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mc:AlternateContent xmlns:mc="http://schemas.openxmlformats.org/markup-compatibility/2006">
    <mc:Choice Requires="x15">
      <x15ac:absPath xmlns:x15ac="http://schemas.microsoft.com/office/spreadsheetml/2010/11/ac" url="https://ornl-my.sharepoint.com/personal/k21_ornl_gov/Documents/EPA Tools/RAD_Master QA Sheets/2021_Internal_Verification_Spreadsheets/"/>
    </mc:Choice>
  </mc:AlternateContent>
  <xr:revisionPtr revIDLastSave="33" documentId="13_ncr:1_{F257DDCB-BFB8-4FA8-B840-19BE7F87A06E}" xr6:coauthVersionLast="46" xr6:coauthVersionMax="46" xr10:uidLastSave="{DA17CF60-F378-4FF9-8139-C7DD22E64F3A}"/>
  <bookViews>
    <workbookView xWindow="-120" yWindow="-120" windowWidth="29040" windowHeight="17640" tabRatio="906" firstSheet="8" activeTab="32" xr2:uid="{00000000-000D-0000-FFFF-FFFF00000000}"/>
  </bookViews>
  <sheets>
    <sheet name="Instructions" sheetId="49" r:id="rId1"/>
    <sheet name="RadSpec" sheetId="1" r:id="rId2"/>
    <sheet name="d" sheetId="2" r:id="rId3"/>
    <sheet name="d_Bv" sheetId="25" r:id="rId4"/>
    <sheet name="d_Irr" sheetId="36" r:id="rId5"/>
    <sheet name="d_dir" sheetId="26" r:id="rId6"/>
    <sheet name="d_b2s" sheetId="27" r:id="rId7"/>
    <sheet name="d_b2w" sheetId="28" r:id="rId8"/>
    <sheet name="d_res" sheetId="4" r:id="rId9"/>
    <sheet name="d_far" sheetId="17" r:id="rId10"/>
    <sheet name="d_rec" sheetId="15" r:id="rId11"/>
    <sheet name="d_sgw" sheetId="19" r:id="rId12"/>
    <sheet name="d_acf" sheetId="21" r:id="rId13"/>
    <sheet name="s_RadSpec" sheetId="46" r:id="rId14"/>
    <sheet name="ss" sheetId="3" r:id="rId15"/>
    <sheet name="s_Irr" sheetId="35" r:id="rId16"/>
    <sheet name="s_dir" sheetId="29" r:id="rId17"/>
    <sheet name="s_b2s" sheetId="30" r:id="rId18"/>
    <sheet name="s_b2w" sheetId="31" r:id="rId19"/>
    <sheet name="s_res" sheetId="5" r:id="rId20"/>
    <sheet name="s_far" sheetId="18" r:id="rId21"/>
    <sheet name="s_rec" sheetId="37" r:id="rId22"/>
    <sheet name="s_sgw" sheetId="20" r:id="rId23"/>
    <sheet name="up_RadSpec" sheetId="33" r:id="rId24"/>
    <sheet name="up_Bv" sheetId="40" r:id="rId25"/>
    <sheet name="up_Irr" sheetId="44" r:id="rId26"/>
    <sheet name="up_dir" sheetId="41" r:id="rId27"/>
    <sheet name="up_b2s" sheetId="42" r:id="rId28"/>
    <sheet name="up_b2w" sheetId="43" r:id="rId29"/>
    <sheet name="up_res" sheetId="32" r:id="rId30"/>
    <sheet name="up_far" sheetId="38" r:id="rId31"/>
    <sheet name="up_rec" sheetId="16" r:id="rId32"/>
    <sheet name="up_sgw" sheetId="45" r:id="rId33"/>
  </sheets>
  <externalReferences>
    <externalReference r:id="rId34"/>
  </externalReferences>
  <definedNames>
    <definedName name="_xlnm._FilterDatabase" localSheetId="12" hidden="1">d_acf!$A$1:$G$30</definedName>
    <definedName name="_xlnm._FilterDatabase" localSheetId="6" hidden="1">d_b2s!$A$1:$BB$76</definedName>
    <definedName name="_xlnm._FilterDatabase" localSheetId="7" hidden="1">d_b2w!$A$1:$BB$76</definedName>
    <definedName name="_xlnm._FilterDatabase" localSheetId="3" hidden="1">d_Bv!$A$1:$AA$30</definedName>
    <definedName name="_xlnm._FilterDatabase" localSheetId="5" hidden="1">d_dir!$A$1:$BB$76</definedName>
    <definedName name="_xlnm._FilterDatabase" localSheetId="9" hidden="1">d_far!$B$1:$BI$76</definedName>
    <definedName name="_xlnm._FilterDatabase" localSheetId="4" hidden="1">d_Irr!$A$1:$BY$30</definedName>
    <definedName name="_xlnm._FilterDatabase" localSheetId="10" hidden="1">d_rec!$A$1:$X$76</definedName>
    <definedName name="_xlnm._FilterDatabase" localSheetId="8" hidden="1">d_res!$A$1:$AF$76</definedName>
    <definedName name="_xlnm._FilterDatabase" localSheetId="11" hidden="1">d_sgw!$A$1:$G$76</definedName>
    <definedName name="_xlnm._FilterDatabase" localSheetId="1" hidden="1">RadSpec!$A$1:$BE$30</definedName>
    <definedName name="_xlnm._FilterDatabase" localSheetId="17" hidden="1">s_b2s!$A$1:$DB$76</definedName>
    <definedName name="_xlnm._FilterDatabase" localSheetId="18" hidden="1">s_b2w!$A$1:$DB$76</definedName>
    <definedName name="_xlnm._FilterDatabase" localSheetId="16" hidden="1">s_dir!$A$1:$CB$76</definedName>
    <definedName name="_xlnm._FilterDatabase" localSheetId="20" hidden="1">s_far!$A$1:$FO$76</definedName>
    <definedName name="_xlnm._FilterDatabase" localSheetId="15" hidden="1">s_Irr!$A$1:$BY$30</definedName>
    <definedName name="_xlnm._FilterDatabase" localSheetId="13" hidden="1">s_RadSpec!$A$1:$BE$30</definedName>
    <definedName name="_xlnm._FilterDatabase" localSheetId="21" hidden="1">s_rec!$A$1:$BT$76</definedName>
    <definedName name="_xlnm._FilterDatabase" localSheetId="19" hidden="1">s_res!$A$1:$BF$76</definedName>
    <definedName name="_xlnm._FilterDatabase" localSheetId="22" hidden="1">s_sgw!$A$1:$I$76</definedName>
    <definedName name="_xlnm._FilterDatabase" localSheetId="27" hidden="1">up_b2s!$A$1:$CX$76</definedName>
    <definedName name="_xlnm._FilterDatabase" localSheetId="28" hidden="1">up_b2w!$A$1:$CX$76</definedName>
    <definedName name="_xlnm._FilterDatabase" localSheetId="24" hidden="1">up_Bv!$A$1:$AA$30</definedName>
    <definedName name="_xlnm._FilterDatabase" localSheetId="26" hidden="1">up_dir!$A$1:$BY$76</definedName>
    <definedName name="_xlnm._FilterDatabase" localSheetId="30" hidden="1">up_far!$A$1:$FD$76</definedName>
    <definedName name="_xlnm._FilterDatabase" localSheetId="25" hidden="1">up_Irr!$A$1:$BV$1299</definedName>
    <definedName name="_xlnm._FilterDatabase" localSheetId="23" hidden="1">up_RadSpec!$A$1:$BF$1299</definedName>
    <definedName name="_xlnm._FilterDatabase" localSheetId="31" hidden="1">up_rec!$A$1:$AS$1299</definedName>
    <definedName name="_xlnm._FilterDatabase" localSheetId="29" hidden="1">up_res!$A$1:$BF$1299</definedName>
    <definedName name="_xlnm._FilterDatabase" localSheetId="32" hidden="1">up_sgw!$A$1:$I$1299</definedName>
    <definedName name="A_wind" localSheetId="0">[1]d!$B$34</definedName>
    <definedName name="A_wind">d!$B$33</definedName>
    <definedName name="As" localSheetId="0">[1]d!$B$33</definedName>
    <definedName name="As">d!$B$32</definedName>
    <definedName name="B_wind" localSheetId="0">[1]d!$B$35</definedName>
    <definedName name="B_wind">d!$B$34</definedName>
    <definedName name="C_wind" localSheetId="0">[1]d!$B$36</definedName>
    <definedName name="C_wind">d!$B$35</definedName>
    <definedName name="CF_apple" localSheetId="0">[1]d!$N$2</definedName>
    <definedName name="CF_apple">d!$N$2</definedName>
    <definedName name="CF_asparagus" localSheetId="0">[1]d!$N$3</definedName>
    <definedName name="CF_asparagus">d!$N$3</definedName>
    <definedName name="CF_beet" localSheetId="0">[1]d!$N$4</definedName>
    <definedName name="CF_beet">d!$N$4</definedName>
    <definedName name="CF_berries" localSheetId="0">[1]d!$N$5</definedName>
    <definedName name="CF_berries">d!$N$5</definedName>
    <definedName name="CF_broccoli" localSheetId="0">[1]d!$N$6</definedName>
    <definedName name="CF_broccoli">d!$N$6</definedName>
    <definedName name="CF_cabbage" localSheetId="0">[1]d!$N$7</definedName>
    <definedName name="CF_cabbage">d!$N$7</definedName>
    <definedName name="CF_carrot" localSheetId="0">[1]d!$N$8</definedName>
    <definedName name="CF_carrot">d!$N$8</definedName>
    <definedName name="CF_cereal" localSheetId="0">[1]d!$N$24</definedName>
    <definedName name="CF_cereal">d!$N$25</definedName>
    <definedName name="CF_citrus" localSheetId="0">[1]d!$N$9</definedName>
    <definedName name="CF_citrus">d!$N$9</definedName>
    <definedName name="CF_corn" localSheetId="0">[1]d!$N$10</definedName>
    <definedName name="CF_corn">d!$N$10</definedName>
    <definedName name="CF_cucumber" localSheetId="0">[1]d!$N$11</definedName>
    <definedName name="CF_cucumber">d!$N$11</definedName>
    <definedName name="CF_far_beef" localSheetId="0">[1]d!$Q$2</definedName>
    <definedName name="CF_far_beef">d!$Q$2</definedName>
    <definedName name="CF_far_dairy" localSheetId="0">[1]d!$Q$3</definedName>
    <definedName name="CF_far_dairy">d!$Q$3</definedName>
    <definedName name="CF_far_egg" localSheetId="0">[1]d!$Q$5</definedName>
    <definedName name="CF_far_egg">d!$Q$5</definedName>
    <definedName name="CF_far_fish" localSheetId="0">[1]d!$Q$6</definedName>
    <definedName name="CF_far_fish">d!$Q$6</definedName>
    <definedName name="CF_far_poultry" localSheetId="0">[1]d!$Q$4</definedName>
    <definedName name="CF_far_poultry">d!$Q$4</definedName>
    <definedName name="CF_far_produce">d!$N$2</definedName>
    <definedName name="CF_far_sheep">d!$Q$9</definedName>
    <definedName name="CF_far_shellfish">d!$Q$7</definedName>
    <definedName name="CF_far_swine" localSheetId="0">[1]d!$Q$7</definedName>
    <definedName name="CF_far_swine">d!$Q$8</definedName>
    <definedName name="CF_fowl" localSheetId="0">[1]d!$H$38</definedName>
    <definedName name="CF_fowl">d!$H$38</definedName>
    <definedName name="CF_game" localSheetId="0">[1]d!$H$39</definedName>
    <definedName name="CF_game">d!$H$39</definedName>
    <definedName name="CF_lettuce" localSheetId="0">[1]d!$N$12</definedName>
    <definedName name="CF_lettuce">d!$N$12</definedName>
    <definedName name="CF_lima_bean" localSheetId="0">[1]d!$N$13</definedName>
    <definedName name="CF_lima_bean">d!$N$13</definedName>
    <definedName name="CF_okra" localSheetId="0">[1]d!$N$14</definedName>
    <definedName name="CF_okra">d!$N$14</definedName>
    <definedName name="CF_onion" localSheetId="0">[1]d!$N$15</definedName>
    <definedName name="CF_onion">d!$N$15</definedName>
    <definedName name="CF_peach" localSheetId="0">[1]d!$N$16</definedName>
    <definedName name="CF_peach">d!$N$16</definedName>
    <definedName name="CF_pear" localSheetId="0">[1]d!$N$17</definedName>
    <definedName name="CF_pear">d!$N$17</definedName>
    <definedName name="CF_peas" localSheetId="0">[1]d!$N$18</definedName>
    <definedName name="CF_peas">d!$N$18</definedName>
    <definedName name="CF_peppers" localSheetId="14">ss!$N$19</definedName>
    <definedName name="CF_peppers">d!$N$19</definedName>
    <definedName name="CF_potato" localSheetId="0">[1]d!$N$19</definedName>
    <definedName name="CF_potato">d!$N$20</definedName>
    <definedName name="CF_pumpkin" localSheetId="0">[1]d!$N$20</definedName>
    <definedName name="CF_pumpkin">d!$N$21</definedName>
    <definedName name="CF_res_fish" localSheetId="0">[1]d!$E$29</definedName>
    <definedName name="CF_res_fish">d!$E$29</definedName>
    <definedName name="CF_rice" localSheetId="0">[1]d!$N$25</definedName>
    <definedName name="CF_rice">d!$N$26</definedName>
    <definedName name="CF_snap_bean" localSheetId="0">[1]d!$N$21</definedName>
    <definedName name="CF_snap_bean">d!$N$22</definedName>
    <definedName name="CF_strawberry" localSheetId="0">[1]d!$N$22</definedName>
    <definedName name="CF_strawberry">d!$N$23</definedName>
    <definedName name="CF_tomato" localSheetId="0">[1]d!$N$23</definedName>
    <definedName name="CF_tomato">d!$N$24</definedName>
    <definedName name="d_a">d!$B$23</definedName>
    <definedName name="D_milk" localSheetId="0">[1]d!$Q$43</definedName>
    <definedName name="D_milk">d!$Q$47</definedName>
    <definedName name="d_s">d!$B$24</definedName>
    <definedName name="DAF">d!$B$37</definedName>
    <definedName name="DF_i">d!$K$28</definedName>
    <definedName name="DFA_far_adj" localSheetId="0">[1]d!$K$9</definedName>
    <definedName name="DFA_far_adj">d!$K$9</definedName>
    <definedName name="DFA_rec_adj" localSheetId="0">[1]d!$H$9</definedName>
    <definedName name="DFA_rec_adj">d!$H$9</definedName>
    <definedName name="DFA_res_adj" localSheetId="0">[1]d!$E$9</definedName>
    <definedName name="DFA_res_adj">d!$E$9</definedName>
    <definedName name="dm">d!$B$25</definedName>
    <definedName name="ED_far" localSheetId="0">[1]d!$K$4</definedName>
    <definedName name="ED_far">d!$K$4</definedName>
    <definedName name="ED_far_a" localSheetId="0">[1]d!$K$3</definedName>
    <definedName name="ED_far_a">d!$K$3</definedName>
    <definedName name="ED_far_c" localSheetId="0">[1]d!$K$2</definedName>
    <definedName name="ED_far_c">d!$K$2</definedName>
    <definedName name="ED_rec" localSheetId="0">[1]d!$H$4</definedName>
    <definedName name="ED_rec">d!$H$4</definedName>
    <definedName name="ED_rec_a" localSheetId="0">[1]d!$H$3</definedName>
    <definedName name="ED_rec_a">d!$H$3</definedName>
    <definedName name="ED_rec_c" localSheetId="0">[1]d!$H$2</definedName>
    <definedName name="ED_rec_c">d!$H$2</definedName>
    <definedName name="ED_res" localSheetId="0">[1]d!$E$4</definedName>
    <definedName name="ED_res">d!$E$4</definedName>
    <definedName name="ED_res_a" localSheetId="0">[1]d!$E$3</definedName>
    <definedName name="ED_res_a">d!$E$3</definedName>
    <definedName name="ED_res_c" localSheetId="0">[1]d!$E$2</definedName>
    <definedName name="ED_res_c">d!$E$2</definedName>
    <definedName name="ED_s2gw">d!$B$18</definedName>
    <definedName name="EF_far" localSheetId="0">[1]d!$K$18</definedName>
    <definedName name="EF_far">d!$K$18</definedName>
    <definedName name="EF_far_a" localSheetId="0">[1]d!$K$17</definedName>
    <definedName name="EF_far_a">d!$K$17</definedName>
    <definedName name="EF_far_c" localSheetId="0">[1]d!$K$16</definedName>
    <definedName name="EF_far_c">d!$K$16</definedName>
    <definedName name="EF_rec" localSheetId="0">[1]d!$H$20</definedName>
    <definedName name="EF_rec">d!$H$20</definedName>
    <definedName name="EF_rec_a" localSheetId="0">[1]d!$H$19</definedName>
    <definedName name="EF_rec_a">d!$H$19</definedName>
    <definedName name="EF_rec_c" localSheetId="0">[1]d!$H$18</definedName>
    <definedName name="EF_rec_c">d!$H$18</definedName>
    <definedName name="EF_res" localSheetId="0">[1]d!$E$19</definedName>
    <definedName name="EF_res">d!$E$19</definedName>
    <definedName name="EF_res_a" localSheetId="0">[1]d!$E$18</definedName>
    <definedName name="EF_res_a">d!$E$18</definedName>
    <definedName name="EF_res_c" localSheetId="0">[1]d!$E$17</definedName>
    <definedName name="EF_res_c">d!$E$17</definedName>
    <definedName name="ET_event_far_a" localSheetId="0">[1]d!$K$23</definedName>
    <definedName name="ET_event_far_a">d!$K$23</definedName>
    <definedName name="ET_event_far_c" localSheetId="0">[1]d!$K$22</definedName>
    <definedName name="ET_event_far_c">d!$K$22</definedName>
    <definedName name="ET_event_rec_a" localSheetId="0">[1]d!$H$25</definedName>
    <definedName name="ET_event_rec_a">d!$H$25</definedName>
    <definedName name="ET_event_rec_c" localSheetId="0">[1]d!$H$24</definedName>
    <definedName name="ET_event_rec_c">d!$H$24</definedName>
    <definedName name="ET_event_res_a" localSheetId="0">[1]d!$E$21</definedName>
    <definedName name="ET_event_res_a">d!$E$21</definedName>
    <definedName name="ET_event_res_c" localSheetId="0">[1]d!$E$20</definedName>
    <definedName name="ET_event_res_c">d!$E$20</definedName>
    <definedName name="ET_far" localSheetId="0">[1]d!$K$21</definedName>
    <definedName name="ET_far">d!$K$21</definedName>
    <definedName name="ET_far_a" localSheetId="0">[1]d!$K$20</definedName>
    <definedName name="ET_far_a">d!$K$20</definedName>
    <definedName name="ET_far_c" localSheetId="0">[1]d!$K$19</definedName>
    <definedName name="ET_far_c">d!$K$19</definedName>
    <definedName name="ET_far_i" localSheetId="0">[1]d!$K$25</definedName>
    <definedName name="ET_far_i">d!$K$25</definedName>
    <definedName name="ET_far_o" localSheetId="0">[1]d!$K$24</definedName>
    <definedName name="ET_far_o">d!$K$24</definedName>
    <definedName name="ET_rec" localSheetId="0">[1]d!$H$21</definedName>
    <definedName name="ET_rec">d!$H$21</definedName>
    <definedName name="ET_rec_a" localSheetId="0">[1]d!$H$23</definedName>
    <definedName name="ET_rec_a">d!$H$23</definedName>
    <definedName name="ET_rec_c" localSheetId="0">[1]d!$H$22</definedName>
    <definedName name="ET_rec_c">d!$H$22</definedName>
    <definedName name="ET_res" localSheetId="0">[1]d!$E$24</definedName>
    <definedName name="ET_res">d!$E$24</definedName>
    <definedName name="ET_res_a" localSheetId="0">[1]d!$E$23</definedName>
    <definedName name="ET_res_a">d!$E$23</definedName>
    <definedName name="ET_res_c" localSheetId="0">[1]d!$E$22</definedName>
    <definedName name="ET_res_c">d!$E$22</definedName>
    <definedName name="ET_res_i" localSheetId="0">[1]d!$E$28</definedName>
    <definedName name="ET_res_i">d!$E$28</definedName>
    <definedName name="ET_res_o" localSheetId="0">[1]d!$E$27</definedName>
    <definedName name="ET_res_o">d!$E$27</definedName>
    <definedName name="EV_far_a" localSheetId="0">[1]d!$K$27</definedName>
    <definedName name="EV_far_a">d!$K$27</definedName>
    <definedName name="EV_far_c" localSheetId="0">[1]d!$K$26</definedName>
    <definedName name="EV_far_c">d!$K$26</definedName>
    <definedName name="EV_rec_a" localSheetId="0">[1]d!$H$27</definedName>
    <definedName name="EV_rec_a">d!$H$27</definedName>
    <definedName name="EV_rec_c" localSheetId="0">[1]d!$H$26</definedName>
    <definedName name="EV_rec_c">d!$H$26</definedName>
    <definedName name="EV_res_a" localSheetId="0">[1]d!$E$26</definedName>
    <definedName name="EV_res_a">d!$E$26</definedName>
    <definedName name="EV_res_c" localSheetId="0">[1]d!$E$25</definedName>
    <definedName name="EV_res_c">d!$E$25</definedName>
    <definedName name="F" localSheetId="0">[1]d!$B$9</definedName>
    <definedName name="F">d!$B$8</definedName>
    <definedName name="f_p_beef" localSheetId="0">[1]d!$Q$51</definedName>
    <definedName name="f_p_beef">d!$Q$55</definedName>
    <definedName name="f_p_dairy" localSheetId="0">[1]d!$Q$46</definedName>
    <definedName name="f_p_dairy">d!$Q$50</definedName>
    <definedName name="f_p_egg">d!$Q$60</definedName>
    <definedName name="f_p_fowl" localSheetId="0">[1]d!$H$30</definedName>
    <definedName name="f_p_fowl">d!$H$30</definedName>
    <definedName name="f_p_game" localSheetId="0">[1]d!$H$35</definedName>
    <definedName name="f_p_game">d!$H$35</definedName>
    <definedName name="f_p_goat">d!$Q$82</definedName>
    <definedName name="f_p_goat_milk">d!$Q$87</definedName>
    <definedName name="f_p_poultry" localSheetId="0">[1]d!$Q$61</definedName>
    <definedName name="f_p_poultry">d!$Q$65</definedName>
    <definedName name="f_p_sheep">d!$Q$77</definedName>
    <definedName name="f_p_sheep_milk">d!$Q$92</definedName>
    <definedName name="f_p_swine" localSheetId="0">[1]d!$Q$66</definedName>
    <definedName name="f_p_swine">d!$Q$70</definedName>
    <definedName name="f_s_beef" localSheetId="0">[1]d!$Q$52</definedName>
    <definedName name="f_s_beef">d!$Q$56</definedName>
    <definedName name="f_s_dairy" localSheetId="0">[1]d!$Q$47</definedName>
    <definedName name="f_s_dairy">d!$Q$51</definedName>
    <definedName name="f_s_egg">d!$Q$61</definedName>
    <definedName name="f_s_fowl" localSheetId="0">[1]d!$H$31</definedName>
    <definedName name="f_s_fowl">d!$H$31</definedName>
    <definedName name="f_s_game" localSheetId="0">[1]d!$H$36</definedName>
    <definedName name="f_s_game">d!$H$36</definedName>
    <definedName name="f_s_goat">d!$Q$83</definedName>
    <definedName name="f_s_goat_milk">d!$Q$88</definedName>
    <definedName name="f_s_poultry" localSheetId="0">[1]d!$Q$62</definedName>
    <definedName name="f_s_poultry">d!$Q$66</definedName>
    <definedName name="f_s_sheep">d!$Q$78</definedName>
    <definedName name="f_s_sheep_milk">d!$Q$93</definedName>
    <definedName name="f_s_swine" localSheetId="0">[1]d!$Q$67</definedName>
    <definedName name="f_s_swine">d!$Q$71</definedName>
    <definedName name="F_x" localSheetId="0">[1]d!$B$30</definedName>
    <definedName name="F_x">d!$B$29</definedName>
    <definedName name="GSF_a" localSheetId="0">[1]d!$B$4</definedName>
    <definedName name="GSF_a">d!$B$4</definedName>
    <definedName name="GSF_i">d!$B$5</definedName>
    <definedName name="GSF_o" localSheetId="0">[1]d!$B$6</definedName>
    <definedName name="i">d!$B$20</definedName>
    <definedName name="I_f" localSheetId="0">[1]d!$B$12</definedName>
    <definedName name="I_f">d!$B$11</definedName>
    <definedName name="i_s2gw">d!$B$20</definedName>
    <definedName name="IFA_far_adj" localSheetId="0">[1]d!$K$8</definedName>
    <definedName name="IFA_far_adj">d!$K$8</definedName>
    <definedName name="IFA_rec_adj" localSheetId="0">[1]d!$H$8</definedName>
    <definedName name="IFA_rec_adj">d!$H$8</definedName>
    <definedName name="IFA_res_adj" localSheetId="0">[1]d!$E$8</definedName>
    <definedName name="IFA_res_adj">d!$E$8</definedName>
    <definedName name="IFAP_far_adj" localSheetId="0">[1]d!$N$28</definedName>
    <definedName name="IFAP_far_adj">d!$N$29</definedName>
    <definedName name="IFAP_res_adj" localSheetId="0">[1]d!$E$32</definedName>
    <definedName name="IFAP_res_adj">d!$E$32</definedName>
    <definedName name="IFAS_far_adj" localSheetId="0">[1]d!$N$31</definedName>
    <definedName name="IFAS_far_adj">d!$N$32</definedName>
    <definedName name="IFAS_res_adj" localSheetId="0">[1]d!$E$35</definedName>
    <definedName name="IFAS_res_adj">d!$E$35</definedName>
    <definedName name="IFB_far_adj" localSheetId="0">[1]d!$Q$14</definedName>
    <definedName name="IFB_far_adj">d!$Q$15</definedName>
    <definedName name="IFBE_far_adj" localSheetId="0">[1]d!$N$37</definedName>
    <definedName name="IFBE_far_adj">d!$N$38</definedName>
    <definedName name="IFBE_res_adj" localSheetId="0">[1]d!$E$41</definedName>
    <definedName name="IFBE_res_adj">d!$E$41</definedName>
    <definedName name="IFBR_far_adj" localSheetId="0">[1]d!$N$40</definedName>
    <definedName name="IFBR_far_adj">d!$N$41</definedName>
    <definedName name="IFBR_res_adj" localSheetId="0">[1]d!$E$44</definedName>
    <definedName name="IFBR_res_adj">d!$E$44</definedName>
    <definedName name="IFBT_far_adj" localSheetId="0">[1]d!$N$34</definedName>
    <definedName name="IFBT_far_adj">d!$N$35</definedName>
    <definedName name="IFBT_res_adj" localSheetId="0">[1]d!$E$38</definedName>
    <definedName name="IFBT_res_adj">d!$E$38</definedName>
    <definedName name="IFCB_far_adj" localSheetId="0">[1]d!$N$43</definedName>
    <definedName name="IFCB_far_adj">d!$N$44</definedName>
    <definedName name="IFCB_res_adj" localSheetId="0">[1]d!$E$47</definedName>
    <definedName name="IFCB_res_adj">d!$E$47</definedName>
    <definedName name="IFCG_far_adj" localSheetId="0">[1]d!$N$49</definedName>
    <definedName name="IFCG_far_adj">d!$N$50</definedName>
    <definedName name="IFCG_res_adj" localSheetId="0">[1]d!$E$53</definedName>
    <definedName name="IFCG_res_adj">d!$E$53</definedName>
    <definedName name="IFCI_far_adj" localSheetId="0">[1]d!$N$52</definedName>
    <definedName name="IFCI_far_adj">d!$N$53</definedName>
    <definedName name="IFCI_res_adj" localSheetId="0">[1]d!$E$56</definedName>
    <definedName name="IFCI_res_adj">d!$E$56</definedName>
    <definedName name="IFCO_far_adj" localSheetId="0">[1]d!$N$55</definedName>
    <definedName name="IFCO_far_adj">d!$N$56</definedName>
    <definedName name="IFCO_res_adj" localSheetId="0">[1]d!$E$59</definedName>
    <definedName name="IFCO_res_adj">d!$E$59</definedName>
    <definedName name="IFCR_far_adj" localSheetId="0">[1]d!$N$46</definedName>
    <definedName name="IFCR_far_adj">d!$N$47</definedName>
    <definedName name="IFCR_res_adj" localSheetId="0">[1]d!$E$50</definedName>
    <definedName name="IFCR_res_adj">d!$E$50</definedName>
    <definedName name="IFCU_far_adj" localSheetId="0">[1]d!$N$58</definedName>
    <definedName name="IFCU_far_adj">d!$N$59</definedName>
    <definedName name="IFCU_res_adj" localSheetId="0">[1]d!$E$62</definedName>
    <definedName name="IFCU_res_adj">d!$E$62</definedName>
    <definedName name="IFD_far_adj" localSheetId="0">[1]d!$Q$17</definedName>
    <definedName name="IFD_far_adj">d!$Q$18</definedName>
    <definedName name="IFE_far_adj" localSheetId="0">[1]d!$Q$20</definedName>
    <definedName name="IFE_far_adj">d!$Q$21</definedName>
    <definedName name="IFFI_far_adj" localSheetId="0">[1]d!$Q$26</definedName>
    <definedName name="IFFI_far_adj">d!$Q$27</definedName>
    <definedName name="IFGM_far_adj">d!$Q$45</definedName>
    <definedName name="IFGO_far_adj">d!$Q$39</definedName>
    <definedName name="IFLE_far_adj" localSheetId="0">[1]d!$N$61</definedName>
    <definedName name="IFLE_far_adj">d!$N$62</definedName>
    <definedName name="IFLE_res_adj" localSheetId="0">[1]d!$E$65</definedName>
    <definedName name="IFLE_res_adj">d!$E$65</definedName>
    <definedName name="IFLI_far_adj" localSheetId="0">[1]d!$N$64</definedName>
    <definedName name="IFLI_far_adj">d!$N$65</definedName>
    <definedName name="IFLI_res_adj" localSheetId="0">[1]d!$E$68</definedName>
    <definedName name="IFLI_res_adj">d!$E$68</definedName>
    <definedName name="IFOK_far_adj" localSheetId="0">[1]d!$N$67</definedName>
    <definedName name="IFOK_far_adj">d!$N$68</definedName>
    <definedName name="IFOK_res_adj" localSheetId="0">[1]d!$E$71</definedName>
    <definedName name="IFOK_res_adj">d!$E$71</definedName>
    <definedName name="IFON_far_adj" localSheetId="0">[1]d!$N$70</definedName>
    <definedName name="IFON_far_adj">d!$N$71</definedName>
    <definedName name="IFON_res_adj" localSheetId="0">[1]d!$E$74</definedName>
    <definedName name="IFON_res_adj">d!$E$74</definedName>
    <definedName name="IFP_far_adj" localSheetId="0">[1]d!$Q$23</definedName>
    <definedName name="IFP_far_adj">d!$Q$24</definedName>
    <definedName name="IFPC_far_adj" localSheetId="0">[1]d!$N$73</definedName>
    <definedName name="IFPC_far_adj">d!$N$74</definedName>
    <definedName name="IFPC_res_adj" localSheetId="0">[1]d!$E$77</definedName>
    <definedName name="IFPC_res_adj">d!$E$77</definedName>
    <definedName name="IFPE_far_adj" localSheetId="0">[1]d!$N$79</definedName>
    <definedName name="IFPE_far_adj">d!$N$80</definedName>
    <definedName name="IFPE_res_adj" localSheetId="0">[1]d!$E$83</definedName>
    <definedName name="IFPE_res_adj">d!$E$86</definedName>
    <definedName name="IFPP_far_adj">d!$N$83</definedName>
    <definedName name="IFPP_res_adj">d!$E$80</definedName>
    <definedName name="IFPR_far_adj" localSheetId="0">[1]d!$N$76</definedName>
    <definedName name="IFPR_far_adj">d!$N$77</definedName>
    <definedName name="IFPR_res_adj" localSheetId="0">[1]d!$E$80</definedName>
    <definedName name="IFPR_res_adj">d!$E$83</definedName>
    <definedName name="IFPT_far_adj" localSheetId="0">[1]d!$N$82</definedName>
    <definedName name="IFPT_far_adj">d!$N$86</definedName>
    <definedName name="IFPT_res_adj" localSheetId="0">[1]d!$E$86</definedName>
    <definedName name="IFPT_res_adj">d!$E$89</definedName>
    <definedName name="IFPU_far_adj" localSheetId="0">[1]d!$N$85</definedName>
    <definedName name="IFPU_far_adj">d!$N$89</definedName>
    <definedName name="IFPU_res_adj" localSheetId="0">[1]d!$E$89</definedName>
    <definedName name="IFPU_res_adj">d!$E$92</definedName>
    <definedName name="IFRI_far_adj" localSheetId="0">[1]d!$N$88</definedName>
    <definedName name="IFRI_far_adj">d!$N$92</definedName>
    <definedName name="IFRI_res_adj" localSheetId="0">[1]d!$E$92</definedName>
    <definedName name="IFRI_res_adj">d!$E$95</definedName>
    <definedName name="IFS_far_adj" localSheetId="0">[1]d!$K$12</definedName>
    <definedName name="IFS_far_adj">d!$K$12</definedName>
    <definedName name="IFS_rec_adj" localSheetId="0">[1]d!$H$12</definedName>
    <definedName name="IFS_rec_adj">d!$H$12</definedName>
    <definedName name="IFS_res_adj" localSheetId="0">[1]d!$E$12</definedName>
    <definedName name="IFS_res_adj">d!$E$12</definedName>
    <definedName name="IFSF_far_adj">d!$Q$30</definedName>
    <definedName name="IFSH_far_adj">d!$Q$36</definedName>
    <definedName name="IFSM_far_adj">d!$Q$42</definedName>
    <definedName name="IFSN_far_adj" localSheetId="0">[1]d!$N$91</definedName>
    <definedName name="IFSN_far_adj">d!$N$95</definedName>
    <definedName name="IFSN_res_adj" localSheetId="0">[1]d!$E$95</definedName>
    <definedName name="IFSN_res_adj">d!$E$98</definedName>
    <definedName name="IFST_far_adj" localSheetId="0">[1]d!$N$94</definedName>
    <definedName name="IFST_far_adj">d!$N$98</definedName>
    <definedName name="IFST_res_adj" localSheetId="0">[1]d!$E$98</definedName>
    <definedName name="IFST_res_adj">d!$E$101</definedName>
    <definedName name="IFSW_far_adj" localSheetId="0">[1]d!$Q$29</definedName>
    <definedName name="IFSW_far_adj">d!$Q$33</definedName>
    <definedName name="IFTO_far_adj" localSheetId="0">[1]d!$N$97</definedName>
    <definedName name="IFTO_far_adj">d!$N$101</definedName>
    <definedName name="IFTO_res_adj" localSheetId="0">[1]d!$E$101</definedName>
    <definedName name="IFTO_res_adj">d!$E$104</definedName>
    <definedName name="IFW_far_adj" localSheetId="0">[1]d!$K$15</definedName>
    <definedName name="IFW_far_adj">d!$K$15</definedName>
    <definedName name="IFW_rec_adj" localSheetId="0">[1]d!$H$15</definedName>
    <definedName name="IFW_rec_adj">d!$H$15</definedName>
    <definedName name="IFW_res_adj" localSheetId="0">[1]d!$E$15</definedName>
    <definedName name="IFW_res_adj">d!$E$15</definedName>
    <definedName name="Ir" localSheetId="0">[1]d!$B$8</definedName>
    <definedName name="Ir">d!$B$7</definedName>
    <definedName name="IRA_far_a" localSheetId="0">[1]d!$K$7</definedName>
    <definedName name="IRA_far_a">d!$K$7</definedName>
    <definedName name="IRA_far_c" localSheetId="0">[1]d!$K$6</definedName>
    <definedName name="IRA_far_c">d!$K$6</definedName>
    <definedName name="IRA_rec_a" localSheetId="0">[1]d!$H$7</definedName>
    <definedName name="IRA_rec_a">d!$H$7</definedName>
    <definedName name="IRA_rec_c" localSheetId="0">[1]d!$H$6</definedName>
    <definedName name="IRA_rec_c">d!$H$6</definedName>
    <definedName name="IRA_res_a" localSheetId="0">[1]d!$E$7</definedName>
    <definedName name="IRA_res_a">d!$E$7</definedName>
    <definedName name="IRA_res_c" localSheetId="0">[1]d!$E$6</definedName>
    <definedName name="IRA_res_c">d!$E$6</definedName>
    <definedName name="IRAP_far_a" localSheetId="0">[1]d!$N$27</definedName>
    <definedName name="IRAP_far_a">d!$N$28</definedName>
    <definedName name="IRAP_far_c" localSheetId="0">[1]d!$N$26</definedName>
    <definedName name="IRAP_far_c">d!$N$27</definedName>
    <definedName name="IRAP_res_a" localSheetId="0">[1]d!$E$31</definedName>
    <definedName name="IRAP_res_a">d!$E$31</definedName>
    <definedName name="IRAP_res_c" localSheetId="0">[1]d!$E$30</definedName>
    <definedName name="IRAP_res_c">d!$E$30</definedName>
    <definedName name="IRAS_far_a" localSheetId="0">[1]d!$N$30</definedName>
    <definedName name="IRAS_far_a">d!$N$31</definedName>
    <definedName name="IRAS_far_c" localSheetId="0">[1]d!$N$29</definedName>
    <definedName name="IRAS_far_c">d!$N$30</definedName>
    <definedName name="IRAS_res_a" localSheetId="0">[1]d!$E$34</definedName>
    <definedName name="IRAS_res_a">d!$E$34</definedName>
    <definedName name="IRAS_res_c" localSheetId="0">[1]d!$E$33</definedName>
    <definedName name="IRAS_res_c">d!$E$33</definedName>
    <definedName name="IRB_far_a" localSheetId="0">[1]d!$Q$13</definedName>
    <definedName name="IRB_far_a">d!$Q$14</definedName>
    <definedName name="IRB_far_c" localSheetId="0">[1]d!$Q$12</definedName>
    <definedName name="IRB_far_c">d!$Q$13</definedName>
    <definedName name="IRBE_far_a" localSheetId="0">[1]d!$N$36</definedName>
    <definedName name="IRBE_far_a">d!$N$37</definedName>
    <definedName name="IRBE_far_c" localSheetId="0">[1]d!$N$35</definedName>
    <definedName name="IRBE_far_c">d!$N$36</definedName>
    <definedName name="IRBE_res_a" localSheetId="0">[1]d!$E$40</definedName>
    <definedName name="IRBE_res_a">d!$E$40</definedName>
    <definedName name="IRBE_res_c" localSheetId="0">[1]d!$E$39</definedName>
    <definedName name="IRBE_res_c">d!$E$39</definedName>
    <definedName name="IRBR_far_a" localSheetId="0">[1]d!$N$39</definedName>
    <definedName name="IRBR_far_a">d!$N$40</definedName>
    <definedName name="IRBR_far_c" localSheetId="0">[1]d!$N$38</definedName>
    <definedName name="IRBR_far_c">d!$N$39</definedName>
    <definedName name="IRBR_res_a" localSheetId="0">[1]d!$E$43</definedName>
    <definedName name="IRBR_res_a">d!$E$43</definedName>
    <definedName name="IRBR_res_c" localSheetId="0">[1]d!$E$42</definedName>
    <definedName name="IRBR_res_c">d!$E$42</definedName>
    <definedName name="IRBT_far_a" localSheetId="0">[1]d!$N$33</definedName>
    <definedName name="IRBT_far_a">d!$N$34</definedName>
    <definedName name="IRBT_far_c" localSheetId="0">[1]d!$N$32</definedName>
    <definedName name="IRBT_far_c">d!$N$33</definedName>
    <definedName name="IRBT_res_a" localSheetId="0">[1]d!$E$37</definedName>
    <definedName name="IRBT_res_a">d!$E$37</definedName>
    <definedName name="IRBT_res_c" localSheetId="0">[1]d!$E$36</definedName>
    <definedName name="IRBT_res_c">d!$E$36</definedName>
    <definedName name="IRCB_far_a" localSheetId="0">[1]d!$N$42</definedName>
    <definedName name="IRCB_far_a">d!$N$43</definedName>
    <definedName name="IRCB_far_c" localSheetId="0">[1]d!$N$41</definedName>
    <definedName name="IRCB_far_c">d!$N$42</definedName>
    <definedName name="IRCB_res_a" localSheetId="0">[1]d!$E$46</definedName>
    <definedName name="IRCB_res_a">d!$E$46</definedName>
    <definedName name="IRCB_res_c" localSheetId="0">[1]d!$E$45</definedName>
    <definedName name="IRCB_res_c">d!$E$45</definedName>
    <definedName name="IRCG_far_a" localSheetId="0">[1]d!$N$48</definedName>
    <definedName name="IRCG_far_a">d!$N$49</definedName>
    <definedName name="IRCG_far_c" localSheetId="0">[1]d!$N$47</definedName>
    <definedName name="IRCG_far_c">d!$N$48</definedName>
    <definedName name="IRCG_res_a" localSheetId="0">[1]d!$E$52</definedName>
    <definedName name="IRCG_res_a">d!$E$52</definedName>
    <definedName name="IRCG_res_c" localSheetId="0">[1]d!$E$51</definedName>
    <definedName name="IRCG_res_c">d!$E$51</definedName>
    <definedName name="IRCI_far_a" localSheetId="0">[1]d!$N$51</definedName>
    <definedName name="IRCI_far_a">d!$N$52</definedName>
    <definedName name="IRCI_far_c" localSheetId="0">[1]d!$N$50</definedName>
    <definedName name="IRCI_far_c">d!$N$51</definedName>
    <definedName name="IRCI_res_a" localSheetId="0">[1]d!$E$55</definedName>
    <definedName name="IRCI_res_a">d!$E$55</definedName>
    <definedName name="IRCI_res_c" localSheetId="0">[1]d!$E$54</definedName>
    <definedName name="IRCI_res_c">d!$E$54</definedName>
    <definedName name="IRCO_far_a" localSheetId="0">[1]d!$N$54</definedName>
    <definedName name="IRCO_far_a">d!$N$55</definedName>
    <definedName name="IRCO_far_c" localSheetId="0">[1]d!$N$53</definedName>
    <definedName name="IRCO_far_c">d!$N$54</definedName>
    <definedName name="IRCO_res_a" localSheetId="0">[1]d!$E$58</definedName>
    <definedName name="IRCO_res_a">d!$E$58</definedName>
    <definedName name="IRCO_res_c" localSheetId="0">[1]d!$E$57</definedName>
    <definedName name="IRCO_res_c">d!$E$57</definedName>
    <definedName name="IRCR_far_a" localSheetId="0">[1]d!$N$45</definedName>
    <definedName name="IRCR_far_a">d!$N$46</definedName>
    <definedName name="IRCR_far_c" localSheetId="0">[1]d!$N$44</definedName>
    <definedName name="IRCR_far_c">d!$N$45</definedName>
    <definedName name="IRCR_res_a" localSheetId="0">[1]d!$E$49</definedName>
    <definedName name="IRCR_res_a">d!$E$49</definedName>
    <definedName name="IRCR_res_c" localSheetId="0">[1]d!$E$48</definedName>
    <definedName name="IRCR_res_c">d!$E$48</definedName>
    <definedName name="IRCU_far_a" localSheetId="0">[1]d!$N$57</definedName>
    <definedName name="IRCU_far_a">d!$N$58</definedName>
    <definedName name="IRCU_far_c" localSheetId="0">[1]d!$N$56</definedName>
    <definedName name="IRCU_far_c">d!$N$57</definedName>
    <definedName name="IRCU_res_a" localSheetId="0">[1]d!$E$61</definedName>
    <definedName name="IRCU_res_a">d!$E$61</definedName>
    <definedName name="IRCU_res_c" localSheetId="0">[1]d!$E$60</definedName>
    <definedName name="IRCU_res_c">d!$E$60</definedName>
    <definedName name="IRD_far_a" localSheetId="0">[1]d!$Q$16</definedName>
    <definedName name="IRD_far_a">d!$Q$17</definedName>
    <definedName name="IRD_far_c" localSheetId="0">[1]d!$Q$15</definedName>
    <definedName name="IRD_far_c">d!$Q$16</definedName>
    <definedName name="IRE_far_a" localSheetId="0">[1]d!$Q$19</definedName>
    <definedName name="IRE_far_a">d!$Q$20</definedName>
    <definedName name="IRE_far_c" localSheetId="0">[1]d!$Q$18</definedName>
    <definedName name="IRE_far_c">d!$Q$19</definedName>
    <definedName name="IRF_res" localSheetId="0">[1]d!$E$16</definedName>
    <definedName name="IRF_res">d!$E$16</definedName>
    <definedName name="IRFI_far_a" localSheetId="0">[1]d!$Q$25</definedName>
    <definedName name="IRFI_far_a">d!$Q$26</definedName>
    <definedName name="IRFI_far_c" localSheetId="0">[1]d!$Q$24</definedName>
    <definedName name="IRFI_far_c">d!$Q$25</definedName>
    <definedName name="IRGF_rec" localSheetId="0">[1]d!$H$17</definedName>
    <definedName name="IRGF_rec">d!$H$17</definedName>
    <definedName name="IRGL_rec" localSheetId="0">[1]d!$H$16</definedName>
    <definedName name="IRGL_rec">d!$H$16</definedName>
    <definedName name="IRGM_far_a" localSheetId="0">[1]d!$Q$40</definedName>
    <definedName name="IRGM_far_a">d!$Q$44</definedName>
    <definedName name="IRGM_far_c" localSheetId="0">[1]d!$Q$39</definedName>
    <definedName name="IRGM_far_c">d!$Q$43</definedName>
    <definedName name="IRGO_far_a" localSheetId="0">[1]d!$Q$34</definedName>
    <definedName name="IRGO_far_a">d!$Q$38</definedName>
    <definedName name="IRGO_far_c" localSheetId="0">[1]d!$Q$33</definedName>
    <definedName name="IRGO_far_c">d!$Q$37</definedName>
    <definedName name="IRLE_far_a" localSheetId="0">[1]d!$N$60</definedName>
    <definedName name="IRLE_far_a">d!$N$61</definedName>
    <definedName name="IRLE_far_c" localSheetId="0">[1]d!$N$59</definedName>
    <definedName name="IRLE_far_c">d!$N$60</definedName>
    <definedName name="IRLE_res_a" localSheetId="0">[1]d!$E$64</definedName>
    <definedName name="IRLE_res_a">d!$E$64</definedName>
    <definedName name="IRLE_res_c" localSheetId="0">[1]d!$E$63</definedName>
    <definedName name="IRLE_res_c">d!$E$63</definedName>
    <definedName name="IRLI_far_a" localSheetId="0">[1]d!$N$63</definedName>
    <definedName name="IRLI_far_a">d!$N$64</definedName>
    <definedName name="IRLI_far_c" localSheetId="0">[1]d!$N$62</definedName>
    <definedName name="IRLI_far_c">d!$N$63</definedName>
    <definedName name="IRLI_res_a" localSheetId="0">[1]d!$E$67</definedName>
    <definedName name="IRLI_res_a">d!$E$67</definedName>
    <definedName name="IRLI_res_c" localSheetId="0">[1]d!$E$66</definedName>
    <definedName name="IRLI_res_c">d!$E$66</definedName>
    <definedName name="IROK_far_a" localSheetId="0">[1]d!$N$66</definedName>
    <definedName name="IROK_far_a">d!$N$67</definedName>
    <definedName name="IROK_far_c" localSheetId="0">[1]d!$N$65</definedName>
    <definedName name="IROK_far_c">d!$N$66</definedName>
    <definedName name="IROK_res_a" localSheetId="0">[1]d!$E$70</definedName>
    <definedName name="IROK_res_a">d!$E$70</definedName>
    <definedName name="IROK_res_c" localSheetId="0">[1]d!$E$69</definedName>
    <definedName name="IROK_res_c">d!$E$69</definedName>
    <definedName name="IRON_far_a" localSheetId="0">[1]d!$N$69</definedName>
    <definedName name="IRON_far_a">d!$N$70</definedName>
    <definedName name="IRON_far_c" localSheetId="0">[1]d!$N$68</definedName>
    <definedName name="IRON_far_c">d!$N$69</definedName>
    <definedName name="IRON_res_a" localSheetId="0">[1]d!$E$73</definedName>
    <definedName name="IRON_res_a">d!$E$73</definedName>
    <definedName name="IRON_res_c" localSheetId="0">[1]d!$E$72</definedName>
    <definedName name="IRON_res_c">d!$E$72</definedName>
    <definedName name="IRP_far_a" localSheetId="0">[1]d!$Q$22</definedName>
    <definedName name="IRP_far_a">d!$Q$23</definedName>
    <definedName name="IRP_far_c" localSheetId="0">[1]d!$Q$21</definedName>
    <definedName name="IRP_far_c">d!$Q$22</definedName>
    <definedName name="IRPC_far_a" localSheetId="0">[1]d!$N$72</definedName>
    <definedName name="IRPC_far_a">d!$N$73</definedName>
    <definedName name="IRPC_far_c" localSheetId="0">[1]d!$N$71</definedName>
    <definedName name="IRPC_far_c">d!$N$72</definedName>
    <definedName name="IRPC_res_a" localSheetId="0">[1]d!$E$76</definedName>
    <definedName name="IRPC_res_a">d!$E$76</definedName>
    <definedName name="IRPC_res_c" localSheetId="0">[1]d!$E$75</definedName>
    <definedName name="IRPC_res_c">d!$E$75</definedName>
    <definedName name="IRPE_far_a" localSheetId="0">[1]d!$N$78</definedName>
    <definedName name="IRPE_far_a">d!$N$79</definedName>
    <definedName name="IRPE_far_c" localSheetId="0">[1]d!$N$77</definedName>
    <definedName name="IRPE_far_c">d!$N$78</definedName>
    <definedName name="IRPE_res_a" localSheetId="0">[1]d!$E$82</definedName>
    <definedName name="IRPE_res_a">d!$E$85</definedName>
    <definedName name="IRPE_res_c" localSheetId="0">[1]d!$E$81</definedName>
    <definedName name="IRPE_res_c">d!$E$84</definedName>
    <definedName name="IRPP_far_a">d!$N$82</definedName>
    <definedName name="IRPP_far_c">d!$N$81</definedName>
    <definedName name="IRPP_res_a">d!$E$79</definedName>
    <definedName name="IRPP_res_c">d!$E$78</definedName>
    <definedName name="IRPR_far_a" localSheetId="0">[1]d!$N$75</definedName>
    <definedName name="IRPR_far_a">d!$N$76</definedName>
    <definedName name="IRPR_far_c" localSheetId="0">[1]d!$N$74</definedName>
    <definedName name="IRPR_far_c">d!$N$75</definedName>
    <definedName name="IRPR_res_a" localSheetId="0">[1]d!$E$79</definedName>
    <definedName name="IRPR_res_a">d!$E$82</definedName>
    <definedName name="IRPR_res_c" localSheetId="0">[1]d!$E$78</definedName>
    <definedName name="IRPR_res_c">d!$E$81</definedName>
    <definedName name="IRPT_far_a" localSheetId="0">[1]d!$N$81</definedName>
    <definedName name="IRPT_far_a">d!$N$85</definedName>
    <definedName name="IRPT_far_c" localSheetId="0">[1]d!$N$80</definedName>
    <definedName name="IRPT_far_c">d!$N$84</definedName>
    <definedName name="IRPT_res_a" localSheetId="0">[1]d!$E$85</definedName>
    <definedName name="IRPT_res_a">d!$E$88</definedName>
    <definedName name="IRPT_res_c" localSheetId="0">[1]d!$E$84</definedName>
    <definedName name="IRPT_res_c">d!$E$87</definedName>
    <definedName name="IRPU_far_a" localSheetId="0">[1]d!$N$84</definedName>
    <definedName name="IRPU_far_a">d!$N$88</definedName>
    <definedName name="IRPU_far_c" localSheetId="0">[1]d!$N$83</definedName>
    <definedName name="IRPU_far_c">d!$N$87</definedName>
    <definedName name="IRPU_res_a" localSheetId="0">[1]d!$E$88</definedName>
    <definedName name="IRPU_res_a">d!$E$91</definedName>
    <definedName name="IRPU_res_c" localSheetId="0">[1]d!$E$87</definedName>
    <definedName name="IRPU_res_c">d!$E$90</definedName>
    <definedName name="IRRI_far_a" localSheetId="0">[1]d!$N$87</definedName>
    <definedName name="IRRI_far_a">d!$N$91</definedName>
    <definedName name="IRRI_far_c" localSheetId="0">[1]d!$N$86</definedName>
    <definedName name="IRRI_far_c">d!$N$90</definedName>
    <definedName name="IRRI_res_a" localSheetId="0">[1]d!$E$91</definedName>
    <definedName name="IRRI_res_a">d!$E$94</definedName>
    <definedName name="IRRI_res_c" localSheetId="0">[1]d!$E$90</definedName>
    <definedName name="IRRI_res_c">d!$E$93</definedName>
    <definedName name="IRS_far_a" localSheetId="0">[1]d!$K$11</definedName>
    <definedName name="IRS_far_a">d!$K$11</definedName>
    <definedName name="IRS_far_c" localSheetId="0">[1]d!$K$10</definedName>
    <definedName name="IRS_far_c">d!$K$10</definedName>
    <definedName name="IRS_rec_a" localSheetId="0">[1]d!$H$11</definedName>
    <definedName name="IRS_rec_a">d!$H$11</definedName>
    <definedName name="IRS_rec_c" localSheetId="0">[1]d!$H$10</definedName>
    <definedName name="IRS_rec_c">d!$H$10</definedName>
    <definedName name="IRS_res_a" localSheetId="0">[1]d!$E$11</definedName>
    <definedName name="IRS_res_a">d!$E$11</definedName>
    <definedName name="IRS_res_c" localSheetId="0">[1]d!$E$10</definedName>
    <definedName name="IRS_res_c">d!$E$10</definedName>
    <definedName name="IRSF_far_a">d!$Q$29</definedName>
    <definedName name="IRSF_far_c">d!$Q$28</definedName>
    <definedName name="IRSH_far_a" localSheetId="0">[1]d!$Q$31</definedName>
    <definedName name="IRSH_far_a">d!$Q$35</definedName>
    <definedName name="IRSH_far_c" localSheetId="0">[1]d!$Q$30</definedName>
    <definedName name="IRSH_far_c">d!$Q$34</definedName>
    <definedName name="IRSM_far_a" localSheetId="0">[1]d!$Q$37</definedName>
    <definedName name="IRSM_far_a">d!$Q$41</definedName>
    <definedName name="IRSM_far_c" localSheetId="0">[1]d!$Q$36</definedName>
    <definedName name="IRSM_far_c">d!$Q$40</definedName>
    <definedName name="IRSN_far_a" localSheetId="0">[1]d!$N$90</definedName>
    <definedName name="IRSN_far_a">d!$N$94</definedName>
    <definedName name="IRSN_far_c" localSheetId="0">[1]d!$N$89</definedName>
    <definedName name="IRSN_far_c">d!$N$93</definedName>
    <definedName name="IRSN_res_a" localSheetId="0">[1]d!$E$94</definedName>
    <definedName name="IRSN_res_a">d!$E$97</definedName>
    <definedName name="IRSN_res_c" localSheetId="0">[1]d!$E$93</definedName>
    <definedName name="IRSN_res_c">d!$E$96</definedName>
    <definedName name="IRST_far_a" localSheetId="0">[1]d!$N$93</definedName>
    <definedName name="IRST_far_a">d!$N$97</definedName>
    <definedName name="IRST_far_c" localSheetId="0">[1]d!$N$92</definedName>
    <definedName name="IRST_far_c">d!$N$96</definedName>
    <definedName name="IRST_res_a" localSheetId="0">[1]d!$E$97</definedName>
    <definedName name="IRST_res_a">d!$E$100</definedName>
    <definedName name="IRST_res_c" localSheetId="0">[1]d!$E$96</definedName>
    <definedName name="IRST_res_c">d!$E$99</definedName>
    <definedName name="IRSW_far_a" localSheetId="0">[1]d!$Q$28</definedName>
    <definedName name="IRSW_far_a">d!$Q$32</definedName>
    <definedName name="IRSW_far_c" localSheetId="0">[1]d!$Q$27</definedName>
    <definedName name="IRSW_far_c">d!$Q$31</definedName>
    <definedName name="IRTO_far_a" localSheetId="0">[1]d!$N$96</definedName>
    <definedName name="IRTO_far_a">d!$N$100</definedName>
    <definedName name="IRTO_far_c" localSheetId="0">[1]d!$N$95</definedName>
    <definedName name="IRTO_far_c">d!$N$99</definedName>
    <definedName name="IRTO_res_a" localSheetId="0">[1]d!$E$100</definedName>
    <definedName name="IRTO_res_a">d!$E$103</definedName>
    <definedName name="IRTO_res_c" localSheetId="0">[1]d!$E$99</definedName>
    <definedName name="IRTO_res_c">d!$E$102</definedName>
    <definedName name="IRW_far_a" localSheetId="0">[1]d!$K$14</definedName>
    <definedName name="IRW_far_a">d!$K$14</definedName>
    <definedName name="IRW_far_c" localSheetId="0">[1]d!$K$13</definedName>
    <definedName name="IRW_far_c">d!$K$13</definedName>
    <definedName name="IRW_rec_a" localSheetId="0">[1]d!$H$14</definedName>
    <definedName name="IRW_rec_a">d!$H$14</definedName>
    <definedName name="IRW_rec_c" localSheetId="0">[1]d!$H$13</definedName>
    <definedName name="IRW_rec_c">d!$H$13</definedName>
    <definedName name="IRW_res_a" localSheetId="0">[1]d!$E$14</definedName>
    <definedName name="IRW_res_a">d!$E$14</definedName>
    <definedName name="IRW_res_c" localSheetId="0">[1]d!$E$13</definedName>
    <definedName name="IRW_res_c">d!$E$13</definedName>
    <definedName name="K" localSheetId="0">[1]d!$B$3</definedName>
    <definedName name="K">d!$B$3</definedName>
    <definedName name="K_s2gw">d!$B$19</definedName>
    <definedName name="L_s2gw">d!$B$22</definedName>
    <definedName name="lambda_HL" localSheetId="0">[1]d!$B$7</definedName>
    <definedName name="lambda_HL">d!$B$6</definedName>
    <definedName name="MLF_apple" localSheetId="0">[1]d!$K$30</definedName>
    <definedName name="MLF_apple">d!$N$102</definedName>
    <definedName name="MLF_asparagus" localSheetId="0">[1]d!$K$31</definedName>
    <definedName name="MLF_asparagus">d!$N$103</definedName>
    <definedName name="MLF_beet" localSheetId="0">[1]d!$K$32</definedName>
    <definedName name="MLF_beet">d!$N$104</definedName>
    <definedName name="MLF_berries" localSheetId="0">[1]d!$K$33</definedName>
    <definedName name="MLF_berries">d!$N$105</definedName>
    <definedName name="MLF_broccoli" localSheetId="0">[1]d!$K$34</definedName>
    <definedName name="MLF_broccoli">d!$N$106</definedName>
    <definedName name="MLF_cabbage" localSheetId="0">[1]d!$K$35</definedName>
    <definedName name="MLF_cabbage">d!$N$107</definedName>
    <definedName name="MLF_carrot" localSheetId="0">[1]d!$K$36</definedName>
    <definedName name="MLF_carrot">d!$N$108</definedName>
    <definedName name="MLF_cereal" localSheetId="0">[1]d!$K$52</definedName>
    <definedName name="MLF_cereal">d!$N$125</definedName>
    <definedName name="MLF_citrus" localSheetId="0">[1]d!$K$37</definedName>
    <definedName name="MLF_citrus">d!$N$109</definedName>
    <definedName name="MLF_corn" localSheetId="0">[1]d!$K$38</definedName>
    <definedName name="MLF_corn">d!$N$110</definedName>
    <definedName name="MLF_cucumber" localSheetId="0">[1]d!$K$39</definedName>
    <definedName name="MLF_cucumber">d!$N$111</definedName>
    <definedName name="MLF_lettuce" localSheetId="0">[1]d!$K$40</definedName>
    <definedName name="MLF_lettuce">d!$N$112</definedName>
    <definedName name="MLF_lima_bean" localSheetId="0">[1]d!$K$41</definedName>
    <definedName name="MLF_lima_bean">d!$N$113</definedName>
    <definedName name="MLF_okra" localSheetId="0">[1]d!$K$42</definedName>
    <definedName name="MLF_okra">d!$N$114</definedName>
    <definedName name="MLF_onion" localSheetId="0">[1]d!$K$43</definedName>
    <definedName name="MLF_onion">d!$N$115</definedName>
    <definedName name="MLF_pasture" localSheetId="0">[1]d!$Q$68</definedName>
    <definedName name="MLF_pasture">d!$Q$72</definedName>
    <definedName name="MLF_peach" localSheetId="0">[1]d!$K$44</definedName>
    <definedName name="MLF_peach">d!$N$116</definedName>
    <definedName name="MLF_pear" localSheetId="0">[1]d!$K$45</definedName>
    <definedName name="MLF_pear">d!$N$117</definedName>
    <definedName name="MLF_peas" localSheetId="0">[1]d!$K$46</definedName>
    <definedName name="MLF_peas">d!$N$118</definedName>
    <definedName name="MLF_peppers">d!$N$119</definedName>
    <definedName name="MLF_potato" localSheetId="0">[1]d!$K$47</definedName>
    <definedName name="MLF_potato">d!$N$120</definedName>
    <definedName name="MLF_pumpkin" localSheetId="0">[1]d!$K$48</definedName>
    <definedName name="MLF_pumpkin">d!$N$121</definedName>
    <definedName name="MLF_rice" localSheetId="0">[1]d!$K$53</definedName>
    <definedName name="MLF_rice">d!$N$126</definedName>
    <definedName name="MLF_snap_bean" localSheetId="0">[1]d!$K$49</definedName>
    <definedName name="MLF_snap_bean">d!$N$122</definedName>
    <definedName name="MLF_strawberry" localSheetId="0">[1]d!$K$50</definedName>
    <definedName name="MLF_strawberry">d!$N$123</definedName>
    <definedName name="MLF_tomato" localSheetId="0">[1]d!$K$51</definedName>
    <definedName name="MLF_tomato">d!$N$124</definedName>
    <definedName name="P" localSheetId="0">[1]d!$B$11</definedName>
    <definedName name="P">d!$B$10</definedName>
    <definedName name="PEF_wind" localSheetId="0">[1]d!$B$27</definedName>
    <definedName name="PEF_wind">d!$B$26</definedName>
    <definedName name="Q_C_wind" localSheetId="0">[1]d!$B$32</definedName>
    <definedName name="Q_C_wind">d!$B$31</definedName>
    <definedName name="Q_p_beef" localSheetId="0">[1]d!$Q$49</definedName>
    <definedName name="Q_p_beef">d!$Q$53</definedName>
    <definedName name="Q_p_dairy" localSheetId="0">[1]d!$Q$44</definedName>
    <definedName name="Q_p_dairy">d!$Q$48</definedName>
    <definedName name="Q_p_egg">d!$Q$58</definedName>
    <definedName name="Q_p_fowl" localSheetId="0">[1]d!$H$28</definedName>
    <definedName name="Q_p_fowl">d!$H$28</definedName>
    <definedName name="Q_p_game" localSheetId="0">[1]d!$H$33</definedName>
    <definedName name="Q_p_game">d!$H$33</definedName>
    <definedName name="Q_p_goat">d!$Q$80</definedName>
    <definedName name="Q_p_goat_milk">d!$Q$85</definedName>
    <definedName name="Q_p_poultry" localSheetId="0">[1]d!$Q$59</definedName>
    <definedName name="Q_p_poultry">d!$Q$63</definedName>
    <definedName name="Q_p_sheep">d!$Q$75</definedName>
    <definedName name="Q_p_sheep_milk">d!$Q$90</definedName>
    <definedName name="Q_p_swine" localSheetId="0">[1]d!$Q$64</definedName>
    <definedName name="Q_p_swine">d!$Q$68</definedName>
    <definedName name="Q_s_beef" localSheetId="0">[1]d!$Q$50</definedName>
    <definedName name="Q_s_beef">d!$Q$54</definedName>
    <definedName name="Q_s_dairy" localSheetId="0">[1]d!$Q$45</definedName>
    <definedName name="Q_s_dairy">d!$Q$49</definedName>
    <definedName name="Q_s_egg">d!$Q$59</definedName>
    <definedName name="Q_s_fowl" localSheetId="0">[1]d!$H$29</definedName>
    <definedName name="Q_s_fowl">d!$H$29</definedName>
    <definedName name="Q_s_game" localSheetId="0">[1]d!$H$34</definedName>
    <definedName name="Q_s_game">d!$H$34</definedName>
    <definedName name="Q_s_poultry" localSheetId="0">[1]d!$Q$60</definedName>
    <definedName name="Q_s_poultry">d!$Q$64</definedName>
    <definedName name="Q_s_sheep">d!$Q$76</definedName>
    <definedName name="Q_s_sheep_milk">d!$Q$91</definedName>
    <definedName name="Q_s_swine" localSheetId="0">[1]d!$Q$65</definedName>
    <definedName name="Q_s_swine">d!$Q$69</definedName>
    <definedName name="Q_w_beef" localSheetId="0">[1]d!$Q$48</definedName>
    <definedName name="Q_w_beef">d!$Q$52</definedName>
    <definedName name="Q_w_dairy" localSheetId="0">[1]d!$Q$42</definedName>
    <definedName name="Q_w_dairy">d!$Q$46</definedName>
    <definedName name="Q_w_egg">d!$Q$57</definedName>
    <definedName name="Q_w_fowl" localSheetId="0">[1]d!$H$32</definedName>
    <definedName name="Q_w_fowl">d!$H$32</definedName>
    <definedName name="Q_w_game" localSheetId="0">[1]d!$H$37</definedName>
    <definedName name="Q_w_game">d!$H$37</definedName>
    <definedName name="Q_w_goat">d!$Q$79</definedName>
    <definedName name="Q_w_goat_milk">d!$Q$84</definedName>
    <definedName name="Q_w_poultry" localSheetId="0">[1]d!$Q$58</definedName>
    <definedName name="Q_w_poultry">d!$Q$62</definedName>
    <definedName name="Q_w_sheep">d!$Q$74</definedName>
    <definedName name="Q_w_sheep_milk">d!$Q$89</definedName>
    <definedName name="Q_w_swine" localSheetId="0">[1]d!$Q$63</definedName>
    <definedName name="Q_w_swine">d!$Q$67</definedName>
    <definedName name="R_es_past" localSheetId="0">[1]d!$Q$69</definedName>
    <definedName name="R_es_past">d!$Q$73</definedName>
    <definedName name="s_A_wind" localSheetId="0">[1]ss!$B$34</definedName>
    <definedName name="s_A_wind">ss!$B$33</definedName>
    <definedName name="s_As" localSheetId="0">[1]ss!$B$33</definedName>
    <definedName name="s_As">ss!$B$32</definedName>
    <definedName name="s_B_wind" localSheetId="0">[1]ss!$B$35</definedName>
    <definedName name="s_B_wind">ss!$B$34</definedName>
    <definedName name="s_BW_a">ss!#REF!</definedName>
    <definedName name="s_BW_c">ss!#REF!</definedName>
    <definedName name="s_C" localSheetId="0">[1]ss!$B$38</definedName>
    <definedName name="s_C">ss!$B$37</definedName>
    <definedName name="s_C_wind" localSheetId="0">[1]ss!$B$36</definedName>
    <definedName name="s_C_wind">ss!$B$35</definedName>
    <definedName name="s_CF_apple" localSheetId="0">[1]ss!$N$2</definedName>
    <definedName name="s_CF_apple">ss!$N$2</definedName>
    <definedName name="s_CF_asparagus" localSheetId="0">[1]ss!$N$3</definedName>
    <definedName name="s_CF_asparagus">ss!$N$3</definedName>
    <definedName name="s_CF_beet" localSheetId="0">[1]ss!$N$4</definedName>
    <definedName name="s_CF_beet">ss!$N$4</definedName>
    <definedName name="s_CF_berries" localSheetId="0">[1]ss!$N$5</definedName>
    <definedName name="s_CF_berries">ss!$N$5</definedName>
    <definedName name="s_CF_broccoli" localSheetId="0">[1]ss!$N$6</definedName>
    <definedName name="s_CF_broccoli">ss!$N$6</definedName>
    <definedName name="s_CF_cabbage" localSheetId="0">[1]ss!$N$7</definedName>
    <definedName name="s_CF_cabbage">ss!$N$7</definedName>
    <definedName name="s_CF_carrot" localSheetId="0">[1]ss!$N$8</definedName>
    <definedName name="s_CF_carrot">ss!$N$8</definedName>
    <definedName name="s_CF_cereal" localSheetId="0">[1]ss!$N$24</definedName>
    <definedName name="s_CF_cereal">ss!$N$25</definedName>
    <definedName name="s_CF_citrus" localSheetId="0">[1]ss!$N$9</definedName>
    <definedName name="s_CF_citrus">ss!$N$9</definedName>
    <definedName name="s_CF_corn" localSheetId="0">[1]ss!$N$10</definedName>
    <definedName name="s_CF_corn">ss!$N$10</definedName>
    <definedName name="s_CF_cucumber" localSheetId="0">[1]ss!$N$11</definedName>
    <definedName name="s_CF_cucumber">ss!$N$11</definedName>
    <definedName name="s_CF_far_beef" localSheetId="0">[1]ss!$Q$2</definedName>
    <definedName name="s_CF_far_beef">ss!$Q$2</definedName>
    <definedName name="s_CF_far_dairy" localSheetId="0">[1]ss!$Q$3</definedName>
    <definedName name="s_CF_far_dairy">ss!$Q$3</definedName>
    <definedName name="s_CF_far_egg" localSheetId="0">[1]ss!$Q$5</definedName>
    <definedName name="s_CF_far_egg">ss!$Q$5</definedName>
    <definedName name="s_CF_far_fish" localSheetId="0">[1]ss!$Q$6</definedName>
    <definedName name="s_CF_far_fish">ss!$Q$6</definedName>
    <definedName name="s_CF_far_goat" localSheetId="0">[1]ss!$Q$9</definedName>
    <definedName name="s_CF_far_goat">ss!$Q$10</definedName>
    <definedName name="s_CF_far_goat_milk" localSheetId="0">[1]ss!$Q$11</definedName>
    <definedName name="s_CF_far_goat_milk">ss!$Q$12</definedName>
    <definedName name="s_CF_far_poultry" localSheetId="0">[1]ss!$Q$4</definedName>
    <definedName name="s_CF_far_poultry">ss!$Q$4</definedName>
    <definedName name="s_CF_far_sheep" localSheetId="0">[1]ss!$Q$8</definedName>
    <definedName name="s_CF_far_sheep">ss!$Q$9</definedName>
    <definedName name="s_CF_far_sheep_milk" localSheetId="0">[1]ss!$Q$10</definedName>
    <definedName name="s_CF_far_sheep_milk">ss!$Q$11</definedName>
    <definedName name="s_CF_far_shellfish">ss!$Q$7</definedName>
    <definedName name="s_CF_far_swine" localSheetId="0">[1]ss!$Q$7</definedName>
    <definedName name="s_CF_far_swine">ss!$Q$8</definedName>
    <definedName name="s_CF_fowl" localSheetId="0">[1]ss!$H$38</definedName>
    <definedName name="s_CF_fowl">ss!$H$38</definedName>
    <definedName name="s_CF_game" localSheetId="0">[1]ss!$H$39</definedName>
    <definedName name="s_CF_game">ss!$H$39</definedName>
    <definedName name="s_CF_lettuce" localSheetId="0">[1]ss!$N$12</definedName>
    <definedName name="s_CF_lettuce">ss!$N$12</definedName>
    <definedName name="s_CF_lima_bean" localSheetId="0">[1]ss!$N$13</definedName>
    <definedName name="s_CF_lima_bean">ss!$N$13</definedName>
    <definedName name="s_CF_okra" localSheetId="0">[1]ss!$N$14</definedName>
    <definedName name="s_CF_okra">ss!$N$14</definedName>
    <definedName name="s_CF_onion" localSheetId="0">[1]ss!$N$15</definedName>
    <definedName name="s_CF_onion">ss!$N$15</definedName>
    <definedName name="s_CF_peach" localSheetId="0">[1]ss!$N$16</definedName>
    <definedName name="s_CF_peach">ss!$N$16</definedName>
    <definedName name="s_CF_pear" localSheetId="0">[1]ss!$N$17</definedName>
    <definedName name="s_CF_pear">ss!$N$17</definedName>
    <definedName name="s_CF_peas" localSheetId="0">[1]ss!$N$18</definedName>
    <definedName name="s_CF_peas">ss!$N$18</definedName>
    <definedName name="s_CF_peppers">ss!$N$19</definedName>
    <definedName name="s_CF_potato" localSheetId="0">[1]ss!$N$19</definedName>
    <definedName name="s_CF_potato">ss!$N$20</definedName>
    <definedName name="s_CF_pumpkin" localSheetId="0">[1]ss!$N$20</definedName>
    <definedName name="s_CF_pumpkin">ss!$N$21</definedName>
    <definedName name="s_CF_res_fish" localSheetId="0">[1]ss!$E$29</definedName>
    <definedName name="s_CF_res_fish">ss!$E$29</definedName>
    <definedName name="s_CF_rice" localSheetId="0">[1]ss!$N$25</definedName>
    <definedName name="s_CF_rice">ss!$N$26</definedName>
    <definedName name="s_CF_snap_bean" localSheetId="0">[1]ss!$N$21</definedName>
    <definedName name="s_CF_snap_bean">ss!$N$22</definedName>
    <definedName name="s_CF_strawberry" localSheetId="0">[1]ss!$N$22</definedName>
    <definedName name="s_CF_strawberry">ss!$N$23</definedName>
    <definedName name="s_CF_tomato" localSheetId="0">[1]ss!$N$23</definedName>
    <definedName name="s_CF_tomato">ss!$N$24</definedName>
    <definedName name="s_d_a" localSheetId="0">[1]ss!$B$24</definedName>
    <definedName name="s_d_a">ss!$B$23</definedName>
    <definedName name="s_D_milk" localSheetId="0">[1]ss!$Q$43</definedName>
    <definedName name="s_D_milk">ss!$Q$47</definedName>
    <definedName name="s_d_s" localSheetId="0">[1]ss!$B$25</definedName>
    <definedName name="s_d_s">ss!$B$24</definedName>
    <definedName name="s_DAF">ss!$B$38</definedName>
    <definedName name="s_DF_i">ss!$K$28</definedName>
    <definedName name="s_DFA_far_adj" localSheetId="0">[1]ss!$K$9</definedName>
    <definedName name="s_DFA_far_adj">ss!$K$9</definedName>
    <definedName name="s_DFA_rec_adj" localSheetId="0">[1]ss!$H$9</definedName>
    <definedName name="s_DFA_rec_adj">ss!$H$9</definedName>
    <definedName name="s_DFA_res_adj" localSheetId="0">[1]ss!$E$9</definedName>
    <definedName name="s_DFA_res_adj">ss!$E$9</definedName>
    <definedName name="s_dm" localSheetId="0">[1]ss!$B$26</definedName>
    <definedName name="s_dm">ss!$B$25</definedName>
    <definedName name="s_ED_far" localSheetId="0">[1]ss!$K$4</definedName>
    <definedName name="s_ED_far">ss!$K$4</definedName>
    <definedName name="s_ED_far_a" localSheetId="0">[1]ss!$K$3</definedName>
    <definedName name="s_ED_far_a">ss!$K$3</definedName>
    <definedName name="s_ED_far_c" localSheetId="0">[1]ss!$K$2</definedName>
    <definedName name="s_ED_far_c">ss!$K$2</definedName>
    <definedName name="s_ED_rec" localSheetId="0">[1]ss!$H$4</definedName>
    <definedName name="s_ED_rec">ss!$H$4</definedName>
    <definedName name="s_ED_rec_a" localSheetId="0">[1]ss!$H$3</definedName>
    <definedName name="s_ED_rec_a">ss!$H$3</definedName>
    <definedName name="s_ED_rec_c" localSheetId="0">[1]ss!$H$2</definedName>
    <definedName name="s_ED_rec_c">ss!$H$2</definedName>
    <definedName name="s_ED_res" localSheetId="0">[1]ss!$E$4</definedName>
    <definedName name="s_ED_res">ss!$E$4</definedName>
    <definedName name="s_ED_res_a" localSheetId="0">[1]ss!$E$3</definedName>
    <definedName name="s_ED_res_a">ss!$E$3</definedName>
    <definedName name="s_ED_res_c" localSheetId="0">[1]ss!$E$2</definedName>
    <definedName name="s_ED_res_c">ss!$E$2</definedName>
    <definedName name="s_ED_s2gw" localSheetId="0">[1]ss!$B$19</definedName>
    <definedName name="s_ED_s2gw">ss!$B$18</definedName>
    <definedName name="s_EF_far" localSheetId="0">[1]ss!$K$18</definedName>
    <definedName name="s_EF_far">ss!$K$18</definedName>
    <definedName name="s_EF_far_a" localSheetId="0">[1]ss!$K$17</definedName>
    <definedName name="s_EF_far_a">ss!$K$17</definedName>
    <definedName name="s_EF_far_c" localSheetId="0">[1]ss!$K$16</definedName>
    <definedName name="s_EF_far_c">ss!$K$16</definedName>
    <definedName name="s_EF_rec" localSheetId="0">[1]ss!$H$20</definedName>
    <definedName name="s_EF_rec">ss!$H$20</definedName>
    <definedName name="s_EF_rec_a" localSheetId="0">[1]ss!$H$19</definedName>
    <definedName name="s_EF_rec_a">ss!$H$19</definedName>
    <definedName name="s_EF_rec_c" localSheetId="0">[1]ss!$H$18</definedName>
    <definedName name="s_EF_rec_c">ss!$H$18</definedName>
    <definedName name="s_EF_res" localSheetId="0">[1]ss!$E$19</definedName>
    <definedName name="s_EF_res">ss!$E$19</definedName>
    <definedName name="s_EF_res_a" localSheetId="0">[1]ss!$E$18</definedName>
    <definedName name="s_EF_res_a">ss!$E$18</definedName>
    <definedName name="s_EF_res_c" localSheetId="0">[1]ss!$E$17</definedName>
    <definedName name="s_EF_res_c">ss!$E$17</definedName>
    <definedName name="s_ET_event_far_a" localSheetId="0">[1]ss!$K$23</definedName>
    <definedName name="s_ET_event_far_a">ss!$K$23</definedName>
    <definedName name="s_ET_event_far_c" localSheetId="0">[1]ss!$K$22</definedName>
    <definedName name="s_ET_event_far_c">ss!$K$22</definedName>
    <definedName name="s_ET_event_rec_a" localSheetId="0">[1]ss!$H$25</definedName>
    <definedName name="s_ET_event_rec_a">ss!$H$25</definedName>
    <definedName name="s_ET_event_rec_c" localSheetId="0">[1]ss!$H$24</definedName>
    <definedName name="s_ET_event_rec_c">ss!$H$24</definedName>
    <definedName name="s_ET_event_res_a" localSheetId="0">[1]ss!$E$21</definedName>
    <definedName name="s_ET_event_res_a">ss!$E$21</definedName>
    <definedName name="s_ET_event_res_c" localSheetId="0">[1]ss!$E$20</definedName>
    <definedName name="s_ET_event_res_c">ss!$E$20</definedName>
    <definedName name="s_ET_far" localSheetId="0">[1]ss!$K$21</definedName>
    <definedName name="s_ET_far">ss!$K$21</definedName>
    <definedName name="s_ET_far_a" localSheetId="0">[1]ss!$K$20</definedName>
    <definedName name="s_ET_far_a">ss!$K$20</definedName>
    <definedName name="s_ET_far_c" localSheetId="0">[1]ss!$K$19</definedName>
    <definedName name="s_ET_far_c">ss!$K$19</definedName>
    <definedName name="s_ET_far_i" localSheetId="0">[1]ss!$K$25</definedName>
    <definedName name="s_ET_far_i">ss!$K$25</definedName>
    <definedName name="s_ET_far_o" localSheetId="0">[1]ss!$K$24</definedName>
    <definedName name="s_ET_far_o">ss!$K$24</definedName>
    <definedName name="s_ET_rec" localSheetId="0">[1]ss!$H$21</definedName>
    <definedName name="s_ET_rec">ss!$H$21</definedName>
    <definedName name="s_ET_rec_a" localSheetId="0">[1]ss!$H$23</definedName>
    <definedName name="s_ET_rec_a">ss!$H$23</definedName>
    <definedName name="s_ET_rec_c" localSheetId="0">[1]ss!$H$22</definedName>
    <definedName name="s_ET_rec_c">ss!$H$22</definedName>
    <definedName name="s_ET_res" localSheetId="0">[1]ss!$E$24</definedName>
    <definedName name="s_ET_res">ss!$E$24</definedName>
    <definedName name="s_ET_res_a" localSheetId="0">[1]ss!$E$23</definedName>
    <definedName name="s_ET_res_a">ss!$E$23</definedName>
    <definedName name="s_ET_res_c" localSheetId="0">[1]ss!$E$22</definedName>
    <definedName name="s_ET_res_c">ss!$E$22</definedName>
    <definedName name="s_ET_res_i" localSheetId="0">[1]ss!$E$28</definedName>
    <definedName name="s_ET_res_i">ss!$E$28</definedName>
    <definedName name="s_ET_res_o" localSheetId="0">[1]ss!$E$27</definedName>
    <definedName name="s_ET_res_o">ss!$E$27</definedName>
    <definedName name="s_EV_far_a" localSheetId="0">[1]ss!$K$27</definedName>
    <definedName name="s_EV_far_a">ss!$K$27</definedName>
    <definedName name="s_EV_far_c" localSheetId="0">[1]ss!$K$26</definedName>
    <definedName name="s_EV_far_c">ss!$K$26</definedName>
    <definedName name="s_EV_rec_a" localSheetId="0">[1]ss!$H$27</definedName>
    <definedName name="s_EV_rec_a">ss!$H$27</definedName>
    <definedName name="s_EV_rec_c" localSheetId="0">[1]ss!$H$26</definedName>
    <definedName name="s_EV_rec_c">ss!$H$26</definedName>
    <definedName name="s_EV_res_a" localSheetId="0">[1]ss!$E$26</definedName>
    <definedName name="s_EV_res_a">ss!$E$26</definedName>
    <definedName name="s_EV_res_c" localSheetId="0">[1]ss!$E$25</definedName>
    <definedName name="s_EV_res_c">ss!$E$25</definedName>
    <definedName name="s_F" localSheetId="0">[1]ss!$B$9</definedName>
    <definedName name="s_F">ss!$B$8</definedName>
    <definedName name="s_f_p_beef" localSheetId="0">[1]ss!$Q$51</definedName>
    <definedName name="s_f_p_beef">ss!$Q$55</definedName>
    <definedName name="s_f_p_dairy" localSheetId="0">[1]ss!$Q$46</definedName>
    <definedName name="s_f_p_dairy">ss!$Q$50</definedName>
    <definedName name="s_f_p_egg" localSheetId="0">[1]ss!$Q$56</definedName>
    <definedName name="s_f_p_egg">ss!$Q$60</definedName>
    <definedName name="s_f_p_fowl" localSheetId="0">[1]ss!$H$30</definedName>
    <definedName name="s_f_p_fowl">ss!$H$30</definedName>
    <definedName name="s_f_p_game" localSheetId="0">[1]ss!$H$35</definedName>
    <definedName name="s_f_p_game">ss!$H$35</definedName>
    <definedName name="s_f_p_goat" localSheetId="0">[1]ss!$Q$78</definedName>
    <definedName name="s_f_p_goat">ss!$Q$82</definedName>
    <definedName name="s_f_p_goat_milk" localSheetId="0">[1]ss!$Q$83</definedName>
    <definedName name="s_f_p_goat_milk">ss!$Q$87</definedName>
    <definedName name="s_f_p_poultry" localSheetId="0">[1]ss!$Q$61</definedName>
    <definedName name="s_f_p_poultry">ss!$Q$65</definedName>
    <definedName name="s_f_p_sheep" localSheetId="0">[1]ss!$Q$73</definedName>
    <definedName name="s_f_p_sheep">ss!$Q$77</definedName>
    <definedName name="s_f_p_sheep_milk" localSheetId="0">[1]ss!$Q$88</definedName>
    <definedName name="s_f_p_sheep_milk">ss!$Q$92</definedName>
    <definedName name="s_f_p_swine" localSheetId="0">[1]ss!$Q$66</definedName>
    <definedName name="s_f_p_swine">ss!$Q$70</definedName>
    <definedName name="s_f_s_beef" localSheetId="0">[1]ss!$Q$52</definedName>
    <definedName name="s_f_s_beef">ss!$Q$56</definedName>
    <definedName name="s_f_s_dairy" localSheetId="0">[1]ss!$Q$47</definedName>
    <definedName name="s_f_s_dairy">ss!$Q$51</definedName>
    <definedName name="s_f_s_egg" localSheetId="0">[1]ss!$Q$57</definedName>
    <definedName name="s_f_s_egg">ss!$Q$61</definedName>
    <definedName name="s_f_s_fowl" localSheetId="0">[1]ss!$H$31</definedName>
    <definedName name="s_f_s_fowl">ss!$H$31</definedName>
    <definedName name="s_f_s_game" localSheetId="0">[1]ss!$H$36</definedName>
    <definedName name="s_f_s_game">ss!$H$36</definedName>
    <definedName name="s_f_s_goat" localSheetId="0">[1]ss!$Q$79</definedName>
    <definedName name="s_f_s_goat">ss!$Q$83</definedName>
    <definedName name="s_f_s_goat_milk" localSheetId="0">[1]ss!$Q$84</definedName>
    <definedName name="s_f_s_goat_milk">ss!$Q$88</definedName>
    <definedName name="s_f_s_poultry" localSheetId="0">[1]ss!$Q$62</definedName>
    <definedName name="s_f_s_poultry">ss!$Q$66</definedName>
    <definedName name="s_f_s_sheep" localSheetId="0">[1]ss!$Q$74</definedName>
    <definedName name="s_f_s_sheep">ss!$Q$78</definedName>
    <definedName name="s_f_s_sheep_milk" localSheetId="0">[1]ss!$Q$89</definedName>
    <definedName name="s_f_s_sheep_milk">ss!$Q$93</definedName>
    <definedName name="s_f_s_swine" localSheetId="0">[1]ss!$Q$67</definedName>
    <definedName name="s_f_s_swine">ss!$Q$71</definedName>
    <definedName name="s_F_x" localSheetId="0">[1]ss!$B$30</definedName>
    <definedName name="s_F_x">ss!$B$29</definedName>
    <definedName name="s_GSF_a" localSheetId="0">[1]ss!$B$4</definedName>
    <definedName name="s_GSF_a">ss!$B$4</definedName>
    <definedName name="s_GSF_i">ss!$B$5</definedName>
    <definedName name="s_GSF_o" localSheetId="0">[1]ss!$B$6</definedName>
    <definedName name="s_GSF_o">ss!#REF!</definedName>
    <definedName name="s_I_f" localSheetId="0">[1]ss!$B$12</definedName>
    <definedName name="s_I_f">ss!$B$11</definedName>
    <definedName name="s_i_s2gw" localSheetId="0">[1]ss!$B$21</definedName>
    <definedName name="s_i_s2gw">ss!$B$20</definedName>
    <definedName name="s_IFA_far_adj" localSheetId="0">[1]ss!$K$8</definedName>
    <definedName name="s_IFA_far_adj">ss!$K$8</definedName>
    <definedName name="s_IFA_rec_adj" localSheetId="0">[1]ss!$H$8</definedName>
    <definedName name="s_IFA_rec_adj">ss!$H$8</definedName>
    <definedName name="s_IFA_res_adj" localSheetId="0">[1]ss!$E$8</definedName>
    <definedName name="s_IFA_res_adj">ss!$E$8</definedName>
    <definedName name="s_IFAP_far_adj" localSheetId="0">[1]ss!$N$28</definedName>
    <definedName name="s_IFAP_far_adj">ss!$N$29</definedName>
    <definedName name="s_IFAP_res_adj" localSheetId="0">[1]ss!$E$32</definedName>
    <definedName name="s_IFAP_res_adj">ss!$E$32</definedName>
    <definedName name="s_IFAS_far_adj" localSheetId="0">[1]ss!$N$31</definedName>
    <definedName name="s_IFAS_far_adj">ss!$N$32</definedName>
    <definedName name="s_IFAS_res_adj" localSheetId="0">[1]ss!$E$35</definedName>
    <definedName name="s_IFAS_res_adj">ss!$E$35</definedName>
    <definedName name="s_IFB_far_adj" localSheetId="0">[1]ss!$Q$14</definedName>
    <definedName name="s_IFB_far_adj">ss!$Q$15</definedName>
    <definedName name="s_IFBE_far_adj" localSheetId="0">[1]ss!$N$37</definedName>
    <definedName name="s_IFBE_far_adj">ss!$N$38</definedName>
    <definedName name="s_IFBE_res_adj" localSheetId="0">[1]ss!$E$41</definedName>
    <definedName name="s_IFBE_res_adj">ss!$E$41</definedName>
    <definedName name="s_IFBR_far_adj" localSheetId="0">[1]ss!$N$40</definedName>
    <definedName name="s_IFBR_far_adj">ss!$N$41</definedName>
    <definedName name="s_IFBR_res_adj" localSheetId="0">[1]ss!$E$44</definedName>
    <definedName name="s_IFBR_res_adj">ss!$E$44</definedName>
    <definedName name="s_IFBT_far_adj" localSheetId="0">[1]ss!$N$34</definedName>
    <definedName name="s_IFBT_far_adj">ss!$N$35</definedName>
    <definedName name="s_IFBT_res_adj" localSheetId="0">[1]ss!$E$38</definedName>
    <definedName name="s_IFBT_res_adj">ss!$E$38</definedName>
    <definedName name="s_IFCB_far_adj" localSheetId="0">[1]ss!$N$43</definedName>
    <definedName name="s_IFCB_far_adj">ss!$N$44</definedName>
    <definedName name="s_IFCB_res_adj" localSheetId="0">[1]ss!$E$47</definedName>
    <definedName name="s_IFCB_res_adj">ss!$E$47</definedName>
    <definedName name="s_IFCG_far_adj" localSheetId="0">[1]ss!$N$49</definedName>
    <definedName name="s_IFCG_far_adj">ss!$N$50</definedName>
    <definedName name="s_IFCG_res_adj" localSheetId="0">[1]ss!$E$53</definedName>
    <definedName name="s_IFCG_res_adj">ss!$E$53</definedName>
    <definedName name="s_IFCI_far_adj" localSheetId="0">[1]ss!$N$52</definedName>
    <definedName name="s_IFCI_far_adj">ss!$N$53</definedName>
    <definedName name="s_IFCI_res_adj" localSheetId="0">[1]ss!$E$56</definedName>
    <definedName name="s_IFCI_res_adj">ss!$E$56</definedName>
    <definedName name="s_IFCO_far_adj" localSheetId="0">[1]ss!$N$55</definedName>
    <definedName name="s_IFCO_far_adj">ss!$N$56</definedName>
    <definedName name="s_IFCO_res_adj" localSheetId="0">[1]ss!$E$59</definedName>
    <definedName name="s_IFCO_res_adj">ss!$E$59</definedName>
    <definedName name="s_IFCR_far_adj" localSheetId="0">[1]ss!$N$46</definedName>
    <definedName name="s_IFCR_far_adj">ss!$N$47</definedName>
    <definedName name="s_IFCR_res_adj" localSheetId="0">[1]ss!$E$50</definedName>
    <definedName name="s_IFCR_res_adj">ss!$E$50</definedName>
    <definedName name="s_IFCU_far_adj" localSheetId="0">[1]ss!$N$58</definedName>
    <definedName name="s_IFCU_far_adj">ss!$N$59</definedName>
    <definedName name="s_IFCU_res_adj" localSheetId="0">[1]ss!$E$62</definedName>
    <definedName name="s_IFCU_res_adj">ss!$E$62</definedName>
    <definedName name="s_IFD_far_adj" localSheetId="0">[1]ss!$Q$17</definedName>
    <definedName name="s_IFD_far_adj">ss!$Q$18</definedName>
    <definedName name="s_IFE_far_adj" localSheetId="0">[1]ss!$Q$20</definedName>
    <definedName name="s_IFE_far_adj">ss!$Q$21</definedName>
    <definedName name="s_IFFI_far_adj" localSheetId="0">[1]ss!$Q$26</definedName>
    <definedName name="s_IFFI_far_adj">ss!$Q$27</definedName>
    <definedName name="s_IFGM_far_adj" localSheetId="0">[1]ss!$Q$41</definedName>
    <definedName name="s_IFGM_far_adj">ss!$Q$45</definedName>
    <definedName name="s_IFGO_far_adj" localSheetId="0">[1]ss!$Q$35</definedName>
    <definedName name="s_IFGO_far_adj">ss!$Q$39</definedName>
    <definedName name="s_IFLE_far_adj" localSheetId="0">[1]ss!$N$61</definedName>
    <definedName name="s_IFLE_far_adj">ss!$N$62</definedName>
    <definedName name="s_IFLE_res_adj" localSheetId="0">[1]ss!$E$65</definedName>
    <definedName name="s_IFLE_res_adj">ss!$E$65</definedName>
    <definedName name="s_IFLI_far_adj" localSheetId="0">[1]ss!$N$64</definedName>
    <definedName name="s_IFLI_far_adj">ss!$N$65</definedName>
    <definedName name="s_IFLI_res_adj" localSheetId="0">[1]ss!$E$68</definedName>
    <definedName name="s_IFLI_res_adj">ss!$E$68</definedName>
    <definedName name="s_IFOK_far_adj" localSheetId="0">[1]ss!$N$67</definedName>
    <definedName name="s_IFOK_far_adj">ss!$N$68</definedName>
    <definedName name="s_IFOK_res_adj" localSheetId="0">[1]ss!$E$71</definedName>
    <definedName name="s_IFOK_res_adj">ss!$E$71</definedName>
    <definedName name="s_IFON_far_adj" localSheetId="0">[1]ss!$N$70</definedName>
    <definedName name="s_IFON_far_adj">ss!$N$71</definedName>
    <definedName name="s_IFON_res_adj" localSheetId="0">[1]ss!$E$74</definedName>
    <definedName name="s_IFON_res_adj">ss!$E$74</definedName>
    <definedName name="s_IFP_far_adj" localSheetId="0">[1]ss!$Q$23</definedName>
    <definedName name="s_IFP_far_adj">ss!$Q$24</definedName>
    <definedName name="s_IFPC_far_adj" localSheetId="0">[1]ss!$N$73</definedName>
    <definedName name="s_IFPC_far_adj">ss!$N$74</definedName>
    <definedName name="s_IFPC_res_adj" localSheetId="0">[1]ss!$E$77</definedName>
    <definedName name="s_IFPC_res_adj">ss!$E$77</definedName>
    <definedName name="s_IFPE_far_adj" localSheetId="0">[1]ss!$N$79</definedName>
    <definedName name="s_IFPE_far_adj">ss!$N$83</definedName>
    <definedName name="s_IFPE_res_adj" localSheetId="0">[1]ss!$E$83</definedName>
    <definedName name="s_IFPE_res_adj">ss!$E$86</definedName>
    <definedName name="s_IFPP_far_adj">ss!$N$77</definedName>
    <definedName name="s_IFPP_res_adj">ss!$E$80</definedName>
    <definedName name="s_IFPR_far_adj" localSheetId="0">[1]ss!$N$76</definedName>
    <definedName name="s_IFPR_far_adj">ss!$N$80</definedName>
    <definedName name="s_IFPR_res_adj" localSheetId="0">[1]ss!$E$80</definedName>
    <definedName name="s_IFPR_res_adj">ss!$E$83</definedName>
    <definedName name="s_IFPT_far_adj" localSheetId="0">[1]ss!$N$82</definedName>
    <definedName name="s_IFPT_far_adj">ss!$N$86</definedName>
    <definedName name="s_IFPT_res_adj" localSheetId="0">[1]ss!$E$86</definedName>
    <definedName name="s_IFPT_res_adj">ss!$E$89</definedName>
    <definedName name="s_IFPU_far_adj" localSheetId="0">[1]ss!$N$85</definedName>
    <definedName name="s_IFPU_far_adj">ss!$N$89</definedName>
    <definedName name="s_IFPU_res_adj" localSheetId="0">[1]ss!$E$89</definedName>
    <definedName name="s_IFPU_res_adj">ss!$E$92</definedName>
    <definedName name="s_IFRI_far_adj" localSheetId="0">[1]ss!$N$88</definedName>
    <definedName name="s_IFRI_far_adj">ss!$N$92</definedName>
    <definedName name="s_IFRI_res_adj" localSheetId="0">[1]ss!$E$92</definedName>
    <definedName name="s_IFRI_res_adj">ss!$E$95</definedName>
    <definedName name="s_IFS_far_adj" localSheetId="0">[1]ss!$K$12</definedName>
    <definedName name="s_IFS_far_adj">ss!$K$12</definedName>
    <definedName name="s_IFS_rec_adj" localSheetId="0">[1]ss!$H$12</definedName>
    <definedName name="s_IFS_rec_adj">ss!$H$12</definedName>
    <definedName name="s_IFS_res_adj" localSheetId="0">[1]ss!$E$12</definedName>
    <definedName name="s_IFS_res_adj">ss!$E$12</definedName>
    <definedName name="s_IFSF_far_adj">ss!$Q$30</definedName>
    <definedName name="s_IFSH_far_adj" localSheetId="0">[1]ss!$Q$32</definedName>
    <definedName name="s_IFSH_far_adj">ss!$Q$36</definedName>
    <definedName name="s_IFSM_far_adj" localSheetId="0">[1]ss!$Q$38</definedName>
    <definedName name="s_IFSM_far_adj">ss!$Q$42</definedName>
    <definedName name="s_IFSN_far_adj" localSheetId="0">[1]ss!$N$91</definedName>
    <definedName name="s_IFSN_far_adj">ss!$N$95</definedName>
    <definedName name="s_IFSN_res_adj" localSheetId="0">[1]ss!$E$95</definedName>
    <definedName name="s_IFSN_res_adj">ss!$E$98</definedName>
    <definedName name="s_IFST_far_adj" localSheetId="0">[1]ss!$N$94</definedName>
    <definedName name="s_IFST_far_adj">ss!$N$98</definedName>
    <definedName name="s_IFST_res_adj" localSheetId="0">[1]ss!$E$98</definedName>
    <definedName name="s_IFST_res_adj">ss!$E$101</definedName>
    <definedName name="s_IFSW_far_adj" localSheetId="0">[1]ss!$Q$29</definedName>
    <definedName name="s_IFSW_far_adj">ss!$Q$33</definedName>
    <definedName name="s_IFTO_far_adj" localSheetId="0">[1]ss!$N$97</definedName>
    <definedName name="s_IFTO_far_adj">ss!$N$101</definedName>
    <definedName name="s_IFTO_res_adj" localSheetId="0">[1]ss!$E$101</definedName>
    <definedName name="s_IFTO_res_adj">ss!$E$104</definedName>
    <definedName name="s_IFW_far_adj" localSheetId="0">[1]ss!$K$15</definedName>
    <definedName name="s_IFW_far_adj">ss!$K$15</definedName>
    <definedName name="s_IFW_rec_adj" localSheetId="0">[1]ss!$H$15</definedName>
    <definedName name="s_IFW_rec_adj">ss!$H$15</definedName>
    <definedName name="s_IFW_res_adj" localSheetId="0">[1]ss!$E$15</definedName>
    <definedName name="s_IFW_res_adj">ss!$E$15</definedName>
    <definedName name="s_Ir" localSheetId="0">[1]ss!$B$8</definedName>
    <definedName name="s_Ir">ss!$B$7</definedName>
    <definedName name="s_IRA_far_a" localSheetId="0">[1]ss!$K$7</definedName>
    <definedName name="s_IRA_far_a">ss!$K$7</definedName>
    <definedName name="s_IRA_far_c" localSheetId="0">[1]ss!$K$6</definedName>
    <definedName name="s_IRA_far_c">ss!$K$6</definedName>
    <definedName name="s_IRA_rec_a" localSheetId="0">[1]ss!$H$7</definedName>
    <definedName name="s_IRA_rec_a">ss!$H$7</definedName>
    <definedName name="s_IRA_rec_c" localSheetId="0">[1]ss!$H$6</definedName>
    <definedName name="s_IRA_rec_c">ss!$H$6</definedName>
    <definedName name="s_IRA_res_a" localSheetId="0">[1]ss!$E$7</definedName>
    <definedName name="s_IRA_res_a">ss!$E$7</definedName>
    <definedName name="s_IRA_res_c" localSheetId="0">[1]ss!$E$6</definedName>
    <definedName name="s_IRA_res_c">ss!$E$6</definedName>
    <definedName name="s_IRAP_far_a" localSheetId="0">[1]ss!$N$27</definedName>
    <definedName name="s_IRAP_far_a">ss!$N$28</definedName>
    <definedName name="s_IRAP_far_c" localSheetId="0">[1]ss!$N$26</definedName>
    <definedName name="s_IRAP_far_c">ss!$N$27</definedName>
    <definedName name="s_IRAP_res_a" localSheetId="0">[1]ss!$E$31</definedName>
    <definedName name="s_IRAP_res_a">ss!$E$31</definedName>
    <definedName name="s_IRAP_res_c" localSheetId="0">[1]ss!$E$30</definedName>
    <definedName name="s_IRAP_res_c">ss!$E$30</definedName>
    <definedName name="s_IRAS_far_a" localSheetId="0">[1]ss!$N$30</definedName>
    <definedName name="s_IRAS_far_a">ss!$N$31</definedName>
    <definedName name="s_IRAS_far_c" localSheetId="0">[1]ss!$N$29</definedName>
    <definedName name="s_IRAS_far_c">ss!$N$30</definedName>
    <definedName name="s_IRAS_res_a" localSheetId="0">[1]ss!$E$34</definedName>
    <definedName name="s_IRAS_res_a">ss!$E$34</definedName>
    <definedName name="s_IRAS_res_c" localSheetId="0">[1]ss!$E$33</definedName>
    <definedName name="s_IRAS_res_c">ss!$E$33</definedName>
    <definedName name="s_IRB_far_a" localSheetId="0">[1]ss!$Q$13</definedName>
    <definedName name="s_IRB_far_a">ss!$Q$14</definedName>
    <definedName name="s_IRB_far_c" localSheetId="0">[1]ss!$Q$12</definedName>
    <definedName name="s_IRB_far_c">ss!$Q$13</definedName>
    <definedName name="s_IRBE_far_a" localSheetId="0">[1]ss!$N$36</definedName>
    <definedName name="s_IRBE_far_a">ss!$N$37</definedName>
    <definedName name="s_IRBE_far_c" localSheetId="0">[1]ss!$N$35</definedName>
    <definedName name="s_IRBE_far_c">ss!$N$36</definedName>
    <definedName name="s_IRBE_res_a" localSheetId="0">[1]ss!$E$40</definedName>
    <definedName name="s_IRBE_res_a">ss!$E$40</definedName>
    <definedName name="s_IRBE_res_c" localSheetId="0">[1]ss!$E$39</definedName>
    <definedName name="s_IRBE_res_c">ss!$E$39</definedName>
    <definedName name="s_IRBR_far_a" localSheetId="0">[1]ss!$N$39</definedName>
    <definedName name="s_IRBR_far_a">ss!$N$40</definedName>
    <definedName name="s_IRBR_far_c" localSheetId="0">[1]ss!$N$38</definedName>
    <definedName name="s_IRBR_far_c">ss!$N$39</definedName>
    <definedName name="s_IRBR_res_a" localSheetId="0">[1]ss!$E$43</definedName>
    <definedName name="s_IRBR_res_a">ss!$E$43</definedName>
    <definedName name="s_IRBR_res_c" localSheetId="0">[1]ss!$E$42</definedName>
    <definedName name="s_IRBR_res_c">ss!$E$42</definedName>
    <definedName name="s_IRBT_far_a" localSheetId="0">[1]ss!$N$33</definedName>
    <definedName name="s_IRBT_far_a">ss!$N$34</definedName>
    <definedName name="s_IRBT_far_c" localSheetId="0">[1]ss!$N$32</definedName>
    <definedName name="s_IRBT_far_c">ss!$N$33</definedName>
    <definedName name="s_IRBT_res_a" localSheetId="0">[1]ss!$E$37</definedName>
    <definedName name="s_IRBT_res_a">ss!$E$37</definedName>
    <definedName name="s_IRBT_res_c" localSheetId="0">[1]ss!$E$36</definedName>
    <definedName name="s_IRBT_res_c">ss!$E$36</definedName>
    <definedName name="s_IRCB_far_a" localSheetId="0">[1]ss!$N$42</definedName>
    <definedName name="s_IRCB_far_a">ss!$N$43</definedName>
    <definedName name="s_IRCB_far_c" localSheetId="0">[1]ss!$N$41</definedName>
    <definedName name="s_IRCB_far_c">ss!$N$42</definedName>
    <definedName name="s_IRCB_res_a" localSheetId="0">[1]ss!$E$46</definedName>
    <definedName name="s_IRCB_res_a">ss!$E$46</definedName>
    <definedName name="s_IRCB_res_c" localSheetId="0">[1]ss!$E$45</definedName>
    <definedName name="s_IRCB_res_c">ss!$E$45</definedName>
    <definedName name="s_IRCG_far_a" localSheetId="0">[1]ss!$N$48</definedName>
    <definedName name="s_IRCG_far_a">ss!$N$49</definedName>
    <definedName name="s_IRCG_far_c" localSheetId="0">[1]ss!$N$47</definedName>
    <definedName name="s_IRCG_far_c">ss!$N$48</definedName>
    <definedName name="s_IRCG_res_a" localSheetId="0">[1]ss!$E$52</definedName>
    <definedName name="s_IRCG_res_a">ss!$E$52</definedName>
    <definedName name="s_IRCG_res_c" localSheetId="0">[1]ss!$E$51</definedName>
    <definedName name="s_IRCG_res_c">ss!$E$51</definedName>
    <definedName name="s_IRCI_far_a" localSheetId="0">[1]ss!$N$51</definedName>
    <definedName name="s_IRCI_far_a">ss!$N$52</definedName>
    <definedName name="s_IRCI_far_c" localSheetId="0">[1]ss!$N$50</definedName>
    <definedName name="s_IRCI_far_c">ss!$N$51</definedName>
    <definedName name="s_IRCI_res_a" localSheetId="0">[1]ss!$E$55</definedName>
    <definedName name="s_IRCI_res_a">ss!$E$55</definedName>
    <definedName name="s_IRCI_res_c" localSheetId="0">[1]ss!$E$54</definedName>
    <definedName name="s_IRCI_res_c">ss!$E$54</definedName>
    <definedName name="s_IRCO_far_a" localSheetId="0">[1]ss!$N$54</definedName>
    <definedName name="s_IRCO_far_a">ss!$N$55</definedName>
    <definedName name="s_IRCO_far_c" localSheetId="0">[1]ss!$N$53</definedName>
    <definedName name="s_IRCO_far_c">ss!$N$54</definedName>
    <definedName name="s_IRCO_res_a" localSheetId="0">[1]ss!$E$58</definedName>
    <definedName name="s_IRCO_res_a">ss!$E$58</definedName>
    <definedName name="s_IRCO_res_c" localSheetId="0">[1]ss!$E$57</definedName>
    <definedName name="s_IRCO_res_c">ss!$E$57</definedName>
    <definedName name="s_IRCR_far_a" localSheetId="0">[1]ss!$N$45</definedName>
    <definedName name="s_IRCR_far_a">ss!$N$46</definedName>
    <definedName name="s_IRCR_far_c" localSheetId="0">[1]ss!$N$44</definedName>
    <definedName name="s_IRCR_far_c">ss!$N$45</definedName>
    <definedName name="s_IRCR_res_a" localSheetId="0">[1]ss!$E$49</definedName>
    <definedName name="s_IRCR_res_a">ss!$E$49</definedName>
    <definedName name="s_IRCR_res_c" localSheetId="0">[1]ss!$E$48</definedName>
    <definedName name="s_IRCR_res_c">ss!$E$48</definedName>
    <definedName name="s_IRCU_far_a" localSheetId="0">[1]ss!$N$57</definedName>
    <definedName name="s_IRCU_far_a">ss!$N$58</definedName>
    <definedName name="s_IRCU_far_c" localSheetId="0">[1]ss!$N$56</definedName>
    <definedName name="s_IRCU_far_c">ss!$N$57</definedName>
    <definedName name="s_IRCU_res_a" localSheetId="0">[1]ss!$E$61</definedName>
    <definedName name="s_IRCU_res_a">ss!$E$61</definedName>
    <definedName name="s_IRCU_res_c" localSheetId="0">[1]ss!$E$60</definedName>
    <definedName name="s_IRCU_res_c">ss!$E$60</definedName>
    <definedName name="s_IRD_far_a" localSheetId="0">[1]ss!$Q$16</definedName>
    <definedName name="s_IRD_far_a">ss!$Q$17</definedName>
    <definedName name="s_IRD_far_c" localSheetId="0">[1]ss!$Q$15</definedName>
    <definedName name="s_IRD_far_c">ss!$Q$16</definedName>
    <definedName name="s_IRE_far_a" localSheetId="0">[1]ss!$Q$19</definedName>
    <definedName name="s_IRE_far_a">ss!$Q$20</definedName>
    <definedName name="s_IRE_far_c" localSheetId="0">[1]ss!$Q$18</definedName>
    <definedName name="s_IRE_far_c">ss!$Q$19</definedName>
    <definedName name="s_IRF_res" localSheetId="0">[1]ss!$E$16</definedName>
    <definedName name="s_IRF_res">ss!$E$16</definedName>
    <definedName name="s_IRFI_far_a" localSheetId="0">[1]ss!$Q$25</definedName>
    <definedName name="s_IRFI_far_a">ss!$Q$26</definedName>
    <definedName name="s_IRFI_far_c" localSheetId="0">[1]ss!$Q$24</definedName>
    <definedName name="s_IRFI_far_c">ss!$Q$25</definedName>
    <definedName name="s_IRGF_rec" localSheetId="0">[1]ss!$H$17</definedName>
    <definedName name="s_IRGF_rec">ss!$H$17</definedName>
    <definedName name="s_IRGL_rec" localSheetId="0">[1]ss!$H$16</definedName>
    <definedName name="s_IRGL_rec">ss!$H$16</definedName>
    <definedName name="s_IRGM_far_a" localSheetId="0">[1]ss!$Q$40</definedName>
    <definedName name="s_IRGM_far_a">ss!$Q$44</definedName>
    <definedName name="s_IRGM_far_c" localSheetId="0">[1]ss!$Q$39</definedName>
    <definedName name="s_IRGM_far_c">ss!$Q$43</definedName>
    <definedName name="s_IRGO_far_a" localSheetId="0">[1]ss!$Q$34</definedName>
    <definedName name="s_IRGO_far_a">ss!$Q$38</definedName>
    <definedName name="s_IRGO_far_c" localSheetId="0">[1]ss!$Q$33</definedName>
    <definedName name="s_IRGO_far_c">ss!$Q$37</definedName>
    <definedName name="s_IRLE_far_a" localSheetId="0">[1]ss!$N$60</definedName>
    <definedName name="s_IRLE_far_a">ss!$N$61</definedName>
    <definedName name="s_IRLE_far_c" localSheetId="0">[1]ss!$N$59</definedName>
    <definedName name="s_IRLE_far_c">ss!$N$60</definedName>
    <definedName name="s_IRLE_res_a" localSheetId="0">[1]ss!$E$64</definedName>
    <definedName name="s_IRLE_res_a">ss!$E$64</definedName>
    <definedName name="s_IRLE_res_c" localSheetId="0">[1]ss!$E$63</definedName>
    <definedName name="s_IRLE_res_c">ss!$E$63</definedName>
    <definedName name="s_IRLI_far_a" localSheetId="0">[1]ss!$N$63</definedName>
    <definedName name="s_IRLI_far_a">ss!$N$64</definedName>
    <definedName name="s_IRLI_far_c" localSheetId="0">[1]ss!$N$62</definedName>
    <definedName name="s_IRLI_far_c">ss!$N$63</definedName>
    <definedName name="s_IRLI_res_a" localSheetId="0">[1]ss!$E$67</definedName>
    <definedName name="s_IRLI_res_a">ss!$E$67</definedName>
    <definedName name="s_IRLI_res_c" localSheetId="0">[1]ss!$E$66</definedName>
    <definedName name="s_IRLI_res_c">ss!$E$66</definedName>
    <definedName name="s_IROK_far_a" localSheetId="0">[1]ss!$N$66</definedName>
    <definedName name="s_IROK_far_a">ss!$N$67</definedName>
    <definedName name="s_IROK_far_c" localSheetId="0">[1]ss!$N$65</definedName>
    <definedName name="s_IROK_far_c">ss!$N$66</definedName>
    <definedName name="s_IROK_res_a" localSheetId="0">[1]ss!$E$70</definedName>
    <definedName name="s_IROK_res_a">ss!$E$70</definedName>
    <definedName name="s_IROK_res_c" localSheetId="0">[1]ss!$E$69</definedName>
    <definedName name="s_IROK_res_c">ss!$E$69</definedName>
    <definedName name="s_IRON_far_a" localSheetId="0">[1]ss!$N$69</definedName>
    <definedName name="s_IRON_far_a">ss!$N$70</definedName>
    <definedName name="s_IRON_far_c" localSheetId="0">[1]ss!$N$68</definedName>
    <definedName name="s_IRON_far_c">ss!$N$69</definedName>
    <definedName name="s_IRON_res_a" localSheetId="0">[1]ss!$E$73</definedName>
    <definedName name="s_IRON_res_a">ss!$E$73</definedName>
    <definedName name="s_IRON_res_c" localSheetId="0">[1]ss!$E$72</definedName>
    <definedName name="s_IRON_res_c">ss!$E$72</definedName>
    <definedName name="s_IRP_far_a" localSheetId="0">[1]ss!$Q$22</definedName>
    <definedName name="s_IRP_far_a">ss!$Q$23</definedName>
    <definedName name="s_IRP_far_c" localSheetId="0">[1]ss!$Q$21</definedName>
    <definedName name="s_IRP_far_c">ss!$Q$22</definedName>
    <definedName name="s_IRPC_far_a" localSheetId="0">[1]ss!$N$72</definedName>
    <definedName name="s_IRPC_far_a">ss!$N$73</definedName>
    <definedName name="s_IRPC_far_c" localSheetId="0">[1]ss!$N$71</definedName>
    <definedName name="s_IRPC_far_c">ss!$N$72</definedName>
    <definedName name="s_IRPC_res_a" localSheetId="0">[1]ss!$E$76</definedName>
    <definedName name="s_IRPC_res_a">ss!$E$76</definedName>
    <definedName name="s_IRPC_res_c" localSheetId="0">[1]ss!$E$75</definedName>
    <definedName name="s_IRPC_res_c">ss!$E$75</definedName>
    <definedName name="s_IRPE_far_a" localSheetId="0">[1]ss!$N$78</definedName>
    <definedName name="s_IRPE_far_a">ss!$N$82</definedName>
    <definedName name="s_IRPE_far_c" localSheetId="0">[1]ss!$N$77</definedName>
    <definedName name="s_IRPE_far_c">ss!$N$81</definedName>
    <definedName name="s_IRPE_res_a" localSheetId="0">[1]ss!$E$82</definedName>
    <definedName name="s_IRPE_res_a">ss!$E$85</definedName>
    <definedName name="s_IRPE_res_c" localSheetId="0">[1]ss!$E$81</definedName>
    <definedName name="s_IRPE_res_c">ss!$E$84</definedName>
    <definedName name="s_IRPP_far_a">ss!$N$76</definedName>
    <definedName name="s_IRPP_far_c">ss!$N$75</definedName>
    <definedName name="s_IRPP_res_a">ss!$E$79</definedName>
    <definedName name="s_IRPP_res_c">ss!$E$78</definedName>
    <definedName name="s_IRPR_far_a" localSheetId="0">[1]ss!$N$75</definedName>
    <definedName name="s_IRPR_far_a">ss!$N$79</definedName>
    <definedName name="s_IRPR_far_c" localSheetId="0">[1]ss!$N$74</definedName>
    <definedName name="s_IRPR_far_c">ss!$N$78</definedName>
    <definedName name="s_IRPR_res_a" localSheetId="0">[1]ss!$E$79</definedName>
    <definedName name="s_IRPR_res_a">ss!$E$82</definedName>
    <definedName name="s_IRPR_res_c" localSheetId="0">[1]ss!$E$78</definedName>
    <definedName name="s_IRPR_res_c">ss!$E$81</definedName>
    <definedName name="s_IRPT_far_a" localSheetId="0">[1]ss!$N$81</definedName>
    <definedName name="s_IRPT_far_a">ss!$N$85</definedName>
    <definedName name="s_IRPT_far_c" localSheetId="0">[1]ss!$N$80</definedName>
    <definedName name="s_IRPT_far_c">ss!$N$84</definedName>
    <definedName name="s_IRPT_res_a" localSheetId="0">[1]ss!$E$85</definedName>
    <definedName name="s_IRPT_res_a">ss!$E$88</definedName>
    <definedName name="s_IRPT_res_c" localSheetId="0">[1]ss!$E$84</definedName>
    <definedName name="s_IRPT_res_c">ss!$E$87</definedName>
    <definedName name="s_IRPU_far_a" localSheetId="0">[1]ss!$N$84</definedName>
    <definedName name="s_IRPU_far_a">ss!$N$88</definedName>
    <definedName name="s_IRPU_far_c" localSheetId="0">[1]ss!$N$83</definedName>
    <definedName name="s_IRPU_far_c">ss!$N$87</definedName>
    <definedName name="s_IRPU_res_a" localSheetId="0">[1]ss!$E$88</definedName>
    <definedName name="s_IRPU_res_a">ss!$E$91</definedName>
    <definedName name="s_IRPU_res_c" localSheetId="0">[1]ss!$E$87</definedName>
    <definedName name="s_IRPU_res_c">ss!$E$90</definedName>
    <definedName name="s_IRRI_far_a" localSheetId="0">[1]ss!$N$87</definedName>
    <definedName name="s_IRRI_far_a">ss!$N$91</definedName>
    <definedName name="s_IRRI_far_c" localSheetId="0">[1]ss!$N$86</definedName>
    <definedName name="s_IRRI_far_c">ss!$N$90</definedName>
    <definedName name="s_IRRI_res_a" localSheetId="0">[1]ss!$E$91</definedName>
    <definedName name="s_IRRI_res_a">ss!$E$94</definedName>
    <definedName name="s_IRRI_res_c" localSheetId="0">[1]ss!$E$90</definedName>
    <definedName name="s_IRRI_res_c">ss!$E$93</definedName>
    <definedName name="s_IRS_far_a" localSheetId="0">[1]ss!$K$11</definedName>
    <definedName name="s_IRS_far_a">ss!$K$11</definedName>
    <definedName name="s_IRS_far_c" localSheetId="0">[1]ss!$K$10</definedName>
    <definedName name="s_IRS_far_c">ss!$K$10</definedName>
    <definedName name="s_IRS_rec_a" localSheetId="0">[1]ss!$H$11</definedName>
    <definedName name="s_IRS_rec_a">ss!$H$11</definedName>
    <definedName name="s_IRS_rec_c" localSheetId="0">[1]ss!$H$10</definedName>
    <definedName name="s_IRS_rec_c">ss!$H$10</definedName>
    <definedName name="s_IRS_res_a" localSheetId="0">[1]ss!$E$11</definedName>
    <definedName name="s_IRS_res_a">ss!$E$11</definedName>
    <definedName name="s_IRS_res_c" localSheetId="0">[1]ss!$E$10</definedName>
    <definedName name="s_IRS_res_c">ss!$E$10</definedName>
    <definedName name="s_IRSF_far_a">ss!$Q$29</definedName>
    <definedName name="s_IRSF_far_c">ss!$Q$28</definedName>
    <definedName name="s_IRSH_far_a" localSheetId="0">[1]ss!$Q$31</definedName>
    <definedName name="s_IRSH_far_a">ss!$Q$35</definedName>
    <definedName name="s_IRSH_far_c" localSheetId="0">[1]ss!$Q$30</definedName>
    <definedName name="s_IRSH_far_c">ss!$Q$34</definedName>
    <definedName name="s_IRSM_far_a" localSheetId="0">[1]ss!$Q$37</definedName>
    <definedName name="s_IRSM_far_a">ss!$Q$41</definedName>
    <definedName name="s_IRSM_far_c" localSheetId="0">[1]ss!$Q$36</definedName>
    <definedName name="s_IRSM_far_c">ss!$Q$40</definedName>
    <definedName name="s_IRSN_far_a" localSheetId="0">[1]ss!$N$90</definedName>
    <definedName name="s_IRSN_far_a">ss!$N$94</definedName>
    <definedName name="s_IRSN_far_c" localSheetId="0">[1]ss!$N$89</definedName>
    <definedName name="s_IRSN_far_c">ss!$N$93</definedName>
    <definedName name="s_IRSN_res_a" localSheetId="0">[1]ss!$E$94</definedName>
    <definedName name="s_IRSN_res_a">ss!$E$97</definedName>
    <definedName name="s_IRSN_res_c" localSheetId="0">[1]ss!$E$93</definedName>
    <definedName name="s_IRSN_res_c">ss!$E$96</definedName>
    <definedName name="s_IRST_far_a" localSheetId="0">[1]ss!$N$93</definedName>
    <definedName name="s_IRST_far_a">ss!$N$97</definedName>
    <definedName name="s_IRST_far_c" localSheetId="0">[1]ss!$N$92</definedName>
    <definedName name="s_IRST_far_c">ss!$N$96</definedName>
    <definedName name="s_IRST_res_a" localSheetId="0">[1]ss!$E$97</definedName>
    <definedName name="s_IRST_res_a">ss!$E$100</definedName>
    <definedName name="s_IRST_res_c" localSheetId="0">[1]ss!$E$96</definedName>
    <definedName name="s_IRST_res_c">ss!$E$99</definedName>
    <definedName name="s_IRSW_far_a" localSheetId="0">[1]ss!$Q$28</definedName>
    <definedName name="s_IRSW_far_a">ss!$Q$32</definedName>
    <definedName name="s_IRSW_far_c" localSheetId="0">[1]ss!$Q$27</definedName>
    <definedName name="s_IRSW_far_c">ss!$Q$31</definedName>
    <definedName name="s_IRTO_far_a" localSheetId="0">[1]ss!$N$96</definedName>
    <definedName name="s_IRTO_far_a">ss!$N$100</definedName>
    <definedName name="s_IRTO_far_c" localSheetId="0">[1]ss!$N$95</definedName>
    <definedName name="s_IRTO_far_c">ss!$N$99</definedName>
    <definedName name="s_IRTO_res_a" localSheetId="0">[1]ss!$E$100</definedName>
    <definedName name="s_IRTO_res_a">ss!$E$103</definedName>
    <definedName name="s_IRTO_res_c" localSheetId="0">[1]ss!$E$99</definedName>
    <definedName name="s_IRTO_res_c">ss!$E$102</definedName>
    <definedName name="s_IRW_far_a" localSheetId="0">[1]ss!$K$14</definedName>
    <definedName name="s_IRW_far_a">ss!$K$14</definedName>
    <definedName name="s_IRW_far_c" localSheetId="0">[1]ss!$K$13</definedName>
    <definedName name="s_IRW_far_c">ss!$K$13</definedName>
    <definedName name="s_IRW_rec_a" localSheetId="0">[1]ss!$H$14</definedName>
    <definedName name="s_IRW_rec_a">ss!$H$14</definedName>
    <definedName name="s_IRW_rec_c" localSheetId="0">[1]ss!$H$13</definedName>
    <definedName name="s_IRW_rec_c">ss!$H$13</definedName>
    <definedName name="s_IRW_res_a" localSheetId="0">[1]ss!$E$14</definedName>
    <definedName name="s_IRW_res_a">ss!$E$14</definedName>
    <definedName name="s_IRW_res_c" localSheetId="0">[1]ss!$E$13</definedName>
    <definedName name="s_IRW_res_c">ss!$E$13</definedName>
    <definedName name="s_K" localSheetId="0">[1]ss!$B$3</definedName>
    <definedName name="s_K">ss!$B$3</definedName>
    <definedName name="s_K_s2gw" localSheetId="0">[1]ss!$B$20</definedName>
    <definedName name="s_K_s2gw">ss!$B$19</definedName>
    <definedName name="s_L_s2gw" localSheetId="0">[1]ss!$B$23</definedName>
    <definedName name="s_L_s2gw">ss!$B$22</definedName>
    <definedName name="s_lambda_HL" localSheetId="0">[1]ss!$B$7</definedName>
    <definedName name="s_lambda_HL">ss!$B$6</definedName>
    <definedName name="s_ls2gw" localSheetId="0">[1]ss!$B$22</definedName>
    <definedName name="s_ls2gw">ss!$B$21</definedName>
    <definedName name="s_MLF_apple" localSheetId="0">[1]ss!$K$30</definedName>
    <definedName name="s_MLF_apple">ss!$N$102</definedName>
    <definedName name="s_MLF_asparagus" localSheetId="0">[1]ss!$K$31</definedName>
    <definedName name="s_MLF_asparagus">ss!$N$103</definedName>
    <definedName name="s_MLF_beet" localSheetId="0">[1]ss!$K$32</definedName>
    <definedName name="s_MLF_beet">ss!$N$104</definedName>
    <definedName name="s_MLF_berries" localSheetId="0">[1]ss!$K$33</definedName>
    <definedName name="s_MLF_berries">ss!$N$105</definedName>
    <definedName name="s_MLF_broccoli" localSheetId="0">[1]ss!$K$34</definedName>
    <definedName name="s_MLF_broccoli">ss!$N$106</definedName>
    <definedName name="s_MLF_cabbage" localSheetId="0">[1]ss!$K$35</definedName>
    <definedName name="s_MLF_cabbage">ss!$N$107</definedName>
    <definedName name="s_MLF_carrot" localSheetId="0">[1]ss!$K$36</definedName>
    <definedName name="s_MLF_carrot">ss!$N$108</definedName>
    <definedName name="s_MLF_cereal" localSheetId="0">[1]ss!$K$52</definedName>
    <definedName name="s_MLF_cereal">ss!$N$125</definedName>
    <definedName name="s_MLF_citrus" localSheetId="0">[1]ss!$K$37</definedName>
    <definedName name="s_MLF_citrus">ss!$N$109</definedName>
    <definedName name="s_MLF_corn" localSheetId="0">[1]ss!$K$38</definedName>
    <definedName name="s_MLF_corn">ss!$N$110</definedName>
    <definedName name="s_MLF_cucumber" localSheetId="0">[1]ss!$K$39</definedName>
    <definedName name="s_MLF_cucumber">ss!$N$111</definedName>
    <definedName name="s_MLF_lettuce" localSheetId="0">[1]ss!$K$40</definedName>
    <definedName name="s_MLF_lettuce">ss!$N$112</definedName>
    <definedName name="s_MLF_lima_bean" localSheetId="0">[1]ss!$K$41</definedName>
    <definedName name="s_MLF_lima_bean">ss!$N$113</definedName>
    <definedName name="s_MLF_okra" localSheetId="0">[1]ss!$K$42</definedName>
    <definedName name="s_MLF_okra">ss!$N$114</definedName>
    <definedName name="s_MLF_onion" localSheetId="0">[1]ss!$K$43</definedName>
    <definedName name="s_MLF_onion">ss!$N$115</definedName>
    <definedName name="s_MLF_pasture" localSheetId="0">[1]ss!$Q$68</definedName>
    <definedName name="s_MLF_pasture">ss!$Q$72</definedName>
    <definedName name="s_MLF_peach" localSheetId="0">[1]ss!$K$44</definedName>
    <definedName name="s_MLF_peach">ss!$N$116</definedName>
    <definedName name="s_MLF_pear" localSheetId="0">[1]ss!$K$45</definedName>
    <definedName name="s_MLF_pear">ss!$N$117</definedName>
    <definedName name="s_MLF_peas" localSheetId="0">[1]ss!$K$46</definedName>
    <definedName name="s_MLF_peas">ss!$N$118</definedName>
    <definedName name="s_MLF_peppers">ss!$N$119</definedName>
    <definedName name="s_MLF_potato" localSheetId="0">[1]ss!$K$47</definedName>
    <definedName name="s_MLF_potato">ss!$N$120</definedName>
    <definedName name="s_MLF_pumpkin" localSheetId="0">[1]ss!$K$48</definedName>
    <definedName name="s_MLF_pumpkin">ss!$N$121</definedName>
    <definedName name="s_MLF_rice" localSheetId="0">[1]ss!$K$53</definedName>
    <definedName name="s_MLF_rice">ss!$N$126</definedName>
    <definedName name="s_MLF_snap_bean" localSheetId="0">[1]ss!$K$49</definedName>
    <definedName name="s_MLF_snap_bean">ss!$N$122</definedName>
    <definedName name="s_MLF_strawberry" localSheetId="0">[1]ss!$K$50</definedName>
    <definedName name="s_MLF_strawberry">ss!$N$123</definedName>
    <definedName name="s_MLF_tomato" localSheetId="0">[1]ss!$K$51</definedName>
    <definedName name="s_MLF_tomato">ss!$N$124</definedName>
    <definedName name="s_P" localSheetId="0">[1]ss!$B$11</definedName>
    <definedName name="s_P">ss!$B$10</definedName>
    <definedName name="s_PEF_wind" localSheetId="0">[1]ss!$B$27</definedName>
    <definedName name="s_PEF_wind">ss!$B$26</definedName>
    <definedName name="s_Q_C_wind" localSheetId="0">[1]ss!$B$32</definedName>
    <definedName name="s_Q_C_wind">ss!$B$31</definedName>
    <definedName name="s_Q_p_beef" localSheetId="0">[1]ss!$Q$49</definedName>
    <definedName name="s_Q_p_beef">ss!$Q$53</definedName>
    <definedName name="s_Q_p_dairy" localSheetId="0">[1]ss!$Q$44</definedName>
    <definedName name="s_Q_p_dairy">ss!$Q$48</definedName>
    <definedName name="s_Q_p_egg" localSheetId="0">[1]ss!$Q$54</definedName>
    <definedName name="s_Q_p_egg">ss!$Q$58</definedName>
    <definedName name="s_Q_p_fowl" localSheetId="0">[1]ss!$H$28</definedName>
    <definedName name="s_Q_p_fowl">ss!$H$28</definedName>
    <definedName name="s_Q_p_game" localSheetId="0">[1]ss!$H$33</definedName>
    <definedName name="s_Q_p_game">ss!$H$33</definedName>
    <definedName name="s_Q_p_goat" localSheetId="0">[1]ss!$Q$76</definedName>
    <definedName name="s_Q_p_goat">ss!$Q$80</definedName>
    <definedName name="s_Q_p_goat_milk" localSheetId="0">[1]ss!$Q$81</definedName>
    <definedName name="s_Q_p_goat_milk">ss!$Q$85</definedName>
    <definedName name="s_Q_p_poultry" localSheetId="0">[1]ss!$Q$59</definedName>
    <definedName name="s_Q_p_poultry">ss!$Q$63</definedName>
    <definedName name="s_Q_p_sheep" localSheetId="0">[1]ss!$Q$71</definedName>
    <definedName name="s_Q_p_sheep">ss!$Q$75</definedName>
    <definedName name="s_Q_p_sheep_milk" localSheetId="0">[1]ss!$Q$86</definedName>
    <definedName name="s_Q_p_sheep_milk">ss!$Q$90</definedName>
    <definedName name="s_Q_p_swine" localSheetId="0">[1]ss!$Q$64</definedName>
    <definedName name="s_Q_p_swine">ss!$Q$68</definedName>
    <definedName name="s_Q_s_beef" localSheetId="0">[1]ss!$Q$50</definedName>
    <definedName name="s_Q_s_beef">ss!$Q$54</definedName>
    <definedName name="s_Q_s_dairy" localSheetId="0">[1]ss!$Q$45</definedName>
    <definedName name="s_Q_s_dairy">ss!$Q$49</definedName>
    <definedName name="s_Q_s_egg">ss!$Q$59</definedName>
    <definedName name="s_Q_s_fowl" localSheetId="0">[1]ss!$H$29</definedName>
    <definedName name="s_Q_s_fowl">ss!$H$29</definedName>
    <definedName name="s_Q_s_game" localSheetId="0">[1]ss!$H$34</definedName>
    <definedName name="s_Q_s_game">ss!$H$34</definedName>
    <definedName name="s_Q_s_goat" localSheetId="0">[1]ss!$Q$77</definedName>
    <definedName name="s_Q_s_goat">ss!$Q$81</definedName>
    <definedName name="s_Q_s_goat_milk" localSheetId="0">[1]ss!$Q$82</definedName>
    <definedName name="s_Q_s_goat_milk">ss!$Q$86</definedName>
    <definedName name="s_Q_s_poultry" localSheetId="0">[1]ss!$Q$60</definedName>
    <definedName name="s_Q_s_poultry">ss!$Q$64</definedName>
    <definedName name="s_Q_s_sheep" localSheetId="0">[1]ss!$Q$72</definedName>
    <definedName name="s_Q_s_sheep">ss!$Q$76</definedName>
    <definedName name="s_Q_s_sheep_milk" localSheetId="0">[1]ss!$Q$87</definedName>
    <definedName name="s_Q_s_sheep_milk">ss!$Q$91</definedName>
    <definedName name="s_Q_s_swine" localSheetId="0">[1]ss!$Q$65</definedName>
    <definedName name="s_Q_s_swine">ss!$Q$69</definedName>
    <definedName name="s_Q_w_beef" localSheetId="0">[1]ss!$Q$48</definedName>
    <definedName name="s_Q_w_beef">ss!$Q$52</definedName>
    <definedName name="s_Q_w_dairy" localSheetId="0">[1]ss!$Q$42</definedName>
    <definedName name="s_Q_w_dairy">ss!$Q$46</definedName>
    <definedName name="s_Q_w_egg" localSheetId="0">[1]ss!$Q$53</definedName>
    <definedName name="s_Q_w_egg">ss!$Q$57</definedName>
    <definedName name="s_Q_w_fowl" localSheetId="0">[1]ss!$H$32</definedName>
    <definedName name="s_Q_w_fowl">ss!$H$32</definedName>
    <definedName name="s_Q_w_game" localSheetId="0">[1]ss!$H$37</definedName>
    <definedName name="s_Q_w_game">ss!$H$37</definedName>
    <definedName name="s_Q_w_goat" localSheetId="0">[1]ss!$Q$75</definedName>
    <definedName name="s_Q_w_goat">ss!$Q$79</definedName>
    <definedName name="s_Q_w_goat_milk" localSheetId="0">[1]ss!$Q$80</definedName>
    <definedName name="s_Q_w_goat_milk">ss!$Q$84</definedName>
    <definedName name="s_Q_w_poultry" localSheetId="0">[1]ss!$Q$58</definedName>
    <definedName name="s_Q_w_poultry">ss!$Q$62</definedName>
    <definedName name="s_Q_w_sheep" localSheetId="0">[1]ss!$Q$70</definedName>
    <definedName name="s_Q_w_sheep">ss!$Q$74</definedName>
    <definedName name="s_Q_w_sheep_milk" localSheetId="0">[1]ss!$Q$85</definedName>
    <definedName name="s_Q_w_sheep_milk">ss!$Q$89</definedName>
    <definedName name="s_Q_w_swine" localSheetId="0">[1]ss!$Q$63</definedName>
    <definedName name="s_Q_w_swine">ss!$Q$67</definedName>
    <definedName name="s_R_es_past" localSheetId="0">[1]ss!$Q$69</definedName>
    <definedName name="s_R_es_past">ss!$Q$73</definedName>
    <definedName name="s_T" localSheetId="0">[1]ss!$B$15</definedName>
    <definedName name="s_T">ss!$B$14</definedName>
    <definedName name="s_t_b" localSheetId="0">[1]ss!$B$10</definedName>
    <definedName name="s_t_b">ss!$B$9</definedName>
    <definedName name="s_t_far" localSheetId="0">[1]ss!$K$5</definedName>
    <definedName name="s_t_far">ss!$K$5</definedName>
    <definedName name="s_t_rec" localSheetId="0">[1]ss!$H$5</definedName>
    <definedName name="s_t_rec">ss!$H$5</definedName>
    <definedName name="s_t_res" localSheetId="0">[1]ss!$E$5</definedName>
    <definedName name="s_t_res">ss!$E$5</definedName>
    <definedName name="s_t_v" localSheetId="0">[1]ss!$B$13</definedName>
    <definedName name="s_t_v">ss!$B$12</definedName>
    <definedName name="s_t_w" localSheetId="0">[1]ss!$B$16</definedName>
    <definedName name="s_t_w">ss!$B$15</definedName>
    <definedName name="s_TR" localSheetId="0">[1]ss!$B$2</definedName>
    <definedName name="s_TR">ss!$B$2</definedName>
    <definedName name="s_Um" localSheetId="0">[1]ss!$B$28</definedName>
    <definedName name="s_Um">ss!$B$27</definedName>
    <definedName name="s_Ut" localSheetId="0">[1]ss!$B$29</definedName>
    <definedName name="s_Ut">ss!$B$28</definedName>
    <definedName name="s_V" localSheetId="0">[1]ss!$B$31</definedName>
    <definedName name="s_V">ss!$B$30</definedName>
    <definedName name="s_x">ss!$B$38</definedName>
    <definedName name="s_Y_v" localSheetId="0">[1]ss!$B$14</definedName>
    <definedName name="s_Y_v">ss!$B$13</definedName>
    <definedName name="s_θw" localSheetId="0">[1]ss!$B$18</definedName>
    <definedName name="s_θw">ss!$B$17</definedName>
    <definedName name="s_ρb" localSheetId="0">[1]ss!$B$17</definedName>
    <definedName name="s_ρb">ss!$B$16</definedName>
    <definedName name="T" localSheetId="0">[1]d!$B$15</definedName>
    <definedName name="T">d!$B$14</definedName>
    <definedName name="t_b" localSheetId="0">[1]d!$B$10</definedName>
    <definedName name="t_b">d!$B$9</definedName>
    <definedName name="t_far" localSheetId="0">[1]d!$K$5</definedName>
    <definedName name="t_far">d!$K$5</definedName>
    <definedName name="t_rec" localSheetId="0">[1]d!$H$5</definedName>
    <definedName name="t_rec">d!$H$5</definedName>
    <definedName name="t_res" localSheetId="0">[1]d!$E$5</definedName>
    <definedName name="t_res">d!$E$5</definedName>
    <definedName name="t_v" localSheetId="0">[1]d!$B$13</definedName>
    <definedName name="t_v">d!$B$12</definedName>
    <definedName name="t_w" localSheetId="0">[1]d!$B$16</definedName>
    <definedName name="t_w">d!$B$15</definedName>
    <definedName name="TR" localSheetId="0">[1]d!$B$2</definedName>
    <definedName name="TR">d!$B$2</definedName>
    <definedName name="Um" localSheetId="0">[1]d!$B$28</definedName>
    <definedName name="Um">d!$B$27</definedName>
    <definedName name="Ut" localSheetId="0">[1]d!$B$29</definedName>
    <definedName name="Ut">d!$B$28</definedName>
    <definedName name="V" localSheetId="0">[1]d!$B$31</definedName>
    <definedName name="V">d!$B$30</definedName>
    <definedName name="Y_v" localSheetId="0">[1]d!$B$14</definedName>
    <definedName name="Y_v">d!$B$13</definedName>
    <definedName name="θw" localSheetId="0">[1]d!$B$18</definedName>
    <definedName name="θw">d!$B$17</definedName>
    <definedName name="ρb" localSheetId="0">[1]d!$B$17</definedName>
    <definedName name="ρb">d!$B$16</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64" i="45" l="1"/>
  <c r="G64" i="45"/>
  <c r="H64" i="45"/>
  <c r="I64" i="45"/>
  <c r="F65" i="45"/>
  <c r="G65" i="45"/>
  <c r="H65" i="45"/>
  <c r="I65" i="45"/>
  <c r="F66" i="45"/>
  <c r="G66" i="45"/>
  <c r="H66" i="45"/>
  <c r="I66" i="45"/>
  <c r="F67" i="45"/>
  <c r="G67" i="45"/>
  <c r="H67" i="45"/>
  <c r="I67" i="45"/>
  <c r="F68" i="45"/>
  <c r="G68" i="45"/>
  <c r="H68" i="45"/>
  <c r="I68" i="45"/>
  <c r="F69" i="45"/>
  <c r="G69" i="45"/>
  <c r="H69" i="45"/>
  <c r="I69" i="45"/>
  <c r="F70" i="45"/>
  <c r="G70" i="45"/>
  <c r="H70" i="45"/>
  <c r="I70" i="45"/>
  <c r="F71" i="45"/>
  <c r="G71" i="45"/>
  <c r="H71" i="45"/>
  <c r="I71" i="45"/>
  <c r="F72" i="45"/>
  <c r="G72" i="45"/>
  <c r="H72" i="45"/>
  <c r="I72" i="45"/>
  <c r="F73" i="45"/>
  <c r="G73" i="45"/>
  <c r="H73" i="45"/>
  <c r="I73" i="45"/>
  <c r="F74" i="45"/>
  <c r="G74" i="45"/>
  <c r="H74" i="45"/>
  <c r="I74" i="45"/>
  <c r="F75" i="45"/>
  <c r="G75" i="45"/>
  <c r="H75" i="45"/>
  <c r="I75" i="45"/>
  <c r="F76" i="45"/>
  <c r="G76" i="45"/>
  <c r="H76" i="45"/>
  <c r="I76" i="45"/>
  <c r="F49" i="45"/>
  <c r="G49" i="45"/>
  <c r="H49" i="45"/>
  <c r="I49" i="45"/>
  <c r="F50" i="45"/>
  <c r="G50" i="45"/>
  <c r="H50" i="45"/>
  <c r="I50" i="45"/>
  <c r="F51" i="45"/>
  <c r="G51" i="45"/>
  <c r="H51" i="45"/>
  <c r="I51" i="45"/>
  <c r="F52" i="45"/>
  <c r="G52" i="45"/>
  <c r="H52" i="45"/>
  <c r="I52" i="45"/>
  <c r="F53" i="45"/>
  <c r="G53" i="45"/>
  <c r="H53" i="45"/>
  <c r="I53" i="45"/>
  <c r="F54" i="45"/>
  <c r="G54" i="45"/>
  <c r="H54" i="45"/>
  <c r="I54" i="45"/>
  <c r="F55" i="45"/>
  <c r="G55" i="45"/>
  <c r="H55" i="45"/>
  <c r="I55" i="45"/>
  <c r="F56" i="45"/>
  <c r="G56" i="45"/>
  <c r="H56" i="45"/>
  <c r="I56" i="45"/>
  <c r="F57" i="45"/>
  <c r="G57" i="45"/>
  <c r="H57" i="45"/>
  <c r="I57" i="45"/>
  <c r="F58" i="45"/>
  <c r="G58" i="45"/>
  <c r="H58" i="45"/>
  <c r="I58" i="45"/>
  <c r="F59" i="45"/>
  <c r="G59" i="45"/>
  <c r="H59" i="45"/>
  <c r="I59" i="45"/>
  <c r="F60" i="45"/>
  <c r="G60" i="45"/>
  <c r="H60" i="45"/>
  <c r="I60" i="45"/>
  <c r="F61" i="45"/>
  <c r="G61" i="45"/>
  <c r="H61" i="45"/>
  <c r="I61" i="45"/>
  <c r="F62" i="45"/>
  <c r="G62" i="45"/>
  <c r="H62" i="45"/>
  <c r="I62" i="45"/>
  <c r="F46" i="45"/>
  <c r="G46" i="45"/>
  <c r="H46" i="45"/>
  <c r="I46" i="45"/>
  <c r="F47" i="45"/>
  <c r="G47" i="45"/>
  <c r="H47" i="45"/>
  <c r="I47" i="45"/>
  <c r="I44" i="45"/>
  <c r="H44" i="45"/>
  <c r="G44" i="45"/>
  <c r="F44" i="45"/>
  <c r="I43" i="45"/>
  <c r="H43" i="45"/>
  <c r="G43" i="45"/>
  <c r="F43" i="45"/>
  <c r="I42" i="45"/>
  <c r="H42" i="45"/>
  <c r="G42" i="45"/>
  <c r="F42" i="45"/>
  <c r="I41" i="45"/>
  <c r="H41" i="45"/>
  <c r="G41" i="45"/>
  <c r="F41" i="45"/>
  <c r="I40" i="45"/>
  <c r="H40" i="45"/>
  <c r="G40" i="45"/>
  <c r="F40" i="45"/>
  <c r="I39" i="45"/>
  <c r="H39" i="45"/>
  <c r="G39" i="45"/>
  <c r="F39" i="45"/>
  <c r="I38" i="45"/>
  <c r="H38" i="45"/>
  <c r="G38" i="45"/>
  <c r="F38" i="45"/>
  <c r="I37" i="45"/>
  <c r="H37" i="45"/>
  <c r="G37" i="45"/>
  <c r="F37" i="45"/>
  <c r="I36" i="45"/>
  <c r="H36" i="45"/>
  <c r="G36" i="45"/>
  <c r="F36" i="45"/>
  <c r="I35" i="45"/>
  <c r="H35" i="45"/>
  <c r="G35" i="45"/>
  <c r="F35" i="45"/>
  <c r="I34" i="45"/>
  <c r="H34" i="45"/>
  <c r="G34" i="45"/>
  <c r="F34" i="45"/>
  <c r="I33" i="45"/>
  <c r="H33" i="45"/>
  <c r="G33" i="45"/>
  <c r="F33" i="45"/>
  <c r="I32" i="45"/>
  <c r="H32" i="45"/>
  <c r="G32" i="45"/>
  <c r="F32" i="45"/>
  <c r="H31" i="45"/>
  <c r="F31" i="45"/>
  <c r="G31" i="45"/>
  <c r="I31" i="45"/>
  <c r="F45" i="45"/>
  <c r="G45" i="45"/>
  <c r="H45" i="45"/>
  <c r="I45" i="45"/>
  <c r="F48" i="45"/>
  <c r="G48" i="45"/>
  <c r="H48" i="45"/>
  <c r="I48" i="45"/>
  <c r="F63" i="45"/>
  <c r="G63" i="45"/>
  <c r="H63" i="45"/>
  <c r="I63" i="45"/>
  <c r="I76" i="20"/>
  <c r="H76" i="20"/>
  <c r="G76" i="20"/>
  <c r="F76" i="20"/>
  <c r="I75" i="20"/>
  <c r="H75" i="20"/>
  <c r="G75" i="20"/>
  <c r="F75" i="20"/>
  <c r="I74" i="20"/>
  <c r="H74" i="20"/>
  <c r="G74" i="20"/>
  <c r="F74" i="20"/>
  <c r="I73" i="20"/>
  <c r="H73" i="20"/>
  <c r="G73" i="20"/>
  <c r="F73" i="20"/>
  <c r="I72" i="20"/>
  <c r="H72" i="20"/>
  <c r="G72" i="20"/>
  <c r="F72" i="20"/>
  <c r="I71" i="20"/>
  <c r="H71" i="20"/>
  <c r="G71" i="20"/>
  <c r="F71" i="20"/>
  <c r="I70" i="20"/>
  <c r="H70" i="20"/>
  <c r="G70" i="20"/>
  <c r="F70" i="20"/>
  <c r="I69" i="20"/>
  <c r="H69" i="20"/>
  <c r="G69" i="20"/>
  <c r="F69" i="20"/>
  <c r="I68" i="20"/>
  <c r="H68" i="20"/>
  <c r="G68" i="20"/>
  <c r="F68" i="20"/>
  <c r="I67" i="20"/>
  <c r="H67" i="20"/>
  <c r="G67" i="20"/>
  <c r="F67" i="20"/>
  <c r="I66" i="20"/>
  <c r="H66" i="20"/>
  <c r="G66" i="20"/>
  <c r="F66" i="20"/>
  <c r="I65" i="20"/>
  <c r="H65" i="20"/>
  <c r="G65" i="20"/>
  <c r="F65" i="20"/>
  <c r="I64" i="20"/>
  <c r="H64" i="20"/>
  <c r="G64" i="20"/>
  <c r="F64" i="20"/>
  <c r="I62" i="20"/>
  <c r="H62" i="20"/>
  <c r="G62" i="20"/>
  <c r="F62" i="20"/>
  <c r="I61" i="20"/>
  <c r="H61" i="20"/>
  <c r="G61" i="20"/>
  <c r="F61" i="20"/>
  <c r="I60" i="20"/>
  <c r="H60" i="20"/>
  <c r="G60" i="20"/>
  <c r="F60" i="20"/>
  <c r="I59" i="20"/>
  <c r="H59" i="20"/>
  <c r="G59" i="20"/>
  <c r="F59" i="20"/>
  <c r="I58" i="20"/>
  <c r="H58" i="20"/>
  <c r="G58" i="20"/>
  <c r="F58" i="20"/>
  <c r="I57" i="20"/>
  <c r="H57" i="20"/>
  <c r="G57" i="20"/>
  <c r="F57" i="20"/>
  <c r="I56" i="20"/>
  <c r="H56" i="20"/>
  <c r="G56" i="20"/>
  <c r="F56" i="20"/>
  <c r="I55" i="20"/>
  <c r="H55" i="20"/>
  <c r="G55" i="20"/>
  <c r="F55" i="20"/>
  <c r="I54" i="20"/>
  <c r="H54" i="20"/>
  <c r="G54" i="20"/>
  <c r="F54" i="20"/>
  <c r="I53" i="20"/>
  <c r="H53" i="20"/>
  <c r="G53" i="20"/>
  <c r="F53" i="20"/>
  <c r="I52" i="20"/>
  <c r="H52" i="20"/>
  <c r="G52" i="20"/>
  <c r="F52" i="20"/>
  <c r="I51" i="20"/>
  <c r="H51" i="20"/>
  <c r="G51" i="20"/>
  <c r="F51" i="20"/>
  <c r="I50" i="20"/>
  <c r="H50" i="20"/>
  <c r="G50" i="20"/>
  <c r="F50" i="20"/>
  <c r="I49" i="20"/>
  <c r="H49" i="20"/>
  <c r="G49" i="20"/>
  <c r="F49" i="20"/>
  <c r="I47" i="20"/>
  <c r="H47" i="20"/>
  <c r="G47" i="20"/>
  <c r="F47" i="20"/>
  <c r="I46" i="20"/>
  <c r="H46" i="20"/>
  <c r="G46" i="20"/>
  <c r="F46" i="20"/>
  <c r="I44" i="20"/>
  <c r="H44" i="20"/>
  <c r="G44" i="20"/>
  <c r="F44" i="20"/>
  <c r="I43" i="20"/>
  <c r="H43" i="20"/>
  <c r="G43" i="20"/>
  <c r="F43" i="20"/>
  <c r="I42" i="20"/>
  <c r="H42" i="20"/>
  <c r="G42" i="20"/>
  <c r="F42" i="20"/>
  <c r="I41" i="20"/>
  <c r="H41" i="20"/>
  <c r="G41" i="20"/>
  <c r="F41" i="20"/>
  <c r="I40" i="20"/>
  <c r="H40" i="20"/>
  <c r="G40" i="20"/>
  <c r="F40" i="20"/>
  <c r="I39" i="20"/>
  <c r="H39" i="20"/>
  <c r="G39" i="20"/>
  <c r="F39" i="20"/>
  <c r="I38" i="20"/>
  <c r="H38" i="20"/>
  <c r="G38" i="20"/>
  <c r="F38" i="20"/>
  <c r="I37" i="20"/>
  <c r="H37" i="20"/>
  <c r="G37" i="20"/>
  <c r="F37" i="20"/>
  <c r="I36" i="20"/>
  <c r="H36" i="20"/>
  <c r="G36" i="20"/>
  <c r="F36" i="20"/>
  <c r="I35" i="20"/>
  <c r="H35" i="20"/>
  <c r="G35" i="20"/>
  <c r="F35" i="20"/>
  <c r="I34" i="20"/>
  <c r="H34" i="20"/>
  <c r="G34" i="20"/>
  <c r="F34" i="20"/>
  <c r="I33" i="20"/>
  <c r="H33" i="20"/>
  <c r="G33" i="20"/>
  <c r="F33" i="20"/>
  <c r="I32" i="20"/>
  <c r="H32" i="20"/>
  <c r="G32" i="20"/>
  <c r="F32" i="20"/>
  <c r="AT45" i="5"/>
  <c r="AS45" i="5"/>
  <c r="AR45" i="5"/>
  <c r="AQ45" i="5"/>
  <c r="AP45" i="5"/>
  <c r="D53" i="45"/>
  <c r="G30" i="45"/>
  <c r="F30" i="45"/>
  <c r="G29" i="45"/>
  <c r="F29" i="45"/>
  <c r="G28" i="45"/>
  <c r="F28" i="45"/>
  <c r="G27" i="45"/>
  <c r="F27" i="45"/>
  <c r="G26" i="45"/>
  <c r="F26" i="45"/>
  <c r="G25" i="45"/>
  <c r="F25" i="45"/>
  <c r="G24" i="45"/>
  <c r="F24" i="45"/>
  <c r="G23" i="45"/>
  <c r="F23" i="45"/>
  <c r="G22" i="45"/>
  <c r="F22" i="45"/>
  <c r="G21" i="45"/>
  <c r="F21" i="45"/>
  <c r="G20" i="45"/>
  <c r="F20" i="45"/>
  <c r="G19" i="45"/>
  <c r="F19" i="45"/>
  <c r="G18" i="45"/>
  <c r="F18" i="45"/>
  <c r="G17" i="45"/>
  <c r="F17" i="45"/>
  <c r="G16" i="45"/>
  <c r="F16" i="45"/>
  <c r="G15" i="45"/>
  <c r="F15" i="45"/>
  <c r="G14" i="45"/>
  <c r="F14" i="45"/>
  <c r="G13" i="45"/>
  <c r="F13" i="45"/>
  <c r="G12" i="45"/>
  <c r="F12" i="45"/>
  <c r="G11" i="45"/>
  <c r="F11" i="45"/>
  <c r="G10" i="45"/>
  <c r="F10" i="45"/>
  <c r="G9" i="45"/>
  <c r="F9" i="45"/>
  <c r="G8" i="45"/>
  <c r="F8" i="45"/>
  <c r="G7" i="45"/>
  <c r="F7" i="45"/>
  <c r="G6" i="45"/>
  <c r="F6" i="45"/>
  <c r="G5" i="45"/>
  <c r="F5" i="45"/>
  <c r="G4" i="45"/>
  <c r="F4" i="45"/>
  <c r="G3" i="45"/>
  <c r="F3" i="45"/>
  <c r="G2" i="45"/>
  <c r="F2" i="45"/>
  <c r="AT25" i="5"/>
  <c r="E25" i="20"/>
  <c r="E64" i="20"/>
  <c r="AT21" i="5"/>
  <c r="E21" i="20"/>
  <c r="E65" i="20"/>
  <c r="AT17" i="5"/>
  <c r="E17" i="20"/>
  <c r="E66" i="20"/>
  <c r="AT5" i="5"/>
  <c r="E5" i="20"/>
  <c r="E67" i="20"/>
  <c r="AT9" i="5"/>
  <c r="E9" i="20"/>
  <c r="E68" i="20"/>
  <c r="AT24" i="5"/>
  <c r="E24" i="20"/>
  <c r="E69" i="20"/>
  <c r="AT20" i="5"/>
  <c r="E20" i="20"/>
  <c r="E70" i="20"/>
  <c r="AT29" i="5"/>
  <c r="E29" i="20"/>
  <c r="E71" i="20"/>
  <c r="AT16" i="5"/>
  <c r="E16" i="20"/>
  <c r="E72" i="20"/>
  <c r="AT7" i="5"/>
  <c r="E7" i="20"/>
  <c r="E73" i="20"/>
  <c r="AT12" i="5"/>
  <c r="E12" i="20"/>
  <c r="E74" i="20"/>
  <c r="AT18" i="5"/>
  <c r="E18" i="20"/>
  <c r="E75" i="20"/>
  <c r="AT27" i="5"/>
  <c r="E27" i="20"/>
  <c r="E76" i="20"/>
  <c r="G63" i="20"/>
  <c r="F63" i="20"/>
  <c r="AT23" i="5"/>
  <c r="E23" i="20"/>
  <c r="E49" i="20"/>
  <c r="E50" i="20"/>
  <c r="E51" i="20"/>
  <c r="E52" i="20"/>
  <c r="E53" i="20"/>
  <c r="E54" i="20"/>
  <c r="E55" i="20"/>
  <c r="E56" i="20"/>
  <c r="E57" i="20"/>
  <c r="E58" i="20"/>
  <c r="E59" i="20"/>
  <c r="E60" i="20"/>
  <c r="E61" i="20"/>
  <c r="E62" i="20"/>
  <c r="G48" i="20"/>
  <c r="F48" i="20"/>
  <c r="AT10" i="5"/>
  <c r="E10" i="20"/>
  <c r="E46" i="20"/>
  <c r="AT6" i="5"/>
  <c r="E6" i="20"/>
  <c r="E47" i="20"/>
  <c r="G45" i="20"/>
  <c r="F45" i="20"/>
  <c r="AT3" i="5"/>
  <c r="E3" i="20"/>
  <c r="E32" i="20"/>
  <c r="AT13" i="5"/>
  <c r="E13" i="20"/>
  <c r="E33" i="20"/>
  <c r="AT14" i="5"/>
  <c r="E14" i="20"/>
  <c r="E34" i="20"/>
  <c r="AT30" i="5"/>
  <c r="E30" i="20"/>
  <c r="E35" i="20"/>
  <c r="AT26" i="5"/>
  <c r="E26" i="20"/>
  <c r="E36" i="20"/>
  <c r="AT22" i="5"/>
  <c r="E22" i="20"/>
  <c r="E37" i="20"/>
  <c r="AT2" i="5"/>
  <c r="E2" i="20"/>
  <c r="E38" i="20"/>
  <c r="AT11" i="5"/>
  <c r="E11" i="20"/>
  <c r="E39" i="20"/>
  <c r="AT4" i="5"/>
  <c r="E4" i="20"/>
  <c r="E40" i="20"/>
  <c r="AT8" i="5"/>
  <c r="E8" i="20"/>
  <c r="E41" i="20"/>
  <c r="AT19" i="5"/>
  <c r="E19" i="20"/>
  <c r="E42" i="20"/>
  <c r="AT28" i="5"/>
  <c r="E28" i="20"/>
  <c r="E43" i="20"/>
  <c r="AT15" i="5"/>
  <c r="E15" i="20"/>
  <c r="E44" i="20"/>
  <c r="G31" i="20"/>
  <c r="F31" i="20"/>
  <c r="F3" i="20"/>
  <c r="G3" i="20"/>
  <c r="F4" i="20"/>
  <c r="G4" i="20"/>
  <c r="F5" i="20"/>
  <c r="G5" i="20"/>
  <c r="F6" i="20"/>
  <c r="G6" i="20"/>
  <c r="F7" i="20"/>
  <c r="G7" i="20"/>
  <c r="F8" i="20"/>
  <c r="G8" i="20"/>
  <c r="F9" i="20"/>
  <c r="G9" i="20"/>
  <c r="F10" i="20"/>
  <c r="G10" i="20"/>
  <c r="F11" i="20"/>
  <c r="G11" i="20"/>
  <c r="F12" i="20"/>
  <c r="G12" i="20"/>
  <c r="F13" i="20"/>
  <c r="G13" i="20"/>
  <c r="F14" i="20"/>
  <c r="G14" i="20"/>
  <c r="F15" i="20"/>
  <c r="G15" i="20"/>
  <c r="F16" i="20"/>
  <c r="G16" i="20"/>
  <c r="F17" i="20"/>
  <c r="G17" i="20"/>
  <c r="F18" i="20"/>
  <c r="G18" i="20"/>
  <c r="F19" i="20"/>
  <c r="G19" i="20"/>
  <c r="F20" i="20"/>
  <c r="G20" i="20"/>
  <c r="F21" i="20"/>
  <c r="G21" i="20"/>
  <c r="F22" i="20"/>
  <c r="G22" i="20"/>
  <c r="F23" i="20"/>
  <c r="G23" i="20"/>
  <c r="F24" i="20"/>
  <c r="G24" i="20"/>
  <c r="F25" i="20"/>
  <c r="G25" i="20"/>
  <c r="F26" i="20"/>
  <c r="G26" i="20"/>
  <c r="F27" i="20"/>
  <c r="G27" i="20"/>
  <c r="F28" i="20"/>
  <c r="G28" i="20"/>
  <c r="F29" i="20"/>
  <c r="G29" i="20"/>
  <c r="F30" i="20"/>
  <c r="G30" i="20"/>
  <c r="G2" i="20"/>
  <c r="F2" i="20"/>
  <c r="AC2" i="4"/>
  <c r="E2" i="19"/>
  <c r="G2" i="19"/>
  <c r="F2" i="19"/>
  <c r="BY27" i="44"/>
  <c r="BB27" i="43"/>
  <c r="DB76" i="43"/>
  <c r="BX27" i="44"/>
  <c r="BA27" i="43"/>
  <c r="DA76" i="43"/>
  <c r="CZ76" i="43"/>
  <c r="CY76" i="43"/>
  <c r="CX76" i="43"/>
  <c r="CW76" i="43"/>
  <c r="CV76" i="43"/>
  <c r="CU76" i="43"/>
  <c r="CT76" i="43"/>
  <c r="CS76" i="43"/>
  <c r="CR76" i="43"/>
  <c r="CQ76" i="43"/>
  <c r="CP76" i="43"/>
  <c r="CO76" i="43"/>
  <c r="CN76" i="43"/>
  <c r="CM76" i="43"/>
  <c r="CL76" i="43"/>
  <c r="CK76" i="43"/>
  <c r="CJ76" i="43"/>
  <c r="CI76" i="43"/>
  <c r="CH76" i="43"/>
  <c r="CG76" i="43"/>
  <c r="CF76" i="43"/>
  <c r="BB27" i="44"/>
  <c r="AE27" i="43"/>
  <c r="CE76" i="43"/>
  <c r="BA27" i="44"/>
  <c r="AD27" i="43"/>
  <c r="CD76" i="43"/>
  <c r="BB76" i="43"/>
  <c r="BA76" i="43"/>
  <c r="AZ76" i="43"/>
  <c r="AY76" i="43"/>
  <c r="AX76" i="43"/>
  <c r="AW76" i="43"/>
  <c r="AV76" i="43"/>
  <c r="AU76" i="43"/>
  <c r="AT76" i="43"/>
  <c r="AS76" i="43"/>
  <c r="AR76" i="43"/>
  <c r="AQ76" i="43"/>
  <c r="AP76" i="43"/>
  <c r="AO76" i="43"/>
  <c r="AN76" i="43"/>
  <c r="AM76" i="43"/>
  <c r="AL76" i="43"/>
  <c r="AK76" i="43"/>
  <c r="AJ76" i="43"/>
  <c r="AI76" i="43"/>
  <c r="AH76" i="43"/>
  <c r="AG76" i="43"/>
  <c r="AF76" i="43"/>
  <c r="AE76" i="43"/>
  <c r="AD76" i="43"/>
  <c r="BY18" i="44"/>
  <c r="BB18" i="43"/>
  <c r="DB75" i="43"/>
  <c r="BX18" i="44"/>
  <c r="BA18" i="43"/>
  <c r="DA75" i="43"/>
  <c r="CZ75" i="43"/>
  <c r="CY75" i="43"/>
  <c r="CX75" i="43"/>
  <c r="CW75" i="43"/>
  <c r="CV75" i="43"/>
  <c r="CU75" i="43"/>
  <c r="CT75" i="43"/>
  <c r="CS75" i="43"/>
  <c r="CR75" i="43"/>
  <c r="CQ75" i="43"/>
  <c r="CP75" i="43"/>
  <c r="CO75" i="43"/>
  <c r="CN75" i="43"/>
  <c r="CM75" i="43"/>
  <c r="CL75" i="43"/>
  <c r="CK75" i="43"/>
  <c r="CJ75" i="43"/>
  <c r="CI75" i="43"/>
  <c r="CH75" i="43"/>
  <c r="CG75" i="43"/>
  <c r="CF75" i="43"/>
  <c r="BB18" i="44"/>
  <c r="AE18" i="43"/>
  <c r="CE75" i="43"/>
  <c r="BA18" i="44"/>
  <c r="AD18" i="43"/>
  <c r="CD75" i="43"/>
  <c r="BB75" i="43"/>
  <c r="BA75" i="43"/>
  <c r="AZ75" i="43"/>
  <c r="AY75" i="43"/>
  <c r="AX75" i="43"/>
  <c r="AW75" i="43"/>
  <c r="AV75" i="43"/>
  <c r="AU75" i="43"/>
  <c r="AT75" i="43"/>
  <c r="AS75" i="43"/>
  <c r="AR75" i="43"/>
  <c r="AQ75" i="43"/>
  <c r="AP75" i="43"/>
  <c r="AO75" i="43"/>
  <c r="AN75" i="43"/>
  <c r="AM75" i="43"/>
  <c r="AL75" i="43"/>
  <c r="AK75" i="43"/>
  <c r="AJ75" i="43"/>
  <c r="AI75" i="43"/>
  <c r="AH75" i="43"/>
  <c r="AG75" i="43"/>
  <c r="AF75" i="43"/>
  <c r="AE75" i="43"/>
  <c r="AD75" i="43"/>
  <c r="BY12" i="44"/>
  <c r="BB12" i="43"/>
  <c r="DB74" i="43"/>
  <c r="BX12" i="44"/>
  <c r="BA12" i="43"/>
  <c r="DA74" i="43"/>
  <c r="CZ74" i="43"/>
  <c r="CY74" i="43"/>
  <c r="CX74" i="43"/>
  <c r="CW74" i="43"/>
  <c r="CV74" i="43"/>
  <c r="CU74" i="43"/>
  <c r="CT74" i="43"/>
  <c r="CS74" i="43"/>
  <c r="CR74" i="43"/>
  <c r="CQ74" i="43"/>
  <c r="CP74" i="43"/>
  <c r="CO74" i="43"/>
  <c r="CN74" i="43"/>
  <c r="CM74" i="43"/>
  <c r="CL74" i="43"/>
  <c r="CK74" i="43"/>
  <c r="CJ74" i="43"/>
  <c r="CI74" i="43"/>
  <c r="CH74" i="43"/>
  <c r="CG74" i="43"/>
  <c r="CF74" i="43"/>
  <c r="BB12" i="44"/>
  <c r="AE12" i="43"/>
  <c r="CE74" i="43"/>
  <c r="BA12" i="44"/>
  <c r="AD12" i="43"/>
  <c r="CD74" i="43"/>
  <c r="BB74" i="43"/>
  <c r="BA74" i="43"/>
  <c r="AZ74" i="43"/>
  <c r="AY74" i="43"/>
  <c r="AX74" i="43"/>
  <c r="AW74" i="43"/>
  <c r="AV74" i="43"/>
  <c r="AU74" i="43"/>
  <c r="AT74" i="43"/>
  <c r="AS74" i="43"/>
  <c r="AR74" i="43"/>
  <c r="AQ74" i="43"/>
  <c r="AP74" i="43"/>
  <c r="AO74" i="43"/>
  <c r="AN74" i="43"/>
  <c r="AM74" i="43"/>
  <c r="AL74" i="43"/>
  <c r="AK74" i="43"/>
  <c r="AJ74" i="43"/>
  <c r="AI74" i="43"/>
  <c r="AH74" i="43"/>
  <c r="AG74" i="43"/>
  <c r="AF74" i="43"/>
  <c r="AE74" i="43"/>
  <c r="AD74" i="43"/>
  <c r="BY7" i="44"/>
  <c r="BB7" i="43"/>
  <c r="DB73" i="43"/>
  <c r="BX7" i="44"/>
  <c r="BA7" i="43"/>
  <c r="DA73" i="43"/>
  <c r="CZ73" i="43"/>
  <c r="CY73" i="43"/>
  <c r="CX73" i="43"/>
  <c r="CW73" i="43"/>
  <c r="CV73" i="43"/>
  <c r="CU73" i="43"/>
  <c r="CT73" i="43"/>
  <c r="CS73" i="43"/>
  <c r="CR73" i="43"/>
  <c r="CQ73" i="43"/>
  <c r="CP73" i="43"/>
  <c r="CO73" i="43"/>
  <c r="CN73" i="43"/>
  <c r="CM73" i="43"/>
  <c r="CL73" i="43"/>
  <c r="CK73" i="43"/>
  <c r="CJ73" i="43"/>
  <c r="CI73" i="43"/>
  <c r="CH73" i="43"/>
  <c r="CG73" i="43"/>
  <c r="CF73" i="43"/>
  <c r="BB7" i="44"/>
  <c r="AE7" i="43"/>
  <c r="CE73" i="43"/>
  <c r="BA7" i="44"/>
  <c r="AD7" i="43"/>
  <c r="CD73" i="43"/>
  <c r="BB73" i="43"/>
  <c r="BA73" i="43"/>
  <c r="AZ73" i="43"/>
  <c r="AY73" i="43"/>
  <c r="AX73" i="43"/>
  <c r="AW73" i="43"/>
  <c r="AV73" i="43"/>
  <c r="AU73" i="43"/>
  <c r="AT73" i="43"/>
  <c r="AS73" i="43"/>
  <c r="AR73" i="43"/>
  <c r="AQ73" i="43"/>
  <c r="AP73" i="43"/>
  <c r="AO73" i="43"/>
  <c r="AN73" i="43"/>
  <c r="AM73" i="43"/>
  <c r="AL73" i="43"/>
  <c r="AK73" i="43"/>
  <c r="AJ73" i="43"/>
  <c r="AI73" i="43"/>
  <c r="AH73" i="43"/>
  <c r="AG73" i="43"/>
  <c r="AF73" i="43"/>
  <c r="AE73" i="43"/>
  <c r="AD73" i="43"/>
  <c r="BY16" i="44"/>
  <c r="BB16" i="43"/>
  <c r="DB72" i="43"/>
  <c r="BX16" i="44"/>
  <c r="BA16" i="43"/>
  <c r="DA72" i="43"/>
  <c r="CZ72" i="43"/>
  <c r="CY72" i="43"/>
  <c r="CX72" i="43"/>
  <c r="CW72" i="43"/>
  <c r="CV72" i="43"/>
  <c r="CU72" i="43"/>
  <c r="CT72" i="43"/>
  <c r="CS72" i="43"/>
  <c r="CR72" i="43"/>
  <c r="CQ72" i="43"/>
  <c r="CP72" i="43"/>
  <c r="CO72" i="43"/>
  <c r="CN72" i="43"/>
  <c r="CM72" i="43"/>
  <c r="CL72" i="43"/>
  <c r="CK72" i="43"/>
  <c r="CJ72" i="43"/>
  <c r="CI72" i="43"/>
  <c r="CH72" i="43"/>
  <c r="CG72" i="43"/>
  <c r="CF72" i="43"/>
  <c r="BB16" i="44"/>
  <c r="AE16" i="43"/>
  <c r="CE72" i="43"/>
  <c r="BA16" i="44"/>
  <c r="AD16" i="43"/>
  <c r="CD72" i="43"/>
  <c r="BB72" i="43"/>
  <c r="BA72" i="43"/>
  <c r="AZ72" i="43"/>
  <c r="AY72" i="43"/>
  <c r="AX72" i="43"/>
  <c r="AW72" i="43"/>
  <c r="AV72" i="43"/>
  <c r="AU72" i="43"/>
  <c r="AT72" i="43"/>
  <c r="AS72" i="43"/>
  <c r="AR72" i="43"/>
  <c r="AQ72" i="43"/>
  <c r="AP72" i="43"/>
  <c r="AO72" i="43"/>
  <c r="AN72" i="43"/>
  <c r="AM72" i="43"/>
  <c r="AL72" i="43"/>
  <c r="AK72" i="43"/>
  <c r="AJ72" i="43"/>
  <c r="AI72" i="43"/>
  <c r="AH72" i="43"/>
  <c r="AG72" i="43"/>
  <c r="AF72" i="43"/>
  <c r="AE72" i="43"/>
  <c r="AD72" i="43"/>
  <c r="BY29" i="44"/>
  <c r="BB29" i="43"/>
  <c r="DB71" i="43"/>
  <c r="BX29" i="44"/>
  <c r="BA29" i="43"/>
  <c r="DA71" i="43"/>
  <c r="CZ71" i="43"/>
  <c r="CY71" i="43"/>
  <c r="CX71" i="43"/>
  <c r="CW71" i="43"/>
  <c r="CV71" i="43"/>
  <c r="CU71" i="43"/>
  <c r="CT71" i="43"/>
  <c r="CS71" i="43"/>
  <c r="CR71" i="43"/>
  <c r="CQ71" i="43"/>
  <c r="CP71" i="43"/>
  <c r="CO71" i="43"/>
  <c r="CN71" i="43"/>
  <c r="CM71" i="43"/>
  <c r="CL71" i="43"/>
  <c r="CK71" i="43"/>
  <c r="CJ71" i="43"/>
  <c r="CI71" i="43"/>
  <c r="CH71" i="43"/>
  <c r="CG71" i="43"/>
  <c r="CF71" i="43"/>
  <c r="BB29" i="44"/>
  <c r="AE29" i="43"/>
  <c r="CE71" i="43"/>
  <c r="BA29" i="44"/>
  <c r="AD29" i="43"/>
  <c r="CD71" i="43"/>
  <c r="BB71" i="43"/>
  <c r="BA71" i="43"/>
  <c r="AZ71" i="43"/>
  <c r="AY71" i="43"/>
  <c r="AX71" i="43"/>
  <c r="AW71" i="43"/>
  <c r="AV71" i="43"/>
  <c r="AU71" i="43"/>
  <c r="AT71" i="43"/>
  <c r="AS71" i="43"/>
  <c r="AR71" i="43"/>
  <c r="AQ71" i="43"/>
  <c r="AP71" i="43"/>
  <c r="AO71" i="43"/>
  <c r="AN71" i="43"/>
  <c r="AM71" i="43"/>
  <c r="AL71" i="43"/>
  <c r="AK71" i="43"/>
  <c r="AJ71" i="43"/>
  <c r="AI71" i="43"/>
  <c r="AH71" i="43"/>
  <c r="AG71" i="43"/>
  <c r="AF71" i="43"/>
  <c r="AE71" i="43"/>
  <c r="AD71" i="43"/>
  <c r="BY20" i="44"/>
  <c r="BB20" i="43"/>
  <c r="DB70" i="43"/>
  <c r="BX20" i="44"/>
  <c r="BA20" i="43"/>
  <c r="DA70" i="43"/>
  <c r="CZ70" i="43"/>
  <c r="CY70" i="43"/>
  <c r="CX70" i="43"/>
  <c r="CW70" i="43"/>
  <c r="CV70" i="43"/>
  <c r="CU70" i="43"/>
  <c r="CT70" i="43"/>
  <c r="CS70" i="43"/>
  <c r="CR70" i="43"/>
  <c r="CQ70" i="43"/>
  <c r="CP70" i="43"/>
  <c r="CO70" i="43"/>
  <c r="CN70" i="43"/>
  <c r="CM70" i="43"/>
  <c r="CL70" i="43"/>
  <c r="CK70" i="43"/>
  <c r="CJ70" i="43"/>
  <c r="CI70" i="43"/>
  <c r="CH70" i="43"/>
  <c r="CG70" i="43"/>
  <c r="CF70" i="43"/>
  <c r="BB20" i="44"/>
  <c r="AE20" i="43"/>
  <c r="CE70" i="43"/>
  <c r="BA20" i="44"/>
  <c r="AD20" i="43"/>
  <c r="CD70" i="43"/>
  <c r="BB70" i="43"/>
  <c r="BA70" i="43"/>
  <c r="AZ70" i="43"/>
  <c r="AY70" i="43"/>
  <c r="AX70" i="43"/>
  <c r="AW70" i="43"/>
  <c r="AV70" i="43"/>
  <c r="AU70" i="43"/>
  <c r="AT70" i="43"/>
  <c r="AS70" i="43"/>
  <c r="AR70" i="43"/>
  <c r="AQ70" i="43"/>
  <c r="AP70" i="43"/>
  <c r="AO70" i="43"/>
  <c r="AN70" i="43"/>
  <c r="AM70" i="43"/>
  <c r="AL70" i="43"/>
  <c r="AK70" i="43"/>
  <c r="AJ70" i="43"/>
  <c r="AI70" i="43"/>
  <c r="AH70" i="43"/>
  <c r="AG70" i="43"/>
  <c r="AF70" i="43"/>
  <c r="AE70" i="43"/>
  <c r="AD70" i="43"/>
  <c r="BY24" i="44"/>
  <c r="BB24" i="43"/>
  <c r="DB69" i="43"/>
  <c r="BX24" i="44"/>
  <c r="BA24" i="43"/>
  <c r="DA69" i="43"/>
  <c r="CZ69" i="43"/>
  <c r="CY69" i="43"/>
  <c r="CX69" i="43"/>
  <c r="CW69" i="43"/>
  <c r="CV69" i="43"/>
  <c r="CU69" i="43"/>
  <c r="CT69" i="43"/>
  <c r="CS69" i="43"/>
  <c r="CR69" i="43"/>
  <c r="CQ69" i="43"/>
  <c r="CP69" i="43"/>
  <c r="CO69" i="43"/>
  <c r="CN69" i="43"/>
  <c r="CM69" i="43"/>
  <c r="CL69" i="43"/>
  <c r="CK69" i="43"/>
  <c r="CJ69" i="43"/>
  <c r="CI69" i="43"/>
  <c r="CH69" i="43"/>
  <c r="CG69" i="43"/>
  <c r="CF69" i="43"/>
  <c r="BB24" i="44"/>
  <c r="AE24" i="43"/>
  <c r="CE69" i="43"/>
  <c r="BA24" i="44"/>
  <c r="AD24" i="43"/>
  <c r="CD69" i="43"/>
  <c r="BB69" i="43"/>
  <c r="BA69" i="43"/>
  <c r="AZ69" i="43"/>
  <c r="AY69" i="43"/>
  <c r="AX69" i="43"/>
  <c r="AW69" i="43"/>
  <c r="AV69" i="43"/>
  <c r="AU69" i="43"/>
  <c r="AT69" i="43"/>
  <c r="AS69" i="43"/>
  <c r="AR69" i="43"/>
  <c r="AQ69" i="43"/>
  <c r="AP69" i="43"/>
  <c r="AO69" i="43"/>
  <c r="AN69" i="43"/>
  <c r="AM69" i="43"/>
  <c r="AL69" i="43"/>
  <c r="AK69" i="43"/>
  <c r="AJ69" i="43"/>
  <c r="AI69" i="43"/>
  <c r="AH69" i="43"/>
  <c r="AG69" i="43"/>
  <c r="AF69" i="43"/>
  <c r="AE69" i="43"/>
  <c r="AD69" i="43"/>
  <c r="BY9" i="44"/>
  <c r="BB9" i="43"/>
  <c r="DB68" i="43"/>
  <c r="BX9" i="44"/>
  <c r="BA9" i="43"/>
  <c r="DA68" i="43"/>
  <c r="CZ68" i="43"/>
  <c r="CY68" i="43"/>
  <c r="CX68" i="43"/>
  <c r="CW68" i="43"/>
  <c r="CV68" i="43"/>
  <c r="CU68" i="43"/>
  <c r="CT68" i="43"/>
  <c r="CS68" i="43"/>
  <c r="CR68" i="43"/>
  <c r="CQ68" i="43"/>
  <c r="CP68" i="43"/>
  <c r="CO68" i="43"/>
  <c r="CN68" i="43"/>
  <c r="CM68" i="43"/>
  <c r="CL68" i="43"/>
  <c r="CK68" i="43"/>
  <c r="CJ68" i="43"/>
  <c r="CI68" i="43"/>
  <c r="CH68" i="43"/>
  <c r="CG68" i="43"/>
  <c r="CF68" i="43"/>
  <c r="BB9" i="44"/>
  <c r="AE9" i="43"/>
  <c r="CE68" i="43"/>
  <c r="BA9" i="44"/>
  <c r="AD9" i="43"/>
  <c r="CD68" i="43"/>
  <c r="BB68" i="43"/>
  <c r="BA68" i="43"/>
  <c r="AZ68" i="43"/>
  <c r="AY68" i="43"/>
  <c r="AX68" i="43"/>
  <c r="AW68" i="43"/>
  <c r="AV68" i="43"/>
  <c r="AU68" i="43"/>
  <c r="AT68" i="43"/>
  <c r="AS68" i="43"/>
  <c r="AR68" i="43"/>
  <c r="AQ68" i="43"/>
  <c r="AP68" i="43"/>
  <c r="AO68" i="43"/>
  <c r="AN68" i="43"/>
  <c r="AM68" i="43"/>
  <c r="AL68" i="43"/>
  <c r="AK68" i="43"/>
  <c r="AJ68" i="43"/>
  <c r="AI68" i="43"/>
  <c r="AH68" i="43"/>
  <c r="AG68" i="43"/>
  <c r="AF68" i="43"/>
  <c r="AE68" i="43"/>
  <c r="AD68" i="43"/>
  <c r="BY5" i="44"/>
  <c r="BB5" i="43"/>
  <c r="DB67" i="43"/>
  <c r="BX5" i="44"/>
  <c r="BA5" i="43"/>
  <c r="DA67" i="43"/>
  <c r="CZ67" i="43"/>
  <c r="CY67" i="43"/>
  <c r="CX67" i="43"/>
  <c r="CW67" i="43"/>
  <c r="CV67" i="43"/>
  <c r="CU67" i="43"/>
  <c r="CT67" i="43"/>
  <c r="CS67" i="43"/>
  <c r="CR67" i="43"/>
  <c r="CQ67" i="43"/>
  <c r="CP67" i="43"/>
  <c r="CO67" i="43"/>
  <c r="CN67" i="43"/>
  <c r="CM67" i="43"/>
  <c r="CL67" i="43"/>
  <c r="CK67" i="43"/>
  <c r="CJ67" i="43"/>
  <c r="CI67" i="43"/>
  <c r="CH67" i="43"/>
  <c r="CG67" i="43"/>
  <c r="CF67" i="43"/>
  <c r="BB5" i="44"/>
  <c r="AE5" i="43"/>
  <c r="CE67" i="43"/>
  <c r="BA5" i="44"/>
  <c r="AD5" i="43"/>
  <c r="CD67" i="43"/>
  <c r="BB67" i="43"/>
  <c r="BA67" i="43"/>
  <c r="AZ67" i="43"/>
  <c r="AY67" i="43"/>
  <c r="AX67" i="43"/>
  <c r="AW67" i="43"/>
  <c r="AV67" i="43"/>
  <c r="AU67" i="43"/>
  <c r="AT67" i="43"/>
  <c r="AS67" i="43"/>
  <c r="AR67" i="43"/>
  <c r="AQ67" i="43"/>
  <c r="AP67" i="43"/>
  <c r="AO67" i="43"/>
  <c r="AN67" i="43"/>
  <c r="AM67" i="43"/>
  <c r="AL67" i="43"/>
  <c r="AK67" i="43"/>
  <c r="AJ67" i="43"/>
  <c r="AI67" i="43"/>
  <c r="AH67" i="43"/>
  <c r="AG67" i="43"/>
  <c r="AF67" i="43"/>
  <c r="AE67" i="43"/>
  <c r="AD67" i="43"/>
  <c r="BY17" i="44"/>
  <c r="BB17" i="43"/>
  <c r="DB66" i="43"/>
  <c r="BX17" i="44"/>
  <c r="BA17" i="43"/>
  <c r="DA66" i="43"/>
  <c r="CZ66" i="43"/>
  <c r="CY66" i="43"/>
  <c r="CX66" i="43"/>
  <c r="CW66" i="43"/>
  <c r="CV66" i="43"/>
  <c r="CU66" i="43"/>
  <c r="CT66" i="43"/>
  <c r="CS66" i="43"/>
  <c r="CR66" i="43"/>
  <c r="CQ66" i="43"/>
  <c r="CP66" i="43"/>
  <c r="CO66" i="43"/>
  <c r="CN66" i="43"/>
  <c r="CM66" i="43"/>
  <c r="CL66" i="43"/>
  <c r="CK66" i="43"/>
  <c r="CJ66" i="43"/>
  <c r="CI66" i="43"/>
  <c r="CH66" i="43"/>
  <c r="CG66" i="43"/>
  <c r="CF66" i="43"/>
  <c r="BB17" i="44"/>
  <c r="AE17" i="43"/>
  <c r="CE66" i="43"/>
  <c r="BA17" i="44"/>
  <c r="AD17" i="43"/>
  <c r="CD66" i="43"/>
  <c r="BB66" i="43"/>
  <c r="BA66" i="43"/>
  <c r="AZ66" i="43"/>
  <c r="AY66" i="43"/>
  <c r="AX66" i="43"/>
  <c r="AW66" i="43"/>
  <c r="AV66" i="43"/>
  <c r="AU66" i="43"/>
  <c r="AT66" i="43"/>
  <c r="AS66" i="43"/>
  <c r="AR66" i="43"/>
  <c r="AQ66" i="43"/>
  <c r="AP66" i="43"/>
  <c r="AO66" i="43"/>
  <c r="AN66" i="43"/>
  <c r="AM66" i="43"/>
  <c r="AL66" i="43"/>
  <c r="AK66" i="43"/>
  <c r="AJ66" i="43"/>
  <c r="AI66" i="43"/>
  <c r="AH66" i="43"/>
  <c r="AG66" i="43"/>
  <c r="AF66" i="43"/>
  <c r="AE66" i="43"/>
  <c r="AD66" i="43"/>
  <c r="BY21" i="44"/>
  <c r="BB21" i="43"/>
  <c r="DB65" i="43"/>
  <c r="BX21" i="44"/>
  <c r="BA21" i="43"/>
  <c r="DA65" i="43"/>
  <c r="CZ65" i="43"/>
  <c r="CY65" i="43"/>
  <c r="CX65" i="43"/>
  <c r="CW65" i="43"/>
  <c r="CV65" i="43"/>
  <c r="CU65" i="43"/>
  <c r="CT65" i="43"/>
  <c r="CS65" i="43"/>
  <c r="CR65" i="43"/>
  <c r="CQ65" i="43"/>
  <c r="CP65" i="43"/>
  <c r="CO65" i="43"/>
  <c r="CN65" i="43"/>
  <c r="CM65" i="43"/>
  <c r="CL65" i="43"/>
  <c r="CK65" i="43"/>
  <c r="CJ65" i="43"/>
  <c r="CI65" i="43"/>
  <c r="CH65" i="43"/>
  <c r="CG65" i="43"/>
  <c r="CF65" i="43"/>
  <c r="BB21" i="44"/>
  <c r="AE21" i="43"/>
  <c r="CE65" i="43"/>
  <c r="BA21" i="44"/>
  <c r="AD21" i="43"/>
  <c r="CD65" i="43"/>
  <c r="BB65" i="43"/>
  <c r="BA65" i="43"/>
  <c r="AZ65" i="43"/>
  <c r="AY65" i="43"/>
  <c r="AX65" i="43"/>
  <c r="AW65" i="43"/>
  <c r="AV65" i="43"/>
  <c r="AU65" i="43"/>
  <c r="AT65" i="43"/>
  <c r="AS65" i="43"/>
  <c r="AR65" i="43"/>
  <c r="AQ65" i="43"/>
  <c r="AP65" i="43"/>
  <c r="AO65" i="43"/>
  <c r="AN65" i="43"/>
  <c r="AM65" i="43"/>
  <c r="AL65" i="43"/>
  <c r="AK65" i="43"/>
  <c r="AJ65" i="43"/>
  <c r="AI65" i="43"/>
  <c r="AH65" i="43"/>
  <c r="AG65" i="43"/>
  <c r="AF65" i="43"/>
  <c r="AE65" i="43"/>
  <c r="AD65" i="43"/>
  <c r="BY25" i="44"/>
  <c r="BB25" i="43"/>
  <c r="DB64" i="43"/>
  <c r="BX25" i="44"/>
  <c r="BA25" i="43"/>
  <c r="DA64" i="43"/>
  <c r="CZ64" i="43"/>
  <c r="CY64" i="43"/>
  <c r="CX64" i="43"/>
  <c r="CW64" i="43"/>
  <c r="CV64" i="43"/>
  <c r="CU64" i="43"/>
  <c r="CT64" i="43"/>
  <c r="CS64" i="43"/>
  <c r="CR64" i="43"/>
  <c r="CQ64" i="43"/>
  <c r="CP64" i="43"/>
  <c r="CO64" i="43"/>
  <c r="CN64" i="43"/>
  <c r="CM64" i="43"/>
  <c r="CL64" i="43"/>
  <c r="CK64" i="43"/>
  <c r="CJ64" i="43"/>
  <c r="CI64" i="43"/>
  <c r="CH64" i="43"/>
  <c r="CG64" i="43"/>
  <c r="CF64" i="43"/>
  <c r="BB25" i="44"/>
  <c r="AE25" i="43"/>
  <c r="CE64" i="43"/>
  <c r="BA25" i="44"/>
  <c r="AD25" i="43"/>
  <c r="CD64" i="43"/>
  <c r="BB64" i="43"/>
  <c r="BA64" i="43"/>
  <c r="AZ64" i="43"/>
  <c r="AY64" i="43"/>
  <c r="AX64" i="43"/>
  <c r="AW64" i="43"/>
  <c r="AV64" i="43"/>
  <c r="AU64" i="43"/>
  <c r="AT64" i="43"/>
  <c r="AS64" i="43"/>
  <c r="AR64" i="43"/>
  <c r="AQ64" i="43"/>
  <c r="AP64" i="43"/>
  <c r="AO64" i="43"/>
  <c r="AN64" i="43"/>
  <c r="AM64" i="43"/>
  <c r="AL64" i="43"/>
  <c r="AK64" i="43"/>
  <c r="AJ64" i="43"/>
  <c r="AI64" i="43"/>
  <c r="AH64" i="43"/>
  <c r="AG64" i="43"/>
  <c r="AF64" i="43"/>
  <c r="AE64" i="43"/>
  <c r="AD64" i="43"/>
  <c r="DB62" i="43"/>
  <c r="DA62" i="43"/>
  <c r="CZ62" i="43"/>
  <c r="CY62" i="43"/>
  <c r="CX62" i="43"/>
  <c r="CW62" i="43"/>
  <c r="CV62" i="43"/>
  <c r="CU62" i="43"/>
  <c r="CT62" i="43"/>
  <c r="CS62" i="43"/>
  <c r="CR62" i="43"/>
  <c r="CQ62" i="43"/>
  <c r="CP62" i="43"/>
  <c r="CO62" i="43"/>
  <c r="CN62" i="43"/>
  <c r="CM62" i="43"/>
  <c r="CL62" i="43"/>
  <c r="CK62" i="43"/>
  <c r="CJ62" i="43"/>
  <c r="CI62" i="43"/>
  <c r="CH62" i="43"/>
  <c r="CG62" i="43"/>
  <c r="CF62" i="43"/>
  <c r="CE62" i="43"/>
  <c r="CD62" i="43"/>
  <c r="BB62" i="43"/>
  <c r="BA62" i="43"/>
  <c r="AZ62" i="43"/>
  <c r="AY62" i="43"/>
  <c r="AX62" i="43"/>
  <c r="AW62" i="43"/>
  <c r="AV62" i="43"/>
  <c r="AU62" i="43"/>
  <c r="AT62" i="43"/>
  <c r="AS62" i="43"/>
  <c r="AR62" i="43"/>
  <c r="AQ62" i="43"/>
  <c r="AP62" i="43"/>
  <c r="AO62" i="43"/>
  <c r="AN62" i="43"/>
  <c r="AM62" i="43"/>
  <c r="AL62" i="43"/>
  <c r="AK62" i="43"/>
  <c r="AJ62" i="43"/>
  <c r="AI62" i="43"/>
  <c r="AH62" i="43"/>
  <c r="AG62" i="43"/>
  <c r="AF62" i="43"/>
  <c r="AE62" i="43"/>
  <c r="AD62" i="43"/>
  <c r="DB61" i="43"/>
  <c r="DA61" i="43"/>
  <c r="CZ61" i="43"/>
  <c r="CY61" i="43"/>
  <c r="CX61" i="43"/>
  <c r="CW61" i="43"/>
  <c r="CV61" i="43"/>
  <c r="CU61" i="43"/>
  <c r="CT61" i="43"/>
  <c r="CS61" i="43"/>
  <c r="CR61" i="43"/>
  <c r="CQ61" i="43"/>
  <c r="CP61" i="43"/>
  <c r="CO61" i="43"/>
  <c r="CN61" i="43"/>
  <c r="CM61" i="43"/>
  <c r="CL61" i="43"/>
  <c r="CK61" i="43"/>
  <c r="CJ61" i="43"/>
  <c r="CI61" i="43"/>
  <c r="CH61" i="43"/>
  <c r="CG61" i="43"/>
  <c r="CF61" i="43"/>
  <c r="CE61" i="43"/>
  <c r="CD61" i="43"/>
  <c r="BB61" i="43"/>
  <c r="BA61" i="43"/>
  <c r="AZ61" i="43"/>
  <c r="AY61" i="43"/>
  <c r="AX61" i="43"/>
  <c r="AW61" i="43"/>
  <c r="AV61" i="43"/>
  <c r="AU61" i="43"/>
  <c r="AT61" i="43"/>
  <c r="AS61" i="43"/>
  <c r="AR61" i="43"/>
  <c r="AQ61" i="43"/>
  <c r="AP61" i="43"/>
  <c r="AO61" i="43"/>
  <c r="AN61" i="43"/>
  <c r="AM61" i="43"/>
  <c r="AL61" i="43"/>
  <c r="AK61" i="43"/>
  <c r="AJ61" i="43"/>
  <c r="AI61" i="43"/>
  <c r="AH61" i="43"/>
  <c r="AG61" i="43"/>
  <c r="AF61" i="43"/>
  <c r="AE61" i="43"/>
  <c r="AD61" i="43"/>
  <c r="DB60" i="43"/>
  <c r="DA60" i="43"/>
  <c r="CZ60" i="43"/>
  <c r="CY60" i="43"/>
  <c r="CX60" i="43"/>
  <c r="CW60" i="43"/>
  <c r="CV60" i="43"/>
  <c r="CU60" i="43"/>
  <c r="CT60" i="43"/>
  <c r="CS60" i="43"/>
  <c r="CR60" i="43"/>
  <c r="CQ60" i="43"/>
  <c r="CP60" i="43"/>
  <c r="CO60" i="43"/>
  <c r="CN60" i="43"/>
  <c r="CM60" i="43"/>
  <c r="CL60" i="43"/>
  <c r="CK60" i="43"/>
  <c r="CJ60" i="43"/>
  <c r="CI60" i="43"/>
  <c r="CH60" i="43"/>
  <c r="CG60" i="43"/>
  <c r="CF60" i="43"/>
  <c r="CE60" i="43"/>
  <c r="CD60" i="43"/>
  <c r="BB60" i="43"/>
  <c r="BA60" i="43"/>
  <c r="AZ60" i="43"/>
  <c r="AY60" i="43"/>
  <c r="AX60" i="43"/>
  <c r="AW60" i="43"/>
  <c r="AV60" i="43"/>
  <c r="AU60" i="43"/>
  <c r="AT60" i="43"/>
  <c r="AS60" i="43"/>
  <c r="AR60" i="43"/>
  <c r="AQ60" i="43"/>
  <c r="AP60" i="43"/>
  <c r="AO60" i="43"/>
  <c r="AN60" i="43"/>
  <c r="AM60" i="43"/>
  <c r="AL60" i="43"/>
  <c r="AK60" i="43"/>
  <c r="AJ60" i="43"/>
  <c r="AI60" i="43"/>
  <c r="AH60" i="43"/>
  <c r="AG60" i="43"/>
  <c r="AF60" i="43"/>
  <c r="AE60" i="43"/>
  <c r="AD60" i="43"/>
  <c r="DB59" i="43"/>
  <c r="DA59" i="43"/>
  <c r="CZ59" i="43"/>
  <c r="CY59" i="43"/>
  <c r="CX59" i="43"/>
  <c r="CW59" i="43"/>
  <c r="CV59" i="43"/>
  <c r="CU59" i="43"/>
  <c r="CT59" i="43"/>
  <c r="CS59" i="43"/>
  <c r="CR59" i="43"/>
  <c r="CQ59" i="43"/>
  <c r="CP59" i="43"/>
  <c r="CO59" i="43"/>
  <c r="CN59" i="43"/>
  <c r="CM59" i="43"/>
  <c r="CL59" i="43"/>
  <c r="CK59" i="43"/>
  <c r="CJ59" i="43"/>
  <c r="CI59" i="43"/>
  <c r="CH59" i="43"/>
  <c r="CG59" i="43"/>
  <c r="CF59" i="43"/>
  <c r="CE59" i="43"/>
  <c r="CD59" i="43"/>
  <c r="BB59" i="43"/>
  <c r="BA59" i="43"/>
  <c r="AZ59" i="43"/>
  <c r="AY59" i="43"/>
  <c r="AX59" i="43"/>
  <c r="AW59" i="43"/>
  <c r="AV59" i="43"/>
  <c r="AU59" i="43"/>
  <c r="AT59" i="43"/>
  <c r="AS59" i="43"/>
  <c r="AR59" i="43"/>
  <c r="AQ59" i="43"/>
  <c r="AP59" i="43"/>
  <c r="AO59" i="43"/>
  <c r="AN59" i="43"/>
  <c r="AM59" i="43"/>
  <c r="AL59" i="43"/>
  <c r="AK59" i="43"/>
  <c r="AJ59" i="43"/>
  <c r="AI59" i="43"/>
  <c r="AH59" i="43"/>
  <c r="AG59" i="43"/>
  <c r="AF59" i="43"/>
  <c r="AE59" i="43"/>
  <c r="AD59" i="43"/>
  <c r="DB58" i="43"/>
  <c r="DA58" i="43"/>
  <c r="CZ58" i="43"/>
  <c r="CY58" i="43"/>
  <c r="CX58" i="43"/>
  <c r="CW58" i="43"/>
  <c r="CV58" i="43"/>
  <c r="CU58" i="43"/>
  <c r="CT58" i="43"/>
  <c r="CS58" i="43"/>
  <c r="CR58" i="43"/>
  <c r="CQ58" i="43"/>
  <c r="CP58" i="43"/>
  <c r="CO58" i="43"/>
  <c r="CN58" i="43"/>
  <c r="CM58" i="43"/>
  <c r="CL58" i="43"/>
  <c r="CK58" i="43"/>
  <c r="CJ58" i="43"/>
  <c r="CI58" i="43"/>
  <c r="CH58" i="43"/>
  <c r="CG58" i="43"/>
  <c r="CF58" i="43"/>
  <c r="CE58" i="43"/>
  <c r="CD58" i="43"/>
  <c r="BB58" i="43"/>
  <c r="BA58" i="43"/>
  <c r="AZ58" i="43"/>
  <c r="AY58" i="43"/>
  <c r="AX58" i="43"/>
  <c r="AW58" i="43"/>
  <c r="AV58" i="43"/>
  <c r="AU58" i="43"/>
  <c r="AT58" i="43"/>
  <c r="AS58" i="43"/>
  <c r="AR58" i="43"/>
  <c r="AQ58" i="43"/>
  <c r="AP58" i="43"/>
  <c r="AO58" i="43"/>
  <c r="AN58" i="43"/>
  <c r="AM58" i="43"/>
  <c r="AL58" i="43"/>
  <c r="AK58" i="43"/>
  <c r="AJ58" i="43"/>
  <c r="AI58" i="43"/>
  <c r="AH58" i="43"/>
  <c r="AG58" i="43"/>
  <c r="AF58" i="43"/>
  <c r="AE58" i="43"/>
  <c r="AD58" i="43"/>
  <c r="DB57" i="43"/>
  <c r="DA57" i="43"/>
  <c r="CZ57" i="43"/>
  <c r="CY57" i="43"/>
  <c r="CX57" i="43"/>
  <c r="CW57" i="43"/>
  <c r="CV57" i="43"/>
  <c r="CU57" i="43"/>
  <c r="CT57" i="43"/>
  <c r="CS57" i="43"/>
  <c r="CR57" i="43"/>
  <c r="CQ57" i="43"/>
  <c r="CP57" i="43"/>
  <c r="CO57" i="43"/>
  <c r="CN57" i="43"/>
  <c r="CM57" i="43"/>
  <c r="CL57" i="43"/>
  <c r="CK57" i="43"/>
  <c r="CJ57" i="43"/>
  <c r="CI57" i="43"/>
  <c r="CH57" i="43"/>
  <c r="CG57" i="43"/>
  <c r="CF57" i="43"/>
  <c r="CE57" i="43"/>
  <c r="CD57" i="43"/>
  <c r="BB57" i="43"/>
  <c r="BA57" i="43"/>
  <c r="AZ57" i="43"/>
  <c r="AY57" i="43"/>
  <c r="AX57" i="43"/>
  <c r="AW57" i="43"/>
  <c r="AV57" i="43"/>
  <c r="AU57" i="43"/>
  <c r="AT57" i="43"/>
  <c r="AS57" i="43"/>
  <c r="AR57" i="43"/>
  <c r="AQ57" i="43"/>
  <c r="AP57" i="43"/>
  <c r="AO57" i="43"/>
  <c r="AN57" i="43"/>
  <c r="AM57" i="43"/>
  <c r="AL57" i="43"/>
  <c r="AK57" i="43"/>
  <c r="AJ57" i="43"/>
  <c r="AI57" i="43"/>
  <c r="AH57" i="43"/>
  <c r="AG57" i="43"/>
  <c r="AF57" i="43"/>
  <c r="AE57" i="43"/>
  <c r="AD57" i="43"/>
  <c r="DB56" i="43"/>
  <c r="DA56" i="43"/>
  <c r="CZ56" i="43"/>
  <c r="CY56" i="43"/>
  <c r="CX56" i="43"/>
  <c r="CW56" i="43"/>
  <c r="CV56" i="43"/>
  <c r="CU56" i="43"/>
  <c r="CT56" i="43"/>
  <c r="CS56" i="43"/>
  <c r="CR56" i="43"/>
  <c r="CQ56" i="43"/>
  <c r="CP56" i="43"/>
  <c r="CO56" i="43"/>
  <c r="CN56" i="43"/>
  <c r="CM56" i="43"/>
  <c r="CL56" i="43"/>
  <c r="CK56" i="43"/>
  <c r="CJ56" i="43"/>
  <c r="CI56" i="43"/>
  <c r="CH56" i="43"/>
  <c r="CG56" i="43"/>
  <c r="CF56" i="43"/>
  <c r="CE56" i="43"/>
  <c r="CD56" i="43"/>
  <c r="BB56" i="43"/>
  <c r="BA56" i="43"/>
  <c r="AZ56" i="43"/>
  <c r="AY56" i="43"/>
  <c r="AX56" i="43"/>
  <c r="AW56" i="43"/>
  <c r="AV56" i="43"/>
  <c r="AU56" i="43"/>
  <c r="AT56" i="43"/>
  <c r="AS56" i="43"/>
  <c r="AR56" i="43"/>
  <c r="AQ56" i="43"/>
  <c r="AP56" i="43"/>
  <c r="AO56" i="43"/>
  <c r="AN56" i="43"/>
  <c r="AM56" i="43"/>
  <c r="AL56" i="43"/>
  <c r="AK56" i="43"/>
  <c r="AJ56" i="43"/>
  <c r="AI56" i="43"/>
  <c r="AH56" i="43"/>
  <c r="AG56" i="43"/>
  <c r="AF56" i="43"/>
  <c r="AE56" i="43"/>
  <c r="AD56" i="43"/>
  <c r="DB55" i="43"/>
  <c r="DA55" i="43"/>
  <c r="CZ55" i="43"/>
  <c r="CY55" i="43"/>
  <c r="CX55" i="43"/>
  <c r="CW55" i="43"/>
  <c r="CV55" i="43"/>
  <c r="CU55" i="43"/>
  <c r="CT55" i="43"/>
  <c r="CS55" i="43"/>
  <c r="CR55" i="43"/>
  <c r="CQ55" i="43"/>
  <c r="CP55" i="43"/>
  <c r="CO55" i="43"/>
  <c r="CN55" i="43"/>
  <c r="CM55" i="43"/>
  <c r="CL55" i="43"/>
  <c r="CK55" i="43"/>
  <c r="CJ55" i="43"/>
  <c r="CI55" i="43"/>
  <c r="CH55" i="43"/>
  <c r="CG55" i="43"/>
  <c r="CF55" i="43"/>
  <c r="CE55" i="43"/>
  <c r="CD55" i="43"/>
  <c r="BB55" i="43"/>
  <c r="BA55" i="43"/>
  <c r="AZ55" i="43"/>
  <c r="AY55" i="43"/>
  <c r="AX55" i="43"/>
  <c r="AW55" i="43"/>
  <c r="AV55" i="43"/>
  <c r="AU55" i="43"/>
  <c r="AT55" i="43"/>
  <c r="AS55" i="43"/>
  <c r="AR55" i="43"/>
  <c r="AQ55" i="43"/>
  <c r="AP55" i="43"/>
  <c r="AO55" i="43"/>
  <c r="AN55" i="43"/>
  <c r="AM55" i="43"/>
  <c r="AL55" i="43"/>
  <c r="AK55" i="43"/>
  <c r="AJ55" i="43"/>
  <c r="AI55" i="43"/>
  <c r="AH55" i="43"/>
  <c r="AG55" i="43"/>
  <c r="AF55" i="43"/>
  <c r="AE55" i="43"/>
  <c r="AD55" i="43"/>
  <c r="DB54" i="43"/>
  <c r="DA54" i="43"/>
  <c r="CZ54" i="43"/>
  <c r="CY54" i="43"/>
  <c r="CX54" i="43"/>
  <c r="CW54" i="43"/>
  <c r="CV54" i="43"/>
  <c r="CU54" i="43"/>
  <c r="CT54" i="43"/>
  <c r="CS54" i="43"/>
  <c r="CR54" i="43"/>
  <c r="CQ54" i="43"/>
  <c r="CP54" i="43"/>
  <c r="CO54" i="43"/>
  <c r="CN54" i="43"/>
  <c r="CM54" i="43"/>
  <c r="CL54" i="43"/>
  <c r="CK54" i="43"/>
  <c r="CJ54" i="43"/>
  <c r="CI54" i="43"/>
  <c r="CH54" i="43"/>
  <c r="CG54" i="43"/>
  <c r="CF54" i="43"/>
  <c r="CE54" i="43"/>
  <c r="CD54" i="43"/>
  <c r="BB54" i="43"/>
  <c r="BA54" i="43"/>
  <c r="AZ54" i="43"/>
  <c r="AY54" i="43"/>
  <c r="AX54" i="43"/>
  <c r="AW54" i="43"/>
  <c r="AV54" i="43"/>
  <c r="AU54" i="43"/>
  <c r="AT54" i="43"/>
  <c r="AS54" i="43"/>
  <c r="AR54" i="43"/>
  <c r="AQ54" i="43"/>
  <c r="AP54" i="43"/>
  <c r="AO54" i="43"/>
  <c r="AN54" i="43"/>
  <c r="AM54" i="43"/>
  <c r="AL54" i="43"/>
  <c r="AK54" i="43"/>
  <c r="AJ54" i="43"/>
  <c r="AI54" i="43"/>
  <c r="AH54" i="43"/>
  <c r="AG54" i="43"/>
  <c r="AF54" i="43"/>
  <c r="AE54" i="43"/>
  <c r="AD54" i="43"/>
  <c r="DB53" i="43"/>
  <c r="DA53" i="43"/>
  <c r="CZ53" i="43"/>
  <c r="CY53" i="43"/>
  <c r="CX53" i="43"/>
  <c r="CW53" i="43"/>
  <c r="CV53" i="43"/>
  <c r="CU53" i="43"/>
  <c r="CT53" i="43"/>
  <c r="CS53" i="43"/>
  <c r="CR53" i="43"/>
  <c r="CQ53" i="43"/>
  <c r="CP53" i="43"/>
  <c r="CO53" i="43"/>
  <c r="CN53" i="43"/>
  <c r="CM53" i="43"/>
  <c r="CL53" i="43"/>
  <c r="CK53" i="43"/>
  <c r="CJ53" i="43"/>
  <c r="CI53" i="43"/>
  <c r="CH53" i="43"/>
  <c r="CG53" i="43"/>
  <c r="CF53" i="43"/>
  <c r="CE53" i="43"/>
  <c r="CD53" i="43"/>
  <c r="BB53" i="43"/>
  <c r="BA53" i="43"/>
  <c r="AZ53" i="43"/>
  <c r="AY53" i="43"/>
  <c r="AX53" i="43"/>
  <c r="AW53" i="43"/>
  <c r="AV53" i="43"/>
  <c r="AU53" i="43"/>
  <c r="AT53" i="43"/>
  <c r="AS53" i="43"/>
  <c r="AR53" i="43"/>
  <c r="AQ53" i="43"/>
  <c r="AP53" i="43"/>
  <c r="AO53" i="43"/>
  <c r="AN53" i="43"/>
  <c r="AM53" i="43"/>
  <c r="AL53" i="43"/>
  <c r="AK53" i="43"/>
  <c r="AJ53" i="43"/>
  <c r="AI53" i="43"/>
  <c r="AH53" i="43"/>
  <c r="AG53" i="43"/>
  <c r="AF53" i="43"/>
  <c r="AE53" i="43"/>
  <c r="AD53" i="43"/>
  <c r="DB52" i="43"/>
  <c r="DA52" i="43"/>
  <c r="CZ52" i="43"/>
  <c r="CY52" i="43"/>
  <c r="CX52" i="43"/>
  <c r="CW52" i="43"/>
  <c r="CV52" i="43"/>
  <c r="CU52" i="43"/>
  <c r="CT52" i="43"/>
  <c r="CS52" i="43"/>
  <c r="CR52" i="43"/>
  <c r="CQ52" i="43"/>
  <c r="CP52" i="43"/>
  <c r="CO52" i="43"/>
  <c r="CN52" i="43"/>
  <c r="CM52" i="43"/>
  <c r="CL52" i="43"/>
  <c r="CK52" i="43"/>
  <c r="CJ52" i="43"/>
  <c r="CI52" i="43"/>
  <c r="CH52" i="43"/>
  <c r="CG52" i="43"/>
  <c r="CF52" i="43"/>
  <c r="CE52" i="43"/>
  <c r="CD52" i="43"/>
  <c r="BB52" i="43"/>
  <c r="BA52" i="43"/>
  <c r="AZ52" i="43"/>
  <c r="AY52" i="43"/>
  <c r="AX52" i="43"/>
  <c r="AW52" i="43"/>
  <c r="AV52" i="43"/>
  <c r="AU52" i="43"/>
  <c r="AT52" i="43"/>
  <c r="AS52" i="43"/>
  <c r="AR52" i="43"/>
  <c r="AQ52" i="43"/>
  <c r="AP52" i="43"/>
  <c r="AO52" i="43"/>
  <c r="AN52" i="43"/>
  <c r="AM52" i="43"/>
  <c r="AL52" i="43"/>
  <c r="AK52" i="43"/>
  <c r="AJ52" i="43"/>
  <c r="AI52" i="43"/>
  <c r="AH52" i="43"/>
  <c r="AG52" i="43"/>
  <c r="AF52" i="43"/>
  <c r="AE52" i="43"/>
  <c r="AD52" i="43"/>
  <c r="DB51" i="43"/>
  <c r="DA51" i="43"/>
  <c r="CZ51" i="43"/>
  <c r="CY51" i="43"/>
  <c r="CX51" i="43"/>
  <c r="CW51" i="43"/>
  <c r="CV51" i="43"/>
  <c r="CU51" i="43"/>
  <c r="CT51" i="43"/>
  <c r="CS51" i="43"/>
  <c r="CR51" i="43"/>
  <c r="CQ51" i="43"/>
  <c r="CP51" i="43"/>
  <c r="CO51" i="43"/>
  <c r="CN51" i="43"/>
  <c r="CM51" i="43"/>
  <c r="CL51" i="43"/>
  <c r="CK51" i="43"/>
  <c r="CJ51" i="43"/>
  <c r="CI51" i="43"/>
  <c r="CH51" i="43"/>
  <c r="CG51" i="43"/>
  <c r="CF51" i="43"/>
  <c r="CE51" i="43"/>
  <c r="CD51" i="43"/>
  <c r="BB51" i="43"/>
  <c r="BA51" i="43"/>
  <c r="AZ51" i="43"/>
  <c r="AY51" i="43"/>
  <c r="AX51" i="43"/>
  <c r="AW51" i="43"/>
  <c r="AV51" i="43"/>
  <c r="AU51" i="43"/>
  <c r="AT51" i="43"/>
  <c r="AS51" i="43"/>
  <c r="AR51" i="43"/>
  <c r="AQ51" i="43"/>
  <c r="AP51" i="43"/>
  <c r="AO51" i="43"/>
  <c r="AN51" i="43"/>
  <c r="AM51" i="43"/>
  <c r="AL51" i="43"/>
  <c r="AK51" i="43"/>
  <c r="AJ51" i="43"/>
  <c r="AI51" i="43"/>
  <c r="AH51" i="43"/>
  <c r="AG51" i="43"/>
  <c r="AF51" i="43"/>
  <c r="AE51" i="43"/>
  <c r="AD51" i="43"/>
  <c r="DB50" i="43"/>
  <c r="DA50" i="43"/>
  <c r="CZ50" i="43"/>
  <c r="CY50" i="43"/>
  <c r="CX50" i="43"/>
  <c r="CW50" i="43"/>
  <c r="CV50" i="43"/>
  <c r="CU50" i="43"/>
  <c r="CT50" i="43"/>
  <c r="CS50" i="43"/>
  <c r="CR50" i="43"/>
  <c r="CQ50" i="43"/>
  <c r="CP50" i="43"/>
  <c r="CO50" i="43"/>
  <c r="CN50" i="43"/>
  <c r="CM50" i="43"/>
  <c r="CL50" i="43"/>
  <c r="CK50" i="43"/>
  <c r="CJ50" i="43"/>
  <c r="CI50" i="43"/>
  <c r="CH50" i="43"/>
  <c r="CG50" i="43"/>
  <c r="CF50" i="43"/>
  <c r="CE50" i="43"/>
  <c r="CD50" i="43"/>
  <c r="BB50" i="43"/>
  <c r="BA50" i="43"/>
  <c r="AZ50" i="43"/>
  <c r="AY50" i="43"/>
  <c r="AX50" i="43"/>
  <c r="AW50" i="43"/>
  <c r="AV50" i="43"/>
  <c r="AU50" i="43"/>
  <c r="AT50" i="43"/>
  <c r="AS50" i="43"/>
  <c r="AR50" i="43"/>
  <c r="AQ50" i="43"/>
  <c r="AP50" i="43"/>
  <c r="AO50" i="43"/>
  <c r="AN50" i="43"/>
  <c r="AM50" i="43"/>
  <c r="AL50" i="43"/>
  <c r="AK50" i="43"/>
  <c r="AJ50" i="43"/>
  <c r="AI50" i="43"/>
  <c r="AH50" i="43"/>
  <c r="AG50" i="43"/>
  <c r="AF50" i="43"/>
  <c r="AE50" i="43"/>
  <c r="AD50" i="43"/>
  <c r="BY23" i="44"/>
  <c r="BB23" i="43"/>
  <c r="DB49" i="43"/>
  <c r="BX23" i="44"/>
  <c r="BA23" i="43"/>
  <c r="DA49" i="43"/>
  <c r="CZ49" i="43"/>
  <c r="CY49" i="43"/>
  <c r="CX49" i="43"/>
  <c r="CW49" i="43"/>
  <c r="CV49" i="43"/>
  <c r="CU49" i="43"/>
  <c r="CT49" i="43"/>
  <c r="CS49" i="43"/>
  <c r="CR49" i="43"/>
  <c r="CQ49" i="43"/>
  <c r="CP49" i="43"/>
  <c r="CO49" i="43"/>
  <c r="CN49" i="43"/>
  <c r="CM49" i="43"/>
  <c r="CL49" i="43"/>
  <c r="CK49" i="43"/>
  <c r="CJ49" i="43"/>
  <c r="CI49" i="43"/>
  <c r="CH49" i="43"/>
  <c r="CG49" i="43"/>
  <c r="CF49" i="43"/>
  <c r="BB23" i="44"/>
  <c r="AE23" i="43"/>
  <c r="CE49" i="43"/>
  <c r="BA23" i="44"/>
  <c r="AD23" i="43"/>
  <c r="CD49" i="43"/>
  <c r="BB49" i="43"/>
  <c r="BA49" i="43"/>
  <c r="AZ49" i="43"/>
  <c r="AY49" i="43"/>
  <c r="AX49" i="43"/>
  <c r="AW49" i="43"/>
  <c r="AV49" i="43"/>
  <c r="AU49" i="43"/>
  <c r="AT49" i="43"/>
  <c r="AS49" i="43"/>
  <c r="AR49" i="43"/>
  <c r="AQ49" i="43"/>
  <c r="AP49" i="43"/>
  <c r="AO49" i="43"/>
  <c r="AN49" i="43"/>
  <c r="AM49" i="43"/>
  <c r="AL49" i="43"/>
  <c r="AK49" i="43"/>
  <c r="AJ49" i="43"/>
  <c r="AI49" i="43"/>
  <c r="AH49" i="43"/>
  <c r="AG49" i="43"/>
  <c r="AF49" i="43"/>
  <c r="AE49" i="43"/>
  <c r="AD49" i="43"/>
  <c r="BY6" i="44"/>
  <c r="DB6" i="43"/>
  <c r="DB47" i="43"/>
  <c r="BX6" i="44"/>
  <c r="DA6" i="43"/>
  <c r="DA47" i="43"/>
  <c r="BW6" i="44"/>
  <c r="CZ6" i="43"/>
  <c r="CZ47" i="43"/>
  <c r="BV6" i="44"/>
  <c r="CY6" i="43"/>
  <c r="CY47" i="43"/>
  <c r="BU6" i="44"/>
  <c r="CX6" i="43"/>
  <c r="CX47" i="43"/>
  <c r="BT6" i="44"/>
  <c r="CW6" i="43"/>
  <c r="CW47" i="43"/>
  <c r="BS6" i="44"/>
  <c r="CV6" i="43"/>
  <c r="CV47" i="43"/>
  <c r="BR6" i="44"/>
  <c r="CU6" i="43"/>
  <c r="CU47" i="43"/>
  <c r="BQ6" i="44"/>
  <c r="CT6" i="43"/>
  <c r="CT47" i="43"/>
  <c r="BP6" i="44"/>
  <c r="CS6" i="43"/>
  <c r="CS47" i="43"/>
  <c r="BO6" i="44"/>
  <c r="CR6" i="43"/>
  <c r="CR47" i="43"/>
  <c r="BN6" i="44"/>
  <c r="CQ6" i="43"/>
  <c r="CQ47" i="43"/>
  <c r="BM6" i="44"/>
  <c r="CP6" i="43"/>
  <c r="CP47" i="43"/>
  <c r="BL6" i="44"/>
  <c r="CO6" i="43"/>
  <c r="CO47" i="43"/>
  <c r="BK6" i="44"/>
  <c r="CN6" i="43"/>
  <c r="CN47" i="43"/>
  <c r="BJ6" i="44"/>
  <c r="CM6" i="43"/>
  <c r="CM47" i="43"/>
  <c r="BI6" i="44"/>
  <c r="CL6" i="43"/>
  <c r="CL47" i="43"/>
  <c r="BH6" i="44"/>
  <c r="CK6" i="43"/>
  <c r="CK47" i="43"/>
  <c r="BG6" i="44"/>
  <c r="CJ6" i="43"/>
  <c r="CJ47" i="43"/>
  <c r="BF6" i="44"/>
  <c r="CI6" i="43"/>
  <c r="CI47" i="43"/>
  <c r="BE6" i="44"/>
  <c r="CH6" i="43"/>
  <c r="CH47" i="43"/>
  <c r="BD6" i="44"/>
  <c r="CG6" i="43"/>
  <c r="CG47" i="43"/>
  <c r="BC6" i="44"/>
  <c r="CF6" i="43"/>
  <c r="CF47" i="43"/>
  <c r="BB6" i="44"/>
  <c r="CE6" i="43"/>
  <c r="CE47" i="43"/>
  <c r="BA6" i="44"/>
  <c r="CD6" i="43"/>
  <c r="CD47" i="43"/>
  <c r="BB6" i="43"/>
  <c r="BB47" i="43"/>
  <c r="BA6" i="43"/>
  <c r="BA47" i="43"/>
  <c r="AZ6" i="43"/>
  <c r="AZ47" i="43"/>
  <c r="AY6" i="43"/>
  <c r="AY47" i="43"/>
  <c r="AX6" i="43"/>
  <c r="AX47" i="43"/>
  <c r="AW6" i="43"/>
  <c r="AW47" i="43"/>
  <c r="AV6" i="43"/>
  <c r="AV47" i="43"/>
  <c r="AU6" i="43"/>
  <c r="AU47" i="43"/>
  <c r="AT6" i="43"/>
  <c r="AT47" i="43"/>
  <c r="AS6" i="43"/>
  <c r="AS47" i="43"/>
  <c r="AR6" i="43"/>
  <c r="AR47" i="43"/>
  <c r="AQ6" i="43"/>
  <c r="AQ47" i="43"/>
  <c r="AP6" i="43"/>
  <c r="AP47" i="43"/>
  <c r="AO6" i="43"/>
  <c r="AO47" i="43"/>
  <c r="AN6" i="43"/>
  <c r="AN47" i="43"/>
  <c r="AM6" i="43"/>
  <c r="AM47" i="43"/>
  <c r="AL6" i="43"/>
  <c r="AL47" i="43"/>
  <c r="AK6" i="43"/>
  <c r="AK47" i="43"/>
  <c r="AJ6" i="43"/>
  <c r="AJ47" i="43"/>
  <c r="AI6" i="43"/>
  <c r="AI47" i="43"/>
  <c r="AH6" i="43"/>
  <c r="AH47" i="43"/>
  <c r="AG6" i="43"/>
  <c r="AG47" i="43"/>
  <c r="AF6" i="43"/>
  <c r="AF47" i="43"/>
  <c r="AE6" i="43"/>
  <c r="AE47" i="43"/>
  <c r="AD6" i="43"/>
  <c r="AD47" i="43"/>
  <c r="BY10" i="44"/>
  <c r="DB10" i="43"/>
  <c r="DB46" i="43"/>
  <c r="BX10" i="44"/>
  <c r="DA10" i="43"/>
  <c r="DA46" i="43"/>
  <c r="BW10" i="44"/>
  <c r="CZ10" i="43"/>
  <c r="CZ46" i="43"/>
  <c r="BV10" i="44"/>
  <c r="CY10" i="43"/>
  <c r="CY46" i="43"/>
  <c r="BU10" i="44"/>
  <c r="CX10" i="43"/>
  <c r="CX46" i="43"/>
  <c r="BT10" i="44"/>
  <c r="CW10" i="43"/>
  <c r="CW46" i="43"/>
  <c r="BS10" i="44"/>
  <c r="CV10" i="43"/>
  <c r="CV46" i="43"/>
  <c r="BR10" i="44"/>
  <c r="CU10" i="43"/>
  <c r="CU46" i="43"/>
  <c r="BQ10" i="44"/>
  <c r="CT10" i="43"/>
  <c r="CT46" i="43"/>
  <c r="BP10" i="44"/>
  <c r="CS10" i="43"/>
  <c r="CS46" i="43"/>
  <c r="BO10" i="44"/>
  <c r="CR10" i="43"/>
  <c r="CR46" i="43"/>
  <c r="BN10" i="44"/>
  <c r="CQ10" i="43"/>
  <c r="CQ46" i="43"/>
  <c r="BM10" i="44"/>
  <c r="CP10" i="43"/>
  <c r="CP46" i="43"/>
  <c r="BL10" i="44"/>
  <c r="CO10" i="43"/>
  <c r="CO46" i="43"/>
  <c r="BK10" i="44"/>
  <c r="CN10" i="43"/>
  <c r="CN46" i="43"/>
  <c r="BJ10" i="44"/>
  <c r="CM10" i="43"/>
  <c r="CM46" i="43"/>
  <c r="BI10" i="44"/>
  <c r="CL10" i="43"/>
  <c r="CL46" i="43"/>
  <c r="BH10" i="44"/>
  <c r="CK10" i="43"/>
  <c r="CK46" i="43"/>
  <c r="BG10" i="44"/>
  <c r="CJ10" i="43"/>
  <c r="CJ46" i="43"/>
  <c r="BF10" i="44"/>
  <c r="CI10" i="43"/>
  <c r="CI46" i="43"/>
  <c r="BE10" i="44"/>
  <c r="CH10" i="43"/>
  <c r="CH46" i="43"/>
  <c r="BD10" i="44"/>
  <c r="CG10" i="43"/>
  <c r="CG46" i="43"/>
  <c r="BC10" i="44"/>
  <c r="CF10" i="43"/>
  <c r="CF46" i="43"/>
  <c r="BB10" i="44"/>
  <c r="CE10" i="43"/>
  <c r="CE46" i="43"/>
  <c r="BA10" i="44"/>
  <c r="CD10" i="43"/>
  <c r="CD46" i="43"/>
  <c r="BB10" i="43"/>
  <c r="BB46" i="43"/>
  <c r="BA10" i="43"/>
  <c r="BA46" i="43"/>
  <c r="AZ10" i="43"/>
  <c r="AZ46" i="43"/>
  <c r="AY10" i="43"/>
  <c r="AY46" i="43"/>
  <c r="AX10" i="43"/>
  <c r="AX46" i="43"/>
  <c r="AW10" i="43"/>
  <c r="AW46" i="43"/>
  <c r="AV10" i="43"/>
  <c r="AV46" i="43"/>
  <c r="AU10" i="43"/>
  <c r="AU46" i="43"/>
  <c r="AT10" i="43"/>
  <c r="AT46" i="43"/>
  <c r="AS10" i="43"/>
  <c r="AS46" i="43"/>
  <c r="AR10" i="43"/>
  <c r="AR46" i="43"/>
  <c r="AQ10" i="43"/>
  <c r="AQ46" i="43"/>
  <c r="AP10" i="43"/>
  <c r="AP46" i="43"/>
  <c r="AO10" i="43"/>
  <c r="AO46" i="43"/>
  <c r="AN10" i="43"/>
  <c r="AN46" i="43"/>
  <c r="AM10" i="43"/>
  <c r="AM46" i="43"/>
  <c r="AL10" i="43"/>
  <c r="AL46" i="43"/>
  <c r="AK10" i="43"/>
  <c r="AK46" i="43"/>
  <c r="AJ10" i="43"/>
  <c r="AJ46" i="43"/>
  <c r="AI10" i="43"/>
  <c r="AI46" i="43"/>
  <c r="AH10" i="43"/>
  <c r="AH46" i="43"/>
  <c r="AG10" i="43"/>
  <c r="AG46" i="43"/>
  <c r="AF10" i="43"/>
  <c r="AF46" i="43"/>
  <c r="AE10" i="43"/>
  <c r="AE46" i="43"/>
  <c r="AD10" i="43"/>
  <c r="AD46" i="43"/>
  <c r="BY15" i="44"/>
  <c r="DB15" i="43"/>
  <c r="DB44" i="43"/>
  <c r="BX15" i="44"/>
  <c r="DA15" i="43"/>
  <c r="DA44" i="43"/>
  <c r="BW15" i="44"/>
  <c r="CZ15" i="43"/>
  <c r="CZ44" i="43"/>
  <c r="BV15" i="44"/>
  <c r="CY15" i="43"/>
  <c r="CY44" i="43"/>
  <c r="BU15" i="44"/>
  <c r="CX15" i="43"/>
  <c r="CX44" i="43"/>
  <c r="BT15" i="44"/>
  <c r="CW15" i="43"/>
  <c r="CW44" i="43"/>
  <c r="BS15" i="44"/>
  <c r="CV15" i="43"/>
  <c r="CV44" i="43"/>
  <c r="BR15" i="44"/>
  <c r="CU15" i="43"/>
  <c r="CU44" i="43"/>
  <c r="BQ15" i="44"/>
  <c r="CT15" i="43"/>
  <c r="CT44" i="43"/>
  <c r="BP15" i="44"/>
  <c r="CS15" i="43"/>
  <c r="CS44" i="43"/>
  <c r="BO15" i="44"/>
  <c r="CR15" i="43"/>
  <c r="CR44" i="43"/>
  <c r="BN15" i="44"/>
  <c r="CQ15" i="43"/>
  <c r="CQ44" i="43"/>
  <c r="BM15" i="44"/>
  <c r="CP15" i="43"/>
  <c r="CP44" i="43"/>
  <c r="BL15" i="44"/>
  <c r="CO15" i="43"/>
  <c r="CO44" i="43"/>
  <c r="BK15" i="44"/>
  <c r="CN15" i="43"/>
  <c r="CN44" i="43"/>
  <c r="BJ15" i="44"/>
  <c r="CM15" i="43"/>
  <c r="CM44" i="43"/>
  <c r="BI15" i="44"/>
  <c r="CL15" i="43"/>
  <c r="CL44" i="43"/>
  <c r="BH15" i="44"/>
  <c r="CK15" i="43"/>
  <c r="CK44" i="43"/>
  <c r="BG15" i="44"/>
  <c r="CJ15" i="43"/>
  <c r="CJ44" i="43"/>
  <c r="BF15" i="44"/>
  <c r="CI15" i="43"/>
  <c r="CI44" i="43"/>
  <c r="BE15" i="44"/>
  <c r="CH15" i="43"/>
  <c r="CH44" i="43"/>
  <c r="BD15" i="44"/>
  <c r="CG15" i="43"/>
  <c r="CG44" i="43"/>
  <c r="BC15" i="44"/>
  <c r="CF15" i="43"/>
  <c r="CF44" i="43"/>
  <c r="BB15" i="44"/>
  <c r="CE15" i="43"/>
  <c r="CE44" i="43"/>
  <c r="BA15" i="44"/>
  <c r="CD15" i="43"/>
  <c r="CD44" i="43"/>
  <c r="BB15" i="43"/>
  <c r="BB44" i="43"/>
  <c r="BA15" i="43"/>
  <c r="BA44" i="43"/>
  <c r="AZ15" i="43"/>
  <c r="AZ44" i="43"/>
  <c r="AY15" i="43"/>
  <c r="AY44" i="43"/>
  <c r="AX15" i="43"/>
  <c r="AX44" i="43"/>
  <c r="AW15" i="43"/>
  <c r="AW44" i="43"/>
  <c r="AV15" i="43"/>
  <c r="AV44" i="43"/>
  <c r="AU15" i="43"/>
  <c r="AU44" i="43"/>
  <c r="AT15" i="43"/>
  <c r="AT44" i="43"/>
  <c r="AS15" i="43"/>
  <c r="AS44" i="43"/>
  <c r="AR15" i="43"/>
  <c r="AR44" i="43"/>
  <c r="AQ15" i="43"/>
  <c r="AQ44" i="43"/>
  <c r="AP15" i="43"/>
  <c r="AP44" i="43"/>
  <c r="AO15" i="43"/>
  <c r="AO44" i="43"/>
  <c r="AN15" i="43"/>
  <c r="AN44" i="43"/>
  <c r="AM15" i="43"/>
  <c r="AM44" i="43"/>
  <c r="AL15" i="43"/>
  <c r="AL44" i="43"/>
  <c r="AK15" i="43"/>
  <c r="AK44" i="43"/>
  <c r="AJ15" i="43"/>
  <c r="AJ44" i="43"/>
  <c r="AI15" i="43"/>
  <c r="AI44" i="43"/>
  <c r="AH15" i="43"/>
  <c r="AH44" i="43"/>
  <c r="AG15" i="43"/>
  <c r="AG44" i="43"/>
  <c r="AF15" i="43"/>
  <c r="AF44" i="43"/>
  <c r="AE15" i="43"/>
  <c r="AE44" i="43"/>
  <c r="AD15" i="43"/>
  <c r="AD44" i="43"/>
  <c r="BY28" i="44"/>
  <c r="DB28" i="43"/>
  <c r="DB43" i="43"/>
  <c r="BX28" i="44"/>
  <c r="DA28" i="43"/>
  <c r="DA43" i="43"/>
  <c r="BW28" i="44"/>
  <c r="CZ28" i="43"/>
  <c r="CZ43" i="43"/>
  <c r="BV28" i="44"/>
  <c r="CY28" i="43"/>
  <c r="CY43" i="43"/>
  <c r="BU28" i="44"/>
  <c r="CX28" i="43"/>
  <c r="CX43" i="43"/>
  <c r="BT28" i="44"/>
  <c r="CW28" i="43"/>
  <c r="CW43" i="43"/>
  <c r="BS28" i="44"/>
  <c r="CV28" i="43"/>
  <c r="CV43" i="43"/>
  <c r="BR28" i="44"/>
  <c r="CU28" i="43"/>
  <c r="CU43" i="43"/>
  <c r="BQ28" i="44"/>
  <c r="CT28" i="43"/>
  <c r="CT43" i="43"/>
  <c r="BP28" i="44"/>
  <c r="CS28" i="43"/>
  <c r="CS43" i="43"/>
  <c r="BO28" i="44"/>
  <c r="CR28" i="43"/>
  <c r="CR43" i="43"/>
  <c r="BN28" i="44"/>
  <c r="CQ28" i="43"/>
  <c r="CQ43" i="43"/>
  <c r="BM28" i="44"/>
  <c r="CP28" i="43"/>
  <c r="CP43" i="43"/>
  <c r="BL28" i="44"/>
  <c r="CO28" i="43"/>
  <c r="CO43" i="43"/>
  <c r="BK28" i="44"/>
  <c r="CN28" i="43"/>
  <c r="CN43" i="43"/>
  <c r="BJ28" i="44"/>
  <c r="CM28" i="43"/>
  <c r="CM43" i="43"/>
  <c r="BI28" i="44"/>
  <c r="CL28" i="43"/>
  <c r="CL43" i="43"/>
  <c r="BH28" i="44"/>
  <c r="CK28" i="43"/>
  <c r="CK43" i="43"/>
  <c r="BG28" i="44"/>
  <c r="CJ28" i="43"/>
  <c r="CJ43" i="43"/>
  <c r="BF28" i="44"/>
  <c r="CI28" i="43"/>
  <c r="CI43" i="43"/>
  <c r="BE28" i="44"/>
  <c r="CH28" i="43"/>
  <c r="CH43" i="43"/>
  <c r="BD28" i="44"/>
  <c r="CG28" i="43"/>
  <c r="CG43" i="43"/>
  <c r="BC28" i="44"/>
  <c r="CF28" i="43"/>
  <c r="CF43" i="43"/>
  <c r="BB28" i="44"/>
  <c r="CE28" i="43"/>
  <c r="CE43" i="43"/>
  <c r="BA28" i="44"/>
  <c r="CD28" i="43"/>
  <c r="CD43" i="43"/>
  <c r="BB28" i="43"/>
  <c r="BB43" i="43"/>
  <c r="BA28" i="43"/>
  <c r="BA43" i="43"/>
  <c r="AZ28" i="43"/>
  <c r="AZ43" i="43"/>
  <c r="AY28" i="43"/>
  <c r="AY43" i="43"/>
  <c r="AX28" i="43"/>
  <c r="AX43" i="43"/>
  <c r="AW28" i="43"/>
  <c r="AW43" i="43"/>
  <c r="AV28" i="43"/>
  <c r="AV43" i="43"/>
  <c r="AU28" i="43"/>
  <c r="AU43" i="43"/>
  <c r="AT28" i="43"/>
  <c r="AT43" i="43"/>
  <c r="AS28" i="43"/>
  <c r="AS43" i="43"/>
  <c r="AR28" i="43"/>
  <c r="AR43" i="43"/>
  <c r="AQ28" i="43"/>
  <c r="AQ43" i="43"/>
  <c r="AP28" i="43"/>
  <c r="AP43" i="43"/>
  <c r="AO28" i="43"/>
  <c r="AO43" i="43"/>
  <c r="AN28" i="43"/>
  <c r="AN43" i="43"/>
  <c r="AM28" i="43"/>
  <c r="AM43" i="43"/>
  <c r="AL28" i="43"/>
  <c r="AL43" i="43"/>
  <c r="AK28" i="43"/>
  <c r="AK43" i="43"/>
  <c r="AJ28" i="43"/>
  <c r="AJ43" i="43"/>
  <c r="AI28" i="43"/>
  <c r="AI43" i="43"/>
  <c r="AH28" i="43"/>
  <c r="AH43" i="43"/>
  <c r="AG28" i="43"/>
  <c r="AG43" i="43"/>
  <c r="AF28" i="43"/>
  <c r="AF43" i="43"/>
  <c r="AE28" i="43"/>
  <c r="AE43" i="43"/>
  <c r="AD28" i="43"/>
  <c r="AD43" i="43"/>
  <c r="BY19" i="44"/>
  <c r="DB19" i="43"/>
  <c r="DB42" i="43"/>
  <c r="BX19" i="44"/>
  <c r="DA19" i="43"/>
  <c r="DA42" i="43"/>
  <c r="BW19" i="44"/>
  <c r="CZ19" i="43"/>
  <c r="CZ42" i="43"/>
  <c r="BV19" i="44"/>
  <c r="CY19" i="43"/>
  <c r="CY42" i="43"/>
  <c r="BU19" i="44"/>
  <c r="CX19" i="43"/>
  <c r="CX42" i="43"/>
  <c r="BT19" i="44"/>
  <c r="CW19" i="43"/>
  <c r="CW42" i="43"/>
  <c r="BS19" i="44"/>
  <c r="CV19" i="43"/>
  <c r="CV42" i="43"/>
  <c r="BR19" i="44"/>
  <c r="CU19" i="43"/>
  <c r="CU42" i="43"/>
  <c r="BQ19" i="44"/>
  <c r="CT19" i="43"/>
  <c r="CT42" i="43"/>
  <c r="BP19" i="44"/>
  <c r="CS19" i="43"/>
  <c r="CS42" i="43"/>
  <c r="BO19" i="44"/>
  <c r="CR19" i="43"/>
  <c r="CR42" i="43"/>
  <c r="BN19" i="44"/>
  <c r="CQ19" i="43"/>
  <c r="CQ42" i="43"/>
  <c r="BM19" i="44"/>
  <c r="CP19" i="43"/>
  <c r="CP42" i="43"/>
  <c r="BL19" i="44"/>
  <c r="CO19" i="43"/>
  <c r="CO42" i="43"/>
  <c r="BK19" i="44"/>
  <c r="CN19" i="43"/>
  <c r="CN42" i="43"/>
  <c r="BJ19" i="44"/>
  <c r="CM19" i="43"/>
  <c r="CM42" i="43"/>
  <c r="BI19" i="44"/>
  <c r="CL19" i="43"/>
  <c r="CL42" i="43"/>
  <c r="BH19" i="44"/>
  <c r="CK19" i="43"/>
  <c r="CK42" i="43"/>
  <c r="BG19" i="44"/>
  <c r="CJ19" i="43"/>
  <c r="CJ42" i="43"/>
  <c r="BF19" i="44"/>
  <c r="CI19" i="43"/>
  <c r="CI42" i="43"/>
  <c r="BE19" i="44"/>
  <c r="CH19" i="43"/>
  <c r="CH42" i="43"/>
  <c r="BD19" i="44"/>
  <c r="CG19" i="43"/>
  <c r="CG42" i="43"/>
  <c r="BC19" i="44"/>
  <c r="CF19" i="43"/>
  <c r="CF42" i="43"/>
  <c r="BB19" i="44"/>
  <c r="CE19" i="43"/>
  <c r="CE42" i="43"/>
  <c r="BA19" i="44"/>
  <c r="CD19" i="43"/>
  <c r="CD42" i="43"/>
  <c r="BB19" i="43"/>
  <c r="BB42" i="43"/>
  <c r="BA19" i="43"/>
  <c r="BA42" i="43"/>
  <c r="AZ19" i="43"/>
  <c r="AZ42" i="43"/>
  <c r="AY19" i="43"/>
  <c r="AY42" i="43"/>
  <c r="AX19" i="43"/>
  <c r="AX42" i="43"/>
  <c r="AW19" i="43"/>
  <c r="AW42" i="43"/>
  <c r="AV19" i="43"/>
  <c r="AV42" i="43"/>
  <c r="AU19" i="43"/>
  <c r="AU42" i="43"/>
  <c r="AT19" i="43"/>
  <c r="AT42" i="43"/>
  <c r="AS19" i="43"/>
  <c r="AS42" i="43"/>
  <c r="AR19" i="43"/>
  <c r="AR42" i="43"/>
  <c r="AQ19" i="43"/>
  <c r="AQ42" i="43"/>
  <c r="AP19" i="43"/>
  <c r="AP42" i="43"/>
  <c r="AO19" i="43"/>
  <c r="AO42" i="43"/>
  <c r="AN19" i="43"/>
  <c r="AN42" i="43"/>
  <c r="AM19" i="43"/>
  <c r="AM42" i="43"/>
  <c r="AL19" i="43"/>
  <c r="AL42" i="43"/>
  <c r="AK19" i="43"/>
  <c r="AK42" i="43"/>
  <c r="AJ19" i="43"/>
  <c r="AJ42" i="43"/>
  <c r="AI19" i="43"/>
  <c r="AI42" i="43"/>
  <c r="AH19" i="43"/>
  <c r="AH42" i="43"/>
  <c r="AG19" i="43"/>
  <c r="AG42" i="43"/>
  <c r="AF19" i="43"/>
  <c r="AF42" i="43"/>
  <c r="AE19" i="43"/>
  <c r="AE42" i="43"/>
  <c r="AD19" i="43"/>
  <c r="AD42" i="43"/>
  <c r="BY8" i="44"/>
  <c r="DB8" i="43"/>
  <c r="DB41" i="43"/>
  <c r="BX8" i="44"/>
  <c r="DA8" i="43"/>
  <c r="DA41" i="43"/>
  <c r="BW8" i="44"/>
  <c r="CZ8" i="43"/>
  <c r="CZ41" i="43"/>
  <c r="BV8" i="44"/>
  <c r="CY8" i="43"/>
  <c r="CY41" i="43"/>
  <c r="BU8" i="44"/>
  <c r="CX8" i="43"/>
  <c r="CX41" i="43"/>
  <c r="BT8" i="44"/>
  <c r="CW8" i="43"/>
  <c r="CW41" i="43"/>
  <c r="BS8" i="44"/>
  <c r="CV8" i="43"/>
  <c r="CV41" i="43"/>
  <c r="BR8" i="44"/>
  <c r="CU8" i="43"/>
  <c r="CU41" i="43"/>
  <c r="BQ8" i="44"/>
  <c r="CT8" i="43"/>
  <c r="CT41" i="43"/>
  <c r="BP8" i="44"/>
  <c r="CS8" i="43"/>
  <c r="CS41" i="43"/>
  <c r="BO8" i="44"/>
  <c r="CR8" i="43"/>
  <c r="CR41" i="43"/>
  <c r="BN8" i="44"/>
  <c r="CQ8" i="43"/>
  <c r="CQ41" i="43"/>
  <c r="BM8" i="44"/>
  <c r="CP8" i="43"/>
  <c r="CP41" i="43"/>
  <c r="BL8" i="44"/>
  <c r="CO8" i="43"/>
  <c r="CO41" i="43"/>
  <c r="BK8" i="44"/>
  <c r="CN8" i="43"/>
  <c r="CN41" i="43"/>
  <c r="BJ8" i="44"/>
  <c r="CM8" i="43"/>
  <c r="CM41" i="43"/>
  <c r="BI8" i="44"/>
  <c r="CL8" i="43"/>
  <c r="CL41" i="43"/>
  <c r="BH8" i="44"/>
  <c r="CK8" i="43"/>
  <c r="CK41" i="43"/>
  <c r="BG8" i="44"/>
  <c r="CJ8" i="43"/>
  <c r="CJ41" i="43"/>
  <c r="BF8" i="44"/>
  <c r="CI8" i="43"/>
  <c r="CI41" i="43"/>
  <c r="BE8" i="44"/>
  <c r="CH8" i="43"/>
  <c r="CH41" i="43"/>
  <c r="BD8" i="44"/>
  <c r="CG8" i="43"/>
  <c r="CG41" i="43"/>
  <c r="BC8" i="44"/>
  <c r="CF8" i="43"/>
  <c r="CF41" i="43"/>
  <c r="BB8" i="44"/>
  <c r="CE8" i="43"/>
  <c r="CE41" i="43"/>
  <c r="BA8" i="44"/>
  <c r="CD8" i="43"/>
  <c r="CD41" i="43"/>
  <c r="BB8" i="43"/>
  <c r="BB41" i="43"/>
  <c r="BA8" i="43"/>
  <c r="BA41" i="43"/>
  <c r="AZ8" i="43"/>
  <c r="AZ41" i="43"/>
  <c r="AY8" i="43"/>
  <c r="AY41" i="43"/>
  <c r="AX8" i="43"/>
  <c r="AX41" i="43"/>
  <c r="AW8" i="43"/>
  <c r="AW41" i="43"/>
  <c r="AV8" i="43"/>
  <c r="AV41" i="43"/>
  <c r="AU8" i="43"/>
  <c r="AU41" i="43"/>
  <c r="AT8" i="43"/>
  <c r="AT41" i="43"/>
  <c r="AS8" i="43"/>
  <c r="AS41" i="43"/>
  <c r="AR8" i="43"/>
  <c r="AR41" i="43"/>
  <c r="AQ8" i="43"/>
  <c r="AQ41" i="43"/>
  <c r="AP8" i="43"/>
  <c r="AP41" i="43"/>
  <c r="AO8" i="43"/>
  <c r="AO41" i="43"/>
  <c r="AN8" i="43"/>
  <c r="AN41" i="43"/>
  <c r="AM8" i="43"/>
  <c r="AM41" i="43"/>
  <c r="AL8" i="43"/>
  <c r="AL41" i="43"/>
  <c r="AK8" i="43"/>
  <c r="AK41" i="43"/>
  <c r="AJ8" i="43"/>
  <c r="AJ41" i="43"/>
  <c r="AI8" i="43"/>
  <c r="AI41" i="43"/>
  <c r="AH8" i="43"/>
  <c r="AH41" i="43"/>
  <c r="AG8" i="43"/>
  <c r="AG41" i="43"/>
  <c r="AF8" i="43"/>
  <c r="AF41" i="43"/>
  <c r="AE8" i="43"/>
  <c r="AE41" i="43"/>
  <c r="AD8" i="43"/>
  <c r="AD41" i="43"/>
  <c r="BY4" i="44"/>
  <c r="DB4" i="43"/>
  <c r="DB40" i="43"/>
  <c r="BX4" i="44"/>
  <c r="DA4" i="43"/>
  <c r="DA40" i="43"/>
  <c r="BW4" i="44"/>
  <c r="CZ4" i="43"/>
  <c r="CZ40" i="43"/>
  <c r="BV4" i="44"/>
  <c r="CY4" i="43"/>
  <c r="CY40" i="43"/>
  <c r="BU4" i="44"/>
  <c r="CX4" i="43"/>
  <c r="CX40" i="43"/>
  <c r="BT4" i="44"/>
  <c r="CW4" i="43"/>
  <c r="CW40" i="43"/>
  <c r="BS4" i="44"/>
  <c r="CV4" i="43"/>
  <c r="CV40" i="43"/>
  <c r="BR4" i="44"/>
  <c r="CU4" i="43"/>
  <c r="CU40" i="43"/>
  <c r="BQ4" i="44"/>
  <c r="CT4" i="43"/>
  <c r="CT40" i="43"/>
  <c r="BP4" i="44"/>
  <c r="CS4" i="43"/>
  <c r="CS40" i="43"/>
  <c r="BO4" i="44"/>
  <c r="CR4" i="43"/>
  <c r="CR40" i="43"/>
  <c r="BN4" i="44"/>
  <c r="CQ4" i="43"/>
  <c r="CQ40" i="43"/>
  <c r="BM4" i="44"/>
  <c r="CP4" i="43"/>
  <c r="CP40" i="43"/>
  <c r="BL4" i="44"/>
  <c r="CO4" i="43"/>
  <c r="CO40" i="43"/>
  <c r="BK4" i="44"/>
  <c r="CN4" i="43"/>
  <c r="CN40" i="43"/>
  <c r="BJ4" i="44"/>
  <c r="CM4" i="43"/>
  <c r="CM40" i="43"/>
  <c r="BI4" i="44"/>
  <c r="CL4" i="43"/>
  <c r="CL40" i="43"/>
  <c r="BH4" i="44"/>
  <c r="CK4" i="43"/>
  <c r="CK40" i="43"/>
  <c r="BG4" i="44"/>
  <c r="CJ4" i="43"/>
  <c r="CJ40" i="43"/>
  <c r="BF4" i="44"/>
  <c r="CI4" i="43"/>
  <c r="CI40" i="43"/>
  <c r="BE4" i="44"/>
  <c r="CH4" i="43"/>
  <c r="CH40" i="43"/>
  <c r="BD4" i="44"/>
  <c r="CG4" i="43"/>
  <c r="CG40" i="43"/>
  <c r="BC4" i="44"/>
  <c r="CF4" i="43"/>
  <c r="CF40" i="43"/>
  <c r="BB4" i="44"/>
  <c r="CE4" i="43"/>
  <c r="CE40" i="43"/>
  <c r="BA4" i="44"/>
  <c r="CD4" i="43"/>
  <c r="CD40" i="43"/>
  <c r="BB4" i="43"/>
  <c r="BB40" i="43"/>
  <c r="BA4" i="43"/>
  <c r="BA40" i="43"/>
  <c r="AZ4" i="43"/>
  <c r="AZ40" i="43"/>
  <c r="AY4" i="43"/>
  <c r="AY40" i="43"/>
  <c r="AX4" i="43"/>
  <c r="AX40" i="43"/>
  <c r="AW4" i="43"/>
  <c r="AW40" i="43"/>
  <c r="AV4" i="43"/>
  <c r="AV40" i="43"/>
  <c r="AU4" i="43"/>
  <c r="AU40" i="43"/>
  <c r="AT4" i="43"/>
  <c r="AT40" i="43"/>
  <c r="AS4" i="43"/>
  <c r="AS40" i="43"/>
  <c r="AR4" i="43"/>
  <c r="AR40" i="43"/>
  <c r="AQ4" i="43"/>
  <c r="AQ40" i="43"/>
  <c r="AP4" i="43"/>
  <c r="AP40" i="43"/>
  <c r="AO4" i="43"/>
  <c r="AO40" i="43"/>
  <c r="AN4" i="43"/>
  <c r="AN40" i="43"/>
  <c r="AM4" i="43"/>
  <c r="AM40" i="43"/>
  <c r="AL4" i="43"/>
  <c r="AL40" i="43"/>
  <c r="AK4" i="43"/>
  <c r="AK40" i="43"/>
  <c r="AJ4" i="43"/>
  <c r="AJ40" i="43"/>
  <c r="AI4" i="43"/>
  <c r="AI40" i="43"/>
  <c r="AH4" i="43"/>
  <c r="AH40" i="43"/>
  <c r="AG4" i="43"/>
  <c r="AG40" i="43"/>
  <c r="AF4" i="43"/>
  <c r="AF40" i="43"/>
  <c r="AE4" i="43"/>
  <c r="AE40" i="43"/>
  <c r="AD4" i="43"/>
  <c r="AD40" i="43"/>
  <c r="BY11" i="44"/>
  <c r="DB11" i="43"/>
  <c r="DB39" i="43"/>
  <c r="BX11" i="44"/>
  <c r="DA11" i="43"/>
  <c r="DA39" i="43"/>
  <c r="BW11" i="44"/>
  <c r="CZ11" i="43"/>
  <c r="CZ39" i="43"/>
  <c r="BV11" i="44"/>
  <c r="CY11" i="43"/>
  <c r="CY39" i="43"/>
  <c r="BU11" i="44"/>
  <c r="CX11" i="43"/>
  <c r="CX39" i="43"/>
  <c r="BT11" i="44"/>
  <c r="CW11" i="43"/>
  <c r="CW39" i="43"/>
  <c r="BS11" i="44"/>
  <c r="CV11" i="43"/>
  <c r="CV39" i="43"/>
  <c r="BR11" i="44"/>
  <c r="CU11" i="43"/>
  <c r="CU39" i="43"/>
  <c r="BQ11" i="44"/>
  <c r="CT11" i="43"/>
  <c r="CT39" i="43"/>
  <c r="BP11" i="44"/>
  <c r="CS11" i="43"/>
  <c r="CS39" i="43"/>
  <c r="BO11" i="44"/>
  <c r="CR11" i="43"/>
  <c r="CR39" i="43"/>
  <c r="BN11" i="44"/>
  <c r="CQ11" i="43"/>
  <c r="CQ39" i="43"/>
  <c r="BM11" i="44"/>
  <c r="CP11" i="43"/>
  <c r="CP39" i="43"/>
  <c r="BL11" i="44"/>
  <c r="CO11" i="43"/>
  <c r="CO39" i="43"/>
  <c r="BK11" i="44"/>
  <c r="CN11" i="43"/>
  <c r="CN39" i="43"/>
  <c r="BJ11" i="44"/>
  <c r="CM11" i="43"/>
  <c r="CM39" i="43"/>
  <c r="BI11" i="44"/>
  <c r="CL11" i="43"/>
  <c r="CL39" i="43"/>
  <c r="BH11" i="44"/>
  <c r="CK11" i="43"/>
  <c r="CK39" i="43"/>
  <c r="BG11" i="44"/>
  <c r="CJ11" i="43"/>
  <c r="CJ39" i="43"/>
  <c r="BF11" i="44"/>
  <c r="CI11" i="43"/>
  <c r="CI39" i="43"/>
  <c r="BE11" i="44"/>
  <c r="CH11" i="43"/>
  <c r="CH39" i="43"/>
  <c r="BD11" i="44"/>
  <c r="CG11" i="43"/>
  <c r="CG39" i="43"/>
  <c r="BC11" i="44"/>
  <c r="CF11" i="43"/>
  <c r="CF39" i="43"/>
  <c r="BB11" i="44"/>
  <c r="CE11" i="43"/>
  <c r="CE39" i="43"/>
  <c r="BA11" i="44"/>
  <c r="CD11" i="43"/>
  <c r="CD39" i="43"/>
  <c r="BB11" i="43"/>
  <c r="BB39" i="43"/>
  <c r="BA11" i="43"/>
  <c r="BA39" i="43"/>
  <c r="AZ11" i="43"/>
  <c r="AZ39" i="43"/>
  <c r="AY11" i="43"/>
  <c r="AY39" i="43"/>
  <c r="AX11" i="43"/>
  <c r="AX39" i="43"/>
  <c r="AW11" i="43"/>
  <c r="AW39" i="43"/>
  <c r="AV11" i="43"/>
  <c r="AV39" i="43"/>
  <c r="AU11" i="43"/>
  <c r="AU39" i="43"/>
  <c r="AT11" i="43"/>
  <c r="AT39" i="43"/>
  <c r="AS11" i="43"/>
  <c r="AS39" i="43"/>
  <c r="AR11" i="43"/>
  <c r="AR39" i="43"/>
  <c r="AQ11" i="43"/>
  <c r="AQ39" i="43"/>
  <c r="AP11" i="43"/>
  <c r="AP39" i="43"/>
  <c r="AO11" i="43"/>
  <c r="AO39" i="43"/>
  <c r="AN11" i="43"/>
  <c r="AN39" i="43"/>
  <c r="AM11" i="43"/>
  <c r="AM39" i="43"/>
  <c r="AL11" i="43"/>
  <c r="AL39" i="43"/>
  <c r="AK11" i="43"/>
  <c r="AK39" i="43"/>
  <c r="AJ11" i="43"/>
  <c r="AJ39" i="43"/>
  <c r="AI11" i="43"/>
  <c r="AI39" i="43"/>
  <c r="AH11" i="43"/>
  <c r="AH39" i="43"/>
  <c r="AG11" i="43"/>
  <c r="AG39" i="43"/>
  <c r="AF11" i="43"/>
  <c r="AF39" i="43"/>
  <c r="AE11" i="43"/>
  <c r="AE39" i="43"/>
  <c r="AD11" i="43"/>
  <c r="AD39" i="43"/>
  <c r="BY2" i="44"/>
  <c r="DB2" i="43"/>
  <c r="DB38" i="43"/>
  <c r="BX2" i="44"/>
  <c r="DA2" i="43"/>
  <c r="DA38" i="43"/>
  <c r="BW2" i="44"/>
  <c r="CZ2" i="43"/>
  <c r="CZ38" i="43"/>
  <c r="BV2" i="44"/>
  <c r="CY2" i="43"/>
  <c r="CY38" i="43"/>
  <c r="BU2" i="44"/>
  <c r="CX2" i="43"/>
  <c r="CX38" i="43"/>
  <c r="BT2" i="44"/>
  <c r="CW2" i="43"/>
  <c r="CW38" i="43"/>
  <c r="BS2" i="44"/>
  <c r="CV2" i="43"/>
  <c r="CV38" i="43"/>
  <c r="BR2" i="44"/>
  <c r="CU2" i="43"/>
  <c r="CU38" i="43"/>
  <c r="BQ2" i="44"/>
  <c r="CT2" i="43"/>
  <c r="CT38" i="43"/>
  <c r="BP2" i="44"/>
  <c r="CS2" i="43"/>
  <c r="CS38" i="43"/>
  <c r="BO2" i="44"/>
  <c r="CR2" i="43"/>
  <c r="CR38" i="43"/>
  <c r="BN2" i="44"/>
  <c r="CQ2" i="43"/>
  <c r="CQ38" i="43"/>
  <c r="BM2" i="44"/>
  <c r="CP2" i="43"/>
  <c r="CP38" i="43"/>
  <c r="BL2" i="44"/>
  <c r="CO2" i="43"/>
  <c r="CO38" i="43"/>
  <c r="BK2" i="44"/>
  <c r="CN2" i="43"/>
  <c r="CN38" i="43"/>
  <c r="BJ2" i="44"/>
  <c r="CM2" i="43"/>
  <c r="CM38" i="43"/>
  <c r="BI2" i="44"/>
  <c r="CL2" i="43"/>
  <c r="CL38" i="43"/>
  <c r="BH2" i="44"/>
  <c r="CK2" i="43"/>
  <c r="CK38" i="43"/>
  <c r="BG2" i="44"/>
  <c r="CJ2" i="43"/>
  <c r="CJ38" i="43"/>
  <c r="BF2" i="44"/>
  <c r="CI2" i="43"/>
  <c r="CI38" i="43"/>
  <c r="BE2" i="44"/>
  <c r="CH2" i="43"/>
  <c r="CH38" i="43"/>
  <c r="BD2" i="44"/>
  <c r="CG2" i="43"/>
  <c r="CG38" i="43"/>
  <c r="BC2" i="44"/>
  <c r="CF2" i="43"/>
  <c r="CF38" i="43"/>
  <c r="BB2" i="44"/>
  <c r="CE2" i="43"/>
  <c r="CE38" i="43"/>
  <c r="BA2" i="44"/>
  <c r="CD2" i="43"/>
  <c r="CD38" i="43"/>
  <c r="BB2" i="43"/>
  <c r="BB38" i="43"/>
  <c r="BA2" i="43"/>
  <c r="BA38" i="43"/>
  <c r="AZ2" i="43"/>
  <c r="AZ38" i="43"/>
  <c r="AY2" i="43"/>
  <c r="AY38" i="43"/>
  <c r="AX2" i="43"/>
  <c r="AX38" i="43"/>
  <c r="AW2" i="43"/>
  <c r="AW38" i="43"/>
  <c r="AV2" i="43"/>
  <c r="AV38" i="43"/>
  <c r="AU2" i="43"/>
  <c r="AU38" i="43"/>
  <c r="AT2" i="43"/>
  <c r="AT38" i="43"/>
  <c r="AS2" i="43"/>
  <c r="AS38" i="43"/>
  <c r="AR2" i="43"/>
  <c r="AR38" i="43"/>
  <c r="AQ2" i="43"/>
  <c r="AQ38" i="43"/>
  <c r="AP2" i="43"/>
  <c r="AP38" i="43"/>
  <c r="AO2" i="43"/>
  <c r="AO38" i="43"/>
  <c r="AN2" i="43"/>
  <c r="AN38" i="43"/>
  <c r="AM2" i="43"/>
  <c r="AM38" i="43"/>
  <c r="AL2" i="43"/>
  <c r="AL38" i="43"/>
  <c r="AK2" i="43"/>
  <c r="AK38" i="43"/>
  <c r="AJ2" i="43"/>
  <c r="AJ38" i="43"/>
  <c r="AI2" i="43"/>
  <c r="AI38" i="43"/>
  <c r="AH2" i="43"/>
  <c r="AH38" i="43"/>
  <c r="AG2" i="43"/>
  <c r="AG38" i="43"/>
  <c r="AF2" i="43"/>
  <c r="AF38" i="43"/>
  <c r="AE2" i="43"/>
  <c r="AE38" i="43"/>
  <c r="AD2" i="43"/>
  <c r="AD38" i="43"/>
  <c r="BY22" i="44"/>
  <c r="DB22" i="43"/>
  <c r="DB37" i="43"/>
  <c r="BX22" i="44"/>
  <c r="DA22" i="43"/>
  <c r="DA37" i="43"/>
  <c r="BW22" i="44"/>
  <c r="CZ22" i="43"/>
  <c r="CZ37" i="43"/>
  <c r="BV22" i="44"/>
  <c r="CY22" i="43"/>
  <c r="CY37" i="43"/>
  <c r="BU22" i="44"/>
  <c r="CX22" i="43"/>
  <c r="CX37" i="43"/>
  <c r="BT22" i="44"/>
  <c r="CW22" i="43"/>
  <c r="CW37" i="43"/>
  <c r="BS22" i="44"/>
  <c r="CV22" i="43"/>
  <c r="CV37" i="43"/>
  <c r="BR22" i="44"/>
  <c r="CU22" i="43"/>
  <c r="CU37" i="43"/>
  <c r="BQ22" i="44"/>
  <c r="CT22" i="43"/>
  <c r="CT37" i="43"/>
  <c r="BP22" i="44"/>
  <c r="CS22" i="43"/>
  <c r="CS37" i="43"/>
  <c r="BO22" i="44"/>
  <c r="CR22" i="43"/>
  <c r="CR37" i="43"/>
  <c r="BN22" i="44"/>
  <c r="CQ22" i="43"/>
  <c r="CQ37" i="43"/>
  <c r="BM22" i="44"/>
  <c r="CP22" i="43"/>
  <c r="CP37" i="43"/>
  <c r="BL22" i="44"/>
  <c r="CO22" i="43"/>
  <c r="CO37" i="43"/>
  <c r="BK22" i="44"/>
  <c r="CN22" i="43"/>
  <c r="CN37" i="43"/>
  <c r="BJ22" i="44"/>
  <c r="CM22" i="43"/>
  <c r="CM37" i="43"/>
  <c r="BI22" i="44"/>
  <c r="CL22" i="43"/>
  <c r="CL37" i="43"/>
  <c r="BH22" i="44"/>
  <c r="CK22" i="43"/>
  <c r="CK37" i="43"/>
  <c r="BG22" i="44"/>
  <c r="CJ22" i="43"/>
  <c r="CJ37" i="43"/>
  <c r="BF22" i="44"/>
  <c r="CI22" i="43"/>
  <c r="CI37" i="43"/>
  <c r="BE22" i="44"/>
  <c r="CH22" i="43"/>
  <c r="CH37" i="43"/>
  <c r="BD22" i="44"/>
  <c r="CG22" i="43"/>
  <c r="CG37" i="43"/>
  <c r="BC22" i="44"/>
  <c r="CF22" i="43"/>
  <c r="CF37" i="43"/>
  <c r="BB22" i="44"/>
  <c r="CE22" i="43"/>
  <c r="CE37" i="43"/>
  <c r="BA22" i="44"/>
  <c r="CD22" i="43"/>
  <c r="CD37" i="43"/>
  <c r="BB22" i="43"/>
  <c r="BB37" i="43"/>
  <c r="BA22" i="43"/>
  <c r="BA37" i="43"/>
  <c r="AZ22" i="43"/>
  <c r="AZ37" i="43"/>
  <c r="AY22" i="43"/>
  <c r="AY37" i="43"/>
  <c r="AX22" i="43"/>
  <c r="AX37" i="43"/>
  <c r="AW22" i="43"/>
  <c r="AW37" i="43"/>
  <c r="AV22" i="43"/>
  <c r="AV37" i="43"/>
  <c r="AU22" i="43"/>
  <c r="AU37" i="43"/>
  <c r="AT22" i="43"/>
  <c r="AT37" i="43"/>
  <c r="AS22" i="43"/>
  <c r="AS37" i="43"/>
  <c r="AR22" i="43"/>
  <c r="AR37" i="43"/>
  <c r="AQ22" i="43"/>
  <c r="AQ37" i="43"/>
  <c r="AP22" i="43"/>
  <c r="AP37" i="43"/>
  <c r="AO22" i="43"/>
  <c r="AO37" i="43"/>
  <c r="AN22" i="43"/>
  <c r="AN37" i="43"/>
  <c r="AM22" i="43"/>
  <c r="AM37" i="43"/>
  <c r="AL22" i="43"/>
  <c r="AL37" i="43"/>
  <c r="AK22" i="43"/>
  <c r="AK37" i="43"/>
  <c r="AJ22" i="43"/>
  <c r="AJ37" i="43"/>
  <c r="AI22" i="43"/>
  <c r="AI37" i="43"/>
  <c r="AH22" i="43"/>
  <c r="AH37" i="43"/>
  <c r="AG22" i="43"/>
  <c r="AG37" i="43"/>
  <c r="AF22" i="43"/>
  <c r="AF37" i="43"/>
  <c r="AE22" i="43"/>
  <c r="AE37" i="43"/>
  <c r="AD22" i="43"/>
  <c r="AD37" i="43"/>
  <c r="BY26" i="44"/>
  <c r="DB26" i="43"/>
  <c r="DB36" i="43"/>
  <c r="BX26" i="44"/>
  <c r="DA26" i="43"/>
  <c r="DA36" i="43"/>
  <c r="BW26" i="44"/>
  <c r="CZ26" i="43"/>
  <c r="CZ36" i="43"/>
  <c r="BV26" i="44"/>
  <c r="CY26" i="43"/>
  <c r="CY36" i="43"/>
  <c r="BU26" i="44"/>
  <c r="CX26" i="43"/>
  <c r="CX36" i="43"/>
  <c r="BT26" i="44"/>
  <c r="CW26" i="43"/>
  <c r="CW36" i="43"/>
  <c r="BS26" i="44"/>
  <c r="CV26" i="43"/>
  <c r="CV36" i="43"/>
  <c r="BR26" i="44"/>
  <c r="CU26" i="43"/>
  <c r="CU36" i="43"/>
  <c r="BQ26" i="44"/>
  <c r="CT26" i="43"/>
  <c r="CT36" i="43"/>
  <c r="BP26" i="44"/>
  <c r="CS26" i="43"/>
  <c r="CS36" i="43"/>
  <c r="BO26" i="44"/>
  <c r="CR26" i="43"/>
  <c r="CR36" i="43"/>
  <c r="BN26" i="44"/>
  <c r="CQ26" i="43"/>
  <c r="CQ36" i="43"/>
  <c r="BM26" i="44"/>
  <c r="CP26" i="43"/>
  <c r="CP36" i="43"/>
  <c r="BL26" i="44"/>
  <c r="CO26" i="43"/>
  <c r="CO36" i="43"/>
  <c r="BK26" i="44"/>
  <c r="CN26" i="43"/>
  <c r="CN36" i="43"/>
  <c r="BJ26" i="44"/>
  <c r="CM26" i="43"/>
  <c r="CM36" i="43"/>
  <c r="BI26" i="44"/>
  <c r="CL26" i="43"/>
  <c r="CL36" i="43"/>
  <c r="BH26" i="44"/>
  <c r="CK26" i="43"/>
  <c r="CK36" i="43"/>
  <c r="BG26" i="44"/>
  <c r="CJ26" i="43"/>
  <c r="CJ36" i="43"/>
  <c r="BF26" i="44"/>
  <c r="CI26" i="43"/>
  <c r="CI36" i="43"/>
  <c r="BE26" i="44"/>
  <c r="CH26" i="43"/>
  <c r="CH36" i="43"/>
  <c r="BD26" i="44"/>
  <c r="CG26" i="43"/>
  <c r="CG36" i="43"/>
  <c r="BC26" i="44"/>
  <c r="CF26" i="43"/>
  <c r="CF36" i="43"/>
  <c r="BB26" i="44"/>
  <c r="CE26" i="43"/>
  <c r="CE36" i="43"/>
  <c r="BA26" i="44"/>
  <c r="CD26" i="43"/>
  <c r="CD36" i="43"/>
  <c r="BB26" i="43"/>
  <c r="BB36" i="43"/>
  <c r="BA26" i="43"/>
  <c r="BA36" i="43"/>
  <c r="AZ26" i="43"/>
  <c r="AZ36" i="43"/>
  <c r="AY26" i="43"/>
  <c r="AY36" i="43"/>
  <c r="AX26" i="43"/>
  <c r="AX36" i="43"/>
  <c r="AW26" i="43"/>
  <c r="AW36" i="43"/>
  <c r="AV26" i="43"/>
  <c r="AV36" i="43"/>
  <c r="AU26" i="43"/>
  <c r="AU36" i="43"/>
  <c r="AT26" i="43"/>
  <c r="AT36" i="43"/>
  <c r="AS26" i="43"/>
  <c r="AS36" i="43"/>
  <c r="AR26" i="43"/>
  <c r="AR36" i="43"/>
  <c r="AQ26" i="43"/>
  <c r="AQ36" i="43"/>
  <c r="AP26" i="43"/>
  <c r="AP36" i="43"/>
  <c r="AO26" i="43"/>
  <c r="AO36" i="43"/>
  <c r="AN26" i="43"/>
  <c r="AN36" i="43"/>
  <c r="AM26" i="43"/>
  <c r="AM36" i="43"/>
  <c r="AL26" i="43"/>
  <c r="AL36" i="43"/>
  <c r="AK26" i="43"/>
  <c r="AK36" i="43"/>
  <c r="AJ26" i="43"/>
  <c r="AJ36" i="43"/>
  <c r="AI26" i="43"/>
  <c r="AI36" i="43"/>
  <c r="AH26" i="43"/>
  <c r="AH36" i="43"/>
  <c r="AG26" i="43"/>
  <c r="AG36" i="43"/>
  <c r="AF26" i="43"/>
  <c r="AF36" i="43"/>
  <c r="AE26" i="43"/>
  <c r="AE36" i="43"/>
  <c r="AD26" i="43"/>
  <c r="AD36" i="43"/>
  <c r="BY30" i="44"/>
  <c r="DB30" i="43"/>
  <c r="DB35" i="43"/>
  <c r="BX30" i="44"/>
  <c r="DA30" i="43"/>
  <c r="DA35" i="43"/>
  <c r="BW30" i="44"/>
  <c r="CZ30" i="43"/>
  <c r="CZ35" i="43"/>
  <c r="BV30" i="44"/>
  <c r="CY30" i="43"/>
  <c r="CY35" i="43"/>
  <c r="BU30" i="44"/>
  <c r="CX30" i="43"/>
  <c r="CX35" i="43"/>
  <c r="BT30" i="44"/>
  <c r="CW30" i="43"/>
  <c r="CW35" i="43"/>
  <c r="BS30" i="44"/>
  <c r="CV30" i="43"/>
  <c r="CV35" i="43"/>
  <c r="BR30" i="44"/>
  <c r="CU30" i="43"/>
  <c r="CU35" i="43"/>
  <c r="BQ30" i="44"/>
  <c r="CT30" i="43"/>
  <c r="CT35" i="43"/>
  <c r="BP30" i="44"/>
  <c r="CS30" i="43"/>
  <c r="CS35" i="43"/>
  <c r="BO30" i="44"/>
  <c r="CR30" i="43"/>
  <c r="CR35" i="43"/>
  <c r="BN30" i="44"/>
  <c r="CQ30" i="43"/>
  <c r="CQ35" i="43"/>
  <c r="BM30" i="44"/>
  <c r="CP30" i="43"/>
  <c r="CP35" i="43"/>
  <c r="BL30" i="44"/>
  <c r="CO30" i="43"/>
  <c r="CO35" i="43"/>
  <c r="BK30" i="44"/>
  <c r="CN30" i="43"/>
  <c r="CN35" i="43"/>
  <c r="BJ30" i="44"/>
  <c r="CM30" i="43"/>
  <c r="CM35" i="43"/>
  <c r="BI30" i="44"/>
  <c r="CL30" i="43"/>
  <c r="CL35" i="43"/>
  <c r="BH30" i="44"/>
  <c r="CK30" i="43"/>
  <c r="CK35" i="43"/>
  <c r="BG30" i="44"/>
  <c r="CJ30" i="43"/>
  <c r="CJ35" i="43"/>
  <c r="BF30" i="44"/>
  <c r="CI30" i="43"/>
  <c r="CI35" i="43"/>
  <c r="BE30" i="44"/>
  <c r="CH30" i="43"/>
  <c r="CH35" i="43"/>
  <c r="BD30" i="44"/>
  <c r="CG30" i="43"/>
  <c r="CG35" i="43"/>
  <c r="BC30" i="44"/>
  <c r="CF30" i="43"/>
  <c r="CF35" i="43"/>
  <c r="BB30" i="44"/>
  <c r="CE30" i="43"/>
  <c r="CE35" i="43"/>
  <c r="BA30" i="44"/>
  <c r="CD30" i="43"/>
  <c r="CD35" i="43"/>
  <c r="BB30" i="43"/>
  <c r="BB35" i="43"/>
  <c r="BA30" i="43"/>
  <c r="BA35" i="43"/>
  <c r="AZ30" i="43"/>
  <c r="AZ35" i="43"/>
  <c r="AY30" i="43"/>
  <c r="AY35" i="43"/>
  <c r="AX30" i="43"/>
  <c r="AX35" i="43"/>
  <c r="AW30" i="43"/>
  <c r="AW35" i="43"/>
  <c r="AV30" i="43"/>
  <c r="AV35" i="43"/>
  <c r="AU30" i="43"/>
  <c r="AU35" i="43"/>
  <c r="AT30" i="43"/>
  <c r="AT35" i="43"/>
  <c r="AS30" i="43"/>
  <c r="AS35" i="43"/>
  <c r="AR30" i="43"/>
  <c r="AR35" i="43"/>
  <c r="AQ30" i="43"/>
  <c r="AQ35" i="43"/>
  <c r="AP30" i="43"/>
  <c r="AP35" i="43"/>
  <c r="AO30" i="43"/>
  <c r="AO35" i="43"/>
  <c r="AN30" i="43"/>
  <c r="AN35" i="43"/>
  <c r="AM30" i="43"/>
  <c r="AM35" i="43"/>
  <c r="AL30" i="43"/>
  <c r="AL35" i="43"/>
  <c r="AK30" i="43"/>
  <c r="AK35" i="43"/>
  <c r="AJ30" i="43"/>
  <c r="AJ35" i="43"/>
  <c r="AI30" i="43"/>
  <c r="AI35" i="43"/>
  <c r="AH30" i="43"/>
  <c r="AH35" i="43"/>
  <c r="AG30" i="43"/>
  <c r="AG35" i="43"/>
  <c r="AF30" i="43"/>
  <c r="AF35" i="43"/>
  <c r="AE30" i="43"/>
  <c r="AE35" i="43"/>
  <c r="AD30" i="43"/>
  <c r="AD35" i="43"/>
  <c r="BY14" i="44"/>
  <c r="DB14" i="43"/>
  <c r="DB34" i="43"/>
  <c r="BX14" i="44"/>
  <c r="DA14" i="43"/>
  <c r="DA34" i="43"/>
  <c r="BW14" i="44"/>
  <c r="CZ14" i="43"/>
  <c r="CZ34" i="43"/>
  <c r="BV14" i="44"/>
  <c r="CY14" i="43"/>
  <c r="CY34" i="43"/>
  <c r="BU14" i="44"/>
  <c r="CX14" i="43"/>
  <c r="CX34" i="43"/>
  <c r="BT14" i="44"/>
  <c r="CW14" i="43"/>
  <c r="CW34" i="43"/>
  <c r="BS14" i="44"/>
  <c r="CV14" i="43"/>
  <c r="CV34" i="43"/>
  <c r="BR14" i="44"/>
  <c r="CU14" i="43"/>
  <c r="CU34" i="43"/>
  <c r="BQ14" i="44"/>
  <c r="CT14" i="43"/>
  <c r="CT34" i="43"/>
  <c r="BP14" i="44"/>
  <c r="CS14" i="43"/>
  <c r="CS34" i="43"/>
  <c r="BO14" i="44"/>
  <c r="CR14" i="43"/>
  <c r="CR34" i="43"/>
  <c r="BN14" i="44"/>
  <c r="CQ14" i="43"/>
  <c r="CQ34" i="43"/>
  <c r="BM14" i="44"/>
  <c r="CP14" i="43"/>
  <c r="CP34" i="43"/>
  <c r="BL14" i="44"/>
  <c r="CO14" i="43"/>
  <c r="CO34" i="43"/>
  <c r="BK14" i="44"/>
  <c r="CN14" i="43"/>
  <c r="CN34" i="43"/>
  <c r="BJ14" i="44"/>
  <c r="CM14" i="43"/>
  <c r="CM34" i="43"/>
  <c r="BI14" i="44"/>
  <c r="CL14" i="43"/>
  <c r="CL34" i="43"/>
  <c r="BH14" i="44"/>
  <c r="CK14" i="43"/>
  <c r="CK34" i="43"/>
  <c r="BG14" i="44"/>
  <c r="CJ14" i="43"/>
  <c r="CJ34" i="43"/>
  <c r="BF14" i="44"/>
  <c r="CI14" i="43"/>
  <c r="CI34" i="43"/>
  <c r="BE14" i="44"/>
  <c r="CH14" i="43"/>
  <c r="CH34" i="43"/>
  <c r="BD14" i="44"/>
  <c r="CG14" i="43"/>
  <c r="CG34" i="43"/>
  <c r="BC14" i="44"/>
  <c r="CF14" i="43"/>
  <c r="CF34" i="43"/>
  <c r="BB14" i="44"/>
  <c r="CE14" i="43"/>
  <c r="CE34" i="43"/>
  <c r="BA14" i="44"/>
  <c r="CD14" i="43"/>
  <c r="CD34" i="43"/>
  <c r="BB14" i="43"/>
  <c r="BB34" i="43"/>
  <c r="BA14" i="43"/>
  <c r="BA34" i="43"/>
  <c r="AZ14" i="43"/>
  <c r="AZ34" i="43"/>
  <c r="AY14" i="43"/>
  <c r="AY34" i="43"/>
  <c r="AX14" i="43"/>
  <c r="AX34" i="43"/>
  <c r="AW14" i="43"/>
  <c r="AW34" i="43"/>
  <c r="AV14" i="43"/>
  <c r="AV34" i="43"/>
  <c r="AU14" i="43"/>
  <c r="AU34" i="43"/>
  <c r="AT14" i="43"/>
  <c r="AT34" i="43"/>
  <c r="AS14" i="43"/>
  <c r="AS34" i="43"/>
  <c r="AR14" i="43"/>
  <c r="AR34" i="43"/>
  <c r="AQ14" i="43"/>
  <c r="AQ34" i="43"/>
  <c r="AP14" i="43"/>
  <c r="AP34" i="43"/>
  <c r="AO14" i="43"/>
  <c r="AO34" i="43"/>
  <c r="AN14" i="43"/>
  <c r="AN34" i="43"/>
  <c r="AM14" i="43"/>
  <c r="AM34" i="43"/>
  <c r="AL14" i="43"/>
  <c r="AL34" i="43"/>
  <c r="AK14" i="43"/>
  <c r="AK34" i="43"/>
  <c r="AJ14" i="43"/>
  <c r="AJ34" i="43"/>
  <c r="AI14" i="43"/>
  <c r="AI34" i="43"/>
  <c r="AH14" i="43"/>
  <c r="AH34" i="43"/>
  <c r="AG14" i="43"/>
  <c r="AG34" i="43"/>
  <c r="AF14" i="43"/>
  <c r="AF34" i="43"/>
  <c r="AE14" i="43"/>
  <c r="AE34" i="43"/>
  <c r="AD14" i="43"/>
  <c r="AD34" i="43"/>
  <c r="BY13" i="44"/>
  <c r="DB13" i="43"/>
  <c r="DB33" i="43"/>
  <c r="BX13" i="44"/>
  <c r="DA13" i="43"/>
  <c r="DA33" i="43"/>
  <c r="BW13" i="44"/>
  <c r="CZ13" i="43"/>
  <c r="CZ33" i="43"/>
  <c r="BV13" i="44"/>
  <c r="CY13" i="43"/>
  <c r="CY33" i="43"/>
  <c r="BU13" i="44"/>
  <c r="CX13" i="43"/>
  <c r="CX33" i="43"/>
  <c r="BT13" i="44"/>
  <c r="CW13" i="43"/>
  <c r="CW33" i="43"/>
  <c r="BS13" i="44"/>
  <c r="CV13" i="43"/>
  <c r="CV33" i="43"/>
  <c r="BR13" i="44"/>
  <c r="CU13" i="43"/>
  <c r="CU33" i="43"/>
  <c r="BQ13" i="44"/>
  <c r="CT13" i="43"/>
  <c r="CT33" i="43"/>
  <c r="BP13" i="44"/>
  <c r="CS13" i="43"/>
  <c r="CS33" i="43"/>
  <c r="BO13" i="44"/>
  <c r="CR13" i="43"/>
  <c r="CR33" i="43"/>
  <c r="BN13" i="44"/>
  <c r="CQ13" i="43"/>
  <c r="CQ33" i="43"/>
  <c r="BM13" i="44"/>
  <c r="CP13" i="43"/>
  <c r="CP33" i="43"/>
  <c r="BL13" i="44"/>
  <c r="CO13" i="43"/>
  <c r="CO33" i="43"/>
  <c r="BK13" i="44"/>
  <c r="CN13" i="43"/>
  <c r="CN33" i="43"/>
  <c r="BJ13" i="44"/>
  <c r="CM13" i="43"/>
  <c r="CM33" i="43"/>
  <c r="BI13" i="44"/>
  <c r="CL13" i="43"/>
  <c r="CL33" i="43"/>
  <c r="BH13" i="44"/>
  <c r="CK13" i="43"/>
  <c r="CK33" i="43"/>
  <c r="BG13" i="44"/>
  <c r="CJ13" i="43"/>
  <c r="CJ33" i="43"/>
  <c r="BF13" i="44"/>
  <c r="CI13" i="43"/>
  <c r="CI33" i="43"/>
  <c r="BE13" i="44"/>
  <c r="CH13" i="43"/>
  <c r="CH33" i="43"/>
  <c r="BD13" i="44"/>
  <c r="CG13" i="43"/>
  <c r="CG33" i="43"/>
  <c r="BC13" i="44"/>
  <c r="CF13" i="43"/>
  <c r="CF33" i="43"/>
  <c r="BB13" i="44"/>
  <c r="CE13" i="43"/>
  <c r="CE33" i="43"/>
  <c r="BA13" i="44"/>
  <c r="CD13" i="43"/>
  <c r="CD33" i="43"/>
  <c r="BB13" i="43"/>
  <c r="BB33" i="43"/>
  <c r="BA13" i="43"/>
  <c r="BA33" i="43"/>
  <c r="AZ13" i="43"/>
  <c r="AZ33" i="43"/>
  <c r="AY13" i="43"/>
  <c r="AY33" i="43"/>
  <c r="AX13" i="43"/>
  <c r="AX33" i="43"/>
  <c r="AW13" i="43"/>
  <c r="AW33" i="43"/>
  <c r="AV13" i="43"/>
  <c r="AV33" i="43"/>
  <c r="AU13" i="43"/>
  <c r="AU33" i="43"/>
  <c r="AT13" i="43"/>
  <c r="AT33" i="43"/>
  <c r="AS13" i="43"/>
  <c r="AS33" i="43"/>
  <c r="AR13" i="43"/>
  <c r="AR33" i="43"/>
  <c r="AQ13" i="43"/>
  <c r="AQ33" i="43"/>
  <c r="AP13" i="43"/>
  <c r="AP33" i="43"/>
  <c r="AO13" i="43"/>
  <c r="AO33" i="43"/>
  <c r="AN13" i="43"/>
  <c r="AN33" i="43"/>
  <c r="AM13" i="43"/>
  <c r="AM33" i="43"/>
  <c r="AL13" i="43"/>
  <c r="AL33" i="43"/>
  <c r="AK13" i="43"/>
  <c r="AK33" i="43"/>
  <c r="AJ13" i="43"/>
  <c r="AJ33" i="43"/>
  <c r="AI13" i="43"/>
  <c r="AI33" i="43"/>
  <c r="AH13" i="43"/>
  <c r="AH33" i="43"/>
  <c r="AG13" i="43"/>
  <c r="AG33" i="43"/>
  <c r="AF13" i="43"/>
  <c r="AF33" i="43"/>
  <c r="AE13" i="43"/>
  <c r="AE33" i="43"/>
  <c r="AD13" i="43"/>
  <c r="AD33" i="43"/>
  <c r="BY3" i="44"/>
  <c r="DB3" i="43"/>
  <c r="DB32" i="43"/>
  <c r="BX3" i="44"/>
  <c r="DA3" i="43"/>
  <c r="DA32" i="43"/>
  <c r="BW3" i="44"/>
  <c r="CZ3" i="43"/>
  <c r="CZ32" i="43"/>
  <c r="BV3" i="44"/>
  <c r="CY3" i="43"/>
  <c r="CY32" i="43"/>
  <c r="BU3" i="44"/>
  <c r="CX3" i="43"/>
  <c r="CX32" i="43"/>
  <c r="BT3" i="44"/>
  <c r="CW3" i="43"/>
  <c r="CW32" i="43"/>
  <c r="BS3" i="44"/>
  <c r="CV3" i="43"/>
  <c r="CV32" i="43"/>
  <c r="BR3" i="44"/>
  <c r="CU3" i="43"/>
  <c r="CU32" i="43"/>
  <c r="BQ3" i="44"/>
  <c r="CT3" i="43"/>
  <c r="CT32" i="43"/>
  <c r="BP3" i="44"/>
  <c r="CS3" i="43"/>
  <c r="CS32" i="43"/>
  <c r="BO3" i="44"/>
  <c r="CR3" i="43"/>
  <c r="CR32" i="43"/>
  <c r="BN3" i="44"/>
  <c r="CQ3" i="43"/>
  <c r="CQ32" i="43"/>
  <c r="BM3" i="44"/>
  <c r="CP3" i="43"/>
  <c r="CP32" i="43"/>
  <c r="BL3" i="44"/>
  <c r="CO3" i="43"/>
  <c r="CO32" i="43"/>
  <c r="BK3" i="44"/>
  <c r="CN3" i="43"/>
  <c r="CN32" i="43"/>
  <c r="BJ3" i="44"/>
  <c r="CM3" i="43"/>
  <c r="CM32" i="43"/>
  <c r="BI3" i="44"/>
  <c r="CL3" i="43"/>
  <c r="CL32" i="43"/>
  <c r="BH3" i="44"/>
  <c r="CK3" i="43"/>
  <c r="CK32" i="43"/>
  <c r="BG3" i="44"/>
  <c r="CJ3" i="43"/>
  <c r="CJ32" i="43"/>
  <c r="BF3" i="44"/>
  <c r="CI3" i="43"/>
  <c r="CI32" i="43"/>
  <c r="BE3" i="44"/>
  <c r="CH3" i="43"/>
  <c r="CH32" i="43"/>
  <c r="BD3" i="44"/>
  <c r="CG3" i="43"/>
  <c r="CG32" i="43"/>
  <c r="BC3" i="44"/>
  <c r="CF3" i="43"/>
  <c r="CF32" i="43"/>
  <c r="BB3" i="44"/>
  <c r="CE3" i="43"/>
  <c r="CE32" i="43"/>
  <c r="BA3" i="44"/>
  <c r="CD3" i="43"/>
  <c r="CD32" i="43"/>
  <c r="BB3" i="43"/>
  <c r="BB32" i="43"/>
  <c r="BA3" i="43"/>
  <c r="BA32" i="43"/>
  <c r="AZ3" i="43"/>
  <c r="AZ32" i="43"/>
  <c r="AY3" i="43"/>
  <c r="AY32" i="43"/>
  <c r="AX3" i="43"/>
  <c r="AX32" i="43"/>
  <c r="AW3" i="43"/>
  <c r="AW32" i="43"/>
  <c r="AV3" i="43"/>
  <c r="AV32" i="43"/>
  <c r="AU3" i="43"/>
  <c r="AU32" i="43"/>
  <c r="AT3" i="43"/>
  <c r="AT32" i="43"/>
  <c r="AS3" i="43"/>
  <c r="AS32" i="43"/>
  <c r="AR3" i="43"/>
  <c r="AR32" i="43"/>
  <c r="AQ3" i="43"/>
  <c r="AQ32" i="43"/>
  <c r="AP3" i="43"/>
  <c r="AP32" i="43"/>
  <c r="AO3" i="43"/>
  <c r="AO32" i="43"/>
  <c r="AN3" i="43"/>
  <c r="AN32" i="43"/>
  <c r="AM3" i="43"/>
  <c r="AM32" i="43"/>
  <c r="AL3" i="43"/>
  <c r="AL32" i="43"/>
  <c r="AK3" i="43"/>
  <c r="AK32" i="43"/>
  <c r="AJ3" i="43"/>
  <c r="AJ32" i="43"/>
  <c r="AI3" i="43"/>
  <c r="AI32" i="43"/>
  <c r="AH3" i="43"/>
  <c r="AH32" i="43"/>
  <c r="AG3" i="43"/>
  <c r="AG32" i="43"/>
  <c r="AF3" i="43"/>
  <c r="AF32" i="43"/>
  <c r="AE3" i="43"/>
  <c r="AE32" i="43"/>
  <c r="AD3" i="43"/>
  <c r="AD32" i="43"/>
  <c r="CY5" i="18"/>
  <c r="CY7" i="18"/>
  <c r="CY9" i="18"/>
  <c r="CY12" i="18"/>
  <c r="CY18" i="18"/>
  <c r="CY17" i="18"/>
  <c r="CY16" i="18"/>
  <c r="CY21" i="18"/>
  <c r="CY20" i="18"/>
  <c r="CY24" i="18"/>
  <c r="CY23" i="18"/>
  <c r="AK24" i="17"/>
  <c r="Z24" i="4"/>
  <c r="Z23" i="4"/>
  <c r="AC23" i="4"/>
  <c r="BA23" i="35"/>
  <c r="AD23" i="31"/>
  <c r="AD49" i="31"/>
  <c r="BR23" i="35"/>
  <c r="AU23" i="31"/>
  <c r="AU49" i="31"/>
  <c r="BX23" i="35"/>
  <c r="BA23" i="31"/>
  <c r="BA49" i="31"/>
  <c r="BY23" i="35"/>
  <c r="BB23" i="31"/>
  <c r="BB49" i="31"/>
  <c r="AC49" i="31"/>
  <c r="AX49" i="5"/>
  <c r="AC23" i="31"/>
  <c r="AP23" i="32"/>
  <c r="AQ23" i="32"/>
  <c r="AR23" i="32"/>
  <c r="D23" i="43"/>
  <c r="BR23" i="44"/>
  <c r="U23" i="43"/>
  <c r="AA23" i="43"/>
  <c r="AB23" i="43"/>
  <c r="C23" i="43"/>
  <c r="AS23" i="32"/>
  <c r="AT23" i="32"/>
  <c r="E23" i="45"/>
  <c r="E49" i="45"/>
  <c r="AP25" i="32"/>
  <c r="AQ25" i="32"/>
  <c r="AR25" i="32"/>
  <c r="D25" i="43"/>
  <c r="BR25" i="44"/>
  <c r="U25" i="43"/>
  <c r="AA25" i="43"/>
  <c r="AB25" i="43"/>
  <c r="C25" i="43"/>
  <c r="AS25" i="32"/>
  <c r="AT25" i="32"/>
  <c r="E25" i="45"/>
  <c r="E50" i="45"/>
  <c r="AP21" i="32"/>
  <c r="AQ21" i="32"/>
  <c r="AR21" i="32"/>
  <c r="D21" i="43"/>
  <c r="BR21" i="44"/>
  <c r="U21" i="43"/>
  <c r="AA21" i="43"/>
  <c r="AB21" i="43"/>
  <c r="C21" i="43"/>
  <c r="AS21" i="32"/>
  <c r="AT21" i="32"/>
  <c r="E21" i="45"/>
  <c r="E51" i="45"/>
  <c r="AP17" i="32"/>
  <c r="AQ17" i="32"/>
  <c r="AR17" i="32"/>
  <c r="D17" i="43"/>
  <c r="BR17" i="44"/>
  <c r="U17" i="43"/>
  <c r="AA17" i="43"/>
  <c r="AB17" i="43"/>
  <c r="C17" i="43"/>
  <c r="AS17" i="32"/>
  <c r="AT17" i="32"/>
  <c r="E17" i="45"/>
  <c r="E52" i="45"/>
  <c r="AP5" i="32"/>
  <c r="AQ5" i="32"/>
  <c r="AR5" i="32"/>
  <c r="D5" i="43"/>
  <c r="BR5" i="44"/>
  <c r="U5" i="43"/>
  <c r="AA5" i="43"/>
  <c r="AB5" i="43"/>
  <c r="C5" i="43"/>
  <c r="AS5" i="32"/>
  <c r="AT5" i="32"/>
  <c r="E5" i="45"/>
  <c r="E53" i="45"/>
  <c r="AP9" i="32"/>
  <c r="AQ9" i="32"/>
  <c r="AR9" i="32"/>
  <c r="D9" i="43"/>
  <c r="BR9" i="44"/>
  <c r="U9" i="43"/>
  <c r="AA9" i="43"/>
  <c r="AB9" i="43"/>
  <c r="C9" i="43"/>
  <c r="AS9" i="32"/>
  <c r="AT9" i="32"/>
  <c r="E9" i="45"/>
  <c r="E54" i="45"/>
  <c r="AP24" i="32"/>
  <c r="AQ24" i="32"/>
  <c r="AR24" i="32"/>
  <c r="D24" i="43"/>
  <c r="BR24" i="44"/>
  <c r="U24" i="43"/>
  <c r="AA24" i="43"/>
  <c r="AB24" i="43"/>
  <c r="C24" i="43"/>
  <c r="AS24" i="32"/>
  <c r="AT24" i="32"/>
  <c r="E24" i="45"/>
  <c r="E55" i="45"/>
  <c r="AP20" i="32"/>
  <c r="AQ20" i="32"/>
  <c r="AR20" i="32"/>
  <c r="D20" i="43"/>
  <c r="BR20" i="44"/>
  <c r="U20" i="43"/>
  <c r="AA20" i="43"/>
  <c r="AB20" i="43"/>
  <c r="C20" i="43"/>
  <c r="AS20" i="32"/>
  <c r="AT20" i="32"/>
  <c r="E20" i="45"/>
  <c r="E56" i="45"/>
  <c r="AP29" i="32"/>
  <c r="AQ29" i="32"/>
  <c r="AR29" i="32"/>
  <c r="D29" i="43"/>
  <c r="BR29" i="44"/>
  <c r="U29" i="43"/>
  <c r="AA29" i="43"/>
  <c r="AB29" i="43"/>
  <c r="C29" i="43"/>
  <c r="AS29" i="32"/>
  <c r="AT29" i="32"/>
  <c r="E29" i="45"/>
  <c r="E57" i="45"/>
  <c r="AP16" i="32"/>
  <c r="AQ16" i="32"/>
  <c r="AR16" i="32"/>
  <c r="D16" i="43"/>
  <c r="BR16" i="44"/>
  <c r="U16" i="43"/>
  <c r="AA16" i="43"/>
  <c r="AB16" i="43"/>
  <c r="C16" i="43"/>
  <c r="AS16" i="32"/>
  <c r="AT16" i="32"/>
  <c r="E16" i="45"/>
  <c r="E58" i="45"/>
  <c r="AP7" i="32"/>
  <c r="AQ7" i="32"/>
  <c r="AR7" i="32"/>
  <c r="D7" i="43"/>
  <c r="BR7" i="44"/>
  <c r="U7" i="43"/>
  <c r="AA7" i="43"/>
  <c r="AB7" i="43"/>
  <c r="C7" i="43"/>
  <c r="AS7" i="32"/>
  <c r="AT7" i="32"/>
  <c r="E7" i="45"/>
  <c r="E59" i="45"/>
  <c r="AP12" i="32"/>
  <c r="AQ12" i="32"/>
  <c r="AR12" i="32"/>
  <c r="D12" i="43"/>
  <c r="BR12" i="44"/>
  <c r="U12" i="43"/>
  <c r="AA12" i="43"/>
  <c r="AB12" i="43"/>
  <c r="C12" i="43"/>
  <c r="AS12" i="32"/>
  <c r="AT12" i="32"/>
  <c r="E12" i="45"/>
  <c r="E60" i="45"/>
  <c r="AP18" i="32"/>
  <c r="AQ18" i="32"/>
  <c r="AR18" i="32"/>
  <c r="D18" i="43"/>
  <c r="BR18" i="44"/>
  <c r="U18" i="43"/>
  <c r="AA18" i="43"/>
  <c r="AB18" i="43"/>
  <c r="C18" i="43"/>
  <c r="AS18" i="32"/>
  <c r="AT18" i="32"/>
  <c r="E18" i="45"/>
  <c r="E61" i="45"/>
  <c r="AP27" i="32"/>
  <c r="AQ27" i="32"/>
  <c r="AR27" i="32"/>
  <c r="D27" i="43"/>
  <c r="BR27" i="44"/>
  <c r="U27" i="43"/>
  <c r="AA27" i="43"/>
  <c r="AB27" i="43"/>
  <c r="C27" i="43"/>
  <c r="AS27" i="32"/>
  <c r="AT27" i="32"/>
  <c r="E27" i="45"/>
  <c r="E62" i="45"/>
  <c r="D23" i="45"/>
  <c r="D49" i="45"/>
  <c r="D25" i="45"/>
  <c r="D50" i="45"/>
  <c r="D21" i="45"/>
  <c r="D51" i="45"/>
  <c r="D17" i="45"/>
  <c r="D52" i="45"/>
  <c r="D5" i="45"/>
  <c r="D9" i="45"/>
  <c r="D54" i="45"/>
  <c r="D24" i="45"/>
  <c r="D55" i="45"/>
  <c r="D20" i="45"/>
  <c r="D56" i="45"/>
  <c r="D29" i="45"/>
  <c r="D57" i="45"/>
  <c r="D16" i="45"/>
  <c r="D58" i="45"/>
  <c r="D7" i="45"/>
  <c r="D59" i="45"/>
  <c r="D12" i="45"/>
  <c r="D60" i="45"/>
  <c r="D18" i="45"/>
  <c r="D61" i="45"/>
  <c r="D27" i="45"/>
  <c r="D62" i="45"/>
  <c r="E64" i="45"/>
  <c r="E65" i="45"/>
  <c r="E66" i="45"/>
  <c r="E67" i="45"/>
  <c r="E68" i="45"/>
  <c r="E69" i="45"/>
  <c r="E70" i="45"/>
  <c r="E71" i="45"/>
  <c r="E72" i="45"/>
  <c r="E73" i="45"/>
  <c r="E74" i="45"/>
  <c r="E75" i="45"/>
  <c r="E76" i="45"/>
  <c r="D64" i="45"/>
  <c r="D65" i="45"/>
  <c r="D66" i="45"/>
  <c r="D67" i="45"/>
  <c r="D68" i="45"/>
  <c r="D69" i="45"/>
  <c r="D70" i="45"/>
  <c r="D71" i="45"/>
  <c r="D72" i="45"/>
  <c r="D73" i="45"/>
  <c r="D74" i="45"/>
  <c r="D75" i="45"/>
  <c r="D76" i="45"/>
  <c r="AP3" i="32"/>
  <c r="AQ3" i="32"/>
  <c r="AR3" i="32"/>
  <c r="D3" i="43"/>
  <c r="U3" i="43"/>
  <c r="AA3" i="43"/>
  <c r="AB3" i="43"/>
  <c r="C3" i="43"/>
  <c r="AS3" i="32"/>
  <c r="AT3" i="32"/>
  <c r="E3" i="45"/>
  <c r="E32" i="45"/>
  <c r="AP13" i="32"/>
  <c r="AQ13" i="32"/>
  <c r="AR13" i="32"/>
  <c r="D13" i="43"/>
  <c r="U13" i="43"/>
  <c r="AA13" i="43"/>
  <c r="AB13" i="43"/>
  <c r="C13" i="43"/>
  <c r="AS13" i="32"/>
  <c r="AT13" i="32"/>
  <c r="E13" i="45"/>
  <c r="E33" i="45"/>
  <c r="AP14" i="32"/>
  <c r="AQ14" i="32"/>
  <c r="AR14" i="32"/>
  <c r="D14" i="43"/>
  <c r="U14" i="43"/>
  <c r="AA14" i="43"/>
  <c r="AB14" i="43"/>
  <c r="C14" i="43"/>
  <c r="AS14" i="32"/>
  <c r="AT14" i="32"/>
  <c r="E14" i="45"/>
  <c r="E34" i="45"/>
  <c r="AP30" i="32"/>
  <c r="AQ30" i="32"/>
  <c r="AR30" i="32"/>
  <c r="D30" i="43"/>
  <c r="U30" i="43"/>
  <c r="AA30" i="43"/>
  <c r="AB30" i="43"/>
  <c r="C30" i="43"/>
  <c r="AS30" i="32"/>
  <c r="AT30" i="32"/>
  <c r="E30" i="45"/>
  <c r="E35" i="45"/>
  <c r="AP26" i="32"/>
  <c r="AQ26" i="32"/>
  <c r="AR26" i="32"/>
  <c r="D26" i="43"/>
  <c r="U26" i="43"/>
  <c r="AA26" i="43"/>
  <c r="AB26" i="43"/>
  <c r="C26" i="43"/>
  <c r="AS26" i="32"/>
  <c r="AT26" i="32"/>
  <c r="E26" i="45"/>
  <c r="E36" i="45"/>
  <c r="AP22" i="32"/>
  <c r="AQ22" i="32"/>
  <c r="AR22" i="32"/>
  <c r="D22" i="43"/>
  <c r="U22" i="43"/>
  <c r="AA22" i="43"/>
  <c r="AB22" i="43"/>
  <c r="C22" i="43"/>
  <c r="AS22" i="32"/>
  <c r="AT22" i="32"/>
  <c r="E22" i="45"/>
  <c r="E37" i="45"/>
  <c r="AP2" i="32"/>
  <c r="AQ2" i="32"/>
  <c r="AR2" i="32"/>
  <c r="D2" i="43"/>
  <c r="U2" i="43"/>
  <c r="AA2" i="43"/>
  <c r="AB2" i="43"/>
  <c r="C2" i="43"/>
  <c r="AS2" i="32"/>
  <c r="AT2" i="32"/>
  <c r="E2" i="45"/>
  <c r="E38" i="45"/>
  <c r="AP11" i="32"/>
  <c r="AQ11" i="32"/>
  <c r="AR11" i="32"/>
  <c r="D11" i="43"/>
  <c r="U11" i="43"/>
  <c r="AA11" i="43"/>
  <c r="AB11" i="43"/>
  <c r="C11" i="43"/>
  <c r="AS11" i="32"/>
  <c r="AT11" i="32"/>
  <c r="E11" i="45"/>
  <c r="E39" i="45"/>
  <c r="AP4" i="32"/>
  <c r="AQ4" i="32"/>
  <c r="AR4" i="32"/>
  <c r="D4" i="43"/>
  <c r="U4" i="43"/>
  <c r="AA4" i="43"/>
  <c r="AB4" i="43"/>
  <c r="C4" i="43"/>
  <c r="AS4" i="32"/>
  <c r="AT4" i="32"/>
  <c r="E4" i="45"/>
  <c r="E40" i="45"/>
  <c r="AP8" i="32"/>
  <c r="AQ8" i="32"/>
  <c r="AR8" i="32"/>
  <c r="D8" i="43"/>
  <c r="U8" i="43"/>
  <c r="AA8" i="43"/>
  <c r="AB8" i="43"/>
  <c r="C8" i="43"/>
  <c r="AS8" i="32"/>
  <c r="AT8" i="32"/>
  <c r="E8" i="45"/>
  <c r="E41" i="45"/>
  <c r="AP19" i="32"/>
  <c r="AQ19" i="32"/>
  <c r="AR19" i="32"/>
  <c r="D19" i="43"/>
  <c r="U19" i="43"/>
  <c r="AA19" i="43"/>
  <c r="AB19" i="43"/>
  <c r="C19" i="43"/>
  <c r="AS19" i="32"/>
  <c r="AT19" i="32"/>
  <c r="E19" i="45"/>
  <c r="E42" i="45"/>
  <c r="AP28" i="32"/>
  <c r="AQ28" i="32"/>
  <c r="AR28" i="32"/>
  <c r="D28" i="43"/>
  <c r="U28" i="43"/>
  <c r="AA28" i="43"/>
  <c r="AB28" i="43"/>
  <c r="C28" i="43"/>
  <c r="AS28" i="32"/>
  <c r="AT28" i="32"/>
  <c r="E28" i="45"/>
  <c r="E43" i="45"/>
  <c r="AP15" i="32"/>
  <c r="AQ15" i="32"/>
  <c r="AR15" i="32"/>
  <c r="D15" i="43"/>
  <c r="U15" i="43"/>
  <c r="AA15" i="43"/>
  <c r="AB15" i="43"/>
  <c r="C15" i="43"/>
  <c r="AS15" i="32"/>
  <c r="AT15" i="32"/>
  <c r="E15" i="45"/>
  <c r="E44" i="45"/>
  <c r="D3" i="45"/>
  <c r="D32" i="45"/>
  <c r="D13" i="45"/>
  <c r="D33" i="45"/>
  <c r="D14" i="45"/>
  <c r="D34" i="45"/>
  <c r="D30" i="45"/>
  <c r="D35" i="45"/>
  <c r="D26" i="45"/>
  <c r="D36" i="45"/>
  <c r="D22" i="45"/>
  <c r="D37" i="45"/>
  <c r="D2" i="45"/>
  <c r="D38" i="45"/>
  <c r="D11" i="45"/>
  <c r="D39" i="45"/>
  <c r="D4" i="45"/>
  <c r="D40" i="45"/>
  <c r="D8" i="45"/>
  <c r="D41" i="45"/>
  <c r="D19" i="45"/>
  <c r="D42" i="45"/>
  <c r="D28" i="45"/>
  <c r="D43" i="45"/>
  <c r="D15" i="45"/>
  <c r="D44" i="45"/>
  <c r="Y23" i="4"/>
  <c r="AA23" i="4"/>
  <c r="AB23" i="4"/>
  <c r="E23" i="19"/>
  <c r="E49" i="19"/>
  <c r="G49" i="19"/>
  <c r="Y25" i="4"/>
  <c r="Z25" i="4"/>
  <c r="AA25" i="4"/>
  <c r="AB25" i="4"/>
  <c r="AC25" i="4"/>
  <c r="E25" i="19"/>
  <c r="E50" i="19"/>
  <c r="G50" i="19"/>
  <c r="Y21" i="4"/>
  <c r="Z21" i="4"/>
  <c r="AA21" i="4"/>
  <c r="AB21" i="4"/>
  <c r="AC21" i="4"/>
  <c r="E21" i="19"/>
  <c r="E51" i="19"/>
  <c r="G51" i="19"/>
  <c r="Y17" i="4"/>
  <c r="Z17" i="4"/>
  <c r="AA17" i="4"/>
  <c r="AB17" i="4"/>
  <c r="AC17" i="4"/>
  <c r="E17" i="19"/>
  <c r="E52" i="19"/>
  <c r="G52" i="19"/>
  <c r="Y5" i="4"/>
  <c r="Z5" i="4"/>
  <c r="AA5" i="4"/>
  <c r="AB5" i="4"/>
  <c r="AC5" i="4"/>
  <c r="E5" i="19"/>
  <c r="E53" i="19"/>
  <c r="G53" i="19"/>
  <c r="Y9" i="4"/>
  <c r="Z9" i="4"/>
  <c r="AA9" i="4"/>
  <c r="AB9" i="4"/>
  <c r="AC9" i="4"/>
  <c r="E9" i="19"/>
  <c r="E54" i="19"/>
  <c r="G54" i="19"/>
  <c r="Y24" i="4"/>
  <c r="AA24" i="4"/>
  <c r="AB24" i="4"/>
  <c r="AC24" i="4"/>
  <c r="E24" i="19"/>
  <c r="E55" i="19"/>
  <c r="G55" i="19"/>
  <c r="Y20" i="4"/>
  <c r="Z20" i="4"/>
  <c r="AA20" i="4"/>
  <c r="AB20" i="4"/>
  <c r="AC20" i="4"/>
  <c r="E20" i="19"/>
  <c r="E56" i="19"/>
  <c r="G56" i="19"/>
  <c r="Y29" i="4"/>
  <c r="Z29" i="4"/>
  <c r="AA29" i="4"/>
  <c r="AB29" i="4"/>
  <c r="AC29" i="4"/>
  <c r="E29" i="19"/>
  <c r="E57" i="19"/>
  <c r="G57" i="19"/>
  <c r="Y16" i="4"/>
  <c r="Z16" i="4"/>
  <c r="AA16" i="4"/>
  <c r="AB16" i="4"/>
  <c r="AC16" i="4"/>
  <c r="E16" i="19"/>
  <c r="E58" i="19"/>
  <c r="G58" i="19"/>
  <c r="Y7" i="4"/>
  <c r="Z7" i="4"/>
  <c r="AA7" i="4"/>
  <c r="AB7" i="4"/>
  <c r="AC7" i="4"/>
  <c r="E7" i="19"/>
  <c r="E59" i="19"/>
  <c r="G59" i="19"/>
  <c r="Y12" i="4"/>
  <c r="Z12" i="4"/>
  <c r="AA12" i="4"/>
  <c r="AB12" i="4"/>
  <c r="AC12" i="4"/>
  <c r="E12" i="19"/>
  <c r="E60" i="19"/>
  <c r="G60" i="19"/>
  <c r="Y18" i="4"/>
  <c r="Z18" i="4"/>
  <c r="AA18" i="4"/>
  <c r="AB18" i="4"/>
  <c r="AC18" i="4"/>
  <c r="E18" i="19"/>
  <c r="E61" i="19"/>
  <c r="G61" i="19"/>
  <c r="Y27" i="4"/>
  <c r="Z27" i="4"/>
  <c r="AA27" i="4"/>
  <c r="AB27" i="4"/>
  <c r="AC27" i="4"/>
  <c r="E27" i="19"/>
  <c r="E62" i="19"/>
  <c r="G62" i="19"/>
  <c r="G48" i="19"/>
  <c r="Y6" i="4"/>
  <c r="Z6" i="4"/>
  <c r="AA6" i="4"/>
  <c r="AB6" i="4"/>
  <c r="AC6" i="4"/>
  <c r="E6" i="19"/>
  <c r="E47" i="19"/>
  <c r="G47" i="19"/>
  <c r="AP3" i="5"/>
  <c r="AQ3" i="5"/>
  <c r="AR3" i="5"/>
  <c r="BA3" i="35"/>
  <c r="D3" i="31"/>
  <c r="BR3" i="35"/>
  <c r="U3" i="31"/>
  <c r="BX3" i="35"/>
  <c r="AA3" i="31"/>
  <c r="BY3" i="35"/>
  <c r="AB3" i="31"/>
  <c r="C3" i="31"/>
  <c r="AS3" i="5"/>
  <c r="Y3" i="4"/>
  <c r="Z3" i="4"/>
  <c r="AA3" i="4"/>
  <c r="AB3" i="4"/>
  <c r="AC3" i="4"/>
  <c r="E3" i="19"/>
  <c r="E32" i="19"/>
  <c r="G32" i="19"/>
  <c r="Y13" i="4"/>
  <c r="Z13" i="4"/>
  <c r="AA13" i="4"/>
  <c r="AB13" i="4"/>
  <c r="AC13" i="4"/>
  <c r="E13" i="19"/>
  <c r="E33" i="19"/>
  <c r="G33" i="19"/>
  <c r="Y14" i="4"/>
  <c r="Z14" i="4"/>
  <c r="AA14" i="4"/>
  <c r="AB14" i="4"/>
  <c r="AC14" i="4"/>
  <c r="E14" i="19"/>
  <c r="E34" i="19"/>
  <c r="G34" i="19"/>
  <c r="Y30" i="4"/>
  <c r="Z30" i="4"/>
  <c r="AA30" i="4"/>
  <c r="AB30" i="4"/>
  <c r="AC30" i="4"/>
  <c r="E30" i="19"/>
  <c r="E35" i="19"/>
  <c r="G35" i="19"/>
  <c r="Y26" i="4"/>
  <c r="Z26" i="4"/>
  <c r="AA26" i="4"/>
  <c r="AB26" i="4"/>
  <c r="AC26" i="4"/>
  <c r="E26" i="19"/>
  <c r="E36" i="19"/>
  <c r="G36" i="19"/>
  <c r="Y22" i="4"/>
  <c r="Z22" i="4"/>
  <c r="AA22" i="4"/>
  <c r="AB22" i="4"/>
  <c r="AC22" i="4"/>
  <c r="E22" i="19"/>
  <c r="E37" i="19"/>
  <c r="G37" i="19"/>
  <c r="Y2" i="4"/>
  <c r="Z2" i="4"/>
  <c r="AA2" i="4"/>
  <c r="AB2" i="4"/>
  <c r="E38" i="19"/>
  <c r="G38" i="19"/>
  <c r="Y11" i="4"/>
  <c r="Z11" i="4"/>
  <c r="AA11" i="4"/>
  <c r="AB11" i="4"/>
  <c r="AC11" i="4"/>
  <c r="E11" i="19"/>
  <c r="E39" i="19"/>
  <c r="G39" i="19"/>
  <c r="Y4" i="4"/>
  <c r="Z4" i="4"/>
  <c r="AA4" i="4"/>
  <c r="AB4" i="4"/>
  <c r="AC4" i="4"/>
  <c r="E4" i="19"/>
  <c r="E40" i="19"/>
  <c r="G40" i="19"/>
  <c r="Y8" i="4"/>
  <c r="Z8" i="4"/>
  <c r="AA8" i="4"/>
  <c r="AB8" i="4"/>
  <c r="AC8" i="4"/>
  <c r="E8" i="19"/>
  <c r="E41" i="19"/>
  <c r="G41" i="19"/>
  <c r="Y19" i="4"/>
  <c r="Z19" i="4"/>
  <c r="AA19" i="4"/>
  <c r="AB19" i="4"/>
  <c r="AC19" i="4"/>
  <c r="E19" i="19"/>
  <c r="E42" i="19"/>
  <c r="G42" i="19"/>
  <c r="Y28" i="4"/>
  <c r="Z28" i="4"/>
  <c r="AA28" i="4"/>
  <c r="AB28" i="4"/>
  <c r="AC28" i="4"/>
  <c r="E28" i="19"/>
  <c r="E43" i="19"/>
  <c r="G43" i="19"/>
  <c r="Y15" i="4"/>
  <c r="Z15" i="4"/>
  <c r="AA15" i="4"/>
  <c r="AB15" i="4"/>
  <c r="AC15" i="4"/>
  <c r="E15" i="19"/>
  <c r="E44" i="19"/>
  <c r="G44" i="19"/>
  <c r="G31" i="19"/>
  <c r="D3" i="19"/>
  <c r="D32" i="19"/>
  <c r="F32" i="19"/>
  <c r="D13" i="19"/>
  <c r="D33" i="19"/>
  <c r="F33" i="19"/>
  <c r="D14" i="19"/>
  <c r="D34" i="19"/>
  <c r="F34" i="19"/>
  <c r="D30" i="19"/>
  <c r="D35" i="19"/>
  <c r="F35" i="19"/>
  <c r="D26" i="19"/>
  <c r="D36" i="19"/>
  <c r="F36" i="19"/>
  <c r="D2" i="19"/>
  <c r="D38" i="19"/>
  <c r="F38" i="19"/>
  <c r="D11" i="19"/>
  <c r="D39" i="19"/>
  <c r="F39" i="19"/>
  <c r="D4" i="19"/>
  <c r="D40" i="19"/>
  <c r="F40" i="19"/>
  <c r="D8" i="19"/>
  <c r="D41" i="19"/>
  <c r="F41" i="19"/>
  <c r="D19" i="19"/>
  <c r="D42" i="19"/>
  <c r="F42" i="19"/>
  <c r="F31" i="19"/>
  <c r="Y32" i="4"/>
  <c r="Y33" i="4"/>
  <c r="Y34" i="4"/>
  <c r="Y35" i="4"/>
  <c r="Y36" i="4"/>
  <c r="Y37" i="4"/>
  <c r="Y38" i="4"/>
  <c r="Y41" i="4"/>
  <c r="Y44" i="4"/>
  <c r="Y31" i="4"/>
  <c r="Y10" i="4"/>
  <c r="Y46" i="4"/>
  <c r="Z10" i="4"/>
  <c r="Z46" i="4"/>
  <c r="AA10" i="4"/>
  <c r="AA46" i="4"/>
  <c r="AB10" i="4"/>
  <c r="AB46" i="4"/>
  <c r="AC46" i="4"/>
  <c r="Y47" i="4"/>
  <c r="Z47" i="4"/>
  <c r="AA47" i="4"/>
  <c r="AB47" i="4"/>
  <c r="AC47" i="4"/>
  <c r="AC45" i="4"/>
  <c r="Z45" i="4"/>
  <c r="AA45" i="4"/>
  <c r="AB45" i="4"/>
  <c r="Y45" i="4"/>
  <c r="AV27" i="5"/>
  <c r="AV76" i="5"/>
  <c r="AV18" i="5"/>
  <c r="AV75" i="5"/>
  <c r="AV12" i="5"/>
  <c r="AV74" i="5"/>
  <c r="AV7" i="5"/>
  <c r="AV73" i="5"/>
  <c r="AV16" i="5"/>
  <c r="AV72" i="5"/>
  <c r="AV29" i="5"/>
  <c r="AV71" i="5"/>
  <c r="AV20" i="5"/>
  <c r="AV70" i="5"/>
  <c r="AV24" i="5"/>
  <c r="AV69" i="5"/>
  <c r="AV9" i="5"/>
  <c r="AV68" i="5"/>
  <c r="AV5" i="5"/>
  <c r="AV67" i="5"/>
  <c r="AV17" i="5"/>
  <c r="AV66" i="5"/>
  <c r="AV21" i="5"/>
  <c r="AV65" i="5"/>
  <c r="AV25" i="5"/>
  <c r="AV64" i="5"/>
  <c r="AV62" i="5"/>
  <c r="AV61" i="5"/>
  <c r="AV60" i="5"/>
  <c r="AV59" i="5"/>
  <c r="AV58" i="5"/>
  <c r="AV57" i="5"/>
  <c r="AV56" i="5"/>
  <c r="AV55" i="5"/>
  <c r="AV54" i="5"/>
  <c r="AV53" i="5"/>
  <c r="AV52" i="5"/>
  <c r="AV51" i="5"/>
  <c r="AV50" i="5"/>
  <c r="AV23" i="5"/>
  <c r="AV49" i="5"/>
  <c r="BY27" i="35"/>
  <c r="DB27" i="31"/>
  <c r="DB76" i="31"/>
  <c r="BX27" i="35"/>
  <c r="DA27" i="31"/>
  <c r="DA76" i="31"/>
  <c r="BW27" i="35"/>
  <c r="CZ27" i="31"/>
  <c r="CZ76" i="31"/>
  <c r="BV27" i="35"/>
  <c r="CY27" i="31"/>
  <c r="CY76" i="31"/>
  <c r="BU27" i="35"/>
  <c r="CX27" i="31"/>
  <c r="CX76" i="31"/>
  <c r="BT27" i="35"/>
  <c r="CW27" i="31"/>
  <c r="CW76" i="31"/>
  <c r="BS27" i="35"/>
  <c r="CV27" i="31"/>
  <c r="CV76" i="31"/>
  <c r="BR27" i="35"/>
  <c r="CU27" i="31"/>
  <c r="CU76" i="31"/>
  <c r="BQ27" i="35"/>
  <c r="CT27" i="31"/>
  <c r="CT76" i="31"/>
  <c r="BP27" i="35"/>
  <c r="CS27" i="31"/>
  <c r="CS76" i="31"/>
  <c r="BO27" i="35"/>
  <c r="CR27" i="31"/>
  <c r="CR76" i="31"/>
  <c r="BN27" i="35"/>
  <c r="CQ27" i="31"/>
  <c r="CQ76" i="31"/>
  <c r="BM27" i="35"/>
  <c r="CP27" i="31"/>
  <c r="CP76" i="31"/>
  <c r="BL27" i="35"/>
  <c r="CO27" i="31"/>
  <c r="CO76" i="31"/>
  <c r="BK27" i="35"/>
  <c r="CN27" i="31"/>
  <c r="CN76" i="31"/>
  <c r="BJ27" i="35"/>
  <c r="CM27" i="31"/>
  <c r="CM76" i="31"/>
  <c r="BI27" i="35"/>
  <c r="CL27" i="31"/>
  <c r="CL76" i="31"/>
  <c r="BH27" i="35"/>
  <c r="CK27" i="31"/>
  <c r="CK76" i="31"/>
  <c r="BG27" i="35"/>
  <c r="CJ27" i="31"/>
  <c r="CJ76" i="31"/>
  <c r="BF27" i="35"/>
  <c r="CI27" i="31"/>
  <c r="CI76" i="31"/>
  <c r="BE27" i="35"/>
  <c r="CH27" i="31"/>
  <c r="CH76" i="31"/>
  <c r="BD27" i="35"/>
  <c r="CG27" i="31"/>
  <c r="CG76" i="31"/>
  <c r="BC27" i="35"/>
  <c r="CF27" i="31"/>
  <c r="CF76" i="31"/>
  <c r="BB27" i="35"/>
  <c r="CE27" i="31"/>
  <c r="CE76" i="31"/>
  <c r="BA27" i="35"/>
  <c r="CD27" i="31"/>
  <c r="CD76" i="31"/>
  <c r="BY18" i="35"/>
  <c r="DB18" i="31"/>
  <c r="DB75" i="31"/>
  <c r="BX18" i="35"/>
  <c r="DA18" i="31"/>
  <c r="DA75" i="31"/>
  <c r="BW18" i="35"/>
  <c r="CZ18" i="31"/>
  <c r="CZ75" i="31"/>
  <c r="BV18" i="35"/>
  <c r="CY18" i="31"/>
  <c r="CY75" i="31"/>
  <c r="BU18" i="35"/>
  <c r="CX18" i="31"/>
  <c r="CX75" i="31"/>
  <c r="BT18" i="35"/>
  <c r="CW18" i="31"/>
  <c r="CW75" i="31"/>
  <c r="BS18" i="35"/>
  <c r="CV18" i="31"/>
  <c r="CV75" i="31"/>
  <c r="BR18" i="35"/>
  <c r="CU18" i="31"/>
  <c r="CU75" i="31"/>
  <c r="BQ18" i="35"/>
  <c r="CT18" i="31"/>
  <c r="CT75" i="31"/>
  <c r="BP18" i="35"/>
  <c r="CS18" i="31"/>
  <c r="CS75" i="31"/>
  <c r="BO18" i="35"/>
  <c r="CR18" i="31"/>
  <c r="CR75" i="31"/>
  <c r="BN18" i="35"/>
  <c r="CQ18" i="31"/>
  <c r="CQ75" i="31"/>
  <c r="BM18" i="35"/>
  <c r="CP18" i="31"/>
  <c r="CP75" i="31"/>
  <c r="BL18" i="35"/>
  <c r="CO18" i="31"/>
  <c r="CO75" i="31"/>
  <c r="BK18" i="35"/>
  <c r="CN18" i="31"/>
  <c r="CN75" i="31"/>
  <c r="BJ18" i="35"/>
  <c r="CM18" i="31"/>
  <c r="CM75" i="31"/>
  <c r="BI18" i="35"/>
  <c r="CL18" i="31"/>
  <c r="CL75" i="31"/>
  <c r="BH18" i="35"/>
  <c r="CK18" i="31"/>
  <c r="CK75" i="31"/>
  <c r="BG18" i="35"/>
  <c r="CJ18" i="31"/>
  <c r="CJ75" i="31"/>
  <c r="BF18" i="35"/>
  <c r="CI18" i="31"/>
  <c r="CI75" i="31"/>
  <c r="BE18" i="35"/>
  <c r="CH18" i="31"/>
  <c r="CH75" i="31"/>
  <c r="BD18" i="35"/>
  <c r="CG18" i="31"/>
  <c r="CG75" i="31"/>
  <c r="BC18" i="35"/>
  <c r="CF18" i="31"/>
  <c r="CF75" i="31"/>
  <c r="BB18" i="35"/>
  <c r="CE18" i="31"/>
  <c r="CE75" i="31"/>
  <c r="BA18" i="35"/>
  <c r="CD18" i="31"/>
  <c r="CD75" i="31"/>
  <c r="BY12" i="35"/>
  <c r="DB12" i="31"/>
  <c r="DB74" i="31"/>
  <c r="BX12" i="35"/>
  <c r="DA12" i="31"/>
  <c r="DA74" i="31"/>
  <c r="BW12" i="35"/>
  <c r="CZ12" i="31"/>
  <c r="CZ74" i="31"/>
  <c r="BV12" i="35"/>
  <c r="CY12" i="31"/>
  <c r="CY74" i="31"/>
  <c r="BU12" i="35"/>
  <c r="CX12" i="31"/>
  <c r="CX74" i="31"/>
  <c r="BT12" i="35"/>
  <c r="CW12" i="31"/>
  <c r="CW74" i="31"/>
  <c r="BS12" i="35"/>
  <c r="CV12" i="31"/>
  <c r="CV74" i="31"/>
  <c r="BR12" i="35"/>
  <c r="CU12" i="31"/>
  <c r="CU74" i="31"/>
  <c r="BQ12" i="35"/>
  <c r="CT12" i="31"/>
  <c r="CT74" i="31"/>
  <c r="BP12" i="35"/>
  <c r="CS12" i="31"/>
  <c r="CS74" i="31"/>
  <c r="BO12" i="35"/>
  <c r="CR12" i="31"/>
  <c r="CR74" i="31"/>
  <c r="BN12" i="35"/>
  <c r="CQ12" i="31"/>
  <c r="CQ74" i="31"/>
  <c r="BM12" i="35"/>
  <c r="CP12" i="31"/>
  <c r="CP74" i="31"/>
  <c r="BL12" i="35"/>
  <c r="CO12" i="31"/>
  <c r="CO74" i="31"/>
  <c r="BK12" i="35"/>
  <c r="CN12" i="31"/>
  <c r="CN74" i="31"/>
  <c r="BJ12" i="35"/>
  <c r="CM12" i="31"/>
  <c r="CM74" i="31"/>
  <c r="BI12" i="35"/>
  <c r="CL12" i="31"/>
  <c r="CL74" i="31"/>
  <c r="BH12" i="35"/>
  <c r="CK12" i="31"/>
  <c r="CK74" i="31"/>
  <c r="BG12" i="35"/>
  <c r="CJ12" i="31"/>
  <c r="CJ74" i="31"/>
  <c r="BF12" i="35"/>
  <c r="CI12" i="31"/>
  <c r="CI74" i="31"/>
  <c r="BE12" i="35"/>
  <c r="CH12" i="31"/>
  <c r="CH74" i="31"/>
  <c r="BD12" i="35"/>
  <c r="CG12" i="31"/>
  <c r="CG74" i="31"/>
  <c r="BC12" i="35"/>
  <c r="CF12" i="31"/>
  <c r="CF74" i="31"/>
  <c r="BB12" i="35"/>
  <c r="CE12" i="31"/>
  <c r="CE74" i="31"/>
  <c r="BA12" i="35"/>
  <c r="CD12" i="31"/>
  <c r="CD74" i="31"/>
  <c r="BY7" i="35"/>
  <c r="DB7" i="31"/>
  <c r="DB73" i="31"/>
  <c r="BX7" i="35"/>
  <c r="DA7" i="31"/>
  <c r="DA73" i="31"/>
  <c r="BW7" i="35"/>
  <c r="CZ7" i="31"/>
  <c r="CZ73" i="31"/>
  <c r="BV7" i="35"/>
  <c r="CY7" i="31"/>
  <c r="CY73" i="31"/>
  <c r="BU7" i="35"/>
  <c r="CX7" i="31"/>
  <c r="CX73" i="31"/>
  <c r="BT7" i="35"/>
  <c r="CW7" i="31"/>
  <c r="CW73" i="31"/>
  <c r="BS7" i="35"/>
  <c r="CV7" i="31"/>
  <c r="CV73" i="31"/>
  <c r="BR7" i="35"/>
  <c r="CU7" i="31"/>
  <c r="CU73" i="31"/>
  <c r="BQ7" i="35"/>
  <c r="CT7" i="31"/>
  <c r="CT73" i="31"/>
  <c r="BP7" i="35"/>
  <c r="CS7" i="31"/>
  <c r="CS73" i="31"/>
  <c r="BO7" i="35"/>
  <c r="CR7" i="31"/>
  <c r="CR73" i="31"/>
  <c r="BN7" i="35"/>
  <c r="CQ7" i="31"/>
  <c r="CQ73" i="31"/>
  <c r="BM7" i="35"/>
  <c r="CP7" i="31"/>
  <c r="CP73" i="31"/>
  <c r="BL7" i="35"/>
  <c r="CO7" i="31"/>
  <c r="CO73" i="31"/>
  <c r="BK7" i="35"/>
  <c r="CN7" i="31"/>
  <c r="CN73" i="31"/>
  <c r="BJ7" i="35"/>
  <c r="CM7" i="31"/>
  <c r="CM73" i="31"/>
  <c r="BI7" i="35"/>
  <c r="CL7" i="31"/>
  <c r="CL73" i="31"/>
  <c r="BH7" i="35"/>
  <c r="CK7" i="31"/>
  <c r="CK73" i="31"/>
  <c r="BG7" i="35"/>
  <c r="CJ7" i="31"/>
  <c r="CJ73" i="31"/>
  <c r="BF7" i="35"/>
  <c r="CI7" i="31"/>
  <c r="CI73" i="31"/>
  <c r="BE7" i="35"/>
  <c r="CH7" i="31"/>
  <c r="CH73" i="31"/>
  <c r="BD7" i="35"/>
  <c r="CG7" i="31"/>
  <c r="CG73" i="31"/>
  <c r="BC7" i="35"/>
  <c r="CF7" i="31"/>
  <c r="CF73" i="31"/>
  <c r="BB7" i="35"/>
  <c r="CE7" i="31"/>
  <c r="CE73" i="31"/>
  <c r="BA7" i="35"/>
  <c r="CD7" i="31"/>
  <c r="CD73" i="31"/>
  <c r="BY16" i="35"/>
  <c r="DB16" i="31"/>
  <c r="DB72" i="31"/>
  <c r="BX16" i="35"/>
  <c r="DA16" i="31"/>
  <c r="DA72" i="31"/>
  <c r="BW16" i="35"/>
  <c r="CZ16" i="31"/>
  <c r="CZ72" i="31"/>
  <c r="BV16" i="35"/>
  <c r="CY16" i="31"/>
  <c r="CY72" i="31"/>
  <c r="BU16" i="35"/>
  <c r="CX16" i="31"/>
  <c r="CX72" i="31"/>
  <c r="BT16" i="35"/>
  <c r="CW16" i="31"/>
  <c r="CW72" i="31"/>
  <c r="BS16" i="35"/>
  <c r="CV16" i="31"/>
  <c r="CV72" i="31"/>
  <c r="BR16" i="35"/>
  <c r="CU16" i="31"/>
  <c r="CU72" i="31"/>
  <c r="BQ16" i="35"/>
  <c r="CT16" i="31"/>
  <c r="CT72" i="31"/>
  <c r="BP16" i="35"/>
  <c r="CS16" i="31"/>
  <c r="CS72" i="31"/>
  <c r="BO16" i="35"/>
  <c r="CR16" i="31"/>
  <c r="CR72" i="31"/>
  <c r="BN16" i="35"/>
  <c r="CQ16" i="31"/>
  <c r="CQ72" i="31"/>
  <c r="BM16" i="35"/>
  <c r="CP16" i="31"/>
  <c r="CP72" i="31"/>
  <c r="BL16" i="35"/>
  <c r="CO16" i="31"/>
  <c r="CO72" i="31"/>
  <c r="BK16" i="35"/>
  <c r="CN16" i="31"/>
  <c r="CN72" i="31"/>
  <c r="BJ16" i="35"/>
  <c r="CM16" i="31"/>
  <c r="CM72" i="31"/>
  <c r="BI16" i="35"/>
  <c r="CL16" i="31"/>
  <c r="CL72" i="31"/>
  <c r="BH16" i="35"/>
  <c r="CK16" i="31"/>
  <c r="CK72" i="31"/>
  <c r="BG16" i="35"/>
  <c r="CJ16" i="31"/>
  <c r="CJ72" i="31"/>
  <c r="BF16" i="35"/>
  <c r="CI16" i="31"/>
  <c r="CI72" i="31"/>
  <c r="BE16" i="35"/>
  <c r="CH16" i="31"/>
  <c r="CH72" i="31"/>
  <c r="BD16" i="35"/>
  <c r="CG16" i="31"/>
  <c r="CG72" i="31"/>
  <c r="BC16" i="35"/>
  <c r="CF16" i="31"/>
  <c r="CF72" i="31"/>
  <c r="BB16" i="35"/>
  <c r="CE16" i="31"/>
  <c r="CE72" i="31"/>
  <c r="BA16" i="35"/>
  <c r="CD16" i="31"/>
  <c r="CD72" i="31"/>
  <c r="BY29" i="35"/>
  <c r="DB29" i="31"/>
  <c r="DB71" i="31"/>
  <c r="BX29" i="35"/>
  <c r="DA29" i="31"/>
  <c r="DA71" i="31"/>
  <c r="BW29" i="35"/>
  <c r="CZ29" i="31"/>
  <c r="CZ71" i="31"/>
  <c r="BV29" i="35"/>
  <c r="CY29" i="31"/>
  <c r="CY71" i="31"/>
  <c r="BU29" i="35"/>
  <c r="CX29" i="31"/>
  <c r="CX71" i="31"/>
  <c r="BT29" i="35"/>
  <c r="CW29" i="31"/>
  <c r="CW71" i="31"/>
  <c r="BS29" i="35"/>
  <c r="CV29" i="31"/>
  <c r="CV71" i="31"/>
  <c r="BR29" i="35"/>
  <c r="CU29" i="31"/>
  <c r="CU71" i="31"/>
  <c r="BQ29" i="35"/>
  <c r="CT29" i="31"/>
  <c r="CT71" i="31"/>
  <c r="BP29" i="35"/>
  <c r="CS29" i="31"/>
  <c r="CS71" i="31"/>
  <c r="BO29" i="35"/>
  <c r="CR29" i="31"/>
  <c r="CR71" i="31"/>
  <c r="BN29" i="35"/>
  <c r="CQ29" i="31"/>
  <c r="CQ71" i="31"/>
  <c r="BM29" i="35"/>
  <c r="CP29" i="31"/>
  <c r="CP71" i="31"/>
  <c r="BL29" i="35"/>
  <c r="CO29" i="31"/>
  <c r="CO71" i="31"/>
  <c r="BK29" i="35"/>
  <c r="CN29" i="31"/>
  <c r="CN71" i="31"/>
  <c r="BJ29" i="35"/>
  <c r="CM29" i="31"/>
  <c r="CM71" i="31"/>
  <c r="BI29" i="35"/>
  <c r="CL29" i="31"/>
  <c r="CL71" i="31"/>
  <c r="BH29" i="35"/>
  <c r="CK29" i="31"/>
  <c r="CK71" i="31"/>
  <c r="BG29" i="35"/>
  <c r="CJ29" i="31"/>
  <c r="CJ71" i="31"/>
  <c r="BF29" i="35"/>
  <c r="CI29" i="31"/>
  <c r="CI71" i="31"/>
  <c r="BE29" i="35"/>
  <c r="CH29" i="31"/>
  <c r="CH71" i="31"/>
  <c r="BD29" i="35"/>
  <c r="CG29" i="31"/>
  <c r="CG71" i="31"/>
  <c r="BC29" i="35"/>
  <c r="CF29" i="31"/>
  <c r="CF71" i="31"/>
  <c r="BB29" i="35"/>
  <c r="CE29" i="31"/>
  <c r="CE71" i="31"/>
  <c r="BA29" i="35"/>
  <c r="CD29" i="31"/>
  <c r="CD71" i="31"/>
  <c r="BY20" i="35"/>
  <c r="DB20" i="31"/>
  <c r="DB70" i="31"/>
  <c r="BX20" i="35"/>
  <c r="DA20" i="31"/>
  <c r="DA70" i="31"/>
  <c r="BW20" i="35"/>
  <c r="CZ20" i="31"/>
  <c r="CZ70" i="31"/>
  <c r="BV20" i="35"/>
  <c r="CY20" i="31"/>
  <c r="CY70" i="31"/>
  <c r="BU20" i="35"/>
  <c r="CX20" i="31"/>
  <c r="CX70" i="31"/>
  <c r="BT20" i="35"/>
  <c r="CW20" i="31"/>
  <c r="CW70" i="31"/>
  <c r="BS20" i="35"/>
  <c r="CV20" i="31"/>
  <c r="CV70" i="31"/>
  <c r="BR20" i="35"/>
  <c r="CU20" i="31"/>
  <c r="CU70" i="31"/>
  <c r="BQ20" i="35"/>
  <c r="CT20" i="31"/>
  <c r="CT70" i="31"/>
  <c r="BP20" i="35"/>
  <c r="CS20" i="31"/>
  <c r="CS70" i="31"/>
  <c r="BO20" i="35"/>
  <c r="CR20" i="31"/>
  <c r="CR70" i="31"/>
  <c r="BN20" i="35"/>
  <c r="CQ20" i="31"/>
  <c r="CQ70" i="31"/>
  <c r="BM20" i="35"/>
  <c r="CP20" i="31"/>
  <c r="CP70" i="31"/>
  <c r="BL20" i="35"/>
  <c r="CO20" i="31"/>
  <c r="CO70" i="31"/>
  <c r="BK20" i="35"/>
  <c r="CN20" i="31"/>
  <c r="CN70" i="31"/>
  <c r="BJ20" i="35"/>
  <c r="CM20" i="31"/>
  <c r="CM70" i="31"/>
  <c r="BI20" i="35"/>
  <c r="CL20" i="31"/>
  <c r="CL70" i="31"/>
  <c r="BH20" i="35"/>
  <c r="CK20" i="31"/>
  <c r="CK70" i="31"/>
  <c r="BG20" i="35"/>
  <c r="CJ20" i="31"/>
  <c r="CJ70" i="31"/>
  <c r="BF20" i="35"/>
  <c r="CI20" i="31"/>
  <c r="CI70" i="31"/>
  <c r="BE20" i="35"/>
  <c r="CH20" i="31"/>
  <c r="CH70" i="31"/>
  <c r="BD20" i="35"/>
  <c r="CG20" i="31"/>
  <c r="CG70" i="31"/>
  <c r="BC20" i="35"/>
  <c r="CF20" i="31"/>
  <c r="CF70" i="31"/>
  <c r="BB20" i="35"/>
  <c r="CE20" i="31"/>
  <c r="CE70" i="31"/>
  <c r="BA20" i="35"/>
  <c r="CD20" i="31"/>
  <c r="CD70" i="31"/>
  <c r="BY24" i="35"/>
  <c r="DB24" i="31"/>
  <c r="DB69" i="31"/>
  <c r="BX24" i="35"/>
  <c r="DA24" i="31"/>
  <c r="DA69" i="31"/>
  <c r="BW24" i="35"/>
  <c r="CZ24" i="31"/>
  <c r="CZ69" i="31"/>
  <c r="BV24" i="35"/>
  <c r="CY24" i="31"/>
  <c r="CY69" i="31"/>
  <c r="BU24" i="35"/>
  <c r="CX24" i="31"/>
  <c r="CX69" i="31"/>
  <c r="BT24" i="35"/>
  <c r="CW24" i="31"/>
  <c r="CW69" i="31"/>
  <c r="BS24" i="35"/>
  <c r="CV24" i="31"/>
  <c r="CV69" i="31"/>
  <c r="BR24" i="35"/>
  <c r="CU24" i="31"/>
  <c r="CU69" i="31"/>
  <c r="BQ24" i="35"/>
  <c r="CT24" i="31"/>
  <c r="CT69" i="31"/>
  <c r="BP24" i="35"/>
  <c r="CS24" i="31"/>
  <c r="CS69" i="31"/>
  <c r="BO24" i="35"/>
  <c r="CR24" i="31"/>
  <c r="CR69" i="31"/>
  <c r="BN24" i="35"/>
  <c r="CQ24" i="31"/>
  <c r="CQ69" i="31"/>
  <c r="BM24" i="35"/>
  <c r="CP24" i="31"/>
  <c r="CP69" i="31"/>
  <c r="BL24" i="35"/>
  <c r="CO24" i="31"/>
  <c r="CO69" i="31"/>
  <c r="BK24" i="35"/>
  <c r="CN24" i="31"/>
  <c r="CN69" i="31"/>
  <c r="BJ24" i="35"/>
  <c r="CM24" i="31"/>
  <c r="CM69" i="31"/>
  <c r="BI24" i="35"/>
  <c r="CL24" i="31"/>
  <c r="CL69" i="31"/>
  <c r="BH24" i="35"/>
  <c r="CK24" i="31"/>
  <c r="CK69" i="31"/>
  <c r="BG24" i="35"/>
  <c r="CJ24" i="31"/>
  <c r="CJ69" i="31"/>
  <c r="BF24" i="35"/>
  <c r="CI24" i="31"/>
  <c r="CI69" i="31"/>
  <c r="BE24" i="35"/>
  <c r="CH24" i="31"/>
  <c r="CH69" i="31"/>
  <c r="BD24" i="35"/>
  <c r="CG24" i="31"/>
  <c r="CG69" i="31"/>
  <c r="BC24" i="35"/>
  <c r="CF24" i="31"/>
  <c r="CF69" i="31"/>
  <c r="BB24" i="35"/>
  <c r="CE24" i="31"/>
  <c r="CE69" i="31"/>
  <c r="BA24" i="35"/>
  <c r="CD24" i="31"/>
  <c r="CD69" i="31"/>
  <c r="BY9" i="35"/>
  <c r="DB9" i="31"/>
  <c r="DB68" i="31"/>
  <c r="BX9" i="35"/>
  <c r="DA9" i="31"/>
  <c r="DA68" i="31"/>
  <c r="BW9" i="35"/>
  <c r="CZ9" i="31"/>
  <c r="CZ68" i="31"/>
  <c r="BV9" i="35"/>
  <c r="CY9" i="31"/>
  <c r="CY68" i="31"/>
  <c r="BU9" i="35"/>
  <c r="CX9" i="31"/>
  <c r="CX68" i="31"/>
  <c r="BT9" i="35"/>
  <c r="CW9" i="31"/>
  <c r="CW68" i="31"/>
  <c r="BS9" i="35"/>
  <c r="CV9" i="31"/>
  <c r="CV68" i="31"/>
  <c r="BR9" i="35"/>
  <c r="CU9" i="31"/>
  <c r="CU68" i="31"/>
  <c r="BQ9" i="35"/>
  <c r="CT9" i="31"/>
  <c r="CT68" i="31"/>
  <c r="BP9" i="35"/>
  <c r="CS9" i="31"/>
  <c r="CS68" i="31"/>
  <c r="BO9" i="35"/>
  <c r="CR9" i="31"/>
  <c r="CR68" i="31"/>
  <c r="BN9" i="35"/>
  <c r="CQ9" i="31"/>
  <c r="CQ68" i="31"/>
  <c r="BM9" i="35"/>
  <c r="CP9" i="31"/>
  <c r="CP68" i="31"/>
  <c r="BL9" i="35"/>
  <c r="CO9" i="31"/>
  <c r="CO68" i="31"/>
  <c r="BK9" i="35"/>
  <c r="CN9" i="31"/>
  <c r="CN68" i="31"/>
  <c r="BJ9" i="35"/>
  <c r="CM9" i="31"/>
  <c r="CM68" i="31"/>
  <c r="BI9" i="35"/>
  <c r="CL9" i="31"/>
  <c r="CL68" i="31"/>
  <c r="BH9" i="35"/>
  <c r="CK9" i="31"/>
  <c r="CK68" i="31"/>
  <c r="BG9" i="35"/>
  <c r="CJ9" i="31"/>
  <c r="CJ68" i="31"/>
  <c r="BF9" i="35"/>
  <c r="CI9" i="31"/>
  <c r="CI68" i="31"/>
  <c r="BE9" i="35"/>
  <c r="CH9" i="31"/>
  <c r="CH68" i="31"/>
  <c r="BD9" i="35"/>
  <c r="CG9" i="31"/>
  <c r="CG68" i="31"/>
  <c r="BC9" i="35"/>
  <c r="CF9" i="31"/>
  <c r="CF68" i="31"/>
  <c r="BB9" i="35"/>
  <c r="CE9" i="31"/>
  <c r="CE68" i="31"/>
  <c r="BA9" i="35"/>
  <c r="CD9" i="31"/>
  <c r="CD68" i="31"/>
  <c r="BY5" i="35"/>
  <c r="DB5" i="31"/>
  <c r="DB67" i="31"/>
  <c r="BX5" i="35"/>
  <c r="DA5" i="31"/>
  <c r="DA67" i="31"/>
  <c r="BW5" i="35"/>
  <c r="CZ5" i="31"/>
  <c r="CZ67" i="31"/>
  <c r="BV5" i="35"/>
  <c r="CY5" i="31"/>
  <c r="CY67" i="31"/>
  <c r="BU5" i="35"/>
  <c r="CX5" i="31"/>
  <c r="CX67" i="31"/>
  <c r="BT5" i="35"/>
  <c r="CW5" i="31"/>
  <c r="CW67" i="31"/>
  <c r="BS5" i="35"/>
  <c r="CV5" i="31"/>
  <c r="CV67" i="31"/>
  <c r="BR5" i="35"/>
  <c r="CU5" i="31"/>
  <c r="CU67" i="31"/>
  <c r="BQ5" i="35"/>
  <c r="CT5" i="31"/>
  <c r="CT67" i="31"/>
  <c r="BP5" i="35"/>
  <c r="CS5" i="31"/>
  <c r="CS67" i="31"/>
  <c r="BO5" i="35"/>
  <c r="CR5" i="31"/>
  <c r="CR67" i="31"/>
  <c r="BN5" i="35"/>
  <c r="CQ5" i="31"/>
  <c r="CQ67" i="31"/>
  <c r="BM5" i="35"/>
  <c r="CP5" i="31"/>
  <c r="CP67" i="31"/>
  <c r="BL5" i="35"/>
  <c r="CO5" i="31"/>
  <c r="CO67" i="31"/>
  <c r="BK5" i="35"/>
  <c r="CN5" i="31"/>
  <c r="CN67" i="31"/>
  <c r="BJ5" i="35"/>
  <c r="CM5" i="31"/>
  <c r="CM67" i="31"/>
  <c r="BI5" i="35"/>
  <c r="CL5" i="31"/>
  <c r="CL67" i="31"/>
  <c r="BH5" i="35"/>
  <c r="CK5" i="31"/>
  <c r="CK67" i="31"/>
  <c r="BG5" i="35"/>
  <c r="CJ5" i="31"/>
  <c r="CJ67" i="31"/>
  <c r="BF5" i="35"/>
  <c r="CI5" i="31"/>
  <c r="CI67" i="31"/>
  <c r="BE5" i="35"/>
  <c r="CH5" i="31"/>
  <c r="CH67" i="31"/>
  <c r="BD5" i="35"/>
  <c r="CG5" i="31"/>
  <c r="CG67" i="31"/>
  <c r="BC5" i="35"/>
  <c r="CF5" i="31"/>
  <c r="CF67" i="31"/>
  <c r="BB5" i="35"/>
  <c r="CE5" i="31"/>
  <c r="CE67" i="31"/>
  <c r="BA5" i="35"/>
  <c r="CD5" i="31"/>
  <c r="CD67" i="31"/>
  <c r="BY17" i="35"/>
  <c r="DB17" i="31"/>
  <c r="DB66" i="31"/>
  <c r="BX17" i="35"/>
  <c r="DA17" i="31"/>
  <c r="DA66" i="31"/>
  <c r="BW17" i="35"/>
  <c r="CZ17" i="31"/>
  <c r="CZ66" i="31"/>
  <c r="BV17" i="35"/>
  <c r="CY17" i="31"/>
  <c r="CY66" i="31"/>
  <c r="BU17" i="35"/>
  <c r="CX17" i="31"/>
  <c r="CX66" i="31"/>
  <c r="BT17" i="35"/>
  <c r="CW17" i="31"/>
  <c r="CW66" i="31"/>
  <c r="BS17" i="35"/>
  <c r="CV17" i="31"/>
  <c r="CV66" i="31"/>
  <c r="BR17" i="35"/>
  <c r="CU17" i="31"/>
  <c r="CU66" i="31"/>
  <c r="BQ17" i="35"/>
  <c r="CT17" i="31"/>
  <c r="CT66" i="31"/>
  <c r="BP17" i="35"/>
  <c r="CS17" i="31"/>
  <c r="CS66" i="31"/>
  <c r="BO17" i="35"/>
  <c r="CR17" i="31"/>
  <c r="CR66" i="31"/>
  <c r="BN17" i="35"/>
  <c r="CQ17" i="31"/>
  <c r="CQ66" i="31"/>
  <c r="BM17" i="35"/>
  <c r="CP17" i="31"/>
  <c r="CP66" i="31"/>
  <c r="BL17" i="35"/>
  <c r="CO17" i="31"/>
  <c r="CO66" i="31"/>
  <c r="BK17" i="35"/>
  <c r="CN17" i="31"/>
  <c r="CN66" i="31"/>
  <c r="BJ17" i="35"/>
  <c r="CM17" i="31"/>
  <c r="CM66" i="31"/>
  <c r="BI17" i="35"/>
  <c r="CL17" i="31"/>
  <c r="CL66" i="31"/>
  <c r="BH17" i="35"/>
  <c r="CK17" i="31"/>
  <c r="CK66" i="31"/>
  <c r="BG17" i="35"/>
  <c r="CJ17" i="31"/>
  <c r="CJ66" i="31"/>
  <c r="BF17" i="35"/>
  <c r="CI17" i="31"/>
  <c r="CI66" i="31"/>
  <c r="BE17" i="35"/>
  <c r="CH17" i="31"/>
  <c r="CH66" i="31"/>
  <c r="BD17" i="35"/>
  <c r="CG17" i="31"/>
  <c r="CG66" i="31"/>
  <c r="BC17" i="35"/>
  <c r="CF17" i="31"/>
  <c r="CF66" i="31"/>
  <c r="BB17" i="35"/>
  <c r="CE17" i="31"/>
  <c r="CE66" i="31"/>
  <c r="BA17" i="35"/>
  <c r="CD17" i="31"/>
  <c r="CD66" i="31"/>
  <c r="BY21" i="35"/>
  <c r="DB21" i="31"/>
  <c r="DB65" i="31"/>
  <c r="BX21" i="35"/>
  <c r="DA21" i="31"/>
  <c r="DA65" i="31"/>
  <c r="BW21" i="35"/>
  <c r="CZ21" i="31"/>
  <c r="CZ65" i="31"/>
  <c r="BV21" i="35"/>
  <c r="CY21" i="31"/>
  <c r="CY65" i="31"/>
  <c r="BU21" i="35"/>
  <c r="CX21" i="31"/>
  <c r="CX65" i="31"/>
  <c r="BT21" i="35"/>
  <c r="CW21" i="31"/>
  <c r="CW65" i="31"/>
  <c r="BS21" i="35"/>
  <c r="CV21" i="31"/>
  <c r="CV65" i="31"/>
  <c r="BR21" i="35"/>
  <c r="CU21" i="31"/>
  <c r="CU65" i="31"/>
  <c r="BQ21" i="35"/>
  <c r="CT21" i="31"/>
  <c r="CT65" i="31"/>
  <c r="BP21" i="35"/>
  <c r="CS21" i="31"/>
  <c r="CS65" i="31"/>
  <c r="BO21" i="35"/>
  <c r="CR21" i="31"/>
  <c r="CR65" i="31"/>
  <c r="BN21" i="35"/>
  <c r="CQ21" i="31"/>
  <c r="CQ65" i="31"/>
  <c r="BM21" i="35"/>
  <c r="CP21" i="31"/>
  <c r="CP65" i="31"/>
  <c r="BL21" i="35"/>
  <c r="CO21" i="31"/>
  <c r="CO65" i="31"/>
  <c r="BK21" i="35"/>
  <c r="CN21" i="31"/>
  <c r="CN65" i="31"/>
  <c r="BJ21" i="35"/>
  <c r="CM21" i="31"/>
  <c r="CM65" i="31"/>
  <c r="BI21" i="35"/>
  <c r="CL21" i="31"/>
  <c r="CL65" i="31"/>
  <c r="BH21" i="35"/>
  <c r="CK21" i="31"/>
  <c r="CK65" i="31"/>
  <c r="BG21" i="35"/>
  <c r="CJ21" i="31"/>
  <c r="CJ65" i="31"/>
  <c r="BF21" i="35"/>
  <c r="CI21" i="31"/>
  <c r="CI65" i="31"/>
  <c r="BE21" i="35"/>
  <c r="CH21" i="31"/>
  <c r="CH65" i="31"/>
  <c r="BD21" i="35"/>
  <c r="CG21" i="31"/>
  <c r="CG65" i="31"/>
  <c r="BC21" i="35"/>
  <c r="CF21" i="31"/>
  <c r="CF65" i="31"/>
  <c r="BB21" i="35"/>
  <c r="CE21" i="31"/>
  <c r="CE65" i="31"/>
  <c r="BA21" i="35"/>
  <c r="CD21" i="31"/>
  <c r="CD65" i="31"/>
  <c r="BY25" i="35"/>
  <c r="DB25" i="31"/>
  <c r="DB64" i="31"/>
  <c r="BX25" i="35"/>
  <c r="DA25" i="31"/>
  <c r="DA64" i="31"/>
  <c r="BW25" i="35"/>
  <c r="CZ25" i="31"/>
  <c r="CZ64" i="31"/>
  <c r="BV25" i="35"/>
  <c r="CY25" i="31"/>
  <c r="CY64" i="31"/>
  <c r="BU25" i="35"/>
  <c r="CX25" i="31"/>
  <c r="CX64" i="31"/>
  <c r="BT25" i="35"/>
  <c r="CW25" i="31"/>
  <c r="CW64" i="31"/>
  <c r="BS25" i="35"/>
  <c r="CV25" i="31"/>
  <c r="CV64" i="31"/>
  <c r="BR25" i="35"/>
  <c r="CU25" i="31"/>
  <c r="CU64" i="31"/>
  <c r="BQ25" i="35"/>
  <c r="CT25" i="31"/>
  <c r="CT64" i="31"/>
  <c r="BP25" i="35"/>
  <c r="CS25" i="31"/>
  <c r="CS64" i="31"/>
  <c r="BO25" i="35"/>
  <c r="CR25" i="31"/>
  <c r="CR64" i="31"/>
  <c r="BN25" i="35"/>
  <c r="CQ25" i="31"/>
  <c r="CQ64" i="31"/>
  <c r="BM25" i="35"/>
  <c r="CP25" i="31"/>
  <c r="CP64" i="31"/>
  <c r="BL25" i="35"/>
  <c r="CO25" i="31"/>
  <c r="CO64" i="31"/>
  <c r="BK25" i="35"/>
  <c r="CN25" i="31"/>
  <c r="CN64" i="31"/>
  <c r="BJ25" i="35"/>
  <c r="CM25" i="31"/>
  <c r="CM64" i="31"/>
  <c r="BI25" i="35"/>
  <c r="CL25" i="31"/>
  <c r="CL64" i="31"/>
  <c r="BH25" i="35"/>
  <c r="CK25" i="31"/>
  <c r="CK64" i="31"/>
  <c r="BG25" i="35"/>
  <c r="CJ25" i="31"/>
  <c r="CJ64" i="31"/>
  <c r="BF25" i="35"/>
  <c r="CI25" i="31"/>
  <c r="CI64" i="31"/>
  <c r="BE25" i="35"/>
  <c r="CH25" i="31"/>
  <c r="CH64" i="31"/>
  <c r="BD25" i="35"/>
  <c r="CG25" i="31"/>
  <c r="CG64" i="31"/>
  <c r="BC25" i="35"/>
  <c r="CF25" i="31"/>
  <c r="CF64" i="31"/>
  <c r="BB25" i="35"/>
  <c r="CE25" i="31"/>
  <c r="CE64" i="31"/>
  <c r="BA25" i="35"/>
  <c r="CD25" i="31"/>
  <c r="CD64" i="31"/>
  <c r="DB63" i="31"/>
  <c r="DA63" i="31"/>
  <c r="CZ63" i="31"/>
  <c r="CY63" i="31"/>
  <c r="CX63" i="31"/>
  <c r="CW63" i="31"/>
  <c r="CV63" i="31"/>
  <c r="CU63" i="31"/>
  <c r="CT63" i="31"/>
  <c r="CS63" i="31"/>
  <c r="CR63" i="31"/>
  <c r="CQ63" i="31"/>
  <c r="CP63" i="31"/>
  <c r="CO63" i="31"/>
  <c r="CN63" i="31"/>
  <c r="CM63" i="31"/>
  <c r="CL63" i="31"/>
  <c r="CK63" i="31"/>
  <c r="CJ63" i="31"/>
  <c r="CI63" i="31"/>
  <c r="CH63" i="31"/>
  <c r="CG63" i="31"/>
  <c r="CF63" i="31"/>
  <c r="CE63" i="31"/>
  <c r="CD63" i="31"/>
  <c r="DB62" i="31"/>
  <c r="DA62" i="31"/>
  <c r="CZ62" i="31"/>
  <c r="CY62" i="31"/>
  <c r="CX62" i="31"/>
  <c r="CW62" i="31"/>
  <c r="CV62" i="31"/>
  <c r="CU62" i="31"/>
  <c r="CT62" i="31"/>
  <c r="CS62" i="31"/>
  <c r="CR62" i="31"/>
  <c r="CQ62" i="31"/>
  <c r="CP62" i="31"/>
  <c r="CO62" i="31"/>
  <c r="CN62" i="31"/>
  <c r="CM62" i="31"/>
  <c r="CL62" i="31"/>
  <c r="CK62" i="31"/>
  <c r="CJ62" i="31"/>
  <c r="CI62" i="31"/>
  <c r="CH62" i="31"/>
  <c r="CG62" i="31"/>
  <c r="CF62" i="31"/>
  <c r="CE62" i="31"/>
  <c r="CD62" i="31"/>
  <c r="DB61" i="31"/>
  <c r="DA61" i="31"/>
  <c r="CZ61" i="31"/>
  <c r="CY61" i="31"/>
  <c r="CX61" i="31"/>
  <c r="CW61" i="31"/>
  <c r="CV61" i="31"/>
  <c r="CU61" i="31"/>
  <c r="CT61" i="31"/>
  <c r="CS61" i="31"/>
  <c r="CR61" i="31"/>
  <c r="CQ61" i="31"/>
  <c r="CP61" i="31"/>
  <c r="CO61" i="31"/>
  <c r="CN61" i="31"/>
  <c r="CM61" i="31"/>
  <c r="CL61" i="31"/>
  <c r="CK61" i="31"/>
  <c r="CJ61" i="31"/>
  <c r="CI61" i="31"/>
  <c r="CH61" i="31"/>
  <c r="CG61" i="31"/>
  <c r="CF61" i="31"/>
  <c r="CE61" i="31"/>
  <c r="CD61" i="31"/>
  <c r="DB60" i="31"/>
  <c r="DA60" i="31"/>
  <c r="CZ60" i="31"/>
  <c r="CY60" i="31"/>
  <c r="CX60" i="31"/>
  <c r="CW60" i="31"/>
  <c r="CV60" i="31"/>
  <c r="CU60" i="31"/>
  <c r="CT60" i="31"/>
  <c r="CS60" i="31"/>
  <c r="CR60" i="31"/>
  <c r="CQ60" i="31"/>
  <c r="CP60" i="31"/>
  <c r="CO60" i="31"/>
  <c r="CN60" i="31"/>
  <c r="CM60" i="31"/>
  <c r="CL60" i="31"/>
  <c r="CK60" i="31"/>
  <c r="CJ60" i="31"/>
  <c r="CI60" i="31"/>
  <c r="CH60" i="31"/>
  <c r="CG60" i="31"/>
  <c r="CF60" i="31"/>
  <c r="CE60" i="31"/>
  <c r="CD60" i="31"/>
  <c r="DB59" i="31"/>
  <c r="DA59" i="31"/>
  <c r="CZ59" i="31"/>
  <c r="CY59" i="31"/>
  <c r="CX59" i="31"/>
  <c r="CW59" i="31"/>
  <c r="CV59" i="31"/>
  <c r="CU59" i="31"/>
  <c r="CT59" i="31"/>
  <c r="CS59" i="31"/>
  <c r="CR59" i="31"/>
  <c r="CQ59" i="31"/>
  <c r="CP59" i="31"/>
  <c r="CO59" i="31"/>
  <c r="CN59" i="31"/>
  <c r="CM59" i="31"/>
  <c r="CL59" i="31"/>
  <c r="CK59" i="31"/>
  <c r="CJ59" i="31"/>
  <c r="CI59" i="31"/>
  <c r="CH59" i="31"/>
  <c r="CG59" i="31"/>
  <c r="CF59" i="31"/>
  <c r="CE59" i="31"/>
  <c r="CD59" i="31"/>
  <c r="DB58" i="31"/>
  <c r="DA58" i="31"/>
  <c r="CZ58" i="31"/>
  <c r="CY58" i="31"/>
  <c r="CX58" i="31"/>
  <c r="CW58" i="31"/>
  <c r="CV58" i="31"/>
  <c r="CU58" i="31"/>
  <c r="CT58" i="31"/>
  <c r="CS58" i="31"/>
  <c r="CR58" i="31"/>
  <c r="CQ58" i="31"/>
  <c r="CP58" i="31"/>
  <c r="CO58" i="31"/>
  <c r="CN58" i="31"/>
  <c r="CM58" i="31"/>
  <c r="CL58" i="31"/>
  <c r="CK58" i="31"/>
  <c r="CJ58" i="31"/>
  <c r="CI58" i="31"/>
  <c r="CH58" i="31"/>
  <c r="CG58" i="31"/>
  <c r="CF58" i="31"/>
  <c r="CE58" i="31"/>
  <c r="CD58" i="31"/>
  <c r="DB57" i="31"/>
  <c r="DA57" i="31"/>
  <c r="CZ57" i="31"/>
  <c r="CY57" i="31"/>
  <c r="CX57" i="31"/>
  <c r="CW57" i="31"/>
  <c r="CV57" i="31"/>
  <c r="CU57" i="31"/>
  <c r="CT57" i="31"/>
  <c r="CS57" i="31"/>
  <c r="CR57" i="31"/>
  <c r="CQ57" i="31"/>
  <c r="CP57" i="31"/>
  <c r="CO57" i="31"/>
  <c r="CN57" i="31"/>
  <c r="CM57" i="31"/>
  <c r="CL57" i="31"/>
  <c r="CK57" i="31"/>
  <c r="CJ57" i="31"/>
  <c r="CI57" i="31"/>
  <c r="CH57" i="31"/>
  <c r="CG57" i="31"/>
  <c r="CF57" i="31"/>
  <c r="CE57" i="31"/>
  <c r="CD57" i="31"/>
  <c r="DB56" i="31"/>
  <c r="DA56" i="31"/>
  <c r="CZ56" i="31"/>
  <c r="CY56" i="31"/>
  <c r="CX56" i="31"/>
  <c r="CW56" i="31"/>
  <c r="CV56" i="31"/>
  <c r="CU56" i="31"/>
  <c r="CT56" i="31"/>
  <c r="CS56" i="31"/>
  <c r="CR56" i="31"/>
  <c r="CQ56" i="31"/>
  <c r="CP56" i="31"/>
  <c r="CO56" i="31"/>
  <c r="CN56" i="31"/>
  <c r="CM56" i="31"/>
  <c r="CL56" i="31"/>
  <c r="CK56" i="31"/>
  <c r="CJ56" i="31"/>
  <c r="CI56" i="31"/>
  <c r="CH56" i="31"/>
  <c r="CG56" i="31"/>
  <c r="CF56" i="31"/>
  <c r="CE56" i="31"/>
  <c r="CD56" i="31"/>
  <c r="DB55" i="31"/>
  <c r="DA55" i="31"/>
  <c r="CZ55" i="31"/>
  <c r="CY55" i="31"/>
  <c r="CX55" i="31"/>
  <c r="CW55" i="31"/>
  <c r="CV55" i="31"/>
  <c r="CU55" i="31"/>
  <c r="CT55" i="31"/>
  <c r="CS55" i="31"/>
  <c r="CR55" i="31"/>
  <c r="CQ55" i="31"/>
  <c r="CP55" i="31"/>
  <c r="CO55" i="31"/>
  <c r="CN55" i="31"/>
  <c r="CM55" i="31"/>
  <c r="CL55" i="31"/>
  <c r="CK55" i="31"/>
  <c r="CJ55" i="31"/>
  <c r="CI55" i="31"/>
  <c r="CH55" i="31"/>
  <c r="CG55" i="31"/>
  <c r="CF55" i="31"/>
  <c r="CE55" i="31"/>
  <c r="CD55" i="31"/>
  <c r="DB54" i="31"/>
  <c r="DA54" i="31"/>
  <c r="CZ54" i="31"/>
  <c r="CY54" i="31"/>
  <c r="CX54" i="31"/>
  <c r="CW54" i="31"/>
  <c r="CV54" i="31"/>
  <c r="CU54" i="31"/>
  <c r="CT54" i="31"/>
  <c r="CS54" i="31"/>
  <c r="CR54" i="31"/>
  <c r="CQ54" i="31"/>
  <c r="CP54" i="31"/>
  <c r="CO54" i="31"/>
  <c r="CN54" i="31"/>
  <c r="CM54" i="31"/>
  <c r="CL54" i="31"/>
  <c r="CK54" i="31"/>
  <c r="CJ54" i="31"/>
  <c r="CI54" i="31"/>
  <c r="CH54" i="31"/>
  <c r="CG54" i="31"/>
  <c r="CF54" i="31"/>
  <c r="CE54" i="31"/>
  <c r="CD54" i="31"/>
  <c r="DB53" i="31"/>
  <c r="DA53" i="31"/>
  <c r="CZ53" i="31"/>
  <c r="CY53" i="31"/>
  <c r="CX53" i="31"/>
  <c r="CW53" i="31"/>
  <c r="CV53" i="31"/>
  <c r="CU53" i="31"/>
  <c r="CT53" i="31"/>
  <c r="CS53" i="31"/>
  <c r="CR53" i="31"/>
  <c r="CQ53" i="31"/>
  <c r="CP53" i="31"/>
  <c r="CO53" i="31"/>
  <c r="CN53" i="31"/>
  <c r="CM53" i="31"/>
  <c r="CL53" i="31"/>
  <c r="CK53" i="31"/>
  <c r="CJ53" i="31"/>
  <c r="CI53" i="31"/>
  <c r="CH53" i="31"/>
  <c r="CG53" i="31"/>
  <c r="CF53" i="31"/>
  <c r="CE53" i="31"/>
  <c r="CD53" i="31"/>
  <c r="DB52" i="31"/>
  <c r="DA52" i="31"/>
  <c r="CZ52" i="31"/>
  <c r="CY52" i="31"/>
  <c r="CX52" i="31"/>
  <c r="CW52" i="31"/>
  <c r="CV52" i="31"/>
  <c r="CU52" i="31"/>
  <c r="CT52" i="31"/>
  <c r="CS52" i="31"/>
  <c r="CR52" i="31"/>
  <c r="CQ52" i="31"/>
  <c r="CP52" i="31"/>
  <c r="CO52" i="31"/>
  <c r="CN52" i="31"/>
  <c r="CM52" i="31"/>
  <c r="CL52" i="31"/>
  <c r="CK52" i="31"/>
  <c r="CJ52" i="31"/>
  <c r="CI52" i="31"/>
  <c r="CH52" i="31"/>
  <c r="CG52" i="31"/>
  <c r="CF52" i="31"/>
  <c r="CE52" i="31"/>
  <c r="CD52" i="31"/>
  <c r="DB51" i="31"/>
  <c r="DA51" i="31"/>
  <c r="CZ51" i="31"/>
  <c r="CY51" i="31"/>
  <c r="CX51" i="31"/>
  <c r="CW51" i="31"/>
  <c r="CV51" i="31"/>
  <c r="CU51" i="31"/>
  <c r="CT51" i="31"/>
  <c r="CS51" i="31"/>
  <c r="CR51" i="31"/>
  <c r="CQ51" i="31"/>
  <c r="CP51" i="31"/>
  <c r="CO51" i="31"/>
  <c r="CN51" i="31"/>
  <c r="CM51" i="31"/>
  <c r="CL51" i="31"/>
  <c r="CK51" i="31"/>
  <c r="CJ51" i="31"/>
  <c r="CI51" i="31"/>
  <c r="CH51" i="31"/>
  <c r="CG51" i="31"/>
  <c r="CF51" i="31"/>
  <c r="CE51" i="31"/>
  <c r="CD51" i="31"/>
  <c r="DB50" i="31"/>
  <c r="DA50" i="31"/>
  <c r="CZ50" i="31"/>
  <c r="CY50" i="31"/>
  <c r="CX50" i="31"/>
  <c r="CW50" i="31"/>
  <c r="CV50" i="31"/>
  <c r="CU50" i="31"/>
  <c r="CT50" i="31"/>
  <c r="CS50" i="31"/>
  <c r="CR50" i="31"/>
  <c r="CQ50" i="31"/>
  <c r="CP50" i="31"/>
  <c r="CO50" i="31"/>
  <c r="CN50" i="31"/>
  <c r="CM50" i="31"/>
  <c r="CL50" i="31"/>
  <c r="CK50" i="31"/>
  <c r="CJ50" i="31"/>
  <c r="CI50" i="31"/>
  <c r="CH50" i="31"/>
  <c r="CG50" i="31"/>
  <c r="CF50" i="31"/>
  <c r="CE50" i="31"/>
  <c r="CD50" i="31"/>
  <c r="DB23" i="31"/>
  <c r="DB49" i="31"/>
  <c r="DA23" i="31"/>
  <c r="DA49" i="31"/>
  <c r="BW23" i="35"/>
  <c r="CZ23" i="31"/>
  <c r="CZ49" i="31"/>
  <c r="BV23" i="35"/>
  <c r="CY23" i="31"/>
  <c r="CY49" i="31"/>
  <c r="BU23" i="35"/>
  <c r="CX23" i="31"/>
  <c r="CX49" i="31"/>
  <c r="BT23" i="35"/>
  <c r="CW23" i="31"/>
  <c r="CW49" i="31"/>
  <c r="BS23" i="35"/>
  <c r="CV23" i="31"/>
  <c r="CV49" i="31"/>
  <c r="CU23" i="31"/>
  <c r="CU49" i="31"/>
  <c r="BQ23" i="35"/>
  <c r="CT23" i="31"/>
  <c r="CT49" i="31"/>
  <c r="BP23" i="35"/>
  <c r="CS23" i="31"/>
  <c r="CS49" i="31"/>
  <c r="BO23" i="35"/>
  <c r="CR23" i="31"/>
  <c r="CR49" i="31"/>
  <c r="BN23" i="35"/>
  <c r="CQ23" i="31"/>
  <c r="CQ49" i="31"/>
  <c r="BM23" i="35"/>
  <c r="CP23" i="31"/>
  <c r="CP49" i="31"/>
  <c r="BL23" i="35"/>
  <c r="CO23" i="31"/>
  <c r="CO49" i="31"/>
  <c r="BK23" i="35"/>
  <c r="CN23" i="31"/>
  <c r="CN49" i="31"/>
  <c r="BJ23" i="35"/>
  <c r="CM23" i="31"/>
  <c r="CM49" i="31"/>
  <c r="BI23" i="35"/>
  <c r="CL23" i="31"/>
  <c r="CL49" i="31"/>
  <c r="BH23" i="35"/>
  <c r="CK23" i="31"/>
  <c r="CK49" i="31"/>
  <c r="BG23" i="35"/>
  <c r="CJ23" i="31"/>
  <c r="CJ49" i="31"/>
  <c r="BF23" i="35"/>
  <c r="CI23" i="31"/>
  <c r="CI49" i="31"/>
  <c r="BE23" i="35"/>
  <c r="CH23" i="31"/>
  <c r="CH49" i="31"/>
  <c r="BD23" i="35"/>
  <c r="CG23" i="31"/>
  <c r="CG49" i="31"/>
  <c r="BC23" i="35"/>
  <c r="CF23" i="31"/>
  <c r="CF49" i="31"/>
  <c r="BB23" i="35"/>
  <c r="CE23" i="31"/>
  <c r="CE49" i="31"/>
  <c r="CD23" i="31"/>
  <c r="CD49" i="31"/>
  <c r="DB48" i="31"/>
  <c r="DA48" i="31"/>
  <c r="CZ48" i="31"/>
  <c r="CY48" i="31"/>
  <c r="CX48" i="31"/>
  <c r="CW48" i="31"/>
  <c r="CV48" i="31"/>
  <c r="CU48" i="31"/>
  <c r="CT48" i="31"/>
  <c r="CS48" i="31"/>
  <c r="CR48" i="31"/>
  <c r="CQ48" i="31"/>
  <c r="CP48" i="31"/>
  <c r="CO48" i="31"/>
  <c r="CN48" i="31"/>
  <c r="CM48" i="31"/>
  <c r="CL48" i="31"/>
  <c r="CK48" i="31"/>
  <c r="CJ48" i="31"/>
  <c r="CI48" i="31"/>
  <c r="CH48" i="31"/>
  <c r="CG48" i="31"/>
  <c r="CF48" i="31"/>
  <c r="CE48" i="31"/>
  <c r="CD48" i="31"/>
  <c r="BY6" i="35"/>
  <c r="DB6" i="31"/>
  <c r="DB47" i="31"/>
  <c r="BX6" i="35"/>
  <c r="DA6" i="31"/>
  <c r="DA47" i="31"/>
  <c r="BW6" i="35"/>
  <c r="CZ6" i="31"/>
  <c r="CZ47" i="31"/>
  <c r="BV6" i="35"/>
  <c r="CY6" i="31"/>
  <c r="CY47" i="31"/>
  <c r="BU6" i="35"/>
  <c r="CX6" i="31"/>
  <c r="CX47" i="31"/>
  <c r="BT6" i="35"/>
  <c r="CW6" i="31"/>
  <c r="CW47" i="31"/>
  <c r="BS6" i="35"/>
  <c r="CV6" i="31"/>
  <c r="CV47" i="31"/>
  <c r="BR6" i="35"/>
  <c r="CU6" i="31"/>
  <c r="CU47" i="31"/>
  <c r="BQ6" i="35"/>
  <c r="CT6" i="31"/>
  <c r="CT47" i="31"/>
  <c r="BP6" i="35"/>
  <c r="CS6" i="31"/>
  <c r="CS47" i="31"/>
  <c r="BO6" i="35"/>
  <c r="CR6" i="31"/>
  <c r="CR47" i="31"/>
  <c r="BN6" i="35"/>
  <c r="CQ6" i="31"/>
  <c r="CQ47" i="31"/>
  <c r="BM6" i="35"/>
  <c r="CP6" i="31"/>
  <c r="CP47" i="31"/>
  <c r="BL6" i="35"/>
  <c r="CO6" i="31"/>
  <c r="CO47" i="31"/>
  <c r="BK6" i="35"/>
  <c r="CN6" i="31"/>
  <c r="CN47" i="31"/>
  <c r="BJ6" i="35"/>
  <c r="CM6" i="31"/>
  <c r="CM47" i="31"/>
  <c r="BI6" i="35"/>
  <c r="CL6" i="31"/>
  <c r="CL47" i="31"/>
  <c r="BH6" i="35"/>
  <c r="CK6" i="31"/>
  <c r="CK47" i="31"/>
  <c r="BG6" i="35"/>
  <c r="CJ6" i="31"/>
  <c r="CJ47" i="31"/>
  <c r="BF6" i="35"/>
  <c r="CI6" i="31"/>
  <c r="CI47" i="31"/>
  <c r="BE6" i="35"/>
  <c r="CH6" i="31"/>
  <c r="CH47" i="31"/>
  <c r="BD6" i="35"/>
  <c r="CG6" i="31"/>
  <c r="CG47" i="31"/>
  <c r="BC6" i="35"/>
  <c r="CF6" i="31"/>
  <c r="CF47" i="31"/>
  <c r="BB6" i="35"/>
  <c r="CE6" i="31"/>
  <c r="CE47" i="31"/>
  <c r="BA6" i="35"/>
  <c r="CD6" i="31"/>
  <c r="CD47" i="31"/>
  <c r="BY10" i="35"/>
  <c r="DB10" i="31"/>
  <c r="DB46" i="31"/>
  <c r="BX10" i="35"/>
  <c r="DA10" i="31"/>
  <c r="DA46" i="31"/>
  <c r="BW10" i="35"/>
  <c r="CZ10" i="31"/>
  <c r="CZ46" i="31"/>
  <c r="BV10" i="35"/>
  <c r="CY10" i="31"/>
  <c r="CY46" i="31"/>
  <c r="BU10" i="35"/>
  <c r="CX10" i="31"/>
  <c r="CX46" i="31"/>
  <c r="BT10" i="35"/>
  <c r="CW10" i="31"/>
  <c r="CW46" i="31"/>
  <c r="BS10" i="35"/>
  <c r="CV10" i="31"/>
  <c r="CV46" i="31"/>
  <c r="BR10" i="35"/>
  <c r="CU10" i="31"/>
  <c r="CU46" i="31"/>
  <c r="BQ10" i="35"/>
  <c r="CT10" i="31"/>
  <c r="CT46" i="31"/>
  <c r="BP10" i="35"/>
  <c r="CS10" i="31"/>
  <c r="CS46" i="31"/>
  <c r="BO10" i="35"/>
  <c r="CR10" i="31"/>
  <c r="CR46" i="31"/>
  <c r="BN10" i="35"/>
  <c r="CQ10" i="31"/>
  <c r="CQ46" i="31"/>
  <c r="BM10" i="35"/>
  <c r="CP10" i="31"/>
  <c r="CP46" i="31"/>
  <c r="BL10" i="35"/>
  <c r="CO10" i="31"/>
  <c r="CO46" i="31"/>
  <c r="BK10" i="35"/>
  <c r="CN10" i="31"/>
  <c r="CN46" i="31"/>
  <c r="BJ10" i="35"/>
  <c r="CM10" i="31"/>
  <c r="CM46" i="31"/>
  <c r="BI10" i="35"/>
  <c r="CL10" i="31"/>
  <c r="CL46" i="31"/>
  <c r="BH10" i="35"/>
  <c r="CK10" i="31"/>
  <c r="CK46" i="31"/>
  <c r="BG10" i="35"/>
  <c r="CJ10" i="31"/>
  <c r="CJ46" i="31"/>
  <c r="BF10" i="35"/>
  <c r="CI10" i="31"/>
  <c r="CI46" i="31"/>
  <c r="BE10" i="35"/>
  <c r="CH10" i="31"/>
  <c r="CH46" i="31"/>
  <c r="BD10" i="35"/>
  <c r="CG10" i="31"/>
  <c r="CG46" i="31"/>
  <c r="BC10" i="35"/>
  <c r="CF10" i="31"/>
  <c r="CF46" i="31"/>
  <c r="BB10" i="35"/>
  <c r="CE10" i="31"/>
  <c r="CE46" i="31"/>
  <c r="BA10" i="35"/>
  <c r="CD10" i="31"/>
  <c r="CD46" i="31"/>
  <c r="DB45" i="31"/>
  <c r="DA45" i="31"/>
  <c r="CZ45" i="31"/>
  <c r="CY45" i="31"/>
  <c r="CX45" i="31"/>
  <c r="CW45" i="31"/>
  <c r="CV45" i="31"/>
  <c r="CU45" i="31"/>
  <c r="CT45" i="31"/>
  <c r="CS45" i="31"/>
  <c r="CR45" i="31"/>
  <c r="CQ45" i="31"/>
  <c r="CP45" i="31"/>
  <c r="CO45" i="31"/>
  <c r="CN45" i="31"/>
  <c r="CM45" i="31"/>
  <c r="CL45" i="31"/>
  <c r="CK45" i="31"/>
  <c r="CJ45" i="31"/>
  <c r="CI45" i="31"/>
  <c r="CH45" i="31"/>
  <c r="CG45" i="31"/>
  <c r="CF45" i="31"/>
  <c r="CE45" i="31"/>
  <c r="CD45" i="31"/>
  <c r="BY15" i="35"/>
  <c r="DB15" i="31"/>
  <c r="DB44" i="31"/>
  <c r="BX15" i="35"/>
  <c r="DA15" i="31"/>
  <c r="DA44" i="31"/>
  <c r="BW15" i="35"/>
  <c r="CZ15" i="31"/>
  <c r="CZ44" i="31"/>
  <c r="BV15" i="35"/>
  <c r="CY15" i="31"/>
  <c r="CY44" i="31"/>
  <c r="BU15" i="35"/>
  <c r="CX15" i="31"/>
  <c r="CX44" i="31"/>
  <c r="BT15" i="35"/>
  <c r="CW15" i="31"/>
  <c r="CW44" i="31"/>
  <c r="BS15" i="35"/>
  <c r="CV15" i="31"/>
  <c r="CV44" i="31"/>
  <c r="BR15" i="35"/>
  <c r="CU15" i="31"/>
  <c r="CU44" i="31"/>
  <c r="BQ15" i="35"/>
  <c r="CT15" i="31"/>
  <c r="CT44" i="31"/>
  <c r="BP15" i="35"/>
  <c r="CS15" i="31"/>
  <c r="CS44" i="31"/>
  <c r="BO15" i="35"/>
  <c r="CR15" i="31"/>
  <c r="CR44" i="31"/>
  <c r="BN15" i="35"/>
  <c r="CQ15" i="31"/>
  <c r="CQ44" i="31"/>
  <c r="BM15" i="35"/>
  <c r="CP15" i="31"/>
  <c r="CP44" i="31"/>
  <c r="BL15" i="35"/>
  <c r="CO15" i="31"/>
  <c r="CO44" i="31"/>
  <c r="BK15" i="35"/>
  <c r="CN15" i="31"/>
  <c r="CN44" i="31"/>
  <c r="BJ15" i="35"/>
  <c r="CM15" i="31"/>
  <c r="CM44" i="31"/>
  <c r="BI15" i="35"/>
  <c r="CL15" i="31"/>
  <c r="CL44" i="31"/>
  <c r="BH15" i="35"/>
  <c r="CK15" i="31"/>
  <c r="CK44" i="31"/>
  <c r="BG15" i="35"/>
  <c r="CJ15" i="31"/>
  <c r="CJ44" i="31"/>
  <c r="BF15" i="35"/>
  <c r="CI15" i="31"/>
  <c r="CI44" i="31"/>
  <c r="BE15" i="35"/>
  <c r="CH15" i="31"/>
  <c r="CH44" i="31"/>
  <c r="BD15" i="35"/>
  <c r="CG15" i="31"/>
  <c r="CG44" i="31"/>
  <c r="BC15" i="35"/>
  <c r="CF15" i="31"/>
  <c r="CF44" i="31"/>
  <c r="BB15" i="35"/>
  <c r="CE15" i="31"/>
  <c r="CE44" i="31"/>
  <c r="BA15" i="35"/>
  <c r="CD15" i="31"/>
  <c r="CD44" i="31"/>
  <c r="BY28" i="35"/>
  <c r="DB28" i="31"/>
  <c r="DB43" i="31"/>
  <c r="BX28" i="35"/>
  <c r="DA28" i="31"/>
  <c r="DA43" i="31"/>
  <c r="BW28" i="35"/>
  <c r="CZ28" i="31"/>
  <c r="CZ43" i="31"/>
  <c r="BV28" i="35"/>
  <c r="CY28" i="31"/>
  <c r="CY43" i="31"/>
  <c r="BU28" i="35"/>
  <c r="CX28" i="31"/>
  <c r="CX43" i="31"/>
  <c r="BT28" i="35"/>
  <c r="CW28" i="31"/>
  <c r="CW43" i="31"/>
  <c r="BS28" i="35"/>
  <c r="CV28" i="31"/>
  <c r="CV43" i="31"/>
  <c r="BR28" i="35"/>
  <c r="CU28" i="31"/>
  <c r="CU43" i="31"/>
  <c r="BQ28" i="35"/>
  <c r="CT28" i="31"/>
  <c r="CT43" i="31"/>
  <c r="BP28" i="35"/>
  <c r="CS28" i="31"/>
  <c r="CS43" i="31"/>
  <c r="BO28" i="35"/>
  <c r="CR28" i="31"/>
  <c r="CR43" i="31"/>
  <c r="BN28" i="35"/>
  <c r="CQ28" i="31"/>
  <c r="CQ43" i="31"/>
  <c r="BM28" i="35"/>
  <c r="CP28" i="31"/>
  <c r="CP43" i="31"/>
  <c r="BL28" i="35"/>
  <c r="CO28" i="31"/>
  <c r="CO43" i="31"/>
  <c r="BK28" i="35"/>
  <c r="CN28" i="31"/>
  <c r="CN43" i="31"/>
  <c r="BJ28" i="35"/>
  <c r="CM28" i="31"/>
  <c r="CM43" i="31"/>
  <c r="BI28" i="35"/>
  <c r="CL28" i="31"/>
  <c r="CL43" i="31"/>
  <c r="BH28" i="35"/>
  <c r="CK28" i="31"/>
  <c r="CK43" i="31"/>
  <c r="BG28" i="35"/>
  <c r="CJ28" i="31"/>
  <c r="CJ43" i="31"/>
  <c r="BF28" i="35"/>
  <c r="CI28" i="31"/>
  <c r="CI43" i="31"/>
  <c r="BE28" i="35"/>
  <c r="CH28" i="31"/>
  <c r="CH43" i="31"/>
  <c r="BD28" i="35"/>
  <c r="CG28" i="31"/>
  <c r="CG43" i="31"/>
  <c r="BC28" i="35"/>
  <c r="CF28" i="31"/>
  <c r="CF43" i="31"/>
  <c r="BB28" i="35"/>
  <c r="CE28" i="31"/>
  <c r="CE43" i="31"/>
  <c r="BA28" i="35"/>
  <c r="CD28" i="31"/>
  <c r="CD43" i="31"/>
  <c r="BY19" i="35"/>
  <c r="DB19" i="31"/>
  <c r="DB42" i="31"/>
  <c r="BX19" i="35"/>
  <c r="DA19" i="31"/>
  <c r="DA42" i="31"/>
  <c r="BW19" i="35"/>
  <c r="CZ19" i="31"/>
  <c r="CZ42" i="31"/>
  <c r="BV19" i="35"/>
  <c r="CY19" i="31"/>
  <c r="CY42" i="31"/>
  <c r="BU19" i="35"/>
  <c r="CX19" i="31"/>
  <c r="CX42" i="31"/>
  <c r="BT19" i="35"/>
  <c r="CW19" i="31"/>
  <c r="CW42" i="31"/>
  <c r="BS19" i="35"/>
  <c r="CV19" i="31"/>
  <c r="CV42" i="31"/>
  <c r="BR19" i="35"/>
  <c r="CU19" i="31"/>
  <c r="CU42" i="31"/>
  <c r="BQ19" i="35"/>
  <c r="CT19" i="31"/>
  <c r="CT42" i="31"/>
  <c r="BP19" i="35"/>
  <c r="CS19" i="31"/>
  <c r="CS42" i="31"/>
  <c r="BO19" i="35"/>
  <c r="CR19" i="31"/>
  <c r="CR42" i="31"/>
  <c r="BN19" i="35"/>
  <c r="CQ19" i="31"/>
  <c r="CQ42" i="31"/>
  <c r="BM19" i="35"/>
  <c r="CP19" i="31"/>
  <c r="CP42" i="31"/>
  <c r="BL19" i="35"/>
  <c r="CO19" i="31"/>
  <c r="CO42" i="31"/>
  <c r="BK19" i="35"/>
  <c r="CN19" i="31"/>
  <c r="CN42" i="31"/>
  <c r="BJ19" i="35"/>
  <c r="CM19" i="31"/>
  <c r="CM42" i="31"/>
  <c r="BI19" i="35"/>
  <c r="CL19" i="31"/>
  <c r="CL42" i="31"/>
  <c r="BH19" i="35"/>
  <c r="CK19" i="31"/>
  <c r="CK42" i="31"/>
  <c r="BG19" i="35"/>
  <c r="CJ19" i="31"/>
  <c r="CJ42" i="31"/>
  <c r="BF19" i="35"/>
  <c r="CI19" i="31"/>
  <c r="CI42" i="31"/>
  <c r="BE19" i="35"/>
  <c r="CH19" i="31"/>
  <c r="CH42" i="31"/>
  <c r="BD19" i="35"/>
  <c r="CG19" i="31"/>
  <c r="CG42" i="31"/>
  <c r="BC19" i="35"/>
  <c r="CF19" i="31"/>
  <c r="CF42" i="31"/>
  <c r="BB19" i="35"/>
  <c r="CE19" i="31"/>
  <c r="CE42" i="31"/>
  <c r="BA19" i="35"/>
  <c r="CD19" i="31"/>
  <c r="CD42" i="31"/>
  <c r="BY8" i="35"/>
  <c r="DB8" i="31"/>
  <c r="DB41" i="31"/>
  <c r="BX8" i="35"/>
  <c r="DA8" i="31"/>
  <c r="DA41" i="31"/>
  <c r="BW8" i="35"/>
  <c r="CZ8" i="31"/>
  <c r="CZ41" i="31"/>
  <c r="BV8" i="35"/>
  <c r="CY8" i="31"/>
  <c r="CY41" i="31"/>
  <c r="BU8" i="35"/>
  <c r="CX8" i="31"/>
  <c r="CX41" i="31"/>
  <c r="BT8" i="35"/>
  <c r="CW8" i="31"/>
  <c r="CW41" i="31"/>
  <c r="BS8" i="35"/>
  <c r="CV8" i="31"/>
  <c r="CV41" i="31"/>
  <c r="BR8" i="35"/>
  <c r="CU8" i="31"/>
  <c r="CU41" i="31"/>
  <c r="BQ8" i="35"/>
  <c r="CT8" i="31"/>
  <c r="CT41" i="31"/>
  <c r="BP8" i="35"/>
  <c r="CS8" i="31"/>
  <c r="CS41" i="31"/>
  <c r="BO8" i="35"/>
  <c r="CR8" i="31"/>
  <c r="CR41" i="31"/>
  <c r="BN8" i="35"/>
  <c r="CQ8" i="31"/>
  <c r="CQ41" i="31"/>
  <c r="BM8" i="35"/>
  <c r="CP8" i="31"/>
  <c r="CP41" i="31"/>
  <c r="BL8" i="35"/>
  <c r="CO8" i="31"/>
  <c r="CO41" i="31"/>
  <c r="BK8" i="35"/>
  <c r="CN8" i="31"/>
  <c r="CN41" i="31"/>
  <c r="BJ8" i="35"/>
  <c r="CM8" i="31"/>
  <c r="CM41" i="31"/>
  <c r="BI8" i="35"/>
  <c r="CL8" i="31"/>
  <c r="CL41" i="31"/>
  <c r="BH8" i="35"/>
  <c r="CK8" i="31"/>
  <c r="CK41" i="31"/>
  <c r="BG8" i="35"/>
  <c r="CJ8" i="31"/>
  <c r="CJ41" i="31"/>
  <c r="BF8" i="35"/>
  <c r="CI8" i="31"/>
  <c r="CI41" i="31"/>
  <c r="BE8" i="35"/>
  <c r="CH8" i="31"/>
  <c r="CH41" i="31"/>
  <c r="BD8" i="35"/>
  <c r="CG8" i="31"/>
  <c r="CG41" i="31"/>
  <c r="BC8" i="35"/>
  <c r="CF8" i="31"/>
  <c r="CF41" i="31"/>
  <c r="BB8" i="35"/>
  <c r="CE8" i="31"/>
  <c r="CE41" i="31"/>
  <c r="BA8" i="35"/>
  <c r="CD8" i="31"/>
  <c r="CD41" i="31"/>
  <c r="BY4" i="35"/>
  <c r="DB4" i="31"/>
  <c r="DB40" i="31"/>
  <c r="BX4" i="35"/>
  <c r="DA4" i="31"/>
  <c r="DA40" i="31"/>
  <c r="BW4" i="35"/>
  <c r="CZ4" i="31"/>
  <c r="CZ40" i="31"/>
  <c r="BV4" i="35"/>
  <c r="CY4" i="31"/>
  <c r="CY40" i="31"/>
  <c r="BU4" i="35"/>
  <c r="CX4" i="31"/>
  <c r="CX40" i="31"/>
  <c r="BT4" i="35"/>
  <c r="CW4" i="31"/>
  <c r="CW40" i="31"/>
  <c r="BS4" i="35"/>
  <c r="CV4" i="31"/>
  <c r="CV40" i="31"/>
  <c r="BR4" i="35"/>
  <c r="CU4" i="31"/>
  <c r="CU40" i="31"/>
  <c r="BQ4" i="35"/>
  <c r="CT4" i="31"/>
  <c r="CT40" i="31"/>
  <c r="BP4" i="35"/>
  <c r="CS4" i="31"/>
  <c r="CS40" i="31"/>
  <c r="BO4" i="35"/>
  <c r="CR4" i="31"/>
  <c r="CR40" i="31"/>
  <c r="BN4" i="35"/>
  <c r="CQ4" i="31"/>
  <c r="CQ40" i="31"/>
  <c r="BM4" i="35"/>
  <c r="CP4" i="31"/>
  <c r="CP40" i="31"/>
  <c r="BL4" i="35"/>
  <c r="CO4" i="31"/>
  <c r="CO40" i="31"/>
  <c r="BK4" i="35"/>
  <c r="CN4" i="31"/>
  <c r="CN40" i="31"/>
  <c r="BJ4" i="35"/>
  <c r="CM4" i="31"/>
  <c r="CM40" i="31"/>
  <c r="BI4" i="35"/>
  <c r="CL4" i="31"/>
  <c r="CL40" i="31"/>
  <c r="BH4" i="35"/>
  <c r="CK4" i="31"/>
  <c r="CK40" i="31"/>
  <c r="BG4" i="35"/>
  <c r="CJ4" i="31"/>
  <c r="CJ40" i="31"/>
  <c r="BF4" i="35"/>
  <c r="CI4" i="31"/>
  <c r="CI40" i="31"/>
  <c r="BE4" i="35"/>
  <c r="CH4" i="31"/>
  <c r="CH40" i="31"/>
  <c r="BD4" i="35"/>
  <c r="CG4" i="31"/>
  <c r="CG40" i="31"/>
  <c r="BC4" i="35"/>
  <c r="CF4" i="31"/>
  <c r="CF40" i="31"/>
  <c r="BB4" i="35"/>
  <c r="CE4" i="31"/>
  <c r="CE40" i="31"/>
  <c r="BA4" i="35"/>
  <c r="CD4" i="31"/>
  <c r="CD40" i="31"/>
  <c r="BY11" i="35"/>
  <c r="DB11" i="31"/>
  <c r="DB39" i="31"/>
  <c r="BX11" i="35"/>
  <c r="DA11" i="31"/>
  <c r="DA39" i="31"/>
  <c r="BW11" i="35"/>
  <c r="CZ11" i="31"/>
  <c r="CZ39" i="31"/>
  <c r="BV11" i="35"/>
  <c r="CY11" i="31"/>
  <c r="CY39" i="31"/>
  <c r="BU11" i="35"/>
  <c r="CX11" i="31"/>
  <c r="CX39" i="31"/>
  <c r="BT11" i="35"/>
  <c r="CW11" i="31"/>
  <c r="CW39" i="31"/>
  <c r="BS11" i="35"/>
  <c r="CV11" i="31"/>
  <c r="CV39" i="31"/>
  <c r="BR11" i="35"/>
  <c r="CU11" i="31"/>
  <c r="CU39" i="31"/>
  <c r="BQ11" i="35"/>
  <c r="CT11" i="31"/>
  <c r="CT39" i="31"/>
  <c r="BP11" i="35"/>
  <c r="CS11" i="31"/>
  <c r="CS39" i="31"/>
  <c r="BO11" i="35"/>
  <c r="CR11" i="31"/>
  <c r="CR39" i="31"/>
  <c r="BN11" i="35"/>
  <c r="CQ11" i="31"/>
  <c r="CQ39" i="31"/>
  <c r="BM11" i="35"/>
  <c r="CP11" i="31"/>
  <c r="CP39" i="31"/>
  <c r="BL11" i="35"/>
  <c r="CO11" i="31"/>
  <c r="CO39" i="31"/>
  <c r="BK11" i="35"/>
  <c r="CN11" i="31"/>
  <c r="CN39" i="31"/>
  <c r="BJ11" i="35"/>
  <c r="CM11" i="31"/>
  <c r="CM39" i="31"/>
  <c r="BI11" i="35"/>
  <c r="CL11" i="31"/>
  <c r="CL39" i="31"/>
  <c r="BH11" i="35"/>
  <c r="CK11" i="31"/>
  <c r="CK39" i="31"/>
  <c r="BG11" i="35"/>
  <c r="CJ11" i="31"/>
  <c r="CJ39" i="31"/>
  <c r="BF11" i="35"/>
  <c r="CI11" i="31"/>
  <c r="CI39" i="31"/>
  <c r="BE11" i="35"/>
  <c r="CH11" i="31"/>
  <c r="CH39" i="31"/>
  <c r="BD11" i="35"/>
  <c r="CG11" i="31"/>
  <c r="CG39" i="31"/>
  <c r="BC11" i="35"/>
  <c r="CF11" i="31"/>
  <c r="CF39" i="31"/>
  <c r="BB11" i="35"/>
  <c r="CE11" i="31"/>
  <c r="CE39" i="31"/>
  <c r="BA11" i="35"/>
  <c r="CD11" i="31"/>
  <c r="CD39" i="31"/>
  <c r="BY2" i="35"/>
  <c r="DB2" i="31"/>
  <c r="DB38" i="31"/>
  <c r="BX2" i="35"/>
  <c r="DA2" i="31"/>
  <c r="DA38" i="31"/>
  <c r="BW2" i="35"/>
  <c r="CZ2" i="31"/>
  <c r="CZ38" i="31"/>
  <c r="BV2" i="35"/>
  <c r="CY2" i="31"/>
  <c r="CY38" i="31"/>
  <c r="BU2" i="35"/>
  <c r="CX2" i="31"/>
  <c r="CX38" i="31"/>
  <c r="BT2" i="35"/>
  <c r="CW2" i="31"/>
  <c r="CW38" i="31"/>
  <c r="BS2" i="35"/>
  <c r="CV2" i="31"/>
  <c r="CV38" i="31"/>
  <c r="BR2" i="35"/>
  <c r="CU2" i="31"/>
  <c r="CU38" i="31"/>
  <c r="BQ2" i="35"/>
  <c r="CT2" i="31"/>
  <c r="CT38" i="31"/>
  <c r="BP2" i="35"/>
  <c r="CS2" i="31"/>
  <c r="CS38" i="31"/>
  <c r="BO2" i="35"/>
  <c r="CR2" i="31"/>
  <c r="CR38" i="31"/>
  <c r="BN2" i="35"/>
  <c r="CQ2" i="31"/>
  <c r="CQ38" i="31"/>
  <c r="BM2" i="35"/>
  <c r="CP2" i="31"/>
  <c r="CP38" i="31"/>
  <c r="BL2" i="35"/>
  <c r="CO2" i="31"/>
  <c r="CO38" i="31"/>
  <c r="BK2" i="35"/>
  <c r="CN2" i="31"/>
  <c r="CN38" i="31"/>
  <c r="BJ2" i="35"/>
  <c r="CM2" i="31"/>
  <c r="CM38" i="31"/>
  <c r="BI2" i="35"/>
  <c r="CL2" i="31"/>
  <c r="CL38" i="31"/>
  <c r="BH2" i="35"/>
  <c r="CK2" i="31"/>
  <c r="CK38" i="31"/>
  <c r="BG2" i="35"/>
  <c r="CJ2" i="31"/>
  <c r="CJ38" i="31"/>
  <c r="BF2" i="35"/>
  <c r="CI2" i="31"/>
  <c r="CI38" i="31"/>
  <c r="BE2" i="35"/>
  <c r="CH2" i="31"/>
  <c r="CH38" i="31"/>
  <c r="BD2" i="35"/>
  <c r="CG2" i="31"/>
  <c r="CG38" i="31"/>
  <c r="BC2" i="35"/>
  <c r="CF2" i="31"/>
  <c r="CF38" i="31"/>
  <c r="BB2" i="35"/>
  <c r="CE2" i="31"/>
  <c r="CE38" i="31"/>
  <c r="BA2" i="35"/>
  <c r="CD2" i="31"/>
  <c r="CD38" i="31"/>
  <c r="BY22" i="35"/>
  <c r="DB22" i="31"/>
  <c r="DB37" i="31"/>
  <c r="BX22" i="35"/>
  <c r="DA22" i="31"/>
  <c r="DA37" i="31"/>
  <c r="BW22" i="35"/>
  <c r="CZ22" i="31"/>
  <c r="CZ37" i="31"/>
  <c r="BV22" i="35"/>
  <c r="CY22" i="31"/>
  <c r="CY37" i="31"/>
  <c r="BU22" i="35"/>
  <c r="CX22" i="31"/>
  <c r="CX37" i="31"/>
  <c r="BT22" i="35"/>
  <c r="CW22" i="31"/>
  <c r="CW37" i="31"/>
  <c r="BS22" i="35"/>
  <c r="CV22" i="31"/>
  <c r="CV37" i="31"/>
  <c r="BR22" i="35"/>
  <c r="CU22" i="31"/>
  <c r="CU37" i="31"/>
  <c r="BQ22" i="35"/>
  <c r="CT22" i="31"/>
  <c r="CT37" i="31"/>
  <c r="BP22" i="35"/>
  <c r="CS22" i="31"/>
  <c r="CS37" i="31"/>
  <c r="BO22" i="35"/>
  <c r="CR22" i="31"/>
  <c r="CR37" i="31"/>
  <c r="BN22" i="35"/>
  <c r="CQ22" i="31"/>
  <c r="CQ37" i="31"/>
  <c r="BM22" i="35"/>
  <c r="CP22" i="31"/>
  <c r="CP37" i="31"/>
  <c r="BL22" i="35"/>
  <c r="CO22" i="31"/>
  <c r="CO37" i="31"/>
  <c r="BK22" i="35"/>
  <c r="CN22" i="31"/>
  <c r="CN37" i="31"/>
  <c r="BJ22" i="35"/>
  <c r="CM22" i="31"/>
  <c r="CM37" i="31"/>
  <c r="BI22" i="35"/>
  <c r="CL22" i="31"/>
  <c r="CL37" i="31"/>
  <c r="BH22" i="35"/>
  <c r="CK22" i="31"/>
  <c r="CK37" i="31"/>
  <c r="BG22" i="35"/>
  <c r="CJ22" i="31"/>
  <c r="CJ37" i="31"/>
  <c r="BF22" i="35"/>
  <c r="CI22" i="31"/>
  <c r="CI37" i="31"/>
  <c r="BE22" i="35"/>
  <c r="CH22" i="31"/>
  <c r="CH37" i="31"/>
  <c r="BD22" i="35"/>
  <c r="CG22" i="31"/>
  <c r="CG37" i="31"/>
  <c r="BC22" i="35"/>
  <c r="CF22" i="31"/>
  <c r="CF37" i="31"/>
  <c r="BB22" i="35"/>
  <c r="CE22" i="31"/>
  <c r="CE37" i="31"/>
  <c r="BA22" i="35"/>
  <c r="CD22" i="31"/>
  <c r="CD37" i="31"/>
  <c r="BY26" i="35"/>
  <c r="DB26" i="31"/>
  <c r="DB36" i="31"/>
  <c r="BX26" i="35"/>
  <c r="DA26" i="31"/>
  <c r="DA36" i="31"/>
  <c r="BW26" i="35"/>
  <c r="CZ26" i="31"/>
  <c r="CZ36" i="31"/>
  <c r="BV26" i="35"/>
  <c r="CY26" i="31"/>
  <c r="CY36" i="31"/>
  <c r="BU26" i="35"/>
  <c r="CX26" i="31"/>
  <c r="CX36" i="31"/>
  <c r="BT26" i="35"/>
  <c r="CW26" i="31"/>
  <c r="CW36" i="31"/>
  <c r="BS26" i="35"/>
  <c r="CV26" i="31"/>
  <c r="CV36" i="31"/>
  <c r="BR26" i="35"/>
  <c r="CU26" i="31"/>
  <c r="CU36" i="31"/>
  <c r="BQ26" i="35"/>
  <c r="CT26" i="31"/>
  <c r="CT36" i="31"/>
  <c r="BP26" i="35"/>
  <c r="CS26" i="31"/>
  <c r="CS36" i="31"/>
  <c r="BO26" i="35"/>
  <c r="CR26" i="31"/>
  <c r="CR36" i="31"/>
  <c r="BN26" i="35"/>
  <c r="CQ26" i="31"/>
  <c r="CQ36" i="31"/>
  <c r="BM26" i="35"/>
  <c r="CP26" i="31"/>
  <c r="CP36" i="31"/>
  <c r="BL26" i="35"/>
  <c r="CO26" i="31"/>
  <c r="CO36" i="31"/>
  <c r="BK26" i="35"/>
  <c r="CN26" i="31"/>
  <c r="CN36" i="31"/>
  <c r="BJ26" i="35"/>
  <c r="CM26" i="31"/>
  <c r="CM36" i="31"/>
  <c r="BI26" i="35"/>
  <c r="CL26" i="31"/>
  <c r="CL36" i="31"/>
  <c r="BH26" i="35"/>
  <c r="CK26" i="31"/>
  <c r="CK36" i="31"/>
  <c r="BG26" i="35"/>
  <c r="CJ26" i="31"/>
  <c r="CJ36" i="31"/>
  <c r="BF26" i="35"/>
  <c r="CI26" i="31"/>
  <c r="CI36" i="31"/>
  <c r="BE26" i="35"/>
  <c r="CH26" i="31"/>
  <c r="CH36" i="31"/>
  <c r="BD26" i="35"/>
  <c r="CG26" i="31"/>
  <c r="CG36" i="31"/>
  <c r="BC26" i="35"/>
  <c r="CF26" i="31"/>
  <c r="CF36" i="31"/>
  <c r="BB26" i="35"/>
  <c r="CE26" i="31"/>
  <c r="CE36" i="31"/>
  <c r="BA26" i="35"/>
  <c r="CD26" i="31"/>
  <c r="CD36" i="31"/>
  <c r="BY30" i="35"/>
  <c r="DB30" i="31"/>
  <c r="DB35" i="31"/>
  <c r="BX30" i="35"/>
  <c r="DA30" i="31"/>
  <c r="DA35" i="31"/>
  <c r="BW30" i="35"/>
  <c r="CZ30" i="31"/>
  <c r="CZ35" i="31"/>
  <c r="BV30" i="35"/>
  <c r="CY30" i="31"/>
  <c r="CY35" i="31"/>
  <c r="BU30" i="35"/>
  <c r="CX30" i="31"/>
  <c r="CX35" i="31"/>
  <c r="BT30" i="35"/>
  <c r="CW30" i="31"/>
  <c r="CW35" i="31"/>
  <c r="BS30" i="35"/>
  <c r="CV30" i="31"/>
  <c r="CV35" i="31"/>
  <c r="BR30" i="35"/>
  <c r="CU30" i="31"/>
  <c r="CU35" i="31"/>
  <c r="BQ30" i="35"/>
  <c r="CT30" i="31"/>
  <c r="CT35" i="31"/>
  <c r="BP30" i="35"/>
  <c r="CS30" i="31"/>
  <c r="CS35" i="31"/>
  <c r="BO30" i="35"/>
  <c r="CR30" i="31"/>
  <c r="CR35" i="31"/>
  <c r="BN30" i="35"/>
  <c r="CQ30" i="31"/>
  <c r="CQ35" i="31"/>
  <c r="BM30" i="35"/>
  <c r="CP30" i="31"/>
  <c r="CP35" i="31"/>
  <c r="BL30" i="35"/>
  <c r="CO30" i="31"/>
  <c r="CO35" i="31"/>
  <c r="BK30" i="35"/>
  <c r="CN30" i="31"/>
  <c r="CN35" i="31"/>
  <c r="BJ30" i="35"/>
  <c r="CM30" i="31"/>
  <c r="CM35" i="31"/>
  <c r="BI30" i="35"/>
  <c r="CL30" i="31"/>
  <c r="CL35" i="31"/>
  <c r="BH30" i="35"/>
  <c r="CK30" i="31"/>
  <c r="CK35" i="31"/>
  <c r="BG30" i="35"/>
  <c r="CJ30" i="31"/>
  <c r="CJ35" i="31"/>
  <c r="BF30" i="35"/>
  <c r="CI30" i="31"/>
  <c r="CI35" i="31"/>
  <c r="BE30" i="35"/>
  <c r="CH30" i="31"/>
  <c r="CH35" i="31"/>
  <c r="BD30" i="35"/>
  <c r="CG30" i="31"/>
  <c r="CG35" i="31"/>
  <c r="BC30" i="35"/>
  <c r="CF30" i="31"/>
  <c r="CF35" i="31"/>
  <c r="BB30" i="35"/>
  <c r="CE30" i="31"/>
  <c r="CE35" i="31"/>
  <c r="BA30" i="35"/>
  <c r="CD30" i="31"/>
  <c r="CD35" i="31"/>
  <c r="BY14" i="35"/>
  <c r="DB14" i="31"/>
  <c r="DB34" i="31"/>
  <c r="BX14" i="35"/>
  <c r="DA14" i="31"/>
  <c r="DA34" i="31"/>
  <c r="BW14" i="35"/>
  <c r="CZ14" i="31"/>
  <c r="CZ34" i="31"/>
  <c r="BV14" i="35"/>
  <c r="CY14" i="31"/>
  <c r="CY34" i="31"/>
  <c r="BU14" i="35"/>
  <c r="CX14" i="31"/>
  <c r="CX34" i="31"/>
  <c r="BT14" i="35"/>
  <c r="CW14" i="31"/>
  <c r="CW34" i="31"/>
  <c r="BS14" i="35"/>
  <c r="CV14" i="31"/>
  <c r="CV34" i="31"/>
  <c r="BR14" i="35"/>
  <c r="CU14" i="31"/>
  <c r="CU34" i="31"/>
  <c r="BQ14" i="35"/>
  <c r="CT14" i="31"/>
  <c r="CT34" i="31"/>
  <c r="BP14" i="35"/>
  <c r="CS14" i="31"/>
  <c r="CS34" i="31"/>
  <c r="BO14" i="35"/>
  <c r="CR14" i="31"/>
  <c r="CR34" i="31"/>
  <c r="BN14" i="35"/>
  <c r="CQ14" i="31"/>
  <c r="CQ34" i="31"/>
  <c r="BM14" i="35"/>
  <c r="CP14" i="31"/>
  <c r="CP34" i="31"/>
  <c r="BL14" i="35"/>
  <c r="CO14" i="31"/>
  <c r="CO34" i="31"/>
  <c r="BK14" i="35"/>
  <c r="CN14" i="31"/>
  <c r="CN34" i="31"/>
  <c r="BJ14" i="35"/>
  <c r="CM14" i="31"/>
  <c r="CM34" i="31"/>
  <c r="BI14" i="35"/>
  <c r="CL14" i="31"/>
  <c r="CL34" i="31"/>
  <c r="BH14" i="35"/>
  <c r="CK14" i="31"/>
  <c r="CK34" i="31"/>
  <c r="BG14" i="35"/>
  <c r="CJ14" i="31"/>
  <c r="CJ34" i="31"/>
  <c r="BF14" i="35"/>
  <c r="CI14" i="31"/>
  <c r="CI34" i="31"/>
  <c r="BE14" i="35"/>
  <c r="CH14" i="31"/>
  <c r="CH34" i="31"/>
  <c r="BD14" i="35"/>
  <c r="CG14" i="31"/>
  <c r="CG34" i="31"/>
  <c r="BC14" i="35"/>
  <c r="CF14" i="31"/>
  <c r="CF34" i="31"/>
  <c r="BB14" i="35"/>
  <c r="CE14" i="31"/>
  <c r="CE34" i="31"/>
  <c r="BA14" i="35"/>
  <c r="CD14" i="31"/>
  <c r="CD34" i="31"/>
  <c r="BY13" i="35"/>
  <c r="DB13" i="31"/>
  <c r="DB33" i="31"/>
  <c r="BX13" i="35"/>
  <c r="DA13" i="31"/>
  <c r="DA33" i="31"/>
  <c r="BW13" i="35"/>
  <c r="CZ13" i="31"/>
  <c r="CZ33" i="31"/>
  <c r="BV13" i="35"/>
  <c r="CY13" i="31"/>
  <c r="CY33" i="31"/>
  <c r="BU13" i="35"/>
  <c r="CX13" i="31"/>
  <c r="CX33" i="31"/>
  <c r="BT13" i="35"/>
  <c r="CW13" i="31"/>
  <c r="CW33" i="31"/>
  <c r="BS13" i="35"/>
  <c r="CV13" i="31"/>
  <c r="CV33" i="31"/>
  <c r="BR13" i="35"/>
  <c r="CU13" i="31"/>
  <c r="CU33" i="31"/>
  <c r="BQ13" i="35"/>
  <c r="CT13" i="31"/>
  <c r="CT33" i="31"/>
  <c r="BP13" i="35"/>
  <c r="CS13" i="31"/>
  <c r="CS33" i="31"/>
  <c r="BO13" i="35"/>
  <c r="CR13" i="31"/>
  <c r="CR33" i="31"/>
  <c r="BN13" i="35"/>
  <c r="CQ13" i="31"/>
  <c r="CQ33" i="31"/>
  <c r="BM13" i="35"/>
  <c r="CP13" i="31"/>
  <c r="CP33" i="31"/>
  <c r="BL13" i="35"/>
  <c r="CO13" i="31"/>
  <c r="CO33" i="31"/>
  <c r="BK13" i="35"/>
  <c r="CN13" i="31"/>
  <c r="CN33" i="31"/>
  <c r="BJ13" i="35"/>
  <c r="CM13" i="31"/>
  <c r="CM33" i="31"/>
  <c r="BI13" i="35"/>
  <c r="CL13" i="31"/>
  <c r="CL33" i="31"/>
  <c r="BH13" i="35"/>
  <c r="CK13" i="31"/>
  <c r="CK33" i="31"/>
  <c r="BG13" i="35"/>
  <c r="CJ13" i="31"/>
  <c r="CJ33" i="31"/>
  <c r="BF13" i="35"/>
  <c r="CI13" i="31"/>
  <c r="CI33" i="31"/>
  <c r="BE13" i="35"/>
  <c r="CH13" i="31"/>
  <c r="CH33" i="31"/>
  <c r="BD13" i="35"/>
  <c r="CG13" i="31"/>
  <c r="CG33" i="31"/>
  <c r="BC13" i="35"/>
  <c r="CF13" i="31"/>
  <c r="CF33" i="31"/>
  <c r="BB13" i="35"/>
  <c r="CE13" i="31"/>
  <c r="CE33" i="31"/>
  <c r="BA13" i="35"/>
  <c r="CD13" i="31"/>
  <c r="CD33" i="31"/>
  <c r="DB3" i="31"/>
  <c r="DB32" i="31"/>
  <c r="DA3" i="31"/>
  <c r="DA32" i="31"/>
  <c r="BW3" i="35"/>
  <c r="CZ3" i="31"/>
  <c r="CZ32" i="31"/>
  <c r="BV3" i="35"/>
  <c r="CY3" i="31"/>
  <c r="CY32" i="31"/>
  <c r="BU3" i="35"/>
  <c r="CX3" i="31"/>
  <c r="CX32" i="31"/>
  <c r="BT3" i="35"/>
  <c r="CW3" i="31"/>
  <c r="CW32" i="31"/>
  <c r="BS3" i="35"/>
  <c r="CV3" i="31"/>
  <c r="CV32" i="31"/>
  <c r="CU3" i="31"/>
  <c r="CU32" i="31"/>
  <c r="BQ3" i="35"/>
  <c r="CT3" i="31"/>
  <c r="CT32" i="31"/>
  <c r="BP3" i="35"/>
  <c r="CS3" i="31"/>
  <c r="CS32" i="31"/>
  <c r="BO3" i="35"/>
  <c r="CR3" i="31"/>
  <c r="CR32" i="31"/>
  <c r="BN3" i="35"/>
  <c r="CQ3" i="31"/>
  <c r="CQ32" i="31"/>
  <c r="BM3" i="35"/>
  <c r="CP3" i="31"/>
  <c r="CP32" i="31"/>
  <c r="BL3" i="35"/>
  <c r="CO3" i="31"/>
  <c r="CO32" i="31"/>
  <c r="BK3" i="35"/>
  <c r="CN3" i="31"/>
  <c r="CN32" i="31"/>
  <c r="BJ3" i="35"/>
  <c r="CM3" i="31"/>
  <c r="CM32" i="31"/>
  <c r="BI3" i="35"/>
  <c r="CL3" i="31"/>
  <c r="CL32" i="31"/>
  <c r="BH3" i="35"/>
  <c r="CK3" i="31"/>
  <c r="CK32" i="31"/>
  <c r="BG3" i="35"/>
  <c r="CJ3" i="31"/>
  <c r="CJ32" i="31"/>
  <c r="BF3" i="35"/>
  <c r="CI3" i="31"/>
  <c r="CI32" i="31"/>
  <c r="BE3" i="35"/>
  <c r="CH3" i="31"/>
  <c r="CH32" i="31"/>
  <c r="BD3" i="35"/>
  <c r="CG3" i="31"/>
  <c r="CG32" i="31"/>
  <c r="BC3" i="35"/>
  <c r="CF3" i="31"/>
  <c r="CF32" i="31"/>
  <c r="BB3" i="35"/>
  <c r="CE3" i="31"/>
  <c r="CE32" i="31"/>
  <c r="CD3" i="31"/>
  <c r="CD32" i="31"/>
  <c r="DB31" i="31"/>
  <c r="DA31" i="31"/>
  <c r="CZ31" i="31"/>
  <c r="CY31" i="31"/>
  <c r="CX31" i="31"/>
  <c r="CW31" i="31"/>
  <c r="CV31" i="31"/>
  <c r="CU31" i="31"/>
  <c r="CT31" i="31"/>
  <c r="CS31" i="31"/>
  <c r="CR31" i="31"/>
  <c r="CQ31" i="31"/>
  <c r="CP31" i="31"/>
  <c r="CO31" i="31"/>
  <c r="CN31" i="31"/>
  <c r="CM31" i="31"/>
  <c r="CL31" i="31"/>
  <c r="CK31" i="31"/>
  <c r="CJ31" i="31"/>
  <c r="CI31" i="31"/>
  <c r="CH31" i="31"/>
  <c r="CG31" i="31"/>
  <c r="CF31" i="31"/>
  <c r="CE31" i="31"/>
  <c r="CD31" i="31"/>
  <c r="BB27" i="31"/>
  <c r="BB76" i="31"/>
  <c r="BA27" i="31"/>
  <c r="BA76" i="31"/>
  <c r="AZ27" i="31"/>
  <c r="AZ76" i="31"/>
  <c r="AY27" i="31"/>
  <c r="AY76" i="31"/>
  <c r="AX27" i="31"/>
  <c r="AX76" i="31"/>
  <c r="AW27" i="31"/>
  <c r="AW76" i="31"/>
  <c r="AV27" i="31"/>
  <c r="AV76" i="31"/>
  <c r="AT27" i="31"/>
  <c r="AT76" i="31"/>
  <c r="AS27" i="31"/>
  <c r="AS76" i="31"/>
  <c r="AR27" i="31"/>
  <c r="AR76" i="31"/>
  <c r="AQ27" i="31"/>
  <c r="AQ76" i="31"/>
  <c r="AP27" i="31"/>
  <c r="AP76" i="31"/>
  <c r="AO27" i="31"/>
  <c r="AO76" i="31"/>
  <c r="AN27" i="31"/>
  <c r="AN76" i="31"/>
  <c r="AM27" i="31"/>
  <c r="AM76" i="31"/>
  <c r="AL27" i="31"/>
  <c r="AL76" i="31"/>
  <c r="AK27" i="31"/>
  <c r="AK76" i="31"/>
  <c r="AJ27" i="31"/>
  <c r="AJ76" i="31"/>
  <c r="AI27" i="31"/>
  <c r="AI76" i="31"/>
  <c r="AH27" i="31"/>
  <c r="AH76" i="31"/>
  <c r="AG27" i="31"/>
  <c r="AG76" i="31"/>
  <c r="AF27" i="31"/>
  <c r="AF76" i="31"/>
  <c r="AE27" i="31"/>
  <c r="AE76" i="31"/>
  <c r="AD27" i="31"/>
  <c r="AD76" i="31"/>
  <c r="BB18" i="31"/>
  <c r="BB75" i="31"/>
  <c r="BA18" i="31"/>
  <c r="BA75" i="31"/>
  <c r="AZ18" i="31"/>
  <c r="AZ75" i="31"/>
  <c r="AY18" i="31"/>
  <c r="AY75" i="31"/>
  <c r="AX18" i="31"/>
  <c r="AX75" i="31"/>
  <c r="AW18" i="31"/>
  <c r="AW75" i="31"/>
  <c r="AV18" i="31"/>
  <c r="AV75" i="31"/>
  <c r="AT18" i="31"/>
  <c r="AT75" i="31"/>
  <c r="AS18" i="31"/>
  <c r="AS75" i="31"/>
  <c r="AR18" i="31"/>
  <c r="AR75" i="31"/>
  <c r="AQ18" i="31"/>
  <c r="AQ75" i="31"/>
  <c r="AP18" i="31"/>
  <c r="AP75" i="31"/>
  <c r="AO18" i="31"/>
  <c r="AO75" i="31"/>
  <c r="AN18" i="31"/>
  <c r="AN75" i="31"/>
  <c r="AM18" i="31"/>
  <c r="AM75" i="31"/>
  <c r="AL18" i="31"/>
  <c r="AL75" i="31"/>
  <c r="AK18" i="31"/>
  <c r="AK75" i="31"/>
  <c r="AJ18" i="31"/>
  <c r="AJ75" i="31"/>
  <c r="AI18" i="31"/>
  <c r="AI75" i="31"/>
  <c r="AH18" i="31"/>
  <c r="AH75" i="31"/>
  <c r="AG18" i="31"/>
  <c r="AG75" i="31"/>
  <c r="AF18" i="31"/>
  <c r="AF75" i="31"/>
  <c r="AE18" i="31"/>
  <c r="AE75" i="31"/>
  <c r="AD18" i="31"/>
  <c r="AD75" i="31"/>
  <c r="BB12" i="31"/>
  <c r="BB74" i="31"/>
  <c r="BA12" i="31"/>
  <c r="BA74" i="31"/>
  <c r="AZ12" i="31"/>
  <c r="AZ74" i="31"/>
  <c r="AY12" i="31"/>
  <c r="AY74" i="31"/>
  <c r="AX12" i="31"/>
  <c r="AX74" i="31"/>
  <c r="AW12" i="31"/>
  <c r="AW74" i="31"/>
  <c r="AV12" i="31"/>
  <c r="AV74" i="31"/>
  <c r="AT12" i="31"/>
  <c r="AT74" i="31"/>
  <c r="AS12" i="31"/>
  <c r="AS74" i="31"/>
  <c r="AR12" i="31"/>
  <c r="AR74" i="31"/>
  <c r="AQ12" i="31"/>
  <c r="AQ74" i="31"/>
  <c r="AP12" i="31"/>
  <c r="AP74" i="31"/>
  <c r="AO12" i="31"/>
  <c r="AO74" i="31"/>
  <c r="AN12" i="31"/>
  <c r="AN74" i="31"/>
  <c r="AM12" i="31"/>
  <c r="AM74" i="31"/>
  <c r="AL12" i="31"/>
  <c r="AL74" i="31"/>
  <c r="AK12" i="31"/>
  <c r="AK74" i="31"/>
  <c r="AJ12" i="31"/>
  <c r="AJ74" i="31"/>
  <c r="AI12" i="31"/>
  <c r="AI74" i="31"/>
  <c r="AH12" i="31"/>
  <c r="AH74" i="31"/>
  <c r="AG12" i="31"/>
  <c r="AG74" i="31"/>
  <c r="AF12" i="31"/>
  <c r="AF74" i="31"/>
  <c r="AE12" i="31"/>
  <c r="AE74" i="31"/>
  <c r="AD12" i="31"/>
  <c r="AD74" i="31"/>
  <c r="BB7" i="31"/>
  <c r="BB73" i="31"/>
  <c r="BA7" i="31"/>
  <c r="BA73" i="31"/>
  <c r="AZ7" i="31"/>
  <c r="AZ73" i="31"/>
  <c r="AY7" i="31"/>
  <c r="AY73" i="31"/>
  <c r="AX7" i="31"/>
  <c r="AX73" i="31"/>
  <c r="AW7" i="31"/>
  <c r="AW73" i="31"/>
  <c r="AV7" i="31"/>
  <c r="AV73" i="31"/>
  <c r="AT7" i="31"/>
  <c r="AT73" i="31"/>
  <c r="AS7" i="31"/>
  <c r="AS73" i="31"/>
  <c r="AR7" i="31"/>
  <c r="AR73" i="31"/>
  <c r="AQ7" i="31"/>
  <c r="AQ73" i="31"/>
  <c r="AP7" i="31"/>
  <c r="AP73" i="31"/>
  <c r="AO7" i="31"/>
  <c r="AO73" i="31"/>
  <c r="AN7" i="31"/>
  <c r="AN73" i="31"/>
  <c r="AM7" i="31"/>
  <c r="AM73" i="31"/>
  <c r="AL7" i="31"/>
  <c r="AL73" i="31"/>
  <c r="AK7" i="31"/>
  <c r="AK73" i="31"/>
  <c r="AJ7" i="31"/>
  <c r="AJ73" i="31"/>
  <c r="AI7" i="31"/>
  <c r="AI73" i="31"/>
  <c r="AH7" i="31"/>
  <c r="AH73" i="31"/>
  <c r="AG7" i="31"/>
  <c r="AG73" i="31"/>
  <c r="AF7" i="31"/>
  <c r="AF73" i="31"/>
  <c r="AE7" i="31"/>
  <c r="AE73" i="31"/>
  <c r="AD7" i="31"/>
  <c r="AD73" i="31"/>
  <c r="BB16" i="31"/>
  <c r="BB72" i="31"/>
  <c r="BA16" i="31"/>
  <c r="BA72" i="31"/>
  <c r="AZ16" i="31"/>
  <c r="AZ72" i="31"/>
  <c r="AY16" i="31"/>
  <c r="AY72" i="31"/>
  <c r="AX16" i="31"/>
  <c r="AX72" i="31"/>
  <c r="AW16" i="31"/>
  <c r="AW72" i="31"/>
  <c r="AV16" i="31"/>
  <c r="AV72" i="31"/>
  <c r="AT16" i="31"/>
  <c r="AT72" i="31"/>
  <c r="AS16" i="31"/>
  <c r="AS72" i="31"/>
  <c r="AR16" i="31"/>
  <c r="AR72" i="31"/>
  <c r="AQ16" i="31"/>
  <c r="AQ72" i="31"/>
  <c r="AP16" i="31"/>
  <c r="AP72" i="31"/>
  <c r="AO16" i="31"/>
  <c r="AO72" i="31"/>
  <c r="AN16" i="31"/>
  <c r="AN72" i="31"/>
  <c r="AM16" i="31"/>
  <c r="AM72" i="31"/>
  <c r="AL16" i="31"/>
  <c r="AL72" i="31"/>
  <c r="AK16" i="31"/>
  <c r="AK72" i="31"/>
  <c r="AJ16" i="31"/>
  <c r="AJ72" i="31"/>
  <c r="AI16" i="31"/>
  <c r="AI72" i="31"/>
  <c r="AH16" i="31"/>
  <c r="AH72" i="31"/>
  <c r="AG16" i="31"/>
  <c r="AG72" i="31"/>
  <c r="AF16" i="31"/>
  <c r="AF72" i="31"/>
  <c r="AE16" i="31"/>
  <c r="AE72" i="31"/>
  <c r="AD16" i="31"/>
  <c r="AD72" i="31"/>
  <c r="BB29" i="31"/>
  <c r="BB71" i="31"/>
  <c r="BA29" i="31"/>
  <c r="BA71" i="31"/>
  <c r="AZ29" i="31"/>
  <c r="AZ71" i="31"/>
  <c r="AY29" i="31"/>
  <c r="AY71" i="31"/>
  <c r="AX29" i="31"/>
  <c r="AX71" i="31"/>
  <c r="AW29" i="31"/>
  <c r="AW71" i="31"/>
  <c r="AV29" i="31"/>
  <c r="AV71" i="31"/>
  <c r="AT29" i="31"/>
  <c r="AT71" i="31"/>
  <c r="AS29" i="31"/>
  <c r="AS71" i="31"/>
  <c r="AR29" i="31"/>
  <c r="AR71" i="31"/>
  <c r="AQ29" i="31"/>
  <c r="AQ71" i="31"/>
  <c r="AP29" i="31"/>
  <c r="AP71" i="31"/>
  <c r="AO29" i="31"/>
  <c r="AO71" i="31"/>
  <c r="AN29" i="31"/>
  <c r="AN71" i="31"/>
  <c r="AM29" i="31"/>
  <c r="AM71" i="31"/>
  <c r="AL29" i="31"/>
  <c r="AL71" i="31"/>
  <c r="AK29" i="31"/>
  <c r="AK71" i="31"/>
  <c r="AJ29" i="31"/>
  <c r="AJ71" i="31"/>
  <c r="AI29" i="31"/>
  <c r="AI71" i="31"/>
  <c r="AH29" i="31"/>
  <c r="AH71" i="31"/>
  <c r="AG29" i="31"/>
  <c r="AG71" i="31"/>
  <c r="AF29" i="31"/>
  <c r="AF71" i="31"/>
  <c r="AE29" i="31"/>
  <c r="AE71" i="31"/>
  <c r="AD29" i="31"/>
  <c r="AD71" i="31"/>
  <c r="BB20" i="31"/>
  <c r="BB70" i="31"/>
  <c r="BA20" i="31"/>
  <c r="BA70" i="31"/>
  <c r="AZ20" i="31"/>
  <c r="AZ70" i="31"/>
  <c r="AY20" i="31"/>
  <c r="AY70" i="31"/>
  <c r="AX20" i="31"/>
  <c r="AX70" i="31"/>
  <c r="AW20" i="31"/>
  <c r="AW70" i="31"/>
  <c r="AV20" i="31"/>
  <c r="AV70" i="31"/>
  <c r="AT20" i="31"/>
  <c r="AT70" i="31"/>
  <c r="AS20" i="31"/>
  <c r="AS70" i="31"/>
  <c r="AR20" i="31"/>
  <c r="AR70" i="31"/>
  <c r="AQ20" i="31"/>
  <c r="AQ70" i="31"/>
  <c r="AP20" i="31"/>
  <c r="AP70" i="31"/>
  <c r="AO20" i="31"/>
  <c r="AO70" i="31"/>
  <c r="AN20" i="31"/>
  <c r="AN70" i="31"/>
  <c r="AM20" i="31"/>
  <c r="AM70" i="31"/>
  <c r="AL20" i="31"/>
  <c r="AL70" i="31"/>
  <c r="AK20" i="31"/>
  <c r="AK70" i="31"/>
  <c r="AJ20" i="31"/>
  <c r="AJ70" i="31"/>
  <c r="AI20" i="31"/>
  <c r="AI70" i="31"/>
  <c r="AH20" i="31"/>
  <c r="AH70" i="31"/>
  <c r="AG20" i="31"/>
  <c r="AG70" i="31"/>
  <c r="AF20" i="31"/>
  <c r="AF70" i="31"/>
  <c r="AE20" i="31"/>
  <c r="AE70" i="31"/>
  <c r="AD20" i="31"/>
  <c r="AD70" i="31"/>
  <c r="BB24" i="31"/>
  <c r="BB69" i="31"/>
  <c r="BA24" i="31"/>
  <c r="BA69" i="31"/>
  <c r="AZ24" i="31"/>
  <c r="AZ69" i="31"/>
  <c r="AY24" i="31"/>
  <c r="AY69" i="31"/>
  <c r="AX24" i="31"/>
  <c r="AX69" i="31"/>
  <c r="AW24" i="31"/>
  <c r="AW69" i="31"/>
  <c r="AV24" i="31"/>
  <c r="AV69" i="31"/>
  <c r="AT24" i="31"/>
  <c r="AT69" i="31"/>
  <c r="AS24" i="31"/>
  <c r="AS69" i="31"/>
  <c r="AR24" i="31"/>
  <c r="AR69" i="31"/>
  <c r="AQ24" i="31"/>
  <c r="AQ69" i="31"/>
  <c r="AP24" i="31"/>
  <c r="AP69" i="31"/>
  <c r="AO24" i="31"/>
  <c r="AO69" i="31"/>
  <c r="AN24" i="31"/>
  <c r="AN69" i="31"/>
  <c r="AM24" i="31"/>
  <c r="AM69" i="31"/>
  <c r="AL24" i="31"/>
  <c r="AL69" i="31"/>
  <c r="AK24" i="31"/>
  <c r="AK69" i="31"/>
  <c r="AJ24" i="31"/>
  <c r="AJ69" i="31"/>
  <c r="AI24" i="31"/>
  <c r="AI69" i="31"/>
  <c r="AH24" i="31"/>
  <c r="AH69" i="31"/>
  <c r="AG24" i="31"/>
  <c r="AG69" i="31"/>
  <c r="AF24" i="31"/>
  <c r="AF69" i="31"/>
  <c r="AE24" i="31"/>
  <c r="AE69" i="31"/>
  <c r="AD24" i="31"/>
  <c r="AD69" i="31"/>
  <c r="BB9" i="31"/>
  <c r="BB68" i="31"/>
  <c r="BA9" i="31"/>
  <c r="BA68" i="31"/>
  <c r="AZ9" i="31"/>
  <c r="AZ68" i="31"/>
  <c r="AY9" i="31"/>
  <c r="AY68" i="31"/>
  <c r="AX9" i="31"/>
  <c r="AX68" i="31"/>
  <c r="AW9" i="31"/>
  <c r="AW68" i="31"/>
  <c r="AV9" i="31"/>
  <c r="AV68" i="31"/>
  <c r="AT9" i="31"/>
  <c r="AT68" i="31"/>
  <c r="AS9" i="31"/>
  <c r="AS68" i="31"/>
  <c r="AR9" i="31"/>
  <c r="AR68" i="31"/>
  <c r="AQ9" i="31"/>
  <c r="AQ68" i="31"/>
  <c r="AP9" i="31"/>
  <c r="AP68" i="31"/>
  <c r="AO9" i="31"/>
  <c r="AO68" i="31"/>
  <c r="AN9" i="31"/>
  <c r="AN68" i="31"/>
  <c r="AM9" i="31"/>
  <c r="AM68" i="31"/>
  <c r="AL9" i="31"/>
  <c r="AL68" i="31"/>
  <c r="AK9" i="31"/>
  <c r="AK68" i="31"/>
  <c r="AJ9" i="31"/>
  <c r="AJ68" i="31"/>
  <c r="AI9" i="31"/>
  <c r="AI68" i="31"/>
  <c r="AH9" i="31"/>
  <c r="AH68" i="31"/>
  <c r="AG9" i="31"/>
  <c r="AG68" i="31"/>
  <c r="AF9" i="31"/>
  <c r="AF68" i="31"/>
  <c r="AE9" i="31"/>
  <c r="AE68" i="31"/>
  <c r="AD9" i="31"/>
  <c r="AD68" i="31"/>
  <c r="BB5" i="31"/>
  <c r="BB67" i="31"/>
  <c r="BA5" i="31"/>
  <c r="BA67" i="31"/>
  <c r="AZ5" i="31"/>
  <c r="AZ67" i="31"/>
  <c r="AY5" i="31"/>
  <c r="AY67" i="31"/>
  <c r="AX5" i="31"/>
  <c r="AX67" i="31"/>
  <c r="AW5" i="31"/>
  <c r="AW67" i="31"/>
  <c r="AV5" i="31"/>
  <c r="AV67" i="31"/>
  <c r="AT5" i="31"/>
  <c r="AT67" i="31"/>
  <c r="AS5" i="31"/>
  <c r="AS67" i="31"/>
  <c r="AR5" i="31"/>
  <c r="AR67" i="31"/>
  <c r="AQ5" i="31"/>
  <c r="AQ67" i="31"/>
  <c r="AP5" i="31"/>
  <c r="AP67" i="31"/>
  <c r="AO5" i="31"/>
  <c r="AO67" i="31"/>
  <c r="AN5" i="31"/>
  <c r="AN67" i="31"/>
  <c r="AM5" i="31"/>
  <c r="AM67" i="31"/>
  <c r="AL5" i="31"/>
  <c r="AL67" i="31"/>
  <c r="AK5" i="31"/>
  <c r="AK67" i="31"/>
  <c r="AJ5" i="31"/>
  <c r="AJ67" i="31"/>
  <c r="AI5" i="31"/>
  <c r="AI67" i="31"/>
  <c r="AH5" i="31"/>
  <c r="AH67" i="31"/>
  <c r="AG5" i="31"/>
  <c r="AG67" i="31"/>
  <c r="AF5" i="31"/>
  <c r="AF67" i="31"/>
  <c r="AE5" i="31"/>
  <c r="AE67" i="31"/>
  <c r="AD5" i="31"/>
  <c r="AD67" i="31"/>
  <c r="BB17" i="31"/>
  <c r="BB66" i="31"/>
  <c r="BA17" i="31"/>
  <c r="BA66" i="31"/>
  <c r="AZ17" i="31"/>
  <c r="AZ66" i="31"/>
  <c r="AY17" i="31"/>
  <c r="AY66" i="31"/>
  <c r="AX17" i="31"/>
  <c r="AX66" i="31"/>
  <c r="AW17" i="31"/>
  <c r="AW66" i="31"/>
  <c r="AV17" i="31"/>
  <c r="AV66" i="31"/>
  <c r="AT17" i="31"/>
  <c r="AT66" i="31"/>
  <c r="AS17" i="31"/>
  <c r="AS66" i="31"/>
  <c r="AR17" i="31"/>
  <c r="AR66" i="31"/>
  <c r="AQ17" i="31"/>
  <c r="AQ66" i="31"/>
  <c r="AP17" i="31"/>
  <c r="AP66" i="31"/>
  <c r="AO17" i="31"/>
  <c r="AO66" i="31"/>
  <c r="AN17" i="31"/>
  <c r="AN66" i="31"/>
  <c r="AM17" i="31"/>
  <c r="AM66" i="31"/>
  <c r="AL17" i="31"/>
  <c r="AL66" i="31"/>
  <c r="AK17" i="31"/>
  <c r="AK66" i="31"/>
  <c r="AJ17" i="31"/>
  <c r="AJ66" i="31"/>
  <c r="AI17" i="31"/>
  <c r="AI66" i="31"/>
  <c r="AH17" i="31"/>
  <c r="AH66" i="31"/>
  <c r="AG17" i="31"/>
  <c r="AG66" i="31"/>
  <c r="AF17" i="31"/>
  <c r="AF66" i="31"/>
  <c r="AE17" i="31"/>
  <c r="AE66" i="31"/>
  <c r="AD17" i="31"/>
  <c r="AD66" i="31"/>
  <c r="BB21" i="31"/>
  <c r="BB65" i="31"/>
  <c r="BA21" i="31"/>
  <c r="BA65" i="31"/>
  <c r="AZ21" i="31"/>
  <c r="AZ65" i="31"/>
  <c r="AY21" i="31"/>
  <c r="AY65" i="31"/>
  <c r="AX21" i="31"/>
  <c r="AX65" i="31"/>
  <c r="AW21" i="31"/>
  <c r="AW65" i="31"/>
  <c r="AV21" i="31"/>
  <c r="AV65" i="31"/>
  <c r="AT21" i="31"/>
  <c r="AT65" i="31"/>
  <c r="AS21" i="31"/>
  <c r="AS65" i="31"/>
  <c r="AR21" i="31"/>
  <c r="AR65" i="31"/>
  <c r="AQ21" i="31"/>
  <c r="AQ65" i="31"/>
  <c r="AP21" i="31"/>
  <c r="AP65" i="31"/>
  <c r="AO21" i="31"/>
  <c r="AO65" i="31"/>
  <c r="AN21" i="31"/>
  <c r="AN65" i="31"/>
  <c r="AM21" i="31"/>
  <c r="AM65" i="31"/>
  <c r="AL21" i="31"/>
  <c r="AL65" i="31"/>
  <c r="AK21" i="31"/>
  <c r="AK65" i="31"/>
  <c r="AJ21" i="31"/>
  <c r="AJ65" i="31"/>
  <c r="AI21" i="31"/>
  <c r="AI65" i="31"/>
  <c r="AH21" i="31"/>
  <c r="AH65" i="31"/>
  <c r="AG21" i="31"/>
  <c r="AG65" i="31"/>
  <c r="AF21" i="31"/>
  <c r="AF65" i="31"/>
  <c r="AE21" i="31"/>
  <c r="AE65" i="31"/>
  <c r="AD21" i="31"/>
  <c r="AD65" i="31"/>
  <c r="BB25" i="31"/>
  <c r="BB64" i="31"/>
  <c r="BA25" i="31"/>
  <c r="BA64" i="31"/>
  <c r="AZ25" i="31"/>
  <c r="AZ64" i="31"/>
  <c r="AY25" i="31"/>
  <c r="AY64" i="31"/>
  <c r="AX25" i="31"/>
  <c r="AX64" i="31"/>
  <c r="AW25" i="31"/>
  <c r="AW64" i="31"/>
  <c r="AV25" i="31"/>
  <c r="AV64" i="31"/>
  <c r="AT25" i="31"/>
  <c r="AT64" i="31"/>
  <c r="AS25" i="31"/>
  <c r="AS64" i="31"/>
  <c r="AR25" i="31"/>
  <c r="AR64" i="31"/>
  <c r="AQ25" i="31"/>
  <c r="AQ64" i="31"/>
  <c r="AP25" i="31"/>
  <c r="AP64" i="31"/>
  <c r="AO25" i="31"/>
  <c r="AO64" i="31"/>
  <c r="AN25" i="31"/>
  <c r="AN64" i="31"/>
  <c r="AM25" i="31"/>
  <c r="AM64" i="31"/>
  <c r="AL25" i="31"/>
  <c r="AL64" i="31"/>
  <c r="AK25" i="31"/>
  <c r="AK64" i="31"/>
  <c r="AJ25" i="31"/>
  <c r="AJ64" i="31"/>
  <c r="AI25" i="31"/>
  <c r="AI64" i="31"/>
  <c r="AH25" i="31"/>
  <c r="AH64" i="31"/>
  <c r="AG25" i="31"/>
  <c r="AG64" i="31"/>
  <c r="AF25" i="31"/>
  <c r="AF64" i="31"/>
  <c r="AE25" i="31"/>
  <c r="AE64" i="31"/>
  <c r="AD25" i="31"/>
  <c r="AD64" i="31"/>
  <c r="BB63" i="31"/>
  <c r="BA63" i="31"/>
  <c r="AZ63" i="31"/>
  <c r="AY63" i="31"/>
  <c r="AX63" i="31"/>
  <c r="AW63" i="31"/>
  <c r="AV63" i="31"/>
  <c r="AT63" i="31"/>
  <c r="AS63" i="31"/>
  <c r="AR63" i="31"/>
  <c r="AQ63" i="31"/>
  <c r="AP63" i="31"/>
  <c r="AO63" i="31"/>
  <c r="AN63" i="31"/>
  <c r="AM63" i="31"/>
  <c r="AL63" i="31"/>
  <c r="AK63" i="31"/>
  <c r="AJ63" i="31"/>
  <c r="AI63" i="31"/>
  <c r="AH63" i="31"/>
  <c r="AG63" i="31"/>
  <c r="AF63" i="31"/>
  <c r="AE63" i="31"/>
  <c r="AD63" i="31"/>
  <c r="BB62" i="31"/>
  <c r="BA62" i="31"/>
  <c r="AZ62" i="31"/>
  <c r="AY62" i="31"/>
  <c r="AX62" i="31"/>
  <c r="AW62" i="31"/>
  <c r="AV62" i="31"/>
  <c r="AT62" i="31"/>
  <c r="AS62" i="31"/>
  <c r="AR62" i="31"/>
  <c r="AQ62" i="31"/>
  <c r="AP62" i="31"/>
  <c r="AO62" i="31"/>
  <c r="AN62" i="31"/>
  <c r="AM62" i="31"/>
  <c r="AL62" i="31"/>
  <c r="AK62" i="31"/>
  <c r="AJ62" i="31"/>
  <c r="AI62" i="31"/>
  <c r="AH62" i="31"/>
  <c r="AG62" i="31"/>
  <c r="AF62" i="31"/>
  <c r="AE62" i="31"/>
  <c r="AD62" i="31"/>
  <c r="BB61" i="31"/>
  <c r="BA61" i="31"/>
  <c r="AZ61" i="31"/>
  <c r="AY61" i="31"/>
  <c r="AX61" i="31"/>
  <c r="AW61" i="31"/>
  <c r="AV61" i="31"/>
  <c r="AT61" i="31"/>
  <c r="AS61" i="31"/>
  <c r="AR61" i="31"/>
  <c r="AQ61" i="31"/>
  <c r="AP61" i="31"/>
  <c r="AO61" i="31"/>
  <c r="AN61" i="31"/>
  <c r="AM61" i="31"/>
  <c r="AL61" i="31"/>
  <c r="AK61" i="31"/>
  <c r="AJ61" i="31"/>
  <c r="AI61" i="31"/>
  <c r="AH61" i="31"/>
  <c r="AG61" i="31"/>
  <c r="AF61" i="31"/>
  <c r="AE61" i="31"/>
  <c r="AD61" i="31"/>
  <c r="BB60" i="31"/>
  <c r="BA60" i="31"/>
  <c r="AZ60" i="31"/>
  <c r="AY60" i="31"/>
  <c r="AX60" i="31"/>
  <c r="AW60" i="31"/>
  <c r="AV60" i="31"/>
  <c r="AT60" i="31"/>
  <c r="AS60" i="31"/>
  <c r="AR60" i="31"/>
  <c r="AQ60" i="31"/>
  <c r="AP60" i="31"/>
  <c r="AO60" i="31"/>
  <c r="AN60" i="31"/>
  <c r="AM60" i="31"/>
  <c r="AL60" i="31"/>
  <c r="AK60" i="31"/>
  <c r="AJ60" i="31"/>
  <c r="AI60" i="31"/>
  <c r="AH60" i="31"/>
  <c r="AG60" i="31"/>
  <c r="AF60" i="31"/>
  <c r="AE60" i="31"/>
  <c r="AD60" i="31"/>
  <c r="BB59" i="31"/>
  <c r="BA59" i="31"/>
  <c r="AZ59" i="31"/>
  <c r="AY59" i="31"/>
  <c r="AX59" i="31"/>
  <c r="AW59" i="31"/>
  <c r="AV59" i="31"/>
  <c r="AT59" i="31"/>
  <c r="AS59" i="31"/>
  <c r="AR59" i="31"/>
  <c r="AQ59" i="31"/>
  <c r="AP59" i="31"/>
  <c r="AO59" i="31"/>
  <c r="AN59" i="31"/>
  <c r="AM59" i="31"/>
  <c r="AL59" i="31"/>
  <c r="AK59" i="31"/>
  <c r="AJ59" i="31"/>
  <c r="AI59" i="31"/>
  <c r="AH59" i="31"/>
  <c r="AG59" i="31"/>
  <c r="AF59" i="31"/>
  <c r="AE59" i="31"/>
  <c r="AD59" i="31"/>
  <c r="BB58" i="31"/>
  <c r="BA58" i="31"/>
  <c r="AZ58" i="31"/>
  <c r="AY58" i="31"/>
  <c r="AX58" i="31"/>
  <c r="AW58" i="31"/>
  <c r="AV58" i="31"/>
  <c r="AT58" i="31"/>
  <c r="AS58" i="31"/>
  <c r="AR58" i="31"/>
  <c r="AQ58" i="31"/>
  <c r="AP58" i="31"/>
  <c r="AO58" i="31"/>
  <c r="AN58" i="31"/>
  <c r="AM58" i="31"/>
  <c r="AL58" i="31"/>
  <c r="AK58" i="31"/>
  <c r="AJ58" i="31"/>
  <c r="AI58" i="31"/>
  <c r="AH58" i="31"/>
  <c r="AG58" i="31"/>
  <c r="AF58" i="31"/>
  <c r="AE58" i="31"/>
  <c r="AD58" i="31"/>
  <c r="BB57" i="31"/>
  <c r="BA57" i="31"/>
  <c r="AZ57" i="31"/>
  <c r="AY57" i="31"/>
  <c r="AX57" i="31"/>
  <c r="AW57" i="31"/>
  <c r="AV57" i="31"/>
  <c r="AT57" i="31"/>
  <c r="AS57" i="31"/>
  <c r="AR57" i="31"/>
  <c r="AQ57" i="31"/>
  <c r="AP57" i="31"/>
  <c r="AO57" i="31"/>
  <c r="AN57" i="31"/>
  <c r="AM57" i="31"/>
  <c r="AL57" i="31"/>
  <c r="AK57" i="31"/>
  <c r="AJ57" i="31"/>
  <c r="AI57" i="31"/>
  <c r="AH57" i="31"/>
  <c r="AG57" i="31"/>
  <c r="AF57" i="31"/>
  <c r="AE57" i="31"/>
  <c r="AD57" i="31"/>
  <c r="BB56" i="31"/>
  <c r="BA56" i="31"/>
  <c r="AZ56" i="31"/>
  <c r="AY56" i="31"/>
  <c r="AX56" i="31"/>
  <c r="AW56" i="31"/>
  <c r="AV56" i="31"/>
  <c r="AT56" i="31"/>
  <c r="AS56" i="31"/>
  <c r="AR56" i="31"/>
  <c r="AQ56" i="31"/>
  <c r="AP56" i="31"/>
  <c r="AO56" i="31"/>
  <c r="AN56" i="31"/>
  <c r="AM56" i="31"/>
  <c r="AL56" i="31"/>
  <c r="AK56" i="31"/>
  <c r="AJ56" i="31"/>
  <c r="AI56" i="31"/>
  <c r="AH56" i="31"/>
  <c r="AG56" i="31"/>
  <c r="AF56" i="31"/>
  <c r="AE56" i="31"/>
  <c r="AD56" i="31"/>
  <c r="BB55" i="31"/>
  <c r="BA55" i="31"/>
  <c r="AZ55" i="31"/>
  <c r="AY55" i="31"/>
  <c r="AX55" i="31"/>
  <c r="AW55" i="31"/>
  <c r="AV55" i="31"/>
  <c r="AT55" i="31"/>
  <c r="AS55" i="31"/>
  <c r="AR55" i="31"/>
  <c r="AQ55" i="31"/>
  <c r="AP55" i="31"/>
  <c r="AO55" i="31"/>
  <c r="AN55" i="31"/>
  <c r="AM55" i="31"/>
  <c r="AL55" i="31"/>
  <c r="AK55" i="31"/>
  <c r="AJ55" i="31"/>
  <c r="AI55" i="31"/>
  <c r="AH55" i="31"/>
  <c r="AG55" i="31"/>
  <c r="AF55" i="31"/>
  <c r="AE55" i="31"/>
  <c r="AD55" i="31"/>
  <c r="BB54" i="31"/>
  <c r="BA54" i="31"/>
  <c r="AZ54" i="31"/>
  <c r="AY54" i="31"/>
  <c r="AX54" i="31"/>
  <c r="AW54" i="31"/>
  <c r="AV54" i="31"/>
  <c r="AT54" i="31"/>
  <c r="AS54" i="31"/>
  <c r="AR54" i="31"/>
  <c r="AQ54" i="31"/>
  <c r="AP54" i="31"/>
  <c r="AO54" i="31"/>
  <c r="AN54" i="31"/>
  <c r="AM54" i="31"/>
  <c r="AL54" i="31"/>
  <c r="AK54" i="31"/>
  <c r="AJ54" i="31"/>
  <c r="AI54" i="31"/>
  <c r="AH54" i="31"/>
  <c r="AG54" i="31"/>
  <c r="AF54" i="31"/>
  <c r="AE54" i="31"/>
  <c r="AD54" i="31"/>
  <c r="BB53" i="31"/>
  <c r="BA53" i="31"/>
  <c r="AZ53" i="31"/>
  <c r="AY53" i="31"/>
  <c r="AX53" i="31"/>
  <c r="AW53" i="31"/>
  <c r="AV53" i="31"/>
  <c r="AT53" i="31"/>
  <c r="AS53" i="31"/>
  <c r="AR53" i="31"/>
  <c r="AQ53" i="31"/>
  <c r="AP53" i="31"/>
  <c r="AO53" i="31"/>
  <c r="AN53" i="31"/>
  <c r="AM53" i="31"/>
  <c r="AL53" i="31"/>
  <c r="AK53" i="31"/>
  <c r="AJ53" i="31"/>
  <c r="AI53" i="31"/>
  <c r="AH53" i="31"/>
  <c r="AG53" i="31"/>
  <c r="AF53" i="31"/>
  <c r="AE53" i="31"/>
  <c r="AD53" i="31"/>
  <c r="BB52" i="31"/>
  <c r="BA52" i="31"/>
  <c r="AZ52" i="31"/>
  <c r="AY52" i="31"/>
  <c r="AX52" i="31"/>
  <c r="AW52" i="31"/>
  <c r="AV52" i="31"/>
  <c r="AT52" i="31"/>
  <c r="AS52" i="31"/>
  <c r="AR52" i="31"/>
  <c r="AQ52" i="31"/>
  <c r="AP52" i="31"/>
  <c r="AO52" i="31"/>
  <c r="AN52" i="31"/>
  <c r="AM52" i="31"/>
  <c r="AL52" i="31"/>
  <c r="AK52" i="31"/>
  <c r="AJ52" i="31"/>
  <c r="AI52" i="31"/>
  <c r="AH52" i="31"/>
  <c r="AG52" i="31"/>
  <c r="AF52" i="31"/>
  <c r="AE52" i="31"/>
  <c r="AD52" i="31"/>
  <c r="BB51" i="31"/>
  <c r="BA51" i="31"/>
  <c r="AZ51" i="31"/>
  <c r="AY51" i="31"/>
  <c r="AX51" i="31"/>
  <c r="AW51" i="31"/>
  <c r="AV51" i="31"/>
  <c r="AT51" i="31"/>
  <c r="AS51" i="31"/>
  <c r="AR51" i="31"/>
  <c r="AQ51" i="31"/>
  <c r="AP51" i="31"/>
  <c r="AO51" i="31"/>
  <c r="AN51" i="31"/>
  <c r="AM51" i="31"/>
  <c r="AL51" i="31"/>
  <c r="AK51" i="31"/>
  <c r="AJ51" i="31"/>
  <c r="AI51" i="31"/>
  <c r="AH51" i="31"/>
  <c r="AG51" i="31"/>
  <c r="AF51" i="31"/>
  <c r="AE51" i="31"/>
  <c r="AD51" i="31"/>
  <c r="BB50" i="31"/>
  <c r="BA50" i="31"/>
  <c r="AZ50" i="31"/>
  <c r="AY50" i="31"/>
  <c r="AX50" i="31"/>
  <c r="AW50" i="31"/>
  <c r="AV50" i="31"/>
  <c r="AT50" i="31"/>
  <c r="AS50" i="31"/>
  <c r="AR50" i="31"/>
  <c r="AQ50" i="31"/>
  <c r="AP50" i="31"/>
  <c r="AO50" i="31"/>
  <c r="AN50" i="31"/>
  <c r="AM50" i="31"/>
  <c r="AL50" i="31"/>
  <c r="AK50" i="31"/>
  <c r="AJ50" i="31"/>
  <c r="AI50" i="31"/>
  <c r="AH50" i="31"/>
  <c r="AG50" i="31"/>
  <c r="AF50" i="31"/>
  <c r="AE50" i="31"/>
  <c r="AD50" i="31"/>
  <c r="AZ23" i="31"/>
  <c r="AZ49" i="31"/>
  <c r="AY23" i="31"/>
  <c r="AY49" i="31"/>
  <c r="AX23" i="31"/>
  <c r="AX49" i="31"/>
  <c r="AW23" i="31"/>
  <c r="AW49" i="31"/>
  <c r="AV23" i="31"/>
  <c r="AV49" i="31"/>
  <c r="AT23" i="31"/>
  <c r="AT49" i="31"/>
  <c r="AS23" i="31"/>
  <c r="AS49" i="31"/>
  <c r="AR23" i="31"/>
  <c r="AR49" i="31"/>
  <c r="AQ23" i="31"/>
  <c r="AQ49" i="31"/>
  <c r="AP23" i="31"/>
  <c r="AP49" i="31"/>
  <c r="AO23" i="31"/>
  <c r="AO49" i="31"/>
  <c r="AN23" i="31"/>
  <c r="AN49" i="31"/>
  <c r="AM23" i="31"/>
  <c r="AM49" i="31"/>
  <c r="AL23" i="31"/>
  <c r="AL49" i="31"/>
  <c r="AK23" i="31"/>
  <c r="AK49" i="31"/>
  <c r="AJ23" i="31"/>
  <c r="AJ49" i="31"/>
  <c r="AI23" i="31"/>
  <c r="AI49" i="31"/>
  <c r="AH23" i="31"/>
  <c r="AH49" i="31"/>
  <c r="AG23" i="31"/>
  <c r="AG49" i="31"/>
  <c r="AF23" i="31"/>
  <c r="AF49" i="31"/>
  <c r="AE23" i="31"/>
  <c r="AE49" i="31"/>
  <c r="BB48" i="31"/>
  <c r="BA48" i="31"/>
  <c r="AZ48" i="31"/>
  <c r="AY48" i="31"/>
  <c r="AX48" i="31"/>
  <c r="AW48" i="31"/>
  <c r="AV48" i="31"/>
  <c r="AT48" i="31"/>
  <c r="AS48" i="31"/>
  <c r="AR48" i="31"/>
  <c r="AQ48" i="31"/>
  <c r="AP48" i="31"/>
  <c r="AO48" i="31"/>
  <c r="AN48" i="31"/>
  <c r="AM48" i="31"/>
  <c r="AL48" i="31"/>
  <c r="AK48" i="31"/>
  <c r="AJ48" i="31"/>
  <c r="AI48" i="31"/>
  <c r="AH48" i="31"/>
  <c r="AG48" i="31"/>
  <c r="AF48" i="31"/>
  <c r="AE48" i="31"/>
  <c r="AD48" i="31"/>
  <c r="BB6" i="31"/>
  <c r="BB47" i="31"/>
  <c r="BA6" i="31"/>
  <c r="BA47" i="31"/>
  <c r="AZ6" i="31"/>
  <c r="AZ47" i="31"/>
  <c r="AY6" i="31"/>
  <c r="AY47" i="31"/>
  <c r="AX6" i="31"/>
  <c r="AX47" i="31"/>
  <c r="AW6" i="31"/>
  <c r="AW47" i="31"/>
  <c r="AV6" i="31"/>
  <c r="AV47" i="31"/>
  <c r="AT6" i="31"/>
  <c r="AT47" i="31"/>
  <c r="AS6" i="31"/>
  <c r="AS47" i="31"/>
  <c r="AR6" i="31"/>
  <c r="AR47" i="31"/>
  <c r="AQ6" i="31"/>
  <c r="AQ47" i="31"/>
  <c r="AP6" i="31"/>
  <c r="AP47" i="31"/>
  <c r="AO6" i="31"/>
  <c r="AO47" i="31"/>
  <c r="AN6" i="31"/>
  <c r="AN47" i="31"/>
  <c r="AM6" i="31"/>
  <c r="AM47" i="31"/>
  <c r="AL6" i="31"/>
  <c r="AL47" i="31"/>
  <c r="AK6" i="31"/>
  <c r="AK47" i="31"/>
  <c r="AJ6" i="31"/>
  <c r="AJ47" i="31"/>
  <c r="AI6" i="31"/>
  <c r="AI47" i="31"/>
  <c r="AH6" i="31"/>
  <c r="AH47" i="31"/>
  <c r="AG6" i="31"/>
  <c r="AG47" i="31"/>
  <c r="AF6" i="31"/>
  <c r="AF47" i="31"/>
  <c r="AE6" i="31"/>
  <c r="AE47" i="31"/>
  <c r="AD6" i="31"/>
  <c r="AD47" i="31"/>
  <c r="BB10" i="31"/>
  <c r="BB46" i="31"/>
  <c r="BA10" i="31"/>
  <c r="BA46" i="31"/>
  <c r="AZ10" i="31"/>
  <c r="AZ46" i="31"/>
  <c r="AY10" i="31"/>
  <c r="AY46" i="31"/>
  <c r="AX10" i="31"/>
  <c r="AX46" i="31"/>
  <c r="AW10" i="31"/>
  <c r="AW46" i="31"/>
  <c r="AV10" i="31"/>
  <c r="AV46" i="31"/>
  <c r="AT10" i="31"/>
  <c r="AT46" i="31"/>
  <c r="AS10" i="31"/>
  <c r="AS46" i="31"/>
  <c r="AR10" i="31"/>
  <c r="AR46" i="31"/>
  <c r="AQ10" i="31"/>
  <c r="AQ46" i="31"/>
  <c r="AP10" i="31"/>
  <c r="AP46" i="31"/>
  <c r="AO10" i="31"/>
  <c r="AO46" i="31"/>
  <c r="AN10" i="31"/>
  <c r="AN46" i="31"/>
  <c r="AM10" i="31"/>
  <c r="AM46" i="31"/>
  <c r="AL10" i="31"/>
  <c r="AL46" i="31"/>
  <c r="AK10" i="31"/>
  <c r="AK46" i="31"/>
  <c r="AJ10" i="31"/>
  <c r="AJ46" i="31"/>
  <c r="AI10" i="31"/>
  <c r="AI46" i="31"/>
  <c r="AH10" i="31"/>
  <c r="AH46" i="31"/>
  <c r="AG10" i="31"/>
  <c r="AG46" i="31"/>
  <c r="AF10" i="31"/>
  <c r="AF46" i="31"/>
  <c r="AE10" i="31"/>
  <c r="AE46" i="31"/>
  <c r="AD10" i="31"/>
  <c r="AD46" i="31"/>
  <c r="BB45" i="31"/>
  <c r="BA45" i="31"/>
  <c r="AZ45" i="31"/>
  <c r="AY45" i="31"/>
  <c r="AX45" i="31"/>
  <c r="AW45" i="31"/>
  <c r="AV45" i="31"/>
  <c r="AT45" i="31"/>
  <c r="AS45" i="31"/>
  <c r="AR45" i="31"/>
  <c r="AQ45" i="31"/>
  <c r="AP45" i="31"/>
  <c r="AO45" i="31"/>
  <c r="AN45" i="31"/>
  <c r="AM45" i="31"/>
  <c r="AL45" i="31"/>
  <c r="AK45" i="31"/>
  <c r="AJ45" i="31"/>
  <c r="AI45" i="31"/>
  <c r="AH45" i="31"/>
  <c r="AG45" i="31"/>
  <c r="AF45" i="31"/>
  <c r="AE45" i="31"/>
  <c r="AD45" i="31"/>
  <c r="BB15" i="31"/>
  <c r="BB44" i="31"/>
  <c r="BA15" i="31"/>
  <c r="BA44" i="31"/>
  <c r="AZ15" i="31"/>
  <c r="AZ44" i="31"/>
  <c r="AY15" i="31"/>
  <c r="AY44" i="31"/>
  <c r="AX15" i="31"/>
  <c r="AX44" i="31"/>
  <c r="AW15" i="31"/>
  <c r="AW44" i="31"/>
  <c r="AV15" i="31"/>
  <c r="AV44" i="31"/>
  <c r="AT15" i="31"/>
  <c r="AT44" i="31"/>
  <c r="AS15" i="31"/>
  <c r="AS44" i="31"/>
  <c r="AR15" i="31"/>
  <c r="AR44" i="31"/>
  <c r="AQ15" i="31"/>
  <c r="AQ44" i="31"/>
  <c r="AP15" i="31"/>
  <c r="AP44" i="31"/>
  <c r="AO15" i="31"/>
  <c r="AO44" i="31"/>
  <c r="AN15" i="31"/>
  <c r="AN44" i="31"/>
  <c r="AM15" i="31"/>
  <c r="AM44" i="31"/>
  <c r="AL15" i="31"/>
  <c r="AL44" i="31"/>
  <c r="AK15" i="31"/>
  <c r="AK44" i="31"/>
  <c r="AJ15" i="31"/>
  <c r="AJ44" i="31"/>
  <c r="AI15" i="31"/>
  <c r="AI44" i="31"/>
  <c r="AH15" i="31"/>
  <c r="AH44" i="31"/>
  <c r="AG15" i="31"/>
  <c r="AG44" i="31"/>
  <c r="AF15" i="31"/>
  <c r="AF44" i="31"/>
  <c r="AE15" i="31"/>
  <c r="AE44" i="31"/>
  <c r="AD15" i="31"/>
  <c r="AD44" i="31"/>
  <c r="BB28" i="31"/>
  <c r="BB43" i="31"/>
  <c r="BA28" i="31"/>
  <c r="BA43" i="31"/>
  <c r="AZ28" i="31"/>
  <c r="AZ43" i="31"/>
  <c r="AY28" i="31"/>
  <c r="AY43" i="31"/>
  <c r="AX28" i="31"/>
  <c r="AX43" i="31"/>
  <c r="AW28" i="31"/>
  <c r="AW43" i="31"/>
  <c r="AV28" i="31"/>
  <c r="AV43" i="31"/>
  <c r="AT28" i="31"/>
  <c r="AT43" i="31"/>
  <c r="AS28" i="31"/>
  <c r="AS43" i="31"/>
  <c r="AR28" i="31"/>
  <c r="AR43" i="31"/>
  <c r="AQ28" i="31"/>
  <c r="AQ43" i="31"/>
  <c r="AP28" i="31"/>
  <c r="AP43" i="31"/>
  <c r="AO28" i="31"/>
  <c r="AO43" i="31"/>
  <c r="AN28" i="31"/>
  <c r="AN43" i="31"/>
  <c r="AM28" i="31"/>
  <c r="AM43" i="31"/>
  <c r="AL28" i="31"/>
  <c r="AL43" i="31"/>
  <c r="AK28" i="31"/>
  <c r="AK43" i="31"/>
  <c r="AJ28" i="31"/>
  <c r="AJ43" i="31"/>
  <c r="AI28" i="31"/>
  <c r="AI43" i="31"/>
  <c r="AH28" i="31"/>
  <c r="AH43" i="31"/>
  <c r="AG28" i="31"/>
  <c r="AG43" i="31"/>
  <c r="AF28" i="31"/>
  <c r="AF43" i="31"/>
  <c r="AE28" i="31"/>
  <c r="AE43" i="31"/>
  <c r="AD28" i="31"/>
  <c r="AD43" i="31"/>
  <c r="BB19" i="31"/>
  <c r="BB42" i="31"/>
  <c r="BA19" i="31"/>
  <c r="BA42" i="31"/>
  <c r="AZ19" i="31"/>
  <c r="AZ42" i="31"/>
  <c r="AY19" i="31"/>
  <c r="AY42" i="31"/>
  <c r="AX19" i="31"/>
  <c r="AX42" i="31"/>
  <c r="AW19" i="31"/>
  <c r="AW42" i="31"/>
  <c r="AV19" i="31"/>
  <c r="AV42" i="31"/>
  <c r="AT19" i="31"/>
  <c r="AT42" i="31"/>
  <c r="AS19" i="31"/>
  <c r="AS42" i="31"/>
  <c r="AR19" i="31"/>
  <c r="AR42" i="31"/>
  <c r="AQ19" i="31"/>
  <c r="AQ42" i="31"/>
  <c r="AP19" i="31"/>
  <c r="AP42" i="31"/>
  <c r="AO19" i="31"/>
  <c r="AO42" i="31"/>
  <c r="AN19" i="31"/>
  <c r="AN42" i="31"/>
  <c r="AM19" i="31"/>
  <c r="AM42" i="31"/>
  <c r="AL19" i="31"/>
  <c r="AL42" i="31"/>
  <c r="AK19" i="31"/>
  <c r="AK42" i="31"/>
  <c r="AJ19" i="31"/>
  <c r="AJ42" i="31"/>
  <c r="AI19" i="31"/>
  <c r="AI42" i="31"/>
  <c r="AH19" i="31"/>
  <c r="AH42" i="31"/>
  <c r="AG19" i="31"/>
  <c r="AG42" i="31"/>
  <c r="AF19" i="31"/>
  <c r="AF42" i="31"/>
  <c r="AE19" i="31"/>
  <c r="AE42" i="31"/>
  <c r="AD19" i="31"/>
  <c r="AD42" i="31"/>
  <c r="BB8" i="31"/>
  <c r="BB41" i="31"/>
  <c r="BA8" i="31"/>
  <c r="BA41" i="31"/>
  <c r="AZ8" i="31"/>
  <c r="AZ41" i="31"/>
  <c r="AY8" i="31"/>
  <c r="AY41" i="31"/>
  <c r="AX8" i="31"/>
  <c r="AX41" i="31"/>
  <c r="AW8" i="31"/>
  <c r="AW41" i="31"/>
  <c r="AV8" i="31"/>
  <c r="AV41" i="31"/>
  <c r="AT8" i="31"/>
  <c r="AT41" i="31"/>
  <c r="AS8" i="31"/>
  <c r="AS41" i="31"/>
  <c r="AR8" i="31"/>
  <c r="AR41" i="31"/>
  <c r="AQ8" i="31"/>
  <c r="AQ41" i="31"/>
  <c r="AP8" i="31"/>
  <c r="AP41" i="31"/>
  <c r="AO8" i="31"/>
  <c r="AO41" i="31"/>
  <c r="AN8" i="31"/>
  <c r="AN41" i="31"/>
  <c r="AM8" i="31"/>
  <c r="AM41" i="31"/>
  <c r="AL8" i="31"/>
  <c r="AL41" i="31"/>
  <c r="AK8" i="31"/>
  <c r="AK41" i="31"/>
  <c r="AJ8" i="31"/>
  <c r="AJ41" i="31"/>
  <c r="AI8" i="31"/>
  <c r="AI41" i="31"/>
  <c r="AH8" i="31"/>
  <c r="AH41" i="31"/>
  <c r="AG8" i="31"/>
  <c r="AG41" i="31"/>
  <c r="AF8" i="31"/>
  <c r="AF41" i="31"/>
  <c r="AE8" i="31"/>
  <c r="AE41" i="31"/>
  <c r="AD8" i="31"/>
  <c r="AD41" i="31"/>
  <c r="BB4" i="31"/>
  <c r="BB40" i="31"/>
  <c r="BA4" i="31"/>
  <c r="BA40" i="31"/>
  <c r="AZ4" i="31"/>
  <c r="AZ40" i="31"/>
  <c r="AY4" i="31"/>
  <c r="AY40" i="31"/>
  <c r="AX4" i="31"/>
  <c r="AX40" i="31"/>
  <c r="AW4" i="31"/>
  <c r="AW40" i="31"/>
  <c r="AV4" i="31"/>
  <c r="AV40" i="31"/>
  <c r="AT4" i="31"/>
  <c r="AT40" i="31"/>
  <c r="AS4" i="31"/>
  <c r="AS40" i="31"/>
  <c r="AR4" i="31"/>
  <c r="AR40" i="31"/>
  <c r="AQ4" i="31"/>
  <c r="AQ40" i="31"/>
  <c r="AP4" i="31"/>
  <c r="AP40" i="31"/>
  <c r="AO4" i="31"/>
  <c r="AO40" i="31"/>
  <c r="AN4" i="31"/>
  <c r="AN40" i="31"/>
  <c r="AM4" i="31"/>
  <c r="AM40" i="31"/>
  <c r="AL4" i="31"/>
  <c r="AL40" i="31"/>
  <c r="AK4" i="31"/>
  <c r="AK40" i="31"/>
  <c r="AJ4" i="31"/>
  <c r="AJ40" i="31"/>
  <c r="AI4" i="31"/>
  <c r="AI40" i="31"/>
  <c r="AH4" i="31"/>
  <c r="AH40" i="31"/>
  <c r="AG4" i="31"/>
  <c r="AG40" i="31"/>
  <c r="AF4" i="31"/>
  <c r="AF40" i="31"/>
  <c r="AE4" i="31"/>
  <c r="AE40" i="31"/>
  <c r="AD4" i="31"/>
  <c r="AD40" i="31"/>
  <c r="BB11" i="31"/>
  <c r="BB39" i="31"/>
  <c r="BA11" i="31"/>
  <c r="BA39" i="31"/>
  <c r="AZ11" i="31"/>
  <c r="AZ39" i="31"/>
  <c r="AY11" i="31"/>
  <c r="AY39" i="31"/>
  <c r="AX11" i="31"/>
  <c r="AX39" i="31"/>
  <c r="AW11" i="31"/>
  <c r="AW39" i="31"/>
  <c r="AV11" i="31"/>
  <c r="AV39" i="31"/>
  <c r="AT11" i="31"/>
  <c r="AT39" i="31"/>
  <c r="AS11" i="31"/>
  <c r="AS39" i="31"/>
  <c r="AR11" i="31"/>
  <c r="AR39" i="31"/>
  <c r="AQ11" i="31"/>
  <c r="AQ39" i="31"/>
  <c r="AP11" i="31"/>
  <c r="AP39" i="31"/>
  <c r="AO11" i="31"/>
  <c r="AO39" i="31"/>
  <c r="AN11" i="31"/>
  <c r="AN39" i="31"/>
  <c r="AM11" i="31"/>
  <c r="AM39" i="31"/>
  <c r="AL11" i="31"/>
  <c r="AL39" i="31"/>
  <c r="AK11" i="31"/>
  <c r="AK39" i="31"/>
  <c r="AJ11" i="31"/>
  <c r="AJ39" i="31"/>
  <c r="AI11" i="31"/>
  <c r="AI39" i="31"/>
  <c r="AH11" i="31"/>
  <c r="AH39" i="31"/>
  <c r="AG11" i="31"/>
  <c r="AG39" i="31"/>
  <c r="AF11" i="31"/>
  <c r="AF39" i="31"/>
  <c r="AE11" i="31"/>
  <c r="AE39" i="31"/>
  <c r="AD11" i="31"/>
  <c r="AD39" i="31"/>
  <c r="BB2" i="31"/>
  <c r="BB38" i="31"/>
  <c r="BA2" i="31"/>
  <c r="BA38" i="31"/>
  <c r="AZ2" i="31"/>
  <c r="AZ38" i="31"/>
  <c r="AY2" i="31"/>
  <c r="AY38" i="31"/>
  <c r="AX2" i="31"/>
  <c r="AX38" i="31"/>
  <c r="AW2" i="31"/>
  <c r="AW38" i="31"/>
  <c r="AV2" i="31"/>
  <c r="AV38" i="31"/>
  <c r="AT2" i="31"/>
  <c r="AT38" i="31"/>
  <c r="AS2" i="31"/>
  <c r="AS38" i="31"/>
  <c r="AR2" i="31"/>
  <c r="AR38" i="31"/>
  <c r="AQ2" i="31"/>
  <c r="AQ38" i="31"/>
  <c r="AP2" i="31"/>
  <c r="AP38" i="31"/>
  <c r="AO2" i="31"/>
  <c r="AO38" i="31"/>
  <c r="AN2" i="31"/>
  <c r="AN38" i="31"/>
  <c r="AM2" i="31"/>
  <c r="AM38" i="31"/>
  <c r="AL2" i="31"/>
  <c r="AL38" i="31"/>
  <c r="AK2" i="31"/>
  <c r="AK38" i="31"/>
  <c r="AJ2" i="31"/>
  <c r="AJ38" i="31"/>
  <c r="AI2" i="31"/>
  <c r="AI38" i="31"/>
  <c r="AH2" i="31"/>
  <c r="AH38" i="31"/>
  <c r="AG2" i="31"/>
  <c r="AG38" i="31"/>
  <c r="AF2" i="31"/>
  <c r="AF38" i="31"/>
  <c r="AE2" i="31"/>
  <c r="AE38" i="31"/>
  <c r="AD2" i="31"/>
  <c r="AD38" i="31"/>
  <c r="BB22" i="31"/>
  <c r="BB37" i="31"/>
  <c r="BA22" i="31"/>
  <c r="BA37" i="31"/>
  <c r="AZ22" i="31"/>
  <c r="AZ37" i="31"/>
  <c r="AY22" i="31"/>
  <c r="AY37" i="31"/>
  <c r="AX22" i="31"/>
  <c r="AX37" i="31"/>
  <c r="AW22" i="31"/>
  <c r="AW37" i="31"/>
  <c r="AV22" i="31"/>
  <c r="AV37" i="31"/>
  <c r="AT22" i="31"/>
  <c r="AT37" i="31"/>
  <c r="AS22" i="31"/>
  <c r="AS37" i="31"/>
  <c r="AR22" i="31"/>
  <c r="AR37" i="31"/>
  <c r="AQ22" i="31"/>
  <c r="AQ37" i="31"/>
  <c r="AP22" i="31"/>
  <c r="AP37" i="31"/>
  <c r="AO22" i="31"/>
  <c r="AO37" i="31"/>
  <c r="AN22" i="31"/>
  <c r="AN37" i="31"/>
  <c r="AM22" i="31"/>
  <c r="AM37" i="31"/>
  <c r="AL22" i="31"/>
  <c r="AL37" i="31"/>
  <c r="AK22" i="31"/>
  <c r="AK37" i="31"/>
  <c r="AJ22" i="31"/>
  <c r="AJ37" i="31"/>
  <c r="AI22" i="31"/>
  <c r="AI37" i="31"/>
  <c r="AH22" i="31"/>
  <c r="AH37" i="31"/>
  <c r="AG22" i="31"/>
  <c r="AG37" i="31"/>
  <c r="AF22" i="31"/>
  <c r="AF37" i="31"/>
  <c r="AE22" i="31"/>
  <c r="AE37" i="31"/>
  <c r="AD22" i="31"/>
  <c r="AD37" i="31"/>
  <c r="BB26" i="31"/>
  <c r="BB36" i="31"/>
  <c r="BA26" i="31"/>
  <c r="BA36" i="31"/>
  <c r="AZ26" i="31"/>
  <c r="AZ36" i="31"/>
  <c r="AY26" i="31"/>
  <c r="AY36" i="31"/>
  <c r="AX26" i="31"/>
  <c r="AX36" i="31"/>
  <c r="AW26" i="31"/>
  <c r="AW36" i="31"/>
  <c r="AV26" i="31"/>
  <c r="AV36" i="31"/>
  <c r="AT26" i="31"/>
  <c r="AT36" i="31"/>
  <c r="AS26" i="31"/>
  <c r="AS36" i="31"/>
  <c r="AR26" i="31"/>
  <c r="AR36" i="31"/>
  <c r="AQ26" i="31"/>
  <c r="AQ36" i="31"/>
  <c r="AP26" i="31"/>
  <c r="AP36" i="31"/>
  <c r="AO26" i="31"/>
  <c r="AO36" i="31"/>
  <c r="AN26" i="31"/>
  <c r="AN36" i="31"/>
  <c r="AM26" i="31"/>
  <c r="AM36" i="31"/>
  <c r="AL26" i="31"/>
  <c r="AL36" i="31"/>
  <c r="AK26" i="31"/>
  <c r="AK36" i="31"/>
  <c r="AJ26" i="31"/>
  <c r="AJ36" i="31"/>
  <c r="AI26" i="31"/>
  <c r="AI36" i="31"/>
  <c r="AH26" i="31"/>
  <c r="AH36" i="31"/>
  <c r="AG26" i="31"/>
  <c r="AG36" i="31"/>
  <c r="AF26" i="31"/>
  <c r="AF36" i="31"/>
  <c r="AE26" i="31"/>
  <c r="AE36" i="31"/>
  <c r="AD26" i="31"/>
  <c r="AD36" i="31"/>
  <c r="BB30" i="31"/>
  <c r="BB35" i="31"/>
  <c r="BA30" i="31"/>
  <c r="BA35" i="31"/>
  <c r="AZ30" i="31"/>
  <c r="AZ35" i="31"/>
  <c r="AY30" i="31"/>
  <c r="AY35" i="31"/>
  <c r="AX30" i="31"/>
  <c r="AX35" i="31"/>
  <c r="AW30" i="31"/>
  <c r="AW35" i="31"/>
  <c r="AV30" i="31"/>
  <c r="AV35" i="31"/>
  <c r="AT30" i="31"/>
  <c r="AT35" i="31"/>
  <c r="AS30" i="31"/>
  <c r="AS35" i="31"/>
  <c r="AR30" i="31"/>
  <c r="AR35" i="31"/>
  <c r="AQ30" i="31"/>
  <c r="AQ35" i="31"/>
  <c r="AP30" i="31"/>
  <c r="AP35" i="31"/>
  <c r="AO30" i="31"/>
  <c r="AO35" i="31"/>
  <c r="AN30" i="31"/>
  <c r="AN35" i="31"/>
  <c r="AM30" i="31"/>
  <c r="AM35" i="31"/>
  <c r="AL30" i="31"/>
  <c r="AL35" i="31"/>
  <c r="AK30" i="31"/>
  <c r="AK35" i="31"/>
  <c r="AJ30" i="31"/>
  <c r="AJ35" i="31"/>
  <c r="AI30" i="31"/>
  <c r="AI35" i="31"/>
  <c r="AH30" i="31"/>
  <c r="AH35" i="31"/>
  <c r="AG30" i="31"/>
  <c r="AG35" i="31"/>
  <c r="AF30" i="31"/>
  <c r="AF35" i="31"/>
  <c r="AE30" i="31"/>
  <c r="AE35" i="31"/>
  <c r="AD30" i="31"/>
  <c r="AD35" i="31"/>
  <c r="BB14" i="31"/>
  <c r="BB34" i="31"/>
  <c r="BA14" i="31"/>
  <c r="BA34" i="31"/>
  <c r="AZ14" i="31"/>
  <c r="AZ34" i="31"/>
  <c r="AY14" i="31"/>
  <c r="AY34" i="31"/>
  <c r="AX14" i="31"/>
  <c r="AX34" i="31"/>
  <c r="AW14" i="31"/>
  <c r="AW34" i="31"/>
  <c r="AV14" i="31"/>
  <c r="AV34" i="31"/>
  <c r="AT14" i="31"/>
  <c r="AT34" i="31"/>
  <c r="AS14" i="31"/>
  <c r="AS34" i="31"/>
  <c r="AR14" i="31"/>
  <c r="AR34" i="31"/>
  <c r="AQ14" i="31"/>
  <c r="AQ34" i="31"/>
  <c r="AP14" i="31"/>
  <c r="AP34" i="31"/>
  <c r="AO14" i="31"/>
  <c r="AO34" i="31"/>
  <c r="AN14" i="31"/>
  <c r="AN34" i="31"/>
  <c r="AM14" i="31"/>
  <c r="AM34" i="31"/>
  <c r="AL14" i="31"/>
  <c r="AL34" i="31"/>
  <c r="AK14" i="31"/>
  <c r="AK34" i="31"/>
  <c r="AJ14" i="31"/>
  <c r="AJ34" i="31"/>
  <c r="AI14" i="31"/>
  <c r="AI34" i="31"/>
  <c r="AH14" i="31"/>
  <c r="AH34" i="31"/>
  <c r="AG14" i="31"/>
  <c r="AG34" i="31"/>
  <c r="AF14" i="31"/>
  <c r="AF34" i="31"/>
  <c r="AE14" i="31"/>
  <c r="AE34" i="31"/>
  <c r="AD14" i="31"/>
  <c r="AD34" i="31"/>
  <c r="BB13" i="31"/>
  <c r="BB33" i="31"/>
  <c r="BA13" i="31"/>
  <c r="BA33" i="31"/>
  <c r="AZ13" i="31"/>
  <c r="AZ33" i="31"/>
  <c r="AY13" i="31"/>
  <c r="AY33" i="31"/>
  <c r="AX13" i="31"/>
  <c r="AX33" i="31"/>
  <c r="AW13" i="31"/>
  <c r="AW33" i="31"/>
  <c r="AV13" i="31"/>
  <c r="AV33" i="31"/>
  <c r="AT13" i="31"/>
  <c r="AT33" i="31"/>
  <c r="AS13" i="31"/>
  <c r="AS33" i="31"/>
  <c r="AR13" i="31"/>
  <c r="AR33" i="31"/>
  <c r="AQ13" i="31"/>
  <c r="AQ33" i="31"/>
  <c r="AP13" i="31"/>
  <c r="AP33" i="31"/>
  <c r="AO13" i="31"/>
  <c r="AO33" i="31"/>
  <c r="AN13" i="31"/>
  <c r="AN33" i="31"/>
  <c r="AM13" i="31"/>
  <c r="AM33" i="31"/>
  <c r="AL13" i="31"/>
  <c r="AL33" i="31"/>
  <c r="AK13" i="31"/>
  <c r="AK33" i="31"/>
  <c r="AJ13" i="31"/>
  <c r="AJ33" i="31"/>
  <c r="AI13" i="31"/>
  <c r="AI33" i="31"/>
  <c r="AH13" i="31"/>
  <c r="AH33" i="31"/>
  <c r="AG13" i="31"/>
  <c r="AG33" i="31"/>
  <c r="AF13" i="31"/>
  <c r="AF33" i="31"/>
  <c r="AE13" i="31"/>
  <c r="AE33" i="31"/>
  <c r="AD13" i="31"/>
  <c r="AD33" i="31"/>
  <c r="BB3" i="31"/>
  <c r="BB32" i="31"/>
  <c r="BA3" i="31"/>
  <c r="BA32" i="31"/>
  <c r="AZ3" i="31"/>
  <c r="AZ32" i="31"/>
  <c r="AY3" i="31"/>
  <c r="AY32" i="31"/>
  <c r="AX3" i="31"/>
  <c r="AX32" i="31"/>
  <c r="AW3" i="31"/>
  <c r="AW32" i="31"/>
  <c r="AV3" i="31"/>
  <c r="AV32" i="31"/>
  <c r="AT3" i="31"/>
  <c r="AT32" i="31"/>
  <c r="AS3" i="31"/>
  <c r="AS32" i="31"/>
  <c r="AR3" i="31"/>
  <c r="AR32" i="31"/>
  <c r="AQ3" i="31"/>
  <c r="AQ32" i="31"/>
  <c r="AP3" i="31"/>
  <c r="AP32" i="31"/>
  <c r="AO3" i="31"/>
  <c r="AO32" i="31"/>
  <c r="AN3" i="31"/>
  <c r="AN32" i="31"/>
  <c r="AM3" i="31"/>
  <c r="AM32" i="31"/>
  <c r="AL3" i="31"/>
  <c r="AL32" i="31"/>
  <c r="AK3" i="31"/>
  <c r="AK32" i="31"/>
  <c r="AJ3" i="31"/>
  <c r="AJ32" i="31"/>
  <c r="AI3" i="31"/>
  <c r="AI32" i="31"/>
  <c r="AH3" i="31"/>
  <c r="AH32" i="31"/>
  <c r="AG3" i="31"/>
  <c r="AG32" i="31"/>
  <c r="AF3" i="31"/>
  <c r="AF32" i="31"/>
  <c r="AE3" i="31"/>
  <c r="AE32" i="31"/>
  <c r="AD3" i="31"/>
  <c r="AD32" i="31"/>
  <c r="BB31" i="31"/>
  <c r="BA31" i="31"/>
  <c r="AZ31" i="31"/>
  <c r="AY31" i="31"/>
  <c r="AX31" i="31"/>
  <c r="AW31" i="31"/>
  <c r="AV31" i="31"/>
  <c r="AT31" i="31"/>
  <c r="AS31" i="31"/>
  <c r="AR31" i="31"/>
  <c r="AQ31" i="31"/>
  <c r="AP31" i="31"/>
  <c r="AO31" i="31"/>
  <c r="AN31" i="31"/>
  <c r="AM31" i="31"/>
  <c r="AL31" i="31"/>
  <c r="AK31" i="31"/>
  <c r="AJ31" i="31"/>
  <c r="AI31" i="31"/>
  <c r="AH31" i="31"/>
  <c r="AG31" i="31"/>
  <c r="AF31" i="31"/>
  <c r="AE31" i="31"/>
  <c r="AD31" i="31"/>
  <c r="AU27" i="31"/>
  <c r="AU76" i="31"/>
  <c r="AU18" i="31"/>
  <c r="AU75" i="31"/>
  <c r="AU12" i="31"/>
  <c r="AU74" i="31"/>
  <c r="AU7" i="31"/>
  <c r="AU73" i="31"/>
  <c r="AU16" i="31"/>
  <c r="AU72" i="31"/>
  <c r="AU29" i="31"/>
  <c r="AU71" i="31"/>
  <c r="AU20" i="31"/>
  <c r="AU70" i="31"/>
  <c r="AU24" i="31"/>
  <c r="AU69" i="31"/>
  <c r="AU9" i="31"/>
  <c r="AU68" i="31"/>
  <c r="AU5" i="31"/>
  <c r="AU67" i="31"/>
  <c r="AU17" i="31"/>
  <c r="AU66" i="31"/>
  <c r="AU21" i="31"/>
  <c r="AU65" i="31"/>
  <c r="AU25" i="31"/>
  <c r="AU64" i="31"/>
  <c r="AU62" i="31"/>
  <c r="AU61" i="31"/>
  <c r="AU60" i="31"/>
  <c r="AU59" i="31"/>
  <c r="AU58" i="31"/>
  <c r="AU57" i="31"/>
  <c r="AU56" i="31"/>
  <c r="AU55" i="31"/>
  <c r="AU54" i="31"/>
  <c r="AU53" i="31"/>
  <c r="AU52" i="31"/>
  <c r="AU51" i="31"/>
  <c r="AU50" i="31"/>
  <c r="AU48" i="31"/>
  <c r="AZ30" i="35"/>
  <c r="AY30" i="35"/>
  <c r="AX30" i="35"/>
  <c r="AW30" i="35"/>
  <c r="AV30" i="35"/>
  <c r="AU30" i="35"/>
  <c r="AT30" i="35"/>
  <c r="AS30" i="35"/>
  <c r="AR30" i="35"/>
  <c r="AQ30" i="35"/>
  <c r="AP30" i="35"/>
  <c r="AO30" i="35"/>
  <c r="AN30" i="35"/>
  <c r="AM30" i="35"/>
  <c r="AL30" i="35"/>
  <c r="AK30" i="35"/>
  <c r="AJ30" i="35"/>
  <c r="AI30" i="35"/>
  <c r="AH30" i="35"/>
  <c r="AG30" i="35"/>
  <c r="AF30" i="35"/>
  <c r="AE30" i="35"/>
  <c r="AD30" i="35"/>
  <c r="AC30" i="35"/>
  <c r="AB30" i="35"/>
  <c r="AA30" i="35"/>
  <c r="Z30" i="35"/>
  <c r="Y30" i="35"/>
  <c r="X30" i="35"/>
  <c r="W30" i="35"/>
  <c r="V30" i="35"/>
  <c r="U30" i="35"/>
  <c r="T30" i="35"/>
  <c r="S30" i="35"/>
  <c r="R30" i="35"/>
  <c r="Q30" i="35"/>
  <c r="P30" i="35"/>
  <c r="O30" i="35"/>
  <c r="N30" i="35"/>
  <c r="M30" i="35"/>
  <c r="L30" i="35"/>
  <c r="K30" i="35"/>
  <c r="J30" i="35"/>
  <c r="I30" i="35"/>
  <c r="H30" i="35"/>
  <c r="G30" i="35"/>
  <c r="F30" i="35"/>
  <c r="E30" i="35"/>
  <c r="D30" i="35"/>
  <c r="C30" i="35"/>
  <c r="AZ29" i="35"/>
  <c r="AY29" i="35"/>
  <c r="AX29" i="35"/>
  <c r="AW29" i="35"/>
  <c r="AV29" i="35"/>
  <c r="AU29" i="35"/>
  <c r="AT29" i="35"/>
  <c r="AS29" i="35"/>
  <c r="AR29" i="35"/>
  <c r="AQ29" i="35"/>
  <c r="AP29" i="35"/>
  <c r="AO29" i="35"/>
  <c r="AN29" i="35"/>
  <c r="AM29" i="35"/>
  <c r="AL29" i="35"/>
  <c r="AK29" i="35"/>
  <c r="AJ29" i="35"/>
  <c r="AI29" i="35"/>
  <c r="AH29" i="35"/>
  <c r="AG29" i="35"/>
  <c r="AF29" i="35"/>
  <c r="AE29" i="35"/>
  <c r="AD29" i="35"/>
  <c r="AC29" i="35"/>
  <c r="AB29" i="35"/>
  <c r="AA29" i="35"/>
  <c r="Z29" i="35"/>
  <c r="Y29" i="35"/>
  <c r="X29" i="35"/>
  <c r="W29" i="35"/>
  <c r="V29" i="35"/>
  <c r="U29" i="35"/>
  <c r="T29" i="35"/>
  <c r="S29" i="35"/>
  <c r="R29" i="35"/>
  <c r="Q29" i="35"/>
  <c r="P29" i="35"/>
  <c r="O29" i="35"/>
  <c r="N29" i="35"/>
  <c r="M29" i="35"/>
  <c r="L29" i="35"/>
  <c r="K29" i="35"/>
  <c r="J29" i="35"/>
  <c r="I29" i="35"/>
  <c r="H29" i="35"/>
  <c r="G29" i="35"/>
  <c r="F29" i="35"/>
  <c r="E29" i="35"/>
  <c r="D29" i="35"/>
  <c r="C29" i="35"/>
  <c r="AZ28" i="35"/>
  <c r="AY28" i="35"/>
  <c r="AX28" i="35"/>
  <c r="AW28" i="35"/>
  <c r="AV28" i="35"/>
  <c r="AU28" i="35"/>
  <c r="AT28" i="35"/>
  <c r="AS28" i="35"/>
  <c r="AR28" i="35"/>
  <c r="AQ28" i="35"/>
  <c r="AP28" i="35"/>
  <c r="AO28" i="35"/>
  <c r="AN28" i="35"/>
  <c r="AM28" i="35"/>
  <c r="AL28" i="35"/>
  <c r="AK28" i="35"/>
  <c r="AJ28" i="35"/>
  <c r="AI28" i="35"/>
  <c r="AH28" i="35"/>
  <c r="AG28" i="35"/>
  <c r="AF28" i="35"/>
  <c r="AE28" i="35"/>
  <c r="AD28" i="35"/>
  <c r="AC28" i="35"/>
  <c r="AB28" i="35"/>
  <c r="AA28" i="35"/>
  <c r="Z28" i="35"/>
  <c r="Y28" i="35"/>
  <c r="X28" i="35"/>
  <c r="W28" i="35"/>
  <c r="V28" i="35"/>
  <c r="U28" i="35"/>
  <c r="T28" i="35"/>
  <c r="S28" i="35"/>
  <c r="R28" i="35"/>
  <c r="Q28" i="35"/>
  <c r="P28" i="35"/>
  <c r="O28" i="35"/>
  <c r="N28" i="35"/>
  <c r="M28" i="35"/>
  <c r="L28" i="35"/>
  <c r="K28" i="35"/>
  <c r="J28" i="35"/>
  <c r="I28" i="35"/>
  <c r="H28" i="35"/>
  <c r="G28" i="35"/>
  <c r="F28" i="35"/>
  <c r="E28" i="35"/>
  <c r="D28" i="35"/>
  <c r="C28" i="35"/>
  <c r="AZ27" i="35"/>
  <c r="AY27" i="35"/>
  <c r="AX27" i="35"/>
  <c r="AW27" i="35"/>
  <c r="AV27" i="35"/>
  <c r="AU27" i="35"/>
  <c r="AT27" i="35"/>
  <c r="AS27" i="35"/>
  <c r="AR27" i="35"/>
  <c r="AQ27" i="35"/>
  <c r="AP27" i="35"/>
  <c r="AO27" i="35"/>
  <c r="AN27" i="35"/>
  <c r="AM27" i="35"/>
  <c r="AL27" i="35"/>
  <c r="AK27" i="35"/>
  <c r="AJ27" i="35"/>
  <c r="AI27" i="35"/>
  <c r="AH27" i="35"/>
  <c r="AG27" i="35"/>
  <c r="AF27" i="35"/>
  <c r="AE27" i="35"/>
  <c r="AD27" i="35"/>
  <c r="AC27" i="35"/>
  <c r="AB27" i="35"/>
  <c r="AA27" i="35"/>
  <c r="Z27" i="35"/>
  <c r="Y27" i="35"/>
  <c r="X27" i="35"/>
  <c r="W27" i="35"/>
  <c r="V27" i="35"/>
  <c r="U27" i="35"/>
  <c r="T27" i="35"/>
  <c r="S27" i="35"/>
  <c r="R27" i="35"/>
  <c r="Q27" i="35"/>
  <c r="P27" i="35"/>
  <c r="O27" i="35"/>
  <c r="N27" i="35"/>
  <c r="M27" i="35"/>
  <c r="L27" i="35"/>
  <c r="K27" i="35"/>
  <c r="J27" i="35"/>
  <c r="I27" i="35"/>
  <c r="H27" i="35"/>
  <c r="G27" i="35"/>
  <c r="F27" i="35"/>
  <c r="E27" i="35"/>
  <c r="D27" i="35"/>
  <c r="C27" i="35"/>
  <c r="AZ26" i="35"/>
  <c r="AY26" i="35"/>
  <c r="AX26" i="35"/>
  <c r="AW26" i="35"/>
  <c r="AV26" i="35"/>
  <c r="AU26" i="35"/>
  <c r="AT26" i="35"/>
  <c r="AS26" i="35"/>
  <c r="AR26" i="35"/>
  <c r="AQ26" i="35"/>
  <c r="AP26" i="35"/>
  <c r="AO26" i="35"/>
  <c r="AN26" i="35"/>
  <c r="AM26" i="35"/>
  <c r="AL26" i="35"/>
  <c r="AK26" i="35"/>
  <c r="AJ26" i="35"/>
  <c r="AI26" i="35"/>
  <c r="AH26" i="35"/>
  <c r="AG26" i="35"/>
  <c r="AF26" i="35"/>
  <c r="AE26" i="35"/>
  <c r="AD26" i="35"/>
  <c r="AC26" i="35"/>
  <c r="AB26" i="35"/>
  <c r="AA26" i="35"/>
  <c r="Z26" i="35"/>
  <c r="Y26" i="35"/>
  <c r="X26" i="35"/>
  <c r="W26" i="35"/>
  <c r="V26" i="35"/>
  <c r="U26" i="35"/>
  <c r="T26" i="35"/>
  <c r="S26" i="35"/>
  <c r="R26" i="35"/>
  <c r="Q26" i="35"/>
  <c r="P26" i="35"/>
  <c r="O26" i="35"/>
  <c r="N26" i="35"/>
  <c r="M26" i="35"/>
  <c r="L26" i="35"/>
  <c r="K26" i="35"/>
  <c r="J26" i="35"/>
  <c r="I26" i="35"/>
  <c r="H26" i="35"/>
  <c r="G26" i="35"/>
  <c r="F26" i="35"/>
  <c r="E26" i="35"/>
  <c r="D26" i="35"/>
  <c r="C26" i="35"/>
  <c r="AZ25" i="35"/>
  <c r="AY25" i="35"/>
  <c r="AX25" i="35"/>
  <c r="AW25" i="35"/>
  <c r="AV25" i="35"/>
  <c r="AU25" i="35"/>
  <c r="AT25" i="35"/>
  <c r="AS25" i="35"/>
  <c r="AR25" i="35"/>
  <c r="AQ25" i="35"/>
  <c r="AP25" i="35"/>
  <c r="AO25" i="35"/>
  <c r="AN25" i="35"/>
  <c r="AM25" i="35"/>
  <c r="AL25" i="35"/>
  <c r="AK25" i="35"/>
  <c r="AJ25" i="35"/>
  <c r="AI25" i="35"/>
  <c r="AH25" i="35"/>
  <c r="AG25" i="35"/>
  <c r="AF25" i="35"/>
  <c r="AE25" i="35"/>
  <c r="AD25" i="35"/>
  <c r="AC25" i="35"/>
  <c r="AB25" i="35"/>
  <c r="AA25" i="35"/>
  <c r="Z25" i="35"/>
  <c r="Y25" i="35"/>
  <c r="X25" i="35"/>
  <c r="W25" i="35"/>
  <c r="V25" i="35"/>
  <c r="U25" i="35"/>
  <c r="S25" i="35"/>
  <c r="R25" i="35"/>
  <c r="Q25" i="35"/>
  <c r="P25" i="35"/>
  <c r="O25" i="35"/>
  <c r="N25" i="35"/>
  <c r="M25" i="35"/>
  <c r="L25" i="35"/>
  <c r="K25" i="35"/>
  <c r="J25" i="35"/>
  <c r="I25" i="35"/>
  <c r="H25" i="35"/>
  <c r="G25" i="35"/>
  <c r="F25" i="35"/>
  <c r="E25" i="35"/>
  <c r="D25" i="35"/>
  <c r="C25" i="35"/>
  <c r="AZ24" i="35"/>
  <c r="AY24" i="35"/>
  <c r="AX24" i="35"/>
  <c r="AW24" i="35"/>
  <c r="AV24" i="35"/>
  <c r="AU24" i="35"/>
  <c r="AT24" i="35"/>
  <c r="AS24" i="35"/>
  <c r="AR24" i="35"/>
  <c r="AQ24" i="35"/>
  <c r="AP24" i="35"/>
  <c r="AO24" i="35"/>
  <c r="AN24" i="35"/>
  <c r="AM24" i="35"/>
  <c r="AL24" i="35"/>
  <c r="AK24" i="35"/>
  <c r="AJ24" i="35"/>
  <c r="AI24" i="35"/>
  <c r="AH24" i="35"/>
  <c r="AG24" i="35"/>
  <c r="AF24" i="35"/>
  <c r="AE24" i="35"/>
  <c r="AD24" i="35"/>
  <c r="AC24" i="35"/>
  <c r="AB24" i="35"/>
  <c r="AA24" i="35"/>
  <c r="Z24" i="35"/>
  <c r="Y24" i="35"/>
  <c r="X24" i="35"/>
  <c r="W24" i="35"/>
  <c r="V24" i="35"/>
  <c r="U24" i="35"/>
  <c r="T24" i="35"/>
  <c r="S24" i="35"/>
  <c r="R24" i="35"/>
  <c r="Q24" i="35"/>
  <c r="P24" i="35"/>
  <c r="O24" i="35"/>
  <c r="N24" i="35"/>
  <c r="M24" i="35"/>
  <c r="L24" i="35"/>
  <c r="K24" i="35"/>
  <c r="J24" i="35"/>
  <c r="I24" i="35"/>
  <c r="H24" i="35"/>
  <c r="G24" i="35"/>
  <c r="F24" i="35"/>
  <c r="E24" i="35"/>
  <c r="D24" i="35"/>
  <c r="C24" i="35"/>
  <c r="AZ23" i="35"/>
  <c r="AY23" i="35"/>
  <c r="AX23" i="35"/>
  <c r="AW23" i="35"/>
  <c r="AV23" i="35"/>
  <c r="AU23" i="35"/>
  <c r="AT23" i="35"/>
  <c r="AS23" i="35"/>
  <c r="AR23" i="35"/>
  <c r="AQ23" i="35"/>
  <c r="AP23" i="35"/>
  <c r="AO23" i="35"/>
  <c r="AN23" i="35"/>
  <c r="AM23" i="35"/>
  <c r="AL23" i="35"/>
  <c r="AK23" i="35"/>
  <c r="AJ23" i="35"/>
  <c r="AI23" i="35"/>
  <c r="AH23" i="35"/>
  <c r="AG23" i="35"/>
  <c r="AF23" i="35"/>
  <c r="AE23" i="35"/>
  <c r="AD23" i="35"/>
  <c r="AC23" i="35"/>
  <c r="AB23" i="35"/>
  <c r="AA23" i="35"/>
  <c r="Z23" i="35"/>
  <c r="Y23" i="35"/>
  <c r="X23" i="35"/>
  <c r="W23" i="35"/>
  <c r="V23" i="35"/>
  <c r="U23" i="35"/>
  <c r="T23" i="35"/>
  <c r="S23" i="35"/>
  <c r="R23" i="35"/>
  <c r="Q23" i="35"/>
  <c r="P23" i="35"/>
  <c r="O23" i="35"/>
  <c r="N23" i="35"/>
  <c r="M23" i="35"/>
  <c r="L23" i="35"/>
  <c r="K23" i="35"/>
  <c r="J23" i="35"/>
  <c r="I23" i="35"/>
  <c r="H23" i="35"/>
  <c r="G23" i="35"/>
  <c r="F23" i="35"/>
  <c r="E23" i="35"/>
  <c r="D23" i="35"/>
  <c r="C23" i="35"/>
  <c r="AZ22" i="35"/>
  <c r="AY22" i="35"/>
  <c r="AX22" i="35"/>
  <c r="AW22" i="35"/>
  <c r="AV22" i="35"/>
  <c r="AU22" i="35"/>
  <c r="AT22" i="35"/>
  <c r="AS22" i="35"/>
  <c r="AR22" i="35"/>
  <c r="AQ22" i="35"/>
  <c r="AP22" i="35"/>
  <c r="AO22" i="35"/>
  <c r="AN22" i="35"/>
  <c r="AM22" i="35"/>
  <c r="AL22" i="35"/>
  <c r="AK22" i="35"/>
  <c r="AJ22" i="35"/>
  <c r="AI22" i="35"/>
  <c r="AH22" i="35"/>
  <c r="AG22" i="35"/>
  <c r="AF22" i="35"/>
  <c r="AE22" i="35"/>
  <c r="AD22" i="35"/>
  <c r="AC22" i="35"/>
  <c r="AB22" i="35"/>
  <c r="AA22" i="35"/>
  <c r="Z22" i="35"/>
  <c r="Y22" i="35"/>
  <c r="X22" i="35"/>
  <c r="W22" i="35"/>
  <c r="V22" i="35"/>
  <c r="U22" i="35"/>
  <c r="T22" i="35"/>
  <c r="S22" i="35"/>
  <c r="R22" i="35"/>
  <c r="Q22" i="35"/>
  <c r="P22" i="35"/>
  <c r="O22" i="35"/>
  <c r="N22" i="35"/>
  <c r="M22" i="35"/>
  <c r="L22" i="35"/>
  <c r="K22" i="35"/>
  <c r="J22" i="35"/>
  <c r="I22" i="35"/>
  <c r="H22" i="35"/>
  <c r="G22" i="35"/>
  <c r="F22" i="35"/>
  <c r="E22" i="35"/>
  <c r="D22" i="35"/>
  <c r="C22" i="35"/>
  <c r="AZ21" i="35"/>
  <c r="AY21" i="35"/>
  <c r="AX21" i="35"/>
  <c r="AW21" i="35"/>
  <c r="AV21" i="35"/>
  <c r="AU21" i="35"/>
  <c r="AT21" i="35"/>
  <c r="AS21" i="35"/>
  <c r="AR21" i="35"/>
  <c r="AQ21" i="35"/>
  <c r="AP21" i="35"/>
  <c r="AO21" i="35"/>
  <c r="AN21" i="35"/>
  <c r="AM21" i="35"/>
  <c r="AL21" i="35"/>
  <c r="AK21" i="35"/>
  <c r="AJ21" i="35"/>
  <c r="AI21" i="35"/>
  <c r="AH21" i="35"/>
  <c r="AG21" i="35"/>
  <c r="AF21" i="35"/>
  <c r="AE21" i="35"/>
  <c r="AD21" i="35"/>
  <c r="AC21" i="35"/>
  <c r="AB21" i="35"/>
  <c r="AA21" i="35"/>
  <c r="Z21" i="35"/>
  <c r="Y21" i="35"/>
  <c r="X21" i="35"/>
  <c r="W21" i="35"/>
  <c r="V21" i="35"/>
  <c r="U21" i="35"/>
  <c r="T21" i="35"/>
  <c r="S21" i="35"/>
  <c r="R21" i="35"/>
  <c r="Q21" i="35"/>
  <c r="P21" i="35"/>
  <c r="O21" i="35"/>
  <c r="N21" i="35"/>
  <c r="M21" i="35"/>
  <c r="L21" i="35"/>
  <c r="K21" i="35"/>
  <c r="J21" i="35"/>
  <c r="I21" i="35"/>
  <c r="H21" i="35"/>
  <c r="G21" i="35"/>
  <c r="F21" i="35"/>
  <c r="E21" i="35"/>
  <c r="D21" i="35"/>
  <c r="C21" i="35"/>
  <c r="AZ20" i="35"/>
  <c r="AY20" i="35"/>
  <c r="AX20" i="35"/>
  <c r="AW20" i="35"/>
  <c r="AV20" i="35"/>
  <c r="AU20" i="35"/>
  <c r="AT20" i="35"/>
  <c r="AS20" i="35"/>
  <c r="AR20" i="35"/>
  <c r="AQ20" i="35"/>
  <c r="AP20" i="35"/>
  <c r="AO20" i="35"/>
  <c r="AN20" i="35"/>
  <c r="AM20" i="35"/>
  <c r="AL20" i="35"/>
  <c r="AK20" i="35"/>
  <c r="AJ20" i="35"/>
  <c r="AI20" i="35"/>
  <c r="AH20" i="35"/>
  <c r="AG20" i="35"/>
  <c r="AF20" i="35"/>
  <c r="AE20" i="35"/>
  <c r="AD20" i="35"/>
  <c r="AC20" i="35"/>
  <c r="AB20" i="35"/>
  <c r="AA20" i="35"/>
  <c r="Z20" i="35"/>
  <c r="Y20" i="35"/>
  <c r="X20" i="35"/>
  <c r="W20" i="35"/>
  <c r="V20" i="35"/>
  <c r="U20" i="35"/>
  <c r="T20" i="35"/>
  <c r="S20" i="35"/>
  <c r="R20" i="35"/>
  <c r="Q20" i="35"/>
  <c r="P20" i="35"/>
  <c r="O20" i="35"/>
  <c r="N20" i="35"/>
  <c r="M20" i="35"/>
  <c r="L20" i="35"/>
  <c r="K20" i="35"/>
  <c r="J20" i="35"/>
  <c r="I20" i="35"/>
  <c r="H20" i="35"/>
  <c r="G20" i="35"/>
  <c r="F20" i="35"/>
  <c r="E20" i="35"/>
  <c r="D20" i="35"/>
  <c r="C20" i="35"/>
  <c r="AZ19" i="35"/>
  <c r="AY19" i="35"/>
  <c r="AX19" i="35"/>
  <c r="AW19" i="35"/>
  <c r="AV19" i="35"/>
  <c r="AU19" i="35"/>
  <c r="AT19" i="35"/>
  <c r="AS19" i="35"/>
  <c r="AR19" i="35"/>
  <c r="AQ19" i="35"/>
  <c r="AP19" i="35"/>
  <c r="AO19" i="35"/>
  <c r="AN19" i="35"/>
  <c r="AM19" i="35"/>
  <c r="AL19" i="35"/>
  <c r="AK19" i="35"/>
  <c r="AJ19" i="35"/>
  <c r="AI19" i="35"/>
  <c r="AH19" i="35"/>
  <c r="AG19" i="35"/>
  <c r="AF19" i="35"/>
  <c r="AE19" i="35"/>
  <c r="AD19" i="35"/>
  <c r="AC19" i="35"/>
  <c r="AB19" i="35"/>
  <c r="AA19" i="35"/>
  <c r="Z19" i="35"/>
  <c r="Y19" i="35"/>
  <c r="X19" i="35"/>
  <c r="W19" i="35"/>
  <c r="V19" i="35"/>
  <c r="U19" i="35"/>
  <c r="T19" i="35"/>
  <c r="S19" i="35"/>
  <c r="R19" i="35"/>
  <c r="Q19" i="35"/>
  <c r="P19" i="35"/>
  <c r="O19" i="35"/>
  <c r="N19" i="35"/>
  <c r="M19" i="35"/>
  <c r="L19" i="35"/>
  <c r="K19" i="35"/>
  <c r="J19" i="35"/>
  <c r="I19" i="35"/>
  <c r="H19" i="35"/>
  <c r="G19" i="35"/>
  <c r="F19" i="35"/>
  <c r="E19" i="35"/>
  <c r="D19" i="35"/>
  <c r="C19" i="35"/>
  <c r="AZ18" i="35"/>
  <c r="AY18" i="35"/>
  <c r="AX18" i="35"/>
  <c r="AW18" i="35"/>
  <c r="AV18" i="35"/>
  <c r="AU18" i="35"/>
  <c r="AT18" i="35"/>
  <c r="AS18" i="35"/>
  <c r="AR18" i="35"/>
  <c r="AQ18" i="35"/>
  <c r="AP18" i="35"/>
  <c r="AO18" i="35"/>
  <c r="AN18" i="35"/>
  <c r="AM18" i="35"/>
  <c r="AL18" i="35"/>
  <c r="AK18" i="35"/>
  <c r="AJ18" i="35"/>
  <c r="AI18" i="35"/>
  <c r="AH18" i="35"/>
  <c r="AG18" i="35"/>
  <c r="AF18" i="35"/>
  <c r="AE18" i="35"/>
  <c r="AD18" i="35"/>
  <c r="AC18" i="35"/>
  <c r="AB18" i="35"/>
  <c r="AA18" i="35"/>
  <c r="Z18" i="35"/>
  <c r="Y18" i="35"/>
  <c r="X18" i="35"/>
  <c r="W18" i="35"/>
  <c r="V18" i="35"/>
  <c r="U18" i="35"/>
  <c r="T18" i="35"/>
  <c r="S18" i="35"/>
  <c r="R18" i="35"/>
  <c r="Q18" i="35"/>
  <c r="P18" i="35"/>
  <c r="O18" i="35"/>
  <c r="N18" i="35"/>
  <c r="M18" i="35"/>
  <c r="L18" i="35"/>
  <c r="K18" i="35"/>
  <c r="J18" i="35"/>
  <c r="I18" i="35"/>
  <c r="H18" i="35"/>
  <c r="G18" i="35"/>
  <c r="F18" i="35"/>
  <c r="E18" i="35"/>
  <c r="D18" i="35"/>
  <c r="C18" i="35"/>
  <c r="AZ17" i="35"/>
  <c r="AY17" i="35"/>
  <c r="AX17" i="35"/>
  <c r="AW17" i="35"/>
  <c r="AV17" i="35"/>
  <c r="AU17" i="35"/>
  <c r="AT17" i="35"/>
  <c r="AS17" i="35"/>
  <c r="AR17" i="35"/>
  <c r="AQ17" i="35"/>
  <c r="AP17" i="35"/>
  <c r="AO17" i="35"/>
  <c r="AN17" i="35"/>
  <c r="AM17" i="35"/>
  <c r="AL17" i="35"/>
  <c r="AK17" i="35"/>
  <c r="AJ17" i="35"/>
  <c r="AI17" i="35"/>
  <c r="AH17" i="35"/>
  <c r="AG17" i="35"/>
  <c r="AF17" i="35"/>
  <c r="AE17" i="35"/>
  <c r="AD17" i="35"/>
  <c r="AC17" i="35"/>
  <c r="AB17" i="35"/>
  <c r="AA17" i="35"/>
  <c r="Z17" i="35"/>
  <c r="Y17" i="35"/>
  <c r="X17" i="35"/>
  <c r="W17" i="35"/>
  <c r="V17" i="35"/>
  <c r="U17" i="35"/>
  <c r="T17" i="35"/>
  <c r="S17" i="35"/>
  <c r="R17" i="35"/>
  <c r="Q17" i="35"/>
  <c r="P17" i="35"/>
  <c r="O17" i="35"/>
  <c r="N17" i="35"/>
  <c r="M17" i="35"/>
  <c r="L17" i="35"/>
  <c r="K17" i="35"/>
  <c r="J17" i="35"/>
  <c r="I17" i="35"/>
  <c r="H17" i="35"/>
  <c r="G17" i="35"/>
  <c r="F17" i="35"/>
  <c r="E17" i="35"/>
  <c r="D17" i="35"/>
  <c r="C17" i="35"/>
  <c r="AZ16" i="35"/>
  <c r="AY16" i="35"/>
  <c r="AX16" i="35"/>
  <c r="AW16" i="35"/>
  <c r="AV16" i="35"/>
  <c r="AU16" i="35"/>
  <c r="AT16" i="35"/>
  <c r="AS16" i="35"/>
  <c r="AR16" i="35"/>
  <c r="AQ16" i="35"/>
  <c r="AP16" i="35"/>
  <c r="AO16" i="35"/>
  <c r="AN16" i="35"/>
  <c r="AM16" i="35"/>
  <c r="AL16" i="35"/>
  <c r="AK16" i="35"/>
  <c r="AJ16" i="35"/>
  <c r="AI16" i="35"/>
  <c r="AH16" i="35"/>
  <c r="AG16" i="35"/>
  <c r="AF16" i="35"/>
  <c r="AE16" i="35"/>
  <c r="AD16" i="35"/>
  <c r="AC16" i="35"/>
  <c r="AB16" i="35"/>
  <c r="AA16" i="35"/>
  <c r="Z16" i="35"/>
  <c r="Y16" i="35"/>
  <c r="X16" i="35"/>
  <c r="W16" i="35"/>
  <c r="V16" i="35"/>
  <c r="U16" i="35"/>
  <c r="T16" i="35"/>
  <c r="S16" i="35"/>
  <c r="R16" i="35"/>
  <c r="Q16" i="35"/>
  <c r="P16" i="35"/>
  <c r="O16" i="35"/>
  <c r="N16" i="35"/>
  <c r="M16" i="35"/>
  <c r="L16" i="35"/>
  <c r="K16" i="35"/>
  <c r="J16" i="35"/>
  <c r="I16" i="35"/>
  <c r="H16" i="35"/>
  <c r="G16" i="35"/>
  <c r="F16" i="35"/>
  <c r="E16" i="35"/>
  <c r="D16" i="35"/>
  <c r="C16" i="35"/>
  <c r="AZ15" i="35"/>
  <c r="AY15" i="35"/>
  <c r="AX15" i="35"/>
  <c r="AW15" i="35"/>
  <c r="AV15" i="35"/>
  <c r="AU15" i="35"/>
  <c r="AT15" i="35"/>
  <c r="AS15" i="35"/>
  <c r="AR15" i="35"/>
  <c r="AQ15" i="35"/>
  <c r="AP15" i="35"/>
  <c r="AO15" i="35"/>
  <c r="AN15" i="35"/>
  <c r="AM15" i="35"/>
  <c r="AL15" i="35"/>
  <c r="AK15" i="35"/>
  <c r="AJ15" i="35"/>
  <c r="AI15" i="35"/>
  <c r="AH15" i="35"/>
  <c r="AG15" i="35"/>
  <c r="AF15" i="35"/>
  <c r="AE15" i="35"/>
  <c r="AD15" i="35"/>
  <c r="AC15" i="35"/>
  <c r="AB15" i="35"/>
  <c r="AA15" i="35"/>
  <c r="Z15" i="35"/>
  <c r="Y15" i="35"/>
  <c r="X15" i="35"/>
  <c r="W15" i="35"/>
  <c r="V15" i="35"/>
  <c r="U15" i="35"/>
  <c r="T15" i="35"/>
  <c r="S15" i="35"/>
  <c r="R15" i="35"/>
  <c r="Q15" i="35"/>
  <c r="P15" i="35"/>
  <c r="O15" i="35"/>
  <c r="N15" i="35"/>
  <c r="M15" i="35"/>
  <c r="L15" i="35"/>
  <c r="K15" i="35"/>
  <c r="J15" i="35"/>
  <c r="I15" i="35"/>
  <c r="H15" i="35"/>
  <c r="G15" i="35"/>
  <c r="F15" i="35"/>
  <c r="E15" i="35"/>
  <c r="D15" i="35"/>
  <c r="C15" i="35"/>
  <c r="AZ14" i="35"/>
  <c r="AY14" i="35"/>
  <c r="AX14" i="35"/>
  <c r="AW14" i="35"/>
  <c r="AV14" i="35"/>
  <c r="AU14" i="35"/>
  <c r="AT14" i="35"/>
  <c r="AS14" i="35"/>
  <c r="AR14" i="35"/>
  <c r="AQ14" i="35"/>
  <c r="AP14" i="35"/>
  <c r="AO14" i="35"/>
  <c r="AN14" i="35"/>
  <c r="AM14" i="35"/>
  <c r="AL14" i="35"/>
  <c r="AK14" i="35"/>
  <c r="AJ14" i="35"/>
  <c r="AI14" i="35"/>
  <c r="AH14" i="35"/>
  <c r="AG14" i="35"/>
  <c r="AF14" i="35"/>
  <c r="AE14" i="35"/>
  <c r="AD14" i="35"/>
  <c r="AC14" i="35"/>
  <c r="AB14" i="35"/>
  <c r="AA14" i="35"/>
  <c r="Z14" i="35"/>
  <c r="Y14" i="35"/>
  <c r="X14" i="35"/>
  <c r="W14" i="35"/>
  <c r="V14" i="35"/>
  <c r="U14" i="35"/>
  <c r="T14" i="35"/>
  <c r="S14" i="35"/>
  <c r="R14" i="35"/>
  <c r="Q14" i="35"/>
  <c r="P14" i="35"/>
  <c r="O14" i="35"/>
  <c r="N14" i="35"/>
  <c r="M14" i="35"/>
  <c r="L14" i="35"/>
  <c r="K14" i="35"/>
  <c r="J14" i="35"/>
  <c r="I14" i="35"/>
  <c r="H14" i="35"/>
  <c r="G14" i="35"/>
  <c r="F14" i="35"/>
  <c r="E14" i="35"/>
  <c r="D14" i="35"/>
  <c r="C14" i="35"/>
  <c r="AZ13" i="35"/>
  <c r="AY13" i="35"/>
  <c r="AX13" i="35"/>
  <c r="AW13" i="35"/>
  <c r="AV13" i="35"/>
  <c r="AU13" i="35"/>
  <c r="AT13" i="35"/>
  <c r="AS13" i="35"/>
  <c r="AR13" i="35"/>
  <c r="AQ13" i="35"/>
  <c r="AP13" i="35"/>
  <c r="AO13" i="35"/>
  <c r="AN13" i="35"/>
  <c r="AM13" i="35"/>
  <c r="AL13" i="35"/>
  <c r="AK13" i="35"/>
  <c r="AJ13" i="35"/>
  <c r="AI13" i="35"/>
  <c r="AH13" i="35"/>
  <c r="AG13" i="35"/>
  <c r="AF13" i="35"/>
  <c r="AE13" i="35"/>
  <c r="AD13" i="35"/>
  <c r="AC13" i="35"/>
  <c r="AB13" i="35"/>
  <c r="AA13" i="35"/>
  <c r="Z13" i="35"/>
  <c r="Y13" i="35"/>
  <c r="X13" i="35"/>
  <c r="W13" i="35"/>
  <c r="V13" i="35"/>
  <c r="U13" i="35"/>
  <c r="T13" i="35"/>
  <c r="S13" i="35"/>
  <c r="R13" i="35"/>
  <c r="Q13" i="35"/>
  <c r="P13" i="35"/>
  <c r="O13" i="35"/>
  <c r="N13" i="35"/>
  <c r="M13" i="35"/>
  <c r="L13" i="35"/>
  <c r="K13" i="35"/>
  <c r="J13" i="35"/>
  <c r="I13" i="35"/>
  <c r="H13" i="35"/>
  <c r="G13" i="35"/>
  <c r="F13" i="35"/>
  <c r="E13" i="35"/>
  <c r="D13" i="35"/>
  <c r="C13" i="35"/>
  <c r="AZ12" i="35"/>
  <c r="AY12" i="35"/>
  <c r="AX12" i="35"/>
  <c r="AW12" i="35"/>
  <c r="AV12" i="35"/>
  <c r="AU12" i="35"/>
  <c r="AT12" i="35"/>
  <c r="AS12" i="35"/>
  <c r="AR12" i="35"/>
  <c r="AQ12" i="35"/>
  <c r="AP12" i="35"/>
  <c r="AO12" i="35"/>
  <c r="AN12" i="35"/>
  <c r="AM12" i="35"/>
  <c r="AL12" i="35"/>
  <c r="AK12" i="35"/>
  <c r="AJ12" i="35"/>
  <c r="AI12" i="35"/>
  <c r="AH12" i="35"/>
  <c r="AG12" i="35"/>
  <c r="AF12" i="35"/>
  <c r="AE12" i="35"/>
  <c r="AD12" i="35"/>
  <c r="AC12" i="35"/>
  <c r="AB12" i="35"/>
  <c r="AA12" i="35"/>
  <c r="Z12" i="35"/>
  <c r="Y12" i="35"/>
  <c r="X12" i="35"/>
  <c r="W12" i="35"/>
  <c r="V12" i="35"/>
  <c r="U12" i="35"/>
  <c r="T12" i="35"/>
  <c r="S12" i="35"/>
  <c r="R12" i="35"/>
  <c r="Q12" i="35"/>
  <c r="P12" i="35"/>
  <c r="O12" i="35"/>
  <c r="N12" i="35"/>
  <c r="M12" i="35"/>
  <c r="L12" i="35"/>
  <c r="K12" i="35"/>
  <c r="J12" i="35"/>
  <c r="I12" i="35"/>
  <c r="H12" i="35"/>
  <c r="G12" i="35"/>
  <c r="F12" i="35"/>
  <c r="E12" i="35"/>
  <c r="D12" i="35"/>
  <c r="C12" i="35"/>
  <c r="AZ11" i="35"/>
  <c r="AY11" i="35"/>
  <c r="AX11" i="35"/>
  <c r="AW11" i="35"/>
  <c r="AV11" i="35"/>
  <c r="AU11" i="35"/>
  <c r="AT11" i="35"/>
  <c r="AS11" i="35"/>
  <c r="AR11" i="35"/>
  <c r="AQ11" i="35"/>
  <c r="AP11" i="35"/>
  <c r="AO11" i="35"/>
  <c r="AN11" i="35"/>
  <c r="AM11" i="35"/>
  <c r="AL11" i="35"/>
  <c r="AK11" i="35"/>
  <c r="AJ11" i="35"/>
  <c r="AI11" i="35"/>
  <c r="AH11" i="35"/>
  <c r="AG11" i="35"/>
  <c r="AF11" i="35"/>
  <c r="AE11" i="35"/>
  <c r="AD11" i="35"/>
  <c r="AC11" i="35"/>
  <c r="AB11" i="35"/>
  <c r="AA11" i="35"/>
  <c r="Z11" i="35"/>
  <c r="Y11" i="35"/>
  <c r="X11" i="35"/>
  <c r="W11" i="35"/>
  <c r="V11" i="35"/>
  <c r="U11" i="35"/>
  <c r="T11" i="35"/>
  <c r="S11" i="35"/>
  <c r="R11" i="35"/>
  <c r="Q11" i="35"/>
  <c r="P11" i="35"/>
  <c r="O11" i="35"/>
  <c r="N11" i="35"/>
  <c r="M11" i="35"/>
  <c r="L11" i="35"/>
  <c r="K11" i="35"/>
  <c r="J11" i="35"/>
  <c r="I11" i="35"/>
  <c r="H11" i="35"/>
  <c r="G11" i="35"/>
  <c r="F11" i="35"/>
  <c r="E11" i="35"/>
  <c r="D11" i="35"/>
  <c r="C11" i="35"/>
  <c r="AZ10" i="35"/>
  <c r="AY10" i="35"/>
  <c r="AX10" i="35"/>
  <c r="AW10" i="35"/>
  <c r="AV10" i="35"/>
  <c r="AU10" i="35"/>
  <c r="AT10" i="35"/>
  <c r="AS10" i="35"/>
  <c r="AR10" i="35"/>
  <c r="AQ10" i="35"/>
  <c r="AP10" i="35"/>
  <c r="AO10" i="35"/>
  <c r="AN10" i="35"/>
  <c r="AM10" i="35"/>
  <c r="AL10" i="35"/>
  <c r="AK10" i="35"/>
  <c r="AJ10" i="35"/>
  <c r="AI10" i="35"/>
  <c r="AH10" i="35"/>
  <c r="AG10" i="35"/>
  <c r="AF10" i="35"/>
  <c r="AE10" i="35"/>
  <c r="AD10" i="35"/>
  <c r="AC10" i="35"/>
  <c r="AB10" i="35"/>
  <c r="AA10" i="35"/>
  <c r="Z10" i="35"/>
  <c r="Y10" i="35"/>
  <c r="X10" i="35"/>
  <c r="W10" i="35"/>
  <c r="V10" i="35"/>
  <c r="U10" i="35"/>
  <c r="T10" i="35"/>
  <c r="S10" i="35"/>
  <c r="R10" i="35"/>
  <c r="Q10" i="35"/>
  <c r="P10" i="35"/>
  <c r="O10" i="35"/>
  <c r="N10" i="35"/>
  <c r="M10" i="35"/>
  <c r="L10" i="35"/>
  <c r="K10" i="35"/>
  <c r="J10" i="35"/>
  <c r="I10" i="35"/>
  <c r="H10" i="35"/>
  <c r="G10" i="35"/>
  <c r="F10" i="35"/>
  <c r="E10" i="35"/>
  <c r="D10" i="35"/>
  <c r="C10" i="35"/>
  <c r="AZ9" i="35"/>
  <c r="AY9" i="35"/>
  <c r="AX9" i="35"/>
  <c r="AW9" i="35"/>
  <c r="AV9" i="35"/>
  <c r="AU9" i="35"/>
  <c r="AT9" i="35"/>
  <c r="AS9" i="35"/>
  <c r="AR9" i="35"/>
  <c r="AQ9" i="35"/>
  <c r="AP9" i="35"/>
  <c r="AO9" i="35"/>
  <c r="AN9" i="35"/>
  <c r="AM9" i="35"/>
  <c r="AL9" i="35"/>
  <c r="AK9" i="35"/>
  <c r="AJ9" i="35"/>
  <c r="AI9" i="35"/>
  <c r="AH9" i="35"/>
  <c r="AG9" i="35"/>
  <c r="AF9" i="35"/>
  <c r="AE9" i="35"/>
  <c r="AD9" i="35"/>
  <c r="AC9" i="35"/>
  <c r="AB9" i="35"/>
  <c r="AA9" i="35"/>
  <c r="Z9" i="35"/>
  <c r="Y9" i="35"/>
  <c r="X9" i="35"/>
  <c r="W9" i="35"/>
  <c r="V9" i="35"/>
  <c r="U9" i="35"/>
  <c r="T9" i="35"/>
  <c r="S9" i="35"/>
  <c r="R9" i="35"/>
  <c r="Q9" i="35"/>
  <c r="P9" i="35"/>
  <c r="O9" i="35"/>
  <c r="N9" i="35"/>
  <c r="M9" i="35"/>
  <c r="L9" i="35"/>
  <c r="K9" i="35"/>
  <c r="J9" i="35"/>
  <c r="I9" i="35"/>
  <c r="H9" i="35"/>
  <c r="G9" i="35"/>
  <c r="F9" i="35"/>
  <c r="E9" i="35"/>
  <c r="D9" i="35"/>
  <c r="C9" i="35"/>
  <c r="AZ8" i="35"/>
  <c r="AY8" i="35"/>
  <c r="AX8" i="35"/>
  <c r="AW8" i="35"/>
  <c r="AV8" i="35"/>
  <c r="AU8" i="35"/>
  <c r="AT8" i="35"/>
  <c r="AS8" i="35"/>
  <c r="AR8" i="35"/>
  <c r="AQ8" i="35"/>
  <c r="AP8" i="35"/>
  <c r="AO8" i="35"/>
  <c r="AN8" i="35"/>
  <c r="AM8" i="35"/>
  <c r="AL8" i="35"/>
  <c r="AK8" i="35"/>
  <c r="AJ8" i="35"/>
  <c r="AI8" i="35"/>
  <c r="AH8" i="35"/>
  <c r="AG8" i="35"/>
  <c r="AF8" i="35"/>
  <c r="AE8" i="35"/>
  <c r="AD8" i="35"/>
  <c r="AC8" i="35"/>
  <c r="AB8" i="35"/>
  <c r="AA8" i="35"/>
  <c r="Z8" i="35"/>
  <c r="Y8" i="35"/>
  <c r="X8" i="35"/>
  <c r="W8" i="35"/>
  <c r="V8" i="35"/>
  <c r="U8" i="35"/>
  <c r="T8" i="35"/>
  <c r="S8" i="35"/>
  <c r="R8" i="35"/>
  <c r="Q8" i="35"/>
  <c r="P8" i="35"/>
  <c r="O8" i="35"/>
  <c r="N8" i="35"/>
  <c r="M8" i="35"/>
  <c r="L8" i="35"/>
  <c r="K8" i="35"/>
  <c r="J8" i="35"/>
  <c r="I8" i="35"/>
  <c r="H8" i="35"/>
  <c r="G8" i="35"/>
  <c r="F8" i="35"/>
  <c r="E8" i="35"/>
  <c r="D8" i="35"/>
  <c r="C8" i="35"/>
  <c r="AZ7" i="35"/>
  <c r="AY7" i="35"/>
  <c r="AX7" i="35"/>
  <c r="AW7" i="35"/>
  <c r="AV7" i="35"/>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P7" i="35"/>
  <c r="O7" i="35"/>
  <c r="N7" i="35"/>
  <c r="M7" i="35"/>
  <c r="L7" i="35"/>
  <c r="K7" i="35"/>
  <c r="J7" i="35"/>
  <c r="I7" i="35"/>
  <c r="H7" i="35"/>
  <c r="G7" i="35"/>
  <c r="F7" i="35"/>
  <c r="E7" i="35"/>
  <c r="D7" i="35"/>
  <c r="C7" i="35"/>
  <c r="AZ6" i="35"/>
  <c r="AY6" i="35"/>
  <c r="AX6" i="35"/>
  <c r="AW6" i="35"/>
  <c r="AV6" i="35"/>
  <c r="AU6" i="35"/>
  <c r="AT6" i="35"/>
  <c r="AS6" i="35"/>
  <c r="AR6" i="35"/>
  <c r="AQ6" i="35"/>
  <c r="AP6" i="35"/>
  <c r="AO6" i="35"/>
  <c r="AN6" i="35"/>
  <c r="AM6" i="35"/>
  <c r="AL6" i="35"/>
  <c r="AK6" i="35"/>
  <c r="AJ6" i="35"/>
  <c r="AI6" i="35"/>
  <c r="AH6" i="35"/>
  <c r="AG6" i="35"/>
  <c r="AF6" i="35"/>
  <c r="AE6" i="35"/>
  <c r="AD6" i="35"/>
  <c r="AC6" i="35"/>
  <c r="AB6" i="35"/>
  <c r="AA6" i="35"/>
  <c r="Z6" i="35"/>
  <c r="Y6" i="35"/>
  <c r="X6" i="35"/>
  <c r="W6" i="35"/>
  <c r="V6" i="35"/>
  <c r="U6" i="35"/>
  <c r="T6" i="35"/>
  <c r="S6" i="35"/>
  <c r="R6" i="35"/>
  <c r="Q6" i="35"/>
  <c r="P6" i="35"/>
  <c r="O6" i="35"/>
  <c r="N6" i="35"/>
  <c r="M6" i="35"/>
  <c r="L6" i="35"/>
  <c r="K6" i="35"/>
  <c r="J6" i="35"/>
  <c r="I6" i="35"/>
  <c r="H6" i="35"/>
  <c r="G6" i="35"/>
  <c r="F6" i="35"/>
  <c r="E6" i="35"/>
  <c r="D6" i="35"/>
  <c r="C6" i="35"/>
  <c r="AZ5" i="35"/>
  <c r="AY5" i="35"/>
  <c r="AX5" i="35"/>
  <c r="AW5" i="35"/>
  <c r="AV5" i="35"/>
  <c r="AU5" i="35"/>
  <c r="AT5" i="35"/>
  <c r="AS5" i="35"/>
  <c r="AR5" i="35"/>
  <c r="AQ5" i="35"/>
  <c r="AP5" i="35"/>
  <c r="AO5" i="35"/>
  <c r="AN5" i="35"/>
  <c r="AM5" i="35"/>
  <c r="AL5" i="35"/>
  <c r="AK5" i="35"/>
  <c r="AJ5" i="35"/>
  <c r="AI5" i="35"/>
  <c r="AH5" i="35"/>
  <c r="AG5" i="35"/>
  <c r="AF5" i="35"/>
  <c r="AE5" i="35"/>
  <c r="AD5" i="35"/>
  <c r="AC5" i="35"/>
  <c r="AB5" i="35"/>
  <c r="AA5" i="35"/>
  <c r="Z5" i="35"/>
  <c r="Y5" i="35"/>
  <c r="X5" i="35"/>
  <c r="W5" i="35"/>
  <c r="V5" i="35"/>
  <c r="U5" i="35"/>
  <c r="T5" i="35"/>
  <c r="S5" i="35"/>
  <c r="R5" i="35"/>
  <c r="Q5" i="35"/>
  <c r="P5" i="35"/>
  <c r="O5" i="35"/>
  <c r="N5" i="35"/>
  <c r="M5" i="35"/>
  <c r="L5" i="35"/>
  <c r="K5" i="35"/>
  <c r="J5" i="35"/>
  <c r="I5" i="35"/>
  <c r="H5" i="35"/>
  <c r="G5" i="35"/>
  <c r="F5" i="35"/>
  <c r="E5" i="35"/>
  <c r="D5" i="35"/>
  <c r="C5" i="35"/>
  <c r="AZ4" i="35"/>
  <c r="AY4" i="35"/>
  <c r="AX4" i="35"/>
  <c r="AW4" i="35"/>
  <c r="AV4" i="35"/>
  <c r="AU4" i="35"/>
  <c r="AT4" i="35"/>
  <c r="AS4" i="35"/>
  <c r="AR4" i="35"/>
  <c r="AQ4" i="35"/>
  <c r="AP4" i="35"/>
  <c r="AO4" i="35"/>
  <c r="AN4" i="35"/>
  <c r="AM4" i="35"/>
  <c r="AL4" i="35"/>
  <c r="AK4" i="35"/>
  <c r="AJ4" i="35"/>
  <c r="AI4" i="35"/>
  <c r="AH4" i="35"/>
  <c r="AG4" i="35"/>
  <c r="AF4" i="35"/>
  <c r="AE4" i="35"/>
  <c r="AD4" i="35"/>
  <c r="AC4" i="35"/>
  <c r="AB4" i="35"/>
  <c r="AA4" i="35"/>
  <c r="Z4" i="35"/>
  <c r="Y4" i="35"/>
  <c r="X4" i="35"/>
  <c r="W4" i="35"/>
  <c r="V4" i="35"/>
  <c r="U4" i="35"/>
  <c r="T4" i="35"/>
  <c r="S4" i="35"/>
  <c r="R4" i="35"/>
  <c r="Q4" i="35"/>
  <c r="P4" i="35"/>
  <c r="O4" i="35"/>
  <c r="N4" i="35"/>
  <c r="M4" i="35"/>
  <c r="L4" i="35"/>
  <c r="K4" i="35"/>
  <c r="J4" i="35"/>
  <c r="I4" i="35"/>
  <c r="H4" i="35"/>
  <c r="G4" i="35"/>
  <c r="F4" i="35"/>
  <c r="E4" i="35"/>
  <c r="D4" i="35"/>
  <c r="C4" i="35"/>
  <c r="AZ3" i="35"/>
  <c r="AY3" i="35"/>
  <c r="AX3" i="35"/>
  <c r="AW3" i="35"/>
  <c r="AV3" i="35"/>
  <c r="AU3" i="35"/>
  <c r="AT3" i="35"/>
  <c r="AS3" i="35"/>
  <c r="AR3" i="35"/>
  <c r="AQ3" i="35"/>
  <c r="AP3" i="35"/>
  <c r="AO3" i="35"/>
  <c r="AN3" i="35"/>
  <c r="AM3" i="35"/>
  <c r="AL3" i="35"/>
  <c r="AK3" i="35"/>
  <c r="AJ3" i="35"/>
  <c r="AI3" i="35"/>
  <c r="AH3" i="35"/>
  <c r="AG3" i="35"/>
  <c r="AF3" i="35"/>
  <c r="AE3" i="35"/>
  <c r="AD3" i="35"/>
  <c r="AC3" i="35"/>
  <c r="AB3" i="35"/>
  <c r="AA3" i="35"/>
  <c r="Z3" i="35"/>
  <c r="Y3" i="35"/>
  <c r="X3" i="35"/>
  <c r="W3" i="35"/>
  <c r="V3" i="35"/>
  <c r="U3" i="35"/>
  <c r="T3" i="35"/>
  <c r="S3" i="35"/>
  <c r="R3" i="35"/>
  <c r="Q3" i="35"/>
  <c r="P3" i="35"/>
  <c r="O3" i="35"/>
  <c r="N3" i="35"/>
  <c r="M3" i="35"/>
  <c r="L3" i="35"/>
  <c r="K3" i="35"/>
  <c r="J3" i="35"/>
  <c r="I3" i="35"/>
  <c r="H3" i="35"/>
  <c r="G3" i="35"/>
  <c r="F3" i="35"/>
  <c r="E3" i="35"/>
  <c r="D3" i="35"/>
  <c r="C3" i="35"/>
  <c r="AZ2" i="35"/>
  <c r="AY2" i="35"/>
  <c r="AX2" i="35"/>
  <c r="AW2" i="35"/>
  <c r="AV2" i="35"/>
  <c r="AU2" i="35"/>
  <c r="AT2" i="35"/>
  <c r="AS2" i="35"/>
  <c r="AR2" i="35"/>
  <c r="AQ2" i="35"/>
  <c r="AP2" i="35"/>
  <c r="AO2" i="35"/>
  <c r="AN2" i="35"/>
  <c r="AM2" i="35"/>
  <c r="AL2" i="35"/>
  <c r="AK2" i="35"/>
  <c r="AJ2" i="35"/>
  <c r="AI2" i="35"/>
  <c r="AH2" i="35"/>
  <c r="AG2" i="35"/>
  <c r="AF2" i="35"/>
  <c r="AE2" i="35"/>
  <c r="AD2" i="35"/>
  <c r="AC2" i="35"/>
  <c r="AB2" i="35"/>
  <c r="AA2" i="35"/>
  <c r="Z2" i="35"/>
  <c r="Y2" i="35"/>
  <c r="X2" i="35"/>
  <c r="W2" i="35"/>
  <c r="V2" i="35"/>
  <c r="U2" i="35"/>
  <c r="T2" i="35"/>
  <c r="S2" i="35"/>
  <c r="R2" i="35"/>
  <c r="Q2" i="35"/>
  <c r="P2" i="35"/>
  <c r="O2" i="35"/>
  <c r="N2" i="35"/>
  <c r="M2" i="35"/>
  <c r="L2" i="35"/>
  <c r="K2" i="35"/>
  <c r="J2" i="35"/>
  <c r="I2" i="35"/>
  <c r="H2" i="35"/>
  <c r="G2" i="35"/>
  <c r="F2" i="35"/>
  <c r="E2" i="35"/>
  <c r="D2" i="35"/>
  <c r="C2" i="35"/>
  <c r="T25" i="35"/>
  <c r="ED27" i="18"/>
  <c r="ED76" i="18"/>
  <c r="ED18" i="18"/>
  <c r="ED75" i="18"/>
  <c r="ED12" i="18"/>
  <c r="ED74" i="18"/>
  <c r="ED7" i="18"/>
  <c r="ED73" i="18"/>
  <c r="ED16" i="18"/>
  <c r="ED72" i="18"/>
  <c r="ED29" i="18"/>
  <c r="ED71" i="18"/>
  <c r="ED20" i="18"/>
  <c r="ED70" i="18"/>
  <c r="ED24" i="18"/>
  <c r="ED69" i="18"/>
  <c r="ED9" i="18"/>
  <c r="ED68" i="18"/>
  <c r="ED5" i="18"/>
  <c r="ED67" i="18"/>
  <c r="ED17" i="18"/>
  <c r="ED66" i="18"/>
  <c r="ED21" i="18"/>
  <c r="ED65" i="18"/>
  <c r="ED25" i="18"/>
  <c r="ED64" i="18"/>
  <c r="ED62" i="18"/>
  <c r="ED61" i="18"/>
  <c r="ED60" i="18"/>
  <c r="ED59" i="18"/>
  <c r="ED58" i="18"/>
  <c r="ED57" i="18"/>
  <c r="ED56" i="18"/>
  <c r="ED55" i="18"/>
  <c r="ED54" i="18"/>
  <c r="ED53" i="18"/>
  <c r="ED52" i="18"/>
  <c r="ED51" i="18"/>
  <c r="ED50" i="18"/>
  <c r="ED23" i="18"/>
  <c r="ED49" i="18"/>
  <c r="CY30" i="38"/>
  <c r="CY29" i="38"/>
  <c r="CY28" i="38"/>
  <c r="CY27" i="38"/>
  <c r="CY26" i="38"/>
  <c r="CY25" i="38"/>
  <c r="CY24" i="38"/>
  <c r="CY23" i="38"/>
  <c r="CY22" i="38"/>
  <c r="CY21" i="38"/>
  <c r="CY20" i="38"/>
  <c r="CY19" i="38"/>
  <c r="CY18" i="38"/>
  <c r="CY17" i="38"/>
  <c r="CY16" i="38"/>
  <c r="CY15" i="38"/>
  <c r="CY14" i="38"/>
  <c r="CY13" i="38"/>
  <c r="CY12" i="38"/>
  <c r="CY11" i="38"/>
  <c r="CY10" i="38"/>
  <c r="CY9" i="38"/>
  <c r="CY8" i="38"/>
  <c r="CY7" i="38"/>
  <c r="CY6" i="38"/>
  <c r="CY5" i="38"/>
  <c r="CY4" i="38"/>
  <c r="CY3" i="38"/>
  <c r="CY2" i="38"/>
  <c r="CY76" i="38"/>
  <c r="CY75" i="38"/>
  <c r="CY74" i="38"/>
  <c r="CY73" i="38"/>
  <c r="CY72" i="38"/>
  <c r="CY71" i="38"/>
  <c r="CY70" i="38"/>
  <c r="CY69" i="38"/>
  <c r="CY68" i="38"/>
  <c r="CY67" i="38"/>
  <c r="CY66" i="38"/>
  <c r="CY65" i="38"/>
  <c r="CY64" i="38"/>
  <c r="CY63" i="38"/>
  <c r="CY62" i="38"/>
  <c r="CY61" i="38"/>
  <c r="CY60" i="38"/>
  <c r="CY59" i="38"/>
  <c r="CY58" i="38"/>
  <c r="CY57" i="38"/>
  <c r="CY56" i="38"/>
  <c r="CY55" i="38"/>
  <c r="CY54" i="38"/>
  <c r="CY53" i="38"/>
  <c r="CY52" i="38"/>
  <c r="CY51" i="38"/>
  <c r="CY50" i="38"/>
  <c r="CY49" i="38"/>
  <c r="CY48" i="38"/>
  <c r="CY47" i="38"/>
  <c r="CY46" i="38"/>
  <c r="CY45" i="38"/>
  <c r="CY44" i="38"/>
  <c r="CY43" i="38"/>
  <c r="CY42" i="38"/>
  <c r="CY41" i="38"/>
  <c r="CY40" i="38"/>
  <c r="CY39" i="38"/>
  <c r="CY38" i="38"/>
  <c r="CY37" i="38"/>
  <c r="CY36" i="38"/>
  <c r="CY35" i="38"/>
  <c r="CY34" i="38"/>
  <c r="CY33" i="38"/>
  <c r="CY32" i="38"/>
  <c r="CY31" i="38"/>
  <c r="CY27" i="18"/>
  <c r="CY76" i="18"/>
  <c r="CY75" i="18"/>
  <c r="CY74" i="18"/>
  <c r="CY73" i="18"/>
  <c r="CY72" i="18"/>
  <c r="CY29" i="18"/>
  <c r="CY71" i="18"/>
  <c r="CY70" i="18"/>
  <c r="CY69" i="18"/>
  <c r="CY68" i="18"/>
  <c r="CY67" i="18"/>
  <c r="CY66" i="18"/>
  <c r="CY65" i="18"/>
  <c r="CY25" i="18"/>
  <c r="CY64" i="18"/>
  <c r="CY63" i="18"/>
  <c r="CY62" i="18"/>
  <c r="CY61" i="18"/>
  <c r="CY60" i="18"/>
  <c r="CY59" i="18"/>
  <c r="CY58" i="18"/>
  <c r="CY57" i="18"/>
  <c r="CY56" i="18"/>
  <c r="CY55" i="18"/>
  <c r="CY54" i="18"/>
  <c r="CY53" i="18"/>
  <c r="CY52" i="18"/>
  <c r="CY51" i="18"/>
  <c r="CY50" i="18"/>
  <c r="CY49" i="18"/>
  <c r="CY48" i="18"/>
  <c r="CY6" i="18"/>
  <c r="CY47" i="18"/>
  <c r="CY10" i="18"/>
  <c r="CY46" i="18"/>
  <c r="CY45" i="18"/>
  <c r="CY15" i="18"/>
  <c r="CY44" i="18"/>
  <c r="CY28" i="18"/>
  <c r="CY43" i="18"/>
  <c r="CY19" i="18"/>
  <c r="CY42" i="18"/>
  <c r="CY8" i="18"/>
  <c r="CY41" i="18"/>
  <c r="CY4" i="18"/>
  <c r="CY40" i="18"/>
  <c r="CY11" i="18"/>
  <c r="CY39" i="18"/>
  <c r="CY2" i="18"/>
  <c r="CY38" i="18"/>
  <c r="CY22" i="18"/>
  <c r="CY37" i="18"/>
  <c r="CY26" i="18"/>
  <c r="CY36" i="18"/>
  <c r="CY30" i="18"/>
  <c r="CY35" i="18"/>
  <c r="CY14" i="18"/>
  <c r="CY34" i="18"/>
  <c r="CY13" i="18"/>
  <c r="CY33" i="18"/>
  <c r="CY3" i="18"/>
  <c r="CY32" i="18"/>
  <c r="CY31" i="18"/>
  <c r="AK27" i="17"/>
  <c r="AK76" i="17"/>
  <c r="AK18" i="17"/>
  <c r="AK75" i="17"/>
  <c r="AK12" i="17"/>
  <c r="AK74" i="17"/>
  <c r="AK7" i="17"/>
  <c r="AK73" i="17"/>
  <c r="AK16" i="17"/>
  <c r="AK72" i="17"/>
  <c r="AK29" i="17"/>
  <c r="AK71" i="17"/>
  <c r="AK20" i="17"/>
  <c r="AK70" i="17"/>
  <c r="AK69" i="17"/>
  <c r="AK9" i="17"/>
  <c r="AK68" i="17"/>
  <c r="AK5" i="17"/>
  <c r="AK67" i="17"/>
  <c r="AK17" i="17"/>
  <c r="AK66" i="17"/>
  <c r="AK21" i="17"/>
  <c r="AK65" i="17"/>
  <c r="AK25" i="17"/>
  <c r="AK64" i="17"/>
  <c r="AK63" i="17"/>
  <c r="AK62" i="17"/>
  <c r="AK61" i="17"/>
  <c r="AK60" i="17"/>
  <c r="AK59" i="17"/>
  <c r="AK58" i="17"/>
  <c r="AK57" i="17"/>
  <c r="AK56" i="17"/>
  <c r="AK55" i="17"/>
  <c r="AK54" i="17"/>
  <c r="AK53" i="17"/>
  <c r="AK52" i="17"/>
  <c r="AK51" i="17"/>
  <c r="AK50" i="17"/>
  <c r="AK23" i="17"/>
  <c r="AK49" i="17"/>
  <c r="AK48" i="17"/>
  <c r="AK6" i="17"/>
  <c r="AK47" i="17"/>
  <c r="AK10" i="17"/>
  <c r="AK46" i="17"/>
  <c r="AK45" i="17"/>
  <c r="AK15" i="17"/>
  <c r="AK44" i="17"/>
  <c r="AK28" i="17"/>
  <c r="AK43" i="17"/>
  <c r="AK19" i="17"/>
  <c r="AK42" i="17"/>
  <c r="AK8" i="17"/>
  <c r="AK41" i="17"/>
  <c r="AK4" i="17"/>
  <c r="AK40" i="17"/>
  <c r="AK11" i="17"/>
  <c r="AK39" i="17"/>
  <c r="AK2" i="17"/>
  <c r="AK38" i="17"/>
  <c r="AK22" i="17"/>
  <c r="AK37" i="17"/>
  <c r="AK26" i="17"/>
  <c r="AK36" i="17"/>
  <c r="AK30" i="17"/>
  <c r="AK35" i="17"/>
  <c r="AK14" i="17"/>
  <c r="AK34" i="17"/>
  <c r="AK13" i="17"/>
  <c r="AK33" i="17"/>
  <c r="AK3" i="17"/>
  <c r="AK32" i="17"/>
  <c r="AK31" i="17"/>
  <c r="AS76" i="32"/>
  <c r="AR76" i="32"/>
  <c r="AP76" i="32"/>
  <c r="AS75" i="32"/>
  <c r="AR75" i="32"/>
  <c r="AP75" i="32"/>
  <c r="AS74" i="32"/>
  <c r="AR74" i="32"/>
  <c r="AP74" i="32"/>
  <c r="AS73" i="32"/>
  <c r="AR73" i="32"/>
  <c r="AP73" i="32"/>
  <c r="AS72" i="32"/>
  <c r="AR72" i="32"/>
  <c r="AP72" i="32"/>
  <c r="AS71" i="32"/>
  <c r="AR71" i="32"/>
  <c r="AP71" i="32"/>
  <c r="AS70" i="32"/>
  <c r="AR70" i="32"/>
  <c r="AP70" i="32"/>
  <c r="AS69" i="32"/>
  <c r="AR69" i="32"/>
  <c r="AP69" i="32"/>
  <c r="AS68" i="32"/>
  <c r="AR68" i="32"/>
  <c r="AP68" i="32"/>
  <c r="AS67" i="32"/>
  <c r="AR67" i="32"/>
  <c r="AP67" i="32"/>
  <c r="AS66" i="32"/>
  <c r="AR66" i="32"/>
  <c r="AP66" i="32"/>
  <c r="AS65" i="32"/>
  <c r="AR65" i="32"/>
  <c r="AP65" i="32"/>
  <c r="AS64" i="32"/>
  <c r="AR64" i="32"/>
  <c r="AP64" i="32"/>
  <c r="AS62" i="32"/>
  <c r="AR62" i="32"/>
  <c r="AP62" i="32"/>
  <c r="AS61" i="32"/>
  <c r="AR61" i="32"/>
  <c r="AP61" i="32"/>
  <c r="AS60" i="32"/>
  <c r="AR60" i="32"/>
  <c r="AP60" i="32"/>
  <c r="AS59" i="32"/>
  <c r="AR59" i="32"/>
  <c r="AP59" i="32"/>
  <c r="AS58" i="32"/>
  <c r="AR58" i="32"/>
  <c r="AP58" i="32"/>
  <c r="AS57" i="32"/>
  <c r="AR57" i="32"/>
  <c r="AP57" i="32"/>
  <c r="AS56" i="32"/>
  <c r="AR56" i="32"/>
  <c r="AP56" i="32"/>
  <c r="AS55" i="32"/>
  <c r="AR55" i="32"/>
  <c r="AP55" i="32"/>
  <c r="AS54" i="32"/>
  <c r="AR54" i="32"/>
  <c r="AP54" i="32"/>
  <c r="AS53" i="32"/>
  <c r="AR53" i="32"/>
  <c r="AP53" i="32"/>
  <c r="AS52" i="32"/>
  <c r="AR52" i="32"/>
  <c r="AP52" i="32"/>
  <c r="AS51" i="32"/>
  <c r="AR51" i="32"/>
  <c r="AP51" i="32"/>
  <c r="AS50" i="32"/>
  <c r="AR50" i="32"/>
  <c r="AP50" i="32"/>
  <c r="AS49" i="32"/>
  <c r="AR49" i="32"/>
  <c r="AP49" i="32"/>
  <c r="AP6" i="32"/>
  <c r="AQ6" i="32"/>
  <c r="AR6" i="32"/>
  <c r="D6" i="43"/>
  <c r="U6" i="43"/>
  <c r="AA6" i="43"/>
  <c r="AB6" i="43"/>
  <c r="C6" i="43"/>
  <c r="AS6" i="32"/>
  <c r="AT6" i="32"/>
  <c r="AT47" i="32"/>
  <c r="AS47" i="32"/>
  <c r="AR47" i="32"/>
  <c r="AP47" i="32"/>
  <c r="AP10" i="32"/>
  <c r="AQ10" i="32"/>
  <c r="AR10" i="32"/>
  <c r="D10" i="43"/>
  <c r="U10" i="43"/>
  <c r="AA10" i="43"/>
  <c r="AB10" i="43"/>
  <c r="C10" i="43"/>
  <c r="AS10" i="32"/>
  <c r="AT10" i="32"/>
  <c r="AT46" i="32"/>
  <c r="AS46" i="32"/>
  <c r="AR46" i="32"/>
  <c r="AP46" i="32"/>
  <c r="AT44" i="32"/>
  <c r="AS44" i="32"/>
  <c r="AR44" i="32"/>
  <c r="AP44" i="32"/>
  <c r="AT43" i="32"/>
  <c r="AS43" i="32"/>
  <c r="AR43" i="32"/>
  <c r="AP43" i="32"/>
  <c r="AT42" i="32"/>
  <c r="AS42" i="32"/>
  <c r="AR42" i="32"/>
  <c r="AP42" i="32"/>
  <c r="AT41" i="32"/>
  <c r="AS41" i="32"/>
  <c r="AR41" i="32"/>
  <c r="AP41" i="32"/>
  <c r="AT40" i="32"/>
  <c r="AS40" i="32"/>
  <c r="AR40" i="32"/>
  <c r="AP40" i="32"/>
  <c r="AT39" i="32"/>
  <c r="AS39" i="32"/>
  <c r="AR39" i="32"/>
  <c r="AP39" i="32"/>
  <c r="AT38" i="32"/>
  <c r="AS38" i="32"/>
  <c r="AR38" i="32"/>
  <c r="AP38" i="32"/>
  <c r="AT37" i="32"/>
  <c r="AS37" i="32"/>
  <c r="AR37" i="32"/>
  <c r="AP37" i="32"/>
  <c r="AT36" i="32"/>
  <c r="AS36" i="32"/>
  <c r="AR36" i="32"/>
  <c r="AP36" i="32"/>
  <c r="AT35" i="32"/>
  <c r="AS35" i="32"/>
  <c r="AR35" i="32"/>
  <c r="AP35" i="32"/>
  <c r="AT34" i="32"/>
  <c r="AS34" i="32"/>
  <c r="AR34" i="32"/>
  <c r="AP34" i="32"/>
  <c r="AT33" i="32"/>
  <c r="AS33" i="32"/>
  <c r="AR33" i="32"/>
  <c r="AP33" i="32"/>
  <c r="AS32" i="32"/>
  <c r="AR32" i="32"/>
  <c r="AP32" i="32"/>
  <c r="AQ76" i="32"/>
  <c r="AT76" i="32"/>
  <c r="AQ75" i="32"/>
  <c r="AT75" i="32"/>
  <c r="AQ74" i="32"/>
  <c r="AT74" i="32"/>
  <c r="AQ73" i="32"/>
  <c r="AT73" i="32"/>
  <c r="AQ72" i="32"/>
  <c r="AT72" i="32"/>
  <c r="AQ71" i="32"/>
  <c r="AT71" i="32"/>
  <c r="AQ70" i="32"/>
  <c r="AT70" i="32"/>
  <c r="AQ69" i="32"/>
  <c r="AT69" i="32"/>
  <c r="AQ68" i="32"/>
  <c r="AT68" i="32"/>
  <c r="AQ67" i="32"/>
  <c r="AT67" i="32"/>
  <c r="AQ66" i="32"/>
  <c r="AT66" i="32"/>
  <c r="AQ65" i="32"/>
  <c r="AT65" i="32"/>
  <c r="AQ64" i="32"/>
  <c r="AT64" i="32"/>
  <c r="AQ62" i="32"/>
  <c r="AT62" i="32"/>
  <c r="AQ61" i="32"/>
  <c r="AT61" i="32"/>
  <c r="AQ60" i="32"/>
  <c r="AT60" i="32"/>
  <c r="AQ59" i="32"/>
  <c r="AT59" i="32"/>
  <c r="AQ58" i="32"/>
  <c r="AT58" i="32"/>
  <c r="AQ57" i="32"/>
  <c r="AT57" i="32"/>
  <c r="AQ56" i="32"/>
  <c r="AT56" i="32"/>
  <c r="AQ55" i="32"/>
  <c r="AT55" i="32"/>
  <c r="AQ54" i="32"/>
  <c r="AT54" i="32"/>
  <c r="AQ53" i="32"/>
  <c r="AT53" i="32"/>
  <c r="AQ52" i="32"/>
  <c r="AT52" i="32"/>
  <c r="AQ51" i="32"/>
  <c r="AT51" i="32"/>
  <c r="AQ50" i="32"/>
  <c r="AT50" i="32"/>
  <c r="AQ49" i="32"/>
  <c r="AT49" i="32"/>
  <c r="AQ32" i="32"/>
  <c r="AT32" i="32"/>
  <c r="AQ63" i="32"/>
  <c r="AQ48" i="32"/>
  <c r="AQ47" i="32"/>
  <c r="AQ46" i="32"/>
  <c r="AQ45" i="32"/>
  <c r="AQ44" i="32"/>
  <c r="AQ43" i="32"/>
  <c r="AQ42" i="32"/>
  <c r="AQ41" i="32"/>
  <c r="AQ40" i="32"/>
  <c r="AQ39" i="32"/>
  <c r="AQ38" i="32"/>
  <c r="AQ37" i="32"/>
  <c r="AQ36" i="32"/>
  <c r="AQ35" i="32"/>
  <c r="AQ34" i="32"/>
  <c r="AQ33" i="32"/>
  <c r="AQ31" i="32"/>
  <c r="AQ4" i="5"/>
  <c r="AQ5" i="5"/>
  <c r="AQ6" i="5"/>
  <c r="AQ7" i="5"/>
  <c r="AQ8" i="5"/>
  <c r="AQ9" i="5"/>
  <c r="AQ10" i="5"/>
  <c r="AQ11" i="5"/>
  <c r="AQ12" i="5"/>
  <c r="AQ13" i="5"/>
  <c r="AQ14" i="5"/>
  <c r="AQ15" i="5"/>
  <c r="AQ16" i="5"/>
  <c r="AQ17" i="5"/>
  <c r="AQ18" i="5"/>
  <c r="AQ19" i="5"/>
  <c r="AQ20" i="5"/>
  <c r="AQ21" i="5"/>
  <c r="AQ22" i="5"/>
  <c r="AQ23" i="5"/>
  <c r="AQ24" i="5"/>
  <c r="AQ25" i="5"/>
  <c r="AQ26" i="5"/>
  <c r="AQ27" i="5"/>
  <c r="AQ28" i="5"/>
  <c r="AQ29" i="5"/>
  <c r="AQ30" i="5"/>
  <c r="AQ2" i="5"/>
  <c r="AQ76" i="5"/>
  <c r="D27" i="31"/>
  <c r="U27" i="31"/>
  <c r="AA27" i="31"/>
  <c r="AB27" i="31"/>
  <c r="C27" i="31"/>
  <c r="AS27" i="5"/>
  <c r="AS76" i="5"/>
  <c r="AP27" i="5"/>
  <c r="AP76" i="5"/>
  <c r="AR27" i="5"/>
  <c r="AR76" i="5"/>
  <c r="AT76" i="5"/>
  <c r="AQ75" i="5"/>
  <c r="D18" i="31"/>
  <c r="U18" i="31"/>
  <c r="AA18" i="31"/>
  <c r="AB18" i="31"/>
  <c r="C18" i="31"/>
  <c r="AS18" i="5"/>
  <c r="AS75" i="5"/>
  <c r="AP18" i="5"/>
  <c r="AP75" i="5"/>
  <c r="AR18" i="5"/>
  <c r="AR75" i="5"/>
  <c r="AT75" i="5"/>
  <c r="AQ74" i="5"/>
  <c r="D12" i="31"/>
  <c r="U12" i="31"/>
  <c r="AA12" i="31"/>
  <c r="AB12" i="31"/>
  <c r="C12" i="31"/>
  <c r="AS12" i="5"/>
  <c r="AS74" i="5"/>
  <c r="AP12" i="5"/>
  <c r="AP74" i="5"/>
  <c r="AR12" i="5"/>
  <c r="AR74" i="5"/>
  <c r="AT74" i="5"/>
  <c r="AQ73" i="5"/>
  <c r="D7" i="31"/>
  <c r="U7" i="31"/>
  <c r="AA7" i="31"/>
  <c r="AB7" i="31"/>
  <c r="C7" i="31"/>
  <c r="AS7" i="5"/>
  <c r="AS73" i="5"/>
  <c r="AP7" i="5"/>
  <c r="AP73" i="5"/>
  <c r="AR7" i="5"/>
  <c r="AR73" i="5"/>
  <c r="AT73" i="5"/>
  <c r="AQ72" i="5"/>
  <c r="D16" i="31"/>
  <c r="U16" i="31"/>
  <c r="AA16" i="31"/>
  <c r="AB16" i="31"/>
  <c r="C16" i="31"/>
  <c r="AS16" i="5"/>
  <c r="AS72" i="5"/>
  <c r="AP16" i="5"/>
  <c r="AP72" i="5"/>
  <c r="AR16" i="5"/>
  <c r="AR72" i="5"/>
  <c r="AT72" i="5"/>
  <c r="AQ71" i="5"/>
  <c r="D29" i="31"/>
  <c r="U29" i="31"/>
  <c r="AA29" i="31"/>
  <c r="AB29" i="31"/>
  <c r="C29" i="31"/>
  <c r="AS29" i="5"/>
  <c r="AS71" i="5"/>
  <c r="AP29" i="5"/>
  <c r="AP71" i="5"/>
  <c r="AR29" i="5"/>
  <c r="AR71" i="5"/>
  <c r="AT71" i="5"/>
  <c r="AQ70" i="5"/>
  <c r="D20" i="31"/>
  <c r="U20" i="31"/>
  <c r="AA20" i="31"/>
  <c r="AB20" i="31"/>
  <c r="C20" i="31"/>
  <c r="AS20" i="5"/>
  <c r="AS70" i="5"/>
  <c r="AP20" i="5"/>
  <c r="AP70" i="5"/>
  <c r="AR20" i="5"/>
  <c r="AR70" i="5"/>
  <c r="AT70" i="5"/>
  <c r="AQ69" i="5"/>
  <c r="D24" i="31"/>
  <c r="U24" i="31"/>
  <c r="AA24" i="31"/>
  <c r="AB24" i="31"/>
  <c r="C24" i="31"/>
  <c r="AS24" i="5"/>
  <c r="AS69" i="5"/>
  <c r="AP24" i="5"/>
  <c r="AP69" i="5"/>
  <c r="AR24" i="5"/>
  <c r="AR69" i="5"/>
  <c r="AT69" i="5"/>
  <c r="AQ68" i="5"/>
  <c r="D9" i="31"/>
  <c r="U9" i="31"/>
  <c r="AA9" i="31"/>
  <c r="AB9" i="31"/>
  <c r="C9" i="31"/>
  <c r="AS9" i="5"/>
  <c r="AS68" i="5"/>
  <c r="AP9" i="5"/>
  <c r="AP68" i="5"/>
  <c r="AR9" i="5"/>
  <c r="AR68" i="5"/>
  <c r="AT68" i="5"/>
  <c r="AQ67" i="5"/>
  <c r="D5" i="31"/>
  <c r="U5" i="31"/>
  <c r="AA5" i="31"/>
  <c r="AB5" i="31"/>
  <c r="C5" i="31"/>
  <c r="AS5" i="5"/>
  <c r="AS67" i="5"/>
  <c r="AP5" i="5"/>
  <c r="AP67" i="5"/>
  <c r="AR5" i="5"/>
  <c r="AR67" i="5"/>
  <c r="AT67" i="5"/>
  <c r="AQ66" i="5"/>
  <c r="D17" i="31"/>
  <c r="U17" i="31"/>
  <c r="AA17" i="31"/>
  <c r="AB17" i="31"/>
  <c r="C17" i="31"/>
  <c r="AS17" i="5"/>
  <c r="AS66" i="5"/>
  <c r="AP17" i="5"/>
  <c r="AP66" i="5"/>
  <c r="AR17" i="5"/>
  <c r="AR66" i="5"/>
  <c r="AT66" i="5"/>
  <c r="AQ65" i="5"/>
  <c r="D21" i="31"/>
  <c r="U21" i="31"/>
  <c r="AA21" i="31"/>
  <c r="AB21" i="31"/>
  <c r="C21" i="31"/>
  <c r="AS21" i="5"/>
  <c r="AS65" i="5"/>
  <c r="AP21" i="5"/>
  <c r="AP65" i="5"/>
  <c r="AR21" i="5"/>
  <c r="AR65" i="5"/>
  <c r="AT65" i="5"/>
  <c r="AQ64" i="5"/>
  <c r="U25" i="31"/>
  <c r="D25" i="31"/>
  <c r="AA25" i="31"/>
  <c r="AB25" i="31"/>
  <c r="C25" i="31"/>
  <c r="AS25" i="5"/>
  <c r="AS64" i="5"/>
  <c r="AP25" i="5"/>
  <c r="AP64" i="5"/>
  <c r="AR25" i="5"/>
  <c r="AR64" i="5"/>
  <c r="AT64" i="5"/>
  <c r="AT63" i="5"/>
  <c r="AQ62" i="5"/>
  <c r="AS62" i="5"/>
  <c r="AP62" i="5"/>
  <c r="AR62" i="5"/>
  <c r="AT62" i="5"/>
  <c r="AQ61" i="5"/>
  <c r="AS61" i="5"/>
  <c r="AP61" i="5"/>
  <c r="AR61" i="5"/>
  <c r="AT61" i="5"/>
  <c r="AQ60" i="5"/>
  <c r="AS60" i="5"/>
  <c r="AP60" i="5"/>
  <c r="AR60" i="5"/>
  <c r="AT60" i="5"/>
  <c r="AQ59" i="5"/>
  <c r="AS59" i="5"/>
  <c r="AP59" i="5"/>
  <c r="AR59" i="5"/>
  <c r="AT59" i="5"/>
  <c r="AQ58" i="5"/>
  <c r="AS58" i="5"/>
  <c r="AP58" i="5"/>
  <c r="AR58" i="5"/>
  <c r="AT58" i="5"/>
  <c r="AQ57" i="5"/>
  <c r="AS57" i="5"/>
  <c r="AP57" i="5"/>
  <c r="AR57" i="5"/>
  <c r="AT57" i="5"/>
  <c r="AQ56" i="5"/>
  <c r="AS56" i="5"/>
  <c r="AP56" i="5"/>
  <c r="AR56" i="5"/>
  <c r="AT56" i="5"/>
  <c r="AQ55" i="5"/>
  <c r="AS55" i="5"/>
  <c r="AP55" i="5"/>
  <c r="AR55" i="5"/>
  <c r="AT55" i="5"/>
  <c r="AQ54" i="5"/>
  <c r="AS54" i="5"/>
  <c r="AP54" i="5"/>
  <c r="AR54" i="5"/>
  <c r="AT54" i="5"/>
  <c r="AQ53" i="5"/>
  <c r="AS53" i="5"/>
  <c r="AP53" i="5"/>
  <c r="AR53" i="5"/>
  <c r="AT53" i="5"/>
  <c r="AQ52" i="5"/>
  <c r="AS52" i="5"/>
  <c r="AP52" i="5"/>
  <c r="AR52" i="5"/>
  <c r="AT52" i="5"/>
  <c r="AQ51" i="5"/>
  <c r="AS51" i="5"/>
  <c r="AP51" i="5"/>
  <c r="AR51" i="5"/>
  <c r="AT51" i="5"/>
  <c r="AQ50" i="5"/>
  <c r="AS50" i="5"/>
  <c r="AP50" i="5"/>
  <c r="AR50" i="5"/>
  <c r="AT50" i="5"/>
  <c r="AQ49" i="5"/>
  <c r="D23" i="31"/>
  <c r="U23" i="31"/>
  <c r="AA23" i="31"/>
  <c r="AB23" i="31"/>
  <c r="C23" i="31"/>
  <c r="AS23" i="5"/>
  <c r="AS49" i="5"/>
  <c r="AP23" i="5"/>
  <c r="AP49" i="5"/>
  <c r="AR23" i="5"/>
  <c r="AR49" i="5"/>
  <c r="AT49" i="5"/>
  <c r="AT48" i="5"/>
  <c r="AQ47" i="5"/>
  <c r="D6" i="31"/>
  <c r="U6" i="31"/>
  <c r="AA6" i="31"/>
  <c r="AB6" i="31"/>
  <c r="C6" i="31"/>
  <c r="AS6" i="5"/>
  <c r="AS47" i="5"/>
  <c r="AP6" i="5"/>
  <c r="AP47" i="5"/>
  <c r="AR6" i="5"/>
  <c r="AR47" i="5"/>
  <c r="AT47" i="5"/>
  <c r="AQ46" i="5"/>
  <c r="D10" i="31"/>
  <c r="U10" i="31"/>
  <c r="AA10" i="31"/>
  <c r="AB10" i="31"/>
  <c r="C10" i="31"/>
  <c r="AS10" i="5"/>
  <c r="AS46" i="5"/>
  <c r="AP10" i="5"/>
  <c r="AP46" i="5"/>
  <c r="AR10" i="5"/>
  <c r="AR46" i="5"/>
  <c r="AT46" i="5"/>
  <c r="AQ44" i="5"/>
  <c r="D15" i="31"/>
  <c r="U15" i="31"/>
  <c r="AA15" i="31"/>
  <c r="AB15" i="31"/>
  <c r="C15" i="31"/>
  <c r="AS15" i="5"/>
  <c r="AS44" i="5"/>
  <c r="AP15" i="5"/>
  <c r="AP44" i="5"/>
  <c r="AR15" i="5"/>
  <c r="AR44" i="5"/>
  <c r="AT44" i="5"/>
  <c r="AQ43" i="5"/>
  <c r="D28" i="31"/>
  <c r="U28" i="31"/>
  <c r="AA28" i="31"/>
  <c r="AB28" i="31"/>
  <c r="C28" i="31"/>
  <c r="AS28" i="5"/>
  <c r="AS43" i="5"/>
  <c r="AP28" i="5"/>
  <c r="AP43" i="5"/>
  <c r="AR28" i="5"/>
  <c r="AR43" i="5"/>
  <c r="AT43" i="5"/>
  <c r="AQ42" i="5"/>
  <c r="D19" i="31"/>
  <c r="U19" i="31"/>
  <c r="AA19" i="31"/>
  <c r="AB19" i="31"/>
  <c r="C19" i="31"/>
  <c r="AS19" i="5"/>
  <c r="AS42" i="5"/>
  <c r="AP19" i="5"/>
  <c r="AP42" i="5"/>
  <c r="AR19" i="5"/>
  <c r="AR42" i="5"/>
  <c r="AT42" i="5"/>
  <c r="AQ41" i="5"/>
  <c r="D8" i="31"/>
  <c r="U8" i="31"/>
  <c r="AA8" i="31"/>
  <c r="AB8" i="31"/>
  <c r="C8" i="31"/>
  <c r="AS8" i="5"/>
  <c r="AS41" i="5"/>
  <c r="AP8" i="5"/>
  <c r="AP41" i="5"/>
  <c r="AR8" i="5"/>
  <c r="AR41" i="5"/>
  <c r="AT41" i="5"/>
  <c r="AQ40" i="5"/>
  <c r="D4" i="31"/>
  <c r="U4" i="31"/>
  <c r="AA4" i="31"/>
  <c r="AB4" i="31"/>
  <c r="C4" i="31"/>
  <c r="AS4" i="5"/>
  <c r="AS40" i="5"/>
  <c r="AP4" i="5"/>
  <c r="AP40" i="5"/>
  <c r="AR4" i="5"/>
  <c r="AR40" i="5"/>
  <c r="AT40" i="5"/>
  <c r="AQ39" i="5"/>
  <c r="D11" i="31"/>
  <c r="U11" i="31"/>
  <c r="AA11" i="31"/>
  <c r="AB11" i="31"/>
  <c r="C11" i="31"/>
  <c r="AS11" i="5"/>
  <c r="AS39" i="5"/>
  <c r="AP11" i="5"/>
  <c r="AP39" i="5"/>
  <c r="AR11" i="5"/>
  <c r="AR39" i="5"/>
  <c r="AT39" i="5"/>
  <c r="AQ38" i="5"/>
  <c r="D2" i="31"/>
  <c r="U2" i="31"/>
  <c r="AA2" i="31"/>
  <c r="AB2" i="31"/>
  <c r="C2" i="31"/>
  <c r="AS2" i="5"/>
  <c r="AS38" i="5"/>
  <c r="AP2" i="5"/>
  <c r="AP38" i="5"/>
  <c r="AR2" i="5"/>
  <c r="AR38" i="5"/>
  <c r="AT38" i="5"/>
  <c r="AQ37" i="5"/>
  <c r="D22" i="31"/>
  <c r="U22" i="31"/>
  <c r="AA22" i="31"/>
  <c r="AB22" i="31"/>
  <c r="C22" i="31"/>
  <c r="AS22" i="5"/>
  <c r="AS37" i="5"/>
  <c r="AP22" i="5"/>
  <c r="AP37" i="5"/>
  <c r="AR22" i="5"/>
  <c r="AR37" i="5"/>
  <c r="AT37" i="5"/>
  <c r="AQ36" i="5"/>
  <c r="D26" i="31"/>
  <c r="U26" i="31"/>
  <c r="AA26" i="31"/>
  <c r="AB26" i="31"/>
  <c r="C26" i="31"/>
  <c r="AS26" i="5"/>
  <c r="AS36" i="5"/>
  <c r="AP26" i="5"/>
  <c r="AP36" i="5"/>
  <c r="AR26" i="5"/>
  <c r="AR36" i="5"/>
  <c r="AT36" i="5"/>
  <c r="AQ35" i="5"/>
  <c r="D30" i="31"/>
  <c r="U30" i="31"/>
  <c r="AA30" i="31"/>
  <c r="AB30" i="31"/>
  <c r="C30" i="31"/>
  <c r="AS30" i="5"/>
  <c r="AS35" i="5"/>
  <c r="AP30" i="5"/>
  <c r="AP35" i="5"/>
  <c r="AR30" i="5"/>
  <c r="AR35" i="5"/>
  <c r="AT35" i="5"/>
  <c r="AQ34" i="5"/>
  <c r="D14" i="31"/>
  <c r="U14" i="31"/>
  <c r="AA14" i="31"/>
  <c r="AB14" i="31"/>
  <c r="C14" i="31"/>
  <c r="AS14" i="5"/>
  <c r="AS34" i="5"/>
  <c r="AP14" i="5"/>
  <c r="AP34" i="5"/>
  <c r="AR14" i="5"/>
  <c r="AR34" i="5"/>
  <c r="AT34" i="5"/>
  <c r="AQ33" i="5"/>
  <c r="D13" i="31"/>
  <c r="U13" i="31"/>
  <c r="AA13" i="31"/>
  <c r="AB13" i="31"/>
  <c r="C13" i="31"/>
  <c r="AS13" i="5"/>
  <c r="AS33" i="5"/>
  <c r="AP13" i="5"/>
  <c r="AP33" i="5"/>
  <c r="AR13" i="5"/>
  <c r="AR33" i="5"/>
  <c r="AT33" i="5"/>
  <c r="AQ32" i="5"/>
  <c r="AS32" i="5"/>
  <c r="AP32" i="5"/>
  <c r="AR32" i="5"/>
  <c r="AT32" i="5"/>
  <c r="AT31" i="5"/>
  <c r="Y49" i="4"/>
  <c r="Z49" i="4"/>
  <c r="AA49" i="4"/>
  <c r="AB49" i="4"/>
  <c r="AC49" i="4"/>
  <c r="Y50" i="4"/>
  <c r="Z50" i="4"/>
  <c r="AA50" i="4"/>
  <c r="AB50" i="4"/>
  <c r="AC50" i="4"/>
  <c r="Y51" i="4"/>
  <c r="Z51" i="4"/>
  <c r="AA51" i="4"/>
  <c r="AB51" i="4"/>
  <c r="AC51" i="4"/>
  <c r="Y52" i="4"/>
  <c r="Z52" i="4"/>
  <c r="AA52" i="4"/>
  <c r="AB52" i="4"/>
  <c r="AC52" i="4"/>
  <c r="Y53" i="4"/>
  <c r="Z53" i="4"/>
  <c r="AA53" i="4"/>
  <c r="AB53" i="4"/>
  <c r="AC53" i="4"/>
  <c r="Y54" i="4"/>
  <c r="Z54" i="4"/>
  <c r="AA54" i="4"/>
  <c r="AB54" i="4"/>
  <c r="AC54" i="4"/>
  <c r="Y55" i="4"/>
  <c r="Z55" i="4"/>
  <c r="AA55" i="4"/>
  <c r="AB55" i="4"/>
  <c r="AC55" i="4"/>
  <c r="Y56" i="4"/>
  <c r="Z56" i="4"/>
  <c r="AA56" i="4"/>
  <c r="AB56" i="4"/>
  <c r="AC56" i="4"/>
  <c r="Y57" i="4"/>
  <c r="Z57" i="4"/>
  <c r="AA57" i="4"/>
  <c r="AB57" i="4"/>
  <c r="AC57" i="4"/>
  <c r="Y58" i="4"/>
  <c r="Z58" i="4"/>
  <c r="AA58" i="4"/>
  <c r="AB58" i="4"/>
  <c r="AC58" i="4"/>
  <c r="Y59" i="4"/>
  <c r="Z59" i="4"/>
  <c r="AA59" i="4"/>
  <c r="AB59" i="4"/>
  <c r="AC59" i="4"/>
  <c r="Y60" i="4"/>
  <c r="Z60" i="4"/>
  <c r="AA60" i="4"/>
  <c r="AB60" i="4"/>
  <c r="AC60" i="4"/>
  <c r="Y61" i="4"/>
  <c r="Z61" i="4"/>
  <c r="AA61" i="4"/>
  <c r="AB61" i="4"/>
  <c r="AC61" i="4"/>
  <c r="Y62" i="4"/>
  <c r="Z62" i="4"/>
  <c r="AA62" i="4"/>
  <c r="AB62" i="4"/>
  <c r="AC62" i="4"/>
  <c r="AC48" i="4"/>
  <c r="Z32" i="4"/>
  <c r="AA32" i="4"/>
  <c r="AB32" i="4"/>
  <c r="AC32" i="4"/>
  <c r="Z33" i="4"/>
  <c r="AA33" i="4"/>
  <c r="AB33" i="4"/>
  <c r="AC33" i="4"/>
  <c r="Z34" i="4"/>
  <c r="AA34" i="4"/>
  <c r="AB34" i="4"/>
  <c r="AC34" i="4"/>
  <c r="Z35" i="4"/>
  <c r="AA35" i="4"/>
  <c r="AB35" i="4"/>
  <c r="AC35" i="4"/>
  <c r="Z36" i="4"/>
  <c r="AA36" i="4"/>
  <c r="AB36" i="4"/>
  <c r="AC36" i="4"/>
  <c r="Z37" i="4"/>
  <c r="AA37" i="4"/>
  <c r="AB37" i="4"/>
  <c r="AC37" i="4"/>
  <c r="Z38" i="4"/>
  <c r="AA38" i="4"/>
  <c r="AB38" i="4"/>
  <c r="AC38" i="4"/>
  <c r="Y39" i="4"/>
  <c r="Z39" i="4"/>
  <c r="AA39" i="4"/>
  <c r="AB39" i="4"/>
  <c r="AC39" i="4"/>
  <c r="Y40" i="4"/>
  <c r="Z40" i="4"/>
  <c r="AA40" i="4"/>
  <c r="AB40" i="4"/>
  <c r="AC40" i="4"/>
  <c r="Z41" i="4"/>
  <c r="AA41" i="4"/>
  <c r="AB41" i="4"/>
  <c r="AC41" i="4"/>
  <c r="Y42" i="4"/>
  <c r="Z42" i="4"/>
  <c r="AA42" i="4"/>
  <c r="AB42" i="4"/>
  <c r="AC42" i="4"/>
  <c r="Y43" i="4"/>
  <c r="Z43" i="4"/>
  <c r="AA43" i="4"/>
  <c r="AB43" i="4"/>
  <c r="AC43" i="4"/>
  <c r="Z44" i="4"/>
  <c r="AA44" i="4"/>
  <c r="AB44" i="4"/>
  <c r="AC44" i="4"/>
  <c r="AC31" i="4"/>
  <c r="AQ63" i="5"/>
  <c r="AQ48" i="5"/>
  <c r="AQ31" i="5"/>
  <c r="AE27" i="4"/>
  <c r="AF27" i="4"/>
  <c r="AF76" i="4"/>
  <c r="AE76" i="4"/>
  <c r="U27" i="4"/>
  <c r="V27" i="4"/>
  <c r="W27" i="4"/>
  <c r="X27" i="4"/>
  <c r="X76" i="4"/>
  <c r="U76" i="4"/>
  <c r="V76" i="4"/>
  <c r="W76" i="4"/>
  <c r="O27" i="4"/>
  <c r="T27" i="4"/>
  <c r="T76" i="4"/>
  <c r="N27" i="4"/>
  <c r="S27" i="4"/>
  <c r="S76" i="4"/>
  <c r="M27" i="4"/>
  <c r="R27" i="4"/>
  <c r="R76" i="4"/>
  <c r="L27" i="4"/>
  <c r="Q27" i="4"/>
  <c r="Q76" i="4"/>
  <c r="K27" i="4"/>
  <c r="P27" i="4"/>
  <c r="P76" i="4"/>
  <c r="O76" i="4"/>
  <c r="N76" i="4"/>
  <c r="M76" i="4"/>
  <c r="L76" i="4"/>
  <c r="K76" i="4"/>
  <c r="D27" i="4"/>
  <c r="E27" i="4"/>
  <c r="F27" i="4"/>
  <c r="G27" i="4"/>
  <c r="I27" i="4"/>
  <c r="J27" i="4"/>
  <c r="J76" i="4"/>
  <c r="D76" i="4"/>
  <c r="E76" i="4"/>
  <c r="F76" i="4"/>
  <c r="G76" i="4"/>
  <c r="I76" i="4"/>
  <c r="H27" i="4"/>
  <c r="H76" i="4"/>
  <c r="AE18" i="4"/>
  <c r="AF18" i="4"/>
  <c r="AF75" i="4"/>
  <c r="AE75" i="4"/>
  <c r="U18" i="4"/>
  <c r="V18" i="4"/>
  <c r="W18" i="4"/>
  <c r="X18" i="4"/>
  <c r="X75" i="4"/>
  <c r="U75" i="4"/>
  <c r="V75" i="4"/>
  <c r="W75" i="4"/>
  <c r="O18" i="4"/>
  <c r="T18" i="4"/>
  <c r="T75" i="4"/>
  <c r="N18" i="4"/>
  <c r="S18" i="4"/>
  <c r="S75" i="4"/>
  <c r="M18" i="4"/>
  <c r="R18" i="4"/>
  <c r="R75" i="4"/>
  <c r="L18" i="4"/>
  <c r="Q18" i="4"/>
  <c r="Q75" i="4"/>
  <c r="K18" i="4"/>
  <c r="P18" i="4"/>
  <c r="P75" i="4"/>
  <c r="O75" i="4"/>
  <c r="N75" i="4"/>
  <c r="M75" i="4"/>
  <c r="L75" i="4"/>
  <c r="K75" i="4"/>
  <c r="D18" i="4"/>
  <c r="E18" i="4"/>
  <c r="F18" i="4"/>
  <c r="G18" i="4"/>
  <c r="I18" i="4"/>
  <c r="J18" i="4"/>
  <c r="J75" i="4"/>
  <c r="D75" i="4"/>
  <c r="E75" i="4"/>
  <c r="F75" i="4"/>
  <c r="G75" i="4"/>
  <c r="I75" i="4"/>
  <c r="H18" i="4"/>
  <c r="H75" i="4"/>
  <c r="AE12" i="4"/>
  <c r="AF12" i="4"/>
  <c r="AF74" i="4"/>
  <c r="AE74" i="4"/>
  <c r="U12" i="4"/>
  <c r="V12" i="4"/>
  <c r="W12" i="4"/>
  <c r="X12" i="4"/>
  <c r="X74" i="4"/>
  <c r="U74" i="4"/>
  <c r="V74" i="4"/>
  <c r="W74" i="4"/>
  <c r="O12" i="4"/>
  <c r="T12" i="4"/>
  <c r="T74" i="4"/>
  <c r="N12" i="4"/>
  <c r="S12" i="4"/>
  <c r="S74" i="4"/>
  <c r="M12" i="4"/>
  <c r="R12" i="4"/>
  <c r="R74" i="4"/>
  <c r="L12" i="4"/>
  <c r="Q12" i="4"/>
  <c r="Q74" i="4"/>
  <c r="K12" i="4"/>
  <c r="P12" i="4"/>
  <c r="P74" i="4"/>
  <c r="O74" i="4"/>
  <c r="N74" i="4"/>
  <c r="M74" i="4"/>
  <c r="L74" i="4"/>
  <c r="K74" i="4"/>
  <c r="D12" i="4"/>
  <c r="E12" i="4"/>
  <c r="F12" i="4"/>
  <c r="G12" i="4"/>
  <c r="I12" i="4"/>
  <c r="J12" i="4"/>
  <c r="J74" i="4"/>
  <c r="D74" i="4"/>
  <c r="E74" i="4"/>
  <c r="F74" i="4"/>
  <c r="G74" i="4"/>
  <c r="I74" i="4"/>
  <c r="H12" i="4"/>
  <c r="H74" i="4"/>
  <c r="AE7" i="4"/>
  <c r="AF7" i="4"/>
  <c r="AF73" i="4"/>
  <c r="AE73" i="4"/>
  <c r="U7" i="4"/>
  <c r="V7" i="4"/>
  <c r="W7" i="4"/>
  <c r="X7" i="4"/>
  <c r="X73" i="4"/>
  <c r="U73" i="4"/>
  <c r="V73" i="4"/>
  <c r="W73" i="4"/>
  <c r="O7" i="4"/>
  <c r="T7" i="4"/>
  <c r="T73" i="4"/>
  <c r="N7" i="4"/>
  <c r="S7" i="4"/>
  <c r="S73" i="4"/>
  <c r="M7" i="4"/>
  <c r="R7" i="4"/>
  <c r="R73" i="4"/>
  <c r="L7" i="4"/>
  <c r="Q7" i="4"/>
  <c r="Q73" i="4"/>
  <c r="K7" i="4"/>
  <c r="P7" i="4"/>
  <c r="P73" i="4"/>
  <c r="O73" i="4"/>
  <c r="N73" i="4"/>
  <c r="M73" i="4"/>
  <c r="L73" i="4"/>
  <c r="K73" i="4"/>
  <c r="D7" i="4"/>
  <c r="E7" i="4"/>
  <c r="F7" i="4"/>
  <c r="G7" i="4"/>
  <c r="I7" i="4"/>
  <c r="J7" i="4"/>
  <c r="J73" i="4"/>
  <c r="D73" i="4"/>
  <c r="E73" i="4"/>
  <c r="F73" i="4"/>
  <c r="G73" i="4"/>
  <c r="I73" i="4"/>
  <c r="H7" i="4"/>
  <c r="H73" i="4"/>
  <c r="AE16" i="4"/>
  <c r="AF16" i="4"/>
  <c r="AF72" i="4"/>
  <c r="AE72" i="4"/>
  <c r="U16" i="4"/>
  <c r="V16" i="4"/>
  <c r="W16" i="4"/>
  <c r="X16" i="4"/>
  <c r="X72" i="4"/>
  <c r="U72" i="4"/>
  <c r="V72" i="4"/>
  <c r="W72" i="4"/>
  <c r="O16" i="4"/>
  <c r="T16" i="4"/>
  <c r="T72" i="4"/>
  <c r="N16" i="4"/>
  <c r="S16" i="4"/>
  <c r="S72" i="4"/>
  <c r="M16" i="4"/>
  <c r="R16" i="4"/>
  <c r="R72" i="4"/>
  <c r="L16" i="4"/>
  <c r="Q16" i="4"/>
  <c r="Q72" i="4"/>
  <c r="K16" i="4"/>
  <c r="P16" i="4"/>
  <c r="P72" i="4"/>
  <c r="O72" i="4"/>
  <c r="N72" i="4"/>
  <c r="M72" i="4"/>
  <c r="L72" i="4"/>
  <c r="K72" i="4"/>
  <c r="D16" i="4"/>
  <c r="E16" i="4"/>
  <c r="F16" i="4"/>
  <c r="G16" i="4"/>
  <c r="I16" i="4"/>
  <c r="J16" i="4"/>
  <c r="J72" i="4"/>
  <c r="D72" i="4"/>
  <c r="E72" i="4"/>
  <c r="F72" i="4"/>
  <c r="G72" i="4"/>
  <c r="I72" i="4"/>
  <c r="H16" i="4"/>
  <c r="H72" i="4"/>
  <c r="AE29" i="4"/>
  <c r="AF29" i="4"/>
  <c r="AF71" i="4"/>
  <c r="AE71" i="4"/>
  <c r="U29" i="4"/>
  <c r="V29" i="4"/>
  <c r="W29" i="4"/>
  <c r="X29" i="4"/>
  <c r="X71" i="4"/>
  <c r="U71" i="4"/>
  <c r="V71" i="4"/>
  <c r="W71" i="4"/>
  <c r="O29" i="4"/>
  <c r="T29" i="4"/>
  <c r="T71" i="4"/>
  <c r="N29" i="4"/>
  <c r="S29" i="4"/>
  <c r="S71" i="4"/>
  <c r="M29" i="4"/>
  <c r="R29" i="4"/>
  <c r="R71" i="4"/>
  <c r="L29" i="4"/>
  <c r="Q29" i="4"/>
  <c r="Q71" i="4"/>
  <c r="K29" i="4"/>
  <c r="P29" i="4"/>
  <c r="P71" i="4"/>
  <c r="O71" i="4"/>
  <c r="N71" i="4"/>
  <c r="M71" i="4"/>
  <c r="L71" i="4"/>
  <c r="K71" i="4"/>
  <c r="D29" i="4"/>
  <c r="E29" i="4"/>
  <c r="F29" i="4"/>
  <c r="G29" i="4"/>
  <c r="I29" i="4"/>
  <c r="J29" i="4"/>
  <c r="J71" i="4"/>
  <c r="D71" i="4"/>
  <c r="E71" i="4"/>
  <c r="F71" i="4"/>
  <c r="G71" i="4"/>
  <c r="I71" i="4"/>
  <c r="H29" i="4"/>
  <c r="H71" i="4"/>
  <c r="AE20" i="4"/>
  <c r="AF20" i="4"/>
  <c r="AF70" i="4"/>
  <c r="AE70" i="4"/>
  <c r="U20" i="4"/>
  <c r="V20" i="4"/>
  <c r="W20" i="4"/>
  <c r="X20" i="4"/>
  <c r="X70" i="4"/>
  <c r="U70" i="4"/>
  <c r="V70" i="4"/>
  <c r="W70" i="4"/>
  <c r="O20" i="4"/>
  <c r="T20" i="4"/>
  <c r="T70" i="4"/>
  <c r="N20" i="4"/>
  <c r="S20" i="4"/>
  <c r="S70" i="4"/>
  <c r="M20" i="4"/>
  <c r="R20" i="4"/>
  <c r="R70" i="4"/>
  <c r="L20" i="4"/>
  <c r="Q20" i="4"/>
  <c r="Q70" i="4"/>
  <c r="K20" i="4"/>
  <c r="P20" i="4"/>
  <c r="P70" i="4"/>
  <c r="O70" i="4"/>
  <c r="N70" i="4"/>
  <c r="M70" i="4"/>
  <c r="L70" i="4"/>
  <c r="K70" i="4"/>
  <c r="D20" i="4"/>
  <c r="E20" i="4"/>
  <c r="F20" i="4"/>
  <c r="G20" i="4"/>
  <c r="I20" i="4"/>
  <c r="J20" i="4"/>
  <c r="J70" i="4"/>
  <c r="D70" i="4"/>
  <c r="E70" i="4"/>
  <c r="F70" i="4"/>
  <c r="G70" i="4"/>
  <c r="I70" i="4"/>
  <c r="H20" i="4"/>
  <c r="H70" i="4"/>
  <c r="AE24" i="4"/>
  <c r="AF24" i="4"/>
  <c r="AF69" i="4"/>
  <c r="AE69" i="4"/>
  <c r="U24" i="4"/>
  <c r="V24" i="4"/>
  <c r="W24" i="4"/>
  <c r="X24" i="4"/>
  <c r="X69" i="4"/>
  <c r="U69" i="4"/>
  <c r="V69" i="4"/>
  <c r="W69" i="4"/>
  <c r="O24" i="4"/>
  <c r="T24" i="4"/>
  <c r="T69" i="4"/>
  <c r="N24" i="4"/>
  <c r="S24" i="4"/>
  <c r="S69" i="4"/>
  <c r="M24" i="4"/>
  <c r="R24" i="4"/>
  <c r="R69" i="4"/>
  <c r="L24" i="4"/>
  <c r="Q24" i="4"/>
  <c r="Q69" i="4"/>
  <c r="K24" i="4"/>
  <c r="P24" i="4"/>
  <c r="P69" i="4"/>
  <c r="O69" i="4"/>
  <c r="N69" i="4"/>
  <c r="M69" i="4"/>
  <c r="L69" i="4"/>
  <c r="K69" i="4"/>
  <c r="D24" i="4"/>
  <c r="E24" i="4"/>
  <c r="F24" i="4"/>
  <c r="G24" i="4"/>
  <c r="I24" i="4"/>
  <c r="J24" i="4"/>
  <c r="J69" i="4"/>
  <c r="D69" i="4"/>
  <c r="E69" i="4"/>
  <c r="F69" i="4"/>
  <c r="G69" i="4"/>
  <c r="I69" i="4"/>
  <c r="H24" i="4"/>
  <c r="H69" i="4"/>
  <c r="AE9" i="4"/>
  <c r="AF9" i="4"/>
  <c r="AF68" i="4"/>
  <c r="AE68" i="4"/>
  <c r="U9" i="4"/>
  <c r="V9" i="4"/>
  <c r="W9" i="4"/>
  <c r="X9" i="4"/>
  <c r="X68" i="4"/>
  <c r="U68" i="4"/>
  <c r="V68" i="4"/>
  <c r="W68" i="4"/>
  <c r="O9" i="4"/>
  <c r="T9" i="4"/>
  <c r="T68" i="4"/>
  <c r="N9" i="4"/>
  <c r="S9" i="4"/>
  <c r="S68" i="4"/>
  <c r="M9" i="4"/>
  <c r="R9" i="4"/>
  <c r="R68" i="4"/>
  <c r="L9" i="4"/>
  <c r="Q9" i="4"/>
  <c r="Q68" i="4"/>
  <c r="K9" i="4"/>
  <c r="P9" i="4"/>
  <c r="P68" i="4"/>
  <c r="O68" i="4"/>
  <c r="N68" i="4"/>
  <c r="M68" i="4"/>
  <c r="L68" i="4"/>
  <c r="K68" i="4"/>
  <c r="D9" i="4"/>
  <c r="E9" i="4"/>
  <c r="F9" i="4"/>
  <c r="G9" i="4"/>
  <c r="I9" i="4"/>
  <c r="J9" i="4"/>
  <c r="J68" i="4"/>
  <c r="D68" i="4"/>
  <c r="E68" i="4"/>
  <c r="F68" i="4"/>
  <c r="G68" i="4"/>
  <c r="I68" i="4"/>
  <c r="H9" i="4"/>
  <c r="H68" i="4"/>
  <c r="AE5" i="4"/>
  <c r="AF5" i="4"/>
  <c r="AF67" i="4"/>
  <c r="AE67" i="4"/>
  <c r="U5" i="4"/>
  <c r="V5" i="4"/>
  <c r="W5" i="4"/>
  <c r="X5" i="4"/>
  <c r="X67" i="4"/>
  <c r="U67" i="4"/>
  <c r="V67" i="4"/>
  <c r="W67" i="4"/>
  <c r="O5" i="4"/>
  <c r="T5" i="4"/>
  <c r="T67" i="4"/>
  <c r="N5" i="4"/>
  <c r="S5" i="4"/>
  <c r="S67" i="4"/>
  <c r="M5" i="4"/>
  <c r="R5" i="4"/>
  <c r="R67" i="4"/>
  <c r="L5" i="4"/>
  <c r="Q5" i="4"/>
  <c r="Q67" i="4"/>
  <c r="K5" i="4"/>
  <c r="P5" i="4"/>
  <c r="P67" i="4"/>
  <c r="O67" i="4"/>
  <c r="N67" i="4"/>
  <c r="M67" i="4"/>
  <c r="L67" i="4"/>
  <c r="K67" i="4"/>
  <c r="D5" i="4"/>
  <c r="E5" i="4"/>
  <c r="F5" i="4"/>
  <c r="G5" i="4"/>
  <c r="I5" i="4"/>
  <c r="J5" i="4"/>
  <c r="J67" i="4"/>
  <c r="D67" i="4"/>
  <c r="E67" i="4"/>
  <c r="F67" i="4"/>
  <c r="G67" i="4"/>
  <c r="I67" i="4"/>
  <c r="H5" i="4"/>
  <c r="H67" i="4"/>
  <c r="AE17" i="4"/>
  <c r="AF17" i="4"/>
  <c r="AF66" i="4"/>
  <c r="AE66" i="4"/>
  <c r="U17" i="4"/>
  <c r="V17" i="4"/>
  <c r="W17" i="4"/>
  <c r="X17" i="4"/>
  <c r="X66" i="4"/>
  <c r="U66" i="4"/>
  <c r="V66" i="4"/>
  <c r="W66" i="4"/>
  <c r="O17" i="4"/>
  <c r="T17" i="4"/>
  <c r="T66" i="4"/>
  <c r="N17" i="4"/>
  <c r="S17" i="4"/>
  <c r="S66" i="4"/>
  <c r="M17" i="4"/>
  <c r="R17" i="4"/>
  <c r="R66" i="4"/>
  <c r="L17" i="4"/>
  <c r="Q17" i="4"/>
  <c r="Q66" i="4"/>
  <c r="K17" i="4"/>
  <c r="P17" i="4"/>
  <c r="P66" i="4"/>
  <c r="O66" i="4"/>
  <c r="N66" i="4"/>
  <c r="M66" i="4"/>
  <c r="L66" i="4"/>
  <c r="K66" i="4"/>
  <c r="D17" i="4"/>
  <c r="E17" i="4"/>
  <c r="F17" i="4"/>
  <c r="G17" i="4"/>
  <c r="I17" i="4"/>
  <c r="J17" i="4"/>
  <c r="J66" i="4"/>
  <c r="D66" i="4"/>
  <c r="E66" i="4"/>
  <c r="F66" i="4"/>
  <c r="G66" i="4"/>
  <c r="I66" i="4"/>
  <c r="H17" i="4"/>
  <c r="H66" i="4"/>
  <c r="AE21" i="4"/>
  <c r="AF21" i="4"/>
  <c r="AF65" i="4"/>
  <c r="AE65" i="4"/>
  <c r="U21" i="4"/>
  <c r="V21" i="4"/>
  <c r="W21" i="4"/>
  <c r="X21" i="4"/>
  <c r="X65" i="4"/>
  <c r="U65" i="4"/>
  <c r="V65" i="4"/>
  <c r="W65" i="4"/>
  <c r="O21" i="4"/>
  <c r="T21" i="4"/>
  <c r="T65" i="4"/>
  <c r="N21" i="4"/>
  <c r="S21" i="4"/>
  <c r="S65" i="4"/>
  <c r="M21" i="4"/>
  <c r="R21" i="4"/>
  <c r="R65" i="4"/>
  <c r="L21" i="4"/>
  <c r="Q21" i="4"/>
  <c r="Q65" i="4"/>
  <c r="K21" i="4"/>
  <c r="P21" i="4"/>
  <c r="P65" i="4"/>
  <c r="O65" i="4"/>
  <c r="N65" i="4"/>
  <c r="M65" i="4"/>
  <c r="L65" i="4"/>
  <c r="K65" i="4"/>
  <c r="D21" i="4"/>
  <c r="E21" i="4"/>
  <c r="F21" i="4"/>
  <c r="G21" i="4"/>
  <c r="I21" i="4"/>
  <c r="J21" i="4"/>
  <c r="J65" i="4"/>
  <c r="D65" i="4"/>
  <c r="E65" i="4"/>
  <c r="F65" i="4"/>
  <c r="G65" i="4"/>
  <c r="I65" i="4"/>
  <c r="H21" i="4"/>
  <c r="H65" i="4"/>
  <c r="AE25" i="4"/>
  <c r="AF25" i="4"/>
  <c r="AF64" i="4"/>
  <c r="AE64" i="4"/>
  <c r="U25" i="4"/>
  <c r="V25" i="4"/>
  <c r="W25" i="4"/>
  <c r="X25" i="4"/>
  <c r="X64" i="4"/>
  <c r="U64" i="4"/>
  <c r="V64" i="4"/>
  <c r="W64" i="4"/>
  <c r="O25" i="4"/>
  <c r="T25" i="4"/>
  <c r="T64" i="4"/>
  <c r="N25" i="4"/>
  <c r="S25" i="4"/>
  <c r="S64" i="4"/>
  <c r="M25" i="4"/>
  <c r="R25" i="4"/>
  <c r="R64" i="4"/>
  <c r="L25" i="4"/>
  <c r="Q25" i="4"/>
  <c r="Q64" i="4"/>
  <c r="K25" i="4"/>
  <c r="P25" i="4"/>
  <c r="P64" i="4"/>
  <c r="O64" i="4"/>
  <c r="N64" i="4"/>
  <c r="M64" i="4"/>
  <c r="L64" i="4"/>
  <c r="K64" i="4"/>
  <c r="D25" i="4"/>
  <c r="E25" i="4"/>
  <c r="F25" i="4"/>
  <c r="G25" i="4"/>
  <c r="I25" i="4"/>
  <c r="J25" i="4"/>
  <c r="J64" i="4"/>
  <c r="D64" i="4"/>
  <c r="E64" i="4"/>
  <c r="F64" i="4"/>
  <c r="G64" i="4"/>
  <c r="I64" i="4"/>
  <c r="H25" i="4"/>
  <c r="H64" i="4"/>
  <c r="AF62" i="4"/>
  <c r="AE62" i="4"/>
  <c r="X62" i="4"/>
  <c r="U62" i="4"/>
  <c r="V62" i="4"/>
  <c r="W62" i="4"/>
  <c r="T62" i="4"/>
  <c r="S62" i="4"/>
  <c r="R62" i="4"/>
  <c r="Q62" i="4"/>
  <c r="P62" i="4"/>
  <c r="O62" i="4"/>
  <c r="N62" i="4"/>
  <c r="M62" i="4"/>
  <c r="L62" i="4"/>
  <c r="K62" i="4"/>
  <c r="J62" i="4"/>
  <c r="D62" i="4"/>
  <c r="E62" i="4"/>
  <c r="F62" i="4"/>
  <c r="G62" i="4"/>
  <c r="I62" i="4"/>
  <c r="H62" i="4"/>
  <c r="AF61" i="4"/>
  <c r="AE61" i="4"/>
  <c r="X61" i="4"/>
  <c r="U61" i="4"/>
  <c r="V61" i="4"/>
  <c r="W61" i="4"/>
  <c r="T61" i="4"/>
  <c r="S61" i="4"/>
  <c r="R61" i="4"/>
  <c r="Q61" i="4"/>
  <c r="P61" i="4"/>
  <c r="O61" i="4"/>
  <c r="N61" i="4"/>
  <c r="M61" i="4"/>
  <c r="L61" i="4"/>
  <c r="K61" i="4"/>
  <c r="J61" i="4"/>
  <c r="D61" i="4"/>
  <c r="E61" i="4"/>
  <c r="F61" i="4"/>
  <c r="G61" i="4"/>
  <c r="I61" i="4"/>
  <c r="H61" i="4"/>
  <c r="AF60" i="4"/>
  <c r="AE60" i="4"/>
  <c r="X60" i="4"/>
  <c r="U60" i="4"/>
  <c r="V60" i="4"/>
  <c r="W60" i="4"/>
  <c r="T60" i="4"/>
  <c r="S60" i="4"/>
  <c r="R60" i="4"/>
  <c r="Q60" i="4"/>
  <c r="P60" i="4"/>
  <c r="O60" i="4"/>
  <c r="N60" i="4"/>
  <c r="M60" i="4"/>
  <c r="L60" i="4"/>
  <c r="K60" i="4"/>
  <c r="J60" i="4"/>
  <c r="D60" i="4"/>
  <c r="E60" i="4"/>
  <c r="F60" i="4"/>
  <c r="G60" i="4"/>
  <c r="I60" i="4"/>
  <c r="H60" i="4"/>
  <c r="AF59" i="4"/>
  <c r="AE59" i="4"/>
  <c r="X59" i="4"/>
  <c r="U59" i="4"/>
  <c r="V59" i="4"/>
  <c r="W59" i="4"/>
  <c r="T59" i="4"/>
  <c r="S59" i="4"/>
  <c r="R59" i="4"/>
  <c r="Q59" i="4"/>
  <c r="P59" i="4"/>
  <c r="O59" i="4"/>
  <c r="N59" i="4"/>
  <c r="M59" i="4"/>
  <c r="L59" i="4"/>
  <c r="K59" i="4"/>
  <c r="J59" i="4"/>
  <c r="D59" i="4"/>
  <c r="E59" i="4"/>
  <c r="F59" i="4"/>
  <c r="G59" i="4"/>
  <c r="I59" i="4"/>
  <c r="H59" i="4"/>
  <c r="AF58" i="4"/>
  <c r="AE58" i="4"/>
  <c r="X58" i="4"/>
  <c r="U58" i="4"/>
  <c r="V58" i="4"/>
  <c r="W58" i="4"/>
  <c r="T58" i="4"/>
  <c r="S58" i="4"/>
  <c r="R58" i="4"/>
  <c r="Q58" i="4"/>
  <c r="P58" i="4"/>
  <c r="O58" i="4"/>
  <c r="N58" i="4"/>
  <c r="M58" i="4"/>
  <c r="L58" i="4"/>
  <c r="K58" i="4"/>
  <c r="J58" i="4"/>
  <c r="D58" i="4"/>
  <c r="E58" i="4"/>
  <c r="F58" i="4"/>
  <c r="G58" i="4"/>
  <c r="I58" i="4"/>
  <c r="H58" i="4"/>
  <c r="AF57" i="4"/>
  <c r="AE57" i="4"/>
  <c r="X57" i="4"/>
  <c r="U57" i="4"/>
  <c r="V57" i="4"/>
  <c r="W57" i="4"/>
  <c r="T57" i="4"/>
  <c r="S57" i="4"/>
  <c r="R57" i="4"/>
  <c r="Q57" i="4"/>
  <c r="P57" i="4"/>
  <c r="O57" i="4"/>
  <c r="N57" i="4"/>
  <c r="M57" i="4"/>
  <c r="L57" i="4"/>
  <c r="K57" i="4"/>
  <c r="J57" i="4"/>
  <c r="D57" i="4"/>
  <c r="E57" i="4"/>
  <c r="F57" i="4"/>
  <c r="G57" i="4"/>
  <c r="I57" i="4"/>
  <c r="H57" i="4"/>
  <c r="AF56" i="4"/>
  <c r="AE56" i="4"/>
  <c r="X56" i="4"/>
  <c r="U56" i="4"/>
  <c r="V56" i="4"/>
  <c r="W56" i="4"/>
  <c r="T56" i="4"/>
  <c r="S56" i="4"/>
  <c r="R56" i="4"/>
  <c r="Q56" i="4"/>
  <c r="P56" i="4"/>
  <c r="O56" i="4"/>
  <c r="N56" i="4"/>
  <c r="M56" i="4"/>
  <c r="L56" i="4"/>
  <c r="K56" i="4"/>
  <c r="J56" i="4"/>
  <c r="D56" i="4"/>
  <c r="E56" i="4"/>
  <c r="F56" i="4"/>
  <c r="G56" i="4"/>
  <c r="I56" i="4"/>
  <c r="H56" i="4"/>
  <c r="AF55" i="4"/>
  <c r="AE55" i="4"/>
  <c r="X55" i="4"/>
  <c r="U55" i="4"/>
  <c r="V55" i="4"/>
  <c r="W55" i="4"/>
  <c r="T55" i="4"/>
  <c r="S55" i="4"/>
  <c r="R55" i="4"/>
  <c r="Q55" i="4"/>
  <c r="P55" i="4"/>
  <c r="O55" i="4"/>
  <c r="N55" i="4"/>
  <c r="M55" i="4"/>
  <c r="L55" i="4"/>
  <c r="K55" i="4"/>
  <c r="J55" i="4"/>
  <c r="D55" i="4"/>
  <c r="E55" i="4"/>
  <c r="F55" i="4"/>
  <c r="G55" i="4"/>
  <c r="I55" i="4"/>
  <c r="H55" i="4"/>
  <c r="AF54" i="4"/>
  <c r="AE54" i="4"/>
  <c r="X54" i="4"/>
  <c r="U54" i="4"/>
  <c r="V54" i="4"/>
  <c r="W54" i="4"/>
  <c r="T54" i="4"/>
  <c r="S54" i="4"/>
  <c r="R54" i="4"/>
  <c r="Q54" i="4"/>
  <c r="P54" i="4"/>
  <c r="O54" i="4"/>
  <c r="N54" i="4"/>
  <c r="M54" i="4"/>
  <c r="L54" i="4"/>
  <c r="K54" i="4"/>
  <c r="J54" i="4"/>
  <c r="D54" i="4"/>
  <c r="E54" i="4"/>
  <c r="F54" i="4"/>
  <c r="G54" i="4"/>
  <c r="I54" i="4"/>
  <c r="H54" i="4"/>
  <c r="AF53" i="4"/>
  <c r="AE53" i="4"/>
  <c r="X53" i="4"/>
  <c r="U53" i="4"/>
  <c r="V53" i="4"/>
  <c r="W53" i="4"/>
  <c r="T53" i="4"/>
  <c r="S53" i="4"/>
  <c r="R53" i="4"/>
  <c r="Q53" i="4"/>
  <c r="P53" i="4"/>
  <c r="O53" i="4"/>
  <c r="N53" i="4"/>
  <c r="M53" i="4"/>
  <c r="L53" i="4"/>
  <c r="K53" i="4"/>
  <c r="J53" i="4"/>
  <c r="D53" i="4"/>
  <c r="E53" i="4"/>
  <c r="F53" i="4"/>
  <c r="G53" i="4"/>
  <c r="I53" i="4"/>
  <c r="H53" i="4"/>
  <c r="AF52" i="4"/>
  <c r="AE52" i="4"/>
  <c r="X52" i="4"/>
  <c r="U52" i="4"/>
  <c r="V52" i="4"/>
  <c r="W52" i="4"/>
  <c r="T52" i="4"/>
  <c r="S52" i="4"/>
  <c r="R52" i="4"/>
  <c r="Q52" i="4"/>
  <c r="P52" i="4"/>
  <c r="O52" i="4"/>
  <c r="N52" i="4"/>
  <c r="M52" i="4"/>
  <c r="L52" i="4"/>
  <c r="K52" i="4"/>
  <c r="J52" i="4"/>
  <c r="D52" i="4"/>
  <c r="E52" i="4"/>
  <c r="F52" i="4"/>
  <c r="G52" i="4"/>
  <c r="I52" i="4"/>
  <c r="H52" i="4"/>
  <c r="AF51" i="4"/>
  <c r="AE51" i="4"/>
  <c r="X51" i="4"/>
  <c r="U51" i="4"/>
  <c r="V51" i="4"/>
  <c r="W51" i="4"/>
  <c r="T51" i="4"/>
  <c r="S51" i="4"/>
  <c r="R51" i="4"/>
  <c r="Q51" i="4"/>
  <c r="P51" i="4"/>
  <c r="O51" i="4"/>
  <c r="N51" i="4"/>
  <c r="M51" i="4"/>
  <c r="L51" i="4"/>
  <c r="K51" i="4"/>
  <c r="J51" i="4"/>
  <c r="D51" i="4"/>
  <c r="E51" i="4"/>
  <c r="F51" i="4"/>
  <c r="G51" i="4"/>
  <c r="I51" i="4"/>
  <c r="H51" i="4"/>
  <c r="AF50" i="4"/>
  <c r="AE50" i="4"/>
  <c r="X50" i="4"/>
  <c r="U50" i="4"/>
  <c r="V50" i="4"/>
  <c r="W50" i="4"/>
  <c r="T50" i="4"/>
  <c r="S50" i="4"/>
  <c r="R50" i="4"/>
  <c r="Q50" i="4"/>
  <c r="P50" i="4"/>
  <c r="O50" i="4"/>
  <c r="N50" i="4"/>
  <c r="M50" i="4"/>
  <c r="L50" i="4"/>
  <c r="K50" i="4"/>
  <c r="J50" i="4"/>
  <c r="D50" i="4"/>
  <c r="E50" i="4"/>
  <c r="F50" i="4"/>
  <c r="G50" i="4"/>
  <c r="I50" i="4"/>
  <c r="H50" i="4"/>
  <c r="AE23" i="4"/>
  <c r="AF23" i="4"/>
  <c r="AF49" i="4"/>
  <c r="AE49" i="4"/>
  <c r="U23" i="4"/>
  <c r="V23" i="4"/>
  <c r="W23" i="4"/>
  <c r="X23" i="4"/>
  <c r="X49" i="4"/>
  <c r="U49" i="4"/>
  <c r="V49" i="4"/>
  <c r="W49" i="4"/>
  <c r="O23" i="4"/>
  <c r="T23" i="4"/>
  <c r="T49" i="4"/>
  <c r="N23" i="4"/>
  <c r="S23" i="4"/>
  <c r="S49" i="4"/>
  <c r="M23" i="4"/>
  <c r="R23" i="4"/>
  <c r="R49" i="4"/>
  <c r="L23" i="4"/>
  <c r="Q23" i="4"/>
  <c r="Q49" i="4"/>
  <c r="K23" i="4"/>
  <c r="P23" i="4"/>
  <c r="P49" i="4"/>
  <c r="O49" i="4"/>
  <c r="N49" i="4"/>
  <c r="M49" i="4"/>
  <c r="L49" i="4"/>
  <c r="K49" i="4"/>
  <c r="D23" i="4"/>
  <c r="E23" i="4"/>
  <c r="F23" i="4"/>
  <c r="G23" i="4"/>
  <c r="I23" i="4"/>
  <c r="J23" i="4"/>
  <c r="J49" i="4"/>
  <c r="D49" i="4"/>
  <c r="E49" i="4"/>
  <c r="F49" i="4"/>
  <c r="G49" i="4"/>
  <c r="I49" i="4"/>
  <c r="H23" i="4"/>
  <c r="H49" i="4"/>
  <c r="AE6" i="4"/>
  <c r="AF6" i="4"/>
  <c r="AF47" i="4"/>
  <c r="AE47" i="4"/>
  <c r="U6" i="4"/>
  <c r="V6" i="4"/>
  <c r="W6" i="4"/>
  <c r="X6" i="4"/>
  <c r="X47" i="4"/>
  <c r="U47" i="4"/>
  <c r="V47" i="4"/>
  <c r="W47" i="4"/>
  <c r="O6" i="4"/>
  <c r="T6" i="4"/>
  <c r="T47" i="4"/>
  <c r="N6" i="4"/>
  <c r="S6" i="4"/>
  <c r="S47" i="4"/>
  <c r="M6" i="4"/>
  <c r="R6" i="4"/>
  <c r="R47" i="4"/>
  <c r="L6" i="4"/>
  <c r="Q6" i="4"/>
  <c r="Q47" i="4"/>
  <c r="K6" i="4"/>
  <c r="P6" i="4"/>
  <c r="P47" i="4"/>
  <c r="O47" i="4"/>
  <c r="N47" i="4"/>
  <c r="M47" i="4"/>
  <c r="L47" i="4"/>
  <c r="K47" i="4"/>
  <c r="D6" i="4"/>
  <c r="E6" i="4"/>
  <c r="F6" i="4"/>
  <c r="G6" i="4"/>
  <c r="I6" i="4"/>
  <c r="J6" i="4"/>
  <c r="J47" i="4"/>
  <c r="D47" i="4"/>
  <c r="E47" i="4"/>
  <c r="F47" i="4"/>
  <c r="G47" i="4"/>
  <c r="I47" i="4"/>
  <c r="H6" i="4"/>
  <c r="H47" i="4"/>
  <c r="AE10" i="4"/>
  <c r="AF10" i="4"/>
  <c r="AF46" i="4"/>
  <c r="AE46" i="4"/>
  <c r="U10" i="4"/>
  <c r="V10" i="4"/>
  <c r="W10" i="4"/>
  <c r="X10" i="4"/>
  <c r="X46" i="4"/>
  <c r="U46" i="4"/>
  <c r="V46" i="4"/>
  <c r="W46" i="4"/>
  <c r="O10" i="4"/>
  <c r="T10" i="4"/>
  <c r="T46" i="4"/>
  <c r="N10" i="4"/>
  <c r="S10" i="4"/>
  <c r="S46" i="4"/>
  <c r="M10" i="4"/>
  <c r="R10" i="4"/>
  <c r="R46" i="4"/>
  <c r="L10" i="4"/>
  <c r="Q10" i="4"/>
  <c r="Q46" i="4"/>
  <c r="K10" i="4"/>
  <c r="P10" i="4"/>
  <c r="P46" i="4"/>
  <c r="O46" i="4"/>
  <c r="N46" i="4"/>
  <c r="M46" i="4"/>
  <c r="L46" i="4"/>
  <c r="K46" i="4"/>
  <c r="D10" i="4"/>
  <c r="E10" i="4"/>
  <c r="F10" i="4"/>
  <c r="G10" i="4"/>
  <c r="I10" i="4"/>
  <c r="J10" i="4"/>
  <c r="J46" i="4"/>
  <c r="D46" i="4"/>
  <c r="E46" i="4"/>
  <c r="F46" i="4"/>
  <c r="G46" i="4"/>
  <c r="I46" i="4"/>
  <c r="H10" i="4"/>
  <c r="H46" i="4"/>
  <c r="AE15" i="4"/>
  <c r="AF15" i="4"/>
  <c r="AF44" i="4"/>
  <c r="AE44" i="4"/>
  <c r="U15" i="4"/>
  <c r="V15" i="4"/>
  <c r="W15" i="4"/>
  <c r="X15" i="4"/>
  <c r="X44" i="4"/>
  <c r="U44" i="4"/>
  <c r="V44" i="4"/>
  <c r="W44" i="4"/>
  <c r="O15" i="4"/>
  <c r="T15" i="4"/>
  <c r="T44" i="4"/>
  <c r="N15" i="4"/>
  <c r="S15" i="4"/>
  <c r="S44" i="4"/>
  <c r="M15" i="4"/>
  <c r="R15" i="4"/>
  <c r="R44" i="4"/>
  <c r="L15" i="4"/>
  <c r="Q15" i="4"/>
  <c r="Q44" i="4"/>
  <c r="K15" i="4"/>
  <c r="P15" i="4"/>
  <c r="P44" i="4"/>
  <c r="O44" i="4"/>
  <c r="N44" i="4"/>
  <c r="M44" i="4"/>
  <c r="L44" i="4"/>
  <c r="K44" i="4"/>
  <c r="D15" i="4"/>
  <c r="E15" i="4"/>
  <c r="F15" i="4"/>
  <c r="G15" i="4"/>
  <c r="I15" i="4"/>
  <c r="J15" i="4"/>
  <c r="J44" i="4"/>
  <c r="D44" i="4"/>
  <c r="E44" i="4"/>
  <c r="F44" i="4"/>
  <c r="G44" i="4"/>
  <c r="I44" i="4"/>
  <c r="H15" i="4"/>
  <c r="H44" i="4"/>
  <c r="AE28" i="4"/>
  <c r="AF28" i="4"/>
  <c r="AF43" i="4"/>
  <c r="AE43" i="4"/>
  <c r="U28" i="4"/>
  <c r="V28" i="4"/>
  <c r="W28" i="4"/>
  <c r="X28" i="4"/>
  <c r="X43" i="4"/>
  <c r="U43" i="4"/>
  <c r="V43" i="4"/>
  <c r="W43" i="4"/>
  <c r="O28" i="4"/>
  <c r="T28" i="4"/>
  <c r="T43" i="4"/>
  <c r="N28" i="4"/>
  <c r="S28" i="4"/>
  <c r="S43" i="4"/>
  <c r="M28" i="4"/>
  <c r="R28" i="4"/>
  <c r="R43" i="4"/>
  <c r="L28" i="4"/>
  <c r="Q28" i="4"/>
  <c r="Q43" i="4"/>
  <c r="K28" i="4"/>
  <c r="P28" i="4"/>
  <c r="P43" i="4"/>
  <c r="O43" i="4"/>
  <c r="N43" i="4"/>
  <c r="M43" i="4"/>
  <c r="L43" i="4"/>
  <c r="K43" i="4"/>
  <c r="D28" i="4"/>
  <c r="E28" i="4"/>
  <c r="F28" i="4"/>
  <c r="G28" i="4"/>
  <c r="I28" i="4"/>
  <c r="J28" i="4"/>
  <c r="J43" i="4"/>
  <c r="D43" i="4"/>
  <c r="E43" i="4"/>
  <c r="F43" i="4"/>
  <c r="G43" i="4"/>
  <c r="I43" i="4"/>
  <c r="H28" i="4"/>
  <c r="H43" i="4"/>
  <c r="AE19" i="4"/>
  <c r="AF19" i="4"/>
  <c r="AF42" i="4"/>
  <c r="AE42" i="4"/>
  <c r="U19" i="4"/>
  <c r="V19" i="4"/>
  <c r="W19" i="4"/>
  <c r="X19" i="4"/>
  <c r="X42" i="4"/>
  <c r="U42" i="4"/>
  <c r="V42" i="4"/>
  <c r="W42" i="4"/>
  <c r="O19" i="4"/>
  <c r="T19" i="4"/>
  <c r="T42" i="4"/>
  <c r="N19" i="4"/>
  <c r="S19" i="4"/>
  <c r="S42" i="4"/>
  <c r="M19" i="4"/>
  <c r="R19" i="4"/>
  <c r="R42" i="4"/>
  <c r="L19" i="4"/>
  <c r="Q19" i="4"/>
  <c r="Q42" i="4"/>
  <c r="K19" i="4"/>
  <c r="P19" i="4"/>
  <c r="P42" i="4"/>
  <c r="O42" i="4"/>
  <c r="N42" i="4"/>
  <c r="M42" i="4"/>
  <c r="L42" i="4"/>
  <c r="K42" i="4"/>
  <c r="D19" i="4"/>
  <c r="E19" i="4"/>
  <c r="F19" i="4"/>
  <c r="G19" i="4"/>
  <c r="I19" i="4"/>
  <c r="J19" i="4"/>
  <c r="J42" i="4"/>
  <c r="D42" i="4"/>
  <c r="E42" i="4"/>
  <c r="F42" i="4"/>
  <c r="G42" i="4"/>
  <c r="I42" i="4"/>
  <c r="H19" i="4"/>
  <c r="H42" i="4"/>
  <c r="AE8" i="4"/>
  <c r="AF8" i="4"/>
  <c r="AF41" i="4"/>
  <c r="AE41" i="4"/>
  <c r="U8" i="4"/>
  <c r="V8" i="4"/>
  <c r="W8" i="4"/>
  <c r="X8" i="4"/>
  <c r="X41" i="4"/>
  <c r="U41" i="4"/>
  <c r="V41" i="4"/>
  <c r="W41" i="4"/>
  <c r="O8" i="4"/>
  <c r="T8" i="4"/>
  <c r="T41" i="4"/>
  <c r="N8" i="4"/>
  <c r="S8" i="4"/>
  <c r="S41" i="4"/>
  <c r="M8" i="4"/>
  <c r="R8" i="4"/>
  <c r="R41" i="4"/>
  <c r="L8" i="4"/>
  <c r="Q8" i="4"/>
  <c r="Q41" i="4"/>
  <c r="K8" i="4"/>
  <c r="P8" i="4"/>
  <c r="P41" i="4"/>
  <c r="O41" i="4"/>
  <c r="N41" i="4"/>
  <c r="M41" i="4"/>
  <c r="L41" i="4"/>
  <c r="K41" i="4"/>
  <c r="D8" i="4"/>
  <c r="E8" i="4"/>
  <c r="F8" i="4"/>
  <c r="G8" i="4"/>
  <c r="I8" i="4"/>
  <c r="J8" i="4"/>
  <c r="J41" i="4"/>
  <c r="D41" i="4"/>
  <c r="E41" i="4"/>
  <c r="F41" i="4"/>
  <c r="G41" i="4"/>
  <c r="I41" i="4"/>
  <c r="H8" i="4"/>
  <c r="H41" i="4"/>
  <c r="AE4" i="4"/>
  <c r="AF4" i="4"/>
  <c r="AF40" i="4"/>
  <c r="AE40" i="4"/>
  <c r="U4" i="4"/>
  <c r="V4" i="4"/>
  <c r="W4" i="4"/>
  <c r="X4" i="4"/>
  <c r="X40" i="4"/>
  <c r="U40" i="4"/>
  <c r="V40" i="4"/>
  <c r="W40" i="4"/>
  <c r="O4" i="4"/>
  <c r="T4" i="4"/>
  <c r="T40" i="4"/>
  <c r="N4" i="4"/>
  <c r="S4" i="4"/>
  <c r="S40" i="4"/>
  <c r="M4" i="4"/>
  <c r="R4" i="4"/>
  <c r="R40" i="4"/>
  <c r="L4" i="4"/>
  <c r="Q4" i="4"/>
  <c r="Q40" i="4"/>
  <c r="K4" i="4"/>
  <c r="P4" i="4"/>
  <c r="P40" i="4"/>
  <c r="O40" i="4"/>
  <c r="N40" i="4"/>
  <c r="M40" i="4"/>
  <c r="L40" i="4"/>
  <c r="K40" i="4"/>
  <c r="D4" i="4"/>
  <c r="E4" i="4"/>
  <c r="F4" i="4"/>
  <c r="G4" i="4"/>
  <c r="I4" i="4"/>
  <c r="J4" i="4"/>
  <c r="J40" i="4"/>
  <c r="D40" i="4"/>
  <c r="E40" i="4"/>
  <c r="F40" i="4"/>
  <c r="G40" i="4"/>
  <c r="I40" i="4"/>
  <c r="H4" i="4"/>
  <c r="H40" i="4"/>
  <c r="AE11" i="4"/>
  <c r="AF11" i="4"/>
  <c r="AF39" i="4"/>
  <c r="AE39" i="4"/>
  <c r="U11" i="4"/>
  <c r="V11" i="4"/>
  <c r="W11" i="4"/>
  <c r="X11" i="4"/>
  <c r="X39" i="4"/>
  <c r="U39" i="4"/>
  <c r="V39" i="4"/>
  <c r="W39" i="4"/>
  <c r="O11" i="4"/>
  <c r="T11" i="4"/>
  <c r="T39" i="4"/>
  <c r="N11" i="4"/>
  <c r="S11" i="4"/>
  <c r="S39" i="4"/>
  <c r="M11" i="4"/>
  <c r="R11" i="4"/>
  <c r="R39" i="4"/>
  <c r="L11" i="4"/>
  <c r="Q11" i="4"/>
  <c r="Q39" i="4"/>
  <c r="K11" i="4"/>
  <c r="P11" i="4"/>
  <c r="P39" i="4"/>
  <c r="O39" i="4"/>
  <c r="N39" i="4"/>
  <c r="M39" i="4"/>
  <c r="L39" i="4"/>
  <c r="K39" i="4"/>
  <c r="D11" i="4"/>
  <c r="E11" i="4"/>
  <c r="F11" i="4"/>
  <c r="G11" i="4"/>
  <c r="I11" i="4"/>
  <c r="J11" i="4"/>
  <c r="J39" i="4"/>
  <c r="D39" i="4"/>
  <c r="E39" i="4"/>
  <c r="F39" i="4"/>
  <c r="G39" i="4"/>
  <c r="I39" i="4"/>
  <c r="H11" i="4"/>
  <c r="H39" i="4"/>
  <c r="AE2" i="4"/>
  <c r="AF2" i="4"/>
  <c r="AF38" i="4"/>
  <c r="AE38" i="4"/>
  <c r="U2" i="4"/>
  <c r="V2" i="4"/>
  <c r="W2" i="4"/>
  <c r="X2" i="4"/>
  <c r="X38" i="4"/>
  <c r="U38" i="4"/>
  <c r="V38" i="4"/>
  <c r="W38" i="4"/>
  <c r="O2" i="4"/>
  <c r="T2" i="4"/>
  <c r="T38" i="4"/>
  <c r="N2" i="4"/>
  <c r="S2" i="4"/>
  <c r="S38" i="4"/>
  <c r="M2" i="4"/>
  <c r="R2" i="4"/>
  <c r="R38" i="4"/>
  <c r="L2" i="4"/>
  <c r="Q2" i="4"/>
  <c r="Q38" i="4"/>
  <c r="K2" i="4"/>
  <c r="P2" i="4"/>
  <c r="P38" i="4"/>
  <c r="O38" i="4"/>
  <c r="N38" i="4"/>
  <c r="M38" i="4"/>
  <c r="L38" i="4"/>
  <c r="K38" i="4"/>
  <c r="D2" i="4"/>
  <c r="E2" i="4"/>
  <c r="F2" i="4"/>
  <c r="G2" i="4"/>
  <c r="I2" i="4"/>
  <c r="J2" i="4"/>
  <c r="J38" i="4"/>
  <c r="D38" i="4"/>
  <c r="E38" i="4"/>
  <c r="F38" i="4"/>
  <c r="G38" i="4"/>
  <c r="I38" i="4"/>
  <c r="H2" i="4"/>
  <c r="H38" i="4"/>
  <c r="AE22" i="4"/>
  <c r="AF22" i="4"/>
  <c r="AF37" i="4"/>
  <c r="AE37" i="4"/>
  <c r="U22" i="4"/>
  <c r="V22" i="4"/>
  <c r="W22" i="4"/>
  <c r="X22" i="4"/>
  <c r="X37" i="4"/>
  <c r="U37" i="4"/>
  <c r="V37" i="4"/>
  <c r="W37" i="4"/>
  <c r="O22" i="4"/>
  <c r="T22" i="4"/>
  <c r="T37" i="4"/>
  <c r="N22" i="4"/>
  <c r="S22" i="4"/>
  <c r="S37" i="4"/>
  <c r="M22" i="4"/>
  <c r="R22" i="4"/>
  <c r="R37" i="4"/>
  <c r="L22" i="4"/>
  <c r="Q22" i="4"/>
  <c r="Q37" i="4"/>
  <c r="K22" i="4"/>
  <c r="P22" i="4"/>
  <c r="P37" i="4"/>
  <c r="O37" i="4"/>
  <c r="N37" i="4"/>
  <c r="M37" i="4"/>
  <c r="L37" i="4"/>
  <c r="K37" i="4"/>
  <c r="D22" i="4"/>
  <c r="E22" i="4"/>
  <c r="F22" i="4"/>
  <c r="G22" i="4"/>
  <c r="I22" i="4"/>
  <c r="J22" i="4"/>
  <c r="J37" i="4"/>
  <c r="D37" i="4"/>
  <c r="E37" i="4"/>
  <c r="F37" i="4"/>
  <c r="G37" i="4"/>
  <c r="I37" i="4"/>
  <c r="H22" i="4"/>
  <c r="H37" i="4"/>
  <c r="AE26" i="4"/>
  <c r="AF26" i="4"/>
  <c r="AF36" i="4"/>
  <c r="AE36" i="4"/>
  <c r="U26" i="4"/>
  <c r="V26" i="4"/>
  <c r="W26" i="4"/>
  <c r="X26" i="4"/>
  <c r="X36" i="4"/>
  <c r="U36" i="4"/>
  <c r="V36" i="4"/>
  <c r="W36" i="4"/>
  <c r="O26" i="4"/>
  <c r="T26" i="4"/>
  <c r="T36" i="4"/>
  <c r="N26" i="4"/>
  <c r="S26" i="4"/>
  <c r="S36" i="4"/>
  <c r="M26" i="4"/>
  <c r="R26" i="4"/>
  <c r="R36" i="4"/>
  <c r="L26" i="4"/>
  <c r="Q26" i="4"/>
  <c r="Q36" i="4"/>
  <c r="K26" i="4"/>
  <c r="P26" i="4"/>
  <c r="P36" i="4"/>
  <c r="O36" i="4"/>
  <c r="N36" i="4"/>
  <c r="M36" i="4"/>
  <c r="L36" i="4"/>
  <c r="K36" i="4"/>
  <c r="D26" i="4"/>
  <c r="E26" i="4"/>
  <c r="F26" i="4"/>
  <c r="G26" i="4"/>
  <c r="I26" i="4"/>
  <c r="J26" i="4"/>
  <c r="J36" i="4"/>
  <c r="D36" i="4"/>
  <c r="E36" i="4"/>
  <c r="F36" i="4"/>
  <c r="G36" i="4"/>
  <c r="I36" i="4"/>
  <c r="H26" i="4"/>
  <c r="H36" i="4"/>
  <c r="AE30" i="4"/>
  <c r="AF30" i="4"/>
  <c r="AF35" i="4"/>
  <c r="AE35" i="4"/>
  <c r="U30" i="4"/>
  <c r="V30" i="4"/>
  <c r="W30" i="4"/>
  <c r="X30" i="4"/>
  <c r="X35" i="4"/>
  <c r="U35" i="4"/>
  <c r="V35" i="4"/>
  <c r="W35" i="4"/>
  <c r="O30" i="4"/>
  <c r="T30" i="4"/>
  <c r="T35" i="4"/>
  <c r="N30" i="4"/>
  <c r="S30" i="4"/>
  <c r="S35" i="4"/>
  <c r="M30" i="4"/>
  <c r="R30" i="4"/>
  <c r="R35" i="4"/>
  <c r="L30" i="4"/>
  <c r="Q30" i="4"/>
  <c r="Q35" i="4"/>
  <c r="K30" i="4"/>
  <c r="P30" i="4"/>
  <c r="P35" i="4"/>
  <c r="O35" i="4"/>
  <c r="N35" i="4"/>
  <c r="M35" i="4"/>
  <c r="L35" i="4"/>
  <c r="K35" i="4"/>
  <c r="D30" i="4"/>
  <c r="E30" i="4"/>
  <c r="F30" i="4"/>
  <c r="G30" i="4"/>
  <c r="I30" i="4"/>
  <c r="J30" i="4"/>
  <c r="J35" i="4"/>
  <c r="D35" i="4"/>
  <c r="E35" i="4"/>
  <c r="F35" i="4"/>
  <c r="G35" i="4"/>
  <c r="I35" i="4"/>
  <c r="H30" i="4"/>
  <c r="H35" i="4"/>
  <c r="AE14" i="4"/>
  <c r="AF14" i="4"/>
  <c r="AF34" i="4"/>
  <c r="AE34" i="4"/>
  <c r="U14" i="4"/>
  <c r="V14" i="4"/>
  <c r="W14" i="4"/>
  <c r="X14" i="4"/>
  <c r="X34" i="4"/>
  <c r="U34" i="4"/>
  <c r="V34" i="4"/>
  <c r="W34" i="4"/>
  <c r="O14" i="4"/>
  <c r="T14" i="4"/>
  <c r="T34" i="4"/>
  <c r="N14" i="4"/>
  <c r="S14" i="4"/>
  <c r="S34" i="4"/>
  <c r="M14" i="4"/>
  <c r="R14" i="4"/>
  <c r="R34" i="4"/>
  <c r="L14" i="4"/>
  <c r="Q14" i="4"/>
  <c r="Q34" i="4"/>
  <c r="K14" i="4"/>
  <c r="P14" i="4"/>
  <c r="P34" i="4"/>
  <c r="O34" i="4"/>
  <c r="N34" i="4"/>
  <c r="M34" i="4"/>
  <c r="L34" i="4"/>
  <c r="K34" i="4"/>
  <c r="D14" i="4"/>
  <c r="E14" i="4"/>
  <c r="F14" i="4"/>
  <c r="G14" i="4"/>
  <c r="I14" i="4"/>
  <c r="J14" i="4"/>
  <c r="J34" i="4"/>
  <c r="D34" i="4"/>
  <c r="E34" i="4"/>
  <c r="F34" i="4"/>
  <c r="G34" i="4"/>
  <c r="I34" i="4"/>
  <c r="H14" i="4"/>
  <c r="H34" i="4"/>
  <c r="AE13" i="4"/>
  <c r="AF13" i="4"/>
  <c r="AF33" i="4"/>
  <c r="AE33" i="4"/>
  <c r="U13" i="4"/>
  <c r="V13" i="4"/>
  <c r="W13" i="4"/>
  <c r="X13" i="4"/>
  <c r="X33" i="4"/>
  <c r="U33" i="4"/>
  <c r="V33" i="4"/>
  <c r="W33" i="4"/>
  <c r="O13" i="4"/>
  <c r="T13" i="4"/>
  <c r="T33" i="4"/>
  <c r="N13" i="4"/>
  <c r="S13" i="4"/>
  <c r="S33" i="4"/>
  <c r="M13" i="4"/>
  <c r="R13" i="4"/>
  <c r="R33" i="4"/>
  <c r="L13" i="4"/>
  <c r="Q13" i="4"/>
  <c r="Q33" i="4"/>
  <c r="K13" i="4"/>
  <c r="P13" i="4"/>
  <c r="P33" i="4"/>
  <c r="O33" i="4"/>
  <c r="N33" i="4"/>
  <c r="M33" i="4"/>
  <c r="L33" i="4"/>
  <c r="K33" i="4"/>
  <c r="D13" i="4"/>
  <c r="E13" i="4"/>
  <c r="F13" i="4"/>
  <c r="G13" i="4"/>
  <c r="I13" i="4"/>
  <c r="J13" i="4"/>
  <c r="J33" i="4"/>
  <c r="D33" i="4"/>
  <c r="E33" i="4"/>
  <c r="F33" i="4"/>
  <c r="G33" i="4"/>
  <c r="I33" i="4"/>
  <c r="H13" i="4"/>
  <c r="H33" i="4"/>
  <c r="AE3" i="4"/>
  <c r="AF3" i="4"/>
  <c r="AF32" i="4"/>
  <c r="AE32" i="4"/>
  <c r="U3" i="4"/>
  <c r="V3" i="4"/>
  <c r="W3" i="4"/>
  <c r="X3" i="4"/>
  <c r="X32" i="4"/>
  <c r="U32" i="4"/>
  <c r="V32" i="4"/>
  <c r="W32" i="4"/>
  <c r="O3" i="4"/>
  <c r="T3" i="4"/>
  <c r="T32" i="4"/>
  <c r="N3" i="4"/>
  <c r="S3" i="4"/>
  <c r="S32" i="4"/>
  <c r="M3" i="4"/>
  <c r="R3" i="4"/>
  <c r="R32" i="4"/>
  <c r="L3" i="4"/>
  <c r="Q3" i="4"/>
  <c r="Q32" i="4"/>
  <c r="K3" i="4"/>
  <c r="P3" i="4"/>
  <c r="P32" i="4"/>
  <c r="O32" i="4"/>
  <c r="N32" i="4"/>
  <c r="M32" i="4"/>
  <c r="L32" i="4"/>
  <c r="K32" i="4"/>
  <c r="D3" i="4"/>
  <c r="E3" i="4"/>
  <c r="F3" i="4"/>
  <c r="G3" i="4"/>
  <c r="I3" i="4"/>
  <c r="J3" i="4"/>
  <c r="J32" i="4"/>
  <c r="D32" i="4"/>
  <c r="E32" i="4"/>
  <c r="F32" i="4"/>
  <c r="G32" i="4"/>
  <c r="I32" i="4"/>
  <c r="H3" i="4"/>
  <c r="H32" i="4"/>
  <c r="AE45" i="4"/>
  <c r="W45" i="4"/>
  <c r="V45" i="4"/>
  <c r="U45" i="4"/>
  <c r="O45" i="4"/>
  <c r="N45" i="4"/>
  <c r="M45" i="4"/>
  <c r="L45" i="4"/>
  <c r="K45" i="4"/>
  <c r="I45" i="4"/>
  <c r="H45" i="4"/>
  <c r="G45" i="4"/>
  <c r="F45" i="4"/>
  <c r="E45" i="4"/>
  <c r="D45" i="4"/>
  <c r="AD27" i="4"/>
  <c r="AD76" i="4"/>
  <c r="AD18" i="4"/>
  <c r="AD75" i="4"/>
  <c r="AD12" i="4"/>
  <c r="AD74" i="4"/>
  <c r="AD7" i="4"/>
  <c r="AD73" i="4"/>
  <c r="AD16" i="4"/>
  <c r="AD72" i="4"/>
  <c r="AD29" i="4"/>
  <c r="AD71" i="4"/>
  <c r="AD20" i="4"/>
  <c r="AD70" i="4"/>
  <c r="AD24" i="4"/>
  <c r="AD69" i="4"/>
  <c r="AD9" i="4"/>
  <c r="AD68" i="4"/>
  <c r="AD5" i="4"/>
  <c r="AD67" i="4"/>
  <c r="AD17" i="4"/>
  <c r="AD66" i="4"/>
  <c r="AD21" i="4"/>
  <c r="AD65" i="4"/>
  <c r="AD25" i="4"/>
  <c r="AD64" i="4"/>
  <c r="AD62" i="4"/>
  <c r="AD61" i="4"/>
  <c r="AD60" i="4"/>
  <c r="AD59" i="4"/>
  <c r="AD58" i="4"/>
  <c r="AD57" i="4"/>
  <c r="AD56" i="4"/>
  <c r="AD55" i="4"/>
  <c r="AD54" i="4"/>
  <c r="AD53" i="4"/>
  <c r="AD52" i="4"/>
  <c r="AD51" i="4"/>
  <c r="AD50" i="4"/>
  <c r="AD23" i="4"/>
  <c r="AD49" i="4"/>
  <c r="AD6" i="4"/>
  <c r="AD47" i="4"/>
  <c r="AC10" i="4"/>
  <c r="AD10" i="4"/>
  <c r="AD46" i="4"/>
  <c r="AD15" i="4"/>
  <c r="AD44" i="4"/>
  <c r="AD28" i="4"/>
  <c r="AD43" i="4"/>
  <c r="AD19" i="4"/>
  <c r="AD42" i="4"/>
  <c r="AD8" i="4"/>
  <c r="AD41" i="4"/>
  <c r="AD4" i="4"/>
  <c r="AD40" i="4"/>
  <c r="AD11" i="4"/>
  <c r="AD39" i="4"/>
  <c r="AD2" i="4"/>
  <c r="AD38" i="4"/>
  <c r="AD22" i="4"/>
  <c r="AD37" i="4"/>
  <c r="AD26" i="4"/>
  <c r="AD36" i="4"/>
  <c r="AD30" i="4"/>
  <c r="AD35" i="4"/>
  <c r="AD14" i="4"/>
  <c r="AD34" i="4"/>
  <c r="AD13" i="4"/>
  <c r="AD33" i="4"/>
  <c r="AD3" i="4"/>
  <c r="AD32" i="4"/>
  <c r="Z76" i="4"/>
  <c r="Z75" i="4"/>
  <c r="Y76" i="4"/>
  <c r="AA76" i="4"/>
  <c r="AB76" i="4"/>
  <c r="AC76" i="4"/>
  <c r="Y75" i="4"/>
  <c r="AA75" i="4"/>
  <c r="AB75" i="4"/>
  <c r="AC75" i="4"/>
  <c r="Z74" i="4"/>
  <c r="Z73" i="4"/>
  <c r="Z72" i="4"/>
  <c r="Z71" i="4"/>
  <c r="Z70" i="4"/>
  <c r="Z69" i="4"/>
  <c r="Z68" i="4"/>
  <c r="Z67" i="4"/>
  <c r="Z66" i="4"/>
  <c r="Z65" i="4"/>
  <c r="Z64" i="4"/>
  <c r="AB74" i="4"/>
  <c r="AA74" i="4"/>
  <c r="Y74" i="4"/>
  <c r="AB73" i="4"/>
  <c r="AA73" i="4"/>
  <c r="Y73" i="4"/>
  <c r="AB72" i="4"/>
  <c r="AA72" i="4"/>
  <c r="Y72" i="4"/>
  <c r="AB71" i="4"/>
  <c r="AA71" i="4"/>
  <c r="Y71" i="4"/>
  <c r="AB70" i="4"/>
  <c r="AA70" i="4"/>
  <c r="Y70" i="4"/>
  <c r="AB69" i="4"/>
  <c r="AA69" i="4"/>
  <c r="Y69" i="4"/>
  <c r="AB68" i="4"/>
  <c r="AA68" i="4"/>
  <c r="Y68" i="4"/>
  <c r="AB67" i="4"/>
  <c r="AA67" i="4"/>
  <c r="Y67" i="4"/>
  <c r="AB66" i="4"/>
  <c r="AA66" i="4"/>
  <c r="Y66" i="4"/>
  <c r="AB65" i="4"/>
  <c r="AA65" i="4"/>
  <c r="Y65" i="4"/>
  <c r="AB64" i="4"/>
  <c r="AA64" i="4"/>
  <c r="Y64" i="4"/>
  <c r="AC74" i="4"/>
  <c r="AC73" i="4"/>
  <c r="AC72" i="4"/>
  <c r="AC71" i="4"/>
  <c r="AC70" i="4"/>
  <c r="AC69" i="4"/>
  <c r="AC68" i="4"/>
  <c r="AC67" i="4"/>
  <c r="AC66" i="4"/>
  <c r="AC65" i="4"/>
  <c r="AC64" i="4"/>
  <c r="AC50" i="31"/>
  <c r="AX50" i="5"/>
  <c r="AC51" i="31"/>
  <c r="AX51" i="5"/>
  <c r="AC52" i="31"/>
  <c r="AX52" i="5"/>
  <c r="AC53" i="31"/>
  <c r="AX53" i="5"/>
  <c r="AC54" i="31"/>
  <c r="AX54" i="5"/>
  <c r="AC55" i="31"/>
  <c r="AX55" i="5"/>
  <c r="AC56" i="31"/>
  <c r="AX56" i="5"/>
  <c r="AC57" i="31"/>
  <c r="AX57" i="5"/>
  <c r="AC58" i="31"/>
  <c r="AX58" i="5"/>
  <c r="AC59" i="31"/>
  <c r="AX59" i="5"/>
  <c r="AC60" i="31"/>
  <c r="AX60" i="5"/>
  <c r="AC61" i="31"/>
  <c r="AX61" i="5"/>
  <c r="AC62" i="31"/>
  <c r="AX62" i="5"/>
  <c r="BB48" i="5"/>
  <c r="F31" i="4"/>
  <c r="N3" i="15"/>
  <c r="N4" i="15"/>
  <c r="N5" i="15"/>
  <c r="N6" i="15"/>
  <c r="N7" i="15"/>
  <c r="N8" i="15"/>
  <c r="N9" i="15"/>
  <c r="N10" i="15"/>
  <c r="N11" i="15"/>
  <c r="N12" i="15"/>
  <c r="N13" i="15"/>
  <c r="N14" i="15"/>
  <c r="N15" i="15"/>
  <c r="N16" i="15"/>
  <c r="N17" i="15"/>
  <c r="N18" i="15"/>
  <c r="N19" i="15"/>
  <c r="N20" i="15"/>
  <c r="N21" i="15"/>
  <c r="N22" i="15"/>
  <c r="N23" i="15"/>
  <c r="N24" i="15"/>
  <c r="N25" i="15"/>
  <c r="N26" i="15"/>
  <c r="N27" i="15"/>
  <c r="N28" i="15"/>
  <c r="N29" i="15"/>
  <c r="N30" i="15"/>
  <c r="N2" i="15"/>
  <c r="AV27" i="32"/>
  <c r="AV76" i="32"/>
  <c r="AV18" i="32"/>
  <c r="AV75" i="32"/>
  <c r="AV12" i="32"/>
  <c r="AV74" i="32"/>
  <c r="AV7" i="32"/>
  <c r="AV73" i="32"/>
  <c r="AV16" i="32"/>
  <c r="AV72" i="32"/>
  <c r="AV29" i="32"/>
  <c r="AV71" i="32"/>
  <c r="AV20" i="32"/>
  <c r="AV70" i="32"/>
  <c r="AV24" i="32"/>
  <c r="AV69" i="32"/>
  <c r="AV9" i="32"/>
  <c r="AV68" i="32"/>
  <c r="AV5" i="32"/>
  <c r="AV67" i="32"/>
  <c r="AV17" i="32"/>
  <c r="AV66" i="32"/>
  <c r="AV21" i="32"/>
  <c r="AV65" i="32"/>
  <c r="AV25" i="32"/>
  <c r="AV64" i="32"/>
  <c r="AV62" i="32"/>
  <c r="AV61" i="32"/>
  <c r="AV60" i="32"/>
  <c r="AV59" i="32"/>
  <c r="AV58" i="32"/>
  <c r="AV57" i="32"/>
  <c r="AV56" i="32"/>
  <c r="AV55" i="32"/>
  <c r="AV54" i="32"/>
  <c r="AV53" i="32"/>
  <c r="AV52" i="32"/>
  <c r="AV51" i="32"/>
  <c r="AV50" i="32"/>
  <c r="AV23" i="32"/>
  <c r="AV49" i="32"/>
  <c r="ED27" i="38"/>
  <c r="ED76" i="38"/>
  <c r="ED18" i="38"/>
  <c r="ED75" i="38"/>
  <c r="ED12" i="38"/>
  <c r="ED74" i="38"/>
  <c r="ED7" i="38"/>
  <c r="ED73" i="38"/>
  <c r="ED16" i="38"/>
  <c r="ED72" i="38"/>
  <c r="ED29" i="38"/>
  <c r="ED71" i="38"/>
  <c r="ED20" i="38"/>
  <c r="ED70" i="38"/>
  <c r="ED24" i="38"/>
  <c r="ED69" i="38"/>
  <c r="ED9" i="38"/>
  <c r="ED68" i="38"/>
  <c r="ED5" i="38"/>
  <c r="ED67" i="38"/>
  <c r="ED17" i="38"/>
  <c r="ED66" i="38"/>
  <c r="ED21" i="38"/>
  <c r="ED65" i="38"/>
  <c r="ED25" i="38"/>
  <c r="ED64" i="38"/>
  <c r="ED62" i="38"/>
  <c r="ED61" i="38"/>
  <c r="ED60" i="38"/>
  <c r="ED59" i="38"/>
  <c r="ED58" i="38"/>
  <c r="ED57" i="38"/>
  <c r="ED56" i="38"/>
  <c r="ED55" i="38"/>
  <c r="ED54" i="38"/>
  <c r="ED52" i="38"/>
  <c r="ED51" i="38"/>
  <c r="ED50" i="38"/>
  <c r="ED23" i="38"/>
  <c r="ED49" i="38"/>
  <c r="ED53" i="38"/>
  <c r="ED3" i="38"/>
  <c r="ED4" i="38"/>
  <c r="ED6" i="38"/>
  <c r="ED8" i="38"/>
  <c r="ED10" i="38"/>
  <c r="ED11" i="38"/>
  <c r="ED13" i="38"/>
  <c r="ED14" i="38"/>
  <c r="ED15" i="38"/>
  <c r="ED19" i="38"/>
  <c r="ED22" i="38"/>
  <c r="ED26" i="38"/>
  <c r="ED28" i="38"/>
  <c r="ED30" i="38"/>
  <c r="ED2" i="38"/>
  <c r="AV2" i="32"/>
  <c r="DN27" i="38"/>
  <c r="CX27" i="38"/>
  <c r="DM27" i="38"/>
  <c r="CZ27" i="38"/>
  <c r="DO27" i="38"/>
  <c r="BD27" i="43"/>
  <c r="BU27" i="43"/>
  <c r="CA27" i="43"/>
  <c r="CB27" i="43"/>
  <c r="BC27" i="43"/>
  <c r="DA27" i="38"/>
  <c r="DP27" i="38"/>
  <c r="J27" i="38"/>
  <c r="DB27" i="38"/>
  <c r="DQ27" i="38"/>
  <c r="K27" i="38"/>
  <c r="DC27" i="38"/>
  <c r="DR27" i="38"/>
  <c r="G27" i="38"/>
  <c r="DD27" i="38"/>
  <c r="DS27" i="38"/>
  <c r="H27" i="38"/>
  <c r="DE27" i="38"/>
  <c r="DT27" i="38"/>
  <c r="I27" i="38"/>
  <c r="DF27" i="38"/>
  <c r="DU27" i="38"/>
  <c r="E27" i="38"/>
  <c r="DG27" i="38"/>
  <c r="DV27" i="38"/>
  <c r="F27" i="38"/>
  <c r="DH27" i="38"/>
  <c r="DW27" i="38"/>
  <c r="L27" i="38"/>
  <c r="DI27" i="38"/>
  <c r="DX27" i="38"/>
  <c r="N27" i="38"/>
  <c r="DJ27" i="38"/>
  <c r="DY27" i="38"/>
  <c r="M27" i="38"/>
  <c r="DK27" i="38"/>
  <c r="DZ27" i="38"/>
  <c r="O27" i="38"/>
  <c r="DL27" i="38"/>
  <c r="EA27" i="38"/>
  <c r="EB27" i="38"/>
  <c r="EB76" i="38"/>
  <c r="DN18" i="38"/>
  <c r="CX18" i="38"/>
  <c r="DM18" i="38"/>
  <c r="CZ18" i="38"/>
  <c r="DO18" i="38"/>
  <c r="BD18" i="43"/>
  <c r="BU18" i="43"/>
  <c r="CA18" i="43"/>
  <c r="CB18" i="43"/>
  <c r="BC18" i="43"/>
  <c r="DA18" i="38"/>
  <c r="DP18" i="38"/>
  <c r="J18" i="38"/>
  <c r="DB18" i="38"/>
  <c r="DQ18" i="38"/>
  <c r="K18" i="38"/>
  <c r="DC18" i="38"/>
  <c r="DR18" i="38"/>
  <c r="G18" i="38"/>
  <c r="DD18" i="38"/>
  <c r="DS18" i="38"/>
  <c r="H18" i="38"/>
  <c r="DE18" i="38"/>
  <c r="DT18" i="38"/>
  <c r="I18" i="38"/>
  <c r="DF18" i="38"/>
  <c r="DU18" i="38"/>
  <c r="E18" i="38"/>
  <c r="DG18" i="38"/>
  <c r="DV18" i="38"/>
  <c r="F18" i="38"/>
  <c r="DH18" i="38"/>
  <c r="DW18" i="38"/>
  <c r="L18" i="38"/>
  <c r="DI18" i="38"/>
  <c r="DX18" i="38"/>
  <c r="N18" i="38"/>
  <c r="DJ18" i="38"/>
  <c r="DY18" i="38"/>
  <c r="M18" i="38"/>
  <c r="DK18" i="38"/>
  <c r="DZ18" i="38"/>
  <c r="O18" i="38"/>
  <c r="DL18" i="38"/>
  <c r="EA18" i="38"/>
  <c r="EB18" i="38"/>
  <c r="EB75" i="38"/>
  <c r="DN12" i="38"/>
  <c r="CX12" i="38"/>
  <c r="DM12" i="38"/>
  <c r="CZ12" i="38"/>
  <c r="DO12" i="38"/>
  <c r="BD12" i="43"/>
  <c r="BU12" i="43"/>
  <c r="CA12" i="43"/>
  <c r="CB12" i="43"/>
  <c r="BC12" i="43"/>
  <c r="DA12" i="38"/>
  <c r="DP12" i="38"/>
  <c r="J12" i="38"/>
  <c r="DB12" i="38"/>
  <c r="DQ12" i="38"/>
  <c r="K12" i="38"/>
  <c r="DC12" i="38"/>
  <c r="DR12" i="38"/>
  <c r="G12" i="38"/>
  <c r="DD12" i="38"/>
  <c r="DS12" i="38"/>
  <c r="H12" i="38"/>
  <c r="DE12" i="38"/>
  <c r="DT12" i="38"/>
  <c r="I12" i="38"/>
  <c r="DF12" i="38"/>
  <c r="DU12" i="38"/>
  <c r="E12" i="38"/>
  <c r="DG12" i="38"/>
  <c r="DV12" i="38"/>
  <c r="F12" i="38"/>
  <c r="DH12" i="38"/>
  <c r="DW12" i="38"/>
  <c r="L12" i="38"/>
  <c r="DI12" i="38"/>
  <c r="DX12" i="38"/>
  <c r="N12" i="38"/>
  <c r="DJ12" i="38"/>
  <c r="DY12" i="38"/>
  <c r="M12" i="38"/>
  <c r="DK12" i="38"/>
  <c r="DZ12" i="38"/>
  <c r="O12" i="38"/>
  <c r="DL12" i="38"/>
  <c r="EA12" i="38"/>
  <c r="EB12" i="38"/>
  <c r="EB74" i="38"/>
  <c r="DN7" i="38"/>
  <c r="CX7" i="38"/>
  <c r="DM7" i="38"/>
  <c r="CZ7" i="38"/>
  <c r="DO7" i="38"/>
  <c r="BD7" i="43"/>
  <c r="BU7" i="43"/>
  <c r="CA7" i="43"/>
  <c r="CB7" i="43"/>
  <c r="BC7" i="43"/>
  <c r="DA7" i="38"/>
  <c r="DP7" i="38"/>
  <c r="J7" i="38"/>
  <c r="DB7" i="38"/>
  <c r="DQ7" i="38"/>
  <c r="K7" i="38"/>
  <c r="DC7" i="38"/>
  <c r="DR7" i="38"/>
  <c r="G7" i="38"/>
  <c r="DD7" i="38"/>
  <c r="DS7" i="38"/>
  <c r="H7" i="38"/>
  <c r="DE7" i="38"/>
  <c r="DT7" i="38"/>
  <c r="I7" i="38"/>
  <c r="DF7" i="38"/>
  <c r="DU7" i="38"/>
  <c r="E7" i="38"/>
  <c r="DG7" i="38"/>
  <c r="DV7" i="38"/>
  <c r="F7" i="38"/>
  <c r="DH7" i="38"/>
  <c r="DW7" i="38"/>
  <c r="L7" i="38"/>
  <c r="DI7" i="38"/>
  <c r="DX7" i="38"/>
  <c r="N7" i="38"/>
  <c r="DJ7" i="38"/>
  <c r="DY7" i="38"/>
  <c r="M7" i="38"/>
  <c r="DK7" i="38"/>
  <c r="DZ7" i="38"/>
  <c r="O7" i="38"/>
  <c r="DL7" i="38"/>
  <c r="EA7" i="38"/>
  <c r="EB7" i="38"/>
  <c r="EB73" i="38"/>
  <c r="DN16" i="38"/>
  <c r="CX16" i="38"/>
  <c r="DM16" i="38"/>
  <c r="CZ16" i="38"/>
  <c r="DO16" i="38"/>
  <c r="BD16" i="43"/>
  <c r="BU16" i="43"/>
  <c r="CA16" i="43"/>
  <c r="CB16" i="43"/>
  <c r="BC16" i="43"/>
  <c r="DA16" i="38"/>
  <c r="DP16" i="38"/>
  <c r="J16" i="38"/>
  <c r="DB16" i="38"/>
  <c r="DQ16" i="38"/>
  <c r="K16" i="38"/>
  <c r="DC16" i="38"/>
  <c r="DR16" i="38"/>
  <c r="G16" i="38"/>
  <c r="DD16" i="38"/>
  <c r="DS16" i="38"/>
  <c r="H16" i="38"/>
  <c r="DE16" i="38"/>
  <c r="DT16" i="38"/>
  <c r="I16" i="38"/>
  <c r="DF16" i="38"/>
  <c r="DU16" i="38"/>
  <c r="E16" i="38"/>
  <c r="DG16" i="38"/>
  <c r="DV16" i="38"/>
  <c r="F16" i="38"/>
  <c r="DH16" i="38"/>
  <c r="DW16" i="38"/>
  <c r="L16" i="38"/>
  <c r="DI16" i="38"/>
  <c r="DX16" i="38"/>
  <c r="N16" i="38"/>
  <c r="DJ16" i="38"/>
  <c r="DY16" i="38"/>
  <c r="M16" i="38"/>
  <c r="DK16" i="38"/>
  <c r="DZ16" i="38"/>
  <c r="O16" i="38"/>
  <c r="DL16" i="38"/>
  <c r="EA16" i="38"/>
  <c r="EB16" i="38"/>
  <c r="EB72" i="38"/>
  <c r="DN29" i="38"/>
  <c r="CX29" i="38"/>
  <c r="DM29" i="38"/>
  <c r="CZ29" i="38"/>
  <c r="DO29" i="38"/>
  <c r="BD29" i="43"/>
  <c r="BU29" i="43"/>
  <c r="CA29" i="43"/>
  <c r="CB29" i="43"/>
  <c r="BC29" i="43"/>
  <c r="DA29" i="38"/>
  <c r="DP29" i="38"/>
  <c r="J29" i="38"/>
  <c r="DB29" i="38"/>
  <c r="DQ29" i="38"/>
  <c r="K29" i="38"/>
  <c r="DC29" i="38"/>
  <c r="DR29" i="38"/>
  <c r="G29" i="38"/>
  <c r="DD29" i="38"/>
  <c r="DS29" i="38"/>
  <c r="H29" i="38"/>
  <c r="DE29" i="38"/>
  <c r="DT29" i="38"/>
  <c r="I29" i="38"/>
  <c r="DF29" i="38"/>
  <c r="DU29" i="38"/>
  <c r="E29" i="38"/>
  <c r="DG29" i="38"/>
  <c r="DV29" i="38"/>
  <c r="F29" i="38"/>
  <c r="DH29" i="38"/>
  <c r="DW29" i="38"/>
  <c r="L29" i="38"/>
  <c r="DI29" i="38"/>
  <c r="DX29" i="38"/>
  <c r="N29" i="38"/>
  <c r="DJ29" i="38"/>
  <c r="DY29" i="38"/>
  <c r="M29" i="38"/>
  <c r="DK29" i="38"/>
  <c r="DZ29" i="38"/>
  <c r="O29" i="38"/>
  <c r="DL29" i="38"/>
  <c r="EA29" i="38"/>
  <c r="EB29" i="38"/>
  <c r="EB71" i="38"/>
  <c r="DN20" i="38"/>
  <c r="CX20" i="38"/>
  <c r="DM20" i="38"/>
  <c r="CZ20" i="38"/>
  <c r="DO20" i="38"/>
  <c r="BD20" i="43"/>
  <c r="BU20" i="43"/>
  <c r="CA20" i="43"/>
  <c r="CB20" i="43"/>
  <c r="BC20" i="43"/>
  <c r="DA20" i="38"/>
  <c r="DP20" i="38"/>
  <c r="J20" i="38"/>
  <c r="DB20" i="38"/>
  <c r="DQ20" i="38"/>
  <c r="K20" i="38"/>
  <c r="DC20" i="38"/>
  <c r="DR20" i="38"/>
  <c r="G20" i="38"/>
  <c r="DD20" i="38"/>
  <c r="DS20" i="38"/>
  <c r="H20" i="38"/>
  <c r="DE20" i="38"/>
  <c r="DT20" i="38"/>
  <c r="I20" i="38"/>
  <c r="DF20" i="38"/>
  <c r="DU20" i="38"/>
  <c r="E20" i="38"/>
  <c r="DG20" i="38"/>
  <c r="DV20" i="38"/>
  <c r="F20" i="38"/>
  <c r="DH20" i="38"/>
  <c r="DW20" i="38"/>
  <c r="L20" i="38"/>
  <c r="DI20" i="38"/>
  <c r="DX20" i="38"/>
  <c r="N20" i="38"/>
  <c r="DJ20" i="38"/>
  <c r="DY20" i="38"/>
  <c r="M20" i="38"/>
  <c r="DK20" i="38"/>
  <c r="DZ20" i="38"/>
  <c r="O20" i="38"/>
  <c r="DL20" i="38"/>
  <c r="EA20" i="38"/>
  <c r="EB20" i="38"/>
  <c r="EB70" i="38"/>
  <c r="DN24" i="38"/>
  <c r="CX24" i="38"/>
  <c r="DM24" i="38"/>
  <c r="CZ24" i="38"/>
  <c r="DO24" i="38"/>
  <c r="BD24" i="43"/>
  <c r="BU24" i="43"/>
  <c r="CA24" i="43"/>
  <c r="CB24" i="43"/>
  <c r="BC24" i="43"/>
  <c r="DA24" i="38"/>
  <c r="DP24" i="38"/>
  <c r="J24" i="38"/>
  <c r="DB24" i="38"/>
  <c r="DQ24" i="38"/>
  <c r="K24" i="38"/>
  <c r="DC24" i="38"/>
  <c r="DR24" i="38"/>
  <c r="G24" i="38"/>
  <c r="DD24" i="38"/>
  <c r="DS24" i="38"/>
  <c r="H24" i="38"/>
  <c r="DE24" i="38"/>
  <c r="DT24" i="38"/>
  <c r="I24" i="38"/>
  <c r="DF24" i="38"/>
  <c r="DU24" i="38"/>
  <c r="E24" i="38"/>
  <c r="DG24" i="38"/>
  <c r="DV24" i="38"/>
  <c r="F24" i="38"/>
  <c r="DH24" i="38"/>
  <c r="DW24" i="38"/>
  <c r="L24" i="38"/>
  <c r="DI24" i="38"/>
  <c r="DX24" i="38"/>
  <c r="N24" i="38"/>
  <c r="DJ24" i="38"/>
  <c r="DY24" i="38"/>
  <c r="M24" i="38"/>
  <c r="DK24" i="38"/>
  <c r="DZ24" i="38"/>
  <c r="O24" i="38"/>
  <c r="DL24" i="38"/>
  <c r="EA24" i="38"/>
  <c r="EB24" i="38"/>
  <c r="EB69" i="38"/>
  <c r="DN9" i="38"/>
  <c r="CX9" i="38"/>
  <c r="DM9" i="38"/>
  <c r="CZ9" i="38"/>
  <c r="DO9" i="38"/>
  <c r="BD9" i="43"/>
  <c r="BU9" i="43"/>
  <c r="CA9" i="43"/>
  <c r="CB9" i="43"/>
  <c r="BC9" i="43"/>
  <c r="DA9" i="38"/>
  <c r="DP9" i="38"/>
  <c r="J9" i="38"/>
  <c r="DB9" i="38"/>
  <c r="DQ9" i="38"/>
  <c r="K9" i="38"/>
  <c r="DC9" i="38"/>
  <c r="DR9" i="38"/>
  <c r="G9" i="38"/>
  <c r="DD9" i="38"/>
  <c r="DS9" i="38"/>
  <c r="H9" i="38"/>
  <c r="DE9" i="38"/>
  <c r="DT9" i="38"/>
  <c r="I9" i="38"/>
  <c r="DF9" i="38"/>
  <c r="DU9" i="38"/>
  <c r="E9" i="38"/>
  <c r="DG9" i="38"/>
  <c r="DV9" i="38"/>
  <c r="F9" i="38"/>
  <c r="DH9" i="38"/>
  <c r="DW9" i="38"/>
  <c r="L9" i="38"/>
  <c r="DI9" i="38"/>
  <c r="DX9" i="38"/>
  <c r="N9" i="38"/>
  <c r="DJ9" i="38"/>
  <c r="DY9" i="38"/>
  <c r="M9" i="38"/>
  <c r="DK9" i="38"/>
  <c r="DZ9" i="38"/>
  <c r="O9" i="38"/>
  <c r="DL9" i="38"/>
  <c r="EA9" i="38"/>
  <c r="EB9" i="38"/>
  <c r="EB68" i="38"/>
  <c r="DN5" i="38"/>
  <c r="CX5" i="38"/>
  <c r="DM5" i="38"/>
  <c r="CZ5" i="38"/>
  <c r="DO5" i="38"/>
  <c r="BD5" i="43"/>
  <c r="BU5" i="43"/>
  <c r="CA5" i="43"/>
  <c r="CB5" i="43"/>
  <c r="BC5" i="43"/>
  <c r="DA5" i="38"/>
  <c r="DP5" i="38"/>
  <c r="J5" i="38"/>
  <c r="DB5" i="38"/>
  <c r="DQ5" i="38"/>
  <c r="K5" i="38"/>
  <c r="DC5" i="38"/>
  <c r="DR5" i="38"/>
  <c r="G5" i="38"/>
  <c r="DD5" i="38"/>
  <c r="DS5" i="38"/>
  <c r="H5" i="38"/>
  <c r="DE5" i="38"/>
  <c r="DT5" i="38"/>
  <c r="I5" i="38"/>
  <c r="DF5" i="38"/>
  <c r="DU5" i="38"/>
  <c r="E5" i="38"/>
  <c r="DG5" i="38"/>
  <c r="DV5" i="38"/>
  <c r="F5" i="38"/>
  <c r="DH5" i="38"/>
  <c r="DW5" i="38"/>
  <c r="L5" i="38"/>
  <c r="DI5" i="38"/>
  <c r="DX5" i="38"/>
  <c r="N5" i="38"/>
  <c r="DJ5" i="38"/>
  <c r="DY5" i="38"/>
  <c r="M5" i="38"/>
  <c r="DK5" i="38"/>
  <c r="DZ5" i="38"/>
  <c r="O5" i="38"/>
  <c r="DL5" i="38"/>
  <c r="EA5" i="38"/>
  <c r="EB5" i="38"/>
  <c r="EB67" i="38"/>
  <c r="DN17" i="38"/>
  <c r="CX17" i="38"/>
  <c r="DM17" i="38"/>
  <c r="CZ17" i="38"/>
  <c r="DO17" i="38"/>
  <c r="BD17" i="43"/>
  <c r="BU17" i="43"/>
  <c r="CA17" i="43"/>
  <c r="CB17" i="43"/>
  <c r="BC17" i="43"/>
  <c r="DA17" i="38"/>
  <c r="DP17" i="38"/>
  <c r="J17" i="38"/>
  <c r="DB17" i="38"/>
  <c r="DQ17" i="38"/>
  <c r="K17" i="38"/>
  <c r="DC17" i="38"/>
  <c r="DR17" i="38"/>
  <c r="G17" i="38"/>
  <c r="DD17" i="38"/>
  <c r="DS17" i="38"/>
  <c r="H17" i="38"/>
  <c r="DE17" i="38"/>
  <c r="DT17" i="38"/>
  <c r="I17" i="38"/>
  <c r="DF17" i="38"/>
  <c r="DU17" i="38"/>
  <c r="E17" i="38"/>
  <c r="DG17" i="38"/>
  <c r="DV17" i="38"/>
  <c r="F17" i="38"/>
  <c r="DH17" i="38"/>
  <c r="DW17" i="38"/>
  <c r="L17" i="38"/>
  <c r="DI17" i="38"/>
  <c r="DX17" i="38"/>
  <c r="N17" i="38"/>
  <c r="DJ17" i="38"/>
  <c r="DY17" i="38"/>
  <c r="M17" i="38"/>
  <c r="DK17" i="38"/>
  <c r="DZ17" i="38"/>
  <c r="O17" i="38"/>
  <c r="DL17" i="38"/>
  <c r="EA17" i="38"/>
  <c r="EB17" i="38"/>
  <c r="EB66" i="38"/>
  <c r="DN21" i="38"/>
  <c r="CX21" i="38"/>
  <c r="DM21" i="38"/>
  <c r="CZ21" i="38"/>
  <c r="DO21" i="38"/>
  <c r="BD21" i="43"/>
  <c r="BU21" i="43"/>
  <c r="CA21" i="43"/>
  <c r="CB21" i="43"/>
  <c r="BC21" i="43"/>
  <c r="DA21" i="38"/>
  <c r="DP21" i="38"/>
  <c r="J21" i="38"/>
  <c r="DB21" i="38"/>
  <c r="DQ21" i="38"/>
  <c r="K21" i="38"/>
  <c r="DC21" i="38"/>
  <c r="DR21" i="38"/>
  <c r="G21" i="38"/>
  <c r="DD21" i="38"/>
  <c r="DS21" i="38"/>
  <c r="H21" i="38"/>
  <c r="DE21" i="38"/>
  <c r="DT21" i="38"/>
  <c r="I21" i="38"/>
  <c r="DF21" i="38"/>
  <c r="DU21" i="38"/>
  <c r="E21" i="38"/>
  <c r="DG21" i="38"/>
  <c r="DV21" i="38"/>
  <c r="F21" i="38"/>
  <c r="DH21" i="38"/>
  <c r="DW21" i="38"/>
  <c r="L21" i="38"/>
  <c r="DI21" i="38"/>
  <c r="DX21" i="38"/>
  <c r="N21" i="38"/>
  <c r="DJ21" i="38"/>
  <c r="DY21" i="38"/>
  <c r="M21" i="38"/>
  <c r="DK21" i="38"/>
  <c r="DZ21" i="38"/>
  <c r="O21" i="38"/>
  <c r="DL21" i="38"/>
  <c r="EA21" i="38"/>
  <c r="EB21" i="38"/>
  <c r="EB65" i="38"/>
  <c r="DN25" i="38"/>
  <c r="CX25" i="38"/>
  <c r="DM25" i="38"/>
  <c r="CZ25" i="38"/>
  <c r="DO25" i="38"/>
  <c r="BD25" i="43"/>
  <c r="BU25" i="43"/>
  <c r="CA25" i="43"/>
  <c r="CB25" i="43"/>
  <c r="BC25" i="43"/>
  <c r="DA25" i="38"/>
  <c r="DP25" i="38"/>
  <c r="J25" i="38"/>
  <c r="DB25" i="38"/>
  <c r="DQ25" i="38"/>
  <c r="K25" i="38"/>
  <c r="DC25" i="38"/>
  <c r="DR25" i="38"/>
  <c r="G25" i="38"/>
  <c r="DD25" i="38"/>
  <c r="DS25" i="38"/>
  <c r="H25" i="38"/>
  <c r="DE25" i="38"/>
  <c r="DT25" i="38"/>
  <c r="I25" i="38"/>
  <c r="DF25" i="38"/>
  <c r="DU25" i="38"/>
  <c r="E25" i="38"/>
  <c r="DG25" i="38"/>
  <c r="DV25" i="38"/>
  <c r="F25" i="38"/>
  <c r="DH25" i="38"/>
  <c r="DW25" i="38"/>
  <c r="L25" i="38"/>
  <c r="DI25" i="38"/>
  <c r="DX25" i="38"/>
  <c r="N25" i="38"/>
  <c r="DJ25" i="38"/>
  <c r="DY25" i="38"/>
  <c r="M25" i="38"/>
  <c r="DK25" i="38"/>
  <c r="DZ25" i="38"/>
  <c r="O25" i="38"/>
  <c r="DL25" i="38"/>
  <c r="EA25" i="38"/>
  <c r="EB25" i="38"/>
  <c r="EB64" i="38"/>
  <c r="EB63" i="38"/>
  <c r="EB62" i="38"/>
  <c r="EB61" i="38"/>
  <c r="EB60" i="38"/>
  <c r="EB59" i="38"/>
  <c r="EB58" i="38"/>
  <c r="EB57" i="38"/>
  <c r="EB56" i="38"/>
  <c r="EB55" i="38"/>
  <c r="EB54" i="38"/>
  <c r="EB53" i="38"/>
  <c r="EB52" i="38"/>
  <c r="EB51" i="38"/>
  <c r="EB50" i="38"/>
  <c r="DN23" i="38"/>
  <c r="CX23" i="38"/>
  <c r="DM23" i="38"/>
  <c r="CZ23" i="38"/>
  <c r="DO23" i="38"/>
  <c r="BD23" i="43"/>
  <c r="BU23" i="43"/>
  <c r="CA23" i="43"/>
  <c r="CB23" i="43"/>
  <c r="BC23" i="43"/>
  <c r="DA23" i="38"/>
  <c r="DP23" i="38"/>
  <c r="J23" i="38"/>
  <c r="DB23" i="38"/>
  <c r="DQ23" i="38"/>
  <c r="K23" i="38"/>
  <c r="DC23" i="38"/>
  <c r="DR23" i="38"/>
  <c r="G23" i="38"/>
  <c r="DD23" i="38"/>
  <c r="DS23" i="38"/>
  <c r="H23" i="38"/>
  <c r="DE23" i="38"/>
  <c r="DT23" i="38"/>
  <c r="I23" i="38"/>
  <c r="DF23" i="38"/>
  <c r="DU23" i="38"/>
  <c r="E23" i="38"/>
  <c r="DG23" i="38"/>
  <c r="DV23" i="38"/>
  <c r="F23" i="38"/>
  <c r="DH23" i="38"/>
  <c r="DW23" i="38"/>
  <c r="L23" i="38"/>
  <c r="DI23" i="38"/>
  <c r="DX23" i="38"/>
  <c r="N23" i="38"/>
  <c r="DJ23" i="38"/>
  <c r="DY23" i="38"/>
  <c r="M23" i="38"/>
  <c r="DK23" i="38"/>
  <c r="DZ23" i="38"/>
  <c r="O23" i="38"/>
  <c r="DL23" i="38"/>
  <c r="EA23" i="38"/>
  <c r="EB23" i="38"/>
  <c r="EB49" i="38"/>
  <c r="EB48" i="38"/>
  <c r="DN6" i="38"/>
  <c r="CX6" i="38"/>
  <c r="DM6" i="38"/>
  <c r="CZ6" i="38"/>
  <c r="DO6" i="38"/>
  <c r="BD6" i="43"/>
  <c r="BU6" i="43"/>
  <c r="CA6" i="43"/>
  <c r="CB6" i="43"/>
  <c r="BC6" i="43"/>
  <c r="DA6" i="38"/>
  <c r="DP6" i="38"/>
  <c r="J6" i="38"/>
  <c r="DB6" i="38"/>
  <c r="DQ6" i="38"/>
  <c r="K6" i="38"/>
  <c r="DC6" i="38"/>
  <c r="DR6" i="38"/>
  <c r="G6" i="38"/>
  <c r="DD6" i="38"/>
  <c r="DS6" i="38"/>
  <c r="H6" i="38"/>
  <c r="DE6" i="38"/>
  <c r="DT6" i="38"/>
  <c r="I6" i="38"/>
  <c r="DF6" i="38"/>
  <c r="DU6" i="38"/>
  <c r="E6" i="38"/>
  <c r="DG6" i="38"/>
  <c r="DV6" i="38"/>
  <c r="F6" i="38"/>
  <c r="DH6" i="38"/>
  <c r="DW6" i="38"/>
  <c r="L6" i="38"/>
  <c r="DI6" i="38"/>
  <c r="DX6" i="38"/>
  <c r="N6" i="38"/>
  <c r="DJ6" i="38"/>
  <c r="DY6" i="38"/>
  <c r="M6" i="38"/>
  <c r="DK6" i="38"/>
  <c r="DZ6" i="38"/>
  <c r="O6" i="38"/>
  <c r="DL6" i="38"/>
  <c r="EA6" i="38"/>
  <c r="EB6" i="38"/>
  <c r="EB47" i="38"/>
  <c r="DN10" i="38"/>
  <c r="CX10" i="38"/>
  <c r="DM10" i="38"/>
  <c r="CZ10" i="38"/>
  <c r="DO10" i="38"/>
  <c r="BD10" i="43"/>
  <c r="BU10" i="43"/>
  <c r="CA10" i="43"/>
  <c r="CB10" i="43"/>
  <c r="BC10" i="43"/>
  <c r="DA10" i="38"/>
  <c r="DP10" i="38"/>
  <c r="J10" i="38"/>
  <c r="DB10" i="38"/>
  <c r="DQ10" i="38"/>
  <c r="K10" i="38"/>
  <c r="DC10" i="38"/>
  <c r="DR10" i="38"/>
  <c r="G10" i="38"/>
  <c r="DD10" i="38"/>
  <c r="DS10" i="38"/>
  <c r="H10" i="38"/>
  <c r="DE10" i="38"/>
  <c r="DT10" i="38"/>
  <c r="I10" i="38"/>
  <c r="DF10" i="38"/>
  <c r="DU10" i="38"/>
  <c r="E10" i="38"/>
  <c r="DG10" i="38"/>
  <c r="DV10" i="38"/>
  <c r="F10" i="38"/>
  <c r="DH10" i="38"/>
  <c r="DW10" i="38"/>
  <c r="L10" i="38"/>
  <c r="DI10" i="38"/>
  <c r="DX10" i="38"/>
  <c r="N10" i="38"/>
  <c r="DJ10" i="38"/>
  <c r="DY10" i="38"/>
  <c r="M10" i="38"/>
  <c r="DK10" i="38"/>
  <c r="DZ10" i="38"/>
  <c r="O10" i="38"/>
  <c r="DL10" i="38"/>
  <c r="EA10" i="38"/>
  <c r="EB10" i="38"/>
  <c r="EB46" i="38"/>
  <c r="EB45" i="38"/>
  <c r="DN15" i="38"/>
  <c r="CX15" i="38"/>
  <c r="DM15" i="38"/>
  <c r="CZ15" i="38"/>
  <c r="DO15" i="38"/>
  <c r="BD15" i="43"/>
  <c r="BU15" i="43"/>
  <c r="CA15" i="43"/>
  <c r="CB15" i="43"/>
  <c r="BC15" i="43"/>
  <c r="DA15" i="38"/>
  <c r="DP15" i="38"/>
  <c r="J15" i="38"/>
  <c r="DB15" i="38"/>
  <c r="DQ15" i="38"/>
  <c r="K15" i="38"/>
  <c r="DC15" i="38"/>
  <c r="DR15" i="38"/>
  <c r="G15" i="38"/>
  <c r="DD15" i="38"/>
  <c r="DS15" i="38"/>
  <c r="H15" i="38"/>
  <c r="DE15" i="38"/>
  <c r="DT15" i="38"/>
  <c r="I15" i="38"/>
  <c r="DF15" i="38"/>
  <c r="DU15" i="38"/>
  <c r="E15" i="38"/>
  <c r="DG15" i="38"/>
  <c r="DV15" i="38"/>
  <c r="F15" i="38"/>
  <c r="DH15" i="38"/>
  <c r="DW15" i="38"/>
  <c r="L15" i="38"/>
  <c r="DI15" i="38"/>
  <c r="DX15" i="38"/>
  <c r="N15" i="38"/>
  <c r="DJ15" i="38"/>
  <c r="DY15" i="38"/>
  <c r="M15" i="38"/>
  <c r="DK15" i="38"/>
  <c r="DZ15" i="38"/>
  <c r="O15" i="38"/>
  <c r="DL15" i="38"/>
  <c r="EA15" i="38"/>
  <c r="EB15" i="38"/>
  <c r="EB44" i="38"/>
  <c r="DN28" i="38"/>
  <c r="CX28" i="38"/>
  <c r="DM28" i="38"/>
  <c r="CZ28" i="38"/>
  <c r="DO28" i="38"/>
  <c r="BD28" i="43"/>
  <c r="BU28" i="43"/>
  <c r="CA28" i="43"/>
  <c r="CB28" i="43"/>
  <c r="BC28" i="43"/>
  <c r="DA28" i="38"/>
  <c r="DP28" i="38"/>
  <c r="J28" i="38"/>
  <c r="DB28" i="38"/>
  <c r="DQ28" i="38"/>
  <c r="K28" i="38"/>
  <c r="DC28" i="38"/>
  <c r="DR28" i="38"/>
  <c r="G28" i="38"/>
  <c r="DD28" i="38"/>
  <c r="DS28" i="38"/>
  <c r="H28" i="38"/>
  <c r="DE28" i="38"/>
  <c r="DT28" i="38"/>
  <c r="I28" i="38"/>
  <c r="DF28" i="38"/>
  <c r="DU28" i="38"/>
  <c r="E28" i="38"/>
  <c r="DG28" i="38"/>
  <c r="DV28" i="38"/>
  <c r="F28" i="38"/>
  <c r="DH28" i="38"/>
  <c r="DW28" i="38"/>
  <c r="L28" i="38"/>
  <c r="DI28" i="38"/>
  <c r="DX28" i="38"/>
  <c r="N28" i="38"/>
  <c r="DJ28" i="38"/>
  <c r="DY28" i="38"/>
  <c r="M28" i="38"/>
  <c r="DK28" i="38"/>
  <c r="DZ28" i="38"/>
  <c r="O28" i="38"/>
  <c r="DL28" i="38"/>
  <c r="EA28" i="38"/>
  <c r="EB28" i="38"/>
  <c r="EB43" i="38"/>
  <c r="DN19" i="38"/>
  <c r="CX19" i="38"/>
  <c r="DM19" i="38"/>
  <c r="CZ19" i="38"/>
  <c r="DO19" i="38"/>
  <c r="BD19" i="43"/>
  <c r="BU19" i="43"/>
  <c r="CA19" i="43"/>
  <c r="CB19" i="43"/>
  <c r="BC19" i="43"/>
  <c r="DA19" i="38"/>
  <c r="DP19" i="38"/>
  <c r="J19" i="38"/>
  <c r="DB19" i="38"/>
  <c r="DQ19" i="38"/>
  <c r="K19" i="38"/>
  <c r="DC19" i="38"/>
  <c r="DR19" i="38"/>
  <c r="G19" i="38"/>
  <c r="DD19" i="38"/>
  <c r="DS19" i="38"/>
  <c r="H19" i="38"/>
  <c r="DE19" i="38"/>
  <c r="DT19" i="38"/>
  <c r="I19" i="38"/>
  <c r="DF19" i="38"/>
  <c r="DU19" i="38"/>
  <c r="E19" i="38"/>
  <c r="DG19" i="38"/>
  <c r="DV19" i="38"/>
  <c r="F19" i="38"/>
  <c r="DH19" i="38"/>
  <c r="DW19" i="38"/>
  <c r="L19" i="38"/>
  <c r="DI19" i="38"/>
  <c r="DX19" i="38"/>
  <c r="N19" i="38"/>
  <c r="DJ19" i="38"/>
  <c r="DY19" i="38"/>
  <c r="M19" i="38"/>
  <c r="DK19" i="38"/>
  <c r="DZ19" i="38"/>
  <c r="O19" i="38"/>
  <c r="DL19" i="38"/>
  <c r="EA19" i="38"/>
  <c r="EB19" i="38"/>
  <c r="EB42" i="38"/>
  <c r="DN8" i="38"/>
  <c r="CX8" i="38"/>
  <c r="DM8" i="38"/>
  <c r="CZ8" i="38"/>
  <c r="DO8" i="38"/>
  <c r="BD8" i="43"/>
  <c r="BU8" i="43"/>
  <c r="CA8" i="43"/>
  <c r="CB8" i="43"/>
  <c r="BC8" i="43"/>
  <c r="DA8" i="38"/>
  <c r="DP8" i="38"/>
  <c r="J8" i="38"/>
  <c r="DB8" i="38"/>
  <c r="DQ8" i="38"/>
  <c r="K8" i="38"/>
  <c r="DC8" i="38"/>
  <c r="DR8" i="38"/>
  <c r="G8" i="38"/>
  <c r="DD8" i="38"/>
  <c r="DS8" i="38"/>
  <c r="H8" i="38"/>
  <c r="DE8" i="38"/>
  <c r="DT8" i="38"/>
  <c r="I8" i="38"/>
  <c r="DF8" i="38"/>
  <c r="DU8" i="38"/>
  <c r="E8" i="38"/>
  <c r="DG8" i="38"/>
  <c r="DV8" i="38"/>
  <c r="F8" i="38"/>
  <c r="DH8" i="38"/>
  <c r="DW8" i="38"/>
  <c r="L8" i="38"/>
  <c r="DI8" i="38"/>
  <c r="DX8" i="38"/>
  <c r="N8" i="38"/>
  <c r="DJ8" i="38"/>
  <c r="DY8" i="38"/>
  <c r="M8" i="38"/>
  <c r="DK8" i="38"/>
  <c r="DZ8" i="38"/>
  <c r="O8" i="38"/>
  <c r="DL8" i="38"/>
  <c r="EA8" i="38"/>
  <c r="EB8" i="38"/>
  <c r="EB41" i="38"/>
  <c r="DN4" i="38"/>
  <c r="CX4" i="38"/>
  <c r="DM4" i="38"/>
  <c r="CZ4" i="38"/>
  <c r="DO4" i="38"/>
  <c r="BD4" i="43"/>
  <c r="BU4" i="43"/>
  <c r="CA4" i="43"/>
  <c r="CB4" i="43"/>
  <c r="BC4" i="43"/>
  <c r="DA4" i="38"/>
  <c r="DP4" i="38"/>
  <c r="J4" i="38"/>
  <c r="DB4" i="38"/>
  <c r="DQ4" i="38"/>
  <c r="K4" i="38"/>
  <c r="DC4" i="38"/>
  <c r="DR4" i="38"/>
  <c r="G4" i="38"/>
  <c r="DD4" i="38"/>
  <c r="DS4" i="38"/>
  <c r="H4" i="38"/>
  <c r="DE4" i="38"/>
  <c r="DT4" i="38"/>
  <c r="I4" i="38"/>
  <c r="DF4" i="38"/>
  <c r="DU4" i="38"/>
  <c r="E4" i="38"/>
  <c r="DG4" i="38"/>
  <c r="DV4" i="38"/>
  <c r="F4" i="38"/>
  <c r="DH4" i="38"/>
  <c r="DW4" i="38"/>
  <c r="L4" i="38"/>
  <c r="DI4" i="38"/>
  <c r="DX4" i="38"/>
  <c r="N4" i="38"/>
  <c r="DJ4" i="38"/>
  <c r="DY4" i="38"/>
  <c r="M4" i="38"/>
  <c r="DK4" i="38"/>
  <c r="DZ4" i="38"/>
  <c r="O4" i="38"/>
  <c r="DL4" i="38"/>
  <c r="EA4" i="38"/>
  <c r="EB4" i="38"/>
  <c r="EB40" i="38"/>
  <c r="DN11" i="38"/>
  <c r="CX11" i="38"/>
  <c r="DM11" i="38"/>
  <c r="CZ11" i="38"/>
  <c r="DO11" i="38"/>
  <c r="BD11" i="43"/>
  <c r="BU11" i="43"/>
  <c r="CA11" i="43"/>
  <c r="CB11" i="43"/>
  <c r="BC11" i="43"/>
  <c r="DA11" i="38"/>
  <c r="DP11" i="38"/>
  <c r="J11" i="38"/>
  <c r="DB11" i="38"/>
  <c r="DQ11" i="38"/>
  <c r="K11" i="38"/>
  <c r="DC11" i="38"/>
  <c r="DR11" i="38"/>
  <c r="G11" i="38"/>
  <c r="DD11" i="38"/>
  <c r="DS11" i="38"/>
  <c r="H11" i="38"/>
  <c r="DE11" i="38"/>
  <c r="DT11" i="38"/>
  <c r="I11" i="38"/>
  <c r="DF11" i="38"/>
  <c r="DU11" i="38"/>
  <c r="E11" i="38"/>
  <c r="DG11" i="38"/>
  <c r="DV11" i="38"/>
  <c r="F11" i="38"/>
  <c r="DH11" i="38"/>
  <c r="DW11" i="38"/>
  <c r="L11" i="38"/>
  <c r="DI11" i="38"/>
  <c r="DX11" i="38"/>
  <c r="N11" i="38"/>
  <c r="DJ11" i="38"/>
  <c r="DY11" i="38"/>
  <c r="M11" i="38"/>
  <c r="DK11" i="38"/>
  <c r="DZ11" i="38"/>
  <c r="O11" i="38"/>
  <c r="DL11" i="38"/>
  <c r="EA11" i="38"/>
  <c r="EB11" i="38"/>
  <c r="EB39" i="38"/>
  <c r="DN2" i="38"/>
  <c r="CX2" i="38"/>
  <c r="DM2" i="38"/>
  <c r="CZ2" i="38"/>
  <c r="DO2" i="38"/>
  <c r="BD2" i="43"/>
  <c r="BU2" i="43"/>
  <c r="CA2" i="43"/>
  <c r="CB2" i="43"/>
  <c r="BC2" i="43"/>
  <c r="DA2" i="38"/>
  <c r="DP2" i="38"/>
  <c r="J2" i="38"/>
  <c r="DB2" i="38"/>
  <c r="DQ2" i="38"/>
  <c r="K2" i="38"/>
  <c r="DC2" i="38"/>
  <c r="DR2" i="38"/>
  <c r="G2" i="38"/>
  <c r="DD2" i="38"/>
  <c r="DS2" i="38"/>
  <c r="H2" i="38"/>
  <c r="DE2" i="38"/>
  <c r="DT2" i="38"/>
  <c r="I2" i="38"/>
  <c r="DF2" i="38"/>
  <c r="DU2" i="38"/>
  <c r="E2" i="38"/>
  <c r="DG2" i="38"/>
  <c r="DV2" i="38"/>
  <c r="F2" i="38"/>
  <c r="DH2" i="38"/>
  <c r="DW2" i="38"/>
  <c r="L2" i="38"/>
  <c r="DI2" i="38"/>
  <c r="DX2" i="38"/>
  <c r="N2" i="38"/>
  <c r="DJ2" i="38"/>
  <c r="DY2" i="38"/>
  <c r="M2" i="38"/>
  <c r="DK2" i="38"/>
  <c r="DZ2" i="38"/>
  <c r="O2" i="38"/>
  <c r="DL2" i="38"/>
  <c r="EA2" i="38"/>
  <c r="EB2" i="38"/>
  <c r="EB38" i="38"/>
  <c r="DN22" i="38"/>
  <c r="CX22" i="38"/>
  <c r="DM22" i="38"/>
  <c r="CZ22" i="38"/>
  <c r="DO22" i="38"/>
  <c r="BD22" i="43"/>
  <c r="BU22" i="43"/>
  <c r="CA22" i="43"/>
  <c r="CB22" i="43"/>
  <c r="BC22" i="43"/>
  <c r="DA22" i="38"/>
  <c r="DP22" i="38"/>
  <c r="J22" i="38"/>
  <c r="DB22" i="38"/>
  <c r="DQ22" i="38"/>
  <c r="K22" i="38"/>
  <c r="DC22" i="38"/>
  <c r="DR22" i="38"/>
  <c r="G22" i="38"/>
  <c r="DD22" i="38"/>
  <c r="DS22" i="38"/>
  <c r="H22" i="38"/>
  <c r="DE22" i="38"/>
  <c r="DT22" i="38"/>
  <c r="I22" i="38"/>
  <c r="DF22" i="38"/>
  <c r="DU22" i="38"/>
  <c r="E22" i="38"/>
  <c r="DG22" i="38"/>
  <c r="DV22" i="38"/>
  <c r="F22" i="38"/>
  <c r="DH22" i="38"/>
  <c r="DW22" i="38"/>
  <c r="L22" i="38"/>
  <c r="DI22" i="38"/>
  <c r="DX22" i="38"/>
  <c r="N22" i="38"/>
  <c r="DJ22" i="38"/>
  <c r="DY22" i="38"/>
  <c r="M22" i="38"/>
  <c r="DK22" i="38"/>
  <c r="DZ22" i="38"/>
  <c r="O22" i="38"/>
  <c r="DL22" i="38"/>
  <c r="EA22" i="38"/>
  <c r="EB22" i="38"/>
  <c r="EB37" i="38"/>
  <c r="DN26" i="38"/>
  <c r="CX26" i="38"/>
  <c r="DM26" i="38"/>
  <c r="CZ26" i="38"/>
  <c r="DO26" i="38"/>
  <c r="BD26" i="43"/>
  <c r="BU26" i="43"/>
  <c r="CA26" i="43"/>
  <c r="CB26" i="43"/>
  <c r="BC26" i="43"/>
  <c r="DA26" i="38"/>
  <c r="DP26" i="38"/>
  <c r="J26" i="38"/>
  <c r="DB26" i="38"/>
  <c r="DQ26" i="38"/>
  <c r="K26" i="38"/>
  <c r="DC26" i="38"/>
  <c r="DR26" i="38"/>
  <c r="G26" i="38"/>
  <c r="DD26" i="38"/>
  <c r="DS26" i="38"/>
  <c r="H26" i="38"/>
  <c r="DE26" i="38"/>
  <c r="DT26" i="38"/>
  <c r="I26" i="38"/>
  <c r="DF26" i="38"/>
  <c r="DU26" i="38"/>
  <c r="E26" i="38"/>
  <c r="DG26" i="38"/>
  <c r="DV26" i="38"/>
  <c r="F26" i="38"/>
  <c r="DH26" i="38"/>
  <c r="DW26" i="38"/>
  <c r="L26" i="38"/>
  <c r="DI26" i="38"/>
  <c r="DX26" i="38"/>
  <c r="N26" i="38"/>
  <c r="DJ26" i="38"/>
  <c r="DY26" i="38"/>
  <c r="M26" i="38"/>
  <c r="DK26" i="38"/>
  <c r="DZ26" i="38"/>
  <c r="O26" i="38"/>
  <c r="DL26" i="38"/>
  <c r="EA26" i="38"/>
  <c r="EB26" i="38"/>
  <c r="EB36" i="38"/>
  <c r="DN30" i="38"/>
  <c r="CX30" i="38"/>
  <c r="DM30" i="38"/>
  <c r="CZ30" i="38"/>
  <c r="DO30" i="38"/>
  <c r="BD30" i="43"/>
  <c r="BU30" i="43"/>
  <c r="CA30" i="43"/>
  <c r="CB30" i="43"/>
  <c r="BC30" i="43"/>
  <c r="DA30" i="38"/>
  <c r="DP30" i="38"/>
  <c r="J30" i="38"/>
  <c r="DB30" i="38"/>
  <c r="DQ30" i="38"/>
  <c r="K30" i="38"/>
  <c r="DC30" i="38"/>
  <c r="DR30" i="38"/>
  <c r="G30" i="38"/>
  <c r="DD30" i="38"/>
  <c r="DS30" i="38"/>
  <c r="H30" i="38"/>
  <c r="DE30" i="38"/>
  <c r="DT30" i="38"/>
  <c r="I30" i="38"/>
  <c r="DF30" i="38"/>
  <c r="DU30" i="38"/>
  <c r="E30" i="38"/>
  <c r="DG30" i="38"/>
  <c r="DV30" i="38"/>
  <c r="F30" i="38"/>
  <c r="DH30" i="38"/>
  <c r="DW30" i="38"/>
  <c r="L30" i="38"/>
  <c r="DI30" i="38"/>
  <c r="DX30" i="38"/>
  <c r="N30" i="38"/>
  <c r="DJ30" i="38"/>
  <c r="DY30" i="38"/>
  <c r="M30" i="38"/>
  <c r="DK30" i="38"/>
  <c r="DZ30" i="38"/>
  <c r="O30" i="38"/>
  <c r="DL30" i="38"/>
  <c r="EA30" i="38"/>
  <c r="EB30" i="38"/>
  <c r="EB35" i="38"/>
  <c r="DN14" i="38"/>
  <c r="CX14" i="38"/>
  <c r="DM14" i="38"/>
  <c r="CZ14" i="38"/>
  <c r="DO14" i="38"/>
  <c r="BD14" i="43"/>
  <c r="BU14" i="43"/>
  <c r="CA14" i="43"/>
  <c r="CB14" i="43"/>
  <c r="BC14" i="43"/>
  <c r="DA14" i="38"/>
  <c r="DP14" i="38"/>
  <c r="J14" i="38"/>
  <c r="DB14" i="38"/>
  <c r="DQ14" i="38"/>
  <c r="K14" i="38"/>
  <c r="DC14" i="38"/>
  <c r="DR14" i="38"/>
  <c r="G14" i="38"/>
  <c r="DD14" i="38"/>
  <c r="DS14" i="38"/>
  <c r="H14" i="38"/>
  <c r="DE14" i="38"/>
  <c r="DT14" i="38"/>
  <c r="I14" i="38"/>
  <c r="DF14" i="38"/>
  <c r="DU14" i="38"/>
  <c r="E14" i="38"/>
  <c r="DG14" i="38"/>
  <c r="DV14" i="38"/>
  <c r="F14" i="38"/>
  <c r="DH14" i="38"/>
  <c r="DW14" i="38"/>
  <c r="L14" i="38"/>
  <c r="DI14" i="38"/>
  <c r="DX14" i="38"/>
  <c r="N14" i="38"/>
  <c r="DJ14" i="38"/>
  <c r="DY14" i="38"/>
  <c r="M14" i="38"/>
  <c r="DK14" i="38"/>
  <c r="DZ14" i="38"/>
  <c r="O14" i="38"/>
  <c r="DL14" i="38"/>
  <c r="EA14" i="38"/>
  <c r="EB14" i="38"/>
  <c r="EB34" i="38"/>
  <c r="DN13" i="38"/>
  <c r="CX13" i="38"/>
  <c r="DM13" i="38"/>
  <c r="CZ13" i="38"/>
  <c r="DO13" i="38"/>
  <c r="BD13" i="43"/>
  <c r="BU13" i="43"/>
  <c r="CA13" i="43"/>
  <c r="CB13" i="43"/>
  <c r="BC13" i="43"/>
  <c r="DA13" i="38"/>
  <c r="DP13" i="38"/>
  <c r="J13" i="38"/>
  <c r="DB13" i="38"/>
  <c r="DQ13" i="38"/>
  <c r="K13" i="38"/>
  <c r="DC13" i="38"/>
  <c r="DR13" i="38"/>
  <c r="G13" i="38"/>
  <c r="DD13" i="38"/>
  <c r="DS13" i="38"/>
  <c r="H13" i="38"/>
  <c r="DE13" i="38"/>
  <c r="DT13" i="38"/>
  <c r="I13" i="38"/>
  <c r="DF13" i="38"/>
  <c r="DU13" i="38"/>
  <c r="E13" i="38"/>
  <c r="DG13" i="38"/>
  <c r="DV13" i="38"/>
  <c r="F13" i="38"/>
  <c r="DH13" i="38"/>
  <c r="DW13" i="38"/>
  <c r="L13" i="38"/>
  <c r="DI13" i="38"/>
  <c r="DX13" i="38"/>
  <c r="N13" i="38"/>
  <c r="DJ13" i="38"/>
  <c r="DY13" i="38"/>
  <c r="M13" i="38"/>
  <c r="DK13" i="38"/>
  <c r="DZ13" i="38"/>
  <c r="O13" i="38"/>
  <c r="DL13" i="38"/>
  <c r="EA13" i="38"/>
  <c r="EB13" i="38"/>
  <c r="EB33" i="38"/>
  <c r="DN3" i="38"/>
  <c r="CX3" i="38"/>
  <c r="DM3" i="38"/>
  <c r="CZ3" i="38"/>
  <c r="DO3" i="38"/>
  <c r="BD3" i="43"/>
  <c r="BU3" i="43"/>
  <c r="CA3" i="43"/>
  <c r="CB3" i="43"/>
  <c r="BC3" i="43"/>
  <c r="DA3" i="38"/>
  <c r="DP3" i="38"/>
  <c r="J3" i="38"/>
  <c r="DB3" i="38"/>
  <c r="DQ3" i="38"/>
  <c r="K3" i="38"/>
  <c r="DC3" i="38"/>
  <c r="DR3" i="38"/>
  <c r="G3" i="38"/>
  <c r="DD3" i="38"/>
  <c r="DS3" i="38"/>
  <c r="H3" i="38"/>
  <c r="DE3" i="38"/>
  <c r="DT3" i="38"/>
  <c r="I3" i="38"/>
  <c r="DF3" i="38"/>
  <c r="DU3" i="38"/>
  <c r="E3" i="38"/>
  <c r="DG3" i="38"/>
  <c r="DV3" i="38"/>
  <c r="F3" i="38"/>
  <c r="DH3" i="38"/>
  <c r="DW3" i="38"/>
  <c r="L3" i="38"/>
  <c r="DI3" i="38"/>
  <c r="DX3" i="38"/>
  <c r="N3" i="38"/>
  <c r="DJ3" i="38"/>
  <c r="DY3" i="38"/>
  <c r="M3" i="38"/>
  <c r="DK3" i="38"/>
  <c r="DZ3" i="38"/>
  <c r="O3" i="38"/>
  <c r="DL3" i="38"/>
  <c r="EA3" i="38"/>
  <c r="EB3" i="38"/>
  <c r="EB32" i="38"/>
  <c r="EB31" i="38"/>
  <c r="DL76" i="38"/>
  <c r="DK76" i="38"/>
  <c r="DJ76" i="38"/>
  <c r="DI76" i="38"/>
  <c r="DH76" i="38"/>
  <c r="DG76" i="38"/>
  <c r="DF76" i="38"/>
  <c r="DE76" i="38"/>
  <c r="DD76" i="38"/>
  <c r="DC76" i="38"/>
  <c r="DB76" i="38"/>
  <c r="DA76" i="38"/>
  <c r="CZ76" i="38"/>
  <c r="DL75" i="38"/>
  <c r="DK75" i="38"/>
  <c r="DJ75" i="38"/>
  <c r="DI75" i="38"/>
  <c r="DH75" i="38"/>
  <c r="DG75" i="38"/>
  <c r="DF75" i="38"/>
  <c r="DE75" i="38"/>
  <c r="DD75" i="38"/>
  <c r="DC75" i="38"/>
  <c r="DB75" i="38"/>
  <c r="DA75" i="38"/>
  <c r="CZ75" i="38"/>
  <c r="DL74" i="38"/>
  <c r="DK74" i="38"/>
  <c r="DJ74" i="38"/>
  <c r="DI74" i="38"/>
  <c r="DH74" i="38"/>
  <c r="DG74" i="38"/>
  <c r="DF74" i="38"/>
  <c r="DE74" i="38"/>
  <c r="DD74" i="38"/>
  <c r="DC74" i="38"/>
  <c r="DB74" i="38"/>
  <c r="DA74" i="38"/>
  <c r="CZ74" i="38"/>
  <c r="DL73" i="38"/>
  <c r="DK73" i="38"/>
  <c r="DJ73" i="38"/>
  <c r="DI73" i="38"/>
  <c r="DH73" i="38"/>
  <c r="DG73" i="38"/>
  <c r="DF73" i="38"/>
  <c r="DE73" i="38"/>
  <c r="DD73" i="38"/>
  <c r="DC73" i="38"/>
  <c r="DB73" i="38"/>
  <c r="DA73" i="38"/>
  <c r="CZ73" i="38"/>
  <c r="DL72" i="38"/>
  <c r="DK72" i="38"/>
  <c r="DJ72" i="38"/>
  <c r="DI72" i="38"/>
  <c r="DH72" i="38"/>
  <c r="DG72" i="38"/>
  <c r="DF72" i="38"/>
  <c r="DE72" i="38"/>
  <c r="DD72" i="38"/>
  <c r="DC72" i="38"/>
  <c r="DB72" i="38"/>
  <c r="DA72" i="38"/>
  <c r="CZ72" i="38"/>
  <c r="DL71" i="38"/>
  <c r="DK71" i="38"/>
  <c r="DJ71" i="38"/>
  <c r="DI71" i="38"/>
  <c r="DH71" i="38"/>
  <c r="DG71" i="38"/>
  <c r="DF71" i="38"/>
  <c r="DE71" i="38"/>
  <c r="DD71" i="38"/>
  <c r="DC71" i="38"/>
  <c r="DB71" i="38"/>
  <c r="DA71" i="38"/>
  <c r="CZ71" i="38"/>
  <c r="DL70" i="38"/>
  <c r="DK70" i="38"/>
  <c r="DJ70" i="38"/>
  <c r="DI70" i="38"/>
  <c r="DH70" i="38"/>
  <c r="DG70" i="38"/>
  <c r="DF70" i="38"/>
  <c r="DE70" i="38"/>
  <c r="DD70" i="38"/>
  <c r="DC70" i="38"/>
  <c r="DB70" i="38"/>
  <c r="DA70" i="38"/>
  <c r="CZ70" i="38"/>
  <c r="DL69" i="38"/>
  <c r="DK69" i="38"/>
  <c r="DJ69" i="38"/>
  <c r="DI69" i="38"/>
  <c r="DH69" i="38"/>
  <c r="DG69" i="38"/>
  <c r="DF69" i="38"/>
  <c r="DE69" i="38"/>
  <c r="DD69" i="38"/>
  <c r="DC69" i="38"/>
  <c r="DB69" i="38"/>
  <c r="DA69" i="38"/>
  <c r="CZ69" i="38"/>
  <c r="DL68" i="38"/>
  <c r="DK68" i="38"/>
  <c r="DJ68" i="38"/>
  <c r="DI68" i="38"/>
  <c r="DH68" i="38"/>
  <c r="DG68" i="38"/>
  <c r="DF68" i="38"/>
  <c r="DE68" i="38"/>
  <c r="DD68" i="38"/>
  <c r="DC68" i="38"/>
  <c r="DB68" i="38"/>
  <c r="DA68" i="38"/>
  <c r="CZ68" i="38"/>
  <c r="DL67" i="38"/>
  <c r="DK67" i="38"/>
  <c r="DJ67" i="38"/>
  <c r="DI67" i="38"/>
  <c r="DH67" i="38"/>
  <c r="DG67" i="38"/>
  <c r="DF67" i="38"/>
  <c r="DE67" i="38"/>
  <c r="DD67" i="38"/>
  <c r="DC67" i="38"/>
  <c r="DB67" i="38"/>
  <c r="DA67" i="38"/>
  <c r="CZ67" i="38"/>
  <c r="DL66" i="38"/>
  <c r="DK66" i="38"/>
  <c r="DJ66" i="38"/>
  <c r="DI66" i="38"/>
  <c r="DH66" i="38"/>
  <c r="DG66" i="38"/>
  <c r="DF66" i="38"/>
  <c r="DE66" i="38"/>
  <c r="DD66" i="38"/>
  <c r="DC66" i="38"/>
  <c r="DB66" i="38"/>
  <c r="DA66" i="38"/>
  <c r="CZ66" i="38"/>
  <c r="DL65" i="38"/>
  <c r="DK65" i="38"/>
  <c r="DJ65" i="38"/>
  <c r="DI65" i="38"/>
  <c r="DH65" i="38"/>
  <c r="DG65" i="38"/>
  <c r="DF65" i="38"/>
  <c r="DE65" i="38"/>
  <c r="DD65" i="38"/>
  <c r="DC65" i="38"/>
  <c r="DB65" i="38"/>
  <c r="DA65" i="38"/>
  <c r="CZ65" i="38"/>
  <c r="DL64" i="38"/>
  <c r="DK64" i="38"/>
  <c r="DJ64" i="38"/>
  <c r="DI64" i="38"/>
  <c r="DH64" i="38"/>
  <c r="DG64" i="38"/>
  <c r="DF64" i="38"/>
  <c r="DE64" i="38"/>
  <c r="DD64" i="38"/>
  <c r="DC64" i="38"/>
  <c r="DB64" i="38"/>
  <c r="DA64" i="38"/>
  <c r="CZ64" i="38"/>
  <c r="DL63" i="38"/>
  <c r="DK63" i="38"/>
  <c r="DJ63" i="38"/>
  <c r="DI63" i="38"/>
  <c r="DH63" i="38"/>
  <c r="DG63" i="38"/>
  <c r="DF63" i="38"/>
  <c r="DE63" i="38"/>
  <c r="DD63" i="38"/>
  <c r="DC63" i="38"/>
  <c r="DB63" i="38"/>
  <c r="DA63" i="38"/>
  <c r="CZ63" i="38"/>
  <c r="DL62" i="38"/>
  <c r="DK62" i="38"/>
  <c r="DJ62" i="38"/>
  <c r="DI62" i="38"/>
  <c r="DH62" i="38"/>
  <c r="DG62" i="38"/>
  <c r="DF62" i="38"/>
  <c r="DE62" i="38"/>
  <c r="DD62" i="38"/>
  <c r="DC62" i="38"/>
  <c r="DB62" i="38"/>
  <c r="DA62" i="38"/>
  <c r="CZ62" i="38"/>
  <c r="DL61" i="38"/>
  <c r="DK61" i="38"/>
  <c r="DJ61" i="38"/>
  <c r="DI61" i="38"/>
  <c r="DH61" i="38"/>
  <c r="DG61" i="38"/>
  <c r="DF61" i="38"/>
  <c r="DE61" i="38"/>
  <c r="DD61" i="38"/>
  <c r="DC61" i="38"/>
  <c r="DB61" i="38"/>
  <c r="DA61" i="38"/>
  <c r="CZ61" i="38"/>
  <c r="DL60" i="38"/>
  <c r="DK60" i="38"/>
  <c r="DJ60" i="38"/>
  <c r="DI60" i="38"/>
  <c r="DH60" i="38"/>
  <c r="DG60" i="38"/>
  <c r="DF60" i="38"/>
  <c r="DE60" i="38"/>
  <c r="DD60" i="38"/>
  <c r="DC60" i="38"/>
  <c r="DB60" i="38"/>
  <c r="DA60" i="38"/>
  <c r="CZ60" i="38"/>
  <c r="DL59" i="38"/>
  <c r="DK59" i="38"/>
  <c r="DJ59" i="38"/>
  <c r="DI59" i="38"/>
  <c r="DH59" i="38"/>
  <c r="DG59" i="38"/>
  <c r="DF59" i="38"/>
  <c r="DE59" i="38"/>
  <c r="DD59" i="38"/>
  <c r="DC59" i="38"/>
  <c r="DB59" i="38"/>
  <c r="DA59" i="38"/>
  <c r="CZ59" i="38"/>
  <c r="DL58" i="38"/>
  <c r="DK58" i="38"/>
  <c r="DJ58" i="38"/>
  <c r="DI58" i="38"/>
  <c r="DH58" i="38"/>
  <c r="DG58" i="38"/>
  <c r="DF58" i="38"/>
  <c r="DE58" i="38"/>
  <c r="DD58" i="38"/>
  <c r="DC58" i="38"/>
  <c r="DB58" i="38"/>
  <c r="DA58" i="38"/>
  <c r="CZ58" i="38"/>
  <c r="DL57" i="38"/>
  <c r="DK57" i="38"/>
  <c r="DJ57" i="38"/>
  <c r="DI57" i="38"/>
  <c r="DH57" i="38"/>
  <c r="DG57" i="38"/>
  <c r="DF57" i="38"/>
  <c r="DE57" i="38"/>
  <c r="DD57" i="38"/>
  <c r="DC57" i="38"/>
  <c r="DB57" i="38"/>
  <c r="DA57" i="38"/>
  <c r="CZ57" i="38"/>
  <c r="DL56" i="38"/>
  <c r="DK56" i="38"/>
  <c r="DJ56" i="38"/>
  <c r="DI56" i="38"/>
  <c r="DH56" i="38"/>
  <c r="DG56" i="38"/>
  <c r="DF56" i="38"/>
  <c r="DE56" i="38"/>
  <c r="DD56" i="38"/>
  <c r="DC56" i="38"/>
  <c r="DB56" i="38"/>
  <c r="DA56" i="38"/>
  <c r="CZ56" i="38"/>
  <c r="DL55" i="38"/>
  <c r="DK55" i="38"/>
  <c r="DJ55" i="38"/>
  <c r="DI55" i="38"/>
  <c r="DH55" i="38"/>
  <c r="DG55" i="38"/>
  <c r="DF55" i="38"/>
  <c r="DE55" i="38"/>
  <c r="DD55" i="38"/>
  <c r="DC55" i="38"/>
  <c r="DB55" i="38"/>
  <c r="DA55" i="38"/>
  <c r="CZ55" i="38"/>
  <c r="DL54" i="38"/>
  <c r="DK54" i="38"/>
  <c r="DJ54" i="38"/>
  <c r="DI54" i="38"/>
  <c r="DH54" i="38"/>
  <c r="DG54" i="38"/>
  <c r="DF54" i="38"/>
  <c r="DE54" i="38"/>
  <c r="DD54" i="38"/>
  <c r="DC54" i="38"/>
  <c r="DB54" i="38"/>
  <c r="DA54" i="38"/>
  <c r="CZ54" i="38"/>
  <c r="DL53" i="38"/>
  <c r="DK53" i="38"/>
  <c r="DJ53" i="38"/>
  <c r="DI53" i="38"/>
  <c r="DH53" i="38"/>
  <c r="DG53" i="38"/>
  <c r="DF53" i="38"/>
  <c r="DE53" i="38"/>
  <c r="DD53" i="38"/>
  <c r="DC53" i="38"/>
  <c r="DB53" i="38"/>
  <c r="DA53" i="38"/>
  <c r="CZ53" i="38"/>
  <c r="DL52" i="38"/>
  <c r="DK52" i="38"/>
  <c r="DJ52" i="38"/>
  <c r="DI52" i="38"/>
  <c r="DH52" i="38"/>
  <c r="DG52" i="38"/>
  <c r="DF52" i="38"/>
  <c r="DE52" i="38"/>
  <c r="DD52" i="38"/>
  <c r="DC52" i="38"/>
  <c r="DB52" i="38"/>
  <c r="DA52" i="38"/>
  <c r="CZ52" i="38"/>
  <c r="DL51" i="38"/>
  <c r="DK51" i="38"/>
  <c r="DJ51" i="38"/>
  <c r="DI51" i="38"/>
  <c r="DH51" i="38"/>
  <c r="DG51" i="38"/>
  <c r="DF51" i="38"/>
  <c r="DE51" i="38"/>
  <c r="DD51" i="38"/>
  <c r="DC51" i="38"/>
  <c r="DB51" i="38"/>
  <c r="DA51" i="38"/>
  <c r="CZ51" i="38"/>
  <c r="DL50" i="38"/>
  <c r="DK50" i="38"/>
  <c r="DJ50" i="38"/>
  <c r="DI50" i="38"/>
  <c r="DH50" i="38"/>
  <c r="DG50" i="38"/>
  <c r="DF50" i="38"/>
  <c r="DE50" i="38"/>
  <c r="DD50" i="38"/>
  <c r="DC50" i="38"/>
  <c r="DB50" i="38"/>
  <c r="DA50" i="38"/>
  <c r="CZ50" i="38"/>
  <c r="DL49" i="38"/>
  <c r="DK49" i="38"/>
  <c r="DJ49" i="38"/>
  <c r="DI49" i="38"/>
  <c r="DH49" i="38"/>
  <c r="DG49" i="38"/>
  <c r="DF49" i="38"/>
  <c r="DE49" i="38"/>
  <c r="DD49" i="38"/>
  <c r="DC49" i="38"/>
  <c r="DB49" i="38"/>
  <c r="DA49" i="38"/>
  <c r="CZ49" i="38"/>
  <c r="DL48" i="38"/>
  <c r="DK48" i="38"/>
  <c r="DJ48" i="38"/>
  <c r="DI48" i="38"/>
  <c r="DH48" i="38"/>
  <c r="DG48" i="38"/>
  <c r="DF48" i="38"/>
  <c r="DE48" i="38"/>
  <c r="DD48" i="38"/>
  <c r="DC48" i="38"/>
  <c r="DB48" i="38"/>
  <c r="DA48" i="38"/>
  <c r="CZ48" i="38"/>
  <c r="DL47" i="38"/>
  <c r="DK47" i="38"/>
  <c r="DJ47" i="38"/>
  <c r="DI47" i="38"/>
  <c r="DH47" i="38"/>
  <c r="DG47" i="38"/>
  <c r="DF47" i="38"/>
  <c r="DE47" i="38"/>
  <c r="DD47" i="38"/>
  <c r="DC47" i="38"/>
  <c r="DB47" i="38"/>
  <c r="DA47" i="38"/>
  <c r="CZ47" i="38"/>
  <c r="DL46" i="38"/>
  <c r="DK46" i="38"/>
  <c r="DJ46" i="38"/>
  <c r="DI46" i="38"/>
  <c r="DH46" i="38"/>
  <c r="DG46" i="38"/>
  <c r="DF46" i="38"/>
  <c r="DE46" i="38"/>
  <c r="DD46" i="38"/>
  <c r="DC46" i="38"/>
  <c r="DB46" i="38"/>
  <c r="DA46" i="38"/>
  <c r="CZ46" i="38"/>
  <c r="DL45" i="38"/>
  <c r="DK45" i="38"/>
  <c r="DJ45" i="38"/>
  <c r="DI45" i="38"/>
  <c r="DH45" i="38"/>
  <c r="DG45" i="38"/>
  <c r="DF45" i="38"/>
  <c r="DE45" i="38"/>
  <c r="DD45" i="38"/>
  <c r="DC45" i="38"/>
  <c r="DB45" i="38"/>
  <c r="DA45" i="38"/>
  <c r="CZ45" i="38"/>
  <c r="DL44" i="38"/>
  <c r="DK44" i="38"/>
  <c r="DJ44" i="38"/>
  <c r="DI44" i="38"/>
  <c r="DH44" i="38"/>
  <c r="DG44" i="38"/>
  <c r="DF44" i="38"/>
  <c r="DE44" i="38"/>
  <c r="DD44" i="38"/>
  <c r="DC44" i="38"/>
  <c r="DB44" i="38"/>
  <c r="DA44" i="38"/>
  <c r="CZ44" i="38"/>
  <c r="DL43" i="38"/>
  <c r="DK43" i="38"/>
  <c r="DJ43" i="38"/>
  <c r="DI43" i="38"/>
  <c r="DH43" i="38"/>
  <c r="DG43" i="38"/>
  <c r="DF43" i="38"/>
  <c r="DE43" i="38"/>
  <c r="DD43" i="38"/>
  <c r="DC43" i="38"/>
  <c r="DB43" i="38"/>
  <c r="DA43" i="38"/>
  <c r="CZ43" i="38"/>
  <c r="DL42" i="38"/>
  <c r="DK42" i="38"/>
  <c r="DJ42" i="38"/>
  <c r="DI42" i="38"/>
  <c r="DH42" i="38"/>
  <c r="DG42" i="38"/>
  <c r="DF42" i="38"/>
  <c r="DE42" i="38"/>
  <c r="DD42" i="38"/>
  <c r="DC42" i="38"/>
  <c r="DB42" i="38"/>
  <c r="DA42" i="38"/>
  <c r="CZ42" i="38"/>
  <c r="DL41" i="38"/>
  <c r="DK41" i="38"/>
  <c r="DJ41" i="38"/>
  <c r="DI41" i="38"/>
  <c r="DH41" i="38"/>
  <c r="DG41" i="38"/>
  <c r="DF41" i="38"/>
  <c r="DE41" i="38"/>
  <c r="DD41" i="38"/>
  <c r="DC41" i="38"/>
  <c r="DB41" i="38"/>
  <c r="DA41" i="38"/>
  <c r="CZ41" i="38"/>
  <c r="DL40" i="38"/>
  <c r="DK40" i="38"/>
  <c r="DJ40" i="38"/>
  <c r="DI40" i="38"/>
  <c r="DH40" i="38"/>
  <c r="DG40" i="38"/>
  <c r="DF40" i="38"/>
  <c r="DE40" i="38"/>
  <c r="DD40" i="38"/>
  <c r="DC40" i="38"/>
  <c r="DB40" i="38"/>
  <c r="DA40" i="38"/>
  <c r="CZ40" i="38"/>
  <c r="DL39" i="38"/>
  <c r="DK39" i="38"/>
  <c r="DJ39" i="38"/>
  <c r="DI39" i="38"/>
  <c r="DH39" i="38"/>
  <c r="DG39" i="38"/>
  <c r="DF39" i="38"/>
  <c r="DE39" i="38"/>
  <c r="DD39" i="38"/>
  <c r="DC39" i="38"/>
  <c r="DB39" i="38"/>
  <c r="DA39" i="38"/>
  <c r="CZ39" i="38"/>
  <c r="DL38" i="38"/>
  <c r="DK38" i="38"/>
  <c r="DJ38" i="38"/>
  <c r="DI38" i="38"/>
  <c r="DH38" i="38"/>
  <c r="DG38" i="38"/>
  <c r="DF38" i="38"/>
  <c r="DE38" i="38"/>
  <c r="DD38" i="38"/>
  <c r="DC38" i="38"/>
  <c r="DB38" i="38"/>
  <c r="DA38" i="38"/>
  <c r="CZ38" i="38"/>
  <c r="DL37" i="38"/>
  <c r="DK37" i="38"/>
  <c r="DJ37" i="38"/>
  <c r="DI37" i="38"/>
  <c r="DH37" i="38"/>
  <c r="DG37" i="38"/>
  <c r="DF37" i="38"/>
  <c r="DE37" i="38"/>
  <c r="DD37" i="38"/>
  <c r="DC37" i="38"/>
  <c r="DB37" i="38"/>
  <c r="DA37" i="38"/>
  <c r="CZ37" i="38"/>
  <c r="DL36" i="38"/>
  <c r="DK36" i="38"/>
  <c r="DJ36" i="38"/>
  <c r="DI36" i="38"/>
  <c r="DH36" i="38"/>
  <c r="DG36" i="38"/>
  <c r="DF36" i="38"/>
  <c r="DE36" i="38"/>
  <c r="DD36" i="38"/>
  <c r="DC36" i="38"/>
  <c r="DB36" i="38"/>
  <c r="DA36" i="38"/>
  <c r="CZ36" i="38"/>
  <c r="DL35" i="38"/>
  <c r="DK35" i="38"/>
  <c r="DJ35" i="38"/>
  <c r="DI35" i="38"/>
  <c r="DH35" i="38"/>
  <c r="DG35" i="38"/>
  <c r="DF35" i="38"/>
  <c r="DE35" i="38"/>
  <c r="DD35" i="38"/>
  <c r="DC35" i="38"/>
  <c r="DB35" i="38"/>
  <c r="DA35" i="38"/>
  <c r="CZ35" i="38"/>
  <c r="DL34" i="38"/>
  <c r="DK34" i="38"/>
  <c r="DJ34" i="38"/>
  <c r="DI34" i="38"/>
  <c r="DH34" i="38"/>
  <c r="DG34" i="38"/>
  <c r="DF34" i="38"/>
  <c r="DE34" i="38"/>
  <c r="DD34" i="38"/>
  <c r="DC34" i="38"/>
  <c r="DB34" i="38"/>
  <c r="DA34" i="38"/>
  <c r="CZ34" i="38"/>
  <c r="DL33" i="38"/>
  <c r="DK33" i="38"/>
  <c r="DJ33" i="38"/>
  <c r="DI33" i="38"/>
  <c r="DH33" i="38"/>
  <c r="DG33" i="38"/>
  <c r="DF33" i="38"/>
  <c r="DE33" i="38"/>
  <c r="DD33" i="38"/>
  <c r="DC33" i="38"/>
  <c r="DB33" i="38"/>
  <c r="DA33" i="38"/>
  <c r="CZ33" i="38"/>
  <c r="DL32" i="38"/>
  <c r="DK32" i="38"/>
  <c r="DJ32" i="38"/>
  <c r="DI32" i="38"/>
  <c r="DH32" i="38"/>
  <c r="DG32" i="38"/>
  <c r="DF32" i="38"/>
  <c r="DE32" i="38"/>
  <c r="DD32" i="38"/>
  <c r="DC32" i="38"/>
  <c r="DB32" i="38"/>
  <c r="DA32" i="38"/>
  <c r="CZ32" i="38"/>
  <c r="DL31" i="38"/>
  <c r="DK31" i="38"/>
  <c r="DJ31" i="38"/>
  <c r="DI31" i="38"/>
  <c r="DH31" i="38"/>
  <c r="DG31" i="38"/>
  <c r="DF31" i="38"/>
  <c r="DE31" i="38"/>
  <c r="DD31" i="38"/>
  <c r="DC31" i="38"/>
  <c r="DB31" i="38"/>
  <c r="DA31" i="38"/>
  <c r="CZ31" i="38"/>
  <c r="CX76" i="38"/>
  <c r="CX75" i="38"/>
  <c r="CX74" i="38"/>
  <c r="CX73" i="38"/>
  <c r="CX72" i="38"/>
  <c r="CX71" i="38"/>
  <c r="CX70" i="38"/>
  <c r="CX69" i="38"/>
  <c r="CX68" i="38"/>
  <c r="CX67" i="38"/>
  <c r="CX66" i="38"/>
  <c r="CX65" i="38"/>
  <c r="CX64" i="38"/>
  <c r="CX63" i="38"/>
  <c r="CX62" i="38"/>
  <c r="CX61" i="38"/>
  <c r="CX60" i="38"/>
  <c r="CX59" i="38"/>
  <c r="CX58" i="38"/>
  <c r="CX57" i="38"/>
  <c r="CX56" i="38"/>
  <c r="CX55" i="38"/>
  <c r="CX54" i="38"/>
  <c r="CX53" i="38"/>
  <c r="CX52" i="38"/>
  <c r="CX51" i="38"/>
  <c r="CX50" i="38"/>
  <c r="CX49" i="38"/>
  <c r="CX48" i="38"/>
  <c r="CX47" i="38"/>
  <c r="CX46" i="38"/>
  <c r="CX45" i="38"/>
  <c r="CX44" i="38"/>
  <c r="CX43" i="38"/>
  <c r="CX42" i="38"/>
  <c r="CX41" i="38"/>
  <c r="CX40" i="38"/>
  <c r="CX39" i="38"/>
  <c r="CX38" i="38"/>
  <c r="CX37" i="38"/>
  <c r="CX36" i="38"/>
  <c r="CX35" i="38"/>
  <c r="CX34" i="38"/>
  <c r="CX33" i="38"/>
  <c r="CX32" i="38"/>
  <c r="CX31" i="38"/>
  <c r="AN3" i="38"/>
  <c r="BC3" i="38"/>
  <c r="AO3" i="38"/>
  <c r="BD3" i="38"/>
  <c r="AP3" i="38"/>
  <c r="BE3" i="38"/>
  <c r="AQ3" i="38"/>
  <c r="BF3" i="38"/>
  <c r="AR3" i="38"/>
  <c r="BG3" i="38"/>
  <c r="AS3" i="38"/>
  <c r="BH3" i="38"/>
  <c r="AT3" i="38"/>
  <c r="BI3" i="38"/>
  <c r="AU3" i="38"/>
  <c r="BJ3" i="38"/>
  <c r="AV3" i="38"/>
  <c r="BK3" i="38"/>
  <c r="AW3" i="38"/>
  <c r="BL3" i="38"/>
  <c r="AX3" i="38"/>
  <c r="BM3" i="38"/>
  <c r="AY3" i="38"/>
  <c r="BN3" i="38"/>
  <c r="AZ3" i="38"/>
  <c r="BO3" i="38"/>
  <c r="BA3" i="38"/>
  <c r="BP3" i="38"/>
  <c r="BB3" i="38"/>
  <c r="BQ3" i="38"/>
  <c r="BR3" i="38"/>
  <c r="BR32" i="38"/>
  <c r="AN13" i="38"/>
  <c r="BC13" i="38"/>
  <c r="AO13" i="38"/>
  <c r="BD13" i="38"/>
  <c r="AP13" i="38"/>
  <c r="BE13" i="38"/>
  <c r="AQ13" i="38"/>
  <c r="BF13" i="38"/>
  <c r="AR13" i="38"/>
  <c r="BG13" i="38"/>
  <c r="AS13" i="38"/>
  <c r="BH13" i="38"/>
  <c r="AT13" i="38"/>
  <c r="BI13" i="38"/>
  <c r="AU13" i="38"/>
  <c r="BJ13" i="38"/>
  <c r="AV13" i="38"/>
  <c r="BK13" i="38"/>
  <c r="AW13" i="38"/>
  <c r="BL13" i="38"/>
  <c r="AX13" i="38"/>
  <c r="BM13" i="38"/>
  <c r="AY13" i="38"/>
  <c r="BN13" i="38"/>
  <c r="AZ13" i="38"/>
  <c r="BO13" i="38"/>
  <c r="BA13" i="38"/>
  <c r="BP13" i="38"/>
  <c r="BB13" i="38"/>
  <c r="BQ13" i="38"/>
  <c r="BR13" i="38"/>
  <c r="BR33" i="38"/>
  <c r="AN14" i="38"/>
  <c r="BC14" i="38"/>
  <c r="AO14" i="38"/>
  <c r="BD14" i="38"/>
  <c r="AP14" i="38"/>
  <c r="BE14" i="38"/>
  <c r="AQ14" i="38"/>
  <c r="BF14" i="38"/>
  <c r="AR14" i="38"/>
  <c r="BG14" i="38"/>
  <c r="AS14" i="38"/>
  <c r="BH14" i="38"/>
  <c r="AT14" i="38"/>
  <c r="BI14" i="38"/>
  <c r="AU14" i="38"/>
  <c r="BJ14" i="38"/>
  <c r="AV14" i="38"/>
  <c r="BK14" i="38"/>
  <c r="AW14" i="38"/>
  <c r="BL14" i="38"/>
  <c r="AX14" i="38"/>
  <c r="BM14" i="38"/>
  <c r="AY14" i="38"/>
  <c r="BN14" i="38"/>
  <c r="AZ14" i="38"/>
  <c r="BO14" i="38"/>
  <c r="BA14" i="38"/>
  <c r="BP14" i="38"/>
  <c r="BB14" i="38"/>
  <c r="BQ14" i="38"/>
  <c r="BR14" i="38"/>
  <c r="BR34" i="38"/>
  <c r="AN30" i="38"/>
  <c r="BC30" i="38"/>
  <c r="AO30" i="38"/>
  <c r="BD30" i="38"/>
  <c r="AP30" i="38"/>
  <c r="BE30" i="38"/>
  <c r="AQ30" i="38"/>
  <c r="BF30" i="38"/>
  <c r="AR30" i="38"/>
  <c r="BG30" i="38"/>
  <c r="AS30" i="38"/>
  <c r="BH30" i="38"/>
  <c r="AT30" i="38"/>
  <c r="BI30" i="38"/>
  <c r="AU30" i="38"/>
  <c r="BJ30" i="38"/>
  <c r="AV30" i="38"/>
  <c r="BK30" i="38"/>
  <c r="AW30" i="38"/>
  <c r="BL30" i="38"/>
  <c r="AX30" i="38"/>
  <c r="BM30" i="38"/>
  <c r="AY30" i="38"/>
  <c r="BN30" i="38"/>
  <c r="AZ30" i="38"/>
  <c r="BO30" i="38"/>
  <c r="BA30" i="38"/>
  <c r="BP30" i="38"/>
  <c r="BB30" i="38"/>
  <c r="BQ30" i="38"/>
  <c r="BR30" i="38"/>
  <c r="BR35" i="38"/>
  <c r="AN26" i="38"/>
  <c r="BC26" i="38"/>
  <c r="AO26" i="38"/>
  <c r="BD26" i="38"/>
  <c r="AP26" i="38"/>
  <c r="BE26" i="38"/>
  <c r="AQ26" i="38"/>
  <c r="BF26" i="38"/>
  <c r="AR26" i="38"/>
  <c r="BG26" i="38"/>
  <c r="AS26" i="38"/>
  <c r="BH26" i="38"/>
  <c r="AT26" i="38"/>
  <c r="BI26" i="38"/>
  <c r="AU26" i="38"/>
  <c r="BJ26" i="38"/>
  <c r="AV26" i="38"/>
  <c r="BK26" i="38"/>
  <c r="AW26" i="38"/>
  <c r="BL26" i="38"/>
  <c r="AX26" i="38"/>
  <c r="BM26" i="38"/>
  <c r="AY26" i="38"/>
  <c r="BN26" i="38"/>
  <c r="AZ26" i="38"/>
  <c r="BO26" i="38"/>
  <c r="BA26" i="38"/>
  <c r="BP26" i="38"/>
  <c r="BB26" i="38"/>
  <c r="BQ26" i="38"/>
  <c r="BR26" i="38"/>
  <c r="BR36" i="38"/>
  <c r="AN22" i="38"/>
  <c r="BC22" i="38"/>
  <c r="AO22" i="38"/>
  <c r="BD22" i="38"/>
  <c r="AP22" i="38"/>
  <c r="BE22" i="38"/>
  <c r="AQ22" i="38"/>
  <c r="BF22" i="38"/>
  <c r="AR22" i="38"/>
  <c r="BG22" i="38"/>
  <c r="AS22" i="38"/>
  <c r="BH22" i="38"/>
  <c r="AT22" i="38"/>
  <c r="BI22" i="38"/>
  <c r="AU22" i="38"/>
  <c r="BJ22" i="38"/>
  <c r="AV22" i="38"/>
  <c r="BK22" i="38"/>
  <c r="AW22" i="38"/>
  <c r="BL22" i="38"/>
  <c r="AX22" i="38"/>
  <c r="BM22" i="38"/>
  <c r="AY22" i="38"/>
  <c r="BN22" i="38"/>
  <c r="AZ22" i="38"/>
  <c r="BO22" i="38"/>
  <c r="BA22" i="38"/>
  <c r="BP22" i="38"/>
  <c r="BB22" i="38"/>
  <c r="BQ22" i="38"/>
  <c r="BR22" i="38"/>
  <c r="BR37" i="38"/>
  <c r="AN2" i="38"/>
  <c r="BC2" i="38"/>
  <c r="AO2" i="38"/>
  <c r="BD2" i="38"/>
  <c r="AP2" i="38"/>
  <c r="BE2" i="38"/>
  <c r="AQ2" i="38"/>
  <c r="BF2" i="38"/>
  <c r="AR2" i="38"/>
  <c r="BG2" i="38"/>
  <c r="AS2" i="38"/>
  <c r="BH2" i="38"/>
  <c r="AT2" i="38"/>
  <c r="BI2" i="38"/>
  <c r="AU2" i="38"/>
  <c r="BJ2" i="38"/>
  <c r="AV2" i="38"/>
  <c r="BK2" i="38"/>
  <c r="AW2" i="38"/>
  <c r="BL2" i="38"/>
  <c r="AX2" i="38"/>
  <c r="BM2" i="38"/>
  <c r="AY2" i="38"/>
  <c r="BN2" i="38"/>
  <c r="AZ2" i="38"/>
  <c r="BO2" i="38"/>
  <c r="BA2" i="38"/>
  <c r="BP2" i="38"/>
  <c r="BB2" i="38"/>
  <c r="BQ2" i="38"/>
  <c r="BR2" i="38"/>
  <c r="BR38" i="38"/>
  <c r="AN11" i="38"/>
  <c r="BC11" i="38"/>
  <c r="AO11" i="38"/>
  <c r="BD11" i="38"/>
  <c r="AP11" i="38"/>
  <c r="BE11" i="38"/>
  <c r="AQ11" i="38"/>
  <c r="BF11" i="38"/>
  <c r="AR11" i="38"/>
  <c r="BG11" i="38"/>
  <c r="AS11" i="38"/>
  <c r="BH11" i="38"/>
  <c r="AT11" i="38"/>
  <c r="BI11" i="38"/>
  <c r="AU11" i="38"/>
  <c r="BJ11" i="38"/>
  <c r="AV11" i="38"/>
  <c r="BK11" i="38"/>
  <c r="AW11" i="38"/>
  <c r="BL11" i="38"/>
  <c r="AX11" i="38"/>
  <c r="BM11" i="38"/>
  <c r="AY11" i="38"/>
  <c r="BN11" i="38"/>
  <c r="AZ11" i="38"/>
  <c r="BO11" i="38"/>
  <c r="BA11" i="38"/>
  <c r="BP11" i="38"/>
  <c r="BB11" i="38"/>
  <c r="BQ11" i="38"/>
  <c r="BR11" i="38"/>
  <c r="BR39" i="38"/>
  <c r="AN4" i="38"/>
  <c r="BC4" i="38"/>
  <c r="AO4" i="38"/>
  <c r="BD4" i="38"/>
  <c r="AP4" i="38"/>
  <c r="BE4" i="38"/>
  <c r="AQ4" i="38"/>
  <c r="BF4" i="38"/>
  <c r="AR4" i="38"/>
  <c r="BG4" i="38"/>
  <c r="AS4" i="38"/>
  <c r="BH4" i="38"/>
  <c r="AT4" i="38"/>
  <c r="BI4" i="38"/>
  <c r="AU4" i="38"/>
  <c r="BJ4" i="38"/>
  <c r="AV4" i="38"/>
  <c r="BK4" i="38"/>
  <c r="AW4" i="38"/>
  <c r="BL4" i="38"/>
  <c r="AX4" i="38"/>
  <c r="BM4" i="38"/>
  <c r="AY4" i="38"/>
  <c r="BN4" i="38"/>
  <c r="AZ4" i="38"/>
  <c r="BO4" i="38"/>
  <c r="BA4" i="38"/>
  <c r="BP4" i="38"/>
  <c r="BB4" i="38"/>
  <c r="BQ4" i="38"/>
  <c r="BR4" i="38"/>
  <c r="BR40" i="38"/>
  <c r="AN8" i="38"/>
  <c r="BC8" i="38"/>
  <c r="AO8" i="38"/>
  <c r="BD8" i="38"/>
  <c r="AP8" i="38"/>
  <c r="BE8" i="38"/>
  <c r="AQ8" i="38"/>
  <c r="BF8" i="38"/>
  <c r="AR8" i="38"/>
  <c r="BG8" i="38"/>
  <c r="AS8" i="38"/>
  <c r="BH8" i="38"/>
  <c r="AT8" i="38"/>
  <c r="BI8" i="38"/>
  <c r="AU8" i="38"/>
  <c r="BJ8" i="38"/>
  <c r="AV8" i="38"/>
  <c r="BK8" i="38"/>
  <c r="AW8" i="38"/>
  <c r="BL8" i="38"/>
  <c r="AX8" i="38"/>
  <c r="BM8" i="38"/>
  <c r="AY8" i="38"/>
  <c r="BN8" i="38"/>
  <c r="AZ8" i="38"/>
  <c r="BO8" i="38"/>
  <c r="BA8" i="38"/>
  <c r="BP8" i="38"/>
  <c r="BB8" i="38"/>
  <c r="BQ8" i="38"/>
  <c r="BR8" i="38"/>
  <c r="BR41" i="38"/>
  <c r="AN19" i="38"/>
  <c r="BC19" i="38"/>
  <c r="AO19" i="38"/>
  <c r="BD19" i="38"/>
  <c r="AP19" i="38"/>
  <c r="BE19" i="38"/>
  <c r="AQ19" i="38"/>
  <c r="BF19" i="38"/>
  <c r="AR19" i="38"/>
  <c r="BG19" i="38"/>
  <c r="AS19" i="38"/>
  <c r="BH19" i="38"/>
  <c r="AT19" i="38"/>
  <c r="BI19" i="38"/>
  <c r="AU19" i="38"/>
  <c r="BJ19" i="38"/>
  <c r="AV19" i="38"/>
  <c r="BK19" i="38"/>
  <c r="AW19" i="38"/>
  <c r="BL19" i="38"/>
  <c r="AX19" i="38"/>
  <c r="BM19" i="38"/>
  <c r="AY19" i="38"/>
  <c r="BN19" i="38"/>
  <c r="AZ19" i="38"/>
  <c r="BO19" i="38"/>
  <c r="BA19" i="38"/>
  <c r="BP19" i="38"/>
  <c r="BB19" i="38"/>
  <c r="BQ19" i="38"/>
  <c r="BR19" i="38"/>
  <c r="BR42" i="38"/>
  <c r="AN28" i="38"/>
  <c r="BC28" i="38"/>
  <c r="AO28" i="38"/>
  <c r="BD28" i="38"/>
  <c r="AP28" i="38"/>
  <c r="BE28" i="38"/>
  <c r="AQ28" i="38"/>
  <c r="BF28" i="38"/>
  <c r="AR28" i="38"/>
  <c r="BG28" i="38"/>
  <c r="AS28" i="38"/>
  <c r="BH28" i="38"/>
  <c r="AT28" i="38"/>
  <c r="BI28" i="38"/>
  <c r="AU28" i="38"/>
  <c r="BJ28" i="38"/>
  <c r="AV28" i="38"/>
  <c r="BK28" i="38"/>
  <c r="AW28" i="38"/>
  <c r="BL28" i="38"/>
  <c r="AX28" i="38"/>
  <c r="BM28" i="38"/>
  <c r="AY28" i="38"/>
  <c r="BN28" i="38"/>
  <c r="AZ28" i="38"/>
  <c r="BO28" i="38"/>
  <c r="BA28" i="38"/>
  <c r="BP28" i="38"/>
  <c r="BB28" i="38"/>
  <c r="BQ28" i="38"/>
  <c r="BR28" i="38"/>
  <c r="BR43" i="38"/>
  <c r="AN15" i="38"/>
  <c r="BC15" i="38"/>
  <c r="AO15" i="38"/>
  <c r="BD15" i="38"/>
  <c r="AP15" i="38"/>
  <c r="BE15" i="38"/>
  <c r="AQ15" i="38"/>
  <c r="BF15" i="38"/>
  <c r="AR15" i="38"/>
  <c r="BG15" i="38"/>
  <c r="AS15" i="38"/>
  <c r="BH15" i="38"/>
  <c r="AT15" i="38"/>
  <c r="BI15" i="38"/>
  <c r="AU15" i="38"/>
  <c r="BJ15" i="38"/>
  <c r="AV15" i="38"/>
  <c r="BK15" i="38"/>
  <c r="AW15" i="38"/>
  <c r="BL15" i="38"/>
  <c r="AX15" i="38"/>
  <c r="BM15" i="38"/>
  <c r="AY15" i="38"/>
  <c r="BN15" i="38"/>
  <c r="AZ15" i="38"/>
  <c r="BO15" i="38"/>
  <c r="BA15" i="38"/>
  <c r="BP15" i="38"/>
  <c r="BB15" i="38"/>
  <c r="BQ15" i="38"/>
  <c r="BR15" i="38"/>
  <c r="BR44" i="38"/>
  <c r="BR31" i="38"/>
  <c r="AN10" i="38"/>
  <c r="BC10" i="38"/>
  <c r="AO10" i="38"/>
  <c r="BD10" i="38"/>
  <c r="AP10" i="38"/>
  <c r="BE10" i="38"/>
  <c r="AQ10" i="38"/>
  <c r="BF10" i="38"/>
  <c r="AR10" i="38"/>
  <c r="BG10" i="38"/>
  <c r="AS10" i="38"/>
  <c r="BH10" i="38"/>
  <c r="AT10" i="38"/>
  <c r="BI10" i="38"/>
  <c r="AU10" i="38"/>
  <c r="BJ10" i="38"/>
  <c r="AV10" i="38"/>
  <c r="BK10" i="38"/>
  <c r="AW10" i="38"/>
  <c r="BL10" i="38"/>
  <c r="AX10" i="38"/>
  <c r="BM10" i="38"/>
  <c r="AY10" i="38"/>
  <c r="BN10" i="38"/>
  <c r="AZ10" i="38"/>
  <c r="BO10" i="38"/>
  <c r="BA10" i="38"/>
  <c r="BP10" i="38"/>
  <c r="BB10" i="38"/>
  <c r="BQ10" i="38"/>
  <c r="BR10" i="38"/>
  <c r="BR46" i="38"/>
  <c r="AN6" i="38"/>
  <c r="BC6" i="38"/>
  <c r="AO6" i="38"/>
  <c r="BD6" i="38"/>
  <c r="AP6" i="38"/>
  <c r="BE6" i="38"/>
  <c r="AQ6" i="38"/>
  <c r="BF6" i="38"/>
  <c r="AR6" i="38"/>
  <c r="BG6" i="38"/>
  <c r="AS6" i="38"/>
  <c r="BH6" i="38"/>
  <c r="AT6" i="38"/>
  <c r="BI6" i="38"/>
  <c r="AU6" i="38"/>
  <c r="BJ6" i="38"/>
  <c r="AV6" i="38"/>
  <c r="BK6" i="38"/>
  <c r="AW6" i="38"/>
  <c r="BL6" i="38"/>
  <c r="AX6" i="38"/>
  <c r="BM6" i="38"/>
  <c r="AY6" i="38"/>
  <c r="BN6" i="38"/>
  <c r="AZ6" i="38"/>
  <c r="BO6" i="38"/>
  <c r="BA6" i="38"/>
  <c r="BP6" i="38"/>
  <c r="BB6" i="38"/>
  <c r="BQ6" i="38"/>
  <c r="BR6" i="38"/>
  <c r="BR47" i="38"/>
  <c r="BR45" i="38"/>
  <c r="AN23" i="38"/>
  <c r="BC23" i="38"/>
  <c r="AO23" i="38"/>
  <c r="BD23" i="38"/>
  <c r="AP23" i="38"/>
  <c r="BE23" i="38"/>
  <c r="AQ23" i="38"/>
  <c r="BF23" i="38"/>
  <c r="AR23" i="38"/>
  <c r="BG23" i="38"/>
  <c r="AS23" i="38"/>
  <c r="BH23" i="38"/>
  <c r="AT23" i="38"/>
  <c r="BI23" i="38"/>
  <c r="AU23" i="38"/>
  <c r="BJ23" i="38"/>
  <c r="AV23" i="38"/>
  <c r="BK23" i="38"/>
  <c r="AW23" i="38"/>
  <c r="BL23" i="38"/>
  <c r="AX23" i="38"/>
  <c r="BM23" i="38"/>
  <c r="AY23" i="38"/>
  <c r="BN23" i="38"/>
  <c r="AZ23" i="38"/>
  <c r="BO23" i="38"/>
  <c r="BA23" i="38"/>
  <c r="BP23" i="38"/>
  <c r="BB23" i="38"/>
  <c r="BQ23" i="38"/>
  <c r="BR23" i="38"/>
  <c r="BR49" i="38"/>
  <c r="AN25" i="38"/>
  <c r="BC25" i="38"/>
  <c r="AO25" i="38"/>
  <c r="BD25" i="38"/>
  <c r="AP25" i="38"/>
  <c r="BE25" i="38"/>
  <c r="AQ25" i="38"/>
  <c r="BF25" i="38"/>
  <c r="AR25" i="38"/>
  <c r="BG25" i="38"/>
  <c r="AS25" i="38"/>
  <c r="BH25" i="38"/>
  <c r="AT25" i="38"/>
  <c r="BI25" i="38"/>
  <c r="AU25" i="38"/>
  <c r="BJ25" i="38"/>
  <c r="AV25" i="38"/>
  <c r="BK25" i="38"/>
  <c r="AW25" i="38"/>
  <c r="BL25" i="38"/>
  <c r="AX25" i="38"/>
  <c r="BM25" i="38"/>
  <c r="AY25" i="38"/>
  <c r="BN25" i="38"/>
  <c r="AZ25" i="38"/>
  <c r="BO25" i="38"/>
  <c r="BA25" i="38"/>
  <c r="BP25" i="38"/>
  <c r="BB25" i="38"/>
  <c r="BQ25" i="38"/>
  <c r="BR25" i="38"/>
  <c r="BR50" i="38"/>
  <c r="AN21" i="38"/>
  <c r="BC21" i="38"/>
  <c r="AO21" i="38"/>
  <c r="BD21" i="38"/>
  <c r="AP21" i="38"/>
  <c r="BE21" i="38"/>
  <c r="AQ21" i="38"/>
  <c r="BF21" i="38"/>
  <c r="AR21" i="38"/>
  <c r="BG21" i="38"/>
  <c r="AS21" i="38"/>
  <c r="BH21" i="38"/>
  <c r="AT21" i="38"/>
  <c r="BI21" i="38"/>
  <c r="AU21" i="38"/>
  <c r="BJ21" i="38"/>
  <c r="AV21" i="38"/>
  <c r="BK21" i="38"/>
  <c r="AW21" i="38"/>
  <c r="BL21" i="38"/>
  <c r="AX21" i="38"/>
  <c r="BM21" i="38"/>
  <c r="AY21" i="38"/>
  <c r="BN21" i="38"/>
  <c r="AZ21" i="38"/>
  <c r="BO21" i="38"/>
  <c r="BA21" i="38"/>
  <c r="BP21" i="38"/>
  <c r="BB21" i="38"/>
  <c r="BQ21" i="38"/>
  <c r="BR21" i="38"/>
  <c r="BR51" i="38"/>
  <c r="AN17" i="38"/>
  <c r="BC17" i="38"/>
  <c r="AO17" i="38"/>
  <c r="BD17" i="38"/>
  <c r="AP17" i="38"/>
  <c r="BE17" i="38"/>
  <c r="AQ17" i="38"/>
  <c r="BF17" i="38"/>
  <c r="AR17" i="38"/>
  <c r="BG17" i="38"/>
  <c r="AS17" i="38"/>
  <c r="BH17" i="38"/>
  <c r="AT17" i="38"/>
  <c r="BI17" i="38"/>
  <c r="AU17" i="38"/>
  <c r="BJ17" i="38"/>
  <c r="AV17" i="38"/>
  <c r="BK17" i="38"/>
  <c r="AW17" i="38"/>
  <c r="BL17" i="38"/>
  <c r="AX17" i="38"/>
  <c r="BM17" i="38"/>
  <c r="AY17" i="38"/>
  <c r="BN17" i="38"/>
  <c r="AZ17" i="38"/>
  <c r="BO17" i="38"/>
  <c r="BA17" i="38"/>
  <c r="BP17" i="38"/>
  <c r="BB17" i="38"/>
  <c r="BQ17" i="38"/>
  <c r="BR17" i="38"/>
  <c r="BR52" i="38"/>
  <c r="AN5" i="38"/>
  <c r="BC5" i="38"/>
  <c r="AO5" i="38"/>
  <c r="BD5" i="38"/>
  <c r="AP5" i="38"/>
  <c r="BE5" i="38"/>
  <c r="AQ5" i="38"/>
  <c r="BF5" i="38"/>
  <c r="AR5" i="38"/>
  <c r="BG5" i="38"/>
  <c r="AS5" i="38"/>
  <c r="BH5" i="38"/>
  <c r="AT5" i="38"/>
  <c r="BI5" i="38"/>
  <c r="AU5" i="38"/>
  <c r="BJ5" i="38"/>
  <c r="AV5" i="38"/>
  <c r="BK5" i="38"/>
  <c r="AW5" i="38"/>
  <c r="BL5" i="38"/>
  <c r="AX5" i="38"/>
  <c r="BM5" i="38"/>
  <c r="AY5" i="38"/>
  <c r="BN5" i="38"/>
  <c r="AZ5" i="38"/>
  <c r="BO5" i="38"/>
  <c r="BA5" i="38"/>
  <c r="BP5" i="38"/>
  <c r="BB5" i="38"/>
  <c r="BQ5" i="38"/>
  <c r="BR5" i="38"/>
  <c r="BR53" i="38"/>
  <c r="AN9" i="38"/>
  <c r="BC9" i="38"/>
  <c r="AO9" i="38"/>
  <c r="BD9" i="38"/>
  <c r="AP9" i="38"/>
  <c r="BE9" i="38"/>
  <c r="AQ9" i="38"/>
  <c r="BF9" i="38"/>
  <c r="AR9" i="38"/>
  <c r="BG9" i="38"/>
  <c r="AS9" i="38"/>
  <c r="BH9" i="38"/>
  <c r="AT9" i="38"/>
  <c r="BI9" i="38"/>
  <c r="AU9" i="38"/>
  <c r="BJ9" i="38"/>
  <c r="AV9" i="38"/>
  <c r="BK9" i="38"/>
  <c r="AW9" i="38"/>
  <c r="BL9" i="38"/>
  <c r="AX9" i="38"/>
  <c r="BM9" i="38"/>
  <c r="AY9" i="38"/>
  <c r="BN9" i="38"/>
  <c r="AZ9" i="38"/>
  <c r="BO9" i="38"/>
  <c r="BA9" i="38"/>
  <c r="BP9" i="38"/>
  <c r="BB9" i="38"/>
  <c r="BQ9" i="38"/>
  <c r="BR9" i="38"/>
  <c r="BR54" i="38"/>
  <c r="AN24" i="38"/>
  <c r="BC24" i="38"/>
  <c r="AO24" i="38"/>
  <c r="BD24" i="38"/>
  <c r="AP24" i="38"/>
  <c r="BE24" i="38"/>
  <c r="AQ24" i="38"/>
  <c r="BF24" i="38"/>
  <c r="AR24" i="38"/>
  <c r="BG24" i="38"/>
  <c r="AS24" i="38"/>
  <c r="BH24" i="38"/>
  <c r="AT24" i="38"/>
  <c r="BI24" i="38"/>
  <c r="AU24" i="38"/>
  <c r="BJ24" i="38"/>
  <c r="AV24" i="38"/>
  <c r="BK24" i="38"/>
  <c r="AW24" i="38"/>
  <c r="BL24" i="38"/>
  <c r="AX24" i="38"/>
  <c r="BM24" i="38"/>
  <c r="AY24" i="38"/>
  <c r="BN24" i="38"/>
  <c r="AZ24" i="38"/>
  <c r="BO24" i="38"/>
  <c r="BA24" i="38"/>
  <c r="BP24" i="38"/>
  <c r="BB24" i="38"/>
  <c r="BQ24" i="38"/>
  <c r="BR24" i="38"/>
  <c r="BR55" i="38"/>
  <c r="AN20" i="38"/>
  <c r="BC20" i="38"/>
  <c r="AO20" i="38"/>
  <c r="BD20" i="38"/>
  <c r="AP20" i="38"/>
  <c r="BE20" i="38"/>
  <c r="AQ20" i="38"/>
  <c r="BF20" i="38"/>
  <c r="AR20" i="38"/>
  <c r="BG20" i="38"/>
  <c r="AS20" i="38"/>
  <c r="BH20" i="38"/>
  <c r="AT20" i="38"/>
  <c r="BI20" i="38"/>
  <c r="AU20" i="38"/>
  <c r="BJ20" i="38"/>
  <c r="AV20" i="38"/>
  <c r="BK20" i="38"/>
  <c r="AW20" i="38"/>
  <c r="BL20" i="38"/>
  <c r="AX20" i="38"/>
  <c r="BM20" i="38"/>
  <c r="AY20" i="38"/>
  <c r="BN20" i="38"/>
  <c r="AZ20" i="38"/>
  <c r="BO20" i="38"/>
  <c r="BA20" i="38"/>
  <c r="BP20" i="38"/>
  <c r="BB20" i="38"/>
  <c r="BQ20" i="38"/>
  <c r="BR20" i="38"/>
  <c r="BR56" i="38"/>
  <c r="AN29" i="38"/>
  <c r="BC29" i="38"/>
  <c r="AO29" i="38"/>
  <c r="BD29" i="38"/>
  <c r="AP29" i="38"/>
  <c r="BE29" i="38"/>
  <c r="AQ29" i="38"/>
  <c r="BF29" i="38"/>
  <c r="AR29" i="38"/>
  <c r="BG29" i="38"/>
  <c r="AS29" i="38"/>
  <c r="BH29" i="38"/>
  <c r="AT29" i="38"/>
  <c r="BI29" i="38"/>
  <c r="AU29" i="38"/>
  <c r="BJ29" i="38"/>
  <c r="AV29" i="38"/>
  <c r="BK29" i="38"/>
  <c r="AW29" i="38"/>
  <c r="BL29" i="38"/>
  <c r="AX29" i="38"/>
  <c r="BM29" i="38"/>
  <c r="AY29" i="38"/>
  <c r="BN29" i="38"/>
  <c r="AZ29" i="38"/>
  <c r="BO29" i="38"/>
  <c r="BA29" i="38"/>
  <c r="BP29" i="38"/>
  <c r="BB29" i="38"/>
  <c r="BQ29" i="38"/>
  <c r="BR29" i="38"/>
  <c r="BR57" i="38"/>
  <c r="AN16" i="38"/>
  <c r="BC16" i="38"/>
  <c r="AO16" i="38"/>
  <c r="BD16" i="38"/>
  <c r="AP16" i="38"/>
  <c r="BE16" i="38"/>
  <c r="AQ16" i="38"/>
  <c r="BF16" i="38"/>
  <c r="AR16" i="38"/>
  <c r="BG16" i="38"/>
  <c r="AS16" i="38"/>
  <c r="BH16" i="38"/>
  <c r="AT16" i="38"/>
  <c r="BI16" i="38"/>
  <c r="AU16" i="38"/>
  <c r="BJ16" i="38"/>
  <c r="AV16" i="38"/>
  <c r="BK16" i="38"/>
  <c r="AW16" i="38"/>
  <c r="BL16" i="38"/>
  <c r="AX16" i="38"/>
  <c r="BM16" i="38"/>
  <c r="AY16" i="38"/>
  <c r="BN16" i="38"/>
  <c r="AZ16" i="38"/>
  <c r="BO16" i="38"/>
  <c r="BA16" i="38"/>
  <c r="BP16" i="38"/>
  <c r="BB16" i="38"/>
  <c r="BQ16" i="38"/>
  <c r="BR16" i="38"/>
  <c r="BR58" i="38"/>
  <c r="AN7" i="38"/>
  <c r="BC7" i="38"/>
  <c r="AO7" i="38"/>
  <c r="BD7" i="38"/>
  <c r="AP7" i="38"/>
  <c r="BE7" i="38"/>
  <c r="AQ7" i="38"/>
  <c r="BF7" i="38"/>
  <c r="AR7" i="38"/>
  <c r="BG7" i="38"/>
  <c r="AS7" i="38"/>
  <c r="BH7" i="38"/>
  <c r="AT7" i="38"/>
  <c r="BI7" i="38"/>
  <c r="AU7" i="38"/>
  <c r="BJ7" i="38"/>
  <c r="AV7" i="38"/>
  <c r="BK7" i="38"/>
  <c r="AW7" i="38"/>
  <c r="BL7" i="38"/>
  <c r="AX7" i="38"/>
  <c r="BM7" i="38"/>
  <c r="AY7" i="38"/>
  <c r="BN7" i="38"/>
  <c r="AZ7" i="38"/>
  <c r="BO7" i="38"/>
  <c r="BA7" i="38"/>
  <c r="BP7" i="38"/>
  <c r="BB7" i="38"/>
  <c r="BQ7" i="38"/>
  <c r="BR7" i="38"/>
  <c r="BR59" i="38"/>
  <c r="AN12" i="38"/>
  <c r="BC12" i="38"/>
  <c r="AO12" i="38"/>
  <c r="BD12" i="38"/>
  <c r="AP12" i="38"/>
  <c r="BE12" i="38"/>
  <c r="AQ12" i="38"/>
  <c r="BF12" i="38"/>
  <c r="AR12" i="38"/>
  <c r="BG12" i="38"/>
  <c r="AS12" i="38"/>
  <c r="BH12" i="38"/>
  <c r="AT12" i="38"/>
  <c r="BI12" i="38"/>
  <c r="AU12" i="38"/>
  <c r="BJ12" i="38"/>
  <c r="AV12" i="38"/>
  <c r="BK12" i="38"/>
  <c r="AW12" i="38"/>
  <c r="BL12" i="38"/>
  <c r="AX12" i="38"/>
  <c r="BM12" i="38"/>
  <c r="AY12" i="38"/>
  <c r="BN12" i="38"/>
  <c r="AZ12" i="38"/>
  <c r="BO12" i="38"/>
  <c r="BA12" i="38"/>
  <c r="BP12" i="38"/>
  <c r="BB12" i="38"/>
  <c r="BQ12" i="38"/>
  <c r="BR12" i="38"/>
  <c r="BR60" i="38"/>
  <c r="AN18" i="38"/>
  <c r="BC18" i="38"/>
  <c r="AO18" i="38"/>
  <c r="BD18" i="38"/>
  <c r="AP18" i="38"/>
  <c r="BE18" i="38"/>
  <c r="AQ18" i="38"/>
  <c r="BF18" i="38"/>
  <c r="AR18" i="38"/>
  <c r="BG18" i="38"/>
  <c r="AS18" i="38"/>
  <c r="BH18" i="38"/>
  <c r="AT18" i="38"/>
  <c r="BI18" i="38"/>
  <c r="AU18" i="38"/>
  <c r="BJ18" i="38"/>
  <c r="AV18" i="38"/>
  <c r="BK18" i="38"/>
  <c r="AW18" i="38"/>
  <c r="BL18" i="38"/>
  <c r="AX18" i="38"/>
  <c r="BM18" i="38"/>
  <c r="AY18" i="38"/>
  <c r="BN18" i="38"/>
  <c r="AZ18" i="38"/>
  <c r="BO18" i="38"/>
  <c r="BA18" i="38"/>
  <c r="BP18" i="38"/>
  <c r="BB18" i="38"/>
  <c r="BQ18" i="38"/>
  <c r="BR18" i="38"/>
  <c r="BR61" i="38"/>
  <c r="AN27" i="38"/>
  <c r="BC27" i="38"/>
  <c r="AO27" i="38"/>
  <c r="BD27" i="38"/>
  <c r="AP27" i="38"/>
  <c r="BE27" i="38"/>
  <c r="AQ27" i="38"/>
  <c r="BF27" i="38"/>
  <c r="AR27" i="38"/>
  <c r="BG27" i="38"/>
  <c r="AS27" i="38"/>
  <c r="BH27" i="38"/>
  <c r="AT27" i="38"/>
  <c r="BI27" i="38"/>
  <c r="AU27" i="38"/>
  <c r="BJ27" i="38"/>
  <c r="AV27" i="38"/>
  <c r="BK27" i="38"/>
  <c r="AW27" i="38"/>
  <c r="BL27" i="38"/>
  <c r="AX27" i="38"/>
  <c r="BM27" i="38"/>
  <c r="AY27" i="38"/>
  <c r="BN27" i="38"/>
  <c r="AZ27" i="38"/>
  <c r="BO27" i="38"/>
  <c r="BA27" i="38"/>
  <c r="BP27" i="38"/>
  <c r="BB27" i="38"/>
  <c r="BQ27" i="38"/>
  <c r="BR27" i="38"/>
  <c r="BR62" i="38"/>
  <c r="BR48" i="38"/>
  <c r="BR64" i="38"/>
  <c r="BR65" i="38"/>
  <c r="BR66" i="38"/>
  <c r="BR67" i="38"/>
  <c r="BR68" i="38"/>
  <c r="BR69" i="38"/>
  <c r="BR70" i="38"/>
  <c r="BR71" i="38"/>
  <c r="BR72" i="38"/>
  <c r="BR73" i="38"/>
  <c r="BR74" i="38"/>
  <c r="BR75" i="38"/>
  <c r="BR76" i="38"/>
  <c r="BR63" i="38"/>
  <c r="AP64" i="38"/>
  <c r="AP66" i="38"/>
  <c r="AP68" i="38"/>
  <c r="AP69" i="38"/>
  <c r="AP70" i="38"/>
  <c r="AP71" i="38"/>
  <c r="AP72" i="38"/>
  <c r="AP73" i="38"/>
  <c r="AP74" i="38"/>
  <c r="AP75" i="38"/>
  <c r="AP76" i="38"/>
  <c r="AP63" i="38"/>
  <c r="AP49" i="38"/>
  <c r="AP50" i="38"/>
  <c r="AP52" i="38"/>
  <c r="AP54" i="38"/>
  <c r="AP55" i="38"/>
  <c r="AP56" i="38"/>
  <c r="AP57" i="38"/>
  <c r="AP58" i="38"/>
  <c r="AP59" i="38"/>
  <c r="AP60" i="38"/>
  <c r="AP61" i="38"/>
  <c r="AP62" i="38"/>
  <c r="AP48" i="38"/>
  <c r="AP32" i="38"/>
  <c r="AP33" i="38"/>
  <c r="AP34" i="38"/>
  <c r="AP35" i="38"/>
  <c r="AP36" i="38"/>
  <c r="AP37" i="38"/>
  <c r="AP38" i="38"/>
  <c r="AP39" i="38"/>
  <c r="AP40" i="38"/>
  <c r="AP41" i="38"/>
  <c r="AP42" i="38"/>
  <c r="AP43" i="38"/>
  <c r="AP31" i="38"/>
  <c r="BB76" i="38"/>
  <c r="BA76" i="38"/>
  <c r="AZ76" i="38"/>
  <c r="AY76" i="38"/>
  <c r="AX76" i="38"/>
  <c r="AW76" i="38"/>
  <c r="AV76" i="38"/>
  <c r="AU76" i="38"/>
  <c r="AT76" i="38"/>
  <c r="AS76" i="38"/>
  <c r="AR76" i="38"/>
  <c r="AQ76" i="38"/>
  <c r="AO76" i="38"/>
  <c r="AN76" i="38"/>
  <c r="BB75" i="38"/>
  <c r="BA75" i="38"/>
  <c r="AZ75" i="38"/>
  <c r="AY75" i="38"/>
  <c r="AX75" i="38"/>
  <c r="AW75" i="38"/>
  <c r="AV75" i="38"/>
  <c r="AU75" i="38"/>
  <c r="AT75" i="38"/>
  <c r="AS75" i="38"/>
  <c r="AR75" i="38"/>
  <c r="AQ75" i="38"/>
  <c r="AO75" i="38"/>
  <c r="AN75" i="38"/>
  <c r="BB74" i="38"/>
  <c r="BA74" i="38"/>
  <c r="AZ74" i="38"/>
  <c r="AY74" i="38"/>
  <c r="AX74" i="38"/>
  <c r="AW74" i="38"/>
  <c r="AV74" i="38"/>
  <c r="AU74" i="38"/>
  <c r="AT74" i="38"/>
  <c r="AS74" i="38"/>
  <c r="AR74" i="38"/>
  <c r="AQ74" i="38"/>
  <c r="AO74" i="38"/>
  <c r="AN74" i="38"/>
  <c r="BB73" i="38"/>
  <c r="BA73" i="38"/>
  <c r="AZ73" i="38"/>
  <c r="AY73" i="38"/>
  <c r="AX73" i="38"/>
  <c r="AW73" i="38"/>
  <c r="AV73" i="38"/>
  <c r="AU73" i="38"/>
  <c r="AT73" i="38"/>
  <c r="AS73" i="38"/>
  <c r="AR73" i="38"/>
  <c r="AQ73" i="38"/>
  <c r="AO73" i="38"/>
  <c r="AN73" i="38"/>
  <c r="BB72" i="38"/>
  <c r="BA72" i="38"/>
  <c r="AZ72" i="38"/>
  <c r="AY72" i="38"/>
  <c r="AX72" i="38"/>
  <c r="AW72" i="38"/>
  <c r="AV72" i="38"/>
  <c r="AU72" i="38"/>
  <c r="AT72" i="38"/>
  <c r="AS72" i="38"/>
  <c r="AR72" i="38"/>
  <c r="AQ72" i="38"/>
  <c r="AO72" i="38"/>
  <c r="AN72" i="38"/>
  <c r="BB71" i="38"/>
  <c r="BA71" i="38"/>
  <c r="AZ71" i="38"/>
  <c r="AY71" i="38"/>
  <c r="AX71" i="38"/>
  <c r="AW71" i="38"/>
  <c r="AV71" i="38"/>
  <c r="AU71" i="38"/>
  <c r="AT71" i="38"/>
  <c r="AS71" i="38"/>
  <c r="AR71" i="38"/>
  <c r="AQ71" i="38"/>
  <c r="AO71" i="38"/>
  <c r="AN71" i="38"/>
  <c r="BB70" i="38"/>
  <c r="BA70" i="38"/>
  <c r="AZ70" i="38"/>
  <c r="AY70" i="38"/>
  <c r="AX70" i="38"/>
  <c r="AW70" i="38"/>
  <c r="AV70" i="38"/>
  <c r="AU70" i="38"/>
  <c r="AT70" i="38"/>
  <c r="AS70" i="38"/>
  <c r="AR70" i="38"/>
  <c r="AQ70" i="38"/>
  <c r="AO70" i="38"/>
  <c r="AN70" i="38"/>
  <c r="BB69" i="38"/>
  <c r="BA69" i="38"/>
  <c r="AZ69" i="38"/>
  <c r="AY69" i="38"/>
  <c r="AX69" i="38"/>
  <c r="AW69" i="38"/>
  <c r="AV69" i="38"/>
  <c r="AU69" i="38"/>
  <c r="AT69" i="38"/>
  <c r="AS69" i="38"/>
  <c r="AR69" i="38"/>
  <c r="AQ69" i="38"/>
  <c r="AO69" i="38"/>
  <c r="AN69" i="38"/>
  <c r="BB68" i="38"/>
  <c r="BA68" i="38"/>
  <c r="AZ68" i="38"/>
  <c r="AY68" i="38"/>
  <c r="AX68" i="38"/>
  <c r="AW68" i="38"/>
  <c r="AV68" i="38"/>
  <c r="AU68" i="38"/>
  <c r="AT68" i="38"/>
  <c r="AS68" i="38"/>
  <c r="AR68" i="38"/>
  <c r="AQ68" i="38"/>
  <c r="AO68" i="38"/>
  <c r="AN68" i="38"/>
  <c r="BB67" i="38"/>
  <c r="BA67" i="38"/>
  <c r="AZ67" i="38"/>
  <c r="AY67" i="38"/>
  <c r="AX67" i="38"/>
  <c r="AW67" i="38"/>
  <c r="AV67" i="38"/>
  <c r="AU67" i="38"/>
  <c r="AT67" i="38"/>
  <c r="AS67" i="38"/>
  <c r="AR67" i="38"/>
  <c r="AQ67" i="38"/>
  <c r="AP67" i="38"/>
  <c r="AO67" i="38"/>
  <c r="AN67" i="38"/>
  <c r="BB66" i="38"/>
  <c r="BA66" i="38"/>
  <c r="AZ66" i="38"/>
  <c r="AY66" i="38"/>
  <c r="AX66" i="38"/>
  <c r="AW66" i="38"/>
  <c r="AV66" i="38"/>
  <c r="AU66" i="38"/>
  <c r="AT66" i="38"/>
  <c r="AS66" i="38"/>
  <c r="AR66" i="38"/>
  <c r="AQ66" i="38"/>
  <c r="AO66" i="38"/>
  <c r="AN66" i="38"/>
  <c r="BB65" i="38"/>
  <c r="BA65" i="38"/>
  <c r="AZ65" i="38"/>
  <c r="AY65" i="38"/>
  <c r="AX65" i="38"/>
  <c r="AW65" i="38"/>
  <c r="AV65" i="38"/>
  <c r="AU65" i="38"/>
  <c r="AT65" i="38"/>
  <c r="AS65" i="38"/>
  <c r="AR65" i="38"/>
  <c r="AQ65" i="38"/>
  <c r="AP65" i="38"/>
  <c r="AO65" i="38"/>
  <c r="AN65" i="38"/>
  <c r="BB64" i="38"/>
  <c r="BA64" i="38"/>
  <c r="AZ64" i="38"/>
  <c r="AY64" i="38"/>
  <c r="AX64" i="38"/>
  <c r="AW64" i="38"/>
  <c r="AV64" i="38"/>
  <c r="AU64" i="38"/>
  <c r="AT64" i="38"/>
  <c r="AS64" i="38"/>
  <c r="AR64" i="38"/>
  <c r="AQ64" i="38"/>
  <c r="AO64" i="38"/>
  <c r="AN64" i="38"/>
  <c r="BB63" i="38"/>
  <c r="BA63" i="38"/>
  <c r="AZ63" i="38"/>
  <c r="AY63" i="38"/>
  <c r="AX63" i="38"/>
  <c r="AW63" i="38"/>
  <c r="AV63" i="38"/>
  <c r="AU63" i="38"/>
  <c r="AT63" i="38"/>
  <c r="AS63" i="38"/>
  <c r="AR63" i="38"/>
  <c r="AQ63" i="38"/>
  <c r="AO63" i="38"/>
  <c r="AN63" i="38"/>
  <c r="BB62" i="38"/>
  <c r="BA62" i="38"/>
  <c r="AZ62" i="38"/>
  <c r="AY62" i="38"/>
  <c r="AX62" i="38"/>
  <c r="AW62" i="38"/>
  <c r="AV62" i="38"/>
  <c r="AU62" i="38"/>
  <c r="AT62" i="38"/>
  <c r="AS62" i="38"/>
  <c r="AR62" i="38"/>
  <c r="AQ62" i="38"/>
  <c r="AO62" i="38"/>
  <c r="AN62" i="38"/>
  <c r="BB61" i="38"/>
  <c r="BA61" i="38"/>
  <c r="AZ61" i="38"/>
  <c r="AY61" i="38"/>
  <c r="AX61" i="38"/>
  <c r="AW61" i="38"/>
  <c r="AV61" i="38"/>
  <c r="AU61" i="38"/>
  <c r="AT61" i="38"/>
  <c r="AS61" i="38"/>
  <c r="AR61" i="38"/>
  <c r="AQ61" i="38"/>
  <c r="AO61" i="38"/>
  <c r="AN61" i="38"/>
  <c r="BB60" i="38"/>
  <c r="BA60" i="38"/>
  <c r="AZ60" i="38"/>
  <c r="AY60" i="38"/>
  <c r="AX60" i="38"/>
  <c r="AW60" i="38"/>
  <c r="AV60" i="38"/>
  <c r="AU60" i="38"/>
  <c r="AT60" i="38"/>
  <c r="AS60" i="38"/>
  <c r="AR60" i="38"/>
  <c r="AQ60" i="38"/>
  <c r="AO60" i="38"/>
  <c r="AN60" i="38"/>
  <c r="BB59" i="38"/>
  <c r="BA59" i="38"/>
  <c r="AZ59" i="38"/>
  <c r="AY59" i="38"/>
  <c r="AX59" i="38"/>
  <c r="AW59" i="38"/>
  <c r="AV59" i="38"/>
  <c r="AU59" i="38"/>
  <c r="AT59" i="38"/>
  <c r="AS59" i="38"/>
  <c r="AR59" i="38"/>
  <c r="AQ59" i="38"/>
  <c r="AO59" i="38"/>
  <c r="AN59" i="38"/>
  <c r="BB58" i="38"/>
  <c r="BA58" i="38"/>
  <c r="AZ58" i="38"/>
  <c r="AY58" i="38"/>
  <c r="AX58" i="38"/>
  <c r="AW58" i="38"/>
  <c r="AV58" i="38"/>
  <c r="AU58" i="38"/>
  <c r="AT58" i="38"/>
  <c r="AS58" i="38"/>
  <c r="AR58" i="38"/>
  <c r="AQ58" i="38"/>
  <c r="AO58" i="38"/>
  <c r="AN58" i="38"/>
  <c r="BB57" i="38"/>
  <c r="BA57" i="38"/>
  <c r="AZ57" i="38"/>
  <c r="AY57" i="38"/>
  <c r="AX57" i="38"/>
  <c r="AW57" i="38"/>
  <c r="AV57" i="38"/>
  <c r="AU57" i="38"/>
  <c r="AT57" i="38"/>
  <c r="AS57" i="38"/>
  <c r="AR57" i="38"/>
  <c r="AQ57" i="38"/>
  <c r="AO57" i="38"/>
  <c r="AN57" i="38"/>
  <c r="BB56" i="38"/>
  <c r="BA56" i="38"/>
  <c r="AZ56" i="38"/>
  <c r="AY56" i="38"/>
  <c r="AX56" i="38"/>
  <c r="AW56" i="38"/>
  <c r="AV56" i="38"/>
  <c r="AU56" i="38"/>
  <c r="AT56" i="38"/>
  <c r="AS56" i="38"/>
  <c r="AR56" i="38"/>
  <c r="AQ56" i="38"/>
  <c r="AO56" i="38"/>
  <c r="AN56" i="38"/>
  <c r="BB55" i="38"/>
  <c r="BA55" i="38"/>
  <c r="AZ55" i="38"/>
  <c r="AY55" i="38"/>
  <c r="AX55" i="38"/>
  <c r="AW55" i="38"/>
  <c r="AV55" i="38"/>
  <c r="AU55" i="38"/>
  <c r="AT55" i="38"/>
  <c r="AS55" i="38"/>
  <c r="AR55" i="38"/>
  <c r="AQ55" i="38"/>
  <c r="AO55" i="38"/>
  <c r="AN55" i="38"/>
  <c r="BB54" i="38"/>
  <c r="BA54" i="38"/>
  <c r="AZ54" i="38"/>
  <c r="AY54" i="38"/>
  <c r="AX54" i="38"/>
  <c r="AW54" i="38"/>
  <c r="AV54" i="38"/>
  <c r="AU54" i="38"/>
  <c r="AT54" i="38"/>
  <c r="AS54" i="38"/>
  <c r="AR54" i="38"/>
  <c r="AQ54" i="38"/>
  <c r="AO54" i="38"/>
  <c r="AN54" i="38"/>
  <c r="BB53" i="38"/>
  <c r="BA53" i="38"/>
  <c r="AZ53" i="38"/>
  <c r="AY53" i="38"/>
  <c r="AX53" i="38"/>
  <c r="AW53" i="38"/>
  <c r="AV53" i="38"/>
  <c r="AU53" i="38"/>
  <c r="AT53" i="38"/>
  <c r="AS53" i="38"/>
  <c r="AR53" i="38"/>
  <c r="AQ53" i="38"/>
  <c r="AP53" i="38"/>
  <c r="AO53" i="38"/>
  <c r="AN53" i="38"/>
  <c r="BB52" i="38"/>
  <c r="BA52" i="38"/>
  <c r="AZ52" i="38"/>
  <c r="AY52" i="38"/>
  <c r="AX52" i="38"/>
  <c r="AW52" i="38"/>
  <c r="AV52" i="38"/>
  <c r="AU52" i="38"/>
  <c r="AT52" i="38"/>
  <c r="AS52" i="38"/>
  <c r="AR52" i="38"/>
  <c r="AQ52" i="38"/>
  <c r="AO52" i="38"/>
  <c r="AN52" i="38"/>
  <c r="BB51" i="38"/>
  <c r="BA51" i="38"/>
  <c r="AZ51" i="38"/>
  <c r="AY51" i="38"/>
  <c r="AX51" i="38"/>
  <c r="AW51" i="38"/>
  <c r="AV51" i="38"/>
  <c r="AU51" i="38"/>
  <c r="AT51" i="38"/>
  <c r="AS51" i="38"/>
  <c r="AR51" i="38"/>
  <c r="AQ51" i="38"/>
  <c r="AP51" i="38"/>
  <c r="AO51" i="38"/>
  <c r="AN51" i="38"/>
  <c r="BB50" i="38"/>
  <c r="BA50" i="38"/>
  <c r="AZ50" i="38"/>
  <c r="AY50" i="38"/>
  <c r="AX50" i="38"/>
  <c r="AW50" i="38"/>
  <c r="AV50" i="38"/>
  <c r="AU50" i="38"/>
  <c r="AT50" i="38"/>
  <c r="AS50" i="38"/>
  <c r="AR50" i="38"/>
  <c r="AQ50" i="38"/>
  <c r="AO50" i="38"/>
  <c r="AN50" i="38"/>
  <c r="BB49" i="38"/>
  <c r="BA49" i="38"/>
  <c r="AZ49" i="38"/>
  <c r="AY49" i="38"/>
  <c r="AX49" i="38"/>
  <c r="AW49" i="38"/>
  <c r="AV49" i="38"/>
  <c r="AU49" i="38"/>
  <c r="AT49" i="38"/>
  <c r="AS49" i="38"/>
  <c r="AR49" i="38"/>
  <c r="AQ49" i="38"/>
  <c r="AO49" i="38"/>
  <c r="AN49" i="38"/>
  <c r="BB48" i="38"/>
  <c r="BA48" i="38"/>
  <c r="AZ48" i="38"/>
  <c r="AY48" i="38"/>
  <c r="AX48" i="38"/>
  <c r="AW48" i="38"/>
  <c r="AV48" i="38"/>
  <c r="AU48" i="38"/>
  <c r="AT48" i="38"/>
  <c r="AS48" i="38"/>
  <c r="AR48" i="38"/>
  <c r="AQ48" i="38"/>
  <c r="AO48" i="38"/>
  <c r="AN48" i="38"/>
  <c r="BB47" i="38"/>
  <c r="BA47" i="38"/>
  <c r="AZ47" i="38"/>
  <c r="AY47" i="38"/>
  <c r="AX47" i="38"/>
  <c r="AW47" i="38"/>
  <c r="AV47" i="38"/>
  <c r="AU47" i="38"/>
  <c r="AT47" i="38"/>
  <c r="AS47" i="38"/>
  <c r="AR47" i="38"/>
  <c r="AQ47" i="38"/>
  <c r="AP47" i="38"/>
  <c r="AO47" i="38"/>
  <c r="AN47" i="38"/>
  <c r="BB46" i="38"/>
  <c r="BA46" i="38"/>
  <c r="AZ46" i="38"/>
  <c r="AY46" i="38"/>
  <c r="AX46" i="38"/>
  <c r="AW46" i="38"/>
  <c r="AV46" i="38"/>
  <c r="AU46" i="38"/>
  <c r="AT46" i="38"/>
  <c r="AS46" i="38"/>
  <c r="AR46" i="38"/>
  <c r="AQ46" i="38"/>
  <c r="AP46" i="38"/>
  <c r="AO46" i="38"/>
  <c r="AN46" i="38"/>
  <c r="BB45" i="38"/>
  <c r="BA45" i="38"/>
  <c r="AZ45" i="38"/>
  <c r="AY45" i="38"/>
  <c r="AX45" i="38"/>
  <c r="AW45" i="38"/>
  <c r="AV45" i="38"/>
  <c r="AU45" i="38"/>
  <c r="AT45" i="38"/>
  <c r="AS45" i="38"/>
  <c r="AR45" i="38"/>
  <c r="AQ45" i="38"/>
  <c r="AP45" i="38"/>
  <c r="AO45" i="38"/>
  <c r="AN45" i="38"/>
  <c r="BB44" i="38"/>
  <c r="BA44" i="38"/>
  <c r="AZ44" i="38"/>
  <c r="AY44" i="38"/>
  <c r="AX44" i="38"/>
  <c r="AW44" i="38"/>
  <c r="AV44" i="38"/>
  <c r="AU44" i="38"/>
  <c r="AT44" i="38"/>
  <c r="AS44" i="38"/>
  <c r="AR44" i="38"/>
  <c r="AQ44" i="38"/>
  <c r="AP44" i="38"/>
  <c r="AO44" i="38"/>
  <c r="AN44" i="38"/>
  <c r="BB43" i="38"/>
  <c r="BA43" i="38"/>
  <c r="AZ43" i="38"/>
  <c r="AY43" i="38"/>
  <c r="AX43" i="38"/>
  <c r="AW43" i="38"/>
  <c r="AV43" i="38"/>
  <c r="AU43" i="38"/>
  <c r="AT43" i="38"/>
  <c r="AS43" i="38"/>
  <c r="AR43" i="38"/>
  <c r="AQ43" i="38"/>
  <c r="AO43" i="38"/>
  <c r="AN43" i="38"/>
  <c r="BB42" i="38"/>
  <c r="BA42" i="38"/>
  <c r="AZ42" i="38"/>
  <c r="AY42" i="38"/>
  <c r="AX42" i="38"/>
  <c r="AW42" i="38"/>
  <c r="AV42" i="38"/>
  <c r="AU42" i="38"/>
  <c r="AT42" i="38"/>
  <c r="AS42" i="38"/>
  <c r="AR42" i="38"/>
  <c r="AQ42" i="38"/>
  <c r="AO42" i="38"/>
  <c r="AN42" i="38"/>
  <c r="BB41" i="38"/>
  <c r="BA41" i="38"/>
  <c r="AZ41" i="38"/>
  <c r="AY41" i="38"/>
  <c r="AX41" i="38"/>
  <c r="AW41" i="38"/>
  <c r="AV41" i="38"/>
  <c r="AU41" i="38"/>
  <c r="AT41" i="38"/>
  <c r="AS41" i="38"/>
  <c r="AR41" i="38"/>
  <c r="AQ41" i="38"/>
  <c r="AO41" i="38"/>
  <c r="AN41" i="38"/>
  <c r="BB40" i="38"/>
  <c r="BA40" i="38"/>
  <c r="AZ40" i="38"/>
  <c r="AY40" i="38"/>
  <c r="AX40" i="38"/>
  <c r="AW40" i="38"/>
  <c r="AV40" i="38"/>
  <c r="AU40" i="38"/>
  <c r="AT40" i="38"/>
  <c r="AS40" i="38"/>
  <c r="AR40" i="38"/>
  <c r="AQ40" i="38"/>
  <c r="AO40" i="38"/>
  <c r="AN40" i="38"/>
  <c r="BB39" i="38"/>
  <c r="BA39" i="38"/>
  <c r="AZ39" i="38"/>
  <c r="AY39" i="38"/>
  <c r="AX39" i="38"/>
  <c r="AW39" i="38"/>
  <c r="AV39" i="38"/>
  <c r="AU39" i="38"/>
  <c r="AT39" i="38"/>
  <c r="AS39" i="38"/>
  <c r="AR39" i="38"/>
  <c r="AQ39" i="38"/>
  <c r="AO39" i="38"/>
  <c r="AN39" i="38"/>
  <c r="BB38" i="38"/>
  <c r="BA38" i="38"/>
  <c r="AZ38" i="38"/>
  <c r="AY38" i="38"/>
  <c r="AX38" i="38"/>
  <c r="AW38" i="38"/>
  <c r="AV38" i="38"/>
  <c r="AU38" i="38"/>
  <c r="AT38" i="38"/>
  <c r="AS38" i="38"/>
  <c r="AR38" i="38"/>
  <c r="AQ38" i="38"/>
  <c r="AO38" i="38"/>
  <c r="AN38" i="38"/>
  <c r="BB37" i="38"/>
  <c r="BA37" i="38"/>
  <c r="AZ37" i="38"/>
  <c r="AY37" i="38"/>
  <c r="AX37" i="38"/>
  <c r="AW37" i="38"/>
  <c r="AV37" i="38"/>
  <c r="AU37" i="38"/>
  <c r="AT37" i="38"/>
  <c r="AS37" i="38"/>
  <c r="AR37" i="38"/>
  <c r="AQ37" i="38"/>
  <c r="AO37" i="38"/>
  <c r="AN37" i="38"/>
  <c r="BB36" i="38"/>
  <c r="BA36" i="38"/>
  <c r="AZ36" i="38"/>
  <c r="AY36" i="38"/>
  <c r="AX36" i="38"/>
  <c r="AW36" i="38"/>
  <c r="AV36" i="38"/>
  <c r="AU36" i="38"/>
  <c r="AT36" i="38"/>
  <c r="AS36" i="38"/>
  <c r="AR36" i="38"/>
  <c r="AQ36" i="38"/>
  <c r="AO36" i="38"/>
  <c r="AN36" i="38"/>
  <c r="BB35" i="38"/>
  <c r="BA35" i="38"/>
  <c r="AZ35" i="38"/>
  <c r="AY35" i="38"/>
  <c r="AX35" i="38"/>
  <c r="AW35" i="38"/>
  <c r="AV35" i="38"/>
  <c r="AU35" i="38"/>
  <c r="AT35" i="38"/>
  <c r="AS35" i="38"/>
  <c r="AR35" i="38"/>
  <c r="AQ35" i="38"/>
  <c r="AO35" i="38"/>
  <c r="AN35" i="38"/>
  <c r="BB34" i="38"/>
  <c r="BA34" i="38"/>
  <c r="AZ34" i="38"/>
  <c r="AY34" i="38"/>
  <c r="AX34" i="38"/>
  <c r="AW34" i="38"/>
  <c r="AV34" i="38"/>
  <c r="AU34" i="38"/>
  <c r="AT34" i="38"/>
  <c r="AS34" i="38"/>
  <c r="AR34" i="38"/>
  <c r="AQ34" i="38"/>
  <c r="AO34" i="38"/>
  <c r="AN34" i="38"/>
  <c r="BB33" i="38"/>
  <c r="BA33" i="38"/>
  <c r="AZ33" i="38"/>
  <c r="AY33" i="38"/>
  <c r="AX33" i="38"/>
  <c r="AW33" i="38"/>
  <c r="AV33" i="38"/>
  <c r="AU33" i="38"/>
  <c r="AT33" i="38"/>
  <c r="AS33" i="38"/>
  <c r="AR33" i="38"/>
  <c r="AQ33" i="38"/>
  <c r="AO33" i="38"/>
  <c r="AN33" i="38"/>
  <c r="BB32" i="38"/>
  <c r="BA32" i="38"/>
  <c r="AZ32" i="38"/>
  <c r="AY32" i="38"/>
  <c r="AX32" i="38"/>
  <c r="AW32" i="38"/>
  <c r="AV32" i="38"/>
  <c r="AU32" i="38"/>
  <c r="AT32" i="38"/>
  <c r="AS32" i="38"/>
  <c r="AR32" i="38"/>
  <c r="AQ32" i="38"/>
  <c r="AO32" i="38"/>
  <c r="AN32" i="38"/>
  <c r="BB31" i="38"/>
  <c r="BA31" i="38"/>
  <c r="AZ31" i="38"/>
  <c r="AY31" i="38"/>
  <c r="AX31" i="38"/>
  <c r="AW31" i="38"/>
  <c r="AV31" i="38"/>
  <c r="AU31" i="38"/>
  <c r="AT31" i="38"/>
  <c r="AS31" i="38"/>
  <c r="AR31" i="38"/>
  <c r="AQ31" i="38"/>
  <c r="AO31" i="38"/>
  <c r="AN31" i="38"/>
  <c r="E49" i="38"/>
  <c r="E50" i="38"/>
  <c r="E51" i="38"/>
  <c r="E52" i="38"/>
  <c r="E53" i="38"/>
  <c r="E54" i="38"/>
  <c r="E55" i="38"/>
  <c r="E56" i="38"/>
  <c r="E57" i="38"/>
  <c r="E58" i="38"/>
  <c r="E59" i="38"/>
  <c r="E60" i="38"/>
  <c r="E61" i="38"/>
  <c r="E62" i="38"/>
  <c r="E48" i="38"/>
  <c r="F49" i="38"/>
  <c r="F50" i="38"/>
  <c r="F51" i="38"/>
  <c r="F52" i="38"/>
  <c r="F53" i="38"/>
  <c r="F54" i="38"/>
  <c r="F55" i="38"/>
  <c r="F56" i="38"/>
  <c r="F57" i="38"/>
  <c r="F58" i="38"/>
  <c r="F59" i="38"/>
  <c r="F60" i="38"/>
  <c r="F61" i="38"/>
  <c r="F62" i="38"/>
  <c r="F48" i="38"/>
  <c r="G49" i="38"/>
  <c r="G50" i="38"/>
  <c r="G51" i="38"/>
  <c r="G52" i="38"/>
  <c r="G53" i="38"/>
  <c r="G54" i="38"/>
  <c r="G55" i="38"/>
  <c r="G56" i="38"/>
  <c r="G57" i="38"/>
  <c r="G58" i="38"/>
  <c r="G59" i="38"/>
  <c r="G60" i="38"/>
  <c r="G61" i="38"/>
  <c r="G62" i="38"/>
  <c r="G48" i="38"/>
  <c r="H49" i="38"/>
  <c r="H50" i="38"/>
  <c r="H51" i="38"/>
  <c r="H52" i="38"/>
  <c r="H53" i="38"/>
  <c r="H54" i="38"/>
  <c r="H55" i="38"/>
  <c r="H56" i="38"/>
  <c r="H57" i="38"/>
  <c r="H58" i="38"/>
  <c r="H59" i="38"/>
  <c r="H60" i="38"/>
  <c r="H61" i="38"/>
  <c r="H62" i="38"/>
  <c r="H48" i="38"/>
  <c r="I49" i="38"/>
  <c r="I50" i="38"/>
  <c r="I51" i="38"/>
  <c r="I52" i="38"/>
  <c r="I53" i="38"/>
  <c r="I54" i="38"/>
  <c r="I55" i="38"/>
  <c r="I56" i="38"/>
  <c r="I57" i="38"/>
  <c r="I58" i="38"/>
  <c r="I59" i="38"/>
  <c r="I60" i="38"/>
  <c r="I61" i="38"/>
  <c r="I62" i="38"/>
  <c r="I48" i="38"/>
  <c r="J49" i="38"/>
  <c r="J50" i="38"/>
  <c r="J51" i="38"/>
  <c r="J52" i="38"/>
  <c r="J53" i="38"/>
  <c r="J54" i="38"/>
  <c r="J55" i="38"/>
  <c r="J56" i="38"/>
  <c r="J57" i="38"/>
  <c r="J58" i="38"/>
  <c r="J59" i="38"/>
  <c r="J60" i="38"/>
  <c r="J61" i="38"/>
  <c r="J62" i="38"/>
  <c r="J48" i="38"/>
  <c r="K49" i="38"/>
  <c r="K50" i="38"/>
  <c r="K51" i="38"/>
  <c r="K52" i="38"/>
  <c r="K53" i="38"/>
  <c r="K54" i="38"/>
  <c r="K55" i="38"/>
  <c r="K56" i="38"/>
  <c r="K57" i="38"/>
  <c r="K58" i="38"/>
  <c r="K59" i="38"/>
  <c r="K60" i="38"/>
  <c r="K61" i="38"/>
  <c r="K62" i="38"/>
  <c r="K48" i="38"/>
  <c r="L49" i="38"/>
  <c r="L50" i="38"/>
  <c r="L51" i="38"/>
  <c r="L52" i="38"/>
  <c r="L53" i="38"/>
  <c r="L54" i="38"/>
  <c r="L55" i="38"/>
  <c r="L56" i="38"/>
  <c r="L57" i="38"/>
  <c r="L58" i="38"/>
  <c r="L59" i="38"/>
  <c r="L60" i="38"/>
  <c r="L61" i="38"/>
  <c r="L62" i="38"/>
  <c r="L48" i="38"/>
  <c r="M49" i="38"/>
  <c r="M50" i="38"/>
  <c r="M51" i="38"/>
  <c r="M52" i="38"/>
  <c r="M53" i="38"/>
  <c r="M54" i="38"/>
  <c r="M55" i="38"/>
  <c r="M56" i="38"/>
  <c r="M57" i="38"/>
  <c r="M58" i="38"/>
  <c r="M59" i="38"/>
  <c r="M60" i="38"/>
  <c r="M61" i="38"/>
  <c r="M62" i="38"/>
  <c r="M48" i="38"/>
  <c r="N49" i="38"/>
  <c r="N50" i="38"/>
  <c r="N51" i="38"/>
  <c r="N52" i="38"/>
  <c r="N53" i="38"/>
  <c r="N54" i="38"/>
  <c r="N55" i="38"/>
  <c r="N56" i="38"/>
  <c r="N57" i="38"/>
  <c r="N58" i="38"/>
  <c r="N59" i="38"/>
  <c r="N60" i="38"/>
  <c r="N61" i="38"/>
  <c r="N62" i="38"/>
  <c r="N48" i="38"/>
  <c r="O49" i="38"/>
  <c r="O50" i="38"/>
  <c r="O51" i="38"/>
  <c r="O52" i="38"/>
  <c r="O53" i="38"/>
  <c r="O54" i="38"/>
  <c r="O55" i="38"/>
  <c r="O56" i="38"/>
  <c r="O57" i="38"/>
  <c r="O58" i="38"/>
  <c r="O59" i="38"/>
  <c r="O60" i="38"/>
  <c r="O61" i="38"/>
  <c r="O62" i="38"/>
  <c r="O48" i="38"/>
  <c r="D23" i="38"/>
  <c r="D49" i="38"/>
  <c r="D25" i="38"/>
  <c r="D50" i="38"/>
  <c r="D21" i="38"/>
  <c r="D51" i="38"/>
  <c r="D17" i="38"/>
  <c r="D52" i="38"/>
  <c r="D5" i="38"/>
  <c r="D53" i="38"/>
  <c r="D9" i="38"/>
  <c r="D54" i="38"/>
  <c r="D24" i="38"/>
  <c r="D55" i="38"/>
  <c r="D20" i="38"/>
  <c r="D56" i="38"/>
  <c r="D29" i="38"/>
  <c r="D57" i="38"/>
  <c r="D16" i="38"/>
  <c r="D58" i="38"/>
  <c r="D7" i="38"/>
  <c r="D59" i="38"/>
  <c r="D12" i="38"/>
  <c r="D60" i="38"/>
  <c r="D18" i="38"/>
  <c r="D61" i="38"/>
  <c r="D27" i="38"/>
  <c r="D62" i="38"/>
  <c r="D48" i="38"/>
  <c r="O64" i="38"/>
  <c r="O65" i="38"/>
  <c r="O66" i="38"/>
  <c r="O67" i="38"/>
  <c r="O68" i="38"/>
  <c r="O69" i="38"/>
  <c r="O70" i="38"/>
  <c r="O71" i="38"/>
  <c r="O72" i="38"/>
  <c r="O73" i="38"/>
  <c r="O74" i="38"/>
  <c r="O75" i="38"/>
  <c r="O76" i="38"/>
  <c r="O63" i="38"/>
  <c r="N64" i="38"/>
  <c r="N65" i="38"/>
  <c r="N66" i="38"/>
  <c r="N67" i="38"/>
  <c r="N68" i="38"/>
  <c r="N69" i="38"/>
  <c r="N70" i="38"/>
  <c r="N71" i="38"/>
  <c r="N72" i="38"/>
  <c r="N73" i="38"/>
  <c r="N74" i="38"/>
  <c r="N75" i="38"/>
  <c r="N76" i="38"/>
  <c r="N63" i="38"/>
  <c r="M64" i="38"/>
  <c r="M65" i="38"/>
  <c r="M66" i="38"/>
  <c r="M67" i="38"/>
  <c r="M68" i="38"/>
  <c r="M69" i="38"/>
  <c r="M70" i="38"/>
  <c r="M71" i="38"/>
  <c r="M72" i="38"/>
  <c r="M73" i="38"/>
  <c r="M74" i="38"/>
  <c r="M75" i="38"/>
  <c r="M76" i="38"/>
  <c r="M63" i="38"/>
  <c r="L64" i="38"/>
  <c r="L65" i="38"/>
  <c r="L66" i="38"/>
  <c r="L67" i="38"/>
  <c r="L68" i="38"/>
  <c r="L69" i="38"/>
  <c r="L70" i="38"/>
  <c r="L71" i="38"/>
  <c r="L72" i="38"/>
  <c r="L73" i="38"/>
  <c r="L74" i="38"/>
  <c r="L75" i="38"/>
  <c r="L76" i="38"/>
  <c r="L63" i="38"/>
  <c r="K64" i="38"/>
  <c r="K65" i="38"/>
  <c r="K66" i="38"/>
  <c r="K67" i="38"/>
  <c r="K68" i="38"/>
  <c r="K69" i="38"/>
  <c r="K70" i="38"/>
  <c r="K71" i="38"/>
  <c r="K72" i="38"/>
  <c r="K73" i="38"/>
  <c r="K74" i="38"/>
  <c r="K75" i="38"/>
  <c r="K76" i="38"/>
  <c r="K63" i="38"/>
  <c r="J64" i="38"/>
  <c r="J65" i="38"/>
  <c r="J66" i="38"/>
  <c r="J67" i="38"/>
  <c r="J68" i="38"/>
  <c r="J69" i="38"/>
  <c r="J70" i="38"/>
  <c r="J71" i="38"/>
  <c r="J72" i="38"/>
  <c r="J73" i="38"/>
  <c r="J74" i="38"/>
  <c r="J75" i="38"/>
  <c r="J76" i="38"/>
  <c r="J63" i="38"/>
  <c r="I64" i="38"/>
  <c r="I65" i="38"/>
  <c r="I66" i="38"/>
  <c r="I67" i="38"/>
  <c r="I68" i="38"/>
  <c r="I69" i="38"/>
  <c r="I70" i="38"/>
  <c r="I71" i="38"/>
  <c r="I72" i="38"/>
  <c r="I73" i="38"/>
  <c r="I74" i="38"/>
  <c r="I75" i="38"/>
  <c r="I76" i="38"/>
  <c r="I63" i="38"/>
  <c r="H64" i="38"/>
  <c r="H65" i="38"/>
  <c r="H66" i="38"/>
  <c r="H67" i="38"/>
  <c r="H68" i="38"/>
  <c r="H69" i="38"/>
  <c r="H70" i="38"/>
  <c r="H71" i="38"/>
  <c r="H72" i="38"/>
  <c r="H73" i="38"/>
  <c r="H74" i="38"/>
  <c r="H75" i="38"/>
  <c r="H76" i="38"/>
  <c r="H63" i="38"/>
  <c r="G64" i="38"/>
  <c r="G65" i="38"/>
  <c r="G66" i="38"/>
  <c r="G67" i="38"/>
  <c r="G68" i="38"/>
  <c r="G69" i="38"/>
  <c r="G70" i="38"/>
  <c r="G71" i="38"/>
  <c r="G72" i="38"/>
  <c r="G73" i="38"/>
  <c r="G74" i="38"/>
  <c r="G75" i="38"/>
  <c r="G76" i="38"/>
  <c r="G63" i="38"/>
  <c r="F64" i="38"/>
  <c r="F65" i="38"/>
  <c r="F66" i="38"/>
  <c r="F67" i="38"/>
  <c r="F68" i="38"/>
  <c r="F69" i="38"/>
  <c r="F70" i="38"/>
  <c r="F71" i="38"/>
  <c r="F72" i="38"/>
  <c r="F73" i="38"/>
  <c r="F74" i="38"/>
  <c r="F75" i="38"/>
  <c r="F76" i="38"/>
  <c r="F63" i="38"/>
  <c r="E64" i="38"/>
  <c r="E65" i="38"/>
  <c r="E66" i="38"/>
  <c r="E67" i="38"/>
  <c r="E68" i="38"/>
  <c r="E69" i="38"/>
  <c r="E70" i="38"/>
  <c r="E71" i="38"/>
  <c r="E72" i="38"/>
  <c r="E73" i="38"/>
  <c r="E74" i="38"/>
  <c r="E75" i="38"/>
  <c r="E76" i="38"/>
  <c r="E63" i="38"/>
  <c r="D64" i="38"/>
  <c r="D65" i="38"/>
  <c r="D66" i="38"/>
  <c r="D67" i="38"/>
  <c r="D68" i="38"/>
  <c r="D69" i="38"/>
  <c r="D70" i="38"/>
  <c r="D71" i="38"/>
  <c r="D72" i="38"/>
  <c r="D73" i="38"/>
  <c r="D74" i="38"/>
  <c r="D75" i="38"/>
  <c r="D76" i="38"/>
  <c r="D63" i="38"/>
  <c r="E32" i="38"/>
  <c r="E33" i="38"/>
  <c r="E34" i="38"/>
  <c r="E35" i="38"/>
  <c r="E36" i="38"/>
  <c r="E37" i="38"/>
  <c r="E38" i="38"/>
  <c r="E39" i="38"/>
  <c r="E40" i="38"/>
  <c r="E41" i="38"/>
  <c r="E42" i="38"/>
  <c r="E43" i="38"/>
  <c r="E44" i="38"/>
  <c r="E31" i="38"/>
  <c r="F32" i="38"/>
  <c r="F33" i="38"/>
  <c r="F34" i="38"/>
  <c r="F35" i="38"/>
  <c r="F36" i="38"/>
  <c r="F37" i="38"/>
  <c r="F38" i="38"/>
  <c r="F39" i="38"/>
  <c r="F40" i="38"/>
  <c r="F41" i="38"/>
  <c r="F42" i="38"/>
  <c r="F43" i="38"/>
  <c r="F44" i="38"/>
  <c r="F31" i="38"/>
  <c r="G32" i="38"/>
  <c r="G33" i="38"/>
  <c r="G34" i="38"/>
  <c r="G35" i="38"/>
  <c r="G36" i="38"/>
  <c r="G37" i="38"/>
  <c r="G38" i="38"/>
  <c r="G39" i="38"/>
  <c r="G40" i="38"/>
  <c r="G41" i="38"/>
  <c r="G42" i="38"/>
  <c r="G43" i="38"/>
  <c r="G44" i="38"/>
  <c r="G31" i="38"/>
  <c r="H32" i="38"/>
  <c r="H33" i="38"/>
  <c r="H34" i="38"/>
  <c r="H35" i="38"/>
  <c r="H36" i="38"/>
  <c r="H37" i="38"/>
  <c r="H38" i="38"/>
  <c r="H39" i="38"/>
  <c r="H40" i="38"/>
  <c r="H41" i="38"/>
  <c r="H42" i="38"/>
  <c r="H43" i="38"/>
  <c r="H44" i="38"/>
  <c r="H31" i="38"/>
  <c r="I32" i="38"/>
  <c r="I33" i="38"/>
  <c r="I34" i="38"/>
  <c r="I35" i="38"/>
  <c r="I36" i="38"/>
  <c r="I37" i="38"/>
  <c r="I38" i="38"/>
  <c r="I39" i="38"/>
  <c r="I40" i="38"/>
  <c r="I41" i="38"/>
  <c r="I42" i="38"/>
  <c r="I43" i="38"/>
  <c r="I44" i="38"/>
  <c r="I31" i="38"/>
  <c r="J32" i="38"/>
  <c r="J33" i="38"/>
  <c r="J34" i="38"/>
  <c r="J35" i="38"/>
  <c r="J36" i="38"/>
  <c r="J37" i="38"/>
  <c r="J38" i="38"/>
  <c r="J39" i="38"/>
  <c r="J40" i="38"/>
  <c r="J41" i="38"/>
  <c r="J42" i="38"/>
  <c r="J43" i="38"/>
  <c r="J44" i="38"/>
  <c r="J31" i="38"/>
  <c r="K32" i="38"/>
  <c r="K33" i="38"/>
  <c r="K34" i="38"/>
  <c r="K35" i="38"/>
  <c r="K36" i="38"/>
  <c r="K37" i="38"/>
  <c r="K38" i="38"/>
  <c r="K39" i="38"/>
  <c r="K40" i="38"/>
  <c r="K41" i="38"/>
  <c r="K42" i="38"/>
  <c r="K43" i="38"/>
  <c r="K44" i="38"/>
  <c r="K31" i="38"/>
  <c r="L32" i="38"/>
  <c r="L33" i="38"/>
  <c r="L34" i="38"/>
  <c r="L35" i="38"/>
  <c r="L36" i="38"/>
  <c r="L37" i="38"/>
  <c r="L38" i="38"/>
  <c r="L39" i="38"/>
  <c r="L40" i="38"/>
  <c r="L41" i="38"/>
  <c r="L42" i="38"/>
  <c r="L43" i="38"/>
  <c r="L44" i="38"/>
  <c r="L31" i="38"/>
  <c r="M32" i="38"/>
  <c r="M33" i="38"/>
  <c r="M34" i="38"/>
  <c r="M35" i="38"/>
  <c r="M36" i="38"/>
  <c r="M37" i="38"/>
  <c r="M38" i="38"/>
  <c r="M39" i="38"/>
  <c r="M40" i="38"/>
  <c r="M41" i="38"/>
  <c r="M42" i="38"/>
  <c r="M43" i="38"/>
  <c r="M44" i="38"/>
  <c r="M31" i="38"/>
  <c r="N32" i="38"/>
  <c r="N33" i="38"/>
  <c r="N34" i="38"/>
  <c r="N35" i="38"/>
  <c r="N36" i="38"/>
  <c r="N37" i="38"/>
  <c r="N38" i="38"/>
  <c r="N39" i="38"/>
  <c r="N40" i="38"/>
  <c r="N41" i="38"/>
  <c r="N42" i="38"/>
  <c r="N43" i="38"/>
  <c r="N44" i="38"/>
  <c r="N31" i="38"/>
  <c r="O32" i="38"/>
  <c r="O33" i="38"/>
  <c r="O34" i="38"/>
  <c r="O35" i="38"/>
  <c r="O36" i="38"/>
  <c r="O37" i="38"/>
  <c r="O38" i="38"/>
  <c r="O39" i="38"/>
  <c r="O40" i="38"/>
  <c r="O41" i="38"/>
  <c r="O42" i="38"/>
  <c r="O43" i="38"/>
  <c r="O44" i="38"/>
  <c r="O31" i="38"/>
  <c r="D3" i="38"/>
  <c r="D32" i="38"/>
  <c r="D13" i="38"/>
  <c r="D33" i="38"/>
  <c r="D14" i="38"/>
  <c r="D34" i="38"/>
  <c r="D30" i="38"/>
  <c r="D35" i="38"/>
  <c r="D26" i="38"/>
  <c r="D36" i="38"/>
  <c r="D22" i="38"/>
  <c r="D37" i="38"/>
  <c r="D2" i="38"/>
  <c r="D38" i="38"/>
  <c r="D11" i="38"/>
  <c r="D39" i="38"/>
  <c r="D4" i="38"/>
  <c r="D40" i="38"/>
  <c r="D8" i="38"/>
  <c r="D41" i="38"/>
  <c r="D19" i="38"/>
  <c r="D42" i="38"/>
  <c r="D28" i="38"/>
  <c r="D43" i="38"/>
  <c r="D15" i="38"/>
  <c r="D44" i="38"/>
  <c r="D31" i="38"/>
  <c r="AV22" i="32"/>
  <c r="E8" i="3"/>
  <c r="AV3" i="32"/>
  <c r="AV4" i="32"/>
  <c r="AV6" i="32"/>
  <c r="AV8" i="32"/>
  <c r="AV10" i="32"/>
  <c r="AV11" i="32"/>
  <c r="AV13" i="32"/>
  <c r="AV14" i="32"/>
  <c r="AV15" i="32"/>
  <c r="AV19" i="32"/>
  <c r="AV26" i="32"/>
  <c r="AV28" i="32"/>
  <c r="AV30" i="32"/>
  <c r="H4" i="3"/>
  <c r="AS10" i="16"/>
  <c r="AS46" i="16"/>
  <c r="AS6" i="16"/>
  <c r="AS47" i="16"/>
  <c r="H8" i="3"/>
  <c r="AR10" i="16"/>
  <c r="AR46" i="16"/>
  <c r="AR6" i="16"/>
  <c r="AR47" i="16"/>
  <c r="AV45" i="16"/>
  <c r="H12" i="3"/>
  <c r="D3" i="16"/>
  <c r="D32" i="16"/>
  <c r="D13" i="16"/>
  <c r="D33" i="16"/>
  <c r="D14" i="16"/>
  <c r="D34" i="16"/>
  <c r="D30" i="16"/>
  <c r="D35" i="16"/>
  <c r="D26" i="16"/>
  <c r="D36" i="16"/>
  <c r="D22" i="16"/>
  <c r="D37" i="16"/>
  <c r="D2" i="16"/>
  <c r="D38" i="16"/>
  <c r="D11" i="16"/>
  <c r="D39" i="16"/>
  <c r="D4" i="16"/>
  <c r="D40" i="16"/>
  <c r="D8" i="16"/>
  <c r="D41" i="16"/>
  <c r="D19" i="16"/>
  <c r="D42" i="16"/>
  <c r="D28" i="16"/>
  <c r="D43" i="16"/>
  <c r="D15" i="16"/>
  <c r="D44" i="16"/>
  <c r="D31" i="16"/>
  <c r="K8" i="3"/>
  <c r="ED26" i="18"/>
  <c r="ED28" i="18"/>
  <c r="ED30" i="18"/>
  <c r="AV3" i="5"/>
  <c r="AV4" i="5"/>
  <c r="AV6" i="5"/>
  <c r="AV8" i="5"/>
  <c r="AV10" i="5"/>
  <c r="AV11" i="5"/>
  <c r="AV13" i="5"/>
  <c r="AV14" i="5"/>
  <c r="AV15" i="5"/>
  <c r="AV19" i="5"/>
  <c r="AV22" i="5"/>
  <c r="AV26" i="5"/>
  <c r="AV28" i="5"/>
  <c r="AV30" i="5"/>
  <c r="AV2" i="5"/>
  <c r="ED2" i="18"/>
  <c r="ED3" i="18"/>
  <c r="ED4" i="18"/>
  <c r="ED22" i="18"/>
  <c r="ED19" i="18"/>
  <c r="ED15" i="18"/>
  <c r="ED14" i="18"/>
  <c r="ED13" i="18"/>
  <c r="ED11" i="18"/>
  <c r="ED10" i="18"/>
  <c r="ED8" i="18"/>
  <c r="ED6" i="18"/>
  <c r="BC3" i="33"/>
  <c r="BC4" i="33"/>
  <c r="BC5" i="33"/>
  <c r="BC6" i="33"/>
  <c r="BC7" i="33"/>
  <c r="BC8" i="33"/>
  <c r="BC9" i="33"/>
  <c r="BC10" i="33"/>
  <c r="BC11" i="33"/>
  <c r="BC12" i="33"/>
  <c r="BC13" i="33"/>
  <c r="BC14" i="33"/>
  <c r="BC15" i="33"/>
  <c r="BC16" i="33"/>
  <c r="BC17" i="33"/>
  <c r="BC18" i="33"/>
  <c r="BC19" i="33"/>
  <c r="BC20" i="33"/>
  <c r="BC21" i="33"/>
  <c r="BC22" i="33"/>
  <c r="BC23" i="33"/>
  <c r="BC24" i="33"/>
  <c r="BC25" i="33"/>
  <c r="BC26" i="33"/>
  <c r="BC27" i="33"/>
  <c r="BC28" i="33"/>
  <c r="BC29" i="33"/>
  <c r="BC30" i="33"/>
  <c r="BC2" i="33"/>
  <c r="E32" i="3"/>
  <c r="AZ27" i="33"/>
  <c r="C27" i="44"/>
  <c r="AB27" i="44"/>
  <c r="BA27" i="33"/>
  <c r="E95" i="3"/>
  <c r="Z27" i="44"/>
  <c r="AY27" i="44"/>
  <c r="E53" i="3"/>
  <c r="AA27" i="44"/>
  <c r="AZ27" i="44"/>
  <c r="AC76" i="43"/>
  <c r="AX76" i="32"/>
  <c r="AZ18" i="33"/>
  <c r="C18" i="44"/>
  <c r="AB18" i="44"/>
  <c r="BA18" i="33"/>
  <c r="Z18" i="44"/>
  <c r="AY18" i="44"/>
  <c r="AA18" i="44"/>
  <c r="AZ18" i="44"/>
  <c r="AC75" i="43"/>
  <c r="AX75" i="32"/>
  <c r="AZ12" i="33"/>
  <c r="C12" i="44"/>
  <c r="AB12" i="44"/>
  <c r="BA12" i="33"/>
  <c r="Z12" i="44"/>
  <c r="AY12" i="44"/>
  <c r="AA12" i="44"/>
  <c r="AZ12" i="44"/>
  <c r="AC74" i="43"/>
  <c r="AX74" i="32"/>
  <c r="AZ7" i="33"/>
  <c r="C7" i="44"/>
  <c r="AB7" i="44"/>
  <c r="BA7" i="33"/>
  <c r="Z7" i="44"/>
  <c r="AY7" i="44"/>
  <c r="AA7" i="44"/>
  <c r="AZ7" i="44"/>
  <c r="AC73" i="43"/>
  <c r="AX73" i="32"/>
  <c r="AZ16" i="33"/>
  <c r="C16" i="44"/>
  <c r="AB16" i="44"/>
  <c r="BA16" i="33"/>
  <c r="Z16" i="44"/>
  <c r="AY16" i="44"/>
  <c r="AA16" i="44"/>
  <c r="AZ16" i="44"/>
  <c r="AC72" i="43"/>
  <c r="AX72" i="32"/>
  <c r="AZ29" i="33"/>
  <c r="C29" i="44"/>
  <c r="AB29" i="44"/>
  <c r="BA29" i="33"/>
  <c r="Z29" i="44"/>
  <c r="AY29" i="44"/>
  <c r="AA29" i="44"/>
  <c r="AZ29" i="44"/>
  <c r="AC71" i="43"/>
  <c r="AX71" i="32"/>
  <c r="AZ20" i="33"/>
  <c r="C20" i="44"/>
  <c r="AB20" i="44"/>
  <c r="BA20" i="33"/>
  <c r="Z20" i="44"/>
  <c r="AY20" i="44"/>
  <c r="AA20" i="44"/>
  <c r="AZ20" i="44"/>
  <c r="AC70" i="43"/>
  <c r="AX70" i="32"/>
  <c r="AZ24" i="33"/>
  <c r="C24" i="44"/>
  <c r="AB24" i="44"/>
  <c r="BA24" i="33"/>
  <c r="Z24" i="44"/>
  <c r="AY24" i="44"/>
  <c r="AA24" i="44"/>
  <c r="AZ24" i="44"/>
  <c r="AC69" i="43"/>
  <c r="AX69" i="32"/>
  <c r="AZ9" i="33"/>
  <c r="C9" i="44"/>
  <c r="AB9" i="44"/>
  <c r="BA9" i="33"/>
  <c r="Z9" i="44"/>
  <c r="AY9" i="44"/>
  <c r="AA9" i="44"/>
  <c r="AZ9" i="44"/>
  <c r="AC68" i="43"/>
  <c r="AX68" i="32"/>
  <c r="AZ5" i="33"/>
  <c r="C5" i="44"/>
  <c r="AB5" i="44"/>
  <c r="BA5" i="33"/>
  <c r="Z5" i="44"/>
  <c r="AY5" i="44"/>
  <c r="AA5" i="44"/>
  <c r="AZ5" i="44"/>
  <c r="AC67" i="43"/>
  <c r="AX67" i="32"/>
  <c r="AZ17" i="33"/>
  <c r="C17" i="44"/>
  <c r="AB17" i="44"/>
  <c r="BA17" i="33"/>
  <c r="Z17" i="44"/>
  <c r="AY17" i="44"/>
  <c r="AA17" i="44"/>
  <c r="AZ17" i="44"/>
  <c r="AC66" i="43"/>
  <c r="AX66" i="32"/>
  <c r="AZ21" i="33"/>
  <c r="C21" i="44"/>
  <c r="AB21" i="44"/>
  <c r="BA21" i="33"/>
  <c r="Z21" i="44"/>
  <c r="AY21" i="44"/>
  <c r="AA21" i="44"/>
  <c r="AZ21" i="44"/>
  <c r="AC65" i="43"/>
  <c r="AX65" i="32"/>
  <c r="AZ25" i="33"/>
  <c r="C25" i="44"/>
  <c r="AB25" i="44"/>
  <c r="BA25" i="33"/>
  <c r="Z25" i="44"/>
  <c r="AY25" i="44"/>
  <c r="AA25" i="44"/>
  <c r="AZ25" i="44"/>
  <c r="AC64" i="43"/>
  <c r="AX64" i="32"/>
  <c r="AC62" i="43"/>
  <c r="AX62" i="32"/>
  <c r="AC61" i="43"/>
  <c r="AX61" i="32"/>
  <c r="AC60" i="43"/>
  <c r="AX60" i="32"/>
  <c r="AC59" i="43"/>
  <c r="AX59" i="32"/>
  <c r="AC58" i="43"/>
  <c r="AX58" i="32"/>
  <c r="AC57" i="43"/>
  <c r="AX57" i="32"/>
  <c r="AC56" i="43"/>
  <c r="AX56" i="32"/>
  <c r="AC55" i="43"/>
  <c r="AX55" i="32"/>
  <c r="AC54" i="43"/>
  <c r="AX54" i="32"/>
  <c r="AC53" i="43"/>
  <c r="AX53" i="32"/>
  <c r="AC52" i="43"/>
  <c r="AX52" i="32"/>
  <c r="AC51" i="43"/>
  <c r="AX51" i="32"/>
  <c r="AC50" i="43"/>
  <c r="AX50" i="32"/>
  <c r="AZ23" i="33"/>
  <c r="C23" i="44"/>
  <c r="AB23" i="44"/>
  <c r="BA23" i="33"/>
  <c r="Z23" i="44"/>
  <c r="AY23" i="44"/>
  <c r="AA23" i="44"/>
  <c r="AZ23" i="44"/>
  <c r="AC49" i="43"/>
  <c r="AX49" i="32"/>
  <c r="AZ6" i="33"/>
  <c r="C6" i="44"/>
  <c r="AB6" i="44"/>
  <c r="BA6" i="33"/>
  <c r="E80" i="3"/>
  <c r="T6" i="44"/>
  <c r="AS6" i="44"/>
  <c r="Z6" i="44"/>
  <c r="AY6" i="44"/>
  <c r="AA6" i="44"/>
  <c r="AZ6" i="44"/>
  <c r="AC47" i="43"/>
  <c r="AX47" i="32"/>
  <c r="AZ10" i="33"/>
  <c r="C10" i="44"/>
  <c r="AB10" i="44"/>
  <c r="BA10" i="33"/>
  <c r="T10" i="44"/>
  <c r="AS10" i="44"/>
  <c r="Z10" i="44"/>
  <c r="AY10" i="44"/>
  <c r="AA10" i="44"/>
  <c r="AZ10" i="44"/>
  <c r="AC46" i="43"/>
  <c r="AX46" i="32"/>
  <c r="AZ15" i="33"/>
  <c r="C15" i="44"/>
  <c r="AB15" i="44"/>
  <c r="BA15" i="33"/>
  <c r="T15" i="44"/>
  <c r="AS15" i="44"/>
  <c r="Z15" i="44"/>
  <c r="AY15" i="44"/>
  <c r="AA15" i="44"/>
  <c r="AZ15" i="44"/>
  <c r="AC44" i="43"/>
  <c r="AX44" i="32"/>
  <c r="AZ28" i="33"/>
  <c r="C28" i="44"/>
  <c r="AB28" i="44"/>
  <c r="BA28" i="33"/>
  <c r="T28" i="44"/>
  <c r="AS28" i="44"/>
  <c r="Z28" i="44"/>
  <c r="AY28" i="44"/>
  <c r="AA28" i="44"/>
  <c r="AZ28" i="44"/>
  <c r="AC43" i="43"/>
  <c r="AX43" i="32"/>
  <c r="AZ19" i="33"/>
  <c r="C19" i="44"/>
  <c r="AB19" i="44"/>
  <c r="BA19" i="33"/>
  <c r="T19" i="44"/>
  <c r="AS19" i="44"/>
  <c r="Z19" i="44"/>
  <c r="AY19" i="44"/>
  <c r="AA19" i="44"/>
  <c r="AZ19" i="44"/>
  <c r="AC42" i="43"/>
  <c r="AX42" i="32"/>
  <c r="AZ8" i="33"/>
  <c r="C8" i="44"/>
  <c r="AB8" i="44"/>
  <c r="BA8" i="33"/>
  <c r="T8" i="44"/>
  <c r="AS8" i="44"/>
  <c r="Z8" i="44"/>
  <c r="AY8" i="44"/>
  <c r="AA8" i="44"/>
  <c r="AZ8" i="44"/>
  <c r="AC41" i="43"/>
  <c r="AX41" i="32"/>
  <c r="AZ4" i="33"/>
  <c r="C4" i="44"/>
  <c r="AB4" i="44"/>
  <c r="BA4" i="33"/>
  <c r="T4" i="44"/>
  <c r="AS4" i="44"/>
  <c r="Z4" i="44"/>
  <c r="AY4" i="44"/>
  <c r="AA4" i="44"/>
  <c r="AZ4" i="44"/>
  <c r="AC40" i="43"/>
  <c r="AX40" i="32"/>
  <c r="AZ11" i="33"/>
  <c r="C11" i="44"/>
  <c r="AB11" i="44"/>
  <c r="BA11" i="33"/>
  <c r="T11" i="44"/>
  <c r="AS11" i="44"/>
  <c r="Z11" i="44"/>
  <c r="AY11" i="44"/>
  <c r="AA11" i="44"/>
  <c r="AZ11" i="44"/>
  <c r="AC39" i="43"/>
  <c r="AX39" i="32"/>
  <c r="AZ2" i="33"/>
  <c r="C2" i="44"/>
  <c r="AB2" i="44"/>
  <c r="BA2" i="33"/>
  <c r="T2" i="44"/>
  <c r="AS2" i="44"/>
  <c r="Z2" i="44"/>
  <c r="AY2" i="44"/>
  <c r="AA2" i="44"/>
  <c r="AZ2" i="44"/>
  <c r="AC38" i="43"/>
  <c r="AX38" i="32"/>
  <c r="AZ22" i="33"/>
  <c r="C22" i="44"/>
  <c r="AB22" i="44"/>
  <c r="BA22" i="33"/>
  <c r="T22" i="44"/>
  <c r="AS22" i="44"/>
  <c r="Z22" i="44"/>
  <c r="AY22" i="44"/>
  <c r="AA22" i="44"/>
  <c r="AZ22" i="44"/>
  <c r="AC37" i="43"/>
  <c r="AX37" i="32"/>
  <c r="AZ26" i="33"/>
  <c r="C26" i="44"/>
  <c r="AB26" i="44"/>
  <c r="BA26" i="33"/>
  <c r="T26" i="44"/>
  <c r="AS26" i="44"/>
  <c r="Z26" i="44"/>
  <c r="AY26" i="44"/>
  <c r="AA26" i="44"/>
  <c r="AZ26" i="44"/>
  <c r="AC36" i="43"/>
  <c r="AX36" i="32"/>
  <c r="AZ30" i="33"/>
  <c r="C30" i="44"/>
  <c r="AB30" i="44"/>
  <c r="BA30" i="33"/>
  <c r="T30" i="44"/>
  <c r="AS30" i="44"/>
  <c r="Z30" i="44"/>
  <c r="AY30" i="44"/>
  <c r="AA30" i="44"/>
  <c r="AZ30" i="44"/>
  <c r="AC35" i="43"/>
  <c r="AX35" i="32"/>
  <c r="AZ14" i="33"/>
  <c r="C14" i="44"/>
  <c r="AB14" i="44"/>
  <c r="BA14" i="33"/>
  <c r="T14" i="44"/>
  <c r="AS14" i="44"/>
  <c r="Z14" i="44"/>
  <c r="AY14" i="44"/>
  <c r="AA14" i="44"/>
  <c r="AZ14" i="44"/>
  <c r="AC34" i="43"/>
  <c r="AX34" i="32"/>
  <c r="AZ13" i="33"/>
  <c r="C13" i="44"/>
  <c r="AB13" i="44"/>
  <c r="BA13" i="33"/>
  <c r="T13" i="44"/>
  <c r="AS13" i="44"/>
  <c r="Z13" i="44"/>
  <c r="AY13" i="44"/>
  <c r="AA13" i="44"/>
  <c r="AZ13" i="44"/>
  <c r="AC33" i="43"/>
  <c r="AX33" i="32"/>
  <c r="AZ3" i="33"/>
  <c r="C3" i="44"/>
  <c r="AB3" i="44"/>
  <c r="BA3" i="33"/>
  <c r="T3" i="44"/>
  <c r="AS3" i="44"/>
  <c r="Z3" i="44"/>
  <c r="AY3" i="44"/>
  <c r="AA3" i="44"/>
  <c r="AZ3" i="44"/>
  <c r="AC32" i="43"/>
  <c r="AX32" i="32"/>
  <c r="AC3" i="43"/>
  <c r="AX3" i="32"/>
  <c r="AC4" i="43"/>
  <c r="AX4" i="32"/>
  <c r="T5" i="44"/>
  <c r="AS5" i="44"/>
  <c r="AU5" i="43"/>
  <c r="AC5" i="43"/>
  <c r="AX5" i="32"/>
  <c r="AC6" i="43"/>
  <c r="AX6" i="32"/>
  <c r="T7" i="44"/>
  <c r="AS7" i="44"/>
  <c r="AU7" i="43"/>
  <c r="AC7" i="43"/>
  <c r="AX7" i="32"/>
  <c r="AC8" i="43"/>
  <c r="AX8" i="32"/>
  <c r="T9" i="44"/>
  <c r="AS9" i="44"/>
  <c r="AU9" i="43"/>
  <c r="AC9" i="43"/>
  <c r="AX9" i="32"/>
  <c r="AC10" i="43"/>
  <c r="AX10" i="32"/>
  <c r="AC11" i="43"/>
  <c r="AX11" i="32"/>
  <c r="T12" i="44"/>
  <c r="AS12" i="44"/>
  <c r="AU12" i="43"/>
  <c r="AC12" i="43"/>
  <c r="AX12" i="32"/>
  <c r="AC13" i="43"/>
  <c r="AX13" i="32"/>
  <c r="AC14" i="43"/>
  <c r="AX14" i="32"/>
  <c r="AC15" i="43"/>
  <c r="AX15" i="32"/>
  <c r="T16" i="44"/>
  <c r="AS16" i="44"/>
  <c r="AU16" i="43"/>
  <c r="AC16" i="43"/>
  <c r="AX16" i="32"/>
  <c r="T17" i="44"/>
  <c r="AS17" i="44"/>
  <c r="AU17" i="43"/>
  <c r="AC17" i="43"/>
  <c r="AX17" i="32"/>
  <c r="T18" i="44"/>
  <c r="AS18" i="44"/>
  <c r="AU18" i="43"/>
  <c r="AC18" i="43"/>
  <c r="AX18" i="32"/>
  <c r="AC19" i="43"/>
  <c r="AX19" i="32"/>
  <c r="T20" i="44"/>
  <c r="AS20" i="44"/>
  <c r="AU20" i="43"/>
  <c r="AC20" i="43"/>
  <c r="AX20" i="32"/>
  <c r="T21" i="44"/>
  <c r="AS21" i="44"/>
  <c r="AU21" i="43"/>
  <c r="AC21" i="43"/>
  <c r="AX21" i="32"/>
  <c r="AC22" i="43"/>
  <c r="AX22" i="32"/>
  <c r="T23" i="44"/>
  <c r="AS23" i="44"/>
  <c r="AU23" i="43"/>
  <c r="AC23" i="43"/>
  <c r="AX23" i="32"/>
  <c r="T24" i="44"/>
  <c r="AS24" i="44"/>
  <c r="AU24" i="43"/>
  <c r="AC24" i="43"/>
  <c r="AX24" i="32"/>
  <c r="T25" i="44"/>
  <c r="AS25" i="44"/>
  <c r="AU25" i="43"/>
  <c r="AC25" i="43"/>
  <c r="AX25" i="32"/>
  <c r="AC26" i="43"/>
  <c r="AX26" i="32"/>
  <c r="T27" i="44"/>
  <c r="AS27" i="44"/>
  <c r="AU27" i="43"/>
  <c r="AC27" i="43"/>
  <c r="AX27" i="32"/>
  <c r="AC28" i="43"/>
  <c r="AX28" i="32"/>
  <c r="T29" i="44"/>
  <c r="AS29" i="44"/>
  <c r="AU29" i="43"/>
  <c r="AC29" i="43"/>
  <c r="AX29" i="32"/>
  <c r="AC30" i="43"/>
  <c r="AX30" i="32"/>
  <c r="AC2" i="43"/>
  <c r="AX2" i="32"/>
  <c r="BB27" i="42"/>
  <c r="AD76" i="42"/>
  <c r="AU76" i="42"/>
  <c r="BA76" i="42"/>
  <c r="BB76" i="42"/>
  <c r="AC76" i="42"/>
  <c r="M76" i="32"/>
  <c r="BB18" i="42"/>
  <c r="AD75" i="42"/>
  <c r="AU75" i="42"/>
  <c r="BA75" i="42"/>
  <c r="BB75" i="42"/>
  <c r="AC75" i="42"/>
  <c r="M75" i="32"/>
  <c r="BB12" i="42"/>
  <c r="AD74" i="42"/>
  <c r="AU74" i="42"/>
  <c r="BA74" i="42"/>
  <c r="BB74" i="42"/>
  <c r="AC74" i="42"/>
  <c r="M74" i="32"/>
  <c r="BB7" i="42"/>
  <c r="AD73" i="42"/>
  <c r="AU73" i="42"/>
  <c r="BA73" i="42"/>
  <c r="BB73" i="42"/>
  <c r="AC73" i="42"/>
  <c r="M73" i="32"/>
  <c r="BB16" i="42"/>
  <c r="AD72" i="42"/>
  <c r="AU72" i="42"/>
  <c r="BA72" i="42"/>
  <c r="BB72" i="42"/>
  <c r="AC72" i="42"/>
  <c r="M72" i="32"/>
  <c r="BB29" i="42"/>
  <c r="AD71" i="42"/>
  <c r="AU71" i="42"/>
  <c r="BA71" i="42"/>
  <c r="BB71" i="42"/>
  <c r="AC71" i="42"/>
  <c r="M71" i="32"/>
  <c r="BB20" i="42"/>
  <c r="AD70" i="42"/>
  <c r="AU70" i="42"/>
  <c r="BA70" i="42"/>
  <c r="BB70" i="42"/>
  <c r="AC70" i="42"/>
  <c r="M70" i="32"/>
  <c r="BB24" i="42"/>
  <c r="AD69" i="42"/>
  <c r="AU69" i="42"/>
  <c r="BA69" i="42"/>
  <c r="BB69" i="42"/>
  <c r="AC69" i="42"/>
  <c r="M69" i="32"/>
  <c r="BB9" i="42"/>
  <c r="AD68" i="42"/>
  <c r="AU68" i="42"/>
  <c r="BA68" i="42"/>
  <c r="BB68" i="42"/>
  <c r="AC68" i="42"/>
  <c r="M68" i="32"/>
  <c r="BB5" i="42"/>
  <c r="AD67" i="42"/>
  <c r="AU67" i="42"/>
  <c r="BA67" i="42"/>
  <c r="BB67" i="42"/>
  <c r="AC67" i="42"/>
  <c r="M67" i="32"/>
  <c r="BB17" i="42"/>
  <c r="AD66" i="42"/>
  <c r="AU66" i="42"/>
  <c r="BA66" i="42"/>
  <c r="BB66" i="42"/>
  <c r="AC66" i="42"/>
  <c r="M66" i="32"/>
  <c r="BB21" i="42"/>
  <c r="AD65" i="42"/>
  <c r="AU65" i="42"/>
  <c r="BA65" i="42"/>
  <c r="BB65" i="42"/>
  <c r="AC65" i="42"/>
  <c r="M65" i="32"/>
  <c r="BB25" i="42"/>
  <c r="AD64" i="42"/>
  <c r="AU64" i="42"/>
  <c r="BA64" i="42"/>
  <c r="BB64" i="42"/>
  <c r="AC64" i="42"/>
  <c r="M64" i="32"/>
  <c r="AD62" i="42"/>
  <c r="AU62" i="42"/>
  <c r="BA62" i="42"/>
  <c r="BB62" i="42"/>
  <c r="AC62" i="42"/>
  <c r="M62" i="32"/>
  <c r="AD61" i="42"/>
  <c r="AU61" i="42"/>
  <c r="BA61" i="42"/>
  <c r="BB61" i="42"/>
  <c r="AC61" i="42"/>
  <c r="M61" i="32"/>
  <c r="AD60" i="42"/>
  <c r="AU60" i="42"/>
  <c r="BA60" i="42"/>
  <c r="BB60" i="42"/>
  <c r="AC60" i="42"/>
  <c r="M60" i="32"/>
  <c r="AD59" i="42"/>
  <c r="AU59" i="42"/>
  <c r="BA59" i="42"/>
  <c r="BB59" i="42"/>
  <c r="AC59" i="42"/>
  <c r="M59" i="32"/>
  <c r="AD58" i="42"/>
  <c r="AU58" i="42"/>
  <c r="BA58" i="42"/>
  <c r="BB58" i="42"/>
  <c r="AC58" i="42"/>
  <c r="M58" i="32"/>
  <c r="AD57" i="42"/>
  <c r="AU57" i="42"/>
  <c r="BA57" i="42"/>
  <c r="BB57" i="42"/>
  <c r="AC57" i="42"/>
  <c r="M57" i="32"/>
  <c r="AD56" i="42"/>
  <c r="AU56" i="42"/>
  <c r="BA56" i="42"/>
  <c r="BB56" i="42"/>
  <c r="AC56" i="42"/>
  <c r="M56" i="32"/>
  <c r="AD55" i="42"/>
  <c r="AU55" i="42"/>
  <c r="BA55" i="42"/>
  <c r="BB55" i="42"/>
  <c r="AC55" i="42"/>
  <c r="M55" i="32"/>
  <c r="AD54" i="42"/>
  <c r="AU54" i="42"/>
  <c r="BA54" i="42"/>
  <c r="BB54" i="42"/>
  <c r="AC54" i="42"/>
  <c r="M54" i="32"/>
  <c r="AD53" i="42"/>
  <c r="AU53" i="42"/>
  <c r="BA53" i="42"/>
  <c r="BB53" i="42"/>
  <c r="AC53" i="42"/>
  <c r="M53" i="32"/>
  <c r="AD52" i="42"/>
  <c r="AU52" i="42"/>
  <c r="BA52" i="42"/>
  <c r="BB52" i="42"/>
  <c r="AC52" i="42"/>
  <c r="M52" i="32"/>
  <c r="AD51" i="42"/>
  <c r="AU51" i="42"/>
  <c r="BA51" i="42"/>
  <c r="BB51" i="42"/>
  <c r="AC51" i="42"/>
  <c r="M51" i="32"/>
  <c r="AD50" i="42"/>
  <c r="AU50" i="42"/>
  <c r="BA50" i="42"/>
  <c r="BB50" i="42"/>
  <c r="AC50" i="42"/>
  <c r="M50" i="32"/>
  <c r="BB23" i="42"/>
  <c r="AD49" i="42"/>
  <c r="AU49" i="42"/>
  <c r="BA49" i="42"/>
  <c r="BB49" i="42"/>
  <c r="AC49" i="42"/>
  <c r="M49" i="32"/>
  <c r="AD6" i="42"/>
  <c r="AD47" i="42"/>
  <c r="AU6" i="42"/>
  <c r="AU47" i="42"/>
  <c r="BA6" i="42"/>
  <c r="BA47" i="42"/>
  <c r="BB6" i="42"/>
  <c r="BB47" i="42"/>
  <c r="AC47" i="42"/>
  <c r="M47" i="32"/>
  <c r="AD10" i="42"/>
  <c r="AD46" i="42"/>
  <c r="AU10" i="42"/>
  <c r="AU46" i="42"/>
  <c r="BA10" i="42"/>
  <c r="BA46" i="42"/>
  <c r="BB10" i="42"/>
  <c r="BB46" i="42"/>
  <c r="AC46" i="42"/>
  <c r="M46" i="32"/>
  <c r="AD15" i="42"/>
  <c r="AD44" i="42"/>
  <c r="AU15" i="42"/>
  <c r="AU44" i="42"/>
  <c r="BA15" i="42"/>
  <c r="BA44" i="42"/>
  <c r="BB15" i="42"/>
  <c r="BB44" i="42"/>
  <c r="AC44" i="42"/>
  <c r="M44" i="32"/>
  <c r="AD28" i="42"/>
  <c r="AD43" i="42"/>
  <c r="AU28" i="42"/>
  <c r="AU43" i="42"/>
  <c r="BA28" i="42"/>
  <c r="BA43" i="42"/>
  <c r="BB28" i="42"/>
  <c r="BB43" i="42"/>
  <c r="AC43" i="42"/>
  <c r="M43" i="32"/>
  <c r="AD19" i="42"/>
  <c r="AD42" i="42"/>
  <c r="AU19" i="42"/>
  <c r="AU42" i="42"/>
  <c r="BA19" i="42"/>
  <c r="BA42" i="42"/>
  <c r="BB19" i="42"/>
  <c r="BB42" i="42"/>
  <c r="AC42" i="42"/>
  <c r="M42" i="32"/>
  <c r="AD8" i="42"/>
  <c r="AD41" i="42"/>
  <c r="AU8" i="42"/>
  <c r="AU41" i="42"/>
  <c r="BA8" i="42"/>
  <c r="BA41" i="42"/>
  <c r="BB8" i="42"/>
  <c r="BB41" i="42"/>
  <c r="AC41" i="42"/>
  <c r="M41" i="32"/>
  <c r="AD4" i="42"/>
  <c r="AD40" i="42"/>
  <c r="AU4" i="42"/>
  <c r="AU40" i="42"/>
  <c r="BA4" i="42"/>
  <c r="BA40" i="42"/>
  <c r="BB4" i="42"/>
  <c r="BB40" i="42"/>
  <c r="AC40" i="42"/>
  <c r="M40" i="32"/>
  <c r="AD11" i="42"/>
  <c r="AD39" i="42"/>
  <c r="AU11" i="42"/>
  <c r="AU39" i="42"/>
  <c r="BA11" i="42"/>
  <c r="BA39" i="42"/>
  <c r="BB11" i="42"/>
  <c r="BB39" i="42"/>
  <c r="AC39" i="42"/>
  <c r="M39" i="32"/>
  <c r="AD2" i="42"/>
  <c r="AD38" i="42"/>
  <c r="AU2" i="42"/>
  <c r="AU38" i="42"/>
  <c r="BA2" i="42"/>
  <c r="BA38" i="42"/>
  <c r="BB2" i="42"/>
  <c r="BB38" i="42"/>
  <c r="AC38" i="42"/>
  <c r="M38" i="32"/>
  <c r="AD22" i="42"/>
  <c r="AD37" i="42"/>
  <c r="AU22" i="42"/>
  <c r="AU37" i="42"/>
  <c r="BA22" i="42"/>
  <c r="BA37" i="42"/>
  <c r="BB22" i="42"/>
  <c r="BB37" i="42"/>
  <c r="AC37" i="42"/>
  <c r="M37" i="32"/>
  <c r="AD26" i="42"/>
  <c r="AD36" i="42"/>
  <c r="AU26" i="42"/>
  <c r="AU36" i="42"/>
  <c r="BA26" i="42"/>
  <c r="BA36" i="42"/>
  <c r="BB26" i="42"/>
  <c r="BB36" i="42"/>
  <c r="AC36" i="42"/>
  <c r="M36" i="32"/>
  <c r="AD30" i="42"/>
  <c r="AD35" i="42"/>
  <c r="AU30" i="42"/>
  <c r="AU35" i="42"/>
  <c r="BA30" i="42"/>
  <c r="BA35" i="42"/>
  <c r="BB30" i="42"/>
  <c r="BB35" i="42"/>
  <c r="AC35" i="42"/>
  <c r="M35" i="32"/>
  <c r="AD14" i="42"/>
  <c r="AD34" i="42"/>
  <c r="AU14" i="42"/>
  <c r="AU34" i="42"/>
  <c r="BA14" i="42"/>
  <c r="BA34" i="42"/>
  <c r="BB14" i="42"/>
  <c r="BB34" i="42"/>
  <c r="AC34" i="42"/>
  <c r="M34" i="32"/>
  <c r="AD13" i="42"/>
  <c r="AD33" i="42"/>
  <c r="AU13" i="42"/>
  <c r="AU33" i="42"/>
  <c r="BA13" i="42"/>
  <c r="BA33" i="42"/>
  <c r="BB13" i="42"/>
  <c r="BB33" i="42"/>
  <c r="AC33" i="42"/>
  <c r="M33" i="32"/>
  <c r="AD3" i="42"/>
  <c r="AD32" i="42"/>
  <c r="AU3" i="42"/>
  <c r="AU32" i="42"/>
  <c r="BA3" i="42"/>
  <c r="BA32" i="42"/>
  <c r="BB3" i="42"/>
  <c r="BB32" i="42"/>
  <c r="AC32" i="42"/>
  <c r="M32" i="32"/>
  <c r="AC3" i="42"/>
  <c r="M3" i="32"/>
  <c r="AC4" i="42"/>
  <c r="M4" i="32"/>
  <c r="AD5" i="42"/>
  <c r="AU5" i="42"/>
  <c r="BA5" i="42"/>
  <c r="AC5" i="42"/>
  <c r="M5" i="32"/>
  <c r="AC6" i="42"/>
  <c r="M6" i="32"/>
  <c r="AD7" i="42"/>
  <c r="AU7" i="42"/>
  <c r="BA7" i="42"/>
  <c r="AC7" i="42"/>
  <c r="M7" i="32"/>
  <c r="AC8" i="42"/>
  <c r="M8" i="32"/>
  <c r="AD9" i="42"/>
  <c r="AU9" i="42"/>
  <c r="BA9" i="42"/>
  <c r="AC9" i="42"/>
  <c r="M9" i="32"/>
  <c r="AC10" i="42"/>
  <c r="M10" i="32"/>
  <c r="AC11" i="42"/>
  <c r="M11" i="32"/>
  <c r="AD12" i="42"/>
  <c r="AU12" i="42"/>
  <c r="BA12" i="42"/>
  <c r="AC12" i="42"/>
  <c r="M12" i="32"/>
  <c r="AC13" i="42"/>
  <c r="M13" i="32"/>
  <c r="AC14" i="42"/>
  <c r="M14" i="32"/>
  <c r="AC15" i="42"/>
  <c r="M15" i="32"/>
  <c r="AD16" i="42"/>
  <c r="AU16" i="42"/>
  <c r="BA16" i="42"/>
  <c r="AC16" i="42"/>
  <c r="M16" i="32"/>
  <c r="AD17" i="42"/>
  <c r="AU17" i="42"/>
  <c r="BA17" i="42"/>
  <c r="AC17" i="42"/>
  <c r="M17" i="32"/>
  <c r="AD18" i="42"/>
  <c r="AU18" i="42"/>
  <c r="BA18" i="42"/>
  <c r="AC18" i="42"/>
  <c r="M18" i="32"/>
  <c r="AC19" i="42"/>
  <c r="M19" i="32"/>
  <c r="AD20" i="42"/>
  <c r="AU20" i="42"/>
  <c r="BA20" i="42"/>
  <c r="AC20" i="42"/>
  <c r="M20" i="32"/>
  <c r="AD21" i="42"/>
  <c r="AU21" i="42"/>
  <c r="BA21" i="42"/>
  <c r="AC21" i="42"/>
  <c r="M21" i="32"/>
  <c r="AC22" i="42"/>
  <c r="M22" i="32"/>
  <c r="AD23" i="42"/>
  <c r="AU23" i="42"/>
  <c r="BA23" i="42"/>
  <c r="AC23" i="42"/>
  <c r="M23" i="32"/>
  <c r="AD24" i="42"/>
  <c r="AU24" i="42"/>
  <c r="BA24" i="42"/>
  <c r="AC24" i="42"/>
  <c r="M24" i="32"/>
  <c r="AD25" i="42"/>
  <c r="AU25" i="42"/>
  <c r="BA25" i="42"/>
  <c r="AC25" i="42"/>
  <c r="M25" i="32"/>
  <c r="AC26" i="42"/>
  <c r="M26" i="32"/>
  <c r="AD27" i="42"/>
  <c r="AU27" i="42"/>
  <c r="BA27" i="42"/>
  <c r="AC27" i="42"/>
  <c r="M27" i="32"/>
  <c r="AC28" i="42"/>
  <c r="M28" i="32"/>
  <c r="AD29" i="42"/>
  <c r="AU29" i="42"/>
  <c r="BA29" i="42"/>
  <c r="AC29" i="42"/>
  <c r="M29" i="32"/>
  <c r="AC30" i="42"/>
  <c r="M30" i="32"/>
  <c r="AC2" i="42"/>
  <c r="M2" i="32"/>
  <c r="Q21" i="3"/>
  <c r="F24" i="18"/>
  <c r="F69" i="18"/>
  <c r="AZ51" i="5"/>
  <c r="AV32" i="5"/>
  <c r="AV33" i="5"/>
  <c r="AV34" i="5"/>
  <c r="AV35" i="5"/>
  <c r="AV36" i="5"/>
  <c r="AV37" i="5"/>
  <c r="AV38" i="5"/>
  <c r="AV39" i="5"/>
  <c r="AV40" i="5"/>
  <c r="AV41" i="5"/>
  <c r="AV42" i="5"/>
  <c r="AV43" i="5"/>
  <c r="AV44" i="5"/>
  <c r="AV46" i="5"/>
  <c r="AV47" i="5"/>
  <c r="AZ32" i="5"/>
  <c r="E15" i="3"/>
  <c r="AU3" i="5"/>
  <c r="AU32" i="5"/>
  <c r="E9" i="3"/>
  <c r="AW3" i="5"/>
  <c r="AW32" i="5"/>
  <c r="AZ3" i="46"/>
  <c r="BA3" i="46"/>
  <c r="AU3" i="31"/>
  <c r="AU32" i="31"/>
  <c r="AC32" i="31"/>
  <c r="AX32" i="5"/>
  <c r="AU13" i="5"/>
  <c r="AU33" i="5"/>
  <c r="AW13" i="5"/>
  <c r="AW33" i="5"/>
  <c r="AZ13" i="46"/>
  <c r="BA13" i="46"/>
  <c r="AU13" i="31"/>
  <c r="AU33" i="31"/>
  <c r="AC33" i="31"/>
  <c r="AX33" i="5"/>
  <c r="AU14" i="5"/>
  <c r="AU34" i="5"/>
  <c r="AW14" i="5"/>
  <c r="AW34" i="5"/>
  <c r="AZ14" i="46"/>
  <c r="BA14" i="46"/>
  <c r="AU14" i="31"/>
  <c r="AU34" i="31"/>
  <c r="AC34" i="31"/>
  <c r="AX34" i="5"/>
  <c r="AU30" i="5"/>
  <c r="AU35" i="5"/>
  <c r="AW30" i="5"/>
  <c r="AW35" i="5"/>
  <c r="AZ30" i="46"/>
  <c r="BA30" i="46"/>
  <c r="AU30" i="31"/>
  <c r="AU35" i="31"/>
  <c r="AC35" i="31"/>
  <c r="AX35" i="5"/>
  <c r="AU26" i="5"/>
  <c r="AU36" i="5"/>
  <c r="AW26" i="5"/>
  <c r="AW36" i="5"/>
  <c r="AZ26" i="46"/>
  <c r="BA26" i="46"/>
  <c r="AU26" i="31"/>
  <c r="AU36" i="31"/>
  <c r="AC36" i="31"/>
  <c r="AX36" i="5"/>
  <c r="AU22" i="5"/>
  <c r="AU37" i="5"/>
  <c r="AW22" i="5"/>
  <c r="AW37" i="5"/>
  <c r="AZ22" i="46"/>
  <c r="BA22" i="46"/>
  <c r="AU22" i="31"/>
  <c r="AU37" i="31"/>
  <c r="AC37" i="31"/>
  <c r="AX37" i="5"/>
  <c r="AU2" i="5"/>
  <c r="AU38" i="5"/>
  <c r="AW2" i="5"/>
  <c r="AW38" i="5"/>
  <c r="AZ2" i="46"/>
  <c r="BA2" i="46"/>
  <c r="AU2" i="31"/>
  <c r="AU38" i="31"/>
  <c r="AC38" i="31"/>
  <c r="AX38" i="5"/>
  <c r="AU11" i="5"/>
  <c r="AU39" i="5"/>
  <c r="AW11" i="5"/>
  <c r="AW39" i="5"/>
  <c r="AZ11" i="46"/>
  <c r="BA11" i="46"/>
  <c r="AU11" i="31"/>
  <c r="AU39" i="31"/>
  <c r="AC39" i="31"/>
  <c r="AX39" i="5"/>
  <c r="AU4" i="5"/>
  <c r="AU40" i="5"/>
  <c r="AW4" i="5"/>
  <c r="AW40" i="5"/>
  <c r="AZ4" i="46"/>
  <c r="BA4" i="46"/>
  <c r="AU4" i="31"/>
  <c r="AU40" i="31"/>
  <c r="AC40" i="31"/>
  <c r="AX40" i="5"/>
  <c r="AU8" i="5"/>
  <c r="AU41" i="5"/>
  <c r="AW8" i="5"/>
  <c r="AW41" i="5"/>
  <c r="AZ8" i="46"/>
  <c r="BA8" i="46"/>
  <c r="AU8" i="31"/>
  <c r="AU41" i="31"/>
  <c r="AC41" i="31"/>
  <c r="AX41" i="5"/>
  <c r="AU19" i="5"/>
  <c r="AU42" i="5"/>
  <c r="AW19" i="5"/>
  <c r="AW42" i="5"/>
  <c r="AZ19" i="46"/>
  <c r="BA19" i="46"/>
  <c r="AU19" i="31"/>
  <c r="AU42" i="31"/>
  <c r="AC42" i="31"/>
  <c r="AX42" i="5"/>
  <c r="AU28" i="5"/>
  <c r="AU43" i="5"/>
  <c r="AW28" i="5"/>
  <c r="AW43" i="5"/>
  <c r="AZ28" i="46"/>
  <c r="BA28" i="46"/>
  <c r="AU28" i="31"/>
  <c r="AU43" i="31"/>
  <c r="AC43" i="31"/>
  <c r="AX43" i="5"/>
  <c r="AU15" i="5"/>
  <c r="AU44" i="5"/>
  <c r="AW15" i="5"/>
  <c r="AW44" i="5"/>
  <c r="AZ15" i="46"/>
  <c r="BA15" i="46"/>
  <c r="AU15" i="31"/>
  <c r="AU44" i="31"/>
  <c r="AC44" i="31"/>
  <c r="AX44" i="5"/>
  <c r="BC31" i="5"/>
  <c r="BC32" i="5"/>
  <c r="E35" i="3"/>
  <c r="AE23" i="30"/>
  <c r="AE49" i="30"/>
  <c r="E38" i="3"/>
  <c r="AF23" i="30"/>
  <c r="AF49" i="30"/>
  <c r="E41" i="3"/>
  <c r="AG23" i="30"/>
  <c r="AG49" i="30"/>
  <c r="E44" i="3"/>
  <c r="AH23" i="30"/>
  <c r="AH49" i="30"/>
  <c r="E47" i="3"/>
  <c r="AI23" i="30"/>
  <c r="AI49" i="30"/>
  <c r="E50" i="3"/>
  <c r="AJ23" i="30"/>
  <c r="AJ49" i="30"/>
  <c r="E56" i="3"/>
  <c r="AK23" i="30"/>
  <c r="AK49" i="30"/>
  <c r="E59" i="3"/>
  <c r="AL23" i="30"/>
  <c r="AL49" i="30"/>
  <c r="E62" i="3"/>
  <c r="AM23" i="30"/>
  <c r="AM49" i="30"/>
  <c r="E65" i="3"/>
  <c r="AN23" i="30"/>
  <c r="AN49" i="30"/>
  <c r="E68" i="3"/>
  <c r="AO23" i="30"/>
  <c r="AO49" i="30"/>
  <c r="E71" i="3"/>
  <c r="AP23" i="30"/>
  <c r="AP49" i="30"/>
  <c r="E74" i="3"/>
  <c r="AQ23" i="30"/>
  <c r="AQ49" i="30"/>
  <c r="E77" i="3"/>
  <c r="AR23" i="30"/>
  <c r="AR49" i="30"/>
  <c r="E83" i="3"/>
  <c r="AS23" i="30"/>
  <c r="AS49" i="30"/>
  <c r="E86" i="3"/>
  <c r="AT23" i="30"/>
  <c r="AT49" i="30"/>
  <c r="AU23" i="30"/>
  <c r="AU49" i="30"/>
  <c r="E89" i="3"/>
  <c r="AV23" i="30"/>
  <c r="AV49" i="30"/>
  <c r="E92" i="3"/>
  <c r="AW23" i="30"/>
  <c r="AW49" i="30"/>
  <c r="E98" i="3"/>
  <c r="AX23" i="30"/>
  <c r="AX49" i="30"/>
  <c r="E101" i="3"/>
  <c r="AY23" i="30"/>
  <c r="AY49" i="30"/>
  <c r="E104" i="3"/>
  <c r="AZ23" i="30"/>
  <c r="AZ49" i="30"/>
  <c r="BA23" i="30"/>
  <c r="BA49" i="30"/>
  <c r="BB23" i="30"/>
  <c r="BB49" i="30"/>
  <c r="AE25" i="30"/>
  <c r="AE50" i="30"/>
  <c r="AF25" i="30"/>
  <c r="AF50" i="30"/>
  <c r="AG25" i="30"/>
  <c r="AG50" i="30"/>
  <c r="AH25" i="30"/>
  <c r="AH50" i="30"/>
  <c r="AI25" i="30"/>
  <c r="AI50" i="30"/>
  <c r="AJ25" i="30"/>
  <c r="AJ50" i="30"/>
  <c r="AK25" i="30"/>
  <c r="AK50" i="30"/>
  <c r="AL25" i="30"/>
  <c r="AL50" i="30"/>
  <c r="AM25" i="30"/>
  <c r="AM50" i="30"/>
  <c r="AN25" i="30"/>
  <c r="AN50" i="30"/>
  <c r="AO25" i="30"/>
  <c r="AO50" i="30"/>
  <c r="AP25" i="30"/>
  <c r="AP50" i="30"/>
  <c r="AQ25" i="30"/>
  <c r="AQ50" i="30"/>
  <c r="AR25" i="30"/>
  <c r="AR50" i="30"/>
  <c r="AS25" i="30"/>
  <c r="AS50" i="30"/>
  <c r="AT25" i="30"/>
  <c r="AT50" i="30"/>
  <c r="AU25" i="30"/>
  <c r="AU50" i="30"/>
  <c r="AV25" i="30"/>
  <c r="AV50" i="30"/>
  <c r="AW25" i="30"/>
  <c r="AW50" i="30"/>
  <c r="AX25" i="30"/>
  <c r="AX50" i="30"/>
  <c r="AY25" i="30"/>
  <c r="AY50" i="30"/>
  <c r="AZ25" i="30"/>
  <c r="AZ50" i="30"/>
  <c r="BA25" i="30"/>
  <c r="BA50" i="30"/>
  <c r="BB25" i="30"/>
  <c r="BB50" i="30"/>
  <c r="AE21" i="30"/>
  <c r="AE51" i="30"/>
  <c r="AF21" i="30"/>
  <c r="AF51" i="30"/>
  <c r="AG21" i="30"/>
  <c r="AG51" i="30"/>
  <c r="AH21" i="30"/>
  <c r="AH51" i="30"/>
  <c r="AI21" i="30"/>
  <c r="AI51" i="30"/>
  <c r="AJ21" i="30"/>
  <c r="AJ51" i="30"/>
  <c r="AK21" i="30"/>
  <c r="AK51" i="30"/>
  <c r="AL21" i="30"/>
  <c r="AL51" i="30"/>
  <c r="AM21" i="30"/>
  <c r="AM51" i="30"/>
  <c r="AN21" i="30"/>
  <c r="AN51" i="30"/>
  <c r="AO21" i="30"/>
  <c r="AO51" i="30"/>
  <c r="AP21" i="30"/>
  <c r="AP51" i="30"/>
  <c r="AQ21" i="30"/>
  <c r="AQ51" i="30"/>
  <c r="AR21" i="30"/>
  <c r="AR51" i="30"/>
  <c r="AS21" i="30"/>
  <c r="AS51" i="30"/>
  <c r="AT21" i="30"/>
  <c r="AT51" i="30"/>
  <c r="AU21" i="30"/>
  <c r="AU51" i="30"/>
  <c r="AV21" i="30"/>
  <c r="AV51" i="30"/>
  <c r="AW21" i="30"/>
  <c r="AW51" i="30"/>
  <c r="AX21" i="30"/>
  <c r="AX51" i="30"/>
  <c r="AY21" i="30"/>
  <c r="AY51" i="30"/>
  <c r="AZ21" i="30"/>
  <c r="AZ51" i="30"/>
  <c r="BA21" i="30"/>
  <c r="BA51" i="30"/>
  <c r="BB21" i="30"/>
  <c r="BB51" i="30"/>
  <c r="AE17" i="30"/>
  <c r="AE52" i="30"/>
  <c r="AF17" i="30"/>
  <c r="AF52" i="30"/>
  <c r="AG17" i="30"/>
  <c r="AG52" i="30"/>
  <c r="AH17" i="30"/>
  <c r="AH52" i="30"/>
  <c r="AI17" i="30"/>
  <c r="AI52" i="30"/>
  <c r="AJ17" i="30"/>
  <c r="AJ52" i="30"/>
  <c r="AK17" i="30"/>
  <c r="AK52" i="30"/>
  <c r="AL17" i="30"/>
  <c r="AL52" i="30"/>
  <c r="AM17" i="30"/>
  <c r="AM52" i="30"/>
  <c r="AN17" i="30"/>
  <c r="AN52" i="30"/>
  <c r="AO17" i="30"/>
  <c r="AO52" i="30"/>
  <c r="AP17" i="30"/>
  <c r="AP52" i="30"/>
  <c r="AQ17" i="30"/>
  <c r="AQ52" i="30"/>
  <c r="AR17" i="30"/>
  <c r="AR52" i="30"/>
  <c r="AS17" i="30"/>
  <c r="AS52" i="30"/>
  <c r="AT17" i="30"/>
  <c r="AT52" i="30"/>
  <c r="AU17" i="30"/>
  <c r="AU52" i="30"/>
  <c r="AV17" i="30"/>
  <c r="AV52" i="30"/>
  <c r="AW17" i="30"/>
  <c r="AW52" i="30"/>
  <c r="AX17" i="30"/>
  <c r="AX52" i="30"/>
  <c r="AY17" i="30"/>
  <c r="AY52" i="30"/>
  <c r="AZ17" i="30"/>
  <c r="AZ52" i="30"/>
  <c r="BA17" i="30"/>
  <c r="BA52" i="30"/>
  <c r="BB17" i="30"/>
  <c r="BB52" i="30"/>
  <c r="AE5" i="30"/>
  <c r="AE53" i="30"/>
  <c r="AF5" i="30"/>
  <c r="AF53" i="30"/>
  <c r="AG5" i="30"/>
  <c r="AG53" i="30"/>
  <c r="AH5" i="30"/>
  <c r="AH53" i="30"/>
  <c r="AI5" i="30"/>
  <c r="AI53" i="30"/>
  <c r="AJ5" i="30"/>
  <c r="AJ53" i="30"/>
  <c r="AK5" i="30"/>
  <c r="AK53" i="30"/>
  <c r="AL5" i="30"/>
  <c r="AL53" i="30"/>
  <c r="AM5" i="30"/>
  <c r="AM53" i="30"/>
  <c r="AN5" i="30"/>
  <c r="AN53" i="30"/>
  <c r="AO5" i="30"/>
  <c r="AO53" i="30"/>
  <c r="AP5" i="30"/>
  <c r="AP53" i="30"/>
  <c r="AQ5" i="30"/>
  <c r="AQ53" i="30"/>
  <c r="AR5" i="30"/>
  <c r="AR53" i="30"/>
  <c r="AS5" i="30"/>
  <c r="AS53" i="30"/>
  <c r="AT5" i="30"/>
  <c r="AT53" i="30"/>
  <c r="AU5" i="30"/>
  <c r="AU53" i="30"/>
  <c r="AV5" i="30"/>
  <c r="AV53" i="30"/>
  <c r="AW5" i="30"/>
  <c r="AW53" i="30"/>
  <c r="AX5" i="30"/>
  <c r="AX53" i="30"/>
  <c r="AY5" i="30"/>
  <c r="AY53" i="30"/>
  <c r="AZ5" i="30"/>
  <c r="AZ53" i="30"/>
  <c r="BA5" i="30"/>
  <c r="BA53" i="30"/>
  <c r="BB5" i="30"/>
  <c r="BB53" i="30"/>
  <c r="AE9" i="30"/>
  <c r="AE54" i="30"/>
  <c r="AF9" i="30"/>
  <c r="AF54" i="30"/>
  <c r="AG9" i="30"/>
  <c r="AG54" i="30"/>
  <c r="AH9" i="30"/>
  <c r="AH54" i="30"/>
  <c r="AI9" i="30"/>
  <c r="AI54" i="30"/>
  <c r="AJ9" i="30"/>
  <c r="AJ54" i="30"/>
  <c r="AK9" i="30"/>
  <c r="AK54" i="30"/>
  <c r="AL9" i="30"/>
  <c r="AL54" i="30"/>
  <c r="AM9" i="30"/>
  <c r="AM54" i="30"/>
  <c r="AN9" i="30"/>
  <c r="AN54" i="30"/>
  <c r="AO9" i="30"/>
  <c r="AO54" i="30"/>
  <c r="AP9" i="30"/>
  <c r="AP54" i="30"/>
  <c r="AQ9" i="30"/>
  <c r="AQ54" i="30"/>
  <c r="AR9" i="30"/>
  <c r="AR54" i="30"/>
  <c r="AS9" i="30"/>
  <c r="AS54" i="30"/>
  <c r="AT9" i="30"/>
  <c r="AT54" i="30"/>
  <c r="AU9" i="30"/>
  <c r="AU54" i="30"/>
  <c r="AV9" i="30"/>
  <c r="AV54" i="30"/>
  <c r="AW9" i="30"/>
  <c r="AW54" i="30"/>
  <c r="AX9" i="30"/>
  <c r="AX54" i="30"/>
  <c r="AY9" i="30"/>
  <c r="AY54" i="30"/>
  <c r="AZ9" i="30"/>
  <c r="AZ54" i="30"/>
  <c r="BA9" i="30"/>
  <c r="BA54" i="30"/>
  <c r="BB9" i="30"/>
  <c r="BB54" i="30"/>
  <c r="AE24" i="30"/>
  <c r="AE55" i="30"/>
  <c r="AF24" i="30"/>
  <c r="AF55" i="30"/>
  <c r="AG24" i="30"/>
  <c r="AG55" i="30"/>
  <c r="AH24" i="30"/>
  <c r="AH55" i="30"/>
  <c r="AI24" i="30"/>
  <c r="AI55" i="30"/>
  <c r="AJ24" i="30"/>
  <c r="AJ55" i="30"/>
  <c r="AK24" i="30"/>
  <c r="AK55" i="30"/>
  <c r="AL24" i="30"/>
  <c r="AL55" i="30"/>
  <c r="AM24" i="30"/>
  <c r="AM55" i="30"/>
  <c r="AN24" i="30"/>
  <c r="AN55" i="30"/>
  <c r="AO24" i="30"/>
  <c r="AO55" i="30"/>
  <c r="AP24" i="30"/>
  <c r="AP55" i="30"/>
  <c r="AQ24" i="30"/>
  <c r="AQ55" i="30"/>
  <c r="AR24" i="30"/>
  <c r="AR55" i="30"/>
  <c r="AS24" i="30"/>
  <c r="AS55" i="30"/>
  <c r="AT24" i="30"/>
  <c r="AT55" i="30"/>
  <c r="AU24" i="30"/>
  <c r="AU55" i="30"/>
  <c r="AV24" i="30"/>
  <c r="AV55" i="30"/>
  <c r="AW24" i="30"/>
  <c r="AW55" i="30"/>
  <c r="AX24" i="30"/>
  <c r="AX55" i="30"/>
  <c r="AY24" i="30"/>
  <c r="AY55" i="30"/>
  <c r="AZ24" i="30"/>
  <c r="AZ55" i="30"/>
  <c r="BA24" i="30"/>
  <c r="BA55" i="30"/>
  <c r="BB24" i="30"/>
  <c r="BB55" i="30"/>
  <c r="AE20" i="30"/>
  <c r="AE56" i="30"/>
  <c r="AF20" i="30"/>
  <c r="AF56" i="30"/>
  <c r="AG20" i="30"/>
  <c r="AG56" i="30"/>
  <c r="AH20" i="30"/>
  <c r="AH56" i="30"/>
  <c r="AI20" i="30"/>
  <c r="AI56" i="30"/>
  <c r="AJ20" i="30"/>
  <c r="AJ56" i="30"/>
  <c r="AK20" i="30"/>
  <c r="AK56" i="30"/>
  <c r="AL20" i="30"/>
  <c r="AL56" i="30"/>
  <c r="AM20" i="30"/>
  <c r="AM56" i="30"/>
  <c r="AN20" i="30"/>
  <c r="AN56" i="30"/>
  <c r="AO20" i="30"/>
  <c r="AO56" i="30"/>
  <c r="AP20" i="30"/>
  <c r="AP56" i="30"/>
  <c r="AQ20" i="30"/>
  <c r="AQ56" i="30"/>
  <c r="AR20" i="30"/>
  <c r="AR56" i="30"/>
  <c r="AS20" i="30"/>
  <c r="AS56" i="30"/>
  <c r="AT20" i="30"/>
  <c r="AT56" i="30"/>
  <c r="AU20" i="30"/>
  <c r="AU56" i="30"/>
  <c r="AV20" i="30"/>
  <c r="AV56" i="30"/>
  <c r="AW20" i="30"/>
  <c r="AW56" i="30"/>
  <c r="AX20" i="30"/>
  <c r="AX56" i="30"/>
  <c r="AY20" i="30"/>
  <c r="AY56" i="30"/>
  <c r="AZ20" i="30"/>
  <c r="AZ56" i="30"/>
  <c r="BA20" i="30"/>
  <c r="BA56" i="30"/>
  <c r="BB20" i="30"/>
  <c r="BB56" i="30"/>
  <c r="AE29" i="30"/>
  <c r="AE57" i="30"/>
  <c r="AF29" i="30"/>
  <c r="AF57" i="30"/>
  <c r="AG29" i="30"/>
  <c r="AG57" i="30"/>
  <c r="AH29" i="30"/>
  <c r="AH57" i="30"/>
  <c r="AI29" i="30"/>
  <c r="AI57" i="30"/>
  <c r="AJ29" i="30"/>
  <c r="AJ57" i="30"/>
  <c r="AK29" i="30"/>
  <c r="AK57" i="30"/>
  <c r="AL29" i="30"/>
  <c r="AL57" i="30"/>
  <c r="AM29" i="30"/>
  <c r="AM57" i="30"/>
  <c r="AN29" i="30"/>
  <c r="AN57" i="30"/>
  <c r="AO29" i="30"/>
  <c r="AO57" i="30"/>
  <c r="AP29" i="30"/>
  <c r="AP57" i="30"/>
  <c r="AQ29" i="30"/>
  <c r="AQ57" i="30"/>
  <c r="AR29" i="30"/>
  <c r="AR57" i="30"/>
  <c r="AS29" i="30"/>
  <c r="AS57" i="30"/>
  <c r="AT29" i="30"/>
  <c r="AT57" i="30"/>
  <c r="AU29" i="30"/>
  <c r="AU57" i="30"/>
  <c r="AV29" i="30"/>
  <c r="AV57" i="30"/>
  <c r="AW29" i="30"/>
  <c r="AW57" i="30"/>
  <c r="AX29" i="30"/>
  <c r="AX57" i="30"/>
  <c r="AY29" i="30"/>
  <c r="AY57" i="30"/>
  <c r="AZ29" i="30"/>
  <c r="AZ57" i="30"/>
  <c r="BA29" i="30"/>
  <c r="BA57" i="30"/>
  <c r="BB29" i="30"/>
  <c r="BB57" i="30"/>
  <c r="AE16" i="30"/>
  <c r="AE58" i="30"/>
  <c r="AF16" i="30"/>
  <c r="AF58" i="30"/>
  <c r="AG16" i="30"/>
  <c r="AG58" i="30"/>
  <c r="AH16" i="30"/>
  <c r="AH58" i="30"/>
  <c r="AI16" i="30"/>
  <c r="AI58" i="30"/>
  <c r="AJ16" i="30"/>
  <c r="AJ58" i="30"/>
  <c r="AK16" i="30"/>
  <c r="AK58" i="30"/>
  <c r="AL16" i="30"/>
  <c r="AL58" i="30"/>
  <c r="AM16" i="30"/>
  <c r="AM58" i="30"/>
  <c r="AN16" i="30"/>
  <c r="AN58" i="30"/>
  <c r="AO16" i="30"/>
  <c r="AO58" i="30"/>
  <c r="AP16" i="30"/>
  <c r="AP58" i="30"/>
  <c r="AQ16" i="30"/>
  <c r="AQ58" i="30"/>
  <c r="AR16" i="30"/>
  <c r="AR58" i="30"/>
  <c r="AS16" i="30"/>
  <c r="AS58" i="30"/>
  <c r="AT16" i="30"/>
  <c r="AT58" i="30"/>
  <c r="AU16" i="30"/>
  <c r="AU58" i="30"/>
  <c r="AV16" i="30"/>
  <c r="AV58" i="30"/>
  <c r="AW16" i="30"/>
  <c r="AW58" i="30"/>
  <c r="AX16" i="30"/>
  <c r="AX58" i="30"/>
  <c r="AY16" i="30"/>
  <c r="AY58" i="30"/>
  <c r="AZ16" i="30"/>
  <c r="AZ58" i="30"/>
  <c r="BA16" i="30"/>
  <c r="BA58" i="30"/>
  <c r="BB16" i="30"/>
  <c r="BB58" i="30"/>
  <c r="AE7" i="30"/>
  <c r="AE59" i="30"/>
  <c r="AF7" i="30"/>
  <c r="AF59" i="30"/>
  <c r="AG7" i="30"/>
  <c r="AG59" i="30"/>
  <c r="AH7" i="30"/>
  <c r="AH59" i="30"/>
  <c r="AI7" i="30"/>
  <c r="AI59" i="30"/>
  <c r="AJ7" i="30"/>
  <c r="AJ59" i="30"/>
  <c r="AK7" i="30"/>
  <c r="AK59" i="30"/>
  <c r="AL7" i="30"/>
  <c r="AL59" i="30"/>
  <c r="AM7" i="30"/>
  <c r="AM59" i="30"/>
  <c r="AN7" i="30"/>
  <c r="AN59" i="30"/>
  <c r="AO7" i="30"/>
  <c r="AO59" i="30"/>
  <c r="AP7" i="30"/>
  <c r="AP59" i="30"/>
  <c r="AQ7" i="30"/>
  <c r="AQ59" i="30"/>
  <c r="AR7" i="30"/>
  <c r="AR59" i="30"/>
  <c r="AS7" i="30"/>
  <c r="AS59" i="30"/>
  <c r="AT7" i="30"/>
  <c r="AT59" i="30"/>
  <c r="AU7" i="30"/>
  <c r="AU59" i="30"/>
  <c r="AV7" i="30"/>
  <c r="AV59" i="30"/>
  <c r="AW7" i="30"/>
  <c r="AW59" i="30"/>
  <c r="AX7" i="30"/>
  <c r="AX59" i="30"/>
  <c r="AY7" i="30"/>
  <c r="AY59" i="30"/>
  <c r="AZ7" i="30"/>
  <c r="AZ59" i="30"/>
  <c r="BA7" i="30"/>
  <c r="BA59" i="30"/>
  <c r="BB7" i="30"/>
  <c r="BB59" i="30"/>
  <c r="AE12" i="30"/>
  <c r="AE60" i="30"/>
  <c r="AF12" i="30"/>
  <c r="AF60" i="30"/>
  <c r="AG12" i="30"/>
  <c r="AG60" i="30"/>
  <c r="AH12" i="30"/>
  <c r="AH60" i="30"/>
  <c r="AI12" i="30"/>
  <c r="AI60" i="30"/>
  <c r="AJ12" i="30"/>
  <c r="AJ60" i="30"/>
  <c r="AK12" i="30"/>
  <c r="AK60" i="30"/>
  <c r="AL12" i="30"/>
  <c r="AL60" i="30"/>
  <c r="AM12" i="30"/>
  <c r="AM60" i="30"/>
  <c r="AN12" i="30"/>
  <c r="AN60" i="30"/>
  <c r="AO12" i="30"/>
  <c r="AO60" i="30"/>
  <c r="AP12" i="30"/>
  <c r="AP60" i="30"/>
  <c r="AQ12" i="30"/>
  <c r="AQ60" i="30"/>
  <c r="AR12" i="30"/>
  <c r="AR60" i="30"/>
  <c r="AS12" i="30"/>
  <c r="AS60" i="30"/>
  <c r="AT12" i="30"/>
  <c r="AT60" i="30"/>
  <c r="AU12" i="30"/>
  <c r="AU60" i="30"/>
  <c r="AV12" i="30"/>
  <c r="AV60" i="30"/>
  <c r="AW12" i="30"/>
  <c r="AW60" i="30"/>
  <c r="AX12" i="30"/>
  <c r="AX60" i="30"/>
  <c r="AY12" i="30"/>
  <c r="AY60" i="30"/>
  <c r="AZ12" i="30"/>
  <c r="AZ60" i="30"/>
  <c r="BA12" i="30"/>
  <c r="BA60" i="30"/>
  <c r="BB12" i="30"/>
  <c r="BB60" i="30"/>
  <c r="AE18" i="30"/>
  <c r="AE61" i="30"/>
  <c r="AF18" i="30"/>
  <c r="AF61" i="30"/>
  <c r="AG18" i="30"/>
  <c r="AG61" i="30"/>
  <c r="AH18" i="30"/>
  <c r="AH61" i="30"/>
  <c r="AI18" i="30"/>
  <c r="AI61" i="30"/>
  <c r="AJ18" i="30"/>
  <c r="AJ61" i="30"/>
  <c r="AK18" i="30"/>
  <c r="AK61" i="30"/>
  <c r="AL18" i="30"/>
  <c r="AL61" i="30"/>
  <c r="AM18" i="30"/>
  <c r="AM61" i="30"/>
  <c r="AN18" i="30"/>
  <c r="AN61" i="30"/>
  <c r="AO18" i="30"/>
  <c r="AO61" i="30"/>
  <c r="AP18" i="30"/>
  <c r="AP61" i="30"/>
  <c r="AQ18" i="30"/>
  <c r="AQ61" i="30"/>
  <c r="AR18" i="30"/>
  <c r="AR61" i="30"/>
  <c r="AS18" i="30"/>
  <c r="AS61" i="30"/>
  <c r="AT18" i="30"/>
  <c r="AT61" i="30"/>
  <c r="AU18" i="30"/>
  <c r="AU61" i="30"/>
  <c r="AV18" i="30"/>
  <c r="AV61" i="30"/>
  <c r="AW18" i="30"/>
  <c r="AW61" i="30"/>
  <c r="AX18" i="30"/>
  <c r="AX61" i="30"/>
  <c r="AY18" i="30"/>
  <c r="AY61" i="30"/>
  <c r="AZ18" i="30"/>
  <c r="AZ61" i="30"/>
  <c r="BA18" i="30"/>
  <c r="BA61" i="30"/>
  <c r="BB18" i="30"/>
  <c r="BB61" i="30"/>
  <c r="AE27" i="30"/>
  <c r="AE62" i="30"/>
  <c r="AF27" i="30"/>
  <c r="AF62" i="30"/>
  <c r="AG27" i="30"/>
  <c r="AG62" i="30"/>
  <c r="AH27" i="30"/>
  <c r="AH62" i="30"/>
  <c r="AI27" i="30"/>
  <c r="AI62" i="30"/>
  <c r="AJ27" i="30"/>
  <c r="AJ62" i="30"/>
  <c r="AK27" i="30"/>
  <c r="AK62" i="30"/>
  <c r="AL27" i="30"/>
  <c r="AL62" i="30"/>
  <c r="AM27" i="30"/>
  <c r="AM62" i="30"/>
  <c r="AN27" i="30"/>
  <c r="AN62" i="30"/>
  <c r="AO27" i="30"/>
  <c r="AO62" i="30"/>
  <c r="AP27" i="30"/>
  <c r="AP62" i="30"/>
  <c r="AQ27" i="30"/>
  <c r="AQ62" i="30"/>
  <c r="AR27" i="30"/>
  <c r="AR62" i="30"/>
  <c r="AS27" i="30"/>
  <c r="AS62" i="30"/>
  <c r="AT27" i="30"/>
  <c r="AT62" i="30"/>
  <c r="AU27" i="30"/>
  <c r="AU62" i="30"/>
  <c r="AV27" i="30"/>
  <c r="AV62" i="30"/>
  <c r="AW27" i="30"/>
  <c r="AW62" i="30"/>
  <c r="AX27" i="30"/>
  <c r="AX62" i="30"/>
  <c r="AY27" i="30"/>
  <c r="AY62" i="30"/>
  <c r="AZ27" i="30"/>
  <c r="AZ62" i="30"/>
  <c r="BA27" i="30"/>
  <c r="BA62" i="30"/>
  <c r="BB27" i="30"/>
  <c r="BB62" i="30"/>
  <c r="AE64" i="30"/>
  <c r="AE65" i="30"/>
  <c r="AE66" i="30"/>
  <c r="AE67" i="30"/>
  <c r="AE68" i="30"/>
  <c r="AE69" i="30"/>
  <c r="AE70" i="30"/>
  <c r="AE71" i="30"/>
  <c r="AE72" i="30"/>
  <c r="AE73" i="30"/>
  <c r="AE74" i="30"/>
  <c r="AE75" i="30"/>
  <c r="AE76" i="30"/>
  <c r="AE63" i="30"/>
  <c r="AF64" i="30"/>
  <c r="AF65" i="30"/>
  <c r="AF66" i="30"/>
  <c r="AF67" i="30"/>
  <c r="AF68" i="30"/>
  <c r="AF69" i="30"/>
  <c r="AF70" i="30"/>
  <c r="AF71" i="30"/>
  <c r="AF72" i="30"/>
  <c r="AF73" i="30"/>
  <c r="AF74" i="30"/>
  <c r="AF75" i="30"/>
  <c r="AF76" i="30"/>
  <c r="AF63" i="30"/>
  <c r="AG64" i="30"/>
  <c r="AG65" i="30"/>
  <c r="AG66" i="30"/>
  <c r="AG67" i="30"/>
  <c r="AG68" i="30"/>
  <c r="AG69" i="30"/>
  <c r="AG70" i="30"/>
  <c r="AG71" i="30"/>
  <c r="AG72" i="30"/>
  <c r="AG73" i="30"/>
  <c r="AG74" i="30"/>
  <c r="AG75" i="30"/>
  <c r="AG76" i="30"/>
  <c r="AG63" i="30"/>
  <c r="AH64" i="30"/>
  <c r="AH65" i="30"/>
  <c r="AH66" i="30"/>
  <c r="AH67" i="30"/>
  <c r="AH68" i="30"/>
  <c r="AH69" i="30"/>
  <c r="AH70" i="30"/>
  <c r="AH71" i="30"/>
  <c r="AH72" i="30"/>
  <c r="AH73" i="30"/>
  <c r="AH74" i="30"/>
  <c r="AH75" i="30"/>
  <c r="AH76" i="30"/>
  <c r="AH63" i="30"/>
  <c r="AI64" i="30"/>
  <c r="AI65" i="30"/>
  <c r="AI66" i="30"/>
  <c r="AI67" i="30"/>
  <c r="AI68" i="30"/>
  <c r="AI69" i="30"/>
  <c r="AI70" i="30"/>
  <c r="AI71" i="30"/>
  <c r="AI72" i="30"/>
  <c r="AI73" i="30"/>
  <c r="AI74" i="30"/>
  <c r="AI75" i="30"/>
  <c r="AI76" i="30"/>
  <c r="AI63" i="30"/>
  <c r="AJ64" i="30"/>
  <c r="AJ65" i="30"/>
  <c r="AJ66" i="30"/>
  <c r="AJ67" i="30"/>
  <c r="AJ68" i="30"/>
  <c r="AJ69" i="30"/>
  <c r="AJ70" i="30"/>
  <c r="AJ71" i="30"/>
  <c r="AJ72" i="30"/>
  <c r="AJ73" i="30"/>
  <c r="AJ74" i="30"/>
  <c r="AJ75" i="30"/>
  <c r="AJ76" i="30"/>
  <c r="AJ63" i="30"/>
  <c r="AK64" i="30"/>
  <c r="AK65" i="30"/>
  <c r="AK66" i="30"/>
  <c r="AK67" i="30"/>
  <c r="AK68" i="30"/>
  <c r="AK69" i="30"/>
  <c r="AK70" i="30"/>
  <c r="AK71" i="30"/>
  <c r="AK72" i="30"/>
  <c r="AK73" i="30"/>
  <c r="AK74" i="30"/>
  <c r="AK75" i="30"/>
  <c r="AK76" i="30"/>
  <c r="AK63" i="30"/>
  <c r="AL64" i="30"/>
  <c r="AL65" i="30"/>
  <c r="AL66" i="30"/>
  <c r="AL67" i="30"/>
  <c r="AL68" i="30"/>
  <c r="AL69" i="30"/>
  <c r="AL70" i="30"/>
  <c r="AL71" i="30"/>
  <c r="AL72" i="30"/>
  <c r="AL73" i="30"/>
  <c r="AL74" i="30"/>
  <c r="AL75" i="30"/>
  <c r="AL76" i="30"/>
  <c r="AL63" i="30"/>
  <c r="AM64" i="30"/>
  <c r="AM65" i="30"/>
  <c r="AM66" i="30"/>
  <c r="AM67" i="30"/>
  <c r="AM68" i="30"/>
  <c r="AM69" i="30"/>
  <c r="AM70" i="30"/>
  <c r="AM71" i="30"/>
  <c r="AM72" i="30"/>
  <c r="AM73" i="30"/>
  <c r="AM74" i="30"/>
  <c r="AM75" i="30"/>
  <c r="AM76" i="30"/>
  <c r="AM63" i="30"/>
  <c r="AN64" i="30"/>
  <c r="AN65" i="30"/>
  <c r="AN66" i="30"/>
  <c r="AN67" i="30"/>
  <c r="AN68" i="30"/>
  <c r="AN69" i="30"/>
  <c r="AN70" i="30"/>
  <c r="AN71" i="30"/>
  <c r="AN72" i="30"/>
  <c r="AN73" i="30"/>
  <c r="AN74" i="30"/>
  <c r="AN75" i="30"/>
  <c r="AN76" i="30"/>
  <c r="AN63" i="30"/>
  <c r="AO64" i="30"/>
  <c r="AO65" i="30"/>
  <c r="AO66" i="30"/>
  <c r="AO67" i="30"/>
  <c r="AO68" i="30"/>
  <c r="AO69" i="30"/>
  <c r="AO70" i="30"/>
  <c r="AO71" i="30"/>
  <c r="AO72" i="30"/>
  <c r="AO73" i="30"/>
  <c r="AO74" i="30"/>
  <c r="AO75" i="30"/>
  <c r="AO76" i="30"/>
  <c r="AO63" i="30"/>
  <c r="AP64" i="30"/>
  <c r="AP65" i="30"/>
  <c r="AP66" i="30"/>
  <c r="AP67" i="30"/>
  <c r="AP68" i="30"/>
  <c r="AP69" i="30"/>
  <c r="AP70" i="30"/>
  <c r="AP71" i="30"/>
  <c r="AP72" i="30"/>
  <c r="AP73" i="30"/>
  <c r="AP74" i="30"/>
  <c r="AP75" i="30"/>
  <c r="AP76" i="30"/>
  <c r="AP63" i="30"/>
  <c r="AQ64" i="30"/>
  <c r="AQ65" i="30"/>
  <c r="AQ66" i="30"/>
  <c r="AQ67" i="30"/>
  <c r="AQ68" i="30"/>
  <c r="AQ69" i="30"/>
  <c r="AQ70" i="30"/>
  <c r="AQ71" i="30"/>
  <c r="AQ72" i="30"/>
  <c r="AQ73" i="30"/>
  <c r="AQ74" i="30"/>
  <c r="AQ75" i="30"/>
  <c r="AQ76" i="30"/>
  <c r="AQ63" i="30"/>
  <c r="AR64" i="30"/>
  <c r="AR65" i="30"/>
  <c r="AR66" i="30"/>
  <c r="AR67" i="30"/>
  <c r="AR68" i="30"/>
  <c r="AR69" i="30"/>
  <c r="AR70" i="30"/>
  <c r="AR71" i="30"/>
  <c r="AR72" i="30"/>
  <c r="AR73" i="30"/>
  <c r="AR74" i="30"/>
  <c r="AR75" i="30"/>
  <c r="AR76" i="30"/>
  <c r="AR63" i="30"/>
  <c r="AS64" i="30"/>
  <c r="AS65" i="30"/>
  <c r="AS66" i="30"/>
  <c r="AS67" i="30"/>
  <c r="AS68" i="30"/>
  <c r="AS69" i="30"/>
  <c r="AS70" i="30"/>
  <c r="AS71" i="30"/>
  <c r="AS72" i="30"/>
  <c r="AS73" i="30"/>
  <c r="AS74" i="30"/>
  <c r="AS75" i="30"/>
  <c r="AS76" i="30"/>
  <c r="AS63" i="30"/>
  <c r="AT64" i="30"/>
  <c r="AT65" i="30"/>
  <c r="AT66" i="30"/>
  <c r="AT67" i="30"/>
  <c r="AT68" i="30"/>
  <c r="AT69" i="30"/>
  <c r="AT70" i="30"/>
  <c r="AT71" i="30"/>
  <c r="AT72" i="30"/>
  <c r="AT73" i="30"/>
  <c r="AT74" i="30"/>
  <c r="AT75" i="30"/>
  <c r="AT76" i="30"/>
  <c r="AT63" i="30"/>
  <c r="AU64" i="30"/>
  <c r="AU65" i="30"/>
  <c r="AU66" i="30"/>
  <c r="AU67" i="30"/>
  <c r="AU68" i="30"/>
  <c r="AU69" i="30"/>
  <c r="AU70" i="30"/>
  <c r="AU71" i="30"/>
  <c r="AU72" i="30"/>
  <c r="AU73" i="30"/>
  <c r="AU74" i="30"/>
  <c r="AU75" i="30"/>
  <c r="AU76" i="30"/>
  <c r="AU63" i="30"/>
  <c r="AV64" i="30"/>
  <c r="AV65" i="30"/>
  <c r="AV66" i="30"/>
  <c r="AV67" i="30"/>
  <c r="AV68" i="30"/>
  <c r="AV69" i="30"/>
  <c r="AV70" i="30"/>
  <c r="AV71" i="30"/>
  <c r="AV72" i="30"/>
  <c r="AV73" i="30"/>
  <c r="AV74" i="30"/>
  <c r="AV75" i="30"/>
  <c r="AV76" i="30"/>
  <c r="AV63" i="30"/>
  <c r="AW64" i="30"/>
  <c r="AW65" i="30"/>
  <c r="AW66" i="30"/>
  <c r="AW67" i="30"/>
  <c r="AW68" i="30"/>
  <c r="AW69" i="30"/>
  <c r="AW70" i="30"/>
  <c r="AW71" i="30"/>
  <c r="AW72" i="30"/>
  <c r="AW73" i="30"/>
  <c r="AW74" i="30"/>
  <c r="AW75" i="30"/>
  <c r="AW76" i="30"/>
  <c r="AW63" i="30"/>
  <c r="AX64" i="30"/>
  <c r="AX65" i="30"/>
  <c r="AX66" i="30"/>
  <c r="AX67" i="30"/>
  <c r="AX68" i="30"/>
  <c r="AX69" i="30"/>
  <c r="AX70" i="30"/>
  <c r="AX71" i="30"/>
  <c r="AX72" i="30"/>
  <c r="AX73" i="30"/>
  <c r="AX74" i="30"/>
  <c r="AX75" i="30"/>
  <c r="AX76" i="30"/>
  <c r="AX63" i="30"/>
  <c r="AY64" i="30"/>
  <c r="AY65" i="30"/>
  <c r="AY66" i="30"/>
  <c r="AY67" i="30"/>
  <c r="AY68" i="30"/>
  <c r="AY69" i="30"/>
  <c r="AY70" i="30"/>
  <c r="AY71" i="30"/>
  <c r="AY72" i="30"/>
  <c r="AY73" i="30"/>
  <c r="AY74" i="30"/>
  <c r="AY75" i="30"/>
  <c r="AY76" i="30"/>
  <c r="AY63" i="30"/>
  <c r="AZ64" i="30"/>
  <c r="AZ65" i="30"/>
  <c r="AZ66" i="30"/>
  <c r="AZ67" i="30"/>
  <c r="AZ68" i="30"/>
  <c r="AZ69" i="30"/>
  <c r="AZ70" i="30"/>
  <c r="AZ71" i="30"/>
  <c r="AZ72" i="30"/>
  <c r="AZ73" i="30"/>
  <c r="AZ74" i="30"/>
  <c r="AZ75" i="30"/>
  <c r="AZ76" i="30"/>
  <c r="AZ63" i="30"/>
  <c r="BA64" i="30"/>
  <c r="BA65" i="30"/>
  <c r="BA66" i="30"/>
  <c r="BA67" i="30"/>
  <c r="BA68" i="30"/>
  <c r="BA69" i="30"/>
  <c r="BA70" i="30"/>
  <c r="BA71" i="30"/>
  <c r="BA72" i="30"/>
  <c r="BA73" i="30"/>
  <c r="BA74" i="30"/>
  <c r="BA75" i="30"/>
  <c r="BA76" i="30"/>
  <c r="BA63" i="30"/>
  <c r="BB64" i="30"/>
  <c r="BB65" i="30"/>
  <c r="BB66" i="30"/>
  <c r="BB67" i="30"/>
  <c r="BB68" i="30"/>
  <c r="BB69" i="30"/>
  <c r="BB70" i="30"/>
  <c r="BB71" i="30"/>
  <c r="BB72" i="30"/>
  <c r="BB73" i="30"/>
  <c r="BB74" i="30"/>
  <c r="BB75" i="30"/>
  <c r="BB76" i="30"/>
  <c r="BB63" i="30"/>
  <c r="AD27" i="30"/>
  <c r="AD76" i="30"/>
  <c r="AD18" i="30"/>
  <c r="AD75" i="30"/>
  <c r="AD12" i="30"/>
  <c r="AD74" i="30"/>
  <c r="AD7" i="30"/>
  <c r="AD73" i="30"/>
  <c r="AD16" i="30"/>
  <c r="AD72" i="30"/>
  <c r="AD29" i="30"/>
  <c r="AD71" i="30"/>
  <c r="AD20" i="30"/>
  <c r="AD70" i="30"/>
  <c r="AD24" i="30"/>
  <c r="AD69" i="30"/>
  <c r="AD9" i="30"/>
  <c r="AD68" i="30"/>
  <c r="AD5" i="30"/>
  <c r="AD67" i="30"/>
  <c r="AD17" i="30"/>
  <c r="AD66" i="30"/>
  <c r="AD21" i="30"/>
  <c r="AD65" i="30"/>
  <c r="AD25" i="30"/>
  <c r="AD64" i="30"/>
  <c r="AD62" i="30"/>
  <c r="AD61" i="30"/>
  <c r="AD60" i="30"/>
  <c r="AD59" i="30"/>
  <c r="AD58" i="30"/>
  <c r="AD57" i="30"/>
  <c r="AD56" i="30"/>
  <c r="AD55" i="30"/>
  <c r="AD54" i="30"/>
  <c r="AD53" i="30"/>
  <c r="AD52" i="30"/>
  <c r="AD51" i="30"/>
  <c r="AD50" i="30"/>
  <c r="AD23" i="30"/>
  <c r="AD49" i="30"/>
  <c r="AD2" i="30"/>
  <c r="AU2" i="30"/>
  <c r="BA2" i="30"/>
  <c r="BB2" i="30"/>
  <c r="AC2" i="30"/>
  <c r="D3" i="29"/>
  <c r="U3" i="29"/>
  <c r="AA3" i="29"/>
  <c r="AB3" i="29"/>
  <c r="B25" i="3"/>
  <c r="B38" i="3"/>
  <c r="D13" i="29"/>
  <c r="U13" i="29"/>
  <c r="AA13" i="29"/>
  <c r="AB13" i="29"/>
  <c r="D14" i="29"/>
  <c r="U14" i="29"/>
  <c r="AA14" i="29"/>
  <c r="AB14" i="29"/>
  <c r="D30" i="29"/>
  <c r="U30" i="29"/>
  <c r="AA30" i="29"/>
  <c r="AB30" i="29"/>
  <c r="D26" i="29"/>
  <c r="U26" i="29"/>
  <c r="AA26" i="29"/>
  <c r="AB26" i="29"/>
  <c r="D22" i="29"/>
  <c r="U22" i="29"/>
  <c r="AA22" i="29"/>
  <c r="AB22" i="29"/>
  <c r="D2" i="29"/>
  <c r="U2" i="29"/>
  <c r="AA2" i="29"/>
  <c r="AB2" i="29"/>
  <c r="D11" i="29"/>
  <c r="U11" i="29"/>
  <c r="AA11" i="29"/>
  <c r="AB11" i="29"/>
  <c r="D4" i="29"/>
  <c r="U4" i="29"/>
  <c r="AA4" i="29"/>
  <c r="AB4" i="29"/>
  <c r="D8" i="29"/>
  <c r="U8" i="29"/>
  <c r="AA8" i="29"/>
  <c r="AB8" i="29"/>
  <c r="D19" i="29"/>
  <c r="U19" i="29"/>
  <c r="AA19" i="29"/>
  <c r="AB19" i="29"/>
  <c r="D28" i="29"/>
  <c r="U28" i="29"/>
  <c r="AA28" i="29"/>
  <c r="AB28" i="29"/>
  <c r="D15" i="29"/>
  <c r="U15" i="29"/>
  <c r="AA15" i="29"/>
  <c r="AB15" i="29"/>
  <c r="E31" i="20"/>
  <c r="AZ23" i="46"/>
  <c r="BA23" i="46"/>
  <c r="D23" i="29"/>
  <c r="U23" i="29"/>
  <c r="AA23" i="29"/>
  <c r="AB23" i="29"/>
  <c r="D25" i="29"/>
  <c r="U25" i="29"/>
  <c r="AA25" i="29"/>
  <c r="AB25" i="29"/>
  <c r="AZ21" i="46"/>
  <c r="BA21" i="46"/>
  <c r="D21" i="29"/>
  <c r="U21" i="29"/>
  <c r="AA21" i="29"/>
  <c r="AB21" i="29"/>
  <c r="AZ17" i="46"/>
  <c r="BA17" i="46"/>
  <c r="D17" i="29"/>
  <c r="U17" i="29"/>
  <c r="AA17" i="29"/>
  <c r="AB17" i="29"/>
  <c r="AZ5" i="46"/>
  <c r="BA5" i="46"/>
  <c r="D5" i="29"/>
  <c r="U5" i="29"/>
  <c r="AA5" i="29"/>
  <c r="AB5" i="29"/>
  <c r="AZ9" i="46"/>
  <c r="BA9" i="46"/>
  <c r="D9" i="29"/>
  <c r="U9" i="29"/>
  <c r="AA9" i="29"/>
  <c r="AB9" i="29"/>
  <c r="D24" i="29"/>
  <c r="U24" i="29"/>
  <c r="AA24" i="29"/>
  <c r="AB24" i="29"/>
  <c r="AZ20" i="46"/>
  <c r="BA20" i="46"/>
  <c r="D20" i="29"/>
  <c r="U20" i="29"/>
  <c r="AA20" i="29"/>
  <c r="AB20" i="29"/>
  <c r="AZ29" i="46"/>
  <c r="BA29" i="46"/>
  <c r="D29" i="29"/>
  <c r="U29" i="29"/>
  <c r="AA29" i="29"/>
  <c r="AB29" i="29"/>
  <c r="AZ16" i="46"/>
  <c r="BA16" i="46"/>
  <c r="D16" i="29"/>
  <c r="U16" i="29"/>
  <c r="AA16" i="29"/>
  <c r="AB16" i="29"/>
  <c r="AZ7" i="46"/>
  <c r="BA7" i="46"/>
  <c r="D7" i="29"/>
  <c r="U7" i="29"/>
  <c r="AA7" i="29"/>
  <c r="AB7" i="29"/>
  <c r="AZ12" i="46"/>
  <c r="BA12" i="46"/>
  <c r="D12" i="29"/>
  <c r="U12" i="29"/>
  <c r="AA12" i="29"/>
  <c r="AB12" i="29"/>
  <c r="AZ18" i="46"/>
  <c r="BA18" i="46"/>
  <c r="D18" i="29"/>
  <c r="U18" i="29"/>
  <c r="AA18" i="29"/>
  <c r="AB18" i="29"/>
  <c r="AZ27" i="46"/>
  <c r="BA27" i="46"/>
  <c r="D27" i="29"/>
  <c r="U27" i="29"/>
  <c r="AA27" i="29"/>
  <c r="AB27" i="29"/>
  <c r="E48" i="20"/>
  <c r="BP27" i="16"/>
  <c r="BP76" i="16"/>
  <c r="BO27" i="16"/>
  <c r="BO76" i="16"/>
  <c r="BP18" i="16"/>
  <c r="BP75" i="16"/>
  <c r="BO18" i="16"/>
  <c r="BO75" i="16"/>
  <c r="BP12" i="16"/>
  <c r="BP74" i="16"/>
  <c r="BO12" i="16"/>
  <c r="BO74" i="16"/>
  <c r="BP7" i="16"/>
  <c r="BP73" i="16"/>
  <c r="BO7" i="16"/>
  <c r="BO73" i="16"/>
  <c r="BP16" i="16"/>
  <c r="BP72" i="16"/>
  <c r="BO16" i="16"/>
  <c r="BO72" i="16"/>
  <c r="BP29" i="16"/>
  <c r="BP71" i="16"/>
  <c r="BO29" i="16"/>
  <c r="BO71" i="16"/>
  <c r="BP20" i="16"/>
  <c r="BP70" i="16"/>
  <c r="BO20" i="16"/>
  <c r="BO70" i="16"/>
  <c r="BP24" i="16"/>
  <c r="BP69" i="16"/>
  <c r="BO24" i="16"/>
  <c r="BO69" i="16"/>
  <c r="BP9" i="16"/>
  <c r="BP68" i="16"/>
  <c r="BO9" i="16"/>
  <c r="BO68" i="16"/>
  <c r="BP5" i="16"/>
  <c r="BP67" i="16"/>
  <c r="BO5" i="16"/>
  <c r="BO67" i="16"/>
  <c r="BP17" i="16"/>
  <c r="BP66" i="16"/>
  <c r="BO17" i="16"/>
  <c r="BO66" i="16"/>
  <c r="BP21" i="16"/>
  <c r="BP65" i="16"/>
  <c r="BO21" i="16"/>
  <c r="BO65" i="16"/>
  <c r="BP25" i="16"/>
  <c r="BP64" i="16"/>
  <c r="BO25" i="16"/>
  <c r="BO64" i="16"/>
  <c r="BP63" i="16"/>
  <c r="BO63" i="16"/>
  <c r="BP62" i="16"/>
  <c r="BO62" i="16"/>
  <c r="BP61" i="16"/>
  <c r="BO61" i="16"/>
  <c r="BP60" i="16"/>
  <c r="BO60" i="16"/>
  <c r="BP59" i="16"/>
  <c r="BO59" i="16"/>
  <c r="BP58" i="16"/>
  <c r="BO58" i="16"/>
  <c r="BP57" i="16"/>
  <c r="BO57" i="16"/>
  <c r="BP56" i="16"/>
  <c r="BO56" i="16"/>
  <c r="BP55" i="16"/>
  <c r="BO55" i="16"/>
  <c r="BP54" i="16"/>
  <c r="BO54" i="16"/>
  <c r="BP53" i="16"/>
  <c r="BO53" i="16"/>
  <c r="BP52" i="16"/>
  <c r="BO52" i="16"/>
  <c r="BP51" i="16"/>
  <c r="BO51" i="16"/>
  <c r="BP50" i="16"/>
  <c r="BO50" i="16"/>
  <c r="BP23" i="16"/>
  <c r="BP49" i="16"/>
  <c r="BO23" i="16"/>
  <c r="BO49" i="16"/>
  <c r="BP48" i="16"/>
  <c r="BO48" i="16"/>
  <c r="BP6" i="16"/>
  <c r="BP47" i="16"/>
  <c r="BO6" i="16"/>
  <c r="BO47" i="16"/>
  <c r="BP10" i="16"/>
  <c r="BP46" i="16"/>
  <c r="BO10" i="16"/>
  <c r="BO46" i="16"/>
  <c r="BP45" i="16"/>
  <c r="BO45" i="16"/>
  <c r="BP15" i="16"/>
  <c r="BP44" i="16"/>
  <c r="BO15" i="16"/>
  <c r="BO44" i="16"/>
  <c r="BP28" i="16"/>
  <c r="BP43" i="16"/>
  <c r="BO28" i="16"/>
  <c r="BO43" i="16"/>
  <c r="BP19" i="16"/>
  <c r="BP42" i="16"/>
  <c r="BO19" i="16"/>
  <c r="BO42" i="16"/>
  <c r="BP8" i="16"/>
  <c r="BP41" i="16"/>
  <c r="BO8" i="16"/>
  <c r="BO41" i="16"/>
  <c r="BP4" i="16"/>
  <c r="BP40" i="16"/>
  <c r="BO4" i="16"/>
  <c r="BO40" i="16"/>
  <c r="BP11" i="16"/>
  <c r="BP39" i="16"/>
  <c r="BO11" i="16"/>
  <c r="BO39" i="16"/>
  <c r="BP2" i="16"/>
  <c r="BP38" i="16"/>
  <c r="BO2" i="16"/>
  <c r="BO38" i="16"/>
  <c r="BP22" i="16"/>
  <c r="BP37" i="16"/>
  <c r="BO22" i="16"/>
  <c r="BO37" i="16"/>
  <c r="BP26" i="16"/>
  <c r="BP36" i="16"/>
  <c r="BO26" i="16"/>
  <c r="BO36" i="16"/>
  <c r="BP30" i="16"/>
  <c r="BP35" i="16"/>
  <c r="BO30" i="16"/>
  <c r="BO35" i="16"/>
  <c r="BP14" i="16"/>
  <c r="BP34" i="16"/>
  <c r="BO14" i="16"/>
  <c r="BO34" i="16"/>
  <c r="BP13" i="16"/>
  <c r="BP33" i="16"/>
  <c r="BO13" i="16"/>
  <c r="BO33" i="16"/>
  <c r="BP3" i="16"/>
  <c r="BP32" i="16"/>
  <c r="BO3" i="16"/>
  <c r="BO32" i="16"/>
  <c r="BP31" i="16"/>
  <c r="BO31" i="16"/>
  <c r="H15" i="3"/>
  <c r="AW27" i="16"/>
  <c r="BA27" i="16"/>
  <c r="H9" i="3"/>
  <c r="AX27" i="16"/>
  <c r="BB27" i="16"/>
  <c r="AY27" i="16"/>
  <c r="BC27" i="16"/>
  <c r="AZ27" i="16"/>
  <c r="BD27" i="16"/>
  <c r="BE27" i="16"/>
  <c r="BE76" i="16"/>
  <c r="AW18" i="16"/>
  <c r="BA18" i="16"/>
  <c r="AX18" i="16"/>
  <c r="BB18" i="16"/>
  <c r="AY18" i="16"/>
  <c r="BC18" i="16"/>
  <c r="AZ18" i="16"/>
  <c r="BD18" i="16"/>
  <c r="BE18" i="16"/>
  <c r="BE75" i="16"/>
  <c r="AW12" i="16"/>
  <c r="BA12" i="16"/>
  <c r="AX12" i="16"/>
  <c r="BB12" i="16"/>
  <c r="AY12" i="16"/>
  <c r="BC12" i="16"/>
  <c r="AZ12" i="16"/>
  <c r="BD12" i="16"/>
  <c r="BE12" i="16"/>
  <c r="BE74" i="16"/>
  <c r="AW7" i="16"/>
  <c r="BA7" i="16"/>
  <c r="AX7" i="16"/>
  <c r="BB7" i="16"/>
  <c r="AY7" i="16"/>
  <c r="BC7" i="16"/>
  <c r="AZ7" i="16"/>
  <c r="BD7" i="16"/>
  <c r="BE7" i="16"/>
  <c r="BE73" i="16"/>
  <c r="AW16" i="16"/>
  <c r="BA16" i="16"/>
  <c r="AX16" i="16"/>
  <c r="BB16" i="16"/>
  <c r="AY16" i="16"/>
  <c r="BC16" i="16"/>
  <c r="AZ16" i="16"/>
  <c r="BD16" i="16"/>
  <c r="BE16" i="16"/>
  <c r="BE72" i="16"/>
  <c r="AW29" i="16"/>
  <c r="BA29" i="16"/>
  <c r="AX29" i="16"/>
  <c r="BB29" i="16"/>
  <c r="AY29" i="16"/>
  <c r="BC29" i="16"/>
  <c r="AZ29" i="16"/>
  <c r="BD29" i="16"/>
  <c r="BE29" i="16"/>
  <c r="BE71" i="16"/>
  <c r="AW20" i="16"/>
  <c r="BA20" i="16"/>
  <c r="AX20" i="16"/>
  <c r="BB20" i="16"/>
  <c r="AY20" i="16"/>
  <c r="BC20" i="16"/>
  <c r="AZ20" i="16"/>
  <c r="BD20" i="16"/>
  <c r="BE20" i="16"/>
  <c r="BE70" i="16"/>
  <c r="AW24" i="16"/>
  <c r="BA24" i="16"/>
  <c r="AX24" i="16"/>
  <c r="BB24" i="16"/>
  <c r="AY24" i="16"/>
  <c r="BC24" i="16"/>
  <c r="AZ24" i="16"/>
  <c r="BD24" i="16"/>
  <c r="BE24" i="16"/>
  <c r="BE69" i="16"/>
  <c r="AW9" i="16"/>
  <c r="BA9" i="16"/>
  <c r="AX9" i="16"/>
  <c r="BB9" i="16"/>
  <c r="AY9" i="16"/>
  <c r="BC9" i="16"/>
  <c r="AZ9" i="16"/>
  <c r="BD9" i="16"/>
  <c r="BE9" i="16"/>
  <c r="BE68" i="16"/>
  <c r="AW5" i="16"/>
  <c r="BA5" i="16"/>
  <c r="AX5" i="16"/>
  <c r="BB5" i="16"/>
  <c r="AY5" i="16"/>
  <c r="BC5" i="16"/>
  <c r="AZ5" i="16"/>
  <c r="BD5" i="16"/>
  <c r="BE5" i="16"/>
  <c r="BE67" i="16"/>
  <c r="AW17" i="16"/>
  <c r="BA17" i="16"/>
  <c r="AX17" i="16"/>
  <c r="BB17" i="16"/>
  <c r="AY17" i="16"/>
  <c r="BC17" i="16"/>
  <c r="AZ17" i="16"/>
  <c r="BD17" i="16"/>
  <c r="BE17" i="16"/>
  <c r="BE66" i="16"/>
  <c r="AW21" i="16"/>
  <c r="BA21" i="16"/>
  <c r="AX21" i="16"/>
  <c r="BB21" i="16"/>
  <c r="AY21" i="16"/>
  <c r="BC21" i="16"/>
  <c r="AZ21" i="16"/>
  <c r="BD21" i="16"/>
  <c r="BE21" i="16"/>
  <c r="BE65" i="16"/>
  <c r="AW25" i="16"/>
  <c r="BA25" i="16"/>
  <c r="AX25" i="16"/>
  <c r="BB25" i="16"/>
  <c r="AY25" i="16"/>
  <c r="BC25" i="16"/>
  <c r="AZ25" i="16"/>
  <c r="BD25" i="16"/>
  <c r="BE25" i="16"/>
  <c r="BE64" i="16"/>
  <c r="BE63" i="16"/>
  <c r="BE62" i="16"/>
  <c r="BE61" i="16"/>
  <c r="BE60" i="16"/>
  <c r="BE59" i="16"/>
  <c r="BE58" i="16"/>
  <c r="BE57" i="16"/>
  <c r="BE56" i="16"/>
  <c r="BE55" i="16"/>
  <c r="BE54" i="16"/>
  <c r="BE53" i="16"/>
  <c r="BE52" i="16"/>
  <c r="BE51" i="16"/>
  <c r="BE50" i="16"/>
  <c r="AW23" i="16"/>
  <c r="BA23" i="16"/>
  <c r="AX23" i="16"/>
  <c r="BB23" i="16"/>
  <c r="AY23" i="16"/>
  <c r="BC23" i="16"/>
  <c r="AZ23" i="16"/>
  <c r="BD23" i="16"/>
  <c r="BE23" i="16"/>
  <c r="BE49" i="16"/>
  <c r="BE48" i="16"/>
  <c r="AW6" i="16"/>
  <c r="BA6" i="16"/>
  <c r="AX6" i="16"/>
  <c r="BB6" i="16"/>
  <c r="AY6" i="16"/>
  <c r="BC6" i="16"/>
  <c r="AZ6" i="16"/>
  <c r="BD6" i="16"/>
  <c r="BE6" i="16"/>
  <c r="BE47" i="16"/>
  <c r="AW10" i="16"/>
  <c r="BA10" i="16"/>
  <c r="AX10" i="16"/>
  <c r="BB10" i="16"/>
  <c r="AY10" i="16"/>
  <c r="BC10" i="16"/>
  <c r="AZ10" i="16"/>
  <c r="BD10" i="16"/>
  <c r="BE10" i="16"/>
  <c r="BE46" i="16"/>
  <c r="BE45" i="16"/>
  <c r="AW15" i="16"/>
  <c r="BA15" i="16"/>
  <c r="AX15" i="16"/>
  <c r="BB15" i="16"/>
  <c r="AY15" i="16"/>
  <c r="BC15" i="16"/>
  <c r="AZ15" i="16"/>
  <c r="BD15" i="16"/>
  <c r="BE15" i="16"/>
  <c r="BE44" i="16"/>
  <c r="AW28" i="16"/>
  <c r="BA28" i="16"/>
  <c r="AX28" i="16"/>
  <c r="BB28" i="16"/>
  <c r="AY28" i="16"/>
  <c r="BC28" i="16"/>
  <c r="AZ28" i="16"/>
  <c r="BD28" i="16"/>
  <c r="BE28" i="16"/>
  <c r="BE43" i="16"/>
  <c r="AW19" i="16"/>
  <c r="BA19" i="16"/>
  <c r="AX19" i="16"/>
  <c r="BB19" i="16"/>
  <c r="AY19" i="16"/>
  <c r="BC19" i="16"/>
  <c r="AZ19" i="16"/>
  <c r="BD19" i="16"/>
  <c r="BE19" i="16"/>
  <c r="BE42" i="16"/>
  <c r="AW8" i="16"/>
  <c r="BA8" i="16"/>
  <c r="AX8" i="16"/>
  <c r="BB8" i="16"/>
  <c r="AY8" i="16"/>
  <c r="BC8" i="16"/>
  <c r="AZ8" i="16"/>
  <c r="BD8" i="16"/>
  <c r="BE8" i="16"/>
  <c r="BE41" i="16"/>
  <c r="AW4" i="16"/>
  <c r="BA4" i="16"/>
  <c r="AX4" i="16"/>
  <c r="BB4" i="16"/>
  <c r="AY4" i="16"/>
  <c r="BC4" i="16"/>
  <c r="AZ4" i="16"/>
  <c r="BD4" i="16"/>
  <c r="BE4" i="16"/>
  <c r="BE40" i="16"/>
  <c r="AW11" i="16"/>
  <c r="BA11" i="16"/>
  <c r="AX11" i="16"/>
  <c r="BB11" i="16"/>
  <c r="AY11" i="16"/>
  <c r="BC11" i="16"/>
  <c r="AZ11" i="16"/>
  <c r="BD11" i="16"/>
  <c r="BE11" i="16"/>
  <c r="BE39" i="16"/>
  <c r="AW2" i="16"/>
  <c r="BA2" i="16"/>
  <c r="AX2" i="16"/>
  <c r="BB2" i="16"/>
  <c r="AY2" i="16"/>
  <c r="BC2" i="16"/>
  <c r="AZ2" i="16"/>
  <c r="BD2" i="16"/>
  <c r="BE2" i="16"/>
  <c r="BE38" i="16"/>
  <c r="AW22" i="16"/>
  <c r="BA22" i="16"/>
  <c r="AX22" i="16"/>
  <c r="BB22" i="16"/>
  <c r="AY22" i="16"/>
  <c r="BC22" i="16"/>
  <c r="AZ22" i="16"/>
  <c r="BD22" i="16"/>
  <c r="BE22" i="16"/>
  <c r="BE37" i="16"/>
  <c r="AW26" i="16"/>
  <c r="BA26" i="16"/>
  <c r="AX26" i="16"/>
  <c r="BB26" i="16"/>
  <c r="AY26" i="16"/>
  <c r="BC26" i="16"/>
  <c r="AZ26" i="16"/>
  <c r="BD26" i="16"/>
  <c r="BE26" i="16"/>
  <c r="BE36" i="16"/>
  <c r="AW30" i="16"/>
  <c r="BA30" i="16"/>
  <c r="AX30" i="16"/>
  <c r="BB30" i="16"/>
  <c r="AY30" i="16"/>
  <c r="BC30" i="16"/>
  <c r="AZ30" i="16"/>
  <c r="BD30" i="16"/>
  <c r="BE30" i="16"/>
  <c r="BE35" i="16"/>
  <c r="AW14" i="16"/>
  <c r="BA14" i="16"/>
  <c r="AX14" i="16"/>
  <c r="BB14" i="16"/>
  <c r="AY14" i="16"/>
  <c r="BC14" i="16"/>
  <c r="AZ14" i="16"/>
  <c r="BD14" i="16"/>
  <c r="BE14" i="16"/>
  <c r="BE34" i="16"/>
  <c r="AW13" i="16"/>
  <c r="BA13" i="16"/>
  <c r="AX13" i="16"/>
  <c r="BB13" i="16"/>
  <c r="AY13" i="16"/>
  <c r="BC13" i="16"/>
  <c r="AZ13" i="16"/>
  <c r="BD13" i="16"/>
  <c r="BE13" i="16"/>
  <c r="BE33" i="16"/>
  <c r="AW3" i="16"/>
  <c r="BA3" i="16"/>
  <c r="AX3" i="16"/>
  <c r="BB3" i="16"/>
  <c r="AY3" i="16"/>
  <c r="BC3" i="16"/>
  <c r="AZ3" i="16"/>
  <c r="BD3" i="16"/>
  <c r="BE3" i="16"/>
  <c r="BE32" i="16"/>
  <c r="BE31" i="16"/>
  <c r="AZ76" i="16"/>
  <c r="AY76" i="16"/>
  <c r="AX76" i="16"/>
  <c r="AW76" i="16"/>
  <c r="AZ75" i="16"/>
  <c r="AY75" i="16"/>
  <c r="AX75" i="16"/>
  <c r="AW75" i="16"/>
  <c r="AZ74" i="16"/>
  <c r="AY74" i="16"/>
  <c r="AX74" i="16"/>
  <c r="AW74" i="16"/>
  <c r="AZ73" i="16"/>
  <c r="AY73" i="16"/>
  <c r="AX73" i="16"/>
  <c r="AW73" i="16"/>
  <c r="AZ72" i="16"/>
  <c r="AY72" i="16"/>
  <c r="AX72" i="16"/>
  <c r="AW72" i="16"/>
  <c r="AZ71" i="16"/>
  <c r="AY71" i="16"/>
  <c r="AX71" i="16"/>
  <c r="AW71" i="16"/>
  <c r="AZ70" i="16"/>
  <c r="AY70" i="16"/>
  <c r="AX70" i="16"/>
  <c r="AW70" i="16"/>
  <c r="AZ69" i="16"/>
  <c r="AY69" i="16"/>
  <c r="AX69" i="16"/>
  <c r="AW69" i="16"/>
  <c r="AZ68" i="16"/>
  <c r="AY68" i="16"/>
  <c r="AX68" i="16"/>
  <c r="AW68" i="16"/>
  <c r="AZ67" i="16"/>
  <c r="AY67" i="16"/>
  <c r="AX67" i="16"/>
  <c r="AW67" i="16"/>
  <c r="AZ66" i="16"/>
  <c r="AY66" i="16"/>
  <c r="AX66" i="16"/>
  <c r="AW66" i="16"/>
  <c r="AZ65" i="16"/>
  <c r="AY65" i="16"/>
  <c r="AX65" i="16"/>
  <c r="AW65" i="16"/>
  <c r="AZ64" i="16"/>
  <c r="AY64" i="16"/>
  <c r="AX64" i="16"/>
  <c r="AW64" i="16"/>
  <c r="AZ63" i="16"/>
  <c r="AY63" i="16"/>
  <c r="AX63" i="16"/>
  <c r="AW63" i="16"/>
  <c r="AZ62" i="16"/>
  <c r="AY62" i="16"/>
  <c r="AX62" i="16"/>
  <c r="AW62" i="16"/>
  <c r="AZ61" i="16"/>
  <c r="AY61" i="16"/>
  <c r="AX61" i="16"/>
  <c r="AW61" i="16"/>
  <c r="AZ60" i="16"/>
  <c r="AY60" i="16"/>
  <c r="AX60" i="16"/>
  <c r="AW60" i="16"/>
  <c r="AZ59" i="16"/>
  <c r="AY59" i="16"/>
  <c r="AX59" i="16"/>
  <c r="AW59" i="16"/>
  <c r="AZ58" i="16"/>
  <c r="AY58" i="16"/>
  <c r="AX58" i="16"/>
  <c r="AW58" i="16"/>
  <c r="AZ57" i="16"/>
  <c r="AY57" i="16"/>
  <c r="AX57" i="16"/>
  <c r="AW57" i="16"/>
  <c r="AZ56" i="16"/>
  <c r="AY56" i="16"/>
  <c r="AX56" i="16"/>
  <c r="AW56" i="16"/>
  <c r="AZ55" i="16"/>
  <c r="AY55" i="16"/>
  <c r="AX55" i="16"/>
  <c r="AW55" i="16"/>
  <c r="AZ54" i="16"/>
  <c r="AY54" i="16"/>
  <c r="AX54" i="16"/>
  <c r="AW54" i="16"/>
  <c r="AZ53" i="16"/>
  <c r="AY53" i="16"/>
  <c r="AX53" i="16"/>
  <c r="AW53" i="16"/>
  <c r="AZ52" i="16"/>
  <c r="AY52" i="16"/>
  <c r="AX52" i="16"/>
  <c r="AW52" i="16"/>
  <c r="AZ51" i="16"/>
  <c r="AY51" i="16"/>
  <c r="AX51" i="16"/>
  <c r="AW51" i="16"/>
  <c r="AZ50" i="16"/>
  <c r="AY50" i="16"/>
  <c r="AX50" i="16"/>
  <c r="AW50" i="16"/>
  <c r="AZ49" i="16"/>
  <c r="AY49" i="16"/>
  <c r="AX49" i="16"/>
  <c r="AW49" i="16"/>
  <c r="AZ48" i="16"/>
  <c r="AY48" i="16"/>
  <c r="AX48" i="16"/>
  <c r="AW48" i="16"/>
  <c r="AZ47" i="16"/>
  <c r="AY47" i="16"/>
  <c r="AX47" i="16"/>
  <c r="AW47" i="16"/>
  <c r="AZ46" i="16"/>
  <c r="AY46" i="16"/>
  <c r="AX46" i="16"/>
  <c r="AW46" i="16"/>
  <c r="AZ45" i="16"/>
  <c r="AY45" i="16"/>
  <c r="AX45" i="16"/>
  <c r="AW45" i="16"/>
  <c r="AZ44" i="16"/>
  <c r="AY44" i="16"/>
  <c r="AX44" i="16"/>
  <c r="AW44" i="16"/>
  <c r="AZ43" i="16"/>
  <c r="AY43" i="16"/>
  <c r="AX43" i="16"/>
  <c r="AW43" i="16"/>
  <c r="AZ42" i="16"/>
  <c r="AY42" i="16"/>
  <c r="AX42" i="16"/>
  <c r="AW42" i="16"/>
  <c r="AZ41" i="16"/>
  <c r="AY41" i="16"/>
  <c r="AX41" i="16"/>
  <c r="AW41" i="16"/>
  <c r="AZ40" i="16"/>
  <c r="AY40" i="16"/>
  <c r="AX40" i="16"/>
  <c r="AW40" i="16"/>
  <c r="AZ39" i="16"/>
  <c r="AY39" i="16"/>
  <c r="AX39" i="16"/>
  <c r="AW39" i="16"/>
  <c r="AZ38" i="16"/>
  <c r="AY38" i="16"/>
  <c r="AX38" i="16"/>
  <c r="AW38" i="16"/>
  <c r="AZ37" i="16"/>
  <c r="AY37" i="16"/>
  <c r="AX37" i="16"/>
  <c r="AW37" i="16"/>
  <c r="AZ36" i="16"/>
  <c r="AY36" i="16"/>
  <c r="AX36" i="16"/>
  <c r="AW36" i="16"/>
  <c r="AZ35" i="16"/>
  <c r="AY35" i="16"/>
  <c r="AX35" i="16"/>
  <c r="AW35" i="16"/>
  <c r="AZ34" i="16"/>
  <c r="AY34" i="16"/>
  <c r="AX34" i="16"/>
  <c r="AW34" i="16"/>
  <c r="AZ33" i="16"/>
  <c r="AY33" i="16"/>
  <c r="AX33" i="16"/>
  <c r="AW33" i="16"/>
  <c r="AZ32" i="16"/>
  <c r="AY32" i="16"/>
  <c r="AX32" i="16"/>
  <c r="AW32" i="16"/>
  <c r="AZ31" i="16"/>
  <c r="AY31" i="16"/>
  <c r="AX31" i="16"/>
  <c r="AW31" i="16"/>
  <c r="AP27" i="16"/>
  <c r="AO27" i="16"/>
  <c r="AQ27" i="16"/>
  <c r="AQ76" i="16"/>
  <c r="AP76" i="16"/>
  <c r="AO76" i="16"/>
  <c r="AP18" i="16"/>
  <c r="AO18" i="16"/>
  <c r="AQ18" i="16"/>
  <c r="AQ75" i="16"/>
  <c r="AP75" i="16"/>
  <c r="AO75" i="16"/>
  <c r="AP12" i="16"/>
  <c r="AO12" i="16"/>
  <c r="AQ12" i="16"/>
  <c r="AQ74" i="16"/>
  <c r="AP74" i="16"/>
  <c r="AO74" i="16"/>
  <c r="AP7" i="16"/>
  <c r="AO7" i="16"/>
  <c r="AQ7" i="16"/>
  <c r="AQ73" i="16"/>
  <c r="AP73" i="16"/>
  <c r="AO73" i="16"/>
  <c r="AP16" i="16"/>
  <c r="AO16" i="16"/>
  <c r="AQ16" i="16"/>
  <c r="AQ72" i="16"/>
  <c r="AP72" i="16"/>
  <c r="AO72" i="16"/>
  <c r="AP29" i="16"/>
  <c r="AO29" i="16"/>
  <c r="AQ29" i="16"/>
  <c r="AQ71" i="16"/>
  <c r="AP71" i="16"/>
  <c r="AO71" i="16"/>
  <c r="AP20" i="16"/>
  <c r="AO20" i="16"/>
  <c r="AQ20" i="16"/>
  <c r="AQ70" i="16"/>
  <c r="AP70" i="16"/>
  <c r="AO70" i="16"/>
  <c r="AP24" i="16"/>
  <c r="AO24" i="16"/>
  <c r="AQ24" i="16"/>
  <c r="AQ69" i="16"/>
  <c r="AP69" i="16"/>
  <c r="AO69" i="16"/>
  <c r="AP9" i="16"/>
  <c r="AO9" i="16"/>
  <c r="AQ9" i="16"/>
  <c r="AQ68" i="16"/>
  <c r="AP68" i="16"/>
  <c r="AO68" i="16"/>
  <c r="AP5" i="16"/>
  <c r="AO5" i="16"/>
  <c r="AQ5" i="16"/>
  <c r="AQ67" i="16"/>
  <c r="AP67" i="16"/>
  <c r="AO67" i="16"/>
  <c r="AP17" i="16"/>
  <c r="AO17" i="16"/>
  <c r="AQ17" i="16"/>
  <c r="AQ66" i="16"/>
  <c r="AP66" i="16"/>
  <c r="AO66" i="16"/>
  <c r="AP21" i="16"/>
  <c r="AO21" i="16"/>
  <c r="AQ21" i="16"/>
  <c r="AQ65" i="16"/>
  <c r="AP65" i="16"/>
  <c r="AO65" i="16"/>
  <c r="AP25" i="16"/>
  <c r="AO25" i="16"/>
  <c r="AQ25" i="16"/>
  <c r="AQ64" i="16"/>
  <c r="AP64" i="16"/>
  <c r="AO64" i="16"/>
  <c r="AQ63" i="16"/>
  <c r="AP63" i="16"/>
  <c r="AO63" i="16"/>
  <c r="AQ62" i="16"/>
  <c r="AP62" i="16"/>
  <c r="AO62" i="16"/>
  <c r="AQ61" i="16"/>
  <c r="AP61" i="16"/>
  <c r="AO61" i="16"/>
  <c r="AQ60" i="16"/>
  <c r="AP60" i="16"/>
  <c r="AO60" i="16"/>
  <c r="AQ59" i="16"/>
  <c r="AP59" i="16"/>
  <c r="AO59" i="16"/>
  <c r="AQ58" i="16"/>
  <c r="AP58" i="16"/>
  <c r="AO58" i="16"/>
  <c r="AQ57" i="16"/>
  <c r="AP57" i="16"/>
  <c r="AO57" i="16"/>
  <c r="AQ56" i="16"/>
  <c r="AP56" i="16"/>
  <c r="AO56" i="16"/>
  <c r="AQ55" i="16"/>
  <c r="AP55" i="16"/>
  <c r="AO55" i="16"/>
  <c r="AQ54" i="16"/>
  <c r="AP54" i="16"/>
  <c r="AO54" i="16"/>
  <c r="AQ53" i="16"/>
  <c r="AP53" i="16"/>
  <c r="AO53" i="16"/>
  <c r="AQ52" i="16"/>
  <c r="AP52" i="16"/>
  <c r="AO52" i="16"/>
  <c r="AQ51" i="16"/>
  <c r="AP51" i="16"/>
  <c r="AO51" i="16"/>
  <c r="AQ50" i="16"/>
  <c r="AP50" i="16"/>
  <c r="AO50" i="16"/>
  <c r="AP23" i="16"/>
  <c r="AO23" i="16"/>
  <c r="AQ23" i="16"/>
  <c r="AQ49" i="16"/>
  <c r="AP49" i="16"/>
  <c r="AO49" i="16"/>
  <c r="AQ48" i="16"/>
  <c r="AP48" i="16"/>
  <c r="AO48" i="16"/>
  <c r="AP6" i="16"/>
  <c r="AO6" i="16"/>
  <c r="AQ6" i="16"/>
  <c r="AQ47" i="16"/>
  <c r="AP47" i="16"/>
  <c r="AO47" i="16"/>
  <c r="AP10" i="16"/>
  <c r="AO10" i="16"/>
  <c r="AQ10" i="16"/>
  <c r="AQ46" i="16"/>
  <c r="AP46" i="16"/>
  <c r="AO46" i="16"/>
  <c r="AQ45" i="16"/>
  <c r="AP45" i="16"/>
  <c r="AO45" i="16"/>
  <c r="AP15" i="16"/>
  <c r="AO15" i="16"/>
  <c r="AQ15" i="16"/>
  <c r="AQ44" i="16"/>
  <c r="AP44" i="16"/>
  <c r="AO44" i="16"/>
  <c r="AP28" i="16"/>
  <c r="AO28" i="16"/>
  <c r="AQ28" i="16"/>
  <c r="AQ43" i="16"/>
  <c r="AP43" i="16"/>
  <c r="AO43" i="16"/>
  <c r="AP19" i="16"/>
  <c r="AO19" i="16"/>
  <c r="AQ19" i="16"/>
  <c r="AQ42" i="16"/>
  <c r="AP42" i="16"/>
  <c r="AO42" i="16"/>
  <c r="AP8" i="16"/>
  <c r="AO8" i="16"/>
  <c r="AQ8" i="16"/>
  <c r="AQ41" i="16"/>
  <c r="AP41" i="16"/>
  <c r="AO41" i="16"/>
  <c r="AP4" i="16"/>
  <c r="AO4" i="16"/>
  <c r="AQ4" i="16"/>
  <c r="AQ40" i="16"/>
  <c r="AP40" i="16"/>
  <c r="AO40" i="16"/>
  <c r="AP11" i="16"/>
  <c r="AO11" i="16"/>
  <c r="AQ11" i="16"/>
  <c r="AQ39" i="16"/>
  <c r="AP39" i="16"/>
  <c r="AO39" i="16"/>
  <c r="AP2" i="16"/>
  <c r="AO2" i="16"/>
  <c r="AQ2" i="16"/>
  <c r="AQ38" i="16"/>
  <c r="AP38" i="16"/>
  <c r="AO38" i="16"/>
  <c r="AP22" i="16"/>
  <c r="AO22" i="16"/>
  <c r="AQ22" i="16"/>
  <c r="AQ37" i="16"/>
  <c r="AP37" i="16"/>
  <c r="AO37" i="16"/>
  <c r="AP26" i="16"/>
  <c r="AO26" i="16"/>
  <c r="AQ26" i="16"/>
  <c r="AQ36" i="16"/>
  <c r="AP36" i="16"/>
  <c r="AO36" i="16"/>
  <c r="AP30" i="16"/>
  <c r="AO30" i="16"/>
  <c r="AQ30" i="16"/>
  <c r="AQ35" i="16"/>
  <c r="AP35" i="16"/>
  <c r="AO35" i="16"/>
  <c r="AP14" i="16"/>
  <c r="AO14" i="16"/>
  <c r="AQ14" i="16"/>
  <c r="AQ34" i="16"/>
  <c r="AP34" i="16"/>
  <c r="AO34" i="16"/>
  <c r="AP13" i="16"/>
  <c r="AO13" i="16"/>
  <c r="AQ13" i="16"/>
  <c r="AQ33" i="16"/>
  <c r="AP33" i="16"/>
  <c r="AO33" i="16"/>
  <c r="AP3" i="16"/>
  <c r="AO3" i="16"/>
  <c r="AQ3" i="16"/>
  <c r="AQ32" i="16"/>
  <c r="AP32" i="16"/>
  <c r="AO32" i="16"/>
  <c r="AQ31" i="16"/>
  <c r="AP31" i="16"/>
  <c r="AO31" i="16"/>
  <c r="AD27" i="16"/>
  <c r="AD76" i="16"/>
  <c r="AC27" i="16"/>
  <c r="AC76" i="16"/>
  <c r="AB27" i="16"/>
  <c r="AB76" i="16"/>
  <c r="AA27" i="16"/>
  <c r="AA76" i="16"/>
  <c r="Z27" i="16"/>
  <c r="Z76" i="16"/>
  <c r="AD18" i="16"/>
  <c r="AD75" i="16"/>
  <c r="AC18" i="16"/>
  <c r="AC75" i="16"/>
  <c r="AB18" i="16"/>
  <c r="AB75" i="16"/>
  <c r="AA18" i="16"/>
  <c r="AA75" i="16"/>
  <c r="Z18" i="16"/>
  <c r="Z75" i="16"/>
  <c r="AD12" i="16"/>
  <c r="AD74" i="16"/>
  <c r="AC12" i="16"/>
  <c r="AC74" i="16"/>
  <c r="AB12" i="16"/>
  <c r="AB74" i="16"/>
  <c r="AA12" i="16"/>
  <c r="AA74" i="16"/>
  <c r="Z12" i="16"/>
  <c r="Z74" i="16"/>
  <c r="AD7" i="16"/>
  <c r="AD73" i="16"/>
  <c r="AC7" i="16"/>
  <c r="AC73" i="16"/>
  <c r="AB7" i="16"/>
  <c r="AB73" i="16"/>
  <c r="AA7" i="16"/>
  <c r="AA73" i="16"/>
  <c r="Z7" i="16"/>
  <c r="Z73" i="16"/>
  <c r="AD16" i="16"/>
  <c r="AD72" i="16"/>
  <c r="AC16" i="16"/>
  <c r="AC72" i="16"/>
  <c r="AB16" i="16"/>
  <c r="AB72" i="16"/>
  <c r="AA16" i="16"/>
  <c r="AA72" i="16"/>
  <c r="Z16" i="16"/>
  <c r="Z72" i="16"/>
  <c r="AD29" i="16"/>
  <c r="AD71" i="16"/>
  <c r="AC29" i="16"/>
  <c r="AC71" i="16"/>
  <c r="AB29" i="16"/>
  <c r="AB71" i="16"/>
  <c r="AA29" i="16"/>
  <c r="AA71" i="16"/>
  <c r="Z29" i="16"/>
  <c r="Z71" i="16"/>
  <c r="AD20" i="16"/>
  <c r="AD70" i="16"/>
  <c r="AC20" i="16"/>
  <c r="AC70" i="16"/>
  <c r="AB20" i="16"/>
  <c r="AB70" i="16"/>
  <c r="AA20" i="16"/>
  <c r="AA70" i="16"/>
  <c r="Z20" i="16"/>
  <c r="Z70" i="16"/>
  <c r="AD24" i="16"/>
  <c r="AD69" i="16"/>
  <c r="AC24" i="16"/>
  <c r="AC69" i="16"/>
  <c r="AB24" i="16"/>
  <c r="AB69" i="16"/>
  <c r="AA24" i="16"/>
  <c r="AA69" i="16"/>
  <c r="Z24" i="16"/>
  <c r="Z69" i="16"/>
  <c r="AD9" i="16"/>
  <c r="AD68" i="16"/>
  <c r="AC9" i="16"/>
  <c r="AC68" i="16"/>
  <c r="AB9" i="16"/>
  <c r="AB68" i="16"/>
  <c r="AA9" i="16"/>
  <c r="AA68" i="16"/>
  <c r="Z9" i="16"/>
  <c r="Z68" i="16"/>
  <c r="AD5" i="16"/>
  <c r="AD67" i="16"/>
  <c r="AC5" i="16"/>
  <c r="AC67" i="16"/>
  <c r="AB5" i="16"/>
  <c r="AB67" i="16"/>
  <c r="AA5" i="16"/>
  <c r="AA67" i="16"/>
  <c r="Z5" i="16"/>
  <c r="Z67" i="16"/>
  <c r="AD17" i="16"/>
  <c r="AD66" i="16"/>
  <c r="AC17" i="16"/>
  <c r="AC66" i="16"/>
  <c r="AB17" i="16"/>
  <c r="AB66" i="16"/>
  <c r="AA17" i="16"/>
  <c r="AA66" i="16"/>
  <c r="Z17" i="16"/>
  <c r="Z66" i="16"/>
  <c r="AD21" i="16"/>
  <c r="AD65" i="16"/>
  <c r="AC21" i="16"/>
  <c r="AC65" i="16"/>
  <c r="AB21" i="16"/>
  <c r="AB65" i="16"/>
  <c r="AA21" i="16"/>
  <c r="AA65" i="16"/>
  <c r="Z21" i="16"/>
  <c r="Z65" i="16"/>
  <c r="AD25" i="16"/>
  <c r="AD64" i="16"/>
  <c r="AC25" i="16"/>
  <c r="AC64" i="16"/>
  <c r="AB25" i="16"/>
  <c r="AB64" i="16"/>
  <c r="AA25" i="16"/>
  <c r="AA64" i="16"/>
  <c r="Z25" i="16"/>
  <c r="Z64" i="16"/>
  <c r="AD63" i="16"/>
  <c r="AC63" i="16"/>
  <c r="AB63" i="16"/>
  <c r="AA63" i="16"/>
  <c r="Z63" i="16"/>
  <c r="AD62" i="16"/>
  <c r="AC62" i="16"/>
  <c r="AB62" i="16"/>
  <c r="AA62" i="16"/>
  <c r="Z62" i="16"/>
  <c r="AD61" i="16"/>
  <c r="AC61" i="16"/>
  <c r="AB61" i="16"/>
  <c r="AA61" i="16"/>
  <c r="Z61" i="16"/>
  <c r="AD60" i="16"/>
  <c r="AC60" i="16"/>
  <c r="AB60" i="16"/>
  <c r="AA60" i="16"/>
  <c r="Z60" i="16"/>
  <c r="AD59" i="16"/>
  <c r="AC59" i="16"/>
  <c r="AB59" i="16"/>
  <c r="AA59" i="16"/>
  <c r="Z59" i="16"/>
  <c r="AD58" i="16"/>
  <c r="AC58" i="16"/>
  <c r="AB58" i="16"/>
  <c r="AA58" i="16"/>
  <c r="Z58" i="16"/>
  <c r="AD57" i="16"/>
  <c r="AC57" i="16"/>
  <c r="AB57" i="16"/>
  <c r="AA57" i="16"/>
  <c r="Z57" i="16"/>
  <c r="AD56" i="16"/>
  <c r="AC56" i="16"/>
  <c r="AB56" i="16"/>
  <c r="AA56" i="16"/>
  <c r="Z56" i="16"/>
  <c r="AD55" i="16"/>
  <c r="AC55" i="16"/>
  <c r="AB55" i="16"/>
  <c r="AA55" i="16"/>
  <c r="Z55" i="16"/>
  <c r="AD54" i="16"/>
  <c r="AC54" i="16"/>
  <c r="AB54" i="16"/>
  <c r="AA54" i="16"/>
  <c r="Z54" i="16"/>
  <c r="AD53" i="16"/>
  <c r="AC53" i="16"/>
  <c r="AB53" i="16"/>
  <c r="AA53" i="16"/>
  <c r="Z53" i="16"/>
  <c r="AD52" i="16"/>
  <c r="AC52" i="16"/>
  <c r="AB52" i="16"/>
  <c r="AA52" i="16"/>
  <c r="Z52" i="16"/>
  <c r="AD51" i="16"/>
  <c r="AC51" i="16"/>
  <c r="AB51" i="16"/>
  <c r="AA51" i="16"/>
  <c r="Z51" i="16"/>
  <c r="AD50" i="16"/>
  <c r="AC50" i="16"/>
  <c r="AB50" i="16"/>
  <c r="AA50" i="16"/>
  <c r="Z50" i="16"/>
  <c r="AD23" i="16"/>
  <c r="AD49" i="16"/>
  <c r="AC23" i="16"/>
  <c r="AC49" i="16"/>
  <c r="AB23" i="16"/>
  <c r="AB49" i="16"/>
  <c r="AA23" i="16"/>
  <c r="AA49" i="16"/>
  <c r="Z23" i="16"/>
  <c r="Z49" i="16"/>
  <c r="AD48" i="16"/>
  <c r="AC48" i="16"/>
  <c r="AB48" i="16"/>
  <c r="AA48" i="16"/>
  <c r="Z48" i="16"/>
  <c r="AD6" i="16"/>
  <c r="AD47" i="16"/>
  <c r="AC6" i="16"/>
  <c r="AC47" i="16"/>
  <c r="AB6" i="16"/>
  <c r="AB47" i="16"/>
  <c r="AA6" i="16"/>
  <c r="AA47" i="16"/>
  <c r="Z6" i="16"/>
  <c r="Z47" i="16"/>
  <c r="AD10" i="16"/>
  <c r="AD46" i="16"/>
  <c r="AC10" i="16"/>
  <c r="AC46" i="16"/>
  <c r="AB10" i="16"/>
  <c r="AB46" i="16"/>
  <c r="AA10" i="16"/>
  <c r="AA46" i="16"/>
  <c r="Z10" i="16"/>
  <c r="Z46" i="16"/>
  <c r="AD45" i="16"/>
  <c r="AC45" i="16"/>
  <c r="AB45" i="16"/>
  <c r="AA45" i="16"/>
  <c r="Z45" i="16"/>
  <c r="AD15" i="16"/>
  <c r="AD44" i="16"/>
  <c r="AC15" i="16"/>
  <c r="AC44" i="16"/>
  <c r="AB15" i="16"/>
  <c r="AB44" i="16"/>
  <c r="AA15" i="16"/>
  <c r="AA44" i="16"/>
  <c r="Z15" i="16"/>
  <c r="Z44" i="16"/>
  <c r="AD28" i="16"/>
  <c r="AD43" i="16"/>
  <c r="AC28" i="16"/>
  <c r="AC43" i="16"/>
  <c r="AB28" i="16"/>
  <c r="AB43" i="16"/>
  <c r="AA28" i="16"/>
  <c r="AA43" i="16"/>
  <c r="Z28" i="16"/>
  <c r="Z43" i="16"/>
  <c r="AD19" i="16"/>
  <c r="AD42" i="16"/>
  <c r="AC19" i="16"/>
  <c r="AC42" i="16"/>
  <c r="AB19" i="16"/>
  <c r="AB42" i="16"/>
  <c r="AA19" i="16"/>
  <c r="AA42" i="16"/>
  <c r="Z19" i="16"/>
  <c r="Z42" i="16"/>
  <c r="AD8" i="16"/>
  <c r="AD41" i="16"/>
  <c r="AC8" i="16"/>
  <c r="AC41" i="16"/>
  <c r="AB8" i="16"/>
  <c r="AB41" i="16"/>
  <c r="AA8" i="16"/>
  <c r="AA41" i="16"/>
  <c r="Z8" i="16"/>
  <c r="Z41" i="16"/>
  <c r="AD4" i="16"/>
  <c r="AD40" i="16"/>
  <c r="AC4" i="16"/>
  <c r="AC40" i="16"/>
  <c r="AB4" i="16"/>
  <c r="AB40" i="16"/>
  <c r="AA4" i="16"/>
  <c r="AA40" i="16"/>
  <c r="Z4" i="16"/>
  <c r="Z40" i="16"/>
  <c r="AD11" i="16"/>
  <c r="AD39" i="16"/>
  <c r="AC11" i="16"/>
  <c r="AC39" i="16"/>
  <c r="AB11" i="16"/>
  <c r="AB39" i="16"/>
  <c r="AA11" i="16"/>
  <c r="AA39" i="16"/>
  <c r="Z11" i="16"/>
  <c r="Z39" i="16"/>
  <c r="AD2" i="16"/>
  <c r="AD38" i="16"/>
  <c r="AC2" i="16"/>
  <c r="AC38" i="16"/>
  <c r="AB2" i="16"/>
  <c r="AB38" i="16"/>
  <c r="AA2" i="16"/>
  <c r="AA38" i="16"/>
  <c r="Z2" i="16"/>
  <c r="Z38" i="16"/>
  <c r="AD22" i="16"/>
  <c r="AD37" i="16"/>
  <c r="AC22" i="16"/>
  <c r="AC37" i="16"/>
  <c r="AB22" i="16"/>
  <c r="AB37" i="16"/>
  <c r="AA22" i="16"/>
  <c r="AA37" i="16"/>
  <c r="Z22" i="16"/>
  <c r="Z37" i="16"/>
  <c r="AD26" i="16"/>
  <c r="AD36" i="16"/>
  <c r="AC26" i="16"/>
  <c r="AC36" i="16"/>
  <c r="AB26" i="16"/>
  <c r="AB36" i="16"/>
  <c r="AA26" i="16"/>
  <c r="AA36" i="16"/>
  <c r="Z26" i="16"/>
  <c r="Z36" i="16"/>
  <c r="AD30" i="16"/>
  <c r="AD35" i="16"/>
  <c r="AC30" i="16"/>
  <c r="AC35" i="16"/>
  <c r="AB30" i="16"/>
  <c r="AB35" i="16"/>
  <c r="AA30" i="16"/>
  <c r="AA35" i="16"/>
  <c r="Z30" i="16"/>
  <c r="Z35" i="16"/>
  <c r="AD14" i="16"/>
  <c r="AD34" i="16"/>
  <c r="AC14" i="16"/>
  <c r="AC34" i="16"/>
  <c r="AB14" i="16"/>
  <c r="AB34" i="16"/>
  <c r="AA14" i="16"/>
  <c r="AA34" i="16"/>
  <c r="Z14" i="16"/>
  <c r="Z34" i="16"/>
  <c r="AD13" i="16"/>
  <c r="AD33" i="16"/>
  <c r="AC13" i="16"/>
  <c r="AC33" i="16"/>
  <c r="AB13" i="16"/>
  <c r="AB33" i="16"/>
  <c r="AA13" i="16"/>
  <c r="AA33" i="16"/>
  <c r="Z13" i="16"/>
  <c r="Z33" i="16"/>
  <c r="AD3" i="16"/>
  <c r="AD32" i="16"/>
  <c r="AC3" i="16"/>
  <c r="AC32" i="16"/>
  <c r="AB3" i="16"/>
  <c r="AB32" i="16"/>
  <c r="AA3" i="16"/>
  <c r="AA32" i="16"/>
  <c r="Z3" i="16"/>
  <c r="Z32" i="16"/>
  <c r="AD31" i="16"/>
  <c r="AC31" i="16"/>
  <c r="AB31" i="16"/>
  <c r="AA31" i="16"/>
  <c r="Z31" i="16"/>
  <c r="D27" i="16"/>
  <c r="I27" i="16"/>
  <c r="B31" i="3"/>
  <c r="B26" i="3"/>
  <c r="E27" i="16"/>
  <c r="J27" i="16"/>
  <c r="F27" i="16"/>
  <c r="K27" i="16"/>
  <c r="Q73" i="3"/>
  <c r="G27" i="16"/>
  <c r="L27" i="16"/>
  <c r="H27" i="16"/>
  <c r="M27" i="16"/>
  <c r="N27" i="16"/>
  <c r="N76" i="16"/>
  <c r="D18" i="16"/>
  <c r="I18" i="16"/>
  <c r="E18" i="16"/>
  <c r="J18" i="16"/>
  <c r="F18" i="16"/>
  <c r="K18" i="16"/>
  <c r="G18" i="16"/>
  <c r="L18" i="16"/>
  <c r="H18" i="16"/>
  <c r="M18" i="16"/>
  <c r="N18" i="16"/>
  <c r="N75" i="16"/>
  <c r="D12" i="16"/>
  <c r="I12" i="16"/>
  <c r="E12" i="16"/>
  <c r="J12" i="16"/>
  <c r="F12" i="16"/>
  <c r="K12" i="16"/>
  <c r="G12" i="16"/>
  <c r="L12" i="16"/>
  <c r="H12" i="16"/>
  <c r="M12" i="16"/>
  <c r="N12" i="16"/>
  <c r="N74" i="16"/>
  <c r="D7" i="16"/>
  <c r="I7" i="16"/>
  <c r="E7" i="16"/>
  <c r="J7" i="16"/>
  <c r="F7" i="16"/>
  <c r="K7" i="16"/>
  <c r="G7" i="16"/>
  <c r="L7" i="16"/>
  <c r="H7" i="16"/>
  <c r="M7" i="16"/>
  <c r="N7" i="16"/>
  <c r="N73" i="16"/>
  <c r="D16" i="16"/>
  <c r="I16" i="16"/>
  <c r="E16" i="16"/>
  <c r="J16" i="16"/>
  <c r="F16" i="16"/>
  <c r="K16" i="16"/>
  <c r="G16" i="16"/>
  <c r="L16" i="16"/>
  <c r="H16" i="16"/>
  <c r="M16" i="16"/>
  <c r="N16" i="16"/>
  <c r="N72" i="16"/>
  <c r="D29" i="16"/>
  <c r="I29" i="16"/>
  <c r="E29" i="16"/>
  <c r="J29" i="16"/>
  <c r="F29" i="16"/>
  <c r="K29" i="16"/>
  <c r="G29" i="16"/>
  <c r="L29" i="16"/>
  <c r="H29" i="16"/>
  <c r="M29" i="16"/>
  <c r="N29" i="16"/>
  <c r="N71" i="16"/>
  <c r="D20" i="16"/>
  <c r="I20" i="16"/>
  <c r="E20" i="16"/>
  <c r="J20" i="16"/>
  <c r="F20" i="16"/>
  <c r="K20" i="16"/>
  <c r="G20" i="16"/>
  <c r="L20" i="16"/>
  <c r="H20" i="16"/>
  <c r="M20" i="16"/>
  <c r="N20" i="16"/>
  <c r="N70" i="16"/>
  <c r="D24" i="16"/>
  <c r="I24" i="16"/>
  <c r="E24" i="16"/>
  <c r="J24" i="16"/>
  <c r="F24" i="16"/>
  <c r="K24" i="16"/>
  <c r="G24" i="16"/>
  <c r="L24" i="16"/>
  <c r="H24" i="16"/>
  <c r="M24" i="16"/>
  <c r="N24" i="16"/>
  <c r="N69" i="16"/>
  <c r="D9" i="16"/>
  <c r="I9" i="16"/>
  <c r="E9" i="16"/>
  <c r="J9" i="16"/>
  <c r="F9" i="16"/>
  <c r="K9" i="16"/>
  <c r="G9" i="16"/>
  <c r="L9" i="16"/>
  <c r="H9" i="16"/>
  <c r="M9" i="16"/>
  <c r="N9" i="16"/>
  <c r="N68" i="16"/>
  <c r="D5" i="16"/>
  <c r="I5" i="16"/>
  <c r="E5" i="16"/>
  <c r="J5" i="16"/>
  <c r="F5" i="16"/>
  <c r="K5" i="16"/>
  <c r="G5" i="16"/>
  <c r="L5" i="16"/>
  <c r="H5" i="16"/>
  <c r="M5" i="16"/>
  <c r="N5" i="16"/>
  <c r="N67" i="16"/>
  <c r="D17" i="16"/>
  <c r="I17" i="16"/>
  <c r="E17" i="16"/>
  <c r="J17" i="16"/>
  <c r="F17" i="16"/>
  <c r="K17" i="16"/>
  <c r="G17" i="16"/>
  <c r="L17" i="16"/>
  <c r="H17" i="16"/>
  <c r="M17" i="16"/>
  <c r="N17" i="16"/>
  <c r="N66" i="16"/>
  <c r="D21" i="16"/>
  <c r="I21" i="16"/>
  <c r="E21" i="16"/>
  <c r="J21" i="16"/>
  <c r="F21" i="16"/>
  <c r="K21" i="16"/>
  <c r="G21" i="16"/>
  <c r="L21" i="16"/>
  <c r="H21" i="16"/>
  <c r="M21" i="16"/>
  <c r="N21" i="16"/>
  <c r="N65" i="16"/>
  <c r="D25" i="16"/>
  <c r="I25" i="16"/>
  <c r="E25" i="16"/>
  <c r="J25" i="16"/>
  <c r="F25" i="16"/>
  <c r="K25" i="16"/>
  <c r="G25" i="16"/>
  <c r="L25" i="16"/>
  <c r="H25" i="16"/>
  <c r="M25" i="16"/>
  <c r="N25" i="16"/>
  <c r="N64" i="16"/>
  <c r="N63" i="16"/>
  <c r="N62" i="16"/>
  <c r="N61" i="16"/>
  <c r="N60" i="16"/>
  <c r="N59" i="16"/>
  <c r="N58" i="16"/>
  <c r="N57" i="16"/>
  <c r="N56" i="16"/>
  <c r="N55" i="16"/>
  <c r="N54" i="16"/>
  <c r="N53" i="16"/>
  <c r="N52" i="16"/>
  <c r="N51" i="16"/>
  <c r="N50" i="16"/>
  <c r="D23" i="16"/>
  <c r="I23" i="16"/>
  <c r="E23" i="16"/>
  <c r="J23" i="16"/>
  <c r="F23" i="16"/>
  <c r="K23" i="16"/>
  <c r="G23" i="16"/>
  <c r="L23" i="16"/>
  <c r="H23" i="16"/>
  <c r="M23" i="16"/>
  <c r="N23" i="16"/>
  <c r="N49" i="16"/>
  <c r="N48" i="16"/>
  <c r="D6" i="16"/>
  <c r="I6" i="16"/>
  <c r="E6" i="16"/>
  <c r="J6" i="16"/>
  <c r="F6" i="16"/>
  <c r="K6" i="16"/>
  <c r="G6" i="16"/>
  <c r="L6" i="16"/>
  <c r="H6" i="16"/>
  <c r="M6" i="16"/>
  <c r="N6" i="16"/>
  <c r="N47" i="16"/>
  <c r="D10" i="16"/>
  <c r="I10" i="16"/>
  <c r="E10" i="16"/>
  <c r="J10" i="16"/>
  <c r="F10" i="16"/>
  <c r="K10" i="16"/>
  <c r="G10" i="16"/>
  <c r="L10" i="16"/>
  <c r="H10" i="16"/>
  <c r="M10" i="16"/>
  <c r="N10" i="16"/>
  <c r="N46" i="16"/>
  <c r="N45" i="16"/>
  <c r="I15" i="16"/>
  <c r="E15" i="16"/>
  <c r="J15" i="16"/>
  <c r="F15" i="16"/>
  <c r="K15" i="16"/>
  <c r="G15" i="16"/>
  <c r="L15" i="16"/>
  <c r="H15" i="16"/>
  <c r="M15" i="16"/>
  <c r="N15" i="16"/>
  <c r="N44" i="16"/>
  <c r="I28" i="16"/>
  <c r="E28" i="16"/>
  <c r="J28" i="16"/>
  <c r="F28" i="16"/>
  <c r="K28" i="16"/>
  <c r="G28" i="16"/>
  <c r="L28" i="16"/>
  <c r="H28" i="16"/>
  <c r="M28" i="16"/>
  <c r="N28" i="16"/>
  <c r="N43" i="16"/>
  <c r="I19" i="16"/>
  <c r="E19" i="16"/>
  <c r="J19" i="16"/>
  <c r="F19" i="16"/>
  <c r="K19" i="16"/>
  <c r="G19" i="16"/>
  <c r="L19" i="16"/>
  <c r="H19" i="16"/>
  <c r="M19" i="16"/>
  <c r="N19" i="16"/>
  <c r="N42" i="16"/>
  <c r="I8" i="16"/>
  <c r="E8" i="16"/>
  <c r="J8" i="16"/>
  <c r="F8" i="16"/>
  <c r="K8" i="16"/>
  <c r="G8" i="16"/>
  <c r="L8" i="16"/>
  <c r="H8" i="16"/>
  <c r="M8" i="16"/>
  <c r="N8" i="16"/>
  <c r="N41" i="16"/>
  <c r="I4" i="16"/>
  <c r="E4" i="16"/>
  <c r="J4" i="16"/>
  <c r="F4" i="16"/>
  <c r="K4" i="16"/>
  <c r="G4" i="16"/>
  <c r="L4" i="16"/>
  <c r="H4" i="16"/>
  <c r="M4" i="16"/>
  <c r="N4" i="16"/>
  <c r="N40" i="16"/>
  <c r="I11" i="16"/>
  <c r="E11" i="16"/>
  <c r="J11" i="16"/>
  <c r="F11" i="16"/>
  <c r="K11" i="16"/>
  <c r="G11" i="16"/>
  <c r="L11" i="16"/>
  <c r="H11" i="16"/>
  <c r="M11" i="16"/>
  <c r="N11" i="16"/>
  <c r="N39" i="16"/>
  <c r="I2" i="16"/>
  <c r="E2" i="16"/>
  <c r="J2" i="16"/>
  <c r="F2" i="16"/>
  <c r="K2" i="16"/>
  <c r="G2" i="16"/>
  <c r="L2" i="16"/>
  <c r="H2" i="16"/>
  <c r="M2" i="16"/>
  <c r="N2" i="16"/>
  <c r="N38" i="16"/>
  <c r="I22" i="16"/>
  <c r="E22" i="16"/>
  <c r="J22" i="16"/>
  <c r="F22" i="16"/>
  <c r="K22" i="16"/>
  <c r="G22" i="16"/>
  <c r="L22" i="16"/>
  <c r="H22" i="16"/>
  <c r="M22" i="16"/>
  <c r="N22" i="16"/>
  <c r="N37" i="16"/>
  <c r="I26" i="16"/>
  <c r="E26" i="16"/>
  <c r="J26" i="16"/>
  <c r="F26" i="16"/>
  <c r="K26" i="16"/>
  <c r="G26" i="16"/>
  <c r="L26" i="16"/>
  <c r="H26" i="16"/>
  <c r="M26" i="16"/>
  <c r="N26" i="16"/>
  <c r="N36" i="16"/>
  <c r="I30" i="16"/>
  <c r="E30" i="16"/>
  <c r="J30" i="16"/>
  <c r="F30" i="16"/>
  <c r="K30" i="16"/>
  <c r="G30" i="16"/>
  <c r="L30" i="16"/>
  <c r="H30" i="16"/>
  <c r="M30" i="16"/>
  <c r="N30" i="16"/>
  <c r="N35" i="16"/>
  <c r="I14" i="16"/>
  <c r="E14" i="16"/>
  <c r="J14" i="16"/>
  <c r="F14" i="16"/>
  <c r="K14" i="16"/>
  <c r="G14" i="16"/>
  <c r="L14" i="16"/>
  <c r="H14" i="16"/>
  <c r="M14" i="16"/>
  <c r="N14" i="16"/>
  <c r="N34" i="16"/>
  <c r="I13" i="16"/>
  <c r="E13" i="16"/>
  <c r="J13" i="16"/>
  <c r="F13" i="16"/>
  <c r="K13" i="16"/>
  <c r="G13" i="16"/>
  <c r="L13" i="16"/>
  <c r="H13" i="16"/>
  <c r="M13" i="16"/>
  <c r="N13" i="16"/>
  <c r="N33" i="16"/>
  <c r="I3" i="16"/>
  <c r="E3" i="16"/>
  <c r="J3" i="16"/>
  <c r="F3" i="16"/>
  <c r="K3" i="16"/>
  <c r="G3" i="16"/>
  <c r="L3" i="16"/>
  <c r="H3" i="16"/>
  <c r="M3" i="16"/>
  <c r="N3" i="16"/>
  <c r="N32" i="16"/>
  <c r="N31" i="16"/>
  <c r="H76" i="16"/>
  <c r="H75" i="16"/>
  <c r="H74" i="16"/>
  <c r="H73" i="16"/>
  <c r="H72" i="16"/>
  <c r="H71" i="16"/>
  <c r="H70" i="16"/>
  <c r="H69" i="16"/>
  <c r="H68" i="16"/>
  <c r="H67" i="16"/>
  <c r="H66" i="16"/>
  <c r="H65" i="16"/>
  <c r="H64" i="16"/>
  <c r="H63" i="16"/>
  <c r="H62" i="16"/>
  <c r="H61" i="16"/>
  <c r="H60" i="16"/>
  <c r="H59" i="16"/>
  <c r="H58" i="16"/>
  <c r="H57" i="16"/>
  <c r="H56" i="16"/>
  <c r="H55" i="16"/>
  <c r="H54" i="16"/>
  <c r="H53" i="16"/>
  <c r="H52" i="16"/>
  <c r="H51" i="16"/>
  <c r="H50" i="16"/>
  <c r="H49" i="16"/>
  <c r="H48" i="16"/>
  <c r="H47" i="16"/>
  <c r="H46" i="16"/>
  <c r="H45" i="16"/>
  <c r="H44" i="16"/>
  <c r="H43" i="16"/>
  <c r="H42" i="16"/>
  <c r="H41" i="16"/>
  <c r="H40" i="16"/>
  <c r="H39" i="16"/>
  <c r="H38" i="16"/>
  <c r="H37" i="16"/>
  <c r="H36" i="16"/>
  <c r="H35" i="16"/>
  <c r="H34" i="16"/>
  <c r="H33" i="16"/>
  <c r="H32" i="16"/>
  <c r="H31" i="16"/>
  <c r="G76" i="16"/>
  <c r="G75" i="16"/>
  <c r="G74" i="16"/>
  <c r="G73" i="16"/>
  <c r="G72" i="16"/>
  <c r="G71" i="16"/>
  <c r="G70" i="16"/>
  <c r="G69" i="16"/>
  <c r="G68" i="16"/>
  <c r="G67" i="16"/>
  <c r="G66" i="16"/>
  <c r="G65" i="16"/>
  <c r="G64" i="16"/>
  <c r="G63" i="16"/>
  <c r="G62" i="16"/>
  <c r="G61" i="16"/>
  <c r="G60" i="16"/>
  <c r="G59"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F32" i="16"/>
  <c r="F33" i="16"/>
  <c r="F34" i="16"/>
  <c r="F35" i="16"/>
  <c r="F36" i="16"/>
  <c r="F37" i="16"/>
  <c r="F38" i="16"/>
  <c r="F39" i="16"/>
  <c r="F40" i="16"/>
  <c r="F41" i="16"/>
  <c r="F42" i="16"/>
  <c r="F43" i="16"/>
  <c r="F31" i="16"/>
  <c r="F76" i="16"/>
  <c r="E76" i="16"/>
  <c r="D76" i="16"/>
  <c r="F75" i="16"/>
  <c r="E75" i="16"/>
  <c r="D75" i="16"/>
  <c r="F74" i="16"/>
  <c r="E74" i="16"/>
  <c r="D74" i="16"/>
  <c r="F73" i="16"/>
  <c r="E73" i="16"/>
  <c r="D73" i="16"/>
  <c r="F72" i="16"/>
  <c r="E72" i="16"/>
  <c r="D72" i="16"/>
  <c r="F71" i="16"/>
  <c r="E71" i="16"/>
  <c r="D71" i="16"/>
  <c r="F70" i="16"/>
  <c r="E70" i="16"/>
  <c r="D70" i="16"/>
  <c r="F69" i="16"/>
  <c r="E69" i="16"/>
  <c r="D69" i="16"/>
  <c r="F68" i="16"/>
  <c r="E68" i="16"/>
  <c r="D68" i="16"/>
  <c r="F67" i="16"/>
  <c r="E67" i="16"/>
  <c r="D67" i="16"/>
  <c r="F66" i="16"/>
  <c r="E66" i="16"/>
  <c r="D66" i="16"/>
  <c r="F65" i="16"/>
  <c r="E65" i="16"/>
  <c r="D65" i="16"/>
  <c r="F64" i="16"/>
  <c r="E64" i="16"/>
  <c r="D64" i="16"/>
  <c r="F63" i="16"/>
  <c r="E63" i="16"/>
  <c r="D63" i="16"/>
  <c r="F62" i="16"/>
  <c r="E62" i="16"/>
  <c r="D62" i="16"/>
  <c r="F61" i="16"/>
  <c r="E61" i="16"/>
  <c r="D61" i="16"/>
  <c r="F60" i="16"/>
  <c r="E60" i="16"/>
  <c r="D60" i="16"/>
  <c r="F59" i="16"/>
  <c r="E59" i="16"/>
  <c r="D59" i="16"/>
  <c r="F58" i="16"/>
  <c r="E58" i="16"/>
  <c r="D58" i="16"/>
  <c r="F57" i="16"/>
  <c r="E57" i="16"/>
  <c r="D57" i="16"/>
  <c r="F56" i="16"/>
  <c r="E56" i="16"/>
  <c r="D56" i="16"/>
  <c r="F55" i="16"/>
  <c r="E55" i="16"/>
  <c r="D55" i="16"/>
  <c r="F54" i="16"/>
  <c r="E54" i="16"/>
  <c r="D54" i="16"/>
  <c r="F53" i="16"/>
  <c r="E53" i="16"/>
  <c r="D53" i="16"/>
  <c r="F52" i="16"/>
  <c r="E52" i="16"/>
  <c r="D52" i="16"/>
  <c r="F51" i="16"/>
  <c r="E51" i="16"/>
  <c r="D51" i="16"/>
  <c r="F50" i="16"/>
  <c r="E50" i="16"/>
  <c r="D50" i="16"/>
  <c r="F49" i="16"/>
  <c r="E49" i="16"/>
  <c r="D49" i="16"/>
  <c r="F48" i="16"/>
  <c r="E48" i="16"/>
  <c r="D48" i="16"/>
  <c r="F47" i="16"/>
  <c r="E47" i="16"/>
  <c r="D47" i="16"/>
  <c r="F46" i="16"/>
  <c r="E46" i="16"/>
  <c r="D46" i="16"/>
  <c r="F45" i="16"/>
  <c r="E45" i="16"/>
  <c r="D45" i="16"/>
  <c r="F44" i="16"/>
  <c r="E44" i="16"/>
  <c r="E43" i="16"/>
  <c r="E42" i="16"/>
  <c r="E41" i="16"/>
  <c r="E40" i="16"/>
  <c r="E39" i="16"/>
  <c r="E38" i="16"/>
  <c r="E37" i="16"/>
  <c r="E36" i="16"/>
  <c r="E35" i="16"/>
  <c r="E34" i="16"/>
  <c r="E33" i="16"/>
  <c r="E32" i="16"/>
  <c r="E31" i="16"/>
  <c r="BR27" i="16"/>
  <c r="BR76" i="16"/>
  <c r="BQ27" i="16"/>
  <c r="BQ76" i="16"/>
  <c r="BI27" i="16"/>
  <c r="BI76" i="16"/>
  <c r="BH27" i="16"/>
  <c r="BH76" i="16"/>
  <c r="BG27" i="16"/>
  <c r="BG76" i="16"/>
  <c r="BF27" i="16"/>
  <c r="BF76" i="16"/>
  <c r="AS27" i="16"/>
  <c r="AS76" i="16"/>
  <c r="AR27" i="16"/>
  <c r="AR76" i="16"/>
  <c r="AI27" i="16"/>
  <c r="AI76" i="16"/>
  <c r="AH27" i="16"/>
  <c r="AH76" i="16"/>
  <c r="AG27" i="16"/>
  <c r="AG76" i="16"/>
  <c r="AF27" i="16"/>
  <c r="AF76" i="16"/>
  <c r="AE27" i="16"/>
  <c r="AE76" i="16"/>
  <c r="S27" i="16"/>
  <c r="S76" i="16"/>
  <c r="R27" i="16"/>
  <c r="R76" i="16"/>
  <c r="Q27" i="16"/>
  <c r="Q76" i="16"/>
  <c r="P27" i="16"/>
  <c r="P76" i="16"/>
  <c r="O27" i="16"/>
  <c r="O76" i="16"/>
  <c r="BR18" i="16"/>
  <c r="BR75" i="16"/>
  <c r="BQ18" i="16"/>
  <c r="BQ75" i="16"/>
  <c r="BI18" i="16"/>
  <c r="BI75" i="16"/>
  <c r="BH18" i="16"/>
  <c r="BH75" i="16"/>
  <c r="BG18" i="16"/>
  <c r="BG75" i="16"/>
  <c r="BF18" i="16"/>
  <c r="BF75" i="16"/>
  <c r="AS18" i="16"/>
  <c r="AS75" i="16"/>
  <c r="AR18" i="16"/>
  <c r="AR75" i="16"/>
  <c r="AI18" i="16"/>
  <c r="AI75" i="16"/>
  <c r="AH18" i="16"/>
  <c r="AH75" i="16"/>
  <c r="AG18" i="16"/>
  <c r="AG75" i="16"/>
  <c r="AF18" i="16"/>
  <c r="AF75" i="16"/>
  <c r="AE18" i="16"/>
  <c r="AE75" i="16"/>
  <c r="S18" i="16"/>
  <c r="S75" i="16"/>
  <c r="R18" i="16"/>
  <c r="R75" i="16"/>
  <c r="Q18" i="16"/>
  <c r="Q75" i="16"/>
  <c r="P18" i="16"/>
  <c r="P75" i="16"/>
  <c r="O18" i="16"/>
  <c r="O75" i="16"/>
  <c r="BR12" i="16"/>
  <c r="BR74" i="16"/>
  <c r="BQ12" i="16"/>
  <c r="BQ74" i="16"/>
  <c r="BI12" i="16"/>
  <c r="BI74" i="16"/>
  <c r="BH12" i="16"/>
  <c r="BH74" i="16"/>
  <c r="BG12" i="16"/>
  <c r="BG74" i="16"/>
  <c r="BF12" i="16"/>
  <c r="BF74" i="16"/>
  <c r="AS12" i="16"/>
  <c r="AS74" i="16"/>
  <c r="AR12" i="16"/>
  <c r="AR74" i="16"/>
  <c r="AI12" i="16"/>
  <c r="AI74" i="16"/>
  <c r="AH12" i="16"/>
  <c r="AH74" i="16"/>
  <c r="AG12" i="16"/>
  <c r="AG74" i="16"/>
  <c r="AF12" i="16"/>
  <c r="AF74" i="16"/>
  <c r="AE12" i="16"/>
  <c r="AE74" i="16"/>
  <c r="S12" i="16"/>
  <c r="S74" i="16"/>
  <c r="R12" i="16"/>
  <c r="R74" i="16"/>
  <c r="Q12" i="16"/>
  <c r="Q74" i="16"/>
  <c r="P12" i="16"/>
  <c r="P74" i="16"/>
  <c r="O12" i="16"/>
  <c r="O74" i="16"/>
  <c r="BR7" i="16"/>
  <c r="BR73" i="16"/>
  <c r="BQ7" i="16"/>
  <c r="BQ73" i="16"/>
  <c r="BI7" i="16"/>
  <c r="BI73" i="16"/>
  <c r="BH7" i="16"/>
  <c r="BH73" i="16"/>
  <c r="BG7" i="16"/>
  <c r="BG73" i="16"/>
  <c r="BF7" i="16"/>
  <c r="BF73" i="16"/>
  <c r="AS7" i="16"/>
  <c r="AS73" i="16"/>
  <c r="AR7" i="16"/>
  <c r="AR73" i="16"/>
  <c r="AI7" i="16"/>
  <c r="AI73" i="16"/>
  <c r="AH7" i="16"/>
  <c r="AH73" i="16"/>
  <c r="AG7" i="16"/>
  <c r="AG73" i="16"/>
  <c r="AF7" i="16"/>
  <c r="AF73" i="16"/>
  <c r="AE7" i="16"/>
  <c r="AE73" i="16"/>
  <c r="S7" i="16"/>
  <c r="S73" i="16"/>
  <c r="R7" i="16"/>
  <c r="R73" i="16"/>
  <c r="Q7" i="16"/>
  <c r="Q73" i="16"/>
  <c r="P7" i="16"/>
  <c r="P73" i="16"/>
  <c r="O7" i="16"/>
  <c r="O73" i="16"/>
  <c r="BR16" i="16"/>
  <c r="BR72" i="16"/>
  <c r="BQ16" i="16"/>
  <c r="BQ72" i="16"/>
  <c r="BI16" i="16"/>
  <c r="BI72" i="16"/>
  <c r="BH16" i="16"/>
  <c r="BH72" i="16"/>
  <c r="BG16" i="16"/>
  <c r="BG72" i="16"/>
  <c r="BF16" i="16"/>
  <c r="BF72" i="16"/>
  <c r="AS16" i="16"/>
  <c r="AS72" i="16"/>
  <c r="AR16" i="16"/>
  <c r="AR72" i="16"/>
  <c r="AI16" i="16"/>
  <c r="AI72" i="16"/>
  <c r="AH16" i="16"/>
  <c r="AH72" i="16"/>
  <c r="AG16" i="16"/>
  <c r="AG72" i="16"/>
  <c r="AF16" i="16"/>
  <c r="AF72" i="16"/>
  <c r="AE16" i="16"/>
  <c r="AE72" i="16"/>
  <c r="S16" i="16"/>
  <c r="S72" i="16"/>
  <c r="R16" i="16"/>
  <c r="R72" i="16"/>
  <c r="Q16" i="16"/>
  <c r="Q72" i="16"/>
  <c r="P16" i="16"/>
  <c r="P72" i="16"/>
  <c r="O16" i="16"/>
  <c r="O72" i="16"/>
  <c r="BR29" i="16"/>
  <c r="BR71" i="16"/>
  <c r="BQ29" i="16"/>
  <c r="BQ71" i="16"/>
  <c r="BI29" i="16"/>
  <c r="BI71" i="16"/>
  <c r="BH29" i="16"/>
  <c r="BH71" i="16"/>
  <c r="BG29" i="16"/>
  <c r="BG71" i="16"/>
  <c r="BF29" i="16"/>
  <c r="BF71" i="16"/>
  <c r="AS29" i="16"/>
  <c r="AS71" i="16"/>
  <c r="AR29" i="16"/>
  <c r="AR71" i="16"/>
  <c r="AI29" i="16"/>
  <c r="AI71" i="16"/>
  <c r="AH29" i="16"/>
  <c r="AH71" i="16"/>
  <c r="AG29" i="16"/>
  <c r="AG71" i="16"/>
  <c r="AF29" i="16"/>
  <c r="AF71" i="16"/>
  <c r="AE29" i="16"/>
  <c r="AE71" i="16"/>
  <c r="S29" i="16"/>
  <c r="S71" i="16"/>
  <c r="R29" i="16"/>
  <c r="R71" i="16"/>
  <c r="Q29" i="16"/>
  <c r="Q71" i="16"/>
  <c r="P29" i="16"/>
  <c r="P71" i="16"/>
  <c r="O29" i="16"/>
  <c r="O71" i="16"/>
  <c r="BR20" i="16"/>
  <c r="BR70" i="16"/>
  <c r="BQ20" i="16"/>
  <c r="BQ70" i="16"/>
  <c r="BI20" i="16"/>
  <c r="BI70" i="16"/>
  <c r="BH20" i="16"/>
  <c r="BH70" i="16"/>
  <c r="BG20" i="16"/>
  <c r="BG70" i="16"/>
  <c r="BF20" i="16"/>
  <c r="BF70" i="16"/>
  <c r="AS20" i="16"/>
  <c r="AS70" i="16"/>
  <c r="AR20" i="16"/>
  <c r="AR70" i="16"/>
  <c r="AI20" i="16"/>
  <c r="AI70" i="16"/>
  <c r="AH20" i="16"/>
  <c r="AH70" i="16"/>
  <c r="AG20" i="16"/>
  <c r="AG70" i="16"/>
  <c r="AF20" i="16"/>
  <c r="AF70" i="16"/>
  <c r="AE20" i="16"/>
  <c r="AE70" i="16"/>
  <c r="S20" i="16"/>
  <c r="S70" i="16"/>
  <c r="R20" i="16"/>
  <c r="R70" i="16"/>
  <c r="Q20" i="16"/>
  <c r="Q70" i="16"/>
  <c r="P20" i="16"/>
  <c r="P70" i="16"/>
  <c r="O20" i="16"/>
  <c r="O70" i="16"/>
  <c r="BR24" i="16"/>
  <c r="BR69" i="16"/>
  <c r="BQ24" i="16"/>
  <c r="BQ69" i="16"/>
  <c r="BI24" i="16"/>
  <c r="BI69" i="16"/>
  <c r="BH24" i="16"/>
  <c r="BH69" i="16"/>
  <c r="BG24" i="16"/>
  <c r="BG69" i="16"/>
  <c r="BF24" i="16"/>
  <c r="BF69" i="16"/>
  <c r="AS24" i="16"/>
  <c r="AS69" i="16"/>
  <c r="AR24" i="16"/>
  <c r="AR69" i="16"/>
  <c r="AI24" i="16"/>
  <c r="AI69" i="16"/>
  <c r="AH24" i="16"/>
  <c r="AH69" i="16"/>
  <c r="AG24" i="16"/>
  <c r="AG69" i="16"/>
  <c r="AF24" i="16"/>
  <c r="AF69" i="16"/>
  <c r="AE24" i="16"/>
  <c r="AE69" i="16"/>
  <c r="S24" i="16"/>
  <c r="S69" i="16"/>
  <c r="R24" i="16"/>
  <c r="R69" i="16"/>
  <c r="Q24" i="16"/>
  <c r="Q69" i="16"/>
  <c r="P24" i="16"/>
  <c r="P69" i="16"/>
  <c r="O24" i="16"/>
  <c r="O69" i="16"/>
  <c r="BR9" i="16"/>
  <c r="BR68" i="16"/>
  <c r="BQ9" i="16"/>
  <c r="BQ68" i="16"/>
  <c r="BI9" i="16"/>
  <c r="BI68" i="16"/>
  <c r="BH9" i="16"/>
  <c r="BH68" i="16"/>
  <c r="BG9" i="16"/>
  <c r="BG68" i="16"/>
  <c r="BF9" i="16"/>
  <c r="BF68" i="16"/>
  <c r="AS9" i="16"/>
  <c r="AS68" i="16"/>
  <c r="AR9" i="16"/>
  <c r="AR68" i="16"/>
  <c r="AI9" i="16"/>
  <c r="AI68" i="16"/>
  <c r="AH9" i="16"/>
  <c r="AH68" i="16"/>
  <c r="AG9" i="16"/>
  <c r="AG68" i="16"/>
  <c r="AF9" i="16"/>
  <c r="AF68" i="16"/>
  <c r="AE9" i="16"/>
  <c r="AE68" i="16"/>
  <c r="S9" i="16"/>
  <c r="S68" i="16"/>
  <c r="R9" i="16"/>
  <c r="R68" i="16"/>
  <c r="Q9" i="16"/>
  <c r="Q68" i="16"/>
  <c r="P9" i="16"/>
  <c r="P68" i="16"/>
  <c r="O9" i="16"/>
  <c r="O68" i="16"/>
  <c r="BR5" i="16"/>
  <c r="BR67" i="16"/>
  <c r="BQ5" i="16"/>
  <c r="BQ67" i="16"/>
  <c r="BI5" i="16"/>
  <c r="BI67" i="16"/>
  <c r="BH5" i="16"/>
  <c r="BH67" i="16"/>
  <c r="BG5" i="16"/>
  <c r="BG67" i="16"/>
  <c r="BF5" i="16"/>
  <c r="BF67" i="16"/>
  <c r="AS5" i="16"/>
  <c r="AS67" i="16"/>
  <c r="AR5" i="16"/>
  <c r="AR67" i="16"/>
  <c r="AI5" i="16"/>
  <c r="AI67" i="16"/>
  <c r="AH5" i="16"/>
  <c r="AH67" i="16"/>
  <c r="AG5" i="16"/>
  <c r="AG67" i="16"/>
  <c r="AF5" i="16"/>
  <c r="AF67" i="16"/>
  <c r="AE5" i="16"/>
  <c r="AE67" i="16"/>
  <c r="S5" i="16"/>
  <c r="S67" i="16"/>
  <c r="R5" i="16"/>
  <c r="R67" i="16"/>
  <c r="Q5" i="16"/>
  <c r="Q67" i="16"/>
  <c r="P5" i="16"/>
  <c r="P67" i="16"/>
  <c r="O5" i="16"/>
  <c r="O67" i="16"/>
  <c r="BR17" i="16"/>
  <c r="BR66" i="16"/>
  <c r="BQ17" i="16"/>
  <c r="BQ66" i="16"/>
  <c r="BI17" i="16"/>
  <c r="BI66" i="16"/>
  <c r="BH17" i="16"/>
  <c r="BH66" i="16"/>
  <c r="BG17" i="16"/>
  <c r="BG66" i="16"/>
  <c r="BF17" i="16"/>
  <c r="BF66" i="16"/>
  <c r="AS17" i="16"/>
  <c r="AS66" i="16"/>
  <c r="AR17" i="16"/>
  <c r="AR66" i="16"/>
  <c r="AI17" i="16"/>
  <c r="AI66" i="16"/>
  <c r="AH17" i="16"/>
  <c r="AH66" i="16"/>
  <c r="AG17" i="16"/>
  <c r="AG66" i="16"/>
  <c r="AF17" i="16"/>
  <c r="AF66" i="16"/>
  <c r="AE17" i="16"/>
  <c r="AE66" i="16"/>
  <c r="S17" i="16"/>
  <c r="S66" i="16"/>
  <c r="R17" i="16"/>
  <c r="R66" i="16"/>
  <c r="Q17" i="16"/>
  <c r="Q66" i="16"/>
  <c r="P17" i="16"/>
  <c r="P66" i="16"/>
  <c r="O17" i="16"/>
  <c r="O66" i="16"/>
  <c r="BR21" i="16"/>
  <c r="BR65" i="16"/>
  <c r="BQ21" i="16"/>
  <c r="BQ65" i="16"/>
  <c r="BI21" i="16"/>
  <c r="BI65" i="16"/>
  <c r="BH21" i="16"/>
  <c r="BH65" i="16"/>
  <c r="BG21" i="16"/>
  <c r="BG65" i="16"/>
  <c r="BF21" i="16"/>
  <c r="BF65" i="16"/>
  <c r="AS21" i="16"/>
  <c r="AS65" i="16"/>
  <c r="AR21" i="16"/>
  <c r="AR65" i="16"/>
  <c r="AI21" i="16"/>
  <c r="AI65" i="16"/>
  <c r="AH21" i="16"/>
  <c r="AH65" i="16"/>
  <c r="AG21" i="16"/>
  <c r="AG65" i="16"/>
  <c r="AF21" i="16"/>
  <c r="AF65" i="16"/>
  <c r="AE21" i="16"/>
  <c r="AE65" i="16"/>
  <c r="S21" i="16"/>
  <c r="S65" i="16"/>
  <c r="R21" i="16"/>
  <c r="R65" i="16"/>
  <c r="Q21" i="16"/>
  <c r="Q65" i="16"/>
  <c r="P21" i="16"/>
  <c r="P65" i="16"/>
  <c r="O21" i="16"/>
  <c r="O65" i="16"/>
  <c r="BR25" i="16"/>
  <c r="BR64" i="16"/>
  <c r="BQ25" i="16"/>
  <c r="BQ64" i="16"/>
  <c r="BI25" i="16"/>
  <c r="BI64" i="16"/>
  <c r="BH25" i="16"/>
  <c r="BH64" i="16"/>
  <c r="BG25" i="16"/>
  <c r="BG64" i="16"/>
  <c r="BF25" i="16"/>
  <c r="BF64" i="16"/>
  <c r="AS25" i="16"/>
  <c r="AS64" i="16"/>
  <c r="AR25" i="16"/>
  <c r="AR64" i="16"/>
  <c r="AI25" i="16"/>
  <c r="AI64" i="16"/>
  <c r="AH25" i="16"/>
  <c r="AH64" i="16"/>
  <c r="AG25" i="16"/>
  <c r="AG64" i="16"/>
  <c r="AF25" i="16"/>
  <c r="AF64" i="16"/>
  <c r="AE25" i="16"/>
  <c r="AE64" i="16"/>
  <c r="S25" i="16"/>
  <c r="S64" i="16"/>
  <c r="R25" i="16"/>
  <c r="R64" i="16"/>
  <c r="Q25" i="16"/>
  <c r="Q64" i="16"/>
  <c r="P25" i="16"/>
  <c r="P64" i="16"/>
  <c r="O25" i="16"/>
  <c r="O64" i="16"/>
  <c r="BR62" i="16"/>
  <c r="BQ62" i="16"/>
  <c r="BI62" i="16"/>
  <c r="BH62" i="16"/>
  <c r="BG62" i="16"/>
  <c r="BF62" i="16"/>
  <c r="AS62" i="16"/>
  <c r="AR62" i="16"/>
  <c r="AI62" i="16"/>
  <c r="AH62" i="16"/>
  <c r="AG62" i="16"/>
  <c r="AF62" i="16"/>
  <c r="AE62" i="16"/>
  <c r="S62" i="16"/>
  <c r="R62" i="16"/>
  <c r="Q62" i="16"/>
  <c r="P62" i="16"/>
  <c r="O62" i="16"/>
  <c r="BR61" i="16"/>
  <c r="BQ61" i="16"/>
  <c r="BI61" i="16"/>
  <c r="BH61" i="16"/>
  <c r="BG61" i="16"/>
  <c r="BF61" i="16"/>
  <c r="AS61" i="16"/>
  <c r="AR61" i="16"/>
  <c r="AI61" i="16"/>
  <c r="AH61" i="16"/>
  <c r="AG61" i="16"/>
  <c r="AF61" i="16"/>
  <c r="AE61" i="16"/>
  <c r="S61" i="16"/>
  <c r="R61" i="16"/>
  <c r="Q61" i="16"/>
  <c r="P61" i="16"/>
  <c r="O61" i="16"/>
  <c r="BR60" i="16"/>
  <c r="BQ60" i="16"/>
  <c r="BI60" i="16"/>
  <c r="BH60" i="16"/>
  <c r="BG60" i="16"/>
  <c r="BF60" i="16"/>
  <c r="AS60" i="16"/>
  <c r="AR60" i="16"/>
  <c r="AI60" i="16"/>
  <c r="AH60" i="16"/>
  <c r="AG60" i="16"/>
  <c r="AF60" i="16"/>
  <c r="AE60" i="16"/>
  <c r="S60" i="16"/>
  <c r="R60" i="16"/>
  <c r="Q60" i="16"/>
  <c r="P60" i="16"/>
  <c r="O60" i="16"/>
  <c r="BR59" i="16"/>
  <c r="BQ59" i="16"/>
  <c r="BI59" i="16"/>
  <c r="BH59" i="16"/>
  <c r="BG59" i="16"/>
  <c r="BF59" i="16"/>
  <c r="AS59" i="16"/>
  <c r="AR59" i="16"/>
  <c r="AI59" i="16"/>
  <c r="AH59" i="16"/>
  <c r="AG59" i="16"/>
  <c r="AF59" i="16"/>
  <c r="AE59" i="16"/>
  <c r="S59" i="16"/>
  <c r="R59" i="16"/>
  <c r="Q59" i="16"/>
  <c r="P59" i="16"/>
  <c r="O59" i="16"/>
  <c r="BR58" i="16"/>
  <c r="BQ58" i="16"/>
  <c r="BI58" i="16"/>
  <c r="BH58" i="16"/>
  <c r="BG58" i="16"/>
  <c r="BF58" i="16"/>
  <c r="AS58" i="16"/>
  <c r="AR58" i="16"/>
  <c r="AI58" i="16"/>
  <c r="AH58" i="16"/>
  <c r="AG58" i="16"/>
  <c r="AF58" i="16"/>
  <c r="AE58" i="16"/>
  <c r="S58" i="16"/>
  <c r="R58" i="16"/>
  <c r="Q58" i="16"/>
  <c r="P58" i="16"/>
  <c r="O58" i="16"/>
  <c r="BR57" i="16"/>
  <c r="BQ57" i="16"/>
  <c r="BI57" i="16"/>
  <c r="BH57" i="16"/>
  <c r="BG57" i="16"/>
  <c r="BF57" i="16"/>
  <c r="AS57" i="16"/>
  <c r="AR57" i="16"/>
  <c r="AI57" i="16"/>
  <c r="AH57" i="16"/>
  <c r="AG57" i="16"/>
  <c r="AF57" i="16"/>
  <c r="AE57" i="16"/>
  <c r="S57" i="16"/>
  <c r="R57" i="16"/>
  <c r="Q57" i="16"/>
  <c r="P57" i="16"/>
  <c r="O57" i="16"/>
  <c r="BR56" i="16"/>
  <c r="BQ56" i="16"/>
  <c r="BI56" i="16"/>
  <c r="BH56" i="16"/>
  <c r="BG56" i="16"/>
  <c r="BF56" i="16"/>
  <c r="AS56" i="16"/>
  <c r="AR56" i="16"/>
  <c r="AI56" i="16"/>
  <c r="AH56" i="16"/>
  <c r="AG56" i="16"/>
  <c r="AF56" i="16"/>
  <c r="AE56" i="16"/>
  <c r="S56" i="16"/>
  <c r="R56" i="16"/>
  <c r="Q56" i="16"/>
  <c r="P56" i="16"/>
  <c r="O56" i="16"/>
  <c r="BR55" i="16"/>
  <c r="BQ55" i="16"/>
  <c r="BI55" i="16"/>
  <c r="BH55" i="16"/>
  <c r="BG55" i="16"/>
  <c r="BF55" i="16"/>
  <c r="AS55" i="16"/>
  <c r="AR55" i="16"/>
  <c r="AI55" i="16"/>
  <c r="AH55" i="16"/>
  <c r="AG55" i="16"/>
  <c r="AF55" i="16"/>
  <c r="AE55" i="16"/>
  <c r="S55" i="16"/>
  <c r="R55" i="16"/>
  <c r="Q55" i="16"/>
  <c r="P55" i="16"/>
  <c r="O55" i="16"/>
  <c r="BR54" i="16"/>
  <c r="BQ54" i="16"/>
  <c r="BI54" i="16"/>
  <c r="BH54" i="16"/>
  <c r="BG54" i="16"/>
  <c r="BF54" i="16"/>
  <c r="AS54" i="16"/>
  <c r="AR54" i="16"/>
  <c r="AI54" i="16"/>
  <c r="AH54" i="16"/>
  <c r="AG54" i="16"/>
  <c r="AF54" i="16"/>
  <c r="AE54" i="16"/>
  <c r="S54" i="16"/>
  <c r="R54" i="16"/>
  <c r="Q54" i="16"/>
  <c r="P54" i="16"/>
  <c r="O54" i="16"/>
  <c r="BR53" i="16"/>
  <c r="BQ53" i="16"/>
  <c r="BI53" i="16"/>
  <c r="BH53" i="16"/>
  <c r="BG53" i="16"/>
  <c r="BF53" i="16"/>
  <c r="AS53" i="16"/>
  <c r="AR53" i="16"/>
  <c r="AI53" i="16"/>
  <c r="AH53" i="16"/>
  <c r="AG53" i="16"/>
  <c r="AF53" i="16"/>
  <c r="AE53" i="16"/>
  <c r="S53" i="16"/>
  <c r="R53" i="16"/>
  <c r="Q53" i="16"/>
  <c r="P53" i="16"/>
  <c r="O53" i="16"/>
  <c r="BR52" i="16"/>
  <c r="BQ52" i="16"/>
  <c r="BI52" i="16"/>
  <c r="BH52" i="16"/>
  <c r="BG52" i="16"/>
  <c r="BF52" i="16"/>
  <c r="AS52" i="16"/>
  <c r="AR52" i="16"/>
  <c r="AI52" i="16"/>
  <c r="AH52" i="16"/>
  <c r="AG52" i="16"/>
  <c r="AF52" i="16"/>
  <c r="AE52" i="16"/>
  <c r="S52" i="16"/>
  <c r="R52" i="16"/>
  <c r="Q52" i="16"/>
  <c r="P52" i="16"/>
  <c r="O52" i="16"/>
  <c r="BR51" i="16"/>
  <c r="BQ51" i="16"/>
  <c r="BI51" i="16"/>
  <c r="BH51" i="16"/>
  <c r="BG51" i="16"/>
  <c r="BF51" i="16"/>
  <c r="AS51" i="16"/>
  <c r="AR51" i="16"/>
  <c r="AI51" i="16"/>
  <c r="AH51" i="16"/>
  <c r="AG51" i="16"/>
  <c r="AF51" i="16"/>
  <c r="AE51" i="16"/>
  <c r="S51" i="16"/>
  <c r="R51" i="16"/>
  <c r="Q51" i="16"/>
  <c r="P51" i="16"/>
  <c r="O51" i="16"/>
  <c r="BR50" i="16"/>
  <c r="BQ50" i="16"/>
  <c r="BI50" i="16"/>
  <c r="BH50" i="16"/>
  <c r="BG50" i="16"/>
  <c r="BF50" i="16"/>
  <c r="AS50" i="16"/>
  <c r="AR50" i="16"/>
  <c r="AI50" i="16"/>
  <c r="AH50" i="16"/>
  <c r="AG50" i="16"/>
  <c r="AF50" i="16"/>
  <c r="AE50" i="16"/>
  <c r="S50" i="16"/>
  <c r="R50" i="16"/>
  <c r="Q50" i="16"/>
  <c r="P50" i="16"/>
  <c r="O50" i="16"/>
  <c r="BR23" i="16"/>
  <c r="BR49" i="16"/>
  <c r="BQ23" i="16"/>
  <c r="BQ49" i="16"/>
  <c r="BI23" i="16"/>
  <c r="BI49" i="16"/>
  <c r="BH23" i="16"/>
  <c r="BH49" i="16"/>
  <c r="BG23" i="16"/>
  <c r="BG49" i="16"/>
  <c r="BF23" i="16"/>
  <c r="BF49" i="16"/>
  <c r="AS23" i="16"/>
  <c r="AS49" i="16"/>
  <c r="AR23" i="16"/>
  <c r="AR49" i="16"/>
  <c r="AI23" i="16"/>
  <c r="AI49" i="16"/>
  <c r="AH23" i="16"/>
  <c r="AH49" i="16"/>
  <c r="AG23" i="16"/>
  <c r="AG49" i="16"/>
  <c r="AF23" i="16"/>
  <c r="AF49" i="16"/>
  <c r="AE23" i="16"/>
  <c r="AE49" i="16"/>
  <c r="S23" i="16"/>
  <c r="S49" i="16"/>
  <c r="R23" i="16"/>
  <c r="R49" i="16"/>
  <c r="Q23" i="16"/>
  <c r="Q49" i="16"/>
  <c r="P23" i="16"/>
  <c r="P49" i="16"/>
  <c r="O23" i="16"/>
  <c r="O49" i="16"/>
  <c r="BR6" i="16"/>
  <c r="BR47" i="16"/>
  <c r="BQ6" i="16"/>
  <c r="BQ47" i="16"/>
  <c r="BI6" i="16"/>
  <c r="BI47" i="16"/>
  <c r="BH6" i="16"/>
  <c r="BH47" i="16"/>
  <c r="BG6" i="16"/>
  <c r="BG47" i="16"/>
  <c r="BF6" i="16"/>
  <c r="BF47" i="16"/>
  <c r="AI6" i="16"/>
  <c r="AI47" i="16"/>
  <c r="AH6" i="16"/>
  <c r="AH47" i="16"/>
  <c r="AG6" i="16"/>
  <c r="AG47" i="16"/>
  <c r="AF6" i="16"/>
  <c r="AF47" i="16"/>
  <c r="AE6" i="16"/>
  <c r="AE47" i="16"/>
  <c r="S6" i="16"/>
  <c r="S47" i="16"/>
  <c r="R6" i="16"/>
  <c r="R47" i="16"/>
  <c r="Q6" i="16"/>
  <c r="Q47" i="16"/>
  <c r="P6" i="16"/>
  <c r="P47" i="16"/>
  <c r="O6" i="16"/>
  <c r="O47" i="16"/>
  <c r="BR10" i="16"/>
  <c r="BR46" i="16"/>
  <c r="BQ10" i="16"/>
  <c r="BQ46" i="16"/>
  <c r="BI10" i="16"/>
  <c r="BI46" i="16"/>
  <c r="BH10" i="16"/>
  <c r="BH46" i="16"/>
  <c r="BG10" i="16"/>
  <c r="BG46" i="16"/>
  <c r="BF10" i="16"/>
  <c r="BF46" i="16"/>
  <c r="AI10" i="16"/>
  <c r="AI46" i="16"/>
  <c r="AH10" i="16"/>
  <c r="AH46" i="16"/>
  <c r="AG10" i="16"/>
  <c r="AG46" i="16"/>
  <c r="AF10" i="16"/>
  <c r="AF46" i="16"/>
  <c r="AE10" i="16"/>
  <c r="AE46" i="16"/>
  <c r="S10" i="16"/>
  <c r="S46" i="16"/>
  <c r="R10" i="16"/>
  <c r="R46" i="16"/>
  <c r="Q10" i="16"/>
  <c r="Q46" i="16"/>
  <c r="P10" i="16"/>
  <c r="P46" i="16"/>
  <c r="O10" i="16"/>
  <c r="O46" i="16"/>
  <c r="BR15" i="16"/>
  <c r="BR44" i="16"/>
  <c r="BQ15" i="16"/>
  <c r="BQ44" i="16"/>
  <c r="BI15" i="16"/>
  <c r="BI44" i="16"/>
  <c r="BH15" i="16"/>
  <c r="BH44" i="16"/>
  <c r="BG15" i="16"/>
  <c r="BG44" i="16"/>
  <c r="BF15" i="16"/>
  <c r="BF44" i="16"/>
  <c r="AS15" i="16"/>
  <c r="AS44" i="16"/>
  <c r="AR15" i="16"/>
  <c r="AR44" i="16"/>
  <c r="AI15" i="16"/>
  <c r="AI44" i="16"/>
  <c r="AH15" i="16"/>
  <c r="AH44" i="16"/>
  <c r="AG15" i="16"/>
  <c r="AG44" i="16"/>
  <c r="AF15" i="16"/>
  <c r="AF44" i="16"/>
  <c r="AE15" i="16"/>
  <c r="AE44" i="16"/>
  <c r="S15" i="16"/>
  <c r="S44" i="16"/>
  <c r="R15" i="16"/>
  <c r="R44" i="16"/>
  <c r="Q15" i="16"/>
  <c r="Q44" i="16"/>
  <c r="P15" i="16"/>
  <c r="P44" i="16"/>
  <c r="O15" i="16"/>
  <c r="O44" i="16"/>
  <c r="BR28" i="16"/>
  <c r="BR43" i="16"/>
  <c r="BQ28" i="16"/>
  <c r="BQ43" i="16"/>
  <c r="BI28" i="16"/>
  <c r="BI43" i="16"/>
  <c r="BH28" i="16"/>
  <c r="BH43" i="16"/>
  <c r="BG28" i="16"/>
  <c r="BG43" i="16"/>
  <c r="BF28" i="16"/>
  <c r="BF43" i="16"/>
  <c r="AS28" i="16"/>
  <c r="AS43" i="16"/>
  <c r="AR28" i="16"/>
  <c r="AR43" i="16"/>
  <c r="AI28" i="16"/>
  <c r="AI43" i="16"/>
  <c r="AH28" i="16"/>
  <c r="AH43" i="16"/>
  <c r="AG28" i="16"/>
  <c r="AG43" i="16"/>
  <c r="AF28" i="16"/>
  <c r="AF43" i="16"/>
  <c r="AE28" i="16"/>
  <c r="AE43" i="16"/>
  <c r="S28" i="16"/>
  <c r="S43" i="16"/>
  <c r="R28" i="16"/>
  <c r="R43" i="16"/>
  <c r="Q28" i="16"/>
  <c r="Q43" i="16"/>
  <c r="P28" i="16"/>
  <c r="P43" i="16"/>
  <c r="O28" i="16"/>
  <c r="O43" i="16"/>
  <c r="BR19" i="16"/>
  <c r="BR42" i="16"/>
  <c r="BQ19" i="16"/>
  <c r="BQ42" i="16"/>
  <c r="BI19" i="16"/>
  <c r="BI42" i="16"/>
  <c r="BH19" i="16"/>
  <c r="BH42" i="16"/>
  <c r="BG19" i="16"/>
  <c r="BG42" i="16"/>
  <c r="BF19" i="16"/>
  <c r="BF42" i="16"/>
  <c r="AS19" i="16"/>
  <c r="AS42" i="16"/>
  <c r="AR19" i="16"/>
  <c r="AR42" i="16"/>
  <c r="AI19" i="16"/>
  <c r="AI42" i="16"/>
  <c r="AH19" i="16"/>
  <c r="AH42" i="16"/>
  <c r="AG19" i="16"/>
  <c r="AG42" i="16"/>
  <c r="AF19" i="16"/>
  <c r="AF42" i="16"/>
  <c r="AE19" i="16"/>
  <c r="AE42" i="16"/>
  <c r="S19" i="16"/>
  <c r="S42" i="16"/>
  <c r="R19" i="16"/>
  <c r="R42" i="16"/>
  <c r="Q19" i="16"/>
  <c r="Q42" i="16"/>
  <c r="P19" i="16"/>
  <c r="P42" i="16"/>
  <c r="O19" i="16"/>
  <c r="O42" i="16"/>
  <c r="BR8" i="16"/>
  <c r="BR41" i="16"/>
  <c r="BQ8" i="16"/>
  <c r="BQ41" i="16"/>
  <c r="BI8" i="16"/>
  <c r="BI41" i="16"/>
  <c r="BH8" i="16"/>
  <c r="BH41" i="16"/>
  <c r="BG8" i="16"/>
  <c r="BG41" i="16"/>
  <c r="BF8" i="16"/>
  <c r="BF41" i="16"/>
  <c r="AS8" i="16"/>
  <c r="AS41" i="16"/>
  <c r="AR8" i="16"/>
  <c r="AR41" i="16"/>
  <c r="AI8" i="16"/>
  <c r="AI41" i="16"/>
  <c r="AH8" i="16"/>
  <c r="AH41" i="16"/>
  <c r="AG8" i="16"/>
  <c r="AG41" i="16"/>
  <c r="AF8" i="16"/>
  <c r="AF41" i="16"/>
  <c r="AE8" i="16"/>
  <c r="AE41" i="16"/>
  <c r="S8" i="16"/>
  <c r="S41" i="16"/>
  <c r="R8" i="16"/>
  <c r="R41" i="16"/>
  <c r="Q8" i="16"/>
  <c r="Q41" i="16"/>
  <c r="P8" i="16"/>
  <c r="P41" i="16"/>
  <c r="O8" i="16"/>
  <c r="O41" i="16"/>
  <c r="BR4" i="16"/>
  <c r="BR40" i="16"/>
  <c r="BQ4" i="16"/>
  <c r="BQ40" i="16"/>
  <c r="BI4" i="16"/>
  <c r="BI40" i="16"/>
  <c r="BH4" i="16"/>
  <c r="BH40" i="16"/>
  <c r="BG4" i="16"/>
  <c r="BG40" i="16"/>
  <c r="BF4" i="16"/>
  <c r="BF40" i="16"/>
  <c r="AS4" i="16"/>
  <c r="AS40" i="16"/>
  <c r="AR4" i="16"/>
  <c r="AR40" i="16"/>
  <c r="AI4" i="16"/>
  <c r="AI40" i="16"/>
  <c r="AH4" i="16"/>
  <c r="AH40" i="16"/>
  <c r="AG4" i="16"/>
  <c r="AG40" i="16"/>
  <c r="AF4" i="16"/>
  <c r="AF40" i="16"/>
  <c r="AE4" i="16"/>
  <c r="AE40" i="16"/>
  <c r="S4" i="16"/>
  <c r="S40" i="16"/>
  <c r="R4" i="16"/>
  <c r="R40" i="16"/>
  <c r="Q4" i="16"/>
  <c r="Q40" i="16"/>
  <c r="P4" i="16"/>
  <c r="P40" i="16"/>
  <c r="O4" i="16"/>
  <c r="O40" i="16"/>
  <c r="BR11" i="16"/>
  <c r="BR39" i="16"/>
  <c r="BQ11" i="16"/>
  <c r="BQ39" i="16"/>
  <c r="BI11" i="16"/>
  <c r="BI39" i="16"/>
  <c r="BH11" i="16"/>
  <c r="BH39" i="16"/>
  <c r="BG11" i="16"/>
  <c r="BG39" i="16"/>
  <c r="BF11" i="16"/>
  <c r="BF39" i="16"/>
  <c r="AS11" i="16"/>
  <c r="AS39" i="16"/>
  <c r="AR11" i="16"/>
  <c r="AR39" i="16"/>
  <c r="AI11" i="16"/>
  <c r="AI39" i="16"/>
  <c r="AH11" i="16"/>
  <c r="AH39" i="16"/>
  <c r="AG11" i="16"/>
  <c r="AG39" i="16"/>
  <c r="AF11" i="16"/>
  <c r="AF39" i="16"/>
  <c r="AE11" i="16"/>
  <c r="AE39" i="16"/>
  <c r="S11" i="16"/>
  <c r="S39" i="16"/>
  <c r="R11" i="16"/>
  <c r="R39" i="16"/>
  <c r="Q11" i="16"/>
  <c r="Q39" i="16"/>
  <c r="P11" i="16"/>
  <c r="P39" i="16"/>
  <c r="O11" i="16"/>
  <c r="O39" i="16"/>
  <c r="BR2" i="16"/>
  <c r="BR38" i="16"/>
  <c r="BQ2" i="16"/>
  <c r="BQ38" i="16"/>
  <c r="BI2" i="16"/>
  <c r="BI38" i="16"/>
  <c r="BH2" i="16"/>
  <c r="BH38" i="16"/>
  <c r="BG2" i="16"/>
  <c r="BG38" i="16"/>
  <c r="BF2" i="16"/>
  <c r="BF38" i="16"/>
  <c r="AS2" i="16"/>
  <c r="AS38" i="16"/>
  <c r="AR2" i="16"/>
  <c r="AR38" i="16"/>
  <c r="AI2" i="16"/>
  <c r="AI38" i="16"/>
  <c r="AH2" i="16"/>
  <c r="AH38" i="16"/>
  <c r="AG2" i="16"/>
  <c r="AG38" i="16"/>
  <c r="AF2" i="16"/>
  <c r="AF38" i="16"/>
  <c r="AE2" i="16"/>
  <c r="AE38" i="16"/>
  <c r="S2" i="16"/>
  <c r="S38" i="16"/>
  <c r="R2" i="16"/>
  <c r="R38" i="16"/>
  <c r="Q2" i="16"/>
  <c r="Q38" i="16"/>
  <c r="P2" i="16"/>
  <c r="P38" i="16"/>
  <c r="O2" i="16"/>
  <c r="O38" i="16"/>
  <c r="BR22" i="16"/>
  <c r="BR37" i="16"/>
  <c r="BQ22" i="16"/>
  <c r="BQ37" i="16"/>
  <c r="BI22" i="16"/>
  <c r="BI37" i="16"/>
  <c r="BH22" i="16"/>
  <c r="BH37" i="16"/>
  <c r="BG22" i="16"/>
  <c r="BG37" i="16"/>
  <c r="BF22" i="16"/>
  <c r="BF37" i="16"/>
  <c r="AS22" i="16"/>
  <c r="AS37" i="16"/>
  <c r="AR22" i="16"/>
  <c r="AR37" i="16"/>
  <c r="AI22" i="16"/>
  <c r="AI37" i="16"/>
  <c r="AH22" i="16"/>
  <c r="AH37" i="16"/>
  <c r="AG22" i="16"/>
  <c r="AG37" i="16"/>
  <c r="AF22" i="16"/>
  <c r="AF37" i="16"/>
  <c r="AE22" i="16"/>
  <c r="AE37" i="16"/>
  <c r="S22" i="16"/>
  <c r="S37" i="16"/>
  <c r="R22" i="16"/>
  <c r="R37" i="16"/>
  <c r="Q22" i="16"/>
  <c r="Q37" i="16"/>
  <c r="P22" i="16"/>
  <c r="P37" i="16"/>
  <c r="O22" i="16"/>
  <c r="O37" i="16"/>
  <c r="BR26" i="16"/>
  <c r="BR36" i="16"/>
  <c r="BQ26" i="16"/>
  <c r="BQ36" i="16"/>
  <c r="BI26" i="16"/>
  <c r="BI36" i="16"/>
  <c r="BH26" i="16"/>
  <c r="BH36" i="16"/>
  <c r="BG26" i="16"/>
  <c r="BG36" i="16"/>
  <c r="BF26" i="16"/>
  <c r="BF36" i="16"/>
  <c r="AS26" i="16"/>
  <c r="AS36" i="16"/>
  <c r="AR26" i="16"/>
  <c r="AR36" i="16"/>
  <c r="AI26" i="16"/>
  <c r="AI36" i="16"/>
  <c r="AH26" i="16"/>
  <c r="AH36" i="16"/>
  <c r="AG26" i="16"/>
  <c r="AG36" i="16"/>
  <c r="AF26" i="16"/>
  <c r="AF36" i="16"/>
  <c r="AE26" i="16"/>
  <c r="AE36" i="16"/>
  <c r="S26" i="16"/>
  <c r="S36" i="16"/>
  <c r="R26" i="16"/>
  <c r="R36" i="16"/>
  <c r="Q26" i="16"/>
  <c r="Q36" i="16"/>
  <c r="P26" i="16"/>
  <c r="P36" i="16"/>
  <c r="O26" i="16"/>
  <c r="O36" i="16"/>
  <c r="BR30" i="16"/>
  <c r="BR35" i="16"/>
  <c r="BQ30" i="16"/>
  <c r="BQ35" i="16"/>
  <c r="BI30" i="16"/>
  <c r="BI35" i="16"/>
  <c r="BH30" i="16"/>
  <c r="BH35" i="16"/>
  <c r="BG30" i="16"/>
  <c r="BG35" i="16"/>
  <c r="BF30" i="16"/>
  <c r="BF35" i="16"/>
  <c r="AS30" i="16"/>
  <c r="AS35" i="16"/>
  <c r="AR30" i="16"/>
  <c r="AR35" i="16"/>
  <c r="AI30" i="16"/>
  <c r="AI35" i="16"/>
  <c r="AH30" i="16"/>
  <c r="AH35" i="16"/>
  <c r="AG30" i="16"/>
  <c r="AG35" i="16"/>
  <c r="AF30" i="16"/>
  <c r="AF35" i="16"/>
  <c r="AE30" i="16"/>
  <c r="AE35" i="16"/>
  <c r="S30" i="16"/>
  <c r="S35" i="16"/>
  <c r="R30" i="16"/>
  <c r="R35" i="16"/>
  <c r="Q30" i="16"/>
  <c r="Q35" i="16"/>
  <c r="P30" i="16"/>
  <c r="P35" i="16"/>
  <c r="O30" i="16"/>
  <c r="O35" i="16"/>
  <c r="BR14" i="16"/>
  <c r="BR34" i="16"/>
  <c r="BQ14" i="16"/>
  <c r="BQ34" i="16"/>
  <c r="BI14" i="16"/>
  <c r="BI34" i="16"/>
  <c r="BH14" i="16"/>
  <c r="BH34" i="16"/>
  <c r="BG14" i="16"/>
  <c r="BG34" i="16"/>
  <c r="BF14" i="16"/>
  <c r="BF34" i="16"/>
  <c r="AS14" i="16"/>
  <c r="AS34" i="16"/>
  <c r="AR14" i="16"/>
  <c r="AR34" i="16"/>
  <c r="AI14" i="16"/>
  <c r="AI34" i="16"/>
  <c r="AH14" i="16"/>
  <c r="AH34" i="16"/>
  <c r="AG14" i="16"/>
  <c r="AG34" i="16"/>
  <c r="AF14" i="16"/>
  <c r="AF34" i="16"/>
  <c r="AE14" i="16"/>
  <c r="AE34" i="16"/>
  <c r="S14" i="16"/>
  <c r="S34" i="16"/>
  <c r="R14" i="16"/>
  <c r="R34" i="16"/>
  <c r="Q14" i="16"/>
  <c r="Q34" i="16"/>
  <c r="P14" i="16"/>
  <c r="P34" i="16"/>
  <c r="O14" i="16"/>
  <c r="O34" i="16"/>
  <c r="BR13" i="16"/>
  <c r="BR33" i="16"/>
  <c r="BQ13" i="16"/>
  <c r="BQ33" i="16"/>
  <c r="BI13" i="16"/>
  <c r="BI33" i="16"/>
  <c r="BH13" i="16"/>
  <c r="BH33" i="16"/>
  <c r="BG13" i="16"/>
  <c r="BG33" i="16"/>
  <c r="BF13" i="16"/>
  <c r="BF33" i="16"/>
  <c r="AS13" i="16"/>
  <c r="AS33" i="16"/>
  <c r="AR13" i="16"/>
  <c r="AR33" i="16"/>
  <c r="AI13" i="16"/>
  <c r="AI33" i="16"/>
  <c r="AH13" i="16"/>
  <c r="AH33" i="16"/>
  <c r="AG13" i="16"/>
  <c r="AG33" i="16"/>
  <c r="AF13" i="16"/>
  <c r="AF33" i="16"/>
  <c r="AE13" i="16"/>
  <c r="AE33" i="16"/>
  <c r="S13" i="16"/>
  <c r="S33" i="16"/>
  <c r="R13" i="16"/>
  <c r="R33" i="16"/>
  <c r="Q13" i="16"/>
  <c r="Q33" i="16"/>
  <c r="P13" i="16"/>
  <c r="P33" i="16"/>
  <c r="O13" i="16"/>
  <c r="O33" i="16"/>
  <c r="BR3" i="16"/>
  <c r="BR32" i="16"/>
  <c r="BQ3" i="16"/>
  <c r="BQ32" i="16"/>
  <c r="BI3" i="16"/>
  <c r="BI32" i="16"/>
  <c r="BH3" i="16"/>
  <c r="BH32" i="16"/>
  <c r="BG3" i="16"/>
  <c r="BG32" i="16"/>
  <c r="BF3" i="16"/>
  <c r="BF32" i="16"/>
  <c r="AS3" i="16"/>
  <c r="AS32" i="16"/>
  <c r="AR3" i="16"/>
  <c r="AR32" i="16"/>
  <c r="AI3" i="16"/>
  <c r="AI32" i="16"/>
  <c r="AH3" i="16"/>
  <c r="AH32" i="16"/>
  <c r="AG3" i="16"/>
  <c r="AG32" i="16"/>
  <c r="AF3" i="16"/>
  <c r="AF32" i="16"/>
  <c r="AE3" i="16"/>
  <c r="AE32" i="16"/>
  <c r="S3" i="16"/>
  <c r="S32" i="16"/>
  <c r="R3" i="16"/>
  <c r="R32" i="16"/>
  <c r="Q3" i="16"/>
  <c r="Q32" i="16"/>
  <c r="P3" i="16"/>
  <c r="P32" i="16"/>
  <c r="O3" i="16"/>
  <c r="O32" i="16"/>
  <c r="BT76" i="16"/>
  <c r="BS76" i="16"/>
  <c r="BN76" i="16"/>
  <c r="BM76" i="16"/>
  <c r="BL76" i="16"/>
  <c r="BK76" i="16"/>
  <c r="BJ76" i="16"/>
  <c r="BD76" i="16"/>
  <c r="BC76" i="16"/>
  <c r="BB76" i="16"/>
  <c r="BA76" i="16"/>
  <c r="AV76" i="16"/>
  <c r="AU76" i="16"/>
  <c r="AT76" i="16"/>
  <c r="AN76" i="16"/>
  <c r="AM76" i="16"/>
  <c r="AL76" i="16"/>
  <c r="AK76" i="16"/>
  <c r="AJ76" i="16"/>
  <c r="Y76" i="16"/>
  <c r="X76" i="16"/>
  <c r="W76" i="16"/>
  <c r="V76" i="16"/>
  <c r="U76" i="16"/>
  <c r="T76" i="16"/>
  <c r="I76" i="16"/>
  <c r="J76" i="16"/>
  <c r="K76" i="16"/>
  <c r="L76" i="16"/>
  <c r="M76" i="16"/>
  <c r="BT75" i="16"/>
  <c r="BS75" i="16"/>
  <c r="BN75" i="16"/>
  <c r="BM75" i="16"/>
  <c r="BL75" i="16"/>
  <c r="BK75" i="16"/>
  <c r="BJ75" i="16"/>
  <c r="BA75" i="16"/>
  <c r="BB75" i="16"/>
  <c r="BC75" i="16"/>
  <c r="BD75" i="16"/>
  <c r="AV75" i="16"/>
  <c r="AU75" i="16"/>
  <c r="AT75" i="16"/>
  <c r="AN75" i="16"/>
  <c r="AM75" i="16"/>
  <c r="AL75" i="16"/>
  <c r="AK75" i="16"/>
  <c r="AJ75" i="16"/>
  <c r="Y75" i="16"/>
  <c r="X75" i="16"/>
  <c r="W75" i="16"/>
  <c r="V75" i="16"/>
  <c r="U75" i="16"/>
  <c r="T75" i="16"/>
  <c r="I75" i="16"/>
  <c r="J75" i="16"/>
  <c r="K75" i="16"/>
  <c r="L75" i="16"/>
  <c r="M75" i="16"/>
  <c r="BT74" i="16"/>
  <c r="BS74" i="16"/>
  <c r="BN74" i="16"/>
  <c r="BM74" i="16"/>
  <c r="BL74" i="16"/>
  <c r="BK74" i="16"/>
  <c r="BJ74" i="16"/>
  <c r="BA74" i="16"/>
  <c r="BB74" i="16"/>
  <c r="BC74" i="16"/>
  <c r="BD74" i="16"/>
  <c r="AV74" i="16"/>
  <c r="AU74" i="16"/>
  <c r="AT74" i="16"/>
  <c r="AN74" i="16"/>
  <c r="AM74" i="16"/>
  <c r="AL74" i="16"/>
  <c r="AK74" i="16"/>
  <c r="AJ74" i="16"/>
  <c r="Y74" i="16"/>
  <c r="X74" i="16"/>
  <c r="W74" i="16"/>
  <c r="V74" i="16"/>
  <c r="U74" i="16"/>
  <c r="T74" i="16"/>
  <c r="I74" i="16"/>
  <c r="J74" i="16"/>
  <c r="K74" i="16"/>
  <c r="L74" i="16"/>
  <c r="M74" i="16"/>
  <c r="BT73" i="16"/>
  <c r="BS73" i="16"/>
  <c r="BN73" i="16"/>
  <c r="BM73" i="16"/>
  <c r="BL73" i="16"/>
  <c r="BK73" i="16"/>
  <c r="BJ73" i="16"/>
  <c r="BA73" i="16"/>
  <c r="BB73" i="16"/>
  <c r="BC73" i="16"/>
  <c r="BD73" i="16"/>
  <c r="AV73" i="16"/>
  <c r="AU73" i="16"/>
  <c r="AT73" i="16"/>
  <c r="AN73" i="16"/>
  <c r="AM73" i="16"/>
  <c r="AL73" i="16"/>
  <c r="AK73" i="16"/>
  <c r="AJ73" i="16"/>
  <c r="Y73" i="16"/>
  <c r="X73" i="16"/>
  <c r="W73" i="16"/>
  <c r="V73" i="16"/>
  <c r="U73" i="16"/>
  <c r="T73" i="16"/>
  <c r="I73" i="16"/>
  <c r="J73" i="16"/>
  <c r="K73" i="16"/>
  <c r="L73" i="16"/>
  <c r="M73" i="16"/>
  <c r="BT72" i="16"/>
  <c r="BS72" i="16"/>
  <c r="BN72" i="16"/>
  <c r="BM72" i="16"/>
  <c r="BL72" i="16"/>
  <c r="BK72" i="16"/>
  <c r="BJ72" i="16"/>
  <c r="BA72" i="16"/>
  <c r="BB72" i="16"/>
  <c r="BC72" i="16"/>
  <c r="BD72" i="16"/>
  <c r="AV72" i="16"/>
  <c r="AU72" i="16"/>
  <c r="AT72" i="16"/>
  <c r="AN72" i="16"/>
  <c r="AM72" i="16"/>
  <c r="AL72" i="16"/>
  <c r="AK72" i="16"/>
  <c r="AJ72" i="16"/>
  <c r="Y72" i="16"/>
  <c r="X72" i="16"/>
  <c r="W72" i="16"/>
  <c r="V72" i="16"/>
  <c r="U72" i="16"/>
  <c r="T72" i="16"/>
  <c r="I72" i="16"/>
  <c r="J72" i="16"/>
  <c r="K72" i="16"/>
  <c r="L72" i="16"/>
  <c r="M72" i="16"/>
  <c r="BT71" i="16"/>
  <c r="BS71" i="16"/>
  <c r="BN71" i="16"/>
  <c r="BM71" i="16"/>
  <c r="BL71" i="16"/>
  <c r="BK71" i="16"/>
  <c r="BJ71" i="16"/>
  <c r="BA71" i="16"/>
  <c r="BB71" i="16"/>
  <c r="BC71" i="16"/>
  <c r="BD71" i="16"/>
  <c r="AV71" i="16"/>
  <c r="AU71" i="16"/>
  <c r="AT71" i="16"/>
  <c r="AN71" i="16"/>
  <c r="AM71" i="16"/>
  <c r="AL71" i="16"/>
  <c r="AK71" i="16"/>
  <c r="AJ71" i="16"/>
  <c r="Y71" i="16"/>
  <c r="X71" i="16"/>
  <c r="W71" i="16"/>
  <c r="V71" i="16"/>
  <c r="U71" i="16"/>
  <c r="T71" i="16"/>
  <c r="I71" i="16"/>
  <c r="J71" i="16"/>
  <c r="K71" i="16"/>
  <c r="L71" i="16"/>
  <c r="M71" i="16"/>
  <c r="BT70" i="16"/>
  <c r="BS70" i="16"/>
  <c r="BN70" i="16"/>
  <c r="BM70" i="16"/>
  <c r="BL70" i="16"/>
  <c r="BK70" i="16"/>
  <c r="BJ70" i="16"/>
  <c r="BA70" i="16"/>
  <c r="BB70" i="16"/>
  <c r="BC70" i="16"/>
  <c r="BD70" i="16"/>
  <c r="AV70" i="16"/>
  <c r="AU70" i="16"/>
  <c r="AT70" i="16"/>
  <c r="AN70" i="16"/>
  <c r="AM70" i="16"/>
  <c r="AL70" i="16"/>
  <c r="AK70" i="16"/>
  <c r="AJ70" i="16"/>
  <c r="Y70" i="16"/>
  <c r="X70" i="16"/>
  <c r="W70" i="16"/>
  <c r="V70" i="16"/>
  <c r="U70" i="16"/>
  <c r="T70" i="16"/>
  <c r="I70" i="16"/>
  <c r="J70" i="16"/>
  <c r="K70" i="16"/>
  <c r="L70" i="16"/>
  <c r="M70" i="16"/>
  <c r="BT69" i="16"/>
  <c r="BS69" i="16"/>
  <c r="BN69" i="16"/>
  <c r="BM69" i="16"/>
  <c r="BL69" i="16"/>
  <c r="BK69" i="16"/>
  <c r="BJ69" i="16"/>
  <c r="BA69" i="16"/>
  <c r="BB69" i="16"/>
  <c r="BC69" i="16"/>
  <c r="BD69" i="16"/>
  <c r="AV69" i="16"/>
  <c r="AU69" i="16"/>
  <c r="AT69" i="16"/>
  <c r="AN69" i="16"/>
  <c r="AM69" i="16"/>
  <c r="AL69" i="16"/>
  <c r="AK69" i="16"/>
  <c r="AJ69" i="16"/>
  <c r="Y69" i="16"/>
  <c r="X69" i="16"/>
  <c r="W69" i="16"/>
  <c r="V69" i="16"/>
  <c r="U69" i="16"/>
  <c r="T69" i="16"/>
  <c r="I69" i="16"/>
  <c r="J69" i="16"/>
  <c r="K69" i="16"/>
  <c r="L69" i="16"/>
  <c r="M69" i="16"/>
  <c r="BT68" i="16"/>
  <c r="BS68" i="16"/>
  <c r="BN68" i="16"/>
  <c r="BM68" i="16"/>
  <c r="BL68" i="16"/>
  <c r="BK68" i="16"/>
  <c r="BJ68" i="16"/>
  <c r="BA68" i="16"/>
  <c r="BB68" i="16"/>
  <c r="BC68" i="16"/>
  <c r="BD68" i="16"/>
  <c r="AV68" i="16"/>
  <c r="AU68" i="16"/>
  <c r="AT68" i="16"/>
  <c r="AN68" i="16"/>
  <c r="AM68" i="16"/>
  <c r="AL68" i="16"/>
  <c r="AK68" i="16"/>
  <c r="AJ68" i="16"/>
  <c r="Y68" i="16"/>
  <c r="X68" i="16"/>
  <c r="W68" i="16"/>
  <c r="V68" i="16"/>
  <c r="U68" i="16"/>
  <c r="T68" i="16"/>
  <c r="I68" i="16"/>
  <c r="J68" i="16"/>
  <c r="K68" i="16"/>
  <c r="L68" i="16"/>
  <c r="M68" i="16"/>
  <c r="BT67" i="16"/>
  <c r="BS67" i="16"/>
  <c r="BN67" i="16"/>
  <c r="BM67" i="16"/>
  <c r="BL67" i="16"/>
  <c r="BK67" i="16"/>
  <c r="BJ67" i="16"/>
  <c r="BA67" i="16"/>
  <c r="BB67" i="16"/>
  <c r="BC67" i="16"/>
  <c r="BD67" i="16"/>
  <c r="AV67" i="16"/>
  <c r="AU67" i="16"/>
  <c r="AT67" i="16"/>
  <c r="AN67" i="16"/>
  <c r="AM67" i="16"/>
  <c r="AL67" i="16"/>
  <c r="AK67" i="16"/>
  <c r="AJ67" i="16"/>
  <c r="Y67" i="16"/>
  <c r="X67" i="16"/>
  <c r="W67" i="16"/>
  <c r="V67" i="16"/>
  <c r="U67" i="16"/>
  <c r="T67" i="16"/>
  <c r="I67" i="16"/>
  <c r="J67" i="16"/>
  <c r="K67" i="16"/>
  <c r="L67" i="16"/>
  <c r="M67" i="16"/>
  <c r="BT66" i="16"/>
  <c r="BS66" i="16"/>
  <c r="BN66" i="16"/>
  <c r="BM66" i="16"/>
  <c r="BL66" i="16"/>
  <c r="BK66" i="16"/>
  <c r="BJ66" i="16"/>
  <c r="BA66" i="16"/>
  <c r="BB66" i="16"/>
  <c r="BC66" i="16"/>
  <c r="BD66" i="16"/>
  <c r="AV66" i="16"/>
  <c r="AU66" i="16"/>
  <c r="AT66" i="16"/>
  <c r="AN66" i="16"/>
  <c r="AM66" i="16"/>
  <c r="AL66" i="16"/>
  <c r="AK66" i="16"/>
  <c r="AJ66" i="16"/>
  <c r="Y66" i="16"/>
  <c r="X66" i="16"/>
  <c r="W66" i="16"/>
  <c r="V66" i="16"/>
  <c r="U66" i="16"/>
  <c r="T66" i="16"/>
  <c r="I66" i="16"/>
  <c r="J66" i="16"/>
  <c r="K66" i="16"/>
  <c r="L66" i="16"/>
  <c r="M66" i="16"/>
  <c r="BT65" i="16"/>
  <c r="BS65" i="16"/>
  <c r="BN65" i="16"/>
  <c r="BM65" i="16"/>
  <c r="BL65" i="16"/>
  <c r="BK65" i="16"/>
  <c r="BJ65" i="16"/>
  <c r="BA65" i="16"/>
  <c r="BB65" i="16"/>
  <c r="BC65" i="16"/>
  <c r="BD65" i="16"/>
  <c r="AV65" i="16"/>
  <c r="AU65" i="16"/>
  <c r="AT65" i="16"/>
  <c r="AN65" i="16"/>
  <c r="AM65" i="16"/>
  <c r="AL65" i="16"/>
  <c r="AK65" i="16"/>
  <c r="AJ65" i="16"/>
  <c r="Y65" i="16"/>
  <c r="X65" i="16"/>
  <c r="W65" i="16"/>
  <c r="V65" i="16"/>
  <c r="U65" i="16"/>
  <c r="T65" i="16"/>
  <c r="I65" i="16"/>
  <c r="J65" i="16"/>
  <c r="K65" i="16"/>
  <c r="L65" i="16"/>
  <c r="M65" i="16"/>
  <c r="BT64" i="16"/>
  <c r="BS64" i="16"/>
  <c r="BN64" i="16"/>
  <c r="BM64" i="16"/>
  <c r="BL64" i="16"/>
  <c r="BK64" i="16"/>
  <c r="BJ64" i="16"/>
  <c r="BA64" i="16"/>
  <c r="BB64" i="16"/>
  <c r="BC64" i="16"/>
  <c r="BD64" i="16"/>
  <c r="AV64" i="16"/>
  <c r="AU64" i="16"/>
  <c r="AT64" i="16"/>
  <c r="AN64" i="16"/>
  <c r="AM64" i="16"/>
  <c r="AL64" i="16"/>
  <c r="AK64" i="16"/>
  <c r="AJ64" i="16"/>
  <c r="Y64" i="16"/>
  <c r="X64" i="16"/>
  <c r="W64" i="16"/>
  <c r="V64" i="16"/>
  <c r="U64" i="16"/>
  <c r="T64" i="16"/>
  <c r="I64" i="16"/>
  <c r="J64" i="16"/>
  <c r="K64" i="16"/>
  <c r="L64" i="16"/>
  <c r="M64" i="16"/>
  <c r="BT63" i="16"/>
  <c r="BS63" i="16"/>
  <c r="BN63" i="16"/>
  <c r="BM63" i="16"/>
  <c r="BL63" i="16"/>
  <c r="BK63" i="16"/>
  <c r="BJ63" i="16"/>
  <c r="BD63" i="16"/>
  <c r="BC63" i="16"/>
  <c r="BB63" i="16"/>
  <c r="BA63" i="16"/>
  <c r="AV63" i="16"/>
  <c r="AU63" i="16"/>
  <c r="AT63" i="16"/>
  <c r="AN63" i="16"/>
  <c r="AM63" i="16"/>
  <c r="AL63" i="16"/>
  <c r="AK63" i="16"/>
  <c r="AJ63" i="16"/>
  <c r="Y63" i="16"/>
  <c r="X63" i="16"/>
  <c r="W63" i="16"/>
  <c r="V63" i="16"/>
  <c r="U63" i="16"/>
  <c r="T63" i="16"/>
  <c r="M63" i="16"/>
  <c r="L63" i="16"/>
  <c r="K63" i="16"/>
  <c r="J63" i="16"/>
  <c r="I63" i="16"/>
  <c r="BT62" i="16"/>
  <c r="BS62" i="16"/>
  <c r="BN62" i="16"/>
  <c r="BM62" i="16"/>
  <c r="BL62" i="16"/>
  <c r="BK62" i="16"/>
  <c r="BJ62" i="16"/>
  <c r="BA62" i="16"/>
  <c r="BB62" i="16"/>
  <c r="BC62" i="16"/>
  <c r="BD62" i="16"/>
  <c r="AV62" i="16"/>
  <c r="AU62" i="16"/>
  <c r="AT62" i="16"/>
  <c r="AN62" i="16"/>
  <c r="AM62" i="16"/>
  <c r="AL62" i="16"/>
  <c r="AK62" i="16"/>
  <c r="AJ62" i="16"/>
  <c r="Y62" i="16"/>
  <c r="X62" i="16"/>
  <c r="W62" i="16"/>
  <c r="V62" i="16"/>
  <c r="U62" i="16"/>
  <c r="T62" i="16"/>
  <c r="I62" i="16"/>
  <c r="J62" i="16"/>
  <c r="K62" i="16"/>
  <c r="L62" i="16"/>
  <c r="M62" i="16"/>
  <c r="BT61" i="16"/>
  <c r="BS61" i="16"/>
  <c r="BN61" i="16"/>
  <c r="BM61" i="16"/>
  <c r="BL61" i="16"/>
  <c r="BK61" i="16"/>
  <c r="BJ61" i="16"/>
  <c r="BA61" i="16"/>
  <c r="BB61" i="16"/>
  <c r="BC61" i="16"/>
  <c r="BD61" i="16"/>
  <c r="AV61" i="16"/>
  <c r="AU61" i="16"/>
  <c r="AT61" i="16"/>
  <c r="AN61" i="16"/>
  <c r="AM61" i="16"/>
  <c r="AL61" i="16"/>
  <c r="AK61" i="16"/>
  <c r="AJ61" i="16"/>
  <c r="Y61" i="16"/>
  <c r="X61" i="16"/>
  <c r="W61" i="16"/>
  <c r="V61" i="16"/>
  <c r="U61" i="16"/>
  <c r="T61" i="16"/>
  <c r="I61" i="16"/>
  <c r="J61" i="16"/>
  <c r="K61" i="16"/>
  <c r="L61" i="16"/>
  <c r="M61" i="16"/>
  <c r="BT60" i="16"/>
  <c r="BS60" i="16"/>
  <c r="BN60" i="16"/>
  <c r="BM60" i="16"/>
  <c r="BL60" i="16"/>
  <c r="BK60" i="16"/>
  <c r="BJ60" i="16"/>
  <c r="BA60" i="16"/>
  <c r="BB60" i="16"/>
  <c r="BC60" i="16"/>
  <c r="BD60" i="16"/>
  <c r="AV60" i="16"/>
  <c r="AU60" i="16"/>
  <c r="AT60" i="16"/>
  <c r="AN60" i="16"/>
  <c r="AM60" i="16"/>
  <c r="AL60" i="16"/>
  <c r="AK60" i="16"/>
  <c r="AJ60" i="16"/>
  <c r="Y60" i="16"/>
  <c r="X60" i="16"/>
  <c r="W60" i="16"/>
  <c r="V60" i="16"/>
  <c r="U60" i="16"/>
  <c r="T60" i="16"/>
  <c r="I60" i="16"/>
  <c r="J60" i="16"/>
  <c r="K60" i="16"/>
  <c r="L60" i="16"/>
  <c r="M60" i="16"/>
  <c r="BT59" i="16"/>
  <c r="BS59" i="16"/>
  <c r="BN59" i="16"/>
  <c r="BM59" i="16"/>
  <c r="BL59" i="16"/>
  <c r="BK59" i="16"/>
  <c r="BJ59" i="16"/>
  <c r="BA59" i="16"/>
  <c r="BB59" i="16"/>
  <c r="BC59" i="16"/>
  <c r="BD59" i="16"/>
  <c r="AV59" i="16"/>
  <c r="AU59" i="16"/>
  <c r="AT59" i="16"/>
  <c r="AN59" i="16"/>
  <c r="AM59" i="16"/>
  <c r="AL59" i="16"/>
  <c r="AK59" i="16"/>
  <c r="AJ59" i="16"/>
  <c r="Y59" i="16"/>
  <c r="X59" i="16"/>
  <c r="W59" i="16"/>
  <c r="V59" i="16"/>
  <c r="U59" i="16"/>
  <c r="T59" i="16"/>
  <c r="I59" i="16"/>
  <c r="J59" i="16"/>
  <c r="K59" i="16"/>
  <c r="L59" i="16"/>
  <c r="M59" i="16"/>
  <c r="BT58" i="16"/>
  <c r="BS58" i="16"/>
  <c r="BN58" i="16"/>
  <c r="BM58" i="16"/>
  <c r="BL58" i="16"/>
  <c r="BK58" i="16"/>
  <c r="BJ58" i="16"/>
  <c r="BA58" i="16"/>
  <c r="BB58" i="16"/>
  <c r="BC58" i="16"/>
  <c r="BD58" i="16"/>
  <c r="AV58" i="16"/>
  <c r="AU58" i="16"/>
  <c r="AT58" i="16"/>
  <c r="AN58" i="16"/>
  <c r="AM58" i="16"/>
  <c r="AL58" i="16"/>
  <c r="AK58" i="16"/>
  <c r="AJ58" i="16"/>
  <c r="Y58" i="16"/>
  <c r="X58" i="16"/>
  <c r="W58" i="16"/>
  <c r="V58" i="16"/>
  <c r="U58" i="16"/>
  <c r="T58" i="16"/>
  <c r="I58" i="16"/>
  <c r="J58" i="16"/>
  <c r="K58" i="16"/>
  <c r="L58" i="16"/>
  <c r="M58" i="16"/>
  <c r="BT57" i="16"/>
  <c r="BS57" i="16"/>
  <c r="BN57" i="16"/>
  <c r="BM57" i="16"/>
  <c r="BL57" i="16"/>
  <c r="BK57" i="16"/>
  <c r="BJ57" i="16"/>
  <c r="BA57" i="16"/>
  <c r="BB57" i="16"/>
  <c r="BC57" i="16"/>
  <c r="BD57" i="16"/>
  <c r="AV57" i="16"/>
  <c r="AU57" i="16"/>
  <c r="AT57" i="16"/>
  <c r="AN57" i="16"/>
  <c r="AM57" i="16"/>
  <c r="AL57" i="16"/>
  <c r="AK57" i="16"/>
  <c r="AJ57" i="16"/>
  <c r="Y57" i="16"/>
  <c r="X57" i="16"/>
  <c r="W57" i="16"/>
  <c r="V57" i="16"/>
  <c r="U57" i="16"/>
  <c r="T57" i="16"/>
  <c r="I57" i="16"/>
  <c r="J57" i="16"/>
  <c r="K57" i="16"/>
  <c r="L57" i="16"/>
  <c r="M57" i="16"/>
  <c r="BT56" i="16"/>
  <c r="BS56" i="16"/>
  <c r="BN56" i="16"/>
  <c r="BM56" i="16"/>
  <c r="BL56" i="16"/>
  <c r="BK56" i="16"/>
  <c r="BJ56" i="16"/>
  <c r="BA56" i="16"/>
  <c r="BB56" i="16"/>
  <c r="BC56" i="16"/>
  <c r="BD56" i="16"/>
  <c r="AV56" i="16"/>
  <c r="AU56" i="16"/>
  <c r="AT56" i="16"/>
  <c r="AN56" i="16"/>
  <c r="AM56" i="16"/>
  <c r="AL56" i="16"/>
  <c r="AK56" i="16"/>
  <c r="AJ56" i="16"/>
  <c r="Y56" i="16"/>
  <c r="X56" i="16"/>
  <c r="W56" i="16"/>
  <c r="V56" i="16"/>
  <c r="U56" i="16"/>
  <c r="T56" i="16"/>
  <c r="I56" i="16"/>
  <c r="J56" i="16"/>
  <c r="K56" i="16"/>
  <c r="L56" i="16"/>
  <c r="M56" i="16"/>
  <c r="BT55" i="16"/>
  <c r="BS55" i="16"/>
  <c r="BN55" i="16"/>
  <c r="BM55" i="16"/>
  <c r="BL55" i="16"/>
  <c r="BK55" i="16"/>
  <c r="BJ55" i="16"/>
  <c r="BA55" i="16"/>
  <c r="BB55" i="16"/>
  <c r="BC55" i="16"/>
  <c r="BD55" i="16"/>
  <c r="AV55" i="16"/>
  <c r="AU55" i="16"/>
  <c r="AT55" i="16"/>
  <c r="AN55" i="16"/>
  <c r="AM55" i="16"/>
  <c r="AL55" i="16"/>
  <c r="AK55" i="16"/>
  <c r="AJ55" i="16"/>
  <c r="Y55" i="16"/>
  <c r="X55" i="16"/>
  <c r="W55" i="16"/>
  <c r="V55" i="16"/>
  <c r="U55" i="16"/>
  <c r="T55" i="16"/>
  <c r="I55" i="16"/>
  <c r="J55" i="16"/>
  <c r="K55" i="16"/>
  <c r="L55" i="16"/>
  <c r="M55" i="16"/>
  <c r="BT54" i="16"/>
  <c r="BS54" i="16"/>
  <c r="BN54" i="16"/>
  <c r="BM54" i="16"/>
  <c r="BL54" i="16"/>
  <c r="BK54" i="16"/>
  <c r="BJ54" i="16"/>
  <c r="BA54" i="16"/>
  <c r="BB54" i="16"/>
  <c r="BC54" i="16"/>
  <c r="BD54" i="16"/>
  <c r="AV54" i="16"/>
  <c r="AU54" i="16"/>
  <c r="AT54" i="16"/>
  <c r="AN54" i="16"/>
  <c r="AM54" i="16"/>
  <c r="AL54" i="16"/>
  <c r="AK54" i="16"/>
  <c r="AJ54" i="16"/>
  <c r="Y54" i="16"/>
  <c r="X54" i="16"/>
  <c r="W54" i="16"/>
  <c r="V54" i="16"/>
  <c r="U54" i="16"/>
  <c r="T54" i="16"/>
  <c r="I54" i="16"/>
  <c r="J54" i="16"/>
  <c r="K54" i="16"/>
  <c r="L54" i="16"/>
  <c r="M54" i="16"/>
  <c r="BT53" i="16"/>
  <c r="BS53" i="16"/>
  <c r="BN53" i="16"/>
  <c r="BM53" i="16"/>
  <c r="BL53" i="16"/>
  <c r="BK53" i="16"/>
  <c r="BJ53" i="16"/>
  <c r="BA53" i="16"/>
  <c r="BB53" i="16"/>
  <c r="BC53" i="16"/>
  <c r="BD53" i="16"/>
  <c r="AV53" i="16"/>
  <c r="AU53" i="16"/>
  <c r="AT53" i="16"/>
  <c r="AN53" i="16"/>
  <c r="AM53" i="16"/>
  <c r="AL53" i="16"/>
  <c r="AK53" i="16"/>
  <c r="AJ53" i="16"/>
  <c r="Y53" i="16"/>
  <c r="X53" i="16"/>
  <c r="W53" i="16"/>
  <c r="V53" i="16"/>
  <c r="U53" i="16"/>
  <c r="T53" i="16"/>
  <c r="I53" i="16"/>
  <c r="J53" i="16"/>
  <c r="K53" i="16"/>
  <c r="L53" i="16"/>
  <c r="M53" i="16"/>
  <c r="BT52" i="16"/>
  <c r="BS52" i="16"/>
  <c r="BN52" i="16"/>
  <c r="BM52" i="16"/>
  <c r="BL52" i="16"/>
  <c r="BK52" i="16"/>
  <c r="BJ52" i="16"/>
  <c r="BA52" i="16"/>
  <c r="BB52" i="16"/>
  <c r="BC52" i="16"/>
  <c r="BD52" i="16"/>
  <c r="AV52" i="16"/>
  <c r="AU52" i="16"/>
  <c r="AT52" i="16"/>
  <c r="AN52" i="16"/>
  <c r="AM52" i="16"/>
  <c r="AL52" i="16"/>
  <c r="AK52" i="16"/>
  <c r="AJ52" i="16"/>
  <c r="Y52" i="16"/>
  <c r="X52" i="16"/>
  <c r="W52" i="16"/>
  <c r="V52" i="16"/>
  <c r="U52" i="16"/>
  <c r="T52" i="16"/>
  <c r="I52" i="16"/>
  <c r="J52" i="16"/>
  <c r="K52" i="16"/>
  <c r="L52" i="16"/>
  <c r="M52" i="16"/>
  <c r="BT51" i="16"/>
  <c r="BS51" i="16"/>
  <c r="BN51" i="16"/>
  <c r="BM51" i="16"/>
  <c r="BL51" i="16"/>
  <c r="BK51" i="16"/>
  <c r="BJ51" i="16"/>
  <c r="BA51" i="16"/>
  <c r="BB51" i="16"/>
  <c r="BC51" i="16"/>
  <c r="BD51" i="16"/>
  <c r="AV51" i="16"/>
  <c r="AU51" i="16"/>
  <c r="AT51" i="16"/>
  <c r="AN51" i="16"/>
  <c r="AM51" i="16"/>
  <c r="AL51" i="16"/>
  <c r="AK51" i="16"/>
  <c r="AJ51" i="16"/>
  <c r="Y51" i="16"/>
  <c r="X51" i="16"/>
  <c r="W51" i="16"/>
  <c r="V51" i="16"/>
  <c r="U51" i="16"/>
  <c r="T51" i="16"/>
  <c r="I51" i="16"/>
  <c r="J51" i="16"/>
  <c r="K51" i="16"/>
  <c r="L51" i="16"/>
  <c r="M51" i="16"/>
  <c r="BT50" i="16"/>
  <c r="BS50" i="16"/>
  <c r="BN50" i="16"/>
  <c r="BM50" i="16"/>
  <c r="BL50" i="16"/>
  <c r="BK50" i="16"/>
  <c r="BJ50" i="16"/>
  <c r="BA50" i="16"/>
  <c r="BB50" i="16"/>
  <c r="BC50" i="16"/>
  <c r="BD50" i="16"/>
  <c r="AV50" i="16"/>
  <c r="AU50" i="16"/>
  <c r="AT50" i="16"/>
  <c r="AN50" i="16"/>
  <c r="AM50" i="16"/>
  <c r="AL50" i="16"/>
  <c r="AK50" i="16"/>
  <c r="AJ50" i="16"/>
  <c r="Y50" i="16"/>
  <c r="X50" i="16"/>
  <c r="W50" i="16"/>
  <c r="V50" i="16"/>
  <c r="U50" i="16"/>
  <c r="T50" i="16"/>
  <c r="I50" i="16"/>
  <c r="J50" i="16"/>
  <c r="K50" i="16"/>
  <c r="L50" i="16"/>
  <c r="M50" i="16"/>
  <c r="BT49" i="16"/>
  <c r="BS49" i="16"/>
  <c r="BN49" i="16"/>
  <c r="BM49" i="16"/>
  <c r="BL49" i="16"/>
  <c r="BK49" i="16"/>
  <c r="BJ49" i="16"/>
  <c r="BA49" i="16"/>
  <c r="BB49" i="16"/>
  <c r="BC49" i="16"/>
  <c r="BD49" i="16"/>
  <c r="AV49" i="16"/>
  <c r="AU49" i="16"/>
  <c r="AT49" i="16"/>
  <c r="AN49" i="16"/>
  <c r="AM49" i="16"/>
  <c r="AL49" i="16"/>
  <c r="AK49" i="16"/>
  <c r="AJ49" i="16"/>
  <c r="Y49" i="16"/>
  <c r="X49" i="16"/>
  <c r="W49" i="16"/>
  <c r="V49" i="16"/>
  <c r="U49" i="16"/>
  <c r="T49" i="16"/>
  <c r="I49" i="16"/>
  <c r="J49" i="16"/>
  <c r="K49" i="16"/>
  <c r="L49" i="16"/>
  <c r="M49" i="16"/>
  <c r="BT48" i="16"/>
  <c r="BS48" i="16"/>
  <c r="BN48" i="16"/>
  <c r="BM48" i="16"/>
  <c r="BL48" i="16"/>
  <c r="BK48" i="16"/>
  <c r="BJ48" i="16"/>
  <c r="BD48" i="16"/>
  <c r="BC48" i="16"/>
  <c r="BB48" i="16"/>
  <c r="BA48" i="16"/>
  <c r="AV48" i="16"/>
  <c r="AU48" i="16"/>
  <c r="AT48" i="16"/>
  <c r="AN48" i="16"/>
  <c r="AM48" i="16"/>
  <c r="AL48" i="16"/>
  <c r="AK48" i="16"/>
  <c r="AJ48" i="16"/>
  <c r="Y48" i="16"/>
  <c r="X48" i="16"/>
  <c r="W48" i="16"/>
  <c r="V48" i="16"/>
  <c r="U48" i="16"/>
  <c r="T48" i="16"/>
  <c r="M48" i="16"/>
  <c r="L48" i="16"/>
  <c r="K48" i="16"/>
  <c r="J48" i="16"/>
  <c r="I48" i="16"/>
  <c r="BT47" i="16"/>
  <c r="BS47" i="16"/>
  <c r="BN47" i="16"/>
  <c r="BM47" i="16"/>
  <c r="BL47" i="16"/>
  <c r="BK47" i="16"/>
  <c r="BJ47" i="16"/>
  <c r="BA47" i="16"/>
  <c r="BB47" i="16"/>
  <c r="BC47" i="16"/>
  <c r="BD47" i="16"/>
  <c r="AV47" i="16"/>
  <c r="AU47" i="16"/>
  <c r="AT47" i="16"/>
  <c r="AN47" i="16"/>
  <c r="AM47" i="16"/>
  <c r="AL47" i="16"/>
  <c r="AK47" i="16"/>
  <c r="AJ47" i="16"/>
  <c r="Y47" i="16"/>
  <c r="X47" i="16"/>
  <c r="W47" i="16"/>
  <c r="V47" i="16"/>
  <c r="U47" i="16"/>
  <c r="T47" i="16"/>
  <c r="I47" i="16"/>
  <c r="J47" i="16"/>
  <c r="K47" i="16"/>
  <c r="L47" i="16"/>
  <c r="M47" i="16"/>
  <c r="BT46" i="16"/>
  <c r="BS46" i="16"/>
  <c r="BN46" i="16"/>
  <c r="BM46" i="16"/>
  <c r="BL46" i="16"/>
  <c r="BK46" i="16"/>
  <c r="BJ46" i="16"/>
  <c r="BA46" i="16"/>
  <c r="BB46" i="16"/>
  <c r="BC46" i="16"/>
  <c r="BD46" i="16"/>
  <c r="AV46" i="16"/>
  <c r="AU46" i="16"/>
  <c r="AT46" i="16"/>
  <c r="AN46" i="16"/>
  <c r="AM46" i="16"/>
  <c r="AL46" i="16"/>
  <c r="AK46" i="16"/>
  <c r="AJ46" i="16"/>
  <c r="Y46" i="16"/>
  <c r="X46" i="16"/>
  <c r="W46" i="16"/>
  <c r="V46" i="16"/>
  <c r="U46" i="16"/>
  <c r="T46" i="16"/>
  <c r="I46" i="16"/>
  <c r="J46" i="16"/>
  <c r="K46" i="16"/>
  <c r="L46" i="16"/>
  <c r="M46" i="16"/>
  <c r="BT45" i="16"/>
  <c r="BS45" i="16"/>
  <c r="BN45" i="16"/>
  <c r="BM45" i="16"/>
  <c r="BL45" i="16"/>
  <c r="BK45" i="16"/>
  <c r="BJ45" i="16"/>
  <c r="BD45" i="16"/>
  <c r="BC45" i="16"/>
  <c r="BB45" i="16"/>
  <c r="BA45" i="16"/>
  <c r="AU45" i="16"/>
  <c r="AT45" i="16"/>
  <c r="AN45" i="16"/>
  <c r="AM45" i="16"/>
  <c r="AL45" i="16"/>
  <c r="AK45" i="16"/>
  <c r="AJ45" i="16"/>
  <c r="Y45" i="16"/>
  <c r="X45" i="16"/>
  <c r="W45" i="16"/>
  <c r="V45" i="16"/>
  <c r="U45" i="16"/>
  <c r="T45" i="16"/>
  <c r="M45" i="16"/>
  <c r="L45" i="16"/>
  <c r="K45" i="16"/>
  <c r="J45" i="16"/>
  <c r="I45" i="16"/>
  <c r="BT44" i="16"/>
  <c r="BS44" i="16"/>
  <c r="BN44" i="16"/>
  <c r="BM44" i="16"/>
  <c r="BL44" i="16"/>
  <c r="BK44" i="16"/>
  <c r="BJ44" i="16"/>
  <c r="BA44" i="16"/>
  <c r="BB44" i="16"/>
  <c r="BC44" i="16"/>
  <c r="BD44" i="16"/>
  <c r="AV44" i="16"/>
  <c r="AU44" i="16"/>
  <c r="AT44" i="16"/>
  <c r="AN44" i="16"/>
  <c r="AM44" i="16"/>
  <c r="AL44" i="16"/>
  <c r="AK44" i="16"/>
  <c r="AJ44" i="16"/>
  <c r="Y44" i="16"/>
  <c r="X44" i="16"/>
  <c r="W44" i="16"/>
  <c r="V44" i="16"/>
  <c r="U44" i="16"/>
  <c r="T44" i="16"/>
  <c r="I44" i="16"/>
  <c r="J44" i="16"/>
  <c r="K44" i="16"/>
  <c r="L44" i="16"/>
  <c r="M44" i="16"/>
  <c r="BT43" i="16"/>
  <c r="BS43" i="16"/>
  <c r="BN43" i="16"/>
  <c r="BM43" i="16"/>
  <c r="BL43" i="16"/>
  <c r="BK43" i="16"/>
  <c r="BJ43" i="16"/>
  <c r="BA43" i="16"/>
  <c r="BB43" i="16"/>
  <c r="BC43" i="16"/>
  <c r="BD43" i="16"/>
  <c r="AV43" i="16"/>
  <c r="AU43" i="16"/>
  <c r="AT43" i="16"/>
  <c r="AN43" i="16"/>
  <c r="AM43" i="16"/>
  <c r="AL43" i="16"/>
  <c r="AK43" i="16"/>
  <c r="AJ43" i="16"/>
  <c r="Y43" i="16"/>
  <c r="X43" i="16"/>
  <c r="W43" i="16"/>
  <c r="V43" i="16"/>
  <c r="U43" i="16"/>
  <c r="T43" i="16"/>
  <c r="I43" i="16"/>
  <c r="J43" i="16"/>
  <c r="K43" i="16"/>
  <c r="L43" i="16"/>
  <c r="M43" i="16"/>
  <c r="BT42" i="16"/>
  <c r="BS42" i="16"/>
  <c r="BN42" i="16"/>
  <c r="BM42" i="16"/>
  <c r="BL42" i="16"/>
  <c r="BK42" i="16"/>
  <c r="BJ42" i="16"/>
  <c r="BA42" i="16"/>
  <c r="BB42" i="16"/>
  <c r="BC42" i="16"/>
  <c r="BD42" i="16"/>
  <c r="AV42" i="16"/>
  <c r="AU42" i="16"/>
  <c r="AT42" i="16"/>
  <c r="AN42" i="16"/>
  <c r="AM42" i="16"/>
  <c r="AL42" i="16"/>
  <c r="AK42" i="16"/>
  <c r="AJ42" i="16"/>
  <c r="Y42" i="16"/>
  <c r="X42" i="16"/>
  <c r="W42" i="16"/>
  <c r="V42" i="16"/>
  <c r="U42" i="16"/>
  <c r="T42" i="16"/>
  <c r="I42" i="16"/>
  <c r="J42" i="16"/>
  <c r="K42" i="16"/>
  <c r="L42" i="16"/>
  <c r="M42" i="16"/>
  <c r="BT41" i="16"/>
  <c r="BS41" i="16"/>
  <c r="BN41" i="16"/>
  <c r="BM41" i="16"/>
  <c r="BL41" i="16"/>
  <c r="BK41" i="16"/>
  <c r="BJ41" i="16"/>
  <c r="BA41" i="16"/>
  <c r="BB41" i="16"/>
  <c r="BC41" i="16"/>
  <c r="BD41" i="16"/>
  <c r="AV41" i="16"/>
  <c r="AU41" i="16"/>
  <c r="AT41" i="16"/>
  <c r="AN41" i="16"/>
  <c r="AM41" i="16"/>
  <c r="AL41" i="16"/>
  <c r="AK41" i="16"/>
  <c r="AJ41" i="16"/>
  <c r="Y41" i="16"/>
  <c r="X41" i="16"/>
  <c r="W41" i="16"/>
  <c r="V41" i="16"/>
  <c r="U41" i="16"/>
  <c r="T41" i="16"/>
  <c r="I41" i="16"/>
  <c r="J41" i="16"/>
  <c r="K41" i="16"/>
  <c r="L41" i="16"/>
  <c r="M41" i="16"/>
  <c r="BT40" i="16"/>
  <c r="BS40" i="16"/>
  <c r="BN40" i="16"/>
  <c r="BM40" i="16"/>
  <c r="BL40" i="16"/>
  <c r="BK40" i="16"/>
  <c r="BJ40" i="16"/>
  <c r="BA40" i="16"/>
  <c r="BB40" i="16"/>
  <c r="BC40" i="16"/>
  <c r="BD40" i="16"/>
  <c r="AV40" i="16"/>
  <c r="AU40" i="16"/>
  <c r="AT40" i="16"/>
  <c r="AN40" i="16"/>
  <c r="AM40" i="16"/>
  <c r="AL40" i="16"/>
  <c r="AK40" i="16"/>
  <c r="AJ40" i="16"/>
  <c r="Y40" i="16"/>
  <c r="X40" i="16"/>
  <c r="W40" i="16"/>
  <c r="V40" i="16"/>
  <c r="U40" i="16"/>
  <c r="T40" i="16"/>
  <c r="I40" i="16"/>
  <c r="J40" i="16"/>
  <c r="K40" i="16"/>
  <c r="L40" i="16"/>
  <c r="M40" i="16"/>
  <c r="BT39" i="16"/>
  <c r="BS39" i="16"/>
  <c r="BN39" i="16"/>
  <c r="BM39" i="16"/>
  <c r="BL39" i="16"/>
  <c r="BK39" i="16"/>
  <c r="BJ39" i="16"/>
  <c r="BA39" i="16"/>
  <c r="BB39" i="16"/>
  <c r="BC39" i="16"/>
  <c r="BD39" i="16"/>
  <c r="AV39" i="16"/>
  <c r="AU39" i="16"/>
  <c r="AT39" i="16"/>
  <c r="AN39" i="16"/>
  <c r="AM39" i="16"/>
  <c r="AL39" i="16"/>
  <c r="AK39" i="16"/>
  <c r="AJ39" i="16"/>
  <c r="Y39" i="16"/>
  <c r="X39" i="16"/>
  <c r="W39" i="16"/>
  <c r="V39" i="16"/>
  <c r="U39" i="16"/>
  <c r="T39" i="16"/>
  <c r="I39" i="16"/>
  <c r="J39" i="16"/>
  <c r="K39" i="16"/>
  <c r="L39" i="16"/>
  <c r="M39" i="16"/>
  <c r="BT38" i="16"/>
  <c r="BS38" i="16"/>
  <c r="BN38" i="16"/>
  <c r="BM38" i="16"/>
  <c r="BL38" i="16"/>
  <c r="BK38" i="16"/>
  <c r="BJ38" i="16"/>
  <c r="BA38" i="16"/>
  <c r="BB38" i="16"/>
  <c r="BC38" i="16"/>
  <c r="BD38" i="16"/>
  <c r="AV38" i="16"/>
  <c r="AU38" i="16"/>
  <c r="AT38" i="16"/>
  <c r="AN38" i="16"/>
  <c r="AM38" i="16"/>
  <c r="AL38" i="16"/>
  <c r="AK38" i="16"/>
  <c r="AJ38" i="16"/>
  <c r="Y38" i="16"/>
  <c r="X38" i="16"/>
  <c r="W38" i="16"/>
  <c r="V38" i="16"/>
  <c r="U38" i="16"/>
  <c r="T38" i="16"/>
  <c r="I38" i="16"/>
  <c r="J38" i="16"/>
  <c r="K38" i="16"/>
  <c r="L38" i="16"/>
  <c r="M38" i="16"/>
  <c r="BT37" i="16"/>
  <c r="BS37" i="16"/>
  <c r="BN37" i="16"/>
  <c r="BM37" i="16"/>
  <c r="BL37" i="16"/>
  <c r="BK37" i="16"/>
  <c r="BJ37" i="16"/>
  <c r="BA37" i="16"/>
  <c r="BB37" i="16"/>
  <c r="BC37" i="16"/>
  <c r="BD37" i="16"/>
  <c r="AV37" i="16"/>
  <c r="AU37" i="16"/>
  <c r="AT37" i="16"/>
  <c r="AN37" i="16"/>
  <c r="AM37" i="16"/>
  <c r="AL37" i="16"/>
  <c r="AK37" i="16"/>
  <c r="AJ37" i="16"/>
  <c r="Y37" i="16"/>
  <c r="X37" i="16"/>
  <c r="W37" i="16"/>
  <c r="V37" i="16"/>
  <c r="U37" i="16"/>
  <c r="T37" i="16"/>
  <c r="I37" i="16"/>
  <c r="J37" i="16"/>
  <c r="K37" i="16"/>
  <c r="L37" i="16"/>
  <c r="M37" i="16"/>
  <c r="BT36" i="16"/>
  <c r="BS36" i="16"/>
  <c r="BN36" i="16"/>
  <c r="BM36" i="16"/>
  <c r="BL36" i="16"/>
  <c r="BK36" i="16"/>
  <c r="BJ36" i="16"/>
  <c r="BA36" i="16"/>
  <c r="BB36" i="16"/>
  <c r="BC36" i="16"/>
  <c r="BD36" i="16"/>
  <c r="AV36" i="16"/>
  <c r="AU36" i="16"/>
  <c r="AT36" i="16"/>
  <c r="AN36" i="16"/>
  <c r="AM36" i="16"/>
  <c r="AL36" i="16"/>
  <c r="AK36" i="16"/>
  <c r="AJ36" i="16"/>
  <c r="Y36" i="16"/>
  <c r="X36" i="16"/>
  <c r="W36" i="16"/>
  <c r="V36" i="16"/>
  <c r="U36" i="16"/>
  <c r="T36" i="16"/>
  <c r="I36" i="16"/>
  <c r="J36" i="16"/>
  <c r="K36" i="16"/>
  <c r="L36" i="16"/>
  <c r="M36" i="16"/>
  <c r="BT35" i="16"/>
  <c r="BS35" i="16"/>
  <c r="BN35" i="16"/>
  <c r="BM35" i="16"/>
  <c r="BL35" i="16"/>
  <c r="BK35" i="16"/>
  <c r="BJ35" i="16"/>
  <c r="BA35" i="16"/>
  <c r="BB35" i="16"/>
  <c r="BC35" i="16"/>
  <c r="BD35" i="16"/>
  <c r="AV35" i="16"/>
  <c r="AU35" i="16"/>
  <c r="AT35" i="16"/>
  <c r="AN35" i="16"/>
  <c r="AM35" i="16"/>
  <c r="AL35" i="16"/>
  <c r="AK35" i="16"/>
  <c r="AJ35" i="16"/>
  <c r="Y35" i="16"/>
  <c r="X35" i="16"/>
  <c r="W35" i="16"/>
  <c r="V35" i="16"/>
  <c r="U35" i="16"/>
  <c r="T35" i="16"/>
  <c r="I35" i="16"/>
  <c r="J35" i="16"/>
  <c r="K35" i="16"/>
  <c r="L35" i="16"/>
  <c r="M35" i="16"/>
  <c r="BT34" i="16"/>
  <c r="BS34" i="16"/>
  <c r="BN34" i="16"/>
  <c r="BM34" i="16"/>
  <c r="BL34" i="16"/>
  <c r="BK34" i="16"/>
  <c r="BJ34" i="16"/>
  <c r="BA34" i="16"/>
  <c r="BB34" i="16"/>
  <c r="BC34" i="16"/>
  <c r="BD34" i="16"/>
  <c r="AV34" i="16"/>
  <c r="AU34" i="16"/>
  <c r="AT34" i="16"/>
  <c r="AN34" i="16"/>
  <c r="AM34" i="16"/>
  <c r="AL34" i="16"/>
  <c r="AK34" i="16"/>
  <c r="AJ34" i="16"/>
  <c r="Y34" i="16"/>
  <c r="X34" i="16"/>
  <c r="W34" i="16"/>
  <c r="V34" i="16"/>
  <c r="U34" i="16"/>
  <c r="T34" i="16"/>
  <c r="I34" i="16"/>
  <c r="J34" i="16"/>
  <c r="K34" i="16"/>
  <c r="L34" i="16"/>
  <c r="M34" i="16"/>
  <c r="BT33" i="16"/>
  <c r="BS33" i="16"/>
  <c r="BN33" i="16"/>
  <c r="BM33" i="16"/>
  <c r="BL33" i="16"/>
  <c r="BK33" i="16"/>
  <c r="BJ33" i="16"/>
  <c r="BA33" i="16"/>
  <c r="BB33" i="16"/>
  <c r="BC33" i="16"/>
  <c r="BD33" i="16"/>
  <c r="AV33" i="16"/>
  <c r="AU33" i="16"/>
  <c r="AT33" i="16"/>
  <c r="AN33" i="16"/>
  <c r="AM33" i="16"/>
  <c r="AL33" i="16"/>
  <c r="AK33" i="16"/>
  <c r="AJ33" i="16"/>
  <c r="Y33" i="16"/>
  <c r="X33" i="16"/>
  <c r="W33" i="16"/>
  <c r="V33" i="16"/>
  <c r="U33" i="16"/>
  <c r="T33" i="16"/>
  <c r="I33" i="16"/>
  <c r="J33" i="16"/>
  <c r="K33" i="16"/>
  <c r="L33" i="16"/>
  <c r="M33" i="16"/>
  <c r="BT32" i="16"/>
  <c r="BS32" i="16"/>
  <c r="BN32" i="16"/>
  <c r="BM32" i="16"/>
  <c r="BL32" i="16"/>
  <c r="BK32" i="16"/>
  <c r="BJ32" i="16"/>
  <c r="BA32" i="16"/>
  <c r="BB32" i="16"/>
  <c r="BC32" i="16"/>
  <c r="BD32" i="16"/>
  <c r="AV32" i="16"/>
  <c r="AU32" i="16"/>
  <c r="AT32" i="16"/>
  <c r="AN32" i="16"/>
  <c r="AM32" i="16"/>
  <c r="AL32" i="16"/>
  <c r="AK32" i="16"/>
  <c r="AJ32" i="16"/>
  <c r="Y32" i="16"/>
  <c r="X32" i="16"/>
  <c r="W32" i="16"/>
  <c r="V32" i="16"/>
  <c r="U32" i="16"/>
  <c r="T32" i="16"/>
  <c r="I32" i="16"/>
  <c r="J32" i="16"/>
  <c r="K32" i="16"/>
  <c r="L32" i="16"/>
  <c r="M32" i="16"/>
  <c r="BT31" i="16"/>
  <c r="BS31" i="16"/>
  <c r="BN31" i="16"/>
  <c r="BM31" i="16"/>
  <c r="BL31" i="16"/>
  <c r="BK31" i="16"/>
  <c r="BJ31" i="16"/>
  <c r="BD31" i="16"/>
  <c r="BC31" i="16"/>
  <c r="BB31" i="16"/>
  <c r="BA31" i="16"/>
  <c r="AV31" i="16"/>
  <c r="AU31" i="16"/>
  <c r="AT31" i="16"/>
  <c r="AN31" i="16"/>
  <c r="AM31" i="16"/>
  <c r="AL31" i="16"/>
  <c r="AK31" i="16"/>
  <c r="AJ31" i="16"/>
  <c r="Y31" i="16"/>
  <c r="X31" i="16"/>
  <c r="W31" i="16"/>
  <c r="V31" i="16"/>
  <c r="U31" i="16"/>
  <c r="T31" i="16"/>
  <c r="M31" i="16"/>
  <c r="L31" i="16"/>
  <c r="K31" i="16"/>
  <c r="J31" i="16"/>
  <c r="I31" i="16"/>
  <c r="E12" i="3"/>
  <c r="D3" i="32"/>
  <c r="D32" i="32"/>
  <c r="D13" i="32"/>
  <c r="D33" i="32"/>
  <c r="D14" i="32"/>
  <c r="D34" i="32"/>
  <c r="D30" i="32"/>
  <c r="D35" i="32"/>
  <c r="D26" i="32"/>
  <c r="D36" i="32"/>
  <c r="D22" i="32"/>
  <c r="D37" i="32"/>
  <c r="D2" i="32"/>
  <c r="D38" i="32"/>
  <c r="D11" i="32"/>
  <c r="D39" i="32"/>
  <c r="D4" i="32"/>
  <c r="D40" i="32"/>
  <c r="D8" i="32"/>
  <c r="D41" i="32"/>
  <c r="D19" i="32"/>
  <c r="D42" i="32"/>
  <c r="D28" i="32"/>
  <c r="D43" i="32"/>
  <c r="D15" i="32"/>
  <c r="D44" i="32"/>
  <c r="D31" i="32"/>
  <c r="E4" i="3"/>
  <c r="F3" i="32"/>
  <c r="F32" i="32"/>
  <c r="F13" i="32"/>
  <c r="F33" i="32"/>
  <c r="F14" i="32"/>
  <c r="F34" i="32"/>
  <c r="F30" i="32"/>
  <c r="F35" i="32"/>
  <c r="F26" i="32"/>
  <c r="F36" i="32"/>
  <c r="F22" i="32"/>
  <c r="F37" i="32"/>
  <c r="F2" i="32"/>
  <c r="F38" i="32"/>
  <c r="F11" i="32"/>
  <c r="F39" i="32"/>
  <c r="F4" i="32"/>
  <c r="F40" i="32"/>
  <c r="F8" i="32"/>
  <c r="F41" i="32"/>
  <c r="F19" i="32"/>
  <c r="F42" i="32"/>
  <c r="F28" i="32"/>
  <c r="F43" i="32"/>
  <c r="F31" i="32"/>
  <c r="AW3" i="33"/>
  <c r="AW4" i="33"/>
  <c r="AW5" i="33"/>
  <c r="AW6" i="33"/>
  <c r="AW7" i="33"/>
  <c r="AW8" i="33"/>
  <c r="AW9" i="33"/>
  <c r="AW10" i="33"/>
  <c r="AW11" i="33"/>
  <c r="AW12" i="33"/>
  <c r="AW13" i="33"/>
  <c r="AW14" i="33"/>
  <c r="AW15" i="33"/>
  <c r="AW16" i="33"/>
  <c r="AW17" i="33"/>
  <c r="AW18" i="33"/>
  <c r="AW19" i="33"/>
  <c r="AW20" i="33"/>
  <c r="AW21" i="33"/>
  <c r="AW22" i="33"/>
  <c r="AW23" i="33"/>
  <c r="AW24" i="33"/>
  <c r="AW25" i="33"/>
  <c r="AW26" i="33"/>
  <c r="AW27" i="33"/>
  <c r="AW28" i="33"/>
  <c r="AW29" i="33"/>
  <c r="AW30" i="33"/>
  <c r="AW2" i="33"/>
  <c r="AW2" i="37"/>
  <c r="BA2" i="37"/>
  <c r="AX2" i="37"/>
  <c r="BB2" i="37"/>
  <c r="BO2" i="37"/>
  <c r="AY2" i="37"/>
  <c r="BC2" i="37"/>
  <c r="AZ2" i="37"/>
  <c r="BD2" i="37"/>
  <c r="AW3" i="37"/>
  <c r="BA3" i="37"/>
  <c r="AX3" i="37"/>
  <c r="BB3" i="37"/>
  <c r="BO3" i="37"/>
  <c r="AY3" i="37"/>
  <c r="BC3" i="37"/>
  <c r="AZ3" i="37"/>
  <c r="BD3" i="37"/>
  <c r="AW4" i="37"/>
  <c r="BA4" i="37"/>
  <c r="AX4" i="37"/>
  <c r="BB4" i="37"/>
  <c r="BO4" i="37"/>
  <c r="AY4" i="37"/>
  <c r="BC4" i="37"/>
  <c r="AZ4" i="37"/>
  <c r="BD4" i="37"/>
  <c r="AW5" i="37"/>
  <c r="BA5" i="37"/>
  <c r="AX5" i="37"/>
  <c r="BB5" i="37"/>
  <c r="BO5" i="37"/>
  <c r="AY5" i="37"/>
  <c r="BC5" i="37"/>
  <c r="AZ5" i="37"/>
  <c r="BD5" i="37"/>
  <c r="AW6" i="37"/>
  <c r="BA6" i="37"/>
  <c r="AX6" i="37"/>
  <c r="BB6" i="37"/>
  <c r="BO6" i="37"/>
  <c r="AY6" i="37"/>
  <c r="BC6" i="37"/>
  <c r="AZ6" i="37"/>
  <c r="BD6" i="37"/>
  <c r="AW7" i="37"/>
  <c r="BA7" i="37"/>
  <c r="AX7" i="37"/>
  <c r="BB7" i="37"/>
  <c r="BO7" i="37"/>
  <c r="AY7" i="37"/>
  <c r="BC7" i="37"/>
  <c r="AZ7" i="37"/>
  <c r="BD7" i="37"/>
  <c r="AW8" i="37"/>
  <c r="BA8" i="37"/>
  <c r="AX8" i="37"/>
  <c r="BB8" i="37"/>
  <c r="BO8" i="37"/>
  <c r="AY8" i="37"/>
  <c r="BC8" i="37"/>
  <c r="AZ8" i="37"/>
  <c r="BD8" i="37"/>
  <c r="AW9" i="37"/>
  <c r="BA9" i="37"/>
  <c r="AX9" i="37"/>
  <c r="BB9" i="37"/>
  <c r="BO9" i="37"/>
  <c r="AY9" i="37"/>
  <c r="BC9" i="37"/>
  <c r="AZ9" i="37"/>
  <c r="BD9" i="37"/>
  <c r="AW10" i="37"/>
  <c r="BA10" i="37"/>
  <c r="AX10" i="37"/>
  <c r="BB10" i="37"/>
  <c r="BO10" i="37"/>
  <c r="AY10" i="37"/>
  <c r="BC10" i="37"/>
  <c r="AZ10" i="37"/>
  <c r="BD10" i="37"/>
  <c r="AW11" i="37"/>
  <c r="BA11" i="37"/>
  <c r="AX11" i="37"/>
  <c r="BB11" i="37"/>
  <c r="BO11" i="37"/>
  <c r="AY11" i="37"/>
  <c r="BC11" i="37"/>
  <c r="AZ11" i="37"/>
  <c r="BD11" i="37"/>
  <c r="AW12" i="37"/>
  <c r="BA12" i="37"/>
  <c r="AX12" i="37"/>
  <c r="BB12" i="37"/>
  <c r="BO12" i="37"/>
  <c r="AY12" i="37"/>
  <c r="BC12" i="37"/>
  <c r="AZ12" i="37"/>
  <c r="BD12" i="37"/>
  <c r="AW13" i="37"/>
  <c r="BA13" i="37"/>
  <c r="AX13" i="37"/>
  <c r="BB13" i="37"/>
  <c r="BO13" i="37"/>
  <c r="AY13" i="37"/>
  <c r="BC13" i="37"/>
  <c r="AZ13" i="37"/>
  <c r="BD13" i="37"/>
  <c r="AW14" i="37"/>
  <c r="BA14" i="37"/>
  <c r="AX14" i="37"/>
  <c r="BB14" i="37"/>
  <c r="BO14" i="37"/>
  <c r="AY14" i="37"/>
  <c r="BC14" i="37"/>
  <c r="AZ14" i="37"/>
  <c r="BD14" i="37"/>
  <c r="AW15" i="37"/>
  <c r="BA15" i="37"/>
  <c r="AX15" i="37"/>
  <c r="BB15" i="37"/>
  <c r="BO15" i="37"/>
  <c r="AY15" i="37"/>
  <c r="BC15" i="37"/>
  <c r="AZ15" i="37"/>
  <c r="BD15" i="37"/>
  <c r="AW16" i="37"/>
  <c r="BA16" i="37"/>
  <c r="AX16" i="37"/>
  <c r="BB16" i="37"/>
  <c r="BO16" i="37"/>
  <c r="AY16" i="37"/>
  <c r="BC16" i="37"/>
  <c r="AZ16" i="37"/>
  <c r="BD16" i="37"/>
  <c r="AW17" i="37"/>
  <c r="BA17" i="37"/>
  <c r="AX17" i="37"/>
  <c r="BB17" i="37"/>
  <c r="BO17" i="37"/>
  <c r="AY17" i="37"/>
  <c r="BC17" i="37"/>
  <c r="AZ17" i="37"/>
  <c r="BD17" i="37"/>
  <c r="AW18" i="37"/>
  <c r="BA18" i="37"/>
  <c r="AX18" i="37"/>
  <c r="BB18" i="37"/>
  <c r="BO18" i="37"/>
  <c r="AY18" i="37"/>
  <c r="BC18" i="37"/>
  <c r="AZ18" i="37"/>
  <c r="BD18" i="37"/>
  <c r="AW19" i="37"/>
  <c r="BA19" i="37"/>
  <c r="AX19" i="37"/>
  <c r="BB19" i="37"/>
  <c r="BO19" i="37"/>
  <c r="AY19" i="37"/>
  <c r="BC19" i="37"/>
  <c r="AZ19" i="37"/>
  <c r="BD19" i="37"/>
  <c r="AW20" i="37"/>
  <c r="BA20" i="37"/>
  <c r="AX20" i="37"/>
  <c r="BB20" i="37"/>
  <c r="BO20" i="37"/>
  <c r="AY20" i="37"/>
  <c r="BC20" i="37"/>
  <c r="AZ20" i="37"/>
  <c r="BD20" i="37"/>
  <c r="AW21" i="37"/>
  <c r="BA21" i="37"/>
  <c r="AX21" i="37"/>
  <c r="BB21" i="37"/>
  <c r="BO21" i="37"/>
  <c r="AY21" i="37"/>
  <c r="BC21" i="37"/>
  <c r="AZ21" i="37"/>
  <c r="BD21" i="37"/>
  <c r="AW22" i="37"/>
  <c r="BA22" i="37"/>
  <c r="AX22" i="37"/>
  <c r="BB22" i="37"/>
  <c r="BO22" i="37"/>
  <c r="AY22" i="37"/>
  <c r="BC22" i="37"/>
  <c r="AZ22" i="37"/>
  <c r="BD22" i="37"/>
  <c r="AW23" i="37"/>
  <c r="BA23" i="37"/>
  <c r="AX23" i="37"/>
  <c r="BB23" i="37"/>
  <c r="BO23" i="37"/>
  <c r="AY23" i="37"/>
  <c r="BC23" i="37"/>
  <c r="AZ23" i="37"/>
  <c r="BD23" i="37"/>
  <c r="AW24" i="37"/>
  <c r="BA24" i="37"/>
  <c r="AX24" i="37"/>
  <c r="BB24" i="37"/>
  <c r="BO24" i="37"/>
  <c r="AY24" i="37"/>
  <c r="BC24" i="37"/>
  <c r="AZ24" i="37"/>
  <c r="BD24" i="37"/>
  <c r="AW25" i="37"/>
  <c r="BA25" i="37"/>
  <c r="AX25" i="37"/>
  <c r="BB25" i="37"/>
  <c r="BO25" i="37"/>
  <c r="AY25" i="37"/>
  <c r="BC25" i="37"/>
  <c r="AZ25" i="37"/>
  <c r="BD25" i="37"/>
  <c r="AW26" i="37"/>
  <c r="BA26" i="37"/>
  <c r="AX26" i="37"/>
  <c r="BB26" i="37"/>
  <c r="BO26" i="37"/>
  <c r="AY26" i="37"/>
  <c r="BC26" i="37"/>
  <c r="AZ26" i="37"/>
  <c r="BD26" i="37"/>
  <c r="AW27" i="37"/>
  <c r="BA27" i="37"/>
  <c r="AX27" i="37"/>
  <c r="BB27" i="37"/>
  <c r="BO27" i="37"/>
  <c r="AY27" i="37"/>
  <c r="BC27" i="37"/>
  <c r="AZ27" i="37"/>
  <c r="BD27" i="37"/>
  <c r="AW28" i="37"/>
  <c r="BA28" i="37"/>
  <c r="AX28" i="37"/>
  <c r="BB28" i="37"/>
  <c r="BO28" i="37"/>
  <c r="AY28" i="37"/>
  <c r="BC28" i="37"/>
  <c r="AZ28" i="37"/>
  <c r="BD28" i="37"/>
  <c r="AW29" i="37"/>
  <c r="BA29" i="37"/>
  <c r="AX29" i="37"/>
  <c r="BB29" i="37"/>
  <c r="BO29" i="37"/>
  <c r="AY29" i="37"/>
  <c r="BC29" i="37"/>
  <c r="AZ29" i="37"/>
  <c r="BD29" i="37"/>
  <c r="AW30" i="37"/>
  <c r="BA30" i="37"/>
  <c r="AX30" i="37"/>
  <c r="BB30" i="37"/>
  <c r="BO30" i="37"/>
  <c r="AY30" i="37"/>
  <c r="BC30" i="37"/>
  <c r="AZ30" i="37"/>
  <c r="BD30" i="37"/>
  <c r="AW32" i="37"/>
  <c r="AW33" i="37"/>
  <c r="AW34" i="37"/>
  <c r="AW35" i="37"/>
  <c r="AW36" i="37"/>
  <c r="AW37" i="37"/>
  <c r="AW38" i="37"/>
  <c r="AW41" i="37"/>
  <c r="AW44" i="37"/>
  <c r="AW31" i="37"/>
  <c r="BA31" i="37"/>
  <c r="AX32" i="37"/>
  <c r="AX33" i="37"/>
  <c r="AX34" i="37"/>
  <c r="AX35" i="37"/>
  <c r="AX36" i="37"/>
  <c r="AX37" i="37"/>
  <c r="AX38" i="37"/>
  <c r="AX39" i="37"/>
  <c r="AX40" i="37"/>
  <c r="AX41" i="37"/>
  <c r="AX42" i="37"/>
  <c r="AX43" i="37"/>
  <c r="AX44" i="37"/>
  <c r="AX31" i="37"/>
  <c r="BB31" i="37"/>
  <c r="AY32" i="37"/>
  <c r="AY33" i="37"/>
  <c r="AY34" i="37"/>
  <c r="AY35" i="37"/>
  <c r="AY36" i="37"/>
  <c r="AY37" i="37"/>
  <c r="AY38" i="37"/>
  <c r="AY41" i="37"/>
  <c r="AY44" i="37"/>
  <c r="AY31" i="37"/>
  <c r="BC31" i="37"/>
  <c r="AZ32" i="37"/>
  <c r="AZ35" i="37"/>
  <c r="AZ31" i="37"/>
  <c r="BD31" i="37"/>
  <c r="BA33" i="37"/>
  <c r="BB33" i="37"/>
  <c r="BC33" i="37"/>
  <c r="AZ33" i="37"/>
  <c r="BD33" i="37"/>
  <c r="BA34" i="37"/>
  <c r="BB34" i="37"/>
  <c r="BC34" i="37"/>
  <c r="AZ34" i="37"/>
  <c r="BD34" i="37"/>
  <c r="BA35" i="37"/>
  <c r="BB35" i="37"/>
  <c r="BC35" i="37"/>
  <c r="BD35" i="37"/>
  <c r="BA36" i="37"/>
  <c r="BB36" i="37"/>
  <c r="BC36" i="37"/>
  <c r="AZ36" i="37"/>
  <c r="BD36" i="37"/>
  <c r="BA37" i="37"/>
  <c r="BB37" i="37"/>
  <c r="BC37" i="37"/>
  <c r="AZ37" i="37"/>
  <c r="BD37" i="37"/>
  <c r="BA38" i="37"/>
  <c r="BB38" i="37"/>
  <c r="BC38" i="37"/>
  <c r="AZ38" i="37"/>
  <c r="BD38" i="37"/>
  <c r="AW39" i="37"/>
  <c r="BA39" i="37"/>
  <c r="BB39" i="37"/>
  <c r="AY39" i="37"/>
  <c r="BC39" i="37"/>
  <c r="AZ39" i="37"/>
  <c r="BD39" i="37"/>
  <c r="AW40" i="37"/>
  <c r="BA40" i="37"/>
  <c r="BB40" i="37"/>
  <c r="AY40" i="37"/>
  <c r="BC40" i="37"/>
  <c r="AZ40" i="37"/>
  <c r="BD40" i="37"/>
  <c r="BA41" i="37"/>
  <c r="BB41" i="37"/>
  <c r="BC41" i="37"/>
  <c r="AZ41" i="37"/>
  <c r="BD41" i="37"/>
  <c r="AW42" i="37"/>
  <c r="BA42" i="37"/>
  <c r="BB42" i="37"/>
  <c r="AY42" i="37"/>
  <c r="BC42" i="37"/>
  <c r="AZ42" i="37"/>
  <c r="BD42" i="37"/>
  <c r="AW43" i="37"/>
  <c r="BA43" i="37"/>
  <c r="BB43" i="37"/>
  <c r="AY43" i="37"/>
  <c r="BC43" i="37"/>
  <c r="AZ43" i="37"/>
  <c r="BD43" i="37"/>
  <c r="BA44" i="37"/>
  <c r="BB44" i="37"/>
  <c r="BC44" i="37"/>
  <c r="AZ44" i="37"/>
  <c r="BD44" i="37"/>
  <c r="AW46" i="37"/>
  <c r="AW47" i="37"/>
  <c r="AW45" i="37"/>
  <c r="BA45" i="37"/>
  <c r="AX46" i="37"/>
  <c r="AX47" i="37"/>
  <c r="AX45" i="37"/>
  <c r="BB45" i="37"/>
  <c r="AY46" i="37"/>
  <c r="AY47" i="37"/>
  <c r="AY45" i="37"/>
  <c r="BC45" i="37"/>
  <c r="AZ46" i="37"/>
  <c r="AZ47" i="37"/>
  <c r="AZ45" i="37"/>
  <c r="BD45" i="37"/>
  <c r="BA46" i="37"/>
  <c r="BB46" i="37"/>
  <c r="BC46" i="37"/>
  <c r="BD46" i="37"/>
  <c r="BA47" i="37"/>
  <c r="BB47" i="37"/>
  <c r="BC47" i="37"/>
  <c r="BD47" i="37"/>
  <c r="AW49" i="37"/>
  <c r="AW52" i="37"/>
  <c r="AW54" i="37"/>
  <c r="AW58" i="37"/>
  <c r="AW59" i="37"/>
  <c r="AW61" i="37"/>
  <c r="AW48" i="37"/>
  <c r="BA48" i="37"/>
  <c r="AX49" i="37"/>
  <c r="AX50" i="37"/>
  <c r="AX51" i="37"/>
  <c r="AX52" i="37"/>
  <c r="AX53" i="37"/>
  <c r="AX54" i="37"/>
  <c r="AX55" i="37"/>
  <c r="AX56" i="37"/>
  <c r="AX57" i="37"/>
  <c r="AX58" i="37"/>
  <c r="AX59" i="37"/>
  <c r="AX60" i="37"/>
  <c r="AX61" i="37"/>
  <c r="AX62" i="37"/>
  <c r="AX48" i="37"/>
  <c r="BB48" i="37"/>
  <c r="AY49" i="37"/>
  <c r="AY52" i="37"/>
  <c r="AY54" i="37"/>
  <c r="AY58" i="37"/>
  <c r="AY59" i="37"/>
  <c r="AY61" i="37"/>
  <c r="AY48" i="37"/>
  <c r="BC48" i="37"/>
  <c r="AZ61" i="37"/>
  <c r="AZ48" i="37"/>
  <c r="BD48" i="37"/>
  <c r="BA49" i="37"/>
  <c r="BB49" i="37"/>
  <c r="BC49" i="37"/>
  <c r="AZ49" i="37"/>
  <c r="BD49" i="37"/>
  <c r="AW50" i="37"/>
  <c r="BA50" i="37"/>
  <c r="BB50" i="37"/>
  <c r="AY50" i="37"/>
  <c r="BC50" i="37"/>
  <c r="AZ50" i="37"/>
  <c r="BD50" i="37"/>
  <c r="AW51" i="37"/>
  <c r="BA51" i="37"/>
  <c r="BB51" i="37"/>
  <c r="AY51" i="37"/>
  <c r="BC51" i="37"/>
  <c r="AZ51" i="37"/>
  <c r="BD51" i="37"/>
  <c r="BA52" i="37"/>
  <c r="BB52" i="37"/>
  <c r="BC52" i="37"/>
  <c r="AZ52" i="37"/>
  <c r="BD52" i="37"/>
  <c r="AW53" i="37"/>
  <c r="BA53" i="37"/>
  <c r="BB53" i="37"/>
  <c r="AY53" i="37"/>
  <c r="BC53" i="37"/>
  <c r="AZ53" i="37"/>
  <c r="BD53" i="37"/>
  <c r="BA54" i="37"/>
  <c r="BB54" i="37"/>
  <c r="BC54" i="37"/>
  <c r="AZ54" i="37"/>
  <c r="BD54" i="37"/>
  <c r="AW55" i="37"/>
  <c r="BA55" i="37"/>
  <c r="BB55" i="37"/>
  <c r="AY55" i="37"/>
  <c r="BC55" i="37"/>
  <c r="AZ55" i="37"/>
  <c r="BD55" i="37"/>
  <c r="AW56" i="37"/>
  <c r="BA56" i="37"/>
  <c r="BB56" i="37"/>
  <c r="AY56" i="37"/>
  <c r="BC56" i="37"/>
  <c r="AZ56" i="37"/>
  <c r="BD56" i="37"/>
  <c r="AW57" i="37"/>
  <c r="BA57" i="37"/>
  <c r="BB57" i="37"/>
  <c r="AY57" i="37"/>
  <c r="BC57" i="37"/>
  <c r="AZ57" i="37"/>
  <c r="BD57" i="37"/>
  <c r="BA58" i="37"/>
  <c r="BB58" i="37"/>
  <c r="BC58" i="37"/>
  <c r="AZ58" i="37"/>
  <c r="BD58" i="37"/>
  <c r="BA59" i="37"/>
  <c r="BB59" i="37"/>
  <c r="BC59" i="37"/>
  <c r="AZ59" i="37"/>
  <c r="BD59" i="37"/>
  <c r="AW60" i="37"/>
  <c r="BA60" i="37"/>
  <c r="BB60" i="37"/>
  <c r="AY60" i="37"/>
  <c r="BC60" i="37"/>
  <c r="AZ60" i="37"/>
  <c r="BD60" i="37"/>
  <c r="BA61" i="37"/>
  <c r="BB61" i="37"/>
  <c r="BC61" i="37"/>
  <c r="BD61" i="37"/>
  <c r="AW62" i="37"/>
  <c r="BA62" i="37"/>
  <c r="BB62" i="37"/>
  <c r="AY62" i="37"/>
  <c r="BC62" i="37"/>
  <c r="AZ62" i="37"/>
  <c r="BD62" i="37"/>
  <c r="AW66" i="37"/>
  <c r="AW68" i="37"/>
  <c r="AW72" i="37"/>
  <c r="AW73" i="37"/>
  <c r="AW75" i="37"/>
  <c r="AW63" i="37"/>
  <c r="BA63" i="37"/>
  <c r="AX64" i="37"/>
  <c r="AX65" i="37"/>
  <c r="AX66" i="37"/>
  <c r="AX67" i="37"/>
  <c r="AX68" i="37"/>
  <c r="AX69" i="37"/>
  <c r="AX70" i="37"/>
  <c r="AX71" i="37"/>
  <c r="AX72" i="37"/>
  <c r="AX73" i="37"/>
  <c r="AX74" i="37"/>
  <c r="AX75" i="37"/>
  <c r="AX76" i="37"/>
  <c r="AX63" i="37"/>
  <c r="BB63" i="37"/>
  <c r="AY66" i="37"/>
  <c r="AY68" i="37"/>
  <c r="AY72" i="37"/>
  <c r="AY73" i="37"/>
  <c r="AY75" i="37"/>
  <c r="AY63" i="37"/>
  <c r="BC63" i="37"/>
  <c r="AZ75" i="37"/>
  <c r="AZ63" i="37"/>
  <c r="BD63" i="37"/>
  <c r="AW64" i="37"/>
  <c r="BA64" i="37"/>
  <c r="BB64" i="37"/>
  <c r="AY64" i="37"/>
  <c r="BC64" i="37"/>
  <c r="AZ64" i="37"/>
  <c r="BD64" i="37"/>
  <c r="AW65" i="37"/>
  <c r="BA65" i="37"/>
  <c r="BB65" i="37"/>
  <c r="AY65" i="37"/>
  <c r="BC65" i="37"/>
  <c r="AZ65" i="37"/>
  <c r="BD65" i="37"/>
  <c r="BA66" i="37"/>
  <c r="BB66" i="37"/>
  <c r="BC66" i="37"/>
  <c r="AZ66" i="37"/>
  <c r="BD66" i="37"/>
  <c r="AW67" i="37"/>
  <c r="BA67" i="37"/>
  <c r="BB67" i="37"/>
  <c r="AY67" i="37"/>
  <c r="BC67" i="37"/>
  <c r="AZ67" i="37"/>
  <c r="BD67" i="37"/>
  <c r="BA68" i="37"/>
  <c r="BB68" i="37"/>
  <c r="BC68" i="37"/>
  <c r="AZ68" i="37"/>
  <c r="BD68" i="37"/>
  <c r="AW69" i="37"/>
  <c r="BA69" i="37"/>
  <c r="BB69" i="37"/>
  <c r="AY69" i="37"/>
  <c r="BC69" i="37"/>
  <c r="AZ69" i="37"/>
  <c r="BD69" i="37"/>
  <c r="AW70" i="37"/>
  <c r="BA70" i="37"/>
  <c r="BB70" i="37"/>
  <c r="AY70" i="37"/>
  <c r="BC70" i="37"/>
  <c r="AZ70" i="37"/>
  <c r="BD70" i="37"/>
  <c r="AW71" i="37"/>
  <c r="BA71" i="37"/>
  <c r="BB71" i="37"/>
  <c r="AY71" i="37"/>
  <c r="BC71" i="37"/>
  <c r="AZ71" i="37"/>
  <c r="BD71" i="37"/>
  <c r="BA72" i="37"/>
  <c r="BB72" i="37"/>
  <c r="BC72" i="37"/>
  <c r="AZ72" i="37"/>
  <c r="BD72" i="37"/>
  <c r="BA73" i="37"/>
  <c r="BB73" i="37"/>
  <c r="BC73" i="37"/>
  <c r="AZ73" i="37"/>
  <c r="BD73" i="37"/>
  <c r="AW74" i="37"/>
  <c r="BA74" i="37"/>
  <c r="BB74" i="37"/>
  <c r="AY74" i="37"/>
  <c r="BC74" i="37"/>
  <c r="AZ74" i="37"/>
  <c r="BD74" i="37"/>
  <c r="BA75" i="37"/>
  <c r="BB75" i="37"/>
  <c r="BC75" i="37"/>
  <c r="BD75" i="37"/>
  <c r="AW76" i="37"/>
  <c r="BA76" i="37"/>
  <c r="BB76" i="37"/>
  <c r="AY76" i="37"/>
  <c r="BC76" i="37"/>
  <c r="AZ76" i="37"/>
  <c r="BD76" i="37"/>
  <c r="BB32" i="37"/>
  <c r="BC32" i="37"/>
  <c r="BD32" i="37"/>
  <c r="BA32" i="37"/>
  <c r="BE32" i="37"/>
  <c r="BE30" i="37"/>
  <c r="BE33" i="37"/>
  <c r="BE34" i="37"/>
  <c r="BE35" i="37"/>
  <c r="BE36" i="37"/>
  <c r="BE37" i="37"/>
  <c r="BE38" i="37"/>
  <c r="BE39" i="37"/>
  <c r="BE40" i="37"/>
  <c r="BE41" i="37"/>
  <c r="BE42" i="37"/>
  <c r="BE43" i="37"/>
  <c r="BE44" i="37"/>
  <c r="BE31" i="37"/>
  <c r="D25" i="37"/>
  <c r="D64" i="37"/>
  <c r="I64" i="37"/>
  <c r="E25" i="37"/>
  <c r="E64" i="37"/>
  <c r="J64" i="37"/>
  <c r="F25" i="37"/>
  <c r="F64" i="37"/>
  <c r="K64" i="37"/>
  <c r="G25" i="37"/>
  <c r="G64" i="37"/>
  <c r="L64" i="37"/>
  <c r="H25" i="37"/>
  <c r="H64" i="37"/>
  <c r="M64" i="37"/>
  <c r="N64" i="37"/>
  <c r="D21" i="37"/>
  <c r="D65" i="37"/>
  <c r="I65" i="37"/>
  <c r="E21" i="37"/>
  <c r="E65" i="37"/>
  <c r="J65" i="37"/>
  <c r="F21" i="37"/>
  <c r="F65" i="37"/>
  <c r="K65" i="37"/>
  <c r="G21" i="37"/>
  <c r="G65" i="37"/>
  <c r="L65" i="37"/>
  <c r="H21" i="37"/>
  <c r="H65" i="37"/>
  <c r="M65" i="37"/>
  <c r="N65" i="37"/>
  <c r="D17" i="37"/>
  <c r="D66" i="37"/>
  <c r="I66" i="37"/>
  <c r="E17" i="37"/>
  <c r="E66" i="37"/>
  <c r="J66" i="37"/>
  <c r="F17" i="37"/>
  <c r="F66" i="37"/>
  <c r="K66" i="37"/>
  <c r="G17" i="37"/>
  <c r="G66" i="37"/>
  <c r="L66" i="37"/>
  <c r="H17" i="37"/>
  <c r="H66" i="37"/>
  <c r="M66" i="37"/>
  <c r="N66" i="37"/>
  <c r="D9" i="37"/>
  <c r="D68" i="37"/>
  <c r="I68" i="37"/>
  <c r="E9" i="37"/>
  <c r="E68" i="37"/>
  <c r="J68" i="37"/>
  <c r="F9" i="37"/>
  <c r="F68" i="37"/>
  <c r="K68" i="37"/>
  <c r="G9" i="37"/>
  <c r="G68" i="37"/>
  <c r="L68" i="37"/>
  <c r="H9" i="37"/>
  <c r="H68" i="37"/>
  <c r="M68" i="37"/>
  <c r="N68" i="37"/>
  <c r="D24" i="37"/>
  <c r="D69" i="37"/>
  <c r="I69" i="37"/>
  <c r="E24" i="37"/>
  <c r="E69" i="37"/>
  <c r="J69" i="37"/>
  <c r="F24" i="37"/>
  <c r="F69" i="37"/>
  <c r="K69" i="37"/>
  <c r="G24" i="37"/>
  <c r="G69" i="37"/>
  <c r="L69" i="37"/>
  <c r="H24" i="37"/>
  <c r="H69" i="37"/>
  <c r="M69" i="37"/>
  <c r="N69" i="37"/>
  <c r="D20" i="37"/>
  <c r="D70" i="37"/>
  <c r="I70" i="37"/>
  <c r="E20" i="37"/>
  <c r="E70" i="37"/>
  <c r="J70" i="37"/>
  <c r="F20" i="37"/>
  <c r="F70" i="37"/>
  <c r="K70" i="37"/>
  <c r="G20" i="37"/>
  <c r="G70" i="37"/>
  <c r="L70" i="37"/>
  <c r="H20" i="37"/>
  <c r="H70" i="37"/>
  <c r="M70" i="37"/>
  <c r="N70" i="37"/>
  <c r="D29" i="37"/>
  <c r="D71" i="37"/>
  <c r="I71" i="37"/>
  <c r="E29" i="37"/>
  <c r="E71" i="37"/>
  <c r="J71" i="37"/>
  <c r="F29" i="37"/>
  <c r="F71" i="37"/>
  <c r="K71" i="37"/>
  <c r="G29" i="37"/>
  <c r="G71" i="37"/>
  <c r="L71" i="37"/>
  <c r="H29" i="37"/>
  <c r="H71" i="37"/>
  <c r="M71" i="37"/>
  <c r="N71" i="37"/>
  <c r="D16" i="37"/>
  <c r="D72" i="37"/>
  <c r="I72" i="37"/>
  <c r="E16" i="37"/>
  <c r="E72" i="37"/>
  <c r="J72" i="37"/>
  <c r="F16" i="37"/>
  <c r="F72" i="37"/>
  <c r="K72" i="37"/>
  <c r="G16" i="37"/>
  <c r="G72" i="37"/>
  <c r="L72" i="37"/>
  <c r="H16" i="37"/>
  <c r="H72" i="37"/>
  <c r="M72" i="37"/>
  <c r="N72" i="37"/>
  <c r="D7" i="37"/>
  <c r="D73" i="37"/>
  <c r="I73" i="37"/>
  <c r="E7" i="37"/>
  <c r="E73" i="37"/>
  <c r="J73" i="37"/>
  <c r="F7" i="37"/>
  <c r="F73" i="37"/>
  <c r="K73" i="37"/>
  <c r="G7" i="37"/>
  <c r="G73" i="37"/>
  <c r="L73" i="37"/>
  <c r="H7" i="37"/>
  <c r="H73" i="37"/>
  <c r="M73" i="37"/>
  <c r="N73" i="37"/>
  <c r="D12" i="37"/>
  <c r="D74" i="37"/>
  <c r="I74" i="37"/>
  <c r="E12" i="37"/>
  <c r="E74" i="37"/>
  <c r="J74" i="37"/>
  <c r="F12" i="37"/>
  <c r="F74" i="37"/>
  <c r="K74" i="37"/>
  <c r="G12" i="37"/>
  <c r="G74" i="37"/>
  <c r="L74" i="37"/>
  <c r="H12" i="37"/>
  <c r="H74" i="37"/>
  <c r="M74" i="37"/>
  <c r="N74" i="37"/>
  <c r="D18" i="37"/>
  <c r="D75" i="37"/>
  <c r="I75" i="37"/>
  <c r="E18" i="37"/>
  <c r="E75" i="37"/>
  <c r="J75" i="37"/>
  <c r="F18" i="37"/>
  <c r="F75" i="37"/>
  <c r="K75" i="37"/>
  <c r="G18" i="37"/>
  <c r="G75" i="37"/>
  <c r="L75" i="37"/>
  <c r="H18" i="37"/>
  <c r="H75" i="37"/>
  <c r="M75" i="37"/>
  <c r="N75" i="37"/>
  <c r="D27" i="37"/>
  <c r="D76" i="37"/>
  <c r="I76" i="37"/>
  <c r="E27" i="37"/>
  <c r="E76" i="37"/>
  <c r="J76" i="37"/>
  <c r="F27" i="37"/>
  <c r="F76" i="37"/>
  <c r="K76" i="37"/>
  <c r="G27" i="37"/>
  <c r="G76" i="37"/>
  <c r="L76" i="37"/>
  <c r="H27" i="37"/>
  <c r="H76" i="37"/>
  <c r="M76" i="37"/>
  <c r="N76" i="37"/>
  <c r="N63" i="37"/>
  <c r="D23" i="37"/>
  <c r="D49" i="37"/>
  <c r="I49" i="37"/>
  <c r="E23" i="37"/>
  <c r="E49" i="37"/>
  <c r="J49" i="37"/>
  <c r="F23" i="37"/>
  <c r="F49" i="37"/>
  <c r="K49" i="37"/>
  <c r="G23" i="37"/>
  <c r="G49" i="37"/>
  <c r="L49" i="37"/>
  <c r="H23" i="37"/>
  <c r="H49" i="37"/>
  <c r="M49" i="37"/>
  <c r="N49" i="37"/>
  <c r="D50" i="37"/>
  <c r="I50" i="37"/>
  <c r="E50" i="37"/>
  <c r="J50" i="37"/>
  <c r="F50" i="37"/>
  <c r="K50" i="37"/>
  <c r="G50" i="37"/>
  <c r="L50" i="37"/>
  <c r="H50" i="37"/>
  <c r="M50" i="37"/>
  <c r="N50" i="37"/>
  <c r="D51" i="37"/>
  <c r="I51" i="37"/>
  <c r="E51" i="37"/>
  <c r="J51" i="37"/>
  <c r="F51" i="37"/>
  <c r="K51" i="37"/>
  <c r="G51" i="37"/>
  <c r="L51" i="37"/>
  <c r="H51" i="37"/>
  <c r="M51" i="37"/>
  <c r="N51" i="37"/>
  <c r="D52" i="37"/>
  <c r="I52" i="37"/>
  <c r="E52" i="37"/>
  <c r="J52" i="37"/>
  <c r="F52" i="37"/>
  <c r="K52" i="37"/>
  <c r="G52" i="37"/>
  <c r="L52" i="37"/>
  <c r="H52" i="37"/>
  <c r="M52" i="37"/>
  <c r="N52" i="37"/>
  <c r="D54" i="37"/>
  <c r="I54" i="37"/>
  <c r="E54" i="37"/>
  <c r="J54" i="37"/>
  <c r="F54" i="37"/>
  <c r="K54" i="37"/>
  <c r="G54" i="37"/>
  <c r="L54" i="37"/>
  <c r="H54" i="37"/>
  <c r="M54" i="37"/>
  <c r="N54" i="37"/>
  <c r="D55" i="37"/>
  <c r="I55" i="37"/>
  <c r="E55" i="37"/>
  <c r="J55" i="37"/>
  <c r="F55" i="37"/>
  <c r="K55" i="37"/>
  <c r="G55" i="37"/>
  <c r="L55" i="37"/>
  <c r="H55" i="37"/>
  <c r="M55" i="37"/>
  <c r="N55" i="37"/>
  <c r="D56" i="37"/>
  <c r="I56" i="37"/>
  <c r="E56" i="37"/>
  <c r="J56" i="37"/>
  <c r="F56" i="37"/>
  <c r="K56" i="37"/>
  <c r="G56" i="37"/>
  <c r="L56" i="37"/>
  <c r="H56" i="37"/>
  <c r="M56" i="37"/>
  <c r="N56" i="37"/>
  <c r="D57" i="37"/>
  <c r="I57" i="37"/>
  <c r="E57" i="37"/>
  <c r="J57" i="37"/>
  <c r="F57" i="37"/>
  <c r="K57" i="37"/>
  <c r="G57" i="37"/>
  <c r="L57" i="37"/>
  <c r="H57" i="37"/>
  <c r="M57" i="37"/>
  <c r="N57" i="37"/>
  <c r="D58" i="37"/>
  <c r="I58" i="37"/>
  <c r="E58" i="37"/>
  <c r="J58" i="37"/>
  <c r="F58" i="37"/>
  <c r="K58" i="37"/>
  <c r="G58" i="37"/>
  <c r="L58" i="37"/>
  <c r="H58" i="37"/>
  <c r="M58" i="37"/>
  <c r="N58" i="37"/>
  <c r="D59" i="37"/>
  <c r="I59" i="37"/>
  <c r="E59" i="37"/>
  <c r="J59" i="37"/>
  <c r="F59" i="37"/>
  <c r="K59" i="37"/>
  <c r="G59" i="37"/>
  <c r="L59" i="37"/>
  <c r="H59" i="37"/>
  <c r="M59" i="37"/>
  <c r="N59" i="37"/>
  <c r="D60" i="37"/>
  <c r="I60" i="37"/>
  <c r="E60" i="37"/>
  <c r="J60" i="37"/>
  <c r="F60" i="37"/>
  <c r="K60" i="37"/>
  <c r="G60" i="37"/>
  <c r="L60" i="37"/>
  <c r="H60" i="37"/>
  <c r="M60" i="37"/>
  <c r="N60" i="37"/>
  <c r="D61" i="37"/>
  <c r="I61" i="37"/>
  <c r="E61" i="37"/>
  <c r="J61" i="37"/>
  <c r="F61" i="37"/>
  <c r="K61" i="37"/>
  <c r="G61" i="37"/>
  <c r="L61" i="37"/>
  <c r="H61" i="37"/>
  <c r="M61" i="37"/>
  <c r="N61" i="37"/>
  <c r="D62" i="37"/>
  <c r="I62" i="37"/>
  <c r="E62" i="37"/>
  <c r="J62" i="37"/>
  <c r="F62" i="37"/>
  <c r="K62" i="37"/>
  <c r="G62" i="37"/>
  <c r="L62" i="37"/>
  <c r="H62" i="37"/>
  <c r="M62" i="37"/>
  <c r="N62" i="37"/>
  <c r="N48" i="37"/>
  <c r="D10" i="37"/>
  <c r="D46" i="37"/>
  <c r="I46" i="37"/>
  <c r="E10" i="37"/>
  <c r="E46" i="37"/>
  <c r="J46" i="37"/>
  <c r="F10" i="37"/>
  <c r="F46" i="37"/>
  <c r="K46" i="37"/>
  <c r="G10" i="37"/>
  <c r="G46" i="37"/>
  <c r="L46" i="37"/>
  <c r="H10" i="37"/>
  <c r="H46" i="37"/>
  <c r="M46" i="37"/>
  <c r="N46" i="37"/>
  <c r="D6" i="37"/>
  <c r="D47" i="37"/>
  <c r="I47" i="37"/>
  <c r="E6" i="37"/>
  <c r="E47" i="37"/>
  <c r="J47" i="37"/>
  <c r="F6" i="37"/>
  <c r="F47" i="37"/>
  <c r="K47" i="37"/>
  <c r="G6" i="37"/>
  <c r="G47" i="37"/>
  <c r="L47" i="37"/>
  <c r="H6" i="37"/>
  <c r="H47" i="37"/>
  <c r="M47" i="37"/>
  <c r="N47" i="37"/>
  <c r="N45" i="37"/>
  <c r="D3" i="37"/>
  <c r="D32" i="37"/>
  <c r="I32" i="37"/>
  <c r="E3" i="37"/>
  <c r="E32" i="37"/>
  <c r="J32" i="37"/>
  <c r="F3" i="37"/>
  <c r="F32" i="37"/>
  <c r="K32" i="37"/>
  <c r="G3" i="37"/>
  <c r="G32" i="37"/>
  <c r="L32" i="37"/>
  <c r="H3" i="37"/>
  <c r="H32" i="37"/>
  <c r="M32" i="37"/>
  <c r="N32" i="37"/>
  <c r="D13" i="37"/>
  <c r="D33" i="37"/>
  <c r="I33" i="37"/>
  <c r="E13" i="37"/>
  <c r="E33" i="37"/>
  <c r="J33" i="37"/>
  <c r="F13" i="37"/>
  <c r="F33" i="37"/>
  <c r="K33" i="37"/>
  <c r="G13" i="37"/>
  <c r="G33" i="37"/>
  <c r="L33" i="37"/>
  <c r="H13" i="37"/>
  <c r="H33" i="37"/>
  <c r="M33" i="37"/>
  <c r="N33" i="37"/>
  <c r="D14" i="37"/>
  <c r="D34" i="37"/>
  <c r="I34" i="37"/>
  <c r="E14" i="37"/>
  <c r="E34" i="37"/>
  <c r="J34" i="37"/>
  <c r="F14" i="37"/>
  <c r="F34" i="37"/>
  <c r="K34" i="37"/>
  <c r="G14" i="37"/>
  <c r="G34" i="37"/>
  <c r="L34" i="37"/>
  <c r="H14" i="37"/>
  <c r="H34" i="37"/>
  <c r="M34" i="37"/>
  <c r="N34" i="37"/>
  <c r="D30" i="37"/>
  <c r="D35" i="37"/>
  <c r="I35" i="37"/>
  <c r="E30" i="37"/>
  <c r="E35" i="37"/>
  <c r="J35" i="37"/>
  <c r="F30" i="37"/>
  <c r="F35" i="37"/>
  <c r="K35" i="37"/>
  <c r="G30" i="37"/>
  <c r="G35" i="37"/>
  <c r="L35" i="37"/>
  <c r="H30" i="37"/>
  <c r="H35" i="37"/>
  <c r="M35" i="37"/>
  <c r="N35" i="37"/>
  <c r="D26" i="37"/>
  <c r="D36" i="37"/>
  <c r="I36" i="37"/>
  <c r="E26" i="37"/>
  <c r="E36" i="37"/>
  <c r="J36" i="37"/>
  <c r="F26" i="37"/>
  <c r="F36" i="37"/>
  <c r="K36" i="37"/>
  <c r="G26" i="37"/>
  <c r="G36" i="37"/>
  <c r="L36" i="37"/>
  <c r="H26" i="37"/>
  <c r="H36" i="37"/>
  <c r="M36" i="37"/>
  <c r="N36" i="37"/>
  <c r="D22" i="37"/>
  <c r="D37" i="37"/>
  <c r="I37" i="37"/>
  <c r="E22" i="37"/>
  <c r="E37" i="37"/>
  <c r="J37" i="37"/>
  <c r="F22" i="37"/>
  <c r="F37" i="37"/>
  <c r="K37" i="37"/>
  <c r="G22" i="37"/>
  <c r="G37" i="37"/>
  <c r="L37" i="37"/>
  <c r="H22" i="37"/>
  <c r="H37" i="37"/>
  <c r="M37" i="37"/>
  <c r="N37" i="37"/>
  <c r="D2" i="37"/>
  <c r="D38" i="37"/>
  <c r="I38" i="37"/>
  <c r="E2" i="37"/>
  <c r="E38" i="37"/>
  <c r="J38" i="37"/>
  <c r="F2" i="37"/>
  <c r="F38" i="37"/>
  <c r="K38" i="37"/>
  <c r="G2" i="37"/>
  <c r="G38" i="37"/>
  <c r="L38" i="37"/>
  <c r="H2" i="37"/>
  <c r="H38" i="37"/>
  <c r="M38" i="37"/>
  <c r="N38" i="37"/>
  <c r="D11" i="37"/>
  <c r="D39" i="37"/>
  <c r="I39" i="37"/>
  <c r="E11" i="37"/>
  <c r="E39" i="37"/>
  <c r="J39" i="37"/>
  <c r="F11" i="37"/>
  <c r="F39" i="37"/>
  <c r="K39" i="37"/>
  <c r="G11" i="37"/>
  <c r="G39" i="37"/>
  <c r="L39" i="37"/>
  <c r="H11" i="37"/>
  <c r="H39" i="37"/>
  <c r="M39" i="37"/>
  <c r="N39" i="37"/>
  <c r="D4" i="37"/>
  <c r="D40" i="37"/>
  <c r="I40" i="37"/>
  <c r="E4" i="37"/>
  <c r="E40" i="37"/>
  <c r="J40" i="37"/>
  <c r="F4" i="37"/>
  <c r="F40" i="37"/>
  <c r="K40" i="37"/>
  <c r="G4" i="37"/>
  <c r="G40" i="37"/>
  <c r="L40" i="37"/>
  <c r="H4" i="37"/>
  <c r="H40" i="37"/>
  <c r="M40" i="37"/>
  <c r="N40" i="37"/>
  <c r="D8" i="37"/>
  <c r="D41" i="37"/>
  <c r="I41" i="37"/>
  <c r="E8" i="37"/>
  <c r="E41" i="37"/>
  <c r="J41" i="37"/>
  <c r="F8" i="37"/>
  <c r="F41" i="37"/>
  <c r="K41" i="37"/>
  <c r="G8" i="37"/>
  <c r="G41" i="37"/>
  <c r="L41" i="37"/>
  <c r="H8" i="37"/>
  <c r="H41" i="37"/>
  <c r="M41" i="37"/>
  <c r="N41" i="37"/>
  <c r="D19" i="37"/>
  <c r="D42" i="37"/>
  <c r="I42" i="37"/>
  <c r="E19" i="37"/>
  <c r="E42" i="37"/>
  <c r="J42" i="37"/>
  <c r="F19" i="37"/>
  <c r="F42" i="37"/>
  <c r="K42" i="37"/>
  <c r="G19" i="37"/>
  <c r="G42" i="37"/>
  <c r="L42" i="37"/>
  <c r="H19" i="37"/>
  <c r="H42" i="37"/>
  <c r="M42" i="37"/>
  <c r="N42" i="37"/>
  <c r="D28" i="37"/>
  <c r="D43" i="37"/>
  <c r="I43" i="37"/>
  <c r="E28" i="37"/>
  <c r="E43" i="37"/>
  <c r="J43" i="37"/>
  <c r="F28" i="37"/>
  <c r="F43" i="37"/>
  <c r="K43" i="37"/>
  <c r="G28" i="37"/>
  <c r="G43" i="37"/>
  <c r="L43" i="37"/>
  <c r="H28" i="37"/>
  <c r="H43" i="37"/>
  <c r="M43" i="37"/>
  <c r="N43" i="37"/>
  <c r="D15" i="37"/>
  <c r="D44" i="37"/>
  <c r="I44" i="37"/>
  <c r="E15" i="37"/>
  <c r="E44" i="37"/>
  <c r="J44" i="37"/>
  <c r="F15" i="37"/>
  <c r="F44" i="37"/>
  <c r="K44" i="37"/>
  <c r="G15" i="37"/>
  <c r="G44" i="37"/>
  <c r="L44" i="37"/>
  <c r="H15" i="37"/>
  <c r="H44" i="37"/>
  <c r="M44" i="37"/>
  <c r="N44" i="37"/>
  <c r="N31" i="37"/>
  <c r="BE75" i="37"/>
  <c r="BE74" i="37"/>
  <c r="BE73" i="37"/>
  <c r="BE72" i="37"/>
  <c r="BE71" i="37"/>
  <c r="BE70" i="37"/>
  <c r="BE69" i="37"/>
  <c r="BE68" i="37"/>
  <c r="BE67" i="37"/>
  <c r="BE66" i="37"/>
  <c r="BE65" i="37"/>
  <c r="BE64" i="37"/>
  <c r="BE62" i="37"/>
  <c r="BE61" i="37"/>
  <c r="BE60" i="37"/>
  <c r="BE59" i="37"/>
  <c r="BE58" i="37"/>
  <c r="BE57" i="37"/>
  <c r="BE56" i="37"/>
  <c r="BE55" i="37"/>
  <c r="BE54" i="37"/>
  <c r="BE53" i="37"/>
  <c r="BE52" i="37"/>
  <c r="BE51" i="37"/>
  <c r="BE50" i="37"/>
  <c r="BE49" i="37"/>
  <c r="BE47" i="37"/>
  <c r="BE46" i="37"/>
  <c r="BE3" i="37"/>
  <c r="BE4" i="37"/>
  <c r="BE5" i="37"/>
  <c r="BE6" i="37"/>
  <c r="BE7" i="37"/>
  <c r="BE8" i="37"/>
  <c r="BE9" i="37"/>
  <c r="BE10" i="37"/>
  <c r="BE11" i="37"/>
  <c r="BE12" i="37"/>
  <c r="BE13" i="37"/>
  <c r="BE14" i="37"/>
  <c r="BE15" i="37"/>
  <c r="BE16" i="37"/>
  <c r="BE17" i="37"/>
  <c r="BE18" i="37"/>
  <c r="BE19" i="37"/>
  <c r="BE20" i="37"/>
  <c r="BE21" i="37"/>
  <c r="BE22" i="37"/>
  <c r="BE23" i="37"/>
  <c r="BE24" i="37"/>
  <c r="BE25" i="37"/>
  <c r="BE26" i="37"/>
  <c r="BE27" i="37"/>
  <c r="BE28" i="37"/>
  <c r="BE29" i="37"/>
  <c r="BE2" i="37"/>
  <c r="BI3" i="37"/>
  <c r="BI4" i="37"/>
  <c r="BI5" i="37"/>
  <c r="BI6" i="37"/>
  <c r="BI7" i="37"/>
  <c r="BI8" i="37"/>
  <c r="BI9" i="37"/>
  <c r="BI10" i="37"/>
  <c r="BI11" i="37"/>
  <c r="BI12" i="37"/>
  <c r="BI13" i="37"/>
  <c r="BI14" i="37"/>
  <c r="BI15" i="37"/>
  <c r="BI16" i="37"/>
  <c r="BI17" i="37"/>
  <c r="BI18" i="37"/>
  <c r="BI19" i="37"/>
  <c r="BI20" i="37"/>
  <c r="BI21" i="37"/>
  <c r="BI22" i="37"/>
  <c r="BI23" i="37"/>
  <c r="BI24" i="37"/>
  <c r="BI25" i="37"/>
  <c r="BI26" i="37"/>
  <c r="BI27" i="37"/>
  <c r="BI28" i="37"/>
  <c r="BI29" i="37"/>
  <c r="BI30" i="37"/>
  <c r="BI2" i="37"/>
  <c r="O25" i="37"/>
  <c r="O64" i="37"/>
  <c r="P25" i="37"/>
  <c r="P64" i="37"/>
  <c r="Q25" i="37"/>
  <c r="Q64" i="37"/>
  <c r="R25" i="37"/>
  <c r="R64" i="37"/>
  <c r="S25" i="37"/>
  <c r="S64" i="37"/>
  <c r="O21" i="37"/>
  <c r="O65" i="37"/>
  <c r="P21" i="37"/>
  <c r="P65" i="37"/>
  <c r="Q21" i="37"/>
  <c r="Q65" i="37"/>
  <c r="R21" i="37"/>
  <c r="R65" i="37"/>
  <c r="S21" i="37"/>
  <c r="S65" i="37"/>
  <c r="O17" i="37"/>
  <c r="O66" i="37"/>
  <c r="P17" i="37"/>
  <c r="P66" i="37"/>
  <c r="Q17" i="37"/>
  <c r="Q66" i="37"/>
  <c r="R17" i="37"/>
  <c r="R66" i="37"/>
  <c r="S17" i="37"/>
  <c r="S66" i="37"/>
  <c r="O5" i="37"/>
  <c r="O67" i="37"/>
  <c r="P5" i="37"/>
  <c r="P67" i="37"/>
  <c r="Q5" i="37"/>
  <c r="Q67" i="37"/>
  <c r="R5" i="37"/>
  <c r="R67" i="37"/>
  <c r="S5" i="37"/>
  <c r="S67" i="37"/>
  <c r="O9" i="37"/>
  <c r="O68" i="37"/>
  <c r="P9" i="37"/>
  <c r="P68" i="37"/>
  <c r="Q9" i="37"/>
  <c r="Q68" i="37"/>
  <c r="R9" i="37"/>
  <c r="R68" i="37"/>
  <c r="S9" i="37"/>
  <c r="S68" i="37"/>
  <c r="O24" i="37"/>
  <c r="O69" i="37"/>
  <c r="P24" i="37"/>
  <c r="P69" i="37"/>
  <c r="Q24" i="37"/>
  <c r="Q69" i="37"/>
  <c r="R24" i="37"/>
  <c r="R69" i="37"/>
  <c r="S24" i="37"/>
  <c r="S69" i="37"/>
  <c r="O20" i="37"/>
  <c r="O70" i="37"/>
  <c r="P20" i="37"/>
  <c r="P70" i="37"/>
  <c r="Q20" i="37"/>
  <c r="Q70" i="37"/>
  <c r="R20" i="37"/>
  <c r="R70" i="37"/>
  <c r="S20" i="37"/>
  <c r="S70" i="37"/>
  <c r="O29" i="37"/>
  <c r="O71" i="37"/>
  <c r="P29" i="37"/>
  <c r="P71" i="37"/>
  <c r="Q29" i="37"/>
  <c r="Q71" i="37"/>
  <c r="R29" i="37"/>
  <c r="R71" i="37"/>
  <c r="S29" i="37"/>
  <c r="S71" i="37"/>
  <c r="O16" i="37"/>
  <c r="O72" i="37"/>
  <c r="P16" i="37"/>
  <c r="P72" i="37"/>
  <c r="Q16" i="37"/>
  <c r="Q72" i="37"/>
  <c r="R16" i="37"/>
  <c r="R72" i="37"/>
  <c r="S16" i="37"/>
  <c r="S72" i="37"/>
  <c r="O7" i="37"/>
  <c r="O73" i="37"/>
  <c r="P7" i="37"/>
  <c r="P73" i="37"/>
  <c r="Q7" i="37"/>
  <c r="Q73" i="37"/>
  <c r="R7" i="37"/>
  <c r="R73" i="37"/>
  <c r="S7" i="37"/>
  <c r="S73" i="37"/>
  <c r="O12" i="37"/>
  <c r="O74" i="37"/>
  <c r="P12" i="37"/>
  <c r="P74" i="37"/>
  <c r="Q12" i="37"/>
  <c r="Q74" i="37"/>
  <c r="R12" i="37"/>
  <c r="R74" i="37"/>
  <c r="S12" i="37"/>
  <c r="S74" i="37"/>
  <c r="O18" i="37"/>
  <c r="O75" i="37"/>
  <c r="P18" i="37"/>
  <c r="P75" i="37"/>
  <c r="Q18" i="37"/>
  <c r="Q75" i="37"/>
  <c r="R18" i="37"/>
  <c r="R75" i="37"/>
  <c r="S18" i="37"/>
  <c r="S75" i="37"/>
  <c r="O27" i="37"/>
  <c r="O76" i="37"/>
  <c r="P27" i="37"/>
  <c r="P76" i="37"/>
  <c r="Q27" i="37"/>
  <c r="Q76" i="37"/>
  <c r="R27" i="37"/>
  <c r="R76" i="37"/>
  <c r="S27" i="37"/>
  <c r="S76" i="37"/>
  <c r="Y63" i="37"/>
  <c r="O23" i="37"/>
  <c r="O49" i="37"/>
  <c r="P23" i="37"/>
  <c r="P49" i="37"/>
  <c r="Q23" i="37"/>
  <c r="Q49" i="37"/>
  <c r="R23" i="37"/>
  <c r="R49" i="37"/>
  <c r="S23" i="37"/>
  <c r="S49" i="37"/>
  <c r="O50" i="37"/>
  <c r="P50" i="37"/>
  <c r="Q50" i="37"/>
  <c r="R50" i="37"/>
  <c r="S50" i="37"/>
  <c r="O51" i="37"/>
  <c r="P51" i="37"/>
  <c r="Q51" i="37"/>
  <c r="R51" i="37"/>
  <c r="S51" i="37"/>
  <c r="O52" i="37"/>
  <c r="P52" i="37"/>
  <c r="Q52" i="37"/>
  <c r="R52" i="37"/>
  <c r="S52" i="37"/>
  <c r="O53" i="37"/>
  <c r="P53" i="37"/>
  <c r="Q53" i="37"/>
  <c r="R53" i="37"/>
  <c r="S53" i="37"/>
  <c r="O54" i="37"/>
  <c r="P54" i="37"/>
  <c r="Q54" i="37"/>
  <c r="R54" i="37"/>
  <c r="S54" i="37"/>
  <c r="O55" i="37"/>
  <c r="P55" i="37"/>
  <c r="Q55" i="37"/>
  <c r="R55" i="37"/>
  <c r="S55" i="37"/>
  <c r="O56" i="37"/>
  <c r="P56" i="37"/>
  <c r="Q56" i="37"/>
  <c r="R56" i="37"/>
  <c r="S56" i="37"/>
  <c r="O57" i="37"/>
  <c r="P57" i="37"/>
  <c r="Q57" i="37"/>
  <c r="R57" i="37"/>
  <c r="S57" i="37"/>
  <c r="O58" i="37"/>
  <c r="P58" i="37"/>
  <c r="Q58" i="37"/>
  <c r="R58" i="37"/>
  <c r="S58" i="37"/>
  <c r="O59" i="37"/>
  <c r="P59" i="37"/>
  <c r="Q59" i="37"/>
  <c r="R59" i="37"/>
  <c r="S59" i="37"/>
  <c r="O60" i="37"/>
  <c r="P60" i="37"/>
  <c r="Q60" i="37"/>
  <c r="R60" i="37"/>
  <c r="S60" i="37"/>
  <c r="O61" i="37"/>
  <c r="P61" i="37"/>
  <c r="Q61" i="37"/>
  <c r="R61" i="37"/>
  <c r="S61" i="37"/>
  <c r="O62" i="37"/>
  <c r="P62" i="37"/>
  <c r="Q62" i="37"/>
  <c r="R62" i="37"/>
  <c r="S62" i="37"/>
  <c r="Y48" i="37"/>
  <c r="Y76" i="37"/>
  <c r="Y75" i="37"/>
  <c r="Y74" i="37"/>
  <c r="Y73" i="37"/>
  <c r="Y72" i="37"/>
  <c r="Y71" i="37"/>
  <c r="Y70" i="37"/>
  <c r="Y69" i="37"/>
  <c r="Y68" i="37"/>
  <c r="Y67" i="37"/>
  <c r="Y66" i="37"/>
  <c r="Y65" i="37"/>
  <c r="Y64" i="37"/>
  <c r="Y62" i="37"/>
  <c r="Y61" i="37"/>
  <c r="Y60" i="37"/>
  <c r="Y59" i="37"/>
  <c r="Y58" i="37"/>
  <c r="Y57" i="37"/>
  <c r="Y56" i="37"/>
  <c r="Y55" i="37"/>
  <c r="Y54" i="37"/>
  <c r="Y53" i="37"/>
  <c r="Y52" i="37"/>
  <c r="Y51" i="37"/>
  <c r="Y50" i="37"/>
  <c r="Y49" i="37"/>
  <c r="O6" i="37"/>
  <c r="O47" i="37"/>
  <c r="P6" i="37"/>
  <c r="P47" i="37"/>
  <c r="Q6" i="37"/>
  <c r="Q47" i="37"/>
  <c r="R6" i="37"/>
  <c r="R47" i="37"/>
  <c r="S6" i="37"/>
  <c r="S47" i="37"/>
  <c r="Y47" i="37"/>
  <c r="O10" i="37"/>
  <c r="O46" i="37"/>
  <c r="P10" i="37"/>
  <c r="P46" i="37"/>
  <c r="Q10" i="37"/>
  <c r="Q46" i="37"/>
  <c r="R10" i="37"/>
  <c r="R46" i="37"/>
  <c r="S10" i="37"/>
  <c r="S46" i="37"/>
  <c r="Y46" i="37"/>
  <c r="Y45" i="37"/>
  <c r="O13" i="37"/>
  <c r="O33" i="37"/>
  <c r="P13" i="37"/>
  <c r="P33" i="37"/>
  <c r="Q13" i="37"/>
  <c r="Q33" i="37"/>
  <c r="R13" i="37"/>
  <c r="R33" i="37"/>
  <c r="S13" i="37"/>
  <c r="S33" i="37"/>
  <c r="Y33" i="37"/>
  <c r="O14" i="37"/>
  <c r="O34" i="37"/>
  <c r="P14" i="37"/>
  <c r="P34" i="37"/>
  <c r="Q14" i="37"/>
  <c r="Q34" i="37"/>
  <c r="R14" i="37"/>
  <c r="R34" i="37"/>
  <c r="S14" i="37"/>
  <c r="S34" i="37"/>
  <c r="Y34" i="37"/>
  <c r="O30" i="37"/>
  <c r="O35" i="37"/>
  <c r="P30" i="37"/>
  <c r="P35" i="37"/>
  <c r="Q30" i="37"/>
  <c r="Q35" i="37"/>
  <c r="R30" i="37"/>
  <c r="R35" i="37"/>
  <c r="S30" i="37"/>
  <c r="S35" i="37"/>
  <c r="Y35" i="37"/>
  <c r="O26" i="37"/>
  <c r="O36" i="37"/>
  <c r="P26" i="37"/>
  <c r="P36" i="37"/>
  <c r="Q26" i="37"/>
  <c r="Q36" i="37"/>
  <c r="R26" i="37"/>
  <c r="R36" i="37"/>
  <c r="S26" i="37"/>
  <c r="S36" i="37"/>
  <c r="Y36" i="37"/>
  <c r="O22" i="37"/>
  <c r="O37" i="37"/>
  <c r="P22" i="37"/>
  <c r="P37" i="37"/>
  <c r="Q22" i="37"/>
  <c r="Q37" i="37"/>
  <c r="R22" i="37"/>
  <c r="R37" i="37"/>
  <c r="S22" i="37"/>
  <c r="S37" i="37"/>
  <c r="Y37" i="37"/>
  <c r="O2" i="37"/>
  <c r="O38" i="37"/>
  <c r="P2" i="37"/>
  <c r="P38" i="37"/>
  <c r="Q2" i="37"/>
  <c r="Q38" i="37"/>
  <c r="R2" i="37"/>
  <c r="R38" i="37"/>
  <c r="S2" i="37"/>
  <c r="S38" i="37"/>
  <c r="Y38" i="37"/>
  <c r="O11" i="37"/>
  <c r="O39" i="37"/>
  <c r="P11" i="37"/>
  <c r="P39" i="37"/>
  <c r="Q11" i="37"/>
  <c r="Q39" i="37"/>
  <c r="R11" i="37"/>
  <c r="R39" i="37"/>
  <c r="S11" i="37"/>
  <c r="S39" i="37"/>
  <c r="Y39" i="37"/>
  <c r="O4" i="37"/>
  <c r="O40" i="37"/>
  <c r="P4" i="37"/>
  <c r="P40" i="37"/>
  <c r="Q4" i="37"/>
  <c r="Q40" i="37"/>
  <c r="R4" i="37"/>
  <c r="R40" i="37"/>
  <c r="S4" i="37"/>
  <c r="S40" i="37"/>
  <c r="Y40" i="37"/>
  <c r="O8" i="37"/>
  <c r="O41" i="37"/>
  <c r="P8" i="37"/>
  <c r="P41" i="37"/>
  <c r="Q8" i="37"/>
  <c r="Q41" i="37"/>
  <c r="R8" i="37"/>
  <c r="R41" i="37"/>
  <c r="S8" i="37"/>
  <c r="S41" i="37"/>
  <c r="Y41" i="37"/>
  <c r="O19" i="37"/>
  <c r="O42" i="37"/>
  <c r="P19" i="37"/>
  <c r="P42" i="37"/>
  <c r="Q19" i="37"/>
  <c r="Q42" i="37"/>
  <c r="R19" i="37"/>
  <c r="R42" i="37"/>
  <c r="S19" i="37"/>
  <c r="S42" i="37"/>
  <c r="Y42" i="37"/>
  <c r="O28" i="37"/>
  <c r="O43" i="37"/>
  <c r="P28" i="37"/>
  <c r="P43" i="37"/>
  <c r="Q28" i="37"/>
  <c r="Q43" i="37"/>
  <c r="R28" i="37"/>
  <c r="R43" i="37"/>
  <c r="S28" i="37"/>
  <c r="S43" i="37"/>
  <c r="Y43" i="37"/>
  <c r="O15" i="37"/>
  <c r="O44" i="37"/>
  <c r="P15" i="37"/>
  <c r="P44" i="37"/>
  <c r="Q15" i="37"/>
  <c r="Q44" i="37"/>
  <c r="R15" i="37"/>
  <c r="R44" i="37"/>
  <c r="S15" i="37"/>
  <c r="S44" i="37"/>
  <c r="Y44" i="37"/>
  <c r="O3" i="37"/>
  <c r="O32" i="37"/>
  <c r="P3" i="37"/>
  <c r="P32" i="37"/>
  <c r="Q3" i="37"/>
  <c r="Q32" i="37"/>
  <c r="R3" i="37"/>
  <c r="R32" i="37"/>
  <c r="S3" i="37"/>
  <c r="S32" i="37"/>
  <c r="Y31" i="37"/>
  <c r="Y32" i="37"/>
  <c r="F5" i="37"/>
  <c r="Z2" i="37"/>
  <c r="Z4" i="37"/>
  <c r="F31" i="37"/>
  <c r="F67" i="37"/>
  <c r="K67" i="37"/>
  <c r="D5" i="37"/>
  <c r="D67" i="37"/>
  <c r="I67" i="37"/>
  <c r="E5" i="37"/>
  <c r="E67" i="37"/>
  <c r="J67" i="37"/>
  <c r="G5" i="37"/>
  <c r="G67" i="37"/>
  <c r="L67" i="37"/>
  <c r="H5" i="37"/>
  <c r="H67" i="37"/>
  <c r="M67" i="37"/>
  <c r="N67" i="37"/>
  <c r="F63" i="37"/>
  <c r="K63" i="37"/>
  <c r="D63" i="37"/>
  <c r="I63" i="37"/>
  <c r="E63" i="37"/>
  <c r="J63" i="37"/>
  <c r="G63" i="37"/>
  <c r="L63" i="37"/>
  <c r="H63" i="37"/>
  <c r="M63" i="37"/>
  <c r="F53" i="37"/>
  <c r="K53" i="37"/>
  <c r="D53" i="37"/>
  <c r="I53" i="37"/>
  <c r="E53" i="37"/>
  <c r="J53" i="37"/>
  <c r="G53" i="37"/>
  <c r="L53" i="37"/>
  <c r="H53" i="37"/>
  <c r="M53" i="37"/>
  <c r="N53" i="37"/>
  <c r="F48" i="37"/>
  <c r="K48" i="37"/>
  <c r="D48" i="37"/>
  <c r="I48" i="37"/>
  <c r="E48" i="37"/>
  <c r="J48" i="37"/>
  <c r="G48" i="37"/>
  <c r="L48" i="37"/>
  <c r="H48" i="37"/>
  <c r="M48" i="37"/>
  <c r="F45" i="37"/>
  <c r="K45" i="37"/>
  <c r="D45" i="37"/>
  <c r="I45" i="37"/>
  <c r="E45" i="37"/>
  <c r="J45" i="37"/>
  <c r="G45" i="37"/>
  <c r="L45" i="37"/>
  <c r="H45" i="37"/>
  <c r="M45" i="37"/>
  <c r="K31" i="37"/>
  <c r="D31" i="37"/>
  <c r="I31" i="37"/>
  <c r="E31" i="37"/>
  <c r="J31" i="37"/>
  <c r="G31" i="37"/>
  <c r="L31" i="37"/>
  <c r="H31" i="37"/>
  <c r="M31" i="37"/>
  <c r="K3" i="37"/>
  <c r="I3" i="37"/>
  <c r="J3" i="37"/>
  <c r="L3" i="37"/>
  <c r="M3" i="37"/>
  <c r="N3" i="37"/>
  <c r="K4" i="37"/>
  <c r="I4" i="37"/>
  <c r="J4" i="37"/>
  <c r="L4" i="37"/>
  <c r="M4" i="37"/>
  <c r="N4" i="37"/>
  <c r="K5" i="37"/>
  <c r="I5" i="37"/>
  <c r="J5" i="37"/>
  <c r="L5" i="37"/>
  <c r="M5" i="37"/>
  <c r="N5" i="37"/>
  <c r="K6" i="37"/>
  <c r="I6" i="37"/>
  <c r="J6" i="37"/>
  <c r="L6" i="37"/>
  <c r="M6" i="37"/>
  <c r="N6" i="37"/>
  <c r="K7" i="37"/>
  <c r="I7" i="37"/>
  <c r="J7" i="37"/>
  <c r="L7" i="37"/>
  <c r="M7" i="37"/>
  <c r="N7" i="37"/>
  <c r="K8" i="37"/>
  <c r="I8" i="37"/>
  <c r="J8" i="37"/>
  <c r="L8" i="37"/>
  <c r="M8" i="37"/>
  <c r="N8" i="37"/>
  <c r="K9" i="37"/>
  <c r="I9" i="37"/>
  <c r="J9" i="37"/>
  <c r="L9" i="37"/>
  <c r="M9" i="37"/>
  <c r="N9" i="37"/>
  <c r="K10" i="37"/>
  <c r="I10" i="37"/>
  <c r="J10" i="37"/>
  <c r="L10" i="37"/>
  <c r="M10" i="37"/>
  <c r="N10" i="37"/>
  <c r="K11" i="37"/>
  <c r="I11" i="37"/>
  <c r="J11" i="37"/>
  <c r="L11" i="37"/>
  <c r="M11" i="37"/>
  <c r="N11" i="37"/>
  <c r="K12" i="37"/>
  <c r="I12" i="37"/>
  <c r="J12" i="37"/>
  <c r="L12" i="37"/>
  <c r="M12" i="37"/>
  <c r="N12" i="37"/>
  <c r="K13" i="37"/>
  <c r="I13" i="37"/>
  <c r="J13" i="37"/>
  <c r="L13" i="37"/>
  <c r="M13" i="37"/>
  <c r="N13" i="37"/>
  <c r="K14" i="37"/>
  <c r="I14" i="37"/>
  <c r="J14" i="37"/>
  <c r="L14" i="37"/>
  <c r="M14" i="37"/>
  <c r="N14" i="37"/>
  <c r="K15" i="37"/>
  <c r="I15" i="37"/>
  <c r="J15" i="37"/>
  <c r="L15" i="37"/>
  <c r="M15" i="37"/>
  <c r="N15" i="37"/>
  <c r="K16" i="37"/>
  <c r="I16" i="37"/>
  <c r="J16" i="37"/>
  <c r="L16" i="37"/>
  <c r="M16" i="37"/>
  <c r="N16" i="37"/>
  <c r="K17" i="37"/>
  <c r="I17" i="37"/>
  <c r="J17" i="37"/>
  <c r="L17" i="37"/>
  <c r="M17" i="37"/>
  <c r="N17" i="37"/>
  <c r="K18" i="37"/>
  <c r="I18" i="37"/>
  <c r="J18" i="37"/>
  <c r="L18" i="37"/>
  <c r="M18" i="37"/>
  <c r="N18" i="37"/>
  <c r="K19" i="37"/>
  <c r="I19" i="37"/>
  <c r="J19" i="37"/>
  <c r="L19" i="37"/>
  <c r="M19" i="37"/>
  <c r="N19" i="37"/>
  <c r="K20" i="37"/>
  <c r="I20" i="37"/>
  <c r="J20" i="37"/>
  <c r="L20" i="37"/>
  <c r="M20" i="37"/>
  <c r="N20" i="37"/>
  <c r="K21" i="37"/>
  <c r="I21" i="37"/>
  <c r="J21" i="37"/>
  <c r="L21" i="37"/>
  <c r="M21" i="37"/>
  <c r="N21" i="37"/>
  <c r="K22" i="37"/>
  <c r="I22" i="37"/>
  <c r="J22" i="37"/>
  <c r="L22" i="37"/>
  <c r="M22" i="37"/>
  <c r="N22" i="37"/>
  <c r="K23" i="37"/>
  <c r="I23" i="37"/>
  <c r="J23" i="37"/>
  <c r="L23" i="37"/>
  <c r="M23" i="37"/>
  <c r="N23" i="37"/>
  <c r="K24" i="37"/>
  <c r="I24" i="37"/>
  <c r="J24" i="37"/>
  <c r="L24" i="37"/>
  <c r="M24" i="37"/>
  <c r="N24" i="37"/>
  <c r="K25" i="37"/>
  <c r="I25" i="37"/>
  <c r="J25" i="37"/>
  <c r="L25" i="37"/>
  <c r="M25" i="37"/>
  <c r="N25" i="37"/>
  <c r="K26" i="37"/>
  <c r="I26" i="37"/>
  <c r="J26" i="37"/>
  <c r="L26" i="37"/>
  <c r="M26" i="37"/>
  <c r="N26" i="37"/>
  <c r="K27" i="37"/>
  <c r="I27" i="37"/>
  <c r="J27" i="37"/>
  <c r="L27" i="37"/>
  <c r="M27" i="37"/>
  <c r="N27" i="37"/>
  <c r="K28" i="37"/>
  <c r="I28" i="37"/>
  <c r="J28" i="37"/>
  <c r="L28" i="37"/>
  <c r="M28" i="37"/>
  <c r="N28" i="37"/>
  <c r="K29" i="37"/>
  <c r="I29" i="37"/>
  <c r="J29" i="37"/>
  <c r="L29" i="37"/>
  <c r="M29" i="37"/>
  <c r="N29" i="37"/>
  <c r="K30" i="37"/>
  <c r="I30" i="37"/>
  <c r="J30" i="37"/>
  <c r="L30" i="37"/>
  <c r="M30" i="37"/>
  <c r="N30" i="37"/>
  <c r="K2" i="37"/>
  <c r="I2" i="37"/>
  <c r="J2" i="37"/>
  <c r="L2" i="37"/>
  <c r="M2" i="37"/>
  <c r="N2" i="37"/>
  <c r="Q33" i="3"/>
  <c r="EK3" i="18"/>
  <c r="Q24" i="3"/>
  <c r="EL3" i="18"/>
  <c r="EM3" i="18"/>
  <c r="Q39" i="3"/>
  <c r="EN3" i="18"/>
  <c r="Q45" i="3"/>
  <c r="EO3" i="18"/>
  <c r="Q36" i="3"/>
  <c r="EP3" i="18"/>
  <c r="Q42" i="3"/>
  <c r="EQ3" i="18"/>
  <c r="EK4" i="18"/>
  <c r="EL4" i="18"/>
  <c r="EM4" i="18"/>
  <c r="EN4" i="18"/>
  <c r="EO4" i="18"/>
  <c r="EP4" i="18"/>
  <c r="EQ4" i="18"/>
  <c r="EK5" i="18"/>
  <c r="EL5" i="18"/>
  <c r="EM5" i="18"/>
  <c r="EN5" i="18"/>
  <c r="EO5" i="18"/>
  <c r="EP5" i="18"/>
  <c r="EQ5" i="18"/>
  <c r="EK6" i="18"/>
  <c r="EL6" i="18"/>
  <c r="EM6" i="18"/>
  <c r="EN6" i="18"/>
  <c r="EO6" i="18"/>
  <c r="EP6" i="18"/>
  <c r="EQ6" i="18"/>
  <c r="EK7" i="18"/>
  <c r="EL7" i="18"/>
  <c r="EM7" i="18"/>
  <c r="EN7" i="18"/>
  <c r="EO7" i="18"/>
  <c r="EP7" i="18"/>
  <c r="EQ7" i="18"/>
  <c r="EK8" i="18"/>
  <c r="EL8" i="18"/>
  <c r="EM8" i="18"/>
  <c r="EN8" i="18"/>
  <c r="EO8" i="18"/>
  <c r="EP8" i="18"/>
  <c r="EQ8" i="18"/>
  <c r="EK9" i="18"/>
  <c r="EL9" i="18"/>
  <c r="EM9" i="18"/>
  <c r="EN9" i="18"/>
  <c r="EO9" i="18"/>
  <c r="EP9" i="18"/>
  <c r="EQ9" i="18"/>
  <c r="EK10" i="18"/>
  <c r="EL10" i="18"/>
  <c r="EM10" i="18"/>
  <c r="EN10" i="18"/>
  <c r="EO10" i="18"/>
  <c r="EP10" i="18"/>
  <c r="EQ10" i="18"/>
  <c r="EK11" i="18"/>
  <c r="EL11" i="18"/>
  <c r="EM11" i="18"/>
  <c r="EN11" i="18"/>
  <c r="EO11" i="18"/>
  <c r="EP11" i="18"/>
  <c r="EQ11" i="18"/>
  <c r="EK12" i="18"/>
  <c r="EL12" i="18"/>
  <c r="EM12" i="18"/>
  <c r="EN12" i="18"/>
  <c r="EO12" i="18"/>
  <c r="EP12" i="18"/>
  <c r="EQ12" i="18"/>
  <c r="EK13" i="18"/>
  <c r="EL13" i="18"/>
  <c r="EM13" i="18"/>
  <c r="EN13" i="18"/>
  <c r="EO13" i="18"/>
  <c r="EP13" i="18"/>
  <c r="EQ13" i="18"/>
  <c r="EK14" i="18"/>
  <c r="EL14" i="18"/>
  <c r="EM14" i="18"/>
  <c r="EN14" i="18"/>
  <c r="EO14" i="18"/>
  <c r="EP14" i="18"/>
  <c r="EQ14" i="18"/>
  <c r="EK15" i="18"/>
  <c r="EL15" i="18"/>
  <c r="EM15" i="18"/>
  <c r="EN15" i="18"/>
  <c r="EO15" i="18"/>
  <c r="EP15" i="18"/>
  <c r="EQ15" i="18"/>
  <c r="EK16" i="18"/>
  <c r="EL16" i="18"/>
  <c r="EM16" i="18"/>
  <c r="EN16" i="18"/>
  <c r="EO16" i="18"/>
  <c r="EP16" i="18"/>
  <c r="EQ16" i="18"/>
  <c r="EK17" i="18"/>
  <c r="EL17" i="18"/>
  <c r="EM17" i="18"/>
  <c r="EN17" i="18"/>
  <c r="EO17" i="18"/>
  <c r="EP17" i="18"/>
  <c r="EQ17" i="18"/>
  <c r="EK18" i="18"/>
  <c r="EL18" i="18"/>
  <c r="EM18" i="18"/>
  <c r="EN18" i="18"/>
  <c r="EO18" i="18"/>
  <c r="EP18" i="18"/>
  <c r="EQ18" i="18"/>
  <c r="EK19" i="18"/>
  <c r="EL19" i="18"/>
  <c r="EM19" i="18"/>
  <c r="EN19" i="18"/>
  <c r="EO19" i="18"/>
  <c r="EP19" i="18"/>
  <c r="EQ19" i="18"/>
  <c r="EK20" i="18"/>
  <c r="EL20" i="18"/>
  <c r="EM20" i="18"/>
  <c r="EN20" i="18"/>
  <c r="EO20" i="18"/>
  <c r="EP20" i="18"/>
  <c r="EQ20" i="18"/>
  <c r="EK21" i="18"/>
  <c r="EL21" i="18"/>
  <c r="EM21" i="18"/>
  <c r="EN21" i="18"/>
  <c r="EO21" i="18"/>
  <c r="EP21" i="18"/>
  <c r="EQ21" i="18"/>
  <c r="EK22" i="18"/>
  <c r="EL22" i="18"/>
  <c r="EM22" i="18"/>
  <c r="EN22" i="18"/>
  <c r="EO22" i="18"/>
  <c r="EP22" i="18"/>
  <c r="EQ22" i="18"/>
  <c r="EK23" i="18"/>
  <c r="EL23" i="18"/>
  <c r="EM23" i="18"/>
  <c r="EN23" i="18"/>
  <c r="EO23" i="18"/>
  <c r="EP23" i="18"/>
  <c r="EQ23" i="18"/>
  <c r="EK24" i="18"/>
  <c r="EL24" i="18"/>
  <c r="EM24" i="18"/>
  <c r="EN24" i="18"/>
  <c r="EO24" i="18"/>
  <c r="EP24" i="18"/>
  <c r="EQ24" i="18"/>
  <c r="EK25" i="18"/>
  <c r="EL25" i="18"/>
  <c r="EM25" i="18"/>
  <c r="EN25" i="18"/>
  <c r="EO25" i="18"/>
  <c r="EP25" i="18"/>
  <c r="EQ25" i="18"/>
  <c r="EK26" i="18"/>
  <c r="EL26" i="18"/>
  <c r="EM26" i="18"/>
  <c r="EN26" i="18"/>
  <c r="EO26" i="18"/>
  <c r="EP26" i="18"/>
  <c r="EQ26" i="18"/>
  <c r="EK27" i="18"/>
  <c r="EL27" i="18"/>
  <c r="EM27" i="18"/>
  <c r="EN27" i="18"/>
  <c r="EO27" i="18"/>
  <c r="EP27" i="18"/>
  <c r="EQ27" i="18"/>
  <c r="EK28" i="18"/>
  <c r="EL28" i="18"/>
  <c r="EM28" i="18"/>
  <c r="EN28" i="18"/>
  <c r="EO28" i="18"/>
  <c r="EP28" i="18"/>
  <c r="EQ28" i="18"/>
  <c r="EK29" i="18"/>
  <c r="EL29" i="18"/>
  <c r="EM29" i="18"/>
  <c r="EN29" i="18"/>
  <c r="EO29" i="18"/>
  <c r="EP29" i="18"/>
  <c r="EQ29" i="18"/>
  <c r="EK30" i="18"/>
  <c r="EL30" i="18"/>
  <c r="EM30" i="18"/>
  <c r="EN30" i="18"/>
  <c r="EO30" i="18"/>
  <c r="EP30" i="18"/>
  <c r="EQ30" i="18"/>
  <c r="EQ2" i="18"/>
  <c r="EP2" i="18"/>
  <c r="EO2" i="18"/>
  <c r="EN2" i="18"/>
  <c r="EM2" i="18"/>
  <c r="EL2" i="18"/>
  <c r="EK2" i="18"/>
  <c r="CA3" i="18"/>
  <c r="CB3" i="18"/>
  <c r="CC3" i="18"/>
  <c r="CD3" i="18"/>
  <c r="CE3" i="18"/>
  <c r="CF3" i="18"/>
  <c r="CG3" i="18"/>
  <c r="CA4" i="18"/>
  <c r="CB4" i="18"/>
  <c r="CC4" i="18"/>
  <c r="CD4" i="18"/>
  <c r="CE4" i="18"/>
  <c r="CF4" i="18"/>
  <c r="CG4" i="18"/>
  <c r="CA5" i="18"/>
  <c r="CB5" i="18"/>
  <c r="CC5" i="18"/>
  <c r="CD5" i="18"/>
  <c r="CE5" i="18"/>
  <c r="CF5" i="18"/>
  <c r="CG5" i="18"/>
  <c r="CA6" i="18"/>
  <c r="CB6" i="18"/>
  <c r="CC6" i="18"/>
  <c r="CD6" i="18"/>
  <c r="CE6" i="18"/>
  <c r="CF6" i="18"/>
  <c r="CG6" i="18"/>
  <c r="CA7" i="18"/>
  <c r="CB7" i="18"/>
  <c r="CC7" i="18"/>
  <c r="CD7" i="18"/>
  <c r="CE7" i="18"/>
  <c r="CF7" i="18"/>
  <c r="CG7" i="18"/>
  <c r="CA8" i="18"/>
  <c r="CB8" i="18"/>
  <c r="CC8" i="18"/>
  <c r="CD8" i="18"/>
  <c r="CE8" i="18"/>
  <c r="CF8" i="18"/>
  <c r="CG8" i="18"/>
  <c r="CA9" i="18"/>
  <c r="CB9" i="18"/>
  <c r="CC9" i="18"/>
  <c r="CD9" i="18"/>
  <c r="CE9" i="18"/>
  <c r="CF9" i="18"/>
  <c r="CG9" i="18"/>
  <c r="CA10" i="18"/>
  <c r="CB10" i="18"/>
  <c r="CC10" i="18"/>
  <c r="CD10" i="18"/>
  <c r="CE10" i="18"/>
  <c r="CF10" i="18"/>
  <c r="CG10" i="18"/>
  <c r="CA11" i="18"/>
  <c r="CB11" i="18"/>
  <c r="CC11" i="18"/>
  <c r="CD11" i="18"/>
  <c r="CE11" i="18"/>
  <c r="CF11" i="18"/>
  <c r="CG11" i="18"/>
  <c r="CA12" i="18"/>
  <c r="CB12" i="18"/>
  <c r="CC12" i="18"/>
  <c r="CD12" i="18"/>
  <c r="CE12" i="18"/>
  <c r="CF12" i="18"/>
  <c r="CG12" i="18"/>
  <c r="CA13" i="18"/>
  <c r="CB13" i="18"/>
  <c r="CC13" i="18"/>
  <c r="CD13" i="18"/>
  <c r="CE13" i="18"/>
  <c r="CF13" i="18"/>
  <c r="CG13" i="18"/>
  <c r="CA14" i="18"/>
  <c r="CB14" i="18"/>
  <c r="CC14" i="18"/>
  <c r="CD14" i="18"/>
  <c r="CE14" i="18"/>
  <c r="CF14" i="18"/>
  <c r="CG14" i="18"/>
  <c r="CA15" i="18"/>
  <c r="CB15" i="18"/>
  <c r="CC15" i="18"/>
  <c r="CD15" i="18"/>
  <c r="CE15" i="18"/>
  <c r="CF15" i="18"/>
  <c r="CG15" i="18"/>
  <c r="CA16" i="18"/>
  <c r="CB16" i="18"/>
  <c r="CC16" i="18"/>
  <c r="CD16" i="18"/>
  <c r="CE16" i="18"/>
  <c r="CF16" i="18"/>
  <c r="CG16" i="18"/>
  <c r="CA17" i="18"/>
  <c r="CB17" i="18"/>
  <c r="CC17" i="18"/>
  <c r="CD17" i="18"/>
  <c r="CE17" i="18"/>
  <c r="CF17" i="18"/>
  <c r="CG17" i="18"/>
  <c r="CA18" i="18"/>
  <c r="CB18" i="18"/>
  <c r="CC18" i="18"/>
  <c r="CD18" i="18"/>
  <c r="CE18" i="18"/>
  <c r="CF18" i="18"/>
  <c r="CG18" i="18"/>
  <c r="CA19" i="18"/>
  <c r="CB19" i="18"/>
  <c r="CC19" i="18"/>
  <c r="CD19" i="18"/>
  <c r="CE19" i="18"/>
  <c r="CF19" i="18"/>
  <c r="CG19" i="18"/>
  <c r="CA20" i="18"/>
  <c r="CB20" i="18"/>
  <c r="CC20" i="18"/>
  <c r="CD20" i="18"/>
  <c r="CE20" i="18"/>
  <c r="CF20" i="18"/>
  <c r="CG20" i="18"/>
  <c r="CA21" i="18"/>
  <c r="CB21" i="18"/>
  <c r="CC21" i="18"/>
  <c r="CD21" i="18"/>
  <c r="CE21" i="18"/>
  <c r="CF21" i="18"/>
  <c r="CG21" i="18"/>
  <c r="CA22" i="18"/>
  <c r="CB22" i="18"/>
  <c r="CC22" i="18"/>
  <c r="CD22" i="18"/>
  <c r="CE22" i="18"/>
  <c r="CF22" i="18"/>
  <c r="CG22" i="18"/>
  <c r="CA23" i="18"/>
  <c r="CB23" i="18"/>
  <c r="CC23" i="18"/>
  <c r="CD23" i="18"/>
  <c r="CE23" i="18"/>
  <c r="CF23" i="18"/>
  <c r="CG23" i="18"/>
  <c r="CA24" i="18"/>
  <c r="CB24" i="18"/>
  <c r="CC24" i="18"/>
  <c r="CD24" i="18"/>
  <c r="CE24" i="18"/>
  <c r="CF24" i="18"/>
  <c r="CG24" i="18"/>
  <c r="CA25" i="18"/>
  <c r="CB25" i="18"/>
  <c r="CC25" i="18"/>
  <c r="CD25" i="18"/>
  <c r="CE25" i="18"/>
  <c r="CF25" i="18"/>
  <c r="CG25" i="18"/>
  <c r="CA26" i="18"/>
  <c r="CB26" i="18"/>
  <c r="CC26" i="18"/>
  <c r="CD26" i="18"/>
  <c r="CE26" i="18"/>
  <c r="CF26" i="18"/>
  <c r="CG26" i="18"/>
  <c r="CA27" i="18"/>
  <c r="CB27" i="18"/>
  <c r="CC27" i="18"/>
  <c r="CD27" i="18"/>
  <c r="CE27" i="18"/>
  <c r="CF27" i="18"/>
  <c r="CG27" i="18"/>
  <c r="CA28" i="18"/>
  <c r="CB28" i="18"/>
  <c r="CC28" i="18"/>
  <c r="CD28" i="18"/>
  <c r="CE28" i="18"/>
  <c r="CF28" i="18"/>
  <c r="CG28" i="18"/>
  <c r="CA29" i="18"/>
  <c r="CB29" i="18"/>
  <c r="CC29" i="18"/>
  <c r="CD29" i="18"/>
  <c r="CE29" i="18"/>
  <c r="CF29" i="18"/>
  <c r="CG29" i="18"/>
  <c r="CA30" i="18"/>
  <c r="CB30" i="18"/>
  <c r="CC30" i="18"/>
  <c r="CD30" i="18"/>
  <c r="CE30" i="18"/>
  <c r="CF30" i="18"/>
  <c r="CG30" i="18"/>
  <c r="CG2" i="18"/>
  <c r="CF2" i="18"/>
  <c r="CE2" i="18"/>
  <c r="CD2" i="18"/>
  <c r="CC2" i="18"/>
  <c r="CB2" i="18"/>
  <c r="CA2" i="18"/>
  <c r="K12" i="3"/>
  <c r="AN27" i="18"/>
  <c r="AN76" i="18"/>
  <c r="BC76" i="18"/>
  <c r="AO27" i="18"/>
  <c r="AO76" i="18"/>
  <c r="BD76" i="18"/>
  <c r="K4" i="3"/>
  <c r="AP27" i="18"/>
  <c r="AP76" i="18"/>
  <c r="BE76" i="18"/>
  <c r="N29" i="3"/>
  <c r="AD27" i="29"/>
  <c r="BD27" i="30"/>
  <c r="N77" i="3" a="1"/>
  <c r="N77" i="3"/>
  <c r="AU27" i="29"/>
  <c r="BU27" i="30"/>
  <c r="N92" i="3"/>
  <c r="BA27" i="29"/>
  <c r="CA27" i="30"/>
  <c r="N50" i="3"/>
  <c r="BB27" i="29"/>
  <c r="CB27" i="30"/>
  <c r="BC27" i="30"/>
  <c r="AQ27" i="18"/>
  <c r="AQ76" i="18"/>
  <c r="BF76" i="18"/>
  <c r="Q27" i="3"/>
  <c r="J27" i="18"/>
  <c r="AR27" i="18"/>
  <c r="AR76" i="18"/>
  <c r="BG76" i="18"/>
  <c r="Q30" i="3" a="1"/>
  <c r="Q30" i="3"/>
  <c r="K27" i="18"/>
  <c r="AS27" i="18"/>
  <c r="AS76" i="18"/>
  <c r="BH76" i="18"/>
  <c r="Q15" i="3"/>
  <c r="G27" i="18"/>
  <c r="AT27" i="18"/>
  <c r="AT76" i="18"/>
  <c r="BI76" i="18"/>
  <c r="Q18" i="3"/>
  <c r="H27" i="18"/>
  <c r="AU27" i="18"/>
  <c r="AU76" i="18"/>
  <c r="BJ76" i="18"/>
  <c r="I27" i="18"/>
  <c r="AV27" i="18"/>
  <c r="AV76" i="18"/>
  <c r="BK76" i="18"/>
  <c r="E27" i="18"/>
  <c r="AW27" i="18"/>
  <c r="AW76" i="18"/>
  <c r="BL76" i="18"/>
  <c r="F27" i="18"/>
  <c r="AX27" i="18"/>
  <c r="AX76" i="18"/>
  <c r="BM76" i="18"/>
  <c r="L27" i="18"/>
  <c r="AY27" i="18"/>
  <c r="AY76" i="18"/>
  <c r="BN76" i="18"/>
  <c r="N27" i="18"/>
  <c r="AZ27" i="18"/>
  <c r="AZ76" i="18"/>
  <c r="BO76" i="18"/>
  <c r="M27" i="18"/>
  <c r="BA27" i="18"/>
  <c r="BA76" i="18"/>
  <c r="BP76" i="18"/>
  <c r="O27" i="18"/>
  <c r="BB27" i="18"/>
  <c r="BB76" i="18"/>
  <c r="BQ76" i="18"/>
  <c r="BR76" i="18"/>
  <c r="AN18" i="18"/>
  <c r="AN75" i="18"/>
  <c r="BC75" i="18"/>
  <c r="AO18" i="18"/>
  <c r="AO75" i="18"/>
  <c r="BD75" i="18"/>
  <c r="AP18" i="18"/>
  <c r="AP75" i="18"/>
  <c r="BE75" i="18"/>
  <c r="AD18" i="29"/>
  <c r="BD18" i="30"/>
  <c r="AU18" i="29"/>
  <c r="BU18" i="30"/>
  <c r="BA18" i="29"/>
  <c r="CA18" i="30"/>
  <c r="BB18" i="29"/>
  <c r="CB18" i="30"/>
  <c r="BC18" i="30"/>
  <c r="AQ18" i="18"/>
  <c r="AQ75" i="18"/>
  <c r="BF75" i="18"/>
  <c r="J18" i="18"/>
  <c r="AR18" i="18"/>
  <c r="AR75" i="18"/>
  <c r="BG75" i="18"/>
  <c r="K18" i="18"/>
  <c r="AS18" i="18"/>
  <c r="AS75" i="18"/>
  <c r="BH75" i="18"/>
  <c r="G18" i="18"/>
  <c r="AT18" i="18"/>
  <c r="AT75" i="18"/>
  <c r="BI75" i="18"/>
  <c r="H18" i="18"/>
  <c r="AU18" i="18"/>
  <c r="AU75" i="18"/>
  <c r="BJ75" i="18"/>
  <c r="I18" i="18"/>
  <c r="AV18" i="18"/>
  <c r="AV75" i="18"/>
  <c r="BK75" i="18"/>
  <c r="E18" i="18"/>
  <c r="AW18" i="18"/>
  <c r="AW75" i="18"/>
  <c r="BL75" i="18"/>
  <c r="F18" i="18"/>
  <c r="AX18" i="18"/>
  <c r="AX75" i="18"/>
  <c r="BM75" i="18"/>
  <c r="L18" i="18"/>
  <c r="AY18" i="18"/>
  <c r="AY75" i="18"/>
  <c r="BN75" i="18"/>
  <c r="N18" i="18"/>
  <c r="AZ18" i="18"/>
  <c r="AZ75" i="18"/>
  <c r="BO75" i="18"/>
  <c r="M18" i="18"/>
  <c r="BA18" i="18"/>
  <c r="BA75" i="18"/>
  <c r="BP75" i="18"/>
  <c r="O18" i="18"/>
  <c r="BB18" i="18"/>
  <c r="BB75" i="18"/>
  <c r="BQ75" i="18"/>
  <c r="BR75" i="18"/>
  <c r="AN12" i="18"/>
  <c r="AN74" i="18"/>
  <c r="BC74" i="18"/>
  <c r="AO12" i="18"/>
  <c r="AO74" i="18"/>
  <c r="BD74" i="18"/>
  <c r="AP12" i="18"/>
  <c r="AP74" i="18"/>
  <c r="BE74" i="18"/>
  <c r="AD12" i="29"/>
  <c r="BD12" i="30"/>
  <c r="AU12" i="29"/>
  <c r="BU12" i="30"/>
  <c r="BA12" i="29"/>
  <c r="CA12" i="30"/>
  <c r="BB12" i="29"/>
  <c r="CB12" i="30"/>
  <c r="BC12" i="30"/>
  <c r="AQ12" i="18"/>
  <c r="AQ74" i="18"/>
  <c r="BF74" i="18"/>
  <c r="J12" i="18"/>
  <c r="AR12" i="18"/>
  <c r="AR74" i="18"/>
  <c r="BG74" i="18"/>
  <c r="K12" i="18"/>
  <c r="AS12" i="18"/>
  <c r="AS74" i="18"/>
  <c r="BH74" i="18"/>
  <c r="G12" i="18"/>
  <c r="AT12" i="18"/>
  <c r="AT74" i="18"/>
  <c r="BI74" i="18"/>
  <c r="H12" i="18"/>
  <c r="AU12" i="18"/>
  <c r="AU74" i="18"/>
  <c r="BJ74" i="18"/>
  <c r="I12" i="18"/>
  <c r="AV12" i="18"/>
  <c r="AV74" i="18"/>
  <c r="BK74" i="18"/>
  <c r="E12" i="18"/>
  <c r="AW12" i="18"/>
  <c r="AW74" i="18"/>
  <c r="BL74" i="18"/>
  <c r="F12" i="18"/>
  <c r="AX12" i="18"/>
  <c r="AX74" i="18"/>
  <c r="BM74" i="18"/>
  <c r="L12" i="18"/>
  <c r="AY12" i="18"/>
  <c r="AY74" i="18"/>
  <c r="BN74" i="18"/>
  <c r="N12" i="18"/>
  <c r="AZ12" i="18"/>
  <c r="AZ74" i="18"/>
  <c r="BO74" i="18"/>
  <c r="M12" i="18"/>
  <c r="BA12" i="18"/>
  <c r="BA74" i="18"/>
  <c r="BP74" i="18"/>
  <c r="O12" i="18"/>
  <c r="BB12" i="18"/>
  <c r="BB74" i="18"/>
  <c r="BQ74" i="18"/>
  <c r="BR74" i="18"/>
  <c r="AN7" i="18"/>
  <c r="AN73" i="18"/>
  <c r="BC73" i="18"/>
  <c r="AO7" i="18"/>
  <c r="AO73" i="18"/>
  <c r="BD73" i="18"/>
  <c r="AP7" i="18"/>
  <c r="AP73" i="18"/>
  <c r="BE73" i="18"/>
  <c r="AD7" i="29"/>
  <c r="BD7" i="30"/>
  <c r="AU7" i="29"/>
  <c r="BU7" i="30"/>
  <c r="BA7" i="29"/>
  <c r="CA7" i="30"/>
  <c r="BB7" i="29"/>
  <c r="CB7" i="30"/>
  <c r="BC7" i="30"/>
  <c r="AQ7" i="18"/>
  <c r="AQ73" i="18"/>
  <c r="BF73" i="18"/>
  <c r="J7" i="18"/>
  <c r="AR7" i="18"/>
  <c r="AR73" i="18"/>
  <c r="BG73" i="18"/>
  <c r="K7" i="18"/>
  <c r="AS7" i="18"/>
  <c r="AS73" i="18"/>
  <c r="BH73" i="18"/>
  <c r="G7" i="18"/>
  <c r="AT7" i="18"/>
  <c r="AT73" i="18"/>
  <c r="BI73" i="18"/>
  <c r="H7" i="18"/>
  <c r="AU7" i="18"/>
  <c r="AU73" i="18"/>
  <c r="BJ73" i="18"/>
  <c r="I7" i="18"/>
  <c r="AV7" i="18"/>
  <c r="AV73" i="18"/>
  <c r="BK73" i="18"/>
  <c r="E7" i="18"/>
  <c r="AW7" i="18"/>
  <c r="AW73" i="18"/>
  <c r="BL73" i="18"/>
  <c r="F7" i="18"/>
  <c r="AX7" i="18"/>
  <c r="AX73" i="18"/>
  <c r="BM73" i="18"/>
  <c r="L7" i="18"/>
  <c r="AY7" i="18"/>
  <c r="AY73" i="18"/>
  <c r="BN73" i="18"/>
  <c r="N7" i="18"/>
  <c r="AZ7" i="18"/>
  <c r="AZ73" i="18"/>
  <c r="BO73" i="18"/>
  <c r="M7" i="18"/>
  <c r="BA7" i="18"/>
  <c r="BA73" i="18"/>
  <c r="BP73" i="18"/>
  <c r="O7" i="18"/>
  <c r="BB7" i="18"/>
  <c r="BB73" i="18"/>
  <c r="BQ73" i="18"/>
  <c r="BR73" i="18"/>
  <c r="AN16" i="18"/>
  <c r="AN72" i="18"/>
  <c r="BC72" i="18"/>
  <c r="AO16" i="18"/>
  <c r="AO72" i="18"/>
  <c r="BD72" i="18"/>
  <c r="AP16" i="18"/>
  <c r="AP72" i="18"/>
  <c r="BE72" i="18"/>
  <c r="AD16" i="29"/>
  <c r="BD16" i="30"/>
  <c r="AU16" i="29"/>
  <c r="BU16" i="30"/>
  <c r="BA16" i="29"/>
  <c r="CA16" i="30"/>
  <c r="BB16" i="29"/>
  <c r="CB16" i="30"/>
  <c r="BC16" i="30"/>
  <c r="AQ16" i="18"/>
  <c r="AQ72" i="18"/>
  <c r="BF72" i="18"/>
  <c r="J16" i="18"/>
  <c r="AR16" i="18"/>
  <c r="AR72" i="18"/>
  <c r="BG72" i="18"/>
  <c r="K16" i="18"/>
  <c r="AS16" i="18"/>
  <c r="AS72" i="18"/>
  <c r="BH72" i="18"/>
  <c r="G16" i="18"/>
  <c r="AT16" i="18"/>
  <c r="AT72" i="18"/>
  <c r="BI72" i="18"/>
  <c r="H16" i="18"/>
  <c r="AU16" i="18"/>
  <c r="AU72" i="18"/>
  <c r="BJ72" i="18"/>
  <c r="I16" i="18"/>
  <c r="AV16" i="18"/>
  <c r="AV72" i="18"/>
  <c r="BK72" i="18"/>
  <c r="E16" i="18"/>
  <c r="AW16" i="18"/>
  <c r="AW72" i="18"/>
  <c r="BL72" i="18"/>
  <c r="F16" i="18"/>
  <c r="AX16" i="18"/>
  <c r="AX72" i="18"/>
  <c r="BM72" i="18"/>
  <c r="L16" i="18"/>
  <c r="AY16" i="18"/>
  <c r="AY72" i="18"/>
  <c r="BN72" i="18"/>
  <c r="N16" i="18"/>
  <c r="AZ16" i="18"/>
  <c r="AZ72" i="18"/>
  <c r="BO72" i="18"/>
  <c r="M16" i="18"/>
  <c r="BA16" i="18"/>
  <c r="BA72" i="18"/>
  <c r="BP72" i="18"/>
  <c r="O16" i="18"/>
  <c r="BB16" i="18"/>
  <c r="BB72" i="18"/>
  <c r="BQ72" i="18"/>
  <c r="BR72" i="18"/>
  <c r="AN29" i="18"/>
  <c r="AN71" i="18"/>
  <c r="BC71" i="18"/>
  <c r="AO29" i="18"/>
  <c r="AO71" i="18"/>
  <c r="BD71" i="18"/>
  <c r="AP29" i="18"/>
  <c r="AP71" i="18"/>
  <c r="BE71" i="18"/>
  <c r="AD29" i="29"/>
  <c r="BD29" i="30"/>
  <c r="AU29" i="29"/>
  <c r="BU29" i="30"/>
  <c r="BA29" i="29"/>
  <c r="CA29" i="30"/>
  <c r="BB29" i="29"/>
  <c r="CB29" i="30"/>
  <c r="BC29" i="30"/>
  <c r="AQ29" i="18"/>
  <c r="AQ71" i="18"/>
  <c r="BF71" i="18"/>
  <c r="J29" i="18"/>
  <c r="AR29" i="18"/>
  <c r="AR71" i="18"/>
  <c r="BG71" i="18"/>
  <c r="K29" i="18"/>
  <c r="AS29" i="18"/>
  <c r="AS71" i="18"/>
  <c r="BH71" i="18"/>
  <c r="G29" i="18"/>
  <c r="AT29" i="18"/>
  <c r="AT71" i="18"/>
  <c r="BI71" i="18"/>
  <c r="H29" i="18"/>
  <c r="AU29" i="18"/>
  <c r="AU71" i="18"/>
  <c r="BJ71" i="18"/>
  <c r="I29" i="18"/>
  <c r="AV29" i="18"/>
  <c r="AV71" i="18"/>
  <c r="BK71" i="18"/>
  <c r="E29" i="18"/>
  <c r="AW29" i="18"/>
  <c r="AW71" i="18"/>
  <c r="BL71" i="18"/>
  <c r="F29" i="18"/>
  <c r="AX29" i="18"/>
  <c r="AX71" i="18"/>
  <c r="BM71" i="18"/>
  <c r="L29" i="18"/>
  <c r="AY29" i="18"/>
  <c r="AY71" i="18"/>
  <c r="BN71" i="18"/>
  <c r="N29" i="18"/>
  <c r="AZ29" i="18"/>
  <c r="AZ71" i="18"/>
  <c r="BO71" i="18"/>
  <c r="M29" i="18"/>
  <c r="BA29" i="18"/>
  <c r="BA71" i="18"/>
  <c r="BP71" i="18"/>
  <c r="O29" i="18"/>
  <c r="BB29" i="18"/>
  <c r="BB71" i="18"/>
  <c r="BQ71" i="18"/>
  <c r="BR71" i="18"/>
  <c r="AN20" i="18"/>
  <c r="AN70" i="18"/>
  <c r="BC70" i="18"/>
  <c r="AO20" i="18"/>
  <c r="AO70" i="18"/>
  <c r="BD70" i="18"/>
  <c r="AP20" i="18"/>
  <c r="AP70" i="18"/>
  <c r="BE70" i="18"/>
  <c r="AD20" i="29"/>
  <c r="BD20" i="30"/>
  <c r="AU20" i="29"/>
  <c r="BU20" i="30"/>
  <c r="BA20" i="29"/>
  <c r="CA20" i="30"/>
  <c r="BB20" i="29"/>
  <c r="CB20" i="30"/>
  <c r="BC20" i="30"/>
  <c r="AQ20" i="18"/>
  <c r="AQ70" i="18"/>
  <c r="BF70" i="18"/>
  <c r="J20" i="18"/>
  <c r="AR20" i="18"/>
  <c r="AR70" i="18"/>
  <c r="BG70" i="18"/>
  <c r="K20" i="18"/>
  <c r="AS20" i="18"/>
  <c r="AS70" i="18"/>
  <c r="BH70" i="18"/>
  <c r="G20" i="18"/>
  <c r="AT20" i="18"/>
  <c r="AT70" i="18"/>
  <c r="BI70" i="18"/>
  <c r="H20" i="18"/>
  <c r="AU20" i="18"/>
  <c r="AU70" i="18"/>
  <c r="BJ70" i="18"/>
  <c r="I20" i="18"/>
  <c r="AV20" i="18"/>
  <c r="AV70" i="18"/>
  <c r="BK70" i="18"/>
  <c r="E20" i="18"/>
  <c r="AW20" i="18"/>
  <c r="AW70" i="18"/>
  <c r="BL70" i="18"/>
  <c r="F20" i="18"/>
  <c r="AX20" i="18"/>
  <c r="AX70" i="18"/>
  <c r="BM70" i="18"/>
  <c r="L20" i="18"/>
  <c r="AY20" i="18"/>
  <c r="AY70" i="18"/>
  <c r="BN70" i="18"/>
  <c r="N20" i="18"/>
  <c r="AZ20" i="18"/>
  <c r="AZ70" i="18"/>
  <c r="BO70" i="18"/>
  <c r="M20" i="18"/>
  <c r="BA20" i="18"/>
  <c r="BA70" i="18"/>
  <c r="BP70" i="18"/>
  <c r="O20" i="18"/>
  <c r="BB20" i="18"/>
  <c r="BB70" i="18"/>
  <c r="BQ70" i="18"/>
  <c r="BR70" i="18"/>
  <c r="AN24" i="18"/>
  <c r="AN69" i="18"/>
  <c r="BC69" i="18"/>
  <c r="AO24" i="18"/>
  <c r="AO69" i="18"/>
  <c r="BD69" i="18"/>
  <c r="AP24" i="18"/>
  <c r="AP69" i="18"/>
  <c r="BE69" i="18"/>
  <c r="AD24" i="29"/>
  <c r="BD24" i="30"/>
  <c r="AU24" i="29"/>
  <c r="BU24" i="30"/>
  <c r="BA24" i="29"/>
  <c r="CA24" i="30"/>
  <c r="BB24" i="29"/>
  <c r="CB24" i="30"/>
  <c r="BC24" i="30"/>
  <c r="AQ24" i="18"/>
  <c r="AQ69" i="18"/>
  <c r="BF69" i="18"/>
  <c r="J24" i="18"/>
  <c r="AR24" i="18"/>
  <c r="AR69" i="18"/>
  <c r="BG69" i="18"/>
  <c r="K24" i="18"/>
  <c r="AS24" i="18"/>
  <c r="AS69" i="18"/>
  <c r="BH69" i="18"/>
  <c r="G24" i="18"/>
  <c r="AT24" i="18"/>
  <c r="AT69" i="18"/>
  <c r="BI69" i="18"/>
  <c r="H24" i="18"/>
  <c r="AU24" i="18"/>
  <c r="AU69" i="18"/>
  <c r="BJ69" i="18"/>
  <c r="I24" i="18"/>
  <c r="AV24" i="18"/>
  <c r="AV69" i="18"/>
  <c r="BK69" i="18"/>
  <c r="E24" i="18"/>
  <c r="AW24" i="18"/>
  <c r="AW69" i="18"/>
  <c r="BL69" i="18"/>
  <c r="AX24" i="18"/>
  <c r="AX69" i="18"/>
  <c r="BM69" i="18"/>
  <c r="L24" i="18"/>
  <c r="AY24" i="18"/>
  <c r="AY69" i="18"/>
  <c r="BN69" i="18"/>
  <c r="N24" i="18"/>
  <c r="AZ24" i="18"/>
  <c r="AZ69" i="18"/>
  <c r="BO69" i="18"/>
  <c r="M24" i="18"/>
  <c r="BA24" i="18"/>
  <c r="BA69" i="18"/>
  <c r="BP69" i="18"/>
  <c r="O24" i="18"/>
  <c r="BB24" i="18"/>
  <c r="BB69" i="18"/>
  <c r="BQ69" i="18"/>
  <c r="BR69" i="18"/>
  <c r="AN9" i="18"/>
  <c r="AN68" i="18"/>
  <c r="BC68" i="18"/>
  <c r="AO9" i="18"/>
  <c r="AO68" i="18"/>
  <c r="BD68" i="18"/>
  <c r="AP9" i="18"/>
  <c r="AP68" i="18"/>
  <c r="BE68" i="18"/>
  <c r="AD9" i="29"/>
  <c r="BD9" i="30"/>
  <c r="AU9" i="29"/>
  <c r="BU9" i="30"/>
  <c r="BA9" i="29"/>
  <c r="CA9" i="30"/>
  <c r="BB9" i="29"/>
  <c r="CB9" i="30"/>
  <c r="BC9" i="30"/>
  <c r="AQ9" i="18"/>
  <c r="AQ68" i="18"/>
  <c r="BF68" i="18"/>
  <c r="J9" i="18"/>
  <c r="AR9" i="18"/>
  <c r="AR68" i="18"/>
  <c r="BG68" i="18"/>
  <c r="K9" i="18"/>
  <c r="AS9" i="18"/>
  <c r="AS68" i="18"/>
  <c r="BH68" i="18"/>
  <c r="G9" i="18"/>
  <c r="AT9" i="18"/>
  <c r="AT68" i="18"/>
  <c r="BI68" i="18"/>
  <c r="H9" i="18"/>
  <c r="AU9" i="18"/>
  <c r="AU68" i="18"/>
  <c r="BJ68" i="18"/>
  <c r="I9" i="18"/>
  <c r="AV9" i="18"/>
  <c r="AV68" i="18"/>
  <c r="BK68" i="18"/>
  <c r="E9" i="18"/>
  <c r="AW9" i="18"/>
  <c r="AW68" i="18"/>
  <c r="BL68" i="18"/>
  <c r="F9" i="18"/>
  <c r="AX9" i="18"/>
  <c r="AX68" i="18"/>
  <c r="BM68" i="18"/>
  <c r="L9" i="18"/>
  <c r="AY9" i="18"/>
  <c r="AY68" i="18"/>
  <c r="BN68" i="18"/>
  <c r="N9" i="18"/>
  <c r="AZ9" i="18"/>
  <c r="AZ68" i="18"/>
  <c r="BO68" i="18"/>
  <c r="M9" i="18"/>
  <c r="BA9" i="18"/>
  <c r="BA68" i="18"/>
  <c r="BP68" i="18"/>
  <c r="O9" i="18"/>
  <c r="BB9" i="18"/>
  <c r="BB68" i="18"/>
  <c r="BQ68" i="18"/>
  <c r="BR68" i="18"/>
  <c r="AN5" i="18"/>
  <c r="AN67" i="18"/>
  <c r="BC67" i="18"/>
  <c r="AO5" i="18"/>
  <c r="AO67" i="18"/>
  <c r="BD67" i="18"/>
  <c r="AP5" i="18"/>
  <c r="AP67" i="18"/>
  <c r="BE67" i="18"/>
  <c r="AD5" i="29"/>
  <c r="BD5" i="30"/>
  <c r="AU5" i="29"/>
  <c r="BU5" i="30"/>
  <c r="BA5" i="29"/>
  <c r="CA5" i="30"/>
  <c r="BB5" i="29"/>
  <c r="CB5" i="30"/>
  <c r="BC5" i="30"/>
  <c r="AQ5" i="18"/>
  <c r="AQ67" i="18"/>
  <c r="BF67" i="18"/>
  <c r="J5" i="18"/>
  <c r="AR5" i="18"/>
  <c r="AR67" i="18"/>
  <c r="BG67" i="18"/>
  <c r="K5" i="18"/>
  <c r="AS5" i="18"/>
  <c r="AS67" i="18"/>
  <c r="BH67" i="18"/>
  <c r="G5" i="18"/>
  <c r="AT5" i="18"/>
  <c r="AT67" i="18"/>
  <c r="BI67" i="18"/>
  <c r="H5" i="18"/>
  <c r="AU5" i="18"/>
  <c r="AU67" i="18"/>
  <c r="BJ67" i="18"/>
  <c r="I5" i="18"/>
  <c r="AV5" i="18"/>
  <c r="AV67" i="18"/>
  <c r="BK67" i="18"/>
  <c r="E5" i="18"/>
  <c r="AW5" i="18"/>
  <c r="AW67" i="18"/>
  <c r="BL67" i="18"/>
  <c r="F5" i="18"/>
  <c r="AX5" i="18"/>
  <c r="AX67" i="18"/>
  <c r="BM67" i="18"/>
  <c r="L5" i="18"/>
  <c r="AY5" i="18"/>
  <c r="AY67" i="18"/>
  <c r="BN67" i="18"/>
  <c r="N5" i="18"/>
  <c r="AZ5" i="18"/>
  <c r="AZ67" i="18"/>
  <c r="BO67" i="18"/>
  <c r="M5" i="18"/>
  <c r="BA5" i="18"/>
  <c r="BA67" i="18"/>
  <c r="BP67" i="18"/>
  <c r="O5" i="18"/>
  <c r="BB5" i="18"/>
  <c r="BB67" i="18"/>
  <c r="BQ67" i="18"/>
  <c r="BR67" i="18"/>
  <c r="AN17" i="18"/>
  <c r="AN66" i="18"/>
  <c r="BC66" i="18"/>
  <c r="AO17" i="18"/>
  <c r="AO66" i="18"/>
  <c r="BD66" i="18"/>
  <c r="AP17" i="18"/>
  <c r="AP66" i="18"/>
  <c r="BE66" i="18"/>
  <c r="AD17" i="29"/>
  <c r="BD17" i="30"/>
  <c r="AU17" i="29"/>
  <c r="BU17" i="30"/>
  <c r="BA17" i="29"/>
  <c r="CA17" i="30"/>
  <c r="BB17" i="29"/>
  <c r="CB17" i="30"/>
  <c r="BC17" i="30"/>
  <c r="AQ17" i="18"/>
  <c r="AQ66" i="18"/>
  <c r="BF66" i="18"/>
  <c r="J17" i="18"/>
  <c r="AR17" i="18"/>
  <c r="AR66" i="18"/>
  <c r="BG66" i="18"/>
  <c r="K17" i="18"/>
  <c r="AS17" i="18"/>
  <c r="AS66" i="18"/>
  <c r="BH66" i="18"/>
  <c r="G17" i="18"/>
  <c r="AT17" i="18"/>
  <c r="AT66" i="18"/>
  <c r="BI66" i="18"/>
  <c r="H17" i="18"/>
  <c r="AU17" i="18"/>
  <c r="AU66" i="18"/>
  <c r="BJ66" i="18"/>
  <c r="I17" i="18"/>
  <c r="AV17" i="18"/>
  <c r="AV66" i="18"/>
  <c r="BK66" i="18"/>
  <c r="E17" i="18"/>
  <c r="AW17" i="18"/>
  <c r="AW66" i="18"/>
  <c r="BL66" i="18"/>
  <c r="F17" i="18"/>
  <c r="AX17" i="18"/>
  <c r="AX66" i="18"/>
  <c r="BM66" i="18"/>
  <c r="L17" i="18"/>
  <c r="AY17" i="18"/>
  <c r="AY66" i="18"/>
  <c r="BN66" i="18"/>
  <c r="N17" i="18"/>
  <c r="AZ17" i="18"/>
  <c r="AZ66" i="18"/>
  <c r="BO66" i="18"/>
  <c r="M17" i="18"/>
  <c r="BA17" i="18"/>
  <c r="BA66" i="18"/>
  <c r="BP66" i="18"/>
  <c r="O17" i="18"/>
  <c r="BB17" i="18"/>
  <c r="BB66" i="18"/>
  <c r="BQ66" i="18"/>
  <c r="BR66" i="18"/>
  <c r="AN21" i="18"/>
  <c r="AN65" i="18"/>
  <c r="BC65" i="18"/>
  <c r="AO21" i="18"/>
  <c r="AO65" i="18"/>
  <c r="BD65" i="18"/>
  <c r="AP21" i="18"/>
  <c r="AP65" i="18"/>
  <c r="BE65" i="18"/>
  <c r="AD21" i="29"/>
  <c r="BD21" i="30"/>
  <c r="AU21" i="29"/>
  <c r="BU21" i="30"/>
  <c r="BA21" i="29"/>
  <c r="CA21" i="30"/>
  <c r="BB21" i="29"/>
  <c r="CB21" i="30"/>
  <c r="BC21" i="30"/>
  <c r="AQ21" i="18"/>
  <c r="AQ65" i="18"/>
  <c r="BF65" i="18"/>
  <c r="J21" i="18"/>
  <c r="AR21" i="18"/>
  <c r="AR65" i="18"/>
  <c r="BG65" i="18"/>
  <c r="K21" i="18"/>
  <c r="AS21" i="18"/>
  <c r="AS65" i="18"/>
  <c r="BH65" i="18"/>
  <c r="G21" i="18"/>
  <c r="AT21" i="18"/>
  <c r="AT65" i="18"/>
  <c r="BI65" i="18"/>
  <c r="H21" i="18"/>
  <c r="AU21" i="18"/>
  <c r="AU65" i="18"/>
  <c r="BJ65" i="18"/>
  <c r="I21" i="18"/>
  <c r="AV21" i="18"/>
  <c r="AV65" i="18"/>
  <c r="BK65" i="18"/>
  <c r="E21" i="18"/>
  <c r="AW21" i="18"/>
  <c r="AW65" i="18"/>
  <c r="BL65" i="18"/>
  <c r="F21" i="18"/>
  <c r="AX21" i="18"/>
  <c r="AX65" i="18"/>
  <c r="BM65" i="18"/>
  <c r="L21" i="18"/>
  <c r="AY21" i="18"/>
  <c r="AY65" i="18"/>
  <c r="BN65" i="18"/>
  <c r="N21" i="18"/>
  <c r="AZ21" i="18"/>
  <c r="AZ65" i="18"/>
  <c r="BO65" i="18"/>
  <c r="M21" i="18"/>
  <c r="BA21" i="18"/>
  <c r="BA65" i="18"/>
  <c r="BP65" i="18"/>
  <c r="O21" i="18"/>
  <c r="BB21" i="18"/>
  <c r="BB65" i="18"/>
  <c r="BQ65" i="18"/>
  <c r="BR65" i="18"/>
  <c r="AN25" i="18"/>
  <c r="AN64" i="18"/>
  <c r="BC64" i="18"/>
  <c r="AO25" i="18"/>
  <c r="AO64" i="18"/>
  <c r="BD64" i="18"/>
  <c r="AP25" i="18"/>
  <c r="AP64" i="18"/>
  <c r="BE64" i="18"/>
  <c r="AD25" i="29"/>
  <c r="BD25" i="30"/>
  <c r="AU25" i="29"/>
  <c r="BU25" i="30"/>
  <c r="BA25" i="29"/>
  <c r="CA25" i="30"/>
  <c r="BB25" i="29"/>
  <c r="CB25" i="30"/>
  <c r="BC25" i="30"/>
  <c r="AQ25" i="18"/>
  <c r="AQ64" i="18"/>
  <c r="BF64" i="18"/>
  <c r="J25" i="18"/>
  <c r="AR25" i="18"/>
  <c r="AR64" i="18"/>
  <c r="BG64" i="18"/>
  <c r="K25" i="18"/>
  <c r="AS25" i="18"/>
  <c r="AS64" i="18"/>
  <c r="BH64" i="18"/>
  <c r="G25" i="18"/>
  <c r="AT25" i="18"/>
  <c r="AT64" i="18"/>
  <c r="BI64" i="18"/>
  <c r="H25" i="18"/>
  <c r="AU25" i="18"/>
  <c r="AU64" i="18"/>
  <c r="BJ64" i="18"/>
  <c r="I25" i="18"/>
  <c r="AV25" i="18"/>
  <c r="AV64" i="18"/>
  <c r="BK64" i="18"/>
  <c r="E25" i="18"/>
  <c r="AW25" i="18"/>
  <c r="AW64" i="18"/>
  <c r="BL64" i="18"/>
  <c r="F25" i="18"/>
  <c r="AX25" i="18"/>
  <c r="AX64" i="18"/>
  <c r="BM64" i="18"/>
  <c r="L25" i="18"/>
  <c r="AY25" i="18"/>
  <c r="AY64" i="18"/>
  <c r="BN64" i="18"/>
  <c r="N25" i="18"/>
  <c r="AZ25" i="18"/>
  <c r="AZ64" i="18"/>
  <c r="BO64" i="18"/>
  <c r="M25" i="18"/>
  <c r="BA25" i="18"/>
  <c r="BA64" i="18"/>
  <c r="BP64" i="18"/>
  <c r="O25" i="18"/>
  <c r="BB25" i="18"/>
  <c r="BB64" i="18"/>
  <c r="BQ64" i="18"/>
  <c r="BR64" i="18"/>
  <c r="AN63" i="18"/>
  <c r="BC63" i="18"/>
  <c r="AO63" i="18"/>
  <c r="BD63" i="18"/>
  <c r="AP63" i="18"/>
  <c r="BE63" i="18"/>
  <c r="AQ63" i="18"/>
  <c r="BF63" i="18"/>
  <c r="AR63" i="18"/>
  <c r="BG63" i="18"/>
  <c r="AS63" i="18"/>
  <c r="BH63" i="18"/>
  <c r="AT63" i="18"/>
  <c r="BI63" i="18"/>
  <c r="AU63" i="18"/>
  <c r="BJ63" i="18"/>
  <c r="AV63" i="18"/>
  <c r="BK63" i="18"/>
  <c r="AW63" i="18"/>
  <c r="BL63" i="18"/>
  <c r="AX63" i="18"/>
  <c r="BM63" i="18"/>
  <c r="AY63" i="18"/>
  <c r="BN63" i="18"/>
  <c r="AZ63" i="18"/>
  <c r="BO63" i="18"/>
  <c r="BA63" i="18"/>
  <c r="BP63" i="18"/>
  <c r="BB63" i="18"/>
  <c r="BQ63" i="18"/>
  <c r="BR63" i="18"/>
  <c r="AN62" i="18"/>
  <c r="BC62" i="18"/>
  <c r="AO62" i="18"/>
  <c r="BD62" i="18"/>
  <c r="AP62" i="18"/>
  <c r="BE62" i="18"/>
  <c r="AQ62" i="18"/>
  <c r="BF62" i="18"/>
  <c r="AR62" i="18"/>
  <c r="BG62" i="18"/>
  <c r="AS62" i="18"/>
  <c r="BH62" i="18"/>
  <c r="AT62" i="18"/>
  <c r="BI62" i="18"/>
  <c r="AU62" i="18"/>
  <c r="BJ62" i="18"/>
  <c r="AV62" i="18"/>
  <c r="BK62" i="18"/>
  <c r="AW62" i="18"/>
  <c r="BL62" i="18"/>
  <c r="AX62" i="18"/>
  <c r="BM62" i="18"/>
  <c r="AY62" i="18"/>
  <c r="BN62" i="18"/>
  <c r="AZ62" i="18"/>
  <c r="BO62" i="18"/>
  <c r="BA62" i="18"/>
  <c r="BP62" i="18"/>
  <c r="BB62" i="18"/>
  <c r="BQ62" i="18"/>
  <c r="BR62" i="18"/>
  <c r="AN61" i="18"/>
  <c r="BC61" i="18"/>
  <c r="AO61" i="18"/>
  <c r="BD61" i="18"/>
  <c r="AP61" i="18"/>
  <c r="BE61" i="18"/>
  <c r="AQ61" i="18"/>
  <c r="BF61" i="18"/>
  <c r="AR61" i="18"/>
  <c r="BG61" i="18"/>
  <c r="AS61" i="18"/>
  <c r="BH61" i="18"/>
  <c r="AT61" i="18"/>
  <c r="BI61" i="18"/>
  <c r="AU61" i="18"/>
  <c r="BJ61" i="18"/>
  <c r="AV61" i="18"/>
  <c r="BK61" i="18"/>
  <c r="AW61" i="18"/>
  <c r="BL61" i="18"/>
  <c r="AX61" i="18"/>
  <c r="BM61" i="18"/>
  <c r="AY61" i="18"/>
  <c r="BN61" i="18"/>
  <c r="AZ61" i="18"/>
  <c r="BO61" i="18"/>
  <c r="BA61" i="18"/>
  <c r="BP61" i="18"/>
  <c r="BB61" i="18"/>
  <c r="BQ61" i="18"/>
  <c r="BR61" i="18"/>
  <c r="AN60" i="18"/>
  <c r="BC60" i="18"/>
  <c r="AO60" i="18"/>
  <c r="BD60" i="18"/>
  <c r="AP60" i="18"/>
  <c r="BE60" i="18"/>
  <c r="AQ60" i="18"/>
  <c r="BF60" i="18"/>
  <c r="AR60" i="18"/>
  <c r="BG60" i="18"/>
  <c r="AS60" i="18"/>
  <c r="BH60" i="18"/>
  <c r="AT60" i="18"/>
  <c r="BI60" i="18"/>
  <c r="AU60" i="18"/>
  <c r="BJ60" i="18"/>
  <c r="AV60" i="18"/>
  <c r="BK60" i="18"/>
  <c r="AW60" i="18"/>
  <c r="BL60" i="18"/>
  <c r="AX60" i="18"/>
  <c r="BM60" i="18"/>
  <c r="AY60" i="18"/>
  <c r="BN60" i="18"/>
  <c r="AZ60" i="18"/>
  <c r="BO60" i="18"/>
  <c r="BA60" i="18"/>
  <c r="BP60" i="18"/>
  <c r="BB60" i="18"/>
  <c r="BQ60" i="18"/>
  <c r="BR60" i="18"/>
  <c r="AN59" i="18"/>
  <c r="BC59" i="18"/>
  <c r="AO59" i="18"/>
  <c r="BD59" i="18"/>
  <c r="AP59" i="18"/>
  <c r="BE59" i="18"/>
  <c r="AQ59" i="18"/>
  <c r="BF59" i="18"/>
  <c r="AR59" i="18"/>
  <c r="BG59" i="18"/>
  <c r="AS59" i="18"/>
  <c r="BH59" i="18"/>
  <c r="AT59" i="18"/>
  <c r="BI59" i="18"/>
  <c r="AU59" i="18"/>
  <c r="BJ59" i="18"/>
  <c r="AV59" i="18"/>
  <c r="BK59" i="18"/>
  <c r="AW59" i="18"/>
  <c r="BL59" i="18"/>
  <c r="AX59" i="18"/>
  <c r="BM59" i="18"/>
  <c r="AY59" i="18"/>
  <c r="BN59" i="18"/>
  <c r="AZ59" i="18"/>
  <c r="BO59" i="18"/>
  <c r="BA59" i="18"/>
  <c r="BP59" i="18"/>
  <c r="BB59" i="18"/>
  <c r="BQ59" i="18"/>
  <c r="BR59" i="18"/>
  <c r="AN58" i="18"/>
  <c r="BC58" i="18"/>
  <c r="AO58" i="18"/>
  <c r="BD58" i="18"/>
  <c r="AP58" i="18"/>
  <c r="BE58" i="18"/>
  <c r="AQ58" i="18"/>
  <c r="BF58" i="18"/>
  <c r="AR58" i="18"/>
  <c r="BG58" i="18"/>
  <c r="AS58" i="18"/>
  <c r="BH58" i="18"/>
  <c r="AT58" i="18"/>
  <c r="BI58" i="18"/>
  <c r="AU58" i="18"/>
  <c r="BJ58" i="18"/>
  <c r="AV58" i="18"/>
  <c r="BK58" i="18"/>
  <c r="AW58" i="18"/>
  <c r="BL58" i="18"/>
  <c r="AX58" i="18"/>
  <c r="BM58" i="18"/>
  <c r="AY58" i="18"/>
  <c r="BN58" i="18"/>
  <c r="AZ58" i="18"/>
  <c r="BO58" i="18"/>
  <c r="BA58" i="18"/>
  <c r="BP58" i="18"/>
  <c r="BB58" i="18"/>
  <c r="BQ58" i="18"/>
  <c r="BR58" i="18"/>
  <c r="AN57" i="18"/>
  <c r="BC57" i="18"/>
  <c r="AO57" i="18"/>
  <c r="BD57" i="18"/>
  <c r="AP57" i="18"/>
  <c r="BE57" i="18"/>
  <c r="AQ57" i="18"/>
  <c r="BF57" i="18"/>
  <c r="AR57" i="18"/>
  <c r="BG57" i="18"/>
  <c r="AS57" i="18"/>
  <c r="BH57" i="18"/>
  <c r="AT57" i="18"/>
  <c r="BI57" i="18"/>
  <c r="AU57" i="18"/>
  <c r="BJ57" i="18"/>
  <c r="AV57" i="18"/>
  <c r="BK57" i="18"/>
  <c r="AW57" i="18"/>
  <c r="BL57" i="18"/>
  <c r="AX57" i="18"/>
  <c r="BM57" i="18"/>
  <c r="AY57" i="18"/>
  <c r="BN57" i="18"/>
  <c r="AZ57" i="18"/>
  <c r="BO57" i="18"/>
  <c r="BA57" i="18"/>
  <c r="BP57" i="18"/>
  <c r="BB57" i="18"/>
  <c r="BQ57" i="18"/>
  <c r="BR57" i="18"/>
  <c r="AN56" i="18"/>
  <c r="BC56" i="18"/>
  <c r="AO56" i="18"/>
  <c r="BD56" i="18"/>
  <c r="AP56" i="18"/>
  <c r="BE56" i="18"/>
  <c r="AQ56" i="18"/>
  <c r="BF56" i="18"/>
  <c r="AR56" i="18"/>
  <c r="BG56" i="18"/>
  <c r="AS56" i="18"/>
  <c r="BH56" i="18"/>
  <c r="AT56" i="18"/>
  <c r="BI56" i="18"/>
  <c r="AU56" i="18"/>
  <c r="BJ56" i="18"/>
  <c r="AV56" i="18"/>
  <c r="BK56" i="18"/>
  <c r="AW56" i="18"/>
  <c r="BL56" i="18"/>
  <c r="AX56" i="18"/>
  <c r="BM56" i="18"/>
  <c r="AY56" i="18"/>
  <c r="BN56" i="18"/>
  <c r="AZ56" i="18"/>
  <c r="BO56" i="18"/>
  <c r="BA56" i="18"/>
  <c r="BP56" i="18"/>
  <c r="BB56" i="18"/>
  <c r="BQ56" i="18"/>
  <c r="BR56" i="18"/>
  <c r="AN55" i="18"/>
  <c r="BC55" i="18"/>
  <c r="AO55" i="18"/>
  <c r="BD55" i="18"/>
  <c r="AP55" i="18"/>
  <c r="BE55" i="18"/>
  <c r="AQ55" i="18"/>
  <c r="BF55" i="18"/>
  <c r="AR55" i="18"/>
  <c r="BG55" i="18"/>
  <c r="AS55" i="18"/>
  <c r="BH55" i="18"/>
  <c r="AT55" i="18"/>
  <c r="BI55" i="18"/>
  <c r="AU55" i="18"/>
  <c r="BJ55" i="18"/>
  <c r="AV55" i="18"/>
  <c r="BK55" i="18"/>
  <c r="AW55" i="18"/>
  <c r="BL55" i="18"/>
  <c r="AX55" i="18"/>
  <c r="BM55" i="18"/>
  <c r="AY55" i="18"/>
  <c r="BN55" i="18"/>
  <c r="AZ55" i="18"/>
  <c r="BO55" i="18"/>
  <c r="BA55" i="18"/>
  <c r="BP55" i="18"/>
  <c r="BB55" i="18"/>
  <c r="BQ55" i="18"/>
  <c r="BR55" i="18"/>
  <c r="AN54" i="18"/>
  <c r="BC54" i="18"/>
  <c r="AO54" i="18"/>
  <c r="BD54" i="18"/>
  <c r="AP54" i="18"/>
  <c r="BE54" i="18"/>
  <c r="AQ54" i="18"/>
  <c r="BF54" i="18"/>
  <c r="AR54" i="18"/>
  <c r="BG54" i="18"/>
  <c r="AS54" i="18"/>
  <c r="BH54" i="18"/>
  <c r="AT54" i="18"/>
  <c r="BI54" i="18"/>
  <c r="AU54" i="18"/>
  <c r="BJ54" i="18"/>
  <c r="AV54" i="18"/>
  <c r="BK54" i="18"/>
  <c r="AW54" i="18"/>
  <c r="BL54" i="18"/>
  <c r="AX54" i="18"/>
  <c r="BM54" i="18"/>
  <c r="AY54" i="18"/>
  <c r="BN54" i="18"/>
  <c r="AZ54" i="18"/>
  <c r="BO54" i="18"/>
  <c r="BA54" i="18"/>
  <c r="BP54" i="18"/>
  <c r="BB54" i="18"/>
  <c r="BQ54" i="18"/>
  <c r="BR54" i="18"/>
  <c r="AN53" i="18"/>
  <c r="BC53" i="18"/>
  <c r="AO53" i="18"/>
  <c r="BD53" i="18"/>
  <c r="AP53" i="18"/>
  <c r="BE53" i="18"/>
  <c r="AQ53" i="18"/>
  <c r="BF53" i="18"/>
  <c r="AR53" i="18"/>
  <c r="BG53" i="18"/>
  <c r="AS53" i="18"/>
  <c r="BH53" i="18"/>
  <c r="AT53" i="18"/>
  <c r="BI53" i="18"/>
  <c r="AU53" i="18"/>
  <c r="BJ53" i="18"/>
  <c r="AV53" i="18"/>
  <c r="BK53" i="18"/>
  <c r="AW53" i="18"/>
  <c r="BL53" i="18"/>
  <c r="AX53" i="18"/>
  <c r="BM53" i="18"/>
  <c r="AY53" i="18"/>
  <c r="BN53" i="18"/>
  <c r="AZ53" i="18"/>
  <c r="BO53" i="18"/>
  <c r="BA53" i="18"/>
  <c r="BP53" i="18"/>
  <c r="BB53" i="18"/>
  <c r="BQ53" i="18"/>
  <c r="BR53" i="18"/>
  <c r="AN52" i="18"/>
  <c r="BC52" i="18"/>
  <c r="AO52" i="18"/>
  <c r="BD52" i="18"/>
  <c r="AP52" i="18"/>
  <c r="BE52" i="18"/>
  <c r="AQ52" i="18"/>
  <c r="BF52" i="18"/>
  <c r="AR52" i="18"/>
  <c r="BG52" i="18"/>
  <c r="AS52" i="18"/>
  <c r="BH52" i="18"/>
  <c r="AT52" i="18"/>
  <c r="BI52" i="18"/>
  <c r="AU52" i="18"/>
  <c r="BJ52" i="18"/>
  <c r="AV52" i="18"/>
  <c r="BK52" i="18"/>
  <c r="AW52" i="18"/>
  <c r="BL52" i="18"/>
  <c r="AX52" i="18"/>
  <c r="BM52" i="18"/>
  <c r="AY52" i="18"/>
  <c r="BN52" i="18"/>
  <c r="AZ52" i="18"/>
  <c r="BO52" i="18"/>
  <c r="BA52" i="18"/>
  <c r="BP52" i="18"/>
  <c r="BB52" i="18"/>
  <c r="BQ52" i="18"/>
  <c r="BR52" i="18"/>
  <c r="AN51" i="18"/>
  <c r="BC51" i="18"/>
  <c r="AO51" i="18"/>
  <c r="BD51" i="18"/>
  <c r="AP51" i="18"/>
  <c r="BE51" i="18"/>
  <c r="AQ51" i="18"/>
  <c r="BF51" i="18"/>
  <c r="AR51" i="18"/>
  <c r="BG51" i="18"/>
  <c r="AS51" i="18"/>
  <c r="BH51" i="18"/>
  <c r="AT51" i="18"/>
  <c r="BI51" i="18"/>
  <c r="AU51" i="18"/>
  <c r="BJ51" i="18"/>
  <c r="AV51" i="18"/>
  <c r="BK51" i="18"/>
  <c r="AW51" i="18"/>
  <c r="BL51" i="18"/>
  <c r="AX51" i="18"/>
  <c r="BM51" i="18"/>
  <c r="AY51" i="18"/>
  <c r="BN51" i="18"/>
  <c r="AZ51" i="18"/>
  <c r="BO51" i="18"/>
  <c r="BA51" i="18"/>
  <c r="BP51" i="18"/>
  <c r="BB51" i="18"/>
  <c r="BQ51" i="18"/>
  <c r="BR51" i="18"/>
  <c r="AN50" i="18"/>
  <c r="BC50" i="18"/>
  <c r="AO50" i="18"/>
  <c r="BD50" i="18"/>
  <c r="AP50" i="18"/>
  <c r="BE50" i="18"/>
  <c r="AQ50" i="18"/>
  <c r="BF50" i="18"/>
  <c r="AR50" i="18"/>
  <c r="BG50" i="18"/>
  <c r="AS50" i="18"/>
  <c r="BH50" i="18"/>
  <c r="AT50" i="18"/>
  <c r="BI50" i="18"/>
  <c r="AU50" i="18"/>
  <c r="BJ50" i="18"/>
  <c r="AV50" i="18"/>
  <c r="BK50" i="18"/>
  <c r="AW50" i="18"/>
  <c r="BL50" i="18"/>
  <c r="AX50" i="18"/>
  <c r="BM50" i="18"/>
  <c r="AY50" i="18"/>
  <c r="BN50" i="18"/>
  <c r="AZ50" i="18"/>
  <c r="BO50" i="18"/>
  <c r="BA50" i="18"/>
  <c r="BP50" i="18"/>
  <c r="BB50" i="18"/>
  <c r="BQ50" i="18"/>
  <c r="BR50" i="18"/>
  <c r="AN23" i="18"/>
  <c r="AN49" i="18"/>
  <c r="BC49" i="18"/>
  <c r="AO23" i="18"/>
  <c r="AO49" i="18"/>
  <c r="BD49" i="18"/>
  <c r="AP23" i="18"/>
  <c r="AP49" i="18"/>
  <c r="BE49" i="18"/>
  <c r="AD23" i="29"/>
  <c r="BD23" i="30"/>
  <c r="AU23" i="29"/>
  <c r="BU23" i="30"/>
  <c r="BA23" i="29"/>
  <c r="CA23" i="30"/>
  <c r="BB23" i="29"/>
  <c r="CB23" i="30"/>
  <c r="BC23" i="30"/>
  <c r="AQ23" i="18"/>
  <c r="AQ49" i="18"/>
  <c r="BF49" i="18"/>
  <c r="J23" i="18"/>
  <c r="AR23" i="18"/>
  <c r="AR49" i="18"/>
  <c r="BG49" i="18"/>
  <c r="K23" i="18"/>
  <c r="AS23" i="18"/>
  <c r="AS49" i="18"/>
  <c r="BH49" i="18"/>
  <c r="G23" i="18"/>
  <c r="AT23" i="18"/>
  <c r="AT49" i="18"/>
  <c r="BI49" i="18"/>
  <c r="H23" i="18"/>
  <c r="AU23" i="18"/>
  <c r="AU49" i="18"/>
  <c r="BJ49" i="18"/>
  <c r="I23" i="18"/>
  <c r="AV23" i="18"/>
  <c r="AV49" i="18"/>
  <c r="BK49" i="18"/>
  <c r="E23" i="18"/>
  <c r="AW23" i="18"/>
  <c r="AW49" i="18"/>
  <c r="BL49" i="18"/>
  <c r="F23" i="18"/>
  <c r="AX23" i="18"/>
  <c r="AX49" i="18"/>
  <c r="BM49" i="18"/>
  <c r="L23" i="18"/>
  <c r="AY23" i="18"/>
  <c r="AY49" i="18"/>
  <c r="BN49" i="18"/>
  <c r="N23" i="18"/>
  <c r="AZ23" i="18"/>
  <c r="AZ49" i="18"/>
  <c r="BO49" i="18"/>
  <c r="M23" i="18"/>
  <c r="BA23" i="18"/>
  <c r="BA49" i="18"/>
  <c r="BP49" i="18"/>
  <c r="O23" i="18"/>
  <c r="BB23" i="18"/>
  <c r="BB49" i="18"/>
  <c r="BQ49" i="18"/>
  <c r="BR49" i="18"/>
  <c r="AN48" i="18"/>
  <c r="BC48" i="18"/>
  <c r="AO48" i="18"/>
  <c r="BD48" i="18"/>
  <c r="AP48" i="18"/>
  <c r="BE48" i="18"/>
  <c r="AQ48" i="18"/>
  <c r="BF48" i="18"/>
  <c r="AR48" i="18"/>
  <c r="BG48" i="18"/>
  <c r="AS48" i="18"/>
  <c r="BH48" i="18"/>
  <c r="AT48" i="18"/>
  <c r="BI48" i="18"/>
  <c r="AU48" i="18"/>
  <c r="BJ48" i="18"/>
  <c r="AV48" i="18"/>
  <c r="BK48" i="18"/>
  <c r="AW48" i="18"/>
  <c r="BL48" i="18"/>
  <c r="AX48" i="18"/>
  <c r="BM48" i="18"/>
  <c r="AY48" i="18"/>
  <c r="BN48" i="18"/>
  <c r="AZ48" i="18"/>
  <c r="BO48" i="18"/>
  <c r="BA48" i="18"/>
  <c r="BP48" i="18"/>
  <c r="BB48" i="18"/>
  <c r="BQ48" i="18"/>
  <c r="BR48" i="18"/>
  <c r="AN6" i="18"/>
  <c r="AN47" i="18"/>
  <c r="BC47" i="18"/>
  <c r="AO6" i="18"/>
  <c r="AO47" i="18"/>
  <c r="BD47" i="18"/>
  <c r="AP6" i="18"/>
  <c r="AP47" i="18"/>
  <c r="BE47" i="18"/>
  <c r="AD6" i="29"/>
  <c r="BD6" i="30"/>
  <c r="AU6" i="29"/>
  <c r="BU6" i="30"/>
  <c r="BA6" i="29"/>
  <c r="CA6" i="30"/>
  <c r="BB6" i="29"/>
  <c r="CB6" i="30"/>
  <c r="BC6" i="30"/>
  <c r="AQ6" i="18"/>
  <c r="AQ47" i="18"/>
  <c r="BF47" i="18"/>
  <c r="J6" i="18"/>
  <c r="AR6" i="18"/>
  <c r="AR47" i="18"/>
  <c r="BG47" i="18"/>
  <c r="K6" i="18"/>
  <c r="AS6" i="18"/>
  <c r="AS47" i="18"/>
  <c r="BH47" i="18"/>
  <c r="G6" i="18"/>
  <c r="AT6" i="18"/>
  <c r="AT47" i="18"/>
  <c r="BI47" i="18"/>
  <c r="H6" i="18"/>
  <c r="AU6" i="18"/>
  <c r="AU47" i="18"/>
  <c r="BJ47" i="18"/>
  <c r="I6" i="18"/>
  <c r="AV6" i="18"/>
  <c r="AV47" i="18"/>
  <c r="BK47" i="18"/>
  <c r="E6" i="18"/>
  <c r="AW6" i="18"/>
  <c r="AW47" i="18"/>
  <c r="BL47" i="18"/>
  <c r="F6" i="18"/>
  <c r="AX6" i="18"/>
  <c r="AX47" i="18"/>
  <c r="BM47" i="18"/>
  <c r="L6" i="18"/>
  <c r="AY6" i="18"/>
  <c r="AY47" i="18"/>
  <c r="BN47" i="18"/>
  <c r="N6" i="18"/>
  <c r="AZ6" i="18"/>
  <c r="AZ47" i="18"/>
  <c r="BO47" i="18"/>
  <c r="M6" i="18"/>
  <c r="BA6" i="18"/>
  <c r="BA47" i="18"/>
  <c r="BP47" i="18"/>
  <c r="O6" i="18"/>
  <c r="BB6" i="18"/>
  <c r="BB47" i="18"/>
  <c r="BQ47" i="18"/>
  <c r="BR47" i="18"/>
  <c r="AN10" i="18"/>
  <c r="AN46" i="18"/>
  <c r="BC46" i="18"/>
  <c r="AO10" i="18"/>
  <c r="AO46" i="18"/>
  <c r="BD46" i="18"/>
  <c r="AP10" i="18"/>
  <c r="AP46" i="18"/>
  <c r="BE46" i="18"/>
  <c r="AD10" i="29"/>
  <c r="BD10" i="30"/>
  <c r="AU10" i="29"/>
  <c r="BU10" i="30"/>
  <c r="BA10" i="29"/>
  <c r="CA10" i="30"/>
  <c r="BB10" i="29"/>
  <c r="CB10" i="30"/>
  <c r="BC10" i="30"/>
  <c r="AQ10" i="18"/>
  <c r="AQ46" i="18"/>
  <c r="BF46" i="18"/>
  <c r="J10" i="18"/>
  <c r="AR10" i="18"/>
  <c r="AR46" i="18"/>
  <c r="BG46" i="18"/>
  <c r="K10" i="18"/>
  <c r="AS10" i="18"/>
  <c r="AS46" i="18"/>
  <c r="BH46" i="18"/>
  <c r="G10" i="18"/>
  <c r="AT10" i="18"/>
  <c r="AT46" i="18"/>
  <c r="BI46" i="18"/>
  <c r="H10" i="18"/>
  <c r="AU10" i="18"/>
  <c r="AU46" i="18"/>
  <c r="BJ46" i="18"/>
  <c r="I10" i="18"/>
  <c r="AV10" i="18"/>
  <c r="AV46" i="18"/>
  <c r="BK46" i="18"/>
  <c r="E10" i="18"/>
  <c r="AW10" i="18"/>
  <c r="AW46" i="18"/>
  <c r="BL46" i="18"/>
  <c r="F10" i="18"/>
  <c r="AX10" i="18"/>
  <c r="AX46" i="18"/>
  <c r="BM46" i="18"/>
  <c r="L10" i="18"/>
  <c r="AY10" i="18"/>
  <c r="AY46" i="18"/>
  <c r="BN46" i="18"/>
  <c r="N10" i="18"/>
  <c r="AZ10" i="18"/>
  <c r="AZ46" i="18"/>
  <c r="BO46" i="18"/>
  <c r="M10" i="18"/>
  <c r="BA10" i="18"/>
  <c r="BA46" i="18"/>
  <c r="BP46" i="18"/>
  <c r="O10" i="18"/>
  <c r="BB10" i="18"/>
  <c r="BB46" i="18"/>
  <c r="BQ46" i="18"/>
  <c r="BR46" i="18"/>
  <c r="AN45" i="18"/>
  <c r="BC45" i="18"/>
  <c r="AO45" i="18"/>
  <c r="BD45" i="18"/>
  <c r="AP45" i="18"/>
  <c r="BE45" i="18"/>
  <c r="AQ45" i="18"/>
  <c r="BF45" i="18"/>
  <c r="AR45" i="18"/>
  <c r="BG45" i="18"/>
  <c r="AS45" i="18"/>
  <c r="BH45" i="18"/>
  <c r="AT45" i="18"/>
  <c r="BI45" i="18"/>
  <c r="AU45" i="18"/>
  <c r="BJ45" i="18"/>
  <c r="AV45" i="18"/>
  <c r="BK45" i="18"/>
  <c r="AW45" i="18"/>
  <c r="BL45" i="18"/>
  <c r="AX45" i="18"/>
  <c r="BM45" i="18"/>
  <c r="AY45" i="18"/>
  <c r="BN45" i="18"/>
  <c r="AZ45" i="18"/>
  <c r="BO45" i="18"/>
  <c r="BA45" i="18"/>
  <c r="BP45" i="18"/>
  <c r="BB45" i="18"/>
  <c r="BQ45" i="18"/>
  <c r="BR45" i="18"/>
  <c r="AN15" i="18"/>
  <c r="AN44" i="18"/>
  <c r="BC44" i="18"/>
  <c r="AO15" i="18"/>
  <c r="AO44" i="18"/>
  <c r="BD44" i="18"/>
  <c r="AP15" i="18"/>
  <c r="AP44" i="18"/>
  <c r="BE44" i="18"/>
  <c r="AD15" i="29"/>
  <c r="BD15" i="30"/>
  <c r="AU15" i="29"/>
  <c r="BU15" i="30"/>
  <c r="BA15" i="29"/>
  <c r="CA15" i="30"/>
  <c r="BB15" i="29"/>
  <c r="CB15" i="30"/>
  <c r="BC15" i="30"/>
  <c r="AQ15" i="18"/>
  <c r="AQ44" i="18"/>
  <c r="BF44" i="18"/>
  <c r="J15" i="18"/>
  <c r="AR15" i="18"/>
  <c r="AR44" i="18"/>
  <c r="BG44" i="18"/>
  <c r="K15" i="18"/>
  <c r="AS15" i="18"/>
  <c r="AS44" i="18"/>
  <c r="BH44" i="18"/>
  <c r="G15" i="18"/>
  <c r="AT15" i="18"/>
  <c r="AT44" i="18"/>
  <c r="BI44" i="18"/>
  <c r="H15" i="18"/>
  <c r="AU15" i="18"/>
  <c r="AU44" i="18"/>
  <c r="BJ44" i="18"/>
  <c r="I15" i="18"/>
  <c r="AV15" i="18"/>
  <c r="AV44" i="18"/>
  <c r="BK44" i="18"/>
  <c r="E15" i="18"/>
  <c r="AW15" i="18"/>
  <c r="AW44" i="18"/>
  <c r="BL44" i="18"/>
  <c r="F15" i="18"/>
  <c r="AX15" i="18"/>
  <c r="AX44" i="18"/>
  <c r="BM44" i="18"/>
  <c r="L15" i="18"/>
  <c r="AY15" i="18"/>
  <c r="AY44" i="18"/>
  <c r="BN44" i="18"/>
  <c r="N15" i="18"/>
  <c r="AZ15" i="18"/>
  <c r="AZ44" i="18"/>
  <c r="BO44" i="18"/>
  <c r="M15" i="18"/>
  <c r="BA15" i="18"/>
  <c r="BA44" i="18"/>
  <c r="BP44" i="18"/>
  <c r="O15" i="18"/>
  <c r="BB15" i="18"/>
  <c r="BB44" i="18"/>
  <c r="BQ44" i="18"/>
  <c r="BR44" i="18"/>
  <c r="AN28" i="18"/>
  <c r="AN43" i="18"/>
  <c r="BC43" i="18"/>
  <c r="AO28" i="18"/>
  <c r="AO43" i="18"/>
  <c r="BD43" i="18"/>
  <c r="AP28" i="18"/>
  <c r="AP43" i="18"/>
  <c r="BE43" i="18"/>
  <c r="AD28" i="29"/>
  <c r="BD28" i="30"/>
  <c r="AU28" i="29"/>
  <c r="BU28" i="30"/>
  <c r="BA28" i="29"/>
  <c r="CA28" i="30"/>
  <c r="BB28" i="29"/>
  <c r="CB28" i="30"/>
  <c r="BC28" i="30"/>
  <c r="AQ28" i="18"/>
  <c r="AQ43" i="18"/>
  <c r="BF43" i="18"/>
  <c r="J28" i="18"/>
  <c r="AR28" i="18"/>
  <c r="AR43" i="18"/>
  <c r="BG43" i="18"/>
  <c r="K28" i="18"/>
  <c r="AS28" i="18"/>
  <c r="AS43" i="18"/>
  <c r="BH43" i="18"/>
  <c r="G28" i="18"/>
  <c r="AT28" i="18"/>
  <c r="AT43" i="18"/>
  <c r="BI43" i="18"/>
  <c r="H28" i="18"/>
  <c r="AU28" i="18"/>
  <c r="AU43" i="18"/>
  <c r="BJ43" i="18"/>
  <c r="I28" i="18"/>
  <c r="AV28" i="18"/>
  <c r="AV43" i="18"/>
  <c r="BK43" i="18"/>
  <c r="E28" i="18"/>
  <c r="AW28" i="18"/>
  <c r="AW43" i="18"/>
  <c r="BL43" i="18"/>
  <c r="F28" i="18"/>
  <c r="AX28" i="18"/>
  <c r="AX43" i="18"/>
  <c r="BM43" i="18"/>
  <c r="L28" i="18"/>
  <c r="AY28" i="18"/>
  <c r="AY43" i="18"/>
  <c r="BN43" i="18"/>
  <c r="N28" i="18"/>
  <c r="AZ28" i="18"/>
  <c r="AZ43" i="18"/>
  <c r="BO43" i="18"/>
  <c r="M28" i="18"/>
  <c r="BA28" i="18"/>
  <c r="BA43" i="18"/>
  <c r="BP43" i="18"/>
  <c r="O28" i="18"/>
  <c r="BB28" i="18"/>
  <c r="BB43" i="18"/>
  <c r="BQ43" i="18"/>
  <c r="BR43" i="18"/>
  <c r="AN19" i="18"/>
  <c r="AN42" i="18"/>
  <c r="BC42" i="18"/>
  <c r="AO19" i="18"/>
  <c r="AO42" i="18"/>
  <c r="BD42" i="18"/>
  <c r="AP19" i="18"/>
  <c r="AP42" i="18"/>
  <c r="BE42" i="18"/>
  <c r="AD19" i="29"/>
  <c r="BD19" i="30"/>
  <c r="AU19" i="29"/>
  <c r="BU19" i="30"/>
  <c r="BA19" i="29"/>
  <c r="CA19" i="30"/>
  <c r="BB19" i="29"/>
  <c r="CB19" i="30"/>
  <c r="BC19" i="30"/>
  <c r="AQ19" i="18"/>
  <c r="AQ42" i="18"/>
  <c r="BF42" i="18"/>
  <c r="J19" i="18"/>
  <c r="AR19" i="18"/>
  <c r="AR42" i="18"/>
  <c r="BG42" i="18"/>
  <c r="K19" i="18"/>
  <c r="AS19" i="18"/>
  <c r="AS42" i="18"/>
  <c r="BH42" i="18"/>
  <c r="G19" i="18"/>
  <c r="AT19" i="18"/>
  <c r="AT42" i="18"/>
  <c r="BI42" i="18"/>
  <c r="H19" i="18"/>
  <c r="AU19" i="18"/>
  <c r="AU42" i="18"/>
  <c r="BJ42" i="18"/>
  <c r="I19" i="18"/>
  <c r="AV19" i="18"/>
  <c r="AV42" i="18"/>
  <c r="BK42" i="18"/>
  <c r="E19" i="18"/>
  <c r="AW19" i="18"/>
  <c r="AW42" i="18"/>
  <c r="BL42" i="18"/>
  <c r="F19" i="18"/>
  <c r="AX19" i="18"/>
  <c r="AX42" i="18"/>
  <c r="BM42" i="18"/>
  <c r="L19" i="18"/>
  <c r="AY19" i="18"/>
  <c r="AY42" i="18"/>
  <c r="BN42" i="18"/>
  <c r="N19" i="18"/>
  <c r="AZ19" i="18"/>
  <c r="AZ42" i="18"/>
  <c r="BO42" i="18"/>
  <c r="M19" i="18"/>
  <c r="BA19" i="18"/>
  <c r="BA42" i="18"/>
  <c r="BP42" i="18"/>
  <c r="O19" i="18"/>
  <c r="BB19" i="18"/>
  <c r="BB42" i="18"/>
  <c r="BQ42" i="18"/>
  <c r="BR42" i="18"/>
  <c r="AN8" i="18"/>
  <c r="AN41" i="18"/>
  <c r="BC41" i="18"/>
  <c r="AO8" i="18"/>
  <c r="AO41" i="18"/>
  <c r="BD41" i="18"/>
  <c r="AP8" i="18"/>
  <c r="AP41" i="18"/>
  <c r="BE41" i="18"/>
  <c r="AD8" i="29"/>
  <c r="BD8" i="30"/>
  <c r="AU8" i="29"/>
  <c r="BU8" i="30"/>
  <c r="BA8" i="29"/>
  <c r="CA8" i="30"/>
  <c r="BB8" i="29"/>
  <c r="CB8" i="30"/>
  <c r="BC8" i="30"/>
  <c r="AQ8" i="18"/>
  <c r="AQ41" i="18"/>
  <c r="BF41" i="18"/>
  <c r="J8" i="18"/>
  <c r="AR8" i="18"/>
  <c r="AR41" i="18"/>
  <c r="BG41" i="18"/>
  <c r="K8" i="18"/>
  <c r="AS8" i="18"/>
  <c r="AS41" i="18"/>
  <c r="BH41" i="18"/>
  <c r="G8" i="18"/>
  <c r="AT8" i="18"/>
  <c r="AT41" i="18"/>
  <c r="BI41" i="18"/>
  <c r="H8" i="18"/>
  <c r="AU8" i="18"/>
  <c r="AU41" i="18"/>
  <c r="BJ41" i="18"/>
  <c r="I8" i="18"/>
  <c r="AV8" i="18"/>
  <c r="AV41" i="18"/>
  <c r="BK41" i="18"/>
  <c r="E8" i="18"/>
  <c r="AW8" i="18"/>
  <c r="AW41" i="18"/>
  <c r="BL41" i="18"/>
  <c r="F8" i="18"/>
  <c r="AX8" i="18"/>
  <c r="AX41" i="18"/>
  <c r="BM41" i="18"/>
  <c r="L8" i="18"/>
  <c r="AY8" i="18"/>
  <c r="AY41" i="18"/>
  <c r="BN41" i="18"/>
  <c r="N8" i="18"/>
  <c r="AZ8" i="18"/>
  <c r="AZ41" i="18"/>
  <c r="BO41" i="18"/>
  <c r="M8" i="18"/>
  <c r="BA8" i="18"/>
  <c r="BA41" i="18"/>
  <c r="BP41" i="18"/>
  <c r="O8" i="18"/>
  <c r="BB8" i="18"/>
  <c r="BB41" i="18"/>
  <c r="BQ41" i="18"/>
  <c r="BR41" i="18"/>
  <c r="AN4" i="18"/>
  <c r="AN40" i="18"/>
  <c r="BC40" i="18"/>
  <c r="AO4" i="18"/>
  <c r="AO40" i="18"/>
  <c r="BD40" i="18"/>
  <c r="AP4" i="18"/>
  <c r="AP40" i="18"/>
  <c r="BE40" i="18"/>
  <c r="AD4" i="29"/>
  <c r="BD4" i="30"/>
  <c r="AU4" i="29"/>
  <c r="BU4" i="30"/>
  <c r="BA4" i="29"/>
  <c r="CA4" i="30"/>
  <c r="BB4" i="29"/>
  <c r="CB4" i="30"/>
  <c r="BC4" i="30"/>
  <c r="AQ4" i="18"/>
  <c r="AQ40" i="18"/>
  <c r="BF40" i="18"/>
  <c r="J4" i="18"/>
  <c r="AR4" i="18"/>
  <c r="AR40" i="18"/>
  <c r="BG40" i="18"/>
  <c r="K4" i="18"/>
  <c r="AS4" i="18"/>
  <c r="AS40" i="18"/>
  <c r="BH40" i="18"/>
  <c r="G4" i="18"/>
  <c r="AT4" i="18"/>
  <c r="AT40" i="18"/>
  <c r="BI40" i="18"/>
  <c r="H4" i="18"/>
  <c r="AU4" i="18"/>
  <c r="AU40" i="18"/>
  <c r="BJ40" i="18"/>
  <c r="I4" i="18"/>
  <c r="AV4" i="18"/>
  <c r="AV40" i="18"/>
  <c r="BK40" i="18"/>
  <c r="E4" i="18"/>
  <c r="AW4" i="18"/>
  <c r="AW40" i="18"/>
  <c r="BL40" i="18"/>
  <c r="F4" i="18"/>
  <c r="AX4" i="18"/>
  <c r="AX40" i="18"/>
  <c r="BM40" i="18"/>
  <c r="L4" i="18"/>
  <c r="AY4" i="18"/>
  <c r="AY40" i="18"/>
  <c r="BN40" i="18"/>
  <c r="N4" i="18"/>
  <c r="AZ4" i="18"/>
  <c r="AZ40" i="18"/>
  <c r="BO40" i="18"/>
  <c r="M4" i="18"/>
  <c r="BA4" i="18"/>
  <c r="BA40" i="18"/>
  <c r="BP40" i="18"/>
  <c r="O4" i="18"/>
  <c r="BB4" i="18"/>
  <c r="BB40" i="18"/>
  <c r="BQ40" i="18"/>
  <c r="BR40" i="18"/>
  <c r="AN11" i="18"/>
  <c r="AN39" i="18"/>
  <c r="BC39" i="18"/>
  <c r="AO11" i="18"/>
  <c r="AO39" i="18"/>
  <c r="BD39" i="18"/>
  <c r="AP11" i="18"/>
  <c r="AP39" i="18"/>
  <c r="BE39" i="18"/>
  <c r="AD11" i="29"/>
  <c r="BD11" i="30"/>
  <c r="AU11" i="29"/>
  <c r="BU11" i="30"/>
  <c r="BA11" i="29"/>
  <c r="CA11" i="30"/>
  <c r="BB11" i="29"/>
  <c r="CB11" i="30"/>
  <c r="BC11" i="30"/>
  <c r="AQ11" i="18"/>
  <c r="AQ39" i="18"/>
  <c r="BF39" i="18"/>
  <c r="J11" i="18"/>
  <c r="AR11" i="18"/>
  <c r="AR39" i="18"/>
  <c r="BG39" i="18"/>
  <c r="K11" i="18"/>
  <c r="AS11" i="18"/>
  <c r="AS39" i="18"/>
  <c r="BH39" i="18"/>
  <c r="G11" i="18"/>
  <c r="AT11" i="18"/>
  <c r="AT39" i="18"/>
  <c r="BI39" i="18"/>
  <c r="H11" i="18"/>
  <c r="AU11" i="18"/>
  <c r="AU39" i="18"/>
  <c r="BJ39" i="18"/>
  <c r="I11" i="18"/>
  <c r="AV11" i="18"/>
  <c r="AV39" i="18"/>
  <c r="BK39" i="18"/>
  <c r="E11" i="18"/>
  <c r="AW11" i="18"/>
  <c r="AW39" i="18"/>
  <c r="BL39" i="18"/>
  <c r="F11" i="18"/>
  <c r="AX11" i="18"/>
  <c r="AX39" i="18"/>
  <c r="BM39" i="18"/>
  <c r="L11" i="18"/>
  <c r="AY11" i="18"/>
  <c r="AY39" i="18"/>
  <c r="BN39" i="18"/>
  <c r="N11" i="18"/>
  <c r="AZ11" i="18"/>
  <c r="AZ39" i="18"/>
  <c r="BO39" i="18"/>
  <c r="M11" i="18"/>
  <c r="BA11" i="18"/>
  <c r="BA39" i="18"/>
  <c r="BP39" i="18"/>
  <c r="O11" i="18"/>
  <c r="BB11" i="18"/>
  <c r="BB39" i="18"/>
  <c r="BQ39" i="18"/>
  <c r="BR39" i="18"/>
  <c r="AN2" i="18"/>
  <c r="AN38" i="18"/>
  <c r="BC38" i="18"/>
  <c r="AO2" i="18"/>
  <c r="AO38" i="18"/>
  <c r="BD38" i="18"/>
  <c r="AP2" i="18"/>
  <c r="AP38" i="18"/>
  <c r="BE38" i="18"/>
  <c r="AD2" i="29"/>
  <c r="BD2" i="30"/>
  <c r="AU2" i="29"/>
  <c r="BU2" i="30"/>
  <c r="BA2" i="29"/>
  <c r="CA2" i="30"/>
  <c r="BB2" i="29"/>
  <c r="CB2" i="30"/>
  <c r="BC2" i="30"/>
  <c r="AQ2" i="18"/>
  <c r="AQ38" i="18"/>
  <c r="BF38" i="18"/>
  <c r="J2" i="18"/>
  <c r="AR2" i="18"/>
  <c r="AR38" i="18"/>
  <c r="BG38" i="18"/>
  <c r="K2" i="18"/>
  <c r="AS2" i="18"/>
  <c r="AS38" i="18"/>
  <c r="BH38" i="18"/>
  <c r="G2" i="18"/>
  <c r="AT2" i="18"/>
  <c r="AT38" i="18"/>
  <c r="BI38" i="18"/>
  <c r="H2" i="18"/>
  <c r="AU2" i="18"/>
  <c r="AU38" i="18"/>
  <c r="BJ38" i="18"/>
  <c r="I2" i="18"/>
  <c r="AV2" i="18"/>
  <c r="AV38" i="18"/>
  <c r="BK38" i="18"/>
  <c r="E2" i="18"/>
  <c r="AW2" i="18"/>
  <c r="AW38" i="18"/>
  <c r="BL38" i="18"/>
  <c r="F2" i="18"/>
  <c r="AX2" i="18"/>
  <c r="AX38" i="18"/>
  <c r="BM38" i="18"/>
  <c r="L2" i="18"/>
  <c r="AY2" i="18"/>
  <c r="AY38" i="18"/>
  <c r="BN38" i="18"/>
  <c r="N2" i="18"/>
  <c r="AZ2" i="18"/>
  <c r="AZ38" i="18"/>
  <c r="BO38" i="18"/>
  <c r="M2" i="18"/>
  <c r="BA2" i="18"/>
  <c r="BA38" i="18"/>
  <c r="BP38" i="18"/>
  <c r="O2" i="18"/>
  <c r="BB2" i="18"/>
  <c r="BB38" i="18"/>
  <c r="BQ38" i="18"/>
  <c r="BR38" i="18"/>
  <c r="AN22" i="18"/>
  <c r="AN37" i="18"/>
  <c r="BC37" i="18"/>
  <c r="AO22" i="18"/>
  <c r="AO37" i="18"/>
  <c r="BD37" i="18"/>
  <c r="AP22" i="18"/>
  <c r="AP37" i="18"/>
  <c r="BE37" i="18"/>
  <c r="AD22" i="29"/>
  <c r="BD22" i="30"/>
  <c r="AU22" i="29"/>
  <c r="BU22" i="30"/>
  <c r="BA22" i="29"/>
  <c r="CA22" i="30"/>
  <c r="BB22" i="29"/>
  <c r="CB22" i="30"/>
  <c r="BC22" i="30"/>
  <c r="AQ22" i="18"/>
  <c r="AQ37" i="18"/>
  <c r="BF37" i="18"/>
  <c r="J22" i="18"/>
  <c r="AR22" i="18"/>
  <c r="AR37" i="18"/>
  <c r="BG37" i="18"/>
  <c r="K22" i="18"/>
  <c r="AS22" i="18"/>
  <c r="AS37" i="18"/>
  <c r="BH37" i="18"/>
  <c r="G22" i="18"/>
  <c r="AT22" i="18"/>
  <c r="AT37" i="18"/>
  <c r="BI37" i="18"/>
  <c r="H22" i="18"/>
  <c r="AU22" i="18"/>
  <c r="AU37" i="18"/>
  <c r="BJ37" i="18"/>
  <c r="I22" i="18"/>
  <c r="AV22" i="18"/>
  <c r="AV37" i="18"/>
  <c r="BK37" i="18"/>
  <c r="E22" i="18"/>
  <c r="AW22" i="18"/>
  <c r="AW37" i="18"/>
  <c r="BL37" i="18"/>
  <c r="F22" i="18"/>
  <c r="AX22" i="18"/>
  <c r="AX37" i="18"/>
  <c r="BM37" i="18"/>
  <c r="L22" i="18"/>
  <c r="AY22" i="18"/>
  <c r="AY37" i="18"/>
  <c r="BN37" i="18"/>
  <c r="N22" i="18"/>
  <c r="AZ22" i="18"/>
  <c r="AZ37" i="18"/>
  <c r="BO37" i="18"/>
  <c r="M22" i="18"/>
  <c r="BA22" i="18"/>
  <c r="BA37" i="18"/>
  <c r="BP37" i="18"/>
  <c r="O22" i="18"/>
  <c r="BB22" i="18"/>
  <c r="BB37" i="18"/>
  <c r="BQ37" i="18"/>
  <c r="BR37" i="18"/>
  <c r="AN26" i="18"/>
  <c r="AN36" i="18"/>
  <c r="BC36" i="18"/>
  <c r="AO26" i="18"/>
  <c r="AO36" i="18"/>
  <c r="BD36" i="18"/>
  <c r="AP26" i="18"/>
  <c r="AP36" i="18"/>
  <c r="BE36" i="18"/>
  <c r="AD26" i="29"/>
  <c r="BD26" i="30"/>
  <c r="AU26" i="29"/>
  <c r="BU26" i="30"/>
  <c r="BA26" i="29"/>
  <c r="CA26" i="30"/>
  <c r="BB26" i="29"/>
  <c r="CB26" i="30"/>
  <c r="BC26" i="30"/>
  <c r="AQ26" i="18"/>
  <c r="AQ36" i="18"/>
  <c r="BF36" i="18"/>
  <c r="J26" i="18"/>
  <c r="AR26" i="18"/>
  <c r="AR36" i="18"/>
  <c r="BG36" i="18"/>
  <c r="K26" i="18"/>
  <c r="AS26" i="18"/>
  <c r="AS36" i="18"/>
  <c r="BH36" i="18"/>
  <c r="G26" i="18"/>
  <c r="AT26" i="18"/>
  <c r="AT36" i="18"/>
  <c r="BI36" i="18"/>
  <c r="H26" i="18"/>
  <c r="AU26" i="18"/>
  <c r="AU36" i="18"/>
  <c r="BJ36" i="18"/>
  <c r="I26" i="18"/>
  <c r="AV26" i="18"/>
  <c r="AV36" i="18"/>
  <c r="BK36" i="18"/>
  <c r="E26" i="18"/>
  <c r="AW26" i="18"/>
  <c r="AW36" i="18"/>
  <c r="BL36" i="18"/>
  <c r="F26" i="18"/>
  <c r="AX26" i="18"/>
  <c r="AX36" i="18"/>
  <c r="BM36" i="18"/>
  <c r="L26" i="18"/>
  <c r="AY26" i="18"/>
  <c r="AY36" i="18"/>
  <c r="BN36" i="18"/>
  <c r="N26" i="18"/>
  <c r="AZ26" i="18"/>
  <c r="AZ36" i="18"/>
  <c r="BO36" i="18"/>
  <c r="M26" i="18"/>
  <c r="BA26" i="18"/>
  <c r="BA36" i="18"/>
  <c r="BP36" i="18"/>
  <c r="O26" i="18"/>
  <c r="BB26" i="18"/>
  <c r="BB36" i="18"/>
  <c r="BQ36" i="18"/>
  <c r="BR36" i="18"/>
  <c r="AN30" i="18"/>
  <c r="AN35" i="18"/>
  <c r="BC35" i="18"/>
  <c r="AO30" i="18"/>
  <c r="AO35" i="18"/>
  <c r="BD35" i="18"/>
  <c r="AP30" i="18"/>
  <c r="AP35" i="18"/>
  <c r="BE35" i="18"/>
  <c r="AD30" i="29"/>
  <c r="BD30" i="30"/>
  <c r="AU30" i="29"/>
  <c r="BU30" i="30"/>
  <c r="BA30" i="29"/>
  <c r="CA30" i="30"/>
  <c r="BB30" i="29"/>
  <c r="CB30" i="30"/>
  <c r="BC30" i="30"/>
  <c r="AQ30" i="18"/>
  <c r="AQ35" i="18"/>
  <c r="BF35" i="18"/>
  <c r="J30" i="18"/>
  <c r="AR30" i="18"/>
  <c r="AR35" i="18"/>
  <c r="BG35" i="18"/>
  <c r="K30" i="18"/>
  <c r="AS30" i="18"/>
  <c r="AS35" i="18"/>
  <c r="BH35" i="18"/>
  <c r="G30" i="18"/>
  <c r="AT30" i="18"/>
  <c r="AT35" i="18"/>
  <c r="BI35" i="18"/>
  <c r="H30" i="18"/>
  <c r="AU30" i="18"/>
  <c r="AU35" i="18"/>
  <c r="BJ35" i="18"/>
  <c r="I30" i="18"/>
  <c r="AV30" i="18"/>
  <c r="AV35" i="18"/>
  <c r="BK35" i="18"/>
  <c r="E30" i="18"/>
  <c r="AW30" i="18"/>
  <c r="AW35" i="18"/>
  <c r="BL35" i="18"/>
  <c r="F30" i="18"/>
  <c r="AX30" i="18"/>
  <c r="AX35" i="18"/>
  <c r="BM35" i="18"/>
  <c r="L30" i="18"/>
  <c r="AY30" i="18"/>
  <c r="AY35" i="18"/>
  <c r="BN35" i="18"/>
  <c r="N30" i="18"/>
  <c r="AZ30" i="18"/>
  <c r="AZ35" i="18"/>
  <c r="BO35" i="18"/>
  <c r="M30" i="18"/>
  <c r="BA30" i="18"/>
  <c r="BA35" i="18"/>
  <c r="BP35" i="18"/>
  <c r="O30" i="18"/>
  <c r="BB30" i="18"/>
  <c r="BB35" i="18"/>
  <c r="BQ35" i="18"/>
  <c r="BR35" i="18"/>
  <c r="AN14" i="18"/>
  <c r="AN34" i="18"/>
  <c r="BC34" i="18"/>
  <c r="AO14" i="18"/>
  <c r="AO34" i="18"/>
  <c r="BD34" i="18"/>
  <c r="AP14" i="18"/>
  <c r="AP34" i="18"/>
  <c r="BE34" i="18"/>
  <c r="AD14" i="29"/>
  <c r="BD14" i="30"/>
  <c r="AU14" i="29"/>
  <c r="BU14" i="30"/>
  <c r="BA14" i="29"/>
  <c r="CA14" i="30"/>
  <c r="BB14" i="29"/>
  <c r="CB14" i="30"/>
  <c r="BC14" i="30"/>
  <c r="AQ14" i="18"/>
  <c r="AQ34" i="18"/>
  <c r="BF34" i="18"/>
  <c r="J14" i="18"/>
  <c r="AR14" i="18"/>
  <c r="AR34" i="18"/>
  <c r="BG34" i="18"/>
  <c r="K14" i="18"/>
  <c r="AS14" i="18"/>
  <c r="AS34" i="18"/>
  <c r="BH34" i="18"/>
  <c r="G14" i="18"/>
  <c r="AT14" i="18"/>
  <c r="AT34" i="18"/>
  <c r="BI34" i="18"/>
  <c r="H14" i="18"/>
  <c r="AU14" i="18"/>
  <c r="AU34" i="18"/>
  <c r="BJ34" i="18"/>
  <c r="I14" i="18"/>
  <c r="AV14" i="18"/>
  <c r="AV34" i="18"/>
  <c r="BK34" i="18"/>
  <c r="E14" i="18"/>
  <c r="AW14" i="18"/>
  <c r="AW34" i="18"/>
  <c r="BL34" i="18"/>
  <c r="F14" i="18"/>
  <c r="AX14" i="18"/>
  <c r="AX34" i="18"/>
  <c r="BM34" i="18"/>
  <c r="L14" i="18"/>
  <c r="AY14" i="18"/>
  <c r="AY34" i="18"/>
  <c r="BN34" i="18"/>
  <c r="N14" i="18"/>
  <c r="AZ14" i="18"/>
  <c r="AZ34" i="18"/>
  <c r="BO34" i="18"/>
  <c r="M14" i="18"/>
  <c r="BA14" i="18"/>
  <c r="BA34" i="18"/>
  <c r="BP34" i="18"/>
  <c r="O14" i="18"/>
  <c r="BB14" i="18"/>
  <c r="BB34" i="18"/>
  <c r="BQ34" i="18"/>
  <c r="BR34" i="18"/>
  <c r="AN13" i="18"/>
  <c r="AN33" i="18"/>
  <c r="BC33" i="18"/>
  <c r="AO13" i="18"/>
  <c r="AO33" i="18"/>
  <c r="BD33" i="18"/>
  <c r="AP13" i="18"/>
  <c r="AP33" i="18"/>
  <c r="BE33" i="18"/>
  <c r="AD13" i="29"/>
  <c r="BD13" i="30"/>
  <c r="AU13" i="29"/>
  <c r="BU13" i="30"/>
  <c r="BA13" i="29"/>
  <c r="CA13" i="30"/>
  <c r="BB13" i="29"/>
  <c r="CB13" i="30"/>
  <c r="BC13" i="30"/>
  <c r="AQ13" i="18"/>
  <c r="AQ33" i="18"/>
  <c r="BF33" i="18"/>
  <c r="J13" i="18"/>
  <c r="AR13" i="18"/>
  <c r="AR33" i="18"/>
  <c r="BG33" i="18"/>
  <c r="K13" i="18"/>
  <c r="AS13" i="18"/>
  <c r="AS33" i="18"/>
  <c r="BH33" i="18"/>
  <c r="G13" i="18"/>
  <c r="AT13" i="18"/>
  <c r="AT33" i="18"/>
  <c r="BI33" i="18"/>
  <c r="H13" i="18"/>
  <c r="AU13" i="18"/>
  <c r="AU33" i="18"/>
  <c r="BJ33" i="18"/>
  <c r="I13" i="18"/>
  <c r="AV13" i="18"/>
  <c r="AV33" i="18"/>
  <c r="BK33" i="18"/>
  <c r="E13" i="18"/>
  <c r="AW13" i="18"/>
  <c r="AW33" i="18"/>
  <c r="BL33" i="18"/>
  <c r="F13" i="18"/>
  <c r="AX13" i="18"/>
  <c r="AX33" i="18"/>
  <c r="BM33" i="18"/>
  <c r="L13" i="18"/>
  <c r="AY13" i="18"/>
  <c r="AY33" i="18"/>
  <c r="BN33" i="18"/>
  <c r="N13" i="18"/>
  <c r="AZ13" i="18"/>
  <c r="AZ33" i="18"/>
  <c r="BO33" i="18"/>
  <c r="M13" i="18"/>
  <c r="BA13" i="18"/>
  <c r="BA33" i="18"/>
  <c r="BP33" i="18"/>
  <c r="O13" i="18"/>
  <c r="BB13" i="18"/>
  <c r="BB33" i="18"/>
  <c r="BQ33" i="18"/>
  <c r="BR33" i="18"/>
  <c r="AN3" i="18"/>
  <c r="AN32" i="18"/>
  <c r="BC32" i="18"/>
  <c r="AO3" i="18"/>
  <c r="AO32" i="18"/>
  <c r="BD32" i="18"/>
  <c r="AP3" i="18"/>
  <c r="AP32" i="18"/>
  <c r="BE32" i="18"/>
  <c r="AD3" i="29"/>
  <c r="BD3" i="30"/>
  <c r="AU3" i="29"/>
  <c r="BU3" i="30"/>
  <c r="BA3" i="29"/>
  <c r="CA3" i="30"/>
  <c r="BB3" i="29"/>
  <c r="CB3" i="30"/>
  <c r="BC3" i="30"/>
  <c r="AQ3" i="18"/>
  <c r="AQ32" i="18"/>
  <c r="BF32" i="18"/>
  <c r="J3" i="18"/>
  <c r="AR3" i="18"/>
  <c r="AR32" i="18"/>
  <c r="BG32" i="18"/>
  <c r="K3" i="18"/>
  <c r="AS3" i="18"/>
  <c r="AS32" i="18"/>
  <c r="BH32" i="18"/>
  <c r="G3" i="18"/>
  <c r="AT3" i="18"/>
  <c r="AT32" i="18"/>
  <c r="BI32" i="18"/>
  <c r="H3" i="18"/>
  <c r="AU3" i="18"/>
  <c r="AU32" i="18"/>
  <c r="BJ32" i="18"/>
  <c r="I3" i="18"/>
  <c r="AV3" i="18"/>
  <c r="AV32" i="18"/>
  <c r="BK32" i="18"/>
  <c r="E3" i="18"/>
  <c r="AW3" i="18"/>
  <c r="AW32" i="18"/>
  <c r="BL32" i="18"/>
  <c r="F3" i="18"/>
  <c r="AX3" i="18"/>
  <c r="AX32" i="18"/>
  <c r="BM32" i="18"/>
  <c r="L3" i="18"/>
  <c r="AY3" i="18"/>
  <c r="AY32" i="18"/>
  <c r="BN32" i="18"/>
  <c r="N3" i="18"/>
  <c r="AZ3" i="18"/>
  <c r="AZ32" i="18"/>
  <c r="BO32" i="18"/>
  <c r="M3" i="18"/>
  <c r="BA3" i="18"/>
  <c r="BA32" i="18"/>
  <c r="BP32" i="18"/>
  <c r="O3" i="18"/>
  <c r="BB3" i="18"/>
  <c r="BB32" i="18"/>
  <c r="BQ32" i="18"/>
  <c r="BR32" i="18"/>
  <c r="AN31" i="18"/>
  <c r="BC31" i="18"/>
  <c r="AO31" i="18"/>
  <c r="BD31" i="18"/>
  <c r="AP31" i="18"/>
  <c r="BE31" i="18"/>
  <c r="AQ31" i="18"/>
  <c r="BF31" i="18"/>
  <c r="AR31" i="18"/>
  <c r="BG31" i="18"/>
  <c r="AS31" i="18"/>
  <c r="BH31" i="18"/>
  <c r="AT31" i="18"/>
  <c r="BI31" i="18"/>
  <c r="AU31" i="18"/>
  <c r="BJ31" i="18"/>
  <c r="AV31" i="18"/>
  <c r="BK31" i="18"/>
  <c r="AW31" i="18"/>
  <c r="BL31" i="18"/>
  <c r="AX31" i="18"/>
  <c r="BM31" i="18"/>
  <c r="AY31" i="18"/>
  <c r="BN31" i="18"/>
  <c r="AZ31" i="18"/>
  <c r="BO31" i="18"/>
  <c r="BA31" i="18"/>
  <c r="BP31" i="18"/>
  <c r="BB31" i="18"/>
  <c r="BQ31" i="18"/>
  <c r="BR31" i="18"/>
  <c r="K15" i="3"/>
  <c r="CX27" i="18"/>
  <c r="CX76" i="18"/>
  <c r="DM76" i="18"/>
  <c r="DN76" i="18"/>
  <c r="K9" i="3"/>
  <c r="CZ27" i="18"/>
  <c r="CZ76" i="18"/>
  <c r="DO76" i="18"/>
  <c r="BD27" i="31"/>
  <c r="BU27" i="31"/>
  <c r="CA27" i="31"/>
  <c r="CB27" i="31"/>
  <c r="BC27" i="31"/>
  <c r="DA27" i="18"/>
  <c r="DA76" i="18"/>
  <c r="DP76" i="18"/>
  <c r="DB27" i="18"/>
  <c r="DB76" i="18"/>
  <c r="DQ76" i="18"/>
  <c r="DC27" i="18"/>
  <c r="DC76" i="18"/>
  <c r="DR76" i="18"/>
  <c r="DD27" i="18"/>
  <c r="DD76" i="18"/>
  <c r="DS76" i="18"/>
  <c r="DE27" i="18"/>
  <c r="DE76" i="18"/>
  <c r="DT76" i="18"/>
  <c r="DF27" i="18"/>
  <c r="DF76" i="18"/>
  <c r="DU76" i="18"/>
  <c r="DG27" i="18"/>
  <c r="DG76" i="18"/>
  <c r="DV76" i="18"/>
  <c r="DH27" i="18"/>
  <c r="DH76" i="18"/>
  <c r="DW76" i="18"/>
  <c r="DI27" i="18"/>
  <c r="DI76" i="18"/>
  <c r="DX76" i="18"/>
  <c r="DJ27" i="18"/>
  <c r="DJ76" i="18"/>
  <c r="DY76" i="18"/>
  <c r="DK27" i="18"/>
  <c r="DK76" i="18"/>
  <c r="DZ76" i="18"/>
  <c r="DL27" i="18"/>
  <c r="DL76" i="18"/>
  <c r="EA76" i="18"/>
  <c r="EB76" i="18"/>
  <c r="CX18" i="18"/>
  <c r="CX75" i="18"/>
  <c r="DM75" i="18"/>
  <c r="DN75" i="18"/>
  <c r="CZ18" i="18"/>
  <c r="CZ75" i="18"/>
  <c r="DO75" i="18"/>
  <c r="BD18" i="31"/>
  <c r="BU18" i="31"/>
  <c r="CA18" i="31"/>
  <c r="CB18" i="31"/>
  <c r="BC18" i="31"/>
  <c r="DA18" i="18"/>
  <c r="DA75" i="18"/>
  <c r="DP75" i="18"/>
  <c r="DB18" i="18"/>
  <c r="DB75" i="18"/>
  <c r="DQ75" i="18"/>
  <c r="DC18" i="18"/>
  <c r="DC75" i="18"/>
  <c r="DR75" i="18"/>
  <c r="DD18" i="18"/>
  <c r="DD75" i="18"/>
  <c r="DS75" i="18"/>
  <c r="DE18" i="18"/>
  <c r="DE75" i="18"/>
  <c r="DT75" i="18"/>
  <c r="DF18" i="18"/>
  <c r="DF75" i="18"/>
  <c r="DU75" i="18"/>
  <c r="DG18" i="18"/>
  <c r="DG75" i="18"/>
  <c r="DV75" i="18"/>
  <c r="DH18" i="18"/>
  <c r="DH75" i="18"/>
  <c r="DW75" i="18"/>
  <c r="DI18" i="18"/>
  <c r="DI75" i="18"/>
  <c r="DX75" i="18"/>
  <c r="DJ18" i="18"/>
  <c r="DJ75" i="18"/>
  <c r="DY75" i="18"/>
  <c r="DK18" i="18"/>
  <c r="DK75" i="18"/>
  <c r="DZ75" i="18"/>
  <c r="DL18" i="18"/>
  <c r="DL75" i="18"/>
  <c r="EA75" i="18"/>
  <c r="EB75" i="18"/>
  <c r="CX12" i="18"/>
  <c r="CX74" i="18"/>
  <c r="DM74" i="18"/>
  <c r="DN74" i="18"/>
  <c r="CZ12" i="18"/>
  <c r="CZ74" i="18"/>
  <c r="DO74" i="18"/>
  <c r="BD12" i="31"/>
  <c r="BU12" i="31"/>
  <c r="CA12" i="31"/>
  <c r="CB12" i="31"/>
  <c r="BC12" i="31"/>
  <c r="DA12" i="18"/>
  <c r="DA74" i="18"/>
  <c r="DP74" i="18"/>
  <c r="DB12" i="18"/>
  <c r="DB74" i="18"/>
  <c r="DQ74" i="18"/>
  <c r="DC12" i="18"/>
  <c r="DC74" i="18"/>
  <c r="DR74" i="18"/>
  <c r="DD12" i="18"/>
  <c r="DD74" i="18"/>
  <c r="DS74" i="18"/>
  <c r="DE12" i="18"/>
  <c r="DE74" i="18"/>
  <c r="DT74" i="18"/>
  <c r="DF12" i="18"/>
  <c r="DF74" i="18"/>
  <c r="DU74" i="18"/>
  <c r="DG12" i="18"/>
  <c r="DG74" i="18"/>
  <c r="DV74" i="18"/>
  <c r="DH12" i="18"/>
  <c r="DH74" i="18"/>
  <c r="DW74" i="18"/>
  <c r="DI12" i="18"/>
  <c r="DI74" i="18"/>
  <c r="DX74" i="18"/>
  <c r="DJ12" i="18"/>
  <c r="DJ74" i="18"/>
  <c r="DY74" i="18"/>
  <c r="DK12" i="18"/>
  <c r="DK74" i="18"/>
  <c r="DZ74" i="18"/>
  <c r="DL12" i="18"/>
  <c r="DL74" i="18"/>
  <c r="EA74" i="18"/>
  <c r="EB74" i="18"/>
  <c r="CX7" i="18"/>
  <c r="CX73" i="18"/>
  <c r="DM73" i="18"/>
  <c r="DN73" i="18"/>
  <c r="CZ7" i="18"/>
  <c r="CZ73" i="18"/>
  <c r="DO73" i="18"/>
  <c r="BD7" i="31"/>
  <c r="BU7" i="31"/>
  <c r="CA7" i="31"/>
  <c r="CB7" i="31"/>
  <c r="BC7" i="31"/>
  <c r="DA7" i="18"/>
  <c r="DA73" i="18"/>
  <c r="DP73" i="18"/>
  <c r="DB7" i="18"/>
  <c r="DB73" i="18"/>
  <c r="DQ73" i="18"/>
  <c r="DC7" i="18"/>
  <c r="DC73" i="18"/>
  <c r="DR73" i="18"/>
  <c r="DD7" i="18"/>
  <c r="DD73" i="18"/>
  <c r="DS73" i="18"/>
  <c r="DE7" i="18"/>
  <c r="DE73" i="18"/>
  <c r="DT73" i="18"/>
  <c r="DF7" i="18"/>
  <c r="DF73" i="18"/>
  <c r="DU73" i="18"/>
  <c r="DG7" i="18"/>
  <c r="DG73" i="18"/>
  <c r="DV73" i="18"/>
  <c r="DH7" i="18"/>
  <c r="DH73" i="18"/>
  <c r="DW73" i="18"/>
  <c r="DI7" i="18"/>
  <c r="DI73" i="18"/>
  <c r="DX73" i="18"/>
  <c r="DJ7" i="18"/>
  <c r="DJ73" i="18"/>
  <c r="DY73" i="18"/>
  <c r="DK7" i="18"/>
  <c r="DK73" i="18"/>
  <c r="DZ73" i="18"/>
  <c r="DL7" i="18"/>
  <c r="DL73" i="18"/>
  <c r="EA73" i="18"/>
  <c r="EB73" i="18"/>
  <c r="CX16" i="18"/>
  <c r="CX72" i="18"/>
  <c r="DM72" i="18"/>
  <c r="DN72" i="18"/>
  <c r="CZ16" i="18"/>
  <c r="CZ72" i="18"/>
  <c r="DO72" i="18"/>
  <c r="BD16" i="31"/>
  <c r="BU16" i="31"/>
  <c r="CA16" i="31"/>
  <c r="CB16" i="31"/>
  <c r="BC16" i="31"/>
  <c r="DA16" i="18"/>
  <c r="DA72" i="18"/>
  <c r="DP72" i="18"/>
  <c r="DB16" i="18"/>
  <c r="DB72" i="18"/>
  <c r="DQ72" i="18"/>
  <c r="DC16" i="18"/>
  <c r="DC72" i="18"/>
  <c r="DR72" i="18"/>
  <c r="DD16" i="18"/>
  <c r="DD72" i="18"/>
  <c r="DS72" i="18"/>
  <c r="DE16" i="18"/>
  <c r="DE72" i="18"/>
  <c r="DT72" i="18"/>
  <c r="DF16" i="18"/>
  <c r="DF72" i="18"/>
  <c r="DU72" i="18"/>
  <c r="DG16" i="18"/>
  <c r="DG72" i="18"/>
  <c r="DV72" i="18"/>
  <c r="DH16" i="18"/>
  <c r="DH72" i="18"/>
  <c r="DW72" i="18"/>
  <c r="DI16" i="18"/>
  <c r="DI72" i="18"/>
  <c r="DX72" i="18"/>
  <c r="DJ16" i="18"/>
  <c r="DJ72" i="18"/>
  <c r="DY72" i="18"/>
  <c r="DK16" i="18"/>
  <c r="DK72" i="18"/>
  <c r="DZ72" i="18"/>
  <c r="DL16" i="18"/>
  <c r="DL72" i="18"/>
  <c r="EA72" i="18"/>
  <c r="EB72" i="18"/>
  <c r="CX29" i="18"/>
  <c r="CX71" i="18"/>
  <c r="DM71" i="18"/>
  <c r="DN71" i="18"/>
  <c r="CZ29" i="18"/>
  <c r="CZ71" i="18"/>
  <c r="DO71" i="18"/>
  <c r="BD29" i="31"/>
  <c r="BU29" i="31"/>
  <c r="CA29" i="31"/>
  <c r="CB29" i="31"/>
  <c r="BC29" i="31"/>
  <c r="DA29" i="18"/>
  <c r="DA71" i="18"/>
  <c r="DP71" i="18"/>
  <c r="DB29" i="18"/>
  <c r="DB71" i="18"/>
  <c r="DQ71" i="18"/>
  <c r="DC29" i="18"/>
  <c r="DC71" i="18"/>
  <c r="DR71" i="18"/>
  <c r="DD29" i="18"/>
  <c r="DD71" i="18"/>
  <c r="DS71" i="18"/>
  <c r="DE29" i="18"/>
  <c r="DE71" i="18"/>
  <c r="DT71" i="18"/>
  <c r="DF29" i="18"/>
  <c r="DF71" i="18"/>
  <c r="DU71" i="18"/>
  <c r="DG29" i="18"/>
  <c r="DG71" i="18"/>
  <c r="DV71" i="18"/>
  <c r="DH29" i="18"/>
  <c r="DH71" i="18"/>
  <c r="DW71" i="18"/>
  <c r="DI29" i="18"/>
  <c r="DI71" i="18"/>
  <c r="DX71" i="18"/>
  <c r="DJ29" i="18"/>
  <c r="DJ71" i="18"/>
  <c r="DY71" i="18"/>
  <c r="DK29" i="18"/>
  <c r="DK71" i="18"/>
  <c r="DZ71" i="18"/>
  <c r="DL29" i="18"/>
  <c r="DL71" i="18"/>
  <c r="EA71" i="18"/>
  <c r="EB71" i="18"/>
  <c r="CX20" i="18"/>
  <c r="CX70" i="18"/>
  <c r="DM70" i="18"/>
  <c r="DN70" i="18"/>
  <c r="CZ20" i="18"/>
  <c r="CZ70" i="18"/>
  <c r="DO70" i="18"/>
  <c r="BD20" i="31"/>
  <c r="BU20" i="31"/>
  <c r="CA20" i="31"/>
  <c r="CB20" i="31"/>
  <c r="BC20" i="31"/>
  <c r="DA20" i="18"/>
  <c r="DA70" i="18"/>
  <c r="DP70" i="18"/>
  <c r="DB20" i="18"/>
  <c r="DB70" i="18"/>
  <c r="DQ70" i="18"/>
  <c r="DC20" i="18"/>
  <c r="DC70" i="18"/>
  <c r="DR70" i="18"/>
  <c r="DD20" i="18"/>
  <c r="DD70" i="18"/>
  <c r="DS70" i="18"/>
  <c r="DE20" i="18"/>
  <c r="DE70" i="18"/>
  <c r="DT70" i="18"/>
  <c r="DF20" i="18"/>
  <c r="DF70" i="18"/>
  <c r="DU70" i="18"/>
  <c r="DG20" i="18"/>
  <c r="DG70" i="18"/>
  <c r="DV70" i="18"/>
  <c r="DH20" i="18"/>
  <c r="DH70" i="18"/>
  <c r="DW70" i="18"/>
  <c r="DI20" i="18"/>
  <c r="DI70" i="18"/>
  <c r="DX70" i="18"/>
  <c r="DJ20" i="18"/>
  <c r="DJ70" i="18"/>
  <c r="DY70" i="18"/>
  <c r="DK20" i="18"/>
  <c r="DK70" i="18"/>
  <c r="DZ70" i="18"/>
  <c r="DL20" i="18"/>
  <c r="DL70" i="18"/>
  <c r="EA70" i="18"/>
  <c r="EB70" i="18"/>
  <c r="CX24" i="18"/>
  <c r="CX69" i="18"/>
  <c r="DM69" i="18"/>
  <c r="DN69" i="18"/>
  <c r="CZ24" i="18"/>
  <c r="CZ69" i="18"/>
  <c r="DO69" i="18"/>
  <c r="BD24" i="31"/>
  <c r="BU24" i="31"/>
  <c r="CA24" i="31"/>
  <c r="CB24" i="31"/>
  <c r="BC24" i="31"/>
  <c r="DA24" i="18"/>
  <c r="DA69" i="18"/>
  <c r="DP69" i="18"/>
  <c r="DB24" i="18"/>
  <c r="DB69" i="18"/>
  <c r="DQ69" i="18"/>
  <c r="DC24" i="18"/>
  <c r="DC69" i="18"/>
  <c r="DR69" i="18"/>
  <c r="DD24" i="18"/>
  <c r="DD69" i="18"/>
  <c r="DS69" i="18"/>
  <c r="DE24" i="18"/>
  <c r="DE69" i="18"/>
  <c r="DT69" i="18"/>
  <c r="DF24" i="18"/>
  <c r="DF69" i="18"/>
  <c r="DU69" i="18"/>
  <c r="DG24" i="18"/>
  <c r="DG69" i="18"/>
  <c r="DV69" i="18"/>
  <c r="DH24" i="18"/>
  <c r="DH69" i="18"/>
  <c r="DW69" i="18"/>
  <c r="DI24" i="18"/>
  <c r="DI69" i="18"/>
  <c r="DX69" i="18"/>
  <c r="DJ24" i="18"/>
  <c r="DJ69" i="18"/>
  <c r="DY69" i="18"/>
  <c r="DK24" i="18"/>
  <c r="DK69" i="18"/>
  <c r="DZ69" i="18"/>
  <c r="DL24" i="18"/>
  <c r="DL69" i="18"/>
  <c r="EA69" i="18"/>
  <c r="EB69" i="18"/>
  <c r="CX9" i="18"/>
  <c r="CX68" i="18"/>
  <c r="DM68" i="18"/>
  <c r="DN68" i="18"/>
  <c r="CZ9" i="18"/>
  <c r="CZ68" i="18"/>
  <c r="DO68" i="18"/>
  <c r="BD9" i="31"/>
  <c r="BU9" i="31"/>
  <c r="CA9" i="31"/>
  <c r="CB9" i="31"/>
  <c r="BC9" i="31"/>
  <c r="DA9" i="18"/>
  <c r="DA68" i="18"/>
  <c r="DP68" i="18"/>
  <c r="DB9" i="18"/>
  <c r="DB68" i="18"/>
  <c r="DQ68" i="18"/>
  <c r="DC9" i="18"/>
  <c r="DC68" i="18"/>
  <c r="DR68" i="18"/>
  <c r="DD9" i="18"/>
  <c r="DD68" i="18"/>
  <c r="DS68" i="18"/>
  <c r="DE9" i="18"/>
  <c r="DE68" i="18"/>
  <c r="DT68" i="18"/>
  <c r="DF9" i="18"/>
  <c r="DF68" i="18"/>
  <c r="DU68" i="18"/>
  <c r="DG9" i="18"/>
  <c r="DG68" i="18"/>
  <c r="DV68" i="18"/>
  <c r="DH9" i="18"/>
  <c r="DH68" i="18"/>
  <c r="DW68" i="18"/>
  <c r="DI9" i="18"/>
  <c r="DI68" i="18"/>
  <c r="DX68" i="18"/>
  <c r="DJ9" i="18"/>
  <c r="DJ68" i="18"/>
  <c r="DY68" i="18"/>
  <c r="DK9" i="18"/>
  <c r="DK68" i="18"/>
  <c r="DZ68" i="18"/>
  <c r="DL9" i="18"/>
  <c r="DL68" i="18"/>
  <c r="EA68" i="18"/>
  <c r="EB68" i="18"/>
  <c r="CX5" i="18"/>
  <c r="CX67" i="18"/>
  <c r="DM67" i="18"/>
  <c r="DN67" i="18"/>
  <c r="CZ5" i="18"/>
  <c r="CZ67" i="18"/>
  <c r="DO67" i="18"/>
  <c r="BD5" i="31"/>
  <c r="BU5" i="31"/>
  <c r="CA5" i="31"/>
  <c r="CB5" i="31"/>
  <c r="BC5" i="31"/>
  <c r="DA5" i="18"/>
  <c r="DA67" i="18"/>
  <c r="DP67" i="18"/>
  <c r="DB5" i="18"/>
  <c r="DB67" i="18"/>
  <c r="DQ67" i="18"/>
  <c r="DC5" i="18"/>
  <c r="DC67" i="18"/>
  <c r="DR67" i="18"/>
  <c r="DD5" i="18"/>
  <c r="DD67" i="18"/>
  <c r="DS67" i="18"/>
  <c r="DE5" i="18"/>
  <c r="DE67" i="18"/>
  <c r="DT67" i="18"/>
  <c r="DF5" i="18"/>
  <c r="DF67" i="18"/>
  <c r="DU67" i="18"/>
  <c r="DG5" i="18"/>
  <c r="DG67" i="18"/>
  <c r="DV67" i="18"/>
  <c r="DH5" i="18"/>
  <c r="DH67" i="18"/>
  <c r="DW67" i="18"/>
  <c r="DI5" i="18"/>
  <c r="DI67" i="18"/>
  <c r="DX67" i="18"/>
  <c r="DJ5" i="18"/>
  <c r="DJ67" i="18"/>
  <c r="DY67" i="18"/>
  <c r="DK5" i="18"/>
  <c r="DK67" i="18"/>
  <c r="DZ67" i="18"/>
  <c r="DL5" i="18"/>
  <c r="DL67" i="18"/>
  <c r="EA67" i="18"/>
  <c r="EB67" i="18"/>
  <c r="CX17" i="18"/>
  <c r="CX66" i="18"/>
  <c r="DM66" i="18"/>
  <c r="DN66" i="18"/>
  <c r="CZ17" i="18"/>
  <c r="CZ66" i="18"/>
  <c r="DO66" i="18"/>
  <c r="BD17" i="31"/>
  <c r="BU17" i="31"/>
  <c r="CA17" i="31"/>
  <c r="CB17" i="31"/>
  <c r="BC17" i="31"/>
  <c r="DA17" i="18"/>
  <c r="DA66" i="18"/>
  <c r="DP66" i="18"/>
  <c r="DB17" i="18"/>
  <c r="DB66" i="18"/>
  <c r="DQ66" i="18"/>
  <c r="DC17" i="18"/>
  <c r="DC66" i="18"/>
  <c r="DR66" i="18"/>
  <c r="DD17" i="18"/>
  <c r="DD66" i="18"/>
  <c r="DS66" i="18"/>
  <c r="DE17" i="18"/>
  <c r="DE66" i="18"/>
  <c r="DT66" i="18"/>
  <c r="DF17" i="18"/>
  <c r="DF66" i="18"/>
  <c r="DU66" i="18"/>
  <c r="DG17" i="18"/>
  <c r="DG66" i="18"/>
  <c r="DV66" i="18"/>
  <c r="DH17" i="18"/>
  <c r="DH66" i="18"/>
  <c r="DW66" i="18"/>
  <c r="DI17" i="18"/>
  <c r="DI66" i="18"/>
  <c r="DX66" i="18"/>
  <c r="DJ17" i="18"/>
  <c r="DJ66" i="18"/>
  <c r="DY66" i="18"/>
  <c r="DK17" i="18"/>
  <c r="DK66" i="18"/>
  <c r="DZ66" i="18"/>
  <c r="DL17" i="18"/>
  <c r="DL66" i="18"/>
  <c r="EA66" i="18"/>
  <c r="EB66" i="18"/>
  <c r="CX21" i="18"/>
  <c r="CX65" i="18"/>
  <c r="DM65" i="18"/>
  <c r="DN65" i="18"/>
  <c r="CZ21" i="18"/>
  <c r="CZ65" i="18"/>
  <c r="DO65" i="18"/>
  <c r="BD21" i="31"/>
  <c r="BU21" i="31"/>
  <c r="CA21" i="31"/>
  <c r="CB21" i="31"/>
  <c r="BC21" i="31"/>
  <c r="DA21" i="18"/>
  <c r="DA65" i="18"/>
  <c r="DP65" i="18"/>
  <c r="DB21" i="18"/>
  <c r="DB65" i="18"/>
  <c r="DQ65" i="18"/>
  <c r="DC21" i="18"/>
  <c r="DC65" i="18"/>
  <c r="DR65" i="18"/>
  <c r="DD21" i="18"/>
  <c r="DD65" i="18"/>
  <c r="DS65" i="18"/>
  <c r="DE21" i="18"/>
  <c r="DE65" i="18"/>
  <c r="DT65" i="18"/>
  <c r="DF21" i="18"/>
  <c r="DF65" i="18"/>
  <c r="DU65" i="18"/>
  <c r="DG21" i="18"/>
  <c r="DG65" i="18"/>
  <c r="DV65" i="18"/>
  <c r="DH21" i="18"/>
  <c r="DH65" i="18"/>
  <c r="DW65" i="18"/>
  <c r="DI21" i="18"/>
  <c r="DI65" i="18"/>
  <c r="DX65" i="18"/>
  <c r="DJ21" i="18"/>
  <c r="DJ65" i="18"/>
  <c r="DY65" i="18"/>
  <c r="DK21" i="18"/>
  <c r="DK65" i="18"/>
  <c r="DZ65" i="18"/>
  <c r="DL21" i="18"/>
  <c r="DL65" i="18"/>
  <c r="EA65" i="18"/>
  <c r="EB65" i="18"/>
  <c r="CX25" i="18"/>
  <c r="CX64" i="18"/>
  <c r="DM64" i="18"/>
  <c r="DN64" i="18"/>
  <c r="CZ25" i="18"/>
  <c r="CZ64" i="18"/>
  <c r="DO64" i="18"/>
  <c r="BD25" i="31"/>
  <c r="BU25" i="31"/>
  <c r="CA25" i="31"/>
  <c r="CB25" i="31"/>
  <c r="BC25" i="31"/>
  <c r="DA25" i="18"/>
  <c r="DA64" i="18"/>
  <c r="DP64" i="18"/>
  <c r="DB25" i="18"/>
  <c r="DB64" i="18"/>
  <c r="DQ64" i="18"/>
  <c r="DC25" i="18"/>
  <c r="DC64" i="18"/>
  <c r="DR64" i="18"/>
  <c r="DD25" i="18"/>
  <c r="DD64" i="18"/>
  <c r="DS64" i="18"/>
  <c r="DE25" i="18"/>
  <c r="DE64" i="18"/>
  <c r="DT64" i="18"/>
  <c r="DF25" i="18"/>
  <c r="DF64" i="18"/>
  <c r="DU64" i="18"/>
  <c r="DG25" i="18"/>
  <c r="DG64" i="18"/>
  <c r="DV64" i="18"/>
  <c r="DH25" i="18"/>
  <c r="DH64" i="18"/>
  <c r="DW64" i="18"/>
  <c r="DI25" i="18"/>
  <c r="DI64" i="18"/>
  <c r="DX64" i="18"/>
  <c r="DJ25" i="18"/>
  <c r="DJ64" i="18"/>
  <c r="DY64" i="18"/>
  <c r="DK25" i="18"/>
  <c r="DK64" i="18"/>
  <c r="DZ64" i="18"/>
  <c r="DL25" i="18"/>
  <c r="DL64" i="18"/>
  <c r="EA64" i="18"/>
  <c r="EB64" i="18"/>
  <c r="CX63" i="18"/>
  <c r="DM63" i="18"/>
  <c r="DN63" i="18"/>
  <c r="CZ63" i="18"/>
  <c r="DO63" i="18"/>
  <c r="DA63" i="18"/>
  <c r="DP63" i="18"/>
  <c r="DB63" i="18"/>
  <c r="DQ63" i="18"/>
  <c r="DC63" i="18"/>
  <c r="DR63" i="18"/>
  <c r="DD63" i="18"/>
  <c r="DS63" i="18"/>
  <c r="DE63" i="18"/>
  <c r="DT63" i="18"/>
  <c r="DF63" i="18"/>
  <c r="DU63" i="18"/>
  <c r="DG63" i="18"/>
  <c r="DV63" i="18"/>
  <c r="DH63" i="18"/>
  <c r="DW63" i="18"/>
  <c r="DI63" i="18"/>
  <c r="DX63" i="18"/>
  <c r="DJ63" i="18"/>
  <c r="DY63" i="18"/>
  <c r="DK63" i="18"/>
  <c r="DZ63" i="18"/>
  <c r="DL63" i="18"/>
  <c r="EA63" i="18"/>
  <c r="EB63" i="18"/>
  <c r="CX62" i="18"/>
  <c r="DM62" i="18"/>
  <c r="DN62" i="18"/>
  <c r="CZ62" i="18"/>
  <c r="DO62" i="18"/>
  <c r="DA62" i="18"/>
  <c r="DP62" i="18"/>
  <c r="DB62" i="18"/>
  <c r="DQ62" i="18"/>
  <c r="DC62" i="18"/>
  <c r="DR62" i="18"/>
  <c r="DD62" i="18"/>
  <c r="DS62" i="18"/>
  <c r="DE62" i="18"/>
  <c r="DT62" i="18"/>
  <c r="DF62" i="18"/>
  <c r="DU62" i="18"/>
  <c r="DG62" i="18"/>
  <c r="DV62" i="18"/>
  <c r="DH62" i="18"/>
  <c r="DW62" i="18"/>
  <c r="DI62" i="18"/>
  <c r="DX62" i="18"/>
  <c r="DJ62" i="18"/>
  <c r="DY62" i="18"/>
  <c r="DK62" i="18"/>
  <c r="DZ62" i="18"/>
  <c r="DL62" i="18"/>
  <c r="EA62" i="18"/>
  <c r="EB62" i="18"/>
  <c r="CX61" i="18"/>
  <c r="DM61" i="18"/>
  <c r="DN61" i="18"/>
  <c r="CZ61" i="18"/>
  <c r="DO61" i="18"/>
  <c r="DA61" i="18"/>
  <c r="DP61" i="18"/>
  <c r="DB61" i="18"/>
  <c r="DQ61" i="18"/>
  <c r="DC61" i="18"/>
  <c r="DR61" i="18"/>
  <c r="DD61" i="18"/>
  <c r="DS61" i="18"/>
  <c r="DE61" i="18"/>
  <c r="DT61" i="18"/>
  <c r="DF61" i="18"/>
  <c r="DU61" i="18"/>
  <c r="DG61" i="18"/>
  <c r="DV61" i="18"/>
  <c r="DH61" i="18"/>
  <c r="DW61" i="18"/>
  <c r="DI61" i="18"/>
  <c r="DX61" i="18"/>
  <c r="DJ61" i="18"/>
  <c r="DY61" i="18"/>
  <c r="DK61" i="18"/>
  <c r="DZ61" i="18"/>
  <c r="DL61" i="18"/>
  <c r="EA61" i="18"/>
  <c r="EB61" i="18"/>
  <c r="CX60" i="18"/>
  <c r="DM60" i="18"/>
  <c r="DN60" i="18"/>
  <c r="CZ60" i="18"/>
  <c r="DO60" i="18"/>
  <c r="DA60" i="18"/>
  <c r="DP60" i="18"/>
  <c r="DB60" i="18"/>
  <c r="DQ60" i="18"/>
  <c r="DC60" i="18"/>
  <c r="DR60" i="18"/>
  <c r="DD60" i="18"/>
  <c r="DS60" i="18"/>
  <c r="DE60" i="18"/>
  <c r="DT60" i="18"/>
  <c r="DF60" i="18"/>
  <c r="DU60" i="18"/>
  <c r="DG60" i="18"/>
  <c r="DV60" i="18"/>
  <c r="DH60" i="18"/>
  <c r="DW60" i="18"/>
  <c r="DI60" i="18"/>
  <c r="DX60" i="18"/>
  <c r="DJ60" i="18"/>
  <c r="DY60" i="18"/>
  <c r="DK60" i="18"/>
  <c r="DZ60" i="18"/>
  <c r="DL60" i="18"/>
  <c r="EA60" i="18"/>
  <c r="EB60" i="18"/>
  <c r="CX59" i="18"/>
  <c r="DM59" i="18"/>
  <c r="DN59" i="18"/>
  <c r="CZ59" i="18"/>
  <c r="DO59" i="18"/>
  <c r="DA59" i="18"/>
  <c r="DP59" i="18"/>
  <c r="DB59" i="18"/>
  <c r="DQ59" i="18"/>
  <c r="DC59" i="18"/>
  <c r="DR59" i="18"/>
  <c r="DD59" i="18"/>
  <c r="DS59" i="18"/>
  <c r="DE59" i="18"/>
  <c r="DT59" i="18"/>
  <c r="DF59" i="18"/>
  <c r="DU59" i="18"/>
  <c r="DG59" i="18"/>
  <c r="DV59" i="18"/>
  <c r="DH59" i="18"/>
  <c r="DW59" i="18"/>
  <c r="DI59" i="18"/>
  <c r="DX59" i="18"/>
  <c r="DJ59" i="18"/>
  <c r="DY59" i="18"/>
  <c r="DK59" i="18"/>
  <c r="DZ59" i="18"/>
  <c r="DL59" i="18"/>
  <c r="EA59" i="18"/>
  <c r="EB59" i="18"/>
  <c r="CX58" i="18"/>
  <c r="DM58" i="18"/>
  <c r="DN58" i="18"/>
  <c r="CZ58" i="18"/>
  <c r="DO58" i="18"/>
  <c r="DA58" i="18"/>
  <c r="DP58" i="18"/>
  <c r="DB58" i="18"/>
  <c r="DQ58" i="18"/>
  <c r="DC58" i="18"/>
  <c r="DR58" i="18"/>
  <c r="DD58" i="18"/>
  <c r="DS58" i="18"/>
  <c r="DE58" i="18"/>
  <c r="DT58" i="18"/>
  <c r="DF58" i="18"/>
  <c r="DU58" i="18"/>
  <c r="DG58" i="18"/>
  <c r="DV58" i="18"/>
  <c r="DH58" i="18"/>
  <c r="DW58" i="18"/>
  <c r="DI58" i="18"/>
  <c r="DX58" i="18"/>
  <c r="DJ58" i="18"/>
  <c r="DY58" i="18"/>
  <c r="DK58" i="18"/>
  <c r="DZ58" i="18"/>
  <c r="DL58" i="18"/>
  <c r="EA58" i="18"/>
  <c r="EB58" i="18"/>
  <c r="CX57" i="18"/>
  <c r="DM57" i="18"/>
  <c r="DN57" i="18"/>
  <c r="CZ57" i="18"/>
  <c r="DO57" i="18"/>
  <c r="DA57" i="18"/>
  <c r="DP57" i="18"/>
  <c r="DB57" i="18"/>
  <c r="DQ57" i="18"/>
  <c r="DC57" i="18"/>
  <c r="DR57" i="18"/>
  <c r="DD57" i="18"/>
  <c r="DS57" i="18"/>
  <c r="DE57" i="18"/>
  <c r="DT57" i="18"/>
  <c r="DF57" i="18"/>
  <c r="DU57" i="18"/>
  <c r="DG57" i="18"/>
  <c r="DV57" i="18"/>
  <c r="DH57" i="18"/>
  <c r="DW57" i="18"/>
  <c r="DI57" i="18"/>
  <c r="DX57" i="18"/>
  <c r="DJ57" i="18"/>
  <c r="DY57" i="18"/>
  <c r="DK57" i="18"/>
  <c r="DZ57" i="18"/>
  <c r="DL57" i="18"/>
  <c r="EA57" i="18"/>
  <c r="EB57" i="18"/>
  <c r="CX56" i="18"/>
  <c r="DM56" i="18"/>
  <c r="DN56" i="18"/>
  <c r="CZ56" i="18"/>
  <c r="DO56" i="18"/>
  <c r="DA56" i="18"/>
  <c r="DP56" i="18"/>
  <c r="DB56" i="18"/>
  <c r="DQ56" i="18"/>
  <c r="DC56" i="18"/>
  <c r="DR56" i="18"/>
  <c r="DD56" i="18"/>
  <c r="DS56" i="18"/>
  <c r="DE56" i="18"/>
  <c r="DT56" i="18"/>
  <c r="DF56" i="18"/>
  <c r="DU56" i="18"/>
  <c r="DG56" i="18"/>
  <c r="DV56" i="18"/>
  <c r="DH56" i="18"/>
  <c r="DW56" i="18"/>
  <c r="DI56" i="18"/>
  <c r="DX56" i="18"/>
  <c r="DJ56" i="18"/>
  <c r="DY56" i="18"/>
  <c r="DK56" i="18"/>
  <c r="DZ56" i="18"/>
  <c r="DL56" i="18"/>
  <c r="EA56" i="18"/>
  <c r="EB56" i="18"/>
  <c r="CX55" i="18"/>
  <c r="DM55" i="18"/>
  <c r="DN55" i="18"/>
  <c r="CZ55" i="18"/>
  <c r="DO55" i="18"/>
  <c r="DA55" i="18"/>
  <c r="DP55" i="18"/>
  <c r="DB55" i="18"/>
  <c r="DQ55" i="18"/>
  <c r="DC55" i="18"/>
  <c r="DR55" i="18"/>
  <c r="DD55" i="18"/>
  <c r="DS55" i="18"/>
  <c r="DE55" i="18"/>
  <c r="DT55" i="18"/>
  <c r="DF55" i="18"/>
  <c r="DU55" i="18"/>
  <c r="DG55" i="18"/>
  <c r="DV55" i="18"/>
  <c r="DH55" i="18"/>
  <c r="DW55" i="18"/>
  <c r="DI55" i="18"/>
  <c r="DX55" i="18"/>
  <c r="DJ55" i="18"/>
  <c r="DY55" i="18"/>
  <c r="DK55" i="18"/>
  <c r="DZ55" i="18"/>
  <c r="DL55" i="18"/>
  <c r="EA55" i="18"/>
  <c r="EB55" i="18"/>
  <c r="CX54" i="18"/>
  <c r="DM54" i="18"/>
  <c r="DN54" i="18"/>
  <c r="CZ54" i="18"/>
  <c r="DO54" i="18"/>
  <c r="DA54" i="18"/>
  <c r="DP54" i="18"/>
  <c r="DB54" i="18"/>
  <c r="DQ54" i="18"/>
  <c r="DC54" i="18"/>
  <c r="DR54" i="18"/>
  <c r="DD54" i="18"/>
  <c r="DS54" i="18"/>
  <c r="DE54" i="18"/>
  <c r="DT54" i="18"/>
  <c r="DF54" i="18"/>
  <c r="DU54" i="18"/>
  <c r="DG54" i="18"/>
  <c r="DV54" i="18"/>
  <c r="DH54" i="18"/>
  <c r="DW54" i="18"/>
  <c r="DI54" i="18"/>
  <c r="DX54" i="18"/>
  <c r="DJ54" i="18"/>
  <c r="DY54" i="18"/>
  <c r="DK54" i="18"/>
  <c r="DZ54" i="18"/>
  <c r="DL54" i="18"/>
  <c r="EA54" i="18"/>
  <c r="EB54" i="18"/>
  <c r="CX53" i="18"/>
  <c r="DM53" i="18"/>
  <c r="DN53" i="18"/>
  <c r="CZ53" i="18"/>
  <c r="DO53" i="18"/>
  <c r="DA53" i="18"/>
  <c r="DP53" i="18"/>
  <c r="DB53" i="18"/>
  <c r="DQ53" i="18"/>
  <c r="DC53" i="18"/>
  <c r="DR53" i="18"/>
  <c r="DD53" i="18"/>
  <c r="DS53" i="18"/>
  <c r="DE53" i="18"/>
  <c r="DT53" i="18"/>
  <c r="DF53" i="18"/>
  <c r="DU53" i="18"/>
  <c r="DG53" i="18"/>
  <c r="DV53" i="18"/>
  <c r="DH53" i="18"/>
  <c r="DW53" i="18"/>
  <c r="DI53" i="18"/>
  <c r="DX53" i="18"/>
  <c r="DJ53" i="18"/>
  <c r="DY53" i="18"/>
  <c r="DK53" i="18"/>
  <c r="DZ53" i="18"/>
  <c r="DL53" i="18"/>
  <c r="EA53" i="18"/>
  <c r="EB53" i="18"/>
  <c r="CX52" i="18"/>
  <c r="DM52" i="18"/>
  <c r="DN52" i="18"/>
  <c r="CZ52" i="18"/>
  <c r="DO52" i="18"/>
  <c r="DA52" i="18"/>
  <c r="DP52" i="18"/>
  <c r="DB52" i="18"/>
  <c r="DQ52" i="18"/>
  <c r="DC52" i="18"/>
  <c r="DR52" i="18"/>
  <c r="DD52" i="18"/>
  <c r="DS52" i="18"/>
  <c r="DE52" i="18"/>
  <c r="DT52" i="18"/>
  <c r="DF52" i="18"/>
  <c r="DU52" i="18"/>
  <c r="DG52" i="18"/>
  <c r="DV52" i="18"/>
  <c r="DH52" i="18"/>
  <c r="DW52" i="18"/>
  <c r="DI52" i="18"/>
  <c r="DX52" i="18"/>
  <c r="DJ52" i="18"/>
  <c r="DY52" i="18"/>
  <c r="DK52" i="18"/>
  <c r="DZ52" i="18"/>
  <c r="DL52" i="18"/>
  <c r="EA52" i="18"/>
  <c r="EB52" i="18"/>
  <c r="CX51" i="18"/>
  <c r="DM51" i="18"/>
  <c r="DN51" i="18"/>
  <c r="CZ51" i="18"/>
  <c r="DO51" i="18"/>
  <c r="DA51" i="18"/>
  <c r="DP51" i="18"/>
  <c r="DB51" i="18"/>
  <c r="DQ51" i="18"/>
  <c r="DC51" i="18"/>
  <c r="DR51" i="18"/>
  <c r="DD51" i="18"/>
  <c r="DS51" i="18"/>
  <c r="DE51" i="18"/>
  <c r="DT51" i="18"/>
  <c r="DF51" i="18"/>
  <c r="DU51" i="18"/>
  <c r="DG51" i="18"/>
  <c r="DV51" i="18"/>
  <c r="DH51" i="18"/>
  <c r="DW51" i="18"/>
  <c r="DI51" i="18"/>
  <c r="DX51" i="18"/>
  <c r="DJ51" i="18"/>
  <c r="DY51" i="18"/>
  <c r="DK51" i="18"/>
  <c r="DZ51" i="18"/>
  <c r="DL51" i="18"/>
  <c r="EA51" i="18"/>
  <c r="EB51" i="18"/>
  <c r="CX50" i="18"/>
  <c r="DM50" i="18"/>
  <c r="DN50" i="18"/>
  <c r="CZ50" i="18"/>
  <c r="DO50" i="18"/>
  <c r="DA50" i="18"/>
  <c r="DP50" i="18"/>
  <c r="DB50" i="18"/>
  <c r="DQ50" i="18"/>
  <c r="DC50" i="18"/>
  <c r="DR50" i="18"/>
  <c r="DD50" i="18"/>
  <c r="DS50" i="18"/>
  <c r="DE50" i="18"/>
  <c r="DT50" i="18"/>
  <c r="DF50" i="18"/>
  <c r="DU50" i="18"/>
  <c r="DG50" i="18"/>
  <c r="DV50" i="18"/>
  <c r="DH50" i="18"/>
  <c r="DW50" i="18"/>
  <c r="DI50" i="18"/>
  <c r="DX50" i="18"/>
  <c r="DJ50" i="18"/>
  <c r="DY50" i="18"/>
  <c r="DK50" i="18"/>
  <c r="DZ50" i="18"/>
  <c r="DL50" i="18"/>
  <c r="EA50" i="18"/>
  <c r="EB50" i="18"/>
  <c r="CX23" i="18"/>
  <c r="CX49" i="18"/>
  <c r="DM49" i="18"/>
  <c r="DN49" i="18"/>
  <c r="CZ23" i="18"/>
  <c r="CZ49" i="18"/>
  <c r="DO49" i="18"/>
  <c r="BD23" i="31"/>
  <c r="BU23" i="31"/>
  <c r="CA23" i="31"/>
  <c r="CB23" i="31"/>
  <c r="BC23" i="31"/>
  <c r="DA23" i="18"/>
  <c r="DA49" i="18"/>
  <c r="DP49" i="18"/>
  <c r="DB23" i="18"/>
  <c r="DB49" i="18"/>
  <c r="DQ49" i="18"/>
  <c r="DC23" i="18"/>
  <c r="DC49" i="18"/>
  <c r="DR49" i="18"/>
  <c r="DD23" i="18"/>
  <c r="DD49" i="18"/>
  <c r="DS49" i="18"/>
  <c r="DE23" i="18"/>
  <c r="DE49" i="18"/>
  <c r="DT49" i="18"/>
  <c r="DF23" i="18"/>
  <c r="DF49" i="18"/>
  <c r="DU49" i="18"/>
  <c r="DG23" i="18"/>
  <c r="DG49" i="18"/>
  <c r="DV49" i="18"/>
  <c r="DH23" i="18"/>
  <c r="DH49" i="18"/>
  <c r="DW49" i="18"/>
  <c r="DI23" i="18"/>
  <c r="DI49" i="18"/>
  <c r="DX49" i="18"/>
  <c r="DJ23" i="18"/>
  <c r="DJ49" i="18"/>
  <c r="DY49" i="18"/>
  <c r="DK23" i="18"/>
  <c r="DK49" i="18"/>
  <c r="DZ49" i="18"/>
  <c r="DL23" i="18"/>
  <c r="DL49" i="18"/>
  <c r="EA49" i="18"/>
  <c r="EB49" i="18"/>
  <c r="CX48" i="18"/>
  <c r="DM48" i="18"/>
  <c r="DN48" i="18"/>
  <c r="CZ48" i="18"/>
  <c r="DO48" i="18"/>
  <c r="DA48" i="18"/>
  <c r="DP48" i="18"/>
  <c r="DB48" i="18"/>
  <c r="DQ48" i="18"/>
  <c r="DC48" i="18"/>
  <c r="DR48" i="18"/>
  <c r="DD48" i="18"/>
  <c r="DS48" i="18"/>
  <c r="DE48" i="18"/>
  <c r="DT48" i="18"/>
  <c r="DF48" i="18"/>
  <c r="DU48" i="18"/>
  <c r="DG48" i="18"/>
  <c r="DV48" i="18"/>
  <c r="DH48" i="18"/>
  <c r="DW48" i="18"/>
  <c r="DI48" i="18"/>
  <c r="DX48" i="18"/>
  <c r="DJ48" i="18"/>
  <c r="DY48" i="18"/>
  <c r="DK48" i="18"/>
  <c r="DZ48" i="18"/>
  <c r="DL48" i="18"/>
  <c r="EA48" i="18"/>
  <c r="EB48" i="18"/>
  <c r="CX6" i="18"/>
  <c r="CX47" i="18"/>
  <c r="DM47" i="18"/>
  <c r="DN47" i="18"/>
  <c r="CZ6" i="18"/>
  <c r="CZ47" i="18"/>
  <c r="DO47" i="18"/>
  <c r="AZ6" i="46"/>
  <c r="BA6" i="46"/>
  <c r="BD6" i="31"/>
  <c r="BU6" i="31"/>
  <c r="CA6" i="31"/>
  <c r="CB6" i="31"/>
  <c r="BC6" i="31"/>
  <c r="DA6" i="18"/>
  <c r="DA47" i="18"/>
  <c r="DP47" i="18"/>
  <c r="DB6" i="18"/>
  <c r="DB47" i="18"/>
  <c r="DQ47" i="18"/>
  <c r="DC6" i="18"/>
  <c r="DC47" i="18"/>
  <c r="DR47" i="18"/>
  <c r="DD6" i="18"/>
  <c r="DD47" i="18"/>
  <c r="DS47" i="18"/>
  <c r="DE6" i="18"/>
  <c r="DE47" i="18"/>
  <c r="DT47" i="18"/>
  <c r="DF6" i="18"/>
  <c r="DF47" i="18"/>
  <c r="DU47" i="18"/>
  <c r="DG6" i="18"/>
  <c r="DG47" i="18"/>
  <c r="DV47" i="18"/>
  <c r="DH6" i="18"/>
  <c r="DH47" i="18"/>
  <c r="DW47" i="18"/>
  <c r="DI6" i="18"/>
  <c r="DI47" i="18"/>
  <c r="DX47" i="18"/>
  <c r="DJ6" i="18"/>
  <c r="DJ47" i="18"/>
  <c r="DY47" i="18"/>
  <c r="DK6" i="18"/>
  <c r="DK47" i="18"/>
  <c r="DZ47" i="18"/>
  <c r="DL6" i="18"/>
  <c r="DL47" i="18"/>
  <c r="EA47" i="18"/>
  <c r="EB47" i="18"/>
  <c r="CX10" i="18"/>
  <c r="CX46" i="18"/>
  <c r="DM46" i="18"/>
  <c r="DN46" i="18"/>
  <c r="CZ10" i="18"/>
  <c r="CZ46" i="18"/>
  <c r="DO46" i="18"/>
  <c r="AZ10" i="46"/>
  <c r="BA10" i="46"/>
  <c r="BD10" i="31"/>
  <c r="BU10" i="31"/>
  <c r="CA10" i="31"/>
  <c r="CB10" i="31"/>
  <c r="BC10" i="31"/>
  <c r="DA10" i="18"/>
  <c r="DA46" i="18"/>
  <c r="DP46" i="18"/>
  <c r="DB10" i="18"/>
  <c r="DB46" i="18"/>
  <c r="DQ46" i="18"/>
  <c r="DC10" i="18"/>
  <c r="DC46" i="18"/>
  <c r="DR46" i="18"/>
  <c r="DD10" i="18"/>
  <c r="DD46" i="18"/>
  <c r="DS46" i="18"/>
  <c r="DE10" i="18"/>
  <c r="DE46" i="18"/>
  <c r="DT46" i="18"/>
  <c r="DF10" i="18"/>
  <c r="DF46" i="18"/>
  <c r="DU46" i="18"/>
  <c r="DG10" i="18"/>
  <c r="DG46" i="18"/>
  <c r="DV46" i="18"/>
  <c r="DH10" i="18"/>
  <c r="DH46" i="18"/>
  <c r="DW46" i="18"/>
  <c r="DI10" i="18"/>
  <c r="DI46" i="18"/>
  <c r="DX46" i="18"/>
  <c r="DJ10" i="18"/>
  <c r="DJ46" i="18"/>
  <c r="DY46" i="18"/>
  <c r="DK10" i="18"/>
  <c r="DK46" i="18"/>
  <c r="DZ46" i="18"/>
  <c r="DL10" i="18"/>
  <c r="DL46" i="18"/>
  <c r="EA46" i="18"/>
  <c r="EB46" i="18"/>
  <c r="CX45" i="18"/>
  <c r="DM45" i="18"/>
  <c r="DN45" i="18"/>
  <c r="CZ45" i="18"/>
  <c r="DO45" i="18"/>
  <c r="DA45" i="18"/>
  <c r="DP45" i="18"/>
  <c r="DB45" i="18"/>
  <c r="DQ45" i="18"/>
  <c r="DC45" i="18"/>
  <c r="DR45" i="18"/>
  <c r="DD45" i="18"/>
  <c r="DS45" i="18"/>
  <c r="DE45" i="18"/>
  <c r="DT45" i="18"/>
  <c r="DF45" i="18"/>
  <c r="DU45" i="18"/>
  <c r="DG45" i="18"/>
  <c r="DV45" i="18"/>
  <c r="DH45" i="18"/>
  <c r="DW45" i="18"/>
  <c r="DI45" i="18"/>
  <c r="DX45" i="18"/>
  <c r="DJ45" i="18"/>
  <c r="DY45" i="18"/>
  <c r="DK45" i="18"/>
  <c r="DZ45" i="18"/>
  <c r="DL45" i="18"/>
  <c r="EA45" i="18"/>
  <c r="EB45" i="18"/>
  <c r="CX15" i="18"/>
  <c r="CX44" i="18"/>
  <c r="DM44" i="18"/>
  <c r="DN44" i="18"/>
  <c r="CZ15" i="18"/>
  <c r="CZ44" i="18"/>
  <c r="DO44" i="18"/>
  <c r="BD15" i="31"/>
  <c r="BU15" i="31"/>
  <c r="CA15" i="31"/>
  <c r="CB15" i="31"/>
  <c r="BC15" i="31"/>
  <c r="DA15" i="18"/>
  <c r="DA44" i="18"/>
  <c r="DP44" i="18"/>
  <c r="DB15" i="18"/>
  <c r="DB44" i="18"/>
  <c r="DQ44" i="18"/>
  <c r="DC15" i="18"/>
  <c r="DC44" i="18"/>
  <c r="DR44" i="18"/>
  <c r="DD15" i="18"/>
  <c r="DD44" i="18"/>
  <c r="DS44" i="18"/>
  <c r="DE15" i="18"/>
  <c r="DE44" i="18"/>
  <c r="DT44" i="18"/>
  <c r="DF15" i="18"/>
  <c r="DF44" i="18"/>
  <c r="DU44" i="18"/>
  <c r="DG15" i="18"/>
  <c r="DG44" i="18"/>
  <c r="DV44" i="18"/>
  <c r="DH15" i="18"/>
  <c r="DH44" i="18"/>
  <c r="DW44" i="18"/>
  <c r="DI15" i="18"/>
  <c r="DI44" i="18"/>
  <c r="DX44" i="18"/>
  <c r="DJ15" i="18"/>
  <c r="DJ44" i="18"/>
  <c r="DY44" i="18"/>
  <c r="DK15" i="18"/>
  <c r="DK44" i="18"/>
  <c r="DZ44" i="18"/>
  <c r="DL15" i="18"/>
  <c r="DL44" i="18"/>
  <c r="EA44" i="18"/>
  <c r="EB44" i="18"/>
  <c r="CX28" i="18"/>
  <c r="CX43" i="18"/>
  <c r="DM43" i="18"/>
  <c r="DN43" i="18"/>
  <c r="CZ28" i="18"/>
  <c r="CZ43" i="18"/>
  <c r="DO43" i="18"/>
  <c r="BD28" i="31"/>
  <c r="BU28" i="31"/>
  <c r="CA28" i="31"/>
  <c r="CB28" i="31"/>
  <c r="BC28" i="31"/>
  <c r="DA28" i="18"/>
  <c r="DA43" i="18"/>
  <c r="DP43" i="18"/>
  <c r="DB28" i="18"/>
  <c r="DB43" i="18"/>
  <c r="DQ43" i="18"/>
  <c r="DC28" i="18"/>
  <c r="DC43" i="18"/>
  <c r="DR43" i="18"/>
  <c r="DD28" i="18"/>
  <c r="DD43" i="18"/>
  <c r="DS43" i="18"/>
  <c r="DE28" i="18"/>
  <c r="DE43" i="18"/>
  <c r="DT43" i="18"/>
  <c r="DF28" i="18"/>
  <c r="DF43" i="18"/>
  <c r="DU43" i="18"/>
  <c r="DG28" i="18"/>
  <c r="DG43" i="18"/>
  <c r="DV43" i="18"/>
  <c r="DH28" i="18"/>
  <c r="DH43" i="18"/>
  <c r="DW43" i="18"/>
  <c r="DI28" i="18"/>
  <c r="DI43" i="18"/>
  <c r="DX43" i="18"/>
  <c r="DJ28" i="18"/>
  <c r="DJ43" i="18"/>
  <c r="DY43" i="18"/>
  <c r="DK28" i="18"/>
  <c r="DK43" i="18"/>
  <c r="DZ43" i="18"/>
  <c r="DL28" i="18"/>
  <c r="DL43" i="18"/>
  <c r="EA43" i="18"/>
  <c r="EB43" i="18"/>
  <c r="CX19" i="18"/>
  <c r="CX42" i="18"/>
  <c r="DM42" i="18"/>
  <c r="DN42" i="18"/>
  <c r="CZ19" i="18"/>
  <c r="CZ42" i="18"/>
  <c r="DO42" i="18"/>
  <c r="BD19" i="31"/>
  <c r="BU19" i="31"/>
  <c r="CA19" i="31"/>
  <c r="CB19" i="31"/>
  <c r="BC19" i="31"/>
  <c r="DA19" i="18"/>
  <c r="DA42" i="18"/>
  <c r="DP42" i="18"/>
  <c r="DB19" i="18"/>
  <c r="DB42" i="18"/>
  <c r="DQ42" i="18"/>
  <c r="DC19" i="18"/>
  <c r="DC42" i="18"/>
  <c r="DR42" i="18"/>
  <c r="DD19" i="18"/>
  <c r="DD42" i="18"/>
  <c r="DS42" i="18"/>
  <c r="DE19" i="18"/>
  <c r="DE42" i="18"/>
  <c r="DT42" i="18"/>
  <c r="DF19" i="18"/>
  <c r="DF42" i="18"/>
  <c r="DU42" i="18"/>
  <c r="DG19" i="18"/>
  <c r="DG42" i="18"/>
  <c r="DV42" i="18"/>
  <c r="DH19" i="18"/>
  <c r="DH42" i="18"/>
  <c r="DW42" i="18"/>
  <c r="DI19" i="18"/>
  <c r="DI42" i="18"/>
  <c r="DX42" i="18"/>
  <c r="DJ19" i="18"/>
  <c r="DJ42" i="18"/>
  <c r="DY42" i="18"/>
  <c r="DK19" i="18"/>
  <c r="DK42" i="18"/>
  <c r="DZ42" i="18"/>
  <c r="DL19" i="18"/>
  <c r="DL42" i="18"/>
  <c r="EA42" i="18"/>
  <c r="EB42" i="18"/>
  <c r="CX8" i="18"/>
  <c r="CX41" i="18"/>
  <c r="DM41" i="18"/>
  <c r="DN41" i="18"/>
  <c r="CZ8" i="18"/>
  <c r="CZ41" i="18"/>
  <c r="DO41" i="18"/>
  <c r="BD8" i="31"/>
  <c r="BU8" i="31"/>
  <c r="CA8" i="31"/>
  <c r="CB8" i="31"/>
  <c r="BC8" i="31"/>
  <c r="DA8" i="18"/>
  <c r="DA41" i="18"/>
  <c r="DP41" i="18"/>
  <c r="DB8" i="18"/>
  <c r="DB41" i="18"/>
  <c r="DQ41" i="18"/>
  <c r="DC8" i="18"/>
  <c r="DC41" i="18"/>
  <c r="DR41" i="18"/>
  <c r="DD8" i="18"/>
  <c r="DD41" i="18"/>
  <c r="DS41" i="18"/>
  <c r="DE8" i="18"/>
  <c r="DE41" i="18"/>
  <c r="DT41" i="18"/>
  <c r="DF8" i="18"/>
  <c r="DF41" i="18"/>
  <c r="DU41" i="18"/>
  <c r="DG8" i="18"/>
  <c r="DG41" i="18"/>
  <c r="DV41" i="18"/>
  <c r="DH8" i="18"/>
  <c r="DH41" i="18"/>
  <c r="DW41" i="18"/>
  <c r="DI8" i="18"/>
  <c r="DI41" i="18"/>
  <c r="DX41" i="18"/>
  <c r="DJ8" i="18"/>
  <c r="DJ41" i="18"/>
  <c r="DY41" i="18"/>
  <c r="DK8" i="18"/>
  <c r="DK41" i="18"/>
  <c r="DZ41" i="18"/>
  <c r="DL8" i="18"/>
  <c r="DL41" i="18"/>
  <c r="EA41" i="18"/>
  <c r="EB41" i="18"/>
  <c r="CX4" i="18"/>
  <c r="CX40" i="18"/>
  <c r="DM40" i="18"/>
  <c r="DN40" i="18"/>
  <c r="CZ4" i="18"/>
  <c r="CZ40" i="18"/>
  <c r="DO40" i="18"/>
  <c r="BD4" i="31"/>
  <c r="BU4" i="31"/>
  <c r="CA4" i="31"/>
  <c r="CB4" i="31"/>
  <c r="BC4" i="31"/>
  <c r="DA4" i="18"/>
  <c r="DA40" i="18"/>
  <c r="DP40" i="18"/>
  <c r="DB4" i="18"/>
  <c r="DB40" i="18"/>
  <c r="DQ40" i="18"/>
  <c r="DC4" i="18"/>
  <c r="DC40" i="18"/>
  <c r="DR40" i="18"/>
  <c r="DD4" i="18"/>
  <c r="DD40" i="18"/>
  <c r="DS40" i="18"/>
  <c r="DE4" i="18"/>
  <c r="DE40" i="18"/>
  <c r="DT40" i="18"/>
  <c r="DF4" i="18"/>
  <c r="DF40" i="18"/>
  <c r="DU40" i="18"/>
  <c r="DG4" i="18"/>
  <c r="DG40" i="18"/>
  <c r="DV40" i="18"/>
  <c r="DH4" i="18"/>
  <c r="DH40" i="18"/>
  <c r="DW40" i="18"/>
  <c r="DI4" i="18"/>
  <c r="DI40" i="18"/>
  <c r="DX40" i="18"/>
  <c r="DJ4" i="18"/>
  <c r="DJ40" i="18"/>
  <c r="DY40" i="18"/>
  <c r="DK4" i="18"/>
  <c r="DK40" i="18"/>
  <c r="DZ40" i="18"/>
  <c r="DL4" i="18"/>
  <c r="DL40" i="18"/>
  <c r="EA40" i="18"/>
  <c r="EB40" i="18"/>
  <c r="CX11" i="18"/>
  <c r="CX39" i="18"/>
  <c r="DM39" i="18"/>
  <c r="DN39" i="18"/>
  <c r="CZ11" i="18"/>
  <c r="CZ39" i="18"/>
  <c r="DO39" i="18"/>
  <c r="BD11" i="31"/>
  <c r="BU11" i="31"/>
  <c r="CA11" i="31"/>
  <c r="CB11" i="31"/>
  <c r="BC11" i="31"/>
  <c r="DA11" i="18"/>
  <c r="DA39" i="18"/>
  <c r="DP39" i="18"/>
  <c r="DB11" i="18"/>
  <c r="DB39" i="18"/>
  <c r="DQ39" i="18"/>
  <c r="DC11" i="18"/>
  <c r="DC39" i="18"/>
  <c r="DR39" i="18"/>
  <c r="DD11" i="18"/>
  <c r="DD39" i="18"/>
  <c r="DS39" i="18"/>
  <c r="DE11" i="18"/>
  <c r="DE39" i="18"/>
  <c r="DT39" i="18"/>
  <c r="DF11" i="18"/>
  <c r="DF39" i="18"/>
  <c r="DU39" i="18"/>
  <c r="DG11" i="18"/>
  <c r="DG39" i="18"/>
  <c r="DV39" i="18"/>
  <c r="DH11" i="18"/>
  <c r="DH39" i="18"/>
  <c r="DW39" i="18"/>
  <c r="DI11" i="18"/>
  <c r="DI39" i="18"/>
  <c r="DX39" i="18"/>
  <c r="DJ11" i="18"/>
  <c r="DJ39" i="18"/>
  <c r="DY39" i="18"/>
  <c r="DK11" i="18"/>
  <c r="DK39" i="18"/>
  <c r="DZ39" i="18"/>
  <c r="DL11" i="18"/>
  <c r="DL39" i="18"/>
  <c r="EA39" i="18"/>
  <c r="EB39" i="18"/>
  <c r="CX2" i="18"/>
  <c r="CX38" i="18"/>
  <c r="DM38" i="18"/>
  <c r="DN38" i="18"/>
  <c r="CZ2" i="18"/>
  <c r="CZ38" i="18"/>
  <c r="DO38" i="18"/>
  <c r="BD2" i="31"/>
  <c r="BU2" i="31"/>
  <c r="CA2" i="31"/>
  <c r="CB2" i="31"/>
  <c r="BC2" i="31"/>
  <c r="DA2" i="18"/>
  <c r="DA38" i="18"/>
  <c r="DP38" i="18"/>
  <c r="DB2" i="18"/>
  <c r="DB38" i="18"/>
  <c r="DQ38" i="18"/>
  <c r="DC2" i="18"/>
  <c r="DC38" i="18"/>
  <c r="DR38" i="18"/>
  <c r="DD2" i="18"/>
  <c r="DD38" i="18"/>
  <c r="DS38" i="18"/>
  <c r="DE2" i="18"/>
  <c r="DE38" i="18"/>
  <c r="DT38" i="18"/>
  <c r="DF2" i="18"/>
  <c r="DF38" i="18"/>
  <c r="DU38" i="18"/>
  <c r="DG2" i="18"/>
  <c r="DG38" i="18"/>
  <c r="DV38" i="18"/>
  <c r="DH2" i="18"/>
  <c r="DH38" i="18"/>
  <c r="DW38" i="18"/>
  <c r="DI2" i="18"/>
  <c r="DI38" i="18"/>
  <c r="DX38" i="18"/>
  <c r="DJ2" i="18"/>
  <c r="DJ38" i="18"/>
  <c r="DY38" i="18"/>
  <c r="DK2" i="18"/>
  <c r="DK38" i="18"/>
  <c r="DZ38" i="18"/>
  <c r="DL2" i="18"/>
  <c r="DL38" i="18"/>
  <c r="EA38" i="18"/>
  <c r="EB38" i="18"/>
  <c r="CX22" i="18"/>
  <c r="CX37" i="18"/>
  <c r="DM37" i="18"/>
  <c r="DN37" i="18"/>
  <c r="CZ22" i="18"/>
  <c r="CZ37" i="18"/>
  <c r="DO37" i="18"/>
  <c r="BD22" i="31"/>
  <c r="BU22" i="31"/>
  <c r="CA22" i="31"/>
  <c r="CB22" i="31"/>
  <c r="BC22" i="31"/>
  <c r="DA22" i="18"/>
  <c r="DA37" i="18"/>
  <c r="DP37" i="18"/>
  <c r="DB22" i="18"/>
  <c r="DB37" i="18"/>
  <c r="DQ37" i="18"/>
  <c r="DC22" i="18"/>
  <c r="DC37" i="18"/>
  <c r="DR37" i="18"/>
  <c r="DD22" i="18"/>
  <c r="DD37" i="18"/>
  <c r="DS37" i="18"/>
  <c r="DE22" i="18"/>
  <c r="DE37" i="18"/>
  <c r="DT37" i="18"/>
  <c r="DF22" i="18"/>
  <c r="DF37" i="18"/>
  <c r="DU37" i="18"/>
  <c r="DG22" i="18"/>
  <c r="DG37" i="18"/>
  <c r="DV37" i="18"/>
  <c r="DH22" i="18"/>
  <c r="DH37" i="18"/>
  <c r="DW37" i="18"/>
  <c r="DI22" i="18"/>
  <c r="DI37" i="18"/>
  <c r="DX37" i="18"/>
  <c r="DJ22" i="18"/>
  <c r="DJ37" i="18"/>
  <c r="DY37" i="18"/>
  <c r="DK22" i="18"/>
  <c r="DK37" i="18"/>
  <c r="DZ37" i="18"/>
  <c r="DL22" i="18"/>
  <c r="DL37" i="18"/>
  <c r="EA37" i="18"/>
  <c r="EB37" i="18"/>
  <c r="CX26" i="18"/>
  <c r="CX36" i="18"/>
  <c r="DM36" i="18"/>
  <c r="DN36" i="18"/>
  <c r="CZ26" i="18"/>
  <c r="CZ36" i="18"/>
  <c r="DO36" i="18"/>
  <c r="BD26" i="31"/>
  <c r="BU26" i="31"/>
  <c r="CA26" i="31"/>
  <c r="CB26" i="31"/>
  <c r="BC26" i="31"/>
  <c r="DA26" i="18"/>
  <c r="DA36" i="18"/>
  <c r="DP36" i="18"/>
  <c r="DB26" i="18"/>
  <c r="DB36" i="18"/>
  <c r="DQ36" i="18"/>
  <c r="DC26" i="18"/>
  <c r="DC36" i="18"/>
  <c r="DR36" i="18"/>
  <c r="DD26" i="18"/>
  <c r="DD36" i="18"/>
  <c r="DS36" i="18"/>
  <c r="DE26" i="18"/>
  <c r="DE36" i="18"/>
  <c r="DT36" i="18"/>
  <c r="DF26" i="18"/>
  <c r="DF36" i="18"/>
  <c r="DU36" i="18"/>
  <c r="DG26" i="18"/>
  <c r="DG36" i="18"/>
  <c r="DV36" i="18"/>
  <c r="DH26" i="18"/>
  <c r="DH36" i="18"/>
  <c r="DW36" i="18"/>
  <c r="DI26" i="18"/>
  <c r="DI36" i="18"/>
  <c r="DX36" i="18"/>
  <c r="DJ26" i="18"/>
  <c r="DJ36" i="18"/>
  <c r="DY36" i="18"/>
  <c r="DK26" i="18"/>
  <c r="DK36" i="18"/>
  <c r="DZ36" i="18"/>
  <c r="DL26" i="18"/>
  <c r="DL36" i="18"/>
  <c r="EA36" i="18"/>
  <c r="EB36" i="18"/>
  <c r="CX30" i="18"/>
  <c r="CX35" i="18"/>
  <c r="DM35" i="18"/>
  <c r="DN35" i="18"/>
  <c r="CZ30" i="18"/>
  <c r="CZ35" i="18"/>
  <c r="DO35" i="18"/>
  <c r="BD30" i="31"/>
  <c r="BU30" i="31"/>
  <c r="CA30" i="31"/>
  <c r="CB30" i="31"/>
  <c r="BC30" i="31"/>
  <c r="DA30" i="18"/>
  <c r="DA35" i="18"/>
  <c r="DP35" i="18"/>
  <c r="DB30" i="18"/>
  <c r="DB35" i="18"/>
  <c r="DQ35" i="18"/>
  <c r="DC30" i="18"/>
  <c r="DC35" i="18"/>
  <c r="DR35" i="18"/>
  <c r="DD30" i="18"/>
  <c r="DD35" i="18"/>
  <c r="DS35" i="18"/>
  <c r="DE30" i="18"/>
  <c r="DE35" i="18"/>
  <c r="DT35" i="18"/>
  <c r="DF30" i="18"/>
  <c r="DF35" i="18"/>
  <c r="DU35" i="18"/>
  <c r="DG30" i="18"/>
  <c r="DG35" i="18"/>
  <c r="DV35" i="18"/>
  <c r="DH30" i="18"/>
  <c r="DH35" i="18"/>
  <c r="DW35" i="18"/>
  <c r="DI30" i="18"/>
  <c r="DI35" i="18"/>
  <c r="DX35" i="18"/>
  <c r="DJ30" i="18"/>
  <c r="DJ35" i="18"/>
  <c r="DY35" i="18"/>
  <c r="DK30" i="18"/>
  <c r="DK35" i="18"/>
  <c r="DZ35" i="18"/>
  <c r="DL30" i="18"/>
  <c r="DL35" i="18"/>
  <c r="EA35" i="18"/>
  <c r="EB35" i="18"/>
  <c r="CX14" i="18"/>
  <c r="CX34" i="18"/>
  <c r="DM34" i="18"/>
  <c r="DN34" i="18"/>
  <c r="CZ14" i="18"/>
  <c r="CZ34" i="18"/>
  <c r="DO34" i="18"/>
  <c r="BD14" i="31"/>
  <c r="BU14" i="31"/>
  <c r="CA14" i="31"/>
  <c r="CB14" i="31"/>
  <c r="BC14" i="31"/>
  <c r="DA14" i="18"/>
  <c r="DA34" i="18"/>
  <c r="DP34" i="18"/>
  <c r="DB14" i="18"/>
  <c r="DB34" i="18"/>
  <c r="DQ34" i="18"/>
  <c r="DC14" i="18"/>
  <c r="DC34" i="18"/>
  <c r="DR34" i="18"/>
  <c r="DD14" i="18"/>
  <c r="DD34" i="18"/>
  <c r="DS34" i="18"/>
  <c r="DE14" i="18"/>
  <c r="DE34" i="18"/>
  <c r="DT34" i="18"/>
  <c r="DF14" i="18"/>
  <c r="DF34" i="18"/>
  <c r="DU34" i="18"/>
  <c r="DG14" i="18"/>
  <c r="DG34" i="18"/>
  <c r="DV34" i="18"/>
  <c r="DH14" i="18"/>
  <c r="DH34" i="18"/>
  <c r="DW34" i="18"/>
  <c r="DI14" i="18"/>
  <c r="DI34" i="18"/>
  <c r="DX34" i="18"/>
  <c r="DJ14" i="18"/>
  <c r="DJ34" i="18"/>
  <c r="DY34" i="18"/>
  <c r="DK14" i="18"/>
  <c r="DK34" i="18"/>
  <c r="DZ34" i="18"/>
  <c r="DL14" i="18"/>
  <c r="DL34" i="18"/>
  <c r="EA34" i="18"/>
  <c r="EB34" i="18"/>
  <c r="CX13" i="18"/>
  <c r="CX33" i="18"/>
  <c r="DM33" i="18"/>
  <c r="DN33" i="18"/>
  <c r="CZ13" i="18"/>
  <c r="CZ33" i="18"/>
  <c r="DO33" i="18"/>
  <c r="BD13" i="31"/>
  <c r="BU13" i="31"/>
  <c r="CA13" i="31"/>
  <c r="CB13" i="31"/>
  <c r="BC13" i="31"/>
  <c r="DA13" i="18"/>
  <c r="DA33" i="18"/>
  <c r="DP33" i="18"/>
  <c r="DB13" i="18"/>
  <c r="DB33" i="18"/>
  <c r="DQ33" i="18"/>
  <c r="DC13" i="18"/>
  <c r="DC33" i="18"/>
  <c r="DR33" i="18"/>
  <c r="DD13" i="18"/>
  <c r="DD33" i="18"/>
  <c r="DS33" i="18"/>
  <c r="DE13" i="18"/>
  <c r="DE33" i="18"/>
  <c r="DT33" i="18"/>
  <c r="DF13" i="18"/>
  <c r="DF33" i="18"/>
  <c r="DU33" i="18"/>
  <c r="DG13" i="18"/>
  <c r="DG33" i="18"/>
  <c r="DV33" i="18"/>
  <c r="DH13" i="18"/>
  <c r="DH33" i="18"/>
  <c r="DW33" i="18"/>
  <c r="DI13" i="18"/>
  <c r="DI33" i="18"/>
  <c r="DX33" i="18"/>
  <c r="DJ13" i="18"/>
  <c r="DJ33" i="18"/>
  <c r="DY33" i="18"/>
  <c r="DK13" i="18"/>
  <c r="DK33" i="18"/>
  <c r="DZ33" i="18"/>
  <c r="DL13" i="18"/>
  <c r="DL33" i="18"/>
  <c r="EA33" i="18"/>
  <c r="EB33" i="18"/>
  <c r="CX3" i="18"/>
  <c r="CX32" i="18"/>
  <c r="DM32" i="18"/>
  <c r="DN32" i="18"/>
  <c r="CZ3" i="18"/>
  <c r="CZ32" i="18"/>
  <c r="DO32" i="18"/>
  <c r="BD3" i="31"/>
  <c r="BU3" i="31"/>
  <c r="CA3" i="31"/>
  <c r="CB3" i="31"/>
  <c r="BC3" i="31"/>
  <c r="DA3" i="18"/>
  <c r="DA32" i="18"/>
  <c r="DP32" i="18"/>
  <c r="DB3" i="18"/>
  <c r="DB32" i="18"/>
  <c r="DQ32" i="18"/>
  <c r="DC3" i="18"/>
  <c r="DC32" i="18"/>
  <c r="DR32" i="18"/>
  <c r="DD3" i="18"/>
  <c r="DD32" i="18"/>
  <c r="DS32" i="18"/>
  <c r="DE3" i="18"/>
  <c r="DE32" i="18"/>
  <c r="DT32" i="18"/>
  <c r="DF3" i="18"/>
  <c r="DF32" i="18"/>
  <c r="DU32" i="18"/>
  <c r="DG3" i="18"/>
  <c r="DG32" i="18"/>
  <c r="DV32" i="18"/>
  <c r="DH3" i="18"/>
  <c r="DH32" i="18"/>
  <c r="DW32" i="18"/>
  <c r="DI3" i="18"/>
  <c r="DI32" i="18"/>
  <c r="DX32" i="18"/>
  <c r="DJ3" i="18"/>
  <c r="DJ32" i="18"/>
  <c r="DY32" i="18"/>
  <c r="DK3" i="18"/>
  <c r="DK32" i="18"/>
  <c r="DZ32" i="18"/>
  <c r="DL3" i="18"/>
  <c r="DL32" i="18"/>
  <c r="EA32" i="18"/>
  <c r="EB32" i="18"/>
  <c r="CX31" i="18"/>
  <c r="DM31" i="18"/>
  <c r="DN31" i="18"/>
  <c r="CZ31" i="18"/>
  <c r="DO31" i="18"/>
  <c r="DA31" i="18"/>
  <c r="DP31" i="18"/>
  <c r="DB31" i="18"/>
  <c r="DQ31" i="18"/>
  <c r="DC31" i="18"/>
  <c r="DR31" i="18"/>
  <c r="DD31" i="18"/>
  <c r="DS31" i="18"/>
  <c r="DE31" i="18"/>
  <c r="DT31" i="18"/>
  <c r="DF31" i="18"/>
  <c r="DU31" i="18"/>
  <c r="DG31" i="18"/>
  <c r="DV31" i="18"/>
  <c r="DH31" i="18"/>
  <c r="DW31" i="18"/>
  <c r="DI31" i="18"/>
  <c r="DX31" i="18"/>
  <c r="DJ31" i="18"/>
  <c r="DY31" i="18"/>
  <c r="DK31" i="18"/>
  <c r="DZ31" i="18"/>
  <c r="DL31" i="18"/>
  <c r="EA31" i="18"/>
  <c r="EB31" i="18"/>
  <c r="DN21" i="18"/>
  <c r="DM21" i="18"/>
  <c r="DO21" i="18"/>
  <c r="DP21" i="18"/>
  <c r="DQ21" i="18"/>
  <c r="DR21" i="18"/>
  <c r="DS21" i="18"/>
  <c r="DT21" i="18"/>
  <c r="DU21" i="18"/>
  <c r="DV21" i="18"/>
  <c r="DW21" i="18"/>
  <c r="DX21" i="18"/>
  <c r="DY21" i="18"/>
  <c r="DZ21" i="18"/>
  <c r="EA21" i="18"/>
  <c r="EB21" i="18"/>
  <c r="DM23" i="18"/>
  <c r="DN23" i="18"/>
  <c r="DO23" i="18"/>
  <c r="DP23" i="18"/>
  <c r="DQ23" i="18"/>
  <c r="DR23" i="18"/>
  <c r="DS23" i="18"/>
  <c r="DT23" i="18"/>
  <c r="DU23" i="18"/>
  <c r="DV23" i="18"/>
  <c r="DW23" i="18"/>
  <c r="DX23" i="18"/>
  <c r="DY23" i="18"/>
  <c r="DZ23" i="18"/>
  <c r="EA23" i="18"/>
  <c r="EB23" i="18"/>
  <c r="DM2" i="18"/>
  <c r="DN2" i="18"/>
  <c r="DO2" i="18"/>
  <c r="DP2" i="18"/>
  <c r="DQ2" i="18"/>
  <c r="DR2" i="18"/>
  <c r="DS2" i="18"/>
  <c r="DT2" i="18"/>
  <c r="DU2" i="18"/>
  <c r="DV2" i="18"/>
  <c r="DW2" i="18"/>
  <c r="DX2" i="18"/>
  <c r="DY2" i="18"/>
  <c r="DZ2" i="18"/>
  <c r="EA2" i="18"/>
  <c r="EB2" i="18"/>
  <c r="AS31" i="5"/>
  <c r="C32" i="31"/>
  <c r="C33" i="31"/>
  <c r="C34" i="31"/>
  <c r="C35" i="31"/>
  <c r="C36" i="31"/>
  <c r="C37" i="31"/>
  <c r="C38" i="31"/>
  <c r="C39" i="31"/>
  <c r="C40" i="31"/>
  <c r="C41" i="31"/>
  <c r="C42" i="31"/>
  <c r="C43" i="31"/>
  <c r="C44" i="31"/>
  <c r="C31" i="31"/>
  <c r="U32" i="31"/>
  <c r="U33" i="31"/>
  <c r="U34" i="31"/>
  <c r="U35" i="31"/>
  <c r="U36" i="31"/>
  <c r="U37" i="31"/>
  <c r="U38" i="31"/>
  <c r="U39" i="31"/>
  <c r="U40" i="31"/>
  <c r="U41" i="31"/>
  <c r="U42" i="31"/>
  <c r="U43" i="31"/>
  <c r="U44" i="31"/>
  <c r="U31" i="31"/>
  <c r="Q33" i="2"/>
  <c r="Q30" i="2"/>
  <c r="Q27" i="2"/>
  <c r="Q24" i="2"/>
  <c r="Q21" i="2"/>
  <c r="Q18" i="2"/>
  <c r="Q15" i="2"/>
  <c r="N101" i="2"/>
  <c r="N98" i="2"/>
  <c r="N95" i="2"/>
  <c r="N92" i="2"/>
  <c r="N89" i="2"/>
  <c r="N86" i="2"/>
  <c r="N83" i="2" a="1"/>
  <c r="N83" i="2"/>
  <c r="N80" i="2"/>
  <c r="N77" i="2"/>
  <c r="N74" i="2"/>
  <c r="N71" i="2"/>
  <c r="N68" i="2"/>
  <c r="N65" i="2"/>
  <c r="N62" i="2"/>
  <c r="N59" i="2"/>
  <c r="N56" i="2"/>
  <c r="N53" i="2"/>
  <c r="N50" i="2"/>
  <c r="N47" i="2"/>
  <c r="N44" i="2"/>
  <c r="N41" i="2"/>
  <c r="N38" i="2"/>
  <c r="N35" i="2"/>
  <c r="N32" i="2"/>
  <c r="N29" i="2"/>
  <c r="D30" i="41"/>
  <c r="U30" i="41"/>
  <c r="AA30" i="41"/>
  <c r="AB30" i="41"/>
  <c r="D29" i="41"/>
  <c r="U29" i="41"/>
  <c r="AA29" i="41"/>
  <c r="AB29" i="41"/>
  <c r="D28" i="41"/>
  <c r="U28" i="41"/>
  <c r="AA28" i="41"/>
  <c r="AB28" i="41"/>
  <c r="D27" i="41"/>
  <c r="U27" i="41"/>
  <c r="AA27" i="41"/>
  <c r="AB27" i="41"/>
  <c r="D26" i="41"/>
  <c r="U26" i="41"/>
  <c r="AA26" i="41"/>
  <c r="AB26" i="41"/>
  <c r="D25" i="41"/>
  <c r="U25" i="41"/>
  <c r="AA25" i="41"/>
  <c r="AB25" i="41"/>
  <c r="D24" i="41"/>
  <c r="U24" i="41"/>
  <c r="AA24" i="41"/>
  <c r="AB24" i="41"/>
  <c r="D23" i="41"/>
  <c r="U23" i="41"/>
  <c r="AA23" i="41"/>
  <c r="AB23" i="41"/>
  <c r="D22" i="41"/>
  <c r="U22" i="41"/>
  <c r="AA22" i="41"/>
  <c r="AB22" i="41"/>
  <c r="D21" i="41"/>
  <c r="U21" i="41"/>
  <c r="AA21" i="41"/>
  <c r="AB21" i="41"/>
  <c r="D20" i="41"/>
  <c r="U20" i="41"/>
  <c r="AA20" i="41"/>
  <c r="AB20" i="41"/>
  <c r="D19" i="41"/>
  <c r="U19" i="41"/>
  <c r="AA19" i="41"/>
  <c r="AB19" i="41"/>
  <c r="D18" i="41"/>
  <c r="U18" i="41"/>
  <c r="AA18" i="41"/>
  <c r="AB18" i="41"/>
  <c r="D17" i="41"/>
  <c r="U17" i="41"/>
  <c r="AA17" i="41"/>
  <c r="AB17" i="41"/>
  <c r="D16" i="41"/>
  <c r="U16" i="41"/>
  <c r="AA16" i="41"/>
  <c r="AB16" i="41"/>
  <c r="D15" i="41"/>
  <c r="U15" i="41"/>
  <c r="AA15" i="41"/>
  <c r="AB15" i="41"/>
  <c r="D14" i="41"/>
  <c r="U14" i="41"/>
  <c r="AA14" i="41"/>
  <c r="AB14" i="41"/>
  <c r="D13" i="41"/>
  <c r="U13" i="41"/>
  <c r="AA13" i="41"/>
  <c r="AB13" i="41"/>
  <c r="D12" i="41"/>
  <c r="U12" i="41"/>
  <c r="AA12" i="41"/>
  <c r="AB12" i="41"/>
  <c r="D11" i="41"/>
  <c r="U11" i="41"/>
  <c r="AA11" i="41"/>
  <c r="AB11" i="41"/>
  <c r="D10" i="41"/>
  <c r="U10" i="41"/>
  <c r="AA10" i="41"/>
  <c r="AB10" i="41"/>
  <c r="E10" i="45"/>
  <c r="D9" i="41"/>
  <c r="U9" i="41"/>
  <c r="AA9" i="41"/>
  <c r="AB9" i="41"/>
  <c r="D8" i="41"/>
  <c r="U8" i="41"/>
  <c r="AA8" i="41"/>
  <c r="AB8" i="41"/>
  <c r="D7" i="41"/>
  <c r="U7" i="41"/>
  <c r="AA7" i="41"/>
  <c r="AB7" i="41"/>
  <c r="D6" i="41"/>
  <c r="U6" i="41"/>
  <c r="AA6" i="41"/>
  <c r="AB6" i="41"/>
  <c r="E6" i="45"/>
  <c r="D5" i="41"/>
  <c r="U5" i="41"/>
  <c r="AA5" i="41"/>
  <c r="AB5" i="41"/>
  <c r="D4" i="41"/>
  <c r="U4" i="41"/>
  <c r="AA4" i="41"/>
  <c r="AB4" i="41"/>
  <c r="D3" i="41"/>
  <c r="U3" i="41"/>
  <c r="AA3" i="41"/>
  <c r="AB3" i="41"/>
  <c r="D2" i="41"/>
  <c r="U2" i="41"/>
  <c r="AA2" i="41"/>
  <c r="AB2" i="41"/>
  <c r="D10" i="45"/>
  <c r="D6" i="45"/>
  <c r="E63" i="45"/>
  <c r="D63" i="45"/>
  <c r="E48" i="45"/>
  <c r="D48" i="45"/>
  <c r="E47" i="45"/>
  <c r="D47" i="45"/>
  <c r="E46" i="45"/>
  <c r="D46" i="45"/>
  <c r="E45" i="45"/>
  <c r="D45" i="45"/>
  <c r="E31" i="45"/>
  <c r="D31" i="45"/>
  <c r="I30" i="45"/>
  <c r="H30" i="45"/>
  <c r="I29" i="45"/>
  <c r="H29" i="45"/>
  <c r="I28" i="45"/>
  <c r="H28" i="45"/>
  <c r="I27" i="45"/>
  <c r="H27" i="45"/>
  <c r="I26" i="45"/>
  <c r="H26" i="45"/>
  <c r="I25" i="45"/>
  <c r="H25" i="45"/>
  <c r="I24" i="45"/>
  <c r="H24" i="45"/>
  <c r="I23" i="45"/>
  <c r="H23" i="45"/>
  <c r="I22" i="45"/>
  <c r="H22" i="45"/>
  <c r="I21" i="45"/>
  <c r="H21" i="45"/>
  <c r="I20" i="45"/>
  <c r="H20" i="45"/>
  <c r="I19" i="45"/>
  <c r="H19" i="45"/>
  <c r="I18" i="45"/>
  <c r="H18" i="45"/>
  <c r="I17" i="45"/>
  <c r="H17" i="45"/>
  <c r="I16" i="45"/>
  <c r="H16" i="45"/>
  <c r="I15" i="45"/>
  <c r="H15" i="45"/>
  <c r="I14" i="45"/>
  <c r="H14" i="45"/>
  <c r="I13" i="45"/>
  <c r="H13" i="45"/>
  <c r="I12" i="45"/>
  <c r="H12" i="45"/>
  <c r="I11" i="45"/>
  <c r="H11" i="45"/>
  <c r="I10" i="45"/>
  <c r="H10" i="45"/>
  <c r="I9" i="45"/>
  <c r="H9" i="45"/>
  <c r="I8" i="45"/>
  <c r="H8" i="45"/>
  <c r="I7" i="45"/>
  <c r="H7" i="45"/>
  <c r="I6" i="45"/>
  <c r="H6" i="45"/>
  <c r="I5" i="45"/>
  <c r="H5" i="45"/>
  <c r="I4" i="45"/>
  <c r="H4" i="45"/>
  <c r="I3" i="45"/>
  <c r="H3" i="45"/>
  <c r="I2" i="45"/>
  <c r="H2" i="45"/>
  <c r="CC76" i="43"/>
  <c r="CC75" i="43"/>
  <c r="CC74" i="43"/>
  <c r="CC73" i="43"/>
  <c r="CC72" i="43"/>
  <c r="CC71" i="43"/>
  <c r="CC70" i="43"/>
  <c r="CC69" i="43"/>
  <c r="CC68" i="43"/>
  <c r="CC67" i="43"/>
  <c r="CC66" i="43"/>
  <c r="CC65" i="43"/>
  <c r="CC64" i="43"/>
  <c r="CD63" i="43"/>
  <c r="CU63" i="43"/>
  <c r="DA63" i="43"/>
  <c r="DB63" i="43"/>
  <c r="CC63" i="43"/>
  <c r="CC62" i="43"/>
  <c r="CC61" i="43"/>
  <c r="CC60" i="43"/>
  <c r="CC59" i="43"/>
  <c r="CC58" i="43"/>
  <c r="CC57" i="43"/>
  <c r="CC56" i="43"/>
  <c r="CC55" i="43"/>
  <c r="CC54" i="43"/>
  <c r="CC53" i="43"/>
  <c r="CC52" i="43"/>
  <c r="CC51" i="43"/>
  <c r="CC50" i="43"/>
  <c r="CC49" i="43"/>
  <c r="CD48" i="43"/>
  <c r="CU48" i="43"/>
  <c r="DA48" i="43"/>
  <c r="DB48" i="43"/>
  <c r="CC48" i="43"/>
  <c r="CC47" i="43"/>
  <c r="CC46" i="43"/>
  <c r="CD45" i="43"/>
  <c r="CU45" i="43"/>
  <c r="DA45" i="43"/>
  <c r="DB45" i="43"/>
  <c r="CC45" i="43"/>
  <c r="CC44" i="43"/>
  <c r="CC43" i="43"/>
  <c r="CC42" i="43"/>
  <c r="CC41" i="43"/>
  <c r="CC40" i="43"/>
  <c r="CC39" i="43"/>
  <c r="CC38" i="43"/>
  <c r="CC37" i="43"/>
  <c r="CC36" i="43"/>
  <c r="CC35" i="43"/>
  <c r="CC34" i="43"/>
  <c r="CC33" i="43"/>
  <c r="CC32" i="43"/>
  <c r="CD31" i="43"/>
  <c r="CU31" i="43"/>
  <c r="DA31" i="43"/>
  <c r="DB31" i="43"/>
  <c r="CC31" i="43"/>
  <c r="CC3" i="43"/>
  <c r="CC4" i="43"/>
  <c r="CD5" i="43"/>
  <c r="CU5" i="43"/>
  <c r="DA5" i="43"/>
  <c r="DB5" i="43"/>
  <c r="CC5" i="43"/>
  <c r="CC6" i="43"/>
  <c r="CD7" i="43"/>
  <c r="CU7" i="43"/>
  <c r="DA7" i="43"/>
  <c r="DB7" i="43"/>
  <c r="CC7" i="43"/>
  <c r="CC8" i="43"/>
  <c r="CD9" i="43"/>
  <c r="CU9" i="43"/>
  <c r="DA9" i="43"/>
  <c r="DB9" i="43"/>
  <c r="CC9" i="43"/>
  <c r="CC10" i="43"/>
  <c r="CC11" i="43"/>
  <c r="CD12" i="43"/>
  <c r="CU12" i="43"/>
  <c r="DA12" i="43"/>
  <c r="DB12" i="43"/>
  <c r="CC12" i="43"/>
  <c r="CC13" i="43"/>
  <c r="CC14" i="43"/>
  <c r="CC15" i="43"/>
  <c r="CD16" i="43"/>
  <c r="CU16" i="43"/>
  <c r="DA16" i="43"/>
  <c r="DB16" i="43"/>
  <c r="CC16" i="43"/>
  <c r="CD17" i="43"/>
  <c r="CU17" i="43"/>
  <c r="DA17" i="43"/>
  <c r="DB17" i="43"/>
  <c r="CC17" i="43"/>
  <c r="CD18" i="43"/>
  <c r="CU18" i="43"/>
  <c r="DA18" i="43"/>
  <c r="DB18" i="43"/>
  <c r="CC18" i="43"/>
  <c r="CC19" i="43"/>
  <c r="CD20" i="43"/>
  <c r="CU20" i="43"/>
  <c r="DA20" i="43"/>
  <c r="DB20" i="43"/>
  <c r="CC20" i="43"/>
  <c r="CD21" i="43"/>
  <c r="CU21" i="43"/>
  <c r="DA21" i="43"/>
  <c r="DB21" i="43"/>
  <c r="CC21" i="43"/>
  <c r="CC22" i="43"/>
  <c r="CD23" i="43"/>
  <c r="CU23" i="43"/>
  <c r="DA23" i="43"/>
  <c r="DB23" i="43"/>
  <c r="CC23" i="43"/>
  <c r="CD24" i="43"/>
  <c r="CU24" i="43"/>
  <c r="DA24" i="43"/>
  <c r="DB24" i="43"/>
  <c r="CC24" i="43"/>
  <c r="CD25" i="43"/>
  <c r="CU25" i="43"/>
  <c r="DA25" i="43"/>
  <c r="DB25" i="43"/>
  <c r="CC25" i="43"/>
  <c r="CC26" i="43"/>
  <c r="CD27" i="43"/>
  <c r="CU27" i="43"/>
  <c r="DA27" i="43"/>
  <c r="DB27" i="43"/>
  <c r="CC27" i="43"/>
  <c r="CC28" i="43"/>
  <c r="CD29" i="43"/>
  <c r="CU29" i="43"/>
  <c r="DA29" i="43"/>
  <c r="DB29" i="43"/>
  <c r="CC29" i="43"/>
  <c r="CC30" i="43"/>
  <c r="CC2" i="43"/>
  <c r="AD3" i="41"/>
  <c r="AU3" i="41"/>
  <c r="BA3" i="41"/>
  <c r="BB3" i="41"/>
  <c r="BC32" i="43"/>
  <c r="AD13" i="41"/>
  <c r="AU13" i="41"/>
  <c r="BA13" i="41"/>
  <c r="BB13" i="41"/>
  <c r="BC33" i="43"/>
  <c r="AD14" i="41"/>
  <c r="AU14" i="41"/>
  <c r="BA14" i="41"/>
  <c r="BB14" i="41"/>
  <c r="BC34" i="43"/>
  <c r="AD30" i="41"/>
  <c r="AU30" i="41"/>
  <c r="BA30" i="41"/>
  <c r="BB30" i="41"/>
  <c r="BC35" i="43"/>
  <c r="AD26" i="41"/>
  <c r="AU26" i="41"/>
  <c r="BA26" i="41"/>
  <c r="BB26" i="41"/>
  <c r="BC36" i="43"/>
  <c r="AD22" i="41"/>
  <c r="AU22" i="41"/>
  <c r="BA22" i="41"/>
  <c r="BB22" i="41"/>
  <c r="BC37" i="43"/>
  <c r="AD2" i="41"/>
  <c r="AU2" i="41"/>
  <c r="BA2" i="41"/>
  <c r="BB2" i="41"/>
  <c r="BC38" i="43"/>
  <c r="AD11" i="41"/>
  <c r="AU11" i="41"/>
  <c r="BA11" i="41"/>
  <c r="BB11" i="41"/>
  <c r="BC39" i="43"/>
  <c r="AD4" i="41"/>
  <c r="AU4" i="41"/>
  <c r="BA4" i="41"/>
  <c r="BB4" i="41"/>
  <c r="BC40" i="43"/>
  <c r="AD8" i="41"/>
  <c r="AU8" i="41"/>
  <c r="BA8" i="41"/>
  <c r="BB8" i="41"/>
  <c r="BC41" i="43"/>
  <c r="AD19" i="41"/>
  <c r="AU19" i="41"/>
  <c r="BA19" i="41"/>
  <c r="BB19" i="41"/>
  <c r="BC42" i="43"/>
  <c r="AD28" i="41"/>
  <c r="AU28" i="41"/>
  <c r="BA28" i="41"/>
  <c r="BB28" i="41"/>
  <c r="BC43" i="43"/>
  <c r="AD15" i="41"/>
  <c r="AU15" i="41"/>
  <c r="BA15" i="41"/>
  <c r="BB15" i="41"/>
  <c r="BC44" i="43"/>
  <c r="BC31" i="43"/>
  <c r="AD10" i="41"/>
  <c r="AU10" i="41"/>
  <c r="BA10" i="41"/>
  <c r="BB10" i="41"/>
  <c r="BC46" i="43"/>
  <c r="AD6" i="41"/>
  <c r="AU6" i="41"/>
  <c r="BA6" i="41"/>
  <c r="BB6" i="41"/>
  <c r="BC47" i="43"/>
  <c r="BC45" i="43"/>
  <c r="AD23" i="41"/>
  <c r="AU23" i="41"/>
  <c r="BA23" i="41"/>
  <c r="BB23" i="41"/>
  <c r="BC49" i="43"/>
  <c r="AD25" i="41"/>
  <c r="AU25" i="41"/>
  <c r="BA25" i="41"/>
  <c r="BB25" i="41"/>
  <c r="BC50" i="43"/>
  <c r="AD21" i="41"/>
  <c r="AU21" i="41"/>
  <c r="BA21" i="41"/>
  <c r="BB21" i="41"/>
  <c r="BC51" i="43"/>
  <c r="AD17" i="41"/>
  <c r="AU17" i="41"/>
  <c r="BA17" i="41"/>
  <c r="BB17" i="41"/>
  <c r="BC52" i="43"/>
  <c r="AD5" i="41"/>
  <c r="AU5" i="41"/>
  <c r="BA5" i="41"/>
  <c r="BB5" i="41"/>
  <c r="BC53" i="43"/>
  <c r="AD9" i="41"/>
  <c r="AU9" i="41"/>
  <c r="BA9" i="41"/>
  <c r="BB9" i="41"/>
  <c r="BC54" i="43"/>
  <c r="AD24" i="41"/>
  <c r="AU24" i="41"/>
  <c r="BA24" i="41"/>
  <c r="BB24" i="41"/>
  <c r="BC55" i="43"/>
  <c r="AD20" i="41"/>
  <c r="AU20" i="41"/>
  <c r="BA20" i="41"/>
  <c r="BB20" i="41"/>
  <c r="BC56" i="43"/>
  <c r="AD29" i="41"/>
  <c r="AU29" i="41"/>
  <c r="BA29" i="41"/>
  <c r="BB29" i="41"/>
  <c r="BC57" i="43"/>
  <c r="AD16" i="41"/>
  <c r="AU16" i="41"/>
  <c r="BA16" i="41"/>
  <c r="BB16" i="41"/>
  <c r="BC58" i="43"/>
  <c r="AD7" i="41"/>
  <c r="AU7" i="41"/>
  <c r="BA7" i="41"/>
  <c r="BB7" i="41"/>
  <c r="BC59" i="43"/>
  <c r="AD12" i="41"/>
  <c r="AU12" i="41"/>
  <c r="BA12" i="41"/>
  <c r="BB12" i="41"/>
  <c r="BC60" i="43"/>
  <c r="AD18" i="41"/>
  <c r="AU18" i="41"/>
  <c r="BA18" i="41"/>
  <c r="BB18" i="41"/>
  <c r="BC61" i="43"/>
  <c r="AD27" i="41"/>
  <c r="AU27" i="41"/>
  <c r="BA27" i="41"/>
  <c r="BB27" i="41"/>
  <c r="BC62" i="43"/>
  <c r="BC48" i="43"/>
  <c r="BC64" i="43"/>
  <c r="BC65" i="43"/>
  <c r="BC66" i="43"/>
  <c r="BC67" i="43"/>
  <c r="BC68" i="43"/>
  <c r="BC69" i="43"/>
  <c r="BC70" i="43"/>
  <c r="BC71" i="43"/>
  <c r="BC72" i="43"/>
  <c r="BC73" i="43"/>
  <c r="BC74" i="43"/>
  <c r="BC75" i="43"/>
  <c r="BC76" i="43"/>
  <c r="BC63" i="43"/>
  <c r="AD63" i="43"/>
  <c r="AU63" i="43"/>
  <c r="BA63" i="43"/>
  <c r="BB63" i="43"/>
  <c r="AC63" i="43"/>
  <c r="AD48" i="43"/>
  <c r="AU48" i="43"/>
  <c r="BA48" i="43"/>
  <c r="BB48" i="43"/>
  <c r="AC48" i="43"/>
  <c r="AD45" i="43"/>
  <c r="AU45" i="43"/>
  <c r="BA45" i="43"/>
  <c r="BB45" i="43"/>
  <c r="AC45" i="43"/>
  <c r="AD31" i="43"/>
  <c r="AU31" i="43"/>
  <c r="BA31" i="43"/>
  <c r="BB31" i="43"/>
  <c r="AC31" i="43"/>
  <c r="BD3" i="42"/>
  <c r="BU3" i="42"/>
  <c r="CA3" i="42"/>
  <c r="CB3" i="42"/>
  <c r="BC3" i="42"/>
  <c r="BC32" i="42"/>
  <c r="BD13" i="42"/>
  <c r="BU13" i="42"/>
  <c r="CA13" i="42"/>
  <c r="CB13" i="42"/>
  <c r="BC13" i="42"/>
  <c r="BC33" i="42"/>
  <c r="BD14" i="42"/>
  <c r="BU14" i="42"/>
  <c r="CA14" i="42"/>
  <c r="CB14" i="42"/>
  <c r="BC14" i="42"/>
  <c r="BC34" i="42"/>
  <c r="BD30" i="42"/>
  <c r="BU30" i="42"/>
  <c r="CA30" i="42"/>
  <c r="CB30" i="42"/>
  <c r="BC30" i="42"/>
  <c r="BC35" i="42"/>
  <c r="BD26" i="42"/>
  <c r="BU26" i="42"/>
  <c r="CA26" i="42"/>
  <c r="CB26" i="42"/>
  <c r="BC26" i="42"/>
  <c r="BC36" i="42"/>
  <c r="BD22" i="42"/>
  <c r="BU22" i="42"/>
  <c r="CA22" i="42"/>
  <c r="CB22" i="42"/>
  <c r="BC22" i="42"/>
  <c r="BC37" i="42"/>
  <c r="BD2" i="42"/>
  <c r="BU2" i="42"/>
  <c r="CA2" i="42"/>
  <c r="CB2" i="42"/>
  <c r="BC2" i="42"/>
  <c r="BC38" i="42"/>
  <c r="BD11" i="42"/>
  <c r="BU11" i="42"/>
  <c r="CA11" i="42"/>
  <c r="CB11" i="42"/>
  <c r="BC11" i="42"/>
  <c r="BC39" i="42"/>
  <c r="BD4" i="42"/>
  <c r="BU4" i="42"/>
  <c r="CA4" i="42"/>
  <c r="CB4" i="42"/>
  <c r="BC4" i="42"/>
  <c r="BC40" i="42"/>
  <c r="BD8" i="42"/>
  <c r="BU8" i="42"/>
  <c r="CA8" i="42"/>
  <c r="CB8" i="42"/>
  <c r="BC8" i="42"/>
  <c r="BC41" i="42"/>
  <c r="BD19" i="42"/>
  <c r="BU19" i="42"/>
  <c r="CA19" i="42"/>
  <c r="CB19" i="42"/>
  <c r="BC19" i="42"/>
  <c r="BC42" i="42"/>
  <c r="BD28" i="42"/>
  <c r="BU28" i="42"/>
  <c r="CA28" i="42"/>
  <c r="CB28" i="42"/>
  <c r="BC28" i="42"/>
  <c r="BC43" i="42"/>
  <c r="BD15" i="42"/>
  <c r="BU15" i="42"/>
  <c r="CA15" i="42"/>
  <c r="CB15" i="42"/>
  <c r="BC15" i="42"/>
  <c r="BC44" i="42"/>
  <c r="BC31" i="42"/>
  <c r="BD10" i="42"/>
  <c r="BU10" i="42"/>
  <c r="CA10" i="42"/>
  <c r="CB10" i="42"/>
  <c r="BC10" i="42"/>
  <c r="BC46" i="42"/>
  <c r="BD6" i="42"/>
  <c r="BU6" i="42"/>
  <c r="CA6" i="42"/>
  <c r="CB6" i="42"/>
  <c r="BC6" i="42"/>
  <c r="BC47" i="42"/>
  <c r="BC45" i="42"/>
  <c r="BD23" i="42"/>
  <c r="BU23" i="42"/>
  <c r="CA23" i="42"/>
  <c r="CB23" i="42"/>
  <c r="BC23" i="42"/>
  <c r="BC49" i="42"/>
  <c r="BD25" i="42"/>
  <c r="BU25" i="42"/>
  <c r="CA25" i="42"/>
  <c r="CB25" i="42"/>
  <c r="BC25" i="42"/>
  <c r="BC50" i="42"/>
  <c r="BD21" i="42"/>
  <c r="BU21" i="42"/>
  <c r="CA21" i="42"/>
  <c r="CB21" i="42"/>
  <c r="BC21" i="42"/>
  <c r="BC51" i="42"/>
  <c r="BD17" i="42"/>
  <c r="BU17" i="42"/>
  <c r="CA17" i="42"/>
  <c r="CB17" i="42"/>
  <c r="BC17" i="42"/>
  <c r="BC52" i="42"/>
  <c r="BD5" i="42"/>
  <c r="BU5" i="42"/>
  <c r="CA5" i="42"/>
  <c r="CB5" i="42"/>
  <c r="BC5" i="42"/>
  <c r="BC53" i="42"/>
  <c r="BD9" i="42"/>
  <c r="BU9" i="42"/>
  <c r="CA9" i="42"/>
  <c r="CB9" i="42"/>
  <c r="BC9" i="42"/>
  <c r="BC54" i="42"/>
  <c r="BD24" i="42"/>
  <c r="BU24" i="42"/>
  <c r="CA24" i="42"/>
  <c r="CB24" i="42"/>
  <c r="BC24" i="42"/>
  <c r="BC55" i="42"/>
  <c r="BD20" i="42"/>
  <c r="BU20" i="42"/>
  <c r="CA20" i="42"/>
  <c r="CB20" i="42"/>
  <c r="BC20" i="42"/>
  <c r="BC56" i="42"/>
  <c r="BD29" i="42"/>
  <c r="BU29" i="42"/>
  <c r="CA29" i="42"/>
  <c r="CB29" i="42"/>
  <c r="BC29" i="42"/>
  <c r="BC57" i="42"/>
  <c r="BD16" i="42"/>
  <c r="BU16" i="42"/>
  <c r="CA16" i="42"/>
  <c r="CB16" i="42"/>
  <c r="BC16" i="42"/>
  <c r="BC58" i="42"/>
  <c r="BD7" i="42"/>
  <c r="BU7" i="42"/>
  <c r="CA7" i="42"/>
  <c r="CB7" i="42"/>
  <c r="BC7" i="42"/>
  <c r="BC59" i="42"/>
  <c r="BD12" i="42"/>
  <c r="BU12" i="42"/>
  <c r="CA12" i="42"/>
  <c r="CB12" i="42"/>
  <c r="BC12" i="42"/>
  <c r="BC60" i="42"/>
  <c r="BD18" i="42"/>
  <c r="BU18" i="42"/>
  <c r="CA18" i="42"/>
  <c r="CB18" i="42"/>
  <c r="BC18" i="42"/>
  <c r="BC61" i="42"/>
  <c r="BD27" i="42"/>
  <c r="BU27" i="42"/>
  <c r="CA27" i="42"/>
  <c r="CB27" i="42"/>
  <c r="BC27" i="42"/>
  <c r="BC62" i="42"/>
  <c r="BC48" i="42"/>
  <c r="BC64" i="42"/>
  <c r="BC65" i="42"/>
  <c r="BC66" i="42"/>
  <c r="BC67" i="42"/>
  <c r="BC68" i="42"/>
  <c r="BC69" i="42"/>
  <c r="BC70" i="42"/>
  <c r="BC71" i="42"/>
  <c r="BC72" i="42"/>
  <c r="BC73" i="42"/>
  <c r="BC74" i="42"/>
  <c r="BC75" i="42"/>
  <c r="BC76" i="42"/>
  <c r="BC63" i="42"/>
  <c r="D3" i="42"/>
  <c r="U3" i="42"/>
  <c r="AA3" i="42"/>
  <c r="AB3" i="42"/>
  <c r="C3" i="42"/>
  <c r="C32" i="42"/>
  <c r="D13" i="42"/>
  <c r="U13" i="42"/>
  <c r="AA13" i="42"/>
  <c r="AB13" i="42"/>
  <c r="C13" i="42"/>
  <c r="C33" i="42"/>
  <c r="D14" i="42"/>
  <c r="U14" i="42"/>
  <c r="AA14" i="42"/>
  <c r="AB14" i="42"/>
  <c r="C14" i="42"/>
  <c r="C34" i="42"/>
  <c r="D30" i="42"/>
  <c r="U30" i="42"/>
  <c r="AA30" i="42"/>
  <c r="AB30" i="42"/>
  <c r="C30" i="42"/>
  <c r="C35" i="42"/>
  <c r="D26" i="42"/>
  <c r="U26" i="42"/>
  <c r="AA26" i="42"/>
  <c r="AB26" i="42"/>
  <c r="C26" i="42"/>
  <c r="C36" i="42"/>
  <c r="D22" i="42"/>
  <c r="U22" i="42"/>
  <c r="AA22" i="42"/>
  <c r="AB22" i="42"/>
  <c r="C22" i="42"/>
  <c r="C37" i="42"/>
  <c r="D2" i="42"/>
  <c r="U2" i="42"/>
  <c r="AA2" i="42"/>
  <c r="AB2" i="42"/>
  <c r="C2" i="42"/>
  <c r="C38" i="42"/>
  <c r="D8" i="42"/>
  <c r="U8" i="42"/>
  <c r="AA8" i="42"/>
  <c r="AB8" i="42"/>
  <c r="C8" i="42"/>
  <c r="C41" i="42"/>
  <c r="D15" i="42"/>
  <c r="U15" i="42"/>
  <c r="AA15" i="42"/>
  <c r="AB15" i="42"/>
  <c r="C15" i="42"/>
  <c r="C44" i="42"/>
  <c r="C31" i="42"/>
  <c r="D11" i="42"/>
  <c r="U11" i="42"/>
  <c r="AA11" i="42"/>
  <c r="AB11" i="42"/>
  <c r="C11" i="42"/>
  <c r="C39" i="42"/>
  <c r="D4" i="42"/>
  <c r="U4" i="42"/>
  <c r="AA4" i="42"/>
  <c r="AB4" i="42"/>
  <c r="C4" i="42"/>
  <c r="C40" i="42"/>
  <c r="D19" i="42"/>
  <c r="U19" i="42"/>
  <c r="AA19" i="42"/>
  <c r="AB19" i="42"/>
  <c r="C19" i="42"/>
  <c r="C42" i="42"/>
  <c r="D28" i="42"/>
  <c r="U28" i="42"/>
  <c r="AA28" i="42"/>
  <c r="AB28" i="42"/>
  <c r="C28" i="42"/>
  <c r="C43" i="42"/>
  <c r="D10" i="42"/>
  <c r="U10" i="42"/>
  <c r="AA10" i="42"/>
  <c r="AB10" i="42"/>
  <c r="C10" i="42"/>
  <c r="C46" i="42"/>
  <c r="D6" i="42"/>
  <c r="U6" i="42"/>
  <c r="AA6" i="42"/>
  <c r="AB6" i="42"/>
  <c r="C6" i="42"/>
  <c r="C47" i="42"/>
  <c r="C45" i="42"/>
  <c r="D23" i="42"/>
  <c r="U23" i="42"/>
  <c r="AA23" i="42"/>
  <c r="AB23" i="42"/>
  <c r="C23" i="42"/>
  <c r="C49" i="42"/>
  <c r="D17" i="42"/>
  <c r="U17" i="42"/>
  <c r="AA17" i="42"/>
  <c r="AB17" i="42"/>
  <c r="C17" i="42"/>
  <c r="C52" i="42"/>
  <c r="D9" i="42"/>
  <c r="U9" i="42"/>
  <c r="AA9" i="42"/>
  <c r="AB9" i="42"/>
  <c r="C9" i="42"/>
  <c r="C54" i="42"/>
  <c r="D16" i="42"/>
  <c r="U16" i="42"/>
  <c r="AA16" i="42"/>
  <c r="AB16" i="42"/>
  <c r="C16" i="42"/>
  <c r="C58" i="42"/>
  <c r="D7" i="42"/>
  <c r="U7" i="42"/>
  <c r="AA7" i="42"/>
  <c r="AB7" i="42"/>
  <c r="C7" i="42"/>
  <c r="C59" i="42"/>
  <c r="D18" i="42"/>
  <c r="U18" i="42"/>
  <c r="AA18" i="42"/>
  <c r="AB18" i="42"/>
  <c r="C18" i="42"/>
  <c r="C61" i="42"/>
  <c r="C48" i="42"/>
  <c r="D25" i="42"/>
  <c r="U25" i="42"/>
  <c r="AA25" i="42"/>
  <c r="AB25" i="42"/>
  <c r="C25" i="42"/>
  <c r="C50" i="42"/>
  <c r="D21" i="42"/>
  <c r="U21" i="42"/>
  <c r="AA21" i="42"/>
  <c r="AB21" i="42"/>
  <c r="C21" i="42"/>
  <c r="C51" i="42"/>
  <c r="D5" i="42"/>
  <c r="U5" i="42"/>
  <c r="AA5" i="42"/>
  <c r="AB5" i="42"/>
  <c r="C5" i="42"/>
  <c r="C53" i="42"/>
  <c r="D24" i="42"/>
  <c r="U24" i="42"/>
  <c r="AA24" i="42"/>
  <c r="AB24" i="42"/>
  <c r="C24" i="42"/>
  <c r="C55" i="42"/>
  <c r="D20" i="42"/>
  <c r="U20" i="42"/>
  <c r="AA20" i="42"/>
  <c r="AB20" i="42"/>
  <c r="C20" i="42"/>
  <c r="C56" i="42"/>
  <c r="D29" i="42"/>
  <c r="U29" i="42"/>
  <c r="AA29" i="42"/>
  <c r="AB29" i="42"/>
  <c r="C29" i="42"/>
  <c r="C57" i="42"/>
  <c r="D12" i="42"/>
  <c r="U12" i="42"/>
  <c r="AA12" i="42"/>
  <c r="AB12" i="42"/>
  <c r="C12" i="42"/>
  <c r="C60" i="42"/>
  <c r="D27" i="42"/>
  <c r="U27" i="42"/>
  <c r="AA27" i="42"/>
  <c r="AB27" i="42"/>
  <c r="C27" i="42"/>
  <c r="C62" i="42"/>
  <c r="C66" i="42"/>
  <c r="C68" i="42"/>
  <c r="C72" i="42"/>
  <c r="C73" i="42"/>
  <c r="C75" i="42"/>
  <c r="C63" i="42"/>
  <c r="C64" i="42"/>
  <c r="C65" i="42"/>
  <c r="C67" i="42"/>
  <c r="C69" i="42"/>
  <c r="C70" i="42"/>
  <c r="C71" i="42"/>
  <c r="C74" i="42"/>
  <c r="C76" i="42"/>
  <c r="C32" i="43"/>
  <c r="C33" i="43"/>
  <c r="C34" i="43"/>
  <c r="C35" i="43"/>
  <c r="C36" i="43"/>
  <c r="C37" i="43"/>
  <c r="C38" i="43"/>
  <c r="C39" i="43"/>
  <c r="C40" i="43"/>
  <c r="C41" i="43"/>
  <c r="C42" i="43"/>
  <c r="C43" i="43"/>
  <c r="C44" i="43"/>
  <c r="C31" i="43"/>
  <c r="C46" i="43"/>
  <c r="C47" i="43"/>
  <c r="C45" i="43"/>
  <c r="C49" i="43"/>
  <c r="C50" i="43"/>
  <c r="C51" i="43"/>
  <c r="C52" i="43"/>
  <c r="C53" i="43"/>
  <c r="C54" i="43"/>
  <c r="C55" i="43"/>
  <c r="C56" i="43"/>
  <c r="C57" i="43"/>
  <c r="C58" i="43"/>
  <c r="C59" i="43"/>
  <c r="C60" i="43"/>
  <c r="C61" i="43"/>
  <c r="C62" i="43"/>
  <c r="C48" i="43"/>
  <c r="C64" i="43"/>
  <c r="C65" i="43"/>
  <c r="C66" i="43"/>
  <c r="C67" i="43"/>
  <c r="C68" i="43"/>
  <c r="C69" i="43"/>
  <c r="C70" i="43"/>
  <c r="C71" i="43"/>
  <c r="C72" i="43"/>
  <c r="C73" i="43"/>
  <c r="C74" i="43"/>
  <c r="C75" i="43"/>
  <c r="C76" i="43"/>
  <c r="C63" i="43"/>
  <c r="CD27" i="42"/>
  <c r="CD76" i="42"/>
  <c r="CU27" i="42"/>
  <c r="CU76" i="42"/>
  <c r="DA27" i="42"/>
  <c r="DA76" i="42"/>
  <c r="DB27" i="42"/>
  <c r="DB76" i="42"/>
  <c r="CC76" i="42"/>
  <c r="CD18" i="42"/>
  <c r="CD75" i="42"/>
  <c r="CU18" i="42"/>
  <c r="CU75" i="42"/>
  <c r="DA18" i="42"/>
  <c r="DA75" i="42"/>
  <c r="DB18" i="42"/>
  <c r="DB75" i="42"/>
  <c r="CC75" i="42"/>
  <c r="CD12" i="42"/>
  <c r="CD74" i="42"/>
  <c r="CU12" i="42"/>
  <c r="CU74" i="42"/>
  <c r="DA12" i="42"/>
  <c r="DA74" i="42"/>
  <c r="DB12" i="42"/>
  <c r="DB74" i="42"/>
  <c r="CC74" i="42"/>
  <c r="CD7" i="42"/>
  <c r="CD73" i="42"/>
  <c r="CU7" i="42"/>
  <c r="CU73" i="42"/>
  <c r="DA7" i="42"/>
  <c r="DA73" i="42"/>
  <c r="DB7" i="42"/>
  <c r="DB73" i="42"/>
  <c r="CC73" i="42"/>
  <c r="CD16" i="42"/>
  <c r="CD72" i="42"/>
  <c r="CU16" i="42"/>
  <c r="CU72" i="42"/>
  <c r="DA16" i="42"/>
  <c r="DA72" i="42"/>
  <c r="DB16" i="42"/>
  <c r="DB72" i="42"/>
  <c r="CC72" i="42"/>
  <c r="CD29" i="42"/>
  <c r="CD71" i="42"/>
  <c r="CU29" i="42"/>
  <c r="CU71" i="42"/>
  <c r="DA29" i="42"/>
  <c r="DA71" i="42"/>
  <c r="DB29" i="42"/>
  <c r="DB71" i="42"/>
  <c r="CC71" i="42"/>
  <c r="CD20" i="42"/>
  <c r="CD70" i="42"/>
  <c r="CU20" i="42"/>
  <c r="CU70" i="42"/>
  <c r="DA20" i="42"/>
  <c r="DA70" i="42"/>
  <c r="DB20" i="42"/>
  <c r="DB70" i="42"/>
  <c r="CC70" i="42"/>
  <c r="CD24" i="42"/>
  <c r="CD69" i="42"/>
  <c r="CU24" i="42"/>
  <c r="CU69" i="42"/>
  <c r="DA24" i="42"/>
  <c r="DA69" i="42"/>
  <c r="DB24" i="42"/>
  <c r="DB69" i="42"/>
  <c r="CC69" i="42"/>
  <c r="CD9" i="42"/>
  <c r="CD68" i="42"/>
  <c r="CU9" i="42"/>
  <c r="CU68" i="42"/>
  <c r="DA9" i="42"/>
  <c r="DA68" i="42"/>
  <c r="DB9" i="42"/>
  <c r="DB68" i="42"/>
  <c r="CC68" i="42"/>
  <c r="CD5" i="42"/>
  <c r="CD67" i="42"/>
  <c r="CU5" i="42"/>
  <c r="CU67" i="42"/>
  <c r="DA5" i="42"/>
  <c r="DA67" i="42"/>
  <c r="DB5" i="42"/>
  <c r="DB67" i="42"/>
  <c r="CC67" i="42"/>
  <c r="CD17" i="42"/>
  <c r="CD66" i="42"/>
  <c r="CU17" i="42"/>
  <c r="CU66" i="42"/>
  <c r="DA17" i="42"/>
  <c r="DA66" i="42"/>
  <c r="DB17" i="42"/>
  <c r="DB66" i="42"/>
  <c r="CC66" i="42"/>
  <c r="CD21" i="42"/>
  <c r="CD65" i="42"/>
  <c r="CU21" i="42"/>
  <c r="CU65" i="42"/>
  <c r="DA21" i="42"/>
  <c r="DA65" i="42"/>
  <c r="DB21" i="42"/>
  <c r="DB65" i="42"/>
  <c r="CC65" i="42"/>
  <c r="CD25" i="42"/>
  <c r="CD64" i="42"/>
  <c r="CU25" i="42"/>
  <c r="CU64" i="42"/>
  <c r="DA25" i="42"/>
  <c r="DA64" i="42"/>
  <c r="DB25" i="42"/>
  <c r="DB64" i="42"/>
  <c r="CC64" i="42"/>
  <c r="CD63" i="42"/>
  <c r="CU63" i="42"/>
  <c r="DA63" i="42"/>
  <c r="DB63" i="42"/>
  <c r="CC63" i="42"/>
  <c r="CD62" i="42"/>
  <c r="CU62" i="42"/>
  <c r="DA62" i="42"/>
  <c r="DB62" i="42"/>
  <c r="CC62" i="42"/>
  <c r="CD61" i="42"/>
  <c r="CU61" i="42"/>
  <c r="DA61" i="42"/>
  <c r="DB61" i="42"/>
  <c r="CC61" i="42"/>
  <c r="CD60" i="42"/>
  <c r="CU60" i="42"/>
  <c r="DA60" i="42"/>
  <c r="DB60" i="42"/>
  <c r="CC60" i="42"/>
  <c r="CD59" i="42"/>
  <c r="CU59" i="42"/>
  <c r="DA59" i="42"/>
  <c r="DB59" i="42"/>
  <c r="CC59" i="42"/>
  <c r="CD58" i="42"/>
  <c r="CU58" i="42"/>
  <c r="DA58" i="42"/>
  <c r="DB58" i="42"/>
  <c r="CC58" i="42"/>
  <c r="CD57" i="42"/>
  <c r="CU57" i="42"/>
  <c r="DA57" i="42"/>
  <c r="DB57" i="42"/>
  <c r="CC57" i="42"/>
  <c r="CD56" i="42"/>
  <c r="CU56" i="42"/>
  <c r="DA56" i="42"/>
  <c r="DB56" i="42"/>
  <c r="CC56" i="42"/>
  <c r="CD55" i="42"/>
  <c r="CU55" i="42"/>
  <c r="DA55" i="42"/>
  <c r="DB55" i="42"/>
  <c r="CC55" i="42"/>
  <c r="CD54" i="42"/>
  <c r="CU54" i="42"/>
  <c r="DA54" i="42"/>
  <c r="DB54" i="42"/>
  <c r="CC54" i="42"/>
  <c r="CD53" i="42"/>
  <c r="CU53" i="42"/>
  <c r="DA53" i="42"/>
  <c r="DB53" i="42"/>
  <c r="CC53" i="42"/>
  <c r="CD52" i="42"/>
  <c r="CU52" i="42"/>
  <c r="DA52" i="42"/>
  <c r="DB52" i="42"/>
  <c r="CC52" i="42"/>
  <c r="CD51" i="42"/>
  <c r="CU51" i="42"/>
  <c r="DA51" i="42"/>
  <c r="DB51" i="42"/>
  <c r="CC51" i="42"/>
  <c r="CD50" i="42"/>
  <c r="CU50" i="42"/>
  <c r="DA50" i="42"/>
  <c r="DB50" i="42"/>
  <c r="CC50" i="42"/>
  <c r="CD23" i="42"/>
  <c r="CD49" i="42"/>
  <c r="CU23" i="42"/>
  <c r="CU49" i="42"/>
  <c r="DA23" i="42"/>
  <c r="DA49" i="42"/>
  <c r="DB23" i="42"/>
  <c r="DB49" i="42"/>
  <c r="CC49" i="42"/>
  <c r="CD48" i="42"/>
  <c r="CU48" i="42"/>
  <c r="DA48" i="42"/>
  <c r="DB48" i="42"/>
  <c r="CC48" i="42"/>
  <c r="CD6" i="42"/>
  <c r="CD47" i="42"/>
  <c r="CU6" i="42"/>
  <c r="CU47" i="42"/>
  <c r="DA6" i="42"/>
  <c r="DA47" i="42"/>
  <c r="DB6" i="42"/>
  <c r="DB47" i="42"/>
  <c r="CC47" i="42"/>
  <c r="CD10" i="42"/>
  <c r="CD46" i="42"/>
  <c r="CU10" i="42"/>
  <c r="CU46" i="42"/>
  <c r="DA10" i="42"/>
  <c r="DA46" i="42"/>
  <c r="DB10" i="42"/>
  <c r="DB46" i="42"/>
  <c r="CC46" i="42"/>
  <c r="CD45" i="42"/>
  <c r="CU45" i="42"/>
  <c r="DA45" i="42"/>
  <c r="DB45" i="42"/>
  <c r="CC45" i="42"/>
  <c r="CD15" i="42"/>
  <c r="CD44" i="42"/>
  <c r="CU15" i="42"/>
  <c r="CU44" i="42"/>
  <c r="DA15" i="42"/>
  <c r="DA44" i="42"/>
  <c r="DB15" i="42"/>
  <c r="DB44" i="42"/>
  <c r="CC44" i="42"/>
  <c r="CD28" i="42"/>
  <c r="CD43" i="42"/>
  <c r="CU28" i="42"/>
  <c r="CU43" i="42"/>
  <c r="DA28" i="42"/>
  <c r="DA43" i="42"/>
  <c r="DB28" i="42"/>
  <c r="DB43" i="42"/>
  <c r="CC43" i="42"/>
  <c r="CD19" i="42"/>
  <c r="CD42" i="42"/>
  <c r="CU19" i="42"/>
  <c r="CU42" i="42"/>
  <c r="DA19" i="42"/>
  <c r="DA42" i="42"/>
  <c r="DB19" i="42"/>
  <c r="DB42" i="42"/>
  <c r="CC42" i="42"/>
  <c r="CD8" i="42"/>
  <c r="CD41" i="42"/>
  <c r="CU8" i="42"/>
  <c r="CU41" i="42"/>
  <c r="DA8" i="42"/>
  <c r="DA41" i="42"/>
  <c r="DB8" i="42"/>
  <c r="DB41" i="42"/>
  <c r="CC41" i="42"/>
  <c r="CD4" i="42"/>
  <c r="CD40" i="42"/>
  <c r="CU4" i="42"/>
  <c r="CU40" i="42"/>
  <c r="DA4" i="42"/>
  <c r="DA40" i="42"/>
  <c r="DB4" i="42"/>
  <c r="DB40" i="42"/>
  <c r="CC40" i="42"/>
  <c r="CD11" i="42"/>
  <c r="CD39" i="42"/>
  <c r="CU11" i="42"/>
  <c r="CU39" i="42"/>
  <c r="DA11" i="42"/>
  <c r="DA39" i="42"/>
  <c r="DB11" i="42"/>
  <c r="DB39" i="42"/>
  <c r="CC39" i="42"/>
  <c r="CD2" i="42"/>
  <c r="CD38" i="42"/>
  <c r="CU2" i="42"/>
  <c r="CU38" i="42"/>
  <c r="DA2" i="42"/>
  <c r="DA38" i="42"/>
  <c r="DB2" i="42"/>
  <c r="DB38" i="42"/>
  <c r="CC38" i="42"/>
  <c r="CD22" i="42"/>
  <c r="CD37" i="42"/>
  <c r="CU22" i="42"/>
  <c r="CU37" i="42"/>
  <c r="DA22" i="42"/>
  <c r="DA37" i="42"/>
  <c r="DB22" i="42"/>
  <c r="DB37" i="42"/>
  <c r="CC37" i="42"/>
  <c r="CD26" i="42"/>
  <c r="CD36" i="42"/>
  <c r="CU26" i="42"/>
  <c r="CU36" i="42"/>
  <c r="DA26" i="42"/>
  <c r="DA36" i="42"/>
  <c r="DB26" i="42"/>
  <c r="DB36" i="42"/>
  <c r="CC36" i="42"/>
  <c r="CD30" i="42"/>
  <c r="CD35" i="42"/>
  <c r="CU30" i="42"/>
  <c r="CU35" i="42"/>
  <c r="DA30" i="42"/>
  <c r="DA35" i="42"/>
  <c r="DB30" i="42"/>
  <c r="DB35" i="42"/>
  <c r="CC35" i="42"/>
  <c r="CD14" i="42"/>
  <c r="CD34" i="42"/>
  <c r="CU14" i="42"/>
  <c r="CU34" i="42"/>
  <c r="DA14" i="42"/>
  <c r="DA34" i="42"/>
  <c r="DB14" i="42"/>
  <c r="DB34" i="42"/>
  <c r="CC34" i="42"/>
  <c r="CD13" i="42"/>
  <c r="CD33" i="42"/>
  <c r="CU13" i="42"/>
  <c r="CU33" i="42"/>
  <c r="DA13" i="42"/>
  <c r="DA33" i="42"/>
  <c r="DB13" i="42"/>
  <c r="DB33" i="42"/>
  <c r="CC33" i="42"/>
  <c r="CD3" i="42"/>
  <c r="CD32" i="42"/>
  <c r="CU3" i="42"/>
  <c r="CU32" i="42"/>
  <c r="DA3" i="42"/>
  <c r="DA32" i="42"/>
  <c r="DB3" i="42"/>
  <c r="DB32" i="42"/>
  <c r="CC32" i="42"/>
  <c r="CD31" i="42"/>
  <c r="CU31" i="42"/>
  <c r="DA31" i="42"/>
  <c r="DB31" i="42"/>
  <c r="CC31" i="42"/>
  <c r="CC30" i="42"/>
  <c r="CC29" i="42"/>
  <c r="CC28" i="42"/>
  <c r="CC27" i="42"/>
  <c r="CC26" i="42"/>
  <c r="CC25" i="42"/>
  <c r="CC24" i="42"/>
  <c r="CC23" i="42"/>
  <c r="CC22" i="42"/>
  <c r="CC21" i="42"/>
  <c r="CC20" i="42"/>
  <c r="CC19" i="42"/>
  <c r="CC18" i="42"/>
  <c r="CC17" i="42"/>
  <c r="CC16" i="42"/>
  <c r="CC15" i="42"/>
  <c r="CC14" i="42"/>
  <c r="CC13" i="42"/>
  <c r="CC12" i="42"/>
  <c r="CC11" i="42"/>
  <c r="CC10" i="42"/>
  <c r="CC9" i="42"/>
  <c r="CC8" i="42"/>
  <c r="CC7" i="42"/>
  <c r="CC6" i="42"/>
  <c r="CC5" i="42"/>
  <c r="CC4" i="42"/>
  <c r="CC3" i="42"/>
  <c r="CC2" i="42"/>
  <c r="AD63" i="42"/>
  <c r="AU63" i="42"/>
  <c r="BA63" i="42"/>
  <c r="BB63" i="42"/>
  <c r="AC63" i="42"/>
  <c r="AD48" i="42"/>
  <c r="AU48" i="42"/>
  <c r="BA48" i="42"/>
  <c r="BB48" i="42"/>
  <c r="AC48" i="42"/>
  <c r="AD45" i="42"/>
  <c r="AU45" i="42"/>
  <c r="BA45" i="42"/>
  <c r="BB45" i="42"/>
  <c r="AC45" i="42"/>
  <c r="AD31" i="42"/>
  <c r="AU31" i="42"/>
  <c r="BA31" i="42"/>
  <c r="BB31" i="42"/>
  <c r="AC31" i="42"/>
  <c r="BD27" i="41"/>
  <c r="BD76" i="41"/>
  <c r="BU27" i="41"/>
  <c r="BU76" i="41"/>
  <c r="CA27" i="41"/>
  <c r="CA76" i="41"/>
  <c r="CB27" i="41"/>
  <c r="CB76" i="41"/>
  <c r="BC76" i="41"/>
  <c r="BD18" i="41"/>
  <c r="BD75" i="41"/>
  <c r="BU18" i="41"/>
  <c r="BU75" i="41"/>
  <c r="CA18" i="41"/>
  <c r="CA75" i="41"/>
  <c r="CB18" i="41"/>
  <c r="CB75" i="41"/>
  <c r="BC75" i="41"/>
  <c r="BD12" i="41"/>
  <c r="BD74" i="41"/>
  <c r="BU12" i="41"/>
  <c r="BU74" i="41"/>
  <c r="CA12" i="41"/>
  <c r="CA74" i="41"/>
  <c r="CB12" i="41"/>
  <c r="CB74" i="41"/>
  <c r="BC74" i="41"/>
  <c r="BD7" i="41"/>
  <c r="BD73" i="41"/>
  <c r="BU7" i="41"/>
  <c r="BU73" i="41"/>
  <c r="CA7" i="41"/>
  <c r="CA73" i="41"/>
  <c r="CB7" i="41"/>
  <c r="CB73" i="41"/>
  <c r="BC73" i="41"/>
  <c r="BD16" i="41"/>
  <c r="BD72" i="41"/>
  <c r="BU16" i="41"/>
  <c r="BU72" i="41"/>
  <c r="CA16" i="41"/>
  <c r="CA72" i="41"/>
  <c r="CB16" i="41"/>
  <c r="CB72" i="41"/>
  <c r="BC72" i="41"/>
  <c r="BD29" i="41"/>
  <c r="BD71" i="41"/>
  <c r="BU29" i="41"/>
  <c r="BU71" i="41"/>
  <c r="CA29" i="41"/>
  <c r="CA71" i="41"/>
  <c r="CB29" i="41"/>
  <c r="CB71" i="41"/>
  <c r="BC71" i="41"/>
  <c r="BD20" i="41"/>
  <c r="BD70" i="41"/>
  <c r="BU20" i="41"/>
  <c r="BU70" i="41"/>
  <c r="CA20" i="41"/>
  <c r="CA70" i="41"/>
  <c r="CB20" i="41"/>
  <c r="CB70" i="41"/>
  <c r="BC70" i="41"/>
  <c r="BD24" i="41"/>
  <c r="BD69" i="41"/>
  <c r="BU24" i="41"/>
  <c r="BU69" i="41"/>
  <c r="CA24" i="41"/>
  <c r="CA69" i="41"/>
  <c r="CB24" i="41"/>
  <c r="CB69" i="41"/>
  <c r="BC69" i="41"/>
  <c r="BD9" i="41"/>
  <c r="BD68" i="41"/>
  <c r="BU9" i="41"/>
  <c r="BU68" i="41"/>
  <c r="CA9" i="41"/>
  <c r="CA68" i="41"/>
  <c r="CB9" i="41"/>
  <c r="CB68" i="41"/>
  <c r="BC68" i="41"/>
  <c r="BD5" i="41"/>
  <c r="BD67" i="41"/>
  <c r="BU5" i="41"/>
  <c r="BU67" i="41"/>
  <c r="CA5" i="41"/>
  <c r="CA67" i="41"/>
  <c r="CB5" i="41"/>
  <c r="CB67" i="41"/>
  <c r="BC67" i="41"/>
  <c r="BD17" i="41"/>
  <c r="BD66" i="41"/>
  <c r="BU17" i="41"/>
  <c r="BU66" i="41"/>
  <c r="CA17" i="41"/>
  <c r="CA66" i="41"/>
  <c r="CB17" i="41"/>
  <c r="CB66" i="41"/>
  <c r="BC66" i="41"/>
  <c r="BD21" i="41"/>
  <c r="BD65" i="41"/>
  <c r="BU21" i="41"/>
  <c r="BU65" i="41"/>
  <c r="CA21" i="41"/>
  <c r="CA65" i="41"/>
  <c r="CB21" i="41"/>
  <c r="CB65" i="41"/>
  <c r="BC65" i="41"/>
  <c r="BD25" i="41"/>
  <c r="BD64" i="41"/>
  <c r="BU25" i="41"/>
  <c r="BU64" i="41"/>
  <c r="CA25" i="41"/>
  <c r="CA64" i="41"/>
  <c r="CB25" i="41"/>
  <c r="CB64" i="41"/>
  <c r="BC64" i="41"/>
  <c r="BD63" i="41"/>
  <c r="BU63" i="41"/>
  <c r="CA63" i="41"/>
  <c r="CB63" i="41"/>
  <c r="BC63" i="41"/>
  <c r="BD62" i="41"/>
  <c r="BU62" i="41"/>
  <c r="CA62" i="41"/>
  <c r="CB62" i="41"/>
  <c r="BC62" i="41"/>
  <c r="BD61" i="41"/>
  <c r="BU61" i="41"/>
  <c r="CA61" i="41"/>
  <c r="CB61" i="41"/>
  <c r="BC61" i="41"/>
  <c r="BD60" i="41"/>
  <c r="BU60" i="41"/>
  <c r="CA60" i="41"/>
  <c r="CB60" i="41"/>
  <c r="BC60" i="41"/>
  <c r="BD59" i="41"/>
  <c r="BU59" i="41"/>
  <c r="CA59" i="41"/>
  <c r="CB59" i="41"/>
  <c r="BC59" i="41"/>
  <c r="BD58" i="41"/>
  <c r="BU58" i="41"/>
  <c r="CA58" i="41"/>
  <c r="CB58" i="41"/>
  <c r="BC58" i="41"/>
  <c r="BD57" i="41"/>
  <c r="BU57" i="41"/>
  <c r="CA57" i="41"/>
  <c r="CB57" i="41"/>
  <c r="BC57" i="41"/>
  <c r="BD56" i="41"/>
  <c r="BU56" i="41"/>
  <c r="CA56" i="41"/>
  <c r="CB56" i="41"/>
  <c r="BC56" i="41"/>
  <c r="BD55" i="41"/>
  <c r="BU55" i="41"/>
  <c r="CA55" i="41"/>
  <c r="CB55" i="41"/>
  <c r="BC55" i="41"/>
  <c r="BD54" i="41"/>
  <c r="BU54" i="41"/>
  <c r="CA54" i="41"/>
  <c r="CB54" i="41"/>
  <c r="BC54" i="41"/>
  <c r="BD53" i="41"/>
  <c r="BU53" i="41"/>
  <c r="CA53" i="41"/>
  <c r="CB53" i="41"/>
  <c r="BC53" i="41"/>
  <c r="BD52" i="41"/>
  <c r="BU52" i="41"/>
  <c r="CA52" i="41"/>
  <c r="CB52" i="41"/>
  <c r="BC52" i="41"/>
  <c r="BD51" i="41"/>
  <c r="BU51" i="41"/>
  <c r="CA51" i="41"/>
  <c r="CB51" i="41"/>
  <c r="BC51" i="41"/>
  <c r="BD50" i="41"/>
  <c r="BU50" i="41"/>
  <c r="CA50" i="41"/>
  <c r="CB50" i="41"/>
  <c r="BC50" i="41"/>
  <c r="BD23" i="41"/>
  <c r="BD49" i="41"/>
  <c r="BU23" i="41"/>
  <c r="BU49" i="41"/>
  <c r="CA23" i="41"/>
  <c r="CA49" i="41"/>
  <c r="CB23" i="41"/>
  <c r="CB49" i="41"/>
  <c r="BC49" i="41"/>
  <c r="BD48" i="41"/>
  <c r="BU48" i="41"/>
  <c r="CA48" i="41"/>
  <c r="CB48" i="41"/>
  <c r="BC48" i="41"/>
  <c r="BD6" i="41"/>
  <c r="BD47" i="41"/>
  <c r="N89" i="3"/>
  <c r="BW6" i="41"/>
  <c r="BU47" i="41"/>
  <c r="CB6" i="41"/>
  <c r="CA47" i="41"/>
  <c r="CA6" i="41"/>
  <c r="CB47" i="41"/>
  <c r="BC47" i="41"/>
  <c r="BD10" i="41"/>
  <c r="BD46" i="41"/>
  <c r="BW10" i="41"/>
  <c r="BU46" i="41"/>
  <c r="CB10" i="41"/>
  <c r="CA46" i="41"/>
  <c r="CA10" i="41"/>
  <c r="CB46" i="41"/>
  <c r="BC46" i="41"/>
  <c r="BD45" i="41"/>
  <c r="BU45" i="41"/>
  <c r="CA45" i="41"/>
  <c r="CB45" i="41"/>
  <c r="BC45" i="41"/>
  <c r="BD15" i="41"/>
  <c r="BD44" i="41"/>
  <c r="BU15" i="41"/>
  <c r="BU44" i="41"/>
  <c r="CA15" i="41"/>
  <c r="CA44" i="41"/>
  <c r="CB15" i="41"/>
  <c r="CB44" i="41"/>
  <c r="BC44" i="41"/>
  <c r="BD28" i="41"/>
  <c r="BD43" i="41"/>
  <c r="BU28" i="41"/>
  <c r="BU43" i="41"/>
  <c r="CA28" i="41"/>
  <c r="CA43" i="41"/>
  <c r="CB28" i="41"/>
  <c r="CB43" i="41"/>
  <c r="BC43" i="41"/>
  <c r="BD19" i="41"/>
  <c r="BD42" i="41"/>
  <c r="BU19" i="41"/>
  <c r="BU42" i="41"/>
  <c r="CA19" i="41"/>
  <c r="CA42" i="41"/>
  <c r="CB19" i="41"/>
  <c r="CB42" i="41"/>
  <c r="BC42" i="41"/>
  <c r="BD8" i="41"/>
  <c r="BD41" i="41"/>
  <c r="BU8" i="41"/>
  <c r="BU41" i="41"/>
  <c r="CA8" i="41"/>
  <c r="CA41" i="41"/>
  <c r="CB8" i="41"/>
  <c r="CB41" i="41"/>
  <c r="BC41" i="41"/>
  <c r="BD4" i="41"/>
  <c r="BD40" i="41"/>
  <c r="BU4" i="41"/>
  <c r="BU40" i="41"/>
  <c r="CA4" i="41"/>
  <c r="CA40" i="41"/>
  <c r="CB4" i="41"/>
  <c r="CB40" i="41"/>
  <c r="BC40" i="41"/>
  <c r="BD11" i="41"/>
  <c r="BD39" i="41"/>
  <c r="BU11" i="41"/>
  <c r="BU39" i="41"/>
  <c r="CA11" i="41"/>
  <c r="CA39" i="41"/>
  <c r="CB11" i="41"/>
  <c r="CB39" i="41"/>
  <c r="BC39" i="41"/>
  <c r="BD2" i="41"/>
  <c r="BD38" i="41"/>
  <c r="BU2" i="41"/>
  <c r="BU38" i="41"/>
  <c r="CA2" i="41"/>
  <c r="CA38" i="41"/>
  <c r="CB2" i="41"/>
  <c r="CB38" i="41"/>
  <c r="BC38" i="41"/>
  <c r="BD22" i="41"/>
  <c r="BD37" i="41"/>
  <c r="BU22" i="41"/>
  <c r="BU37" i="41"/>
  <c r="CA22" i="41"/>
  <c r="CA37" i="41"/>
  <c r="CB22" i="41"/>
  <c r="CB37" i="41"/>
  <c r="BC37" i="41"/>
  <c r="BD26" i="41"/>
  <c r="BD36" i="41"/>
  <c r="BU26" i="41"/>
  <c r="BU36" i="41"/>
  <c r="CA26" i="41"/>
  <c r="CA36" i="41"/>
  <c r="CB26" i="41"/>
  <c r="CB36" i="41"/>
  <c r="BC36" i="41"/>
  <c r="BD30" i="41"/>
  <c r="BD35" i="41"/>
  <c r="BU30" i="41"/>
  <c r="BU35" i="41"/>
  <c r="CA30" i="41"/>
  <c r="CA35" i="41"/>
  <c r="CB30" i="41"/>
  <c r="CB35" i="41"/>
  <c r="BC35" i="41"/>
  <c r="BD14" i="41"/>
  <c r="BD34" i="41"/>
  <c r="BU14" i="41"/>
  <c r="BU34" i="41"/>
  <c r="CA14" i="41"/>
  <c r="CA34" i="41"/>
  <c r="CB14" i="41"/>
  <c r="CB34" i="41"/>
  <c r="BC34" i="41"/>
  <c r="BD13" i="41"/>
  <c r="BD33" i="41"/>
  <c r="BU13" i="41"/>
  <c r="BU33" i="41"/>
  <c r="CA13" i="41"/>
  <c r="CA33" i="41"/>
  <c r="CB13" i="41"/>
  <c r="CB33" i="41"/>
  <c r="BC33" i="41"/>
  <c r="BD3" i="41"/>
  <c r="BD32" i="41"/>
  <c r="BU3" i="41"/>
  <c r="BU32" i="41"/>
  <c r="CA3" i="41"/>
  <c r="CA32" i="41"/>
  <c r="CB3" i="41"/>
  <c r="CB32" i="41"/>
  <c r="BC32" i="41"/>
  <c r="BD31" i="41"/>
  <c r="BU31" i="41"/>
  <c r="CA31" i="41"/>
  <c r="CB31" i="41"/>
  <c r="BC31" i="41"/>
  <c r="BC3" i="41"/>
  <c r="BC4" i="41"/>
  <c r="BC5" i="41"/>
  <c r="BU6" i="41"/>
  <c r="BC6" i="41"/>
  <c r="BC7" i="41"/>
  <c r="BC8" i="41"/>
  <c r="BC9" i="41"/>
  <c r="BU10" i="41"/>
  <c r="BC10" i="41"/>
  <c r="BC11" i="41"/>
  <c r="BC12" i="41"/>
  <c r="BC13" i="41"/>
  <c r="BC14" i="41"/>
  <c r="BC15" i="41"/>
  <c r="BC16" i="41"/>
  <c r="BC17" i="41"/>
  <c r="BC18" i="41"/>
  <c r="BC19" i="41"/>
  <c r="BC20" i="41"/>
  <c r="BC21" i="41"/>
  <c r="BC22" i="41"/>
  <c r="BC23" i="41"/>
  <c r="BC24" i="41"/>
  <c r="BC25" i="41"/>
  <c r="BC26" i="41"/>
  <c r="BC27" i="41"/>
  <c r="BC28" i="41"/>
  <c r="BC29" i="41"/>
  <c r="BC30" i="41"/>
  <c r="BC2" i="41"/>
  <c r="AC3" i="41"/>
  <c r="AC32" i="41"/>
  <c r="AC13" i="41"/>
  <c r="AC33" i="41"/>
  <c r="AC14" i="41"/>
  <c r="AC34" i="41"/>
  <c r="AC30" i="41"/>
  <c r="AC35" i="41"/>
  <c r="AC26" i="41"/>
  <c r="AC36" i="41"/>
  <c r="AC22" i="41"/>
  <c r="AC37" i="41"/>
  <c r="AC2" i="41"/>
  <c r="AC38" i="41"/>
  <c r="AC11" i="41"/>
  <c r="AC39" i="41"/>
  <c r="AC4" i="41"/>
  <c r="AC40" i="41"/>
  <c r="AC8" i="41"/>
  <c r="AC41" i="41"/>
  <c r="AC19" i="41"/>
  <c r="AC42" i="41"/>
  <c r="AC28" i="41"/>
  <c r="AC43" i="41"/>
  <c r="AC15" i="41"/>
  <c r="AC44" i="41"/>
  <c r="AC31" i="41"/>
  <c r="AC10" i="41"/>
  <c r="AC46" i="41"/>
  <c r="AC6" i="41"/>
  <c r="AC47" i="41"/>
  <c r="AC45" i="41"/>
  <c r="AC23" i="41"/>
  <c r="AC49" i="41"/>
  <c r="AC25" i="41"/>
  <c r="AC50" i="41"/>
  <c r="AC21" i="41"/>
  <c r="AC51" i="41"/>
  <c r="AC17" i="41"/>
  <c r="AC52" i="41"/>
  <c r="AC5" i="41"/>
  <c r="AC53" i="41"/>
  <c r="AC9" i="41"/>
  <c r="AC54" i="41"/>
  <c r="AC24" i="41"/>
  <c r="AC55" i="41"/>
  <c r="AC20" i="41"/>
  <c r="AC56" i="41"/>
  <c r="AC29" i="41"/>
  <c r="AC57" i="41"/>
  <c r="AC16" i="41"/>
  <c r="AC58" i="41"/>
  <c r="AC7" i="41"/>
  <c r="AC59" i="41"/>
  <c r="AC12" i="41"/>
  <c r="AC60" i="41"/>
  <c r="AC18" i="41"/>
  <c r="AC61" i="41"/>
  <c r="AC27" i="41"/>
  <c r="AC62" i="41"/>
  <c r="AC48" i="41"/>
  <c r="AC64" i="41"/>
  <c r="AC65" i="41"/>
  <c r="AC66" i="41"/>
  <c r="AC67" i="41"/>
  <c r="AC68" i="41"/>
  <c r="AC69" i="41"/>
  <c r="AC70" i="41"/>
  <c r="AC71" i="41"/>
  <c r="AC72" i="41"/>
  <c r="AC73" i="41"/>
  <c r="AC74" i="41"/>
  <c r="AC75" i="41"/>
  <c r="AC76" i="41"/>
  <c r="AC63" i="41"/>
  <c r="C3" i="41"/>
  <c r="C32" i="41"/>
  <c r="C13" i="41"/>
  <c r="C33" i="41"/>
  <c r="C14" i="41"/>
  <c r="C34" i="41"/>
  <c r="C30" i="41"/>
  <c r="C35" i="41"/>
  <c r="C26" i="41"/>
  <c r="C36" i="41"/>
  <c r="C22" i="41"/>
  <c r="C37" i="41"/>
  <c r="C2" i="41"/>
  <c r="C38" i="41"/>
  <c r="C11" i="41"/>
  <c r="C39" i="41"/>
  <c r="C4" i="41"/>
  <c r="C40" i="41"/>
  <c r="C8" i="41"/>
  <c r="C41" i="41"/>
  <c r="C19" i="41"/>
  <c r="C42" i="41"/>
  <c r="C28" i="41"/>
  <c r="C43" i="41"/>
  <c r="C15" i="41"/>
  <c r="C44" i="41"/>
  <c r="C31" i="41"/>
  <c r="C10" i="41"/>
  <c r="C46" i="41"/>
  <c r="C6" i="41"/>
  <c r="C47" i="41"/>
  <c r="C45" i="41"/>
  <c r="C23" i="41"/>
  <c r="C49" i="41"/>
  <c r="C25" i="41"/>
  <c r="C50" i="41"/>
  <c r="C21" i="41"/>
  <c r="C51" i="41"/>
  <c r="C17" i="41"/>
  <c r="C52" i="41"/>
  <c r="C5" i="41"/>
  <c r="C53" i="41"/>
  <c r="C9" i="41"/>
  <c r="C54" i="41"/>
  <c r="C24" i="41"/>
  <c r="C55" i="41"/>
  <c r="C20" i="41"/>
  <c r="C56" i="41"/>
  <c r="C29" i="41"/>
  <c r="C57" i="41"/>
  <c r="C16" i="41"/>
  <c r="C58" i="41"/>
  <c r="C7" i="41"/>
  <c r="C59" i="41"/>
  <c r="C12" i="41"/>
  <c r="C60" i="41"/>
  <c r="C18" i="41"/>
  <c r="C61" i="41"/>
  <c r="C27" i="41"/>
  <c r="C62" i="41"/>
  <c r="C48" i="41"/>
  <c r="C64" i="41"/>
  <c r="C65" i="41"/>
  <c r="C66" i="41"/>
  <c r="C67" i="41"/>
  <c r="C68" i="41"/>
  <c r="C69" i="41"/>
  <c r="C70" i="41"/>
  <c r="C71" i="41"/>
  <c r="C72" i="41"/>
  <c r="C73" i="41"/>
  <c r="C74" i="41"/>
  <c r="C75" i="41"/>
  <c r="C76" i="41"/>
  <c r="C63" i="41"/>
  <c r="BD27" i="29"/>
  <c r="BD76" i="29"/>
  <c r="BU27" i="29"/>
  <c r="BU76" i="29"/>
  <c r="CA27" i="29"/>
  <c r="CA76" i="29"/>
  <c r="CB27" i="29"/>
  <c r="CB76" i="29"/>
  <c r="BC76" i="29"/>
  <c r="BD18" i="29"/>
  <c r="BD75" i="29"/>
  <c r="BU18" i="29"/>
  <c r="BU75" i="29"/>
  <c r="CA18" i="29"/>
  <c r="CA75" i="29"/>
  <c r="CB18" i="29"/>
  <c r="CB75" i="29"/>
  <c r="BC75" i="29"/>
  <c r="BD12" i="29"/>
  <c r="BD74" i="29"/>
  <c r="BU12" i="29"/>
  <c r="BU74" i="29"/>
  <c r="CA12" i="29"/>
  <c r="CA74" i="29"/>
  <c r="CB12" i="29"/>
  <c r="CB74" i="29"/>
  <c r="BC74" i="29"/>
  <c r="BD7" i="29"/>
  <c r="BD73" i="29"/>
  <c r="BU7" i="29"/>
  <c r="BU73" i="29"/>
  <c r="CA7" i="29"/>
  <c r="CA73" i="29"/>
  <c r="CB7" i="29"/>
  <c r="CB73" i="29"/>
  <c r="BC73" i="29"/>
  <c r="BD16" i="29"/>
  <c r="BD72" i="29"/>
  <c r="BU16" i="29"/>
  <c r="BU72" i="29"/>
  <c r="CA16" i="29"/>
  <c r="CA72" i="29"/>
  <c r="CB16" i="29"/>
  <c r="CB72" i="29"/>
  <c r="BC72" i="29"/>
  <c r="BD29" i="29"/>
  <c r="BD71" i="29"/>
  <c r="BU29" i="29"/>
  <c r="BU71" i="29"/>
  <c r="CA29" i="29"/>
  <c r="CA71" i="29"/>
  <c r="CB29" i="29"/>
  <c r="CB71" i="29"/>
  <c r="BC71" i="29"/>
  <c r="BD20" i="29"/>
  <c r="BD70" i="29"/>
  <c r="BU20" i="29"/>
  <c r="BU70" i="29"/>
  <c r="CA20" i="29"/>
  <c r="CA70" i="29"/>
  <c r="CB20" i="29"/>
  <c r="CB70" i="29"/>
  <c r="BC70" i="29"/>
  <c r="BD24" i="29"/>
  <c r="BD69" i="29"/>
  <c r="BU24" i="29"/>
  <c r="BU69" i="29"/>
  <c r="CA24" i="29"/>
  <c r="CA69" i="29"/>
  <c r="CB24" i="29"/>
  <c r="CB69" i="29"/>
  <c r="BC69" i="29"/>
  <c r="BD9" i="29"/>
  <c r="BD68" i="29"/>
  <c r="BU9" i="29"/>
  <c r="BU68" i="29"/>
  <c r="CA9" i="29"/>
  <c r="CA68" i="29"/>
  <c r="CB9" i="29"/>
  <c r="CB68" i="29"/>
  <c r="BC68" i="29"/>
  <c r="BD5" i="29"/>
  <c r="BD67" i="29"/>
  <c r="BU5" i="29"/>
  <c r="BU67" i="29"/>
  <c r="CA5" i="29"/>
  <c r="CA67" i="29"/>
  <c r="CB5" i="29"/>
  <c r="CB67" i="29"/>
  <c r="BC67" i="29"/>
  <c r="BD17" i="29"/>
  <c r="BD66" i="29"/>
  <c r="BU17" i="29"/>
  <c r="BU66" i="29"/>
  <c r="CA17" i="29"/>
  <c r="CA66" i="29"/>
  <c r="CB17" i="29"/>
  <c r="CB66" i="29"/>
  <c r="BC66" i="29"/>
  <c r="BD21" i="29"/>
  <c r="BD65" i="29"/>
  <c r="BU21" i="29"/>
  <c r="BU65" i="29"/>
  <c r="CA21" i="29"/>
  <c r="CA65" i="29"/>
  <c r="CB21" i="29"/>
  <c r="CB65" i="29"/>
  <c r="BC65" i="29"/>
  <c r="BD25" i="29"/>
  <c r="BD64" i="29"/>
  <c r="BU25" i="29"/>
  <c r="BU64" i="29"/>
  <c r="CA25" i="29"/>
  <c r="CA64" i="29"/>
  <c r="CB25" i="29"/>
  <c r="CB64" i="29"/>
  <c r="BC64" i="29"/>
  <c r="BD63" i="29"/>
  <c r="BU63" i="29"/>
  <c r="CA63" i="29"/>
  <c r="CB63" i="29"/>
  <c r="BC63" i="29"/>
  <c r="BD62" i="29"/>
  <c r="BU62" i="29"/>
  <c r="CA62" i="29"/>
  <c r="CB62" i="29"/>
  <c r="BC62" i="29"/>
  <c r="BD61" i="29"/>
  <c r="BU61" i="29"/>
  <c r="CA61" i="29"/>
  <c r="CB61" i="29"/>
  <c r="BC61" i="29"/>
  <c r="BD60" i="29"/>
  <c r="BU60" i="29"/>
  <c r="CA60" i="29"/>
  <c r="CB60" i="29"/>
  <c r="BC60" i="29"/>
  <c r="BD59" i="29"/>
  <c r="BU59" i="29"/>
  <c r="CA59" i="29"/>
  <c r="CB59" i="29"/>
  <c r="BC59" i="29"/>
  <c r="BD58" i="29"/>
  <c r="BU58" i="29"/>
  <c r="CA58" i="29"/>
  <c r="CB58" i="29"/>
  <c r="BC58" i="29"/>
  <c r="BD57" i="29"/>
  <c r="BU57" i="29"/>
  <c r="CA57" i="29"/>
  <c r="CB57" i="29"/>
  <c r="BC57" i="29"/>
  <c r="BD56" i="29"/>
  <c r="BU56" i="29"/>
  <c r="CA56" i="29"/>
  <c r="CB56" i="29"/>
  <c r="BC56" i="29"/>
  <c r="BD55" i="29"/>
  <c r="BU55" i="29"/>
  <c r="CA55" i="29"/>
  <c r="CB55" i="29"/>
  <c r="BC55" i="29"/>
  <c r="BD54" i="29"/>
  <c r="BU54" i="29"/>
  <c r="CA54" i="29"/>
  <c r="CB54" i="29"/>
  <c r="BC54" i="29"/>
  <c r="BD53" i="29"/>
  <c r="BU53" i="29"/>
  <c r="CA53" i="29"/>
  <c r="CB53" i="29"/>
  <c r="BC53" i="29"/>
  <c r="BD52" i="29"/>
  <c r="BU52" i="29"/>
  <c r="CA52" i="29"/>
  <c r="CB52" i="29"/>
  <c r="BC52" i="29"/>
  <c r="BD51" i="29"/>
  <c r="BU51" i="29"/>
  <c r="CA51" i="29"/>
  <c r="CB51" i="29"/>
  <c r="BC51" i="29"/>
  <c r="BD50" i="29"/>
  <c r="BU50" i="29"/>
  <c r="CA50" i="29"/>
  <c r="CB50" i="29"/>
  <c r="BC50" i="29"/>
  <c r="BD23" i="29"/>
  <c r="BD49" i="29"/>
  <c r="BU23" i="29"/>
  <c r="BU49" i="29"/>
  <c r="CA23" i="29"/>
  <c r="CA49" i="29"/>
  <c r="CB23" i="29"/>
  <c r="CB49" i="29"/>
  <c r="BC49" i="29"/>
  <c r="BD48" i="29"/>
  <c r="BU48" i="29"/>
  <c r="CA48" i="29"/>
  <c r="CB48" i="29"/>
  <c r="BC48" i="29"/>
  <c r="BD6" i="29"/>
  <c r="BD47" i="29"/>
  <c r="BW6" i="29"/>
  <c r="BU47" i="29"/>
  <c r="CB6" i="29"/>
  <c r="CA47" i="29"/>
  <c r="CA6" i="29"/>
  <c r="CB47" i="29"/>
  <c r="BC47" i="29"/>
  <c r="BD10" i="29"/>
  <c r="BD46" i="29"/>
  <c r="BW10" i="29"/>
  <c r="BU46" i="29"/>
  <c r="CB10" i="29"/>
  <c r="CA46" i="29"/>
  <c r="CA10" i="29"/>
  <c r="CB46" i="29"/>
  <c r="BC46" i="29"/>
  <c r="BD45" i="29"/>
  <c r="BU45" i="29"/>
  <c r="CA45" i="29"/>
  <c r="CB45" i="29"/>
  <c r="BC45" i="29"/>
  <c r="BD15" i="29"/>
  <c r="BD44" i="29"/>
  <c r="BU15" i="29"/>
  <c r="BU44" i="29"/>
  <c r="CA15" i="29"/>
  <c r="CA44" i="29"/>
  <c r="CB15" i="29"/>
  <c r="CB44" i="29"/>
  <c r="BC44" i="29"/>
  <c r="BD28" i="29"/>
  <c r="BD43" i="29"/>
  <c r="BU28" i="29"/>
  <c r="BU43" i="29"/>
  <c r="CA28" i="29"/>
  <c r="CA43" i="29"/>
  <c r="CB28" i="29"/>
  <c r="CB43" i="29"/>
  <c r="BC43" i="29"/>
  <c r="BD19" i="29"/>
  <c r="BD42" i="29"/>
  <c r="BU19" i="29"/>
  <c r="BU42" i="29"/>
  <c r="CA19" i="29"/>
  <c r="CA42" i="29"/>
  <c r="CB19" i="29"/>
  <c r="CB42" i="29"/>
  <c r="BC42" i="29"/>
  <c r="BD8" i="29"/>
  <c r="BD41" i="29"/>
  <c r="BU8" i="29"/>
  <c r="BU41" i="29"/>
  <c r="CA8" i="29"/>
  <c r="CA41" i="29"/>
  <c r="CB8" i="29"/>
  <c r="CB41" i="29"/>
  <c r="BC41" i="29"/>
  <c r="BD4" i="29"/>
  <c r="BD40" i="29"/>
  <c r="BU4" i="29"/>
  <c r="BU40" i="29"/>
  <c r="CA4" i="29"/>
  <c r="CA40" i="29"/>
  <c r="CB4" i="29"/>
  <c r="CB40" i="29"/>
  <c r="BC40" i="29"/>
  <c r="BD11" i="29"/>
  <c r="BD39" i="29"/>
  <c r="BU11" i="29"/>
  <c r="BU39" i="29"/>
  <c r="CA11" i="29"/>
  <c r="CA39" i="29"/>
  <c r="CB11" i="29"/>
  <c r="CB39" i="29"/>
  <c r="BC39" i="29"/>
  <c r="BD2" i="29"/>
  <c r="BD38" i="29"/>
  <c r="BU2" i="29"/>
  <c r="BU38" i="29"/>
  <c r="CA2" i="29"/>
  <c r="CA38" i="29"/>
  <c r="CB2" i="29"/>
  <c r="CB38" i="29"/>
  <c r="BC38" i="29"/>
  <c r="BD22" i="29"/>
  <c r="BD37" i="29"/>
  <c r="BU22" i="29"/>
  <c r="BU37" i="29"/>
  <c r="CA22" i="29"/>
  <c r="CA37" i="29"/>
  <c r="CB22" i="29"/>
  <c r="CB37" i="29"/>
  <c r="BC37" i="29"/>
  <c r="BD26" i="29"/>
  <c r="BD36" i="29"/>
  <c r="BU26" i="29"/>
  <c r="BU36" i="29"/>
  <c r="CA26" i="29"/>
  <c r="CA36" i="29"/>
  <c r="CB26" i="29"/>
  <c r="CB36" i="29"/>
  <c r="BC36" i="29"/>
  <c r="BD30" i="29"/>
  <c r="BD35" i="29"/>
  <c r="BU30" i="29"/>
  <c r="BU35" i="29"/>
  <c r="CA30" i="29"/>
  <c r="CA35" i="29"/>
  <c r="CB30" i="29"/>
  <c r="CB35" i="29"/>
  <c r="BC35" i="29"/>
  <c r="BD14" i="29"/>
  <c r="BD34" i="29"/>
  <c r="BU14" i="29"/>
  <c r="BU34" i="29"/>
  <c r="CA14" i="29"/>
  <c r="CA34" i="29"/>
  <c r="CB14" i="29"/>
  <c r="CB34" i="29"/>
  <c r="BC34" i="29"/>
  <c r="BD13" i="29"/>
  <c r="BD33" i="29"/>
  <c r="BU13" i="29"/>
  <c r="BU33" i="29"/>
  <c r="CA13" i="29"/>
  <c r="CA33" i="29"/>
  <c r="CB13" i="29"/>
  <c r="CB33" i="29"/>
  <c r="BC33" i="29"/>
  <c r="BD3" i="29"/>
  <c r="BD32" i="29"/>
  <c r="BU3" i="29"/>
  <c r="BU32" i="29"/>
  <c r="CA3" i="29"/>
  <c r="CA32" i="29"/>
  <c r="CB3" i="29"/>
  <c r="CB32" i="29"/>
  <c r="BC32" i="29"/>
  <c r="BD31" i="29"/>
  <c r="BU31" i="29"/>
  <c r="CA31" i="29"/>
  <c r="CB31" i="29"/>
  <c r="BC31" i="29"/>
  <c r="BC30" i="29"/>
  <c r="BC29" i="29"/>
  <c r="BC28" i="29"/>
  <c r="BC27" i="29"/>
  <c r="BC26" i="29"/>
  <c r="BC25" i="29"/>
  <c r="BC24" i="29"/>
  <c r="BC23" i="29"/>
  <c r="BC22" i="29"/>
  <c r="BC21" i="29"/>
  <c r="BC20" i="29"/>
  <c r="BC19" i="29"/>
  <c r="BC18" i="29"/>
  <c r="BC17" i="29"/>
  <c r="BC16" i="29"/>
  <c r="BC15" i="29"/>
  <c r="BC14" i="29"/>
  <c r="BC13" i="29"/>
  <c r="BC12" i="29"/>
  <c r="BC11" i="29"/>
  <c r="BU10" i="29"/>
  <c r="BC10" i="29"/>
  <c r="BC9" i="29"/>
  <c r="BC8" i="29"/>
  <c r="BC7" i="29"/>
  <c r="BU6" i="29"/>
  <c r="BC6" i="29"/>
  <c r="BC5" i="29"/>
  <c r="BC4" i="29"/>
  <c r="BC3" i="29"/>
  <c r="BC2" i="29"/>
  <c r="CD27" i="30"/>
  <c r="CD76" i="30"/>
  <c r="CU27" i="30"/>
  <c r="CU76" i="30"/>
  <c r="DA27" i="30"/>
  <c r="DA76" i="30"/>
  <c r="DB27" i="30"/>
  <c r="DB76" i="30"/>
  <c r="CC76" i="30"/>
  <c r="CD18" i="30"/>
  <c r="CD75" i="30"/>
  <c r="CU18" i="30"/>
  <c r="CU75" i="30"/>
  <c r="DA18" i="30"/>
  <c r="DA75" i="30"/>
  <c r="DB18" i="30"/>
  <c r="DB75" i="30"/>
  <c r="CC75" i="30"/>
  <c r="CD12" i="30"/>
  <c r="CD74" i="30"/>
  <c r="CU12" i="30"/>
  <c r="CU74" i="30"/>
  <c r="DA12" i="30"/>
  <c r="DA74" i="30"/>
  <c r="DB12" i="30"/>
  <c r="DB74" i="30"/>
  <c r="CC74" i="30"/>
  <c r="CD7" i="30"/>
  <c r="CD73" i="30"/>
  <c r="CU7" i="30"/>
  <c r="CU73" i="30"/>
  <c r="DA7" i="30"/>
  <c r="DA73" i="30"/>
  <c r="DB7" i="30"/>
  <c r="DB73" i="30"/>
  <c r="CC73" i="30"/>
  <c r="CD16" i="30"/>
  <c r="CD72" i="30"/>
  <c r="CU16" i="30"/>
  <c r="CU72" i="30"/>
  <c r="DA16" i="30"/>
  <c r="DA72" i="30"/>
  <c r="DB16" i="30"/>
  <c r="DB72" i="30"/>
  <c r="CC72" i="30"/>
  <c r="CD29" i="30"/>
  <c r="CD71" i="30"/>
  <c r="CU29" i="30"/>
  <c r="CU71" i="30"/>
  <c r="DA29" i="30"/>
  <c r="DA71" i="30"/>
  <c r="DB29" i="30"/>
  <c r="DB71" i="30"/>
  <c r="CC71" i="30"/>
  <c r="CD20" i="30"/>
  <c r="CD70" i="30"/>
  <c r="CU20" i="30"/>
  <c r="CU70" i="30"/>
  <c r="DA20" i="30"/>
  <c r="DA70" i="30"/>
  <c r="DB20" i="30"/>
  <c r="DB70" i="30"/>
  <c r="CC70" i="30"/>
  <c r="CD24" i="30"/>
  <c r="CD69" i="30"/>
  <c r="CU24" i="30"/>
  <c r="CU69" i="30"/>
  <c r="DA24" i="30"/>
  <c r="DA69" i="30"/>
  <c r="DB24" i="30"/>
  <c r="DB69" i="30"/>
  <c r="CC69" i="30"/>
  <c r="CD9" i="30"/>
  <c r="CD68" i="30"/>
  <c r="CU9" i="30"/>
  <c r="CU68" i="30"/>
  <c r="DA9" i="30"/>
  <c r="DA68" i="30"/>
  <c r="DB9" i="30"/>
  <c r="DB68" i="30"/>
  <c r="CC68" i="30"/>
  <c r="CD5" i="30"/>
  <c r="CD67" i="30"/>
  <c r="CU5" i="30"/>
  <c r="CU67" i="30"/>
  <c r="DA5" i="30"/>
  <c r="DA67" i="30"/>
  <c r="DB5" i="30"/>
  <c r="DB67" i="30"/>
  <c r="CC67" i="30"/>
  <c r="CD17" i="30"/>
  <c r="CD66" i="30"/>
  <c r="CU17" i="30"/>
  <c r="CU66" i="30"/>
  <c r="DA17" i="30"/>
  <c r="DA66" i="30"/>
  <c r="DB17" i="30"/>
  <c r="DB66" i="30"/>
  <c r="CC66" i="30"/>
  <c r="CD21" i="30"/>
  <c r="CD65" i="30"/>
  <c r="CU21" i="30"/>
  <c r="CU65" i="30"/>
  <c r="DA21" i="30"/>
  <c r="DA65" i="30"/>
  <c r="DB21" i="30"/>
  <c r="DB65" i="30"/>
  <c r="CC65" i="30"/>
  <c r="CD25" i="30"/>
  <c r="CD64" i="30"/>
  <c r="CU25" i="30"/>
  <c r="CU64" i="30"/>
  <c r="DA25" i="30"/>
  <c r="DA64" i="30"/>
  <c r="DB25" i="30"/>
  <c r="DB64" i="30"/>
  <c r="CC64" i="30"/>
  <c r="CD63" i="30"/>
  <c r="CU63" i="30"/>
  <c r="DA63" i="30"/>
  <c r="DB63" i="30"/>
  <c r="CC63" i="30"/>
  <c r="CD62" i="30"/>
  <c r="CU62" i="30"/>
  <c r="DA62" i="30"/>
  <c r="DB62" i="30"/>
  <c r="CC62" i="30"/>
  <c r="CD61" i="30"/>
  <c r="CU61" i="30"/>
  <c r="DA61" i="30"/>
  <c r="DB61" i="30"/>
  <c r="CC61" i="30"/>
  <c r="CD60" i="30"/>
  <c r="CU60" i="30"/>
  <c r="DA60" i="30"/>
  <c r="DB60" i="30"/>
  <c r="CC60" i="30"/>
  <c r="CD59" i="30"/>
  <c r="CU59" i="30"/>
  <c r="DA59" i="30"/>
  <c r="DB59" i="30"/>
  <c r="CC59" i="30"/>
  <c r="CD58" i="30"/>
  <c r="CU58" i="30"/>
  <c r="DA58" i="30"/>
  <c r="DB58" i="30"/>
  <c r="CC58" i="30"/>
  <c r="CD57" i="30"/>
  <c r="CU57" i="30"/>
  <c r="DA57" i="30"/>
  <c r="DB57" i="30"/>
  <c r="CC57" i="30"/>
  <c r="CD56" i="30"/>
  <c r="CU56" i="30"/>
  <c r="DA56" i="30"/>
  <c r="DB56" i="30"/>
  <c r="CC56" i="30"/>
  <c r="CD55" i="30"/>
  <c r="CU55" i="30"/>
  <c r="DA55" i="30"/>
  <c r="DB55" i="30"/>
  <c r="CC55" i="30"/>
  <c r="CD54" i="30"/>
  <c r="CU54" i="30"/>
  <c r="DA54" i="30"/>
  <c r="DB54" i="30"/>
  <c r="CC54" i="30"/>
  <c r="CD53" i="30"/>
  <c r="CU53" i="30"/>
  <c r="DA53" i="30"/>
  <c r="DB53" i="30"/>
  <c r="CC53" i="30"/>
  <c r="CD52" i="30"/>
  <c r="CU52" i="30"/>
  <c r="DA52" i="30"/>
  <c r="DB52" i="30"/>
  <c r="CC52" i="30"/>
  <c r="CD51" i="30"/>
  <c r="CU51" i="30"/>
  <c r="DA51" i="30"/>
  <c r="DB51" i="30"/>
  <c r="CC51" i="30"/>
  <c r="CD50" i="30"/>
  <c r="CU50" i="30"/>
  <c r="DA50" i="30"/>
  <c r="DB50" i="30"/>
  <c r="CC50" i="30"/>
  <c r="CD23" i="30"/>
  <c r="CD49" i="30"/>
  <c r="CU23" i="30"/>
  <c r="CU49" i="30"/>
  <c r="DA23" i="30"/>
  <c r="DA49" i="30"/>
  <c r="DB23" i="30"/>
  <c r="DB49" i="30"/>
  <c r="CC49" i="30"/>
  <c r="CD48" i="30"/>
  <c r="CU48" i="30"/>
  <c r="DA48" i="30"/>
  <c r="DB48" i="30"/>
  <c r="CC48" i="30"/>
  <c r="CD6" i="30"/>
  <c r="CD47" i="30"/>
  <c r="CU6" i="30"/>
  <c r="CU47" i="30"/>
  <c r="DA6" i="30"/>
  <c r="DA47" i="30"/>
  <c r="DB6" i="30"/>
  <c r="DB47" i="30"/>
  <c r="CC47" i="30"/>
  <c r="CD10" i="30"/>
  <c r="CD46" i="30"/>
  <c r="CU10" i="30"/>
  <c r="CU46" i="30"/>
  <c r="DA10" i="30"/>
  <c r="DA46" i="30"/>
  <c r="DB10" i="30"/>
  <c r="DB46" i="30"/>
  <c r="CC46" i="30"/>
  <c r="CD45" i="30"/>
  <c r="CU45" i="30"/>
  <c r="DA45" i="30"/>
  <c r="DB45" i="30"/>
  <c r="CC45" i="30"/>
  <c r="CD15" i="30"/>
  <c r="CD44" i="30"/>
  <c r="CU15" i="30"/>
  <c r="CU44" i="30"/>
  <c r="DA15" i="30"/>
  <c r="DA44" i="30"/>
  <c r="DB15" i="30"/>
  <c r="DB44" i="30"/>
  <c r="CC44" i="30"/>
  <c r="CD28" i="30"/>
  <c r="CD43" i="30"/>
  <c r="CU28" i="30"/>
  <c r="CU43" i="30"/>
  <c r="DA28" i="30"/>
  <c r="DA43" i="30"/>
  <c r="DB28" i="30"/>
  <c r="DB43" i="30"/>
  <c r="CC43" i="30"/>
  <c r="CD19" i="30"/>
  <c r="CD42" i="30"/>
  <c r="CU19" i="30"/>
  <c r="CU42" i="30"/>
  <c r="DA19" i="30"/>
  <c r="DA42" i="30"/>
  <c r="DB19" i="30"/>
  <c r="DB42" i="30"/>
  <c r="CC42" i="30"/>
  <c r="CD8" i="30"/>
  <c r="CD41" i="30"/>
  <c r="CU8" i="30"/>
  <c r="CU41" i="30"/>
  <c r="DA8" i="30"/>
  <c r="DA41" i="30"/>
  <c r="DB8" i="30"/>
  <c r="DB41" i="30"/>
  <c r="CC41" i="30"/>
  <c r="CD4" i="30"/>
  <c r="CD40" i="30"/>
  <c r="CU4" i="30"/>
  <c r="CU40" i="30"/>
  <c r="DA4" i="30"/>
  <c r="DA40" i="30"/>
  <c r="DB4" i="30"/>
  <c r="DB40" i="30"/>
  <c r="CC40" i="30"/>
  <c r="CD11" i="30"/>
  <c r="CD39" i="30"/>
  <c r="CU11" i="30"/>
  <c r="CU39" i="30"/>
  <c r="DA11" i="30"/>
  <c r="DA39" i="30"/>
  <c r="DB11" i="30"/>
  <c r="DB39" i="30"/>
  <c r="CC39" i="30"/>
  <c r="CD2" i="30"/>
  <c r="CD38" i="30"/>
  <c r="CU2" i="30"/>
  <c r="CU38" i="30"/>
  <c r="DA2" i="30"/>
  <c r="DA38" i="30"/>
  <c r="DB2" i="30"/>
  <c r="DB38" i="30"/>
  <c r="CC38" i="30"/>
  <c r="CD22" i="30"/>
  <c r="CD37" i="30"/>
  <c r="CU22" i="30"/>
  <c r="CU37" i="30"/>
  <c r="DA22" i="30"/>
  <c r="DA37" i="30"/>
  <c r="DB22" i="30"/>
  <c r="DB37" i="30"/>
  <c r="CC37" i="30"/>
  <c r="CD26" i="30"/>
  <c r="CD36" i="30"/>
  <c r="CU26" i="30"/>
  <c r="CU36" i="30"/>
  <c r="DA26" i="30"/>
  <c r="DA36" i="30"/>
  <c r="DB26" i="30"/>
  <c r="DB36" i="30"/>
  <c r="CC36" i="30"/>
  <c r="CD30" i="30"/>
  <c r="CD35" i="30"/>
  <c r="CU30" i="30"/>
  <c r="CU35" i="30"/>
  <c r="DA30" i="30"/>
  <c r="DA35" i="30"/>
  <c r="DB30" i="30"/>
  <c r="DB35" i="30"/>
  <c r="CC35" i="30"/>
  <c r="CD14" i="30"/>
  <c r="CD34" i="30"/>
  <c r="CU14" i="30"/>
  <c r="CU34" i="30"/>
  <c r="DA14" i="30"/>
  <c r="DA34" i="30"/>
  <c r="DB14" i="30"/>
  <c r="DB34" i="30"/>
  <c r="CC34" i="30"/>
  <c r="CD13" i="30"/>
  <c r="CD33" i="30"/>
  <c r="CU13" i="30"/>
  <c r="CU33" i="30"/>
  <c r="DA13" i="30"/>
  <c r="DA33" i="30"/>
  <c r="DB13" i="30"/>
  <c r="DB33" i="30"/>
  <c r="CC33" i="30"/>
  <c r="CD3" i="30"/>
  <c r="CD32" i="30"/>
  <c r="CU3" i="30"/>
  <c r="CU32" i="30"/>
  <c r="DA3" i="30"/>
  <c r="DA32" i="30"/>
  <c r="DB3" i="30"/>
  <c r="DB32" i="30"/>
  <c r="CC32" i="30"/>
  <c r="CD31" i="30"/>
  <c r="CU31" i="30"/>
  <c r="DA31" i="30"/>
  <c r="DB31" i="30"/>
  <c r="CC31" i="30"/>
  <c r="CC30" i="30"/>
  <c r="CC29" i="30"/>
  <c r="CC28" i="30"/>
  <c r="CC27" i="30"/>
  <c r="CC26" i="30"/>
  <c r="CC25" i="30"/>
  <c r="CC24" i="30"/>
  <c r="CC23" i="30"/>
  <c r="CC22" i="30"/>
  <c r="CC21" i="30"/>
  <c r="CC20" i="30"/>
  <c r="CC19" i="30"/>
  <c r="CC18" i="30"/>
  <c r="CC17" i="30"/>
  <c r="CC16" i="30"/>
  <c r="CC15" i="30"/>
  <c r="CC14" i="30"/>
  <c r="CC13" i="30"/>
  <c r="CC12" i="30"/>
  <c r="CC11" i="30"/>
  <c r="CC10" i="30"/>
  <c r="CC9" i="30"/>
  <c r="CC8" i="30"/>
  <c r="CC7" i="30"/>
  <c r="CC6" i="30"/>
  <c r="CC5" i="30"/>
  <c r="CC4" i="30"/>
  <c r="CC3" i="30"/>
  <c r="CC2" i="30"/>
  <c r="BC32" i="30"/>
  <c r="BC33" i="30"/>
  <c r="BC34" i="30"/>
  <c r="BC35" i="30"/>
  <c r="BC36" i="30"/>
  <c r="BC37" i="30"/>
  <c r="BC38" i="30"/>
  <c r="BC39" i="30"/>
  <c r="BC40" i="30"/>
  <c r="BC41" i="30"/>
  <c r="BC42" i="30"/>
  <c r="BC43" i="30"/>
  <c r="BC44" i="30"/>
  <c r="BC31" i="30"/>
  <c r="BC46" i="30"/>
  <c r="BC47" i="30"/>
  <c r="BC45" i="30"/>
  <c r="BC49" i="30"/>
  <c r="BC50" i="30"/>
  <c r="BC51" i="30"/>
  <c r="BC52" i="30"/>
  <c r="BC53" i="30"/>
  <c r="BC54" i="30"/>
  <c r="BC55" i="30"/>
  <c r="BC56" i="30"/>
  <c r="BC57" i="30"/>
  <c r="BC58" i="30"/>
  <c r="BC59" i="30"/>
  <c r="BC60" i="30"/>
  <c r="BC61" i="30"/>
  <c r="BC62" i="30"/>
  <c r="BC48" i="30"/>
  <c r="BC64" i="30"/>
  <c r="BC65" i="30"/>
  <c r="BC66" i="30"/>
  <c r="BC67" i="30"/>
  <c r="BC68" i="30"/>
  <c r="BC69" i="30"/>
  <c r="BC70" i="30"/>
  <c r="BC71" i="30"/>
  <c r="BC72" i="30"/>
  <c r="BC73" i="30"/>
  <c r="BC74" i="30"/>
  <c r="BC75" i="30"/>
  <c r="BC76" i="30"/>
  <c r="BC63" i="30"/>
  <c r="AC76" i="30"/>
  <c r="AC75" i="30"/>
  <c r="AC74" i="30"/>
  <c r="AC73" i="30"/>
  <c r="AC72" i="30"/>
  <c r="AC71" i="30"/>
  <c r="AC70" i="30"/>
  <c r="AC69" i="30"/>
  <c r="AC68" i="30"/>
  <c r="AC67" i="30"/>
  <c r="AC66" i="30"/>
  <c r="AC65" i="30"/>
  <c r="AC64" i="30"/>
  <c r="AD63" i="30"/>
  <c r="AC63" i="30"/>
  <c r="AC62" i="30"/>
  <c r="AC61" i="30"/>
  <c r="AC60" i="30"/>
  <c r="AC59" i="30"/>
  <c r="AC58" i="30"/>
  <c r="AC57" i="30"/>
  <c r="AC56" i="30"/>
  <c r="AC55" i="30"/>
  <c r="AC54" i="30"/>
  <c r="AC53" i="30"/>
  <c r="AC52" i="30"/>
  <c r="AC51" i="30"/>
  <c r="AC50" i="30"/>
  <c r="AC49" i="30"/>
  <c r="AD48" i="30"/>
  <c r="AU48" i="30"/>
  <c r="BA48" i="30"/>
  <c r="BB48" i="30"/>
  <c r="AC48" i="30"/>
  <c r="AD6" i="30"/>
  <c r="AD47" i="30"/>
  <c r="AU6" i="30"/>
  <c r="AU47" i="30"/>
  <c r="BA6" i="30"/>
  <c r="BA47" i="30"/>
  <c r="BB6" i="30"/>
  <c r="BB47" i="30"/>
  <c r="AC47" i="30"/>
  <c r="AD10" i="30"/>
  <c r="AD46" i="30"/>
  <c r="AU10" i="30"/>
  <c r="AU46" i="30"/>
  <c r="BA10" i="30"/>
  <c r="BA46" i="30"/>
  <c r="BB10" i="30"/>
  <c r="BB46" i="30"/>
  <c r="AC46" i="30"/>
  <c r="AD45" i="30"/>
  <c r="AU45" i="30"/>
  <c r="BA45" i="30"/>
  <c r="BB45" i="30"/>
  <c r="AC45" i="30"/>
  <c r="AD15" i="30"/>
  <c r="AD44" i="30"/>
  <c r="AU15" i="30"/>
  <c r="AU44" i="30"/>
  <c r="BA15" i="30"/>
  <c r="BA44" i="30"/>
  <c r="BB15" i="30"/>
  <c r="BB44" i="30"/>
  <c r="AC44" i="30"/>
  <c r="AD28" i="30"/>
  <c r="AD43" i="30"/>
  <c r="AU28" i="30"/>
  <c r="AU43" i="30"/>
  <c r="BA28" i="30"/>
  <c r="BA43" i="30"/>
  <c r="BB28" i="30"/>
  <c r="BB43" i="30"/>
  <c r="AC43" i="30"/>
  <c r="AD19" i="30"/>
  <c r="AD42" i="30"/>
  <c r="AU19" i="30"/>
  <c r="AU42" i="30"/>
  <c r="BA19" i="30"/>
  <c r="BA42" i="30"/>
  <c r="BB19" i="30"/>
  <c r="BB42" i="30"/>
  <c r="AC42" i="30"/>
  <c r="AD8" i="30"/>
  <c r="AD41" i="30"/>
  <c r="AU8" i="30"/>
  <c r="AU41" i="30"/>
  <c r="BA8" i="30"/>
  <c r="BA41" i="30"/>
  <c r="BB8" i="30"/>
  <c r="BB41" i="30"/>
  <c r="AC41" i="30"/>
  <c r="AD4" i="30"/>
  <c r="AD40" i="30"/>
  <c r="AU4" i="30"/>
  <c r="AU40" i="30"/>
  <c r="BA4" i="30"/>
  <c r="BA40" i="30"/>
  <c r="BB4" i="30"/>
  <c r="BB40" i="30"/>
  <c r="AC40" i="30"/>
  <c r="AD11" i="30"/>
  <c r="AD39" i="30"/>
  <c r="AU11" i="30"/>
  <c r="AU39" i="30"/>
  <c r="BA11" i="30"/>
  <c r="BA39" i="30"/>
  <c r="BB11" i="30"/>
  <c r="BB39" i="30"/>
  <c r="AC39" i="30"/>
  <c r="AD38" i="30"/>
  <c r="AU38" i="30"/>
  <c r="BA38" i="30"/>
  <c r="BB38" i="30"/>
  <c r="AC38" i="30"/>
  <c r="AD22" i="30"/>
  <c r="AD37" i="30"/>
  <c r="AU22" i="30"/>
  <c r="AU37" i="30"/>
  <c r="BA22" i="30"/>
  <c r="BA37" i="30"/>
  <c r="BB22" i="30"/>
  <c r="BB37" i="30"/>
  <c r="AC37" i="30"/>
  <c r="AD26" i="30"/>
  <c r="AD36" i="30"/>
  <c r="AU26" i="30"/>
  <c r="AU36" i="30"/>
  <c r="BA26" i="30"/>
  <c r="BA36" i="30"/>
  <c r="BB26" i="30"/>
  <c r="BB36" i="30"/>
  <c r="AC36" i="30"/>
  <c r="AD30" i="30"/>
  <c r="AD35" i="30"/>
  <c r="AU30" i="30"/>
  <c r="AU35" i="30"/>
  <c r="BA30" i="30"/>
  <c r="BA35" i="30"/>
  <c r="BB30" i="30"/>
  <c r="BB35" i="30"/>
  <c r="AC35" i="30"/>
  <c r="AD14" i="30"/>
  <c r="AD34" i="30"/>
  <c r="AU14" i="30"/>
  <c r="AU34" i="30"/>
  <c r="BA14" i="30"/>
  <c r="BA34" i="30"/>
  <c r="BB14" i="30"/>
  <c r="BB34" i="30"/>
  <c r="AC34" i="30"/>
  <c r="AD13" i="30"/>
  <c r="AD33" i="30"/>
  <c r="AU13" i="30"/>
  <c r="AU33" i="30"/>
  <c r="BA13" i="30"/>
  <c r="BA33" i="30"/>
  <c r="BB13" i="30"/>
  <c r="BB33" i="30"/>
  <c r="AC33" i="30"/>
  <c r="AD3" i="30"/>
  <c r="AD32" i="30"/>
  <c r="AU3" i="30"/>
  <c r="AU32" i="30"/>
  <c r="BA3" i="30"/>
  <c r="BA32" i="30"/>
  <c r="BB3" i="30"/>
  <c r="BB32" i="30"/>
  <c r="AC32" i="30"/>
  <c r="AD31" i="30"/>
  <c r="AU31" i="30"/>
  <c r="BA31" i="30"/>
  <c r="BB31" i="30"/>
  <c r="AC31" i="30"/>
  <c r="AC3" i="30"/>
  <c r="AC4" i="30"/>
  <c r="AC5" i="30"/>
  <c r="AC6" i="30"/>
  <c r="AC7" i="30"/>
  <c r="AC8" i="30"/>
  <c r="AC9" i="30"/>
  <c r="AC10" i="30"/>
  <c r="AC11" i="30"/>
  <c r="AC12" i="30"/>
  <c r="AC13" i="30"/>
  <c r="AC14" i="30"/>
  <c r="AC15" i="30"/>
  <c r="AC16" i="30"/>
  <c r="AC17" i="30"/>
  <c r="AC18" i="30"/>
  <c r="AC19" i="30"/>
  <c r="AC20" i="30"/>
  <c r="AC21" i="30"/>
  <c r="AC22" i="30"/>
  <c r="AC23" i="30"/>
  <c r="AC24" i="30"/>
  <c r="AC25" i="30"/>
  <c r="AC26" i="30"/>
  <c r="AC27" i="30"/>
  <c r="AC28" i="30"/>
  <c r="AC29" i="30"/>
  <c r="AC30" i="30"/>
  <c r="D3" i="30"/>
  <c r="U3" i="30"/>
  <c r="AA3" i="30"/>
  <c r="AB3" i="30"/>
  <c r="C3" i="30"/>
  <c r="C32" i="30"/>
  <c r="D13" i="30"/>
  <c r="U13" i="30"/>
  <c r="AA13" i="30"/>
  <c r="AB13" i="30"/>
  <c r="C13" i="30"/>
  <c r="C33" i="30"/>
  <c r="D14" i="30"/>
  <c r="U14" i="30"/>
  <c r="AA14" i="30"/>
  <c r="AB14" i="30"/>
  <c r="C14" i="30"/>
  <c r="C34" i="30"/>
  <c r="D30" i="30"/>
  <c r="U30" i="30"/>
  <c r="AA30" i="30"/>
  <c r="AB30" i="30"/>
  <c r="C30" i="30"/>
  <c r="C35" i="30"/>
  <c r="D26" i="30"/>
  <c r="U26" i="30"/>
  <c r="AA26" i="30"/>
  <c r="AB26" i="30"/>
  <c r="C26" i="30"/>
  <c r="C36" i="30"/>
  <c r="D22" i="30"/>
  <c r="U22" i="30"/>
  <c r="AA22" i="30"/>
  <c r="AB22" i="30"/>
  <c r="C22" i="30"/>
  <c r="C37" i="30"/>
  <c r="D2" i="30"/>
  <c r="U2" i="30"/>
  <c r="AA2" i="30"/>
  <c r="AB2" i="30"/>
  <c r="C2" i="30"/>
  <c r="C38" i="30"/>
  <c r="D8" i="30"/>
  <c r="U8" i="30"/>
  <c r="AA8" i="30"/>
  <c r="AB8" i="30"/>
  <c r="C8" i="30"/>
  <c r="C41" i="30"/>
  <c r="D15" i="30"/>
  <c r="U15" i="30"/>
  <c r="AA15" i="30"/>
  <c r="AB15" i="30"/>
  <c r="C15" i="30"/>
  <c r="C44" i="30"/>
  <c r="C31" i="30"/>
  <c r="D11" i="30"/>
  <c r="U11" i="30"/>
  <c r="AA11" i="30"/>
  <c r="AB11" i="30"/>
  <c r="C11" i="30"/>
  <c r="C39" i="30"/>
  <c r="D4" i="30"/>
  <c r="U4" i="30"/>
  <c r="AA4" i="30"/>
  <c r="AB4" i="30"/>
  <c r="C4" i="30"/>
  <c r="C40" i="30"/>
  <c r="D19" i="30"/>
  <c r="U19" i="30"/>
  <c r="AA19" i="30"/>
  <c r="AB19" i="30"/>
  <c r="C19" i="30"/>
  <c r="C42" i="30"/>
  <c r="D28" i="30"/>
  <c r="U28" i="30"/>
  <c r="AA28" i="30"/>
  <c r="AB28" i="30"/>
  <c r="C28" i="30"/>
  <c r="C43" i="30"/>
  <c r="D10" i="29"/>
  <c r="D10" i="30"/>
  <c r="U10" i="29"/>
  <c r="U10" i="30"/>
  <c r="AA10" i="29"/>
  <c r="AA10" i="30"/>
  <c r="AB10" i="29"/>
  <c r="AB10" i="30"/>
  <c r="C10" i="30"/>
  <c r="C46" i="30"/>
  <c r="D6" i="29"/>
  <c r="D6" i="30"/>
  <c r="U6" i="29"/>
  <c r="U6" i="30"/>
  <c r="AA6" i="29"/>
  <c r="AA6" i="30"/>
  <c r="AB6" i="29"/>
  <c r="AB6" i="30"/>
  <c r="C6" i="30"/>
  <c r="C47" i="30"/>
  <c r="C45" i="30"/>
  <c r="D23" i="30"/>
  <c r="U23" i="30"/>
  <c r="AA23" i="30"/>
  <c r="AB23" i="30"/>
  <c r="C23" i="30"/>
  <c r="C49" i="30"/>
  <c r="D17" i="30"/>
  <c r="U17" i="30"/>
  <c r="AA17" i="30"/>
  <c r="AB17" i="30"/>
  <c r="C17" i="30"/>
  <c r="C52" i="30"/>
  <c r="D9" i="30"/>
  <c r="U9" i="30"/>
  <c r="AA9" i="30"/>
  <c r="AB9" i="30"/>
  <c r="C9" i="30"/>
  <c r="C54" i="30"/>
  <c r="D16" i="30"/>
  <c r="U16" i="30"/>
  <c r="AA16" i="30"/>
  <c r="AB16" i="30"/>
  <c r="C16" i="30"/>
  <c r="C58" i="30"/>
  <c r="D7" i="30"/>
  <c r="U7" i="30"/>
  <c r="AA7" i="30"/>
  <c r="AB7" i="30"/>
  <c r="C7" i="30"/>
  <c r="C59" i="30"/>
  <c r="D18" i="30"/>
  <c r="U18" i="30"/>
  <c r="AA18" i="30"/>
  <c r="AB18" i="30"/>
  <c r="C18" i="30"/>
  <c r="C61" i="30"/>
  <c r="C48" i="30"/>
  <c r="D25" i="30"/>
  <c r="U25" i="30"/>
  <c r="AA25" i="30"/>
  <c r="AB25" i="30"/>
  <c r="C25" i="30"/>
  <c r="C50" i="30"/>
  <c r="D21" i="30"/>
  <c r="U21" i="30"/>
  <c r="AA21" i="30"/>
  <c r="AB21" i="30"/>
  <c r="C21" i="30"/>
  <c r="C51" i="30"/>
  <c r="D5" i="30"/>
  <c r="U5" i="30"/>
  <c r="AA5" i="30"/>
  <c r="AB5" i="30"/>
  <c r="C5" i="30"/>
  <c r="C53" i="30"/>
  <c r="D24" i="30"/>
  <c r="U24" i="30"/>
  <c r="AA24" i="30"/>
  <c r="AB24" i="30"/>
  <c r="C24" i="30"/>
  <c r="C55" i="30"/>
  <c r="D20" i="30"/>
  <c r="U20" i="30"/>
  <c r="AA20" i="30"/>
  <c r="AB20" i="30"/>
  <c r="C20" i="30"/>
  <c r="C56" i="30"/>
  <c r="D29" i="30"/>
  <c r="U29" i="30"/>
  <c r="AA29" i="30"/>
  <c r="AB29" i="30"/>
  <c r="C29" i="30"/>
  <c r="C57" i="30"/>
  <c r="D12" i="30"/>
  <c r="U12" i="30"/>
  <c r="AA12" i="30"/>
  <c r="AB12" i="30"/>
  <c r="C12" i="30"/>
  <c r="C60" i="30"/>
  <c r="D27" i="30"/>
  <c r="U27" i="30"/>
  <c r="AA27" i="30"/>
  <c r="AB27" i="30"/>
  <c r="C27" i="30"/>
  <c r="C62" i="30"/>
  <c r="C66" i="30"/>
  <c r="C68" i="30"/>
  <c r="C72" i="30"/>
  <c r="C73" i="30"/>
  <c r="C75" i="30"/>
  <c r="C63" i="30"/>
  <c r="C64" i="30"/>
  <c r="C65" i="30"/>
  <c r="C67" i="30"/>
  <c r="C69" i="30"/>
  <c r="C70" i="30"/>
  <c r="C71" i="30"/>
  <c r="C74" i="30"/>
  <c r="C76" i="30"/>
  <c r="CC76" i="31"/>
  <c r="CC75" i="31"/>
  <c r="CC74" i="31"/>
  <c r="CC73" i="31"/>
  <c r="CC72" i="31"/>
  <c r="CC71" i="31"/>
  <c r="CC70" i="31"/>
  <c r="CC69" i="31"/>
  <c r="CC68" i="31"/>
  <c r="CC67" i="31"/>
  <c r="CC66" i="31"/>
  <c r="CC65" i="31"/>
  <c r="CC64" i="31"/>
  <c r="CC63" i="31"/>
  <c r="CC62" i="31"/>
  <c r="CC61" i="31"/>
  <c r="CC60" i="31"/>
  <c r="CC59" i="31"/>
  <c r="CC58" i="31"/>
  <c r="CC57" i="31"/>
  <c r="CC56" i="31"/>
  <c r="CC55" i="31"/>
  <c r="CC54" i="31"/>
  <c r="CC53" i="31"/>
  <c r="CC52" i="31"/>
  <c r="CC51" i="31"/>
  <c r="CC50" i="31"/>
  <c r="CC49" i="31"/>
  <c r="CC48" i="31"/>
  <c r="CC47" i="31"/>
  <c r="CC46" i="31"/>
  <c r="CC45" i="31"/>
  <c r="CC44" i="31"/>
  <c r="CC43" i="31"/>
  <c r="CC42" i="31"/>
  <c r="CC41" i="31"/>
  <c r="CC40" i="31"/>
  <c r="CC39" i="31"/>
  <c r="CC38" i="31"/>
  <c r="CC37" i="31"/>
  <c r="CC36" i="31"/>
  <c r="CC35" i="31"/>
  <c r="CC34" i="31"/>
  <c r="CC33" i="31"/>
  <c r="CC32" i="31"/>
  <c r="CC31" i="31"/>
  <c r="CC30" i="31"/>
  <c r="CC29" i="31"/>
  <c r="CC28" i="31"/>
  <c r="CC27" i="31"/>
  <c r="CC26" i="31"/>
  <c r="CC25" i="31"/>
  <c r="CC24" i="31"/>
  <c r="CC23" i="31"/>
  <c r="CC22" i="31"/>
  <c r="CC21" i="31"/>
  <c r="CC20" i="31"/>
  <c r="CC19" i="31"/>
  <c r="CC18" i="31"/>
  <c r="CC17" i="31"/>
  <c r="CC16" i="31"/>
  <c r="CC15" i="31"/>
  <c r="CC14" i="31"/>
  <c r="CC13" i="31"/>
  <c r="CC12" i="31"/>
  <c r="CC11" i="31"/>
  <c r="CC10" i="31"/>
  <c r="CC9" i="31"/>
  <c r="CC8" i="31"/>
  <c r="CC7" i="31"/>
  <c r="CC6" i="31"/>
  <c r="CC5" i="31"/>
  <c r="CC4" i="31"/>
  <c r="CC3" i="31"/>
  <c r="CC2" i="31"/>
  <c r="BC32" i="31"/>
  <c r="BC33" i="31"/>
  <c r="BC34" i="31"/>
  <c r="BC35" i="31"/>
  <c r="BC36" i="31"/>
  <c r="BC37" i="31"/>
  <c r="BC38" i="31"/>
  <c r="BC39" i="31"/>
  <c r="BC40" i="31"/>
  <c r="BC41" i="31"/>
  <c r="BC42" i="31"/>
  <c r="BC43" i="31"/>
  <c r="BC44" i="31"/>
  <c r="BC31" i="31"/>
  <c r="BC46" i="31"/>
  <c r="BC47" i="31"/>
  <c r="BC45" i="31"/>
  <c r="BC49" i="31"/>
  <c r="BC50" i="31"/>
  <c r="BC51" i="31"/>
  <c r="BC52" i="31"/>
  <c r="BC53" i="31"/>
  <c r="BC54" i="31"/>
  <c r="BC55" i="31"/>
  <c r="BC56" i="31"/>
  <c r="BC57" i="31"/>
  <c r="BC58" i="31"/>
  <c r="BC59" i="31"/>
  <c r="BC60" i="31"/>
  <c r="BC61" i="31"/>
  <c r="BC62" i="31"/>
  <c r="BC48" i="31"/>
  <c r="BC64" i="31"/>
  <c r="BC65" i="31"/>
  <c r="BC66" i="31"/>
  <c r="BC67" i="31"/>
  <c r="BC68" i="31"/>
  <c r="BC69" i="31"/>
  <c r="BC70" i="31"/>
  <c r="BC71" i="31"/>
  <c r="BC72" i="31"/>
  <c r="BC73" i="31"/>
  <c r="BC74" i="31"/>
  <c r="BC75" i="31"/>
  <c r="BC76" i="31"/>
  <c r="BC63" i="31"/>
  <c r="AC76" i="31"/>
  <c r="AC75" i="31"/>
  <c r="AC74" i="31"/>
  <c r="AC73" i="31"/>
  <c r="AC72" i="31"/>
  <c r="AC71" i="31"/>
  <c r="AC70" i="31"/>
  <c r="AC69" i="31"/>
  <c r="AC68" i="31"/>
  <c r="AC67" i="31"/>
  <c r="AC66" i="31"/>
  <c r="AC65" i="31"/>
  <c r="AC64" i="31"/>
  <c r="AU63" i="31"/>
  <c r="AC63" i="31"/>
  <c r="AC48" i="31"/>
  <c r="AU6" i="31"/>
  <c r="AU47" i="31"/>
  <c r="AC47" i="31"/>
  <c r="AU10" i="31"/>
  <c r="AU46" i="31"/>
  <c r="AC46" i="31"/>
  <c r="AU45" i="31"/>
  <c r="AC45" i="31"/>
  <c r="AU31" i="31"/>
  <c r="AC31" i="31"/>
  <c r="AC25" i="31"/>
  <c r="AC26" i="31"/>
  <c r="AC27" i="31"/>
  <c r="AC28" i="31"/>
  <c r="AC29" i="31"/>
  <c r="AC30" i="31"/>
  <c r="AC4" i="31"/>
  <c r="AC5" i="31"/>
  <c r="AC6" i="31"/>
  <c r="AC7" i="31"/>
  <c r="AC8" i="31"/>
  <c r="AC9" i="31"/>
  <c r="AC10" i="31"/>
  <c r="AC11" i="31"/>
  <c r="AC12" i="31"/>
  <c r="AC13" i="31"/>
  <c r="AC14" i="31"/>
  <c r="AC15" i="31"/>
  <c r="AC16" i="31"/>
  <c r="AC17" i="31"/>
  <c r="AC18" i="31"/>
  <c r="AC19" i="31"/>
  <c r="AC20" i="31"/>
  <c r="AC21" i="31"/>
  <c r="AC22" i="31"/>
  <c r="AC24" i="31"/>
  <c r="C46" i="31"/>
  <c r="C47" i="31"/>
  <c r="C45" i="31"/>
  <c r="C49" i="31"/>
  <c r="C50" i="31"/>
  <c r="C51" i="31"/>
  <c r="C52" i="31"/>
  <c r="C53" i="31"/>
  <c r="C54" i="31"/>
  <c r="C55" i="31"/>
  <c r="C56" i="31"/>
  <c r="C57" i="31"/>
  <c r="C58" i="31"/>
  <c r="C59" i="31"/>
  <c r="C60" i="31"/>
  <c r="C61" i="31"/>
  <c r="C62" i="31"/>
  <c r="C48" i="31"/>
  <c r="C64" i="31"/>
  <c r="C65" i="31"/>
  <c r="C66" i="31"/>
  <c r="C67" i="31"/>
  <c r="C68" i="31"/>
  <c r="C69" i="31"/>
  <c r="C70" i="31"/>
  <c r="C71" i="31"/>
  <c r="C72" i="31"/>
  <c r="C73" i="31"/>
  <c r="C74" i="31"/>
  <c r="C75" i="31"/>
  <c r="C76" i="31"/>
  <c r="C63" i="31"/>
  <c r="AC3" i="29"/>
  <c r="AC32" i="29"/>
  <c r="AC13" i="29"/>
  <c r="AC33" i="29"/>
  <c r="AC14" i="29"/>
  <c r="AC34" i="29"/>
  <c r="AC30" i="29"/>
  <c r="AC35" i="29"/>
  <c r="AC26" i="29"/>
  <c r="AC36" i="29"/>
  <c r="AC22" i="29"/>
  <c r="AC37" i="29"/>
  <c r="AC2" i="29"/>
  <c r="AC38" i="29"/>
  <c r="AC11" i="29"/>
  <c r="AC39" i="29"/>
  <c r="AC4" i="29"/>
  <c r="AC40" i="29"/>
  <c r="AC8" i="29"/>
  <c r="AC41" i="29"/>
  <c r="AC19" i="29"/>
  <c r="AC42" i="29"/>
  <c r="AC28" i="29"/>
  <c r="AC43" i="29"/>
  <c r="AC15" i="29"/>
  <c r="AC44" i="29"/>
  <c r="AC31" i="29"/>
  <c r="AC10" i="29"/>
  <c r="AC46" i="29"/>
  <c r="AC6" i="29"/>
  <c r="AC47" i="29"/>
  <c r="AC45" i="29"/>
  <c r="AC23" i="29"/>
  <c r="AC49" i="29"/>
  <c r="AC25" i="29"/>
  <c r="AC50" i="29"/>
  <c r="AC21" i="29"/>
  <c r="AC51" i="29"/>
  <c r="AC17" i="29"/>
  <c r="AC52" i="29"/>
  <c r="AC5" i="29"/>
  <c r="AC53" i="29"/>
  <c r="AC9" i="29"/>
  <c r="AC54" i="29"/>
  <c r="AC24" i="29"/>
  <c r="AC55" i="29"/>
  <c r="AC20" i="29"/>
  <c r="AC56" i="29"/>
  <c r="AC29" i="29"/>
  <c r="AC57" i="29"/>
  <c r="AC16" i="29"/>
  <c r="AC58" i="29"/>
  <c r="AC7" i="29"/>
  <c r="AC59" i="29"/>
  <c r="AC12" i="29"/>
  <c r="AC60" i="29"/>
  <c r="AC18" i="29"/>
  <c r="AC61" i="29"/>
  <c r="AC27" i="29"/>
  <c r="AC62" i="29"/>
  <c r="AC48" i="29"/>
  <c r="AC64" i="29"/>
  <c r="AC65" i="29"/>
  <c r="AC66" i="29"/>
  <c r="AC67" i="29"/>
  <c r="AC68" i="29"/>
  <c r="AC69" i="29"/>
  <c r="AC70" i="29"/>
  <c r="AC71" i="29"/>
  <c r="AC72" i="29"/>
  <c r="AC73" i="29"/>
  <c r="AC74" i="29"/>
  <c r="AC75" i="29"/>
  <c r="AC76" i="29"/>
  <c r="AC63" i="29"/>
  <c r="D3" i="18"/>
  <c r="D32" i="18"/>
  <c r="C10" i="29"/>
  <c r="C46" i="29"/>
  <c r="C6" i="29"/>
  <c r="C47" i="29"/>
  <c r="C45" i="29"/>
  <c r="C23" i="29"/>
  <c r="C49" i="29"/>
  <c r="C25" i="29"/>
  <c r="C50" i="29"/>
  <c r="C21" i="29"/>
  <c r="C51" i="29"/>
  <c r="C17" i="29"/>
  <c r="C52" i="29"/>
  <c r="C5" i="29"/>
  <c r="C53" i="29"/>
  <c r="C9" i="29"/>
  <c r="C54" i="29"/>
  <c r="C24" i="29"/>
  <c r="C55" i="29"/>
  <c r="C20" i="29"/>
  <c r="C56" i="29"/>
  <c r="C29" i="29"/>
  <c r="C57" i="29"/>
  <c r="C16" i="29"/>
  <c r="C58" i="29"/>
  <c r="C7" i="29"/>
  <c r="C59" i="29"/>
  <c r="C12" i="29"/>
  <c r="C60" i="29"/>
  <c r="C18" i="29"/>
  <c r="C61" i="29"/>
  <c r="C27" i="29"/>
  <c r="C62" i="29"/>
  <c r="C48" i="29"/>
  <c r="C64" i="29"/>
  <c r="C65" i="29"/>
  <c r="C66" i="29"/>
  <c r="C67" i="29"/>
  <c r="C68" i="29"/>
  <c r="C69" i="29"/>
  <c r="C70" i="29"/>
  <c r="C71" i="29"/>
  <c r="C72" i="29"/>
  <c r="C73" i="29"/>
  <c r="C74" i="29"/>
  <c r="C75" i="29"/>
  <c r="C76" i="29"/>
  <c r="C63" i="29"/>
  <c r="C3" i="29"/>
  <c r="C32" i="29"/>
  <c r="C13" i="29"/>
  <c r="C33" i="29"/>
  <c r="C14" i="29"/>
  <c r="C34" i="29"/>
  <c r="C30" i="29"/>
  <c r="C35" i="29"/>
  <c r="C26" i="29"/>
  <c r="C36" i="29"/>
  <c r="C22" i="29"/>
  <c r="C37" i="29"/>
  <c r="C2" i="29"/>
  <c r="C38" i="29"/>
  <c r="C11" i="29"/>
  <c r="C39" i="29"/>
  <c r="C4" i="29"/>
  <c r="C40" i="29"/>
  <c r="C8" i="29"/>
  <c r="C41" i="29"/>
  <c r="C19" i="29"/>
  <c r="C42" i="29"/>
  <c r="C28" i="29"/>
  <c r="C43" i="29"/>
  <c r="C15" i="29"/>
  <c r="C44" i="29"/>
  <c r="C31" i="29"/>
  <c r="D32" i="29"/>
  <c r="D33" i="29"/>
  <c r="D34" i="29"/>
  <c r="D35" i="29"/>
  <c r="D36" i="29"/>
  <c r="D37" i="29"/>
  <c r="D38" i="29"/>
  <c r="D39" i="29"/>
  <c r="D40" i="29"/>
  <c r="D41" i="29"/>
  <c r="D42" i="29"/>
  <c r="D43" i="29"/>
  <c r="D44" i="29"/>
  <c r="D31" i="29"/>
  <c r="EF76" i="38"/>
  <c r="BV76" i="38"/>
  <c r="EF75" i="38"/>
  <c r="BV75" i="38"/>
  <c r="EF74" i="38"/>
  <c r="BV74" i="38"/>
  <c r="EF73" i="38"/>
  <c r="BV73" i="38"/>
  <c r="EF72" i="38"/>
  <c r="BV72" i="38"/>
  <c r="CK72" i="38"/>
  <c r="EF71" i="38"/>
  <c r="BV71" i="38"/>
  <c r="EF70" i="38"/>
  <c r="BV70" i="38"/>
  <c r="EF69" i="38"/>
  <c r="BV69" i="38"/>
  <c r="EF68" i="38"/>
  <c r="BV68" i="38"/>
  <c r="EF67" i="38"/>
  <c r="BV67" i="38"/>
  <c r="EF66" i="38"/>
  <c r="BV66" i="38"/>
  <c r="CK66" i="38"/>
  <c r="EF65" i="38"/>
  <c r="BV65" i="38"/>
  <c r="CK65" i="38"/>
  <c r="EF64" i="38"/>
  <c r="BV64" i="38"/>
  <c r="EF62" i="38"/>
  <c r="BV62" i="38"/>
  <c r="EF61" i="38"/>
  <c r="BV61" i="38"/>
  <c r="EF60" i="38"/>
  <c r="BV60" i="38"/>
  <c r="EF59" i="38"/>
  <c r="BV59" i="38"/>
  <c r="CK59" i="38"/>
  <c r="EF58" i="38"/>
  <c r="BV58" i="38"/>
  <c r="CK58" i="38"/>
  <c r="EF57" i="38"/>
  <c r="BV57" i="38"/>
  <c r="EF56" i="38"/>
  <c r="BV56" i="38"/>
  <c r="EF55" i="38"/>
  <c r="BV55" i="38"/>
  <c r="EF54" i="38"/>
  <c r="BV54" i="38"/>
  <c r="EF53" i="38"/>
  <c r="BV53" i="38"/>
  <c r="CK53" i="38"/>
  <c r="EF52" i="38"/>
  <c r="BV52" i="38"/>
  <c r="BV49" i="38"/>
  <c r="BV50" i="38"/>
  <c r="BV51" i="38"/>
  <c r="CK48" i="38"/>
  <c r="EF51" i="38"/>
  <c r="EF50" i="38"/>
  <c r="EF49" i="38"/>
  <c r="EF47" i="38"/>
  <c r="BV47" i="38"/>
  <c r="EF46" i="38"/>
  <c r="BV46" i="38"/>
  <c r="EF44" i="38"/>
  <c r="BV44" i="38"/>
  <c r="CK44" i="38"/>
  <c r="EF43" i="38"/>
  <c r="BV43" i="38"/>
  <c r="EF42" i="38"/>
  <c r="BV42" i="38"/>
  <c r="EF41" i="38"/>
  <c r="BV41" i="38"/>
  <c r="EF40" i="38"/>
  <c r="BV40" i="38"/>
  <c r="EF39" i="38"/>
  <c r="BV39" i="38"/>
  <c r="CK39" i="38"/>
  <c r="EF38" i="38"/>
  <c r="BV38" i="38"/>
  <c r="CK38" i="38"/>
  <c r="EF37" i="38"/>
  <c r="BV37" i="38"/>
  <c r="EF36" i="38"/>
  <c r="BV36" i="38"/>
  <c r="EF35" i="38"/>
  <c r="BV35" i="38"/>
  <c r="EF34" i="38"/>
  <c r="BV34" i="38"/>
  <c r="EF33" i="38"/>
  <c r="BV33" i="38"/>
  <c r="EF32" i="38"/>
  <c r="BV32" i="38"/>
  <c r="CK31" i="38"/>
  <c r="EF30" i="38"/>
  <c r="BV30" i="38"/>
  <c r="EF29" i="38"/>
  <c r="BV29" i="38"/>
  <c r="EF28" i="38"/>
  <c r="BV28" i="38"/>
  <c r="EF27" i="38"/>
  <c r="BV27" i="38"/>
  <c r="EF26" i="38"/>
  <c r="BV26" i="38"/>
  <c r="EF25" i="38"/>
  <c r="BV25" i="38"/>
  <c r="EF24" i="38"/>
  <c r="BV24" i="38"/>
  <c r="EF23" i="38"/>
  <c r="BV23" i="38"/>
  <c r="EF22" i="38"/>
  <c r="BV22" i="38"/>
  <c r="EF21" i="38"/>
  <c r="BV21" i="38"/>
  <c r="EF20" i="38"/>
  <c r="BV20" i="38"/>
  <c r="EF19" i="38"/>
  <c r="BV19" i="38"/>
  <c r="EF18" i="38"/>
  <c r="BV18" i="38"/>
  <c r="EF17" i="38"/>
  <c r="BV17" i="38"/>
  <c r="EF16" i="38"/>
  <c r="BV16" i="38"/>
  <c r="EF15" i="38"/>
  <c r="BV15" i="38"/>
  <c r="EF14" i="38"/>
  <c r="BV14" i="38"/>
  <c r="EF13" i="38"/>
  <c r="BV13" i="38"/>
  <c r="EF12" i="38"/>
  <c r="BV12" i="38"/>
  <c r="EF11" i="38"/>
  <c r="BV11" i="38"/>
  <c r="EF10" i="38"/>
  <c r="BV10" i="38"/>
  <c r="EF9" i="38"/>
  <c r="BV9" i="38"/>
  <c r="EF8" i="38"/>
  <c r="BV8" i="38"/>
  <c r="EF7" i="38"/>
  <c r="BV7" i="38"/>
  <c r="EF6" i="38"/>
  <c r="BV6" i="38"/>
  <c r="EF5" i="38"/>
  <c r="BV5" i="38"/>
  <c r="EF4" i="38"/>
  <c r="BV4" i="38"/>
  <c r="EF3" i="38"/>
  <c r="BV3" i="38"/>
  <c r="EF2" i="38"/>
  <c r="BV2" i="38"/>
  <c r="P76" i="38"/>
  <c r="P75" i="38"/>
  <c r="P74" i="38"/>
  <c r="P73" i="38"/>
  <c r="P72" i="38"/>
  <c r="P71" i="38"/>
  <c r="P70" i="38"/>
  <c r="P69" i="38"/>
  <c r="P68" i="38"/>
  <c r="P67" i="38"/>
  <c r="P66" i="38"/>
  <c r="P65" i="38"/>
  <c r="AB65" i="38"/>
  <c r="P64" i="38"/>
  <c r="P62" i="38"/>
  <c r="P61" i="38"/>
  <c r="P60" i="38"/>
  <c r="P59" i="38"/>
  <c r="P58" i="38"/>
  <c r="P57" i="38"/>
  <c r="P56" i="38"/>
  <c r="P55" i="38"/>
  <c r="P54" i="38"/>
  <c r="P53" i="38"/>
  <c r="P52" i="38"/>
  <c r="P49" i="38"/>
  <c r="P50" i="38"/>
  <c r="P51" i="38"/>
  <c r="AB48" i="38"/>
  <c r="P47" i="38"/>
  <c r="P46" i="38"/>
  <c r="P44" i="38"/>
  <c r="P43" i="38"/>
  <c r="P42" i="38"/>
  <c r="P41" i="38"/>
  <c r="P40" i="38"/>
  <c r="P39" i="38"/>
  <c r="P38" i="38"/>
  <c r="AB38" i="38"/>
  <c r="P37" i="38"/>
  <c r="P36" i="38"/>
  <c r="P35" i="38"/>
  <c r="P34" i="38"/>
  <c r="P33" i="38"/>
  <c r="P32" i="38"/>
  <c r="P30" i="38"/>
  <c r="P29" i="38"/>
  <c r="P28" i="38"/>
  <c r="P27" i="38"/>
  <c r="P26" i="38"/>
  <c r="P25" i="38"/>
  <c r="P24" i="38"/>
  <c r="P23" i="38"/>
  <c r="P22" i="38"/>
  <c r="P21" i="38"/>
  <c r="P20" i="38"/>
  <c r="P19" i="38"/>
  <c r="P18" i="38"/>
  <c r="P17" i="38"/>
  <c r="P16" i="38"/>
  <c r="P15" i="38"/>
  <c r="P14" i="38"/>
  <c r="P13" i="38"/>
  <c r="P12" i="38"/>
  <c r="P11" i="38"/>
  <c r="P10" i="38"/>
  <c r="D10" i="38"/>
  <c r="D46" i="38"/>
  <c r="P9" i="38"/>
  <c r="P8" i="38"/>
  <c r="P7" i="38"/>
  <c r="P6" i="38"/>
  <c r="D6" i="38"/>
  <c r="P5" i="38"/>
  <c r="P4" i="38"/>
  <c r="P3" i="38"/>
  <c r="P2" i="38"/>
  <c r="FL27" i="38"/>
  <c r="FL76" i="38"/>
  <c r="FK27" i="38"/>
  <c r="FK76" i="38"/>
  <c r="EE27" i="38"/>
  <c r="EE76" i="38"/>
  <c r="EC27" i="38"/>
  <c r="EC76" i="38"/>
  <c r="BT27" i="38"/>
  <c r="BT76" i="38"/>
  <c r="BS27" i="38"/>
  <c r="BS76" i="38"/>
  <c r="AA27" i="38"/>
  <c r="AA76" i="38"/>
  <c r="Z27" i="38"/>
  <c r="Z76" i="38"/>
  <c r="Y27" i="38"/>
  <c r="Y76" i="38"/>
  <c r="X27" i="38"/>
  <c r="X76" i="38"/>
  <c r="W27" i="38"/>
  <c r="W76" i="38"/>
  <c r="V27" i="38"/>
  <c r="V76" i="38"/>
  <c r="U27" i="38"/>
  <c r="U76" i="38"/>
  <c r="T27" i="38"/>
  <c r="T76" i="38"/>
  <c r="S27" i="38"/>
  <c r="S76" i="38"/>
  <c r="R27" i="38"/>
  <c r="R76" i="38"/>
  <c r="Q27" i="38"/>
  <c r="Q76" i="38"/>
  <c r="FL18" i="38"/>
  <c r="FL75" i="38"/>
  <c r="FK18" i="38"/>
  <c r="FK75" i="38"/>
  <c r="EE18" i="38"/>
  <c r="EE75" i="38"/>
  <c r="EC18" i="38"/>
  <c r="EC75" i="38"/>
  <c r="BT18" i="38"/>
  <c r="BT75" i="38"/>
  <c r="BS18" i="38"/>
  <c r="BS75" i="38"/>
  <c r="AA18" i="38"/>
  <c r="AA75" i="38"/>
  <c r="Z18" i="38"/>
  <c r="Z75" i="38"/>
  <c r="Y18" i="38"/>
  <c r="Y75" i="38"/>
  <c r="X18" i="38"/>
  <c r="X75" i="38"/>
  <c r="W18" i="38"/>
  <c r="W75" i="38"/>
  <c r="V18" i="38"/>
  <c r="V75" i="38"/>
  <c r="U18" i="38"/>
  <c r="U75" i="38"/>
  <c r="T18" i="38"/>
  <c r="T75" i="38"/>
  <c r="S18" i="38"/>
  <c r="S75" i="38"/>
  <c r="R18" i="38"/>
  <c r="R75" i="38"/>
  <c r="Q18" i="38"/>
  <c r="Q75" i="38"/>
  <c r="FL12" i="38"/>
  <c r="FL74" i="38"/>
  <c r="FK12" i="38"/>
  <c r="FK74" i="38"/>
  <c r="EE12" i="38"/>
  <c r="EE74" i="38"/>
  <c r="EC12" i="38"/>
  <c r="EC74" i="38"/>
  <c r="BT12" i="38"/>
  <c r="BT74" i="38"/>
  <c r="BS12" i="38"/>
  <c r="BS74" i="38"/>
  <c r="AA12" i="38"/>
  <c r="AA74" i="38"/>
  <c r="Z12" i="38"/>
  <c r="Z74" i="38"/>
  <c r="Y12" i="38"/>
  <c r="Y74" i="38"/>
  <c r="X12" i="38"/>
  <c r="X74" i="38"/>
  <c r="W12" i="38"/>
  <c r="W74" i="38"/>
  <c r="V12" i="38"/>
  <c r="V74" i="38"/>
  <c r="U12" i="38"/>
  <c r="U74" i="38"/>
  <c r="T12" i="38"/>
  <c r="T74" i="38"/>
  <c r="S12" i="38"/>
  <c r="S74" i="38"/>
  <c r="R12" i="38"/>
  <c r="R74" i="38"/>
  <c r="Q12" i="38"/>
  <c r="Q74" i="38"/>
  <c r="FL7" i="38"/>
  <c r="FL73" i="38"/>
  <c r="FK7" i="38"/>
  <c r="FK73" i="38"/>
  <c r="EE7" i="38"/>
  <c r="EE73" i="38"/>
  <c r="EC7" i="38"/>
  <c r="EC73" i="38"/>
  <c r="BT7" i="38"/>
  <c r="BT73" i="38"/>
  <c r="BS7" i="38"/>
  <c r="BS73" i="38"/>
  <c r="AA7" i="38"/>
  <c r="AA73" i="38"/>
  <c r="Z7" i="38"/>
  <c r="Z73" i="38"/>
  <c r="Y7" i="38"/>
  <c r="Y73" i="38"/>
  <c r="X7" i="38"/>
  <c r="X73" i="38"/>
  <c r="W7" i="38"/>
  <c r="W73" i="38"/>
  <c r="V7" i="38"/>
  <c r="V73" i="38"/>
  <c r="U7" i="38"/>
  <c r="U73" i="38"/>
  <c r="T7" i="38"/>
  <c r="T73" i="38"/>
  <c r="S7" i="38"/>
  <c r="S73" i="38"/>
  <c r="R7" i="38"/>
  <c r="R73" i="38"/>
  <c r="Q7" i="38"/>
  <c r="Q73" i="38"/>
  <c r="FL16" i="38"/>
  <c r="FL72" i="38"/>
  <c r="FK16" i="38"/>
  <c r="FK72" i="38"/>
  <c r="EE16" i="38"/>
  <c r="EE72" i="38"/>
  <c r="EC16" i="38"/>
  <c r="EC72" i="38"/>
  <c r="BT16" i="38"/>
  <c r="BT72" i="38"/>
  <c r="BS16" i="38"/>
  <c r="BS72" i="38"/>
  <c r="AA16" i="38"/>
  <c r="AA72" i="38"/>
  <c r="Z16" i="38"/>
  <c r="Z72" i="38"/>
  <c r="Y16" i="38"/>
  <c r="Y72" i="38"/>
  <c r="X16" i="38"/>
  <c r="X72" i="38"/>
  <c r="W16" i="38"/>
  <c r="W72" i="38"/>
  <c r="V16" i="38"/>
  <c r="V72" i="38"/>
  <c r="U16" i="38"/>
  <c r="U72" i="38"/>
  <c r="T16" i="38"/>
  <c r="T72" i="38"/>
  <c r="S16" i="38"/>
  <c r="S72" i="38"/>
  <c r="R16" i="38"/>
  <c r="R72" i="38"/>
  <c r="Q16" i="38"/>
  <c r="Q72" i="38"/>
  <c r="FL29" i="38"/>
  <c r="FL71" i="38"/>
  <c r="FK29" i="38"/>
  <c r="FK71" i="38"/>
  <c r="EE29" i="38"/>
  <c r="EE71" i="38"/>
  <c r="EC29" i="38"/>
  <c r="EC71" i="38"/>
  <c r="BT29" i="38"/>
  <c r="BT71" i="38"/>
  <c r="BS29" i="38"/>
  <c r="BS71" i="38"/>
  <c r="AA29" i="38"/>
  <c r="AA71" i="38"/>
  <c r="Z29" i="38"/>
  <c r="Z71" i="38"/>
  <c r="Y29" i="38"/>
  <c r="Y71" i="38"/>
  <c r="X29" i="38"/>
  <c r="X71" i="38"/>
  <c r="W29" i="38"/>
  <c r="W71" i="38"/>
  <c r="V29" i="38"/>
  <c r="V71" i="38"/>
  <c r="U29" i="38"/>
  <c r="U71" i="38"/>
  <c r="T29" i="38"/>
  <c r="T71" i="38"/>
  <c r="S29" i="38"/>
  <c r="S71" i="38"/>
  <c r="R29" i="38"/>
  <c r="R71" i="38"/>
  <c r="Q29" i="38"/>
  <c r="Q71" i="38"/>
  <c r="FL20" i="38"/>
  <c r="FL70" i="38"/>
  <c r="FK20" i="38"/>
  <c r="FK70" i="38"/>
  <c r="EE20" i="38"/>
  <c r="EE70" i="38"/>
  <c r="EC20" i="38"/>
  <c r="EC70" i="38"/>
  <c r="BT20" i="38"/>
  <c r="BT70" i="38"/>
  <c r="BS20" i="38"/>
  <c r="BS70" i="38"/>
  <c r="AA20" i="38"/>
  <c r="AA70" i="38"/>
  <c r="Z20" i="38"/>
  <c r="Z70" i="38"/>
  <c r="Y20" i="38"/>
  <c r="Y70" i="38"/>
  <c r="X20" i="38"/>
  <c r="X70" i="38"/>
  <c r="W20" i="38"/>
  <c r="W70" i="38"/>
  <c r="V20" i="38"/>
  <c r="V70" i="38"/>
  <c r="U20" i="38"/>
  <c r="U70" i="38"/>
  <c r="T20" i="38"/>
  <c r="T70" i="38"/>
  <c r="S20" i="38"/>
  <c r="S70" i="38"/>
  <c r="R20" i="38"/>
  <c r="R70" i="38"/>
  <c r="Q20" i="38"/>
  <c r="Q70" i="38"/>
  <c r="FL24" i="38"/>
  <c r="FL69" i="38"/>
  <c r="FK24" i="38"/>
  <c r="FK69" i="38"/>
  <c r="EE24" i="38"/>
  <c r="EE69" i="38"/>
  <c r="EC24" i="38"/>
  <c r="EC69" i="38"/>
  <c r="BT24" i="38"/>
  <c r="BT69" i="38"/>
  <c r="BS24" i="38"/>
  <c r="BS69" i="38"/>
  <c r="AA24" i="38"/>
  <c r="AA69" i="38"/>
  <c r="Z24" i="38"/>
  <c r="Z69" i="38"/>
  <c r="Y24" i="38"/>
  <c r="Y69" i="38"/>
  <c r="X24" i="38"/>
  <c r="X69" i="38"/>
  <c r="W24" i="38"/>
  <c r="W69" i="38"/>
  <c r="V24" i="38"/>
  <c r="V69" i="38"/>
  <c r="U24" i="38"/>
  <c r="U69" i="38"/>
  <c r="T24" i="38"/>
  <c r="T69" i="38"/>
  <c r="S24" i="38"/>
  <c r="S69" i="38"/>
  <c r="R24" i="38"/>
  <c r="R69" i="38"/>
  <c r="Q24" i="38"/>
  <c r="Q69" i="38"/>
  <c r="FL9" i="38"/>
  <c r="FL68" i="38"/>
  <c r="FK9" i="38"/>
  <c r="FK68" i="38"/>
  <c r="EE9" i="38"/>
  <c r="EE68" i="38"/>
  <c r="EC9" i="38"/>
  <c r="EC68" i="38"/>
  <c r="BT9" i="38"/>
  <c r="BT68" i="38"/>
  <c r="BS9" i="38"/>
  <c r="BS68" i="38"/>
  <c r="AA9" i="38"/>
  <c r="AA68" i="38"/>
  <c r="Z9" i="38"/>
  <c r="Z68" i="38"/>
  <c r="Y9" i="38"/>
  <c r="Y68" i="38"/>
  <c r="X9" i="38"/>
  <c r="X68" i="38"/>
  <c r="W9" i="38"/>
  <c r="W68" i="38"/>
  <c r="V9" i="38"/>
  <c r="V68" i="38"/>
  <c r="U9" i="38"/>
  <c r="U68" i="38"/>
  <c r="T9" i="38"/>
  <c r="T68" i="38"/>
  <c r="S9" i="38"/>
  <c r="S68" i="38"/>
  <c r="R9" i="38"/>
  <c r="R68" i="38"/>
  <c r="Q9" i="38"/>
  <c r="Q68" i="38"/>
  <c r="FL5" i="38"/>
  <c r="FL67" i="38"/>
  <c r="FK5" i="38"/>
  <c r="FK67" i="38"/>
  <c r="EE5" i="38"/>
  <c r="EE67" i="38"/>
  <c r="EC5" i="38"/>
  <c r="EC67" i="38"/>
  <c r="BT5" i="38"/>
  <c r="BT67" i="38"/>
  <c r="BS5" i="38"/>
  <c r="BS67" i="38"/>
  <c r="AA5" i="38"/>
  <c r="AA67" i="38"/>
  <c r="Z5" i="38"/>
  <c r="Z67" i="38"/>
  <c r="Y5" i="38"/>
  <c r="Y67" i="38"/>
  <c r="X5" i="38"/>
  <c r="X67" i="38"/>
  <c r="W5" i="38"/>
  <c r="W67" i="38"/>
  <c r="V5" i="38"/>
  <c r="V67" i="38"/>
  <c r="U5" i="38"/>
  <c r="U67" i="38"/>
  <c r="T5" i="38"/>
  <c r="T67" i="38"/>
  <c r="S5" i="38"/>
  <c r="S67" i="38"/>
  <c r="R5" i="38"/>
  <c r="R67" i="38"/>
  <c r="Q5" i="38"/>
  <c r="Q67" i="38"/>
  <c r="FL17" i="38"/>
  <c r="FL66" i="38"/>
  <c r="FK17" i="38"/>
  <c r="FK66" i="38"/>
  <c r="EE17" i="38"/>
  <c r="EE66" i="38"/>
  <c r="EC17" i="38"/>
  <c r="EC66" i="38"/>
  <c r="BT17" i="38"/>
  <c r="BT66" i="38"/>
  <c r="BS17" i="38"/>
  <c r="BS66" i="38"/>
  <c r="AA17" i="38"/>
  <c r="AA66" i="38"/>
  <c r="Z17" i="38"/>
  <c r="Z66" i="38"/>
  <c r="Y17" i="38"/>
  <c r="Y66" i="38"/>
  <c r="X17" i="38"/>
  <c r="X66" i="38"/>
  <c r="W17" i="38"/>
  <c r="W66" i="38"/>
  <c r="V17" i="38"/>
  <c r="V66" i="38"/>
  <c r="U17" i="38"/>
  <c r="U66" i="38"/>
  <c r="T17" i="38"/>
  <c r="T66" i="38"/>
  <c r="S17" i="38"/>
  <c r="S66" i="38"/>
  <c r="R17" i="38"/>
  <c r="R66" i="38"/>
  <c r="Q17" i="38"/>
  <c r="Q66" i="38"/>
  <c r="FL21" i="38"/>
  <c r="FL65" i="38"/>
  <c r="FK21" i="38"/>
  <c r="FK65" i="38"/>
  <c r="EE21" i="38"/>
  <c r="EE65" i="38"/>
  <c r="EC21" i="38"/>
  <c r="EC65" i="38"/>
  <c r="BT21" i="38"/>
  <c r="BT65" i="38"/>
  <c r="BS21" i="38"/>
  <c r="BS65" i="38"/>
  <c r="AA21" i="38"/>
  <c r="AA65" i="38"/>
  <c r="Z21" i="38"/>
  <c r="Z65" i="38"/>
  <c r="Y21" i="38"/>
  <c r="Y65" i="38"/>
  <c r="X21" i="38"/>
  <c r="X65" i="38"/>
  <c r="W21" i="38"/>
  <c r="W65" i="38"/>
  <c r="V21" i="38"/>
  <c r="V65" i="38"/>
  <c r="U21" i="38"/>
  <c r="U65" i="38"/>
  <c r="T21" i="38"/>
  <c r="T65" i="38"/>
  <c r="S21" i="38"/>
  <c r="S65" i="38"/>
  <c r="R21" i="38"/>
  <c r="R65" i="38"/>
  <c r="Q21" i="38"/>
  <c r="Q65" i="38"/>
  <c r="FL25" i="38"/>
  <c r="FL64" i="38"/>
  <c r="FK25" i="38"/>
  <c r="FK64" i="38"/>
  <c r="EE25" i="38"/>
  <c r="EE64" i="38"/>
  <c r="EC25" i="38"/>
  <c r="EC64" i="38"/>
  <c r="BT25" i="38"/>
  <c r="BT64" i="38"/>
  <c r="BS25" i="38"/>
  <c r="BS64" i="38"/>
  <c r="AA25" i="38"/>
  <c r="AA64" i="38"/>
  <c r="Z25" i="38"/>
  <c r="Z64" i="38"/>
  <c r="Y25" i="38"/>
  <c r="Y64" i="38"/>
  <c r="X25" i="38"/>
  <c r="X64" i="38"/>
  <c r="W25" i="38"/>
  <c r="W64" i="38"/>
  <c r="V25" i="38"/>
  <c r="V64" i="38"/>
  <c r="U25" i="38"/>
  <c r="U64" i="38"/>
  <c r="T25" i="38"/>
  <c r="T64" i="38"/>
  <c r="S25" i="38"/>
  <c r="S64" i="38"/>
  <c r="R25" i="38"/>
  <c r="R64" i="38"/>
  <c r="Q25" i="38"/>
  <c r="Q64" i="38"/>
  <c r="FL62" i="38"/>
  <c r="FK62" i="38"/>
  <c r="EE62" i="38"/>
  <c r="EC62" i="38"/>
  <c r="BT62" i="38"/>
  <c r="BS62" i="38"/>
  <c r="AA62" i="38"/>
  <c r="Z62" i="38"/>
  <c r="Y62" i="38"/>
  <c r="X62" i="38"/>
  <c r="W62" i="38"/>
  <c r="V62" i="38"/>
  <c r="U62" i="38"/>
  <c r="T62" i="38"/>
  <c r="S62" i="38"/>
  <c r="R62" i="38"/>
  <c r="Q62" i="38"/>
  <c r="FL61" i="38"/>
  <c r="FK61" i="38"/>
  <c r="EE61" i="38"/>
  <c r="EC61" i="38"/>
  <c r="BT61" i="38"/>
  <c r="BS61" i="38"/>
  <c r="AA61" i="38"/>
  <c r="Z61" i="38"/>
  <c r="Y61" i="38"/>
  <c r="X61" i="38"/>
  <c r="W61" i="38"/>
  <c r="V61" i="38"/>
  <c r="U61" i="38"/>
  <c r="T61" i="38"/>
  <c r="S61" i="38"/>
  <c r="R61" i="38"/>
  <c r="Q61" i="38"/>
  <c r="FL60" i="38"/>
  <c r="FK60" i="38"/>
  <c r="EE60" i="38"/>
  <c r="EC60" i="38"/>
  <c r="BT60" i="38"/>
  <c r="BS60" i="38"/>
  <c r="AA60" i="38"/>
  <c r="Z60" i="38"/>
  <c r="Y60" i="38"/>
  <c r="X60" i="38"/>
  <c r="W60" i="38"/>
  <c r="V60" i="38"/>
  <c r="U60" i="38"/>
  <c r="T60" i="38"/>
  <c r="S60" i="38"/>
  <c r="R60" i="38"/>
  <c r="Q60" i="38"/>
  <c r="FL59" i="38"/>
  <c r="FK59" i="38"/>
  <c r="EE59" i="38"/>
  <c r="EC59" i="38"/>
  <c r="BT59" i="38"/>
  <c r="BS59" i="38"/>
  <c r="AA59" i="38"/>
  <c r="Z59" i="38"/>
  <c r="Y59" i="38"/>
  <c r="X59" i="38"/>
  <c r="W59" i="38"/>
  <c r="V59" i="38"/>
  <c r="U59" i="38"/>
  <c r="T59" i="38"/>
  <c r="S59" i="38"/>
  <c r="R59" i="38"/>
  <c r="Q59" i="38"/>
  <c r="FL58" i="38"/>
  <c r="FK58" i="38"/>
  <c r="EE58" i="38"/>
  <c r="EC58" i="38"/>
  <c r="BT58" i="38"/>
  <c r="BS58" i="38"/>
  <c r="AA58" i="38"/>
  <c r="Z58" i="38"/>
  <c r="Y58" i="38"/>
  <c r="X58" i="38"/>
  <c r="W58" i="38"/>
  <c r="V58" i="38"/>
  <c r="U58" i="38"/>
  <c r="T58" i="38"/>
  <c r="S58" i="38"/>
  <c r="R58" i="38"/>
  <c r="Q58" i="38"/>
  <c r="FL57" i="38"/>
  <c r="FK57" i="38"/>
  <c r="EE57" i="38"/>
  <c r="EC57" i="38"/>
  <c r="BT57" i="38"/>
  <c r="BS57" i="38"/>
  <c r="AA57" i="38"/>
  <c r="Z57" i="38"/>
  <c r="Y57" i="38"/>
  <c r="X57" i="38"/>
  <c r="W57" i="38"/>
  <c r="V57" i="38"/>
  <c r="U57" i="38"/>
  <c r="T57" i="38"/>
  <c r="S57" i="38"/>
  <c r="R57" i="38"/>
  <c r="Q57" i="38"/>
  <c r="FL56" i="38"/>
  <c r="FK56" i="38"/>
  <c r="EE56" i="38"/>
  <c r="EC56" i="38"/>
  <c r="BT56" i="38"/>
  <c r="BS56" i="38"/>
  <c r="AA56" i="38"/>
  <c r="Z56" i="38"/>
  <c r="Y56" i="38"/>
  <c r="X56" i="38"/>
  <c r="W56" i="38"/>
  <c r="V56" i="38"/>
  <c r="U56" i="38"/>
  <c r="T56" i="38"/>
  <c r="S56" i="38"/>
  <c r="R56" i="38"/>
  <c r="Q56" i="38"/>
  <c r="FL55" i="38"/>
  <c r="FK55" i="38"/>
  <c r="EE55" i="38"/>
  <c r="EC55" i="38"/>
  <c r="BT55" i="38"/>
  <c r="BS55" i="38"/>
  <c r="AA55" i="38"/>
  <c r="Z55" i="38"/>
  <c r="Y55" i="38"/>
  <c r="X55" i="38"/>
  <c r="W55" i="38"/>
  <c r="V55" i="38"/>
  <c r="U55" i="38"/>
  <c r="T55" i="38"/>
  <c r="S55" i="38"/>
  <c r="R55" i="38"/>
  <c r="Q55" i="38"/>
  <c r="FL54" i="38"/>
  <c r="FK54" i="38"/>
  <c r="EE54" i="38"/>
  <c r="EC54" i="38"/>
  <c r="BT54" i="38"/>
  <c r="BS54" i="38"/>
  <c r="AA54" i="38"/>
  <c r="Z54" i="38"/>
  <c r="Y54" i="38"/>
  <c r="X54" i="38"/>
  <c r="W54" i="38"/>
  <c r="V54" i="38"/>
  <c r="U54" i="38"/>
  <c r="T54" i="38"/>
  <c r="S54" i="38"/>
  <c r="R54" i="38"/>
  <c r="Q54" i="38"/>
  <c r="FL53" i="38"/>
  <c r="FK53" i="38"/>
  <c r="EE53" i="38"/>
  <c r="EC53" i="38"/>
  <c r="BT53" i="38"/>
  <c r="BS53" i="38"/>
  <c r="AA53" i="38"/>
  <c r="Z53" i="38"/>
  <c r="Y53" i="38"/>
  <c r="X53" i="38"/>
  <c r="W53" i="38"/>
  <c r="V53" i="38"/>
  <c r="U53" i="38"/>
  <c r="T53" i="38"/>
  <c r="S53" i="38"/>
  <c r="R53" i="38"/>
  <c r="Q53" i="38"/>
  <c r="FL52" i="38"/>
  <c r="FK52" i="38"/>
  <c r="EE52" i="38"/>
  <c r="EC52" i="38"/>
  <c r="BT52" i="38"/>
  <c r="BS52" i="38"/>
  <c r="AA52" i="38"/>
  <c r="Z52" i="38"/>
  <c r="Y52" i="38"/>
  <c r="X52" i="38"/>
  <c r="W52" i="38"/>
  <c r="V52" i="38"/>
  <c r="U52" i="38"/>
  <c r="T52" i="38"/>
  <c r="S52" i="38"/>
  <c r="R52" i="38"/>
  <c r="Q52" i="38"/>
  <c r="FL51" i="38"/>
  <c r="FK51" i="38"/>
  <c r="EE51" i="38"/>
  <c r="EC51" i="38"/>
  <c r="BT51" i="38"/>
  <c r="BS51" i="38"/>
  <c r="AA51" i="38"/>
  <c r="Z51" i="38"/>
  <c r="Y51" i="38"/>
  <c r="X51" i="38"/>
  <c r="W51" i="38"/>
  <c r="V51" i="38"/>
  <c r="U51" i="38"/>
  <c r="T51" i="38"/>
  <c r="S51" i="38"/>
  <c r="R51" i="38"/>
  <c r="Q51" i="38"/>
  <c r="FL50" i="38"/>
  <c r="FK50" i="38"/>
  <c r="EE50" i="38"/>
  <c r="EC50" i="38"/>
  <c r="BT50" i="38"/>
  <c r="BS50" i="38"/>
  <c r="AA50" i="38"/>
  <c r="Z50" i="38"/>
  <c r="Y50" i="38"/>
  <c r="X50" i="38"/>
  <c r="W50" i="38"/>
  <c r="V50" i="38"/>
  <c r="U50" i="38"/>
  <c r="T50" i="38"/>
  <c r="S50" i="38"/>
  <c r="R50" i="38"/>
  <c r="Q50" i="38"/>
  <c r="FL23" i="38"/>
  <c r="FL49" i="38"/>
  <c r="FK23" i="38"/>
  <c r="FK49" i="38"/>
  <c r="EE23" i="38"/>
  <c r="EE49" i="38"/>
  <c r="EC23" i="38"/>
  <c r="EC49" i="38"/>
  <c r="BT23" i="38"/>
  <c r="BT49" i="38"/>
  <c r="BS23" i="38"/>
  <c r="BS49" i="38"/>
  <c r="AA23" i="38"/>
  <c r="AA49" i="38"/>
  <c r="Z23" i="38"/>
  <c r="Z49" i="38"/>
  <c r="Y23" i="38"/>
  <c r="Y49" i="38"/>
  <c r="X23" i="38"/>
  <c r="X49" i="38"/>
  <c r="W23" i="38"/>
  <c r="W49" i="38"/>
  <c r="V23" i="38"/>
  <c r="V49" i="38"/>
  <c r="U23" i="38"/>
  <c r="U49" i="38"/>
  <c r="T23" i="38"/>
  <c r="T49" i="38"/>
  <c r="S23" i="38"/>
  <c r="S49" i="38"/>
  <c r="R23" i="38"/>
  <c r="R49" i="38"/>
  <c r="Q23" i="38"/>
  <c r="Q49" i="38"/>
  <c r="FL6" i="38"/>
  <c r="FL47" i="38"/>
  <c r="FK6" i="38"/>
  <c r="FK47" i="38"/>
  <c r="EE6" i="38"/>
  <c r="EE47" i="38"/>
  <c r="ED47" i="38"/>
  <c r="EC6" i="38"/>
  <c r="EC47" i="38"/>
  <c r="BT6" i="38"/>
  <c r="BT47" i="38"/>
  <c r="BS6" i="38"/>
  <c r="BS47" i="38"/>
  <c r="AA6" i="38"/>
  <c r="AA47" i="38"/>
  <c r="Z6" i="38"/>
  <c r="Z47" i="38"/>
  <c r="Y6" i="38"/>
  <c r="Y47" i="38"/>
  <c r="X6" i="38"/>
  <c r="X47" i="38"/>
  <c r="W6" i="38"/>
  <c r="W47" i="38"/>
  <c r="V6" i="38"/>
  <c r="V47" i="38"/>
  <c r="U6" i="38"/>
  <c r="U47" i="38"/>
  <c r="T6" i="38"/>
  <c r="T47" i="38"/>
  <c r="S6" i="38"/>
  <c r="S47" i="38"/>
  <c r="R6" i="38"/>
  <c r="R47" i="38"/>
  <c r="Q6" i="38"/>
  <c r="Q47" i="38"/>
  <c r="FL10" i="38"/>
  <c r="FL46" i="38"/>
  <c r="FK10" i="38"/>
  <c r="FK46" i="38"/>
  <c r="EE10" i="38"/>
  <c r="EE46" i="38"/>
  <c r="ED46" i="38"/>
  <c r="EC10" i="38"/>
  <c r="EC46" i="38"/>
  <c r="BT10" i="38"/>
  <c r="BT46" i="38"/>
  <c r="BS10" i="38"/>
  <c r="BS46" i="38"/>
  <c r="AA10" i="38"/>
  <c r="AA46" i="38"/>
  <c r="Z10" i="38"/>
  <c r="Z46" i="38"/>
  <c r="Y10" i="38"/>
  <c r="Y46" i="38"/>
  <c r="X10" i="38"/>
  <c r="X46" i="38"/>
  <c r="W10" i="38"/>
  <c r="W46" i="38"/>
  <c r="V10" i="38"/>
  <c r="V46" i="38"/>
  <c r="U10" i="38"/>
  <c r="U46" i="38"/>
  <c r="T10" i="38"/>
  <c r="T46" i="38"/>
  <c r="S10" i="38"/>
  <c r="S46" i="38"/>
  <c r="R10" i="38"/>
  <c r="R46" i="38"/>
  <c r="Q10" i="38"/>
  <c r="Q46" i="38"/>
  <c r="FL15" i="38"/>
  <c r="FL44" i="38"/>
  <c r="FK15" i="38"/>
  <c r="FK44" i="38"/>
  <c r="EE15" i="38"/>
  <c r="EE44" i="38"/>
  <c r="ED44" i="38"/>
  <c r="EC15" i="38"/>
  <c r="EC44" i="38"/>
  <c r="BT15" i="38"/>
  <c r="BT44" i="38"/>
  <c r="BS15" i="38"/>
  <c r="BS44" i="38"/>
  <c r="AA15" i="38"/>
  <c r="AA44" i="38"/>
  <c r="Z15" i="38"/>
  <c r="Z44" i="38"/>
  <c r="Y15" i="38"/>
  <c r="Y44" i="38"/>
  <c r="X15" i="38"/>
  <c r="X44" i="38"/>
  <c r="W15" i="38"/>
  <c r="W44" i="38"/>
  <c r="V15" i="38"/>
  <c r="V44" i="38"/>
  <c r="U15" i="38"/>
  <c r="U44" i="38"/>
  <c r="T15" i="38"/>
  <c r="T44" i="38"/>
  <c r="S15" i="38"/>
  <c r="S44" i="38"/>
  <c r="R15" i="38"/>
  <c r="R44" i="38"/>
  <c r="Q15" i="38"/>
  <c r="Q44" i="38"/>
  <c r="FL28" i="38"/>
  <c r="FL43" i="38"/>
  <c r="FK28" i="38"/>
  <c r="FK43" i="38"/>
  <c r="EE28" i="38"/>
  <c r="EE43" i="38"/>
  <c r="ED43" i="38"/>
  <c r="EC28" i="38"/>
  <c r="EC43" i="38"/>
  <c r="BT28" i="38"/>
  <c r="BT43" i="38"/>
  <c r="BS28" i="38"/>
  <c r="BS43" i="38"/>
  <c r="AA28" i="38"/>
  <c r="AA43" i="38"/>
  <c r="Z28" i="38"/>
  <c r="Z43" i="38"/>
  <c r="Y28" i="38"/>
  <c r="Y43" i="38"/>
  <c r="X28" i="38"/>
  <c r="X43" i="38"/>
  <c r="W28" i="38"/>
  <c r="W43" i="38"/>
  <c r="V28" i="38"/>
  <c r="V43" i="38"/>
  <c r="U28" i="38"/>
  <c r="U43" i="38"/>
  <c r="T28" i="38"/>
  <c r="T43" i="38"/>
  <c r="S28" i="38"/>
  <c r="S43" i="38"/>
  <c r="R28" i="38"/>
  <c r="R43" i="38"/>
  <c r="Q28" i="38"/>
  <c r="Q43" i="38"/>
  <c r="FL19" i="38"/>
  <c r="FL42" i="38"/>
  <c r="FK19" i="38"/>
  <c r="FK42" i="38"/>
  <c r="EE19" i="38"/>
  <c r="EE42" i="38"/>
  <c r="ED42" i="38"/>
  <c r="EC19" i="38"/>
  <c r="EC42" i="38"/>
  <c r="BT19" i="38"/>
  <c r="BT42" i="38"/>
  <c r="BS19" i="38"/>
  <c r="BS42" i="38"/>
  <c r="AA19" i="38"/>
  <c r="AA42" i="38"/>
  <c r="Z19" i="38"/>
  <c r="Z42" i="38"/>
  <c r="Y19" i="38"/>
  <c r="Y42" i="38"/>
  <c r="X19" i="38"/>
  <c r="X42" i="38"/>
  <c r="W19" i="38"/>
  <c r="W42" i="38"/>
  <c r="V19" i="38"/>
  <c r="V42" i="38"/>
  <c r="U19" i="38"/>
  <c r="U42" i="38"/>
  <c r="T19" i="38"/>
  <c r="T42" i="38"/>
  <c r="S19" i="38"/>
  <c r="S42" i="38"/>
  <c r="R19" i="38"/>
  <c r="R42" i="38"/>
  <c r="Q19" i="38"/>
  <c r="Q42" i="38"/>
  <c r="FL8" i="38"/>
  <c r="FL41" i="38"/>
  <c r="FK8" i="38"/>
  <c r="FK41" i="38"/>
  <c r="EE8" i="38"/>
  <c r="EE41" i="38"/>
  <c r="ED41" i="38"/>
  <c r="EC8" i="38"/>
  <c r="EC41" i="38"/>
  <c r="BT8" i="38"/>
  <c r="BT41" i="38"/>
  <c r="BS8" i="38"/>
  <c r="BS41" i="38"/>
  <c r="AA8" i="38"/>
  <c r="AA41" i="38"/>
  <c r="Z8" i="38"/>
  <c r="Z41" i="38"/>
  <c r="Y8" i="38"/>
  <c r="Y41" i="38"/>
  <c r="X8" i="38"/>
  <c r="X41" i="38"/>
  <c r="W8" i="38"/>
  <c r="W41" i="38"/>
  <c r="V8" i="38"/>
  <c r="V41" i="38"/>
  <c r="U8" i="38"/>
  <c r="U41" i="38"/>
  <c r="T8" i="38"/>
  <c r="T41" i="38"/>
  <c r="S8" i="38"/>
  <c r="S41" i="38"/>
  <c r="R8" i="38"/>
  <c r="R41" i="38"/>
  <c r="Q8" i="38"/>
  <c r="Q41" i="38"/>
  <c r="FL4" i="38"/>
  <c r="FL40" i="38"/>
  <c r="FK4" i="38"/>
  <c r="FK40" i="38"/>
  <c r="EK4" i="38"/>
  <c r="EK40" i="38"/>
  <c r="EE4" i="38"/>
  <c r="EE40" i="38"/>
  <c r="ED40" i="38"/>
  <c r="EC4" i="38"/>
  <c r="EC40" i="38"/>
  <c r="BW4" i="38"/>
  <c r="BW40" i="38"/>
  <c r="BT4" i="38"/>
  <c r="BT40" i="38"/>
  <c r="BS4" i="38"/>
  <c r="BS40" i="38"/>
  <c r="AA4" i="38"/>
  <c r="AA40" i="38"/>
  <c r="Z4" i="38"/>
  <c r="Z40" i="38"/>
  <c r="Y4" i="38"/>
  <c r="Y40" i="38"/>
  <c r="X4" i="38"/>
  <c r="X40" i="38"/>
  <c r="W4" i="38"/>
  <c r="W40" i="38"/>
  <c r="V4" i="38"/>
  <c r="V40" i="38"/>
  <c r="U4" i="38"/>
  <c r="U40" i="38"/>
  <c r="T4" i="38"/>
  <c r="T40" i="38"/>
  <c r="S4" i="38"/>
  <c r="S40" i="38"/>
  <c r="R4" i="38"/>
  <c r="R40" i="38"/>
  <c r="Q4" i="38"/>
  <c r="Q40" i="38"/>
  <c r="FL11" i="38"/>
  <c r="FL39" i="38"/>
  <c r="FK11" i="38"/>
  <c r="FK39" i="38"/>
  <c r="EI11" i="38"/>
  <c r="EI39" i="38"/>
  <c r="EE11" i="38"/>
  <c r="EE39" i="38"/>
  <c r="ED39" i="38"/>
  <c r="EC11" i="38"/>
  <c r="EC39" i="38"/>
  <c r="CB11" i="38"/>
  <c r="CB39" i="38"/>
  <c r="BT11" i="38"/>
  <c r="BT39" i="38"/>
  <c r="BS11" i="38"/>
  <c r="BS39" i="38"/>
  <c r="AA11" i="38"/>
  <c r="AA39" i="38"/>
  <c r="Z11" i="38"/>
  <c r="Z39" i="38"/>
  <c r="Y11" i="38"/>
  <c r="Y39" i="38"/>
  <c r="X11" i="38"/>
  <c r="X39" i="38"/>
  <c r="W11" i="38"/>
  <c r="W39" i="38"/>
  <c r="V11" i="38"/>
  <c r="V39" i="38"/>
  <c r="U11" i="38"/>
  <c r="U39" i="38"/>
  <c r="T11" i="38"/>
  <c r="T39" i="38"/>
  <c r="S11" i="38"/>
  <c r="S39" i="38"/>
  <c r="R11" i="38"/>
  <c r="R39" i="38"/>
  <c r="Q11" i="38"/>
  <c r="Q39" i="38"/>
  <c r="FL2" i="38"/>
  <c r="FL38" i="38"/>
  <c r="FK2" i="38"/>
  <c r="FK38" i="38"/>
  <c r="EO2" i="38"/>
  <c r="EO38" i="38"/>
  <c r="EE2" i="38"/>
  <c r="EE38" i="38"/>
  <c r="ED38" i="38"/>
  <c r="EC2" i="38"/>
  <c r="EC38" i="38"/>
  <c r="BT2" i="38"/>
  <c r="BT38" i="38"/>
  <c r="BS2" i="38"/>
  <c r="BS38" i="38"/>
  <c r="AA2" i="38"/>
  <c r="AA38" i="38"/>
  <c r="Z2" i="38"/>
  <c r="Z38" i="38"/>
  <c r="Y2" i="38"/>
  <c r="Y38" i="38"/>
  <c r="X2" i="38"/>
  <c r="X38" i="38"/>
  <c r="W2" i="38"/>
  <c r="W38" i="38"/>
  <c r="V2" i="38"/>
  <c r="V38" i="38"/>
  <c r="U2" i="38"/>
  <c r="U38" i="38"/>
  <c r="T2" i="38"/>
  <c r="T38" i="38"/>
  <c r="S2" i="38"/>
  <c r="S38" i="38"/>
  <c r="R2" i="38"/>
  <c r="R38" i="38"/>
  <c r="Q2" i="38"/>
  <c r="Q38" i="38"/>
  <c r="FL22" i="38"/>
  <c r="FL37" i="38"/>
  <c r="FK22" i="38"/>
  <c r="FK37" i="38"/>
  <c r="EI22" i="38"/>
  <c r="EI37" i="38"/>
  <c r="EE22" i="38"/>
  <c r="EE37" i="38"/>
  <c r="ED37" i="38"/>
  <c r="EC22" i="38"/>
  <c r="EC37" i="38"/>
  <c r="CB22" i="38"/>
  <c r="CB37" i="38"/>
  <c r="BT22" i="38"/>
  <c r="BT37" i="38"/>
  <c r="BS22" i="38"/>
  <c r="BS37" i="38"/>
  <c r="AA22" i="38"/>
  <c r="AA37" i="38"/>
  <c r="Z22" i="38"/>
  <c r="Z37" i="38"/>
  <c r="Y22" i="38"/>
  <c r="Y37" i="38"/>
  <c r="X22" i="38"/>
  <c r="X37" i="38"/>
  <c r="W22" i="38"/>
  <c r="W37" i="38"/>
  <c r="V22" i="38"/>
  <c r="V37" i="38"/>
  <c r="U22" i="38"/>
  <c r="U37" i="38"/>
  <c r="T22" i="38"/>
  <c r="T37" i="38"/>
  <c r="S22" i="38"/>
  <c r="S37" i="38"/>
  <c r="R22" i="38"/>
  <c r="R37" i="38"/>
  <c r="Q22" i="38"/>
  <c r="Q37" i="38"/>
  <c r="FL26" i="38"/>
  <c r="FL36" i="38"/>
  <c r="FK26" i="38"/>
  <c r="FK36" i="38"/>
  <c r="EO26" i="38"/>
  <c r="EO36" i="38"/>
  <c r="EE26" i="38"/>
  <c r="EE36" i="38"/>
  <c r="ED36" i="38"/>
  <c r="EC26" i="38"/>
  <c r="EC36" i="38"/>
  <c r="BU26" i="38"/>
  <c r="BU36" i="38"/>
  <c r="BT26" i="38"/>
  <c r="BT36" i="38"/>
  <c r="BS26" i="38"/>
  <c r="BS36" i="38"/>
  <c r="AA26" i="38"/>
  <c r="AA36" i="38"/>
  <c r="Z26" i="38"/>
  <c r="Z36" i="38"/>
  <c r="Y26" i="38"/>
  <c r="Y36" i="38"/>
  <c r="X26" i="38"/>
  <c r="X36" i="38"/>
  <c r="W26" i="38"/>
  <c r="W36" i="38"/>
  <c r="V26" i="38"/>
  <c r="V36" i="38"/>
  <c r="U26" i="38"/>
  <c r="U36" i="38"/>
  <c r="T26" i="38"/>
  <c r="T36" i="38"/>
  <c r="S26" i="38"/>
  <c r="S36" i="38"/>
  <c r="R26" i="38"/>
  <c r="R36" i="38"/>
  <c r="Q26" i="38"/>
  <c r="Q36" i="38"/>
  <c r="FL30" i="38"/>
  <c r="FL35" i="38"/>
  <c r="FK30" i="38"/>
  <c r="FK35" i="38"/>
  <c r="EE30" i="38"/>
  <c r="EE35" i="38"/>
  <c r="ED35" i="38"/>
  <c r="EC30" i="38"/>
  <c r="EC35" i="38"/>
  <c r="CF30" i="38"/>
  <c r="CF35" i="38"/>
  <c r="CB30" i="38"/>
  <c r="CB35" i="38"/>
  <c r="BT30" i="38"/>
  <c r="BT35" i="38"/>
  <c r="BS30" i="38"/>
  <c r="BS35" i="38"/>
  <c r="AA30" i="38"/>
  <c r="AA35" i="38"/>
  <c r="Z30" i="38"/>
  <c r="Z35" i="38"/>
  <c r="Y30" i="38"/>
  <c r="Y35" i="38"/>
  <c r="X30" i="38"/>
  <c r="X35" i="38"/>
  <c r="W30" i="38"/>
  <c r="W35" i="38"/>
  <c r="V30" i="38"/>
  <c r="V35" i="38"/>
  <c r="U30" i="38"/>
  <c r="U35" i="38"/>
  <c r="T30" i="38"/>
  <c r="T35" i="38"/>
  <c r="S30" i="38"/>
  <c r="S35" i="38"/>
  <c r="R30" i="38"/>
  <c r="R35" i="38"/>
  <c r="Q30" i="38"/>
  <c r="Q35" i="38"/>
  <c r="FL14" i="38"/>
  <c r="FL34" i="38"/>
  <c r="FK14" i="38"/>
  <c r="FK34" i="38"/>
  <c r="EO14" i="38"/>
  <c r="EO34" i="38"/>
  <c r="FD34" i="38"/>
  <c r="EE14" i="38"/>
  <c r="EE34" i="38"/>
  <c r="ED34" i="38"/>
  <c r="EC14" i="38"/>
  <c r="EC34" i="38"/>
  <c r="BU14" i="38"/>
  <c r="BU34" i="38"/>
  <c r="BT14" i="38"/>
  <c r="BT34" i="38"/>
  <c r="BS14" i="38"/>
  <c r="BS34" i="38"/>
  <c r="AA14" i="38"/>
  <c r="AA34" i="38"/>
  <c r="Z14" i="38"/>
  <c r="Z34" i="38"/>
  <c r="Y14" i="38"/>
  <c r="Y34" i="38"/>
  <c r="X14" i="38"/>
  <c r="X34" i="38"/>
  <c r="W14" i="38"/>
  <c r="W34" i="38"/>
  <c r="V14" i="38"/>
  <c r="V34" i="38"/>
  <c r="U14" i="38"/>
  <c r="U34" i="38"/>
  <c r="T14" i="38"/>
  <c r="T34" i="38"/>
  <c r="S14" i="38"/>
  <c r="S34" i="38"/>
  <c r="R14" i="38"/>
  <c r="R34" i="38"/>
  <c r="Q14" i="38"/>
  <c r="Q34" i="38"/>
  <c r="FL13" i="38"/>
  <c r="FL33" i="38"/>
  <c r="FK13" i="38"/>
  <c r="FK33" i="38"/>
  <c r="EI13" i="38"/>
  <c r="EI33" i="38"/>
  <c r="EE13" i="38"/>
  <c r="EE33" i="38"/>
  <c r="ED33" i="38"/>
  <c r="EC13" i="38"/>
  <c r="EC33" i="38"/>
  <c r="CB13" i="38"/>
  <c r="CB33" i="38"/>
  <c r="BT13" i="38"/>
  <c r="BT33" i="38"/>
  <c r="BS13" i="38"/>
  <c r="BS33" i="38"/>
  <c r="AA13" i="38"/>
  <c r="AA33" i="38"/>
  <c r="Z13" i="38"/>
  <c r="Z33" i="38"/>
  <c r="Y13" i="38"/>
  <c r="Y33" i="38"/>
  <c r="X13" i="38"/>
  <c r="X33" i="38"/>
  <c r="W13" i="38"/>
  <c r="W33" i="38"/>
  <c r="V13" i="38"/>
  <c r="V33" i="38"/>
  <c r="U13" i="38"/>
  <c r="U33" i="38"/>
  <c r="T13" i="38"/>
  <c r="T33" i="38"/>
  <c r="S13" i="38"/>
  <c r="S33" i="38"/>
  <c r="R13" i="38"/>
  <c r="R33" i="38"/>
  <c r="Q13" i="38"/>
  <c r="Q33" i="38"/>
  <c r="FL3" i="38"/>
  <c r="FL32" i="38"/>
  <c r="FK3" i="38"/>
  <c r="FK32" i="38"/>
  <c r="EO3" i="38"/>
  <c r="EO32" i="38"/>
  <c r="EE3" i="38"/>
  <c r="EE32" i="38"/>
  <c r="ED32" i="38"/>
  <c r="EC3" i="38"/>
  <c r="EC32" i="38"/>
  <c r="BT3" i="38"/>
  <c r="BT32" i="38"/>
  <c r="BS3" i="38"/>
  <c r="BS32" i="38"/>
  <c r="AA3" i="38"/>
  <c r="AA32" i="38"/>
  <c r="Z3" i="38"/>
  <c r="Z32" i="38"/>
  <c r="Y3" i="38"/>
  <c r="Y32" i="38"/>
  <c r="X3" i="38"/>
  <c r="X32" i="38"/>
  <c r="W3" i="38"/>
  <c r="W32" i="38"/>
  <c r="V3" i="38"/>
  <c r="V32" i="38"/>
  <c r="U3" i="38"/>
  <c r="U32" i="38"/>
  <c r="T3" i="38"/>
  <c r="T32" i="38"/>
  <c r="S3" i="38"/>
  <c r="S32" i="38"/>
  <c r="R3" i="38"/>
  <c r="R32" i="38"/>
  <c r="Q3" i="38"/>
  <c r="Q32" i="38"/>
  <c r="FI30" i="38"/>
  <c r="FH30" i="38"/>
  <c r="EQ30" i="38"/>
  <c r="EQ35" i="38"/>
  <c r="EP30" i="38"/>
  <c r="EP35" i="38"/>
  <c r="EO30" i="38"/>
  <c r="EO35" i="38"/>
  <c r="EN30" i="38"/>
  <c r="EN35" i="38"/>
  <c r="EM30" i="38"/>
  <c r="EM35" i="38"/>
  <c r="EL30" i="38"/>
  <c r="EL35" i="38"/>
  <c r="EK30" i="38"/>
  <c r="EK35" i="38"/>
  <c r="EJ30" i="38"/>
  <c r="EJ35" i="38"/>
  <c r="EI30" i="38"/>
  <c r="EI35" i="38"/>
  <c r="EX35" i="38"/>
  <c r="EH30" i="38"/>
  <c r="EH35" i="38"/>
  <c r="EG30" i="38"/>
  <c r="EG35" i="38"/>
  <c r="EV35" i="38"/>
  <c r="CG30" i="38"/>
  <c r="CG35" i="38"/>
  <c r="CE30" i="38"/>
  <c r="CE35" i="38"/>
  <c r="CD30" i="38"/>
  <c r="CD35" i="38"/>
  <c r="CC30" i="38"/>
  <c r="CC35" i="38"/>
  <c r="CA30" i="38"/>
  <c r="CA35" i="38"/>
  <c r="CP35" i="38"/>
  <c r="BZ30" i="38"/>
  <c r="BZ35" i="38"/>
  <c r="BY30" i="38"/>
  <c r="BY35" i="38"/>
  <c r="BX30" i="38"/>
  <c r="BX35" i="38"/>
  <c r="BW30" i="38"/>
  <c r="BW35" i="38"/>
  <c r="BU30" i="38"/>
  <c r="BU35" i="38"/>
  <c r="FI29" i="38"/>
  <c r="FH29" i="38"/>
  <c r="EQ29" i="38"/>
  <c r="EP29" i="38"/>
  <c r="EO29" i="38"/>
  <c r="EN29" i="38"/>
  <c r="EN57" i="38"/>
  <c r="EM29" i="38"/>
  <c r="EL29" i="38"/>
  <c r="EK29" i="38"/>
  <c r="EJ29" i="38"/>
  <c r="EI29" i="38"/>
  <c r="EH29" i="38"/>
  <c r="EH71" i="38"/>
  <c r="EG29" i="38"/>
  <c r="CG29" i="38"/>
  <c r="CG57" i="38"/>
  <c r="CF29" i="38"/>
  <c r="CE29" i="38"/>
  <c r="CD29" i="38"/>
  <c r="CC29" i="38"/>
  <c r="CB29" i="38"/>
  <c r="CA29" i="38"/>
  <c r="CA71" i="38"/>
  <c r="BZ29" i="38"/>
  <c r="BY29" i="38"/>
  <c r="BX29" i="38"/>
  <c r="BW29" i="38"/>
  <c r="BU29" i="38"/>
  <c r="FI28" i="38"/>
  <c r="FH28" i="38"/>
  <c r="EQ28" i="38"/>
  <c r="EQ43" i="38"/>
  <c r="EP28" i="38"/>
  <c r="EP43" i="38"/>
  <c r="EO28" i="38"/>
  <c r="EO43" i="38"/>
  <c r="EN28" i="38"/>
  <c r="EN43" i="38"/>
  <c r="EM28" i="38"/>
  <c r="EM43" i="38"/>
  <c r="EL28" i="38"/>
  <c r="EL43" i="38"/>
  <c r="EK28" i="38"/>
  <c r="EK43" i="38"/>
  <c r="EJ28" i="38"/>
  <c r="EJ43" i="38"/>
  <c r="EI28" i="38"/>
  <c r="EI43" i="38"/>
  <c r="EH28" i="38"/>
  <c r="EH43" i="38"/>
  <c r="EG28" i="38"/>
  <c r="EG43" i="38"/>
  <c r="CG28" i="38"/>
  <c r="CG43" i="38"/>
  <c r="CF28" i="38"/>
  <c r="CF43" i="38"/>
  <c r="CE28" i="38"/>
  <c r="CE43" i="38"/>
  <c r="CD28" i="38"/>
  <c r="CD43" i="38"/>
  <c r="CC28" i="38"/>
  <c r="CC43" i="38"/>
  <c r="CB28" i="38"/>
  <c r="CB43" i="38"/>
  <c r="CA28" i="38"/>
  <c r="CA43" i="38"/>
  <c r="BZ28" i="38"/>
  <c r="BZ43" i="38"/>
  <c r="BY28" i="38"/>
  <c r="BY43" i="38"/>
  <c r="BX28" i="38"/>
  <c r="BX43" i="38"/>
  <c r="BW28" i="38"/>
  <c r="BW43" i="38"/>
  <c r="BU28" i="38"/>
  <c r="BU43" i="38"/>
  <c r="FI27" i="38"/>
  <c r="FH27" i="38"/>
  <c r="EQ27" i="38"/>
  <c r="EP27" i="38"/>
  <c r="EO27" i="38"/>
  <c r="EN27" i="38"/>
  <c r="EN76" i="38"/>
  <c r="EM27" i="38"/>
  <c r="EL27" i="38"/>
  <c r="EK27" i="38"/>
  <c r="EJ27" i="38"/>
  <c r="EI27" i="38"/>
  <c r="EH27" i="38"/>
  <c r="EH62" i="38"/>
  <c r="EG27" i="38"/>
  <c r="CG27" i="38"/>
  <c r="CG76" i="38"/>
  <c r="CF27" i="38"/>
  <c r="CE27" i="38"/>
  <c r="CD27" i="38"/>
  <c r="CC27" i="38"/>
  <c r="CB27" i="38"/>
  <c r="CA27" i="38"/>
  <c r="CA62" i="38"/>
  <c r="BZ27" i="38"/>
  <c r="BY27" i="38"/>
  <c r="BX27" i="38"/>
  <c r="BW27" i="38"/>
  <c r="BU27" i="38"/>
  <c r="FI26" i="38"/>
  <c r="FH26" i="38"/>
  <c r="EQ26" i="38"/>
  <c r="EQ36" i="38"/>
  <c r="EP26" i="38"/>
  <c r="EP36" i="38"/>
  <c r="EN26" i="38"/>
  <c r="EN36" i="38"/>
  <c r="EM26" i="38"/>
  <c r="EM36" i="38"/>
  <c r="EL26" i="38"/>
  <c r="EL36" i="38"/>
  <c r="FA36" i="38"/>
  <c r="EK26" i="38"/>
  <c r="EK36" i="38"/>
  <c r="EJ26" i="38"/>
  <c r="EJ36" i="38"/>
  <c r="EI26" i="38"/>
  <c r="EI36" i="38"/>
  <c r="EH26" i="38"/>
  <c r="EH36" i="38"/>
  <c r="EG26" i="38"/>
  <c r="EG36" i="38"/>
  <c r="CG26" i="38"/>
  <c r="CG36" i="38"/>
  <c r="CF26" i="38"/>
  <c r="CF36" i="38"/>
  <c r="CE26" i="38"/>
  <c r="CE36" i="38"/>
  <c r="CD26" i="38"/>
  <c r="CD36" i="38"/>
  <c r="CC26" i="38"/>
  <c r="CC36" i="38"/>
  <c r="CB26" i="38"/>
  <c r="CB36" i="38"/>
  <c r="CA26" i="38"/>
  <c r="CA36" i="38"/>
  <c r="BZ26" i="38"/>
  <c r="BZ36" i="38"/>
  <c r="BY26" i="38"/>
  <c r="BY36" i="38"/>
  <c r="BX26" i="38"/>
  <c r="BX36" i="38"/>
  <c r="BW26" i="38"/>
  <c r="BW36" i="38"/>
  <c r="CL36" i="38"/>
  <c r="FI25" i="38"/>
  <c r="FH25" i="38"/>
  <c r="EQ25" i="38"/>
  <c r="EP25" i="38"/>
  <c r="EO25" i="38"/>
  <c r="EN25" i="38"/>
  <c r="EN64" i="38"/>
  <c r="EM25" i="38"/>
  <c r="EL25" i="38"/>
  <c r="EK25" i="38"/>
  <c r="EJ25" i="38"/>
  <c r="EI25" i="38"/>
  <c r="EH25" i="38"/>
  <c r="EH50" i="38"/>
  <c r="EG25" i="38"/>
  <c r="CG25" i="38"/>
  <c r="CG64" i="38"/>
  <c r="CF25" i="38"/>
  <c r="CE25" i="38"/>
  <c r="CD25" i="38"/>
  <c r="CC25" i="38"/>
  <c r="CB25" i="38"/>
  <c r="CA25" i="38"/>
  <c r="CA50" i="38"/>
  <c r="BZ25" i="38"/>
  <c r="BY25" i="38"/>
  <c r="BX25" i="38"/>
  <c r="BW25" i="38"/>
  <c r="BU25" i="38"/>
  <c r="FI24" i="38"/>
  <c r="FH24" i="38"/>
  <c r="EQ24" i="38"/>
  <c r="EP24" i="38"/>
  <c r="EO24" i="38"/>
  <c r="EN24" i="38"/>
  <c r="EN55" i="38"/>
  <c r="EM24" i="38"/>
  <c r="EL24" i="38"/>
  <c r="EK24" i="38"/>
  <c r="EJ24" i="38"/>
  <c r="EI24" i="38"/>
  <c r="EH24" i="38"/>
  <c r="EH69" i="38"/>
  <c r="EG24" i="38"/>
  <c r="CG24" i="38"/>
  <c r="CG55" i="38"/>
  <c r="CF24" i="38"/>
  <c r="CE24" i="38"/>
  <c r="CD24" i="38"/>
  <c r="CC24" i="38"/>
  <c r="CB24" i="38"/>
  <c r="CA24" i="38"/>
  <c r="CA69" i="38"/>
  <c r="BZ24" i="38"/>
  <c r="BY24" i="38"/>
  <c r="BX24" i="38"/>
  <c r="BW24" i="38"/>
  <c r="BU24" i="38"/>
  <c r="FI23" i="38"/>
  <c r="FH23" i="38"/>
  <c r="EQ23" i="38"/>
  <c r="EQ49" i="38"/>
  <c r="EP23" i="38"/>
  <c r="EP49" i="38"/>
  <c r="EO23" i="38"/>
  <c r="EO49" i="38"/>
  <c r="EN23" i="38"/>
  <c r="EN49" i="38"/>
  <c r="EM23" i="38"/>
  <c r="EM49" i="38"/>
  <c r="EL23" i="38"/>
  <c r="EL49" i="38"/>
  <c r="EK23" i="38"/>
  <c r="EK49" i="38"/>
  <c r="EJ23" i="38"/>
  <c r="EJ49" i="38"/>
  <c r="EI23" i="38"/>
  <c r="EI49" i="38"/>
  <c r="EH23" i="38"/>
  <c r="EH49" i="38"/>
  <c r="EG23" i="38"/>
  <c r="EG49" i="38"/>
  <c r="CG23" i="38"/>
  <c r="CG49" i="38"/>
  <c r="CF23" i="38"/>
  <c r="CF49" i="38"/>
  <c r="CE23" i="38"/>
  <c r="CE49" i="38"/>
  <c r="CD23" i="38"/>
  <c r="CD49" i="38"/>
  <c r="CC23" i="38"/>
  <c r="CC49" i="38"/>
  <c r="CB23" i="38"/>
  <c r="CB49" i="38"/>
  <c r="CA23" i="38"/>
  <c r="CA49" i="38"/>
  <c r="BZ23" i="38"/>
  <c r="BZ49" i="38"/>
  <c r="BY23" i="38"/>
  <c r="BY49" i="38"/>
  <c r="BX23" i="38"/>
  <c r="BX49" i="38"/>
  <c r="BW23" i="38"/>
  <c r="BW49" i="38"/>
  <c r="BU23" i="38"/>
  <c r="BU49" i="38"/>
  <c r="FI22" i="38"/>
  <c r="FH22" i="38"/>
  <c r="EQ22" i="38"/>
  <c r="EQ37" i="38"/>
  <c r="EP22" i="38"/>
  <c r="EP37" i="38"/>
  <c r="EO22" i="38"/>
  <c r="EO37" i="38"/>
  <c r="EN22" i="38"/>
  <c r="EN37" i="38"/>
  <c r="EM22" i="38"/>
  <c r="EM37" i="38"/>
  <c r="EL22" i="38"/>
  <c r="EL37" i="38"/>
  <c r="EK22" i="38"/>
  <c r="EK37" i="38"/>
  <c r="EZ37" i="38"/>
  <c r="EJ22" i="38"/>
  <c r="EJ37" i="38"/>
  <c r="EH22" i="38"/>
  <c r="EH37" i="38"/>
  <c r="EG22" i="38"/>
  <c r="EG37" i="38"/>
  <c r="CG22" i="38"/>
  <c r="CG37" i="38"/>
  <c r="CF22" i="38"/>
  <c r="CF37" i="38"/>
  <c r="CE22" i="38"/>
  <c r="CE37" i="38"/>
  <c r="CD22" i="38"/>
  <c r="CD37" i="38"/>
  <c r="CC22" i="38"/>
  <c r="CC37" i="38"/>
  <c r="CA22" i="38"/>
  <c r="CA37" i="38"/>
  <c r="BZ22" i="38"/>
  <c r="BZ37" i="38"/>
  <c r="BY22" i="38"/>
  <c r="BY37" i="38"/>
  <c r="BX22" i="38"/>
  <c r="BX37" i="38"/>
  <c r="BW22" i="38"/>
  <c r="BW37" i="38"/>
  <c r="BU22" i="38"/>
  <c r="BU37" i="38"/>
  <c r="CJ37" i="38"/>
  <c r="FI21" i="38"/>
  <c r="FH21" i="38"/>
  <c r="EQ21" i="38"/>
  <c r="EP21" i="38"/>
  <c r="EO21" i="38"/>
  <c r="EN21" i="38"/>
  <c r="EN51" i="38"/>
  <c r="EM21" i="38"/>
  <c r="EL21" i="38"/>
  <c r="EK21" i="38"/>
  <c r="EJ21" i="38"/>
  <c r="EI21" i="38"/>
  <c r="EH21" i="38"/>
  <c r="EH65" i="38"/>
  <c r="EG21" i="38"/>
  <c r="CG21" i="38"/>
  <c r="CG51" i="38"/>
  <c r="CF21" i="38"/>
  <c r="CE21" i="38"/>
  <c r="CD21" i="38"/>
  <c r="CC21" i="38"/>
  <c r="CB21" i="38"/>
  <c r="CA21" i="38"/>
  <c r="CA65" i="38"/>
  <c r="BZ21" i="38"/>
  <c r="BY21" i="38"/>
  <c r="BX21" i="38"/>
  <c r="BW21" i="38"/>
  <c r="BU21" i="38"/>
  <c r="FI20" i="38"/>
  <c r="FH20" i="38"/>
  <c r="EQ20" i="38"/>
  <c r="EP20" i="38"/>
  <c r="EO20" i="38"/>
  <c r="EN20" i="38"/>
  <c r="EN70" i="38"/>
  <c r="EM20" i="38"/>
  <c r="EL20" i="38"/>
  <c r="EK20" i="38"/>
  <c r="EJ20" i="38"/>
  <c r="EI20" i="38"/>
  <c r="EH20" i="38"/>
  <c r="EH56" i="38"/>
  <c r="EG20" i="38"/>
  <c r="CG20" i="38"/>
  <c r="CG70" i="38"/>
  <c r="CF20" i="38"/>
  <c r="CE20" i="38"/>
  <c r="CD20" i="38"/>
  <c r="CC20" i="38"/>
  <c r="CB20" i="38"/>
  <c r="CA20" i="38"/>
  <c r="CA56" i="38"/>
  <c r="BZ20" i="38"/>
  <c r="BY20" i="38"/>
  <c r="BX20" i="38"/>
  <c r="BW20" i="38"/>
  <c r="BU20" i="38"/>
  <c r="FI19" i="38"/>
  <c r="FH19" i="38"/>
  <c r="EQ19" i="38"/>
  <c r="EQ42" i="38"/>
  <c r="EP19" i="38"/>
  <c r="EP42" i="38"/>
  <c r="EO19" i="38"/>
  <c r="EO42" i="38"/>
  <c r="EN19" i="38"/>
  <c r="EN42" i="38"/>
  <c r="EM19" i="38"/>
  <c r="EM42" i="38"/>
  <c r="EL19" i="38"/>
  <c r="EL42" i="38"/>
  <c r="EK19" i="38"/>
  <c r="EK42" i="38"/>
  <c r="EJ19" i="38"/>
  <c r="EJ42" i="38"/>
  <c r="EI19" i="38"/>
  <c r="EI42" i="38"/>
  <c r="EH19" i="38"/>
  <c r="EH42" i="38"/>
  <c r="EG19" i="38"/>
  <c r="EG42" i="38"/>
  <c r="CG19" i="38"/>
  <c r="CG42" i="38"/>
  <c r="CF19" i="38"/>
  <c r="CF42" i="38"/>
  <c r="CE19" i="38"/>
  <c r="CE42" i="38"/>
  <c r="CD19" i="38"/>
  <c r="CD42" i="38"/>
  <c r="CC19" i="38"/>
  <c r="CC42" i="38"/>
  <c r="CB19" i="38"/>
  <c r="CB42" i="38"/>
  <c r="CA19" i="38"/>
  <c r="CA42" i="38"/>
  <c r="BZ19" i="38"/>
  <c r="BZ42" i="38"/>
  <c r="BY19" i="38"/>
  <c r="BY42" i="38"/>
  <c r="BX19" i="38"/>
  <c r="BX42" i="38"/>
  <c r="BW19" i="38"/>
  <c r="BW42" i="38"/>
  <c r="BU19" i="38"/>
  <c r="BU42" i="38"/>
  <c r="FI18" i="38"/>
  <c r="FH18" i="38"/>
  <c r="EQ18" i="38"/>
  <c r="EP18" i="38"/>
  <c r="EO18" i="38"/>
  <c r="EN18" i="38"/>
  <c r="EN61" i="38"/>
  <c r="EM18" i="38"/>
  <c r="EL18" i="38"/>
  <c r="EK18" i="38"/>
  <c r="EJ18" i="38"/>
  <c r="EI18" i="38"/>
  <c r="EH18" i="38"/>
  <c r="EH75" i="38"/>
  <c r="EG18" i="38"/>
  <c r="CG18" i="38"/>
  <c r="CG61" i="38"/>
  <c r="CF18" i="38"/>
  <c r="CE18" i="38"/>
  <c r="CD18" i="38"/>
  <c r="CC18" i="38"/>
  <c r="CB18" i="38"/>
  <c r="CA18" i="38"/>
  <c r="CA75" i="38"/>
  <c r="BZ18" i="38"/>
  <c r="BY18" i="38"/>
  <c r="BX18" i="38"/>
  <c r="BW18" i="38"/>
  <c r="BU18" i="38"/>
  <c r="FI17" i="38"/>
  <c r="FH17" i="38"/>
  <c r="EQ17" i="38"/>
  <c r="EP17" i="38"/>
  <c r="EO17" i="38"/>
  <c r="EN17" i="38"/>
  <c r="EN66" i="38"/>
  <c r="EM17" i="38"/>
  <c r="EL17" i="38"/>
  <c r="EK17" i="38"/>
  <c r="EJ17" i="38"/>
  <c r="EI17" i="38"/>
  <c r="EH17" i="38"/>
  <c r="EH52" i="38"/>
  <c r="EG17" i="38"/>
  <c r="CG17" i="38"/>
  <c r="CG66" i="38"/>
  <c r="CF17" i="38"/>
  <c r="CE17" i="38"/>
  <c r="CD17" i="38"/>
  <c r="CC17" i="38"/>
  <c r="CB17" i="38"/>
  <c r="CA17" i="38"/>
  <c r="CA52" i="38"/>
  <c r="BZ17" i="38"/>
  <c r="BY17" i="38"/>
  <c r="BX17" i="38"/>
  <c r="BW17" i="38"/>
  <c r="BU17" i="38"/>
  <c r="FI16" i="38"/>
  <c r="FH16" i="38"/>
  <c r="EQ16" i="38"/>
  <c r="EP16" i="38"/>
  <c r="EO16" i="38"/>
  <c r="EN16" i="38"/>
  <c r="EN72" i="38"/>
  <c r="EM16" i="38"/>
  <c r="EL16" i="38"/>
  <c r="EK16" i="38"/>
  <c r="EJ16" i="38"/>
  <c r="EI16" i="38"/>
  <c r="EH16" i="38"/>
  <c r="EH58" i="38"/>
  <c r="EG16" i="38"/>
  <c r="CG16" i="38"/>
  <c r="CG72" i="38"/>
  <c r="CF16" i="38"/>
  <c r="CE16" i="38"/>
  <c r="CD16" i="38"/>
  <c r="CC16" i="38"/>
  <c r="CB16" i="38"/>
  <c r="CA16" i="38"/>
  <c r="CA58" i="38"/>
  <c r="BZ16" i="38"/>
  <c r="BY16" i="38"/>
  <c r="BX16" i="38"/>
  <c r="BW16" i="38"/>
  <c r="BU16" i="38"/>
  <c r="FI15" i="38"/>
  <c r="FH15" i="38"/>
  <c r="EQ15" i="38"/>
  <c r="EQ44" i="38"/>
  <c r="EP15" i="38"/>
  <c r="EP44" i="38"/>
  <c r="EO15" i="38"/>
  <c r="EO44" i="38"/>
  <c r="EN15" i="38"/>
  <c r="EN44" i="38"/>
  <c r="EM15" i="38"/>
  <c r="EM44" i="38"/>
  <c r="EL15" i="38"/>
  <c r="EL44" i="38"/>
  <c r="EK15" i="38"/>
  <c r="EK44" i="38"/>
  <c r="EJ15" i="38"/>
  <c r="EJ44" i="38"/>
  <c r="EI15" i="38"/>
  <c r="EI44" i="38"/>
  <c r="EH15" i="38"/>
  <c r="EH44" i="38"/>
  <c r="EG15" i="38"/>
  <c r="EG44" i="38"/>
  <c r="CG15" i="38"/>
  <c r="CG44" i="38"/>
  <c r="CF15" i="38"/>
  <c r="CF44" i="38"/>
  <c r="CE15" i="38"/>
  <c r="CE44" i="38"/>
  <c r="CD15" i="38"/>
  <c r="CD44" i="38"/>
  <c r="CC15" i="38"/>
  <c r="CC44" i="38"/>
  <c r="CB15" i="38"/>
  <c r="CB44" i="38"/>
  <c r="CA15" i="38"/>
  <c r="CA44" i="38"/>
  <c r="BZ15" i="38"/>
  <c r="BZ44" i="38"/>
  <c r="BY15" i="38"/>
  <c r="BY44" i="38"/>
  <c r="BX15" i="38"/>
  <c r="BX44" i="38"/>
  <c r="BW15" i="38"/>
  <c r="BW44" i="38"/>
  <c r="BU15" i="38"/>
  <c r="BU44" i="38"/>
  <c r="FI14" i="38"/>
  <c r="FH14" i="38"/>
  <c r="EQ14" i="38"/>
  <c r="EQ34" i="38"/>
  <c r="EP14" i="38"/>
  <c r="EP34" i="38"/>
  <c r="EN14" i="38"/>
  <c r="EN34" i="38"/>
  <c r="EM14" i="38"/>
  <c r="EM34" i="38"/>
  <c r="EL14" i="38"/>
  <c r="EL34" i="38"/>
  <c r="FA34" i="38"/>
  <c r="EK14" i="38"/>
  <c r="EK34" i="38"/>
  <c r="EJ14" i="38"/>
  <c r="EJ34" i="38"/>
  <c r="EI14" i="38"/>
  <c r="EI34" i="38"/>
  <c r="EH14" i="38"/>
  <c r="EH34" i="38"/>
  <c r="EG14" i="38"/>
  <c r="EG34" i="38"/>
  <c r="CG14" i="38"/>
  <c r="CG34" i="38"/>
  <c r="CF14" i="38"/>
  <c r="CF34" i="38"/>
  <c r="CE14" i="38"/>
  <c r="CE34" i="38"/>
  <c r="CD14" i="38"/>
  <c r="CD34" i="38"/>
  <c r="CC14" i="38"/>
  <c r="CC34" i="38"/>
  <c r="CB14" i="38"/>
  <c r="CB34" i="38"/>
  <c r="CA14" i="38"/>
  <c r="CA34" i="38"/>
  <c r="BZ14" i="38"/>
  <c r="BZ34" i="38"/>
  <c r="BY14" i="38"/>
  <c r="BY34" i="38"/>
  <c r="BX14" i="38"/>
  <c r="BX34" i="38"/>
  <c r="CM34" i="38"/>
  <c r="BW14" i="38"/>
  <c r="BW34" i="38"/>
  <c r="FI13" i="38"/>
  <c r="FH13" i="38"/>
  <c r="EQ13" i="38"/>
  <c r="EQ33" i="38"/>
  <c r="FF33" i="38"/>
  <c r="EP13" i="38"/>
  <c r="EP33" i="38"/>
  <c r="EO13" i="38"/>
  <c r="EO33" i="38"/>
  <c r="EN13" i="38"/>
  <c r="EN33" i="38"/>
  <c r="EM13" i="38"/>
  <c r="EM33" i="38"/>
  <c r="EL13" i="38"/>
  <c r="EL33" i="38"/>
  <c r="EK13" i="38"/>
  <c r="EK33" i="38"/>
  <c r="EJ13" i="38"/>
  <c r="EJ33" i="38"/>
  <c r="EH13" i="38"/>
  <c r="EH33" i="38"/>
  <c r="EG13" i="38"/>
  <c r="EG33" i="38"/>
  <c r="CG13" i="38"/>
  <c r="CG33" i="38"/>
  <c r="CF13" i="38"/>
  <c r="CF33" i="38"/>
  <c r="CE13" i="38"/>
  <c r="CE33" i="38"/>
  <c r="CD13" i="38"/>
  <c r="CD33" i="38"/>
  <c r="CC13" i="38"/>
  <c r="CC33" i="38"/>
  <c r="CA13" i="38"/>
  <c r="CA33" i="38"/>
  <c r="BZ13" i="38"/>
  <c r="BZ33" i="38"/>
  <c r="BY13" i="38"/>
  <c r="BY33" i="38"/>
  <c r="BX13" i="38"/>
  <c r="BX33" i="38"/>
  <c r="BW13" i="38"/>
  <c r="BW33" i="38"/>
  <c r="BU13" i="38"/>
  <c r="BU33" i="38"/>
  <c r="FI12" i="38"/>
  <c r="FH12" i="38"/>
  <c r="EQ12" i="38"/>
  <c r="EP12" i="38"/>
  <c r="EO12" i="38"/>
  <c r="EN12" i="38"/>
  <c r="EN74" i="38"/>
  <c r="EM12" i="38"/>
  <c r="EL12" i="38"/>
  <c r="EK12" i="38"/>
  <c r="EJ12" i="38"/>
  <c r="EI12" i="38"/>
  <c r="EH12" i="38"/>
  <c r="EH60" i="38"/>
  <c r="EG12" i="38"/>
  <c r="CG12" i="38"/>
  <c r="CG74" i="38"/>
  <c r="CF12" i="38"/>
  <c r="CE12" i="38"/>
  <c r="CD12" i="38"/>
  <c r="CC12" i="38"/>
  <c r="CB12" i="38"/>
  <c r="CA12" i="38"/>
  <c r="CA60" i="38"/>
  <c r="BZ12" i="38"/>
  <c r="BY12" i="38"/>
  <c r="BX12" i="38"/>
  <c r="BW12" i="38"/>
  <c r="BU12" i="38"/>
  <c r="FI11" i="38"/>
  <c r="FH11" i="38"/>
  <c r="EQ11" i="38"/>
  <c r="EQ39" i="38"/>
  <c r="EP11" i="38"/>
  <c r="EP39" i="38"/>
  <c r="EO11" i="38"/>
  <c r="EO39" i="38"/>
  <c r="EN11" i="38"/>
  <c r="EN39" i="38"/>
  <c r="EM11" i="38"/>
  <c r="EM39" i="38"/>
  <c r="EL11" i="38"/>
  <c r="EL39" i="38"/>
  <c r="EK11" i="38"/>
  <c r="EK39" i="38"/>
  <c r="EJ11" i="38"/>
  <c r="EJ39" i="38"/>
  <c r="EY39" i="38"/>
  <c r="EH11" i="38"/>
  <c r="EH39" i="38"/>
  <c r="EG11" i="38"/>
  <c r="EG39" i="38"/>
  <c r="CG11" i="38"/>
  <c r="CG39" i="38"/>
  <c r="CF11" i="38"/>
  <c r="CF39" i="38"/>
  <c r="CE11" i="38"/>
  <c r="CE39" i="38"/>
  <c r="CD11" i="38"/>
  <c r="CD39" i="38"/>
  <c r="CC11" i="38"/>
  <c r="CC39" i="38"/>
  <c r="CA11" i="38"/>
  <c r="CA39" i="38"/>
  <c r="BZ11" i="38"/>
  <c r="BZ39" i="38"/>
  <c r="BY11" i="38"/>
  <c r="BY39" i="38"/>
  <c r="BX11" i="38"/>
  <c r="BX39" i="38"/>
  <c r="BW11" i="38"/>
  <c r="BW39" i="38"/>
  <c r="BU11" i="38"/>
  <c r="BU39" i="38"/>
  <c r="CJ39" i="38"/>
  <c r="FI10" i="38"/>
  <c r="FH10" i="38"/>
  <c r="EQ10" i="38"/>
  <c r="EQ46" i="38"/>
  <c r="EP10" i="38"/>
  <c r="EP46" i="38"/>
  <c r="EO10" i="38"/>
  <c r="EO46" i="38"/>
  <c r="EN10" i="38"/>
  <c r="EN46" i="38"/>
  <c r="EM10" i="38"/>
  <c r="EM46" i="38"/>
  <c r="EL10" i="38"/>
  <c r="EL46" i="38"/>
  <c r="EK10" i="38"/>
  <c r="EK46" i="38"/>
  <c r="EJ10" i="38"/>
  <c r="EJ46" i="38"/>
  <c r="EI10" i="38"/>
  <c r="EI46" i="38"/>
  <c r="EH10" i="38"/>
  <c r="EH46" i="38"/>
  <c r="EG10" i="38"/>
  <c r="EG46" i="38"/>
  <c r="CG10" i="38"/>
  <c r="CG46" i="38"/>
  <c r="CF10" i="38"/>
  <c r="CF46" i="38"/>
  <c r="CE10" i="38"/>
  <c r="CE46" i="38"/>
  <c r="CD10" i="38"/>
  <c r="CD46" i="38"/>
  <c r="CC10" i="38"/>
  <c r="CC46" i="38"/>
  <c r="CB10" i="38"/>
  <c r="CB46" i="38"/>
  <c r="CA10" i="38"/>
  <c r="CA46" i="38"/>
  <c r="BZ10" i="38"/>
  <c r="BZ46" i="38"/>
  <c r="BY10" i="38"/>
  <c r="BY46" i="38"/>
  <c r="BX10" i="38"/>
  <c r="BX46" i="38"/>
  <c r="BW10" i="38"/>
  <c r="BW46" i="38"/>
  <c r="BU10" i="38"/>
  <c r="BU46" i="38"/>
  <c r="FI9" i="38"/>
  <c r="FH9" i="38"/>
  <c r="EQ9" i="38"/>
  <c r="EP9" i="38"/>
  <c r="EO9" i="38"/>
  <c r="EN9" i="38"/>
  <c r="EN68" i="38"/>
  <c r="EM9" i="38"/>
  <c r="EL9" i="38"/>
  <c r="EK9" i="38"/>
  <c r="EJ9" i="38"/>
  <c r="EI9" i="38"/>
  <c r="EH9" i="38"/>
  <c r="EH54" i="38"/>
  <c r="EG9" i="38"/>
  <c r="CG9" i="38"/>
  <c r="CG68" i="38"/>
  <c r="CF9" i="38"/>
  <c r="CE9" i="38"/>
  <c r="CD9" i="38"/>
  <c r="CC9" i="38"/>
  <c r="CB9" i="38"/>
  <c r="CA9" i="38"/>
  <c r="CA54" i="38"/>
  <c r="BZ9" i="38"/>
  <c r="BY9" i="38"/>
  <c r="BX9" i="38"/>
  <c r="BW9" i="38"/>
  <c r="BU9" i="38"/>
  <c r="FI8" i="38"/>
  <c r="FH8" i="38"/>
  <c r="EQ8" i="38"/>
  <c r="EQ41" i="38"/>
  <c r="EP8" i="38"/>
  <c r="EP41" i="38"/>
  <c r="EO8" i="38"/>
  <c r="EO41" i="38"/>
  <c r="EN8" i="38"/>
  <c r="EN41" i="38"/>
  <c r="EM8" i="38"/>
  <c r="EM41" i="38"/>
  <c r="EL8" i="38"/>
  <c r="EL41" i="38"/>
  <c r="EK8" i="38"/>
  <c r="EK41" i="38"/>
  <c r="EJ8" i="38"/>
  <c r="EJ41" i="38"/>
  <c r="EI8" i="38"/>
  <c r="EI41" i="38"/>
  <c r="EX41" i="38"/>
  <c r="EH8" i="38"/>
  <c r="EH41" i="38"/>
  <c r="EG8" i="38"/>
  <c r="EG41" i="38"/>
  <c r="CG8" i="38"/>
  <c r="CG41" i="38"/>
  <c r="CF8" i="38"/>
  <c r="CF41" i="38"/>
  <c r="CE8" i="38"/>
  <c r="CE41" i="38"/>
  <c r="CD8" i="38"/>
  <c r="CD41" i="38"/>
  <c r="CC8" i="38"/>
  <c r="CC41" i="38"/>
  <c r="CB8" i="38"/>
  <c r="CB41" i="38"/>
  <c r="CA8" i="38"/>
  <c r="CA41" i="38"/>
  <c r="BZ8" i="38"/>
  <c r="BZ41" i="38"/>
  <c r="BY8" i="38"/>
  <c r="BY41" i="38"/>
  <c r="BX8" i="38"/>
  <c r="BX41" i="38"/>
  <c r="BW8" i="38"/>
  <c r="BW41" i="38"/>
  <c r="BU8" i="38"/>
  <c r="BU41" i="38"/>
  <c r="CJ41" i="38"/>
  <c r="FI7" i="38"/>
  <c r="FH7" i="38"/>
  <c r="EQ7" i="38"/>
  <c r="EP7" i="38"/>
  <c r="EO7" i="38"/>
  <c r="EN7" i="38"/>
  <c r="EN59" i="38"/>
  <c r="EM7" i="38"/>
  <c r="EL7" i="38"/>
  <c r="EK7" i="38"/>
  <c r="EJ7" i="38"/>
  <c r="EI7" i="38"/>
  <c r="EH7" i="38"/>
  <c r="EG7" i="38"/>
  <c r="CG7" i="38"/>
  <c r="CG59" i="38"/>
  <c r="CF7" i="38"/>
  <c r="CE7" i="38"/>
  <c r="CD7" i="38"/>
  <c r="CC7" i="38"/>
  <c r="CB7" i="38"/>
  <c r="CA7" i="38"/>
  <c r="CA73" i="38"/>
  <c r="BZ7" i="38"/>
  <c r="BY7" i="38"/>
  <c r="BX7" i="38"/>
  <c r="BW7" i="38"/>
  <c r="BU7" i="38"/>
  <c r="FI6" i="38"/>
  <c r="FH6" i="38"/>
  <c r="EQ6" i="38"/>
  <c r="EQ47" i="38"/>
  <c r="EP6" i="38"/>
  <c r="EP47" i="38"/>
  <c r="EO6" i="38"/>
  <c r="EO47" i="38"/>
  <c r="EN6" i="38"/>
  <c r="EN47" i="38"/>
  <c r="EM6" i="38"/>
  <c r="EM47" i="38"/>
  <c r="EL6" i="38"/>
  <c r="EL47" i="38"/>
  <c r="EK6" i="38"/>
  <c r="EK47" i="38"/>
  <c r="EJ6" i="38"/>
  <c r="EJ47" i="38"/>
  <c r="EI6" i="38"/>
  <c r="EI47" i="38"/>
  <c r="EH6" i="38"/>
  <c r="EH47" i="38"/>
  <c r="EG6" i="38"/>
  <c r="EG47" i="38"/>
  <c r="CG6" i="38"/>
  <c r="CG47" i="38"/>
  <c r="CF6" i="38"/>
  <c r="CF47" i="38"/>
  <c r="CE6" i="38"/>
  <c r="CE47" i="38"/>
  <c r="CD6" i="38"/>
  <c r="CD47" i="38"/>
  <c r="CC6" i="38"/>
  <c r="CC47" i="38"/>
  <c r="CB6" i="38"/>
  <c r="CB47" i="38"/>
  <c r="CA6" i="38"/>
  <c r="CA47" i="38"/>
  <c r="BZ6" i="38"/>
  <c r="BZ47" i="38"/>
  <c r="BY6" i="38"/>
  <c r="BY47" i="38"/>
  <c r="BX6" i="38"/>
  <c r="BX47" i="38"/>
  <c r="BW6" i="38"/>
  <c r="BW47" i="38"/>
  <c r="BU6" i="38"/>
  <c r="BU47" i="38"/>
  <c r="FI5" i="38"/>
  <c r="FH5" i="38"/>
  <c r="EQ5" i="38"/>
  <c r="EP5" i="38"/>
  <c r="EO5" i="38"/>
  <c r="EN5" i="38"/>
  <c r="EN53" i="38"/>
  <c r="EM5" i="38"/>
  <c r="EL5" i="38"/>
  <c r="EK5" i="38"/>
  <c r="EJ5" i="38"/>
  <c r="EI5" i="38"/>
  <c r="EH5" i="38"/>
  <c r="EG5" i="38"/>
  <c r="CG5" i="38"/>
  <c r="CF5" i="38"/>
  <c r="CE5" i="38"/>
  <c r="CD5" i="38"/>
  <c r="CC5" i="38"/>
  <c r="CB5" i="38"/>
  <c r="CA5" i="38"/>
  <c r="CA67" i="38"/>
  <c r="BZ5" i="38"/>
  <c r="BY5" i="38"/>
  <c r="BX5" i="38"/>
  <c r="BW5" i="38"/>
  <c r="BU5" i="38"/>
  <c r="FI4" i="38"/>
  <c r="FH4" i="38"/>
  <c r="EQ4" i="38"/>
  <c r="EQ40" i="38"/>
  <c r="EP4" i="38"/>
  <c r="EP40" i="38"/>
  <c r="EO4" i="38"/>
  <c r="EO40" i="38"/>
  <c r="EN4" i="38"/>
  <c r="EN40" i="38"/>
  <c r="EM4" i="38"/>
  <c r="EM40" i="38"/>
  <c r="EL4" i="38"/>
  <c r="EL40" i="38"/>
  <c r="EJ4" i="38"/>
  <c r="EJ40" i="38"/>
  <c r="EI4" i="38"/>
  <c r="EI40" i="38"/>
  <c r="EH4" i="38"/>
  <c r="EH40" i="38"/>
  <c r="EG4" i="38"/>
  <c r="EG40" i="38"/>
  <c r="CG4" i="38"/>
  <c r="CG40" i="38"/>
  <c r="CF4" i="38"/>
  <c r="CF40" i="38"/>
  <c r="CE4" i="38"/>
  <c r="CE40" i="38"/>
  <c r="CT40" i="38"/>
  <c r="CD4" i="38"/>
  <c r="CD40" i="38"/>
  <c r="CC4" i="38"/>
  <c r="CC40" i="38"/>
  <c r="CB4" i="38"/>
  <c r="CB40" i="38"/>
  <c r="CA4" i="38"/>
  <c r="CA40" i="38"/>
  <c r="BZ4" i="38"/>
  <c r="BZ40" i="38"/>
  <c r="BY4" i="38"/>
  <c r="BY40" i="38"/>
  <c r="BX4" i="38"/>
  <c r="BX40" i="38"/>
  <c r="BU4" i="38"/>
  <c r="BU40" i="38"/>
  <c r="FI3" i="38"/>
  <c r="FH3" i="38"/>
  <c r="EQ3" i="38"/>
  <c r="EQ32" i="38"/>
  <c r="EP3" i="38"/>
  <c r="EP32" i="38"/>
  <c r="EN3" i="38"/>
  <c r="EN32" i="38"/>
  <c r="EM3" i="38"/>
  <c r="EM32" i="38"/>
  <c r="EL3" i="38"/>
  <c r="EL32" i="38"/>
  <c r="EK3" i="38"/>
  <c r="EK32" i="38"/>
  <c r="EJ3" i="38"/>
  <c r="EJ32" i="38"/>
  <c r="EI3" i="38"/>
  <c r="EI32" i="38"/>
  <c r="EH3" i="38"/>
  <c r="EH32" i="38"/>
  <c r="EG3" i="38"/>
  <c r="EG32" i="38"/>
  <c r="CG3" i="38"/>
  <c r="CG32" i="38"/>
  <c r="CF3" i="38"/>
  <c r="CF32" i="38"/>
  <c r="CE3" i="38"/>
  <c r="CE32" i="38"/>
  <c r="CD3" i="38"/>
  <c r="CD32" i="38"/>
  <c r="CC3" i="38"/>
  <c r="CC32" i="38"/>
  <c r="CB3" i="38"/>
  <c r="CB32" i="38"/>
  <c r="CA3" i="38"/>
  <c r="CA32" i="38"/>
  <c r="BZ3" i="38"/>
  <c r="BZ32" i="38"/>
  <c r="BY3" i="38"/>
  <c r="BY32" i="38"/>
  <c r="BX3" i="38"/>
  <c r="BX32" i="38"/>
  <c r="BW3" i="38"/>
  <c r="BW32" i="38"/>
  <c r="BU3" i="38"/>
  <c r="BU32" i="38"/>
  <c r="FI2" i="38"/>
  <c r="FH2" i="38"/>
  <c r="EQ2" i="38"/>
  <c r="EQ38" i="38"/>
  <c r="EP2" i="38"/>
  <c r="EP38" i="38"/>
  <c r="EN2" i="38"/>
  <c r="EN38" i="38"/>
  <c r="EM2" i="38"/>
  <c r="EM38" i="38"/>
  <c r="EL2" i="38"/>
  <c r="EL38" i="38"/>
  <c r="EK2" i="38"/>
  <c r="EK38" i="38"/>
  <c r="EJ2" i="38"/>
  <c r="EJ38" i="38"/>
  <c r="EI2" i="38"/>
  <c r="EI38" i="38"/>
  <c r="EX38" i="38"/>
  <c r="EH2" i="38"/>
  <c r="EH38" i="38"/>
  <c r="EG2" i="38"/>
  <c r="EG38" i="38"/>
  <c r="CG2" i="38"/>
  <c r="CG38" i="38"/>
  <c r="CF2" i="38"/>
  <c r="CF38" i="38"/>
  <c r="CE2" i="38"/>
  <c r="CE38" i="38"/>
  <c r="CD2" i="38"/>
  <c r="CD38" i="38"/>
  <c r="CC2" i="38"/>
  <c r="CC38" i="38"/>
  <c r="CB2" i="38"/>
  <c r="CB38" i="38"/>
  <c r="CA2" i="38"/>
  <c r="CA38" i="38"/>
  <c r="BZ2" i="38"/>
  <c r="BZ38" i="38"/>
  <c r="BY2" i="38"/>
  <c r="BY38" i="38"/>
  <c r="BX2" i="38"/>
  <c r="BX38" i="38"/>
  <c r="CM38" i="38"/>
  <c r="BW2" i="38"/>
  <c r="BW38" i="38"/>
  <c r="BU2" i="38"/>
  <c r="BU38" i="38"/>
  <c r="CJ38" i="38"/>
  <c r="EU76" i="38"/>
  <c r="CK76" i="38"/>
  <c r="AB76" i="38"/>
  <c r="EU75" i="38"/>
  <c r="CK75" i="38"/>
  <c r="AB75" i="38"/>
  <c r="EU74" i="38"/>
  <c r="CK74" i="38"/>
  <c r="AB74" i="38"/>
  <c r="EU73" i="38"/>
  <c r="CK73" i="38"/>
  <c r="AB73" i="38"/>
  <c r="EU72" i="38"/>
  <c r="AB72" i="38"/>
  <c r="EU71" i="38"/>
  <c r="CK71" i="38"/>
  <c r="AB71" i="38"/>
  <c r="EU70" i="38"/>
  <c r="CK70" i="38"/>
  <c r="AB70" i="38"/>
  <c r="EU69" i="38"/>
  <c r="CK69" i="38"/>
  <c r="AB69" i="38"/>
  <c r="EU68" i="38"/>
  <c r="CK68" i="38"/>
  <c r="AB68" i="38"/>
  <c r="EU67" i="38"/>
  <c r="CK67" i="38"/>
  <c r="AB67" i="38"/>
  <c r="EU66" i="38"/>
  <c r="AB66" i="38"/>
  <c r="EU65" i="38"/>
  <c r="EU64" i="38"/>
  <c r="CK64" i="38"/>
  <c r="AB64" i="38"/>
  <c r="EU63" i="38"/>
  <c r="EU62" i="38"/>
  <c r="CK62" i="38"/>
  <c r="AB62" i="38"/>
  <c r="EU61" i="38"/>
  <c r="CK61" i="38"/>
  <c r="AB61" i="38"/>
  <c r="EU60" i="38"/>
  <c r="CK60" i="38"/>
  <c r="AB60" i="38"/>
  <c r="EU59" i="38"/>
  <c r="AB59" i="38"/>
  <c r="EU58" i="38"/>
  <c r="AB58" i="38"/>
  <c r="EU57" i="38"/>
  <c r="CK57" i="38"/>
  <c r="AB57" i="38"/>
  <c r="EU56" i="38"/>
  <c r="CK56" i="38"/>
  <c r="AB56" i="38"/>
  <c r="EU55" i="38"/>
  <c r="CK55" i="38"/>
  <c r="AB55" i="38"/>
  <c r="EU54" i="38"/>
  <c r="CK54" i="38"/>
  <c r="AB54" i="38"/>
  <c r="EU53" i="38"/>
  <c r="AB53" i="38"/>
  <c r="EU52" i="38"/>
  <c r="EU51" i="38"/>
  <c r="CK51" i="38"/>
  <c r="AB51" i="38"/>
  <c r="EU50" i="38"/>
  <c r="CK50" i="38"/>
  <c r="AB50" i="38"/>
  <c r="EU48" i="38"/>
  <c r="AB49" i="38"/>
  <c r="EU47" i="38"/>
  <c r="CK47" i="38"/>
  <c r="AB47" i="38"/>
  <c r="EU46" i="38"/>
  <c r="AB46" i="38"/>
  <c r="EU44" i="38"/>
  <c r="AB44" i="38"/>
  <c r="EU43" i="38"/>
  <c r="CK43" i="38"/>
  <c r="AG43" i="38"/>
  <c r="AB43" i="38"/>
  <c r="EU42" i="38"/>
  <c r="CK42" i="38"/>
  <c r="AB42" i="38"/>
  <c r="EU41" i="38"/>
  <c r="CK41" i="38"/>
  <c r="AB41" i="38"/>
  <c r="EU40" i="38"/>
  <c r="CK40" i="38"/>
  <c r="AB40" i="38"/>
  <c r="EU39" i="38"/>
  <c r="AB39" i="38"/>
  <c r="EU38" i="38"/>
  <c r="EU37" i="38"/>
  <c r="CK37" i="38"/>
  <c r="AB37" i="38"/>
  <c r="EU36" i="38"/>
  <c r="CK36" i="38"/>
  <c r="AB36" i="38"/>
  <c r="FE35" i="38"/>
  <c r="FA35" i="38"/>
  <c r="EU35" i="38"/>
  <c r="ES35" i="38"/>
  <c r="CR35" i="38"/>
  <c r="CK35" i="38"/>
  <c r="CS35" i="38"/>
  <c r="AG35" i="38"/>
  <c r="AF35" i="38"/>
  <c r="AB35" i="38"/>
  <c r="EU34" i="38"/>
  <c r="EW34" i="38"/>
  <c r="CK34" i="38"/>
  <c r="AB34" i="38"/>
  <c r="EU33" i="38"/>
  <c r="EU31" i="38"/>
  <c r="AB33" i="38"/>
  <c r="EU32" i="38"/>
  <c r="AB32" i="38"/>
  <c r="FN35" i="38"/>
  <c r="FJ30" i="38"/>
  <c r="FJ35" i="38"/>
  <c r="FI35" i="38"/>
  <c r="FH35" i="38"/>
  <c r="FF35" i="38"/>
  <c r="FD35" i="38"/>
  <c r="FC35" i="38"/>
  <c r="FB35" i="38"/>
  <c r="EZ35" i="38"/>
  <c r="EY35" i="38"/>
  <c r="EW35" i="38"/>
  <c r="ET35" i="38"/>
  <c r="CV35" i="38"/>
  <c r="CU35" i="38"/>
  <c r="CT35" i="38"/>
  <c r="CQ35" i="38"/>
  <c r="CO35" i="38"/>
  <c r="CN35" i="38"/>
  <c r="CM35" i="38"/>
  <c r="CL35" i="38"/>
  <c r="CJ35" i="38"/>
  <c r="CI35" i="38"/>
  <c r="CH35" i="38"/>
  <c r="AM35" i="38"/>
  <c r="AL35" i="38"/>
  <c r="AK35" i="38"/>
  <c r="AJ35" i="38"/>
  <c r="AI35" i="38"/>
  <c r="AH35" i="38"/>
  <c r="AE35" i="38"/>
  <c r="AD35" i="38"/>
  <c r="AC35" i="38"/>
  <c r="FN43" i="38"/>
  <c r="FJ28" i="38"/>
  <c r="FJ43" i="38"/>
  <c r="FI43" i="38"/>
  <c r="FH43" i="38"/>
  <c r="FF43" i="38"/>
  <c r="FE43" i="38"/>
  <c r="FD43" i="38"/>
  <c r="FC43" i="38"/>
  <c r="FB43" i="38"/>
  <c r="FA43" i="38"/>
  <c r="EZ43" i="38"/>
  <c r="EY43" i="38"/>
  <c r="EX43" i="38"/>
  <c r="EW43" i="38"/>
  <c r="EV43" i="38"/>
  <c r="ET43" i="38"/>
  <c r="ES43" i="38"/>
  <c r="CV43" i="38"/>
  <c r="CU43" i="38"/>
  <c r="CT43" i="38"/>
  <c r="CS43" i="38"/>
  <c r="CR43" i="38"/>
  <c r="CQ43" i="38"/>
  <c r="CP43" i="38"/>
  <c r="CO43" i="38"/>
  <c r="CN43" i="38"/>
  <c r="CM43" i="38"/>
  <c r="CL43" i="38"/>
  <c r="CJ43" i="38"/>
  <c r="CI43" i="38"/>
  <c r="AM43" i="38"/>
  <c r="AL43" i="38"/>
  <c r="AK43" i="38"/>
  <c r="AJ43" i="38"/>
  <c r="AI43" i="38"/>
  <c r="AH43" i="38"/>
  <c r="AF43" i="38"/>
  <c r="AE43" i="38"/>
  <c r="AD43" i="38"/>
  <c r="AC43" i="38"/>
  <c r="FN36" i="38"/>
  <c r="FI36" i="38"/>
  <c r="FF36" i="38"/>
  <c r="FE36" i="38"/>
  <c r="FD36" i="38"/>
  <c r="FC36" i="38"/>
  <c r="FB36" i="38"/>
  <c r="EZ36" i="38"/>
  <c r="EY36" i="38"/>
  <c r="EX36" i="38"/>
  <c r="EW36" i="38"/>
  <c r="EV36" i="38"/>
  <c r="ET36" i="38"/>
  <c r="ES36" i="38"/>
  <c r="CV36" i="38"/>
  <c r="CU36" i="38"/>
  <c r="CT36" i="38"/>
  <c r="CS36" i="38"/>
  <c r="CR36" i="38"/>
  <c r="CQ36" i="38"/>
  <c r="CP36" i="38"/>
  <c r="CO36" i="38"/>
  <c r="CN36" i="38"/>
  <c r="CM36" i="38"/>
  <c r="CJ36" i="38"/>
  <c r="CI36" i="38"/>
  <c r="AM36" i="38"/>
  <c r="AL36" i="38"/>
  <c r="AK36" i="38"/>
  <c r="AJ36" i="38"/>
  <c r="AI36" i="38"/>
  <c r="AH36" i="38"/>
  <c r="AG36" i="38"/>
  <c r="AF36" i="38"/>
  <c r="AE36" i="38"/>
  <c r="AD36" i="38"/>
  <c r="AC36" i="38"/>
  <c r="FJ25" i="38"/>
  <c r="FI49" i="38"/>
  <c r="FH49" i="38"/>
  <c r="FN37" i="38"/>
  <c r="FI37" i="38"/>
  <c r="FH37" i="38"/>
  <c r="FF37" i="38"/>
  <c r="FE37" i="38"/>
  <c r="FD37" i="38"/>
  <c r="FC37" i="38"/>
  <c r="FB37" i="38"/>
  <c r="FA37" i="38"/>
  <c r="EY37" i="38"/>
  <c r="EX37" i="38"/>
  <c r="EW37" i="38"/>
  <c r="EV37" i="38"/>
  <c r="ET37" i="38"/>
  <c r="ES37" i="38"/>
  <c r="CV37" i="38"/>
  <c r="CU37" i="38"/>
  <c r="CT37" i="38"/>
  <c r="CS37" i="38"/>
  <c r="CR37" i="38"/>
  <c r="CQ37" i="38"/>
  <c r="CP37" i="38"/>
  <c r="CO37" i="38"/>
  <c r="CN37" i="38"/>
  <c r="CM37" i="38"/>
  <c r="CL37" i="38"/>
  <c r="CI37" i="38"/>
  <c r="AM37" i="38"/>
  <c r="AL37" i="38"/>
  <c r="AK37" i="38"/>
  <c r="AJ37" i="38"/>
  <c r="AI37" i="38"/>
  <c r="AH37" i="38"/>
  <c r="AG37" i="38"/>
  <c r="AF37" i="38"/>
  <c r="AE37" i="38"/>
  <c r="AD37" i="38"/>
  <c r="AC37" i="38"/>
  <c r="FN42" i="38"/>
  <c r="FI42" i="38"/>
  <c r="FH42" i="38"/>
  <c r="FF42" i="38"/>
  <c r="FE42" i="38"/>
  <c r="FD42" i="38"/>
  <c r="FC42" i="38"/>
  <c r="FB42" i="38"/>
  <c r="FA42" i="38"/>
  <c r="EZ42" i="38"/>
  <c r="EY42" i="38"/>
  <c r="EX42" i="38"/>
  <c r="EW42" i="38"/>
  <c r="EV42" i="38"/>
  <c r="ET42" i="38"/>
  <c r="ES42" i="38"/>
  <c r="CV42" i="38"/>
  <c r="CU42" i="38"/>
  <c r="CT42" i="38"/>
  <c r="CS42" i="38"/>
  <c r="CR42" i="38"/>
  <c r="CQ42" i="38"/>
  <c r="CP42" i="38"/>
  <c r="CO42" i="38"/>
  <c r="CN42" i="38"/>
  <c r="CM42" i="38"/>
  <c r="CL42" i="38"/>
  <c r="CJ42" i="38"/>
  <c r="CI42" i="38"/>
  <c r="AM42" i="38"/>
  <c r="AL42" i="38"/>
  <c r="AK42" i="38"/>
  <c r="AJ42" i="38"/>
  <c r="AI42" i="38"/>
  <c r="AH42" i="38"/>
  <c r="AG42" i="38"/>
  <c r="AF42" i="38"/>
  <c r="AE42" i="38"/>
  <c r="AD42" i="38"/>
  <c r="AC42" i="38"/>
  <c r="FJ18" i="38"/>
  <c r="FJ16" i="38"/>
  <c r="FN44" i="38"/>
  <c r="FI44" i="38"/>
  <c r="FH44" i="38"/>
  <c r="FF44" i="38"/>
  <c r="FE44" i="38"/>
  <c r="FD44" i="38"/>
  <c r="FC44" i="38"/>
  <c r="FB44" i="38"/>
  <c r="FA44" i="38"/>
  <c r="EZ44" i="38"/>
  <c r="EY44" i="38"/>
  <c r="EX44" i="38"/>
  <c r="EW44" i="38"/>
  <c r="EV44" i="38"/>
  <c r="ET44" i="38"/>
  <c r="ES44" i="38"/>
  <c r="CV44" i="38"/>
  <c r="CU44" i="38"/>
  <c r="CT44" i="38"/>
  <c r="CS44" i="38"/>
  <c r="CR44" i="38"/>
  <c r="CQ44" i="38"/>
  <c r="CP44" i="38"/>
  <c r="CO44" i="38"/>
  <c r="CN44" i="38"/>
  <c r="CM44" i="38"/>
  <c r="CL44" i="38"/>
  <c r="CJ44" i="38"/>
  <c r="AM44" i="38"/>
  <c r="AL44" i="38"/>
  <c r="AK44" i="38"/>
  <c r="AJ44" i="38"/>
  <c r="AI44" i="38"/>
  <c r="AH44" i="38"/>
  <c r="AG44" i="38"/>
  <c r="AF44" i="38"/>
  <c r="AE44" i="38"/>
  <c r="AD44" i="38"/>
  <c r="FN34" i="38"/>
  <c r="FM34" i="38"/>
  <c r="FJ14" i="38"/>
  <c r="FJ34" i="38"/>
  <c r="FI34" i="38"/>
  <c r="FH34" i="38"/>
  <c r="FF34" i="38"/>
  <c r="FE34" i="38"/>
  <c r="FC34" i="38"/>
  <c r="FB34" i="38"/>
  <c r="EZ34" i="38"/>
  <c r="EY34" i="38"/>
  <c r="EX34" i="38"/>
  <c r="EV34" i="38"/>
  <c r="ET34" i="38"/>
  <c r="ES34" i="38"/>
  <c r="CV34" i="38"/>
  <c r="CU34" i="38"/>
  <c r="CT34" i="38"/>
  <c r="CS34" i="38"/>
  <c r="CR34" i="38"/>
  <c r="CQ34" i="38"/>
  <c r="CP34" i="38"/>
  <c r="CO34" i="38"/>
  <c r="CN34" i="38"/>
  <c r="CL34" i="38"/>
  <c r="CJ34" i="38"/>
  <c r="CI34" i="38"/>
  <c r="AM34" i="38"/>
  <c r="AL34" i="38"/>
  <c r="AK34" i="38"/>
  <c r="AJ34" i="38"/>
  <c r="AI34" i="38"/>
  <c r="AH34" i="38"/>
  <c r="AG34" i="38"/>
  <c r="AF34" i="38"/>
  <c r="AE34" i="38"/>
  <c r="AD34" i="38"/>
  <c r="AC34" i="38"/>
  <c r="FN33" i="38"/>
  <c r="FJ13" i="38"/>
  <c r="FJ33" i="38"/>
  <c r="FI33" i="38"/>
  <c r="FH33" i="38"/>
  <c r="FE33" i="38"/>
  <c r="FD33" i="38"/>
  <c r="FC33" i="38"/>
  <c r="FB33" i="38"/>
  <c r="FA33" i="38"/>
  <c r="EZ33" i="38"/>
  <c r="EY33" i="38"/>
  <c r="EX33" i="38"/>
  <c r="EW33" i="38"/>
  <c r="EV33" i="38"/>
  <c r="ET33" i="38"/>
  <c r="ES33" i="38"/>
  <c r="CV33" i="38"/>
  <c r="CU33" i="38"/>
  <c r="CT33" i="38"/>
  <c r="CS33" i="38"/>
  <c r="CR33" i="38"/>
  <c r="CQ33" i="38"/>
  <c r="CP33" i="38"/>
  <c r="CO33" i="38"/>
  <c r="CN33" i="38"/>
  <c r="CM33" i="38"/>
  <c r="CL33" i="38"/>
  <c r="CJ33" i="38"/>
  <c r="CI33" i="38"/>
  <c r="AM33" i="38"/>
  <c r="AL33" i="38"/>
  <c r="AK33" i="38"/>
  <c r="AJ33" i="38"/>
  <c r="AI33" i="38"/>
  <c r="AH33" i="38"/>
  <c r="AG33" i="38"/>
  <c r="AF33" i="38"/>
  <c r="AE33" i="38"/>
  <c r="AD33" i="38"/>
  <c r="AC33" i="38"/>
  <c r="FN39" i="38"/>
  <c r="FI39" i="38"/>
  <c r="FF39" i="38"/>
  <c r="FE39" i="38"/>
  <c r="FD39" i="38"/>
  <c r="FC39" i="38"/>
  <c r="FB39" i="38"/>
  <c r="FA39" i="38"/>
  <c r="EZ39" i="38"/>
  <c r="EX39" i="38"/>
  <c r="EW39" i="38"/>
  <c r="EV39" i="38"/>
  <c r="ET39" i="38"/>
  <c r="ES39" i="38"/>
  <c r="CV39" i="38"/>
  <c r="CU39" i="38"/>
  <c r="CT39" i="38"/>
  <c r="CS39" i="38"/>
  <c r="CR39" i="38"/>
  <c r="CQ39" i="38"/>
  <c r="CP39" i="38"/>
  <c r="CO39" i="38"/>
  <c r="CN39" i="38"/>
  <c r="CM39" i="38"/>
  <c r="CL39" i="38"/>
  <c r="CI39" i="38"/>
  <c r="AM39" i="38"/>
  <c r="AL39" i="38"/>
  <c r="AK39" i="38"/>
  <c r="AJ39" i="38"/>
  <c r="AI39" i="38"/>
  <c r="AH39" i="38"/>
  <c r="AG39" i="38"/>
  <c r="AF39" i="38"/>
  <c r="AE39" i="38"/>
  <c r="AD39" i="38"/>
  <c r="AC39" i="38"/>
  <c r="FI46" i="38"/>
  <c r="FH46" i="38"/>
  <c r="O46" i="38"/>
  <c r="K46" i="38"/>
  <c r="J46" i="38"/>
  <c r="I46" i="38"/>
  <c r="G46" i="38"/>
  <c r="F46" i="38"/>
  <c r="FN41" i="38"/>
  <c r="FI41" i="38"/>
  <c r="FH41" i="38"/>
  <c r="FF41" i="38"/>
  <c r="FE41" i="38"/>
  <c r="FD41" i="38"/>
  <c r="FC41" i="38"/>
  <c r="FB41" i="38"/>
  <c r="FA41" i="38"/>
  <c r="EZ41" i="38"/>
  <c r="EY41" i="38"/>
  <c r="EW41" i="38"/>
  <c r="EV41" i="38"/>
  <c r="ET41" i="38"/>
  <c r="ES41" i="38"/>
  <c r="CV41" i="38"/>
  <c r="CU41" i="38"/>
  <c r="CT41" i="38"/>
  <c r="CS41" i="38"/>
  <c r="CR41" i="38"/>
  <c r="CQ41" i="38"/>
  <c r="CP41" i="38"/>
  <c r="CO41" i="38"/>
  <c r="CN41" i="38"/>
  <c r="CM41" i="38"/>
  <c r="CL41" i="38"/>
  <c r="CI41" i="38"/>
  <c r="AM41" i="38"/>
  <c r="AL41" i="38"/>
  <c r="AK41" i="38"/>
  <c r="AJ41" i="38"/>
  <c r="AI41" i="38"/>
  <c r="AH41" i="38"/>
  <c r="AG41" i="38"/>
  <c r="AF41" i="38"/>
  <c r="AE41" i="38"/>
  <c r="AD41" i="38"/>
  <c r="AC41" i="38"/>
  <c r="FN47" i="38"/>
  <c r="FJ6" i="38"/>
  <c r="FJ47" i="38"/>
  <c r="FI47" i="38"/>
  <c r="FH47" i="38"/>
  <c r="FF47" i="38"/>
  <c r="FE47" i="38"/>
  <c r="FD47" i="38"/>
  <c r="FC47" i="38"/>
  <c r="FB47" i="38"/>
  <c r="FA47" i="38"/>
  <c r="EZ47" i="38"/>
  <c r="EY47" i="38"/>
  <c r="EX47" i="38"/>
  <c r="EW47" i="38"/>
  <c r="EV47" i="38"/>
  <c r="ET47" i="38"/>
  <c r="ES47" i="38"/>
  <c r="CV47" i="38"/>
  <c r="CU47" i="38"/>
  <c r="CT47" i="38"/>
  <c r="CS47" i="38"/>
  <c r="CR47" i="38"/>
  <c r="CQ47" i="38"/>
  <c r="CP47" i="38"/>
  <c r="CO47" i="38"/>
  <c r="CN47" i="38"/>
  <c r="CM47" i="38"/>
  <c r="CL47" i="38"/>
  <c r="CJ47" i="38"/>
  <c r="CI47" i="38"/>
  <c r="AM47" i="38"/>
  <c r="AL47" i="38"/>
  <c r="AK47" i="38"/>
  <c r="AJ47" i="38"/>
  <c r="AI47" i="38"/>
  <c r="AH47" i="38"/>
  <c r="AG47" i="38"/>
  <c r="AF47" i="38"/>
  <c r="AE47" i="38"/>
  <c r="AD47" i="38"/>
  <c r="AC47" i="38"/>
  <c r="O47" i="38"/>
  <c r="N47" i="38"/>
  <c r="M47" i="38"/>
  <c r="L47" i="38"/>
  <c r="K47" i="38"/>
  <c r="J47" i="38"/>
  <c r="I47" i="38"/>
  <c r="H47" i="38"/>
  <c r="G47" i="38"/>
  <c r="F47" i="38"/>
  <c r="E47" i="38"/>
  <c r="D47" i="38"/>
  <c r="FJ5" i="38"/>
  <c r="FN40" i="38"/>
  <c r="FI40" i="38"/>
  <c r="FH40" i="38"/>
  <c r="FF40" i="38"/>
  <c r="FE40" i="38"/>
  <c r="FD40" i="38"/>
  <c r="FC40" i="38"/>
  <c r="FB40" i="38"/>
  <c r="FA40" i="38"/>
  <c r="EZ40" i="38"/>
  <c r="EY40" i="38"/>
  <c r="EX40" i="38"/>
  <c r="EW40" i="38"/>
  <c r="EV40" i="38"/>
  <c r="ET40" i="38"/>
  <c r="ES40" i="38"/>
  <c r="CV40" i="38"/>
  <c r="CU40" i="38"/>
  <c r="CS40" i="38"/>
  <c r="CR40" i="38"/>
  <c r="CQ40" i="38"/>
  <c r="CP40" i="38"/>
  <c r="CO40" i="38"/>
  <c r="CN40" i="38"/>
  <c r="CM40" i="38"/>
  <c r="CL40" i="38"/>
  <c r="CJ40" i="38"/>
  <c r="CI40" i="38"/>
  <c r="AM40" i="38"/>
  <c r="AL40" i="38"/>
  <c r="AK40" i="38"/>
  <c r="AJ40" i="38"/>
  <c r="AI40" i="38"/>
  <c r="AH40" i="38"/>
  <c r="AG40" i="38"/>
  <c r="AF40" i="38"/>
  <c r="AE40" i="38"/>
  <c r="AD40" i="38"/>
  <c r="AC40" i="38"/>
  <c r="FI32" i="38"/>
  <c r="FH32" i="38"/>
  <c r="FF32" i="38"/>
  <c r="FN38" i="38"/>
  <c r="FI38" i="38"/>
  <c r="FH38" i="38"/>
  <c r="FF38" i="38"/>
  <c r="FE38" i="38"/>
  <c r="FD38" i="38"/>
  <c r="FC38" i="38"/>
  <c r="FB38" i="38"/>
  <c r="FA38" i="38"/>
  <c r="EZ38" i="38"/>
  <c r="EY38" i="38"/>
  <c r="EW38" i="38"/>
  <c r="EV38" i="38"/>
  <c r="ET38" i="38"/>
  <c r="ES38" i="38"/>
  <c r="CV38" i="38"/>
  <c r="CU38" i="38"/>
  <c r="CT38" i="38"/>
  <c r="CS38" i="38"/>
  <c r="CR38" i="38"/>
  <c r="CQ38" i="38"/>
  <c r="CP38" i="38"/>
  <c r="CO38" i="38"/>
  <c r="CN38" i="38"/>
  <c r="CL38" i="38"/>
  <c r="CI38" i="38"/>
  <c r="AM38" i="38"/>
  <c r="AL38" i="38"/>
  <c r="AK38" i="38"/>
  <c r="AJ38" i="38"/>
  <c r="AI38" i="38"/>
  <c r="AH38" i="38"/>
  <c r="AG38" i="38"/>
  <c r="AF38" i="38"/>
  <c r="AE38" i="38"/>
  <c r="AD38" i="38"/>
  <c r="AC38" i="38"/>
  <c r="Y30" i="44"/>
  <c r="AX30" i="44"/>
  <c r="N101" i="3"/>
  <c r="AZ30" i="41"/>
  <c r="BZ30" i="43"/>
  <c r="X30" i="44"/>
  <c r="AW30" i="44"/>
  <c r="N98" i="3"/>
  <c r="AY30" i="41"/>
  <c r="BY30" i="43"/>
  <c r="W30" i="44"/>
  <c r="AV30" i="44"/>
  <c r="N95" i="3"/>
  <c r="AX30" i="41"/>
  <c r="BX30" i="43"/>
  <c r="V30" i="44"/>
  <c r="AU30" i="44"/>
  <c r="AW30" i="41"/>
  <c r="BW30" i="43"/>
  <c r="U30" i="44"/>
  <c r="AT30" i="44"/>
  <c r="N86" i="3"/>
  <c r="AV30" i="41"/>
  <c r="BV30" i="43"/>
  <c r="BU35" i="43"/>
  <c r="S30" i="44"/>
  <c r="AR30" i="44"/>
  <c r="N83" i="3"/>
  <c r="AT30" i="41"/>
  <c r="BT30" i="43"/>
  <c r="R30" i="44"/>
  <c r="AQ30" i="44"/>
  <c r="N80" i="3"/>
  <c r="AS30" i="41"/>
  <c r="BS30" i="43"/>
  <c r="BS35" i="43"/>
  <c r="Q30" i="44"/>
  <c r="AP30" i="44"/>
  <c r="N74" i="3"/>
  <c r="AR30" i="41"/>
  <c r="BR30" i="43"/>
  <c r="P30" i="44"/>
  <c r="AO30" i="44"/>
  <c r="N71" i="3"/>
  <c r="AQ30" i="41"/>
  <c r="BQ30" i="43"/>
  <c r="O30" i="44"/>
  <c r="AN30" i="44"/>
  <c r="N68" i="3"/>
  <c r="AP30" i="41"/>
  <c r="BP30" i="43"/>
  <c r="N30" i="44"/>
  <c r="AM30" i="44"/>
  <c r="N65" i="3"/>
  <c r="AO30" i="41"/>
  <c r="BO30" i="43"/>
  <c r="M30" i="44"/>
  <c r="AL30" i="44"/>
  <c r="N62" i="3"/>
  <c r="AN30" i="41"/>
  <c r="BN30" i="43"/>
  <c r="L30" i="44"/>
  <c r="AK30" i="44"/>
  <c r="N59" i="3"/>
  <c r="AM30" i="41"/>
  <c r="BM30" i="43"/>
  <c r="K30" i="44"/>
  <c r="AJ30" i="44"/>
  <c r="N56" i="3"/>
  <c r="AL30" i="41"/>
  <c r="BL30" i="43"/>
  <c r="J30" i="44"/>
  <c r="AI30" i="44"/>
  <c r="N53" i="3"/>
  <c r="AK30" i="41"/>
  <c r="BK30" i="43"/>
  <c r="I30" i="44"/>
  <c r="AH30" i="44"/>
  <c r="N47" i="3"/>
  <c r="AJ30" i="41"/>
  <c r="BJ30" i="43"/>
  <c r="H30" i="44"/>
  <c r="AG30" i="44"/>
  <c r="N44" i="3"/>
  <c r="AI30" i="41"/>
  <c r="BI30" i="43"/>
  <c r="BI35" i="43"/>
  <c r="G30" i="44"/>
  <c r="AF30" i="44"/>
  <c r="N41" i="3"/>
  <c r="AH30" i="41"/>
  <c r="BH30" i="43"/>
  <c r="F30" i="44"/>
  <c r="AE30" i="44"/>
  <c r="N38" i="3"/>
  <c r="AG30" i="41"/>
  <c r="BG30" i="43"/>
  <c r="BG35" i="43"/>
  <c r="E30" i="44"/>
  <c r="AD30" i="44"/>
  <c r="N35" i="3"/>
  <c r="AF30" i="41"/>
  <c r="BF30" i="43"/>
  <c r="D30" i="44"/>
  <c r="AC30" i="44"/>
  <c r="N32" i="3"/>
  <c r="AE30" i="41"/>
  <c r="BE30" i="43"/>
  <c r="Z30" i="41"/>
  <c r="Z30" i="43"/>
  <c r="Y30" i="41"/>
  <c r="Y30" i="43"/>
  <c r="X30" i="41"/>
  <c r="X30" i="43"/>
  <c r="W30" i="41"/>
  <c r="W30" i="43"/>
  <c r="V30" i="41"/>
  <c r="V30" i="43"/>
  <c r="V35" i="43"/>
  <c r="T30" i="41"/>
  <c r="T30" i="43"/>
  <c r="T35" i="43"/>
  <c r="S30" i="41"/>
  <c r="S30" i="43"/>
  <c r="R30" i="41"/>
  <c r="R30" i="43"/>
  <c r="Q30" i="41"/>
  <c r="Q30" i="43"/>
  <c r="P30" i="41"/>
  <c r="P30" i="43"/>
  <c r="O30" i="41"/>
  <c r="O30" i="43"/>
  <c r="N30" i="41"/>
  <c r="N30" i="43"/>
  <c r="M30" i="41"/>
  <c r="M30" i="43"/>
  <c r="L30" i="41"/>
  <c r="L30" i="43"/>
  <c r="K30" i="41"/>
  <c r="K30" i="43"/>
  <c r="J30" i="41"/>
  <c r="J30" i="43"/>
  <c r="J35" i="43"/>
  <c r="I30" i="41"/>
  <c r="I30" i="43"/>
  <c r="H30" i="41"/>
  <c r="H30" i="43"/>
  <c r="H35" i="43"/>
  <c r="G30" i="41"/>
  <c r="G30" i="43"/>
  <c r="F30" i="41"/>
  <c r="F30" i="43"/>
  <c r="E30" i="41"/>
  <c r="E30" i="43"/>
  <c r="Y29" i="44"/>
  <c r="AX29" i="44"/>
  <c r="BW29" i="44"/>
  <c r="AZ29" i="41"/>
  <c r="BZ29" i="43"/>
  <c r="X29" i="44"/>
  <c r="AW29" i="44"/>
  <c r="BV29" i="44"/>
  <c r="AY29" i="41"/>
  <c r="BY29" i="43"/>
  <c r="W29" i="44"/>
  <c r="AV29" i="44"/>
  <c r="BU29" i="44"/>
  <c r="AX29" i="41"/>
  <c r="BX29" i="43"/>
  <c r="V29" i="44"/>
  <c r="AU29" i="44"/>
  <c r="BT29" i="44"/>
  <c r="AW29" i="41"/>
  <c r="BW29" i="43"/>
  <c r="U29" i="44"/>
  <c r="AT29" i="44"/>
  <c r="BS29" i="44"/>
  <c r="AV29" i="41"/>
  <c r="BV29" i="43"/>
  <c r="S29" i="44"/>
  <c r="AR29" i="44"/>
  <c r="BQ29" i="44"/>
  <c r="AT29" i="41"/>
  <c r="BT29" i="43"/>
  <c r="R29" i="44"/>
  <c r="AQ29" i="44"/>
  <c r="BP29" i="44"/>
  <c r="AS29" i="41"/>
  <c r="BS29" i="43"/>
  <c r="Q29" i="44"/>
  <c r="AP29" i="44"/>
  <c r="BO29" i="44"/>
  <c r="AR29" i="41"/>
  <c r="BR29" i="43"/>
  <c r="P29" i="44"/>
  <c r="AO29" i="44"/>
  <c r="BN29" i="44"/>
  <c r="AQ29" i="41"/>
  <c r="BQ29" i="43"/>
  <c r="O29" i="44"/>
  <c r="AN29" i="44"/>
  <c r="BM29" i="44"/>
  <c r="AP29" i="41"/>
  <c r="BP29" i="43"/>
  <c r="N29" i="44"/>
  <c r="AM29" i="44"/>
  <c r="BL29" i="44"/>
  <c r="AO29" i="41"/>
  <c r="BO29" i="43"/>
  <c r="M29" i="44"/>
  <c r="AL29" i="44"/>
  <c r="BK29" i="44"/>
  <c r="AN29" i="41"/>
  <c r="BN29" i="43"/>
  <c r="L29" i="44"/>
  <c r="AK29" i="44"/>
  <c r="BJ29" i="44"/>
  <c r="AM29" i="41"/>
  <c r="BM29" i="43"/>
  <c r="K29" i="44"/>
  <c r="AJ29" i="44"/>
  <c r="BI29" i="44"/>
  <c r="AL29" i="41"/>
  <c r="BL29" i="43"/>
  <c r="J29" i="44"/>
  <c r="AI29" i="44"/>
  <c r="BH29" i="44"/>
  <c r="AK29" i="41"/>
  <c r="BK29" i="43"/>
  <c r="I29" i="44"/>
  <c r="AH29" i="44"/>
  <c r="BG29" i="44"/>
  <c r="AJ29" i="41"/>
  <c r="BJ29" i="43"/>
  <c r="H29" i="44"/>
  <c r="AG29" i="44"/>
  <c r="BF29" i="44"/>
  <c r="AI29" i="41"/>
  <c r="BI29" i="43"/>
  <c r="G29" i="44"/>
  <c r="AF29" i="44"/>
  <c r="BE29" i="44"/>
  <c r="AH29" i="41"/>
  <c r="BH29" i="43"/>
  <c r="F29" i="44"/>
  <c r="AE29" i="44"/>
  <c r="BD29" i="44"/>
  <c r="AG29" i="41"/>
  <c r="BG29" i="43"/>
  <c r="E29" i="44"/>
  <c r="AD29" i="44"/>
  <c r="BC29" i="44"/>
  <c r="AF29" i="41"/>
  <c r="BF29" i="43"/>
  <c r="D29" i="44"/>
  <c r="AC29" i="44"/>
  <c r="AE29" i="41"/>
  <c r="BE29" i="43"/>
  <c r="Z29" i="41"/>
  <c r="Z29" i="43"/>
  <c r="Y29" i="41"/>
  <c r="Y29" i="43"/>
  <c r="X29" i="41"/>
  <c r="X29" i="43"/>
  <c r="W29" i="41"/>
  <c r="W29" i="43"/>
  <c r="V29" i="41"/>
  <c r="V29" i="43"/>
  <c r="T29" i="41"/>
  <c r="T29" i="43"/>
  <c r="S29" i="41"/>
  <c r="S29" i="43"/>
  <c r="R29" i="41"/>
  <c r="R29" i="43"/>
  <c r="Q29" i="41"/>
  <c r="Q29" i="43"/>
  <c r="P29" i="41"/>
  <c r="P29" i="43"/>
  <c r="O29" i="41"/>
  <c r="O29" i="43"/>
  <c r="N29" i="41"/>
  <c r="N29" i="43"/>
  <c r="M29" i="41"/>
  <c r="M29" i="43"/>
  <c r="L29" i="41"/>
  <c r="L29" i="43"/>
  <c r="K29" i="41"/>
  <c r="K29" i="43"/>
  <c r="J29" i="41"/>
  <c r="J29" i="43"/>
  <c r="I29" i="41"/>
  <c r="I29" i="43"/>
  <c r="H29" i="41"/>
  <c r="H29" i="43"/>
  <c r="G29" i="41"/>
  <c r="G29" i="43"/>
  <c r="F29" i="41"/>
  <c r="F29" i="43"/>
  <c r="E29" i="41"/>
  <c r="E29" i="43"/>
  <c r="Y28" i="44"/>
  <c r="AX28" i="44"/>
  <c r="AZ28" i="41"/>
  <c r="BZ28" i="43"/>
  <c r="X28" i="44"/>
  <c r="AW28" i="44"/>
  <c r="AY28" i="41"/>
  <c r="BY28" i="43"/>
  <c r="W28" i="44"/>
  <c r="AV28" i="44"/>
  <c r="AX28" i="41"/>
  <c r="BX28" i="43"/>
  <c r="V28" i="44"/>
  <c r="AU28" i="44"/>
  <c r="AW28" i="41"/>
  <c r="BW28" i="43"/>
  <c r="U28" i="44"/>
  <c r="AT28" i="44"/>
  <c r="AV28" i="41"/>
  <c r="BV28" i="43"/>
  <c r="S28" i="44"/>
  <c r="AR28" i="44"/>
  <c r="AT28" i="41"/>
  <c r="BT28" i="43"/>
  <c r="R28" i="44"/>
  <c r="AQ28" i="44"/>
  <c r="AS28" i="41"/>
  <c r="BS28" i="43"/>
  <c r="Q28" i="44"/>
  <c r="AP28" i="44"/>
  <c r="AR28" i="41"/>
  <c r="BR28" i="43"/>
  <c r="P28" i="44"/>
  <c r="AO28" i="44"/>
  <c r="AQ28" i="41"/>
  <c r="BQ28" i="43"/>
  <c r="O28" i="44"/>
  <c r="AN28" i="44"/>
  <c r="AP28" i="41"/>
  <c r="BP28" i="43"/>
  <c r="N28" i="44"/>
  <c r="AM28" i="44"/>
  <c r="AO28" i="41"/>
  <c r="BO28" i="43"/>
  <c r="M28" i="44"/>
  <c r="AL28" i="44"/>
  <c r="AN28" i="41"/>
  <c r="BN28" i="43"/>
  <c r="L28" i="44"/>
  <c r="AK28" i="44"/>
  <c r="AM28" i="41"/>
  <c r="BM28" i="43"/>
  <c r="K28" i="44"/>
  <c r="AJ28" i="44"/>
  <c r="AL28" i="41"/>
  <c r="BL28" i="43"/>
  <c r="J28" i="44"/>
  <c r="AI28" i="44"/>
  <c r="AK28" i="41"/>
  <c r="BK28" i="43"/>
  <c r="I28" i="44"/>
  <c r="AH28" i="44"/>
  <c r="AJ28" i="41"/>
  <c r="BJ28" i="43"/>
  <c r="H28" i="44"/>
  <c r="AG28" i="44"/>
  <c r="AI28" i="41"/>
  <c r="BI28" i="43"/>
  <c r="G28" i="44"/>
  <c r="AF28" i="44"/>
  <c r="AH28" i="41"/>
  <c r="BH28" i="43"/>
  <c r="F28" i="44"/>
  <c r="AE28" i="44"/>
  <c r="AG28" i="41"/>
  <c r="BG28" i="43"/>
  <c r="E28" i="44"/>
  <c r="AD28" i="44"/>
  <c r="AF28" i="41"/>
  <c r="BF28" i="43"/>
  <c r="D28" i="44"/>
  <c r="AC28" i="44"/>
  <c r="AE28" i="41"/>
  <c r="BE28" i="43"/>
  <c r="Z28" i="41"/>
  <c r="Z28" i="43"/>
  <c r="Z43" i="43"/>
  <c r="Y28" i="41"/>
  <c r="Y28" i="43"/>
  <c r="X28" i="41"/>
  <c r="X28" i="43"/>
  <c r="X43" i="43"/>
  <c r="W28" i="41"/>
  <c r="W28" i="43"/>
  <c r="V28" i="41"/>
  <c r="V28" i="43"/>
  <c r="T28" i="41"/>
  <c r="T28" i="43"/>
  <c r="S28" i="41"/>
  <c r="S28" i="43"/>
  <c r="R28" i="41"/>
  <c r="R28" i="43"/>
  <c r="Q28" i="41"/>
  <c r="Q28" i="43"/>
  <c r="P28" i="41"/>
  <c r="P28" i="43"/>
  <c r="O28" i="41"/>
  <c r="O28" i="43"/>
  <c r="N28" i="41"/>
  <c r="N28" i="43"/>
  <c r="N43" i="43"/>
  <c r="M28" i="41"/>
  <c r="M28" i="43"/>
  <c r="L28" i="41"/>
  <c r="L28" i="43"/>
  <c r="L43" i="43"/>
  <c r="K28" i="41"/>
  <c r="K28" i="43"/>
  <c r="J28" i="41"/>
  <c r="J28" i="43"/>
  <c r="I28" i="41"/>
  <c r="I28" i="43"/>
  <c r="H28" i="41"/>
  <c r="H28" i="43"/>
  <c r="G28" i="41"/>
  <c r="G28" i="43"/>
  <c r="F28" i="41"/>
  <c r="F28" i="43"/>
  <c r="E28" i="41"/>
  <c r="E28" i="43"/>
  <c r="Y27" i="44"/>
  <c r="AX27" i="44"/>
  <c r="BW27" i="44"/>
  <c r="AZ27" i="41"/>
  <c r="BZ27" i="43"/>
  <c r="X27" i="44"/>
  <c r="AW27" i="44"/>
  <c r="BV27" i="44"/>
  <c r="AY27" i="41"/>
  <c r="BY27" i="43"/>
  <c r="W27" i="44"/>
  <c r="AV27" i="44"/>
  <c r="BU27" i="44"/>
  <c r="AX27" i="41"/>
  <c r="BX27" i="43"/>
  <c r="V27" i="44"/>
  <c r="AU27" i="44"/>
  <c r="BT27" i="44"/>
  <c r="AW27" i="41"/>
  <c r="BW27" i="43"/>
  <c r="U27" i="44"/>
  <c r="AT27" i="44"/>
  <c r="BS27" i="44"/>
  <c r="AV27" i="41"/>
  <c r="BV27" i="43"/>
  <c r="S27" i="44"/>
  <c r="AR27" i="44"/>
  <c r="BQ27" i="44"/>
  <c r="AT27" i="41"/>
  <c r="BT27" i="43"/>
  <c r="R27" i="44"/>
  <c r="AQ27" i="44"/>
  <c r="BP27" i="44"/>
  <c r="AS27" i="41"/>
  <c r="BS27" i="43"/>
  <c r="Q27" i="44"/>
  <c r="AP27" i="44"/>
  <c r="BO27" i="44"/>
  <c r="AR27" i="41"/>
  <c r="BR27" i="43"/>
  <c r="P27" i="44"/>
  <c r="AO27" i="44"/>
  <c r="BN27" i="44"/>
  <c r="AQ27" i="41"/>
  <c r="BQ27" i="43"/>
  <c r="O27" i="44"/>
  <c r="AN27" i="44"/>
  <c r="BM27" i="44"/>
  <c r="AP27" i="41"/>
  <c r="BP27" i="43"/>
  <c r="N27" i="44"/>
  <c r="AM27" i="44"/>
  <c r="BL27" i="44"/>
  <c r="AO27" i="41"/>
  <c r="BO27" i="43"/>
  <c r="M27" i="44"/>
  <c r="AL27" i="44"/>
  <c r="BK27" i="44"/>
  <c r="AN27" i="41"/>
  <c r="BN27" i="43"/>
  <c r="L27" i="44"/>
  <c r="AK27" i="44"/>
  <c r="BJ27" i="44"/>
  <c r="AM27" i="41"/>
  <c r="BM27" i="43"/>
  <c r="K27" i="44"/>
  <c r="AJ27" i="44"/>
  <c r="BI27" i="44"/>
  <c r="AL27" i="41"/>
  <c r="BL27" i="43"/>
  <c r="J27" i="44"/>
  <c r="AI27" i="44"/>
  <c r="BH27" i="44"/>
  <c r="AK27" i="41"/>
  <c r="BK27" i="43"/>
  <c r="I27" i="44"/>
  <c r="AH27" i="44"/>
  <c r="BG27" i="44"/>
  <c r="AJ27" i="41"/>
  <c r="BJ27" i="43"/>
  <c r="H27" i="44"/>
  <c r="AG27" i="44"/>
  <c r="BF27" i="44"/>
  <c r="AI27" i="41"/>
  <c r="BI27" i="43"/>
  <c r="G27" i="44"/>
  <c r="AF27" i="44"/>
  <c r="BE27" i="44"/>
  <c r="AH27" i="41"/>
  <c r="BH27" i="43"/>
  <c r="F27" i="44"/>
  <c r="AE27" i="44"/>
  <c r="BD27" i="44"/>
  <c r="AG27" i="41"/>
  <c r="BG27" i="43"/>
  <c r="E27" i="44"/>
  <c r="AD27" i="44"/>
  <c r="BC27" i="44"/>
  <c r="AF27" i="41"/>
  <c r="BF27" i="43"/>
  <c r="D27" i="44"/>
  <c r="AC27" i="44"/>
  <c r="AE27" i="41"/>
  <c r="BE27" i="43"/>
  <c r="Z27" i="41"/>
  <c r="Z27" i="43"/>
  <c r="Y27" i="41"/>
  <c r="Y27" i="43"/>
  <c r="X27" i="41"/>
  <c r="X27" i="43"/>
  <c r="W27" i="41"/>
  <c r="W27" i="43"/>
  <c r="V27" i="41"/>
  <c r="V27" i="43"/>
  <c r="T27" i="41"/>
  <c r="T27" i="43"/>
  <c r="S27" i="41"/>
  <c r="S27" i="43"/>
  <c r="R27" i="41"/>
  <c r="R27" i="43"/>
  <c r="Q27" i="41"/>
  <c r="Q27" i="43"/>
  <c r="P27" i="41"/>
  <c r="P27" i="43"/>
  <c r="O27" i="41"/>
  <c r="O27" i="43"/>
  <c r="N27" i="41"/>
  <c r="N27" i="43"/>
  <c r="M27" i="41"/>
  <c r="M27" i="43"/>
  <c r="L27" i="41"/>
  <c r="L27" i="43"/>
  <c r="K27" i="41"/>
  <c r="K27" i="43"/>
  <c r="J27" i="41"/>
  <c r="J27" i="43"/>
  <c r="I27" i="41"/>
  <c r="I27" i="43"/>
  <c r="H27" i="41"/>
  <c r="H27" i="43"/>
  <c r="G27" i="41"/>
  <c r="G27" i="43"/>
  <c r="F27" i="41"/>
  <c r="F27" i="43"/>
  <c r="E27" i="41"/>
  <c r="E27" i="43"/>
  <c r="CA36" i="43"/>
  <c r="Y26" i="44"/>
  <c r="AX26" i="44"/>
  <c r="AZ26" i="41"/>
  <c r="BZ26" i="43"/>
  <c r="X26" i="44"/>
  <c r="AW26" i="44"/>
  <c r="AY26" i="41"/>
  <c r="BY26" i="43"/>
  <c r="W26" i="44"/>
  <c r="AV26" i="44"/>
  <c r="AX26" i="41"/>
  <c r="BX26" i="43"/>
  <c r="V26" i="44"/>
  <c r="AU26" i="44"/>
  <c r="AW26" i="41"/>
  <c r="BW26" i="43"/>
  <c r="U26" i="44"/>
  <c r="AT26" i="44"/>
  <c r="AV26" i="41"/>
  <c r="BV26" i="43"/>
  <c r="S26" i="44"/>
  <c r="AR26" i="44"/>
  <c r="AT26" i="41"/>
  <c r="BT26" i="43"/>
  <c r="R26" i="44"/>
  <c r="AQ26" i="44"/>
  <c r="AS26" i="41"/>
  <c r="BS26" i="43"/>
  <c r="Q26" i="44"/>
  <c r="AP26" i="44"/>
  <c r="AR26" i="41"/>
  <c r="BR26" i="43"/>
  <c r="P26" i="44"/>
  <c r="AO26" i="44"/>
  <c r="AQ26" i="41"/>
  <c r="BQ26" i="43"/>
  <c r="BQ36" i="43"/>
  <c r="O26" i="44"/>
  <c r="AN26" i="44"/>
  <c r="AP26" i="41"/>
  <c r="BP26" i="43"/>
  <c r="N26" i="44"/>
  <c r="AM26" i="44"/>
  <c r="AO26" i="41"/>
  <c r="BO26" i="43"/>
  <c r="BO36" i="43"/>
  <c r="M26" i="44"/>
  <c r="AL26" i="44"/>
  <c r="AN26" i="41"/>
  <c r="BN26" i="43"/>
  <c r="L26" i="44"/>
  <c r="AK26" i="44"/>
  <c r="AM26" i="41"/>
  <c r="BM26" i="43"/>
  <c r="K26" i="44"/>
  <c r="AJ26" i="44"/>
  <c r="AL26" i="41"/>
  <c r="BL26" i="43"/>
  <c r="J26" i="44"/>
  <c r="AI26" i="44"/>
  <c r="AK26" i="41"/>
  <c r="BK26" i="43"/>
  <c r="I26" i="44"/>
  <c r="AH26" i="44"/>
  <c r="AJ26" i="41"/>
  <c r="BJ26" i="43"/>
  <c r="H26" i="44"/>
  <c r="AG26" i="44"/>
  <c r="AI26" i="41"/>
  <c r="BI26" i="43"/>
  <c r="G26" i="44"/>
  <c r="AF26" i="44"/>
  <c r="AH26" i="41"/>
  <c r="BH26" i="43"/>
  <c r="F26" i="44"/>
  <c r="AE26" i="44"/>
  <c r="AG26" i="41"/>
  <c r="BG26" i="43"/>
  <c r="E26" i="44"/>
  <c r="AD26" i="44"/>
  <c r="AF26" i="41"/>
  <c r="BF26" i="43"/>
  <c r="D26" i="44"/>
  <c r="AC26" i="44"/>
  <c r="AE26" i="41"/>
  <c r="BE26" i="43"/>
  <c r="BE36" i="43"/>
  <c r="Z26" i="41"/>
  <c r="Z26" i="43"/>
  <c r="Y26" i="41"/>
  <c r="Y26" i="43"/>
  <c r="X26" i="41"/>
  <c r="X26" i="43"/>
  <c r="W26" i="41"/>
  <c r="W26" i="43"/>
  <c r="V26" i="41"/>
  <c r="V26" i="43"/>
  <c r="T26" i="41"/>
  <c r="T26" i="43"/>
  <c r="S26" i="41"/>
  <c r="S26" i="43"/>
  <c r="R26" i="41"/>
  <c r="R26" i="43"/>
  <c r="R36" i="43"/>
  <c r="Q26" i="41"/>
  <c r="Q26" i="43"/>
  <c r="P26" i="41"/>
  <c r="P26" i="43"/>
  <c r="O26" i="41"/>
  <c r="O26" i="43"/>
  <c r="N26" i="41"/>
  <c r="N26" i="43"/>
  <c r="M26" i="41"/>
  <c r="M26" i="43"/>
  <c r="L26" i="41"/>
  <c r="L26" i="43"/>
  <c r="K26" i="41"/>
  <c r="K26" i="43"/>
  <c r="J26" i="41"/>
  <c r="J26" i="43"/>
  <c r="I26" i="41"/>
  <c r="I26" i="43"/>
  <c r="H26" i="41"/>
  <c r="H26" i="43"/>
  <c r="G26" i="41"/>
  <c r="G26" i="43"/>
  <c r="F26" i="41"/>
  <c r="F26" i="43"/>
  <c r="F36" i="43"/>
  <c r="E26" i="41"/>
  <c r="E26" i="43"/>
  <c r="D36" i="43"/>
  <c r="Y25" i="44"/>
  <c r="AX25" i="44"/>
  <c r="BW25" i="44"/>
  <c r="AZ25" i="41"/>
  <c r="BZ25" i="43"/>
  <c r="X25" i="44"/>
  <c r="AW25" i="44"/>
  <c r="BV25" i="44"/>
  <c r="AY25" i="41"/>
  <c r="BY25" i="43"/>
  <c r="W25" i="44"/>
  <c r="AV25" i="44"/>
  <c r="BU25" i="44"/>
  <c r="AX25" i="41"/>
  <c r="BX25" i="43"/>
  <c r="V25" i="44"/>
  <c r="AU25" i="44"/>
  <c r="BT25" i="44"/>
  <c r="AW25" i="41"/>
  <c r="BW25" i="43"/>
  <c r="U25" i="44"/>
  <c r="AT25" i="44"/>
  <c r="BS25" i="44"/>
  <c r="AV25" i="41"/>
  <c r="BV25" i="43"/>
  <c r="S25" i="44"/>
  <c r="AR25" i="44"/>
  <c r="BQ25" i="44"/>
  <c r="AT25" i="41"/>
  <c r="BT25" i="43"/>
  <c r="R25" i="44"/>
  <c r="AQ25" i="44"/>
  <c r="BP25" i="44"/>
  <c r="AS25" i="41"/>
  <c r="BS25" i="43"/>
  <c r="Q25" i="44"/>
  <c r="AP25" i="44"/>
  <c r="BO25" i="44"/>
  <c r="AR25" i="41"/>
  <c r="BR25" i="43"/>
  <c r="P25" i="44"/>
  <c r="AO25" i="44"/>
  <c r="BN25" i="44"/>
  <c r="AQ25" i="41"/>
  <c r="BQ25" i="43"/>
  <c r="O25" i="44"/>
  <c r="AN25" i="44"/>
  <c r="BM25" i="44"/>
  <c r="AP25" i="41"/>
  <c r="BP25" i="43"/>
  <c r="N25" i="44"/>
  <c r="AM25" i="44"/>
  <c r="BL25" i="44"/>
  <c r="AO25" i="41"/>
  <c r="BO25" i="43"/>
  <c r="M25" i="44"/>
  <c r="AL25" i="44"/>
  <c r="BK25" i="44"/>
  <c r="AN25" i="41"/>
  <c r="BN25" i="43"/>
  <c r="L25" i="44"/>
  <c r="AK25" i="44"/>
  <c r="BJ25" i="44"/>
  <c r="AM25" i="41"/>
  <c r="BM25" i="43"/>
  <c r="K25" i="44"/>
  <c r="AJ25" i="44"/>
  <c r="BI25" i="44"/>
  <c r="AL25" i="41"/>
  <c r="BL25" i="43"/>
  <c r="J25" i="44"/>
  <c r="AI25" i="44"/>
  <c r="BH25" i="44"/>
  <c r="AK25" i="41"/>
  <c r="BK25" i="43"/>
  <c r="I25" i="44"/>
  <c r="AH25" i="44"/>
  <c r="BG25" i="44"/>
  <c r="AJ25" i="41"/>
  <c r="BJ25" i="43"/>
  <c r="H25" i="44"/>
  <c r="AG25" i="44"/>
  <c r="BF25" i="44"/>
  <c r="AI25" i="41"/>
  <c r="BI25" i="43"/>
  <c r="G25" i="44"/>
  <c r="AF25" i="44"/>
  <c r="BE25" i="44"/>
  <c r="AH25" i="41"/>
  <c r="BH25" i="43"/>
  <c r="F25" i="44"/>
  <c r="AE25" i="44"/>
  <c r="BD25" i="44"/>
  <c r="AG25" i="41"/>
  <c r="BG25" i="43"/>
  <c r="E25" i="44"/>
  <c r="AD25" i="44"/>
  <c r="BC25" i="44"/>
  <c r="AF25" i="41"/>
  <c r="BF25" i="43"/>
  <c r="D25" i="44"/>
  <c r="AC25" i="44"/>
  <c r="AE25" i="41"/>
  <c r="BE25" i="43"/>
  <c r="Z25" i="41"/>
  <c r="Z25" i="43"/>
  <c r="Y25" i="41"/>
  <c r="Y25" i="43"/>
  <c r="X25" i="41"/>
  <c r="X25" i="43"/>
  <c r="W25" i="41"/>
  <c r="W25" i="43"/>
  <c r="V25" i="41"/>
  <c r="V25" i="43"/>
  <c r="T25" i="41"/>
  <c r="T25" i="43"/>
  <c r="S25" i="41"/>
  <c r="S25" i="43"/>
  <c r="R25" i="41"/>
  <c r="R25" i="43"/>
  <c r="Q25" i="41"/>
  <c r="Q25" i="43"/>
  <c r="P25" i="41"/>
  <c r="P25" i="43"/>
  <c r="O25" i="41"/>
  <c r="O25" i="43"/>
  <c r="N25" i="41"/>
  <c r="N25" i="43"/>
  <c r="M25" i="41"/>
  <c r="M25" i="43"/>
  <c r="L25" i="41"/>
  <c r="L25" i="43"/>
  <c r="K25" i="41"/>
  <c r="K25" i="43"/>
  <c r="J25" i="41"/>
  <c r="J25" i="43"/>
  <c r="I25" i="41"/>
  <c r="I25" i="43"/>
  <c r="H25" i="41"/>
  <c r="H25" i="43"/>
  <c r="G25" i="41"/>
  <c r="G25" i="43"/>
  <c r="F25" i="41"/>
  <c r="F25" i="43"/>
  <c r="E25" i="41"/>
  <c r="E25" i="43"/>
  <c r="Y24" i="44"/>
  <c r="AX24" i="44"/>
  <c r="BW24" i="44"/>
  <c r="AZ24" i="41"/>
  <c r="BZ24" i="43"/>
  <c r="X24" i="44"/>
  <c r="AW24" i="44"/>
  <c r="BV24" i="44"/>
  <c r="AY24" i="41"/>
  <c r="BY24" i="43"/>
  <c r="W24" i="44"/>
  <c r="AV24" i="44"/>
  <c r="BU24" i="44"/>
  <c r="AX24" i="41"/>
  <c r="BX24" i="43"/>
  <c r="V24" i="44"/>
  <c r="AU24" i="44"/>
  <c r="BT24" i="44"/>
  <c r="AW24" i="41"/>
  <c r="BW24" i="43"/>
  <c r="U24" i="44"/>
  <c r="AT24" i="44"/>
  <c r="BS24" i="44"/>
  <c r="AV24" i="41"/>
  <c r="BV24" i="43"/>
  <c r="S24" i="44"/>
  <c r="AR24" i="44"/>
  <c r="BQ24" i="44"/>
  <c r="AT24" i="41"/>
  <c r="BT24" i="43"/>
  <c r="R24" i="44"/>
  <c r="AQ24" i="44"/>
  <c r="BP24" i="44"/>
  <c r="AS24" i="41"/>
  <c r="BS24" i="43"/>
  <c r="Q24" i="44"/>
  <c r="AP24" i="44"/>
  <c r="BO24" i="44"/>
  <c r="AR24" i="41"/>
  <c r="BR24" i="43"/>
  <c r="P24" i="44"/>
  <c r="AO24" i="44"/>
  <c r="BN24" i="44"/>
  <c r="AQ24" i="41"/>
  <c r="BQ24" i="43"/>
  <c r="O24" i="44"/>
  <c r="AN24" i="44"/>
  <c r="BM24" i="44"/>
  <c r="AP24" i="41"/>
  <c r="BP24" i="43"/>
  <c r="N24" i="44"/>
  <c r="AM24" i="44"/>
  <c r="BL24" i="44"/>
  <c r="AO24" i="41"/>
  <c r="BO24" i="43"/>
  <c r="M24" i="44"/>
  <c r="AL24" i="44"/>
  <c r="BK24" i="44"/>
  <c r="AN24" i="41"/>
  <c r="BN24" i="43"/>
  <c r="L24" i="44"/>
  <c r="AK24" i="44"/>
  <c r="BJ24" i="44"/>
  <c r="AM24" i="41"/>
  <c r="BM24" i="43"/>
  <c r="K24" i="44"/>
  <c r="AJ24" i="44"/>
  <c r="BI24" i="44"/>
  <c r="AL24" i="41"/>
  <c r="BL24" i="43"/>
  <c r="J24" i="44"/>
  <c r="AI24" i="44"/>
  <c r="BH24" i="44"/>
  <c r="AK24" i="41"/>
  <c r="BK24" i="43"/>
  <c r="I24" i="44"/>
  <c r="AH24" i="44"/>
  <c r="BG24" i="44"/>
  <c r="AJ24" i="41"/>
  <c r="BJ24" i="43"/>
  <c r="H24" i="44"/>
  <c r="AG24" i="44"/>
  <c r="BF24" i="44"/>
  <c r="AI24" i="41"/>
  <c r="BI24" i="43"/>
  <c r="G24" i="44"/>
  <c r="AF24" i="44"/>
  <c r="BE24" i="44"/>
  <c r="AH24" i="41"/>
  <c r="BH24" i="43"/>
  <c r="F24" i="44"/>
  <c r="AE24" i="44"/>
  <c r="BD24" i="44"/>
  <c r="AG24" i="41"/>
  <c r="BG24" i="43"/>
  <c r="E24" i="44"/>
  <c r="AD24" i="44"/>
  <c r="BC24" i="44"/>
  <c r="AF24" i="41"/>
  <c r="BF24" i="43"/>
  <c r="D24" i="44"/>
  <c r="AC24" i="44"/>
  <c r="AE24" i="41"/>
  <c r="BE24" i="43"/>
  <c r="Z24" i="41"/>
  <c r="Z24" i="43"/>
  <c r="Y24" i="41"/>
  <c r="Y24" i="43"/>
  <c r="X24" i="41"/>
  <c r="X24" i="43"/>
  <c r="W24" i="41"/>
  <c r="W24" i="43"/>
  <c r="V24" i="41"/>
  <c r="V24" i="43"/>
  <c r="T24" i="41"/>
  <c r="T24" i="43"/>
  <c r="S24" i="41"/>
  <c r="S24" i="43"/>
  <c r="R24" i="41"/>
  <c r="R24" i="43"/>
  <c r="Q24" i="41"/>
  <c r="Q24" i="43"/>
  <c r="P24" i="41"/>
  <c r="P24" i="43"/>
  <c r="O24" i="41"/>
  <c r="O24" i="43"/>
  <c r="N24" i="41"/>
  <c r="N24" i="43"/>
  <c r="M24" i="41"/>
  <c r="M24" i="43"/>
  <c r="L24" i="41"/>
  <c r="L24" i="43"/>
  <c r="K24" i="41"/>
  <c r="K24" i="43"/>
  <c r="J24" i="41"/>
  <c r="J24" i="43"/>
  <c r="I24" i="41"/>
  <c r="I24" i="43"/>
  <c r="H24" i="41"/>
  <c r="H24" i="43"/>
  <c r="G24" i="41"/>
  <c r="G24" i="43"/>
  <c r="F24" i="41"/>
  <c r="F24" i="43"/>
  <c r="E24" i="41"/>
  <c r="E24" i="43"/>
  <c r="Y23" i="44"/>
  <c r="AX23" i="44"/>
  <c r="BW23" i="44"/>
  <c r="AZ23" i="41"/>
  <c r="BZ23" i="43"/>
  <c r="X23" i="44"/>
  <c r="AW23" i="44"/>
  <c r="BV23" i="44"/>
  <c r="AY23" i="41"/>
  <c r="BY23" i="43"/>
  <c r="W23" i="44"/>
  <c r="AV23" i="44"/>
  <c r="BU23" i="44"/>
  <c r="AX23" i="41"/>
  <c r="BX23" i="43"/>
  <c r="V23" i="44"/>
  <c r="AU23" i="44"/>
  <c r="BT23" i="44"/>
  <c r="AW23" i="41"/>
  <c r="BW23" i="43"/>
  <c r="BW49" i="43"/>
  <c r="U23" i="44"/>
  <c r="AT23" i="44"/>
  <c r="BS23" i="44"/>
  <c r="AV23" i="41"/>
  <c r="BV23" i="43"/>
  <c r="S23" i="44"/>
  <c r="AR23" i="44"/>
  <c r="BQ23" i="44"/>
  <c r="AT23" i="41"/>
  <c r="BT23" i="43"/>
  <c r="R23" i="44"/>
  <c r="AQ23" i="44"/>
  <c r="BP23" i="44"/>
  <c r="AS23" i="41"/>
  <c r="BS23" i="43"/>
  <c r="Q23" i="44"/>
  <c r="AP23" i="44"/>
  <c r="BO23" i="44"/>
  <c r="AR23" i="41"/>
  <c r="BR23" i="43"/>
  <c r="P23" i="44"/>
  <c r="AO23" i="44"/>
  <c r="BN23" i="44"/>
  <c r="AQ23" i="41"/>
  <c r="BQ23" i="43"/>
  <c r="O23" i="44"/>
  <c r="AN23" i="44"/>
  <c r="BM23" i="44"/>
  <c r="AP23" i="41"/>
  <c r="BP23" i="43"/>
  <c r="N23" i="44"/>
  <c r="AM23" i="44"/>
  <c r="BL23" i="44"/>
  <c r="AO23" i="41"/>
  <c r="BO23" i="43"/>
  <c r="M23" i="44"/>
  <c r="AL23" i="44"/>
  <c r="BK23" i="44"/>
  <c r="AN23" i="41"/>
  <c r="BN23" i="43"/>
  <c r="L23" i="44"/>
  <c r="AK23" i="44"/>
  <c r="BJ23" i="44"/>
  <c r="AM23" i="41"/>
  <c r="BM23" i="43"/>
  <c r="K23" i="44"/>
  <c r="AJ23" i="44"/>
  <c r="BI23" i="44"/>
  <c r="AL23" i="41"/>
  <c r="BL23" i="43"/>
  <c r="J23" i="44"/>
  <c r="AI23" i="44"/>
  <c r="BH23" i="44"/>
  <c r="AK23" i="41"/>
  <c r="BK23" i="43"/>
  <c r="BK49" i="43"/>
  <c r="I23" i="44"/>
  <c r="AH23" i="44"/>
  <c r="BG23" i="44"/>
  <c r="AJ23" i="41"/>
  <c r="BJ23" i="43"/>
  <c r="H23" i="44"/>
  <c r="AG23" i="44"/>
  <c r="BF23" i="44"/>
  <c r="AI23" i="41"/>
  <c r="BI23" i="43"/>
  <c r="BI49" i="43"/>
  <c r="G23" i="44"/>
  <c r="AF23" i="44"/>
  <c r="BE23" i="44"/>
  <c r="AH23" i="41"/>
  <c r="BH23" i="43"/>
  <c r="F23" i="44"/>
  <c r="AE23" i="44"/>
  <c r="BD23" i="44"/>
  <c r="AG23" i="41"/>
  <c r="BG23" i="43"/>
  <c r="E23" i="44"/>
  <c r="AD23" i="44"/>
  <c r="BC23" i="44"/>
  <c r="AF23" i="41"/>
  <c r="BF23" i="43"/>
  <c r="D23" i="44"/>
  <c r="AC23" i="44"/>
  <c r="AE23" i="41"/>
  <c r="BE23" i="43"/>
  <c r="Z23" i="41"/>
  <c r="Z23" i="43"/>
  <c r="Y23" i="41"/>
  <c r="Y23" i="43"/>
  <c r="X23" i="41"/>
  <c r="X23" i="43"/>
  <c r="X49" i="43"/>
  <c r="W23" i="41"/>
  <c r="W23" i="43"/>
  <c r="V23" i="41"/>
  <c r="V23" i="43"/>
  <c r="V49" i="43"/>
  <c r="T23" i="41"/>
  <c r="T23" i="43"/>
  <c r="S23" i="41"/>
  <c r="S23" i="43"/>
  <c r="R23" i="41"/>
  <c r="R23" i="43"/>
  <c r="Q23" i="41"/>
  <c r="Q23" i="43"/>
  <c r="P23" i="41"/>
  <c r="P23" i="43"/>
  <c r="O23" i="41"/>
  <c r="O23" i="43"/>
  <c r="N23" i="41"/>
  <c r="N23" i="43"/>
  <c r="M23" i="41"/>
  <c r="M23" i="43"/>
  <c r="L23" i="41"/>
  <c r="L23" i="43"/>
  <c r="L49" i="43"/>
  <c r="K23" i="41"/>
  <c r="K23" i="43"/>
  <c r="J23" i="41"/>
  <c r="J23" i="43"/>
  <c r="J49" i="43"/>
  <c r="I23" i="41"/>
  <c r="I23" i="43"/>
  <c r="H23" i="41"/>
  <c r="H23" i="43"/>
  <c r="G23" i="41"/>
  <c r="G23" i="43"/>
  <c r="F23" i="41"/>
  <c r="F23" i="43"/>
  <c r="E23" i="41"/>
  <c r="E23" i="43"/>
  <c r="Y22" i="44"/>
  <c r="AX22" i="44"/>
  <c r="AZ22" i="41"/>
  <c r="BZ22" i="43"/>
  <c r="X22" i="44"/>
  <c r="AW22" i="44"/>
  <c r="AY22" i="41"/>
  <c r="BY22" i="43"/>
  <c r="BY37" i="43"/>
  <c r="W22" i="44"/>
  <c r="AV22" i="44"/>
  <c r="AX22" i="41"/>
  <c r="BX22" i="43"/>
  <c r="V22" i="44"/>
  <c r="AU22" i="44"/>
  <c r="AW22" i="41"/>
  <c r="BW22" i="43"/>
  <c r="BW37" i="43"/>
  <c r="U22" i="44"/>
  <c r="AT22" i="44"/>
  <c r="AV22" i="41"/>
  <c r="BV22" i="43"/>
  <c r="S22" i="44"/>
  <c r="AR22" i="44"/>
  <c r="AT22" i="41"/>
  <c r="BT22" i="43"/>
  <c r="R22" i="44"/>
  <c r="AQ22" i="44"/>
  <c r="AS22" i="41"/>
  <c r="BS22" i="43"/>
  <c r="Q22" i="44"/>
  <c r="AP22" i="44"/>
  <c r="AR22" i="41"/>
  <c r="BR22" i="43"/>
  <c r="P22" i="44"/>
  <c r="AO22" i="44"/>
  <c r="AQ22" i="41"/>
  <c r="BQ22" i="43"/>
  <c r="O22" i="44"/>
  <c r="AN22" i="44"/>
  <c r="AP22" i="41"/>
  <c r="BP22" i="43"/>
  <c r="N22" i="44"/>
  <c r="AM22" i="44"/>
  <c r="AO22" i="41"/>
  <c r="BO22" i="43"/>
  <c r="M22" i="44"/>
  <c r="AL22" i="44"/>
  <c r="AN22" i="41"/>
  <c r="BN22" i="43"/>
  <c r="L22" i="44"/>
  <c r="AK22" i="44"/>
  <c r="AM22" i="41"/>
  <c r="BM22" i="43"/>
  <c r="BM37" i="43"/>
  <c r="K22" i="44"/>
  <c r="AJ22" i="44"/>
  <c r="AL22" i="41"/>
  <c r="BL22" i="43"/>
  <c r="J22" i="44"/>
  <c r="AI22" i="44"/>
  <c r="AK22" i="41"/>
  <c r="BK22" i="43"/>
  <c r="BK37" i="43"/>
  <c r="I22" i="44"/>
  <c r="AH22" i="44"/>
  <c r="AJ22" i="41"/>
  <c r="BJ22" i="43"/>
  <c r="H22" i="44"/>
  <c r="AG22" i="44"/>
  <c r="AI22" i="41"/>
  <c r="BI22" i="43"/>
  <c r="G22" i="44"/>
  <c r="AF22" i="44"/>
  <c r="AH22" i="41"/>
  <c r="BH22" i="43"/>
  <c r="F22" i="44"/>
  <c r="AE22" i="44"/>
  <c r="AG22" i="41"/>
  <c r="BG22" i="43"/>
  <c r="E22" i="44"/>
  <c r="AD22" i="44"/>
  <c r="AF22" i="41"/>
  <c r="BF22" i="43"/>
  <c r="D22" i="44"/>
  <c r="AC22" i="44"/>
  <c r="AE22" i="41"/>
  <c r="BE22" i="43"/>
  <c r="Z22" i="41"/>
  <c r="Z22" i="43"/>
  <c r="Z37" i="43"/>
  <c r="Y22" i="41"/>
  <c r="Y22" i="43"/>
  <c r="X22" i="41"/>
  <c r="X22" i="43"/>
  <c r="X37" i="43"/>
  <c r="W22" i="41"/>
  <c r="W22" i="43"/>
  <c r="V22" i="41"/>
  <c r="V22" i="43"/>
  <c r="T22" i="41"/>
  <c r="T22" i="43"/>
  <c r="S22" i="41"/>
  <c r="S22" i="43"/>
  <c r="R22" i="41"/>
  <c r="R22" i="43"/>
  <c r="Q22" i="41"/>
  <c r="Q22" i="43"/>
  <c r="P22" i="41"/>
  <c r="P22" i="43"/>
  <c r="O22" i="41"/>
  <c r="O22" i="43"/>
  <c r="N22" i="41"/>
  <c r="N22" i="43"/>
  <c r="M22" i="41"/>
  <c r="M22" i="43"/>
  <c r="L22" i="41"/>
  <c r="L22" i="43"/>
  <c r="K22" i="41"/>
  <c r="K22" i="43"/>
  <c r="J22" i="41"/>
  <c r="J22" i="43"/>
  <c r="I22" i="41"/>
  <c r="I22" i="43"/>
  <c r="H22" i="41"/>
  <c r="H22" i="43"/>
  <c r="G22" i="41"/>
  <c r="G22" i="43"/>
  <c r="F22" i="41"/>
  <c r="F22" i="43"/>
  <c r="E22" i="41"/>
  <c r="E22" i="43"/>
  <c r="Y21" i="44"/>
  <c r="AX21" i="44"/>
  <c r="BW21" i="44"/>
  <c r="AZ21" i="41"/>
  <c r="BZ21" i="43"/>
  <c r="X21" i="44"/>
  <c r="AW21" i="44"/>
  <c r="BV21" i="44"/>
  <c r="AY21" i="41"/>
  <c r="BY21" i="43"/>
  <c r="W21" i="44"/>
  <c r="AV21" i="44"/>
  <c r="BU21" i="44"/>
  <c r="AX21" i="41"/>
  <c r="BX21" i="43"/>
  <c r="V21" i="44"/>
  <c r="AU21" i="44"/>
  <c r="BT21" i="44"/>
  <c r="AW21" i="41"/>
  <c r="BW21" i="43"/>
  <c r="U21" i="44"/>
  <c r="AT21" i="44"/>
  <c r="BS21" i="44"/>
  <c r="AV21" i="41"/>
  <c r="BV21" i="43"/>
  <c r="S21" i="44"/>
  <c r="AR21" i="44"/>
  <c r="BQ21" i="44"/>
  <c r="AT21" i="41"/>
  <c r="BT21" i="43"/>
  <c r="R21" i="44"/>
  <c r="AQ21" i="44"/>
  <c r="BP21" i="44"/>
  <c r="AS21" i="41"/>
  <c r="BS21" i="43"/>
  <c r="Q21" i="44"/>
  <c r="AP21" i="44"/>
  <c r="BO21" i="44"/>
  <c r="AR21" i="41"/>
  <c r="BR21" i="43"/>
  <c r="P21" i="44"/>
  <c r="AO21" i="44"/>
  <c r="BN21" i="44"/>
  <c r="AQ21" i="41"/>
  <c r="BQ21" i="43"/>
  <c r="O21" i="44"/>
  <c r="AN21" i="44"/>
  <c r="BM21" i="44"/>
  <c r="AP21" i="41"/>
  <c r="BP21" i="43"/>
  <c r="N21" i="44"/>
  <c r="AM21" i="44"/>
  <c r="BL21" i="44"/>
  <c r="AO21" i="41"/>
  <c r="BO21" i="43"/>
  <c r="M21" i="44"/>
  <c r="AL21" i="44"/>
  <c r="BK21" i="44"/>
  <c r="AN21" i="41"/>
  <c r="BN21" i="43"/>
  <c r="L21" i="44"/>
  <c r="AK21" i="44"/>
  <c r="BJ21" i="44"/>
  <c r="AM21" i="41"/>
  <c r="BM21" i="43"/>
  <c r="K21" i="44"/>
  <c r="AJ21" i="44"/>
  <c r="BI21" i="44"/>
  <c r="AL21" i="41"/>
  <c r="BL21" i="43"/>
  <c r="J21" i="44"/>
  <c r="AI21" i="44"/>
  <c r="BH21" i="44"/>
  <c r="AK21" i="41"/>
  <c r="BK21" i="43"/>
  <c r="I21" i="44"/>
  <c r="AH21" i="44"/>
  <c r="BG21" i="44"/>
  <c r="AJ21" i="41"/>
  <c r="BJ21" i="43"/>
  <c r="H21" i="44"/>
  <c r="AG21" i="44"/>
  <c r="BF21" i="44"/>
  <c r="AI21" i="41"/>
  <c r="BI21" i="43"/>
  <c r="G21" i="44"/>
  <c r="AF21" i="44"/>
  <c r="BE21" i="44"/>
  <c r="AH21" i="41"/>
  <c r="BH21" i="43"/>
  <c r="F21" i="44"/>
  <c r="AE21" i="44"/>
  <c r="BD21" i="44"/>
  <c r="AG21" i="41"/>
  <c r="BG21" i="43"/>
  <c r="E21" i="44"/>
  <c r="AD21" i="44"/>
  <c r="BC21" i="44"/>
  <c r="AF21" i="41"/>
  <c r="BF21" i="43"/>
  <c r="D21" i="44"/>
  <c r="AC21" i="44"/>
  <c r="AE21" i="41"/>
  <c r="BE21" i="43"/>
  <c r="Z21" i="41"/>
  <c r="Z21" i="43"/>
  <c r="Y21" i="41"/>
  <c r="Y21" i="43"/>
  <c r="X21" i="41"/>
  <c r="X21" i="43"/>
  <c r="W21" i="41"/>
  <c r="W21" i="43"/>
  <c r="V21" i="41"/>
  <c r="V21" i="43"/>
  <c r="T21" i="41"/>
  <c r="T21" i="43"/>
  <c r="S21" i="41"/>
  <c r="S21" i="43"/>
  <c r="R21" i="41"/>
  <c r="R21" i="43"/>
  <c r="Q21" i="41"/>
  <c r="Q21" i="43"/>
  <c r="P21" i="41"/>
  <c r="P21" i="43"/>
  <c r="O21" i="41"/>
  <c r="O21" i="43"/>
  <c r="N21" i="41"/>
  <c r="N21" i="43"/>
  <c r="M21" i="41"/>
  <c r="M21" i="43"/>
  <c r="L21" i="41"/>
  <c r="L21" i="43"/>
  <c r="K21" i="41"/>
  <c r="K21" i="43"/>
  <c r="J21" i="41"/>
  <c r="J21" i="43"/>
  <c r="I21" i="41"/>
  <c r="I21" i="43"/>
  <c r="H21" i="41"/>
  <c r="H21" i="43"/>
  <c r="G21" i="41"/>
  <c r="G21" i="43"/>
  <c r="F21" i="41"/>
  <c r="F21" i="43"/>
  <c r="E21" i="41"/>
  <c r="E21" i="43"/>
  <c r="Y20" i="44"/>
  <c r="AX20" i="44"/>
  <c r="BW20" i="44"/>
  <c r="AZ20" i="41"/>
  <c r="BZ20" i="43"/>
  <c r="X20" i="44"/>
  <c r="AW20" i="44"/>
  <c r="BV20" i="44"/>
  <c r="AY20" i="41"/>
  <c r="BY20" i="43"/>
  <c r="W20" i="44"/>
  <c r="AV20" i="44"/>
  <c r="BU20" i="44"/>
  <c r="AX20" i="41"/>
  <c r="BX20" i="43"/>
  <c r="V20" i="44"/>
  <c r="AU20" i="44"/>
  <c r="BT20" i="44"/>
  <c r="AW20" i="41"/>
  <c r="BW20" i="43"/>
  <c r="U20" i="44"/>
  <c r="AT20" i="44"/>
  <c r="BS20" i="44"/>
  <c r="AV20" i="41"/>
  <c r="BV20" i="43"/>
  <c r="S20" i="44"/>
  <c r="AR20" i="44"/>
  <c r="BQ20" i="44"/>
  <c r="AT20" i="41"/>
  <c r="BT20" i="43"/>
  <c r="R20" i="44"/>
  <c r="AQ20" i="44"/>
  <c r="BP20" i="44"/>
  <c r="AS20" i="41"/>
  <c r="BS20" i="43"/>
  <c r="Q20" i="44"/>
  <c r="AP20" i="44"/>
  <c r="BO20" i="44"/>
  <c r="AR20" i="41"/>
  <c r="BR20" i="43"/>
  <c r="P20" i="44"/>
  <c r="AO20" i="44"/>
  <c r="BN20" i="44"/>
  <c r="AQ20" i="41"/>
  <c r="BQ20" i="43"/>
  <c r="O20" i="44"/>
  <c r="AN20" i="44"/>
  <c r="BM20" i="44"/>
  <c r="AP20" i="41"/>
  <c r="BP20" i="43"/>
  <c r="N20" i="44"/>
  <c r="AM20" i="44"/>
  <c r="BL20" i="44"/>
  <c r="AO20" i="41"/>
  <c r="BO20" i="43"/>
  <c r="M20" i="44"/>
  <c r="AL20" i="44"/>
  <c r="BK20" i="44"/>
  <c r="AN20" i="41"/>
  <c r="BN20" i="43"/>
  <c r="L20" i="44"/>
  <c r="AK20" i="44"/>
  <c r="BJ20" i="44"/>
  <c r="AM20" i="41"/>
  <c r="BM20" i="43"/>
  <c r="K20" i="44"/>
  <c r="AJ20" i="44"/>
  <c r="BI20" i="44"/>
  <c r="AL20" i="41"/>
  <c r="BL20" i="43"/>
  <c r="J20" i="44"/>
  <c r="AI20" i="44"/>
  <c r="BH20" i="44"/>
  <c r="AK20" i="41"/>
  <c r="BK20" i="43"/>
  <c r="I20" i="44"/>
  <c r="AH20" i="44"/>
  <c r="BG20" i="44"/>
  <c r="AJ20" i="41"/>
  <c r="BJ20" i="43"/>
  <c r="H20" i="44"/>
  <c r="AG20" i="44"/>
  <c r="BF20" i="44"/>
  <c r="AI20" i="41"/>
  <c r="BI20" i="43"/>
  <c r="G20" i="44"/>
  <c r="AF20" i="44"/>
  <c r="BE20" i="44"/>
  <c r="AH20" i="41"/>
  <c r="BH20" i="43"/>
  <c r="F20" i="44"/>
  <c r="AE20" i="44"/>
  <c r="BD20" i="44"/>
  <c r="AG20" i="41"/>
  <c r="BG20" i="43"/>
  <c r="E20" i="44"/>
  <c r="AD20" i="44"/>
  <c r="BC20" i="44"/>
  <c r="AF20" i="41"/>
  <c r="BF20" i="43"/>
  <c r="D20" i="44"/>
  <c r="AC20" i="44"/>
  <c r="AE20" i="41"/>
  <c r="BE20" i="43"/>
  <c r="Z20" i="41"/>
  <c r="Z20" i="43"/>
  <c r="Y20" i="41"/>
  <c r="Y20" i="43"/>
  <c r="X20" i="41"/>
  <c r="X20" i="43"/>
  <c r="W20" i="41"/>
  <c r="W20" i="43"/>
  <c r="V20" i="41"/>
  <c r="V20" i="43"/>
  <c r="T20" i="41"/>
  <c r="T20" i="43"/>
  <c r="S20" i="41"/>
  <c r="S20" i="43"/>
  <c r="R20" i="41"/>
  <c r="R20" i="43"/>
  <c r="Q20" i="41"/>
  <c r="Q20" i="43"/>
  <c r="P20" i="41"/>
  <c r="P20" i="43"/>
  <c r="O20" i="41"/>
  <c r="O20" i="43"/>
  <c r="N20" i="41"/>
  <c r="N20" i="43"/>
  <c r="M20" i="41"/>
  <c r="M20" i="43"/>
  <c r="L20" i="41"/>
  <c r="L20" i="43"/>
  <c r="K20" i="41"/>
  <c r="K20" i="43"/>
  <c r="J20" i="41"/>
  <c r="J20" i="43"/>
  <c r="I20" i="41"/>
  <c r="I20" i="43"/>
  <c r="H20" i="41"/>
  <c r="H20" i="43"/>
  <c r="G20" i="41"/>
  <c r="G20" i="43"/>
  <c r="F20" i="41"/>
  <c r="F20" i="43"/>
  <c r="E20" i="41"/>
  <c r="E20" i="43"/>
  <c r="Y19" i="44"/>
  <c r="AX19" i="44"/>
  <c r="AZ19" i="41"/>
  <c r="BZ19" i="43"/>
  <c r="X19" i="44"/>
  <c r="AW19" i="44"/>
  <c r="AY19" i="41"/>
  <c r="BY19" i="43"/>
  <c r="W19" i="44"/>
  <c r="AV19" i="44"/>
  <c r="AX19" i="41"/>
  <c r="BX19" i="43"/>
  <c r="V19" i="44"/>
  <c r="AU19" i="44"/>
  <c r="AW19" i="41"/>
  <c r="BW19" i="43"/>
  <c r="U19" i="44"/>
  <c r="AT19" i="44"/>
  <c r="AV19" i="41"/>
  <c r="BV19" i="43"/>
  <c r="S19" i="44"/>
  <c r="AR19" i="44"/>
  <c r="AT19" i="41"/>
  <c r="BT19" i="43"/>
  <c r="R19" i="44"/>
  <c r="AQ19" i="44"/>
  <c r="AS19" i="41"/>
  <c r="BS19" i="43"/>
  <c r="BS42" i="43"/>
  <c r="Q19" i="44"/>
  <c r="AP19" i="44"/>
  <c r="AR19" i="41"/>
  <c r="BR19" i="43"/>
  <c r="P19" i="44"/>
  <c r="AO19" i="44"/>
  <c r="AQ19" i="41"/>
  <c r="BQ19" i="43"/>
  <c r="BQ42" i="43"/>
  <c r="O19" i="44"/>
  <c r="AN19" i="44"/>
  <c r="AP19" i="41"/>
  <c r="BP19" i="43"/>
  <c r="N19" i="44"/>
  <c r="AM19" i="44"/>
  <c r="AO19" i="41"/>
  <c r="BO19" i="43"/>
  <c r="M19" i="44"/>
  <c r="AL19" i="44"/>
  <c r="AN19" i="41"/>
  <c r="BN19" i="43"/>
  <c r="L19" i="44"/>
  <c r="AK19" i="44"/>
  <c r="AM19" i="41"/>
  <c r="BM19" i="43"/>
  <c r="K19" i="44"/>
  <c r="AJ19" i="44"/>
  <c r="AL19" i="41"/>
  <c r="BL19" i="43"/>
  <c r="J19" i="44"/>
  <c r="AI19" i="44"/>
  <c r="AK19" i="41"/>
  <c r="BK19" i="43"/>
  <c r="I19" i="44"/>
  <c r="AH19" i="44"/>
  <c r="AJ19" i="41"/>
  <c r="BJ19" i="43"/>
  <c r="H19" i="44"/>
  <c r="AG19" i="44"/>
  <c r="AI19" i="41"/>
  <c r="BI19" i="43"/>
  <c r="G19" i="44"/>
  <c r="AF19" i="44"/>
  <c r="AH19" i="41"/>
  <c r="BH19" i="43"/>
  <c r="F19" i="44"/>
  <c r="AE19" i="44"/>
  <c r="AG19" i="41"/>
  <c r="BG19" i="43"/>
  <c r="BG42" i="43"/>
  <c r="E19" i="44"/>
  <c r="AD19" i="44"/>
  <c r="AF19" i="41"/>
  <c r="BF19" i="43"/>
  <c r="D19" i="44"/>
  <c r="AC19" i="44"/>
  <c r="AE19" i="41"/>
  <c r="BE19" i="43"/>
  <c r="BE42" i="43"/>
  <c r="Z19" i="41"/>
  <c r="Z19" i="43"/>
  <c r="Y19" i="41"/>
  <c r="Y19" i="43"/>
  <c r="X19" i="41"/>
  <c r="X19" i="43"/>
  <c r="W19" i="41"/>
  <c r="W19" i="43"/>
  <c r="V19" i="41"/>
  <c r="V19" i="43"/>
  <c r="T19" i="41"/>
  <c r="T19" i="43"/>
  <c r="S19" i="41"/>
  <c r="S19" i="43"/>
  <c r="R19" i="41"/>
  <c r="R19" i="43"/>
  <c r="R42" i="43"/>
  <c r="Q19" i="41"/>
  <c r="Q19" i="43"/>
  <c r="P19" i="41"/>
  <c r="P19" i="43"/>
  <c r="O19" i="41"/>
  <c r="O19" i="43"/>
  <c r="N19" i="41"/>
  <c r="N19" i="43"/>
  <c r="M19" i="41"/>
  <c r="M19" i="43"/>
  <c r="L19" i="41"/>
  <c r="L19" i="43"/>
  <c r="K19" i="41"/>
  <c r="K19" i="43"/>
  <c r="J19" i="41"/>
  <c r="J19" i="43"/>
  <c r="I19" i="41"/>
  <c r="I19" i="43"/>
  <c r="H19" i="41"/>
  <c r="H19" i="43"/>
  <c r="H42" i="43"/>
  <c r="G19" i="41"/>
  <c r="G19" i="43"/>
  <c r="F19" i="41"/>
  <c r="F19" i="43"/>
  <c r="F42" i="43"/>
  <c r="E19" i="41"/>
  <c r="E19" i="43"/>
  <c r="Y18" i="44"/>
  <c r="AX18" i="44"/>
  <c r="BW18" i="44"/>
  <c r="AZ18" i="41"/>
  <c r="BZ18" i="43"/>
  <c r="X18" i="44"/>
  <c r="AW18" i="44"/>
  <c r="BV18" i="44"/>
  <c r="AY18" i="41"/>
  <c r="BY18" i="43"/>
  <c r="W18" i="44"/>
  <c r="AV18" i="44"/>
  <c r="BU18" i="44"/>
  <c r="AX18" i="41"/>
  <c r="BX18" i="43"/>
  <c r="V18" i="44"/>
  <c r="AU18" i="44"/>
  <c r="BT18" i="44"/>
  <c r="AW18" i="41"/>
  <c r="BW18" i="43"/>
  <c r="U18" i="44"/>
  <c r="AT18" i="44"/>
  <c r="BS18" i="44"/>
  <c r="AV18" i="41"/>
  <c r="BV18" i="43"/>
  <c r="S18" i="44"/>
  <c r="AR18" i="44"/>
  <c r="BQ18" i="44"/>
  <c r="AT18" i="41"/>
  <c r="BT18" i="43"/>
  <c r="R18" i="44"/>
  <c r="AQ18" i="44"/>
  <c r="BP18" i="44"/>
  <c r="AS18" i="41"/>
  <c r="BS18" i="43"/>
  <c r="Q18" i="44"/>
  <c r="AP18" i="44"/>
  <c r="BO18" i="44"/>
  <c r="AR18" i="41"/>
  <c r="BR18" i="43"/>
  <c r="P18" i="44"/>
  <c r="AO18" i="44"/>
  <c r="BN18" i="44"/>
  <c r="AQ18" i="41"/>
  <c r="BQ18" i="43"/>
  <c r="O18" i="44"/>
  <c r="AN18" i="44"/>
  <c r="BM18" i="44"/>
  <c r="AP18" i="41"/>
  <c r="BP18" i="43"/>
  <c r="N18" i="44"/>
  <c r="AM18" i="44"/>
  <c r="BL18" i="44"/>
  <c r="AO18" i="41"/>
  <c r="BO18" i="43"/>
  <c r="M18" i="44"/>
  <c r="AL18" i="44"/>
  <c r="BK18" i="44"/>
  <c r="AN18" i="41"/>
  <c r="BN18" i="43"/>
  <c r="L18" i="44"/>
  <c r="AK18" i="44"/>
  <c r="BJ18" i="44"/>
  <c r="AM18" i="41"/>
  <c r="BM18" i="43"/>
  <c r="K18" i="44"/>
  <c r="AJ18" i="44"/>
  <c r="BI18" i="44"/>
  <c r="AL18" i="41"/>
  <c r="BL18" i="43"/>
  <c r="J18" i="44"/>
  <c r="AI18" i="44"/>
  <c r="BH18" i="44"/>
  <c r="AK18" i="41"/>
  <c r="BK18" i="43"/>
  <c r="I18" i="44"/>
  <c r="AH18" i="44"/>
  <c r="BG18" i="44"/>
  <c r="AJ18" i="41"/>
  <c r="BJ18" i="43"/>
  <c r="H18" i="44"/>
  <c r="AG18" i="44"/>
  <c r="BF18" i="44"/>
  <c r="AI18" i="41"/>
  <c r="BI18" i="43"/>
  <c r="G18" i="44"/>
  <c r="AF18" i="44"/>
  <c r="BE18" i="44"/>
  <c r="AH18" i="41"/>
  <c r="BH18" i="43"/>
  <c r="F18" i="44"/>
  <c r="AE18" i="44"/>
  <c r="BD18" i="44"/>
  <c r="AG18" i="41"/>
  <c r="BG18" i="43"/>
  <c r="E18" i="44"/>
  <c r="AD18" i="44"/>
  <c r="BC18" i="44"/>
  <c r="AF18" i="41"/>
  <c r="BF18" i="43"/>
  <c r="D18" i="44"/>
  <c r="AC18" i="44"/>
  <c r="AE18" i="41"/>
  <c r="BE18" i="43"/>
  <c r="Z18" i="41"/>
  <c r="Z18" i="43"/>
  <c r="Y18" i="41"/>
  <c r="Y18" i="43"/>
  <c r="X18" i="41"/>
  <c r="X18" i="43"/>
  <c r="W18" i="41"/>
  <c r="W18" i="43"/>
  <c r="V18" i="41"/>
  <c r="V18" i="43"/>
  <c r="T18" i="41"/>
  <c r="T18" i="43"/>
  <c r="S18" i="41"/>
  <c r="S18" i="43"/>
  <c r="R18" i="41"/>
  <c r="R18" i="43"/>
  <c r="Q18" i="41"/>
  <c r="Q18" i="43"/>
  <c r="P18" i="41"/>
  <c r="P18" i="43"/>
  <c r="O18" i="41"/>
  <c r="O18" i="43"/>
  <c r="N18" i="41"/>
  <c r="N18" i="43"/>
  <c r="M18" i="41"/>
  <c r="M18" i="43"/>
  <c r="L18" i="41"/>
  <c r="L18" i="43"/>
  <c r="K18" i="41"/>
  <c r="K18" i="43"/>
  <c r="J18" i="41"/>
  <c r="J18" i="43"/>
  <c r="I18" i="41"/>
  <c r="I18" i="43"/>
  <c r="H18" i="41"/>
  <c r="H18" i="43"/>
  <c r="G18" i="41"/>
  <c r="G18" i="43"/>
  <c r="F18" i="41"/>
  <c r="F18" i="43"/>
  <c r="E18" i="41"/>
  <c r="E18" i="43"/>
  <c r="Y17" i="44"/>
  <c r="AX17" i="44"/>
  <c r="BW17" i="44"/>
  <c r="AZ17" i="41"/>
  <c r="BZ17" i="43"/>
  <c r="X17" i="44"/>
  <c r="AW17" i="44"/>
  <c r="BV17" i="44"/>
  <c r="AY17" i="41"/>
  <c r="BY17" i="43"/>
  <c r="W17" i="44"/>
  <c r="AV17" i="44"/>
  <c r="BU17" i="44"/>
  <c r="AX17" i="41"/>
  <c r="BX17" i="43"/>
  <c r="V17" i="44"/>
  <c r="AU17" i="44"/>
  <c r="BT17" i="44"/>
  <c r="AW17" i="41"/>
  <c r="BW17" i="43"/>
  <c r="U17" i="44"/>
  <c r="AT17" i="44"/>
  <c r="BS17" i="44"/>
  <c r="AV17" i="41"/>
  <c r="BV17" i="43"/>
  <c r="S17" i="44"/>
  <c r="AR17" i="44"/>
  <c r="BQ17" i="44"/>
  <c r="AT17" i="41"/>
  <c r="BT17" i="43"/>
  <c r="R17" i="44"/>
  <c r="AQ17" i="44"/>
  <c r="BP17" i="44"/>
  <c r="AS17" i="41"/>
  <c r="BS17" i="43"/>
  <c r="Q17" i="44"/>
  <c r="AP17" i="44"/>
  <c r="BO17" i="44"/>
  <c r="AR17" i="41"/>
  <c r="BR17" i="43"/>
  <c r="P17" i="44"/>
  <c r="AO17" i="44"/>
  <c r="BN17" i="44"/>
  <c r="AQ17" i="41"/>
  <c r="BQ17" i="43"/>
  <c r="O17" i="44"/>
  <c r="AN17" i="44"/>
  <c r="BM17" i="44"/>
  <c r="AP17" i="41"/>
  <c r="BP17" i="43"/>
  <c r="N17" i="44"/>
  <c r="AM17" i="44"/>
  <c r="BL17" i="44"/>
  <c r="AO17" i="41"/>
  <c r="BO17" i="43"/>
  <c r="M17" i="44"/>
  <c r="AL17" i="44"/>
  <c r="BK17" i="44"/>
  <c r="AN17" i="41"/>
  <c r="BN17" i="43"/>
  <c r="L17" i="44"/>
  <c r="AK17" i="44"/>
  <c r="BJ17" i="44"/>
  <c r="AM17" i="41"/>
  <c r="BM17" i="43"/>
  <c r="K17" i="44"/>
  <c r="AJ17" i="44"/>
  <c r="BI17" i="44"/>
  <c r="AL17" i="41"/>
  <c r="BL17" i="43"/>
  <c r="J17" i="44"/>
  <c r="AI17" i="44"/>
  <c r="BH17" i="44"/>
  <c r="AK17" i="41"/>
  <c r="BK17" i="43"/>
  <c r="I17" i="44"/>
  <c r="AH17" i="44"/>
  <c r="BG17" i="44"/>
  <c r="AJ17" i="41"/>
  <c r="BJ17" i="43"/>
  <c r="H17" i="44"/>
  <c r="AG17" i="44"/>
  <c r="BF17" i="44"/>
  <c r="AI17" i="41"/>
  <c r="BI17" i="43"/>
  <c r="G17" i="44"/>
  <c r="AF17" i="44"/>
  <c r="BE17" i="44"/>
  <c r="AH17" i="41"/>
  <c r="BH17" i="43"/>
  <c r="F17" i="44"/>
  <c r="AE17" i="44"/>
  <c r="BD17" i="44"/>
  <c r="AG17" i="41"/>
  <c r="BG17" i="43"/>
  <c r="E17" i="44"/>
  <c r="AD17" i="44"/>
  <c r="BC17" i="44"/>
  <c r="AF17" i="41"/>
  <c r="BF17" i="43"/>
  <c r="D17" i="44"/>
  <c r="AC17" i="44"/>
  <c r="AE17" i="41"/>
  <c r="BE17" i="43"/>
  <c r="Z17" i="41"/>
  <c r="Z17" i="43"/>
  <c r="Y17" i="41"/>
  <c r="Y17" i="43"/>
  <c r="X17" i="41"/>
  <c r="X17" i="43"/>
  <c r="W17" i="41"/>
  <c r="W17" i="43"/>
  <c r="V17" i="41"/>
  <c r="V17" i="43"/>
  <c r="T17" i="41"/>
  <c r="T17" i="43"/>
  <c r="S17" i="41"/>
  <c r="S17" i="43"/>
  <c r="R17" i="41"/>
  <c r="R17" i="43"/>
  <c r="Q17" i="41"/>
  <c r="Q17" i="43"/>
  <c r="P17" i="41"/>
  <c r="P17" i="43"/>
  <c r="O17" i="41"/>
  <c r="O17" i="43"/>
  <c r="N17" i="41"/>
  <c r="N17" i="43"/>
  <c r="M17" i="41"/>
  <c r="M17" i="43"/>
  <c r="L17" i="41"/>
  <c r="L17" i="43"/>
  <c r="K17" i="41"/>
  <c r="K17" i="43"/>
  <c r="J17" i="41"/>
  <c r="J17" i="43"/>
  <c r="I17" i="41"/>
  <c r="I17" i="43"/>
  <c r="H17" i="41"/>
  <c r="H17" i="43"/>
  <c r="G17" i="41"/>
  <c r="G17" i="43"/>
  <c r="F17" i="41"/>
  <c r="F17" i="43"/>
  <c r="E17" i="41"/>
  <c r="E17" i="43"/>
  <c r="Y16" i="44"/>
  <c r="AX16" i="44"/>
  <c r="BW16" i="44"/>
  <c r="AZ16" i="41"/>
  <c r="BZ16" i="43"/>
  <c r="X16" i="44"/>
  <c r="AW16" i="44"/>
  <c r="BV16" i="44"/>
  <c r="AY16" i="41"/>
  <c r="BY16" i="43"/>
  <c r="W16" i="44"/>
  <c r="AV16" i="44"/>
  <c r="BU16" i="44"/>
  <c r="AX16" i="41"/>
  <c r="BX16" i="43"/>
  <c r="V16" i="44"/>
  <c r="AU16" i="44"/>
  <c r="BT16" i="44"/>
  <c r="AW16" i="41"/>
  <c r="BW16" i="43"/>
  <c r="U16" i="44"/>
  <c r="AT16" i="44"/>
  <c r="BS16" i="44"/>
  <c r="AV16" i="41"/>
  <c r="BV16" i="43"/>
  <c r="S16" i="44"/>
  <c r="AR16" i="44"/>
  <c r="BQ16" i="44"/>
  <c r="AT16" i="41"/>
  <c r="BT16" i="43"/>
  <c r="R16" i="44"/>
  <c r="AQ16" i="44"/>
  <c r="BP16" i="44"/>
  <c r="AS16" i="41"/>
  <c r="BS16" i="43"/>
  <c r="Q16" i="44"/>
  <c r="AP16" i="44"/>
  <c r="BO16" i="44"/>
  <c r="AR16" i="41"/>
  <c r="BR16" i="43"/>
  <c r="P16" i="44"/>
  <c r="AO16" i="44"/>
  <c r="BN16" i="44"/>
  <c r="AQ16" i="41"/>
  <c r="BQ16" i="43"/>
  <c r="O16" i="44"/>
  <c r="AN16" i="44"/>
  <c r="BM16" i="44"/>
  <c r="AP16" i="41"/>
  <c r="BP16" i="43"/>
  <c r="N16" i="44"/>
  <c r="AM16" i="44"/>
  <c r="BL16" i="44"/>
  <c r="AO16" i="41"/>
  <c r="BO16" i="43"/>
  <c r="M16" i="44"/>
  <c r="AL16" i="44"/>
  <c r="BK16" i="44"/>
  <c r="AN16" i="41"/>
  <c r="BN16" i="43"/>
  <c r="L16" i="44"/>
  <c r="AK16" i="44"/>
  <c r="BJ16" i="44"/>
  <c r="AM16" i="41"/>
  <c r="BM16" i="43"/>
  <c r="K16" i="44"/>
  <c r="AJ16" i="44"/>
  <c r="BI16" i="44"/>
  <c r="AL16" i="41"/>
  <c r="BL16" i="43"/>
  <c r="J16" i="44"/>
  <c r="AI16" i="44"/>
  <c r="BH16" i="44"/>
  <c r="AK16" i="41"/>
  <c r="BK16" i="43"/>
  <c r="I16" i="44"/>
  <c r="AH16" i="44"/>
  <c r="BG16" i="44"/>
  <c r="AJ16" i="41"/>
  <c r="BJ16" i="43"/>
  <c r="H16" i="44"/>
  <c r="AG16" i="44"/>
  <c r="BF16" i="44"/>
  <c r="AI16" i="41"/>
  <c r="BI16" i="43"/>
  <c r="G16" i="44"/>
  <c r="AF16" i="44"/>
  <c r="BE16" i="44"/>
  <c r="AH16" i="41"/>
  <c r="BH16" i="43"/>
  <c r="F16" i="44"/>
  <c r="AE16" i="44"/>
  <c r="BD16" i="44"/>
  <c r="AG16" i="41"/>
  <c r="BG16" i="43"/>
  <c r="E16" i="44"/>
  <c r="AD16" i="44"/>
  <c r="BC16" i="44"/>
  <c r="AF16" i="41"/>
  <c r="BF16" i="43"/>
  <c r="D16" i="44"/>
  <c r="AC16" i="44"/>
  <c r="AE16" i="41"/>
  <c r="BE16" i="43"/>
  <c r="Z16" i="41"/>
  <c r="Z16" i="43"/>
  <c r="Y16" i="41"/>
  <c r="Y16" i="43"/>
  <c r="X16" i="41"/>
  <c r="X16" i="43"/>
  <c r="W16" i="41"/>
  <c r="W16" i="43"/>
  <c r="V16" i="41"/>
  <c r="V16" i="43"/>
  <c r="T16" i="41"/>
  <c r="T16" i="43"/>
  <c r="S16" i="41"/>
  <c r="S16" i="43"/>
  <c r="R16" i="41"/>
  <c r="R16" i="43"/>
  <c r="Q16" i="41"/>
  <c r="Q16" i="43"/>
  <c r="P16" i="41"/>
  <c r="P16" i="43"/>
  <c r="O16" i="41"/>
  <c r="O16" i="43"/>
  <c r="N16" i="41"/>
  <c r="N16" i="43"/>
  <c r="M16" i="41"/>
  <c r="M16" i="43"/>
  <c r="L16" i="41"/>
  <c r="L16" i="43"/>
  <c r="K16" i="41"/>
  <c r="K16" i="43"/>
  <c r="J16" i="41"/>
  <c r="J16" i="43"/>
  <c r="I16" i="41"/>
  <c r="I16" i="43"/>
  <c r="H16" i="41"/>
  <c r="H16" i="43"/>
  <c r="G16" i="41"/>
  <c r="G16" i="43"/>
  <c r="F16" i="41"/>
  <c r="F16" i="43"/>
  <c r="E16" i="41"/>
  <c r="E16" i="43"/>
  <c r="CA44" i="43"/>
  <c r="Y15" i="44"/>
  <c r="AX15" i="44"/>
  <c r="AZ15" i="41"/>
  <c r="BZ15" i="43"/>
  <c r="X15" i="44"/>
  <c r="AW15" i="44"/>
  <c r="AY15" i="41"/>
  <c r="BY15" i="43"/>
  <c r="BY44" i="43"/>
  <c r="W15" i="44"/>
  <c r="AV15" i="44"/>
  <c r="AX15" i="41"/>
  <c r="BX15" i="43"/>
  <c r="V15" i="44"/>
  <c r="AU15" i="44"/>
  <c r="AW15" i="41"/>
  <c r="BW15" i="43"/>
  <c r="U15" i="44"/>
  <c r="AT15" i="44"/>
  <c r="AV15" i="41"/>
  <c r="BV15" i="43"/>
  <c r="S15" i="44"/>
  <c r="AR15" i="44"/>
  <c r="AT15" i="41"/>
  <c r="BT15" i="43"/>
  <c r="R15" i="44"/>
  <c r="AQ15" i="44"/>
  <c r="AS15" i="41"/>
  <c r="BS15" i="43"/>
  <c r="Q15" i="44"/>
  <c r="AP15" i="44"/>
  <c r="AR15" i="41"/>
  <c r="BR15" i="43"/>
  <c r="P15" i="44"/>
  <c r="AO15" i="44"/>
  <c r="AQ15" i="41"/>
  <c r="BQ15" i="43"/>
  <c r="O15" i="44"/>
  <c r="AN15" i="44"/>
  <c r="AP15" i="41"/>
  <c r="BP15" i="43"/>
  <c r="N15" i="44"/>
  <c r="AM15" i="44"/>
  <c r="AO15" i="41"/>
  <c r="BO15" i="43"/>
  <c r="BO44" i="43"/>
  <c r="M15" i="44"/>
  <c r="AL15" i="44"/>
  <c r="AN15" i="41"/>
  <c r="BN15" i="43"/>
  <c r="L15" i="44"/>
  <c r="AK15" i="44"/>
  <c r="AM15" i="41"/>
  <c r="BM15" i="43"/>
  <c r="BM44" i="43"/>
  <c r="K15" i="44"/>
  <c r="AJ15" i="44"/>
  <c r="AL15" i="41"/>
  <c r="BL15" i="43"/>
  <c r="J15" i="44"/>
  <c r="AI15" i="44"/>
  <c r="AK15" i="41"/>
  <c r="BK15" i="43"/>
  <c r="I15" i="44"/>
  <c r="AH15" i="44"/>
  <c r="AJ15" i="41"/>
  <c r="BJ15" i="43"/>
  <c r="H15" i="44"/>
  <c r="AG15" i="44"/>
  <c r="AI15" i="41"/>
  <c r="BI15" i="43"/>
  <c r="G15" i="44"/>
  <c r="AF15" i="44"/>
  <c r="AH15" i="41"/>
  <c r="BH15" i="43"/>
  <c r="F15" i="44"/>
  <c r="AE15" i="44"/>
  <c r="AG15" i="41"/>
  <c r="BG15" i="43"/>
  <c r="E15" i="44"/>
  <c r="AD15" i="44"/>
  <c r="AF15" i="41"/>
  <c r="BF15" i="43"/>
  <c r="D15" i="44"/>
  <c r="AC15" i="44"/>
  <c r="AE15" i="41"/>
  <c r="BE15" i="43"/>
  <c r="AB44" i="43"/>
  <c r="Z15" i="41"/>
  <c r="Z15" i="43"/>
  <c r="Z44" i="43"/>
  <c r="Y15" i="41"/>
  <c r="Y15" i="43"/>
  <c r="X15" i="41"/>
  <c r="X15" i="43"/>
  <c r="W15" i="41"/>
  <c r="W15" i="43"/>
  <c r="V15" i="41"/>
  <c r="V15" i="43"/>
  <c r="T15" i="41"/>
  <c r="T15" i="43"/>
  <c r="S15" i="41"/>
  <c r="S15" i="43"/>
  <c r="R15" i="41"/>
  <c r="R15" i="43"/>
  <c r="Q15" i="41"/>
  <c r="Q15" i="43"/>
  <c r="P15" i="41"/>
  <c r="P15" i="43"/>
  <c r="O15" i="41"/>
  <c r="O15" i="43"/>
  <c r="N15" i="41"/>
  <c r="N15" i="43"/>
  <c r="N44" i="43"/>
  <c r="M15" i="41"/>
  <c r="M15" i="43"/>
  <c r="L15" i="41"/>
  <c r="L15" i="43"/>
  <c r="K15" i="41"/>
  <c r="K15" i="43"/>
  <c r="J15" i="41"/>
  <c r="J15" i="43"/>
  <c r="I15" i="41"/>
  <c r="I15" i="43"/>
  <c r="H15" i="41"/>
  <c r="H15" i="43"/>
  <c r="G15" i="41"/>
  <c r="G15" i="43"/>
  <c r="F15" i="41"/>
  <c r="F15" i="43"/>
  <c r="E15" i="41"/>
  <c r="E15" i="43"/>
  <c r="CA34" i="43"/>
  <c r="Y14" i="44"/>
  <c r="AX14" i="44"/>
  <c r="AZ14" i="41"/>
  <c r="BZ14" i="43"/>
  <c r="X14" i="44"/>
  <c r="AW14" i="44"/>
  <c r="AY14" i="41"/>
  <c r="BY14" i="43"/>
  <c r="W14" i="44"/>
  <c r="AV14" i="44"/>
  <c r="AX14" i="41"/>
  <c r="BX14" i="43"/>
  <c r="V14" i="44"/>
  <c r="AU14" i="44"/>
  <c r="AW14" i="41"/>
  <c r="BW14" i="43"/>
  <c r="U14" i="44"/>
  <c r="AT14" i="44"/>
  <c r="AV14" i="41"/>
  <c r="BV14" i="43"/>
  <c r="S14" i="44"/>
  <c r="AR14" i="44"/>
  <c r="AT14" i="41"/>
  <c r="BT14" i="43"/>
  <c r="R14" i="44"/>
  <c r="AQ14" i="44"/>
  <c r="AS14" i="41"/>
  <c r="BS14" i="43"/>
  <c r="Q14" i="44"/>
  <c r="AP14" i="44"/>
  <c r="AR14" i="41"/>
  <c r="BR14" i="43"/>
  <c r="P14" i="44"/>
  <c r="AO14" i="44"/>
  <c r="AQ14" i="41"/>
  <c r="BQ14" i="43"/>
  <c r="BQ34" i="43"/>
  <c r="O14" i="44"/>
  <c r="AN14" i="44"/>
  <c r="AP14" i="41"/>
  <c r="BP14" i="43"/>
  <c r="N14" i="44"/>
  <c r="AM14" i="44"/>
  <c r="AO14" i="41"/>
  <c r="BO14" i="43"/>
  <c r="BO34" i="43"/>
  <c r="M14" i="44"/>
  <c r="AL14" i="44"/>
  <c r="AN14" i="41"/>
  <c r="BN14" i="43"/>
  <c r="L14" i="44"/>
  <c r="AK14" i="44"/>
  <c r="AM14" i="41"/>
  <c r="BM14" i="43"/>
  <c r="K14" i="44"/>
  <c r="AJ14" i="44"/>
  <c r="AL14" i="41"/>
  <c r="BL14" i="43"/>
  <c r="J14" i="44"/>
  <c r="AI14" i="44"/>
  <c r="AK14" i="41"/>
  <c r="BK14" i="43"/>
  <c r="I14" i="44"/>
  <c r="AH14" i="44"/>
  <c r="AJ14" i="41"/>
  <c r="BJ14" i="43"/>
  <c r="H14" i="44"/>
  <c r="AG14" i="44"/>
  <c r="AI14" i="41"/>
  <c r="BI14" i="43"/>
  <c r="G14" i="44"/>
  <c r="AF14" i="44"/>
  <c r="AH14" i="41"/>
  <c r="BH14" i="43"/>
  <c r="F14" i="44"/>
  <c r="AE14" i="44"/>
  <c r="AG14" i="41"/>
  <c r="BG14" i="43"/>
  <c r="E14" i="44"/>
  <c r="AD14" i="44"/>
  <c r="AF14" i="41"/>
  <c r="BF14" i="43"/>
  <c r="D14" i="44"/>
  <c r="AC14" i="44"/>
  <c r="AE14" i="41"/>
  <c r="BE14" i="43"/>
  <c r="BE34" i="43"/>
  <c r="AB34" i="43"/>
  <c r="Z14" i="41"/>
  <c r="Z14" i="43"/>
  <c r="Y14" i="41"/>
  <c r="Y14" i="43"/>
  <c r="X14" i="41"/>
  <c r="X14" i="43"/>
  <c r="W14" i="41"/>
  <c r="W14" i="43"/>
  <c r="V14" i="41"/>
  <c r="V14" i="43"/>
  <c r="T14" i="41"/>
  <c r="T14" i="43"/>
  <c r="S14" i="41"/>
  <c r="S14" i="43"/>
  <c r="R14" i="41"/>
  <c r="R14" i="43"/>
  <c r="R34" i="43"/>
  <c r="Q14" i="41"/>
  <c r="Q14" i="43"/>
  <c r="P14" i="41"/>
  <c r="P14" i="43"/>
  <c r="P34" i="43"/>
  <c r="O14" i="41"/>
  <c r="O14" i="43"/>
  <c r="N14" i="41"/>
  <c r="N14" i="43"/>
  <c r="M14" i="41"/>
  <c r="M14" i="43"/>
  <c r="L14" i="41"/>
  <c r="L14" i="43"/>
  <c r="K14" i="41"/>
  <c r="K14" i="43"/>
  <c r="J14" i="41"/>
  <c r="J14" i="43"/>
  <c r="I14" i="41"/>
  <c r="I14" i="43"/>
  <c r="H14" i="41"/>
  <c r="H14" i="43"/>
  <c r="G14" i="41"/>
  <c r="G14" i="43"/>
  <c r="F14" i="41"/>
  <c r="F14" i="43"/>
  <c r="F34" i="43"/>
  <c r="E14" i="41"/>
  <c r="E14" i="43"/>
  <c r="Y13" i="44"/>
  <c r="AX13" i="44"/>
  <c r="AZ13" i="41"/>
  <c r="BZ13" i="43"/>
  <c r="X13" i="44"/>
  <c r="AW13" i="44"/>
  <c r="AY13" i="41"/>
  <c r="BY13" i="43"/>
  <c r="W13" i="44"/>
  <c r="AV13" i="44"/>
  <c r="AX13" i="41"/>
  <c r="BX13" i="43"/>
  <c r="V13" i="44"/>
  <c r="AU13" i="44"/>
  <c r="AW13" i="41"/>
  <c r="BW13" i="43"/>
  <c r="U13" i="44"/>
  <c r="AT13" i="44"/>
  <c r="AV13" i="41"/>
  <c r="BV13" i="43"/>
  <c r="S13" i="44"/>
  <c r="AR13" i="44"/>
  <c r="AT13" i="41"/>
  <c r="BT13" i="43"/>
  <c r="R13" i="44"/>
  <c r="AQ13" i="44"/>
  <c r="AS13" i="41"/>
  <c r="BS13" i="43"/>
  <c r="BS33" i="43"/>
  <c r="Q13" i="44"/>
  <c r="AP13" i="44"/>
  <c r="AR13" i="41"/>
  <c r="BR13" i="43"/>
  <c r="P13" i="44"/>
  <c r="AO13" i="44"/>
  <c r="AQ13" i="41"/>
  <c r="BQ13" i="43"/>
  <c r="BQ33" i="43"/>
  <c r="O13" i="44"/>
  <c r="AN13" i="44"/>
  <c r="AP13" i="41"/>
  <c r="BP13" i="43"/>
  <c r="N13" i="44"/>
  <c r="AM13" i="44"/>
  <c r="AO13" i="41"/>
  <c r="BO13" i="43"/>
  <c r="M13" i="44"/>
  <c r="AL13" i="44"/>
  <c r="AN13" i="41"/>
  <c r="BN13" i="43"/>
  <c r="L13" i="44"/>
  <c r="AK13" i="44"/>
  <c r="AM13" i="41"/>
  <c r="BM13" i="43"/>
  <c r="K13" i="44"/>
  <c r="AJ13" i="44"/>
  <c r="AL13" i="41"/>
  <c r="BL13" i="43"/>
  <c r="J13" i="44"/>
  <c r="AI13" i="44"/>
  <c r="AK13" i="41"/>
  <c r="BK13" i="43"/>
  <c r="I13" i="44"/>
  <c r="AH13" i="44"/>
  <c r="AJ13" i="41"/>
  <c r="BJ13" i="43"/>
  <c r="H13" i="44"/>
  <c r="AG13" i="44"/>
  <c r="AI13" i="41"/>
  <c r="BI13" i="43"/>
  <c r="G13" i="44"/>
  <c r="AF13" i="44"/>
  <c r="AH13" i="41"/>
  <c r="BH13" i="43"/>
  <c r="F13" i="44"/>
  <c r="AE13" i="44"/>
  <c r="AG13" i="41"/>
  <c r="BG13" i="43"/>
  <c r="BG33" i="43"/>
  <c r="E13" i="44"/>
  <c r="AD13" i="44"/>
  <c r="AF13" i="41"/>
  <c r="BF13" i="43"/>
  <c r="D13" i="44"/>
  <c r="AC13" i="44"/>
  <c r="AE13" i="41"/>
  <c r="BE13" i="43"/>
  <c r="BE33" i="43"/>
  <c r="Z13" i="41"/>
  <c r="Z13" i="43"/>
  <c r="Y13" i="41"/>
  <c r="Y13" i="43"/>
  <c r="X13" i="41"/>
  <c r="X13" i="43"/>
  <c r="W13" i="41"/>
  <c r="W13" i="43"/>
  <c r="V13" i="41"/>
  <c r="V13" i="43"/>
  <c r="T13" i="41"/>
  <c r="T13" i="43"/>
  <c r="T33" i="43"/>
  <c r="S13" i="41"/>
  <c r="S13" i="43"/>
  <c r="R13" i="41"/>
  <c r="R13" i="43"/>
  <c r="Q13" i="41"/>
  <c r="Q13" i="43"/>
  <c r="P13" i="41"/>
  <c r="P13" i="43"/>
  <c r="O13" i="41"/>
  <c r="O13" i="43"/>
  <c r="N13" i="41"/>
  <c r="N13" i="43"/>
  <c r="M13" i="41"/>
  <c r="M13" i="43"/>
  <c r="L13" i="41"/>
  <c r="L13" i="43"/>
  <c r="K13" i="41"/>
  <c r="K13" i="43"/>
  <c r="J13" i="41"/>
  <c r="J13" i="43"/>
  <c r="I13" i="41"/>
  <c r="I13" i="43"/>
  <c r="H13" i="41"/>
  <c r="H13" i="43"/>
  <c r="H33" i="43"/>
  <c r="G13" i="41"/>
  <c r="G13" i="43"/>
  <c r="F13" i="41"/>
  <c r="F13" i="43"/>
  <c r="E13" i="41"/>
  <c r="E13" i="43"/>
  <c r="Y12" i="44"/>
  <c r="AX12" i="44"/>
  <c r="BW12" i="44"/>
  <c r="AZ12" i="41"/>
  <c r="BZ12" i="43"/>
  <c r="X12" i="44"/>
  <c r="AW12" i="44"/>
  <c r="BV12" i="44"/>
  <c r="AY12" i="41"/>
  <c r="BY12" i="43"/>
  <c r="W12" i="44"/>
  <c r="AV12" i="44"/>
  <c r="BU12" i="44"/>
  <c r="AX12" i="41"/>
  <c r="BX12" i="43"/>
  <c r="V12" i="44"/>
  <c r="AU12" i="44"/>
  <c r="BT12" i="44"/>
  <c r="AW12" i="41"/>
  <c r="BW12" i="43"/>
  <c r="U12" i="44"/>
  <c r="AT12" i="44"/>
  <c r="BS12" i="44"/>
  <c r="AV12" i="41"/>
  <c r="BV12" i="43"/>
  <c r="S12" i="44"/>
  <c r="AR12" i="44"/>
  <c r="BQ12" i="44"/>
  <c r="AT12" i="41"/>
  <c r="BT12" i="43"/>
  <c r="R12" i="44"/>
  <c r="AQ12" i="44"/>
  <c r="BP12" i="44"/>
  <c r="AS12" i="41"/>
  <c r="BS12" i="43"/>
  <c r="Q12" i="44"/>
  <c r="AP12" i="44"/>
  <c r="BO12" i="44"/>
  <c r="AR12" i="41"/>
  <c r="BR12" i="43"/>
  <c r="P12" i="44"/>
  <c r="AO12" i="44"/>
  <c r="BN12" i="44"/>
  <c r="AQ12" i="41"/>
  <c r="BQ12" i="43"/>
  <c r="O12" i="44"/>
  <c r="AN12" i="44"/>
  <c r="BM12" i="44"/>
  <c r="AP12" i="41"/>
  <c r="BP12" i="43"/>
  <c r="N12" i="44"/>
  <c r="AM12" i="44"/>
  <c r="BL12" i="44"/>
  <c r="AO12" i="41"/>
  <c r="BO12" i="43"/>
  <c r="M12" i="44"/>
  <c r="AL12" i="44"/>
  <c r="BK12" i="44"/>
  <c r="AN12" i="41"/>
  <c r="BN12" i="43"/>
  <c r="L12" i="44"/>
  <c r="AK12" i="44"/>
  <c r="BJ12" i="44"/>
  <c r="AM12" i="41"/>
  <c r="BM12" i="43"/>
  <c r="K12" i="44"/>
  <c r="AJ12" i="44"/>
  <c r="BI12" i="44"/>
  <c r="AL12" i="41"/>
  <c r="BL12" i="43"/>
  <c r="J12" i="44"/>
  <c r="AI12" i="44"/>
  <c r="BH12" i="44"/>
  <c r="AK12" i="41"/>
  <c r="BK12" i="43"/>
  <c r="I12" i="44"/>
  <c r="AH12" i="44"/>
  <c r="BG12" i="44"/>
  <c r="AJ12" i="41"/>
  <c r="BJ12" i="43"/>
  <c r="H12" i="44"/>
  <c r="AG12" i="44"/>
  <c r="BF12" i="44"/>
  <c r="AI12" i="41"/>
  <c r="BI12" i="43"/>
  <c r="G12" i="44"/>
  <c r="AF12" i="44"/>
  <c r="BE12" i="44"/>
  <c r="AH12" i="41"/>
  <c r="BH12" i="43"/>
  <c r="F12" i="44"/>
  <c r="AE12" i="44"/>
  <c r="BD12" i="44"/>
  <c r="AG12" i="41"/>
  <c r="BG12" i="43"/>
  <c r="E12" i="44"/>
  <c r="AD12" i="44"/>
  <c r="BC12" i="44"/>
  <c r="AF12" i="41"/>
  <c r="BF12" i="43"/>
  <c r="D12" i="44"/>
  <c r="AC12" i="44"/>
  <c r="AE12" i="41"/>
  <c r="BE12" i="43"/>
  <c r="Z12" i="41"/>
  <c r="Z12" i="43"/>
  <c r="Y12" i="41"/>
  <c r="Y12" i="43"/>
  <c r="X12" i="41"/>
  <c r="X12" i="43"/>
  <c r="W12" i="41"/>
  <c r="W12" i="43"/>
  <c r="V12" i="41"/>
  <c r="V12" i="43"/>
  <c r="T12" i="41"/>
  <c r="T12" i="43"/>
  <c r="S12" i="41"/>
  <c r="S12" i="43"/>
  <c r="R12" i="41"/>
  <c r="R12" i="43"/>
  <c r="Q12" i="41"/>
  <c r="Q12" i="43"/>
  <c r="P12" i="41"/>
  <c r="P12" i="43"/>
  <c r="O12" i="41"/>
  <c r="O12" i="43"/>
  <c r="N12" i="41"/>
  <c r="N12" i="43"/>
  <c r="M12" i="41"/>
  <c r="M12" i="43"/>
  <c r="L12" i="41"/>
  <c r="L12" i="43"/>
  <c r="K12" i="41"/>
  <c r="K12" i="43"/>
  <c r="J12" i="41"/>
  <c r="J12" i="43"/>
  <c r="I12" i="41"/>
  <c r="I12" i="43"/>
  <c r="H12" i="41"/>
  <c r="H12" i="43"/>
  <c r="G12" i="41"/>
  <c r="G12" i="43"/>
  <c r="F12" i="41"/>
  <c r="F12" i="43"/>
  <c r="E12" i="41"/>
  <c r="E12" i="43"/>
  <c r="Y11" i="44"/>
  <c r="AX11" i="44"/>
  <c r="AZ11" i="41"/>
  <c r="BZ11" i="43"/>
  <c r="X11" i="44"/>
  <c r="AW11" i="44"/>
  <c r="AY11" i="41"/>
  <c r="BY11" i="43"/>
  <c r="W11" i="44"/>
  <c r="AV11" i="44"/>
  <c r="AX11" i="41"/>
  <c r="BX11" i="43"/>
  <c r="V11" i="44"/>
  <c r="AU11" i="44"/>
  <c r="AW11" i="41"/>
  <c r="BW11" i="43"/>
  <c r="BW39" i="43"/>
  <c r="U11" i="44"/>
  <c r="AT11" i="44"/>
  <c r="AV11" i="41"/>
  <c r="BV11" i="43"/>
  <c r="BU39" i="43"/>
  <c r="S11" i="44"/>
  <c r="AR11" i="44"/>
  <c r="AT11" i="41"/>
  <c r="BT11" i="43"/>
  <c r="R11" i="44"/>
  <c r="AQ11" i="44"/>
  <c r="AS11" i="41"/>
  <c r="BS11" i="43"/>
  <c r="Q11" i="44"/>
  <c r="AP11" i="44"/>
  <c r="AR11" i="41"/>
  <c r="BR11" i="43"/>
  <c r="P11" i="44"/>
  <c r="AO11" i="44"/>
  <c r="AQ11" i="41"/>
  <c r="BQ11" i="43"/>
  <c r="O11" i="44"/>
  <c r="AN11" i="44"/>
  <c r="AP11" i="41"/>
  <c r="BP11" i="43"/>
  <c r="N11" i="44"/>
  <c r="AM11" i="44"/>
  <c r="AO11" i="41"/>
  <c r="BO11" i="43"/>
  <c r="M11" i="44"/>
  <c r="AL11" i="44"/>
  <c r="AN11" i="41"/>
  <c r="BN11" i="43"/>
  <c r="L11" i="44"/>
  <c r="AK11" i="44"/>
  <c r="AM11" i="41"/>
  <c r="BM11" i="43"/>
  <c r="K11" i="44"/>
  <c r="AJ11" i="44"/>
  <c r="AL11" i="41"/>
  <c r="BL11" i="43"/>
  <c r="J11" i="44"/>
  <c r="AI11" i="44"/>
  <c r="AK11" i="41"/>
  <c r="BK11" i="43"/>
  <c r="BK39" i="43"/>
  <c r="I11" i="44"/>
  <c r="AH11" i="44"/>
  <c r="AJ11" i="41"/>
  <c r="BJ11" i="43"/>
  <c r="H11" i="44"/>
  <c r="AG11" i="44"/>
  <c r="AI11" i="41"/>
  <c r="BI11" i="43"/>
  <c r="BI39" i="43"/>
  <c r="G11" i="44"/>
  <c r="AF11" i="44"/>
  <c r="AH11" i="41"/>
  <c r="BH11" i="43"/>
  <c r="F11" i="44"/>
  <c r="AE11" i="44"/>
  <c r="AG11" i="41"/>
  <c r="BG11" i="43"/>
  <c r="E11" i="44"/>
  <c r="AD11" i="44"/>
  <c r="AF11" i="41"/>
  <c r="BF11" i="43"/>
  <c r="D11" i="44"/>
  <c r="AC11" i="44"/>
  <c r="AE11" i="41"/>
  <c r="BE11" i="43"/>
  <c r="Z11" i="41"/>
  <c r="Z11" i="43"/>
  <c r="Y11" i="41"/>
  <c r="Y11" i="43"/>
  <c r="X11" i="41"/>
  <c r="X11" i="43"/>
  <c r="X39" i="43"/>
  <c r="W11" i="41"/>
  <c r="W11" i="43"/>
  <c r="V11" i="41"/>
  <c r="V11" i="43"/>
  <c r="V39" i="43"/>
  <c r="T11" i="41"/>
  <c r="T11" i="43"/>
  <c r="S11" i="41"/>
  <c r="S11" i="43"/>
  <c r="R11" i="41"/>
  <c r="R11" i="43"/>
  <c r="Q11" i="41"/>
  <c r="Q11" i="43"/>
  <c r="P11" i="41"/>
  <c r="P11" i="43"/>
  <c r="O11" i="41"/>
  <c r="O11" i="43"/>
  <c r="N11" i="41"/>
  <c r="N11" i="43"/>
  <c r="M11" i="41"/>
  <c r="M11" i="43"/>
  <c r="L11" i="41"/>
  <c r="L11" i="43"/>
  <c r="L39" i="43"/>
  <c r="K11" i="41"/>
  <c r="K11" i="43"/>
  <c r="J11" i="41"/>
  <c r="J11" i="43"/>
  <c r="J39" i="43"/>
  <c r="I11" i="41"/>
  <c r="I11" i="43"/>
  <c r="H11" i="41"/>
  <c r="H11" i="43"/>
  <c r="G11" i="41"/>
  <c r="G11" i="43"/>
  <c r="F11" i="41"/>
  <c r="F11" i="43"/>
  <c r="E11" i="41"/>
  <c r="E11" i="43"/>
  <c r="Y10" i="44"/>
  <c r="AX10" i="44"/>
  <c r="AZ10" i="41"/>
  <c r="BZ10" i="43"/>
  <c r="X10" i="44"/>
  <c r="AW10" i="44"/>
  <c r="AY10" i="41"/>
  <c r="BY10" i="43"/>
  <c r="BY46" i="43"/>
  <c r="W10" i="44"/>
  <c r="AV10" i="44"/>
  <c r="AX10" i="41"/>
  <c r="BX10" i="43"/>
  <c r="V10" i="44"/>
  <c r="AU10" i="44"/>
  <c r="AW10" i="41"/>
  <c r="BW10" i="43"/>
  <c r="BW46" i="43"/>
  <c r="U10" i="44"/>
  <c r="AT10" i="44"/>
  <c r="AV10" i="41"/>
  <c r="BV10" i="43"/>
  <c r="S10" i="44"/>
  <c r="AR10" i="44"/>
  <c r="AT10" i="41"/>
  <c r="BT10" i="43"/>
  <c r="R10" i="44"/>
  <c r="AQ10" i="44"/>
  <c r="AS10" i="41"/>
  <c r="BS10" i="43"/>
  <c r="Q10" i="44"/>
  <c r="AP10" i="44"/>
  <c r="AR10" i="41"/>
  <c r="BR10" i="43"/>
  <c r="P10" i="44"/>
  <c r="AO10" i="44"/>
  <c r="AQ10" i="41"/>
  <c r="BQ10" i="43"/>
  <c r="O10" i="44"/>
  <c r="AN10" i="44"/>
  <c r="AP10" i="41"/>
  <c r="BP10" i="43"/>
  <c r="N10" i="44"/>
  <c r="AM10" i="44"/>
  <c r="AO10" i="41"/>
  <c r="BO10" i="43"/>
  <c r="M10" i="44"/>
  <c r="AL10" i="44"/>
  <c r="AN10" i="41"/>
  <c r="BN10" i="43"/>
  <c r="L10" i="44"/>
  <c r="AK10" i="44"/>
  <c r="AM10" i="41"/>
  <c r="BM10" i="43"/>
  <c r="BM46" i="43"/>
  <c r="K10" i="44"/>
  <c r="AJ10" i="44"/>
  <c r="AL10" i="41"/>
  <c r="BL10" i="43"/>
  <c r="J10" i="44"/>
  <c r="AI10" i="44"/>
  <c r="AK10" i="41"/>
  <c r="BK10" i="43"/>
  <c r="BK46" i="43"/>
  <c r="I10" i="44"/>
  <c r="AH10" i="44"/>
  <c r="AJ10" i="41"/>
  <c r="BJ10" i="43"/>
  <c r="H10" i="44"/>
  <c r="AG10" i="44"/>
  <c r="AI10" i="41"/>
  <c r="BI10" i="43"/>
  <c r="G10" i="44"/>
  <c r="AF10" i="44"/>
  <c r="AH10" i="41"/>
  <c r="BH10" i="43"/>
  <c r="F10" i="44"/>
  <c r="AE10" i="44"/>
  <c r="AG10" i="41"/>
  <c r="BG10" i="43"/>
  <c r="E10" i="44"/>
  <c r="AD10" i="44"/>
  <c r="AF10" i="41"/>
  <c r="BF10" i="43"/>
  <c r="D10" i="44"/>
  <c r="AC10" i="44"/>
  <c r="AE10" i="41"/>
  <c r="BE10" i="43"/>
  <c r="Z10" i="41"/>
  <c r="Z10" i="43"/>
  <c r="Z46" i="43"/>
  <c r="Y10" i="41"/>
  <c r="Y10" i="43"/>
  <c r="X10" i="41"/>
  <c r="X10" i="43"/>
  <c r="X46" i="43"/>
  <c r="W10" i="41"/>
  <c r="W10" i="43"/>
  <c r="V10" i="41"/>
  <c r="V10" i="43"/>
  <c r="T10" i="41"/>
  <c r="T10" i="43"/>
  <c r="S10" i="41"/>
  <c r="S10" i="43"/>
  <c r="R10" i="41"/>
  <c r="R10" i="43"/>
  <c r="Q10" i="41"/>
  <c r="Q10" i="43"/>
  <c r="P10" i="41"/>
  <c r="P10" i="43"/>
  <c r="O10" i="41"/>
  <c r="O10" i="43"/>
  <c r="N10" i="41"/>
  <c r="N10" i="43"/>
  <c r="N46" i="43"/>
  <c r="M10" i="41"/>
  <c r="M10" i="43"/>
  <c r="L10" i="41"/>
  <c r="L10" i="43"/>
  <c r="L46" i="43"/>
  <c r="K10" i="41"/>
  <c r="K10" i="43"/>
  <c r="J10" i="41"/>
  <c r="J10" i="43"/>
  <c r="I10" i="41"/>
  <c r="I10" i="43"/>
  <c r="H10" i="41"/>
  <c r="H10" i="43"/>
  <c r="G10" i="41"/>
  <c r="G10" i="43"/>
  <c r="F10" i="41"/>
  <c r="F10" i="43"/>
  <c r="E10" i="41"/>
  <c r="E10" i="43"/>
  <c r="Y9" i="44"/>
  <c r="AX9" i="44"/>
  <c r="BW9" i="44"/>
  <c r="AZ9" i="41"/>
  <c r="BZ9" i="43"/>
  <c r="X9" i="44"/>
  <c r="AW9" i="44"/>
  <c r="BV9" i="44"/>
  <c r="AY9" i="41"/>
  <c r="BY9" i="43"/>
  <c r="W9" i="44"/>
  <c r="AV9" i="44"/>
  <c r="BU9" i="44"/>
  <c r="AX9" i="41"/>
  <c r="BX9" i="43"/>
  <c r="V9" i="44"/>
  <c r="AU9" i="44"/>
  <c r="BT9" i="44"/>
  <c r="AW9" i="41"/>
  <c r="BW9" i="43"/>
  <c r="U9" i="44"/>
  <c r="AT9" i="44"/>
  <c r="BS9" i="44"/>
  <c r="AV9" i="41"/>
  <c r="BV9" i="43"/>
  <c r="S9" i="44"/>
  <c r="AR9" i="44"/>
  <c r="BQ9" i="44"/>
  <c r="AT9" i="41"/>
  <c r="BT9" i="43"/>
  <c r="R9" i="44"/>
  <c r="AQ9" i="44"/>
  <c r="BP9" i="44"/>
  <c r="AS9" i="41"/>
  <c r="BS9" i="43"/>
  <c r="Q9" i="44"/>
  <c r="AP9" i="44"/>
  <c r="BO9" i="44"/>
  <c r="AR9" i="41"/>
  <c r="BR9" i="43"/>
  <c r="P9" i="44"/>
  <c r="AO9" i="44"/>
  <c r="BN9" i="44"/>
  <c r="AQ9" i="41"/>
  <c r="BQ9" i="43"/>
  <c r="O9" i="44"/>
  <c r="AN9" i="44"/>
  <c r="BM9" i="44"/>
  <c r="AP9" i="41"/>
  <c r="BP9" i="43"/>
  <c r="N9" i="44"/>
  <c r="AM9" i="44"/>
  <c r="BL9" i="44"/>
  <c r="AO9" i="41"/>
  <c r="BO9" i="43"/>
  <c r="M9" i="44"/>
  <c r="AL9" i="44"/>
  <c r="BK9" i="44"/>
  <c r="AN9" i="41"/>
  <c r="BN9" i="43"/>
  <c r="L9" i="44"/>
  <c r="AK9" i="44"/>
  <c r="BJ9" i="44"/>
  <c r="AM9" i="41"/>
  <c r="BM9" i="43"/>
  <c r="K9" i="44"/>
  <c r="AJ9" i="44"/>
  <c r="BI9" i="44"/>
  <c r="AL9" i="41"/>
  <c r="BL9" i="43"/>
  <c r="J9" i="44"/>
  <c r="AI9" i="44"/>
  <c r="BH9" i="44"/>
  <c r="AK9" i="41"/>
  <c r="BK9" i="43"/>
  <c r="I9" i="44"/>
  <c r="AH9" i="44"/>
  <c r="BG9" i="44"/>
  <c r="AJ9" i="41"/>
  <c r="BJ9" i="43"/>
  <c r="H9" i="44"/>
  <c r="AG9" i="44"/>
  <c r="BF9" i="44"/>
  <c r="AI9" i="41"/>
  <c r="BI9" i="43"/>
  <c r="G9" i="44"/>
  <c r="AF9" i="44"/>
  <c r="BE9" i="44"/>
  <c r="AH9" i="41"/>
  <c r="BH9" i="43"/>
  <c r="F9" i="44"/>
  <c r="AE9" i="44"/>
  <c r="BD9" i="44"/>
  <c r="AG9" i="41"/>
  <c r="BG9" i="43"/>
  <c r="E9" i="44"/>
  <c r="AD9" i="44"/>
  <c r="BC9" i="44"/>
  <c r="AF9" i="41"/>
  <c r="BF9" i="43"/>
  <c r="D9" i="44"/>
  <c r="AC9" i="44"/>
  <c r="AE9" i="41"/>
  <c r="BE9" i="43"/>
  <c r="Z9" i="41"/>
  <c r="Z9" i="43"/>
  <c r="Y9" i="41"/>
  <c r="Y9" i="43"/>
  <c r="X9" i="41"/>
  <c r="X9" i="43"/>
  <c r="W9" i="41"/>
  <c r="W9" i="43"/>
  <c r="V9" i="41"/>
  <c r="V9" i="43"/>
  <c r="T9" i="41"/>
  <c r="T9" i="43"/>
  <c r="S9" i="41"/>
  <c r="S9" i="43"/>
  <c r="R9" i="41"/>
  <c r="R9" i="43"/>
  <c r="Q9" i="41"/>
  <c r="Q9" i="43"/>
  <c r="P9" i="41"/>
  <c r="P9" i="43"/>
  <c r="O9" i="41"/>
  <c r="O9" i="43"/>
  <c r="N9" i="41"/>
  <c r="N9" i="43"/>
  <c r="M9" i="41"/>
  <c r="M9" i="43"/>
  <c r="L9" i="41"/>
  <c r="L9" i="43"/>
  <c r="K9" i="41"/>
  <c r="K9" i="43"/>
  <c r="J9" i="41"/>
  <c r="J9" i="43"/>
  <c r="I9" i="41"/>
  <c r="I9" i="43"/>
  <c r="H9" i="41"/>
  <c r="H9" i="43"/>
  <c r="G9" i="41"/>
  <c r="G9" i="43"/>
  <c r="F9" i="41"/>
  <c r="F9" i="43"/>
  <c r="E9" i="41"/>
  <c r="E9" i="43"/>
  <c r="CA41" i="43"/>
  <c r="Y8" i="44"/>
  <c r="AX8" i="44"/>
  <c r="AZ8" i="41"/>
  <c r="BZ8" i="43"/>
  <c r="X8" i="44"/>
  <c r="AW8" i="44"/>
  <c r="AY8" i="41"/>
  <c r="BY8" i="43"/>
  <c r="W8" i="44"/>
  <c r="AV8" i="44"/>
  <c r="AX8" i="41"/>
  <c r="BX8" i="43"/>
  <c r="V8" i="44"/>
  <c r="AU8" i="44"/>
  <c r="AW8" i="41"/>
  <c r="BW8" i="43"/>
  <c r="U8" i="44"/>
  <c r="AT8" i="44"/>
  <c r="AV8" i="41"/>
  <c r="BV8" i="43"/>
  <c r="S8" i="44"/>
  <c r="AR8" i="44"/>
  <c r="AT8" i="41"/>
  <c r="BT8" i="43"/>
  <c r="R8" i="44"/>
  <c r="AQ8" i="44"/>
  <c r="AS8" i="41"/>
  <c r="BS8" i="43"/>
  <c r="Q8" i="44"/>
  <c r="AP8" i="44"/>
  <c r="AR8" i="41"/>
  <c r="BR8" i="43"/>
  <c r="P8" i="44"/>
  <c r="AO8" i="44"/>
  <c r="AQ8" i="41"/>
  <c r="BQ8" i="43"/>
  <c r="O8" i="44"/>
  <c r="AN8" i="44"/>
  <c r="AP8" i="41"/>
  <c r="BP8" i="43"/>
  <c r="N8" i="44"/>
  <c r="AM8" i="44"/>
  <c r="AO8" i="41"/>
  <c r="BO8" i="43"/>
  <c r="M8" i="44"/>
  <c r="AL8" i="44"/>
  <c r="AN8" i="41"/>
  <c r="BN8" i="43"/>
  <c r="L8" i="44"/>
  <c r="AK8" i="44"/>
  <c r="AM8" i="41"/>
  <c r="BM8" i="43"/>
  <c r="K8" i="44"/>
  <c r="AJ8" i="44"/>
  <c r="AL8" i="41"/>
  <c r="BL8" i="43"/>
  <c r="J8" i="44"/>
  <c r="AI8" i="44"/>
  <c r="AK8" i="41"/>
  <c r="BK8" i="43"/>
  <c r="I8" i="44"/>
  <c r="AH8" i="44"/>
  <c r="AJ8" i="41"/>
  <c r="BJ8" i="43"/>
  <c r="H8" i="44"/>
  <c r="AG8" i="44"/>
  <c r="AI8" i="41"/>
  <c r="BI8" i="43"/>
  <c r="G8" i="44"/>
  <c r="AF8" i="44"/>
  <c r="AH8" i="41"/>
  <c r="BH8" i="43"/>
  <c r="F8" i="44"/>
  <c r="AE8" i="44"/>
  <c r="AG8" i="41"/>
  <c r="BG8" i="43"/>
  <c r="E8" i="44"/>
  <c r="AD8" i="44"/>
  <c r="AF8" i="41"/>
  <c r="BF8" i="43"/>
  <c r="D8" i="44"/>
  <c r="AC8" i="44"/>
  <c r="AE8" i="41"/>
  <c r="BE8" i="43"/>
  <c r="BE41" i="43"/>
  <c r="Z8" i="41"/>
  <c r="Z8" i="43"/>
  <c r="Y8" i="41"/>
  <c r="Y8" i="43"/>
  <c r="X8" i="41"/>
  <c r="X8" i="43"/>
  <c r="W8" i="41"/>
  <c r="W8" i="43"/>
  <c r="V8" i="41"/>
  <c r="V8" i="43"/>
  <c r="T8" i="41"/>
  <c r="T8" i="43"/>
  <c r="S8" i="41"/>
  <c r="S8" i="43"/>
  <c r="R8" i="41"/>
  <c r="R8" i="43"/>
  <c r="R41" i="43"/>
  <c r="Q8" i="41"/>
  <c r="Q8" i="43"/>
  <c r="P8" i="41"/>
  <c r="P8" i="43"/>
  <c r="P41" i="43"/>
  <c r="O8" i="41"/>
  <c r="O8" i="43"/>
  <c r="N8" i="41"/>
  <c r="N8" i="43"/>
  <c r="M8" i="41"/>
  <c r="M8" i="43"/>
  <c r="L8" i="41"/>
  <c r="L8" i="43"/>
  <c r="K8" i="41"/>
  <c r="K8" i="43"/>
  <c r="J8" i="41"/>
  <c r="J8" i="43"/>
  <c r="I8" i="41"/>
  <c r="I8" i="43"/>
  <c r="H8" i="41"/>
  <c r="H8" i="43"/>
  <c r="G8" i="41"/>
  <c r="G8" i="43"/>
  <c r="F8" i="41"/>
  <c r="F8" i="43"/>
  <c r="F41" i="43"/>
  <c r="E8" i="41"/>
  <c r="E8" i="43"/>
  <c r="D41" i="43"/>
  <c r="Y7" i="44"/>
  <c r="AX7" i="44"/>
  <c r="BW7" i="44"/>
  <c r="AZ7" i="41"/>
  <c r="BZ7" i="43"/>
  <c r="X7" i="44"/>
  <c r="AW7" i="44"/>
  <c r="BV7" i="44"/>
  <c r="AY7" i="41"/>
  <c r="BY7" i="43"/>
  <c r="W7" i="44"/>
  <c r="AV7" i="44"/>
  <c r="BU7" i="44"/>
  <c r="AX7" i="41"/>
  <c r="BX7" i="43"/>
  <c r="V7" i="44"/>
  <c r="AU7" i="44"/>
  <c r="BT7" i="44"/>
  <c r="AW7" i="41"/>
  <c r="BW7" i="43"/>
  <c r="U7" i="44"/>
  <c r="AT7" i="44"/>
  <c r="BS7" i="44"/>
  <c r="AV7" i="41"/>
  <c r="BV7" i="43"/>
  <c r="S7" i="44"/>
  <c r="AR7" i="44"/>
  <c r="BQ7" i="44"/>
  <c r="AT7" i="41"/>
  <c r="BT7" i="43"/>
  <c r="R7" i="44"/>
  <c r="AQ7" i="44"/>
  <c r="BP7" i="44"/>
  <c r="AS7" i="41"/>
  <c r="BS7" i="43"/>
  <c r="Q7" i="44"/>
  <c r="AP7" i="44"/>
  <c r="BO7" i="44"/>
  <c r="AR7" i="41"/>
  <c r="BR7" i="43"/>
  <c r="P7" i="44"/>
  <c r="AO7" i="44"/>
  <c r="BN7" i="44"/>
  <c r="AQ7" i="41"/>
  <c r="BQ7" i="43"/>
  <c r="O7" i="44"/>
  <c r="AN7" i="44"/>
  <c r="BM7" i="44"/>
  <c r="AP7" i="41"/>
  <c r="BP7" i="43"/>
  <c r="N7" i="44"/>
  <c r="AM7" i="44"/>
  <c r="BL7" i="44"/>
  <c r="AO7" i="41"/>
  <c r="BO7" i="43"/>
  <c r="M7" i="44"/>
  <c r="AL7" i="44"/>
  <c r="BK7" i="44"/>
  <c r="AN7" i="41"/>
  <c r="BN7" i="43"/>
  <c r="L7" i="44"/>
  <c r="AK7" i="44"/>
  <c r="BJ7" i="44"/>
  <c r="AM7" i="41"/>
  <c r="BM7" i="43"/>
  <c r="K7" i="44"/>
  <c r="AJ7" i="44"/>
  <c r="BI7" i="44"/>
  <c r="AL7" i="41"/>
  <c r="BL7" i="43"/>
  <c r="J7" i="44"/>
  <c r="AI7" i="44"/>
  <c r="BH7" i="44"/>
  <c r="AK7" i="41"/>
  <c r="BK7" i="43"/>
  <c r="I7" i="44"/>
  <c r="AH7" i="44"/>
  <c r="BG7" i="44"/>
  <c r="AJ7" i="41"/>
  <c r="BJ7" i="43"/>
  <c r="H7" i="44"/>
  <c r="AG7" i="44"/>
  <c r="BF7" i="44"/>
  <c r="AI7" i="41"/>
  <c r="BI7" i="43"/>
  <c r="G7" i="44"/>
  <c r="AF7" i="44"/>
  <c r="BE7" i="44"/>
  <c r="AH7" i="41"/>
  <c r="BH7" i="43"/>
  <c r="F7" i="44"/>
  <c r="AE7" i="44"/>
  <c r="BD7" i="44"/>
  <c r="AG7" i="41"/>
  <c r="BG7" i="43"/>
  <c r="E7" i="44"/>
  <c r="AD7" i="44"/>
  <c r="BC7" i="44"/>
  <c r="AF7" i="41"/>
  <c r="BF7" i="43"/>
  <c r="D7" i="44"/>
  <c r="AC7" i="44"/>
  <c r="AE7" i="41"/>
  <c r="BE7" i="43"/>
  <c r="Z7" i="41"/>
  <c r="Z7" i="43"/>
  <c r="Y7" i="41"/>
  <c r="Y7" i="43"/>
  <c r="X7" i="41"/>
  <c r="X7" i="43"/>
  <c r="W7" i="41"/>
  <c r="W7" i="43"/>
  <c r="V7" i="41"/>
  <c r="V7" i="43"/>
  <c r="T7" i="41"/>
  <c r="T7" i="43"/>
  <c r="S7" i="41"/>
  <c r="S7" i="43"/>
  <c r="R7" i="41"/>
  <c r="R7" i="43"/>
  <c r="Q7" i="41"/>
  <c r="Q7" i="43"/>
  <c r="P7" i="41"/>
  <c r="P7" i="43"/>
  <c r="O7" i="41"/>
  <c r="O7" i="43"/>
  <c r="N7" i="41"/>
  <c r="N7" i="43"/>
  <c r="M7" i="41"/>
  <c r="M7" i="43"/>
  <c r="L7" i="41"/>
  <c r="L7" i="43"/>
  <c r="K7" i="41"/>
  <c r="K7" i="43"/>
  <c r="J7" i="41"/>
  <c r="J7" i="43"/>
  <c r="I7" i="41"/>
  <c r="I7" i="43"/>
  <c r="H7" i="41"/>
  <c r="H7" i="43"/>
  <c r="G7" i="41"/>
  <c r="G7" i="43"/>
  <c r="F7" i="41"/>
  <c r="F7" i="43"/>
  <c r="E7" i="41"/>
  <c r="E7" i="43"/>
  <c r="Y6" i="44"/>
  <c r="AX6" i="44"/>
  <c r="AZ6" i="41"/>
  <c r="BZ6" i="43"/>
  <c r="X6" i="44"/>
  <c r="AW6" i="44"/>
  <c r="AY6" i="41"/>
  <c r="BY6" i="43"/>
  <c r="W6" i="44"/>
  <c r="AV6" i="44"/>
  <c r="AX6" i="41"/>
  <c r="BX6" i="43"/>
  <c r="V6" i="44"/>
  <c r="AU6" i="44"/>
  <c r="AW6" i="41"/>
  <c r="BW6" i="43"/>
  <c r="U6" i="44"/>
  <c r="AT6" i="44"/>
  <c r="AV6" i="41"/>
  <c r="BV6" i="43"/>
  <c r="BU47" i="43"/>
  <c r="S6" i="44"/>
  <c r="AR6" i="44"/>
  <c r="AT6" i="41"/>
  <c r="BT6" i="43"/>
  <c r="R6" i="44"/>
  <c r="AQ6" i="44"/>
  <c r="AS6" i="41"/>
  <c r="BS6" i="43"/>
  <c r="BS47" i="43"/>
  <c r="Q6" i="44"/>
  <c r="AP6" i="44"/>
  <c r="AR6" i="41"/>
  <c r="BR6" i="43"/>
  <c r="P6" i="44"/>
  <c r="AO6" i="44"/>
  <c r="AQ6" i="41"/>
  <c r="BQ6" i="43"/>
  <c r="O6" i="44"/>
  <c r="AN6" i="44"/>
  <c r="AP6" i="41"/>
  <c r="BP6" i="43"/>
  <c r="N6" i="44"/>
  <c r="AM6" i="44"/>
  <c r="AO6" i="41"/>
  <c r="BO6" i="43"/>
  <c r="M6" i="44"/>
  <c r="AL6" i="44"/>
  <c r="AN6" i="41"/>
  <c r="BN6" i="43"/>
  <c r="L6" i="44"/>
  <c r="AK6" i="44"/>
  <c r="AM6" i="41"/>
  <c r="BM6" i="43"/>
  <c r="K6" i="44"/>
  <c r="AJ6" i="44"/>
  <c r="AL6" i="41"/>
  <c r="BL6" i="43"/>
  <c r="J6" i="44"/>
  <c r="AI6" i="44"/>
  <c r="AK6" i="41"/>
  <c r="BK6" i="43"/>
  <c r="I6" i="44"/>
  <c r="AH6" i="44"/>
  <c r="AJ6" i="41"/>
  <c r="BJ6" i="43"/>
  <c r="H6" i="44"/>
  <c r="AG6" i="44"/>
  <c r="AI6" i="41"/>
  <c r="BI6" i="43"/>
  <c r="BI47" i="43"/>
  <c r="G6" i="44"/>
  <c r="AF6" i="44"/>
  <c r="AH6" i="41"/>
  <c r="BH6" i="43"/>
  <c r="F6" i="44"/>
  <c r="AE6" i="44"/>
  <c r="AG6" i="41"/>
  <c r="BG6" i="43"/>
  <c r="BG47" i="43"/>
  <c r="E6" i="44"/>
  <c r="AD6" i="44"/>
  <c r="AF6" i="41"/>
  <c r="BF6" i="43"/>
  <c r="D6" i="44"/>
  <c r="AC6" i="44"/>
  <c r="AE6" i="41"/>
  <c r="BE6" i="43"/>
  <c r="Z6" i="41"/>
  <c r="Z6" i="43"/>
  <c r="Y6" i="41"/>
  <c r="Y6" i="43"/>
  <c r="X6" i="41"/>
  <c r="X6" i="43"/>
  <c r="W6" i="41"/>
  <c r="W6" i="43"/>
  <c r="V6" i="41"/>
  <c r="V6" i="43"/>
  <c r="V47" i="43"/>
  <c r="T6" i="41"/>
  <c r="T6" i="43"/>
  <c r="T47" i="43"/>
  <c r="S6" i="41"/>
  <c r="S6" i="43"/>
  <c r="R6" i="41"/>
  <c r="R6" i="43"/>
  <c r="Q6" i="41"/>
  <c r="Q6" i="43"/>
  <c r="P6" i="41"/>
  <c r="P6" i="43"/>
  <c r="O6" i="41"/>
  <c r="O6" i="43"/>
  <c r="N6" i="41"/>
  <c r="N6" i="43"/>
  <c r="M6" i="41"/>
  <c r="M6" i="43"/>
  <c r="L6" i="41"/>
  <c r="L6" i="43"/>
  <c r="K6" i="41"/>
  <c r="K6" i="43"/>
  <c r="J6" i="41"/>
  <c r="J6" i="43"/>
  <c r="J47" i="43"/>
  <c r="I6" i="41"/>
  <c r="I6" i="43"/>
  <c r="H6" i="41"/>
  <c r="H6" i="43"/>
  <c r="H47" i="43"/>
  <c r="G6" i="41"/>
  <c r="G6" i="43"/>
  <c r="F6" i="41"/>
  <c r="F6" i="43"/>
  <c r="E6" i="41"/>
  <c r="E6" i="43"/>
  <c r="Y5" i="44"/>
  <c r="AX5" i="44"/>
  <c r="BW5" i="44"/>
  <c r="AZ5" i="41"/>
  <c r="BZ5" i="43"/>
  <c r="X5" i="44"/>
  <c r="AW5" i="44"/>
  <c r="BV5" i="44"/>
  <c r="AY5" i="41"/>
  <c r="BY5" i="43"/>
  <c r="W5" i="44"/>
  <c r="AV5" i="44"/>
  <c r="BU5" i="44"/>
  <c r="AX5" i="41"/>
  <c r="BX5" i="43"/>
  <c r="V5" i="44"/>
  <c r="AU5" i="44"/>
  <c r="BT5" i="44"/>
  <c r="AW5" i="41"/>
  <c r="BW5" i="43"/>
  <c r="U5" i="44"/>
  <c r="AT5" i="44"/>
  <c r="BS5" i="44"/>
  <c r="AV5" i="41"/>
  <c r="BV5" i="43"/>
  <c r="S5" i="44"/>
  <c r="AR5" i="44"/>
  <c r="BQ5" i="44"/>
  <c r="AT5" i="41"/>
  <c r="BT5" i="43"/>
  <c r="R5" i="44"/>
  <c r="AQ5" i="44"/>
  <c r="BP5" i="44"/>
  <c r="AS5" i="41"/>
  <c r="BS5" i="43"/>
  <c r="Q5" i="44"/>
  <c r="AP5" i="44"/>
  <c r="BO5" i="44"/>
  <c r="AR5" i="41"/>
  <c r="BR5" i="43"/>
  <c r="P5" i="44"/>
  <c r="AO5" i="44"/>
  <c r="BN5" i="44"/>
  <c r="AQ5" i="41"/>
  <c r="BQ5" i="43"/>
  <c r="O5" i="44"/>
  <c r="AN5" i="44"/>
  <c r="BM5" i="44"/>
  <c r="AP5" i="41"/>
  <c r="BP5" i="43"/>
  <c r="N5" i="44"/>
  <c r="AM5" i="44"/>
  <c r="BL5" i="44"/>
  <c r="AO5" i="41"/>
  <c r="BO5" i="43"/>
  <c r="M5" i="44"/>
  <c r="AL5" i="44"/>
  <c r="BK5" i="44"/>
  <c r="AN5" i="41"/>
  <c r="BN5" i="43"/>
  <c r="L5" i="44"/>
  <c r="AK5" i="44"/>
  <c r="BJ5" i="44"/>
  <c r="AM5" i="41"/>
  <c r="BM5" i="43"/>
  <c r="K5" i="44"/>
  <c r="AJ5" i="44"/>
  <c r="BI5" i="44"/>
  <c r="AL5" i="41"/>
  <c r="BL5" i="43"/>
  <c r="J5" i="44"/>
  <c r="AI5" i="44"/>
  <c r="BH5" i="44"/>
  <c r="AK5" i="41"/>
  <c r="BK5" i="43"/>
  <c r="I5" i="44"/>
  <c r="AH5" i="44"/>
  <c r="BG5" i="44"/>
  <c r="AJ5" i="41"/>
  <c r="BJ5" i="43"/>
  <c r="H5" i="44"/>
  <c r="AG5" i="44"/>
  <c r="BF5" i="44"/>
  <c r="AI5" i="41"/>
  <c r="BI5" i="43"/>
  <c r="G5" i="44"/>
  <c r="AF5" i="44"/>
  <c r="BE5" i="44"/>
  <c r="AH5" i="41"/>
  <c r="BH5" i="43"/>
  <c r="F5" i="44"/>
  <c r="AE5" i="44"/>
  <c r="BD5" i="44"/>
  <c r="AG5" i="41"/>
  <c r="BG5" i="43"/>
  <c r="E5" i="44"/>
  <c r="AD5" i="44"/>
  <c r="BC5" i="44"/>
  <c r="AF5" i="41"/>
  <c r="BF5" i="43"/>
  <c r="D5" i="44"/>
  <c r="AC5" i="44"/>
  <c r="AE5" i="41"/>
  <c r="BE5" i="43"/>
  <c r="Z5" i="41"/>
  <c r="Z5" i="43"/>
  <c r="Y5" i="41"/>
  <c r="Y5" i="43"/>
  <c r="X5" i="41"/>
  <c r="X5" i="43"/>
  <c r="W5" i="41"/>
  <c r="W5" i="43"/>
  <c r="V5" i="41"/>
  <c r="V5" i="43"/>
  <c r="T5" i="41"/>
  <c r="T5" i="43"/>
  <c r="S5" i="41"/>
  <c r="S5" i="43"/>
  <c r="R5" i="41"/>
  <c r="R5" i="43"/>
  <c r="Q5" i="41"/>
  <c r="Q5" i="43"/>
  <c r="P5" i="41"/>
  <c r="P5" i="43"/>
  <c r="O5" i="41"/>
  <c r="O5" i="43"/>
  <c r="N5" i="41"/>
  <c r="N5" i="43"/>
  <c r="M5" i="41"/>
  <c r="M5" i="43"/>
  <c r="L5" i="41"/>
  <c r="L5" i="43"/>
  <c r="K5" i="41"/>
  <c r="K5" i="43"/>
  <c r="J5" i="41"/>
  <c r="J5" i="43"/>
  <c r="I5" i="41"/>
  <c r="I5" i="43"/>
  <c r="H5" i="41"/>
  <c r="H5" i="43"/>
  <c r="G5" i="41"/>
  <c r="G5" i="43"/>
  <c r="F5" i="41"/>
  <c r="F5" i="43"/>
  <c r="E5" i="41"/>
  <c r="E5" i="43"/>
  <c r="Y4" i="44"/>
  <c r="AX4" i="44"/>
  <c r="AZ4" i="41"/>
  <c r="BZ4" i="43"/>
  <c r="X4" i="44"/>
  <c r="AW4" i="44"/>
  <c r="AY4" i="41"/>
  <c r="BY4" i="43"/>
  <c r="BY40" i="43"/>
  <c r="W4" i="44"/>
  <c r="AV4" i="44"/>
  <c r="AX4" i="41"/>
  <c r="BX4" i="43"/>
  <c r="V4" i="44"/>
  <c r="AU4" i="44"/>
  <c r="AW4" i="41"/>
  <c r="BW4" i="43"/>
  <c r="BW40" i="43"/>
  <c r="U4" i="44"/>
  <c r="AT4" i="44"/>
  <c r="AV4" i="41"/>
  <c r="BV4" i="43"/>
  <c r="S4" i="44"/>
  <c r="AR4" i="44"/>
  <c r="AT4" i="41"/>
  <c r="BT4" i="43"/>
  <c r="R4" i="44"/>
  <c r="AQ4" i="44"/>
  <c r="AS4" i="41"/>
  <c r="BS4" i="43"/>
  <c r="Q4" i="44"/>
  <c r="AP4" i="44"/>
  <c r="AR4" i="41"/>
  <c r="BR4" i="43"/>
  <c r="P4" i="44"/>
  <c r="AO4" i="44"/>
  <c r="AQ4" i="41"/>
  <c r="BQ4" i="43"/>
  <c r="O4" i="44"/>
  <c r="AN4" i="44"/>
  <c r="AP4" i="41"/>
  <c r="BP4" i="43"/>
  <c r="N4" i="44"/>
  <c r="AM4" i="44"/>
  <c r="AO4" i="41"/>
  <c r="BO4" i="43"/>
  <c r="M4" i="44"/>
  <c r="AL4" i="44"/>
  <c r="AN4" i="41"/>
  <c r="BN4" i="43"/>
  <c r="L4" i="44"/>
  <c r="AK4" i="44"/>
  <c r="AM4" i="41"/>
  <c r="BM4" i="43"/>
  <c r="K4" i="44"/>
  <c r="AJ4" i="44"/>
  <c r="AL4" i="41"/>
  <c r="BL4" i="43"/>
  <c r="J4" i="44"/>
  <c r="AI4" i="44"/>
  <c r="AK4" i="41"/>
  <c r="BK4" i="43"/>
  <c r="I4" i="44"/>
  <c r="AH4" i="44"/>
  <c r="AJ4" i="41"/>
  <c r="BJ4" i="43"/>
  <c r="H4" i="44"/>
  <c r="AG4" i="44"/>
  <c r="AI4" i="41"/>
  <c r="BI4" i="43"/>
  <c r="G4" i="44"/>
  <c r="AF4" i="44"/>
  <c r="AH4" i="41"/>
  <c r="BH4" i="43"/>
  <c r="F4" i="44"/>
  <c r="AE4" i="44"/>
  <c r="AG4" i="41"/>
  <c r="BG4" i="43"/>
  <c r="E4" i="44"/>
  <c r="AD4" i="44"/>
  <c r="AF4" i="41"/>
  <c r="BF4" i="43"/>
  <c r="D4" i="44"/>
  <c r="AC4" i="44"/>
  <c r="AE4" i="41"/>
  <c r="BE4" i="43"/>
  <c r="Z4" i="41"/>
  <c r="Z4" i="43"/>
  <c r="Z40" i="43"/>
  <c r="Y4" i="41"/>
  <c r="Y4" i="43"/>
  <c r="X4" i="41"/>
  <c r="X4" i="43"/>
  <c r="W4" i="41"/>
  <c r="W4" i="43"/>
  <c r="V4" i="41"/>
  <c r="V4" i="43"/>
  <c r="T4" i="41"/>
  <c r="T4" i="43"/>
  <c r="S4" i="41"/>
  <c r="S4" i="43"/>
  <c r="R4" i="41"/>
  <c r="R4" i="43"/>
  <c r="Q4" i="41"/>
  <c r="Q4" i="43"/>
  <c r="P4" i="41"/>
  <c r="P4" i="43"/>
  <c r="O4" i="41"/>
  <c r="O4" i="43"/>
  <c r="N4" i="41"/>
  <c r="N4" i="43"/>
  <c r="N40" i="43"/>
  <c r="M4" i="41"/>
  <c r="M4" i="43"/>
  <c r="L4" i="41"/>
  <c r="L4" i="43"/>
  <c r="L40" i="43"/>
  <c r="K4" i="41"/>
  <c r="K4" i="43"/>
  <c r="J4" i="41"/>
  <c r="J4" i="43"/>
  <c r="I4" i="41"/>
  <c r="I4" i="43"/>
  <c r="H4" i="41"/>
  <c r="H4" i="43"/>
  <c r="G4" i="41"/>
  <c r="G4" i="43"/>
  <c r="F4" i="41"/>
  <c r="F4" i="43"/>
  <c r="E4" i="41"/>
  <c r="E4" i="43"/>
  <c r="CA32" i="43"/>
  <c r="Y3" i="44"/>
  <c r="AX3" i="44"/>
  <c r="AZ3" i="41"/>
  <c r="BZ3" i="43"/>
  <c r="X3" i="44"/>
  <c r="AW3" i="44"/>
  <c r="AY3" i="41"/>
  <c r="BY3" i="43"/>
  <c r="BY32" i="43"/>
  <c r="W3" i="44"/>
  <c r="AV3" i="44"/>
  <c r="AX3" i="41"/>
  <c r="BX3" i="43"/>
  <c r="V3" i="44"/>
  <c r="AU3" i="44"/>
  <c r="AW3" i="41"/>
  <c r="BW3" i="43"/>
  <c r="U3" i="44"/>
  <c r="AT3" i="44"/>
  <c r="AV3" i="41"/>
  <c r="BV3" i="43"/>
  <c r="S3" i="44"/>
  <c r="AR3" i="44"/>
  <c r="AT3" i="41"/>
  <c r="BT3" i="43"/>
  <c r="R3" i="44"/>
  <c r="AQ3" i="44"/>
  <c r="AS3" i="41"/>
  <c r="BS3" i="43"/>
  <c r="Q3" i="44"/>
  <c r="AP3" i="44"/>
  <c r="AR3" i="41"/>
  <c r="BR3" i="43"/>
  <c r="P3" i="44"/>
  <c r="AO3" i="44"/>
  <c r="AQ3" i="41"/>
  <c r="BQ3" i="43"/>
  <c r="O3" i="44"/>
  <c r="AN3" i="44"/>
  <c r="AP3" i="41"/>
  <c r="BP3" i="43"/>
  <c r="N3" i="44"/>
  <c r="AM3" i="44"/>
  <c r="AO3" i="41"/>
  <c r="BO3" i="43"/>
  <c r="BO32" i="43"/>
  <c r="M3" i="44"/>
  <c r="AL3" i="44"/>
  <c r="AN3" i="41"/>
  <c r="BN3" i="43"/>
  <c r="L3" i="44"/>
  <c r="AK3" i="44"/>
  <c r="AM3" i="41"/>
  <c r="BM3" i="43"/>
  <c r="BM32" i="43"/>
  <c r="K3" i="44"/>
  <c r="AJ3" i="44"/>
  <c r="AL3" i="41"/>
  <c r="BL3" i="43"/>
  <c r="J3" i="44"/>
  <c r="AI3" i="44"/>
  <c r="AK3" i="41"/>
  <c r="BK3" i="43"/>
  <c r="I3" i="44"/>
  <c r="AH3" i="44"/>
  <c r="AJ3" i="41"/>
  <c r="BJ3" i="43"/>
  <c r="H3" i="44"/>
  <c r="AG3" i="44"/>
  <c r="AI3" i="41"/>
  <c r="BI3" i="43"/>
  <c r="G3" i="44"/>
  <c r="AF3" i="44"/>
  <c r="AH3" i="41"/>
  <c r="BH3" i="43"/>
  <c r="F3" i="44"/>
  <c r="AE3" i="44"/>
  <c r="AG3" i="41"/>
  <c r="BG3" i="43"/>
  <c r="E3" i="44"/>
  <c r="AD3" i="44"/>
  <c r="AF3" i="41"/>
  <c r="BF3" i="43"/>
  <c r="D3" i="44"/>
  <c r="AC3" i="44"/>
  <c r="AE3" i="41"/>
  <c r="BE3" i="43"/>
  <c r="AB32" i="43"/>
  <c r="Z3" i="41"/>
  <c r="Z3" i="43"/>
  <c r="Z32" i="43"/>
  <c r="Y3" i="41"/>
  <c r="Y3" i="43"/>
  <c r="X3" i="41"/>
  <c r="X3" i="43"/>
  <c r="W3" i="41"/>
  <c r="W3" i="43"/>
  <c r="V3" i="41"/>
  <c r="V3" i="43"/>
  <c r="T3" i="41"/>
  <c r="T3" i="43"/>
  <c r="S3" i="41"/>
  <c r="S3" i="43"/>
  <c r="R3" i="41"/>
  <c r="R3" i="43"/>
  <c r="Q3" i="41"/>
  <c r="Q3" i="43"/>
  <c r="P3" i="41"/>
  <c r="P3" i="43"/>
  <c r="O3" i="41"/>
  <c r="O3" i="43"/>
  <c r="N3" i="41"/>
  <c r="N3" i="43"/>
  <c r="N32" i="43"/>
  <c r="M3" i="41"/>
  <c r="M3" i="43"/>
  <c r="L3" i="41"/>
  <c r="L3" i="43"/>
  <c r="K3" i="41"/>
  <c r="K3" i="43"/>
  <c r="J3" i="41"/>
  <c r="J3" i="43"/>
  <c r="I3" i="41"/>
  <c r="I3" i="43"/>
  <c r="H3" i="41"/>
  <c r="H3" i="43"/>
  <c r="G3" i="41"/>
  <c r="G3" i="43"/>
  <c r="F3" i="41"/>
  <c r="F3" i="43"/>
  <c r="E3" i="41"/>
  <c r="E3" i="43"/>
  <c r="D32" i="43"/>
  <c r="Y2" i="44"/>
  <c r="AX2" i="44"/>
  <c r="AZ2" i="41"/>
  <c r="BZ2" i="43"/>
  <c r="X2" i="44"/>
  <c r="AW2" i="44"/>
  <c r="AY2" i="41"/>
  <c r="BY2" i="43"/>
  <c r="W2" i="44"/>
  <c r="AV2" i="44"/>
  <c r="AX2" i="41"/>
  <c r="BX2" i="43"/>
  <c r="V2" i="44"/>
  <c r="AU2" i="44"/>
  <c r="AW2" i="41"/>
  <c r="BW2" i="43"/>
  <c r="U2" i="44"/>
  <c r="AT2" i="44"/>
  <c r="AV2" i="41"/>
  <c r="BV2" i="43"/>
  <c r="S2" i="44"/>
  <c r="AR2" i="44"/>
  <c r="AT2" i="41"/>
  <c r="BT2" i="43"/>
  <c r="R2" i="44"/>
  <c r="AQ2" i="44"/>
  <c r="AS2" i="41"/>
  <c r="BS2" i="43"/>
  <c r="Q2" i="44"/>
  <c r="AP2" i="44"/>
  <c r="AR2" i="41"/>
  <c r="BR2" i="43"/>
  <c r="P2" i="44"/>
  <c r="AO2" i="44"/>
  <c r="AQ2" i="41"/>
  <c r="BQ2" i="43"/>
  <c r="BQ38" i="43"/>
  <c r="O2" i="44"/>
  <c r="AN2" i="44"/>
  <c r="AP2" i="41"/>
  <c r="BP2" i="43"/>
  <c r="N2" i="44"/>
  <c r="AM2" i="44"/>
  <c r="AO2" i="41"/>
  <c r="BO2" i="43"/>
  <c r="BO38" i="43"/>
  <c r="M2" i="44"/>
  <c r="AL2" i="44"/>
  <c r="AN2" i="41"/>
  <c r="BN2" i="43"/>
  <c r="L2" i="44"/>
  <c r="AK2" i="44"/>
  <c r="AM2" i="41"/>
  <c r="BM2" i="43"/>
  <c r="K2" i="44"/>
  <c r="AJ2" i="44"/>
  <c r="AL2" i="41"/>
  <c r="BL2" i="43"/>
  <c r="J2" i="44"/>
  <c r="AI2" i="44"/>
  <c r="AK2" i="41"/>
  <c r="BK2" i="43"/>
  <c r="I2" i="44"/>
  <c r="AH2" i="44"/>
  <c r="AJ2" i="41"/>
  <c r="BJ2" i="43"/>
  <c r="H2" i="44"/>
  <c r="AG2" i="44"/>
  <c r="AI2" i="41"/>
  <c r="BI2" i="43"/>
  <c r="G2" i="44"/>
  <c r="AF2" i="44"/>
  <c r="AH2" i="41"/>
  <c r="BH2" i="43"/>
  <c r="F2" i="44"/>
  <c r="AE2" i="44"/>
  <c r="AG2" i="41"/>
  <c r="BG2" i="43"/>
  <c r="E2" i="44"/>
  <c r="AD2" i="44"/>
  <c r="AF2" i="41"/>
  <c r="BF2" i="43"/>
  <c r="D2" i="44"/>
  <c r="AC2" i="44"/>
  <c r="AE2" i="41"/>
  <c r="BE2" i="43"/>
  <c r="BE38" i="43"/>
  <c r="AB38" i="43"/>
  <c r="Z2" i="41"/>
  <c r="Z2" i="43"/>
  <c r="Y2" i="41"/>
  <c r="Y2" i="43"/>
  <c r="X2" i="41"/>
  <c r="X2" i="43"/>
  <c r="W2" i="41"/>
  <c r="W2" i="43"/>
  <c r="V2" i="41"/>
  <c r="V2" i="43"/>
  <c r="T2" i="41"/>
  <c r="T2" i="43"/>
  <c r="S2" i="41"/>
  <c r="S2" i="43"/>
  <c r="R2" i="41"/>
  <c r="R2" i="43"/>
  <c r="R38" i="43"/>
  <c r="Q2" i="41"/>
  <c r="Q2" i="43"/>
  <c r="P2" i="41"/>
  <c r="P2" i="43"/>
  <c r="P38" i="43"/>
  <c r="O2" i="41"/>
  <c r="O2" i="43"/>
  <c r="N2" i="41"/>
  <c r="N2" i="43"/>
  <c r="M2" i="41"/>
  <c r="M2" i="43"/>
  <c r="L2" i="41"/>
  <c r="L2" i="43"/>
  <c r="K2" i="41"/>
  <c r="K2" i="43"/>
  <c r="J2" i="41"/>
  <c r="J2" i="43"/>
  <c r="I2" i="41"/>
  <c r="I2" i="43"/>
  <c r="H2" i="41"/>
  <c r="H2" i="43"/>
  <c r="G2" i="41"/>
  <c r="G2" i="43"/>
  <c r="F2" i="41"/>
  <c r="F2" i="43"/>
  <c r="F38" i="43"/>
  <c r="E2" i="41"/>
  <c r="E2" i="43"/>
  <c r="D38" i="43"/>
  <c r="BR35" i="43"/>
  <c r="BF35" i="43"/>
  <c r="CZ29" i="43"/>
  <c r="CY29" i="43"/>
  <c r="CX29" i="43"/>
  <c r="CW29" i="43"/>
  <c r="CV29" i="43"/>
  <c r="CT29" i="43"/>
  <c r="CS29" i="43"/>
  <c r="CR29" i="43"/>
  <c r="CQ29" i="43"/>
  <c r="CP29" i="43"/>
  <c r="CO29" i="43"/>
  <c r="CN29" i="43"/>
  <c r="CM29" i="43"/>
  <c r="CL29" i="43"/>
  <c r="CK29" i="43"/>
  <c r="CJ29" i="43"/>
  <c r="CI29" i="43"/>
  <c r="CH29" i="43"/>
  <c r="CG29" i="43"/>
  <c r="CF29" i="43"/>
  <c r="CE29" i="43"/>
  <c r="AZ29" i="43"/>
  <c r="AY29" i="43"/>
  <c r="AX29" i="43"/>
  <c r="AW29" i="43"/>
  <c r="AV29" i="43"/>
  <c r="AT29" i="43"/>
  <c r="AS29" i="43"/>
  <c r="AR29" i="43"/>
  <c r="AQ29" i="43"/>
  <c r="AP29" i="43"/>
  <c r="AO29" i="43"/>
  <c r="AN29" i="43"/>
  <c r="AM29" i="43"/>
  <c r="AL29" i="43"/>
  <c r="AK29" i="43"/>
  <c r="AJ29" i="43"/>
  <c r="AI29" i="43"/>
  <c r="AH29" i="43"/>
  <c r="AG29" i="43"/>
  <c r="AF29" i="43"/>
  <c r="BZ43" i="43"/>
  <c r="BN43" i="43"/>
  <c r="AB43" i="43"/>
  <c r="P43" i="43"/>
  <c r="D43" i="43"/>
  <c r="CZ27" i="43"/>
  <c r="CY27" i="43"/>
  <c r="CX27" i="43"/>
  <c r="CW27" i="43"/>
  <c r="CV27" i="43"/>
  <c r="CT27" i="43"/>
  <c r="CS27" i="43"/>
  <c r="CR27" i="43"/>
  <c r="CQ27" i="43"/>
  <c r="CP27" i="43"/>
  <c r="CO27" i="43"/>
  <c r="CN27" i="43"/>
  <c r="CM27" i="43"/>
  <c r="CL27" i="43"/>
  <c r="CK27" i="43"/>
  <c r="CJ27" i="43"/>
  <c r="CI27" i="43"/>
  <c r="CH27" i="43"/>
  <c r="CG27" i="43"/>
  <c r="CF27" i="43"/>
  <c r="CE27" i="43"/>
  <c r="AZ27" i="43"/>
  <c r="AY27" i="43"/>
  <c r="AX27" i="43"/>
  <c r="AW27" i="43"/>
  <c r="AV27" i="43"/>
  <c r="AT27" i="43"/>
  <c r="AS27" i="43"/>
  <c r="AR27" i="43"/>
  <c r="AQ27" i="43"/>
  <c r="AP27" i="43"/>
  <c r="AO27" i="43"/>
  <c r="AN27" i="43"/>
  <c r="AM27" i="43"/>
  <c r="AL27" i="43"/>
  <c r="AK27" i="43"/>
  <c r="AJ27" i="43"/>
  <c r="AI27" i="43"/>
  <c r="AH27" i="43"/>
  <c r="AG27" i="43"/>
  <c r="AF27" i="43"/>
  <c r="X36" i="43"/>
  <c r="L36" i="43"/>
  <c r="CZ25" i="43"/>
  <c r="CY25" i="43"/>
  <c r="CX25" i="43"/>
  <c r="CW25" i="43"/>
  <c r="CV25" i="43"/>
  <c r="CT25" i="43"/>
  <c r="CS25" i="43"/>
  <c r="CR25" i="43"/>
  <c r="CQ25" i="43"/>
  <c r="CP25" i="43"/>
  <c r="CO25" i="43"/>
  <c r="CN25" i="43"/>
  <c r="CM25" i="43"/>
  <c r="CL25" i="43"/>
  <c r="CK25" i="43"/>
  <c r="CJ25" i="43"/>
  <c r="CI25" i="43"/>
  <c r="CH25" i="43"/>
  <c r="CG25" i="43"/>
  <c r="CF25" i="43"/>
  <c r="CE25" i="43"/>
  <c r="AZ25" i="43"/>
  <c r="AY25" i="43"/>
  <c r="AX25" i="43"/>
  <c r="AW25" i="43"/>
  <c r="AV25" i="43"/>
  <c r="AT25" i="43"/>
  <c r="AS25" i="43"/>
  <c r="AR25" i="43"/>
  <c r="AQ25" i="43"/>
  <c r="AP25" i="43"/>
  <c r="AO25" i="43"/>
  <c r="AN25" i="43"/>
  <c r="AM25" i="43"/>
  <c r="AL25" i="43"/>
  <c r="AK25" i="43"/>
  <c r="AJ25" i="43"/>
  <c r="AI25" i="43"/>
  <c r="AH25" i="43"/>
  <c r="AG25" i="43"/>
  <c r="AF25" i="43"/>
  <c r="CZ24" i="43"/>
  <c r="CY24" i="43"/>
  <c r="CX24" i="43"/>
  <c r="CW24" i="43"/>
  <c r="CV24" i="43"/>
  <c r="CT24" i="43"/>
  <c r="CS24" i="43"/>
  <c r="CR24" i="43"/>
  <c r="CQ24" i="43"/>
  <c r="CP24" i="43"/>
  <c r="CO24" i="43"/>
  <c r="CN24" i="43"/>
  <c r="CM24" i="43"/>
  <c r="CL24" i="43"/>
  <c r="CK24" i="43"/>
  <c r="CJ24" i="43"/>
  <c r="CI24" i="43"/>
  <c r="CH24" i="43"/>
  <c r="CG24" i="43"/>
  <c r="CF24" i="43"/>
  <c r="CE24" i="43"/>
  <c r="AZ24" i="43"/>
  <c r="AY24" i="43"/>
  <c r="AX24" i="43"/>
  <c r="AW24" i="43"/>
  <c r="AV24" i="43"/>
  <c r="AT24" i="43"/>
  <c r="AS24" i="43"/>
  <c r="AR24" i="43"/>
  <c r="AQ24" i="43"/>
  <c r="AP24" i="43"/>
  <c r="AO24" i="43"/>
  <c r="AN24" i="43"/>
  <c r="AM24" i="43"/>
  <c r="AL24" i="43"/>
  <c r="AK24" i="43"/>
  <c r="AJ24" i="43"/>
  <c r="AI24" i="43"/>
  <c r="AH24" i="43"/>
  <c r="AG24" i="43"/>
  <c r="AF24" i="43"/>
  <c r="CZ23" i="43"/>
  <c r="CY23" i="43"/>
  <c r="CX23" i="43"/>
  <c r="CW23" i="43"/>
  <c r="CV23" i="43"/>
  <c r="CT23" i="43"/>
  <c r="CS23" i="43"/>
  <c r="CR23" i="43"/>
  <c r="CQ23" i="43"/>
  <c r="CP23" i="43"/>
  <c r="CO23" i="43"/>
  <c r="CN23" i="43"/>
  <c r="CM23" i="43"/>
  <c r="CL23" i="43"/>
  <c r="CK23" i="43"/>
  <c r="CJ23" i="43"/>
  <c r="CI23" i="43"/>
  <c r="CH23" i="43"/>
  <c r="CG23" i="43"/>
  <c r="CF23" i="43"/>
  <c r="CE23" i="43"/>
  <c r="BV49" i="43"/>
  <c r="BJ49" i="43"/>
  <c r="AZ23" i="43"/>
  <c r="AY23" i="43"/>
  <c r="AX23" i="43"/>
  <c r="AW23" i="43"/>
  <c r="AV23" i="43"/>
  <c r="AT23" i="43"/>
  <c r="AS23" i="43"/>
  <c r="AR23" i="43"/>
  <c r="AQ23" i="43"/>
  <c r="AP23" i="43"/>
  <c r="AO23" i="43"/>
  <c r="AN23" i="43"/>
  <c r="AM23" i="43"/>
  <c r="AL23" i="43"/>
  <c r="AK23" i="43"/>
  <c r="AJ23" i="43"/>
  <c r="AI23" i="43"/>
  <c r="AH23" i="43"/>
  <c r="AG23" i="43"/>
  <c r="AF23" i="43"/>
  <c r="BZ37" i="43"/>
  <c r="BN37" i="43"/>
  <c r="AB37" i="43"/>
  <c r="P37" i="43"/>
  <c r="D37" i="43"/>
  <c r="CZ21" i="43"/>
  <c r="CY21" i="43"/>
  <c r="CX21" i="43"/>
  <c r="CW21" i="43"/>
  <c r="CV21" i="43"/>
  <c r="CT21" i="43"/>
  <c r="CS21" i="43"/>
  <c r="CR21" i="43"/>
  <c r="CQ21" i="43"/>
  <c r="CP21" i="43"/>
  <c r="CO21" i="43"/>
  <c r="CN21" i="43"/>
  <c r="CM21" i="43"/>
  <c r="CL21" i="43"/>
  <c r="CK21" i="43"/>
  <c r="CJ21" i="43"/>
  <c r="CI21" i="43"/>
  <c r="CH21" i="43"/>
  <c r="CG21" i="43"/>
  <c r="CF21" i="43"/>
  <c r="CE21" i="43"/>
  <c r="AZ21" i="43"/>
  <c r="AY21" i="43"/>
  <c r="AX21" i="43"/>
  <c r="AW21" i="43"/>
  <c r="AV21" i="43"/>
  <c r="AT21" i="43"/>
  <c r="AS21" i="43"/>
  <c r="AR21" i="43"/>
  <c r="AQ21" i="43"/>
  <c r="AP21" i="43"/>
  <c r="AO21" i="43"/>
  <c r="AN21" i="43"/>
  <c r="AM21" i="43"/>
  <c r="AL21" i="43"/>
  <c r="AK21" i="43"/>
  <c r="AJ21" i="43"/>
  <c r="AI21" i="43"/>
  <c r="AH21" i="43"/>
  <c r="AG21" i="43"/>
  <c r="AF21" i="43"/>
  <c r="CZ20" i="43"/>
  <c r="CY20" i="43"/>
  <c r="CX20" i="43"/>
  <c r="CW20" i="43"/>
  <c r="CV20" i="43"/>
  <c r="CT20" i="43"/>
  <c r="CS20" i="43"/>
  <c r="CR20" i="43"/>
  <c r="CQ20" i="43"/>
  <c r="CP20" i="43"/>
  <c r="CO20" i="43"/>
  <c r="CN20" i="43"/>
  <c r="CM20" i="43"/>
  <c r="CL20" i="43"/>
  <c r="CK20" i="43"/>
  <c r="CJ20" i="43"/>
  <c r="CI20" i="43"/>
  <c r="CH20" i="43"/>
  <c r="CG20" i="43"/>
  <c r="CF20" i="43"/>
  <c r="CE20" i="43"/>
  <c r="AZ20" i="43"/>
  <c r="AY20" i="43"/>
  <c r="AX20" i="43"/>
  <c r="AW20" i="43"/>
  <c r="AV20" i="43"/>
  <c r="AT20" i="43"/>
  <c r="AS20" i="43"/>
  <c r="AR20" i="43"/>
  <c r="AQ20" i="43"/>
  <c r="AP20" i="43"/>
  <c r="AO20" i="43"/>
  <c r="AN20" i="43"/>
  <c r="AM20" i="43"/>
  <c r="AL20" i="43"/>
  <c r="AK20" i="43"/>
  <c r="AJ20" i="43"/>
  <c r="AI20" i="43"/>
  <c r="AH20" i="43"/>
  <c r="AG20" i="43"/>
  <c r="AF20" i="43"/>
  <c r="BZ42" i="43"/>
  <c r="BN42" i="43"/>
  <c r="AB42" i="43"/>
  <c r="P42" i="43"/>
  <c r="D42" i="43"/>
  <c r="CZ18" i="43"/>
  <c r="CY18" i="43"/>
  <c r="CX18" i="43"/>
  <c r="CW18" i="43"/>
  <c r="CV18" i="43"/>
  <c r="CT18" i="43"/>
  <c r="CS18" i="43"/>
  <c r="CR18" i="43"/>
  <c r="CQ18" i="43"/>
  <c r="CP18" i="43"/>
  <c r="CO18" i="43"/>
  <c r="CN18" i="43"/>
  <c r="CM18" i="43"/>
  <c r="CL18" i="43"/>
  <c r="CK18" i="43"/>
  <c r="CJ18" i="43"/>
  <c r="CI18" i="43"/>
  <c r="CH18" i="43"/>
  <c r="CG18" i="43"/>
  <c r="CF18" i="43"/>
  <c r="CE18" i="43"/>
  <c r="AZ18" i="43"/>
  <c r="AY18" i="43"/>
  <c r="AX18" i="43"/>
  <c r="AW18" i="43"/>
  <c r="AV18" i="43"/>
  <c r="AT18" i="43"/>
  <c r="AS18" i="43"/>
  <c r="AR18" i="43"/>
  <c r="AQ18" i="43"/>
  <c r="AP18" i="43"/>
  <c r="AO18" i="43"/>
  <c r="AN18" i="43"/>
  <c r="AM18" i="43"/>
  <c r="AL18" i="43"/>
  <c r="AK18" i="43"/>
  <c r="AJ18" i="43"/>
  <c r="AI18" i="43"/>
  <c r="AH18" i="43"/>
  <c r="AG18" i="43"/>
  <c r="AF18" i="43"/>
  <c r="CZ17" i="43"/>
  <c r="CY17" i="43"/>
  <c r="CX17" i="43"/>
  <c r="CW17" i="43"/>
  <c r="CV17" i="43"/>
  <c r="CT17" i="43"/>
  <c r="CS17" i="43"/>
  <c r="CR17" i="43"/>
  <c r="CQ17" i="43"/>
  <c r="CP17" i="43"/>
  <c r="CO17" i="43"/>
  <c r="CN17" i="43"/>
  <c r="CM17" i="43"/>
  <c r="CL17" i="43"/>
  <c r="CK17" i="43"/>
  <c r="CJ17" i="43"/>
  <c r="CI17" i="43"/>
  <c r="CH17" i="43"/>
  <c r="CG17" i="43"/>
  <c r="CF17" i="43"/>
  <c r="CE17" i="43"/>
  <c r="AZ17" i="43"/>
  <c r="AY17" i="43"/>
  <c r="AX17" i="43"/>
  <c r="AW17" i="43"/>
  <c r="AV17" i="43"/>
  <c r="AT17" i="43"/>
  <c r="AS17" i="43"/>
  <c r="AR17" i="43"/>
  <c r="AQ17" i="43"/>
  <c r="AP17" i="43"/>
  <c r="AO17" i="43"/>
  <c r="AN17" i="43"/>
  <c r="AM17" i="43"/>
  <c r="AL17" i="43"/>
  <c r="AK17" i="43"/>
  <c r="AJ17" i="43"/>
  <c r="AI17" i="43"/>
  <c r="AH17" i="43"/>
  <c r="AG17" i="43"/>
  <c r="AF17" i="43"/>
  <c r="CZ16" i="43"/>
  <c r="CY16" i="43"/>
  <c r="CX16" i="43"/>
  <c r="CW16" i="43"/>
  <c r="CV16" i="43"/>
  <c r="CT16" i="43"/>
  <c r="CS16" i="43"/>
  <c r="CR16" i="43"/>
  <c r="CQ16" i="43"/>
  <c r="CP16" i="43"/>
  <c r="CO16" i="43"/>
  <c r="CN16" i="43"/>
  <c r="CM16" i="43"/>
  <c r="CL16" i="43"/>
  <c r="CK16" i="43"/>
  <c r="CJ16" i="43"/>
  <c r="CI16" i="43"/>
  <c r="CH16" i="43"/>
  <c r="CG16" i="43"/>
  <c r="CF16" i="43"/>
  <c r="CE16" i="43"/>
  <c r="AZ16" i="43"/>
  <c r="AY16" i="43"/>
  <c r="AX16" i="43"/>
  <c r="AW16" i="43"/>
  <c r="AV16" i="43"/>
  <c r="AT16" i="43"/>
  <c r="AS16" i="43"/>
  <c r="AR16" i="43"/>
  <c r="AQ16" i="43"/>
  <c r="AP16" i="43"/>
  <c r="AO16" i="43"/>
  <c r="AN16" i="43"/>
  <c r="AM16" i="43"/>
  <c r="AL16" i="43"/>
  <c r="AK16" i="43"/>
  <c r="AJ16" i="43"/>
  <c r="AI16" i="43"/>
  <c r="AH16" i="43"/>
  <c r="AG16" i="43"/>
  <c r="AF16" i="43"/>
  <c r="BR44" i="43"/>
  <c r="BF44" i="43"/>
  <c r="T44" i="43"/>
  <c r="H44" i="43"/>
  <c r="BV34" i="43"/>
  <c r="BJ34" i="43"/>
  <c r="X34" i="43"/>
  <c r="L34" i="43"/>
  <c r="BZ33" i="43"/>
  <c r="BN33" i="43"/>
  <c r="AB33" i="43"/>
  <c r="CZ12" i="43"/>
  <c r="CY12" i="43"/>
  <c r="CX12" i="43"/>
  <c r="CW12" i="43"/>
  <c r="CV12" i="43"/>
  <c r="CT12" i="43"/>
  <c r="CS12" i="43"/>
  <c r="CR12" i="43"/>
  <c r="CQ12" i="43"/>
  <c r="CP12" i="43"/>
  <c r="CO12" i="43"/>
  <c r="CN12" i="43"/>
  <c r="CM12" i="43"/>
  <c r="CL12" i="43"/>
  <c r="CK12" i="43"/>
  <c r="CJ12" i="43"/>
  <c r="CI12" i="43"/>
  <c r="CH12" i="43"/>
  <c r="CG12" i="43"/>
  <c r="CF12" i="43"/>
  <c r="CE12" i="43"/>
  <c r="AZ12" i="43"/>
  <c r="AY12" i="43"/>
  <c r="AX12" i="43"/>
  <c r="AW12" i="43"/>
  <c r="AV12" i="43"/>
  <c r="AT12" i="43"/>
  <c r="AS12" i="43"/>
  <c r="AR12" i="43"/>
  <c r="AQ12" i="43"/>
  <c r="AP12" i="43"/>
  <c r="AO12" i="43"/>
  <c r="AN12" i="43"/>
  <c r="AM12" i="43"/>
  <c r="AL12" i="43"/>
  <c r="AK12" i="43"/>
  <c r="AJ12" i="43"/>
  <c r="AI12" i="43"/>
  <c r="AH12" i="43"/>
  <c r="AG12" i="43"/>
  <c r="AF12" i="43"/>
  <c r="BV39" i="43"/>
  <c r="BJ39" i="43"/>
  <c r="BZ46" i="43"/>
  <c r="BN46" i="43"/>
  <c r="AB46" i="43"/>
  <c r="P46" i="43"/>
  <c r="D46" i="43"/>
  <c r="CZ9" i="43"/>
  <c r="CY9" i="43"/>
  <c r="CX9" i="43"/>
  <c r="CW9" i="43"/>
  <c r="CV9" i="43"/>
  <c r="CT9" i="43"/>
  <c r="CS9" i="43"/>
  <c r="CR9" i="43"/>
  <c r="CQ9" i="43"/>
  <c r="CP9" i="43"/>
  <c r="CO9" i="43"/>
  <c r="CN9" i="43"/>
  <c r="CM9" i="43"/>
  <c r="CL9" i="43"/>
  <c r="CK9" i="43"/>
  <c r="CJ9" i="43"/>
  <c r="CI9" i="43"/>
  <c r="CH9" i="43"/>
  <c r="CG9" i="43"/>
  <c r="CF9" i="43"/>
  <c r="CE9" i="43"/>
  <c r="AZ9" i="43"/>
  <c r="AY9" i="43"/>
  <c r="AX9" i="43"/>
  <c r="AW9" i="43"/>
  <c r="AV9" i="43"/>
  <c r="AT9" i="43"/>
  <c r="AS9" i="43"/>
  <c r="AR9" i="43"/>
  <c r="AQ9" i="43"/>
  <c r="AP9" i="43"/>
  <c r="AO9" i="43"/>
  <c r="AN9" i="43"/>
  <c r="AM9" i="43"/>
  <c r="AL9" i="43"/>
  <c r="AK9" i="43"/>
  <c r="AJ9" i="43"/>
  <c r="AI9" i="43"/>
  <c r="AH9" i="43"/>
  <c r="AG9" i="43"/>
  <c r="AF9" i="43"/>
  <c r="BV41" i="43"/>
  <c r="BJ41" i="43"/>
  <c r="X41" i="43"/>
  <c r="L41" i="43"/>
  <c r="CZ7" i="43"/>
  <c r="CY7" i="43"/>
  <c r="CX7" i="43"/>
  <c r="CW7" i="43"/>
  <c r="CV7" i="43"/>
  <c r="CT7" i="43"/>
  <c r="CS7" i="43"/>
  <c r="CR7" i="43"/>
  <c r="CQ7" i="43"/>
  <c r="CP7" i="43"/>
  <c r="CO7" i="43"/>
  <c r="CN7" i="43"/>
  <c r="CM7" i="43"/>
  <c r="CL7" i="43"/>
  <c r="CK7" i="43"/>
  <c r="CJ7" i="43"/>
  <c r="CI7" i="43"/>
  <c r="CH7" i="43"/>
  <c r="CG7" i="43"/>
  <c r="CF7" i="43"/>
  <c r="CE7" i="43"/>
  <c r="AZ7" i="43"/>
  <c r="AY7" i="43"/>
  <c r="AX7" i="43"/>
  <c r="AW7" i="43"/>
  <c r="AV7" i="43"/>
  <c r="AT7" i="43"/>
  <c r="AS7" i="43"/>
  <c r="AR7" i="43"/>
  <c r="AQ7" i="43"/>
  <c r="AP7" i="43"/>
  <c r="AO7" i="43"/>
  <c r="AN7" i="43"/>
  <c r="AM7" i="43"/>
  <c r="AL7" i="43"/>
  <c r="AK7" i="43"/>
  <c r="AJ7" i="43"/>
  <c r="AI7" i="43"/>
  <c r="AH7" i="43"/>
  <c r="AG7" i="43"/>
  <c r="AF7" i="43"/>
  <c r="BR47" i="43"/>
  <c r="BF47" i="43"/>
  <c r="CZ5" i="43"/>
  <c r="CY5" i="43"/>
  <c r="CX5" i="43"/>
  <c r="CW5" i="43"/>
  <c r="CV5" i="43"/>
  <c r="CT5" i="43"/>
  <c r="CS5" i="43"/>
  <c r="CR5" i="43"/>
  <c r="CQ5" i="43"/>
  <c r="CP5" i="43"/>
  <c r="CO5" i="43"/>
  <c r="CN5" i="43"/>
  <c r="CM5" i="43"/>
  <c r="CL5" i="43"/>
  <c r="CK5" i="43"/>
  <c r="CJ5" i="43"/>
  <c r="CI5" i="43"/>
  <c r="CH5" i="43"/>
  <c r="CG5" i="43"/>
  <c r="CF5" i="43"/>
  <c r="CE5" i="43"/>
  <c r="AZ5" i="43"/>
  <c r="AY5" i="43"/>
  <c r="AX5" i="43"/>
  <c r="AW5" i="43"/>
  <c r="AV5" i="43"/>
  <c r="AT5" i="43"/>
  <c r="AS5" i="43"/>
  <c r="AR5" i="43"/>
  <c r="AQ5" i="43"/>
  <c r="AP5" i="43"/>
  <c r="AO5" i="43"/>
  <c r="AN5" i="43"/>
  <c r="AM5" i="43"/>
  <c r="AL5" i="43"/>
  <c r="AK5" i="43"/>
  <c r="AJ5" i="43"/>
  <c r="AI5" i="43"/>
  <c r="AH5" i="43"/>
  <c r="AG5" i="43"/>
  <c r="AF5" i="43"/>
  <c r="BZ40" i="43"/>
  <c r="BN40" i="43"/>
  <c r="AB40" i="43"/>
  <c r="P40" i="43"/>
  <c r="D40" i="43"/>
  <c r="CE31" i="43"/>
  <c r="BR32" i="43"/>
  <c r="BF32" i="43"/>
  <c r="T32" i="43"/>
  <c r="H32" i="43"/>
  <c r="BV38" i="43"/>
  <c r="BJ38" i="43"/>
  <c r="X38" i="43"/>
  <c r="L38" i="43"/>
  <c r="BM43" i="43"/>
  <c r="BJ42" i="43"/>
  <c r="BI42" i="43"/>
  <c r="U39" i="43"/>
  <c r="CA37" i="43"/>
  <c r="G37" i="43"/>
  <c r="BZ36" i="43"/>
  <c r="S36" i="43"/>
  <c r="BM35" i="43"/>
  <c r="BK35" i="43"/>
  <c r="AA35" i="43"/>
  <c r="W35" i="43"/>
  <c r="L35" i="43"/>
  <c r="K35" i="43"/>
  <c r="I35" i="43"/>
  <c r="BG34" i="43"/>
  <c r="W34" i="43"/>
  <c r="G34" i="43"/>
  <c r="BW33" i="43"/>
  <c r="S33" i="43"/>
  <c r="CB35" i="43"/>
  <c r="CA35" i="43"/>
  <c r="BZ35" i="43"/>
  <c r="BY35" i="43"/>
  <c r="BX35" i="43"/>
  <c r="BW35" i="43"/>
  <c r="BV35" i="43"/>
  <c r="BT35" i="43"/>
  <c r="BQ35" i="43"/>
  <c r="BP35" i="43"/>
  <c r="BO35" i="43"/>
  <c r="BN35" i="43"/>
  <c r="BL35" i="43"/>
  <c r="BJ35" i="43"/>
  <c r="BH35" i="43"/>
  <c r="BE35" i="43"/>
  <c r="BD35" i="43"/>
  <c r="AB35" i="43"/>
  <c r="Z35" i="43"/>
  <c r="Y35" i="43"/>
  <c r="X35" i="43"/>
  <c r="U35" i="43"/>
  <c r="S35" i="43"/>
  <c r="R35" i="43"/>
  <c r="Q35" i="43"/>
  <c r="P35" i="43"/>
  <c r="O35" i="43"/>
  <c r="N35" i="43"/>
  <c r="M35" i="43"/>
  <c r="G35" i="43"/>
  <c r="F35" i="43"/>
  <c r="D35" i="43"/>
  <c r="CB43" i="43"/>
  <c r="CA43" i="43"/>
  <c r="BY43" i="43"/>
  <c r="BX43" i="43"/>
  <c r="BW43" i="43"/>
  <c r="BV43" i="43"/>
  <c r="BU43" i="43"/>
  <c r="BT43" i="43"/>
  <c r="BS43" i="43"/>
  <c r="BR43" i="43"/>
  <c r="BQ43" i="43"/>
  <c r="BP43" i="43"/>
  <c r="BO43" i="43"/>
  <c r="BL43" i="43"/>
  <c r="BK43" i="43"/>
  <c r="BJ43" i="43"/>
  <c r="BI43" i="43"/>
  <c r="BH43" i="43"/>
  <c r="BG43" i="43"/>
  <c r="BF43" i="43"/>
  <c r="BE43" i="43"/>
  <c r="BD43" i="43"/>
  <c r="AA43" i="43"/>
  <c r="Y43" i="43"/>
  <c r="W43" i="43"/>
  <c r="V43" i="43"/>
  <c r="U43" i="43"/>
  <c r="T43" i="43"/>
  <c r="S43" i="43"/>
  <c r="R43" i="43"/>
  <c r="Q43" i="43"/>
  <c r="O43" i="43"/>
  <c r="M43" i="43"/>
  <c r="K43" i="43"/>
  <c r="J43" i="43"/>
  <c r="I43" i="43"/>
  <c r="H43" i="43"/>
  <c r="G43" i="43"/>
  <c r="F43" i="43"/>
  <c r="E43" i="43"/>
  <c r="CB36" i="43"/>
  <c r="BY36" i="43"/>
  <c r="BX36" i="43"/>
  <c r="BW36" i="43"/>
  <c r="BV36" i="43"/>
  <c r="BU36" i="43"/>
  <c r="BT36" i="43"/>
  <c r="BS36" i="43"/>
  <c r="BR36" i="43"/>
  <c r="BP36" i="43"/>
  <c r="BN36" i="43"/>
  <c r="BM36" i="43"/>
  <c r="BL36" i="43"/>
  <c r="BK36" i="43"/>
  <c r="BJ36" i="43"/>
  <c r="BI36" i="43"/>
  <c r="BH36" i="43"/>
  <c r="BG36" i="43"/>
  <c r="BF36" i="43"/>
  <c r="BD36" i="43"/>
  <c r="AB36" i="43"/>
  <c r="AA36" i="43"/>
  <c r="Z36" i="43"/>
  <c r="Y36" i="43"/>
  <c r="W36" i="43"/>
  <c r="V36" i="43"/>
  <c r="U36" i="43"/>
  <c r="T36" i="43"/>
  <c r="Q36" i="43"/>
  <c r="P36" i="43"/>
  <c r="O36" i="43"/>
  <c r="N36" i="43"/>
  <c r="M36" i="43"/>
  <c r="K36" i="43"/>
  <c r="J36" i="43"/>
  <c r="I36" i="43"/>
  <c r="H36" i="43"/>
  <c r="G36" i="43"/>
  <c r="E36" i="43"/>
  <c r="BL64" i="43"/>
  <c r="Z69" i="43"/>
  <c r="N69" i="43"/>
  <c r="CB49" i="43"/>
  <c r="CA49" i="43"/>
  <c r="BZ49" i="43"/>
  <c r="BY49" i="43"/>
  <c r="BX49" i="43"/>
  <c r="BU49" i="43"/>
  <c r="BT49" i="43"/>
  <c r="BS49" i="43"/>
  <c r="BR49" i="43"/>
  <c r="BQ49" i="43"/>
  <c r="BP49" i="43"/>
  <c r="BO49" i="43"/>
  <c r="BN49" i="43"/>
  <c r="BM49" i="43"/>
  <c r="BL49" i="43"/>
  <c r="BH49" i="43"/>
  <c r="BG49" i="43"/>
  <c r="BF49" i="43"/>
  <c r="BE49" i="43"/>
  <c r="BD49" i="43"/>
  <c r="AB49" i="43"/>
  <c r="AA49" i="43"/>
  <c r="Z49" i="43"/>
  <c r="Y49" i="43"/>
  <c r="W49" i="43"/>
  <c r="U49" i="43"/>
  <c r="T49" i="43"/>
  <c r="S49" i="43"/>
  <c r="R49" i="43"/>
  <c r="Q49" i="43"/>
  <c r="P49" i="43"/>
  <c r="O49" i="43"/>
  <c r="N49" i="43"/>
  <c r="M49" i="43"/>
  <c r="K49" i="43"/>
  <c r="I49" i="43"/>
  <c r="H49" i="43"/>
  <c r="G49" i="43"/>
  <c r="F49" i="43"/>
  <c r="E49" i="43"/>
  <c r="D49" i="43"/>
  <c r="CB37" i="43"/>
  <c r="BX37" i="43"/>
  <c r="BV37" i="43"/>
  <c r="BU37" i="43"/>
  <c r="BT37" i="43"/>
  <c r="BS37" i="43"/>
  <c r="BR37" i="43"/>
  <c r="BQ37" i="43"/>
  <c r="BP37" i="43"/>
  <c r="BO37" i="43"/>
  <c r="BL37" i="43"/>
  <c r="BJ37" i="43"/>
  <c r="BI37" i="43"/>
  <c r="BH37" i="43"/>
  <c r="BG37" i="43"/>
  <c r="BF37" i="43"/>
  <c r="BE37" i="43"/>
  <c r="BD37" i="43"/>
  <c r="AA37" i="43"/>
  <c r="Y37" i="43"/>
  <c r="W37" i="43"/>
  <c r="V37" i="43"/>
  <c r="U37" i="43"/>
  <c r="T37" i="43"/>
  <c r="S37" i="43"/>
  <c r="R37" i="43"/>
  <c r="Q37" i="43"/>
  <c r="O37" i="43"/>
  <c r="N37" i="43"/>
  <c r="M37" i="43"/>
  <c r="L37" i="43"/>
  <c r="K37" i="43"/>
  <c r="J37" i="43"/>
  <c r="I37" i="43"/>
  <c r="H37" i="43"/>
  <c r="F37" i="43"/>
  <c r="E37" i="43"/>
  <c r="BD65" i="43"/>
  <c r="CB42" i="43"/>
  <c r="CA42" i="43"/>
  <c r="BY42" i="43"/>
  <c r="BX42" i="43"/>
  <c r="BW42" i="43"/>
  <c r="BV42" i="43"/>
  <c r="BU42" i="43"/>
  <c r="BT42" i="43"/>
  <c r="BR42" i="43"/>
  <c r="BP42" i="43"/>
  <c r="BO42" i="43"/>
  <c r="BM42" i="43"/>
  <c r="BL42" i="43"/>
  <c r="BK42" i="43"/>
  <c r="BH42" i="43"/>
  <c r="BF42" i="43"/>
  <c r="AA42" i="43"/>
  <c r="Z42" i="43"/>
  <c r="Y42" i="43"/>
  <c r="X42" i="43"/>
  <c r="W42" i="43"/>
  <c r="V42" i="43"/>
  <c r="U42" i="43"/>
  <c r="T42" i="43"/>
  <c r="S42" i="43"/>
  <c r="Q42" i="43"/>
  <c r="O42" i="43"/>
  <c r="N42" i="43"/>
  <c r="M42" i="43"/>
  <c r="L42" i="43"/>
  <c r="K42" i="43"/>
  <c r="J42" i="43"/>
  <c r="I42" i="43"/>
  <c r="G42" i="43"/>
  <c r="E42" i="43"/>
  <c r="CB44" i="43"/>
  <c r="BZ44" i="43"/>
  <c r="BX44" i="43"/>
  <c r="BW44" i="43"/>
  <c r="BV44" i="43"/>
  <c r="BU44" i="43"/>
  <c r="BT44" i="43"/>
  <c r="BS44" i="43"/>
  <c r="BQ44" i="43"/>
  <c r="BP44" i="43"/>
  <c r="BN44" i="43"/>
  <c r="BL44" i="43"/>
  <c r="BK44" i="43"/>
  <c r="BJ44" i="43"/>
  <c r="BI44" i="43"/>
  <c r="BH44" i="43"/>
  <c r="BG44" i="43"/>
  <c r="BE44" i="43"/>
  <c r="AA44" i="43"/>
  <c r="Y44" i="43"/>
  <c r="X44" i="43"/>
  <c r="W44" i="43"/>
  <c r="V44" i="43"/>
  <c r="U44" i="43"/>
  <c r="S44" i="43"/>
  <c r="R44" i="43"/>
  <c r="Q44" i="43"/>
  <c r="P44" i="43"/>
  <c r="O44" i="43"/>
  <c r="M44" i="43"/>
  <c r="L44" i="43"/>
  <c r="K44" i="43"/>
  <c r="J44" i="43"/>
  <c r="I44" i="43"/>
  <c r="G44" i="43"/>
  <c r="F44" i="43"/>
  <c r="E44" i="43"/>
  <c r="CB34" i="43"/>
  <c r="BZ34" i="43"/>
  <c r="BY34" i="43"/>
  <c r="BX34" i="43"/>
  <c r="BW34" i="43"/>
  <c r="BU34" i="43"/>
  <c r="BT34" i="43"/>
  <c r="BS34" i="43"/>
  <c r="BR34" i="43"/>
  <c r="BP34" i="43"/>
  <c r="BN34" i="43"/>
  <c r="BM34" i="43"/>
  <c r="BL34" i="43"/>
  <c r="BK34" i="43"/>
  <c r="BI34" i="43"/>
  <c r="BH34" i="43"/>
  <c r="BF34" i="43"/>
  <c r="AA34" i="43"/>
  <c r="Z34" i="43"/>
  <c r="Y34" i="43"/>
  <c r="V34" i="43"/>
  <c r="U34" i="43"/>
  <c r="T34" i="43"/>
  <c r="S34" i="43"/>
  <c r="Q34" i="43"/>
  <c r="O34" i="43"/>
  <c r="N34" i="43"/>
  <c r="M34" i="43"/>
  <c r="K34" i="43"/>
  <c r="J34" i="43"/>
  <c r="I34" i="43"/>
  <c r="H34" i="43"/>
  <c r="E34" i="43"/>
  <c r="CB33" i="43"/>
  <c r="CA33" i="43"/>
  <c r="BY33" i="43"/>
  <c r="BX33" i="43"/>
  <c r="BV33" i="43"/>
  <c r="BU33" i="43"/>
  <c r="BT33" i="43"/>
  <c r="BR33" i="43"/>
  <c r="BP33" i="43"/>
  <c r="BO33" i="43"/>
  <c r="BM33" i="43"/>
  <c r="BL33" i="43"/>
  <c r="BK33" i="43"/>
  <c r="BJ33" i="43"/>
  <c r="BI33" i="43"/>
  <c r="BH33" i="43"/>
  <c r="BF33" i="43"/>
  <c r="AA33" i="43"/>
  <c r="Z33" i="43"/>
  <c r="Y33" i="43"/>
  <c r="X33" i="43"/>
  <c r="W33" i="43"/>
  <c r="V33" i="43"/>
  <c r="U33" i="43"/>
  <c r="R33" i="43"/>
  <c r="Q33" i="43"/>
  <c r="P33" i="43"/>
  <c r="O33" i="43"/>
  <c r="N33" i="43"/>
  <c r="M33" i="43"/>
  <c r="L33" i="43"/>
  <c r="K33" i="43"/>
  <c r="J33" i="43"/>
  <c r="I33" i="43"/>
  <c r="G33" i="43"/>
  <c r="F33" i="43"/>
  <c r="E33" i="43"/>
  <c r="CB39" i="43"/>
  <c r="CA39" i="43"/>
  <c r="BZ39" i="43"/>
  <c r="BY39" i="43"/>
  <c r="BX39" i="43"/>
  <c r="BT39" i="43"/>
  <c r="BS39" i="43"/>
  <c r="BR39" i="43"/>
  <c r="BQ39" i="43"/>
  <c r="BP39" i="43"/>
  <c r="BO39" i="43"/>
  <c r="BN39" i="43"/>
  <c r="BM39" i="43"/>
  <c r="BL39" i="43"/>
  <c r="BH39" i="43"/>
  <c r="BG39" i="43"/>
  <c r="BF39" i="43"/>
  <c r="BE39" i="43"/>
  <c r="AB39" i="43"/>
  <c r="AA39" i="43"/>
  <c r="Z39" i="43"/>
  <c r="Y39" i="43"/>
  <c r="W39" i="43"/>
  <c r="T39" i="43"/>
  <c r="S39" i="43"/>
  <c r="R39" i="43"/>
  <c r="Q39" i="43"/>
  <c r="P39" i="43"/>
  <c r="O39" i="43"/>
  <c r="N39" i="43"/>
  <c r="M39" i="43"/>
  <c r="K39" i="43"/>
  <c r="I39" i="43"/>
  <c r="H39" i="43"/>
  <c r="G39" i="43"/>
  <c r="F39" i="43"/>
  <c r="E39" i="43"/>
  <c r="CZ45" i="43"/>
  <c r="CR45" i="43"/>
  <c r="CF45" i="43"/>
  <c r="CB46" i="43"/>
  <c r="CA46" i="43"/>
  <c r="BX46" i="43"/>
  <c r="BV46" i="43"/>
  <c r="BU46" i="43"/>
  <c r="BT46" i="43"/>
  <c r="BT47" i="43"/>
  <c r="BT45" i="43"/>
  <c r="BS46" i="43"/>
  <c r="BR46" i="43"/>
  <c r="BQ46" i="43"/>
  <c r="BP46" i="43"/>
  <c r="BO46" i="43"/>
  <c r="BL46" i="43"/>
  <c r="BJ46" i="43"/>
  <c r="BI46" i="43"/>
  <c r="BH46" i="43"/>
  <c r="BG46" i="43"/>
  <c r="BF46" i="43"/>
  <c r="BE46" i="43"/>
  <c r="AA46" i="43"/>
  <c r="Y46" i="43"/>
  <c r="W46" i="43"/>
  <c r="V46" i="43"/>
  <c r="U46" i="43"/>
  <c r="T46" i="43"/>
  <c r="S46" i="43"/>
  <c r="R46" i="43"/>
  <c r="Q46" i="43"/>
  <c r="O46" i="43"/>
  <c r="M46" i="43"/>
  <c r="K46" i="43"/>
  <c r="J46" i="43"/>
  <c r="I46" i="43"/>
  <c r="H46" i="43"/>
  <c r="G46" i="43"/>
  <c r="F46" i="43"/>
  <c r="E46" i="43"/>
  <c r="CB41" i="43"/>
  <c r="BZ41" i="43"/>
  <c r="BY41" i="43"/>
  <c r="BX41" i="43"/>
  <c r="BW41" i="43"/>
  <c r="BU41" i="43"/>
  <c r="BT41" i="43"/>
  <c r="BS41" i="43"/>
  <c r="BR41" i="43"/>
  <c r="BQ41" i="43"/>
  <c r="BP41" i="43"/>
  <c r="BO41" i="43"/>
  <c r="BN41" i="43"/>
  <c r="BM41" i="43"/>
  <c r="BL41" i="43"/>
  <c r="BK41" i="43"/>
  <c r="BI41" i="43"/>
  <c r="BH41" i="43"/>
  <c r="BG41" i="43"/>
  <c r="BF41" i="43"/>
  <c r="BD41" i="43"/>
  <c r="AB41" i="43"/>
  <c r="AA41" i="43"/>
  <c r="Z41" i="43"/>
  <c r="Y41" i="43"/>
  <c r="W41" i="43"/>
  <c r="V41" i="43"/>
  <c r="U41" i="43"/>
  <c r="T41" i="43"/>
  <c r="S41" i="43"/>
  <c r="Q41" i="43"/>
  <c r="O41" i="43"/>
  <c r="N41" i="43"/>
  <c r="M41" i="43"/>
  <c r="K41" i="43"/>
  <c r="J41" i="43"/>
  <c r="I41" i="43"/>
  <c r="H41" i="43"/>
  <c r="G41" i="43"/>
  <c r="E41" i="43"/>
  <c r="CB47" i="43"/>
  <c r="CA47" i="43"/>
  <c r="BZ47" i="43"/>
  <c r="BY47" i="43"/>
  <c r="BX47" i="43"/>
  <c r="BW47" i="43"/>
  <c r="BV47" i="43"/>
  <c r="BQ47" i="43"/>
  <c r="BP47" i="43"/>
  <c r="BO47" i="43"/>
  <c r="BN47" i="43"/>
  <c r="BM47" i="43"/>
  <c r="BL47" i="43"/>
  <c r="BK47" i="43"/>
  <c r="BJ47" i="43"/>
  <c r="BH47" i="43"/>
  <c r="BE47" i="43"/>
  <c r="BD47" i="43"/>
  <c r="AB47" i="43"/>
  <c r="AA47" i="43"/>
  <c r="Z47" i="43"/>
  <c r="Y47" i="43"/>
  <c r="X47" i="43"/>
  <c r="W47" i="43"/>
  <c r="U47" i="43"/>
  <c r="S47" i="43"/>
  <c r="R47" i="43"/>
  <c r="Q47" i="43"/>
  <c r="P47" i="43"/>
  <c r="O47" i="43"/>
  <c r="N47" i="43"/>
  <c r="M47" i="43"/>
  <c r="L47" i="43"/>
  <c r="K47" i="43"/>
  <c r="I47" i="43"/>
  <c r="G47" i="43"/>
  <c r="F47" i="43"/>
  <c r="E47" i="43"/>
  <c r="D47" i="43"/>
  <c r="CB40" i="43"/>
  <c r="CA40" i="43"/>
  <c r="BX40" i="43"/>
  <c r="BV40" i="43"/>
  <c r="BU40" i="43"/>
  <c r="BT40" i="43"/>
  <c r="BS40" i="43"/>
  <c r="BR40" i="43"/>
  <c r="BQ40" i="43"/>
  <c r="BP40" i="43"/>
  <c r="BO40" i="43"/>
  <c r="BM40" i="43"/>
  <c r="BL40" i="43"/>
  <c r="BK40" i="43"/>
  <c r="BJ40" i="43"/>
  <c r="BI40" i="43"/>
  <c r="BH40" i="43"/>
  <c r="BG40" i="43"/>
  <c r="BF40" i="43"/>
  <c r="BE40" i="43"/>
  <c r="BD40" i="43"/>
  <c r="AA40" i="43"/>
  <c r="Y40" i="43"/>
  <c r="X40" i="43"/>
  <c r="W40" i="43"/>
  <c r="V40" i="43"/>
  <c r="U40" i="43"/>
  <c r="T40" i="43"/>
  <c r="S40" i="43"/>
  <c r="R40" i="43"/>
  <c r="Q40" i="43"/>
  <c r="O40" i="43"/>
  <c r="M40" i="43"/>
  <c r="K40" i="43"/>
  <c r="J40" i="43"/>
  <c r="I40" i="43"/>
  <c r="H40" i="43"/>
  <c r="G40" i="43"/>
  <c r="F40" i="43"/>
  <c r="E40" i="43"/>
  <c r="CZ31" i="43"/>
  <c r="CB32" i="43"/>
  <c r="BZ32" i="43"/>
  <c r="BX32" i="43"/>
  <c r="BW32" i="43"/>
  <c r="BV32" i="43"/>
  <c r="BU32" i="43"/>
  <c r="BT32" i="43"/>
  <c r="BS32" i="43"/>
  <c r="BQ32" i="43"/>
  <c r="BP32" i="43"/>
  <c r="BN32" i="43"/>
  <c r="BL32" i="43"/>
  <c r="BK32" i="43"/>
  <c r="BJ32" i="43"/>
  <c r="BI32" i="43"/>
  <c r="BH32" i="43"/>
  <c r="BG32" i="43"/>
  <c r="BE32" i="43"/>
  <c r="BD32" i="43"/>
  <c r="AF31" i="43"/>
  <c r="AE31" i="43"/>
  <c r="AA32" i="43"/>
  <c r="Y32" i="43"/>
  <c r="X32" i="43"/>
  <c r="W32" i="43"/>
  <c r="V32" i="43"/>
  <c r="U32" i="43"/>
  <c r="S32" i="43"/>
  <c r="R32" i="43"/>
  <c r="Q32" i="43"/>
  <c r="P32" i="43"/>
  <c r="O32" i="43"/>
  <c r="M32" i="43"/>
  <c r="L32" i="43"/>
  <c r="K32" i="43"/>
  <c r="J32" i="43"/>
  <c r="I32" i="43"/>
  <c r="G32" i="43"/>
  <c r="F32" i="43"/>
  <c r="E32" i="43"/>
  <c r="CB38" i="43"/>
  <c r="CA38" i="43"/>
  <c r="BZ38" i="43"/>
  <c r="BY38" i="43"/>
  <c r="BX38" i="43"/>
  <c r="BW38" i="43"/>
  <c r="BU38" i="43"/>
  <c r="BT38" i="43"/>
  <c r="BS38" i="43"/>
  <c r="BR38" i="43"/>
  <c r="BP38" i="43"/>
  <c r="BN38" i="43"/>
  <c r="BM38" i="43"/>
  <c r="BL38" i="43"/>
  <c r="BK38" i="43"/>
  <c r="BI38" i="43"/>
  <c r="BH38" i="43"/>
  <c r="BG38" i="43"/>
  <c r="BF38" i="43"/>
  <c r="BD38" i="43"/>
  <c r="AA38" i="43"/>
  <c r="Z38" i="43"/>
  <c r="Y38" i="43"/>
  <c r="W38" i="43"/>
  <c r="V38" i="43"/>
  <c r="U38" i="43"/>
  <c r="T38" i="43"/>
  <c r="S38" i="43"/>
  <c r="Q38" i="43"/>
  <c r="O38" i="43"/>
  <c r="N38" i="43"/>
  <c r="M38" i="43"/>
  <c r="K38" i="43"/>
  <c r="J38" i="43"/>
  <c r="I38" i="43"/>
  <c r="H38" i="43"/>
  <c r="G38" i="43"/>
  <c r="E38" i="43"/>
  <c r="CZ30" i="42"/>
  <c r="CY30" i="42"/>
  <c r="CX30" i="42"/>
  <c r="CW30" i="42"/>
  <c r="CV30" i="42"/>
  <c r="CT30" i="42"/>
  <c r="CS30" i="42"/>
  <c r="CR30" i="42"/>
  <c r="CQ30" i="42"/>
  <c r="CQ35" i="42"/>
  <c r="CP30" i="42"/>
  <c r="CO30" i="42"/>
  <c r="CN30" i="42"/>
  <c r="CM30" i="42"/>
  <c r="CL30" i="42"/>
  <c r="CK30" i="42"/>
  <c r="CJ30" i="42"/>
  <c r="CI30" i="42"/>
  <c r="CH30" i="42"/>
  <c r="CG30" i="42"/>
  <c r="CF30" i="42"/>
  <c r="CE30" i="42"/>
  <c r="CE35" i="42"/>
  <c r="BZ30" i="42"/>
  <c r="BY30" i="42"/>
  <c r="BX30" i="42"/>
  <c r="BW30" i="42"/>
  <c r="BV30" i="42"/>
  <c r="BT30" i="42"/>
  <c r="BS30" i="42"/>
  <c r="BR30" i="42"/>
  <c r="BR35" i="42"/>
  <c r="BQ30" i="42"/>
  <c r="BP30" i="42"/>
  <c r="BO30" i="42"/>
  <c r="BN30" i="42"/>
  <c r="BM30" i="42"/>
  <c r="BL30" i="42"/>
  <c r="BK30" i="42"/>
  <c r="BJ30" i="42"/>
  <c r="BI30" i="42"/>
  <c r="BH30" i="42"/>
  <c r="BG30" i="42"/>
  <c r="BF30" i="42"/>
  <c r="BF35" i="42"/>
  <c r="BE30" i="42"/>
  <c r="AZ30" i="42"/>
  <c r="AY30" i="42"/>
  <c r="AX30" i="42"/>
  <c r="AW30" i="42"/>
  <c r="AV30" i="42"/>
  <c r="AT30" i="42"/>
  <c r="AS30" i="42"/>
  <c r="AS35" i="42"/>
  <c r="AR30" i="42"/>
  <c r="AQ30" i="42"/>
  <c r="AP30" i="42"/>
  <c r="AO30" i="42"/>
  <c r="AN30" i="42"/>
  <c r="AM30" i="42"/>
  <c r="AL30" i="42"/>
  <c r="AK30" i="42"/>
  <c r="AJ30" i="42"/>
  <c r="AI30" i="42"/>
  <c r="AH30" i="42"/>
  <c r="AG30" i="42"/>
  <c r="AG35" i="42"/>
  <c r="AF30" i="42"/>
  <c r="AE30" i="42"/>
  <c r="Z30" i="42"/>
  <c r="Y30" i="42"/>
  <c r="X30" i="42"/>
  <c r="W30" i="42"/>
  <c r="V30" i="42"/>
  <c r="T30" i="42"/>
  <c r="T35" i="42"/>
  <c r="S30" i="42"/>
  <c r="R30" i="42"/>
  <c r="Q30" i="42"/>
  <c r="P30" i="42"/>
  <c r="O30" i="42"/>
  <c r="N30" i="42"/>
  <c r="M30" i="42"/>
  <c r="L30" i="42"/>
  <c r="K30" i="42"/>
  <c r="J30" i="42"/>
  <c r="I30" i="42"/>
  <c r="H30" i="42"/>
  <c r="H35" i="42"/>
  <c r="G30" i="42"/>
  <c r="F30" i="42"/>
  <c r="E30" i="42"/>
  <c r="CZ29" i="42"/>
  <c r="CY29" i="42"/>
  <c r="CX29" i="42"/>
  <c r="CW29" i="42"/>
  <c r="CV29" i="42"/>
  <c r="CT29" i="42"/>
  <c r="CS29" i="42"/>
  <c r="CR29" i="42"/>
  <c r="CQ29" i="42"/>
  <c r="CP29" i="42"/>
  <c r="CO29" i="42"/>
  <c r="CN29" i="42"/>
  <c r="CM29" i="42"/>
  <c r="CL29" i="42"/>
  <c r="CK29" i="42"/>
  <c r="CJ29" i="42"/>
  <c r="CI29" i="42"/>
  <c r="CI71" i="42"/>
  <c r="CH29" i="42"/>
  <c r="CG29" i="42"/>
  <c r="CF29" i="42"/>
  <c r="CE29" i="42"/>
  <c r="BZ29" i="42"/>
  <c r="BY29" i="42"/>
  <c r="BX29" i="42"/>
  <c r="BW29" i="42"/>
  <c r="BV29" i="42"/>
  <c r="BT29" i="42"/>
  <c r="BS29" i="42"/>
  <c r="BR29" i="42"/>
  <c r="BQ29" i="42"/>
  <c r="BP29" i="42"/>
  <c r="BO29" i="42"/>
  <c r="BN29" i="42"/>
  <c r="BM29" i="42"/>
  <c r="BL29" i="42"/>
  <c r="BK29" i="42"/>
  <c r="BJ29" i="42"/>
  <c r="BI29" i="42"/>
  <c r="BH29" i="42"/>
  <c r="BG29" i="42"/>
  <c r="BF29" i="42"/>
  <c r="BE29" i="42"/>
  <c r="AZ29" i="42"/>
  <c r="AY29" i="42"/>
  <c r="AX29" i="42"/>
  <c r="AW29" i="42"/>
  <c r="AV29" i="42"/>
  <c r="AT29" i="42"/>
  <c r="AS29" i="42"/>
  <c r="AR29" i="42"/>
  <c r="AQ29" i="42"/>
  <c r="AP29" i="42"/>
  <c r="AO29" i="42"/>
  <c r="AN29" i="42"/>
  <c r="AM29" i="42"/>
  <c r="AL29" i="42"/>
  <c r="AK29" i="42"/>
  <c r="AJ29" i="42"/>
  <c r="AI29" i="42"/>
  <c r="AH29" i="42"/>
  <c r="AG29" i="42"/>
  <c r="AF29" i="42"/>
  <c r="AE29" i="42"/>
  <c r="Z29" i="42"/>
  <c r="Y29" i="42"/>
  <c r="X29" i="42"/>
  <c r="W29" i="42"/>
  <c r="V29" i="42"/>
  <c r="T29" i="42"/>
  <c r="S29" i="42"/>
  <c r="R29" i="42"/>
  <c r="Q29" i="42"/>
  <c r="P29" i="42"/>
  <c r="O29" i="42"/>
  <c r="N29" i="42"/>
  <c r="M29" i="42"/>
  <c r="L29" i="42"/>
  <c r="K29" i="42"/>
  <c r="J29" i="42"/>
  <c r="I29" i="42"/>
  <c r="H29" i="42"/>
  <c r="G29" i="42"/>
  <c r="F29" i="42"/>
  <c r="E29" i="42"/>
  <c r="CZ28" i="42"/>
  <c r="CY28" i="42"/>
  <c r="CY43" i="42"/>
  <c r="CX28" i="42"/>
  <c r="CW28" i="42"/>
  <c r="CV28" i="42"/>
  <c r="CT28" i="42"/>
  <c r="CS28" i="42"/>
  <c r="CR28" i="42"/>
  <c r="CQ28" i="42"/>
  <c r="CP28" i="42"/>
  <c r="CO28" i="42"/>
  <c r="CN28" i="42"/>
  <c r="CM28" i="42"/>
  <c r="CM43" i="42"/>
  <c r="CL28" i="42"/>
  <c r="CK28" i="42"/>
  <c r="CJ28" i="42"/>
  <c r="CI28" i="42"/>
  <c r="CH28" i="42"/>
  <c r="CG28" i="42"/>
  <c r="CF28" i="42"/>
  <c r="CE28" i="42"/>
  <c r="BZ28" i="42"/>
  <c r="BZ43" i="42"/>
  <c r="BY28" i="42"/>
  <c r="BX28" i="42"/>
  <c r="BW28" i="42"/>
  <c r="BV28" i="42"/>
  <c r="BT28" i="42"/>
  <c r="BS28" i="42"/>
  <c r="BR28" i="42"/>
  <c r="BQ28" i="42"/>
  <c r="BP28" i="42"/>
  <c r="BO28" i="42"/>
  <c r="BN28" i="42"/>
  <c r="BN43" i="42"/>
  <c r="BM28" i="42"/>
  <c r="BL28" i="42"/>
  <c r="BK28" i="42"/>
  <c r="BJ28" i="42"/>
  <c r="BI28" i="42"/>
  <c r="BH28" i="42"/>
  <c r="BG28" i="42"/>
  <c r="BF28" i="42"/>
  <c r="BE28" i="42"/>
  <c r="AZ28" i="42"/>
  <c r="AY28" i="42"/>
  <c r="AX28" i="42"/>
  <c r="AW28" i="42"/>
  <c r="AV28" i="42"/>
  <c r="AT28" i="42"/>
  <c r="AS28" i="42"/>
  <c r="AR28" i="42"/>
  <c r="AQ28" i="42"/>
  <c r="AP28" i="42"/>
  <c r="AO28" i="42"/>
  <c r="AO43" i="42"/>
  <c r="AN28" i="42"/>
  <c r="AM28" i="42"/>
  <c r="AL28" i="42"/>
  <c r="AK28" i="42"/>
  <c r="AJ28" i="42"/>
  <c r="AI28" i="42"/>
  <c r="AH28" i="42"/>
  <c r="AG28" i="42"/>
  <c r="AF28" i="42"/>
  <c r="AE28" i="42"/>
  <c r="AB43" i="42"/>
  <c r="Z28" i="42"/>
  <c r="Y28" i="42"/>
  <c r="X28" i="42"/>
  <c r="W28" i="42"/>
  <c r="V28" i="42"/>
  <c r="T28" i="42"/>
  <c r="S28" i="42"/>
  <c r="R28" i="42"/>
  <c r="Q28" i="42"/>
  <c r="P28" i="42"/>
  <c r="P43" i="42"/>
  <c r="O28" i="42"/>
  <c r="N28" i="42"/>
  <c r="M28" i="42"/>
  <c r="L28" i="42"/>
  <c r="K28" i="42"/>
  <c r="J28" i="42"/>
  <c r="I28" i="42"/>
  <c r="H28" i="42"/>
  <c r="G28" i="42"/>
  <c r="F28" i="42"/>
  <c r="E28" i="42"/>
  <c r="D43" i="42"/>
  <c r="CZ27" i="42"/>
  <c r="CY27" i="42"/>
  <c r="CX27" i="42"/>
  <c r="CW27" i="42"/>
  <c r="CV27" i="42"/>
  <c r="CT27" i="42"/>
  <c r="CS27" i="42"/>
  <c r="CR27" i="42"/>
  <c r="CQ27" i="42"/>
  <c r="CQ62" i="42"/>
  <c r="CP27" i="42"/>
  <c r="CO27" i="42"/>
  <c r="CN27" i="42"/>
  <c r="CM27" i="42"/>
  <c r="CL27" i="42"/>
  <c r="CK27" i="42"/>
  <c r="CJ27" i="42"/>
  <c r="CI27" i="42"/>
  <c r="CH27" i="42"/>
  <c r="CG27" i="42"/>
  <c r="CF27" i="42"/>
  <c r="CE27" i="42"/>
  <c r="CE62" i="42"/>
  <c r="BZ27" i="42"/>
  <c r="BY27" i="42"/>
  <c r="BX27" i="42"/>
  <c r="BW27" i="42"/>
  <c r="BV27" i="42"/>
  <c r="BT27" i="42"/>
  <c r="BS27" i="42"/>
  <c r="BR27" i="42"/>
  <c r="BQ27" i="42"/>
  <c r="BP27" i="42"/>
  <c r="BO27" i="42"/>
  <c r="BN27" i="42"/>
  <c r="BM27" i="42"/>
  <c r="BL27" i="42"/>
  <c r="BK27" i="42"/>
  <c r="BJ27" i="42"/>
  <c r="BI27" i="42"/>
  <c r="BH27" i="42"/>
  <c r="BG27" i="42"/>
  <c r="BF27" i="42"/>
  <c r="BE27" i="42"/>
  <c r="AZ27" i="42"/>
  <c r="AY27" i="42"/>
  <c r="AX27" i="42"/>
  <c r="AW27" i="42"/>
  <c r="AV27" i="42"/>
  <c r="AT27" i="42"/>
  <c r="AS27" i="42"/>
  <c r="AR27" i="42"/>
  <c r="AQ27" i="42"/>
  <c r="AP27" i="42"/>
  <c r="AO27" i="42"/>
  <c r="AN27" i="42"/>
  <c r="AM27" i="42"/>
  <c r="AL27" i="42"/>
  <c r="AK27" i="42"/>
  <c r="AJ27" i="42"/>
  <c r="AI27" i="42"/>
  <c r="AH27" i="42"/>
  <c r="AG27" i="42"/>
  <c r="AF27" i="42"/>
  <c r="AE27" i="42"/>
  <c r="Z27" i="42"/>
  <c r="Y27" i="42"/>
  <c r="X27" i="42"/>
  <c r="W27" i="42"/>
  <c r="V27" i="42"/>
  <c r="T27" i="42"/>
  <c r="S27" i="42"/>
  <c r="R27" i="42"/>
  <c r="Q27" i="42"/>
  <c r="P27" i="42"/>
  <c r="O27" i="42"/>
  <c r="N27" i="42"/>
  <c r="M27" i="42"/>
  <c r="L27" i="42"/>
  <c r="K27" i="42"/>
  <c r="J27" i="42"/>
  <c r="I27" i="42"/>
  <c r="H27" i="42"/>
  <c r="G27" i="42"/>
  <c r="F27" i="42"/>
  <c r="E27" i="42"/>
  <c r="CZ26" i="42"/>
  <c r="CY26" i="42"/>
  <c r="CX26" i="42"/>
  <c r="CW26" i="42"/>
  <c r="CV26" i="42"/>
  <c r="CT26" i="42"/>
  <c r="CS26" i="42"/>
  <c r="CR26" i="42"/>
  <c r="CQ26" i="42"/>
  <c r="CP26" i="42"/>
  <c r="CO26" i="42"/>
  <c r="CN26" i="42"/>
  <c r="CM26" i="42"/>
  <c r="CL26" i="42"/>
  <c r="CK26" i="42"/>
  <c r="CJ26" i="42"/>
  <c r="CI26" i="42"/>
  <c r="CI36" i="42"/>
  <c r="CH26" i="42"/>
  <c r="CG26" i="42"/>
  <c r="CF26" i="42"/>
  <c r="CE26" i="42"/>
  <c r="BZ26" i="42"/>
  <c r="BY26" i="42"/>
  <c r="BX26" i="42"/>
  <c r="BW26" i="42"/>
  <c r="BV26" i="42"/>
  <c r="BV36" i="42"/>
  <c r="BT26" i="42"/>
  <c r="BS26" i="42"/>
  <c r="BR26" i="42"/>
  <c r="BQ26" i="42"/>
  <c r="BP26" i="42"/>
  <c r="BO26" i="42"/>
  <c r="BN26" i="42"/>
  <c r="BM26" i="42"/>
  <c r="BL26" i="42"/>
  <c r="BK26" i="42"/>
  <c r="BJ26" i="42"/>
  <c r="BJ36" i="42"/>
  <c r="BI26" i="42"/>
  <c r="BH26" i="42"/>
  <c r="BG26" i="42"/>
  <c r="BF26" i="42"/>
  <c r="BE26" i="42"/>
  <c r="AZ26" i="42"/>
  <c r="AY26" i="42"/>
  <c r="AX26" i="42"/>
  <c r="AW26" i="42"/>
  <c r="AW36" i="42"/>
  <c r="AV26" i="42"/>
  <c r="AT26" i="42"/>
  <c r="AS26" i="42"/>
  <c r="AR26" i="42"/>
  <c r="AQ26" i="42"/>
  <c r="AP26" i="42"/>
  <c r="AO26" i="42"/>
  <c r="AN26" i="42"/>
  <c r="AM26" i="42"/>
  <c r="AL26" i="42"/>
  <c r="AK26" i="42"/>
  <c r="AK36" i="42"/>
  <c r="AJ26" i="42"/>
  <c r="AI26" i="42"/>
  <c r="AH26" i="42"/>
  <c r="AG26" i="42"/>
  <c r="AF26" i="42"/>
  <c r="AE26" i="42"/>
  <c r="Z26" i="42"/>
  <c r="Y26" i="42"/>
  <c r="X26" i="42"/>
  <c r="X36" i="42"/>
  <c r="W26" i="42"/>
  <c r="V26" i="42"/>
  <c r="T26" i="42"/>
  <c r="S26" i="42"/>
  <c r="R26" i="42"/>
  <c r="Q26" i="42"/>
  <c r="P26" i="42"/>
  <c r="O26" i="42"/>
  <c r="N26" i="42"/>
  <c r="M26" i="42"/>
  <c r="L26" i="42"/>
  <c r="K26" i="42"/>
  <c r="J26" i="42"/>
  <c r="I26" i="42"/>
  <c r="H26" i="42"/>
  <c r="G26" i="42"/>
  <c r="F26" i="42"/>
  <c r="E26" i="42"/>
  <c r="CZ25" i="42"/>
  <c r="CY25" i="42"/>
  <c r="CY64" i="42"/>
  <c r="CX25" i="42"/>
  <c r="CW25" i="42"/>
  <c r="CV25" i="42"/>
  <c r="CT25" i="42"/>
  <c r="CS25" i="42"/>
  <c r="CR25" i="42"/>
  <c r="CQ25" i="42"/>
  <c r="CP25" i="42"/>
  <c r="CO25" i="42"/>
  <c r="CN25" i="42"/>
  <c r="CM25" i="42"/>
  <c r="CM64" i="42"/>
  <c r="CL25" i="42"/>
  <c r="CK25" i="42"/>
  <c r="CJ25" i="42"/>
  <c r="CI25" i="42"/>
  <c r="CH25" i="42"/>
  <c r="CG25" i="42"/>
  <c r="CF25" i="42"/>
  <c r="CE25" i="42"/>
  <c r="BZ25" i="42"/>
  <c r="BY25" i="42"/>
  <c r="BX25" i="42"/>
  <c r="BW25" i="42"/>
  <c r="BV25" i="42"/>
  <c r="BT25" i="42"/>
  <c r="BS25" i="42"/>
  <c r="BR25" i="42"/>
  <c r="BQ25" i="42"/>
  <c r="BP25" i="42"/>
  <c r="BO25" i="42"/>
  <c r="BN25" i="42"/>
  <c r="BM25" i="42"/>
  <c r="BL25" i="42"/>
  <c r="BK25" i="42"/>
  <c r="BJ25" i="42"/>
  <c r="BI25" i="42"/>
  <c r="BH25" i="42"/>
  <c r="BG25" i="42"/>
  <c r="BF25" i="42"/>
  <c r="BE25" i="42"/>
  <c r="AZ25" i="42"/>
  <c r="AY25" i="42"/>
  <c r="AX25" i="42"/>
  <c r="AW25" i="42"/>
  <c r="AV25" i="42"/>
  <c r="AT25" i="42"/>
  <c r="AS25" i="42"/>
  <c r="AR25" i="42"/>
  <c r="AQ25" i="42"/>
  <c r="AP25" i="42"/>
  <c r="AO25" i="42"/>
  <c r="AN25" i="42"/>
  <c r="AM25" i="42"/>
  <c r="AL25" i="42"/>
  <c r="AK25" i="42"/>
  <c r="AJ25" i="42"/>
  <c r="AI25" i="42"/>
  <c r="AH25" i="42"/>
  <c r="AG25" i="42"/>
  <c r="AF25" i="42"/>
  <c r="AE25" i="42"/>
  <c r="Z25" i="42"/>
  <c r="Y25" i="42"/>
  <c r="X25" i="42"/>
  <c r="W25" i="42"/>
  <c r="V25" i="42"/>
  <c r="T25" i="42"/>
  <c r="S25" i="42"/>
  <c r="R25" i="42"/>
  <c r="Q25" i="42"/>
  <c r="P25" i="42"/>
  <c r="O25" i="42"/>
  <c r="N25" i="42"/>
  <c r="M25" i="42"/>
  <c r="L25" i="42"/>
  <c r="K25" i="42"/>
  <c r="J25" i="42"/>
  <c r="I25" i="42"/>
  <c r="H25" i="42"/>
  <c r="G25" i="42"/>
  <c r="F25" i="42"/>
  <c r="E25" i="42"/>
  <c r="CZ24" i="42"/>
  <c r="CY24" i="42"/>
  <c r="CX24" i="42"/>
  <c r="CW24" i="42"/>
  <c r="CV24" i="42"/>
  <c r="CT24" i="42"/>
  <c r="CS24" i="42"/>
  <c r="CR24" i="42"/>
  <c r="CQ24" i="42"/>
  <c r="CQ69" i="42"/>
  <c r="CP24" i="42"/>
  <c r="CO24" i="42"/>
  <c r="CN24" i="42"/>
  <c r="CM24" i="42"/>
  <c r="CL24" i="42"/>
  <c r="CK24" i="42"/>
  <c r="CJ24" i="42"/>
  <c r="CI24" i="42"/>
  <c r="CH24" i="42"/>
  <c r="CG24" i="42"/>
  <c r="CF24" i="42"/>
  <c r="CE24" i="42"/>
  <c r="CE69" i="42"/>
  <c r="BZ24" i="42"/>
  <c r="BY24" i="42"/>
  <c r="BX24" i="42"/>
  <c r="BW24" i="42"/>
  <c r="BV24" i="42"/>
  <c r="BT24" i="42"/>
  <c r="BS24" i="42"/>
  <c r="BR24" i="42"/>
  <c r="BQ24" i="42"/>
  <c r="BP24" i="42"/>
  <c r="BO24" i="42"/>
  <c r="BN24" i="42"/>
  <c r="BM24" i="42"/>
  <c r="BL24" i="42"/>
  <c r="BK24" i="42"/>
  <c r="BJ24" i="42"/>
  <c r="BI24" i="42"/>
  <c r="BH24" i="42"/>
  <c r="BG24" i="42"/>
  <c r="BF24" i="42"/>
  <c r="BE24" i="42"/>
  <c r="AZ24" i="42"/>
  <c r="AY24" i="42"/>
  <c r="AX24" i="42"/>
  <c r="AW24" i="42"/>
  <c r="AV24" i="42"/>
  <c r="AT24" i="42"/>
  <c r="AS24" i="42"/>
  <c r="AR24" i="42"/>
  <c r="AQ24" i="42"/>
  <c r="AP24" i="42"/>
  <c r="AO24" i="42"/>
  <c r="AN24" i="42"/>
  <c r="AM24" i="42"/>
  <c r="AL24" i="42"/>
  <c r="AK24" i="42"/>
  <c r="AJ24" i="42"/>
  <c r="AI24" i="42"/>
  <c r="AH24" i="42"/>
  <c r="AG24" i="42"/>
  <c r="AF24" i="42"/>
  <c r="AE24" i="42"/>
  <c r="Z24" i="42"/>
  <c r="Y24" i="42"/>
  <c r="X24" i="42"/>
  <c r="W24" i="42"/>
  <c r="V24" i="42"/>
  <c r="T24" i="42"/>
  <c r="S24" i="42"/>
  <c r="R24" i="42"/>
  <c r="Q24" i="42"/>
  <c r="P24" i="42"/>
  <c r="O24" i="42"/>
  <c r="N24" i="42"/>
  <c r="M24" i="42"/>
  <c r="L24" i="42"/>
  <c r="K24" i="42"/>
  <c r="J24" i="42"/>
  <c r="I24" i="42"/>
  <c r="H24" i="42"/>
  <c r="G24" i="42"/>
  <c r="F24" i="42"/>
  <c r="E24" i="42"/>
  <c r="CZ23" i="42"/>
  <c r="CY23" i="42"/>
  <c r="CX23" i="42"/>
  <c r="CW23" i="42"/>
  <c r="CV23" i="42"/>
  <c r="CT23" i="42"/>
  <c r="CS23" i="42"/>
  <c r="CR23" i="42"/>
  <c r="CQ23" i="42"/>
  <c r="CP23" i="42"/>
  <c r="CO23" i="42"/>
  <c r="CN23" i="42"/>
  <c r="CM23" i="42"/>
  <c r="CL23" i="42"/>
  <c r="CK23" i="42"/>
  <c r="CJ23" i="42"/>
  <c r="CI23" i="42"/>
  <c r="CH23" i="42"/>
  <c r="CG23" i="42"/>
  <c r="CF23" i="42"/>
  <c r="CE23" i="42"/>
  <c r="BZ23" i="42"/>
  <c r="BY23" i="42"/>
  <c r="BX23" i="42"/>
  <c r="BW23" i="42"/>
  <c r="BV23" i="42"/>
  <c r="BV49" i="42"/>
  <c r="BT23" i="42"/>
  <c r="BS23" i="42"/>
  <c r="BR23" i="42"/>
  <c r="BQ23" i="42"/>
  <c r="BP23" i="42"/>
  <c r="BO23" i="42"/>
  <c r="BN23" i="42"/>
  <c r="BM23" i="42"/>
  <c r="BL23" i="42"/>
  <c r="BK23" i="42"/>
  <c r="BJ23" i="42"/>
  <c r="BJ49" i="42"/>
  <c r="BI23" i="42"/>
  <c r="BH23" i="42"/>
  <c r="BG23" i="42"/>
  <c r="BF23" i="42"/>
  <c r="BE23" i="42"/>
  <c r="AZ23" i="42"/>
  <c r="AY23" i="42"/>
  <c r="AX23" i="42"/>
  <c r="AW23" i="42"/>
  <c r="AV23" i="42"/>
  <c r="AT23" i="42"/>
  <c r="AS23" i="42"/>
  <c r="AR23" i="42"/>
  <c r="AQ23" i="42"/>
  <c r="AP23" i="42"/>
  <c r="AO23" i="42"/>
  <c r="AN23" i="42"/>
  <c r="AM23" i="42"/>
  <c r="AL23" i="42"/>
  <c r="AK23" i="42"/>
  <c r="AJ23" i="42"/>
  <c r="AI23" i="42"/>
  <c r="AH23" i="42"/>
  <c r="AG23" i="42"/>
  <c r="AF23" i="42"/>
  <c r="AE23" i="42"/>
  <c r="Z23" i="42"/>
  <c r="Y23" i="42"/>
  <c r="X23" i="42"/>
  <c r="X49" i="42"/>
  <c r="W23" i="42"/>
  <c r="V23" i="42"/>
  <c r="T23" i="42"/>
  <c r="S23" i="42"/>
  <c r="R23" i="42"/>
  <c r="Q23" i="42"/>
  <c r="P23" i="42"/>
  <c r="O23" i="42"/>
  <c r="N23" i="42"/>
  <c r="M23" i="42"/>
  <c r="L23" i="42"/>
  <c r="L49" i="42"/>
  <c r="K23" i="42"/>
  <c r="J23" i="42"/>
  <c r="I23" i="42"/>
  <c r="H23" i="42"/>
  <c r="G23" i="42"/>
  <c r="F23" i="42"/>
  <c r="E23" i="42"/>
  <c r="CZ22" i="42"/>
  <c r="CY22" i="42"/>
  <c r="CY37" i="42"/>
  <c r="CX22" i="42"/>
  <c r="CW22" i="42"/>
  <c r="CV22" i="42"/>
  <c r="CT22" i="42"/>
  <c r="CS22" i="42"/>
  <c r="CR22" i="42"/>
  <c r="CQ22" i="42"/>
  <c r="CP22" i="42"/>
  <c r="CO22" i="42"/>
  <c r="CN22" i="42"/>
  <c r="CM22" i="42"/>
  <c r="CM37" i="42"/>
  <c r="CL22" i="42"/>
  <c r="CK22" i="42"/>
  <c r="CJ22" i="42"/>
  <c r="CI22" i="42"/>
  <c r="CH22" i="42"/>
  <c r="CG22" i="42"/>
  <c r="CF22" i="42"/>
  <c r="CE22" i="42"/>
  <c r="BZ22" i="42"/>
  <c r="BZ37" i="42"/>
  <c r="BY22" i="42"/>
  <c r="BX22" i="42"/>
  <c r="BW22" i="42"/>
  <c r="BV22" i="42"/>
  <c r="BT22" i="42"/>
  <c r="BS22" i="42"/>
  <c r="BR22" i="42"/>
  <c r="BQ22" i="42"/>
  <c r="BP22" i="42"/>
  <c r="BO22" i="42"/>
  <c r="BN22" i="42"/>
  <c r="BN37" i="42"/>
  <c r="BM22" i="42"/>
  <c r="BL22" i="42"/>
  <c r="BK22" i="42"/>
  <c r="BJ22" i="42"/>
  <c r="BI22" i="42"/>
  <c r="BH22" i="42"/>
  <c r="BG22" i="42"/>
  <c r="BF22" i="42"/>
  <c r="BE22" i="42"/>
  <c r="AZ22" i="42"/>
  <c r="AY22" i="42"/>
  <c r="AX22" i="42"/>
  <c r="AW22" i="42"/>
  <c r="AV22" i="42"/>
  <c r="AT22" i="42"/>
  <c r="AS22" i="42"/>
  <c r="AR22" i="42"/>
  <c r="AQ22" i="42"/>
  <c r="AP22" i="42"/>
  <c r="AO22" i="42"/>
  <c r="AO37" i="42"/>
  <c r="AN22" i="42"/>
  <c r="AM22" i="42"/>
  <c r="AL22" i="42"/>
  <c r="AK22" i="42"/>
  <c r="AJ22" i="42"/>
  <c r="AI22" i="42"/>
  <c r="AH22" i="42"/>
  <c r="AG22" i="42"/>
  <c r="AF22" i="42"/>
  <c r="AE22" i="42"/>
  <c r="AB37" i="42"/>
  <c r="Z22" i="42"/>
  <c r="Y22" i="42"/>
  <c r="X22" i="42"/>
  <c r="W22" i="42"/>
  <c r="V22" i="42"/>
  <c r="T22" i="42"/>
  <c r="S22" i="42"/>
  <c r="R22" i="42"/>
  <c r="Q22" i="42"/>
  <c r="P22" i="42"/>
  <c r="P37" i="42"/>
  <c r="O22" i="42"/>
  <c r="N22" i="42"/>
  <c r="M22" i="42"/>
  <c r="L22" i="42"/>
  <c r="K22" i="42"/>
  <c r="J22" i="42"/>
  <c r="I22" i="42"/>
  <c r="H22" i="42"/>
  <c r="G22" i="42"/>
  <c r="F22" i="42"/>
  <c r="E22" i="42"/>
  <c r="D37" i="42"/>
  <c r="CZ21" i="42"/>
  <c r="CY21" i="42"/>
  <c r="CX21" i="42"/>
  <c r="CW21" i="42"/>
  <c r="CV21" i="42"/>
  <c r="CT21" i="42"/>
  <c r="CS21" i="42"/>
  <c r="CR21" i="42"/>
  <c r="CQ21" i="42"/>
  <c r="CQ65" i="42"/>
  <c r="CP21" i="42"/>
  <c r="CO21" i="42"/>
  <c r="CN21" i="42"/>
  <c r="CM21" i="42"/>
  <c r="CL21" i="42"/>
  <c r="CK21" i="42"/>
  <c r="CJ21" i="42"/>
  <c r="CI21" i="42"/>
  <c r="CH21" i="42"/>
  <c r="CG21" i="42"/>
  <c r="CF21" i="42"/>
  <c r="CE21" i="42"/>
  <c r="CE65" i="42"/>
  <c r="BZ21" i="42"/>
  <c r="BY21" i="42"/>
  <c r="BX21" i="42"/>
  <c r="BW21" i="42"/>
  <c r="BV21" i="42"/>
  <c r="BT21" i="42"/>
  <c r="BS21" i="42"/>
  <c r="BR21" i="42"/>
  <c r="BQ21" i="42"/>
  <c r="BP21" i="42"/>
  <c r="BO21" i="42"/>
  <c r="BN21" i="42"/>
  <c r="BM21" i="42"/>
  <c r="BL21" i="42"/>
  <c r="BK21" i="42"/>
  <c r="BJ21" i="42"/>
  <c r="BI21" i="42"/>
  <c r="BH21" i="42"/>
  <c r="BG21" i="42"/>
  <c r="BF21" i="42"/>
  <c r="BE21" i="42"/>
  <c r="AZ21" i="42"/>
  <c r="AY21" i="42"/>
  <c r="AX21" i="42"/>
  <c r="AW21" i="42"/>
  <c r="AV21" i="42"/>
  <c r="AT21" i="42"/>
  <c r="AS21" i="42"/>
  <c r="AR21" i="42"/>
  <c r="AQ21" i="42"/>
  <c r="AP21" i="42"/>
  <c r="AO21" i="42"/>
  <c r="AN21" i="42"/>
  <c r="AM21" i="42"/>
  <c r="AL21" i="42"/>
  <c r="AK21" i="42"/>
  <c r="AJ21" i="42"/>
  <c r="AI21" i="42"/>
  <c r="AH21" i="42"/>
  <c r="AG21" i="42"/>
  <c r="AF21" i="42"/>
  <c r="AE21" i="42"/>
  <c r="Z21" i="42"/>
  <c r="Y21" i="42"/>
  <c r="X21" i="42"/>
  <c r="W21" i="42"/>
  <c r="V21" i="42"/>
  <c r="T21" i="42"/>
  <c r="S21" i="42"/>
  <c r="R21" i="42"/>
  <c r="Q21" i="42"/>
  <c r="P21" i="42"/>
  <c r="O21" i="42"/>
  <c r="N21" i="42"/>
  <c r="M21" i="42"/>
  <c r="L21" i="42"/>
  <c r="K21" i="42"/>
  <c r="J21" i="42"/>
  <c r="I21" i="42"/>
  <c r="H21" i="42"/>
  <c r="G21" i="42"/>
  <c r="F21" i="42"/>
  <c r="E21" i="42"/>
  <c r="CZ20" i="42"/>
  <c r="CY20" i="42"/>
  <c r="CX20" i="42"/>
  <c r="CW20" i="42"/>
  <c r="CV20" i="42"/>
  <c r="CT20" i="42"/>
  <c r="CS20" i="42"/>
  <c r="CR20" i="42"/>
  <c r="CQ20" i="42"/>
  <c r="CP20" i="42"/>
  <c r="CO20" i="42"/>
  <c r="CN20" i="42"/>
  <c r="CM20" i="42"/>
  <c r="CL20" i="42"/>
  <c r="CK20" i="42"/>
  <c r="CJ20" i="42"/>
  <c r="CI20" i="42"/>
  <c r="CI70" i="42"/>
  <c r="CH20" i="42"/>
  <c r="CG20" i="42"/>
  <c r="CF20" i="42"/>
  <c r="CE20" i="42"/>
  <c r="BZ20" i="42"/>
  <c r="BY20" i="42"/>
  <c r="BX20" i="42"/>
  <c r="BW20" i="42"/>
  <c r="BV20" i="42"/>
  <c r="BT20" i="42"/>
  <c r="BS20" i="42"/>
  <c r="BR20" i="42"/>
  <c r="BQ20" i="42"/>
  <c r="BP20" i="42"/>
  <c r="BO20" i="42"/>
  <c r="BN20" i="42"/>
  <c r="BM20" i="42"/>
  <c r="BL20" i="42"/>
  <c r="BK20" i="42"/>
  <c r="BJ20" i="42"/>
  <c r="BI20" i="42"/>
  <c r="BH20" i="42"/>
  <c r="BG20" i="42"/>
  <c r="BF20" i="42"/>
  <c r="BE20" i="42"/>
  <c r="AZ20" i="42"/>
  <c r="AY20" i="42"/>
  <c r="AX20" i="42"/>
  <c r="AW20" i="42"/>
  <c r="AV20" i="42"/>
  <c r="AT20" i="42"/>
  <c r="AS20" i="42"/>
  <c r="AR20" i="42"/>
  <c r="AQ20" i="42"/>
  <c r="AP20" i="42"/>
  <c r="AO20" i="42"/>
  <c r="AN20" i="42"/>
  <c r="AM20" i="42"/>
  <c r="AL20" i="42"/>
  <c r="AK20" i="42"/>
  <c r="AJ20" i="42"/>
  <c r="AI20" i="42"/>
  <c r="AH20" i="42"/>
  <c r="AG20" i="42"/>
  <c r="AF20" i="42"/>
  <c r="AE20" i="42"/>
  <c r="Z20" i="42"/>
  <c r="Y20" i="42"/>
  <c r="X20" i="42"/>
  <c r="W20" i="42"/>
  <c r="V20" i="42"/>
  <c r="T20" i="42"/>
  <c r="S20" i="42"/>
  <c r="R20" i="42"/>
  <c r="Q20" i="42"/>
  <c r="P20" i="42"/>
  <c r="O20" i="42"/>
  <c r="N20" i="42"/>
  <c r="M20" i="42"/>
  <c r="L20" i="42"/>
  <c r="K20" i="42"/>
  <c r="J20" i="42"/>
  <c r="I20" i="42"/>
  <c r="H20" i="42"/>
  <c r="G20" i="42"/>
  <c r="F20" i="42"/>
  <c r="E20" i="42"/>
  <c r="CZ19" i="42"/>
  <c r="CY19" i="42"/>
  <c r="CY42" i="42"/>
  <c r="CX19" i="42"/>
  <c r="CW19" i="42"/>
  <c r="CV19" i="42"/>
  <c r="CT19" i="42"/>
  <c r="CS19" i="42"/>
  <c r="CR19" i="42"/>
  <c r="CQ19" i="42"/>
  <c r="CP19" i="42"/>
  <c r="CO19" i="42"/>
  <c r="CN19" i="42"/>
  <c r="CM19" i="42"/>
  <c r="CM42" i="42"/>
  <c r="CL19" i="42"/>
  <c r="CK19" i="42"/>
  <c r="CJ19" i="42"/>
  <c r="CI19" i="42"/>
  <c r="CH19" i="42"/>
  <c r="CG19" i="42"/>
  <c r="CF19" i="42"/>
  <c r="CE19" i="42"/>
  <c r="BZ19" i="42"/>
  <c r="BZ42" i="42"/>
  <c r="BY19" i="42"/>
  <c r="BX19" i="42"/>
  <c r="BW19" i="42"/>
  <c r="BV19" i="42"/>
  <c r="BT19" i="42"/>
  <c r="BS19" i="42"/>
  <c r="BR19" i="42"/>
  <c r="BQ19" i="42"/>
  <c r="BP19" i="42"/>
  <c r="BO19" i="42"/>
  <c r="BN19" i="42"/>
  <c r="BN42" i="42"/>
  <c r="BM19" i="42"/>
  <c r="BL19" i="42"/>
  <c r="BK19" i="42"/>
  <c r="BJ19" i="42"/>
  <c r="BI19" i="42"/>
  <c r="BH19" i="42"/>
  <c r="BG19" i="42"/>
  <c r="BF19" i="42"/>
  <c r="BE19" i="42"/>
  <c r="AZ19" i="42"/>
  <c r="AY19" i="42"/>
  <c r="AX19" i="42"/>
  <c r="AW19" i="42"/>
  <c r="AV19" i="42"/>
  <c r="AT19" i="42"/>
  <c r="AS19" i="42"/>
  <c r="AR19" i="42"/>
  <c r="AQ19" i="42"/>
  <c r="AP19" i="42"/>
  <c r="AO19" i="42"/>
  <c r="AO42" i="42"/>
  <c r="AN19" i="42"/>
  <c r="AM19" i="42"/>
  <c r="AL19" i="42"/>
  <c r="AK19" i="42"/>
  <c r="AJ19" i="42"/>
  <c r="AI19" i="42"/>
  <c r="AH19" i="42"/>
  <c r="AG19" i="42"/>
  <c r="AF19" i="42"/>
  <c r="AE19" i="42"/>
  <c r="AB42" i="42"/>
  <c r="Z19" i="42"/>
  <c r="Y19" i="42"/>
  <c r="X19" i="42"/>
  <c r="W19" i="42"/>
  <c r="V19" i="42"/>
  <c r="T19" i="42"/>
  <c r="S19" i="42"/>
  <c r="R19" i="42"/>
  <c r="Q19" i="42"/>
  <c r="P19" i="42"/>
  <c r="P42" i="42"/>
  <c r="O19" i="42"/>
  <c r="N19" i="42"/>
  <c r="M19" i="42"/>
  <c r="L19" i="42"/>
  <c r="K19" i="42"/>
  <c r="J19" i="42"/>
  <c r="I19" i="42"/>
  <c r="H19" i="42"/>
  <c r="G19" i="42"/>
  <c r="F19" i="42"/>
  <c r="E19" i="42"/>
  <c r="D42" i="42"/>
  <c r="CZ18" i="42"/>
  <c r="CY18" i="42"/>
  <c r="CX18" i="42"/>
  <c r="CW18" i="42"/>
  <c r="CV18" i="42"/>
  <c r="CT18" i="42"/>
  <c r="CS18" i="42"/>
  <c r="CR18" i="42"/>
  <c r="CQ18" i="42"/>
  <c r="CQ75" i="42"/>
  <c r="CP18" i="42"/>
  <c r="CO18" i="42"/>
  <c r="CN18" i="42"/>
  <c r="CM18" i="42"/>
  <c r="CL18" i="42"/>
  <c r="CK18" i="42"/>
  <c r="CJ18" i="42"/>
  <c r="CI18" i="42"/>
  <c r="CH18" i="42"/>
  <c r="CG18" i="42"/>
  <c r="CF18" i="42"/>
  <c r="CE18" i="42"/>
  <c r="CE75" i="42"/>
  <c r="BZ18" i="42"/>
  <c r="BY18" i="42"/>
  <c r="BX18" i="42"/>
  <c r="BW18" i="42"/>
  <c r="BV18" i="42"/>
  <c r="BT18" i="42"/>
  <c r="BS18" i="42"/>
  <c r="BR18" i="42"/>
  <c r="BQ18" i="42"/>
  <c r="BP18" i="42"/>
  <c r="BO18" i="42"/>
  <c r="BN18" i="42"/>
  <c r="BM18" i="42"/>
  <c r="BL18" i="42"/>
  <c r="BK18" i="42"/>
  <c r="BJ18" i="42"/>
  <c r="BI18" i="42"/>
  <c r="BH18" i="42"/>
  <c r="BG18" i="42"/>
  <c r="BF18" i="42"/>
  <c r="BE18" i="42"/>
  <c r="AZ18" i="42"/>
  <c r="AY18" i="42"/>
  <c r="AX18" i="42"/>
  <c r="AW18" i="42"/>
  <c r="AV18" i="42"/>
  <c r="AT18" i="42"/>
  <c r="AS18" i="42"/>
  <c r="AR18" i="42"/>
  <c r="AQ18" i="42"/>
  <c r="AP18" i="42"/>
  <c r="AO18" i="42"/>
  <c r="AN18" i="42"/>
  <c r="AM18" i="42"/>
  <c r="AL18" i="42"/>
  <c r="AK18" i="42"/>
  <c r="AJ18" i="42"/>
  <c r="AI18" i="42"/>
  <c r="AH18" i="42"/>
  <c r="AG18" i="42"/>
  <c r="AF18" i="42"/>
  <c r="AE18" i="42"/>
  <c r="Z18" i="42"/>
  <c r="Y18" i="42"/>
  <c r="X18" i="42"/>
  <c r="W18" i="42"/>
  <c r="V18" i="42"/>
  <c r="T18" i="42"/>
  <c r="S18" i="42"/>
  <c r="R18" i="42"/>
  <c r="Q18" i="42"/>
  <c r="P18" i="42"/>
  <c r="O18" i="42"/>
  <c r="N18" i="42"/>
  <c r="M18" i="42"/>
  <c r="L18" i="42"/>
  <c r="K18" i="42"/>
  <c r="J18" i="42"/>
  <c r="I18" i="42"/>
  <c r="H18" i="42"/>
  <c r="G18" i="42"/>
  <c r="F18" i="42"/>
  <c r="E18" i="42"/>
  <c r="CZ17" i="42"/>
  <c r="CY17" i="42"/>
  <c r="CX17" i="42"/>
  <c r="CW17" i="42"/>
  <c r="CV17" i="42"/>
  <c r="CT17" i="42"/>
  <c r="CS17" i="42"/>
  <c r="CR17" i="42"/>
  <c r="CQ17" i="42"/>
  <c r="CP17" i="42"/>
  <c r="CO17" i="42"/>
  <c r="CN17" i="42"/>
  <c r="CM17" i="42"/>
  <c r="CL17" i="42"/>
  <c r="CK17" i="42"/>
  <c r="CJ17" i="42"/>
  <c r="CI17" i="42"/>
  <c r="CI66" i="42"/>
  <c r="CH17" i="42"/>
  <c r="CG17" i="42"/>
  <c r="CF17" i="42"/>
  <c r="CE17" i="42"/>
  <c r="BZ17" i="42"/>
  <c r="BY17" i="42"/>
  <c r="BX17" i="42"/>
  <c r="BW17" i="42"/>
  <c r="BV17" i="42"/>
  <c r="BT17" i="42"/>
  <c r="BS17" i="42"/>
  <c r="BR17" i="42"/>
  <c r="BQ17" i="42"/>
  <c r="BP17" i="42"/>
  <c r="BO17" i="42"/>
  <c r="BN17" i="42"/>
  <c r="BM17" i="42"/>
  <c r="BL17" i="42"/>
  <c r="BK17" i="42"/>
  <c r="BJ17" i="42"/>
  <c r="BI17" i="42"/>
  <c r="BH17" i="42"/>
  <c r="BG17" i="42"/>
  <c r="BF17" i="42"/>
  <c r="BE17" i="42"/>
  <c r="AZ17" i="42"/>
  <c r="AY17" i="42"/>
  <c r="AX17" i="42"/>
  <c r="AW17" i="42"/>
  <c r="AV17" i="42"/>
  <c r="AT17" i="42"/>
  <c r="AS17" i="42"/>
  <c r="AR17" i="42"/>
  <c r="AQ17" i="42"/>
  <c r="AP17" i="42"/>
  <c r="AO17" i="42"/>
  <c r="AN17" i="42"/>
  <c r="AM17" i="42"/>
  <c r="AL17" i="42"/>
  <c r="AK17" i="42"/>
  <c r="AJ17" i="42"/>
  <c r="AI17" i="42"/>
  <c r="AH17" i="42"/>
  <c r="AG17" i="42"/>
  <c r="AF17" i="42"/>
  <c r="AE17" i="42"/>
  <c r="Z17" i="42"/>
  <c r="Y17" i="42"/>
  <c r="X17" i="42"/>
  <c r="W17" i="42"/>
  <c r="V17" i="42"/>
  <c r="T17" i="42"/>
  <c r="S17" i="42"/>
  <c r="R17" i="42"/>
  <c r="Q17" i="42"/>
  <c r="P17" i="42"/>
  <c r="O17" i="42"/>
  <c r="N17" i="42"/>
  <c r="M17" i="42"/>
  <c r="L17" i="42"/>
  <c r="K17" i="42"/>
  <c r="J17" i="42"/>
  <c r="I17" i="42"/>
  <c r="H17" i="42"/>
  <c r="G17" i="42"/>
  <c r="F17" i="42"/>
  <c r="E17" i="42"/>
  <c r="CZ16" i="42"/>
  <c r="CY16" i="42"/>
  <c r="CY58" i="42"/>
  <c r="CX16" i="42"/>
  <c r="CW16" i="42"/>
  <c r="CV16" i="42"/>
  <c r="CT16" i="42"/>
  <c r="CS16" i="42"/>
  <c r="CR16" i="42"/>
  <c r="CQ16" i="42"/>
  <c r="CP16" i="42"/>
  <c r="CO16" i="42"/>
  <c r="CN16" i="42"/>
  <c r="CM16" i="42"/>
  <c r="CM58" i="42"/>
  <c r="CL16" i="42"/>
  <c r="CK16" i="42"/>
  <c r="CJ16" i="42"/>
  <c r="CI16" i="42"/>
  <c r="CH16" i="42"/>
  <c r="CG16" i="42"/>
  <c r="CF16" i="42"/>
  <c r="CE16" i="42"/>
  <c r="BZ16" i="42"/>
  <c r="BY16" i="42"/>
  <c r="BX16" i="42"/>
  <c r="BW16" i="42"/>
  <c r="BV16" i="42"/>
  <c r="BT16" i="42"/>
  <c r="BS16" i="42"/>
  <c r="BR16" i="42"/>
  <c r="BQ16" i="42"/>
  <c r="BP16" i="42"/>
  <c r="BO16" i="42"/>
  <c r="BN16" i="42"/>
  <c r="BM16" i="42"/>
  <c r="BL16" i="42"/>
  <c r="BK16" i="42"/>
  <c r="BJ16" i="42"/>
  <c r="BI16" i="42"/>
  <c r="BH16" i="42"/>
  <c r="BG16" i="42"/>
  <c r="BF16" i="42"/>
  <c r="BE16" i="42"/>
  <c r="AZ16" i="42"/>
  <c r="AY16" i="42"/>
  <c r="AX16" i="42"/>
  <c r="AW16" i="42"/>
  <c r="AV16" i="42"/>
  <c r="AT16" i="42"/>
  <c r="AS16" i="42"/>
  <c r="AR16" i="42"/>
  <c r="AQ16" i="42"/>
  <c r="AP16" i="42"/>
  <c r="AO16" i="42"/>
  <c r="AN16" i="42"/>
  <c r="AM16" i="42"/>
  <c r="AL16" i="42"/>
  <c r="AK16" i="42"/>
  <c r="AJ16" i="42"/>
  <c r="AI16" i="42"/>
  <c r="AH16" i="42"/>
  <c r="AG16" i="42"/>
  <c r="AF16" i="42"/>
  <c r="AE16" i="42"/>
  <c r="Z16" i="42"/>
  <c r="Y16" i="42"/>
  <c r="X16" i="42"/>
  <c r="W16" i="42"/>
  <c r="V16" i="42"/>
  <c r="T16" i="42"/>
  <c r="S16" i="42"/>
  <c r="R16" i="42"/>
  <c r="Q16" i="42"/>
  <c r="P16" i="42"/>
  <c r="O16" i="42"/>
  <c r="N16" i="42"/>
  <c r="M16" i="42"/>
  <c r="L16" i="42"/>
  <c r="K16" i="42"/>
  <c r="J16" i="42"/>
  <c r="I16" i="42"/>
  <c r="H16" i="42"/>
  <c r="G16" i="42"/>
  <c r="F16" i="42"/>
  <c r="E16" i="42"/>
  <c r="CZ15" i="42"/>
  <c r="CY15" i="42"/>
  <c r="CX15" i="42"/>
  <c r="CW15" i="42"/>
  <c r="CV15" i="42"/>
  <c r="CT15" i="42"/>
  <c r="CS15" i="42"/>
  <c r="CR15" i="42"/>
  <c r="CQ15" i="42"/>
  <c r="CQ44" i="42"/>
  <c r="CP15" i="42"/>
  <c r="CO15" i="42"/>
  <c r="CN15" i="42"/>
  <c r="CM15" i="42"/>
  <c r="CL15" i="42"/>
  <c r="CK15" i="42"/>
  <c r="CJ15" i="42"/>
  <c r="CI15" i="42"/>
  <c r="CH15" i="42"/>
  <c r="CG15" i="42"/>
  <c r="CF15" i="42"/>
  <c r="CE15" i="42"/>
  <c r="BZ15" i="42"/>
  <c r="BY15" i="42"/>
  <c r="BX15" i="42"/>
  <c r="BW15" i="42"/>
  <c r="BV15" i="42"/>
  <c r="BT15" i="42"/>
  <c r="BS15" i="42"/>
  <c r="BR15" i="42"/>
  <c r="BR44" i="42"/>
  <c r="BQ15" i="42"/>
  <c r="BP15" i="42"/>
  <c r="BO15" i="42"/>
  <c r="BN15" i="42"/>
  <c r="BM15" i="42"/>
  <c r="BL15" i="42"/>
  <c r="BK15" i="42"/>
  <c r="BJ15" i="42"/>
  <c r="BI15" i="42"/>
  <c r="BH15" i="42"/>
  <c r="BG15" i="42"/>
  <c r="BF15" i="42"/>
  <c r="BF44" i="42"/>
  <c r="BE15" i="42"/>
  <c r="AZ15" i="42"/>
  <c r="AY15" i="42"/>
  <c r="AX15" i="42"/>
  <c r="AW15" i="42"/>
  <c r="AV15" i="42"/>
  <c r="AT15" i="42"/>
  <c r="AS15" i="42"/>
  <c r="AS44" i="42"/>
  <c r="AR15" i="42"/>
  <c r="AQ15" i="42"/>
  <c r="AP15" i="42"/>
  <c r="AO15" i="42"/>
  <c r="AN15" i="42"/>
  <c r="AM15" i="42"/>
  <c r="AL15" i="42"/>
  <c r="AK15" i="42"/>
  <c r="AJ15" i="42"/>
  <c r="AI15" i="42"/>
  <c r="AH15" i="42"/>
  <c r="AG15" i="42"/>
  <c r="AG44" i="42"/>
  <c r="AF15" i="42"/>
  <c r="AE15" i="42"/>
  <c r="Z15" i="42"/>
  <c r="Y15" i="42"/>
  <c r="X15" i="42"/>
  <c r="W15" i="42"/>
  <c r="V15" i="42"/>
  <c r="T15" i="42"/>
  <c r="T44" i="42"/>
  <c r="S15" i="42"/>
  <c r="R15" i="42"/>
  <c r="Q15" i="42"/>
  <c r="P15" i="42"/>
  <c r="O15" i="42"/>
  <c r="N15" i="42"/>
  <c r="M15" i="42"/>
  <c r="L15" i="42"/>
  <c r="K15" i="42"/>
  <c r="J15" i="42"/>
  <c r="I15" i="42"/>
  <c r="H15" i="42"/>
  <c r="H44" i="42"/>
  <c r="G15" i="42"/>
  <c r="F15" i="42"/>
  <c r="E15" i="42"/>
  <c r="CZ14" i="42"/>
  <c r="CY14" i="42"/>
  <c r="CX14" i="42"/>
  <c r="CW14" i="42"/>
  <c r="CV14" i="42"/>
  <c r="CT14" i="42"/>
  <c r="CS14" i="42"/>
  <c r="CR14" i="42"/>
  <c r="CQ14" i="42"/>
  <c r="CP14" i="42"/>
  <c r="CO14" i="42"/>
  <c r="CN14" i="42"/>
  <c r="CM14" i="42"/>
  <c r="CL14" i="42"/>
  <c r="CK14" i="42"/>
  <c r="CJ14" i="42"/>
  <c r="CI14" i="42"/>
  <c r="CI34" i="42"/>
  <c r="CH14" i="42"/>
  <c r="CG14" i="42"/>
  <c r="CF14" i="42"/>
  <c r="CE14" i="42"/>
  <c r="BZ14" i="42"/>
  <c r="BY14" i="42"/>
  <c r="BX14" i="42"/>
  <c r="BW14" i="42"/>
  <c r="BV14" i="42"/>
  <c r="BV34" i="42"/>
  <c r="BT14" i="42"/>
  <c r="BS14" i="42"/>
  <c r="BR14" i="42"/>
  <c r="BQ14" i="42"/>
  <c r="BP14" i="42"/>
  <c r="BO14" i="42"/>
  <c r="BN14" i="42"/>
  <c r="BM14" i="42"/>
  <c r="BL14" i="42"/>
  <c r="BK14" i="42"/>
  <c r="BJ14" i="42"/>
  <c r="BJ34" i="42"/>
  <c r="BI14" i="42"/>
  <c r="BH14" i="42"/>
  <c r="BG14" i="42"/>
  <c r="BF14" i="42"/>
  <c r="BE14" i="42"/>
  <c r="AZ14" i="42"/>
  <c r="AY14" i="42"/>
  <c r="AX14" i="42"/>
  <c r="AW14" i="42"/>
  <c r="AW34" i="42"/>
  <c r="AV14" i="42"/>
  <c r="AT14" i="42"/>
  <c r="AS14" i="42"/>
  <c r="AR14" i="42"/>
  <c r="AQ14" i="42"/>
  <c r="AP14" i="42"/>
  <c r="AO14" i="42"/>
  <c r="AN14" i="42"/>
  <c r="AM14" i="42"/>
  <c r="AL14" i="42"/>
  <c r="AK14" i="42"/>
  <c r="AK34" i="42"/>
  <c r="AJ14" i="42"/>
  <c r="AI14" i="42"/>
  <c r="AH14" i="42"/>
  <c r="AG14" i="42"/>
  <c r="AF14" i="42"/>
  <c r="AE14" i="42"/>
  <c r="Z14" i="42"/>
  <c r="Y14" i="42"/>
  <c r="X14" i="42"/>
  <c r="X34" i="42"/>
  <c r="W14" i="42"/>
  <c r="V14" i="42"/>
  <c r="T14" i="42"/>
  <c r="S14" i="42"/>
  <c r="R14" i="42"/>
  <c r="Q14" i="42"/>
  <c r="P14" i="42"/>
  <c r="O14" i="42"/>
  <c r="N14" i="42"/>
  <c r="M14" i="42"/>
  <c r="L14" i="42"/>
  <c r="L34" i="42"/>
  <c r="K14" i="42"/>
  <c r="J14" i="42"/>
  <c r="I14" i="42"/>
  <c r="H14" i="42"/>
  <c r="G14" i="42"/>
  <c r="F14" i="42"/>
  <c r="E14" i="42"/>
  <c r="CZ13" i="42"/>
  <c r="CY13" i="42"/>
  <c r="CX13" i="42"/>
  <c r="CW13" i="42"/>
  <c r="CV13" i="42"/>
  <c r="CT13" i="42"/>
  <c r="CS13" i="42"/>
  <c r="CR13" i="42"/>
  <c r="CQ13" i="42"/>
  <c r="CP13" i="42"/>
  <c r="CO13" i="42"/>
  <c r="CN13" i="42"/>
  <c r="CM13" i="42"/>
  <c r="CL13" i="42"/>
  <c r="CK13" i="42"/>
  <c r="CJ13" i="42"/>
  <c r="CI13" i="42"/>
  <c r="CH13" i="42"/>
  <c r="CG13" i="42"/>
  <c r="CF13" i="42"/>
  <c r="CE13" i="42"/>
  <c r="BZ13" i="42"/>
  <c r="BZ33" i="42"/>
  <c r="BY13" i="42"/>
  <c r="BX13" i="42"/>
  <c r="BW13" i="42"/>
  <c r="BV13" i="42"/>
  <c r="BT13" i="42"/>
  <c r="BS13" i="42"/>
  <c r="BR13" i="42"/>
  <c r="BQ13" i="42"/>
  <c r="BP13" i="42"/>
  <c r="BO13" i="42"/>
  <c r="BN13" i="42"/>
  <c r="BN33" i="42"/>
  <c r="BM13" i="42"/>
  <c r="BL13" i="42"/>
  <c r="BK13" i="42"/>
  <c r="BJ13" i="42"/>
  <c r="BI13" i="42"/>
  <c r="BH13" i="42"/>
  <c r="BG13" i="42"/>
  <c r="BF13" i="42"/>
  <c r="BE13" i="42"/>
  <c r="AZ13" i="42"/>
  <c r="AY13" i="42"/>
  <c r="AX13" i="42"/>
  <c r="AW13" i="42"/>
  <c r="AV13" i="42"/>
  <c r="AT13" i="42"/>
  <c r="AS13" i="42"/>
  <c r="AR13" i="42"/>
  <c r="AQ13" i="42"/>
  <c r="AP13" i="42"/>
  <c r="AO13" i="42"/>
  <c r="AO33" i="42"/>
  <c r="AN13" i="42"/>
  <c r="AM13" i="42"/>
  <c r="AL13" i="42"/>
  <c r="AK13" i="42"/>
  <c r="AJ13" i="42"/>
  <c r="AI13" i="42"/>
  <c r="AH13" i="42"/>
  <c r="AG13" i="42"/>
  <c r="AF13" i="42"/>
  <c r="AE13" i="42"/>
  <c r="AB33" i="42"/>
  <c r="Z13" i="42"/>
  <c r="Y13" i="42"/>
  <c r="X13" i="42"/>
  <c r="W13" i="42"/>
  <c r="V13" i="42"/>
  <c r="T13" i="42"/>
  <c r="S13" i="42"/>
  <c r="R13" i="42"/>
  <c r="Q13" i="42"/>
  <c r="P13" i="42"/>
  <c r="P33" i="42"/>
  <c r="O13" i="42"/>
  <c r="N13" i="42"/>
  <c r="M13" i="42"/>
  <c r="L13" i="42"/>
  <c r="K13" i="42"/>
  <c r="J13" i="42"/>
  <c r="I13" i="42"/>
  <c r="H13" i="42"/>
  <c r="G13" i="42"/>
  <c r="F13" i="42"/>
  <c r="E13" i="42"/>
  <c r="D33" i="42"/>
  <c r="CZ12" i="42"/>
  <c r="CY12" i="42"/>
  <c r="CX12" i="42"/>
  <c r="CW12" i="42"/>
  <c r="CV12" i="42"/>
  <c r="CT12" i="42"/>
  <c r="CS12" i="42"/>
  <c r="CR12" i="42"/>
  <c r="CQ12" i="42"/>
  <c r="CQ74" i="42"/>
  <c r="CP12" i="42"/>
  <c r="CO12" i="42"/>
  <c r="CN12" i="42"/>
  <c r="CM12" i="42"/>
  <c r="CL12" i="42"/>
  <c r="CK12" i="42"/>
  <c r="CJ12" i="42"/>
  <c r="CI12" i="42"/>
  <c r="CH12" i="42"/>
  <c r="CG12" i="42"/>
  <c r="CF12" i="42"/>
  <c r="CE12" i="42"/>
  <c r="CE74" i="42"/>
  <c r="BZ12" i="42"/>
  <c r="BY12" i="42"/>
  <c r="BX12" i="42"/>
  <c r="BW12" i="42"/>
  <c r="BV12" i="42"/>
  <c r="BT12" i="42"/>
  <c r="BS12" i="42"/>
  <c r="BR12" i="42"/>
  <c r="BQ12" i="42"/>
  <c r="BP12" i="42"/>
  <c r="BO12" i="42"/>
  <c r="BN12" i="42"/>
  <c r="BM12" i="42"/>
  <c r="BL12" i="42"/>
  <c r="BK12" i="42"/>
  <c r="BJ12" i="42"/>
  <c r="BI12" i="42"/>
  <c r="BH12" i="42"/>
  <c r="BG12" i="42"/>
  <c r="BF12" i="42"/>
  <c r="BE12" i="42"/>
  <c r="AZ12" i="42"/>
  <c r="AY12" i="42"/>
  <c r="AX12" i="42"/>
  <c r="AW12" i="42"/>
  <c r="AV12" i="42"/>
  <c r="AT12" i="42"/>
  <c r="AS12" i="42"/>
  <c r="AR12" i="42"/>
  <c r="AQ12" i="42"/>
  <c r="AP12" i="42"/>
  <c r="AO12" i="42"/>
  <c r="AN12" i="42"/>
  <c r="AM12" i="42"/>
  <c r="AL12" i="42"/>
  <c r="AK12" i="42"/>
  <c r="AJ12" i="42"/>
  <c r="AI12" i="42"/>
  <c r="AH12" i="42"/>
  <c r="AG12" i="42"/>
  <c r="AF12" i="42"/>
  <c r="AE12" i="42"/>
  <c r="Z12" i="42"/>
  <c r="Y12" i="42"/>
  <c r="X12" i="42"/>
  <c r="W12" i="42"/>
  <c r="V12" i="42"/>
  <c r="T12" i="42"/>
  <c r="S12" i="42"/>
  <c r="R12" i="42"/>
  <c r="Q12" i="42"/>
  <c r="P12" i="42"/>
  <c r="O12" i="42"/>
  <c r="N12" i="42"/>
  <c r="M12" i="42"/>
  <c r="L12" i="42"/>
  <c r="K12" i="42"/>
  <c r="J12" i="42"/>
  <c r="I12" i="42"/>
  <c r="H12" i="42"/>
  <c r="G12" i="42"/>
  <c r="F12" i="42"/>
  <c r="E12" i="42"/>
  <c r="CZ11" i="42"/>
  <c r="CY11" i="42"/>
  <c r="CX11" i="42"/>
  <c r="CW11" i="42"/>
  <c r="CV11" i="42"/>
  <c r="CT11" i="42"/>
  <c r="CS11" i="42"/>
  <c r="CR11" i="42"/>
  <c r="CQ11" i="42"/>
  <c r="CP11" i="42"/>
  <c r="CO11" i="42"/>
  <c r="CN11" i="42"/>
  <c r="CM11" i="42"/>
  <c r="CL11" i="42"/>
  <c r="CK11" i="42"/>
  <c r="CJ11" i="42"/>
  <c r="CI11" i="42"/>
  <c r="CI39" i="42"/>
  <c r="CH11" i="42"/>
  <c r="CG11" i="42"/>
  <c r="CF11" i="42"/>
  <c r="CE11" i="42"/>
  <c r="BZ11" i="42"/>
  <c r="BY11" i="42"/>
  <c r="BX11" i="42"/>
  <c r="BW11" i="42"/>
  <c r="BV11" i="42"/>
  <c r="BV39" i="42"/>
  <c r="BT11" i="42"/>
  <c r="BS11" i="42"/>
  <c r="BR11" i="42"/>
  <c r="BQ11" i="42"/>
  <c r="BP11" i="42"/>
  <c r="BO11" i="42"/>
  <c r="BN11" i="42"/>
  <c r="BM11" i="42"/>
  <c r="BL11" i="42"/>
  <c r="BK11" i="42"/>
  <c r="BJ11" i="42"/>
  <c r="BJ39" i="42"/>
  <c r="BI11" i="42"/>
  <c r="BH11" i="42"/>
  <c r="BG11" i="42"/>
  <c r="BF11" i="42"/>
  <c r="BE11" i="42"/>
  <c r="AZ11" i="42"/>
  <c r="AY11" i="42"/>
  <c r="AX11" i="42"/>
  <c r="AW11" i="42"/>
  <c r="AW39" i="42"/>
  <c r="AV11" i="42"/>
  <c r="AT11" i="42"/>
  <c r="AS11" i="42"/>
  <c r="AR11" i="42"/>
  <c r="AQ11" i="42"/>
  <c r="AP11" i="42"/>
  <c r="AO11" i="42"/>
  <c r="AN11" i="42"/>
  <c r="AM11" i="42"/>
  <c r="AL11" i="42"/>
  <c r="AK11" i="42"/>
  <c r="AK39" i="42"/>
  <c r="AJ11" i="42"/>
  <c r="AI11" i="42"/>
  <c r="AH11" i="42"/>
  <c r="AG11" i="42"/>
  <c r="AF11" i="42"/>
  <c r="AE11" i="42"/>
  <c r="Z11" i="42"/>
  <c r="Y11" i="42"/>
  <c r="X11" i="42"/>
  <c r="X39" i="42"/>
  <c r="W11" i="42"/>
  <c r="V11" i="42"/>
  <c r="T11" i="42"/>
  <c r="S11" i="42"/>
  <c r="R11" i="42"/>
  <c r="Q11" i="42"/>
  <c r="P11" i="42"/>
  <c r="O11" i="42"/>
  <c r="N11" i="42"/>
  <c r="M11" i="42"/>
  <c r="L11" i="42"/>
  <c r="L39" i="42"/>
  <c r="K11" i="42"/>
  <c r="J11" i="42"/>
  <c r="I11" i="42"/>
  <c r="H11" i="42"/>
  <c r="G11" i="42"/>
  <c r="F11" i="42"/>
  <c r="E11" i="42"/>
  <c r="CZ10" i="42"/>
  <c r="CY10" i="42"/>
  <c r="CX10" i="42"/>
  <c r="CW10" i="42"/>
  <c r="CV10" i="42"/>
  <c r="CT10" i="42"/>
  <c r="CS10" i="42"/>
  <c r="CR10" i="42"/>
  <c r="CQ10" i="42"/>
  <c r="CP10" i="42"/>
  <c r="CO10" i="42"/>
  <c r="CN10" i="42"/>
  <c r="CM10" i="42"/>
  <c r="CL10" i="42"/>
  <c r="CK10" i="42"/>
  <c r="CJ10" i="42"/>
  <c r="CI10" i="42"/>
  <c r="CH10" i="42"/>
  <c r="CG10" i="42"/>
  <c r="CF10" i="42"/>
  <c r="CE10" i="42"/>
  <c r="BZ10" i="42"/>
  <c r="BZ46" i="42"/>
  <c r="BY10" i="42"/>
  <c r="BX10" i="42"/>
  <c r="BW10" i="42"/>
  <c r="BV10" i="42"/>
  <c r="BT10" i="42"/>
  <c r="BS10" i="42"/>
  <c r="BR10" i="42"/>
  <c r="BQ10" i="42"/>
  <c r="BP10" i="42"/>
  <c r="BO10" i="42"/>
  <c r="BN10" i="42"/>
  <c r="BN46" i="42"/>
  <c r="BM10" i="42"/>
  <c r="BL10" i="42"/>
  <c r="BK10" i="42"/>
  <c r="BJ10" i="42"/>
  <c r="BI10" i="42"/>
  <c r="BH10" i="42"/>
  <c r="BG10" i="42"/>
  <c r="BF10" i="42"/>
  <c r="BE10" i="42"/>
  <c r="AZ10" i="42"/>
  <c r="AY10" i="42"/>
  <c r="AX10" i="42"/>
  <c r="AW10" i="42"/>
  <c r="AV10" i="42"/>
  <c r="AT10" i="42"/>
  <c r="AS10" i="42"/>
  <c r="AR10" i="42"/>
  <c r="AQ10" i="42"/>
  <c r="AP10" i="42"/>
  <c r="AO10" i="42"/>
  <c r="AO46" i="42"/>
  <c r="AN10" i="42"/>
  <c r="AM10" i="42"/>
  <c r="AL10" i="42"/>
  <c r="AK10" i="42"/>
  <c r="AJ10" i="42"/>
  <c r="AI10" i="42"/>
  <c r="AH10" i="42"/>
  <c r="AG10" i="42"/>
  <c r="AF10" i="42"/>
  <c r="AE10" i="42"/>
  <c r="AB46" i="42"/>
  <c r="Z10" i="42"/>
  <c r="Y10" i="42"/>
  <c r="X10" i="42"/>
  <c r="W10" i="42"/>
  <c r="V10" i="42"/>
  <c r="T10" i="42"/>
  <c r="S10" i="42"/>
  <c r="R10" i="42"/>
  <c r="Q10" i="42"/>
  <c r="P10" i="42"/>
  <c r="P46" i="42"/>
  <c r="O10" i="42"/>
  <c r="N10" i="42"/>
  <c r="M10" i="42"/>
  <c r="L10" i="42"/>
  <c r="K10" i="42"/>
  <c r="J10" i="42"/>
  <c r="I10" i="42"/>
  <c r="H10" i="42"/>
  <c r="G10" i="42"/>
  <c r="F10" i="42"/>
  <c r="E10" i="42"/>
  <c r="CZ9" i="42"/>
  <c r="CY9" i="42"/>
  <c r="CX9" i="42"/>
  <c r="CW9" i="42"/>
  <c r="CV9" i="42"/>
  <c r="CT9" i="42"/>
  <c r="CS9" i="42"/>
  <c r="CR9" i="42"/>
  <c r="CQ9" i="42"/>
  <c r="CQ68" i="42"/>
  <c r="CP9" i="42"/>
  <c r="CO9" i="42"/>
  <c r="CN9" i="42"/>
  <c r="CM9" i="42"/>
  <c r="CL9" i="42"/>
  <c r="CK9" i="42"/>
  <c r="CJ9" i="42"/>
  <c r="CI9" i="42"/>
  <c r="CH9" i="42"/>
  <c r="CG9" i="42"/>
  <c r="CF9" i="42"/>
  <c r="CE9" i="42"/>
  <c r="CE68" i="42"/>
  <c r="BZ9" i="42"/>
  <c r="BY9" i="42"/>
  <c r="BX9" i="42"/>
  <c r="BW9" i="42"/>
  <c r="BV9" i="42"/>
  <c r="BT9" i="42"/>
  <c r="BS9" i="42"/>
  <c r="BR9" i="42"/>
  <c r="BQ9" i="42"/>
  <c r="BP9" i="42"/>
  <c r="BO9" i="42"/>
  <c r="BN9" i="42"/>
  <c r="BM9" i="42"/>
  <c r="BL9" i="42"/>
  <c r="BK9" i="42"/>
  <c r="BJ9" i="42"/>
  <c r="BI9" i="42"/>
  <c r="BH9" i="42"/>
  <c r="BG9" i="42"/>
  <c r="BF9" i="42"/>
  <c r="BE9" i="42"/>
  <c r="AZ9" i="42"/>
  <c r="AY9" i="42"/>
  <c r="AX9" i="42"/>
  <c r="AW9" i="42"/>
  <c r="AV9" i="42"/>
  <c r="AT9" i="42"/>
  <c r="AS9" i="42"/>
  <c r="AR9" i="42"/>
  <c r="AQ9" i="42"/>
  <c r="AP9" i="42"/>
  <c r="AO9" i="42"/>
  <c r="AN9" i="42"/>
  <c r="AM9" i="42"/>
  <c r="AL9" i="42"/>
  <c r="AK9" i="42"/>
  <c r="AJ9" i="42"/>
  <c r="AI9" i="42"/>
  <c r="AH9" i="42"/>
  <c r="AG9" i="42"/>
  <c r="AF9" i="42"/>
  <c r="AE9" i="42"/>
  <c r="Z9" i="42"/>
  <c r="Y9" i="42"/>
  <c r="X9" i="42"/>
  <c r="W9" i="42"/>
  <c r="V9" i="42"/>
  <c r="T9" i="42"/>
  <c r="S9" i="42"/>
  <c r="R9" i="42"/>
  <c r="Q9" i="42"/>
  <c r="P9" i="42"/>
  <c r="O9" i="42"/>
  <c r="N9" i="42"/>
  <c r="M9" i="42"/>
  <c r="L9" i="42"/>
  <c r="K9" i="42"/>
  <c r="J9" i="42"/>
  <c r="I9" i="42"/>
  <c r="H9" i="42"/>
  <c r="G9" i="42"/>
  <c r="F9" i="42"/>
  <c r="E9" i="42"/>
  <c r="CZ8" i="42"/>
  <c r="CY8" i="42"/>
  <c r="CX8" i="42"/>
  <c r="CW8" i="42"/>
  <c r="CV8" i="42"/>
  <c r="CT8" i="42"/>
  <c r="CS8" i="42"/>
  <c r="CR8" i="42"/>
  <c r="CQ8" i="42"/>
  <c r="CP8" i="42"/>
  <c r="CO8" i="42"/>
  <c r="CN8" i="42"/>
  <c r="CM8" i="42"/>
  <c r="CL8" i="42"/>
  <c r="CK8" i="42"/>
  <c r="CJ8" i="42"/>
  <c r="CI8" i="42"/>
  <c r="CH8" i="42"/>
  <c r="CG8" i="42"/>
  <c r="CF8" i="42"/>
  <c r="CE8" i="42"/>
  <c r="BZ8" i="42"/>
  <c r="BY8" i="42"/>
  <c r="BX8" i="42"/>
  <c r="BW8" i="42"/>
  <c r="BV8" i="42"/>
  <c r="BV41" i="42"/>
  <c r="BT8" i="42"/>
  <c r="BS8" i="42"/>
  <c r="BR8" i="42"/>
  <c r="BQ8" i="42"/>
  <c r="BP8" i="42"/>
  <c r="BO8" i="42"/>
  <c r="BN8" i="42"/>
  <c r="BM8" i="42"/>
  <c r="BL8" i="42"/>
  <c r="BK8" i="42"/>
  <c r="BJ8" i="42"/>
  <c r="BJ41" i="42"/>
  <c r="BI8" i="42"/>
  <c r="BH8" i="42"/>
  <c r="BG8" i="42"/>
  <c r="BF8" i="42"/>
  <c r="BE8" i="42"/>
  <c r="AZ8" i="42"/>
  <c r="AY8" i="42"/>
  <c r="AX8" i="42"/>
  <c r="AW8" i="42"/>
  <c r="AW41" i="42"/>
  <c r="AV8" i="42"/>
  <c r="AT8" i="42"/>
  <c r="AS8" i="42"/>
  <c r="AR8" i="42"/>
  <c r="AQ8" i="42"/>
  <c r="AP8" i="42"/>
  <c r="AO8" i="42"/>
  <c r="AN8" i="42"/>
  <c r="AM8" i="42"/>
  <c r="AL8" i="42"/>
  <c r="AK8" i="42"/>
  <c r="AK41" i="42"/>
  <c r="AJ8" i="42"/>
  <c r="AI8" i="42"/>
  <c r="AH8" i="42"/>
  <c r="AG8" i="42"/>
  <c r="AF8" i="42"/>
  <c r="AE8" i="42"/>
  <c r="Z8" i="42"/>
  <c r="Y8" i="42"/>
  <c r="X8" i="42"/>
  <c r="X41" i="42"/>
  <c r="W8" i="42"/>
  <c r="V8" i="42"/>
  <c r="T8" i="42"/>
  <c r="S8" i="42"/>
  <c r="R8" i="42"/>
  <c r="Q8" i="42"/>
  <c r="P8" i="42"/>
  <c r="O8" i="42"/>
  <c r="N8" i="42"/>
  <c r="M8" i="42"/>
  <c r="L8" i="42"/>
  <c r="K8" i="42"/>
  <c r="J8" i="42"/>
  <c r="I8" i="42"/>
  <c r="H8" i="42"/>
  <c r="G8" i="42"/>
  <c r="F8" i="42"/>
  <c r="E8" i="42"/>
  <c r="CZ7" i="42"/>
  <c r="CY7" i="42"/>
  <c r="CY73" i="42"/>
  <c r="CX7" i="42"/>
  <c r="CW7" i="42"/>
  <c r="CV7" i="42"/>
  <c r="CT7" i="42"/>
  <c r="CS7" i="42"/>
  <c r="CR7" i="42"/>
  <c r="CQ7" i="42"/>
  <c r="CP7" i="42"/>
  <c r="CO7" i="42"/>
  <c r="CN7" i="42"/>
  <c r="CM7" i="42"/>
  <c r="CM73" i="42"/>
  <c r="CL7" i="42"/>
  <c r="CK7" i="42"/>
  <c r="CJ7" i="42"/>
  <c r="CI7" i="42"/>
  <c r="CH7" i="42"/>
  <c r="CG7" i="42"/>
  <c r="CF7" i="42"/>
  <c r="CE7" i="42"/>
  <c r="BZ7" i="42"/>
  <c r="BY7" i="42"/>
  <c r="BX7" i="42"/>
  <c r="BW7" i="42"/>
  <c r="BV7" i="42"/>
  <c r="BT7" i="42"/>
  <c r="BS7" i="42"/>
  <c r="BR7" i="42"/>
  <c r="BQ7" i="42"/>
  <c r="BP7" i="42"/>
  <c r="BO7" i="42"/>
  <c r="BN7" i="42"/>
  <c r="BM7" i="42"/>
  <c r="BL7" i="42"/>
  <c r="BK7" i="42"/>
  <c r="BJ7" i="42"/>
  <c r="BI7" i="42"/>
  <c r="BH7" i="42"/>
  <c r="BG7" i="42"/>
  <c r="BF7" i="42"/>
  <c r="BE7" i="42"/>
  <c r="AZ7" i="42"/>
  <c r="AY7" i="42"/>
  <c r="AX7" i="42"/>
  <c r="AW7" i="42"/>
  <c r="AV7" i="42"/>
  <c r="AT7" i="42"/>
  <c r="AS7" i="42"/>
  <c r="AR7" i="42"/>
  <c r="AQ7" i="42"/>
  <c r="AP7" i="42"/>
  <c r="AO7" i="42"/>
  <c r="AN7" i="42"/>
  <c r="AM7" i="42"/>
  <c r="AL7" i="42"/>
  <c r="AK7" i="42"/>
  <c r="AJ7" i="42"/>
  <c r="AI7" i="42"/>
  <c r="AH7" i="42"/>
  <c r="AG7" i="42"/>
  <c r="AF7" i="42"/>
  <c r="AE7" i="42"/>
  <c r="Z7" i="42"/>
  <c r="Y7" i="42"/>
  <c r="X7" i="42"/>
  <c r="W7" i="42"/>
  <c r="V7" i="42"/>
  <c r="T7" i="42"/>
  <c r="S7" i="42"/>
  <c r="R7" i="42"/>
  <c r="Q7" i="42"/>
  <c r="P7" i="42"/>
  <c r="O7" i="42"/>
  <c r="N7" i="42"/>
  <c r="M7" i="42"/>
  <c r="L7" i="42"/>
  <c r="K7" i="42"/>
  <c r="J7" i="42"/>
  <c r="I7" i="42"/>
  <c r="H7" i="42"/>
  <c r="G7" i="42"/>
  <c r="F7" i="42"/>
  <c r="E7" i="42"/>
  <c r="CZ6" i="42"/>
  <c r="CY6" i="42"/>
  <c r="CX6" i="42"/>
  <c r="CW6" i="42"/>
  <c r="CV6" i="42"/>
  <c r="CT6" i="42"/>
  <c r="CS6" i="42"/>
  <c r="CR6" i="42"/>
  <c r="CQ6" i="42"/>
  <c r="CQ47" i="42"/>
  <c r="CP6" i="42"/>
  <c r="CO6" i="42"/>
  <c r="CN6" i="42"/>
  <c r="CM6" i="42"/>
  <c r="CL6" i="42"/>
  <c r="CK6" i="42"/>
  <c r="CJ6" i="42"/>
  <c r="CI6" i="42"/>
  <c r="CH6" i="42"/>
  <c r="CG6" i="42"/>
  <c r="CF6" i="42"/>
  <c r="CE6" i="42"/>
  <c r="CE47" i="42"/>
  <c r="BZ6" i="42"/>
  <c r="BY6" i="42"/>
  <c r="BX6" i="42"/>
  <c r="BW6" i="42"/>
  <c r="BV6" i="42"/>
  <c r="BT6" i="42"/>
  <c r="BS6" i="42"/>
  <c r="BR6" i="42"/>
  <c r="BR47" i="42"/>
  <c r="BQ6" i="42"/>
  <c r="BP6" i="42"/>
  <c r="BO6" i="42"/>
  <c r="BN6" i="42"/>
  <c r="BM6" i="42"/>
  <c r="BL6" i="42"/>
  <c r="BK6" i="42"/>
  <c r="BJ6" i="42"/>
  <c r="BI6" i="42"/>
  <c r="BH6" i="42"/>
  <c r="BG6" i="42"/>
  <c r="BF6" i="42"/>
  <c r="BF47" i="42"/>
  <c r="BE6" i="42"/>
  <c r="AZ6" i="42"/>
  <c r="AY6" i="42"/>
  <c r="AX6" i="42"/>
  <c r="AW6" i="42"/>
  <c r="AV6" i="42"/>
  <c r="AT6" i="42"/>
  <c r="AS6" i="42"/>
  <c r="AS47" i="42"/>
  <c r="AR6" i="42"/>
  <c r="AQ6" i="42"/>
  <c r="AP6" i="42"/>
  <c r="AO6" i="42"/>
  <c r="AN6" i="42"/>
  <c r="AM6" i="42"/>
  <c r="AL6" i="42"/>
  <c r="AK6" i="42"/>
  <c r="AJ6" i="42"/>
  <c r="AI6" i="42"/>
  <c r="AH6" i="42"/>
  <c r="AG6" i="42"/>
  <c r="AG47" i="42"/>
  <c r="AF6" i="42"/>
  <c r="AE6" i="42"/>
  <c r="Z6" i="42"/>
  <c r="Y6" i="42"/>
  <c r="X6" i="42"/>
  <c r="W6" i="42"/>
  <c r="V6" i="42"/>
  <c r="T6" i="42"/>
  <c r="T47" i="42"/>
  <c r="S6" i="42"/>
  <c r="R6" i="42"/>
  <c r="Q6" i="42"/>
  <c r="P6" i="42"/>
  <c r="O6" i="42"/>
  <c r="N6" i="42"/>
  <c r="M6" i="42"/>
  <c r="L6" i="42"/>
  <c r="K6" i="42"/>
  <c r="J6" i="42"/>
  <c r="I6" i="42"/>
  <c r="H6" i="42"/>
  <c r="H47" i="42"/>
  <c r="G6" i="42"/>
  <c r="F6" i="42"/>
  <c r="E6" i="42"/>
  <c r="CZ5" i="42"/>
  <c r="CY5" i="42"/>
  <c r="CX5" i="42"/>
  <c r="CW5" i="42"/>
  <c r="CV5" i="42"/>
  <c r="CT5" i="42"/>
  <c r="CS5" i="42"/>
  <c r="CR5" i="42"/>
  <c r="CQ5" i="42"/>
  <c r="CP5" i="42"/>
  <c r="CO5" i="42"/>
  <c r="CN5" i="42"/>
  <c r="CM5" i="42"/>
  <c r="CL5" i="42"/>
  <c r="CK5" i="42"/>
  <c r="CJ5" i="42"/>
  <c r="CI5" i="42"/>
  <c r="CI67" i="42"/>
  <c r="CH5" i="42"/>
  <c r="CG5" i="42"/>
  <c r="CF5" i="42"/>
  <c r="CE5" i="42"/>
  <c r="BZ5" i="42"/>
  <c r="BY5" i="42"/>
  <c r="BX5" i="42"/>
  <c r="BW5" i="42"/>
  <c r="BV5" i="42"/>
  <c r="BT5" i="42"/>
  <c r="BS5" i="42"/>
  <c r="BR5" i="42"/>
  <c r="BQ5" i="42"/>
  <c r="BP5" i="42"/>
  <c r="BO5" i="42"/>
  <c r="BN5" i="42"/>
  <c r="BM5" i="42"/>
  <c r="BL5" i="42"/>
  <c r="BK5" i="42"/>
  <c r="BJ5" i="42"/>
  <c r="BI5" i="42"/>
  <c r="BH5" i="42"/>
  <c r="BG5" i="42"/>
  <c r="BF5" i="42"/>
  <c r="BE5" i="42"/>
  <c r="AZ5" i="42"/>
  <c r="AY5" i="42"/>
  <c r="AX5" i="42"/>
  <c r="AW5" i="42"/>
  <c r="AV5" i="42"/>
  <c r="AT5" i="42"/>
  <c r="AS5" i="42"/>
  <c r="AR5" i="42"/>
  <c r="AQ5" i="42"/>
  <c r="AP5" i="42"/>
  <c r="AO5" i="42"/>
  <c r="AN5" i="42"/>
  <c r="AM5" i="42"/>
  <c r="AL5" i="42"/>
  <c r="AK5" i="42"/>
  <c r="AJ5" i="42"/>
  <c r="AI5" i="42"/>
  <c r="AH5" i="42"/>
  <c r="AG5" i="42"/>
  <c r="AF5" i="42"/>
  <c r="AE5" i="42"/>
  <c r="Z5" i="42"/>
  <c r="Y5" i="42"/>
  <c r="X5" i="42"/>
  <c r="W5" i="42"/>
  <c r="V5" i="42"/>
  <c r="T5" i="42"/>
  <c r="S5" i="42"/>
  <c r="R5" i="42"/>
  <c r="Q5" i="42"/>
  <c r="P5" i="42"/>
  <c r="O5" i="42"/>
  <c r="N5" i="42"/>
  <c r="M5" i="42"/>
  <c r="L5" i="42"/>
  <c r="K5" i="42"/>
  <c r="J5" i="42"/>
  <c r="I5" i="42"/>
  <c r="H5" i="42"/>
  <c r="G5" i="42"/>
  <c r="F5" i="42"/>
  <c r="E5" i="42"/>
  <c r="CZ4" i="42"/>
  <c r="CY4" i="42"/>
  <c r="CY40" i="42"/>
  <c r="CX4" i="42"/>
  <c r="CW4" i="42"/>
  <c r="CV4" i="42"/>
  <c r="CT4" i="42"/>
  <c r="CS4" i="42"/>
  <c r="CR4" i="42"/>
  <c r="CQ4" i="42"/>
  <c r="CP4" i="42"/>
  <c r="CO4" i="42"/>
  <c r="CN4" i="42"/>
  <c r="CM4" i="42"/>
  <c r="CM40" i="42"/>
  <c r="CL4" i="42"/>
  <c r="CK4" i="42"/>
  <c r="CJ4" i="42"/>
  <c r="CI4" i="42"/>
  <c r="CH4" i="42"/>
  <c r="CG4" i="42"/>
  <c r="CF4" i="42"/>
  <c r="CE4" i="42"/>
  <c r="BZ4" i="42"/>
  <c r="BZ40" i="42"/>
  <c r="BY4" i="42"/>
  <c r="BX4" i="42"/>
  <c r="BW4" i="42"/>
  <c r="BV4" i="42"/>
  <c r="BU40" i="42"/>
  <c r="BT4" i="42"/>
  <c r="BS4" i="42"/>
  <c r="BR4" i="42"/>
  <c r="BQ4" i="42"/>
  <c r="BP4" i="42"/>
  <c r="BO4" i="42"/>
  <c r="BN4" i="42"/>
  <c r="BN40" i="42"/>
  <c r="BM4" i="42"/>
  <c r="BL4" i="42"/>
  <c r="BK4" i="42"/>
  <c r="BJ4" i="42"/>
  <c r="BI4" i="42"/>
  <c r="BH4" i="42"/>
  <c r="BG4" i="42"/>
  <c r="BF4" i="42"/>
  <c r="BE4" i="42"/>
  <c r="AZ4" i="42"/>
  <c r="AY4" i="42"/>
  <c r="AX4" i="42"/>
  <c r="AW4" i="42"/>
  <c r="AV4" i="42"/>
  <c r="AT4" i="42"/>
  <c r="AS4" i="42"/>
  <c r="AR4" i="42"/>
  <c r="AQ4" i="42"/>
  <c r="AP4" i="42"/>
  <c r="AO4" i="42"/>
  <c r="AO40" i="42"/>
  <c r="AN4" i="42"/>
  <c r="AM4" i="42"/>
  <c r="AL4" i="42"/>
  <c r="AK4" i="42"/>
  <c r="AJ4" i="42"/>
  <c r="AI4" i="42"/>
  <c r="AH4" i="42"/>
  <c r="AG4" i="42"/>
  <c r="AF4" i="42"/>
  <c r="AE4" i="42"/>
  <c r="AB40" i="42"/>
  <c r="Z4" i="42"/>
  <c r="Y4" i="42"/>
  <c r="X4" i="42"/>
  <c r="W4" i="42"/>
  <c r="V4" i="42"/>
  <c r="T4" i="42"/>
  <c r="S4" i="42"/>
  <c r="R4" i="42"/>
  <c r="Q4" i="42"/>
  <c r="P4" i="42"/>
  <c r="P40" i="42"/>
  <c r="O4" i="42"/>
  <c r="N4" i="42"/>
  <c r="M4" i="42"/>
  <c r="L4" i="42"/>
  <c r="K4" i="42"/>
  <c r="J4" i="42"/>
  <c r="I4" i="42"/>
  <c r="H4" i="42"/>
  <c r="G4" i="42"/>
  <c r="F4" i="42"/>
  <c r="E4" i="42"/>
  <c r="CZ3" i="42"/>
  <c r="CY3" i="42"/>
  <c r="CX3" i="42"/>
  <c r="CW3" i="42"/>
  <c r="CV3" i="42"/>
  <c r="CT3" i="42"/>
  <c r="CS3" i="42"/>
  <c r="CR3" i="42"/>
  <c r="CQ3" i="42"/>
  <c r="CQ32" i="42"/>
  <c r="CP3" i="42"/>
  <c r="CO3" i="42"/>
  <c r="CN3" i="42"/>
  <c r="CM3" i="42"/>
  <c r="CL3" i="42"/>
  <c r="CK3" i="42"/>
  <c r="CJ3" i="42"/>
  <c r="CI3" i="42"/>
  <c r="CH3" i="42"/>
  <c r="CG3" i="42"/>
  <c r="CF3" i="42"/>
  <c r="CE3" i="42"/>
  <c r="CE32" i="42"/>
  <c r="BZ3" i="42"/>
  <c r="BY3" i="42"/>
  <c r="BX3" i="42"/>
  <c r="BW3" i="42"/>
  <c r="BV3" i="42"/>
  <c r="BT3" i="42"/>
  <c r="BS3" i="42"/>
  <c r="BR3" i="42"/>
  <c r="BR32" i="42"/>
  <c r="BQ3" i="42"/>
  <c r="BP3" i="42"/>
  <c r="BO3" i="42"/>
  <c r="BN3" i="42"/>
  <c r="BM3" i="42"/>
  <c r="BL3" i="42"/>
  <c r="BK3" i="42"/>
  <c r="BJ3" i="42"/>
  <c r="BI3" i="42"/>
  <c r="BH3" i="42"/>
  <c r="BG3" i="42"/>
  <c r="BF3" i="42"/>
  <c r="BF32" i="42"/>
  <c r="BE3" i="42"/>
  <c r="AZ3" i="42"/>
  <c r="AY3" i="42"/>
  <c r="AX3" i="42"/>
  <c r="AW3" i="42"/>
  <c r="AV3" i="42"/>
  <c r="AT3" i="42"/>
  <c r="AS3" i="42"/>
  <c r="AS32" i="42"/>
  <c r="AR3" i="42"/>
  <c r="AQ3" i="42"/>
  <c r="AP3" i="42"/>
  <c r="AO3" i="42"/>
  <c r="AN3" i="42"/>
  <c r="AM3" i="42"/>
  <c r="AL3" i="42"/>
  <c r="AK3" i="42"/>
  <c r="AJ3" i="42"/>
  <c r="AI3" i="42"/>
  <c r="AH3" i="42"/>
  <c r="AG3" i="42"/>
  <c r="AG32" i="42"/>
  <c r="AF3" i="42"/>
  <c r="AE3" i="42"/>
  <c r="Z3" i="42"/>
  <c r="Y3" i="42"/>
  <c r="X3" i="42"/>
  <c r="W3" i="42"/>
  <c r="V3" i="42"/>
  <c r="T3" i="42"/>
  <c r="T32" i="42"/>
  <c r="S3" i="42"/>
  <c r="R3" i="42"/>
  <c r="Q3" i="42"/>
  <c r="P3" i="42"/>
  <c r="O3" i="42"/>
  <c r="N3" i="42"/>
  <c r="M3" i="42"/>
  <c r="L3" i="42"/>
  <c r="L32" i="42"/>
  <c r="K3" i="42"/>
  <c r="J3" i="42"/>
  <c r="I3" i="42"/>
  <c r="H3" i="42"/>
  <c r="H32" i="42"/>
  <c r="G3" i="42"/>
  <c r="F3" i="42"/>
  <c r="E3" i="42"/>
  <c r="CZ2" i="42"/>
  <c r="CY2" i="42"/>
  <c r="CX2" i="42"/>
  <c r="CW2" i="42"/>
  <c r="CV2" i="42"/>
  <c r="CT2" i="42"/>
  <c r="CS2" i="42"/>
  <c r="CR2" i="42"/>
  <c r="CQ2" i="42"/>
  <c r="CP2" i="42"/>
  <c r="CO2" i="42"/>
  <c r="CN2" i="42"/>
  <c r="CM2" i="42"/>
  <c r="CL2" i="42"/>
  <c r="CK2" i="42"/>
  <c r="CJ2" i="42"/>
  <c r="CI2" i="42"/>
  <c r="CI38" i="42"/>
  <c r="CH2" i="42"/>
  <c r="CG2" i="42"/>
  <c r="CF2" i="42"/>
  <c r="CE2" i="42"/>
  <c r="BZ2" i="42"/>
  <c r="BY2" i="42"/>
  <c r="BY38" i="42"/>
  <c r="BX2" i="42"/>
  <c r="BW2" i="42"/>
  <c r="BV2" i="42"/>
  <c r="BT2" i="42"/>
  <c r="BS2" i="42"/>
  <c r="BR2" i="42"/>
  <c r="BQ2" i="42"/>
  <c r="BP2" i="42"/>
  <c r="BO2" i="42"/>
  <c r="BN2" i="42"/>
  <c r="BM2" i="42"/>
  <c r="BL2" i="42"/>
  <c r="BK2" i="42"/>
  <c r="BJ2" i="42"/>
  <c r="BJ38" i="42"/>
  <c r="BI2" i="42"/>
  <c r="BH2" i="42"/>
  <c r="BG2" i="42"/>
  <c r="BF2" i="42"/>
  <c r="BE2" i="42"/>
  <c r="AZ2" i="42"/>
  <c r="AY2" i="42"/>
  <c r="AX2" i="42"/>
  <c r="AW2" i="42"/>
  <c r="AW38" i="42"/>
  <c r="AV2" i="42"/>
  <c r="AT2" i="42"/>
  <c r="AS2" i="42"/>
  <c r="AR2" i="42"/>
  <c r="AQ2" i="42"/>
  <c r="AP2" i="42"/>
  <c r="AO2" i="42"/>
  <c r="AN2" i="42"/>
  <c r="AM2" i="42"/>
  <c r="AL2" i="42"/>
  <c r="AK2" i="42"/>
  <c r="AK38" i="42"/>
  <c r="AJ2" i="42"/>
  <c r="AI2" i="42"/>
  <c r="AH2" i="42"/>
  <c r="AG2" i="42"/>
  <c r="AF2" i="42"/>
  <c r="AE2" i="42"/>
  <c r="Z2" i="42"/>
  <c r="Y2" i="42"/>
  <c r="X2" i="42"/>
  <c r="X38" i="42"/>
  <c r="W2" i="42"/>
  <c r="V2" i="42"/>
  <c r="T2" i="42"/>
  <c r="S2" i="42"/>
  <c r="R2" i="42"/>
  <c r="Q2" i="42"/>
  <c r="P2" i="42"/>
  <c r="O2" i="42"/>
  <c r="N2" i="42"/>
  <c r="M2" i="42"/>
  <c r="L2" i="42"/>
  <c r="L38" i="42"/>
  <c r="K2" i="42"/>
  <c r="J2" i="42"/>
  <c r="I2" i="42"/>
  <c r="H2" i="42"/>
  <c r="G2" i="42"/>
  <c r="F2" i="42"/>
  <c r="E2" i="42"/>
  <c r="BQ35" i="42"/>
  <c r="BE35" i="42"/>
  <c r="R35" i="42"/>
  <c r="F35" i="42"/>
  <c r="BU43" i="42"/>
  <c r="BI43" i="42"/>
  <c r="V43" i="42"/>
  <c r="J43" i="42"/>
  <c r="Z36" i="42"/>
  <c r="BS49" i="42"/>
  <c r="BG49" i="42"/>
  <c r="T49" i="42"/>
  <c r="H49" i="42"/>
  <c r="BU37" i="42"/>
  <c r="BI37" i="42"/>
  <c r="V37" i="42"/>
  <c r="J37" i="42"/>
  <c r="CA42" i="42"/>
  <c r="BO42" i="42"/>
  <c r="V72" i="42"/>
  <c r="BW44" i="42"/>
  <c r="BK44" i="42"/>
  <c r="X44" i="42"/>
  <c r="L44" i="42"/>
  <c r="BY34" i="42"/>
  <c r="BM34" i="42"/>
  <c r="Z34" i="42"/>
  <c r="N34" i="42"/>
  <c r="CA33" i="42"/>
  <c r="BO33" i="42"/>
  <c r="BS39" i="42"/>
  <c r="BG39" i="42"/>
  <c r="T39" i="42"/>
  <c r="H39" i="42"/>
  <c r="BU46" i="42"/>
  <c r="BI46" i="42"/>
  <c r="V46" i="42"/>
  <c r="J46" i="42"/>
  <c r="BY41" i="42"/>
  <c r="BM41" i="42"/>
  <c r="Z41" i="42"/>
  <c r="N41" i="42"/>
  <c r="BQ47" i="42"/>
  <c r="BE47" i="42"/>
  <c r="R47" i="42"/>
  <c r="F47" i="42"/>
  <c r="BI40" i="42"/>
  <c r="V40" i="42"/>
  <c r="J40" i="42"/>
  <c r="BW32" i="42"/>
  <c r="BK32" i="42"/>
  <c r="X32" i="42"/>
  <c r="BM38" i="42"/>
  <c r="CZ76" i="42"/>
  <c r="CY76" i="42"/>
  <c r="CX76" i="42"/>
  <c r="CW76" i="42"/>
  <c r="CV76" i="42"/>
  <c r="CT76" i="42"/>
  <c r="CS76" i="42"/>
  <c r="CR76" i="42"/>
  <c r="CQ76" i="42"/>
  <c r="CP76" i="42"/>
  <c r="CO76" i="42"/>
  <c r="CN76" i="42"/>
  <c r="CM76" i="42"/>
  <c r="CL76" i="42"/>
  <c r="CK76" i="42"/>
  <c r="CJ76" i="42"/>
  <c r="CI76" i="42"/>
  <c r="CH76" i="42"/>
  <c r="CG76" i="42"/>
  <c r="CF76" i="42"/>
  <c r="CE76" i="42"/>
  <c r="AZ76" i="42"/>
  <c r="AY76" i="42"/>
  <c r="AX76" i="42"/>
  <c r="AW76" i="42"/>
  <c r="AV76" i="42"/>
  <c r="AT76" i="42"/>
  <c r="AS76" i="42"/>
  <c r="AR76" i="42"/>
  <c r="AQ76" i="42"/>
  <c r="AP76" i="42"/>
  <c r="AO76" i="42"/>
  <c r="AN76" i="42"/>
  <c r="AM76" i="42"/>
  <c r="AL76" i="42"/>
  <c r="AK76" i="42"/>
  <c r="AJ76" i="42"/>
  <c r="AI76" i="42"/>
  <c r="AH76" i="42"/>
  <c r="AG76" i="42"/>
  <c r="AF76" i="42"/>
  <c r="AE76" i="42"/>
  <c r="CZ75" i="42"/>
  <c r="CY75" i="42"/>
  <c r="CX75" i="42"/>
  <c r="CW75" i="42"/>
  <c r="CV75" i="42"/>
  <c r="CT75" i="42"/>
  <c r="CS75" i="42"/>
  <c r="CR75" i="42"/>
  <c r="CP75" i="42"/>
  <c r="CO75" i="42"/>
  <c r="CN75" i="42"/>
  <c r="CM75" i="42"/>
  <c r="CL75" i="42"/>
  <c r="CK75" i="42"/>
  <c r="CJ75" i="42"/>
  <c r="CI75" i="42"/>
  <c r="CH75" i="42"/>
  <c r="CG75" i="42"/>
  <c r="CF75" i="42"/>
  <c r="AZ75" i="42"/>
  <c r="AY75" i="42"/>
  <c r="AX75" i="42"/>
  <c r="AW75" i="42"/>
  <c r="AV75" i="42"/>
  <c r="AT75" i="42"/>
  <c r="AS75" i="42"/>
  <c r="AR75" i="42"/>
  <c r="AQ75" i="42"/>
  <c r="AP75" i="42"/>
  <c r="AO75" i="42"/>
  <c r="AN75" i="42"/>
  <c r="AM75" i="42"/>
  <c r="AL75" i="42"/>
  <c r="AK75" i="42"/>
  <c r="AJ75" i="42"/>
  <c r="AI75" i="42"/>
  <c r="AH75" i="42"/>
  <c r="AG75" i="42"/>
  <c r="AF75" i="42"/>
  <c r="AE75" i="42"/>
  <c r="CZ74" i="42"/>
  <c r="CY74" i="42"/>
  <c r="CX74" i="42"/>
  <c r="CW74" i="42"/>
  <c r="CV74" i="42"/>
  <c r="CT74" i="42"/>
  <c r="CS74" i="42"/>
  <c r="CR74" i="42"/>
  <c r="CP74" i="42"/>
  <c r="CO74" i="42"/>
  <c r="CN74" i="42"/>
  <c r="CM74" i="42"/>
  <c r="CL74" i="42"/>
  <c r="CK74" i="42"/>
  <c r="CJ74" i="42"/>
  <c r="CI74" i="42"/>
  <c r="CH74" i="42"/>
  <c r="CG74" i="42"/>
  <c r="CF74" i="42"/>
  <c r="AZ74" i="42"/>
  <c r="AY74" i="42"/>
  <c r="AX74" i="42"/>
  <c r="AW74" i="42"/>
  <c r="AV74" i="42"/>
  <c r="AT74" i="42"/>
  <c r="AS74" i="42"/>
  <c r="AR74" i="42"/>
  <c r="AQ74" i="42"/>
  <c r="AP74" i="42"/>
  <c r="AO74" i="42"/>
  <c r="AN74" i="42"/>
  <c r="AM74" i="42"/>
  <c r="AL74" i="42"/>
  <c r="AK74" i="42"/>
  <c r="AJ74" i="42"/>
  <c r="AI74" i="42"/>
  <c r="AH74" i="42"/>
  <c r="AG74" i="42"/>
  <c r="AF74" i="42"/>
  <c r="AE74" i="42"/>
  <c r="CZ73" i="42"/>
  <c r="CX73" i="42"/>
  <c r="CW73" i="42"/>
  <c r="CV73" i="42"/>
  <c r="CT73" i="42"/>
  <c r="CS73" i="42"/>
  <c r="CR73" i="42"/>
  <c r="CQ73" i="42"/>
  <c r="CP73" i="42"/>
  <c r="CO73" i="42"/>
  <c r="CN73" i="42"/>
  <c r="CL73" i="42"/>
  <c r="CK73" i="42"/>
  <c r="CJ73" i="42"/>
  <c r="CI73" i="42"/>
  <c r="CH73" i="42"/>
  <c r="CG73" i="42"/>
  <c r="CF73" i="42"/>
  <c r="CE73" i="42"/>
  <c r="AZ73" i="42"/>
  <c r="AY73" i="42"/>
  <c r="AX73" i="42"/>
  <c r="AW73" i="42"/>
  <c r="AV73" i="42"/>
  <c r="AT73" i="42"/>
  <c r="AS73" i="42"/>
  <c r="AR73" i="42"/>
  <c r="AQ73" i="42"/>
  <c r="AP73" i="42"/>
  <c r="AO73" i="42"/>
  <c r="AN73" i="42"/>
  <c r="AM73" i="42"/>
  <c r="AL73" i="42"/>
  <c r="AK73" i="42"/>
  <c r="AJ73" i="42"/>
  <c r="AI73" i="42"/>
  <c r="AH73" i="42"/>
  <c r="AG73" i="42"/>
  <c r="AF73" i="42"/>
  <c r="AE73" i="42"/>
  <c r="CZ72" i="42"/>
  <c r="CY72" i="42"/>
  <c r="CX72" i="42"/>
  <c r="CW72" i="42"/>
  <c r="CV72" i="42"/>
  <c r="CT72" i="42"/>
  <c r="CS72" i="42"/>
  <c r="CR72" i="42"/>
  <c r="CQ72" i="42"/>
  <c r="CP72" i="42"/>
  <c r="CO72" i="42"/>
  <c r="CN72" i="42"/>
  <c r="CM72" i="42"/>
  <c r="CL72" i="42"/>
  <c r="CK72" i="42"/>
  <c r="CJ72" i="42"/>
  <c r="CI72" i="42"/>
  <c r="CH72" i="42"/>
  <c r="CG72" i="42"/>
  <c r="CF72" i="42"/>
  <c r="CE72" i="42"/>
  <c r="AZ72" i="42"/>
  <c r="AY72" i="42"/>
  <c r="AX72" i="42"/>
  <c r="AW72" i="42"/>
  <c r="AV72" i="42"/>
  <c r="AT72" i="42"/>
  <c r="AS72" i="42"/>
  <c r="AR72" i="42"/>
  <c r="AQ72" i="42"/>
  <c r="AP72" i="42"/>
  <c r="AO72" i="42"/>
  <c r="AN72" i="42"/>
  <c r="AM72" i="42"/>
  <c r="AL72" i="42"/>
  <c r="AK72" i="42"/>
  <c r="AJ72" i="42"/>
  <c r="AI72" i="42"/>
  <c r="AH72" i="42"/>
  <c r="AG72" i="42"/>
  <c r="AF72" i="42"/>
  <c r="AE72" i="42"/>
  <c r="CZ71" i="42"/>
  <c r="CY71" i="42"/>
  <c r="CX71" i="42"/>
  <c r="CW71" i="42"/>
  <c r="CV71" i="42"/>
  <c r="CT71" i="42"/>
  <c r="CS71" i="42"/>
  <c r="CR71" i="42"/>
  <c r="CQ71" i="42"/>
  <c r="CP71" i="42"/>
  <c r="CO71" i="42"/>
  <c r="CN71" i="42"/>
  <c r="CM71" i="42"/>
  <c r="CL71" i="42"/>
  <c r="CK71" i="42"/>
  <c r="CJ71" i="42"/>
  <c r="CH71" i="42"/>
  <c r="CG71" i="42"/>
  <c r="CF71" i="42"/>
  <c r="CE71" i="42"/>
  <c r="AZ71" i="42"/>
  <c r="AY71" i="42"/>
  <c r="AX71" i="42"/>
  <c r="AW71" i="42"/>
  <c r="AV71" i="42"/>
  <c r="AT71" i="42"/>
  <c r="AS71" i="42"/>
  <c r="AR71" i="42"/>
  <c r="AQ71" i="42"/>
  <c r="AP71" i="42"/>
  <c r="AO71" i="42"/>
  <c r="AN71" i="42"/>
  <c r="AM71" i="42"/>
  <c r="AL71" i="42"/>
  <c r="AK71" i="42"/>
  <c r="AJ71" i="42"/>
  <c r="AI71" i="42"/>
  <c r="AH71" i="42"/>
  <c r="AG71" i="42"/>
  <c r="AF71" i="42"/>
  <c r="AE71" i="42"/>
  <c r="CZ70" i="42"/>
  <c r="CY70" i="42"/>
  <c r="CX70" i="42"/>
  <c r="CW70" i="42"/>
  <c r="CV70" i="42"/>
  <c r="CT70" i="42"/>
  <c r="CS70" i="42"/>
  <c r="CR70" i="42"/>
  <c r="CQ70" i="42"/>
  <c r="CP70" i="42"/>
  <c r="CO70" i="42"/>
  <c r="CN70" i="42"/>
  <c r="CM70" i="42"/>
  <c r="CL70" i="42"/>
  <c r="CK70" i="42"/>
  <c r="CJ70" i="42"/>
  <c r="CH70" i="42"/>
  <c r="CG70" i="42"/>
  <c r="CF70" i="42"/>
  <c r="CE70" i="42"/>
  <c r="AZ70" i="42"/>
  <c r="AY70" i="42"/>
  <c r="AX70" i="42"/>
  <c r="AW70" i="42"/>
  <c r="AV70" i="42"/>
  <c r="AT70" i="42"/>
  <c r="AS70" i="42"/>
  <c r="AR70" i="42"/>
  <c r="AQ70" i="42"/>
  <c r="AP70" i="42"/>
  <c r="AO70" i="42"/>
  <c r="AN70" i="42"/>
  <c r="AM70" i="42"/>
  <c r="AL70" i="42"/>
  <c r="AK70" i="42"/>
  <c r="AJ70" i="42"/>
  <c r="AI70" i="42"/>
  <c r="AH70" i="42"/>
  <c r="AG70" i="42"/>
  <c r="AF70" i="42"/>
  <c r="AE70" i="42"/>
  <c r="CZ69" i="42"/>
  <c r="CY69" i="42"/>
  <c r="CX69" i="42"/>
  <c r="CW69" i="42"/>
  <c r="CV69" i="42"/>
  <c r="CT69" i="42"/>
  <c r="CS69" i="42"/>
  <c r="CR69" i="42"/>
  <c r="CP69" i="42"/>
  <c r="CO69" i="42"/>
  <c r="CN69" i="42"/>
  <c r="CM69" i="42"/>
  <c r="CL69" i="42"/>
  <c r="CK69" i="42"/>
  <c r="CJ69" i="42"/>
  <c r="CI69" i="42"/>
  <c r="CH69" i="42"/>
  <c r="CG69" i="42"/>
  <c r="CF69" i="42"/>
  <c r="AZ69" i="42"/>
  <c r="AY69" i="42"/>
  <c r="AX69" i="42"/>
  <c r="AW69" i="42"/>
  <c r="AV69" i="42"/>
  <c r="AT69" i="42"/>
  <c r="AS69" i="42"/>
  <c r="AR69" i="42"/>
  <c r="AQ69" i="42"/>
  <c r="AP69" i="42"/>
  <c r="AO69" i="42"/>
  <c r="AN69" i="42"/>
  <c r="AM69" i="42"/>
  <c r="AL69" i="42"/>
  <c r="AK69" i="42"/>
  <c r="AJ69" i="42"/>
  <c r="AI69" i="42"/>
  <c r="AH69" i="42"/>
  <c r="AG69" i="42"/>
  <c r="AF69" i="42"/>
  <c r="AE69" i="42"/>
  <c r="CZ68" i="42"/>
  <c r="CY68" i="42"/>
  <c r="CX68" i="42"/>
  <c r="CW68" i="42"/>
  <c r="CV68" i="42"/>
  <c r="CT68" i="42"/>
  <c r="CS68" i="42"/>
  <c r="CR68" i="42"/>
  <c r="CP68" i="42"/>
  <c r="CO68" i="42"/>
  <c r="CN68" i="42"/>
  <c r="CM68" i="42"/>
  <c r="CL68" i="42"/>
  <c r="CK68" i="42"/>
  <c r="CJ68" i="42"/>
  <c r="CI68" i="42"/>
  <c r="CH68" i="42"/>
  <c r="CG68" i="42"/>
  <c r="CF68" i="42"/>
  <c r="AZ68" i="42"/>
  <c r="AY68" i="42"/>
  <c r="AX68" i="42"/>
  <c r="AW68" i="42"/>
  <c r="AV68" i="42"/>
  <c r="AT68" i="42"/>
  <c r="AS68" i="42"/>
  <c r="AR68" i="42"/>
  <c r="AQ68" i="42"/>
  <c r="AP68" i="42"/>
  <c r="AO68" i="42"/>
  <c r="AN68" i="42"/>
  <c r="AM68" i="42"/>
  <c r="AL68" i="42"/>
  <c r="AK68" i="42"/>
  <c r="AJ68" i="42"/>
  <c r="AI68" i="42"/>
  <c r="AH68" i="42"/>
  <c r="AG68" i="42"/>
  <c r="AF68" i="42"/>
  <c r="AE68" i="42"/>
  <c r="CZ67" i="42"/>
  <c r="CY67" i="42"/>
  <c r="CX67" i="42"/>
  <c r="CW67" i="42"/>
  <c r="CV67" i="42"/>
  <c r="CT67" i="42"/>
  <c r="CS67" i="42"/>
  <c r="CR67" i="42"/>
  <c r="CQ67" i="42"/>
  <c r="CP67" i="42"/>
  <c r="CO67" i="42"/>
  <c r="CN67" i="42"/>
  <c r="CM67" i="42"/>
  <c r="CL67" i="42"/>
  <c r="CK67" i="42"/>
  <c r="CJ67" i="42"/>
  <c r="CH67" i="42"/>
  <c r="CG67" i="42"/>
  <c r="CF67" i="42"/>
  <c r="CE67" i="42"/>
  <c r="AZ67" i="42"/>
  <c r="AY67" i="42"/>
  <c r="AX67" i="42"/>
  <c r="AW67" i="42"/>
  <c r="AV67" i="42"/>
  <c r="AT67" i="42"/>
  <c r="AS67" i="42"/>
  <c r="AR67" i="42"/>
  <c r="AQ67" i="42"/>
  <c r="AP67" i="42"/>
  <c r="AO67" i="42"/>
  <c r="AN67" i="42"/>
  <c r="AM67" i="42"/>
  <c r="AL67" i="42"/>
  <c r="AK67" i="42"/>
  <c r="AJ67" i="42"/>
  <c r="AI67" i="42"/>
  <c r="AH67" i="42"/>
  <c r="AG67" i="42"/>
  <c r="AF67" i="42"/>
  <c r="AE67" i="42"/>
  <c r="CZ66" i="42"/>
  <c r="CY66" i="42"/>
  <c r="CX66" i="42"/>
  <c r="CW66" i="42"/>
  <c r="CV66" i="42"/>
  <c r="CT66" i="42"/>
  <c r="CS66" i="42"/>
  <c r="CR66" i="42"/>
  <c r="CQ66" i="42"/>
  <c r="CP66" i="42"/>
  <c r="CO66" i="42"/>
  <c r="CN66" i="42"/>
  <c r="CM66" i="42"/>
  <c r="CL66" i="42"/>
  <c r="CK66" i="42"/>
  <c r="CJ66" i="42"/>
  <c r="CH66" i="42"/>
  <c r="CG66" i="42"/>
  <c r="CF66" i="42"/>
  <c r="CE66" i="42"/>
  <c r="AZ66" i="42"/>
  <c r="AY66" i="42"/>
  <c r="AX66" i="42"/>
  <c r="AW66" i="42"/>
  <c r="AV66" i="42"/>
  <c r="AT66" i="42"/>
  <c r="AS66" i="42"/>
  <c r="AR66" i="42"/>
  <c r="AQ66" i="42"/>
  <c r="AP66" i="42"/>
  <c r="AO66" i="42"/>
  <c r="AN66" i="42"/>
  <c r="AM66" i="42"/>
  <c r="AL66" i="42"/>
  <c r="AK66" i="42"/>
  <c r="AJ66" i="42"/>
  <c r="AI66" i="42"/>
  <c r="AH66" i="42"/>
  <c r="AG66" i="42"/>
  <c r="AF66" i="42"/>
  <c r="AE66" i="42"/>
  <c r="CZ65" i="42"/>
  <c r="CY65" i="42"/>
  <c r="CX65" i="42"/>
  <c r="CW65" i="42"/>
  <c r="CV65" i="42"/>
  <c r="CT65" i="42"/>
  <c r="CS65" i="42"/>
  <c r="CR65" i="42"/>
  <c r="CP65" i="42"/>
  <c r="CO65" i="42"/>
  <c r="CN65" i="42"/>
  <c r="CM65" i="42"/>
  <c r="CL65" i="42"/>
  <c r="CK65" i="42"/>
  <c r="CJ65" i="42"/>
  <c r="CI65" i="42"/>
  <c r="CH65" i="42"/>
  <c r="CG65" i="42"/>
  <c r="CF65" i="42"/>
  <c r="AZ65" i="42"/>
  <c r="AY65" i="42"/>
  <c r="AX65" i="42"/>
  <c r="AW65" i="42"/>
  <c r="AV65" i="42"/>
  <c r="AT65" i="42"/>
  <c r="AS65" i="42"/>
  <c r="AR65" i="42"/>
  <c r="AQ65" i="42"/>
  <c r="AP65" i="42"/>
  <c r="AO65" i="42"/>
  <c r="AN65" i="42"/>
  <c r="AM65" i="42"/>
  <c r="AL65" i="42"/>
  <c r="AK65" i="42"/>
  <c r="AJ65" i="42"/>
  <c r="AI65" i="42"/>
  <c r="AH65" i="42"/>
  <c r="AG65" i="42"/>
  <c r="AF65" i="42"/>
  <c r="AE65" i="42"/>
  <c r="CZ64" i="42"/>
  <c r="CX64" i="42"/>
  <c r="CW64" i="42"/>
  <c r="CV64" i="42"/>
  <c r="CT64" i="42"/>
  <c r="CS64" i="42"/>
  <c r="CR64" i="42"/>
  <c r="CQ64" i="42"/>
  <c r="CP64" i="42"/>
  <c r="CO64" i="42"/>
  <c r="CN64" i="42"/>
  <c r="CL64" i="42"/>
  <c r="CK64" i="42"/>
  <c r="CJ64" i="42"/>
  <c r="CI64" i="42"/>
  <c r="CH64" i="42"/>
  <c r="CG64" i="42"/>
  <c r="CF64" i="42"/>
  <c r="CE64" i="42"/>
  <c r="AZ64" i="42"/>
  <c r="AY64" i="42"/>
  <c r="AX64" i="42"/>
  <c r="AW64" i="42"/>
  <c r="AV64" i="42"/>
  <c r="AT64" i="42"/>
  <c r="AS64" i="42"/>
  <c r="AR64" i="42"/>
  <c r="AQ64" i="42"/>
  <c r="AP64" i="42"/>
  <c r="AO64" i="42"/>
  <c r="AN64" i="42"/>
  <c r="AM64" i="42"/>
  <c r="AL64" i="42"/>
  <c r="AK64" i="42"/>
  <c r="AJ64" i="42"/>
  <c r="AI64" i="42"/>
  <c r="AH64" i="42"/>
  <c r="AG64" i="42"/>
  <c r="AF64" i="42"/>
  <c r="AE64" i="42"/>
  <c r="CZ62" i="42"/>
  <c r="CY62" i="42"/>
  <c r="CX62" i="42"/>
  <c r="CW62" i="42"/>
  <c r="CV62" i="42"/>
  <c r="CT62" i="42"/>
  <c r="CS62" i="42"/>
  <c r="CR62" i="42"/>
  <c r="CP62" i="42"/>
  <c r="CO62" i="42"/>
  <c r="CN62" i="42"/>
  <c r="CM62" i="42"/>
  <c r="CL62" i="42"/>
  <c r="CK62" i="42"/>
  <c r="CJ62" i="42"/>
  <c r="CI62" i="42"/>
  <c r="CH62" i="42"/>
  <c r="CG62" i="42"/>
  <c r="CF62" i="42"/>
  <c r="AZ62" i="42"/>
  <c r="AY62" i="42"/>
  <c r="AX62" i="42"/>
  <c r="AW62" i="42"/>
  <c r="AV62" i="42"/>
  <c r="AT62" i="42"/>
  <c r="AS62" i="42"/>
  <c r="AR62" i="42"/>
  <c r="AQ62" i="42"/>
  <c r="AP62" i="42"/>
  <c r="AO62" i="42"/>
  <c r="AN62" i="42"/>
  <c r="AM62" i="42"/>
  <c r="AL62" i="42"/>
  <c r="AK62" i="42"/>
  <c r="AJ62" i="42"/>
  <c r="AI62" i="42"/>
  <c r="AH62" i="42"/>
  <c r="AG62" i="42"/>
  <c r="AF62" i="42"/>
  <c r="AE62" i="42"/>
  <c r="CZ61" i="42"/>
  <c r="CY61" i="42"/>
  <c r="CX61" i="42"/>
  <c r="CW61" i="42"/>
  <c r="CV61" i="42"/>
  <c r="CT61" i="42"/>
  <c r="CS61" i="42"/>
  <c r="CR61" i="42"/>
  <c r="CP61" i="42"/>
  <c r="CO61" i="42"/>
  <c r="CN61" i="42"/>
  <c r="CM61" i="42"/>
  <c r="CL61" i="42"/>
  <c r="CK61" i="42"/>
  <c r="CJ61" i="42"/>
  <c r="CI61" i="42"/>
  <c r="CH61" i="42"/>
  <c r="CG61" i="42"/>
  <c r="CF61" i="42"/>
  <c r="AZ61" i="42"/>
  <c r="AY61" i="42"/>
  <c r="AX61" i="42"/>
  <c r="AW61" i="42"/>
  <c r="AV61" i="42"/>
  <c r="AT61" i="42"/>
  <c r="AS61" i="42"/>
  <c r="AR61" i="42"/>
  <c r="AQ61" i="42"/>
  <c r="AP61" i="42"/>
  <c r="AO61" i="42"/>
  <c r="AN61" i="42"/>
  <c r="AM61" i="42"/>
  <c r="AL61" i="42"/>
  <c r="AK61" i="42"/>
  <c r="AJ61" i="42"/>
  <c r="AI61" i="42"/>
  <c r="AH61" i="42"/>
  <c r="AG61" i="42"/>
  <c r="AF61" i="42"/>
  <c r="AE61" i="42"/>
  <c r="CZ60" i="42"/>
  <c r="CY60" i="42"/>
  <c r="CX60" i="42"/>
  <c r="CW60" i="42"/>
  <c r="CV60" i="42"/>
  <c r="CT60" i="42"/>
  <c r="CS60" i="42"/>
  <c r="CR60" i="42"/>
  <c r="CP60" i="42"/>
  <c r="CO60" i="42"/>
  <c r="CN60" i="42"/>
  <c r="CM60" i="42"/>
  <c r="CL60" i="42"/>
  <c r="CK60" i="42"/>
  <c r="CJ60" i="42"/>
  <c r="CI60" i="42"/>
  <c r="CH60" i="42"/>
  <c r="CG60" i="42"/>
  <c r="CF60" i="42"/>
  <c r="AZ60" i="42"/>
  <c r="AY60" i="42"/>
  <c r="AX60" i="42"/>
  <c r="AW60" i="42"/>
  <c r="AV60" i="42"/>
  <c r="AT60" i="42"/>
  <c r="AS60" i="42"/>
  <c r="AR60" i="42"/>
  <c r="AQ60" i="42"/>
  <c r="AP60" i="42"/>
  <c r="AO60" i="42"/>
  <c r="AN60" i="42"/>
  <c r="AM60" i="42"/>
  <c r="AL60" i="42"/>
  <c r="AK60" i="42"/>
  <c r="AJ60" i="42"/>
  <c r="AI60" i="42"/>
  <c r="AH60" i="42"/>
  <c r="AG60" i="42"/>
  <c r="AF60" i="42"/>
  <c r="AE60" i="42"/>
  <c r="CZ59" i="42"/>
  <c r="CY59" i="42"/>
  <c r="CX59" i="42"/>
  <c r="CW59" i="42"/>
  <c r="CV59" i="42"/>
  <c r="CT59" i="42"/>
  <c r="CS59" i="42"/>
  <c r="CR59" i="42"/>
  <c r="CQ59" i="42"/>
  <c r="CP59" i="42"/>
  <c r="CO59" i="42"/>
  <c r="CN59" i="42"/>
  <c r="CM59" i="42"/>
  <c r="CL59" i="42"/>
  <c r="CK59" i="42"/>
  <c r="CJ59" i="42"/>
  <c r="CI59" i="42"/>
  <c r="CH59" i="42"/>
  <c r="CG59" i="42"/>
  <c r="CF59" i="42"/>
  <c r="CE59" i="42"/>
  <c r="AZ59" i="42"/>
  <c r="AY59" i="42"/>
  <c r="AX59" i="42"/>
  <c r="AW59" i="42"/>
  <c r="AV59" i="42"/>
  <c r="AT59" i="42"/>
  <c r="AS59" i="42"/>
  <c r="AR59" i="42"/>
  <c r="AQ59" i="42"/>
  <c r="AP59" i="42"/>
  <c r="AO59" i="42"/>
  <c r="AN59" i="42"/>
  <c r="AM59" i="42"/>
  <c r="AL59" i="42"/>
  <c r="AK59" i="42"/>
  <c r="AJ59" i="42"/>
  <c r="AI59" i="42"/>
  <c r="AH59" i="42"/>
  <c r="AG59" i="42"/>
  <c r="AF59" i="42"/>
  <c r="AE59" i="42"/>
  <c r="CZ58" i="42"/>
  <c r="CX58" i="42"/>
  <c r="CW58" i="42"/>
  <c r="CV58" i="42"/>
  <c r="CT58" i="42"/>
  <c r="CS58" i="42"/>
  <c r="CR58" i="42"/>
  <c r="CQ58" i="42"/>
  <c r="CP58" i="42"/>
  <c r="CO58" i="42"/>
  <c r="CN58" i="42"/>
  <c r="CL58" i="42"/>
  <c r="CK58" i="42"/>
  <c r="CJ58" i="42"/>
  <c r="CI58" i="42"/>
  <c r="CH58" i="42"/>
  <c r="CG58" i="42"/>
  <c r="CF58" i="42"/>
  <c r="CE58" i="42"/>
  <c r="AZ58" i="42"/>
  <c r="AY58" i="42"/>
  <c r="AX58" i="42"/>
  <c r="AW58" i="42"/>
  <c r="AV58" i="42"/>
  <c r="AT58" i="42"/>
  <c r="AS58" i="42"/>
  <c r="AR58" i="42"/>
  <c r="AQ58" i="42"/>
  <c r="AP58" i="42"/>
  <c r="AO58" i="42"/>
  <c r="AN58" i="42"/>
  <c r="AM58" i="42"/>
  <c r="AL58" i="42"/>
  <c r="AK58" i="42"/>
  <c r="AJ58" i="42"/>
  <c r="AI58" i="42"/>
  <c r="AH58" i="42"/>
  <c r="AG58" i="42"/>
  <c r="AF58" i="42"/>
  <c r="AE58" i="42"/>
  <c r="CZ57" i="42"/>
  <c r="CY57" i="42"/>
  <c r="CX57" i="42"/>
  <c r="CW57" i="42"/>
  <c r="CV57" i="42"/>
  <c r="CT57" i="42"/>
  <c r="CS57" i="42"/>
  <c r="CR57" i="42"/>
  <c r="CQ57" i="42"/>
  <c r="CP57" i="42"/>
  <c r="CO57" i="42"/>
  <c r="CN57" i="42"/>
  <c r="CM57" i="42"/>
  <c r="CL57" i="42"/>
  <c r="CK57" i="42"/>
  <c r="CJ57" i="42"/>
  <c r="CH57" i="42"/>
  <c r="CG57" i="42"/>
  <c r="CF57" i="42"/>
  <c r="CE57" i="42"/>
  <c r="AZ57" i="42"/>
  <c r="AY57" i="42"/>
  <c r="AX57" i="42"/>
  <c r="AW57" i="42"/>
  <c r="AV57" i="42"/>
  <c r="AT57" i="42"/>
  <c r="AS57" i="42"/>
  <c r="AR57" i="42"/>
  <c r="AQ57" i="42"/>
  <c r="AP57" i="42"/>
  <c r="AO57" i="42"/>
  <c r="AN57" i="42"/>
  <c r="AM57" i="42"/>
  <c r="AL57" i="42"/>
  <c r="AK57" i="42"/>
  <c r="AJ57" i="42"/>
  <c r="AI57" i="42"/>
  <c r="AH57" i="42"/>
  <c r="AG57" i="42"/>
  <c r="AF57" i="42"/>
  <c r="AE57" i="42"/>
  <c r="CZ56" i="42"/>
  <c r="CY56" i="42"/>
  <c r="CX56" i="42"/>
  <c r="CW56" i="42"/>
  <c r="CV56" i="42"/>
  <c r="CT56" i="42"/>
  <c r="CS56" i="42"/>
  <c r="CR56" i="42"/>
  <c r="CQ56" i="42"/>
  <c r="CP56" i="42"/>
  <c r="CO56" i="42"/>
  <c r="CN56" i="42"/>
  <c r="CM56" i="42"/>
  <c r="CL56" i="42"/>
  <c r="CK56" i="42"/>
  <c r="CJ56" i="42"/>
  <c r="CH56" i="42"/>
  <c r="CG56" i="42"/>
  <c r="CF56" i="42"/>
  <c r="CE56" i="42"/>
  <c r="AZ56" i="42"/>
  <c r="AY56" i="42"/>
  <c r="AX56" i="42"/>
  <c r="AW56" i="42"/>
  <c r="AV56" i="42"/>
  <c r="AT56" i="42"/>
  <c r="AS56" i="42"/>
  <c r="AR56" i="42"/>
  <c r="AQ56" i="42"/>
  <c r="AP56" i="42"/>
  <c r="AO56" i="42"/>
  <c r="AN56" i="42"/>
  <c r="AM56" i="42"/>
  <c r="AL56" i="42"/>
  <c r="AK56" i="42"/>
  <c r="AJ56" i="42"/>
  <c r="AI56" i="42"/>
  <c r="AH56" i="42"/>
  <c r="AG56" i="42"/>
  <c r="AF56" i="42"/>
  <c r="AE56" i="42"/>
  <c r="CZ55" i="42"/>
  <c r="CY55" i="42"/>
  <c r="CX55" i="42"/>
  <c r="CW55" i="42"/>
  <c r="CV55" i="42"/>
  <c r="CT55" i="42"/>
  <c r="CS55" i="42"/>
  <c r="CR55" i="42"/>
  <c r="CP55" i="42"/>
  <c r="CO55" i="42"/>
  <c r="CN55" i="42"/>
  <c r="CM55" i="42"/>
  <c r="CL55" i="42"/>
  <c r="CK55" i="42"/>
  <c r="CJ55" i="42"/>
  <c r="CI55" i="42"/>
  <c r="CH55" i="42"/>
  <c r="CG55" i="42"/>
  <c r="CF55" i="42"/>
  <c r="AZ55" i="42"/>
  <c r="AY55" i="42"/>
  <c r="AX55" i="42"/>
  <c r="AW55" i="42"/>
  <c r="AV55" i="42"/>
  <c r="AT55" i="42"/>
  <c r="AS55" i="42"/>
  <c r="AR55" i="42"/>
  <c r="AQ55" i="42"/>
  <c r="AP55" i="42"/>
  <c r="AO55" i="42"/>
  <c r="AN55" i="42"/>
  <c r="AM55" i="42"/>
  <c r="AL55" i="42"/>
  <c r="AK55" i="42"/>
  <c r="AJ55" i="42"/>
  <c r="AI55" i="42"/>
  <c r="AH55" i="42"/>
  <c r="AG55" i="42"/>
  <c r="AF55" i="42"/>
  <c r="AE55" i="42"/>
  <c r="CZ54" i="42"/>
  <c r="CY54" i="42"/>
  <c r="CX54" i="42"/>
  <c r="CW54" i="42"/>
  <c r="CV54" i="42"/>
  <c r="CT54" i="42"/>
  <c r="CS54" i="42"/>
  <c r="CR54" i="42"/>
  <c r="CP54" i="42"/>
  <c r="CO54" i="42"/>
  <c r="CN54" i="42"/>
  <c r="CM54" i="42"/>
  <c r="CL54" i="42"/>
  <c r="CK54" i="42"/>
  <c r="CJ54" i="42"/>
  <c r="CI54" i="42"/>
  <c r="CH54" i="42"/>
  <c r="CG54" i="42"/>
  <c r="CF54" i="42"/>
  <c r="AZ54" i="42"/>
  <c r="AY54" i="42"/>
  <c r="AX54" i="42"/>
  <c r="AW54" i="42"/>
  <c r="AV54" i="42"/>
  <c r="AT54" i="42"/>
  <c r="AS54" i="42"/>
  <c r="AR54" i="42"/>
  <c r="AQ54" i="42"/>
  <c r="AP54" i="42"/>
  <c r="AO54" i="42"/>
  <c r="AN54" i="42"/>
  <c r="AM54" i="42"/>
  <c r="AL54" i="42"/>
  <c r="AK54" i="42"/>
  <c r="AJ54" i="42"/>
  <c r="AI54" i="42"/>
  <c r="AH54" i="42"/>
  <c r="AG54" i="42"/>
  <c r="AF54" i="42"/>
  <c r="AE54" i="42"/>
  <c r="CZ53" i="42"/>
  <c r="CY53" i="42"/>
  <c r="CX53" i="42"/>
  <c r="CW53" i="42"/>
  <c r="CV53" i="42"/>
  <c r="CT53" i="42"/>
  <c r="CS53" i="42"/>
  <c r="CR53" i="42"/>
  <c r="CQ53" i="42"/>
  <c r="CP53" i="42"/>
  <c r="CO53" i="42"/>
  <c r="CN53" i="42"/>
  <c r="CM53" i="42"/>
  <c r="CL53" i="42"/>
  <c r="CK53" i="42"/>
  <c r="CJ53" i="42"/>
  <c r="CH53" i="42"/>
  <c r="CG53" i="42"/>
  <c r="CF53" i="42"/>
  <c r="CE53" i="42"/>
  <c r="AZ53" i="42"/>
  <c r="AY53" i="42"/>
  <c r="AX53" i="42"/>
  <c r="AW53" i="42"/>
  <c r="AV53" i="42"/>
  <c r="AT53" i="42"/>
  <c r="AS53" i="42"/>
  <c r="AR53" i="42"/>
  <c r="AQ53" i="42"/>
  <c r="AP53" i="42"/>
  <c r="AO53" i="42"/>
  <c r="AN53" i="42"/>
  <c r="AM53" i="42"/>
  <c r="AL53" i="42"/>
  <c r="AK53" i="42"/>
  <c r="AJ53" i="42"/>
  <c r="AI53" i="42"/>
  <c r="AH53" i="42"/>
  <c r="AG53" i="42"/>
  <c r="AF53" i="42"/>
  <c r="AE53" i="42"/>
  <c r="CZ52" i="42"/>
  <c r="CY52" i="42"/>
  <c r="CX52" i="42"/>
  <c r="CW52" i="42"/>
  <c r="CV52" i="42"/>
  <c r="CT52" i="42"/>
  <c r="CS52" i="42"/>
  <c r="CR52" i="42"/>
  <c r="CQ52" i="42"/>
  <c r="CP52" i="42"/>
  <c r="CO52" i="42"/>
  <c r="CN52" i="42"/>
  <c r="CM52" i="42"/>
  <c r="CL52" i="42"/>
  <c r="CK52" i="42"/>
  <c r="CJ52" i="42"/>
  <c r="CH52" i="42"/>
  <c r="CG52" i="42"/>
  <c r="CF52" i="42"/>
  <c r="CE52" i="42"/>
  <c r="AZ52" i="42"/>
  <c r="AY52" i="42"/>
  <c r="AX52" i="42"/>
  <c r="AW52" i="42"/>
  <c r="AV52" i="42"/>
  <c r="AT52" i="42"/>
  <c r="AS52" i="42"/>
  <c r="AR52" i="42"/>
  <c r="AQ52" i="42"/>
  <c r="AP52" i="42"/>
  <c r="AO52" i="42"/>
  <c r="AN52" i="42"/>
  <c r="AM52" i="42"/>
  <c r="AL52" i="42"/>
  <c r="AK52" i="42"/>
  <c r="AJ52" i="42"/>
  <c r="AI52" i="42"/>
  <c r="AH52" i="42"/>
  <c r="AG52" i="42"/>
  <c r="AF52" i="42"/>
  <c r="AE52" i="42"/>
  <c r="CZ51" i="42"/>
  <c r="CY51" i="42"/>
  <c r="CX51" i="42"/>
  <c r="CW51" i="42"/>
  <c r="CV51" i="42"/>
  <c r="CT51" i="42"/>
  <c r="CS51" i="42"/>
  <c r="CR51" i="42"/>
  <c r="CQ51" i="42"/>
  <c r="CP51" i="42"/>
  <c r="CO51" i="42"/>
  <c r="CN51" i="42"/>
  <c r="CM51" i="42"/>
  <c r="CL51" i="42"/>
  <c r="CK51" i="42"/>
  <c r="CJ51" i="42"/>
  <c r="CI51" i="42"/>
  <c r="CH51" i="42"/>
  <c r="CG51" i="42"/>
  <c r="CF51" i="42"/>
  <c r="CE51" i="42"/>
  <c r="AZ51" i="42"/>
  <c r="AY51" i="42"/>
  <c r="AX51" i="42"/>
  <c r="AW51" i="42"/>
  <c r="AV51" i="42"/>
  <c r="AT51" i="42"/>
  <c r="AS51" i="42"/>
  <c r="AR51" i="42"/>
  <c r="AQ51" i="42"/>
  <c r="AP51" i="42"/>
  <c r="AO51" i="42"/>
  <c r="AN51" i="42"/>
  <c r="AM51" i="42"/>
  <c r="AL51" i="42"/>
  <c r="AK51" i="42"/>
  <c r="AJ51" i="42"/>
  <c r="AI51" i="42"/>
  <c r="AH51" i="42"/>
  <c r="AG51" i="42"/>
  <c r="AF51" i="42"/>
  <c r="AE51" i="42"/>
  <c r="CZ50" i="42"/>
  <c r="CX50" i="42"/>
  <c r="CW50" i="42"/>
  <c r="CV50" i="42"/>
  <c r="CT50" i="42"/>
  <c r="CS50" i="42"/>
  <c r="CR50" i="42"/>
  <c r="CQ50" i="42"/>
  <c r="CP50" i="42"/>
  <c r="CO50" i="42"/>
  <c r="CN50" i="42"/>
  <c r="CL50" i="42"/>
  <c r="CK50" i="42"/>
  <c r="CJ50" i="42"/>
  <c r="CI50" i="42"/>
  <c r="CH50" i="42"/>
  <c r="CG50" i="42"/>
  <c r="CF50" i="42"/>
  <c r="CE50" i="42"/>
  <c r="AZ50" i="42"/>
  <c r="AY50" i="42"/>
  <c r="AX50" i="42"/>
  <c r="AW50" i="42"/>
  <c r="AV50" i="42"/>
  <c r="AT50" i="42"/>
  <c r="AS50" i="42"/>
  <c r="AR50" i="42"/>
  <c r="AQ50" i="42"/>
  <c r="AP50" i="42"/>
  <c r="AO50" i="42"/>
  <c r="AN50" i="42"/>
  <c r="AM50" i="42"/>
  <c r="AL50" i="42"/>
  <c r="AK50" i="42"/>
  <c r="AJ50" i="42"/>
  <c r="AI50" i="42"/>
  <c r="AH50" i="42"/>
  <c r="AG50" i="42"/>
  <c r="AF50" i="42"/>
  <c r="AE50" i="42"/>
  <c r="CZ49" i="42"/>
  <c r="CY49" i="42"/>
  <c r="CX49" i="42"/>
  <c r="CW49" i="42"/>
  <c r="CV49" i="42"/>
  <c r="CT49" i="42"/>
  <c r="CS49" i="42"/>
  <c r="CR49" i="42"/>
  <c r="CQ49" i="42"/>
  <c r="CP49" i="42"/>
  <c r="CO49" i="42"/>
  <c r="CN49" i="42"/>
  <c r="CM49" i="42"/>
  <c r="CL49" i="42"/>
  <c r="CK49" i="42"/>
  <c r="CJ49" i="42"/>
  <c r="CI49" i="42"/>
  <c r="CH49" i="42"/>
  <c r="CG49" i="42"/>
  <c r="CF49" i="42"/>
  <c r="CE49" i="42"/>
  <c r="AZ49" i="42"/>
  <c r="AY49" i="42"/>
  <c r="AX49" i="42"/>
  <c r="AW49" i="42"/>
  <c r="AV49" i="42"/>
  <c r="AT49" i="42"/>
  <c r="AS49" i="42"/>
  <c r="AR49" i="42"/>
  <c r="AQ49" i="42"/>
  <c r="AP49" i="42"/>
  <c r="AO49" i="42"/>
  <c r="AN49" i="42"/>
  <c r="AM49" i="42"/>
  <c r="AL49" i="42"/>
  <c r="AK49" i="42"/>
  <c r="AJ49" i="42"/>
  <c r="AI49" i="42"/>
  <c r="AH49" i="42"/>
  <c r="AG49" i="42"/>
  <c r="AF49" i="42"/>
  <c r="AE49" i="42"/>
  <c r="CZ47" i="42"/>
  <c r="CY47" i="42"/>
  <c r="CX47" i="42"/>
  <c r="CW47" i="42"/>
  <c r="CV47" i="42"/>
  <c r="CT47" i="42"/>
  <c r="CS47" i="42"/>
  <c r="CR47" i="42"/>
  <c r="CP47" i="42"/>
  <c r="CO47" i="42"/>
  <c r="CN47" i="42"/>
  <c r="CM47" i="42"/>
  <c r="CL47" i="42"/>
  <c r="CK47" i="42"/>
  <c r="CJ47" i="42"/>
  <c r="CI47" i="42"/>
  <c r="CH47" i="42"/>
  <c r="CG47" i="42"/>
  <c r="CF47" i="42"/>
  <c r="AZ47" i="42"/>
  <c r="AY47" i="42"/>
  <c r="AX47" i="42"/>
  <c r="AW47" i="42"/>
  <c r="AV47" i="42"/>
  <c r="AT47" i="42"/>
  <c r="AR47" i="42"/>
  <c r="AQ47" i="42"/>
  <c r="AP47" i="42"/>
  <c r="AO47" i="42"/>
  <c r="AN47" i="42"/>
  <c r="AM47" i="42"/>
  <c r="AL47" i="42"/>
  <c r="AK47" i="42"/>
  <c r="AJ47" i="42"/>
  <c r="AI47" i="42"/>
  <c r="AH47" i="42"/>
  <c r="AF47" i="42"/>
  <c r="AE47" i="42"/>
  <c r="CZ46" i="42"/>
  <c r="CY46" i="42"/>
  <c r="CX46" i="42"/>
  <c r="CW46" i="42"/>
  <c r="CV46" i="42"/>
  <c r="CT46" i="42"/>
  <c r="CS46" i="42"/>
  <c r="CR46" i="42"/>
  <c r="CQ46" i="42"/>
  <c r="CP46" i="42"/>
  <c r="CO46" i="42"/>
  <c r="CN46" i="42"/>
  <c r="CM46" i="42"/>
  <c r="CL46" i="42"/>
  <c r="CK46" i="42"/>
  <c r="CJ46" i="42"/>
  <c r="CI46" i="42"/>
  <c r="CH46" i="42"/>
  <c r="CG46" i="42"/>
  <c r="CF46" i="42"/>
  <c r="CE46" i="42"/>
  <c r="AZ46" i="42"/>
  <c r="AY46" i="42"/>
  <c r="AX46" i="42"/>
  <c r="AW46" i="42"/>
  <c r="AV46" i="42"/>
  <c r="AT46" i="42"/>
  <c r="AS46" i="42"/>
  <c r="AR46" i="42"/>
  <c r="AQ46" i="42"/>
  <c r="AP46" i="42"/>
  <c r="AN46" i="42"/>
  <c r="AM46" i="42"/>
  <c r="AL46" i="42"/>
  <c r="AK46" i="42"/>
  <c r="AJ46" i="42"/>
  <c r="AI46" i="42"/>
  <c r="AH46" i="42"/>
  <c r="AG46" i="42"/>
  <c r="AF46" i="42"/>
  <c r="AE46" i="42"/>
  <c r="CZ44" i="42"/>
  <c r="CY44" i="42"/>
  <c r="CX44" i="42"/>
  <c r="CW44" i="42"/>
  <c r="CV44" i="42"/>
  <c r="CT44" i="42"/>
  <c r="CS44" i="42"/>
  <c r="CR44" i="42"/>
  <c r="CP44" i="42"/>
  <c r="CO44" i="42"/>
  <c r="CN44" i="42"/>
  <c r="CM44" i="42"/>
  <c r="CL44" i="42"/>
  <c r="CK44" i="42"/>
  <c r="CJ44" i="42"/>
  <c r="CI44" i="42"/>
  <c r="CH44" i="42"/>
  <c r="CG44" i="42"/>
  <c r="CF44" i="42"/>
  <c r="AZ44" i="42"/>
  <c r="AY44" i="42"/>
  <c r="AX44" i="42"/>
  <c r="AW44" i="42"/>
  <c r="AV44" i="42"/>
  <c r="AT44" i="42"/>
  <c r="AR44" i="42"/>
  <c r="AQ44" i="42"/>
  <c r="AP44" i="42"/>
  <c r="AO44" i="42"/>
  <c r="AN44" i="42"/>
  <c r="AM44" i="42"/>
  <c r="AL44" i="42"/>
  <c r="AK44" i="42"/>
  <c r="AJ44" i="42"/>
  <c r="AI44" i="42"/>
  <c r="AH44" i="42"/>
  <c r="AF44" i="42"/>
  <c r="AE44" i="42"/>
  <c r="CZ43" i="42"/>
  <c r="CX43" i="42"/>
  <c r="CW43" i="42"/>
  <c r="CV43" i="42"/>
  <c r="CT43" i="42"/>
  <c r="CS43" i="42"/>
  <c r="CR43" i="42"/>
  <c r="CQ43" i="42"/>
  <c r="CP43" i="42"/>
  <c r="CO43" i="42"/>
  <c r="CN43" i="42"/>
  <c r="CL43" i="42"/>
  <c r="CK43" i="42"/>
  <c r="CJ43" i="42"/>
  <c r="CI43" i="42"/>
  <c r="CH43" i="42"/>
  <c r="CG43" i="42"/>
  <c r="CF43" i="42"/>
  <c r="CE43" i="42"/>
  <c r="AZ43" i="42"/>
  <c r="AY43" i="42"/>
  <c r="AX43" i="42"/>
  <c r="AW43" i="42"/>
  <c r="AV43" i="42"/>
  <c r="AT43" i="42"/>
  <c r="AS43" i="42"/>
  <c r="AR43" i="42"/>
  <c r="AQ43" i="42"/>
  <c r="AP43" i="42"/>
  <c r="AN43" i="42"/>
  <c r="AM43" i="42"/>
  <c r="AL43" i="42"/>
  <c r="AK43" i="42"/>
  <c r="AJ43" i="42"/>
  <c r="AI43" i="42"/>
  <c r="AH43" i="42"/>
  <c r="AG43" i="42"/>
  <c r="AF43" i="42"/>
  <c r="AE43" i="42"/>
  <c r="CZ42" i="42"/>
  <c r="CX42" i="42"/>
  <c r="CW42" i="42"/>
  <c r="CV42" i="42"/>
  <c r="CT42" i="42"/>
  <c r="CS42" i="42"/>
  <c r="CR42" i="42"/>
  <c r="CQ42" i="42"/>
  <c r="CP42" i="42"/>
  <c r="CO42" i="42"/>
  <c r="CN42" i="42"/>
  <c r="CL42" i="42"/>
  <c r="CK42" i="42"/>
  <c r="CJ42" i="42"/>
  <c r="CI42" i="42"/>
  <c r="CH42" i="42"/>
  <c r="CG42" i="42"/>
  <c r="CF42" i="42"/>
  <c r="CE42" i="42"/>
  <c r="AZ42" i="42"/>
  <c r="AY42" i="42"/>
  <c r="AX42" i="42"/>
  <c r="AW42" i="42"/>
  <c r="AV42" i="42"/>
  <c r="AT42" i="42"/>
  <c r="AS42" i="42"/>
  <c r="AR42" i="42"/>
  <c r="AQ42" i="42"/>
  <c r="AP42" i="42"/>
  <c r="AN42" i="42"/>
  <c r="AM42" i="42"/>
  <c r="AL42" i="42"/>
  <c r="AK42" i="42"/>
  <c r="AJ42" i="42"/>
  <c r="AI42" i="42"/>
  <c r="AH42" i="42"/>
  <c r="AG42" i="42"/>
  <c r="AF42" i="42"/>
  <c r="AE42" i="42"/>
  <c r="CZ41" i="42"/>
  <c r="CY41" i="42"/>
  <c r="CX41" i="42"/>
  <c r="CW41" i="42"/>
  <c r="CV41" i="42"/>
  <c r="CT41" i="42"/>
  <c r="CS41" i="42"/>
  <c r="CR41" i="42"/>
  <c r="CQ41" i="42"/>
  <c r="CP41" i="42"/>
  <c r="CO41" i="42"/>
  <c r="CN41" i="42"/>
  <c r="CM41" i="42"/>
  <c r="CL41" i="42"/>
  <c r="CK41" i="42"/>
  <c r="CJ41" i="42"/>
  <c r="CI41" i="42"/>
  <c r="CH41" i="42"/>
  <c r="CG41" i="42"/>
  <c r="CF41" i="42"/>
  <c r="CE41" i="42"/>
  <c r="AZ41" i="42"/>
  <c r="AY41" i="42"/>
  <c r="AX41" i="42"/>
  <c r="AV41" i="42"/>
  <c r="AT41" i="42"/>
  <c r="AS41" i="42"/>
  <c r="AR41" i="42"/>
  <c r="AQ41" i="42"/>
  <c r="AP41" i="42"/>
  <c r="AO41" i="42"/>
  <c r="AN41" i="42"/>
  <c r="AM41" i="42"/>
  <c r="AL41" i="42"/>
  <c r="AJ41" i="42"/>
  <c r="AI41" i="42"/>
  <c r="AH41" i="42"/>
  <c r="AG41" i="42"/>
  <c r="AF41" i="42"/>
  <c r="AE41" i="42"/>
  <c r="CZ40" i="42"/>
  <c r="CX40" i="42"/>
  <c r="CW40" i="42"/>
  <c r="CV40" i="42"/>
  <c r="CT40" i="42"/>
  <c r="CS40" i="42"/>
  <c r="CR40" i="42"/>
  <c r="CQ40" i="42"/>
  <c r="CP40" i="42"/>
  <c r="CO40" i="42"/>
  <c r="CN40" i="42"/>
  <c r="CL40" i="42"/>
  <c r="CK40" i="42"/>
  <c r="CJ40" i="42"/>
  <c r="CI40" i="42"/>
  <c r="CH40" i="42"/>
  <c r="CG40" i="42"/>
  <c r="CF40" i="42"/>
  <c r="CE40" i="42"/>
  <c r="AZ40" i="42"/>
  <c r="AY40" i="42"/>
  <c r="AX40" i="42"/>
  <c r="AW40" i="42"/>
  <c r="AV40" i="42"/>
  <c r="AT40" i="42"/>
  <c r="AS40" i="42"/>
  <c r="AR40" i="42"/>
  <c r="AQ40" i="42"/>
  <c r="AP40" i="42"/>
  <c r="AN40" i="42"/>
  <c r="AM40" i="42"/>
  <c r="AL40" i="42"/>
  <c r="AK40" i="42"/>
  <c r="AJ40" i="42"/>
  <c r="AI40" i="42"/>
  <c r="AH40" i="42"/>
  <c r="AG40" i="42"/>
  <c r="AF40" i="42"/>
  <c r="AE40" i="42"/>
  <c r="CZ39" i="42"/>
  <c r="CY39" i="42"/>
  <c r="CX39" i="42"/>
  <c r="CW39" i="42"/>
  <c r="CV39" i="42"/>
  <c r="CT39" i="42"/>
  <c r="CS39" i="42"/>
  <c r="CR39" i="42"/>
  <c r="CQ39" i="42"/>
  <c r="CP39" i="42"/>
  <c r="CO39" i="42"/>
  <c r="CN39" i="42"/>
  <c r="CM39" i="42"/>
  <c r="CL39" i="42"/>
  <c r="CK39" i="42"/>
  <c r="CJ39" i="42"/>
  <c r="CH39" i="42"/>
  <c r="CG39" i="42"/>
  <c r="CF39" i="42"/>
  <c r="CE39" i="42"/>
  <c r="AZ39" i="42"/>
  <c r="AY39" i="42"/>
  <c r="AX39" i="42"/>
  <c r="AV39" i="42"/>
  <c r="AT39" i="42"/>
  <c r="AS39" i="42"/>
  <c r="AR39" i="42"/>
  <c r="AQ39" i="42"/>
  <c r="AP39" i="42"/>
  <c r="AO39" i="42"/>
  <c r="AN39" i="42"/>
  <c r="AM39" i="42"/>
  <c r="AL39" i="42"/>
  <c r="AJ39" i="42"/>
  <c r="AI39" i="42"/>
  <c r="AH39" i="42"/>
  <c r="AG39" i="42"/>
  <c r="AF39" i="42"/>
  <c r="AE39" i="42"/>
  <c r="CZ38" i="42"/>
  <c r="CY38" i="42"/>
  <c r="CX38" i="42"/>
  <c r="CW38" i="42"/>
  <c r="CV38" i="42"/>
  <c r="CT38" i="42"/>
  <c r="CS38" i="42"/>
  <c r="CR38" i="42"/>
  <c r="CQ38" i="42"/>
  <c r="CP38" i="42"/>
  <c r="CO38" i="42"/>
  <c r="CN38" i="42"/>
  <c r="CM38" i="42"/>
  <c r="CL38" i="42"/>
  <c r="CK38" i="42"/>
  <c r="CJ38" i="42"/>
  <c r="CH38" i="42"/>
  <c r="CG38" i="42"/>
  <c r="CF38" i="42"/>
  <c r="CE38" i="42"/>
  <c r="AZ38" i="42"/>
  <c r="AY38" i="42"/>
  <c r="AX38" i="42"/>
  <c r="AV38" i="42"/>
  <c r="AT38" i="42"/>
  <c r="AS38" i="42"/>
  <c r="AR38" i="42"/>
  <c r="AQ38" i="42"/>
  <c r="AP38" i="42"/>
  <c r="AO38" i="42"/>
  <c r="AN38" i="42"/>
  <c r="AM38" i="42"/>
  <c r="AL38" i="42"/>
  <c r="AJ38" i="42"/>
  <c r="AI38" i="42"/>
  <c r="AH38" i="42"/>
  <c r="AG38" i="42"/>
  <c r="AF38" i="42"/>
  <c r="AE38" i="42"/>
  <c r="CZ37" i="42"/>
  <c r="CX37" i="42"/>
  <c r="CW37" i="42"/>
  <c r="CV37" i="42"/>
  <c r="CT37" i="42"/>
  <c r="CS37" i="42"/>
  <c r="CR37" i="42"/>
  <c r="CQ37" i="42"/>
  <c r="CP37" i="42"/>
  <c r="CO37" i="42"/>
  <c r="CN37" i="42"/>
  <c r="CL37" i="42"/>
  <c r="CK37" i="42"/>
  <c r="CJ37" i="42"/>
  <c r="CI37" i="42"/>
  <c r="CH37" i="42"/>
  <c r="CG37" i="42"/>
  <c r="CF37" i="42"/>
  <c r="CE37" i="42"/>
  <c r="AZ37" i="42"/>
  <c r="AY37" i="42"/>
  <c r="AX37" i="42"/>
  <c r="AW37" i="42"/>
  <c r="AV37" i="42"/>
  <c r="AT37" i="42"/>
  <c r="AS37" i="42"/>
  <c r="AR37" i="42"/>
  <c r="AQ37" i="42"/>
  <c r="AP37" i="42"/>
  <c r="AN37" i="42"/>
  <c r="AM37" i="42"/>
  <c r="AL37" i="42"/>
  <c r="AK37" i="42"/>
  <c r="AJ37" i="42"/>
  <c r="AI37" i="42"/>
  <c r="AH37" i="42"/>
  <c r="AG37" i="42"/>
  <c r="AF37" i="42"/>
  <c r="AE37" i="42"/>
  <c r="CZ36" i="42"/>
  <c r="CY36" i="42"/>
  <c r="CX36" i="42"/>
  <c r="CW36" i="42"/>
  <c r="CV36" i="42"/>
  <c r="CT36" i="42"/>
  <c r="CS36" i="42"/>
  <c r="CR36" i="42"/>
  <c r="CQ36" i="42"/>
  <c r="CP36" i="42"/>
  <c r="CO36" i="42"/>
  <c r="CN36" i="42"/>
  <c r="CM36" i="42"/>
  <c r="CL36" i="42"/>
  <c r="CK36" i="42"/>
  <c r="CJ36" i="42"/>
  <c r="CH36" i="42"/>
  <c r="CG36" i="42"/>
  <c r="CF36" i="42"/>
  <c r="CE36" i="42"/>
  <c r="AZ36" i="42"/>
  <c r="AY36" i="42"/>
  <c r="AX36" i="42"/>
  <c r="AV36" i="42"/>
  <c r="AT36" i="42"/>
  <c r="AS36" i="42"/>
  <c r="AR36" i="42"/>
  <c r="AQ36" i="42"/>
  <c r="AP36" i="42"/>
  <c r="AO36" i="42"/>
  <c r="AN36" i="42"/>
  <c r="AM36" i="42"/>
  <c r="AL36" i="42"/>
  <c r="AJ36" i="42"/>
  <c r="AI36" i="42"/>
  <c r="AH36" i="42"/>
  <c r="AG36" i="42"/>
  <c r="AF36" i="42"/>
  <c r="AE36" i="42"/>
  <c r="CZ35" i="42"/>
  <c r="CY35" i="42"/>
  <c r="CX35" i="42"/>
  <c r="CW35" i="42"/>
  <c r="CV35" i="42"/>
  <c r="CT35" i="42"/>
  <c r="CS35" i="42"/>
  <c r="CR35" i="42"/>
  <c r="CP35" i="42"/>
  <c r="CP32" i="42"/>
  <c r="CP33" i="42"/>
  <c r="CP34" i="42"/>
  <c r="CP31" i="42"/>
  <c r="CO35" i="42"/>
  <c r="CN35" i="42"/>
  <c r="CM35" i="42"/>
  <c r="CL35" i="42"/>
  <c r="CK35" i="42"/>
  <c r="CJ35" i="42"/>
  <c r="CI35" i="42"/>
  <c r="CH35" i="42"/>
  <c r="CG35" i="42"/>
  <c r="CF35" i="42"/>
  <c r="AZ35" i="42"/>
  <c r="AY35" i="42"/>
  <c r="AX35" i="42"/>
  <c r="AW35" i="42"/>
  <c r="AV35" i="42"/>
  <c r="AT35" i="42"/>
  <c r="AR35" i="42"/>
  <c r="AQ35" i="42"/>
  <c r="AP35" i="42"/>
  <c r="AO35" i="42"/>
  <c r="AN35" i="42"/>
  <c r="AM35" i="42"/>
  <c r="AL35" i="42"/>
  <c r="AK35" i="42"/>
  <c r="AJ35" i="42"/>
  <c r="AI35" i="42"/>
  <c r="AH35" i="42"/>
  <c r="AF35" i="42"/>
  <c r="AE35" i="42"/>
  <c r="CZ34" i="42"/>
  <c r="CY34" i="42"/>
  <c r="CX34" i="42"/>
  <c r="CW34" i="42"/>
  <c r="CV34" i="42"/>
  <c r="CT34" i="42"/>
  <c r="CS34" i="42"/>
  <c r="CR34" i="42"/>
  <c r="CQ34" i="42"/>
  <c r="CO34" i="42"/>
  <c r="CN34" i="42"/>
  <c r="CM34" i="42"/>
  <c r="CL34" i="42"/>
  <c r="CK34" i="42"/>
  <c r="CJ34" i="42"/>
  <c r="CH34" i="42"/>
  <c r="CG34" i="42"/>
  <c r="CF34" i="42"/>
  <c r="CE34" i="42"/>
  <c r="AZ34" i="42"/>
  <c r="AY34" i="42"/>
  <c r="AX34" i="42"/>
  <c r="AV34" i="42"/>
  <c r="AT34" i="42"/>
  <c r="AS34" i="42"/>
  <c r="AR34" i="42"/>
  <c r="AQ34" i="42"/>
  <c r="AP34" i="42"/>
  <c r="AO34" i="42"/>
  <c r="AN34" i="42"/>
  <c r="AM34" i="42"/>
  <c r="AL34" i="42"/>
  <c r="AJ34" i="42"/>
  <c r="AI34" i="42"/>
  <c r="AH34" i="42"/>
  <c r="AG34" i="42"/>
  <c r="AF34" i="42"/>
  <c r="AE34" i="42"/>
  <c r="CZ33" i="42"/>
  <c r="CY33" i="42"/>
  <c r="CX33" i="42"/>
  <c r="CW33" i="42"/>
  <c r="CV33" i="42"/>
  <c r="CT33" i="42"/>
  <c r="CS33" i="42"/>
  <c r="CR33" i="42"/>
  <c r="CQ33" i="42"/>
  <c r="CO33" i="42"/>
  <c r="CN33" i="42"/>
  <c r="CM33" i="42"/>
  <c r="CL33" i="42"/>
  <c r="CK33" i="42"/>
  <c r="CJ33" i="42"/>
  <c r="CI33" i="42"/>
  <c r="CH33" i="42"/>
  <c r="CG33" i="42"/>
  <c r="CF33" i="42"/>
  <c r="CE33" i="42"/>
  <c r="AZ33" i="42"/>
  <c r="AY33" i="42"/>
  <c r="AX33" i="42"/>
  <c r="AW33" i="42"/>
  <c r="AV33" i="42"/>
  <c r="AT33" i="42"/>
  <c r="AS33" i="42"/>
  <c r="AR33" i="42"/>
  <c r="AQ33" i="42"/>
  <c r="AP33" i="42"/>
  <c r="AN33" i="42"/>
  <c r="AM33" i="42"/>
  <c r="AL33" i="42"/>
  <c r="AK33" i="42"/>
  <c r="AJ33" i="42"/>
  <c r="AI33" i="42"/>
  <c r="AI32" i="42"/>
  <c r="AI31" i="42"/>
  <c r="AH33" i="42"/>
  <c r="AG33" i="42"/>
  <c r="AF33" i="42"/>
  <c r="AE33" i="42"/>
  <c r="CZ32" i="42"/>
  <c r="CY32" i="42"/>
  <c r="CX32" i="42"/>
  <c r="CW32" i="42"/>
  <c r="CV32" i="42"/>
  <c r="CT32" i="42"/>
  <c r="CS32" i="42"/>
  <c r="CR32" i="42"/>
  <c r="CO32" i="42"/>
  <c r="CN32" i="42"/>
  <c r="CM32" i="42"/>
  <c r="CL32" i="42"/>
  <c r="CK32" i="42"/>
  <c r="CJ32" i="42"/>
  <c r="CI32" i="42"/>
  <c r="CH32" i="42"/>
  <c r="CG32" i="42"/>
  <c r="CF32" i="42"/>
  <c r="AZ32" i="42"/>
  <c r="AY32" i="42"/>
  <c r="AX32" i="42"/>
  <c r="AW32" i="42"/>
  <c r="AV32" i="42"/>
  <c r="AT32" i="42"/>
  <c r="AR32" i="42"/>
  <c r="AQ32" i="42"/>
  <c r="AP32" i="42"/>
  <c r="AO32" i="42"/>
  <c r="AN32" i="42"/>
  <c r="AM32" i="42"/>
  <c r="AL32" i="42"/>
  <c r="AK32" i="42"/>
  <c r="AJ32" i="42"/>
  <c r="AH32" i="42"/>
  <c r="AF32" i="42"/>
  <c r="AE32" i="42"/>
  <c r="K57" i="42"/>
  <c r="K39" i="42"/>
  <c r="BV37" i="42"/>
  <c r="X37" i="42"/>
  <c r="BH36" i="42"/>
  <c r="T36" i="42"/>
  <c r="BZ35" i="42"/>
  <c r="BY35" i="42"/>
  <c r="BX35" i="42"/>
  <c r="BW35" i="42"/>
  <c r="BS35" i="42"/>
  <c r="BN35" i="42"/>
  <c r="BM35" i="42"/>
  <c r="BL35" i="42"/>
  <c r="BK35" i="42"/>
  <c r="BG35" i="42"/>
  <c r="AB35" i="42"/>
  <c r="AA35" i="42"/>
  <c r="W35" i="42"/>
  <c r="Q35" i="42"/>
  <c r="P35" i="42"/>
  <c r="O35" i="42"/>
  <c r="K35" i="42"/>
  <c r="E35" i="42"/>
  <c r="D35" i="42"/>
  <c r="W34" i="42"/>
  <c r="BK33" i="42"/>
  <c r="V33" i="42"/>
  <c r="CB35" i="42"/>
  <c r="CA35" i="42"/>
  <c r="BV35" i="42"/>
  <c r="BU35" i="42"/>
  <c r="BT35" i="42"/>
  <c r="BP35" i="42"/>
  <c r="BO35" i="42"/>
  <c r="BJ35" i="42"/>
  <c r="BI35" i="42"/>
  <c r="BH35" i="42"/>
  <c r="BD35" i="42"/>
  <c r="Z35" i="42"/>
  <c r="Y35" i="42"/>
  <c r="X35" i="42"/>
  <c r="V35" i="42"/>
  <c r="U35" i="42"/>
  <c r="S35" i="42"/>
  <c r="N35" i="42"/>
  <c r="M35" i="42"/>
  <c r="L35" i="42"/>
  <c r="J35" i="42"/>
  <c r="I35" i="42"/>
  <c r="G35" i="42"/>
  <c r="BV71" i="42"/>
  <c r="BU71" i="42"/>
  <c r="BO71" i="42"/>
  <c r="Y71" i="42"/>
  <c r="M71" i="42"/>
  <c r="K71" i="42"/>
  <c r="CB43" i="42"/>
  <c r="CA43" i="42"/>
  <c r="BY43" i="42"/>
  <c r="BX43" i="42"/>
  <c r="BW43" i="42"/>
  <c r="BV43" i="42"/>
  <c r="BT43" i="42"/>
  <c r="BS43" i="42"/>
  <c r="BR43" i="42"/>
  <c r="BQ43" i="42"/>
  <c r="BP43" i="42"/>
  <c r="BO43" i="42"/>
  <c r="BM43" i="42"/>
  <c r="BL43" i="42"/>
  <c r="BK43" i="42"/>
  <c r="BJ43" i="42"/>
  <c r="BH43" i="42"/>
  <c r="BG43" i="42"/>
  <c r="BF43" i="42"/>
  <c r="BE43" i="42"/>
  <c r="BD43" i="42"/>
  <c r="AA43" i="42"/>
  <c r="Z43" i="42"/>
  <c r="Y43" i="42"/>
  <c r="X43" i="42"/>
  <c r="W43" i="42"/>
  <c r="U43" i="42"/>
  <c r="T43" i="42"/>
  <c r="S43" i="42"/>
  <c r="R43" i="42"/>
  <c r="Q43" i="42"/>
  <c r="O43" i="42"/>
  <c r="N43" i="42"/>
  <c r="M43" i="42"/>
  <c r="L43" i="42"/>
  <c r="K43" i="42"/>
  <c r="I43" i="42"/>
  <c r="H43" i="42"/>
  <c r="G43" i="42"/>
  <c r="F43" i="42"/>
  <c r="E43" i="42"/>
  <c r="CB36" i="42"/>
  <c r="CA36" i="42"/>
  <c r="BZ36" i="42"/>
  <c r="BY36" i="42"/>
  <c r="BX36" i="42"/>
  <c r="BW36" i="42"/>
  <c r="BU36" i="42"/>
  <c r="BT36" i="42"/>
  <c r="BS36" i="42"/>
  <c r="BR36" i="42"/>
  <c r="BQ36" i="42"/>
  <c r="BP36" i="42"/>
  <c r="BO36" i="42"/>
  <c r="BN36" i="42"/>
  <c r="BM36" i="42"/>
  <c r="BL36" i="42"/>
  <c r="BK36" i="42"/>
  <c r="BI36" i="42"/>
  <c r="BG36" i="42"/>
  <c r="BF36" i="42"/>
  <c r="BE36" i="42"/>
  <c r="BD36" i="42"/>
  <c r="AB36" i="42"/>
  <c r="AA36" i="42"/>
  <c r="Y36" i="42"/>
  <c r="W36" i="42"/>
  <c r="V36" i="42"/>
  <c r="U36" i="42"/>
  <c r="S36" i="42"/>
  <c r="R36" i="42"/>
  <c r="Q36" i="42"/>
  <c r="P36" i="42"/>
  <c r="O36" i="42"/>
  <c r="N36" i="42"/>
  <c r="M36" i="42"/>
  <c r="L36" i="42"/>
  <c r="K36" i="42"/>
  <c r="J36" i="42"/>
  <c r="I36" i="42"/>
  <c r="H36" i="42"/>
  <c r="G36" i="42"/>
  <c r="F36" i="42"/>
  <c r="D36" i="42"/>
  <c r="BE64" i="42"/>
  <c r="BL69" i="42"/>
  <c r="AA69" i="42"/>
  <c r="CB49" i="42"/>
  <c r="CA49" i="42"/>
  <c r="BZ49" i="42"/>
  <c r="BY49" i="42"/>
  <c r="BX49" i="42"/>
  <c r="BW49" i="42"/>
  <c r="BU49" i="42"/>
  <c r="BT49" i="42"/>
  <c r="BR49" i="42"/>
  <c r="BQ49" i="42"/>
  <c r="BP49" i="42"/>
  <c r="BO49" i="42"/>
  <c r="BN49" i="42"/>
  <c r="BM49" i="42"/>
  <c r="BL49" i="42"/>
  <c r="BK49" i="42"/>
  <c r="BI49" i="42"/>
  <c r="BH49" i="42"/>
  <c r="BF49" i="42"/>
  <c r="BE49" i="42"/>
  <c r="BD49" i="42"/>
  <c r="AB49" i="42"/>
  <c r="AA49" i="42"/>
  <c r="Z49" i="42"/>
  <c r="Y49" i="42"/>
  <c r="W49" i="42"/>
  <c r="V49" i="42"/>
  <c r="U49" i="42"/>
  <c r="S49" i="42"/>
  <c r="R49" i="42"/>
  <c r="Q49" i="42"/>
  <c r="P49" i="42"/>
  <c r="O49" i="42"/>
  <c r="N49" i="42"/>
  <c r="M49" i="42"/>
  <c r="K49" i="42"/>
  <c r="J49" i="42"/>
  <c r="I49" i="42"/>
  <c r="G49" i="42"/>
  <c r="F49" i="42"/>
  <c r="D49" i="42"/>
  <c r="CB37" i="42"/>
  <c r="CA37" i="42"/>
  <c r="BY37" i="42"/>
  <c r="BX37" i="42"/>
  <c r="BW37" i="42"/>
  <c r="BT37" i="42"/>
  <c r="BS37" i="42"/>
  <c r="BR37" i="42"/>
  <c r="BQ37" i="42"/>
  <c r="BP37" i="42"/>
  <c r="BO37" i="42"/>
  <c r="BM37" i="42"/>
  <c r="BL37" i="42"/>
  <c r="BK37" i="42"/>
  <c r="BJ37" i="42"/>
  <c r="BH37" i="42"/>
  <c r="BG37" i="42"/>
  <c r="BF37" i="42"/>
  <c r="BE37" i="42"/>
  <c r="BD37" i="42"/>
  <c r="AA37" i="42"/>
  <c r="Z37" i="42"/>
  <c r="Y37" i="42"/>
  <c r="W37" i="42"/>
  <c r="U37" i="42"/>
  <c r="T37" i="42"/>
  <c r="S37" i="42"/>
  <c r="R37" i="42"/>
  <c r="Q37" i="42"/>
  <c r="O37" i="42"/>
  <c r="N37" i="42"/>
  <c r="M37" i="42"/>
  <c r="L37" i="42"/>
  <c r="K37" i="42"/>
  <c r="I37" i="42"/>
  <c r="H37" i="42"/>
  <c r="G37" i="42"/>
  <c r="F37" i="42"/>
  <c r="E37" i="42"/>
  <c r="BL65" i="42"/>
  <c r="I65" i="42"/>
  <c r="BQ70" i="42"/>
  <c r="CB42" i="42"/>
  <c r="BY42" i="42"/>
  <c r="BX42" i="42"/>
  <c r="BW42" i="42"/>
  <c r="BV42" i="42"/>
  <c r="BU42" i="42"/>
  <c r="BT42" i="42"/>
  <c r="BS42" i="42"/>
  <c r="BR42" i="42"/>
  <c r="BQ42" i="42"/>
  <c r="BP42" i="42"/>
  <c r="BM42" i="42"/>
  <c r="BL42" i="42"/>
  <c r="BK42" i="42"/>
  <c r="BJ42" i="42"/>
  <c r="BI42" i="42"/>
  <c r="BH42" i="42"/>
  <c r="BG42" i="42"/>
  <c r="BF42" i="42"/>
  <c r="BE42" i="42"/>
  <c r="BD42" i="42"/>
  <c r="AA42" i="42"/>
  <c r="Z42" i="42"/>
  <c r="Y42" i="42"/>
  <c r="X42" i="42"/>
  <c r="W42" i="42"/>
  <c r="V42" i="42"/>
  <c r="U42" i="42"/>
  <c r="T42" i="42"/>
  <c r="S42" i="42"/>
  <c r="R42" i="42"/>
  <c r="Q42" i="42"/>
  <c r="O42" i="42"/>
  <c r="N42" i="42"/>
  <c r="M42" i="42"/>
  <c r="L42" i="42"/>
  <c r="K42" i="42"/>
  <c r="J42" i="42"/>
  <c r="I42" i="42"/>
  <c r="H42" i="42"/>
  <c r="G42" i="42"/>
  <c r="F42" i="42"/>
  <c r="E42" i="42"/>
  <c r="BR66" i="42"/>
  <c r="N66" i="42"/>
  <c r="CB44" i="42"/>
  <c r="CA44" i="42"/>
  <c r="BZ44" i="42"/>
  <c r="BY44" i="42"/>
  <c r="BX44" i="42"/>
  <c r="BV44" i="42"/>
  <c r="BU44" i="42"/>
  <c r="BT44" i="42"/>
  <c r="BS44" i="42"/>
  <c r="BQ44" i="42"/>
  <c r="BP44" i="42"/>
  <c r="BO44" i="42"/>
  <c r="BN44" i="42"/>
  <c r="BM44" i="42"/>
  <c r="BL44" i="42"/>
  <c r="BJ44" i="42"/>
  <c r="BI44" i="42"/>
  <c r="BH44" i="42"/>
  <c r="BG44" i="42"/>
  <c r="BD44" i="42"/>
  <c r="AB44" i="42"/>
  <c r="AA44" i="42"/>
  <c r="Z44" i="42"/>
  <c r="Y44" i="42"/>
  <c r="W44" i="42"/>
  <c r="V44" i="42"/>
  <c r="U44" i="42"/>
  <c r="S44" i="42"/>
  <c r="R44" i="42"/>
  <c r="Q44" i="42"/>
  <c r="P44" i="42"/>
  <c r="O44" i="42"/>
  <c r="N44" i="42"/>
  <c r="M44" i="42"/>
  <c r="K44" i="42"/>
  <c r="J44" i="42"/>
  <c r="I44" i="42"/>
  <c r="G44" i="42"/>
  <c r="F44" i="42"/>
  <c r="E44" i="42"/>
  <c r="D44" i="42"/>
  <c r="CB34" i="42"/>
  <c r="CA34" i="42"/>
  <c r="BZ34" i="42"/>
  <c r="BX34" i="42"/>
  <c r="BW34" i="42"/>
  <c r="BU34" i="42"/>
  <c r="BT34" i="42"/>
  <c r="BS34" i="42"/>
  <c r="BR34" i="42"/>
  <c r="BQ34" i="42"/>
  <c r="BP34" i="42"/>
  <c r="BO34" i="42"/>
  <c r="BN34" i="42"/>
  <c r="BL34" i="42"/>
  <c r="BK34" i="42"/>
  <c r="BI34" i="42"/>
  <c r="BH34" i="42"/>
  <c r="BG34" i="42"/>
  <c r="BF34" i="42"/>
  <c r="BE34" i="42"/>
  <c r="BD34" i="42"/>
  <c r="AB34" i="42"/>
  <c r="AA34" i="42"/>
  <c r="Y34" i="42"/>
  <c r="V34" i="42"/>
  <c r="U34" i="42"/>
  <c r="T34" i="42"/>
  <c r="S34" i="42"/>
  <c r="R34" i="42"/>
  <c r="Q34" i="42"/>
  <c r="P34" i="42"/>
  <c r="O34" i="42"/>
  <c r="M34" i="42"/>
  <c r="K34" i="42"/>
  <c r="J34" i="42"/>
  <c r="I34" i="42"/>
  <c r="H34" i="42"/>
  <c r="G34" i="42"/>
  <c r="F34" i="42"/>
  <c r="D34" i="42"/>
  <c r="CB33" i="42"/>
  <c r="BY33" i="42"/>
  <c r="BX33" i="42"/>
  <c r="BW33" i="42"/>
  <c r="BV33" i="42"/>
  <c r="BU33" i="42"/>
  <c r="BT33" i="42"/>
  <c r="BS33" i="42"/>
  <c r="BR33" i="42"/>
  <c r="BQ33" i="42"/>
  <c r="BP33" i="42"/>
  <c r="BM33" i="42"/>
  <c r="BL33" i="42"/>
  <c r="BJ33" i="42"/>
  <c r="BI33" i="42"/>
  <c r="BH33" i="42"/>
  <c r="BG33" i="42"/>
  <c r="BF33" i="42"/>
  <c r="BE33" i="42"/>
  <c r="BD33" i="42"/>
  <c r="AA33" i="42"/>
  <c r="Z33" i="42"/>
  <c r="Y33" i="42"/>
  <c r="X33" i="42"/>
  <c r="W33" i="42"/>
  <c r="U33" i="42"/>
  <c r="T33" i="42"/>
  <c r="S33" i="42"/>
  <c r="R33" i="42"/>
  <c r="Q33" i="42"/>
  <c r="O33" i="42"/>
  <c r="N33" i="42"/>
  <c r="M33" i="42"/>
  <c r="L33" i="42"/>
  <c r="K33" i="42"/>
  <c r="J33" i="42"/>
  <c r="I33" i="42"/>
  <c r="H33" i="42"/>
  <c r="G33" i="42"/>
  <c r="F33" i="42"/>
  <c r="E33" i="42"/>
  <c r="CB39" i="42"/>
  <c r="CA39" i="42"/>
  <c r="BZ39" i="42"/>
  <c r="BY39" i="42"/>
  <c r="BX39" i="42"/>
  <c r="BW39" i="42"/>
  <c r="BU39" i="42"/>
  <c r="BT39" i="42"/>
  <c r="BR39" i="42"/>
  <c r="BQ39" i="42"/>
  <c r="BP39" i="42"/>
  <c r="BO39" i="42"/>
  <c r="BN39" i="42"/>
  <c r="BM39" i="42"/>
  <c r="BL39" i="42"/>
  <c r="BK39" i="42"/>
  <c r="BI39" i="42"/>
  <c r="BH39" i="42"/>
  <c r="BF39" i="42"/>
  <c r="BE39" i="42"/>
  <c r="AB39" i="42"/>
  <c r="AA39" i="42"/>
  <c r="Z39" i="42"/>
  <c r="Y39" i="42"/>
  <c r="W39" i="42"/>
  <c r="V39" i="42"/>
  <c r="U39" i="42"/>
  <c r="S39" i="42"/>
  <c r="R39" i="42"/>
  <c r="Q39" i="42"/>
  <c r="P39" i="42"/>
  <c r="O39" i="42"/>
  <c r="N39" i="42"/>
  <c r="M39" i="42"/>
  <c r="J39" i="42"/>
  <c r="I39" i="42"/>
  <c r="G39" i="42"/>
  <c r="F39" i="42"/>
  <c r="D39" i="42"/>
  <c r="CP45" i="42"/>
  <c r="CB46" i="42"/>
  <c r="CA46" i="42"/>
  <c r="BY46" i="42"/>
  <c r="BX46" i="42"/>
  <c r="BW46" i="42"/>
  <c r="BV46" i="42"/>
  <c r="BT46" i="42"/>
  <c r="BS46" i="42"/>
  <c r="BR46" i="42"/>
  <c r="BQ46" i="42"/>
  <c r="BP46" i="42"/>
  <c r="BO46" i="42"/>
  <c r="BM46" i="42"/>
  <c r="BL46" i="42"/>
  <c r="BK46" i="42"/>
  <c r="BJ46" i="42"/>
  <c r="BH46" i="42"/>
  <c r="BG46" i="42"/>
  <c r="BF46" i="42"/>
  <c r="BE46" i="42"/>
  <c r="BD46" i="42"/>
  <c r="AT45" i="42"/>
  <c r="AA46" i="42"/>
  <c r="Z46" i="42"/>
  <c r="Y46" i="42"/>
  <c r="X46" i="42"/>
  <c r="W46" i="42"/>
  <c r="U46" i="42"/>
  <c r="T46" i="42"/>
  <c r="S46" i="42"/>
  <c r="R46" i="42"/>
  <c r="Q46" i="42"/>
  <c r="O46" i="42"/>
  <c r="N46" i="42"/>
  <c r="M46" i="42"/>
  <c r="L46" i="42"/>
  <c r="K46" i="42"/>
  <c r="I46" i="42"/>
  <c r="H46" i="42"/>
  <c r="G46" i="42"/>
  <c r="F46" i="42"/>
  <c r="E46" i="42"/>
  <c r="AB68" i="42"/>
  <c r="CB41" i="42"/>
  <c r="CA41" i="42"/>
  <c r="BZ41" i="42"/>
  <c r="BX41" i="42"/>
  <c r="BW41" i="42"/>
  <c r="BU41" i="42"/>
  <c r="BT41" i="42"/>
  <c r="BS41" i="42"/>
  <c r="BR41" i="42"/>
  <c r="BQ41" i="42"/>
  <c r="BP41" i="42"/>
  <c r="BO41" i="42"/>
  <c r="BN41" i="42"/>
  <c r="BL41" i="42"/>
  <c r="BK41" i="42"/>
  <c r="BI41" i="42"/>
  <c r="BH41" i="42"/>
  <c r="BG41" i="42"/>
  <c r="BF41" i="42"/>
  <c r="BE41" i="42"/>
  <c r="BD41" i="42"/>
  <c r="AB41" i="42"/>
  <c r="AA41" i="42"/>
  <c r="Y41" i="42"/>
  <c r="W41" i="42"/>
  <c r="V41" i="42"/>
  <c r="U41" i="42"/>
  <c r="T41" i="42"/>
  <c r="S41" i="42"/>
  <c r="R41" i="42"/>
  <c r="Q41" i="42"/>
  <c r="P41" i="42"/>
  <c r="O41" i="42"/>
  <c r="M41" i="42"/>
  <c r="L41" i="42"/>
  <c r="K41" i="42"/>
  <c r="J41" i="42"/>
  <c r="I41" i="42"/>
  <c r="H41" i="42"/>
  <c r="G41" i="42"/>
  <c r="F41" i="42"/>
  <c r="E41" i="42"/>
  <c r="D41" i="42"/>
  <c r="CB47" i="42"/>
  <c r="CA47" i="42"/>
  <c r="BZ47" i="42"/>
  <c r="BY47" i="42"/>
  <c r="BX47" i="42"/>
  <c r="BW47" i="42"/>
  <c r="BV47" i="42"/>
  <c r="BU47" i="42"/>
  <c r="BT47" i="42"/>
  <c r="BS47" i="42"/>
  <c r="BP47" i="42"/>
  <c r="BO47" i="42"/>
  <c r="BN47" i="42"/>
  <c r="BM47" i="42"/>
  <c r="BL47" i="42"/>
  <c r="BK47" i="42"/>
  <c r="BJ47" i="42"/>
  <c r="BI47" i="42"/>
  <c r="BH47" i="42"/>
  <c r="BG47" i="42"/>
  <c r="BD47" i="42"/>
  <c r="AB47" i="42"/>
  <c r="AA47" i="42"/>
  <c r="Z47" i="42"/>
  <c r="Y47" i="42"/>
  <c r="X47" i="42"/>
  <c r="W47" i="42"/>
  <c r="V47" i="42"/>
  <c r="U47" i="42"/>
  <c r="S47" i="42"/>
  <c r="Q47" i="42"/>
  <c r="P47" i="42"/>
  <c r="O47" i="42"/>
  <c r="N47" i="42"/>
  <c r="M47" i="42"/>
  <c r="L47" i="42"/>
  <c r="K47" i="42"/>
  <c r="J47" i="42"/>
  <c r="I47" i="42"/>
  <c r="G47" i="42"/>
  <c r="E47" i="42"/>
  <c r="D47" i="42"/>
  <c r="CB40" i="42"/>
  <c r="CA40" i="42"/>
  <c r="BY40" i="42"/>
  <c r="BX40" i="42"/>
  <c r="BW40" i="42"/>
  <c r="BV40" i="42"/>
  <c r="BT40" i="42"/>
  <c r="BS40" i="42"/>
  <c r="BR40" i="42"/>
  <c r="BQ40" i="42"/>
  <c r="BP40" i="42"/>
  <c r="BO40" i="42"/>
  <c r="BM40" i="42"/>
  <c r="BL40" i="42"/>
  <c r="BK40" i="42"/>
  <c r="BJ40" i="42"/>
  <c r="BH40" i="42"/>
  <c r="BG40" i="42"/>
  <c r="BF40" i="42"/>
  <c r="BE40" i="42"/>
  <c r="BD40" i="42"/>
  <c r="AA40" i="42"/>
  <c r="Z40" i="42"/>
  <c r="Y40" i="42"/>
  <c r="X40" i="42"/>
  <c r="W40" i="42"/>
  <c r="U40" i="42"/>
  <c r="T40" i="42"/>
  <c r="S40" i="42"/>
  <c r="R40" i="42"/>
  <c r="Q40" i="42"/>
  <c r="O40" i="42"/>
  <c r="N40" i="42"/>
  <c r="M40" i="42"/>
  <c r="L40" i="42"/>
  <c r="K40" i="42"/>
  <c r="I40" i="42"/>
  <c r="H40" i="42"/>
  <c r="G40" i="42"/>
  <c r="F40" i="42"/>
  <c r="E40" i="42"/>
  <c r="D40" i="42"/>
  <c r="CH31" i="42"/>
  <c r="CB32" i="42"/>
  <c r="CA32" i="42"/>
  <c r="BZ32" i="42"/>
  <c r="BY32" i="42"/>
  <c r="BX32" i="42"/>
  <c r="BV32" i="42"/>
  <c r="BU32" i="42"/>
  <c r="BT32" i="42"/>
  <c r="BS32" i="42"/>
  <c r="BQ32" i="42"/>
  <c r="BP32" i="42"/>
  <c r="BO32" i="42"/>
  <c r="BN32" i="42"/>
  <c r="BM32" i="42"/>
  <c r="BL32" i="42"/>
  <c r="BJ32" i="42"/>
  <c r="BI32" i="42"/>
  <c r="BH32" i="42"/>
  <c r="BG32" i="42"/>
  <c r="BE32" i="42"/>
  <c r="BD32" i="42"/>
  <c r="AB32" i="42"/>
  <c r="AA32" i="42"/>
  <c r="Z32" i="42"/>
  <c r="Y32" i="42"/>
  <c r="W32" i="42"/>
  <c r="V32" i="42"/>
  <c r="U32" i="42"/>
  <c r="S32" i="42"/>
  <c r="R32" i="42"/>
  <c r="Q32" i="42"/>
  <c r="P32" i="42"/>
  <c r="O32" i="42"/>
  <c r="N32" i="42"/>
  <c r="M32" i="42"/>
  <c r="K32" i="42"/>
  <c r="J32" i="42"/>
  <c r="I32" i="42"/>
  <c r="G32" i="42"/>
  <c r="F32" i="42"/>
  <c r="E32" i="42"/>
  <c r="D32" i="42"/>
  <c r="CB38" i="42"/>
  <c r="CA38" i="42"/>
  <c r="BZ38" i="42"/>
  <c r="BX38" i="42"/>
  <c r="BW38" i="42"/>
  <c r="BV38" i="42"/>
  <c r="BU38" i="42"/>
  <c r="BT38" i="42"/>
  <c r="BS38" i="42"/>
  <c r="BR38" i="42"/>
  <c r="BQ38" i="42"/>
  <c r="BP38" i="42"/>
  <c r="BO38" i="42"/>
  <c r="BN38" i="42"/>
  <c r="BL38" i="42"/>
  <c r="BK38" i="42"/>
  <c r="BI38" i="42"/>
  <c r="BH38" i="42"/>
  <c r="BG38" i="42"/>
  <c r="BF38" i="42"/>
  <c r="BE38" i="42"/>
  <c r="BD38" i="42"/>
  <c r="AB38" i="42"/>
  <c r="AA38" i="42"/>
  <c r="Z38" i="42"/>
  <c r="Y38" i="42"/>
  <c r="W38" i="42"/>
  <c r="V38" i="42"/>
  <c r="U38" i="42"/>
  <c r="T38" i="42"/>
  <c r="S38" i="42"/>
  <c r="R38" i="42"/>
  <c r="Q38" i="42"/>
  <c r="P38" i="42"/>
  <c r="O38" i="42"/>
  <c r="N38" i="42"/>
  <c r="M38" i="42"/>
  <c r="K38" i="42"/>
  <c r="J38" i="42"/>
  <c r="I38" i="42"/>
  <c r="H38" i="42"/>
  <c r="G38" i="42"/>
  <c r="F38" i="42"/>
  <c r="E38" i="42"/>
  <c r="D38" i="42"/>
  <c r="BZ27" i="41"/>
  <c r="BZ76" i="41"/>
  <c r="BY27" i="41"/>
  <c r="BY76" i="41"/>
  <c r="BX27" i="41"/>
  <c r="BX76" i="41"/>
  <c r="BW27" i="41"/>
  <c r="BW76" i="41"/>
  <c r="BV27" i="41"/>
  <c r="BV76" i="41"/>
  <c r="BT27" i="41"/>
  <c r="BT76" i="41"/>
  <c r="BS27" i="41"/>
  <c r="BS76" i="41"/>
  <c r="BR27" i="41"/>
  <c r="BR76" i="41"/>
  <c r="BQ27" i="41"/>
  <c r="BQ76" i="41"/>
  <c r="BP27" i="41"/>
  <c r="BP76" i="41"/>
  <c r="BO27" i="41"/>
  <c r="BO76" i="41"/>
  <c r="BN27" i="41"/>
  <c r="BN76" i="41"/>
  <c r="BM27" i="41"/>
  <c r="BM76" i="41"/>
  <c r="BL27" i="41"/>
  <c r="BL76" i="41"/>
  <c r="BK27" i="41"/>
  <c r="BK76" i="41"/>
  <c r="BJ27" i="41"/>
  <c r="BJ76" i="41"/>
  <c r="BI27" i="41"/>
  <c r="BI76" i="41"/>
  <c r="BH27" i="41"/>
  <c r="BH76" i="41"/>
  <c r="BG27" i="41"/>
  <c r="BG76" i="41"/>
  <c r="BF27" i="41"/>
  <c r="BF76" i="41"/>
  <c r="BE27" i="41"/>
  <c r="BE76" i="41"/>
  <c r="BZ18" i="41"/>
  <c r="BZ75" i="41"/>
  <c r="BY18" i="41"/>
  <c r="BY75" i="41"/>
  <c r="BX18" i="41"/>
  <c r="BX75" i="41"/>
  <c r="BW18" i="41"/>
  <c r="BW75" i="41"/>
  <c r="BV18" i="41"/>
  <c r="BV75" i="41"/>
  <c r="BT18" i="41"/>
  <c r="BT75" i="41"/>
  <c r="BS18" i="41"/>
  <c r="BS75" i="41"/>
  <c r="BR18" i="41"/>
  <c r="BR75" i="41"/>
  <c r="BQ18" i="41"/>
  <c r="BQ75" i="41"/>
  <c r="BP18" i="41"/>
  <c r="BP75" i="41"/>
  <c r="BO18" i="41"/>
  <c r="BO75" i="41"/>
  <c r="BN18" i="41"/>
  <c r="BN75" i="41"/>
  <c r="BM18" i="41"/>
  <c r="BM75" i="41"/>
  <c r="BL18" i="41"/>
  <c r="BL75" i="41"/>
  <c r="BK18" i="41"/>
  <c r="BK75" i="41"/>
  <c r="BJ18" i="41"/>
  <c r="BJ75" i="41"/>
  <c r="BI18" i="41"/>
  <c r="BI75" i="41"/>
  <c r="BH18" i="41"/>
  <c r="BH75" i="41"/>
  <c r="BG18" i="41"/>
  <c r="BG75" i="41"/>
  <c r="BF18" i="41"/>
  <c r="BF75" i="41"/>
  <c r="BE18" i="41"/>
  <c r="BE75" i="41"/>
  <c r="BZ12" i="41"/>
  <c r="BZ74" i="41"/>
  <c r="BY12" i="41"/>
  <c r="BY74" i="41"/>
  <c r="BX12" i="41"/>
  <c r="BX74" i="41"/>
  <c r="BW12" i="41"/>
  <c r="BW74" i="41"/>
  <c r="BV12" i="41"/>
  <c r="BV74" i="41"/>
  <c r="BT12" i="41"/>
  <c r="BT74" i="41"/>
  <c r="BS12" i="41"/>
  <c r="BS74" i="41"/>
  <c r="BR12" i="41"/>
  <c r="BR74" i="41"/>
  <c r="BQ12" i="41"/>
  <c r="BQ74" i="41"/>
  <c r="BP12" i="41"/>
  <c r="BP74" i="41"/>
  <c r="BO12" i="41"/>
  <c r="BO74" i="41"/>
  <c r="BN12" i="41"/>
  <c r="BN74" i="41"/>
  <c r="BM12" i="41"/>
  <c r="BM74" i="41"/>
  <c r="BL12" i="41"/>
  <c r="BL74" i="41"/>
  <c r="BK12" i="41"/>
  <c r="BK74" i="41"/>
  <c r="BJ12" i="41"/>
  <c r="BJ74" i="41"/>
  <c r="BI12" i="41"/>
  <c r="BI74" i="41"/>
  <c r="BH12" i="41"/>
  <c r="BH74" i="41"/>
  <c r="BG12" i="41"/>
  <c r="BG74" i="41"/>
  <c r="BF12" i="41"/>
  <c r="BF74" i="41"/>
  <c r="BE12" i="41"/>
  <c r="BE74" i="41"/>
  <c r="BZ7" i="41"/>
  <c r="BZ73" i="41"/>
  <c r="BY7" i="41"/>
  <c r="BY73" i="41"/>
  <c r="BX7" i="41"/>
  <c r="BX73" i="41"/>
  <c r="BW7" i="41"/>
  <c r="BW73" i="41"/>
  <c r="BV7" i="41"/>
  <c r="BV73" i="41"/>
  <c r="BT7" i="41"/>
  <c r="BT73" i="41"/>
  <c r="BS7" i="41"/>
  <c r="BS73" i="41"/>
  <c r="BR7" i="41"/>
  <c r="BR73" i="41"/>
  <c r="BQ7" i="41"/>
  <c r="BQ73" i="41"/>
  <c r="BP7" i="41"/>
  <c r="BP73" i="41"/>
  <c r="BO7" i="41"/>
  <c r="BO73" i="41"/>
  <c r="BN7" i="41"/>
  <c r="BN73" i="41"/>
  <c r="BM7" i="41"/>
  <c r="BM73" i="41"/>
  <c r="BL7" i="41"/>
  <c r="BL73" i="41"/>
  <c r="BK7" i="41"/>
  <c r="BK73" i="41"/>
  <c r="BJ7" i="41"/>
  <c r="BJ73" i="41"/>
  <c r="BI7" i="41"/>
  <c r="BI73" i="41"/>
  <c r="BH7" i="41"/>
  <c r="BH73" i="41"/>
  <c r="BG7" i="41"/>
  <c r="BG73" i="41"/>
  <c r="BF7" i="41"/>
  <c r="BF73" i="41"/>
  <c r="BE7" i="41"/>
  <c r="BE73" i="41"/>
  <c r="BZ16" i="41"/>
  <c r="BZ72" i="41"/>
  <c r="BY16" i="41"/>
  <c r="BY72" i="41"/>
  <c r="BX16" i="41"/>
  <c r="BX72" i="41"/>
  <c r="BW16" i="41"/>
  <c r="BW72" i="41"/>
  <c r="BV16" i="41"/>
  <c r="BV72" i="41"/>
  <c r="BT16" i="41"/>
  <c r="BT72" i="41"/>
  <c r="BS16" i="41"/>
  <c r="BS72" i="41"/>
  <c r="BR16" i="41"/>
  <c r="BR72" i="41"/>
  <c r="BQ16" i="41"/>
  <c r="BQ72" i="41"/>
  <c r="BP16" i="41"/>
  <c r="BP72" i="41"/>
  <c r="BO16" i="41"/>
  <c r="BO72" i="41"/>
  <c r="BN16" i="41"/>
  <c r="BN72" i="41"/>
  <c r="BM16" i="41"/>
  <c r="BM72" i="41"/>
  <c r="BL16" i="41"/>
  <c r="BL72" i="41"/>
  <c r="BK16" i="41"/>
  <c r="BK72" i="41"/>
  <c r="BJ16" i="41"/>
  <c r="BJ72" i="41"/>
  <c r="BI16" i="41"/>
  <c r="BI72" i="41"/>
  <c r="BH16" i="41"/>
  <c r="BH72" i="41"/>
  <c r="BG16" i="41"/>
  <c r="BG72" i="41"/>
  <c r="BF16" i="41"/>
  <c r="BF72" i="41"/>
  <c r="BE16" i="41"/>
  <c r="BE72" i="41"/>
  <c r="BZ29" i="41"/>
  <c r="BZ71" i="41"/>
  <c r="BY29" i="41"/>
  <c r="BY71" i="41"/>
  <c r="BX29" i="41"/>
  <c r="BX71" i="41"/>
  <c r="BW29" i="41"/>
  <c r="BW71" i="41"/>
  <c r="BV29" i="41"/>
  <c r="BV71" i="41"/>
  <c r="BT29" i="41"/>
  <c r="BT71" i="41"/>
  <c r="BS29" i="41"/>
  <c r="BS71" i="41"/>
  <c r="BR29" i="41"/>
  <c r="BR71" i="41"/>
  <c r="BQ29" i="41"/>
  <c r="BQ71" i="41"/>
  <c r="BP29" i="41"/>
  <c r="BP71" i="41"/>
  <c r="BO29" i="41"/>
  <c r="BO71" i="41"/>
  <c r="BN29" i="41"/>
  <c r="BN71" i="41"/>
  <c r="BM29" i="41"/>
  <c r="BM71" i="41"/>
  <c r="BL29" i="41"/>
  <c r="BL71" i="41"/>
  <c r="BK29" i="41"/>
  <c r="BK71" i="41"/>
  <c r="BJ29" i="41"/>
  <c r="BJ71" i="41"/>
  <c r="BI29" i="41"/>
  <c r="BI71" i="41"/>
  <c r="BH29" i="41"/>
  <c r="BH71" i="41"/>
  <c r="BG29" i="41"/>
  <c r="BG71" i="41"/>
  <c r="BF29" i="41"/>
  <c r="BF71" i="41"/>
  <c r="BE29" i="41"/>
  <c r="BE71" i="41"/>
  <c r="BZ20" i="41"/>
  <c r="BZ70" i="41"/>
  <c r="BY20" i="41"/>
  <c r="BY70" i="41"/>
  <c r="BX20" i="41"/>
  <c r="BX70" i="41"/>
  <c r="BW20" i="41"/>
  <c r="BW70" i="41"/>
  <c r="BV20" i="41"/>
  <c r="BV70" i="41"/>
  <c r="BT20" i="41"/>
  <c r="BT70" i="41"/>
  <c r="BS20" i="41"/>
  <c r="BS70" i="41"/>
  <c r="BR20" i="41"/>
  <c r="BR70" i="41"/>
  <c r="BQ20" i="41"/>
  <c r="BQ70" i="41"/>
  <c r="BP20" i="41"/>
  <c r="BP70" i="41"/>
  <c r="BO20" i="41"/>
  <c r="BO70" i="41"/>
  <c r="BN20" i="41"/>
  <c r="BN70" i="41"/>
  <c r="BM20" i="41"/>
  <c r="BM70" i="41"/>
  <c r="BL20" i="41"/>
  <c r="BL70" i="41"/>
  <c r="BK20" i="41"/>
  <c r="BK70" i="41"/>
  <c r="BJ20" i="41"/>
  <c r="BJ70" i="41"/>
  <c r="BI20" i="41"/>
  <c r="BI70" i="41"/>
  <c r="BH20" i="41"/>
  <c r="BH70" i="41"/>
  <c r="BG20" i="41"/>
  <c r="BG70" i="41"/>
  <c r="BF20" i="41"/>
  <c r="BF70" i="41"/>
  <c r="BE20" i="41"/>
  <c r="BE70" i="41"/>
  <c r="BZ24" i="41"/>
  <c r="BZ69" i="41"/>
  <c r="BY24" i="41"/>
  <c r="BY69" i="41"/>
  <c r="BX24" i="41"/>
  <c r="BX69" i="41"/>
  <c r="BW24" i="41"/>
  <c r="BW69" i="41"/>
  <c r="BV24" i="41"/>
  <c r="BV69" i="41"/>
  <c r="BT24" i="41"/>
  <c r="BT69" i="41"/>
  <c r="BS24" i="41"/>
  <c r="BS69" i="41"/>
  <c r="BR24" i="41"/>
  <c r="BR69" i="41"/>
  <c r="BQ24" i="41"/>
  <c r="BQ69" i="41"/>
  <c r="BP24" i="41"/>
  <c r="BP69" i="41"/>
  <c r="BO24" i="41"/>
  <c r="BO69" i="41"/>
  <c r="BN24" i="41"/>
  <c r="BN69" i="41"/>
  <c r="BM24" i="41"/>
  <c r="BM69" i="41"/>
  <c r="BL24" i="41"/>
  <c r="BL69" i="41"/>
  <c r="BK24" i="41"/>
  <c r="BK69" i="41"/>
  <c r="BJ24" i="41"/>
  <c r="BJ69" i="41"/>
  <c r="BI24" i="41"/>
  <c r="BI69" i="41"/>
  <c r="BH24" i="41"/>
  <c r="BH69" i="41"/>
  <c r="BG24" i="41"/>
  <c r="BG69" i="41"/>
  <c r="BF24" i="41"/>
  <c r="BF69" i="41"/>
  <c r="BE24" i="41"/>
  <c r="BE69" i="41"/>
  <c r="BZ9" i="41"/>
  <c r="BZ68" i="41"/>
  <c r="BY9" i="41"/>
  <c r="BY68" i="41"/>
  <c r="BX9" i="41"/>
  <c r="BX68" i="41"/>
  <c r="BW9" i="41"/>
  <c r="BW68" i="41"/>
  <c r="BV9" i="41"/>
  <c r="BV68" i="41"/>
  <c r="BT9" i="41"/>
  <c r="BT68" i="41"/>
  <c r="BS9" i="41"/>
  <c r="BS68" i="41"/>
  <c r="BR9" i="41"/>
  <c r="BR68" i="41"/>
  <c r="BQ9" i="41"/>
  <c r="BQ68" i="41"/>
  <c r="BP9" i="41"/>
  <c r="BP68" i="41"/>
  <c r="BO9" i="41"/>
  <c r="BO68" i="41"/>
  <c r="BN9" i="41"/>
  <c r="BN68" i="41"/>
  <c r="BM9" i="41"/>
  <c r="BM68" i="41"/>
  <c r="BL9" i="41"/>
  <c r="BL68" i="41"/>
  <c r="BK9" i="41"/>
  <c r="BK68" i="41"/>
  <c r="BJ9" i="41"/>
  <c r="BJ68" i="41"/>
  <c r="BI9" i="41"/>
  <c r="BI68" i="41"/>
  <c r="BH9" i="41"/>
  <c r="BH68" i="41"/>
  <c r="BG9" i="41"/>
  <c r="BG68" i="41"/>
  <c r="BF9" i="41"/>
  <c r="BF68" i="41"/>
  <c r="BE9" i="41"/>
  <c r="BE68" i="41"/>
  <c r="BZ5" i="41"/>
  <c r="BZ67" i="41"/>
  <c r="BY5" i="41"/>
  <c r="BY67" i="41"/>
  <c r="BX5" i="41"/>
  <c r="BX67" i="41"/>
  <c r="BW5" i="41"/>
  <c r="BW67" i="41"/>
  <c r="BV5" i="41"/>
  <c r="BV67" i="41"/>
  <c r="BT5" i="41"/>
  <c r="BT67" i="41"/>
  <c r="BS5" i="41"/>
  <c r="BS67" i="41"/>
  <c r="BR5" i="41"/>
  <c r="BR67" i="41"/>
  <c r="BQ5" i="41"/>
  <c r="BQ67" i="41"/>
  <c r="BP5" i="41"/>
  <c r="BP67" i="41"/>
  <c r="BO5" i="41"/>
  <c r="BO67" i="41"/>
  <c r="BN5" i="41"/>
  <c r="BN67" i="41"/>
  <c r="BM5" i="41"/>
  <c r="BM67" i="41"/>
  <c r="BL5" i="41"/>
  <c r="BL67" i="41"/>
  <c r="BK5" i="41"/>
  <c r="BK67" i="41"/>
  <c r="BJ5" i="41"/>
  <c r="BJ67" i="41"/>
  <c r="BI5" i="41"/>
  <c r="BI67" i="41"/>
  <c r="BH5" i="41"/>
  <c r="BH67" i="41"/>
  <c r="BG5" i="41"/>
  <c r="BG67" i="41"/>
  <c r="BF5" i="41"/>
  <c r="BF67" i="41"/>
  <c r="BE5" i="41"/>
  <c r="BE67" i="41"/>
  <c r="BZ17" i="41"/>
  <c r="BZ66" i="41"/>
  <c r="BY17" i="41"/>
  <c r="BY66" i="41"/>
  <c r="BX17" i="41"/>
  <c r="BX66" i="41"/>
  <c r="BW17" i="41"/>
  <c r="BW66" i="41"/>
  <c r="BV17" i="41"/>
  <c r="BV66" i="41"/>
  <c r="BT17" i="41"/>
  <c r="BT66" i="41"/>
  <c r="BS17" i="41"/>
  <c r="BS66" i="41"/>
  <c r="BR17" i="41"/>
  <c r="BR66" i="41"/>
  <c r="BQ17" i="41"/>
  <c r="BQ66" i="41"/>
  <c r="BP17" i="41"/>
  <c r="BP66" i="41"/>
  <c r="BO17" i="41"/>
  <c r="BO66" i="41"/>
  <c r="BN17" i="41"/>
  <c r="BN66" i="41"/>
  <c r="BM17" i="41"/>
  <c r="BM66" i="41"/>
  <c r="BL17" i="41"/>
  <c r="BL66" i="41"/>
  <c r="BK17" i="41"/>
  <c r="BK66" i="41"/>
  <c r="BJ17" i="41"/>
  <c r="BJ66" i="41"/>
  <c r="BI17" i="41"/>
  <c r="BI66" i="41"/>
  <c r="BH17" i="41"/>
  <c r="BH66" i="41"/>
  <c r="BG17" i="41"/>
  <c r="BG66" i="41"/>
  <c r="BF17" i="41"/>
  <c r="BF66" i="41"/>
  <c r="BE17" i="41"/>
  <c r="BE66" i="41"/>
  <c r="BZ21" i="41"/>
  <c r="BZ65" i="41"/>
  <c r="BY21" i="41"/>
  <c r="BY65" i="41"/>
  <c r="BX21" i="41"/>
  <c r="BX65" i="41"/>
  <c r="BW21" i="41"/>
  <c r="BW65" i="41"/>
  <c r="BV21" i="41"/>
  <c r="BV65" i="41"/>
  <c r="BT21" i="41"/>
  <c r="BT65" i="41"/>
  <c r="BS21" i="41"/>
  <c r="BS65" i="41"/>
  <c r="BR21" i="41"/>
  <c r="BR65" i="41"/>
  <c r="BQ21" i="41"/>
  <c r="BQ65" i="41"/>
  <c r="BP21" i="41"/>
  <c r="BP65" i="41"/>
  <c r="BO21" i="41"/>
  <c r="BO65" i="41"/>
  <c r="BN21" i="41"/>
  <c r="BN65" i="41"/>
  <c r="BM21" i="41"/>
  <c r="BM65" i="41"/>
  <c r="BL21" i="41"/>
  <c r="BL65" i="41"/>
  <c r="BK21" i="41"/>
  <c r="BK65" i="41"/>
  <c r="BJ21" i="41"/>
  <c r="BJ65" i="41"/>
  <c r="BI21" i="41"/>
  <c r="BI65" i="41"/>
  <c r="BH21" i="41"/>
  <c r="BH65" i="41"/>
  <c r="BG21" i="41"/>
  <c r="BG65" i="41"/>
  <c r="BF21" i="41"/>
  <c r="BF65" i="41"/>
  <c r="BE21" i="41"/>
  <c r="BE65" i="41"/>
  <c r="BZ25" i="41"/>
  <c r="BZ64" i="41"/>
  <c r="BY25" i="41"/>
  <c r="BY64" i="41"/>
  <c r="BX25" i="41"/>
  <c r="BX64" i="41"/>
  <c r="BW25" i="41"/>
  <c r="BW64" i="41"/>
  <c r="BV25" i="41"/>
  <c r="BV64" i="41"/>
  <c r="BT25" i="41"/>
  <c r="BT64" i="41"/>
  <c r="BS25" i="41"/>
  <c r="BS64" i="41"/>
  <c r="BR25" i="41"/>
  <c r="BR64" i="41"/>
  <c r="BQ25" i="41"/>
  <c r="BQ64" i="41"/>
  <c r="BP25" i="41"/>
  <c r="BP64" i="41"/>
  <c r="BO25" i="41"/>
  <c r="BO64" i="41"/>
  <c r="BN25" i="41"/>
  <c r="BN64" i="41"/>
  <c r="BM25" i="41"/>
  <c r="BM64" i="41"/>
  <c r="BL25" i="41"/>
  <c r="BL64" i="41"/>
  <c r="BK25" i="41"/>
  <c r="BK64" i="41"/>
  <c r="BJ25" i="41"/>
  <c r="BJ64" i="41"/>
  <c r="BI25" i="41"/>
  <c r="BI64" i="41"/>
  <c r="BH25" i="41"/>
  <c r="BH64" i="41"/>
  <c r="BG25" i="41"/>
  <c r="BG64" i="41"/>
  <c r="BF25" i="41"/>
  <c r="BF64" i="41"/>
  <c r="BE25" i="41"/>
  <c r="BE64" i="41"/>
  <c r="BZ62" i="41"/>
  <c r="BY62" i="41"/>
  <c r="BX62" i="41"/>
  <c r="BW62" i="41"/>
  <c r="BV62" i="41"/>
  <c r="BT62" i="41"/>
  <c r="BS62" i="41"/>
  <c r="BR62" i="41"/>
  <c r="BQ62" i="41"/>
  <c r="BP62" i="41"/>
  <c r="BO62" i="41"/>
  <c r="BN62" i="41"/>
  <c r="BM62" i="41"/>
  <c r="BL62" i="41"/>
  <c r="BK62" i="41"/>
  <c r="BJ62" i="41"/>
  <c r="BI62" i="41"/>
  <c r="BH62" i="41"/>
  <c r="BG62" i="41"/>
  <c r="BF62" i="41"/>
  <c r="BE62" i="41"/>
  <c r="BZ61" i="41"/>
  <c r="BY61" i="41"/>
  <c r="BX61" i="41"/>
  <c r="BW61" i="41"/>
  <c r="BV61" i="41"/>
  <c r="BT61" i="41"/>
  <c r="BS61" i="41"/>
  <c r="BR61" i="41"/>
  <c r="BQ61" i="41"/>
  <c r="BP61" i="41"/>
  <c r="BO61" i="41"/>
  <c r="BN61" i="41"/>
  <c r="BM61" i="41"/>
  <c r="BL61" i="41"/>
  <c r="BK61" i="41"/>
  <c r="BJ61" i="41"/>
  <c r="BI61" i="41"/>
  <c r="BH61" i="41"/>
  <c r="BG61" i="41"/>
  <c r="BF61" i="41"/>
  <c r="BE61" i="41"/>
  <c r="BZ60" i="41"/>
  <c r="BY60" i="41"/>
  <c r="BX60" i="41"/>
  <c r="BW60" i="41"/>
  <c r="BV60" i="41"/>
  <c r="BT60" i="41"/>
  <c r="BS60" i="41"/>
  <c r="BR60" i="41"/>
  <c r="BQ60" i="41"/>
  <c r="BP60" i="41"/>
  <c r="BO60" i="41"/>
  <c r="BN60" i="41"/>
  <c r="BM60" i="41"/>
  <c r="BL60" i="41"/>
  <c r="BK60" i="41"/>
  <c r="BJ60" i="41"/>
  <c r="BI60" i="41"/>
  <c r="BH60" i="41"/>
  <c r="BG60" i="41"/>
  <c r="BF60" i="41"/>
  <c r="BE60" i="41"/>
  <c r="BZ59" i="41"/>
  <c r="BY59" i="41"/>
  <c r="BX59" i="41"/>
  <c r="BW59" i="41"/>
  <c r="BV59" i="41"/>
  <c r="BT59" i="41"/>
  <c r="BS59" i="41"/>
  <c r="BR59" i="41"/>
  <c r="BQ59" i="41"/>
  <c r="BP59" i="41"/>
  <c r="BO59" i="41"/>
  <c r="BN59" i="41"/>
  <c r="BM59" i="41"/>
  <c r="BL59" i="41"/>
  <c r="BK59" i="41"/>
  <c r="BJ59" i="41"/>
  <c r="BI59" i="41"/>
  <c r="BH59" i="41"/>
  <c r="BG59" i="41"/>
  <c r="BF59" i="41"/>
  <c r="BE59" i="41"/>
  <c r="BZ58" i="41"/>
  <c r="BY58" i="41"/>
  <c r="BX58" i="41"/>
  <c r="BW58" i="41"/>
  <c r="BV58" i="41"/>
  <c r="BT58" i="41"/>
  <c r="BS58" i="41"/>
  <c r="BR58" i="41"/>
  <c r="BQ58" i="41"/>
  <c r="BP58" i="41"/>
  <c r="BO58" i="41"/>
  <c r="BN58" i="41"/>
  <c r="BM58" i="41"/>
  <c r="BL58" i="41"/>
  <c r="BK58" i="41"/>
  <c r="BJ58" i="41"/>
  <c r="BI58" i="41"/>
  <c r="BH58" i="41"/>
  <c r="BG58" i="41"/>
  <c r="BF58" i="41"/>
  <c r="BE58" i="41"/>
  <c r="BZ57" i="41"/>
  <c r="BY57" i="41"/>
  <c r="BX57" i="41"/>
  <c r="BW57" i="41"/>
  <c r="BV57" i="41"/>
  <c r="BT57" i="41"/>
  <c r="BS57" i="41"/>
  <c r="BR57" i="41"/>
  <c r="BQ57" i="41"/>
  <c r="BP57" i="41"/>
  <c r="BO57" i="41"/>
  <c r="BN57" i="41"/>
  <c r="BM57" i="41"/>
  <c r="BL57" i="41"/>
  <c r="BK57" i="41"/>
  <c r="BJ57" i="41"/>
  <c r="BI57" i="41"/>
  <c r="BH57" i="41"/>
  <c r="BG57" i="41"/>
  <c r="BF57" i="41"/>
  <c r="BE57" i="41"/>
  <c r="BZ56" i="41"/>
  <c r="BY56" i="41"/>
  <c r="BX56" i="41"/>
  <c r="BW56" i="41"/>
  <c r="BV56" i="41"/>
  <c r="BT56" i="41"/>
  <c r="BS56" i="41"/>
  <c r="BR56" i="41"/>
  <c r="BQ56" i="41"/>
  <c r="BP56" i="41"/>
  <c r="BO56" i="41"/>
  <c r="BN56" i="41"/>
  <c r="BM56" i="41"/>
  <c r="BL56" i="41"/>
  <c r="BK56" i="41"/>
  <c r="BJ56" i="41"/>
  <c r="BI56" i="41"/>
  <c r="BH56" i="41"/>
  <c r="BG56" i="41"/>
  <c r="BF56" i="41"/>
  <c r="BE56" i="41"/>
  <c r="BZ55" i="41"/>
  <c r="BY55" i="41"/>
  <c r="BX55" i="41"/>
  <c r="BW55" i="41"/>
  <c r="BV55" i="41"/>
  <c r="BT55" i="41"/>
  <c r="BS55" i="41"/>
  <c r="BR55" i="41"/>
  <c r="BQ55" i="41"/>
  <c r="BP55" i="41"/>
  <c r="BO55" i="41"/>
  <c r="BN55" i="41"/>
  <c r="BM55" i="41"/>
  <c r="BL55" i="41"/>
  <c r="BK55" i="41"/>
  <c r="BJ55" i="41"/>
  <c r="BI55" i="41"/>
  <c r="BH55" i="41"/>
  <c r="BG55" i="41"/>
  <c r="BF55" i="41"/>
  <c r="BE55" i="41"/>
  <c r="BZ54" i="41"/>
  <c r="BY54" i="41"/>
  <c r="BX54" i="41"/>
  <c r="BW54" i="41"/>
  <c r="BV54" i="41"/>
  <c r="BT54" i="41"/>
  <c r="BS54" i="41"/>
  <c r="BR54" i="41"/>
  <c r="BQ54" i="41"/>
  <c r="BP54" i="41"/>
  <c r="BO54" i="41"/>
  <c r="BN54" i="41"/>
  <c r="BM54" i="41"/>
  <c r="BL54" i="41"/>
  <c r="BK54" i="41"/>
  <c r="BJ54" i="41"/>
  <c r="BI54" i="41"/>
  <c r="BH54" i="41"/>
  <c r="BG54" i="41"/>
  <c r="BF54" i="41"/>
  <c r="BE54" i="41"/>
  <c r="BZ53" i="41"/>
  <c r="BY53" i="41"/>
  <c r="BX53" i="41"/>
  <c r="BW53" i="41"/>
  <c r="BV53" i="41"/>
  <c r="BT53" i="41"/>
  <c r="BS53" i="41"/>
  <c r="BR53" i="41"/>
  <c r="BQ53" i="41"/>
  <c r="BP53" i="41"/>
  <c r="BO53" i="41"/>
  <c r="BN53" i="41"/>
  <c r="BM53" i="41"/>
  <c r="BL53" i="41"/>
  <c r="BK53" i="41"/>
  <c r="BJ53" i="41"/>
  <c r="BI53" i="41"/>
  <c r="BH53" i="41"/>
  <c r="BG53" i="41"/>
  <c r="BF53" i="41"/>
  <c r="BE53" i="41"/>
  <c r="BZ52" i="41"/>
  <c r="BY52" i="41"/>
  <c r="BX52" i="41"/>
  <c r="BW52" i="41"/>
  <c r="BV52" i="41"/>
  <c r="BT52" i="41"/>
  <c r="BS52" i="41"/>
  <c r="BR52" i="41"/>
  <c r="BQ52" i="41"/>
  <c r="BP52" i="41"/>
  <c r="BO52" i="41"/>
  <c r="BN52" i="41"/>
  <c r="BM52" i="41"/>
  <c r="BL52" i="41"/>
  <c r="BK52" i="41"/>
  <c r="BJ52" i="41"/>
  <c r="BI52" i="41"/>
  <c r="BH52" i="41"/>
  <c r="BG52" i="41"/>
  <c r="BF52" i="41"/>
  <c r="BE52" i="41"/>
  <c r="BZ51" i="41"/>
  <c r="BY51" i="41"/>
  <c r="BX51" i="41"/>
  <c r="BW51" i="41"/>
  <c r="BV51" i="41"/>
  <c r="BT51" i="41"/>
  <c r="BS51" i="41"/>
  <c r="BR51" i="41"/>
  <c r="BQ51" i="41"/>
  <c r="BP51" i="41"/>
  <c r="BO51" i="41"/>
  <c r="BN51" i="41"/>
  <c r="BM51" i="41"/>
  <c r="BL51" i="41"/>
  <c r="BK51" i="41"/>
  <c r="BJ51" i="41"/>
  <c r="BI51" i="41"/>
  <c r="BH51" i="41"/>
  <c r="BG51" i="41"/>
  <c r="BF51" i="41"/>
  <c r="BE51" i="41"/>
  <c r="BZ50" i="41"/>
  <c r="BY50" i="41"/>
  <c r="BX50" i="41"/>
  <c r="BW50" i="41"/>
  <c r="BV50" i="41"/>
  <c r="BT50" i="41"/>
  <c r="BS50" i="41"/>
  <c r="BR50" i="41"/>
  <c r="BQ50" i="41"/>
  <c r="BP50" i="41"/>
  <c r="BO50" i="41"/>
  <c r="BN50" i="41"/>
  <c r="BM50" i="41"/>
  <c r="BL50" i="41"/>
  <c r="BK50" i="41"/>
  <c r="BJ50" i="41"/>
  <c r="BI50" i="41"/>
  <c r="BH50" i="41"/>
  <c r="BG50" i="41"/>
  <c r="BF50" i="41"/>
  <c r="BE50" i="41"/>
  <c r="BZ23" i="41"/>
  <c r="BZ49" i="41"/>
  <c r="BY23" i="41"/>
  <c r="BY49" i="41"/>
  <c r="BX23" i="41"/>
  <c r="BX49" i="41"/>
  <c r="BW23" i="41"/>
  <c r="BW49" i="41"/>
  <c r="BV23" i="41"/>
  <c r="BV49" i="41"/>
  <c r="BT23" i="41"/>
  <c r="BT49" i="41"/>
  <c r="BS23" i="41"/>
  <c r="BS49" i="41"/>
  <c r="BR23" i="41"/>
  <c r="BR49" i="41"/>
  <c r="BQ23" i="41"/>
  <c r="BQ49" i="41"/>
  <c r="BP23" i="41"/>
  <c r="BP49" i="41"/>
  <c r="BO23" i="41"/>
  <c r="BO49" i="41"/>
  <c r="BN23" i="41"/>
  <c r="BN49" i="41"/>
  <c r="BM23" i="41"/>
  <c r="BM49" i="41"/>
  <c r="BL23" i="41"/>
  <c r="BL49" i="41"/>
  <c r="BK23" i="41"/>
  <c r="BK49" i="41"/>
  <c r="BJ23" i="41"/>
  <c r="BJ49" i="41"/>
  <c r="BI23" i="41"/>
  <c r="BI49" i="41"/>
  <c r="BH23" i="41"/>
  <c r="BH49" i="41"/>
  <c r="BG23" i="41"/>
  <c r="BG49" i="41"/>
  <c r="BF23" i="41"/>
  <c r="BF49" i="41"/>
  <c r="BE23" i="41"/>
  <c r="BE49" i="41"/>
  <c r="BZ47" i="41"/>
  <c r="BZ6" i="41"/>
  <c r="BY47" i="41"/>
  <c r="BY6" i="41"/>
  <c r="BX47" i="41"/>
  <c r="BX6" i="41"/>
  <c r="BW47" i="41"/>
  <c r="BV47" i="41"/>
  <c r="BV6" i="41"/>
  <c r="BT47" i="41"/>
  <c r="BT6" i="41"/>
  <c r="BS47" i="41"/>
  <c r="BS6" i="41"/>
  <c r="BR47" i="41"/>
  <c r="BR6" i="41"/>
  <c r="BQ47" i="41"/>
  <c r="BQ6" i="41"/>
  <c r="BP47" i="41"/>
  <c r="BP6" i="41"/>
  <c r="BO47" i="41"/>
  <c r="BO6" i="41"/>
  <c r="BN47" i="41"/>
  <c r="BN6" i="41"/>
  <c r="BM47" i="41"/>
  <c r="BM6" i="41"/>
  <c r="BL47" i="41"/>
  <c r="BL6" i="41"/>
  <c r="BK47" i="41"/>
  <c r="BK6" i="41"/>
  <c r="BJ47" i="41"/>
  <c r="BJ6" i="41"/>
  <c r="BI47" i="41"/>
  <c r="BI6" i="41"/>
  <c r="BH47" i="41"/>
  <c r="BH6" i="41"/>
  <c r="BG47" i="41"/>
  <c r="BG6" i="41"/>
  <c r="BF47" i="41"/>
  <c r="BE6" i="41"/>
  <c r="BE47" i="41"/>
  <c r="BZ46" i="41"/>
  <c r="BZ10" i="41"/>
  <c r="BY46" i="41"/>
  <c r="BY10" i="41"/>
  <c r="BX46" i="41"/>
  <c r="BX10" i="41"/>
  <c r="BW46" i="41"/>
  <c r="BV46" i="41"/>
  <c r="BV10" i="41"/>
  <c r="BT46" i="41"/>
  <c r="BT10" i="41"/>
  <c r="BS46" i="41"/>
  <c r="BS10" i="41"/>
  <c r="BR46" i="41"/>
  <c r="BR10" i="41"/>
  <c r="BQ46" i="41"/>
  <c r="BQ10" i="41"/>
  <c r="BP46" i="41"/>
  <c r="BP10" i="41"/>
  <c r="BO46" i="41"/>
  <c r="BO10" i="41"/>
  <c r="BN46" i="41"/>
  <c r="BN10" i="41"/>
  <c r="BM46" i="41"/>
  <c r="BM10" i="41"/>
  <c r="BL46" i="41"/>
  <c r="BL10" i="41"/>
  <c r="BK46" i="41"/>
  <c r="BK10" i="41"/>
  <c r="BJ46" i="41"/>
  <c r="BJ10" i="41"/>
  <c r="BI46" i="41"/>
  <c r="BI10" i="41"/>
  <c r="BH46" i="41"/>
  <c r="BH10" i="41"/>
  <c r="BG46" i="41"/>
  <c r="BG10" i="41"/>
  <c r="BF46" i="41"/>
  <c r="BE10" i="41"/>
  <c r="BE46" i="41"/>
  <c r="BZ15" i="41"/>
  <c r="BZ44" i="41"/>
  <c r="BY15" i="41"/>
  <c r="BY44" i="41"/>
  <c r="BX15" i="41"/>
  <c r="BX44" i="41"/>
  <c r="BW15" i="41"/>
  <c r="BW44" i="41"/>
  <c r="BV15" i="41"/>
  <c r="BV44" i="41"/>
  <c r="BT15" i="41"/>
  <c r="BT44" i="41"/>
  <c r="BS15" i="41"/>
  <c r="BS44" i="41"/>
  <c r="BR15" i="41"/>
  <c r="BR44" i="41"/>
  <c r="BQ15" i="41"/>
  <c r="BQ44" i="41"/>
  <c r="BP15" i="41"/>
  <c r="BP44" i="41"/>
  <c r="BO15" i="41"/>
  <c r="BO44" i="41"/>
  <c r="BN15" i="41"/>
  <c r="BN44" i="41"/>
  <c r="BM15" i="41"/>
  <c r="BM44" i="41"/>
  <c r="BL15" i="41"/>
  <c r="BL44" i="41"/>
  <c r="BK15" i="41"/>
  <c r="BK44" i="41"/>
  <c r="BJ15" i="41"/>
  <c r="BJ44" i="41"/>
  <c r="BI15" i="41"/>
  <c r="BI44" i="41"/>
  <c r="BH15" i="41"/>
  <c r="BH44" i="41"/>
  <c r="BG15" i="41"/>
  <c r="BG44" i="41"/>
  <c r="BF15" i="41"/>
  <c r="BF44" i="41"/>
  <c r="BE15" i="41"/>
  <c r="BE44" i="41"/>
  <c r="BZ28" i="41"/>
  <c r="BZ43" i="41"/>
  <c r="BY28" i="41"/>
  <c r="BY43" i="41"/>
  <c r="BX28" i="41"/>
  <c r="BX43" i="41"/>
  <c r="BW28" i="41"/>
  <c r="BW43" i="41"/>
  <c r="BV28" i="41"/>
  <c r="BV43" i="41"/>
  <c r="BT28" i="41"/>
  <c r="BT43" i="41"/>
  <c r="BS28" i="41"/>
  <c r="BS43" i="41"/>
  <c r="BR28" i="41"/>
  <c r="BR43" i="41"/>
  <c r="BQ28" i="41"/>
  <c r="BQ43" i="41"/>
  <c r="BP28" i="41"/>
  <c r="BP43" i="41"/>
  <c r="BO28" i="41"/>
  <c r="BO43" i="41"/>
  <c r="BN28" i="41"/>
  <c r="BN43" i="41"/>
  <c r="BM28" i="41"/>
  <c r="BM43" i="41"/>
  <c r="BL28" i="41"/>
  <c r="BL43" i="41"/>
  <c r="BK28" i="41"/>
  <c r="BK43" i="41"/>
  <c r="BJ28" i="41"/>
  <c r="BJ43" i="41"/>
  <c r="BI28" i="41"/>
  <c r="BI43" i="41"/>
  <c r="BH28" i="41"/>
  <c r="BH43" i="41"/>
  <c r="BG28" i="41"/>
  <c r="BG43" i="41"/>
  <c r="BF28" i="41"/>
  <c r="BF43" i="41"/>
  <c r="BE28" i="41"/>
  <c r="BE43" i="41"/>
  <c r="BZ19" i="41"/>
  <c r="BZ42" i="41"/>
  <c r="BY19" i="41"/>
  <c r="BY42" i="41"/>
  <c r="BX19" i="41"/>
  <c r="BX42" i="41"/>
  <c r="BW19" i="41"/>
  <c r="BW42" i="41"/>
  <c r="BV19" i="41"/>
  <c r="BV42" i="41"/>
  <c r="BT19" i="41"/>
  <c r="BT42" i="41"/>
  <c r="BS19" i="41"/>
  <c r="BS42" i="41"/>
  <c r="BR19" i="41"/>
  <c r="BR42" i="41"/>
  <c r="BQ19" i="41"/>
  <c r="BQ42" i="41"/>
  <c r="BP19" i="41"/>
  <c r="BP42" i="41"/>
  <c r="BO19" i="41"/>
  <c r="BO42" i="41"/>
  <c r="BN19" i="41"/>
  <c r="BN42" i="41"/>
  <c r="BM19" i="41"/>
  <c r="BM42" i="41"/>
  <c r="BL19" i="41"/>
  <c r="BL42" i="41"/>
  <c r="BK19" i="41"/>
  <c r="BK42" i="41"/>
  <c r="BJ19" i="41"/>
  <c r="BJ42" i="41"/>
  <c r="BI19" i="41"/>
  <c r="BI42" i="41"/>
  <c r="BH19" i="41"/>
  <c r="BH42" i="41"/>
  <c r="BG19" i="41"/>
  <c r="BG42" i="41"/>
  <c r="BF19" i="41"/>
  <c r="BF42" i="41"/>
  <c r="BE19" i="41"/>
  <c r="BE42" i="41"/>
  <c r="BZ8" i="41"/>
  <c r="BZ41" i="41"/>
  <c r="BY8" i="41"/>
  <c r="BY41" i="41"/>
  <c r="BX8" i="41"/>
  <c r="BX41" i="41"/>
  <c r="BW8" i="41"/>
  <c r="BW41" i="41"/>
  <c r="BV8" i="41"/>
  <c r="BV41" i="41"/>
  <c r="BT8" i="41"/>
  <c r="BT41" i="41"/>
  <c r="BS8" i="41"/>
  <c r="BS41" i="41"/>
  <c r="BR8" i="41"/>
  <c r="BR41" i="41"/>
  <c r="BQ8" i="41"/>
  <c r="BQ41" i="41"/>
  <c r="BP8" i="41"/>
  <c r="BP41" i="41"/>
  <c r="BO8" i="41"/>
  <c r="BO41" i="41"/>
  <c r="BN8" i="41"/>
  <c r="BN41" i="41"/>
  <c r="BM8" i="41"/>
  <c r="BM41" i="41"/>
  <c r="BL8" i="41"/>
  <c r="BL41" i="41"/>
  <c r="BK8" i="41"/>
  <c r="BK41" i="41"/>
  <c r="BJ8" i="41"/>
  <c r="BJ41" i="41"/>
  <c r="BI8" i="41"/>
  <c r="BI41" i="41"/>
  <c r="BH8" i="41"/>
  <c r="BH41" i="41"/>
  <c r="BG8" i="41"/>
  <c r="BG41" i="41"/>
  <c r="BF8" i="41"/>
  <c r="BF41" i="41"/>
  <c r="BE8" i="41"/>
  <c r="BE41" i="41"/>
  <c r="BZ4" i="41"/>
  <c r="BZ40" i="41"/>
  <c r="BY4" i="41"/>
  <c r="BY40" i="41"/>
  <c r="BX4" i="41"/>
  <c r="BX40" i="41"/>
  <c r="BW4" i="41"/>
  <c r="BW40" i="41"/>
  <c r="BV4" i="41"/>
  <c r="BV40" i="41"/>
  <c r="BT4" i="41"/>
  <c r="BT40" i="41"/>
  <c r="BS4" i="41"/>
  <c r="BS40" i="41"/>
  <c r="BR4" i="41"/>
  <c r="BR40" i="41"/>
  <c r="BQ4" i="41"/>
  <c r="BQ40" i="41"/>
  <c r="BP4" i="41"/>
  <c r="BP40" i="41"/>
  <c r="BO4" i="41"/>
  <c r="BO40" i="41"/>
  <c r="BN4" i="41"/>
  <c r="BN40" i="41"/>
  <c r="BM4" i="41"/>
  <c r="BM40" i="41"/>
  <c r="BL4" i="41"/>
  <c r="BL40" i="41"/>
  <c r="BK4" i="41"/>
  <c r="BK40" i="41"/>
  <c r="BJ4" i="41"/>
  <c r="BJ40" i="41"/>
  <c r="BI4" i="41"/>
  <c r="BI40" i="41"/>
  <c r="BH4" i="41"/>
  <c r="BH40" i="41"/>
  <c r="BG4" i="41"/>
  <c r="BG40" i="41"/>
  <c r="BF4" i="41"/>
  <c r="BF40" i="41"/>
  <c r="BE4" i="41"/>
  <c r="BE40" i="41"/>
  <c r="BZ11" i="41"/>
  <c r="BZ39" i="41"/>
  <c r="BY11" i="41"/>
  <c r="BY39" i="41"/>
  <c r="BX11" i="41"/>
  <c r="BX39" i="41"/>
  <c r="BW11" i="41"/>
  <c r="BW39" i="41"/>
  <c r="BV11" i="41"/>
  <c r="BV39" i="41"/>
  <c r="BT11" i="41"/>
  <c r="BT39" i="41"/>
  <c r="BS11" i="41"/>
  <c r="BS39" i="41"/>
  <c r="BR11" i="41"/>
  <c r="BR39" i="41"/>
  <c r="BQ11" i="41"/>
  <c r="BQ39" i="41"/>
  <c r="BP11" i="41"/>
  <c r="BP39" i="41"/>
  <c r="BO11" i="41"/>
  <c r="BO39" i="41"/>
  <c r="BN11" i="41"/>
  <c r="BN39" i="41"/>
  <c r="BM11" i="41"/>
  <c r="BM39" i="41"/>
  <c r="BL11" i="41"/>
  <c r="BL39" i="41"/>
  <c r="BK11" i="41"/>
  <c r="BK39" i="41"/>
  <c r="BJ11" i="41"/>
  <c r="BJ39" i="41"/>
  <c r="BI11" i="41"/>
  <c r="BI39" i="41"/>
  <c r="BH11" i="41"/>
  <c r="BH39" i="41"/>
  <c r="BG11" i="41"/>
  <c r="BG39" i="41"/>
  <c r="BF11" i="41"/>
  <c r="BF39" i="41"/>
  <c r="BE11" i="41"/>
  <c r="BE39" i="41"/>
  <c r="BZ2" i="41"/>
  <c r="BZ38" i="41"/>
  <c r="BY2" i="41"/>
  <c r="BY38" i="41"/>
  <c r="BX2" i="41"/>
  <c r="BX38" i="41"/>
  <c r="BW2" i="41"/>
  <c r="BW38" i="41"/>
  <c r="BV2" i="41"/>
  <c r="BV38" i="41"/>
  <c r="BT2" i="41"/>
  <c r="BT38" i="41"/>
  <c r="BS2" i="41"/>
  <c r="BS38" i="41"/>
  <c r="BR2" i="41"/>
  <c r="BR38" i="41"/>
  <c r="BQ2" i="41"/>
  <c r="BQ38" i="41"/>
  <c r="BP2" i="41"/>
  <c r="BP38" i="41"/>
  <c r="BO2" i="41"/>
  <c r="BO38" i="41"/>
  <c r="BN2" i="41"/>
  <c r="BN38" i="41"/>
  <c r="BM2" i="41"/>
  <c r="BM38" i="41"/>
  <c r="BL2" i="41"/>
  <c r="BL38" i="41"/>
  <c r="BK2" i="41"/>
  <c r="BK38" i="41"/>
  <c r="BJ2" i="41"/>
  <c r="BJ38" i="41"/>
  <c r="BI2" i="41"/>
  <c r="BI38" i="41"/>
  <c r="BH2" i="41"/>
  <c r="BH38" i="41"/>
  <c r="BG2" i="41"/>
  <c r="BG38" i="41"/>
  <c r="BF2" i="41"/>
  <c r="BF38" i="41"/>
  <c r="BE2" i="41"/>
  <c r="BE38" i="41"/>
  <c r="BZ22" i="41"/>
  <c r="BZ37" i="41"/>
  <c r="BY22" i="41"/>
  <c r="BY37" i="41"/>
  <c r="BX22" i="41"/>
  <c r="BX37" i="41"/>
  <c r="BW22" i="41"/>
  <c r="BW37" i="41"/>
  <c r="BV22" i="41"/>
  <c r="BV37" i="41"/>
  <c r="BT22" i="41"/>
  <c r="BT37" i="41"/>
  <c r="BS22" i="41"/>
  <c r="BS37" i="41"/>
  <c r="BR22" i="41"/>
  <c r="BR37" i="41"/>
  <c r="BQ22" i="41"/>
  <c r="BQ37" i="41"/>
  <c r="BP22" i="41"/>
  <c r="BP37" i="41"/>
  <c r="BO22" i="41"/>
  <c r="BO37" i="41"/>
  <c r="BN22" i="41"/>
  <c r="BN37" i="41"/>
  <c r="BM22" i="41"/>
  <c r="BM37" i="41"/>
  <c r="BL22" i="41"/>
  <c r="BL37" i="41"/>
  <c r="BK22" i="41"/>
  <c r="BK37" i="41"/>
  <c r="BJ22" i="41"/>
  <c r="BJ37" i="41"/>
  <c r="BI22" i="41"/>
  <c r="BI37" i="41"/>
  <c r="BH22" i="41"/>
  <c r="BH37" i="41"/>
  <c r="BG22" i="41"/>
  <c r="BG37" i="41"/>
  <c r="BF22" i="41"/>
  <c r="BF37" i="41"/>
  <c r="BE22" i="41"/>
  <c r="BE37" i="41"/>
  <c r="BZ26" i="41"/>
  <c r="BZ36" i="41"/>
  <c r="BY26" i="41"/>
  <c r="BY36" i="41"/>
  <c r="BX26" i="41"/>
  <c r="BX36" i="41"/>
  <c r="BW26" i="41"/>
  <c r="BW36" i="41"/>
  <c r="BV26" i="41"/>
  <c r="BV36" i="41"/>
  <c r="BT26" i="41"/>
  <c r="BT36" i="41"/>
  <c r="BS26" i="41"/>
  <c r="BS36" i="41"/>
  <c r="BR26" i="41"/>
  <c r="BR36" i="41"/>
  <c r="BQ26" i="41"/>
  <c r="BQ36" i="41"/>
  <c r="BP26" i="41"/>
  <c r="BP36" i="41"/>
  <c r="BO26" i="41"/>
  <c r="BO36" i="41"/>
  <c r="BN26" i="41"/>
  <c r="BN36" i="41"/>
  <c r="BM26" i="41"/>
  <c r="BM36" i="41"/>
  <c r="BL26" i="41"/>
  <c r="BL36" i="41"/>
  <c r="BK26" i="41"/>
  <c r="BK36" i="41"/>
  <c r="BJ26" i="41"/>
  <c r="BJ36" i="41"/>
  <c r="BI26" i="41"/>
  <c r="BI36" i="41"/>
  <c r="BH26" i="41"/>
  <c r="BH36" i="41"/>
  <c r="BG26" i="41"/>
  <c r="BG36" i="41"/>
  <c r="BF26" i="41"/>
  <c r="BF36" i="41"/>
  <c r="BE26" i="41"/>
  <c r="BE36" i="41"/>
  <c r="BZ30" i="41"/>
  <c r="BZ35" i="41"/>
  <c r="BY30" i="41"/>
  <c r="BY35" i="41"/>
  <c r="BX30" i="41"/>
  <c r="BX35" i="41"/>
  <c r="BW30" i="41"/>
  <c r="BW35" i="41"/>
  <c r="BV30" i="41"/>
  <c r="BV35" i="41"/>
  <c r="BT30" i="41"/>
  <c r="BT35" i="41"/>
  <c r="BS30" i="41"/>
  <c r="BS35" i="41"/>
  <c r="BR30" i="41"/>
  <c r="BR35" i="41"/>
  <c r="BQ30" i="41"/>
  <c r="BQ35" i="41"/>
  <c r="BP30" i="41"/>
  <c r="BP35" i="41"/>
  <c r="BO30" i="41"/>
  <c r="BO35" i="41"/>
  <c r="BN30" i="41"/>
  <c r="BN35" i="41"/>
  <c r="BM30" i="41"/>
  <c r="BM35" i="41"/>
  <c r="BL30" i="41"/>
  <c r="BL35" i="41"/>
  <c r="BK30" i="41"/>
  <c r="BK35" i="41"/>
  <c r="BJ30" i="41"/>
  <c r="BJ35" i="41"/>
  <c r="BI30" i="41"/>
  <c r="BI35" i="41"/>
  <c r="BH30" i="41"/>
  <c r="BH35" i="41"/>
  <c r="BG30" i="41"/>
  <c r="BG35" i="41"/>
  <c r="BF30" i="41"/>
  <c r="BF35" i="41"/>
  <c r="BE30" i="41"/>
  <c r="BE35" i="41"/>
  <c r="BZ14" i="41"/>
  <c r="BZ34" i="41"/>
  <c r="BY14" i="41"/>
  <c r="BY34" i="41"/>
  <c r="BX14" i="41"/>
  <c r="BX34" i="41"/>
  <c r="BW14" i="41"/>
  <c r="BW34" i="41"/>
  <c r="BV14" i="41"/>
  <c r="BV34" i="41"/>
  <c r="BT14" i="41"/>
  <c r="BT34" i="41"/>
  <c r="BS14" i="41"/>
  <c r="BS34" i="41"/>
  <c r="BR14" i="41"/>
  <c r="BR34" i="41"/>
  <c r="BQ14" i="41"/>
  <c r="BQ34" i="41"/>
  <c r="BP14" i="41"/>
  <c r="BP34" i="41"/>
  <c r="BO14" i="41"/>
  <c r="BO34" i="41"/>
  <c r="BN14" i="41"/>
  <c r="BN34" i="41"/>
  <c r="BM14" i="41"/>
  <c r="BM34" i="41"/>
  <c r="BL14" i="41"/>
  <c r="BL34" i="41"/>
  <c r="BK14" i="41"/>
  <c r="BK34" i="41"/>
  <c r="BJ14" i="41"/>
  <c r="BJ34" i="41"/>
  <c r="BI14" i="41"/>
  <c r="BI34" i="41"/>
  <c r="BH14" i="41"/>
  <c r="BH34" i="41"/>
  <c r="BG14" i="41"/>
  <c r="BG34" i="41"/>
  <c r="BF14" i="41"/>
  <c r="BF34" i="41"/>
  <c r="BE14" i="41"/>
  <c r="BE34" i="41"/>
  <c r="BZ13" i="41"/>
  <c r="BZ33" i="41"/>
  <c r="BY13" i="41"/>
  <c r="BY33" i="41"/>
  <c r="BX13" i="41"/>
  <c r="BX33" i="41"/>
  <c r="BW13" i="41"/>
  <c r="BW33" i="41"/>
  <c r="BV13" i="41"/>
  <c r="BV33" i="41"/>
  <c r="BT13" i="41"/>
  <c r="BT33" i="41"/>
  <c r="BS13" i="41"/>
  <c r="BS33" i="41"/>
  <c r="BR13" i="41"/>
  <c r="BR33" i="41"/>
  <c r="BQ13" i="41"/>
  <c r="BQ33" i="41"/>
  <c r="BP13" i="41"/>
  <c r="BP33" i="41"/>
  <c r="BO13" i="41"/>
  <c r="BO33" i="41"/>
  <c r="BN13" i="41"/>
  <c r="BN33" i="41"/>
  <c r="BM13" i="41"/>
  <c r="BM33" i="41"/>
  <c r="BL13" i="41"/>
  <c r="BL33" i="41"/>
  <c r="BK13" i="41"/>
  <c r="BK33" i="41"/>
  <c r="BJ13" i="41"/>
  <c r="BJ33" i="41"/>
  <c r="BI13" i="41"/>
  <c r="BI33" i="41"/>
  <c r="BH13" i="41"/>
  <c r="BH33" i="41"/>
  <c r="BG13" i="41"/>
  <c r="BG33" i="41"/>
  <c r="BF13" i="41"/>
  <c r="BF33" i="41"/>
  <c r="BE13" i="41"/>
  <c r="BE33" i="41"/>
  <c r="BZ3" i="41"/>
  <c r="BZ32" i="41"/>
  <c r="BY3" i="41"/>
  <c r="BY32" i="41"/>
  <c r="BX3" i="41"/>
  <c r="BX32" i="41"/>
  <c r="BW3" i="41"/>
  <c r="BW32" i="41"/>
  <c r="BV3" i="41"/>
  <c r="BV32" i="41"/>
  <c r="BT3" i="41"/>
  <c r="BT32" i="41"/>
  <c r="BS3" i="41"/>
  <c r="BS32" i="41"/>
  <c r="BR3" i="41"/>
  <c r="BR32" i="41"/>
  <c r="BQ3" i="41"/>
  <c r="BQ32" i="41"/>
  <c r="BP3" i="41"/>
  <c r="BP32" i="41"/>
  <c r="BO3" i="41"/>
  <c r="BO32" i="41"/>
  <c r="BN3" i="41"/>
  <c r="BN32" i="41"/>
  <c r="BM3" i="41"/>
  <c r="BM32" i="41"/>
  <c r="BL3" i="41"/>
  <c r="BL32" i="41"/>
  <c r="BK3" i="41"/>
  <c r="BK32" i="41"/>
  <c r="BJ3" i="41"/>
  <c r="BJ32" i="41"/>
  <c r="BI3" i="41"/>
  <c r="BI32" i="41"/>
  <c r="BH3" i="41"/>
  <c r="BH32" i="41"/>
  <c r="BG3" i="41"/>
  <c r="BG32" i="41"/>
  <c r="BF3" i="41"/>
  <c r="BF32" i="41"/>
  <c r="BE3" i="41"/>
  <c r="BE32" i="41"/>
  <c r="AW35" i="41"/>
  <c r="AK35" i="41"/>
  <c r="X35" i="41"/>
  <c r="L35" i="41"/>
  <c r="BA43" i="41"/>
  <c r="AO43" i="41"/>
  <c r="AB43" i="41"/>
  <c r="P43" i="41"/>
  <c r="D43" i="41"/>
  <c r="AS36" i="41"/>
  <c r="AG36" i="41"/>
  <c r="T36" i="41"/>
  <c r="H36" i="41"/>
  <c r="AY49" i="41"/>
  <c r="AM49" i="41"/>
  <c r="Z49" i="41"/>
  <c r="N49" i="41"/>
  <c r="BA37" i="41"/>
  <c r="AO37" i="41"/>
  <c r="AB37" i="41"/>
  <c r="P37" i="41"/>
  <c r="D37" i="41"/>
  <c r="AU42" i="41"/>
  <c r="AI42" i="41"/>
  <c r="V42" i="41"/>
  <c r="J42" i="41"/>
  <c r="AQ44" i="41"/>
  <c r="AE44" i="41"/>
  <c r="R44" i="41"/>
  <c r="F44" i="41"/>
  <c r="AS34" i="41"/>
  <c r="AG34" i="41"/>
  <c r="T34" i="41"/>
  <c r="H34" i="41"/>
  <c r="AU33" i="41"/>
  <c r="AI33" i="41"/>
  <c r="V33" i="41"/>
  <c r="J33" i="41"/>
  <c r="AY39" i="41"/>
  <c r="AM39" i="41"/>
  <c r="Z39" i="41"/>
  <c r="N39" i="41"/>
  <c r="BA46" i="41"/>
  <c r="AO46" i="41"/>
  <c r="AB46" i="41"/>
  <c r="P46" i="41"/>
  <c r="P47" i="41"/>
  <c r="P45" i="41"/>
  <c r="D46" i="41"/>
  <c r="AS41" i="41"/>
  <c r="AG41" i="41"/>
  <c r="T41" i="41"/>
  <c r="H41" i="41"/>
  <c r="AW47" i="41"/>
  <c r="AK47" i="41"/>
  <c r="X47" i="41"/>
  <c r="L47" i="41"/>
  <c r="BA40" i="41"/>
  <c r="AR40" i="41"/>
  <c r="AO40" i="41"/>
  <c r="AF40" i="41"/>
  <c r="AB40" i="41"/>
  <c r="P40" i="41"/>
  <c r="D40" i="41"/>
  <c r="AQ32" i="41"/>
  <c r="AQ33" i="41"/>
  <c r="AQ34" i="41"/>
  <c r="AQ35" i="41"/>
  <c r="AQ36" i="41"/>
  <c r="AQ37" i="41"/>
  <c r="AQ38" i="41"/>
  <c r="AQ39" i="41"/>
  <c r="AQ40" i="41"/>
  <c r="AQ41" i="41"/>
  <c r="AQ42" i="41"/>
  <c r="AQ43" i="41"/>
  <c r="AQ31" i="41"/>
  <c r="AE32" i="41"/>
  <c r="AE33" i="41"/>
  <c r="AE34" i="41"/>
  <c r="AE35" i="41"/>
  <c r="AE36" i="41"/>
  <c r="AE37" i="41"/>
  <c r="AE38" i="41"/>
  <c r="AE39" i="41"/>
  <c r="AE40" i="41"/>
  <c r="AE41" i="41"/>
  <c r="AE42" i="41"/>
  <c r="AE43" i="41"/>
  <c r="AE31" i="41"/>
  <c r="R32" i="41"/>
  <c r="F32" i="41"/>
  <c r="F33" i="41"/>
  <c r="F34" i="41"/>
  <c r="F35" i="41"/>
  <c r="F36" i="41"/>
  <c r="F37" i="41"/>
  <c r="F38" i="41"/>
  <c r="F39" i="41"/>
  <c r="F40" i="41"/>
  <c r="F41" i="41"/>
  <c r="F42" i="41"/>
  <c r="F43" i="41"/>
  <c r="F31" i="41"/>
  <c r="AV38" i="41"/>
  <c r="AS38" i="41"/>
  <c r="AJ38" i="41"/>
  <c r="AG38" i="41"/>
  <c r="W38" i="41"/>
  <c r="T38" i="41"/>
  <c r="K38" i="41"/>
  <c r="H38" i="41"/>
  <c r="R42" i="41"/>
  <c r="AX37" i="41"/>
  <c r="AA36" i="41"/>
  <c r="E36" i="41"/>
  <c r="AU35" i="41"/>
  <c r="AM35" i="41"/>
  <c r="AI35" i="41"/>
  <c r="AA35" i="41"/>
  <c r="V35" i="41"/>
  <c r="O35" i="41"/>
  <c r="AM34" i="41"/>
  <c r="BB35" i="41"/>
  <c r="BA35" i="41"/>
  <c r="AZ35" i="41"/>
  <c r="AY35" i="41"/>
  <c r="AX35" i="41"/>
  <c r="AV35" i="41"/>
  <c r="AT35" i="41"/>
  <c r="AS35" i="41"/>
  <c r="AR35" i="41"/>
  <c r="AP35" i="41"/>
  <c r="AO35" i="41"/>
  <c r="AN35" i="41"/>
  <c r="AL35" i="41"/>
  <c r="AJ35" i="41"/>
  <c r="AH35" i="41"/>
  <c r="AG35" i="41"/>
  <c r="AF35" i="41"/>
  <c r="AD35" i="41"/>
  <c r="AB35" i="41"/>
  <c r="Z35" i="41"/>
  <c r="Y35" i="41"/>
  <c r="W35" i="41"/>
  <c r="U35" i="41"/>
  <c r="T35" i="41"/>
  <c r="S35" i="41"/>
  <c r="R35" i="41"/>
  <c r="Q35" i="41"/>
  <c r="P35" i="41"/>
  <c r="N35" i="41"/>
  <c r="M35" i="41"/>
  <c r="K35" i="41"/>
  <c r="J35" i="41"/>
  <c r="I35" i="41"/>
  <c r="H35" i="41"/>
  <c r="G35" i="41"/>
  <c r="E35" i="41"/>
  <c r="D35" i="41"/>
  <c r="AF71" i="41"/>
  <c r="BB43" i="41"/>
  <c r="AZ43" i="41"/>
  <c r="AY43" i="41"/>
  <c r="AX43" i="41"/>
  <c r="AW43" i="41"/>
  <c r="AV43" i="41"/>
  <c r="AU43" i="41"/>
  <c r="AT43" i="41"/>
  <c r="AS43" i="41"/>
  <c r="AR43" i="41"/>
  <c r="AP43" i="41"/>
  <c r="AN43" i="41"/>
  <c r="AM43" i="41"/>
  <c r="AL43" i="41"/>
  <c r="AK43" i="41"/>
  <c r="AJ43" i="41"/>
  <c r="AI43" i="41"/>
  <c r="AH43" i="41"/>
  <c r="AG43" i="41"/>
  <c r="AF43" i="41"/>
  <c r="AD43" i="41"/>
  <c r="AA43" i="41"/>
  <c r="Z43" i="41"/>
  <c r="Y43" i="41"/>
  <c r="X43" i="41"/>
  <c r="W43" i="41"/>
  <c r="V43" i="41"/>
  <c r="U43" i="41"/>
  <c r="T43" i="41"/>
  <c r="S43" i="41"/>
  <c r="R43" i="41"/>
  <c r="Q43" i="41"/>
  <c r="O43" i="41"/>
  <c r="N43" i="41"/>
  <c r="M43" i="41"/>
  <c r="L43" i="41"/>
  <c r="K43" i="41"/>
  <c r="J43" i="41"/>
  <c r="I43" i="41"/>
  <c r="H43" i="41"/>
  <c r="G43" i="41"/>
  <c r="E43" i="41"/>
  <c r="BB36" i="41"/>
  <c r="BA36" i="41"/>
  <c r="AZ36" i="41"/>
  <c r="AY36" i="41"/>
  <c r="AX36" i="41"/>
  <c r="AW36" i="41"/>
  <c r="AV36" i="41"/>
  <c r="AU36" i="41"/>
  <c r="AT36" i="41"/>
  <c r="AR36" i="41"/>
  <c r="AP36" i="41"/>
  <c r="AO36" i="41"/>
  <c r="AN36" i="41"/>
  <c r="AM36" i="41"/>
  <c r="AL36" i="41"/>
  <c r="AK36" i="41"/>
  <c r="AJ36" i="41"/>
  <c r="AI36" i="41"/>
  <c r="AH36" i="41"/>
  <c r="AF36" i="41"/>
  <c r="AB36" i="41"/>
  <c r="Z36" i="41"/>
  <c r="Y36" i="41"/>
  <c r="X36" i="41"/>
  <c r="W36" i="41"/>
  <c r="V36" i="41"/>
  <c r="U36" i="41"/>
  <c r="S36" i="41"/>
  <c r="R36" i="41"/>
  <c r="Q36" i="41"/>
  <c r="P36" i="41"/>
  <c r="O36" i="41"/>
  <c r="N36" i="41"/>
  <c r="M36" i="41"/>
  <c r="L36" i="41"/>
  <c r="K36" i="41"/>
  <c r="J36" i="41"/>
  <c r="I36" i="41"/>
  <c r="G36" i="41"/>
  <c r="D36" i="41"/>
  <c r="BB64" i="41"/>
  <c r="F64" i="41"/>
  <c r="BB49" i="41"/>
  <c r="BA49" i="41"/>
  <c r="AZ49" i="41"/>
  <c r="AX49" i="41"/>
  <c r="AW49" i="41"/>
  <c r="AV49" i="41"/>
  <c r="AU49" i="41"/>
  <c r="AT49" i="41"/>
  <c r="AS49" i="41"/>
  <c r="AR49" i="41"/>
  <c r="AQ49" i="41"/>
  <c r="AP49" i="41"/>
  <c r="AO49" i="41"/>
  <c r="AN49" i="41"/>
  <c r="AL49" i="41"/>
  <c r="AK49" i="41"/>
  <c r="AJ49" i="41"/>
  <c r="AI49" i="41"/>
  <c r="AH49" i="41"/>
  <c r="AG49" i="41"/>
  <c r="AF49" i="41"/>
  <c r="AE49" i="41"/>
  <c r="AD49" i="41"/>
  <c r="AB49" i="41"/>
  <c r="AA49" i="41"/>
  <c r="Y49" i="41"/>
  <c r="X49" i="41"/>
  <c r="W49" i="41"/>
  <c r="V49" i="41"/>
  <c r="U49" i="41"/>
  <c r="T49" i="41"/>
  <c r="S49" i="41"/>
  <c r="R49" i="41"/>
  <c r="Q49" i="41"/>
  <c r="P49" i="41"/>
  <c r="O49" i="41"/>
  <c r="M49" i="41"/>
  <c r="L49" i="41"/>
  <c r="K49" i="41"/>
  <c r="J49" i="41"/>
  <c r="I49" i="41"/>
  <c r="H49" i="41"/>
  <c r="G49" i="41"/>
  <c r="F49" i="41"/>
  <c r="E49" i="41"/>
  <c r="BB37" i="41"/>
  <c r="AZ37" i="41"/>
  <c r="AY37" i="41"/>
  <c r="AW37" i="41"/>
  <c r="AV37" i="41"/>
  <c r="AU37" i="41"/>
  <c r="AT37" i="41"/>
  <c r="AS37" i="41"/>
  <c r="AR37" i="41"/>
  <c r="AP37" i="41"/>
  <c r="AN37" i="41"/>
  <c r="AM37" i="41"/>
  <c r="AL37" i="41"/>
  <c r="AK37" i="41"/>
  <c r="AJ37" i="41"/>
  <c r="AI37" i="41"/>
  <c r="AH37" i="41"/>
  <c r="AG37" i="41"/>
  <c r="AF37" i="41"/>
  <c r="AD37" i="41"/>
  <c r="AA37" i="41"/>
  <c r="Z37" i="41"/>
  <c r="Y37" i="41"/>
  <c r="X37" i="41"/>
  <c r="W37" i="41"/>
  <c r="V37" i="41"/>
  <c r="U37" i="41"/>
  <c r="T37" i="41"/>
  <c r="S37" i="41"/>
  <c r="R37" i="41"/>
  <c r="Q37" i="41"/>
  <c r="O37" i="41"/>
  <c r="N37" i="41"/>
  <c r="M37" i="41"/>
  <c r="L37" i="41"/>
  <c r="K37" i="41"/>
  <c r="J37" i="41"/>
  <c r="I37" i="41"/>
  <c r="H37" i="41"/>
  <c r="G37" i="41"/>
  <c r="E37" i="41"/>
  <c r="AY65" i="41"/>
  <c r="AA65" i="41"/>
  <c r="AZ70" i="41"/>
  <c r="BB42" i="41"/>
  <c r="BA42" i="41"/>
  <c r="AZ42" i="41"/>
  <c r="AY42" i="41"/>
  <c r="AX42" i="41"/>
  <c r="AW42" i="41"/>
  <c r="AV42" i="41"/>
  <c r="AT42" i="41"/>
  <c r="AS42" i="41"/>
  <c r="AR42" i="41"/>
  <c r="AP42" i="41"/>
  <c r="AO42" i="41"/>
  <c r="AN42" i="41"/>
  <c r="AM42" i="41"/>
  <c r="AL42" i="41"/>
  <c r="AK42" i="41"/>
  <c r="AJ42" i="41"/>
  <c r="AH42" i="41"/>
  <c r="AG42" i="41"/>
  <c r="AF42" i="41"/>
  <c r="AD42" i="41"/>
  <c r="AB42" i="41"/>
  <c r="AA42" i="41"/>
  <c r="Z42" i="41"/>
  <c r="Y42" i="41"/>
  <c r="X42" i="41"/>
  <c r="W42" i="41"/>
  <c r="U42" i="41"/>
  <c r="T42" i="41"/>
  <c r="S42" i="41"/>
  <c r="Q42" i="41"/>
  <c r="P42" i="41"/>
  <c r="O42" i="41"/>
  <c r="N42" i="41"/>
  <c r="M42" i="41"/>
  <c r="L42" i="41"/>
  <c r="K42" i="41"/>
  <c r="I42" i="41"/>
  <c r="H42" i="41"/>
  <c r="G42" i="41"/>
  <c r="E42" i="41"/>
  <c r="W75" i="41"/>
  <c r="AR66" i="41"/>
  <c r="G66" i="41"/>
  <c r="R72" i="41"/>
  <c r="BB44" i="41"/>
  <c r="BA44" i="41"/>
  <c r="AZ44" i="41"/>
  <c r="AY44" i="41"/>
  <c r="AX44" i="41"/>
  <c r="AW44" i="41"/>
  <c r="AV44" i="41"/>
  <c r="AU44" i="41"/>
  <c r="AT44" i="41"/>
  <c r="AS44" i="41"/>
  <c r="AR44" i="41"/>
  <c r="AP44" i="41"/>
  <c r="AO44" i="41"/>
  <c r="AN44" i="41"/>
  <c r="AM44" i="41"/>
  <c r="AL44" i="41"/>
  <c r="AK44" i="41"/>
  <c r="AJ44" i="41"/>
  <c r="AI44" i="41"/>
  <c r="AH44" i="41"/>
  <c r="AG44" i="41"/>
  <c r="AF44" i="41"/>
  <c r="AD44" i="41"/>
  <c r="AB44" i="41"/>
  <c r="AA44" i="41"/>
  <c r="Z44" i="41"/>
  <c r="Y44" i="41"/>
  <c r="X44" i="41"/>
  <c r="W44" i="41"/>
  <c r="V44" i="41"/>
  <c r="U44" i="41"/>
  <c r="T44" i="41"/>
  <c r="S44" i="41"/>
  <c r="Q44" i="41"/>
  <c r="P44" i="41"/>
  <c r="O44" i="41"/>
  <c r="N44" i="41"/>
  <c r="M44" i="41"/>
  <c r="L44" i="41"/>
  <c r="K44" i="41"/>
  <c r="J44" i="41"/>
  <c r="I44" i="41"/>
  <c r="H44" i="41"/>
  <c r="G44" i="41"/>
  <c r="E44" i="41"/>
  <c r="BB34" i="41"/>
  <c r="BA34" i="41"/>
  <c r="AZ34" i="41"/>
  <c r="AY34" i="41"/>
  <c r="AX34" i="41"/>
  <c r="AW34" i="41"/>
  <c r="AV34" i="41"/>
  <c r="AU34" i="41"/>
  <c r="AT34" i="41"/>
  <c r="AR34" i="41"/>
  <c r="AP34" i="41"/>
  <c r="AO34" i="41"/>
  <c r="AN34" i="41"/>
  <c r="AL34" i="41"/>
  <c r="AK34" i="41"/>
  <c r="AJ34" i="41"/>
  <c r="AI34" i="41"/>
  <c r="AH34" i="41"/>
  <c r="AF34" i="41"/>
  <c r="AD34" i="41"/>
  <c r="AB34" i="41"/>
  <c r="AA34" i="41"/>
  <c r="Z34" i="41"/>
  <c r="Y34" i="41"/>
  <c r="X34" i="41"/>
  <c r="W34" i="41"/>
  <c r="V34" i="41"/>
  <c r="U34" i="41"/>
  <c r="S34" i="41"/>
  <c r="R34" i="41"/>
  <c r="Q34" i="41"/>
  <c r="P34" i="41"/>
  <c r="O34" i="41"/>
  <c r="N34" i="41"/>
  <c r="M34" i="41"/>
  <c r="L34" i="41"/>
  <c r="K34" i="41"/>
  <c r="J34" i="41"/>
  <c r="I34" i="41"/>
  <c r="G34" i="41"/>
  <c r="D34" i="41"/>
  <c r="BB33" i="41"/>
  <c r="BA33" i="41"/>
  <c r="AZ33" i="41"/>
  <c r="AY33" i="41"/>
  <c r="AX33" i="41"/>
  <c r="AW33" i="41"/>
  <c r="AV33" i="41"/>
  <c r="AT33" i="41"/>
  <c r="AS33" i="41"/>
  <c r="AR33" i="41"/>
  <c r="AP33" i="41"/>
  <c r="AO33" i="41"/>
  <c r="AN33" i="41"/>
  <c r="AM33" i="41"/>
  <c r="AL33" i="41"/>
  <c r="AK33" i="41"/>
  <c r="AJ33" i="41"/>
  <c r="AH33" i="41"/>
  <c r="AG33" i="41"/>
  <c r="AF33" i="41"/>
  <c r="AB33" i="41"/>
  <c r="AA33" i="41"/>
  <c r="Z33" i="41"/>
  <c r="Y33" i="41"/>
  <c r="X33" i="41"/>
  <c r="W33" i="41"/>
  <c r="U33" i="41"/>
  <c r="T33" i="41"/>
  <c r="S33" i="41"/>
  <c r="R33" i="41"/>
  <c r="Q33" i="41"/>
  <c r="P33" i="41"/>
  <c r="O33" i="41"/>
  <c r="N33" i="41"/>
  <c r="M33" i="41"/>
  <c r="L33" i="41"/>
  <c r="K33" i="41"/>
  <c r="I33" i="41"/>
  <c r="H33" i="41"/>
  <c r="G33" i="41"/>
  <c r="E33" i="41"/>
  <c r="BB39" i="41"/>
  <c r="BA39" i="41"/>
  <c r="AZ39" i="41"/>
  <c r="AX39" i="41"/>
  <c r="AW39" i="41"/>
  <c r="AV39" i="41"/>
  <c r="AU39" i="41"/>
  <c r="AT39" i="41"/>
  <c r="AS39" i="41"/>
  <c r="AR39" i="41"/>
  <c r="AP39" i="41"/>
  <c r="AO39" i="41"/>
  <c r="AN39" i="41"/>
  <c r="AL39" i="41"/>
  <c r="AK39" i="41"/>
  <c r="AJ39" i="41"/>
  <c r="AI39" i="41"/>
  <c r="AH39" i="41"/>
  <c r="AG39" i="41"/>
  <c r="AF39" i="41"/>
  <c r="AB39" i="41"/>
  <c r="AA39" i="41"/>
  <c r="Y39" i="41"/>
  <c r="X39" i="41"/>
  <c r="W39" i="41"/>
  <c r="V39" i="41"/>
  <c r="U39" i="41"/>
  <c r="T39" i="41"/>
  <c r="S39" i="41"/>
  <c r="R39" i="41"/>
  <c r="Q39" i="41"/>
  <c r="P39" i="41"/>
  <c r="O39" i="41"/>
  <c r="M39" i="41"/>
  <c r="L39" i="41"/>
  <c r="K39" i="41"/>
  <c r="J39" i="41"/>
  <c r="I39" i="41"/>
  <c r="H39" i="41"/>
  <c r="G39" i="41"/>
  <c r="E39" i="41"/>
  <c r="BF10" i="41"/>
  <c r="BB46" i="41"/>
  <c r="AZ46" i="41"/>
  <c r="AY46" i="41"/>
  <c r="AX46" i="41"/>
  <c r="AW46" i="41"/>
  <c r="AV46" i="41"/>
  <c r="AU46" i="41"/>
  <c r="AT46" i="41"/>
  <c r="AS46" i="41"/>
  <c r="AR46" i="41"/>
  <c r="AQ46" i="41"/>
  <c r="AP46" i="41"/>
  <c r="AN46" i="41"/>
  <c r="AM46" i="41"/>
  <c r="AL46" i="41"/>
  <c r="AK46" i="41"/>
  <c r="AJ46" i="41"/>
  <c r="AI46" i="41"/>
  <c r="AH46" i="41"/>
  <c r="AG46" i="41"/>
  <c r="AF46" i="41"/>
  <c r="AE46" i="41"/>
  <c r="AD46" i="41"/>
  <c r="AA46" i="41"/>
  <c r="Z46" i="41"/>
  <c r="Y46" i="41"/>
  <c r="X46" i="41"/>
  <c r="W46" i="41"/>
  <c r="V46" i="41"/>
  <c r="U46" i="41"/>
  <c r="T46" i="41"/>
  <c r="S46" i="41"/>
  <c r="R46" i="41"/>
  <c r="Q46" i="41"/>
  <c r="O46" i="41"/>
  <c r="N46" i="41"/>
  <c r="M46" i="41"/>
  <c r="L46" i="41"/>
  <c r="K46" i="41"/>
  <c r="J46" i="41"/>
  <c r="I46" i="41"/>
  <c r="H46" i="41"/>
  <c r="G46" i="41"/>
  <c r="F46" i="41"/>
  <c r="E46" i="41"/>
  <c r="BB41" i="41"/>
  <c r="BA41" i="41"/>
  <c r="AZ41" i="41"/>
  <c r="AY41" i="41"/>
  <c r="AX41" i="41"/>
  <c r="AW41" i="41"/>
  <c r="AV41" i="41"/>
  <c r="AU41" i="41"/>
  <c r="AT41" i="41"/>
  <c r="AR41" i="41"/>
  <c r="AP41" i="41"/>
  <c r="AO41" i="41"/>
  <c r="AN41" i="41"/>
  <c r="AM41" i="41"/>
  <c r="AL41" i="41"/>
  <c r="AK41" i="41"/>
  <c r="AJ41" i="41"/>
  <c r="AI41" i="41"/>
  <c r="AH41" i="41"/>
  <c r="AF41" i="41"/>
  <c r="AD41" i="41"/>
  <c r="AB41" i="41"/>
  <c r="AA41" i="41"/>
  <c r="Z41" i="41"/>
  <c r="Y41" i="41"/>
  <c r="X41" i="41"/>
  <c r="W41" i="41"/>
  <c r="V41" i="41"/>
  <c r="U41" i="41"/>
  <c r="S41" i="41"/>
  <c r="R41" i="41"/>
  <c r="Q41" i="41"/>
  <c r="P41" i="41"/>
  <c r="O41" i="41"/>
  <c r="N41" i="41"/>
  <c r="M41" i="41"/>
  <c r="L41" i="41"/>
  <c r="K41" i="41"/>
  <c r="J41" i="41"/>
  <c r="I41" i="41"/>
  <c r="G41" i="41"/>
  <c r="E41" i="41"/>
  <c r="D41" i="41"/>
  <c r="BF6" i="41"/>
  <c r="BB47" i="41"/>
  <c r="BA47" i="41"/>
  <c r="AZ47" i="41"/>
  <c r="AY47" i="41"/>
  <c r="AX47" i="41"/>
  <c r="AV47" i="41"/>
  <c r="AU47" i="41"/>
  <c r="AT47" i="41"/>
  <c r="AS47" i="41"/>
  <c r="AR47" i="41"/>
  <c r="AQ47" i="41"/>
  <c r="AP47" i="41"/>
  <c r="AO47" i="41"/>
  <c r="AN47" i="41"/>
  <c r="AM47" i="41"/>
  <c r="AL47" i="41"/>
  <c r="AJ47" i="41"/>
  <c r="AI47" i="41"/>
  <c r="AH47" i="41"/>
  <c r="AG47" i="41"/>
  <c r="AF47" i="41"/>
  <c r="AE47" i="41"/>
  <c r="AD47" i="41"/>
  <c r="AB47" i="41"/>
  <c r="AA47" i="41"/>
  <c r="Z47" i="41"/>
  <c r="Y47" i="41"/>
  <c r="W47" i="41"/>
  <c r="V47" i="41"/>
  <c r="U47" i="41"/>
  <c r="T47" i="41"/>
  <c r="S47" i="41"/>
  <c r="R47" i="41"/>
  <c r="Q47" i="41"/>
  <c r="O47" i="41"/>
  <c r="N47" i="41"/>
  <c r="M47" i="41"/>
  <c r="K47" i="41"/>
  <c r="J47" i="41"/>
  <c r="I47" i="41"/>
  <c r="H47" i="41"/>
  <c r="G47" i="41"/>
  <c r="F47" i="41"/>
  <c r="E47" i="41"/>
  <c r="D47" i="41"/>
  <c r="BB40" i="41"/>
  <c r="AZ40" i="41"/>
  <c r="AY40" i="41"/>
  <c r="AX40" i="41"/>
  <c r="AW40" i="41"/>
  <c r="AV40" i="41"/>
  <c r="AU40" i="41"/>
  <c r="AT40" i="41"/>
  <c r="AS40" i="41"/>
  <c r="AP40" i="41"/>
  <c r="AN40" i="41"/>
  <c r="AM40" i="41"/>
  <c r="AL40" i="41"/>
  <c r="AK40" i="41"/>
  <c r="AJ40" i="41"/>
  <c r="AI40" i="41"/>
  <c r="AH40" i="41"/>
  <c r="AG40" i="41"/>
  <c r="AD40" i="41"/>
  <c r="AA40" i="41"/>
  <c r="Z40" i="41"/>
  <c r="Y40" i="41"/>
  <c r="X40" i="41"/>
  <c r="W40" i="41"/>
  <c r="V40" i="41"/>
  <c r="U40" i="41"/>
  <c r="T40" i="41"/>
  <c r="S40" i="41"/>
  <c r="R40" i="41"/>
  <c r="Q40" i="41"/>
  <c r="O40" i="41"/>
  <c r="N40" i="41"/>
  <c r="M40" i="41"/>
  <c r="L40" i="41"/>
  <c r="K40" i="41"/>
  <c r="J40" i="41"/>
  <c r="I40" i="41"/>
  <c r="H40" i="41"/>
  <c r="G40" i="41"/>
  <c r="E40" i="41"/>
  <c r="BB32" i="41"/>
  <c r="BA32" i="41"/>
  <c r="AZ32" i="41"/>
  <c r="AZ38" i="41"/>
  <c r="AZ31" i="41"/>
  <c r="AY32" i="41"/>
  <c r="AX32" i="41"/>
  <c r="AW32" i="41"/>
  <c r="AV32" i="41"/>
  <c r="AU32" i="41"/>
  <c r="AT32" i="41"/>
  <c r="AS32" i="41"/>
  <c r="AR32" i="41"/>
  <c r="AP32" i="41"/>
  <c r="AO32" i="41"/>
  <c r="AN32" i="41"/>
  <c r="AN38" i="41"/>
  <c r="AN31" i="41"/>
  <c r="AM32" i="41"/>
  <c r="AL32" i="41"/>
  <c r="AK32" i="41"/>
  <c r="AJ32" i="41"/>
  <c r="AI32" i="41"/>
  <c r="AH32" i="41"/>
  <c r="AG32" i="41"/>
  <c r="AF32" i="41"/>
  <c r="AD32" i="41"/>
  <c r="AB32" i="41"/>
  <c r="AA32" i="41"/>
  <c r="Z32" i="41"/>
  <c r="Y32" i="41"/>
  <c r="X32" i="41"/>
  <c r="W32" i="41"/>
  <c r="V32" i="41"/>
  <c r="U32" i="41"/>
  <c r="T32" i="41"/>
  <c r="S32" i="41"/>
  <c r="Q32" i="41"/>
  <c r="P32" i="41"/>
  <c r="O32" i="41"/>
  <c r="N32" i="41"/>
  <c r="M32" i="41"/>
  <c r="L32" i="41"/>
  <c r="K32" i="41"/>
  <c r="J32" i="41"/>
  <c r="I32" i="41"/>
  <c r="H32" i="41"/>
  <c r="G32" i="41"/>
  <c r="E32" i="41"/>
  <c r="D32" i="41"/>
  <c r="BB38" i="41"/>
  <c r="BA38" i="41"/>
  <c r="AY38" i="41"/>
  <c r="AX38" i="41"/>
  <c r="AW38" i="41"/>
  <c r="AU38" i="41"/>
  <c r="AT38" i="41"/>
  <c r="AR38" i="41"/>
  <c r="AP38" i="41"/>
  <c r="AO38" i="41"/>
  <c r="AM38" i="41"/>
  <c r="AL38" i="41"/>
  <c r="AK38" i="41"/>
  <c r="AI38" i="41"/>
  <c r="AH38" i="41"/>
  <c r="AF38" i="41"/>
  <c r="AD38" i="41"/>
  <c r="AB38" i="41"/>
  <c r="AA38" i="41"/>
  <c r="Z38" i="41"/>
  <c r="Y38" i="41"/>
  <c r="X38" i="41"/>
  <c r="V38" i="41"/>
  <c r="U38" i="41"/>
  <c r="S38" i="41"/>
  <c r="R38" i="41"/>
  <c r="Q38" i="41"/>
  <c r="P38" i="41"/>
  <c r="O38" i="41"/>
  <c r="N38" i="41"/>
  <c r="M38" i="41"/>
  <c r="L38" i="41"/>
  <c r="J38" i="41"/>
  <c r="I38" i="41"/>
  <c r="G38" i="41"/>
  <c r="E38" i="41"/>
  <c r="D38" i="41"/>
  <c r="EH17" i="18"/>
  <c r="EH66" i="18"/>
  <c r="EW66" i="18"/>
  <c r="EH19" i="18"/>
  <c r="EH42" i="18"/>
  <c r="EW42" i="18"/>
  <c r="EH21" i="18"/>
  <c r="EH65" i="18"/>
  <c r="EW65" i="18"/>
  <c r="EH3" i="18"/>
  <c r="EH32" i="18"/>
  <c r="EW32" i="18"/>
  <c r="EH4" i="18"/>
  <c r="EH40" i="18"/>
  <c r="EW40" i="18"/>
  <c r="EH5" i="18"/>
  <c r="EH67" i="18"/>
  <c r="EW67" i="18"/>
  <c r="EH6" i="18"/>
  <c r="EH47" i="18"/>
  <c r="EW47" i="18"/>
  <c r="EH7" i="18"/>
  <c r="EH73" i="18"/>
  <c r="EW73" i="18"/>
  <c r="EH8" i="18"/>
  <c r="EH41" i="18"/>
  <c r="EW41" i="18"/>
  <c r="EH9" i="18"/>
  <c r="EH68" i="18"/>
  <c r="EW68" i="18"/>
  <c r="EH10" i="18"/>
  <c r="EH46" i="18"/>
  <c r="EW46" i="18"/>
  <c r="EH11" i="18"/>
  <c r="EH39" i="18"/>
  <c r="EW39" i="18"/>
  <c r="EH12" i="18"/>
  <c r="EH74" i="18"/>
  <c r="EW74" i="18"/>
  <c r="EH13" i="18"/>
  <c r="EH33" i="18"/>
  <c r="EW33" i="18"/>
  <c r="EH14" i="18"/>
  <c r="EH34" i="18"/>
  <c r="EW34" i="18"/>
  <c r="EH15" i="18"/>
  <c r="EH44" i="18"/>
  <c r="EW44" i="18"/>
  <c r="EH16" i="18"/>
  <c r="EH72" i="18"/>
  <c r="EW72" i="18"/>
  <c r="EH18" i="18"/>
  <c r="EH75" i="18"/>
  <c r="EW75" i="18"/>
  <c r="EH20" i="18"/>
  <c r="EH70" i="18"/>
  <c r="EW70" i="18"/>
  <c r="EH51" i="18"/>
  <c r="EW51" i="18"/>
  <c r="EH22" i="18"/>
  <c r="EH37" i="18"/>
  <c r="EW37" i="18"/>
  <c r="EH23" i="18"/>
  <c r="EH49" i="18"/>
  <c r="EW49" i="18"/>
  <c r="EH24" i="18"/>
  <c r="EH69" i="18"/>
  <c r="EW69" i="18"/>
  <c r="EH25" i="18"/>
  <c r="EH64" i="18"/>
  <c r="EW64" i="18"/>
  <c r="EH26" i="18"/>
  <c r="EH36" i="18"/>
  <c r="EW36" i="18"/>
  <c r="EH27" i="18"/>
  <c r="EH76" i="18"/>
  <c r="EW76" i="18"/>
  <c r="EH28" i="18"/>
  <c r="EH43" i="18"/>
  <c r="EW43" i="18"/>
  <c r="EH29" i="18"/>
  <c r="EH71" i="18"/>
  <c r="EW71" i="18"/>
  <c r="EH30" i="18"/>
  <c r="EH35" i="18"/>
  <c r="EW35" i="18"/>
  <c r="EH2" i="18"/>
  <c r="EH38" i="18"/>
  <c r="EW38" i="18"/>
  <c r="BX3" i="18"/>
  <c r="BX32" i="18"/>
  <c r="CM32" i="18"/>
  <c r="BX4" i="18"/>
  <c r="BX40" i="18"/>
  <c r="CM40" i="18"/>
  <c r="BX5" i="18"/>
  <c r="BX53" i="18"/>
  <c r="CM53" i="18"/>
  <c r="BX6" i="18"/>
  <c r="BX47" i="18"/>
  <c r="CM47" i="18"/>
  <c r="BX7" i="18"/>
  <c r="BX73" i="18"/>
  <c r="CM73" i="18"/>
  <c r="BX8" i="18"/>
  <c r="BX41" i="18"/>
  <c r="CM41" i="18"/>
  <c r="BX9" i="18"/>
  <c r="BX68" i="18"/>
  <c r="CM68" i="18"/>
  <c r="BX10" i="18"/>
  <c r="BX46" i="18"/>
  <c r="CM46" i="18"/>
  <c r="BX11" i="18"/>
  <c r="BX39" i="18"/>
  <c r="CM39" i="18"/>
  <c r="BX12" i="18"/>
  <c r="BX74" i="18"/>
  <c r="CM74" i="18"/>
  <c r="BX13" i="18"/>
  <c r="BX33" i="18"/>
  <c r="CM33" i="18"/>
  <c r="BX14" i="18"/>
  <c r="BX34" i="18"/>
  <c r="CM34" i="18"/>
  <c r="BX15" i="18"/>
  <c r="BX44" i="18"/>
  <c r="CM44" i="18"/>
  <c r="BX16" i="18"/>
  <c r="BX72" i="18"/>
  <c r="CM72" i="18"/>
  <c r="BX17" i="18"/>
  <c r="BX66" i="18"/>
  <c r="CM66" i="18"/>
  <c r="BX18" i="18"/>
  <c r="BX75" i="18"/>
  <c r="CM75" i="18"/>
  <c r="BX19" i="18"/>
  <c r="BX42" i="18"/>
  <c r="CM42" i="18"/>
  <c r="BX20" i="18"/>
  <c r="BX70" i="18"/>
  <c r="CM70" i="18"/>
  <c r="BX21" i="18"/>
  <c r="BX51" i="18"/>
  <c r="CM51" i="18"/>
  <c r="BX22" i="18"/>
  <c r="BX37" i="18"/>
  <c r="CM37" i="18"/>
  <c r="BX23" i="18"/>
  <c r="BX49" i="18"/>
  <c r="CM49" i="18"/>
  <c r="BX24" i="18"/>
  <c r="BX69" i="18"/>
  <c r="CM69" i="18"/>
  <c r="BX25" i="18"/>
  <c r="BX64" i="18"/>
  <c r="CM64" i="18"/>
  <c r="BX26" i="18"/>
  <c r="BX36" i="18"/>
  <c r="CM36" i="18"/>
  <c r="BX27" i="18"/>
  <c r="BX76" i="18"/>
  <c r="CM76" i="18"/>
  <c r="BX28" i="18"/>
  <c r="BX43" i="18"/>
  <c r="CM43" i="18"/>
  <c r="BX29" i="18"/>
  <c r="BX71" i="18"/>
  <c r="CM71" i="18"/>
  <c r="BX30" i="18"/>
  <c r="BX35" i="18"/>
  <c r="CM35" i="18"/>
  <c r="BX2" i="18"/>
  <c r="BX38" i="18"/>
  <c r="CM38" i="18"/>
  <c r="W3" i="18"/>
  <c r="W32" i="18"/>
  <c r="AI32" i="18"/>
  <c r="W4" i="18"/>
  <c r="W40" i="18"/>
  <c r="AI40" i="18"/>
  <c r="W5" i="18"/>
  <c r="W67" i="18"/>
  <c r="AI67" i="18"/>
  <c r="W6" i="18"/>
  <c r="W47" i="18"/>
  <c r="AI47" i="18"/>
  <c r="W7" i="18"/>
  <c r="W73" i="18"/>
  <c r="AI73" i="18"/>
  <c r="W8" i="18"/>
  <c r="W41" i="18"/>
  <c r="AI41" i="18"/>
  <c r="W9" i="18"/>
  <c r="W54" i="18"/>
  <c r="AI54" i="18"/>
  <c r="W10" i="18"/>
  <c r="W46" i="18"/>
  <c r="AI46" i="18"/>
  <c r="W11" i="18"/>
  <c r="W39" i="18"/>
  <c r="AI39" i="18"/>
  <c r="W12" i="18"/>
  <c r="W74" i="18"/>
  <c r="AI74" i="18"/>
  <c r="W13" i="18"/>
  <c r="W33" i="18"/>
  <c r="W14" i="18"/>
  <c r="W34" i="18"/>
  <c r="AI34" i="18"/>
  <c r="W15" i="18"/>
  <c r="W44" i="18"/>
  <c r="AI44" i="18"/>
  <c r="W16" i="18"/>
  <c r="W72" i="18"/>
  <c r="AI72" i="18"/>
  <c r="W17" i="18"/>
  <c r="W52" i="18"/>
  <c r="AI52" i="18"/>
  <c r="W18" i="18"/>
  <c r="W75" i="18"/>
  <c r="AI75" i="18"/>
  <c r="W19" i="18"/>
  <c r="W42" i="18"/>
  <c r="AI42" i="18"/>
  <c r="W20" i="18"/>
  <c r="W70" i="18"/>
  <c r="AI70" i="18"/>
  <c r="W21" i="18"/>
  <c r="W65" i="18"/>
  <c r="AI65" i="18"/>
  <c r="W22" i="18"/>
  <c r="W37" i="18"/>
  <c r="AI37" i="18"/>
  <c r="W23" i="18"/>
  <c r="W49" i="18"/>
  <c r="W24" i="18"/>
  <c r="W55" i="18"/>
  <c r="AI55" i="18"/>
  <c r="W25" i="18"/>
  <c r="W64" i="18"/>
  <c r="W26" i="18"/>
  <c r="W36" i="18"/>
  <c r="AI36" i="18"/>
  <c r="W27" i="18"/>
  <c r="W76" i="18"/>
  <c r="AI76" i="18"/>
  <c r="W28" i="18"/>
  <c r="W43" i="18"/>
  <c r="AI43" i="18"/>
  <c r="W29" i="18"/>
  <c r="W71" i="18"/>
  <c r="AI71" i="18"/>
  <c r="W30" i="18"/>
  <c r="W35" i="18"/>
  <c r="AI35" i="18"/>
  <c r="W2" i="18"/>
  <c r="W38" i="18"/>
  <c r="AI38" i="18"/>
  <c r="K32" i="18"/>
  <c r="K40" i="18"/>
  <c r="K67" i="18"/>
  <c r="K47" i="18"/>
  <c r="K73" i="18"/>
  <c r="K41" i="18"/>
  <c r="K68" i="18"/>
  <c r="K46" i="18"/>
  <c r="K39" i="18"/>
  <c r="K60" i="18"/>
  <c r="K33" i="18"/>
  <c r="K34" i="18"/>
  <c r="K44" i="18"/>
  <c r="K72" i="18"/>
  <c r="K66" i="18"/>
  <c r="K75" i="18"/>
  <c r="K42" i="18"/>
  <c r="K70" i="18"/>
  <c r="K65" i="18"/>
  <c r="K37" i="18"/>
  <c r="K49" i="18"/>
  <c r="K69" i="18"/>
  <c r="K64" i="18"/>
  <c r="K36" i="18"/>
  <c r="K76" i="18"/>
  <c r="K43" i="18"/>
  <c r="K71" i="18"/>
  <c r="K35" i="18"/>
  <c r="K38" i="18"/>
  <c r="BU39" i="31"/>
  <c r="BU49" i="31"/>
  <c r="U64" i="31"/>
  <c r="BU70" i="30"/>
  <c r="BU32" i="30"/>
  <c r="BU40" i="30"/>
  <c r="BU67" i="30"/>
  <c r="BU47" i="30"/>
  <c r="BU73" i="30"/>
  <c r="BU41" i="30"/>
  <c r="BU68" i="30"/>
  <c r="BU46" i="30"/>
  <c r="BU39" i="30"/>
  <c r="BU74" i="30"/>
  <c r="BU33" i="30"/>
  <c r="BU34" i="30"/>
  <c r="BU44" i="30"/>
  <c r="BU72" i="30"/>
  <c r="BU66" i="30"/>
  <c r="BU75" i="30"/>
  <c r="BU42" i="30"/>
  <c r="BU56" i="30"/>
  <c r="BU51" i="30"/>
  <c r="BU37" i="30"/>
  <c r="BU49" i="30"/>
  <c r="BU55" i="30"/>
  <c r="BU64" i="30"/>
  <c r="BU36" i="30"/>
  <c r="BU76" i="30"/>
  <c r="BU43" i="30"/>
  <c r="BU71" i="30"/>
  <c r="BU35" i="30"/>
  <c r="BU38" i="30"/>
  <c r="U32" i="30"/>
  <c r="U40" i="30"/>
  <c r="U67" i="30"/>
  <c r="U47" i="30"/>
  <c r="U46" i="30"/>
  <c r="U45" i="30"/>
  <c r="U73" i="30"/>
  <c r="U41" i="30"/>
  <c r="U68" i="30"/>
  <c r="U39" i="30"/>
  <c r="U74" i="30"/>
  <c r="U33" i="30"/>
  <c r="U34" i="30"/>
  <c r="U44" i="30"/>
  <c r="U72" i="30"/>
  <c r="U52" i="30"/>
  <c r="U75" i="30"/>
  <c r="U42" i="30"/>
  <c r="U70" i="30"/>
  <c r="U51" i="30"/>
  <c r="U37" i="30"/>
  <c r="U49" i="30"/>
  <c r="U69" i="30"/>
  <c r="U64" i="30"/>
  <c r="U36" i="30"/>
  <c r="U76" i="30"/>
  <c r="U43" i="30"/>
  <c r="U71" i="30"/>
  <c r="U35" i="30"/>
  <c r="U38" i="30"/>
  <c r="T2" i="29"/>
  <c r="T2" i="30"/>
  <c r="AU76" i="29"/>
  <c r="AU75" i="29"/>
  <c r="AU74" i="29"/>
  <c r="AU73" i="29"/>
  <c r="AU72" i="29"/>
  <c r="AU71" i="29"/>
  <c r="AU70" i="29"/>
  <c r="AU69" i="29"/>
  <c r="AU68" i="29"/>
  <c r="AU67" i="29"/>
  <c r="AU66" i="29"/>
  <c r="AU65" i="29"/>
  <c r="AU64" i="29"/>
  <c r="AU63" i="29"/>
  <c r="AU62" i="29"/>
  <c r="AU61" i="29"/>
  <c r="AU60" i="29"/>
  <c r="AU59" i="29"/>
  <c r="AU58" i="29"/>
  <c r="AU57" i="29"/>
  <c r="AU56" i="29"/>
  <c r="AU55" i="29"/>
  <c r="AU54" i="29"/>
  <c r="AU53" i="29"/>
  <c r="AU52" i="29"/>
  <c r="AU51" i="29"/>
  <c r="AU50" i="29"/>
  <c r="AU49" i="29"/>
  <c r="AU48" i="29"/>
  <c r="AU47" i="29"/>
  <c r="AU46" i="29"/>
  <c r="AU45" i="29"/>
  <c r="AU44" i="29"/>
  <c r="AU43" i="29"/>
  <c r="AU42" i="29"/>
  <c r="AU41" i="29"/>
  <c r="AU32" i="29"/>
  <c r="AU33" i="29"/>
  <c r="AU34" i="29"/>
  <c r="AU35" i="29"/>
  <c r="AU36" i="29"/>
  <c r="AU37" i="29"/>
  <c r="AU38" i="29"/>
  <c r="AU39" i="29"/>
  <c r="AU40" i="29"/>
  <c r="AU31" i="29"/>
  <c r="AT2" i="29"/>
  <c r="U76" i="29"/>
  <c r="U75" i="29"/>
  <c r="U74" i="29"/>
  <c r="U73" i="29"/>
  <c r="U72" i="29"/>
  <c r="U71" i="29"/>
  <c r="U70" i="29"/>
  <c r="U69" i="29"/>
  <c r="U68" i="29"/>
  <c r="U67" i="29"/>
  <c r="U66" i="29"/>
  <c r="U65" i="29"/>
  <c r="U64" i="29"/>
  <c r="U63" i="29"/>
  <c r="U62" i="29"/>
  <c r="U61" i="29"/>
  <c r="U60" i="29"/>
  <c r="U59" i="29"/>
  <c r="U58" i="29"/>
  <c r="U57" i="29"/>
  <c r="U56" i="29"/>
  <c r="U55" i="29"/>
  <c r="U54" i="29"/>
  <c r="U53" i="29"/>
  <c r="U52" i="29"/>
  <c r="U51" i="29"/>
  <c r="U50" i="29"/>
  <c r="U49" i="29"/>
  <c r="U48" i="29"/>
  <c r="U47" i="29"/>
  <c r="U46" i="29"/>
  <c r="U45" i="29"/>
  <c r="U44" i="29"/>
  <c r="U43" i="29"/>
  <c r="U42" i="29"/>
  <c r="U41" i="29"/>
  <c r="U40" i="29"/>
  <c r="U39" i="29"/>
  <c r="U38" i="29"/>
  <c r="U37" i="29"/>
  <c r="U36" i="29"/>
  <c r="U35" i="29"/>
  <c r="U34" i="29"/>
  <c r="U33" i="29"/>
  <c r="U32" i="29"/>
  <c r="U31" i="29"/>
  <c r="BT2" i="29"/>
  <c r="U53" i="31"/>
  <c r="BU33" i="31"/>
  <c r="U72" i="31"/>
  <c r="U66" i="31"/>
  <c r="U76" i="31"/>
  <c r="U71" i="31"/>
  <c r="H5" i="3"/>
  <c r="K5" i="3"/>
  <c r="E5" i="3"/>
  <c r="L14" i="17"/>
  <c r="W14" i="17"/>
  <c r="L26" i="17"/>
  <c r="W26" i="17"/>
  <c r="L9" i="17"/>
  <c r="AT9" i="17"/>
  <c r="AT68" i="17"/>
  <c r="BE68" i="17"/>
  <c r="L21" i="17"/>
  <c r="AT21" i="17"/>
  <c r="AT51" i="17"/>
  <c r="BE51" i="17"/>
  <c r="L3" i="17"/>
  <c r="L32" i="17"/>
  <c r="L4" i="17"/>
  <c r="AT4" i="17"/>
  <c r="AT40" i="17"/>
  <c r="BE40" i="17"/>
  <c r="L5" i="17"/>
  <c r="L53" i="17"/>
  <c r="L6" i="17"/>
  <c r="L47" i="17"/>
  <c r="L7" i="17"/>
  <c r="L59" i="17"/>
  <c r="L8" i="17"/>
  <c r="AT8" i="17"/>
  <c r="AT41" i="17"/>
  <c r="BE41" i="17"/>
  <c r="W9" i="17"/>
  <c r="L10" i="17"/>
  <c r="L11" i="17"/>
  <c r="L12" i="17"/>
  <c r="L60" i="17"/>
  <c r="L13" i="17"/>
  <c r="L33" i="17"/>
  <c r="L34" i="17"/>
  <c r="L15" i="17"/>
  <c r="L44" i="17"/>
  <c r="L16" i="17"/>
  <c r="L58" i="17"/>
  <c r="L17" i="17"/>
  <c r="L52" i="17"/>
  <c r="L18" i="17"/>
  <c r="L61" i="17"/>
  <c r="L19" i="17"/>
  <c r="AT19" i="17"/>
  <c r="AT42" i="17"/>
  <c r="BE42" i="17"/>
  <c r="L20" i="17"/>
  <c r="AT20" i="17"/>
  <c r="BE20" i="17"/>
  <c r="W21" i="17"/>
  <c r="L22" i="17"/>
  <c r="L23" i="17"/>
  <c r="L24" i="17"/>
  <c r="AT24" i="17"/>
  <c r="BE24" i="17"/>
  <c r="L25" i="17"/>
  <c r="L36" i="17"/>
  <c r="L27" i="17"/>
  <c r="L62" i="17"/>
  <c r="L28" i="17"/>
  <c r="L43" i="17"/>
  <c r="L29" i="17"/>
  <c r="L57" i="17"/>
  <c r="L30" i="17"/>
  <c r="L35" i="17"/>
  <c r="L2" i="17"/>
  <c r="L38" i="17"/>
  <c r="K2" i="17"/>
  <c r="V2" i="17"/>
  <c r="E32" i="2"/>
  <c r="D2" i="26"/>
  <c r="E35" i="2"/>
  <c r="E2" i="26"/>
  <c r="E38" i="2"/>
  <c r="F2" i="26"/>
  <c r="E41" i="2"/>
  <c r="G2" i="26"/>
  <c r="E44" i="2"/>
  <c r="H2" i="26"/>
  <c r="E47" i="2"/>
  <c r="I2" i="26"/>
  <c r="E50" i="2"/>
  <c r="J2" i="26"/>
  <c r="E56" i="2"/>
  <c r="K2" i="26"/>
  <c r="E59" i="2"/>
  <c r="L2" i="26"/>
  <c r="E62" i="2"/>
  <c r="M2" i="26"/>
  <c r="E65" i="2"/>
  <c r="N2" i="26"/>
  <c r="E68" i="2"/>
  <c r="O2" i="26"/>
  <c r="E71" i="2"/>
  <c r="P2" i="26"/>
  <c r="E74" i="2"/>
  <c r="Q2" i="26"/>
  <c r="E77" i="2"/>
  <c r="R2" i="26"/>
  <c r="E83" i="2"/>
  <c r="S2" i="26"/>
  <c r="E86" i="2"/>
  <c r="T2" i="26"/>
  <c r="E80" i="2"/>
  <c r="U2" i="26"/>
  <c r="E89" i="2"/>
  <c r="V2" i="26"/>
  <c r="E92" i="2"/>
  <c r="W2" i="26"/>
  <c r="E98" i="2"/>
  <c r="X2" i="26"/>
  <c r="E101" i="2"/>
  <c r="Y2" i="26"/>
  <c r="E104" i="2"/>
  <c r="Z2" i="26"/>
  <c r="C2" i="26"/>
  <c r="AU4" i="26"/>
  <c r="AZ4" i="1"/>
  <c r="T4" i="36"/>
  <c r="AS4" i="36"/>
  <c r="BA4" i="1"/>
  <c r="BR4" i="36"/>
  <c r="AU4" i="28"/>
  <c r="AU40" i="28"/>
  <c r="AU16" i="26"/>
  <c r="AZ16" i="1"/>
  <c r="T16" i="36"/>
  <c r="AS16" i="36"/>
  <c r="BA16" i="1"/>
  <c r="BR16" i="36"/>
  <c r="AU16" i="28"/>
  <c r="AU72" i="28"/>
  <c r="AU28" i="26"/>
  <c r="AZ28" i="1"/>
  <c r="T28" i="36"/>
  <c r="AS28" i="36"/>
  <c r="BA28" i="1"/>
  <c r="BR28" i="36"/>
  <c r="AU28" i="28"/>
  <c r="AU43" i="28"/>
  <c r="AU26" i="26"/>
  <c r="AU26" i="27"/>
  <c r="AU36" i="27"/>
  <c r="AU8" i="26"/>
  <c r="AU8" i="27"/>
  <c r="AU41" i="27"/>
  <c r="AU9" i="26"/>
  <c r="AU9" i="27"/>
  <c r="AU54" i="27"/>
  <c r="AU3" i="26"/>
  <c r="AU3" i="27"/>
  <c r="AU4" i="27"/>
  <c r="AU40" i="27"/>
  <c r="AU5" i="26"/>
  <c r="AU5" i="27"/>
  <c r="AU53" i="27"/>
  <c r="AU6" i="26"/>
  <c r="AU6" i="27"/>
  <c r="AU7" i="26"/>
  <c r="AU7" i="27"/>
  <c r="AU59" i="27"/>
  <c r="AU68" i="27"/>
  <c r="AU10" i="26"/>
  <c r="AU10" i="27"/>
  <c r="AU46" i="27"/>
  <c r="AU11" i="26"/>
  <c r="AU11" i="27"/>
  <c r="AU39" i="27"/>
  <c r="AU12" i="26"/>
  <c r="AU12" i="27"/>
  <c r="AU13" i="26"/>
  <c r="AU13" i="27"/>
  <c r="AU33" i="27"/>
  <c r="AU14" i="26"/>
  <c r="AU14" i="27"/>
  <c r="AU15" i="26"/>
  <c r="AU15" i="27"/>
  <c r="AU16" i="27"/>
  <c r="AU17" i="26"/>
  <c r="AU17" i="27"/>
  <c r="AU52" i="27"/>
  <c r="AU18" i="26"/>
  <c r="AU18" i="27"/>
  <c r="AU75" i="27"/>
  <c r="AU19" i="26"/>
  <c r="AU19" i="27"/>
  <c r="AU20" i="26"/>
  <c r="AU20" i="27"/>
  <c r="AU21" i="26"/>
  <c r="AU21" i="27"/>
  <c r="AU51" i="27"/>
  <c r="AU22" i="26"/>
  <c r="AU22" i="27"/>
  <c r="AU37" i="27"/>
  <c r="AU23" i="26"/>
  <c r="AU23" i="27"/>
  <c r="AU49" i="27"/>
  <c r="AU24" i="26"/>
  <c r="AU24" i="27"/>
  <c r="AU55" i="27"/>
  <c r="AU25" i="26"/>
  <c r="AU25" i="27"/>
  <c r="AU50" i="27"/>
  <c r="AU27" i="26"/>
  <c r="AU27" i="27"/>
  <c r="AU76" i="27"/>
  <c r="AU28" i="27"/>
  <c r="AU29" i="26"/>
  <c r="AU29" i="27"/>
  <c r="AU30" i="26"/>
  <c r="AU30" i="27"/>
  <c r="AU2" i="26"/>
  <c r="AU2" i="27"/>
  <c r="U13" i="26"/>
  <c r="U13" i="27"/>
  <c r="U33" i="27"/>
  <c r="U14" i="26"/>
  <c r="U14" i="27"/>
  <c r="U34" i="27"/>
  <c r="U5" i="26"/>
  <c r="U5" i="27"/>
  <c r="U53" i="27"/>
  <c r="U9" i="26"/>
  <c r="U9" i="27"/>
  <c r="U54" i="27"/>
  <c r="U25" i="26"/>
  <c r="U25" i="27"/>
  <c r="U64" i="27"/>
  <c r="U68" i="27"/>
  <c r="U3" i="26"/>
  <c r="U3" i="27"/>
  <c r="U32" i="27"/>
  <c r="U4" i="26"/>
  <c r="U4" i="27"/>
  <c r="U67" i="27"/>
  <c r="U6" i="26"/>
  <c r="U6" i="27"/>
  <c r="U7" i="26"/>
  <c r="U7" i="27"/>
  <c r="U59" i="27"/>
  <c r="U8" i="26"/>
  <c r="U8" i="27"/>
  <c r="U41" i="27"/>
  <c r="U10" i="26"/>
  <c r="U10" i="27"/>
  <c r="U46" i="27"/>
  <c r="U11" i="26"/>
  <c r="U11" i="27"/>
  <c r="U39" i="27"/>
  <c r="U12" i="26"/>
  <c r="U12" i="27"/>
  <c r="U60" i="27"/>
  <c r="U15" i="26"/>
  <c r="U15" i="27"/>
  <c r="U44" i="27"/>
  <c r="U16" i="26"/>
  <c r="U16" i="27"/>
  <c r="U17" i="26"/>
  <c r="U17" i="27"/>
  <c r="U52" i="27"/>
  <c r="U18" i="26"/>
  <c r="U18" i="27"/>
  <c r="U19" i="26"/>
  <c r="U19" i="27"/>
  <c r="U42" i="27"/>
  <c r="U20" i="26"/>
  <c r="U20" i="27"/>
  <c r="U56" i="27"/>
  <c r="U21" i="26"/>
  <c r="U21" i="27"/>
  <c r="U51" i="27"/>
  <c r="U22" i="26"/>
  <c r="U22" i="27"/>
  <c r="U37" i="27"/>
  <c r="U23" i="26"/>
  <c r="U23" i="27"/>
  <c r="U49" i="27"/>
  <c r="U24" i="26"/>
  <c r="U24" i="27"/>
  <c r="U55" i="27"/>
  <c r="U50" i="27"/>
  <c r="U26" i="26"/>
  <c r="U26" i="27"/>
  <c r="U27" i="26"/>
  <c r="U27" i="27"/>
  <c r="U76" i="27"/>
  <c r="U28" i="26"/>
  <c r="U28" i="27"/>
  <c r="U29" i="26"/>
  <c r="U29" i="27"/>
  <c r="U30" i="26"/>
  <c r="U30" i="27"/>
  <c r="U2" i="27"/>
  <c r="U38" i="27"/>
  <c r="T5" i="26"/>
  <c r="T5" i="27"/>
  <c r="AR30" i="26"/>
  <c r="AD30" i="26"/>
  <c r="AE30" i="26"/>
  <c r="AF30" i="26"/>
  <c r="AG30" i="26"/>
  <c r="AH30" i="26"/>
  <c r="AI30" i="26"/>
  <c r="AJ30" i="26"/>
  <c r="AK30" i="26"/>
  <c r="AL30" i="26"/>
  <c r="AM30" i="26"/>
  <c r="AN30" i="26"/>
  <c r="AO30" i="26"/>
  <c r="AP30" i="26"/>
  <c r="AQ30" i="26"/>
  <c r="AS30" i="26"/>
  <c r="AT30" i="26"/>
  <c r="AV30" i="26"/>
  <c r="AW30" i="26"/>
  <c r="AX30" i="26"/>
  <c r="AY30" i="26"/>
  <c r="AZ30" i="26"/>
  <c r="AC30" i="26"/>
  <c r="AR29" i="26"/>
  <c r="AD29" i="26"/>
  <c r="AE29" i="26"/>
  <c r="AF29" i="26"/>
  <c r="AG29" i="26"/>
  <c r="AH29" i="26"/>
  <c r="AI29" i="26"/>
  <c r="AJ29" i="26"/>
  <c r="AK29" i="26"/>
  <c r="AL29" i="26"/>
  <c r="AM29" i="26"/>
  <c r="AN29" i="26"/>
  <c r="AO29" i="26"/>
  <c r="AP29" i="26"/>
  <c r="AQ29" i="26"/>
  <c r="AS29" i="26"/>
  <c r="AT29" i="26"/>
  <c r="AV29" i="26"/>
  <c r="AW29" i="26"/>
  <c r="AX29" i="26"/>
  <c r="AY29" i="26"/>
  <c r="AZ29" i="26"/>
  <c r="AC29" i="26"/>
  <c r="AR28" i="26"/>
  <c r="AD28" i="26"/>
  <c r="AE28" i="26"/>
  <c r="AF28" i="26"/>
  <c r="AG28" i="26"/>
  <c r="AH28" i="26"/>
  <c r="AI28" i="26"/>
  <c r="AJ28" i="26"/>
  <c r="AK28" i="26"/>
  <c r="AL28" i="26"/>
  <c r="AM28" i="26"/>
  <c r="AN28" i="26"/>
  <c r="AO28" i="26"/>
  <c r="AP28" i="26"/>
  <c r="AQ28" i="26"/>
  <c r="AS28" i="26"/>
  <c r="AT28" i="26"/>
  <c r="AV28" i="26"/>
  <c r="AW28" i="26"/>
  <c r="AX28" i="26"/>
  <c r="AY28" i="26"/>
  <c r="AZ28" i="26"/>
  <c r="AC28" i="26"/>
  <c r="AR27" i="26"/>
  <c r="AD27" i="26"/>
  <c r="AE27" i="26"/>
  <c r="AF27" i="26"/>
  <c r="AG27" i="26"/>
  <c r="AH27" i="26"/>
  <c r="AI27" i="26"/>
  <c r="AJ27" i="26"/>
  <c r="AK27" i="26"/>
  <c r="AL27" i="26"/>
  <c r="AM27" i="26"/>
  <c r="AN27" i="26"/>
  <c r="AO27" i="26"/>
  <c r="AP27" i="26"/>
  <c r="AQ27" i="26"/>
  <c r="AS27" i="26"/>
  <c r="AT27" i="26"/>
  <c r="AV27" i="26"/>
  <c r="AW27" i="26"/>
  <c r="AX27" i="26"/>
  <c r="AY27" i="26"/>
  <c r="AZ27" i="26"/>
  <c r="AC27" i="26"/>
  <c r="AR26" i="26"/>
  <c r="AD26" i="26"/>
  <c r="AE26" i="26"/>
  <c r="AF26" i="26"/>
  <c r="AG26" i="26"/>
  <c r="AH26" i="26"/>
  <c r="AI26" i="26"/>
  <c r="AJ26" i="26"/>
  <c r="AK26" i="26"/>
  <c r="AL26" i="26"/>
  <c r="AM26" i="26"/>
  <c r="AN26" i="26"/>
  <c r="AO26" i="26"/>
  <c r="AP26" i="26"/>
  <c r="AQ26" i="26"/>
  <c r="AS26" i="26"/>
  <c r="AT26" i="26"/>
  <c r="AV26" i="26"/>
  <c r="AW26" i="26"/>
  <c r="AX26" i="26"/>
  <c r="AY26" i="26"/>
  <c r="AZ26" i="26"/>
  <c r="AC26" i="26"/>
  <c r="AR25" i="26"/>
  <c r="AD25" i="26"/>
  <c r="AE25" i="26"/>
  <c r="AF25" i="26"/>
  <c r="AG25" i="26"/>
  <c r="AH25" i="26"/>
  <c r="AI25" i="26"/>
  <c r="AJ25" i="26"/>
  <c r="AK25" i="26"/>
  <c r="AL25" i="26"/>
  <c r="AM25" i="26"/>
  <c r="AN25" i="26"/>
  <c r="AO25" i="26"/>
  <c r="AP25" i="26"/>
  <c r="AQ25" i="26"/>
  <c r="AS25" i="26"/>
  <c r="AT25" i="26"/>
  <c r="AV25" i="26"/>
  <c r="AW25" i="26"/>
  <c r="AX25" i="26"/>
  <c r="AY25" i="26"/>
  <c r="AZ25" i="26"/>
  <c r="AC25" i="26"/>
  <c r="AR24" i="26"/>
  <c r="AD24" i="26"/>
  <c r="AE24" i="26"/>
  <c r="AF24" i="26"/>
  <c r="AG24" i="26"/>
  <c r="AH24" i="26"/>
  <c r="AI24" i="26"/>
  <c r="AJ24" i="26"/>
  <c r="AK24" i="26"/>
  <c r="AL24" i="26"/>
  <c r="AM24" i="26"/>
  <c r="AN24" i="26"/>
  <c r="AO24" i="26"/>
  <c r="AP24" i="26"/>
  <c r="AQ24" i="26"/>
  <c r="AS24" i="26"/>
  <c r="AT24" i="26"/>
  <c r="AV24" i="26"/>
  <c r="AW24" i="26"/>
  <c r="AX24" i="26"/>
  <c r="AY24" i="26"/>
  <c r="AZ24" i="26"/>
  <c r="AC24" i="26"/>
  <c r="AR23" i="26"/>
  <c r="AD23" i="26"/>
  <c r="AE23" i="26"/>
  <c r="AF23" i="26"/>
  <c r="AG23" i="26"/>
  <c r="AH23" i="26"/>
  <c r="AI23" i="26"/>
  <c r="AJ23" i="26"/>
  <c r="AK23" i="26"/>
  <c r="AL23" i="26"/>
  <c r="AM23" i="26"/>
  <c r="AN23" i="26"/>
  <c r="AO23" i="26"/>
  <c r="AP23" i="26"/>
  <c r="AQ23" i="26"/>
  <c r="AS23" i="26"/>
  <c r="AT23" i="26"/>
  <c r="AV23" i="26"/>
  <c r="AW23" i="26"/>
  <c r="AX23" i="26"/>
  <c r="AY23" i="26"/>
  <c r="AZ23" i="26"/>
  <c r="AC23" i="26"/>
  <c r="AR22" i="26"/>
  <c r="AD22" i="26"/>
  <c r="AE22" i="26"/>
  <c r="AF22" i="26"/>
  <c r="AG22" i="26"/>
  <c r="AH22" i="26"/>
  <c r="AI22" i="26"/>
  <c r="AJ22" i="26"/>
  <c r="AK22" i="26"/>
  <c r="AL22" i="26"/>
  <c r="AM22" i="26"/>
  <c r="AN22" i="26"/>
  <c r="AO22" i="26"/>
  <c r="AP22" i="26"/>
  <c r="AQ22" i="26"/>
  <c r="AS22" i="26"/>
  <c r="AT22" i="26"/>
  <c r="AV22" i="26"/>
  <c r="AW22" i="26"/>
  <c r="AX22" i="26"/>
  <c r="AY22" i="26"/>
  <c r="AZ22" i="26"/>
  <c r="AC22" i="26"/>
  <c r="AR21" i="26"/>
  <c r="AD21" i="26"/>
  <c r="AE21" i="26"/>
  <c r="AF21" i="26"/>
  <c r="AG21" i="26"/>
  <c r="AH21" i="26"/>
  <c r="AI21" i="26"/>
  <c r="AJ21" i="26"/>
  <c r="AK21" i="26"/>
  <c r="AL21" i="26"/>
  <c r="AM21" i="26"/>
  <c r="AN21" i="26"/>
  <c r="AO21" i="26"/>
  <c r="AP21" i="26"/>
  <c r="AQ21" i="26"/>
  <c r="AS21" i="26"/>
  <c r="AT21" i="26"/>
  <c r="AV21" i="26"/>
  <c r="AW21" i="26"/>
  <c r="AX21" i="26"/>
  <c r="AY21" i="26"/>
  <c r="AZ21" i="26"/>
  <c r="AC21" i="26"/>
  <c r="AR20" i="26"/>
  <c r="AD20" i="26"/>
  <c r="AE20" i="26"/>
  <c r="AF20" i="26"/>
  <c r="AG20" i="26"/>
  <c r="AH20" i="26"/>
  <c r="AI20" i="26"/>
  <c r="AJ20" i="26"/>
  <c r="AK20" i="26"/>
  <c r="AL20" i="26"/>
  <c r="AM20" i="26"/>
  <c r="AN20" i="26"/>
  <c r="AO20" i="26"/>
  <c r="AP20" i="26"/>
  <c r="AQ20" i="26"/>
  <c r="AS20" i="26"/>
  <c r="AT20" i="26"/>
  <c r="AV20" i="26"/>
  <c r="AW20" i="26"/>
  <c r="AX20" i="26"/>
  <c r="AY20" i="26"/>
  <c r="AZ20" i="26"/>
  <c r="AC20" i="26"/>
  <c r="AR19" i="26"/>
  <c r="AD19" i="26"/>
  <c r="AE19" i="26"/>
  <c r="AF19" i="26"/>
  <c r="AG19" i="26"/>
  <c r="AH19" i="26"/>
  <c r="AI19" i="26"/>
  <c r="AJ19" i="26"/>
  <c r="AK19" i="26"/>
  <c r="AL19" i="26"/>
  <c r="AM19" i="26"/>
  <c r="AN19" i="26"/>
  <c r="AO19" i="26"/>
  <c r="AP19" i="26"/>
  <c r="AQ19" i="26"/>
  <c r="AS19" i="26"/>
  <c r="AT19" i="26"/>
  <c r="AV19" i="26"/>
  <c r="AW19" i="26"/>
  <c r="AX19" i="26"/>
  <c r="AY19" i="26"/>
  <c r="AZ19" i="26"/>
  <c r="AC19" i="26"/>
  <c r="AR18" i="26"/>
  <c r="AD18" i="26"/>
  <c r="AE18" i="26"/>
  <c r="AF18" i="26"/>
  <c r="AG18" i="26"/>
  <c r="AH18" i="26"/>
  <c r="AI18" i="26"/>
  <c r="AJ18" i="26"/>
  <c r="AK18" i="26"/>
  <c r="AL18" i="26"/>
  <c r="AM18" i="26"/>
  <c r="AN18" i="26"/>
  <c r="AO18" i="26"/>
  <c r="AP18" i="26"/>
  <c r="AQ18" i="26"/>
  <c r="AS18" i="26"/>
  <c r="AT18" i="26"/>
  <c r="AV18" i="26"/>
  <c r="AW18" i="26"/>
  <c r="AX18" i="26"/>
  <c r="AY18" i="26"/>
  <c r="AZ18" i="26"/>
  <c r="AC18" i="26"/>
  <c r="AR17" i="26"/>
  <c r="AD17" i="26"/>
  <c r="AE17" i="26"/>
  <c r="AF17" i="26"/>
  <c r="AG17" i="26"/>
  <c r="AH17" i="26"/>
  <c r="AI17" i="26"/>
  <c r="AJ17" i="26"/>
  <c r="AK17" i="26"/>
  <c r="AL17" i="26"/>
  <c r="AM17" i="26"/>
  <c r="AN17" i="26"/>
  <c r="AO17" i="26"/>
  <c r="AP17" i="26"/>
  <c r="AQ17" i="26"/>
  <c r="AS17" i="26"/>
  <c r="AT17" i="26"/>
  <c r="AV17" i="26"/>
  <c r="AW17" i="26"/>
  <c r="AX17" i="26"/>
  <c r="AY17" i="26"/>
  <c r="AZ17" i="26"/>
  <c r="AC17" i="26"/>
  <c r="AR16" i="26"/>
  <c r="AD16" i="26"/>
  <c r="AE16" i="26"/>
  <c r="AF16" i="26"/>
  <c r="AG16" i="26"/>
  <c r="AH16" i="26"/>
  <c r="AI16" i="26"/>
  <c r="AJ16" i="26"/>
  <c r="AK16" i="26"/>
  <c r="AL16" i="26"/>
  <c r="AM16" i="26"/>
  <c r="AN16" i="26"/>
  <c r="AO16" i="26"/>
  <c r="AP16" i="26"/>
  <c r="AQ16" i="26"/>
  <c r="AS16" i="26"/>
  <c r="AT16" i="26"/>
  <c r="AV16" i="26"/>
  <c r="AW16" i="26"/>
  <c r="AX16" i="26"/>
  <c r="AY16" i="26"/>
  <c r="AZ16" i="26"/>
  <c r="AC16" i="26"/>
  <c r="AR15" i="26"/>
  <c r="AD15" i="26"/>
  <c r="AE15" i="26"/>
  <c r="AF15" i="26"/>
  <c r="AG15" i="26"/>
  <c r="AH15" i="26"/>
  <c r="AI15" i="26"/>
  <c r="AJ15" i="26"/>
  <c r="AK15" i="26"/>
  <c r="AL15" i="26"/>
  <c r="AM15" i="26"/>
  <c r="AN15" i="26"/>
  <c r="AO15" i="26"/>
  <c r="AP15" i="26"/>
  <c r="AQ15" i="26"/>
  <c r="AS15" i="26"/>
  <c r="AT15" i="26"/>
  <c r="AV15" i="26"/>
  <c r="AW15" i="26"/>
  <c r="AX15" i="26"/>
  <c r="AY15" i="26"/>
  <c r="AZ15" i="26"/>
  <c r="AC15" i="26"/>
  <c r="AR14" i="26"/>
  <c r="AD14" i="26"/>
  <c r="AE14" i="26"/>
  <c r="AF14" i="26"/>
  <c r="AG14" i="26"/>
  <c r="AH14" i="26"/>
  <c r="AI14" i="26"/>
  <c r="AJ14" i="26"/>
  <c r="AK14" i="26"/>
  <c r="AL14" i="26"/>
  <c r="AM14" i="26"/>
  <c r="AN14" i="26"/>
  <c r="AO14" i="26"/>
  <c r="AP14" i="26"/>
  <c r="AQ14" i="26"/>
  <c r="AS14" i="26"/>
  <c r="AT14" i="26"/>
  <c r="AV14" i="26"/>
  <c r="AW14" i="26"/>
  <c r="AX14" i="26"/>
  <c r="AY14" i="26"/>
  <c r="AZ14" i="26"/>
  <c r="AC14" i="26"/>
  <c r="AR13" i="26"/>
  <c r="AD13" i="26"/>
  <c r="AE13" i="26"/>
  <c r="AF13" i="26"/>
  <c r="AG13" i="26"/>
  <c r="AH13" i="26"/>
  <c r="AI13" i="26"/>
  <c r="AJ13" i="26"/>
  <c r="AK13" i="26"/>
  <c r="AL13" i="26"/>
  <c r="AM13" i="26"/>
  <c r="AN13" i="26"/>
  <c r="AO13" i="26"/>
  <c r="AP13" i="26"/>
  <c r="AQ13" i="26"/>
  <c r="AS13" i="26"/>
  <c r="AT13" i="26"/>
  <c r="AV13" i="26"/>
  <c r="AW13" i="26"/>
  <c r="AX13" i="26"/>
  <c r="AY13" i="26"/>
  <c r="AZ13" i="26"/>
  <c r="AC13" i="26"/>
  <c r="AR12" i="26"/>
  <c r="AD12" i="26"/>
  <c r="AE12" i="26"/>
  <c r="AF12" i="26"/>
  <c r="AG12" i="26"/>
  <c r="AH12" i="26"/>
  <c r="AI12" i="26"/>
  <c r="AJ12" i="26"/>
  <c r="AK12" i="26"/>
  <c r="AL12" i="26"/>
  <c r="AM12" i="26"/>
  <c r="AN12" i="26"/>
  <c r="AO12" i="26"/>
  <c r="AP12" i="26"/>
  <c r="AQ12" i="26"/>
  <c r="AS12" i="26"/>
  <c r="AT12" i="26"/>
  <c r="AV12" i="26"/>
  <c r="AW12" i="26"/>
  <c r="AX12" i="26"/>
  <c r="AY12" i="26"/>
  <c r="AZ12" i="26"/>
  <c r="AC12" i="26"/>
  <c r="AR11" i="26"/>
  <c r="AD11" i="26"/>
  <c r="AE11" i="26"/>
  <c r="AF11" i="26"/>
  <c r="AG11" i="26"/>
  <c r="AH11" i="26"/>
  <c r="AI11" i="26"/>
  <c r="AJ11" i="26"/>
  <c r="AK11" i="26"/>
  <c r="AL11" i="26"/>
  <c r="AM11" i="26"/>
  <c r="AN11" i="26"/>
  <c r="AO11" i="26"/>
  <c r="AP11" i="26"/>
  <c r="AQ11" i="26"/>
  <c r="AS11" i="26"/>
  <c r="AT11" i="26"/>
  <c r="AV11" i="26"/>
  <c r="AW11" i="26"/>
  <c r="AX11" i="26"/>
  <c r="AY11" i="26"/>
  <c r="AZ11" i="26"/>
  <c r="AC11" i="26"/>
  <c r="AR10" i="26"/>
  <c r="AD10" i="26"/>
  <c r="AE10" i="26"/>
  <c r="AF10" i="26"/>
  <c r="AG10" i="26"/>
  <c r="AH10" i="26"/>
  <c r="AI10" i="26"/>
  <c r="AJ10" i="26"/>
  <c r="AK10" i="26"/>
  <c r="AL10" i="26"/>
  <c r="AM10" i="26"/>
  <c r="AN10" i="26"/>
  <c r="AO10" i="26"/>
  <c r="AP10" i="26"/>
  <c r="AQ10" i="26"/>
  <c r="AS10" i="26"/>
  <c r="AT10" i="26"/>
  <c r="AV10" i="26"/>
  <c r="AW10" i="26"/>
  <c r="AX10" i="26"/>
  <c r="AY10" i="26"/>
  <c r="AZ10" i="26"/>
  <c r="AC10" i="26"/>
  <c r="AR9" i="26"/>
  <c r="AD9" i="26"/>
  <c r="AE9" i="26"/>
  <c r="AF9" i="26"/>
  <c r="AG9" i="26"/>
  <c r="AH9" i="26"/>
  <c r="AI9" i="26"/>
  <c r="AJ9" i="26"/>
  <c r="AK9" i="26"/>
  <c r="AL9" i="26"/>
  <c r="AM9" i="26"/>
  <c r="AN9" i="26"/>
  <c r="AO9" i="26"/>
  <c r="AP9" i="26"/>
  <c r="AQ9" i="26"/>
  <c r="AS9" i="26"/>
  <c r="AT9" i="26"/>
  <c r="AV9" i="26"/>
  <c r="AW9" i="26"/>
  <c r="AX9" i="26"/>
  <c r="AY9" i="26"/>
  <c r="AZ9" i="26"/>
  <c r="AC9" i="26"/>
  <c r="AR8" i="26"/>
  <c r="AD8" i="26"/>
  <c r="AE8" i="26"/>
  <c r="AF8" i="26"/>
  <c r="AG8" i="26"/>
  <c r="AH8" i="26"/>
  <c r="AI8" i="26"/>
  <c r="AJ8" i="26"/>
  <c r="AK8" i="26"/>
  <c r="AL8" i="26"/>
  <c r="AM8" i="26"/>
  <c r="AN8" i="26"/>
  <c r="AO8" i="26"/>
  <c r="AP8" i="26"/>
  <c r="AQ8" i="26"/>
  <c r="AS8" i="26"/>
  <c r="AT8" i="26"/>
  <c r="AV8" i="26"/>
  <c r="AW8" i="26"/>
  <c r="AX8" i="26"/>
  <c r="AY8" i="26"/>
  <c r="AZ8" i="26"/>
  <c r="AC8" i="26"/>
  <c r="AR7" i="26"/>
  <c r="AD7" i="26"/>
  <c r="AE7" i="26"/>
  <c r="AF7" i="26"/>
  <c r="AG7" i="26"/>
  <c r="AH7" i="26"/>
  <c r="AI7" i="26"/>
  <c r="AJ7" i="26"/>
  <c r="AK7" i="26"/>
  <c r="AL7" i="26"/>
  <c r="AM7" i="26"/>
  <c r="AN7" i="26"/>
  <c r="AO7" i="26"/>
  <c r="AP7" i="26"/>
  <c r="AQ7" i="26"/>
  <c r="AS7" i="26"/>
  <c r="AT7" i="26"/>
  <c r="AV7" i="26"/>
  <c r="AW7" i="26"/>
  <c r="AX7" i="26"/>
  <c r="AY7" i="26"/>
  <c r="AZ7" i="26"/>
  <c r="AC7" i="26"/>
  <c r="AR6" i="26"/>
  <c r="AD6" i="26"/>
  <c r="AE6" i="26"/>
  <c r="AF6" i="26"/>
  <c r="AG6" i="26"/>
  <c r="AH6" i="26"/>
  <c r="AI6" i="26"/>
  <c r="AJ6" i="26"/>
  <c r="AK6" i="26"/>
  <c r="AL6" i="26"/>
  <c r="AM6" i="26"/>
  <c r="AN6" i="26"/>
  <c r="AO6" i="26"/>
  <c r="AP6" i="26"/>
  <c r="AQ6" i="26"/>
  <c r="AS6" i="26"/>
  <c r="AT6" i="26"/>
  <c r="AV6" i="26"/>
  <c r="AW6" i="26"/>
  <c r="AX6" i="26"/>
  <c r="AY6" i="26"/>
  <c r="AZ6" i="26"/>
  <c r="AC6" i="26"/>
  <c r="AR5" i="26"/>
  <c r="AD5" i="26"/>
  <c r="AE5" i="26"/>
  <c r="AF5" i="26"/>
  <c r="AG5" i="26"/>
  <c r="AH5" i="26"/>
  <c r="AI5" i="26"/>
  <c r="AJ5" i="26"/>
  <c r="AK5" i="26"/>
  <c r="AL5" i="26"/>
  <c r="AM5" i="26"/>
  <c r="AN5" i="26"/>
  <c r="AO5" i="26"/>
  <c r="AP5" i="26"/>
  <c r="AQ5" i="26"/>
  <c r="AS5" i="26"/>
  <c r="AT5" i="26"/>
  <c r="AV5" i="26"/>
  <c r="AW5" i="26"/>
  <c r="AX5" i="26"/>
  <c r="AY5" i="26"/>
  <c r="AZ5" i="26"/>
  <c r="AC5" i="26"/>
  <c r="AR4" i="26"/>
  <c r="AD4" i="26"/>
  <c r="AE4" i="26"/>
  <c r="AF4" i="26"/>
  <c r="AG4" i="26"/>
  <c r="AH4" i="26"/>
  <c r="AI4" i="26"/>
  <c r="AJ4" i="26"/>
  <c r="AK4" i="26"/>
  <c r="AL4" i="26"/>
  <c r="AM4" i="26"/>
  <c r="AN4" i="26"/>
  <c r="AO4" i="26"/>
  <c r="AP4" i="26"/>
  <c r="AQ4" i="26"/>
  <c r="AS4" i="26"/>
  <c r="AT4" i="26"/>
  <c r="AV4" i="26"/>
  <c r="AW4" i="26"/>
  <c r="AX4" i="26"/>
  <c r="AY4" i="26"/>
  <c r="AZ4" i="26"/>
  <c r="AC4" i="26"/>
  <c r="AR3" i="26"/>
  <c r="AD3" i="26"/>
  <c r="AE3" i="26"/>
  <c r="AF3" i="26"/>
  <c r="AG3" i="26"/>
  <c r="AH3" i="26"/>
  <c r="AI3" i="26"/>
  <c r="AJ3" i="26"/>
  <c r="AK3" i="26"/>
  <c r="AL3" i="26"/>
  <c r="AM3" i="26"/>
  <c r="AN3" i="26"/>
  <c r="AO3" i="26"/>
  <c r="AP3" i="26"/>
  <c r="AQ3" i="26"/>
  <c r="AS3" i="26"/>
  <c r="AT3" i="26"/>
  <c r="AV3" i="26"/>
  <c r="AW3" i="26"/>
  <c r="AX3" i="26"/>
  <c r="AY3" i="26"/>
  <c r="AZ3" i="26"/>
  <c r="AC3" i="26"/>
  <c r="AR2" i="26"/>
  <c r="AD2" i="26"/>
  <c r="AE2" i="26"/>
  <c r="AF2" i="26"/>
  <c r="AG2" i="26"/>
  <c r="AH2" i="26"/>
  <c r="AI2" i="26"/>
  <c r="AJ2" i="26"/>
  <c r="AK2" i="26"/>
  <c r="AL2" i="26"/>
  <c r="AM2" i="26"/>
  <c r="AN2" i="26"/>
  <c r="AO2" i="26"/>
  <c r="AP2" i="26"/>
  <c r="AQ2" i="26"/>
  <c r="AS2" i="26"/>
  <c r="AT2" i="26"/>
  <c r="AV2" i="26"/>
  <c r="AW2" i="26"/>
  <c r="AX2" i="26"/>
  <c r="AY2" i="26"/>
  <c r="AZ2" i="26"/>
  <c r="AC2" i="26"/>
  <c r="D3" i="26"/>
  <c r="E3" i="26"/>
  <c r="F3" i="26"/>
  <c r="G3" i="26"/>
  <c r="H3" i="26"/>
  <c r="I3" i="26"/>
  <c r="J3" i="26"/>
  <c r="K3" i="26"/>
  <c r="L3" i="26"/>
  <c r="M3" i="26"/>
  <c r="N3" i="26"/>
  <c r="O3" i="26"/>
  <c r="P3" i="26"/>
  <c r="Q3" i="26"/>
  <c r="R3" i="26"/>
  <c r="S3" i="26"/>
  <c r="T3" i="26"/>
  <c r="V3" i="26"/>
  <c r="W3" i="26"/>
  <c r="X3" i="26"/>
  <c r="Y3" i="26"/>
  <c r="Z3" i="26"/>
  <c r="C3" i="26"/>
  <c r="D4" i="26"/>
  <c r="E4" i="26"/>
  <c r="F4" i="26"/>
  <c r="G4" i="26"/>
  <c r="H4" i="26"/>
  <c r="I4" i="26"/>
  <c r="J4" i="26"/>
  <c r="K4" i="26"/>
  <c r="L4" i="26"/>
  <c r="M4" i="26"/>
  <c r="N4" i="26"/>
  <c r="O4" i="26"/>
  <c r="P4" i="26"/>
  <c r="Q4" i="26"/>
  <c r="R4" i="26"/>
  <c r="S4" i="26"/>
  <c r="T4" i="26"/>
  <c r="V4" i="26"/>
  <c r="W4" i="26"/>
  <c r="X4" i="26"/>
  <c r="Y4" i="26"/>
  <c r="Z4" i="26"/>
  <c r="C4" i="26"/>
  <c r="D5" i="26"/>
  <c r="E5" i="26"/>
  <c r="F5" i="26"/>
  <c r="G5" i="26"/>
  <c r="H5" i="26"/>
  <c r="I5" i="26"/>
  <c r="J5" i="26"/>
  <c r="K5" i="26"/>
  <c r="L5" i="26"/>
  <c r="M5" i="26"/>
  <c r="N5" i="26"/>
  <c r="O5" i="26"/>
  <c r="P5" i="26"/>
  <c r="Q5" i="26"/>
  <c r="R5" i="26"/>
  <c r="S5" i="26"/>
  <c r="V5" i="26"/>
  <c r="W5" i="26"/>
  <c r="X5" i="26"/>
  <c r="Y5" i="26"/>
  <c r="Z5" i="26"/>
  <c r="C5" i="26"/>
  <c r="D6" i="26"/>
  <c r="E6" i="26"/>
  <c r="F6" i="26"/>
  <c r="G6" i="26"/>
  <c r="H6" i="26"/>
  <c r="I6" i="26"/>
  <c r="J6" i="26"/>
  <c r="K6" i="26"/>
  <c r="L6" i="26"/>
  <c r="M6" i="26"/>
  <c r="N6" i="26"/>
  <c r="O6" i="26"/>
  <c r="P6" i="26"/>
  <c r="Q6" i="26"/>
  <c r="R6" i="26"/>
  <c r="S6" i="26"/>
  <c r="T6" i="26"/>
  <c r="V6" i="26"/>
  <c r="W6" i="26"/>
  <c r="X6" i="26"/>
  <c r="Y6" i="26"/>
  <c r="Z6" i="26"/>
  <c r="C6" i="26"/>
  <c r="D7" i="26"/>
  <c r="E7" i="26"/>
  <c r="F7" i="26"/>
  <c r="G7" i="26"/>
  <c r="H7" i="26"/>
  <c r="I7" i="26"/>
  <c r="J7" i="26"/>
  <c r="K7" i="26"/>
  <c r="L7" i="26"/>
  <c r="M7" i="26"/>
  <c r="N7" i="26"/>
  <c r="O7" i="26"/>
  <c r="P7" i="26"/>
  <c r="Q7" i="26"/>
  <c r="R7" i="26"/>
  <c r="S7" i="26"/>
  <c r="T7" i="26"/>
  <c r="V7" i="26"/>
  <c r="W7" i="26"/>
  <c r="X7" i="26"/>
  <c r="Y7" i="26"/>
  <c r="Z7" i="26"/>
  <c r="C7" i="26"/>
  <c r="D8" i="26"/>
  <c r="E8" i="26"/>
  <c r="F8" i="26"/>
  <c r="G8" i="26"/>
  <c r="H8" i="26"/>
  <c r="I8" i="26"/>
  <c r="J8" i="26"/>
  <c r="K8" i="26"/>
  <c r="L8" i="26"/>
  <c r="M8" i="26"/>
  <c r="N8" i="26"/>
  <c r="O8" i="26"/>
  <c r="P8" i="26"/>
  <c r="Q8" i="26"/>
  <c r="R8" i="26"/>
  <c r="S8" i="26"/>
  <c r="T8" i="26"/>
  <c r="V8" i="26"/>
  <c r="W8" i="26"/>
  <c r="X8" i="26"/>
  <c r="Y8" i="26"/>
  <c r="Z8" i="26"/>
  <c r="C8" i="26"/>
  <c r="D9" i="26"/>
  <c r="E9" i="26"/>
  <c r="F9" i="26"/>
  <c r="G9" i="26"/>
  <c r="H9" i="26"/>
  <c r="I9" i="26"/>
  <c r="J9" i="26"/>
  <c r="K9" i="26"/>
  <c r="L9" i="26"/>
  <c r="M9" i="26"/>
  <c r="N9" i="26"/>
  <c r="O9" i="26"/>
  <c r="P9" i="26"/>
  <c r="Q9" i="26"/>
  <c r="R9" i="26"/>
  <c r="S9" i="26"/>
  <c r="T9" i="26"/>
  <c r="V9" i="26"/>
  <c r="W9" i="26"/>
  <c r="X9" i="26"/>
  <c r="Y9" i="26"/>
  <c r="Z9" i="26"/>
  <c r="C9" i="26"/>
  <c r="D10" i="26"/>
  <c r="E10" i="26"/>
  <c r="F10" i="26"/>
  <c r="G10" i="26"/>
  <c r="H10" i="26"/>
  <c r="I10" i="26"/>
  <c r="J10" i="26"/>
  <c r="K10" i="26"/>
  <c r="L10" i="26"/>
  <c r="M10" i="26"/>
  <c r="N10" i="26"/>
  <c r="O10" i="26"/>
  <c r="P10" i="26"/>
  <c r="Q10" i="26"/>
  <c r="R10" i="26"/>
  <c r="S10" i="26"/>
  <c r="T10" i="26"/>
  <c r="V10" i="26"/>
  <c r="W10" i="26"/>
  <c r="X10" i="26"/>
  <c r="Y10" i="26"/>
  <c r="Z10" i="26"/>
  <c r="C10" i="26"/>
  <c r="D11" i="26"/>
  <c r="E11" i="26"/>
  <c r="F11" i="26"/>
  <c r="G11" i="26"/>
  <c r="H11" i="26"/>
  <c r="I11" i="26"/>
  <c r="J11" i="26"/>
  <c r="K11" i="26"/>
  <c r="L11" i="26"/>
  <c r="M11" i="26"/>
  <c r="N11" i="26"/>
  <c r="O11" i="26"/>
  <c r="P11" i="26"/>
  <c r="Q11" i="26"/>
  <c r="R11" i="26"/>
  <c r="S11" i="26"/>
  <c r="T11" i="26"/>
  <c r="V11" i="26"/>
  <c r="W11" i="26"/>
  <c r="X11" i="26"/>
  <c r="Y11" i="26"/>
  <c r="Z11" i="26"/>
  <c r="C11" i="26"/>
  <c r="D12" i="26"/>
  <c r="E12" i="26"/>
  <c r="F12" i="26"/>
  <c r="G12" i="26"/>
  <c r="H12" i="26"/>
  <c r="I12" i="26"/>
  <c r="J12" i="26"/>
  <c r="K12" i="26"/>
  <c r="L12" i="26"/>
  <c r="M12" i="26"/>
  <c r="N12" i="26"/>
  <c r="O12" i="26"/>
  <c r="P12" i="26"/>
  <c r="Q12" i="26"/>
  <c r="R12" i="26"/>
  <c r="S12" i="26"/>
  <c r="T12" i="26"/>
  <c r="V12" i="26"/>
  <c r="W12" i="26"/>
  <c r="X12" i="26"/>
  <c r="Y12" i="26"/>
  <c r="Z12" i="26"/>
  <c r="C12" i="26"/>
  <c r="D13" i="26"/>
  <c r="E13" i="26"/>
  <c r="F13" i="26"/>
  <c r="G13" i="26"/>
  <c r="H13" i="26"/>
  <c r="I13" i="26"/>
  <c r="J13" i="26"/>
  <c r="K13" i="26"/>
  <c r="L13" i="26"/>
  <c r="M13" i="26"/>
  <c r="N13" i="26"/>
  <c r="O13" i="26"/>
  <c r="P13" i="26"/>
  <c r="Q13" i="26"/>
  <c r="R13" i="26"/>
  <c r="S13" i="26"/>
  <c r="T13" i="26"/>
  <c r="V13" i="26"/>
  <c r="W13" i="26"/>
  <c r="X13" i="26"/>
  <c r="Y13" i="26"/>
  <c r="Z13" i="26"/>
  <c r="C13" i="26"/>
  <c r="D14" i="26"/>
  <c r="E14" i="26"/>
  <c r="F14" i="26"/>
  <c r="G14" i="26"/>
  <c r="H14" i="26"/>
  <c r="I14" i="26"/>
  <c r="J14" i="26"/>
  <c r="K14" i="26"/>
  <c r="L14" i="26"/>
  <c r="M14" i="26"/>
  <c r="N14" i="26"/>
  <c r="O14" i="26"/>
  <c r="P14" i="26"/>
  <c r="Q14" i="26"/>
  <c r="R14" i="26"/>
  <c r="S14" i="26"/>
  <c r="T14" i="26"/>
  <c r="V14" i="26"/>
  <c r="W14" i="26"/>
  <c r="X14" i="26"/>
  <c r="Y14" i="26"/>
  <c r="Z14" i="26"/>
  <c r="C14" i="26"/>
  <c r="D15" i="26"/>
  <c r="E15" i="26"/>
  <c r="F15" i="26"/>
  <c r="G15" i="26"/>
  <c r="H15" i="26"/>
  <c r="I15" i="26"/>
  <c r="J15" i="26"/>
  <c r="K15" i="26"/>
  <c r="L15" i="26"/>
  <c r="M15" i="26"/>
  <c r="N15" i="26"/>
  <c r="O15" i="26"/>
  <c r="P15" i="26"/>
  <c r="Q15" i="26"/>
  <c r="R15" i="26"/>
  <c r="S15" i="26"/>
  <c r="T15" i="26"/>
  <c r="V15" i="26"/>
  <c r="W15" i="26"/>
  <c r="X15" i="26"/>
  <c r="Y15" i="26"/>
  <c r="Z15" i="26"/>
  <c r="C15" i="26"/>
  <c r="D16" i="26"/>
  <c r="E16" i="26"/>
  <c r="F16" i="26"/>
  <c r="G16" i="26"/>
  <c r="H16" i="26"/>
  <c r="I16" i="26"/>
  <c r="J16" i="26"/>
  <c r="K16" i="26"/>
  <c r="L16" i="26"/>
  <c r="M16" i="26"/>
  <c r="N16" i="26"/>
  <c r="O16" i="26"/>
  <c r="P16" i="26"/>
  <c r="Q16" i="26"/>
  <c r="R16" i="26"/>
  <c r="S16" i="26"/>
  <c r="T16" i="26"/>
  <c r="V16" i="26"/>
  <c r="W16" i="26"/>
  <c r="X16" i="26"/>
  <c r="Y16" i="26"/>
  <c r="Z16" i="26"/>
  <c r="C16" i="26"/>
  <c r="D17" i="26"/>
  <c r="E17" i="26"/>
  <c r="F17" i="26"/>
  <c r="G17" i="26"/>
  <c r="H17" i="26"/>
  <c r="I17" i="26"/>
  <c r="J17" i="26"/>
  <c r="K17" i="26"/>
  <c r="L17" i="26"/>
  <c r="M17" i="26"/>
  <c r="N17" i="26"/>
  <c r="O17" i="26"/>
  <c r="P17" i="26"/>
  <c r="Q17" i="26"/>
  <c r="R17" i="26"/>
  <c r="S17" i="26"/>
  <c r="T17" i="26"/>
  <c r="V17" i="26"/>
  <c r="W17" i="26"/>
  <c r="X17" i="26"/>
  <c r="Y17" i="26"/>
  <c r="Z17" i="26"/>
  <c r="C17" i="26"/>
  <c r="D18" i="26"/>
  <c r="E18" i="26"/>
  <c r="F18" i="26"/>
  <c r="G18" i="26"/>
  <c r="H18" i="26"/>
  <c r="I18" i="26"/>
  <c r="J18" i="26"/>
  <c r="K18" i="26"/>
  <c r="L18" i="26"/>
  <c r="M18" i="26"/>
  <c r="N18" i="26"/>
  <c r="O18" i="26"/>
  <c r="P18" i="26"/>
  <c r="Q18" i="26"/>
  <c r="R18" i="26"/>
  <c r="S18" i="26"/>
  <c r="T18" i="26"/>
  <c r="V18" i="26"/>
  <c r="W18" i="26"/>
  <c r="X18" i="26"/>
  <c r="Y18" i="26"/>
  <c r="Z18" i="26"/>
  <c r="C18" i="26"/>
  <c r="D19" i="26"/>
  <c r="E19" i="26"/>
  <c r="F19" i="26"/>
  <c r="G19" i="26"/>
  <c r="H19" i="26"/>
  <c r="I19" i="26"/>
  <c r="J19" i="26"/>
  <c r="K19" i="26"/>
  <c r="L19" i="26"/>
  <c r="M19" i="26"/>
  <c r="N19" i="26"/>
  <c r="O19" i="26"/>
  <c r="P19" i="26"/>
  <c r="Q19" i="26"/>
  <c r="R19" i="26"/>
  <c r="S19" i="26"/>
  <c r="T19" i="26"/>
  <c r="V19" i="26"/>
  <c r="W19" i="26"/>
  <c r="X19" i="26"/>
  <c r="Y19" i="26"/>
  <c r="Z19" i="26"/>
  <c r="C19" i="26"/>
  <c r="D20" i="26"/>
  <c r="E20" i="26"/>
  <c r="F20" i="26"/>
  <c r="G20" i="26"/>
  <c r="H20" i="26"/>
  <c r="I20" i="26"/>
  <c r="J20" i="26"/>
  <c r="K20" i="26"/>
  <c r="L20" i="26"/>
  <c r="M20" i="26"/>
  <c r="N20" i="26"/>
  <c r="O20" i="26"/>
  <c r="P20" i="26"/>
  <c r="Q20" i="26"/>
  <c r="R20" i="26"/>
  <c r="S20" i="26"/>
  <c r="T20" i="26"/>
  <c r="V20" i="26"/>
  <c r="W20" i="26"/>
  <c r="X20" i="26"/>
  <c r="Y20" i="26"/>
  <c r="Z20" i="26"/>
  <c r="C20" i="26"/>
  <c r="D21" i="26"/>
  <c r="E21" i="26"/>
  <c r="F21" i="26"/>
  <c r="G21" i="26"/>
  <c r="H21" i="26"/>
  <c r="I21" i="26"/>
  <c r="J21" i="26"/>
  <c r="K21" i="26"/>
  <c r="L21" i="26"/>
  <c r="M21" i="26"/>
  <c r="N21" i="26"/>
  <c r="O21" i="26"/>
  <c r="P21" i="26"/>
  <c r="Q21" i="26"/>
  <c r="R21" i="26"/>
  <c r="S21" i="26"/>
  <c r="T21" i="26"/>
  <c r="V21" i="26"/>
  <c r="W21" i="26"/>
  <c r="X21" i="26"/>
  <c r="Y21" i="26"/>
  <c r="Z21" i="26"/>
  <c r="C21" i="26"/>
  <c r="D22" i="26"/>
  <c r="E22" i="26"/>
  <c r="F22" i="26"/>
  <c r="G22" i="26"/>
  <c r="H22" i="26"/>
  <c r="I22" i="26"/>
  <c r="J22" i="26"/>
  <c r="K22" i="26"/>
  <c r="L22" i="26"/>
  <c r="M22" i="26"/>
  <c r="N22" i="26"/>
  <c r="O22" i="26"/>
  <c r="P22" i="26"/>
  <c r="Q22" i="26"/>
  <c r="R22" i="26"/>
  <c r="S22" i="26"/>
  <c r="T22" i="26"/>
  <c r="V22" i="26"/>
  <c r="W22" i="26"/>
  <c r="X22" i="26"/>
  <c r="Y22" i="26"/>
  <c r="Z22" i="26"/>
  <c r="C22" i="26"/>
  <c r="D23" i="26"/>
  <c r="E23" i="26"/>
  <c r="F23" i="26"/>
  <c r="G23" i="26"/>
  <c r="H23" i="26"/>
  <c r="I23" i="26"/>
  <c r="J23" i="26"/>
  <c r="K23" i="26"/>
  <c r="L23" i="26"/>
  <c r="M23" i="26"/>
  <c r="N23" i="26"/>
  <c r="O23" i="26"/>
  <c r="P23" i="26"/>
  <c r="Q23" i="26"/>
  <c r="R23" i="26"/>
  <c r="S23" i="26"/>
  <c r="T23" i="26"/>
  <c r="V23" i="26"/>
  <c r="W23" i="26"/>
  <c r="X23" i="26"/>
  <c r="Y23" i="26"/>
  <c r="Z23" i="26"/>
  <c r="C23" i="26"/>
  <c r="D24" i="26"/>
  <c r="E24" i="26"/>
  <c r="F24" i="26"/>
  <c r="G24" i="26"/>
  <c r="H24" i="26"/>
  <c r="I24" i="26"/>
  <c r="J24" i="26"/>
  <c r="K24" i="26"/>
  <c r="L24" i="26"/>
  <c r="M24" i="26"/>
  <c r="N24" i="26"/>
  <c r="O24" i="26"/>
  <c r="P24" i="26"/>
  <c r="Q24" i="26"/>
  <c r="R24" i="26"/>
  <c r="S24" i="26"/>
  <c r="T24" i="26"/>
  <c r="V24" i="26"/>
  <c r="W24" i="26"/>
  <c r="X24" i="26"/>
  <c r="Y24" i="26"/>
  <c r="Z24" i="26"/>
  <c r="C24" i="26"/>
  <c r="D25" i="26"/>
  <c r="E25" i="26"/>
  <c r="F25" i="26"/>
  <c r="G25" i="26"/>
  <c r="H25" i="26"/>
  <c r="I25" i="26"/>
  <c r="J25" i="26"/>
  <c r="K25" i="26"/>
  <c r="L25" i="26"/>
  <c r="M25" i="26"/>
  <c r="N25" i="26"/>
  <c r="O25" i="26"/>
  <c r="P25" i="26"/>
  <c r="Q25" i="26"/>
  <c r="R25" i="26"/>
  <c r="S25" i="26"/>
  <c r="T25" i="26"/>
  <c r="V25" i="26"/>
  <c r="W25" i="26"/>
  <c r="X25" i="26"/>
  <c r="Y25" i="26"/>
  <c r="Z25" i="26"/>
  <c r="C25" i="26"/>
  <c r="D26" i="26"/>
  <c r="E26" i="26"/>
  <c r="F26" i="26"/>
  <c r="G26" i="26"/>
  <c r="H26" i="26"/>
  <c r="I26" i="26"/>
  <c r="J26" i="26"/>
  <c r="K26" i="26"/>
  <c r="L26" i="26"/>
  <c r="M26" i="26"/>
  <c r="N26" i="26"/>
  <c r="O26" i="26"/>
  <c r="P26" i="26"/>
  <c r="Q26" i="26"/>
  <c r="R26" i="26"/>
  <c r="S26" i="26"/>
  <c r="T26" i="26"/>
  <c r="V26" i="26"/>
  <c r="W26" i="26"/>
  <c r="X26" i="26"/>
  <c r="Y26" i="26"/>
  <c r="Z26" i="26"/>
  <c r="C26" i="26"/>
  <c r="D27" i="26"/>
  <c r="E27" i="26"/>
  <c r="F27" i="26"/>
  <c r="G27" i="26"/>
  <c r="H27" i="26"/>
  <c r="I27" i="26"/>
  <c r="J27" i="26"/>
  <c r="K27" i="26"/>
  <c r="L27" i="26"/>
  <c r="M27" i="26"/>
  <c r="N27" i="26"/>
  <c r="O27" i="26"/>
  <c r="P27" i="26"/>
  <c r="Q27" i="26"/>
  <c r="R27" i="26"/>
  <c r="S27" i="26"/>
  <c r="T27" i="26"/>
  <c r="V27" i="26"/>
  <c r="W27" i="26"/>
  <c r="X27" i="26"/>
  <c r="Y27" i="26"/>
  <c r="Z27" i="26"/>
  <c r="C27" i="26"/>
  <c r="D28" i="26"/>
  <c r="E28" i="26"/>
  <c r="F28" i="26"/>
  <c r="G28" i="26"/>
  <c r="H28" i="26"/>
  <c r="I28" i="26"/>
  <c r="J28" i="26"/>
  <c r="K28" i="26"/>
  <c r="L28" i="26"/>
  <c r="M28" i="26"/>
  <c r="N28" i="26"/>
  <c r="O28" i="26"/>
  <c r="P28" i="26"/>
  <c r="Q28" i="26"/>
  <c r="R28" i="26"/>
  <c r="S28" i="26"/>
  <c r="T28" i="26"/>
  <c r="V28" i="26"/>
  <c r="W28" i="26"/>
  <c r="X28" i="26"/>
  <c r="Y28" i="26"/>
  <c r="Z28" i="26"/>
  <c r="C28" i="26"/>
  <c r="D29" i="26"/>
  <c r="E29" i="26"/>
  <c r="F29" i="26"/>
  <c r="G29" i="26"/>
  <c r="H29" i="26"/>
  <c r="I29" i="26"/>
  <c r="J29" i="26"/>
  <c r="K29" i="26"/>
  <c r="L29" i="26"/>
  <c r="M29" i="26"/>
  <c r="N29" i="26"/>
  <c r="O29" i="26"/>
  <c r="P29" i="26"/>
  <c r="Q29" i="26"/>
  <c r="R29" i="26"/>
  <c r="S29" i="26"/>
  <c r="T29" i="26"/>
  <c r="V29" i="26"/>
  <c r="W29" i="26"/>
  <c r="X29" i="26"/>
  <c r="Y29" i="26"/>
  <c r="Z29" i="26"/>
  <c r="C29" i="26"/>
  <c r="D30" i="26"/>
  <c r="E30" i="26"/>
  <c r="F30" i="26"/>
  <c r="G30" i="26"/>
  <c r="H30" i="26"/>
  <c r="I30" i="26"/>
  <c r="J30" i="26"/>
  <c r="K30" i="26"/>
  <c r="L30" i="26"/>
  <c r="M30" i="26"/>
  <c r="N30" i="26"/>
  <c r="O30" i="26"/>
  <c r="P30" i="26"/>
  <c r="Q30" i="26"/>
  <c r="R30" i="26"/>
  <c r="S30" i="26"/>
  <c r="T30" i="26"/>
  <c r="V30" i="26"/>
  <c r="W30" i="26"/>
  <c r="X30" i="26"/>
  <c r="Y30" i="26"/>
  <c r="Z30" i="26"/>
  <c r="C30" i="26"/>
  <c r="AU32" i="26"/>
  <c r="AU33" i="26"/>
  <c r="AU34" i="26"/>
  <c r="AU35" i="26"/>
  <c r="AU36" i="26"/>
  <c r="AU37" i="26"/>
  <c r="AU38" i="26"/>
  <c r="AU39" i="26"/>
  <c r="AU40" i="26"/>
  <c r="AU41" i="26"/>
  <c r="AU42" i="26"/>
  <c r="AU43" i="26"/>
  <c r="AU44" i="26"/>
  <c r="AU46" i="26"/>
  <c r="AU47" i="26"/>
  <c r="AU49" i="26"/>
  <c r="AU50" i="26"/>
  <c r="AU51" i="26"/>
  <c r="AU52" i="26"/>
  <c r="AU53" i="26"/>
  <c r="AU54" i="26"/>
  <c r="AU55" i="26"/>
  <c r="AU56" i="26"/>
  <c r="AU57" i="26"/>
  <c r="AU58" i="26"/>
  <c r="AU59" i="26"/>
  <c r="AU60" i="26"/>
  <c r="AU61" i="26"/>
  <c r="AU62" i="26"/>
  <c r="AU64" i="26"/>
  <c r="AU65" i="26"/>
  <c r="AU66" i="26"/>
  <c r="AU67" i="26"/>
  <c r="AU68" i="26"/>
  <c r="AU69" i="26"/>
  <c r="AU70" i="26"/>
  <c r="AU71" i="26"/>
  <c r="AU72" i="26"/>
  <c r="AU73" i="26"/>
  <c r="AU74" i="26"/>
  <c r="AU75" i="26"/>
  <c r="AU76" i="26"/>
  <c r="U76" i="26"/>
  <c r="U75" i="26"/>
  <c r="U74" i="26"/>
  <c r="U73" i="26"/>
  <c r="U72" i="26"/>
  <c r="U71" i="26"/>
  <c r="U70" i="26"/>
  <c r="U69" i="26"/>
  <c r="U68" i="26"/>
  <c r="U67" i="26"/>
  <c r="U66" i="26"/>
  <c r="U65" i="26"/>
  <c r="U64" i="26"/>
  <c r="U63" i="26"/>
  <c r="D64" i="26"/>
  <c r="D65" i="26"/>
  <c r="D66" i="26"/>
  <c r="D67" i="26"/>
  <c r="D68" i="26"/>
  <c r="D69" i="26"/>
  <c r="D70" i="26"/>
  <c r="D71" i="26"/>
  <c r="D72" i="26"/>
  <c r="D73" i="26"/>
  <c r="D74" i="26"/>
  <c r="D75" i="26"/>
  <c r="D76" i="26"/>
  <c r="D63" i="26"/>
  <c r="E64" i="26"/>
  <c r="E65" i="26"/>
  <c r="E66" i="26"/>
  <c r="E67" i="26"/>
  <c r="E68" i="26"/>
  <c r="E69" i="26"/>
  <c r="E70" i="26"/>
  <c r="E71" i="26"/>
  <c r="E72" i="26"/>
  <c r="E73" i="26"/>
  <c r="E74" i="26"/>
  <c r="E75" i="26"/>
  <c r="E76" i="26"/>
  <c r="E63" i="26"/>
  <c r="F64" i="26"/>
  <c r="F65" i="26"/>
  <c r="F66" i="26"/>
  <c r="F67" i="26"/>
  <c r="F68" i="26"/>
  <c r="F69" i="26"/>
  <c r="F70" i="26"/>
  <c r="F71" i="26"/>
  <c r="F72" i="26"/>
  <c r="F73" i="26"/>
  <c r="F74" i="26"/>
  <c r="F75" i="26"/>
  <c r="F76" i="26"/>
  <c r="F63" i="26"/>
  <c r="G64" i="26"/>
  <c r="G65" i="26"/>
  <c r="G66" i="26"/>
  <c r="G67" i="26"/>
  <c r="G68" i="26"/>
  <c r="G69" i="26"/>
  <c r="G70" i="26"/>
  <c r="G71" i="26"/>
  <c r="G72" i="26"/>
  <c r="G73" i="26"/>
  <c r="G74" i="26"/>
  <c r="G75" i="26"/>
  <c r="G76" i="26"/>
  <c r="G63" i="26"/>
  <c r="H64" i="26"/>
  <c r="H65" i="26"/>
  <c r="H66" i="26"/>
  <c r="H67" i="26"/>
  <c r="H68" i="26"/>
  <c r="H69" i="26"/>
  <c r="H70" i="26"/>
  <c r="H71" i="26"/>
  <c r="H72" i="26"/>
  <c r="H73" i="26"/>
  <c r="H74" i="26"/>
  <c r="H75" i="26"/>
  <c r="H76" i="26"/>
  <c r="H63" i="26"/>
  <c r="I64" i="26"/>
  <c r="I65" i="26"/>
  <c r="I66" i="26"/>
  <c r="I67" i="26"/>
  <c r="I68" i="26"/>
  <c r="I69" i="26"/>
  <c r="I70" i="26"/>
  <c r="I71" i="26"/>
  <c r="I72" i="26"/>
  <c r="I73" i="26"/>
  <c r="I74" i="26"/>
  <c r="I75" i="26"/>
  <c r="I76" i="26"/>
  <c r="I63" i="26"/>
  <c r="J64" i="26"/>
  <c r="J65" i="26"/>
  <c r="J66" i="26"/>
  <c r="J67" i="26"/>
  <c r="J68" i="26"/>
  <c r="J69" i="26"/>
  <c r="J70" i="26"/>
  <c r="J71" i="26"/>
  <c r="J72" i="26"/>
  <c r="J73" i="26"/>
  <c r="J74" i="26"/>
  <c r="J75" i="26"/>
  <c r="J76" i="26"/>
  <c r="J63" i="26"/>
  <c r="K64" i="26"/>
  <c r="K65" i="26"/>
  <c r="K66" i="26"/>
  <c r="K67" i="26"/>
  <c r="K68" i="26"/>
  <c r="K69" i="26"/>
  <c r="K70" i="26"/>
  <c r="K71" i="26"/>
  <c r="K72" i="26"/>
  <c r="K73" i="26"/>
  <c r="K74" i="26"/>
  <c r="K75" i="26"/>
  <c r="K76" i="26"/>
  <c r="K63" i="26"/>
  <c r="L64" i="26"/>
  <c r="L65" i="26"/>
  <c r="L66" i="26"/>
  <c r="L67" i="26"/>
  <c r="L68" i="26"/>
  <c r="L69" i="26"/>
  <c r="L70" i="26"/>
  <c r="L71" i="26"/>
  <c r="L72" i="26"/>
  <c r="L73" i="26"/>
  <c r="L74" i="26"/>
  <c r="L75" i="26"/>
  <c r="L76" i="26"/>
  <c r="L63" i="26"/>
  <c r="M64" i="26"/>
  <c r="M65" i="26"/>
  <c r="M66" i="26"/>
  <c r="M67" i="26"/>
  <c r="M68" i="26"/>
  <c r="M69" i="26"/>
  <c r="M70" i="26"/>
  <c r="M71" i="26"/>
  <c r="M72" i="26"/>
  <c r="M73" i="26"/>
  <c r="M74" i="26"/>
  <c r="M75" i="26"/>
  <c r="M76" i="26"/>
  <c r="M63" i="26"/>
  <c r="N64" i="26"/>
  <c r="N65" i="26"/>
  <c r="N66" i="26"/>
  <c r="N67" i="26"/>
  <c r="N68" i="26"/>
  <c r="N69" i="26"/>
  <c r="N70" i="26"/>
  <c r="N71" i="26"/>
  <c r="N72" i="26"/>
  <c r="N73" i="26"/>
  <c r="N74" i="26"/>
  <c r="N75" i="26"/>
  <c r="N76" i="26"/>
  <c r="N63" i="26"/>
  <c r="O64" i="26"/>
  <c r="O65" i="26"/>
  <c r="O66" i="26"/>
  <c r="O67" i="26"/>
  <c r="O68" i="26"/>
  <c r="O69" i="26"/>
  <c r="O70" i="26"/>
  <c r="O71" i="26"/>
  <c r="O72" i="26"/>
  <c r="O73" i="26"/>
  <c r="O74" i="26"/>
  <c r="O75" i="26"/>
  <c r="O76" i="26"/>
  <c r="O63" i="26"/>
  <c r="P64" i="26"/>
  <c r="P65" i="26"/>
  <c r="P66" i="26"/>
  <c r="P67" i="26"/>
  <c r="P68" i="26"/>
  <c r="P69" i="26"/>
  <c r="P70" i="26"/>
  <c r="P71" i="26"/>
  <c r="P72" i="26"/>
  <c r="P73" i="26"/>
  <c r="P74" i="26"/>
  <c r="P75" i="26"/>
  <c r="P76" i="26"/>
  <c r="P63" i="26"/>
  <c r="Q64" i="26"/>
  <c r="Q65" i="26"/>
  <c r="Q66" i="26"/>
  <c r="Q67" i="26"/>
  <c r="Q68" i="26"/>
  <c r="Q69" i="26"/>
  <c r="Q70" i="26"/>
  <c r="Q71" i="26"/>
  <c r="Q72" i="26"/>
  <c r="Q73" i="26"/>
  <c r="Q74" i="26"/>
  <c r="Q75" i="26"/>
  <c r="Q76" i="26"/>
  <c r="Q63" i="26"/>
  <c r="R64" i="26"/>
  <c r="R65" i="26"/>
  <c r="R66" i="26"/>
  <c r="R67" i="26"/>
  <c r="R68" i="26"/>
  <c r="R69" i="26"/>
  <c r="R70" i="26"/>
  <c r="R71" i="26"/>
  <c r="R72" i="26"/>
  <c r="R73" i="26"/>
  <c r="R74" i="26"/>
  <c r="R75" i="26"/>
  <c r="R76" i="26"/>
  <c r="R63" i="26"/>
  <c r="S64" i="26"/>
  <c r="S65" i="26"/>
  <c r="S66" i="26"/>
  <c r="S67" i="26"/>
  <c r="S68" i="26"/>
  <c r="S69" i="26"/>
  <c r="S70" i="26"/>
  <c r="S71" i="26"/>
  <c r="S72" i="26"/>
  <c r="S73" i="26"/>
  <c r="S74" i="26"/>
  <c r="S75" i="26"/>
  <c r="S76" i="26"/>
  <c r="S63" i="26"/>
  <c r="T64" i="26"/>
  <c r="T65" i="26"/>
  <c r="T66" i="26"/>
  <c r="T67" i="26"/>
  <c r="T68" i="26"/>
  <c r="T69" i="26"/>
  <c r="T70" i="26"/>
  <c r="T71" i="26"/>
  <c r="T72" i="26"/>
  <c r="T73" i="26"/>
  <c r="T74" i="26"/>
  <c r="T75" i="26"/>
  <c r="T76" i="26"/>
  <c r="T63" i="26"/>
  <c r="V64" i="26"/>
  <c r="V65" i="26"/>
  <c r="V66" i="26"/>
  <c r="V67" i="26"/>
  <c r="V68" i="26"/>
  <c r="V69" i="26"/>
  <c r="V70" i="26"/>
  <c r="V71" i="26"/>
  <c r="V72" i="26"/>
  <c r="V73" i="26"/>
  <c r="V74" i="26"/>
  <c r="V75" i="26"/>
  <c r="V76" i="26"/>
  <c r="V63" i="26"/>
  <c r="W64" i="26"/>
  <c r="W65" i="26"/>
  <c r="W66" i="26"/>
  <c r="W67" i="26"/>
  <c r="W68" i="26"/>
  <c r="W69" i="26"/>
  <c r="W70" i="26"/>
  <c r="W71" i="26"/>
  <c r="W72" i="26"/>
  <c r="W73" i="26"/>
  <c r="W74" i="26"/>
  <c r="W75" i="26"/>
  <c r="W76" i="26"/>
  <c r="W63" i="26"/>
  <c r="X64" i="26"/>
  <c r="X65" i="26"/>
  <c r="X66" i="26"/>
  <c r="X67" i="26"/>
  <c r="X68" i="26"/>
  <c r="X69" i="26"/>
  <c r="X70" i="26"/>
  <c r="X71" i="26"/>
  <c r="X72" i="26"/>
  <c r="X73" i="26"/>
  <c r="X74" i="26"/>
  <c r="X75" i="26"/>
  <c r="X76" i="26"/>
  <c r="X63" i="26"/>
  <c r="Y64" i="26"/>
  <c r="Y65" i="26"/>
  <c r="Y66" i="26"/>
  <c r="Y67" i="26"/>
  <c r="Y68" i="26"/>
  <c r="Y69" i="26"/>
  <c r="Y70" i="26"/>
  <c r="Y71" i="26"/>
  <c r="Y72" i="26"/>
  <c r="Y73" i="26"/>
  <c r="Y74" i="26"/>
  <c r="Y75" i="26"/>
  <c r="Y76" i="26"/>
  <c r="Y63" i="26"/>
  <c r="Z64" i="26"/>
  <c r="Z65" i="26"/>
  <c r="Z66" i="26"/>
  <c r="Z67" i="26"/>
  <c r="Z68" i="26"/>
  <c r="Z69" i="26"/>
  <c r="Z70" i="26"/>
  <c r="Z71" i="26"/>
  <c r="Z72" i="26"/>
  <c r="Z73" i="26"/>
  <c r="Z74" i="26"/>
  <c r="Z75" i="26"/>
  <c r="Z76" i="26"/>
  <c r="Z63" i="26"/>
  <c r="C63" i="26"/>
  <c r="U62" i="26"/>
  <c r="U61" i="26"/>
  <c r="U60" i="26"/>
  <c r="U59" i="26"/>
  <c r="U58" i="26"/>
  <c r="U57" i="26"/>
  <c r="U56" i="26"/>
  <c r="U55" i="26"/>
  <c r="U54" i="26"/>
  <c r="U53" i="26"/>
  <c r="U52" i="26"/>
  <c r="U51" i="26"/>
  <c r="U50" i="26"/>
  <c r="U49" i="26"/>
  <c r="U47" i="26"/>
  <c r="U46" i="26"/>
  <c r="U44" i="26"/>
  <c r="U43" i="26"/>
  <c r="U42" i="26"/>
  <c r="U41" i="26"/>
  <c r="U40" i="26"/>
  <c r="U39" i="26"/>
  <c r="U38" i="26"/>
  <c r="U37" i="26"/>
  <c r="U36" i="26"/>
  <c r="U35" i="26"/>
  <c r="U34" i="26"/>
  <c r="U33" i="26"/>
  <c r="U32" i="26"/>
  <c r="BA30" i="1"/>
  <c r="BR30" i="36"/>
  <c r="AZ30" i="1"/>
  <c r="AS30" i="36"/>
  <c r="T30" i="36"/>
  <c r="AU30" i="28"/>
  <c r="AU35" i="28"/>
  <c r="BA29" i="1"/>
  <c r="BR29" i="36"/>
  <c r="AZ29" i="1"/>
  <c r="AS29" i="36"/>
  <c r="T29" i="36"/>
  <c r="AU29" i="28"/>
  <c r="AU71" i="28"/>
  <c r="U28" i="28"/>
  <c r="U43" i="28"/>
  <c r="BA27" i="1"/>
  <c r="BR27" i="36"/>
  <c r="AZ27" i="1"/>
  <c r="AS27" i="36"/>
  <c r="T27" i="36"/>
  <c r="U27" i="28"/>
  <c r="U62" i="28"/>
  <c r="BA26" i="1"/>
  <c r="BR26" i="36"/>
  <c r="AZ26" i="1"/>
  <c r="T26" i="36"/>
  <c r="AS26" i="36"/>
  <c r="U26" i="28"/>
  <c r="U36" i="28"/>
  <c r="AU26" i="28"/>
  <c r="BR25" i="36"/>
  <c r="AS25" i="36"/>
  <c r="T25" i="36"/>
  <c r="AU25" i="28"/>
  <c r="BR24" i="36"/>
  <c r="AS24" i="36"/>
  <c r="T24" i="36"/>
  <c r="AU24" i="28"/>
  <c r="BA23" i="1"/>
  <c r="BR23" i="36"/>
  <c r="AZ23" i="1"/>
  <c r="AS23" i="36"/>
  <c r="T23" i="36"/>
  <c r="AU23" i="28"/>
  <c r="BA22" i="1"/>
  <c r="BR22" i="36"/>
  <c r="AZ22" i="1"/>
  <c r="AS22" i="36"/>
  <c r="T22" i="36"/>
  <c r="AU22" i="28"/>
  <c r="BA21" i="1"/>
  <c r="BR21" i="36"/>
  <c r="AZ21" i="1"/>
  <c r="AS21" i="36"/>
  <c r="T21" i="36"/>
  <c r="AU21" i="28"/>
  <c r="AU65" i="28"/>
  <c r="BA20" i="1"/>
  <c r="BR20" i="36"/>
  <c r="AZ20" i="1"/>
  <c r="AS20" i="36"/>
  <c r="T20" i="36"/>
  <c r="AU20" i="28"/>
  <c r="BA19" i="1"/>
  <c r="BR19" i="36"/>
  <c r="AZ19" i="1"/>
  <c r="AS19" i="36"/>
  <c r="T19" i="36"/>
  <c r="AU19" i="28"/>
  <c r="BA18" i="1"/>
  <c r="BR18" i="36"/>
  <c r="AZ18" i="1"/>
  <c r="AS18" i="36"/>
  <c r="T18" i="36"/>
  <c r="AU18" i="28"/>
  <c r="BA17" i="1"/>
  <c r="BR17" i="36"/>
  <c r="AZ17" i="1"/>
  <c r="AS17" i="36"/>
  <c r="T17" i="36"/>
  <c r="AU17" i="28"/>
  <c r="U16" i="28"/>
  <c r="BA15" i="1"/>
  <c r="BR15" i="36"/>
  <c r="AZ15" i="1"/>
  <c r="AS15" i="36"/>
  <c r="T15" i="36"/>
  <c r="U15" i="28"/>
  <c r="U44" i="28"/>
  <c r="BA14" i="1"/>
  <c r="BR14" i="36"/>
  <c r="AZ14" i="1"/>
  <c r="T14" i="36"/>
  <c r="AS14" i="36"/>
  <c r="U14" i="28"/>
  <c r="U34" i="28"/>
  <c r="AU14" i="28"/>
  <c r="BA13" i="1"/>
  <c r="BR13" i="36"/>
  <c r="AZ13" i="1"/>
  <c r="AS13" i="36"/>
  <c r="T13" i="36"/>
  <c r="AU13" i="28"/>
  <c r="BA12" i="1"/>
  <c r="BR12" i="36"/>
  <c r="AZ12" i="1"/>
  <c r="AS12" i="36"/>
  <c r="T12" i="36"/>
  <c r="AU12" i="28"/>
  <c r="BA11" i="1"/>
  <c r="BR11" i="36"/>
  <c r="AZ11" i="1"/>
  <c r="AS11" i="36"/>
  <c r="T11" i="36"/>
  <c r="AU11" i="28"/>
  <c r="AU39" i="28"/>
  <c r="BA10" i="1"/>
  <c r="BR10" i="36"/>
  <c r="AZ10" i="1"/>
  <c r="AS10" i="36"/>
  <c r="T10" i="36"/>
  <c r="AU10" i="28"/>
  <c r="BA9" i="1"/>
  <c r="BR9" i="36"/>
  <c r="AZ9" i="1"/>
  <c r="AS9" i="36"/>
  <c r="T9" i="36"/>
  <c r="AU9" i="28"/>
  <c r="BA8" i="1"/>
  <c r="BR8" i="36"/>
  <c r="AZ8" i="1"/>
  <c r="AS8" i="36"/>
  <c r="T8" i="36"/>
  <c r="AU8" i="28"/>
  <c r="BA7" i="1"/>
  <c r="BR7" i="36"/>
  <c r="AZ7" i="1"/>
  <c r="AS7" i="36"/>
  <c r="T7" i="36"/>
  <c r="AU7" i="28"/>
  <c r="BA6" i="1"/>
  <c r="BR6" i="36"/>
  <c r="AZ6" i="1"/>
  <c r="AS6" i="36"/>
  <c r="T6" i="36"/>
  <c r="AU6" i="28"/>
  <c r="AU47" i="28"/>
  <c r="BA5" i="1"/>
  <c r="BR5" i="36"/>
  <c r="AZ5" i="1"/>
  <c r="AS5" i="36"/>
  <c r="T5" i="36"/>
  <c r="AU5" i="28"/>
  <c r="AU53" i="28"/>
  <c r="U4" i="28"/>
  <c r="U40" i="28"/>
  <c r="BA3" i="1"/>
  <c r="BR3" i="36"/>
  <c r="AZ3" i="1"/>
  <c r="AS3" i="36"/>
  <c r="T3" i="36"/>
  <c r="U3" i="28"/>
  <c r="U32" i="28"/>
  <c r="BA2" i="1"/>
  <c r="BR2" i="36"/>
  <c r="AZ2" i="1"/>
  <c r="AS2" i="36"/>
  <c r="T2" i="36"/>
  <c r="AU2" i="28"/>
  <c r="AQ3" i="36"/>
  <c r="AQ4" i="36"/>
  <c r="AQ5" i="36"/>
  <c r="AQ6" i="36"/>
  <c r="AQ7" i="36"/>
  <c r="AQ8" i="36"/>
  <c r="AQ9" i="36"/>
  <c r="AQ10" i="36"/>
  <c r="AQ11" i="36"/>
  <c r="AQ12" i="36"/>
  <c r="AQ13" i="36"/>
  <c r="AQ14" i="36"/>
  <c r="AQ15" i="36"/>
  <c r="AQ16" i="36"/>
  <c r="AQ17" i="36"/>
  <c r="AQ18" i="36"/>
  <c r="AQ19" i="36"/>
  <c r="AQ20" i="36"/>
  <c r="AQ21" i="36"/>
  <c r="AQ22" i="36"/>
  <c r="AQ23" i="36"/>
  <c r="AQ24" i="36"/>
  <c r="AQ25" i="36"/>
  <c r="AQ26" i="36"/>
  <c r="AQ27" i="36"/>
  <c r="AQ28" i="36"/>
  <c r="AQ29" i="36"/>
  <c r="AQ30" i="36"/>
  <c r="AQ2" i="36"/>
  <c r="EW31" i="18"/>
  <c r="EW45" i="18"/>
  <c r="EW63" i="18"/>
  <c r="EH52" i="18"/>
  <c r="EW52" i="18"/>
  <c r="EH62" i="18"/>
  <c r="EW62" i="18"/>
  <c r="BE21" i="17"/>
  <c r="BE9" i="17"/>
  <c r="BE8" i="17"/>
  <c r="BE19" i="17"/>
  <c r="BE4" i="17"/>
  <c r="AU73" i="28"/>
  <c r="AU59" i="28"/>
  <c r="AU42" i="28"/>
  <c r="AU41" i="28"/>
  <c r="AU74" i="28"/>
  <c r="U58" i="28"/>
  <c r="U72" i="28"/>
  <c r="AU56" i="28"/>
  <c r="AU55" i="28"/>
  <c r="AU54" i="28"/>
  <c r="AU52" i="28"/>
  <c r="AU66" i="28"/>
  <c r="AU38" i="28"/>
  <c r="AU75" i="28"/>
  <c r="AU61" i="28"/>
  <c r="AU37" i="28"/>
  <c r="AU36" i="28"/>
  <c r="AU27" i="28"/>
  <c r="AU76" i="28"/>
  <c r="AU15" i="28"/>
  <c r="AU44" i="28"/>
  <c r="AU3" i="28"/>
  <c r="AU32" i="28"/>
  <c r="U25" i="28"/>
  <c r="U50" i="28"/>
  <c r="U13" i="28"/>
  <c r="AU73" i="27"/>
  <c r="AU58" i="28"/>
  <c r="U24" i="28"/>
  <c r="U69" i="28"/>
  <c r="U12" i="28"/>
  <c r="U75" i="31"/>
  <c r="U47" i="31"/>
  <c r="AU34" i="27"/>
  <c r="U23" i="28"/>
  <c r="U49" i="28"/>
  <c r="U11" i="28"/>
  <c r="U39" i="28"/>
  <c r="U75" i="27"/>
  <c r="AU66" i="27"/>
  <c r="U22" i="28"/>
  <c r="U10" i="28"/>
  <c r="U73" i="27"/>
  <c r="U36" i="27"/>
  <c r="AU64" i="27"/>
  <c r="U21" i="28"/>
  <c r="U9" i="28"/>
  <c r="AU62" i="27"/>
  <c r="U20" i="28"/>
  <c r="U8" i="28"/>
  <c r="U66" i="27"/>
  <c r="U2" i="28"/>
  <c r="U38" i="28"/>
  <c r="U19" i="28"/>
  <c r="U7" i="28"/>
  <c r="BU64" i="31"/>
  <c r="BU50" i="31"/>
  <c r="U30" i="28"/>
  <c r="U35" i="28"/>
  <c r="U18" i="28"/>
  <c r="U75" i="28"/>
  <c r="U6" i="28"/>
  <c r="BU69" i="31"/>
  <c r="U62" i="27"/>
  <c r="U29" i="28"/>
  <c r="U57" i="28"/>
  <c r="U17" i="28"/>
  <c r="U5" i="28"/>
  <c r="BU37" i="31"/>
  <c r="BU46" i="31"/>
  <c r="U49" i="31"/>
  <c r="BU68" i="31"/>
  <c r="U46" i="31"/>
  <c r="BU70" i="31"/>
  <c r="BU41" i="31"/>
  <c r="U68" i="31"/>
  <c r="BU38" i="31"/>
  <c r="BU42" i="31"/>
  <c r="BU73" i="31"/>
  <c r="BU45" i="30"/>
  <c r="U70" i="31"/>
  <c r="BU35" i="31"/>
  <c r="BU47" i="31"/>
  <c r="BU52" i="30"/>
  <c r="U73" i="31"/>
  <c r="BU71" i="31"/>
  <c r="BU67" i="31"/>
  <c r="BU54" i="30"/>
  <c r="BU43" i="31"/>
  <c r="BU72" i="31"/>
  <c r="BU40" i="31"/>
  <c r="BU44" i="31"/>
  <c r="BU32" i="31"/>
  <c r="BU34" i="31"/>
  <c r="BU36" i="31"/>
  <c r="BU31" i="31"/>
  <c r="BU57" i="30"/>
  <c r="BU65" i="30"/>
  <c r="BU69" i="30"/>
  <c r="CK63" i="38"/>
  <c r="CK32" i="38"/>
  <c r="CK52" i="38"/>
  <c r="AB52" i="38"/>
  <c r="AB63" i="38"/>
  <c r="BY53" i="38"/>
  <c r="BY67" i="38"/>
  <c r="EQ68" i="38"/>
  <c r="EQ54" i="38"/>
  <c r="BZ53" i="38"/>
  <c r="BZ67" i="38"/>
  <c r="EM67" i="38"/>
  <c r="EM53" i="38"/>
  <c r="CC73" i="38"/>
  <c r="CC59" i="38"/>
  <c r="CC54" i="38"/>
  <c r="CC68" i="38"/>
  <c r="EQ64" i="38"/>
  <c r="EQ50" i="38"/>
  <c r="CD73" i="38"/>
  <c r="CD59" i="38"/>
  <c r="EQ59" i="38"/>
  <c r="EQ73" i="38"/>
  <c r="CD54" i="38"/>
  <c r="CD68" i="38"/>
  <c r="EI60" i="38"/>
  <c r="EI74" i="38"/>
  <c r="CD56" i="38"/>
  <c r="CD70" i="38"/>
  <c r="BZ51" i="38"/>
  <c r="BZ65" i="38"/>
  <c r="CD71" i="38"/>
  <c r="CD57" i="38"/>
  <c r="BU72" i="38"/>
  <c r="BU58" i="38"/>
  <c r="CD52" i="38"/>
  <c r="CD66" i="38"/>
  <c r="BZ61" i="38"/>
  <c r="BZ75" i="38"/>
  <c r="EI69" i="38"/>
  <c r="EI55" i="38"/>
  <c r="EP53" i="38"/>
  <c r="EP67" i="38"/>
  <c r="EI54" i="38"/>
  <c r="EI68" i="38"/>
  <c r="CD67" i="38"/>
  <c r="CD53" i="38"/>
  <c r="EQ53" i="38"/>
  <c r="EQ67" i="38"/>
  <c r="EH73" i="38"/>
  <c r="EH59" i="38"/>
  <c r="BU59" i="38"/>
  <c r="BU73" i="38"/>
  <c r="EI73" i="38"/>
  <c r="EI59" i="38"/>
  <c r="BU68" i="38"/>
  <c r="BU54" i="38"/>
  <c r="BZ76" i="38"/>
  <c r="BZ62" i="38"/>
  <c r="AC44" i="38"/>
  <c r="EI65" i="38"/>
  <c r="EI51" i="38"/>
  <c r="EM71" i="38"/>
  <c r="EM57" i="38"/>
  <c r="CI44" i="38"/>
  <c r="CG53" i="38"/>
  <c r="CG67" i="38"/>
  <c r="EH67" i="38"/>
  <c r="EH53" i="38"/>
  <c r="EM54" i="38"/>
  <c r="EM68" i="38"/>
  <c r="BZ74" i="38"/>
  <c r="BZ60" i="38"/>
  <c r="BU64" i="38"/>
  <c r="BU50" i="38"/>
  <c r="J45" i="38"/>
  <c r="BU53" i="38"/>
  <c r="BU67" i="38"/>
  <c r="EI67" i="38"/>
  <c r="EI53" i="38"/>
  <c r="BY59" i="38"/>
  <c r="BY73" i="38"/>
  <c r="EL73" i="38"/>
  <c r="EL59" i="38"/>
  <c r="EQ72" i="38"/>
  <c r="EQ58" i="38"/>
  <c r="EI75" i="38"/>
  <c r="EI61" i="38"/>
  <c r="EM56" i="38"/>
  <c r="EM70" i="38"/>
  <c r="BZ59" i="38"/>
  <c r="BZ73" i="38"/>
  <c r="EM73" i="38"/>
  <c r="EM59" i="38"/>
  <c r="BZ68" i="38"/>
  <c r="BZ54" i="38"/>
  <c r="EM52" i="38"/>
  <c r="EM66" i="38"/>
  <c r="EI62" i="38"/>
  <c r="EI76" i="38"/>
  <c r="BZ55" i="38"/>
  <c r="BZ69" i="38"/>
  <c r="CE67" i="38"/>
  <c r="CE53" i="38"/>
  <c r="BW59" i="38"/>
  <c r="BW73" i="38"/>
  <c r="EJ54" i="38"/>
  <c r="EJ68" i="38"/>
  <c r="EJ60" i="38"/>
  <c r="EJ74" i="38"/>
  <c r="BW72" i="38"/>
  <c r="BW58" i="38"/>
  <c r="CE52" i="38"/>
  <c r="CE66" i="38"/>
  <c r="EJ75" i="38"/>
  <c r="EJ61" i="38"/>
  <c r="CE56" i="38"/>
  <c r="CE70" i="38"/>
  <c r="EJ65" i="38"/>
  <c r="EJ51" i="38"/>
  <c r="EJ69" i="38"/>
  <c r="EJ55" i="38"/>
  <c r="BW64" i="38"/>
  <c r="BW50" i="38"/>
  <c r="EJ62" i="38"/>
  <c r="EJ76" i="38"/>
  <c r="CE71" i="38"/>
  <c r="CE57" i="38"/>
  <c r="EN50" i="38"/>
  <c r="CG52" i="38"/>
  <c r="CA55" i="38"/>
  <c r="EN56" i="38"/>
  <c r="CG58" i="38"/>
  <c r="CA61" i="38"/>
  <c r="EN62" i="38"/>
  <c r="CG65" i="38"/>
  <c r="EH66" i="38"/>
  <c r="CA68" i="38"/>
  <c r="EN69" i="38"/>
  <c r="CG71" i="38"/>
  <c r="EH72" i="38"/>
  <c r="CA74" i="38"/>
  <c r="EN75" i="38"/>
  <c r="CF67" i="38"/>
  <c r="CF53" i="38"/>
  <c r="EO53" i="38"/>
  <c r="EO67" i="38"/>
  <c r="BX59" i="38"/>
  <c r="BX73" i="38"/>
  <c r="EG59" i="38"/>
  <c r="EG73" i="38"/>
  <c r="EV73" i="38"/>
  <c r="CB54" i="38"/>
  <c r="CB68" i="38"/>
  <c r="EK54" i="38"/>
  <c r="EK68" i="38"/>
  <c r="CB60" i="38"/>
  <c r="CB74" i="38"/>
  <c r="EK60" i="38"/>
  <c r="EK74" i="38"/>
  <c r="BX72" i="38"/>
  <c r="BX58" i="38"/>
  <c r="EG72" i="38"/>
  <c r="EG58" i="38"/>
  <c r="CF52" i="38"/>
  <c r="CF66" i="38"/>
  <c r="EO66" i="38"/>
  <c r="EO52" i="38"/>
  <c r="CB75" i="38"/>
  <c r="CB61" i="38"/>
  <c r="EK75" i="38"/>
  <c r="EK61" i="38"/>
  <c r="CF56" i="38"/>
  <c r="CF70" i="38"/>
  <c r="EO70" i="38"/>
  <c r="EO56" i="38"/>
  <c r="CB65" i="38"/>
  <c r="CB51" i="38"/>
  <c r="EK65" i="38"/>
  <c r="EK51" i="38"/>
  <c r="CB69" i="38"/>
  <c r="CB55" i="38"/>
  <c r="EK69" i="38"/>
  <c r="EK55" i="38"/>
  <c r="BX64" i="38"/>
  <c r="BX50" i="38"/>
  <c r="EG64" i="38"/>
  <c r="EG50" i="38"/>
  <c r="CB62" i="38"/>
  <c r="CB76" i="38"/>
  <c r="EK62" i="38"/>
  <c r="EK76" i="38"/>
  <c r="CF71" i="38"/>
  <c r="CF57" i="38"/>
  <c r="EO57" i="38"/>
  <c r="EO71" i="38"/>
  <c r="EL54" i="38"/>
  <c r="EL68" i="38"/>
  <c r="CC60" i="38"/>
  <c r="CC74" i="38"/>
  <c r="EL60" i="38"/>
  <c r="EL74" i="38"/>
  <c r="BY72" i="38"/>
  <c r="BY58" i="38"/>
  <c r="EP66" i="38"/>
  <c r="EP52" i="38"/>
  <c r="CC75" i="38"/>
  <c r="CC61" i="38"/>
  <c r="EL75" i="38"/>
  <c r="EL61" i="38"/>
  <c r="EP70" i="38"/>
  <c r="EP56" i="38"/>
  <c r="CC65" i="38"/>
  <c r="CC51" i="38"/>
  <c r="EL65" i="38"/>
  <c r="EL51" i="38"/>
  <c r="CC69" i="38"/>
  <c r="CC55" i="38"/>
  <c r="EL69" i="38"/>
  <c r="EL55" i="38"/>
  <c r="BY64" i="38"/>
  <c r="BY50" i="38"/>
  <c r="CC62" i="38"/>
  <c r="CC76" i="38"/>
  <c r="EL62" i="38"/>
  <c r="EL76" i="38"/>
  <c r="EP57" i="38"/>
  <c r="EP71" i="38"/>
  <c r="CD60" i="38"/>
  <c r="CD74" i="38"/>
  <c r="EM60" i="38"/>
  <c r="EM74" i="38"/>
  <c r="BZ72" i="38"/>
  <c r="BZ58" i="38"/>
  <c r="EI58" i="38"/>
  <c r="EI72" i="38"/>
  <c r="BU66" i="38"/>
  <c r="BU52" i="38"/>
  <c r="EQ66" i="38"/>
  <c r="EQ52" i="38"/>
  <c r="CD75" i="38"/>
  <c r="CD61" i="38"/>
  <c r="EM75" i="38"/>
  <c r="EM61" i="38"/>
  <c r="BU70" i="38"/>
  <c r="BU56" i="38"/>
  <c r="EQ70" i="38"/>
  <c r="EQ56" i="38"/>
  <c r="CD65" i="38"/>
  <c r="CD51" i="38"/>
  <c r="EM65" i="38"/>
  <c r="EM51" i="38"/>
  <c r="CD69" i="38"/>
  <c r="CD55" i="38"/>
  <c r="EM69" i="38"/>
  <c r="EM55" i="38"/>
  <c r="BZ64" i="38"/>
  <c r="BZ50" i="38"/>
  <c r="EI50" i="38"/>
  <c r="EI64" i="38"/>
  <c r="CD62" i="38"/>
  <c r="CD76" i="38"/>
  <c r="EM62" i="38"/>
  <c r="EM76" i="38"/>
  <c r="BU57" i="38"/>
  <c r="BU71" i="38"/>
  <c r="EQ57" i="38"/>
  <c r="EQ71" i="38"/>
  <c r="BW53" i="38"/>
  <c r="BW67" i="38"/>
  <c r="EJ73" i="38"/>
  <c r="EY73" i="38"/>
  <c r="EJ59" i="38"/>
  <c r="CE54" i="38"/>
  <c r="CE68" i="38"/>
  <c r="CE60" i="38"/>
  <c r="CE74" i="38"/>
  <c r="EJ58" i="38"/>
  <c r="EJ72" i="38"/>
  <c r="BW66" i="38"/>
  <c r="BW52" i="38"/>
  <c r="CE75" i="38"/>
  <c r="CE61" i="38"/>
  <c r="BW70" i="38"/>
  <c r="BW56" i="38"/>
  <c r="CE65" i="38"/>
  <c r="CE51" i="38"/>
  <c r="CE69" i="38"/>
  <c r="CE55" i="38"/>
  <c r="EJ50" i="38"/>
  <c r="EJ64" i="38"/>
  <c r="CE62" i="38"/>
  <c r="CE76" i="38"/>
  <c r="BW57" i="38"/>
  <c r="BW71" i="38"/>
  <c r="CA51" i="38"/>
  <c r="EN52" i="38"/>
  <c r="CG54" i="38"/>
  <c r="EH55" i="38"/>
  <c r="CA57" i="38"/>
  <c r="EN58" i="38"/>
  <c r="CG60" i="38"/>
  <c r="EH61" i="38"/>
  <c r="CA64" i="38"/>
  <c r="EN65" i="38"/>
  <c r="EH68" i="38"/>
  <c r="CA70" i="38"/>
  <c r="EN71" i="38"/>
  <c r="CG73" i="38"/>
  <c r="EH74" i="38"/>
  <c r="CA76" i="38"/>
  <c r="BX53" i="38"/>
  <c r="BX67" i="38"/>
  <c r="EG53" i="38"/>
  <c r="EG67" i="38"/>
  <c r="CB73" i="38"/>
  <c r="CB59" i="38"/>
  <c r="EK73" i="38"/>
  <c r="EK59" i="38"/>
  <c r="CF54" i="38"/>
  <c r="CF68" i="38"/>
  <c r="EO68" i="38"/>
  <c r="EO54" i="38"/>
  <c r="CF60" i="38"/>
  <c r="CF74" i="38"/>
  <c r="EO74" i="38"/>
  <c r="EO60" i="38"/>
  <c r="CB58" i="38"/>
  <c r="CB72" i="38"/>
  <c r="EK58" i="38"/>
  <c r="EK72" i="38"/>
  <c r="BX66" i="38"/>
  <c r="BX52" i="38"/>
  <c r="EG66" i="38"/>
  <c r="EG52" i="38"/>
  <c r="CF75" i="38"/>
  <c r="CF61" i="38"/>
  <c r="EO61" i="38"/>
  <c r="EO75" i="38"/>
  <c r="BX70" i="38"/>
  <c r="BX56" i="38"/>
  <c r="EG70" i="38"/>
  <c r="EG56" i="38"/>
  <c r="CF65" i="38"/>
  <c r="CF51" i="38"/>
  <c r="EO51" i="38"/>
  <c r="EO65" i="38"/>
  <c r="CF69" i="38"/>
  <c r="CF55" i="38"/>
  <c r="EO55" i="38"/>
  <c r="EO69" i="38"/>
  <c r="CB50" i="38"/>
  <c r="CB64" i="38"/>
  <c r="EK50" i="38"/>
  <c r="EK64" i="38"/>
  <c r="CF62" i="38"/>
  <c r="CF76" i="38"/>
  <c r="EO76" i="38"/>
  <c r="EO62" i="38"/>
  <c r="BX57" i="38"/>
  <c r="BX71" i="38"/>
  <c r="EG57" i="38"/>
  <c r="EG71" i="38"/>
  <c r="EP68" i="38"/>
  <c r="EP54" i="38"/>
  <c r="EP74" i="38"/>
  <c r="EP60" i="38"/>
  <c r="CC58" i="38"/>
  <c r="CC72" i="38"/>
  <c r="EL58" i="38"/>
  <c r="EL72" i="38"/>
  <c r="BY66" i="38"/>
  <c r="BY52" i="38"/>
  <c r="EP61" i="38"/>
  <c r="EP75" i="38"/>
  <c r="BY70" i="38"/>
  <c r="BY56" i="38"/>
  <c r="EP51" i="38"/>
  <c r="EP65" i="38"/>
  <c r="EP55" i="38"/>
  <c r="EP69" i="38"/>
  <c r="CC50" i="38"/>
  <c r="CC64" i="38"/>
  <c r="EL50" i="38"/>
  <c r="EL64" i="38"/>
  <c r="EP76" i="38"/>
  <c r="EP62" i="38"/>
  <c r="BY57" i="38"/>
  <c r="BY71" i="38"/>
  <c r="BU74" i="38"/>
  <c r="BU60" i="38"/>
  <c r="EQ74" i="38"/>
  <c r="EQ60" i="38"/>
  <c r="CD58" i="38"/>
  <c r="CD72" i="38"/>
  <c r="EM58" i="38"/>
  <c r="EM72" i="38"/>
  <c r="BZ66" i="38"/>
  <c r="BZ52" i="38"/>
  <c r="EI52" i="38"/>
  <c r="EX52" i="38"/>
  <c r="EI66" i="38"/>
  <c r="EX66" i="38"/>
  <c r="BU61" i="38"/>
  <c r="BU75" i="38"/>
  <c r="EQ61" i="38"/>
  <c r="EQ75" i="38"/>
  <c r="BZ70" i="38"/>
  <c r="BZ56" i="38"/>
  <c r="EI56" i="38"/>
  <c r="EI70" i="38"/>
  <c r="BU51" i="38"/>
  <c r="BU65" i="38"/>
  <c r="EQ51" i="38"/>
  <c r="EQ65" i="38"/>
  <c r="BU55" i="38"/>
  <c r="BU69" i="38"/>
  <c r="EQ55" i="38"/>
  <c r="EQ69" i="38"/>
  <c r="CD50" i="38"/>
  <c r="CD64" i="38"/>
  <c r="EM50" i="38"/>
  <c r="EM64" i="38"/>
  <c r="BU76" i="38"/>
  <c r="BU62" i="38"/>
  <c r="EQ76" i="38"/>
  <c r="EQ62" i="38"/>
  <c r="BZ57" i="38"/>
  <c r="BZ71" i="38"/>
  <c r="EI71" i="38"/>
  <c r="EI57" i="38"/>
  <c r="EJ67" i="38"/>
  <c r="EJ53" i="38"/>
  <c r="CE73" i="38"/>
  <c r="CE59" i="38"/>
  <c r="BW68" i="38"/>
  <c r="BW54" i="38"/>
  <c r="BW74" i="38"/>
  <c r="BW60" i="38"/>
  <c r="CL60" i="38"/>
  <c r="CE58" i="38"/>
  <c r="CE72" i="38"/>
  <c r="EJ52" i="38"/>
  <c r="EJ66" i="38"/>
  <c r="BW61" i="38"/>
  <c r="BW75" i="38"/>
  <c r="EJ56" i="38"/>
  <c r="EJ70" i="38"/>
  <c r="BW51" i="38"/>
  <c r="BW65" i="38"/>
  <c r="BW55" i="38"/>
  <c r="BW69" i="38"/>
  <c r="CE50" i="38"/>
  <c r="CE64" i="38"/>
  <c r="BW76" i="38"/>
  <c r="BW62" i="38"/>
  <c r="EJ71" i="38"/>
  <c r="EJ57" i="38"/>
  <c r="CG50" i="38"/>
  <c r="EH51" i="38"/>
  <c r="CA53" i="38"/>
  <c r="EN54" i="38"/>
  <c r="FC54" i="38"/>
  <c r="CG56" i="38"/>
  <c r="EH57" i="38"/>
  <c r="CA59" i="38"/>
  <c r="EN60" i="38"/>
  <c r="CG62" i="38"/>
  <c r="EH64" i="38"/>
  <c r="CA66" i="38"/>
  <c r="EN67" i="38"/>
  <c r="CG69" i="38"/>
  <c r="EH70" i="38"/>
  <c r="CA72" i="38"/>
  <c r="EN73" i="38"/>
  <c r="CG75" i="38"/>
  <c r="EH76" i="38"/>
  <c r="CB67" i="38"/>
  <c r="CB53" i="38"/>
  <c r="EK67" i="38"/>
  <c r="EK53" i="38"/>
  <c r="CF73" i="38"/>
  <c r="CF59" i="38"/>
  <c r="EO59" i="38"/>
  <c r="EO73" i="38"/>
  <c r="BX68" i="38"/>
  <c r="BX54" i="38"/>
  <c r="EG68" i="38"/>
  <c r="EG54" i="38"/>
  <c r="BX74" i="38"/>
  <c r="BX60" i="38"/>
  <c r="EG74" i="38"/>
  <c r="EG60" i="38"/>
  <c r="CF58" i="38"/>
  <c r="CF72" i="38"/>
  <c r="EO72" i="38"/>
  <c r="EO58" i="38"/>
  <c r="CB52" i="38"/>
  <c r="CB66" i="38"/>
  <c r="EK52" i="38"/>
  <c r="EK66" i="38"/>
  <c r="BX61" i="38"/>
  <c r="BX75" i="38"/>
  <c r="EG61" i="38"/>
  <c r="EG75" i="38"/>
  <c r="CB56" i="38"/>
  <c r="CB70" i="38"/>
  <c r="EK56" i="38"/>
  <c r="EK70" i="38"/>
  <c r="BX51" i="38"/>
  <c r="BX65" i="38"/>
  <c r="EG51" i="38"/>
  <c r="EG65" i="38"/>
  <c r="BX55" i="38"/>
  <c r="BX69" i="38"/>
  <c r="EG55" i="38"/>
  <c r="EG69" i="38"/>
  <c r="CF50" i="38"/>
  <c r="CF64" i="38"/>
  <c r="EO64" i="38"/>
  <c r="EO50" i="38"/>
  <c r="BX76" i="38"/>
  <c r="BX62" i="38"/>
  <c r="EG76" i="38"/>
  <c r="EG62" i="38"/>
  <c r="CB71" i="38"/>
  <c r="CB57" i="38"/>
  <c r="EK71" i="38"/>
  <c r="EK57" i="38"/>
  <c r="CC67" i="38"/>
  <c r="CC53" i="38"/>
  <c r="EL67" i="38"/>
  <c r="EL53" i="38"/>
  <c r="EP59" i="38"/>
  <c r="EP73" i="38"/>
  <c r="BY68" i="38"/>
  <c r="BY54" i="38"/>
  <c r="BY74" i="38"/>
  <c r="BY60" i="38"/>
  <c r="EP72" i="38"/>
  <c r="EP58" i="38"/>
  <c r="CC52" i="38"/>
  <c r="CC66" i="38"/>
  <c r="EL52" i="38"/>
  <c r="EL66" i="38"/>
  <c r="BY61" i="38"/>
  <c r="BY75" i="38"/>
  <c r="CC56" i="38"/>
  <c r="CC70" i="38"/>
  <c r="EL56" i="38"/>
  <c r="EL70" i="38"/>
  <c r="BY51" i="38"/>
  <c r="BY65" i="38"/>
  <c r="BY55" i="38"/>
  <c r="BY69" i="38"/>
  <c r="EP64" i="38"/>
  <c r="EP50" i="38"/>
  <c r="BY76" i="38"/>
  <c r="BY62" i="38"/>
  <c r="CC71" i="38"/>
  <c r="CR71" i="38"/>
  <c r="CC57" i="38"/>
  <c r="EL71" i="38"/>
  <c r="EL57" i="38"/>
  <c r="AG31" i="38"/>
  <c r="AG32" i="38"/>
  <c r="AJ32" i="38"/>
  <c r="AJ31" i="38"/>
  <c r="CI31" i="38"/>
  <c r="CI32" i="38"/>
  <c r="CU31" i="38"/>
  <c r="CU32" i="38"/>
  <c r="CW40" i="38"/>
  <c r="CH40" i="38"/>
  <c r="AH67" i="38"/>
  <c r="AH53" i="38"/>
  <c r="CS67" i="38"/>
  <c r="CS53" i="38"/>
  <c r="ES67" i="38"/>
  <c r="ES53" i="38"/>
  <c r="FE67" i="38"/>
  <c r="FE53" i="38"/>
  <c r="FG47" i="38"/>
  <c r="ER47" i="38"/>
  <c r="AF73" i="38"/>
  <c r="AF59" i="38"/>
  <c r="CS73" i="38"/>
  <c r="CS59" i="38"/>
  <c r="EV59" i="38"/>
  <c r="FI73" i="38"/>
  <c r="FI59" i="38"/>
  <c r="CP68" i="38"/>
  <c r="CP54" i="38"/>
  <c r="EX68" i="38"/>
  <c r="EX54" i="38"/>
  <c r="N46" i="38"/>
  <c r="N45" i="38"/>
  <c r="AL46" i="38"/>
  <c r="AL45" i="38"/>
  <c r="CS46" i="38"/>
  <c r="CS45" i="38"/>
  <c r="EZ46" i="38"/>
  <c r="EZ45" i="38"/>
  <c r="AH74" i="38"/>
  <c r="AH60" i="38"/>
  <c r="CR49" i="38"/>
  <c r="CR57" i="38"/>
  <c r="FJ2" i="38"/>
  <c r="FJ38" i="38"/>
  <c r="AK32" i="38"/>
  <c r="AK31" i="38"/>
  <c r="CJ31" i="38"/>
  <c r="CJ32" i="38"/>
  <c r="CV31" i="38"/>
  <c r="CV32" i="38"/>
  <c r="EV31" i="38"/>
  <c r="EV32" i="38"/>
  <c r="FI31" i="38"/>
  <c r="AI67" i="38"/>
  <c r="AI53" i="38"/>
  <c r="CT67" i="38"/>
  <c r="CT53" i="38"/>
  <c r="ET67" i="38"/>
  <c r="ET53" i="38"/>
  <c r="FF67" i="38"/>
  <c r="FF53" i="38"/>
  <c r="AG73" i="38"/>
  <c r="AG59" i="38"/>
  <c r="CT73" i="38"/>
  <c r="CT59" i="38"/>
  <c r="EW73" i="38"/>
  <c r="EW59" i="38"/>
  <c r="FJ7" i="38"/>
  <c r="AI68" i="38"/>
  <c r="AI54" i="38"/>
  <c r="CQ68" i="38"/>
  <c r="CQ54" i="38"/>
  <c r="FA46" i="38"/>
  <c r="FA45" i="38"/>
  <c r="AI74" i="38"/>
  <c r="AI60" i="38"/>
  <c r="CT65" i="38"/>
  <c r="CT51" i="38"/>
  <c r="FO38" i="38"/>
  <c r="FM38" i="38"/>
  <c r="AL31" i="38"/>
  <c r="AL32" i="38"/>
  <c r="EW31" i="38"/>
  <c r="EW32" i="38"/>
  <c r="FJ3" i="38"/>
  <c r="FJ32" i="38"/>
  <c r="AJ67" i="38"/>
  <c r="AJ53" i="38"/>
  <c r="CI67" i="38"/>
  <c r="CI53" i="38"/>
  <c r="CU67" i="38"/>
  <c r="CU53" i="38"/>
  <c r="FH67" i="38"/>
  <c r="FH53" i="38"/>
  <c r="CH47" i="38"/>
  <c r="CW47" i="38"/>
  <c r="AH73" i="38"/>
  <c r="AH59" i="38"/>
  <c r="CI73" i="38"/>
  <c r="CI59" i="38"/>
  <c r="CU73" i="38"/>
  <c r="CU59" i="38"/>
  <c r="EX73" i="38"/>
  <c r="EX59" i="38"/>
  <c r="CR68" i="38"/>
  <c r="CR54" i="38"/>
  <c r="CI46" i="38"/>
  <c r="CI45" i="38"/>
  <c r="CU46" i="38"/>
  <c r="CU45" i="38"/>
  <c r="FB46" i="38"/>
  <c r="FB45" i="38"/>
  <c r="FH39" i="38"/>
  <c r="FJ11" i="38"/>
  <c r="FJ39" i="38"/>
  <c r="AJ74" i="38"/>
  <c r="AJ60" i="38"/>
  <c r="EX74" i="38"/>
  <c r="EX60" i="38"/>
  <c r="FN74" i="38"/>
  <c r="FN60" i="38"/>
  <c r="CQ69" i="38"/>
  <c r="CQ55" i="38"/>
  <c r="AM31" i="38"/>
  <c r="AM32" i="38"/>
  <c r="CL31" i="38"/>
  <c r="CL32" i="38"/>
  <c r="EX31" i="38"/>
  <c r="EX32" i="38"/>
  <c r="FO31" i="38"/>
  <c r="FO32" i="38"/>
  <c r="FM31" i="38"/>
  <c r="FM32" i="38"/>
  <c r="FJ4" i="38"/>
  <c r="FJ40" i="38"/>
  <c r="AK67" i="38"/>
  <c r="AK53" i="38"/>
  <c r="CJ67" i="38"/>
  <c r="CJ53" i="38"/>
  <c r="CV67" i="38"/>
  <c r="CV53" i="38"/>
  <c r="EV67" i="38"/>
  <c r="EV53" i="38"/>
  <c r="FI67" i="38"/>
  <c r="FI53" i="38"/>
  <c r="AI73" i="38"/>
  <c r="AI59" i="38"/>
  <c r="CJ73" i="38"/>
  <c r="CJ59" i="38"/>
  <c r="CV73" i="38"/>
  <c r="CV59" i="38"/>
  <c r="EY59" i="38"/>
  <c r="FN73" i="38"/>
  <c r="FN59" i="38"/>
  <c r="FJ8" i="38"/>
  <c r="FJ41" i="38"/>
  <c r="AK68" i="38"/>
  <c r="AK54" i="38"/>
  <c r="FA68" i="38"/>
  <c r="FA54" i="38"/>
  <c r="E46" i="38"/>
  <c r="E45" i="38"/>
  <c r="AC45" i="38"/>
  <c r="AC46" i="38"/>
  <c r="CJ46" i="38"/>
  <c r="CJ45" i="38"/>
  <c r="CV45" i="38"/>
  <c r="CV46" i="38"/>
  <c r="FC45" i="38"/>
  <c r="FC46" i="38"/>
  <c r="EY74" i="38"/>
  <c r="EY60" i="38"/>
  <c r="EY72" i="38"/>
  <c r="EY58" i="38"/>
  <c r="FN72" i="38"/>
  <c r="FN58" i="38"/>
  <c r="AM66" i="38"/>
  <c r="AM52" i="38"/>
  <c r="AL75" i="38"/>
  <c r="AL61" i="38"/>
  <c r="AJ70" i="38"/>
  <c r="AJ56" i="38"/>
  <c r="CM31" i="38"/>
  <c r="CM32" i="38"/>
  <c r="EY31" i="38"/>
  <c r="EY32" i="38"/>
  <c r="FN31" i="38"/>
  <c r="FN32" i="38"/>
  <c r="FO40" i="38"/>
  <c r="FM40" i="38"/>
  <c r="AL67" i="38"/>
  <c r="AL53" i="38"/>
  <c r="EW67" i="38"/>
  <c r="EW53" i="38"/>
  <c r="FJ67" i="38"/>
  <c r="FJ53" i="38"/>
  <c r="AJ73" i="38"/>
  <c r="AJ59" i="38"/>
  <c r="EZ73" i="38"/>
  <c r="EZ59" i="38"/>
  <c r="FO41" i="38"/>
  <c r="FM41" i="38"/>
  <c r="AL68" i="38"/>
  <c r="AL54" i="38"/>
  <c r="CT68" i="38"/>
  <c r="CT54" i="38"/>
  <c r="FB68" i="38"/>
  <c r="FB54" i="38"/>
  <c r="F45" i="38"/>
  <c r="AD46" i="38"/>
  <c r="AD45" i="38"/>
  <c r="CL74" i="38"/>
  <c r="EZ74" i="38"/>
  <c r="EZ60" i="38"/>
  <c r="EW75" i="38"/>
  <c r="EW61" i="38"/>
  <c r="FJ75" i="38"/>
  <c r="FJ61" i="38"/>
  <c r="AG49" i="38"/>
  <c r="FH76" i="38"/>
  <c r="FH62" i="38"/>
  <c r="FJ27" i="38"/>
  <c r="AC31" i="38"/>
  <c r="AC32" i="38"/>
  <c r="CN31" i="38"/>
  <c r="CN32" i="38"/>
  <c r="EZ32" i="38"/>
  <c r="EZ31" i="38"/>
  <c r="AM67" i="38"/>
  <c r="AM53" i="38"/>
  <c r="CL67" i="38"/>
  <c r="CL53" i="38"/>
  <c r="EX67" i="38"/>
  <c r="EX53" i="38"/>
  <c r="AK73" i="38"/>
  <c r="AK59" i="38"/>
  <c r="CL73" i="38"/>
  <c r="CL59" i="38"/>
  <c r="AM68" i="38"/>
  <c r="AM54" i="38"/>
  <c r="FC68" i="38"/>
  <c r="G45" i="38"/>
  <c r="AE46" i="38"/>
  <c r="AE45" i="38"/>
  <c r="ES45" i="38"/>
  <c r="ES46" i="38"/>
  <c r="FE45" i="38"/>
  <c r="FE46" i="38"/>
  <c r="AM74" i="38"/>
  <c r="AM60" i="38"/>
  <c r="CM74" i="38"/>
  <c r="CM60" i="38"/>
  <c r="FA74" i="38"/>
  <c r="FA60" i="38"/>
  <c r="AI65" i="38"/>
  <c r="AI51" i="38"/>
  <c r="AF69" i="38"/>
  <c r="AF55" i="38"/>
  <c r="AD32" i="38"/>
  <c r="AD31" i="38"/>
  <c r="CO32" i="38"/>
  <c r="CO31" i="38"/>
  <c r="FA32" i="38"/>
  <c r="FA31" i="38"/>
  <c r="CM67" i="38"/>
  <c r="CM53" i="38"/>
  <c r="EY67" i="38"/>
  <c r="EY53" i="38"/>
  <c r="FN67" i="38"/>
  <c r="FN53" i="38"/>
  <c r="FO47" i="38"/>
  <c r="FM47" i="38"/>
  <c r="AL73" i="38"/>
  <c r="AL59" i="38"/>
  <c r="CM73" i="38"/>
  <c r="CM59" i="38"/>
  <c r="FB73" i="38"/>
  <c r="FB59" i="38"/>
  <c r="CJ68" i="38"/>
  <c r="CJ54" i="38"/>
  <c r="CV68" i="38"/>
  <c r="CV54" i="38"/>
  <c r="FD68" i="38"/>
  <c r="FD54" i="38"/>
  <c r="H46" i="38"/>
  <c r="H45" i="38"/>
  <c r="AF46" i="38"/>
  <c r="AF45" i="38"/>
  <c r="CN74" i="38"/>
  <c r="CN60" i="38"/>
  <c r="FH70" i="38"/>
  <c r="FH56" i="38"/>
  <c r="FJ20" i="38"/>
  <c r="FG49" i="38"/>
  <c r="ER49" i="38"/>
  <c r="FD49" i="38"/>
  <c r="AE32" i="38"/>
  <c r="AE31" i="38"/>
  <c r="CP31" i="38"/>
  <c r="CP32" i="38"/>
  <c r="FB32" i="38"/>
  <c r="FB31" i="38"/>
  <c r="AC67" i="38"/>
  <c r="AC53" i="38"/>
  <c r="CN67" i="38"/>
  <c r="CN53" i="38"/>
  <c r="EZ67" i="38"/>
  <c r="EZ53" i="38"/>
  <c r="AM73" i="38"/>
  <c r="AM59" i="38"/>
  <c r="CN73" i="38"/>
  <c r="CN59" i="38"/>
  <c r="FC73" i="38"/>
  <c r="FC59" i="38"/>
  <c r="CN46" i="38"/>
  <c r="CN45" i="38"/>
  <c r="FH45" i="38"/>
  <c r="AC74" i="38"/>
  <c r="AC60" i="38"/>
  <c r="CO74" i="38"/>
  <c r="CO60" i="38"/>
  <c r="FC74" i="38"/>
  <c r="FC60" i="38"/>
  <c r="CW33" i="38"/>
  <c r="CH33" i="38"/>
  <c r="ET65" i="38"/>
  <c r="ET51" i="38"/>
  <c r="FF65" i="38"/>
  <c r="FF51" i="38"/>
  <c r="AE50" i="38"/>
  <c r="FG38" i="38"/>
  <c r="ER38" i="38"/>
  <c r="AF31" i="38"/>
  <c r="AF32" i="38"/>
  <c r="CQ32" i="38"/>
  <c r="CQ31" i="38"/>
  <c r="FC32" i="38"/>
  <c r="FC31" i="38"/>
  <c r="AD67" i="38"/>
  <c r="AD53" i="38"/>
  <c r="CO67" i="38"/>
  <c r="CO53" i="38"/>
  <c r="FA67" i="38"/>
  <c r="FA53" i="38"/>
  <c r="FD73" i="38"/>
  <c r="FD59" i="38"/>
  <c r="AD68" i="38"/>
  <c r="AD54" i="38"/>
  <c r="CL68" i="38"/>
  <c r="CL54" i="38"/>
  <c r="ET68" i="38"/>
  <c r="ET54" i="38"/>
  <c r="FF68" i="38"/>
  <c r="FF54" i="38"/>
  <c r="AH46" i="38"/>
  <c r="AH45" i="38"/>
  <c r="CO46" i="38"/>
  <c r="CO45" i="38"/>
  <c r="EV46" i="38"/>
  <c r="EV45" i="38"/>
  <c r="FI45" i="38"/>
  <c r="AD74" i="38"/>
  <c r="AD60" i="38"/>
  <c r="FO33" i="38"/>
  <c r="FM33" i="38"/>
  <c r="CM72" i="38"/>
  <c r="CM58" i="38"/>
  <c r="FC69" i="38"/>
  <c r="FC55" i="38"/>
  <c r="EY50" i="38"/>
  <c r="FN50" i="38"/>
  <c r="CR32" i="38"/>
  <c r="CR31" i="38"/>
  <c r="ER32" i="38"/>
  <c r="ER31" i="38"/>
  <c r="FG31" i="38"/>
  <c r="FG32" i="38"/>
  <c r="FD32" i="38"/>
  <c r="FD31" i="38"/>
  <c r="AE67" i="38"/>
  <c r="AE53" i="38"/>
  <c r="CP67" i="38"/>
  <c r="CP53" i="38"/>
  <c r="FB67" i="38"/>
  <c r="FB53" i="38"/>
  <c r="AC73" i="38"/>
  <c r="AC59" i="38"/>
  <c r="CP73" i="38"/>
  <c r="CP59" i="38"/>
  <c r="ES73" i="38"/>
  <c r="ES59" i="38"/>
  <c r="FE73" i="38"/>
  <c r="FE59" i="38"/>
  <c r="AE68" i="38"/>
  <c r="AE54" i="38"/>
  <c r="CP46" i="38"/>
  <c r="CP45" i="38"/>
  <c r="EW45" i="38"/>
  <c r="EW46" i="38"/>
  <c r="FJ10" i="38"/>
  <c r="FJ46" i="38"/>
  <c r="FJ45" i="38"/>
  <c r="CQ74" i="38"/>
  <c r="CQ60" i="38"/>
  <c r="CL66" i="38"/>
  <c r="CL52" i="38"/>
  <c r="CW38" i="38"/>
  <c r="CH38" i="38"/>
  <c r="AH32" i="38"/>
  <c r="AH31" i="38"/>
  <c r="CS32" i="38"/>
  <c r="CS31" i="38"/>
  <c r="ES32" i="38"/>
  <c r="ES31" i="38"/>
  <c r="FE32" i="38"/>
  <c r="FE31" i="38"/>
  <c r="FG40" i="38"/>
  <c r="ER40" i="38"/>
  <c r="AF67" i="38"/>
  <c r="AF53" i="38"/>
  <c r="CQ67" i="38"/>
  <c r="CQ53" i="38"/>
  <c r="FC67" i="38"/>
  <c r="FC53" i="38"/>
  <c r="AD73" i="38"/>
  <c r="AD59" i="38"/>
  <c r="CQ73" i="38"/>
  <c r="CQ59" i="38"/>
  <c r="ET73" i="38"/>
  <c r="ET59" i="38"/>
  <c r="FF73" i="38"/>
  <c r="FF59" i="38"/>
  <c r="FG41" i="38"/>
  <c r="ER41" i="38"/>
  <c r="AF68" i="38"/>
  <c r="AF54" i="38"/>
  <c r="EV68" i="38"/>
  <c r="EV54" i="38"/>
  <c r="FI68" i="38"/>
  <c r="FI54" i="38"/>
  <c r="L46" i="38"/>
  <c r="L45" i="38"/>
  <c r="AJ45" i="38"/>
  <c r="AJ46" i="38"/>
  <c r="CQ45" i="38"/>
  <c r="CQ46" i="38"/>
  <c r="CH39" i="38"/>
  <c r="CW39" i="38"/>
  <c r="AF74" i="38"/>
  <c r="AF60" i="38"/>
  <c r="AM76" i="38"/>
  <c r="AM62" i="38"/>
  <c r="AI32" i="38"/>
  <c r="AI31" i="38"/>
  <c r="CH32" i="38"/>
  <c r="CH31" i="38"/>
  <c r="CW31" i="38"/>
  <c r="CW32" i="38"/>
  <c r="CT32" i="38"/>
  <c r="CT31" i="38"/>
  <c r="ET31" i="38"/>
  <c r="ET32" i="38"/>
  <c r="FF31" i="38"/>
  <c r="AG67" i="38"/>
  <c r="AG53" i="38"/>
  <c r="CR67" i="38"/>
  <c r="CR53" i="38"/>
  <c r="FD67" i="38"/>
  <c r="FD53" i="38"/>
  <c r="AE73" i="38"/>
  <c r="AE59" i="38"/>
  <c r="CR73" i="38"/>
  <c r="CR59" i="38"/>
  <c r="AG68" i="38"/>
  <c r="AG54" i="38"/>
  <c r="CO68" i="38"/>
  <c r="CO54" i="38"/>
  <c r="EW68" i="38"/>
  <c r="EW54" i="38"/>
  <c r="FJ9" i="38"/>
  <c r="M46" i="38"/>
  <c r="M45" i="38"/>
  <c r="AK45" i="38"/>
  <c r="AK46" i="38"/>
  <c r="FG39" i="38"/>
  <c r="ER39" i="38"/>
  <c r="CI70" i="38"/>
  <c r="CI56" i="38"/>
  <c r="CU70" i="38"/>
  <c r="CU56" i="38"/>
  <c r="AJ68" i="38"/>
  <c r="AJ54" i="38"/>
  <c r="CI68" i="38"/>
  <c r="CI54" i="38"/>
  <c r="CU68" i="38"/>
  <c r="CU54" i="38"/>
  <c r="FH68" i="38"/>
  <c r="FH54" i="38"/>
  <c r="K45" i="38"/>
  <c r="AI45" i="38"/>
  <c r="AI46" i="38"/>
  <c r="CW46" i="38"/>
  <c r="CH46" i="38"/>
  <c r="CH45" i="38"/>
  <c r="CW45" i="38"/>
  <c r="CT45" i="38"/>
  <c r="CT46" i="38"/>
  <c r="ET45" i="38"/>
  <c r="ET46" i="38"/>
  <c r="FF46" i="38"/>
  <c r="FF45" i="38"/>
  <c r="AG74" i="38"/>
  <c r="AG60" i="38"/>
  <c r="CR74" i="38"/>
  <c r="CR60" i="38"/>
  <c r="FD74" i="38"/>
  <c r="FD60" i="38"/>
  <c r="AC72" i="38"/>
  <c r="AC58" i="38"/>
  <c r="CN72" i="38"/>
  <c r="CN58" i="38"/>
  <c r="EZ72" i="38"/>
  <c r="EZ58" i="38"/>
  <c r="CM66" i="38"/>
  <c r="CM52" i="38"/>
  <c r="EY66" i="38"/>
  <c r="EY52" i="38"/>
  <c r="FN66" i="38"/>
  <c r="FN52" i="38"/>
  <c r="AM75" i="38"/>
  <c r="AM61" i="38"/>
  <c r="CL75" i="38"/>
  <c r="CL61" i="38"/>
  <c r="EX75" i="38"/>
  <c r="EX61" i="38"/>
  <c r="FJ19" i="38"/>
  <c r="FJ42" i="38"/>
  <c r="AK70" i="38"/>
  <c r="AK56" i="38"/>
  <c r="CJ70" i="38"/>
  <c r="CJ56" i="38"/>
  <c r="CV70" i="38"/>
  <c r="CV56" i="38"/>
  <c r="EV70" i="38"/>
  <c r="EV56" i="38"/>
  <c r="FI70" i="38"/>
  <c r="FI56" i="38"/>
  <c r="AJ65" i="38"/>
  <c r="AJ51" i="38"/>
  <c r="CI65" i="38"/>
  <c r="CI51" i="38"/>
  <c r="CU65" i="38"/>
  <c r="CU51" i="38"/>
  <c r="FH65" i="38"/>
  <c r="FH51" i="38"/>
  <c r="CH37" i="38"/>
  <c r="CW37" i="38"/>
  <c r="AH49" i="38"/>
  <c r="CS49" i="38"/>
  <c r="ES49" i="38"/>
  <c r="FE49" i="38"/>
  <c r="AG69" i="38"/>
  <c r="AG55" i="38"/>
  <c r="CR69" i="38"/>
  <c r="CR55" i="38"/>
  <c r="FD69" i="38"/>
  <c r="FD55" i="38"/>
  <c r="AF50" i="38"/>
  <c r="CT50" i="38"/>
  <c r="EZ50" i="38"/>
  <c r="CS74" i="38"/>
  <c r="CS60" i="38"/>
  <c r="ES74" i="38"/>
  <c r="ES60" i="38"/>
  <c r="FE74" i="38"/>
  <c r="FE60" i="38"/>
  <c r="ER33" i="38"/>
  <c r="FG33" i="38"/>
  <c r="AD72" i="38"/>
  <c r="AD58" i="38"/>
  <c r="CO72" i="38"/>
  <c r="CO58" i="38"/>
  <c r="FA72" i="38"/>
  <c r="FA58" i="38"/>
  <c r="AC66" i="38"/>
  <c r="AC52" i="38"/>
  <c r="CN66" i="38"/>
  <c r="CN52" i="38"/>
  <c r="EZ66" i="38"/>
  <c r="EZ52" i="38"/>
  <c r="CM75" i="38"/>
  <c r="CM61" i="38"/>
  <c r="EY75" i="38"/>
  <c r="EY61" i="38"/>
  <c r="FN75" i="38"/>
  <c r="FN61" i="38"/>
  <c r="FO42" i="38"/>
  <c r="FM42" i="38"/>
  <c r="AL70" i="38"/>
  <c r="AL56" i="38"/>
  <c r="EW70" i="38"/>
  <c r="EW56" i="38"/>
  <c r="AK65" i="38"/>
  <c r="AK51" i="38"/>
  <c r="CJ65" i="38"/>
  <c r="CJ51" i="38"/>
  <c r="CV65" i="38"/>
  <c r="CV51" i="38"/>
  <c r="EV65" i="38"/>
  <c r="EV51" i="38"/>
  <c r="FI65" i="38"/>
  <c r="FI51" i="38"/>
  <c r="AI49" i="38"/>
  <c r="CW49" i="38"/>
  <c r="CH49" i="38"/>
  <c r="CT49" i="38"/>
  <c r="ET49" i="38"/>
  <c r="FF49" i="38"/>
  <c r="AH69" i="38"/>
  <c r="AH55" i="38"/>
  <c r="CS69" i="38"/>
  <c r="CS55" i="38"/>
  <c r="ES69" i="38"/>
  <c r="ES55" i="38"/>
  <c r="FE69" i="38"/>
  <c r="FE55" i="38"/>
  <c r="AG50" i="38"/>
  <c r="CI50" i="38"/>
  <c r="CU50" i="38"/>
  <c r="FA50" i="38"/>
  <c r="FD71" i="38"/>
  <c r="FD57" i="38"/>
  <c r="CT74" i="38"/>
  <c r="CT60" i="38"/>
  <c r="ET74" i="38"/>
  <c r="ET60" i="38"/>
  <c r="FF74" i="38"/>
  <c r="FF60" i="38"/>
  <c r="ER34" i="38"/>
  <c r="FG34" i="38"/>
  <c r="AE72" i="38"/>
  <c r="AE58" i="38"/>
  <c r="CP72" i="38"/>
  <c r="CP58" i="38"/>
  <c r="FB72" i="38"/>
  <c r="FB58" i="38"/>
  <c r="AD66" i="38"/>
  <c r="AD52" i="38"/>
  <c r="CO66" i="38"/>
  <c r="CO52" i="38"/>
  <c r="FA66" i="38"/>
  <c r="FA52" i="38"/>
  <c r="AC75" i="38"/>
  <c r="AC61" i="38"/>
  <c r="CN75" i="38"/>
  <c r="CN61" i="38"/>
  <c r="EZ75" i="38"/>
  <c r="EZ61" i="38"/>
  <c r="AM70" i="38"/>
  <c r="AM56" i="38"/>
  <c r="CL70" i="38"/>
  <c r="CL56" i="38"/>
  <c r="EX70" i="38"/>
  <c r="EX56" i="38"/>
  <c r="AL65" i="38"/>
  <c r="AL51" i="38"/>
  <c r="EW65" i="38"/>
  <c r="EW51" i="38"/>
  <c r="FJ21" i="38"/>
  <c r="AJ49" i="38"/>
  <c r="CI48" i="38"/>
  <c r="CI49" i="38"/>
  <c r="CU49" i="38"/>
  <c r="AI69" i="38"/>
  <c r="AI55" i="38"/>
  <c r="CT69" i="38"/>
  <c r="CT55" i="38"/>
  <c r="ET69" i="38"/>
  <c r="ET55" i="38"/>
  <c r="FF69" i="38"/>
  <c r="FF55" i="38"/>
  <c r="AH50" i="38"/>
  <c r="CJ50" i="38"/>
  <c r="CV50" i="38"/>
  <c r="FB50" i="38"/>
  <c r="EX76" i="38"/>
  <c r="EX62" i="38"/>
  <c r="FO35" i="38"/>
  <c r="FM35" i="38"/>
  <c r="CI74" i="38"/>
  <c r="CI60" i="38"/>
  <c r="CU74" i="38"/>
  <c r="CU60" i="38"/>
  <c r="FH74" i="38"/>
  <c r="FH60" i="38"/>
  <c r="ER44" i="38"/>
  <c r="FG44" i="38"/>
  <c r="AF72" i="38"/>
  <c r="AF58" i="38"/>
  <c r="CQ72" i="38"/>
  <c r="CQ58" i="38"/>
  <c r="FC72" i="38"/>
  <c r="FC58" i="38"/>
  <c r="AE66" i="38"/>
  <c r="AE52" i="38"/>
  <c r="CP66" i="38"/>
  <c r="CP52" i="38"/>
  <c r="FB66" i="38"/>
  <c r="FB52" i="38"/>
  <c r="AD75" i="38"/>
  <c r="AD61" i="38"/>
  <c r="CO75" i="38"/>
  <c r="CO61" i="38"/>
  <c r="FA75" i="38"/>
  <c r="FA61" i="38"/>
  <c r="CM70" i="38"/>
  <c r="CM56" i="38"/>
  <c r="EY70" i="38"/>
  <c r="EY56" i="38"/>
  <c r="FN70" i="38"/>
  <c r="FN56" i="38"/>
  <c r="AM65" i="38"/>
  <c r="AM51" i="38"/>
  <c r="CL65" i="38"/>
  <c r="CL51" i="38"/>
  <c r="EX65" i="38"/>
  <c r="EX51" i="38"/>
  <c r="FJ22" i="38"/>
  <c r="FJ37" i="38"/>
  <c r="AK49" i="38"/>
  <c r="CJ49" i="38"/>
  <c r="CV49" i="38"/>
  <c r="EV48" i="38"/>
  <c r="EV49" i="38"/>
  <c r="AJ69" i="38"/>
  <c r="AJ55" i="38"/>
  <c r="CI69" i="38"/>
  <c r="CI55" i="38"/>
  <c r="CU69" i="38"/>
  <c r="CU55" i="38"/>
  <c r="FH69" i="38"/>
  <c r="FH55" i="38"/>
  <c r="AI50" i="38"/>
  <c r="FC50" i="38"/>
  <c r="CO73" i="38"/>
  <c r="CO59" i="38"/>
  <c r="FA73" i="38"/>
  <c r="FA59" i="38"/>
  <c r="CM68" i="38"/>
  <c r="CM54" i="38"/>
  <c r="EY68" i="38"/>
  <c r="EY54" i="38"/>
  <c r="FN68" i="38"/>
  <c r="FN54" i="38"/>
  <c r="O45" i="38"/>
  <c r="AM46" i="38"/>
  <c r="AM45" i="38"/>
  <c r="CL45" i="38"/>
  <c r="CL46" i="38"/>
  <c r="EX46" i="38"/>
  <c r="EX45" i="38"/>
  <c r="FM46" i="38"/>
  <c r="FO45" i="38"/>
  <c r="FM45" i="38"/>
  <c r="FO46" i="38"/>
  <c r="AK74" i="38"/>
  <c r="AK60" i="38"/>
  <c r="CJ74" i="38"/>
  <c r="CJ60" i="38"/>
  <c r="CV74" i="38"/>
  <c r="CV60" i="38"/>
  <c r="EV74" i="38"/>
  <c r="EV60" i="38"/>
  <c r="FI74" i="38"/>
  <c r="FI60" i="38"/>
  <c r="CH34" i="38"/>
  <c r="CW34" i="38"/>
  <c r="AG72" i="38"/>
  <c r="AG58" i="38"/>
  <c r="CR72" i="38"/>
  <c r="CR58" i="38"/>
  <c r="FD72" i="38"/>
  <c r="FD58" i="38"/>
  <c r="AF66" i="38"/>
  <c r="AF52" i="38"/>
  <c r="CQ66" i="38"/>
  <c r="CQ52" i="38"/>
  <c r="FC66" i="38"/>
  <c r="FC52" i="38"/>
  <c r="AE75" i="38"/>
  <c r="AE61" i="38"/>
  <c r="CP75" i="38"/>
  <c r="CP61" i="38"/>
  <c r="FB75" i="38"/>
  <c r="FB61" i="38"/>
  <c r="AC70" i="38"/>
  <c r="AC56" i="38"/>
  <c r="CN70" i="38"/>
  <c r="CN56" i="38"/>
  <c r="EZ70" i="38"/>
  <c r="EZ56" i="38"/>
  <c r="CM65" i="38"/>
  <c r="CM51" i="38"/>
  <c r="EY65" i="38"/>
  <c r="EY51" i="38"/>
  <c r="FN65" i="38"/>
  <c r="FN51" i="38"/>
  <c r="FO37" i="38"/>
  <c r="FM37" i="38"/>
  <c r="AL49" i="38"/>
  <c r="EW49" i="38"/>
  <c r="FJ23" i="38"/>
  <c r="FJ49" i="38"/>
  <c r="AK69" i="38"/>
  <c r="AK55" i="38"/>
  <c r="CJ69" i="38"/>
  <c r="CJ55" i="38"/>
  <c r="CV69" i="38"/>
  <c r="CV55" i="38"/>
  <c r="EV69" i="38"/>
  <c r="EV55" i="38"/>
  <c r="FI69" i="38"/>
  <c r="FI55" i="38"/>
  <c r="AJ50" i="38"/>
  <c r="CT76" i="38"/>
  <c r="CT62" i="38"/>
  <c r="CH43" i="38"/>
  <c r="CW43" i="38"/>
  <c r="AC68" i="38"/>
  <c r="AC54" i="38"/>
  <c r="CN68" i="38"/>
  <c r="CN54" i="38"/>
  <c r="EZ68" i="38"/>
  <c r="EZ54" i="38"/>
  <c r="D45" i="38"/>
  <c r="CM45" i="38"/>
  <c r="CM46" i="38"/>
  <c r="EY46" i="38"/>
  <c r="EY45" i="38"/>
  <c r="FN45" i="38"/>
  <c r="FN46" i="38"/>
  <c r="FM39" i="38"/>
  <c r="FO39" i="38"/>
  <c r="AL74" i="38"/>
  <c r="AL60" i="38"/>
  <c r="EW74" i="38"/>
  <c r="EW60" i="38"/>
  <c r="FJ12" i="38"/>
  <c r="CH44" i="38"/>
  <c r="CW44" i="38"/>
  <c r="AH72" i="38"/>
  <c r="AH58" i="38"/>
  <c r="CS72" i="38"/>
  <c r="CS58" i="38"/>
  <c r="ES72" i="38"/>
  <c r="ES58" i="38"/>
  <c r="FE72" i="38"/>
  <c r="FE58" i="38"/>
  <c r="AG66" i="38"/>
  <c r="AG52" i="38"/>
  <c r="CR66" i="38"/>
  <c r="CR52" i="38"/>
  <c r="FD66" i="38"/>
  <c r="FD52" i="38"/>
  <c r="AF75" i="38"/>
  <c r="AF61" i="38"/>
  <c r="CQ75" i="38"/>
  <c r="CQ61" i="38"/>
  <c r="FC75" i="38"/>
  <c r="FC61" i="38"/>
  <c r="AD70" i="38"/>
  <c r="AD56" i="38"/>
  <c r="CO70" i="38"/>
  <c r="CO56" i="38"/>
  <c r="FA70" i="38"/>
  <c r="FA56" i="38"/>
  <c r="AC65" i="38"/>
  <c r="AC51" i="38"/>
  <c r="CN65" i="38"/>
  <c r="CN51" i="38"/>
  <c r="EZ65" i="38"/>
  <c r="EZ51" i="38"/>
  <c r="AM49" i="38"/>
  <c r="CL49" i="38"/>
  <c r="EX49" i="38"/>
  <c r="FO49" i="38"/>
  <c r="FM48" i="38"/>
  <c r="FM49" i="38"/>
  <c r="AL69" i="38"/>
  <c r="AL55" i="38"/>
  <c r="EW69" i="38"/>
  <c r="EW55" i="38"/>
  <c r="FJ24" i="38"/>
  <c r="AK50" i="38"/>
  <c r="CM50" i="38"/>
  <c r="CI76" i="38"/>
  <c r="CI62" i="38"/>
  <c r="CU76" i="38"/>
  <c r="CU62" i="38"/>
  <c r="AI72" i="38"/>
  <c r="AI58" i="38"/>
  <c r="CT72" i="38"/>
  <c r="CT58" i="38"/>
  <c r="ET72" i="38"/>
  <c r="ET58" i="38"/>
  <c r="FF72" i="38"/>
  <c r="FF58" i="38"/>
  <c r="AH66" i="38"/>
  <c r="AH52" i="38"/>
  <c r="CS66" i="38"/>
  <c r="CS52" i="38"/>
  <c r="ES66" i="38"/>
  <c r="ES52" i="38"/>
  <c r="FE66" i="38"/>
  <c r="FE52" i="38"/>
  <c r="AG75" i="38"/>
  <c r="AG61" i="38"/>
  <c r="CR75" i="38"/>
  <c r="CR61" i="38"/>
  <c r="FD75" i="38"/>
  <c r="FD61" i="38"/>
  <c r="AE70" i="38"/>
  <c r="AE56" i="38"/>
  <c r="CP70" i="38"/>
  <c r="CP56" i="38"/>
  <c r="FB70" i="38"/>
  <c r="FB56" i="38"/>
  <c r="AD65" i="38"/>
  <c r="AD51" i="38"/>
  <c r="CO65" i="38"/>
  <c r="CO51" i="38"/>
  <c r="FA65" i="38"/>
  <c r="FA51" i="38"/>
  <c r="CM49" i="38"/>
  <c r="CM48" i="38"/>
  <c r="EY49" i="38"/>
  <c r="FN49" i="38"/>
  <c r="AM69" i="38"/>
  <c r="AM55" i="38"/>
  <c r="CL69" i="38"/>
  <c r="CL55" i="38"/>
  <c r="EX69" i="38"/>
  <c r="EX55" i="38"/>
  <c r="AL50" i="38"/>
  <c r="CN50" i="38"/>
  <c r="ET50" i="38"/>
  <c r="FF50" i="38"/>
  <c r="AG71" i="38"/>
  <c r="AG57" i="38"/>
  <c r="AJ72" i="38"/>
  <c r="AJ58" i="38"/>
  <c r="CI72" i="38"/>
  <c r="CI58" i="38"/>
  <c r="CU72" i="38"/>
  <c r="CU58" i="38"/>
  <c r="FH72" i="38"/>
  <c r="FH58" i="38"/>
  <c r="AI66" i="38"/>
  <c r="AI52" i="38"/>
  <c r="CT66" i="38"/>
  <c r="CT52" i="38"/>
  <c r="ET66" i="38"/>
  <c r="ET52" i="38"/>
  <c r="FF66" i="38"/>
  <c r="FF52" i="38"/>
  <c r="AH75" i="38"/>
  <c r="AH61" i="38"/>
  <c r="CS75" i="38"/>
  <c r="CS61" i="38"/>
  <c r="ES75" i="38"/>
  <c r="ES61" i="38"/>
  <c r="FE75" i="38"/>
  <c r="FE61" i="38"/>
  <c r="FG42" i="38"/>
  <c r="ER42" i="38"/>
  <c r="AF70" i="38"/>
  <c r="AF56" i="38"/>
  <c r="CQ70" i="38"/>
  <c r="CQ56" i="38"/>
  <c r="FC70" i="38"/>
  <c r="FC56" i="38"/>
  <c r="AE65" i="38"/>
  <c r="AE51" i="38"/>
  <c r="CP65" i="38"/>
  <c r="CP51" i="38"/>
  <c r="FB65" i="38"/>
  <c r="FB51" i="38"/>
  <c r="AC49" i="38"/>
  <c r="CN49" i="38"/>
  <c r="EZ49" i="38"/>
  <c r="CM55" i="38"/>
  <c r="CM69" i="38"/>
  <c r="EY69" i="38"/>
  <c r="EY55" i="38"/>
  <c r="FN69" i="38"/>
  <c r="FN55" i="38"/>
  <c r="AM50" i="38"/>
  <c r="CO50" i="38"/>
  <c r="FH64" i="38"/>
  <c r="FH50" i="38"/>
  <c r="AI76" i="38"/>
  <c r="AI62" i="38"/>
  <c r="FO34" i="38"/>
  <c r="FJ15" i="38"/>
  <c r="FJ44" i="38"/>
  <c r="AK72" i="38"/>
  <c r="AK58" i="38"/>
  <c r="CJ72" i="38"/>
  <c r="CJ58" i="38"/>
  <c r="CV72" i="38"/>
  <c r="CV58" i="38"/>
  <c r="EV72" i="38"/>
  <c r="EV58" i="38"/>
  <c r="FI72" i="38"/>
  <c r="FI58" i="38"/>
  <c r="AJ66" i="38"/>
  <c r="AJ52" i="38"/>
  <c r="CI66" i="38"/>
  <c r="CI52" i="38"/>
  <c r="CU66" i="38"/>
  <c r="CU52" i="38"/>
  <c r="FH66" i="38"/>
  <c r="FH52" i="38"/>
  <c r="AI75" i="38"/>
  <c r="AI61" i="38"/>
  <c r="CT75" i="38"/>
  <c r="CT61" i="38"/>
  <c r="ET75" i="38"/>
  <c r="ET61" i="38"/>
  <c r="FF75" i="38"/>
  <c r="FF61" i="38"/>
  <c r="AG56" i="38"/>
  <c r="AG70" i="38"/>
  <c r="CR70" i="38"/>
  <c r="CR56" i="38"/>
  <c r="FD70" i="38"/>
  <c r="FD56" i="38"/>
  <c r="AF65" i="38"/>
  <c r="AF51" i="38"/>
  <c r="CQ65" i="38"/>
  <c r="CQ51" i="38"/>
  <c r="FC65" i="38"/>
  <c r="FC51" i="38"/>
  <c r="AD49" i="38"/>
  <c r="CO49" i="38"/>
  <c r="FA48" i="38"/>
  <c r="FA49" i="38"/>
  <c r="AC69" i="38"/>
  <c r="AC55" i="38"/>
  <c r="CN69" i="38"/>
  <c r="CN55" i="38"/>
  <c r="EZ69" i="38"/>
  <c r="EZ55" i="38"/>
  <c r="CP50" i="38"/>
  <c r="EV50" i="38"/>
  <c r="FI64" i="38"/>
  <c r="FI50" i="38"/>
  <c r="FH36" i="38"/>
  <c r="FH31" i="38"/>
  <c r="FJ26" i="38"/>
  <c r="FJ36" i="38"/>
  <c r="AJ76" i="38"/>
  <c r="AJ62" i="38"/>
  <c r="CL76" i="38"/>
  <c r="CL62" i="38"/>
  <c r="CW35" i="38"/>
  <c r="FM44" i="38"/>
  <c r="FO44" i="38"/>
  <c r="AL72" i="38"/>
  <c r="AL58" i="38"/>
  <c r="EW72" i="38"/>
  <c r="EW58" i="38"/>
  <c r="FJ72" i="38"/>
  <c r="FJ58" i="38"/>
  <c r="AK66" i="38"/>
  <c r="AK52" i="38"/>
  <c r="CJ66" i="38"/>
  <c r="CJ52" i="38"/>
  <c r="CV66" i="38"/>
  <c r="CV52" i="38"/>
  <c r="EV66" i="38"/>
  <c r="EV52" i="38"/>
  <c r="FI66" i="38"/>
  <c r="FI52" i="38"/>
  <c r="AJ75" i="38"/>
  <c r="AJ61" i="38"/>
  <c r="CI75" i="38"/>
  <c r="CI61" i="38"/>
  <c r="CU75" i="38"/>
  <c r="CU61" i="38"/>
  <c r="FH75" i="38"/>
  <c r="FH61" i="38"/>
  <c r="CW42" i="38"/>
  <c r="AH70" i="38"/>
  <c r="AH56" i="38"/>
  <c r="CS70" i="38"/>
  <c r="CS56" i="38"/>
  <c r="ES70" i="38"/>
  <c r="ES56" i="38"/>
  <c r="FE70" i="38"/>
  <c r="FE56" i="38"/>
  <c r="AG65" i="38"/>
  <c r="AG51" i="38"/>
  <c r="CR65" i="38"/>
  <c r="CR51" i="38"/>
  <c r="FD65" i="38"/>
  <c r="FD51" i="38"/>
  <c r="AE49" i="38"/>
  <c r="CP49" i="38"/>
  <c r="FB49" i="38"/>
  <c r="AD69" i="38"/>
  <c r="AD55" i="38"/>
  <c r="CO69" i="38"/>
  <c r="CO55" i="38"/>
  <c r="FA69" i="38"/>
  <c r="FA55" i="38"/>
  <c r="AC50" i="38"/>
  <c r="CQ50" i="38"/>
  <c r="EW50" i="38"/>
  <c r="FJ64" i="38"/>
  <c r="FJ50" i="38"/>
  <c r="FH73" i="38"/>
  <c r="FH59" i="38"/>
  <c r="CH41" i="38"/>
  <c r="CW41" i="38"/>
  <c r="AH68" i="38"/>
  <c r="AH54" i="38"/>
  <c r="CS68" i="38"/>
  <c r="CS54" i="38"/>
  <c r="ES68" i="38"/>
  <c r="ES54" i="38"/>
  <c r="FE68" i="38"/>
  <c r="FE54" i="38"/>
  <c r="I45" i="38"/>
  <c r="AG46" i="38"/>
  <c r="AG45" i="38"/>
  <c r="CR46" i="38"/>
  <c r="CR45" i="38"/>
  <c r="ER45" i="38"/>
  <c r="FG45" i="38"/>
  <c r="ER46" i="38"/>
  <c r="FG46" i="38"/>
  <c r="FD45" i="38"/>
  <c r="FD46" i="38"/>
  <c r="AE74" i="38"/>
  <c r="AE60" i="38"/>
  <c r="CP74" i="38"/>
  <c r="CP60" i="38"/>
  <c r="FB74" i="38"/>
  <c r="FB60" i="38"/>
  <c r="AM72" i="38"/>
  <c r="AM58" i="38"/>
  <c r="CL72" i="38"/>
  <c r="CL58" i="38"/>
  <c r="EX72" i="38"/>
  <c r="EX58" i="38"/>
  <c r="AL66" i="38"/>
  <c r="AL52" i="38"/>
  <c r="EW66" i="38"/>
  <c r="EW52" i="38"/>
  <c r="FJ17" i="38"/>
  <c r="AK75" i="38"/>
  <c r="AK61" i="38"/>
  <c r="CJ75" i="38"/>
  <c r="CJ61" i="38"/>
  <c r="CV75" i="38"/>
  <c r="CV61" i="38"/>
  <c r="EV75" i="38"/>
  <c r="EV61" i="38"/>
  <c r="FI75" i="38"/>
  <c r="FI61" i="38"/>
  <c r="AI70" i="38"/>
  <c r="AI56" i="38"/>
  <c r="CT70" i="38"/>
  <c r="CT56" i="38"/>
  <c r="ET70" i="38"/>
  <c r="ET56" i="38"/>
  <c r="FF70" i="38"/>
  <c r="FF56" i="38"/>
  <c r="AH65" i="38"/>
  <c r="AH51" i="38"/>
  <c r="CS65" i="38"/>
  <c r="CS51" i="38"/>
  <c r="ES65" i="38"/>
  <c r="ES51" i="38"/>
  <c r="FE65" i="38"/>
  <c r="FE51" i="38"/>
  <c r="FG37" i="38"/>
  <c r="ER37" i="38"/>
  <c r="AF49" i="38"/>
  <c r="CQ49" i="38"/>
  <c r="FC49" i="38"/>
  <c r="AE69" i="38"/>
  <c r="AE55" i="38"/>
  <c r="CP69" i="38"/>
  <c r="CP55" i="38"/>
  <c r="FB69" i="38"/>
  <c r="FB55" i="38"/>
  <c r="AD50" i="38"/>
  <c r="FO36" i="38"/>
  <c r="FM36" i="38"/>
  <c r="AL76" i="38"/>
  <c r="AL62" i="38"/>
  <c r="ET76" i="38"/>
  <c r="ET62" i="38"/>
  <c r="FF76" i="38"/>
  <c r="FF62" i="38"/>
  <c r="CH42" i="38"/>
  <c r="AH71" i="38"/>
  <c r="AH57" i="38"/>
  <c r="CS71" i="38"/>
  <c r="CS57" i="38"/>
  <c r="ES71" i="38"/>
  <c r="ES57" i="38"/>
  <c r="CL50" i="38"/>
  <c r="EX50" i="38"/>
  <c r="AK76" i="38"/>
  <c r="AK62" i="38"/>
  <c r="CJ76" i="38"/>
  <c r="CJ62" i="38"/>
  <c r="CV76" i="38"/>
  <c r="CV62" i="38"/>
  <c r="EV76" i="38"/>
  <c r="EV62" i="38"/>
  <c r="FI76" i="38"/>
  <c r="FI62" i="38"/>
  <c r="AI71" i="38"/>
  <c r="AI57" i="38"/>
  <c r="CT71" i="38"/>
  <c r="CT57" i="38"/>
  <c r="ET71" i="38"/>
  <c r="ET57" i="38"/>
  <c r="FF71" i="38"/>
  <c r="FF57" i="38"/>
  <c r="CK33" i="38"/>
  <c r="EW76" i="38"/>
  <c r="EW62" i="38"/>
  <c r="AJ71" i="38"/>
  <c r="AJ57" i="38"/>
  <c r="CI71" i="38"/>
  <c r="CI57" i="38"/>
  <c r="CU71" i="38"/>
  <c r="CU57" i="38"/>
  <c r="FH71" i="38"/>
  <c r="FH57" i="38"/>
  <c r="AK71" i="38"/>
  <c r="AK57" i="38"/>
  <c r="CJ71" i="38"/>
  <c r="CJ57" i="38"/>
  <c r="CV71" i="38"/>
  <c r="CV57" i="38"/>
  <c r="EV71" i="38"/>
  <c r="EV57" i="38"/>
  <c r="FI71" i="38"/>
  <c r="FI57" i="38"/>
  <c r="CM76" i="38"/>
  <c r="CM62" i="38"/>
  <c r="EY76" i="38"/>
  <c r="EY62" i="38"/>
  <c r="FN76" i="38"/>
  <c r="FN62" i="38"/>
  <c r="FO43" i="38"/>
  <c r="FM43" i="38"/>
  <c r="AL71" i="38"/>
  <c r="AL57" i="38"/>
  <c r="EW71" i="38"/>
  <c r="EW57" i="38"/>
  <c r="FJ29" i="38"/>
  <c r="AC76" i="38"/>
  <c r="AC62" i="38"/>
  <c r="CN76" i="38"/>
  <c r="CN62" i="38"/>
  <c r="EZ76" i="38"/>
  <c r="EZ62" i="38"/>
  <c r="AM71" i="38"/>
  <c r="AM57" i="38"/>
  <c r="CL71" i="38"/>
  <c r="CL57" i="38"/>
  <c r="EX71" i="38"/>
  <c r="EX57" i="38"/>
  <c r="FG35" i="38"/>
  <c r="ER35" i="38"/>
  <c r="AD76" i="38"/>
  <c r="AD62" i="38"/>
  <c r="CO76" i="38"/>
  <c r="CO62" i="38"/>
  <c r="FA76" i="38"/>
  <c r="FA62" i="38"/>
  <c r="CM71" i="38"/>
  <c r="CM57" i="38"/>
  <c r="EY71" i="38"/>
  <c r="EY57" i="38"/>
  <c r="FN71" i="38"/>
  <c r="FN57" i="38"/>
  <c r="CR50" i="38"/>
  <c r="FD50" i="38"/>
  <c r="AE76" i="38"/>
  <c r="AE62" i="38"/>
  <c r="CP76" i="38"/>
  <c r="CP62" i="38"/>
  <c r="FB76" i="38"/>
  <c r="FB62" i="38"/>
  <c r="AC71" i="38"/>
  <c r="AC57" i="38"/>
  <c r="CN71" i="38"/>
  <c r="CN57" i="38"/>
  <c r="EZ71" i="38"/>
  <c r="EZ57" i="38"/>
  <c r="AB31" i="38"/>
  <c r="CS50" i="38"/>
  <c r="ES50" i="38"/>
  <c r="FE50" i="38"/>
  <c r="FG36" i="38"/>
  <c r="ER36" i="38"/>
  <c r="AF76" i="38"/>
  <c r="AF62" i="38"/>
  <c r="CQ76" i="38"/>
  <c r="CQ62" i="38"/>
  <c r="FC76" i="38"/>
  <c r="FC62" i="38"/>
  <c r="AD71" i="38"/>
  <c r="AD57" i="38"/>
  <c r="CO71" i="38"/>
  <c r="CO57" i="38"/>
  <c r="FA71" i="38"/>
  <c r="FA57" i="38"/>
  <c r="AG76" i="38"/>
  <c r="AG62" i="38"/>
  <c r="CR76" i="38"/>
  <c r="CR62" i="38"/>
  <c r="FD76" i="38"/>
  <c r="FD62" i="38"/>
  <c r="AE71" i="38"/>
  <c r="AE57" i="38"/>
  <c r="CP71" i="38"/>
  <c r="CP57" i="38"/>
  <c r="FB71" i="38"/>
  <c r="FB57" i="38"/>
  <c r="CW36" i="38"/>
  <c r="CH36" i="38"/>
  <c r="AH76" i="38"/>
  <c r="AH62" i="38"/>
  <c r="CS76" i="38"/>
  <c r="CS62" i="38"/>
  <c r="ES76" i="38"/>
  <c r="ES62" i="38"/>
  <c r="FE76" i="38"/>
  <c r="FE62" i="38"/>
  <c r="ER43" i="38"/>
  <c r="FG43" i="38"/>
  <c r="AF71" i="38"/>
  <c r="AF57" i="38"/>
  <c r="CQ71" i="38"/>
  <c r="CQ57" i="38"/>
  <c r="FC71" i="38"/>
  <c r="FC57" i="38"/>
  <c r="CK46" i="38"/>
  <c r="CK45" i="38"/>
  <c r="FE71" i="38"/>
  <c r="FE57" i="38"/>
  <c r="EU49" i="38"/>
  <c r="CK49" i="38"/>
  <c r="EU45" i="38"/>
  <c r="AB45" i="38"/>
  <c r="BH45" i="43"/>
  <c r="AI31" i="43"/>
  <c r="M31" i="43"/>
  <c r="AY31" i="43"/>
  <c r="CK31" i="43"/>
  <c r="CL31" i="43"/>
  <c r="CX31" i="43"/>
  <c r="J45" i="43"/>
  <c r="V45" i="43"/>
  <c r="O31" i="43"/>
  <c r="BN31" i="43"/>
  <c r="CY31" i="43"/>
  <c r="AP31" i="43"/>
  <c r="BO31" i="43"/>
  <c r="Q31" i="43"/>
  <c r="BP31" i="43"/>
  <c r="F31" i="43"/>
  <c r="BS31" i="43"/>
  <c r="BT31" i="43"/>
  <c r="CG31" i="43"/>
  <c r="AJ31" i="43"/>
  <c r="BU31" i="43"/>
  <c r="K31" i="43"/>
  <c r="AK31" i="43"/>
  <c r="AW31" i="43"/>
  <c r="CI31" i="43"/>
  <c r="R31" i="43"/>
  <c r="BZ31" i="43"/>
  <c r="N67" i="43"/>
  <c r="N53" i="43"/>
  <c r="Z67" i="43"/>
  <c r="Z53" i="43"/>
  <c r="BJ67" i="43"/>
  <c r="BJ53" i="43"/>
  <c r="BV67" i="43"/>
  <c r="BV53" i="43"/>
  <c r="J73" i="43"/>
  <c r="J59" i="43"/>
  <c r="V73" i="43"/>
  <c r="V59" i="43"/>
  <c r="BF73" i="43"/>
  <c r="BF59" i="43"/>
  <c r="BR73" i="43"/>
  <c r="BR59" i="43"/>
  <c r="F68" i="43"/>
  <c r="F54" i="43"/>
  <c r="R68" i="43"/>
  <c r="R54" i="43"/>
  <c r="BN68" i="43"/>
  <c r="BN54" i="43"/>
  <c r="BZ68" i="43"/>
  <c r="BZ54" i="43"/>
  <c r="BJ74" i="43"/>
  <c r="BJ60" i="43"/>
  <c r="BV74" i="43"/>
  <c r="BV60" i="43"/>
  <c r="F72" i="43"/>
  <c r="F58" i="43"/>
  <c r="R72" i="43"/>
  <c r="R58" i="43"/>
  <c r="BD72" i="43"/>
  <c r="BD58" i="43"/>
  <c r="BP72" i="43"/>
  <c r="BP58" i="43"/>
  <c r="CB72" i="43"/>
  <c r="CB58" i="43"/>
  <c r="M66" i="43"/>
  <c r="M52" i="43"/>
  <c r="Y66" i="43"/>
  <c r="Y52" i="43"/>
  <c r="BF75" i="43"/>
  <c r="BF61" i="43"/>
  <c r="BR75" i="43"/>
  <c r="BR61" i="43"/>
  <c r="BI70" i="43"/>
  <c r="BI56" i="43"/>
  <c r="BU70" i="43"/>
  <c r="BU56" i="43"/>
  <c r="E69" i="43"/>
  <c r="E55" i="43"/>
  <c r="Q69" i="43"/>
  <c r="Q55" i="43"/>
  <c r="BN69" i="43"/>
  <c r="BN55" i="43"/>
  <c r="BZ69" i="43"/>
  <c r="BZ55" i="43"/>
  <c r="G31" i="43"/>
  <c r="S31" i="43"/>
  <c r="AQ31" i="43"/>
  <c r="CA31" i="43"/>
  <c r="CM31" i="43"/>
  <c r="O67" i="43"/>
  <c r="O53" i="43"/>
  <c r="AA67" i="43"/>
  <c r="AA53" i="43"/>
  <c r="BK67" i="43"/>
  <c r="BK53" i="43"/>
  <c r="BW53" i="43"/>
  <c r="BW67" i="43"/>
  <c r="K73" i="43"/>
  <c r="K59" i="43"/>
  <c r="W73" i="43"/>
  <c r="W59" i="43"/>
  <c r="BG73" i="43"/>
  <c r="BG59" i="43"/>
  <c r="BS73" i="43"/>
  <c r="BS59" i="43"/>
  <c r="G68" i="43"/>
  <c r="G54" i="43"/>
  <c r="S68" i="43"/>
  <c r="S54" i="43"/>
  <c r="BO68" i="43"/>
  <c r="BO54" i="43"/>
  <c r="CA68" i="43"/>
  <c r="CA54" i="43"/>
  <c r="K45" i="43"/>
  <c r="W45" i="43"/>
  <c r="AJ45" i="43"/>
  <c r="AV45" i="43"/>
  <c r="CG45" i="43"/>
  <c r="BD39" i="43"/>
  <c r="N74" i="43"/>
  <c r="N60" i="43"/>
  <c r="Z74" i="43"/>
  <c r="Z60" i="43"/>
  <c r="D34" i="43"/>
  <c r="BE72" i="43"/>
  <c r="BE58" i="43"/>
  <c r="BQ72" i="43"/>
  <c r="BQ58" i="43"/>
  <c r="N66" i="43"/>
  <c r="N52" i="43"/>
  <c r="Z66" i="43"/>
  <c r="Z52" i="43"/>
  <c r="J75" i="43"/>
  <c r="J61" i="43"/>
  <c r="V61" i="43"/>
  <c r="V75" i="43"/>
  <c r="BJ70" i="43"/>
  <c r="BJ56" i="43"/>
  <c r="BV70" i="43"/>
  <c r="BV56" i="43"/>
  <c r="F69" i="43"/>
  <c r="F55" i="43"/>
  <c r="R69" i="43"/>
  <c r="R55" i="43"/>
  <c r="BM76" i="43"/>
  <c r="BM62" i="43"/>
  <c r="BY76" i="43"/>
  <c r="BY62" i="43"/>
  <c r="H31" i="43"/>
  <c r="T31" i="43"/>
  <c r="AR31" i="43"/>
  <c r="CB31" i="43"/>
  <c r="CN31" i="43"/>
  <c r="D67" i="43"/>
  <c r="D53" i="43"/>
  <c r="P67" i="43"/>
  <c r="P53" i="43"/>
  <c r="AB67" i="43"/>
  <c r="AB53" i="43"/>
  <c r="BL67" i="43"/>
  <c r="BL53" i="43"/>
  <c r="BX67" i="43"/>
  <c r="BX53" i="43"/>
  <c r="L73" i="43"/>
  <c r="L59" i="43"/>
  <c r="X73" i="43"/>
  <c r="X59" i="43"/>
  <c r="BH73" i="43"/>
  <c r="BH59" i="43"/>
  <c r="BT73" i="43"/>
  <c r="BT59" i="43"/>
  <c r="H68" i="43"/>
  <c r="H54" i="43"/>
  <c r="T68" i="43"/>
  <c r="T54" i="43"/>
  <c r="BD68" i="43"/>
  <c r="BD54" i="43"/>
  <c r="BP68" i="43"/>
  <c r="BP54" i="43"/>
  <c r="CB68" i="43"/>
  <c r="CB54" i="43"/>
  <c r="L45" i="43"/>
  <c r="X45" i="43"/>
  <c r="BJ45" i="43"/>
  <c r="BV45" i="43"/>
  <c r="CH45" i="43"/>
  <c r="CT45" i="43"/>
  <c r="BL74" i="43"/>
  <c r="BL60" i="43"/>
  <c r="BX74" i="43"/>
  <c r="BX60" i="43"/>
  <c r="H72" i="43"/>
  <c r="H58" i="43"/>
  <c r="T72" i="43"/>
  <c r="T58" i="43"/>
  <c r="BF72" i="43"/>
  <c r="BF58" i="43"/>
  <c r="BR72" i="43"/>
  <c r="BR58" i="43"/>
  <c r="BD42" i="43"/>
  <c r="M70" i="43"/>
  <c r="M56" i="43"/>
  <c r="Y70" i="43"/>
  <c r="Y56" i="43"/>
  <c r="E76" i="43"/>
  <c r="E62" i="43"/>
  <c r="Q76" i="43"/>
  <c r="Q62" i="43"/>
  <c r="BN76" i="43"/>
  <c r="BN62" i="43"/>
  <c r="BZ76" i="43"/>
  <c r="BZ62" i="43"/>
  <c r="I31" i="43"/>
  <c r="U31" i="43"/>
  <c r="AG31" i="43"/>
  <c r="AS31" i="43"/>
  <c r="BE31" i="43"/>
  <c r="BQ31" i="43"/>
  <c r="CO31" i="43"/>
  <c r="E67" i="43"/>
  <c r="E53" i="43"/>
  <c r="Q67" i="43"/>
  <c r="Q53" i="43"/>
  <c r="BM67" i="43"/>
  <c r="BM53" i="43"/>
  <c r="BY67" i="43"/>
  <c r="BY53" i="43"/>
  <c r="M73" i="43"/>
  <c r="M59" i="43"/>
  <c r="Y73" i="43"/>
  <c r="Y59" i="43"/>
  <c r="BI73" i="43"/>
  <c r="BI59" i="43"/>
  <c r="BU59" i="43"/>
  <c r="BU73" i="43"/>
  <c r="I68" i="43"/>
  <c r="I54" i="43"/>
  <c r="U68" i="43"/>
  <c r="U54" i="43"/>
  <c r="BE68" i="43"/>
  <c r="BE54" i="43"/>
  <c r="BQ68" i="43"/>
  <c r="BQ54" i="43"/>
  <c r="M45" i="43"/>
  <c r="Y45" i="43"/>
  <c r="AL45" i="43"/>
  <c r="AX45" i="43"/>
  <c r="BK45" i="43"/>
  <c r="BW45" i="43"/>
  <c r="CI45" i="43"/>
  <c r="D74" i="43"/>
  <c r="D60" i="43"/>
  <c r="P74" i="43"/>
  <c r="P60" i="43"/>
  <c r="AB74" i="43"/>
  <c r="AB60" i="43"/>
  <c r="BM74" i="43"/>
  <c r="BM60" i="43"/>
  <c r="BY60" i="43"/>
  <c r="BY74" i="43"/>
  <c r="BD34" i="43"/>
  <c r="I72" i="43"/>
  <c r="I58" i="43"/>
  <c r="U72" i="43"/>
  <c r="U58" i="43"/>
  <c r="BN66" i="43"/>
  <c r="BN52" i="43"/>
  <c r="BZ66" i="43"/>
  <c r="BZ52" i="43"/>
  <c r="N70" i="43"/>
  <c r="N56" i="43"/>
  <c r="Z70" i="43"/>
  <c r="Z56" i="43"/>
  <c r="F76" i="43"/>
  <c r="F62" i="43"/>
  <c r="R76" i="43"/>
  <c r="R62" i="43"/>
  <c r="J31" i="43"/>
  <c r="V31" i="43"/>
  <c r="AH31" i="43"/>
  <c r="AT31" i="43"/>
  <c r="BF31" i="43"/>
  <c r="BR31" i="43"/>
  <c r="CP31" i="43"/>
  <c r="F67" i="43"/>
  <c r="F53" i="43"/>
  <c r="R67" i="43"/>
  <c r="R53" i="43"/>
  <c r="BN67" i="43"/>
  <c r="BN53" i="43"/>
  <c r="BZ67" i="43"/>
  <c r="BZ53" i="43"/>
  <c r="N73" i="43"/>
  <c r="N59" i="43"/>
  <c r="Z73" i="43"/>
  <c r="Z59" i="43"/>
  <c r="BJ73" i="43"/>
  <c r="BJ59" i="43"/>
  <c r="BV73" i="43"/>
  <c r="BV59" i="43"/>
  <c r="J68" i="43"/>
  <c r="J54" i="43"/>
  <c r="V68" i="43"/>
  <c r="V54" i="43"/>
  <c r="BF68" i="43"/>
  <c r="BF54" i="43"/>
  <c r="BR68" i="43"/>
  <c r="BR54" i="43"/>
  <c r="N45" i="43"/>
  <c r="Z45" i="43"/>
  <c r="AM45" i="43"/>
  <c r="AY45" i="43"/>
  <c r="BL45" i="43"/>
  <c r="BX45" i="43"/>
  <c r="CJ45" i="43"/>
  <c r="CV45" i="43"/>
  <c r="E74" i="43"/>
  <c r="E60" i="43"/>
  <c r="Q74" i="43"/>
  <c r="Q60" i="43"/>
  <c r="BN74" i="43"/>
  <c r="BN60" i="43"/>
  <c r="BZ74" i="43"/>
  <c r="BZ60" i="43"/>
  <c r="J72" i="43"/>
  <c r="J58" i="43"/>
  <c r="V72" i="43"/>
  <c r="V58" i="43"/>
  <c r="W31" i="43"/>
  <c r="BG31" i="43"/>
  <c r="CQ31" i="43"/>
  <c r="G67" i="43"/>
  <c r="G53" i="43"/>
  <c r="S67" i="43"/>
  <c r="S53" i="43"/>
  <c r="BO67" i="43"/>
  <c r="BO53" i="43"/>
  <c r="CA67" i="43"/>
  <c r="CA53" i="43"/>
  <c r="O73" i="43"/>
  <c r="O59" i="43"/>
  <c r="AA73" i="43"/>
  <c r="AA59" i="43"/>
  <c r="BK73" i="43"/>
  <c r="BK59" i="43"/>
  <c r="BW73" i="43"/>
  <c r="BW59" i="43"/>
  <c r="K68" i="43"/>
  <c r="K54" i="43"/>
  <c r="W68" i="43"/>
  <c r="W54" i="43"/>
  <c r="BG68" i="43"/>
  <c r="BG54" i="43"/>
  <c r="BS68" i="43"/>
  <c r="BS54" i="43"/>
  <c r="O45" i="43"/>
  <c r="AA45" i="43"/>
  <c r="AN45" i="43"/>
  <c r="AZ45" i="43"/>
  <c r="BM45" i="43"/>
  <c r="CW45" i="43"/>
  <c r="F74" i="43"/>
  <c r="F60" i="43"/>
  <c r="R60" i="43"/>
  <c r="R74" i="43"/>
  <c r="D44" i="43"/>
  <c r="F66" i="43"/>
  <c r="F52" i="43"/>
  <c r="R66" i="43"/>
  <c r="R52" i="43"/>
  <c r="N75" i="43"/>
  <c r="N61" i="43"/>
  <c r="Z75" i="43"/>
  <c r="Z61" i="43"/>
  <c r="L31" i="43"/>
  <c r="X31" i="43"/>
  <c r="AV31" i="43"/>
  <c r="BH31" i="43"/>
  <c r="CF31" i="43"/>
  <c r="CR31" i="43"/>
  <c r="H67" i="43"/>
  <c r="H53" i="43"/>
  <c r="T67" i="43"/>
  <c r="T53" i="43"/>
  <c r="BD67" i="43"/>
  <c r="BD53" i="43"/>
  <c r="BP67" i="43"/>
  <c r="BP53" i="43"/>
  <c r="CB67" i="43"/>
  <c r="CB53" i="43"/>
  <c r="D73" i="43"/>
  <c r="D59" i="43"/>
  <c r="P73" i="43"/>
  <c r="P59" i="43"/>
  <c r="AB73" i="43"/>
  <c r="AB59" i="43"/>
  <c r="BL73" i="43"/>
  <c r="BL59" i="43"/>
  <c r="BX73" i="43"/>
  <c r="BX59" i="43"/>
  <c r="L68" i="43"/>
  <c r="L54" i="43"/>
  <c r="X68" i="43"/>
  <c r="X54" i="43"/>
  <c r="BH68" i="43"/>
  <c r="BH54" i="43"/>
  <c r="BT68" i="43"/>
  <c r="BT54" i="43"/>
  <c r="D45" i="43"/>
  <c r="P45" i="43"/>
  <c r="AB45" i="43"/>
  <c r="BN45" i="43"/>
  <c r="BZ45" i="43"/>
  <c r="CL45" i="43"/>
  <c r="CX45" i="43"/>
  <c r="BD74" i="43"/>
  <c r="BD60" i="43"/>
  <c r="BP74" i="43"/>
  <c r="BP60" i="43"/>
  <c r="CB74" i="43"/>
  <c r="CB60" i="43"/>
  <c r="L72" i="43"/>
  <c r="L58" i="43"/>
  <c r="BJ72" i="43"/>
  <c r="BJ58" i="43"/>
  <c r="BV58" i="43"/>
  <c r="BV72" i="43"/>
  <c r="BL75" i="43"/>
  <c r="BL61" i="43"/>
  <c r="BX75" i="43"/>
  <c r="BX61" i="43"/>
  <c r="E35" i="43"/>
  <c r="Y31" i="43"/>
  <c r="BI31" i="43"/>
  <c r="CS31" i="43"/>
  <c r="I67" i="43"/>
  <c r="I53" i="43"/>
  <c r="U67" i="43"/>
  <c r="U53" i="43"/>
  <c r="BE67" i="43"/>
  <c r="BE53" i="43"/>
  <c r="BQ67" i="43"/>
  <c r="BQ53" i="43"/>
  <c r="E73" i="43"/>
  <c r="E59" i="43"/>
  <c r="Q73" i="43"/>
  <c r="Q59" i="43"/>
  <c r="BM73" i="43"/>
  <c r="BM59" i="43"/>
  <c r="BY73" i="43"/>
  <c r="BY59" i="43"/>
  <c r="M54" i="43"/>
  <c r="M68" i="43"/>
  <c r="Y68" i="43"/>
  <c r="Y54" i="43"/>
  <c r="BI68" i="43"/>
  <c r="BI54" i="43"/>
  <c r="BU68" i="43"/>
  <c r="BU54" i="43"/>
  <c r="E45" i="43"/>
  <c r="AP45" i="43"/>
  <c r="H74" i="43"/>
  <c r="H60" i="43"/>
  <c r="T74" i="43"/>
  <c r="T60" i="43"/>
  <c r="BF66" i="43"/>
  <c r="BF52" i="43"/>
  <c r="BR66" i="43"/>
  <c r="BR52" i="43"/>
  <c r="D75" i="43"/>
  <c r="D61" i="43"/>
  <c r="P75" i="43"/>
  <c r="P61" i="43"/>
  <c r="AB75" i="43"/>
  <c r="AB61" i="43"/>
  <c r="BM75" i="43"/>
  <c r="BM61" i="43"/>
  <c r="BY75" i="43"/>
  <c r="BY61" i="43"/>
  <c r="BE64" i="43"/>
  <c r="BE50" i="43"/>
  <c r="BQ64" i="43"/>
  <c r="BQ50" i="43"/>
  <c r="BI71" i="43"/>
  <c r="BI57" i="43"/>
  <c r="BU71" i="43"/>
  <c r="BU57" i="43"/>
  <c r="N31" i="43"/>
  <c r="Z31" i="43"/>
  <c r="AL31" i="43"/>
  <c r="AX31" i="43"/>
  <c r="BJ31" i="43"/>
  <c r="BV31" i="43"/>
  <c r="CH31" i="43"/>
  <c r="CT31" i="43"/>
  <c r="J67" i="43"/>
  <c r="J53" i="43"/>
  <c r="V67" i="43"/>
  <c r="V53" i="43"/>
  <c r="BF67" i="43"/>
  <c r="BF53" i="43"/>
  <c r="BR67" i="43"/>
  <c r="BR53" i="43"/>
  <c r="F73" i="43"/>
  <c r="F59" i="43"/>
  <c r="R73" i="43"/>
  <c r="R59" i="43"/>
  <c r="BN73" i="43"/>
  <c r="BN59" i="43"/>
  <c r="BZ73" i="43"/>
  <c r="BZ59" i="43"/>
  <c r="N68" i="43"/>
  <c r="N54" i="43"/>
  <c r="Z68" i="43"/>
  <c r="Z54" i="43"/>
  <c r="BJ54" i="43"/>
  <c r="BJ68" i="43"/>
  <c r="BV68" i="43"/>
  <c r="BV54" i="43"/>
  <c r="F45" i="43"/>
  <c r="R45" i="43"/>
  <c r="AQ45" i="43"/>
  <c r="BD46" i="43"/>
  <c r="BP45" i="43"/>
  <c r="CB45" i="43"/>
  <c r="CN45" i="43"/>
  <c r="BF74" i="43"/>
  <c r="BF60" i="43"/>
  <c r="BR74" i="43"/>
  <c r="BR60" i="43"/>
  <c r="BD44" i="43"/>
  <c r="N72" i="43"/>
  <c r="N58" i="43"/>
  <c r="Z72" i="43"/>
  <c r="Z58" i="43"/>
  <c r="E75" i="43"/>
  <c r="E61" i="43"/>
  <c r="Q75" i="43"/>
  <c r="Q61" i="43"/>
  <c r="BN75" i="43"/>
  <c r="BN61" i="43"/>
  <c r="BZ75" i="43"/>
  <c r="BZ61" i="43"/>
  <c r="BF64" i="43"/>
  <c r="BF50" i="43"/>
  <c r="BR64" i="43"/>
  <c r="BR50" i="43"/>
  <c r="BJ71" i="43"/>
  <c r="BJ57" i="43"/>
  <c r="BV71" i="43"/>
  <c r="BV57" i="43"/>
  <c r="AA31" i="43"/>
  <c r="AM31" i="43"/>
  <c r="BK31" i="43"/>
  <c r="BW31" i="43"/>
  <c r="K53" i="43"/>
  <c r="K67" i="43"/>
  <c r="W67" i="43"/>
  <c r="W53" i="43"/>
  <c r="BG67" i="43"/>
  <c r="BG53" i="43"/>
  <c r="BS67" i="43"/>
  <c r="BS53" i="43"/>
  <c r="G73" i="43"/>
  <c r="G59" i="43"/>
  <c r="S73" i="43"/>
  <c r="S59" i="43"/>
  <c r="BO73" i="43"/>
  <c r="BO59" i="43"/>
  <c r="CA73" i="43"/>
  <c r="CA59" i="43"/>
  <c r="O68" i="43"/>
  <c r="O54" i="43"/>
  <c r="AA68" i="43"/>
  <c r="AA54" i="43"/>
  <c r="BK68" i="43"/>
  <c r="BK54" i="43"/>
  <c r="BW68" i="43"/>
  <c r="BW54" i="43"/>
  <c r="G45" i="43"/>
  <c r="AF45" i="43"/>
  <c r="AR45" i="43"/>
  <c r="BE45" i="43"/>
  <c r="BQ45" i="43"/>
  <c r="CO45" i="43"/>
  <c r="J74" i="43"/>
  <c r="J60" i="43"/>
  <c r="V74" i="43"/>
  <c r="V60" i="43"/>
  <c r="J66" i="43"/>
  <c r="J52" i="43"/>
  <c r="V66" i="43"/>
  <c r="V52" i="43"/>
  <c r="BH66" i="43"/>
  <c r="BH52" i="43"/>
  <c r="BT66" i="43"/>
  <c r="BT52" i="43"/>
  <c r="F75" i="43"/>
  <c r="F61" i="43"/>
  <c r="R75" i="43"/>
  <c r="R61" i="43"/>
  <c r="BM65" i="43"/>
  <c r="BM51" i="43"/>
  <c r="BY65" i="43"/>
  <c r="BY51" i="43"/>
  <c r="I64" i="43"/>
  <c r="I50" i="43"/>
  <c r="U64" i="43"/>
  <c r="U50" i="43"/>
  <c r="M71" i="43"/>
  <c r="M57" i="43"/>
  <c r="Y71" i="43"/>
  <c r="Y57" i="43"/>
  <c r="D33" i="43"/>
  <c r="P31" i="43"/>
  <c r="AB31" i="43"/>
  <c r="AN31" i="43"/>
  <c r="AZ31" i="43"/>
  <c r="BL31" i="43"/>
  <c r="BX31" i="43"/>
  <c r="CJ31" i="43"/>
  <c r="CV31" i="43"/>
  <c r="L67" i="43"/>
  <c r="L53" i="43"/>
  <c r="X67" i="43"/>
  <c r="X53" i="43"/>
  <c r="BH67" i="43"/>
  <c r="BH53" i="43"/>
  <c r="BT67" i="43"/>
  <c r="BT53" i="43"/>
  <c r="H73" i="43"/>
  <c r="H59" i="43"/>
  <c r="T73" i="43"/>
  <c r="T59" i="43"/>
  <c r="BD73" i="43"/>
  <c r="BD59" i="43"/>
  <c r="BP73" i="43"/>
  <c r="BP59" i="43"/>
  <c r="CB73" i="43"/>
  <c r="CB59" i="43"/>
  <c r="D68" i="43"/>
  <c r="D54" i="43"/>
  <c r="P68" i="43"/>
  <c r="P54" i="43"/>
  <c r="AB68" i="43"/>
  <c r="AB54" i="43"/>
  <c r="BL68" i="43"/>
  <c r="BL54" i="43"/>
  <c r="BX68" i="43"/>
  <c r="BX54" i="43"/>
  <c r="H45" i="43"/>
  <c r="T45" i="43"/>
  <c r="AG45" i="43"/>
  <c r="AS45" i="43"/>
  <c r="BF45" i="43"/>
  <c r="BR45" i="43"/>
  <c r="CP45" i="43"/>
  <c r="BH74" i="43"/>
  <c r="BH60" i="43"/>
  <c r="BT74" i="43"/>
  <c r="BT60" i="43"/>
  <c r="BD33" i="43"/>
  <c r="BN72" i="43"/>
  <c r="BN58" i="43"/>
  <c r="BZ72" i="43"/>
  <c r="BZ58" i="43"/>
  <c r="BI66" i="43"/>
  <c r="BI52" i="43"/>
  <c r="BU66" i="43"/>
  <c r="BU52" i="43"/>
  <c r="E65" i="43"/>
  <c r="E51" i="43"/>
  <c r="Q65" i="43"/>
  <c r="Q51" i="43"/>
  <c r="BN65" i="43"/>
  <c r="BN51" i="43"/>
  <c r="BZ51" i="43"/>
  <c r="BZ65" i="43"/>
  <c r="J64" i="43"/>
  <c r="J50" i="43"/>
  <c r="V64" i="43"/>
  <c r="V50" i="43"/>
  <c r="N71" i="43"/>
  <c r="N57" i="43"/>
  <c r="Z71" i="43"/>
  <c r="Z57" i="43"/>
  <c r="E31" i="43"/>
  <c r="AO31" i="43"/>
  <c r="BM31" i="43"/>
  <c r="BY31" i="43"/>
  <c r="CW31" i="43"/>
  <c r="M53" i="43"/>
  <c r="M67" i="43"/>
  <c r="Y67" i="43"/>
  <c r="Y53" i="43"/>
  <c r="BI67" i="43"/>
  <c r="BI53" i="43"/>
  <c r="BU67" i="43"/>
  <c r="BU53" i="43"/>
  <c r="I73" i="43"/>
  <c r="I59" i="43"/>
  <c r="U73" i="43"/>
  <c r="U59" i="43"/>
  <c r="BE73" i="43"/>
  <c r="BE59" i="43"/>
  <c r="BQ73" i="43"/>
  <c r="BQ59" i="43"/>
  <c r="E68" i="43"/>
  <c r="E54" i="43"/>
  <c r="Q68" i="43"/>
  <c r="Q54" i="43"/>
  <c r="BM68" i="43"/>
  <c r="BM54" i="43"/>
  <c r="BY54" i="43"/>
  <c r="BY68" i="43"/>
  <c r="I45" i="43"/>
  <c r="U45" i="43"/>
  <c r="AH45" i="43"/>
  <c r="AT45" i="43"/>
  <c r="D39" i="43"/>
  <c r="L74" i="43"/>
  <c r="L60" i="43"/>
  <c r="X74" i="43"/>
  <c r="X60" i="43"/>
  <c r="L66" i="43"/>
  <c r="L52" i="43"/>
  <c r="X66" i="43"/>
  <c r="X52" i="43"/>
  <c r="BJ66" i="43"/>
  <c r="BJ52" i="43"/>
  <c r="BV66" i="43"/>
  <c r="BV52" i="43"/>
  <c r="F65" i="43"/>
  <c r="F51" i="43"/>
  <c r="R65" i="43"/>
  <c r="R51" i="43"/>
  <c r="BM69" i="43"/>
  <c r="BM55" i="43"/>
  <c r="BY69" i="43"/>
  <c r="BY55" i="43"/>
  <c r="AI45" i="43"/>
  <c r="BG45" i="43"/>
  <c r="BS45" i="43"/>
  <c r="CE45" i="43"/>
  <c r="CQ45" i="43"/>
  <c r="G74" i="43"/>
  <c r="G60" i="43"/>
  <c r="S74" i="43"/>
  <c r="S60" i="43"/>
  <c r="BO74" i="43"/>
  <c r="BO60" i="43"/>
  <c r="CA74" i="43"/>
  <c r="CA60" i="43"/>
  <c r="K72" i="43"/>
  <c r="K58" i="43"/>
  <c r="W72" i="43"/>
  <c r="W58" i="43"/>
  <c r="BG72" i="43"/>
  <c r="BG58" i="43"/>
  <c r="BS72" i="43"/>
  <c r="BS58" i="43"/>
  <c r="O66" i="43"/>
  <c r="O52" i="43"/>
  <c r="AA66" i="43"/>
  <c r="AA52" i="43"/>
  <c r="BK66" i="43"/>
  <c r="BK52" i="43"/>
  <c r="BW66" i="43"/>
  <c r="BW52" i="43"/>
  <c r="G75" i="43"/>
  <c r="G61" i="43"/>
  <c r="S75" i="43"/>
  <c r="S61" i="43"/>
  <c r="BO75" i="43"/>
  <c r="BO61" i="43"/>
  <c r="CA75" i="43"/>
  <c r="CA61" i="43"/>
  <c r="O70" i="43"/>
  <c r="O56" i="43"/>
  <c r="AA70" i="43"/>
  <c r="AA56" i="43"/>
  <c r="BK70" i="43"/>
  <c r="BK56" i="43"/>
  <c r="BW70" i="43"/>
  <c r="BW56" i="43"/>
  <c r="G65" i="43"/>
  <c r="G51" i="43"/>
  <c r="S65" i="43"/>
  <c r="S51" i="43"/>
  <c r="BO65" i="43"/>
  <c r="BO51" i="43"/>
  <c r="CA65" i="43"/>
  <c r="CA51" i="43"/>
  <c r="G69" i="43"/>
  <c r="G55" i="43"/>
  <c r="S69" i="43"/>
  <c r="S55" i="43"/>
  <c r="BO69" i="43"/>
  <c r="BO55" i="43"/>
  <c r="CA69" i="43"/>
  <c r="CA55" i="43"/>
  <c r="K64" i="43"/>
  <c r="K50" i="43"/>
  <c r="W64" i="43"/>
  <c r="W50" i="43"/>
  <c r="BG64" i="43"/>
  <c r="BG50" i="43"/>
  <c r="BS64" i="43"/>
  <c r="BS50" i="43"/>
  <c r="G76" i="43"/>
  <c r="G62" i="43"/>
  <c r="S76" i="43"/>
  <c r="S62" i="43"/>
  <c r="BO76" i="43"/>
  <c r="BO62" i="43"/>
  <c r="CA76" i="43"/>
  <c r="CA62" i="43"/>
  <c r="O71" i="43"/>
  <c r="O57" i="43"/>
  <c r="AA71" i="43"/>
  <c r="AA57" i="43"/>
  <c r="BK71" i="43"/>
  <c r="BK57" i="43"/>
  <c r="BW71" i="43"/>
  <c r="BW57" i="43"/>
  <c r="X72" i="43"/>
  <c r="X58" i="43"/>
  <c r="BH72" i="43"/>
  <c r="BH58" i="43"/>
  <c r="BT72" i="43"/>
  <c r="BT58" i="43"/>
  <c r="D66" i="43"/>
  <c r="D52" i="43"/>
  <c r="P66" i="43"/>
  <c r="P52" i="43"/>
  <c r="AB66" i="43"/>
  <c r="AB52" i="43"/>
  <c r="BL66" i="43"/>
  <c r="BL52" i="43"/>
  <c r="BX66" i="43"/>
  <c r="BX52" i="43"/>
  <c r="H75" i="43"/>
  <c r="H61" i="43"/>
  <c r="T75" i="43"/>
  <c r="T61" i="43"/>
  <c r="BD75" i="43"/>
  <c r="BD61" i="43"/>
  <c r="BP75" i="43"/>
  <c r="BP61" i="43"/>
  <c r="CB75" i="43"/>
  <c r="CB61" i="43"/>
  <c r="D70" i="43"/>
  <c r="D56" i="43"/>
  <c r="P70" i="43"/>
  <c r="P56" i="43"/>
  <c r="AB70" i="43"/>
  <c r="AB56" i="43"/>
  <c r="BL70" i="43"/>
  <c r="BL56" i="43"/>
  <c r="BX70" i="43"/>
  <c r="BX56" i="43"/>
  <c r="H65" i="43"/>
  <c r="H51" i="43"/>
  <c r="T65" i="43"/>
  <c r="T51" i="43"/>
  <c r="BP65" i="43"/>
  <c r="BP51" i="43"/>
  <c r="CB65" i="43"/>
  <c r="CB51" i="43"/>
  <c r="H69" i="43"/>
  <c r="H55" i="43"/>
  <c r="T69" i="43"/>
  <c r="T55" i="43"/>
  <c r="BD69" i="43"/>
  <c r="BD55" i="43"/>
  <c r="BP69" i="43"/>
  <c r="BP55" i="43"/>
  <c r="CB69" i="43"/>
  <c r="CB55" i="43"/>
  <c r="L64" i="43"/>
  <c r="L50" i="43"/>
  <c r="X64" i="43"/>
  <c r="X50" i="43"/>
  <c r="BH64" i="43"/>
  <c r="BH50" i="43"/>
  <c r="BT64" i="43"/>
  <c r="BT50" i="43"/>
  <c r="H76" i="43"/>
  <c r="H62" i="43"/>
  <c r="T76" i="43"/>
  <c r="T62" i="43"/>
  <c r="BD76" i="43"/>
  <c r="BD62" i="43"/>
  <c r="BP76" i="43"/>
  <c r="BP62" i="43"/>
  <c r="CB76" i="43"/>
  <c r="CB62" i="43"/>
  <c r="D71" i="43"/>
  <c r="D57" i="43"/>
  <c r="P71" i="43"/>
  <c r="P57" i="43"/>
  <c r="AB71" i="43"/>
  <c r="AB57" i="43"/>
  <c r="BL71" i="43"/>
  <c r="BL57" i="43"/>
  <c r="BX71" i="43"/>
  <c r="BX57" i="43"/>
  <c r="AK45" i="43"/>
  <c r="AW45" i="43"/>
  <c r="BI45" i="43"/>
  <c r="BU45" i="43"/>
  <c r="CS45" i="43"/>
  <c r="I74" i="43"/>
  <c r="I60" i="43"/>
  <c r="U74" i="43"/>
  <c r="U60" i="43"/>
  <c r="BE74" i="43"/>
  <c r="BE60" i="43"/>
  <c r="BQ74" i="43"/>
  <c r="BQ60" i="43"/>
  <c r="M72" i="43"/>
  <c r="M58" i="43"/>
  <c r="Y72" i="43"/>
  <c r="Y58" i="43"/>
  <c r="BI72" i="43"/>
  <c r="BI58" i="43"/>
  <c r="BU72" i="43"/>
  <c r="BU58" i="43"/>
  <c r="E66" i="43"/>
  <c r="E52" i="43"/>
  <c r="Q66" i="43"/>
  <c r="Q52" i="43"/>
  <c r="BM66" i="43"/>
  <c r="BM52" i="43"/>
  <c r="BY66" i="43"/>
  <c r="BY52" i="43"/>
  <c r="I75" i="43"/>
  <c r="I61" i="43"/>
  <c r="U75" i="43"/>
  <c r="U61" i="43"/>
  <c r="BE75" i="43"/>
  <c r="BE61" i="43"/>
  <c r="BQ75" i="43"/>
  <c r="BQ61" i="43"/>
  <c r="E70" i="43"/>
  <c r="E56" i="43"/>
  <c r="Q70" i="43"/>
  <c r="Q56" i="43"/>
  <c r="BM70" i="43"/>
  <c r="BM56" i="43"/>
  <c r="BY70" i="43"/>
  <c r="BY56" i="43"/>
  <c r="I65" i="43"/>
  <c r="I51" i="43"/>
  <c r="U65" i="43"/>
  <c r="U51" i="43"/>
  <c r="BE65" i="43"/>
  <c r="BE51" i="43"/>
  <c r="BQ65" i="43"/>
  <c r="BQ51" i="43"/>
  <c r="I69" i="43"/>
  <c r="I55" i="43"/>
  <c r="U69" i="43"/>
  <c r="U55" i="43"/>
  <c r="BE69" i="43"/>
  <c r="BE55" i="43"/>
  <c r="BQ69" i="43"/>
  <c r="BQ55" i="43"/>
  <c r="M64" i="43"/>
  <c r="M50" i="43"/>
  <c r="Y50" i="43"/>
  <c r="Y64" i="43"/>
  <c r="BI64" i="43"/>
  <c r="BI50" i="43"/>
  <c r="BU50" i="43"/>
  <c r="BU64" i="43"/>
  <c r="I76" i="43"/>
  <c r="I62" i="43"/>
  <c r="U76" i="43"/>
  <c r="U62" i="43"/>
  <c r="BE76" i="43"/>
  <c r="BE62" i="43"/>
  <c r="BQ76" i="43"/>
  <c r="BQ62" i="43"/>
  <c r="E71" i="43"/>
  <c r="E57" i="43"/>
  <c r="Q71" i="43"/>
  <c r="Q57" i="43"/>
  <c r="BM71" i="43"/>
  <c r="BM57" i="43"/>
  <c r="BY71" i="43"/>
  <c r="BY57" i="43"/>
  <c r="F70" i="43"/>
  <c r="F56" i="43"/>
  <c r="R70" i="43"/>
  <c r="R56" i="43"/>
  <c r="BN70" i="43"/>
  <c r="BN56" i="43"/>
  <c r="BZ70" i="43"/>
  <c r="BZ56" i="43"/>
  <c r="J65" i="43"/>
  <c r="J51" i="43"/>
  <c r="V65" i="43"/>
  <c r="V51" i="43"/>
  <c r="BF65" i="43"/>
  <c r="BF51" i="43"/>
  <c r="BR65" i="43"/>
  <c r="BR51" i="43"/>
  <c r="J69" i="43"/>
  <c r="J55" i="43"/>
  <c r="V69" i="43"/>
  <c r="V55" i="43"/>
  <c r="BF69" i="43"/>
  <c r="BF55" i="43"/>
  <c r="BR69" i="43"/>
  <c r="BR55" i="43"/>
  <c r="N64" i="43"/>
  <c r="N50" i="43"/>
  <c r="Z64" i="43"/>
  <c r="Z50" i="43"/>
  <c r="BJ64" i="43"/>
  <c r="BJ50" i="43"/>
  <c r="BV64" i="43"/>
  <c r="BV50" i="43"/>
  <c r="J76" i="43"/>
  <c r="J62" i="43"/>
  <c r="V76" i="43"/>
  <c r="V62" i="43"/>
  <c r="BF76" i="43"/>
  <c r="BF62" i="43"/>
  <c r="BR76" i="43"/>
  <c r="BR62" i="43"/>
  <c r="F71" i="43"/>
  <c r="F57" i="43"/>
  <c r="R71" i="43"/>
  <c r="R57" i="43"/>
  <c r="BN71" i="43"/>
  <c r="BN57" i="43"/>
  <c r="BZ71" i="43"/>
  <c r="BZ57" i="43"/>
  <c r="K74" i="43"/>
  <c r="K60" i="43"/>
  <c r="W74" i="43"/>
  <c r="W60" i="43"/>
  <c r="BG74" i="43"/>
  <c r="BG60" i="43"/>
  <c r="BS74" i="43"/>
  <c r="BS60" i="43"/>
  <c r="O72" i="43"/>
  <c r="O58" i="43"/>
  <c r="AA72" i="43"/>
  <c r="AA58" i="43"/>
  <c r="BK72" i="43"/>
  <c r="BK58" i="43"/>
  <c r="BW72" i="43"/>
  <c r="BW58" i="43"/>
  <c r="G66" i="43"/>
  <c r="G52" i="43"/>
  <c r="S66" i="43"/>
  <c r="S52" i="43"/>
  <c r="BO66" i="43"/>
  <c r="BO52" i="43"/>
  <c r="CA66" i="43"/>
  <c r="CA52" i="43"/>
  <c r="K75" i="43"/>
  <c r="K61" i="43"/>
  <c r="W75" i="43"/>
  <c r="W61" i="43"/>
  <c r="BG75" i="43"/>
  <c r="BG61" i="43"/>
  <c r="BS75" i="43"/>
  <c r="BS61" i="43"/>
  <c r="G70" i="43"/>
  <c r="G56" i="43"/>
  <c r="S70" i="43"/>
  <c r="S56" i="43"/>
  <c r="BO70" i="43"/>
  <c r="BO56" i="43"/>
  <c r="CA70" i="43"/>
  <c r="CA56" i="43"/>
  <c r="K65" i="43"/>
  <c r="K51" i="43"/>
  <c r="W65" i="43"/>
  <c r="W51" i="43"/>
  <c r="BG65" i="43"/>
  <c r="BG51" i="43"/>
  <c r="BS65" i="43"/>
  <c r="BS51" i="43"/>
  <c r="K69" i="43"/>
  <c r="K55" i="43"/>
  <c r="W69" i="43"/>
  <c r="W55" i="43"/>
  <c r="BG69" i="43"/>
  <c r="BG55" i="43"/>
  <c r="BS69" i="43"/>
  <c r="BS55" i="43"/>
  <c r="O64" i="43"/>
  <c r="O50" i="43"/>
  <c r="AA64" i="43"/>
  <c r="AA50" i="43"/>
  <c r="BK64" i="43"/>
  <c r="BK50" i="43"/>
  <c r="BW64" i="43"/>
  <c r="BW50" i="43"/>
  <c r="K76" i="43"/>
  <c r="K62" i="43"/>
  <c r="W76" i="43"/>
  <c r="W62" i="43"/>
  <c r="BG76" i="43"/>
  <c r="BG62" i="43"/>
  <c r="BS76" i="43"/>
  <c r="BS62" i="43"/>
  <c r="G71" i="43"/>
  <c r="G57" i="43"/>
  <c r="S71" i="43"/>
  <c r="S57" i="43"/>
  <c r="BO71" i="43"/>
  <c r="BO57" i="43"/>
  <c r="CA71" i="43"/>
  <c r="CA57" i="43"/>
  <c r="N55" i="43"/>
  <c r="D72" i="43"/>
  <c r="D58" i="43"/>
  <c r="P72" i="43"/>
  <c r="P58" i="43"/>
  <c r="AB72" i="43"/>
  <c r="AB58" i="43"/>
  <c r="BL72" i="43"/>
  <c r="BL58" i="43"/>
  <c r="BX72" i="43"/>
  <c r="BX58" i="43"/>
  <c r="H66" i="43"/>
  <c r="H52" i="43"/>
  <c r="T66" i="43"/>
  <c r="T52" i="43"/>
  <c r="BD66" i="43"/>
  <c r="BD52" i="43"/>
  <c r="BP66" i="43"/>
  <c r="BP52" i="43"/>
  <c r="CB66" i="43"/>
  <c r="CB52" i="43"/>
  <c r="L75" i="43"/>
  <c r="L61" i="43"/>
  <c r="X75" i="43"/>
  <c r="X61" i="43"/>
  <c r="BH75" i="43"/>
  <c r="BH61" i="43"/>
  <c r="BT75" i="43"/>
  <c r="BT61" i="43"/>
  <c r="H70" i="43"/>
  <c r="H56" i="43"/>
  <c r="T70" i="43"/>
  <c r="T56" i="43"/>
  <c r="BD70" i="43"/>
  <c r="BD56" i="43"/>
  <c r="BP70" i="43"/>
  <c r="BP56" i="43"/>
  <c r="CB70" i="43"/>
  <c r="CB56" i="43"/>
  <c r="L65" i="43"/>
  <c r="L51" i="43"/>
  <c r="X65" i="43"/>
  <c r="X51" i="43"/>
  <c r="BH65" i="43"/>
  <c r="BH51" i="43"/>
  <c r="BT65" i="43"/>
  <c r="BT51" i="43"/>
  <c r="L69" i="43"/>
  <c r="L55" i="43"/>
  <c r="X69" i="43"/>
  <c r="X55" i="43"/>
  <c r="BH69" i="43"/>
  <c r="BH55" i="43"/>
  <c r="BT69" i="43"/>
  <c r="BT55" i="43"/>
  <c r="D64" i="43"/>
  <c r="D50" i="43"/>
  <c r="P64" i="43"/>
  <c r="P50" i="43"/>
  <c r="AB64" i="43"/>
  <c r="AB50" i="43"/>
  <c r="BX64" i="43"/>
  <c r="BX50" i="43"/>
  <c r="L76" i="43"/>
  <c r="L62" i="43"/>
  <c r="X76" i="43"/>
  <c r="X62" i="43"/>
  <c r="BH76" i="43"/>
  <c r="BH62" i="43"/>
  <c r="BT76" i="43"/>
  <c r="BT62" i="43"/>
  <c r="H71" i="43"/>
  <c r="H57" i="43"/>
  <c r="T71" i="43"/>
  <c r="T57" i="43"/>
  <c r="BD71" i="43"/>
  <c r="BD57" i="43"/>
  <c r="BP71" i="43"/>
  <c r="BP57" i="43"/>
  <c r="CB71" i="43"/>
  <c r="CB57" i="43"/>
  <c r="Z55" i="43"/>
  <c r="Q45" i="43"/>
  <c r="AO45" i="43"/>
  <c r="BY45" i="43"/>
  <c r="CK45" i="43"/>
  <c r="M74" i="43"/>
  <c r="M60" i="43"/>
  <c r="Y74" i="43"/>
  <c r="Y60" i="43"/>
  <c r="BI74" i="43"/>
  <c r="BI60" i="43"/>
  <c r="BU74" i="43"/>
  <c r="BU60" i="43"/>
  <c r="E72" i="43"/>
  <c r="E58" i="43"/>
  <c r="Q72" i="43"/>
  <c r="Q58" i="43"/>
  <c r="Q50" i="43"/>
  <c r="Q48" i="43"/>
  <c r="BM72" i="43"/>
  <c r="BM58" i="43"/>
  <c r="BY72" i="43"/>
  <c r="BY58" i="43"/>
  <c r="I52" i="43"/>
  <c r="I66" i="43"/>
  <c r="U66" i="43"/>
  <c r="U52" i="43"/>
  <c r="U56" i="43"/>
  <c r="U57" i="43"/>
  <c r="U48" i="43"/>
  <c r="BE52" i="43"/>
  <c r="BE66" i="43"/>
  <c r="BQ66" i="43"/>
  <c r="BQ52" i="43"/>
  <c r="M75" i="43"/>
  <c r="M61" i="43"/>
  <c r="Y75" i="43"/>
  <c r="Y61" i="43"/>
  <c r="BI75" i="43"/>
  <c r="BI61" i="43"/>
  <c r="BU75" i="43"/>
  <c r="BU61" i="43"/>
  <c r="I70" i="43"/>
  <c r="I56" i="43"/>
  <c r="U70" i="43"/>
  <c r="BE70" i="43"/>
  <c r="BE56" i="43"/>
  <c r="BQ70" i="43"/>
  <c r="BQ56" i="43"/>
  <c r="M65" i="43"/>
  <c r="M51" i="43"/>
  <c r="Y65" i="43"/>
  <c r="Y51" i="43"/>
  <c r="BI65" i="43"/>
  <c r="BI51" i="43"/>
  <c r="BU65" i="43"/>
  <c r="BU51" i="43"/>
  <c r="M69" i="43"/>
  <c r="M55" i="43"/>
  <c r="Y69" i="43"/>
  <c r="Y55" i="43"/>
  <c r="BI69" i="43"/>
  <c r="BI55" i="43"/>
  <c r="BU69" i="43"/>
  <c r="BU55" i="43"/>
  <c r="E64" i="43"/>
  <c r="E63" i="43"/>
  <c r="E50" i="43"/>
  <c r="Q64" i="43"/>
  <c r="AR63" i="43"/>
  <c r="CI63" i="43"/>
  <c r="CJ63" i="43"/>
  <c r="CS63" i="43"/>
  <c r="AS63" i="43"/>
  <c r="CP63" i="43"/>
  <c r="AK63" i="43"/>
  <c r="CK63" i="43"/>
  <c r="CG63" i="43"/>
  <c r="CY63" i="43"/>
  <c r="BM64" i="43"/>
  <c r="BM50" i="43"/>
  <c r="BM48" i="43"/>
  <c r="BY64" i="43"/>
  <c r="BY50" i="43"/>
  <c r="BY48" i="43"/>
  <c r="M76" i="43"/>
  <c r="M62" i="43"/>
  <c r="Y76" i="43"/>
  <c r="Y62" i="43"/>
  <c r="BI76" i="43"/>
  <c r="BI62" i="43"/>
  <c r="BU76" i="43"/>
  <c r="BU62" i="43"/>
  <c r="I71" i="43"/>
  <c r="I57" i="43"/>
  <c r="I48" i="43"/>
  <c r="U71" i="43"/>
  <c r="BE71" i="43"/>
  <c r="BE57" i="43"/>
  <c r="BQ71" i="43"/>
  <c r="BQ57" i="43"/>
  <c r="BJ75" i="43"/>
  <c r="BJ61" i="43"/>
  <c r="BV75" i="43"/>
  <c r="BV61" i="43"/>
  <c r="J70" i="43"/>
  <c r="J56" i="43"/>
  <c r="V70" i="43"/>
  <c r="V56" i="43"/>
  <c r="BF70" i="43"/>
  <c r="BF56" i="43"/>
  <c r="BR70" i="43"/>
  <c r="BR56" i="43"/>
  <c r="N65" i="43"/>
  <c r="N51" i="43"/>
  <c r="Z65" i="43"/>
  <c r="Z51" i="43"/>
  <c r="BJ65" i="43"/>
  <c r="BJ51" i="43"/>
  <c r="BV65" i="43"/>
  <c r="BV51" i="43"/>
  <c r="BJ69" i="43"/>
  <c r="BJ55" i="43"/>
  <c r="BV69" i="43"/>
  <c r="BV55" i="43"/>
  <c r="F64" i="43"/>
  <c r="F50" i="43"/>
  <c r="F48" i="43"/>
  <c r="R64" i="43"/>
  <c r="R63" i="43"/>
  <c r="R50" i="43"/>
  <c r="BN64" i="43"/>
  <c r="BN50" i="43"/>
  <c r="BN48" i="43"/>
  <c r="BZ64" i="43"/>
  <c r="BZ63" i="43"/>
  <c r="BZ50" i="43"/>
  <c r="N76" i="43"/>
  <c r="N62" i="43"/>
  <c r="Z76" i="43"/>
  <c r="Z62" i="43"/>
  <c r="BJ76" i="43"/>
  <c r="BJ62" i="43"/>
  <c r="BV76" i="43"/>
  <c r="BV62" i="43"/>
  <c r="J71" i="43"/>
  <c r="J57" i="43"/>
  <c r="V71" i="43"/>
  <c r="V57" i="43"/>
  <c r="BF71" i="43"/>
  <c r="BF57" i="43"/>
  <c r="BR71" i="43"/>
  <c r="BR57" i="43"/>
  <c r="BL50" i="43"/>
  <c r="S45" i="43"/>
  <c r="AE45" i="43"/>
  <c r="BO45" i="43"/>
  <c r="CA45" i="43"/>
  <c r="CM45" i="43"/>
  <c r="CY45" i="43"/>
  <c r="O74" i="43"/>
  <c r="O60" i="43"/>
  <c r="AA74" i="43"/>
  <c r="AA60" i="43"/>
  <c r="BK74" i="43"/>
  <c r="BK60" i="43"/>
  <c r="BW74" i="43"/>
  <c r="BW60" i="43"/>
  <c r="G72" i="43"/>
  <c r="G58" i="43"/>
  <c r="S72" i="43"/>
  <c r="S58" i="43"/>
  <c r="BO72" i="43"/>
  <c r="BO58" i="43"/>
  <c r="CA72" i="43"/>
  <c r="CA58" i="43"/>
  <c r="K66" i="43"/>
  <c r="K52" i="43"/>
  <c r="W66" i="43"/>
  <c r="W52" i="43"/>
  <c r="BG66" i="43"/>
  <c r="BG52" i="43"/>
  <c r="BS66" i="43"/>
  <c r="BS52" i="43"/>
  <c r="O75" i="43"/>
  <c r="O61" i="43"/>
  <c r="AA75" i="43"/>
  <c r="AA61" i="43"/>
  <c r="BK75" i="43"/>
  <c r="BK61" i="43"/>
  <c r="BW75" i="43"/>
  <c r="BW61" i="43"/>
  <c r="K70" i="43"/>
  <c r="K56" i="43"/>
  <c r="W70" i="43"/>
  <c r="W56" i="43"/>
  <c r="BG70" i="43"/>
  <c r="BG56" i="43"/>
  <c r="BS70" i="43"/>
  <c r="BS56" i="43"/>
  <c r="O65" i="43"/>
  <c r="O51" i="43"/>
  <c r="AA51" i="43"/>
  <c r="AA65" i="43"/>
  <c r="BK65" i="43"/>
  <c r="BK51" i="43"/>
  <c r="BW65" i="43"/>
  <c r="BW51" i="43"/>
  <c r="O69" i="43"/>
  <c r="O55" i="43"/>
  <c r="AA69" i="43"/>
  <c r="AA55" i="43"/>
  <c r="BK69" i="43"/>
  <c r="BK55" i="43"/>
  <c r="BW69" i="43"/>
  <c r="BW55" i="43"/>
  <c r="G64" i="43"/>
  <c r="G50" i="43"/>
  <c r="S64" i="43"/>
  <c r="S63" i="43"/>
  <c r="S50" i="43"/>
  <c r="S48" i="43"/>
  <c r="AE63" i="43"/>
  <c r="BO64" i="43"/>
  <c r="BO50" i="43"/>
  <c r="CA64" i="43"/>
  <c r="CA63" i="43"/>
  <c r="CA50" i="43"/>
  <c r="CA48" i="43"/>
  <c r="O76" i="43"/>
  <c r="O62" i="43"/>
  <c r="AA76" i="43"/>
  <c r="AA62" i="43"/>
  <c r="BK76" i="43"/>
  <c r="BK62" i="43"/>
  <c r="BW76" i="43"/>
  <c r="BW62" i="43"/>
  <c r="K71" i="43"/>
  <c r="K57" i="43"/>
  <c r="W71" i="43"/>
  <c r="W57" i="43"/>
  <c r="BG71" i="43"/>
  <c r="BG57" i="43"/>
  <c r="BS71" i="43"/>
  <c r="BS57" i="43"/>
  <c r="L70" i="43"/>
  <c r="L56" i="43"/>
  <c r="X70" i="43"/>
  <c r="X56" i="43"/>
  <c r="BH70" i="43"/>
  <c r="BH56" i="43"/>
  <c r="BT70" i="43"/>
  <c r="BT56" i="43"/>
  <c r="D65" i="43"/>
  <c r="D51" i="43"/>
  <c r="P65" i="43"/>
  <c r="P51" i="43"/>
  <c r="AB65" i="43"/>
  <c r="AB51" i="43"/>
  <c r="BL65" i="43"/>
  <c r="BL69" i="43"/>
  <c r="BL76" i="43"/>
  <c r="BL63" i="43"/>
  <c r="BL51" i="43"/>
  <c r="BX65" i="43"/>
  <c r="BX51" i="43"/>
  <c r="D69" i="43"/>
  <c r="D55" i="43"/>
  <c r="P69" i="43"/>
  <c r="P55" i="43"/>
  <c r="AB69" i="43"/>
  <c r="AB55" i="43"/>
  <c r="BL55" i="43"/>
  <c r="BX69" i="43"/>
  <c r="BX55" i="43"/>
  <c r="H64" i="43"/>
  <c r="H50" i="43"/>
  <c r="H48" i="43"/>
  <c r="T64" i="43"/>
  <c r="T63" i="43"/>
  <c r="T50" i="43"/>
  <c r="BD64" i="43"/>
  <c r="BD50" i="43"/>
  <c r="BP64" i="43"/>
  <c r="BP50" i="43"/>
  <c r="BP48" i="43"/>
  <c r="CB64" i="43"/>
  <c r="CB50" i="43"/>
  <c r="D76" i="43"/>
  <c r="D62" i="43"/>
  <c r="P76" i="43"/>
  <c r="P62" i="43"/>
  <c r="AB76" i="43"/>
  <c r="AB62" i="43"/>
  <c r="BL62" i="43"/>
  <c r="BX76" i="43"/>
  <c r="BX62" i="43"/>
  <c r="L57" i="43"/>
  <c r="L71" i="43"/>
  <c r="X71" i="43"/>
  <c r="X57" i="43"/>
  <c r="BH71" i="43"/>
  <c r="BH57" i="43"/>
  <c r="BT57" i="43"/>
  <c r="BT71" i="43"/>
  <c r="BD51" i="43"/>
  <c r="AW31" i="42"/>
  <c r="CE44" i="42"/>
  <c r="CI56" i="42"/>
  <c r="CI57" i="42"/>
  <c r="CM50" i="42"/>
  <c r="CY50" i="42"/>
  <c r="CI52" i="42"/>
  <c r="CE54" i="42"/>
  <c r="CQ54" i="42"/>
  <c r="CE60" i="42"/>
  <c r="CQ60" i="42"/>
  <c r="CI53" i="42"/>
  <c r="CE55" i="42"/>
  <c r="CQ55" i="42"/>
  <c r="CE61" i="42"/>
  <c r="CQ61" i="42"/>
  <c r="J31" i="42"/>
  <c r="V31" i="42"/>
  <c r="K31" i="42"/>
  <c r="W31" i="42"/>
  <c r="P45" i="42"/>
  <c r="AB45" i="42"/>
  <c r="M31" i="42"/>
  <c r="Y31" i="42"/>
  <c r="BM31" i="42"/>
  <c r="BF45" i="42"/>
  <c r="BR45" i="42"/>
  <c r="BN31" i="42"/>
  <c r="BF31" i="42"/>
  <c r="BR31" i="42"/>
  <c r="AR31" i="42"/>
  <c r="CE31" i="42"/>
  <c r="CQ31" i="42"/>
  <c r="AH31" i="42"/>
  <c r="D31" i="42"/>
  <c r="AT31" i="42"/>
  <c r="F67" i="42"/>
  <c r="F53" i="42"/>
  <c r="R67" i="42"/>
  <c r="R53" i="42"/>
  <c r="BN67" i="42"/>
  <c r="BN53" i="42"/>
  <c r="BZ67" i="42"/>
  <c r="BZ53" i="42"/>
  <c r="D46" i="42"/>
  <c r="BE74" i="42"/>
  <c r="BE60" i="42"/>
  <c r="BQ74" i="42"/>
  <c r="BQ60" i="42"/>
  <c r="I76" i="42"/>
  <c r="I62" i="42"/>
  <c r="U76" i="42"/>
  <c r="U62" i="42"/>
  <c r="CI31" i="42"/>
  <c r="BG31" i="42"/>
  <c r="BS31" i="42"/>
  <c r="G67" i="42"/>
  <c r="G53" i="42"/>
  <c r="S67" i="42"/>
  <c r="S53" i="42"/>
  <c r="BO67" i="42"/>
  <c r="BO53" i="42"/>
  <c r="CA67" i="42"/>
  <c r="CA53" i="42"/>
  <c r="O73" i="42"/>
  <c r="O59" i="42"/>
  <c r="AA73" i="42"/>
  <c r="AA59" i="42"/>
  <c r="BK73" i="42"/>
  <c r="BK59" i="42"/>
  <c r="BW73" i="42"/>
  <c r="BW59" i="42"/>
  <c r="L68" i="42"/>
  <c r="L54" i="42"/>
  <c r="X68" i="42"/>
  <c r="X54" i="42"/>
  <c r="BH68" i="42"/>
  <c r="BH54" i="42"/>
  <c r="BT68" i="42"/>
  <c r="BT54" i="42"/>
  <c r="M72" i="42"/>
  <c r="M58" i="42"/>
  <c r="Y72" i="42"/>
  <c r="Y58" i="42"/>
  <c r="E49" i="42"/>
  <c r="L31" i="42"/>
  <c r="X31" i="42"/>
  <c r="AJ31" i="42"/>
  <c r="AV31" i="42"/>
  <c r="BH31" i="42"/>
  <c r="BT31" i="42"/>
  <c r="CF31" i="42"/>
  <c r="CR31" i="42"/>
  <c r="H67" i="42"/>
  <c r="H53" i="42"/>
  <c r="T67" i="42"/>
  <c r="T53" i="42"/>
  <c r="BD67" i="42"/>
  <c r="BD53" i="42"/>
  <c r="BP67" i="42"/>
  <c r="BP53" i="42"/>
  <c r="CB67" i="42"/>
  <c r="CB53" i="42"/>
  <c r="D73" i="42"/>
  <c r="D59" i="42"/>
  <c r="P73" i="42"/>
  <c r="P59" i="42"/>
  <c r="AB73" i="42"/>
  <c r="AB59" i="42"/>
  <c r="BL73" i="42"/>
  <c r="BL59" i="42"/>
  <c r="BX73" i="42"/>
  <c r="BX59" i="42"/>
  <c r="M54" i="42"/>
  <c r="M68" i="42"/>
  <c r="Y68" i="42"/>
  <c r="Y54" i="42"/>
  <c r="I74" i="42"/>
  <c r="I60" i="42"/>
  <c r="U74" i="42"/>
  <c r="U60" i="42"/>
  <c r="BE44" i="42"/>
  <c r="BE31" i="42"/>
  <c r="AK31" i="42"/>
  <c r="BI31" i="42"/>
  <c r="BU31" i="42"/>
  <c r="CG31" i="42"/>
  <c r="CS31" i="42"/>
  <c r="I67" i="42"/>
  <c r="I53" i="42"/>
  <c r="U67" i="42"/>
  <c r="U53" i="42"/>
  <c r="BE67" i="42"/>
  <c r="BE53" i="42"/>
  <c r="BQ67" i="42"/>
  <c r="BQ53" i="42"/>
  <c r="E73" i="42"/>
  <c r="E59" i="42"/>
  <c r="Q73" i="42"/>
  <c r="Q59" i="42"/>
  <c r="BM73" i="42"/>
  <c r="BM59" i="42"/>
  <c r="BY73" i="42"/>
  <c r="BY59" i="42"/>
  <c r="AF45" i="42"/>
  <c r="AR45" i="42"/>
  <c r="BE45" i="42"/>
  <c r="E36" i="42"/>
  <c r="N31" i="42"/>
  <c r="Z31" i="42"/>
  <c r="AL31" i="42"/>
  <c r="AX31" i="42"/>
  <c r="BJ31" i="42"/>
  <c r="BV31" i="42"/>
  <c r="CT31" i="42"/>
  <c r="J67" i="42"/>
  <c r="J53" i="42"/>
  <c r="V67" i="42"/>
  <c r="V53" i="42"/>
  <c r="BF67" i="42"/>
  <c r="BF53" i="42"/>
  <c r="BR67" i="42"/>
  <c r="BR53" i="42"/>
  <c r="F73" i="42"/>
  <c r="F59" i="42"/>
  <c r="R73" i="42"/>
  <c r="R59" i="42"/>
  <c r="BN73" i="42"/>
  <c r="BN59" i="42"/>
  <c r="BZ73" i="42"/>
  <c r="BZ59" i="42"/>
  <c r="H45" i="42"/>
  <c r="T45" i="42"/>
  <c r="AG45" i="42"/>
  <c r="AS45" i="42"/>
  <c r="CE45" i="42"/>
  <c r="BE75" i="42"/>
  <c r="BE61" i="42"/>
  <c r="BQ75" i="42"/>
  <c r="BQ61" i="42"/>
  <c r="BM57" i="42"/>
  <c r="BM71" i="42"/>
  <c r="BY71" i="42"/>
  <c r="BY57" i="42"/>
  <c r="O31" i="42"/>
  <c r="AA31" i="42"/>
  <c r="AM31" i="42"/>
  <c r="AY31" i="42"/>
  <c r="BK31" i="42"/>
  <c r="BW31" i="42"/>
  <c r="K67" i="42"/>
  <c r="K53" i="42"/>
  <c r="W67" i="42"/>
  <c r="W53" i="42"/>
  <c r="BG67" i="42"/>
  <c r="BG53" i="42"/>
  <c r="BS67" i="42"/>
  <c r="BS53" i="42"/>
  <c r="G73" i="42"/>
  <c r="G59" i="42"/>
  <c r="S73" i="42"/>
  <c r="S59" i="42"/>
  <c r="BO73" i="42"/>
  <c r="BO59" i="42"/>
  <c r="D68" i="42"/>
  <c r="D54" i="42"/>
  <c r="P68" i="42"/>
  <c r="P54" i="42"/>
  <c r="BL68" i="42"/>
  <c r="BL54" i="42"/>
  <c r="BX68" i="42"/>
  <c r="BX54" i="42"/>
  <c r="I45" i="42"/>
  <c r="U45" i="42"/>
  <c r="AH45" i="42"/>
  <c r="E39" i="42"/>
  <c r="BI64" i="42"/>
  <c r="BI50" i="42"/>
  <c r="BU64" i="42"/>
  <c r="BU50" i="42"/>
  <c r="E57" i="42"/>
  <c r="E71" i="42"/>
  <c r="Q71" i="42"/>
  <c r="Q57" i="42"/>
  <c r="P31" i="42"/>
  <c r="AB31" i="42"/>
  <c r="AN31" i="42"/>
  <c r="AZ31" i="42"/>
  <c r="BL31" i="42"/>
  <c r="BX31" i="42"/>
  <c r="CJ31" i="42"/>
  <c r="CV31" i="42"/>
  <c r="L67" i="42"/>
  <c r="L53" i="42"/>
  <c r="X67" i="42"/>
  <c r="X53" i="42"/>
  <c r="BH67" i="42"/>
  <c r="BH53" i="42"/>
  <c r="BT67" i="42"/>
  <c r="BT53" i="42"/>
  <c r="H73" i="42"/>
  <c r="H59" i="42"/>
  <c r="T73" i="42"/>
  <c r="T59" i="42"/>
  <c r="BD73" i="42"/>
  <c r="BD59" i="42"/>
  <c r="BP73" i="42"/>
  <c r="BP59" i="42"/>
  <c r="CB73" i="42"/>
  <c r="CB59" i="42"/>
  <c r="E68" i="42"/>
  <c r="E54" i="42"/>
  <c r="Q68" i="42"/>
  <c r="Q54" i="42"/>
  <c r="BM68" i="42"/>
  <c r="BM54" i="42"/>
  <c r="BY68" i="42"/>
  <c r="BY54" i="42"/>
  <c r="J45" i="42"/>
  <c r="V45" i="42"/>
  <c r="AI45" i="42"/>
  <c r="CG45" i="42"/>
  <c r="CS45" i="42"/>
  <c r="I75" i="42"/>
  <c r="I61" i="42"/>
  <c r="U61" i="42"/>
  <c r="U75" i="42"/>
  <c r="BE65" i="42"/>
  <c r="BE51" i="42"/>
  <c r="BQ65" i="42"/>
  <c r="BQ51" i="42"/>
  <c r="Q31" i="42"/>
  <c r="AO31" i="42"/>
  <c r="BY31" i="42"/>
  <c r="CK31" i="42"/>
  <c r="CW31" i="42"/>
  <c r="M67" i="42"/>
  <c r="M53" i="42"/>
  <c r="Y67" i="42"/>
  <c r="Y53" i="42"/>
  <c r="BI67" i="42"/>
  <c r="BI53" i="42"/>
  <c r="BU67" i="42"/>
  <c r="BU53" i="42"/>
  <c r="I73" i="42"/>
  <c r="I59" i="42"/>
  <c r="U73" i="42"/>
  <c r="U59" i="42"/>
  <c r="BE73" i="42"/>
  <c r="BE59" i="42"/>
  <c r="BQ73" i="42"/>
  <c r="BQ59" i="42"/>
  <c r="F68" i="42"/>
  <c r="F54" i="42"/>
  <c r="R68" i="42"/>
  <c r="R54" i="42"/>
  <c r="BN68" i="42"/>
  <c r="BN54" i="42"/>
  <c r="BZ54" i="42"/>
  <c r="BZ68" i="42"/>
  <c r="K45" i="42"/>
  <c r="W45" i="42"/>
  <c r="BI45" i="42"/>
  <c r="BU45" i="42"/>
  <c r="BD39" i="42"/>
  <c r="E34" i="42"/>
  <c r="E31" i="42"/>
  <c r="M64" i="42"/>
  <c r="M50" i="42"/>
  <c r="Y64" i="42"/>
  <c r="Y50" i="42"/>
  <c r="F31" i="42"/>
  <c r="R31" i="42"/>
  <c r="AP31" i="42"/>
  <c r="BZ31" i="42"/>
  <c r="CL31" i="42"/>
  <c r="CX31" i="42"/>
  <c r="N67" i="42"/>
  <c r="N53" i="42"/>
  <c r="Z67" i="42"/>
  <c r="Z53" i="42"/>
  <c r="BJ67" i="42"/>
  <c r="BJ53" i="42"/>
  <c r="BV67" i="42"/>
  <c r="BV53" i="42"/>
  <c r="J73" i="42"/>
  <c r="J59" i="42"/>
  <c r="V73" i="42"/>
  <c r="V59" i="42"/>
  <c r="BF73" i="42"/>
  <c r="BF59" i="42"/>
  <c r="BR73" i="42"/>
  <c r="BR59" i="42"/>
  <c r="G68" i="42"/>
  <c r="G54" i="42"/>
  <c r="S68" i="42"/>
  <c r="S54" i="42"/>
  <c r="BO68" i="42"/>
  <c r="BO54" i="42"/>
  <c r="CA68" i="42"/>
  <c r="CA54" i="42"/>
  <c r="AK45" i="42"/>
  <c r="AW45" i="42"/>
  <c r="BJ45" i="42"/>
  <c r="BM66" i="42"/>
  <c r="BM52" i="42"/>
  <c r="BY66" i="42"/>
  <c r="BY52" i="42"/>
  <c r="U65" i="42"/>
  <c r="U51" i="42"/>
  <c r="BE69" i="42"/>
  <c r="BE55" i="42"/>
  <c r="BQ69" i="42"/>
  <c r="BQ55" i="42"/>
  <c r="G31" i="42"/>
  <c r="S31" i="42"/>
  <c r="AE31" i="42"/>
  <c r="AQ31" i="42"/>
  <c r="BO31" i="42"/>
  <c r="CA31" i="42"/>
  <c r="CM31" i="42"/>
  <c r="CY31" i="42"/>
  <c r="O53" i="42"/>
  <c r="O67" i="42"/>
  <c r="AA67" i="42"/>
  <c r="AA53" i="42"/>
  <c r="BK67" i="42"/>
  <c r="BK53" i="42"/>
  <c r="BW67" i="42"/>
  <c r="BW53" i="42"/>
  <c r="K73" i="42"/>
  <c r="K59" i="42"/>
  <c r="W73" i="42"/>
  <c r="W59" i="42"/>
  <c r="BG73" i="42"/>
  <c r="BG59" i="42"/>
  <c r="BS73" i="42"/>
  <c r="BS59" i="42"/>
  <c r="M45" i="42"/>
  <c r="Y45" i="42"/>
  <c r="CJ45" i="42"/>
  <c r="CV45" i="42"/>
  <c r="E66" i="42"/>
  <c r="E52" i="42"/>
  <c r="Q66" i="42"/>
  <c r="Q52" i="42"/>
  <c r="I51" i="42"/>
  <c r="H31" i="42"/>
  <c r="T31" i="42"/>
  <c r="AF31" i="42"/>
  <c r="BP31" i="42"/>
  <c r="CB31" i="42"/>
  <c r="CN31" i="42"/>
  <c r="CZ31" i="42"/>
  <c r="D67" i="42"/>
  <c r="D53" i="42"/>
  <c r="P67" i="42"/>
  <c r="P53" i="42"/>
  <c r="AB67" i="42"/>
  <c r="AB53" i="42"/>
  <c r="BL67" i="42"/>
  <c r="BL53" i="42"/>
  <c r="BX67" i="42"/>
  <c r="BX53" i="42"/>
  <c r="I68" i="42"/>
  <c r="I54" i="42"/>
  <c r="U68" i="42"/>
  <c r="U54" i="42"/>
  <c r="BE68" i="42"/>
  <c r="BE54" i="42"/>
  <c r="BQ68" i="42"/>
  <c r="BQ54" i="42"/>
  <c r="BL45" i="42"/>
  <c r="BX45" i="42"/>
  <c r="CK45" i="42"/>
  <c r="BM70" i="42"/>
  <c r="BM56" i="42"/>
  <c r="BY70" i="42"/>
  <c r="BY56" i="42"/>
  <c r="I69" i="42"/>
  <c r="I55" i="42"/>
  <c r="U69" i="42"/>
  <c r="U55" i="42"/>
  <c r="BE76" i="42"/>
  <c r="BE62" i="42"/>
  <c r="BQ76" i="42"/>
  <c r="BQ62" i="42"/>
  <c r="AB54" i="42"/>
  <c r="I31" i="42"/>
  <c r="U31" i="42"/>
  <c r="AG31" i="42"/>
  <c r="AS31" i="42"/>
  <c r="BQ31" i="42"/>
  <c r="CO31" i="42"/>
  <c r="E53" i="42"/>
  <c r="E67" i="42"/>
  <c r="Q67" i="42"/>
  <c r="Q53" i="42"/>
  <c r="BM67" i="42"/>
  <c r="BM53" i="42"/>
  <c r="BY67" i="42"/>
  <c r="BY53" i="42"/>
  <c r="M73" i="42"/>
  <c r="M59" i="42"/>
  <c r="Y59" i="42"/>
  <c r="Y73" i="42"/>
  <c r="BI73" i="42"/>
  <c r="BI59" i="42"/>
  <c r="BU73" i="42"/>
  <c r="BU59" i="42"/>
  <c r="AN45" i="42"/>
  <c r="AZ45" i="42"/>
  <c r="BI72" i="42"/>
  <c r="BI58" i="42"/>
  <c r="BU72" i="42"/>
  <c r="BU58" i="42"/>
  <c r="E70" i="42"/>
  <c r="E56" i="42"/>
  <c r="Q70" i="42"/>
  <c r="Q56" i="42"/>
  <c r="N73" i="42"/>
  <c r="N59" i="42"/>
  <c r="Z73" i="42"/>
  <c r="Z59" i="42"/>
  <c r="BJ73" i="42"/>
  <c r="BJ59" i="42"/>
  <c r="BV73" i="42"/>
  <c r="BV59" i="42"/>
  <c r="J68" i="42"/>
  <c r="J54" i="42"/>
  <c r="V68" i="42"/>
  <c r="V54" i="42"/>
  <c r="BF68" i="42"/>
  <c r="BF54" i="42"/>
  <c r="BR68" i="42"/>
  <c r="BR54" i="42"/>
  <c r="N45" i="42"/>
  <c r="Z45" i="42"/>
  <c r="AL45" i="42"/>
  <c r="AX45" i="42"/>
  <c r="BV45" i="42"/>
  <c r="CH45" i="42"/>
  <c r="CT45" i="42"/>
  <c r="J74" i="42"/>
  <c r="J60" i="42"/>
  <c r="V60" i="42"/>
  <c r="V74" i="42"/>
  <c r="BF74" i="42"/>
  <c r="BF60" i="42"/>
  <c r="BR74" i="42"/>
  <c r="BR60" i="42"/>
  <c r="N72" i="42"/>
  <c r="N58" i="42"/>
  <c r="Z72" i="42"/>
  <c r="Z58" i="42"/>
  <c r="BJ72" i="42"/>
  <c r="BJ58" i="42"/>
  <c r="BV72" i="42"/>
  <c r="BV58" i="42"/>
  <c r="F66" i="42"/>
  <c r="F52" i="42"/>
  <c r="R66" i="42"/>
  <c r="R52" i="42"/>
  <c r="BN66" i="42"/>
  <c r="BN52" i="42"/>
  <c r="BZ66" i="42"/>
  <c r="BZ52" i="42"/>
  <c r="J75" i="42"/>
  <c r="J61" i="42"/>
  <c r="V75" i="42"/>
  <c r="V61" i="42"/>
  <c r="BF75" i="42"/>
  <c r="BF61" i="42"/>
  <c r="BR75" i="42"/>
  <c r="BR61" i="42"/>
  <c r="F70" i="42"/>
  <c r="F56" i="42"/>
  <c r="R70" i="42"/>
  <c r="R56" i="42"/>
  <c r="BN56" i="42"/>
  <c r="BN70" i="42"/>
  <c r="BZ70" i="42"/>
  <c r="BZ56" i="42"/>
  <c r="J65" i="42"/>
  <c r="J51" i="42"/>
  <c r="V65" i="42"/>
  <c r="V51" i="42"/>
  <c r="BF65" i="42"/>
  <c r="BF51" i="42"/>
  <c r="BR65" i="42"/>
  <c r="BR51" i="42"/>
  <c r="J69" i="42"/>
  <c r="J55" i="42"/>
  <c r="V69" i="42"/>
  <c r="V55" i="42"/>
  <c r="BF69" i="42"/>
  <c r="BF55" i="42"/>
  <c r="BR69" i="42"/>
  <c r="BR55" i="42"/>
  <c r="N64" i="42"/>
  <c r="N50" i="42"/>
  <c r="Z64" i="42"/>
  <c r="Z50" i="42"/>
  <c r="BJ64" i="42"/>
  <c r="BJ50" i="42"/>
  <c r="BV64" i="42"/>
  <c r="BV50" i="42"/>
  <c r="J76" i="42"/>
  <c r="J62" i="42"/>
  <c r="V76" i="42"/>
  <c r="V62" i="42"/>
  <c r="BF76" i="42"/>
  <c r="BF62" i="42"/>
  <c r="BR76" i="42"/>
  <c r="BR62" i="42"/>
  <c r="F71" i="42"/>
  <c r="F57" i="42"/>
  <c r="R71" i="42"/>
  <c r="R57" i="42"/>
  <c r="BN71" i="42"/>
  <c r="BN57" i="42"/>
  <c r="BZ71" i="42"/>
  <c r="BZ57" i="42"/>
  <c r="K68" i="42"/>
  <c r="K54" i="42"/>
  <c r="W68" i="42"/>
  <c r="W54" i="42"/>
  <c r="BG68" i="42"/>
  <c r="BG54" i="42"/>
  <c r="BS68" i="42"/>
  <c r="BS54" i="42"/>
  <c r="O45" i="42"/>
  <c r="AA45" i="42"/>
  <c r="AM45" i="42"/>
  <c r="AY45" i="42"/>
  <c r="BK45" i="42"/>
  <c r="BW45" i="42"/>
  <c r="CI45" i="42"/>
  <c r="K74" i="42"/>
  <c r="K60" i="42"/>
  <c r="W60" i="42"/>
  <c r="W74" i="42"/>
  <c r="BG74" i="42"/>
  <c r="BG60" i="42"/>
  <c r="BS74" i="42"/>
  <c r="BS60" i="42"/>
  <c r="O72" i="42"/>
  <c r="O58" i="42"/>
  <c r="AA72" i="42"/>
  <c r="AA58" i="42"/>
  <c r="BK72" i="42"/>
  <c r="BK58" i="42"/>
  <c r="BW72" i="42"/>
  <c r="BW58" i="42"/>
  <c r="G66" i="42"/>
  <c r="G52" i="42"/>
  <c r="S66" i="42"/>
  <c r="S52" i="42"/>
  <c r="BO66" i="42"/>
  <c r="BO52" i="42"/>
  <c r="CA66" i="42"/>
  <c r="CA52" i="42"/>
  <c r="K75" i="42"/>
  <c r="K61" i="42"/>
  <c r="W75" i="42"/>
  <c r="W61" i="42"/>
  <c r="BG75" i="42"/>
  <c r="BG61" i="42"/>
  <c r="BS75" i="42"/>
  <c r="BS61" i="42"/>
  <c r="G70" i="42"/>
  <c r="G56" i="42"/>
  <c r="S70" i="42"/>
  <c r="S56" i="42"/>
  <c r="BO70" i="42"/>
  <c r="BO56" i="42"/>
  <c r="CA70" i="42"/>
  <c r="CA56" i="42"/>
  <c r="K65" i="42"/>
  <c r="K51" i="42"/>
  <c r="W65" i="42"/>
  <c r="W51" i="42"/>
  <c r="BG65" i="42"/>
  <c r="BG51" i="42"/>
  <c r="BS65" i="42"/>
  <c r="BS51" i="42"/>
  <c r="K69" i="42"/>
  <c r="K55" i="42"/>
  <c r="W69" i="42"/>
  <c r="W55" i="42"/>
  <c r="BG69" i="42"/>
  <c r="BG55" i="42"/>
  <c r="BS69" i="42"/>
  <c r="BS55" i="42"/>
  <c r="O64" i="42"/>
  <c r="O50" i="42"/>
  <c r="AA50" i="42"/>
  <c r="AA64" i="42"/>
  <c r="BK50" i="42"/>
  <c r="BK64" i="42"/>
  <c r="BW50" i="42"/>
  <c r="BW64" i="42"/>
  <c r="K76" i="42"/>
  <c r="K62" i="42"/>
  <c r="W76" i="42"/>
  <c r="W62" i="42"/>
  <c r="BG62" i="42"/>
  <c r="BG76" i="42"/>
  <c r="BS76" i="42"/>
  <c r="BS62" i="42"/>
  <c r="G71" i="42"/>
  <c r="G57" i="42"/>
  <c r="S71" i="42"/>
  <c r="S57" i="42"/>
  <c r="BL51" i="42"/>
  <c r="L74" i="42"/>
  <c r="L60" i="42"/>
  <c r="X74" i="42"/>
  <c r="X60" i="42"/>
  <c r="BH60" i="42"/>
  <c r="BH74" i="42"/>
  <c r="BT74" i="42"/>
  <c r="BT60" i="42"/>
  <c r="D72" i="42"/>
  <c r="D58" i="42"/>
  <c r="P72" i="42"/>
  <c r="P58" i="42"/>
  <c r="AB72" i="42"/>
  <c r="AB58" i="42"/>
  <c r="BL58" i="42"/>
  <c r="BL72" i="42"/>
  <c r="BX58" i="42"/>
  <c r="BX72" i="42"/>
  <c r="H66" i="42"/>
  <c r="H52" i="42"/>
  <c r="T66" i="42"/>
  <c r="T52" i="42"/>
  <c r="BD66" i="42"/>
  <c r="BD52" i="42"/>
  <c r="BP66" i="42"/>
  <c r="BP52" i="42"/>
  <c r="CB66" i="42"/>
  <c r="CB52" i="42"/>
  <c r="L75" i="42"/>
  <c r="L61" i="42"/>
  <c r="X75" i="42"/>
  <c r="X61" i="42"/>
  <c r="BH75" i="42"/>
  <c r="BH61" i="42"/>
  <c r="BT75" i="42"/>
  <c r="BT61" i="42"/>
  <c r="H70" i="42"/>
  <c r="H56" i="42"/>
  <c r="T70" i="42"/>
  <c r="T56" i="42"/>
  <c r="BD56" i="42"/>
  <c r="BD70" i="42"/>
  <c r="BP56" i="42"/>
  <c r="BP70" i="42"/>
  <c r="CB70" i="42"/>
  <c r="CB56" i="42"/>
  <c r="L65" i="42"/>
  <c r="L51" i="42"/>
  <c r="X65" i="42"/>
  <c r="X51" i="42"/>
  <c r="BH65" i="42"/>
  <c r="BH51" i="42"/>
  <c r="BT65" i="42"/>
  <c r="BT51" i="42"/>
  <c r="L69" i="42"/>
  <c r="L55" i="42"/>
  <c r="X69" i="42"/>
  <c r="X55" i="42"/>
  <c r="BH69" i="42"/>
  <c r="BH55" i="42"/>
  <c r="BT69" i="42"/>
  <c r="BT55" i="42"/>
  <c r="D64" i="42"/>
  <c r="D50" i="42"/>
  <c r="P64" i="42"/>
  <c r="P50" i="42"/>
  <c r="AB64" i="42"/>
  <c r="AB50" i="42"/>
  <c r="BL64" i="42"/>
  <c r="BL50" i="42"/>
  <c r="BX64" i="42"/>
  <c r="BX50" i="42"/>
  <c r="L76" i="42"/>
  <c r="L62" i="42"/>
  <c r="X76" i="42"/>
  <c r="X62" i="42"/>
  <c r="BH76" i="42"/>
  <c r="BH62" i="42"/>
  <c r="BT76" i="42"/>
  <c r="BT62" i="42"/>
  <c r="H71" i="42"/>
  <c r="H57" i="42"/>
  <c r="T71" i="42"/>
  <c r="T57" i="42"/>
  <c r="BD71" i="42"/>
  <c r="BD57" i="42"/>
  <c r="BP71" i="42"/>
  <c r="BP57" i="42"/>
  <c r="CB71" i="42"/>
  <c r="CB57" i="42"/>
  <c r="AA55" i="42"/>
  <c r="BI68" i="42"/>
  <c r="BI54" i="42"/>
  <c r="BU68" i="42"/>
  <c r="BU54" i="42"/>
  <c r="E45" i="42"/>
  <c r="Q45" i="42"/>
  <c r="AO45" i="42"/>
  <c r="BM45" i="42"/>
  <c r="BY45" i="42"/>
  <c r="CW45" i="42"/>
  <c r="M74" i="42"/>
  <c r="M60" i="42"/>
  <c r="Y74" i="42"/>
  <c r="Y60" i="42"/>
  <c r="BI60" i="42"/>
  <c r="BI74" i="42"/>
  <c r="BU60" i="42"/>
  <c r="BU74" i="42"/>
  <c r="E72" i="42"/>
  <c r="E58" i="42"/>
  <c r="Q72" i="42"/>
  <c r="Q58" i="42"/>
  <c r="BM72" i="42"/>
  <c r="BM58" i="42"/>
  <c r="BY72" i="42"/>
  <c r="BY58" i="42"/>
  <c r="I66" i="42"/>
  <c r="I52" i="42"/>
  <c r="U66" i="42"/>
  <c r="U52" i="42"/>
  <c r="BE66" i="42"/>
  <c r="BE52" i="42"/>
  <c r="BQ66" i="42"/>
  <c r="BQ52" i="42"/>
  <c r="M75" i="42"/>
  <c r="M61" i="42"/>
  <c r="Y75" i="42"/>
  <c r="Y61" i="42"/>
  <c r="BI75" i="42"/>
  <c r="BI61" i="42"/>
  <c r="BU75" i="42"/>
  <c r="BU61" i="42"/>
  <c r="I70" i="42"/>
  <c r="I56" i="42"/>
  <c r="U70" i="42"/>
  <c r="U56" i="42"/>
  <c r="BE70" i="42"/>
  <c r="BE56" i="42"/>
  <c r="M65" i="42"/>
  <c r="M51" i="42"/>
  <c r="Y65" i="42"/>
  <c r="Y51" i="42"/>
  <c r="BI65" i="42"/>
  <c r="BI51" i="42"/>
  <c r="BU65" i="42"/>
  <c r="BU51" i="42"/>
  <c r="CS48" i="42"/>
  <c r="M69" i="42"/>
  <c r="M55" i="42"/>
  <c r="Y69" i="42"/>
  <c r="Y55" i="42"/>
  <c r="BI69" i="42"/>
  <c r="BI55" i="42"/>
  <c r="BU69" i="42"/>
  <c r="BU55" i="42"/>
  <c r="E64" i="42"/>
  <c r="E50" i="42"/>
  <c r="Q64" i="42"/>
  <c r="Q50" i="42"/>
  <c r="BM64" i="42"/>
  <c r="BM50" i="42"/>
  <c r="BY64" i="42"/>
  <c r="BY50" i="42"/>
  <c r="CK48" i="42"/>
  <c r="CW48" i="42"/>
  <c r="M76" i="42"/>
  <c r="M62" i="42"/>
  <c r="Y76" i="42"/>
  <c r="Y62" i="42"/>
  <c r="BI62" i="42"/>
  <c r="BI76" i="42"/>
  <c r="BU76" i="42"/>
  <c r="BU62" i="42"/>
  <c r="N52" i="42"/>
  <c r="N54" i="42"/>
  <c r="N61" i="42"/>
  <c r="N48" i="42"/>
  <c r="BL55" i="42"/>
  <c r="N68" i="42"/>
  <c r="Z68" i="42"/>
  <c r="Z54" i="42"/>
  <c r="BJ68" i="42"/>
  <c r="BJ54" i="42"/>
  <c r="BV68" i="42"/>
  <c r="BV54" i="42"/>
  <c r="F45" i="42"/>
  <c r="R45" i="42"/>
  <c r="AP45" i="42"/>
  <c r="BN45" i="42"/>
  <c r="BZ45" i="42"/>
  <c r="CL45" i="42"/>
  <c r="CX45" i="42"/>
  <c r="N74" i="42"/>
  <c r="N60" i="42"/>
  <c r="Z74" i="42"/>
  <c r="Z60" i="42"/>
  <c r="BJ74" i="42"/>
  <c r="BJ60" i="42"/>
  <c r="BV74" i="42"/>
  <c r="BV60" i="42"/>
  <c r="F72" i="42"/>
  <c r="F58" i="42"/>
  <c r="R72" i="42"/>
  <c r="R58" i="42"/>
  <c r="BN72" i="42"/>
  <c r="BN58" i="42"/>
  <c r="BZ72" i="42"/>
  <c r="BZ58" i="42"/>
  <c r="J66" i="42"/>
  <c r="J52" i="42"/>
  <c r="V66" i="42"/>
  <c r="V52" i="42"/>
  <c r="BF66" i="42"/>
  <c r="BF52" i="42"/>
  <c r="N75" i="42"/>
  <c r="Z75" i="42"/>
  <c r="Z61" i="42"/>
  <c r="BJ75" i="42"/>
  <c r="BJ61" i="42"/>
  <c r="BV75" i="42"/>
  <c r="BV61" i="42"/>
  <c r="J70" i="42"/>
  <c r="J56" i="42"/>
  <c r="V70" i="42"/>
  <c r="V56" i="42"/>
  <c r="BF70" i="42"/>
  <c r="BF56" i="42"/>
  <c r="BR70" i="42"/>
  <c r="BR56" i="42"/>
  <c r="N65" i="42"/>
  <c r="N51" i="42"/>
  <c r="Z65" i="42"/>
  <c r="Z51" i="42"/>
  <c r="BJ65" i="42"/>
  <c r="BJ51" i="42"/>
  <c r="BV65" i="42"/>
  <c r="BV51" i="42"/>
  <c r="CH63" i="42"/>
  <c r="CT48" i="42"/>
  <c r="N69" i="42"/>
  <c r="N55" i="42"/>
  <c r="Z69" i="42"/>
  <c r="Z55" i="42"/>
  <c r="BJ69" i="42"/>
  <c r="BJ55" i="42"/>
  <c r="BV69" i="42"/>
  <c r="BV55" i="42"/>
  <c r="F64" i="42"/>
  <c r="F50" i="42"/>
  <c r="R64" i="42"/>
  <c r="R50" i="42"/>
  <c r="AN63" i="42"/>
  <c r="BN64" i="42"/>
  <c r="BN50" i="42"/>
  <c r="BZ64" i="42"/>
  <c r="BZ50" i="42"/>
  <c r="CL48" i="42"/>
  <c r="CX48" i="42"/>
  <c r="N76" i="42"/>
  <c r="N62" i="42"/>
  <c r="Z76" i="42"/>
  <c r="Z62" i="42"/>
  <c r="BJ76" i="42"/>
  <c r="BJ62" i="42"/>
  <c r="BV76" i="42"/>
  <c r="BV62" i="42"/>
  <c r="J71" i="42"/>
  <c r="J57" i="42"/>
  <c r="V71" i="42"/>
  <c r="V57" i="42"/>
  <c r="BF71" i="42"/>
  <c r="BF57" i="42"/>
  <c r="BR57" i="42"/>
  <c r="BR71" i="42"/>
  <c r="CA73" i="42"/>
  <c r="CA59" i="42"/>
  <c r="O68" i="42"/>
  <c r="O54" i="42"/>
  <c r="AA68" i="42"/>
  <c r="AA54" i="42"/>
  <c r="BK68" i="42"/>
  <c r="BK54" i="42"/>
  <c r="BW68" i="42"/>
  <c r="BW54" i="42"/>
  <c r="G45" i="42"/>
  <c r="S45" i="42"/>
  <c r="AE45" i="42"/>
  <c r="AQ45" i="42"/>
  <c r="BO45" i="42"/>
  <c r="CA45" i="42"/>
  <c r="CM45" i="42"/>
  <c r="CY45" i="42"/>
  <c r="O74" i="42"/>
  <c r="O60" i="42"/>
  <c r="AA60" i="42"/>
  <c r="AA74" i="42"/>
  <c r="BK60" i="42"/>
  <c r="BK74" i="42"/>
  <c r="BW74" i="42"/>
  <c r="BW60" i="42"/>
  <c r="G72" i="42"/>
  <c r="G58" i="42"/>
  <c r="S72" i="42"/>
  <c r="S58" i="42"/>
  <c r="BO72" i="42"/>
  <c r="BO58" i="42"/>
  <c r="CA72" i="42"/>
  <c r="CA58" i="42"/>
  <c r="K52" i="42"/>
  <c r="K66" i="42"/>
  <c r="W66" i="42"/>
  <c r="W52" i="42"/>
  <c r="BG66" i="42"/>
  <c r="BG52" i="42"/>
  <c r="BS52" i="42"/>
  <c r="BS66" i="42"/>
  <c r="O75" i="42"/>
  <c r="O61" i="42"/>
  <c r="AA75" i="42"/>
  <c r="AA61" i="42"/>
  <c r="BK61" i="42"/>
  <c r="BK75" i="42"/>
  <c r="BW75" i="42"/>
  <c r="BW61" i="42"/>
  <c r="K70" i="42"/>
  <c r="K56" i="42"/>
  <c r="W70" i="42"/>
  <c r="W56" i="42"/>
  <c r="BG70" i="42"/>
  <c r="BG56" i="42"/>
  <c r="BS70" i="42"/>
  <c r="BS56" i="42"/>
  <c r="O65" i="42"/>
  <c r="O51" i="42"/>
  <c r="AA65" i="42"/>
  <c r="AA51" i="42"/>
  <c r="BK65" i="42"/>
  <c r="BK51" i="42"/>
  <c r="BW65" i="42"/>
  <c r="BW51" i="42"/>
  <c r="O69" i="42"/>
  <c r="O55" i="42"/>
  <c r="BK69" i="42"/>
  <c r="BK55" i="42"/>
  <c r="BW69" i="42"/>
  <c r="BW55" i="42"/>
  <c r="G64" i="42"/>
  <c r="G50" i="42"/>
  <c r="S64" i="42"/>
  <c r="S50" i="42"/>
  <c r="BO64" i="42"/>
  <c r="BO50" i="42"/>
  <c r="CA64" i="42"/>
  <c r="CA50" i="42"/>
  <c r="CM48" i="42"/>
  <c r="CY48" i="42"/>
  <c r="O76" i="42"/>
  <c r="O62" i="42"/>
  <c r="AA76" i="42"/>
  <c r="AA62" i="42"/>
  <c r="BK76" i="42"/>
  <c r="BK62" i="42"/>
  <c r="BW76" i="42"/>
  <c r="BW62" i="42"/>
  <c r="W57" i="42"/>
  <c r="W71" i="42"/>
  <c r="BG71" i="42"/>
  <c r="BG57" i="42"/>
  <c r="BS71" i="42"/>
  <c r="BS57" i="42"/>
  <c r="BR52" i="42"/>
  <c r="BD45" i="42"/>
  <c r="BP45" i="42"/>
  <c r="CB45" i="42"/>
  <c r="CN45" i="42"/>
  <c r="CZ45" i="42"/>
  <c r="D74" i="42"/>
  <c r="D60" i="42"/>
  <c r="P74" i="42"/>
  <c r="P60" i="42"/>
  <c r="AB74" i="42"/>
  <c r="AB60" i="42"/>
  <c r="BL74" i="42"/>
  <c r="BL60" i="42"/>
  <c r="BX74" i="42"/>
  <c r="BX60" i="42"/>
  <c r="H72" i="42"/>
  <c r="H58" i="42"/>
  <c r="T72" i="42"/>
  <c r="T58" i="42"/>
  <c r="BD72" i="42"/>
  <c r="BD58" i="42"/>
  <c r="BP72" i="42"/>
  <c r="BP58" i="42"/>
  <c r="CB72" i="42"/>
  <c r="CB58" i="42"/>
  <c r="L66" i="42"/>
  <c r="L52" i="42"/>
  <c r="X66" i="42"/>
  <c r="X52" i="42"/>
  <c r="BH66" i="42"/>
  <c r="BH52" i="42"/>
  <c r="BT66" i="42"/>
  <c r="BT52" i="42"/>
  <c r="D75" i="42"/>
  <c r="D61" i="42"/>
  <c r="P75" i="42"/>
  <c r="P61" i="42"/>
  <c r="AB75" i="42"/>
  <c r="AB61" i="42"/>
  <c r="BL75" i="42"/>
  <c r="BL61" i="42"/>
  <c r="BX75" i="42"/>
  <c r="BX61" i="42"/>
  <c r="L70" i="42"/>
  <c r="L56" i="42"/>
  <c r="X70" i="42"/>
  <c r="X56" i="42"/>
  <c r="BH70" i="42"/>
  <c r="BH56" i="42"/>
  <c r="BT70" i="42"/>
  <c r="BT56" i="42"/>
  <c r="D65" i="42"/>
  <c r="D51" i="42"/>
  <c r="P65" i="42"/>
  <c r="P51" i="42"/>
  <c r="AB65" i="42"/>
  <c r="AB51" i="42"/>
  <c r="BX65" i="42"/>
  <c r="BX51" i="42"/>
  <c r="D69" i="42"/>
  <c r="D55" i="42"/>
  <c r="P69" i="42"/>
  <c r="P55" i="42"/>
  <c r="AB69" i="42"/>
  <c r="AB55" i="42"/>
  <c r="BX69" i="42"/>
  <c r="BX55" i="42"/>
  <c r="H64" i="42"/>
  <c r="H50" i="42"/>
  <c r="T50" i="42"/>
  <c r="T64" i="42"/>
  <c r="BD64" i="42"/>
  <c r="BD50" i="42"/>
  <c r="BP50" i="42"/>
  <c r="BP64" i="42"/>
  <c r="CB64" i="42"/>
  <c r="CB50" i="42"/>
  <c r="CN48" i="42"/>
  <c r="CZ48" i="42"/>
  <c r="D76" i="42"/>
  <c r="D62" i="42"/>
  <c r="P76" i="42"/>
  <c r="P62" i="42"/>
  <c r="AB76" i="42"/>
  <c r="AB62" i="42"/>
  <c r="BL76" i="42"/>
  <c r="BL62" i="42"/>
  <c r="BX76" i="42"/>
  <c r="BX62" i="42"/>
  <c r="L71" i="42"/>
  <c r="L57" i="42"/>
  <c r="X57" i="42"/>
  <c r="X71" i="42"/>
  <c r="BH71" i="42"/>
  <c r="BH57" i="42"/>
  <c r="BT57" i="42"/>
  <c r="BT71" i="42"/>
  <c r="BQ56" i="42"/>
  <c r="BQ45" i="42"/>
  <c r="CO45" i="42"/>
  <c r="E74" i="42"/>
  <c r="E60" i="42"/>
  <c r="Q74" i="42"/>
  <c r="Q60" i="42"/>
  <c r="BM60" i="42"/>
  <c r="BM74" i="42"/>
  <c r="BY74" i="42"/>
  <c r="BY60" i="42"/>
  <c r="I72" i="42"/>
  <c r="I58" i="42"/>
  <c r="U58" i="42"/>
  <c r="U72" i="42"/>
  <c r="BE72" i="42"/>
  <c r="BE58" i="42"/>
  <c r="BQ72" i="42"/>
  <c r="BQ58" i="42"/>
  <c r="M66" i="42"/>
  <c r="M63" i="42"/>
  <c r="M52" i="42"/>
  <c r="Y66" i="42"/>
  <c r="Y52" i="42"/>
  <c r="BI66" i="42"/>
  <c r="BI52" i="42"/>
  <c r="BU66" i="42"/>
  <c r="BU52" i="42"/>
  <c r="E61" i="42"/>
  <c r="E75" i="42"/>
  <c r="Q75" i="42"/>
  <c r="Q61" i="42"/>
  <c r="BM75" i="42"/>
  <c r="BM61" i="42"/>
  <c r="BY75" i="42"/>
  <c r="BY61" i="42"/>
  <c r="M70" i="42"/>
  <c r="M56" i="42"/>
  <c r="Y70" i="42"/>
  <c r="Y56" i="42"/>
  <c r="BI70" i="42"/>
  <c r="BI56" i="42"/>
  <c r="BU56" i="42"/>
  <c r="BU70" i="42"/>
  <c r="E65" i="42"/>
  <c r="E51" i="42"/>
  <c r="Q65" i="42"/>
  <c r="Q51" i="42"/>
  <c r="BM65" i="42"/>
  <c r="BM51" i="42"/>
  <c r="BY65" i="42"/>
  <c r="BY51" i="42"/>
  <c r="E69" i="42"/>
  <c r="E55" i="42"/>
  <c r="Q55" i="42"/>
  <c r="Q69" i="42"/>
  <c r="BM69" i="42"/>
  <c r="BM55" i="42"/>
  <c r="BY69" i="42"/>
  <c r="BY55" i="42"/>
  <c r="I64" i="42"/>
  <c r="I50" i="42"/>
  <c r="U64" i="42"/>
  <c r="U50" i="42"/>
  <c r="BQ64" i="42"/>
  <c r="BQ50" i="42"/>
  <c r="CO63" i="42"/>
  <c r="CO48" i="42"/>
  <c r="E76" i="42"/>
  <c r="E62" i="42"/>
  <c r="Q76" i="42"/>
  <c r="Q62" i="42"/>
  <c r="BM76" i="42"/>
  <c r="BM62" i="42"/>
  <c r="BY76" i="42"/>
  <c r="BY62" i="42"/>
  <c r="F60" i="42"/>
  <c r="F74" i="42"/>
  <c r="R74" i="42"/>
  <c r="R60" i="42"/>
  <c r="BN74" i="42"/>
  <c r="BN60" i="42"/>
  <c r="BZ74" i="42"/>
  <c r="BZ60" i="42"/>
  <c r="J72" i="42"/>
  <c r="J58" i="42"/>
  <c r="BF72" i="42"/>
  <c r="BF58" i="42"/>
  <c r="BR72" i="42"/>
  <c r="BR58" i="42"/>
  <c r="Z66" i="42"/>
  <c r="Z52" i="42"/>
  <c r="BJ66" i="42"/>
  <c r="BJ52" i="42"/>
  <c r="BV66" i="42"/>
  <c r="BV52" i="42"/>
  <c r="F75" i="42"/>
  <c r="F61" i="42"/>
  <c r="R75" i="42"/>
  <c r="R61" i="42"/>
  <c r="BN75" i="42"/>
  <c r="BN61" i="42"/>
  <c r="BZ75" i="42"/>
  <c r="BZ61" i="42"/>
  <c r="N70" i="42"/>
  <c r="N56" i="42"/>
  <c r="Z70" i="42"/>
  <c r="Z56" i="42"/>
  <c r="BJ70" i="42"/>
  <c r="BJ56" i="42"/>
  <c r="BV70" i="42"/>
  <c r="BV56" i="42"/>
  <c r="F65" i="42"/>
  <c r="F51" i="42"/>
  <c r="R65" i="42"/>
  <c r="R51" i="42"/>
  <c r="BN65" i="42"/>
  <c r="BN51" i="42"/>
  <c r="BZ65" i="42"/>
  <c r="BZ51" i="42"/>
  <c r="F69" i="42"/>
  <c r="F55" i="42"/>
  <c r="R69" i="42"/>
  <c r="R55" i="42"/>
  <c r="BN69" i="42"/>
  <c r="BN55" i="42"/>
  <c r="BZ69" i="42"/>
  <c r="BZ55" i="42"/>
  <c r="J64" i="42"/>
  <c r="J50" i="42"/>
  <c r="V64" i="42"/>
  <c r="V50" i="42"/>
  <c r="BF64" i="42"/>
  <c r="BF50" i="42"/>
  <c r="BR64" i="42"/>
  <c r="BR50" i="42"/>
  <c r="CP63" i="42"/>
  <c r="CP48" i="42"/>
  <c r="F76" i="42"/>
  <c r="F62" i="42"/>
  <c r="R76" i="42"/>
  <c r="R62" i="42"/>
  <c r="BN76" i="42"/>
  <c r="BN62" i="42"/>
  <c r="BZ76" i="42"/>
  <c r="BZ62" i="42"/>
  <c r="BO57" i="42"/>
  <c r="BG45" i="42"/>
  <c r="BS45" i="42"/>
  <c r="CQ45" i="42"/>
  <c r="G74" i="42"/>
  <c r="G60" i="42"/>
  <c r="S74" i="42"/>
  <c r="S60" i="42"/>
  <c r="BO74" i="42"/>
  <c r="BO60" i="42"/>
  <c r="CA74" i="42"/>
  <c r="CA60" i="42"/>
  <c r="K72" i="42"/>
  <c r="K58" i="42"/>
  <c r="W72" i="42"/>
  <c r="W58" i="42"/>
  <c r="BG72" i="42"/>
  <c r="BG58" i="42"/>
  <c r="BS72" i="42"/>
  <c r="BS58" i="42"/>
  <c r="O66" i="42"/>
  <c r="O52" i="42"/>
  <c r="AA66" i="42"/>
  <c r="AA52" i="42"/>
  <c r="BK66" i="42"/>
  <c r="BK52" i="42"/>
  <c r="BW66" i="42"/>
  <c r="BW52" i="42"/>
  <c r="CI48" i="42"/>
  <c r="G75" i="42"/>
  <c r="G61" i="42"/>
  <c r="S75" i="42"/>
  <c r="S61" i="42"/>
  <c r="BO61" i="42"/>
  <c r="BO75" i="42"/>
  <c r="CA75" i="42"/>
  <c r="CA61" i="42"/>
  <c r="O70" i="42"/>
  <c r="O56" i="42"/>
  <c r="AA70" i="42"/>
  <c r="AA56" i="42"/>
  <c r="BK70" i="42"/>
  <c r="BK56" i="42"/>
  <c r="BW70" i="42"/>
  <c r="BW56" i="42"/>
  <c r="G51" i="42"/>
  <c r="G65" i="42"/>
  <c r="S51" i="42"/>
  <c r="S65" i="42"/>
  <c r="BO51" i="42"/>
  <c r="BO65" i="42"/>
  <c r="CA65" i="42"/>
  <c r="CA51" i="42"/>
  <c r="G69" i="42"/>
  <c r="G55" i="42"/>
  <c r="S69" i="42"/>
  <c r="S55" i="42"/>
  <c r="BO69" i="42"/>
  <c r="BO55" i="42"/>
  <c r="CA55" i="42"/>
  <c r="CA69" i="42"/>
  <c r="K64" i="42"/>
  <c r="K50" i="42"/>
  <c r="W64" i="42"/>
  <c r="W50" i="42"/>
  <c r="BG64" i="42"/>
  <c r="BG50" i="42"/>
  <c r="BS64" i="42"/>
  <c r="BS50" i="42"/>
  <c r="CE48" i="42"/>
  <c r="CQ48" i="42"/>
  <c r="G76" i="42"/>
  <c r="G62" i="42"/>
  <c r="S76" i="42"/>
  <c r="S62" i="42"/>
  <c r="BO76" i="42"/>
  <c r="BO62" i="42"/>
  <c r="CA76" i="42"/>
  <c r="CA62" i="42"/>
  <c r="O71" i="42"/>
  <c r="O57" i="42"/>
  <c r="AA71" i="42"/>
  <c r="AA57" i="42"/>
  <c r="BK71" i="42"/>
  <c r="BK57" i="42"/>
  <c r="BW71" i="42"/>
  <c r="BW57" i="42"/>
  <c r="BE50" i="42"/>
  <c r="V58" i="42"/>
  <c r="L73" i="42"/>
  <c r="L59" i="42"/>
  <c r="X73" i="42"/>
  <c r="X59" i="42"/>
  <c r="BH73" i="42"/>
  <c r="BH59" i="42"/>
  <c r="BT73" i="42"/>
  <c r="BT59" i="42"/>
  <c r="H68" i="42"/>
  <c r="H54" i="42"/>
  <c r="T68" i="42"/>
  <c r="T54" i="42"/>
  <c r="BD68" i="42"/>
  <c r="BD54" i="42"/>
  <c r="BP68" i="42"/>
  <c r="BP54" i="42"/>
  <c r="CB68" i="42"/>
  <c r="CB54" i="42"/>
  <c r="L45" i="42"/>
  <c r="X45" i="42"/>
  <c r="AJ45" i="42"/>
  <c r="AV45" i="42"/>
  <c r="BH45" i="42"/>
  <c r="BT45" i="42"/>
  <c r="CF45" i="42"/>
  <c r="CR45" i="42"/>
  <c r="H74" i="42"/>
  <c r="H60" i="42"/>
  <c r="T74" i="42"/>
  <c r="T60" i="42"/>
  <c r="BD74" i="42"/>
  <c r="BD60" i="42"/>
  <c r="BP74" i="42"/>
  <c r="BP60" i="42"/>
  <c r="CB74" i="42"/>
  <c r="CB60" i="42"/>
  <c r="L72" i="42"/>
  <c r="L58" i="42"/>
  <c r="X72" i="42"/>
  <c r="X58" i="42"/>
  <c r="X48" i="42"/>
  <c r="BH72" i="42"/>
  <c r="BH58" i="42"/>
  <c r="BT72" i="42"/>
  <c r="BT58" i="42"/>
  <c r="D66" i="42"/>
  <c r="D52" i="42"/>
  <c r="P66" i="42"/>
  <c r="P52" i="42"/>
  <c r="AB66" i="42"/>
  <c r="AB52" i="42"/>
  <c r="BL66" i="42"/>
  <c r="BL52" i="42"/>
  <c r="BX66" i="42"/>
  <c r="BX52" i="42"/>
  <c r="CJ48" i="42"/>
  <c r="H75" i="42"/>
  <c r="H61" i="42"/>
  <c r="T75" i="42"/>
  <c r="T61" i="42"/>
  <c r="BD75" i="42"/>
  <c r="BD61" i="42"/>
  <c r="BP75" i="42"/>
  <c r="BP61" i="42"/>
  <c r="CB75" i="42"/>
  <c r="CB61" i="42"/>
  <c r="D70" i="42"/>
  <c r="D56" i="42"/>
  <c r="P70" i="42"/>
  <c r="P56" i="42"/>
  <c r="AB70" i="42"/>
  <c r="AB56" i="42"/>
  <c r="BL70" i="42"/>
  <c r="BL56" i="42"/>
  <c r="BX70" i="42"/>
  <c r="BX56" i="42"/>
  <c r="CV48" i="42"/>
  <c r="H65" i="42"/>
  <c r="H51" i="42"/>
  <c r="T65" i="42"/>
  <c r="T51" i="42"/>
  <c r="BD65" i="42"/>
  <c r="BD51" i="42"/>
  <c r="BP65" i="42"/>
  <c r="BP51" i="42"/>
  <c r="CB65" i="42"/>
  <c r="CB51" i="42"/>
  <c r="H69" i="42"/>
  <c r="H55" i="42"/>
  <c r="T69" i="42"/>
  <c r="T55" i="42"/>
  <c r="BD69" i="42"/>
  <c r="BD55" i="42"/>
  <c r="BP69" i="42"/>
  <c r="BP55" i="42"/>
  <c r="CB69" i="42"/>
  <c r="CB55" i="42"/>
  <c r="L50" i="42"/>
  <c r="L64" i="42"/>
  <c r="X64" i="42"/>
  <c r="X50" i="42"/>
  <c r="BH64" i="42"/>
  <c r="BH50" i="42"/>
  <c r="BT64" i="42"/>
  <c r="BT50" i="42"/>
  <c r="CF48" i="42"/>
  <c r="CF63" i="42"/>
  <c r="CR48" i="42"/>
  <c r="H76" i="42"/>
  <c r="H62" i="42"/>
  <c r="T76" i="42"/>
  <c r="T62" i="42"/>
  <c r="BD76" i="42"/>
  <c r="BD62" i="42"/>
  <c r="BP76" i="42"/>
  <c r="BP62" i="42"/>
  <c r="CB76" i="42"/>
  <c r="CB62" i="42"/>
  <c r="D71" i="42"/>
  <c r="D57" i="42"/>
  <c r="P71" i="42"/>
  <c r="P57" i="42"/>
  <c r="AB71" i="42"/>
  <c r="AB57" i="42"/>
  <c r="BL71" i="42"/>
  <c r="BL57" i="42"/>
  <c r="BX71" i="42"/>
  <c r="BX57" i="42"/>
  <c r="CH48" i="42"/>
  <c r="I71" i="42"/>
  <c r="I57" i="42"/>
  <c r="U71" i="42"/>
  <c r="U57" i="42"/>
  <c r="BE71" i="42"/>
  <c r="BE63" i="42"/>
  <c r="BE57" i="42"/>
  <c r="BQ71" i="42"/>
  <c r="BQ57" i="42"/>
  <c r="M57" i="42"/>
  <c r="BU57" i="42"/>
  <c r="BV57" i="42"/>
  <c r="Y57" i="42"/>
  <c r="BI71" i="42"/>
  <c r="BI57" i="42"/>
  <c r="CG48" i="42"/>
  <c r="N71" i="42"/>
  <c r="N57" i="42"/>
  <c r="Z71" i="42"/>
  <c r="Z57" i="42"/>
  <c r="BJ71" i="42"/>
  <c r="BJ57" i="42"/>
  <c r="CA71" i="42"/>
  <c r="CA57" i="42"/>
  <c r="W31" i="41"/>
  <c r="M31" i="41"/>
  <c r="AX31" i="41"/>
  <c r="BJ31" i="41"/>
  <c r="N31" i="41"/>
  <c r="BL31" i="41"/>
  <c r="BX31" i="41"/>
  <c r="P31" i="41"/>
  <c r="AB31" i="41"/>
  <c r="AP31" i="41"/>
  <c r="S31" i="41"/>
  <c r="AG31" i="41"/>
  <c r="BR31" i="41"/>
  <c r="AI31" i="41"/>
  <c r="AU31" i="41"/>
  <c r="Z31" i="41"/>
  <c r="AL31" i="41"/>
  <c r="BV31" i="41"/>
  <c r="N67" i="41"/>
  <c r="N53" i="41"/>
  <c r="Z67" i="41"/>
  <c r="Z53" i="41"/>
  <c r="AL67" i="41"/>
  <c r="AL53" i="41"/>
  <c r="AX67" i="41"/>
  <c r="AX53" i="41"/>
  <c r="N73" i="41"/>
  <c r="N59" i="41"/>
  <c r="Z73" i="41"/>
  <c r="Z59" i="41"/>
  <c r="AL73" i="41"/>
  <c r="AL59" i="41"/>
  <c r="AX73" i="41"/>
  <c r="AX59" i="41"/>
  <c r="N68" i="41"/>
  <c r="N54" i="41"/>
  <c r="Z68" i="41"/>
  <c r="Z54" i="41"/>
  <c r="AL68" i="41"/>
  <c r="AL54" i="41"/>
  <c r="AX68" i="41"/>
  <c r="AX54" i="41"/>
  <c r="H45" i="41"/>
  <c r="T45" i="41"/>
  <c r="AF45" i="41"/>
  <c r="AR45" i="41"/>
  <c r="BO45" i="41"/>
  <c r="J74" i="41"/>
  <c r="J60" i="41"/>
  <c r="V74" i="41"/>
  <c r="V60" i="41"/>
  <c r="AH74" i="41"/>
  <c r="AH60" i="41"/>
  <c r="AT74" i="41"/>
  <c r="AT60" i="41"/>
  <c r="AD33" i="41"/>
  <c r="J75" i="41"/>
  <c r="J61" i="41"/>
  <c r="V75" i="41"/>
  <c r="V61" i="41"/>
  <c r="D76" i="41"/>
  <c r="D62" i="41"/>
  <c r="P76" i="41"/>
  <c r="P62" i="41"/>
  <c r="AB76" i="41"/>
  <c r="AB62" i="41"/>
  <c r="O31" i="41"/>
  <c r="AA31" i="41"/>
  <c r="AM31" i="41"/>
  <c r="AY31" i="41"/>
  <c r="BK31" i="41"/>
  <c r="BW31" i="41"/>
  <c r="O67" i="41"/>
  <c r="O53" i="41"/>
  <c r="AA67" i="41"/>
  <c r="AA53" i="41"/>
  <c r="AM67" i="41"/>
  <c r="AM53" i="41"/>
  <c r="AY67" i="41"/>
  <c r="AY53" i="41"/>
  <c r="O73" i="41"/>
  <c r="O59" i="41"/>
  <c r="AA73" i="41"/>
  <c r="AA59" i="41"/>
  <c r="AM73" i="41"/>
  <c r="AM59" i="41"/>
  <c r="AY73" i="41"/>
  <c r="AY59" i="41"/>
  <c r="O68" i="41"/>
  <c r="O54" i="41"/>
  <c r="AA68" i="41"/>
  <c r="AA54" i="41"/>
  <c r="AM68" i="41"/>
  <c r="AM54" i="41"/>
  <c r="AY68" i="41"/>
  <c r="AY54" i="41"/>
  <c r="I45" i="41"/>
  <c r="U45" i="41"/>
  <c r="AG45" i="41"/>
  <c r="D39" i="41"/>
  <c r="D67" i="41"/>
  <c r="D53" i="41"/>
  <c r="P67" i="41"/>
  <c r="P53" i="41"/>
  <c r="AB67" i="41"/>
  <c r="AB53" i="41"/>
  <c r="AN67" i="41"/>
  <c r="AN53" i="41"/>
  <c r="AZ67" i="41"/>
  <c r="AZ53" i="41"/>
  <c r="D73" i="41"/>
  <c r="D59" i="41"/>
  <c r="P73" i="41"/>
  <c r="P59" i="41"/>
  <c r="AB73" i="41"/>
  <c r="AB59" i="41"/>
  <c r="AN73" i="41"/>
  <c r="AN59" i="41"/>
  <c r="AZ73" i="41"/>
  <c r="AZ59" i="41"/>
  <c r="D68" i="41"/>
  <c r="D54" i="41"/>
  <c r="P68" i="41"/>
  <c r="P54" i="41"/>
  <c r="AB68" i="41"/>
  <c r="AB54" i="41"/>
  <c r="AN68" i="41"/>
  <c r="AN54" i="41"/>
  <c r="AZ68" i="41"/>
  <c r="AZ54" i="41"/>
  <c r="J45" i="41"/>
  <c r="V45" i="41"/>
  <c r="AH45" i="41"/>
  <c r="AT45" i="41"/>
  <c r="BQ45" i="41"/>
  <c r="AD39" i="41"/>
  <c r="L74" i="41"/>
  <c r="L60" i="41"/>
  <c r="X74" i="41"/>
  <c r="X60" i="41"/>
  <c r="AJ74" i="41"/>
  <c r="AJ60" i="41"/>
  <c r="AV74" i="41"/>
  <c r="AV60" i="41"/>
  <c r="F58" i="41"/>
  <c r="F72" i="41"/>
  <c r="AN66" i="41"/>
  <c r="AN52" i="41"/>
  <c r="AZ66" i="41"/>
  <c r="AZ52" i="41"/>
  <c r="AN65" i="41"/>
  <c r="AN51" i="41"/>
  <c r="AZ65" i="41"/>
  <c r="AZ51" i="41"/>
  <c r="Q31" i="41"/>
  <c r="AO31" i="41"/>
  <c r="BA31" i="41"/>
  <c r="BM31" i="41"/>
  <c r="BY31" i="41"/>
  <c r="E67" i="41"/>
  <c r="E53" i="41"/>
  <c r="Q53" i="41"/>
  <c r="Q67" i="41"/>
  <c r="AO67" i="41"/>
  <c r="AO53" i="41"/>
  <c r="BA67" i="41"/>
  <c r="BA53" i="41"/>
  <c r="E73" i="41"/>
  <c r="E59" i="41"/>
  <c r="Q73" i="41"/>
  <c r="Q59" i="41"/>
  <c r="AO73" i="41"/>
  <c r="AO59" i="41"/>
  <c r="BA73" i="41"/>
  <c r="BA59" i="41"/>
  <c r="E68" i="41"/>
  <c r="E54" i="41"/>
  <c r="Q68" i="41"/>
  <c r="Q54" i="41"/>
  <c r="AO68" i="41"/>
  <c r="AO54" i="41"/>
  <c r="BA68" i="41"/>
  <c r="BA54" i="41"/>
  <c r="AU45" i="41"/>
  <c r="M74" i="41"/>
  <c r="M60" i="41"/>
  <c r="Y74" i="41"/>
  <c r="Y60" i="41"/>
  <c r="AK74" i="41"/>
  <c r="AK60" i="41"/>
  <c r="AW74" i="41"/>
  <c r="AW60" i="41"/>
  <c r="D66" i="41"/>
  <c r="D52" i="41"/>
  <c r="P66" i="41"/>
  <c r="P52" i="41"/>
  <c r="AB66" i="41"/>
  <c r="AB52" i="41"/>
  <c r="D65" i="41"/>
  <c r="D51" i="41"/>
  <c r="P65" i="41"/>
  <c r="P51" i="41"/>
  <c r="AB65" i="41"/>
  <c r="AB51" i="41"/>
  <c r="R31" i="41"/>
  <c r="BB31" i="41"/>
  <c r="BN31" i="41"/>
  <c r="BZ31" i="41"/>
  <c r="F67" i="41"/>
  <c r="F53" i="41"/>
  <c r="R67" i="41"/>
  <c r="R53" i="41"/>
  <c r="AD53" i="41"/>
  <c r="AD67" i="41"/>
  <c r="AP53" i="41"/>
  <c r="AP67" i="41"/>
  <c r="BB53" i="41"/>
  <c r="BB67" i="41"/>
  <c r="F73" i="41"/>
  <c r="F59" i="41"/>
  <c r="R73" i="41"/>
  <c r="R59" i="41"/>
  <c r="AD73" i="41"/>
  <c r="AD59" i="41"/>
  <c r="AP73" i="41"/>
  <c r="AP59" i="41"/>
  <c r="BB73" i="41"/>
  <c r="BB59" i="41"/>
  <c r="F54" i="41"/>
  <c r="F68" i="41"/>
  <c r="R68" i="41"/>
  <c r="R54" i="41"/>
  <c r="AD68" i="41"/>
  <c r="AD54" i="41"/>
  <c r="AP68" i="41"/>
  <c r="AP54" i="41"/>
  <c r="BB68" i="41"/>
  <c r="BB54" i="41"/>
  <c r="L45" i="41"/>
  <c r="X45" i="41"/>
  <c r="AJ45" i="41"/>
  <c r="AV45" i="41"/>
  <c r="BG45" i="41"/>
  <c r="BS45" i="41"/>
  <c r="N74" i="41"/>
  <c r="N60" i="41"/>
  <c r="Z74" i="41"/>
  <c r="Z60" i="41"/>
  <c r="AL74" i="41"/>
  <c r="AL60" i="41"/>
  <c r="AX74" i="41"/>
  <c r="AX60" i="41"/>
  <c r="E34" i="41"/>
  <c r="E31" i="41"/>
  <c r="AN64" i="41"/>
  <c r="AN50" i="41"/>
  <c r="AZ64" i="41"/>
  <c r="AZ50" i="41"/>
  <c r="BL48" i="41"/>
  <c r="G31" i="41"/>
  <c r="BO31" i="41"/>
  <c r="G53" i="41"/>
  <c r="G67" i="41"/>
  <c r="S53" i="41"/>
  <c r="S67" i="41"/>
  <c r="AE67" i="41"/>
  <c r="AE53" i="41"/>
  <c r="AQ67" i="41"/>
  <c r="AQ53" i="41"/>
  <c r="G73" i="41"/>
  <c r="G59" i="41"/>
  <c r="S73" i="41"/>
  <c r="S59" i="41"/>
  <c r="AE73" i="41"/>
  <c r="AE59" i="41"/>
  <c r="AQ73" i="41"/>
  <c r="AQ59" i="41"/>
  <c r="G54" i="41"/>
  <c r="G68" i="41"/>
  <c r="S68" i="41"/>
  <c r="S54" i="41"/>
  <c r="AE54" i="41"/>
  <c r="AE68" i="41"/>
  <c r="AQ68" i="41"/>
  <c r="AQ54" i="41"/>
  <c r="M45" i="41"/>
  <c r="Y45" i="41"/>
  <c r="AK45" i="41"/>
  <c r="AW45" i="41"/>
  <c r="BH45" i="41"/>
  <c r="O74" i="41"/>
  <c r="O60" i="41"/>
  <c r="AA74" i="41"/>
  <c r="AA60" i="41"/>
  <c r="AM74" i="41"/>
  <c r="AM60" i="41"/>
  <c r="AH72" i="41"/>
  <c r="AH58" i="41"/>
  <c r="AT72" i="41"/>
  <c r="AT58" i="41"/>
  <c r="AH70" i="41"/>
  <c r="AH56" i="41"/>
  <c r="AT70" i="41"/>
  <c r="AT56" i="41"/>
  <c r="D50" i="41"/>
  <c r="D64" i="41"/>
  <c r="P64" i="41"/>
  <c r="P50" i="41"/>
  <c r="AB64" i="41"/>
  <c r="AB50" i="41"/>
  <c r="H31" i="41"/>
  <c r="T31" i="41"/>
  <c r="AF31" i="41"/>
  <c r="AR31" i="41"/>
  <c r="BP31" i="41"/>
  <c r="H67" i="41"/>
  <c r="H53" i="41"/>
  <c r="T67" i="41"/>
  <c r="T53" i="41"/>
  <c r="AF67" i="41"/>
  <c r="AF53" i="41"/>
  <c r="AR67" i="41"/>
  <c r="AR53" i="41"/>
  <c r="H73" i="41"/>
  <c r="H59" i="41"/>
  <c r="T73" i="41"/>
  <c r="T59" i="41"/>
  <c r="AF73" i="41"/>
  <c r="AF59" i="41"/>
  <c r="AR73" i="41"/>
  <c r="AR59" i="41"/>
  <c r="H68" i="41"/>
  <c r="H54" i="41"/>
  <c r="T68" i="41"/>
  <c r="T54" i="41"/>
  <c r="AF68" i="41"/>
  <c r="AF54" i="41"/>
  <c r="AR68" i="41"/>
  <c r="AR54" i="41"/>
  <c r="N45" i="41"/>
  <c r="Z45" i="41"/>
  <c r="AL45" i="41"/>
  <c r="AX45" i="41"/>
  <c r="BI45" i="41"/>
  <c r="BT45" i="41"/>
  <c r="D74" i="41"/>
  <c r="D60" i="41"/>
  <c r="J72" i="41"/>
  <c r="J58" i="41"/>
  <c r="V72" i="41"/>
  <c r="V58" i="41"/>
  <c r="J70" i="41"/>
  <c r="J56" i="41"/>
  <c r="V70" i="41"/>
  <c r="V56" i="41"/>
  <c r="AN71" i="41"/>
  <c r="AN57" i="41"/>
  <c r="AZ71" i="41"/>
  <c r="AZ57" i="41"/>
  <c r="I31" i="41"/>
  <c r="U31" i="41"/>
  <c r="AS31" i="41"/>
  <c r="BE31" i="41"/>
  <c r="BQ31" i="41"/>
  <c r="I67" i="41"/>
  <c r="I53" i="41"/>
  <c r="U67" i="41"/>
  <c r="U53" i="41"/>
  <c r="AG67" i="41"/>
  <c r="AG53" i="41"/>
  <c r="AS67" i="41"/>
  <c r="AS53" i="41"/>
  <c r="I73" i="41"/>
  <c r="I59" i="41"/>
  <c r="U73" i="41"/>
  <c r="U59" i="41"/>
  <c r="AG73" i="41"/>
  <c r="AG59" i="41"/>
  <c r="AS73" i="41"/>
  <c r="AS59" i="41"/>
  <c r="I68" i="41"/>
  <c r="I54" i="41"/>
  <c r="U68" i="41"/>
  <c r="U54" i="41"/>
  <c r="AG68" i="41"/>
  <c r="AG54" i="41"/>
  <c r="AS68" i="41"/>
  <c r="AS54" i="41"/>
  <c r="O45" i="41"/>
  <c r="AA45" i="41"/>
  <c r="AM45" i="41"/>
  <c r="AY45" i="41"/>
  <c r="BJ45" i="41"/>
  <c r="BV45" i="41"/>
  <c r="E74" i="41"/>
  <c r="E60" i="41"/>
  <c r="Q74" i="41"/>
  <c r="Q60" i="41"/>
  <c r="AO74" i="41"/>
  <c r="AO60" i="41"/>
  <c r="BA74" i="41"/>
  <c r="BA60" i="41"/>
  <c r="AH69" i="41"/>
  <c r="AH55" i="41"/>
  <c r="AT69" i="41"/>
  <c r="AT55" i="41"/>
  <c r="D71" i="41"/>
  <c r="D57" i="41"/>
  <c r="P71" i="41"/>
  <c r="P57" i="41"/>
  <c r="AB71" i="41"/>
  <c r="AB57" i="41"/>
  <c r="J31" i="41"/>
  <c r="V31" i="41"/>
  <c r="AH31" i="41"/>
  <c r="AT31" i="41"/>
  <c r="BF31" i="41"/>
  <c r="J67" i="41"/>
  <c r="J53" i="41"/>
  <c r="V67" i="41"/>
  <c r="V53" i="41"/>
  <c r="AH67" i="41"/>
  <c r="AH53" i="41"/>
  <c r="AT67" i="41"/>
  <c r="AT53" i="41"/>
  <c r="J73" i="41"/>
  <c r="J59" i="41"/>
  <c r="V73" i="41"/>
  <c r="V59" i="41"/>
  <c r="AH73" i="41"/>
  <c r="AH59" i="41"/>
  <c r="AT73" i="41"/>
  <c r="AT59" i="41"/>
  <c r="J68" i="41"/>
  <c r="J54" i="41"/>
  <c r="V68" i="41"/>
  <c r="V54" i="41"/>
  <c r="AH68" i="41"/>
  <c r="AH54" i="41"/>
  <c r="AT68" i="41"/>
  <c r="AT54" i="41"/>
  <c r="D45" i="41"/>
  <c r="AB45" i="41"/>
  <c r="AN45" i="41"/>
  <c r="AZ45" i="41"/>
  <c r="BK45" i="41"/>
  <c r="BW45" i="41"/>
  <c r="F74" i="41"/>
  <c r="F60" i="41"/>
  <c r="R74" i="41"/>
  <c r="R60" i="41"/>
  <c r="AD74" i="41"/>
  <c r="AD60" i="41"/>
  <c r="AP74" i="41"/>
  <c r="AP60" i="41"/>
  <c r="BB74" i="41"/>
  <c r="BB60" i="41"/>
  <c r="D44" i="41"/>
  <c r="J69" i="41"/>
  <c r="J55" i="41"/>
  <c r="V69" i="41"/>
  <c r="V55" i="41"/>
  <c r="K31" i="41"/>
  <c r="BG31" i="41"/>
  <c r="BS31" i="41"/>
  <c r="K67" i="41"/>
  <c r="K53" i="41"/>
  <c r="W67" i="41"/>
  <c r="W53" i="41"/>
  <c r="AI67" i="41"/>
  <c r="AI53" i="41"/>
  <c r="AU67" i="41"/>
  <c r="AU53" i="41"/>
  <c r="K73" i="41"/>
  <c r="K59" i="41"/>
  <c r="W73" i="41"/>
  <c r="W59" i="41"/>
  <c r="AI73" i="41"/>
  <c r="AI59" i="41"/>
  <c r="AU73" i="41"/>
  <c r="AU59" i="41"/>
  <c r="K68" i="41"/>
  <c r="K54" i="41"/>
  <c r="W68" i="41"/>
  <c r="W54" i="41"/>
  <c r="AI68" i="41"/>
  <c r="AI54" i="41"/>
  <c r="AU68" i="41"/>
  <c r="AU54" i="41"/>
  <c r="E45" i="41"/>
  <c r="Q45" i="41"/>
  <c r="AO45" i="41"/>
  <c r="BA45" i="41"/>
  <c r="BL45" i="41"/>
  <c r="BX45" i="41"/>
  <c r="G74" i="41"/>
  <c r="G60" i="41"/>
  <c r="S74" i="41"/>
  <c r="S60" i="41"/>
  <c r="AE74" i="41"/>
  <c r="AE60" i="41"/>
  <c r="AQ74" i="41"/>
  <c r="AQ60" i="41"/>
  <c r="AL72" i="41"/>
  <c r="AL58" i="41"/>
  <c r="AX72" i="41"/>
  <c r="AX58" i="41"/>
  <c r="D42" i="41"/>
  <c r="L31" i="41"/>
  <c r="X31" i="41"/>
  <c r="AJ31" i="41"/>
  <c r="AV31" i="41"/>
  <c r="BH31" i="41"/>
  <c r="BT31" i="41"/>
  <c r="L67" i="41"/>
  <c r="L53" i="41"/>
  <c r="X67" i="41"/>
  <c r="X53" i="41"/>
  <c r="AJ53" i="41"/>
  <c r="AJ67" i="41"/>
  <c r="AV67" i="41"/>
  <c r="AV53" i="41"/>
  <c r="L73" i="41"/>
  <c r="L59" i="41"/>
  <c r="X73" i="41"/>
  <c r="X59" i="41"/>
  <c r="AJ73" i="41"/>
  <c r="AJ59" i="41"/>
  <c r="AV73" i="41"/>
  <c r="AV59" i="41"/>
  <c r="L54" i="41"/>
  <c r="L68" i="41"/>
  <c r="X54" i="41"/>
  <c r="X68" i="41"/>
  <c r="AJ54" i="41"/>
  <c r="AJ68" i="41"/>
  <c r="AV54" i="41"/>
  <c r="AV68" i="41"/>
  <c r="F45" i="41"/>
  <c r="R45" i="41"/>
  <c r="AD45" i="41"/>
  <c r="AP45" i="41"/>
  <c r="BB45" i="41"/>
  <c r="BM45" i="41"/>
  <c r="BY45" i="41"/>
  <c r="H74" i="41"/>
  <c r="H60" i="41"/>
  <c r="T74" i="41"/>
  <c r="T60" i="41"/>
  <c r="AF74" i="41"/>
  <c r="AF60" i="41"/>
  <c r="AR74" i="41"/>
  <c r="AR60" i="41"/>
  <c r="N72" i="41"/>
  <c r="N58" i="41"/>
  <c r="Z72" i="41"/>
  <c r="Z58" i="41"/>
  <c r="D49" i="41"/>
  <c r="Y31" i="41"/>
  <c r="AK31" i="41"/>
  <c r="AW31" i="41"/>
  <c r="BI31" i="41"/>
  <c r="M53" i="41"/>
  <c r="M67" i="41"/>
  <c r="Y67" i="41"/>
  <c r="Y53" i="41"/>
  <c r="AK67" i="41"/>
  <c r="AK53" i="41"/>
  <c r="AW67" i="41"/>
  <c r="AW53" i="41"/>
  <c r="M73" i="41"/>
  <c r="M59" i="41"/>
  <c r="Y73" i="41"/>
  <c r="Y59" i="41"/>
  <c r="AK73" i="41"/>
  <c r="AK59" i="41"/>
  <c r="AW73" i="41"/>
  <c r="AW59" i="41"/>
  <c r="M54" i="41"/>
  <c r="M68" i="41"/>
  <c r="Y68" i="41"/>
  <c r="Y54" i="41"/>
  <c r="AK68" i="41"/>
  <c r="AK54" i="41"/>
  <c r="AW68" i="41"/>
  <c r="AW54" i="41"/>
  <c r="G45" i="41"/>
  <c r="S45" i="41"/>
  <c r="AE45" i="41"/>
  <c r="AQ45" i="41"/>
  <c r="BN45" i="41"/>
  <c r="D33" i="41"/>
  <c r="AH75" i="41"/>
  <c r="AH61" i="41"/>
  <c r="AT75" i="41"/>
  <c r="AT61" i="41"/>
  <c r="AN76" i="41"/>
  <c r="AN62" i="41"/>
  <c r="AZ76" i="41"/>
  <c r="AZ62" i="41"/>
  <c r="K45" i="41"/>
  <c r="W45" i="41"/>
  <c r="AI45" i="41"/>
  <c r="BF45" i="41"/>
  <c r="BR45" i="41"/>
  <c r="K74" i="41"/>
  <c r="K60" i="41"/>
  <c r="W74" i="41"/>
  <c r="W60" i="41"/>
  <c r="AI74" i="41"/>
  <c r="AI60" i="41"/>
  <c r="AU74" i="41"/>
  <c r="AU60" i="41"/>
  <c r="K72" i="41"/>
  <c r="K58" i="41"/>
  <c r="W72" i="41"/>
  <c r="W58" i="41"/>
  <c r="AI72" i="41"/>
  <c r="AI58" i="41"/>
  <c r="AU58" i="41"/>
  <c r="AU72" i="41"/>
  <c r="E66" i="41"/>
  <c r="E52" i="41"/>
  <c r="Q66" i="41"/>
  <c r="Q52" i="41"/>
  <c r="AO66" i="41"/>
  <c r="AO52" i="41"/>
  <c r="BA66" i="41"/>
  <c r="BA52" i="41"/>
  <c r="K75" i="41"/>
  <c r="K61" i="41"/>
  <c r="AI75" i="41"/>
  <c r="AI61" i="41"/>
  <c r="AU75" i="41"/>
  <c r="AU61" i="41"/>
  <c r="K70" i="41"/>
  <c r="K56" i="41"/>
  <c r="W70" i="41"/>
  <c r="W56" i="41"/>
  <c r="AI70" i="41"/>
  <c r="AI56" i="41"/>
  <c r="AU70" i="41"/>
  <c r="AU56" i="41"/>
  <c r="E65" i="41"/>
  <c r="E51" i="41"/>
  <c r="Q65" i="41"/>
  <c r="Q51" i="41"/>
  <c r="AO65" i="41"/>
  <c r="AO51" i="41"/>
  <c r="BA51" i="41"/>
  <c r="BA65" i="41"/>
  <c r="K69" i="41"/>
  <c r="K55" i="41"/>
  <c r="W69" i="41"/>
  <c r="W55" i="41"/>
  <c r="AI69" i="41"/>
  <c r="AI55" i="41"/>
  <c r="AU55" i="41"/>
  <c r="AU69" i="41"/>
  <c r="BG48" i="41"/>
  <c r="E64" i="41"/>
  <c r="E50" i="41"/>
  <c r="E55" i="41"/>
  <c r="E56" i="41"/>
  <c r="E57" i="41"/>
  <c r="E58" i="41"/>
  <c r="E61" i="41"/>
  <c r="E62" i="41"/>
  <c r="E48" i="41"/>
  <c r="Q64" i="41"/>
  <c r="Q50" i="41"/>
  <c r="AO64" i="41"/>
  <c r="AO50" i="41"/>
  <c r="BA64" i="41"/>
  <c r="BA50" i="41"/>
  <c r="BA55" i="41"/>
  <c r="BA56" i="41"/>
  <c r="BA57" i="41"/>
  <c r="BA58" i="41"/>
  <c r="BA61" i="41"/>
  <c r="BA62" i="41"/>
  <c r="BA48" i="41"/>
  <c r="BM48" i="41"/>
  <c r="BY48" i="41"/>
  <c r="E76" i="41"/>
  <c r="Q76" i="41"/>
  <c r="Q62" i="41"/>
  <c r="AO76" i="41"/>
  <c r="AO62" i="41"/>
  <c r="BA76" i="41"/>
  <c r="E71" i="41"/>
  <c r="Q71" i="41"/>
  <c r="Q57" i="41"/>
  <c r="AO71" i="41"/>
  <c r="AO57" i="41"/>
  <c r="BA71" i="41"/>
  <c r="L72" i="41"/>
  <c r="L58" i="41"/>
  <c r="X72" i="41"/>
  <c r="X58" i="41"/>
  <c r="AJ72" i="41"/>
  <c r="AJ58" i="41"/>
  <c r="AV58" i="41"/>
  <c r="AV72" i="41"/>
  <c r="F66" i="41"/>
  <c r="F52" i="41"/>
  <c r="R52" i="41"/>
  <c r="R66" i="41"/>
  <c r="AD66" i="41"/>
  <c r="AD52" i="41"/>
  <c r="AP66" i="41"/>
  <c r="AP52" i="41"/>
  <c r="BB66" i="41"/>
  <c r="BB52" i="41"/>
  <c r="L75" i="41"/>
  <c r="L61" i="41"/>
  <c r="X75" i="41"/>
  <c r="X61" i="41"/>
  <c r="AJ75" i="41"/>
  <c r="AJ61" i="41"/>
  <c r="AV75" i="41"/>
  <c r="AV61" i="41"/>
  <c r="L70" i="41"/>
  <c r="L56" i="41"/>
  <c r="X70" i="41"/>
  <c r="X56" i="41"/>
  <c r="AJ70" i="41"/>
  <c r="AJ56" i="41"/>
  <c r="AV70" i="41"/>
  <c r="AV56" i="41"/>
  <c r="F65" i="41"/>
  <c r="F51" i="41"/>
  <c r="R65" i="41"/>
  <c r="R51" i="41"/>
  <c r="AD65" i="41"/>
  <c r="AD51" i="41"/>
  <c r="AP65" i="41"/>
  <c r="AP51" i="41"/>
  <c r="BB65" i="41"/>
  <c r="BB51" i="41"/>
  <c r="BN48" i="41"/>
  <c r="L69" i="41"/>
  <c r="L55" i="41"/>
  <c r="X69" i="41"/>
  <c r="X55" i="41"/>
  <c r="AJ69" i="41"/>
  <c r="AJ55" i="41"/>
  <c r="AV55" i="41"/>
  <c r="AV69" i="41"/>
  <c r="R64" i="41"/>
  <c r="R50" i="41"/>
  <c r="AD64" i="41"/>
  <c r="AD50" i="41"/>
  <c r="AD55" i="41"/>
  <c r="AD56" i="41"/>
  <c r="AD57" i="41"/>
  <c r="AD58" i="41"/>
  <c r="AD61" i="41"/>
  <c r="AD62" i="41"/>
  <c r="AD48" i="41"/>
  <c r="AP64" i="41"/>
  <c r="AP50" i="41"/>
  <c r="BN63" i="41"/>
  <c r="BZ48" i="41"/>
  <c r="F76" i="41"/>
  <c r="F62" i="41"/>
  <c r="R76" i="41"/>
  <c r="R62" i="41"/>
  <c r="AD76" i="41"/>
  <c r="AP76" i="41"/>
  <c r="AP62" i="41"/>
  <c r="BB76" i="41"/>
  <c r="BB62" i="41"/>
  <c r="F71" i="41"/>
  <c r="F57" i="41"/>
  <c r="R71" i="41"/>
  <c r="R57" i="41"/>
  <c r="AD71" i="41"/>
  <c r="AP57" i="41"/>
  <c r="AP71" i="41"/>
  <c r="BB71" i="41"/>
  <c r="BB57" i="41"/>
  <c r="M72" i="41"/>
  <c r="M58" i="41"/>
  <c r="Y72" i="41"/>
  <c r="Y58" i="41"/>
  <c r="AK72" i="41"/>
  <c r="AK58" i="41"/>
  <c r="AW72" i="41"/>
  <c r="AW58" i="41"/>
  <c r="S66" i="41"/>
  <c r="S52" i="41"/>
  <c r="AE66" i="41"/>
  <c r="AE52" i="41"/>
  <c r="AQ66" i="41"/>
  <c r="AQ52" i="41"/>
  <c r="M75" i="41"/>
  <c r="M61" i="41"/>
  <c r="Y75" i="41"/>
  <c r="Y61" i="41"/>
  <c r="AK75" i="41"/>
  <c r="AK61" i="41"/>
  <c r="AW75" i="41"/>
  <c r="AW61" i="41"/>
  <c r="M70" i="41"/>
  <c r="M56" i="41"/>
  <c r="Y70" i="41"/>
  <c r="Y56" i="41"/>
  <c r="AK70" i="41"/>
  <c r="AK56" i="41"/>
  <c r="AW70" i="41"/>
  <c r="AW56" i="41"/>
  <c r="G65" i="41"/>
  <c r="G51" i="41"/>
  <c r="S65" i="41"/>
  <c r="S51" i="41"/>
  <c r="AE51" i="41"/>
  <c r="AE65" i="41"/>
  <c r="AQ65" i="41"/>
  <c r="AQ51" i="41"/>
  <c r="M69" i="41"/>
  <c r="M55" i="41"/>
  <c r="Y69" i="41"/>
  <c r="Y55" i="41"/>
  <c r="AK69" i="41"/>
  <c r="AK55" i="41"/>
  <c r="AW69" i="41"/>
  <c r="AW55" i="41"/>
  <c r="G64" i="41"/>
  <c r="G50" i="41"/>
  <c r="S64" i="41"/>
  <c r="S50" i="41"/>
  <c r="AE64" i="41"/>
  <c r="AE50" i="41"/>
  <c r="AQ64" i="41"/>
  <c r="AQ50" i="41"/>
  <c r="BO48" i="41"/>
  <c r="G76" i="41"/>
  <c r="G62" i="41"/>
  <c r="S76" i="41"/>
  <c r="S62" i="41"/>
  <c r="AE76" i="41"/>
  <c r="AE62" i="41"/>
  <c r="AQ76" i="41"/>
  <c r="AQ62" i="41"/>
  <c r="G71" i="41"/>
  <c r="G57" i="41"/>
  <c r="S71" i="41"/>
  <c r="S57" i="41"/>
  <c r="AE71" i="41"/>
  <c r="AE57" i="41"/>
  <c r="AQ71" i="41"/>
  <c r="AQ57" i="41"/>
  <c r="AD36" i="41"/>
  <c r="H66" i="41"/>
  <c r="H52" i="41"/>
  <c r="T66" i="41"/>
  <c r="T52" i="41"/>
  <c r="AF66" i="41"/>
  <c r="AF52" i="41"/>
  <c r="N75" i="41"/>
  <c r="N61" i="41"/>
  <c r="Z75" i="41"/>
  <c r="Z61" i="41"/>
  <c r="AL75" i="41"/>
  <c r="AL61" i="41"/>
  <c r="AX75" i="41"/>
  <c r="AX61" i="41"/>
  <c r="N70" i="41"/>
  <c r="N56" i="41"/>
  <c r="Z70" i="41"/>
  <c r="Z56" i="41"/>
  <c r="AL70" i="41"/>
  <c r="AL56" i="41"/>
  <c r="AX70" i="41"/>
  <c r="AX56" i="41"/>
  <c r="H65" i="41"/>
  <c r="H51" i="41"/>
  <c r="T65" i="41"/>
  <c r="T51" i="41"/>
  <c r="AF65" i="41"/>
  <c r="AF51" i="41"/>
  <c r="AR65" i="41"/>
  <c r="AR51" i="41"/>
  <c r="N69" i="41"/>
  <c r="N55" i="41"/>
  <c r="Z69" i="41"/>
  <c r="Z55" i="41"/>
  <c r="AL69" i="41"/>
  <c r="AL55" i="41"/>
  <c r="AX69" i="41"/>
  <c r="AX55" i="41"/>
  <c r="H64" i="41"/>
  <c r="H50" i="41"/>
  <c r="T64" i="41"/>
  <c r="T50" i="41"/>
  <c r="AF64" i="41"/>
  <c r="AF50" i="41"/>
  <c r="AF55" i="41"/>
  <c r="AF56" i="41"/>
  <c r="AF57" i="41"/>
  <c r="AF58" i="41"/>
  <c r="AF61" i="41"/>
  <c r="AF62" i="41"/>
  <c r="AF48" i="41"/>
  <c r="AR64" i="41"/>
  <c r="AR50" i="41"/>
  <c r="H76" i="41"/>
  <c r="H62" i="41"/>
  <c r="T76" i="41"/>
  <c r="T62" i="41"/>
  <c r="AF76" i="41"/>
  <c r="AR76" i="41"/>
  <c r="AR62" i="41"/>
  <c r="H71" i="41"/>
  <c r="H57" i="41"/>
  <c r="T71" i="41"/>
  <c r="T57" i="41"/>
  <c r="AR71" i="41"/>
  <c r="AR57" i="41"/>
  <c r="F50" i="41"/>
  <c r="AY74" i="41"/>
  <c r="AY60" i="41"/>
  <c r="O72" i="41"/>
  <c r="O58" i="41"/>
  <c r="AA72" i="41"/>
  <c r="AA58" i="41"/>
  <c r="AM72" i="41"/>
  <c r="AM58" i="41"/>
  <c r="AY72" i="41"/>
  <c r="AY58" i="41"/>
  <c r="I66" i="41"/>
  <c r="I52" i="41"/>
  <c r="U66" i="41"/>
  <c r="U52" i="41"/>
  <c r="AG66" i="41"/>
  <c r="AG52" i="41"/>
  <c r="AS66" i="41"/>
  <c r="AS52" i="41"/>
  <c r="O75" i="41"/>
  <c r="O61" i="41"/>
  <c r="AA75" i="41"/>
  <c r="AA61" i="41"/>
  <c r="AM75" i="41"/>
  <c r="AM61" i="41"/>
  <c r="AY75" i="41"/>
  <c r="AY61" i="41"/>
  <c r="O70" i="41"/>
  <c r="O56" i="41"/>
  <c r="AA70" i="41"/>
  <c r="AA56" i="41"/>
  <c r="AM70" i="41"/>
  <c r="AM56" i="41"/>
  <c r="AY70" i="41"/>
  <c r="AY56" i="41"/>
  <c r="I65" i="41"/>
  <c r="I51" i="41"/>
  <c r="U65" i="41"/>
  <c r="U51" i="41"/>
  <c r="AG65" i="41"/>
  <c r="AG51" i="41"/>
  <c r="AS65" i="41"/>
  <c r="AS51" i="41"/>
  <c r="O55" i="41"/>
  <c r="O69" i="41"/>
  <c r="AA69" i="41"/>
  <c r="AA55" i="41"/>
  <c r="AM69" i="41"/>
  <c r="AM55" i="41"/>
  <c r="AY69" i="41"/>
  <c r="AY55" i="41"/>
  <c r="I64" i="41"/>
  <c r="I50" i="41"/>
  <c r="I55" i="41"/>
  <c r="I56" i="41"/>
  <c r="I57" i="41"/>
  <c r="I58" i="41"/>
  <c r="I60" i="41"/>
  <c r="I61" i="41"/>
  <c r="I62" i="41"/>
  <c r="I48" i="41"/>
  <c r="U64" i="41"/>
  <c r="U50" i="41"/>
  <c r="AG64" i="41"/>
  <c r="AG50" i="41"/>
  <c r="AS64" i="41"/>
  <c r="AS50" i="41"/>
  <c r="BE48" i="41"/>
  <c r="BQ48" i="41"/>
  <c r="I76" i="41"/>
  <c r="U76" i="41"/>
  <c r="U62" i="41"/>
  <c r="AG76" i="41"/>
  <c r="AG62" i="41"/>
  <c r="AS76" i="41"/>
  <c r="AS62" i="41"/>
  <c r="I71" i="41"/>
  <c r="U71" i="41"/>
  <c r="U57" i="41"/>
  <c r="AG71" i="41"/>
  <c r="AG57" i="41"/>
  <c r="AS71" i="41"/>
  <c r="AS57" i="41"/>
  <c r="P74" i="41"/>
  <c r="P60" i="41"/>
  <c r="AB74" i="41"/>
  <c r="AB60" i="41"/>
  <c r="AN74" i="41"/>
  <c r="AN60" i="41"/>
  <c r="AZ74" i="41"/>
  <c r="AZ60" i="41"/>
  <c r="D72" i="41"/>
  <c r="D58" i="41"/>
  <c r="P72" i="41"/>
  <c r="P58" i="41"/>
  <c r="AB72" i="41"/>
  <c r="AB58" i="41"/>
  <c r="AN72" i="41"/>
  <c r="AN58" i="41"/>
  <c r="AZ72" i="41"/>
  <c r="AZ58" i="41"/>
  <c r="J66" i="41"/>
  <c r="J52" i="41"/>
  <c r="V66" i="41"/>
  <c r="V52" i="41"/>
  <c r="AH66" i="41"/>
  <c r="AH52" i="41"/>
  <c r="AT66" i="41"/>
  <c r="AT52" i="41"/>
  <c r="D75" i="41"/>
  <c r="D61" i="41"/>
  <c r="P75" i="41"/>
  <c r="P61" i="41"/>
  <c r="AB75" i="41"/>
  <c r="AB61" i="41"/>
  <c r="AN75" i="41"/>
  <c r="AN61" i="41"/>
  <c r="AZ75" i="41"/>
  <c r="AZ61" i="41"/>
  <c r="D70" i="41"/>
  <c r="D56" i="41"/>
  <c r="P70" i="41"/>
  <c r="P56" i="41"/>
  <c r="AB70" i="41"/>
  <c r="AB56" i="41"/>
  <c r="AN70" i="41"/>
  <c r="AN56" i="41"/>
  <c r="J65" i="41"/>
  <c r="J51" i="41"/>
  <c r="V65" i="41"/>
  <c r="V51" i="41"/>
  <c r="AH65" i="41"/>
  <c r="AH51" i="41"/>
  <c r="AT65" i="41"/>
  <c r="AT51" i="41"/>
  <c r="D69" i="41"/>
  <c r="D55" i="41"/>
  <c r="P69" i="41"/>
  <c r="P55" i="41"/>
  <c r="AB69" i="41"/>
  <c r="AB55" i="41"/>
  <c r="AB48" i="41"/>
  <c r="AN69" i="41"/>
  <c r="AN55" i="41"/>
  <c r="AZ69" i="41"/>
  <c r="AZ55" i="41"/>
  <c r="BX48" i="41"/>
  <c r="J64" i="41"/>
  <c r="J50" i="41"/>
  <c r="J57" i="41"/>
  <c r="J62" i="41"/>
  <c r="J48" i="41"/>
  <c r="V64" i="41"/>
  <c r="V50" i="41"/>
  <c r="AH64" i="41"/>
  <c r="AH50" i="41"/>
  <c r="AH57" i="41"/>
  <c r="AH62" i="41"/>
  <c r="AH48" i="41"/>
  <c r="AT64" i="41"/>
  <c r="AT50" i="41"/>
  <c r="BF48" i="41"/>
  <c r="BR48" i="41"/>
  <c r="J76" i="41"/>
  <c r="V76" i="41"/>
  <c r="V62" i="41"/>
  <c r="AH76" i="41"/>
  <c r="AT76" i="41"/>
  <c r="AT62" i="41"/>
  <c r="J71" i="41"/>
  <c r="V71" i="41"/>
  <c r="V57" i="41"/>
  <c r="AH71" i="41"/>
  <c r="AT71" i="41"/>
  <c r="AT57" i="41"/>
  <c r="BB50" i="41"/>
  <c r="AZ56" i="41"/>
  <c r="E72" i="41"/>
  <c r="Q72" i="41"/>
  <c r="Q58" i="41"/>
  <c r="AO72" i="41"/>
  <c r="AO58" i="41"/>
  <c r="BA72" i="41"/>
  <c r="K66" i="41"/>
  <c r="K52" i="41"/>
  <c r="W52" i="41"/>
  <c r="W66" i="41"/>
  <c r="AI66" i="41"/>
  <c r="AI52" i="41"/>
  <c r="AU66" i="41"/>
  <c r="AU52" i="41"/>
  <c r="E75" i="41"/>
  <c r="Q75" i="41"/>
  <c r="Q61" i="41"/>
  <c r="AO75" i="41"/>
  <c r="AO61" i="41"/>
  <c r="BA75" i="41"/>
  <c r="E70" i="41"/>
  <c r="Q70" i="41"/>
  <c r="Q56" i="41"/>
  <c r="AO56" i="41"/>
  <c r="AO70" i="41"/>
  <c r="BA70" i="41"/>
  <c r="K65" i="41"/>
  <c r="K51" i="41"/>
  <c r="W65" i="41"/>
  <c r="W51" i="41"/>
  <c r="AI65" i="41"/>
  <c r="AI51" i="41"/>
  <c r="AU65" i="41"/>
  <c r="AU51" i="41"/>
  <c r="E69" i="41"/>
  <c r="Q69" i="41"/>
  <c r="Q55" i="41"/>
  <c r="AO69" i="41"/>
  <c r="AO55" i="41"/>
  <c r="BA69" i="41"/>
  <c r="K64" i="41"/>
  <c r="K50" i="41"/>
  <c r="W50" i="41"/>
  <c r="W64" i="41"/>
  <c r="AI64" i="41"/>
  <c r="AI50" i="41"/>
  <c r="AI57" i="41"/>
  <c r="AI62" i="41"/>
  <c r="AI48" i="41"/>
  <c r="AU64" i="41"/>
  <c r="AU50" i="41"/>
  <c r="BS48" i="41"/>
  <c r="K76" i="41"/>
  <c r="K62" i="41"/>
  <c r="W76" i="41"/>
  <c r="W62" i="41"/>
  <c r="AI76" i="41"/>
  <c r="AU76" i="41"/>
  <c r="AU62" i="41"/>
  <c r="K71" i="41"/>
  <c r="K57" i="41"/>
  <c r="W71" i="41"/>
  <c r="W57" i="41"/>
  <c r="AI71" i="41"/>
  <c r="AU71" i="41"/>
  <c r="AU57" i="41"/>
  <c r="AD72" i="41"/>
  <c r="AP72" i="41"/>
  <c r="AP58" i="41"/>
  <c r="BB72" i="41"/>
  <c r="BB58" i="41"/>
  <c r="L66" i="41"/>
  <c r="L52" i="41"/>
  <c r="X66" i="41"/>
  <c r="X52" i="41"/>
  <c r="AJ66" i="41"/>
  <c r="AJ52" i="41"/>
  <c r="AV66" i="41"/>
  <c r="AV52" i="41"/>
  <c r="F75" i="41"/>
  <c r="F61" i="41"/>
  <c r="R75" i="41"/>
  <c r="R61" i="41"/>
  <c r="AD75" i="41"/>
  <c r="AP75" i="41"/>
  <c r="AP61" i="41"/>
  <c r="BB75" i="41"/>
  <c r="BB61" i="41"/>
  <c r="F56" i="41"/>
  <c r="F70" i="41"/>
  <c r="R56" i="41"/>
  <c r="R70" i="41"/>
  <c r="AD70" i="41"/>
  <c r="AP56" i="41"/>
  <c r="AP70" i="41"/>
  <c r="BB70" i="41"/>
  <c r="BB56" i="41"/>
  <c r="L65" i="41"/>
  <c r="L51" i="41"/>
  <c r="X65" i="41"/>
  <c r="X51" i="41"/>
  <c r="X50" i="41"/>
  <c r="X57" i="41"/>
  <c r="X62" i="41"/>
  <c r="X48" i="41"/>
  <c r="AJ65" i="41"/>
  <c r="AJ51" i="41"/>
  <c r="AV65" i="41"/>
  <c r="AV51" i="41"/>
  <c r="BT48" i="41"/>
  <c r="F55" i="41"/>
  <c r="F69" i="41"/>
  <c r="R55" i="41"/>
  <c r="R69" i="41"/>
  <c r="AD69" i="41"/>
  <c r="AP55" i="41"/>
  <c r="AP69" i="41"/>
  <c r="BB55" i="41"/>
  <c r="BB69" i="41"/>
  <c r="L64" i="41"/>
  <c r="L50" i="41"/>
  <c r="X64" i="41"/>
  <c r="AJ64" i="41"/>
  <c r="AJ50" i="41"/>
  <c r="AV64" i="41"/>
  <c r="AV50" i="41"/>
  <c r="BH48" i="41"/>
  <c r="L76" i="41"/>
  <c r="L62" i="41"/>
  <c r="X76" i="41"/>
  <c r="AJ76" i="41"/>
  <c r="AJ62" i="41"/>
  <c r="AV76" i="41"/>
  <c r="AV62" i="41"/>
  <c r="L71" i="41"/>
  <c r="L57" i="41"/>
  <c r="X71" i="41"/>
  <c r="AJ71" i="41"/>
  <c r="AJ57" i="41"/>
  <c r="AV71" i="41"/>
  <c r="AV57" i="41"/>
  <c r="AA51" i="41"/>
  <c r="R58" i="41"/>
  <c r="G72" i="41"/>
  <c r="G58" i="41"/>
  <c r="S72" i="41"/>
  <c r="S58" i="41"/>
  <c r="AE72" i="41"/>
  <c r="AE58" i="41"/>
  <c r="AQ72" i="41"/>
  <c r="AQ58" i="41"/>
  <c r="M52" i="41"/>
  <c r="M66" i="41"/>
  <c r="Y52" i="41"/>
  <c r="Y66" i="41"/>
  <c r="AK66" i="41"/>
  <c r="AK52" i="41"/>
  <c r="AW66" i="41"/>
  <c r="AW52" i="41"/>
  <c r="G75" i="41"/>
  <c r="G61" i="41"/>
  <c r="S75" i="41"/>
  <c r="S61" i="41"/>
  <c r="AE75" i="41"/>
  <c r="AE61" i="41"/>
  <c r="AQ75" i="41"/>
  <c r="AQ61" i="41"/>
  <c r="G70" i="41"/>
  <c r="G56" i="41"/>
  <c r="S70" i="41"/>
  <c r="S56" i="41"/>
  <c r="AE70" i="41"/>
  <c r="AE56" i="41"/>
  <c r="AQ56" i="41"/>
  <c r="AQ70" i="41"/>
  <c r="M65" i="41"/>
  <c r="M51" i="41"/>
  <c r="Y65" i="41"/>
  <c r="Y51" i="41"/>
  <c r="AK65" i="41"/>
  <c r="AK51" i="41"/>
  <c r="AW65" i="41"/>
  <c r="AW51" i="41"/>
  <c r="G69" i="41"/>
  <c r="G55" i="41"/>
  <c r="S69" i="41"/>
  <c r="S55" i="41"/>
  <c r="AE69" i="41"/>
  <c r="AE55" i="41"/>
  <c r="AQ69" i="41"/>
  <c r="AQ55" i="41"/>
  <c r="M64" i="41"/>
  <c r="M50" i="41"/>
  <c r="Y50" i="41"/>
  <c r="Y64" i="41"/>
  <c r="AK64" i="41"/>
  <c r="AK50" i="41"/>
  <c r="AW64" i="41"/>
  <c r="AW50" i="41"/>
  <c r="BI48" i="41"/>
  <c r="M76" i="41"/>
  <c r="M62" i="41"/>
  <c r="Y76" i="41"/>
  <c r="Y62" i="41"/>
  <c r="AK76" i="41"/>
  <c r="AK62" i="41"/>
  <c r="AW76" i="41"/>
  <c r="AW62" i="41"/>
  <c r="M57" i="41"/>
  <c r="M71" i="41"/>
  <c r="Y71" i="41"/>
  <c r="Y57" i="41"/>
  <c r="AK71" i="41"/>
  <c r="AK57" i="41"/>
  <c r="AW71" i="41"/>
  <c r="AW57" i="41"/>
  <c r="AY51" i="41"/>
  <c r="H72" i="41"/>
  <c r="H58" i="41"/>
  <c r="T72" i="41"/>
  <c r="T58" i="41"/>
  <c r="AF72" i="41"/>
  <c r="AR72" i="41"/>
  <c r="AR58" i="41"/>
  <c r="N66" i="41"/>
  <c r="N52" i="41"/>
  <c r="Z66" i="41"/>
  <c r="Z52" i="41"/>
  <c r="AL66" i="41"/>
  <c r="AL52" i="41"/>
  <c r="AX66" i="41"/>
  <c r="AX52" i="41"/>
  <c r="H75" i="41"/>
  <c r="H61" i="41"/>
  <c r="T75" i="41"/>
  <c r="T61" i="41"/>
  <c r="T55" i="41"/>
  <c r="T56" i="41"/>
  <c r="T48" i="41"/>
  <c r="AF75" i="41"/>
  <c r="AR75" i="41"/>
  <c r="AR61" i="41"/>
  <c r="H70" i="41"/>
  <c r="H56" i="41"/>
  <c r="T70" i="41"/>
  <c r="AF70" i="41"/>
  <c r="AR70" i="41"/>
  <c r="AR56" i="41"/>
  <c r="N65" i="41"/>
  <c r="N51" i="41"/>
  <c r="Z65" i="41"/>
  <c r="Z51" i="41"/>
  <c r="AL65" i="41"/>
  <c r="AL51" i="41"/>
  <c r="AX65" i="41"/>
  <c r="AX51" i="41"/>
  <c r="BV48" i="41"/>
  <c r="H69" i="41"/>
  <c r="H55" i="41"/>
  <c r="T69" i="41"/>
  <c r="AF69" i="41"/>
  <c r="AR69" i="41"/>
  <c r="AR55" i="41"/>
  <c r="BP48" i="41"/>
  <c r="N64" i="41"/>
  <c r="N50" i="41"/>
  <c r="Z64" i="41"/>
  <c r="Z50" i="41"/>
  <c r="AL64" i="41"/>
  <c r="AL50" i="41"/>
  <c r="AX64" i="41"/>
  <c r="AX50" i="41"/>
  <c r="BJ48" i="41"/>
  <c r="N76" i="41"/>
  <c r="N62" i="41"/>
  <c r="Z76" i="41"/>
  <c r="Z62" i="41"/>
  <c r="AL76" i="41"/>
  <c r="AL62" i="41"/>
  <c r="AX76" i="41"/>
  <c r="AX62" i="41"/>
  <c r="N71" i="41"/>
  <c r="N57" i="41"/>
  <c r="Z71" i="41"/>
  <c r="Z57" i="41"/>
  <c r="AL71" i="41"/>
  <c r="AL57" i="41"/>
  <c r="AX71" i="41"/>
  <c r="AX57" i="41"/>
  <c r="G52" i="41"/>
  <c r="AS45" i="41"/>
  <c r="BE45" i="41"/>
  <c r="BP45" i="41"/>
  <c r="I74" i="41"/>
  <c r="U74" i="41"/>
  <c r="U60" i="41"/>
  <c r="AG60" i="41"/>
  <c r="AG74" i="41"/>
  <c r="AS74" i="41"/>
  <c r="AS60" i="41"/>
  <c r="I72" i="41"/>
  <c r="U72" i="41"/>
  <c r="U58" i="41"/>
  <c r="AG72" i="41"/>
  <c r="AG58" i="41"/>
  <c r="AS58" i="41"/>
  <c r="AS72" i="41"/>
  <c r="O66" i="41"/>
  <c r="O52" i="41"/>
  <c r="AA66" i="41"/>
  <c r="AA52" i="41"/>
  <c r="AM66" i="41"/>
  <c r="AM52" i="41"/>
  <c r="AY66" i="41"/>
  <c r="AY52" i="41"/>
  <c r="I75" i="41"/>
  <c r="U75" i="41"/>
  <c r="U61" i="41"/>
  <c r="AG75" i="41"/>
  <c r="AG61" i="41"/>
  <c r="AS75" i="41"/>
  <c r="AS61" i="41"/>
  <c r="I70" i="41"/>
  <c r="U70" i="41"/>
  <c r="U56" i="41"/>
  <c r="AG70" i="41"/>
  <c r="AG56" i="41"/>
  <c r="AS70" i="41"/>
  <c r="AS56" i="41"/>
  <c r="O65" i="41"/>
  <c r="O51" i="41"/>
  <c r="AM65" i="41"/>
  <c r="AM51" i="41"/>
  <c r="I69" i="41"/>
  <c r="U69" i="41"/>
  <c r="U55" i="41"/>
  <c r="AG69" i="41"/>
  <c r="AG55" i="41"/>
  <c r="AS69" i="41"/>
  <c r="AS55" i="41"/>
  <c r="O64" i="41"/>
  <c r="O50" i="41"/>
  <c r="AA64" i="41"/>
  <c r="AA50" i="41"/>
  <c r="AM64" i="41"/>
  <c r="AM50" i="41"/>
  <c r="AM57" i="41"/>
  <c r="AM62" i="41"/>
  <c r="AM48" i="41"/>
  <c r="AY64" i="41"/>
  <c r="AY50" i="41"/>
  <c r="BW48" i="41"/>
  <c r="O76" i="41"/>
  <c r="O62" i="41"/>
  <c r="AA76" i="41"/>
  <c r="AA62" i="41"/>
  <c r="AM76" i="41"/>
  <c r="AY76" i="41"/>
  <c r="AY62" i="41"/>
  <c r="O71" i="41"/>
  <c r="O57" i="41"/>
  <c r="AA57" i="41"/>
  <c r="AA71" i="41"/>
  <c r="AM71" i="41"/>
  <c r="AY71" i="41"/>
  <c r="AY57" i="41"/>
  <c r="AR52" i="41"/>
  <c r="W61" i="41"/>
  <c r="EH53" i="18"/>
  <c r="EW53" i="18"/>
  <c r="EH54" i="18"/>
  <c r="EW54" i="18"/>
  <c r="EH55" i="18"/>
  <c r="EW55" i="18"/>
  <c r="EH56" i="18"/>
  <c r="EW56" i="18"/>
  <c r="EH57" i="18"/>
  <c r="EW57" i="18"/>
  <c r="EH58" i="18"/>
  <c r="EW58" i="18"/>
  <c r="EH59" i="18"/>
  <c r="EW59" i="18"/>
  <c r="EH60" i="18"/>
  <c r="EW60" i="18"/>
  <c r="EH61" i="18"/>
  <c r="EW61" i="18"/>
  <c r="EH50" i="18"/>
  <c r="EW50" i="18"/>
  <c r="DR16" i="18"/>
  <c r="BX65" i="18"/>
  <c r="CM65" i="18"/>
  <c r="DR27" i="18"/>
  <c r="BX67" i="18"/>
  <c r="CM67" i="18"/>
  <c r="DR25" i="18"/>
  <c r="DR24" i="18"/>
  <c r="DR12" i="18"/>
  <c r="DR9" i="18"/>
  <c r="DR20" i="18"/>
  <c r="DR7" i="18"/>
  <c r="DR18" i="18"/>
  <c r="CM31" i="18"/>
  <c r="CM45" i="18"/>
  <c r="BX52" i="18"/>
  <c r="CM52" i="18"/>
  <c r="BX54" i="18"/>
  <c r="CM54" i="18"/>
  <c r="BX55" i="18"/>
  <c r="CM55" i="18"/>
  <c r="BX56" i="18"/>
  <c r="CM56" i="18"/>
  <c r="BX57" i="18"/>
  <c r="CM57" i="18"/>
  <c r="BX58" i="18"/>
  <c r="CM58" i="18"/>
  <c r="BX59" i="18"/>
  <c r="CM59" i="18"/>
  <c r="BX60" i="18"/>
  <c r="CM60" i="18"/>
  <c r="BX61" i="18"/>
  <c r="CM61" i="18"/>
  <c r="BX50" i="18"/>
  <c r="CM50" i="18"/>
  <c r="BX62" i="18"/>
  <c r="CM62" i="18"/>
  <c r="AI31" i="18"/>
  <c r="BH27" i="18"/>
  <c r="AI45" i="18"/>
  <c r="BH25" i="18"/>
  <c r="BH24" i="18"/>
  <c r="BH12" i="18"/>
  <c r="BH21" i="18"/>
  <c r="BH9" i="18"/>
  <c r="BH20" i="18"/>
  <c r="BH7" i="18"/>
  <c r="BH18" i="18"/>
  <c r="BH29" i="18"/>
  <c r="BH17" i="18"/>
  <c r="BH5" i="18"/>
  <c r="W68" i="18"/>
  <c r="AI68" i="18"/>
  <c r="K74" i="18"/>
  <c r="W69" i="18"/>
  <c r="AI69" i="18"/>
  <c r="AI64" i="18"/>
  <c r="AI49" i="18"/>
  <c r="W53" i="18"/>
  <c r="AI53" i="18"/>
  <c r="AI33" i="18"/>
  <c r="W66" i="18"/>
  <c r="AI66" i="18"/>
  <c r="W56" i="18"/>
  <c r="AI56" i="18"/>
  <c r="W57" i="18"/>
  <c r="AI57" i="18"/>
  <c r="W58" i="18"/>
  <c r="AI58" i="18"/>
  <c r="K50" i="18"/>
  <c r="W59" i="18"/>
  <c r="AI59" i="18"/>
  <c r="K52" i="18"/>
  <c r="W60" i="18"/>
  <c r="AI60" i="18"/>
  <c r="K53" i="18"/>
  <c r="W61" i="18"/>
  <c r="AI61" i="18"/>
  <c r="K54" i="18"/>
  <c r="W50" i="18"/>
  <c r="AI50" i="18"/>
  <c r="W62" i="18"/>
  <c r="AI62" i="18"/>
  <c r="K62" i="18"/>
  <c r="W51" i="18"/>
  <c r="AI51" i="18"/>
  <c r="K31" i="18"/>
  <c r="K45" i="18"/>
  <c r="K63" i="18"/>
  <c r="K55" i="18"/>
  <c r="K56" i="18"/>
  <c r="K57" i="18"/>
  <c r="K58" i="18"/>
  <c r="K59" i="18"/>
  <c r="K61" i="18"/>
  <c r="K51" i="18"/>
  <c r="BU53" i="31"/>
  <c r="BU54" i="31"/>
  <c r="U45" i="31"/>
  <c r="U50" i="31"/>
  <c r="BU55" i="31"/>
  <c r="U52" i="31"/>
  <c r="BU56" i="31"/>
  <c r="BU57" i="31"/>
  <c r="BU58" i="31"/>
  <c r="U67" i="31"/>
  <c r="U54" i="31"/>
  <c r="U56" i="31"/>
  <c r="U57" i="31"/>
  <c r="U58" i="31"/>
  <c r="U59" i="31"/>
  <c r="U61" i="31"/>
  <c r="U62" i="31"/>
  <c r="BU31" i="30"/>
  <c r="BU63" i="30"/>
  <c r="BU53" i="30"/>
  <c r="BU58" i="30"/>
  <c r="BU59" i="30"/>
  <c r="BU60" i="30"/>
  <c r="BU61" i="30"/>
  <c r="BU50" i="30"/>
  <c r="BU62" i="30"/>
  <c r="U53" i="30"/>
  <c r="U54" i="30"/>
  <c r="U65" i="30"/>
  <c r="U31" i="30"/>
  <c r="U66" i="30"/>
  <c r="U63" i="30"/>
  <c r="U55" i="30"/>
  <c r="U56" i="30"/>
  <c r="U57" i="30"/>
  <c r="U58" i="30"/>
  <c r="U59" i="30"/>
  <c r="U60" i="30"/>
  <c r="U61" i="30"/>
  <c r="U50" i="30"/>
  <c r="U62" i="30"/>
  <c r="U74" i="27"/>
  <c r="U61" i="27"/>
  <c r="U35" i="27"/>
  <c r="U31" i="27"/>
  <c r="AU74" i="27"/>
  <c r="AU61" i="27"/>
  <c r="AU35" i="27"/>
  <c r="AU67" i="28"/>
  <c r="U47" i="27"/>
  <c r="U45" i="27"/>
  <c r="AU60" i="27"/>
  <c r="AU47" i="27"/>
  <c r="AU45" i="27"/>
  <c r="AU68" i="28"/>
  <c r="AU63" i="28"/>
  <c r="U72" i="27"/>
  <c r="U63" i="27"/>
  <c r="AU72" i="27"/>
  <c r="AU57" i="28"/>
  <c r="AU69" i="28"/>
  <c r="U76" i="28"/>
  <c r="U71" i="27"/>
  <c r="U58" i="27"/>
  <c r="AU71" i="27"/>
  <c r="AU58" i="27"/>
  <c r="AU48" i="27"/>
  <c r="AU44" i="27"/>
  <c r="AU32" i="27"/>
  <c r="AU70" i="28"/>
  <c r="U41" i="28"/>
  <c r="U70" i="27"/>
  <c r="U57" i="27"/>
  <c r="U43" i="27"/>
  <c r="AU70" i="27"/>
  <c r="AU57" i="27"/>
  <c r="AU43" i="27"/>
  <c r="AU33" i="28"/>
  <c r="AU34" i="28"/>
  <c r="AU31" i="28"/>
  <c r="AU46" i="28"/>
  <c r="U31" i="26"/>
  <c r="D32" i="26"/>
  <c r="D33" i="26"/>
  <c r="D34" i="26"/>
  <c r="D35" i="26"/>
  <c r="D36" i="26"/>
  <c r="D37" i="26"/>
  <c r="D38" i="26"/>
  <c r="D39" i="26"/>
  <c r="D40" i="26"/>
  <c r="D41" i="26"/>
  <c r="D42" i="26"/>
  <c r="D43" i="26"/>
  <c r="D44" i="26"/>
  <c r="D31" i="26"/>
  <c r="E32" i="26"/>
  <c r="E33" i="26"/>
  <c r="E34" i="26"/>
  <c r="E35" i="26"/>
  <c r="E36" i="26"/>
  <c r="E37" i="26"/>
  <c r="E38" i="26"/>
  <c r="E39" i="26"/>
  <c r="E40" i="26"/>
  <c r="E41" i="26"/>
  <c r="E42" i="26"/>
  <c r="E43" i="26"/>
  <c r="E44" i="26"/>
  <c r="E31" i="26"/>
  <c r="F32" i="26"/>
  <c r="F33" i="26"/>
  <c r="F34" i="26"/>
  <c r="F35" i="26"/>
  <c r="F36" i="26"/>
  <c r="F37" i="26"/>
  <c r="F38" i="26"/>
  <c r="F39" i="26"/>
  <c r="F40" i="26"/>
  <c r="F41" i="26"/>
  <c r="F42" i="26"/>
  <c r="F43" i="26"/>
  <c r="F44" i="26"/>
  <c r="F31" i="26"/>
  <c r="G32" i="26"/>
  <c r="G33" i="26"/>
  <c r="G34" i="26"/>
  <c r="G35" i="26"/>
  <c r="G36" i="26"/>
  <c r="G37" i="26"/>
  <c r="G38" i="26"/>
  <c r="G39" i="26"/>
  <c r="G40" i="26"/>
  <c r="G41" i="26"/>
  <c r="G42" i="26"/>
  <c r="G43" i="26"/>
  <c r="G44" i="26"/>
  <c r="G31" i="26"/>
  <c r="H32" i="26"/>
  <c r="H33" i="26"/>
  <c r="H34" i="26"/>
  <c r="H35" i="26"/>
  <c r="H36" i="26"/>
  <c r="H37" i="26"/>
  <c r="H38" i="26"/>
  <c r="H39" i="26"/>
  <c r="H40" i="26"/>
  <c r="H41" i="26"/>
  <c r="H42" i="26"/>
  <c r="H43" i="26"/>
  <c r="H44" i="26"/>
  <c r="H31" i="26"/>
  <c r="I32" i="26"/>
  <c r="I33" i="26"/>
  <c r="I34" i="26"/>
  <c r="I35" i="26"/>
  <c r="I36" i="26"/>
  <c r="I37" i="26"/>
  <c r="I38" i="26"/>
  <c r="I39" i="26"/>
  <c r="I40" i="26"/>
  <c r="I41" i="26"/>
  <c r="I42" i="26"/>
  <c r="I43" i="26"/>
  <c r="I44" i="26"/>
  <c r="I31" i="26"/>
  <c r="J32" i="26"/>
  <c r="J33" i="26"/>
  <c r="J34" i="26"/>
  <c r="J35" i="26"/>
  <c r="J36" i="26"/>
  <c r="J37" i="26"/>
  <c r="J38" i="26"/>
  <c r="J39" i="26"/>
  <c r="J40" i="26"/>
  <c r="J41" i="26"/>
  <c r="J42" i="26"/>
  <c r="J43" i="26"/>
  <c r="J44" i="26"/>
  <c r="J31" i="26"/>
  <c r="K32" i="26"/>
  <c r="K33" i="26"/>
  <c r="K34" i="26"/>
  <c r="K35" i="26"/>
  <c r="K36" i="26"/>
  <c r="K37" i="26"/>
  <c r="K38" i="26"/>
  <c r="K39" i="26"/>
  <c r="K40" i="26"/>
  <c r="K41" i="26"/>
  <c r="K42" i="26"/>
  <c r="K43" i="26"/>
  <c r="K44" i="26"/>
  <c r="K31" i="26"/>
  <c r="L32" i="26"/>
  <c r="L33" i="26"/>
  <c r="L34" i="26"/>
  <c r="L35" i="26"/>
  <c r="L36" i="26"/>
  <c r="L37" i="26"/>
  <c r="L38" i="26"/>
  <c r="L39" i="26"/>
  <c r="L40" i="26"/>
  <c r="L41" i="26"/>
  <c r="L42" i="26"/>
  <c r="L43" i="26"/>
  <c r="L44" i="26"/>
  <c r="L31" i="26"/>
  <c r="M32" i="26"/>
  <c r="M33" i="26"/>
  <c r="M34" i="26"/>
  <c r="M35" i="26"/>
  <c r="M36" i="26"/>
  <c r="M37" i="26"/>
  <c r="M38" i="26"/>
  <c r="M39" i="26"/>
  <c r="M40" i="26"/>
  <c r="M41" i="26"/>
  <c r="M42" i="26"/>
  <c r="M43" i="26"/>
  <c r="M44" i="26"/>
  <c r="M31" i="26"/>
  <c r="N32" i="26"/>
  <c r="N33" i="26"/>
  <c r="N34" i="26"/>
  <c r="N35" i="26"/>
  <c r="N36" i="26"/>
  <c r="N37" i="26"/>
  <c r="N38" i="26"/>
  <c r="N39" i="26"/>
  <c r="N40" i="26"/>
  <c r="N41" i="26"/>
  <c r="N42" i="26"/>
  <c r="N43" i="26"/>
  <c r="N44" i="26"/>
  <c r="N31" i="26"/>
  <c r="O32" i="26"/>
  <c r="O33" i="26"/>
  <c r="O34" i="26"/>
  <c r="O35" i="26"/>
  <c r="O36" i="26"/>
  <c r="O37" i="26"/>
  <c r="O38" i="26"/>
  <c r="O39" i="26"/>
  <c r="O40" i="26"/>
  <c r="O41" i="26"/>
  <c r="O42" i="26"/>
  <c r="O43" i="26"/>
  <c r="O44" i="26"/>
  <c r="O31" i="26"/>
  <c r="P32" i="26"/>
  <c r="P33" i="26"/>
  <c r="P34" i="26"/>
  <c r="P35" i="26"/>
  <c r="P36" i="26"/>
  <c r="P37" i="26"/>
  <c r="P38" i="26"/>
  <c r="P39" i="26"/>
  <c r="P40" i="26"/>
  <c r="P41" i="26"/>
  <c r="P42" i="26"/>
  <c r="P43" i="26"/>
  <c r="P44" i="26"/>
  <c r="P31" i="26"/>
  <c r="Q32" i="26"/>
  <c r="Q33" i="26"/>
  <c r="Q34" i="26"/>
  <c r="Q35" i="26"/>
  <c r="Q36" i="26"/>
  <c r="Q37" i="26"/>
  <c r="Q38" i="26"/>
  <c r="Q39" i="26"/>
  <c r="Q40" i="26"/>
  <c r="Q41" i="26"/>
  <c r="Q42" i="26"/>
  <c r="Q43" i="26"/>
  <c r="Q44" i="26"/>
  <c r="Q31" i="26"/>
  <c r="R32" i="26"/>
  <c r="R33" i="26"/>
  <c r="R34" i="26"/>
  <c r="R35" i="26"/>
  <c r="R36" i="26"/>
  <c r="R37" i="26"/>
  <c r="R38" i="26"/>
  <c r="R39" i="26"/>
  <c r="R40" i="26"/>
  <c r="R41" i="26"/>
  <c r="R42" i="26"/>
  <c r="R43" i="26"/>
  <c r="R44" i="26"/>
  <c r="R31" i="26"/>
  <c r="S32" i="26"/>
  <c r="S33" i="26"/>
  <c r="S34" i="26"/>
  <c r="S35" i="26"/>
  <c r="S36" i="26"/>
  <c r="S37" i="26"/>
  <c r="S38" i="26"/>
  <c r="S39" i="26"/>
  <c r="S40" i="26"/>
  <c r="S41" i="26"/>
  <c r="S42" i="26"/>
  <c r="S43" i="26"/>
  <c r="S44" i="26"/>
  <c r="S31" i="26"/>
  <c r="T32" i="26"/>
  <c r="T33" i="26"/>
  <c r="T34" i="26"/>
  <c r="T35" i="26"/>
  <c r="T36" i="26"/>
  <c r="T37" i="26"/>
  <c r="T38" i="26"/>
  <c r="T39" i="26"/>
  <c r="T40" i="26"/>
  <c r="T41" i="26"/>
  <c r="T42" i="26"/>
  <c r="T43" i="26"/>
  <c r="T44" i="26"/>
  <c r="T31" i="26"/>
  <c r="V32" i="26"/>
  <c r="V33" i="26"/>
  <c r="V34" i="26"/>
  <c r="V35" i="26"/>
  <c r="V36" i="26"/>
  <c r="V37" i="26"/>
  <c r="V38" i="26"/>
  <c r="V39" i="26"/>
  <c r="V40" i="26"/>
  <c r="V41" i="26"/>
  <c r="V42" i="26"/>
  <c r="V43" i="26"/>
  <c r="V44" i="26"/>
  <c r="V31" i="26"/>
  <c r="W32" i="26"/>
  <c r="W33" i="26"/>
  <c r="W34" i="26"/>
  <c r="W35" i="26"/>
  <c r="W36" i="26"/>
  <c r="W37" i="26"/>
  <c r="W38" i="26"/>
  <c r="W39" i="26"/>
  <c r="W40" i="26"/>
  <c r="W41" i="26"/>
  <c r="W42" i="26"/>
  <c r="W43" i="26"/>
  <c r="W44" i="26"/>
  <c r="W31" i="26"/>
  <c r="X32" i="26"/>
  <c r="X33" i="26"/>
  <c r="X34" i="26"/>
  <c r="X35" i="26"/>
  <c r="X36" i="26"/>
  <c r="X37" i="26"/>
  <c r="X38" i="26"/>
  <c r="X39" i="26"/>
  <c r="X40" i="26"/>
  <c r="X41" i="26"/>
  <c r="X42" i="26"/>
  <c r="X43" i="26"/>
  <c r="X44" i="26"/>
  <c r="X31" i="26"/>
  <c r="Y32" i="26"/>
  <c r="Y33" i="26"/>
  <c r="Y34" i="26"/>
  <c r="Y35" i="26"/>
  <c r="Y36" i="26"/>
  <c r="Y37" i="26"/>
  <c r="Y38" i="26"/>
  <c r="Y39" i="26"/>
  <c r="Y40" i="26"/>
  <c r="Y41" i="26"/>
  <c r="Y42" i="26"/>
  <c r="Y43" i="26"/>
  <c r="Y44" i="26"/>
  <c r="Y31" i="26"/>
  <c r="Z32" i="26"/>
  <c r="Z33" i="26"/>
  <c r="Z34" i="26"/>
  <c r="Z35" i="26"/>
  <c r="Z36" i="26"/>
  <c r="Z37" i="26"/>
  <c r="Z38" i="26"/>
  <c r="Z39" i="26"/>
  <c r="Z40" i="26"/>
  <c r="Z41" i="26"/>
  <c r="Z42" i="26"/>
  <c r="Z43" i="26"/>
  <c r="Z44" i="26"/>
  <c r="Z31" i="26"/>
  <c r="C31" i="26"/>
  <c r="AU63" i="26"/>
  <c r="AR64" i="26"/>
  <c r="AR65" i="26"/>
  <c r="AR66" i="26"/>
  <c r="AR67" i="26"/>
  <c r="AR68" i="26"/>
  <c r="AR69" i="26"/>
  <c r="AR70" i="26"/>
  <c r="AR71" i="26"/>
  <c r="AR72" i="26"/>
  <c r="AR73" i="26"/>
  <c r="AR74" i="26"/>
  <c r="AR75" i="26"/>
  <c r="AR76" i="26"/>
  <c r="AR63" i="26"/>
  <c r="AD64" i="26"/>
  <c r="AD65" i="26"/>
  <c r="AD66" i="26"/>
  <c r="AD67" i="26"/>
  <c r="AD68" i="26"/>
  <c r="AD69" i="26"/>
  <c r="AD70" i="26"/>
  <c r="AD71" i="26"/>
  <c r="AD72" i="26"/>
  <c r="AD73" i="26"/>
  <c r="AD74" i="26"/>
  <c r="AD75" i="26"/>
  <c r="AD76" i="26"/>
  <c r="AD63" i="26"/>
  <c r="AE64" i="26"/>
  <c r="AE65" i="26"/>
  <c r="AE66" i="26"/>
  <c r="AE67" i="26"/>
  <c r="AE68" i="26"/>
  <c r="AE69" i="26"/>
  <c r="AE70" i="26"/>
  <c r="AE71" i="26"/>
  <c r="AE72" i="26"/>
  <c r="AE73" i="26"/>
  <c r="AE74" i="26"/>
  <c r="AE75" i="26"/>
  <c r="AE76" i="26"/>
  <c r="AE63" i="26"/>
  <c r="AF64" i="26"/>
  <c r="AF65" i="26"/>
  <c r="AF66" i="26"/>
  <c r="AF67" i="26"/>
  <c r="AF68" i="26"/>
  <c r="AF69" i="26"/>
  <c r="AF70" i="26"/>
  <c r="AF71" i="26"/>
  <c r="AF72" i="26"/>
  <c r="AF73" i="26"/>
  <c r="AF74" i="26"/>
  <c r="AF75" i="26"/>
  <c r="AF76" i="26"/>
  <c r="AF63" i="26"/>
  <c r="AG64" i="26"/>
  <c r="AG65" i="26"/>
  <c r="AG66" i="26"/>
  <c r="AG67" i="26"/>
  <c r="AG68" i="26"/>
  <c r="AG69" i="26"/>
  <c r="AG70" i="26"/>
  <c r="AG71" i="26"/>
  <c r="AG72" i="26"/>
  <c r="AG73" i="26"/>
  <c r="AG74" i="26"/>
  <c r="AG75" i="26"/>
  <c r="AG76" i="26"/>
  <c r="AG63" i="26"/>
  <c r="AH64" i="26"/>
  <c r="AH65" i="26"/>
  <c r="AH66" i="26"/>
  <c r="AH67" i="26"/>
  <c r="AH68" i="26"/>
  <c r="AH69" i="26"/>
  <c r="AH70" i="26"/>
  <c r="AH71" i="26"/>
  <c r="AH72" i="26"/>
  <c r="AH73" i="26"/>
  <c r="AH74" i="26"/>
  <c r="AH75" i="26"/>
  <c r="AH76" i="26"/>
  <c r="AH63" i="26"/>
  <c r="AI64" i="26"/>
  <c r="AI65" i="26"/>
  <c r="AI66" i="26"/>
  <c r="AI67" i="26"/>
  <c r="AI68" i="26"/>
  <c r="AI69" i="26"/>
  <c r="AI70" i="26"/>
  <c r="AI71" i="26"/>
  <c r="AI72" i="26"/>
  <c r="AI73" i="26"/>
  <c r="AI74" i="26"/>
  <c r="AI75" i="26"/>
  <c r="AI76" i="26"/>
  <c r="AI63" i="26"/>
  <c r="AJ64" i="26"/>
  <c r="AJ65" i="26"/>
  <c r="AJ66" i="26"/>
  <c r="AJ67" i="26"/>
  <c r="AJ68" i="26"/>
  <c r="AJ69" i="26"/>
  <c r="AJ70" i="26"/>
  <c r="AJ71" i="26"/>
  <c r="AJ72" i="26"/>
  <c r="AJ73" i="26"/>
  <c r="AJ74" i="26"/>
  <c r="AJ75" i="26"/>
  <c r="AJ76" i="26"/>
  <c r="AJ63" i="26"/>
  <c r="AK64" i="26"/>
  <c r="AK65" i="26"/>
  <c r="AK66" i="26"/>
  <c r="AK67" i="26"/>
  <c r="AK68" i="26"/>
  <c r="AK69" i="26"/>
  <c r="AK70" i="26"/>
  <c r="AK71" i="26"/>
  <c r="AK72" i="26"/>
  <c r="AK73" i="26"/>
  <c r="AK74" i="26"/>
  <c r="AK75" i="26"/>
  <c r="AK76" i="26"/>
  <c r="AK63" i="26"/>
  <c r="AL64" i="26"/>
  <c r="AL65" i="26"/>
  <c r="AL66" i="26"/>
  <c r="AL67" i="26"/>
  <c r="AL68" i="26"/>
  <c r="AL69" i="26"/>
  <c r="AL70" i="26"/>
  <c r="AL71" i="26"/>
  <c r="AL72" i="26"/>
  <c r="AL73" i="26"/>
  <c r="AL74" i="26"/>
  <c r="AL75" i="26"/>
  <c r="AL76" i="26"/>
  <c r="AL63" i="26"/>
  <c r="AM64" i="26"/>
  <c r="AM65" i="26"/>
  <c r="AM66" i="26"/>
  <c r="AM67" i="26"/>
  <c r="AM68" i="26"/>
  <c r="AM69" i="26"/>
  <c r="AM70" i="26"/>
  <c r="AM71" i="26"/>
  <c r="AM72" i="26"/>
  <c r="AM73" i="26"/>
  <c r="AM74" i="26"/>
  <c r="AM75" i="26"/>
  <c r="AM76" i="26"/>
  <c r="AM63" i="26"/>
  <c r="AN64" i="26"/>
  <c r="AN65" i="26"/>
  <c r="AN66" i="26"/>
  <c r="AN67" i="26"/>
  <c r="AN68" i="26"/>
  <c r="AN69" i="26"/>
  <c r="AN70" i="26"/>
  <c r="AN71" i="26"/>
  <c r="AN72" i="26"/>
  <c r="AN73" i="26"/>
  <c r="AN74" i="26"/>
  <c r="AN75" i="26"/>
  <c r="AN76" i="26"/>
  <c r="AN63" i="26"/>
  <c r="AO64" i="26"/>
  <c r="AO65" i="26"/>
  <c r="AO66" i="26"/>
  <c r="AO67" i="26"/>
  <c r="AO68" i="26"/>
  <c r="AO69" i="26"/>
  <c r="AO70" i="26"/>
  <c r="AO71" i="26"/>
  <c r="AO72" i="26"/>
  <c r="AO73" i="26"/>
  <c r="AO74" i="26"/>
  <c r="AO75" i="26"/>
  <c r="AO76" i="26"/>
  <c r="AO63" i="26"/>
  <c r="AP64" i="26"/>
  <c r="AP65" i="26"/>
  <c r="AP66" i="26"/>
  <c r="AP67" i="26"/>
  <c r="AP68" i="26"/>
  <c r="AP69" i="26"/>
  <c r="AP70" i="26"/>
  <c r="AP71" i="26"/>
  <c r="AP72" i="26"/>
  <c r="AP73" i="26"/>
  <c r="AP74" i="26"/>
  <c r="AP75" i="26"/>
  <c r="AP76" i="26"/>
  <c r="AP63" i="26"/>
  <c r="AQ64" i="26"/>
  <c r="AQ65" i="26"/>
  <c r="AQ66" i="26"/>
  <c r="AQ67" i="26"/>
  <c r="AQ68" i="26"/>
  <c r="AQ69" i="26"/>
  <c r="AQ70" i="26"/>
  <c r="AQ71" i="26"/>
  <c r="AQ72" i="26"/>
  <c r="AQ73" i="26"/>
  <c r="AQ74" i="26"/>
  <c r="AQ75" i="26"/>
  <c r="AQ76" i="26"/>
  <c r="AQ63" i="26"/>
  <c r="AS64" i="26"/>
  <c r="AS65" i="26"/>
  <c r="AS66" i="26"/>
  <c r="AS67" i="26"/>
  <c r="AS68" i="26"/>
  <c r="AS69" i="26"/>
  <c r="AS70" i="26"/>
  <c r="AS71" i="26"/>
  <c r="AS72" i="26"/>
  <c r="AS73" i="26"/>
  <c r="AS74" i="26"/>
  <c r="AS75" i="26"/>
  <c r="AS76" i="26"/>
  <c r="AS63" i="26"/>
  <c r="AT64" i="26"/>
  <c r="AT65" i="26"/>
  <c r="AT66" i="26"/>
  <c r="AT67" i="26"/>
  <c r="AT68" i="26"/>
  <c r="AT69" i="26"/>
  <c r="AT70" i="26"/>
  <c r="AT71" i="26"/>
  <c r="AT72" i="26"/>
  <c r="AT73" i="26"/>
  <c r="AT74" i="26"/>
  <c r="AT75" i="26"/>
  <c r="AT76" i="26"/>
  <c r="AT63" i="26"/>
  <c r="AV64" i="26"/>
  <c r="AV65" i="26"/>
  <c r="AV66" i="26"/>
  <c r="AV67" i="26"/>
  <c r="AV68" i="26"/>
  <c r="AV69" i="26"/>
  <c r="AV70" i="26"/>
  <c r="AV71" i="26"/>
  <c r="AV72" i="26"/>
  <c r="AV73" i="26"/>
  <c r="AV74" i="26"/>
  <c r="AV75" i="26"/>
  <c r="AV76" i="26"/>
  <c r="AV63" i="26"/>
  <c r="AW64" i="26"/>
  <c r="AW65" i="26"/>
  <c r="AW66" i="26"/>
  <c r="AW67" i="26"/>
  <c r="AW68" i="26"/>
  <c r="AW69" i="26"/>
  <c r="AW70" i="26"/>
  <c r="AW71" i="26"/>
  <c r="AW72" i="26"/>
  <c r="AW73" i="26"/>
  <c r="AW74" i="26"/>
  <c r="AW75" i="26"/>
  <c r="AW76" i="26"/>
  <c r="AW63" i="26"/>
  <c r="AX64" i="26"/>
  <c r="AX65" i="26"/>
  <c r="AX66" i="26"/>
  <c r="AX67" i="26"/>
  <c r="AX68" i="26"/>
  <c r="AX69" i="26"/>
  <c r="AX70" i="26"/>
  <c r="AX71" i="26"/>
  <c r="AX72" i="26"/>
  <c r="AX73" i="26"/>
  <c r="AX74" i="26"/>
  <c r="AX75" i="26"/>
  <c r="AX76" i="26"/>
  <c r="AX63" i="26"/>
  <c r="AY64" i="26"/>
  <c r="AY65" i="26"/>
  <c r="AY66" i="26"/>
  <c r="AY67" i="26"/>
  <c r="AY68" i="26"/>
  <c r="AY69" i="26"/>
  <c r="AY70" i="26"/>
  <c r="AY71" i="26"/>
  <c r="AY72" i="26"/>
  <c r="AY73" i="26"/>
  <c r="AY74" i="26"/>
  <c r="AY75" i="26"/>
  <c r="AY76" i="26"/>
  <c r="AY63" i="26"/>
  <c r="AZ64" i="26"/>
  <c r="AZ65" i="26"/>
  <c r="AZ66" i="26"/>
  <c r="AZ67" i="26"/>
  <c r="AZ68" i="26"/>
  <c r="AZ69" i="26"/>
  <c r="AZ70" i="26"/>
  <c r="AZ71" i="26"/>
  <c r="AZ72" i="26"/>
  <c r="AZ73" i="26"/>
  <c r="AZ74" i="26"/>
  <c r="AZ75" i="26"/>
  <c r="AZ76" i="26"/>
  <c r="AZ63" i="26"/>
  <c r="AC63" i="26"/>
  <c r="U69" i="27"/>
  <c r="AU69" i="27"/>
  <c r="AU56" i="27"/>
  <c r="AU42" i="27"/>
  <c r="AU45" i="28"/>
  <c r="AU60" i="28"/>
  <c r="U61" i="28"/>
  <c r="U45" i="26"/>
  <c r="D46" i="26"/>
  <c r="D47" i="26"/>
  <c r="D45" i="26"/>
  <c r="E46" i="26"/>
  <c r="E47" i="26"/>
  <c r="E45" i="26"/>
  <c r="F46" i="26"/>
  <c r="F47" i="26"/>
  <c r="F45" i="26"/>
  <c r="G46" i="26"/>
  <c r="G47" i="26"/>
  <c r="G45" i="26"/>
  <c r="H46" i="26"/>
  <c r="H47" i="26"/>
  <c r="H45" i="26"/>
  <c r="I46" i="26"/>
  <c r="I47" i="26"/>
  <c r="I45" i="26"/>
  <c r="J46" i="26"/>
  <c r="J47" i="26"/>
  <c r="J45" i="26"/>
  <c r="K46" i="26"/>
  <c r="K47" i="26"/>
  <c r="K45" i="26"/>
  <c r="L46" i="26"/>
  <c r="L47" i="26"/>
  <c r="L45" i="26"/>
  <c r="M46" i="26"/>
  <c r="M47" i="26"/>
  <c r="M45" i="26"/>
  <c r="N46" i="26"/>
  <c r="N47" i="26"/>
  <c r="N45" i="26"/>
  <c r="O46" i="26"/>
  <c r="O47" i="26"/>
  <c r="O45" i="26"/>
  <c r="P46" i="26"/>
  <c r="P47" i="26"/>
  <c r="P45" i="26"/>
  <c r="Q46" i="26"/>
  <c r="Q47" i="26"/>
  <c r="Q45" i="26"/>
  <c r="R46" i="26"/>
  <c r="R47" i="26"/>
  <c r="R45" i="26"/>
  <c r="S46" i="26"/>
  <c r="S47" i="26"/>
  <c r="S45" i="26"/>
  <c r="T46" i="26"/>
  <c r="T47" i="26"/>
  <c r="T45" i="26"/>
  <c r="V46" i="26"/>
  <c r="V47" i="26"/>
  <c r="V45" i="26"/>
  <c r="W46" i="26"/>
  <c r="W47" i="26"/>
  <c r="W45" i="26"/>
  <c r="X46" i="26"/>
  <c r="X47" i="26"/>
  <c r="X45" i="26"/>
  <c r="Y46" i="26"/>
  <c r="Y47" i="26"/>
  <c r="Y45" i="26"/>
  <c r="Z46" i="26"/>
  <c r="Z47" i="26"/>
  <c r="Z45" i="26"/>
  <c r="C45" i="26"/>
  <c r="AU48" i="26"/>
  <c r="AR49" i="26"/>
  <c r="AR50" i="26"/>
  <c r="AR51" i="26"/>
  <c r="AR52" i="26"/>
  <c r="AR53" i="26"/>
  <c r="AR54" i="26"/>
  <c r="AR55" i="26"/>
  <c r="AR56" i="26"/>
  <c r="AR57" i="26"/>
  <c r="AR58" i="26"/>
  <c r="AR59" i="26"/>
  <c r="AR60" i="26"/>
  <c r="AR61" i="26"/>
  <c r="AR62" i="26"/>
  <c r="AR48" i="26"/>
  <c r="AD49" i="26"/>
  <c r="AD50" i="26"/>
  <c r="AD51" i="26"/>
  <c r="AD52" i="26"/>
  <c r="AD53" i="26"/>
  <c r="AD54" i="26"/>
  <c r="AD55" i="26"/>
  <c r="AD56" i="26"/>
  <c r="AD57" i="26"/>
  <c r="AD58" i="26"/>
  <c r="AD59" i="26"/>
  <c r="AD60" i="26"/>
  <c r="AD61" i="26"/>
  <c r="AD62" i="26"/>
  <c r="AD48" i="26"/>
  <c r="AE49" i="26"/>
  <c r="AE50" i="26"/>
  <c r="AE51" i="26"/>
  <c r="AE52" i="26"/>
  <c r="AE53" i="26"/>
  <c r="AE54" i="26"/>
  <c r="AE55" i="26"/>
  <c r="AE56" i="26"/>
  <c r="AE57" i="26"/>
  <c r="AE58" i="26"/>
  <c r="AE59" i="26"/>
  <c r="AE60" i="26"/>
  <c r="AE61" i="26"/>
  <c r="AE62" i="26"/>
  <c r="AE48" i="26"/>
  <c r="AF49" i="26"/>
  <c r="AF50" i="26"/>
  <c r="AF51" i="26"/>
  <c r="AF52" i="26"/>
  <c r="AF53" i="26"/>
  <c r="AF54" i="26"/>
  <c r="AF55" i="26"/>
  <c r="AF56" i="26"/>
  <c r="AF57" i="26"/>
  <c r="AF58" i="26"/>
  <c r="AF59" i="26"/>
  <c r="AF60" i="26"/>
  <c r="AF61" i="26"/>
  <c r="AF62" i="26"/>
  <c r="AF48" i="26"/>
  <c r="AG49" i="26"/>
  <c r="AG50" i="26"/>
  <c r="AG51" i="26"/>
  <c r="AG52" i="26"/>
  <c r="AG53" i="26"/>
  <c r="AG54" i="26"/>
  <c r="AG55" i="26"/>
  <c r="AG56" i="26"/>
  <c r="AG57" i="26"/>
  <c r="AG58" i="26"/>
  <c r="AG59" i="26"/>
  <c r="AG60" i="26"/>
  <c r="AG61" i="26"/>
  <c r="AG62" i="26"/>
  <c r="AG48" i="26"/>
  <c r="AH49" i="26"/>
  <c r="AH50" i="26"/>
  <c r="AH51" i="26"/>
  <c r="AH52" i="26"/>
  <c r="AH53" i="26"/>
  <c r="AH54" i="26"/>
  <c r="AH55" i="26"/>
  <c r="AH56" i="26"/>
  <c r="AH57" i="26"/>
  <c r="AH58" i="26"/>
  <c r="AH59" i="26"/>
  <c r="AH60" i="26"/>
  <c r="AH61" i="26"/>
  <c r="AH62" i="26"/>
  <c r="AH48" i="26"/>
  <c r="AI49" i="26"/>
  <c r="AI50" i="26"/>
  <c r="AI51" i="26"/>
  <c r="AI52" i="26"/>
  <c r="AI53" i="26"/>
  <c r="AI54" i="26"/>
  <c r="AI55" i="26"/>
  <c r="AI56" i="26"/>
  <c r="AI57" i="26"/>
  <c r="AI58" i="26"/>
  <c r="AI59" i="26"/>
  <c r="AI60" i="26"/>
  <c r="AI61" i="26"/>
  <c r="AI62" i="26"/>
  <c r="AI48" i="26"/>
  <c r="AJ49" i="26"/>
  <c r="AJ50" i="26"/>
  <c r="AJ51" i="26"/>
  <c r="AJ52" i="26"/>
  <c r="AJ53" i="26"/>
  <c r="AJ54" i="26"/>
  <c r="AJ55" i="26"/>
  <c r="AJ56" i="26"/>
  <c r="AJ57" i="26"/>
  <c r="AJ58" i="26"/>
  <c r="AJ59" i="26"/>
  <c r="AJ60" i="26"/>
  <c r="AJ61" i="26"/>
  <c r="AJ62" i="26"/>
  <c r="AJ48" i="26"/>
  <c r="AK49" i="26"/>
  <c r="AK50" i="26"/>
  <c r="AK51" i="26"/>
  <c r="AK52" i="26"/>
  <c r="AK53" i="26"/>
  <c r="AK54" i="26"/>
  <c r="AK55" i="26"/>
  <c r="AK56" i="26"/>
  <c r="AK57" i="26"/>
  <c r="AK58" i="26"/>
  <c r="AK59" i="26"/>
  <c r="AK60" i="26"/>
  <c r="AK61" i="26"/>
  <c r="AK62" i="26"/>
  <c r="AK48" i="26"/>
  <c r="AL49" i="26"/>
  <c r="AL50" i="26"/>
  <c r="AL51" i="26"/>
  <c r="AL52" i="26"/>
  <c r="AL53" i="26"/>
  <c r="AL54" i="26"/>
  <c r="AL55" i="26"/>
  <c r="AL56" i="26"/>
  <c r="AL57" i="26"/>
  <c r="AL58" i="26"/>
  <c r="AL59" i="26"/>
  <c r="AL60" i="26"/>
  <c r="AL61" i="26"/>
  <c r="AL62" i="26"/>
  <c r="AL48" i="26"/>
  <c r="AM49" i="26"/>
  <c r="AM50" i="26"/>
  <c r="AM51" i="26"/>
  <c r="AM52" i="26"/>
  <c r="AM53" i="26"/>
  <c r="AM54" i="26"/>
  <c r="AM55" i="26"/>
  <c r="AM56" i="26"/>
  <c r="AM57" i="26"/>
  <c r="AM58" i="26"/>
  <c r="AM59" i="26"/>
  <c r="AM60" i="26"/>
  <c r="AM61" i="26"/>
  <c r="AM62" i="26"/>
  <c r="AM48" i="26"/>
  <c r="AN49" i="26"/>
  <c r="AN50" i="26"/>
  <c r="AN51" i="26"/>
  <c r="AN52" i="26"/>
  <c r="AN53" i="26"/>
  <c r="AN54" i="26"/>
  <c r="AN55" i="26"/>
  <c r="AN56" i="26"/>
  <c r="AN57" i="26"/>
  <c r="AN58" i="26"/>
  <c r="AN59" i="26"/>
  <c r="AN60" i="26"/>
  <c r="AN61" i="26"/>
  <c r="AN62" i="26"/>
  <c r="AN48" i="26"/>
  <c r="AO49" i="26"/>
  <c r="AO50" i="26"/>
  <c r="AO51" i="26"/>
  <c r="AO52" i="26"/>
  <c r="AO53" i="26"/>
  <c r="AO54" i="26"/>
  <c r="AO55" i="26"/>
  <c r="AO56" i="26"/>
  <c r="AO57" i="26"/>
  <c r="AO58" i="26"/>
  <c r="AO59" i="26"/>
  <c r="AO60" i="26"/>
  <c r="AO61" i="26"/>
  <c r="AO62" i="26"/>
  <c r="AO48" i="26"/>
  <c r="AP49" i="26"/>
  <c r="AP50" i="26"/>
  <c r="AP51" i="26"/>
  <c r="AP52" i="26"/>
  <c r="AP53" i="26"/>
  <c r="AP54" i="26"/>
  <c r="AP55" i="26"/>
  <c r="AP56" i="26"/>
  <c r="AP57" i="26"/>
  <c r="AP58" i="26"/>
  <c r="AP59" i="26"/>
  <c r="AP60" i="26"/>
  <c r="AP61" i="26"/>
  <c r="AP62" i="26"/>
  <c r="AP48" i="26"/>
  <c r="AQ49" i="26"/>
  <c r="AQ50" i="26"/>
  <c r="AQ51" i="26"/>
  <c r="AQ52" i="26"/>
  <c r="AQ53" i="26"/>
  <c r="AQ54" i="26"/>
  <c r="AQ55" i="26"/>
  <c r="AQ56" i="26"/>
  <c r="AQ57" i="26"/>
  <c r="AQ58" i="26"/>
  <c r="AQ59" i="26"/>
  <c r="AQ60" i="26"/>
  <c r="AQ61" i="26"/>
  <c r="AQ62" i="26"/>
  <c r="AQ48" i="26"/>
  <c r="AS49" i="26"/>
  <c r="AS50" i="26"/>
  <c r="AS51" i="26"/>
  <c r="AS52" i="26"/>
  <c r="AS53" i="26"/>
  <c r="AS54" i="26"/>
  <c r="AS55" i="26"/>
  <c r="AS56" i="26"/>
  <c r="AS57" i="26"/>
  <c r="AS58" i="26"/>
  <c r="AS59" i="26"/>
  <c r="AS60" i="26"/>
  <c r="AS61" i="26"/>
  <c r="AS62" i="26"/>
  <c r="AS48" i="26"/>
  <c r="AT49" i="26"/>
  <c r="AT50" i="26"/>
  <c r="AT51" i="26"/>
  <c r="AT52" i="26"/>
  <c r="AT53" i="26"/>
  <c r="AT54" i="26"/>
  <c r="AT55" i="26"/>
  <c r="AT56" i="26"/>
  <c r="AT57" i="26"/>
  <c r="AT58" i="26"/>
  <c r="AT59" i="26"/>
  <c r="AT60" i="26"/>
  <c r="AT61" i="26"/>
  <c r="AT62" i="26"/>
  <c r="AT48" i="26"/>
  <c r="AV49" i="26"/>
  <c r="AV50" i="26"/>
  <c r="AV51" i="26"/>
  <c r="AV52" i="26"/>
  <c r="AV53" i="26"/>
  <c r="AV54" i="26"/>
  <c r="AV55" i="26"/>
  <c r="AV56" i="26"/>
  <c r="AV57" i="26"/>
  <c r="AV58" i="26"/>
  <c r="AV59" i="26"/>
  <c r="AV60" i="26"/>
  <c r="AV61" i="26"/>
  <c r="AV62" i="26"/>
  <c r="AV48" i="26"/>
  <c r="AW49" i="26"/>
  <c r="AW50" i="26"/>
  <c r="AW51" i="26"/>
  <c r="AW52" i="26"/>
  <c r="AW53" i="26"/>
  <c r="AW54" i="26"/>
  <c r="AW55" i="26"/>
  <c r="AW56" i="26"/>
  <c r="AW57" i="26"/>
  <c r="AW58" i="26"/>
  <c r="AW59" i="26"/>
  <c r="AW60" i="26"/>
  <c r="AW61" i="26"/>
  <c r="AW62" i="26"/>
  <c r="AW48" i="26"/>
  <c r="AX49" i="26"/>
  <c r="AX50" i="26"/>
  <c r="AX51" i="26"/>
  <c r="AX52" i="26"/>
  <c r="AX53" i="26"/>
  <c r="AX54" i="26"/>
  <c r="AX55" i="26"/>
  <c r="AX56" i="26"/>
  <c r="AX57" i="26"/>
  <c r="AX58" i="26"/>
  <c r="AX59" i="26"/>
  <c r="AX60" i="26"/>
  <c r="AX61" i="26"/>
  <c r="AX62" i="26"/>
  <c r="AX48" i="26"/>
  <c r="AY49" i="26"/>
  <c r="AY50" i="26"/>
  <c r="AY51" i="26"/>
  <c r="AY52" i="26"/>
  <c r="AY53" i="26"/>
  <c r="AY54" i="26"/>
  <c r="AY55" i="26"/>
  <c r="AY56" i="26"/>
  <c r="AY57" i="26"/>
  <c r="AY58" i="26"/>
  <c r="AY59" i="26"/>
  <c r="AY60" i="26"/>
  <c r="AY61" i="26"/>
  <c r="AY62" i="26"/>
  <c r="AY48" i="26"/>
  <c r="AZ49" i="26"/>
  <c r="AZ50" i="26"/>
  <c r="AZ51" i="26"/>
  <c r="AZ52" i="26"/>
  <c r="AZ53" i="26"/>
  <c r="AZ54" i="26"/>
  <c r="AZ55" i="26"/>
  <c r="AZ56" i="26"/>
  <c r="AZ57" i="26"/>
  <c r="AZ58" i="26"/>
  <c r="AZ59" i="26"/>
  <c r="AZ60" i="26"/>
  <c r="AZ61" i="26"/>
  <c r="AZ62" i="26"/>
  <c r="AZ48" i="26"/>
  <c r="AC48" i="26"/>
  <c r="AU49" i="28"/>
  <c r="AU48" i="28"/>
  <c r="U46" i="28"/>
  <c r="U64" i="28"/>
  <c r="U40" i="27"/>
  <c r="AU67" i="27"/>
  <c r="AU50" i="28"/>
  <c r="AU62" i="28"/>
  <c r="AU63" i="27"/>
  <c r="AU51" i="28"/>
  <c r="U48" i="26"/>
  <c r="D49" i="26"/>
  <c r="D50" i="26"/>
  <c r="D51" i="26"/>
  <c r="D52" i="26"/>
  <c r="D53" i="26"/>
  <c r="D54" i="26"/>
  <c r="D55" i="26"/>
  <c r="D56" i="26"/>
  <c r="D57" i="26"/>
  <c r="D58" i="26"/>
  <c r="D59" i="26"/>
  <c r="D60" i="26"/>
  <c r="D61" i="26"/>
  <c r="D62" i="26"/>
  <c r="D48" i="26"/>
  <c r="E49" i="26"/>
  <c r="E50" i="26"/>
  <c r="E51" i="26"/>
  <c r="E52" i="26"/>
  <c r="E53" i="26"/>
  <c r="E54" i="26"/>
  <c r="E55" i="26"/>
  <c r="E56" i="26"/>
  <c r="E57" i="26"/>
  <c r="E58" i="26"/>
  <c r="E59" i="26"/>
  <c r="E60" i="26"/>
  <c r="E61" i="26"/>
  <c r="E62" i="26"/>
  <c r="E48" i="26"/>
  <c r="F49" i="26"/>
  <c r="F50" i="26"/>
  <c r="F51" i="26"/>
  <c r="F52" i="26"/>
  <c r="F53" i="26"/>
  <c r="F54" i="26"/>
  <c r="F55" i="26"/>
  <c r="F56" i="26"/>
  <c r="F57" i="26"/>
  <c r="F58" i="26"/>
  <c r="F59" i="26"/>
  <c r="F60" i="26"/>
  <c r="F61" i="26"/>
  <c r="F62" i="26"/>
  <c r="F48" i="26"/>
  <c r="G49" i="26"/>
  <c r="G50" i="26"/>
  <c r="G51" i="26"/>
  <c r="G52" i="26"/>
  <c r="G53" i="26"/>
  <c r="G54" i="26"/>
  <c r="G55" i="26"/>
  <c r="G56" i="26"/>
  <c r="G57" i="26"/>
  <c r="G58" i="26"/>
  <c r="G59" i="26"/>
  <c r="G60" i="26"/>
  <c r="G61" i="26"/>
  <c r="G62" i="26"/>
  <c r="G48" i="26"/>
  <c r="H49" i="26"/>
  <c r="H50" i="26"/>
  <c r="H51" i="26"/>
  <c r="H52" i="26"/>
  <c r="H53" i="26"/>
  <c r="H54" i="26"/>
  <c r="H55" i="26"/>
  <c r="H56" i="26"/>
  <c r="H57" i="26"/>
  <c r="H58" i="26"/>
  <c r="H59" i="26"/>
  <c r="H60" i="26"/>
  <c r="H61" i="26"/>
  <c r="H62" i="26"/>
  <c r="H48" i="26"/>
  <c r="I49" i="26"/>
  <c r="I50" i="26"/>
  <c r="I51" i="26"/>
  <c r="I52" i="26"/>
  <c r="I53" i="26"/>
  <c r="I54" i="26"/>
  <c r="I55" i="26"/>
  <c r="I56" i="26"/>
  <c r="I57" i="26"/>
  <c r="I58" i="26"/>
  <c r="I59" i="26"/>
  <c r="I60" i="26"/>
  <c r="I61" i="26"/>
  <c r="I62" i="26"/>
  <c r="I48" i="26"/>
  <c r="J49" i="26"/>
  <c r="J50" i="26"/>
  <c r="J51" i="26"/>
  <c r="J52" i="26"/>
  <c r="J53" i="26"/>
  <c r="J54" i="26"/>
  <c r="J55" i="26"/>
  <c r="J56" i="26"/>
  <c r="J57" i="26"/>
  <c r="J58" i="26"/>
  <c r="J59" i="26"/>
  <c r="J60" i="26"/>
  <c r="J61" i="26"/>
  <c r="J62" i="26"/>
  <c r="J48" i="26"/>
  <c r="K49" i="26"/>
  <c r="K50" i="26"/>
  <c r="K51" i="26"/>
  <c r="K52" i="26"/>
  <c r="K53" i="26"/>
  <c r="K54" i="26"/>
  <c r="K55" i="26"/>
  <c r="K56" i="26"/>
  <c r="K57" i="26"/>
  <c r="K58" i="26"/>
  <c r="K59" i="26"/>
  <c r="K60" i="26"/>
  <c r="K61" i="26"/>
  <c r="K62" i="26"/>
  <c r="K48" i="26"/>
  <c r="L49" i="26"/>
  <c r="L50" i="26"/>
  <c r="L51" i="26"/>
  <c r="L52" i="26"/>
  <c r="L53" i="26"/>
  <c r="L54" i="26"/>
  <c r="L55" i="26"/>
  <c r="L56" i="26"/>
  <c r="L57" i="26"/>
  <c r="L58" i="26"/>
  <c r="L59" i="26"/>
  <c r="L60" i="26"/>
  <c r="L61" i="26"/>
  <c r="L62" i="26"/>
  <c r="L48" i="26"/>
  <c r="M49" i="26"/>
  <c r="M50" i="26"/>
  <c r="M51" i="26"/>
  <c r="M52" i="26"/>
  <c r="M53" i="26"/>
  <c r="M54" i="26"/>
  <c r="M55" i="26"/>
  <c r="M56" i="26"/>
  <c r="M57" i="26"/>
  <c r="M58" i="26"/>
  <c r="M59" i="26"/>
  <c r="M60" i="26"/>
  <c r="M61" i="26"/>
  <c r="M62" i="26"/>
  <c r="M48" i="26"/>
  <c r="N49" i="26"/>
  <c r="N50" i="26"/>
  <c r="N51" i="26"/>
  <c r="N52" i="26"/>
  <c r="N53" i="26"/>
  <c r="N54" i="26"/>
  <c r="N55" i="26"/>
  <c r="N56" i="26"/>
  <c r="N57" i="26"/>
  <c r="N58" i="26"/>
  <c r="N59" i="26"/>
  <c r="N60" i="26"/>
  <c r="N61" i="26"/>
  <c r="N62" i="26"/>
  <c r="N48" i="26"/>
  <c r="O49" i="26"/>
  <c r="O50" i="26"/>
  <c r="O51" i="26"/>
  <c r="O52" i="26"/>
  <c r="O53" i="26"/>
  <c r="O54" i="26"/>
  <c r="O55" i="26"/>
  <c r="O56" i="26"/>
  <c r="O57" i="26"/>
  <c r="O58" i="26"/>
  <c r="O59" i="26"/>
  <c r="O60" i="26"/>
  <c r="O61" i="26"/>
  <c r="O62" i="26"/>
  <c r="O48" i="26"/>
  <c r="P49" i="26"/>
  <c r="P50" i="26"/>
  <c r="P51" i="26"/>
  <c r="P52" i="26"/>
  <c r="P53" i="26"/>
  <c r="P54" i="26"/>
  <c r="P55" i="26"/>
  <c r="P56" i="26"/>
  <c r="P57" i="26"/>
  <c r="P58" i="26"/>
  <c r="P59" i="26"/>
  <c r="P60" i="26"/>
  <c r="P61" i="26"/>
  <c r="P62" i="26"/>
  <c r="P48" i="26"/>
  <c r="Q49" i="26"/>
  <c r="Q50" i="26"/>
  <c r="Q51" i="26"/>
  <c r="Q52" i="26"/>
  <c r="Q53" i="26"/>
  <c r="Q54" i="26"/>
  <c r="Q55" i="26"/>
  <c r="Q56" i="26"/>
  <c r="Q57" i="26"/>
  <c r="Q58" i="26"/>
  <c r="Q59" i="26"/>
  <c r="Q60" i="26"/>
  <c r="Q61" i="26"/>
  <c r="Q62" i="26"/>
  <c r="Q48" i="26"/>
  <c r="R49" i="26"/>
  <c r="R50" i="26"/>
  <c r="R51" i="26"/>
  <c r="R52" i="26"/>
  <c r="R53" i="26"/>
  <c r="R54" i="26"/>
  <c r="R55" i="26"/>
  <c r="R56" i="26"/>
  <c r="R57" i="26"/>
  <c r="R58" i="26"/>
  <c r="R59" i="26"/>
  <c r="R60" i="26"/>
  <c r="R61" i="26"/>
  <c r="R62" i="26"/>
  <c r="R48" i="26"/>
  <c r="S49" i="26"/>
  <c r="S50" i="26"/>
  <c r="S51" i="26"/>
  <c r="S52" i="26"/>
  <c r="S53" i="26"/>
  <c r="S54" i="26"/>
  <c r="S55" i="26"/>
  <c r="S56" i="26"/>
  <c r="S57" i="26"/>
  <c r="S58" i="26"/>
  <c r="S59" i="26"/>
  <c r="S60" i="26"/>
  <c r="S61" i="26"/>
  <c r="S62" i="26"/>
  <c r="S48" i="26"/>
  <c r="T49" i="26"/>
  <c r="T50" i="26"/>
  <c r="T51" i="26"/>
  <c r="T52" i="26"/>
  <c r="T53" i="26"/>
  <c r="T54" i="26"/>
  <c r="T55" i="26"/>
  <c r="T56" i="26"/>
  <c r="T57" i="26"/>
  <c r="T58" i="26"/>
  <c r="T59" i="26"/>
  <c r="T60" i="26"/>
  <c r="T61" i="26"/>
  <c r="T62" i="26"/>
  <c r="T48" i="26"/>
  <c r="V49" i="26"/>
  <c r="V50" i="26"/>
  <c r="V51" i="26"/>
  <c r="V52" i="26"/>
  <c r="V53" i="26"/>
  <c r="V54" i="26"/>
  <c r="V55" i="26"/>
  <c r="V56" i="26"/>
  <c r="V57" i="26"/>
  <c r="V58" i="26"/>
  <c r="V59" i="26"/>
  <c r="V60" i="26"/>
  <c r="V61" i="26"/>
  <c r="V62" i="26"/>
  <c r="V48" i="26"/>
  <c r="W49" i="26"/>
  <c r="W50" i="26"/>
  <c r="W51" i="26"/>
  <c r="W52" i="26"/>
  <c r="W53" i="26"/>
  <c r="W54" i="26"/>
  <c r="W55" i="26"/>
  <c r="W56" i="26"/>
  <c r="W57" i="26"/>
  <c r="W58" i="26"/>
  <c r="W59" i="26"/>
  <c r="W60" i="26"/>
  <c r="W61" i="26"/>
  <c r="W62" i="26"/>
  <c r="W48" i="26"/>
  <c r="X49" i="26"/>
  <c r="X50" i="26"/>
  <c r="X51" i="26"/>
  <c r="X52" i="26"/>
  <c r="X53" i="26"/>
  <c r="X54" i="26"/>
  <c r="X55" i="26"/>
  <c r="X56" i="26"/>
  <c r="X57" i="26"/>
  <c r="X58" i="26"/>
  <c r="X59" i="26"/>
  <c r="X60" i="26"/>
  <c r="X61" i="26"/>
  <c r="X62" i="26"/>
  <c r="X48" i="26"/>
  <c r="Y49" i="26"/>
  <c r="Y50" i="26"/>
  <c r="Y51" i="26"/>
  <c r="Y52" i="26"/>
  <c r="Y53" i="26"/>
  <c r="Y54" i="26"/>
  <c r="Y55" i="26"/>
  <c r="Y56" i="26"/>
  <c r="Y57" i="26"/>
  <c r="Y58" i="26"/>
  <c r="Y59" i="26"/>
  <c r="Y60" i="26"/>
  <c r="Y61" i="26"/>
  <c r="Y62" i="26"/>
  <c r="Y48" i="26"/>
  <c r="Z49" i="26"/>
  <c r="Z50" i="26"/>
  <c r="Z51" i="26"/>
  <c r="Z52" i="26"/>
  <c r="Z53" i="26"/>
  <c r="Z54" i="26"/>
  <c r="Z55" i="26"/>
  <c r="Z56" i="26"/>
  <c r="Z57" i="26"/>
  <c r="Z58" i="26"/>
  <c r="Z59" i="26"/>
  <c r="Z60" i="26"/>
  <c r="Z61" i="26"/>
  <c r="Z62" i="26"/>
  <c r="Z48" i="26"/>
  <c r="C48" i="26"/>
  <c r="AU45" i="26"/>
  <c r="AR46" i="26"/>
  <c r="AR47" i="26"/>
  <c r="AR45" i="26"/>
  <c r="AD46" i="26"/>
  <c r="AD47" i="26"/>
  <c r="AD45" i="26"/>
  <c r="AE46" i="26"/>
  <c r="AE47" i="26"/>
  <c r="AE45" i="26"/>
  <c r="AF46" i="26"/>
  <c r="AF47" i="26"/>
  <c r="AF45" i="26"/>
  <c r="AG46" i="26"/>
  <c r="AG47" i="26"/>
  <c r="AG45" i="26"/>
  <c r="AH46" i="26"/>
  <c r="AH47" i="26"/>
  <c r="AH45" i="26"/>
  <c r="AI46" i="26"/>
  <c r="AI47" i="26"/>
  <c r="AI45" i="26"/>
  <c r="AJ46" i="26"/>
  <c r="AJ47" i="26"/>
  <c r="AJ45" i="26"/>
  <c r="AK46" i="26"/>
  <c r="AK47" i="26"/>
  <c r="AK45" i="26"/>
  <c r="AL46" i="26"/>
  <c r="AL47" i="26"/>
  <c r="AL45" i="26"/>
  <c r="AM46" i="26"/>
  <c r="AM47" i="26"/>
  <c r="AM45" i="26"/>
  <c r="AN46" i="26"/>
  <c r="AN47" i="26"/>
  <c r="AN45" i="26"/>
  <c r="AO46" i="26"/>
  <c r="AO47" i="26"/>
  <c r="AO45" i="26"/>
  <c r="AP46" i="26"/>
  <c r="AP47" i="26"/>
  <c r="AP45" i="26"/>
  <c r="AQ46" i="26"/>
  <c r="AQ47" i="26"/>
  <c r="AQ45" i="26"/>
  <c r="AS46" i="26"/>
  <c r="AS47" i="26"/>
  <c r="AS45" i="26"/>
  <c r="AT46" i="26"/>
  <c r="AT47" i="26"/>
  <c r="AT45" i="26"/>
  <c r="AV46" i="26"/>
  <c r="AV47" i="26"/>
  <c r="AV45" i="26"/>
  <c r="AW46" i="26"/>
  <c r="AW47" i="26"/>
  <c r="AW45" i="26"/>
  <c r="AX46" i="26"/>
  <c r="AX47" i="26"/>
  <c r="AX45" i="26"/>
  <c r="AY46" i="26"/>
  <c r="AY47" i="26"/>
  <c r="AY45" i="26"/>
  <c r="AZ46" i="26"/>
  <c r="AZ47" i="26"/>
  <c r="AZ45" i="26"/>
  <c r="AC45" i="26"/>
  <c r="U65" i="27"/>
  <c r="AU65" i="27"/>
  <c r="AU38" i="27"/>
  <c r="AU64" i="28"/>
  <c r="AU31" i="26"/>
  <c r="AR32" i="26"/>
  <c r="AR33" i="26"/>
  <c r="AR34" i="26"/>
  <c r="AR35" i="26"/>
  <c r="AR36" i="26"/>
  <c r="AR37" i="26"/>
  <c r="AR38" i="26"/>
  <c r="AR39" i="26"/>
  <c r="AR40" i="26"/>
  <c r="AR41" i="26"/>
  <c r="AR42" i="26"/>
  <c r="AR43" i="26"/>
  <c r="AR44" i="26"/>
  <c r="AR31" i="26"/>
  <c r="AD32" i="26"/>
  <c r="AD33" i="26"/>
  <c r="AD34" i="26"/>
  <c r="AD35" i="26"/>
  <c r="AD36" i="26"/>
  <c r="AD37" i="26"/>
  <c r="AD38" i="26"/>
  <c r="AD39" i="26"/>
  <c r="AD40" i="26"/>
  <c r="AD41" i="26"/>
  <c r="AD42" i="26"/>
  <c r="AD43" i="26"/>
  <c r="AD44" i="26"/>
  <c r="AD31" i="26"/>
  <c r="AE32" i="26"/>
  <c r="AE33" i="26"/>
  <c r="AE34" i="26"/>
  <c r="AE35" i="26"/>
  <c r="AE36" i="26"/>
  <c r="AE37" i="26"/>
  <c r="AE38" i="26"/>
  <c r="AE39" i="26"/>
  <c r="AE40" i="26"/>
  <c r="AE41" i="26"/>
  <c r="AE42" i="26"/>
  <c r="AE43" i="26"/>
  <c r="AE44" i="26"/>
  <c r="AE31" i="26"/>
  <c r="AF32" i="26"/>
  <c r="AF33" i="26"/>
  <c r="AF34" i="26"/>
  <c r="AF35" i="26"/>
  <c r="AF36" i="26"/>
  <c r="AF37" i="26"/>
  <c r="AF38" i="26"/>
  <c r="AF39" i="26"/>
  <c r="AF40" i="26"/>
  <c r="AF41" i="26"/>
  <c r="AF42" i="26"/>
  <c r="AF43" i="26"/>
  <c r="AF44" i="26"/>
  <c r="AF31" i="26"/>
  <c r="AG32" i="26"/>
  <c r="AG33" i="26"/>
  <c r="AG34" i="26"/>
  <c r="AG35" i="26"/>
  <c r="AG36" i="26"/>
  <c r="AG37" i="26"/>
  <c r="AG38" i="26"/>
  <c r="AG39" i="26"/>
  <c r="AG40" i="26"/>
  <c r="AG41" i="26"/>
  <c r="AG42" i="26"/>
  <c r="AG43" i="26"/>
  <c r="AG44" i="26"/>
  <c r="AG31" i="26"/>
  <c r="AH32" i="26"/>
  <c r="AH33" i="26"/>
  <c r="AH34" i="26"/>
  <c r="AH35" i="26"/>
  <c r="AH36" i="26"/>
  <c r="AH37" i="26"/>
  <c r="AH38" i="26"/>
  <c r="AH39" i="26"/>
  <c r="AH40" i="26"/>
  <c r="AH41" i="26"/>
  <c r="AH42" i="26"/>
  <c r="AH43" i="26"/>
  <c r="AH44" i="26"/>
  <c r="AH31" i="26"/>
  <c r="AI32" i="26"/>
  <c r="AI33" i="26"/>
  <c r="AI34" i="26"/>
  <c r="AI35" i="26"/>
  <c r="AI36" i="26"/>
  <c r="AI37" i="26"/>
  <c r="AI38" i="26"/>
  <c r="AI39" i="26"/>
  <c r="AI40" i="26"/>
  <c r="AI41" i="26"/>
  <c r="AI42" i="26"/>
  <c r="AI43" i="26"/>
  <c r="AI44" i="26"/>
  <c r="AI31" i="26"/>
  <c r="AJ32" i="26"/>
  <c r="AJ33" i="26"/>
  <c r="AJ34" i="26"/>
  <c r="AJ35" i="26"/>
  <c r="AJ36" i="26"/>
  <c r="AJ37" i="26"/>
  <c r="AJ38" i="26"/>
  <c r="AJ39" i="26"/>
  <c r="AJ40" i="26"/>
  <c r="AJ41" i="26"/>
  <c r="AJ42" i="26"/>
  <c r="AJ43" i="26"/>
  <c r="AJ44" i="26"/>
  <c r="AJ31" i="26"/>
  <c r="AK32" i="26"/>
  <c r="AK33" i="26"/>
  <c r="AK34" i="26"/>
  <c r="AK35" i="26"/>
  <c r="AK36" i="26"/>
  <c r="AK37" i="26"/>
  <c r="AK38" i="26"/>
  <c r="AK39" i="26"/>
  <c r="AK40" i="26"/>
  <c r="AK41" i="26"/>
  <c r="AK42" i="26"/>
  <c r="AK43" i="26"/>
  <c r="AK44" i="26"/>
  <c r="AK31" i="26"/>
  <c r="AL32" i="26"/>
  <c r="AL33" i="26"/>
  <c r="AL34" i="26"/>
  <c r="AL35" i="26"/>
  <c r="AL36" i="26"/>
  <c r="AL37" i="26"/>
  <c r="AL38" i="26"/>
  <c r="AL39" i="26"/>
  <c r="AL40" i="26"/>
  <c r="AL41" i="26"/>
  <c r="AL42" i="26"/>
  <c r="AL43" i="26"/>
  <c r="AL44" i="26"/>
  <c r="AL31" i="26"/>
  <c r="AM32" i="26"/>
  <c r="AM33" i="26"/>
  <c r="AM34" i="26"/>
  <c r="AM35" i="26"/>
  <c r="AM36" i="26"/>
  <c r="AM37" i="26"/>
  <c r="AM38" i="26"/>
  <c r="AM39" i="26"/>
  <c r="AM40" i="26"/>
  <c r="AM41" i="26"/>
  <c r="AM42" i="26"/>
  <c r="AM43" i="26"/>
  <c r="AM44" i="26"/>
  <c r="AM31" i="26"/>
  <c r="AN32" i="26"/>
  <c r="AN33" i="26"/>
  <c r="AN34" i="26"/>
  <c r="AN35" i="26"/>
  <c r="AN36" i="26"/>
  <c r="AN37" i="26"/>
  <c r="AN38" i="26"/>
  <c r="AN39" i="26"/>
  <c r="AN40" i="26"/>
  <c r="AN41" i="26"/>
  <c r="AN42" i="26"/>
  <c r="AN43" i="26"/>
  <c r="AN44" i="26"/>
  <c r="AN31" i="26"/>
  <c r="AO32" i="26"/>
  <c r="AO33" i="26"/>
  <c r="AO34" i="26"/>
  <c r="AO35" i="26"/>
  <c r="AO36" i="26"/>
  <c r="AO37" i="26"/>
  <c r="AO38" i="26"/>
  <c r="AO39" i="26"/>
  <c r="AO40" i="26"/>
  <c r="AO41" i="26"/>
  <c r="AO42" i="26"/>
  <c r="AO43" i="26"/>
  <c r="AO44" i="26"/>
  <c r="AO31" i="26"/>
  <c r="AP32" i="26"/>
  <c r="AP33" i="26"/>
  <c r="AP34" i="26"/>
  <c r="AP35" i="26"/>
  <c r="AP36" i="26"/>
  <c r="AP37" i="26"/>
  <c r="AP38" i="26"/>
  <c r="AP39" i="26"/>
  <c r="AP40" i="26"/>
  <c r="AP41" i="26"/>
  <c r="AP42" i="26"/>
  <c r="AP43" i="26"/>
  <c r="AP44" i="26"/>
  <c r="AP31" i="26"/>
  <c r="AQ32" i="26"/>
  <c r="AQ33" i="26"/>
  <c r="AQ34" i="26"/>
  <c r="AQ35" i="26"/>
  <c r="AQ36" i="26"/>
  <c r="AQ37" i="26"/>
  <c r="AQ38" i="26"/>
  <c r="AQ39" i="26"/>
  <c r="AQ40" i="26"/>
  <c r="AQ41" i="26"/>
  <c r="AQ42" i="26"/>
  <c r="AQ43" i="26"/>
  <c r="AQ44" i="26"/>
  <c r="AQ31" i="26"/>
  <c r="AS32" i="26"/>
  <c r="AS33" i="26"/>
  <c r="AS34" i="26"/>
  <c r="AS35" i="26"/>
  <c r="AS36" i="26"/>
  <c r="AS37" i="26"/>
  <c r="AS38" i="26"/>
  <c r="AS39" i="26"/>
  <c r="AS40" i="26"/>
  <c r="AS41" i="26"/>
  <c r="AS42" i="26"/>
  <c r="AS43" i="26"/>
  <c r="AS44" i="26"/>
  <c r="AS31" i="26"/>
  <c r="AT32" i="26"/>
  <c r="AT33" i="26"/>
  <c r="AT34" i="26"/>
  <c r="AT35" i="26"/>
  <c r="AT36" i="26"/>
  <c r="AT37" i="26"/>
  <c r="AT38" i="26"/>
  <c r="AT39" i="26"/>
  <c r="AT40" i="26"/>
  <c r="AT41" i="26"/>
  <c r="AT42" i="26"/>
  <c r="AT43" i="26"/>
  <c r="AT44" i="26"/>
  <c r="AT31" i="26"/>
  <c r="AV32" i="26"/>
  <c r="AV33" i="26"/>
  <c r="AV34" i="26"/>
  <c r="AV35" i="26"/>
  <c r="AV36" i="26"/>
  <c r="AV37" i="26"/>
  <c r="AV38" i="26"/>
  <c r="AV39" i="26"/>
  <c r="AV40" i="26"/>
  <c r="AV41" i="26"/>
  <c r="AV42" i="26"/>
  <c r="AV43" i="26"/>
  <c r="AV44" i="26"/>
  <c r="AV31" i="26"/>
  <c r="AW32" i="26"/>
  <c r="AW33" i="26"/>
  <c r="AW34" i="26"/>
  <c r="AW35" i="26"/>
  <c r="AW36" i="26"/>
  <c r="AW37" i="26"/>
  <c r="AW38" i="26"/>
  <c r="AW39" i="26"/>
  <c r="AW40" i="26"/>
  <c r="AW41" i="26"/>
  <c r="AW42" i="26"/>
  <c r="AW43" i="26"/>
  <c r="AW44" i="26"/>
  <c r="AW31" i="26"/>
  <c r="AX32" i="26"/>
  <c r="AX33" i="26"/>
  <c r="AX34" i="26"/>
  <c r="AX35" i="26"/>
  <c r="AX36" i="26"/>
  <c r="AX37" i="26"/>
  <c r="AX38" i="26"/>
  <c r="AX39" i="26"/>
  <c r="AX40" i="26"/>
  <c r="AX41" i="26"/>
  <c r="AX42" i="26"/>
  <c r="AX43" i="26"/>
  <c r="AX44" i="26"/>
  <c r="AX31" i="26"/>
  <c r="AY32" i="26"/>
  <c r="AY33" i="26"/>
  <c r="AY34" i="26"/>
  <c r="AY35" i="26"/>
  <c r="AY36" i="26"/>
  <c r="AY37" i="26"/>
  <c r="AY38" i="26"/>
  <c r="AY39" i="26"/>
  <c r="AY40" i="26"/>
  <c r="AY41" i="26"/>
  <c r="AY42" i="26"/>
  <c r="AY43" i="26"/>
  <c r="AY44" i="26"/>
  <c r="AY31" i="26"/>
  <c r="AZ32" i="26"/>
  <c r="AZ33" i="26"/>
  <c r="AZ34" i="26"/>
  <c r="AZ35" i="26"/>
  <c r="AZ36" i="26"/>
  <c r="AZ37" i="26"/>
  <c r="AZ38" i="26"/>
  <c r="AZ39" i="26"/>
  <c r="AZ40" i="26"/>
  <c r="AZ41" i="26"/>
  <c r="AZ42" i="26"/>
  <c r="AZ43" i="26"/>
  <c r="AZ44" i="26"/>
  <c r="AZ31" i="26"/>
  <c r="AC31" i="26"/>
  <c r="AT56" i="17"/>
  <c r="BE56" i="17"/>
  <c r="AT70" i="17"/>
  <c r="BE70" i="17"/>
  <c r="AT55" i="17"/>
  <c r="BE55" i="17"/>
  <c r="AT69" i="17"/>
  <c r="BE69" i="17"/>
  <c r="AT54" i="17"/>
  <c r="BE54" i="17"/>
  <c r="AS2" i="17"/>
  <c r="W25" i="17"/>
  <c r="AH25" i="17"/>
  <c r="W13" i="17"/>
  <c r="AT2" i="17"/>
  <c r="AT7" i="17"/>
  <c r="BE7" i="17"/>
  <c r="W24" i="17"/>
  <c r="W12" i="17"/>
  <c r="AT65" i="17"/>
  <c r="BE65" i="17"/>
  <c r="AT30" i="17"/>
  <c r="AT18" i="17"/>
  <c r="BE18" i="17"/>
  <c r="AT6" i="17"/>
  <c r="W23" i="17"/>
  <c r="W49" i="17"/>
  <c r="W11" i="17"/>
  <c r="W39" i="17"/>
  <c r="AH39" i="17"/>
  <c r="AT29" i="17"/>
  <c r="BE29" i="17"/>
  <c r="AT17" i="17"/>
  <c r="BE17" i="17"/>
  <c r="AT5" i="17"/>
  <c r="BE5" i="17"/>
  <c r="W22" i="17"/>
  <c r="W37" i="17"/>
  <c r="AH37" i="17"/>
  <c r="W10" i="17"/>
  <c r="W46" i="17"/>
  <c r="AH46" i="17"/>
  <c r="AT28" i="17"/>
  <c r="AT16" i="17"/>
  <c r="BE16" i="17"/>
  <c r="AT27" i="17"/>
  <c r="BE27" i="17"/>
  <c r="AT15" i="17"/>
  <c r="AT3" i="17"/>
  <c r="W20" i="17"/>
  <c r="AH20" i="17"/>
  <c r="W8" i="17"/>
  <c r="W41" i="17"/>
  <c r="AH41" i="17"/>
  <c r="AT26" i="17"/>
  <c r="AT14" i="17"/>
  <c r="W2" i="17"/>
  <c r="W19" i="17"/>
  <c r="AH19" i="17"/>
  <c r="W7" i="17"/>
  <c r="AH7" i="17"/>
  <c r="AT25" i="17"/>
  <c r="BE25" i="17"/>
  <c r="AT13" i="17"/>
  <c r="W30" i="17"/>
  <c r="W18" i="17"/>
  <c r="W6" i="17"/>
  <c r="AT12" i="17"/>
  <c r="BE12" i="17"/>
  <c r="W29" i="17"/>
  <c r="AH29" i="17"/>
  <c r="W17" i="17"/>
  <c r="W5" i="17"/>
  <c r="AH5" i="17"/>
  <c r="AT23" i="17"/>
  <c r="AT11" i="17"/>
  <c r="W28" i="17"/>
  <c r="W16" i="17"/>
  <c r="AH16" i="17"/>
  <c r="W4" i="17"/>
  <c r="W40" i="17"/>
  <c r="AH40" i="17"/>
  <c r="L40" i="17"/>
  <c r="AT22" i="17"/>
  <c r="AT10" i="17"/>
  <c r="W27" i="17"/>
  <c r="AH27" i="17"/>
  <c r="W15" i="17"/>
  <c r="W3" i="17"/>
  <c r="AH24" i="17"/>
  <c r="AH21" i="17"/>
  <c r="AH9" i="17"/>
  <c r="AH23" i="17"/>
  <c r="AH11" i="17"/>
  <c r="AH22" i="17"/>
  <c r="AH10" i="17"/>
  <c r="L69" i="17"/>
  <c r="L56" i="17"/>
  <c r="AH8" i="17"/>
  <c r="L54" i="17"/>
  <c r="W51" i="17"/>
  <c r="AH51" i="17"/>
  <c r="W65" i="17"/>
  <c r="AH65" i="17"/>
  <c r="W54" i="17"/>
  <c r="AH54" i="17"/>
  <c r="W68" i="17"/>
  <c r="AH68" i="17"/>
  <c r="W70" i="17"/>
  <c r="AH70" i="17"/>
  <c r="W56" i="17"/>
  <c r="AH56" i="17"/>
  <c r="W50" i="17"/>
  <c r="AH50" i="17"/>
  <c r="W64" i="17"/>
  <c r="AH64" i="17"/>
  <c r="W55" i="17"/>
  <c r="AH55" i="17"/>
  <c r="W69" i="17"/>
  <c r="AH69" i="17"/>
  <c r="L42" i="17"/>
  <c r="L68" i="17"/>
  <c r="L55" i="17"/>
  <c r="L41" i="17"/>
  <c r="AH18" i="17"/>
  <c r="L67" i="17"/>
  <c r="AH17" i="17"/>
  <c r="L66" i="17"/>
  <c r="L39" i="17"/>
  <c r="L65" i="17"/>
  <c r="L76" i="17"/>
  <c r="L64" i="17"/>
  <c r="L51" i="17"/>
  <c r="L37" i="17"/>
  <c r="L31" i="17"/>
  <c r="L75" i="17"/>
  <c r="L50" i="17"/>
  <c r="L74" i="17"/>
  <c r="L49" i="17"/>
  <c r="AH12" i="17"/>
  <c r="L73" i="17"/>
  <c r="L72" i="17"/>
  <c r="L46" i="17"/>
  <c r="L45" i="17"/>
  <c r="L71" i="17"/>
  <c r="L70" i="17"/>
  <c r="U71" i="28"/>
  <c r="U55" i="28"/>
  <c r="EW48" i="18"/>
  <c r="AT33" i="17"/>
  <c r="BE33" i="17"/>
  <c r="BE13" i="17"/>
  <c r="W42" i="17"/>
  <c r="AH42" i="17"/>
  <c r="AT35" i="17"/>
  <c r="BE35" i="17"/>
  <c r="BE30" i="17"/>
  <c r="AT43" i="17"/>
  <c r="BE43" i="17"/>
  <c r="BE28" i="17"/>
  <c r="AT39" i="17"/>
  <c r="BE39" i="17"/>
  <c r="BE11" i="17"/>
  <c r="AT49" i="17"/>
  <c r="BE49" i="17"/>
  <c r="BE23" i="17"/>
  <c r="AT34" i="17"/>
  <c r="BE34" i="17"/>
  <c r="BE14" i="17"/>
  <c r="AT38" i="17"/>
  <c r="BE38" i="17"/>
  <c r="BE2" i="17"/>
  <c r="AT36" i="17"/>
  <c r="BE36" i="17"/>
  <c r="BE26" i="17"/>
  <c r="AT46" i="17"/>
  <c r="BE10" i="17"/>
  <c r="AT32" i="17"/>
  <c r="BE32" i="17"/>
  <c r="BE3" i="17"/>
  <c r="AT37" i="17"/>
  <c r="BE37" i="17"/>
  <c r="BE22" i="17"/>
  <c r="AT44" i="17"/>
  <c r="BE44" i="17"/>
  <c r="BE15" i="17"/>
  <c r="AT47" i="17"/>
  <c r="BE47" i="17"/>
  <c r="BE6" i="17"/>
  <c r="U54" i="28"/>
  <c r="U68" i="28"/>
  <c r="BU51" i="31"/>
  <c r="BU65" i="31"/>
  <c r="U53" i="28"/>
  <c r="U67" i="28"/>
  <c r="BU74" i="31"/>
  <c r="BU60" i="31"/>
  <c r="BU52" i="31"/>
  <c r="BU59" i="31"/>
  <c r="BU61" i="31"/>
  <c r="BU62" i="31"/>
  <c r="BU48" i="31"/>
  <c r="U51" i="28"/>
  <c r="U65" i="28"/>
  <c r="U52" i="28"/>
  <c r="U66" i="28"/>
  <c r="U55" i="31"/>
  <c r="U69" i="31"/>
  <c r="BU76" i="31"/>
  <c r="BU66" i="31"/>
  <c r="BU75" i="31"/>
  <c r="U59" i="28"/>
  <c r="U73" i="28"/>
  <c r="U33" i="28"/>
  <c r="U37" i="28"/>
  <c r="U31" i="28"/>
  <c r="U42" i="28"/>
  <c r="U51" i="31"/>
  <c r="U65" i="31"/>
  <c r="U74" i="31"/>
  <c r="U63" i="31"/>
  <c r="U47" i="28"/>
  <c r="U45" i="28"/>
  <c r="BU48" i="30"/>
  <c r="U74" i="28"/>
  <c r="U60" i="28"/>
  <c r="U48" i="27"/>
  <c r="U60" i="31"/>
  <c r="U56" i="28"/>
  <c r="U70" i="28"/>
  <c r="BU45" i="31"/>
  <c r="FI48" i="38"/>
  <c r="FH48" i="38"/>
  <c r="FG76" i="38"/>
  <c r="ER76" i="38"/>
  <c r="ER50" i="38"/>
  <c r="FG50" i="38"/>
  <c r="FM50" i="38"/>
  <c r="FO50" i="38"/>
  <c r="FC48" i="38"/>
  <c r="CP63" i="38"/>
  <c r="CP64" i="38"/>
  <c r="FF64" i="38"/>
  <c r="FF63" i="38"/>
  <c r="FJ69" i="38"/>
  <c r="FJ55" i="38"/>
  <c r="FO48" i="38"/>
  <c r="ER52" i="38"/>
  <c r="FG52" i="38"/>
  <c r="CW62" i="38"/>
  <c r="CH62" i="38"/>
  <c r="FO51" i="38"/>
  <c r="FM51" i="38"/>
  <c r="CH55" i="38"/>
  <c r="CW55" i="38"/>
  <c r="AJ48" i="38"/>
  <c r="FO62" i="38"/>
  <c r="FM62" i="38"/>
  <c r="FA64" i="38"/>
  <c r="FA63" i="38"/>
  <c r="AI48" i="38"/>
  <c r="ER74" i="38"/>
  <c r="FG74" i="38"/>
  <c r="FJ68" i="38"/>
  <c r="FJ54" i="38"/>
  <c r="FG59" i="38"/>
  <c r="ER59" i="38"/>
  <c r="FM67" i="38"/>
  <c r="FO67" i="38"/>
  <c r="FO59" i="38"/>
  <c r="FM59" i="38"/>
  <c r="CW53" i="38"/>
  <c r="CH53" i="38"/>
  <c r="FG62" i="38"/>
  <c r="ER62" i="38"/>
  <c r="FD64" i="38"/>
  <c r="FD63" i="38"/>
  <c r="CS64" i="38"/>
  <c r="CS63" i="38"/>
  <c r="ER64" i="38"/>
  <c r="FG63" i="38"/>
  <c r="ER63" i="38"/>
  <c r="FG64" i="38"/>
  <c r="FO64" i="38"/>
  <c r="FM64" i="38"/>
  <c r="FO63" i="38"/>
  <c r="FM63" i="38"/>
  <c r="FJ66" i="38"/>
  <c r="FJ52" i="38"/>
  <c r="FO58" i="38"/>
  <c r="FM58" i="38"/>
  <c r="FG66" i="38"/>
  <c r="ER66" i="38"/>
  <c r="CW76" i="38"/>
  <c r="CH76" i="38"/>
  <c r="EW48" i="38"/>
  <c r="CV48" i="38"/>
  <c r="FO65" i="38"/>
  <c r="FM65" i="38"/>
  <c r="CH69" i="38"/>
  <c r="CW69" i="38"/>
  <c r="FO76" i="38"/>
  <c r="FM76" i="38"/>
  <c r="FF48" i="38"/>
  <c r="AF63" i="38"/>
  <c r="AF64" i="38"/>
  <c r="AH48" i="38"/>
  <c r="ER73" i="38"/>
  <c r="FG73" i="38"/>
  <c r="FG54" i="38"/>
  <c r="ER54" i="38"/>
  <c r="FJ76" i="38"/>
  <c r="FJ62" i="38"/>
  <c r="FO73" i="38"/>
  <c r="FM73" i="38"/>
  <c r="CW67" i="38"/>
  <c r="CH67" i="38"/>
  <c r="AC48" i="38"/>
  <c r="CW56" i="38"/>
  <c r="CH56" i="38"/>
  <c r="FO72" i="38"/>
  <c r="FM72" i="38"/>
  <c r="CP48" i="38"/>
  <c r="CO48" i="38"/>
  <c r="ET63" i="38"/>
  <c r="ET64" i="38"/>
  <c r="FO55" i="38"/>
  <c r="FM55" i="38"/>
  <c r="EX48" i="38"/>
  <c r="AH63" i="38"/>
  <c r="AH64" i="38"/>
  <c r="CU63" i="38"/>
  <c r="CU64" i="38"/>
  <c r="FO61" i="38"/>
  <c r="FM61" i="38"/>
  <c r="FG53" i="38"/>
  <c r="ER53" i="38"/>
  <c r="FN64" i="38"/>
  <c r="FN63" i="38"/>
  <c r="FJ70" i="38"/>
  <c r="FJ56" i="38"/>
  <c r="FG68" i="38"/>
  <c r="ER68" i="38"/>
  <c r="FJ73" i="38"/>
  <c r="FJ59" i="38"/>
  <c r="CH64" i="38"/>
  <c r="CH63" i="38"/>
  <c r="CW64" i="38"/>
  <c r="CW63" i="38"/>
  <c r="CR63" i="38"/>
  <c r="CR64" i="38"/>
  <c r="CH57" i="38"/>
  <c r="CW57" i="38"/>
  <c r="EX64" i="38"/>
  <c r="EX63" i="38"/>
  <c r="CH70" i="38"/>
  <c r="CW70" i="38"/>
  <c r="CW61" i="38"/>
  <c r="CH61" i="38"/>
  <c r="FH63" i="38"/>
  <c r="FO69" i="38"/>
  <c r="FM69" i="38"/>
  <c r="FO56" i="38"/>
  <c r="FM56" i="38"/>
  <c r="ET48" i="38"/>
  <c r="FE48" i="38"/>
  <c r="FO75" i="38"/>
  <c r="FM75" i="38"/>
  <c r="ER67" i="38"/>
  <c r="FG67" i="38"/>
  <c r="CW51" i="38"/>
  <c r="CH51" i="38"/>
  <c r="ER71" i="38"/>
  <c r="FG71" i="38"/>
  <c r="FG60" i="38"/>
  <c r="ER60" i="38"/>
  <c r="CW71" i="38"/>
  <c r="CH71" i="38"/>
  <c r="CQ48" i="38"/>
  <c r="CH75" i="38"/>
  <c r="CW75" i="38"/>
  <c r="EZ48" i="38"/>
  <c r="FG58" i="38"/>
  <c r="ER58" i="38"/>
  <c r="AI64" i="38"/>
  <c r="AI63" i="38"/>
  <c r="CJ48" i="38"/>
  <c r="FO70" i="38"/>
  <c r="FM70" i="38"/>
  <c r="CI63" i="38"/>
  <c r="CI64" i="38"/>
  <c r="EY64" i="38"/>
  <c r="EY63" i="38"/>
  <c r="CH65" i="38"/>
  <c r="CW65" i="38"/>
  <c r="CR48" i="38"/>
  <c r="AL63" i="38"/>
  <c r="AL64" i="38"/>
  <c r="FO53" i="38"/>
  <c r="FM53" i="38"/>
  <c r="AC63" i="38"/>
  <c r="AC64" i="38"/>
  <c r="AE48" i="38"/>
  <c r="FI63" i="38"/>
  <c r="AD48" i="38"/>
  <c r="CW58" i="38"/>
  <c r="CH58" i="38"/>
  <c r="AJ64" i="38"/>
  <c r="AJ63" i="38"/>
  <c r="ER72" i="38"/>
  <c r="FG72" i="38"/>
  <c r="FJ65" i="38"/>
  <c r="FJ51" i="38"/>
  <c r="FJ57" i="38"/>
  <c r="FJ60" i="38"/>
  <c r="FJ48" i="38"/>
  <c r="CW60" i="38"/>
  <c r="CH60" i="38"/>
  <c r="CT48" i="38"/>
  <c r="ES48" i="38"/>
  <c r="AE63" i="38"/>
  <c r="AE64" i="38"/>
  <c r="FD48" i="38"/>
  <c r="FO74" i="38"/>
  <c r="FM74" i="38"/>
  <c r="FJ71" i="38"/>
  <c r="CO64" i="38"/>
  <c r="CO63" i="38"/>
  <c r="FN48" i="38"/>
  <c r="CH72" i="38"/>
  <c r="CW72" i="38"/>
  <c r="CM64" i="38"/>
  <c r="CM63" i="38"/>
  <c r="CL48" i="38"/>
  <c r="FJ74" i="38"/>
  <c r="AK48" i="38"/>
  <c r="FB64" i="38"/>
  <c r="FB63" i="38"/>
  <c r="CW74" i="38"/>
  <c r="CH74" i="38"/>
  <c r="AG63" i="38"/>
  <c r="AG64" i="38"/>
  <c r="FO52" i="38"/>
  <c r="FM52" i="38"/>
  <c r="FO57" i="38"/>
  <c r="FM57" i="38"/>
  <c r="CL64" i="38"/>
  <c r="CL63" i="38"/>
  <c r="AD63" i="38"/>
  <c r="AD64" i="38"/>
  <c r="EV63" i="38"/>
  <c r="EV64" i="38"/>
  <c r="CN48" i="38"/>
  <c r="CN64" i="38"/>
  <c r="CN63" i="38"/>
  <c r="AL48" i="38"/>
  <c r="CH48" i="38"/>
  <c r="EZ64" i="38"/>
  <c r="EZ63" i="38"/>
  <c r="FG55" i="38"/>
  <c r="ER55" i="38"/>
  <c r="ER48" i="38"/>
  <c r="FO66" i="38"/>
  <c r="FM66" i="38"/>
  <c r="FO71" i="38"/>
  <c r="FM71" i="38"/>
  <c r="EW63" i="38"/>
  <c r="EW64" i="38"/>
  <c r="FG56" i="38"/>
  <c r="ER56" i="38"/>
  <c r="CW52" i="38"/>
  <c r="CH52" i="38"/>
  <c r="AK63" i="38"/>
  <c r="AK64" i="38"/>
  <c r="CV63" i="38"/>
  <c r="CV64" i="38"/>
  <c r="CU48" i="38"/>
  <c r="CW48" i="38"/>
  <c r="ER69" i="38"/>
  <c r="FG69" i="38"/>
  <c r="CW54" i="38"/>
  <c r="CH54" i="38"/>
  <c r="CH59" i="38"/>
  <c r="CW59" i="38"/>
  <c r="FE64" i="38"/>
  <c r="FE63" i="38"/>
  <c r="AF48" i="38"/>
  <c r="FG51" i="38"/>
  <c r="ER51" i="38"/>
  <c r="FG70" i="38"/>
  <c r="ER70" i="38"/>
  <c r="AM63" i="38"/>
  <c r="AM64" i="38"/>
  <c r="CH66" i="38"/>
  <c r="CW66" i="38"/>
  <c r="EY48" i="38"/>
  <c r="FG75" i="38"/>
  <c r="ER75" i="38"/>
  <c r="AM48" i="38"/>
  <c r="CT64" i="38"/>
  <c r="CT63" i="38"/>
  <c r="CS48" i="38"/>
  <c r="AG48" i="38"/>
  <c r="CW68" i="38"/>
  <c r="CH68" i="38"/>
  <c r="FJ31" i="38"/>
  <c r="CW73" i="38"/>
  <c r="CH73" i="38"/>
  <c r="FO54" i="38"/>
  <c r="FM54" i="38"/>
  <c r="ES64" i="38"/>
  <c r="ES63" i="38"/>
  <c r="CQ63" i="38"/>
  <c r="CQ64" i="38"/>
  <c r="FB48" i="38"/>
  <c r="ER65" i="38"/>
  <c r="FG65" i="38"/>
  <c r="ER61" i="38"/>
  <c r="FG61" i="38"/>
  <c r="FC64" i="38"/>
  <c r="FC63" i="38"/>
  <c r="CJ63" i="38"/>
  <c r="CJ64" i="38"/>
  <c r="FG57" i="38"/>
  <c r="ER57" i="38"/>
  <c r="CW50" i="38"/>
  <c r="CH50" i="38"/>
  <c r="FG48" i="38"/>
  <c r="FO60" i="38"/>
  <c r="FM60" i="38"/>
  <c r="FO68" i="38"/>
  <c r="FM68" i="38"/>
  <c r="G48" i="43"/>
  <c r="X48" i="43"/>
  <c r="O48" i="43"/>
  <c r="L48" i="43"/>
  <c r="CB48" i="43"/>
  <c r="BX48" i="43"/>
  <c r="BJ48" i="43"/>
  <c r="CB63" i="43"/>
  <c r="CE63" i="43"/>
  <c r="CT63" i="43"/>
  <c r="AM48" i="43"/>
  <c r="CJ48" i="43"/>
  <c r="BR48" i="43"/>
  <c r="AX63" i="43"/>
  <c r="AN63" i="43"/>
  <c r="CN63" i="43"/>
  <c r="AB48" i="43"/>
  <c r="Z48" i="43"/>
  <c r="BL48" i="43"/>
  <c r="BU48" i="43"/>
  <c r="BD48" i="43"/>
  <c r="BG48" i="43"/>
  <c r="BS48" i="43"/>
  <c r="AZ63" i="43"/>
  <c r="P48" i="43"/>
  <c r="N48" i="43"/>
  <c r="BI48" i="43"/>
  <c r="BW48" i="43"/>
  <c r="W48" i="43"/>
  <c r="T48" i="43"/>
  <c r="AJ63" i="43"/>
  <c r="E48" i="43"/>
  <c r="D48" i="43"/>
  <c r="V48" i="43"/>
  <c r="CQ63" i="43"/>
  <c r="BK48" i="43"/>
  <c r="Y48" i="43"/>
  <c r="J48" i="43"/>
  <c r="AG63" i="43"/>
  <c r="BF48" i="43"/>
  <c r="M48" i="43"/>
  <c r="AS48" i="43"/>
  <c r="H63" i="43"/>
  <c r="BO48" i="43"/>
  <c r="CO63" i="43"/>
  <c r="AV63" i="43"/>
  <c r="AP63" i="43"/>
  <c r="AA48" i="43"/>
  <c r="BT48" i="43"/>
  <c r="BO63" i="43"/>
  <c r="K48" i="43"/>
  <c r="BZ48" i="43"/>
  <c r="R48" i="43"/>
  <c r="BE48" i="43"/>
  <c r="BH48" i="43"/>
  <c r="BV48" i="43"/>
  <c r="BQ48" i="43"/>
  <c r="G63" i="43"/>
  <c r="AH63" i="43"/>
  <c r="CX63" i="43"/>
  <c r="D63" i="43"/>
  <c r="BV63" i="43"/>
  <c r="AZ48" i="43"/>
  <c r="CG48" i="43"/>
  <c r="CK48" i="43"/>
  <c r="U63" i="43"/>
  <c r="BR63" i="43"/>
  <c r="BD31" i="43"/>
  <c r="BM63" i="43"/>
  <c r="AT63" i="43"/>
  <c r="AO63" i="43"/>
  <c r="AW63" i="43"/>
  <c r="AF63" i="43"/>
  <c r="CI48" i="43"/>
  <c r="CR48" i="43"/>
  <c r="CV48" i="43"/>
  <c r="AK48" i="43"/>
  <c r="L63" i="43"/>
  <c r="BJ63" i="43"/>
  <c r="M63" i="43"/>
  <c r="CN48" i="43"/>
  <c r="AO48" i="43"/>
  <c r="AG48" i="43"/>
  <c r="AW48" i="43"/>
  <c r="BS63" i="43"/>
  <c r="V63" i="43"/>
  <c r="I63" i="43"/>
  <c r="BF63" i="43"/>
  <c r="BW63" i="43"/>
  <c r="CY48" i="43"/>
  <c r="CM48" i="43"/>
  <c r="CV63" i="43"/>
  <c r="CZ63" i="43"/>
  <c r="Z63" i="43"/>
  <c r="AH48" i="43"/>
  <c r="CS48" i="43"/>
  <c r="CH48" i="43"/>
  <c r="CL48" i="43"/>
  <c r="BG63" i="43"/>
  <c r="J63" i="43"/>
  <c r="CW63" i="43"/>
  <c r="AI63" i="43"/>
  <c r="AQ63" i="43"/>
  <c r="BX63" i="43"/>
  <c r="BK63" i="43"/>
  <c r="AL48" i="43"/>
  <c r="AP48" i="43"/>
  <c r="CW48" i="43"/>
  <c r="CX48" i="43"/>
  <c r="D31" i="43"/>
  <c r="BD45" i="43"/>
  <c r="BP63" i="43"/>
  <c r="CH63" i="43"/>
  <c r="CM63" i="43"/>
  <c r="AM63" i="43"/>
  <c r="Q63" i="43"/>
  <c r="N63" i="43"/>
  <c r="AT48" i="43"/>
  <c r="CT48" i="43"/>
  <c r="AI48" i="43"/>
  <c r="CO48" i="43"/>
  <c r="W63" i="43"/>
  <c r="AY63" i="43"/>
  <c r="AA63" i="43"/>
  <c r="BU63" i="43"/>
  <c r="AX48" i="43"/>
  <c r="AQ48" i="43"/>
  <c r="BT63" i="43"/>
  <c r="BD63" i="43"/>
  <c r="AB63" i="43"/>
  <c r="CF48" i="43"/>
  <c r="CQ48" i="43"/>
  <c r="K63" i="43"/>
  <c r="O63" i="43"/>
  <c r="AE48" i="43"/>
  <c r="AY48" i="43"/>
  <c r="CZ48" i="43"/>
  <c r="BH63" i="43"/>
  <c r="BQ63" i="43"/>
  <c r="P63" i="43"/>
  <c r="CE48" i="43"/>
  <c r="BI63" i="43"/>
  <c r="CP48" i="43"/>
  <c r="AF48" i="43"/>
  <c r="AJ48" i="43"/>
  <c r="BN63" i="43"/>
  <c r="F63" i="43"/>
  <c r="BY63" i="43"/>
  <c r="CF63" i="43"/>
  <c r="AL63" i="43"/>
  <c r="CR63" i="43"/>
  <c r="CL63" i="43"/>
  <c r="Y63" i="43"/>
  <c r="AN48" i="43"/>
  <c r="AR48" i="43"/>
  <c r="AV48" i="43"/>
  <c r="X63" i="43"/>
  <c r="BE63" i="43"/>
  <c r="AA48" i="42"/>
  <c r="BJ48" i="42"/>
  <c r="Z48" i="42"/>
  <c r="Y48" i="42"/>
  <c r="AB48" i="42"/>
  <c r="BL48" i="42"/>
  <c r="BR63" i="42"/>
  <c r="BQ63" i="42"/>
  <c r="BW48" i="42"/>
  <c r="U48" i="42"/>
  <c r="S48" i="42"/>
  <c r="N63" i="42"/>
  <c r="J48" i="42"/>
  <c r="BS48" i="42"/>
  <c r="AA63" i="42"/>
  <c r="BU48" i="42"/>
  <c r="BK48" i="42"/>
  <c r="BY48" i="42"/>
  <c r="R48" i="42"/>
  <c r="AB63" i="42"/>
  <c r="O48" i="42"/>
  <c r="G48" i="42"/>
  <c r="Q48" i="42"/>
  <c r="BI48" i="42"/>
  <c r="P48" i="42"/>
  <c r="BG48" i="42"/>
  <c r="O63" i="42"/>
  <c r="I48" i="42"/>
  <c r="BM48" i="42"/>
  <c r="F48" i="42"/>
  <c r="P63" i="42"/>
  <c r="T48" i="42"/>
  <c r="BG63" i="42"/>
  <c r="BR48" i="42"/>
  <c r="BM63" i="42"/>
  <c r="BT48" i="42"/>
  <c r="CB48" i="42"/>
  <c r="BT63" i="42"/>
  <c r="H48" i="42"/>
  <c r="BE48" i="42"/>
  <c r="BF48" i="42"/>
  <c r="Y63" i="42"/>
  <c r="BZ48" i="42"/>
  <c r="V63" i="42"/>
  <c r="BD31" i="42"/>
  <c r="BH48" i="42"/>
  <c r="BF63" i="42"/>
  <c r="M48" i="42"/>
  <c r="K48" i="42"/>
  <c r="BH63" i="42"/>
  <c r="W48" i="42"/>
  <c r="BV48" i="42"/>
  <c r="BP48" i="42"/>
  <c r="CA48" i="42"/>
  <c r="BN48" i="42"/>
  <c r="BX48" i="42"/>
  <c r="L48" i="42"/>
  <c r="BN63" i="42"/>
  <c r="V48" i="42"/>
  <c r="BQ48" i="42"/>
  <c r="BO48" i="42"/>
  <c r="CQ63" i="42"/>
  <c r="BD63" i="42"/>
  <c r="X63" i="42"/>
  <c r="AW63" i="42"/>
  <c r="BX63" i="42"/>
  <c r="CI63" i="42"/>
  <c r="AG48" i="42"/>
  <c r="AS48" i="42"/>
  <c r="CG63" i="42"/>
  <c r="AL63" i="42"/>
  <c r="BD48" i="42"/>
  <c r="BW63" i="42"/>
  <c r="AH48" i="42"/>
  <c r="AK48" i="42"/>
  <c r="BI63" i="42"/>
  <c r="CR63" i="42"/>
  <c r="CE63" i="42"/>
  <c r="L63" i="42"/>
  <c r="AR63" i="42"/>
  <c r="AZ63" i="42"/>
  <c r="BL63" i="42"/>
  <c r="AL48" i="42"/>
  <c r="AZ48" i="42"/>
  <c r="R63" i="42"/>
  <c r="E48" i="42"/>
  <c r="Z63" i="42"/>
  <c r="CY63" i="42"/>
  <c r="AK63" i="42"/>
  <c r="AV63" i="42"/>
  <c r="J63" i="42"/>
  <c r="BK63" i="42"/>
  <c r="S63" i="42"/>
  <c r="AN48" i="42"/>
  <c r="AE48" i="42"/>
  <c r="BS63" i="42"/>
  <c r="CZ63" i="42"/>
  <c r="AY48" i="42"/>
  <c r="AO48" i="42"/>
  <c r="AQ48" i="42"/>
  <c r="F63" i="42"/>
  <c r="D45" i="42"/>
  <c r="CN63" i="42"/>
  <c r="CM63" i="42"/>
  <c r="W63" i="42"/>
  <c r="AE63" i="42"/>
  <c r="AP63" i="42"/>
  <c r="T63" i="42"/>
  <c r="G63" i="42"/>
  <c r="AT48" i="42"/>
  <c r="AI48" i="42"/>
  <c r="D63" i="42"/>
  <c r="K63" i="42"/>
  <c r="AM63" i="42"/>
  <c r="CT63" i="42"/>
  <c r="AW48" i="42"/>
  <c r="Q63" i="42"/>
  <c r="CA63" i="42"/>
  <c r="CX63" i="42"/>
  <c r="AG63" i="42"/>
  <c r="CW63" i="42"/>
  <c r="H63" i="42"/>
  <c r="AX48" i="42"/>
  <c r="AJ48" i="42"/>
  <c r="CB63" i="42"/>
  <c r="AF63" i="42"/>
  <c r="AS63" i="42"/>
  <c r="CV63" i="42"/>
  <c r="AM48" i="42"/>
  <c r="AV48" i="42"/>
  <c r="BP63" i="42"/>
  <c r="BO63" i="42"/>
  <c r="CL63" i="42"/>
  <c r="AX63" i="42"/>
  <c r="AO63" i="42"/>
  <c r="AH63" i="42"/>
  <c r="CK63" i="42"/>
  <c r="U63" i="42"/>
  <c r="BV63" i="42"/>
  <c r="E63" i="42"/>
  <c r="D48" i="42"/>
  <c r="AY63" i="42"/>
  <c r="AJ63" i="42"/>
  <c r="AT63" i="42"/>
  <c r="CJ63" i="42"/>
  <c r="AP48" i="42"/>
  <c r="BZ63" i="42"/>
  <c r="AQ63" i="42"/>
  <c r="AI63" i="42"/>
  <c r="BY63" i="42"/>
  <c r="I63" i="42"/>
  <c r="BJ63" i="42"/>
  <c r="AF48" i="42"/>
  <c r="AR48" i="42"/>
  <c r="BU63" i="42"/>
  <c r="CS63" i="42"/>
  <c r="AV48" i="41"/>
  <c r="AP48" i="41"/>
  <c r="R63" i="41"/>
  <c r="BB63" i="41"/>
  <c r="AN48" i="41"/>
  <c r="O48" i="41"/>
  <c r="Y48" i="41"/>
  <c r="Q48" i="41"/>
  <c r="AE48" i="41"/>
  <c r="AJ48" i="41"/>
  <c r="AS48" i="41"/>
  <c r="F48" i="41"/>
  <c r="AK48" i="41"/>
  <c r="F63" i="41"/>
  <c r="W48" i="41"/>
  <c r="AZ48" i="41"/>
  <c r="AO48" i="41"/>
  <c r="AX48" i="41"/>
  <c r="Z48" i="41"/>
  <c r="K48" i="41"/>
  <c r="AT48" i="41"/>
  <c r="AG48" i="41"/>
  <c r="H48" i="41"/>
  <c r="S48" i="41"/>
  <c r="L48" i="41"/>
  <c r="AQ48" i="41"/>
  <c r="AY48" i="41"/>
  <c r="U48" i="41"/>
  <c r="AL48" i="41"/>
  <c r="AW48" i="41"/>
  <c r="AR48" i="41"/>
  <c r="G48" i="41"/>
  <c r="R48" i="41"/>
  <c r="M48" i="41"/>
  <c r="BB48" i="41"/>
  <c r="P48" i="41"/>
  <c r="AA48" i="41"/>
  <c r="N48" i="41"/>
  <c r="AU48" i="41"/>
  <c r="V48" i="41"/>
  <c r="BF63" i="41"/>
  <c r="T63" i="41"/>
  <c r="BZ63" i="41"/>
  <c r="AM63" i="41"/>
  <c r="BV63" i="41"/>
  <c r="AK63" i="41"/>
  <c r="AV63" i="41"/>
  <c r="BE63" i="41"/>
  <c r="S63" i="41"/>
  <c r="BY63" i="41"/>
  <c r="BX63" i="41"/>
  <c r="Y63" i="41"/>
  <c r="BG63" i="41"/>
  <c r="AT63" i="41"/>
  <c r="H63" i="41"/>
  <c r="D48" i="41"/>
  <c r="AA63" i="41"/>
  <c r="BJ63" i="41"/>
  <c r="AJ63" i="41"/>
  <c r="AS63" i="41"/>
  <c r="G63" i="41"/>
  <c r="BM63" i="41"/>
  <c r="BL63" i="41"/>
  <c r="AU63" i="41"/>
  <c r="AH63" i="41"/>
  <c r="BP63" i="41"/>
  <c r="BZ45" i="41"/>
  <c r="O63" i="41"/>
  <c r="AX63" i="41"/>
  <c r="M63" i="41"/>
  <c r="X63" i="41"/>
  <c r="AG63" i="41"/>
  <c r="AP63" i="41"/>
  <c r="BA63" i="41"/>
  <c r="AZ63" i="41"/>
  <c r="AI63" i="41"/>
  <c r="V63" i="41"/>
  <c r="BO63" i="41"/>
  <c r="AB63" i="41"/>
  <c r="BW63" i="41"/>
  <c r="AL63" i="41"/>
  <c r="L63" i="41"/>
  <c r="W63" i="41"/>
  <c r="U63" i="41"/>
  <c r="AD63" i="41"/>
  <c r="AO63" i="41"/>
  <c r="AN63" i="41"/>
  <c r="BK48" i="41"/>
  <c r="J63" i="41"/>
  <c r="AR63" i="41"/>
  <c r="P63" i="41"/>
  <c r="BK63" i="41"/>
  <c r="Z63" i="41"/>
  <c r="BI63" i="41"/>
  <c r="BT63" i="41"/>
  <c r="I63" i="41"/>
  <c r="AQ63" i="41"/>
  <c r="Q63" i="41"/>
  <c r="K63" i="41"/>
  <c r="BR63" i="41"/>
  <c r="AF63" i="41"/>
  <c r="D63" i="41"/>
  <c r="AD31" i="41"/>
  <c r="D31" i="41"/>
  <c r="AY63" i="41"/>
  <c r="N63" i="41"/>
  <c r="AW63" i="41"/>
  <c r="BH63" i="41"/>
  <c r="BS63" i="41"/>
  <c r="BQ63" i="41"/>
  <c r="AE63" i="41"/>
  <c r="E63" i="41"/>
  <c r="DR10" i="18"/>
  <c r="DR3" i="18"/>
  <c r="DR22" i="18"/>
  <c r="DR15" i="18"/>
  <c r="DR6" i="18"/>
  <c r="DR11" i="18"/>
  <c r="DR30" i="18"/>
  <c r="DR4" i="18"/>
  <c r="DR19" i="18"/>
  <c r="DR13" i="18"/>
  <c r="DR28" i="18"/>
  <c r="DR8" i="18"/>
  <c r="DR14" i="18"/>
  <c r="DR5" i="18"/>
  <c r="DR26" i="18"/>
  <c r="DR17" i="18"/>
  <c r="DR29" i="18"/>
  <c r="CM63" i="18"/>
  <c r="CM48" i="18"/>
  <c r="BH2" i="18"/>
  <c r="BH13" i="18"/>
  <c r="BH8" i="18"/>
  <c r="BH14" i="18"/>
  <c r="BH26" i="18"/>
  <c r="BH10" i="18"/>
  <c r="BH3" i="18"/>
  <c r="BH22" i="18"/>
  <c r="BH15" i="18"/>
  <c r="BH6" i="18"/>
  <c r="BH11" i="18"/>
  <c r="BH23" i="18"/>
  <c r="BH30" i="18"/>
  <c r="BH4" i="18"/>
  <c r="BH16" i="18"/>
  <c r="BH19" i="18"/>
  <c r="BH28" i="18"/>
  <c r="AI48" i="18"/>
  <c r="AI63" i="18"/>
  <c r="K48" i="18"/>
  <c r="U48" i="31"/>
  <c r="U48" i="30"/>
  <c r="AU31" i="27"/>
  <c r="AH49" i="17"/>
  <c r="AT57" i="17"/>
  <c r="BE57" i="17"/>
  <c r="AT71" i="17"/>
  <c r="BE71" i="17"/>
  <c r="AT62" i="17"/>
  <c r="BE62" i="17"/>
  <c r="AT76" i="17"/>
  <c r="BE76" i="17"/>
  <c r="AT50" i="17"/>
  <c r="BE50" i="17"/>
  <c r="AT64" i="17"/>
  <c r="BE64" i="17"/>
  <c r="AT58" i="17"/>
  <c r="BE58" i="17"/>
  <c r="AT72" i="17"/>
  <c r="BE72" i="17"/>
  <c r="AT61" i="17"/>
  <c r="BE61" i="17"/>
  <c r="AT75" i="17"/>
  <c r="BE75" i="17"/>
  <c r="AH4" i="17"/>
  <c r="AT60" i="17"/>
  <c r="BE60" i="17"/>
  <c r="AT74" i="17"/>
  <c r="BE74" i="17"/>
  <c r="AT53" i="17"/>
  <c r="BE53" i="17"/>
  <c r="AT67" i="17"/>
  <c r="BE67" i="17"/>
  <c r="AT52" i="17"/>
  <c r="AT66" i="17"/>
  <c r="BE66" i="17"/>
  <c r="AT59" i="17"/>
  <c r="BE59" i="17"/>
  <c r="AT73" i="17"/>
  <c r="BE73" i="17"/>
  <c r="W34" i="17"/>
  <c r="AH34" i="17"/>
  <c r="AH14" i="17"/>
  <c r="W36" i="17"/>
  <c r="AH36" i="17"/>
  <c r="AH26" i="17"/>
  <c r="W38" i="17"/>
  <c r="AH38" i="17"/>
  <c r="AH2" i="17"/>
  <c r="W32" i="17"/>
  <c r="AH3" i="17"/>
  <c r="W47" i="17"/>
  <c r="AH6" i="17"/>
  <c r="L48" i="17"/>
  <c r="W44" i="17"/>
  <c r="AH44" i="17"/>
  <c r="AH15" i="17"/>
  <c r="W35" i="17"/>
  <c r="AH35" i="17"/>
  <c r="AH30" i="17"/>
  <c r="W33" i="17"/>
  <c r="AH33" i="17"/>
  <c r="AH13" i="17"/>
  <c r="W43" i="17"/>
  <c r="AH43" i="17"/>
  <c r="AH28" i="17"/>
  <c r="W60" i="17"/>
  <c r="AH60" i="17"/>
  <c r="W74" i="17"/>
  <c r="AH74" i="17"/>
  <c r="W61" i="17"/>
  <c r="AH61" i="17"/>
  <c r="W75" i="17"/>
  <c r="AH75" i="17"/>
  <c r="W62" i="17"/>
  <c r="AH62" i="17"/>
  <c r="W76" i="17"/>
  <c r="AH76" i="17"/>
  <c r="W58" i="17"/>
  <c r="AH58" i="17"/>
  <c r="W72" i="17"/>
  <c r="AH72" i="17"/>
  <c r="W59" i="17"/>
  <c r="AH59" i="17"/>
  <c r="W73" i="17"/>
  <c r="AH73" i="17"/>
  <c r="L63" i="17"/>
  <c r="W53" i="17"/>
  <c r="AH53" i="17"/>
  <c r="W67" i="17"/>
  <c r="AH67" i="17"/>
  <c r="W52" i="17"/>
  <c r="AH52" i="17"/>
  <c r="W66" i="17"/>
  <c r="W57" i="17"/>
  <c r="AH57" i="17"/>
  <c r="W71" i="17"/>
  <c r="AH71" i="17"/>
  <c r="AT48" i="17"/>
  <c r="BE52" i="17"/>
  <c r="AT45" i="17"/>
  <c r="BE46" i="17"/>
  <c r="AT31" i="17"/>
  <c r="BU63" i="31"/>
  <c r="U63" i="28"/>
  <c r="U48" i="28"/>
  <c r="FJ63" i="38"/>
  <c r="AH66" i="17"/>
  <c r="W63" i="17"/>
  <c r="AT63" i="17"/>
  <c r="AH32" i="17"/>
  <c r="W31" i="17"/>
  <c r="W48" i="17"/>
  <c r="W45" i="17"/>
  <c r="AH47" i="17"/>
  <c r="P25" i="36"/>
  <c r="P24" i="36"/>
  <c r="E15" i="2"/>
  <c r="E9" i="2"/>
  <c r="C2" i="36"/>
  <c r="BB2" i="36"/>
  <c r="K2" i="27"/>
  <c r="K38" i="27"/>
  <c r="O27" i="36"/>
  <c r="BE27" i="36"/>
  <c r="E18" i="36"/>
  <c r="BW18" i="36"/>
  <c r="AB12" i="36"/>
  <c r="BB12" i="36"/>
  <c r="E7" i="36"/>
  <c r="BG7" i="36"/>
  <c r="AB16" i="36"/>
  <c r="BP16" i="36"/>
  <c r="G16" i="27"/>
  <c r="J16" i="27"/>
  <c r="E8" i="2"/>
  <c r="C25" i="36"/>
  <c r="AB25" i="36"/>
  <c r="BA25" i="36"/>
  <c r="D25" i="36"/>
  <c r="AC25" i="36"/>
  <c r="BB25" i="36"/>
  <c r="E25" i="36"/>
  <c r="AD25" i="36"/>
  <c r="BC25" i="36"/>
  <c r="F25" i="36"/>
  <c r="AE25" i="36"/>
  <c r="BD25" i="36"/>
  <c r="G25" i="36"/>
  <c r="AF25" i="36"/>
  <c r="BE25" i="36"/>
  <c r="H25" i="36"/>
  <c r="AG25" i="36"/>
  <c r="BF25" i="36"/>
  <c r="I25" i="36"/>
  <c r="AH25" i="36"/>
  <c r="BG25" i="36"/>
  <c r="J25" i="36"/>
  <c r="AI25" i="36"/>
  <c r="BH25" i="36"/>
  <c r="K25" i="36"/>
  <c r="AJ25" i="36"/>
  <c r="BI25" i="36"/>
  <c r="L25" i="36"/>
  <c r="AK25" i="36"/>
  <c r="BJ25" i="36"/>
  <c r="M25" i="36"/>
  <c r="AL25" i="36"/>
  <c r="BK25" i="36"/>
  <c r="N25" i="36"/>
  <c r="AM25" i="36"/>
  <c r="BL25" i="36"/>
  <c r="O25" i="36"/>
  <c r="AN25" i="36"/>
  <c r="BM25" i="36"/>
  <c r="AO25" i="36"/>
  <c r="BN25" i="36"/>
  <c r="Q25" i="36"/>
  <c r="AP25" i="36"/>
  <c r="BO25" i="36"/>
  <c r="R25" i="36"/>
  <c r="BP25" i="36"/>
  <c r="S25" i="36"/>
  <c r="AR25" i="36"/>
  <c r="BQ25" i="36"/>
  <c r="U25" i="36"/>
  <c r="AT25" i="36"/>
  <c r="BS25" i="36"/>
  <c r="V25" i="36"/>
  <c r="AU25" i="36"/>
  <c r="BT25" i="36"/>
  <c r="W25" i="27"/>
  <c r="W25" i="36"/>
  <c r="AV25" i="36"/>
  <c r="BU25" i="36"/>
  <c r="X25" i="36"/>
  <c r="AW25" i="36"/>
  <c r="BV25" i="36"/>
  <c r="Y25" i="36"/>
  <c r="AX25" i="36"/>
  <c r="BW25" i="36"/>
  <c r="E6" i="36"/>
  <c r="BV6" i="36"/>
  <c r="G6" i="27"/>
  <c r="G47" i="27"/>
  <c r="AE10" i="36"/>
  <c r="BG10" i="36"/>
  <c r="M10" i="27"/>
  <c r="M46" i="27"/>
  <c r="N10" i="27"/>
  <c r="N46" i="27"/>
  <c r="W10" i="27"/>
  <c r="W46" i="27"/>
  <c r="AB15" i="36"/>
  <c r="BB15" i="36"/>
  <c r="C28" i="36"/>
  <c r="BG28" i="36"/>
  <c r="G28" i="27"/>
  <c r="J28" i="27"/>
  <c r="J43" i="27"/>
  <c r="W28" i="27"/>
  <c r="W43" i="27"/>
  <c r="AB19" i="36"/>
  <c r="BJ19" i="36"/>
  <c r="Y19" i="27"/>
  <c r="Y42" i="27"/>
  <c r="C8" i="36"/>
  <c r="G8" i="27"/>
  <c r="G41" i="27"/>
  <c r="AU4" i="36"/>
  <c r="BB4" i="36"/>
  <c r="J4" i="27"/>
  <c r="J40" i="27"/>
  <c r="Y4" i="27"/>
  <c r="E11" i="36"/>
  <c r="BV11" i="36"/>
  <c r="G11" i="27"/>
  <c r="G39" i="27"/>
  <c r="H11" i="27"/>
  <c r="H39" i="27"/>
  <c r="T11" i="27"/>
  <c r="T39" i="27"/>
  <c r="W11" i="27"/>
  <c r="W39" i="27"/>
  <c r="K22" i="36"/>
  <c r="BV22" i="36"/>
  <c r="G22" i="27"/>
  <c r="G37" i="27"/>
  <c r="W22" i="27"/>
  <c r="W37" i="27"/>
  <c r="BS26" i="36"/>
  <c r="G26" i="27"/>
  <c r="G36" i="27"/>
  <c r="H26" i="27"/>
  <c r="J26" i="27"/>
  <c r="J36" i="27"/>
  <c r="V30" i="36"/>
  <c r="BJ30" i="36"/>
  <c r="G30" i="27"/>
  <c r="G35" i="27"/>
  <c r="J30" i="27"/>
  <c r="J35" i="27"/>
  <c r="M30" i="27"/>
  <c r="N30" i="27"/>
  <c r="N35" i="27"/>
  <c r="O30" i="27"/>
  <c r="O35" i="27"/>
  <c r="T30" i="27"/>
  <c r="T35" i="27"/>
  <c r="AI14" i="36"/>
  <c r="BA14" i="36"/>
  <c r="G14" i="27"/>
  <c r="G34" i="27"/>
  <c r="AG13" i="36"/>
  <c r="BA13" i="36"/>
  <c r="G13" i="27"/>
  <c r="G33" i="27"/>
  <c r="J13" i="27"/>
  <c r="J33" i="27"/>
  <c r="AJ3" i="36"/>
  <c r="BP3" i="36"/>
  <c r="G3" i="27"/>
  <c r="N3" i="27"/>
  <c r="N32" i="27"/>
  <c r="O3" i="27"/>
  <c r="O32" i="27"/>
  <c r="E12" i="2"/>
  <c r="B31" i="2"/>
  <c r="B26" i="2"/>
  <c r="G29" i="27"/>
  <c r="H29" i="27"/>
  <c r="H71" i="27"/>
  <c r="Y29" i="27"/>
  <c r="G20" i="27"/>
  <c r="G56" i="27"/>
  <c r="W20" i="27"/>
  <c r="Y20" i="27"/>
  <c r="H24" i="27"/>
  <c r="H69" i="27"/>
  <c r="J24" i="27"/>
  <c r="L24" i="27"/>
  <c r="G9" i="27"/>
  <c r="L9" i="27"/>
  <c r="N9" i="27"/>
  <c r="G5" i="27"/>
  <c r="H5" i="27"/>
  <c r="J5" i="27"/>
  <c r="L5" i="27"/>
  <c r="R5" i="27"/>
  <c r="R67" i="27"/>
  <c r="Z5" i="27"/>
  <c r="G17" i="27"/>
  <c r="J17" i="27"/>
  <c r="G21" i="27"/>
  <c r="H21" i="27"/>
  <c r="J21" i="27"/>
  <c r="J51" i="27"/>
  <c r="W21" i="27"/>
  <c r="W65" i="27"/>
  <c r="G23" i="27"/>
  <c r="H23" i="27"/>
  <c r="H49" i="27"/>
  <c r="G19" i="27"/>
  <c r="G42" i="27"/>
  <c r="G4" i="27"/>
  <c r="BD27" i="32"/>
  <c r="BD18" i="32"/>
  <c r="BD75" i="32"/>
  <c r="BD12" i="32"/>
  <c r="BD60" i="32"/>
  <c r="BD7" i="32"/>
  <c r="BD73" i="32"/>
  <c r="BD16" i="32"/>
  <c r="BD29" i="32"/>
  <c r="BD71" i="32"/>
  <c r="BD20" i="32"/>
  <c r="BD24" i="32"/>
  <c r="BD69" i="32"/>
  <c r="BD9" i="32"/>
  <c r="BD54" i="32"/>
  <c r="BD5" i="32"/>
  <c r="BD67" i="32"/>
  <c r="BD17" i="32"/>
  <c r="BD21" i="32"/>
  <c r="BD65" i="32"/>
  <c r="BD25" i="32"/>
  <c r="BD61" i="32"/>
  <c r="BD57" i="32"/>
  <c r="BD53" i="32"/>
  <c r="BD51" i="32"/>
  <c r="BD23" i="32"/>
  <c r="BD49" i="32"/>
  <c r="BD6" i="32"/>
  <c r="BD47" i="32"/>
  <c r="BD10" i="32"/>
  <c r="BD46" i="32"/>
  <c r="BD15" i="32"/>
  <c r="BD44" i="32"/>
  <c r="BD28" i="32"/>
  <c r="BD43" i="32"/>
  <c r="BD19" i="32"/>
  <c r="BD42" i="32"/>
  <c r="BD8" i="32"/>
  <c r="BD41" i="32"/>
  <c r="BD4" i="32"/>
  <c r="BD40" i="32"/>
  <c r="BD11" i="32"/>
  <c r="BD39" i="32"/>
  <c r="BD2" i="32"/>
  <c r="BD38" i="32"/>
  <c r="BD22" i="32"/>
  <c r="BD37" i="32"/>
  <c r="BD26" i="32"/>
  <c r="BD36" i="32"/>
  <c r="BD30" i="32"/>
  <c r="BD35" i="32"/>
  <c r="BD14" i="32"/>
  <c r="BD34" i="32"/>
  <c r="BD13" i="32"/>
  <c r="BD33" i="32"/>
  <c r="BD3" i="32"/>
  <c r="BD32" i="32"/>
  <c r="AP45" i="32"/>
  <c r="AH27" i="32"/>
  <c r="AH62" i="32"/>
  <c r="AI27" i="32"/>
  <c r="AH76" i="32"/>
  <c r="AH18" i="32"/>
  <c r="AI18" i="32"/>
  <c r="AI61" i="32"/>
  <c r="AH12" i="32"/>
  <c r="AH74" i="32"/>
  <c r="AI12" i="32"/>
  <c r="AI60" i="32"/>
  <c r="AJ12" i="32"/>
  <c r="AJ60" i="32"/>
  <c r="AI74" i="32"/>
  <c r="AH7" i="32"/>
  <c r="AI7" i="32"/>
  <c r="AI73" i="32"/>
  <c r="AH16" i="32"/>
  <c r="AI16" i="32"/>
  <c r="AH29" i="32"/>
  <c r="AH71" i="32"/>
  <c r="AI29" i="32"/>
  <c r="AI57" i="32"/>
  <c r="AH20" i="32"/>
  <c r="AH70" i="32"/>
  <c r="AI20" i="32"/>
  <c r="AI70" i="32"/>
  <c r="AH24" i="32"/>
  <c r="AI24" i="32"/>
  <c r="AI55" i="32"/>
  <c r="AH9" i="32"/>
  <c r="AI9" i="32"/>
  <c r="AI68" i="32"/>
  <c r="AH5" i="32"/>
  <c r="AH67" i="32"/>
  <c r="AI5" i="32"/>
  <c r="AI53" i="32"/>
  <c r="AH17" i="32"/>
  <c r="AI17" i="32"/>
  <c r="AI66" i="32"/>
  <c r="AH21" i="32"/>
  <c r="AI21" i="32"/>
  <c r="AI65" i="32"/>
  <c r="AH25" i="32"/>
  <c r="AI25" i="32"/>
  <c r="AJ25" i="32"/>
  <c r="AI64" i="32"/>
  <c r="AH64" i="32"/>
  <c r="AH61" i="32"/>
  <c r="AI56" i="32"/>
  <c r="AH56" i="32"/>
  <c r="AH53" i="32"/>
  <c r="AI50" i="32"/>
  <c r="AH23" i="32"/>
  <c r="AH49" i="32"/>
  <c r="AI23" i="32"/>
  <c r="AI49" i="32"/>
  <c r="AH6" i="32"/>
  <c r="AI6" i="32"/>
  <c r="AI47" i="32"/>
  <c r="AH47" i="32"/>
  <c r="AH10" i="32"/>
  <c r="AH46" i="32"/>
  <c r="AI10" i="32"/>
  <c r="AJ10" i="32"/>
  <c r="AJ46" i="32"/>
  <c r="AI46" i="32"/>
  <c r="AI45" i="32"/>
  <c r="AH15" i="32"/>
  <c r="AH44" i="32"/>
  <c r="AI15" i="32"/>
  <c r="AI44" i="32"/>
  <c r="AH28" i="32"/>
  <c r="AI28" i="32"/>
  <c r="AJ28" i="32"/>
  <c r="AJ43" i="32"/>
  <c r="AI43" i="32"/>
  <c r="AH19" i="32"/>
  <c r="AI19" i="32"/>
  <c r="AI42" i="32"/>
  <c r="AH42" i="32"/>
  <c r="AH8" i="32"/>
  <c r="AH41" i="32"/>
  <c r="AI8" i="32"/>
  <c r="AH4" i="32"/>
  <c r="AI4" i="32"/>
  <c r="AJ4" i="32"/>
  <c r="AJ40" i="32"/>
  <c r="AI40" i="32"/>
  <c r="AH11" i="32"/>
  <c r="AI11" i="32"/>
  <c r="AJ11" i="32"/>
  <c r="AJ39" i="32"/>
  <c r="AI39" i="32"/>
  <c r="AH2" i="32"/>
  <c r="AI2" i="32"/>
  <c r="AJ2" i="32"/>
  <c r="AJ38" i="32"/>
  <c r="AI38" i="32"/>
  <c r="AH22" i="32"/>
  <c r="AH37" i="32"/>
  <c r="AI22" i="32"/>
  <c r="AI37" i="32"/>
  <c r="AH26" i="32"/>
  <c r="AI26" i="32"/>
  <c r="AI36" i="32"/>
  <c r="AH30" i="32"/>
  <c r="AI30" i="32"/>
  <c r="AI35" i="32"/>
  <c r="AH14" i="32"/>
  <c r="AH34" i="32"/>
  <c r="AI14" i="32"/>
  <c r="AI34" i="32"/>
  <c r="AH13" i="32"/>
  <c r="AH33" i="32"/>
  <c r="AI13" i="32"/>
  <c r="AJ13" i="32"/>
  <c r="AJ33" i="32"/>
  <c r="AI33" i="32"/>
  <c r="AH3" i="32"/>
  <c r="AI3" i="32"/>
  <c r="AJ3" i="32"/>
  <c r="AJ32" i="32"/>
  <c r="AI32" i="32"/>
  <c r="H10" i="32"/>
  <c r="H46" i="32"/>
  <c r="H6" i="32"/>
  <c r="H47" i="32"/>
  <c r="E10" i="32"/>
  <c r="E46" i="32"/>
  <c r="E6" i="32"/>
  <c r="E47" i="32"/>
  <c r="E45" i="32"/>
  <c r="D10" i="32"/>
  <c r="D46" i="32"/>
  <c r="D6" i="32"/>
  <c r="D47" i="32"/>
  <c r="H25" i="32"/>
  <c r="H21" i="32"/>
  <c r="H51" i="32"/>
  <c r="H17" i="32"/>
  <c r="H5" i="32"/>
  <c r="H67" i="32"/>
  <c r="H9" i="32"/>
  <c r="H68" i="32"/>
  <c r="H24" i="32"/>
  <c r="H55" i="32"/>
  <c r="H20" i="32"/>
  <c r="H29" i="32"/>
  <c r="H16" i="32"/>
  <c r="H72" i="32"/>
  <c r="H7" i="32"/>
  <c r="H12" i="32"/>
  <c r="H18" i="32"/>
  <c r="H27" i="32"/>
  <c r="E25" i="32"/>
  <c r="E50" i="32"/>
  <c r="E21" i="32"/>
  <c r="E65" i="32"/>
  <c r="E17" i="32"/>
  <c r="E52" i="32"/>
  <c r="E5" i="32"/>
  <c r="E67" i="32"/>
  <c r="E9" i="32"/>
  <c r="E68" i="32"/>
  <c r="E24" i="32"/>
  <c r="E69" i="32"/>
  <c r="E20" i="32"/>
  <c r="E56" i="32"/>
  <c r="E70" i="32"/>
  <c r="E29" i="32"/>
  <c r="E57" i="32"/>
  <c r="E16" i="32"/>
  <c r="E72" i="32"/>
  <c r="E7" i="32"/>
  <c r="E12" i="32"/>
  <c r="E74" i="32"/>
  <c r="E18" i="32"/>
  <c r="E75" i="32"/>
  <c r="E27" i="32"/>
  <c r="E62" i="32"/>
  <c r="D25" i="32"/>
  <c r="D64" i="32"/>
  <c r="D21" i="32"/>
  <c r="D51" i="32"/>
  <c r="D17" i="32"/>
  <c r="D66" i="32"/>
  <c r="D5" i="32"/>
  <c r="D67" i="32"/>
  <c r="D9" i="32"/>
  <c r="D54" i="32"/>
  <c r="D68" i="32"/>
  <c r="D24" i="32"/>
  <c r="D20" i="32"/>
  <c r="D70" i="32"/>
  <c r="D29" i="32"/>
  <c r="D71" i="32"/>
  <c r="D16" i="32"/>
  <c r="D72" i="32"/>
  <c r="D7" i="32"/>
  <c r="D73" i="32"/>
  <c r="D12" i="32"/>
  <c r="D60" i="32"/>
  <c r="D18" i="32"/>
  <c r="D75" i="32"/>
  <c r="D27" i="32"/>
  <c r="D76" i="32"/>
  <c r="H23" i="32"/>
  <c r="H49" i="32"/>
  <c r="F17" i="32"/>
  <c r="F52" i="32"/>
  <c r="F24" i="32"/>
  <c r="F55" i="32"/>
  <c r="F18" i="32"/>
  <c r="F61" i="32"/>
  <c r="F27" i="32"/>
  <c r="F62" i="32"/>
  <c r="E23" i="32"/>
  <c r="E49" i="32"/>
  <c r="E51" i="32"/>
  <c r="E58" i="32"/>
  <c r="D23" i="32"/>
  <c r="D49" i="32"/>
  <c r="D53" i="32"/>
  <c r="H3" i="32"/>
  <c r="H32" i="32"/>
  <c r="H13" i="32"/>
  <c r="H33" i="32"/>
  <c r="H14" i="32"/>
  <c r="H34" i="32"/>
  <c r="H30" i="32"/>
  <c r="H35" i="32"/>
  <c r="H26" i="32"/>
  <c r="H36" i="32"/>
  <c r="H22" i="32"/>
  <c r="H37" i="32"/>
  <c r="H2" i="32"/>
  <c r="H38" i="32"/>
  <c r="H11" i="32"/>
  <c r="H39" i="32"/>
  <c r="H4" i="32"/>
  <c r="H40" i="32"/>
  <c r="H8" i="32"/>
  <c r="H41" i="32"/>
  <c r="H19" i="32"/>
  <c r="H42" i="32"/>
  <c r="H28" i="32"/>
  <c r="H43" i="32"/>
  <c r="H15" i="32"/>
  <c r="H44" i="32"/>
  <c r="E3" i="32"/>
  <c r="E32" i="32"/>
  <c r="E13" i="32"/>
  <c r="E33" i="32"/>
  <c r="E14" i="32"/>
  <c r="E34" i="32"/>
  <c r="E30" i="32"/>
  <c r="E35" i="32"/>
  <c r="E26" i="32"/>
  <c r="E36" i="32"/>
  <c r="E22" i="32"/>
  <c r="E37" i="32"/>
  <c r="E2" i="32"/>
  <c r="E38" i="32"/>
  <c r="E11" i="32"/>
  <c r="E39" i="32"/>
  <c r="E4" i="32"/>
  <c r="E40" i="32"/>
  <c r="E8" i="32"/>
  <c r="E41" i="32"/>
  <c r="E19" i="32"/>
  <c r="E42" i="32"/>
  <c r="E28" i="32"/>
  <c r="E43" i="32"/>
  <c r="E15" i="32"/>
  <c r="E44" i="32"/>
  <c r="AV35" i="32"/>
  <c r="AZ35" i="32"/>
  <c r="AV43" i="32"/>
  <c r="AZ43" i="32"/>
  <c r="AV36" i="32"/>
  <c r="AZ36" i="32"/>
  <c r="AV37" i="32"/>
  <c r="AZ37" i="32"/>
  <c r="AV34" i="32"/>
  <c r="AZ34" i="32"/>
  <c r="AV33" i="32"/>
  <c r="AZ33" i="32"/>
  <c r="AV41" i="32"/>
  <c r="AZ41" i="32"/>
  <c r="BE30" i="33"/>
  <c r="BD30" i="33"/>
  <c r="AE30" i="33"/>
  <c r="AD30" i="33"/>
  <c r="AC30" i="33"/>
  <c r="AB30" i="33"/>
  <c r="AA30" i="33"/>
  <c r="BE29" i="33"/>
  <c r="BD29" i="33"/>
  <c r="AE29" i="33"/>
  <c r="AD29" i="33"/>
  <c r="AC29" i="33"/>
  <c r="AB29" i="33"/>
  <c r="F29" i="32"/>
  <c r="F57" i="32"/>
  <c r="AA29" i="33"/>
  <c r="BE28" i="33"/>
  <c r="BD28" i="33"/>
  <c r="AE28" i="33"/>
  <c r="AD28" i="33"/>
  <c r="AC28" i="33"/>
  <c r="AB28" i="33"/>
  <c r="AA28" i="33"/>
  <c r="BE27" i="33"/>
  <c r="BD27" i="33"/>
  <c r="AE27" i="33"/>
  <c r="AD27" i="33"/>
  <c r="AC27" i="33"/>
  <c r="AB27" i="33"/>
  <c r="AA27" i="33"/>
  <c r="BE26" i="33"/>
  <c r="BD26" i="33"/>
  <c r="AE26" i="33"/>
  <c r="AD26" i="33"/>
  <c r="AC26" i="33"/>
  <c r="AB26" i="33"/>
  <c r="AA26" i="33"/>
  <c r="BE25" i="33"/>
  <c r="BD25" i="33"/>
  <c r="AE25" i="33"/>
  <c r="AD25" i="33"/>
  <c r="AC25" i="33"/>
  <c r="AB25" i="33"/>
  <c r="F25" i="32"/>
  <c r="F50" i="32"/>
  <c r="AA25" i="33"/>
  <c r="BE24" i="33"/>
  <c r="BD24" i="33"/>
  <c r="AE24" i="33"/>
  <c r="AD24" i="33"/>
  <c r="AC24" i="33"/>
  <c r="AB24" i="33"/>
  <c r="AA24" i="33"/>
  <c r="BE23" i="33"/>
  <c r="BD23" i="33"/>
  <c r="AE23" i="33"/>
  <c r="AD23" i="33"/>
  <c r="AC23" i="33"/>
  <c r="AB23" i="33"/>
  <c r="F23" i="32"/>
  <c r="F49" i="32"/>
  <c r="AA23" i="33"/>
  <c r="BE22" i="33"/>
  <c r="BD22" i="33"/>
  <c r="AE22" i="33"/>
  <c r="AD22" i="33"/>
  <c r="AC22" i="33"/>
  <c r="AB22" i="33"/>
  <c r="AA22" i="33"/>
  <c r="BE21" i="33"/>
  <c r="BD21" i="33"/>
  <c r="AE21" i="33"/>
  <c r="AD21" i="33"/>
  <c r="AC21" i="33"/>
  <c r="AB21" i="33"/>
  <c r="AA21" i="33"/>
  <c r="BE20" i="33"/>
  <c r="BD20" i="33"/>
  <c r="AE20" i="33"/>
  <c r="AD20" i="33"/>
  <c r="AC20" i="33"/>
  <c r="AB20" i="33"/>
  <c r="F20" i="32"/>
  <c r="AA20" i="33"/>
  <c r="BE19" i="33"/>
  <c r="BD19" i="33"/>
  <c r="AE19" i="33"/>
  <c r="AD19" i="33"/>
  <c r="AC19" i="33"/>
  <c r="AB19" i="33"/>
  <c r="AA19" i="33"/>
  <c r="BE18" i="33"/>
  <c r="BD18" i="33"/>
  <c r="AE18" i="33"/>
  <c r="AD18" i="33"/>
  <c r="AC18" i="33"/>
  <c r="AB18" i="33"/>
  <c r="AA18" i="33"/>
  <c r="BE17" i="33"/>
  <c r="BD17" i="33"/>
  <c r="AE17" i="33"/>
  <c r="AD17" i="33"/>
  <c r="AC17" i="33"/>
  <c r="AB17" i="33"/>
  <c r="AA17" i="33"/>
  <c r="BE16" i="33"/>
  <c r="BD16" i="33"/>
  <c r="AE16" i="33"/>
  <c r="AD16" i="33"/>
  <c r="AC16" i="33"/>
  <c r="AB16" i="33"/>
  <c r="F16" i="32"/>
  <c r="F58" i="32"/>
  <c r="AA16" i="33"/>
  <c r="BE15" i="33"/>
  <c r="BD15" i="33"/>
  <c r="AE15" i="33"/>
  <c r="AD15" i="33"/>
  <c r="AC15" i="33"/>
  <c r="AB15" i="33"/>
  <c r="AA15" i="33"/>
  <c r="BE14" i="33"/>
  <c r="BD14" i="33"/>
  <c r="AE14" i="33"/>
  <c r="AD14" i="33"/>
  <c r="AC14" i="33"/>
  <c r="AB14" i="33"/>
  <c r="AA14" i="33"/>
  <c r="BE13" i="33"/>
  <c r="BD13" i="33"/>
  <c r="AE13" i="33"/>
  <c r="AD13" i="33"/>
  <c r="AC13" i="33"/>
  <c r="AB13" i="33"/>
  <c r="AA13" i="33"/>
  <c r="BE12" i="33"/>
  <c r="BD12" i="33"/>
  <c r="AE12" i="33"/>
  <c r="AD12" i="33"/>
  <c r="AC12" i="33"/>
  <c r="AB12" i="33"/>
  <c r="F12" i="32"/>
  <c r="F60" i="32"/>
  <c r="AA12" i="33"/>
  <c r="BE11" i="33"/>
  <c r="BD11" i="33"/>
  <c r="AE11" i="33"/>
  <c r="AD11" i="33"/>
  <c r="AC11" i="33"/>
  <c r="AB11" i="33"/>
  <c r="AA11" i="33"/>
  <c r="BE10" i="33"/>
  <c r="BD10" i="33"/>
  <c r="AE10" i="33"/>
  <c r="AD10" i="33"/>
  <c r="AC10" i="33"/>
  <c r="AB10" i="33"/>
  <c r="F10" i="32"/>
  <c r="F46" i="32"/>
  <c r="F6" i="32"/>
  <c r="F47" i="32"/>
  <c r="F45" i="32"/>
  <c r="AA10" i="33"/>
  <c r="BE9" i="33"/>
  <c r="BD9" i="33"/>
  <c r="AE9" i="33"/>
  <c r="AD9" i="33"/>
  <c r="AC9" i="33"/>
  <c r="AB9" i="33"/>
  <c r="F9" i="32"/>
  <c r="F54" i="32"/>
  <c r="AA9" i="33"/>
  <c r="BE8" i="33"/>
  <c r="BD8" i="33"/>
  <c r="AE8" i="33"/>
  <c r="AD8" i="33"/>
  <c r="AC8" i="33"/>
  <c r="AB8" i="33"/>
  <c r="AA8" i="33"/>
  <c r="BE7" i="33"/>
  <c r="BD7" i="33"/>
  <c r="AE7" i="33"/>
  <c r="AD7" i="33"/>
  <c r="AC7" i="33"/>
  <c r="AB7" i="33"/>
  <c r="F7" i="32"/>
  <c r="F59" i="32"/>
  <c r="AA7" i="33"/>
  <c r="BE6" i="33"/>
  <c r="BD6" i="33"/>
  <c r="AE6" i="33"/>
  <c r="AD6" i="33"/>
  <c r="AC6" i="33"/>
  <c r="AB6" i="33"/>
  <c r="AA6" i="33"/>
  <c r="BE5" i="33"/>
  <c r="BD5" i="33"/>
  <c r="AE5" i="33"/>
  <c r="AD5" i="33"/>
  <c r="AC5" i="33"/>
  <c r="AB5" i="33"/>
  <c r="AA5" i="33"/>
  <c r="BE4" i="33"/>
  <c r="BD4" i="33"/>
  <c r="AE4" i="33"/>
  <c r="AD4" i="33"/>
  <c r="AC4" i="33"/>
  <c r="AB4" i="33"/>
  <c r="AA4" i="33"/>
  <c r="BE3" i="33"/>
  <c r="BD3" i="33"/>
  <c r="AE3" i="33"/>
  <c r="AD3" i="33"/>
  <c r="AC3" i="33"/>
  <c r="AB3" i="33"/>
  <c r="AA3" i="33"/>
  <c r="BE2" i="33"/>
  <c r="BD2" i="33"/>
  <c r="AE2" i="33"/>
  <c r="AD2" i="33"/>
  <c r="AC2" i="33"/>
  <c r="AB2" i="33"/>
  <c r="AA2" i="33"/>
  <c r="D5" i="19"/>
  <c r="D53" i="19"/>
  <c r="F53" i="19"/>
  <c r="D6" i="19"/>
  <c r="D47" i="19"/>
  <c r="F47" i="19"/>
  <c r="D7" i="19"/>
  <c r="D9" i="19"/>
  <c r="F9" i="19"/>
  <c r="D10" i="19"/>
  <c r="F10" i="19"/>
  <c r="D12" i="19"/>
  <c r="D15" i="19"/>
  <c r="D44" i="19"/>
  <c r="F44" i="19"/>
  <c r="D16" i="19"/>
  <c r="D72" i="19"/>
  <c r="F72" i="19"/>
  <c r="D17" i="19"/>
  <c r="F17" i="19"/>
  <c r="D18" i="19"/>
  <c r="D20" i="19"/>
  <c r="D21" i="19"/>
  <c r="F21" i="19"/>
  <c r="D22" i="19"/>
  <c r="F22" i="19"/>
  <c r="D23" i="19"/>
  <c r="F23" i="19"/>
  <c r="D24" i="19"/>
  <c r="D25" i="19"/>
  <c r="F25" i="19"/>
  <c r="F26" i="19"/>
  <c r="D27" i="19"/>
  <c r="D28" i="19"/>
  <c r="D43" i="19"/>
  <c r="F43" i="19"/>
  <c r="D29" i="19"/>
  <c r="D57" i="19"/>
  <c r="F57" i="19"/>
  <c r="AV46" i="32"/>
  <c r="AZ46" i="32"/>
  <c r="BG22" i="37"/>
  <c r="BG37" i="37"/>
  <c r="BK37" i="37"/>
  <c r="BG18" i="37"/>
  <c r="BG14" i="37"/>
  <c r="BG34" i="37"/>
  <c r="BG10" i="37"/>
  <c r="BG46" i="37"/>
  <c r="BG6" i="37"/>
  <c r="BG47" i="37"/>
  <c r="BK47" i="37"/>
  <c r="BG2" i="37"/>
  <c r="BG38" i="37"/>
  <c r="BK38" i="37"/>
  <c r="BG28" i="37"/>
  <c r="BG43" i="37"/>
  <c r="BK43" i="37"/>
  <c r="BG26" i="37"/>
  <c r="BG36" i="37"/>
  <c r="BK36" i="37"/>
  <c r="BG19" i="37"/>
  <c r="BG42" i="37"/>
  <c r="BK42" i="37"/>
  <c r="BG11" i="37"/>
  <c r="BG39" i="37"/>
  <c r="BK39" i="37"/>
  <c r="BG7" i="37"/>
  <c r="BG29" i="37"/>
  <c r="BG27" i="37"/>
  <c r="BG62" i="37"/>
  <c r="BK62" i="37"/>
  <c r="BG25" i="37"/>
  <c r="BG21" i="37"/>
  <c r="BG17" i="37"/>
  <c r="BG13" i="37"/>
  <c r="BG33" i="37"/>
  <c r="BK33" i="37"/>
  <c r="BG9" i="37"/>
  <c r="BG5" i="37"/>
  <c r="BG20" i="37"/>
  <c r="BG16" i="37"/>
  <c r="BG12" i="37"/>
  <c r="BG8" i="37"/>
  <c r="BG41" i="37"/>
  <c r="BK41" i="37"/>
  <c r="BG4" i="37"/>
  <c r="BG40" i="37"/>
  <c r="BK40" i="37"/>
  <c r="BG30" i="37"/>
  <c r="BG35" i="37"/>
  <c r="BK35" i="37"/>
  <c r="BG24" i="37"/>
  <c r="BG23" i="37"/>
  <c r="BG49" i="37"/>
  <c r="BK49" i="37"/>
  <c r="BG15" i="37"/>
  <c r="BG44" i="37"/>
  <c r="BK44" i="37"/>
  <c r="BG3" i="37"/>
  <c r="BG32" i="37"/>
  <c r="BG52" i="37"/>
  <c r="BK52" i="37"/>
  <c r="BG66" i="37"/>
  <c r="BK66" i="37"/>
  <c r="BG53" i="37"/>
  <c r="BK53" i="37"/>
  <c r="BG67" i="37"/>
  <c r="BK67" i="37"/>
  <c r="BG65" i="37"/>
  <c r="BK65" i="37"/>
  <c r="BG51" i="37"/>
  <c r="BK51" i="37"/>
  <c r="BG59" i="37"/>
  <c r="BG73" i="37"/>
  <c r="BK73" i="37"/>
  <c r="BG58" i="37"/>
  <c r="BK58" i="37"/>
  <c r="BG72" i="37"/>
  <c r="BK72" i="37"/>
  <c r="BG70" i="37"/>
  <c r="BK70" i="37"/>
  <c r="BG56" i="37"/>
  <c r="BK56" i="37"/>
  <c r="BG71" i="37"/>
  <c r="BK71" i="37"/>
  <c r="BG57" i="37"/>
  <c r="BK57" i="37"/>
  <c r="J30" i="32"/>
  <c r="J35" i="32"/>
  <c r="N35" i="32"/>
  <c r="J25" i="32"/>
  <c r="J21" i="32"/>
  <c r="J19" i="32"/>
  <c r="J42" i="32"/>
  <c r="N42" i="32"/>
  <c r="J11" i="32"/>
  <c r="J39" i="32"/>
  <c r="N39" i="32"/>
  <c r="J10" i="32"/>
  <c r="J46" i="32"/>
  <c r="J8" i="32"/>
  <c r="J41" i="32"/>
  <c r="N41" i="32"/>
  <c r="J7" i="32"/>
  <c r="J4" i="32"/>
  <c r="J40" i="32"/>
  <c r="N40" i="32"/>
  <c r="J27" i="32"/>
  <c r="J26" i="32"/>
  <c r="J36" i="32"/>
  <c r="N36" i="32"/>
  <c r="J22" i="32"/>
  <c r="J37" i="32"/>
  <c r="N37" i="32"/>
  <c r="J16" i="32"/>
  <c r="J15" i="32"/>
  <c r="J44" i="32"/>
  <c r="N44" i="32"/>
  <c r="J14" i="32"/>
  <c r="J34" i="32"/>
  <c r="N34" i="32"/>
  <c r="J9" i="32"/>
  <c r="J5" i="32"/>
  <c r="J2" i="32"/>
  <c r="J38" i="32"/>
  <c r="N38" i="32"/>
  <c r="J29" i="32"/>
  <c r="J28" i="32"/>
  <c r="J43" i="32"/>
  <c r="N43" i="32"/>
  <c r="J24" i="32"/>
  <c r="J69" i="32"/>
  <c r="N69" i="32"/>
  <c r="J17" i="32"/>
  <c r="J12" i="32"/>
  <c r="J6" i="32"/>
  <c r="J47" i="32"/>
  <c r="J23" i="32"/>
  <c r="J49" i="32"/>
  <c r="N49" i="32"/>
  <c r="J3" i="32"/>
  <c r="J32" i="32"/>
  <c r="N32" i="32"/>
  <c r="J13" i="32"/>
  <c r="J33" i="32"/>
  <c r="N33" i="32"/>
  <c r="J18" i="32"/>
  <c r="J20" i="32"/>
  <c r="J56" i="32"/>
  <c r="N56" i="32"/>
  <c r="D15" i="5"/>
  <c r="D13" i="5"/>
  <c r="D7" i="5"/>
  <c r="D3" i="5"/>
  <c r="D30" i="5"/>
  <c r="D28" i="5"/>
  <c r="D43" i="5"/>
  <c r="D26" i="5"/>
  <c r="D24" i="5"/>
  <c r="D22" i="5"/>
  <c r="D20" i="5"/>
  <c r="D18" i="5"/>
  <c r="D16" i="5"/>
  <c r="D14" i="5"/>
  <c r="D12" i="5"/>
  <c r="D10" i="5"/>
  <c r="D8" i="5"/>
  <c r="D6" i="5"/>
  <c r="D4" i="5"/>
  <c r="D40" i="5"/>
  <c r="D2" i="5"/>
  <c r="D29" i="5"/>
  <c r="D27" i="5"/>
  <c r="D25" i="5"/>
  <c r="D23" i="5"/>
  <c r="D21" i="5"/>
  <c r="D19" i="5"/>
  <c r="D17" i="5"/>
  <c r="D11" i="5"/>
  <c r="D9" i="5"/>
  <c r="D5" i="5"/>
  <c r="BG55" i="37"/>
  <c r="BG69" i="37"/>
  <c r="BK69" i="37"/>
  <c r="BG60" i="37"/>
  <c r="BK60" i="37"/>
  <c r="BG74" i="37"/>
  <c r="BK74" i="37"/>
  <c r="BG54" i="37"/>
  <c r="BK54" i="37"/>
  <c r="BG68" i="37"/>
  <c r="BK68" i="37"/>
  <c r="BG64" i="37"/>
  <c r="BG50" i="37"/>
  <c r="BK50" i="37"/>
  <c r="BG75" i="37"/>
  <c r="BK75" i="37"/>
  <c r="BG61" i="37"/>
  <c r="BK61" i="37"/>
  <c r="J30" i="5"/>
  <c r="J27" i="5"/>
  <c r="J25" i="5"/>
  <c r="J20" i="5"/>
  <c r="J17" i="5"/>
  <c r="J14" i="5"/>
  <c r="J7" i="5"/>
  <c r="J4" i="5"/>
  <c r="J40" i="5"/>
  <c r="N40" i="5"/>
  <c r="J26" i="5"/>
  <c r="J36" i="5"/>
  <c r="N36" i="5"/>
  <c r="J21" i="5"/>
  <c r="J16" i="5"/>
  <c r="J8" i="5"/>
  <c r="J22" i="5"/>
  <c r="J18" i="5"/>
  <c r="J15" i="5"/>
  <c r="J5" i="5"/>
  <c r="J2" i="5"/>
  <c r="J29" i="5"/>
  <c r="J19" i="5"/>
  <c r="J11" i="5"/>
  <c r="J39" i="5"/>
  <c r="N39" i="5"/>
  <c r="J9" i="5"/>
  <c r="J68" i="5"/>
  <c r="N68" i="5"/>
  <c r="J6" i="5"/>
  <c r="J3" i="5"/>
  <c r="J32" i="5"/>
  <c r="N32" i="5"/>
  <c r="J23" i="5"/>
  <c r="J49" i="5"/>
  <c r="J13" i="5"/>
  <c r="J33" i="5"/>
  <c r="N33" i="5"/>
  <c r="J10" i="5"/>
  <c r="J46" i="5"/>
  <c r="N46" i="5"/>
  <c r="J12" i="5"/>
  <c r="J28" i="5"/>
  <c r="J24" i="5"/>
  <c r="J64" i="32"/>
  <c r="J50" i="32"/>
  <c r="N50" i="32"/>
  <c r="J75" i="32"/>
  <c r="N75" i="32"/>
  <c r="J61" i="32"/>
  <c r="N47" i="32"/>
  <c r="J76" i="32"/>
  <c r="J62" i="32"/>
  <c r="N62" i="32"/>
  <c r="J70" i="32"/>
  <c r="N70" i="32"/>
  <c r="J74" i="32"/>
  <c r="N74" i="32"/>
  <c r="J60" i="32"/>
  <c r="N60" i="32"/>
  <c r="J71" i="32"/>
  <c r="J57" i="32"/>
  <c r="J67" i="32"/>
  <c r="N67" i="32"/>
  <c r="J53" i="32"/>
  <c r="J72" i="32"/>
  <c r="J58" i="32"/>
  <c r="N58" i="32"/>
  <c r="J73" i="32"/>
  <c r="J59" i="32"/>
  <c r="N59" i="32"/>
  <c r="J66" i="32"/>
  <c r="J52" i="32"/>
  <c r="J68" i="32"/>
  <c r="N68" i="32"/>
  <c r="J54" i="32"/>
  <c r="J65" i="32"/>
  <c r="N65" i="32"/>
  <c r="J51" i="32"/>
  <c r="N51" i="32"/>
  <c r="J42" i="5"/>
  <c r="J69" i="5"/>
  <c r="N69" i="5"/>
  <c r="J55" i="5"/>
  <c r="N55" i="5"/>
  <c r="J38" i="5"/>
  <c r="J44" i="5"/>
  <c r="N44" i="5"/>
  <c r="J41" i="5"/>
  <c r="J34" i="5"/>
  <c r="J64" i="5"/>
  <c r="J50" i="5"/>
  <c r="N49" i="5"/>
  <c r="J57" i="5"/>
  <c r="J71" i="5"/>
  <c r="N71" i="5"/>
  <c r="J37" i="5"/>
  <c r="J43" i="5"/>
  <c r="N43" i="5"/>
  <c r="J53" i="5"/>
  <c r="J67" i="5"/>
  <c r="J61" i="5"/>
  <c r="J75" i="5"/>
  <c r="J72" i="5"/>
  <c r="N72" i="5"/>
  <c r="J58" i="5"/>
  <c r="J73" i="5"/>
  <c r="N73" i="5"/>
  <c r="J59" i="5"/>
  <c r="J66" i="5"/>
  <c r="N66" i="5"/>
  <c r="J52" i="5"/>
  <c r="J76" i="5"/>
  <c r="J62" i="5"/>
  <c r="J74" i="5"/>
  <c r="J60" i="5"/>
  <c r="J47" i="5"/>
  <c r="J65" i="5"/>
  <c r="J51" i="5"/>
  <c r="N51" i="5"/>
  <c r="J70" i="5"/>
  <c r="J56" i="5"/>
  <c r="N56" i="5"/>
  <c r="J35" i="5"/>
  <c r="N35" i="5"/>
  <c r="N53" i="32"/>
  <c r="N64" i="32"/>
  <c r="N57" i="32"/>
  <c r="N66" i="32"/>
  <c r="N71" i="32"/>
  <c r="N54" i="32"/>
  <c r="N73" i="32"/>
  <c r="N52" i="32"/>
  <c r="N72" i="32"/>
  <c r="N76" i="32"/>
  <c r="N61" i="32"/>
  <c r="N53" i="5"/>
  <c r="N70" i="5"/>
  <c r="N60" i="5"/>
  <c r="N62" i="5"/>
  <c r="N59" i="5"/>
  <c r="N75" i="5"/>
  <c r="N57" i="5"/>
  <c r="N34" i="5"/>
  <c r="N38" i="5"/>
  <c r="N74" i="5"/>
  <c r="N76" i="5"/>
  <c r="N61" i="5"/>
  <c r="N65" i="5"/>
  <c r="N52" i="5"/>
  <c r="N58" i="5"/>
  <c r="N67" i="5"/>
  <c r="N37" i="5"/>
  <c r="N50" i="5"/>
  <c r="N41" i="5"/>
  <c r="N64" i="5"/>
  <c r="AZ38" i="5"/>
  <c r="AZ43" i="5"/>
  <c r="AZ41" i="5"/>
  <c r="AZ33" i="5"/>
  <c r="AZ47" i="5"/>
  <c r="AZ39" i="5"/>
  <c r="AZ42" i="5"/>
  <c r="AZ36" i="5"/>
  <c r="AZ34" i="5"/>
  <c r="AZ37" i="5"/>
  <c r="C24" i="36"/>
  <c r="AB24" i="36"/>
  <c r="BA24" i="36"/>
  <c r="D24" i="36"/>
  <c r="AC24" i="36"/>
  <c r="BB24" i="36"/>
  <c r="E24" i="36"/>
  <c r="AD24" i="36"/>
  <c r="BC24" i="36"/>
  <c r="F24" i="36"/>
  <c r="AE24" i="36"/>
  <c r="BD24" i="36"/>
  <c r="G24" i="36"/>
  <c r="AF24" i="36"/>
  <c r="BE24" i="36"/>
  <c r="H24" i="36"/>
  <c r="AG24" i="36"/>
  <c r="BF24" i="36"/>
  <c r="I24" i="36"/>
  <c r="AH24" i="36"/>
  <c r="BG24" i="36"/>
  <c r="J24" i="36"/>
  <c r="AI24" i="36"/>
  <c r="BH24" i="36"/>
  <c r="K24" i="36"/>
  <c r="AJ24" i="36"/>
  <c r="BI24" i="36"/>
  <c r="L24" i="36"/>
  <c r="AK24" i="36"/>
  <c r="BJ24" i="36"/>
  <c r="M24" i="36"/>
  <c r="AL24" i="36"/>
  <c r="BK24" i="36"/>
  <c r="N24" i="36"/>
  <c r="AM24" i="36"/>
  <c r="BL24" i="36"/>
  <c r="O24" i="36"/>
  <c r="AN24" i="36"/>
  <c r="BM24" i="36"/>
  <c r="AO24" i="36"/>
  <c r="BN24" i="36"/>
  <c r="Q24" i="36"/>
  <c r="AP24" i="36"/>
  <c r="BO24" i="36"/>
  <c r="R24" i="36"/>
  <c r="BP24" i="36"/>
  <c r="S24" i="36"/>
  <c r="AR24" i="36"/>
  <c r="BQ24" i="36"/>
  <c r="U24" i="36"/>
  <c r="AT24" i="36"/>
  <c r="BS24" i="36"/>
  <c r="V24" i="36"/>
  <c r="AU24" i="36"/>
  <c r="BT24" i="36"/>
  <c r="W24" i="36"/>
  <c r="AV24" i="36"/>
  <c r="BU24" i="36"/>
  <c r="X24" i="36"/>
  <c r="AW24" i="36"/>
  <c r="BV24" i="36"/>
  <c r="Y24" i="36"/>
  <c r="AX24" i="36"/>
  <c r="BW24" i="36"/>
  <c r="AE29" i="36"/>
  <c r="BB29" i="36"/>
  <c r="E5" i="36"/>
  <c r="BD5" i="36"/>
  <c r="BA25" i="46"/>
  <c r="AZ25" i="46"/>
  <c r="BA24" i="46"/>
  <c r="AZ24" i="46"/>
  <c r="BE30" i="46"/>
  <c r="BD30" i="46"/>
  <c r="AE30" i="46"/>
  <c r="AD30" i="46"/>
  <c r="AC30" i="46"/>
  <c r="AB30" i="46"/>
  <c r="AA30" i="46"/>
  <c r="BE29" i="46"/>
  <c r="BD29" i="46"/>
  <c r="AE29" i="46"/>
  <c r="AD29" i="46"/>
  <c r="AC29" i="46"/>
  <c r="AB29" i="46"/>
  <c r="AA29" i="46"/>
  <c r="BE28" i="46"/>
  <c r="BD28" i="46"/>
  <c r="AE28" i="46"/>
  <c r="AD28" i="46"/>
  <c r="AC28" i="46"/>
  <c r="AB28" i="46"/>
  <c r="AA28" i="46"/>
  <c r="BE27" i="46"/>
  <c r="BD27" i="46"/>
  <c r="AE27" i="46"/>
  <c r="AD27" i="46"/>
  <c r="AC27" i="46"/>
  <c r="AB27" i="46"/>
  <c r="AA27" i="46"/>
  <c r="BE26" i="46"/>
  <c r="BD26" i="46"/>
  <c r="AE26" i="46"/>
  <c r="AD26" i="46"/>
  <c r="AC26" i="46"/>
  <c r="AB26" i="46"/>
  <c r="AA26" i="46"/>
  <c r="BE25" i="46"/>
  <c r="BD25" i="46"/>
  <c r="AE25" i="46"/>
  <c r="AD25" i="46"/>
  <c r="AC25" i="46"/>
  <c r="AB25" i="46"/>
  <c r="AA25" i="46"/>
  <c r="BE24" i="46"/>
  <c r="BD24" i="46"/>
  <c r="AE24" i="46"/>
  <c r="AD24" i="46"/>
  <c r="AC24" i="46"/>
  <c r="AB24" i="46"/>
  <c r="AA24" i="46"/>
  <c r="BE23" i="46"/>
  <c r="BD23" i="46"/>
  <c r="AE23" i="46"/>
  <c r="AD23" i="46"/>
  <c r="AC23" i="46"/>
  <c r="AB23" i="46"/>
  <c r="AA23" i="46"/>
  <c r="BE22" i="46"/>
  <c r="BD22" i="46"/>
  <c r="AE22" i="46"/>
  <c r="AD22" i="46"/>
  <c r="AC22" i="46"/>
  <c r="AB22" i="46"/>
  <c r="AA22" i="46"/>
  <c r="BE21" i="46"/>
  <c r="BD21" i="46"/>
  <c r="AE21" i="46"/>
  <c r="AD21" i="46"/>
  <c r="AC21" i="46"/>
  <c r="AB21" i="46"/>
  <c r="AA21" i="46"/>
  <c r="BE20" i="46"/>
  <c r="BD20" i="46"/>
  <c r="AE20" i="46"/>
  <c r="AD20" i="46"/>
  <c r="AC20" i="46"/>
  <c r="AB20" i="46"/>
  <c r="AA20" i="46"/>
  <c r="BE19" i="46"/>
  <c r="BD19" i="46"/>
  <c r="AE19" i="46"/>
  <c r="AD19" i="46"/>
  <c r="AC19" i="46"/>
  <c r="AB19" i="46"/>
  <c r="AA19" i="46"/>
  <c r="BE18" i="46"/>
  <c r="BD18" i="46"/>
  <c r="AE18" i="46"/>
  <c r="AD18" i="46"/>
  <c r="AC18" i="46"/>
  <c r="AB18" i="46"/>
  <c r="AA18" i="46"/>
  <c r="BE17" i="46"/>
  <c r="BD17" i="46"/>
  <c r="AE17" i="46"/>
  <c r="AD17" i="46"/>
  <c r="AC17" i="46"/>
  <c r="AB17" i="46"/>
  <c r="AA17" i="46"/>
  <c r="BE16" i="46"/>
  <c r="BD16" i="46"/>
  <c r="AE16" i="46"/>
  <c r="AD16" i="46"/>
  <c r="AC16" i="46"/>
  <c r="AB16" i="46"/>
  <c r="AA16" i="46"/>
  <c r="BE15" i="46"/>
  <c r="BD15" i="46"/>
  <c r="AE15" i="46"/>
  <c r="AD15" i="46"/>
  <c r="AC15" i="46"/>
  <c r="AB15" i="46"/>
  <c r="AA15" i="46"/>
  <c r="BE14" i="46"/>
  <c r="BD14" i="46"/>
  <c r="AE14" i="46"/>
  <c r="AD14" i="46"/>
  <c r="AC14" i="46"/>
  <c r="AB14" i="46"/>
  <c r="AA14" i="46"/>
  <c r="BE13" i="46"/>
  <c r="BD13" i="46"/>
  <c r="AE13" i="46"/>
  <c r="AD13" i="46"/>
  <c r="AC13" i="46"/>
  <c r="AB13" i="46"/>
  <c r="AA13" i="46"/>
  <c r="BE12" i="46"/>
  <c r="BD12" i="46"/>
  <c r="AE12" i="46"/>
  <c r="AD12" i="46"/>
  <c r="AC12" i="46"/>
  <c r="AB12" i="46"/>
  <c r="AA12" i="46"/>
  <c r="BE11" i="46"/>
  <c r="BD11" i="46"/>
  <c r="AE11" i="46"/>
  <c r="AD11" i="46"/>
  <c r="AC11" i="46"/>
  <c r="AB11" i="46"/>
  <c r="AA11" i="46"/>
  <c r="BE10" i="46"/>
  <c r="BD10" i="46"/>
  <c r="AE10" i="46"/>
  <c r="AD10" i="46"/>
  <c r="AC10" i="46"/>
  <c r="AB10" i="46"/>
  <c r="AA10" i="46"/>
  <c r="BE9" i="46"/>
  <c r="BD9" i="46"/>
  <c r="AE9" i="46"/>
  <c r="AD9" i="46"/>
  <c r="AC9" i="46"/>
  <c r="AB9" i="46"/>
  <c r="AA9" i="46"/>
  <c r="BE8" i="46"/>
  <c r="BD8" i="46"/>
  <c r="AE8" i="46"/>
  <c r="AD8" i="46"/>
  <c r="AC8" i="46"/>
  <c r="AB8" i="46"/>
  <c r="AA8" i="46"/>
  <c r="BE7" i="46"/>
  <c r="BD7" i="46"/>
  <c r="AE7" i="46"/>
  <c r="AD7" i="46"/>
  <c r="AC7" i="46"/>
  <c r="AB7" i="46"/>
  <c r="AA7" i="46"/>
  <c r="BE6" i="46"/>
  <c r="BD6" i="46"/>
  <c r="AE6" i="46"/>
  <c r="AD6" i="46"/>
  <c r="AC6" i="46"/>
  <c r="AB6" i="46"/>
  <c r="AA6" i="46"/>
  <c r="BE5" i="46"/>
  <c r="BD5" i="46"/>
  <c r="AE5" i="46"/>
  <c r="AD5" i="46"/>
  <c r="AC5" i="46"/>
  <c r="AB5" i="46"/>
  <c r="AA5" i="46"/>
  <c r="BE4" i="46"/>
  <c r="BD4" i="46"/>
  <c r="AE4" i="46"/>
  <c r="AD4" i="46"/>
  <c r="AC4" i="46"/>
  <c r="AB4" i="46"/>
  <c r="AA4" i="46"/>
  <c r="BE3" i="46"/>
  <c r="BD3" i="46"/>
  <c r="AE3" i="46"/>
  <c r="AD3" i="46"/>
  <c r="AC3" i="46"/>
  <c r="AB3" i="46"/>
  <c r="AA3" i="46"/>
  <c r="BE2" i="46"/>
  <c r="BD2" i="46"/>
  <c r="AE2" i="46"/>
  <c r="AD2" i="46"/>
  <c r="AC2" i="46"/>
  <c r="AB2" i="46"/>
  <c r="AA2" i="46"/>
  <c r="Q36" i="2"/>
  <c r="M57" i="18"/>
  <c r="M64" i="18"/>
  <c r="M65" i="18"/>
  <c r="M66" i="18"/>
  <c r="M54" i="18"/>
  <c r="M67" i="18"/>
  <c r="M72" i="18"/>
  <c r="M37" i="18"/>
  <c r="M74" i="18"/>
  <c r="M49" i="18"/>
  <c r="M44" i="18"/>
  <c r="M32" i="18"/>
  <c r="M61" i="18"/>
  <c r="EP57" i="18"/>
  <c r="FE57" i="18"/>
  <c r="EP62" i="18"/>
  <c r="FE62" i="18"/>
  <c r="EP64" i="18"/>
  <c r="FE64" i="18"/>
  <c r="EP49" i="18"/>
  <c r="EP51" i="18"/>
  <c r="FE51" i="18"/>
  <c r="EP42" i="18"/>
  <c r="FE42" i="18"/>
  <c r="EP52" i="18"/>
  <c r="FE52" i="18"/>
  <c r="EP44" i="18"/>
  <c r="FE44" i="18"/>
  <c r="EP33" i="18"/>
  <c r="FE33" i="18"/>
  <c r="EP35" i="18"/>
  <c r="FE35" i="18"/>
  <c r="EP43" i="18"/>
  <c r="FE43" i="18"/>
  <c r="EP36" i="18"/>
  <c r="FE36" i="18"/>
  <c r="EP55" i="18"/>
  <c r="FE55" i="18"/>
  <c r="EP37" i="18"/>
  <c r="FE37" i="18"/>
  <c r="EP56" i="18"/>
  <c r="FE56" i="18"/>
  <c r="EP61" i="18"/>
  <c r="FE61" i="18"/>
  <c r="EP58" i="18"/>
  <c r="FE58" i="18"/>
  <c r="EP34" i="18"/>
  <c r="FE34" i="18"/>
  <c r="EP46" i="18"/>
  <c r="FE46" i="18"/>
  <c r="EP41" i="18"/>
  <c r="FE41" i="18"/>
  <c r="EP47" i="18"/>
  <c r="FE47" i="18"/>
  <c r="EP40" i="18"/>
  <c r="FE40" i="18"/>
  <c r="EP38" i="18"/>
  <c r="FE38" i="18"/>
  <c r="EP54" i="18"/>
  <c r="FE54" i="18"/>
  <c r="EP39" i="18"/>
  <c r="FE39" i="18"/>
  <c r="EP32" i="18"/>
  <c r="EP73" i="18"/>
  <c r="FE73" i="18"/>
  <c r="Y30" i="18"/>
  <c r="Y35" i="18"/>
  <c r="AK35" i="18"/>
  <c r="Y28" i="18"/>
  <c r="Y43" i="18"/>
  <c r="AK43" i="18"/>
  <c r="Y26" i="18"/>
  <c r="Y36" i="18"/>
  <c r="AK36" i="18"/>
  <c r="Y24" i="18"/>
  <c r="Y69" i="18"/>
  <c r="AK69" i="18"/>
  <c r="Y22" i="18"/>
  <c r="Y37" i="18"/>
  <c r="AK37" i="18"/>
  <c r="Y20" i="18"/>
  <c r="Y70" i="18"/>
  <c r="AK70" i="18"/>
  <c r="Y18" i="18"/>
  <c r="Y75" i="18"/>
  <c r="AK75" i="18"/>
  <c r="Y16" i="18"/>
  <c r="Y14" i="18"/>
  <c r="Y34" i="18"/>
  <c r="AK34" i="18"/>
  <c r="Y12" i="18"/>
  <c r="Y11" i="18"/>
  <c r="Y39" i="18"/>
  <c r="AK39" i="18"/>
  <c r="Y9" i="18"/>
  <c r="Y68" i="18"/>
  <c r="AK68" i="18"/>
  <c r="Y7" i="18"/>
  <c r="Y59" i="18"/>
  <c r="AK59" i="18"/>
  <c r="Y5" i="18"/>
  <c r="Y3" i="18"/>
  <c r="Y32" i="18"/>
  <c r="AK32" i="18"/>
  <c r="Y29" i="18"/>
  <c r="Y27" i="18"/>
  <c r="Y25" i="18"/>
  <c r="Y23" i="18"/>
  <c r="Y49" i="18"/>
  <c r="AK49" i="18"/>
  <c r="Y21" i="18"/>
  <c r="Y51" i="18"/>
  <c r="AK51" i="18"/>
  <c r="Y19" i="18"/>
  <c r="Y42" i="18"/>
  <c r="AK42" i="18"/>
  <c r="Y17" i="18"/>
  <c r="Y66" i="18"/>
  <c r="AK66" i="18"/>
  <c r="Y15" i="18"/>
  <c r="Y44" i="18"/>
  <c r="AK44" i="18"/>
  <c r="Y13" i="18"/>
  <c r="Y33" i="18"/>
  <c r="AK33" i="18"/>
  <c r="Y10" i="18"/>
  <c r="Y46" i="18"/>
  <c r="AK46" i="18"/>
  <c r="Y8" i="18"/>
  <c r="Y41" i="18"/>
  <c r="AK41" i="18"/>
  <c r="Y6" i="18"/>
  <c r="Y47" i="18"/>
  <c r="Y4" i="18"/>
  <c r="Y40" i="18"/>
  <c r="AK40" i="18"/>
  <c r="Y2" i="18"/>
  <c r="Y38" i="18"/>
  <c r="AK38" i="18"/>
  <c r="Y52" i="18"/>
  <c r="AK52" i="18"/>
  <c r="Y50" i="18"/>
  <c r="AK50" i="18"/>
  <c r="Y64" i="18"/>
  <c r="Y61" i="18"/>
  <c r="AK61" i="18"/>
  <c r="Y62" i="18"/>
  <c r="AK62" i="18"/>
  <c r="Y76" i="18"/>
  <c r="AK76" i="18"/>
  <c r="Y53" i="18"/>
  <c r="AK53" i="18"/>
  <c r="Y67" i="18"/>
  <c r="AK67" i="18"/>
  <c r="Y74" i="18"/>
  <c r="AK74" i="18"/>
  <c r="Y60" i="18"/>
  <c r="AK60" i="18"/>
  <c r="Y65" i="18"/>
  <c r="AK65" i="18"/>
  <c r="Y57" i="18"/>
  <c r="AK57" i="18"/>
  <c r="Y71" i="18"/>
  <c r="AK71" i="18"/>
  <c r="Y73" i="18"/>
  <c r="AK73" i="18"/>
  <c r="Y58" i="18"/>
  <c r="AK58" i="18"/>
  <c r="Y72" i="18"/>
  <c r="AK72" i="18"/>
  <c r="Y55" i="18"/>
  <c r="EP68" i="18"/>
  <c r="FE68" i="18"/>
  <c r="EP76" i="18"/>
  <c r="FE76" i="18"/>
  <c r="M38" i="18"/>
  <c r="M40" i="18"/>
  <c r="M34" i="18"/>
  <c r="M36" i="18"/>
  <c r="M33" i="18"/>
  <c r="M43" i="18"/>
  <c r="M70" i="18"/>
  <c r="M56" i="18"/>
  <c r="M69" i="18"/>
  <c r="M68" i="18"/>
  <c r="M53" i="18"/>
  <c r="M58" i="18"/>
  <c r="M62" i="18"/>
  <c r="F27" i="19"/>
  <c r="D49" i="19"/>
  <c r="F49" i="19"/>
  <c r="D70" i="19"/>
  <c r="F70" i="19"/>
  <c r="D56" i="19"/>
  <c r="F56" i="19"/>
  <c r="D59" i="19"/>
  <c r="F59" i="19"/>
  <c r="D73" i="19"/>
  <c r="F73" i="19"/>
  <c r="F8" i="19"/>
  <c r="F19" i="19"/>
  <c r="F15" i="19"/>
  <c r="F20" i="19"/>
  <c r="F7" i="19"/>
  <c r="BD22" i="1"/>
  <c r="K15" i="2"/>
  <c r="AJ20" i="17"/>
  <c r="AJ56" i="17"/>
  <c r="AU56" i="17"/>
  <c r="K9" i="2"/>
  <c r="AL20" i="17"/>
  <c r="AL56" i="17"/>
  <c r="AW56" i="17"/>
  <c r="F20" i="36"/>
  <c r="BB20" i="36"/>
  <c r="AK20" i="36"/>
  <c r="F20" i="17"/>
  <c r="AN20" i="17"/>
  <c r="AN56" i="17"/>
  <c r="AY56" i="17"/>
  <c r="G20" i="17"/>
  <c r="AO20" i="17"/>
  <c r="AO56" i="17"/>
  <c r="AZ56" i="17"/>
  <c r="H20" i="17"/>
  <c r="AP20" i="17"/>
  <c r="AP56" i="17"/>
  <c r="BA56" i="17"/>
  <c r="I20" i="17"/>
  <c r="AQ20" i="17"/>
  <c r="AQ56" i="17"/>
  <c r="BB56" i="17"/>
  <c r="J9" i="17"/>
  <c r="J54" i="17"/>
  <c r="K20" i="17"/>
  <c r="AS20" i="17"/>
  <c r="AS56" i="17"/>
  <c r="BD56" i="17"/>
  <c r="BC30" i="18"/>
  <c r="BC22" i="18"/>
  <c r="BC14" i="18"/>
  <c r="BC2" i="18"/>
  <c r="BC27" i="18"/>
  <c r="BC15" i="18"/>
  <c r="BC7" i="18"/>
  <c r="BC29" i="18"/>
  <c r="BC28" i="18"/>
  <c r="BC24" i="18"/>
  <c r="BC20" i="18"/>
  <c r="BC8" i="18"/>
  <c r="BC23" i="18"/>
  <c r="BS29" i="18"/>
  <c r="BS71" i="18"/>
  <c r="BS25" i="18"/>
  <c r="BS64" i="18"/>
  <c r="CH64" i="18"/>
  <c r="BS21" i="18"/>
  <c r="BS17" i="18"/>
  <c r="BS13" i="18"/>
  <c r="BS33" i="18"/>
  <c r="CH33" i="18"/>
  <c r="BS10" i="18"/>
  <c r="BS46" i="18"/>
  <c r="CH46" i="18"/>
  <c r="BS6" i="18"/>
  <c r="BS47" i="18"/>
  <c r="BS2" i="18"/>
  <c r="BS38" i="18"/>
  <c r="CH38" i="18"/>
  <c r="BS28" i="18"/>
  <c r="BS43" i="18"/>
  <c r="CH43" i="18"/>
  <c r="BS24" i="18"/>
  <c r="BS55" i="18"/>
  <c r="CH55" i="18"/>
  <c r="BS20" i="18"/>
  <c r="BS16" i="18"/>
  <c r="BS58" i="18"/>
  <c r="CH58" i="18"/>
  <c r="BS12" i="18"/>
  <c r="BS9" i="18"/>
  <c r="BS5" i="18"/>
  <c r="BS27" i="18"/>
  <c r="BS23" i="18"/>
  <c r="BS49" i="18"/>
  <c r="CH49" i="18"/>
  <c r="BS19" i="18"/>
  <c r="BS42" i="18"/>
  <c r="CH42" i="18"/>
  <c r="BS15" i="18"/>
  <c r="BS44" i="18"/>
  <c r="CH44" i="18"/>
  <c r="BS8" i="18"/>
  <c r="BS41" i="18"/>
  <c r="CH41" i="18"/>
  <c r="BS4" i="18"/>
  <c r="BS40" i="18"/>
  <c r="CH40" i="18"/>
  <c r="BS30" i="18"/>
  <c r="BS35" i="18"/>
  <c r="CH35" i="18"/>
  <c r="BS14" i="18"/>
  <c r="BS34" i="18"/>
  <c r="BS26" i="18"/>
  <c r="BS36" i="18"/>
  <c r="CH36" i="18"/>
  <c r="BS11" i="18"/>
  <c r="BS39" i="18"/>
  <c r="CH39" i="18"/>
  <c r="BS22" i="18"/>
  <c r="BS37" i="18"/>
  <c r="CH37" i="18"/>
  <c r="BS7" i="18"/>
  <c r="BS18" i="18"/>
  <c r="U29" i="18"/>
  <c r="U27" i="18"/>
  <c r="U25" i="18"/>
  <c r="U23" i="18"/>
  <c r="U49" i="18"/>
  <c r="U21" i="18"/>
  <c r="U65" i="18"/>
  <c r="U19" i="18"/>
  <c r="U42" i="18"/>
  <c r="AG42" i="18"/>
  <c r="U17" i="18"/>
  <c r="U15" i="18"/>
  <c r="U44" i="18"/>
  <c r="AG44" i="18"/>
  <c r="U13" i="18"/>
  <c r="U33" i="18"/>
  <c r="AG33" i="18"/>
  <c r="U10" i="18"/>
  <c r="U46" i="18"/>
  <c r="U8" i="18"/>
  <c r="U41" i="18"/>
  <c r="AG41" i="18"/>
  <c r="U6" i="18"/>
  <c r="U47" i="18"/>
  <c r="AG47" i="18"/>
  <c r="U4" i="18"/>
  <c r="U40" i="18"/>
  <c r="AG40" i="18"/>
  <c r="U2" i="18"/>
  <c r="U38" i="18"/>
  <c r="AG38" i="18"/>
  <c r="BS3" i="18"/>
  <c r="BS32" i="18"/>
  <c r="CH32" i="18"/>
  <c r="U24" i="18"/>
  <c r="U16" i="18"/>
  <c r="U9" i="18"/>
  <c r="U30" i="18"/>
  <c r="U35" i="18"/>
  <c r="U22" i="18"/>
  <c r="U37" i="18"/>
  <c r="AG37" i="18"/>
  <c r="U14" i="18"/>
  <c r="U34" i="18"/>
  <c r="AG34" i="18"/>
  <c r="U7" i="18"/>
  <c r="U26" i="18"/>
  <c r="U36" i="18"/>
  <c r="AG36" i="18"/>
  <c r="U18" i="18"/>
  <c r="U61" i="18"/>
  <c r="AG61" i="18"/>
  <c r="U11" i="18"/>
  <c r="U39" i="18"/>
  <c r="AG39" i="18"/>
  <c r="U28" i="18"/>
  <c r="U43" i="18"/>
  <c r="AG43" i="18"/>
  <c r="U20" i="18"/>
  <c r="U56" i="18"/>
  <c r="AG56" i="18"/>
  <c r="U12" i="18"/>
  <c r="U60" i="18"/>
  <c r="AG60" i="18"/>
  <c r="U5" i="18"/>
  <c r="U3" i="18"/>
  <c r="U32" i="18"/>
  <c r="AG32" i="18"/>
  <c r="DN16" i="18"/>
  <c r="DN20" i="18"/>
  <c r="DN18" i="18"/>
  <c r="DN7" i="18"/>
  <c r="DN9" i="18"/>
  <c r="DN17" i="18"/>
  <c r="AJ5" i="17"/>
  <c r="AJ9" i="17"/>
  <c r="AJ68" i="17"/>
  <c r="AU68" i="17"/>
  <c r="AL9" i="17"/>
  <c r="AL68" i="17"/>
  <c r="AW68" i="17"/>
  <c r="D9" i="36"/>
  <c r="G9" i="17"/>
  <c r="AO9" i="17"/>
  <c r="AJ21" i="17"/>
  <c r="AJ51" i="17"/>
  <c r="AU51" i="17"/>
  <c r="P21" i="36"/>
  <c r="BG21" i="36"/>
  <c r="BM21" i="36"/>
  <c r="G21" i="17"/>
  <c r="AO21" i="17"/>
  <c r="AO51" i="17"/>
  <c r="AZ51" i="17"/>
  <c r="AJ29" i="17"/>
  <c r="AJ71" i="17"/>
  <c r="AU71" i="17"/>
  <c r="G29" i="17"/>
  <c r="AO29" i="17"/>
  <c r="AO71" i="17"/>
  <c r="AZ71" i="17"/>
  <c r="AJ17" i="17"/>
  <c r="AJ52" i="17"/>
  <c r="AU52" i="17"/>
  <c r="AL17" i="17"/>
  <c r="AL52" i="17"/>
  <c r="AW52" i="17"/>
  <c r="C17" i="36"/>
  <c r="BD17" i="36"/>
  <c r="G17" i="17"/>
  <c r="AO17" i="17"/>
  <c r="AJ24" i="17"/>
  <c r="AJ69" i="17"/>
  <c r="AU69" i="17"/>
  <c r="AG24" i="27"/>
  <c r="AG55" i="27"/>
  <c r="G24" i="17"/>
  <c r="AO24" i="17"/>
  <c r="F3" i="19"/>
  <c r="DN15" i="18"/>
  <c r="DN19" i="18"/>
  <c r="DN5" i="18"/>
  <c r="DN4" i="18"/>
  <c r="DN8" i="18"/>
  <c r="DN10" i="18"/>
  <c r="DN6" i="18"/>
  <c r="DN22" i="18"/>
  <c r="DN14" i="18"/>
  <c r="BC26" i="18"/>
  <c r="DN29" i="18"/>
  <c r="DN28" i="18"/>
  <c r="DN30" i="18"/>
  <c r="AV11" i="17"/>
  <c r="BS51" i="18"/>
  <c r="CH51" i="18"/>
  <c r="BS65" i="18"/>
  <c r="CH65" i="18"/>
  <c r="BS53" i="18"/>
  <c r="CH53" i="18"/>
  <c r="BS67" i="18"/>
  <c r="CH67" i="18"/>
  <c r="U73" i="18"/>
  <c r="AG73" i="18"/>
  <c r="U59" i="18"/>
  <c r="AG59" i="18"/>
  <c r="U54" i="18"/>
  <c r="AG54" i="18"/>
  <c r="U68" i="18"/>
  <c r="AG68" i="18"/>
  <c r="U52" i="18"/>
  <c r="AG52" i="18"/>
  <c r="U66" i="18"/>
  <c r="AG66" i="18"/>
  <c r="U50" i="18"/>
  <c r="AG50" i="18"/>
  <c r="U64" i="18"/>
  <c r="BS61" i="18"/>
  <c r="CH61" i="18"/>
  <c r="BS75" i="18"/>
  <c r="CH75" i="18"/>
  <c r="BS68" i="18"/>
  <c r="CH68" i="18"/>
  <c r="BS54" i="18"/>
  <c r="CH54" i="18"/>
  <c r="BS69" i="18"/>
  <c r="CH69" i="18"/>
  <c r="BS50" i="18"/>
  <c r="CH50" i="18"/>
  <c r="BS70" i="18"/>
  <c r="CH70" i="18"/>
  <c r="BS56" i="18"/>
  <c r="CH56" i="18"/>
  <c r="U53" i="18"/>
  <c r="AG53" i="18"/>
  <c r="U67" i="18"/>
  <c r="AG67" i="18"/>
  <c r="U58" i="18"/>
  <c r="AG58" i="18"/>
  <c r="U72" i="18"/>
  <c r="AG72" i="18"/>
  <c r="U76" i="18"/>
  <c r="AG76" i="18"/>
  <c r="U62" i="18"/>
  <c r="AG62" i="18"/>
  <c r="BS59" i="18"/>
  <c r="CH59" i="18"/>
  <c r="BS73" i="18"/>
  <c r="CH73" i="18"/>
  <c r="BS76" i="18"/>
  <c r="CH76" i="18"/>
  <c r="BS62" i="18"/>
  <c r="CH62" i="18"/>
  <c r="BS74" i="18"/>
  <c r="CH74" i="18"/>
  <c r="BS60" i="18"/>
  <c r="CH60" i="18"/>
  <c r="U69" i="18"/>
  <c r="AG69" i="18"/>
  <c r="U55" i="18"/>
  <c r="AG55" i="18"/>
  <c r="AG65" i="18"/>
  <c r="U57" i="18"/>
  <c r="AG57" i="18"/>
  <c r="U71" i="18"/>
  <c r="AG71" i="18"/>
  <c r="BS66" i="18"/>
  <c r="CH66" i="18"/>
  <c r="BS52" i="18"/>
  <c r="CH52" i="18"/>
  <c r="BC10" i="18"/>
  <c r="BC18" i="18"/>
  <c r="BC6" i="18"/>
  <c r="BC12" i="18"/>
  <c r="BC17" i="18"/>
  <c r="BC11" i="18"/>
  <c r="BC16" i="18"/>
  <c r="DZ27" i="18"/>
  <c r="AY3" i="36"/>
  <c r="Z3" i="36"/>
  <c r="AZ3" i="36"/>
  <c r="AA3" i="36"/>
  <c r="BY3" i="36"/>
  <c r="BF30" i="37"/>
  <c r="BF35" i="37"/>
  <c r="BF28" i="37"/>
  <c r="BF43" i="37"/>
  <c r="BJ43" i="37"/>
  <c r="BF26" i="37"/>
  <c r="BF36" i="37"/>
  <c r="BN36" i="37"/>
  <c r="BF24" i="37"/>
  <c r="BF55" i="37"/>
  <c r="BJ55" i="37"/>
  <c r="BF23" i="37"/>
  <c r="BF49" i="37"/>
  <c r="BN49" i="37"/>
  <c r="BF19" i="37"/>
  <c r="BF42" i="37"/>
  <c r="BF15" i="37"/>
  <c r="BF44" i="37"/>
  <c r="BN44" i="37"/>
  <c r="BF11" i="37"/>
  <c r="BF39" i="37"/>
  <c r="BN39" i="37"/>
  <c r="BF7" i="37"/>
  <c r="BF3" i="37"/>
  <c r="BF32" i="37"/>
  <c r="BF20" i="37"/>
  <c r="BF12" i="37"/>
  <c r="BF8" i="37"/>
  <c r="BF41" i="37"/>
  <c r="BJ41" i="37"/>
  <c r="BF22" i="37"/>
  <c r="BF37" i="37"/>
  <c r="BF18" i="37"/>
  <c r="BF14" i="37"/>
  <c r="BF34" i="37"/>
  <c r="BJ34" i="37"/>
  <c r="BF10" i="37"/>
  <c r="BF46" i="37"/>
  <c r="BF6" i="37"/>
  <c r="BF47" i="37"/>
  <c r="BJ47" i="37"/>
  <c r="BF2" i="37"/>
  <c r="BF38" i="37"/>
  <c r="BF29" i="37"/>
  <c r="BF27" i="37"/>
  <c r="BF25" i="37"/>
  <c r="BF50" i="37"/>
  <c r="BJ50" i="37"/>
  <c r="BF21" i="37"/>
  <c r="BF51" i="37"/>
  <c r="BN51" i="37"/>
  <c r="BF17" i="37"/>
  <c r="BF13" i="37"/>
  <c r="BF33" i="37"/>
  <c r="BF9" i="37"/>
  <c r="BF5" i="37"/>
  <c r="BF16" i="37"/>
  <c r="BF4" i="37"/>
  <c r="BF40" i="37"/>
  <c r="BN40" i="37"/>
  <c r="DO30" i="18"/>
  <c r="DO29" i="18"/>
  <c r="EE27" i="18"/>
  <c r="EE62" i="18"/>
  <c r="ET62" i="18"/>
  <c r="EE28" i="18"/>
  <c r="EE43" i="18"/>
  <c r="ET43" i="18"/>
  <c r="EE26" i="18"/>
  <c r="EE36" i="18"/>
  <c r="ET36" i="18"/>
  <c r="EE22" i="18"/>
  <c r="EE37" i="18"/>
  <c r="ET37" i="18"/>
  <c r="EE18" i="18"/>
  <c r="EE14" i="18"/>
  <c r="EE34" i="18"/>
  <c r="EE11" i="18"/>
  <c r="EE39" i="18"/>
  <c r="ET39" i="18"/>
  <c r="EE7" i="18"/>
  <c r="EE3" i="18"/>
  <c r="EE32" i="18"/>
  <c r="ET32" i="18"/>
  <c r="EE30" i="18"/>
  <c r="EE35" i="18"/>
  <c r="ET35" i="18"/>
  <c r="EE23" i="18"/>
  <c r="EE49" i="18"/>
  <c r="ET49" i="18"/>
  <c r="EE19" i="18"/>
  <c r="EE42" i="18"/>
  <c r="ET42" i="18"/>
  <c r="EE15" i="18"/>
  <c r="EE44" i="18"/>
  <c r="ET44" i="18"/>
  <c r="EE8" i="18"/>
  <c r="EE41" i="18"/>
  <c r="ET41" i="18"/>
  <c r="EE4" i="18"/>
  <c r="EE40" i="18"/>
  <c r="ET40" i="18"/>
  <c r="EE24" i="18"/>
  <c r="EE16" i="18"/>
  <c r="EE9" i="18"/>
  <c r="EE21" i="18"/>
  <c r="EE13" i="18"/>
  <c r="EE33" i="18"/>
  <c r="ET33" i="18"/>
  <c r="EE6" i="18"/>
  <c r="EE47" i="18"/>
  <c r="ET47" i="18"/>
  <c r="EE29" i="18"/>
  <c r="EE12" i="18"/>
  <c r="EE17" i="18"/>
  <c r="EE5" i="18"/>
  <c r="EE25" i="18"/>
  <c r="EE50" i="18"/>
  <c r="ET50" i="18"/>
  <c r="EE10" i="18"/>
  <c r="EE46" i="18"/>
  <c r="ET46" i="18"/>
  <c r="EE20" i="18"/>
  <c r="EE2" i="18"/>
  <c r="EE38" i="18"/>
  <c r="ET38" i="18"/>
  <c r="EE72" i="18"/>
  <c r="ET72" i="18"/>
  <c r="EE58" i="18"/>
  <c r="ET58" i="18"/>
  <c r="BF67" i="37"/>
  <c r="BJ67" i="37"/>
  <c r="BF53" i="37"/>
  <c r="BJ33" i="37"/>
  <c r="BN33" i="37"/>
  <c r="BF65" i="37"/>
  <c r="BF71" i="37"/>
  <c r="BF57" i="37"/>
  <c r="BJ57" i="37"/>
  <c r="BF60" i="37"/>
  <c r="BF74" i="37"/>
  <c r="BN74" i="37"/>
  <c r="BJ42" i="37"/>
  <c r="BN42" i="37"/>
  <c r="EE76" i="18"/>
  <c r="ET76" i="18"/>
  <c r="EE52" i="18"/>
  <c r="ET52" i="18"/>
  <c r="EE66" i="18"/>
  <c r="ET66" i="18"/>
  <c r="EE69" i="18"/>
  <c r="ET69" i="18"/>
  <c r="EE55" i="18"/>
  <c r="ET55" i="18"/>
  <c r="EE73" i="18"/>
  <c r="ET73" i="18"/>
  <c r="EE59" i="18"/>
  <c r="ET59" i="18"/>
  <c r="BF58" i="37"/>
  <c r="BF72" i="37"/>
  <c r="BJ72" i="37"/>
  <c r="BF61" i="37"/>
  <c r="BN61" i="37"/>
  <c r="BF75" i="37"/>
  <c r="EE75" i="18"/>
  <c r="ET75" i="18"/>
  <c r="EE61" i="18"/>
  <c r="ET61" i="18"/>
  <c r="BF68" i="37"/>
  <c r="BF54" i="37"/>
  <c r="BF66" i="37"/>
  <c r="BJ66" i="37"/>
  <c r="BF52" i="37"/>
  <c r="BF64" i="37"/>
  <c r="BF56" i="37"/>
  <c r="BN56" i="37"/>
  <c r="BF70" i="37"/>
  <c r="BN70" i="37"/>
  <c r="BF59" i="37"/>
  <c r="BF73" i="37"/>
  <c r="BJ73" i="37"/>
  <c r="BJ49" i="37"/>
  <c r="EE60" i="18"/>
  <c r="ET60" i="18"/>
  <c r="EE74" i="18"/>
  <c r="ET74" i="18"/>
  <c r="EE65" i="18"/>
  <c r="ET65" i="18"/>
  <c r="EE51" i="18"/>
  <c r="ET51" i="18"/>
  <c r="EE64" i="18"/>
  <c r="EE57" i="18"/>
  <c r="ET57" i="18"/>
  <c r="EE71" i="18"/>
  <c r="ET71" i="18"/>
  <c r="BF76" i="37"/>
  <c r="BF62" i="37"/>
  <c r="BN47" i="37"/>
  <c r="BF69" i="37"/>
  <c r="BJ69" i="37"/>
  <c r="DO8" i="18"/>
  <c r="DO6" i="18"/>
  <c r="DO4" i="18"/>
  <c r="DO25" i="18"/>
  <c r="DO16" i="18"/>
  <c r="DO28" i="18"/>
  <c r="DO10" i="18"/>
  <c r="DO13" i="18"/>
  <c r="DO11" i="18"/>
  <c r="DO17" i="18"/>
  <c r="DO26" i="18"/>
  <c r="DO22" i="18"/>
  <c r="BJ70" i="37"/>
  <c r="BJ51" i="37"/>
  <c r="BJ59" i="37"/>
  <c r="BJ64" i="37"/>
  <c r="BN64" i="37"/>
  <c r="BJ71" i="37"/>
  <c r="BN71" i="37"/>
  <c r="BJ76" i="37"/>
  <c r="BJ56" i="37"/>
  <c r="BN58" i="37"/>
  <c r="BJ58" i="37"/>
  <c r="BJ65" i="37"/>
  <c r="BN65" i="37"/>
  <c r="BN67" i="37"/>
  <c r="BN68" i="37"/>
  <c r="BJ68" i="37"/>
  <c r="BN52" i="37"/>
  <c r="BJ52" i="37"/>
  <c r="BN54" i="37"/>
  <c r="BJ54" i="37"/>
  <c r="BN75" i="37"/>
  <c r="BJ75" i="37"/>
  <c r="BJ60" i="37"/>
  <c r="BN60" i="37"/>
  <c r="BN57" i="37"/>
  <c r="D32" i="5"/>
  <c r="D76" i="5"/>
  <c r="D62" i="5"/>
  <c r="D49" i="5"/>
  <c r="D33" i="5"/>
  <c r="D61" i="5"/>
  <c r="D75" i="5"/>
  <c r="D36" i="5"/>
  <c r="D68" i="5"/>
  <c r="D54" i="5"/>
  <c r="D59" i="5"/>
  <c r="D73" i="5"/>
  <c r="D42" i="5"/>
  <c r="D47" i="5"/>
  <c r="D74" i="5"/>
  <c r="D60" i="5"/>
  <c r="D70" i="5"/>
  <c r="D56" i="5"/>
  <c r="D44" i="5"/>
  <c r="D53" i="5"/>
  <c r="D67" i="5"/>
  <c r="D64" i="5"/>
  <c r="D50" i="5"/>
  <c r="D41" i="5"/>
  <c r="D34" i="5"/>
  <c r="D37" i="5"/>
  <c r="D35" i="5"/>
  <c r="D38" i="5"/>
  <c r="D51" i="5"/>
  <c r="D65" i="5"/>
  <c r="D66" i="5"/>
  <c r="D52" i="5"/>
  <c r="D39" i="5"/>
  <c r="D46" i="5"/>
  <c r="D72" i="5"/>
  <c r="D58" i="5"/>
  <c r="BY25" i="36"/>
  <c r="BX25" i="36"/>
  <c r="AZ25" i="36"/>
  <c r="AY25" i="36"/>
  <c r="AA25" i="36"/>
  <c r="Z25" i="36"/>
  <c r="BY24" i="36"/>
  <c r="BX24" i="36"/>
  <c r="AZ24" i="36"/>
  <c r="AY24" i="36"/>
  <c r="AA24" i="36"/>
  <c r="Z24" i="36"/>
  <c r="AO30" i="37"/>
  <c r="AO29" i="37"/>
  <c r="AO28" i="37"/>
  <c r="AO43" i="37"/>
  <c r="AO27" i="37"/>
  <c r="AO26" i="37"/>
  <c r="AO25" i="37"/>
  <c r="AR29" i="37"/>
  <c r="AR27" i="37"/>
  <c r="AR25" i="37"/>
  <c r="AO23" i="37"/>
  <c r="AR22" i="37"/>
  <c r="AR37" i="37"/>
  <c r="AO19" i="37"/>
  <c r="AR18" i="37"/>
  <c r="AO15" i="37"/>
  <c r="AR14" i="37"/>
  <c r="AR34" i="37"/>
  <c r="AT34" i="37"/>
  <c r="AO11" i="37"/>
  <c r="AR10" i="37"/>
  <c r="AR46" i="37"/>
  <c r="AO7" i="37"/>
  <c r="AR6" i="37"/>
  <c r="AR47" i="37"/>
  <c r="AO3" i="37"/>
  <c r="AR2" i="37"/>
  <c r="AR38" i="37"/>
  <c r="AO24" i="37"/>
  <c r="AR23" i="37"/>
  <c r="AR49" i="37"/>
  <c r="AO16" i="37"/>
  <c r="AR15" i="37"/>
  <c r="AR44" i="37"/>
  <c r="AT44" i="37"/>
  <c r="AO4" i="37"/>
  <c r="AR3" i="37"/>
  <c r="AR32" i="37"/>
  <c r="AO22" i="37"/>
  <c r="AR21" i="37"/>
  <c r="U42" i="37"/>
  <c r="AO18" i="37"/>
  <c r="AR17" i="37"/>
  <c r="AO14" i="37"/>
  <c r="AR13" i="37"/>
  <c r="AR33" i="37"/>
  <c r="AO10" i="37"/>
  <c r="AR9" i="37"/>
  <c r="AO6" i="37"/>
  <c r="AR5" i="37"/>
  <c r="AO2" i="37"/>
  <c r="AO38" i="37"/>
  <c r="AR30" i="37"/>
  <c r="AR35" i="37"/>
  <c r="AR28" i="37"/>
  <c r="AR43" i="37"/>
  <c r="AR26" i="37"/>
  <c r="AR36" i="37"/>
  <c r="AR24" i="37"/>
  <c r="AO21" i="37"/>
  <c r="AR20" i="37"/>
  <c r="AO17" i="37"/>
  <c r="AR16" i="37"/>
  <c r="AO13" i="37"/>
  <c r="AO33" i="37"/>
  <c r="AR12" i="37"/>
  <c r="AO9" i="37"/>
  <c r="AO54" i="37"/>
  <c r="AR8" i="37"/>
  <c r="AR41" i="37"/>
  <c r="AO5" i="37"/>
  <c r="AR4" i="37"/>
  <c r="AR40" i="37"/>
  <c r="AO20" i="37"/>
  <c r="AR19" i="37"/>
  <c r="AR42" i="37"/>
  <c r="AO12" i="37"/>
  <c r="AR11" i="37"/>
  <c r="AR39" i="37"/>
  <c r="AT39" i="37"/>
  <c r="AO8" i="37"/>
  <c r="AR7" i="37"/>
  <c r="D27" i="20"/>
  <c r="D23" i="20"/>
  <c r="H23" i="20"/>
  <c r="D19" i="20"/>
  <c r="D15" i="20"/>
  <c r="D11" i="20"/>
  <c r="D7" i="20"/>
  <c r="D3" i="20"/>
  <c r="D30" i="20"/>
  <c r="D26" i="20"/>
  <c r="D22" i="20"/>
  <c r="D18" i="20"/>
  <c r="D14" i="20"/>
  <c r="D10" i="20"/>
  <c r="D6" i="20"/>
  <c r="D2" i="20"/>
  <c r="D25" i="20"/>
  <c r="D17" i="20"/>
  <c r="D9" i="20"/>
  <c r="D24" i="20"/>
  <c r="D16" i="20"/>
  <c r="D8" i="20"/>
  <c r="D21" i="20"/>
  <c r="D5" i="20"/>
  <c r="D20" i="20"/>
  <c r="D4" i="20"/>
  <c r="D13" i="20"/>
  <c r="D12" i="20"/>
  <c r="D29" i="20"/>
  <c r="D28" i="20"/>
  <c r="H28" i="20"/>
  <c r="U34" i="37"/>
  <c r="U32" i="37"/>
  <c r="U50" i="37"/>
  <c r="AI2" i="29"/>
  <c r="AI38" i="29"/>
  <c r="BI2" i="29"/>
  <c r="BI38" i="29"/>
  <c r="AI3" i="29"/>
  <c r="BI3" i="29"/>
  <c r="BI32" i="29"/>
  <c r="AI4" i="29"/>
  <c r="BI4" i="29"/>
  <c r="BI40" i="29"/>
  <c r="AI5" i="29"/>
  <c r="BI5" i="29"/>
  <c r="AI6" i="29"/>
  <c r="BI6" i="29"/>
  <c r="BH47" i="29"/>
  <c r="AI7" i="29"/>
  <c r="BI7" i="29"/>
  <c r="AI8" i="29"/>
  <c r="BI8" i="29"/>
  <c r="BI41" i="29"/>
  <c r="AI9" i="29"/>
  <c r="BI9" i="29"/>
  <c r="AI10" i="29"/>
  <c r="BI10" i="29"/>
  <c r="BH46" i="29"/>
  <c r="AI11" i="29"/>
  <c r="BI11" i="29"/>
  <c r="BI39" i="29"/>
  <c r="AI12" i="29"/>
  <c r="AI22" i="29"/>
  <c r="AI26" i="29"/>
  <c r="AI30" i="29"/>
  <c r="BI12" i="29"/>
  <c r="AI13" i="29"/>
  <c r="BI14" i="29"/>
  <c r="BI34" i="29"/>
  <c r="AI15" i="29"/>
  <c r="BI16" i="29"/>
  <c r="AI17" i="29"/>
  <c r="BI18" i="29"/>
  <c r="AI19" i="29"/>
  <c r="BI20" i="29"/>
  <c r="AI21" i="29"/>
  <c r="BI22" i="29"/>
  <c r="BI37" i="29"/>
  <c r="AI23" i="29"/>
  <c r="BI24" i="29"/>
  <c r="AI25" i="29"/>
  <c r="BI26" i="29"/>
  <c r="BI36" i="29"/>
  <c r="AI27" i="29"/>
  <c r="BI28" i="29"/>
  <c r="BI43" i="29"/>
  <c r="AI29" i="29"/>
  <c r="BI30" i="29"/>
  <c r="BI35" i="29"/>
  <c r="BI17" i="29"/>
  <c r="AI20" i="29"/>
  <c r="BI21" i="29"/>
  <c r="BI23" i="29"/>
  <c r="BI49" i="29"/>
  <c r="AI24" i="29"/>
  <c r="AI28" i="29"/>
  <c r="BI13" i="29"/>
  <c r="BI33" i="29"/>
  <c r="AI14" i="29"/>
  <c r="BI15" i="29"/>
  <c r="BI44" i="29"/>
  <c r="AI16" i="29"/>
  <c r="AI18" i="29"/>
  <c r="BI19" i="29"/>
  <c r="BI42" i="29"/>
  <c r="BI25" i="29"/>
  <c r="BI27" i="29"/>
  <c r="BI29" i="29"/>
  <c r="CI5" i="30"/>
  <c r="CI6" i="30"/>
  <c r="CI47" i="30"/>
  <c r="CI7" i="30"/>
  <c r="CI9" i="30"/>
  <c r="CI14" i="30"/>
  <c r="CI34" i="30"/>
  <c r="CI16" i="30"/>
  <c r="CI17" i="30"/>
  <c r="CI18" i="30"/>
  <c r="CI19" i="30"/>
  <c r="CI42" i="30"/>
  <c r="CI20" i="30"/>
  <c r="CI22" i="30"/>
  <c r="CI37" i="30"/>
  <c r="CI23" i="30"/>
  <c r="CI49" i="30"/>
  <c r="CI30" i="30"/>
  <c r="CI35" i="30"/>
  <c r="CI24" i="30"/>
  <c r="CI25" i="30"/>
  <c r="CI26" i="30"/>
  <c r="CI36" i="30"/>
  <c r="CI28" i="30"/>
  <c r="CI43" i="30"/>
  <c r="CI29" i="30"/>
  <c r="CI3" i="30"/>
  <c r="CI32" i="30"/>
  <c r="CI4" i="30"/>
  <c r="CI40" i="30"/>
  <c r="CI8" i="30"/>
  <c r="CI41" i="30"/>
  <c r="CI10" i="30"/>
  <c r="CI46" i="30"/>
  <c r="CI11" i="30"/>
  <c r="CI39" i="30"/>
  <c r="CI12" i="30"/>
  <c r="CI13" i="30"/>
  <c r="CI33" i="30"/>
  <c r="CI15" i="30"/>
  <c r="CI44" i="30"/>
  <c r="CI21" i="30"/>
  <c r="CI27" i="30"/>
  <c r="F36" i="18"/>
  <c r="F2" i="29"/>
  <c r="F38" i="29"/>
  <c r="F3" i="29"/>
  <c r="F4" i="29"/>
  <c r="F5" i="29"/>
  <c r="F6" i="29"/>
  <c r="F8" i="29"/>
  <c r="F10" i="29"/>
  <c r="F12" i="29"/>
  <c r="F13" i="29"/>
  <c r="F14" i="29"/>
  <c r="F15" i="29"/>
  <c r="F16" i="29"/>
  <c r="F17" i="29"/>
  <c r="F18" i="29"/>
  <c r="F19" i="29"/>
  <c r="F20" i="29"/>
  <c r="F21" i="29"/>
  <c r="F22" i="29"/>
  <c r="F23" i="29"/>
  <c r="F24" i="29"/>
  <c r="F25" i="29"/>
  <c r="F26" i="29"/>
  <c r="F27" i="29"/>
  <c r="F28" i="29"/>
  <c r="F29" i="29"/>
  <c r="F30" i="29"/>
  <c r="F7" i="29"/>
  <c r="F9" i="29"/>
  <c r="F11" i="29"/>
  <c r="AF6" i="30"/>
  <c r="AF47" i="30"/>
  <c r="AF10" i="30"/>
  <c r="AF46" i="30"/>
  <c r="AF45" i="30"/>
  <c r="AF14" i="30"/>
  <c r="AF34" i="30"/>
  <c r="AF19" i="30"/>
  <c r="AF42" i="30"/>
  <c r="AF2" i="30"/>
  <c r="AF38" i="30"/>
  <c r="AF3" i="30"/>
  <c r="AF32" i="30"/>
  <c r="AF13" i="30"/>
  <c r="AF33" i="30"/>
  <c r="AF22" i="30"/>
  <c r="AF37" i="30"/>
  <c r="AF28" i="30"/>
  <c r="AF43" i="30"/>
  <c r="AF30" i="30"/>
  <c r="AF35" i="30"/>
  <c r="AF11" i="30"/>
  <c r="AF39" i="30"/>
  <c r="AF15" i="30"/>
  <c r="AF44" i="30"/>
  <c r="AF26" i="30"/>
  <c r="AF36" i="30"/>
  <c r="AF4" i="30"/>
  <c r="AF40" i="30"/>
  <c r="AF8" i="30"/>
  <c r="AF41" i="30"/>
  <c r="V2" i="29"/>
  <c r="V38" i="29"/>
  <c r="V3" i="29"/>
  <c r="V4" i="29"/>
  <c r="V5" i="29"/>
  <c r="V6" i="29"/>
  <c r="V7" i="29"/>
  <c r="V8" i="29"/>
  <c r="V9" i="29"/>
  <c r="V10" i="29"/>
  <c r="V11" i="29"/>
  <c r="V12" i="29"/>
  <c r="V14" i="29"/>
  <c r="V16" i="29"/>
  <c r="V18" i="29"/>
  <c r="V20" i="29"/>
  <c r="V22" i="29"/>
  <c r="V24" i="29"/>
  <c r="V26" i="29"/>
  <c r="V28" i="29"/>
  <c r="V30" i="29"/>
  <c r="V13" i="29"/>
  <c r="V15" i="29"/>
  <c r="V17" i="29"/>
  <c r="V19" i="29"/>
  <c r="V21" i="29"/>
  <c r="V23" i="29"/>
  <c r="V25" i="29"/>
  <c r="V27" i="29"/>
  <c r="V29" i="29"/>
  <c r="AV13" i="30"/>
  <c r="AV33" i="30"/>
  <c r="AV22" i="30"/>
  <c r="AV37" i="30"/>
  <c r="AV28" i="30"/>
  <c r="AV43" i="30"/>
  <c r="AV30" i="30"/>
  <c r="AV35" i="30"/>
  <c r="AV14" i="30"/>
  <c r="AV34" i="30"/>
  <c r="AV4" i="30"/>
  <c r="AV40" i="30"/>
  <c r="AV8" i="30"/>
  <c r="AV41" i="30"/>
  <c r="AV6" i="30"/>
  <c r="AV47" i="30"/>
  <c r="AV10" i="30"/>
  <c r="AV46" i="30"/>
  <c r="AV19" i="30"/>
  <c r="AV42" i="30"/>
  <c r="AV2" i="30"/>
  <c r="AV38" i="30"/>
  <c r="AV3" i="30"/>
  <c r="AV32" i="30"/>
  <c r="AV11" i="30"/>
  <c r="AV39" i="30"/>
  <c r="AV15" i="30"/>
  <c r="AV44" i="30"/>
  <c r="AV26" i="30"/>
  <c r="AV36" i="30"/>
  <c r="D52" i="20"/>
  <c r="D66" i="20"/>
  <c r="H17" i="20"/>
  <c r="AO70" i="37"/>
  <c r="AO56" i="37"/>
  <c r="AO40" i="37"/>
  <c r="U74" i="37"/>
  <c r="U60" i="37"/>
  <c r="AR71" i="37"/>
  <c r="AR57" i="37"/>
  <c r="BL2" i="29"/>
  <c r="BL38" i="29"/>
  <c r="AL3" i="29"/>
  <c r="BL4" i="29"/>
  <c r="BL40" i="29"/>
  <c r="AL5" i="29"/>
  <c r="BL5" i="29"/>
  <c r="BL6" i="29"/>
  <c r="BK47" i="29"/>
  <c r="AL7" i="29"/>
  <c r="BL8" i="29"/>
  <c r="BL41" i="29"/>
  <c r="AL9" i="29"/>
  <c r="BL10" i="29"/>
  <c r="BK46" i="29"/>
  <c r="AL11" i="29"/>
  <c r="BL12" i="29"/>
  <c r="AL13" i="29"/>
  <c r="BL13" i="29"/>
  <c r="BL33" i="29"/>
  <c r="AL14" i="29"/>
  <c r="BL14" i="29"/>
  <c r="BL34" i="29"/>
  <c r="AL15" i="29"/>
  <c r="BL15" i="29"/>
  <c r="BL44" i="29"/>
  <c r="AL16" i="29"/>
  <c r="BL16" i="29"/>
  <c r="AL17" i="29"/>
  <c r="BL17" i="29"/>
  <c r="AL18" i="29"/>
  <c r="BL18" i="29"/>
  <c r="AL19" i="29"/>
  <c r="BL19" i="29"/>
  <c r="BL42" i="29"/>
  <c r="AL20" i="29"/>
  <c r="BL20" i="29"/>
  <c r="AL21" i="29"/>
  <c r="BL21" i="29"/>
  <c r="AL22" i="29"/>
  <c r="BL22" i="29"/>
  <c r="BL37" i="29"/>
  <c r="AL23" i="29"/>
  <c r="BL23" i="29"/>
  <c r="BL49" i="29"/>
  <c r="AL24" i="29"/>
  <c r="BL24" i="29"/>
  <c r="AL25" i="29"/>
  <c r="BL25" i="29"/>
  <c r="AL26" i="29"/>
  <c r="BL26" i="29"/>
  <c r="BL36" i="29"/>
  <c r="AL27" i="29"/>
  <c r="BL27" i="29"/>
  <c r="AL28" i="29"/>
  <c r="BL28" i="29"/>
  <c r="BL43" i="29"/>
  <c r="AL29" i="29"/>
  <c r="BL29" i="29"/>
  <c r="AL30" i="29"/>
  <c r="BL30" i="29"/>
  <c r="BL35" i="29"/>
  <c r="AL6" i="29"/>
  <c r="BL11" i="29"/>
  <c r="BL39" i="29"/>
  <c r="AL2" i="29"/>
  <c r="AL38" i="29"/>
  <c r="BL9" i="29"/>
  <c r="AL12" i="29"/>
  <c r="AL4" i="29"/>
  <c r="BL7" i="29"/>
  <c r="AL10" i="29"/>
  <c r="BL3" i="29"/>
  <c r="BL32" i="29"/>
  <c r="AL8" i="29"/>
  <c r="CL3" i="30"/>
  <c r="CL32" i="30"/>
  <c r="CL4" i="30"/>
  <c r="CL40" i="30"/>
  <c r="CL5" i="30"/>
  <c r="CL6" i="30"/>
  <c r="CL47" i="30"/>
  <c r="CL7" i="30"/>
  <c r="CL8" i="30"/>
  <c r="CL41" i="30"/>
  <c r="CL9" i="30"/>
  <c r="CL10" i="30"/>
  <c r="CL46" i="30"/>
  <c r="CL11" i="30"/>
  <c r="CL39" i="30"/>
  <c r="CL12" i="30"/>
  <c r="CL13" i="30"/>
  <c r="CL33" i="30"/>
  <c r="CL14" i="30"/>
  <c r="CL34" i="30"/>
  <c r="CL15" i="30"/>
  <c r="CL44" i="30"/>
  <c r="CL16" i="30"/>
  <c r="CL17" i="30"/>
  <c r="CL18" i="30"/>
  <c r="CL19" i="30"/>
  <c r="CL42" i="30"/>
  <c r="CL20" i="30"/>
  <c r="CL70" i="30"/>
  <c r="CL21" i="30"/>
  <c r="CL22" i="30"/>
  <c r="CL37" i="30"/>
  <c r="CL23" i="30"/>
  <c r="CL49" i="30"/>
  <c r="CL24" i="30"/>
  <c r="CL25" i="30"/>
  <c r="CL26" i="30"/>
  <c r="CL36" i="30"/>
  <c r="CL27" i="30"/>
  <c r="CL28" i="30"/>
  <c r="CL43" i="30"/>
  <c r="CL29" i="30"/>
  <c r="CL30" i="30"/>
  <c r="CL35" i="30"/>
  <c r="AX2" i="29"/>
  <c r="AX38" i="29"/>
  <c r="BX2" i="29"/>
  <c r="BX38" i="29"/>
  <c r="AX3" i="29"/>
  <c r="BX3" i="29"/>
  <c r="BX32" i="29"/>
  <c r="AX4" i="29"/>
  <c r="BX4" i="29"/>
  <c r="BX40" i="29"/>
  <c r="AX5" i="29"/>
  <c r="BX6" i="29"/>
  <c r="BW47" i="29"/>
  <c r="AX7" i="29"/>
  <c r="BX8" i="29"/>
  <c r="BX41" i="29"/>
  <c r="AX9" i="29"/>
  <c r="BX10" i="29"/>
  <c r="BW46" i="29"/>
  <c r="AX11" i="29"/>
  <c r="BX12" i="29"/>
  <c r="AX13" i="29"/>
  <c r="BX13" i="29"/>
  <c r="BX33" i="29"/>
  <c r="AX14" i="29"/>
  <c r="BX14" i="29"/>
  <c r="BX34" i="29"/>
  <c r="AX15" i="29"/>
  <c r="BX15" i="29"/>
  <c r="BX44" i="29"/>
  <c r="AX16" i="29"/>
  <c r="BX16" i="29"/>
  <c r="AX17" i="29"/>
  <c r="BX17" i="29"/>
  <c r="AX18" i="29"/>
  <c r="BX18" i="29"/>
  <c r="AX19" i="29"/>
  <c r="BX19" i="29"/>
  <c r="BX42" i="29"/>
  <c r="AX20" i="29"/>
  <c r="BX20" i="29"/>
  <c r="AX21" i="29"/>
  <c r="BX21" i="29"/>
  <c r="AX22" i="29"/>
  <c r="BX22" i="29"/>
  <c r="BX37" i="29"/>
  <c r="AX23" i="29"/>
  <c r="BX23" i="29"/>
  <c r="BX49" i="29"/>
  <c r="AX24" i="29"/>
  <c r="BX24" i="29"/>
  <c r="AX25" i="29"/>
  <c r="BX25" i="29"/>
  <c r="AX26" i="29"/>
  <c r="BX26" i="29"/>
  <c r="BX36" i="29"/>
  <c r="AX27" i="29"/>
  <c r="BX27" i="29"/>
  <c r="AX28" i="29"/>
  <c r="BX28" i="29"/>
  <c r="BX43" i="29"/>
  <c r="AX29" i="29"/>
  <c r="BX29" i="29"/>
  <c r="AX30" i="29"/>
  <c r="BX30" i="29"/>
  <c r="BX35" i="29"/>
  <c r="BX5" i="29"/>
  <c r="BX7" i="29"/>
  <c r="AX10" i="29"/>
  <c r="AX8" i="29"/>
  <c r="BX9" i="29"/>
  <c r="AX6" i="29"/>
  <c r="BX11" i="29"/>
  <c r="BX39" i="29"/>
  <c r="AX12" i="29"/>
  <c r="CX3" i="30"/>
  <c r="CX32" i="30"/>
  <c r="CX4" i="30"/>
  <c r="CX40" i="30"/>
  <c r="CX5" i="30"/>
  <c r="CX6" i="30"/>
  <c r="CX47" i="30"/>
  <c r="CX7" i="30"/>
  <c r="CX8" i="30"/>
  <c r="CX41" i="30"/>
  <c r="CX9" i="30"/>
  <c r="CX10" i="30"/>
  <c r="CX46" i="30"/>
  <c r="CX11" i="30"/>
  <c r="CX39" i="30"/>
  <c r="CX12" i="30"/>
  <c r="CX13" i="30"/>
  <c r="CX33" i="30"/>
  <c r="CX14" i="30"/>
  <c r="CX34" i="30"/>
  <c r="CX15" i="30"/>
  <c r="CX44" i="30"/>
  <c r="CX16" i="30"/>
  <c r="CX17" i="30"/>
  <c r="CX18" i="30"/>
  <c r="CX19" i="30"/>
  <c r="CX42" i="30"/>
  <c r="CX20" i="30"/>
  <c r="CX21" i="30"/>
  <c r="CX22" i="30"/>
  <c r="CX37" i="30"/>
  <c r="CX23" i="30"/>
  <c r="CX49" i="30"/>
  <c r="CX24" i="30"/>
  <c r="CX25" i="30"/>
  <c r="CX50" i="30"/>
  <c r="CX26" i="30"/>
  <c r="CX36" i="30"/>
  <c r="CX27" i="30"/>
  <c r="CX28" i="30"/>
  <c r="CX43" i="30"/>
  <c r="CX29" i="30"/>
  <c r="CX30" i="30"/>
  <c r="CX35" i="30"/>
  <c r="AU29" i="32"/>
  <c r="AU27" i="32"/>
  <c r="AU25" i="32"/>
  <c r="AU7" i="32"/>
  <c r="AU6" i="32"/>
  <c r="AU47" i="32"/>
  <c r="AU30" i="32"/>
  <c r="AU35" i="32"/>
  <c r="AU28" i="32"/>
  <c r="AU43" i="32"/>
  <c r="AU21" i="32"/>
  <c r="AU16" i="32"/>
  <c r="AU14" i="32"/>
  <c r="AU34" i="32"/>
  <c r="AU11" i="32"/>
  <c r="AU39" i="32"/>
  <c r="AU9" i="32"/>
  <c r="AU3" i="32"/>
  <c r="AU32" i="32"/>
  <c r="AU23" i="32"/>
  <c r="AU49" i="32"/>
  <c r="AU17" i="32"/>
  <c r="AU13" i="32"/>
  <c r="AU33" i="32"/>
  <c r="AU5" i="32"/>
  <c r="AU22" i="32"/>
  <c r="AU37" i="32"/>
  <c r="AU19" i="32"/>
  <c r="AU42" i="32"/>
  <c r="AU12" i="32"/>
  <c r="AU4" i="32"/>
  <c r="AU40" i="32"/>
  <c r="AU20" i="32"/>
  <c r="AU15" i="32"/>
  <c r="AU44" i="32"/>
  <c r="AU8" i="32"/>
  <c r="AU41" i="32"/>
  <c r="AU18" i="32"/>
  <c r="AU24" i="32"/>
  <c r="AU10" i="32"/>
  <c r="AU46" i="32"/>
  <c r="AU26" i="32"/>
  <c r="AU36" i="32"/>
  <c r="AU2" i="32"/>
  <c r="AU38" i="32"/>
  <c r="Q2" i="29"/>
  <c r="Q38" i="29"/>
  <c r="Q3" i="29"/>
  <c r="Q4" i="29"/>
  <c r="Q5" i="29"/>
  <c r="Q6" i="29"/>
  <c r="Q7" i="29"/>
  <c r="Q8" i="29"/>
  <c r="Q9" i="29"/>
  <c r="Q10" i="29"/>
  <c r="Q11" i="29"/>
  <c r="Q12" i="29"/>
  <c r="Q24" i="29"/>
  <c r="Q28" i="29"/>
  <c r="Q13" i="29"/>
  <c r="Q15" i="29"/>
  <c r="Q17" i="29"/>
  <c r="Q19" i="29"/>
  <c r="Q21" i="29"/>
  <c r="Q23" i="29"/>
  <c r="Q25" i="29"/>
  <c r="Q27" i="29"/>
  <c r="Q29" i="29"/>
  <c r="Q18" i="29"/>
  <c r="Q22" i="29"/>
  <c r="Q30" i="29"/>
  <c r="Q14" i="29"/>
  <c r="Q16" i="29"/>
  <c r="Q20" i="29"/>
  <c r="Q26" i="29"/>
  <c r="AQ13" i="30"/>
  <c r="AQ33" i="30"/>
  <c r="AQ22" i="30"/>
  <c r="AQ37" i="30"/>
  <c r="AQ28" i="30"/>
  <c r="AQ43" i="30"/>
  <c r="AQ30" i="30"/>
  <c r="AQ35" i="30"/>
  <c r="AQ6" i="30"/>
  <c r="AQ47" i="30"/>
  <c r="AQ10" i="30"/>
  <c r="AQ46" i="30"/>
  <c r="AQ19" i="30"/>
  <c r="AQ42" i="30"/>
  <c r="AQ2" i="30"/>
  <c r="AQ38" i="30"/>
  <c r="AQ4" i="30"/>
  <c r="AQ40" i="30"/>
  <c r="AQ8" i="30"/>
  <c r="AQ41" i="30"/>
  <c r="AQ14" i="30"/>
  <c r="AQ34" i="30"/>
  <c r="AQ3" i="30"/>
  <c r="AQ32" i="30"/>
  <c r="AQ11" i="30"/>
  <c r="AQ39" i="30"/>
  <c r="AQ15" i="30"/>
  <c r="AQ44" i="30"/>
  <c r="AQ26" i="30"/>
  <c r="AQ36" i="30"/>
  <c r="D40" i="20"/>
  <c r="H4" i="20"/>
  <c r="H26" i="20"/>
  <c r="D36" i="20"/>
  <c r="AR61" i="37"/>
  <c r="AR75" i="37"/>
  <c r="AF2" i="29"/>
  <c r="AF38" i="29"/>
  <c r="BF2" i="29"/>
  <c r="BF38" i="29"/>
  <c r="AF3" i="29"/>
  <c r="BF3" i="29"/>
  <c r="BF32" i="29"/>
  <c r="BF13" i="29"/>
  <c r="BF33" i="29"/>
  <c r="BF14" i="29"/>
  <c r="BF34" i="29"/>
  <c r="BF30" i="29"/>
  <c r="BF35" i="29"/>
  <c r="BF26" i="29"/>
  <c r="BF36" i="29"/>
  <c r="BF22" i="29"/>
  <c r="BF37" i="29"/>
  <c r="BF11" i="29"/>
  <c r="BF39" i="29"/>
  <c r="BF4" i="29"/>
  <c r="BF40" i="29"/>
  <c r="BF8" i="29"/>
  <c r="BF41" i="29"/>
  <c r="BF19" i="29"/>
  <c r="BF42" i="29"/>
  <c r="BF28" i="29"/>
  <c r="BF43" i="29"/>
  <c r="BF15" i="29"/>
  <c r="BF44" i="29"/>
  <c r="AF4" i="29"/>
  <c r="AF5" i="29"/>
  <c r="BF5" i="29"/>
  <c r="BF6" i="29"/>
  <c r="AF7" i="29"/>
  <c r="AF9" i="29"/>
  <c r="BF10" i="29"/>
  <c r="AF11" i="29"/>
  <c r="BF12" i="29"/>
  <c r="AF13" i="29"/>
  <c r="AF14" i="29"/>
  <c r="AF15" i="29"/>
  <c r="AF16" i="29"/>
  <c r="BF16" i="29"/>
  <c r="AF17" i="29"/>
  <c r="BF17" i="29"/>
  <c r="AF18" i="29"/>
  <c r="BF18" i="29"/>
  <c r="AF19" i="29"/>
  <c r="AF20" i="29"/>
  <c r="BF20" i="29"/>
  <c r="AF21" i="29"/>
  <c r="BF21" i="29"/>
  <c r="AF22" i="29"/>
  <c r="AF23" i="29"/>
  <c r="BF23" i="29"/>
  <c r="BF49" i="29"/>
  <c r="AF24" i="29"/>
  <c r="BF24" i="29"/>
  <c r="AF25" i="29"/>
  <c r="BF25" i="29"/>
  <c r="AF26" i="29"/>
  <c r="AF27" i="29"/>
  <c r="BF27" i="29"/>
  <c r="AF28" i="29"/>
  <c r="AF29" i="29"/>
  <c r="BF29" i="29"/>
  <c r="AF30" i="29"/>
  <c r="AF6" i="29"/>
  <c r="BF7" i="29"/>
  <c r="AF8" i="29"/>
  <c r="BF9" i="29"/>
  <c r="AF10" i="29"/>
  <c r="AF12" i="29"/>
  <c r="CF3" i="30"/>
  <c r="CF32" i="30"/>
  <c r="CF4" i="30"/>
  <c r="CF40" i="30"/>
  <c r="CF5" i="30"/>
  <c r="CF6" i="30"/>
  <c r="CF47" i="30"/>
  <c r="CF7" i="30"/>
  <c r="CF8" i="30"/>
  <c r="CF41" i="30"/>
  <c r="CF9" i="30"/>
  <c r="CF10" i="30"/>
  <c r="CF46" i="30"/>
  <c r="CF11" i="30"/>
  <c r="CF39" i="30"/>
  <c r="CF12" i="30"/>
  <c r="CF13" i="30"/>
  <c r="CF33" i="30"/>
  <c r="CF14" i="30"/>
  <c r="CF34" i="30"/>
  <c r="CF15" i="30"/>
  <c r="CF44" i="30"/>
  <c r="CF16" i="30"/>
  <c r="CF17" i="30"/>
  <c r="CF18" i="30"/>
  <c r="CF19" i="30"/>
  <c r="CF42" i="30"/>
  <c r="CF20" i="30"/>
  <c r="CF21" i="30"/>
  <c r="CF22" i="30"/>
  <c r="CF37" i="30"/>
  <c r="CF23" i="30"/>
  <c r="CF49" i="30"/>
  <c r="CF24" i="30"/>
  <c r="CF25" i="30"/>
  <c r="CF26" i="30"/>
  <c r="CF36" i="30"/>
  <c r="CF27" i="30"/>
  <c r="CF28" i="30"/>
  <c r="CF43" i="30"/>
  <c r="CF29" i="30"/>
  <c r="CF30" i="30"/>
  <c r="CF35" i="30"/>
  <c r="AV2" i="29"/>
  <c r="AV38" i="29"/>
  <c r="BV2" i="29"/>
  <c r="BV38" i="29"/>
  <c r="AV3" i="29"/>
  <c r="BV3" i="29"/>
  <c r="BV32" i="29"/>
  <c r="AV4" i="29"/>
  <c r="BV4" i="29"/>
  <c r="BV40" i="29"/>
  <c r="AV5" i="29"/>
  <c r="BV5" i="29"/>
  <c r="AV6" i="29"/>
  <c r="BV6" i="29"/>
  <c r="BT47" i="29"/>
  <c r="AV7" i="29"/>
  <c r="BV7" i="29"/>
  <c r="AV8" i="29"/>
  <c r="BV8" i="29"/>
  <c r="BV41" i="29"/>
  <c r="AV9" i="29"/>
  <c r="BV9" i="29"/>
  <c r="AV10" i="29"/>
  <c r="BV10" i="29"/>
  <c r="BT46" i="29"/>
  <c r="AV11" i="29"/>
  <c r="BV11" i="29"/>
  <c r="BV39" i="29"/>
  <c r="AV12" i="29"/>
  <c r="BV12" i="29"/>
  <c r="AV13" i="29"/>
  <c r="BV14" i="29"/>
  <c r="BV34" i="29"/>
  <c r="AV15" i="29"/>
  <c r="BV16" i="29"/>
  <c r="AV17" i="29"/>
  <c r="BV18" i="29"/>
  <c r="AV19" i="29"/>
  <c r="BV20" i="29"/>
  <c r="AV21" i="29"/>
  <c r="BV22" i="29"/>
  <c r="BV37" i="29"/>
  <c r="AV23" i="29"/>
  <c r="BV24" i="29"/>
  <c r="AV25" i="29"/>
  <c r="BV26" i="29"/>
  <c r="BV36" i="29"/>
  <c r="AV27" i="29"/>
  <c r="BV28" i="29"/>
  <c r="BV43" i="29"/>
  <c r="AV29" i="29"/>
  <c r="BV30" i="29"/>
  <c r="BV35" i="29"/>
  <c r="BV13" i="29"/>
  <c r="BV33" i="29"/>
  <c r="AV14" i="29"/>
  <c r="BV15" i="29"/>
  <c r="BV44" i="29"/>
  <c r="AV16" i="29"/>
  <c r="BV17" i="29"/>
  <c r="AV18" i="29"/>
  <c r="BV19" i="29"/>
  <c r="BV42" i="29"/>
  <c r="AV20" i="29"/>
  <c r="BV21" i="29"/>
  <c r="AV22" i="29"/>
  <c r="BV23" i="29"/>
  <c r="BV49" i="29"/>
  <c r="AV24" i="29"/>
  <c r="BV25" i="29"/>
  <c r="AV26" i="29"/>
  <c r="BV27" i="29"/>
  <c r="AV28" i="29"/>
  <c r="BV29" i="29"/>
  <c r="AV30" i="29"/>
  <c r="CV3" i="30"/>
  <c r="CV32" i="30"/>
  <c r="CV5" i="30"/>
  <c r="CV8" i="30"/>
  <c r="CV41" i="30"/>
  <c r="CV14" i="30"/>
  <c r="CV34" i="30"/>
  <c r="CV20" i="30"/>
  <c r="CV22" i="30"/>
  <c r="CV37" i="30"/>
  <c r="CV30" i="30"/>
  <c r="CV35" i="30"/>
  <c r="CV23" i="30"/>
  <c r="CV49" i="30"/>
  <c r="CV24" i="30"/>
  <c r="CV25" i="30"/>
  <c r="CV28" i="30"/>
  <c r="CV43" i="30"/>
  <c r="CV4" i="30"/>
  <c r="CV40" i="30"/>
  <c r="CV6" i="30"/>
  <c r="CV47" i="30"/>
  <c r="CV7" i="30"/>
  <c r="CV9" i="30"/>
  <c r="CV10" i="30"/>
  <c r="CV46" i="30"/>
  <c r="CV11" i="30"/>
  <c r="CV39" i="30"/>
  <c r="CV12" i="30"/>
  <c r="CV13" i="30"/>
  <c r="CV33" i="30"/>
  <c r="CV15" i="30"/>
  <c r="CV44" i="30"/>
  <c r="CV16" i="30"/>
  <c r="CV17" i="30"/>
  <c r="CV18" i="30"/>
  <c r="CV19" i="30"/>
  <c r="CV42" i="30"/>
  <c r="CV21" i="30"/>
  <c r="CV26" i="30"/>
  <c r="CV36" i="30"/>
  <c r="CV27" i="30"/>
  <c r="CV29" i="30"/>
  <c r="CV57" i="30"/>
  <c r="E35" i="18"/>
  <c r="G2" i="29"/>
  <c r="G38" i="29"/>
  <c r="G3" i="29"/>
  <c r="G4" i="29"/>
  <c r="G5" i="29"/>
  <c r="G8" i="29"/>
  <c r="G10" i="29"/>
  <c r="G12" i="29"/>
  <c r="G13" i="29"/>
  <c r="G14" i="29"/>
  <c r="G15" i="29"/>
  <c r="G16" i="29"/>
  <c r="G17" i="29"/>
  <c r="G18" i="29"/>
  <c r="G19" i="29"/>
  <c r="G20" i="29"/>
  <c r="G21" i="29"/>
  <c r="G22" i="29"/>
  <c r="G23" i="29"/>
  <c r="G24" i="29"/>
  <c r="G25" i="29"/>
  <c r="G26" i="29"/>
  <c r="G27" i="29"/>
  <c r="G28" i="29"/>
  <c r="G29" i="29"/>
  <c r="G30" i="29"/>
  <c r="G6" i="29"/>
  <c r="G7" i="29"/>
  <c r="G11" i="29"/>
  <c r="G9" i="29"/>
  <c r="AG3" i="30"/>
  <c r="AG32" i="30"/>
  <c r="AG11" i="30"/>
  <c r="AG39" i="30"/>
  <c r="AG15" i="30"/>
  <c r="AG44" i="30"/>
  <c r="AG26" i="30"/>
  <c r="AG36" i="30"/>
  <c r="AG4" i="30"/>
  <c r="AG40" i="30"/>
  <c r="AG6" i="30"/>
  <c r="AG47" i="30"/>
  <c r="AG10" i="30"/>
  <c r="AG46" i="30"/>
  <c r="AG14" i="30"/>
  <c r="AG34" i="30"/>
  <c r="AG19" i="30"/>
  <c r="AG42" i="30"/>
  <c r="AG2" i="30"/>
  <c r="AG38" i="30"/>
  <c r="AG13" i="30"/>
  <c r="AG33" i="30"/>
  <c r="AG22" i="30"/>
  <c r="AG37" i="30"/>
  <c r="AG28" i="30"/>
  <c r="AG43" i="30"/>
  <c r="AG30" i="30"/>
  <c r="AG35" i="30"/>
  <c r="AG8" i="30"/>
  <c r="AG41" i="30"/>
  <c r="Z2" i="29"/>
  <c r="Z38" i="29"/>
  <c r="Z3" i="29"/>
  <c r="Z4" i="29"/>
  <c r="Z5" i="29"/>
  <c r="Z6" i="29"/>
  <c r="Z7" i="29"/>
  <c r="Z8" i="29"/>
  <c r="Z9" i="29"/>
  <c r="Z10" i="29"/>
  <c r="Z11" i="29"/>
  <c r="Z12" i="29"/>
  <c r="Z25" i="29"/>
  <c r="Z29" i="29"/>
  <c r="Z14" i="29"/>
  <c r="Z16" i="29"/>
  <c r="Z18" i="29"/>
  <c r="Z20" i="29"/>
  <c r="Z22" i="29"/>
  <c r="Z24" i="29"/>
  <c r="Z26" i="29"/>
  <c r="Z28" i="29"/>
  <c r="Z30" i="29"/>
  <c r="Z17" i="29"/>
  <c r="Z21" i="29"/>
  <c r="Z23" i="29"/>
  <c r="Z13" i="29"/>
  <c r="Z15" i="29"/>
  <c r="Z19" i="29"/>
  <c r="Z27" i="29"/>
  <c r="AZ13" i="30"/>
  <c r="AZ33" i="30"/>
  <c r="AZ22" i="30"/>
  <c r="AZ37" i="30"/>
  <c r="AZ28" i="30"/>
  <c r="AZ43" i="30"/>
  <c r="AZ30" i="30"/>
  <c r="AZ35" i="30"/>
  <c r="AZ4" i="30"/>
  <c r="AZ40" i="30"/>
  <c r="AZ8" i="30"/>
  <c r="AZ41" i="30"/>
  <c r="AZ3" i="30"/>
  <c r="AZ32" i="30"/>
  <c r="AZ11" i="30"/>
  <c r="AZ39" i="30"/>
  <c r="AZ15" i="30"/>
  <c r="AZ44" i="30"/>
  <c r="AZ26" i="30"/>
  <c r="AZ36" i="30"/>
  <c r="AZ6" i="30"/>
  <c r="AZ47" i="30"/>
  <c r="AZ10" i="30"/>
  <c r="AZ46" i="30"/>
  <c r="AZ14" i="30"/>
  <c r="AZ34" i="30"/>
  <c r="AZ19" i="30"/>
  <c r="AZ42" i="30"/>
  <c r="AZ2" i="30"/>
  <c r="AZ38" i="30"/>
  <c r="H16" i="20"/>
  <c r="D58" i="20"/>
  <c r="D72" i="20"/>
  <c r="H30" i="20"/>
  <c r="D35" i="20"/>
  <c r="AO60" i="37"/>
  <c r="AO74" i="37"/>
  <c r="AT43" i="37"/>
  <c r="AO46" i="37"/>
  <c r="AR65" i="37"/>
  <c r="AR51" i="37"/>
  <c r="AO69" i="37"/>
  <c r="AO55" i="37"/>
  <c r="AO32" i="37"/>
  <c r="U41" i="37"/>
  <c r="AO42" i="37"/>
  <c r="AO64" i="37"/>
  <c r="AO50" i="37"/>
  <c r="AO71" i="37"/>
  <c r="AO57" i="37"/>
  <c r="AP2" i="29"/>
  <c r="AP38" i="29"/>
  <c r="BP3" i="29"/>
  <c r="BP32" i="29"/>
  <c r="AP4" i="29"/>
  <c r="BP6" i="29"/>
  <c r="BO47" i="29"/>
  <c r="AP7" i="29"/>
  <c r="BP8" i="29"/>
  <c r="BP41" i="29"/>
  <c r="AP9" i="29"/>
  <c r="BP10" i="29"/>
  <c r="BO46" i="29"/>
  <c r="AP11" i="29"/>
  <c r="BP2" i="29"/>
  <c r="BP38" i="29"/>
  <c r="AP3" i="29"/>
  <c r="BP4" i="29"/>
  <c r="BP40" i="29"/>
  <c r="AP5" i="29"/>
  <c r="AP6" i="29"/>
  <c r="BP7" i="29"/>
  <c r="AP8" i="29"/>
  <c r="BP9" i="29"/>
  <c r="AP10" i="29"/>
  <c r="BP11" i="29"/>
  <c r="BP39" i="29"/>
  <c r="AP12" i="29"/>
  <c r="BP12" i="29"/>
  <c r="AP13" i="29"/>
  <c r="BP13" i="29"/>
  <c r="BP33" i="29"/>
  <c r="AP14" i="29"/>
  <c r="BP14" i="29"/>
  <c r="BP34" i="29"/>
  <c r="AP15" i="29"/>
  <c r="BP15" i="29"/>
  <c r="BP44" i="29"/>
  <c r="AP16" i="29"/>
  <c r="BP16" i="29"/>
  <c r="AP17" i="29"/>
  <c r="BP17" i="29"/>
  <c r="AP18" i="29"/>
  <c r="BP18" i="29"/>
  <c r="AP19" i="29"/>
  <c r="BP19" i="29"/>
  <c r="BP42" i="29"/>
  <c r="AP20" i="29"/>
  <c r="BP20" i="29"/>
  <c r="AP21" i="29"/>
  <c r="BP21" i="29"/>
  <c r="AP22" i="29"/>
  <c r="BP22" i="29"/>
  <c r="BP37" i="29"/>
  <c r="AP23" i="29"/>
  <c r="BP23" i="29"/>
  <c r="BP49" i="29"/>
  <c r="AP24" i="29"/>
  <c r="BP24" i="29"/>
  <c r="AP25" i="29"/>
  <c r="BP25" i="29"/>
  <c r="AP26" i="29"/>
  <c r="BP26" i="29"/>
  <c r="BP36" i="29"/>
  <c r="AP27" i="29"/>
  <c r="BP27" i="29"/>
  <c r="AP28" i="29"/>
  <c r="BP28" i="29"/>
  <c r="BP43" i="29"/>
  <c r="AP29" i="29"/>
  <c r="BP29" i="29"/>
  <c r="AP30" i="29"/>
  <c r="BP30" i="29"/>
  <c r="BP35" i="29"/>
  <c r="BP5" i="29"/>
  <c r="CP3" i="30"/>
  <c r="CP32" i="30"/>
  <c r="CP4" i="30"/>
  <c r="CP40" i="30"/>
  <c r="CP5" i="30"/>
  <c r="CP6" i="30"/>
  <c r="CP47" i="30"/>
  <c r="CP7" i="30"/>
  <c r="CP8" i="30"/>
  <c r="CP41" i="30"/>
  <c r="CP9" i="30"/>
  <c r="CP10" i="30"/>
  <c r="CP46" i="30"/>
  <c r="CP11" i="30"/>
  <c r="CP39" i="30"/>
  <c r="CP12" i="30"/>
  <c r="CP13" i="30"/>
  <c r="CP33" i="30"/>
  <c r="CP14" i="30"/>
  <c r="CP34" i="30"/>
  <c r="CP15" i="30"/>
  <c r="CP44" i="30"/>
  <c r="CP16" i="30"/>
  <c r="CP72" i="30"/>
  <c r="CP17" i="30"/>
  <c r="CP18" i="30"/>
  <c r="CP19" i="30"/>
  <c r="CP42" i="30"/>
  <c r="CP20" i="30"/>
  <c r="CP21" i="30"/>
  <c r="CP22" i="30"/>
  <c r="CP37" i="30"/>
  <c r="CP23" i="30"/>
  <c r="CP49" i="30"/>
  <c r="CP24" i="30"/>
  <c r="CP25" i="30"/>
  <c r="CP26" i="30"/>
  <c r="CP36" i="30"/>
  <c r="CP27" i="30"/>
  <c r="CP28" i="30"/>
  <c r="CP43" i="30"/>
  <c r="CP29" i="30"/>
  <c r="CP30" i="30"/>
  <c r="CP35" i="30"/>
  <c r="FH29" i="18"/>
  <c r="FH25" i="18"/>
  <c r="FH21" i="18"/>
  <c r="FH17" i="18"/>
  <c r="FH13" i="18"/>
  <c r="FH9" i="18"/>
  <c r="FH5" i="18"/>
  <c r="FH16" i="18"/>
  <c r="FH8" i="18"/>
  <c r="FH4" i="18"/>
  <c r="FH30" i="18"/>
  <c r="FH26" i="18"/>
  <c r="FH22" i="18"/>
  <c r="FH10" i="18"/>
  <c r="FH28" i="18"/>
  <c r="FH24" i="18"/>
  <c r="FH20" i="18"/>
  <c r="FH12" i="18"/>
  <c r="FH27" i="18"/>
  <c r="FH23" i="18"/>
  <c r="FH19" i="18"/>
  <c r="FH15" i="18"/>
  <c r="FH11" i="18"/>
  <c r="FH7" i="18"/>
  <c r="FH3" i="18"/>
  <c r="FH18" i="18"/>
  <c r="FH14" i="18"/>
  <c r="FH6" i="18"/>
  <c r="FH2" i="18"/>
  <c r="FH38" i="18"/>
  <c r="J2" i="29"/>
  <c r="J38" i="29"/>
  <c r="J3" i="29"/>
  <c r="J4" i="29"/>
  <c r="J5" i="29"/>
  <c r="J6" i="29"/>
  <c r="J13" i="29"/>
  <c r="J14" i="29"/>
  <c r="J15" i="29"/>
  <c r="J16" i="29"/>
  <c r="J17" i="29"/>
  <c r="J18" i="29"/>
  <c r="J19" i="29"/>
  <c r="J20" i="29"/>
  <c r="J21" i="29"/>
  <c r="J22" i="29"/>
  <c r="J23" i="29"/>
  <c r="J24" i="29"/>
  <c r="J25" i="29"/>
  <c r="J26" i="29"/>
  <c r="J27" i="29"/>
  <c r="J28" i="29"/>
  <c r="J29" i="29"/>
  <c r="J30" i="29"/>
  <c r="J7" i="29"/>
  <c r="J9" i="29"/>
  <c r="J11" i="29"/>
  <c r="J12" i="29"/>
  <c r="J10" i="29"/>
  <c r="J8" i="29"/>
  <c r="AJ6" i="30"/>
  <c r="AJ47" i="30"/>
  <c r="AJ10" i="30"/>
  <c r="AJ46" i="30"/>
  <c r="AJ45" i="30"/>
  <c r="AJ14" i="30"/>
  <c r="AJ34" i="30"/>
  <c r="AJ19" i="30"/>
  <c r="AJ42" i="30"/>
  <c r="AJ2" i="30"/>
  <c r="AJ38" i="30"/>
  <c r="AJ28" i="30"/>
  <c r="AJ43" i="30"/>
  <c r="AJ30" i="30"/>
  <c r="AJ35" i="30"/>
  <c r="AJ11" i="30"/>
  <c r="AJ39" i="30"/>
  <c r="AJ15" i="30"/>
  <c r="AJ44" i="30"/>
  <c r="AJ26" i="30"/>
  <c r="AJ36" i="30"/>
  <c r="AJ13" i="30"/>
  <c r="AJ33" i="30"/>
  <c r="AJ22" i="30"/>
  <c r="AJ37" i="30"/>
  <c r="AJ3" i="30"/>
  <c r="AJ32" i="30"/>
  <c r="AJ4" i="30"/>
  <c r="AJ40" i="30"/>
  <c r="AJ8" i="30"/>
  <c r="AJ41" i="30"/>
  <c r="Y2" i="29"/>
  <c r="Y38" i="29"/>
  <c r="Y4" i="29"/>
  <c r="Y7" i="29"/>
  <c r="Y9" i="29"/>
  <c r="Y11" i="29"/>
  <c r="Y3" i="29"/>
  <c r="Y5" i="29"/>
  <c r="Y6" i="29"/>
  <c r="Y8" i="29"/>
  <c r="Y10" i="29"/>
  <c r="Y12" i="29"/>
  <c r="Y13" i="29"/>
  <c r="Y14" i="29"/>
  <c r="Y15" i="29"/>
  <c r="Y16" i="29"/>
  <c r="Y17" i="29"/>
  <c r="Y18" i="29"/>
  <c r="Y19" i="29"/>
  <c r="Y20" i="29"/>
  <c r="Y21" i="29"/>
  <c r="Y22" i="29"/>
  <c r="Y23" i="29"/>
  <c r="Y24" i="29"/>
  <c r="Y25" i="29"/>
  <c r="Y26" i="29"/>
  <c r="Y27" i="29"/>
  <c r="Y28" i="29"/>
  <c r="Y29" i="29"/>
  <c r="Y30" i="29"/>
  <c r="AY4" i="30"/>
  <c r="AY40" i="30"/>
  <c r="AY8" i="30"/>
  <c r="AY41" i="30"/>
  <c r="AY26" i="30"/>
  <c r="AY36" i="30"/>
  <c r="AY13" i="30"/>
  <c r="AY33" i="30"/>
  <c r="AY28" i="30"/>
  <c r="AY43" i="30"/>
  <c r="AY30" i="30"/>
  <c r="AY35" i="30"/>
  <c r="AY3" i="30"/>
  <c r="AY32" i="30"/>
  <c r="AY11" i="30"/>
  <c r="AY39" i="30"/>
  <c r="AY15" i="30"/>
  <c r="AY44" i="30"/>
  <c r="AY22" i="30"/>
  <c r="AY37" i="30"/>
  <c r="AY6" i="30"/>
  <c r="AY47" i="30"/>
  <c r="AY10" i="30"/>
  <c r="AY46" i="30"/>
  <c r="AY14" i="30"/>
  <c r="AY34" i="30"/>
  <c r="AY19" i="30"/>
  <c r="AY42" i="30"/>
  <c r="AY2" i="30"/>
  <c r="AY38" i="30"/>
  <c r="D67" i="20"/>
  <c r="D53" i="20"/>
  <c r="H5" i="20"/>
  <c r="H15" i="20"/>
  <c r="D44" i="20"/>
  <c r="AR56" i="37"/>
  <c r="AR70" i="37"/>
  <c r="AR54" i="37"/>
  <c r="AR68" i="37"/>
  <c r="AO59" i="37"/>
  <c r="AO73" i="37"/>
  <c r="AM2" i="29"/>
  <c r="AM38" i="29"/>
  <c r="BM2" i="29"/>
  <c r="BM38" i="29"/>
  <c r="AM3" i="29"/>
  <c r="BM3" i="29"/>
  <c r="BM32" i="29"/>
  <c r="AM4" i="29"/>
  <c r="BM4" i="29"/>
  <c r="BM40" i="29"/>
  <c r="AM5" i="29"/>
  <c r="BM5" i="29"/>
  <c r="AM6" i="29"/>
  <c r="BM6" i="29"/>
  <c r="BL47" i="29"/>
  <c r="AM7" i="29"/>
  <c r="BM7" i="29"/>
  <c r="AM8" i="29"/>
  <c r="BM8" i="29"/>
  <c r="BM41" i="29"/>
  <c r="AM9" i="29"/>
  <c r="BM9" i="29"/>
  <c r="AM10" i="29"/>
  <c r="BM10" i="29"/>
  <c r="BL46" i="29"/>
  <c r="BL45" i="29"/>
  <c r="AM11" i="29"/>
  <c r="BM11" i="29"/>
  <c r="BM39" i="29"/>
  <c r="AM12" i="29"/>
  <c r="BM13" i="29"/>
  <c r="BM33" i="29"/>
  <c r="AM14" i="29"/>
  <c r="BM15" i="29"/>
  <c r="BM44" i="29"/>
  <c r="AM16" i="29"/>
  <c r="BM17" i="29"/>
  <c r="AM18" i="29"/>
  <c r="BM19" i="29"/>
  <c r="BM42" i="29"/>
  <c r="AM20" i="29"/>
  <c r="BM21" i="29"/>
  <c r="AM22" i="29"/>
  <c r="BM23" i="29"/>
  <c r="BM49" i="29"/>
  <c r="AM24" i="29"/>
  <c r="BM25" i="29"/>
  <c r="AM26" i="29"/>
  <c r="BM27" i="29"/>
  <c r="AM28" i="29"/>
  <c r="BM29" i="29"/>
  <c r="AM30" i="29"/>
  <c r="BM12" i="29"/>
  <c r="AM13" i="29"/>
  <c r="BM14" i="29"/>
  <c r="BM34" i="29"/>
  <c r="AM15" i="29"/>
  <c r="BM16" i="29"/>
  <c r="AM17" i="29"/>
  <c r="BM18" i="29"/>
  <c r="AM19" i="29"/>
  <c r="BM20" i="29"/>
  <c r="AM21" i="29"/>
  <c r="BM22" i="29"/>
  <c r="BM37" i="29"/>
  <c r="AM23" i="29"/>
  <c r="BM24" i="29"/>
  <c r="AM25" i="29"/>
  <c r="BM26" i="29"/>
  <c r="BM36" i="29"/>
  <c r="AM27" i="29"/>
  <c r="BM28" i="29"/>
  <c r="BM43" i="29"/>
  <c r="AM29" i="29"/>
  <c r="BM30" i="29"/>
  <c r="BM35" i="29"/>
  <c r="CM3" i="30"/>
  <c r="CM32" i="30"/>
  <c r="CM4" i="30"/>
  <c r="CM40" i="30"/>
  <c r="CM5" i="30"/>
  <c r="CM8" i="30"/>
  <c r="CM41" i="30"/>
  <c r="CM15" i="30"/>
  <c r="CM44" i="30"/>
  <c r="CM17" i="30"/>
  <c r="CM28" i="30"/>
  <c r="CM43" i="30"/>
  <c r="CM29" i="30"/>
  <c r="CM20" i="30"/>
  <c r="CM21" i="30"/>
  <c r="CM22" i="30"/>
  <c r="CM37" i="30"/>
  <c r="CM23" i="30"/>
  <c r="CM49" i="30"/>
  <c r="CM26" i="30"/>
  <c r="CM36" i="30"/>
  <c r="CM27" i="30"/>
  <c r="CM6" i="30"/>
  <c r="CM47" i="30"/>
  <c r="CM7" i="30"/>
  <c r="CM9" i="30"/>
  <c r="CM10" i="30"/>
  <c r="CM46" i="30"/>
  <c r="CM11" i="30"/>
  <c r="CM39" i="30"/>
  <c r="CM12" i="30"/>
  <c r="CM13" i="30"/>
  <c r="CM33" i="30"/>
  <c r="CM14" i="30"/>
  <c r="CM34" i="30"/>
  <c r="CM16" i="30"/>
  <c r="CM58" i="30"/>
  <c r="CM18" i="30"/>
  <c r="CM19" i="30"/>
  <c r="CM42" i="30"/>
  <c r="CM24" i="30"/>
  <c r="CM25" i="30"/>
  <c r="CM30" i="30"/>
  <c r="CM35" i="30"/>
  <c r="N2" i="29"/>
  <c r="N38" i="29"/>
  <c r="N3" i="29"/>
  <c r="N4" i="29"/>
  <c r="N5" i="29"/>
  <c r="N7" i="29"/>
  <c r="N9" i="29"/>
  <c r="N11" i="29"/>
  <c r="N13" i="29"/>
  <c r="N14" i="29"/>
  <c r="N15" i="29"/>
  <c r="N16" i="29"/>
  <c r="N17" i="29"/>
  <c r="N18" i="29"/>
  <c r="N19" i="29"/>
  <c r="N20" i="29"/>
  <c r="N21" i="29"/>
  <c r="N22" i="29"/>
  <c r="N23" i="29"/>
  <c r="N24" i="29"/>
  <c r="N25" i="29"/>
  <c r="N26" i="29"/>
  <c r="N27" i="29"/>
  <c r="N28" i="29"/>
  <c r="N29" i="29"/>
  <c r="N30" i="29"/>
  <c r="N6" i="29"/>
  <c r="N8" i="29"/>
  <c r="N10" i="29"/>
  <c r="N12" i="29"/>
  <c r="AN6" i="30"/>
  <c r="AN47" i="30"/>
  <c r="AN10" i="30"/>
  <c r="AN46" i="30"/>
  <c r="AN14" i="30"/>
  <c r="AN34" i="30"/>
  <c r="AN19" i="30"/>
  <c r="AN42" i="30"/>
  <c r="AN2" i="30"/>
  <c r="AN38" i="30"/>
  <c r="AN13" i="30"/>
  <c r="AN33" i="30"/>
  <c r="AN22" i="30"/>
  <c r="AN37" i="30"/>
  <c r="AN28" i="30"/>
  <c r="AN43" i="30"/>
  <c r="AN30" i="30"/>
  <c r="AN35" i="30"/>
  <c r="AN4" i="30"/>
  <c r="AN40" i="30"/>
  <c r="AN8" i="30"/>
  <c r="AN41" i="30"/>
  <c r="AN3" i="30"/>
  <c r="AN32" i="30"/>
  <c r="AN11" i="30"/>
  <c r="AN39" i="30"/>
  <c r="AN15" i="30"/>
  <c r="AN44" i="30"/>
  <c r="AN26" i="30"/>
  <c r="AN36" i="30"/>
  <c r="W2" i="29"/>
  <c r="W38" i="29"/>
  <c r="W3" i="29"/>
  <c r="W4" i="29"/>
  <c r="W5" i="29"/>
  <c r="W6" i="29"/>
  <c r="W8" i="29"/>
  <c r="W10" i="29"/>
  <c r="W12" i="29"/>
  <c r="W13" i="29"/>
  <c r="W14" i="29"/>
  <c r="W15" i="29"/>
  <c r="W16" i="29"/>
  <c r="W17" i="29"/>
  <c r="W18" i="29"/>
  <c r="W19" i="29"/>
  <c r="W20" i="29"/>
  <c r="W21" i="29"/>
  <c r="W22" i="29"/>
  <c r="W23" i="29"/>
  <c r="W24" i="29"/>
  <c r="W25" i="29"/>
  <c r="W26" i="29"/>
  <c r="W27" i="29"/>
  <c r="W28" i="29"/>
  <c r="W29" i="29"/>
  <c r="W30" i="29"/>
  <c r="W7" i="29"/>
  <c r="W9" i="29"/>
  <c r="W11" i="29"/>
  <c r="AW6" i="30"/>
  <c r="AW47" i="30"/>
  <c r="AW10" i="30"/>
  <c r="AW46" i="30"/>
  <c r="AW14" i="30"/>
  <c r="AW34" i="30"/>
  <c r="AW19" i="30"/>
  <c r="AW42" i="30"/>
  <c r="AW2" i="30"/>
  <c r="AW38" i="30"/>
  <c r="AW11" i="30"/>
  <c r="AW39" i="30"/>
  <c r="AW15" i="30"/>
  <c r="AW44" i="30"/>
  <c r="AW26" i="30"/>
  <c r="AW36" i="30"/>
  <c r="AW13" i="30"/>
  <c r="AW33" i="30"/>
  <c r="AW22" i="30"/>
  <c r="AW37" i="30"/>
  <c r="AW28" i="30"/>
  <c r="AW43" i="30"/>
  <c r="AW30" i="30"/>
  <c r="AW35" i="30"/>
  <c r="AW3" i="30"/>
  <c r="AW32" i="30"/>
  <c r="AW4" i="30"/>
  <c r="AW40" i="30"/>
  <c r="AW8" i="30"/>
  <c r="AW41" i="30"/>
  <c r="H20" i="20"/>
  <c r="D56" i="20"/>
  <c r="D70" i="20"/>
  <c r="H19" i="20"/>
  <c r="D42" i="20"/>
  <c r="AR59" i="37"/>
  <c r="AR73" i="37"/>
  <c r="AO53" i="37"/>
  <c r="AO67" i="37"/>
  <c r="AR72" i="37"/>
  <c r="AR58" i="37"/>
  <c r="AO65" i="37"/>
  <c r="AO51" i="37"/>
  <c r="AR53" i="37"/>
  <c r="AR67" i="37"/>
  <c r="U44" i="37"/>
  <c r="AG2" i="29"/>
  <c r="AG38" i="29"/>
  <c r="AG3" i="29"/>
  <c r="AG4" i="29"/>
  <c r="AG5" i="29"/>
  <c r="AG7" i="29"/>
  <c r="AG9" i="29"/>
  <c r="AG11" i="29"/>
  <c r="AG13" i="29"/>
  <c r="AG14" i="29"/>
  <c r="AG15" i="29"/>
  <c r="AG16" i="29"/>
  <c r="AG17" i="29"/>
  <c r="AG18" i="29"/>
  <c r="AG19" i="29"/>
  <c r="AG20" i="29"/>
  <c r="AG21" i="29"/>
  <c r="AG22" i="29"/>
  <c r="AG23" i="29"/>
  <c r="AG24" i="29"/>
  <c r="AG25" i="29"/>
  <c r="AG26" i="29"/>
  <c r="AG27" i="29"/>
  <c r="AG28" i="29"/>
  <c r="AG29" i="29"/>
  <c r="AG30" i="29"/>
  <c r="AG12" i="29"/>
  <c r="AG10" i="29"/>
  <c r="AG8" i="29"/>
  <c r="AG6" i="29"/>
  <c r="BB38" i="29"/>
  <c r="AN2" i="29"/>
  <c r="AN38" i="29"/>
  <c r="BN2" i="29"/>
  <c r="BN38" i="29"/>
  <c r="AN3" i="29"/>
  <c r="BN3" i="29"/>
  <c r="BN32" i="29"/>
  <c r="AN4" i="29"/>
  <c r="BN4" i="29"/>
  <c r="BN40" i="29"/>
  <c r="AN5" i="29"/>
  <c r="BN5" i="29"/>
  <c r="AN6" i="29"/>
  <c r="BN7" i="29"/>
  <c r="AN8" i="29"/>
  <c r="BN9" i="29"/>
  <c r="AN10" i="29"/>
  <c r="BN11" i="29"/>
  <c r="BN39" i="29"/>
  <c r="AN12" i="29"/>
  <c r="BN12" i="29"/>
  <c r="AN13" i="29"/>
  <c r="BN13" i="29"/>
  <c r="BN33" i="29"/>
  <c r="AN14" i="29"/>
  <c r="BN14" i="29"/>
  <c r="BN34" i="29"/>
  <c r="AN15" i="29"/>
  <c r="BN15" i="29"/>
  <c r="BN44" i="29"/>
  <c r="AN16" i="29"/>
  <c r="BN16" i="29"/>
  <c r="AN17" i="29"/>
  <c r="BN17" i="29"/>
  <c r="AN18" i="29"/>
  <c r="BN18" i="29"/>
  <c r="AN19" i="29"/>
  <c r="BN19" i="29"/>
  <c r="BN42" i="29"/>
  <c r="AN20" i="29"/>
  <c r="BN20" i="29"/>
  <c r="AN21" i="29"/>
  <c r="BN21" i="29"/>
  <c r="AN22" i="29"/>
  <c r="BN22" i="29"/>
  <c r="BN37" i="29"/>
  <c r="AN23" i="29"/>
  <c r="BN23" i="29"/>
  <c r="BN49" i="29"/>
  <c r="AN24" i="29"/>
  <c r="BN24" i="29"/>
  <c r="AN25" i="29"/>
  <c r="BN25" i="29"/>
  <c r="AN26" i="29"/>
  <c r="BN26" i="29"/>
  <c r="BN36" i="29"/>
  <c r="AN27" i="29"/>
  <c r="BN27" i="29"/>
  <c r="AN28" i="29"/>
  <c r="BN28" i="29"/>
  <c r="BN43" i="29"/>
  <c r="AN29" i="29"/>
  <c r="BN29" i="29"/>
  <c r="AN30" i="29"/>
  <c r="BN30" i="29"/>
  <c r="BN35" i="29"/>
  <c r="BN6" i="29"/>
  <c r="BM47" i="29"/>
  <c r="AN7" i="29"/>
  <c r="BN8" i="29"/>
  <c r="BN41" i="29"/>
  <c r="AN9" i="29"/>
  <c r="BN10" i="29"/>
  <c r="BM46" i="29"/>
  <c r="AN11" i="29"/>
  <c r="CN3" i="30"/>
  <c r="CN32" i="30"/>
  <c r="CN4" i="30"/>
  <c r="CN40" i="30"/>
  <c r="CN5" i="30"/>
  <c r="CN6" i="30"/>
  <c r="CN47" i="30"/>
  <c r="CN7" i="30"/>
  <c r="CN8" i="30"/>
  <c r="CN41" i="30"/>
  <c r="CN9" i="30"/>
  <c r="CN10" i="30"/>
  <c r="CN46" i="30"/>
  <c r="CN11" i="30"/>
  <c r="CN39" i="30"/>
  <c r="CN12" i="30"/>
  <c r="CN13" i="30"/>
  <c r="CN33" i="30"/>
  <c r="CN14" i="30"/>
  <c r="CN34" i="30"/>
  <c r="CN15" i="30"/>
  <c r="CN44" i="30"/>
  <c r="CN16" i="30"/>
  <c r="CN17" i="30"/>
  <c r="CN18" i="30"/>
  <c r="CN19" i="30"/>
  <c r="CN42" i="30"/>
  <c r="CN20" i="30"/>
  <c r="CN21" i="30"/>
  <c r="CN22" i="30"/>
  <c r="CN37" i="30"/>
  <c r="CN23" i="30"/>
  <c r="CN49" i="30"/>
  <c r="CN24" i="30"/>
  <c r="CN25" i="30"/>
  <c r="CN26" i="30"/>
  <c r="CN36" i="30"/>
  <c r="CN27" i="30"/>
  <c r="CN28" i="30"/>
  <c r="CN43" i="30"/>
  <c r="CN29" i="30"/>
  <c r="CN30" i="30"/>
  <c r="CN35" i="30"/>
  <c r="AR2" i="29"/>
  <c r="AR38" i="29"/>
  <c r="BR2" i="29"/>
  <c r="BR38" i="29"/>
  <c r="AR3" i="29"/>
  <c r="BR3" i="29"/>
  <c r="BR32" i="29"/>
  <c r="AR4" i="29"/>
  <c r="BR4" i="29"/>
  <c r="BR40" i="29"/>
  <c r="AR5" i="29"/>
  <c r="BR5" i="29"/>
  <c r="BR12" i="29"/>
  <c r="AR13" i="29"/>
  <c r="BR13" i="29"/>
  <c r="BR33" i="29"/>
  <c r="AR14" i="29"/>
  <c r="BR14" i="29"/>
  <c r="BR34" i="29"/>
  <c r="AR15" i="29"/>
  <c r="BR15" i="29"/>
  <c r="BR44" i="29"/>
  <c r="AR16" i="29"/>
  <c r="BR16" i="29"/>
  <c r="AR17" i="29"/>
  <c r="BR17" i="29"/>
  <c r="AR18" i="29"/>
  <c r="BR18" i="29"/>
  <c r="AR19" i="29"/>
  <c r="BR19" i="29"/>
  <c r="BR42" i="29"/>
  <c r="AR20" i="29"/>
  <c r="BR20" i="29"/>
  <c r="AR21" i="29"/>
  <c r="BR21" i="29"/>
  <c r="AR22" i="29"/>
  <c r="BR22" i="29"/>
  <c r="BR37" i="29"/>
  <c r="AR23" i="29"/>
  <c r="BR23" i="29"/>
  <c r="BR49" i="29"/>
  <c r="AR24" i="29"/>
  <c r="BR24" i="29"/>
  <c r="AR25" i="29"/>
  <c r="BR25" i="29"/>
  <c r="AR26" i="29"/>
  <c r="BR26" i="29"/>
  <c r="BR36" i="29"/>
  <c r="AR27" i="29"/>
  <c r="BR27" i="29"/>
  <c r="AR28" i="29"/>
  <c r="BR28" i="29"/>
  <c r="BR43" i="29"/>
  <c r="AR29" i="29"/>
  <c r="BR29" i="29"/>
  <c r="AR30" i="29"/>
  <c r="BR30" i="29"/>
  <c r="BR35" i="29"/>
  <c r="BR6" i="29"/>
  <c r="BQ47" i="29"/>
  <c r="AR7" i="29"/>
  <c r="BR8" i="29"/>
  <c r="BR41" i="29"/>
  <c r="AR9" i="29"/>
  <c r="BR10" i="29"/>
  <c r="BQ46" i="29"/>
  <c r="AR11" i="29"/>
  <c r="AR8" i="29"/>
  <c r="AR6" i="29"/>
  <c r="BR11" i="29"/>
  <c r="BR39" i="29"/>
  <c r="BR9" i="29"/>
  <c r="AR12" i="29"/>
  <c r="BR7" i="29"/>
  <c r="AR10" i="29"/>
  <c r="CR3" i="30"/>
  <c r="CR32" i="30"/>
  <c r="CR4" i="30"/>
  <c r="CR40" i="30"/>
  <c r="CR5" i="30"/>
  <c r="CR67" i="30"/>
  <c r="CR6" i="30"/>
  <c r="CR47" i="30"/>
  <c r="CR7" i="30"/>
  <c r="CR8" i="30"/>
  <c r="CR41" i="30"/>
  <c r="CR9" i="30"/>
  <c r="CR10" i="30"/>
  <c r="CR46" i="30"/>
  <c r="CR11" i="30"/>
  <c r="CR39" i="30"/>
  <c r="CR12" i="30"/>
  <c r="CR13" i="30"/>
  <c r="CR33" i="30"/>
  <c r="CR14" i="30"/>
  <c r="CR34" i="30"/>
  <c r="CR15" i="30"/>
  <c r="CR44" i="30"/>
  <c r="CR16" i="30"/>
  <c r="CR17" i="30"/>
  <c r="CR52" i="30"/>
  <c r="CR18" i="30"/>
  <c r="CR19" i="30"/>
  <c r="CR42" i="30"/>
  <c r="CR20" i="30"/>
  <c r="CR21" i="30"/>
  <c r="CR22" i="30"/>
  <c r="CR37" i="30"/>
  <c r="CR23" i="30"/>
  <c r="CR49" i="30"/>
  <c r="CR24" i="30"/>
  <c r="CR25" i="30"/>
  <c r="CR26" i="30"/>
  <c r="CR36" i="30"/>
  <c r="CR27" i="30"/>
  <c r="CR28" i="30"/>
  <c r="CR43" i="30"/>
  <c r="CR29" i="30"/>
  <c r="CR57" i="30"/>
  <c r="CR30" i="30"/>
  <c r="CR35" i="30"/>
  <c r="AW2" i="29"/>
  <c r="AW38" i="29"/>
  <c r="BW2" i="29"/>
  <c r="BW38" i="29"/>
  <c r="AW3" i="29"/>
  <c r="BW3" i="29"/>
  <c r="BW32" i="29"/>
  <c r="AW4" i="29"/>
  <c r="BW4" i="29"/>
  <c r="BW40" i="29"/>
  <c r="AW5" i="29"/>
  <c r="BW5" i="29"/>
  <c r="BV47" i="29"/>
  <c r="AW7" i="29"/>
  <c r="BW8" i="29"/>
  <c r="BW41" i="29"/>
  <c r="AW9" i="29"/>
  <c r="BV46" i="29"/>
  <c r="AW11" i="29"/>
  <c r="BW12" i="29"/>
  <c r="AW13" i="29"/>
  <c r="BW13" i="29"/>
  <c r="BW33" i="29"/>
  <c r="AW14" i="29"/>
  <c r="BW14" i="29"/>
  <c r="BW34" i="29"/>
  <c r="AW15" i="29"/>
  <c r="BW15" i="29"/>
  <c r="BW44" i="29"/>
  <c r="AW16" i="29"/>
  <c r="BW16" i="29"/>
  <c r="AW17" i="29"/>
  <c r="BW17" i="29"/>
  <c r="AW18" i="29"/>
  <c r="BW18" i="29"/>
  <c r="AW19" i="29"/>
  <c r="BW19" i="29"/>
  <c r="BW42" i="29"/>
  <c r="AW20" i="29"/>
  <c r="BW20" i="29"/>
  <c r="AW21" i="29"/>
  <c r="BW21" i="29"/>
  <c r="AW22" i="29"/>
  <c r="BW22" i="29"/>
  <c r="BW37" i="29"/>
  <c r="AW23" i="29"/>
  <c r="BW23" i="29"/>
  <c r="BW49" i="29"/>
  <c r="AW24" i="29"/>
  <c r="BW24" i="29"/>
  <c r="AW25" i="29"/>
  <c r="BW25" i="29"/>
  <c r="AW26" i="29"/>
  <c r="BW26" i="29"/>
  <c r="BW36" i="29"/>
  <c r="AW27" i="29"/>
  <c r="BW27" i="29"/>
  <c r="AW28" i="29"/>
  <c r="BW28" i="29"/>
  <c r="BW43" i="29"/>
  <c r="AW29" i="29"/>
  <c r="BW29" i="29"/>
  <c r="AW30" i="29"/>
  <c r="BW30" i="29"/>
  <c r="BW35" i="29"/>
  <c r="AW6" i="29"/>
  <c r="BW7" i="29"/>
  <c r="AW8" i="29"/>
  <c r="BW9" i="29"/>
  <c r="AW10" i="29"/>
  <c r="BW11" i="29"/>
  <c r="BW39" i="29"/>
  <c r="AW12" i="29"/>
  <c r="CW3" i="30"/>
  <c r="CW32" i="30"/>
  <c r="CW4" i="30"/>
  <c r="CW40" i="30"/>
  <c r="CW5" i="30"/>
  <c r="CW6" i="30"/>
  <c r="CW47" i="30"/>
  <c r="CW7" i="30"/>
  <c r="CW8" i="30"/>
  <c r="CW41" i="30"/>
  <c r="CW9" i="30"/>
  <c r="CW10" i="30"/>
  <c r="CW46" i="30"/>
  <c r="CW11" i="30"/>
  <c r="CW39" i="30"/>
  <c r="CW12" i="30"/>
  <c r="CW13" i="30"/>
  <c r="CW33" i="30"/>
  <c r="CW14" i="30"/>
  <c r="CW34" i="30"/>
  <c r="CW15" i="30"/>
  <c r="CW44" i="30"/>
  <c r="CW16" i="30"/>
  <c r="CW17" i="30"/>
  <c r="CW18" i="30"/>
  <c r="CW19" i="30"/>
  <c r="CW42" i="30"/>
  <c r="CW20" i="30"/>
  <c r="CW56" i="30"/>
  <c r="CW21" i="30"/>
  <c r="CW22" i="30"/>
  <c r="CW37" i="30"/>
  <c r="CW23" i="30"/>
  <c r="CW49" i="30"/>
  <c r="CW24" i="30"/>
  <c r="CW25" i="30"/>
  <c r="CW26" i="30"/>
  <c r="CW36" i="30"/>
  <c r="CW27" i="30"/>
  <c r="CW28" i="30"/>
  <c r="CW43" i="30"/>
  <c r="CW29" i="30"/>
  <c r="CW30" i="30"/>
  <c r="CW35" i="30"/>
  <c r="AZ2" i="29"/>
  <c r="AZ38" i="29"/>
  <c r="BZ2" i="29"/>
  <c r="BZ38" i="29"/>
  <c r="AZ3" i="29"/>
  <c r="BZ3" i="29"/>
  <c r="BZ32" i="29"/>
  <c r="AZ4" i="29"/>
  <c r="BZ4" i="29"/>
  <c r="BZ40" i="29"/>
  <c r="AZ5" i="29"/>
  <c r="BZ5" i="29"/>
  <c r="AZ6" i="29"/>
  <c r="BZ6" i="29"/>
  <c r="BY47" i="29"/>
  <c r="AZ7" i="29"/>
  <c r="BZ7" i="29"/>
  <c r="AZ8" i="29"/>
  <c r="BZ8" i="29"/>
  <c r="BZ41" i="29"/>
  <c r="AZ9" i="29"/>
  <c r="BZ9" i="29"/>
  <c r="AZ10" i="29"/>
  <c r="BZ10" i="29"/>
  <c r="BY46" i="29"/>
  <c r="AZ11" i="29"/>
  <c r="BZ11" i="29"/>
  <c r="BZ39" i="29"/>
  <c r="AZ12" i="29"/>
  <c r="BZ12" i="29"/>
  <c r="AZ13" i="29"/>
  <c r="BZ14" i="29"/>
  <c r="BZ34" i="29"/>
  <c r="AZ15" i="29"/>
  <c r="BZ16" i="29"/>
  <c r="AZ17" i="29"/>
  <c r="BZ18" i="29"/>
  <c r="AZ19" i="29"/>
  <c r="BZ20" i="29"/>
  <c r="AZ21" i="29"/>
  <c r="BZ22" i="29"/>
  <c r="BZ37" i="29"/>
  <c r="AZ23" i="29"/>
  <c r="BZ24" i="29"/>
  <c r="AZ25" i="29"/>
  <c r="BZ26" i="29"/>
  <c r="BZ36" i="29"/>
  <c r="AZ27" i="29"/>
  <c r="BZ28" i="29"/>
  <c r="BZ43" i="29"/>
  <c r="AZ29" i="29"/>
  <c r="BZ30" i="29"/>
  <c r="BZ35" i="29"/>
  <c r="AZ16" i="29"/>
  <c r="AZ18" i="29"/>
  <c r="BZ19" i="29"/>
  <c r="BZ42" i="29"/>
  <c r="BZ25" i="29"/>
  <c r="AZ26" i="29"/>
  <c r="BZ27" i="29"/>
  <c r="BZ13" i="29"/>
  <c r="BZ33" i="29"/>
  <c r="AZ14" i="29"/>
  <c r="BZ15" i="29"/>
  <c r="BZ44" i="29"/>
  <c r="BZ17" i="29"/>
  <c r="AZ20" i="29"/>
  <c r="BZ21" i="29"/>
  <c r="AZ22" i="29"/>
  <c r="BZ23" i="29"/>
  <c r="BZ49" i="29"/>
  <c r="AZ24" i="29"/>
  <c r="AZ28" i="29"/>
  <c r="BZ29" i="29"/>
  <c r="AZ30" i="29"/>
  <c r="CZ4" i="30"/>
  <c r="CZ40" i="30"/>
  <c r="CZ6" i="30"/>
  <c r="CZ47" i="30"/>
  <c r="CZ7" i="30"/>
  <c r="CZ8" i="30"/>
  <c r="CZ41" i="30"/>
  <c r="CZ9" i="30"/>
  <c r="CZ68" i="30"/>
  <c r="CZ15" i="30"/>
  <c r="CZ44" i="30"/>
  <c r="CZ16" i="30"/>
  <c r="CZ17" i="30"/>
  <c r="CZ18" i="30"/>
  <c r="CZ19" i="30"/>
  <c r="CZ42" i="30"/>
  <c r="CZ28" i="30"/>
  <c r="CZ43" i="30"/>
  <c r="CZ29" i="30"/>
  <c r="CZ20" i="30"/>
  <c r="CZ21" i="30"/>
  <c r="CZ22" i="30"/>
  <c r="CZ37" i="30"/>
  <c r="CZ26" i="30"/>
  <c r="CZ36" i="30"/>
  <c r="CZ27" i="30"/>
  <c r="CZ62" i="30"/>
  <c r="CZ3" i="30"/>
  <c r="CZ32" i="30"/>
  <c r="CZ5" i="30"/>
  <c r="CZ10" i="30"/>
  <c r="CZ46" i="30"/>
  <c r="CZ11" i="30"/>
  <c r="CZ39" i="30"/>
  <c r="CZ12" i="30"/>
  <c r="CZ13" i="30"/>
  <c r="CZ33" i="30"/>
  <c r="CZ14" i="30"/>
  <c r="CZ34" i="30"/>
  <c r="CZ23" i="30"/>
  <c r="CZ49" i="30"/>
  <c r="CZ24" i="30"/>
  <c r="CZ25" i="30"/>
  <c r="CZ30" i="30"/>
  <c r="CZ35" i="30"/>
  <c r="J34" i="18"/>
  <c r="J35" i="18"/>
  <c r="O49" i="18"/>
  <c r="O34" i="18"/>
  <c r="BI47" i="37"/>
  <c r="BM47" i="37"/>
  <c r="BI46" i="37"/>
  <c r="BI34" i="37"/>
  <c r="BM34" i="37"/>
  <c r="BI37" i="37"/>
  <c r="BM37" i="37"/>
  <c r="BI36" i="37"/>
  <c r="BM36" i="37"/>
  <c r="BI35" i="37"/>
  <c r="BM35" i="37"/>
  <c r="BH4" i="37"/>
  <c r="BH40" i="37"/>
  <c r="BL40" i="37"/>
  <c r="BH8" i="37"/>
  <c r="BH41" i="37"/>
  <c r="BL41" i="37"/>
  <c r="BH12" i="37"/>
  <c r="BH16" i="37"/>
  <c r="BH20" i="37"/>
  <c r="BH24" i="37"/>
  <c r="BH28" i="37"/>
  <c r="BH43" i="37"/>
  <c r="BL43" i="37"/>
  <c r="BO35" i="37"/>
  <c r="BO37" i="37"/>
  <c r="BO47" i="37"/>
  <c r="BQ6" i="37"/>
  <c r="BQ47" i="37"/>
  <c r="BS47" i="37"/>
  <c r="BQ10" i="37"/>
  <c r="BQ46" i="37"/>
  <c r="BQ14" i="37"/>
  <c r="BQ34" i="37"/>
  <c r="BS34" i="37"/>
  <c r="BQ18" i="37"/>
  <c r="BQ22" i="37"/>
  <c r="BQ37" i="37"/>
  <c r="BS37" i="37"/>
  <c r="BQ26" i="37"/>
  <c r="BQ36" i="37"/>
  <c r="BS36" i="37"/>
  <c r="BQ30" i="37"/>
  <c r="BQ35" i="37"/>
  <c r="BS35" i="37"/>
  <c r="BR6" i="37"/>
  <c r="BR47" i="37"/>
  <c r="BT47" i="37"/>
  <c r="BR10" i="37"/>
  <c r="BR46" i="37"/>
  <c r="BR14" i="37"/>
  <c r="BR34" i="37"/>
  <c r="BT34" i="37"/>
  <c r="BR18" i="37"/>
  <c r="BR22" i="37"/>
  <c r="BR37" i="37"/>
  <c r="BT37" i="37"/>
  <c r="BR26" i="37"/>
  <c r="BR36" i="37"/>
  <c r="BT36" i="37"/>
  <c r="BR30" i="37"/>
  <c r="BR35" i="37"/>
  <c r="BT35" i="37"/>
  <c r="AE3" i="37"/>
  <c r="AE32" i="37"/>
  <c r="AI3" i="37"/>
  <c r="AI32" i="37"/>
  <c r="AH4" i="37"/>
  <c r="AH40" i="37"/>
  <c r="AM40" i="37"/>
  <c r="AG5" i="37"/>
  <c r="AF6" i="37"/>
  <c r="AE7" i="37"/>
  <c r="AI7" i="37"/>
  <c r="AH8" i="37"/>
  <c r="AH41" i="37"/>
  <c r="AM41" i="37"/>
  <c r="AG9" i="37"/>
  <c r="AF10" i="37"/>
  <c r="AF46" i="37"/>
  <c r="AE11" i="37"/>
  <c r="AE39" i="37"/>
  <c r="AJ39" i="37"/>
  <c r="AI11" i="37"/>
  <c r="AI39" i="37"/>
  <c r="AN39" i="37"/>
  <c r="AH12" i="37"/>
  <c r="AG13" i="37"/>
  <c r="AG33" i="37"/>
  <c r="AL33" i="37"/>
  <c r="AF14" i="37"/>
  <c r="AF34" i="37"/>
  <c r="AK34" i="37"/>
  <c r="AE15" i="37"/>
  <c r="AE44" i="37"/>
  <c r="AJ44" i="37"/>
  <c r="AI15" i="37"/>
  <c r="AI44" i="37"/>
  <c r="AN44" i="37"/>
  <c r="AH16" i="37"/>
  <c r="AG17" i="37"/>
  <c r="AF18" i="37"/>
  <c r="AE19" i="37"/>
  <c r="AE42" i="37"/>
  <c r="AJ42" i="37"/>
  <c r="AI19" i="37"/>
  <c r="AI42" i="37"/>
  <c r="AN42" i="37"/>
  <c r="AH20" i="37"/>
  <c r="AG21" i="37"/>
  <c r="AF22" i="37"/>
  <c r="AF37" i="37"/>
  <c r="AK37" i="37"/>
  <c r="AE23" i="37"/>
  <c r="AE49" i="37"/>
  <c r="AI23" i="37"/>
  <c r="AI49" i="37"/>
  <c r="AH24" i="37"/>
  <c r="AG25" i="37"/>
  <c r="AF26" i="37"/>
  <c r="AF36" i="37"/>
  <c r="AK36" i="37"/>
  <c r="AE27" i="37"/>
  <c r="AI27" i="37"/>
  <c r="AH28" i="37"/>
  <c r="AH43" i="37"/>
  <c r="AM43" i="37"/>
  <c r="AG29" i="37"/>
  <c r="AF30" i="37"/>
  <c r="AF35" i="37"/>
  <c r="AK35" i="37"/>
  <c r="AI2" i="37"/>
  <c r="AI38" i="37"/>
  <c r="AN38" i="37"/>
  <c r="AH2" i="37"/>
  <c r="AH38" i="37"/>
  <c r="AM38" i="37"/>
  <c r="V33" i="37"/>
  <c r="AP30" i="37"/>
  <c r="AP35" i="37"/>
  <c r="AP29" i="37"/>
  <c r="AP28" i="37"/>
  <c r="AP27" i="37"/>
  <c r="AP26" i="37"/>
  <c r="AP25" i="37"/>
  <c r="AP24" i="37"/>
  <c r="AP23" i="37"/>
  <c r="AP49" i="37"/>
  <c r="AP22" i="37"/>
  <c r="AP37" i="37"/>
  <c r="AP21" i="37"/>
  <c r="AP20" i="37"/>
  <c r="AP19" i="37"/>
  <c r="AP42" i="37"/>
  <c r="AP18" i="37"/>
  <c r="AP17" i="37"/>
  <c r="AP16" i="37"/>
  <c r="AP15" i="37"/>
  <c r="AP44" i="37"/>
  <c r="AP14" i="37"/>
  <c r="AP34" i="37"/>
  <c r="AP13" i="37"/>
  <c r="AP33" i="37"/>
  <c r="AP12" i="37"/>
  <c r="AP11" i="37"/>
  <c r="AP39" i="37"/>
  <c r="AP10" i="37"/>
  <c r="AP46" i="37"/>
  <c r="AP9" i="37"/>
  <c r="AP8" i="37"/>
  <c r="AP7" i="37"/>
  <c r="AQ7" i="37"/>
  <c r="AP6" i="37"/>
  <c r="AP47" i="37"/>
  <c r="AP5" i="37"/>
  <c r="AP4" i="37"/>
  <c r="AP3" i="37"/>
  <c r="AP32" i="37"/>
  <c r="AP2" i="37"/>
  <c r="AP38" i="37"/>
  <c r="AB3" i="37"/>
  <c r="AB32" i="37"/>
  <c r="AA4" i="37"/>
  <c r="AA40" i="37"/>
  <c r="Z5" i="37"/>
  <c r="AD5" i="37"/>
  <c r="AC6" i="37"/>
  <c r="AC47" i="37"/>
  <c r="AB7" i="37"/>
  <c r="AA8" i="37"/>
  <c r="AA41" i="37"/>
  <c r="Z9" i="37"/>
  <c r="AD9" i="37"/>
  <c r="AC10" i="37"/>
  <c r="AC46" i="37"/>
  <c r="AB11" i="37"/>
  <c r="AB39" i="37"/>
  <c r="AA12" i="37"/>
  <c r="BI32" i="37"/>
  <c r="BI39" i="37"/>
  <c r="BM39" i="37"/>
  <c r="BI44" i="37"/>
  <c r="BM44" i="37"/>
  <c r="BI42" i="37"/>
  <c r="BM42" i="37"/>
  <c r="BI49" i="37"/>
  <c r="BI38" i="37"/>
  <c r="BM38" i="37"/>
  <c r="BH5" i="37"/>
  <c r="BH9" i="37"/>
  <c r="BH13" i="37"/>
  <c r="BH33" i="37"/>
  <c r="BL33" i="37"/>
  <c r="BH17" i="37"/>
  <c r="BH21" i="37"/>
  <c r="BH25" i="37"/>
  <c r="BH29" i="37"/>
  <c r="BP29" i="37"/>
  <c r="BP27" i="37"/>
  <c r="BP25" i="37"/>
  <c r="BP23" i="37"/>
  <c r="BP49" i="37"/>
  <c r="BP21" i="37"/>
  <c r="BP19" i="37"/>
  <c r="BP17" i="37"/>
  <c r="BP15" i="37"/>
  <c r="BP13" i="37"/>
  <c r="BP11" i="37"/>
  <c r="BP9" i="37"/>
  <c r="BP7" i="37"/>
  <c r="BP5" i="37"/>
  <c r="BP3" i="37"/>
  <c r="BQ3" i="37"/>
  <c r="BQ32" i="37"/>
  <c r="BQ7" i="37"/>
  <c r="BQ11" i="37"/>
  <c r="BQ39" i="37"/>
  <c r="BS39" i="37"/>
  <c r="BQ15" i="37"/>
  <c r="BQ44" i="37"/>
  <c r="BS44" i="37"/>
  <c r="BQ19" i="37"/>
  <c r="BQ42" i="37"/>
  <c r="BS42" i="37"/>
  <c r="BQ23" i="37"/>
  <c r="BQ49" i="37"/>
  <c r="BQ27" i="37"/>
  <c r="BR3" i="37"/>
  <c r="BR32" i="37"/>
  <c r="BR7" i="37"/>
  <c r="BR11" i="37"/>
  <c r="BR39" i="37"/>
  <c r="BT39" i="37"/>
  <c r="BR15" i="37"/>
  <c r="BR44" i="37"/>
  <c r="BT44" i="37"/>
  <c r="BR19" i="37"/>
  <c r="BR42" i="37"/>
  <c r="BT42" i="37"/>
  <c r="BR23" i="37"/>
  <c r="BR49" i="37"/>
  <c r="BR27" i="37"/>
  <c r="BR2" i="37"/>
  <c r="BR38" i="37"/>
  <c r="BT38" i="37"/>
  <c r="AF3" i="37"/>
  <c r="AF32" i="37"/>
  <c r="AE4" i="37"/>
  <c r="AE40" i="37"/>
  <c r="AJ40" i="37"/>
  <c r="AI4" i="37"/>
  <c r="AI40" i="37"/>
  <c r="AN40" i="37"/>
  <c r="AH5" i="37"/>
  <c r="AG6" i="37"/>
  <c r="AF7" i="37"/>
  <c r="AE8" i="37"/>
  <c r="AE41" i="37"/>
  <c r="AJ41" i="37"/>
  <c r="AI8" i="37"/>
  <c r="AI41" i="37"/>
  <c r="AN41" i="37"/>
  <c r="AH9" i="37"/>
  <c r="AG10" i="37"/>
  <c r="AG46" i="37"/>
  <c r="AF11" i="37"/>
  <c r="AF39" i="37"/>
  <c r="AK39" i="37"/>
  <c r="AE12" i="37"/>
  <c r="AI12" i="37"/>
  <c r="AH13" i="37"/>
  <c r="AH33" i="37"/>
  <c r="AM33" i="37"/>
  <c r="AG14" i="37"/>
  <c r="AG34" i="37"/>
  <c r="AL34" i="37"/>
  <c r="AF15" i="37"/>
  <c r="AF44" i="37"/>
  <c r="AK44" i="37"/>
  <c r="AE16" i="37"/>
  <c r="AI16" i="37"/>
  <c r="AH17" i="37"/>
  <c r="AG18" i="37"/>
  <c r="AF19" i="37"/>
  <c r="AF42" i="37"/>
  <c r="AK42" i="37"/>
  <c r="AE20" i="37"/>
  <c r="AI20" i="37"/>
  <c r="AH21" i="37"/>
  <c r="AG22" i="37"/>
  <c r="AG37" i="37"/>
  <c r="AL37" i="37"/>
  <c r="AF23" i="37"/>
  <c r="AF49" i="37"/>
  <c r="AE24" i="37"/>
  <c r="AI24" i="37"/>
  <c r="AH25" i="37"/>
  <c r="AG26" i="37"/>
  <c r="AG36" i="37"/>
  <c r="AL36" i="37"/>
  <c r="AF27" i="37"/>
  <c r="AE28" i="37"/>
  <c r="AE43" i="37"/>
  <c r="AJ43" i="37"/>
  <c r="AI28" i="37"/>
  <c r="AI43" i="37"/>
  <c r="AN43" i="37"/>
  <c r="AH29" i="37"/>
  <c r="AG30" i="37"/>
  <c r="AG35" i="37"/>
  <c r="AL35" i="37"/>
  <c r="AE2" i="37"/>
  <c r="AE38" i="37"/>
  <c r="AJ38" i="37"/>
  <c r="V38" i="37"/>
  <c r="V47" i="37"/>
  <c r="V34" i="37"/>
  <c r="V37" i="37"/>
  <c r="V36" i="37"/>
  <c r="V35" i="37"/>
  <c r="BH3" i="37"/>
  <c r="BH32" i="37"/>
  <c r="BH11" i="37"/>
  <c r="BH39" i="37"/>
  <c r="BL39" i="37"/>
  <c r="BH19" i="37"/>
  <c r="BH42" i="37"/>
  <c r="BL42" i="37"/>
  <c r="BH27" i="37"/>
  <c r="BP28" i="37"/>
  <c r="BP24" i="37"/>
  <c r="BP20" i="37"/>
  <c r="BP16" i="37"/>
  <c r="BP12" i="37"/>
  <c r="BP8" i="37"/>
  <c r="BP4" i="37"/>
  <c r="BQ5" i="37"/>
  <c r="BQ13" i="37"/>
  <c r="BQ33" i="37"/>
  <c r="BS33" i="37"/>
  <c r="BQ21" i="37"/>
  <c r="BQ29" i="37"/>
  <c r="BR9" i="37"/>
  <c r="BR17" i="37"/>
  <c r="BR25" i="37"/>
  <c r="AG4" i="37"/>
  <c r="AG40" i="37"/>
  <c r="AL40" i="37"/>
  <c r="AE6" i="37"/>
  <c r="AH7" i="37"/>
  <c r="AF9" i="37"/>
  <c r="AI10" i="37"/>
  <c r="AI46" i="37"/>
  <c r="AG12" i="37"/>
  <c r="AE14" i="37"/>
  <c r="AE34" i="37"/>
  <c r="AJ34" i="37"/>
  <c r="AH15" i="37"/>
  <c r="AH44" i="37"/>
  <c r="AM44" i="37"/>
  <c r="AF17" i="37"/>
  <c r="AI18" i="37"/>
  <c r="AG20" i="37"/>
  <c r="AE22" i="37"/>
  <c r="AE37" i="37"/>
  <c r="AJ37" i="37"/>
  <c r="AH23" i="37"/>
  <c r="AH49" i="37"/>
  <c r="AF25" i="37"/>
  <c r="AI26" i="37"/>
  <c r="AI36" i="37"/>
  <c r="AN36" i="37"/>
  <c r="AG28" i="37"/>
  <c r="AG43" i="37"/>
  <c r="AL43" i="37"/>
  <c r="AE30" i="37"/>
  <c r="AE35" i="37"/>
  <c r="AJ35" i="37"/>
  <c r="AG2" i="37"/>
  <c r="AG38" i="37"/>
  <c r="AL38" i="37"/>
  <c r="V41" i="37"/>
  <c r="AS21" i="37"/>
  <c r="AS17" i="37"/>
  <c r="AS13" i="37"/>
  <c r="AS33" i="37"/>
  <c r="AU33" i="37"/>
  <c r="AS9" i="37"/>
  <c r="AS5" i="37"/>
  <c r="AD3" i="37"/>
  <c r="AD32" i="37"/>
  <c r="AD4" i="37"/>
  <c r="AD40" i="37"/>
  <c r="Z6" i="37"/>
  <c r="Z47" i="37"/>
  <c r="Z7" i="37"/>
  <c r="Z8" i="37"/>
  <c r="Z41" i="37"/>
  <c r="AA9" i="37"/>
  <c r="AA10" i="37"/>
  <c r="AA46" i="37"/>
  <c r="AA11" i="37"/>
  <c r="AA39" i="37"/>
  <c r="AB12" i="37"/>
  <c r="AA13" i="37"/>
  <c r="AA33" i="37"/>
  <c r="Z14" i="37"/>
  <c r="Z34" i="37"/>
  <c r="AD14" i="37"/>
  <c r="AD34" i="37"/>
  <c r="AC15" i="37"/>
  <c r="AC44" i="37"/>
  <c r="AB16" i="37"/>
  <c r="AA17" i="37"/>
  <c r="Z18" i="37"/>
  <c r="AD18" i="37"/>
  <c r="AC19" i="37"/>
  <c r="AC42" i="37"/>
  <c r="AB20" i="37"/>
  <c r="AA21" i="37"/>
  <c r="Z22" i="37"/>
  <c r="Z37" i="37"/>
  <c r="AD22" i="37"/>
  <c r="AD37" i="37"/>
  <c r="AC23" i="37"/>
  <c r="AC49" i="37"/>
  <c r="AB24" i="37"/>
  <c r="AA25" i="37"/>
  <c r="Z26" i="37"/>
  <c r="Z36" i="37"/>
  <c r="AD26" i="37"/>
  <c r="AD36" i="37"/>
  <c r="AC27" i="37"/>
  <c r="AB28" i="37"/>
  <c r="AB43" i="37"/>
  <c r="AA29" i="37"/>
  <c r="Z30" i="37"/>
  <c r="Z35" i="37"/>
  <c r="AD30" i="37"/>
  <c r="AD35" i="37"/>
  <c r="AA2" i="37"/>
  <c r="AA38" i="37"/>
  <c r="BI41" i="37"/>
  <c r="BM41" i="37"/>
  <c r="BH10" i="37"/>
  <c r="BH46" i="37"/>
  <c r="BR8" i="37"/>
  <c r="BR41" i="37"/>
  <c r="BT41" i="37"/>
  <c r="AI5" i="37"/>
  <c r="AF12" i="37"/>
  <c r="AF20" i="37"/>
  <c r="AG23" i="37"/>
  <c r="AG49" i="37"/>
  <c r="AH26" i="37"/>
  <c r="AH36" i="37"/>
  <c r="AM36" i="37"/>
  <c r="AI29" i="37"/>
  <c r="AS25" i="37"/>
  <c r="AS22" i="37"/>
  <c r="AS37" i="37"/>
  <c r="AU37" i="37"/>
  <c r="AS14" i="37"/>
  <c r="AS34" i="37"/>
  <c r="AU34" i="37"/>
  <c r="AS2" i="37"/>
  <c r="AS38" i="37"/>
  <c r="AS3" i="37"/>
  <c r="AS32" i="37"/>
  <c r="AS30" i="37"/>
  <c r="AS35" i="37"/>
  <c r="AS26" i="37"/>
  <c r="AS36" i="37"/>
  <c r="AS11" i="37"/>
  <c r="AS39" i="37"/>
  <c r="AU39" i="37"/>
  <c r="AS4" i="37"/>
  <c r="AS40" i="37"/>
  <c r="AS8" i="37"/>
  <c r="AS41" i="37"/>
  <c r="AU41" i="37"/>
  <c r="AS19" i="37"/>
  <c r="AS42" i="37"/>
  <c r="AU42" i="37"/>
  <c r="AS28" i="37"/>
  <c r="AS43" i="37"/>
  <c r="AS15" i="37"/>
  <c r="AS44" i="37"/>
  <c r="AC3" i="37"/>
  <c r="AC32" i="37"/>
  <c r="AC5" i="37"/>
  <c r="AD7" i="37"/>
  <c r="Z10" i="37"/>
  <c r="Z46" i="37"/>
  <c r="Z12" i="37"/>
  <c r="AD13" i="37"/>
  <c r="AD33" i="37"/>
  <c r="AB15" i="37"/>
  <c r="AB44" i="37"/>
  <c r="Z17" i="37"/>
  <c r="AB19" i="37"/>
  <c r="AB42" i="37"/>
  <c r="Z21" i="37"/>
  <c r="AD21" i="37"/>
  <c r="AB23" i="37"/>
  <c r="AB49" i="37"/>
  <c r="AA24" i="37"/>
  <c r="AD25" i="37"/>
  <c r="AB27" i="37"/>
  <c r="Z29" i="37"/>
  <c r="AC30" i="37"/>
  <c r="AC35" i="37"/>
  <c r="BI40" i="37"/>
  <c r="BM40" i="37"/>
  <c r="BI43" i="37"/>
  <c r="BM43" i="37"/>
  <c r="BH6" i="37"/>
  <c r="BH47" i="37"/>
  <c r="BL47" i="37"/>
  <c r="BH14" i="37"/>
  <c r="BH34" i="37"/>
  <c r="BL34" i="37"/>
  <c r="BH22" i="37"/>
  <c r="BH37" i="37"/>
  <c r="BL37" i="37"/>
  <c r="BH30" i="37"/>
  <c r="BH35" i="37"/>
  <c r="BL35" i="37"/>
  <c r="BO39" i="37"/>
  <c r="BQ8" i="37"/>
  <c r="BQ41" i="37"/>
  <c r="BS41" i="37"/>
  <c r="BQ16" i="37"/>
  <c r="BQ24" i="37"/>
  <c r="BR4" i="37"/>
  <c r="BR40" i="37"/>
  <c r="BT40" i="37"/>
  <c r="BR12" i="37"/>
  <c r="BR20" i="37"/>
  <c r="BR28" i="37"/>
  <c r="BR43" i="37"/>
  <c r="BT43" i="37"/>
  <c r="AG3" i="37"/>
  <c r="AG32" i="37"/>
  <c r="AE5" i="37"/>
  <c r="AH6" i="37"/>
  <c r="AF8" i="37"/>
  <c r="AF41" i="37"/>
  <c r="AK41" i="37"/>
  <c r="AI9" i="37"/>
  <c r="AG11" i="37"/>
  <c r="AG39" i="37"/>
  <c r="AL39" i="37"/>
  <c r="AE13" i="37"/>
  <c r="AE33" i="37"/>
  <c r="AJ33" i="37"/>
  <c r="AH14" i="37"/>
  <c r="AH34" i="37"/>
  <c r="AM34" i="37"/>
  <c r="AF16" i="37"/>
  <c r="AI17" i="37"/>
  <c r="AG19" i="37"/>
  <c r="AG42" i="37"/>
  <c r="AL42" i="37"/>
  <c r="AE21" i="37"/>
  <c r="AH22" i="37"/>
  <c r="AH37" i="37"/>
  <c r="AM37" i="37"/>
  <c r="AF24" i="37"/>
  <c r="AI25" i="37"/>
  <c r="AG27" i="37"/>
  <c r="AE29" i="37"/>
  <c r="AH30" i="37"/>
  <c r="AH35" i="37"/>
  <c r="AM35" i="37"/>
  <c r="V39" i="37"/>
  <c r="V42" i="37"/>
  <c r="AU35" i="37"/>
  <c r="AU36" i="37"/>
  <c r="AS24" i="37"/>
  <c r="AS20" i="37"/>
  <c r="AS16" i="37"/>
  <c r="AS12" i="37"/>
  <c r="Z3" i="37"/>
  <c r="Z32" i="37"/>
  <c r="Z40" i="37"/>
  <c r="AA5" i="37"/>
  <c r="AA6" i="37"/>
  <c r="AA47" i="37"/>
  <c r="AA7" i="37"/>
  <c r="AB8" i="37"/>
  <c r="AB41" i="37"/>
  <c r="AB9" i="37"/>
  <c r="AB10" i="37"/>
  <c r="AB46" i="37"/>
  <c r="AC11" i="37"/>
  <c r="AC39" i="37"/>
  <c r="AC12" i="37"/>
  <c r="AB13" i="37"/>
  <c r="AB33" i="37"/>
  <c r="AA14" i="37"/>
  <c r="AA34" i="37"/>
  <c r="Z15" i="37"/>
  <c r="Z44" i="37"/>
  <c r="AD15" i="37"/>
  <c r="AD44" i="37"/>
  <c r="AC16" i="37"/>
  <c r="AB17" i="37"/>
  <c r="AA18" i="37"/>
  <c r="Z19" i="37"/>
  <c r="Z42" i="37"/>
  <c r="AD19" i="37"/>
  <c r="AD42" i="37"/>
  <c r="AC20" i="37"/>
  <c r="AB21" i="37"/>
  <c r="AA22" i="37"/>
  <c r="AA37" i="37"/>
  <c r="Z23" i="37"/>
  <c r="Z49" i="37"/>
  <c r="AD23" i="37"/>
  <c r="AD49" i="37"/>
  <c r="AC24" i="37"/>
  <c r="AB25" i="37"/>
  <c r="AA26" i="37"/>
  <c r="AA36" i="37"/>
  <c r="Z27" i="37"/>
  <c r="AD27" i="37"/>
  <c r="AC28" i="37"/>
  <c r="AC43" i="37"/>
  <c r="AB29" i="37"/>
  <c r="AA30" i="37"/>
  <c r="AA35" i="37"/>
  <c r="AD2" i="37"/>
  <c r="AD38" i="37"/>
  <c r="Z38" i="37"/>
  <c r="BH26" i="37"/>
  <c r="BH36" i="37"/>
  <c r="BL36" i="37"/>
  <c r="BQ4" i="37"/>
  <c r="BQ40" i="37"/>
  <c r="BS40" i="37"/>
  <c r="BQ20" i="37"/>
  <c r="BR16" i="37"/>
  <c r="BQ2" i="37"/>
  <c r="BQ38" i="37"/>
  <c r="BS38" i="37"/>
  <c r="AG7" i="37"/>
  <c r="AH10" i="37"/>
  <c r="AH46" i="37"/>
  <c r="AG15" i="37"/>
  <c r="AG44" i="37"/>
  <c r="AL44" i="37"/>
  <c r="AH18" i="37"/>
  <c r="BI33" i="37"/>
  <c r="BM33" i="37"/>
  <c r="BH7" i="37"/>
  <c r="BH15" i="37"/>
  <c r="BH44" i="37"/>
  <c r="BL44" i="37"/>
  <c r="BH23" i="37"/>
  <c r="BH49" i="37"/>
  <c r="BP30" i="37"/>
  <c r="BP26" i="37"/>
  <c r="BP22" i="37"/>
  <c r="BP37" i="37"/>
  <c r="BP18" i="37"/>
  <c r="BP14" i="37"/>
  <c r="BP10" i="37"/>
  <c r="BP6" i="37"/>
  <c r="BP47" i="37"/>
  <c r="BP2" i="37"/>
  <c r="BQ9" i="37"/>
  <c r="BQ17" i="37"/>
  <c r="BQ25" i="37"/>
  <c r="BR5" i="37"/>
  <c r="BR13" i="37"/>
  <c r="BR33" i="37"/>
  <c r="BT33" i="37"/>
  <c r="BR21" i="37"/>
  <c r="BR29" i="37"/>
  <c r="AH3" i="37"/>
  <c r="AH32" i="37"/>
  <c r="AF5" i="37"/>
  <c r="AI6" i="37"/>
  <c r="AG8" i="37"/>
  <c r="AG41" i="37"/>
  <c r="AL41" i="37"/>
  <c r="AE10" i="37"/>
  <c r="AE46" i="37"/>
  <c r="AH11" i="37"/>
  <c r="AH39" i="37"/>
  <c r="AM39" i="37"/>
  <c r="AF13" i="37"/>
  <c r="AF33" i="37"/>
  <c r="AK33" i="37"/>
  <c r="AI14" i="37"/>
  <c r="AI34" i="37"/>
  <c r="AN34" i="37"/>
  <c r="AG16" i="37"/>
  <c r="AE18" i="37"/>
  <c r="AH19" i="37"/>
  <c r="AH42" i="37"/>
  <c r="AM42" i="37"/>
  <c r="AF21" i="37"/>
  <c r="AI22" i="37"/>
  <c r="AI37" i="37"/>
  <c r="AN37" i="37"/>
  <c r="AG24" i="37"/>
  <c r="AE26" i="37"/>
  <c r="AE36" i="37"/>
  <c r="AJ36" i="37"/>
  <c r="AH27" i="37"/>
  <c r="AF29" i="37"/>
  <c r="AI30" i="37"/>
  <c r="AI35" i="37"/>
  <c r="AN35" i="37"/>
  <c r="V40" i="37"/>
  <c r="V43" i="37"/>
  <c r="AS23" i="37"/>
  <c r="AS49" i="37"/>
  <c r="AV49" i="37"/>
  <c r="AS7" i="37"/>
  <c r="AA3" i="37"/>
  <c r="AA32" i="37"/>
  <c r="AB4" i="37"/>
  <c r="AB40" i="37"/>
  <c r="AB5" i="37"/>
  <c r="AB6" i="37"/>
  <c r="AB47" i="37"/>
  <c r="AC7" i="37"/>
  <c r="AC8" i="37"/>
  <c r="AC41" i="37"/>
  <c r="AC9" i="37"/>
  <c r="AD10" i="37"/>
  <c r="AD46" i="37"/>
  <c r="AD11" i="37"/>
  <c r="AD39" i="37"/>
  <c r="AD12" i="37"/>
  <c r="AC13" i="37"/>
  <c r="AC33" i="37"/>
  <c r="AB14" i="37"/>
  <c r="AB34" i="37"/>
  <c r="AA15" i="37"/>
  <c r="AA44" i="37"/>
  <c r="Z16" i="37"/>
  <c r="AD16" i="37"/>
  <c r="AC17" i="37"/>
  <c r="AB18" i="37"/>
  <c r="AA19" i="37"/>
  <c r="AA42" i="37"/>
  <c r="Z20" i="37"/>
  <c r="AD20" i="37"/>
  <c r="AC21" i="37"/>
  <c r="AB22" i="37"/>
  <c r="AB37" i="37"/>
  <c r="AA23" i="37"/>
  <c r="AA49" i="37"/>
  <c r="Z24" i="37"/>
  <c r="AD24" i="37"/>
  <c r="AC25" i="37"/>
  <c r="AB26" i="37"/>
  <c r="AB36" i="37"/>
  <c r="AA27" i="37"/>
  <c r="Z28" i="37"/>
  <c r="Z43" i="37"/>
  <c r="AD28" i="37"/>
  <c r="AD43" i="37"/>
  <c r="AC29" i="37"/>
  <c r="AB30" i="37"/>
  <c r="AB35" i="37"/>
  <c r="AC2" i="37"/>
  <c r="AC38" i="37"/>
  <c r="BH2" i="37"/>
  <c r="BH38" i="37"/>
  <c r="BL38" i="37"/>
  <c r="BH18" i="37"/>
  <c r="BQ12" i="37"/>
  <c r="BQ28" i="37"/>
  <c r="BQ43" i="37"/>
  <c r="BS43" i="37"/>
  <c r="BR24" i="37"/>
  <c r="AF4" i="37"/>
  <c r="AF40" i="37"/>
  <c r="AK40" i="37"/>
  <c r="AE9" i="37"/>
  <c r="AI13" i="37"/>
  <c r="AI33" i="37"/>
  <c r="AN33" i="37"/>
  <c r="AE17" i="37"/>
  <c r="AI21" i="37"/>
  <c r="AE25" i="37"/>
  <c r="AF28" i="37"/>
  <c r="AF43" i="37"/>
  <c r="AK43" i="37"/>
  <c r="AF2" i="37"/>
  <c r="AF38" i="37"/>
  <c r="AK38" i="37"/>
  <c r="V44" i="37"/>
  <c r="AS29" i="37"/>
  <c r="AS27" i="37"/>
  <c r="AS18" i="37"/>
  <c r="AS10" i="37"/>
  <c r="AS46" i="37"/>
  <c r="AS6" i="37"/>
  <c r="AS47" i="37"/>
  <c r="AU47" i="37"/>
  <c r="AC4" i="37"/>
  <c r="AC40" i="37"/>
  <c r="AD6" i="37"/>
  <c r="AD47" i="37"/>
  <c r="AD8" i="37"/>
  <c r="AD41" i="37"/>
  <c r="Z11" i="37"/>
  <c r="Z39" i="37"/>
  <c r="Z13" i="37"/>
  <c r="Z33" i="37"/>
  <c r="AC14" i="37"/>
  <c r="AC34" i="37"/>
  <c r="AA16" i="37"/>
  <c r="AD17" i="37"/>
  <c r="AC18" i="37"/>
  <c r="AA20" i="37"/>
  <c r="AC22" i="37"/>
  <c r="AC37" i="37"/>
  <c r="Z25" i="37"/>
  <c r="AC26" i="37"/>
  <c r="AC36" i="37"/>
  <c r="AA28" i="37"/>
  <c r="AA43" i="37"/>
  <c r="AD29" i="37"/>
  <c r="AB2" i="37"/>
  <c r="AB38" i="37"/>
  <c r="X34" i="37"/>
  <c r="X37" i="37"/>
  <c r="X36" i="37"/>
  <c r="X35" i="37"/>
  <c r="X33" i="37"/>
  <c r="W40" i="37"/>
  <c r="W41" i="37"/>
  <c r="W43" i="37"/>
  <c r="X39" i="37"/>
  <c r="X44" i="37"/>
  <c r="X42" i="37"/>
  <c r="X38" i="37"/>
  <c r="X47" i="37"/>
  <c r="W34" i="37"/>
  <c r="W37" i="37"/>
  <c r="W36" i="37"/>
  <c r="W35" i="37"/>
  <c r="W33" i="37"/>
  <c r="X40" i="37"/>
  <c r="X41" i="37"/>
  <c r="X43" i="37"/>
  <c r="W39" i="37"/>
  <c r="W44" i="37"/>
  <c r="W42" i="37"/>
  <c r="W38" i="37"/>
  <c r="W47" i="37"/>
  <c r="AK30" i="32"/>
  <c r="AK35" i="32"/>
  <c r="AM35" i="32"/>
  <c r="K29" i="32"/>
  <c r="AK28" i="32"/>
  <c r="AK43" i="32"/>
  <c r="AM43" i="32"/>
  <c r="K27" i="32"/>
  <c r="K24" i="32"/>
  <c r="K23" i="32"/>
  <c r="K49" i="32"/>
  <c r="K18" i="32"/>
  <c r="AK15" i="32"/>
  <c r="AK44" i="32"/>
  <c r="K14" i="32"/>
  <c r="K34" i="32"/>
  <c r="AK9" i="32"/>
  <c r="K6" i="32"/>
  <c r="K47" i="32"/>
  <c r="AK5" i="32"/>
  <c r="AK29" i="32"/>
  <c r="K28" i="32"/>
  <c r="K43" i="32"/>
  <c r="AK24" i="32"/>
  <c r="AK23" i="32"/>
  <c r="AK49" i="32"/>
  <c r="K17" i="32"/>
  <c r="AK13" i="32"/>
  <c r="AK33" i="32"/>
  <c r="K12" i="32"/>
  <c r="K10" i="32"/>
  <c r="K46" i="32"/>
  <c r="K8" i="32"/>
  <c r="K41" i="32"/>
  <c r="AK6" i="32"/>
  <c r="AK47" i="32"/>
  <c r="AK25" i="32"/>
  <c r="AK21" i="32"/>
  <c r="AK20" i="32"/>
  <c r="AV42" i="32"/>
  <c r="AK18" i="32"/>
  <c r="K13" i="32"/>
  <c r="K33" i="32"/>
  <c r="AK7" i="32"/>
  <c r="AV47" i="32"/>
  <c r="AK4" i="32"/>
  <c r="AK40" i="32"/>
  <c r="AK3" i="32"/>
  <c r="AK32" i="32"/>
  <c r="AK2" i="32"/>
  <c r="AK38" i="32"/>
  <c r="K19" i="32"/>
  <c r="K42" i="32"/>
  <c r="AV44" i="32"/>
  <c r="K15" i="32"/>
  <c r="K44" i="32"/>
  <c r="AK11" i="32"/>
  <c r="AK39" i="32"/>
  <c r="AK8" i="32"/>
  <c r="AK41" i="32"/>
  <c r="K3" i="32"/>
  <c r="K32" i="32"/>
  <c r="AK27" i="32"/>
  <c r="AK26" i="32"/>
  <c r="AK36" i="32"/>
  <c r="K25" i="32"/>
  <c r="AK14" i="32"/>
  <c r="AK34" i="32"/>
  <c r="AK12" i="32"/>
  <c r="K11" i="32"/>
  <c r="K39" i="32"/>
  <c r="AK10" i="32"/>
  <c r="AK46" i="32"/>
  <c r="AV32" i="32"/>
  <c r="K2" i="32"/>
  <c r="K38" i="32"/>
  <c r="K26" i="32"/>
  <c r="K36" i="32"/>
  <c r="AK22" i="32"/>
  <c r="AK37" i="32"/>
  <c r="K20" i="32"/>
  <c r="AK17" i="32"/>
  <c r="AK16" i="32"/>
  <c r="K5" i="32"/>
  <c r="AV38" i="32"/>
  <c r="AV39" i="32"/>
  <c r="K7" i="32"/>
  <c r="K4" i="32"/>
  <c r="K40" i="32"/>
  <c r="K22" i="32"/>
  <c r="K37" i="32"/>
  <c r="AK19" i="32"/>
  <c r="AK42" i="32"/>
  <c r="K16" i="32"/>
  <c r="K9" i="32"/>
  <c r="K30" i="32"/>
  <c r="K35" i="32"/>
  <c r="K21" i="32"/>
  <c r="AV40" i="32"/>
  <c r="AH30" i="5"/>
  <c r="AH28" i="5"/>
  <c r="AH26" i="5"/>
  <c r="AH24" i="5"/>
  <c r="AH22" i="5"/>
  <c r="AH20" i="5"/>
  <c r="AH18" i="5"/>
  <c r="AH16" i="5"/>
  <c r="AH14" i="5"/>
  <c r="AH12" i="5"/>
  <c r="AH10" i="5"/>
  <c r="AH8" i="5"/>
  <c r="AH6" i="5"/>
  <c r="AH4" i="5"/>
  <c r="AH2" i="5"/>
  <c r="AH29" i="5"/>
  <c r="AH27" i="5"/>
  <c r="AH25" i="5"/>
  <c r="AH23" i="5"/>
  <c r="AH21" i="5"/>
  <c r="AH19" i="5"/>
  <c r="AH17" i="5"/>
  <c r="AH15" i="5"/>
  <c r="AH13" i="5"/>
  <c r="AH11" i="5"/>
  <c r="AH9" i="5"/>
  <c r="AH7" i="5"/>
  <c r="AH5" i="5"/>
  <c r="AH3" i="5"/>
  <c r="H2" i="29"/>
  <c r="H38" i="29"/>
  <c r="H4" i="29"/>
  <c r="H7" i="29"/>
  <c r="H9" i="29"/>
  <c r="H11" i="29"/>
  <c r="H3" i="29"/>
  <c r="H5" i="29"/>
  <c r="H8" i="29"/>
  <c r="H10" i="29"/>
  <c r="H12" i="29"/>
  <c r="H13" i="29"/>
  <c r="H14" i="29"/>
  <c r="H15" i="29"/>
  <c r="H16" i="29"/>
  <c r="H17" i="29"/>
  <c r="H18" i="29"/>
  <c r="H19" i="29"/>
  <c r="H20" i="29"/>
  <c r="H21" i="29"/>
  <c r="H22" i="29"/>
  <c r="H23" i="29"/>
  <c r="H24" i="29"/>
  <c r="H25" i="29"/>
  <c r="H26" i="29"/>
  <c r="H27" i="29"/>
  <c r="H28" i="29"/>
  <c r="H29" i="29"/>
  <c r="H30" i="29"/>
  <c r="H6" i="29"/>
  <c r="AH4" i="30"/>
  <c r="AH40" i="30"/>
  <c r="AH8" i="30"/>
  <c r="AH41" i="30"/>
  <c r="AH26" i="30"/>
  <c r="AH36" i="30"/>
  <c r="AH22" i="30"/>
  <c r="AH37" i="30"/>
  <c r="AH3" i="30"/>
  <c r="AH32" i="30"/>
  <c r="AH11" i="30"/>
  <c r="AH39" i="30"/>
  <c r="AH15" i="30"/>
  <c r="AH44" i="30"/>
  <c r="AH13" i="30"/>
  <c r="AH33" i="30"/>
  <c r="AH28" i="30"/>
  <c r="AH43" i="30"/>
  <c r="AH30" i="30"/>
  <c r="AH35" i="30"/>
  <c r="AH6" i="30"/>
  <c r="AH47" i="30"/>
  <c r="AH10" i="30"/>
  <c r="AH46" i="30"/>
  <c r="AH14" i="30"/>
  <c r="AH34" i="30"/>
  <c r="AH19" i="30"/>
  <c r="AH42" i="30"/>
  <c r="AH2" i="30"/>
  <c r="AH38" i="30"/>
  <c r="K2" i="29"/>
  <c r="K38" i="29"/>
  <c r="K3" i="29"/>
  <c r="K4" i="29"/>
  <c r="K5" i="29"/>
  <c r="K6" i="29"/>
  <c r="K8" i="29"/>
  <c r="K10" i="29"/>
  <c r="K12" i="29"/>
  <c r="K13" i="29"/>
  <c r="K14" i="29"/>
  <c r="K15" i="29"/>
  <c r="K16" i="29"/>
  <c r="K17" i="29"/>
  <c r="K18" i="29"/>
  <c r="K19" i="29"/>
  <c r="K20" i="29"/>
  <c r="K21" i="29"/>
  <c r="K22" i="29"/>
  <c r="K23" i="29"/>
  <c r="K24" i="29"/>
  <c r="K25" i="29"/>
  <c r="K26" i="29"/>
  <c r="K27" i="29"/>
  <c r="K28" i="29"/>
  <c r="K29" i="29"/>
  <c r="K30" i="29"/>
  <c r="K7" i="29"/>
  <c r="K9" i="29"/>
  <c r="K11" i="29"/>
  <c r="AK3" i="30"/>
  <c r="AK32" i="30"/>
  <c r="AK11" i="30"/>
  <c r="AK39" i="30"/>
  <c r="AK15" i="30"/>
  <c r="AK44" i="30"/>
  <c r="AK26" i="30"/>
  <c r="AK36" i="30"/>
  <c r="AK2" i="30"/>
  <c r="AK38" i="30"/>
  <c r="AK8" i="30"/>
  <c r="AK41" i="30"/>
  <c r="AK6" i="30"/>
  <c r="AK47" i="30"/>
  <c r="AK10" i="30"/>
  <c r="AK46" i="30"/>
  <c r="AK14" i="30"/>
  <c r="AK34" i="30"/>
  <c r="AK19" i="30"/>
  <c r="AK42" i="30"/>
  <c r="AK13" i="30"/>
  <c r="AK33" i="30"/>
  <c r="AK22" i="30"/>
  <c r="AK37" i="30"/>
  <c r="AK28" i="30"/>
  <c r="AK43" i="30"/>
  <c r="AK30" i="30"/>
  <c r="AK35" i="30"/>
  <c r="AK4" i="30"/>
  <c r="AK40" i="30"/>
  <c r="O2" i="29"/>
  <c r="O38" i="29"/>
  <c r="O3" i="29"/>
  <c r="O4" i="29"/>
  <c r="O5" i="29"/>
  <c r="O7" i="29"/>
  <c r="O9" i="29"/>
  <c r="O11" i="29"/>
  <c r="O13" i="29"/>
  <c r="O14" i="29"/>
  <c r="O15" i="29"/>
  <c r="O16" i="29"/>
  <c r="O17" i="29"/>
  <c r="O18" i="29"/>
  <c r="O19" i="29"/>
  <c r="O20" i="29"/>
  <c r="O21" i="29"/>
  <c r="O22" i="29"/>
  <c r="O23" i="29"/>
  <c r="O24" i="29"/>
  <c r="O25" i="29"/>
  <c r="O26" i="29"/>
  <c r="O27" i="29"/>
  <c r="O28" i="29"/>
  <c r="O29" i="29"/>
  <c r="O30" i="29"/>
  <c r="O6" i="29"/>
  <c r="O12" i="29"/>
  <c r="O10" i="29"/>
  <c r="O8" i="29"/>
  <c r="AO3" i="30"/>
  <c r="AO32" i="30"/>
  <c r="AO11" i="30"/>
  <c r="AO39" i="30"/>
  <c r="AO15" i="30"/>
  <c r="AO44" i="30"/>
  <c r="AO26" i="30"/>
  <c r="AO36" i="30"/>
  <c r="AO6" i="30"/>
  <c r="AO47" i="30"/>
  <c r="AO10" i="30"/>
  <c r="AO46" i="30"/>
  <c r="AO14" i="30"/>
  <c r="AO34" i="30"/>
  <c r="AO19" i="30"/>
  <c r="AO42" i="30"/>
  <c r="AO2" i="30"/>
  <c r="AO38" i="30"/>
  <c r="AO4" i="30"/>
  <c r="AO40" i="30"/>
  <c r="AO8" i="30"/>
  <c r="AO41" i="30"/>
  <c r="AO13" i="30"/>
  <c r="AO33" i="30"/>
  <c r="AO22" i="30"/>
  <c r="AO37" i="30"/>
  <c r="AO28" i="30"/>
  <c r="AO43" i="30"/>
  <c r="AO30" i="30"/>
  <c r="AO35" i="30"/>
  <c r="S2" i="29"/>
  <c r="S38" i="29"/>
  <c r="S3" i="29"/>
  <c r="S4" i="29"/>
  <c r="S5" i="29"/>
  <c r="S7" i="29"/>
  <c r="S9" i="29"/>
  <c r="S11" i="29"/>
  <c r="S13" i="29"/>
  <c r="S14" i="29"/>
  <c r="S15" i="29"/>
  <c r="S16" i="29"/>
  <c r="S17" i="29"/>
  <c r="S18" i="29"/>
  <c r="S19" i="29"/>
  <c r="S20" i="29"/>
  <c r="S21" i="29"/>
  <c r="S22" i="29"/>
  <c r="S23" i="29"/>
  <c r="S24" i="29"/>
  <c r="S25" i="29"/>
  <c r="S26" i="29"/>
  <c r="S27" i="29"/>
  <c r="S28" i="29"/>
  <c r="S29" i="29"/>
  <c r="S30" i="29"/>
  <c r="S6" i="29"/>
  <c r="S8" i="29"/>
  <c r="S10" i="29"/>
  <c r="S12" i="29"/>
  <c r="AS3" i="30"/>
  <c r="AS32" i="30"/>
  <c r="AS11" i="30"/>
  <c r="AS39" i="30"/>
  <c r="AS15" i="30"/>
  <c r="AS44" i="30"/>
  <c r="AS26" i="30"/>
  <c r="AS36" i="30"/>
  <c r="AS2" i="30"/>
  <c r="AS38" i="30"/>
  <c r="AS4" i="30"/>
  <c r="AS40" i="30"/>
  <c r="AS8" i="30"/>
  <c r="AS41" i="30"/>
  <c r="AS6" i="30"/>
  <c r="AS47" i="30"/>
  <c r="AS10" i="30"/>
  <c r="AS46" i="30"/>
  <c r="AS14" i="30"/>
  <c r="AS34" i="30"/>
  <c r="AS19" i="30"/>
  <c r="AS42" i="30"/>
  <c r="AS13" i="30"/>
  <c r="AS33" i="30"/>
  <c r="AS22" i="30"/>
  <c r="AS37" i="30"/>
  <c r="AS28" i="30"/>
  <c r="AS43" i="30"/>
  <c r="AS30" i="30"/>
  <c r="AS35" i="30"/>
  <c r="AA38" i="29"/>
  <c r="D33" i="20"/>
  <c r="H13" i="20"/>
  <c r="D69" i="20"/>
  <c r="H24" i="20"/>
  <c r="D55" i="20"/>
  <c r="H2" i="20"/>
  <c r="D38" i="20"/>
  <c r="D61" i="20"/>
  <c r="H18" i="20"/>
  <c r="D75" i="20"/>
  <c r="D59" i="20"/>
  <c r="H7" i="20"/>
  <c r="D73" i="20"/>
  <c r="AO41" i="37"/>
  <c r="U36" i="37"/>
  <c r="U47" i="37"/>
  <c r="AR74" i="37"/>
  <c r="AR60" i="37"/>
  <c r="AO66" i="37"/>
  <c r="AO52" i="37"/>
  <c r="AQ17" i="37"/>
  <c r="U37" i="37"/>
  <c r="AT35" i="37"/>
  <c r="AO47" i="37"/>
  <c r="AQ6" i="37"/>
  <c r="U39" i="37"/>
  <c r="AR52" i="37"/>
  <c r="AR66" i="37"/>
  <c r="AO37" i="37"/>
  <c r="AQ22" i="37"/>
  <c r="AQ16" i="37"/>
  <c r="AO58" i="37"/>
  <c r="AO72" i="37"/>
  <c r="U43" i="37"/>
  <c r="U40" i="37"/>
  <c r="AT45" i="37"/>
  <c r="AT46" i="37"/>
  <c r="AV46" i="37"/>
  <c r="AO44" i="37"/>
  <c r="AR50" i="37"/>
  <c r="AR64" i="37"/>
  <c r="AO36" i="37"/>
  <c r="AO35" i="37"/>
  <c r="AE2" i="29"/>
  <c r="AE38" i="29"/>
  <c r="BE2" i="29"/>
  <c r="BE38" i="29"/>
  <c r="AE3" i="29"/>
  <c r="BE3" i="29"/>
  <c r="BE32" i="29"/>
  <c r="AE4" i="29"/>
  <c r="BE4" i="29"/>
  <c r="BE40" i="29"/>
  <c r="AE5" i="29"/>
  <c r="BE5" i="29"/>
  <c r="AE6" i="29"/>
  <c r="BE6" i="29"/>
  <c r="BE47" i="29"/>
  <c r="AE7" i="29"/>
  <c r="BE7" i="29"/>
  <c r="AE8" i="29"/>
  <c r="BE8" i="29"/>
  <c r="BE41" i="29"/>
  <c r="AE9" i="29"/>
  <c r="BE9" i="29"/>
  <c r="AE10" i="29"/>
  <c r="BE10" i="29"/>
  <c r="BE46" i="29"/>
  <c r="AE11" i="29"/>
  <c r="BE11" i="29"/>
  <c r="BE39" i="29"/>
  <c r="AE12" i="29"/>
  <c r="BE12" i="29"/>
  <c r="AE13" i="29"/>
  <c r="BE14" i="29"/>
  <c r="BE34" i="29"/>
  <c r="AE15" i="29"/>
  <c r="BE16" i="29"/>
  <c r="AE17" i="29"/>
  <c r="BE18" i="29"/>
  <c r="AE19" i="29"/>
  <c r="BE20" i="29"/>
  <c r="AE21" i="29"/>
  <c r="BE22" i="29"/>
  <c r="BE37" i="29"/>
  <c r="AE23" i="29"/>
  <c r="BE24" i="29"/>
  <c r="AE25" i="29"/>
  <c r="BE26" i="29"/>
  <c r="BE36" i="29"/>
  <c r="AE27" i="29"/>
  <c r="BE28" i="29"/>
  <c r="BE43" i="29"/>
  <c r="AE29" i="29"/>
  <c r="BE30" i="29"/>
  <c r="BE35" i="29"/>
  <c r="BE13" i="29"/>
  <c r="BE33" i="29"/>
  <c r="AE14" i="29"/>
  <c r="BE15" i="29"/>
  <c r="BE44" i="29"/>
  <c r="AE16" i="29"/>
  <c r="BE17" i="29"/>
  <c r="AE18" i="29"/>
  <c r="BE19" i="29"/>
  <c r="BE42" i="29"/>
  <c r="AE20" i="29"/>
  <c r="BE21" i="29"/>
  <c r="AE22" i="29"/>
  <c r="BE23" i="29"/>
  <c r="BE49" i="29"/>
  <c r="AE24" i="29"/>
  <c r="BE25" i="29"/>
  <c r="AE26" i="29"/>
  <c r="BE27" i="29"/>
  <c r="AE28" i="29"/>
  <c r="BE29" i="29"/>
  <c r="AE30" i="29"/>
  <c r="CE3" i="30"/>
  <c r="CE32" i="30"/>
  <c r="CE4" i="30"/>
  <c r="CE40" i="30"/>
  <c r="CE6" i="30"/>
  <c r="CE47" i="30"/>
  <c r="CE8" i="30"/>
  <c r="CE41" i="30"/>
  <c r="CE15" i="30"/>
  <c r="CE44" i="30"/>
  <c r="CE21" i="30"/>
  <c r="CE22" i="30"/>
  <c r="CE37" i="30"/>
  <c r="CE24" i="30"/>
  <c r="CE25" i="30"/>
  <c r="CE26" i="30"/>
  <c r="CE36" i="30"/>
  <c r="CE27" i="30"/>
  <c r="CE28" i="30"/>
  <c r="CE43" i="30"/>
  <c r="CE30" i="30"/>
  <c r="CE35" i="30"/>
  <c r="CE5" i="30"/>
  <c r="CE7" i="30"/>
  <c r="CE9" i="30"/>
  <c r="CE10" i="30"/>
  <c r="CE46" i="30"/>
  <c r="CE11" i="30"/>
  <c r="CE39" i="30"/>
  <c r="CE12" i="30"/>
  <c r="CE13" i="30"/>
  <c r="CE33" i="30"/>
  <c r="CE14" i="30"/>
  <c r="CE34" i="30"/>
  <c r="CE16" i="30"/>
  <c r="CE17" i="30"/>
  <c r="CE18" i="30"/>
  <c r="CE61" i="30"/>
  <c r="CE19" i="30"/>
  <c r="CE42" i="30"/>
  <c r="CE20" i="30"/>
  <c r="CE23" i="30"/>
  <c r="CE49" i="30"/>
  <c r="CE29" i="30"/>
  <c r="AT38" i="29"/>
  <c r="BT3" i="29"/>
  <c r="BT32" i="29"/>
  <c r="AT4" i="29"/>
  <c r="BT5" i="29"/>
  <c r="AT6" i="29"/>
  <c r="BT7" i="29"/>
  <c r="AT8" i="29"/>
  <c r="BT9" i="29"/>
  <c r="AT10" i="29"/>
  <c r="BT11" i="29"/>
  <c r="BT39" i="29"/>
  <c r="AT12" i="29"/>
  <c r="BT12" i="29"/>
  <c r="AT13" i="29"/>
  <c r="BT13" i="29"/>
  <c r="BT33" i="29"/>
  <c r="AT14" i="29"/>
  <c r="BT14" i="29"/>
  <c r="BT34" i="29"/>
  <c r="AT15" i="29"/>
  <c r="BT15" i="29"/>
  <c r="BT44" i="29"/>
  <c r="AT16" i="29"/>
  <c r="BT16" i="29"/>
  <c r="AT17" i="29"/>
  <c r="BT17" i="29"/>
  <c r="AT18" i="29"/>
  <c r="BT18" i="29"/>
  <c r="AT19" i="29"/>
  <c r="BT19" i="29"/>
  <c r="BT42" i="29"/>
  <c r="AT20" i="29"/>
  <c r="BT20" i="29"/>
  <c r="AT21" i="29"/>
  <c r="BT21" i="29"/>
  <c r="AT22" i="29"/>
  <c r="BT22" i="29"/>
  <c r="BT37" i="29"/>
  <c r="AT23" i="29"/>
  <c r="BT23" i="29"/>
  <c r="BT49" i="29"/>
  <c r="AT24" i="29"/>
  <c r="BT24" i="29"/>
  <c r="AT25" i="29"/>
  <c r="BT25" i="29"/>
  <c r="AT26" i="29"/>
  <c r="BT26" i="29"/>
  <c r="BT36" i="29"/>
  <c r="AT27" i="29"/>
  <c r="BT27" i="29"/>
  <c r="AT28" i="29"/>
  <c r="BT28" i="29"/>
  <c r="BT43" i="29"/>
  <c r="AT29" i="29"/>
  <c r="BT29" i="29"/>
  <c r="AT30" i="29"/>
  <c r="BT30" i="29"/>
  <c r="BT35" i="29"/>
  <c r="BT4" i="29"/>
  <c r="BT40" i="29"/>
  <c r="BT10" i="29"/>
  <c r="BS46" i="29"/>
  <c r="BT8" i="29"/>
  <c r="BT41" i="29"/>
  <c r="AT11" i="29"/>
  <c r="AT3" i="29"/>
  <c r="BT6" i="29"/>
  <c r="BS47" i="29"/>
  <c r="AT9" i="29"/>
  <c r="BT38" i="29"/>
  <c r="AT5" i="29"/>
  <c r="AT7" i="29"/>
  <c r="CT3" i="30"/>
  <c r="CT32" i="30"/>
  <c r="CT4" i="30"/>
  <c r="CT40" i="30"/>
  <c r="CT5" i="30"/>
  <c r="CT6" i="30"/>
  <c r="CT47" i="30"/>
  <c r="CT7" i="30"/>
  <c r="CT8" i="30"/>
  <c r="CT41" i="30"/>
  <c r="CT9" i="30"/>
  <c r="CT10" i="30"/>
  <c r="CT46" i="30"/>
  <c r="CT11" i="30"/>
  <c r="CT39" i="30"/>
  <c r="CT12" i="30"/>
  <c r="CT60" i="30"/>
  <c r="CT13" i="30"/>
  <c r="CT33" i="30"/>
  <c r="CT14" i="30"/>
  <c r="CT34" i="30"/>
  <c r="CT15" i="30"/>
  <c r="CT44" i="30"/>
  <c r="CT16" i="30"/>
  <c r="CT17" i="30"/>
  <c r="CT18" i="30"/>
  <c r="CT19" i="30"/>
  <c r="CT42" i="30"/>
  <c r="CT20" i="30"/>
  <c r="CT21" i="30"/>
  <c r="CT22" i="30"/>
  <c r="CT37" i="30"/>
  <c r="CT23" i="30"/>
  <c r="CT49" i="30"/>
  <c r="CT24" i="30"/>
  <c r="CT69" i="30"/>
  <c r="CT25" i="30"/>
  <c r="CT26" i="30"/>
  <c r="CT36" i="30"/>
  <c r="CT27" i="30"/>
  <c r="CT28" i="30"/>
  <c r="CT43" i="30"/>
  <c r="CT29" i="30"/>
  <c r="CT30" i="30"/>
  <c r="CT35" i="30"/>
  <c r="G35" i="18"/>
  <c r="G37" i="18"/>
  <c r="G46" i="18"/>
  <c r="G33" i="18"/>
  <c r="G42" i="18"/>
  <c r="G44" i="18"/>
  <c r="G43" i="18"/>
  <c r="G40" i="18"/>
  <c r="AL30" i="32"/>
  <c r="AL35" i="32"/>
  <c r="AL26" i="32"/>
  <c r="AL36" i="32"/>
  <c r="AN36" i="32"/>
  <c r="AL21" i="32"/>
  <c r="AL16" i="32"/>
  <c r="BE15" i="32"/>
  <c r="BE44" i="32"/>
  <c r="BF44" i="32"/>
  <c r="BE14" i="32"/>
  <c r="BE34" i="32"/>
  <c r="BF34" i="32"/>
  <c r="BE12" i="32"/>
  <c r="AL12" i="32"/>
  <c r="BE11" i="32"/>
  <c r="BE39" i="32"/>
  <c r="BF39" i="32"/>
  <c r="AL10" i="32"/>
  <c r="AL46" i="32"/>
  <c r="AL4" i="32"/>
  <c r="AL40" i="32"/>
  <c r="AN40" i="32"/>
  <c r="BE29" i="32"/>
  <c r="AL25" i="32"/>
  <c r="BE24" i="32"/>
  <c r="BE22" i="32"/>
  <c r="BE37" i="32"/>
  <c r="BF37" i="32"/>
  <c r="AL20" i="32"/>
  <c r="BE19" i="32"/>
  <c r="BE42" i="32"/>
  <c r="BF42" i="32"/>
  <c r="AL18" i="32"/>
  <c r="AL7" i="32"/>
  <c r="AL3" i="32"/>
  <c r="AL32" i="32"/>
  <c r="BE2" i="32"/>
  <c r="BE38" i="32"/>
  <c r="BF38" i="32"/>
  <c r="AL2" i="32"/>
  <c r="AL38" i="32"/>
  <c r="AN38" i="32"/>
  <c r="BE26" i="32"/>
  <c r="BE36" i="32"/>
  <c r="BF36" i="32"/>
  <c r="BE25" i="32"/>
  <c r="AL22" i="32"/>
  <c r="AL37" i="32"/>
  <c r="AN37" i="32"/>
  <c r="BE21" i="32"/>
  <c r="BE20" i="32"/>
  <c r="AL19" i="32"/>
  <c r="AL42" i="32"/>
  <c r="AN42" i="32"/>
  <c r="BE18" i="32"/>
  <c r="AL11" i="32"/>
  <c r="AL39" i="32"/>
  <c r="AN39" i="32"/>
  <c r="BE10" i="32"/>
  <c r="BE46" i="32"/>
  <c r="BF46" i="32"/>
  <c r="BE8" i="32"/>
  <c r="BE41" i="32"/>
  <c r="BF41" i="32"/>
  <c r="BE7" i="32"/>
  <c r="BE4" i="32"/>
  <c r="BE40" i="32"/>
  <c r="BF40" i="32"/>
  <c r="AL28" i="32"/>
  <c r="AL43" i="32"/>
  <c r="AL27" i="32"/>
  <c r="AL24" i="32"/>
  <c r="AL23" i="32"/>
  <c r="AL49" i="32"/>
  <c r="BE17" i="32"/>
  <c r="AL14" i="32"/>
  <c r="AL34" i="32"/>
  <c r="AN34" i="32"/>
  <c r="BE6" i="32"/>
  <c r="BE5" i="32"/>
  <c r="BE3" i="32"/>
  <c r="BE32" i="32"/>
  <c r="BE30" i="32"/>
  <c r="BE35" i="32"/>
  <c r="BF35" i="32"/>
  <c r="AL29" i="32"/>
  <c r="AL17" i="32"/>
  <c r="AL13" i="32"/>
  <c r="AL33" i="32"/>
  <c r="AN33" i="32"/>
  <c r="AL5" i="32"/>
  <c r="BE28" i="32"/>
  <c r="BE43" i="32"/>
  <c r="BF43" i="32"/>
  <c r="BE27" i="32"/>
  <c r="BE23" i="32"/>
  <c r="BE49" i="32"/>
  <c r="BF49" i="32"/>
  <c r="BE13" i="32"/>
  <c r="BE33" i="32"/>
  <c r="BF33" i="32"/>
  <c r="AL9" i="32"/>
  <c r="AL6" i="32"/>
  <c r="AL47" i="32"/>
  <c r="AN47" i="32"/>
  <c r="AL15" i="32"/>
  <c r="AL44" i="32"/>
  <c r="AN44" i="32"/>
  <c r="AL8" i="32"/>
  <c r="AL41" i="32"/>
  <c r="AN41" i="32"/>
  <c r="BE16" i="32"/>
  <c r="BE9" i="32"/>
  <c r="X3" i="32"/>
  <c r="X32" i="32"/>
  <c r="AB4" i="32"/>
  <c r="AB40" i="32"/>
  <c r="AG40" i="32"/>
  <c r="U5" i="32"/>
  <c r="L7" i="32"/>
  <c r="AA8" i="32"/>
  <c r="AA41" i="32"/>
  <c r="AF41" i="32"/>
  <c r="T10" i="32"/>
  <c r="T46" i="32"/>
  <c r="W12" i="32"/>
  <c r="Z13" i="32"/>
  <c r="Z33" i="32"/>
  <c r="AE33" i="32"/>
  <c r="Y14" i="32"/>
  <c r="Y34" i="32"/>
  <c r="AD34" i="32"/>
  <c r="X15" i="32"/>
  <c r="X44" i="32"/>
  <c r="AC44" i="32"/>
  <c r="AB16" i="32"/>
  <c r="U17" i="32"/>
  <c r="L19" i="32"/>
  <c r="L42" i="32"/>
  <c r="P42" i="32"/>
  <c r="V20" i="32"/>
  <c r="S23" i="32"/>
  <c r="S49" i="32"/>
  <c r="AA24" i="32"/>
  <c r="T26" i="32"/>
  <c r="T36" i="32"/>
  <c r="S27" i="32"/>
  <c r="W28" i="32"/>
  <c r="W43" i="32"/>
  <c r="Z29" i="32"/>
  <c r="Y3" i="32"/>
  <c r="Y32" i="32"/>
  <c r="X4" i="32"/>
  <c r="X40" i="32"/>
  <c r="AC40" i="32"/>
  <c r="AB5" i="32"/>
  <c r="U6" i="32"/>
  <c r="U47" i="32"/>
  <c r="L8" i="32"/>
  <c r="L41" i="32"/>
  <c r="P41" i="32"/>
  <c r="AA9" i="32"/>
  <c r="L12" i="32"/>
  <c r="V13" i="32"/>
  <c r="V33" i="32"/>
  <c r="Y15" i="32"/>
  <c r="Y44" i="32"/>
  <c r="AD44" i="32"/>
  <c r="AB17" i="32"/>
  <c r="U18" i="32"/>
  <c r="L20" i="32"/>
  <c r="V21" i="32"/>
  <c r="Y23" i="32"/>
  <c r="Y49" i="32"/>
  <c r="X24" i="32"/>
  <c r="AB25" i="32"/>
  <c r="U26" i="32"/>
  <c r="U36" i="32"/>
  <c r="S28" i="32"/>
  <c r="S43" i="32"/>
  <c r="V29" i="32"/>
  <c r="W2" i="32"/>
  <c r="W38" i="32"/>
  <c r="Z3" i="32"/>
  <c r="Z32" i="32"/>
  <c r="T4" i="32"/>
  <c r="T40" i="32"/>
  <c r="L5" i="32"/>
  <c r="AB6" i="32"/>
  <c r="AB47" i="32"/>
  <c r="AG47" i="32"/>
  <c r="Z7" i="32"/>
  <c r="T8" i="32"/>
  <c r="T41" i="32"/>
  <c r="W10" i="32"/>
  <c r="W46" i="32"/>
  <c r="Z11" i="32"/>
  <c r="Z39" i="32"/>
  <c r="AE39" i="32"/>
  <c r="T12" i="32"/>
  <c r="S13" i="32"/>
  <c r="S33" i="32"/>
  <c r="W14" i="32"/>
  <c r="W34" i="32"/>
  <c r="Z15" i="32"/>
  <c r="Z44" i="32"/>
  <c r="AE44" i="32"/>
  <c r="T16" i="32"/>
  <c r="W18" i="32"/>
  <c r="Z19" i="32"/>
  <c r="Z42" i="32"/>
  <c r="AE42" i="32"/>
  <c r="S21" i="32"/>
  <c r="AA22" i="32"/>
  <c r="AA37" i="32"/>
  <c r="AF37" i="32"/>
  <c r="S25" i="32"/>
  <c r="AA26" i="32"/>
  <c r="AA36" i="32"/>
  <c r="AF36" i="32"/>
  <c r="Y28" i="32"/>
  <c r="Y43" i="32"/>
  <c r="AD43" i="32"/>
  <c r="AB30" i="32"/>
  <c r="AB35" i="32"/>
  <c r="AG35" i="32"/>
  <c r="X2" i="32"/>
  <c r="X38" i="32"/>
  <c r="AC38" i="32"/>
  <c r="AA3" i="32"/>
  <c r="AA32" i="32"/>
  <c r="T5" i="32"/>
  <c r="X6" i="32"/>
  <c r="X47" i="32"/>
  <c r="AC47" i="32"/>
  <c r="AB7" i="32"/>
  <c r="Z8" i="32"/>
  <c r="Z41" i="32"/>
  <c r="AE41" i="32"/>
  <c r="Y9" i="32"/>
  <c r="S10" i="32"/>
  <c r="S46" i="32"/>
  <c r="AB11" i="32"/>
  <c r="AB39" i="32"/>
  <c r="AG39" i="32"/>
  <c r="U12" i="32"/>
  <c r="L14" i="32"/>
  <c r="L34" i="32"/>
  <c r="P34" i="32"/>
  <c r="AA15" i="32"/>
  <c r="AA44" i="32"/>
  <c r="AF44" i="32"/>
  <c r="L18" i="32"/>
  <c r="V19" i="32"/>
  <c r="V42" i="32"/>
  <c r="T21" i="32"/>
  <c r="W23" i="32"/>
  <c r="W49" i="32"/>
  <c r="Z24" i="32"/>
  <c r="L26" i="32"/>
  <c r="L36" i="32"/>
  <c r="P36" i="32"/>
  <c r="V27" i="32"/>
  <c r="T29" i="32"/>
  <c r="X30" i="32"/>
  <c r="X35" i="32"/>
  <c r="AC35" i="32"/>
  <c r="S3" i="32"/>
  <c r="S32" i="32"/>
  <c r="W4" i="32"/>
  <c r="W40" i="32"/>
  <c r="Z5" i="32"/>
  <c r="Y6" i="32"/>
  <c r="Y47" i="32"/>
  <c r="AD47" i="32"/>
  <c r="AB8" i="32"/>
  <c r="AB41" i="32"/>
  <c r="AG41" i="32"/>
  <c r="U9" i="32"/>
  <c r="S11" i="32"/>
  <c r="S39" i="32"/>
  <c r="AA12" i="32"/>
  <c r="T14" i="32"/>
  <c r="T34" i="32"/>
  <c r="W16" i="32"/>
  <c r="Z17" i="32"/>
  <c r="Y18" i="32"/>
  <c r="AB20" i="32"/>
  <c r="U21" i="32"/>
  <c r="L23" i="32"/>
  <c r="L49" i="32"/>
  <c r="V24" i="32"/>
  <c r="AA28" i="32"/>
  <c r="AA43" i="32"/>
  <c r="AF43" i="32"/>
  <c r="U2" i="32"/>
  <c r="U38" i="32"/>
  <c r="T3" i="32"/>
  <c r="T32" i="32"/>
  <c r="S4" i="32"/>
  <c r="S40" i="32"/>
  <c r="W5" i="32"/>
  <c r="Z6" i="32"/>
  <c r="Z47" i="32"/>
  <c r="Y7" i="32"/>
  <c r="AB9" i="32"/>
  <c r="U10" i="32"/>
  <c r="U46" i="32"/>
  <c r="AA13" i="32"/>
  <c r="AA33" i="32"/>
  <c r="AF33" i="32"/>
  <c r="T15" i="32"/>
  <c r="T44" i="32"/>
  <c r="S16" i="32"/>
  <c r="W17" i="32"/>
  <c r="Z18" i="32"/>
  <c r="AA21" i="32"/>
  <c r="T23" i="32"/>
  <c r="T49" i="32"/>
  <c r="S24" i="32"/>
  <c r="W25" i="32"/>
  <c r="Z26" i="32"/>
  <c r="Z36" i="32"/>
  <c r="AE36" i="32"/>
  <c r="L28" i="32"/>
  <c r="L43" i="32"/>
  <c r="P43" i="32"/>
  <c r="AA29" i="32"/>
  <c r="AA2" i="32"/>
  <c r="AA38" i="32"/>
  <c r="AF38" i="32"/>
  <c r="X5" i="32"/>
  <c r="AA6" i="32"/>
  <c r="AA47" i="32"/>
  <c r="AF47" i="32"/>
  <c r="AA10" i="32"/>
  <c r="AA46" i="32"/>
  <c r="L13" i="32"/>
  <c r="L33" i="32"/>
  <c r="P33" i="32"/>
  <c r="AA14" i="32"/>
  <c r="AA34" i="32"/>
  <c r="AF34" i="32"/>
  <c r="S17" i="32"/>
  <c r="AA18" i="32"/>
  <c r="F21" i="32"/>
  <c r="L21" i="32"/>
  <c r="V22" i="32"/>
  <c r="V37" i="32"/>
  <c r="L25" i="32"/>
  <c r="V26" i="32"/>
  <c r="V36" i="32"/>
  <c r="T28" i="32"/>
  <c r="T43" i="32"/>
  <c r="X29" i="32"/>
  <c r="W30" i="32"/>
  <c r="W35" i="32"/>
  <c r="V3" i="32"/>
  <c r="V32" i="32"/>
  <c r="S6" i="32"/>
  <c r="S47" i="32"/>
  <c r="V7" i="32"/>
  <c r="T9" i="32"/>
  <c r="L10" i="32"/>
  <c r="L46" i="32"/>
  <c r="Y2" i="32"/>
  <c r="Y38" i="32"/>
  <c r="AD38" i="32"/>
  <c r="L3" i="32"/>
  <c r="L32" i="32"/>
  <c r="AA4" i="32"/>
  <c r="AA40" i="32"/>
  <c r="AF40" i="32"/>
  <c r="T6" i="32"/>
  <c r="T47" i="32"/>
  <c r="X7" i="32"/>
  <c r="W8" i="32"/>
  <c r="W41" i="32"/>
  <c r="Z9" i="32"/>
  <c r="X11" i="32"/>
  <c r="X39" i="32"/>
  <c r="AC39" i="32"/>
  <c r="L11" i="32"/>
  <c r="L39" i="32"/>
  <c r="P39" i="32"/>
  <c r="V12" i="32"/>
  <c r="S15" i="32"/>
  <c r="S44" i="32"/>
  <c r="AA16" i="32"/>
  <c r="T18" i="32"/>
  <c r="X19" i="32"/>
  <c r="X42" i="32"/>
  <c r="AC42" i="32"/>
  <c r="W20" i="32"/>
  <c r="Z21" i="32"/>
  <c r="Y22" i="32"/>
  <c r="Y37" i="32"/>
  <c r="AD37" i="32"/>
  <c r="X23" i="32"/>
  <c r="X49" i="32"/>
  <c r="AB24" i="32"/>
  <c r="U25" i="32"/>
  <c r="L27" i="32"/>
  <c r="V28" i="32"/>
  <c r="V43" i="32"/>
  <c r="Y30" i="32"/>
  <c r="Y35" i="32"/>
  <c r="AD35" i="32"/>
  <c r="Z2" i="32"/>
  <c r="Z38" i="32"/>
  <c r="AE38" i="32"/>
  <c r="L4" i="32"/>
  <c r="L40" i="32"/>
  <c r="P40" i="32"/>
  <c r="AA5" i="32"/>
  <c r="T7" i="32"/>
  <c r="X8" i="32"/>
  <c r="X41" i="32"/>
  <c r="W9" i="32"/>
  <c r="Z10" i="32"/>
  <c r="Z46" i="32"/>
  <c r="Y11" i="32"/>
  <c r="Y39" i="32"/>
  <c r="AD39" i="32"/>
  <c r="X12" i="32"/>
  <c r="AB13" i="32"/>
  <c r="AB33" i="32"/>
  <c r="AG33" i="32"/>
  <c r="U14" i="32"/>
  <c r="U34" i="32"/>
  <c r="V17" i="32"/>
  <c r="Y19" i="32"/>
  <c r="Y42" i="32"/>
  <c r="AD42" i="32"/>
  <c r="X20" i="32"/>
  <c r="AB21" i="32"/>
  <c r="U22" i="32"/>
  <c r="U37" i="32"/>
  <c r="L24" i="32"/>
  <c r="V25" i="32"/>
  <c r="Y27" i="32"/>
  <c r="AB29" i="32"/>
  <c r="U30" i="32"/>
  <c r="U35" i="32"/>
  <c r="V2" i="32"/>
  <c r="V38" i="32"/>
  <c r="F5" i="32"/>
  <c r="S5" i="32"/>
  <c r="V6" i="32"/>
  <c r="V47" i="32"/>
  <c r="X9" i="32"/>
  <c r="S9" i="32"/>
  <c r="V10" i="32"/>
  <c r="V46" i="32"/>
  <c r="V14" i="32"/>
  <c r="V34" i="32"/>
  <c r="L17" i="32"/>
  <c r="V18" i="32"/>
  <c r="Y20" i="32"/>
  <c r="AB22" i="32"/>
  <c r="AB37" i="32"/>
  <c r="AG37" i="32"/>
  <c r="U23" i="32"/>
  <c r="U49" i="32"/>
  <c r="Y24" i="32"/>
  <c r="AB26" i="32"/>
  <c r="AB36" i="32"/>
  <c r="AG36" i="32"/>
  <c r="U27" i="32"/>
  <c r="S29" i="32"/>
  <c r="AA30" i="32"/>
  <c r="AA35" i="32"/>
  <c r="AF35" i="32"/>
  <c r="S2" i="32"/>
  <c r="S38" i="32"/>
  <c r="AB3" i="32"/>
  <c r="AB32" i="32"/>
  <c r="U4" i="32"/>
  <c r="U40" i="32"/>
  <c r="L6" i="32"/>
  <c r="AA7" i="32"/>
  <c r="V11" i="32"/>
  <c r="V39" i="32"/>
  <c r="T13" i="32"/>
  <c r="T33" i="32"/>
  <c r="X14" i="32"/>
  <c r="X34" i="32"/>
  <c r="AC34" i="32"/>
  <c r="W15" i="32"/>
  <c r="W44" i="32"/>
  <c r="Z16" i="32"/>
  <c r="Y17" i="32"/>
  <c r="AB19" i="32"/>
  <c r="AB42" i="32"/>
  <c r="AG42" i="32"/>
  <c r="U20" i="32"/>
  <c r="L22" i="32"/>
  <c r="L37" i="32"/>
  <c r="P37" i="32"/>
  <c r="AA23" i="32"/>
  <c r="AA49" i="32"/>
  <c r="Y25" i="32"/>
  <c r="X26" i="32"/>
  <c r="X36" i="32"/>
  <c r="AC36" i="32"/>
  <c r="AB27" i="32"/>
  <c r="U28" i="32"/>
  <c r="U43" i="32"/>
  <c r="L30" i="32"/>
  <c r="L35" i="32"/>
  <c r="P35" i="32"/>
  <c r="U13" i="32"/>
  <c r="U33" i="32"/>
  <c r="V16" i="32"/>
  <c r="AA20" i="32"/>
  <c r="W24" i="32"/>
  <c r="AB28" i="32"/>
  <c r="AB43" i="32"/>
  <c r="AG43" i="32"/>
  <c r="S8" i="32"/>
  <c r="S41" i="32"/>
  <c r="S12" i="32"/>
  <c r="X16" i="32"/>
  <c r="T19" i="32"/>
  <c r="T42" i="32"/>
  <c r="Z30" i="32"/>
  <c r="Z35" i="32"/>
  <c r="AE35" i="32"/>
  <c r="U3" i="32"/>
  <c r="U32" i="32"/>
  <c r="U7" i="32"/>
  <c r="U11" i="32"/>
  <c r="U39" i="32"/>
  <c r="U15" i="32"/>
  <c r="U44" i="32"/>
  <c r="U19" i="32"/>
  <c r="U42" i="32"/>
  <c r="W22" i="32"/>
  <c r="W37" i="32"/>
  <c r="W26" i="32"/>
  <c r="W36" i="32"/>
  <c r="L29" i="32"/>
  <c r="X10" i="32"/>
  <c r="X46" i="32"/>
  <c r="Z12" i="32"/>
  <c r="U16" i="32"/>
  <c r="X18" i="32"/>
  <c r="AA19" i="32"/>
  <c r="AA42" i="32"/>
  <c r="AF42" i="32"/>
  <c r="V23" i="32"/>
  <c r="V49" i="32"/>
  <c r="S30" i="32"/>
  <c r="S35" i="32"/>
  <c r="Y10" i="32"/>
  <c r="Y46" i="32"/>
  <c r="Z25" i="32"/>
  <c r="U29" i="32"/>
  <c r="V5" i="32"/>
  <c r="V9" i="32"/>
  <c r="W13" i="32"/>
  <c r="W33" i="32"/>
  <c r="L16" i="32"/>
  <c r="S20" i="32"/>
  <c r="T27" i="32"/>
  <c r="Y4" i="32"/>
  <c r="Y40" i="32"/>
  <c r="AD40" i="32"/>
  <c r="Y8" i="32"/>
  <c r="Y41" i="32"/>
  <c r="AD41" i="32"/>
  <c r="Y12" i="32"/>
  <c r="Y16" i="32"/>
  <c r="Z23" i="32"/>
  <c r="Z49" i="32"/>
  <c r="Z27" i="32"/>
  <c r="V30" i="32"/>
  <c r="V35" i="32"/>
  <c r="W3" i="32"/>
  <c r="W32" i="32"/>
  <c r="W7" i="32"/>
  <c r="S14" i="32"/>
  <c r="S34" i="32"/>
  <c r="S18" i="32"/>
  <c r="Z20" i="32"/>
  <c r="X22" i="32"/>
  <c r="X37" i="32"/>
  <c r="AC37" i="32"/>
  <c r="U24" i="32"/>
  <c r="T25" i="32"/>
  <c r="W27" i="32"/>
  <c r="Y29" i="32"/>
  <c r="T2" i="32"/>
  <c r="T38" i="32"/>
  <c r="S7" i="32"/>
  <c r="F15" i="32"/>
  <c r="F44" i="32"/>
  <c r="T22" i="32"/>
  <c r="T37" i="32"/>
  <c r="Y26" i="32"/>
  <c r="Y36" i="32"/>
  <c r="AD36" i="32"/>
  <c r="Z14" i="32"/>
  <c r="Z34" i="32"/>
  <c r="AE34" i="32"/>
  <c r="AA17" i="32"/>
  <c r="W21" i="32"/>
  <c r="X28" i="32"/>
  <c r="X43" i="32"/>
  <c r="AC43" i="32"/>
  <c r="L9" i="32"/>
  <c r="X13" i="32"/>
  <c r="X33" i="32"/>
  <c r="AC33" i="32"/>
  <c r="X17" i="32"/>
  <c r="T20" i="32"/>
  <c r="T24" i="32"/>
  <c r="Z4" i="32"/>
  <c r="Z40" i="32"/>
  <c r="AE40" i="32"/>
  <c r="U8" i="32"/>
  <c r="U41" i="32"/>
  <c r="W11" i="32"/>
  <c r="W39" i="32"/>
  <c r="Y13" i="32"/>
  <c r="Y33" i="32"/>
  <c r="AD33" i="32"/>
  <c r="AB15" i="32"/>
  <c r="AB44" i="32"/>
  <c r="AG44" i="32"/>
  <c r="S22" i="32"/>
  <c r="S37" i="32"/>
  <c r="AA27" i="32"/>
  <c r="V8" i="32"/>
  <c r="V41" i="32"/>
  <c r="AB14" i="32"/>
  <c r="AB34" i="32"/>
  <c r="T17" i="32"/>
  <c r="V4" i="32"/>
  <c r="V40" i="32"/>
  <c r="AB12" i="32"/>
  <c r="X27" i="32"/>
  <c r="Z22" i="32"/>
  <c r="Z37" i="32"/>
  <c r="AE37" i="32"/>
  <c r="AB2" i="32"/>
  <c r="AB38" i="32"/>
  <c r="AG38" i="32"/>
  <c r="AB18" i="32"/>
  <c r="L2" i="32"/>
  <c r="L38" i="32"/>
  <c r="P38" i="32"/>
  <c r="AA11" i="32"/>
  <c r="AA39" i="32"/>
  <c r="AF39" i="32"/>
  <c r="W19" i="32"/>
  <c r="W42" i="32"/>
  <c r="S26" i="32"/>
  <c r="S36" i="32"/>
  <c r="S19" i="32"/>
  <c r="S42" i="32"/>
  <c r="AB10" i="32"/>
  <c r="AB46" i="32"/>
  <c r="Y5" i="32"/>
  <c r="L15" i="32"/>
  <c r="L44" i="32"/>
  <c r="P44" i="32"/>
  <c r="T30" i="32"/>
  <c r="T35" i="32"/>
  <c r="T11" i="32"/>
  <c r="T39" i="32"/>
  <c r="AA25" i="32"/>
  <c r="W6" i="32"/>
  <c r="W47" i="32"/>
  <c r="X21" i="32"/>
  <c r="Y21" i="32"/>
  <c r="Z28" i="32"/>
  <c r="Z43" i="32"/>
  <c r="AE43" i="32"/>
  <c r="W29" i="32"/>
  <c r="X25" i="32"/>
  <c r="V15" i="32"/>
  <c r="V44" i="32"/>
  <c r="AB23" i="32"/>
  <c r="AB49" i="32"/>
  <c r="BD3" i="5"/>
  <c r="BD32" i="5"/>
  <c r="BD7" i="5"/>
  <c r="BD11" i="5"/>
  <c r="BD39" i="5"/>
  <c r="BD15" i="5"/>
  <c r="BD44" i="5"/>
  <c r="BD19" i="5"/>
  <c r="BD42" i="5"/>
  <c r="BD23" i="5"/>
  <c r="BD27" i="5"/>
  <c r="BD9" i="5"/>
  <c r="BD17" i="5"/>
  <c r="BD29" i="5"/>
  <c r="BD10" i="5"/>
  <c r="BD18" i="5"/>
  <c r="BD30" i="5"/>
  <c r="BD35" i="5"/>
  <c r="BD4" i="5"/>
  <c r="BD40" i="5"/>
  <c r="BD8" i="5"/>
  <c r="BD41" i="5"/>
  <c r="BD12" i="5"/>
  <c r="BD16" i="5"/>
  <c r="BD20" i="5"/>
  <c r="BD24" i="5"/>
  <c r="BD28" i="5"/>
  <c r="BD43" i="5"/>
  <c r="BD5" i="5"/>
  <c r="BD13" i="5"/>
  <c r="BD33" i="5"/>
  <c r="BD21" i="5"/>
  <c r="BD25" i="5"/>
  <c r="BD6" i="5"/>
  <c r="BD14" i="5"/>
  <c r="BD34" i="5"/>
  <c r="BD22" i="5"/>
  <c r="BD37" i="5"/>
  <c r="BD26" i="5"/>
  <c r="BD36" i="5"/>
  <c r="BD2" i="5"/>
  <c r="BD38" i="5"/>
  <c r="AI2" i="5"/>
  <c r="AI8" i="5"/>
  <c r="AI29" i="5"/>
  <c r="AI27" i="5"/>
  <c r="AI25" i="5"/>
  <c r="AI23" i="5"/>
  <c r="AI21" i="5"/>
  <c r="AI19" i="5"/>
  <c r="AI17" i="5"/>
  <c r="AI15" i="5"/>
  <c r="AI13" i="5"/>
  <c r="AI11" i="5"/>
  <c r="AI9" i="5"/>
  <c r="AI7" i="5"/>
  <c r="AI5" i="5"/>
  <c r="AI3" i="5"/>
  <c r="AI30" i="5"/>
  <c r="AI28" i="5"/>
  <c r="AI26" i="5"/>
  <c r="AI24" i="5"/>
  <c r="AI22" i="5"/>
  <c r="AI20" i="5"/>
  <c r="AI18" i="5"/>
  <c r="AI16" i="5"/>
  <c r="AI14" i="5"/>
  <c r="AI12" i="5"/>
  <c r="AI10" i="5"/>
  <c r="AI6" i="5"/>
  <c r="AI4" i="5"/>
  <c r="U4" i="5"/>
  <c r="T15" i="5"/>
  <c r="U24" i="5"/>
  <c r="T2" i="5"/>
  <c r="T6" i="5"/>
  <c r="T10" i="5"/>
  <c r="T14" i="5"/>
  <c r="T18" i="5"/>
  <c r="T22" i="5"/>
  <c r="T26" i="5"/>
  <c r="T30" i="5"/>
  <c r="V17" i="5"/>
  <c r="T13" i="5"/>
  <c r="T25" i="5"/>
  <c r="W5" i="5"/>
  <c r="V13" i="5"/>
  <c r="T23" i="5"/>
  <c r="U2" i="5"/>
  <c r="V7" i="5"/>
  <c r="U14" i="5"/>
  <c r="V19" i="5"/>
  <c r="U26" i="5"/>
  <c r="T4" i="5"/>
  <c r="T8" i="5"/>
  <c r="T12" i="5"/>
  <c r="T16" i="5"/>
  <c r="T20" i="5"/>
  <c r="T24" i="5"/>
  <c r="T28" i="5"/>
  <c r="F2" i="5"/>
  <c r="S2" i="5"/>
  <c r="S6" i="5"/>
  <c r="L4" i="5"/>
  <c r="Z6" i="5"/>
  <c r="Z47" i="5"/>
  <c r="X8" i="5"/>
  <c r="AB11" i="5"/>
  <c r="X12" i="5"/>
  <c r="AA15" i="5"/>
  <c r="AA44" i="5"/>
  <c r="Y17" i="5"/>
  <c r="L20" i="5"/>
  <c r="Z22" i="5"/>
  <c r="F24" i="5"/>
  <c r="AB27" i="5"/>
  <c r="X28" i="5"/>
  <c r="Y3" i="5"/>
  <c r="L6" i="5"/>
  <c r="Z8" i="5"/>
  <c r="X10" i="5"/>
  <c r="AB13" i="5"/>
  <c r="X14" i="5"/>
  <c r="X34" i="5"/>
  <c r="AC34" i="5"/>
  <c r="AA17" i="5"/>
  <c r="Y19" i="5"/>
  <c r="L22" i="5"/>
  <c r="Z24" i="5"/>
  <c r="F26" i="5"/>
  <c r="AB29" i="5"/>
  <c r="X30" i="5"/>
  <c r="AA4" i="5"/>
  <c r="Y6" i="5"/>
  <c r="L9" i="5"/>
  <c r="Z11" i="5"/>
  <c r="F13" i="5"/>
  <c r="AB16" i="5"/>
  <c r="X17" i="5"/>
  <c r="AA20" i="5"/>
  <c r="Y22" i="5"/>
  <c r="Y37" i="5"/>
  <c r="AD37" i="5"/>
  <c r="L25" i="5"/>
  <c r="Z27" i="5"/>
  <c r="F29" i="5"/>
  <c r="AA2" i="5"/>
  <c r="AA38" i="5"/>
  <c r="Y4" i="5"/>
  <c r="L7" i="5"/>
  <c r="Z9" i="5"/>
  <c r="X11" i="5"/>
  <c r="X39" i="5"/>
  <c r="AC39" i="5"/>
  <c r="AB14" i="5"/>
  <c r="X15" i="5"/>
  <c r="AA18" i="5"/>
  <c r="Y20" i="5"/>
  <c r="L23" i="5"/>
  <c r="Z25" i="5"/>
  <c r="F27" i="5"/>
  <c r="AB30" i="5"/>
  <c r="AB35" i="5"/>
  <c r="V5" i="5"/>
  <c r="W17" i="5"/>
  <c r="V25" i="5"/>
  <c r="U3" i="5"/>
  <c r="U7" i="5"/>
  <c r="U11" i="5"/>
  <c r="U15" i="5"/>
  <c r="U19" i="5"/>
  <c r="U23" i="5"/>
  <c r="U27" i="5"/>
  <c r="T3" i="5"/>
  <c r="V3" i="5"/>
  <c r="V15" i="5"/>
  <c r="V27" i="5"/>
  <c r="T7" i="5"/>
  <c r="U16" i="5"/>
  <c r="W25" i="5"/>
  <c r="W3" i="5"/>
  <c r="T9" i="5"/>
  <c r="W15" i="5"/>
  <c r="T21" i="5"/>
  <c r="W27" i="5"/>
  <c r="U5" i="5"/>
  <c r="U9" i="5"/>
  <c r="U13" i="5"/>
  <c r="U17" i="5"/>
  <c r="U21" i="5"/>
  <c r="U25" i="5"/>
  <c r="U29" i="5"/>
  <c r="Z2" i="5"/>
  <c r="Z38" i="5"/>
  <c r="F4" i="5"/>
  <c r="AB7" i="5"/>
  <c r="F8" i="5"/>
  <c r="AA11" i="5"/>
  <c r="Y13" i="5"/>
  <c r="L16" i="5"/>
  <c r="Z18" i="5"/>
  <c r="F20" i="5"/>
  <c r="AB23" i="5"/>
  <c r="X24" i="5"/>
  <c r="AA27" i="5"/>
  <c r="Y29" i="5"/>
  <c r="Z4" i="5"/>
  <c r="X6" i="5"/>
  <c r="X47" i="5"/>
  <c r="AB9" i="5"/>
  <c r="F10" i="5"/>
  <c r="AA13" i="5"/>
  <c r="Y15" i="5"/>
  <c r="Y44" i="5"/>
  <c r="AD44" i="5"/>
  <c r="L18" i="5"/>
  <c r="Z20" i="5"/>
  <c r="F22" i="5"/>
  <c r="AB25" i="5"/>
  <c r="X26" i="5"/>
  <c r="AA29" i="5"/>
  <c r="Y2" i="5"/>
  <c r="L5" i="5"/>
  <c r="Z7" i="5"/>
  <c r="X9" i="5"/>
  <c r="AB12" i="5"/>
  <c r="X13" i="5"/>
  <c r="X33" i="5"/>
  <c r="AA16" i="5"/>
  <c r="Y18" i="5"/>
  <c r="L21" i="5"/>
  <c r="Z23" i="5"/>
  <c r="Z49" i="5"/>
  <c r="F25" i="5"/>
  <c r="AB28" i="5"/>
  <c r="X29" i="5"/>
  <c r="F3" i="5"/>
  <c r="Z5" i="5"/>
  <c r="X7" i="5"/>
  <c r="AB10" i="5"/>
  <c r="F11" i="5"/>
  <c r="AA14" i="5"/>
  <c r="Y16" i="5"/>
  <c r="L19" i="5"/>
  <c r="Z21" i="5"/>
  <c r="F23" i="5"/>
  <c r="AB26" i="5"/>
  <c r="X27" i="5"/>
  <c r="AA30" i="5"/>
  <c r="AA35" i="5"/>
  <c r="U12" i="5"/>
  <c r="V4" i="5"/>
  <c r="V12" i="5"/>
  <c r="V20" i="5"/>
  <c r="V28" i="5"/>
  <c r="U10" i="5"/>
  <c r="U22" i="5"/>
  <c r="T11" i="5"/>
  <c r="W29" i="5"/>
  <c r="V11" i="5"/>
  <c r="V23" i="5"/>
  <c r="V6" i="5"/>
  <c r="V14" i="5"/>
  <c r="V22" i="5"/>
  <c r="V30" i="5"/>
  <c r="S14" i="5"/>
  <c r="S22" i="5"/>
  <c r="S30" i="5"/>
  <c r="S9" i="5"/>
  <c r="S13" i="5"/>
  <c r="S21" i="5"/>
  <c r="S29" i="5"/>
  <c r="S8" i="5"/>
  <c r="S12" i="5"/>
  <c r="S20" i="5"/>
  <c r="S28" i="5"/>
  <c r="S11" i="5"/>
  <c r="S39" i="5"/>
  <c r="S15" i="5"/>
  <c r="S23" i="5"/>
  <c r="S27" i="5"/>
  <c r="AA3" i="5"/>
  <c r="L8" i="5"/>
  <c r="F12" i="5"/>
  <c r="X16" i="5"/>
  <c r="L24" i="5"/>
  <c r="F28" i="5"/>
  <c r="AA5" i="5"/>
  <c r="Y7" i="5"/>
  <c r="Z12" i="5"/>
  <c r="AB17" i="5"/>
  <c r="X18" i="5"/>
  <c r="Y23" i="5"/>
  <c r="Y49" i="5"/>
  <c r="Z28" i="5"/>
  <c r="AB4" i="5"/>
  <c r="AB40" i="5"/>
  <c r="AA8" i="5"/>
  <c r="L13" i="5"/>
  <c r="AB20" i="5"/>
  <c r="X21" i="5"/>
  <c r="Y26" i="5"/>
  <c r="L29" i="5"/>
  <c r="L3" i="5"/>
  <c r="Y8" i="5"/>
  <c r="Y41" i="5"/>
  <c r="AD41" i="5"/>
  <c r="Z13" i="5"/>
  <c r="F15" i="5"/>
  <c r="X19" i="5"/>
  <c r="Y24" i="5"/>
  <c r="Z29" i="5"/>
  <c r="V9" i="5"/>
  <c r="U20" i="5"/>
  <c r="U28" i="5"/>
  <c r="W4" i="5"/>
  <c r="W8" i="5"/>
  <c r="W12" i="5"/>
  <c r="W16" i="5"/>
  <c r="W20" i="5"/>
  <c r="W24" i="5"/>
  <c r="W28" i="5"/>
  <c r="U8" i="5"/>
  <c r="W7" i="5"/>
  <c r="W19" i="5"/>
  <c r="T29" i="5"/>
  <c r="W9" i="5"/>
  <c r="T19" i="5"/>
  <c r="T27" i="5"/>
  <c r="T5" i="5"/>
  <c r="W11" i="5"/>
  <c r="T17" i="5"/>
  <c r="W23" i="5"/>
  <c r="W2" i="5"/>
  <c r="W6" i="5"/>
  <c r="W10" i="5"/>
  <c r="W14" i="5"/>
  <c r="W18" i="5"/>
  <c r="W22" i="5"/>
  <c r="W26" i="5"/>
  <c r="W30" i="5"/>
  <c r="S3" i="5"/>
  <c r="L2" i="5"/>
  <c r="L38" i="5"/>
  <c r="AB3" i="5"/>
  <c r="X4" i="5"/>
  <c r="AA7" i="5"/>
  <c r="Y9" i="5"/>
  <c r="L12" i="5"/>
  <c r="Z14" i="5"/>
  <c r="F16" i="5"/>
  <c r="AB19" i="5"/>
  <c r="X20" i="5"/>
  <c r="AA23" i="5"/>
  <c r="Y25" i="5"/>
  <c r="L28" i="5"/>
  <c r="L43" i="5"/>
  <c r="P43" i="5"/>
  <c r="Z30" i="5"/>
  <c r="AB5" i="5"/>
  <c r="F6" i="5"/>
  <c r="AA9" i="5"/>
  <c r="Y11" i="5"/>
  <c r="L14" i="5"/>
  <c r="Z16" i="5"/>
  <c r="F18" i="5"/>
  <c r="AB21" i="5"/>
  <c r="X22" i="5"/>
  <c r="AA25" i="5"/>
  <c r="Y27" i="5"/>
  <c r="L30" i="5"/>
  <c r="Z3" i="5"/>
  <c r="F5" i="5"/>
  <c r="AB8" i="5"/>
  <c r="AB41" i="5"/>
  <c r="F9" i="5"/>
  <c r="AA12" i="5"/>
  <c r="Y14" i="5"/>
  <c r="L17" i="5"/>
  <c r="Z19" i="5"/>
  <c r="F21" i="5"/>
  <c r="AB24" i="5"/>
  <c r="X25" i="5"/>
  <c r="AA28" i="5"/>
  <c r="Y30" i="5"/>
  <c r="X3" i="5"/>
  <c r="X32" i="5"/>
  <c r="AC32" i="5"/>
  <c r="AB6" i="5"/>
  <c r="AB47" i="5"/>
  <c r="F7" i="5"/>
  <c r="AA10" i="5"/>
  <c r="Y12" i="5"/>
  <c r="L15" i="5"/>
  <c r="L44" i="5"/>
  <c r="P44" i="5"/>
  <c r="Z17" i="5"/>
  <c r="F19" i="5"/>
  <c r="AB22" i="5"/>
  <c r="X23" i="5"/>
  <c r="X49" i="5"/>
  <c r="AA26" i="5"/>
  <c r="Y28" i="5"/>
  <c r="V21" i="5"/>
  <c r="V29" i="5"/>
  <c r="V8" i="5"/>
  <c r="V16" i="5"/>
  <c r="V24" i="5"/>
  <c r="W13" i="5"/>
  <c r="U30" i="5"/>
  <c r="W21" i="5"/>
  <c r="U6" i="5"/>
  <c r="U18" i="5"/>
  <c r="V2" i="5"/>
  <c r="V10" i="5"/>
  <c r="V18" i="5"/>
  <c r="V26" i="5"/>
  <c r="S10" i="5"/>
  <c r="S18" i="5"/>
  <c r="S26" i="5"/>
  <c r="S5" i="5"/>
  <c r="S17" i="5"/>
  <c r="S25" i="5"/>
  <c r="S4" i="5"/>
  <c r="S16" i="5"/>
  <c r="S24" i="5"/>
  <c r="S7" i="5"/>
  <c r="S19" i="5"/>
  <c r="Y5" i="5"/>
  <c r="Z10" i="5"/>
  <c r="AB15" i="5"/>
  <c r="AB44" i="5"/>
  <c r="AA19" i="5"/>
  <c r="Y21" i="5"/>
  <c r="Z26" i="5"/>
  <c r="X2" i="5"/>
  <c r="L10" i="5"/>
  <c r="F14" i="5"/>
  <c r="AA21" i="5"/>
  <c r="L26" i="5"/>
  <c r="F30" i="5"/>
  <c r="X5" i="5"/>
  <c r="Y10" i="5"/>
  <c r="Z15" i="5"/>
  <c r="Z44" i="5"/>
  <c r="F17" i="5"/>
  <c r="AA24" i="5"/>
  <c r="AB2" i="5"/>
  <c r="AA6" i="5"/>
  <c r="L11" i="5"/>
  <c r="AB18" i="5"/>
  <c r="AA22" i="5"/>
  <c r="L27" i="5"/>
  <c r="M2" i="29"/>
  <c r="M38" i="29"/>
  <c r="M3" i="29"/>
  <c r="M4" i="29"/>
  <c r="M5" i="29"/>
  <c r="M6" i="29"/>
  <c r="M7" i="29"/>
  <c r="M8" i="29"/>
  <c r="M9" i="29"/>
  <c r="M10" i="29"/>
  <c r="M11" i="29"/>
  <c r="M12" i="29"/>
  <c r="M13" i="29"/>
  <c r="M15" i="29"/>
  <c r="M17" i="29"/>
  <c r="M19" i="29"/>
  <c r="M21" i="29"/>
  <c r="M23" i="29"/>
  <c r="M25" i="29"/>
  <c r="M27" i="29"/>
  <c r="M29" i="29"/>
  <c r="M14" i="29"/>
  <c r="M16" i="29"/>
  <c r="M18" i="29"/>
  <c r="M20" i="29"/>
  <c r="M22" i="29"/>
  <c r="M24" i="29"/>
  <c r="M26" i="29"/>
  <c r="M28" i="29"/>
  <c r="M30" i="29"/>
  <c r="AM13" i="30"/>
  <c r="AM33" i="30"/>
  <c r="AM22" i="30"/>
  <c r="AM37" i="30"/>
  <c r="AM28" i="30"/>
  <c r="AM43" i="30"/>
  <c r="AM30" i="30"/>
  <c r="AM35" i="30"/>
  <c r="AM14" i="30"/>
  <c r="AM34" i="30"/>
  <c r="AM4" i="30"/>
  <c r="AM40" i="30"/>
  <c r="AM8" i="30"/>
  <c r="AM41" i="30"/>
  <c r="AM6" i="30"/>
  <c r="AM47" i="30"/>
  <c r="AM10" i="30"/>
  <c r="AM46" i="30"/>
  <c r="AM2" i="30"/>
  <c r="AM38" i="30"/>
  <c r="AM3" i="30"/>
  <c r="AM32" i="30"/>
  <c r="AM11" i="30"/>
  <c r="AM39" i="30"/>
  <c r="AM15" i="30"/>
  <c r="AM44" i="30"/>
  <c r="AM26" i="30"/>
  <c r="AM36" i="30"/>
  <c r="AM19" i="30"/>
  <c r="AM42" i="30"/>
  <c r="D60" i="20"/>
  <c r="D41" i="20"/>
  <c r="H8" i="20"/>
  <c r="D46" i="20"/>
  <c r="H10" i="20"/>
  <c r="U53" i="37"/>
  <c r="U67" i="37"/>
  <c r="AT40" i="37"/>
  <c r="AT36" i="37"/>
  <c r="AV36" i="37"/>
  <c r="AO34" i="37"/>
  <c r="AQ34" i="37"/>
  <c r="AQ14" i="37"/>
  <c r="AT49" i="37"/>
  <c r="AO49" i="37"/>
  <c r="AJ2" i="29"/>
  <c r="AJ38" i="29"/>
  <c r="BJ2" i="29"/>
  <c r="BJ38" i="29"/>
  <c r="AJ3" i="29"/>
  <c r="BJ3" i="29"/>
  <c r="BJ32" i="29"/>
  <c r="AJ4" i="29"/>
  <c r="BJ4" i="29"/>
  <c r="BJ40" i="29"/>
  <c r="AJ5" i="29"/>
  <c r="BJ5" i="29"/>
  <c r="BJ12" i="29"/>
  <c r="AJ13" i="29"/>
  <c r="BJ13" i="29"/>
  <c r="BJ33" i="29"/>
  <c r="AJ14" i="29"/>
  <c r="BJ14" i="29"/>
  <c r="BJ34" i="29"/>
  <c r="AJ15" i="29"/>
  <c r="BJ15" i="29"/>
  <c r="BJ44" i="29"/>
  <c r="AJ16" i="29"/>
  <c r="BJ16" i="29"/>
  <c r="AJ17" i="29"/>
  <c r="BJ17" i="29"/>
  <c r="AJ18" i="29"/>
  <c r="BJ18" i="29"/>
  <c r="AJ19" i="29"/>
  <c r="BJ19" i="29"/>
  <c r="BJ42" i="29"/>
  <c r="AJ20" i="29"/>
  <c r="BJ20" i="29"/>
  <c r="AJ21" i="29"/>
  <c r="BJ21" i="29"/>
  <c r="AJ22" i="29"/>
  <c r="BJ22" i="29"/>
  <c r="BJ37" i="29"/>
  <c r="AJ23" i="29"/>
  <c r="BJ23" i="29"/>
  <c r="BJ49" i="29"/>
  <c r="AJ24" i="29"/>
  <c r="BJ24" i="29"/>
  <c r="AJ25" i="29"/>
  <c r="BJ25" i="29"/>
  <c r="AJ26" i="29"/>
  <c r="BJ26" i="29"/>
  <c r="BJ36" i="29"/>
  <c r="AJ27" i="29"/>
  <c r="BJ27" i="29"/>
  <c r="AJ28" i="29"/>
  <c r="BJ28" i="29"/>
  <c r="BJ43" i="29"/>
  <c r="AJ29" i="29"/>
  <c r="BJ29" i="29"/>
  <c r="AJ30" i="29"/>
  <c r="BJ30" i="29"/>
  <c r="BJ35" i="29"/>
  <c r="AJ6" i="29"/>
  <c r="BJ7" i="29"/>
  <c r="AJ8" i="29"/>
  <c r="BJ9" i="29"/>
  <c r="AJ10" i="29"/>
  <c r="BJ11" i="29"/>
  <c r="BJ39" i="29"/>
  <c r="AJ12" i="29"/>
  <c r="BJ6" i="29"/>
  <c r="BI47" i="29"/>
  <c r="AJ9" i="29"/>
  <c r="AJ7" i="29"/>
  <c r="BJ10" i="29"/>
  <c r="BI46" i="29"/>
  <c r="BJ8" i="29"/>
  <c r="BJ41" i="29"/>
  <c r="AJ11" i="29"/>
  <c r="CJ3" i="30"/>
  <c r="CJ32" i="30"/>
  <c r="CJ4" i="30"/>
  <c r="CJ40" i="30"/>
  <c r="CJ5" i="30"/>
  <c r="CJ6" i="30"/>
  <c r="CJ47" i="30"/>
  <c r="CJ7" i="30"/>
  <c r="CJ8" i="30"/>
  <c r="CJ41" i="30"/>
  <c r="CJ9" i="30"/>
  <c r="CJ68" i="30"/>
  <c r="CJ10" i="30"/>
  <c r="CJ46" i="30"/>
  <c r="CJ11" i="30"/>
  <c r="CJ39" i="30"/>
  <c r="CJ12" i="30"/>
  <c r="CJ13" i="30"/>
  <c r="CJ33" i="30"/>
  <c r="CJ14" i="30"/>
  <c r="CJ34" i="30"/>
  <c r="CJ15" i="30"/>
  <c r="CJ44" i="30"/>
  <c r="CJ16" i="30"/>
  <c r="CJ17" i="30"/>
  <c r="CJ18" i="30"/>
  <c r="CJ19" i="30"/>
  <c r="CJ42" i="30"/>
  <c r="CJ20" i="30"/>
  <c r="CJ21" i="30"/>
  <c r="CJ65" i="30"/>
  <c r="CJ22" i="30"/>
  <c r="CJ37" i="30"/>
  <c r="CJ23" i="30"/>
  <c r="CJ49" i="30"/>
  <c r="CJ24" i="30"/>
  <c r="CJ25" i="30"/>
  <c r="CJ26" i="30"/>
  <c r="CJ36" i="30"/>
  <c r="CJ27" i="30"/>
  <c r="CJ28" i="30"/>
  <c r="CJ43" i="30"/>
  <c r="CJ29" i="30"/>
  <c r="CJ30" i="30"/>
  <c r="CJ35" i="30"/>
  <c r="AQ2" i="29"/>
  <c r="BQ2" i="29"/>
  <c r="BQ38" i="29"/>
  <c r="AQ3" i="29"/>
  <c r="BQ3" i="29"/>
  <c r="BQ32" i="29"/>
  <c r="AQ4" i="29"/>
  <c r="BQ4" i="29"/>
  <c r="BQ40" i="29"/>
  <c r="AQ5" i="29"/>
  <c r="BQ5" i="29"/>
  <c r="AQ6" i="29"/>
  <c r="BQ6" i="29"/>
  <c r="BP47" i="29"/>
  <c r="AQ7" i="29"/>
  <c r="BQ7" i="29"/>
  <c r="AQ8" i="29"/>
  <c r="BQ8" i="29"/>
  <c r="BQ41" i="29"/>
  <c r="AQ9" i="29"/>
  <c r="BQ9" i="29"/>
  <c r="AQ10" i="29"/>
  <c r="BQ10" i="29"/>
  <c r="BP46" i="29"/>
  <c r="AQ11" i="29"/>
  <c r="BQ11" i="29"/>
  <c r="BQ39" i="29"/>
  <c r="AQ12" i="29"/>
  <c r="AQ27" i="29"/>
  <c r="BQ13" i="29"/>
  <c r="BQ33" i="29"/>
  <c r="AQ14" i="29"/>
  <c r="BQ15" i="29"/>
  <c r="BQ44" i="29"/>
  <c r="AQ16" i="29"/>
  <c r="BQ17" i="29"/>
  <c r="AQ18" i="29"/>
  <c r="BQ19" i="29"/>
  <c r="BQ42" i="29"/>
  <c r="AQ20" i="29"/>
  <c r="BQ21" i="29"/>
  <c r="AQ22" i="29"/>
  <c r="BQ23" i="29"/>
  <c r="BQ49" i="29"/>
  <c r="AQ24" i="29"/>
  <c r="BQ25" i="29"/>
  <c r="AQ26" i="29"/>
  <c r="BQ27" i="29"/>
  <c r="AQ28" i="29"/>
  <c r="BQ29" i="29"/>
  <c r="AQ30" i="29"/>
  <c r="AQ19" i="29"/>
  <c r="BQ20" i="29"/>
  <c r="BQ22" i="29"/>
  <c r="BQ37" i="29"/>
  <c r="BQ24" i="29"/>
  <c r="AQ25" i="29"/>
  <c r="BQ28" i="29"/>
  <c r="BQ43" i="29"/>
  <c r="AQ29" i="29"/>
  <c r="BQ30" i="29"/>
  <c r="BQ35" i="29"/>
  <c r="BQ12" i="29"/>
  <c r="AQ13" i="29"/>
  <c r="BQ14" i="29"/>
  <c r="BQ34" i="29"/>
  <c r="AQ15" i="29"/>
  <c r="BQ16" i="29"/>
  <c r="AQ17" i="29"/>
  <c r="BQ18" i="29"/>
  <c r="AQ21" i="29"/>
  <c r="AQ23" i="29"/>
  <c r="BQ26" i="29"/>
  <c r="BQ36" i="29"/>
  <c r="CQ4" i="30"/>
  <c r="CQ40" i="30"/>
  <c r="CQ6" i="30"/>
  <c r="CQ47" i="30"/>
  <c r="CQ7" i="30"/>
  <c r="CQ9" i="30"/>
  <c r="CQ15" i="30"/>
  <c r="CQ44" i="30"/>
  <c r="CQ16" i="30"/>
  <c r="CQ18" i="30"/>
  <c r="CQ19" i="30"/>
  <c r="CQ42" i="30"/>
  <c r="CQ21" i="30"/>
  <c r="CQ23" i="30"/>
  <c r="CQ49" i="30"/>
  <c r="CQ24" i="30"/>
  <c r="CQ25" i="30"/>
  <c r="CQ26" i="30"/>
  <c r="CQ36" i="30"/>
  <c r="CQ27" i="30"/>
  <c r="CQ17" i="30"/>
  <c r="CQ29" i="30"/>
  <c r="CQ30" i="30"/>
  <c r="CQ35" i="30"/>
  <c r="CQ3" i="30"/>
  <c r="CQ32" i="30"/>
  <c r="CQ5" i="30"/>
  <c r="CQ8" i="30"/>
  <c r="CQ41" i="30"/>
  <c r="CQ10" i="30"/>
  <c r="CQ46" i="30"/>
  <c r="CQ11" i="30"/>
  <c r="CQ39" i="30"/>
  <c r="CQ12" i="30"/>
  <c r="CQ13" i="30"/>
  <c r="CQ33" i="30"/>
  <c r="CQ14" i="30"/>
  <c r="CQ34" i="30"/>
  <c r="CQ20" i="30"/>
  <c r="CQ22" i="30"/>
  <c r="CQ37" i="30"/>
  <c r="CQ28" i="30"/>
  <c r="CQ43" i="30"/>
  <c r="BY2" i="29"/>
  <c r="BY38" i="29"/>
  <c r="AY3" i="29"/>
  <c r="BY4" i="29"/>
  <c r="BY40" i="29"/>
  <c r="AY5" i="29"/>
  <c r="AY6" i="29"/>
  <c r="BY7" i="29"/>
  <c r="AY8" i="29"/>
  <c r="BY9" i="29"/>
  <c r="AY10" i="29"/>
  <c r="BY11" i="29"/>
  <c r="BY39" i="29"/>
  <c r="AY12" i="29"/>
  <c r="AY2" i="29"/>
  <c r="AY38" i="29"/>
  <c r="BY3" i="29"/>
  <c r="BY32" i="29"/>
  <c r="AY4" i="29"/>
  <c r="BY6" i="29"/>
  <c r="BX47" i="29"/>
  <c r="AY7" i="29"/>
  <c r="BY8" i="29"/>
  <c r="BY41" i="29"/>
  <c r="AY9" i="29"/>
  <c r="BY10" i="29"/>
  <c r="BX46" i="29"/>
  <c r="AY11" i="29"/>
  <c r="BY12" i="29"/>
  <c r="AY13" i="29"/>
  <c r="BY13" i="29"/>
  <c r="BY33" i="29"/>
  <c r="AY14" i="29"/>
  <c r="BY14" i="29"/>
  <c r="BY34" i="29"/>
  <c r="AY15" i="29"/>
  <c r="BY15" i="29"/>
  <c r="BY44" i="29"/>
  <c r="AY16" i="29"/>
  <c r="BY16" i="29"/>
  <c r="AY17" i="29"/>
  <c r="BY17" i="29"/>
  <c r="AY18" i="29"/>
  <c r="BY18" i="29"/>
  <c r="AY19" i="29"/>
  <c r="BY19" i="29"/>
  <c r="BY42" i="29"/>
  <c r="AY20" i="29"/>
  <c r="BY20" i="29"/>
  <c r="AY21" i="29"/>
  <c r="BY21" i="29"/>
  <c r="AY22" i="29"/>
  <c r="BY22" i="29"/>
  <c r="BY37" i="29"/>
  <c r="AY23" i="29"/>
  <c r="BY23" i="29"/>
  <c r="BY49" i="29"/>
  <c r="AY24" i="29"/>
  <c r="BY24" i="29"/>
  <c r="AY25" i="29"/>
  <c r="BY25" i="29"/>
  <c r="AY26" i="29"/>
  <c r="BY26" i="29"/>
  <c r="BY36" i="29"/>
  <c r="AY27" i="29"/>
  <c r="BY27" i="29"/>
  <c r="AY28" i="29"/>
  <c r="BY28" i="29"/>
  <c r="BY43" i="29"/>
  <c r="AY29" i="29"/>
  <c r="BY29" i="29"/>
  <c r="AY30" i="29"/>
  <c r="BY30" i="29"/>
  <c r="BY35" i="29"/>
  <c r="BY5" i="29"/>
  <c r="CY3" i="30"/>
  <c r="CY32" i="30"/>
  <c r="CY4" i="30"/>
  <c r="CY40" i="30"/>
  <c r="CY5" i="30"/>
  <c r="CY6" i="30"/>
  <c r="CY47" i="30"/>
  <c r="CY7" i="30"/>
  <c r="CY8" i="30"/>
  <c r="CY41" i="30"/>
  <c r="CY9" i="30"/>
  <c r="CY10" i="30"/>
  <c r="CY46" i="30"/>
  <c r="CY11" i="30"/>
  <c r="CY39" i="30"/>
  <c r="CY12" i="30"/>
  <c r="CY13" i="30"/>
  <c r="CY33" i="30"/>
  <c r="CY14" i="30"/>
  <c r="CY34" i="30"/>
  <c r="CY15" i="30"/>
  <c r="CY44" i="30"/>
  <c r="CY16" i="30"/>
  <c r="CY17" i="30"/>
  <c r="CY18" i="30"/>
  <c r="CY19" i="30"/>
  <c r="CY42" i="30"/>
  <c r="CY20" i="30"/>
  <c r="CY21" i="30"/>
  <c r="CY22" i="30"/>
  <c r="CY37" i="30"/>
  <c r="CY23" i="30"/>
  <c r="CY49" i="30"/>
  <c r="CY24" i="30"/>
  <c r="CY25" i="30"/>
  <c r="CY26" i="30"/>
  <c r="CY36" i="30"/>
  <c r="CY27" i="30"/>
  <c r="CY28" i="30"/>
  <c r="CY43" i="30"/>
  <c r="CY29" i="30"/>
  <c r="CY30" i="30"/>
  <c r="CY35" i="30"/>
  <c r="L35" i="18"/>
  <c r="L37" i="18"/>
  <c r="L47" i="18"/>
  <c r="L49" i="18"/>
  <c r="L32" i="18"/>
  <c r="L43" i="18"/>
  <c r="L41" i="18"/>
  <c r="L40" i="18"/>
  <c r="AB38" i="29"/>
  <c r="R2" i="29"/>
  <c r="R38" i="29"/>
  <c r="R3" i="29"/>
  <c r="R4" i="29"/>
  <c r="R5" i="29"/>
  <c r="R13" i="29"/>
  <c r="R14" i="29"/>
  <c r="R15" i="29"/>
  <c r="R16" i="29"/>
  <c r="R17" i="29"/>
  <c r="R18" i="29"/>
  <c r="R19" i="29"/>
  <c r="R20" i="29"/>
  <c r="R21" i="29"/>
  <c r="R22" i="29"/>
  <c r="R23" i="29"/>
  <c r="R24" i="29"/>
  <c r="R25" i="29"/>
  <c r="R26" i="29"/>
  <c r="R27" i="29"/>
  <c r="R28" i="29"/>
  <c r="R29" i="29"/>
  <c r="R30" i="29"/>
  <c r="R6" i="29"/>
  <c r="R8" i="29"/>
  <c r="R10" i="29"/>
  <c r="R12" i="29"/>
  <c r="R11" i="29"/>
  <c r="R9" i="29"/>
  <c r="R7" i="29"/>
  <c r="AR6" i="30"/>
  <c r="AR47" i="30"/>
  <c r="AR10" i="30"/>
  <c r="AR46" i="30"/>
  <c r="AR14" i="30"/>
  <c r="AR34" i="30"/>
  <c r="AR19" i="30"/>
  <c r="AR42" i="30"/>
  <c r="AR2" i="30"/>
  <c r="AR38" i="30"/>
  <c r="AR28" i="30"/>
  <c r="AR43" i="30"/>
  <c r="AR30" i="30"/>
  <c r="AR35" i="30"/>
  <c r="AR3" i="30"/>
  <c r="AR32" i="30"/>
  <c r="AR13" i="30"/>
  <c r="AR33" i="30"/>
  <c r="AR22" i="30"/>
  <c r="AR37" i="30"/>
  <c r="AR11" i="30"/>
  <c r="AR39" i="30"/>
  <c r="AR15" i="30"/>
  <c r="AR44" i="30"/>
  <c r="AR26" i="30"/>
  <c r="AR36" i="30"/>
  <c r="AR4" i="30"/>
  <c r="AR40" i="30"/>
  <c r="AR8" i="30"/>
  <c r="AR41" i="30"/>
  <c r="H21" i="20"/>
  <c r="D65" i="20"/>
  <c r="D51" i="20"/>
  <c r="H25" i="20"/>
  <c r="D50" i="20"/>
  <c r="D64" i="20"/>
  <c r="D34" i="20"/>
  <c r="H14" i="20"/>
  <c r="D32" i="20"/>
  <c r="H3" i="20"/>
  <c r="BG2" i="29"/>
  <c r="BG38" i="29"/>
  <c r="BG3" i="29"/>
  <c r="BG32" i="29"/>
  <c r="BG4" i="29"/>
  <c r="BG40" i="29"/>
  <c r="BH2" i="29"/>
  <c r="BH38" i="29"/>
  <c r="AH3" i="29"/>
  <c r="BH4" i="29"/>
  <c r="BH40" i="29"/>
  <c r="AH5" i="29"/>
  <c r="AH6" i="29"/>
  <c r="BH7" i="29"/>
  <c r="AH8" i="29"/>
  <c r="BH9" i="29"/>
  <c r="AH10" i="29"/>
  <c r="BH11" i="29"/>
  <c r="BH39" i="29"/>
  <c r="AH12" i="29"/>
  <c r="BG6" i="29"/>
  <c r="BF47" i="29"/>
  <c r="BG8" i="29"/>
  <c r="BG41" i="29"/>
  <c r="BG10" i="29"/>
  <c r="BF46" i="29"/>
  <c r="BG12" i="29"/>
  <c r="BG13" i="29"/>
  <c r="BG33" i="29"/>
  <c r="BG14" i="29"/>
  <c r="BG34" i="29"/>
  <c r="BG15" i="29"/>
  <c r="BG44" i="29"/>
  <c r="BG16" i="29"/>
  <c r="BG17" i="29"/>
  <c r="BG18" i="29"/>
  <c r="BG19" i="29"/>
  <c r="BG42" i="29"/>
  <c r="BG20" i="29"/>
  <c r="BG21" i="29"/>
  <c r="BG22" i="29"/>
  <c r="BG37" i="29"/>
  <c r="BG23" i="29"/>
  <c r="BG49" i="29"/>
  <c r="BG24" i="29"/>
  <c r="BG25" i="29"/>
  <c r="BG26" i="29"/>
  <c r="BG36" i="29"/>
  <c r="BG27" i="29"/>
  <c r="BG28" i="29"/>
  <c r="BG43" i="29"/>
  <c r="BG29" i="29"/>
  <c r="BG30" i="29"/>
  <c r="BG35" i="29"/>
  <c r="AH2" i="29"/>
  <c r="AH38" i="29"/>
  <c r="BH3" i="29"/>
  <c r="BH32" i="29"/>
  <c r="AH4" i="29"/>
  <c r="BG5" i="29"/>
  <c r="BH6" i="29"/>
  <c r="BG47" i="29"/>
  <c r="AH7" i="29"/>
  <c r="BH8" i="29"/>
  <c r="BH41" i="29"/>
  <c r="AH9" i="29"/>
  <c r="BH10" i="29"/>
  <c r="BG46" i="29"/>
  <c r="AH11" i="29"/>
  <c r="BH12" i="29"/>
  <c r="AH13" i="29"/>
  <c r="BH13" i="29"/>
  <c r="BH33" i="29"/>
  <c r="AH14" i="29"/>
  <c r="BH14" i="29"/>
  <c r="BH34" i="29"/>
  <c r="AH15" i="29"/>
  <c r="BH15" i="29"/>
  <c r="BH44" i="29"/>
  <c r="AH16" i="29"/>
  <c r="BH16" i="29"/>
  <c r="AH17" i="29"/>
  <c r="BH17" i="29"/>
  <c r="AH18" i="29"/>
  <c r="BH18" i="29"/>
  <c r="AH19" i="29"/>
  <c r="BH19" i="29"/>
  <c r="BH42" i="29"/>
  <c r="AH20" i="29"/>
  <c r="BH20" i="29"/>
  <c r="AH21" i="29"/>
  <c r="BH21" i="29"/>
  <c r="AH22" i="29"/>
  <c r="BH22" i="29"/>
  <c r="BH37" i="29"/>
  <c r="AH23" i="29"/>
  <c r="BH23" i="29"/>
  <c r="BH49" i="29"/>
  <c r="AH24" i="29"/>
  <c r="BH24" i="29"/>
  <c r="AH25" i="29"/>
  <c r="BH25" i="29"/>
  <c r="AH26" i="29"/>
  <c r="BH26" i="29"/>
  <c r="BH36" i="29"/>
  <c r="AH27" i="29"/>
  <c r="BH27" i="29"/>
  <c r="AH28" i="29"/>
  <c r="BH28" i="29"/>
  <c r="BH43" i="29"/>
  <c r="AH29" i="29"/>
  <c r="BH29" i="29"/>
  <c r="AH30" i="29"/>
  <c r="BH30" i="29"/>
  <c r="BH35" i="29"/>
  <c r="BH5" i="29"/>
  <c r="BG9" i="29"/>
  <c r="BG7" i="29"/>
  <c r="BG11" i="29"/>
  <c r="BG39" i="29"/>
  <c r="CG3" i="30"/>
  <c r="CG32" i="30"/>
  <c r="CG4" i="30"/>
  <c r="CG40" i="30"/>
  <c r="CG5" i="30"/>
  <c r="CG6" i="30"/>
  <c r="CG47" i="30"/>
  <c r="CG7" i="30"/>
  <c r="CG8" i="30"/>
  <c r="CG41" i="30"/>
  <c r="CG9" i="30"/>
  <c r="CG54" i="30"/>
  <c r="CG10" i="30"/>
  <c r="CG46" i="30"/>
  <c r="CG11" i="30"/>
  <c r="CG39" i="30"/>
  <c r="CG12" i="30"/>
  <c r="CG13" i="30"/>
  <c r="CG33" i="30"/>
  <c r="CG14" i="30"/>
  <c r="CG34" i="30"/>
  <c r="CG15" i="30"/>
  <c r="CG44" i="30"/>
  <c r="CG16" i="30"/>
  <c r="CG17" i="30"/>
  <c r="CG18" i="30"/>
  <c r="CG19" i="30"/>
  <c r="CG42" i="30"/>
  <c r="CG20" i="30"/>
  <c r="CG21" i="30"/>
  <c r="CG65" i="30"/>
  <c r="CG22" i="30"/>
  <c r="CG37" i="30"/>
  <c r="CG23" i="30"/>
  <c r="CG49" i="30"/>
  <c r="CG24" i="30"/>
  <c r="CG25" i="30"/>
  <c r="CG26" i="30"/>
  <c r="CG36" i="30"/>
  <c r="CG27" i="30"/>
  <c r="CG28" i="30"/>
  <c r="CG43" i="30"/>
  <c r="CG29" i="30"/>
  <c r="CG30" i="30"/>
  <c r="CG35" i="30"/>
  <c r="CH3" i="30"/>
  <c r="CH32" i="30"/>
  <c r="CH4" i="30"/>
  <c r="CH40" i="30"/>
  <c r="CH5" i="30"/>
  <c r="CH6" i="30"/>
  <c r="CH47" i="30"/>
  <c r="CH7" i="30"/>
  <c r="CH8" i="30"/>
  <c r="CH41" i="30"/>
  <c r="CH9" i="30"/>
  <c r="CH10" i="30"/>
  <c r="CH46" i="30"/>
  <c r="CH11" i="30"/>
  <c r="CH39" i="30"/>
  <c r="CH12" i="30"/>
  <c r="CH13" i="30"/>
  <c r="CH33" i="30"/>
  <c r="CH14" i="30"/>
  <c r="CH34" i="30"/>
  <c r="CH15" i="30"/>
  <c r="CH44" i="30"/>
  <c r="CH16" i="30"/>
  <c r="CH58" i="30"/>
  <c r="CH17" i="30"/>
  <c r="CH18" i="30"/>
  <c r="CH19" i="30"/>
  <c r="CH42" i="30"/>
  <c r="CH20" i="30"/>
  <c r="CH21" i="30"/>
  <c r="CH22" i="30"/>
  <c r="CH37" i="30"/>
  <c r="CH23" i="30"/>
  <c r="CH49" i="30"/>
  <c r="CH24" i="30"/>
  <c r="CH25" i="30"/>
  <c r="CH26" i="30"/>
  <c r="CH36" i="30"/>
  <c r="CH27" i="30"/>
  <c r="CH28" i="30"/>
  <c r="CH43" i="30"/>
  <c r="CH29" i="30"/>
  <c r="CH30" i="30"/>
  <c r="CH35" i="30"/>
  <c r="AK2" i="29"/>
  <c r="AK38" i="29"/>
  <c r="BK2" i="29"/>
  <c r="BK38" i="29"/>
  <c r="AK3" i="29"/>
  <c r="BK3" i="29"/>
  <c r="BK32" i="29"/>
  <c r="AK4" i="29"/>
  <c r="BK4" i="29"/>
  <c r="BK40" i="29"/>
  <c r="AK5" i="29"/>
  <c r="BK5" i="29"/>
  <c r="BK6" i="29"/>
  <c r="BJ47" i="29"/>
  <c r="AK7" i="29"/>
  <c r="BK8" i="29"/>
  <c r="BK41" i="29"/>
  <c r="AK9" i="29"/>
  <c r="BK10" i="29"/>
  <c r="BJ46" i="29"/>
  <c r="AK11" i="29"/>
  <c r="BK12" i="29"/>
  <c r="AK13" i="29"/>
  <c r="BK13" i="29"/>
  <c r="BK33" i="29"/>
  <c r="AK14" i="29"/>
  <c r="BK14" i="29"/>
  <c r="BK34" i="29"/>
  <c r="AK15" i="29"/>
  <c r="BK15" i="29"/>
  <c r="BK44" i="29"/>
  <c r="AK16" i="29"/>
  <c r="BK16" i="29"/>
  <c r="AK17" i="29"/>
  <c r="BK17" i="29"/>
  <c r="AK18" i="29"/>
  <c r="BK18" i="29"/>
  <c r="AK19" i="29"/>
  <c r="BK19" i="29"/>
  <c r="BK42" i="29"/>
  <c r="AK20" i="29"/>
  <c r="BK20" i="29"/>
  <c r="AK21" i="29"/>
  <c r="BK21" i="29"/>
  <c r="AK22" i="29"/>
  <c r="BK22" i="29"/>
  <c r="BK37" i="29"/>
  <c r="AK23" i="29"/>
  <c r="BK23" i="29"/>
  <c r="BK49" i="29"/>
  <c r="AK24" i="29"/>
  <c r="BK24" i="29"/>
  <c r="AK25" i="29"/>
  <c r="BK25" i="29"/>
  <c r="AK26" i="29"/>
  <c r="BK26" i="29"/>
  <c r="BK36" i="29"/>
  <c r="AK27" i="29"/>
  <c r="BK27" i="29"/>
  <c r="AK28" i="29"/>
  <c r="BK28" i="29"/>
  <c r="BK43" i="29"/>
  <c r="AK29" i="29"/>
  <c r="BK29" i="29"/>
  <c r="AK30" i="29"/>
  <c r="BK30" i="29"/>
  <c r="BK35" i="29"/>
  <c r="AK6" i="29"/>
  <c r="BK7" i="29"/>
  <c r="AK8" i="29"/>
  <c r="BK9" i="29"/>
  <c r="AK10" i="29"/>
  <c r="BK11" i="29"/>
  <c r="BK39" i="29"/>
  <c r="AK12" i="29"/>
  <c r="CK3" i="30"/>
  <c r="CK32" i="30"/>
  <c r="CK4" i="30"/>
  <c r="CK40" i="30"/>
  <c r="CK5" i="30"/>
  <c r="CK6" i="30"/>
  <c r="CK47" i="30"/>
  <c r="CK7" i="30"/>
  <c r="CK8" i="30"/>
  <c r="CK41" i="30"/>
  <c r="CK9" i="30"/>
  <c r="CK10" i="30"/>
  <c r="CK46" i="30"/>
  <c r="CK11" i="30"/>
  <c r="CK39" i="30"/>
  <c r="CK12" i="30"/>
  <c r="CK13" i="30"/>
  <c r="CK33" i="30"/>
  <c r="CK14" i="30"/>
  <c r="CK34" i="30"/>
  <c r="CK15" i="30"/>
  <c r="CK44" i="30"/>
  <c r="CK16" i="30"/>
  <c r="CK17" i="30"/>
  <c r="CK18" i="30"/>
  <c r="CK19" i="30"/>
  <c r="CK42" i="30"/>
  <c r="CK20" i="30"/>
  <c r="CK21" i="30"/>
  <c r="CK22" i="30"/>
  <c r="CK37" i="30"/>
  <c r="CK23" i="30"/>
  <c r="CK49" i="30"/>
  <c r="CK24" i="30"/>
  <c r="CK25" i="30"/>
  <c r="CK26" i="30"/>
  <c r="CK36" i="30"/>
  <c r="CK27" i="30"/>
  <c r="CK28" i="30"/>
  <c r="CK43" i="30"/>
  <c r="CK29" i="30"/>
  <c r="CK30" i="30"/>
  <c r="CK35" i="30"/>
  <c r="AO2" i="29"/>
  <c r="AO38" i="29"/>
  <c r="BO2" i="29"/>
  <c r="BO38" i="29"/>
  <c r="AO3" i="29"/>
  <c r="BO3" i="29"/>
  <c r="BO32" i="29"/>
  <c r="AO4" i="29"/>
  <c r="BO4" i="29"/>
  <c r="BO40" i="29"/>
  <c r="AO5" i="29"/>
  <c r="AO6" i="29"/>
  <c r="BO7" i="29"/>
  <c r="AO8" i="29"/>
  <c r="BO9" i="29"/>
  <c r="AO10" i="29"/>
  <c r="BO11" i="29"/>
  <c r="BO39" i="29"/>
  <c r="AO12" i="29"/>
  <c r="BO12" i="29"/>
  <c r="AO13" i="29"/>
  <c r="BO13" i="29"/>
  <c r="BO33" i="29"/>
  <c r="AO14" i="29"/>
  <c r="BO14" i="29"/>
  <c r="BO34" i="29"/>
  <c r="AO15" i="29"/>
  <c r="BO15" i="29"/>
  <c r="BO44" i="29"/>
  <c r="AO16" i="29"/>
  <c r="BO16" i="29"/>
  <c r="AO17" i="29"/>
  <c r="BO17" i="29"/>
  <c r="AO18" i="29"/>
  <c r="BO18" i="29"/>
  <c r="AO19" i="29"/>
  <c r="BO19" i="29"/>
  <c r="BO42" i="29"/>
  <c r="AO20" i="29"/>
  <c r="BO20" i="29"/>
  <c r="AO21" i="29"/>
  <c r="BO21" i="29"/>
  <c r="AO22" i="29"/>
  <c r="BO22" i="29"/>
  <c r="BO37" i="29"/>
  <c r="AO23" i="29"/>
  <c r="BO23" i="29"/>
  <c r="BO49" i="29"/>
  <c r="AO24" i="29"/>
  <c r="BO24" i="29"/>
  <c r="AO25" i="29"/>
  <c r="BO25" i="29"/>
  <c r="AO26" i="29"/>
  <c r="BO26" i="29"/>
  <c r="BO36" i="29"/>
  <c r="AO27" i="29"/>
  <c r="BO27" i="29"/>
  <c r="AO28" i="29"/>
  <c r="BO28" i="29"/>
  <c r="BO43" i="29"/>
  <c r="AO29" i="29"/>
  <c r="BO29" i="29"/>
  <c r="AO30" i="29"/>
  <c r="BO30" i="29"/>
  <c r="BO35" i="29"/>
  <c r="BO5" i="29"/>
  <c r="BO8" i="29"/>
  <c r="BO41" i="29"/>
  <c r="AO11" i="29"/>
  <c r="BO6" i="29"/>
  <c r="BN47" i="29"/>
  <c r="AO9" i="29"/>
  <c r="AO7" i="29"/>
  <c r="BO10" i="29"/>
  <c r="BN46" i="29"/>
  <c r="CO3" i="30"/>
  <c r="CO32" i="30"/>
  <c r="CO4" i="30"/>
  <c r="CO40" i="30"/>
  <c r="CO5" i="30"/>
  <c r="CO6" i="30"/>
  <c r="CO47" i="30"/>
  <c r="CO7" i="30"/>
  <c r="CO8" i="30"/>
  <c r="CO41" i="30"/>
  <c r="CO9" i="30"/>
  <c r="CO10" i="30"/>
  <c r="CO46" i="30"/>
  <c r="CO11" i="30"/>
  <c r="CO39" i="30"/>
  <c r="CO12" i="30"/>
  <c r="CO13" i="30"/>
  <c r="CO33" i="30"/>
  <c r="CO14" i="30"/>
  <c r="CO34" i="30"/>
  <c r="CO15" i="30"/>
  <c r="CO44" i="30"/>
  <c r="CO16" i="30"/>
  <c r="CO17" i="30"/>
  <c r="CO18" i="30"/>
  <c r="CO19" i="30"/>
  <c r="CO42" i="30"/>
  <c r="CO20" i="30"/>
  <c r="CO21" i="30"/>
  <c r="CO22" i="30"/>
  <c r="CO37" i="30"/>
  <c r="CO23" i="30"/>
  <c r="CO49" i="30"/>
  <c r="CO24" i="30"/>
  <c r="CO25" i="30"/>
  <c r="CO26" i="30"/>
  <c r="CO36" i="30"/>
  <c r="CO27" i="30"/>
  <c r="CO28" i="30"/>
  <c r="CO43" i="30"/>
  <c r="CO29" i="30"/>
  <c r="CO30" i="30"/>
  <c r="CO35" i="30"/>
  <c r="AS2" i="29"/>
  <c r="AS38" i="29"/>
  <c r="BS2" i="29"/>
  <c r="BS38" i="29"/>
  <c r="AS3" i="29"/>
  <c r="BS3" i="29"/>
  <c r="BS32" i="29"/>
  <c r="AS4" i="29"/>
  <c r="BS4" i="29"/>
  <c r="BS40" i="29"/>
  <c r="AS5" i="29"/>
  <c r="BS5" i="29"/>
  <c r="AS6" i="29"/>
  <c r="BS7" i="29"/>
  <c r="AS8" i="29"/>
  <c r="BS9" i="29"/>
  <c r="AS10" i="29"/>
  <c r="BS11" i="29"/>
  <c r="BS39" i="29"/>
  <c r="AS12" i="29"/>
  <c r="BS12" i="29"/>
  <c r="AS13" i="29"/>
  <c r="BS13" i="29"/>
  <c r="BS33" i="29"/>
  <c r="AS14" i="29"/>
  <c r="BS14" i="29"/>
  <c r="BS34" i="29"/>
  <c r="AS15" i="29"/>
  <c r="BS15" i="29"/>
  <c r="BS44" i="29"/>
  <c r="AS16" i="29"/>
  <c r="BS16" i="29"/>
  <c r="AS17" i="29"/>
  <c r="BS17" i="29"/>
  <c r="AS18" i="29"/>
  <c r="BS18" i="29"/>
  <c r="AS19" i="29"/>
  <c r="BS19" i="29"/>
  <c r="BS42" i="29"/>
  <c r="AS20" i="29"/>
  <c r="BS20" i="29"/>
  <c r="AS21" i="29"/>
  <c r="BS21" i="29"/>
  <c r="AS22" i="29"/>
  <c r="BS22" i="29"/>
  <c r="BS37" i="29"/>
  <c r="AS23" i="29"/>
  <c r="BS23" i="29"/>
  <c r="BS49" i="29"/>
  <c r="AS24" i="29"/>
  <c r="BS24" i="29"/>
  <c r="AS25" i="29"/>
  <c r="BS25" i="29"/>
  <c r="AS26" i="29"/>
  <c r="BS26" i="29"/>
  <c r="BS36" i="29"/>
  <c r="AS27" i="29"/>
  <c r="BS27" i="29"/>
  <c r="AS28" i="29"/>
  <c r="BS28" i="29"/>
  <c r="BS43" i="29"/>
  <c r="AS29" i="29"/>
  <c r="BS29" i="29"/>
  <c r="AS30" i="29"/>
  <c r="BS30" i="29"/>
  <c r="BS35" i="29"/>
  <c r="BS6" i="29"/>
  <c r="BR47" i="29"/>
  <c r="AS7" i="29"/>
  <c r="BS8" i="29"/>
  <c r="BS41" i="29"/>
  <c r="AS9" i="29"/>
  <c r="BS10" i="29"/>
  <c r="BR46" i="29"/>
  <c r="AS11" i="29"/>
  <c r="CS3" i="30"/>
  <c r="CS32" i="30"/>
  <c r="CS4" i="30"/>
  <c r="CS40" i="30"/>
  <c r="CS5" i="30"/>
  <c r="CS6" i="30"/>
  <c r="CS47" i="30"/>
  <c r="CS7" i="30"/>
  <c r="CS8" i="30"/>
  <c r="CS41" i="30"/>
  <c r="CS9" i="30"/>
  <c r="CS10" i="30"/>
  <c r="CS46" i="30"/>
  <c r="CS11" i="30"/>
  <c r="CS39" i="30"/>
  <c r="CS12" i="30"/>
  <c r="CS13" i="30"/>
  <c r="CS33" i="30"/>
  <c r="CS14" i="30"/>
  <c r="CS34" i="30"/>
  <c r="CS15" i="30"/>
  <c r="CS44" i="30"/>
  <c r="CS16" i="30"/>
  <c r="CS17" i="30"/>
  <c r="CS18" i="30"/>
  <c r="CS19" i="30"/>
  <c r="CS42" i="30"/>
  <c r="CS20" i="30"/>
  <c r="CS21" i="30"/>
  <c r="CS22" i="30"/>
  <c r="CS37" i="30"/>
  <c r="CS23" i="30"/>
  <c r="CS49" i="30"/>
  <c r="CS24" i="30"/>
  <c r="CS25" i="30"/>
  <c r="CS26" i="30"/>
  <c r="CS36" i="30"/>
  <c r="CS27" i="30"/>
  <c r="CS28" i="30"/>
  <c r="CS43" i="30"/>
  <c r="CS29" i="30"/>
  <c r="CS30" i="30"/>
  <c r="CS35" i="30"/>
  <c r="BA38" i="29"/>
  <c r="EJ3" i="18"/>
  <c r="EJ7" i="18"/>
  <c r="EJ11" i="18"/>
  <c r="EJ39" i="18"/>
  <c r="EJ15" i="18"/>
  <c r="EJ19" i="18"/>
  <c r="EJ23" i="18"/>
  <c r="EJ49" i="18"/>
  <c r="EJ27" i="18"/>
  <c r="EJ2" i="18"/>
  <c r="H33" i="18"/>
  <c r="H40" i="18"/>
  <c r="EJ6" i="18"/>
  <c r="EJ14" i="18"/>
  <c r="EJ18" i="18"/>
  <c r="EJ26" i="18"/>
  <c r="EJ36" i="18"/>
  <c r="H36" i="18"/>
  <c r="H37" i="18"/>
  <c r="H46" i="18"/>
  <c r="EJ4" i="18"/>
  <c r="EJ8" i="18"/>
  <c r="EJ12" i="18"/>
  <c r="EJ16" i="18"/>
  <c r="EJ20" i="18"/>
  <c r="EJ24" i="18"/>
  <c r="EJ28" i="18"/>
  <c r="EJ43" i="18"/>
  <c r="H43" i="18"/>
  <c r="EJ5" i="18"/>
  <c r="EJ9" i="18"/>
  <c r="EJ13" i="18"/>
  <c r="EJ17" i="18"/>
  <c r="EJ21" i="18"/>
  <c r="EJ25" i="18"/>
  <c r="EJ29" i="18"/>
  <c r="H39" i="18"/>
  <c r="H32" i="18"/>
  <c r="EJ10" i="18"/>
  <c r="EJ46" i="18"/>
  <c r="EJ22" i="18"/>
  <c r="EJ30" i="18"/>
  <c r="EJ35" i="18"/>
  <c r="H47" i="18"/>
  <c r="H38" i="18"/>
  <c r="I43" i="18"/>
  <c r="I41" i="18"/>
  <c r="I49" i="18"/>
  <c r="I33" i="18"/>
  <c r="I39" i="18"/>
  <c r="I32" i="18"/>
  <c r="I36" i="18"/>
  <c r="I37" i="18"/>
  <c r="I47" i="18"/>
  <c r="I38" i="18"/>
  <c r="EO40" i="18"/>
  <c r="FD40" i="18"/>
  <c r="N41" i="18"/>
  <c r="N44" i="18"/>
  <c r="N32" i="18"/>
  <c r="EO44" i="18"/>
  <c r="FD44" i="18"/>
  <c r="EO49" i="18"/>
  <c r="FD49" i="18"/>
  <c r="EO38" i="18"/>
  <c r="FD38" i="18"/>
  <c r="N42" i="18"/>
  <c r="EO47" i="18"/>
  <c r="FD47" i="18"/>
  <c r="EO46" i="18"/>
  <c r="FD46" i="18"/>
  <c r="EO37" i="18"/>
  <c r="FD37" i="18"/>
  <c r="EO36" i="18"/>
  <c r="FD36" i="18"/>
  <c r="EO35" i="18"/>
  <c r="FD35" i="18"/>
  <c r="N36" i="18"/>
  <c r="N37" i="18"/>
  <c r="N47" i="18"/>
  <c r="N38" i="18"/>
  <c r="EO42" i="18"/>
  <c r="FD42" i="18"/>
  <c r="FI28" i="18"/>
  <c r="FI24" i="18"/>
  <c r="FI20" i="18"/>
  <c r="FI16" i="18"/>
  <c r="FI12" i="18"/>
  <c r="FI8" i="18"/>
  <c r="FI4" i="18"/>
  <c r="FI40" i="18"/>
  <c r="FI15" i="18"/>
  <c r="FI44" i="18"/>
  <c r="FI7" i="18"/>
  <c r="FI3" i="18"/>
  <c r="FI29" i="18"/>
  <c r="FI25" i="18"/>
  <c r="FI21" i="18"/>
  <c r="FI9" i="18"/>
  <c r="FI27" i="18"/>
  <c r="FI23" i="18"/>
  <c r="FI19" i="18"/>
  <c r="FI42" i="18"/>
  <c r="FI11" i="18"/>
  <c r="FI30" i="18"/>
  <c r="FI35" i="18"/>
  <c r="FI26" i="18"/>
  <c r="FI22" i="18"/>
  <c r="FI18" i="18"/>
  <c r="FI14" i="18"/>
  <c r="FI34" i="18"/>
  <c r="FI10" i="18"/>
  <c r="FI6" i="18"/>
  <c r="FI47" i="18"/>
  <c r="FI2" i="18"/>
  <c r="FI17" i="18"/>
  <c r="FI13" i="18"/>
  <c r="FI5" i="18"/>
  <c r="BU3" i="18"/>
  <c r="BU32" i="18"/>
  <c r="BU2" i="18"/>
  <c r="BU10" i="18"/>
  <c r="BU14" i="18"/>
  <c r="BU34" i="18"/>
  <c r="CJ34" i="18"/>
  <c r="BU18" i="18"/>
  <c r="BU22" i="18"/>
  <c r="BU37" i="18"/>
  <c r="CJ37" i="18"/>
  <c r="BU26" i="18"/>
  <c r="BU30" i="18"/>
  <c r="BU35" i="18"/>
  <c r="CJ35" i="18"/>
  <c r="BU5" i="18"/>
  <c r="BU4" i="18"/>
  <c r="BU7" i="18"/>
  <c r="BU11" i="18"/>
  <c r="BU39" i="18"/>
  <c r="CJ39" i="18"/>
  <c r="BU15" i="18"/>
  <c r="BU44" i="18"/>
  <c r="CJ44" i="18"/>
  <c r="BU19" i="18"/>
  <c r="BU42" i="18"/>
  <c r="CJ42" i="18"/>
  <c r="BU23" i="18"/>
  <c r="BU49" i="18"/>
  <c r="CJ49" i="18"/>
  <c r="BU27" i="18"/>
  <c r="BU6" i="18"/>
  <c r="BU9" i="18"/>
  <c r="BU13" i="18"/>
  <c r="BU17" i="18"/>
  <c r="BU21" i="18"/>
  <c r="BU25" i="18"/>
  <c r="BU29" i="18"/>
  <c r="BU8" i="18"/>
  <c r="BU41" i="18"/>
  <c r="CJ41" i="18"/>
  <c r="BU12" i="18"/>
  <c r="BU16" i="18"/>
  <c r="BU20" i="18"/>
  <c r="BU24" i="18"/>
  <c r="BU28" i="18"/>
  <c r="AW30" i="32"/>
  <c r="AW35" i="32"/>
  <c r="BA35" i="32"/>
  <c r="AW23" i="32"/>
  <c r="AW49" i="32"/>
  <c r="AW19" i="32"/>
  <c r="AW42" i="32"/>
  <c r="BA42" i="32"/>
  <c r="AW16" i="32"/>
  <c r="AW8" i="32"/>
  <c r="AW41" i="32"/>
  <c r="BA41" i="32"/>
  <c r="AW5" i="32"/>
  <c r="AW4" i="32"/>
  <c r="AW40" i="32"/>
  <c r="BA40" i="32"/>
  <c r="AW3" i="32"/>
  <c r="AW32" i="32"/>
  <c r="AW17" i="32"/>
  <c r="AW12" i="32"/>
  <c r="AW6" i="32"/>
  <c r="AW47" i="32"/>
  <c r="BA47" i="32"/>
  <c r="AW29" i="32"/>
  <c r="AW24" i="32"/>
  <c r="AW22" i="32"/>
  <c r="AW37" i="32"/>
  <c r="BA37" i="32"/>
  <c r="AW15" i="32"/>
  <c r="AW44" i="32"/>
  <c r="BA44" i="32"/>
  <c r="AW2" i="32"/>
  <c r="AW38" i="32"/>
  <c r="BA38" i="32"/>
  <c r="AW21" i="32"/>
  <c r="AW20" i="32"/>
  <c r="AW9" i="32"/>
  <c r="AW18" i="32"/>
  <c r="AW14" i="32"/>
  <c r="AW34" i="32"/>
  <c r="AW7" i="32"/>
  <c r="AW26" i="32"/>
  <c r="AW36" i="32"/>
  <c r="BA36" i="32"/>
  <c r="AW11" i="32"/>
  <c r="AW39" i="32"/>
  <c r="BA39" i="32"/>
  <c r="AW10" i="32"/>
  <c r="AW46" i="32"/>
  <c r="AW28" i="32"/>
  <c r="AW43" i="32"/>
  <c r="BA43" i="32"/>
  <c r="AW25" i="32"/>
  <c r="AW27" i="32"/>
  <c r="AW13" i="32"/>
  <c r="AW33" i="32"/>
  <c r="BA33" i="32"/>
  <c r="E2" i="29"/>
  <c r="E38" i="29"/>
  <c r="E3" i="29"/>
  <c r="E4" i="29"/>
  <c r="E40" i="29"/>
  <c r="E5" i="29"/>
  <c r="E6" i="29"/>
  <c r="E7" i="29"/>
  <c r="E8" i="29"/>
  <c r="E9" i="29"/>
  <c r="E10" i="29"/>
  <c r="E11" i="29"/>
  <c r="E12" i="29"/>
  <c r="E14" i="29"/>
  <c r="E16" i="29"/>
  <c r="E18" i="29"/>
  <c r="E20" i="29"/>
  <c r="E20" i="30"/>
  <c r="E22" i="29"/>
  <c r="E24" i="29"/>
  <c r="E26" i="29"/>
  <c r="E28" i="29"/>
  <c r="E30" i="29"/>
  <c r="E13" i="29"/>
  <c r="E15" i="29"/>
  <c r="E17" i="29"/>
  <c r="E19" i="29"/>
  <c r="E21" i="29"/>
  <c r="E23" i="29"/>
  <c r="E25" i="29"/>
  <c r="E25" i="30"/>
  <c r="E27" i="29"/>
  <c r="E29" i="29"/>
  <c r="AE13" i="30"/>
  <c r="AE33" i="30"/>
  <c r="AE22" i="30"/>
  <c r="AE37" i="30"/>
  <c r="AE28" i="30"/>
  <c r="AE43" i="30"/>
  <c r="AE30" i="30"/>
  <c r="AE35" i="30"/>
  <c r="AE6" i="30"/>
  <c r="AE47" i="30"/>
  <c r="AE10" i="30"/>
  <c r="AE46" i="30"/>
  <c r="AE4" i="30"/>
  <c r="AE40" i="30"/>
  <c r="AE8" i="30"/>
  <c r="AE41" i="30"/>
  <c r="AE19" i="30"/>
  <c r="AE42" i="30"/>
  <c r="AE3" i="30"/>
  <c r="AE32" i="30"/>
  <c r="AE11" i="30"/>
  <c r="AE39" i="30"/>
  <c r="AE15" i="30"/>
  <c r="AE44" i="30"/>
  <c r="AE26" i="30"/>
  <c r="AE36" i="30"/>
  <c r="AE14" i="30"/>
  <c r="AE34" i="30"/>
  <c r="AE2" i="30"/>
  <c r="AE38" i="30"/>
  <c r="I2" i="29"/>
  <c r="I38" i="29"/>
  <c r="I3" i="29"/>
  <c r="I4" i="29"/>
  <c r="I5" i="29"/>
  <c r="I6" i="29"/>
  <c r="I7" i="29"/>
  <c r="I8" i="29"/>
  <c r="I9" i="29"/>
  <c r="I10" i="29"/>
  <c r="I11" i="29"/>
  <c r="I12" i="29"/>
  <c r="I14" i="29"/>
  <c r="I16" i="29"/>
  <c r="I18" i="29"/>
  <c r="I20" i="29"/>
  <c r="I22" i="29"/>
  <c r="I24" i="29"/>
  <c r="I26" i="29"/>
  <c r="I28" i="29"/>
  <c r="I30" i="29"/>
  <c r="I19" i="29"/>
  <c r="I27" i="29"/>
  <c r="I13" i="29"/>
  <c r="I15" i="29"/>
  <c r="I17" i="29"/>
  <c r="I21" i="29"/>
  <c r="I23" i="29"/>
  <c r="I25" i="29"/>
  <c r="I29" i="29"/>
  <c r="AI13" i="30"/>
  <c r="AI33" i="30"/>
  <c r="AI22" i="30"/>
  <c r="AI37" i="30"/>
  <c r="AI28" i="30"/>
  <c r="AI43" i="30"/>
  <c r="AI30" i="30"/>
  <c r="AI35" i="30"/>
  <c r="AI19" i="30"/>
  <c r="AI42" i="30"/>
  <c r="AI2" i="30"/>
  <c r="AI38" i="30"/>
  <c r="AI4" i="30"/>
  <c r="AI40" i="30"/>
  <c r="AI8" i="30"/>
  <c r="AI41" i="30"/>
  <c r="AI14" i="30"/>
  <c r="AI34" i="30"/>
  <c r="AI3" i="30"/>
  <c r="AI32" i="30"/>
  <c r="AI11" i="30"/>
  <c r="AI39" i="30"/>
  <c r="AI15" i="30"/>
  <c r="AI44" i="30"/>
  <c r="AI26" i="30"/>
  <c r="AI36" i="30"/>
  <c r="AI6" i="30"/>
  <c r="AI47" i="30"/>
  <c r="AI10" i="30"/>
  <c r="AI46" i="30"/>
  <c r="L2" i="29"/>
  <c r="L38" i="29"/>
  <c r="L4" i="29"/>
  <c r="L6" i="29"/>
  <c r="L8" i="29"/>
  <c r="L10" i="29"/>
  <c r="L10" i="30"/>
  <c r="L46" i="30"/>
  <c r="L12" i="29"/>
  <c r="L13" i="29"/>
  <c r="L14" i="29"/>
  <c r="L15" i="29"/>
  <c r="L16" i="29"/>
  <c r="L17" i="29"/>
  <c r="L18" i="29"/>
  <c r="L19" i="29"/>
  <c r="L20" i="29"/>
  <c r="L21" i="29"/>
  <c r="L22" i="29"/>
  <c r="L23" i="29"/>
  <c r="L23" i="30"/>
  <c r="L24" i="29"/>
  <c r="L25" i="29"/>
  <c r="L26" i="29"/>
  <c r="L27" i="29"/>
  <c r="L28" i="29"/>
  <c r="L29" i="29"/>
  <c r="L30" i="29"/>
  <c r="L3" i="29"/>
  <c r="L9" i="29"/>
  <c r="L5" i="29"/>
  <c r="L7" i="29"/>
  <c r="L11" i="29"/>
  <c r="AL4" i="30"/>
  <c r="AL40" i="30"/>
  <c r="AL8" i="30"/>
  <c r="AL41" i="30"/>
  <c r="AL28" i="30"/>
  <c r="AL43" i="30"/>
  <c r="AL30" i="30"/>
  <c r="AL35" i="30"/>
  <c r="AL3" i="30"/>
  <c r="AL32" i="30"/>
  <c r="AL11" i="30"/>
  <c r="AL39" i="30"/>
  <c r="AL15" i="30"/>
  <c r="AL44" i="30"/>
  <c r="AL26" i="30"/>
  <c r="AL36" i="30"/>
  <c r="AL22" i="30"/>
  <c r="AL37" i="30"/>
  <c r="AL6" i="30"/>
  <c r="AL47" i="30"/>
  <c r="AL10" i="30"/>
  <c r="AL46" i="30"/>
  <c r="AL14" i="30"/>
  <c r="AL34" i="30"/>
  <c r="AL19" i="30"/>
  <c r="AL42" i="30"/>
  <c r="AL2" i="30"/>
  <c r="AL38" i="30"/>
  <c r="AL13" i="30"/>
  <c r="AL33" i="30"/>
  <c r="P3" i="29"/>
  <c r="P5" i="29"/>
  <c r="P6" i="29"/>
  <c r="P8" i="29"/>
  <c r="P10" i="29"/>
  <c r="P12" i="29"/>
  <c r="P60" i="29"/>
  <c r="P2" i="29"/>
  <c r="P38" i="29"/>
  <c r="P4" i="29"/>
  <c r="P7" i="29"/>
  <c r="P9" i="29"/>
  <c r="P11" i="29"/>
  <c r="P13" i="29"/>
  <c r="P14" i="29"/>
  <c r="P15" i="29"/>
  <c r="P16" i="29"/>
  <c r="P17" i="29"/>
  <c r="P18" i="29"/>
  <c r="P19" i="29"/>
  <c r="P20" i="29"/>
  <c r="P21" i="29"/>
  <c r="P22" i="29"/>
  <c r="P23" i="29"/>
  <c r="P24" i="29"/>
  <c r="P25" i="29"/>
  <c r="P26" i="29"/>
  <c r="P27" i="29"/>
  <c r="P28" i="29"/>
  <c r="P29" i="29"/>
  <c r="P30" i="29"/>
  <c r="AP4" i="30"/>
  <c r="AP40" i="30"/>
  <c r="AP8" i="30"/>
  <c r="AP41" i="30"/>
  <c r="AP26" i="30"/>
  <c r="AP36" i="30"/>
  <c r="AP13" i="30"/>
  <c r="AP33" i="30"/>
  <c r="AP3" i="30"/>
  <c r="AP32" i="30"/>
  <c r="AP11" i="30"/>
  <c r="AP39" i="30"/>
  <c r="AP15" i="30"/>
  <c r="AP44" i="30"/>
  <c r="AP6" i="30"/>
  <c r="AP47" i="30"/>
  <c r="AP10" i="30"/>
  <c r="AP46" i="30"/>
  <c r="AP14" i="30"/>
  <c r="AP34" i="30"/>
  <c r="AP19" i="30"/>
  <c r="AP42" i="30"/>
  <c r="AP2" i="30"/>
  <c r="AP38" i="30"/>
  <c r="AP22" i="30"/>
  <c r="AP37" i="30"/>
  <c r="AP28" i="30"/>
  <c r="AP43" i="30"/>
  <c r="AP30" i="30"/>
  <c r="AP35" i="30"/>
  <c r="T3" i="29"/>
  <c r="T5" i="29"/>
  <c r="T7" i="29"/>
  <c r="T9" i="29"/>
  <c r="T11" i="29"/>
  <c r="T13" i="29"/>
  <c r="T14" i="29"/>
  <c r="T15" i="29"/>
  <c r="T16" i="29"/>
  <c r="T17" i="29"/>
  <c r="T18" i="29"/>
  <c r="T19" i="29"/>
  <c r="T20" i="29"/>
  <c r="T21" i="29"/>
  <c r="T22" i="29"/>
  <c r="T23" i="29"/>
  <c r="T24" i="29"/>
  <c r="T25" i="29"/>
  <c r="T26" i="29"/>
  <c r="T27" i="29"/>
  <c r="T28" i="29"/>
  <c r="T29" i="29"/>
  <c r="T30" i="29"/>
  <c r="T38" i="29"/>
  <c r="T8" i="29"/>
  <c r="T10" i="29"/>
  <c r="T4" i="29"/>
  <c r="T6" i="29"/>
  <c r="T12" i="29"/>
  <c r="AT4" i="30"/>
  <c r="AT40" i="30"/>
  <c r="AT8" i="30"/>
  <c r="AT41" i="30"/>
  <c r="AT22" i="30"/>
  <c r="AT37" i="30"/>
  <c r="AT3" i="30"/>
  <c r="AT32" i="30"/>
  <c r="AT11" i="30"/>
  <c r="AT39" i="30"/>
  <c r="AT15" i="30"/>
  <c r="AT44" i="30"/>
  <c r="AT26" i="30"/>
  <c r="AT36" i="30"/>
  <c r="AT13" i="30"/>
  <c r="AT33" i="30"/>
  <c r="AT28" i="30"/>
  <c r="AT43" i="30"/>
  <c r="AT30" i="30"/>
  <c r="AT35" i="30"/>
  <c r="AT6" i="30"/>
  <c r="AT47" i="30"/>
  <c r="AT10" i="30"/>
  <c r="AT46" i="30"/>
  <c r="AT14" i="30"/>
  <c r="AT34" i="30"/>
  <c r="AT19" i="30"/>
  <c r="AT42" i="30"/>
  <c r="AT2" i="30"/>
  <c r="AT38" i="30"/>
  <c r="X2" i="29"/>
  <c r="X38" i="29"/>
  <c r="X3" i="29"/>
  <c r="X4" i="29"/>
  <c r="X5" i="29"/>
  <c r="X6" i="29"/>
  <c r="X8" i="29"/>
  <c r="X10" i="29"/>
  <c r="X12" i="29"/>
  <c r="X13" i="29"/>
  <c r="X14" i="29"/>
  <c r="X15" i="29"/>
  <c r="X16" i="29"/>
  <c r="X17" i="29"/>
  <c r="X18" i="29"/>
  <c r="X19" i="29"/>
  <c r="X20" i="29"/>
  <c r="X21" i="29"/>
  <c r="X22" i="29"/>
  <c r="X23" i="29"/>
  <c r="X24" i="29"/>
  <c r="X25" i="29"/>
  <c r="X26" i="29"/>
  <c r="X27" i="29"/>
  <c r="X28" i="29"/>
  <c r="X29" i="29"/>
  <c r="X30" i="29"/>
  <c r="X11" i="29"/>
  <c r="X9" i="29"/>
  <c r="X7" i="29"/>
  <c r="AX3" i="30"/>
  <c r="AX32" i="30"/>
  <c r="AX11" i="30"/>
  <c r="AX39" i="30"/>
  <c r="AX15" i="30"/>
  <c r="AX44" i="30"/>
  <c r="AX26" i="30"/>
  <c r="AX36" i="30"/>
  <c r="AX6" i="30"/>
  <c r="AX47" i="30"/>
  <c r="AX10" i="30"/>
  <c r="AX46" i="30"/>
  <c r="AX14" i="30"/>
  <c r="AX34" i="30"/>
  <c r="AX19" i="30"/>
  <c r="AX42" i="30"/>
  <c r="AX2" i="30"/>
  <c r="AX38" i="30"/>
  <c r="AX4" i="30"/>
  <c r="AX40" i="30"/>
  <c r="AX8" i="30"/>
  <c r="AX41" i="30"/>
  <c r="AX13" i="30"/>
  <c r="AX33" i="30"/>
  <c r="AX22" i="30"/>
  <c r="AX37" i="30"/>
  <c r="AX28" i="30"/>
  <c r="AX43" i="30"/>
  <c r="AX30" i="30"/>
  <c r="AX35" i="30"/>
  <c r="H29" i="20"/>
  <c r="D57" i="20"/>
  <c r="D71" i="20"/>
  <c r="D54" i="20"/>
  <c r="D68" i="20"/>
  <c r="H9" i="20"/>
  <c r="D47" i="20"/>
  <c r="H6" i="20"/>
  <c r="D37" i="20"/>
  <c r="H22" i="20"/>
  <c r="H11" i="20"/>
  <c r="D39" i="20"/>
  <c r="D76" i="20"/>
  <c r="H27" i="20"/>
  <c r="D62" i="20"/>
  <c r="AV42" i="37"/>
  <c r="AT42" i="37"/>
  <c r="U38" i="37"/>
  <c r="AT41" i="37"/>
  <c r="AQ13" i="37"/>
  <c r="AR69" i="37"/>
  <c r="AR55" i="37"/>
  <c r="AQ38" i="37"/>
  <c r="AT33" i="37"/>
  <c r="AV33" i="37"/>
  <c r="AO61" i="37"/>
  <c r="AO75" i="37"/>
  <c r="AQ18" i="37"/>
  <c r="AT32" i="37"/>
  <c r="AV32" i="37"/>
  <c r="U35" i="37"/>
  <c r="AT47" i="37"/>
  <c r="AV47" i="37"/>
  <c r="AO39" i="37"/>
  <c r="AQ39" i="37"/>
  <c r="AV37" i="37"/>
  <c r="AT37" i="37"/>
  <c r="AR62" i="37"/>
  <c r="AR76" i="37"/>
  <c r="AQ27" i="37"/>
  <c r="AO76" i="37"/>
  <c r="AO62" i="37"/>
  <c r="CF35" i="18"/>
  <c r="CU35" i="18"/>
  <c r="CF49" i="18"/>
  <c r="CU49" i="18"/>
  <c r="CF33" i="18"/>
  <c r="CU33" i="18"/>
  <c r="CF46" i="18"/>
  <c r="CU46" i="18"/>
  <c r="CF41" i="18"/>
  <c r="CU41" i="18"/>
  <c r="CF40" i="18"/>
  <c r="CU40" i="18"/>
  <c r="CF47" i="18"/>
  <c r="CH2" i="30"/>
  <c r="CH38" i="30"/>
  <c r="CG2" i="30"/>
  <c r="CG38" i="30"/>
  <c r="CK2" i="30"/>
  <c r="CK38" i="30"/>
  <c r="BK2" i="30"/>
  <c r="CO2" i="30"/>
  <c r="CO38" i="30"/>
  <c r="CS2" i="30"/>
  <c r="CS38" i="30"/>
  <c r="BZ30" i="18"/>
  <c r="BZ28" i="18"/>
  <c r="BZ43" i="18"/>
  <c r="CO43" i="18"/>
  <c r="BZ26" i="18"/>
  <c r="BZ24" i="18"/>
  <c r="BZ22" i="18"/>
  <c r="BZ20" i="18"/>
  <c r="BZ18" i="18"/>
  <c r="BZ16" i="18"/>
  <c r="BZ14" i="18"/>
  <c r="BZ12" i="18"/>
  <c r="BZ11" i="18"/>
  <c r="BZ9" i="18"/>
  <c r="BZ7" i="18"/>
  <c r="BZ5" i="18"/>
  <c r="BZ2" i="18"/>
  <c r="BZ3" i="18"/>
  <c r="BZ29" i="18"/>
  <c r="BZ25" i="18"/>
  <c r="BZ17" i="18"/>
  <c r="BZ10" i="18"/>
  <c r="BZ46" i="18"/>
  <c r="CO46" i="18"/>
  <c r="BZ27" i="18"/>
  <c r="BZ19" i="18"/>
  <c r="BZ42" i="18"/>
  <c r="CO42" i="18"/>
  <c r="BZ4" i="18"/>
  <c r="BZ40" i="18"/>
  <c r="CO40" i="18"/>
  <c r="BZ21" i="18"/>
  <c r="BZ13" i="18"/>
  <c r="BZ33" i="18"/>
  <c r="CO33" i="18"/>
  <c r="BZ6" i="18"/>
  <c r="BZ47" i="18"/>
  <c r="CO47" i="18"/>
  <c r="BZ23" i="18"/>
  <c r="BZ49" i="18"/>
  <c r="CO49" i="18"/>
  <c r="BZ8" i="18"/>
  <c r="BZ41" i="18"/>
  <c r="CO41" i="18"/>
  <c r="BZ15" i="18"/>
  <c r="EJ42" i="18"/>
  <c r="EJ44" i="18"/>
  <c r="EJ37" i="18"/>
  <c r="EJ34" i="18"/>
  <c r="EJ33" i="18"/>
  <c r="EJ41" i="18"/>
  <c r="EJ47" i="18"/>
  <c r="EJ40" i="18"/>
  <c r="EJ38" i="18"/>
  <c r="EJ32" i="18"/>
  <c r="T30" i="18"/>
  <c r="T35" i="18"/>
  <c r="T28" i="18"/>
  <c r="T43" i="18"/>
  <c r="AF43" i="18"/>
  <c r="T26" i="18"/>
  <c r="T36" i="18"/>
  <c r="AF36" i="18"/>
  <c r="T24" i="18"/>
  <c r="T22" i="18"/>
  <c r="T37" i="18"/>
  <c r="AF37" i="18"/>
  <c r="T20" i="18"/>
  <c r="T18" i="18"/>
  <c r="T16" i="18"/>
  <c r="T14" i="18"/>
  <c r="T34" i="18"/>
  <c r="AF34" i="18"/>
  <c r="T12" i="18"/>
  <c r="T11" i="18"/>
  <c r="T39" i="18"/>
  <c r="AF39" i="18"/>
  <c r="T9" i="18"/>
  <c r="T7" i="18"/>
  <c r="T5" i="18"/>
  <c r="T3" i="18"/>
  <c r="T32" i="18"/>
  <c r="T29" i="18"/>
  <c r="T27" i="18"/>
  <c r="T25" i="18"/>
  <c r="T23" i="18"/>
  <c r="T49" i="18"/>
  <c r="AF49" i="18"/>
  <c r="T21" i="18"/>
  <c r="T19" i="18"/>
  <c r="T42" i="18"/>
  <c r="AF42" i="18"/>
  <c r="T17" i="18"/>
  <c r="T15" i="18"/>
  <c r="T44" i="18"/>
  <c r="AF44" i="18"/>
  <c r="T13" i="18"/>
  <c r="T33" i="18"/>
  <c r="AF33" i="18"/>
  <c r="T10" i="18"/>
  <c r="T46" i="18"/>
  <c r="AF46" i="18"/>
  <c r="T8" i="18"/>
  <c r="T41" i="18"/>
  <c r="AF41" i="18"/>
  <c r="T6" i="18"/>
  <c r="T47" i="18"/>
  <c r="T4" i="18"/>
  <c r="T40" i="18"/>
  <c r="AF40" i="18"/>
  <c r="T2" i="18"/>
  <c r="T38" i="18"/>
  <c r="AF38" i="18"/>
  <c r="CA40" i="18"/>
  <c r="CP40" i="18"/>
  <c r="CA33" i="18"/>
  <c r="CP33" i="18"/>
  <c r="CA47" i="18"/>
  <c r="CP47" i="18"/>
  <c r="CA44" i="18"/>
  <c r="CP44" i="18"/>
  <c r="CA41" i="18"/>
  <c r="CP41" i="18"/>
  <c r="CA46" i="18"/>
  <c r="CP46" i="18"/>
  <c r="EK49" i="18"/>
  <c r="EZ49" i="18"/>
  <c r="EK42" i="18"/>
  <c r="EZ42" i="18"/>
  <c r="EK44" i="18"/>
  <c r="EZ44" i="18"/>
  <c r="EK35" i="18"/>
  <c r="EZ35" i="18"/>
  <c r="EK36" i="18"/>
  <c r="EZ36" i="18"/>
  <c r="EK37" i="18"/>
  <c r="EZ37" i="18"/>
  <c r="EK34" i="18"/>
  <c r="EZ34" i="18"/>
  <c r="EK39" i="18"/>
  <c r="EZ39" i="18"/>
  <c r="EK32" i="18"/>
  <c r="EZ32" i="18"/>
  <c r="EK33" i="18"/>
  <c r="EZ33" i="18"/>
  <c r="EK46" i="18"/>
  <c r="EZ46" i="18"/>
  <c r="EK47" i="18"/>
  <c r="EZ47" i="18"/>
  <c r="EK38" i="18"/>
  <c r="EZ38" i="18"/>
  <c r="EK41" i="18"/>
  <c r="EZ41" i="18"/>
  <c r="EK40" i="18"/>
  <c r="EZ40" i="18"/>
  <c r="EK43" i="18"/>
  <c r="EZ43" i="18"/>
  <c r="CE46" i="18"/>
  <c r="CT46" i="18"/>
  <c r="CE39" i="18"/>
  <c r="CT39" i="18"/>
  <c r="CE40" i="18"/>
  <c r="CE33" i="18"/>
  <c r="CT33" i="18"/>
  <c r="CE47" i="18"/>
  <c r="CT47" i="18"/>
  <c r="CE37" i="18"/>
  <c r="CT37" i="18"/>
  <c r="CE41" i="18"/>
  <c r="CT41" i="18"/>
  <c r="EO33" i="18"/>
  <c r="FD33" i="18"/>
  <c r="EO43" i="18"/>
  <c r="FD43" i="18"/>
  <c r="EO39" i="18"/>
  <c r="FD39" i="18"/>
  <c r="EO32" i="18"/>
  <c r="FD32" i="18"/>
  <c r="EO34" i="18"/>
  <c r="FD34" i="18"/>
  <c r="EO41" i="18"/>
  <c r="FD41" i="18"/>
  <c r="Z29" i="18"/>
  <c r="Z27" i="18"/>
  <c r="Z25" i="18"/>
  <c r="Z23" i="18"/>
  <c r="Z49" i="18"/>
  <c r="Z21" i="18"/>
  <c r="Z19" i="18"/>
  <c r="Z42" i="18"/>
  <c r="AL42" i="18"/>
  <c r="Z17" i="18"/>
  <c r="Z15" i="18"/>
  <c r="Z44" i="18"/>
  <c r="AL44" i="18"/>
  <c r="Z13" i="18"/>
  <c r="Z33" i="18"/>
  <c r="AL33" i="18"/>
  <c r="Z10" i="18"/>
  <c r="Z46" i="18"/>
  <c r="Z8" i="18"/>
  <c r="Z41" i="18"/>
  <c r="AL41" i="18"/>
  <c r="Z6" i="18"/>
  <c r="Z47" i="18"/>
  <c r="AL47" i="18"/>
  <c r="Z4" i="18"/>
  <c r="Z40" i="18"/>
  <c r="AL40" i="18"/>
  <c r="Z2" i="18"/>
  <c r="Z38" i="18"/>
  <c r="Z30" i="18"/>
  <c r="Z35" i="18"/>
  <c r="AL35" i="18"/>
  <c r="Z22" i="18"/>
  <c r="Z37" i="18"/>
  <c r="AL37" i="18"/>
  <c r="Z14" i="18"/>
  <c r="Z34" i="18"/>
  <c r="AL34" i="18"/>
  <c r="Z7" i="18"/>
  <c r="Z24" i="18"/>
  <c r="Z16" i="18"/>
  <c r="Z9" i="18"/>
  <c r="Z28" i="18"/>
  <c r="Z43" i="18"/>
  <c r="AL43" i="18"/>
  <c r="Z20" i="18"/>
  <c r="Z12" i="18"/>
  <c r="Z5" i="18"/>
  <c r="Z26" i="18"/>
  <c r="Z36" i="18"/>
  <c r="AL36" i="18"/>
  <c r="Z18" i="18"/>
  <c r="Z11" i="18"/>
  <c r="Z39" i="18"/>
  <c r="AL39" i="18"/>
  <c r="Z3" i="18"/>
  <c r="Z32" i="18"/>
  <c r="FL29" i="18"/>
  <c r="FL27" i="18"/>
  <c r="FL25" i="18"/>
  <c r="FL23" i="18"/>
  <c r="FL49" i="18"/>
  <c r="FL21" i="18"/>
  <c r="FL19" i="18"/>
  <c r="FL42" i="18"/>
  <c r="FN42" i="18"/>
  <c r="FL17" i="18"/>
  <c r="FL15" i="18"/>
  <c r="FL44" i="18"/>
  <c r="FN44" i="18"/>
  <c r="FL13" i="18"/>
  <c r="FL33" i="18"/>
  <c r="FN33" i="18"/>
  <c r="FL10" i="18"/>
  <c r="FL46" i="18"/>
  <c r="FL8" i="18"/>
  <c r="FL41" i="18"/>
  <c r="FN41" i="18"/>
  <c r="FL6" i="18"/>
  <c r="FL47" i="18"/>
  <c r="FN47" i="18"/>
  <c r="FL4" i="18"/>
  <c r="FL40" i="18"/>
  <c r="FN40" i="18"/>
  <c r="FL2" i="18"/>
  <c r="FL38" i="18"/>
  <c r="FN38" i="18"/>
  <c r="FL30" i="18"/>
  <c r="FL35" i="18"/>
  <c r="FN35" i="18"/>
  <c r="FL28" i="18"/>
  <c r="FL43" i="18"/>
  <c r="FN43" i="18"/>
  <c r="FL26" i="18"/>
  <c r="FL36" i="18"/>
  <c r="FN36" i="18"/>
  <c r="FL24" i="18"/>
  <c r="FL22" i="18"/>
  <c r="FL37" i="18"/>
  <c r="FN37" i="18"/>
  <c r="FL20" i="18"/>
  <c r="FL18" i="18"/>
  <c r="FL16" i="18"/>
  <c r="FL14" i="18"/>
  <c r="FL34" i="18"/>
  <c r="FN34" i="18"/>
  <c r="FL12" i="18"/>
  <c r="FL11" i="18"/>
  <c r="FL39" i="18"/>
  <c r="FN39" i="18"/>
  <c r="FL9" i="18"/>
  <c r="FL7" i="18"/>
  <c r="FL5" i="18"/>
  <c r="FL3" i="18"/>
  <c r="FL32" i="18"/>
  <c r="BU36" i="18"/>
  <c r="CJ36" i="18"/>
  <c r="BU33" i="18"/>
  <c r="CJ33" i="18"/>
  <c r="BU46" i="18"/>
  <c r="CJ46" i="18"/>
  <c r="BU47" i="18"/>
  <c r="CJ47" i="18"/>
  <c r="BU38" i="18"/>
  <c r="CJ38" i="18"/>
  <c r="BU43" i="18"/>
  <c r="CJ43" i="18"/>
  <c r="BU40" i="18"/>
  <c r="CJ40" i="18"/>
  <c r="BA43" i="5"/>
  <c r="BA36" i="5"/>
  <c r="AW24" i="5"/>
  <c r="BA42" i="5"/>
  <c r="BA39" i="5"/>
  <c r="AW9" i="5"/>
  <c r="AW6" i="5"/>
  <c r="AW47" i="5"/>
  <c r="BA47" i="5"/>
  <c r="BA32" i="5"/>
  <c r="AW23" i="5"/>
  <c r="AW49" i="5"/>
  <c r="AW21" i="5"/>
  <c r="AW16" i="5"/>
  <c r="BA33" i="5"/>
  <c r="AW10" i="5"/>
  <c r="AW46" i="5"/>
  <c r="BA41" i="5"/>
  <c r="BA35" i="5"/>
  <c r="AW27" i="5"/>
  <c r="AW25" i="5"/>
  <c r="BA37" i="5"/>
  <c r="AW18" i="5"/>
  <c r="BA44" i="5"/>
  <c r="AW12" i="5"/>
  <c r="AW5" i="5"/>
  <c r="BA38" i="5"/>
  <c r="AW29" i="5"/>
  <c r="AW20" i="5"/>
  <c r="AW17" i="5"/>
  <c r="BA34" i="5"/>
  <c r="AW7" i="5"/>
  <c r="BA40" i="5"/>
  <c r="CE2" i="30"/>
  <c r="CE38" i="30"/>
  <c r="BE2" i="30"/>
  <c r="CI2" i="30"/>
  <c r="CI38" i="30"/>
  <c r="CI31" i="30"/>
  <c r="BI2" i="30"/>
  <c r="CL2" i="30"/>
  <c r="CL38" i="30"/>
  <c r="BL2" i="30"/>
  <c r="CP2" i="30"/>
  <c r="CP38" i="30"/>
  <c r="BP2" i="30"/>
  <c r="CT2" i="30"/>
  <c r="CT38" i="30"/>
  <c r="BT2" i="30"/>
  <c r="CX2" i="30"/>
  <c r="CX38" i="30"/>
  <c r="BX2" i="30"/>
  <c r="CC49" i="18"/>
  <c r="CR49" i="18"/>
  <c r="CC44" i="18"/>
  <c r="CR44" i="18"/>
  <c r="CC33" i="18"/>
  <c r="CR33" i="18"/>
  <c r="CC46" i="18"/>
  <c r="CR46" i="18"/>
  <c r="CC41" i="18"/>
  <c r="CR41" i="18"/>
  <c r="CC47" i="18"/>
  <c r="CR47" i="18"/>
  <c r="CC40" i="18"/>
  <c r="CR40" i="18"/>
  <c r="CC34" i="18"/>
  <c r="CR34" i="18"/>
  <c r="CC36" i="18"/>
  <c r="CR36" i="18"/>
  <c r="CC38" i="18"/>
  <c r="CR38" i="18"/>
  <c r="CC43" i="18"/>
  <c r="CR43" i="18"/>
  <c r="EM35" i="18"/>
  <c r="FB35" i="18"/>
  <c r="EM43" i="18"/>
  <c r="FB43" i="18"/>
  <c r="EM36" i="18"/>
  <c r="FB36" i="18"/>
  <c r="EM37" i="18"/>
  <c r="FB37" i="18"/>
  <c r="EM34" i="18"/>
  <c r="FB34" i="18"/>
  <c r="EM49" i="18"/>
  <c r="FB49" i="18"/>
  <c r="EM42" i="18"/>
  <c r="FB42" i="18"/>
  <c r="EM44" i="18"/>
  <c r="FB44" i="18"/>
  <c r="EM39" i="18"/>
  <c r="FB39" i="18"/>
  <c r="EM32" i="18"/>
  <c r="EM41" i="18"/>
  <c r="FB41" i="18"/>
  <c r="EM40" i="18"/>
  <c r="EM46" i="18"/>
  <c r="FB46" i="18"/>
  <c r="EM38" i="18"/>
  <c r="FB38" i="18"/>
  <c r="EM33" i="18"/>
  <c r="FB33" i="18"/>
  <c r="EM47" i="18"/>
  <c r="R29" i="18"/>
  <c r="R27" i="18"/>
  <c r="R25" i="18"/>
  <c r="R23" i="18"/>
  <c r="R49" i="18"/>
  <c r="R21" i="18"/>
  <c r="R19" i="18"/>
  <c r="R42" i="18"/>
  <c r="AD42" i="18"/>
  <c r="R17" i="18"/>
  <c r="R15" i="18"/>
  <c r="R44" i="18"/>
  <c r="AD44" i="18"/>
  <c r="R13" i="18"/>
  <c r="R33" i="18"/>
  <c r="AD33" i="18"/>
  <c r="R10" i="18"/>
  <c r="R46" i="18"/>
  <c r="AD46" i="18"/>
  <c r="R8" i="18"/>
  <c r="R41" i="18"/>
  <c r="AD41" i="18"/>
  <c r="R6" i="18"/>
  <c r="R47" i="18"/>
  <c r="AD47" i="18"/>
  <c r="R4" i="18"/>
  <c r="R40" i="18"/>
  <c r="AD40" i="18"/>
  <c r="R2" i="18"/>
  <c r="R38" i="18"/>
  <c r="AD38" i="18"/>
  <c r="R30" i="18"/>
  <c r="R35" i="18"/>
  <c r="AD35" i="18"/>
  <c r="R28" i="18"/>
  <c r="R43" i="18"/>
  <c r="AD43" i="18"/>
  <c r="R26" i="18"/>
  <c r="R36" i="18"/>
  <c r="AD36" i="18"/>
  <c r="R24" i="18"/>
  <c r="R22" i="18"/>
  <c r="R37" i="18"/>
  <c r="AD37" i="18"/>
  <c r="R20" i="18"/>
  <c r="R18" i="18"/>
  <c r="R16" i="18"/>
  <c r="R14" i="18"/>
  <c r="R34" i="18"/>
  <c r="AD34" i="18"/>
  <c r="R12" i="18"/>
  <c r="R11" i="18"/>
  <c r="R39" i="18"/>
  <c r="AD39" i="18"/>
  <c r="R9" i="18"/>
  <c r="R7" i="18"/>
  <c r="R5" i="18"/>
  <c r="R3" i="18"/>
  <c r="R32" i="18"/>
  <c r="BY30" i="18"/>
  <c r="BY24" i="18"/>
  <c r="BY23" i="18"/>
  <c r="BY49" i="18"/>
  <c r="BY16" i="18"/>
  <c r="BY15" i="18"/>
  <c r="BY44" i="18"/>
  <c r="CN44" i="18"/>
  <c r="BY9" i="18"/>
  <c r="BY8" i="18"/>
  <c r="BY41" i="18"/>
  <c r="CN41" i="18"/>
  <c r="BY29" i="18"/>
  <c r="BY26" i="18"/>
  <c r="BY25" i="18"/>
  <c r="BY18" i="18"/>
  <c r="BY17" i="18"/>
  <c r="BY11" i="18"/>
  <c r="BY10" i="18"/>
  <c r="BY46" i="18"/>
  <c r="CN46" i="18"/>
  <c r="BY2" i="18"/>
  <c r="BY38" i="18"/>
  <c r="BY28" i="18"/>
  <c r="BY27" i="18"/>
  <c r="BY20" i="18"/>
  <c r="BY19" i="18"/>
  <c r="BY42" i="18"/>
  <c r="CN42" i="18"/>
  <c r="BY12" i="18"/>
  <c r="BY5" i="18"/>
  <c r="BY4" i="18"/>
  <c r="BY40" i="18"/>
  <c r="CN40" i="18"/>
  <c r="BY21" i="18"/>
  <c r="BY7" i="18"/>
  <c r="BY14" i="18"/>
  <c r="BY22" i="18"/>
  <c r="BY37" i="18"/>
  <c r="CN37" i="18"/>
  <c r="BY6" i="18"/>
  <c r="BY47" i="18"/>
  <c r="CN47" i="18"/>
  <c r="BY13" i="18"/>
  <c r="BY33" i="18"/>
  <c r="CN33" i="18"/>
  <c r="EI28" i="18"/>
  <c r="EI43" i="18"/>
  <c r="EX43" i="18"/>
  <c r="EI24" i="18"/>
  <c r="EI20" i="18"/>
  <c r="EI16" i="18"/>
  <c r="EI27" i="18"/>
  <c r="EI23" i="18"/>
  <c r="EI49" i="18"/>
  <c r="EX49" i="18"/>
  <c r="EI19" i="18"/>
  <c r="EI42" i="18"/>
  <c r="EX42" i="18"/>
  <c r="EI15" i="18"/>
  <c r="EI44" i="18"/>
  <c r="EX44" i="18"/>
  <c r="EI13" i="18"/>
  <c r="EI33" i="18"/>
  <c r="EX33" i="18"/>
  <c r="EI10" i="18"/>
  <c r="EI46" i="18"/>
  <c r="EX46" i="18"/>
  <c r="EI8" i="18"/>
  <c r="EI41" i="18"/>
  <c r="EX41" i="18"/>
  <c r="EI6" i="18"/>
  <c r="EI47" i="18"/>
  <c r="EI4" i="18"/>
  <c r="EI40" i="18"/>
  <c r="EX40" i="18"/>
  <c r="EI2" i="18"/>
  <c r="EI38" i="18"/>
  <c r="EX38" i="18"/>
  <c r="EI26" i="18"/>
  <c r="EI36" i="18"/>
  <c r="EX36" i="18"/>
  <c r="EI18" i="18"/>
  <c r="EI29" i="18"/>
  <c r="EI21" i="18"/>
  <c r="EI11" i="18"/>
  <c r="EI39" i="18"/>
  <c r="EX39" i="18"/>
  <c r="EI7" i="18"/>
  <c r="EI3" i="18"/>
  <c r="EI32" i="18"/>
  <c r="EX32" i="18"/>
  <c r="EI30" i="18"/>
  <c r="EI35" i="18"/>
  <c r="EX35" i="18"/>
  <c r="EI14" i="18"/>
  <c r="EI34" i="18"/>
  <c r="EX34" i="18"/>
  <c r="EI17" i="18"/>
  <c r="EI12" i="18"/>
  <c r="EI5" i="18"/>
  <c r="EI25" i="18"/>
  <c r="EI9" i="18"/>
  <c r="EI22" i="18"/>
  <c r="EI37" i="18"/>
  <c r="EX37" i="18"/>
  <c r="S30" i="18"/>
  <c r="S35" i="18"/>
  <c r="AE35" i="18"/>
  <c r="S28" i="18"/>
  <c r="S43" i="18"/>
  <c r="AE43" i="18"/>
  <c r="S26" i="18"/>
  <c r="S36" i="18"/>
  <c r="AE36" i="18"/>
  <c r="S24" i="18"/>
  <c r="S22" i="18"/>
  <c r="S37" i="18"/>
  <c r="AE37" i="18"/>
  <c r="S20" i="18"/>
  <c r="S18" i="18"/>
  <c r="S16" i="18"/>
  <c r="S14" i="18"/>
  <c r="S34" i="18"/>
  <c r="AE34" i="18"/>
  <c r="S12" i="18"/>
  <c r="S11" i="18"/>
  <c r="S39" i="18"/>
  <c r="AE39" i="18"/>
  <c r="S9" i="18"/>
  <c r="S7" i="18"/>
  <c r="S5" i="18"/>
  <c r="S3" i="18"/>
  <c r="S32" i="18"/>
  <c r="AE32" i="18"/>
  <c r="S29" i="18"/>
  <c r="S21" i="18"/>
  <c r="S13" i="18"/>
  <c r="S33" i="18"/>
  <c r="S6" i="18"/>
  <c r="S47" i="18"/>
  <c r="AE47" i="18"/>
  <c r="S27" i="18"/>
  <c r="S19" i="18"/>
  <c r="S42" i="18"/>
  <c r="AE42" i="18"/>
  <c r="S4" i="18"/>
  <c r="S40" i="18"/>
  <c r="AE40" i="18"/>
  <c r="S15" i="18"/>
  <c r="S44" i="18"/>
  <c r="AE44" i="18"/>
  <c r="S8" i="18"/>
  <c r="S41" i="18"/>
  <c r="AE41" i="18"/>
  <c r="S25" i="18"/>
  <c r="S17" i="18"/>
  <c r="S10" i="18"/>
  <c r="S46" i="18"/>
  <c r="S2" i="18"/>
  <c r="S38" i="18"/>
  <c r="AE38" i="18"/>
  <c r="S23" i="18"/>
  <c r="S49" i="18"/>
  <c r="FK30" i="18"/>
  <c r="FK35" i="18"/>
  <c r="FK26" i="18"/>
  <c r="FK36" i="18"/>
  <c r="FK22" i="18"/>
  <c r="FK37" i="18"/>
  <c r="FK18" i="18"/>
  <c r="FK14" i="18"/>
  <c r="FK34" i="18"/>
  <c r="FK11" i="18"/>
  <c r="FK39" i="18"/>
  <c r="FK7" i="18"/>
  <c r="FK3" i="18"/>
  <c r="FK32" i="18"/>
  <c r="ED35" i="18"/>
  <c r="ES35" i="18"/>
  <c r="FK29" i="18"/>
  <c r="FK25" i="18"/>
  <c r="FK21" i="18"/>
  <c r="FK17" i="18"/>
  <c r="FK13" i="18"/>
  <c r="FK33" i="18"/>
  <c r="FK10" i="18"/>
  <c r="FK46" i="18"/>
  <c r="FK6" i="18"/>
  <c r="FK47" i="18"/>
  <c r="FK2" i="18"/>
  <c r="FK38" i="18"/>
  <c r="FK28" i="18"/>
  <c r="FK43" i="18"/>
  <c r="FK20" i="18"/>
  <c r="FK12" i="18"/>
  <c r="FK5" i="18"/>
  <c r="ED43" i="18"/>
  <c r="ES43" i="18"/>
  <c r="ED33" i="18"/>
  <c r="ES33" i="18"/>
  <c r="ED46" i="18"/>
  <c r="ES46" i="18"/>
  <c r="ED47" i="18"/>
  <c r="ES47" i="18"/>
  <c r="FK27" i="18"/>
  <c r="FK19" i="18"/>
  <c r="FK42" i="18"/>
  <c r="FK4" i="18"/>
  <c r="FK40" i="18"/>
  <c r="ED36" i="18"/>
  <c r="ES36" i="18"/>
  <c r="ED37" i="18"/>
  <c r="ES37" i="18"/>
  <c r="ED34" i="18"/>
  <c r="ES34" i="18"/>
  <c r="ED39" i="18"/>
  <c r="ES39" i="18"/>
  <c r="ED32" i="18"/>
  <c r="ES32" i="18"/>
  <c r="FK24" i="18"/>
  <c r="FK9" i="18"/>
  <c r="ED42" i="18"/>
  <c r="ES42" i="18"/>
  <c r="ED40" i="18"/>
  <c r="ES40" i="18"/>
  <c r="FK23" i="18"/>
  <c r="FK49" i="18"/>
  <c r="FK8" i="18"/>
  <c r="FK41" i="18"/>
  <c r="ES49" i="18"/>
  <c r="ED41" i="18"/>
  <c r="ES41" i="18"/>
  <c r="ED44" i="18"/>
  <c r="ES44" i="18"/>
  <c r="FK16" i="18"/>
  <c r="FK15" i="18"/>
  <c r="FK44" i="18"/>
  <c r="ED38" i="18"/>
  <c r="ES38" i="18"/>
  <c r="BT30" i="18"/>
  <c r="BT35" i="18"/>
  <c r="CI35" i="18"/>
  <c r="BT26" i="18"/>
  <c r="BT36" i="18"/>
  <c r="CI36" i="18"/>
  <c r="BT22" i="18"/>
  <c r="BT37" i="18"/>
  <c r="CI37" i="18"/>
  <c r="BT18" i="18"/>
  <c r="BT14" i="18"/>
  <c r="BT34" i="18"/>
  <c r="CI34" i="18"/>
  <c r="BT11" i="18"/>
  <c r="BT39" i="18"/>
  <c r="CI39" i="18"/>
  <c r="BT7" i="18"/>
  <c r="BT3" i="18"/>
  <c r="BT32" i="18"/>
  <c r="CI32" i="18"/>
  <c r="BT29" i="18"/>
  <c r="BT25" i="18"/>
  <c r="BT21" i="18"/>
  <c r="BT17" i="18"/>
  <c r="BT13" i="18"/>
  <c r="BT33" i="18"/>
  <c r="CI33" i="18"/>
  <c r="BT10" i="18"/>
  <c r="BT46" i="18"/>
  <c r="CI46" i="18"/>
  <c r="BT6" i="18"/>
  <c r="BT47" i="18"/>
  <c r="CI47" i="18"/>
  <c r="BT2" i="18"/>
  <c r="BT38" i="18"/>
  <c r="CI38" i="18"/>
  <c r="BT28" i="18"/>
  <c r="BT43" i="18"/>
  <c r="CI43" i="18"/>
  <c r="BT24" i="18"/>
  <c r="BT20" i="18"/>
  <c r="BT16" i="18"/>
  <c r="BT12" i="18"/>
  <c r="BT9" i="18"/>
  <c r="BT5" i="18"/>
  <c r="BT15" i="18"/>
  <c r="BT44" i="18"/>
  <c r="CI44" i="18"/>
  <c r="BT27" i="18"/>
  <c r="BT23" i="18"/>
  <c r="BT49" i="18"/>
  <c r="CI49" i="18"/>
  <c r="BT8" i="18"/>
  <c r="BT41" i="18"/>
  <c r="CI41" i="18"/>
  <c r="BT19" i="18"/>
  <c r="BT42" i="18"/>
  <c r="CI42" i="18"/>
  <c r="BT4" i="18"/>
  <c r="BT40" i="18"/>
  <c r="CI40" i="18"/>
  <c r="BE30" i="5"/>
  <c r="BE35" i="5"/>
  <c r="BF35" i="5"/>
  <c r="BE27" i="5"/>
  <c r="BE25" i="5"/>
  <c r="BE22" i="5"/>
  <c r="BE37" i="5"/>
  <c r="BF37" i="5"/>
  <c r="BE18" i="5"/>
  <c r="BE15" i="5"/>
  <c r="BE12" i="5"/>
  <c r="BE5" i="5"/>
  <c r="BE2" i="5"/>
  <c r="BE38" i="5"/>
  <c r="BF38" i="5"/>
  <c r="AL29" i="5"/>
  <c r="AL20" i="5"/>
  <c r="AL17" i="5"/>
  <c r="AL14" i="5"/>
  <c r="AL34" i="5"/>
  <c r="AN34" i="5"/>
  <c r="AL7" i="5"/>
  <c r="AL4" i="5"/>
  <c r="AL40" i="5"/>
  <c r="AN40" i="5"/>
  <c r="BE29" i="5"/>
  <c r="BE20" i="5"/>
  <c r="BE17" i="5"/>
  <c r="BE14" i="5"/>
  <c r="BE34" i="5"/>
  <c r="BF34" i="5"/>
  <c r="BE7" i="5"/>
  <c r="BE4" i="5"/>
  <c r="BE40" i="5"/>
  <c r="BF40" i="5"/>
  <c r="AL28" i="5"/>
  <c r="AL43" i="5"/>
  <c r="AN43" i="5"/>
  <c r="AL26" i="5"/>
  <c r="AL36" i="5"/>
  <c r="AN36" i="5"/>
  <c r="AL24" i="5"/>
  <c r="AL19" i="5"/>
  <c r="AL42" i="5"/>
  <c r="AN42" i="5"/>
  <c r="AL11" i="5"/>
  <c r="AL39" i="5"/>
  <c r="AN39" i="5"/>
  <c r="AL9" i="5"/>
  <c r="AL6" i="5"/>
  <c r="AL47" i="5"/>
  <c r="AN47" i="5"/>
  <c r="AL3" i="5"/>
  <c r="AL32" i="5"/>
  <c r="AN32" i="5"/>
  <c r="BE28" i="5"/>
  <c r="BE43" i="5"/>
  <c r="BF43" i="5"/>
  <c r="BE26" i="5"/>
  <c r="BE36" i="5"/>
  <c r="BF36" i="5"/>
  <c r="BE24" i="5"/>
  <c r="BE19" i="5"/>
  <c r="BE42" i="5"/>
  <c r="BF42" i="5"/>
  <c r="BE11" i="5"/>
  <c r="BE39" i="5"/>
  <c r="BF39" i="5"/>
  <c r="BE9" i="5"/>
  <c r="BE6" i="5"/>
  <c r="BE3" i="5"/>
  <c r="BE32" i="5"/>
  <c r="AL23" i="5"/>
  <c r="AL49" i="5"/>
  <c r="AN49" i="5"/>
  <c r="AL21" i="5"/>
  <c r="AL16" i="5"/>
  <c r="AL13" i="5"/>
  <c r="AL33" i="5"/>
  <c r="AN33" i="5"/>
  <c r="AL10" i="5"/>
  <c r="AL46" i="5"/>
  <c r="AN46" i="5"/>
  <c r="AL8" i="5"/>
  <c r="AL41" i="5"/>
  <c r="AN41" i="5"/>
  <c r="BE23" i="5"/>
  <c r="BE49" i="5"/>
  <c r="BF49" i="5"/>
  <c r="BE21" i="5"/>
  <c r="BE16" i="5"/>
  <c r="BE13" i="5"/>
  <c r="BE33" i="5"/>
  <c r="BF33" i="5"/>
  <c r="BE10" i="5"/>
  <c r="BE46" i="5"/>
  <c r="BF46" i="5"/>
  <c r="BE8" i="5"/>
  <c r="BE41" i="5"/>
  <c r="BF41" i="5"/>
  <c r="AL30" i="5"/>
  <c r="AL35" i="5"/>
  <c r="AN35" i="5"/>
  <c r="AL27" i="5"/>
  <c r="AL25" i="5"/>
  <c r="AL22" i="5"/>
  <c r="AL37" i="5"/>
  <c r="AN37" i="5"/>
  <c r="AL18" i="5"/>
  <c r="AL15" i="5"/>
  <c r="AL44" i="5"/>
  <c r="AN44" i="5"/>
  <c r="AL12" i="5"/>
  <c r="AL5" i="5"/>
  <c r="AL2" i="5"/>
  <c r="AL38" i="5"/>
  <c r="AN38" i="5"/>
  <c r="Y36" i="5"/>
  <c r="AD36" i="5"/>
  <c r="Z42" i="5"/>
  <c r="AA32" i="5"/>
  <c r="Z39" i="5"/>
  <c r="Y32" i="5"/>
  <c r="AB49" i="5"/>
  <c r="AB42" i="5"/>
  <c r="AB34" i="5"/>
  <c r="AB46" i="5"/>
  <c r="X42" i="5"/>
  <c r="AC42" i="5"/>
  <c r="X40" i="5"/>
  <c r="AC40" i="5"/>
  <c r="AA43" i="5"/>
  <c r="AB32" i="5"/>
  <c r="AA39" i="5"/>
  <c r="AA47" i="5"/>
  <c r="Y40" i="5"/>
  <c r="AD40" i="5"/>
  <c r="AB38" i="5"/>
  <c r="Y43" i="5"/>
  <c r="AD43" i="5"/>
  <c r="Z33" i="5"/>
  <c r="AA40" i="5"/>
  <c r="Y38" i="5"/>
  <c r="AD38" i="5"/>
  <c r="L36" i="5"/>
  <c r="P36" i="5"/>
  <c r="L35" i="5"/>
  <c r="P35" i="5"/>
  <c r="L41" i="5"/>
  <c r="P41" i="5"/>
  <c r="L39" i="5"/>
  <c r="P39" i="5"/>
  <c r="L37" i="5"/>
  <c r="P37" i="5"/>
  <c r="L32" i="5"/>
  <c r="P32" i="5"/>
  <c r="AB43" i="5"/>
  <c r="AA37" i="5"/>
  <c r="Z46" i="5"/>
  <c r="Z41" i="5"/>
  <c r="Z43" i="5"/>
  <c r="Z37" i="5"/>
  <c r="Y42" i="5"/>
  <c r="AD42" i="5"/>
  <c r="AA33" i="5"/>
  <c r="AB39" i="5"/>
  <c r="Z32" i="5"/>
  <c r="AA36" i="5"/>
  <c r="Z35" i="5"/>
  <c r="Z36" i="5"/>
  <c r="Y33" i="5"/>
  <c r="AD33" i="5"/>
  <c r="Y39" i="5"/>
  <c r="AD39" i="5"/>
  <c r="Y47" i="5"/>
  <c r="AD47" i="5"/>
  <c r="X38" i="5"/>
  <c r="AC38" i="5"/>
  <c r="X36" i="5"/>
  <c r="AC36" i="5"/>
  <c r="X35" i="5"/>
  <c r="AC35" i="5"/>
  <c r="X41" i="5"/>
  <c r="AC41" i="5"/>
  <c r="X44" i="5"/>
  <c r="AC44" i="5"/>
  <c r="X43" i="5"/>
  <c r="AC43" i="5"/>
  <c r="X37" i="5"/>
  <c r="AC37" i="5"/>
  <c r="Y35" i="5"/>
  <c r="AD35" i="5"/>
  <c r="AB37" i="5"/>
  <c r="Z34" i="5"/>
  <c r="Z40" i="5"/>
  <c r="Y34" i="5"/>
  <c r="AD34" i="5"/>
  <c r="AB33" i="5"/>
  <c r="Y46" i="5"/>
  <c r="AB36" i="5"/>
  <c r="AA49" i="5"/>
  <c r="AA42" i="5"/>
  <c r="AA34" i="5"/>
  <c r="AA46" i="5"/>
  <c r="AA41" i="5"/>
  <c r="L33" i="5"/>
  <c r="P33" i="5"/>
  <c r="L49" i="5"/>
  <c r="L42" i="5"/>
  <c r="P42" i="5"/>
  <c r="L34" i="5"/>
  <c r="P34" i="5"/>
  <c r="L46" i="5"/>
  <c r="L40" i="5"/>
  <c r="P40" i="5"/>
  <c r="AU27" i="5"/>
  <c r="AU25" i="5"/>
  <c r="AU18" i="5"/>
  <c r="AU12" i="5"/>
  <c r="AU5" i="5"/>
  <c r="AU29" i="5"/>
  <c r="AU20" i="5"/>
  <c r="AU17" i="5"/>
  <c r="AU7" i="5"/>
  <c r="AU24" i="5"/>
  <c r="AU9" i="5"/>
  <c r="AU6" i="5"/>
  <c r="AU47" i="5"/>
  <c r="AU23" i="5"/>
  <c r="AU49" i="5"/>
  <c r="AU21" i="5"/>
  <c r="AU16" i="5"/>
  <c r="AU10" i="5"/>
  <c r="AU46" i="5"/>
  <c r="CJ2" i="30"/>
  <c r="CJ38" i="30"/>
  <c r="BJ2" i="30"/>
  <c r="BJ38" i="30"/>
  <c r="CM2" i="30"/>
  <c r="CM38" i="30"/>
  <c r="BM2" i="30"/>
  <c r="CQ2" i="30"/>
  <c r="CQ38" i="30"/>
  <c r="CV2" i="30"/>
  <c r="CV38" i="30"/>
  <c r="BV2" i="30"/>
  <c r="CY2" i="30"/>
  <c r="CY38" i="30"/>
  <c r="BY2" i="30"/>
  <c r="CB43" i="18"/>
  <c r="CQ43" i="18"/>
  <c r="CB33" i="18"/>
  <c r="CQ33" i="18"/>
  <c r="CB47" i="18"/>
  <c r="CQ47" i="18"/>
  <c r="CB35" i="18"/>
  <c r="CQ35" i="18"/>
  <c r="CB49" i="18"/>
  <c r="CQ49" i="18"/>
  <c r="CB37" i="18"/>
  <c r="CQ37" i="18"/>
  <c r="CB44" i="18"/>
  <c r="CQ44" i="18"/>
  <c r="CB34" i="18"/>
  <c r="CQ34" i="18"/>
  <c r="CB41" i="18"/>
  <c r="CQ41" i="18"/>
  <c r="CB46" i="18"/>
  <c r="CQ46" i="18"/>
  <c r="CB42" i="18"/>
  <c r="CQ42" i="18"/>
  <c r="CB38" i="18"/>
  <c r="CQ38" i="18"/>
  <c r="CB39" i="18"/>
  <c r="CQ39" i="18"/>
  <c r="CB40" i="18"/>
  <c r="CQ40" i="18"/>
  <c r="CB36" i="18"/>
  <c r="CQ36" i="18"/>
  <c r="EL43" i="18"/>
  <c r="FA43" i="18"/>
  <c r="EL39" i="18"/>
  <c r="FA39" i="18"/>
  <c r="EL32" i="18"/>
  <c r="FA32" i="18"/>
  <c r="EL49" i="18"/>
  <c r="FA49" i="18"/>
  <c r="EL44" i="18"/>
  <c r="FA44" i="18"/>
  <c r="EL36" i="18"/>
  <c r="FA36" i="18"/>
  <c r="EL41" i="18"/>
  <c r="FA41" i="18"/>
  <c r="EL40" i="18"/>
  <c r="FA40" i="18"/>
  <c r="EL35" i="18"/>
  <c r="FA35" i="18"/>
  <c r="EL34" i="18"/>
  <c r="FA34" i="18"/>
  <c r="EL46" i="18"/>
  <c r="EL38" i="18"/>
  <c r="FA38" i="18"/>
  <c r="EL42" i="18"/>
  <c r="FA42" i="18"/>
  <c r="EL33" i="18"/>
  <c r="FA33" i="18"/>
  <c r="EL37" i="18"/>
  <c r="EL47" i="18"/>
  <c r="Q29" i="18"/>
  <c r="Q27" i="18"/>
  <c r="Q25" i="18"/>
  <c r="Q23" i="18"/>
  <c r="Q49" i="18"/>
  <c r="AC49" i="18"/>
  <c r="Q21" i="18"/>
  <c r="Q19" i="18"/>
  <c r="Q42" i="18"/>
  <c r="AC42" i="18"/>
  <c r="Q17" i="18"/>
  <c r="Q15" i="18"/>
  <c r="Q44" i="18"/>
  <c r="AC44" i="18"/>
  <c r="Q13" i="18"/>
  <c r="Q33" i="18"/>
  <c r="Q10" i="18"/>
  <c r="Q46" i="18"/>
  <c r="Q8" i="18"/>
  <c r="Q41" i="18"/>
  <c r="AC41" i="18"/>
  <c r="Q6" i="18"/>
  <c r="Q47" i="18"/>
  <c r="AC47" i="18"/>
  <c r="Q4" i="18"/>
  <c r="Q40" i="18"/>
  <c r="AC40" i="18"/>
  <c r="Q2" i="18"/>
  <c r="Q38" i="18"/>
  <c r="AC38" i="18"/>
  <c r="Q26" i="18"/>
  <c r="Q36" i="18"/>
  <c r="AC36" i="18"/>
  <c r="Q18" i="18"/>
  <c r="Q11" i="18"/>
  <c r="Q39" i="18"/>
  <c r="AC39" i="18"/>
  <c r="Q3" i="18"/>
  <c r="Q32" i="18"/>
  <c r="AC32" i="18"/>
  <c r="Q28" i="18"/>
  <c r="Q43" i="18"/>
  <c r="AC43" i="18"/>
  <c r="Q20" i="18"/>
  <c r="Q12" i="18"/>
  <c r="Q24" i="18"/>
  <c r="Q16" i="18"/>
  <c r="Q9" i="18"/>
  <c r="Q5" i="18"/>
  <c r="Q30" i="18"/>
  <c r="Q35" i="18"/>
  <c r="AC35" i="18"/>
  <c r="Q22" i="18"/>
  <c r="Q37" i="18"/>
  <c r="AC37" i="18"/>
  <c r="Q14" i="18"/>
  <c r="Q34" i="18"/>
  <c r="AC34" i="18"/>
  <c r="Q7" i="18"/>
  <c r="CD43" i="18"/>
  <c r="CS43" i="18"/>
  <c r="CD37" i="18"/>
  <c r="CS37" i="18"/>
  <c r="CD34" i="18"/>
  <c r="CS34" i="18"/>
  <c r="CD33" i="18"/>
  <c r="CS33" i="18"/>
  <c r="CD47" i="18"/>
  <c r="CS47" i="18"/>
  <c r="CD49" i="18"/>
  <c r="CS49" i="18"/>
  <c r="CD44" i="18"/>
  <c r="CS44" i="18"/>
  <c r="CD41" i="18"/>
  <c r="CS41" i="18"/>
  <c r="CD36" i="18"/>
  <c r="CS36" i="18"/>
  <c r="CD39" i="18"/>
  <c r="CS39" i="18"/>
  <c r="CD46" i="18"/>
  <c r="CS46" i="18"/>
  <c r="CD40" i="18"/>
  <c r="CS40" i="18"/>
  <c r="CD42" i="18"/>
  <c r="CS42" i="18"/>
  <c r="EN35" i="18"/>
  <c r="FC35" i="18"/>
  <c r="EN36" i="18"/>
  <c r="FC36" i="18"/>
  <c r="EN37" i="18"/>
  <c r="FC37" i="18"/>
  <c r="EN34" i="18"/>
  <c r="FC34" i="18"/>
  <c r="EN33" i="18"/>
  <c r="FC33" i="18"/>
  <c r="EN46" i="18"/>
  <c r="FC46" i="18"/>
  <c r="EN41" i="18"/>
  <c r="EN47" i="18"/>
  <c r="FC47" i="18"/>
  <c r="EN40" i="18"/>
  <c r="FC40" i="18"/>
  <c r="EN38" i="18"/>
  <c r="FC38" i="18"/>
  <c r="EN42" i="18"/>
  <c r="FC42" i="18"/>
  <c r="EN49" i="18"/>
  <c r="FC49" i="18"/>
  <c r="EN39" i="18"/>
  <c r="FC39" i="18"/>
  <c r="EN32" i="18"/>
  <c r="FC32" i="18"/>
  <c r="EN43" i="18"/>
  <c r="FC43" i="18"/>
  <c r="EN44" i="18"/>
  <c r="FC44" i="18"/>
  <c r="X30" i="18"/>
  <c r="X35" i="18"/>
  <c r="AJ35" i="18"/>
  <c r="X28" i="18"/>
  <c r="X43" i="18"/>
  <c r="AJ43" i="18"/>
  <c r="X26" i="18"/>
  <c r="X36" i="18"/>
  <c r="AJ36" i="18"/>
  <c r="X24" i="18"/>
  <c r="X22" i="18"/>
  <c r="X37" i="18"/>
  <c r="X20" i="18"/>
  <c r="X18" i="18"/>
  <c r="X16" i="18"/>
  <c r="X14" i="18"/>
  <c r="X34" i="18"/>
  <c r="AJ34" i="18"/>
  <c r="X12" i="18"/>
  <c r="X11" i="18"/>
  <c r="X39" i="18"/>
  <c r="AJ39" i="18"/>
  <c r="X9" i="18"/>
  <c r="X7" i="18"/>
  <c r="X5" i="18"/>
  <c r="X3" i="18"/>
  <c r="X32" i="18"/>
  <c r="X27" i="18"/>
  <c r="X19" i="18"/>
  <c r="X42" i="18"/>
  <c r="AJ42" i="18"/>
  <c r="X4" i="18"/>
  <c r="X40" i="18"/>
  <c r="AJ40" i="18"/>
  <c r="X6" i="18"/>
  <c r="X47" i="18"/>
  <c r="AJ47" i="18"/>
  <c r="X25" i="18"/>
  <c r="X17" i="18"/>
  <c r="X10" i="18"/>
  <c r="X46" i="18"/>
  <c r="X2" i="18"/>
  <c r="X38" i="18"/>
  <c r="AJ38" i="18"/>
  <c r="X29" i="18"/>
  <c r="X21" i="18"/>
  <c r="X23" i="18"/>
  <c r="X49" i="18"/>
  <c r="X15" i="18"/>
  <c r="X44" i="18"/>
  <c r="AJ44" i="18"/>
  <c r="X8" i="18"/>
  <c r="X41" i="18"/>
  <c r="AJ41" i="18"/>
  <c r="X13" i="18"/>
  <c r="X33" i="18"/>
  <c r="AJ33" i="18"/>
  <c r="EC29" i="18"/>
  <c r="EC30" i="18"/>
  <c r="EC35" i="18"/>
  <c r="ER35" i="18"/>
  <c r="EC24" i="18"/>
  <c r="EC20" i="18"/>
  <c r="EC16" i="18"/>
  <c r="EC12" i="18"/>
  <c r="EC9" i="18"/>
  <c r="EC5" i="18"/>
  <c r="EC28" i="18"/>
  <c r="EC43" i="18"/>
  <c r="ER43" i="18"/>
  <c r="EC25" i="18"/>
  <c r="EC21" i="18"/>
  <c r="EC17" i="18"/>
  <c r="EC13" i="18"/>
  <c r="EC33" i="18"/>
  <c r="EC10" i="18"/>
  <c r="EC46" i="18"/>
  <c r="ER46" i="18"/>
  <c r="EC6" i="18"/>
  <c r="EC47" i="18"/>
  <c r="ER47" i="18"/>
  <c r="EC22" i="18"/>
  <c r="EC37" i="18"/>
  <c r="ER37" i="18"/>
  <c r="EC14" i="18"/>
  <c r="EC34" i="18"/>
  <c r="ER34" i="18"/>
  <c r="EC7" i="18"/>
  <c r="EC27" i="18"/>
  <c r="EC19" i="18"/>
  <c r="EC42" i="18"/>
  <c r="ER42" i="18"/>
  <c r="EC4" i="18"/>
  <c r="EC40" i="18"/>
  <c r="ER40" i="18"/>
  <c r="EC18" i="18"/>
  <c r="EC3" i="18"/>
  <c r="EC32" i="18"/>
  <c r="EC23" i="18"/>
  <c r="EC49" i="18"/>
  <c r="ER49" i="18"/>
  <c r="EC8" i="18"/>
  <c r="EC41" i="18"/>
  <c r="ER41" i="18"/>
  <c r="EC26" i="18"/>
  <c r="EC36" i="18"/>
  <c r="ER36" i="18"/>
  <c r="EC15" i="18"/>
  <c r="EC44" i="18"/>
  <c r="ER44" i="18"/>
  <c r="EC11" i="18"/>
  <c r="EC39" i="18"/>
  <c r="ER39" i="18"/>
  <c r="EC2" i="18"/>
  <c r="EC38" i="18"/>
  <c r="ER38" i="18"/>
  <c r="CF2" i="30"/>
  <c r="CF38" i="30"/>
  <c r="CF31" i="30"/>
  <c r="BF2" i="30"/>
  <c r="BG2" i="30"/>
  <c r="CN2" i="30"/>
  <c r="CN38" i="30"/>
  <c r="BN2" i="30"/>
  <c r="CR2" i="30"/>
  <c r="CR38" i="30"/>
  <c r="BR2" i="30"/>
  <c r="CW2" i="30"/>
  <c r="CW38" i="30"/>
  <c r="BW2" i="30"/>
  <c r="CZ2" i="30"/>
  <c r="CZ38" i="30"/>
  <c r="CZ31" i="30"/>
  <c r="BZ2" i="30"/>
  <c r="BW29" i="18"/>
  <c r="BW71" i="18"/>
  <c r="CL71" i="18"/>
  <c r="BW27" i="18"/>
  <c r="BW25" i="18"/>
  <c r="BW23" i="18"/>
  <c r="BW49" i="18"/>
  <c r="CL49" i="18"/>
  <c r="BW21" i="18"/>
  <c r="BW19" i="18"/>
  <c r="BW42" i="18"/>
  <c r="CL42" i="18"/>
  <c r="BW17" i="18"/>
  <c r="BW15" i="18"/>
  <c r="BW44" i="18"/>
  <c r="CL44" i="18"/>
  <c r="BW13" i="18"/>
  <c r="BW33" i="18"/>
  <c r="CL33" i="18"/>
  <c r="BW10" i="18"/>
  <c r="BW46" i="18"/>
  <c r="CL46" i="18"/>
  <c r="BW8" i="18"/>
  <c r="BW41" i="18"/>
  <c r="CL41" i="18"/>
  <c r="BW6" i="18"/>
  <c r="BW47" i="18"/>
  <c r="CL47" i="18"/>
  <c r="BW4" i="18"/>
  <c r="BW40" i="18"/>
  <c r="CL40" i="18"/>
  <c r="BW28" i="18"/>
  <c r="BW43" i="18"/>
  <c r="CL43" i="18"/>
  <c r="BW20" i="18"/>
  <c r="BW12" i="18"/>
  <c r="BW5" i="18"/>
  <c r="BW22" i="18"/>
  <c r="BW37" i="18"/>
  <c r="CL37" i="18"/>
  <c r="BW14" i="18"/>
  <c r="BW34" i="18"/>
  <c r="CL34" i="18"/>
  <c r="BW7" i="18"/>
  <c r="BW30" i="18"/>
  <c r="BW35" i="18"/>
  <c r="CL35" i="18"/>
  <c r="BW24" i="18"/>
  <c r="BW16" i="18"/>
  <c r="BW9" i="18"/>
  <c r="BW3" i="18"/>
  <c r="BW32" i="18"/>
  <c r="CL32" i="18"/>
  <c r="BW11" i="18"/>
  <c r="BW39" i="18"/>
  <c r="CL39" i="18"/>
  <c r="BW18" i="18"/>
  <c r="BW26" i="18"/>
  <c r="BW36" i="18"/>
  <c r="CL36" i="18"/>
  <c r="BW2" i="18"/>
  <c r="BW38" i="18"/>
  <c r="CL38" i="18"/>
  <c r="EG30" i="18"/>
  <c r="EG35" i="18"/>
  <c r="EV35" i="18"/>
  <c r="EG28" i="18"/>
  <c r="EG43" i="18"/>
  <c r="EV43" i="18"/>
  <c r="EG26" i="18"/>
  <c r="EG36" i="18"/>
  <c r="EV36" i="18"/>
  <c r="EG24" i="18"/>
  <c r="EG22" i="18"/>
  <c r="EG37" i="18"/>
  <c r="EV37" i="18"/>
  <c r="EG20" i="18"/>
  <c r="EG18" i="18"/>
  <c r="EG16" i="18"/>
  <c r="EG58" i="18"/>
  <c r="EG14" i="18"/>
  <c r="EG34" i="18"/>
  <c r="EV34" i="18"/>
  <c r="EG29" i="18"/>
  <c r="EG27" i="18"/>
  <c r="EG25" i="18"/>
  <c r="EG23" i="18"/>
  <c r="EG49" i="18"/>
  <c r="EG21" i="18"/>
  <c r="EG19" i="18"/>
  <c r="EG42" i="18"/>
  <c r="EV42" i="18"/>
  <c r="EG17" i="18"/>
  <c r="EG15" i="18"/>
  <c r="EG44" i="18"/>
  <c r="EV44" i="18"/>
  <c r="EG12" i="18"/>
  <c r="EG11" i="18"/>
  <c r="EG39" i="18"/>
  <c r="EV39" i="18"/>
  <c r="EG9" i="18"/>
  <c r="EG68" i="18"/>
  <c r="EG7" i="18"/>
  <c r="EG5" i="18"/>
  <c r="EG3" i="18"/>
  <c r="EG32" i="18"/>
  <c r="EV32" i="18"/>
  <c r="EG13" i="18"/>
  <c r="EG33" i="18"/>
  <c r="EG10" i="18"/>
  <c r="EG46" i="18"/>
  <c r="EV46" i="18"/>
  <c r="EG6" i="18"/>
  <c r="EG47" i="18"/>
  <c r="EV47" i="18"/>
  <c r="EG2" i="18"/>
  <c r="EG38" i="18"/>
  <c r="EV38" i="18"/>
  <c r="EG8" i="18"/>
  <c r="EG41" i="18"/>
  <c r="EV41" i="18"/>
  <c r="EG4" i="18"/>
  <c r="EG40" i="18"/>
  <c r="EV40" i="18"/>
  <c r="V29" i="18"/>
  <c r="V27" i="18"/>
  <c r="V25" i="18"/>
  <c r="V64" i="18"/>
  <c r="V23" i="18"/>
  <c r="V49" i="18"/>
  <c r="V21" i="18"/>
  <c r="V19" i="18"/>
  <c r="V42" i="18"/>
  <c r="AH42" i="18"/>
  <c r="V17" i="18"/>
  <c r="V15" i="18"/>
  <c r="V44" i="18"/>
  <c r="AH44" i="18"/>
  <c r="V13" i="18"/>
  <c r="V33" i="18"/>
  <c r="AH33" i="18"/>
  <c r="V10" i="18"/>
  <c r="V46" i="18"/>
  <c r="V8" i="18"/>
  <c r="V41" i="18"/>
  <c r="V6" i="18"/>
  <c r="V47" i="18"/>
  <c r="AH47" i="18"/>
  <c r="V4" i="18"/>
  <c r="V40" i="18"/>
  <c r="AH40" i="18"/>
  <c r="V2" i="18"/>
  <c r="V38" i="18"/>
  <c r="AH38" i="18"/>
  <c r="V30" i="18"/>
  <c r="V35" i="18"/>
  <c r="AH35" i="18"/>
  <c r="V28" i="18"/>
  <c r="V43" i="18"/>
  <c r="AH43" i="18"/>
  <c r="V26" i="18"/>
  <c r="V36" i="18"/>
  <c r="AH36" i="18"/>
  <c r="V24" i="18"/>
  <c r="V22" i="18"/>
  <c r="V37" i="18"/>
  <c r="AH37" i="18"/>
  <c r="V20" i="18"/>
  <c r="V18" i="18"/>
  <c r="V16" i="18"/>
  <c r="V14" i="18"/>
  <c r="V34" i="18"/>
  <c r="AH34" i="18"/>
  <c r="V12" i="18"/>
  <c r="V11" i="18"/>
  <c r="V39" i="18"/>
  <c r="AH39" i="18"/>
  <c r="V9" i="18"/>
  <c r="V68" i="18"/>
  <c r="AH68" i="18"/>
  <c r="V7" i="18"/>
  <c r="V5" i="18"/>
  <c r="V3" i="18"/>
  <c r="V32" i="18"/>
  <c r="CG49" i="18"/>
  <c r="CV49" i="18"/>
  <c r="CG42" i="18"/>
  <c r="CV42" i="18"/>
  <c r="CG44" i="18"/>
  <c r="CV44" i="18"/>
  <c r="CG33" i="18"/>
  <c r="CV33" i="18"/>
  <c r="CG46" i="18"/>
  <c r="CV46" i="18"/>
  <c r="CG41" i="18"/>
  <c r="CV41" i="18"/>
  <c r="CG47" i="18"/>
  <c r="CG40" i="18"/>
  <c r="CV40" i="18"/>
  <c r="CG35" i="18"/>
  <c r="CV35" i="18"/>
  <c r="CG36" i="18"/>
  <c r="CV36" i="18"/>
  <c r="CG39" i="18"/>
  <c r="CV39" i="18"/>
  <c r="CG38" i="18"/>
  <c r="CV38" i="18"/>
  <c r="CG32" i="18"/>
  <c r="CV32" i="18"/>
  <c r="CG74" i="18"/>
  <c r="CV74" i="18"/>
  <c r="CG43" i="18"/>
  <c r="CV43" i="18"/>
  <c r="CG37" i="18"/>
  <c r="CV37" i="18"/>
  <c r="CG34" i="18"/>
  <c r="CV34" i="18"/>
  <c r="EQ35" i="18"/>
  <c r="FF35" i="18"/>
  <c r="EQ43" i="18"/>
  <c r="FF43" i="18"/>
  <c r="EQ36" i="18"/>
  <c r="FF36" i="18"/>
  <c r="EQ37" i="18"/>
  <c r="FF37" i="18"/>
  <c r="EQ34" i="18"/>
  <c r="FF34" i="18"/>
  <c r="EQ49" i="18"/>
  <c r="FF49" i="18"/>
  <c r="EQ42" i="18"/>
  <c r="FF42" i="18"/>
  <c r="EQ44" i="18"/>
  <c r="FF44" i="18"/>
  <c r="EQ33" i="18"/>
  <c r="FF33" i="18"/>
  <c r="EQ39" i="18"/>
  <c r="FF39" i="18"/>
  <c r="EQ32" i="18"/>
  <c r="FF32" i="18"/>
  <c r="EQ41" i="18"/>
  <c r="FF41" i="18"/>
  <c r="EQ40" i="18"/>
  <c r="FF40" i="18"/>
  <c r="EQ47" i="18"/>
  <c r="FF47" i="18"/>
  <c r="EQ46" i="18"/>
  <c r="FF46" i="18"/>
  <c r="EQ38" i="18"/>
  <c r="FF38" i="18"/>
  <c r="AA29" i="18"/>
  <c r="AA27" i="18"/>
  <c r="AA25" i="18"/>
  <c r="AA23" i="18"/>
  <c r="AA49" i="18"/>
  <c r="AA21" i="18"/>
  <c r="AA19" i="18"/>
  <c r="AA42" i="18"/>
  <c r="AM42" i="18"/>
  <c r="AA17" i="18"/>
  <c r="AA15" i="18"/>
  <c r="AA44" i="18"/>
  <c r="AM44" i="18"/>
  <c r="AA13" i="18"/>
  <c r="AA33" i="18"/>
  <c r="AM33" i="18"/>
  <c r="AA10" i="18"/>
  <c r="AA46" i="18"/>
  <c r="AA8" i="18"/>
  <c r="AA41" i="18"/>
  <c r="AM41" i="18"/>
  <c r="AA6" i="18"/>
  <c r="AA47" i="18"/>
  <c r="AM47" i="18"/>
  <c r="AA4" i="18"/>
  <c r="AA40" i="18"/>
  <c r="AM40" i="18"/>
  <c r="AA2" i="18"/>
  <c r="AA38" i="18"/>
  <c r="AM38" i="18"/>
  <c r="AA30" i="18"/>
  <c r="AA35" i="18"/>
  <c r="AM35" i="18"/>
  <c r="AA28" i="18"/>
  <c r="AA43" i="18"/>
  <c r="AM43" i="18"/>
  <c r="AA26" i="18"/>
  <c r="AA36" i="18"/>
  <c r="AM36" i="18"/>
  <c r="AA24" i="18"/>
  <c r="AA22" i="18"/>
  <c r="AA37" i="18"/>
  <c r="AM37" i="18"/>
  <c r="AA20" i="18"/>
  <c r="AA18" i="18"/>
  <c r="AA16" i="18"/>
  <c r="AA14" i="18"/>
  <c r="AA34" i="18"/>
  <c r="AA12" i="18"/>
  <c r="AA11" i="18"/>
  <c r="AA39" i="18"/>
  <c r="AM39" i="18"/>
  <c r="AA9" i="18"/>
  <c r="AA7" i="18"/>
  <c r="AA5" i="18"/>
  <c r="AA3" i="18"/>
  <c r="AA32" i="18"/>
  <c r="AK23" i="5"/>
  <c r="AK49" i="5"/>
  <c r="AK21" i="5"/>
  <c r="AK16" i="5"/>
  <c r="AK13" i="5"/>
  <c r="AK33" i="5"/>
  <c r="AK10" i="5"/>
  <c r="AK46" i="5"/>
  <c r="AK8" i="5"/>
  <c r="AK41" i="5"/>
  <c r="AK30" i="5"/>
  <c r="AK35" i="5"/>
  <c r="AK27" i="5"/>
  <c r="AK25" i="5"/>
  <c r="AK22" i="5"/>
  <c r="AK37" i="5"/>
  <c r="AK18" i="5"/>
  <c r="AK15" i="5"/>
  <c r="AK44" i="5"/>
  <c r="AK12" i="5"/>
  <c r="AK5" i="5"/>
  <c r="AK2" i="5"/>
  <c r="AK38" i="5"/>
  <c r="AK29" i="5"/>
  <c r="AK20" i="5"/>
  <c r="AK17" i="5"/>
  <c r="AK14" i="5"/>
  <c r="AK34" i="5"/>
  <c r="AK7" i="5"/>
  <c r="AK4" i="5"/>
  <c r="AK40" i="5"/>
  <c r="AK28" i="5"/>
  <c r="AK43" i="5"/>
  <c r="AK26" i="5"/>
  <c r="AK36" i="5"/>
  <c r="AK24" i="5"/>
  <c r="AK19" i="5"/>
  <c r="AK42" i="5"/>
  <c r="AK11" i="5"/>
  <c r="AK39" i="5"/>
  <c r="AK9" i="5"/>
  <c r="AK6" i="5"/>
  <c r="AK47" i="5"/>
  <c r="AK3" i="5"/>
  <c r="AK32" i="5"/>
  <c r="K28" i="5"/>
  <c r="K43" i="5"/>
  <c r="K26" i="5"/>
  <c r="K36" i="5"/>
  <c r="K23" i="5"/>
  <c r="K49" i="5"/>
  <c r="K21" i="5"/>
  <c r="K16" i="5"/>
  <c r="K13" i="5"/>
  <c r="K33" i="5"/>
  <c r="K10" i="5"/>
  <c r="K46" i="5"/>
  <c r="K8" i="5"/>
  <c r="K41" i="5"/>
  <c r="K25" i="5"/>
  <c r="K14" i="5"/>
  <c r="K34" i="5"/>
  <c r="K4" i="5"/>
  <c r="K40" i="5"/>
  <c r="K29" i="5"/>
  <c r="K24" i="5"/>
  <c r="K19" i="5"/>
  <c r="K42" i="5"/>
  <c r="K9" i="5"/>
  <c r="K6" i="5"/>
  <c r="K47" i="5"/>
  <c r="K3" i="5"/>
  <c r="K32" i="5"/>
  <c r="K22" i="5"/>
  <c r="K37" i="5"/>
  <c r="K18" i="5"/>
  <c r="K15" i="5"/>
  <c r="K12" i="5"/>
  <c r="K5" i="5"/>
  <c r="K27" i="5"/>
  <c r="K17" i="5"/>
  <c r="K7" i="5"/>
  <c r="K30" i="5"/>
  <c r="K35" i="5"/>
  <c r="K20" i="5"/>
  <c r="K2" i="5"/>
  <c r="K38" i="5"/>
  <c r="K11" i="5"/>
  <c r="K39" i="5"/>
  <c r="BY39" i="18"/>
  <c r="CN39" i="18"/>
  <c r="BZ39" i="18"/>
  <c r="CO39" i="18"/>
  <c r="CE32" i="18"/>
  <c r="CD32" i="18"/>
  <c r="BY3" i="18"/>
  <c r="BY32" i="18"/>
  <c r="CC39" i="18"/>
  <c r="CR39" i="18"/>
  <c r="BZ32" i="18"/>
  <c r="CC32" i="18"/>
  <c r="CF39" i="18"/>
  <c r="CU39" i="18"/>
  <c r="CA39" i="18"/>
  <c r="CP39" i="18"/>
  <c r="CF32" i="18"/>
  <c r="CA32" i="18"/>
  <c r="CB32" i="18"/>
  <c r="CA43" i="18"/>
  <c r="CP43" i="18"/>
  <c r="CC35" i="18"/>
  <c r="CR35" i="18"/>
  <c r="CF36" i="18"/>
  <c r="CU36" i="18"/>
  <c r="CE49" i="18"/>
  <c r="CT49" i="18"/>
  <c r="CF37" i="18"/>
  <c r="CU37" i="18"/>
  <c r="CC37" i="18"/>
  <c r="CR37" i="18"/>
  <c r="CE42" i="18"/>
  <c r="CT42" i="18"/>
  <c r="CE44" i="18"/>
  <c r="CT44" i="18"/>
  <c r="CF34" i="18"/>
  <c r="CU34" i="18"/>
  <c r="CD38" i="18"/>
  <c r="CS38" i="18"/>
  <c r="CA35" i="18"/>
  <c r="CP35" i="18"/>
  <c r="BZ34" i="18"/>
  <c r="CO34" i="18"/>
  <c r="CE38" i="18"/>
  <c r="CT38" i="18"/>
  <c r="CA49" i="18"/>
  <c r="CP49" i="18"/>
  <c r="CA42" i="18"/>
  <c r="CP42" i="18"/>
  <c r="CA38" i="18"/>
  <c r="CP38" i="18"/>
  <c r="CD35" i="18"/>
  <c r="CS35" i="18"/>
  <c r="CE43" i="18"/>
  <c r="CT43" i="18"/>
  <c r="BY43" i="18"/>
  <c r="CN43" i="18"/>
  <c r="CF42" i="18"/>
  <c r="CU42" i="18"/>
  <c r="CC42" i="18"/>
  <c r="CR42" i="18"/>
  <c r="CF44" i="18"/>
  <c r="CU44" i="18"/>
  <c r="BZ38" i="18"/>
  <c r="CO38" i="18"/>
  <c r="CA36" i="18"/>
  <c r="CP36" i="18"/>
  <c r="CA34" i="18"/>
  <c r="CP34" i="18"/>
  <c r="CF43" i="18"/>
  <c r="CU43" i="18"/>
  <c r="BZ36" i="18"/>
  <c r="CO36" i="18"/>
  <c r="CA37" i="18"/>
  <c r="CP37" i="18"/>
  <c r="BZ35" i="18"/>
  <c r="CO35" i="18"/>
  <c r="BZ37" i="18"/>
  <c r="CO37" i="18"/>
  <c r="CE35" i="18"/>
  <c r="CT35" i="18"/>
  <c r="BY36" i="18"/>
  <c r="CN36" i="18"/>
  <c r="CE34" i="18"/>
  <c r="CT34" i="18"/>
  <c r="BZ44" i="18"/>
  <c r="CO44" i="18"/>
  <c r="BY35" i="18"/>
  <c r="CN35" i="18"/>
  <c r="BY34" i="18"/>
  <c r="CN34" i="18"/>
  <c r="CE36" i="18"/>
  <c r="CT36" i="18"/>
  <c r="CF38" i="18"/>
  <c r="CU38" i="18"/>
  <c r="E30" i="5"/>
  <c r="E28" i="5"/>
  <c r="E26" i="5"/>
  <c r="E24" i="5"/>
  <c r="E22" i="5"/>
  <c r="E20" i="5"/>
  <c r="E18" i="5"/>
  <c r="E16" i="5"/>
  <c r="E14" i="5"/>
  <c r="E12" i="5"/>
  <c r="E10" i="5"/>
  <c r="E8" i="5"/>
  <c r="E6" i="5"/>
  <c r="E4" i="5"/>
  <c r="E29" i="5"/>
  <c r="E27" i="5"/>
  <c r="E25" i="5"/>
  <c r="E23" i="5"/>
  <c r="E21" i="5"/>
  <c r="E19" i="5"/>
  <c r="E17" i="5"/>
  <c r="E15" i="5"/>
  <c r="E13" i="5"/>
  <c r="E11" i="5"/>
  <c r="E9" i="5"/>
  <c r="E7" i="5"/>
  <c r="E5" i="5"/>
  <c r="E3" i="5"/>
  <c r="BO32" i="37"/>
  <c r="BP32" i="37"/>
  <c r="BP35" i="37"/>
  <c r="BP43" i="37"/>
  <c r="BP36" i="37"/>
  <c r="BP42" i="37"/>
  <c r="BP44" i="37"/>
  <c r="BP34" i="37"/>
  <c r="BP33" i="37"/>
  <c r="BP39" i="37"/>
  <c r="BP46" i="37"/>
  <c r="BP41" i="37"/>
  <c r="BP40" i="37"/>
  <c r="BP38" i="37"/>
  <c r="BO43" i="37"/>
  <c r="BO36" i="37"/>
  <c r="BO49" i="37"/>
  <c r="BO42" i="37"/>
  <c r="BO44" i="37"/>
  <c r="BO34" i="37"/>
  <c r="BO33" i="37"/>
  <c r="BO46" i="37"/>
  <c r="BO41" i="37"/>
  <c r="BO40" i="37"/>
  <c r="BO38" i="37"/>
  <c r="S46" i="5"/>
  <c r="E2" i="5"/>
  <c r="F35" i="18"/>
  <c r="F43" i="18"/>
  <c r="F49" i="18"/>
  <c r="F37" i="18"/>
  <c r="F42" i="18"/>
  <c r="F44" i="18"/>
  <c r="F33" i="18"/>
  <c r="F34" i="18"/>
  <c r="F40" i="18"/>
  <c r="F38" i="18"/>
  <c r="F46" i="18"/>
  <c r="F41" i="18"/>
  <c r="F47" i="18"/>
  <c r="F39" i="18"/>
  <c r="G36" i="18"/>
  <c r="G34" i="18"/>
  <c r="G49" i="18"/>
  <c r="G41" i="18"/>
  <c r="G47" i="18"/>
  <c r="G39" i="18"/>
  <c r="G38" i="18"/>
  <c r="FH35" i="18"/>
  <c r="FH43" i="18"/>
  <c r="FH57" i="18"/>
  <c r="FH36" i="18"/>
  <c r="FH49" i="18"/>
  <c r="FH44" i="18"/>
  <c r="FH42" i="18"/>
  <c r="FH33" i="18"/>
  <c r="FH34" i="18"/>
  <c r="FH37" i="18"/>
  <c r="FH46" i="18"/>
  <c r="FH40" i="18"/>
  <c r="FH41" i="18"/>
  <c r="FH47" i="18"/>
  <c r="FH39" i="18"/>
  <c r="FH32" i="18"/>
  <c r="E43" i="18"/>
  <c r="E34" i="18"/>
  <c r="E49" i="18"/>
  <c r="E37" i="18"/>
  <c r="E36" i="18"/>
  <c r="E42" i="18"/>
  <c r="E44" i="18"/>
  <c r="E33" i="18"/>
  <c r="E41" i="18"/>
  <c r="E40" i="18"/>
  <c r="E38" i="18"/>
  <c r="E46" i="18"/>
  <c r="E47" i="18"/>
  <c r="E39" i="18"/>
  <c r="L36" i="18"/>
  <c r="L42" i="18"/>
  <c r="L44" i="18"/>
  <c r="L33" i="18"/>
  <c r="L34" i="18"/>
  <c r="L46" i="18"/>
  <c r="L39" i="18"/>
  <c r="L38" i="18"/>
  <c r="J43" i="18"/>
  <c r="J49" i="18"/>
  <c r="J37" i="18"/>
  <c r="J36" i="18"/>
  <c r="J42" i="18"/>
  <c r="J44" i="18"/>
  <c r="J33" i="18"/>
  <c r="J40" i="18"/>
  <c r="J38" i="18"/>
  <c r="J46" i="18"/>
  <c r="J41" i="18"/>
  <c r="J47" i="18"/>
  <c r="J39" i="18"/>
  <c r="J32" i="18"/>
  <c r="O35" i="18"/>
  <c r="O43" i="18"/>
  <c r="O37" i="18"/>
  <c r="O36" i="18"/>
  <c r="O44" i="18"/>
  <c r="O42" i="18"/>
  <c r="O33" i="18"/>
  <c r="O41" i="18"/>
  <c r="O46" i="18"/>
  <c r="O40" i="18"/>
  <c r="O38" i="18"/>
  <c r="O47" i="18"/>
  <c r="O39" i="18"/>
  <c r="O32" i="18"/>
  <c r="H35" i="18"/>
  <c r="H34" i="18"/>
  <c r="H49" i="18"/>
  <c r="H42" i="18"/>
  <c r="H44" i="18"/>
  <c r="H41" i="18"/>
  <c r="I35" i="18"/>
  <c r="I34" i="18"/>
  <c r="I42" i="18"/>
  <c r="I44" i="18"/>
  <c r="I40" i="18"/>
  <c r="I46" i="18"/>
  <c r="N35" i="18"/>
  <c r="N43" i="18"/>
  <c r="N34" i="18"/>
  <c r="N49" i="18"/>
  <c r="N33" i="18"/>
  <c r="N39" i="18"/>
  <c r="N46" i="18"/>
  <c r="N40" i="18"/>
  <c r="FI43" i="18"/>
  <c r="FI33" i="18"/>
  <c r="FI37" i="18"/>
  <c r="FI36" i="18"/>
  <c r="FI49" i="18"/>
  <c r="FI41" i="18"/>
  <c r="FI39" i="18"/>
  <c r="FI46" i="18"/>
  <c r="FI38" i="18"/>
  <c r="FI32" i="18"/>
  <c r="G32" i="18"/>
  <c r="F32" i="18"/>
  <c r="E32" i="18"/>
  <c r="AZ45" i="32"/>
  <c r="AQ23" i="37"/>
  <c r="AQ35" i="37"/>
  <c r="AQ44" i="37"/>
  <c r="AQ47" i="37"/>
  <c r="AA45" i="37"/>
  <c r="BS2" i="30"/>
  <c r="BH2" i="30"/>
  <c r="AQ11" i="37"/>
  <c r="AQ2" i="37"/>
  <c r="AQ30" i="37"/>
  <c r="AS61" i="37"/>
  <c r="AS75" i="37"/>
  <c r="AE66" i="37"/>
  <c r="AE52" i="37"/>
  <c r="AS73" i="37"/>
  <c r="AS59" i="37"/>
  <c r="AI47" i="37"/>
  <c r="AN47" i="37"/>
  <c r="AG73" i="37"/>
  <c r="AG59" i="37"/>
  <c r="AL59" i="37"/>
  <c r="AS69" i="37"/>
  <c r="AS55" i="37"/>
  <c r="AF69" i="37"/>
  <c r="AF55" i="37"/>
  <c r="AI66" i="37"/>
  <c r="AI52" i="37"/>
  <c r="AE67" i="37"/>
  <c r="AE53" i="37"/>
  <c r="AS68" i="37"/>
  <c r="AS54" i="37"/>
  <c r="AU54" i="37"/>
  <c r="AF52" i="37"/>
  <c r="AF66" i="37"/>
  <c r="AH71" i="37"/>
  <c r="AH57" i="37"/>
  <c r="AE70" i="37"/>
  <c r="AE56" i="37"/>
  <c r="AI72" i="37"/>
  <c r="AI58" i="37"/>
  <c r="AF73" i="37"/>
  <c r="AF59" i="37"/>
  <c r="AE76" i="37"/>
  <c r="AE62" i="37"/>
  <c r="AJ62" i="37"/>
  <c r="AH70" i="37"/>
  <c r="AH56" i="37"/>
  <c r="AG66" i="37"/>
  <c r="AG52" i="37"/>
  <c r="AI59" i="37"/>
  <c r="AN59" i="37"/>
  <c r="AI73" i="37"/>
  <c r="BI45" i="29"/>
  <c r="AS76" i="37"/>
  <c r="AS62" i="37"/>
  <c r="AG69" i="37"/>
  <c r="AG55" i="37"/>
  <c r="AE75" i="37"/>
  <c r="AE61" i="37"/>
  <c r="AF67" i="37"/>
  <c r="AF53" i="37"/>
  <c r="AH75" i="37"/>
  <c r="AH61" i="37"/>
  <c r="AS74" i="37"/>
  <c r="AS60" i="37"/>
  <c r="AV60" i="37"/>
  <c r="AE71" i="37"/>
  <c r="AE57" i="37"/>
  <c r="AJ57" i="37"/>
  <c r="AF72" i="37"/>
  <c r="AF58" i="37"/>
  <c r="AI68" i="37"/>
  <c r="AI54" i="37"/>
  <c r="AF56" i="37"/>
  <c r="AF70" i="37"/>
  <c r="AF68" i="37"/>
  <c r="AF54" i="37"/>
  <c r="AH50" i="37"/>
  <c r="AH64" i="37"/>
  <c r="AE72" i="37"/>
  <c r="AE58" i="37"/>
  <c r="AI74" i="37"/>
  <c r="AI60" i="37"/>
  <c r="AH54" i="37"/>
  <c r="AH68" i="37"/>
  <c r="AG47" i="37"/>
  <c r="AL47" i="37"/>
  <c r="AG57" i="37"/>
  <c r="AG71" i="37"/>
  <c r="AH58" i="37"/>
  <c r="AH72" i="37"/>
  <c r="AE59" i="37"/>
  <c r="AE73" i="37"/>
  <c r="AS57" i="37"/>
  <c r="AS71" i="37"/>
  <c r="AE64" i="37"/>
  <c r="AE50" i="37"/>
  <c r="AE68" i="37"/>
  <c r="AE54" i="37"/>
  <c r="AF71" i="37"/>
  <c r="AF57" i="37"/>
  <c r="AK57" i="37"/>
  <c r="AG72" i="37"/>
  <c r="AG58" i="37"/>
  <c r="AS72" i="37"/>
  <c r="AS58" i="37"/>
  <c r="AG76" i="37"/>
  <c r="AG62" i="37"/>
  <c r="AE51" i="37"/>
  <c r="AE65" i="37"/>
  <c r="AI71" i="37"/>
  <c r="AI57" i="37"/>
  <c r="AF60" i="37"/>
  <c r="AF74" i="37"/>
  <c r="AS66" i="37"/>
  <c r="AS52" i="37"/>
  <c r="AG70" i="37"/>
  <c r="AG56" i="37"/>
  <c r="AH73" i="37"/>
  <c r="AH59" i="37"/>
  <c r="AI55" i="37"/>
  <c r="AI69" i="37"/>
  <c r="AH65" i="37"/>
  <c r="AH51" i="37"/>
  <c r="AG61" i="37"/>
  <c r="AG75" i="37"/>
  <c r="AE74" i="37"/>
  <c r="AE60" i="37"/>
  <c r="AH67" i="37"/>
  <c r="AH53" i="37"/>
  <c r="AG64" i="37"/>
  <c r="AG50" i="37"/>
  <c r="AH74" i="37"/>
  <c r="AH60" i="37"/>
  <c r="AG68" i="37"/>
  <c r="AG54" i="37"/>
  <c r="AF47" i="37"/>
  <c r="AK47" i="37"/>
  <c r="BO2" i="30"/>
  <c r="BD31" i="5"/>
  <c r="S45" i="32"/>
  <c r="AI51" i="37"/>
  <c r="AI65" i="37"/>
  <c r="AH62" i="37"/>
  <c r="AH76" i="37"/>
  <c r="AF65" i="37"/>
  <c r="AF51" i="37"/>
  <c r="AS70" i="37"/>
  <c r="AS56" i="37"/>
  <c r="AI64" i="37"/>
  <c r="AI50" i="37"/>
  <c r="AH47" i="37"/>
  <c r="AM47" i="37"/>
  <c r="AS64" i="37"/>
  <c r="AS50" i="37"/>
  <c r="AI67" i="37"/>
  <c r="AI53" i="37"/>
  <c r="AS53" i="37"/>
  <c r="AS67" i="37"/>
  <c r="AS65" i="37"/>
  <c r="AS51" i="37"/>
  <c r="AF64" i="37"/>
  <c r="AF50" i="37"/>
  <c r="AI75" i="37"/>
  <c r="AI61" i="37"/>
  <c r="AG74" i="37"/>
  <c r="AG60" i="37"/>
  <c r="AE47" i="37"/>
  <c r="AJ47" i="37"/>
  <c r="AF76" i="37"/>
  <c r="AF62" i="37"/>
  <c r="AE55" i="37"/>
  <c r="AE69" i="37"/>
  <c r="AI70" i="37"/>
  <c r="AI56" i="37"/>
  <c r="AH66" i="37"/>
  <c r="AH52" i="37"/>
  <c r="AI76" i="37"/>
  <c r="AI62" i="37"/>
  <c r="AH69" i="37"/>
  <c r="AH55" i="37"/>
  <c r="AG65" i="37"/>
  <c r="AG51" i="37"/>
  <c r="AF75" i="37"/>
  <c r="AF61" i="37"/>
  <c r="AG53" i="37"/>
  <c r="AG67" i="37"/>
  <c r="AQ19" i="37"/>
  <c r="EC75" i="18"/>
  <c r="ER75" i="18"/>
  <c r="EC61" i="18"/>
  <c r="ER61" i="18"/>
  <c r="EC73" i="18"/>
  <c r="ER73" i="18"/>
  <c r="EC59" i="18"/>
  <c r="ER59" i="18"/>
  <c r="EC50" i="18"/>
  <c r="ER50" i="18"/>
  <c r="EC64" i="18"/>
  <c r="ER64" i="18"/>
  <c r="EC74" i="18"/>
  <c r="ER74" i="18"/>
  <c r="EC60" i="18"/>
  <c r="ER60" i="18"/>
  <c r="U52" i="37"/>
  <c r="U66" i="37"/>
  <c r="U61" i="37"/>
  <c r="U75" i="37"/>
  <c r="U54" i="37"/>
  <c r="U68" i="37"/>
  <c r="X35" i="29"/>
  <c r="X30" i="30"/>
  <c r="X36" i="29"/>
  <c r="X26" i="30"/>
  <c r="X37" i="29"/>
  <c r="X22" i="30"/>
  <c r="X61" i="29"/>
  <c r="X75" i="29"/>
  <c r="X18" i="30"/>
  <c r="X34" i="29"/>
  <c r="X14" i="30"/>
  <c r="X34" i="30"/>
  <c r="X41" i="29"/>
  <c r="X8" i="30"/>
  <c r="X32" i="29"/>
  <c r="X3" i="30"/>
  <c r="X32" i="30"/>
  <c r="T40" i="29"/>
  <c r="T4" i="30"/>
  <c r="T40" i="30"/>
  <c r="T35" i="29"/>
  <c r="T30" i="30"/>
  <c r="T35" i="30"/>
  <c r="T36" i="29"/>
  <c r="T26" i="30"/>
  <c r="T36" i="30"/>
  <c r="T37" i="29"/>
  <c r="T22" i="30"/>
  <c r="T75" i="29"/>
  <c r="T61" i="29"/>
  <c r="T18" i="30"/>
  <c r="T34" i="29"/>
  <c r="T14" i="30"/>
  <c r="T59" i="29"/>
  <c r="T73" i="29"/>
  <c r="T7" i="30"/>
  <c r="P57" i="29"/>
  <c r="P71" i="29"/>
  <c r="P29" i="30"/>
  <c r="P64" i="29"/>
  <c r="P50" i="29"/>
  <c r="P25" i="30"/>
  <c r="P65" i="29"/>
  <c r="P51" i="29"/>
  <c r="P21" i="30"/>
  <c r="P52" i="29"/>
  <c r="P66" i="29"/>
  <c r="P17" i="30"/>
  <c r="P33" i="29"/>
  <c r="P13" i="30"/>
  <c r="P40" i="29"/>
  <c r="P4" i="30"/>
  <c r="P67" i="29"/>
  <c r="P53" i="29"/>
  <c r="P5" i="30"/>
  <c r="L39" i="29"/>
  <c r="L11" i="30"/>
  <c r="L32" i="29"/>
  <c r="L3" i="30"/>
  <c r="L76" i="29"/>
  <c r="L62" i="29"/>
  <c r="L27" i="30"/>
  <c r="L49" i="29"/>
  <c r="L42" i="29"/>
  <c r="L19" i="30"/>
  <c r="L44" i="29"/>
  <c r="L15" i="30"/>
  <c r="L46" i="29"/>
  <c r="I65" i="29"/>
  <c r="I51" i="29"/>
  <c r="I21" i="30"/>
  <c r="I65" i="30"/>
  <c r="I62" i="29"/>
  <c r="I76" i="29"/>
  <c r="I27" i="30"/>
  <c r="I36" i="29"/>
  <c r="I26" i="30"/>
  <c r="I36" i="30"/>
  <c r="I61" i="29"/>
  <c r="I75" i="29"/>
  <c r="I18" i="30"/>
  <c r="I39" i="29"/>
  <c r="I11" i="30"/>
  <c r="I59" i="29"/>
  <c r="I73" i="29"/>
  <c r="I7" i="30"/>
  <c r="I32" i="29"/>
  <c r="I3" i="30"/>
  <c r="E50" i="29"/>
  <c r="E64" i="29"/>
  <c r="E66" i="29"/>
  <c r="E52" i="29"/>
  <c r="E17" i="30"/>
  <c r="E43" i="29"/>
  <c r="E28" i="30"/>
  <c r="E43" i="30"/>
  <c r="E70" i="29"/>
  <c r="E56" i="29"/>
  <c r="E60" i="29"/>
  <c r="E74" i="29"/>
  <c r="E12" i="30"/>
  <c r="E41" i="29"/>
  <c r="E8" i="30"/>
  <c r="AW64" i="32"/>
  <c r="AW50" i="32"/>
  <c r="BA50" i="32"/>
  <c r="AW68" i="32"/>
  <c r="BA68" i="32"/>
  <c r="AW54" i="32"/>
  <c r="BA54" i="32"/>
  <c r="BA54" i="29"/>
  <c r="BA68" i="29"/>
  <c r="BA73" i="29"/>
  <c r="BA59" i="29"/>
  <c r="CA73" i="30"/>
  <c r="BA57" i="29"/>
  <c r="BA71" i="29"/>
  <c r="BA76" i="29"/>
  <c r="BA62" i="29"/>
  <c r="BA64" i="29"/>
  <c r="BA50" i="29"/>
  <c r="BA49" i="29"/>
  <c r="BA51" i="29"/>
  <c r="BA65" i="29"/>
  <c r="BA42" i="29"/>
  <c r="BA66" i="29"/>
  <c r="BA52" i="29"/>
  <c r="BA44" i="29"/>
  <c r="BA33" i="29"/>
  <c r="CS62" i="30"/>
  <c r="CS76" i="30"/>
  <c r="CS73" i="30"/>
  <c r="CS59" i="30"/>
  <c r="AS35" i="29"/>
  <c r="BS30" i="30"/>
  <c r="AS43" i="29"/>
  <c r="BS28" i="30"/>
  <c r="AS36" i="29"/>
  <c r="BS26" i="30"/>
  <c r="AS55" i="29"/>
  <c r="AS69" i="29"/>
  <c r="BS24" i="30"/>
  <c r="AS37" i="29"/>
  <c r="BS22" i="30"/>
  <c r="AS56" i="29"/>
  <c r="AS70" i="29"/>
  <c r="BS20" i="30"/>
  <c r="AS61" i="29"/>
  <c r="AS75" i="29"/>
  <c r="BS18" i="30"/>
  <c r="BS61" i="30"/>
  <c r="AS58" i="29"/>
  <c r="AS72" i="29"/>
  <c r="BS16" i="30"/>
  <c r="AS34" i="29"/>
  <c r="BS14" i="30"/>
  <c r="BS54" i="29"/>
  <c r="BS68" i="29"/>
  <c r="BS53" i="29"/>
  <c r="BS67" i="29"/>
  <c r="CO57" i="30"/>
  <c r="CO71" i="30"/>
  <c r="CO64" i="30"/>
  <c r="CO50" i="30"/>
  <c r="CO51" i="30"/>
  <c r="CO65" i="30"/>
  <c r="CO52" i="30"/>
  <c r="CO66" i="30"/>
  <c r="CO68" i="30"/>
  <c r="CO54" i="30"/>
  <c r="CO53" i="30"/>
  <c r="CO67" i="30"/>
  <c r="BN45" i="29"/>
  <c r="BO53" i="29"/>
  <c r="BO67" i="29"/>
  <c r="AO35" i="29"/>
  <c r="BO30" i="30"/>
  <c r="AO43" i="29"/>
  <c r="BO28" i="30"/>
  <c r="BO43" i="30"/>
  <c r="AO36" i="29"/>
  <c r="BO26" i="30"/>
  <c r="AO55" i="29"/>
  <c r="AO69" i="29"/>
  <c r="BO24" i="30"/>
  <c r="AO37" i="29"/>
  <c r="BO22" i="30"/>
  <c r="AO70" i="29"/>
  <c r="AO56" i="29"/>
  <c r="BO20" i="30"/>
  <c r="AO61" i="29"/>
  <c r="AO75" i="29"/>
  <c r="BO18" i="30"/>
  <c r="AO72" i="29"/>
  <c r="AO58" i="29"/>
  <c r="BO16" i="30"/>
  <c r="AO34" i="29"/>
  <c r="BO14" i="30"/>
  <c r="AO74" i="29"/>
  <c r="AO60" i="29"/>
  <c r="BO12" i="30"/>
  <c r="AO41" i="29"/>
  <c r="BO8" i="30"/>
  <c r="AO40" i="29"/>
  <c r="BO4" i="30"/>
  <c r="CK76" i="30"/>
  <c r="CK62" i="30"/>
  <c r="CK59" i="30"/>
  <c r="CK73" i="30"/>
  <c r="BK59" i="29"/>
  <c r="BK73" i="29"/>
  <c r="AK57" i="29"/>
  <c r="AK71" i="29"/>
  <c r="BK29" i="30"/>
  <c r="AK62" i="29"/>
  <c r="AK76" i="29"/>
  <c r="BK27" i="30"/>
  <c r="AK64" i="29"/>
  <c r="AK50" i="29"/>
  <c r="BK25" i="30"/>
  <c r="AK49" i="29"/>
  <c r="BK23" i="30"/>
  <c r="AK65" i="29"/>
  <c r="AK51" i="29"/>
  <c r="BK21" i="30"/>
  <c r="AK42" i="29"/>
  <c r="BK19" i="30"/>
  <c r="AK52" i="29"/>
  <c r="AK66" i="29"/>
  <c r="BK17" i="30"/>
  <c r="AK44" i="29"/>
  <c r="BK15" i="30"/>
  <c r="AK33" i="29"/>
  <c r="BK13" i="30"/>
  <c r="AK39" i="29"/>
  <c r="BK11" i="30"/>
  <c r="AK59" i="29"/>
  <c r="AK73" i="29"/>
  <c r="BK7" i="30"/>
  <c r="CH71" i="30"/>
  <c r="CH57" i="30"/>
  <c r="CH50" i="30"/>
  <c r="CH64" i="30"/>
  <c r="CH51" i="30"/>
  <c r="CH65" i="30"/>
  <c r="CH66" i="30"/>
  <c r="CH52" i="30"/>
  <c r="CH54" i="30"/>
  <c r="CH68" i="30"/>
  <c r="CH53" i="30"/>
  <c r="CH67" i="30"/>
  <c r="CG71" i="30"/>
  <c r="CG57" i="30"/>
  <c r="CG50" i="30"/>
  <c r="CG64" i="30"/>
  <c r="CG52" i="30"/>
  <c r="CG66" i="30"/>
  <c r="CG67" i="30"/>
  <c r="CG53" i="30"/>
  <c r="BH55" i="29"/>
  <c r="BH69" i="29"/>
  <c r="BH56" i="29"/>
  <c r="BH70" i="29"/>
  <c r="BH61" i="29"/>
  <c r="BH75" i="29"/>
  <c r="BH58" i="29"/>
  <c r="BH72" i="29"/>
  <c r="BH60" i="29"/>
  <c r="BH74" i="29"/>
  <c r="AH40" i="29"/>
  <c r="BH4" i="30"/>
  <c r="BG61" i="29"/>
  <c r="BG75" i="29"/>
  <c r="BH68" i="29"/>
  <c r="BH54" i="29"/>
  <c r="AH67" i="29"/>
  <c r="AH53" i="29"/>
  <c r="BH5" i="30"/>
  <c r="AD39" i="29"/>
  <c r="D11" i="18"/>
  <c r="AD59" i="29"/>
  <c r="AD73" i="29"/>
  <c r="D7" i="18"/>
  <c r="AD57" i="29"/>
  <c r="AD71" i="29"/>
  <c r="D29" i="18"/>
  <c r="AD62" i="29"/>
  <c r="AD76" i="29"/>
  <c r="D27" i="18"/>
  <c r="AD64" i="29"/>
  <c r="AD50" i="29"/>
  <c r="D25" i="18"/>
  <c r="AD49" i="29"/>
  <c r="D23" i="18"/>
  <c r="AD51" i="29"/>
  <c r="AD65" i="29"/>
  <c r="D21" i="18"/>
  <c r="AD42" i="29"/>
  <c r="D19" i="18"/>
  <c r="AD66" i="29"/>
  <c r="AD52" i="29"/>
  <c r="D17" i="18"/>
  <c r="AD44" i="29"/>
  <c r="D15" i="18"/>
  <c r="AD33" i="29"/>
  <c r="D13" i="18"/>
  <c r="AD46" i="29"/>
  <c r="D10" i="18"/>
  <c r="AD47" i="29"/>
  <c r="D6" i="18"/>
  <c r="AD38" i="29"/>
  <c r="R59" i="29"/>
  <c r="R73" i="29"/>
  <c r="R7" i="30"/>
  <c r="R46" i="29"/>
  <c r="R10" i="30"/>
  <c r="R35" i="29"/>
  <c r="R30" i="30"/>
  <c r="R35" i="30"/>
  <c r="R36" i="29"/>
  <c r="R26" i="30"/>
  <c r="R36" i="30"/>
  <c r="R37" i="29"/>
  <c r="R22" i="30"/>
  <c r="R37" i="30"/>
  <c r="R61" i="29"/>
  <c r="R75" i="29"/>
  <c r="R18" i="30"/>
  <c r="R34" i="29"/>
  <c r="R14" i="30"/>
  <c r="R53" i="29"/>
  <c r="R67" i="29"/>
  <c r="R5" i="30"/>
  <c r="AB35" i="29"/>
  <c r="AB36" i="29"/>
  <c r="AB37" i="29"/>
  <c r="AB61" i="29"/>
  <c r="AB75" i="29"/>
  <c r="AB34" i="29"/>
  <c r="AB41" i="29"/>
  <c r="AB32" i="29"/>
  <c r="T38" i="37"/>
  <c r="T37" i="37"/>
  <c r="T44" i="37"/>
  <c r="T49" i="37"/>
  <c r="T47" i="37"/>
  <c r="CY76" i="30"/>
  <c r="CY62" i="30"/>
  <c r="CY73" i="30"/>
  <c r="CY59" i="30"/>
  <c r="AY57" i="29"/>
  <c r="AY71" i="29"/>
  <c r="BY29" i="30"/>
  <c r="AY62" i="29"/>
  <c r="AY76" i="29"/>
  <c r="BY27" i="30"/>
  <c r="AY64" i="29"/>
  <c r="AY50" i="29"/>
  <c r="BY25" i="30"/>
  <c r="AY49" i="29"/>
  <c r="BY23" i="30"/>
  <c r="AY65" i="29"/>
  <c r="AY51" i="29"/>
  <c r="BY21" i="30"/>
  <c r="AY42" i="29"/>
  <c r="BY19" i="30"/>
  <c r="BY42" i="30"/>
  <c r="AY52" i="29"/>
  <c r="AY66" i="29"/>
  <c r="BY17" i="30"/>
  <c r="AY44" i="29"/>
  <c r="BY15" i="30"/>
  <c r="AY33" i="29"/>
  <c r="BY13" i="30"/>
  <c r="AY68" i="29"/>
  <c r="AY54" i="29"/>
  <c r="BY9" i="30"/>
  <c r="AY40" i="29"/>
  <c r="BY4" i="30"/>
  <c r="BY40" i="30"/>
  <c r="BY73" i="29"/>
  <c r="BY59" i="29"/>
  <c r="AY32" i="29"/>
  <c r="BY3" i="30"/>
  <c r="CQ74" i="30"/>
  <c r="CQ60" i="30"/>
  <c r="CQ53" i="30"/>
  <c r="CQ67" i="30"/>
  <c r="CQ66" i="30"/>
  <c r="CQ52" i="30"/>
  <c r="CQ69" i="30"/>
  <c r="CQ55" i="30"/>
  <c r="CQ61" i="30"/>
  <c r="CQ75" i="30"/>
  <c r="CQ73" i="30"/>
  <c r="CQ59" i="30"/>
  <c r="AQ66" i="29"/>
  <c r="AQ52" i="29"/>
  <c r="BQ17" i="30"/>
  <c r="AQ33" i="29"/>
  <c r="BQ13" i="30"/>
  <c r="BQ70" i="29"/>
  <c r="BQ56" i="29"/>
  <c r="AQ43" i="29"/>
  <c r="BQ28" i="30"/>
  <c r="AQ69" i="29"/>
  <c r="AQ55" i="29"/>
  <c r="BQ24" i="30"/>
  <c r="BQ69" i="30"/>
  <c r="AQ70" i="29"/>
  <c r="AQ56" i="29"/>
  <c r="BQ20" i="30"/>
  <c r="AQ72" i="29"/>
  <c r="AQ58" i="29"/>
  <c r="BQ16" i="30"/>
  <c r="AQ62" i="29"/>
  <c r="AQ76" i="29"/>
  <c r="BQ27" i="30"/>
  <c r="AQ60" i="29"/>
  <c r="AQ74" i="29"/>
  <c r="BQ12" i="30"/>
  <c r="AQ46" i="29"/>
  <c r="BQ10" i="30"/>
  <c r="AQ41" i="29"/>
  <c r="BQ8" i="30"/>
  <c r="AQ47" i="29"/>
  <c r="BQ6" i="30"/>
  <c r="AQ40" i="29"/>
  <c r="BQ4" i="30"/>
  <c r="CJ62" i="30"/>
  <c r="CJ76" i="30"/>
  <c r="CJ59" i="30"/>
  <c r="CJ73" i="30"/>
  <c r="AJ74" i="29"/>
  <c r="AJ60" i="29"/>
  <c r="BJ12" i="30"/>
  <c r="AJ41" i="29"/>
  <c r="BJ8" i="30"/>
  <c r="AJ57" i="29"/>
  <c r="AJ71" i="29"/>
  <c r="BJ29" i="30"/>
  <c r="AJ76" i="29"/>
  <c r="AJ62" i="29"/>
  <c r="BJ27" i="30"/>
  <c r="AJ64" i="29"/>
  <c r="AJ50" i="29"/>
  <c r="BJ25" i="30"/>
  <c r="AJ49" i="29"/>
  <c r="BJ23" i="30"/>
  <c r="AJ51" i="29"/>
  <c r="AJ65" i="29"/>
  <c r="BJ21" i="30"/>
  <c r="AJ42" i="29"/>
  <c r="BJ19" i="30"/>
  <c r="BJ42" i="30"/>
  <c r="AJ66" i="29"/>
  <c r="AJ52" i="29"/>
  <c r="BJ17" i="30"/>
  <c r="AJ44" i="29"/>
  <c r="BJ15" i="30"/>
  <c r="AJ33" i="29"/>
  <c r="BJ13" i="30"/>
  <c r="M69" i="29"/>
  <c r="M55" i="29"/>
  <c r="M24" i="30"/>
  <c r="M72" i="29"/>
  <c r="M58" i="29"/>
  <c r="M16" i="30"/>
  <c r="M50" i="29"/>
  <c r="M64" i="29"/>
  <c r="M25" i="30"/>
  <c r="M66" i="29"/>
  <c r="M52" i="29"/>
  <c r="M17" i="30"/>
  <c r="M39" i="29"/>
  <c r="M11" i="30"/>
  <c r="M59" i="29"/>
  <c r="M73" i="29"/>
  <c r="M7" i="30"/>
  <c r="M32" i="29"/>
  <c r="M3" i="30"/>
  <c r="U49" i="37"/>
  <c r="X73" i="29"/>
  <c r="X59" i="29"/>
  <c r="X7" i="30"/>
  <c r="X64" i="29"/>
  <c r="X50" i="29"/>
  <c r="X25" i="30"/>
  <c r="X52" i="29"/>
  <c r="X66" i="29"/>
  <c r="X17" i="30"/>
  <c r="X66" i="30"/>
  <c r="X33" i="29"/>
  <c r="X13" i="30"/>
  <c r="T46" i="29"/>
  <c r="T10" i="30"/>
  <c r="T50" i="29"/>
  <c r="T64" i="29"/>
  <c r="T25" i="30"/>
  <c r="T52" i="29"/>
  <c r="T66" i="29"/>
  <c r="T17" i="30"/>
  <c r="T67" i="29"/>
  <c r="T53" i="29"/>
  <c r="T5" i="30"/>
  <c r="P43" i="29"/>
  <c r="P28" i="30"/>
  <c r="P56" i="29"/>
  <c r="P70" i="29"/>
  <c r="P20" i="30"/>
  <c r="P58" i="29"/>
  <c r="P72" i="29"/>
  <c r="P16" i="30"/>
  <c r="P46" i="29"/>
  <c r="P10" i="30"/>
  <c r="P46" i="30"/>
  <c r="P32" i="29"/>
  <c r="P3" i="30"/>
  <c r="L59" i="29"/>
  <c r="L73" i="29"/>
  <c r="L7" i="30"/>
  <c r="L35" i="29"/>
  <c r="L30" i="30"/>
  <c r="L36" i="29"/>
  <c r="L26" i="30"/>
  <c r="L61" i="29"/>
  <c r="L75" i="29"/>
  <c r="L18" i="30"/>
  <c r="L34" i="29"/>
  <c r="L14" i="30"/>
  <c r="L34" i="30"/>
  <c r="L41" i="29"/>
  <c r="L8" i="30"/>
  <c r="L41" i="30"/>
  <c r="I71" i="29"/>
  <c r="I57" i="29"/>
  <c r="I29" i="30"/>
  <c r="I66" i="29"/>
  <c r="I52" i="29"/>
  <c r="I17" i="30"/>
  <c r="I66" i="30"/>
  <c r="I42" i="29"/>
  <c r="I19" i="30"/>
  <c r="I69" i="29"/>
  <c r="I55" i="29"/>
  <c r="I24" i="30"/>
  <c r="I72" i="29"/>
  <c r="I58" i="29"/>
  <c r="I16" i="30"/>
  <c r="I46" i="29"/>
  <c r="I10" i="30"/>
  <c r="I47" i="29"/>
  <c r="I6" i="30"/>
  <c r="I47" i="30"/>
  <c r="E49" i="29"/>
  <c r="E23" i="30"/>
  <c r="E44" i="29"/>
  <c r="E15" i="30"/>
  <c r="E36" i="29"/>
  <c r="E26" i="30"/>
  <c r="E61" i="29"/>
  <c r="E75" i="29"/>
  <c r="E18" i="30"/>
  <c r="E39" i="29"/>
  <c r="E11" i="30"/>
  <c r="E39" i="30"/>
  <c r="E59" i="29"/>
  <c r="E73" i="29"/>
  <c r="E7" i="30"/>
  <c r="E32" i="29"/>
  <c r="E3" i="30"/>
  <c r="AW73" i="32"/>
  <c r="BA73" i="32"/>
  <c r="AW59" i="32"/>
  <c r="BA59" i="32"/>
  <c r="AW70" i="32"/>
  <c r="BA70" i="32"/>
  <c r="AW56" i="32"/>
  <c r="BA56" i="32"/>
  <c r="AW60" i="32"/>
  <c r="BA60" i="32"/>
  <c r="AW74" i="32"/>
  <c r="BA74" i="32"/>
  <c r="AW67" i="32"/>
  <c r="BA67" i="32"/>
  <c r="AW53" i="32"/>
  <c r="BA53" i="32"/>
  <c r="BA49" i="32"/>
  <c r="BZ47" i="29"/>
  <c r="BA74" i="29"/>
  <c r="BA60" i="29"/>
  <c r="BA41" i="29"/>
  <c r="BA40" i="29"/>
  <c r="CS61" i="30"/>
  <c r="CS75" i="30"/>
  <c r="AS54" i="29"/>
  <c r="AS68" i="29"/>
  <c r="BS9" i="30"/>
  <c r="BS57" i="29"/>
  <c r="BS71" i="29"/>
  <c r="BS62" i="29"/>
  <c r="BS76" i="29"/>
  <c r="BS64" i="29"/>
  <c r="BS50" i="29"/>
  <c r="BS65" i="29"/>
  <c r="BS51" i="29"/>
  <c r="BS52" i="29"/>
  <c r="BS66" i="29"/>
  <c r="AS60" i="29"/>
  <c r="AS74" i="29"/>
  <c r="BS12" i="30"/>
  <c r="AS41" i="29"/>
  <c r="BS8" i="30"/>
  <c r="AS40" i="29"/>
  <c r="BS4" i="30"/>
  <c r="CO55" i="30"/>
  <c r="CO69" i="30"/>
  <c r="CO56" i="30"/>
  <c r="CO70" i="30"/>
  <c r="CO58" i="30"/>
  <c r="CO72" i="30"/>
  <c r="CO60" i="30"/>
  <c r="CO74" i="30"/>
  <c r="AO59" i="29"/>
  <c r="AO73" i="29"/>
  <c r="BO7" i="30"/>
  <c r="AO39" i="29"/>
  <c r="BO11" i="30"/>
  <c r="BO71" i="29"/>
  <c r="BO57" i="29"/>
  <c r="BO62" i="29"/>
  <c r="BO76" i="29"/>
  <c r="BO50" i="29"/>
  <c r="BO64" i="29"/>
  <c r="BO65" i="29"/>
  <c r="BO51" i="29"/>
  <c r="BO52" i="29"/>
  <c r="BO66" i="29"/>
  <c r="BO73" i="29"/>
  <c r="BO59" i="29"/>
  <c r="CK61" i="30"/>
  <c r="CK75" i="30"/>
  <c r="AK46" i="29"/>
  <c r="BK10" i="30"/>
  <c r="AK47" i="29"/>
  <c r="BK6" i="30"/>
  <c r="BK55" i="29"/>
  <c r="BK69" i="29"/>
  <c r="BK56" i="29"/>
  <c r="BK70" i="29"/>
  <c r="BK61" i="29"/>
  <c r="BK75" i="29"/>
  <c r="BK72" i="29"/>
  <c r="BK58" i="29"/>
  <c r="BK60" i="29"/>
  <c r="BK74" i="29"/>
  <c r="AK53" i="29"/>
  <c r="AK67" i="29"/>
  <c r="BK5" i="30"/>
  <c r="AK32" i="29"/>
  <c r="BK3" i="30"/>
  <c r="CH69" i="30"/>
  <c r="CH55" i="30"/>
  <c r="CH70" i="30"/>
  <c r="CH56" i="30"/>
  <c r="CH72" i="30"/>
  <c r="CH74" i="30"/>
  <c r="CH60" i="30"/>
  <c r="CG55" i="30"/>
  <c r="CG69" i="30"/>
  <c r="CG56" i="30"/>
  <c r="CG70" i="30"/>
  <c r="CG72" i="30"/>
  <c r="CG58" i="30"/>
  <c r="CG60" i="30"/>
  <c r="CG74" i="30"/>
  <c r="BG68" i="29"/>
  <c r="BG54" i="29"/>
  <c r="AH35" i="29"/>
  <c r="BH30" i="30"/>
  <c r="AH43" i="29"/>
  <c r="BH28" i="30"/>
  <c r="AH36" i="29"/>
  <c r="BH26" i="30"/>
  <c r="AH55" i="29"/>
  <c r="AH69" i="29"/>
  <c r="BH24" i="30"/>
  <c r="AH37" i="29"/>
  <c r="BH22" i="30"/>
  <c r="AH56" i="29"/>
  <c r="AH70" i="29"/>
  <c r="BH20" i="30"/>
  <c r="AH61" i="29"/>
  <c r="AH75" i="29"/>
  <c r="BH18" i="30"/>
  <c r="AH58" i="29"/>
  <c r="AH72" i="29"/>
  <c r="BH16" i="30"/>
  <c r="AH34" i="29"/>
  <c r="BH14" i="30"/>
  <c r="BH34" i="30"/>
  <c r="AH39" i="29"/>
  <c r="BH11" i="30"/>
  <c r="AH73" i="29"/>
  <c r="AH59" i="29"/>
  <c r="BH7" i="30"/>
  <c r="BG57" i="29"/>
  <c r="BG71" i="29"/>
  <c r="BG64" i="29"/>
  <c r="BG50" i="29"/>
  <c r="BG51" i="29"/>
  <c r="BG65" i="29"/>
  <c r="BG66" i="29"/>
  <c r="BG52" i="29"/>
  <c r="AH60" i="29"/>
  <c r="AH74" i="29"/>
  <c r="BH12" i="30"/>
  <c r="AH41" i="29"/>
  <c r="BH8" i="30"/>
  <c r="AD68" i="29"/>
  <c r="AD54" i="29"/>
  <c r="D9" i="18"/>
  <c r="P41" i="18"/>
  <c r="AB41" i="18"/>
  <c r="R54" i="29"/>
  <c r="R68" i="29"/>
  <c r="R9" i="30"/>
  <c r="R41" i="29"/>
  <c r="R8" i="30"/>
  <c r="R57" i="29"/>
  <c r="R71" i="29"/>
  <c r="R29" i="30"/>
  <c r="R64" i="29"/>
  <c r="R50" i="29"/>
  <c r="R25" i="30"/>
  <c r="R51" i="29"/>
  <c r="R65" i="29"/>
  <c r="R21" i="30"/>
  <c r="R52" i="29"/>
  <c r="R66" i="29"/>
  <c r="R17" i="30"/>
  <c r="R33" i="29"/>
  <c r="R13" i="30"/>
  <c r="R40" i="29"/>
  <c r="R4" i="30"/>
  <c r="R40" i="30"/>
  <c r="AB39" i="29"/>
  <c r="AB39" i="30"/>
  <c r="AB57" i="29"/>
  <c r="AB71" i="29"/>
  <c r="AB64" i="29"/>
  <c r="AB50" i="29"/>
  <c r="AB65" i="29"/>
  <c r="AB51" i="29"/>
  <c r="AB52" i="29"/>
  <c r="AB66" i="29"/>
  <c r="AB33" i="29"/>
  <c r="AB33" i="30"/>
  <c r="AB47" i="29"/>
  <c r="AB47" i="30"/>
  <c r="T40" i="37"/>
  <c r="T36" i="37"/>
  <c r="CY61" i="30"/>
  <c r="CY75" i="30"/>
  <c r="BY55" i="29"/>
  <c r="BY69" i="29"/>
  <c r="BY56" i="29"/>
  <c r="BY70" i="29"/>
  <c r="BY61" i="29"/>
  <c r="BY75" i="29"/>
  <c r="BY58" i="29"/>
  <c r="BY72" i="29"/>
  <c r="BY60" i="29"/>
  <c r="BY74" i="29"/>
  <c r="AY46" i="29"/>
  <c r="BY10" i="30"/>
  <c r="AY47" i="29"/>
  <c r="BY6" i="30"/>
  <c r="CQ70" i="30"/>
  <c r="CQ56" i="30"/>
  <c r="CQ76" i="30"/>
  <c r="CQ62" i="30"/>
  <c r="CQ58" i="30"/>
  <c r="CQ72" i="30"/>
  <c r="AQ49" i="29"/>
  <c r="BQ23" i="30"/>
  <c r="BQ72" i="29"/>
  <c r="BQ58" i="29"/>
  <c r="BQ60" i="29"/>
  <c r="BQ74" i="29"/>
  <c r="AQ50" i="29"/>
  <c r="AQ64" i="29"/>
  <c r="BQ25" i="30"/>
  <c r="AQ42" i="29"/>
  <c r="BQ19" i="30"/>
  <c r="BQ62" i="29"/>
  <c r="BQ76" i="29"/>
  <c r="BQ68" i="29"/>
  <c r="BQ54" i="29"/>
  <c r="BQ59" i="29"/>
  <c r="BQ73" i="29"/>
  <c r="BQ53" i="29"/>
  <c r="BQ67" i="29"/>
  <c r="CJ61" i="30"/>
  <c r="CJ75" i="30"/>
  <c r="BJ59" i="29"/>
  <c r="BJ73" i="29"/>
  <c r="BJ69" i="29"/>
  <c r="BJ55" i="29"/>
  <c r="BJ56" i="29"/>
  <c r="BJ70" i="29"/>
  <c r="BJ75" i="29"/>
  <c r="BJ61" i="29"/>
  <c r="BJ58" i="29"/>
  <c r="BJ72" i="29"/>
  <c r="BJ60" i="29"/>
  <c r="BJ74" i="29"/>
  <c r="AJ40" i="29"/>
  <c r="BJ4" i="30"/>
  <c r="AQ49" i="37"/>
  <c r="AO48" i="37"/>
  <c r="D45" i="20"/>
  <c r="H45" i="20"/>
  <c r="M35" i="29"/>
  <c r="M30" i="30"/>
  <c r="M35" i="30"/>
  <c r="M37" i="29"/>
  <c r="M22" i="30"/>
  <c r="M37" i="30"/>
  <c r="M34" i="29"/>
  <c r="M14" i="30"/>
  <c r="M34" i="30"/>
  <c r="M49" i="29"/>
  <c r="M23" i="30"/>
  <c r="M49" i="30"/>
  <c r="M44" i="29"/>
  <c r="M15" i="30"/>
  <c r="M46" i="29"/>
  <c r="M10" i="30"/>
  <c r="M46" i="30"/>
  <c r="M47" i="29"/>
  <c r="M6" i="30"/>
  <c r="M47" i="30"/>
  <c r="X50" i="32"/>
  <c r="AC50" i="32"/>
  <c r="X64" i="32"/>
  <c r="AG46" i="32"/>
  <c r="AG45" i="32"/>
  <c r="T66" i="32"/>
  <c r="T52" i="32"/>
  <c r="AA62" i="32"/>
  <c r="AF62" i="32"/>
  <c r="AA76" i="32"/>
  <c r="AF76" i="32"/>
  <c r="T69" i="32"/>
  <c r="T55" i="32"/>
  <c r="L54" i="32"/>
  <c r="P54" i="32"/>
  <c r="L68" i="32"/>
  <c r="P68" i="32"/>
  <c r="S73" i="32"/>
  <c r="S59" i="32"/>
  <c r="T64" i="32"/>
  <c r="T50" i="32"/>
  <c r="S61" i="32"/>
  <c r="S75" i="32"/>
  <c r="Y60" i="32"/>
  <c r="AD60" i="32"/>
  <c r="Y74" i="32"/>
  <c r="AD74" i="32"/>
  <c r="F69" i="32"/>
  <c r="V54" i="32"/>
  <c r="V68" i="32"/>
  <c r="AD46" i="32"/>
  <c r="AD45" i="32"/>
  <c r="AC46" i="32"/>
  <c r="AC45" i="32"/>
  <c r="U31" i="32"/>
  <c r="S74" i="32"/>
  <c r="S60" i="32"/>
  <c r="AA70" i="32"/>
  <c r="AF70" i="32"/>
  <c r="AA56" i="32"/>
  <c r="AF56" i="32"/>
  <c r="AF49" i="32"/>
  <c r="AA73" i="32"/>
  <c r="AF73" i="32"/>
  <c r="AA59" i="32"/>
  <c r="AF59" i="32"/>
  <c r="Y56" i="32"/>
  <c r="AD56" i="32"/>
  <c r="Y70" i="32"/>
  <c r="AD70" i="32"/>
  <c r="L55" i="32"/>
  <c r="P55" i="32"/>
  <c r="L69" i="32"/>
  <c r="P69" i="32"/>
  <c r="W68" i="32"/>
  <c r="W54" i="32"/>
  <c r="L76" i="32"/>
  <c r="P76" i="32"/>
  <c r="L62" i="32"/>
  <c r="P62" i="32"/>
  <c r="AC49" i="32"/>
  <c r="V74" i="32"/>
  <c r="V60" i="32"/>
  <c r="P32" i="32"/>
  <c r="P31" i="32"/>
  <c r="T54" i="32"/>
  <c r="T68" i="32"/>
  <c r="V31" i="32"/>
  <c r="S66" i="32"/>
  <c r="S52" i="32"/>
  <c r="AF46" i="32"/>
  <c r="AF45" i="32"/>
  <c r="AA65" i="32"/>
  <c r="AF65" i="32"/>
  <c r="AA51" i="32"/>
  <c r="AF51" i="32"/>
  <c r="AB54" i="32"/>
  <c r="AG54" i="32"/>
  <c r="AB68" i="32"/>
  <c r="AG68" i="32"/>
  <c r="V69" i="32"/>
  <c r="V55" i="32"/>
  <c r="U68" i="32"/>
  <c r="U54" i="32"/>
  <c r="V76" i="32"/>
  <c r="V62" i="32"/>
  <c r="T65" i="32"/>
  <c r="T51" i="32"/>
  <c r="S64" i="32"/>
  <c r="S50" i="32"/>
  <c r="W61" i="32"/>
  <c r="W75" i="32"/>
  <c r="AD49" i="32"/>
  <c r="U75" i="32"/>
  <c r="U61" i="32"/>
  <c r="L60" i="32"/>
  <c r="L74" i="32"/>
  <c r="P74" i="32"/>
  <c r="Z57" i="32"/>
  <c r="AE57" i="32"/>
  <c r="Z71" i="32"/>
  <c r="AE71" i="32"/>
  <c r="AA69" i="32"/>
  <c r="AF69" i="32"/>
  <c r="AA55" i="32"/>
  <c r="AF55" i="32"/>
  <c r="AC32" i="32"/>
  <c r="AL67" i="32"/>
  <c r="AN67" i="32"/>
  <c r="AL53" i="32"/>
  <c r="AN53" i="32"/>
  <c r="BE67" i="32"/>
  <c r="BF67" i="32"/>
  <c r="BE53" i="32"/>
  <c r="BF53" i="32"/>
  <c r="AN49" i="32"/>
  <c r="BE73" i="32"/>
  <c r="BF73" i="32"/>
  <c r="BE59" i="32"/>
  <c r="BF59" i="32"/>
  <c r="BE75" i="32"/>
  <c r="BF75" i="32"/>
  <c r="BE61" i="32"/>
  <c r="BF61" i="32"/>
  <c r="AL73" i="32"/>
  <c r="AN73" i="32"/>
  <c r="AL59" i="32"/>
  <c r="AN59" i="32"/>
  <c r="AO35" i="32"/>
  <c r="AN35" i="32"/>
  <c r="CT56" i="30"/>
  <c r="CT70" i="30"/>
  <c r="CT58" i="30"/>
  <c r="CT72" i="30"/>
  <c r="AT53" i="29"/>
  <c r="AT67" i="29"/>
  <c r="BT5" i="30"/>
  <c r="AT32" i="29"/>
  <c r="BT3" i="30"/>
  <c r="BT71" i="29"/>
  <c r="BT57" i="29"/>
  <c r="BT62" i="29"/>
  <c r="BT76" i="29"/>
  <c r="BT50" i="29"/>
  <c r="BT64" i="29"/>
  <c r="BT65" i="29"/>
  <c r="BT51" i="29"/>
  <c r="BT52" i="29"/>
  <c r="BT66" i="29"/>
  <c r="AT60" i="29"/>
  <c r="AT74" i="29"/>
  <c r="BT12" i="30"/>
  <c r="AT41" i="29"/>
  <c r="BT8" i="30"/>
  <c r="AT40" i="29"/>
  <c r="BT4" i="30"/>
  <c r="BT40" i="30"/>
  <c r="CE57" i="30"/>
  <c r="CE71" i="30"/>
  <c r="CE54" i="30"/>
  <c r="CE68" i="30"/>
  <c r="CE55" i="30"/>
  <c r="CE69" i="30"/>
  <c r="BE62" i="29"/>
  <c r="BE76" i="29"/>
  <c r="BE61" i="29"/>
  <c r="BE75" i="29"/>
  <c r="BE60" i="29"/>
  <c r="BE74" i="29"/>
  <c r="EC58" i="18"/>
  <c r="ER58" i="18"/>
  <c r="EC72" i="18"/>
  <c r="ER72" i="18"/>
  <c r="X57" i="29"/>
  <c r="X71" i="29"/>
  <c r="X29" i="30"/>
  <c r="X51" i="29"/>
  <c r="X65" i="29"/>
  <c r="X21" i="30"/>
  <c r="X47" i="29"/>
  <c r="X6" i="30"/>
  <c r="T71" i="29"/>
  <c r="T57" i="29"/>
  <c r="T29" i="30"/>
  <c r="T65" i="29"/>
  <c r="T51" i="29"/>
  <c r="T21" i="30"/>
  <c r="T33" i="29"/>
  <c r="T13" i="30"/>
  <c r="P55" i="29"/>
  <c r="P69" i="29"/>
  <c r="P24" i="30"/>
  <c r="P39" i="29"/>
  <c r="P11" i="30"/>
  <c r="L37" i="29"/>
  <c r="L22" i="30"/>
  <c r="L37" i="30"/>
  <c r="EC66" i="18"/>
  <c r="ER66" i="18"/>
  <c r="EC52" i="18"/>
  <c r="ER52" i="18"/>
  <c r="EC67" i="18"/>
  <c r="ER67" i="18"/>
  <c r="EC53" i="18"/>
  <c r="ER53" i="18"/>
  <c r="EC70" i="18"/>
  <c r="ER70" i="18"/>
  <c r="EC56" i="18"/>
  <c r="ER56" i="18"/>
  <c r="AT76" i="37"/>
  <c r="U72" i="37"/>
  <c r="U58" i="37"/>
  <c r="AT55" i="37"/>
  <c r="AT48" i="37"/>
  <c r="X68" i="29"/>
  <c r="X54" i="29"/>
  <c r="X9" i="30"/>
  <c r="X43" i="29"/>
  <c r="X28" i="30"/>
  <c r="X55" i="29"/>
  <c r="X69" i="29"/>
  <c r="X24" i="30"/>
  <c r="X70" i="29"/>
  <c r="X56" i="29"/>
  <c r="X20" i="30"/>
  <c r="X72" i="29"/>
  <c r="X58" i="29"/>
  <c r="X16" i="30"/>
  <c r="X60" i="29"/>
  <c r="X74" i="29"/>
  <c r="X12" i="30"/>
  <c r="X53" i="29"/>
  <c r="X67" i="29"/>
  <c r="X5" i="30"/>
  <c r="T60" i="29"/>
  <c r="T74" i="29"/>
  <c r="T12" i="30"/>
  <c r="T41" i="29"/>
  <c r="T8" i="30"/>
  <c r="T43" i="29"/>
  <c r="T28" i="30"/>
  <c r="T69" i="29"/>
  <c r="T55" i="29"/>
  <c r="T24" i="30"/>
  <c r="T56" i="29"/>
  <c r="T70" i="29"/>
  <c r="T20" i="30"/>
  <c r="T58" i="29"/>
  <c r="T72" i="29"/>
  <c r="T16" i="30"/>
  <c r="T39" i="29"/>
  <c r="T11" i="30"/>
  <c r="T32" i="29"/>
  <c r="T3" i="30"/>
  <c r="P62" i="29"/>
  <c r="P76" i="29"/>
  <c r="P27" i="30"/>
  <c r="P49" i="29"/>
  <c r="P23" i="30"/>
  <c r="P49" i="30"/>
  <c r="P42" i="29"/>
  <c r="P19" i="30"/>
  <c r="P42" i="30"/>
  <c r="P44" i="29"/>
  <c r="P15" i="30"/>
  <c r="P44" i="30"/>
  <c r="P68" i="29"/>
  <c r="P54" i="29"/>
  <c r="P9" i="30"/>
  <c r="P41" i="29"/>
  <c r="P8" i="30"/>
  <c r="L53" i="29"/>
  <c r="L67" i="29"/>
  <c r="L5" i="30"/>
  <c r="L57" i="29"/>
  <c r="L71" i="29"/>
  <c r="L29" i="30"/>
  <c r="L64" i="29"/>
  <c r="L50" i="29"/>
  <c r="L25" i="30"/>
  <c r="L51" i="29"/>
  <c r="L65" i="29"/>
  <c r="L21" i="30"/>
  <c r="L66" i="29"/>
  <c r="L52" i="29"/>
  <c r="L17" i="30"/>
  <c r="L33" i="29"/>
  <c r="L13" i="30"/>
  <c r="L47" i="29"/>
  <c r="L6" i="30"/>
  <c r="L47" i="30"/>
  <c r="I64" i="29"/>
  <c r="I50" i="29"/>
  <c r="I25" i="30"/>
  <c r="I44" i="29"/>
  <c r="I15" i="30"/>
  <c r="I35" i="29"/>
  <c r="I30" i="30"/>
  <c r="I37" i="29"/>
  <c r="I22" i="30"/>
  <c r="I34" i="29"/>
  <c r="I14" i="30"/>
  <c r="I68" i="29"/>
  <c r="I54" i="29"/>
  <c r="I9" i="30"/>
  <c r="I53" i="29"/>
  <c r="I67" i="29"/>
  <c r="I5" i="30"/>
  <c r="E57" i="29"/>
  <c r="E71" i="29"/>
  <c r="E29" i="30"/>
  <c r="E51" i="29"/>
  <c r="E65" i="29"/>
  <c r="E21" i="30"/>
  <c r="E33" i="29"/>
  <c r="E13" i="30"/>
  <c r="E33" i="30"/>
  <c r="E69" i="29"/>
  <c r="E55" i="29"/>
  <c r="E24" i="30"/>
  <c r="E72" i="29"/>
  <c r="E58" i="29"/>
  <c r="E16" i="30"/>
  <c r="E46" i="29"/>
  <c r="E10" i="30"/>
  <c r="E47" i="29"/>
  <c r="E6" i="30"/>
  <c r="E47" i="30"/>
  <c r="BA45" i="32"/>
  <c r="BA46" i="32"/>
  <c r="AW65" i="32"/>
  <c r="BA65" i="32"/>
  <c r="AW51" i="32"/>
  <c r="BA51" i="32"/>
  <c r="AW69" i="32"/>
  <c r="BA69" i="32"/>
  <c r="AW55" i="32"/>
  <c r="BA55" i="32"/>
  <c r="AW52" i="32"/>
  <c r="BA52" i="32"/>
  <c r="AW66" i="32"/>
  <c r="BA66" i="32"/>
  <c r="BZ46" i="29"/>
  <c r="BA35" i="29"/>
  <c r="BA43" i="29"/>
  <c r="BA36" i="29"/>
  <c r="BA55" i="29"/>
  <c r="BA69" i="29"/>
  <c r="BA37" i="29"/>
  <c r="BA70" i="29"/>
  <c r="BA56" i="29"/>
  <c r="BA61" i="29"/>
  <c r="BA75" i="29"/>
  <c r="BA72" i="29"/>
  <c r="BA58" i="29"/>
  <c r="BA34" i="29"/>
  <c r="CS57" i="30"/>
  <c r="CS71" i="30"/>
  <c r="CS50" i="30"/>
  <c r="CS64" i="30"/>
  <c r="CS51" i="30"/>
  <c r="CS65" i="30"/>
  <c r="CS66" i="30"/>
  <c r="CS52" i="30"/>
  <c r="CS54" i="30"/>
  <c r="CS68" i="30"/>
  <c r="CS53" i="30"/>
  <c r="CS67" i="30"/>
  <c r="AS57" i="29"/>
  <c r="AS71" i="29"/>
  <c r="BS29" i="30"/>
  <c r="BS57" i="30"/>
  <c r="AS62" i="29"/>
  <c r="AS76" i="29"/>
  <c r="BS27" i="30"/>
  <c r="AS64" i="29"/>
  <c r="AS50" i="29"/>
  <c r="BS25" i="30"/>
  <c r="AS49" i="29"/>
  <c r="BS23" i="30"/>
  <c r="AS65" i="29"/>
  <c r="AS51" i="29"/>
  <c r="BS21" i="30"/>
  <c r="AS42" i="29"/>
  <c r="BS19" i="30"/>
  <c r="AS52" i="29"/>
  <c r="AS66" i="29"/>
  <c r="BS17" i="30"/>
  <c r="AS44" i="29"/>
  <c r="BS15" i="30"/>
  <c r="AS33" i="29"/>
  <c r="BS13" i="30"/>
  <c r="BS59" i="29"/>
  <c r="BS73" i="29"/>
  <c r="CO62" i="30"/>
  <c r="CO76" i="30"/>
  <c r="CO59" i="30"/>
  <c r="CO73" i="30"/>
  <c r="AO68" i="29"/>
  <c r="AO54" i="29"/>
  <c r="BO9" i="30"/>
  <c r="AO57" i="29"/>
  <c r="AO71" i="29"/>
  <c r="BO29" i="30"/>
  <c r="AO76" i="29"/>
  <c r="AO62" i="29"/>
  <c r="BO27" i="30"/>
  <c r="AO64" i="29"/>
  <c r="AO50" i="29"/>
  <c r="BO25" i="30"/>
  <c r="AO49" i="29"/>
  <c r="BO23" i="30"/>
  <c r="AO51" i="29"/>
  <c r="AO65" i="29"/>
  <c r="BO21" i="30"/>
  <c r="AO42" i="29"/>
  <c r="BO19" i="30"/>
  <c r="AO52" i="29"/>
  <c r="AO66" i="29"/>
  <c r="BO17" i="30"/>
  <c r="BO52" i="30"/>
  <c r="AO44" i="29"/>
  <c r="BO15" i="30"/>
  <c r="AO33" i="29"/>
  <c r="BO13" i="30"/>
  <c r="AO46" i="29"/>
  <c r="BO10" i="30"/>
  <c r="AO47" i="29"/>
  <c r="BO6" i="30"/>
  <c r="AO53" i="29"/>
  <c r="AO67" i="29"/>
  <c r="BO5" i="30"/>
  <c r="AO32" i="29"/>
  <c r="BO3" i="30"/>
  <c r="CK57" i="30"/>
  <c r="CK71" i="30"/>
  <c r="CK50" i="30"/>
  <c r="CK64" i="30"/>
  <c r="CK51" i="30"/>
  <c r="CK65" i="30"/>
  <c r="CK52" i="30"/>
  <c r="CK66" i="30"/>
  <c r="CK54" i="30"/>
  <c r="CK68" i="30"/>
  <c r="CK53" i="30"/>
  <c r="CK67" i="30"/>
  <c r="BK54" i="29"/>
  <c r="BK68" i="29"/>
  <c r="AK35" i="29"/>
  <c r="BK30" i="30"/>
  <c r="AK43" i="29"/>
  <c r="BK28" i="30"/>
  <c r="AK36" i="29"/>
  <c r="BK26" i="30"/>
  <c r="AK55" i="29"/>
  <c r="AK69" i="29"/>
  <c r="BK24" i="30"/>
  <c r="AK37" i="29"/>
  <c r="BK22" i="30"/>
  <c r="AK56" i="29"/>
  <c r="AK70" i="29"/>
  <c r="BK20" i="30"/>
  <c r="AK61" i="29"/>
  <c r="AK75" i="29"/>
  <c r="BK18" i="30"/>
  <c r="AK58" i="29"/>
  <c r="AK72" i="29"/>
  <c r="BK16" i="30"/>
  <c r="AK34" i="29"/>
  <c r="BK14" i="30"/>
  <c r="AK54" i="29"/>
  <c r="AK68" i="29"/>
  <c r="BK9" i="30"/>
  <c r="BK53" i="29"/>
  <c r="BK67" i="29"/>
  <c r="CH76" i="30"/>
  <c r="CH62" i="30"/>
  <c r="CH73" i="30"/>
  <c r="CH59" i="30"/>
  <c r="CG62" i="30"/>
  <c r="CG76" i="30"/>
  <c r="CG59" i="30"/>
  <c r="CG73" i="30"/>
  <c r="BG59" i="29"/>
  <c r="BG73" i="29"/>
  <c r="BH53" i="29"/>
  <c r="BH67" i="29"/>
  <c r="BH57" i="29"/>
  <c r="BH71" i="29"/>
  <c r="BH62" i="29"/>
  <c r="BH76" i="29"/>
  <c r="BH64" i="29"/>
  <c r="BH50" i="29"/>
  <c r="BH51" i="29"/>
  <c r="BH52" i="29"/>
  <c r="BH59" i="29"/>
  <c r="BH65" i="29"/>
  <c r="BH66" i="29"/>
  <c r="BG55" i="29"/>
  <c r="BG69" i="29"/>
  <c r="BG70" i="29"/>
  <c r="BG56" i="29"/>
  <c r="BG72" i="29"/>
  <c r="BG58" i="29"/>
  <c r="BG74" i="29"/>
  <c r="BG60" i="29"/>
  <c r="BH73" i="29"/>
  <c r="AH32" i="29"/>
  <c r="BH3" i="30"/>
  <c r="AD53" i="29"/>
  <c r="AD67" i="29"/>
  <c r="D5" i="18"/>
  <c r="AD32" i="29"/>
  <c r="AD35" i="29"/>
  <c r="D30" i="18"/>
  <c r="AD43" i="29"/>
  <c r="D28" i="18"/>
  <c r="D43" i="18"/>
  <c r="AD36" i="29"/>
  <c r="D26" i="18"/>
  <c r="AD55" i="29"/>
  <c r="AD69" i="29"/>
  <c r="D24" i="18"/>
  <c r="AD37" i="29"/>
  <c r="D22" i="18"/>
  <c r="AD70" i="29"/>
  <c r="AD56" i="29"/>
  <c r="D20" i="18"/>
  <c r="AD61" i="29"/>
  <c r="AD75" i="29"/>
  <c r="D18" i="18"/>
  <c r="AD72" i="29"/>
  <c r="AD58" i="29"/>
  <c r="D16" i="18"/>
  <c r="AD34" i="29"/>
  <c r="D14" i="18"/>
  <c r="AD74" i="29"/>
  <c r="AD60" i="29"/>
  <c r="D12" i="18"/>
  <c r="AD41" i="29"/>
  <c r="D8" i="18"/>
  <c r="AD40" i="29"/>
  <c r="D4" i="18"/>
  <c r="D63" i="20"/>
  <c r="H63" i="20"/>
  <c r="R39" i="29"/>
  <c r="R11" i="30"/>
  <c r="R39" i="30"/>
  <c r="R47" i="29"/>
  <c r="R6" i="30"/>
  <c r="R47" i="30"/>
  <c r="R43" i="29"/>
  <c r="R28" i="30"/>
  <c r="R55" i="29"/>
  <c r="R69" i="29"/>
  <c r="R24" i="30"/>
  <c r="R70" i="29"/>
  <c r="R56" i="29"/>
  <c r="R20" i="30"/>
  <c r="R72" i="29"/>
  <c r="R58" i="29"/>
  <c r="R16" i="30"/>
  <c r="R32" i="29"/>
  <c r="R3" i="30"/>
  <c r="AB54" i="29"/>
  <c r="AB68" i="29"/>
  <c r="AB43" i="29"/>
  <c r="AB55" i="29"/>
  <c r="AB69" i="29"/>
  <c r="AB56" i="29"/>
  <c r="AB70" i="29"/>
  <c r="AB58" i="29"/>
  <c r="AB72" i="29"/>
  <c r="AB60" i="29"/>
  <c r="AB74" i="29"/>
  <c r="AB53" i="29"/>
  <c r="AB67" i="29"/>
  <c r="T34" i="37"/>
  <c r="T32" i="37"/>
  <c r="T31" i="37"/>
  <c r="T39" i="37"/>
  <c r="T42" i="37"/>
  <c r="T46" i="37"/>
  <c r="T45" i="37"/>
  <c r="T43" i="37"/>
  <c r="CY57" i="30"/>
  <c r="CY71" i="30"/>
  <c r="CY50" i="30"/>
  <c r="CY64" i="30"/>
  <c r="CY51" i="30"/>
  <c r="CY65" i="30"/>
  <c r="CY66" i="30"/>
  <c r="CY52" i="30"/>
  <c r="CY54" i="30"/>
  <c r="CY68" i="30"/>
  <c r="CY53" i="30"/>
  <c r="CY67" i="30"/>
  <c r="BY53" i="29"/>
  <c r="BY67" i="29"/>
  <c r="AY35" i="29"/>
  <c r="BY30" i="30"/>
  <c r="AY43" i="29"/>
  <c r="BY28" i="30"/>
  <c r="BY43" i="30"/>
  <c r="AY36" i="29"/>
  <c r="BY26" i="30"/>
  <c r="AY55" i="29"/>
  <c r="AY69" i="29"/>
  <c r="BY24" i="30"/>
  <c r="AY37" i="29"/>
  <c r="BY22" i="30"/>
  <c r="AY56" i="29"/>
  <c r="AY70" i="29"/>
  <c r="BY20" i="30"/>
  <c r="AY61" i="29"/>
  <c r="AY75" i="29"/>
  <c r="BY18" i="30"/>
  <c r="AY58" i="29"/>
  <c r="AY72" i="29"/>
  <c r="BY16" i="30"/>
  <c r="AY34" i="29"/>
  <c r="BY14" i="30"/>
  <c r="AY39" i="29"/>
  <c r="BY11" i="30"/>
  <c r="AY59" i="29"/>
  <c r="AY73" i="29"/>
  <c r="BY7" i="30"/>
  <c r="BY68" i="29"/>
  <c r="BY54" i="29"/>
  <c r="AY53" i="29"/>
  <c r="AY67" i="29"/>
  <c r="BY5" i="30"/>
  <c r="CQ51" i="30"/>
  <c r="CQ65" i="30"/>
  <c r="AQ65" i="29"/>
  <c r="AQ51" i="29"/>
  <c r="BQ21" i="30"/>
  <c r="AQ44" i="29"/>
  <c r="BQ15" i="30"/>
  <c r="BQ44" i="30"/>
  <c r="BQ69" i="29"/>
  <c r="BQ55" i="29"/>
  <c r="AQ35" i="29"/>
  <c r="BQ30" i="30"/>
  <c r="AQ36" i="29"/>
  <c r="BQ26" i="30"/>
  <c r="AQ37" i="29"/>
  <c r="BQ22" i="30"/>
  <c r="AQ61" i="29"/>
  <c r="AQ75" i="29"/>
  <c r="BQ18" i="30"/>
  <c r="AQ34" i="29"/>
  <c r="BQ14" i="30"/>
  <c r="AQ39" i="29"/>
  <c r="BQ11" i="30"/>
  <c r="AQ68" i="29"/>
  <c r="AQ54" i="29"/>
  <c r="BQ9" i="30"/>
  <c r="AQ59" i="29"/>
  <c r="AQ73" i="29"/>
  <c r="BQ7" i="30"/>
  <c r="AQ53" i="29"/>
  <c r="AQ67" i="29"/>
  <c r="BQ5" i="30"/>
  <c r="AQ32" i="29"/>
  <c r="BQ3" i="30"/>
  <c r="CJ71" i="30"/>
  <c r="CJ57" i="30"/>
  <c r="CJ50" i="30"/>
  <c r="CJ64" i="30"/>
  <c r="CJ52" i="30"/>
  <c r="CJ66" i="30"/>
  <c r="CJ67" i="30"/>
  <c r="CJ53" i="30"/>
  <c r="AJ39" i="29"/>
  <c r="BJ11" i="30"/>
  <c r="AJ59" i="29"/>
  <c r="AJ73" i="29"/>
  <c r="BJ7" i="30"/>
  <c r="AJ46" i="29"/>
  <c r="BJ10" i="30"/>
  <c r="AJ47" i="29"/>
  <c r="BJ6" i="30"/>
  <c r="AJ35" i="29"/>
  <c r="BJ30" i="30"/>
  <c r="AJ43" i="29"/>
  <c r="BJ28" i="30"/>
  <c r="BJ43" i="30"/>
  <c r="AJ36" i="29"/>
  <c r="BJ26" i="30"/>
  <c r="AJ55" i="29"/>
  <c r="AJ69" i="29"/>
  <c r="BJ24" i="30"/>
  <c r="AJ37" i="29"/>
  <c r="BJ22" i="30"/>
  <c r="AJ70" i="29"/>
  <c r="AJ56" i="29"/>
  <c r="BJ20" i="30"/>
  <c r="AJ61" i="29"/>
  <c r="AJ75" i="29"/>
  <c r="BJ18" i="30"/>
  <c r="AJ72" i="29"/>
  <c r="AJ58" i="29"/>
  <c r="BJ16" i="30"/>
  <c r="AJ34" i="29"/>
  <c r="BJ14" i="30"/>
  <c r="BJ53" i="29"/>
  <c r="BJ67" i="29"/>
  <c r="AT64" i="37"/>
  <c r="AT63" i="37"/>
  <c r="AT66" i="37"/>
  <c r="AT74" i="37"/>
  <c r="AA46" i="29"/>
  <c r="AA35" i="29"/>
  <c r="AA35" i="30"/>
  <c r="AA36" i="29"/>
  <c r="AA36" i="30"/>
  <c r="AA37" i="29"/>
  <c r="AA75" i="29"/>
  <c r="AA61" i="29"/>
  <c r="AA34" i="29"/>
  <c r="AA32" i="29"/>
  <c r="S46" i="29"/>
  <c r="S10" i="30"/>
  <c r="S46" i="30"/>
  <c r="S35" i="29"/>
  <c r="S30" i="30"/>
  <c r="S35" i="30"/>
  <c r="S36" i="29"/>
  <c r="S26" i="30"/>
  <c r="S36" i="30"/>
  <c r="S37" i="29"/>
  <c r="S22" i="30"/>
  <c r="S37" i="30"/>
  <c r="S61" i="29"/>
  <c r="S75" i="29"/>
  <c r="S18" i="30"/>
  <c r="S34" i="29"/>
  <c r="S14" i="30"/>
  <c r="S59" i="29"/>
  <c r="S73" i="29"/>
  <c r="S7" i="30"/>
  <c r="O46" i="29"/>
  <c r="O10" i="30"/>
  <c r="O46" i="30"/>
  <c r="O71" i="29"/>
  <c r="O57" i="29"/>
  <c r="O29" i="30"/>
  <c r="O50" i="29"/>
  <c r="O64" i="29"/>
  <c r="O25" i="30"/>
  <c r="O65" i="29"/>
  <c r="O51" i="29"/>
  <c r="O21" i="30"/>
  <c r="O52" i="29"/>
  <c r="O66" i="29"/>
  <c r="O17" i="30"/>
  <c r="O33" i="29"/>
  <c r="O13" i="30"/>
  <c r="O33" i="30"/>
  <c r="O53" i="29"/>
  <c r="O67" i="29"/>
  <c r="O5" i="30"/>
  <c r="K39" i="29"/>
  <c r="K11" i="30"/>
  <c r="K57" i="29"/>
  <c r="K71" i="29"/>
  <c r="K29" i="30"/>
  <c r="K64" i="29"/>
  <c r="K50" i="29"/>
  <c r="K25" i="30"/>
  <c r="K65" i="29"/>
  <c r="K51" i="29"/>
  <c r="K21" i="30"/>
  <c r="K52" i="29"/>
  <c r="K66" i="29"/>
  <c r="K17" i="30"/>
  <c r="K33" i="29"/>
  <c r="K13" i="30"/>
  <c r="K47" i="29"/>
  <c r="K6" i="30"/>
  <c r="K47" i="30"/>
  <c r="H35" i="29"/>
  <c r="H30" i="30"/>
  <c r="H35" i="30"/>
  <c r="H36" i="29"/>
  <c r="H26" i="30"/>
  <c r="H37" i="29"/>
  <c r="H22" i="30"/>
  <c r="H37" i="30"/>
  <c r="H61" i="29"/>
  <c r="H75" i="29"/>
  <c r="H18" i="30"/>
  <c r="H34" i="29"/>
  <c r="H14" i="30"/>
  <c r="H41" i="29"/>
  <c r="H8" i="30"/>
  <c r="H68" i="29"/>
  <c r="H54" i="29"/>
  <c r="H9" i="30"/>
  <c r="D46" i="29"/>
  <c r="D69" i="29"/>
  <c r="D55" i="29"/>
  <c r="D56" i="29"/>
  <c r="D70" i="29"/>
  <c r="D58" i="29"/>
  <c r="D72" i="29"/>
  <c r="D67" i="29"/>
  <c r="D53" i="29"/>
  <c r="K72" i="32"/>
  <c r="K58" i="32"/>
  <c r="K73" i="32"/>
  <c r="K59" i="32"/>
  <c r="K70" i="32"/>
  <c r="K56" i="32"/>
  <c r="AZ31" i="32"/>
  <c r="AO34" i="32"/>
  <c r="AM34" i="32"/>
  <c r="AK76" i="32"/>
  <c r="AK62" i="32"/>
  <c r="AM39" i="32"/>
  <c r="AO39" i="32"/>
  <c r="O42" i="32"/>
  <c r="AM40" i="32"/>
  <c r="AO40" i="32"/>
  <c r="O33" i="32"/>
  <c r="AK65" i="32"/>
  <c r="AK51" i="32"/>
  <c r="O41" i="32"/>
  <c r="AK69" i="32"/>
  <c r="AK55" i="32"/>
  <c r="AK53" i="32"/>
  <c r="AK67" i="32"/>
  <c r="K75" i="32"/>
  <c r="K61" i="32"/>
  <c r="K69" i="32"/>
  <c r="K55" i="32"/>
  <c r="X69" i="37"/>
  <c r="X55" i="37"/>
  <c r="W65" i="37"/>
  <c r="W51" i="37"/>
  <c r="W53" i="37"/>
  <c r="W67" i="37"/>
  <c r="W75" i="37"/>
  <c r="W61" i="37"/>
  <c r="W69" i="37"/>
  <c r="W55" i="37"/>
  <c r="X51" i="37"/>
  <c r="X65" i="37"/>
  <c r="X67" i="37"/>
  <c r="X53" i="37"/>
  <c r="X75" i="37"/>
  <c r="X61" i="37"/>
  <c r="EC71" i="18"/>
  <c r="ER71" i="18"/>
  <c r="EC57" i="18"/>
  <c r="ER57" i="18"/>
  <c r="ER32" i="18"/>
  <c r="EC62" i="18"/>
  <c r="ER62" i="18"/>
  <c r="EC76" i="18"/>
  <c r="ER76" i="18"/>
  <c r="EC65" i="18"/>
  <c r="ER65" i="18"/>
  <c r="EC51" i="18"/>
  <c r="ER51" i="18"/>
  <c r="EC54" i="18"/>
  <c r="ER54" i="18"/>
  <c r="EC68" i="18"/>
  <c r="ER68" i="18"/>
  <c r="EC55" i="18"/>
  <c r="ER55" i="18"/>
  <c r="EC69" i="18"/>
  <c r="ER69" i="18"/>
  <c r="AT62" i="37"/>
  <c r="U59" i="37"/>
  <c r="U73" i="37"/>
  <c r="AT69" i="37"/>
  <c r="AV69" i="37"/>
  <c r="X39" i="29"/>
  <c r="X11" i="30"/>
  <c r="X76" i="29"/>
  <c r="X62" i="29"/>
  <c r="X27" i="30"/>
  <c r="X49" i="29"/>
  <c r="X23" i="30"/>
  <c r="X49" i="30"/>
  <c r="X42" i="29"/>
  <c r="X19" i="30"/>
  <c r="X44" i="29"/>
  <c r="X15" i="30"/>
  <c r="X46" i="29"/>
  <c r="X10" i="30"/>
  <c r="X40" i="29"/>
  <c r="X4" i="30"/>
  <c r="T47" i="29"/>
  <c r="T6" i="30"/>
  <c r="T62" i="29"/>
  <c r="T76" i="29"/>
  <c r="T27" i="30"/>
  <c r="T49" i="29"/>
  <c r="T23" i="30"/>
  <c r="T42" i="29"/>
  <c r="T19" i="30"/>
  <c r="T44" i="29"/>
  <c r="T15" i="30"/>
  <c r="T54" i="29"/>
  <c r="T68" i="29"/>
  <c r="T9" i="30"/>
  <c r="P35" i="29"/>
  <c r="P30" i="30"/>
  <c r="P36" i="29"/>
  <c r="P26" i="30"/>
  <c r="P37" i="29"/>
  <c r="P22" i="30"/>
  <c r="P61" i="29"/>
  <c r="P75" i="29"/>
  <c r="P18" i="30"/>
  <c r="P34" i="29"/>
  <c r="P14" i="30"/>
  <c r="P59" i="29"/>
  <c r="P73" i="29"/>
  <c r="P7" i="30"/>
  <c r="P47" i="29"/>
  <c r="P6" i="30"/>
  <c r="L68" i="29"/>
  <c r="L54" i="29"/>
  <c r="L9" i="30"/>
  <c r="L43" i="29"/>
  <c r="L28" i="30"/>
  <c r="L55" i="29"/>
  <c r="L69" i="29"/>
  <c r="L24" i="30"/>
  <c r="L70" i="29"/>
  <c r="L56" i="29"/>
  <c r="L20" i="30"/>
  <c r="L72" i="29"/>
  <c r="L58" i="29"/>
  <c r="L16" i="30"/>
  <c r="L72" i="30"/>
  <c r="L60" i="29"/>
  <c r="L74" i="29"/>
  <c r="L12" i="30"/>
  <c r="L40" i="29"/>
  <c r="L4" i="30"/>
  <c r="L40" i="30"/>
  <c r="I49" i="29"/>
  <c r="I23" i="30"/>
  <c r="I49" i="30"/>
  <c r="I33" i="29"/>
  <c r="I13" i="30"/>
  <c r="I33" i="30"/>
  <c r="I43" i="29"/>
  <c r="I28" i="30"/>
  <c r="I70" i="29"/>
  <c r="I56" i="29"/>
  <c r="I20" i="30"/>
  <c r="I60" i="29"/>
  <c r="I74" i="29"/>
  <c r="I12" i="30"/>
  <c r="I41" i="29"/>
  <c r="I8" i="30"/>
  <c r="I41" i="30"/>
  <c r="I40" i="29"/>
  <c r="I4" i="30"/>
  <c r="I40" i="30"/>
  <c r="E62" i="29"/>
  <c r="E76" i="29"/>
  <c r="E27" i="30"/>
  <c r="E42" i="29"/>
  <c r="E19" i="30"/>
  <c r="E42" i="30"/>
  <c r="E35" i="29"/>
  <c r="E30" i="30"/>
  <c r="E37" i="29"/>
  <c r="E22" i="30"/>
  <c r="E34" i="29"/>
  <c r="E14" i="30"/>
  <c r="E68" i="29"/>
  <c r="E54" i="29"/>
  <c r="E9" i="30"/>
  <c r="E53" i="29"/>
  <c r="E67" i="29"/>
  <c r="E5" i="30"/>
  <c r="E67" i="30"/>
  <c r="AW76" i="32"/>
  <c r="BA76" i="32"/>
  <c r="AW62" i="32"/>
  <c r="BA62" i="32"/>
  <c r="AW61" i="32"/>
  <c r="BA61" i="32"/>
  <c r="AW75" i="32"/>
  <c r="BA75" i="32"/>
  <c r="AW57" i="32"/>
  <c r="BA57" i="32"/>
  <c r="AW71" i="32"/>
  <c r="BA71" i="32"/>
  <c r="BA32" i="32"/>
  <c r="AW72" i="32"/>
  <c r="BA72" i="32"/>
  <c r="AW58" i="32"/>
  <c r="BA58" i="32"/>
  <c r="DT30" i="18"/>
  <c r="BA39" i="29"/>
  <c r="BA46" i="29"/>
  <c r="BA47" i="29"/>
  <c r="BA53" i="29"/>
  <c r="BA67" i="29"/>
  <c r="BA32" i="29"/>
  <c r="CS69" i="30"/>
  <c r="CS55" i="30"/>
  <c r="CS56" i="30"/>
  <c r="CS70" i="30"/>
  <c r="CS58" i="30"/>
  <c r="CS72" i="30"/>
  <c r="CS60" i="30"/>
  <c r="CS74" i="30"/>
  <c r="AS39" i="29"/>
  <c r="BS11" i="30"/>
  <c r="AS59" i="29"/>
  <c r="AS73" i="29"/>
  <c r="BS7" i="30"/>
  <c r="BS55" i="29"/>
  <c r="BS69" i="29"/>
  <c r="BS56" i="29"/>
  <c r="BS70" i="29"/>
  <c r="BS61" i="29"/>
  <c r="BS75" i="29"/>
  <c r="BS72" i="29"/>
  <c r="BS58" i="29"/>
  <c r="BS60" i="29"/>
  <c r="BS74" i="29"/>
  <c r="AS46" i="29"/>
  <c r="BS10" i="30"/>
  <c r="AS47" i="29"/>
  <c r="BS6" i="30"/>
  <c r="AS53" i="29"/>
  <c r="AS67" i="29"/>
  <c r="BS5" i="30"/>
  <c r="AS32" i="29"/>
  <c r="BS3" i="30"/>
  <c r="CO75" i="30"/>
  <c r="CO61" i="30"/>
  <c r="BO69" i="29"/>
  <c r="BO55" i="29"/>
  <c r="BO56" i="29"/>
  <c r="BO70" i="29"/>
  <c r="BO75" i="29"/>
  <c r="BO61" i="29"/>
  <c r="BO58" i="29"/>
  <c r="BO72" i="29"/>
  <c r="BO60" i="29"/>
  <c r="BO74" i="29"/>
  <c r="BO54" i="29"/>
  <c r="BO68" i="29"/>
  <c r="CK55" i="30"/>
  <c r="CK69" i="30"/>
  <c r="CK70" i="30"/>
  <c r="CK56" i="30"/>
  <c r="CK58" i="30"/>
  <c r="CK72" i="30"/>
  <c r="CK74" i="30"/>
  <c r="CK60" i="30"/>
  <c r="AK60" i="29"/>
  <c r="AK74" i="29"/>
  <c r="BK12" i="30"/>
  <c r="AK41" i="29"/>
  <c r="BK8" i="30"/>
  <c r="BK57" i="29"/>
  <c r="BK71" i="29"/>
  <c r="BK62" i="29"/>
  <c r="BK76" i="29"/>
  <c r="BK64" i="29"/>
  <c r="BK50" i="29"/>
  <c r="BK65" i="29"/>
  <c r="BK51" i="29"/>
  <c r="BK52" i="29"/>
  <c r="BK66" i="29"/>
  <c r="AK40" i="29"/>
  <c r="BK4" i="30"/>
  <c r="CH61" i="30"/>
  <c r="CH75" i="30"/>
  <c r="CG61" i="30"/>
  <c r="CG75" i="30"/>
  <c r="AH57" i="29"/>
  <c r="AH71" i="29"/>
  <c r="BH29" i="30"/>
  <c r="AH62" i="29"/>
  <c r="AH76" i="29"/>
  <c r="BH27" i="30"/>
  <c r="AH64" i="29"/>
  <c r="AH50" i="29"/>
  <c r="BH25" i="30"/>
  <c r="AH49" i="29"/>
  <c r="BH23" i="30"/>
  <c r="AH65" i="29"/>
  <c r="AH51" i="29"/>
  <c r="BH21" i="30"/>
  <c r="AH42" i="29"/>
  <c r="BH19" i="30"/>
  <c r="AH52" i="29"/>
  <c r="AH66" i="29"/>
  <c r="BH17" i="30"/>
  <c r="AH44" i="29"/>
  <c r="BH15" i="30"/>
  <c r="AH33" i="29"/>
  <c r="BH13" i="30"/>
  <c r="AH54" i="29"/>
  <c r="AH68" i="29"/>
  <c r="BH9" i="30"/>
  <c r="BG53" i="29"/>
  <c r="BG67" i="29"/>
  <c r="BG76" i="29"/>
  <c r="BG62" i="29"/>
  <c r="AH46" i="29"/>
  <c r="BH10" i="30"/>
  <c r="AH47" i="29"/>
  <c r="BH6" i="30"/>
  <c r="P42" i="18"/>
  <c r="AB42" i="18"/>
  <c r="P33" i="18"/>
  <c r="AB33" i="18"/>
  <c r="P39" i="18"/>
  <c r="AB39" i="18"/>
  <c r="H31" i="20"/>
  <c r="D31" i="20"/>
  <c r="R74" i="29"/>
  <c r="R60" i="29"/>
  <c r="R12" i="30"/>
  <c r="R76" i="29"/>
  <c r="R62" i="29"/>
  <c r="R27" i="30"/>
  <c r="R49" i="29"/>
  <c r="R23" i="30"/>
  <c r="R49" i="30"/>
  <c r="R42" i="29"/>
  <c r="R19" i="30"/>
  <c r="R42" i="30"/>
  <c r="R44" i="29"/>
  <c r="R15" i="30"/>
  <c r="AB59" i="29"/>
  <c r="AB73" i="29"/>
  <c r="AB62" i="29"/>
  <c r="AB76" i="29"/>
  <c r="AB49" i="29"/>
  <c r="AB49" i="30"/>
  <c r="AB42" i="29"/>
  <c r="AB44" i="29"/>
  <c r="AB44" i="30"/>
  <c r="AB46" i="29"/>
  <c r="AB45" i="29"/>
  <c r="AB46" i="30"/>
  <c r="AB40" i="29"/>
  <c r="T41" i="37"/>
  <c r="T33" i="37"/>
  <c r="T35" i="37"/>
  <c r="CY69" i="30"/>
  <c r="CY55" i="30"/>
  <c r="CY70" i="30"/>
  <c r="CY56" i="30"/>
  <c r="CY58" i="30"/>
  <c r="CY72" i="30"/>
  <c r="CY74" i="30"/>
  <c r="CY60" i="30"/>
  <c r="BY57" i="29"/>
  <c r="BY71" i="29"/>
  <c r="BY62" i="29"/>
  <c r="BY76" i="29"/>
  <c r="BY64" i="29"/>
  <c r="BY50" i="29"/>
  <c r="BY51" i="29"/>
  <c r="BY52" i="29"/>
  <c r="BY65" i="29"/>
  <c r="BY66" i="29"/>
  <c r="BX45" i="29"/>
  <c r="AY60" i="29"/>
  <c r="AY74" i="29"/>
  <c r="BY12" i="30"/>
  <c r="BY74" i="30"/>
  <c r="AY41" i="29"/>
  <c r="BY8" i="30"/>
  <c r="CQ71" i="30"/>
  <c r="CQ57" i="30"/>
  <c r="CQ50" i="30"/>
  <c r="CQ54" i="30"/>
  <c r="CQ64" i="30"/>
  <c r="CQ68" i="30"/>
  <c r="BQ61" i="29"/>
  <c r="BQ75" i="29"/>
  <c r="AQ71" i="29"/>
  <c r="AQ57" i="29"/>
  <c r="BQ29" i="30"/>
  <c r="BQ71" i="29"/>
  <c r="BQ57" i="29"/>
  <c r="BQ50" i="29"/>
  <c r="BQ64" i="29"/>
  <c r="BQ65" i="29"/>
  <c r="BQ51" i="29"/>
  <c r="BQ66" i="29"/>
  <c r="BQ52" i="29"/>
  <c r="CJ55" i="30"/>
  <c r="CJ69" i="30"/>
  <c r="CJ56" i="30"/>
  <c r="CJ70" i="30"/>
  <c r="CJ72" i="30"/>
  <c r="CJ58" i="30"/>
  <c r="CJ60" i="30"/>
  <c r="CJ74" i="30"/>
  <c r="AJ54" i="29"/>
  <c r="AJ68" i="29"/>
  <c r="BJ9" i="30"/>
  <c r="BJ54" i="29"/>
  <c r="BJ68" i="29"/>
  <c r="BJ71" i="29"/>
  <c r="BJ57" i="29"/>
  <c r="BJ62" i="29"/>
  <c r="BJ76" i="29"/>
  <c r="BJ50" i="29"/>
  <c r="BJ64" i="29"/>
  <c r="BJ65" i="29"/>
  <c r="BJ51" i="29"/>
  <c r="BJ52" i="29"/>
  <c r="BJ66" i="29"/>
  <c r="AJ53" i="29"/>
  <c r="AJ67" i="29"/>
  <c r="BJ5" i="30"/>
  <c r="AJ32" i="29"/>
  <c r="BJ3" i="30"/>
  <c r="M36" i="29"/>
  <c r="M26" i="30"/>
  <c r="M61" i="29"/>
  <c r="M75" i="29"/>
  <c r="M18" i="30"/>
  <c r="M62" i="29"/>
  <c r="M76" i="29"/>
  <c r="M27" i="30"/>
  <c r="M42" i="29"/>
  <c r="M19" i="30"/>
  <c r="M42" i="30"/>
  <c r="M60" i="29"/>
  <c r="M74" i="29"/>
  <c r="M12" i="30"/>
  <c r="M41" i="29"/>
  <c r="M8" i="30"/>
  <c r="M41" i="30"/>
  <c r="M40" i="29"/>
  <c r="M4" i="30"/>
  <c r="M40" i="30"/>
  <c r="AG49" i="32"/>
  <c r="AB75" i="32"/>
  <c r="AG75" i="32"/>
  <c r="AB61" i="32"/>
  <c r="AG61" i="32"/>
  <c r="AB60" i="32"/>
  <c r="AG60" i="32"/>
  <c r="AB74" i="32"/>
  <c r="AG74" i="32"/>
  <c r="X52" i="32"/>
  <c r="AC52" i="32"/>
  <c r="X66" i="32"/>
  <c r="AC66" i="32"/>
  <c r="W65" i="32"/>
  <c r="W51" i="32"/>
  <c r="Y71" i="32"/>
  <c r="AD71" i="32"/>
  <c r="Y57" i="32"/>
  <c r="AD57" i="32"/>
  <c r="W73" i="32"/>
  <c r="W59" i="32"/>
  <c r="AE49" i="32"/>
  <c r="L58" i="32"/>
  <c r="P58" i="32"/>
  <c r="L72" i="32"/>
  <c r="P72" i="32"/>
  <c r="U57" i="32"/>
  <c r="U71" i="32"/>
  <c r="U72" i="32"/>
  <c r="U58" i="32"/>
  <c r="Z72" i="32"/>
  <c r="AE72" i="32"/>
  <c r="Z58" i="32"/>
  <c r="AE58" i="32"/>
  <c r="S71" i="32"/>
  <c r="S57" i="32"/>
  <c r="L52" i="32"/>
  <c r="P52" i="32"/>
  <c r="L66" i="32"/>
  <c r="P66" i="32"/>
  <c r="S68" i="32"/>
  <c r="S54" i="32"/>
  <c r="F67" i="32"/>
  <c r="F53" i="32"/>
  <c r="Y76" i="32"/>
  <c r="AD76" i="32"/>
  <c r="Y62" i="32"/>
  <c r="AB65" i="32"/>
  <c r="AG65" i="32"/>
  <c r="AB51" i="32"/>
  <c r="AG51" i="32"/>
  <c r="F72" i="32"/>
  <c r="T73" i="32"/>
  <c r="T59" i="32"/>
  <c r="U64" i="32"/>
  <c r="U50" i="32"/>
  <c r="Z51" i="32"/>
  <c r="AE51" i="32"/>
  <c r="Z65" i="32"/>
  <c r="AE65" i="32"/>
  <c r="AA58" i="32"/>
  <c r="AF58" i="32"/>
  <c r="AA72" i="32"/>
  <c r="AF72" i="32"/>
  <c r="L50" i="32"/>
  <c r="P50" i="32"/>
  <c r="L64" i="32"/>
  <c r="P64" i="32"/>
  <c r="F51" i="32"/>
  <c r="F65" i="32"/>
  <c r="S69" i="32"/>
  <c r="S55" i="32"/>
  <c r="W66" i="32"/>
  <c r="W52" i="32"/>
  <c r="F74" i="32"/>
  <c r="U65" i="32"/>
  <c r="U51" i="32"/>
  <c r="Z66" i="32"/>
  <c r="AE66" i="32"/>
  <c r="Z52" i="32"/>
  <c r="AE52" i="32"/>
  <c r="Z55" i="32"/>
  <c r="AE55" i="32"/>
  <c r="Z69" i="32"/>
  <c r="AE69" i="32"/>
  <c r="L75" i="32"/>
  <c r="P75" i="32"/>
  <c r="L61" i="32"/>
  <c r="P61" i="32"/>
  <c r="U74" i="32"/>
  <c r="U60" i="32"/>
  <c r="AF32" i="32"/>
  <c r="AF31" i="32"/>
  <c r="S65" i="32"/>
  <c r="S51" i="32"/>
  <c r="AB50" i="32"/>
  <c r="AG50" i="32"/>
  <c r="AB64" i="32"/>
  <c r="L70" i="32"/>
  <c r="P70" i="32"/>
  <c r="L56" i="32"/>
  <c r="P56" i="32"/>
  <c r="S76" i="32"/>
  <c r="S62" i="32"/>
  <c r="AB58" i="32"/>
  <c r="AG58" i="32"/>
  <c r="AB72" i="32"/>
  <c r="AG72" i="32"/>
  <c r="W74" i="32"/>
  <c r="W60" i="32"/>
  <c r="U67" i="32"/>
  <c r="U53" i="32"/>
  <c r="BE58" i="32"/>
  <c r="BF58" i="32"/>
  <c r="BE72" i="32"/>
  <c r="BF72" i="32"/>
  <c r="BE76" i="32"/>
  <c r="BF76" i="32"/>
  <c r="BE62" i="32"/>
  <c r="BF62" i="32"/>
  <c r="AL66" i="32"/>
  <c r="AN66" i="32"/>
  <c r="AL52" i="32"/>
  <c r="AN52" i="32"/>
  <c r="AL62" i="32"/>
  <c r="AN62" i="32"/>
  <c r="AL76" i="32"/>
  <c r="AN76" i="32"/>
  <c r="BE70" i="32"/>
  <c r="BF70" i="32"/>
  <c r="BE56" i="32"/>
  <c r="BF56" i="32"/>
  <c r="AL64" i="32"/>
  <c r="AL50" i="32"/>
  <c r="AN50" i="32"/>
  <c r="BE60" i="32"/>
  <c r="BF60" i="32"/>
  <c r="BE74" i="32"/>
  <c r="BF74" i="32"/>
  <c r="AL65" i="32"/>
  <c r="AN65" i="32"/>
  <c r="AL51" i="32"/>
  <c r="AN51" i="32"/>
  <c r="CT61" i="30"/>
  <c r="CT75" i="30"/>
  <c r="AT68" i="29"/>
  <c r="AT54" i="29"/>
  <c r="BT9" i="30"/>
  <c r="BT69" i="29"/>
  <c r="BT55" i="29"/>
  <c r="BT56" i="29"/>
  <c r="BT70" i="29"/>
  <c r="BT75" i="29"/>
  <c r="BT61" i="29"/>
  <c r="BT58" i="29"/>
  <c r="BT72" i="29"/>
  <c r="BT60" i="29"/>
  <c r="BT74" i="29"/>
  <c r="AT46" i="29"/>
  <c r="BT10" i="30"/>
  <c r="BT46" i="30"/>
  <c r="AA56" i="37"/>
  <c r="AA70" i="37"/>
  <c r="AU75" i="37"/>
  <c r="AU61" i="37"/>
  <c r="AJ66" i="37"/>
  <c r="AJ52" i="37"/>
  <c r="BR55" i="37"/>
  <c r="BT55" i="37"/>
  <c r="BR69" i="37"/>
  <c r="BT69" i="37"/>
  <c r="AC57" i="37"/>
  <c r="AC71" i="37"/>
  <c r="Z70" i="37"/>
  <c r="Z56" i="37"/>
  <c r="AD72" i="37"/>
  <c r="AD58" i="37"/>
  <c r="AC68" i="37"/>
  <c r="AC54" i="37"/>
  <c r="AB67" i="37"/>
  <c r="AB53" i="37"/>
  <c r="AU59" i="37"/>
  <c r="AU73" i="37"/>
  <c r="AU49" i="37"/>
  <c r="BR65" i="37"/>
  <c r="BT65" i="37"/>
  <c r="BR51" i="37"/>
  <c r="BT51" i="37"/>
  <c r="BQ66" i="37"/>
  <c r="BS66" i="37"/>
  <c r="BQ52" i="37"/>
  <c r="BS52" i="37"/>
  <c r="BH73" i="37"/>
  <c r="BL73" i="37"/>
  <c r="BH59" i="37"/>
  <c r="BL59" i="37"/>
  <c r="BI67" i="37"/>
  <c r="BM67" i="37"/>
  <c r="BI53" i="37"/>
  <c r="BM53" i="37"/>
  <c r="AL73" i="37"/>
  <c r="AB71" i="37"/>
  <c r="AB57" i="37"/>
  <c r="AC72" i="37"/>
  <c r="AC58" i="37"/>
  <c r="AB54" i="37"/>
  <c r="AB68" i="37"/>
  <c r="AA53" i="37"/>
  <c r="AA67" i="37"/>
  <c r="AU55" i="37"/>
  <c r="AU69" i="37"/>
  <c r="V76" i="37"/>
  <c r="V62" i="37"/>
  <c r="AK55" i="37"/>
  <c r="AK69" i="37"/>
  <c r="AN66" i="37"/>
  <c r="AN52" i="37"/>
  <c r="AJ53" i="37"/>
  <c r="AJ67" i="37"/>
  <c r="BR60" i="37"/>
  <c r="BT60" i="37"/>
  <c r="BR74" i="37"/>
  <c r="BT74" i="37"/>
  <c r="Z57" i="37"/>
  <c r="Z71" i="37"/>
  <c r="Z52" i="37"/>
  <c r="Z66" i="37"/>
  <c r="AU38" i="37"/>
  <c r="AV38" i="37"/>
  <c r="V49" i="37"/>
  <c r="AL49" i="37"/>
  <c r="BL46" i="37"/>
  <c r="BL45" i="37"/>
  <c r="AB70" i="37"/>
  <c r="AB56" i="37"/>
  <c r="AA52" i="37"/>
  <c r="AA66" i="37"/>
  <c r="AU68" i="37"/>
  <c r="V69" i="37"/>
  <c r="V55" i="37"/>
  <c r="AM49" i="37"/>
  <c r="AK66" i="37"/>
  <c r="AK52" i="37"/>
  <c r="AN46" i="37"/>
  <c r="AN45" i="37"/>
  <c r="BQ71" i="37"/>
  <c r="BS71" i="37"/>
  <c r="BQ57" i="37"/>
  <c r="BS57" i="37"/>
  <c r="BI52" i="37"/>
  <c r="BM52" i="37"/>
  <c r="BI66" i="37"/>
  <c r="BM66" i="37"/>
  <c r="AM57" i="37"/>
  <c r="AM71" i="37"/>
  <c r="AK49" i="37"/>
  <c r="AJ70" i="37"/>
  <c r="AJ56" i="37"/>
  <c r="AN58" i="37"/>
  <c r="AN72" i="37"/>
  <c r="AL46" i="37"/>
  <c r="AL45" i="37"/>
  <c r="AK73" i="37"/>
  <c r="AK59" i="37"/>
  <c r="BT49" i="37"/>
  <c r="BR73" i="37"/>
  <c r="BT73" i="37"/>
  <c r="BR59" i="37"/>
  <c r="BT59" i="37"/>
  <c r="BS32" i="37"/>
  <c r="BS31" i="37"/>
  <c r="BH64" i="37"/>
  <c r="BH50" i="37"/>
  <c r="BL50" i="37"/>
  <c r="BH68" i="37"/>
  <c r="BL68" i="37"/>
  <c r="BH54" i="37"/>
  <c r="BL54" i="37"/>
  <c r="BM49" i="37"/>
  <c r="BI73" i="37"/>
  <c r="BM73" i="37"/>
  <c r="BI59" i="37"/>
  <c r="BM59" i="37"/>
  <c r="AB59" i="37"/>
  <c r="AB73" i="37"/>
  <c r="AP40" i="37"/>
  <c r="AQ4" i="37"/>
  <c r="AP74" i="37"/>
  <c r="AP60" i="37"/>
  <c r="AQ12" i="37"/>
  <c r="AP72" i="37"/>
  <c r="AQ72" i="37"/>
  <c r="AP58" i="37"/>
  <c r="AP56" i="37"/>
  <c r="AP70" i="37"/>
  <c r="AQ20" i="37"/>
  <c r="AP55" i="37"/>
  <c r="AP69" i="37"/>
  <c r="AP43" i="37"/>
  <c r="AQ28" i="37"/>
  <c r="V50" i="37"/>
  <c r="V54" i="37"/>
  <c r="V68" i="37"/>
  <c r="AJ76" i="37"/>
  <c r="AN49" i="37"/>
  <c r="AM56" i="37"/>
  <c r="AM70" i="37"/>
  <c r="AL66" i="37"/>
  <c r="AL52" i="37"/>
  <c r="AN73" i="37"/>
  <c r="BT46" i="37"/>
  <c r="BT45" i="37"/>
  <c r="BH60" i="37"/>
  <c r="BL60" i="37"/>
  <c r="BH74" i="37"/>
  <c r="BL74" i="37"/>
  <c r="BM46" i="37"/>
  <c r="BM45" i="37"/>
  <c r="EA18" i="18"/>
  <c r="BG11" i="18"/>
  <c r="CZ56" i="30"/>
  <c r="CZ70" i="30"/>
  <c r="CZ75" i="30"/>
  <c r="CZ61" i="30"/>
  <c r="AZ43" i="29"/>
  <c r="BZ28" i="30"/>
  <c r="BZ43" i="30"/>
  <c r="BZ51" i="29"/>
  <c r="BZ65" i="29"/>
  <c r="AZ34" i="29"/>
  <c r="BZ14" i="30"/>
  <c r="BZ34" i="30"/>
  <c r="BZ50" i="29"/>
  <c r="BZ64" i="29"/>
  <c r="BZ61" i="29"/>
  <c r="BZ75" i="29"/>
  <c r="AZ39" i="29"/>
  <c r="BZ11" i="30"/>
  <c r="AZ68" i="29"/>
  <c r="AZ54" i="29"/>
  <c r="BZ9" i="30"/>
  <c r="AZ59" i="29"/>
  <c r="AZ73" i="29"/>
  <c r="BZ7" i="30"/>
  <c r="AZ53" i="29"/>
  <c r="AZ67" i="29"/>
  <c r="BZ5" i="30"/>
  <c r="AZ32" i="29"/>
  <c r="BZ3" i="30"/>
  <c r="CW57" i="30"/>
  <c r="CW71" i="30"/>
  <c r="CW50" i="30"/>
  <c r="CW64" i="30"/>
  <c r="CW51" i="30"/>
  <c r="CW65" i="30"/>
  <c r="CW52" i="30"/>
  <c r="CW66" i="30"/>
  <c r="CW54" i="30"/>
  <c r="CW68" i="30"/>
  <c r="CW53" i="30"/>
  <c r="CW67" i="30"/>
  <c r="BW54" i="29"/>
  <c r="BW68" i="29"/>
  <c r="BW57" i="29"/>
  <c r="BW71" i="29"/>
  <c r="BW76" i="29"/>
  <c r="BW62" i="29"/>
  <c r="BW64" i="29"/>
  <c r="BW50" i="29"/>
  <c r="BW51" i="29"/>
  <c r="BW65" i="29"/>
  <c r="BW52" i="29"/>
  <c r="BW66" i="29"/>
  <c r="CR62" i="30"/>
  <c r="CR76" i="30"/>
  <c r="CR59" i="30"/>
  <c r="CR73" i="30"/>
  <c r="AR60" i="29"/>
  <c r="AR74" i="29"/>
  <c r="BR12" i="30"/>
  <c r="AR41" i="29"/>
  <c r="BR8" i="30"/>
  <c r="BR41" i="30"/>
  <c r="BR55" i="29"/>
  <c r="BR69" i="29"/>
  <c r="BR70" i="29"/>
  <c r="BR56" i="29"/>
  <c r="BR61" i="29"/>
  <c r="BR75" i="29"/>
  <c r="BR72" i="29"/>
  <c r="BR58" i="29"/>
  <c r="BR74" i="29"/>
  <c r="BR60" i="29"/>
  <c r="AR40" i="29"/>
  <c r="BR4" i="30"/>
  <c r="CN57" i="30"/>
  <c r="CN71" i="30"/>
  <c r="CN50" i="30"/>
  <c r="CN64" i="30"/>
  <c r="CN51" i="30"/>
  <c r="CN65" i="30"/>
  <c r="CN52" i="30"/>
  <c r="CN66" i="30"/>
  <c r="CN54" i="30"/>
  <c r="CN68" i="30"/>
  <c r="CN53" i="30"/>
  <c r="CN67" i="30"/>
  <c r="AN57" i="29"/>
  <c r="AN71" i="29"/>
  <c r="BN29" i="30"/>
  <c r="AN76" i="29"/>
  <c r="AN62" i="29"/>
  <c r="BN27" i="30"/>
  <c r="AN64" i="29"/>
  <c r="AN50" i="29"/>
  <c r="BN25" i="30"/>
  <c r="AN49" i="29"/>
  <c r="BN23" i="30"/>
  <c r="BN49" i="30"/>
  <c r="AN65" i="29"/>
  <c r="AN51" i="29"/>
  <c r="BN21" i="30"/>
  <c r="AN42" i="29"/>
  <c r="BN19" i="30"/>
  <c r="BN42" i="30"/>
  <c r="AN52" i="29"/>
  <c r="AN66" i="29"/>
  <c r="BN17" i="30"/>
  <c r="AN44" i="29"/>
  <c r="BN15" i="30"/>
  <c r="AN33" i="29"/>
  <c r="BN13" i="30"/>
  <c r="BN33" i="30"/>
  <c r="AN46" i="29"/>
  <c r="AN47" i="29"/>
  <c r="BN10" i="30"/>
  <c r="BN6" i="30"/>
  <c r="AN53" i="29"/>
  <c r="AN67" i="29"/>
  <c r="BN5" i="30"/>
  <c r="AN32" i="29"/>
  <c r="BN3" i="30"/>
  <c r="BB54" i="29"/>
  <c r="BB68" i="29"/>
  <c r="BB53" i="29"/>
  <c r="BB67" i="29"/>
  <c r="BB32" i="29"/>
  <c r="AG47" i="29"/>
  <c r="BG6" i="30"/>
  <c r="AG35" i="29"/>
  <c r="BG30" i="30"/>
  <c r="BG35" i="30"/>
  <c r="AG36" i="29"/>
  <c r="BG26" i="30"/>
  <c r="AG37" i="29"/>
  <c r="BG22" i="30"/>
  <c r="AG75" i="29"/>
  <c r="AG61" i="29"/>
  <c r="BG18" i="30"/>
  <c r="AG34" i="29"/>
  <c r="BG14" i="30"/>
  <c r="BG34" i="30"/>
  <c r="AG59" i="29"/>
  <c r="AG73" i="29"/>
  <c r="BG7" i="30"/>
  <c r="BG59" i="30"/>
  <c r="Y62" i="29"/>
  <c r="Y76" i="29"/>
  <c r="Y27" i="30"/>
  <c r="Y49" i="29"/>
  <c r="Y23" i="30"/>
  <c r="Y49" i="30"/>
  <c r="Y42" i="29"/>
  <c r="Y19" i="30"/>
  <c r="Y42" i="30"/>
  <c r="Y44" i="29"/>
  <c r="Y15" i="30"/>
  <c r="Y44" i="30"/>
  <c r="Y46" i="29"/>
  <c r="Y10" i="30"/>
  <c r="Y46" i="30"/>
  <c r="Y32" i="29"/>
  <c r="Y3" i="30"/>
  <c r="Y32" i="30"/>
  <c r="Y68" i="29"/>
  <c r="Y54" i="29"/>
  <c r="Y9" i="30"/>
  <c r="J60" i="29"/>
  <c r="J74" i="29"/>
  <c r="J12" i="30"/>
  <c r="J59" i="29"/>
  <c r="J73" i="29"/>
  <c r="J7" i="30"/>
  <c r="J73" i="30"/>
  <c r="J62" i="29"/>
  <c r="J76" i="29"/>
  <c r="J27" i="30"/>
  <c r="J49" i="29"/>
  <c r="J23" i="30"/>
  <c r="J49" i="30"/>
  <c r="J42" i="29"/>
  <c r="J19" i="30"/>
  <c r="J42" i="30"/>
  <c r="J44" i="29"/>
  <c r="J15" i="30"/>
  <c r="J44" i="30"/>
  <c r="J53" i="29"/>
  <c r="J67" i="29"/>
  <c r="J5" i="30"/>
  <c r="J67" i="30"/>
  <c r="CP75" i="30"/>
  <c r="CP61" i="30"/>
  <c r="BP57" i="29"/>
  <c r="BP71" i="29"/>
  <c r="BP62" i="29"/>
  <c r="BP76" i="29"/>
  <c r="BP64" i="29"/>
  <c r="BP50" i="29"/>
  <c r="BP65" i="29"/>
  <c r="BP51" i="29"/>
  <c r="BP52" i="29"/>
  <c r="BP66" i="29"/>
  <c r="BP59" i="29"/>
  <c r="BP73" i="29"/>
  <c r="AP32" i="29"/>
  <c r="BP3" i="30"/>
  <c r="AP39" i="29"/>
  <c r="BP11" i="30"/>
  <c r="AP73" i="29"/>
  <c r="AP59" i="29"/>
  <c r="BP7" i="30"/>
  <c r="BP59" i="30"/>
  <c r="AO45" i="37"/>
  <c r="AQ46" i="37"/>
  <c r="AQ45" i="37"/>
  <c r="M43" i="29"/>
  <c r="M28" i="30"/>
  <c r="M43" i="30"/>
  <c r="M56" i="29"/>
  <c r="M70" i="29"/>
  <c r="M20" i="30"/>
  <c r="M71" i="29"/>
  <c r="M57" i="29"/>
  <c r="M29" i="30"/>
  <c r="M51" i="29"/>
  <c r="M65" i="29"/>
  <c r="M21" i="30"/>
  <c r="M33" i="29"/>
  <c r="M13" i="30"/>
  <c r="M33" i="30"/>
  <c r="M68" i="29"/>
  <c r="M54" i="29"/>
  <c r="M9" i="30"/>
  <c r="M53" i="29"/>
  <c r="M67" i="29"/>
  <c r="M5" i="30"/>
  <c r="W57" i="32"/>
  <c r="W71" i="32"/>
  <c r="X65" i="32"/>
  <c r="AC65" i="32"/>
  <c r="X51" i="32"/>
  <c r="AC51" i="32"/>
  <c r="X62" i="32"/>
  <c r="AC62" i="32"/>
  <c r="X76" i="32"/>
  <c r="AC76" i="32"/>
  <c r="T56" i="32"/>
  <c r="T70" i="32"/>
  <c r="U69" i="32"/>
  <c r="U55" i="32"/>
  <c r="Z76" i="32"/>
  <c r="AE76" i="32"/>
  <c r="Z62" i="32"/>
  <c r="AE62" i="32"/>
  <c r="S70" i="32"/>
  <c r="S56" i="32"/>
  <c r="V53" i="32"/>
  <c r="V67" i="32"/>
  <c r="F73" i="32"/>
  <c r="X75" i="32"/>
  <c r="AC75" i="32"/>
  <c r="X61" i="32"/>
  <c r="AC61" i="32"/>
  <c r="L57" i="32"/>
  <c r="P57" i="32"/>
  <c r="L71" i="32"/>
  <c r="P71" i="32"/>
  <c r="V58" i="32"/>
  <c r="V72" i="32"/>
  <c r="AB62" i="32"/>
  <c r="AG62" i="32"/>
  <c r="AB76" i="32"/>
  <c r="AG76" i="32"/>
  <c r="Y66" i="32"/>
  <c r="AD66" i="32"/>
  <c r="Y52" i="32"/>
  <c r="AD52" i="32"/>
  <c r="L47" i="32"/>
  <c r="P47" i="32"/>
  <c r="BE47" i="32"/>
  <c r="BF47" i="32"/>
  <c r="BF45" i="32"/>
  <c r="Y55" i="32"/>
  <c r="AD55" i="32"/>
  <c r="Y69" i="32"/>
  <c r="AD69" i="32"/>
  <c r="V75" i="32"/>
  <c r="V61" i="32"/>
  <c r="V45" i="32"/>
  <c r="S53" i="32"/>
  <c r="S67" i="32"/>
  <c r="AB71" i="32"/>
  <c r="AG71" i="32"/>
  <c r="AB57" i="32"/>
  <c r="AG57" i="32"/>
  <c r="V66" i="32"/>
  <c r="V52" i="32"/>
  <c r="X60" i="32"/>
  <c r="AC60" i="32"/>
  <c r="X74" i="32"/>
  <c r="AC74" i="32"/>
  <c r="F76" i="32"/>
  <c r="T61" i="32"/>
  <c r="T75" i="32"/>
  <c r="X73" i="32"/>
  <c r="AC73" i="32"/>
  <c r="X59" i="32"/>
  <c r="AC59" i="32"/>
  <c r="V59" i="32"/>
  <c r="V73" i="32"/>
  <c r="L51" i="32"/>
  <c r="P51" i="32"/>
  <c r="L65" i="32"/>
  <c r="F68" i="32"/>
  <c r="AA71" i="32"/>
  <c r="AF71" i="32"/>
  <c r="AA57" i="32"/>
  <c r="AF57" i="32"/>
  <c r="W64" i="32"/>
  <c r="W50" i="32"/>
  <c r="Z61" i="32"/>
  <c r="AE61" i="32"/>
  <c r="Z75" i="32"/>
  <c r="AE75" i="32"/>
  <c r="Y59" i="32"/>
  <c r="AD59" i="32"/>
  <c r="Y73" i="32"/>
  <c r="AD73" i="32"/>
  <c r="T31" i="32"/>
  <c r="P49" i="32"/>
  <c r="Y75" i="32"/>
  <c r="AD75" i="32"/>
  <c r="Y61" i="32"/>
  <c r="AD61" i="32"/>
  <c r="AA60" i="32"/>
  <c r="AF60" i="32"/>
  <c r="AA74" i="32"/>
  <c r="AF74" i="32"/>
  <c r="S31" i="32"/>
  <c r="Y68" i="32"/>
  <c r="AD68" i="32"/>
  <c r="Y54" i="32"/>
  <c r="AD54" i="32"/>
  <c r="T67" i="32"/>
  <c r="T53" i="32"/>
  <c r="F71" i="32"/>
  <c r="T72" i="32"/>
  <c r="T58" i="32"/>
  <c r="T74" i="32"/>
  <c r="T60" i="32"/>
  <c r="Z59" i="32"/>
  <c r="AE59" i="32"/>
  <c r="Z73" i="32"/>
  <c r="AE73" i="32"/>
  <c r="AE32" i="32"/>
  <c r="AE31" i="32"/>
  <c r="V51" i="32"/>
  <c r="V65" i="32"/>
  <c r="AB52" i="32"/>
  <c r="AG52" i="32"/>
  <c r="AB66" i="32"/>
  <c r="AG66" i="32"/>
  <c r="AA54" i="32"/>
  <c r="AF54" i="32"/>
  <c r="AA68" i="32"/>
  <c r="AF68" i="32"/>
  <c r="AB67" i="32"/>
  <c r="AG67" i="32"/>
  <c r="AB53" i="32"/>
  <c r="AG53" i="32"/>
  <c r="U66" i="32"/>
  <c r="U52" i="32"/>
  <c r="L73" i="32"/>
  <c r="P73" i="32"/>
  <c r="L59" i="32"/>
  <c r="P59" i="32"/>
  <c r="BE68" i="32"/>
  <c r="BF68" i="32"/>
  <c r="BE54" i="32"/>
  <c r="BF54" i="32"/>
  <c r="AL69" i="32"/>
  <c r="AN69" i="32"/>
  <c r="AL55" i="32"/>
  <c r="AN55" i="32"/>
  <c r="BE64" i="32"/>
  <c r="BF64" i="32"/>
  <c r="BE50" i="32"/>
  <c r="BF50" i="32"/>
  <c r="AL75" i="32"/>
  <c r="AN75" i="32"/>
  <c r="AL61" i="32"/>
  <c r="AN61" i="32"/>
  <c r="BE69" i="32"/>
  <c r="BF69" i="32"/>
  <c r="BE55" i="32"/>
  <c r="BF55" i="32"/>
  <c r="AL74" i="32"/>
  <c r="AN74" i="32"/>
  <c r="AL60" i="32"/>
  <c r="AN60" i="32"/>
  <c r="AL72" i="32"/>
  <c r="AN72" i="32"/>
  <c r="AL58" i="32"/>
  <c r="AN58" i="32"/>
  <c r="CT62" i="30"/>
  <c r="CT76" i="30"/>
  <c r="CT59" i="30"/>
  <c r="CT73" i="30"/>
  <c r="AT39" i="29"/>
  <c r="BT11" i="30"/>
  <c r="AT57" i="29"/>
  <c r="AT71" i="29"/>
  <c r="BT29" i="30"/>
  <c r="AT76" i="29"/>
  <c r="AT62" i="29"/>
  <c r="BT27" i="30"/>
  <c r="BT62" i="30"/>
  <c r="AT64" i="29"/>
  <c r="AT50" i="29"/>
  <c r="BT25" i="30"/>
  <c r="AT49" i="29"/>
  <c r="BT23" i="30"/>
  <c r="AT51" i="29"/>
  <c r="AT65" i="29"/>
  <c r="BT21" i="30"/>
  <c r="AT42" i="29"/>
  <c r="BT19" i="30"/>
  <c r="AT52" i="29"/>
  <c r="AT66" i="29"/>
  <c r="BT17" i="30"/>
  <c r="AT44" i="29"/>
  <c r="BT15" i="30"/>
  <c r="AT33" i="29"/>
  <c r="BT13" i="30"/>
  <c r="BT73" i="29"/>
  <c r="BT59" i="29"/>
  <c r="CE52" i="30"/>
  <c r="CE66" i="30"/>
  <c r="CE60" i="30"/>
  <c r="CE74" i="30"/>
  <c r="CE59" i="30"/>
  <c r="CE73" i="30"/>
  <c r="CE62" i="30"/>
  <c r="CE76" i="30"/>
  <c r="AE35" i="29"/>
  <c r="BE30" i="30"/>
  <c r="AE36" i="29"/>
  <c r="BE26" i="30"/>
  <c r="AE37" i="29"/>
  <c r="BE22" i="30"/>
  <c r="AE61" i="29"/>
  <c r="AE75" i="29"/>
  <c r="BE18" i="30"/>
  <c r="AE34" i="29"/>
  <c r="BE14" i="30"/>
  <c r="BE34" i="30"/>
  <c r="AE57" i="29"/>
  <c r="AE71" i="29"/>
  <c r="BE29" i="30"/>
  <c r="AE64" i="29"/>
  <c r="AE50" i="29"/>
  <c r="BE25" i="30"/>
  <c r="AE65" i="29"/>
  <c r="AE51" i="29"/>
  <c r="BE21" i="30"/>
  <c r="AE66" i="29"/>
  <c r="AE52" i="29"/>
  <c r="BE17" i="30"/>
  <c r="AE33" i="29"/>
  <c r="BE13" i="30"/>
  <c r="AE60" i="29"/>
  <c r="AE74" i="29"/>
  <c r="BE12" i="30"/>
  <c r="AE46" i="29"/>
  <c r="BE10" i="30"/>
  <c r="AE41" i="29"/>
  <c r="BE8" i="30"/>
  <c r="AE47" i="29"/>
  <c r="BE6" i="30"/>
  <c r="AE40" i="29"/>
  <c r="BE4" i="30"/>
  <c r="AT50" i="37"/>
  <c r="U71" i="37"/>
  <c r="U57" i="37"/>
  <c r="AT52" i="37"/>
  <c r="AA60" i="29"/>
  <c r="AA74" i="29"/>
  <c r="AA39" i="29"/>
  <c r="AA71" i="29"/>
  <c r="AA57" i="29"/>
  <c r="AA50" i="29"/>
  <c r="AA64" i="29"/>
  <c r="AA65" i="29"/>
  <c r="AA51" i="29"/>
  <c r="AA52" i="29"/>
  <c r="AA66" i="29"/>
  <c r="AA33" i="29"/>
  <c r="S41" i="29"/>
  <c r="S8" i="30"/>
  <c r="S41" i="30"/>
  <c r="S57" i="29"/>
  <c r="S71" i="29"/>
  <c r="S29" i="30"/>
  <c r="S71" i="30"/>
  <c r="S64" i="29"/>
  <c r="S50" i="29"/>
  <c r="S25" i="30"/>
  <c r="S65" i="29"/>
  <c r="S51" i="29"/>
  <c r="S21" i="30"/>
  <c r="S52" i="29"/>
  <c r="S66" i="29"/>
  <c r="S17" i="30"/>
  <c r="S33" i="29"/>
  <c r="S13" i="30"/>
  <c r="S33" i="30"/>
  <c r="S53" i="29"/>
  <c r="S67" i="29"/>
  <c r="S5" i="30"/>
  <c r="U62" i="37"/>
  <c r="U76" i="37"/>
  <c r="AT47" i="29"/>
  <c r="BT6" i="30"/>
  <c r="CE56" i="30"/>
  <c r="CE70" i="30"/>
  <c r="CE58" i="30"/>
  <c r="CE72" i="30"/>
  <c r="CE53" i="30"/>
  <c r="CE67" i="30"/>
  <c r="CE51" i="30"/>
  <c r="CE50" i="30"/>
  <c r="CE65" i="30"/>
  <c r="BE71" i="29"/>
  <c r="BE57" i="29"/>
  <c r="BE50" i="29"/>
  <c r="BE64" i="29"/>
  <c r="BE65" i="29"/>
  <c r="BE51" i="29"/>
  <c r="BE66" i="29"/>
  <c r="BE52" i="29"/>
  <c r="P43" i="18"/>
  <c r="AB43" i="18"/>
  <c r="BE69" i="29"/>
  <c r="BE55" i="29"/>
  <c r="BE70" i="29"/>
  <c r="BE56" i="29"/>
  <c r="BE72" i="29"/>
  <c r="BE58" i="29"/>
  <c r="BE68" i="29"/>
  <c r="BE54" i="29"/>
  <c r="BE59" i="29"/>
  <c r="BE73" i="29"/>
  <c r="BE53" i="29"/>
  <c r="BE67" i="29"/>
  <c r="U56" i="37"/>
  <c r="U70" i="37"/>
  <c r="AV45" i="37"/>
  <c r="AA47" i="29"/>
  <c r="AA54" i="29"/>
  <c r="AA68" i="29"/>
  <c r="AA43" i="29"/>
  <c r="AA43" i="30"/>
  <c r="AA69" i="29"/>
  <c r="AA55" i="29"/>
  <c r="AA56" i="29"/>
  <c r="AA70" i="29"/>
  <c r="AA70" i="30"/>
  <c r="AA58" i="29"/>
  <c r="AA72" i="29"/>
  <c r="AA53" i="29"/>
  <c r="AA67" i="29"/>
  <c r="S47" i="29"/>
  <c r="S6" i="30"/>
  <c r="S43" i="29"/>
  <c r="S28" i="30"/>
  <c r="S55" i="29"/>
  <c r="S69" i="29"/>
  <c r="S24" i="30"/>
  <c r="S69" i="30"/>
  <c r="S56" i="29"/>
  <c r="S70" i="29"/>
  <c r="S20" i="30"/>
  <c r="S58" i="29"/>
  <c r="S72" i="29"/>
  <c r="S16" i="30"/>
  <c r="S39" i="29"/>
  <c r="S11" i="30"/>
  <c r="S40" i="29"/>
  <c r="S4" i="30"/>
  <c r="S40" i="30"/>
  <c r="O47" i="29"/>
  <c r="O6" i="30"/>
  <c r="O47" i="30"/>
  <c r="O62" i="29"/>
  <c r="O76" i="29"/>
  <c r="O27" i="30"/>
  <c r="O49" i="29"/>
  <c r="O23" i="30"/>
  <c r="O49" i="30"/>
  <c r="O42" i="29"/>
  <c r="O19" i="30"/>
  <c r="O44" i="29"/>
  <c r="O15" i="30"/>
  <c r="O44" i="30"/>
  <c r="O54" i="29"/>
  <c r="O68" i="29"/>
  <c r="O9" i="30"/>
  <c r="O32" i="29"/>
  <c r="O3" i="30"/>
  <c r="O32" i="30"/>
  <c r="K59" i="29"/>
  <c r="K73" i="29"/>
  <c r="K7" i="30"/>
  <c r="K62" i="29"/>
  <c r="K76" i="29"/>
  <c r="K27" i="30"/>
  <c r="K49" i="29"/>
  <c r="K23" i="30"/>
  <c r="K49" i="30"/>
  <c r="K42" i="29"/>
  <c r="K19" i="30"/>
  <c r="K42" i="30"/>
  <c r="K44" i="29"/>
  <c r="K15" i="30"/>
  <c r="K44" i="30"/>
  <c r="K46" i="29"/>
  <c r="K10" i="30"/>
  <c r="K46" i="30"/>
  <c r="K40" i="29"/>
  <c r="K4" i="30"/>
  <c r="K40" i="30"/>
  <c r="H43" i="29"/>
  <c r="H28" i="30"/>
  <c r="H55" i="29"/>
  <c r="H69" i="29"/>
  <c r="H24" i="30"/>
  <c r="H69" i="30"/>
  <c r="H56" i="29"/>
  <c r="H70" i="29"/>
  <c r="H20" i="30"/>
  <c r="H58" i="29"/>
  <c r="H72" i="29"/>
  <c r="H16" i="30"/>
  <c r="H60" i="29"/>
  <c r="H74" i="29"/>
  <c r="H12" i="30"/>
  <c r="H32" i="29"/>
  <c r="H3" i="30"/>
  <c r="H40" i="29"/>
  <c r="H4" i="30"/>
  <c r="H40" i="30"/>
  <c r="D75" i="29"/>
  <c r="D61" i="29"/>
  <c r="D59" i="29"/>
  <c r="D73" i="29"/>
  <c r="O35" i="32"/>
  <c r="O37" i="32"/>
  <c r="AK72" i="32"/>
  <c r="AK58" i="32"/>
  <c r="O36" i="32"/>
  <c r="O39" i="32"/>
  <c r="K64" i="32"/>
  <c r="K50" i="32"/>
  <c r="AM41" i="32"/>
  <c r="AO41" i="32"/>
  <c r="AM38" i="32"/>
  <c r="AO38" i="32"/>
  <c r="AK73" i="32"/>
  <c r="AK59" i="32"/>
  <c r="K74" i="32"/>
  <c r="K60" i="32"/>
  <c r="AO49" i="32"/>
  <c r="AM49" i="32"/>
  <c r="O43" i="32"/>
  <c r="AK68" i="32"/>
  <c r="AK54" i="32"/>
  <c r="AM44" i="32"/>
  <c r="AO44" i="32"/>
  <c r="K71" i="32"/>
  <c r="K57" i="32"/>
  <c r="X31" i="37"/>
  <c r="X32" i="37"/>
  <c r="W49" i="37"/>
  <c r="W73" i="37"/>
  <c r="W59" i="37"/>
  <c r="X58" i="37"/>
  <c r="X72" i="37"/>
  <c r="W71" i="37"/>
  <c r="W57" i="37"/>
  <c r="W45" i="37"/>
  <c r="W46" i="37"/>
  <c r="X49" i="37"/>
  <c r="X50" i="37"/>
  <c r="X54" i="37"/>
  <c r="X57" i="37"/>
  <c r="X59" i="37"/>
  <c r="X62" i="37"/>
  <c r="X73" i="37"/>
  <c r="W72" i="37"/>
  <c r="W58" i="37"/>
  <c r="X71" i="37"/>
  <c r="X46" i="37"/>
  <c r="X45" i="37"/>
  <c r="Z50" i="37"/>
  <c r="Z64" i="37"/>
  <c r="AD52" i="37"/>
  <c r="AD66" i="37"/>
  <c r="AU71" i="37"/>
  <c r="AU57" i="37"/>
  <c r="AJ50" i="37"/>
  <c r="AJ68" i="37"/>
  <c r="AJ54" i="37"/>
  <c r="BQ74" i="37"/>
  <c r="BS74" i="37"/>
  <c r="BQ60" i="37"/>
  <c r="BS60" i="37"/>
  <c r="AD69" i="37"/>
  <c r="AD55" i="37"/>
  <c r="AC65" i="37"/>
  <c r="AC51" i="37"/>
  <c r="AB61" i="37"/>
  <c r="AB75" i="37"/>
  <c r="AC59" i="37"/>
  <c r="AC73" i="37"/>
  <c r="AA31" i="37"/>
  <c r="AU44" i="37"/>
  <c r="AV44" i="37"/>
  <c r="V70" i="37"/>
  <c r="V56" i="37"/>
  <c r="AK71" i="37"/>
  <c r="AL72" i="37"/>
  <c r="AL58" i="37"/>
  <c r="AJ46" i="37"/>
  <c r="AJ45" i="37"/>
  <c r="AM32" i="37"/>
  <c r="AM31" i="37"/>
  <c r="BR53" i="37"/>
  <c r="BT53" i="37"/>
  <c r="BR67" i="37"/>
  <c r="BT67" i="37"/>
  <c r="BL49" i="37"/>
  <c r="BI65" i="37"/>
  <c r="BM65" i="37"/>
  <c r="BI51" i="37"/>
  <c r="BM51" i="37"/>
  <c r="BR72" i="37"/>
  <c r="BT72" i="37"/>
  <c r="BR58" i="37"/>
  <c r="BT58" i="37"/>
  <c r="AD76" i="37"/>
  <c r="AD62" i="37"/>
  <c r="AC55" i="37"/>
  <c r="AC69" i="37"/>
  <c r="AB65" i="37"/>
  <c r="AB51" i="37"/>
  <c r="AA75" i="37"/>
  <c r="AA61" i="37"/>
  <c r="AA59" i="37"/>
  <c r="AA73" i="37"/>
  <c r="Z31" i="37"/>
  <c r="AU72" i="37"/>
  <c r="AU58" i="37"/>
  <c r="AU43" i="37"/>
  <c r="AV43" i="37"/>
  <c r="AL76" i="37"/>
  <c r="AL62" i="37"/>
  <c r="AJ51" i="37"/>
  <c r="AJ65" i="37"/>
  <c r="AT73" i="37"/>
  <c r="AV73" i="37"/>
  <c r="W59" i="29"/>
  <c r="W73" i="29"/>
  <c r="W7" i="30"/>
  <c r="W76" i="29"/>
  <c r="W62" i="29"/>
  <c r="W27" i="30"/>
  <c r="W49" i="29"/>
  <c r="W23" i="30"/>
  <c r="W49" i="30"/>
  <c r="W42" i="29"/>
  <c r="W19" i="30"/>
  <c r="W44" i="29"/>
  <c r="W15" i="30"/>
  <c r="W44" i="30"/>
  <c r="W46" i="29"/>
  <c r="W10" i="30"/>
  <c r="W40" i="29"/>
  <c r="W4" i="30"/>
  <c r="W40" i="30"/>
  <c r="N46" i="29"/>
  <c r="N10" i="30"/>
  <c r="N46" i="30"/>
  <c r="N62" i="29"/>
  <c r="N76" i="29"/>
  <c r="N27" i="30"/>
  <c r="N62" i="30"/>
  <c r="N49" i="29"/>
  <c r="N23" i="30"/>
  <c r="N49" i="30"/>
  <c r="N42" i="29"/>
  <c r="N19" i="30"/>
  <c r="N44" i="29"/>
  <c r="N15" i="30"/>
  <c r="N44" i="30"/>
  <c r="N54" i="29"/>
  <c r="N68" i="29"/>
  <c r="N9" i="30"/>
  <c r="N40" i="29"/>
  <c r="N4" i="30"/>
  <c r="CM55" i="30"/>
  <c r="CM69" i="30"/>
  <c r="CM62" i="30"/>
  <c r="CM76" i="30"/>
  <c r="CM51" i="30"/>
  <c r="CM65" i="30"/>
  <c r="CM52" i="30"/>
  <c r="CM66" i="30"/>
  <c r="AM71" i="29"/>
  <c r="AM57" i="29"/>
  <c r="BM29" i="30"/>
  <c r="BM71" i="30"/>
  <c r="AM50" i="29"/>
  <c r="AM64" i="29"/>
  <c r="BM25" i="30"/>
  <c r="AM65" i="29"/>
  <c r="AM51" i="29"/>
  <c r="BM21" i="30"/>
  <c r="AM66" i="29"/>
  <c r="AM52" i="29"/>
  <c r="BM17" i="30"/>
  <c r="AM33" i="29"/>
  <c r="BM13" i="30"/>
  <c r="BM71" i="29"/>
  <c r="BM57" i="29"/>
  <c r="BM64" i="29"/>
  <c r="BM50" i="29"/>
  <c r="BM65" i="29"/>
  <c r="BM51" i="29"/>
  <c r="BM66" i="29"/>
  <c r="BM52" i="29"/>
  <c r="BM68" i="29"/>
  <c r="BM54" i="29"/>
  <c r="BM59" i="29"/>
  <c r="BM73" i="29"/>
  <c r="BM53" i="29"/>
  <c r="BM67" i="29"/>
  <c r="U64" i="37"/>
  <c r="AT70" i="37"/>
  <c r="AQ24" i="37"/>
  <c r="Z33" i="29"/>
  <c r="Z13" i="30"/>
  <c r="Z33" i="30"/>
  <c r="Z35" i="29"/>
  <c r="Z30" i="30"/>
  <c r="Z35" i="30"/>
  <c r="Z37" i="29"/>
  <c r="Z22" i="30"/>
  <c r="Z37" i="30"/>
  <c r="Z34" i="29"/>
  <c r="Z14" i="30"/>
  <c r="Z34" i="30"/>
  <c r="Z39" i="29"/>
  <c r="Z11" i="30"/>
  <c r="Z39" i="30"/>
  <c r="Z59" i="29"/>
  <c r="Z73" i="29"/>
  <c r="Z7" i="30"/>
  <c r="Z32" i="29"/>
  <c r="Z3" i="30"/>
  <c r="Z32" i="30"/>
  <c r="G73" i="29"/>
  <c r="G59" i="29"/>
  <c r="G7" i="30"/>
  <c r="G43" i="29"/>
  <c r="G28" i="30"/>
  <c r="G55" i="29"/>
  <c r="G69" i="29"/>
  <c r="G24" i="30"/>
  <c r="G70" i="29"/>
  <c r="G56" i="29"/>
  <c r="G20" i="30"/>
  <c r="G72" i="29"/>
  <c r="G58" i="29"/>
  <c r="G16" i="30"/>
  <c r="G74" i="29"/>
  <c r="G60" i="29"/>
  <c r="G12" i="30"/>
  <c r="G40" i="29"/>
  <c r="G4" i="30"/>
  <c r="G40" i="30"/>
  <c r="CV51" i="30"/>
  <c r="CV65" i="30"/>
  <c r="CV58" i="30"/>
  <c r="CV72" i="30"/>
  <c r="CV55" i="30"/>
  <c r="CV69" i="30"/>
  <c r="CV56" i="30"/>
  <c r="CV70" i="30"/>
  <c r="BV57" i="29"/>
  <c r="BV71" i="29"/>
  <c r="BV50" i="29"/>
  <c r="BV64" i="29"/>
  <c r="BV51" i="29"/>
  <c r="BV65" i="29"/>
  <c r="BV66" i="29"/>
  <c r="BV52" i="29"/>
  <c r="BV69" i="29"/>
  <c r="BV55" i="29"/>
  <c r="BV70" i="29"/>
  <c r="BV56" i="29"/>
  <c r="BV72" i="29"/>
  <c r="BV58" i="29"/>
  <c r="BV60" i="29"/>
  <c r="BV74" i="29"/>
  <c r="AV39" i="29"/>
  <c r="BV11" i="30"/>
  <c r="BV39" i="30"/>
  <c r="AV68" i="29"/>
  <c r="AV54" i="29"/>
  <c r="BV9" i="30"/>
  <c r="BV68" i="30"/>
  <c r="AV73" i="29"/>
  <c r="AV59" i="29"/>
  <c r="BV7" i="30"/>
  <c r="AV53" i="29"/>
  <c r="AV67" i="29"/>
  <c r="BV5" i="30"/>
  <c r="AV32" i="29"/>
  <c r="BV3" i="30"/>
  <c r="Y51" i="32"/>
  <c r="AD51" i="32"/>
  <c r="Y65" i="32"/>
  <c r="AD65" i="32"/>
  <c r="AA50" i="32"/>
  <c r="AF50" i="32"/>
  <c r="AA64" i="32"/>
  <c r="Y53" i="32"/>
  <c r="AD53" i="32"/>
  <c r="Y67" i="32"/>
  <c r="AD67" i="32"/>
  <c r="AA52" i="32"/>
  <c r="AF52" i="32"/>
  <c r="AA66" i="32"/>
  <c r="W76" i="32"/>
  <c r="W62" i="32"/>
  <c r="Z70" i="32"/>
  <c r="AE70" i="32"/>
  <c r="Z56" i="32"/>
  <c r="AE56" i="32"/>
  <c r="W31" i="32"/>
  <c r="Y72" i="32"/>
  <c r="AD72" i="32"/>
  <c r="Y58" i="32"/>
  <c r="AD58" i="32"/>
  <c r="T76" i="32"/>
  <c r="T62" i="32"/>
  <c r="Z64" i="32"/>
  <c r="Z50" i="32"/>
  <c r="AE50" i="32"/>
  <c r="Z74" i="32"/>
  <c r="AE74" i="32"/>
  <c r="Z60" i="32"/>
  <c r="AE60" i="32"/>
  <c r="U73" i="32"/>
  <c r="U59" i="32"/>
  <c r="X58" i="32"/>
  <c r="AC58" i="32"/>
  <c r="X72" i="32"/>
  <c r="AC72" i="32"/>
  <c r="W69" i="32"/>
  <c r="W55" i="32"/>
  <c r="Y64" i="32"/>
  <c r="Y50" i="32"/>
  <c r="AD50" i="32"/>
  <c r="U70" i="32"/>
  <c r="U56" i="32"/>
  <c r="AG32" i="32"/>
  <c r="U76" i="32"/>
  <c r="U62" i="32"/>
  <c r="F66" i="32"/>
  <c r="X54" i="32"/>
  <c r="AC54" i="32"/>
  <c r="X68" i="32"/>
  <c r="AC68" i="32"/>
  <c r="V50" i="32"/>
  <c r="V64" i="32"/>
  <c r="X56" i="32"/>
  <c r="AC56" i="32"/>
  <c r="X70" i="32"/>
  <c r="AC70" i="32"/>
  <c r="AE46" i="32"/>
  <c r="AA67" i="32"/>
  <c r="AF67" i="32"/>
  <c r="AA53" i="32"/>
  <c r="AF53" i="32"/>
  <c r="AB69" i="32"/>
  <c r="AG69" i="32"/>
  <c r="AB55" i="32"/>
  <c r="AG55" i="32"/>
  <c r="W70" i="32"/>
  <c r="W56" i="32"/>
  <c r="Z68" i="32"/>
  <c r="AE68" i="32"/>
  <c r="Z54" i="32"/>
  <c r="AE54" i="32"/>
  <c r="P46" i="32"/>
  <c r="X71" i="32"/>
  <c r="AC71" i="32"/>
  <c r="X57" i="32"/>
  <c r="AC57" i="32"/>
  <c r="F64" i="32"/>
  <c r="AA61" i="32"/>
  <c r="AF61" i="32"/>
  <c r="AA75" i="32"/>
  <c r="AF75" i="32"/>
  <c r="X67" i="32"/>
  <c r="AC67" i="32"/>
  <c r="X53" i="32"/>
  <c r="AC53" i="32"/>
  <c r="S72" i="32"/>
  <c r="S58" i="32"/>
  <c r="U45" i="32"/>
  <c r="W67" i="32"/>
  <c r="W53" i="32"/>
  <c r="AB56" i="32"/>
  <c r="AG56" i="32"/>
  <c r="AB70" i="32"/>
  <c r="AG70" i="32"/>
  <c r="W72" i="32"/>
  <c r="W58" i="32"/>
  <c r="Z53" i="32"/>
  <c r="AE53" i="32"/>
  <c r="Z67" i="32"/>
  <c r="AE67" i="32"/>
  <c r="T71" i="32"/>
  <c r="T57" i="32"/>
  <c r="F75" i="32"/>
  <c r="AB73" i="32"/>
  <c r="AG73" i="32"/>
  <c r="AB59" i="32"/>
  <c r="AG59" i="32"/>
  <c r="W45" i="32"/>
  <c r="L67" i="32"/>
  <c r="P67" i="32"/>
  <c r="L53" i="32"/>
  <c r="P53" i="32"/>
  <c r="V71" i="32"/>
  <c r="V57" i="32"/>
  <c r="X69" i="32"/>
  <c r="AC69" i="32"/>
  <c r="X55" i="32"/>
  <c r="AC55" i="32"/>
  <c r="AD32" i="32"/>
  <c r="AD31" i="32"/>
  <c r="V70" i="32"/>
  <c r="V56" i="32"/>
  <c r="T45" i="32"/>
  <c r="AL68" i="32"/>
  <c r="AN68" i="32"/>
  <c r="AL54" i="32"/>
  <c r="AN54" i="32"/>
  <c r="AL71" i="32"/>
  <c r="AN71" i="32"/>
  <c r="AL57" i="32"/>
  <c r="AN57" i="32"/>
  <c r="BF32" i="32"/>
  <c r="BF31" i="32"/>
  <c r="BE66" i="32"/>
  <c r="BF66" i="32"/>
  <c r="BE52" i="32"/>
  <c r="BF52" i="32"/>
  <c r="AO43" i="32"/>
  <c r="AN43" i="32"/>
  <c r="BE65" i="32"/>
  <c r="BF65" i="32"/>
  <c r="BE51" i="32"/>
  <c r="BF51" i="32"/>
  <c r="AN32" i="32"/>
  <c r="AN31" i="32"/>
  <c r="AL56" i="32"/>
  <c r="AN56" i="32"/>
  <c r="AL70" i="32"/>
  <c r="AN70" i="32"/>
  <c r="BE71" i="32"/>
  <c r="BF71" i="32"/>
  <c r="BE57" i="32"/>
  <c r="BF57" i="32"/>
  <c r="AN46" i="32"/>
  <c r="AN45" i="32"/>
  <c r="DS22" i="18"/>
  <c r="CT57" i="30"/>
  <c r="CT71" i="30"/>
  <c r="CT50" i="30"/>
  <c r="CT64" i="30"/>
  <c r="CT51" i="30"/>
  <c r="CT65" i="30"/>
  <c r="CT52" i="30"/>
  <c r="CT66" i="30"/>
  <c r="CT54" i="30"/>
  <c r="CT68" i="30"/>
  <c r="CT53" i="30"/>
  <c r="CT67" i="30"/>
  <c r="AT73" i="29"/>
  <c r="AT59" i="29"/>
  <c r="BT7" i="30"/>
  <c r="BS45" i="29"/>
  <c r="AT35" i="29"/>
  <c r="BT30" i="30"/>
  <c r="BT35" i="30"/>
  <c r="AT43" i="29"/>
  <c r="BT28" i="30"/>
  <c r="AT36" i="29"/>
  <c r="BT26" i="30"/>
  <c r="BT36" i="30"/>
  <c r="AT55" i="29"/>
  <c r="AT69" i="29"/>
  <c r="BT24" i="30"/>
  <c r="AT37" i="29"/>
  <c r="BT22" i="30"/>
  <c r="AT70" i="29"/>
  <c r="AT56" i="29"/>
  <c r="BT20" i="30"/>
  <c r="AT61" i="29"/>
  <c r="AT75" i="29"/>
  <c r="BT18" i="30"/>
  <c r="AT58" i="29"/>
  <c r="AT72" i="29"/>
  <c r="BT16" i="30"/>
  <c r="AT34" i="29"/>
  <c r="BT14" i="30"/>
  <c r="BT54" i="29"/>
  <c r="BT68" i="29"/>
  <c r="BT67" i="29"/>
  <c r="BT53" i="29"/>
  <c r="CE64" i="30"/>
  <c r="AE43" i="29"/>
  <c r="BE28" i="30"/>
  <c r="BE43" i="30"/>
  <c r="AE69" i="29"/>
  <c r="AE55" i="29"/>
  <c r="BE24" i="30"/>
  <c r="AE70" i="29"/>
  <c r="AE56" i="29"/>
  <c r="BE20" i="30"/>
  <c r="AE72" i="29"/>
  <c r="AE58" i="29"/>
  <c r="BE16" i="30"/>
  <c r="AE62" i="29"/>
  <c r="AE76" i="29"/>
  <c r="BE27" i="30"/>
  <c r="AE49" i="29"/>
  <c r="BE23" i="30"/>
  <c r="BE49" i="30"/>
  <c r="AE42" i="29"/>
  <c r="BE19" i="30"/>
  <c r="AE44" i="29"/>
  <c r="BE15" i="30"/>
  <c r="AE39" i="29"/>
  <c r="BE11" i="30"/>
  <c r="AE68" i="29"/>
  <c r="AE54" i="29"/>
  <c r="BE9" i="30"/>
  <c r="AE59" i="29"/>
  <c r="AE73" i="29"/>
  <c r="BE7" i="30"/>
  <c r="AE53" i="29"/>
  <c r="AE67" i="29"/>
  <c r="BE5" i="30"/>
  <c r="AE32" i="29"/>
  <c r="BE3" i="30"/>
  <c r="AQ58" i="37"/>
  <c r="AT60" i="37"/>
  <c r="U33" i="37"/>
  <c r="U31" i="37"/>
  <c r="AA41" i="29"/>
  <c r="AA41" i="30"/>
  <c r="AA59" i="29"/>
  <c r="AA73" i="29"/>
  <c r="AA62" i="29"/>
  <c r="AA76" i="29"/>
  <c r="AA49" i="29"/>
  <c r="AA49" i="30"/>
  <c r="AA42" i="29"/>
  <c r="AA42" i="30"/>
  <c r="AA44" i="29"/>
  <c r="AA44" i="30"/>
  <c r="AA40" i="29"/>
  <c r="AA40" i="30"/>
  <c r="S60" i="29"/>
  <c r="S74" i="29"/>
  <c r="S12" i="30"/>
  <c r="S62" i="29"/>
  <c r="S76" i="29"/>
  <c r="S27" i="30"/>
  <c r="S49" i="29"/>
  <c r="S23" i="30"/>
  <c r="S49" i="30"/>
  <c r="S42" i="29"/>
  <c r="S19" i="30"/>
  <c r="S42" i="30"/>
  <c r="S44" i="29"/>
  <c r="S15" i="30"/>
  <c r="S44" i="30"/>
  <c r="S54" i="29"/>
  <c r="S68" i="29"/>
  <c r="S9" i="30"/>
  <c r="S32" i="29"/>
  <c r="S3" i="30"/>
  <c r="O41" i="29"/>
  <c r="O8" i="30"/>
  <c r="O41" i="30"/>
  <c r="O35" i="29"/>
  <c r="O30" i="30"/>
  <c r="O36" i="29"/>
  <c r="O26" i="30"/>
  <c r="O36" i="30"/>
  <c r="O37" i="29"/>
  <c r="O22" i="30"/>
  <c r="O37" i="30"/>
  <c r="O75" i="29"/>
  <c r="O61" i="29"/>
  <c r="O18" i="30"/>
  <c r="O34" i="29"/>
  <c r="O14" i="30"/>
  <c r="O59" i="29"/>
  <c r="O73" i="29"/>
  <c r="O7" i="30"/>
  <c r="K35" i="29"/>
  <c r="K30" i="30"/>
  <c r="K36" i="29"/>
  <c r="K26" i="30"/>
  <c r="K36" i="30"/>
  <c r="K37" i="29"/>
  <c r="K22" i="30"/>
  <c r="K61" i="29"/>
  <c r="K75" i="29"/>
  <c r="K18" i="30"/>
  <c r="K34" i="29"/>
  <c r="K14" i="30"/>
  <c r="K41" i="29"/>
  <c r="K8" i="30"/>
  <c r="K32" i="29"/>
  <c r="K3" i="30"/>
  <c r="K32" i="30"/>
  <c r="H62" i="29"/>
  <c r="H76" i="29"/>
  <c r="H27" i="30"/>
  <c r="H49" i="29"/>
  <c r="H23" i="30"/>
  <c r="H42" i="29"/>
  <c r="H19" i="30"/>
  <c r="H44" i="29"/>
  <c r="H15" i="30"/>
  <c r="H44" i="30"/>
  <c r="H46" i="29"/>
  <c r="H10" i="30"/>
  <c r="H39" i="29"/>
  <c r="H11" i="30"/>
  <c r="H39" i="30"/>
  <c r="D71" i="29"/>
  <c r="D57" i="29"/>
  <c r="D50" i="29"/>
  <c r="D64" i="29"/>
  <c r="D65" i="29"/>
  <c r="D51" i="29"/>
  <c r="D52" i="29"/>
  <c r="D66" i="29"/>
  <c r="D47" i="29"/>
  <c r="K68" i="32"/>
  <c r="K54" i="32"/>
  <c r="O40" i="32"/>
  <c r="K67" i="32"/>
  <c r="K53" i="32"/>
  <c r="AK66" i="32"/>
  <c r="AK52" i="32"/>
  <c r="O38" i="32"/>
  <c r="AK74" i="32"/>
  <c r="AK60" i="32"/>
  <c r="AM36" i="32"/>
  <c r="AO36" i="32"/>
  <c r="AO31" i="32"/>
  <c r="AO32" i="32"/>
  <c r="AM31" i="32"/>
  <c r="AM32" i="32"/>
  <c r="AK70" i="32"/>
  <c r="AK56" i="32"/>
  <c r="AO47" i="32"/>
  <c r="AM47" i="32"/>
  <c r="AM33" i="32"/>
  <c r="AO33" i="32"/>
  <c r="AK57" i="32"/>
  <c r="AK71" i="32"/>
  <c r="O49" i="32"/>
  <c r="K76" i="32"/>
  <c r="K62" i="32"/>
  <c r="AZ49" i="32"/>
  <c r="X74" i="37"/>
  <c r="X60" i="37"/>
  <c r="W50" i="37"/>
  <c r="W54" i="37"/>
  <c r="W68" i="37"/>
  <c r="W74" i="37"/>
  <c r="W60" i="37"/>
  <c r="X68" i="37"/>
  <c r="W31" i="37"/>
  <c r="W32" i="37"/>
  <c r="AT72" i="37"/>
  <c r="AV72" i="37"/>
  <c r="U65" i="37"/>
  <c r="U51" i="37"/>
  <c r="CF57" i="30"/>
  <c r="CF71" i="30"/>
  <c r="CF50" i="30"/>
  <c r="CF64" i="30"/>
  <c r="CF51" i="30"/>
  <c r="CF65" i="30"/>
  <c r="CF52" i="30"/>
  <c r="CF66" i="30"/>
  <c r="CF54" i="30"/>
  <c r="CF68" i="30"/>
  <c r="CF53" i="30"/>
  <c r="CF67" i="30"/>
  <c r="AF60" i="29"/>
  <c r="AF74" i="29"/>
  <c r="BF12" i="30"/>
  <c r="AF41" i="29"/>
  <c r="BF8" i="30"/>
  <c r="BF41" i="30"/>
  <c r="AF35" i="29"/>
  <c r="BF30" i="30"/>
  <c r="BF35" i="30"/>
  <c r="AF43" i="29"/>
  <c r="BF28" i="30"/>
  <c r="AF36" i="29"/>
  <c r="BF26" i="30"/>
  <c r="BF36" i="30"/>
  <c r="AF55" i="29"/>
  <c r="AF69" i="29"/>
  <c r="BF24" i="30"/>
  <c r="AF37" i="29"/>
  <c r="BF22" i="30"/>
  <c r="AF56" i="29"/>
  <c r="AF70" i="29"/>
  <c r="BF20" i="30"/>
  <c r="AF75" i="29"/>
  <c r="AF61" i="29"/>
  <c r="BF18" i="30"/>
  <c r="AF58" i="29"/>
  <c r="AF72" i="29"/>
  <c r="BF16" i="30"/>
  <c r="AF34" i="29"/>
  <c r="BF14" i="30"/>
  <c r="BF34" i="30"/>
  <c r="AF39" i="29"/>
  <c r="BF11" i="30"/>
  <c r="AF59" i="29"/>
  <c r="AF73" i="29"/>
  <c r="BF7" i="30"/>
  <c r="BF53" i="29"/>
  <c r="BF67" i="29"/>
  <c r="AT61" i="37"/>
  <c r="AV61" i="37"/>
  <c r="Q34" i="29"/>
  <c r="Q14" i="30"/>
  <c r="Q34" i="30"/>
  <c r="Q71" i="29"/>
  <c r="Q57" i="29"/>
  <c r="Q29" i="30"/>
  <c r="Q65" i="29"/>
  <c r="Q51" i="29"/>
  <c r="Q21" i="30"/>
  <c r="Q33" i="29"/>
  <c r="Q13" i="30"/>
  <c r="Q39" i="29"/>
  <c r="Q11" i="30"/>
  <c r="Q59" i="29"/>
  <c r="Q73" i="29"/>
  <c r="Q7" i="30"/>
  <c r="Q32" i="29"/>
  <c r="Q3" i="30"/>
  <c r="Q32" i="30"/>
  <c r="AY40" i="32"/>
  <c r="AU66" i="32"/>
  <c r="AU52" i="32"/>
  <c r="AY39" i="32"/>
  <c r="AY43" i="32"/>
  <c r="AU64" i="32"/>
  <c r="AU50" i="32"/>
  <c r="CX71" i="30"/>
  <c r="CX57" i="30"/>
  <c r="CX65" i="30"/>
  <c r="CX51" i="30"/>
  <c r="CX52" i="30"/>
  <c r="CX66" i="30"/>
  <c r="CX54" i="30"/>
  <c r="CX68" i="30"/>
  <c r="CX67" i="30"/>
  <c r="CX53" i="30"/>
  <c r="AX60" i="29"/>
  <c r="AX74" i="29"/>
  <c r="BX12" i="30"/>
  <c r="BX59" i="29"/>
  <c r="BX73" i="29"/>
  <c r="AX35" i="29"/>
  <c r="BX30" i="30"/>
  <c r="AX43" i="29"/>
  <c r="BX28" i="30"/>
  <c r="AX36" i="29"/>
  <c r="BX26" i="30"/>
  <c r="AX69" i="29"/>
  <c r="AX55" i="29"/>
  <c r="BX24" i="30"/>
  <c r="AX37" i="29"/>
  <c r="BX22" i="30"/>
  <c r="BX37" i="30"/>
  <c r="AX56" i="29"/>
  <c r="AX70" i="29"/>
  <c r="BX20" i="30"/>
  <c r="AX75" i="29"/>
  <c r="AX61" i="29"/>
  <c r="BX18" i="30"/>
  <c r="AX72" i="29"/>
  <c r="AX58" i="29"/>
  <c r="BX16" i="30"/>
  <c r="AX34" i="29"/>
  <c r="BX14" i="30"/>
  <c r="AX39" i="29"/>
  <c r="BX11" i="30"/>
  <c r="AX59" i="29"/>
  <c r="AX73" i="29"/>
  <c r="BX7" i="30"/>
  <c r="AX40" i="29"/>
  <c r="BX4" i="30"/>
  <c r="BX40" i="30"/>
  <c r="CL62" i="30"/>
  <c r="CL76" i="30"/>
  <c r="CL59" i="30"/>
  <c r="CL73" i="30"/>
  <c r="AL60" i="29"/>
  <c r="AL74" i="29"/>
  <c r="BL12" i="30"/>
  <c r="AL47" i="29"/>
  <c r="BL6" i="30"/>
  <c r="AL71" i="29"/>
  <c r="AL57" i="29"/>
  <c r="BL29" i="30"/>
  <c r="AL62" i="29"/>
  <c r="AL76" i="29"/>
  <c r="BL27" i="30"/>
  <c r="AL50" i="29"/>
  <c r="AL64" i="29"/>
  <c r="BL25" i="30"/>
  <c r="AL49" i="29"/>
  <c r="BL23" i="30"/>
  <c r="AL65" i="29"/>
  <c r="AL51" i="29"/>
  <c r="BL21" i="30"/>
  <c r="BL65" i="30"/>
  <c r="AL42" i="29"/>
  <c r="BL19" i="30"/>
  <c r="AL52" i="29"/>
  <c r="AL66" i="29"/>
  <c r="BL17" i="30"/>
  <c r="AL44" i="29"/>
  <c r="BL15" i="30"/>
  <c r="BL44" i="30"/>
  <c r="AL33" i="29"/>
  <c r="BL13" i="30"/>
  <c r="BK45" i="29"/>
  <c r="AL32" i="29"/>
  <c r="BL3" i="30"/>
  <c r="BL32" i="30"/>
  <c r="AV57" i="37"/>
  <c r="AT57" i="37"/>
  <c r="AQ56" i="37"/>
  <c r="V49" i="29"/>
  <c r="V23" i="30"/>
  <c r="V44" i="29"/>
  <c r="V15" i="30"/>
  <c r="V36" i="29"/>
  <c r="V26" i="30"/>
  <c r="V61" i="29"/>
  <c r="V75" i="29"/>
  <c r="V18" i="30"/>
  <c r="V39" i="29"/>
  <c r="V11" i="30"/>
  <c r="V39" i="30"/>
  <c r="V59" i="29"/>
  <c r="V73" i="29"/>
  <c r="V7" i="30"/>
  <c r="V32" i="29"/>
  <c r="V3" i="30"/>
  <c r="F59" i="29"/>
  <c r="F73" i="29"/>
  <c r="F7" i="30"/>
  <c r="F76" i="29"/>
  <c r="F62" i="29"/>
  <c r="F27" i="30"/>
  <c r="F49" i="29"/>
  <c r="F23" i="30"/>
  <c r="F42" i="29"/>
  <c r="F19" i="30"/>
  <c r="F44" i="29"/>
  <c r="F15" i="30"/>
  <c r="F44" i="30"/>
  <c r="F46" i="29"/>
  <c r="F10" i="30"/>
  <c r="F40" i="29"/>
  <c r="F4" i="30"/>
  <c r="F40" i="30"/>
  <c r="CI71" i="30"/>
  <c r="CI57" i="30"/>
  <c r="CI55" i="30"/>
  <c r="CI69" i="30"/>
  <c r="CI56" i="30"/>
  <c r="CI70" i="30"/>
  <c r="CI72" i="30"/>
  <c r="CI58" i="30"/>
  <c r="BI62" i="29"/>
  <c r="BI76" i="29"/>
  <c r="AI72" i="29"/>
  <c r="AI58" i="29"/>
  <c r="BI16" i="30"/>
  <c r="BI51" i="29"/>
  <c r="BI65" i="29"/>
  <c r="AI71" i="29"/>
  <c r="AI57" i="29"/>
  <c r="BI29" i="30"/>
  <c r="AI50" i="29"/>
  <c r="AI64" i="29"/>
  <c r="BI25" i="30"/>
  <c r="AI51" i="29"/>
  <c r="AI65" i="29"/>
  <c r="BI21" i="30"/>
  <c r="AI66" i="29"/>
  <c r="AI52" i="29"/>
  <c r="BI17" i="30"/>
  <c r="AI33" i="29"/>
  <c r="BI13" i="30"/>
  <c r="BI33" i="30"/>
  <c r="AI37" i="29"/>
  <c r="BI22" i="30"/>
  <c r="BI68" i="29"/>
  <c r="BI54" i="29"/>
  <c r="BI59" i="29"/>
  <c r="BI73" i="29"/>
  <c r="BI53" i="29"/>
  <c r="BI67" i="29"/>
  <c r="O60" i="29"/>
  <c r="O74" i="29"/>
  <c r="O12" i="30"/>
  <c r="O43" i="29"/>
  <c r="O28" i="30"/>
  <c r="O69" i="29"/>
  <c r="O55" i="29"/>
  <c r="O24" i="30"/>
  <c r="O56" i="29"/>
  <c r="O70" i="29"/>
  <c r="O20" i="30"/>
  <c r="O58" i="29"/>
  <c r="O72" i="29"/>
  <c r="O16" i="30"/>
  <c r="O39" i="29"/>
  <c r="O11" i="30"/>
  <c r="O39" i="30"/>
  <c r="O40" i="29"/>
  <c r="O4" i="30"/>
  <c r="K54" i="29"/>
  <c r="K68" i="29"/>
  <c r="K9" i="30"/>
  <c r="K68" i="30"/>
  <c r="K43" i="29"/>
  <c r="K28" i="30"/>
  <c r="K55" i="29"/>
  <c r="K69" i="29"/>
  <c r="K24" i="30"/>
  <c r="K56" i="29"/>
  <c r="K70" i="29"/>
  <c r="K20" i="30"/>
  <c r="K58" i="29"/>
  <c r="K72" i="29"/>
  <c r="K16" i="30"/>
  <c r="K60" i="29"/>
  <c r="K74" i="29"/>
  <c r="K12" i="30"/>
  <c r="K53" i="29"/>
  <c r="K67" i="29"/>
  <c r="K5" i="30"/>
  <c r="H47" i="29"/>
  <c r="H6" i="30"/>
  <c r="H47" i="30"/>
  <c r="H57" i="29"/>
  <c r="H71" i="29"/>
  <c r="H29" i="30"/>
  <c r="H64" i="29"/>
  <c r="H50" i="29"/>
  <c r="H25" i="30"/>
  <c r="H65" i="29"/>
  <c r="H51" i="29"/>
  <c r="H21" i="30"/>
  <c r="H52" i="29"/>
  <c r="H66" i="29"/>
  <c r="H17" i="30"/>
  <c r="H33" i="29"/>
  <c r="H13" i="30"/>
  <c r="H33" i="30"/>
  <c r="H67" i="29"/>
  <c r="H53" i="29"/>
  <c r="H5" i="30"/>
  <c r="H59" i="29"/>
  <c r="H73" i="29"/>
  <c r="H7" i="30"/>
  <c r="D60" i="29"/>
  <c r="D74" i="29"/>
  <c r="D62" i="29"/>
  <c r="D76" i="29"/>
  <c r="D49" i="29"/>
  <c r="D54" i="29"/>
  <c r="D68" i="29"/>
  <c r="K65" i="32"/>
  <c r="K51" i="32"/>
  <c r="AO42" i="32"/>
  <c r="AM42" i="32"/>
  <c r="AM37" i="32"/>
  <c r="AO37" i="32"/>
  <c r="AO46" i="32"/>
  <c r="AM45" i="32"/>
  <c r="AM46" i="32"/>
  <c r="O32" i="32"/>
  <c r="O31" i="32"/>
  <c r="O44" i="32"/>
  <c r="AK75" i="32"/>
  <c r="AK61" i="32"/>
  <c r="AK64" i="32"/>
  <c r="AK50" i="32"/>
  <c r="O45" i="32"/>
  <c r="O46" i="32"/>
  <c r="K66" i="32"/>
  <c r="K52" i="32"/>
  <c r="O47" i="32"/>
  <c r="O34" i="32"/>
  <c r="W62" i="37"/>
  <c r="W76" i="37"/>
  <c r="X70" i="37"/>
  <c r="X56" i="37"/>
  <c r="W66" i="37"/>
  <c r="W52" i="37"/>
  <c r="X76" i="37"/>
  <c r="W70" i="37"/>
  <c r="W56" i="37"/>
  <c r="X66" i="37"/>
  <c r="X52" i="37"/>
  <c r="AC75" i="37"/>
  <c r="AC61" i="37"/>
  <c r="AU76" i="37"/>
  <c r="AU62" i="37"/>
  <c r="BI58" i="37"/>
  <c r="BM58" i="37"/>
  <c r="BI72" i="37"/>
  <c r="BM72" i="37"/>
  <c r="AC50" i="37"/>
  <c r="AC64" i="37"/>
  <c r="Z72" i="37"/>
  <c r="Z58" i="37"/>
  <c r="AD74" i="37"/>
  <c r="AD60" i="37"/>
  <c r="AL55" i="37"/>
  <c r="AL69" i="37"/>
  <c r="AJ61" i="37"/>
  <c r="AJ75" i="37"/>
  <c r="AK53" i="37"/>
  <c r="AK67" i="37"/>
  <c r="BQ68" i="37"/>
  <c r="BS68" i="37"/>
  <c r="BQ54" i="37"/>
  <c r="BS54" i="37"/>
  <c r="BI57" i="37"/>
  <c r="BM57" i="37"/>
  <c r="BI71" i="37"/>
  <c r="BM71" i="37"/>
  <c r="AM75" i="37"/>
  <c r="AM61" i="37"/>
  <c r="AB64" i="37"/>
  <c r="AB50" i="37"/>
  <c r="AC60" i="37"/>
  <c r="AC74" i="37"/>
  <c r="AU74" i="37"/>
  <c r="AU60" i="37"/>
  <c r="AJ71" i="37"/>
  <c r="AK58" i="37"/>
  <c r="AK72" i="37"/>
  <c r="AN54" i="37"/>
  <c r="AN68" i="37"/>
  <c r="AL32" i="37"/>
  <c r="AL31" i="37"/>
  <c r="BI70" i="37"/>
  <c r="BM70" i="37"/>
  <c r="BI56" i="37"/>
  <c r="BM56" i="37"/>
  <c r="AB76" i="37"/>
  <c r="AB62" i="37"/>
  <c r="AD51" i="37"/>
  <c r="AD65" i="37"/>
  <c r="AD73" i="37"/>
  <c r="AD59" i="37"/>
  <c r="V59" i="37"/>
  <c r="V73" i="37"/>
  <c r="AK56" i="37"/>
  <c r="AK70" i="37"/>
  <c r="BI69" i="37"/>
  <c r="BM69" i="37"/>
  <c r="BI55" i="37"/>
  <c r="BM55" i="37"/>
  <c r="AA71" i="37"/>
  <c r="AA57" i="37"/>
  <c r="AB58" i="37"/>
  <c r="AB72" i="37"/>
  <c r="AA54" i="37"/>
  <c r="AA68" i="37"/>
  <c r="V58" i="37"/>
  <c r="V72" i="37"/>
  <c r="AK68" i="37"/>
  <c r="AK54" i="37"/>
  <c r="BR64" i="37"/>
  <c r="BR50" i="37"/>
  <c r="BT50" i="37"/>
  <c r="BQ51" i="37"/>
  <c r="BS51" i="37"/>
  <c r="BQ65" i="37"/>
  <c r="BS65" i="37"/>
  <c r="BI54" i="37"/>
  <c r="BM54" i="37"/>
  <c r="BI68" i="37"/>
  <c r="BM68" i="37"/>
  <c r="V61" i="37"/>
  <c r="V75" i="37"/>
  <c r="AM50" i="37"/>
  <c r="AJ58" i="37"/>
  <c r="AJ72" i="37"/>
  <c r="AN74" i="37"/>
  <c r="AN60" i="37"/>
  <c r="AM54" i="37"/>
  <c r="AM68" i="37"/>
  <c r="AK32" i="37"/>
  <c r="AK31" i="37"/>
  <c r="BT32" i="37"/>
  <c r="BT31" i="37"/>
  <c r="BH65" i="37"/>
  <c r="BL65" i="37"/>
  <c r="BH51" i="37"/>
  <c r="BL51" i="37"/>
  <c r="BH67" i="37"/>
  <c r="BL67" i="37"/>
  <c r="BH53" i="37"/>
  <c r="BL53" i="37"/>
  <c r="BM32" i="37"/>
  <c r="BM31" i="37"/>
  <c r="AD54" i="37"/>
  <c r="AD68" i="37"/>
  <c r="AB31" i="37"/>
  <c r="AP67" i="37"/>
  <c r="AQ67" i="37"/>
  <c r="AP53" i="37"/>
  <c r="AQ53" i="37"/>
  <c r="AP68" i="37"/>
  <c r="AP54" i="37"/>
  <c r="AQ54" i="37"/>
  <c r="AP52" i="37"/>
  <c r="AQ52" i="37"/>
  <c r="AP66" i="37"/>
  <c r="AQ66" i="37"/>
  <c r="AP65" i="37"/>
  <c r="AQ65" i="37"/>
  <c r="AP51" i="37"/>
  <c r="AQ51" i="37"/>
  <c r="AP64" i="37"/>
  <c r="AQ64" i="37"/>
  <c r="AP50" i="37"/>
  <c r="AP71" i="37"/>
  <c r="AP57" i="37"/>
  <c r="V51" i="37"/>
  <c r="V65" i="37"/>
  <c r="V67" i="37"/>
  <c r="V53" i="37"/>
  <c r="AL57" i="37"/>
  <c r="AL71" i="37"/>
  <c r="AJ49" i="37"/>
  <c r="AM72" i="37"/>
  <c r="AM58" i="37"/>
  <c r="AK46" i="37"/>
  <c r="AK45" i="37"/>
  <c r="AJ59" i="37"/>
  <c r="AJ73" i="37"/>
  <c r="AN32" i="37"/>
  <c r="AN31" i="37"/>
  <c r="BQ75" i="37"/>
  <c r="BS75" i="37"/>
  <c r="BQ61" i="37"/>
  <c r="BS61" i="37"/>
  <c r="BH69" i="37"/>
  <c r="BL69" i="37"/>
  <c r="BH55" i="37"/>
  <c r="BL55" i="37"/>
  <c r="EA9" i="18"/>
  <c r="EA22" i="18"/>
  <c r="DQ22" i="18"/>
  <c r="CZ57" i="30"/>
  <c r="CZ71" i="30"/>
  <c r="CZ52" i="30"/>
  <c r="CZ66" i="30"/>
  <c r="AZ55" i="29"/>
  <c r="AZ69" i="29"/>
  <c r="BZ24" i="30"/>
  <c r="AZ70" i="29"/>
  <c r="AZ56" i="29"/>
  <c r="BZ20" i="30"/>
  <c r="AZ57" i="29"/>
  <c r="AZ71" i="29"/>
  <c r="BZ29" i="30"/>
  <c r="AZ50" i="29"/>
  <c r="AZ64" i="29"/>
  <c r="BZ25" i="30"/>
  <c r="AZ65" i="29"/>
  <c r="AZ51" i="29"/>
  <c r="BZ21" i="30"/>
  <c r="AZ66" i="29"/>
  <c r="AZ52" i="29"/>
  <c r="BZ17" i="30"/>
  <c r="AZ33" i="29"/>
  <c r="BZ13" i="30"/>
  <c r="BZ33" i="30"/>
  <c r="CW69" i="30"/>
  <c r="CW55" i="30"/>
  <c r="CW58" i="30"/>
  <c r="CW59" i="30"/>
  <c r="CW60" i="30"/>
  <c r="CW61" i="30"/>
  <c r="CW62" i="30"/>
  <c r="CW72" i="30"/>
  <c r="CW74" i="30"/>
  <c r="AW60" i="29"/>
  <c r="AW74" i="29"/>
  <c r="BW12" i="30"/>
  <c r="AW41" i="29"/>
  <c r="BW8" i="30"/>
  <c r="AW57" i="29"/>
  <c r="AW71" i="29"/>
  <c r="BW29" i="30"/>
  <c r="AW62" i="29"/>
  <c r="AW76" i="29"/>
  <c r="BW27" i="30"/>
  <c r="BW62" i="30"/>
  <c r="AW64" i="29"/>
  <c r="AW50" i="29"/>
  <c r="BW25" i="30"/>
  <c r="AW49" i="29"/>
  <c r="BW23" i="30"/>
  <c r="AW65" i="29"/>
  <c r="AW51" i="29"/>
  <c r="BW21" i="30"/>
  <c r="AW42" i="29"/>
  <c r="BW19" i="30"/>
  <c r="AW52" i="29"/>
  <c r="AW66" i="29"/>
  <c r="BW17" i="30"/>
  <c r="AW44" i="29"/>
  <c r="BW15" i="30"/>
  <c r="BW44" i="30"/>
  <c r="AW33" i="29"/>
  <c r="BW13" i="30"/>
  <c r="AW54" i="29"/>
  <c r="AW68" i="29"/>
  <c r="BW9" i="30"/>
  <c r="AW40" i="29"/>
  <c r="BW4" i="30"/>
  <c r="CR75" i="30"/>
  <c r="CR61" i="30"/>
  <c r="BR54" i="29"/>
  <c r="BR68" i="29"/>
  <c r="AR54" i="29"/>
  <c r="AR68" i="29"/>
  <c r="BR9" i="30"/>
  <c r="AR35" i="29"/>
  <c r="BR30" i="30"/>
  <c r="AR43" i="29"/>
  <c r="BR28" i="30"/>
  <c r="AR36" i="29"/>
  <c r="BR26" i="30"/>
  <c r="AR69" i="29"/>
  <c r="AR55" i="29"/>
  <c r="BR24" i="30"/>
  <c r="AR37" i="29"/>
  <c r="BR22" i="30"/>
  <c r="AR56" i="29"/>
  <c r="AR70" i="29"/>
  <c r="BR20" i="30"/>
  <c r="AR75" i="29"/>
  <c r="AR61" i="29"/>
  <c r="BR18" i="30"/>
  <c r="AR58" i="29"/>
  <c r="AR72" i="29"/>
  <c r="BR16" i="30"/>
  <c r="AR34" i="29"/>
  <c r="BR14" i="30"/>
  <c r="BR53" i="29"/>
  <c r="BR67" i="29"/>
  <c r="CN55" i="30"/>
  <c r="CN69" i="30"/>
  <c r="CN56" i="30"/>
  <c r="CN70" i="30"/>
  <c r="CN58" i="30"/>
  <c r="CN72" i="30"/>
  <c r="CN74" i="30"/>
  <c r="CN60" i="30"/>
  <c r="AN39" i="29"/>
  <c r="BN11" i="30"/>
  <c r="AN59" i="29"/>
  <c r="AN73" i="29"/>
  <c r="BN7" i="30"/>
  <c r="BN55" i="29"/>
  <c r="BN69" i="29"/>
  <c r="BN56" i="29"/>
  <c r="BN70" i="29"/>
  <c r="BN75" i="29"/>
  <c r="BN61" i="29"/>
  <c r="BN58" i="29"/>
  <c r="BN72" i="29"/>
  <c r="BN60" i="29"/>
  <c r="BN74" i="29"/>
  <c r="BN54" i="29"/>
  <c r="BN68" i="29"/>
  <c r="BB46" i="29"/>
  <c r="CB46" i="30"/>
  <c r="BB47" i="29"/>
  <c r="BB35" i="29"/>
  <c r="BB43" i="29"/>
  <c r="BB36" i="29"/>
  <c r="CB36" i="30"/>
  <c r="BB55" i="29"/>
  <c r="BB69" i="29"/>
  <c r="BB37" i="29"/>
  <c r="BB56" i="29"/>
  <c r="BB70" i="29"/>
  <c r="BB61" i="29"/>
  <c r="BB75" i="29"/>
  <c r="BB72" i="29"/>
  <c r="BB58" i="29"/>
  <c r="BB34" i="29"/>
  <c r="CB34" i="30"/>
  <c r="AG41" i="29"/>
  <c r="BG8" i="30"/>
  <c r="AG71" i="29"/>
  <c r="AG57" i="29"/>
  <c r="BG29" i="30"/>
  <c r="AG50" i="29"/>
  <c r="AG64" i="29"/>
  <c r="BG25" i="30"/>
  <c r="AG65" i="29"/>
  <c r="AG51" i="29"/>
  <c r="BG21" i="30"/>
  <c r="BG65" i="30"/>
  <c r="AG52" i="29"/>
  <c r="AG66" i="29"/>
  <c r="BG17" i="30"/>
  <c r="AG33" i="29"/>
  <c r="BG13" i="30"/>
  <c r="AG53" i="29"/>
  <c r="AG67" i="29"/>
  <c r="BG5" i="30"/>
  <c r="AQ21" i="37"/>
  <c r="AQ5" i="37"/>
  <c r="AV59" i="37"/>
  <c r="AT59" i="37"/>
  <c r="W35" i="29"/>
  <c r="W30" i="30"/>
  <c r="W35" i="30"/>
  <c r="W36" i="29"/>
  <c r="W26" i="30"/>
  <c r="W37" i="29"/>
  <c r="W22" i="30"/>
  <c r="W37" i="30"/>
  <c r="W61" i="29"/>
  <c r="W75" i="29"/>
  <c r="W18" i="30"/>
  <c r="W34" i="29"/>
  <c r="W14" i="30"/>
  <c r="W34" i="30"/>
  <c r="W41" i="29"/>
  <c r="W8" i="30"/>
  <c r="W41" i="30"/>
  <c r="W32" i="29"/>
  <c r="W3" i="30"/>
  <c r="W32" i="30"/>
  <c r="N41" i="29"/>
  <c r="N8" i="30"/>
  <c r="N41" i="30"/>
  <c r="N35" i="29"/>
  <c r="N30" i="30"/>
  <c r="N35" i="30"/>
  <c r="N36" i="29"/>
  <c r="N26" i="30"/>
  <c r="N37" i="29"/>
  <c r="N22" i="30"/>
  <c r="N37" i="30"/>
  <c r="N75" i="29"/>
  <c r="N61" i="29"/>
  <c r="N18" i="30"/>
  <c r="N34" i="29"/>
  <c r="N14" i="30"/>
  <c r="N34" i="30"/>
  <c r="N59" i="29"/>
  <c r="N73" i="29"/>
  <c r="N7" i="30"/>
  <c r="N32" i="29"/>
  <c r="N3" i="30"/>
  <c r="CM54" i="30"/>
  <c r="CM68" i="30"/>
  <c r="CM56" i="30"/>
  <c r="CM70" i="30"/>
  <c r="BM69" i="29"/>
  <c r="BM55" i="29"/>
  <c r="BM70" i="29"/>
  <c r="BM56" i="29"/>
  <c r="BM72" i="29"/>
  <c r="BM58" i="29"/>
  <c r="BM60" i="29"/>
  <c r="BM74" i="29"/>
  <c r="AM43" i="29"/>
  <c r="BM28" i="30"/>
  <c r="AM69" i="29"/>
  <c r="AM55" i="29"/>
  <c r="BM24" i="30"/>
  <c r="AM56" i="29"/>
  <c r="AM70" i="29"/>
  <c r="BM20" i="30"/>
  <c r="AM72" i="29"/>
  <c r="AM58" i="29"/>
  <c r="BM16" i="30"/>
  <c r="BM72" i="30"/>
  <c r="AM39" i="29"/>
  <c r="BM11" i="30"/>
  <c r="AM68" i="29"/>
  <c r="AM54" i="29"/>
  <c r="BM9" i="30"/>
  <c r="AM59" i="29"/>
  <c r="AM73" i="29"/>
  <c r="BM7" i="30"/>
  <c r="BM59" i="30"/>
  <c r="AM53" i="29"/>
  <c r="AM67" i="29"/>
  <c r="BM5" i="30"/>
  <c r="AM32" i="29"/>
  <c r="BM3" i="30"/>
  <c r="BM32" i="30"/>
  <c r="AT56" i="37"/>
  <c r="Y35" i="29"/>
  <c r="Y30" i="30"/>
  <c r="Y35" i="30"/>
  <c r="Y36" i="29"/>
  <c r="Y26" i="30"/>
  <c r="Y37" i="29"/>
  <c r="Y22" i="30"/>
  <c r="Y37" i="30"/>
  <c r="Y61" i="29"/>
  <c r="Y75" i="29"/>
  <c r="Y18" i="30"/>
  <c r="Y75" i="30"/>
  <c r="Y34" i="29"/>
  <c r="Y14" i="30"/>
  <c r="Y41" i="29"/>
  <c r="Y8" i="30"/>
  <c r="Y41" i="30"/>
  <c r="Y59" i="29"/>
  <c r="Y73" i="29"/>
  <c r="Y7" i="30"/>
  <c r="Y73" i="30"/>
  <c r="J35" i="29"/>
  <c r="J30" i="30"/>
  <c r="J35" i="30"/>
  <c r="J36" i="29"/>
  <c r="J26" i="30"/>
  <c r="J37" i="29"/>
  <c r="J22" i="30"/>
  <c r="J37" i="30"/>
  <c r="J75" i="29"/>
  <c r="J61" i="29"/>
  <c r="J18" i="30"/>
  <c r="J34" i="29"/>
  <c r="J14" i="30"/>
  <c r="J34" i="30"/>
  <c r="J40" i="29"/>
  <c r="J4" i="30"/>
  <c r="J40" i="30"/>
  <c r="CP71" i="30"/>
  <c r="CP57" i="30"/>
  <c r="CP64" i="30"/>
  <c r="CP50" i="30"/>
  <c r="CP65" i="30"/>
  <c r="CP51" i="30"/>
  <c r="CP52" i="30"/>
  <c r="CP66" i="30"/>
  <c r="CP68" i="30"/>
  <c r="CP54" i="30"/>
  <c r="CP53" i="30"/>
  <c r="CP67" i="30"/>
  <c r="BP53" i="29"/>
  <c r="BP67" i="29"/>
  <c r="AP57" i="29"/>
  <c r="AP71" i="29"/>
  <c r="BP29" i="30"/>
  <c r="AP62" i="29"/>
  <c r="AP76" i="29"/>
  <c r="BP27" i="30"/>
  <c r="AP64" i="29"/>
  <c r="AP50" i="29"/>
  <c r="BP25" i="30"/>
  <c r="AP49" i="29"/>
  <c r="BP23" i="30"/>
  <c r="AP65" i="29"/>
  <c r="AP51" i="29"/>
  <c r="BP21" i="30"/>
  <c r="AP42" i="29"/>
  <c r="BP19" i="30"/>
  <c r="BP42" i="30"/>
  <c r="AP52" i="29"/>
  <c r="AP66" i="29"/>
  <c r="BP17" i="30"/>
  <c r="BP52" i="30"/>
  <c r="AP44" i="29"/>
  <c r="BP15" i="30"/>
  <c r="AP33" i="29"/>
  <c r="BP13" i="30"/>
  <c r="AP46" i="29"/>
  <c r="BP10" i="30"/>
  <c r="AP47" i="29"/>
  <c r="BP6" i="30"/>
  <c r="BO45" i="29"/>
  <c r="AQ57" i="37"/>
  <c r="AQ25" i="37"/>
  <c r="AQ42" i="37"/>
  <c r="AO31" i="37"/>
  <c r="AQ32" i="37"/>
  <c r="AQ69" i="37"/>
  <c r="AT51" i="37"/>
  <c r="Z62" i="29"/>
  <c r="Z76" i="29"/>
  <c r="Z27" i="30"/>
  <c r="Z49" i="29"/>
  <c r="Z23" i="30"/>
  <c r="Z49" i="30"/>
  <c r="Z43" i="29"/>
  <c r="Z28" i="30"/>
  <c r="Z43" i="30"/>
  <c r="Z70" i="29"/>
  <c r="Z56" i="29"/>
  <c r="Z20" i="30"/>
  <c r="Z70" i="30"/>
  <c r="Z71" i="29"/>
  <c r="Z57" i="29"/>
  <c r="Z29" i="30"/>
  <c r="Z46" i="29"/>
  <c r="Z10" i="30"/>
  <c r="Z46" i="30"/>
  <c r="Z47" i="29"/>
  <c r="Z6" i="30"/>
  <c r="G47" i="29"/>
  <c r="G6" i="30"/>
  <c r="G47" i="30"/>
  <c r="G76" i="29"/>
  <c r="G62" i="29"/>
  <c r="G27" i="30"/>
  <c r="G49" i="29"/>
  <c r="G23" i="30"/>
  <c r="G42" i="29"/>
  <c r="G19" i="30"/>
  <c r="G44" i="29"/>
  <c r="G15" i="30"/>
  <c r="G44" i="30"/>
  <c r="G46" i="29"/>
  <c r="G10" i="30"/>
  <c r="G32" i="29"/>
  <c r="G3" i="30"/>
  <c r="G32" i="30"/>
  <c r="AV43" i="29"/>
  <c r="BV28" i="30"/>
  <c r="AV69" i="29"/>
  <c r="AV55" i="29"/>
  <c r="BV24" i="30"/>
  <c r="AV70" i="29"/>
  <c r="AV56" i="29"/>
  <c r="BV20" i="30"/>
  <c r="AV72" i="29"/>
  <c r="AV58" i="29"/>
  <c r="BV16" i="30"/>
  <c r="AV62" i="29"/>
  <c r="AV76" i="29"/>
  <c r="BV27" i="30"/>
  <c r="AV49" i="29"/>
  <c r="BV23" i="30"/>
  <c r="AV42" i="29"/>
  <c r="BV19" i="30"/>
  <c r="AV44" i="29"/>
  <c r="BV15" i="30"/>
  <c r="CF69" i="30"/>
  <c r="CF55" i="30"/>
  <c r="CF56" i="30"/>
  <c r="CF70" i="30"/>
  <c r="CF58" i="30"/>
  <c r="CF72" i="30"/>
  <c r="CF74" i="30"/>
  <c r="CF60" i="30"/>
  <c r="BF59" i="29"/>
  <c r="BF73" i="29"/>
  <c r="BF57" i="29"/>
  <c r="BF71" i="29"/>
  <c r="BF76" i="29"/>
  <c r="BF62" i="29"/>
  <c r="BF64" i="29"/>
  <c r="BF50" i="29"/>
  <c r="BF65" i="29"/>
  <c r="BF51" i="29"/>
  <c r="BF52" i="29"/>
  <c r="BF66" i="29"/>
  <c r="AF53" i="29"/>
  <c r="AF67" i="29"/>
  <c r="BF5" i="30"/>
  <c r="AF32" i="29"/>
  <c r="BF3" i="30"/>
  <c r="Q36" i="29"/>
  <c r="Q26" i="30"/>
  <c r="Q36" i="30"/>
  <c r="Q35" i="29"/>
  <c r="Q30" i="30"/>
  <c r="Q35" i="30"/>
  <c r="Q62" i="29"/>
  <c r="Q76" i="29"/>
  <c r="Q27" i="30"/>
  <c r="Q42" i="29"/>
  <c r="Q19" i="30"/>
  <c r="Q43" i="29"/>
  <c r="Q28" i="30"/>
  <c r="Q46" i="29"/>
  <c r="Q10" i="30"/>
  <c r="Q47" i="29"/>
  <c r="Q6" i="30"/>
  <c r="Q47" i="30"/>
  <c r="AY38" i="32"/>
  <c r="AY45" i="32"/>
  <c r="AY46" i="32"/>
  <c r="AY41" i="32"/>
  <c r="AU74" i="32"/>
  <c r="AU60" i="32"/>
  <c r="AY49" i="32"/>
  <c r="AY34" i="32"/>
  <c r="AY35" i="32"/>
  <c r="AU76" i="32"/>
  <c r="AU62" i="32"/>
  <c r="CX55" i="30"/>
  <c r="CX69" i="30"/>
  <c r="CX56" i="30"/>
  <c r="CX70" i="30"/>
  <c r="CX72" i="30"/>
  <c r="CX58" i="30"/>
  <c r="CX60" i="30"/>
  <c r="CX74" i="30"/>
  <c r="BX68" i="29"/>
  <c r="BX54" i="29"/>
  <c r="BX53" i="29"/>
  <c r="BX67" i="29"/>
  <c r="BX57" i="29"/>
  <c r="BX71" i="29"/>
  <c r="BX76" i="29"/>
  <c r="BX62" i="29"/>
  <c r="BX64" i="29"/>
  <c r="BX50" i="29"/>
  <c r="BX65" i="29"/>
  <c r="BX51" i="29"/>
  <c r="BX66" i="29"/>
  <c r="BX52" i="29"/>
  <c r="CL61" i="30"/>
  <c r="CL75" i="30"/>
  <c r="AL46" i="29"/>
  <c r="BL10" i="30"/>
  <c r="BL46" i="30"/>
  <c r="BL68" i="29"/>
  <c r="BL54" i="29"/>
  <c r="BL55" i="29"/>
  <c r="BL69" i="29"/>
  <c r="BL70" i="29"/>
  <c r="BL56" i="29"/>
  <c r="BL61" i="29"/>
  <c r="BL75" i="29"/>
  <c r="BL58" i="29"/>
  <c r="BL72" i="29"/>
  <c r="BL74" i="29"/>
  <c r="BL60" i="29"/>
  <c r="AL54" i="29"/>
  <c r="AL68" i="29"/>
  <c r="BL9" i="30"/>
  <c r="BL53" i="29"/>
  <c r="BL67" i="29"/>
  <c r="AT71" i="37"/>
  <c r="AV71" i="37"/>
  <c r="AQ40" i="37"/>
  <c r="V57" i="29"/>
  <c r="V71" i="29"/>
  <c r="V29" i="30"/>
  <c r="V65" i="29"/>
  <c r="V51" i="29"/>
  <c r="V21" i="30"/>
  <c r="V33" i="29"/>
  <c r="V13" i="30"/>
  <c r="V69" i="29"/>
  <c r="V55" i="29"/>
  <c r="V24" i="30"/>
  <c r="V72" i="29"/>
  <c r="V58" i="29"/>
  <c r="V16" i="30"/>
  <c r="V72" i="30"/>
  <c r="V46" i="29"/>
  <c r="V10" i="30"/>
  <c r="V47" i="29"/>
  <c r="V6" i="30"/>
  <c r="V47" i="30"/>
  <c r="F35" i="29"/>
  <c r="F30" i="30"/>
  <c r="F36" i="29"/>
  <c r="F26" i="30"/>
  <c r="F36" i="30"/>
  <c r="F37" i="29"/>
  <c r="F22" i="30"/>
  <c r="F61" i="29"/>
  <c r="F75" i="29"/>
  <c r="F18" i="30"/>
  <c r="F34" i="29"/>
  <c r="F14" i="30"/>
  <c r="F34" i="30"/>
  <c r="F41" i="29"/>
  <c r="F8" i="30"/>
  <c r="F41" i="30"/>
  <c r="F32" i="29"/>
  <c r="F3" i="30"/>
  <c r="F32" i="30"/>
  <c r="DW11" i="18"/>
  <c r="CI67" i="30"/>
  <c r="CI53" i="30"/>
  <c r="BI50" i="29"/>
  <c r="BI64" i="29"/>
  <c r="AI43" i="29"/>
  <c r="BI28" i="30"/>
  <c r="AI70" i="29"/>
  <c r="AI56" i="29"/>
  <c r="BI20" i="30"/>
  <c r="BI69" i="29"/>
  <c r="BI55" i="29"/>
  <c r="BI56" i="29"/>
  <c r="BI70" i="29"/>
  <c r="BI72" i="29"/>
  <c r="BI58" i="29"/>
  <c r="BI60" i="29"/>
  <c r="BI74" i="29"/>
  <c r="AI39" i="29"/>
  <c r="BI11" i="30"/>
  <c r="BI39" i="30"/>
  <c r="AI68" i="29"/>
  <c r="AI54" i="29"/>
  <c r="BI9" i="30"/>
  <c r="AI59" i="29"/>
  <c r="AI73" i="29"/>
  <c r="BI7" i="30"/>
  <c r="AI53" i="29"/>
  <c r="AI67" i="29"/>
  <c r="BI5" i="30"/>
  <c r="AI32" i="29"/>
  <c r="BI3" i="30"/>
  <c r="BQ55" i="37"/>
  <c r="BS55" i="37"/>
  <c r="BQ69" i="37"/>
  <c r="BS69" i="37"/>
  <c r="BI74" i="37"/>
  <c r="BM74" i="37"/>
  <c r="BI60" i="37"/>
  <c r="BM60" i="37"/>
  <c r="AD50" i="37"/>
  <c r="AD64" i="37"/>
  <c r="Z51" i="37"/>
  <c r="Z65" i="37"/>
  <c r="AC67" i="37"/>
  <c r="AC53" i="37"/>
  <c r="AN71" i="37"/>
  <c r="AN57" i="37"/>
  <c r="AK74" i="37"/>
  <c r="AK60" i="37"/>
  <c r="AA64" i="37"/>
  <c r="AA50" i="37"/>
  <c r="AD75" i="37"/>
  <c r="AD61" i="37"/>
  <c r="AB60" i="37"/>
  <c r="AB74" i="37"/>
  <c r="AD31" i="37"/>
  <c r="AU66" i="37"/>
  <c r="AU52" i="37"/>
  <c r="AL70" i="37"/>
  <c r="AL56" i="37"/>
  <c r="AM73" i="37"/>
  <c r="AM59" i="37"/>
  <c r="BR66" i="37"/>
  <c r="BT66" i="37"/>
  <c r="BR52" i="37"/>
  <c r="BT52" i="37"/>
  <c r="BL31" i="37"/>
  <c r="BL32" i="37"/>
  <c r="AN69" i="37"/>
  <c r="AN55" i="37"/>
  <c r="AM65" i="37"/>
  <c r="AM51" i="37"/>
  <c r="AL75" i="37"/>
  <c r="AL61" i="37"/>
  <c r="AJ74" i="37"/>
  <c r="AJ60" i="37"/>
  <c r="AM53" i="37"/>
  <c r="AM67" i="37"/>
  <c r="BQ76" i="37"/>
  <c r="BS76" i="37"/>
  <c r="BQ62" i="37"/>
  <c r="BS62" i="37"/>
  <c r="BH52" i="37"/>
  <c r="BL52" i="37"/>
  <c r="BH66" i="37"/>
  <c r="BL66" i="37"/>
  <c r="AA74" i="37"/>
  <c r="AA60" i="37"/>
  <c r="Z54" i="37"/>
  <c r="Z68" i="37"/>
  <c r="AD53" i="37"/>
  <c r="AD67" i="37"/>
  <c r="AP45" i="37"/>
  <c r="AP75" i="37"/>
  <c r="AQ75" i="37"/>
  <c r="AP61" i="37"/>
  <c r="AQ61" i="37"/>
  <c r="V52" i="37"/>
  <c r="V66" i="37"/>
  <c r="AL50" i="37"/>
  <c r="AM74" i="37"/>
  <c r="AM60" i="37"/>
  <c r="AL68" i="37"/>
  <c r="AL54" i="37"/>
  <c r="AJ31" i="37"/>
  <c r="AJ32" i="37"/>
  <c r="BR61" i="37"/>
  <c r="BT61" i="37"/>
  <c r="BR75" i="37"/>
  <c r="BT75" i="37"/>
  <c r="BH56" i="37"/>
  <c r="BL56" i="37"/>
  <c r="BH70" i="37"/>
  <c r="BL70" i="37"/>
  <c r="BI75" i="37"/>
  <c r="BM75" i="37"/>
  <c r="BI61" i="37"/>
  <c r="BM61" i="37"/>
  <c r="DQ26" i="18"/>
  <c r="CZ64" i="30"/>
  <c r="CZ50" i="30"/>
  <c r="CZ67" i="30"/>
  <c r="CZ53" i="30"/>
  <c r="CZ72" i="30"/>
  <c r="CZ58" i="30"/>
  <c r="CZ59" i="30"/>
  <c r="CZ73" i="30"/>
  <c r="AZ35" i="29"/>
  <c r="BZ30" i="30"/>
  <c r="BZ66" i="29"/>
  <c r="BZ52" i="29"/>
  <c r="BZ62" i="29"/>
  <c r="BZ76" i="29"/>
  <c r="AZ61" i="29"/>
  <c r="AZ75" i="29"/>
  <c r="BZ18" i="30"/>
  <c r="BZ69" i="29"/>
  <c r="BZ55" i="29"/>
  <c r="BZ70" i="29"/>
  <c r="BZ56" i="29"/>
  <c r="BZ72" i="29"/>
  <c r="BZ58" i="29"/>
  <c r="BZ60" i="29"/>
  <c r="BZ74" i="29"/>
  <c r="AZ60" i="29"/>
  <c r="AZ74" i="29"/>
  <c r="BZ12" i="30"/>
  <c r="AZ46" i="29"/>
  <c r="BZ10" i="30"/>
  <c r="AZ41" i="29"/>
  <c r="BZ8" i="30"/>
  <c r="BZ41" i="30"/>
  <c r="AZ47" i="29"/>
  <c r="BZ6" i="30"/>
  <c r="AZ40" i="29"/>
  <c r="BZ4" i="30"/>
  <c r="CW76" i="30"/>
  <c r="CW73" i="30"/>
  <c r="BW59" i="29"/>
  <c r="BW73" i="29"/>
  <c r="BW55" i="29"/>
  <c r="BW69" i="29"/>
  <c r="BW56" i="29"/>
  <c r="BW70" i="29"/>
  <c r="BW61" i="29"/>
  <c r="BW75" i="29"/>
  <c r="BW58" i="29"/>
  <c r="BW72" i="29"/>
  <c r="BW74" i="29"/>
  <c r="BW60" i="29"/>
  <c r="BW53" i="29"/>
  <c r="BW67" i="29"/>
  <c r="CR50" i="30"/>
  <c r="CR64" i="30"/>
  <c r="CR51" i="30"/>
  <c r="CR65" i="30"/>
  <c r="CR68" i="30"/>
  <c r="CR54" i="30"/>
  <c r="AR46" i="29"/>
  <c r="BR10" i="30"/>
  <c r="BR57" i="29"/>
  <c r="BR71" i="29"/>
  <c r="BR76" i="29"/>
  <c r="BR62" i="29"/>
  <c r="BR64" i="29"/>
  <c r="BR50" i="29"/>
  <c r="BR51" i="29"/>
  <c r="BR65" i="29"/>
  <c r="BR52" i="29"/>
  <c r="BR66" i="29"/>
  <c r="AR53" i="29"/>
  <c r="AR67" i="29"/>
  <c r="BR5" i="30"/>
  <c r="AR32" i="29"/>
  <c r="BR3" i="30"/>
  <c r="CN76" i="30"/>
  <c r="CN62" i="30"/>
  <c r="CN59" i="30"/>
  <c r="CN73" i="30"/>
  <c r="AN35" i="29"/>
  <c r="BN30" i="30"/>
  <c r="AN43" i="29"/>
  <c r="BN28" i="30"/>
  <c r="BN43" i="30"/>
  <c r="AN36" i="29"/>
  <c r="BN26" i="30"/>
  <c r="AN55" i="29"/>
  <c r="AN69" i="29"/>
  <c r="BN24" i="30"/>
  <c r="AN37" i="29"/>
  <c r="BN22" i="30"/>
  <c r="AN56" i="29"/>
  <c r="AN70" i="29"/>
  <c r="BN20" i="30"/>
  <c r="AN61" i="29"/>
  <c r="AN75" i="29"/>
  <c r="BN18" i="30"/>
  <c r="AN58" i="29"/>
  <c r="AN72" i="29"/>
  <c r="BN16" i="30"/>
  <c r="AN34" i="29"/>
  <c r="BN14" i="30"/>
  <c r="AN74" i="29"/>
  <c r="AN60" i="29"/>
  <c r="BN12" i="30"/>
  <c r="AN41" i="29"/>
  <c r="BN8" i="30"/>
  <c r="AN40" i="29"/>
  <c r="BN4" i="30"/>
  <c r="BB39" i="29"/>
  <c r="BB59" i="29"/>
  <c r="BB73" i="29"/>
  <c r="BB40" i="29"/>
  <c r="AG46" i="29"/>
  <c r="BG10" i="30"/>
  <c r="AG43" i="29"/>
  <c r="BG28" i="30"/>
  <c r="BG43" i="30"/>
  <c r="AG69" i="29"/>
  <c r="AG55" i="29"/>
  <c r="BG24" i="30"/>
  <c r="AG56" i="29"/>
  <c r="AG70" i="29"/>
  <c r="BG20" i="30"/>
  <c r="AG58" i="29"/>
  <c r="AG72" i="29"/>
  <c r="BG16" i="30"/>
  <c r="AG39" i="29"/>
  <c r="BG11" i="30"/>
  <c r="AG40" i="29"/>
  <c r="BG4" i="30"/>
  <c r="BG40" i="30"/>
  <c r="AT67" i="37"/>
  <c r="W39" i="29"/>
  <c r="W11" i="30"/>
  <c r="W39" i="30"/>
  <c r="W57" i="29"/>
  <c r="W71" i="29"/>
  <c r="W29" i="30"/>
  <c r="W64" i="29"/>
  <c r="W50" i="29"/>
  <c r="W25" i="30"/>
  <c r="W65" i="29"/>
  <c r="W51" i="29"/>
  <c r="W21" i="30"/>
  <c r="W52" i="29"/>
  <c r="W66" i="29"/>
  <c r="W17" i="30"/>
  <c r="W66" i="30"/>
  <c r="W33" i="29"/>
  <c r="W13" i="30"/>
  <c r="W33" i="30"/>
  <c r="W47" i="29"/>
  <c r="W6" i="30"/>
  <c r="N47" i="29"/>
  <c r="N6" i="30"/>
  <c r="N47" i="30"/>
  <c r="N57" i="29"/>
  <c r="N71" i="29"/>
  <c r="N29" i="30"/>
  <c r="N64" i="29"/>
  <c r="N50" i="29"/>
  <c r="N25" i="30"/>
  <c r="N65" i="29"/>
  <c r="N51" i="29"/>
  <c r="N21" i="30"/>
  <c r="N51" i="30"/>
  <c r="N52" i="29"/>
  <c r="N66" i="29"/>
  <c r="N17" i="30"/>
  <c r="N33" i="29"/>
  <c r="N13" i="30"/>
  <c r="CM61" i="30"/>
  <c r="CM75" i="30"/>
  <c r="CM60" i="30"/>
  <c r="CM74" i="30"/>
  <c r="CM59" i="30"/>
  <c r="CM73" i="30"/>
  <c r="CM57" i="30"/>
  <c r="CM71" i="30"/>
  <c r="AM62" i="29"/>
  <c r="AM76" i="29"/>
  <c r="BM27" i="30"/>
  <c r="AM49" i="29"/>
  <c r="BM23" i="30"/>
  <c r="BM49" i="30"/>
  <c r="AM42" i="29"/>
  <c r="BM19" i="30"/>
  <c r="AM44" i="29"/>
  <c r="BM15" i="30"/>
  <c r="BM62" i="29"/>
  <c r="BM76" i="29"/>
  <c r="AV68" i="37"/>
  <c r="AT68" i="37"/>
  <c r="AV39" i="37"/>
  <c r="Y57" i="29"/>
  <c r="Y71" i="29"/>
  <c r="Y29" i="30"/>
  <c r="Y71" i="30"/>
  <c r="Y64" i="29"/>
  <c r="Y50" i="29"/>
  <c r="Y25" i="30"/>
  <c r="Y65" i="29"/>
  <c r="Y51" i="29"/>
  <c r="Y21" i="30"/>
  <c r="Y52" i="29"/>
  <c r="Y66" i="29"/>
  <c r="Y17" i="30"/>
  <c r="Y33" i="29"/>
  <c r="Y13" i="30"/>
  <c r="Y33" i="30"/>
  <c r="Y47" i="29"/>
  <c r="Y6" i="30"/>
  <c r="Y40" i="29"/>
  <c r="Y4" i="30"/>
  <c r="Y40" i="30"/>
  <c r="J41" i="29"/>
  <c r="J8" i="30"/>
  <c r="J41" i="30"/>
  <c r="J39" i="29"/>
  <c r="J11" i="30"/>
  <c r="J39" i="30"/>
  <c r="J71" i="29"/>
  <c r="J57" i="29"/>
  <c r="J29" i="30"/>
  <c r="J50" i="29"/>
  <c r="J64" i="29"/>
  <c r="J25" i="30"/>
  <c r="J65" i="29"/>
  <c r="J51" i="29"/>
  <c r="J21" i="30"/>
  <c r="J52" i="29"/>
  <c r="J66" i="29"/>
  <c r="J17" i="30"/>
  <c r="J33" i="29"/>
  <c r="J13" i="30"/>
  <c r="J33" i="30"/>
  <c r="J32" i="29"/>
  <c r="J3" i="30"/>
  <c r="J32" i="30"/>
  <c r="CP55" i="30"/>
  <c r="CP69" i="30"/>
  <c r="CP56" i="30"/>
  <c r="CP70" i="30"/>
  <c r="CP60" i="30"/>
  <c r="CP74" i="30"/>
  <c r="BP55" i="29"/>
  <c r="BP69" i="29"/>
  <c r="BP56" i="29"/>
  <c r="BP70" i="29"/>
  <c r="BP61" i="29"/>
  <c r="BP75" i="29"/>
  <c r="BP58" i="29"/>
  <c r="BP72" i="29"/>
  <c r="BP60" i="29"/>
  <c r="BP74" i="29"/>
  <c r="BP54" i="29"/>
  <c r="BP68" i="29"/>
  <c r="AP67" i="29"/>
  <c r="AP53" i="29"/>
  <c r="BP5" i="30"/>
  <c r="AP68" i="29"/>
  <c r="AP54" i="29"/>
  <c r="BP9" i="30"/>
  <c r="AP40" i="29"/>
  <c r="BP4" i="30"/>
  <c r="AQ29" i="37"/>
  <c r="AQ3" i="37"/>
  <c r="AT65" i="37"/>
  <c r="AQ74" i="37"/>
  <c r="Z42" i="29"/>
  <c r="Z19" i="30"/>
  <c r="Z42" i="30"/>
  <c r="Z65" i="29"/>
  <c r="Z51" i="29"/>
  <c r="Z21" i="30"/>
  <c r="Z36" i="29"/>
  <c r="Z26" i="30"/>
  <c r="Z36" i="30"/>
  <c r="Z61" i="29"/>
  <c r="Z75" i="29"/>
  <c r="Z18" i="30"/>
  <c r="Z50" i="29"/>
  <c r="Z64" i="29"/>
  <c r="Z25" i="30"/>
  <c r="Z68" i="29"/>
  <c r="Z54" i="29"/>
  <c r="Z9" i="30"/>
  <c r="Z53" i="29"/>
  <c r="Z67" i="29"/>
  <c r="Z5" i="30"/>
  <c r="G68" i="29"/>
  <c r="G54" i="29"/>
  <c r="G9" i="30"/>
  <c r="G35" i="29"/>
  <c r="G30" i="30"/>
  <c r="G35" i="30"/>
  <c r="G36" i="29"/>
  <c r="G26" i="30"/>
  <c r="G36" i="30"/>
  <c r="G37" i="29"/>
  <c r="G22" i="30"/>
  <c r="G37" i="30"/>
  <c r="G61" i="29"/>
  <c r="G75" i="29"/>
  <c r="G18" i="30"/>
  <c r="G34" i="29"/>
  <c r="G14" i="30"/>
  <c r="G34" i="30"/>
  <c r="G41" i="29"/>
  <c r="G8" i="30"/>
  <c r="CV62" i="30"/>
  <c r="CV76" i="30"/>
  <c r="CV61" i="30"/>
  <c r="CV75" i="30"/>
  <c r="CV54" i="30"/>
  <c r="CV68" i="30"/>
  <c r="BV62" i="29"/>
  <c r="BV76" i="29"/>
  <c r="BV61" i="29"/>
  <c r="BV75" i="29"/>
  <c r="AV60" i="29"/>
  <c r="AV74" i="29"/>
  <c r="BV12" i="30"/>
  <c r="AV46" i="29"/>
  <c r="BV10" i="30"/>
  <c r="AV41" i="29"/>
  <c r="BV8" i="30"/>
  <c r="AV47" i="29"/>
  <c r="BV6" i="30"/>
  <c r="AV40" i="29"/>
  <c r="BV4" i="30"/>
  <c r="BV40" i="30"/>
  <c r="CF62" i="30"/>
  <c r="CF76" i="30"/>
  <c r="CF73" i="30"/>
  <c r="CF59" i="30"/>
  <c r="AF46" i="29"/>
  <c r="BF10" i="30"/>
  <c r="AF47" i="29"/>
  <c r="BF6" i="30"/>
  <c r="AF57" i="29"/>
  <c r="AF71" i="29"/>
  <c r="BF29" i="30"/>
  <c r="AF62" i="29"/>
  <c r="AF76" i="29"/>
  <c r="BF27" i="30"/>
  <c r="AF64" i="29"/>
  <c r="AF50" i="29"/>
  <c r="BF25" i="30"/>
  <c r="BF64" i="30"/>
  <c r="AF49" i="29"/>
  <c r="BF23" i="30"/>
  <c r="AF65" i="29"/>
  <c r="AF51" i="29"/>
  <c r="BF21" i="30"/>
  <c r="AF42" i="29"/>
  <c r="BF19" i="30"/>
  <c r="AF52" i="29"/>
  <c r="AF66" i="29"/>
  <c r="BF17" i="30"/>
  <c r="AF44" i="29"/>
  <c r="BF15" i="30"/>
  <c r="BF44" i="30"/>
  <c r="AF33" i="29"/>
  <c r="BF13" i="30"/>
  <c r="AF54" i="29"/>
  <c r="AF68" i="29"/>
  <c r="BF9" i="30"/>
  <c r="AQ43" i="37"/>
  <c r="Q70" i="29"/>
  <c r="Q56" i="29"/>
  <c r="Q20" i="30"/>
  <c r="Q37" i="29"/>
  <c r="Q22" i="30"/>
  <c r="Q37" i="30"/>
  <c r="Q50" i="29"/>
  <c r="Q64" i="29"/>
  <c r="Q25" i="30"/>
  <c r="Q66" i="29"/>
  <c r="Q52" i="29"/>
  <c r="Q17" i="30"/>
  <c r="Q69" i="29"/>
  <c r="Q55" i="29"/>
  <c r="Q24" i="30"/>
  <c r="Q68" i="29"/>
  <c r="Q54" i="29"/>
  <c r="Q9" i="30"/>
  <c r="Q53" i="29"/>
  <c r="Q67" i="29"/>
  <c r="Q5" i="30"/>
  <c r="AU69" i="32"/>
  <c r="AU55" i="32"/>
  <c r="AY44" i="32"/>
  <c r="AY42" i="32"/>
  <c r="AU67" i="32"/>
  <c r="AU53" i="32"/>
  <c r="AY32" i="32"/>
  <c r="AY31" i="32"/>
  <c r="AU72" i="32"/>
  <c r="AU58" i="32"/>
  <c r="AY47" i="32"/>
  <c r="AU71" i="32"/>
  <c r="AU57" i="32"/>
  <c r="CX62" i="30"/>
  <c r="CX76" i="30"/>
  <c r="CX59" i="30"/>
  <c r="CX73" i="30"/>
  <c r="AX41" i="29"/>
  <c r="BX8" i="30"/>
  <c r="AX71" i="29"/>
  <c r="AX57" i="29"/>
  <c r="BX29" i="30"/>
  <c r="AX62" i="29"/>
  <c r="AX76" i="29"/>
  <c r="BX27" i="30"/>
  <c r="AX50" i="29"/>
  <c r="AX64" i="29"/>
  <c r="BX25" i="30"/>
  <c r="AX49" i="29"/>
  <c r="BX23" i="30"/>
  <c r="BX49" i="30"/>
  <c r="AX65" i="29"/>
  <c r="AX51" i="29"/>
  <c r="BX21" i="30"/>
  <c r="AX42" i="29"/>
  <c r="BX19" i="30"/>
  <c r="AX52" i="29"/>
  <c r="AX66" i="29"/>
  <c r="BX17" i="30"/>
  <c r="AX44" i="29"/>
  <c r="BX15" i="30"/>
  <c r="BX44" i="30"/>
  <c r="AX33" i="29"/>
  <c r="BX13" i="30"/>
  <c r="BX33" i="30"/>
  <c r="AX54" i="29"/>
  <c r="AX68" i="29"/>
  <c r="BX9" i="30"/>
  <c r="AX53" i="29"/>
  <c r="AX67" i="29"/>
  <c r="BX5" i="30"/>
  <c r="BX53" i="30"/>
  <c r="AX32" i="29"/>
  <c r="BX3" i="30"/>
  <c r="BX32" i="30"/>
  <c r="CL57" i="30"/>
  <c r="CL71" i="30"/>
  <c r="CL50" i="30"/>
  <c r="CL64" i="30"/>
  <c r="CL65" i="30"/>
  <c r="CL51" i="30"/>
  <c r="CL52" i="30"/>
  <c r="CL66" i="30"/>
  <c r="CL54" i="30"/>
  <c r="CL68" i="30"/>
  <c r="CL53" i="30"/>
  <c r="CL67" i="30"/>
  <c r="AL41" i="29"/>
  <c r="BL8" i="30"/>
  <c r="BL59" i="29"/>
  <c r="BL73" i="29"/>
  <c r="AL35" i="29"/>
  <c r="BL30" i="30"/>
  <c r="AL43" i="29"/>
  <c r="BL28" i="30"/>
  <c r="AL36" i="29"/>
  <c r="BL26" i="30"/>
  <c r="AL69" i="29"/>
  <c r="AL55" i="29"/>
  <c r="BL24" i="30"/>
  <c r="AL37" i="29"/>
  <c r="BL22" i="30"/>
  <c r="BL37" i="30"/>
  <c r="AL56" i="29"/>
  <c r="AL70" i="29"/>
  <c r="BL20" i="30"/>
  <c r="AL61" i="29"/>
  <c r="AL75" i="29"/>
  <c r="BL18" i="30"/>
  <c r="AL58" i="29"/>
  <c r="AL72" i="29"/>
  <c r="BL16" i="30"/>
  <c r="AL34" i="29"/>
  <c r="BL14" i="30"/>
  <c r="AL67" i="29"/>
  <c r="AL53" i="29"/>
  <c r="BL5" i="30"/>
  <c r="AQ70" i="37"/>
  <c r="V62" i="29"/>
  <c r="V76" i="29"/>
  <c r="V27" i="30"/>
  <c r="V42" i="29"/>
  <c r="V19" i="30"/>
  <c r="V42" i="30"/>
  <c r="V35" i="29"/>
  <c r="V30" i="30"/>
  <c r="V35" i="30"/>
  <c r="V37" i="29"/>
  <c r="V22" i="30"/>
  <c r="V37" i="30"/>
  <c r="V34" i="29"/>
  <c r="V14" i="30"/>
  <c r="V34" i="30"/>
  <c r="V68" i="29"/>
  <c r="V54" i="29"/>
  <c r="V9" i="30"/>
  <c r="V68" i="30"/>
  <c r="V53" i="29"/>
  <c r="V67" i="29"/>
  <c r="V5" i="30"/>
  <c r="F39" i="29"/>
  <c r="F11" i="30"/>
  <c r="F39" i="30"/>
  <c r="F57" i="29"/>
  <c r="F71" i="29"/>
  <c r="F29" i="30"/>
  <c r="F64" i="29"/>
  <c r="F50" i="29"/>
  <c r="F25" i="30"/>
  <c r="F65" i="29"/>
  <c r="F51" i="29"/>
  <c r="F21" i="30"/>
  <c r="F52" i="29"/>
  <c r="F66" i="29"/>
  <c r="F17" i="30"/>
  <c r="F33" i="29"/>
  <c r="F13" i="30"/>
  <c r="F47" i="29"/>
  <c r="F6" i="30"/>
  <c r="F47" i="30"/>
  <c r="DW24" i="18"/>
  <c r="DW22" i="18"/>
  <c r="CI62" i="30"/>
  <c r="CI76" i="30"/>
  <c r="CI60" i="30"/>
  <c r="CI74" i="30"/>
  <c r="CI75" i="30"/>
  <c r="CI61" i="30"/>
  <c r="CI68" i="30"/>
  <c r="CI54" i="30"/>
  <c r="AI34" i="29"/>
  <c r="BI14" i="30"/>
  <c r="AI69" i="29"/>
  <c r="AI55" i="29"/>
  <c r="BI24" i="30"/>
  <c r="BI66" i="29"/>
  <c r="BI52" i="29"/>
  <c r="AI62" i="29"/>
  <c r="AI76" i="29"/>
  <c r="BI27" i="30"/>
  <c r="AI49" i="29"/>
  <c r="BI23" i="30"/>
  <c r="AI42" i="29"/>
  <c r="BI19" i="30"/>
  <c r="AI44" i="29"/>
  <c r="BI15" i="30"/>
  <c r="BI44" i="30"/>
  <c r="AI35" i="29"/>
  <c r="BI30" i="30"/>
  <c r="AD71" i="37"/>
  <c r="AD57" i="37"/>
  <c r="AA58" i="37"/>
  <c r="AA72" i="37"/>
  <c r="AU46" i="37"/>
  <c r="AU45" i="37"/>
  <c r="AN51" i="37"/>
  <c r="AN65" i="37"/>
  <c r="BH75" i="37"/>
  <c r="BL75" i="37"/>
  <c r="BH61" i="37"/>
  <c r="BL61" i="37"/>
  <c r="AA76" i="37"/>
  <c r="AA62" i="37"/>
  <c r="Z69" i="37"/>
  <c r="Z55" i="37"/>
  <c r="AD56" i="37"/>
  <c r="AD70" i="37"/>
  <c r="AC66" i="37"/>
  <c r="AC52" i="37"/>
  <c r="AC56" i="37"/>
  <c r="AC62" i="37"/>
  <c r="AD45" i="37"/>
  <c r="AU31" i="37"/>
  <c r="AU32" i="37"/>
  <c r="V60" i="37"/>
  <c r="V74" i="37"/>
  <c r="AM76" i="37"/>
  <c r="AM62" i="37"/>
  <c r="AK51" i="37"/>
  <c r="AK65" i="37"/>
  <c r="BR57" i="37"/>
  <c r="BT57" i="37"/>
  <c r="BR71" i="37"/>
  <c r="BT71" i="37"/>
  <c r="BQ64" i="37"/>
  <c r="BQ50" i="37"/>
  <c r="BS50" i="37"/>
  <c r="AM46" i="37"/>
  <c r="AM45" i="37"/>
  <c r="BQ70" i="37"/>
  <c r="BS70" i="37"/>
  <c r="BQ56" i="37"/>
  <c r="BS56" i="37"/>
  <c r="Z76" i="37"/>
  <c r="Z62" i="37"/>
  <c r="AC70" i="37"/>
  <c r="AB66" i="37"/>
  <c r="AB52" i="37"/>
  <c r="AB55" i="37"/>
  <c r="AB45" i="37"/>
  <c r="AU56" i="37"/>
  <c r="AU70" i="37"/>
  <c r="V32" i="37"/>
  <c r="V31" i="37"/>
  <c r="AN50" i="37"/>
  <c r="BR56" i="37"/>
  <c r="BT56" i="37"/>
  <c r="BR70" i="37"/>
  <c r="BT70" i="37"/>
  <c r="BQ72" i="37"/>
  <c r="BS72" i="37"/>
  <c r="BQ58" i="37"/>
  <c r="BS58" i="37"/>
  <c r="AA69" i="37"/>
  <c r="AA55" i="37"/>
  <c r="Z74" i="37"/>
  <c r="Z60" i="37"/>
  <c r="AC31" i="37"/>
  <c r="AV63" i="37"/>
  <c r="AV50" i="37"/>
  <c r="AN53" i="37"/>
  <c r="AN67" i="37"/>
  <c r="AC76" i="37"/>
  <c r="AB69" i="37"/>
  <c r="AA51" i="37"/>
  <c r="AA65" i="37"/>
  <c r="Z75" i="37"/>
  <c r="Z61" i="37"/>
  <c r="Z73" i="37"/>
  <c r="Z59" i="37"/>
  <c r="AU67" i="37"/>
  <c r="AU53" i="37"/>
  <c r="AU51" i="37"/>
  <c r="AU65" i="37"/>
  <c r="AK50" i="37"/>
  <c r="AN61" i="37"/>
  <c r="AN75" i="37"/>
  <c r="AL74" i="37"/>
  <c r="AL60" i="37"/>
  <c r="BR68" i="37"/>
  <c r="BT68" i="37"/>
  <c r="BR54" i="37"/>
  <c r="BT54" i="37"/>
  <c r="BQ67" i="37"/>
  <c r="BS67" i="37"/>
  <c r="BQ53" i="37"/>
  <c r="BS53" i="37"/>
  <c r="BH76" i="37"/>
  <c r="BL76" i="37"/>
  <c r="BH62" i="37"/>
  <c r="BL62" i="37"/>
  <c r="BI50" i="37"/>
  <c r="BM50" i="37"/>
  <c r="BI64" i="37"/>
  <c r="V46" i="37"/>
  <c r="V45" i="37"/>
  <c r="AK76" i="37"/>
  <c r="AK62" i="37"/>
  <c r="AJ55" i="37"/>
  <c r="AJ69" i="37"/>
  <c r="AN56" i="37"/>
  <c r="AN70" i="37"/>
  <c r="AM52" i="37"/>
  <c r="AM66" i="37"/>
  <c r="BR76" i="37"/>
  <c r="BT76" i="37"/>
  <c r="BR62" i="37"/>
  <c r="BT62" i="37"/>
  <c r="BS49" i="37"/>
  <c r="BQ59" i="37"/>
  <c r="BS59" i="37"/>
  <c r="BQ73" i="37"/>
  <c r="BS73" i="37"/>
  <c r="BH71" i="37"/>
  <c r="BL71" i="37"/>
  <c r="BH57" i="37"/>
  <c r="BL57" i="37"/>
  <c r="BI62" i="37"/>
  <c r="BM62" i="37"/>
  <c r="BI76" i="37"/>
  <c r="BM76" i="37"/>
  <c r="Z53" i="37"/>
  <c r="Z67" i="37"/>
  <c r="AP59" i="37"/>
  <c r="AQ59" i="37"/>
  <c r="AP73" i="37"/>
  <c r="AQ73" i="37"/>
  <c r="AP62" i="37"/>
  <c r="AQ62" i="37"/>
  <c r="AP76" i="37"/>
  <c r="AQ76" i="37"/>
  <c r="V71" i="37"/>
  <c r="V57" i="37"/>
  <c r="AN76" i="37"/>
  <c r="AN62" i="37"/>
  <c r="AM69" i="37"/>
  <c r="AM55" i="37"/>
  <c r="AL65" i="37"/>
  <c r="AL51" i="37"/>
  <c r="AK75" i="37"/>
  <c r="AK61" i="37"/>
  <c r="AL67" i="37"/>
  <c r="AL53" i="37"/>
  <c r="BS46" i="37"/>
  <c r="BS45" i="37"/>
  <c r="BH72" i="37"/>
  <c r="BL72" i="37"/>
  <c r="BH58" i="37"/>
  <c r="BL58" i="37"/>
  <c r="CZ55" i="30"/>
  <c r="CZ69" i="30"/>
  <c r="CZ60" i="30"/>
  <c r="CZ74" i="30"/>
  <c r="CZ65" i="30"/>
  <c r="CZ51" i="30"/>
  <c r="BZ71" i="29"/>
  <c r="BZ57" i="29"/>
  <c r="AZ37" i="29"/>
  <c r="BZ22" i="30"/>
  <c r="BZ37" i="30"/>
  <c r="AZ36" i="29"/>
  <c r="BZ26" i="30"/>
  <c r="AZ72" i="29"/>
  <c r="AZ58" i="29"/>
  <c r="BZ16" i="30"/>
  <c r="AZ62" i="29"/>
  <c r="AZ76" i="29"/>
  <c r="BZ27" i="30"/>
  <c r="AZ49" i="29"/>
  <c r="BZ23" i="30"/>
  <c r="AZ42" i="29"/>
  <c r="BZ19" i="30"/>
  <c r="AZ44" i="29"/>
  <c r="BZ15" i="30"/>
  <c r="BZ68" i="29"/>
  <c r="BZ54" i="29"/>
  <c r="BZ59" i="29"/>
  <c r="BZ73" i="29"/>
  <c r="BZ53" i="29"/>
  <c r="BZ67" i="29"/>
  <c r="CW75" i="30"/>
  <c r="AW46" i="29"/>
  <c r="BW10" i="30"/>
  <c r="AW47" i="29"/>
  <c r="BW6" i="30"/>
  <c r="BW47" i="30"/>
  <c r="AW35" i="29"/>
  <c r="BW30" i="30"/>
  <c r="AW43" i="29"/>
  <c r="BW28" i="30"/>
  <c r="BW43" i="30"/>
  <c r="AW36" i="29"/>
  <c r="BW26" i="30"/>
  <c r="AW55" i="29"/>
  <c r="AW69" i="29"/>
  <c r="BW24" i="30"/>
  <c r="AW37" i="29"/>
  <c r="BW22" i="30"/>
  <c r="AW56" i="29"/>
  <c r="AW70" i="29"/>
  <c r="BW20" i="30"/>
  <c r="AW75" i="29"/>
  <c r="AW61" i="29"/>
  <c r="BW18" i="30"/>
  <c r="AW58" i="29"/>
  <c r="AW72" i="29"/>
  <c r="BW16" i="30"/>
  <c r="AW34" i="29"/>
  <c r="BW14" i="30"/>
  <c r="AW39" i="29"/>
  <c r="BW11" i="30"/>
  <c r="BW39" i="30"/>
  <c r="AW59" i="29"/>
  <c r="AW73" i="29"/>
  <c r="BW7" i="30"/>
  <c r="AW53" i="29"/>
  <c r="AW67" i="29"/>
  <c r="BW5" i="30"/>
  <c r="AW32" i="29"/>
  <c r="BW3" i="30"/>
  <c r="CR55" i="30"/>
  <c r="CR69" i="30"/>
  <c r="CR56" i="30"/>
  <c r="CR70" i="30"/>
  <c r="CR58" i="30"/>
  <c r="CR72" i="30"/>
  <c r="CR60" i="30"/>
  <c r="CR74" i="30"/>
  <c r="BR59" i="29"/>
  <c r="BR73" i="29"/>
  <c r="AR47" i="29"/>
  <c r="BR6" i="30"/>
  <c r="AR39" i="29"/>
  <c r="BR11" i="30"/>
  <c r="BR39" i="30"/>
  <c r="AR59" i="29"/>
  <c r="AR73" i="29"/>
  <c r="BR7" i="30"/>
  <c r="AR71" i="29"/>
  <c r="AR57" i="29"/>
  <c r="BR29" i="30"/>
  <c r="AR62" i="29"/>
  <c r="AR76" i="29"/>
  <c r="BR27" i="30"/>
  <c r="AR50" i="29"/>
  <c r="AR64" i="29"/>
  <c r="BR25" i="30"/>
  <c r="AR49" i="29"/>
  <c r="BR23" i="30"/>
  <c r="BR49" i="30"/>
  <c r="AR65" i="29"/>
  <c r="AR51" i="29"/>
  <c r="BR21" i="30"/>
  <c r="BR65" i="30"/>
  <c r="AR42" i="29"/>
  <c r="BR19" i="30"/>
  <c r="AR52" i="29"/>
  <c r="AR66" i="29"/>
  <c r="BR17" i="30"/>
  <c r="AR44" i="29"/>
  <c r="BR15" i="30"/>
  <c r="AR33" i="29"/>
  <c r="BR13" i="30"/>
  <c r="BR33" i="30"/>
  <c r="CN61" i="30"/>
  <c r="CN75" i="30"/>
  <c r="AN54" i="29"/>
  <c r="AN68" i="29"/>
  <c r="BN9" i="30"/>
  <c r="BN68" i="30"/>
  <c r="BN57" i="29"/>
  <c r="BN71" i="29"/>
  <c r="BN62" i="29"/>
  <c r="BN76" i="29"/>
  <c r="BN64" i="29"/>
  <c r="BN50" i="29"/>
  <c r="BN51" i="29"/>
  <c r="BN52" i="29"/>
  <c r="BN53" i="29"/>
  <c r="BN59" i="29"/>
  <c r="BN65" i="29"/>
  <c r="BN66" i="29"/>
  <c r="BN73" i="29"/>
  <c r="BN67" i="29"/>
  <c r="BB60" i="29"/>
  <c r="BB74" i="29"/>
  <c r="BB41" i="29"/>
  <c r="BB57" i="29"/>
  <c r="BB71" i="29"/>
  <c r="BB62" i="29"/>
  <c r="BB76" i="29"/>
  <c r="BB64" i="29"/>
  <c r="BB50" i="29"/>
  <c r="BB49" i="29"/>
  <c r="BB65" i="29"/>
  <c r="BB51" i="29"/>
  <c r="BB42" i="29"/>
  <c r="CB42" i="30"/>
  <c r="BB52" i="29"/>
  <c r="BB66" i="29"/>
  <c r="BB44" i="29"/>
  <c r="BB33" i="29"/>
  <c r="CB33" i="30"/>
  <c r="AG60" i="29"/>
  <c r="AG74" i="29"/>
  <c r="BG12" i="30"/>
  <c r="AG62" i="29"/>
  <c r="AG76" i="29"/>
  <c r="BG27" i="30"/>
  <c r="AG49" i="29"/>
  <c r="BG23" i="30"/>
  <c r="BG49" i="30"/>
  <c r="AG42" i="29"/>
  <c r="BG19" i="30"/>
  <c r="BG42" i="30"/>
  <c r="AG44" i="29"/>
  <c r="BG15" i="30"/>
  <c r="BG44" i="30"/>
  <c r="AG54" i="29"/>
  <c r="AG68" i="29"/>
  <c r="BG9" i="30"/>
  <c r="AG32" i="29"/>
  <c r="BG3" i="30"/>
  <c r="AT53" i="37"/>
  <c r="AV53" i="37"/>
  <c r="AT58" i="37"/>
  <c r="AV58" i="37"/>
  <c r="W54" i="29"/>
  <c r="W68" i="29"/>
  <c r="W9" i="30"/>
  <c r="W43" i="29"/>
  <c r="W28" i="30"/>
  <c r="W43" i="30"/>
  <c r="W55" i="29"/>
  <c r="W69" i="29"/>
  <c r="W24" i="30"/>
  <c r="W56" i="29"/>
  <c r="W70" i="29"/>
  <c r="W20" i="30"/>
  <c r="W58" i="29"/>
  <c r="W72" i="29"/>
  <c r="W16" i="30"/>
  <c r="W60" i="29"/>
  <c r="W74" i="29"/>
  <c r="W12" i="30"/>
  <c r="W53" i="29"/>
  <c r="W67" i="29"/>
  <c r="W5" i="30"/>
  <c r="N60" i="29"/>
  <c r="N74" i="29"/>
  <c r="N12" i="30"/>
  <c r="N43" i="29"/>
  <c r="N28" i="30"/>
  <c r="N43" i="30"/>
  <c r="N55" i="29"/>
  <c r="N69" i="29"/>
  <c r="N24" i="30"/>
  <c r="N56" i="29"/>
  <c r="N70" i="29"/>
  <c r="N20" i="30"/>
  <c r="N56" i="30"/>
  <c r="N58" i="29"/>
  <c r="N72" i="29"/>
  <c r="N16" i="30"/>
  <c r="N39" i="29"/>
  <c r="N11" i="30"/>
  <c r="N53" i="29"/>
  <c r="N67" i="29"/>
  <c r="N5" i="30"/>
  <c r="CM50" i="30"/>
  <c r="CM64" i="30"/>
  <c r="CM53" i="30"/>
  <c r="CM67" i="30"/>
  <c r="BM61" i="29"/>
  <c r="BM75" i="29"/>
  <c r="AM35" i="29"/>
  <c r="BM30" i="30"/>
  <c r="AM36" i="29"/>
  <c r="BM26" i="30"/>
  <c r="AM37" i="29"/>
  <c r="BM22" i="30"/>
  <c r="AM61" i="29"/>
  <c r="AM75" i="29"/>
  <c r="BM18" i="30"/>
  <c r="BM61" i="30"/>
  <c r="AM34" i="29"/>
  <c r="BM14" i="30"/>
  <c r="AM60" i="29"/>
  <c r="AM74" i="29"/>
  <c r="BM12" i="30"/>
  <c r="AM46" i="29"/>
  <c r="BM10" i="30"/>
  <c r="BM46" i="30"/>
  <c r="AM41" i="29"/>
  <c r="BM8" i="30"/>
  <c r="AM47" i="29"/>
  <c r="BM6" i="30"/>
  <c r="BM47" i="30"/>
  <c r="AM40" i="29"/>
  <c r="BM4" i="30"/>
  <c r="AT54" i="37"/>
  <c r="AV54" i="37"/>
  <c r="AQ9" i="37"/>
  <c r="Y43" i="29"/>
  <c r="Y28" i="30"/>
  <c r="Y43" i="30"/>
  <c r="Y55" i="29"/>
  <c r="Y69" i="29"/>
  <c r="Y24" i="30"/>
  <c r="Y56" i="29"/>
  <c r="Y70" i="29"/>
  <c r="Y20" i="30"/>
  <c r="Y58" i="29"/>
  <c r="Y72" i="29"/>
  <c r="Y16" i="30"/>
  <c r="Y60" i="29"/>
  <c r="Y74" i="29"/>
  <c r="Y12" i="30"/>
  <c r="Y53" i="29"/>
  <c r="Y67" i="29"/>
  <c r="Y5" i="30"/>
  <c r="Y39" i="29"/>
  <c r="Y11" i="30"/>
  <c r="Y39" i="30"/>
  <c r="J46" i="29"/>
  <c r="J10" i="30"/>
  <c r="J46" i="30"/>
  <c r="J54" i="29"/>
  <c r="J68" i="29"/>
  <c r="J9" i="30"/>
  <c r="J43" i="29"/>
  <c r="J28" i="30"/>
  <c r="J43" i="30"/>
  <c r="J69" i="29"/>
  <c r="J55" i="29"/>
  <c r="J24" i="30"/>
  <c r="J56" i="29"/>
  <c r="J70" i="29"/>
  <c r="J20" i="30"/>
  <c r="J56" i="30"/>
  <c r="J58" i="29"/>
  <c r="J72" i="29"/>
  <c r="J16" i="30"/>
  <c r="J47" i="29"/>
  <c r="J6" i="30"/>
  <c r="J47" i="30"/>
  <c r="CP62" i="30"/>
  <c r="CP76" i="30"/>
  <c r="CP59" i="30"/>
  <c r="CP73" i="30"/>
  <c r="AP35" i="29"/>
  <c r="BP30" i="30"/>
  <c r="BP35" i="30"/>
  <c r="AP43" i="29"/>
  <c r="BP28" i="30"/>
  <c r="AP36" i="29"/>
  <c r="BP26" i="30"/>
  <c r="AP55" i="29"/>
  <c r="AP69" i="29"/>
  <c r="BP24" i="30"/>
  <c r="AP37" i="29"/>
  <c r="BP22" i="30"/>
  <c r="BP37" i="30"/>
  <c r="AP56" i="29"/>
  <c r="AP70" i="29"/>
  <c r="BP20" i="30"/>
  <c r="AP61" i="29"/>
  <c r="AP75" i="29"/>
  <c r="BP18" i="30"/>
  <c r="AP58" i="29"/>
  <c r="AP72" i="29"/>
  <c r="BP16" i="30"/>
  <c r="AP34" i="29"/>
  <c r="BP14" i="30"/>
  <c r="BP34" i="30"/>
  <c r="AP60" i="29"/>
  <c r="AP74" i="29"/>
  <c r="BP12" i="30"/>
  <c r="AP41" i="29"/>
  <c r="BP8" i="30"/>
  <c r="AQ71" i="37"/>
  <c r="U55" i="37"/>
  <c r="U69" i="37"/>
  <c r="AV34" i="37"/>
  <c r="AQ55" i="37"/>
  <c r="AQ10" i="37"/>
  <c r="U45" i="37"/>
  <c r="U46" i="37"/>
  <c r="AQ60" i="37"/>
  <c r="Z44" i="29"/>
  <c r="Z15" i="30"/>
  <c r="Z66" i="29"/>
  <c r="Z52" i="29"/>
  <c r="Z17" i="30"/>
  <c r="Z55" i="29"/>
  <c r="Z69" i="29"/>
  <c r="Z24" i="30"/>
  <c r="Z72" i="29"/>
  <c r="Z58" i="29"/>
  <c r="Z16" i="30"/>
  <c r="Z72" i="30"/>
  <c r="Z60" i="29"/>
  <c r="Z74" i="29"/>
  <c r="Z12" i="30"/>
  <c r="Z41" i="29"/>
  <c r="Z8" i="30"/>
  <c r="Z41" i="30"/>
  <c r="Z40" i="29"/>
  <c r="Z4" i="30"/>
  <c r="Z40" i="30"/>
  <c r="G39" i="29"/>
  <c r="G11" i="30"/>
  <c r="G57" i="29"/>
  <c r="G71" i="29"/>
  <c r="G29" i="30"/>
  <c r="G64" i="29"/>
  <c r="G50" i="29"/>
  <c r="G25" i="30"/>
  <c r="G51" i="29"/>
  <c r="G65" i="29"/>
  <c r="G21" i="30"/>
  <c r="G66" i="29"/>
  <c r="G52" i="29"/>
  <c r="G17" i="30"/>
  <c r="G33" i="29"/>
  <c r="G13" i="30"/>
  <c r="G53" i="29"/>
  <c r="G67" i="29"/>
  <c r="G5" i="30"/>
  <c r="G67" i="30"/>
  <c r="CV52" i="30"/>
  <c r="CV66" i="30"/>
  <c r="CV60" i="30"/>
  <c r="CV74" i="30"/>
  <c r="CV59" i="30"/>
  <c r="CV73" i="30"/>
  <c r="CV50" i="30"/>
  <c r="CV64" i="30"/>
  <c r="CV53" i="30"/>
  <c r="CV67" i="30"/>
  <c r="AV35" i="29"/>
  <c r="BV30" i="30"/>
  <c r="BV35" i="30"/>
  <c r="AV36" i="29"/>
  <c r="BV26" i="30"/>
  <c r="BV36" i="30"/>
  <c r="AV37" i="29"/>
  <c r="BV22" i="30"/>
  <c r="BV37" i="30"/>
  <c r="AV61" i="29"/>
  <c r="AV75" i="29"/>
  <c r="BV18" i="30"/>
  <c r="AV34" i="29"/>
  <c r="BV14" i="30"/>
  <c r="AV71" i="29"/>
  <c r="AV57" i="29"/>
  <c r="BV29" i="30"/>
  <c r="AV64" i="29"/>
  <c r="AV50" i="29"/>
  <c r="BV25" i="30"/>
  <c r="AV65" i="29"/>
  <c r="AV51" i="29"/>
  <c r="BV21" i="30"/>
  <c r="AV66" i="29"/>
  <c r="AV52" i="29"/>
  <c r="BV17" i="30"/>
  <c r="AV33" i="29"/>
  <c r="BV13" i="30"/>
  <c r="BV68" i="29"/>
  <c r="BV54" i="29"/>
  <c r="BV59" i="29"/>
  <c r="BV73" i="29"/>
  <c r="BV53" i="29"/>
  <c r="BV67" i="29"/>
  <c r="CF61" i="30"/>
  <c r="CF75" i="30"/>
  <c r="BF54" i="29"/>
  <c r="BF68" i="29"/>
  <c r="BF55" i="29"/>
  <c r="BF69" i="29"/>
  <c r="BF56" i="29"/>
  <c r="BF70" i="29"/>
  <c r="BF61" i="29"/>
  <c r="BF75" i="29"/>
  <c r="BF58" i="29"/>
  <c r="BF72" i="29"/>
  <c r="BF74" i="29"/>
  <c r="BF60" i="29"/>
  <c r="AF40" i="29"/>
  <c r="BF4" i="30"/>
  <c r="AT75" i="37"/>
  <c r="AV75" i="37"/>
  <c r="Q72" i="29"/>
  <c r="Q58" i="29"/>
  <c r="Q16" i="30"/>
  <c r="Q61" i="29"/>
  <c r="Q75" i="29"/>
  <c r="Q18" i="30"/>
  <c r="Q49" i="29"/>
  <c r="Q23" i="30"/>
  <c r="Q49" i="30"/>
  <c r="Q44" i="29"/>
  <c r="Q15" i="30"/>
  <c r="Q44" i="30"/>
  <c r="Q60" i="29"/>
  <c r="Q74" i="29"/>
  <c r="Q12" i="30"/>
  <c r="Q41" i="29"/>
  <c r="Q8" i="30"/>
  <c r="Q41" i="30"/>
  <c r="Q40" i="29"/>
  <c r="Q4" i="30"/>
  <c r="Q40" i="30"/>
  <c r="AY36" i="32"/>
  <c r="AU75" i="32"/>
  <c r="AU61" i="32"/>
  <c r="AU70" i="32"/>
  <c r="AU56" i="32"/>
  <c r="AY37" i="32"/>
  <c r="AY33" i="32"/>
  <c r="AU68" i="32"/>
  <c r="AU54" i="32"/>
  <c r="AY54" i="32"/>
  <c r="AU65" i="32"/>
  <c r="AU51" i="32"/>
  <c r="AU73" i="32"/>
  <c r="AU59" i="32"/>
  <c r="CX61" i="30"/>
  <c r="CX75" i="30"/>
  <c r="AX47" i="29"/>
  <c r="BX6" i="30"/>
  <c r="AX46" i="29"/>
  <c r="BX10" i="30"/>
  <c r="BX55" i="29"/>
  <c r="BX69" i="29"/>
  <c r="BX70" i="29"/>
  <c r="BX56" i="29"/>
  <c r="BX61" i="29"/>
  <c r="BX75" i="29"/>
  <c r="BX72" i="29"/>
  <c r="BX58" i="29"/>
  <c r="BX74" i="29"/>
  <c r="BX60" i="29"/>
  <c r="CL55" i="30"/>
  <c r="CL69" i="30"/>
  <c r="CL56" i="30"/>
  <c r="CL58" i="30"/>
  <c r="CL72" i="30"/>
  <c r="CL60" i="30"/>
  <c r="CL74" i="30"/>
  <c r="AL40" i="29"/>
  <c r="BL4" i="30"/>
  <c r="BL57" i="29"/>
  <c r="BL71" i="29"/>
  <c r="BL76" i="29"/>
  <c r="BL62" i="29"/>
  <c r="BL64" i="29"/>
  <c r="BL50" i="29"/>
  <c r="BL51" i="29"/>
  <c r="BL65" i="29"/>
  <c r="BL52" i="29"/>
  <c r="BL66" i="29"/>
  <c r="AL39" i="29"/>
  <c r="BL11" i="30"/>
  <c r="BL39" i="30"/>
  <c r="AL59" i="29"/>
  <c r="AL73" i="29"/>
  <c r="BL7" i="30"/>
  <c r="V50" i="29"/>
  <c r="V64" i="29"/>
  <c r="V25" i="30"/>
  <c r="V66" i="29"/>
  <c r="V52" i="29"/>
  <c r="V17" i="30"/>
  <c r="V43" i="29"/>
  <c r="V28" i="30"/>
  <c r="V70" i="29"/>
  <c r="V56" i="29"/>
  <c r="V20" i="30"/>
  <c r="V60" i="29"/>
  <c r="V74" i="29"/>
  <c r="V12" i="30"/>
  <c r="V41" i="29"/>
  <c r="V8" i="30"/>
  <c r="V41" i="30"/>
  <c r="V40" i="29"/>
  <c r="V4" i="30"/>
  <c r="V40" i="30"/>
  <c r="F54" i="29"/>
  <c r="F68" i="29"/>
  <c r="F9" i="30"/>
  <c r="F43" i="29"/>
  <c r="F28" i="30"/>
  <c r="F43" i="30"/>
  <c r="F55" i="29"/>
  <c r="F69" i="29"/>
  <c r="F24" i="30"/>
  <c r="F56" i="29"/>
  <c r="F70" i="29"/>
  <c r="F20" i="30"/>
  <c r="F58" i="29"/>
  <c r="F72" i="29"/>
  <c r="F16" i="30"/>
  <c r="F60" i="29"/>
  <c r="F74" i="29"/>
  <c r="F12" i="30"/>
  <c r="F53" i="29"/>
  <c r="F67" i="29"/>
  <c r="F5" i="30"/>
  <c r="CI65" i="30"/>
  <c r="CI51" i="30"/>
  <c r="CI64" i="30"/>
  <c r="CI50" i="30"/>
  <c r="CI52" i="30"/>
  <c r="CI66" i="30"/>
  <c r="CI59" i="30"/>
  <c r="CI73" i="30"/>
  <c r="BI71" i="29"/>
  <c r="BI57" i="29"/>
  <c r="AI61" i="29"/>
  <c r="AI75" i="29"/>
  <c r="BI18" i="30"/>
  <c r="BI61" i="30"/>
  <c r="BI61" i="29"/>
  <c r="BI75" i="29"/>
  <c r="AI36" i="29"/>
  <c r="BI26" i="30"/>
  <c r="AI60" i="29"/>
  <c r="AI74" i="29"/>
  <c r="BI12" i="30"/>
  <c r="AI46" i="29"/>
  <c r="BI10" i="30"/>
  <c r="BI46" i="30"/>
  <c r="AI41" i="29"/>
  <c r="BI8" i="30"/>
  <c r="AI47" i="29"/>
  <c r="BI6" i="30"/>
  <c r="BI47" i="30"/>
  <c r="AI40" i="29"/>
  <c r="BI4" i="30"/>
  <c r="BI40" i="30"/>
  <c r="M11" i="5"/>
  <c r="M26" i="5"/>
  <c r="M4" i="5"/>
  <c r="M28" i="5"/>
  <c r="M13" i="5"/>
  <c r="M14" i="5"/>
  <c r="M8" i="5"/>
  <c r="M3" i="5"/>
  <c r="M15" i="5"/>
  <c r="M6" i="5"/>
  <c r="AM31" i="5"/>
  <c r="AO32" i="5"/>
  <c r="AM32" i="5"/>
  <c r="AM42" i="5"/>
  <c r="AO42" i="5"/>
  <c r="AO40" i="5"/>
  <c r="AM40" i="5"/>
  <c r="AM38" i="5"/>
  <c r="AO38" i="5"/>
  <c r="AO35" i="5"/>
  <c r="AM35" i="5"/>
  <c r="AM33" i="5"/>
  <c r="AO33" i="5"/>
  <c r="FO40" i="18"/>
  <c r="FM40" i="18"/>
  <c r="FM46" i="18"/>
  <c r="FM45" i="18"/>
  <c r="FO46" i="18"/>
  <c r="FO37" i="18"/>
  <c r="FM37" i="18"/>
  <c r="FN49" i="18"/>
  <c r="AO47" i="5"/>
  <c r="AM47" i="5"/>
  <c r="AO37" i="5"/>
  <c r="AM37" i="5"/>
  <c r="FM42" i="18"/>
  <c r="FO42" i="18"/>
  <c r="FM43" i="18"/>
  <c r="FO43" i="18"/>
  <c r="FO33" i="18"/>
  <c r="FM33" i="18"/>
  <c r="FM39" i="18"/>
  <c r="FO39" i="18"/>
  <c r="FO36" i="18"/>
  <c r="FM36" i="18"/>
  <c r="AO36" i="5"/>
  <c r="AM36" i="5"/>
  <c r="AM34" i="5"/>
  <c r="AO34" i="5"/>
  <c r="AM41" i="5"/>
  <c r="AO41" i="5"/>
  <c r="FO41" i="18"/>
  <c r="FM41" i="18"/>
  <c r="FO38" i="18"/>
  <c r="FM38" i="18"/>
  <c r="FO34" i="18"/>
  <c r="FM34" i="18"/>
  <c r="FM35" i="18"/>
  <c r="FO35" i="18"/>
  <c r="FN46" i="18"/>
  <c r="FN45" i="18"/>
  <c r="O32" i="5"/>
  <c r="AO39" i="5"/>
  <c r="AM39" i="5"/>
  <c r="AM43" i="5"/>
  <c r="AO43" i="5"/>
  <c r="AO44" i="5"/>
  <c r="AM44" i="5"/>
  <c r="AM46" i="5"/>
  <c r="AO46" i="5"/>
  <c r="AO49" i="5"/>
  <c r="AM49" i="5"/>
  <c r="FM44" i="18"/>
  <c r="FO44" i="18"/>
  <c r="FO49" i="18"/>
  <c r="FM49" i="18"/>
  <c r="FO47" i="18"/>
  <c r="FM47" i="18"/>
  <c r="FM31" i="18"/>
  <c r="FO31" i="18"/>
  <c r="FM32" i="18"/>
  <c r="FO32" i="18"/>
  <c r="FN32" i="18"/>
  <c r="FN31" i="18"/>
  <c r="EY32" i="18"/>
  <c r="EY47" i="18"/>
  <c r="EY34" i="18"/>
  <c r="EY35" i="18"/>
  <c r="EY39" i="18"/>
  <c r="EY41" i="18"/>
  <c r="EY37" i="18"/>
  <c r="EY44" i="18"/>
  <c r="EY46" i="18"/>
  <c r="EY42" i="18"/>
  <c r="EY40" i="18"/>
  <c r="EY33" i="18"/>
  <c r="EY43" i="18"/>
  <c r="EY38" i="18"/>
  <c r="CT32" i="18"/>
  <c r="CI31" i="18"/>
  <c r="CQ32" i="18"/>
  <c r="CP32" i="18"/>
  <c r="CN32" i="18"/>
  <c r="CU32" i="18"/>
  <c r="CO32" i="18"/>
  <c r="G31" i="18"/>
  <c r="BE44" i="5"/>
  <c r="BF44" i="5"/>
  <c r="CP45" i="18"/>
  <c r="AM45" i="5"/>
  <c r="FF45" i="18"/>
  <c r="FD45" i="18"/>
  <c r="CI45" i="18"/>
  <c r="BO53" i="37"/>
  <c r="BO67" i="37"/>
  <c r="BO54" i="37"/>
  <c r="BO68" i="37"/>
  <c r="BO52" i="37"/>
  <c r="BO66" i="37"/>
  <c r="BP72" i="37"/>
  <c r="BP58" i="37"/>
  <c r="M29" i="5"/>
  <c r="O39" i="5"/>
  <c r="O38" i="5"/>
  <c r="K73" i="5"/>
  <c r="K59" i="5"/>
  <c r="K62" i="5"/>
  <c r="K76" i="5"/>
  <c r="K60" i="5"/>
  <c r="K74" i="5"/>
  <c r="O37" i="5"/>
  <c r="O42" i="5"/>
  <c r="K72" i="5"/>
  <c r="O72" i="5"/>
  <c r="K58" i="5"/>
  <c r="O36" i="5"/>
  <c r="AK59" i="5"/>
  <c r="AK73" i="5"/>
  <c r="AK66" i="5"/>
  <c r="AK52" i="5"/>
  <c r="AK51" i="5"/>
  <c r="AK65" i="5"/>
  <c r="AZ45" i="5"/>
  <c r="AA68" i="18"/>
  <c r="AM68" i="18"/>
  <c r="AA54" i="18"/>
  <c r="AM54" i="18"/>
  <c r="AA72" i="18"/>
  <c r="AM72" i="18"/>
  <c r="AA58" i="18"/>
  <c r="AM58" i="18"/>
  <c r="AA55" i="18"/>
  <c r="AM55" i="18"/>
  <c r="AA69" i="18"/>
  <c r="AM69" i="18"/>
  <c r="AM46" i="18"/>
  <c r="AM45" i="18"/>
  <c r="AA52" i="18"/>
  <c r="AM52" i="18"/>
  <c r="AA66" i="18"/>
  <c r="AM66" i="18"/>
  <c r="AA64" i="18"/>
  <c r="AM64" i="18"/>
  <c r="AA50" i="18"/>
  <c r="AM50" i="18"/>
  <c r="EQ73" i="18"/>
  <c r="FF73" i="18"/>
  <c r="EQ59" i="18"/>
  <c r="FF59" i="18"/>
  <c r="EQ51" i="18"/>
  <c r="FF51" i="18"/>
  <c r="EQ65" i="18"/>
  <c r="FF65" i="18"/>
  <c r="EQ57" i="18"/>
  <c r="FF57" i="18"/>
  <c r="EQ71" i="18"/>
  <c r="FF71" i="18"/>
  <c r="EQ61" i="18"/>
  <c r="FF61" i="18"/>
  <c r="EQ75" i="18"/>
  <c r="FF75" i="18"/>
  <c r="V59" i="18"/>
  <c r="AH59" i="18"/>
  <c r="V73" i="18"/>
  <c r="AH73" i="18"/>
  <c r="EG76" i="18"/>
  <c r="EV76" i="18"/>
  <c r="EG62" i="18"/>
  <c r="EV62" i="18"/>
  <c r="EG55" i="18"/>
  <c r="EV55" i="18"/>
  <c r="EG69" i="18"/>
  <c r="EV69" i="18"/>
  <c r="BW53" i="18"/>
  <c r="CL53" i="18"/>
  <c r="BW67" i="18"/>
  <c r="CL67" i="18"/>
  <c r="BW76" i="18"/>
  <c r="CL76" i="18"/>
  <c r="BW62" i="18"/>
  <c r="CL62" i="18"/>
  <c r="BZ5" i="31"/>
  <c r="BZ12" i="31"/>
  <c r="BZ20" i="31"/>
  <c r="BZ28" i="31"/>
  <c r="BZ6" i="31"/>
  <c r="BZ13" i="31"/>
  <c r="BZ21" i="31"/>
  <c r="BZ29" i="31"/>
  <c r="BZ71" i="31"/>
  <c r="BW3" i="31"/>
  <c r="BW7" i="31"/>
  <c r="BW11" i="31"/>
  <c r="BW14" i="31"/>
  <c r="BW18" i="31"/>
  <c r="BW22" i="31"/>
  <c r="BW26" i="31"/>
  <c r="BW30" i="31"/>
  <c r="BR4" i="31"/>
  <c r="BR8" i="31"/>
  <c r="BR15" i="31"/>
  <c r="BR19" i="31"/>
  <c r="BR42" i="31"/>
  <c r="BR23" i="31"/>
  <c r="BR49" i="31"/>
  <c r="BR27" i="31"/>
  <c r="BN5" i="31"/>
  <c r="BN9" i="31"/>
  <c r="BN12" i="31"/>
  <c r="BN16" i="31"/>
  <c r="BN20" i="31"/>
  <c r="BN24" i="31"/>
  <c r="BN28" i="31"/>
  <c r="CB46" i="31"/>
  <c r="BG3" i="31"/>
  <c r="BG7" i="31"/>
  <c r="BG11" i="31"/>
  <c r="BG14" i="31"/>
  <c r="BG18" i="31"/>
  <c r="BG22" i="31"/>
  <c r="BG26" i="31"/>
  <c r="BG30" i="31"/>
  <c r="BF4" i="31"/>
  <c r="BF8" i="31"/>
  <c r="BF15" i="31"/>
  <c r="BF19" i="31"/>
  <c r="BF42" i="31"/>
  <c r="BF23" i="31"/>
  <c r="BF49" i="31"/>
  <c r="BF27" i="31"/>
  <c r="AJ45" i="18"/>
  <c r="AJ46" i="18"/>
  <c r="AJ32" i="18"/>
  <c r="X75" i="18"/>
  <c r="AJ75" i="18"/>
  <c r="X61" i="18"/>
  <c r="AJ61" i="18"/>
  <c r="EN68" i="18"/>
  <c r="FC68" i="18"/>
  <c r="EN54" i="18"/>
  <c r="FC54" i="18"/>
  <c r="EN58" i="18"/>
  <c r="FC58" i="18"/>
  <c r="EN72" i="18"/>
  <c r="FC72" i="18"/>
  <c r="EN57" i="18"/>
  <c r="FC57" i="18"/>
  <c r="EN71" i="18"/>
  <c r="FC71" i="18"/>
  <c r="Q73" i="18"/>
  <c r="AC73" i="18"/>
  <c r="Q59" i="18"/>
  <c r="AC59" i="18"/>
  <c r="Q67" i="18"/>
  <c r="AC67" i="18"/>
  <c r="Q53" i="18"/>
  <c r="AC53" i="18"/>
  <c r="Q60" i="18"/>
  <c r="AC60" i="18"/>
  <c r="Q74" i="18"/>
  <c r="AC74" i="18"/>
  <c r="Q76" i="18"/>
  <c r="AC76" i="18"/>
  <c r="Q62" i="18"/>
  <c r="AC62" i="18"/>
  <c r="EL55" i="18"/>
  <c r="FA55" i="18"/>
  <c r="EL69" i="18"/>
  <c r="FA69" i="18"/>
  <c r="EL50" i="18"/>
  <c r="FA50" i="18"/>
  <c r="EL64" i="18"/>
  <c r="FA64" i="18"/>
  <c r="CB73" i="18"/>
  <c r="CQ73" i="18"/>
  <c r="CB59" i="18"/>
  <c r="CQ59" i="18"/>
  <c r="BY2" i="31"/>
  <c r="BY38" i="31"/>
  <c r="BY6" i="31"/>
  <c r="BY10" i="31"/>
  <c r="BY13" i="31"/>
  <c r="BY17" i="31"/>
  <c r="BY21" i="31"/>
  <c r="BY25" i="31"/>
  <c r="BY29" i="31"/>
  <c r="BV9" i="31"/>
  <c r="BV20" i="31"/>
  <c r="BV4" i="31"/>
  <c r="BV19" i="31"/>
  <c r="BV27" i="31"/>
  <c r="BV76" i="31"/>
  <c r="BV3" i="31"/>
  <c r="BV24" i="31"/>
  <c r="BQ2" i="31"/>
  <c r="BQ10" i="31"/>
  <c r="BQ17" i="31"/>
  <c r="BQ25" i="31"/>
  <c r="BQ9" i="31"/>
  <c r="BQ16" i="31"/>
  <c r="BQ24" i="31"/>
  <c r="BM10" i="31"/>
  <c r="BM46" i="31"/>
  <c r="BM8" i="31"/>
  <c r="BM9" i="31"/>
  <c r="BM54" i="31"/>
  <c r="BM16" i="31"/>
  <c r="BM24" i="31"/>
  <c r="BM23" i="31"/>
  <c r="BM49" i="31"/>
  <c r="BJ5" i="31"/>
  <c r="BJ9" i="31"/>
  <c r="BJ12" i="31"/>
  <c r="BJ16" i="31"/>
  <c r="BJ20" i="31"/>
  <c r="BJ24" i="31"/>
  <c r="BJ28" i="31"/>
  <c r="AY46" i="5"/>
  <c r="AY45" i="5"/>
  <c r="AU65" i="5"/>
  <c r="AU51" i="5"/>
  <c r="AY39" i="5"/>
  <c r="AY38" i="5"/>
  <c r="AU74" i="5"/>
  <c r="AU60" i="5"/>
  <c r="AY37" i="5"/>
  <c r="L59" i="5"/>
  <c r="P59" i="5"/>
  <c r="L73" i="5"/>
  <c r="P73" i="5"/>
  <c r="P49" i="5"/>
  <c r="Y73" i="5"/>
  <c r="AD73" i="5"/>
  <c r="Y59" i="5"/>
  <c r="AD59" i="5"/>
  <c r="AB52" i="5"/>
  <c r="AB66" i="5"/>
  <c r="Z62" i="5"/>
  <c r="Z76" i="5"/>
  <c r="X51" i="5"/>
  <c r="AC51" i="5"/>
  <c r="X65" i="5"/>
  <c r="AC65" i="5"/>
  <c r="AA67" i="5"/>
  <c r="AA53" i="5"/>
  <c r="AA55" i="5"/>
  <c r="AA69" i="5"/>
  <c r="Y64" i="5"/>
  <c r="Y50" i="5"/>
  <c r="AD50" i="5"/>
  <c r="Z65" i="5"/>
  <c r="Z51" i="5"/>
  <c r="L67" i="5"/>
  <c r="P67" i="5"/>
  <c r="L53" i="5"/>
  <c r="P53" i="5"/>
  <c r="AA58" i="5"/>
  <c r="AA72" i="5"/>
  <c r="Y57" i="5"/>
  <c r="AD57" i="5"/>
  <c r="Y71" i="5"/>
  <c r="AD71" i="5"/>
  <c r="X60" i="5"/>
  <c r="AC60" i="5"/>
  <c r="X74" i="5"/>
  <c r="AC74" i="5"/>
  <c r="AB71" i="5"/>
  <c r="AB57" i="5"/>
  <c r="AB68" i="5"/>
  <c r="AB54" i="5"/>
  <c r="Y76" i="5"/>
  <c r="AD76" i="5"/>
  <c r="Y62" i="5"/>
  <c r="AD62" i="5"/>
  <c r="Z73" i="5"/>
  <c r="Z59" i="5"/>
  <c r="Y60" i="5"/>
  <c r="AD60" i="5"/>
  <c r="Y74" i="5"/>
  <c r="AD74" i="5"/>
  <c r="Y69" i="5"/>
  <c r="AD69" i="5"/>
  <c r="Y55" i="5"/>
  <c r="AD55" i="5"/>
  <c r="AL60" i="5"/>
  <c r="AN60" i="5"/>
  <c r="AL74" i="5"/>
  <c r="AN74" i="5"/>
  <c r="AL65" i="5"/>
  <c r="AN65" i="5"/>
  <c r="AL51" i="5"/>
  <c r="AN51" i="5"/>
  <c r="BE67" i="5"/>
  <c r="BF67" i="5"/>
  <c r="BE53" i="5"/>
  <c r="BF53" i="5"/>
  <c r="BE64" i="5"/>
  <c r="BF64" i="5"/>
  <c r="BE50" i="5"/>
  <c r="BF50" i="5"/>
  <c r="BT58" i="18"/>
  <c r="CI58" i="18"/>
  <c r="BT72" i="18"/>
  <c r="CI72" i="18"/>
  <c r="BT66" i="18"/>
  <c r="CI66" i="18"/>
  <c r="BT52" i="18"/>
  <c r="CI52" i="18"/>
  <c r="BT61" i="18"/>
  <c r="CI61" i="18"/>
  <c r="BT75" i="18"/>
  <c r="CI75" i="18"/>
  <c r="ES53" i="18"/>
  <c r="ES67" i="18"/>
  <c r="ES58" i="18"/>
  <c r="ES72" i="18"/>
  <c r="FK68" i="18"/>
  <c r="FK54" i="18"/>
  <c r="FM54" i="18"/>
  <c r="FK76" i="18"/>
  <c r="FK62" i="18"/>
  <c r="ES66" i="18"/>
  <c r="ES52" i="18"/>
  <c r="FK53" i="18"/>
  <c r="FK67" i="18"/>
  <c r="FK57" i="18"/>
  <c r="FK71" i="18"/>
  <c r="S51" i="18"/>
  <c r="AE51" i="18"/>
  <c r="S65" i="18"/>
  <c r="AE65" i="18"/>
  <c r="S59" i="18"/>
  <c r="AE59" i="18"/>
  <c r="S73" i="18"/>
  <c r="AE73" i="18"/>
  <c r="EI53" i="18"/>
  <c r="EX53" i="18"/>
  <c r="EI67" i="18"/>
  <c r="EX67" i="18"/>
  <c r="EI65" i="18"/>
  <c r="EX65" i="18"/>
  <c r="EI51" i="18"/>
  <c r="EX51" i="18"/>
  <c r="EI72" i="18"/>
  <c r="EX72" i="18"/>
  <c r="EI58" i="18"/>
  <c r="EX58" i="18"/>
  <c r="BY59" i="18"/>
  <c r="CN59" i="18"/>
  <c r="BY73" i="18"/>
  <c r="CN73" i="18"/>
  <c r="CN45" i="18"/>
  <c r="BY68" i="18"/>
  <c r="CN68" i="18"/>
  <c r="BY54" i="18"/>
  <c r="CN54" i="18"/>
  <c r="R59" i="18"/>
  <c r="AD59" i="18"/>
  <c r="R73" i="18"/>
  <c r="AD73" i="18"/>
  <c r="EM62" i="18"/>
  <c r="FB62" i="18"/>
  <c r="EM76" i="18"/>
  <c r="FB76" i="18"/>
  <c r="EM58" i="18"/>
  <c r="FB58" i="18"/>
  <c r="EM72" i="18"/>
  <c r="FB72" i="18"/>
  <c r="EM69" i="18"/>
  <c r="FB69" i="18"/>
  <c r="EM55" i="18"/>
  <c r="FB55" i="18"/>
  <c r="CC54" i="18"/>
  <c r="CR54" i="18"/>
  <c r="CC68" i="18"/>
  <c r="CR68" i="18"/>
  <c r="BX3" i="31"/>
  <c r="BX7" i="31"/>
  <c r="BX11" i="31"/>
  <c r="BX14" i="31"/>
  <c r="BX18" i="31"/>
  <c r="BX22" i="31"/>
  <c r="BX26" i="31"/>
  <c r="BX30" i="31"/>
  <c r="BT2" i="31"/>
  <c r="BT38" i="31"/>
  <c r="BT6" i="31"/>
  <c r="BT47" i="31"/>
  <c r="BT10" i="31"/>
  <c r="BT46" i="31"/>
  <c r="BT45" i="31"/>
  <c r="BT13" i="31"/>
  <c r="BT17" i="31"/>
  <c r="BT21" i="31"/>
  <c r="BT25" i="31"/>
  <c r="BT29" i="31"/>
  <c r="BP2" i="31"/>
  <c r="BP6" i="31"/>
  <c r="BP10" i="31"/>
  <c r="BP46" i="31"/>
  <c r="BP13" i="31"/>
  <c r="BP17" i="31"/>
  <c r="BP21" i="31"/>
  <c r="BP65" i="31"/>
  <c r="BP25" i="31"/>
  <c r="BP29" i="31"/>
  <c r="BL3" i="31"/>
  <c r="BL7" i="31"/>
  <c r="BL11" i="31"/>
  <c r="BL14" i="31"/>
  <c r="BL18" i="31"/>
  <c r="BL22" i="31"/>
  <c r="BL26" i="31"/>
  <c r="BL30" i="31"/>
  <c r="BI7" i="31"/>
  <c r="BI14" i="31"/>
  <c r="BI34" i="31"/>
  <c r="BI22" i="31"/>
  <c r="BI30" i="31"/>
  <c r="BI8" i="31"/>
  <c r="BI15" i="31"/>
  <c r="BI23" i="31"/>
  <c r="BI49" i="31"/>
  <c r="BE3" i="31"/>
  <c r="BE7" i="31"/>
  <c r="BE24" i="31"/>
  <c r="BE8" i="31"/>
  <c r="BE15" i="31"/>
  <c r="BE23" i="31"/>
  <c r="BE49" i="31"/>
  <c r="BE14" i="31"/>
  <c r="P4" i="18"/>
  <c r="P8" i="18"/>
  <c r="P15" i="18"/>
  <c r="P19" i="18"/>
  <c r="P23" i="18"/>
  <c r="P27" i="18"/>
  <c r="AW70" i="5"/>
  <c r="BA70" i="5"/>
  <c r="AW56" i="5"/>
  <c r="BA56" i="5"/>
  <c r="AW71" i="5"/>
  <c r="BA71" i="5"/>
  <c r="AW57" i="5"/>
  <c r="BA57" i="5"/>
  <c r="BA46" i="5"/>
  <c r="BA45" i="5"/>
  <c r="AW65" i="5"/>
  <c r="AW51" i="5"/>
  <c r="BA51" i="5"/>
  <c r="BU72" i="18"/>
  <c r="CJ72" i="18"/>
  <c r="BU58" i="18"/>
  <c r="CJ58" i="18"/>
  <c r="BU52" i="18"/>
  <c r="CJ52" i="18"/>
  <c r="BU66" i="18"/>
  <c r="CJ66" i="18"/>
  <c r="BU75" i="18"/>
  <c r="CJ75" i="18"/>
  <c r="BU61" i="18"/>
  <c r="CJ61" i="18"/>
  <c r="FL61" i="18"/>
  <c r="FN61" i="18"/>
  <c r="FL75" i="18"/>
  <c r="FN75" i="18"/>
  <c r="FL76" i="18"/>
  <c r="FN76" i="18"/>
  <c r="FL62" i="18"/>
  <c r="FN62" i="18"/>
  <c r="Z60" i="18"/>
  <c r="AL60" i="18"/>
  <c r="Z74" i="18"/>
  <c r="AL74" i="18"/>
  <c r="Z58" i="18"/>
  <c r="AL58" i="18"/>
  <c r="Z72" i="18"/>
  <c r="AL72" i="18"/>
  <c r="Z65" i="18"/>
  <c r="AL65" i="18"/>
  <c r="Z51" i="18"/>
  <c r="AL51" i="18"/>
  <c r="Z57" i="18"/>
  <c r="AL57" i="18"/>
  <c r="Z71" i="18"/>
  <c r="AL71" i="18"/>
  <c r="EO59" i="18"/>
  <c r="FD59" i="18"/>
  <c r="EO73" i="18"/>
  <c r="FD73" i="18"/>
  <c r="EO58" i="18"/>
  <c r="FD58" i="18"/>
  <c r="EO72" i="18"/>
  <c r="FD72" i="18"/>
  <c r="EO71" i="18"/>
  <c r="FD71" i="18"/>
  <c r="EO57" i="18"/>
  <c r="FD57" i="18"/>
  <c r="CE54" i="18"/>
  <c r="CT54" i="18"/>
  <c r="CE68" i="18"/>
  <c r="CT68" i="18"/>
  <c r="EK55" i="18"/>
  <c r="EZ55" i="18"/>
  <c r="EK69" i="18"/>
  <c r="EZ69" i="18"/>
  <c r="EK53" i="18"/>
  <c r="EZ53" i="18"/>
  <c r="EK67" i="18"/>
  <c r="EZ67" i="18"/>
  <c r="EK60" i="18"/>
  <c r="EZ60" i="18"/>
  <c r="EK74" i="18"/>
  <c r="EZ74" i="18"/>
  <c r="T54" i="18"/>
  <c r="AF54" i="18"/>
  <c r="T68" i="18"/>
  <c r="AF68" i="18"/>
  <c r="T58" i="18"/>
  <c r="AF58" i="18"/>
  <c r="T72" i="18"/>
  <c r="AF72" i="18"/>
  <c r="T55" i="18"/>
  <c r="AF55" i="18"/>
  <c r="T69" i="18"/>
  <c r="AF69" i="18"/>
  <c r="EJ54" i="18"/>
  <c r="EJ68" i="18"/>
  <c r="EJ59" i="18"/>
  <c r="EJ73" i="18"/>
  <c r="EJ56" i="18"/>
  <c r="EJ70" i="18"/>
  <c r="EJ76" i="18"/>
  <c r="EY76" i="18"/>
  <c r="EJ62" i="18"/>
  <c r="CA72" i="31"/>
  <c r="BS4" i="31"/>
  <c r="BS8" i="31"/>
  <c r="BS15" i="31"/>
  <c r="BS19" i="31"/>
  <c r="BS23" i="31"/>
  <c r="BS49" i="31"/>
  <c r="BS27" i="31"/>
  <c r="BO4" i="31"/>
  <c r="BO8" i="31"/>
  <c r="BO41" i="31"/>
  <c r="BO15" i="31"/>
  <c r="BO19" i="31"/>
  <c r="BO23" i="31"/>
  <c r="BO49" i="31"/>
  <c r="BO27" i="31"/>
  <c r="BK4" i="31"/>
  <c r="BK8" i="31"/>
  <c r="BK15" i="31"/>
  <c r="BK19" i="31"/>
  <c r="BK23" i="31"/>
  <c r="BK49" i="31"/>
  <c r="BK27" i="31"/>
  <c r="BH5" i="31"/>
  <c r="BH9" i="31"/>
  <c r="BH68" i="31"/>
  <c r="BH12" i="31"/>
  <c r="BH16" i="31"/>
  <c r="BH20" i="31"/>
  <c r="BH24" i="31"/>
  <c r="BH28" i="31"/>
  <c r="CF73" i="18"/>
  <c r="CU73" i="18"/>
  <c r="CF59" i="18"/>
  <c r="CU59" i="18"/>
  <c r="BO58" i="37"/>
  <c r="BO72" i="37"/>
  <c r="BO51" i="37"/>
  <c r="BO65" i="37"/>
  <c r="BO50" i="37"/>
  <c r="BO64" i="37"/>
  <c r="BO57" i="37"/>
  <c r="BO71" i="37"/>
  <c r="BP67" i="37"/>
  <c r="BP53" i="37"/>
  <c r="BP68" i="37"/>
  <c r="BP54" i="37"/>
  <c r="BP66" i="37"/>
  <c r="BP52" i="37"/>
  <c r="BP31" i="37"/>
  <c r="BO31" i="37"/>
  <c r="AX22" i="5"/>
  <c r="M16" i="5"/>
  <c r="K70" i="5"/>
  <c r="K56" i="5"/>
  <c r="K67" i="5"/>
  <c r="K53" i="5"/>
  <c r="K44" i="5"/>
  <c r="O31" i="5"/>
  <c r="O47" i="5"/>
  <c r="K55" i="5"/>
  <c r="K69" i="5"/>
  <c r="O69" i="5"/>
  <c r="O34" i="5"/>
  <c r="O41" i="5"/>
  <c r="O43" i="5"/>
  <c r="AK68" i="5"/>
  <c r="AK54" i="5"/>
  <c r="AK70" i="5"/>
  <c r="AK56" i="5"/>
  <c r="AK71" i="5"/>
  <c r="AK57" i="5"/>
  <c r="AK74" i="5"/>
  <c r="AK60" i="5"/>
  <c r="AM32" i="18"/>
  <c r="AA61" i="18"/>
  <c r="AM61" i="18"/>
  <c r="AA75" i="18"/>
  <c r="AM75" i="18"/>
  <c r="AA76" i="18"/>
  <c r="AM76" i="18"/>
  <c r="AA62" i="18"/>
  <c r="AM62" i="18"/>
  <c r="EQ54" i="18"/>
  <c r="FF54" i="18"/>
  <c r="EQ68" i="18"/>
  <c r="FF68" i="18"/>
  <c r="EQ56" i="18"/>
  <c r="FF56" i="18"/>
  <c r="EQ70" i="18"/>
  <c r="FF70" i="18"/>
  <c r="V72" i="18"/>
  <c r="AH72" i="18"/>
  <c r="V58" i="18"/>
  <c r="AH58" i="18"/>
  <c r="V55" i="18"/>
  <c r="AH55" i="18"/>
  <c r="V69" i="18"/>
  <c r="AH69" i="18"/>
  <c r="AH46" i="18"/>
  <c r="AH45" i="18"/>
  <c r="V52" i="18"/>
  <c r="AH52" i="18"/>
  <c r="V66" i="18"/>
  <c r="AH66" i="18"/>
  <c r="EG67" i="18"/>
  <c r="EV67" i="18"/>
  <c r="EG53" i="18"/>
  <c r="EV53" i="18"/>
  <c r="EG60" i="18"/>
  <c r="EV60" i="18"/>
  <c r="EG74" i="18"/>
  <c r="EV74" i="18"/>
  <c r="EG65" i="18"/>
  <c r="EV65" i="18"/>
  <c r="EG51" i="18"/>
  <c r="EV51" i="18"/>
  <c r="EG57" i="18"/>
  <c r="EV57" i="18"/>
  <c r="EG71" i="18"/>
  <c r="EV71" i="18"/>
  <c r="EG75" i="18"/>
  <c r="EV75" i="18"/>
  <c r="EG61" i="18"/>
  <c r="EV61" i="18"/>
  <c r="BW54" i="18"/>
  <c r="CL54" i="18"/>
  <c r="BW68" i="18"/>
  <c r="CL68" i="18"/>
  <c r="BW73" i="18"/>
  <c r="CL73" i="18"/>
  <c r="BW59" i="18"/>
  <c r="CL59" i="18"/>
  <c r="BW74" i="18"/>
  <c r="CL74" i="18"/>
  <c r="BW60" i="18"/>
  <c r="CL60" i="18"/>
  <c r="BW65" i="18"/>
  <c r="CL65" i="18"/>
  <c r="BW51" i="18"/>
  <c r="CL51" i="18"/>
  <c r="BW57" i="18"/>
  <c r="CL57" i="18"/>
  <c r="BZ7" i="31"/>
  <c r="BZ14" i="31"/>
  <c r="BZ22" i="31"/>
  <c r="BZ37" i="31"/>
  <c r="BZ30" i="31"/>
  <c r="BZ8" i="31"/>
  <c r="BZ15" i="31"/>
  <c r="BZ23" i="31"/>
  <c r="BZ49" i="31"/>
  <c r="BW4" i="31"/>
  <c r="BW8" i="31"/>
  <c r="BW15" i="31"/>
  <c r="BW19" i="31"/>
  <c r="BW23" i="31"/>
  <c r="BW49" i="31"/>
  <c r="BW27" i="31"/>
  <c r="BR5" i="31"/>
  <c r="BR9" i="31"/>
  <c r="BR68" i="31"/>
  <c r="BR12" i="31"/>
  <c r="BR16" i="31"/>
  <c r="BR20" i="31"/>
  <c r="BR24" i="31"/>
  <c r="BR28" i="31"/>
  <c r="BN2" i="31"/>
  <c r="BN6" i="31"/>
  <c r="BN10" i="31"/>
  <c r="BN46" i="31"/>
  <c r="BN13" i="31"/>
  <c r="BN17" i="31"/>
  <c r="BN21" i="31"/>
  <c r="BN25" i="31"/>
  <c r="BN50" i="31"/>
  <c r="BN29" i="31"/>
  <c r="BG4" i="31"/>
  <c r="BG8" i="31"/>
  <c r="BG15" i="31"/>
  <c r="BG19" i="31"/>
  <c r="BG23" i="31"/>
  <c r="BG49" i="31"/>
  <c r="BG27" i="31"/>
  <c r="BF5" i="31"/>
  <c r="BF9" i="31"/>
  <c r="BF12" i="31"/>
  <c r="BF16" i="31"/>
  <c r="BF20" i="31"/>
  <c r="BF24" i="31"/>
  <c r="BF28" i="31"/>
  <c r="ER45" i="18"/>
  <c r="X51" i="18"/>
  <c r="AJ51" i="18"/>
  <c r="X65" i="18"/>
  <c r="AJ65" i="18"/>
  <c r="X52" i="18"/>
  <c r="AJ52" i="18"/>
  <c r="X66" i="18"/>
  <c r="AJ66" i="18"/>
  <c r="X67" i="18"/>
  <c r="AJ67" i="18"/>
  <c r="X53" i="18"/>
  <c r="AJ53" i="18"/>
  <c r="X74" i="18"/>
  <c r="AJ74" i="18"/>
  <c r="X60" i="18"/>
  <c r="AJ60" i="18"/>
  <c r="X56" i="18"/>
  <c r="AJ56" i="18"/>
  <c r="X70" i="18"/>
  <c r="AJ70" i="18"/>
  <c r="EN59" i="18"/>
  <c r="FC59" i="18"/>
  <c r="EN73" i="18"/>
  <c r="FC73" i="18"/>
  <c r="EN74" i="18"/>
  <c r="FC74" i="18"/>
  <c r="EN60" i="18"/>
  <c r="FC60" i="18"/>
  <c r="EN69" i="18"/>
  <c r="FC69" i="18"/>
  <c r="EN55" i="18"/>
  <c r="FC55" i="18"/>
  <c r="EN66" i="18"/>
  <c r="FC66" i="18"/>
  <c r="EN52" i="18"/>
  <c r="FC52" i="18"/>
  <c r="CD73" i="18"/>
  <c r="CS73" i="18"/>
  <c r="CD59" i="18"/>
  <c r="CS59" i="18"/>
  <c r="Q68" i="18"/>
  <c r="AC68" i="18"/>
  <c r="Q54" i="18"/>
  <c r="AC54" i="18"/>
  <c r="Q56" i="18"/>
  <c r="AC56" i="18"/>
  <c r="Q70" i="18"/>
  <c r="AC70" i="18"/>
  <c r="Q75" i="18"/>
  <c r="AC75" i="18"/>
  <c r="Q61" i="18"/>
  <c r="AC61" i="18"/>
  <c r="Q65" i="18"/>
  <c r="AC65" i="18"/>
  <c r="Q51" i="18"/>
  <c r="AC51" i="18"/>
  <c r="Q57" i="18"/>
  <c r="AC57" i="18"/>
  <c r="Q71" i="18"/>
  <c r="AC71" i="18"/>
  <c r="EL53" i="18"/>
  <c r="FA53" i="18"/>
  <c r="EL67" i="18"/>
  <c r="FA67" i="18"/>
  <c r="EL60" i="18"/>
  <c r="FA60" i="18"/>
  <c r="EL74" i="18"/>
  <c r="FA74" i="18"/>
  <c r="EL57" i="18"/>
  <c r="FA57" i="18"/>
  <c r="EL71" i="18"/>
  <c r="FA71" i="18"/>
  <c r="BY3" i="31"/>
  <c r="BY7" i="31"/>
  <c r="BY11" i="31"/>
  <c r="BY14" i="31"/>
  <c r="BY18" i="31"/>
  <c r="BY22" i="31"/>
  <c r="BY26" i="31"/>
  <c r="BY30" i="31"/>
  <c r="BY35" i="31"/>
  <c r="BV11" i="31"/>
  <c r="BV28" i="31"/>
  <c r="BV6" i="31"/>
  <c r="BV13" i="31"/>
  <c r="BV21" i="31"/>
  <c r="BV29" i="31"/>
  <c r="BV5" i="31"/>
  <c r="BV26" i="31"/>
  <c r="BQ4" i="31"/>
  <c r="BQ19" i="31"/>
  <c r="BQ27" i="31"/>
  <c r="BQ3" i="31"/>
  <c r="BQ32" i="31"/>
  <c r="BQ11" i="31"/>
  <c r="BQ18" i="31"/>
  <c r="BQ26" i="31"/>
  <c r="BM19" i="31"/>
  <c r="BM13" i="31"/>
  <c r="BM3" i="31"/>
  <c r="BM11" i="31"/>
  <c r="BM18" i="31"/>
  <c r="BM26" i="31"/>
  <c r="BM15" i="31"/>
  <c r="BJ2" i="31"/>
  <c r="BJ6" i="31"/>
  <c r="BJ47" i="31"/>
  <c r="BJ10" i="31"/>
  <c r="BJ46" i="31"/>
  <c r="BJ45" i="31"/>
  <c r="BJ13" i="31"/>
  <c r="BJ17" i="31"/>
  <c r="BJ21" i="31"/>
  <c r="BJ25" i="31"/>
  <c r="BJ29" i="31"/>
  <c r="AY33" i="5"/>
  <c r="AY49" i="5"/>
  <c r="AY32" i="5"/>
  <c r="AY31" i="5"/>
  <c r="AU69" i="5"/>
  <c r="AU55" i="5"/>
  <c r="AY40" i="5"/>
  <c r="AY34" i="5"/>
  <c r="AU53" i="5"/>
  <c r="AU67" i="5"/>
  <c r="AY44" i="5"/>
  <c r="AU64" i="5"/>
  <c r="AU50" i="5"/>
  <c r="L70" i="5"/>
  <c r="P70" i="5"/>
  <c r="L56" i="5"/>
  <c r="P56" i="5"/>
  <c r="P46" i="5"/>
  <c r="L71" i="5"/>
  <c r="P71" i="5"/>
  <c r="L57" i="5"/>
  <c r="P57" i="5"/>
  <c r="L47" i="5"/>
  <c r="P47" i="5"/>
  <c r="BE47" i="5"/>
  <c r="BF47" i="5"/>
  <c r="BF45" i="5"/>
  <c r="AB75" i="5"/>
  <c r="AB61" i="5"/>
  <c r="AA50" i="5"/>
  <c r="AA64" i="5"/>
  <c r="AA54" i="5"/>
  <c r="AA68" i="5"/>
  <c r="AB56" i="5"/>
  <c r="AB70" i="5"/>
  <c r="Y75" i="5"/>
  <c r="AD75" i="5"/>
  <c r="Y61" i="5"/>
  <c r="AD61" i="5"/>
  <c r="Z50" i="5"/>
  <c r="Z64" i="5"/>
  <c r="AE64" i="5"/>
  <c r="X64" i="5"/>
  <c r="X50" i="5"/>
  <c r="AC50" i="5"/>
  <c r="X72" i="5"/>
  <c r="AC72" i="5"/>
  <c r="X58" i="5"/>
  <c r="AC58" i="5"/>
  <c r="Z69" i="5"/>
  <c r="Z55" i="5"/>
  <c r="AA66" i="5"/>
  <c r="AA52" i="5"/>
  <c r="AB72" i="5"/>
  <c r="AB58" i="5"/>
  <c r="L75" i="5"/>
  <c r="P75" i="5"/>
  <c r="L61" i="5"/>
  <c r="P61" i="5"/>
  <c r="L52" i="5"/>
  <c r="P52" i="5"/>
  <c r="L66" i="5"/>
  <c r="P66" i="5"/>
  <c r="L68" i="5"/>
  <c r="P68" i="5"/>
  <c r="L54" i="5"/>
  <c r="P54" i="5"/>
  <c r="X76" i="5"/>
  <c r="AC76" i="5"/>
  <c r="X62" i="5"/>
  <c r="AC62" i="5"/>
  <c r="X55" i="5"/>
  <c r="AC55" i="5"/>
  <c r="X69" i="5"/>
  <c r="AC69" i="5"/>
  <c r="AB51" i="5"/>
  <c r="AB65" i="5"/>
  <c r="AL67" i="5"/>
  <c r="AN67" i="5"/>
  <c r="AL53" i="5"/>
  <c r="AN53" i="5"/>
  <c r="AL64" i="5"/>
  <c r="AN64" i="5"/>
  <c r="AL50" i="5"/>
  <c r="AN50" i="5"/>
  <c r="BE72" i="5"/>
  <c r="BF72" i="5"/>
  <c r="BE58" i="5"/>
  <c r="BF58" i="5"/>
  <c r="BF32" i="5"/>
  <c r="BE55" i="5"/>
  <c r="BF55" i="5"/>
  <c r="BE69" i="5"/>
  <c r="BF69" i="5"/>
  <c r="AN31" i="5"/>
  <c r="AL69" i="5"/>
  <c r="AN69" i="5"/>
  <c r="AL55" i="5"/>
  <c r="AN55" i="5"/>
  <c r="AL73" i="5"/>
  <c r="AN73" i="5"/>
  <c r="AL59" i="5"/>
  <c r="AN59" i="5"/>
  <c r="AL52" i="5"/>
  <c r="AN52" i="5"/>
  <c r="AL66" i="5"/>
  <c r="AN66" i="5"/>
  <c r="BE75" i="5"/>
  <c r="BF75" i="5"/>
  <c r="BE61" i="5"/>
  <c r="BF61" i="5"/>
  <c r="BE76" i="5"/>
  <c r="BF76" i="5"/>
  <c r="BE62" i="5"/>
  <c r="BF62" i="5"/>
  <c r="BT53" i="18"/>
  <c r="CI53" i="18"/>
  <c r="BT67" i="18"/>
  <c r="CI67" i="18"/>
  <c r="BT56" i="18"/>
  <c r="CI56" i="18"/>
  <c r="BT70" i="18"/>
  <c r="CI70" i="18"/>
  <c r="BT65" i="18"/>
  <c r="CI65" i="18"/>
  <c r="BT51" i="18"/>
  <c r="CI51" i="18"/>
  <c r="BT59" i="18"/>
  <c r="CI59" i="18"/>
  <c r="BT73" i="18"/>
  <c r="CI73" i="18"/>
  <c r="ES70" i="18"/>
  <c r="ES56" i="18"/>
  <c r="ES69" i="18"/>
  <c r="ES55" i="18"/>
  <c r="FK55" i="18"/>
  <c r="FK69" i="18"/>
  <c r="ES51" i="18"/>
  <c r="ES65" i="18"/>
  <c r="FK74" i="18"/>
  <c r="FM74" i="18"/>
  <c r="FK60" i="18"/>
  <c r="FK66" i="18"/>
  <c r="FK52" i="18"/>
  <c r="S62" i="18"/>
  <c r="AE62" i="18"/>
  <c r="S76" i="18"/>
  <c r="AE76" i="18"/>
  <c r="S71" i="18"/>
  <c r="AE71" i="18"/>
  <c r="S57" i="18"/>
  <c r="AE57" i="18"/>
  <c r="S54" i="18"/>
  <c r="AE54" i="18"/>
  <c r="S68" i="18"/>
  <c r="AE68" i="18"/>
  <c r="S58" i="18"/>
  <c r="AE58" i="18"/>
  <c r="S72" i="18"/>
  <c r="AE72" i="18"/>
  <c r="S55" i="18"/>
  <c r="AE55" i="18"/>
  <c r="S69" i="18"/>
  <c r="AE69" i="18"/>
  <c r="EI74" i="18"/>
  <c r="EX74" i="18"/>
  <c r="EI60" i="18"/>
  <c r="EX60" i="18"/>
  <c r="EX31" i="18"/>
  <c r="EI71" i="18"/>
  <c r="EX71" i="18"/>
  <c r="EI57" i="18"/>
  <c r="EX57" i="18"/>
  <c r="EI70" i="18"/>
  <c r="EX70" i="18"/>
  <c r="EI56" i="18"/>
  <c r="EX56" i="18"/>
  <c r="R68" i="18"/>
  <c r="AD68" i="18"/>
  <c r="R54" i="18"/>
  <c r="AD54" i="18"/>
  <c r="R72" i="18"/>
  <c r="AD72" i="18"/>
  <c r="R58" i="18"/>
  <c r="AD58" i="18"/>
  <c r="R55" i="18"/>
  <c r="AD55" i="18"/>
  <c r="R69" i="18"/>
  <c r="AD69" i="18"/>
  <c r="AD45" i="18"/>
  <c r="R52" i="18"/>
  <c r="AD52" i="18"/>
  <c r="R66" i="18"/>
  <c r="AD66" i="18"/>
  <c r="R64" i="18"/>
  <c r="AD64" i="18"/>
  <c r="R50" i="18"/>
  <c r="AD50" i="18"/>
  <c r="EM67" i="18"/>
  <c r="FB67" i="18"/>
  <c r="EM53" i="18"/>
  <c r="FB53" i="18"/>
  <c r="EM74" i="18"/>
  <c r="FB74" i="18"/>
  <c r="EM60" i="18"/>
  <c r="FB60" i="18"/>
  <c r="EM51" i="18"/>
  <c r="FB51" i="18"/>
  <c r="EM65" i="18"/>
  <c r="FB65" i="18"/>
  <c r="EM57" i="18"/>
  <c r="FB57" i="18"/>
  <c r="EM71" i="18"/>
  <c r="FB71" i="18"/>
  <c r="EM75" i="18"/>
  <c r="FB75" i="18"/>
  <c r="EM61" i="18"/>
  <c r="FB61" i="18"/>
  <c r="BX4" i="31"/>
  <c r="BX8" i="31"/>
  <c r="BX15" i="31"/>
  <c r="BX19" i="31"/>
  <c r="BX23" i="31"/>
  <c r="BX49" i="31"/>
  <c r="BX27" i="31"/>
  <c r="BT3" i="31"/>
  <c r="BT7" i="31"/>
  <c r="BT11" i="31"/>
  <c r="BT14" i="31"/>
  <c r="BT18" i="31"/>
  <c r="BT22" i="31"/>
  <c r="BT26" i="31"/>
  <c r="BT30" i="31"/>
  <c r="BP3" i="31"/>
  <c r="BP7" i="31"/>
  <c r="BP11" i="31"/>
  <c r="BP39" i="31"/>
  <c r="BP14" i="31"/>
  <c r="BP18" i="31"/>
  <c r="BP22" i="31"/>
  <c r="BP26" i="31"/>
  <c r="BP30" i="31"/>
  <c r="BL4" i="31"/>
  <c r="BL8" i="31"/>
  <c r="BL15" i="31"/>
  <c r="BL19" i="31"/>
  <c r="BL23" i="31"/>
  <c r="BL49" i="31"/>
  <c r="BL27" i="31"/>
  <c r="BI9" i="31"/>
  <c r="BI68" i="31"/>
  <c r="BI16" i="31"/>
  <c r="BI24" i="31"/>
  <c r="BI2" i="31"/>
  <c r="BI10" i="31"/>
  <c r="BI46" i="31"/>
  <c r="BI17" i="31"/>
  <c r="BI25" i="31"/>
  <c r="BE16" i="31"/>
  <c r="BE12" i="31"/>
  <c r="BE2" i="31"/>
  <c r="BE10" i="31"/>
  <c r="BE46" i="31"/>
  <c r="BE17" i="31"/>
  <c r="BE25" i="31"/>
  <c r="BE50" i="31"/>
  <c r="BE20" i="31"/>
  <c r="P5" i="18"/>
  <c r="P9" i="18"/>
  <c r="P12" i="18"/>
  <c r="P16" i="18"/>
  <c r="P20" i="18"/>
  <c r="P24" i="18"/>
  <c r="P28" i="18"/>
  <c r="BV8" i="18"/>
  <c r="AW74" i="5"/>
  <c r="BA74" i="5"/>
  <c r="AW60" i="5"/>
  <c r="BA60" i="5"/>
  <c r="BA49" i="5"/>
  <c r="AW69" i="5"/>
  <c r="BA69" i="5"/>
  <c r="AW55" i="5"/>
  <c r="BA55" i="5"/>
  <c r="BU53" i="18"/>
  <c r="CJ53" i="18"/>
  <c r="BU67" i="18"/>
  <c r="CJ67" i="18"/>
  <c r="BU70" i="18"/>
  <c r="CJ70" i="18"/>
  <c r="BU56" i="18"/>
  <c r="CJ56" i="18"/>
  <c r="BU51" i="18"/>
  <c r="CJ51" i="18"/>
  <c r="BU65" i="18"/>
  <c r="CJ65" i="18"/>
  <c r="BU73" i="18"/>
  <c r="CJ73" i="18"/>
  <c r="BU59" i="18"/>
  <c r="CJ59" i="18"/>
  <c r="FL53" i="18"/>
  <c r="FN53" i="18"/>
  <c r="FL67" i="18"/>
  <c r="FN67" i="18"/>
  <c r="FL74" i="18"/>
  <c r="FN74" i="18"/>
  <c r="FL60" i="18"/>
  <c r="FN60" i="18"/>
  <c r="FL70" i="18"/>
  <c r="FN70" i="18"/>
  <c r="FL56" i="18"/>
  <c r="FN56" i="18"/>
  <c r="FL51" i="18"/>
  <c r="FN51" i="18"/>
  <c r="FL65" i="18"/>
  <c r="FN65" i="18"/>
  <c r="FL57" i="18"/>
  <c r="FN57" i="18"/>
  <c r="FL71" i="18"/>
  <c r="FN71" i="18"/>
  <c r="Z61" i="18"/>
  <c r="AL61" i="18"/>
  <c r="Z75" i="18"/>
  <c r="AL75" i="18"/>
  <c r="Z56" i="18"/>
  <c r="AL56" i="18"/>
  <c r="Z70" i="18"/>
  <c r="AL70" i="18"/>
  <c r="Z69" i="18"/>
  <c r="AL69" i="18"/>
  <c r="Z55" i="18"/>
  <c r="AL55" i="18"/>
  <c r="AL49" i="18"/>
  <c r="EO61" i="18"/>
  <c r="FD61" i="18"/>
  <c r="EO75" i="18"/>
  <c r="FD75" i="18"/>
  <c r="EO62" i="18"/>
  <c r="FD62" i="18"/>
  <c r="EO76" i="18"/>
  <c r="FD76" i="18"/>
  <c r="EO54" i="18"/>
  <c r="FD54" i="18"/>
  <c r="EO68" i="18"/>
  <c r="FD68" i="18"/>
  <c r="EO56" i="18"/>
  <c r="FD56" i="18"/>
  <c r="EO70" i="18"/>
  <c r="FD70" i="18"/>
  <c r="EO66" i="18"/>
  <c r="FD66" i="18"/>
  <c r="EO52" i="18"/>
  <c r="FD52" i="18"/>
  <c r="CE73" i="18"/>
  <c r="CT73" i="18"/>
  <c r="CE59" i="18"/>
  <c r="CT59" i="18"/>
  <c r="CT45" i="18"/>
  <c r="EK56" i="18"/>
  <c r="EZ56" i="18"/>
  <c r="EK70" i="18"/>
  <c r="EZ70" i="18"/>
  <c r="EZ45" i="18"/>
  <c r="EK51" i="18"/>
  <c r="EZ51" i="18"/>
  <c r="EK65" i="18"/>
  <c r="EZ65" i="18"/>
  <c r="EK59" i="18"/>
  <c r="EZ59" i="18"/>
  <c r="EK73" i="18"/>
  <c r="EZ73" i="18"/>
  <c r="EK76" i="18"/>
  <c r="EZ76" i="18"/>
  <c r="EK62" i="18"/>
  <c r="EZ62" i="18"/>
  <c r="T66" i="18"/>
  <c r="AF66" i="18"/>
  <c r="T52" i="18"/>
  <c r="AF52" i="18"/>
  <c r="T50" i="18"/>
  <c r="AF50" i="18"/>
  <c r="T64" i="18"/>
  <c r="AF64" i="18"/>
  <c r="AF32" i="18"/>
  <c r="T61" i="18"/>
  <c r="AF61" i="18"/>
  <c r="T75" i="18"/>
  <c r="AF75" i="18"/>
  <c r="EJ53" i="18"/>
  <c r="EJ67" i="18"/>
  <c r="EJ51" i="18"/>
  <c r="EJ65" i="18"/>
  <c r="EJ71" i="18"/>
  <c r="EY71" i="18"/>
  <c r="EJ57" i="18"/>
  <c r="BZ73" i="18"/>
  <c r="CO73" i="18"/>
  <c r="BZ59" i="18"/>
  <c r="CO59" i="18"/>
  <c r="CA46" i="31"/>
  <c r="BS5" i="31"/>
  <c r="BS9" i="31"/>
  <c r="BS12" i="31"/>
  <c r="BS74" i="31"/>
  <c r="BS16" i="31"/>
  <c r="BS20" i="31"/>
  <c r="BS24" i="31"/>
  <c r="BS28" i="31"/>
  <c r="BO5" i="31"/>
  <c r="BO9" i="31"/>
  <c r="BO12" i="31"/>
  <c r="BO16" i="31"/>
  <c r="BO20" i="31"/>
  <c r="BO24" i="31"/>
  <c r="BO28" i="31"/>
  <c r="BK5" i="31"/>
  <c r="BK67" i="31"/>
  <c r="BK9" i="31"/>
  <c r="BK12" i="31"/>
  <c r="BK16" i="31"/>
  <c r="BK20" i="31"/>
  <c r="BK24" i="31"/>
  <c r="BK28" i="31"/>
  <c r="BH2" i="31"/>
  <c r="BH6" i="31"/>
  <c r="BH10" i="31"/>
  <c r="BH13" i="31"/>
  <c r="BH17" i="31"/>
  <c r="BH21" i="31"/>
  <c r="BH51" i="31"/>
  <c r="BH25" i="31"/>
  <c r="BH29" i="31"/>
  <c r="BO59" i="37"/>
  <c r="BO73" i="37"/>
  <c r="BO60" i="37"/>
  <c r="BO74" i="37"/>
  <c r="BO56" i="37"/>
  <c r="BO70" i="37"/>
  <c r="BO55" i="37"/>
  <c r="BO69" i="37"/>
  <c r="BO62" i="37"/>
  <c r="BO76" i="37"/>
  <c r="BP45" i="37"/>
  <c r="BP74" i="37"/>
  <c r="BP60" i="37"/>
  <c r="BP75" i="37"/>
  <c r="BP61" i="37"/>
  <c r="BP70" i="37"/>
  <c r="BP56" i="37"/>
  <c r="BP69" i="37"/>
  <c r="BP55" i="37"/>
  <c r="M27" i="5"/>
  <c r="M5" i="5"/>
  <c r="AX16" i="5"/>
  <c r="O35" i="5"/>
  <c r="K52" i="5"/>
  <c r="K66" i="5"/>
  <c r="K61" i="5"/>
  <c r="K75" i="5"/>
  <c r="K54" i="5"/>
  <c r="K68" i="5"/>
  <c r="K71" i="5"/>
  <c r="K57" i="5"/>
  <c r="K64" i="5"/>
  <c r="K50" i="5"/>
  <c r="O46" i="5"/>
  <c r="O45" i="5"/>
  <c r="K65" i="5"/>
  <c r="K51" i="5"/>
  <c r="AK67" i="5"/>
  <c r="AK53" i="5"/>
  <c r="AK64" i="5"/>
  <c r="AK50" i="5"/>
  <c r="AK72" i="5"/>
  <c r="AK58" i="5"/>
  <c r="AA53" i="18"/>
  <c r="AM53" i="18"/>
  <c r="AA67" i="18"/>
  <c r="AM67" i="18"/>
  <c r="AA60" i="18"/>
  <c r="AM60" i="18"/>
  <c r="AA74" i="18"/>
  <c r="AM74" i="18"/>
  <c r="AA56" i="18"/>
  <c r="AM56" i="18"/>
  <c r="AA70" i="18"/>
  <c r="AM70" i="18"/>
  <c r="AA51" i="18"/>
  <c r="AM51" i="18"/>
  <c r="AA65" i="18"/>
  <c r="AM65" i="18"/>
  <c r="AA57" i="18"/>
  <c r="AM57" i="18"/>
  <c r="AA71" i="18"/>
  <c r="AM71" i="18"/>
  <c r="EQ52" i="18"/>
  <c r="FF52" i="18"/>
  <c r="EQ66" i="18"/>
  <c r="FF66" i="18"/>
  <c r="EQ64" i="18"/>
  <c r="FF64" i="18"/>
  <c r="EQ50" i="18"/>
  <c r="FF50" i="18"/>
  <c r="CG59" i="18"/>
  <c r="CV59" i="18"/>
  <c r="CG73" i="18"/>
  <c r="CV73" i="18"/>
  <c r="AH32" i="18"/>
  <c r="V61" i="18"/>
  <c r="AH61" i="18"/>
  <c r="V75" i="18"/>
  <c r="AH75" i="18"/>
  <c r="V76" i="18"/>
  <c r="AH76" i="18"/>
  <c r="V62" i="18"/>
  <c r="AH62" i="18"/>
  <c r="EV45" i="18"/>
  <c r="EG59" i="18"/>
  <c r="EV59" i="18"/>
  <c r="EG73" i="18"/>
  <c r="EV73" i="18"/>
  <c r="EG70" i="18"/>
  <c r="EV70" i="18"/>
  <c r="EG56" i="18"/>
  <c r="EV56" i="18"/>
  <c r="BW75" i="18"/>
  <c r="CL75" i="18"/>
  <c r="BW61" i="18"/>
  <c r="CL61" i="18"/>
  <c r="BW58" i="18"/>
  <c r="CL58" i="18"/>
  <c r="BW72" i="18"/>
  <c r="CL72" i="18"/>
  <c r="BW70" i="18"/>
  <c r="CL70" i="18"/>
  <c r="BW56" i="18"/>
  <c r="CL56" i="18"/>
  <c r="BZ9" i="31"/>
  <c r="BZ16" i="31"/>
  <c r="BZ24" i="31"/>
  <c r="BZ2" i="31"/>
  <c r="BZ10" i="31"/>
  <c r="BZ17" i="31"/>
  <c r="BZ25" i="31"/>
  <c r="BW5" i="31"/>
  <c r="BW9" i="31"/>
  <c r="BW12" i="31"/>
  <c r="BW16" i="31"/>
  <c r="BW72" i="31"/>
  <c r="BW20" i="31"/>
  <c r="BW24" i="31"/>
  <c r="BW28" i="31"/>
  <c r="BR2" i="31"/>
  <c r="BR6" i="31"/>
  <c r="BR10" i="31"/>
  <c r="BR46" i="31"/>
  <c r="BR13" i="31"/>
  <c r="BR17" i="31"/>
  <c r="BR21" i="31"/>
  <c r="BR25" i="31"/>
  <c r="BR29" i="31"/>
  <c r="BN3" i="31"/>
  <c r="BN32" i="31"/>
  <c r="BN7" i="31"/>
  <c r="BN11" i="31"/>
  <c r="BN14" i="31"/>
  <c r="BN18" i="31"/>
  <c r="BN22" i="31"/>
  <c r="BN26" i="31"/>
  <c r="BN30" i="31"/>
  <c r="CB49" i="31"/>
  <c r="BG5" i="31"/>
  <c r="BG9" i="31"/>
  <c r="BG68" i="31"/>
  <c r="BG12" i="31"/>
  <c r="BG16" i="31"/>
  <c r="BG20" i="31"/>
  <c r="BG24" i="31"/>
  <c r="BG28" i="31"/>
  <c r="BF2" i="31"/>
  <c r="BF6" i="31"/>
  <c r="BF10" i="31"/>
  <c r="BF46" i="31"/>
  <c r="BF13" i="31"/>
  <c r="BF17" i="31"/>
  <c r="BF21" i="31"/>
  <c r="BF25" i="31"/>
  <c r="BF64" i="31"/>
  <c r="BF29" i="31"/>
  <c r="X71" i="18"/>
  <c r="AJ71" i="18"/>
  <c r="X57" i="18"/>
  <c r="AJ57" i="18"/>
  <c r="X50" i="18"/>
  <c r="AJ50" i="18"/>
  <c r="X64" i="18"/>
  <c r="X59" i="18"/>
  <c r="AJ59" i="18"/>
  <c r="X73" i="18"/>
  <c r="AJ73" i="18"/>
  <c r="EN70" i="18"/>
  <c r="FC70" i="18"/>
  <c r="EN56" i="18"/>
  <c r="FC56" i="18"/>
  <c r="FC45" i="18"/>
  <c r="EN65" i="18"/>
  <c r="FC65" i="18"/>
  <c r="EN51" i="18"/>
  <c r="FC51" i="18"/>
  <c r="EN75" i="18"/>
  <c r="FC75" i="18"/>
  <c r="EN61" i="18"/>
  <c r="FC61" i="18"/>
  <c r="CD54" i="18"/>
  <c r="CS54" i="18"/>
  <c r="CD68" i="18"/>
  <c r="CS68" i="18"/>
  <c r="Q72" i="18"/>
  <c r="AC72" i="18"/>
  <c r="Q58" i="18"/>
  <c r="AC58" i="18"/>
  <c r="EL59" i="18"/>
  <c r="FA59" i="18"/>
  <c r="EL73" i="18"/>
  <c r="FA73" i="18"/>
  <c r="EL58" i="18"/>
  <c r="FA58" i="18"/>
  <c r="EL72" i="18"/>
  <c r="FA72" i="18"/>
  <c r="EL52" i="18"/>
  <c r="FA52" i="18"/>
  <c r="EL66" i="18"/>
  <c r="FA66" i="18"/>
  <c r="CB54" i="18"/>
  <c r="CQ54" i="18"/>
  <c r="CB68" i="18"/>
  <c r="CQ68" i="18"/>
  <c r="BY4" i="31"/>
  <c r="BY8" i="31"/>
  <c r="BY41" i="31"/>
  <c r="BY15" i="31"/>
  <c r="BY19" i="31"/>
  <c r="BY23" i="31"/>
  <c r="BY49" i="31"/>
  <c r="BY27" i="31"/>
  <c r="BV12" i="31"/>
  <c r="BV14" i="31"/>
  <c r="BV30" i="31"/>
  <c r="BV8" i="31"/>
  <c r="BV15" i="31"/>
  <c r="BV23" i="31"/>
  <c r="BV49" i="31"/>
  <c r="BV7" i="31"/>
  <c r="BQ6" i="31"/>
  <c r="BQ13" i="31"/>
  <c r="BQ21" i="31"/>
  <c r="BQ29" i="31"/>
  <c r="BQ5" i="31"/>
  <c r="BQ12" i="31"/>
  <c r="BQ20" i="31"/>
  <c r="BQ28" i="31"/>
  <c r="BM2" i="31"/>
  <c r="BM29" i="31"/>
  <c r="BM25" i="31"/>
  <c r="BM5" i="31"/>
  <c r="BM12" i="31"/>
  <c r="BM74" i="31"/>
  <c r="BM20" i="31"/>
  <c r="BM28" i="31"/>
  <c r="BM17" i="31"/>
  <c r="BJ3" i="31"/>
  <c r="BJ7" i="31"/>
  <c r="BJ11" i="31"/>
  <c r="BJ14" i="31"/>
  <c r="BJ18" i="31"/>
  <c r="BJ22" i="31"/>
  <c r="BJ26" i="31"/>
  <c r="BJ30" i="31"/>
  <c r="AU72" i="5"/>
  <c r="AU58" i="5"/>
  <c r="AY47" i="5"/>
  <c r="AY36" i="5"/>
  <c r="AU73" i="5"/>
  <c r="AU59" i="5"/>
  <c r="AU66" i="5"/>
  <c r="AU52" i="5"/>
  <c r="AU61" i="5"/>
  <c r="AU75" i="5"/>
  <c r="AU76" i="5"/>
  <c r="AU62" i="5"/>
  <c r="L60" i="5"/>
  <c r="P60" i="5"/>
  <c r="L74" i="5"/>
  <c r="P74" i="5"/>
  <c r="AA71" i="5"/>
  <c r="AA57" i="5"/>
  <c r="AB74" i="5"/>
  <c r="AB60" i="5"/>
  <c r="AD46" i="5"/>
  <c r="AD45" i="5"/>
  <c r="Y65" i="5"/>
  <c r="AD65" i="5"/>
  <c r="Y51" i="5"/>
  <c r="AD51" i="5"/>
  <c r="Y52" i="5"/>
  <c r="AD52" i="5"/>
  <c r="Y66" i="5"/>
  <c r="AD66" i="5"/>
  <c r="X67" i="5"/>
  <c r="AC67" i="5"/>
  <c r="X53" i="5"/>
  <c r="AC53" i="5"/>
  <c r="Z68" i="5"/>
  <c r="Z54" i="5"/>
  <c r="AA75" i="5"/>
  <c r="AA61" i="5"/>
  <c r="AA70" i="5"/>
  <c r="AA56" i="5"/>
  <c r="L65" i="5"/>
  <c r="P65" i="5"/>
  <c r="L51" i="5"/>
  <c r="P51" i="5"/>
  <c r="AD49" i="5"/>
  <c r="AB59" i="5"/>
  <c r="AB73" i="5"/>
  <c r="AB76" i="5"/>
  <c r="AB62" i="5"/>
  <c r="X59" i="5"/>
  <c r="AC59" i="5"/>
  <c r="X73" i="5"/>
  <c r="AC73" i="5"/>
  <c r="AC49" i="5"/>
  <c r="AC31" i="5"/>
  <c r="AC33" i="5"/>
  <c r="Z53" i="5"/>
  <c r="Z67" i="5"/>
  <c r="AD32" i="5"/>
  <c r="AD31" i="5"/>
  <c r="AA73" i="5"/>
  <c r="AA59" i="5"/>
  <c r="AA62" i="5"/>
  <c r="AA76" i="5"/>
  <c r="AL75" i="5"/>
  <c r="AN75" i="5"/>
  <c r="AL61" i="5"/>
  <c r="AN61" i="5"/>
  <c r="AL76" i="5"/>
  <c r="AN76" i="5"/>
  <c r="AL62" i="5"/>
  <c r="AN62" i="5"/>
  <c r="AL72" i="5"/>
  <c r="AN72" i="5"/>
  <c r="AL58" i="5"/>
  <c r="AN58" i="5"/>
  <c r="AN45" i="5"/>
  <c r="BE59" i="5"/>
  <c r="BF59" i="5"/>
  <c r="BE73" i="5"/>
  <c r="BF73" i="5"/>
  <c r="BE66" i="5"/>
  <c r="BF66" i="5"/>
  <c r="BE52" i="5"/>
  <c r="BF52" i="5"/>
  <c r="AL56" i="5"/>
  <c r="AN56" i="5"/>
  <c r="AL70" i="5"/>
  <c r="AN70" i="5"/>
  <c r="AL71" i="5"/>
  <c r="AN71" i="5"/>
  <c r="AL57" i="5"/>
  <c r="AN57" i="5"/>
  <c r="BT62" i="18"/>
  <c r="CI62" i="18"/>
  <c r="BT76" i="18"/>
  <c r="CI76" i="18"/>
  <c r="BT54" i="18"/>
  <c r="CI54" i="18"/>
  <c r="BT68" i="18"/>
  <c r="CI68" i="18"/>
  <c r="BT69" i="18"/>
  <c r="CI69" i="18"/>
  <c r="BT55" i="18"/>
  <c r="CI55" i="18"/>
  <c r="BT50" i="18"/>
  <c r="CI50" i="18"/>
  <c r="BT64" i="18"/>
  <c r="CI64" i="18"/>
  <c r="ES60" i="18"/>
  <c r="ES74" i="18"/>
  <c r="ES31" i="18"/>
  <c r="ES61" i="18"/>
  <c r="ES75" i="18"/>
  <c r="ES45" i="18"/>
  <c r="ES64" i="18"/>
  <c r="ES50" i="18"/>
  <c r="FK70" i="18"/>
  <c r="FK56" i="18"/>
  <c r="FK51" i="18"/>
  <c r="FO51" i="18"/>
  <c r="FK65" i="18"/>
  <c r="FO65" i="18"/>
  <c r="FK61" i="18"/>
  <c r="FM61" i="18"/>
  <c r="FK75" i="18"/>
  <c r="FM75" i="18"/>
  <c r="S52" i="18"/>
  <c r="AE52" i="18"/>
  <c r="S66" i="18"/>
  <c r="AE66" i="18"/>
  <c r="S75" i="18"/>
  <c r="AE75" i="18"/>
  <c r="S61" i="18"/>
  <c r="AE61" i="18"/>
  <c r="EI54" i="18"/>
  <c r="EX54" i="18"/>
  <c r="EI68" i="18"/>
  <c r="EX68" i="18"/>
  <c r="EI66" i="18"/>
  <c r="EX66" i="18"/>
  <c r="EI52" i="18"/>
  <c r="EX52" i="18"/>
  <c r="EI73" i="18"/>
  <c r="EX73" i="18"/>
  <c r="EI59" i="18"/>
  <c r="EI75" i="18"/>
  <c r="EX75" i="18"/>
  <c r="EI61" i="18"/>
  <c r="EX61" i="18"/>
  <c r="EI62" i="18"/>
  <c r="EX62" i="18"/>
  <c r="EI76" i="18"/>
  <c r="EX76" i="18"/>
  <c r="EI55" i="18"/>
  <c r="EX55" i="18"/>
  <c r="EI69" i="18"/>
  <c r="EX69" i="18"/>
  <c r="R61" i="18"/>
  <c r="AD61" i="18"/>
  <c r="R75" i="18"/>
  <c r="AD75" i="18"/>
  <c r="R76" i="18"/>
  <c r="AD76" i="18"/>
  <c r="R62" i="18"/>
  <c r="AD62" i="18"/>
  <c r="EM59" i="18"/>
  <c r="FB59" i="18"/>
  <c r="EM73" i="18"/>
  <c r="FB73" i="18"/>
  <c r="EM70" i="18"/>
  <c r="FB70" i="18"/>
  <c r="EM56" i="18"/>
  <c r="FB56" i="18"/>
  <c r="CC67" i="18"/>
  <c r="CR67" i="18"/>
  <c r="CC53" i="18"/>
  <c r="CR53" i="18"/>
  <c r="CR45" i="18"/>
  <c r="BX5" i="31"/>
  <c r="BX9" i="31"/>
  <c r="BX12" i="31"/>
  <c r="BX16" i="31"/>
  <c r="BX20" i="31"/>
  <c r="BX24" i="31"/>
  <c r="BX28" i="31"/>
  <c r="BT4" i="31"/>
  <c r="BT8" i="31"/>
  <c r="BT15" i="31"/>
  <c r="BT19" i="31"/>
  <c r="BT42" i="31"/>
  <c r="BT23" i="31"/>
  <c r="BT49" i="31"/>
  <c r="BT27" i="31"/>
  <c r="BP4" i="31"/>
  <c r="BP8" i="31"/>
  <c r="BP15" i="31"/>
  <c r="BP19" i="31"/>
  <c r="BP23" i="31"/>
  <c r="BP49" i="31"/>
  <c r="BP27" i="31"/>
  <c r="BL5" i="31"/>
  <c r="BL9" i="31"/>
  <c r="BL12" i="31"/>
  <c r="BL16" i="31"/>
  <c r="BL58" i="31"/>
  <c r="BL20" i="31"/>
  <c r="BL24" i="31"/>
  <c r="BL28" i="31"/>
  <c r="BI3" i="31"/>
  <c r="BI11" i="31"/>
  <c r="BI18" i="31"/>
  <c r="BI26" i="31"/>
  <c r="BI4" i="31"/>
  <c r="BI19" i="31"/>
  <c r="BI27" i="31"/>
  <c r="BE26" i="31"/>
  <c r="BE18" i="31"/>
  <c r="BE75" i="31"/>
  <c r="BE4" i="31"/>
  <c r="BE19" i="31"/>
  <c r="BE27" i="31"/>
  <c r="BE9" i="31"/>
  <c r="BE28" i="31"/>
  <c r="P38" i="18"/>
  <c r="AB38" i="18"/>
  <c r="P2" i="18"/>
  <c r="P6" i="18"/>
  <c r="P10" i="18"/>
  <c r="P13" i="18"/>
  <c r="P17" i="18"/>
  <c r="P21" i="18"/>
  <c r="P25" i="18"/>
  <c r="P29" i="18"/>
  <c r="BV20" i="18"/>
  <c r="AW67" i="5"/>
  <c r="BA67" i="5"/>
  <c r="AW53" i="5"/>
  <c r="BA53" i="5"/>
  <c r="BA31" i="5"/>
  <c r="AW50" i="5"/>
  <c r="BA50" i="5"/>
  <c r="AW64" i="5"/>
  <c r="BA64" i="5"/>
  <c r="AW58" i="5"/>
  <c r="BA58" i="5"/>
  <c r="AW72" i="5"/>
  <c r="BA72" i="5"/>
  <c r="BU62" i="18"/>
  <c r="CJ62" i="18"/>
  <c r="BU76" i="18"/>
  <c r="CJ76" i="18"/>
  <c r="BU68" i="18"/>
  <c r="CJ68" i="18"/>
  <c r="BU54" i="18"/>
  <c r="CJ54" i="18"/>
  <c r="BU69" i="18"/>
  <c r="CJ69" i="18"/>
  <c r="BU55" i="18"/>
  <c r="CJ55" i="18"/>
  <c r="CJ45" i="18"/>
  <c r="BU64" i="18"/>
  <c r="CJ64" i="18"/>
  <c r="BU50" i="18"/>
  <c r="CJ50" i="18"/>
  <c r="FL59" i="18"/>
  <c r="FN59" i="18"/>
  <c r="FL73" i="18"/>
  <c r="FN73" i="18"/>
  <c r="Z73" i="18"/>
  <c r="AL73" i="18"/>
  <c r="Z59" i="18"/>
  <c r="AL59" i="18"/>
  <c r="AL45" i="18"/>
  <c r="AL46" i="18"/>
  <c r="Z52" i="18"/>
  <c r="AL52" i="18"/>
  <c r="Z66" i="18"/>
  <c r="AL66" i="18"/>
  <c r="Z64" i="18"/>
  <c r="Z50" i="18"/>
  <c r="AL50" i="18"/>
  <c r="FD31" i="18"/>
  <c r="EO55" i="18"/>
  <c r="FD55" i="18"/>
  <c r="EO69" i="18"/>
  <c r="FD69" i="18"/>
  <c r="EO51" i="18"/>
  <c r="FD51" i="18"/>
  <c r="EO65" i="18"/>
  <c r="FD65" i="18"/>
  <c r="EK66" i="18"/>
  <c r="EZ66" i="18"/>
  <c r="EK52" i="18"/>
  <c r="EZ52" i="18"/>
  <c r="EK71" i="18"/>
  <c r="EZ71" i="18"/>
  <c r="EK57" i="18"/>
  <c r="EZ57" i="18"/>
  <c r="EK54" i="18"/>
  <c r="EZ54" i="18"/>
  <c r="EK68" i="18"/>
  <c r="EZ68" i="18"/>
  <c r="EK61" i="18"/>
  <c r="EZ61" i="18"/>
  <c r="EK75" i="18"/>
  <c r="EZ75" i="18"/>
  <c r="CA59" i="18"/>
  <c r="CP59" i="18"/>
  <c r="CA73" i="18"/>
  <c r="CP73" i="18"/>
  <c r="T62" i="18"/>
  <c r="AF62" i="18"/>
  <c r="T76" i="18"/>
  <c r="AF76" i="18"/>
  <c r="T53" i="18"/>
  <c r="AF53" i="18"/>
  <c r="T67" i="18"/>
  <c r="AF67" i="18"/>
  <c r="T74" i="18"/>
  <c r="AF74" i="18"/>
  <c r="T60" i="18"/>
  <c r="AF60" i="18"/>
  <c r="T70" i="18"/>
  <c r="AF70" i="18"/>
  <c r="T56" i="18"/>
  <c r="AF56" i="18"/>
  <c r="EJ60" i="18"/>
  <c r="EY60" i="18"/>
  <c r="EJ74" i="18"/>
  <c r="EY45" i="18"/>
  <c r="EJ72" i="18"/>
  <c r="EJ58" i="18"/>
  <c r="EJ55" i="18"/>
  <c r="EJ69" i="18"/>
  <c r="CO45" i="18"/>
  <c r="BZ68" i="18"/>
  <c r="CO68" i="18"/>
  <c r="BZ54" i="18"/>
  <c r="CO54" i="18"/>
  <c r="CA73" i="31"/>
  <c r="BS2" i="31"/>
  <c r="BS6" i="31"/>
  <c r="BS10" i="31"/>
  <c r="BS46" i="31"/>
  <c r="BS13" i="31"/>
  <c r="BS17" i="31"/>
  <c r="BS21" i="31"/>
  <c r="BS25" i="31"/>
  <c r="BS29" i="31"/>
  <c r="BO2" i="31"/>
  <c r="BO6" i="31"/>
  <c r="BO47" i="31"/>
  <c r="BO10" i="31"/>
  <c r="BO46" i="31"/>
  <c r="BO45" i="31"/>
  <c r="BO13" i="31"/>
  <c r="BO17" i="31"/>
  <c r="BO21" i="31"/>
  <c r="BO25" i="31"/>
  <c r="BO29" i="31"/>
  <c r="BK2" i="31"/>
  <c r="BK6" i="31"/>
  <c r="BK10" i="31"/>
  <c r="BK46" i="31"/>
  <c r="BK13" i="31"/>
  <c r="BK17" i="31"/>
  <c r="BK21" i="31"/>
  <c r="BK65" i="31"/>
  <c r="BK25" i="31"/>
  <c r="BK29" i="31"/>
  <c r="BH3" i="31"/>
  <c r="BH7" i="31"/>
  <c r="BH11" i="31"/>
  <c r="BH14" i="31"/>
  <c r="BH18" i="31"/>
  <c r="BH22" i="31"/>
  <c r="BH26" i="31"/>
  <c r="BH30" i="31"/>
  <c r="CF68" i="18"/>
  <c r="CU68" i="18"/>
  <c r="CF54" i="18"/>
  <c r="CU54" i="18"/>
  <c r="BO45" i="37"/>
  <c r="BO61" i="37"/>
  <c r="BO75" i="37"/>
  <c r="BP73" i="37"/>
  <c r="BP59" i="37"/>
  <c r="BP65" i="37"/>
  <c r="BP51" i="37"/>
  <c r="BP64" i="37"/>
  <c r="BP50" i="37"/>
  <c r="BP76" i="37"/>
  <c r="BP62" i="37"/>
  <c r="BP71" i="37"/>
  <c r="BP57" i="37"/>
  <c r="M9" i="5"/>
  <c r="O40" i="5"/>
  <c r="O33" i="5"/>
  <c r="O49" i="5"/>
  <c r="AO31" i="5"/>
  <c r="AK55" i="5"/>
  <c r="AK69" i="5"/>
  <c r="AZ31" i="5"/>
  <c r="AK75" i="5"/>
  <c r="AK61" i="5"/>
  <c r="AK76" i="5"/>
  <c r="AK62" i="5"/>
  <c r="AA59" i="18"/>
  <c r="AM59" i="18"/>
  <c r="AA73" i="18"/>
  <c r="AM73" i="18"/>
  <c r="EQ53" i="18"/>
  <c r="FF53" i="18"/>
  <c r="EQ67" i="18"/>
  <c r="FF67" i="18"/>
  <c r="EQ60" i="18"/>
  <c r="FF60" i="18"/>
  <c r="EQ74" i="18"/>
  <c r="FF74" i="18"/>
  <c r="EQ76" i="18"/>
  <c r="FF76" i="18"/>
  <c r="EQ62" i="18"/>
  <c r="FF62" i="18"/>
  <c r="EQ72" i="18"/>
  <c r="FF72" i="18"/>
  <c r="EQ58" i="18"/>
  <c r="FF58" i="18"/>
  <c r="EQ55" i="18"/>
  <c r="FF55" i="18"/>
  <c r="EQ69" i="18"/>
  <c r="FF69" i="18"/>
  <c r="CG54" i="18"/>
  <c r="CV54" i="18"/>
  <c r="CG68" i="18"/>
  <c r="CV68" i="18"/>
  <c r="V53" i="18"/>
  <c r="AH53" i="18"/>
  <c r="V67" i="18"/>
  <c r="AH67" i="18"/>
  <c r="V60" i="18"/>
  <c r="AH60" i="18"/>
  <c r="V74" i="18"/>
  <c r="AH74" i="18"/>
  <c r="V56" i="18"/>
  <c r="AH56" i="18"/>
  <c r="V70" i="18"/>
  <c r="AH70" i="18"/>
  <c r="V51" i="18"/>
  <c r="AH51" i="18"/>
  <c r="V65" i="18"/>
  <c r="AH65" i="18"/>
  <c r="V57" i="18"/>
  <c r="AH57" i="18"/>
  <c r="V71" i="18"/>
  <c r="AH71" i="18"/>
  <c r="EG52" i="18"/>
  <c r="EV52" i="18"/>
  <c r="EG66" i="18"/>
  <c r="EV66" i="18"/>
  <c r="EG50" i="18"/>
  <c r="EV50" i="18"/>
  <c r="EG64" i="18"/>
  <c r="EV64" i="18"/>
  <c r="BW69" i="18"/>
  <c r="CL69" i="18"/>
  <c r="BW55" i="18"/>
  <c r="CL55" i="18"/>
  <c r="CL45" i="18"/>
  <c r="BW52" i="18"/>
  <c r="CL52" i="18"/>
  <c r="BW66" i="18"/>
  <c r="CL66" i="18"/>
  <c r="BW50" i="18"/>
  <c r="CL50" i="18"/>
  <c r="BW64" i="18"/>
  <c r="BZ3" i="31"/>
  <c r="BZ32" i="31"/>
  <c r="BZ11" i="31"/>
  <c r="BZ18" i="31"/>
  <c r="BZ26" i="31"/>
  <c r="BZ4" i="31"/>
  <c r="BZ19" i="31"/>
  <c r="BZ27" i="31"/>
  <c r="BW2" i="31"/>
  <c r="BW6" i="31"/>
  <c r="BW10" i="31"/>
  <c r="BW46" i="31"/>
  <c r="BW13" i="31"/>
  <c r="BW17" i="31"/>
  <c r="BW21" i="31"/>
  <c r="BW65" i="31"/>
  <c r="BW25" i="31"/>
  <c r="BW29" i="31"/>
  <c r="BR3" i="31"/>
  <c r="BR7" i="31"/>
  <c r="BR11" i="31"/>
  <c r="BR14" i="31"/>
  <c r="BR18" i="31"/>
  <c r="BR22" i="31"/>
  <c r="BR26" i="31"/>
  <c r="BR30" i="31"/>
  <c r="BN4" i="31"/>
  <c r="BN8" i="31"/>
  <c r="BN41" i="31"/>
  <c r="BN15" i="31"/>
  <c r="BN19" i="31"/>
  <c r="BN23" i="31"/>
  <c r="BN49" i="31"/>
  <c r="BN27" i="31"/>
  <c r="BG2" i="31"/>
  <c r="BG6" i="31"/>
  <c r="BG10" i="31"/>
  <c r="BG46" i="31"/>
  <c r="BG13" i="31"/>
  <c r="BG17" i="31"/>
  <c r="BG21" i="31"/>
  <c r="BG25" i="31"/>
  <c r="BG29" i="31"/>
  <c r="BF3" i="31"/>
  <c r="BF7" i="31"/>
  <c r="BF11" i="31"/>
  <c r="BF14" i="31"/>
  <c r="BF18" i="31"/>
  <c r="BF22" i="31"/>
  <c r="BF26" i="31"/>
  <c r="BF36" i="31"/>
  <c r="BF30" i="31"/>
  <c r="AJ49" i="18"/>
  <c r="X62" i="18"/>
  <c r="AJ62" i="18"/>
  <c r="X76" i="18"/>
  <c r="AJ76" i="18"/>
  <c r="X54" i="18"/>
  <c r="AJ54" i="18"/>
  <c r="X68" i="18"/>
  <c r="AJ68" i="18"/>
  <c r="X58" i="18"/>
  <c r="AJ58" i="18"/>
  <c r="X72" i="18"/>
  <c r="AJ72" i="18"/>
  <c r="X55" i="18"/>
  <c r="AJ55" i="18"/>
  <c r="X69" i="18"/>
  <c r="AJ69" i="18"/>
  <c r="EN67" i="18"/>
  <c r="FC67" i="18"/>
  <c r="EN53" i="18"/>
  <c r="FC53" i="18"/>
  <c r="EN62" i="18"/>
  <c r="FC62" i="18"/>
  <c r="EN76" i="18"/>
  <c r="FC76" i="18"/>
  <c r="EN64" i="18"/>
  <c r="FC64" i="18"/>
  <c r="EN50" i="18"/>
  <c r="FC50" i="18"/>
  <c r="CD74" i="18"/>
  <c r="CS74" i="18"/>
  <c r="CD60" i="18"/>
  <c r="CS60" i="18"/>
  <c r="CS45" i="18"/>
  <c r="Q69" i="18"/>
  <c r="AC69" i="18"/>
  <c r="Q55" i="18"/>
  <c r="AC55" i="18"/>
  <c r="Q52" i="18"/>
  <c r="AC52" i="18"/>
  <c r="Q66" i="18"/>
  <c r="AC66" i="18"/>
  <c r="Q64" i="18"/>
  <c r="AC64" i="18"/>
  <c r="Q50" i="18"/>
  <c r="AC50" i="18"/>
  <c r="EL76" i="18"/>
  <c r="FA76" i="18"/>
  <c r="EL62" i="18"/>
  <c r="FA62" i="18"/>
  <c r="EL61" i="18"/>
  <c r="FA61" i="18"/>
  <c r="EL75" i="18"/>
  <c r="FA75" i="18"/>
  <c r="EL54" i="18"/>
  <c r="FA54" i="18"/>
  <c r="EL68" i="18"/>
  <c r="FA68" i="18"/>
  <c r="EL56" i="18"/>
  <c r="FA56" i="18"/>
  <c r="EL70" i="18"/>
  <c r="FA70" i="18"/>
  <c r="EL65" i="18"/>
  <c r="FA65" i="18"/>
  <c r="EL51" i="18"/>
  <c r="FA51" i="18"/>
  <c r="CQ45" i="18"/>
  <c r="CB67" i="18"/>
  <c r="CQ67" i="18"/>
  <c r="CB53" i="18"/>
  <c r="CQ53" i="18"/>
  <c r="BY5" i="31"/>
  <c r="BY9" i="31"/>
  <c r="BY12" i="31"/>
  <c r="BY16" i="31"/>
  <c r="BY20" i="31"/>
  <c r="BY24" i="31"/>
  <c r="BY28" i="31"/>
  <c r="BV22" i="31"/>
  <c r="BV16" i="31"/>
  <c r="BV2" i="31"/>
  <c r="BV10" i="31"/>
  <c r="BV46" i="31"/>
  <c r="BV17" i="31"/>
  <c r="BV25" i="31"/>
  <c r="BV18" i="31"/>
  <c r="BQ8" i="31"/>
  <c r="BQ15" i="31"/>
  <c r="BQ23" i="31"/>
  <c r="BQ49" i="31"/>
  <c r="BQ7" i="31"/>
  <c r="BQ14" i="31"/>
  <c r="BQ22" i="31"/>
  <c r="BQ30" i="31"/>
  <c r="BM6" i="31"/>
  <c r="BM4" i="31"/>
  <c r="BM40" i="31"/>
  <c r="BM27" i="31"/>
  <c r="BM7" i="31"/>
  <c r="BM14" i="31"/>
  <c r="BM22" i="31"/>
  <c r="BM30" i="31"/>
  <c r="BM21" i="31"/>
  <c r="BJ4" i="31"/>
  <c r="BJ8" i="31"/>
  <c r="BJ15" i="31"/>
  <c r="BJ19" i="31"/>
  <c r="BJ23" i="31"/>
  <c r="BJ49" i="31"/>
  <c r="BJ27" i="31"/>
  <c r="BJ76" i="31"/>
  <c r="AY41" i="5"/>
  <c r="AU68" i="5"/>
  <c r="AU54" i="5"/>
  <c r="AY42" i="5"/>
  <c r="AY43" i="5"/>
  <c r="AU70" i="5"/>
  <c r="AU56" i="5"/>
  <c r="AU57" i="5"/>
  <c r="AU71" i="5"/>
  <c r="AY35" i="5"/>
  <c r="L76" i="5"/>
  <c r="P76" i="5"/>
  <c r="L62" i="5"/>
  <c r="P62" i="5"/>
  <c r="L69" i="5"/>
  <c r="P69" i="5"/>
  <c r="L55" i="5"/>
  <c r="P55" i="5"/>
  <c r="Z74" i="5"/>
  <c r="Z60" i="5"/>
  <c r="AA51" i="5"/>
  <c r="AA65" i="5"/>
  <c r="AB67" i="5"/>
  <c r="AB53" i="5"/>
  <c r="AB55" i="5"/>
  <c r="AB69" i="5"/>
  <c r="Y56" i="5"/>
  <c r="AD56" i="5"/>
  <c r="Y70" i="5"/>
  <c r="AD70" i="5"/>
  <c r="X75" i="5"/>
  <c r="AC75" i="5"/>
  <c r="X61" i="5"/>
  <c r="AC61" i="5"/>
  <c r="X52" i="5"/>
  <c r="AC52" i="5"/>
  <c r="X66" i="5"/>
  <c r="X68" i="5"/>
  <c r="AC68" i="5"/>
  <c r="X54" i="5"/>
  <c r="AC54" i="5"/>
  <c r="Z70" i="5"/>
  <c r="Z56" i="5"/>
  <c r="AA74" i="5"/>
  <c r="AA60" i="5"/>
  <c r="Y67" i="5"/>
  <c r="AD67" i="5"/>
  <c r="Y53" i="5"/>
  <c r="AD53" i="5"/>
  <c r="Z61" i="5"/>
  <c r="Z75" i="5"/>
  <c r="L64" i="5"/>
  <c r="L50" i="5"/>
  <c r="P50" i="5"/>
  <c r="L72" i="5"/>
  <c r="P72" i="5"/>
  <c r="L58" i="5"/>
  <c r="P58" i="5"/>
  <c r="Y72" i="5"/>
  <c r="AD72" i="5"/>
  <c r="Y58" i="5"/>
  <c r="AD58" i="5"/>
  <c r="Z58" i="5"/>
  <c r="Z72" i="5"/>
  <c r="AE72" i="5"/>
  <c r="Y68" i="5"/>
  <c r="AD68" i="5"/>
  <c r="Y54" i="5"/>
  <c r="AD54" i="5"/>
  <c r="X70" i="5"/>
  <c r="AC70" i="5"/>
  <c r="X56" i="5"/>
  <c r="AC56" i="5"/>
  <c r="X46" i="5"/>
  <c r="AC46" i="5"/>
  <c r="X71" i="5"/>
  <c r="AC71" i="5"/>
  <c r="X57" i="5"/>
  <c r="AC57" i="5"/>
  <c r="AC47" i="5"/>
  <c r="Z66" i="5"/>
  <c r="Z52" i="5"/>
  <c r="AB64" i="5"/>
  <c r="AB50" i="5"/>
  <c r="Z57" i="5"/>
  <c r="Z71" i="5"/>
  <c r="BE51" i="5"/>
  <c r="BF51" i="5"/>
  <c r="BE65" i="5"/>
  <c r="BF65" i="5"/>
  <c r="BE68" i="5"/>
  <c r="BF68" i="5"/>
  <c r="BE54" i="5"/>
  <c r="BF54" i="5"/>
  <c r="AL68" i="5"/>
  <c r="AN68" i="5"/>
  <c r="AL54" i="5"/>
  <c r="AN54" i="5"/>
  <c r="BE70" i="5"/>
  <c r="BF70" i="5"/>
  <c r="BE56" i="5"/>
  <c r="BF56" i="5"/>
  <c r="BE71" i="5"/>
  <c r="BF71" i="5"/>
  <c r="BE57" i="5"/>
  <c r="BF57" i="5"/>
  <c r="BE74" i="5"/>
  <c r="BF74" i="5"/>
  <c r="BE60" i="5"/>
  <c r="BF60" i="5"/>
  <c r="P31" i="5"/>
  <c r="P38" i="5"/>
  <c r="BT60" i="18"/>
  <c r="CI60" i="18"/>
  <c r="BT74" i="18"/>
  <c r="CI74" i="18"/>
  <c r="BT71" i="18"/>
  <c r="CI71" i="18"/>
  <c r="BT57" i="18"/>
  <c r="CI57" i="18"/>
  <c r="FK72" i="18"/>
  <c r="FK58" i="18"/>
  <c r="ES57" i="18"/>
  <c r="ES71" i="18"/>
  <c r="ES54" i="18"/>
  <c r="ES68" i="18"/>
  <c r="ES76" i="18"/>
  <c r="ES62" i="18"/>
  <c r="ES59" i="18"/>
  <c r="ES73" i="18"/>
  <c r="FK64" i="18"/>
  <c r="FM64" i="18"/>
  <c r="FK50" i="18"/>
  <c r="FK59" i="18"/>
  <c r="FK73" i="18"/>
  <c r="S50" i="18"/>
  <c r="AE50" i="18"/>
  <c r="S64" i="18"/>
  <c r="AE64" i="18"/>
  <c r="S67" i="18"/>
  <c r="AE67" i="18"/>
  <c r="S53" i="18"/>
  <c r="AE53" i="18"/>
  <c r="S74" i="18"/>
  <c r="AE74" i="18"/>
  <c r="S60" i="18"/>
  <c r="AE60" i="18"/>
  <c r="S56" i="18"/>
  <c r="AE56" i="18"/>
  <c r="S70" i="18"/>
  <c r="AE70" i="18"/>
  <c r="EI64" i="18"/>
  <c r="EX64" i="18"/>
  <c r="EI50" i="18"/>
  <c r="EX50" i="18"/>
  <c r="R53" i="18"/>
  <c r="AD53" i="18"/>
  <c r="R67" i="18"/>
  <c r="AD67" i="18"/>
  <c r="R60" i="18"/>
  <c r="AD60" i="18"/>
  <c r="R74" i="18"/>
  <c r="AD74" i="18"/>
  <c r="R56" i="18"/>
  <c r="AD56" i="18"/>
  <c r="R70" i="18"/>
  <c r="AD70" i="18"/>
  <c r="R51" i="18"/>
  <c r="AD51" i="18"/>
  <c r="R65" i="18"/>
  <c r="AD65" i="18"/>
  <c r="R57" i="18"/>
  <c r="AD57" i="18"/>
  <c r="R71" i="18"/>
  <c r="EM68" i="18"/>
  <c r="FB68" i="18"/>
  <c r="EM54" i="18"/>
  <c r="FB54" i="18"/>
  <c r="EM66" i="18"/>
  <c r="FB66" i="18"/>
  <c r="EM52" i="18"/>
  <c r="FB52" i="18"/>
  <c r="EM50" i="18"/>
  <c r="FB50" i="18"/>
  <c r="EM64" i="18"/>
  <c r="FB64" i="18"/>
  <c r="CC59" i="18"/>
  <c r="CR59" i="18"/>
  <c r="CC73" i="18"/>
  <c r="CR73" i="18"/>
  <c r="BX2" i="31"/>
  <c r="BX6" i="31"/>
  <c r="BX47" i="31"/>
  <c r="BX10" i="31"/>
  <c r="BX46" i="31"/>
  <c r="BX13" i="31"/>
  <c r="BX17" i="31"/>
  <c r="BX21" i="31"/>
  <c r="BX25" i="31"/>
  <c r="BX29" i="31"/>
  <c r="BT5" i="31"/>
  <c r="BT9" i="31"/>
  <c r="BT12" i="31"/>
  <c r="BT16" i="31"/>
  <c r="BT20" i="31"/>
  <c r="BT24" i="31"/>
  <c r="BT55" i="31"/>
  <c r="BT28" i="31"/>
  <c r="BP5" i="31"/>
  <c r="BP9" i="31"/>
  <c r="BP12" i="31"/>
  <c r="BP16" i="31"/>
  <c r="BP20" i="31"/>
  <c r="BP24" i="31"/>
  <c r="BP28" i="31"/>
  <c r="BL2" i="31"/>
  <c r="BL6" i="31"/>
  <c r="BL10" i="31"/>
  <c r="BL46" i="31"/>
  <c r="BL13" i="31"/>
  <c r="BL33" i="31"/>
  <c r="BL17" i="31"/>
  <c r="BL21" i="31"/>
  <c r="BL25" i="31"/>
  <c r="BL29" i="31"/>
  <c r="BI5" i="31"/>
  <c r="BI12" i="31"/>
  <c r="BI20" i="31"/>
  <c r="BI28" i="31"/>
  <c r="BI6" i="31"/>
  <c r="BI13" i="31"/>
  <c r="BI21" i="31"/>
  <c r="BI29" i="31"/>
  <c r="BI71" i="31"/>
  <c r="BE5" i="31"/>
  <c r="BE22" i="31"/>
  <c r="BE6" i="31"/>
  <c r="BE13" i="31"/>
  <c r="BE21" i="31"/>
  <c r="BE29" i="31"/>
  <c r="BE11" i="31"/>
  <c r="BE30" i="31"/>
  <c r="P3" i="18"/>
  <c r="P7" i="18"/>
  <c r="P11" i="18"/>
  <c r="P34" i="18"/>
  <c r="AB34" i="18"/>
  <c r="P14" i="18"/>
  <c r="P18" i="18"/>
  <c r="P22" i="18"/>
  <c r="P26" i="18"/>
  <c r="P36" i="18"/>
  <c r="AB36" i="18"/>
  <c r="P35" i="18"/>
  <c r="AB35" i="18"/>
  <c r="P30" i="18"/>
  <c r="D2" i="18"/>
  <c r="AW73" i="5"/>
  <c r="BA73" i="5"/>
  <c r="AW59" i="5"/>
  <c r="BA59" i="5"/>
  <c r="AW66" i="5"/>
  <c r="BA66" i="5"/>
  <c r="AW52" i="5"/>
  <c r="BA52" i="5"/>
  <c r="AW75" i="5"/>
  <c r="BA75" i="5"/>
  <c r="AW61" i="5"/>
  <c r="BA61" i="5"/>
  <c r="AW62" i="5"/>
  <c r="BA62" i="5"/>
  <c r="AW76" i="5"/>
  <c r="BA76" i="5"/>
  <c r="AW54" i="5"/>
  <c r="BA54" i="5"/>
  <c r="AW68" i="5"/>
  <c r="BA68" i="5"/>
  <c r="BU74" i="18"/>
  <c r="CJ74" i="18"/>
  <c r="BU60" i="18"/>
  <c r="CJ60" i="18"/>
  <c r="BU71" i="18"/>
  <c r="CJ71" i="18"/>
  <c r="BU57" i="18"/>
  <c r="CJ57" i="18"/>
  <c r="FL68" i="18"/>
  <c r="FN68" i="18"/>
  <c r="FL54" i="18"/>
  <c r="FL72" i="18"/>
  <c r="FN72" i="18"/>
  <c r="FL58" i="18"/>
  <c r="FN58" i="18"/>
  <c r="FL55" i="18"/>
  <c r="FN55" i="18"/>
  <c r="FL69" i="18"/>
  <c r="FN69" i="18"/>
  <c r="FL66" i="18"/>
  <c r="FN66" i="18"/>
  <c r="FL52" i="18"/>
  <c r="FL64" i="18"/>
  <c r="FN64" i="18"/>
  <c r="FL50" i="18"/>
  <c r="FN50" i="18"/>
  <c r="AL32" i="18"/>
  <c r="Z53" i="18"/>
  <c r="AL53" i="18"/>
  <c r="Z67" i="18"/>
  <c r="AL67" i="18"/>
  <c r="Z54" i="18"/>
  <c r="AL54" i="18"/>
  <c r="Z68" i="18"/>
  <c r="AL68" i="18"/>
  <c r="Z76" i="18"/>
  <c r="AL76" i="18"/>
  <c r="Z62" i="18"/>
  <c r="AL62" i="18"/>
  <c r="EO53" i="18"/>
  <c r="FD53" i="18"/>
  <c r="EO67" i="18"/>
  <c r="FD67" i="18"/>
  <c r="EO60" i="18"/>
  <c r="FD60" i="18"/>
  <c r="EO74" i="18"/>
  <c r="EO64" i="18"/>
  <c r="FD64" i="18"/>
  <c r="EO50" i="18"/>
  <c r="FD50" i="18"/>
  <c r="EK64" i="18"/>
  <c r="EZ64" i="18"/>
  <c r="EK50" i="18"/>
  <c r="EZ50" i="18"/>
  <c r="EK58" i="18"/>
  <c r="EZ58" i="18"/>
  <c r="EK72" i="18"/>
  <c r="EZ72" i="18"/>
  <c r="EZ31" i="18"/>
  <c r="CA68" i="18"/>
  <c r="CP68" i="18"/>
  <c r="CA54" i="18"/>
  <c r="CP54" i="18"/>
  <c r="T51" i="18"/>
  <c r="AF51" i="18"/>
  <c r="T65" i="18"/>
  <c r="AF65" i="18"/>
  <c r="T57" i="18"/>
  <c r="AF57" i="18"/>
  <c r="T71" i="18"/>
  <c r="AF71" i="18"/>
  <c r="T59" i="18"/>
  <c r="AF59" i="18"/>
  <c r="T73" i="18"/>
  <c r="AF73" i="18"/>
  <c r="EJ61" i="18"/>
  <c r="EJ75" i="18"/>
  <c r="EY75" i="18"/>
  <c r="EJ66" i="18"/>
  <c r="EJ52" i="18"/>
  <c r="EJ64" i="18"/>
  <c r="EY64" i="18"/>
  <c r="EJ50" i="18"/>
  <c r="BS3" i="31"/>
  <c r="BS7" i="31"/>
  <c r="BS59" i="31"/>
  <c r="BS11" i="31"/>
  <c r="BS14" i="31"/>
  <c r="BS18" i="31"/>
  <c r="BS22" i="31"/>
  <c r="BS26" i="31"/>
  <c r="BS30" i="31"/>
  <c r="BO3" i="31"/>
  <c r="BO7" i="31"/>
  <c r="BO11" i="31"/>
  <c r="BO14" i="31"/>
  <c r="BO18" i="31"/>
  <c r="BO22" i="31"/>
  <c r="BO37" i="31"/>
  <c r="BO26" i="31"/>
  <c r="BO30" i="31"/>
  <c r="BK3" i="31"/>
  <c r="BK7" i="31"/>
  <c r="BK11" i="31"/>
  <c r="BK14" i="31"/>
  <c r="BK18" i="31"/>
  <c r="BK22" i="31"/>
  <c r="BK26" i="31"/>
  <c r="BK30" i="31"/>
  <c r="BH4" i="31"/>
  <c r="BH8" i="31"/>
  <c r="BH41" i="31"/>
  <c r="BH15" i="31"/>
  <c r="BH19" i="31"/>
  <c r="BH23" i="31"/>
  <c r="BH27" i="31"/>
  <c r="CF52" i="18"/>
  <c r="CU52" i="18"/>
  <c r="CF66" i="18"/>
  <c r="CU66" i="18"/>
  <c r="CE75" i="18"/>
  <c r="CT75" i="18"/>
  <c r="CE61" i="18"/>
  <c r="CT61" i="18"/>
  <c r="CG62" i="18"/>
  <c r="CV62" i="18"/>
  <c r="CG76" i="18"/>
  <c r="CV76" i="18"/>
  <c r="CB55" i="18"/>
  <c r="CQ55" i="18"/>
  <c r="CB69" i="18"/>
  <c r="CQ69" i="18"/>
  <c r="CA66" i="18"/>
  <c r="CP66" i="18"/>
  <c r="CA52" i="18"/>
  <c r="CP52" i="18"/>
  <c r="BZ61" i="18"/>
  <c r="CO61" i="18"/>
  <c r="BZ75" i="18"/>
  <c r="CO75" i="18"/>
  <c r="CF55" i="18"/>
  <c r="CU55" i="18"/>
  <c r="CF69" i="18"/>
  <c r="CU69" i="18"/>
  <c r="CE71" i="18"/>
  <c r="CT71" i="18"/>
  <c r="CE57" i="18"/>
  <c r="CT57" i="18"/>
  <c r="CB66" i="18"/>
  <c r="CQ66" i="18"/>
  <c r="CB52" i="18"/>
  <c r="CQ52" i="18"/>
  <c r="CG52" i="18"/>
  <c r="CV52" i="18"/>
  <c r="CG66" i="18"/>
  <c r="BY56" i="18"/>
  <c r="CN56" i="18"/>
  <c r="BY70" i="18"/>
  <c r="CN70" i="18"/>
  <c r="CE55" i="18"/>
  <c r="CT55" i="18"/>
  <c r="CE69" i="18"/>
  <c r="CT69" i="18"/>
  <c r="CC62" i="18"/>
  <c r="CR62" i="18"/>
  <c r="CC76" i="18"/>
  <c r="CR76" i="18"/>
  <c r="BZ57" i="18"/>
  <c r="CO57" i="18"/>
  <c r="BZ71" i="18"/>
  <c r="CO71" i="18"/>
  <c r="CG61" i="18"/>
  <c r="CV61" i="18"/>
  <c r="CG75" i="18"/>
  <c r="CV75" i="18"/>
  <c r="CC55" i="18"/>
  <c r="CR55" i="18"/>
  <c r="CC69" i="18"/>
  <c r="CR69" i="18"/>
  <c r="CB61" i="18"/>
  <c r="CQ61" i="18"/>
  <c r="CB75" i="18"/>
  <c r="CQ75" i="18"/>
  <c r="CC75" i="18"/>
  <c r="CR75" i="18"/>
  <c r="CC61" i="18"/>
  <c r="CR61" i="18"/>
  <c r="BZ56" i="18"/>
  <c r="CO56" i="18"/>
  <c r="BZ70" i="18"/>
  <c r="CO70" i="18"/>
  <c r="CG69" i="18"/>
  <c r="CV69" i="18"/>
  <c r="CG55" i="18"/>
  <c r="CV55" i="18"/>
  <c r="BY62" i="18"/>
  <c r="CN62" i="18"/>
  <c r="BY76" i="18"/>
  <c r="CN76" i="18"/>
  <c r="CD57" i="18"/>
  <c r="CS57" i="18"/>
  <c r="CD71" i="18"/>
  <c r="CS71" i="18"/>
  <c r="CD69" i="18"/>
  <c r="CS69" i="18"/>
  <c r="CD55" i="18"/>
  <c r="CS55" i="18"/>
  <c r="CC64" i="18"/>
  <c r="CR64" i="18"/>
  <c r="CC50" i="18"/>
  <c r="CR50" i="18"/>
  <c r="CA64" i="18"/>
  <c r="CP64" i="18"/>
  <c r="CA50" i="18"/>
  <c r="CP50" i="18"/>
  <c r="CB72" i="18"/>
  <c r="CQ72" i="18"/>
  <c r="CB58" i="18"/>
  <c r="CQ58" i="18"/>
  <c r="CC51" i="18"/>
  <c r="CR51" i="18"/>
  <c r="CC65" i="18"/>
  <c r="CR65" i="18"/>
  <c r="CC66" i="18"/>
  <c r="CR66" i="18"/>
  <c r="CC52" i="18"/>
  <c r="CR52" i="18"/>
  <c r="BY50" i="18"/>
  <c r="CN50" i="18"/>
  <c r="BY64" i="18"/>
  <c r="CN64" i="18"/>
  <c r="CC56" i="18"/>
  <c r="CR56" i="18"/>
  <c r="CC70" i="18"/>
  <c r="CR70" i="18"/>
  <c r="CB51" i="18"/>
  <c r="CQ51" i="18"/>
  <c r="CB65" i="18"/>
  <c r="CQ65" i="18"/>
  <c r="BY72" i="18"/>
  <c r="CN72" i="18"/>
  <c r="BY58" i="18"/>
  <c r="CN58" i="18"/>
  <c r="CD75" i="18"/>
  <c r="CS75" i="18"/>
  <c r="CD61" i="18"/>
  <c r="CS61" i="18"/>
  <c r="CE70" i="18"/>
  <c r="CT70" i="18"/>
  <c r="CE56" i="18"/>
  <c r="CT56" i="18"/>
  <c r="BZ50" i="18"/>
  <c r="CO50" i="18"/>
  <c r="BZ64" i="18"/>
  <c r="CO64" i="18"/>
  <c r="CF76" i="18"/>
  <c r="CU76" i="18"/>
  <c r="CF62" i="18"/>
  <c r="CU62" i="18"/>
  <c r="CG71" i="18"/>
  <c r="CV71" i="18"/>
  <c r="CG57" i="18"/>
  <c r="CV57" i="18"/>
  <c r="CA76" i="18"/>
  <c r="CP76" i="18"/>
  <c r="CA62" i="18"/>
  <c r="CP62" i="18"/>
  <c r="CF70" i="18"/>
  <c r="CU70" i="18"/>
  <c r="CF56" i="18"/>
  <c r="CU56" i="18"/>
  <c r="CE50" i="18"/>
  <c r="CT50" i="18"/>
  <c r="CE64" i="18"/>
  <c r="CT64" i="18"/>
  <c r="CA75" i="18"/>
  <c r="CP75" i="18"/>
  <c r="CA61" i="18"/>
  <c r="CP61" i="18"/>
  <c r="BZ58" i="18"/>
  <c r="CO58" i="18"/>
  <c r="BZ72" i="18"/>
  <c r="CO72" i="18"/>
  <c r="CF61" i="18"/>
  <c r="CU61" i="18"/>
  <c r="CF75" i="18"/>
  <c r="CU75" i="18"/>
  <c r="CG56" i="18"/>
  <c r="CV56" i="18"/>
  <c r="CG70" i="18"/>
  <c r="CV70" i="18"/>
  <c r="CD64" i="18"/>
  <c r="CS64" i="18"/>
  <c r="CD50" i="18"/>
  <c r="CS50" i="18"/>
  <c r="CE76" i="18"/>
  <c r="CT76" i="18"/>
  <c r="CE62" i="18"/>
  <c r="CT62" i="18"/>
  <c r="CA72" i="18"/>
  <c r="CP72" i="18"/>
  <c r="CA58" i="18"/>
  <c r="CP58" i="18"/>
  <c r="CD67" i="18"/>
  <c r="CS67" i="18"/>
  <c r="CD53" i="18"/>
  <c r="CS53" i="18"/>
  <c r="CA67" i="18"/>
  <c r="CP67" i="18"/>
  <c r="CA53" i="18"/>
  <c r="CP53" i="18"/>
  <c r="CC74" i="18"/>
  <c r="CR74" i="18"/>
  <c r="CC60" i="18"/>
  <c r="CR60" i="18"/>
  <c r="CE74" i="18"/>
  <c r="CT74" i="18"/>
  <c r="CE60" i="18"/>
  <c r="CT60" i="18"/>
  <c r="BY53" i="18"/>
  <c r="CN53" i="18"/>
  <c r="BY67" i="18"/>
  <c r="CN67" i="18"/>
  <c r="BY75" i="18"/>
  <c r="CN75" i="18"/>
  <c r="BY61" i="18"/>
  <c r="CN61" i="18"/>
  <c r="BZ76" i="18"/>
  <c r="CO76" i="18"/>
  <c r="BZ62" i="18"/>
  <c r="CO62" i="18"/>
  <c r="CB70" i="18"/>
  <c r="CQ70" i="18"/>
  <c r="CB56" i="18"/>
  <c r="CQ56" i="18"/>
  <c r="CA57" i="18"/>
  <c r="CP57" i="18"/>
  <c r="CA71" i="18"/>
  <c r="CP71" i="18"/>
  <c r="CC71" i="18"/>
  <c r="CR71" i="18"/>
  <c r="CC57" i="18"/>
  <c r="CR57" i="18"/>
  <c r="CB62" i="18"/>
  <c r="CQ62" i="18"/>
  <c r="CB76" i="18"/>
  <c r="CQ76" i="18"/>
  <c r="CE66" i="18"/>
  <c r="CT66" i="18"/>
  <c r="CE52" i="18"/>
  <c r="CT52" i="18"/>
  <c r="BY65" i="18"/>
  <c r="CN65" i="18"/>
  <c r="BY51" i="18"/>
  <c r="CN51" i="18"/>
  <c r="CB50" i="18"/>
  <c r="CQ50" i="18"/>
  <c r="CB64" i="18"/>
  <c r="CE72" i="18"/>
  <c r="CT72" i="18"/>
  <c r="CE58" i="18"/>
  <c r="CT58" i="18"/>
  <c r="BZ51" i="18"/>
  <c r="CO51" i="18"/>
  <c r="BZ65" i="18"/>
  <c r="CO65" i="18"/>
  <c r="CG64" i="18"/>
  <c r="CV64" i="18"/>
  <c r="CG50" i="18"/>
  <c r="CV50" i="18"/>
  <c r="CC58" i="18"/>
  <c r="CR58" i="18"/>
  <c r="CC72" i="18"/>
  <c r="CR72" i="18"/>
  <c r="CE51" i="18"/>
  <c r="CT51" i="18"/>
  <c r="CE65" i="18"/>
  <c r="CT65" i="18"/>
  <c r="CD62" i="18"/>
  <c r="CS62" i="18"/>
  <c r="CD76" i="18"/>
  <c r="CS76" i="18"/>
  <c r="CG72" i="18"/>
  <c r="CV72" i="18"/>
  <c r="CG58" i="18"/>
  <c r="CV58" i="18"/>
  <c r="CD65" i="18"/>
  <c r="CS65" i="18"/>
  <c r="CD51" i="18"/>
  <c r="CS51" i="18"/>
  <c r="CA70" i="18"/>
  <c r="CP70" i="18"/>
  <c r="CA56" i="18"/>
  <c r="CP56" i="18"/>
  <c r="BY74" i="18"/>
  <c r="CN74" i="18"/>
  <c r="BY60" i="18"/>
  <c r="CN60" i="18"/>
  <c r="CE53" i="18"/>
  <c r="CT53" i="18"/>
  <c r="CE67" i="18"/>
  <c r="CT67" i="18"/>
  <c r="CF67" i="18"/>
  <c r="CU67" i="18"/>
  <c r="CF53" i="18"/>
  <c r="CU53" i="18"/>
  <c r="BZ53" i="18"/>
  <c r="CO53" i="18"/>
  <c r="BZ67" i="18"/>
  <c r="CO67" i="18"/>
  <c r="CA60" i="18"/>
  <c r="CP60" i="18"/>
  <c r="CA74" i="18"/>
  <c r="CP74" i="18"/>
  <c r="CD56" i="18"/>
  <c r="CS56" i="18"/>
  <c r="CD70" i="18"/>
  <c r="CS70" i="18"/>
  <c r="CF57" i="18"/>
  <c r="CU57" i="18"/>
  <c r="CF71" i="18"/>
  <c r="CU71" i="18"/>
  <c r="CD72" i="18"/>
  <c r="CS72" i="18"/>
  <c r="CD58" i="18"/>
  <c r="CS58" i="18"/>
  <c r="CF64" i="18"/>
  <c r="CU64" i="18"/>
  <c r="CF50" i="18"/>
  <c r="CU50" i="18"/>
  <c r="CA65" i="18"/>
  <c r="CP65" i="18"/>
  <c r="CA51" i="18"/>
  <c r="CP51" i="18"/>
  <c r="CF65" i="18"/>
  <c r="CU65" i="18"/>
  <c r="CF51" i="18"/>
  <c r="CU51" i="18"/>
  <c r="CF58" i="18"/>
  <c r="CU58" i="18"/>
  <c r="CF72" i="18"/>
  <c r="CU72" i="18"/>
  <c r="CB71" i="18"/>
  <c r="CQ71" i="18"/>
  <c r="CB57" i="18"/>
  <c r="CQ57" i="18"/>
  <c r="BZ52" i="18"/>
  <c r="CO52" i="18"/>
  <c r="BZ66" i="18"/>
  <c r="CO66" i="18"/>
  <c r="CG65" i="18"/>
  <c r="CV65" i="18"/>
  <c r="CG51" i="18"/>
  <c r="CV51" i="18"/>
  <c r="BY55" i="18"/>
  <c r="CN55" i="18"/>
  <c r="BY69" i="18"/>
  <c r="CN69" i="18"/>
  <c r="BY66" i="18"/>
  <c r="CN66" i="18"/>
  <c r="BY52" i="18"/>
  <c r="CN52" i="18"/>
  <c r="BY57" i="18"/>
  <c r="CN57" i="18"/>
  <c r="BY71" i="18"/>
  <c r="CN71" i="18"/>
  <c r="CD52" i="18"/>
  <c r="CS52" i="18"/>
  <c r="CD66" i="18"/>
  <c r="BZ55" i="18"/>
  <c r="CO55" i="18"/>
  <c r="BZ69" i="18"/>
  <c r="CO69" i="18"/>
  <c r="CA69" i="18"/>
  <c r="CP69" i="18"/>
  <c r="CA55" i="18"/>
  <c r="CP55" i="18"/>
  <c r="BZ74" i="18"/>
  <c r="CO74" i="18"/>
  <c r="BZ60" i="18"/>
  <c r="CO60" i="18"/>
  <c r="CG53" i="18"/>
  <c r="CV53" i="18"/>
  <c r="CG67" i="18"/>
  <c r="CV67" i="18"/>
  <c r="CB74" i="18"/>
  <c r="CQ74" i="18"/>
  <c r="CB60" i="18"/>
  <c r="CQ60" i="18"/>
  <c r="CF60" i="18"/>
  <c r="CU60" i="18"/>
  <c r="CF74" i="18"/>
  <c r="CU74" i="18"/>
  <c r="N31" i="18"/>
  <c r="I31" i="18"/>
  <c r="FI45" i="18"/>
  <c r="I45" i="18"/>
  <c r="L45" i="18"/>
  <c r="G45" i="18"/>
  <c r="J31" i="18"/>
  <c r="N58" i="18"/>
  <c r="N72" i="18"/>
  <c r="N54" i="18"/>
  <c r="N68" i="18"/>
  <c r="N52" i="18"/>
  <c r="N66" i="18"/>
  <c r="N69" i="18"/>
  <c r="N55" i="18"/>
  <c r="N62" i="18"/>
  <c r="N76" i="18"/>
  <c r="I74" i="18"/>
  <c r="I60" i="18"/>
  <c r="I72" i="18"/>
  <c r="I58" i="18"/>
  <c r="I62" i="18"/>
  <c r="I76" i="18"/>
  <c r="H67" i="18"/>
  <c r="H53" i="18"/>
  <c r="H45" i="18"/>
  <c r="H68" i="18"/>
  <c r="H54" i="18"/>
  <c r="H73" i="18"/>
  <c r="H59" i="18"/>
  <c r="H72" i="18"/>
  <c r="H58" i="18"/>
  <c r="H66" i="18"/>
  <c r="H52" i="18"/>
  <c r="O45" i="18"/>
  <c r="O64" i="18"/>
  <c r="O50" i="18"/>
  <c r="O72" i="18"/>
  <c r="O58" i="18"/>
  <c r="J68" i="18"/>
  <c r="J54" i="18"/>
  <c r="J67" i="18"/>
  <c r="J53" i="18"/>
  <c r="J73" i="18"/>
  <c r="J66" i="18"/>
  <c r="J72" i="18"/>
  <c r="J75" i="18"/>
  <c r="J63" i="18"/>
  <c r="J59" i="18"/>
  <c r="J65" i="18"/>
  <c r="J51" i="18"/>
  <c r="J70" i="18"/>
  <c r="J56" i="18"/>
  <c r="J64" i="18"/>
  <c r="J50" i="18"/>
  <c r="J61" i="18"/>
  <c r="J76" i="18"/>
  <c r="J62" i="18"/>
  <c r="J71" i="18"/>
  <c r="J57" i="18"/>
  <c r="L68" i="18"/>
  <c r="L54" i="18"/>
  <c r="L75" i="18"/>
  <c r="L61" i="18"/>
  <c r="L66" i="18"/>
  <c r="L52" i="18"/>
  <c r="E45" i="18"/>
  <c r="E66" i="18"/>
  <c r="E52" i="18"/>
  <c r="FH31" i="18"/>
  <c r="FH68" i="18"/>
  <c r="FH54" i="18"/>
  <c r="FH65" i="18"/>
  <c r="FH51" i="18"/>
  <c r="FH66" i="18"/>
  <c r="FH52" i="18"/>
  <c r="G68" i="18"/>
  <c r="G54" i="18"/>
  <c r="G51" i="18"/>
  <c r="G65" i="18"/>
  <c r="G70" i="18"/>
  <c r="G56" i="18"/>
  <c r="G64" i="18"/>
  <c r="G50" i="18"/>
  <c r="G71" i="18"/>
  <c r="G57" i="18"/>
  <c r="F73" i="18"/>
  <c r="F59" i="18"/>
  <c r="F55" i="18"/>
  <c r="FI65" i="18"/>
  <c r="FI51" i="18"/>
  <c r="N60" i="18"/>
  <c r="N74" i="18"/>
  <c r="N70" i="18"/>
  <c r="N56" i="18"/>
  <c r="FI67" i="18"/>
  <c r="FI53" i="18"/>
  <c r="FI66" i="18"/>
  <c r="FI52" i="18"/>
  <c r="FI69" i="18"/>
  <c r="FI55" i="18"/>
  <c r="FI74" i="18"/>
  <c r="FI60" i="18"/>
  <c r="FI72" i="18"/>
  <c r="FI58" i="18"/>
  <c r="FI76" i="18"/>
  <c r="FI62" i="18"/>
  <c r="FI71" i="18"/>
  <c r="FI57" i="18"/>
  <c r="N73" i="18"/>
  <c r="N59" i="18"/>
  <c r="N45" i="18"/>
  <c r="N75" i="18"/>
  <c r="N61" i="18"/>
  <c r="N65" i="18"/>
  <c r="N51" i="18"/>
  <c r="N50" i="18"/>
  <c r="N64" i="18"/>
  <c r="N71" i="18"/>
  <c r="N57" i="18"/>
  <c r="I56" i="18"/>
  <c r="I70" i="18"/>
  <c r="I64" i="18"/>
  <c r="I50" i="18"/>
  <c r="H74" i="18"/>
  <c r="H60" i="18"/>
  <c r="H69" i="18"/>
  <c r="H55" i="18"/>
  <c r="H76" i="18"/>
  <c r="H62" i="18"/>
  <c r="O68" i="18"/>
  <c r="O54" i="18"/>
  <c r="O70" i="18"/>
  <c r="O56" i="18"/>
  <c r="O74" i="18"/>
  <c r="O60" i="18"/>
  <c r="O65" i="18"/>
  <c r="O51" i="18"/>
  <c r="O76" i="18"/>
  <c r="O62" i="18"/>
  <c r="O71" i="18"/>
  <c r="O57" i="18"/>
  <c r="J52" i="18"/>
  <c r="L67" i="18"/>
  <c r="L53" i="18"/>
  <c r="L55" i="18"/>
  <c r="L69" i="18"/>
  <c r="E69" i="18"/>
  <c r="E55" i="18"/>
  <c r="E65" i="18"/>
  <c r="E51" i="18"/>
  <c r="E71" i="18"/>
  <c r="E57" i="18"/>
  <c r="FH69" i="18"/>
  <c r="FH55" i="18"/>
  <c r="FH74" i="18"/>
  <c r="FH60" i="18"/>
  <c r="FH72" i="18"/>
  <c r="FH58" i="18"/>
  <c r="FH76" i="18"/>
  <c r="FH62" i="18"/>
  <c r="FH71" i="18"/>
  <c r="G59" i="18"/>
  <c r="G73" i="18"/>
  <c r="G53" i="18"/>
  <c r="G67" i="18"/>
  <c r="G61" i="18"/>
  <c r="G75" i="18"/>
  <c r="G66" i="18"/>
  <c r="G52" i="18"/>
  <c r="G76" i="18"/>
  <c r="G62" i="18"/>
  <c r="F74" i="18"/>
  <c r="F60" i="18"/>
  <c r="F72" i="18"/>
  <c r="F58" i="18"/>
  <c r="FI68" i="18"/>
  <c r="FI54" i="18"/>
  <c r="FI64" i="18"/>
  <c r="FI50" i="18"/>
  <c r="I73" i="18"/>
  <c r="I59" i="18"/>
  <c r="H71" i="18"/>
  <c r="H57" i="18"/>
  <c r="O75" i="18"/>
  <c r="O61" i="18"/>
  <c r="O52" i="18"/>
  <c r="O59" i="18"/>
  <c r="O48" i="18"/>
  <c r="J69" i="18"/>
  <c r="J55" i="18"/>
  <c r="L74" i="18"/>
  <c r="L60" i="18"/>
  <c r="L72" i="18"/>
  <c r="L58" i="18"/>
  <c r="E74" i="18"/>
  <c r="E60" i="18"/>
  <c r="E58" i="18"/>
  <c r="E72" i="18"/>
  <c r="E75" i="18"/>
  <c r="E61" i="18"/>
  <c r="E62" i="18"/>
  <c r="E76" i="18"/>
  <c r="FH73" i="18"/>
  <c r="FH59" i="18"/>
  <c r="FH70" i="18"/>
  <c r="FH56" i="18"/>
  <c r="FH64" i="18"/>
  <c r="FH50" i="18"/>
  <c r="FH75" i="18"/>
  <c r="FH61" i="18"/>
  <c r="G69" i="18"/>
  <c r="G55" i="18"/>
  <c r="F65" i="18"/>
  <c r="F51" i="18"/>
  <c r="F70" i="18"/>
  <c r="F56" i="18"/>
  <c r="F64" i="18"/>
  <c r="F50" i="18"/>
  <c r="F71" i="18"/>
  <c r="F57" i="18"/>
  <c r="I54" i="18"/>
  <c r="I68" i="18"/>
  <c r="I66" i="18"/>
  <c r="I52" i="18"/>
  <c r="FI73" i="18"/>
  <c r="FI59" i="18"/>
  <c r="FI75" i="18"/>
  <c r="FI61" i="18"/>
  <c r="FI70" i="18"/>
  <c r="FI56" i="18"/>
  <c r="N67" i="18"/>
  <c r="N53" i="18"/>
  <c r="I67" i="18"/>
  <c r="I53" i="18"/>
  <c r="I69" i="18"/>
  <c r="I55" i="18"/>
  <c r="I75" i="18"/>
  <c r="I61" i="18"/>
  <c r="I48" i="18"/>
  <c r="I65" i="18"/>
  <c r="I51" i="18"/>
  <c r="I71" i="18"/>
  <c r="I57" i="18"/>
  <c r="H75" i="18"/>
  <c r="H61" i="18"/>
  <c r="H65" i="18"/>
  <c r="H51" i="18"/>
  <c r="H70" i="18"/>
  <c r="H56" i="18"/>
  <c r="H64" i="18"/>
  <c r="H50" i="18"/>
  <c r="O67" i="18"/>
  <c r="O53" i="18"/>
  <c r="O73" i="18"/>
  <c r="O66" i="18"/>
  <c r="O69" i="18"/>
  <c r="O55" i="18"/>
  <c r="J74" i="18"/>
  <c r="J60" i="18"/>
  <c r="J58" i="18"/>
  <c r="J48" i="18"/>
  <c r="L59" i="18"/>
  <c r="L73" i="18"/>
  <c r="L51" i="18"/>
  <c r="L65" i="18"/>
  <c r="L70" i="18"/>
  <c r="L56" i="18"/>
  <c r="L64" i="18"/>
  <c r="L50" i="18"/>
  <c r="L76" i="18"/>
  <c r="L62" i="18"/>
  <c r="L57" i="18"/>
  <c r="L71" i="18"/>
  <c r="E67" i="18"/>
  <c r="E53" i="18"/>
  <c r="E73" i="18"/>
  <c r="E59" i="18"/>
  <c r="E68" i="18"/>
  <c r="E54" i="18"/>
  <c r="E56" i="18"/>
  <c r="E70" i="18"/>
  <c r="E50" i="18"/>
  <c r="E64" i="18"/>
  <c r="FH67" i="18"/>
  <c r="FH53" i="18"/>
  <c r="G74" i="18"/>
  <c r="G60" i="18"/>
  <c r="G72" i="18"/>
  <c r="G58" i="18"/>
  <c r="G48" i="18"/>
  <c r="F68" i="18"/>
  <c r="F54" i="18"/>
  <c r="F67" i="18"/>
  <c r="F53" i="18"/>
  <c r="F45" i="18"/>
  <c r="F66" i="18"/>
  <c r="F52" i="18"/>
  <c r="F75" i="18"/>
  <c r="F61" i="18"/>
  <c r="F76" i="18"/>
  <c r="F62" i="18"/>
  <c r="E38" i="5"/>
  <c r="AE38" i="5"/>
  <c r="Y2" i="30"/>
  <c r="Y38" i="30"/>
  <c r="Y3" i="31"/>
  <c r="Y32" i="31"/>
  <c r="Y4" i="31"/>
  <c r="Y5" i="31"/>
  <c r="Y47" i="30"/>
  <c r="Y6" i="31"/>
  <c r="Y7" i="31"/>
  <c r="Y8" i="31"/>
  <c r="Y9" i="31"/>
  <c r="Y10" i="31"/>
  <c r="Y46" i="31"/>
  <c r="Y11" i="31"/>
  <c r="Y12" i="31"/>
  <c r="Y13" i="31"/>
  <c r="Y34" i="30"/>
  <c r="Y14" i="31"/>
  <c r="Y15" i="31"/>
  <c r="Y16" i="31"/>
  <c r="Y17" i="31"/>
  <c r="Y18" i="31"/>
  <c r="Y19" i="31"/>
  <c r="Y20" i="31"/>
  <c r="Y21" i="31"/>
  <c r="Y22" i="31"/>
  <c r="Y23" i="31"/>
  <c r="Y49" i="31"/>
  <c r="Y24" i="31"/>
  <c r="Y25" i="31"/>
  <c r="Y64" i="31"/>
  <c r="Y36" i="30"/>
  <c r="Y26" i="31"/>
  <c r="Y27" i="31"/>
  <c r="Y28" i="31"/>
  <c r="Y29" i="31"/>
  <c r="Y30" i="31"/>
  <c r="V2" i="30"/>
  <c r="V38" i="30"/>
  <c r="V32" i="30"/>
  <c r="V3" i="31"/>
  <c r="V4" i="31"/>
  <c r="V5" i="31"/>
  <c r="V6" i="31"/>
  <c r="V47" i="31"/>
  <c r="V10" i="31"/>
  <c r="V46" i="31"/>
  <c r="V45" i="31"/>
  <c r="V7" i="31"/>
  <c r="V8" i="31"/>
  <c r="V9" i="31"/>
  <c r="V46" i="30"/>
  <c r="V45" i="30"/>
  <c r="V11" i="31"/>
  <c r="V12" i="31"/>
  <c r="V33" i="30"/>
  <c r="V13" i="31"/>
  <c r="V14" i="31"/>
  <c r="V44" i="30"/>
  <c r="V15" i="31"/>
  <c r="V44" i="31"/>
  <c r="V16" i="31"/>
  <c r="V17" i="31"/>
  <c r="V18" i="31"/>
  <c r="V19" i="31"/>
  <c r="V20" i="31"/>
  <c r="V21" i="31"/>
  <c r="V22" i="31"/>
  <c r="V49" i="30"/>
  <c r="V23" i="31"/>
  <c r="V49" i="31"/>
  <c r="V24" i="31"/>
  <c r="V25" i="31"/>
  <c r="V36" i="30"/>
  <c r="V26" i="31"/>
  <c r="V27" i="31"/>
  <c r="V43" i="30"/>
  <c r="V28" i="31"/>
  <c r="V29" i="31"/>
  <c r="V30" i="31"/>
  <c r="Q2" i="30"/>
  <c r="Q38" i="30"/>
  <c r="Q3" i="31"/>
  <c r="Q4" i="31"/>
  <c r="Q5" i="31"/>
  <c r="Q6" i="31"/>
  <c r="Q7" i="31"/>
  <c r="Q73" i="31"/>
  <c r="Q8" i="31"/>
  <c r="Q9" i="31"/>
  <c r="Q46" i="30"/>
  <c r="Q10" i="31"/>
  <c r="Q46" i="31"/>
  <c r="Q39" i="30"/>
  <c r="Q11" i="31"/>
  <c r="Q12" i="31"/>
  <c r="Q33" i="30"/>
  <c r="Q13" i="31"/>
  <c r="Q14" i="31"/>
  <c r="Q15" i="31"/>
  <c r="Q16" i="31"/>
  <c r="Q58" i="31"/>
  <c r="Q17" i="31"/>
  <c r="Q18" i="31"/>
  <c r="Q42" i="30"/>
  <c r="Q19" i="31"/>
  <c r="Q20" i="31"/>
  <c r="Q21" i="31"/>
  <c r="Q22" i="31"/>
  <c r="Q23" i="31"/>
  <c r="Q49" i="31"/>
  <c r="Q24" i="31"/>
  <c r="Q25" i="31"/>
  <c r="Q26" i="31"/>
  <c r="Q27" i="31"/>
  <c r="Q62" i="31"/>
  <c r="Q43" i="30"/>
  <c r="Q28" i="31"/>
  <c r="Q29" i="31"/>
  <c r="Q30" i="31"/>
  <c r="M2" i="30"/>
  <c r="M38" i="30"/>
  <c r="M32" i="30"/>
  <c r="M3" i="31"/>
  <c r="M4" i="31"/>
  <c r="M5" i="31"/>
  <c r="M6" i="31"/>
  <c r="M7" i="31"/>
  <c r="M8" i="31"/>
  <c r="M41" i="31"/>
  <c r="M9" i="31"/>
  <c r="M10" i="31"/>
  <c r="M46" i="31"/>
  <c r="M39" i="30"/>
  <c r="M11" i="31"/>
  <c r="M12" i="31"/>
  <c r="M13" i="31"/>
  <c r="M14" i="31"/>
  <c r="M44" i="30"/>
  <c r="M15" i="31"/>
  <c r="M16" i="31"/>
  <c r="M17" i="31"/>
  <c r="M18" i="31"/>
  <c r="M75" i="31"/>
  <c r="M19" i="31"/>
  <c r="M20" i="31"/>
  <c r="M21" i="31"/>
  <c r="M22" i="31"/>
  <c r="M23" i="31"/>
  <c r="M49" i="31"/>
  <c r="M24" i="31"/>
  <c r="M25" i="31"/>
  <c r="M36" i="30"/>
  <c r="M26" i="31"/>
  <c r="M27" i="31"/>
  <c r="M28" i="31"/>
  <c r="M29" i="31"/>
  <c r="M71" i="31"/>
  <c r="M30" i="31"/>
  <c r="J2" i="30"/>
  <c r="J38" i="30"/>
  <c r="J8" i="31"/>
  <c r="J9" i="31"/>
  <c r="J10" i="31"/>
  <c r="J46" i="31"/>
  <c r="J11" i="31"/>
  <c r="J12" i="31"/>
  <c r="J6" i="31"/>
  <c r="J7" i="31"/>
  <c r="J3" i="31"/>
  <c r="J4" i="31"/>
  <c r="J5" i="31"/>
  <c r="J67" i="31"/>
  <c r="J13" i="31"/>
  <c r="J14" i="31"/>
  <c r="J15" i="31"/>
  <c r="J16" i="31"/>
  <c r="J17" i="31"/>
  <c r="J18" i="31"/>
  <c r="J19" i="31"/>
  <c r="J20" i="31"/>
  <c r="J21" i="31"/>
  <c r="J22" i="31"/>
  <c r="J23" i="31"/>
  <c r="J49" i="31"/>
  <c r="J24" i="31"/>
  <c r="J69" i="31"/>
  <c r="J25" i="31"/>
  <c r="J36" i="30"/>
  <c r="J26" i="31"/>
  <c r="J27" i="31"/>
  <c r="J28" i="31"/>
  <c r="J29" i="31"/>
  <c r="J30" i="31"/>
  <c r="F2" i="30"/>
  <c r="F38" i="30"/>
  <c r="F3" i="31"/>
  <c r="F4" i="31"/>
  <c r="F6" i="31"/>
  <c r="F8" i="31"/>
  <c r="F41" i="31"/>
  <c r="F9" i="31"/>
  <c r="F46" i="30"/>
  <c r="F10" i="31"/>
  <c r="F46" i="31"/>
  <c r="F11" i="31"/>
  <c r="F12" i="31"/>
  <c r="F5" i="31"/>
  <c r="F7" i="31"/>
  <c r="F33" i="30"/>
  <c r="F13" i="31"/>
  <c r="F14" i="31"/>
  <c r="F15" i="31"/>
  <c r="F16" i="31"/>
  <c r="F58" i="31"/>
  <c r="F17" i="31"/>
  <c r="F18" i="31"/>
  <c r="F42" i="30"/>
  <c r="F19" i="31"/>
  <c r="F20" i="31"/>
  <c r="F21" i="31"/>
  <c r="F37" i="30"/>
  <c r="F22" i="31"/>
  <c r="F49" i="30"/>
  <c r="F23" i="31"/>
  <c r="F49" i="31"/>
  <c r="F24" i="31"/>
  <c r="F25" i="31"/>
  <c r="F64" i="31"/>
  <c r="F26" i="31"/>
  <c r="F27" i="31"/>
  <c r="F28" i="31"/>
  <c r="F29" i="31"/>
  <c r="F35" i="30"/>
  <c r="F30" i="31"/>
  <c r="AI47" i="5"/>
  <c r="AI59" i="5"/>
  <c r="AI73" i="5"/>
  <c r="AI37" i="5"/>
  <c r="AI49" i="5"/>
  <c r="AI55" i="5"/>
  <c r="AI69" i="5"/>
  <c r="AI43" i="5"/>
  <c r="AI57" i="5"/>
  <c r="AI71" i="5"/>
  <c r="AI35" i="5"/>
  <c r="AI41" i="5"/>
  <c r="AI32" i="5"/>
  <c r="AI39" i="5"/>
  <c r="AI34" i="5"/>
  <c r="AI44" i="5"/>
  <c r="AI72" i="5"/>
  <c r="AI58" i="5"/>
  <c r="AI40" i="5"/>
  <c r="AI53" i="5"/>
  <c r="AI67" i="5"/>
  <c r="AI46" i="5"/>
  <c r="AI38" i="5"/>
  <c r="AI74" i="5"/>
  <c r="AI60" i="5"/>
  <c r="AI33" i="5"/>
  <c r="AI66" i="5"/>
  <c r="AI52" i="5"/>
  <c r="AI61" i="5"/>
  <c r="AI75" i="5"/>
  <c r="AI51" i="5"/>
  <c r="AI65" i="5"/>
  <c r="AI36" i="5"/>
  <c r="AI68" i="5"/>
  <c r="AI54" i="5"/>
  <c r="AI42" i="5"/>
  <c r="AI70" i="5"/>
  <c r="AI56" i="5"/>
  <c r="AI64" i="5"/>
  <c r="AI50" i="5"/>
  <c r="AI76" i="5"/>
  <c r="AI62" i="5"/>
  <c r="U33" i="5"/>
  <c r="V35" i="5"/>
  <c r="S35" i="5"/>
  <c r="S33" i="5"/>
  <c r="T35" i="5"/>
  <c r="F33" i="5"/>
  <c r="W35" i="5"/>
  <c r="V33" i="5"/>
  <c r="U35" i="5"/>
  <c r="F35" i="5"/>
  <c r="AF35" i="5"/>
  <c r="W33" i="5"/>
  <c r="T33" i="5"/>
  <c r="BD53" i="5"/>
  <c r="BD67" i="5"/>
  <c r="BD54" i="5"/>
  <c r="BD68" i="5"/>
  <c r="BD61" i="5"/>
  <c r="BD75" i="5"/>
  <c r="BD65" i="5"/>
  <c r="BD51" i="5"/>
  <c r="BD49" i="5"/>
  <c r="BD50" i="5"/>
  <c r="BD64" i="5"/>
  <c r="BD57" i="5"/>
  <c r="BD71" i="5"/>
  <c r="BD47" i="5"/>
  <c r="BD74" i="5"/>
  <c r="BD60" i="5"/>
  <c r="BD66" i="5"/>
  <c r="BD52" i="5"/>
  <c r="BD70" i="5"/>
  <c r="BD56" i="5"/>
  <c r="BD69" i="5"/>
  <c r="BD55" i="5"/>
  <c r="BD73" i="5"/>
  <c r="BD59" i="5"/>
  <c r="BD58" i="5"/>
  <c r="BD72" i="5"/>
  <c r="BD46" i="5"/>
  <c r="BD62" i="5"/>
  <c r="BD76" i="5"/>
  <c r="S2" i="30"/>
  <c r="S38" i="30"/>
  <c r="S32" i="30"/>
  <c r="S3" i="31"/>
  <c r="S4" i="31"/>
  <c r="S5" i="31"/>
  <c r="S47" i="30"/>
  <c r="S45" i="30"/>
  <c r="S6" i="31"/>
  <c r="S7" i="31"/>
  <c r="S8" i="31"/>
  <c r="S9" i="31"/>
  <c r="S10" i="31"/>
  <c r="S46" i="31"/>
  <c r="S39" i="30"/>
  <c r="S11" i="31"/>
  <c r="S12" i="31"/>
  <c r="S13" i="31"/>
  <c r="S34" i="30"/>
  <c r="S14" i="31"/>
  <c r="S15" i="31"/>
  <c r="S16" i="31"/>
  <c r="S17" i="31"/>
  <c r="S18" i="31"/>
  <c r="S19" i="31"/>
  <c r="S20" i="31"/>
  <c r="S21" i="31"/>
  <c r="S65" i="31"/>
  <c r="S22" i="31"/>
  <c r="S23" i="31"/>
  <c r="S49" i="31"/>
  <c r="S24" i="31"/>
  <c r="S25" i="31"/>
  <c r="S26" i="31"/>
  <c r="S27" i="31"/>
  <c r="S43" i="30"/>
  <c r="S28" i="31"/>
  <c r="S29" i="31"/>
  <c r="S30" i="31"/>
  <c r="K2" i="30"/>
  <c r="K38" i="30"/>
  <c r="K3" i="31"/>
  <c r="K32" i="31"/>
  <c r="K4" i="31"/>
  <c r="K5" i="31"/>
  <c r="K6" i="31"/>
  <c r="K7" i="31"/>
  <c r="K41" i="30"/>
  <c r="K8" i="31"/>
  <c r="K9" i="31"/>
  <c r="K10" i="31"/>
  <c r="K46" i="31"/>
  <c r="K39" i="30"/>
  <c r="K11" i="31"/>
  <c r="K12" i="31"/>
  <c r="K33" i="30"/>
  <c r="K13" i="31"/>
  <c r="K34" i="30"/>
  <c r="K14" i="31"/>
  <c r="K15" i="31"/>
  <c r="K16" i="31"/>
  <c r="K17" i="31"/>
  <c r="K18" i="31"/>
  <c r="K19" i="31"/>
  <c r="K20" i="31"/>
  <c r="K21" i="31"/>
  <c r="K37" i="30"/>
  <c r="K22" i="31"/>
  <c r="K37" i="31"/>
  <c r="K23" i="31"/>
  <c r="K49" i="31"/>
  <c r="K24" i="31"/>
  <c r="K25" i="31"/>
  <c r="K26" i="31"/>
  <c r="K27" i="31"/>
  <c r="K43" i="30"/>
  <c r="K28" i="31"/>
  <c r="K29" i="31"/>
  <c r="K35" i="30"/>
  <c r="K30" i="31"/>
  <c r="D38" i="30"/>
  <c r="D34" i="30"/>
  <c r="D49" i="30"/>
  <c r="D40" i="30"/>
  <c r="D47" i="30"/>
  <c r="D41" i="30"/>
  <c r="D43" i="30"/>
  <c r="D35" i="30"/>
  <c r="W2" i="30"/>
  <c r="W38" i="30"/>
  <c r="W4" i="31"/>
  <c r="W5" i="31"/>
  <c r="W7" i="31"/>
  <c r="W8" i="31"/>
  <c r="W9" i="31"/>
  <c r="W46" i="30"/>
  <c r="W10" i="31"/>
  <c r="W46" i="31"/>
  <c r="W11" i="31"/>
  <c r="W12" i="31"/>
  <c r="W3" i="31"/>
  <c r="W47" i="30"/>
  <c r="W6" i="31"/>
  <c r="W47" i="31"/>
  <c r="W45" i="31"/>
  <c r="W13" i="31"/>
  <c r="W14" i="31"/>
  <c r="W15" i="31"/>
  <c r="W16" i="31"/>
  <c r="W17" i="31"/>
  <c r="W18" i="31"/>
  <c r="W42" i="30"/>
  <c r="W19" i="31"/>
  <c r="W20" i="31"/>
  <c r="W21" i="31"/>
  <c r="W22" i="31"/>
  <c r="W23" i="31"/>
  <c r="W49" i="31"/>
  <c r="W24" i="31"/>
  <c r="W25" i="31"/>
  <c r="W36" i="30"/>
  <c r="W26" i="31"/>
  <c r="W27" i="31"/>
  <c r="W28" i="31"/>
  <c r="W29" i="31"/>
  <c r="W30" i="31"/>
  <c r="AB38" i="30"/>
  <c r="AB32" i="30"/>
  <c r="AB40" i="30"/>
  <c r="AB41" i="30"/>
  <c r="AB46" i="31"/>
  <c r="AB34" i="30"/>
  <c r="AB42" i="30"/>
  <c r="AB37" i="30"/>
  <c r="AB49" i="31"/>
  <c r="AB36" i="30"/>
  <c r="AB43" i="30"/>
  <c r="AB35" i="30"/>
  <c r="X2" i="30"/>
  <c r="X38" i="30"/>
  <c r="X3" i="31"/>
  <c r="X32" i="31"/>
  <c r="X40" i="30"/>
  <c r="X4" i="31"/>
  <c r="X5" i="31"/>
  <c r="X47" i="30"/>
  <c r="X46" i="30"/>
  <c r="X45" i="30"/>
  <c r="X6" i="31"/>
  <c r="X7" i="31"/>
  <c r="X41" i="30"/>
  <c r="X8" i="31"/>
  <c r="X9" i="31"/>
  <c r="X10" i="31"/>
  <c r="X46" i="31"/>
  <c r="X39" i="30"/>
  <c r="X11" i="31"/>
  <c r="X12" i="31"/>
  <c r="X33" i="30"/>
  <c r="X13" i="31"/>
  <c r="X14" i="31"/>
  <c r="X44" i="30"/>
  <c r="X15" i="31"/>
  <c r="X16" i="31"/>
  <c r="X17" i="31"/>
  <c r="X18" i="31"/>
  <c r="X42" i="30"/>
  <c r="X19" i="31"/>
  <c r="X42" i="31"/>
  <c r="X20" i="31"/>
  <c r="X21" i="31"/>
  <c r="X37" i="30"/>
  <c r="X22" i="31"/>
  <c r="X23" i="31"/>
  <c r="X49" i="31"/>
  <c r="X24" i="31"/>
  <c r="X25" i="31"/>
  <c r="X36" i="30"/>
  <c r="X26" i="31"/>
  <c r="X27" i="31"/>
  <c r="X43" i="30"/>
  <c r="X28" i="31"/>
  <c r="X43" i="31"/>
  <c r="X29" i="31"/>
  <c r="X35" i="30"/>
  <c r="X30" i="31"/>
  <c r="T38" i="30"/>
  <c r="T33" i="30"/>
  <c r="T13" i="31"/>
  <c r="T34" i="30"/>
  <c r="T14" i="31"/>
  <c r="T44" i="30"/>
  <c r="T15" i="31"/>
  <c r="T16" i="31"/>
  <c r="T17" i="31"/>
  <c r="T66" i="31"/>
  <c r="T18" i="31"/>
  <c r="T42" i="30"/>
  <c r="T19" i="31"/>
  <c r="T20" i="31"/>
  <c r="T21" i="31"/>
  <c r="T37" i="30"/>
  <c r="T22" i="31"/>
  <c r="T49" i="30"/>
  <c r="T23" i="31"/>
  <c r="T49" i="31"/>
  <c r="T32" i="30"/>
  <c r="T3" i="31"/>
  <c r="T4" i="31"/>
  <c r="T5" i="31"/>
  <c r="T47" i="30"/>
  <c r="T46" i="30"/>
  <c r="T45" i="30"/>
  <c r="T6" i="31"/>
  <c r="T7" i="31"/>
  <c r="T41" i="30"/>
  <c r="T8" i="31"/>
  <c r="T9" i="31"/>
  <c r="T10" i="31"/>
  <c r="T46" i="31"/>
  <c r="T39" i="30"/>
  <c r="T11" i="31"/>
  <c r="T12" i="31"/>
  <c r="T60" i="31"/>
  <c r="T24" i="31"/>
  <c r="T25" i="31"/>
  <c r="T26" i="31"/>
  <c r="T27" i="31"/>
  <c r="T43" i="30"/>
  <c r="T28" i="31"/>
  <c r="T29" i="31"/>
  <c r="T30" i="31"/>
  <c r="P2" i="30"/>
  <c r="P38" i="30"/>
  <c r="P33" i="30"/>
  <c r="P13" i="31"/>
  <c r="P34" i="30"/>
  <c r="P14" i="31"/>
  <c r="P15" i="31"/>
  <c r="P16" i="31"/>
  <c r="P17" i="31"/>
  <c r="P18" i="31"/>
  <c r="P19" i="31"/>
  <c r="P20" i="31"/>
  <c r="P21" i="31"/>
  <c r="P37" i="30"/>
  <c r="P22" i="31"/>
  <c r="P23" i="31"/>
  <c r="P49" i="31"/>
  <c r="P32" i="30"/>
  <c r="P3" i="31"/>
  <c r="P40" i="30"/>
  <c r="P4" i="31"/>
  <c r="P5" i="31"/>
  <c r="P47" i="30"/>
  <c r="P6" i="31"/>
  <c r="P7" i="31"/>
  <c r="P41" i="30"/>
  <c r="P8" i="31"/>
  <c r="P9" i="31"/>
  <c r="P10" i="31"/>
  <c r="P46" i="31"/>
  <c r="P39" i="30"/>
  <c r="P11" i="31"/>
  <c r="P12" i="31"/>
  <c r="P24" i="31"/>
  <c r="P25" i="31"/>
  <c r="P36" i="30"/>
  <c r="P26" i="31"/>
  <c r="P27" i="31"/>
  <c r="P43" i="30"/>
  <c r="P28" i="31"/>
  <c r="P29" i="31"/>
  <c r="P35" i="30"/>
  <c r="P30" i="31"/>
  <c r="P35" i="31"/>
  <c r="L2" i="30"/>
  <c r="L38" i="30"/>
  <c r="L32" i="30"/>
  <c r="L3" i="31"/>
  <c r="L4" i="31"/>
  <c r="L5" i="31"/>
  <c r="L6" i="31"/>
  <c r="L7" i="31"/>
  <c r="L8" i="31"/>
  <c r="L9" i="31"/>
  <c r="L10" i="31"/>
  <c r="L46" i="31"/>
  <c r="L39" i="30"/>
  <c r="L11" i="31"/>
  <c r="L39" i="31"/>
  <c r="L12" i="31"/>
  <c r="L33" i="30"/>
  <c r="L13" i="31"/>
  <c r="L14" i="31"/>
  <c r="L44" i="30"/>
  <c r="L15" i="31"/>
  <c r="L16" i="31"/>
  <c r="L17" i="31"/>
  <c r="L18" i="31"/>
  <c r="L42" i="30"/>
  <c r="L19" i="31"/>
  <c r="L20" i="31"/>
  <c r="L70" i="31"/>
  <c r="L21" i="31"/>
  <c r="L22" i="31"/>
  <c r="L49" i="30"/>
  <c r="L23" i="31"/>
  <c r="L49" i="31"/>
  <c r="L24" i="31"/>
  <c r="L25" i="31"/>
  <c r="L36" i="30"/>
  <c r="L26" i="31"/>
  <c r="L27" i="31"/>
  <c r="L43" i="30"/>
  <c r="L28" i="31"/>
  <c r="L29" i="31"/>
  <c r="L71" i="31"/>
  <c r="L35" i="30"/>
  <c r="L30" i="31"/>
  <c r="I2" i="30"/>
  <c r="I38" i="30"/>
  <c r="I32" i="30"/>
  <c r="I3" i="31"/>
  <c r="I4" i="31"/>
  <c r="I5" i="31"/>
  <c r="I6" i="31"/>
  <c r="I7" i="31"/>
  <c r="I8" i="31"/>
  <c r="I9" i="31"/>
  <c r="I46" i="30"/>
  <c r="I45" i="30"/>
  <c r="I10" i="31"/>
  <c r="I46" i="31"/>
  <c r="I39" i="30"/>
  <c r="I11" i="31"/>
  <c r="I12" i="31"/>
  <c r="I13" i="31"/>
  <c r="I34" i="30"/>
  <c r="I14" i="31"/>
  <c r="I44" i="30"/>
  <c r="I15" i="31"/>
  <c r="I16" i="31"/>
  <c r="I17" i="31"/>
  <c r="I18" i="31"/>
  <c r="I61" i="31"/>
  <c r="I42" i="30"/>
  <c r="I19" i="31"/>
  <c r="I20" i="31"/>
  <c r="I21" i="31"/>
  <c r="I37" i="30"/>
  <c r="I22" i="31"/>
  <c r="I23" i="31"/>
  <c r="I49" i="31"/>
  <c r="I24" i="31"/>
  <c r="I25" i="31"/>
  <c r="I26" i="31"/>
  <c r="I27" i="31"/>
  <c r="I43" i="30"/>
  <c r="I28" i="31"/>
  <c r="I29" i="31"/>
  <c r="I35" i="30"/>
  <c r="I30" i="31"/>
  <c r="E2" i="30"/>
  <c r="E38" i="30"/>
  <c r="E32" i="30"/>
  <c r="E3" i="31"/>
  <c r="E4" i="31"/>
  <c r="E5" i="31"/>
  <c r="E6" i="31"/>
  <c r="E7" i="31"/>
  <c r="E41" i="30"/>
  <c r="E8" i="31"/>
  <c r="E9" i="31"/>
  <c r="E46" i="30"/>
  <c r="E10" i="31"/>
  <c r="E46" i="31"/>
  <c r="E11" i="31"/>
  <c r="E12" i="31"/>
  <c r="E13" i="31"/>
  <c r="E34" i="30"/>
  <c r="E14" i="31"/>
  <c r="E44" i="30"/>
  <c r="E15" i="31"/>
  <c r="E16" i="31"/>
  <c r="E17" i="31"/>
  <c r="E18" i="31"/>
  <c r="E19" i="31"/>
  <c r="E20" i="31"/>
  <c r="E21" i="31"/>
  <c r="E37" i="30"/>
  <c r="E22" i="31"/>
  <c r="E49" i="30"/>
  <c r="E23" i="31"/>
  <c r="E49" i="31"/>
  <c r="E24" i="31"/>
  <c r="E25" i="31"/>
  <c r="E36" i="30"/>
  <c r="E26" i="31"/>
  <c r="E27" i="31"/>
  <c r="E28" i="31"/>
  <c r="E29" i="31"/>
  <c r="E35" i="30"/>
  <c r="E30" i="31"/>
  <c r="AA38" i="30"/>
  <c r="AA46" i="30"/>
  <c r="AA46" i="31"/>
  <c r="AA39" i="30"/>
  <c r="AA32" i="30"/>
  <c r="AA40" i="31"/>
  <c r="AA47" i="30"/>
  <c r="AA33" i="30"/>
  <c r="AA34" i="30"/>
  <c r="AA37" i="30"/>
  <c r="AA49" i="31"/>
  <c r="AA35" i="31"/>
  <c r="H2" i="30"/>
  <c r="H38" i="30"/>
  <c r="H32" i="30"/>
  <c r="H3" i="31"/>
  <c r="H4" i="31"/>
  <c r="H5" i="31"/>
  <c r="H6" i="31"/>
  <c r="H7" i="31"/>
  <c r="H41" i="30"/>
  <c r="H8" i="31"/>
  <c r="H9" i="31"/>
  <c r="H46" i="30"/>
  <c r="H10" i="31"/>
  <c r="H46" i="31"/>
  <c r="H11" i="31"/>
  <c r="H12" i="31"/>
  <c r="H13" i="31"/>
  <c r="H34" i="30"/>
  <c r="H14" i="31"/>
  <c r="H15" i="31"/>
  <c r="H16" i="31"/>
  <c r="H17" i="31"/>
  <c r="H18" i="31"/>
  <c r="H42" i="30"/>
  <c r="H19" i="31"/>
  <c r="H20" i="31"/>
  <c r="H70" i="31"/>
  <c r="H21" i="31"/>
  <c r="H22" i="31"/>
  <c r="H49" i="30"/>
  <c r="H23" i="31"/>
  <c r="H49" i="31"/>
  <c r="H24" i="31"/>
  <c r="H55" i="31"/>
  <c r="H25" i="31"/>
  <c r="H36" i="30"/>
  <c r="H26" i="31"/>
  <c r="H27" i="31"/>
  <c r="H43" i="30"/>
  <c r="H28" i="31"/>
  <c r="H29" i="31"/>
  <c r="H71" i="31"/>
  <c r="H30" i="31"/>
  <c r="R2" i="30"/>
  <c r="R38" i="30"/>
  <c r="R32" i="30"/>
  <c r="R3" i="31"/>
  <c r="R6" i="31"/>
  <c r="R7" i="31"/>
  <c r="R41" i="30"/>
  <c r="R8" i="31"/>
  <c r="R41" i="31"/>
  <c r="R9" i="31"/>
  <c r="R46" i="30"/>
  <c r="R10" i="31"/>
  <c r="R46" i="31"/>
  <c r="R11" i="31"/>
  <c r="R12" i="31"/>
  <c r="R5" i="31"/>
  <c r="R4" i="31"/>
  <c r="R33" i="30"/>
  <c r="R13" i="31"/>
  <c r="R34" i="30"/>
  <c r="R14" i="31"/>
  <c r="R44" i="30"/>
  <c r="R15" i="31"/>
  <c r="R16" i="31"/>
  <c r="R17" i="31"/>
  <c r="R18" i="31"/>
  <c r="R19" i="31"/>
  <c r="R20" i="31"/>
  <c r="R21" i="31"/>
  <c r="R22" i="31"/>
  <c r="R23" i="31"/>
  <c r="R49" i="31"/>
  <c r="R24" i="31"/>
  <c r="R25" i="31"/>
  <c r="R26" i="31"/>
  <c r="R36" i="31"/>
  <c r="R27" i="31"/>
  <c r="R43" i="30"/>
  <c r="R28" i="31"/>
  <c r="R29" i="31"/>
  <c r="R30" i="31"/>
  <c r="G2" i="30"/>
  <c r="G38" i="30"/>
  <c r="G3" i="31"/>
  <c r="G4" i="31"/>
  <c r="G5" i="31"/>
  <c r="G6" i="31"/>
  <c r="G7" i="31"/>
  <c r="G41" i="30"/>
  <c r="G8" i="31"/>
  <c r="G9" i="31"/>
  <c r="G46" i="30"/>
  <c r="G10" i="31"/>
  <c r="G46" i="31"/>
  <c r="G39" i="30"/>
  <c r="G11" i="31"/>
  <c r="G12" i="31"/>
  <c r="G33" i="30"/>
  <c r="G13" i="31"/>
  <c r="G14" i="31"/>
  <c r="G15" i="31"/>
  <c r="G16" i="31"/>
  <c r="G72" i="31"/>
  <c r="G17" i="31"/>
  <c r="G18" i="31"/>
  <c r="G42" i="30"/>
  <c r="G19" i="31"/>
  <c r="G20" i="31"/>
  <c r="G21" i="31"/>
  <c r="G22" i="31"/>
  <c r="G49" i="30"/>
  <c r="G23" i="31"/>
  <c r="G49" i="31"/>
  <c r="G24" i="31"/>
  <c r="G25" i="31"/>
  <c r="G26" i="31"/>
  <c r="G36" i="31"/>
  <c r="G27" i="31"/>
  <c r="G43" i="30"/>
  <c r="G28" i="31"/>
  <c r="G29" i="31"/>
  <c r="G30" i="31"/>
  <c r="O2" i="30"/>
  <c r="O38" i="30"/>
  <c r="O3" i="31"/>
  <c r="O40" i="30"/>
  <c r="O4" i="31"/>
  <c r="O5" i="31"/>
  <c r="O6" i="31"/>
  <c r="O7" i="31"/>
  <c r="O73" i="31"/>
  <c r="O8" i="31"/>
  <c r="O9" i="31"/>
  <c r="O10" i="31"/>
  <c r="O46" i="31"/>
  <c r="O11" i="31"/>
  <c r="O12" i="31"/>
  <c r="O13" i="31"/>
  <c r="O34" i="30"/>
  <c r="O14" i="31"/>
  <c r="O15" i="31"/>
  <c r="O16" i="31"/>
  <c r="O17" i="31"/>
  <c r="O18" i="31"/>
  <c r="O61" i="31"/>
  <c r="O42" i="30"/>
  <c r="O19" i="31"/>
  <c r="O20" i="31"/>
  <c r="O21" i="31"/>
  <c r="O22" i="31"/>
  <c r="O23" i="31"/>
  <c r="O49" i="31"/>
  <c r="O24" i="31"/>
  <c r="O25" i="31"/>
  <c r="O26" i="31"/>
  <c r="O27" i="31"/>
  <c r="O43" i="30"/>
  <c r="O28" i="31"/>
  <c r="O43" i="31"/>
  <c r="O29" i="31"/>
  <c r="O35" i="30"/>
  <c r="O30" i="31"/>
  <c r="AH32" i="5"/>
  <c r="AJ3" i="5"/>
  <c r="AH40" i="5"/>
  <c r="AJ4" i="5"/>
  <c r="AH53" i="5"/>
  <c r="AH67" i="5"/>
  <c r="AJ5" i="5"/>
  <c r="AH46" i="5"/>
  <c r="AJ10" i="5"/>
  <c r="AH47" i="5"/>
  <c r="AJ47" i="5"/>
  <c r="AJ46" i="5"/>
  <c r="AJ45" i="5"/>
  <c r="AJ6" i="5"/>
  <c r="AH33" i="5"/>
  <c r="AJ13" i="5"/>
  <c r="AH52" i="5"/>
  <c r="AH66" i="5"/>
  <c r="AH64" i="5"/>
  <c r="AH65" i="5"/>
  <c r="AH68" i="5"/>
  <c r="AH72" i="5"/>
  <c r="AH73" i="5"/>
  <c r="AH75" i="5"/>
  <c r="AH63" i="5"/>
  <c r="AJ17" i="5"/>
  <c r="AH61" i="5"/>
  <c r="AJ18" i="5"/>
  <c r="AH51" i="5"/>
  <c r="AJ21" i="5"/>
  <c r="AH36" i="5"/>
  <c r="AJ26" i="5"/>
  <c r="AH38" i="5"/>
  <c r="AJ38" i="5"/>
  <c r="AJ2" i="5"/>
  <c r="AH60" i="5"/>
  <c r="AH74" i="5"/>
  <c r="AJ12" i="5"/>
  <c r="AH41" i="5"/>
  <c r="AJ8" i="5"/>
  <c r="AH54" i="5"/>
  <c r="AJ9" i="5"/>
  <c r="AH39" i="5"/>
  <c r="AJ11" i="5"/>
  <c r="AH34" i="5"/>
  <c r="AJ34" i="5"/>
  <c r="AJ14" i="5"/>
  <c r="AH44" i="5"/>
  <c r="AJ15" i="5"/>
  <c r="AH58" i="5"/>
  <c r="AJ16" i="5"/>
  <c r="AH42" i="5"/>
  <c r="AJ19" i="5"/>
  <c r="AH56" i="5"/>
  <c r="AH70" i="5"/>
  <c r="AJ20" i="5"/>
  <c r="AH50" i="5"/>
  <c r="AJ25" i="5"/>
  <c r="AH62" i="5"/>
  <c r="AH76" i="5"/>
  <c r="AJ27" i="5"/>
  <c r="AH59" i="5"/>
  <c r="AJ7" i="5"/>
  <c r="AH37" i="5"/>
  <c r="AJ22" i="5"/>
  <c r="AH49" i="5"/>
  <c r="AJ23" i="5"/>
  <c r="AH55" i="5"/>
  <c r="AH69" i="5"/>
  <c r="AJ24" i="5"/>
  <c r="AH43" i="5"/>
  <c r="AJ28" i="5"/>
  <c r="AH57" i="5"/>
  <c r="AH71" i="5"/>
  <c r="AJ29" i="5"/>
  <c r="AH35" i="5"/>
  <c r="AJ35" i="5"/>
  <c r="AJ30" i="5"/>
  <c r="E32" i="5"/>
  <c r="E67" i="5"/>
  <c r="E53" i="5"/>
  <c r="E59" i="5"/>
  <c r="AE59" i="5"/>
  <c r="E73" i="5"/>
  <c r="E68" i="5"/>
  <c r="E54" i="5"/>
  <c r="E39" i="5"/>
  <c r="AE39" i="5"/>
  <c r="E33" i="5"/>
  <c r="E44" i="5"/>
  <c r="AE44" i="5"/>
  <c r="E66" i="5"/>
  <c r="AE66" i="5"/>
  <c r="E52" i="5"/>
  <c r="E42" i="5"/>
  <c r="AE42" i="5"/>
  <c r="E51" i="5"/>
  <c r="E65" i="5"/>
  <c r="E49" i="5"/>
  <c r="AE49" i="5"/>
  <c r="E64" i="5"/>
  <c r="E50" i="5"/>
  <c r="E76" i="5"/>
  <c r="AE76" i="5"/>
  <c r="E62" i="5"/>
  <c r="E71" i="5"/>
  <c r="AE71" i="5"/>
  <c r="E57" i="5"/>
  <c r="E40" i="5"/>
  <c r="AE40" i="5"/>
  <c r="E47" i="5"/>
  <c r="AE47" i="5"/>
  <c r="E41" i="5"/>
  <c r="AE41" i="5"/>
  <c r="E46" i="5"/>
  <c r="E74" i="5"/>
  <c r="AE74" i="5"/>
  <c r="E60" i="5"/>
  <c r="E34" i="5"/>
  <c r="E72" i="5"/>
  <c r="E58" i="5"/>
  <c r="AE58" i="5"/>
  <c r="E75" i="5"/>
  <c r="E61" i="5"/>
  <c r="E70" i="5"/>
  <c r="E56" i="5"/>
  <c r="E37" i="5"/>
  <c r="E55" i="5"/>
  <c r="AE55" i="5"/>
  <c r="E69" i="5"/>
  <c r="E36" i="5"/>
  <c r="E43" i="5"/>
  <c r="AE43" i="5"/>
  <c r="E35" i="5"/>
  <c r="AE35" i="5"/>
  <c r="AZ49" i="5"/>
  <c r="Z2" i="30"/>
  <c r="Z38" i="30"/>
  <c r="Z3" i="31"/>
  <c r="Z4" i="31"/>
  <c r="Z5" i="31"/>
  <c r="Z47" i="30"/>
  <c r="Z6" i="31"/>
  <c r="Z7" i="31"/>
  <c r="Z8" i="31"/>
  <c r="Z9" i="31"/>
  <c r="Z10" i="31"/>
  <c r="Z46" i="31"/>
  <c r="Z11" i="31"/>
  <c r="Z12" i="31"/>
  <c r="Z74" i="31"/>
  <c r="Z13" i="31"/>
  <c r="Z14" i="31"/>
  <c r="Z44" i="30"/>
  <c r="Z15" i="31"/>
  <c r="Z16" i="31"/>
  <c r="Z17" i="31"/>
  <c r="Z18" i="31"/>
  <c r="Z19" i="31"/>
  <c r="Z20" i="31"/>
  <c r="Z21" i="31"/>
  <c r="Z22" i="31"/>
  <c r="Z23" i="31"/>
  <c r="Z49" i="31"/>
  <c r="Z24" i="31"/>
  <c r="Z25" i="31"/>
  <c r="Z26" i="31"/>
  <c r="Z27" i="31"/>
  <c r="Z28" i="31"/>
  <c r="Z29" i="31"/>
  <c r="Z30" i="31"/>
  <c r="N2" i="30"/>
  <c r="N38" i="30"/>
  <c r="N5" i="31"/>
  <c r="N7" i="31"/>
  <c r="N8" i="31"/>
  <c r="N9" i="31"/>
  <c r="N68" i="31"/>
  <c r="N10" i="31"/>
  <c r="N46" i="31"/>
  <c r="N39" i="30"/>
  <c r="N11" i="31"/>
  <c r="N12" i="31"/>
  <c r="N32" i="30"/>
  <c r="N3" i="31"/>
  <c r="N40" i="30"/>
  <c r="N4" i="31"/>
  <c r="N6" i="31"/>
  <c r="N33" i="30"/>
  <c r="N13" i="31"/>
  <c r="N14" i="31"/>
  <c r="N34" i="31"/>
  <c r="N15" i="31"/>
  <c r="N16" i="31"/>
  <c r="N17" i="31"/>
  <c r="N18" i="31"/>
  <c r="N42" i="30"/>
  <c r="N19" i="31"/>
  <c r="N20" i="31"/>
  <c r="N21" i="31"/>
  <c r="N22" i="31"/>
  <c r="N23" i="31"/>
  <c r="N49" i="31"/>
  <c r="N24" i="31"/>
  <c r="N25" i="31"/>
  <c r="N64" i="31"/>
  <c r="N36" i="30"/>
  <c r="N26" i="31"/>
  <c r="N27" i="31"/>
  <c r="N28" i="31"/>
  <c r="N29" i="31"/>
  <c r="N30" i="31"/>
  <c r="CA47" i="30"/>
  <c r="CA39" i="30"/>
  <c r="CA44" i="30"/>
  <c r="CA37" i="30"/>
  <c r="BS38" i="30"/>
  <c r="BS33" i="30"/>
  <c r="BS42" i="30"/>
  <c r="BS36" i="30"/>
  <c r="BO32" i="30"/>
  <c r="BO40" i="30"/>
  <c r="BO41" i="30"/>
  <c r="BO46" i="30"/>
  <c r="BO36" i="30"/>
  <c r="BO35" i="30"/>
  <c r="BK34" i="30"/>
  <c r="BK49" i="30"/>
  <c r="BH47" i="30"/>
  <c r="BH39" i="30"/>
  <c r="BH44" i="30"/>
  <c r="BH37" i="30"/>
  <c r="BZ32" i="30"/>
  <c r="BZ40" i="30"/>
  <c r="BZ46" i="30"/>
  <c r="BZ46" i="31"/>
  <c r="BZ36" i="30"/>
  <c r="BZ35" i="30"/>
  <c r="BW34" i="30"/>
  <c r="BW49" i="30"/>
  <c r="BW36" i="30"/>
  <c r="BR47" i="30"/>
  <c r="BR44" i="30"/>
  <c r="BR37" i="30"/>
  <c r="BN38" i="30"/>
  <c r="CB32" i="30"/>
  <c r="CB40" i="30"/>
  <c r="CB41" i="30"/>
  <c r="CB35" i="30"/>
  <c r="BF47" i="30"/>
  <c r="BF39" i="30"/>
  <c r="BF37" i="30"/>
  <c r="BF43" i="30"/>
  <c r="DM4" i="18"/>
  <c r="DM7" i="18"/>
  <c r="DM22" i="18"/>
  <c r="DM14" i="18"/>
  <c r="DM16" i="18"/>
  <c r="DM29" i="18"/>
  <c r="BY38" i="30"/>
  <c r="BY33" i="30"/>
  <c r="BV32" i="30"/>
  <c r="BV41" i="30"/>
  <c r="BV46" i="30"/>
  <c r="BQ34" i="30"/>
  <c r="BQ49" i="30"/>
  <c r="BM39" i="30"/>
  <c r="BM44" i="30"/>
  <c r="BM37" i="30"/>
  <c r="BM43" i="30"/>
  <c r="FJ2" i="18"/>
  <c r="FJ38" i="18"/>
  <c r="FJ10" i="18"/>
  <c r="FJ46" i="18"/>
  <c r="FJ22" i="18"/>
  <c r="FJ37" i="18"/>
  <c r="FJ23" i="18"/>
  <c r="FJ49" i="18"/>
  <c r="FJ26" i="18"/>
  <c r="FJ36" i="18"/>
  <c r="FJ27" i="18"/>
  <c r="FJ76" i="18"/>
  <c r="BX47" i="30"/>
  <c r="BX43" i="30"/>
  <c r="BT38" i="30"/>
  <c r="BT33" i="30"/>
  <c r="BT42" i="30"/>
  <c r="BP32" i="30"/>
  <c r="BP40" i="30"/>
  <c r="BP41" i="30"/>
  <c r="BP46" i="30"/>
  <c r="BP36" i="30"/>
  <c r="BL34" i="30"/>
  <c r="BL49" i="30"/>
  <c r="BI37" i="30"/>
  <c r="BI43" i="30"/>
  <c r="BE33" i="30"/>
  <c r="BE42" i="30"/>
  <c r="CA34" i="30"/>
  <c r="CA49" i="30"/>
  <c r="CA49" i="31"/>
  <c r="BS47" i="30"/>
  <c r="BS39" i="30"/>
  <c r="BS44" i="30"/>
  <c r="BS37" i="30"/>
  <c r="BS43" i="30"/>
  <c r="BO38" i="30"/>
  <c r="BO33" i="30"/>
  <c r="BO42" i="30"/>
  <c r="BK32" i="30"/>
  <c r="BK40" i="30"/>
  <c r="BK41" i="30"/>
  <c r="BK46" i="30"/>
  <c r="BK36" i="30"/>
  <c r="BK35" i="30"/>
  <c r="BH49" i="30"/>
  <c r="BH49" i="31"/>
  <c r="BH43" i="30"/>
  <c r="BD47" i="30"/>
  <c r="BZ38" i="30"/>
  <c r="BZ42" i="30"/>
  <c r="BW32" i="30"/>
  <c r="BW40" i="30"/>
  <c r="BW41" i="30"/>
  <c r="BW46" i="30"/>
  <c r="BW35" i="30"/>
  <c r="BR34" i="30"/>
  <c r="BN47" i="30"/>
  <c r="BN39" i="30"/>
  <c r="BN44" i="30"/>
  <c r="BN37" i="30"/>
  <c r="BN36" i="30"/>
  <c r="CB38" i="30"/>
  <c r="BG32" i="30"/>
  <c r="BG41" i="30"/>
  <c r="BG46" i="30"/>
  <c r="BG36" i="30"/>
  <c r="BF49" i="30"/>
  <c r="DM10" i="18"/>
  <c r="DM11" i="18"/>
  <c r="DM15" i="18"/>
  <c r="DM18" i="18"/>
  <c r="DM17" i="18"/>
  <c r="DM13" i="18"/>
  <c r="DM19" i="18"/>
  <c r="DM28" i="18"/>
  <c r="DM30" i="18"/>
  <c r="BY47" i="30"/>
  <c r="BY39" i="30"/>
  <c r="BY44" i="30"/>
  <c r="BY37" i="30"/>
  <c r="BV38" i="30"/>
  <c r="BV33" i="30"/>
  <c r="BV42" i="30"/>
  <c r="BQ32" i="30"/>
  <c r="BQ40" i="30"/>
  <c r="BQ41" i="30"/>
  <c r="BQ46" i="30"/>
  <c r="BQ46" i="31"/>
  <c r="BQ36" i="30"/>
  <c r="BQ35" i="30"/>
  <c r="BM34" i="30"/>
  <c r="BJ47" i="30"/>
  <c r="BJ39" i="30"/>
  <c r="BJ33" i="30"/>
  <c r="BJ37" i="30"/>
  <c r="FJ6" i="18"/>
  <c r="FJ47" i="18"/>
  <c r="FJ8" i="18"/>
  <c r="FJ41" i="18"/>
  <c r="FJ21" i="18"/>
  <c r="FJ20" i="18"/>
  <c r="FJ16" i="18"/>
  <c r="FJ72" i="18"/>
  <c r="FJ29" i="18"/>
  <c r="BX39" i="30"/>
  <c r="BX34" i="30"/>
  <c r="BT47" i="30"/>
  <c r="BT39" i="30"/>
  <c r="BT44" i="30"/>
  <c r="BT37" i="30"/>
  <c r="BT43" i="30"/>
  <c r="BP38" i="30"/>
  <c r="BP33" i="30"/>
  <c r="BL40" i="30"/>
  <c r="BL41" i="30"/>
  <c r="BL36" i="30"/>
  <c r="BL35" i="30"/>
  <c r="BI49" i="30"/>
  <c r="BE39" i="30"/>
  <c r="BE44" i="30"/>
  <c r="BE37" i="30"/>
  <c r="CA32" i="30"/>
  <c r="CA40" i="30"/>
  <c r="CA41" i="30"/>
  <c r="CA46" i="30"/>
  <c r="CA36" i="30"/>
  <c r="CA35" i="30"/>
  <c r="BS34" i="30"/>
  <c r="BS49" i="30"/>
  <c r="BO47" i="30"/>
  <c r="BO39" i="30"/>
  <c r="BO44" i="30"/>
  <c r="BO37" i="30"/>
  <c r="BK38" i="30"/>
  <c r="BK33" i="30"/>
  <c r="BK42" i="30"/>
  <c r="BH32" i="30"/>
  <c r="BH40" i="30"/>
  <c r="BH41" i="30"/>
  <c r="BH46" i="30"/>
  <c r="BH45" i="30"/>
  <c r="BH46" i="31"/>
  <c r="BH36" i="30"/>
  <c r="BZ47" i="30"/>
  <c r="BZ39" i="30"/>
  <c r="BZ44" i="30"/>
  <c r="BW38" i="30"/>
  <c r="BW33" i="30"/>
  <c r="BW42" i="30"/>
  <c r="BR32" i="30"/>
  <c r="BR40" i="30"/>
  <c r="BR46" i="30"/>
  <c r="BR36" i="30"/>
  <c r="BR43" i="30"/>
  <c r="BR35" i="30"/>
  <c r="BN34" i="30"/>
  <c r="CB47" i="30"/>
  <c r="CB39" i="30"/>
  <c r="CB44" i="30"/>
  <c r="CB37" i="30"/>
  <c r="CB43" i="30"/>
  <c r="BG38" i="30"/>
  <c r="BG33" i="30"/>
  <c r="BF32" i="30"/>
  <c r="BF40" i="30"/>
  <c r="BF46" i="30"/>
  <c r="DM6" i="18"/>
  <c r="DM8" i="18"/>
  <c r="DM26" i="18"/>
  <c r="DM24" i="18"/>
  <c r="BY34" i="30"/>
  <c r="BY49" i="30"/>
  <c r="BV47" i="30"/>
  <c r="BV44" i="30"/>
  <c r="BV43" i="30"/>
  <c r="BQ33" i="30"/>
  <c r="BQ42" i="30"/>
  <c r="BM40" i="30"/>
  <c r="BM41" i="30"/>
  <c r="BM36" i="30"/>
  <c r="BM35" i="30"/>
  <c r="BJ44" i="30"/>
  <c r="BJ49" i="30"/>
  <c r="FJ11" i="18"/>
  <c r="FJ39" i="18"/>
  <c r="FJ5" i="18"/>
  <c r="FJ7" i="18"/>
  <c r="FJ73" i="18"/>
  <c r="FJ14" i="18"/>
  <c r="FJ34" i="18"/>
  <c r="FJ24" i="18"/>
  <c r="FJ69" i="18"/>
  <c r="FJ13" i="18"/>
  <c r="FJ33" i="18"/>
  <c r="FJ19" i="18"/>
  <c r="FJ42" i="18"/>
  <c r="FJ15" i="18"/>
  <c r="FJ44" i="18"/>
  <c r="FJ18" i="18"/>
  <c r="BX41" i="30"/>
  <c r="BX46" i="30"/>
  <c r="BX36" i="30"/>
  <c r="BX35" i="30"/>
  <c r="BT34" i="30"/>
  <c r="BT49" i="30"/>
  <c r="BP47" i="30"/>
  <c r="BP39" i="30"/>
  <c r="BP44" i="30"/>
  <c r="BP43" i="30"/>
  <c r="BL38" i="30"/>
  <c r="BL33" i="30"/>
  <c r="BL42" i="30"/>
  <c r="BI32" i="30"/>
  <c r="BI41" i="30"/>
  <c r="BI34" i="30"/>
  <c r="BI36" i="30"/>
  <c r="BI35" i="30"/>
  <c r="CA38" i="30"/>
  <c r="CA33" i="30"/>
  <c r="CA42" i="30"/>
  <c r="CA43" i="30"/>
  <c r="BS32" i="30"/>
  <c r="BS40" i="30"/>
  <c r="BS41" i="30"/>
  <c r="BS46" i="30"/>
  <c r="BS35" i="30"/>
  <c r="BO34" i="30"/>
  <c r="BO49" i="30"/>
  <c r="BK47" i="30"/>
  <c r="BK39" i="30"/>
  <c r="BK44" i="30"/>
  <c r="BK37" i="30"/>
  <c r="BK43" i="30"/>
  <c r="BH38" i="30"/>
  <c r="BH33" i="30"/>
  <c r="BH42" i="30"/>
  <c r="BH35" i="30"/>
  <c r="BZ49" i="30"/>
  <c r="BW37" i="30"/>
  <c r="BR38" i="30"/>
  <c r="BR42" i="30"/>
  <c r="BN32" i="30"/>
  <c r="BN40" i="30"/>
  <c r="BN41" i="30"/>
  <c r="BN46" i="30"/>
  <c r="BN35" i="30"/>
  <c r="CB49" i="30"/>
  <c r="BG47" i="30"/>
  <c r="BG39" i="30"/>
  <c r="BG37" i="30"/>
  <c r="BF38" i="30"/>
  <c r="BF33" i="30"/>
  <c r="BF42" i="30"/>
  <c r="DM9" i="18"/>
  <c r="DM5" i="18"/>
  <c r="DM20" i="18"/>
  <c r="DM25" i="18"/>
  <c r="DM12" i="18"/>
  <c r="DM27" i="18"/>
  <c r="BY32" i="30"/>
  <c r="BY41" i="30"/>
  <c r="BY46" i="30"/>
  <c r="BY46" i="31"/>
  <c r="BY36" i="30"/>
  <c r="BY35" i="30"/>
  <c r="BV34" i="30"/>
  <c r="BV49" i="30"/>
  <c r="BQ47" i="30"/>
  <c r="BQ39" i="30"/>
  <c r="BQ37" i="30"/>
  <c r="BQ43" i="30"/>
  <c r="BM38" i="30"/>
  <c r="BM33" i="30"/>
  <c r="BM42" i="30"/>
  <c r="BJ32" i="30"/>
  <c r="BJ40" i="30"/>
  <c r="BJ41" i="30"/>
  <c r="BJ46" i="30"/>
  <c r="BJ34" i="30"/>
  <c r="BJ36" i="30"/>
  <c r="BJ35" i="30"/>
  <c r="FJ9" i="18"/>
  <c r="FJ68" i="18"/>
  <c r="FJ4" i="18"/>
  <c r="FJ40" i="18"/>
  <c r="FJ17" i="18"/>
  <c r="FJ25" i="18"/>
  <c r="FJ64" i="18"/>
  <c r="FJ12" i="18"/>
  <c r="DN25" i="18"/>
  <c r="FJ28" i="18"/>
  <c r="FJ43" i="18"/>
  <c r="FJ30" i="18"/>
  <c r="FJ35" i="18"/>
  <c r="BX38" i="30"/>
  <c r="BX42" i="30"/>
  <c r="BT32" i="30"/>
  <c r="BT41" i="30"/>
  <c r="BP49" i="30"/>
  <c r="BL47" i="30"/>
  <c r="BL43" i="30"/>
  <c r="BI38" i="30"/>
  <c r="BI42" i="30"/>
  <c r="BE32" i="30"/>
  <c r="BE46" i="30"/>
  <c r="BE36" i="30"/>
  <c r="BE35" i="30"/>
  <c r="BD9" i="18"/>
  <c r="BD10" i="18"/>
  <c r="BD13" i="18"/>
  <c r="BD23" i="18"/>
  <c r="BD16" i="18"/>
  <c r="BD14" i="18"/>
  <c r="BD24" i="18"/>
  <c r="BD30" i="18"/>
  <c r="BD4" i="18"/>
  <c r="BD6" i="18"/>
  <c r="BD21" i="18"/>
  <c r="BD17" i="18"/>
  <c r="BD5" i="18"/>
  <c r="BD8" i="18"/>
  <c r="BD11" i="18"/>
  <c r="BD12" i="18"/>
  <c r="BD19" i="18"/>
  <c r="BD18" i="18"/>
  <c r="BD22" i="18"/>
  <c r="BD26" i="18"/>
  <c r="BD28" i="18"/>
  <c r="BD27" i="18"/>
  <c r="BD2" i="18"/>
  <c r="BD7" i="18"/>
  <c r="BD20" i="18"/>
  <c r="BD15" i="18"/>
  <c r="BD25" i="18"/>
  <c r="BD29" i="18"/>
  <c r="AE53" i="5"/>
  <c r="BF31" i="5"/>
  <c r="AE73" i="5"/>
  <c r="K45" i="29"/>
  <c r="G6" i="5"/>
  <c r="D32" i="30"/>
  <c r="G29" i="5"/>
  <c r="I29" i="5"/>
  <c r="T48" i="29"/>
  <c r="X48" i="29"/>
  <c r="Q45" i="29"/>
  <c r="AE70" i="5"/>
  <c r="AE57" i="5"/>
  <c r="AE50" i="5"/>
  <c r="AE51" i="5"/>
  <c r="AE68" i="5"/>
  <c r="BM48" i="29"/>
  <c r="BO48" i="29"/>
  <c r="AW31" i="29"/>
  <c r="G45" i="29"/>
  <c r="S31" i="29"/>
  <c r="AE31" i="29"/>
  <c r="P45" i="32"/>
  <c r="W48" i="32"/>
  <c r="BK48" i="29"/>
  <c r="BH63" i="29"/>
  <c r="BG48" i="29"/>
  <c r="BL63" i="29"/>
  <c r="AW45" i="29"/>
  <c r="AZ48" i="29"/>
  <c r="BI48" i="29"/>
  <c r="BX48" i="29"/>
  <c r="BF63" i="29"/>
  <c r="W31" i="29"/>
  <c r="AA48" i="37"/>
  <c r="AL45" i="29"/>
  <c r="G25" i="5"/>
  <c r="V48" i="32"/>
  <c r="V63" i="32"/>
  <c r="X45" i="29"/>
  <c r="AH31" i="29"/>
  <c r="BZ45" i="29"/>
  <c r="BT48" i="29"/>
  <c r="J45" i="29"/>
  <c r="BB63" i="29"/>
  <c r="BI63" i="29"/>
  <c r="AP48" i="37"/>
  <c r="O48" i="32"/>
  <c r="H63" i="29"/>
  <c r="H45" i="29"/>
  <c r="T48" i="32"/>
  <c r="BR48" i="29"/>
  <c r="Z48" i="37"/>
  <c r="BJ63" i="29"/>
  <c r="AO31" i="29"/>
  <c r="AY45" i="29"/>
  <c r="AK45" i="29"/>
  <c r="P65" i="18"/>
  <c r="AB65" i="18"/>
  <c r="P62" i="18"/>
  <c r="AB62" i="18"/>
  <c r="O75" i="32"/>
  <c r="AO69" i="32"/>
  <c r="AM69" i="32"/>
  <c r="AM65" i="32"/>
  <c r="AO65" i="32"/>
  <c r="O58" i="32"/>
  <c r="O45" i="29"/>
  <c r="S45" i="29"/>
  <c r="AV66" i="37"/>
  <c r="Q66" i="32"/>
  <c r="Q52" i="32"/>
  <c r="Q62" i="32"/>
  <c r="AD31" i="29"/>
  <c r="AS63" i="29"/>
  <c r="P48" i="29"/>
  <c r="T31" i="29"/>
  <c r="AV76" i="37"/>
  <c r="AN48" i="32"/>
  <c r="AQ63" i="29"/>
  <c r="T66" i="37"/>
  <c r="T70" i="37"/>
  <c r="BS63" i="29"/>
  <c r="AJ48" i="29"/>
  <c r="AQ45" i="29"/>
  <c r="AY31" i="29"/>
  <c r="T75" i="37"/>
  <c r="E63" i="29"/>
  <c r="L31" i="29"/>
  <c r="AY73" i="32"/>
  <c r="AY57" i="32"/>
  <c r="Q63" i="29"/>
  <c r="BR63" i="29"/>
  <c r="AV48" i="29"/>
  <c r="AO61" i="32"/>
  <c r="AM61" i="32"/>
  <c r="AY63" i="32"/>
  <c r="AY64" i="32"/>
  <c r="O62" i="32"/>
  <c r="R62" i="32"/>
  <c r="AM60" i="32"/>
  <c r="AO60" i="32"/>
  <c r="AO52" i="32"/>
  <c r="AM52" i="32"/>
  <c r="AE64" i="32"/>
  <c r="AE63" i="32"/>
  <c r="N48" i="29"/>
  <c r="O31" i="29"/>
  <c r="AE45" i="29"/>
  <c r="AE63" i="29"/>
  <c r="BP63" i="29"/>
  <c r="BT48" i="37"/>
  <c r="AN63" i="32"/>
  <c r="AN64" i="32"/>
  <c r="U63" i="32"/>
  <c r="T58" i="37"/>
  <c r="T62" i="37"/>
  <c r="Q61" i="32"/>
  <c r="AE75" i="5"/>
  <c r="AE60" i="5"/>
  <c r="AE62" i="5"/>
  <c r="AI45" i="29"/>
  <c r="V63" i="29"/>
  <c r="AY68" i="32"/>
  <c r="Q48" i="29"/>
  <c r="AG48" i="29"/>
  <c r="BB48" i="29"/>
  <c r="AR48" i="29"/>
  <c r="BM64" i="37"/>
  <c r="BM63" i="37"/>
  <c r="AK63" i="37"/>
  <c r="AK64" i="37"/>
  <c r="AN64" i="37"/>
  <c r="AN63" i="37"/>
  <c r="F63" i="29"/>
  <c r="AX31" i="29"/>
  <c r="AX48" i="29"/>
  <c r="AY71" i="32"/>
  <c r="AY55" i="32"/>
  <c r="G31" i="29"/>
  <c r="Z63" i="29"/>
  <c r="AY62" i="32"/>
  <c r="Z45" i="29"/>
  <c r="AP63" i="29"/>
  <c r="AM31" i="29"/>
  <c r="BB45" i="29"/>
  <c r="AZ63" i="29"/>
  <c r="AP63" i="37"/>
  <c r="AM64" i="37"/>
  <c r="AM63" i="37"/>
  <c r="AC63" i="37"/>
  <c r="O66" i="32"/>
  <c r="R66" i="32"/>
  <c r="AO75" i="32"/>
  <c r="AM75" i="32"/>
  <c r="D48" i="29"/>
  <c r="AI63" i="29"/>
  <c r="AL63" i="29"/>
  <c r="Q31" i="29"/>
  <c r="O76" i="32"/>
  <c r="AO70" i="32"/>
  <c r="AM70" i="32"/>
  <c r="AO74" i="32"/>
  <c r="AM74" i="32"/>
  <c r="AM66" i="32"/>
  <c r="AO66" i="32"/>
  <c r="G17" i="5"/>
  <c r="G52" i="5"/>
  <c r="K31" i="29"/>
  <c r="S48" i="29"/>
  <c r="AD63" i="32"/>
  <c r="AD64" i="32"/>
  <c r="AV70" i="37"/>
  <c r="N45" i="29"/>
  <c r="W48" i="29"/>
  <c r="BL48" i="37"/>
  <c r="O71" i="32"/>
  <c r="O64" i="32"/>
  <c r="O63" i="32"/>
  <c r="BE63" i="29"/>
  <c r="AV52" i="37"/>
  <c r="W63" i="32"/>
  <c r="Y45" i="29"/>
  <c r="AN63" i="29"/>
  <c r="AT45" i="29"/>
  <c r="AG64" i="32"/>
  <c r="AG63" i="32"/>
  <c r="AE48" i="32"/>
  <c r="BQ63" i="29"/>
  <c r="CQ63" i="30"/>
  <c r="T72" i="37"/>
  <c r="T76" i="37"/>
  <c r="Q55" i="32"/>
  <c r="Q70" i="32"/>
  <c r="AB48" i="29"/>
  <c r="P59" i="18"/>
  <c r="AB59" i="18"/>
  <c r="P50" i="18"/>
  <c r="AB50" i="18"/>
  <c r="AS45" i="29"/>
  <c r="AV62" i="37"/>
  <c r="O55" i="32"/>
  <c r="AM67" i="32"/>
  <c r="AO67" i="32"/>
  <c r="AO62" i="32"/>
  <c r="AM62" i="32"/>
  <c r="O72" i="32"/>
  <c r="D39" i="30"/>
  <c r="D45" i="29"/>
  <c r="AO45" i="29"/>
  <c r="AS48" i="29"/>
  <c r="AV55" i="37"/>
  <c r="S63" i="32"/>
  <c r="AC48" i="32"/>
  <c r="AF48" i="32"/>
  <c r="T63" i="32"/>
  <c r="T68" i="37"/>
  <c r="T56" i="37"/>
  <c r="P54" i="18"/>
  <c r="AK31" i="29"/>
  <c r="E48" i="29"/>
  <c r="I45" i="29"/>
  <c r="P31" i="29"/>
  <c r="T45" i="29"/>
  <c r="X63" i="29"/>
  <c r="U48" i="37"/>
  <c r="M31" i="29"/>
  <c r="AY63" i="29"/>
  <c r="T71" i="37"/>
  <c r="T73" i="37"/>
  <c r="AF48" i="30"/>
  <c r="AK63" i="29"/>
  <c r="L45" i="29"/>
  <c r="X31" i="29"/>
  <c r="AY75" i="32"/>
  <c r="BS64" i="37"/>
  <c r="BS63" i="37"/>
  <c r="AY67" i="32"/>
  <c r="J63" i="29"/>
  <c r="O65" i="32"/>
  <c r="AM56" i="32"/>
  <c r="AO56" i="32"/>
  <c r="H48" i="29"/>
  <c r="Z63" i="37"/>
  <c r="O57" i="32"/>
  <c r="AT48" i="29"/>
  <c r="AN48" i="37"/>
  <c r="AU48" i="37"/>
  <c r="AX45" i="29"/>
  <c r="AY51" i="32"/>
  <c r="AY70" i="32"/>
  <c r="AM45" i="29"/>
  <c r="BN63" i="29"/>
  <c r="AU50" i="37"/>
  <c r="AV48" i="37"/>
  <c r="AY72" i="32"/>
  <c r="AY69" i="32"/>
  <c r="AF63" i="29"/>
  <c r="AF45" i="29"/>
  <c r="AV67" i="37"/>
  <c r="AR31" i="29"/>
  <c r="AZ45" i="29"/>
  <c r="AD63" i="37"/>
  <c r="AI31" i="29"/>
  <c r="V45" i="29"/>
  <c r="AY76" i="32"/>
  <c r="AY60" i="32"/>
  <c r="AP45" i="29"/>
  <c r="AP48" i="29"/>
  <c r="N31" i="29"/>
  <c r="AW63" i="29"/>
  <c r="AJ48" i="37"/>
  <c r="BT64" i="37"/>
  <c r="BT63" i="37"/>
  <c r="AB63" i="37"/>
  <c r="AM50" i="32"/>
  <c r="AO50" i="32"/>
  <c r="X64" i="37"/>
  <c r="X63" i="37"/>
  <c r="AZ48" i="32"/>
  <c r="AO45" i="32"/>
  <c r="O53" i="32"/>
  <c r="O54" i="32"/>
  <c r="AE48" i="29"/>
  <c r="AF64" i="32"/>
  <c r="AV31" i="29"/>
  <c r="BV63" i="29"/>
  <c r="W48" i="37"/>
  <c r="AM54" i="32"/>
  <c r="AO54" i="32"/>
  <c r="AO48" i="32"/>
  <c r="O60" i="32"/>
  <c r="AO59" i="32"/>
  <c r="AM59" i="32"/>
  <c r="AO58" i="32"/>
  <c r="AM58" i="32"/>
  <c r="AS45" i="32"/>
  <c r="K48" i="29"/>
  <c r="AQ50" i="37"/>
  <c r="P63" i="32"/>
  <c r="P65" i="32"/>
  <c r="AN48" i="29"/>
  <c r="BZ63" i="29"/>
  <c r="BM48" i="37"/>
  <c r="AK48" i="37"/>
  <c r="AM48" i="37"/>
  <c r="V48" i="37"/>
  <c r="BY63" i="29"/>
  <c r="T65" i="37"/>
  <c r="T53" i="37"/>
  <c r="T55" i="37"/>
  <c r="P66" i="18"/>
  <c r="AB66" i="18"/>
  <c r="AH45" i="29"/>
  <c r="AH63" i="29"/>
  <c r="AS31" i="29"/>
  <c r="BA31" i="29"/>
  <c r="BA45" i="29"/>
  <c r="I48" i="29"/>
  <c r="O69" i="32"/>
  <c r="AO53" i="32"/>
  <c r="AM53" i="32"/>
  <c r="AO76" i="32"/>
  <c r="AM76" i="32"/>
  <c r="O56" i="32"/>
  <c r="O59" i="32"/>
  <c r="O63" i="29"/>
  <c r="AA45" i="29"/>
  <c r="AV74" i="37"/>
  <c r="AJ45" i="29"/>
  <c r="T63" i="37"/>
  <c r="T64" i="37"/>
  <c r="Q76" i="32"/>
  <c r="R31" i="29"/>
  <c r="BD32" i="30"/>
  <c r="AO63" i="29"/>
  <c r="E45" i="29"/>
  <c r="I63" i="29"/>
  <c r="AT31" i="29"/>
  <c r="AC64" i="32"/>
  <c r="AC63" i="32"/>
  <c r="M45" i="29"/>
  <c r="M48" i="29"/>
  <c r="T54" i="37"/>
  <c r="T74" i="37"/>
  <c r="AB63" i="29"/>
  <c r="R48" i="29"/>
  <c r="P56" i="18"/>
  <c r="AB56" i="18"/>
  <c r="P55" i="18"/>
  <c r="AB55" i="18"/>
  <c r="BG63" i="29"/>
  <c r="BO63" i="29"/>
  <c r="BA48" i="32"/>
  <c r="T63" i="29"/>
  <c r="AY48" i="29"/>
  <c r="T57" i="37"/>
  <c r="T59" i="37"/>
  <c r="AB31" i="29"/>
  <c r="AH48" i="30"/>
  <c r="R45" i="29"/>
  <c r="AK48" i="29"/>
  <c r="BA63" i="29"/>
  <c r="AI48" i="29"/>
  <c r="G48" i="29"/>
  <c r="AV51" i="37"/>
  <c r="AG63" i="29"/>
  <c r="O52" i="32"/>
  <c r="R52" i="32"/>
  <c r="AY66" i="32"/>
  <c r="W64" i="37"/>
  <c r="W63" i="37"/>
  <c r="Z31" i="29"/>
  <c r="AM63" i="29"/>
  <c r="O50" i="32"/>
  <c r="AZ31" i="29"/>
  <c r="AL48" i="37"/>
  <c r="AE56" i="5"/>
  <c r="AE54" i="5"/>
  <c r="AE69" i="5"/>
  <c r="AE67" i="5"/>
  <c r="D36" i="30"/>
  <c r="AY59" i="32"/>
  <c r="AY65" i="32"/>
  <c r="AY61" i="32"/>
  <c r="AV63" i="29"/>
  <c r="G63" i="29"/>
  <c r="AR63" i="29"/>
  <c r="BS48" i="37"/>
  <c r="AU63" i="37"/>
  <c r="AU64" i="37"/>
  <c r="AX63" i="29"/>
  <c r="AY53" i="32"/>
  <c r="AF48" i="29"/>
  <c r="AV45" i="29"/>
  <c r="AV65" i="37"/>
  <c r="N63" i="29"/>
  <c r="AG45" i="29"/>
  <c r="AR45" i="29"/>
  <c r="AL63" i="37"/>
  <c r="AL64" i="37"/>
  <c r="BX63" i="29"/>
  <c r="AY74" i="32"/>
  <c r="AF31" i="29"/>
  <c r="Z48" i="29"/>
  <c r="AV56" i="37"/>
  <c r="AW48" i="29"/>
  <c r="AM63" i="32"/>
  <c r="AO64" i="32"/>
  <c r="AM64" i="32"/>
  <c r="AZ63" i="32"/>
  <c r="O51" i="32"/>
  <c r="F45" i="29"/>
  <c r="V31" i="29"/>
  <c r="AL48" i="29"/>
  <c r="AY50" i="32"/>
  <c r="AO57" i="32"/>
  <c r="AM57" i="32"/>
  <c r="O68" i="32"/>
  <c r="D63" i="29"/>
  <c r="AA48" i="29"/>
  <c r="U63" i="37"/>
  <c r="W45" i="29"/>
  <c r="AJ64" i="37"/>
  <c r="AJ63" i="37"/>
  <c r="AO68" i="32"/>
  <c r="AM68" i="32"/>
  <c r="AM48" i="32"/>
  <c r="O74" i="32"/>
  <c r="AO73" i="32"/>
  <c r="AM73" i="32"/>
  <c r="AM72" i="32"/>
  <c r="AO72" i="32"/>
  <c r="H31" i="29"/>
  <c r="P53" i="18"/>
  <c r="AB53" i="18"/>
  <c r="S63" i="29"/>
  <c r="AA63" i="29"/>
  <c r="AT63" i="29"/>
  <c r="BF63" i="32"/>
  <c r="Y31" i="29"/>
  <c r="Y48" i="29"/>
  <c r="BB31" i="29"/>
  <c r="AN31" i="29"/>
  <c r="BW63" i="29"/>
  <c r="V64" i="37"/>
  <c r="V63" i="37"/>
  <c r="BL64" i="37"/>
  <c r="BL63" i="37"/>
  <c r="U48" i="32"/>
  <c r="AG48" i="32"/>
  <c r="T51" i="37"/>
  <c r="T67" i="37"/>
  <c r="T69" i="37"/>
  <c r="P52" i="18"/>
  <c r="AB52" i="18"/>
  <c r="AH48" i="29"/>
  <c r="BK63" i="29"/>
  <c r="O61" i="32"/>
  <c r="R61" i="32"/>
  <c r="AO55" i="32"/>
  <c r="AM55" i="32"/>
  <c r="AM51" i="32"/>
  <c r="AO51" i="32"/>
  <c r="O70" i="32"/>
  <c r="R70" i="32"/>
  <c r="O73" i="32"/>
  <c r="K63" i="29"/>
  <c r="AV64" i="37"/>
  <c r="T50" i="37"/>
  <c r="AO48" i="29"/>
  <c r="L63" i="29"/>
  <c r="BT63" i="29"/>
  <c r="AQ48" i="29"/>
  <c r="T52" i="37"/>
  <c r="T60" i="37"/>
  <c r="Q72" i="32"/>
  <c r="Q74" i="32"/>
  <c r="R63" i="29"/>
  <c r="P69" i="18"/>
  <c r="AB69" i="18"/>
  <c r="E31" i="29"/>
  <c r="P45" i="29"/>
  <c r="M63" i="29"/>
  <c r="AJ63" i="29"/>
  <c r="T61" i="37"/>
  <c r="T48" i="37"/>
  <c r="Q59" i="32"/>
  <c r="R65" i="32"/>
  <c r="AY48" i="30"/>
  <c r="AO48" i="30"/>
  <c r="AD45" i="29"/>
  <c r="AD48" i="29"/>
  <c r="AD63" i="29"/>
  <c r="BA48" i="29"/>
  <c r="BA64" i="32"/>
  <c r="BA63" i="32"/>
  <c r="I31" i="29"/>
  <c r="L48" i="29"/>
  <c r="FM50" i="18"/>
  <c r="FO50" i="18"/>
  <c r="AY68" i="5"/>
  <c r="AO62" i="5"/>
  <c r="AM62" i="5"/>
  <c r="AM55" i="5"/>
  <c r="AO55" i="5"/>
  <c r="AM72" i="5"/>
  <c r="AO72" i="5"/>
  <c r="AO67" i="5"/>
  <c r="AM67" i="5"/>
  <c r="O71" i="5"/>
  <c r="O61" i="5"/>
  <c r="FO60" i="18"/>
  <c r="FM60" i="18"/>
  <c r="FM69" i="18"/>
  <c r="FO69" i="18"/>
  <c r="AM74" i="5"/>
  <c r="AO70" i="5"/>
  <c r="AM70" i="5"/>
  <c r="AM68" i="5"/>
  <c r="AO68" i="5"/>
  <c r="O53" i="5"/>
  <c r="FM71" i="18"/>
  <c r="FO71" i="18"/>
  <c r="AM51" i="5"/>
  <c r="AO51" i="5"/>
  <c r="AM59" i="5"/>
  <c r="AO59" i="5"/>
  <c r="O76" i="5"/>
  <c r="AM76" i="5"/>
  <c r="AO76" i="5"/>
  <c r="FO56" i="18"/>
  <c r="FM56" i="18"/>
  <c r="AO50" i="5"/>
  <c r="AM50" i="5"/>
  <c r="O51" i="5"/>
  <c r="O50" i="5"/>
  <c r="O68" i="5"/>
  <c r="O66" i="5"/>
  <c r="FM55" i="18"/>
  <c r="FO55" i="18"/>
  <c r="AO57" i="5"/>
  <c r="AM57" i="5"/>
  <c r="O55" i="5"/>
  <c r="O67" i="5"/>
  <c r="FM57" i="18"/>
  <c r="FO57" i="18"/>
  <c r="FO68" i="18"/>
  <c r="FM68" i="18"/>
  <c r="AY65" i="5"/>
  <c r="AO52" i="5"/>
  <c r="AM52" i="5"/>
  <c r="O62" i="5"/>
  <c r="FO45" i="18"/>
  <c r="FM73" i="18"/>
  <c r="FO73" i="18"/>
  <c r="FM58" i="18"/>
  <c r="FO58" i="18"/>
  <c r="AO61" i="5"/>
  <c r="AM61" i="5"/>
  <c r="FO61" i="18"/>
  <c r="FM70" i="18"/>
  <c r="AM64" i="5"/>
  <c r="AO64" i="5"/>
  <c r="O65" i="5"/>
  <c r="O54" i="5"/>
  <c r="O52" i="5"/>
  <c r="FM52" i="18"/>
  <c r="AO71" i="5"/>
  <c r="AM71" i="5"/>
  <c r="O56" i="5"/>
  <c r="FO67" i="18"/>
  <c r="FM67" i="18"/>
  <c r="FM62" i="18"/>
  <c r="FO62" i="18"/>
  <c r="AO66" i="5"/>
  <c r="AM66" i="5"/>
  <c r="O58" i="5"/>
  <c r="O74" i="5"/>
  <c r="O59" i="5"/>
  <c r="FO59" i="18"/>
  <c r="FM59" i="18"/>
  <c r="FM72" i="18"/>
  <c r="AM75" i="5"/>
  <c r="AO75" i="5"/>
  <c r="AO69" i="5"/>
  <c r="AM69" i="5"/>
  <c r="AM58" i="5"/>
  <c r="AO58" i="5"/>
  <c r="AO53" i="5"/>
  <c r="AM53" i="5"/>
  <c r="O57" i="5"/>
  <c r="O75" i="5"/>
  <c r="FM66" i="18"/>
  <c r="FO66" i="18"/>
  <c r="AO60" i="5"/>
  <c r="AM60" i="5"/>
  <c r="AM56" i="5"/>
  <c r="AO56" i="5"/>
  <c r="AO54" i="5"/>
  <c r="AM54" i="5"/>
  <c r="O70" i="5"/>
  <c r="FM76" i="18"/>
  <c r="AM65" i="5"/>
  <c r="AM73" i="5"/>
  <c r="AO73" i="5"/>
  <c r="O60" i="5"/>
  <c r="O73" i="5"/>
  <c r="EY66" i="18"/>
  <c r="EY69" i="18"/>
  <c r="EY65" i="18"/>
  <c r="EY59" i="18"/>
  <c r="EY50" i="18"/>
  <c r="EY55" i="18"/>
  <c r="EY74" i="18"/>
  <c r="EY51" i="18"/>
  <c r="EY70" i="18"/>
  <c r="EY61" i="18"/>
  <c r="EY58" i="18"/>
  <c r="EY57" i="18"/>
  <c r="EY67" i="18"/>
  <c r="EY56" i="18"/>
  <c r="EY54" i="18"/>
  <c r="EY52" i="18"/>
  <c r="EY72" i="18"/>
  <c r="EY53" i="18"/>
  <c r="EY62" i="18"/>
  <c r="EY73" i="18"/>
  <c r="P73" i="18"/>
  <c r="AB73" i="18"/>
  <c r="AO48" i="5"/>
  <c r="AC45" i="5"/>
  <c r="FA48" i="18"/>
  <c r="AZ48" i="5"/>
  <c r="BO48" i="37"/>
  <c r="AN48" i="5"/>
  <c r="BP48" i="37"/>
  <c r="P61" i="18"/>
  <c r="AB61" i="18"/>
  <c r="P60" i="18"/>
  <c r="AB60" i="18"/>
  <c r="AY56" i="5"/>
  <c r="P51" i="18"/>
  <c r="AB51" i="18"/>
  <c r="AY61" i="5"/>
  <c r="AY73" i="5"/>
  <c r="AO63" i="5"/>
  <c r="P70" i="18"/>
  <c r="AB70" i="18"/>
  <c r="P72" i="18"/>
  <c r="AB72" i="18"/>
  <c r="AN63" i="5"/>
  <c r="AC64" i="5"/>
  <c r="AY69" i="5"/>
  <c r="AM48" i="5"/>
  <c r="O44" i="5"/>
  <c r="AY60" i="5"/>
  <c r="ER63" i="18"/>
  <c r="AY70" i="5"/>
  <c r="O48" i="5"/>
  <c r="P57" i="18"/>
  <c r="AB57" i="18"/>
  <c r="P64" i="18"/>
  <c r="AB64" i="18"/>
  <c r="AY62" i="5"/>
  <c r="AY52" i="5"/>
  <c r="AY58" i="5"/>
  <c r="P67" i="18"/>
  <c r="AB67" i="18"/>
  <c r="AY50" i="5"/>
  <c r="AY67" i="5"/>
  <c r="AD64" i="5"/>
  <c r="AD63" i="5"/>
  <c r="AY74" i="5"/>
  <c r="P75" i="18"/>
  <c r="AB75" i="18"/>
  <c r="AY71" i="5"/>
  <c r="AY54" i="5"/>
  <c r="AL64" i="18"/>
  <c r="P71" i="18"/>
  <c r="AB71" i="18"/>
  <c r="AC48" i="5"/>
  <c r="AD48" i="5"/>
  <c r="AY76" i="5"/>
  <c r="AY66" i="5"/>
  <c r="AY72" i="5"/>
  <c r="AJ64" i="18"/>
  <c r="O63" i="5"/>
  <c r="O64" i="5"/>
  <c r="P74" i="18"/>
  <c r="AB74" i="18"/>
  <c r="P68" i="18"/>
  <c r="AB68" i="18"/>
  <c r="P45" i="5"/>
  <c r="AY63" i="5"/>
  <c r="AY64" i="5"/>
  <c r="AY53" i="5"/>
  <c r="BP63" i="37"/>
  <c r="AY51" i="5"/>
  <c r="BO63" i="37"/>
  <c r="P64" i="5"/>
  <c r="P63" i="5"/>
  <c r="AY57" i="5"/>
  <c r="AY75" i="5"/>
  <c r="AY59" i="5"/>
  <c r="AZ63" i="5"/>
  <c r="BA48" i="5"/>
  <c r="P58" i="18"/>
  <c r="AB58" i="18"/>
  <c r="AY55" i="5"/>
  <c r="BA63" i="5"/>
  <c r="BA65" i="5"/>
  <c r="P76" i="18"/>
  <c r="AB76" i="18"/>
  <c r="P48" i="5"/>
  <c r="R45" i="30"/>
  <c r="BD40" i="30"/>
  <c r="Z45" i="30"/>
  <c r="G45" i="30"/>
  <c r="M45" i="30"/>
  <c r="O45" i="30"/>
  <c r="E45" i="30"/>
  <c r="F45" i="30"/>
  <c r="BD41" i="30"/>
  <c r="N48" i="18"/>
  <c r="H48" i="18"/>
  <c r="AE37" i="5"/>
  <c r="AE36" i="5"/>
  <c r="AE46" i="5"/>
  <c r="AE45" i="5"/>
  <c r="AE52" i="5"/>
  <c r="AE33" i="5"/>
  <c r="AE34" i="5"/>
  <c r="AF34" i="5"/>
  <c r="AF33" i="5"/>
  <c r="AE32" i="5"/>
  <c r="AE31" i="5"/>
  <c r="AE63" i="5"/>
  <c r="AE65" i="5"/>
  <c r="N68" i="30"/>
  <c r="N54" i="30"/>
  <c r="Z71" i="30"/>
  <c r="Z57" i="30"/>
  <c r="Z64" i="30"/>
  <c r="Z50" i="30"/>
  <c r="Z69" i="30"/>
  <c r="Z55" i="30"/>
  <c r="Z74" i="30"/>
  <c r="Z60" i="30"/>
  <c r="Z53" i="30"/>
  <c r="Z67" i="30"/>
  <c r="O71" i="30"/>
  <c r="O57" i="30"/>
  <c r="O64" i="30"/>
  <c r="O50" i="30"/>
  <c r="O69" i="30"/>
  <c r="O55" i="30"/>
  <c r="O74" i="30"/>
  <c r="O60" i="30"/>
  <c r="O67" i="30"/>
  <c r="O53" i="30"/>
  <c r="G75" i="30"/>
  <c r="G61" i="30"/>
  <c r="G66" i="30"/>
  <c r="G52" i="30"/>
  <c r="G72" i="30"/>
  <c r="G58" i="30"/>
  <c r="G59" i="30"/>
  <c r="G73" i="30"/>
  <c r="R65" i="30"/>
  <c r="R51" i="30"/>
  <c r="R70" i="30"/>
  <c r="R56" i="30"/>
  <c r="R73" i="30"/>
  <c r="R59" i="30"/>
  <c r="H71" i="30"/>
  <c r="H57" i="30"/>
  <c r="H64" i="30"/>
  <c r="H50" i="30"/>
  <c r="H55" i="30"/>
  <c r="H60" i="30"/>
  <c r="H74" i="30"/>
  <c r="H45" i="30"/>
  <c r="H67" i="30"/>
  <c r="H53" i="30"/>
  <c r="AA75" i="30"/>
  <c r="AA61" i="30"/>
  <c r="AA66" i="30"/>
  <c r="AA52" i="30"/>
  <c r="AA72" i="30"/>
  <c r="AA58" i="30"/>
  <c r="AA67" i="30"/>
  <c r="AA53" i="30"/>
  <c r="AA74" i="30"/>
  <c r="AA60" i="30"/>
  <c r="E57" i="30"/>
  <c r="E71" i="30"/>
  <c r="E64" i="30"/>
  <c r="E50" i="30"/>
  <c r="E69" i="30"/>
  <c r="E55" i="30"/>
  <c r="E60" i="30"/>
  <c r="E74" i="30"/>
  <c r="I61" i="30"/>
  <c r="I75" i="30"/>
  <c r="I72" i="30"/>
  <c r="I58" i="30"/>
  <c r="I73" i="30"/>
  <c r="I59" i="30"/>
  <c r="L51" i="30"/>
  <c r="L65" i="30"/>
  <c r="L56" i="30"/>
  <c r="L70" i="30"/>
  <c r="L68" i="30"/>
  <c r="L54" i="30"/>
  <c r="P76" i="30"/>
  <c r="P62" i="30"/>
  <c r="P75" i="30"/>
  <c r="P61" i="30"/>
  <c r="P52" i="30"/>
  <c r="P66" i="30"/>
  <c r="P72" i="30"/>
  <c r="P58" i="30"/>
  <c r="T71" i="30"/>
  <c r="T57" i="30"/>
  <c r="T64" i="30"/>
  <c r="T50" i="30"/>
  <c r="T69" i="30"/>
  <c r="T55" i="30"/>
  <c r="T74" i="30"/>
  <c r="T60" i="30"/>
  <c r="T67" i="30"/>
  <c r="T53" i="30"/>
  <c r="T51" i="30"/>
  <c r="T65" i="30"/>
  <c r="T56" i="30"/>
  <c r="T70" i="30"/>
  <c r="X75" i="30"/>
  <c r="X61" i="30"/>
  <c r="X72" i="30"/>
  <c r="X58" i="30"/>
  <c r="X59" i="30"/>
  <c r="X73" i="30"/>
  <c r="AB65" i="30"/>
  <c r="AB51" i="30"/>
  <c r="AB70" i="30"/>
  <c r="AB56" i="30"/>
  <c r="AB68" i="30"/>
  <c r="AB54" i="30"/>
  <c r="W62" i="30"/>
  <c r="W76" i="30"/>
  <c r="W73" i="30"/>
  <c r="W59" i="30"/>
  <c r="W53" i="30"/>
  <c r="W67" i="30"/>
  <c r="D64" i="30"/>
  <c r="D50" i="30"/>
  <c r="D65" i="30"/>
  <c r="D51" i="30"/>
  <c r="D70" i="30"/>
  <c r="D56" i="30"/>
  <c r="D61" i="30"/>
  <c r="D75" i="30"/>
  <c r="D66" i="30"/>
  <c r="D52" i="30"/>
  <c r="D72" i="30"/>
  <c r="D58" i="30"/>
  <c r="K71" i="30"/>
  <c r="K57" i="30"/>
  <c r="K50" i="30"/>
  <c r="K64" i="30"/>
  <c r="K55" i="30"/>
  <c r="K69" i="30"/>
  <c r="K74" i="30"/>
  <c r="K60" i="30"/>
  <c r="K67" i="30"/>
  <c r="K53" i="30"/>
  <c r="S75" i="30"/>
  <c r="S61" i="30"/>
  <c r="S66" i="30"/>
  <c r="S52" i="30"/>
  <c r="S72" i="30"/>
  <c r="S58" i="30"/>
  <c r="S73" i="30"/>
  <c r="S59" i="30"/>
  <c r="F65" i="30"/>
  <c r="F51" i="30"/>
  <c r="F70" i="30"/>
  <c r="F56" i="30"/>
  <c r="F74" i="30"/>
  <c r="F60" i="30"/>
  <c r="J62" i="30"/>
  <c r="J76" i="30"/>
  <c r="J74" i="30"/>
  <c r="J60" i="30"/>
  <c r="J45" i="30"/>
  <c r="M57" i="30"/>
  <c r="M71" i="30"/>
  <c r="M64" i="30"/>
  <c r="M50" i="30"/>
  <c r="M69" i="30"/>
  <c r="M55" i="30"/>
  <c r="M60" i="30"/>
  <c r="M74" i="30"/>
  <c r="M67" i="30"/>
  <c r="M53" i="30"/>
  <c r="Q61" i="30"/>
  <c r="Q75" i="30"/>
  <c r="Q66" i="30"/>
  <c r="Q52" i="30"/>
  <c r="Q72" i="30"/>
  <c r="Q58" i="30"/>
  <c r="Q73" i="30"/>
  <c r="Q59" i="30"/>
  <c r="V65" i="30"/>
  <c r="V51" i="30"/>
  <c r="V70" i="30"/>
  <c r="V56" i="30"/>
  <c r="Y76" i="30"/>
  <c r="Y62" i="30"/>
  <c r="N71" i="30"/>
  <c r="N57" i="30"/>
  <c r="N50" i="30"/>
  <c r="N64" i="30"/>
  <c r="N69" i="30"/>
  <c r="N55" i="30"/>
  <c r="Z61" i="30"/>
  <c r="Z75" i="30"/>
  <c r="Z66" i="30"/>
  <c r="Z52" i="30"/>
  <c r="Z73" i="30"/>
  <c r="Z59" i="30"/>
  <c r="O75" i="30"/>
  <c r="O61" i="30"/>
  <c r="O66" i="30"/>
  <c r="O52" i="30"/>
  <c r="O72" i="30"/>
  <c r="O58" i="30"/>
  <c r="O59" i="30"/>
  <c r="O73" i="30"/>
  <c r="G65" i="30"/>
  <c r="G51" i="30"/>
  <c r="G70" i="30"/>
  <c r="G56" i="30"/>
  <c r="G54" i="30"/>
  <c r="G68" i="30"/>
  <c r="R62" i="30"/>
  <c r="R76" i="30"/>
  <c r="R67" i="30"/>
  <c r="R53" i="30"/>
  <c r="R54" i="30"/>
  <c r="R68" i="30"/>
  <c r="H75" i="30"/>
  <c r="H61" i="30"/>
  <c r="H66" i="30"/>
  <c r="H52" i="30"/>
  <c r="H72" i="30"/>
  <c r="H58" i="30"/>
  <c r="H73" i="30"/>
  <c r="H59" i="30"/>
  <c r="AA65" i="30"/>
  <c r="AA51" i="30"/>
  <c r="AA73" i="30"/>
  <c r="AA59" i="30"/>
  <c r="E75" i="30"/>
  <c r="E61" i="30"/>
  <c r="E52" i="30"/>
  <c r="E66" i="30"/>
  <c r="E72" i="30"/>
  <c r="E58" i="30"/>
  <c r="E73" i="30"/>
  <c r="E59" i="30"/>
  <c r="I56" i="30"/>
  <c r="I70" i="30"/>
  <c r="I68" i="30"/>
  <c r="I54" i="30"/>
  <c r="L76" i="30"/>
  <c r="L62" i="30"/>
  <c r="P71" i="30"/>
  <c r="P57" i="30"/>
  <c r="P64" i="30"/>
  <c r="P50" i="30"/>
  <c r="P55" i="30"/>
  <c r="P69" i="30"/>
  <c r="P67" i="30"/>
  <c r="P53" i="30"/>
  <c r="P65" i="30"/>
  <c r="P51" i="30"/>
  <c r="P70" i="30"/>
  <c r="P56" i="30"/>
  <c r="T59" i="30"/>
  <c r="T73" i="30"/>
  <c r="X51" i="30"/>
  <c r="X65" i="30"/>
  <c r="X70" i="30"/>
  <c r="X56" i="30"/>
  <c r="X54" i="30"/>
  <c r="X68" i="30"/>
  <c r="AB76" i="30"/>
  <c r="AB62" i="30"/>
  <c r="W71" i="30"/>
  <c r="W57" i="30"/>
  <c r="W50" i="30"/>
  <c r="W64" i="30"/>
  <c r="W69" i="30"/>
  <c r="W55" i="30"/>
  <c r="W68" i="30"/>
  <c r="W54" i="30"/>
  <c r="D76" i="30"/>
  <c r="D62" i="30"/>
  <c r="K75" i="30"/>
  <c r="K61" i="30"/>
  <c r="K66" i="30"/>
  <c r="K52" i="30"/>
  <c r="K58" i="30"/>
  <c r="K72" i="30"/>
  <c r="K73" i="30"/>
  <c r="K59" i="30"/>
  <c r="S65" i="30"/>
  <c r="S51" i="30"/>
  <c r="S70" i="30"/>
  <c r="S56" i="30"/>
  <c r="S68" i="30"/>
  <c r="S54" i="30"/>
  <c r="F62" i="30"/>
  <c r="F76" i="30"/>
  <c r="J57" i="30"/>
  <c r="J71" i="30"/>
  <c r="J64" i="30"/>
  <c r="J50" i="30"/>
  <c r="J69" i="30"/>
  <c r="J55" i="30"/>
  <c r="M75" i="30"/>
  <c r="M61" i="30"/>
  <c r="M52" i="30"/>
  <c r="M66" i="30"/>
  <c r="M72" i="30"/>
  <c r="M58" i="30"/>
  <c r="M73" i="30"/>
  <c r="M59" i="30"/>
  <c r="Q65" i="30"/>
  <c r="Q51" i="30"/>
  <c r="Q56" i="30"/>
  <c r="Q70" i="30"/>
  <c r="Q68" i="30"/>
  <c r="Q54" i="30"/>
  <c r="V76" i="30"/>
  <c r="V62" i="30"/>
  <c r="Y64" i="30"/>
  <c r="Y50" i="30"/>
  <c r="Y55" i="30"/>
  <c r="Y69" i="30"/>
  <c r="Y60" i="30"/>
  <c r="Y74" i="30"/>
  <c r="Y45" i="30"/>
  <c r="Y67" i="30"/>
  <c r="Y53" i="30"/>
  <c r="N75" i="30"/>
  <c r="N61" i="30"/>
  <c r="N66" i="30"/>
  <c r="N52" i="30"/>
  <c r="N58" i="30"/>
  <c r="N72" i="30"/>
  <c r="N74" i="30"/>
  <c r="N60" i="30"/>
  <c r="N45" i="30"/>
  <c r="Z65" i="30"/>
  <c r="Z51" i="30"/>
  <c r="Z56" i="30"/>
  <c r="Z68" i="30"/>
  <c r="Z54" i="30"/>
  <c r="O65" i="30"/>
  <c r="O51" i="30"/>
  <c r="O70" i="30"/>
  <c r="O56" i="30"/>
  <c r="O54" i="30"/>
  <c r="O68" i="30"/>
  <c r="G62" i="30"/>
  <c r="G76" i="30"/>
  <c r="R57" i="30"/>
  <c r="R71" i="30"/>
  <c r="R50" i="30"/>
  <c r="R64" i="30"/>
  <c r="R69" i="30"/>
  <c r="R55" i="30"/>
  <c r="H65" i="30"/>
  <c r="H51" i="30"/>
  <c r="H70" i="30"/>
  <c r="H56" i="30"/>
  <c r="H68" i="30"/>
  <c r="H54" i="30"/>
  <c r="AA62" i="30"/>
  <c r="AA76" i="30"/>
  <c r="AA54" i="30"/>
  <c r="AA68" i="30"/>
  <c r="E65" i="30"/>
  <c r="E51" i="30"/>
  <c r="E70" i="30"/>
  <c r="E56" i="30"/>
  <c r="E68" i="30"/>
  <c r="E54" i="30"/>
  <c r="I76" i="30"/>
  <c r="I62" i="30"/>
  <c r="L71" i="30"/>
  <c r="L57" i="30"/>
  <c r="L64" i="30"/>
  <c r="L50" i="30"/>
  <c r="L69" i="30"/>
  <c r="L55" i="30"/>
  <c r="L74" i="30"/>
  <c r="L60" i="30"/>
  <c r="L45" i="30"/>
  <c r="L67" i="30"/>
  <c r="L53" i="30"/>
  <c r="P73" i="30"/>
  <c r="P59" i="30"/>
  <c r="T68" i="30"/>
  <c r="T54" i="30"/>
  <c r="T31" i="30"/>
  <c r="X62" i="30"/>
  <c r="X76" i="30"/>
  <c r="AB71" i="30"/>
  <c r="AB57" i="30"/>
  <c r="AB50" i="30"/>
  <c r="AB64" i="30"/>
  <c r="AB55" i="30"/>
  <c r="AB69" i="30"/>
  <c r="AB74" i="30"/>
  <c r="AB60" i="30"/>
  <c r="AB67" i="30"/>
  <c r="AB53" i="30"/>
  <c r="W61" i="30"/>
  <c r="W75" i="30"/>
  <c r="W58" i="30"/>
  <c r="W72" i="30"/>
  <c r="D57" i="30"/>
  <c r="D71" i="30"/>
  <c r="D55" i="30"/>
  <c r="D69" i="30"/>
  <c r="K51" i="30"/>
  <c r="K65" i="30"/>
  <c r="K70" i="30"/>
  <c r="K56" i="30"/>
  <c r="S76" i="30"/>
  <c r="S62" i="30"/>
  <c r="F71" i="30"/>
  <c r="F57" i="30"/>
  <c r="F64" i="30"/>
  <c r="F50" i="30"/>
  <c r="F69" i="30"/>
  <c r="F55" i="30"/>
  <c r="F73" i="30"/>
  <c r="F59" i="30"/>
  <c r="F53" i="30"/>
  <c r="F67" i="30"/>
  <c r="F68" i="30"/>
  <c r="F54" i="30"/>
  <c r="J75" i="30"/>
  <c r="J61" i="30"/>
  <c r="J66" i="30"/>
  <c r="J52" i="30"/>
  <c r="J72" i="30"/>
  <c r="J58" i="30"/>
  <c r="J54" i="30"/>
  <c r="J68" i="30"/>
  <c r="M65" i="30"/>
  <c r="M51" i="30"/>
  <c r="M70" i="30"/>
  <c r="M56" i="30"/>
  <c r="M68" i="30"/>
  <c r="M54" i="30"/>
  <c r="Q76" i="30"/>
  <c r="Q62" i="30"/>
  <c r="V57" i="30"/>
  <c r="V71" i="30"/>
  <c r="V64" i="30"/>
  <c r="V50" i="30"/>
  <c r="V69" i="30"/>
  <c r="V55" i="30"/>
  <c r="V74" i="30"/>
  <c r="V60" i="30"/>
  <c r="V67" i="30"/>
  <c r="V53" i="30"/>
  <c r="Y66" i="30"/>
  <c r="Y52" i="30"/>
  <c r="Y72" i="30"/>
  <c r="Y58" i="30"/>
  <c r="N70" i="30"/>
  <c r="N73" i="30"/>
  <c r="N59" i="30"/>
  <c r="N53" i="30"/>
  <c r="N67" i="30"/>
  <c r="Z76" i="30"/>
  <c r="Z62" i="30"/>
  <c r="O76" i="30"/>
  <c r="O62" i="30"/>
  <c r="G71" i="30"/>
  <c r="G57" i="30"/>
  <c r="G64" i="30"/>
  <c r="G50" i="30"/>
  <c r="G69" i="30"/>
  <c r="G55" i="30"/>
  <c r="G74" i="30"/>
  <c r="G60" i="30"/>
  <c r="R75" i="30"/>
  <c r="R61" i="30"/>
  <c r="R66" i="30"/>
  <c r="R52" i="30"/>
  <c r="R72" i="30"/>
  <c r="R58" i="30"/>
  <c r="R74" i="30"/>
  <c r="R60" i="30"/>
  <c r="H76" i="30"/>
  <c r="H62" i="30"/>
  <c r="AA71" i="30"/>
  <c r="AA57" i="30"/>
  <c r="AA64" i="30"/>
  <c r="AA50" i="30"/>
  <c r="AA69" i="30"/>
  <c r="AA55" i="30"/>
  <c r="E76" i="30"/>
  <c r="E62" i="30"/>
  <c r="I71" i="30"/>
  <c r="I57" i="30"/>
  <c r="I64" i="30"/>
  <c r="I50" i="30"/>
  <c r="I69" i="30"/>
  <c r="I55" i="30"/>
  <c r="I74" i="30"/>
  <c r="I60" i="30"/>
  <c r="I67" i="30"/>
  <c r="I53" i="30"/>
  <c r="L75" i="30"/>
  <c r="L61" i="30"/>
  <c r="L66" i="30"/>
  <c r="L52" i="30"/>
  <c r="L59" i="30"/>
  <c r="L73" i="30"/>
  <c r="P68" i="30"/>
  <c r="P54" i="30"/>
  <c r="T76" i="30"/>
  <c r="T62" i="30"/>
  <c r="T75" i="30"/>
  <c r="T61" i="30"/>
  <c r="T66" i="30"/>
  <c r="T52" i="30"/>
  <c r="T72" i="30"/>
  <c r="T58" i="30"/>
  <c r="X71" i="30"/>
  <c r="X57" i="30"/>
  <c r="X64" i="30"/>
  <c r="X50" i="30"/>
  <c r="X69" i="30"/>
  <c r="X55" i="30"/>
  <c r="X74" i="30"/>
  <c r="X60" i="30"/>
  <c r="X67" i="30"/>
  <c r="X53" i="30"/>
  <c r="AB75" i="30"/>
  <c r="AB61" i="30"/>
  <c r="AB66" i="30"/>
  <c r="AB52" i="30"/>
  <c r="AB73" i="30"/>
  <c r="AB59" i="30"/>
  <c r="W65" i="30"/>
  <c r="W51" i="30"/>
  <c r="W70" i="30"/>
  <c r="W56" i="30"/>
  <c r="W74" i="30"/>
  <c r="W60" i="30"/>
  <c r="D74" i="30"/>
  <c r="D60" i="30"/>
  <c r="D54" i="30"/>
  <c r="D68" i="30"/>
  <c r="D73" i="30"/>
  <c r="D59" i="30"/>
  <c r="D53" i="30"/>
  <c r="D67" i="30"/>
  <c r="K76" i="30"/>
  <c r="K62" i="30"/>
  <c r="S64" i="30"/>
  <c r="S50" i="30"/>
  <c r="S74" i="30"/>
  <c r="S60" i="30"/>
  <c r="S67" i="30"/>
  <c r="S53" i="30"/>
  <c r="F61" i="30"/>
  <c r="F75" i="30"/>
  <c r="F66" i="30"/>
  <c r="F52" i="30"/>
  <c r="F58" i="30"/>
  <c r="F72" i="30"/>
  <c r="J65" i="30"/>
  <c r="J51" i="30"/>
  <c r="J70" i="30"/>
  <c r="M76" i="30"/>
  <c r="M62" i="30"/>
  <c r="Q71" i="30"/>
  <c r="Q57" i="30"/>
  <c r="Q64" i="30"/>
  <c r="Q50" i="30"/>
  <c r="Q69" i="30"/>
  <c r="Q55" i="30"/>
  <c r="Q74" i="30"/>
  <c r="Q60" i="30"/>
  <c r="Q67" i="30"/>
  <c r="Q53" i="30"/>
  <c r="V61" i="30"/>
  <c r="V75" i="30"/>
  <c r="V52" i="30"/>
  <c r="V66" i="30"/>
  <c r="V73" i="30"/>
  <c r="V59" i="30"/>
  <c r="Y65" i="30"/>
  <c r="Y51" i="30"/>
  <c r="Y70" i="30"/>
  <c r="Y56" i="30"/>
  <c r="Y68" i="30"/>
  <c r="Y54" i="30"/>
  <c r="Y31" i="30"/>
  <c r="FJ66" i="18"/>
  <c r="FJ52" i="18"/>
  <c r="FJ75" i="18"/>
  <c r="FJ61" i="18"/>
  <c r="FJ74" i="18"/>
  <c r="FJ60" i="18"/>
  <c r="FJ67" i="18"/>
  <c r="FJ53" i="18"/>
  <c r="FJ65" i="18"/>
  <c r="FJ51" i="18"/>
  <c r="FJ71" i="18"/>
  <c r="FJ57" i="18"/>
  <c r="FJ58" i="18"/>
  <c r="FJ70" i="18"/>
  <c r="FJ56" i="18"/>
  <c r="H63" i="18"/>
  <c r="F63" i="18"/>
  <c r="BD63" i="5"/>
  <c r="BD48" i="5"/>
  <c r="AP31" i="5"/>
  <c r="D35" i="31"/>
  <c r="BY45" i="30"/>
  <c r="BX45" i="30"/>
  <c r="BI45" i="30"/>
  <c r="E31" i="5"/>
  <c r="BS45" i="30"/>
  <c r="N69" i="31"/>
  <c r="N55" i="31"/>
  <c r="Z55" i="31"/>
  <c r="Z69" i="31"/>
  <c r="E48" i="5"/>
  <c r="AJ71" i="5"/>
  <c r="AJ57" i="5"/>
  <c r="AJ43" i="5"/>
  <c r="AJ69" i="5"/>
  <c r="AJ55" i="5"/>
  <c r="AJ49" i="5"/>
  <c r="AJ37" i="5"/>
  <c r="AJ73" i="5"/>
  <c r="AJ59" i="5"/>
  <c r="AJ76" i="5"/>
  <c r="AJ62" i="5"/>
  <c r="AJ64" i="5"/>
  <c r="AJ50" i="5"/>
  <c r="AJ70" i="5"/>
  <c r="AJ56" i="5"/>
  <c r="AJ42" i="5"/>
  <c r="AJ72" i="5"/>
  <c r="AJ58" i="5"/>
  <c r="AJ44" i="5"/>
  <c r="AJ39" i="5"/>
  <c r="AJ68" i="5"/>
  <c r="AJ54" i="5"/>
  <c r="AJ41" i="5"/>
  <c r="AJ74" i="5"/>
  <c r="AJ60" i="5"/>
  <c r="AJ36" i="5"/>
  <c r="AJ65" i="5"/>
  <c r="AJ51" i="5"/>
  <c r="AJ75" i="5"/>
  <c r="AJ61" i="5"/>
  <c r="AJ66" i="5"/>
  <c r="AJ52" i="5"/>
  <c r="AJ33" i="5"/>
  <c r="AH45" i="5"/>
  <c r="AJ67" i="5"/>
  <c r="AJ53" i="5"/>
  <c r="AJ40" i="5"/>
  <c r="AJ32" i="5"/>
  <c r="O69" i="31"/>
  <c r="O55" i="31"/>
  <c r="G55" i="31"/>
  <c r="G69" i="31"/>
  <c r="R69" i="31"/>
  <c r="R55" i="31"/>
  <c r="AA55" i="31"/>
  <c r="AA69" i="31"/>
  <c r="AR48" i="5"/>
  <c r="E69" i="31"/>
  <c r="E55" i="31"/>
  <c r="I69" i="31"/>
  <c r="I55" i="31"/>
  <c r="L69" i="31"/>
  <c r="L55" i="31"/>
  <c r="P69" i="31"/>
  <c r="P55" i="31"/>
  <c r="T55" i="31"/>
  <c r="T69" i="31"/>
  <c r="X69" i="31"/>
  <c r="X55" i="31"/>
  <c r="AB69" i="31"/>
  <c r="AB55" i="31"/>
  <c r="W55" i="31"/>
  <c r="W69" i="31"/>
  <c r="H30" i="5"/>
  <c r="H35" i="5"/>
  <c r="H29" i="5"/>
  <c r="H57" i="5"/>
  <c r="H28" i="5"/>
  <c r="H43" i="5"/>
  <c r="H27" i="5"/>
  <c r="H76" i="5"/>
  <c r="D36" i="31"/>
  <c r="H26" i="5"/>
  <c r="H36" i="5"/>
  <c r="D55" i="31"/>
  <c r="D69" i="31"/>
  <c r="H24" i="5"/>
  <c r="H12" i="5"/>
  <c r="H11" i="5"/>
  <c r="H39" i="5"/>
  <c r="H10" i="5"/>
  <c r="H46" i="5"/>
  <c r="H9" i="5"/>
  <c r="H8" i="5"/>
  <c r="H41" i="5"/>
  <c r="H7" i="5"/>
  <c r="H59" i="5"/>
  <c r="H6" i="5"/>
  <c r="H47" i="5"/>
  <c r="H4" i="5"/>
  <c r="H40" i="5"/>
  <c r="H3" i="5"/>
  <c r="H32" i="5"/>
  <c r="D49" i="31"/>
  <c r="H23" i="5"/>
  <c r="H49" i="5"/>
  <c r="H22" i="5"/>
  <c r="H37" i="5"/>
  <c r="H21" i="5"/>
  <c r="H51" i="5"/>
  <c r="H20" i="5"/>
  <c r="H56" i="5"/>
  <c r="H19" i="5"/>
  <c r="H42" i="5"/>
  <c r="H18" i="5"/>
  <c r="H75" i="5"/>
  <c r="H17" i="5"/>
  <c r="H16" i="5"/>
  <c r="H15" i="5"/>
  <c r="H44" i="5"/>
  <c r="D34" i="31"/>
  <c r="H14" i="5"/>
  <c r="H34" i="5"/>
  <c r="D33" i="31"/>
  <c r="H13" i="5"/>
  <c r="H33" i="5"/>
  <c r="H2" i="5"/>
  <c r="H38" i="5"/>
  <c r="K69" i="31"/>
  <c r="K55" i="31"/>
  <c r="S69" i="31"/>
  <c r="S55" i="31"/>
  <c r="BD45" i="5"/>
  <c r="AI63" i="5"/>
  <c r="AI31" i="5"/>
  <c r="AI45" i="5"/>
  <c r="AI48" i="5"/>
  <c r="AP63" i="5"/>
  <c r="AP48" i="5"/>
  <c r="F55" i="31"/>
  <c r="F69" i="31"/>
  <c r="M55" i="31"/>
  <c r="M69" i="31"/>
  <c r="Q55" i="31"/>
  <c r="Q69" i="31"/>
  <c r="V69" i="31"/>
  <c r="V55" i="31"/>
  <c r="Y69" i="31"/>
  <c r="Y55" i="31"/>
  <c r="BJ45" i="30"/>
  <c r="BD38" i="30"/>
  <c r="BT45" i="30"/>
  <c r="BR45" i="30"/>
  <c r="BP72" i="30"/>
  <c r="BP58" i="30"/>
  <c r="BP73" i="30"/>
  <c r="BX65" i="30"/>
  <c r="BX51" i="30"/>
  <c r="DW27" i="18"/>
  <c r="DW19" i="18"/>
  <c r="BQ69" i="31"/>
  <c r="BQ55" i="31"/>
  <c r="BQ60" i="30"/>
  <c r="BQ74" i="30"/>
  <c r="DV27" i="18"/>
  <c r="DX20" i="18"/>
  <c r="BF51" i="30"/>
  <c r="BF65" i="30"/>
  <c r="BF53" i="30"/>
  <c r="BF67" i="30"/>
  <c r="BG74" i="30"/>
  <c r="BG60" i="30"/>
  <c r="BR53" i="30"/>
  <c r="BR67" i="30"/>
  <c r="BZ57" i="30"/>
  <c r="BZ71" i="30"/>
  <c r="DQ10" i="18"/>
  <c r="EA29" i="18"/>
  <c r="EA12" i="18"/>
  <c r="EA8" i="18"/>
  <c r="BD36" i="30"/>
  <c r="D46" i="18"/>
  <c r="BH61" i="30"/>
  <c r="BH75" i="30"/>
  <c r="BO72" i="30"/>
  <c r="BO58" i="30"/>
  <c r="BO59" i="30"/>
  <c r="BO73" i="30"/>
  <c r="CA51" i="30"/>
  <c r="CA65" i="30"/>
  <c r="CA67" i="30"/>
  <c r="CA53" i="30"/>
  <c r="DT16" i="18"/>
  <c r="DT5" i="18"/>
  <c r="DU19" i="18"/>
  <c r="DU5" i="18"/>
  <c r="DY10" i="18"/>
  <c r="DY19" i="18"/>
  <c r="BP62" i="30"/>
  <c r="BP76" i="30"/>
  <c r="BP69" i="30"/>
  <c r="BP55" i="30"/>
  <c r="BT71" i="30"/>
  <c r="BT57" i="30"/>
  <c r="DS20" i="18"/>
  <c r="BJ68" i="30"/>
  <c r="BJ54" i="30"/>
  <c r="BV76" i="30"/>
  <c r="BV62" i="30"/>
  <c r="BV55" i="30"/>
  <c r="BV69" i="30"/>
  <c r="BV52" i="30"/>
  <c r="BV66" i="30"/>
  <c r="BY57" i="30"/>
  <c r="BY71" i="30"/>
  <c r="DV16" i="18"/>
  <c r="DV24" i="18"/>
  <c r="DX16" i="18"/>
  <c r="DX18" i="18"/>
  <c r="BG75" i="30"/>
  <c r="BG61" i="30"/>
  <c r="CB62" i="30"/>
  <c r="CB76" i="30"/>
  <c r="CB69" i="30"/>
  <c r="CB55" i="30"/>
  <c r="CB66" i="30"/>
  <c r="CB52" i="30"/>
  <c r="BZ69" i="31"/>
  <c r="BZ55" i="31"/>
  <c r="BZ60" i="30"/>
  <c r="BZ74" i="30"/>
  <c r="BG23" i="18"/>
  <c r="BG18" i="18"/>
  <c r="BG9" i="18"/>
  <c r="EA27" i="18"/>
  <c r="EA26" i="18"/>
  <c r="D49" i="18"/>
  <c r="BD68" i="30"/>
  <c r="BD54" i="30"/>
  <c r="BD73" i="30"/>
  <c r="BD59" i="30"/>
  <c r="BH57" i="30"/>
  <c r="BH71" i="30"/>
  <c r="BO69" i="31"/>
  <c r="BO55" i="31"/>
  <c r="BO74" i="30"/>
  <c r="BO60" i="30"/>
  <c r="BS54" i="30"/>
  <c r="BS68" i="30"/>
  <c r="DT24" i="18"/>
  <c r="DU18" i="18"/>
  <c r="DU17" i="18"/>
  <c r="DU7" i="18"/>
  <c r="DY28" i="18"/>
  <c r="DY26" i="18"/>
  <c r="DY8" i="18"/>
  <c r="BI57" i="30"/>
  <c r="BI71" i="30"/>
  <c r="BI73" i="30"/>
  <c r="BI59" i="30"/>
  <c r="BL45" i="30"/>
  <c r="BP65" i="30"/>
  <c r="BP51" i="30"/>
  <c r="BP67" i="30"/>
  <c r="BP53" i="30"/>
  <c r="BT56" i="30"/>
  <c r="BT70" i="30"/>
  <c r="DW18" i="18"/>
  <c r="DW20" i="18"/>
  <c r="DW9" i="18"/>
  <c r="DS27" i="18"/>
  <c r="DS16" i="18"/>
  <c r="DS18" i="18"/>
  <c r="DS5" i="18"/>
  <c r="BJ56" i="30"/>
  <c r="BJ70" i="30"/>
  <c r="BY69" i="31"/>
  <c r="BY55" i="31"/>
  <c r="DV14" i="18"/>
  <c r="DV4" i="18"/>
  <c r="DX26" i="18"/>
  <c r="DX15" i="18"/>
  <c r="DX22" i="18"/>
  <c r="DX4" i="18"/>
  <c r="BN69" i="31"/>
  <c r="BN55" i="31"/>
  <c r="BN74" i="30"/>
  <c r="BN60" i="30"/>
  <c r="BR58" i="30"/>
  <c r="BR72" i="30"/>
  <c r="BR59" i="30"/>
  <c r="BR73" i="30"/>
  <c r="DQ19" i="18"/>
  <c r="DQ15" i="18"/>
  <c r="DQ7" i="18"/>
  <c r="BG6" i="18"/>
  <c r="EA30" i="18"/>
  <c r="EA19" i="18"/>
  <c r="BD43" i="30"/>
  <c r="D37" i="18"/>
  <c r="BS62" i="30"/>
  <c r="BS76" i="30"/>
  <c r="BS69" i="30"/>
  <c r="BS55" i="30"/>
  <c r="BS66" i="30"/>
  <c r="BS52" i="30"/>
  <c r="CA76" i="30"/>
  <c r="CA62" i="30"/>
  <c r="BE75" i="30"/>
  <c r="BE61" i="30"/>
  <c r="BI70" i="30"/>
  <c r="BI56" i="30"/>
  <c r="BL58" i="30"/>
  <c r="BL72" i="30"/>
  <c r="BL73" i="30"/>
  <c r="BL59" i="30"/>
  <c r="BP45" i="30"/>
  <c r="BT51" i="30"/>
  <c r="BT65" i="30"/>
  <c r="BT67" i="30"/>
  <c r="BT53" i="30"/>
  <c r="BX70" i="30"/>
  <c r="BX56" i="30"/>
  <c r="DW10" i="18"/>
  <c r="DS28" i="18"/>
  <c r="DS19" i="18"/>
  <c r="DS9" i="18"/>
  <c r="BJ71" i="30"/>
  <c r="BJ57" i="30"/>
  <c r="BJ61" i="30"/>
  <c r="BJ75" i="30"/>
  <c r="BM76" i="30"/>
  <c r="BM62" i="30"/>
  <c r="BM55" i="30"/>
  <c r="BM69" i="30"/>
  <c r="BM52" i="30"/>
  <c r="BM66" i="30"/>
  <c r="BQ72" i="30"/>
  <c r="BQ58" i="30"/>
  <c r="BQ59" i="30"/>
  <c r="BQ73" i="30"/>
  <c r="DV6" i="18"/>
  <c r="DX30" i="18"/>
  <c r="DX9" i="18"/>
  <c r="BF69" i="30"/>
  <c r="BF55" i="30"/>
  <c r="BF52" i="30"/>
  <c r="BF66" i="30"/>
  <c r="BR70" i="30"/>
  <c r="BR56" i="30"/>
  <c r="BW68" i="30"/>
  <c r="BW54" i="30"/>
  <c r="DQ30" i="18"/>
  <c r="BG27" i="18"/>
  <c r="BG25" i="18"/>
  <c r="DQ8" i="18"/>
  <c r="DQ11" i="18"/>
  <c r="EA4" i="18"/>
  <c r="EA5" i="18"/>
  <c r="BD67" i="30"/>
  <c r="BD53" i="30"/>
  <c r="D38" i="18"/>
  <c r="BH69" i="30"/>
  <c r="BH55" i="30"/>
  <c r="BH66" i="30"/>
  <c r="BH52" i="30"/>
  <c r="BK57" i="30"/>
  <c r="BK71" i="30"/>
  <c r="BS65" i="30"/>
  <c r="BS51" i="30"/>
  <c r="BS67" i="30"/>
  <c r="BS53" i="30"/>
  <c r="DT17" i="18"/>
  <c r="DT12" i="18"/>
  <c r="DU30" i="18"/>
  <c r="DU16" i="18"/>
  <c r="DU4" i="18"/>
  <c r="DU6" i="18"/>
  <c r="DY17" i="18"/>
  <c r="BE40" i="30"/>
  <c r="BI65" i="30"/>
  <c r="BI51" i="30"/>
  <c r="BL69" i="31"/>
  <c r="BL55" i="31"/>
  <c r="BL74" i="30"/>
  <c r="BL60" i="30"/>
  <c r="BP54" i="30"/>
  <c r="BP68" i="30"/>
  <c r="BX75" i="30"/>
  <c r="BX61" i="30"/>
  <c r="DW26" i="18"/>
  <c r="DW15" i="18"/>
  <c r="DW12" i="18"/>
  <c r="DS29" i="18"/>
  <c r="DS25" i="18"/>
  <c r="DS6" i="18"/>
  <c r="BJ76" i="30"/>
  <c r="BJ62" i="30"/>
  <c r="BQ62" i="30"/>
  <c r="BQ76" i="30"/>
  <c r="BQ66" i="30"/>
  <c r="BQ52" i="30"/>
  <c r="BV72" i="30"/>
  <c r="BV58" i="30"/>
  <c r="BV73" i="30"/>
  <c r="BV59" i="30"/>
  <c r="DV7" i="18"/>
  <c r="DX10" i="18"/>
  <c r="BF75" i="30"/>
  <c r="BF61" i="30"/>
  <c r="BG76" i="30"/>
  <c r="BG62" i="30"/>
  <c r="BG55" i="30"/>
  <c r="BG69" i="30"/>
  <c r="BG66" i="30"/>
  <c r="BG52" i="30"/>
  <c r="CB58" i="30"/>
  <c r="CB72" i="30"/>
  <c r="CB73" i="30"/>
  <c r="CB59" i="30"/>
  <c r="BR57" i="30"/>
  <c r="BR71" i="30"/>
  <c r="BR75" i="30"/>
  <c r="BR61" i="30"/>
  <c r="BW69" i="31"/>
  <c r="BW55" i="31"/>
  <c r="BW74" i="30"/>
  <c r="BW60" i="30"/>
  <c r="DQ20" i="18"/>
  <c r="DQ4" i="18"/>
  <c r="BG2" i="18"/>
  <c r="DQ5" i="18"/>
  <c r="BD35" i="30"/>
  <c r="D36" i="18"/>
  <c r="BD46" i="31"/>
  <c r="D41" i="18"/>
  <c r="BK69" i="31"/>
  <c r="BK55" i="31"/>
  <c r="BK60" i="30"/>
  <c r="BK74" i="30"/>
  <c r="BO68" i="30"/>
  <c r="BO54" i="30"/>
  <c r="CA61" i="30"/>
  <c r="CA75" i="30"/>
  <c r="DT20" i="18"/>
  <c r="DU14" i="18"/>
  <c r="DU10" i="18"/>
  <c r="DY22" i="18"/>
  <c r="DY16" i="18"/>
  <c r="BE71" i="30"/>
  <c r="BE57" i="30"/>
  <c r="BE73" i="30"/>
  <c r="BE59" i="30"/>
  <c r="BL67" i="30"/>
  <c r="BL53" i="30"/>
  <c r="BP70" i="30"/>
  <c r="BP56" i="30"/>
  <c r="DW25" i="18"/>
  <c r="DS8" i="18"/>
  <c r="BJ52" i="30"/>
  <c r="BJ66" i="30"/>
  <c r="BQ65" i="30"/>
  <c r="BQ51" i="30"/>
  <c r="BQ67" i="30"/>
  <c r="BQ53" i="30"/>
  <c r="BV70" i="30"/>
  <c r="BV56" i="30"/>
  <c r="DV28" i="18"/>
  <c r="DV13" i="18"/>
  <c r="DV9" i="18"/>
  <c r="DX14" i="18"/>
  <c r="BF76" i="30"/>
  <c r="BF62" i="30"/>
  <c r="CB70" i="30"/>
  <c r="CB56" i="30"/>
  <c r="BW57" i="30"/>
  <c r="BW71" i="30"/>
  <c r="BZ62" i="30"/>
  <c r="BZ76" i="30"/>
  <c r="BZ55" i="30"/>
  <c r="BZ69" i="30"/>
  <c r="BZ66" i="30"/>
  <c r="BZ52" i="30"/>
  <c r="BG24" i="18"/>
  <c r="BG13" i="18"/>
  <c r="BD49" i="31"/>
  <c r="BD58" i="30"/>
  <c r="BD72" i="30"/>
  <c r="D34" i="18"/>
  <c r="BO76" i="30"/>
  <c r="BO62" i="30"/>
  <c r="BO69" i="30"/>
  <c r="BO55" i="30"/>
  <c r="BO66" i="30"/>
  <c r="DT14" i="18"/>
  <c r="DU25" i="18"/>
  <c r="DU11" i="18"/>
  <c r="DY3" i="18"/>
  <c r="BE55" i="31"/>
  <c r="BE69" i="31"/>
  <c r="BI68" i="30"/>
  <c r="BI54" i="30"/>
  <c r="BP61" i="30"/>
  <c r="BP75" i="30"/>
  <c r="BX72" i="30"/>
  <c r="BX58" i="30"/>
  <c r="DS13" i="18"/>
  <c r="DS10" i="18"/>
  <c r="BJ60" i="30"/>
  <c r="BJ74" i="30"/>
  <c r="BY62" i="30"/>
  <c r="BY76" i="30"/>
  <c r="BY69" i="30"/>
  <c r="BY55" i="30"/>
  <c r="BY66" i="30"/>
  <c r="BY52" i="30"/>
  <c r="DX19" i="18"/>
  <c r="BN55" i="30"/>
  <c r="BN69" i="30"/>
  <c r="BN66" i="30"/>
  <c r="BN52" i="30"/>
  <c r="BR54" i="30"/>
  <c r="BR68" i="30"/>
  <c r="BG22" i="18"/>
  <c r="BG19" i="18"/>
  <c r="BG15" i="18"/>
  <c r="BG12" i="18"/>
  <c r="EA28" i="18"/>
  <c r="EA15" i="18"/>
  <c r="EA17" i="18"/>
  <c r="BD69" i="31"/>
  <c r="BD55" i="31"/>
  <c r="BD66" i="30"/>
  <c r="BD52" i="30"/>
  <c r="BD44" i="30"/>
  <c r="BD39" i="30"/>
  <c r="BH58" i="30"/>
  <c r="BH72" i="30"/>
  <c r="BH59" i="30"/>
  <c r="BH73" i="30"/>
  <c r="BK45" i="30"/>
  <c r="BO65" i="30"/>
  <c r="BO51" i="30"/>
  <c r="BO53" i="30"/>
  <c r="BO67" i="30"/>
  <c r="BS70" i="30"/>
  <c r="BS56" i="30"/>
  <c r="DY11" i="18"/>
  <c r="DY7" i="18"/>
  <c r="BE67" i="30"/>
  <c r="BE53" i="30"/>
  <c r="BI60" i="30"/>
  <c r="BI74" i="30"/>
  <c r="BL68" i="30"/>
  <c r="BL54" i="30"/>
  <c r="BT75" i="30"/>
  <c r="BT61" i="30"/>
  <c r="DW13" i="18"/>
  <c r="DS11" i="18"/>
  <c r="BJ67" i="30"/>
  <c r="BJ53" i="30"/>
  <c r="BM70" i="30"/>
  <c r="BM56" i="30"/>
  <c r="BQ68" i="30"/>
  <c r="BQ54" i="30"/>
  <c r="DV25" i="18"/>
  <c r="DV17" i="18"/>
  <c r="DX17" i="18"/>
  <c r="DX8" i="18"/>
  <c r="BF70" i="30"/>
  <c r="BF56" i="30"/>
  <c r="BG50" i="30"/>
  <c r="BG64" i="30"/>
  <c r="BG72" i="30"/>
  <c r="BG58" i="30"/>
  <c r="BZ45" i="30"/>
  <c r="DQ28" i="18"/>
  <c r="BG17" i="18"/>
  <c r="BG21" i="18"/>
  <c r="D42" i="18"/>
  <c r="BH56" i="30"/>
  <c r="BH70" i="30"/>
  <c r="CA55" i="31"/>
  <c r="CA69" i="31"/>
  <c r="CA74" i="30"/>
  <c r="CA60" i="30"/>
  <c r="DT25" i="18"/>
  <c r="DT9" i="18"/>
  <c r="DT8" i="18"/>
  <c r="DU24" i="18"/>
  <c r="DY27" i="18"/>
  <c r="DY13" i="18"/>
  <c r="BE41" i="30"/>
  <c r="BL62" i="30"/>
  <c r="BL76" i="30"/>
  <c r="BL69" i="30"/>
  <c r="BL55" i="30"/>
  <c r="BL66" i="30"/>
  <c r="BL52" i="30"/>
  <c r="BP57" i="30"/>
  <c r="BP71" i="30"/>
  <c r="BJ72" i="30"/>
  <c r="BJ58" i="30"/>
  <c r="BM65" i="30"/>
  <c r="BM51" i="30"/>
  <c r="BM53" i="30"/>
  <c r="BM67" i="30"/>
  <c r="BQ70" i="30"/>
  <c r="BQ56" i="30"/>
  <c r="DV20" i="18"/>
  <c r="DV11" i="18"/>
  <c r="BG69" i="31"/>
  <c r="BG55" i="31"/>
  <c r="BG70" i="30"/>
  <c r="BG56" i="30"/>
  <c r="CB54" i="30"/>
  <c r="CB68" i="30"/>
  <c r="BW69" i="30"/>
  <c r="BW55" i="30"/>
  <c r="BW66" i="30"/>
  <c r="BW52" i="30"/>
  <c r="BZ72" i="30"/>
  <c r="BZ58" i="30"/>
  <c r="BZ73" i="30"/>
  <c r="BZ59" i="30"/>
  <c r="DQ29" i="18"/>
  <c r="EA20" i="18"/>
  <c r="BD46" i="30"/>
  <c r="BK62" i="30"/>
  <c r="BK76" i="30"/>
  <c r="BK69" i="30"/>
  <c r="BK55" i="30"/>
  <c r="BK52" i="30"/>
  <c r="BK66" i="30"/>
  <c r="BO71" i="30"/>
  <c r="BO57" i="30"/>
  <c r="DT27" i="18"/>
  <c r="DT10" i="18"/>
  <c r="DU26" i="18"/>
  <c r="DU15" i="18"/>
  <c r="DU12" i="18"/>
  <c r="DY9" i="18"/>
  <c r="BE54" i="30"/>
  <c r="BE68" i="30"/>
  <c r="BL75" i="30"/>
  <c r="BL61" i="30"/>
  <c r="BT72" i="30"/>
  <c r="BT58" i="30"/>
  <c r="BT73" i="30"/>
  <c r="BT59" i="30"/>
  <c r="BQ75" i="30"/>
  <c r="BQ61" i="30"/>
  <c r="BY58" i="30"/>
  <c r="BY72" i="30"/>
  <c r="BY73" i="30"/>
  <c r="BY59" i="30"/>
  <c r="DV10" i="18"/>
  <c r="DX13" i="18"/>
  <c r="DX11" i="18"/>
  <c r="BW51" i="30"/>
  <c r="BW65" i="30"/>
  <c r="BW67" i="30"/>
  <c r="BW53" i="30"/>
  <c r="BZ70" i="30"/>
  <c r="BZ56" i="30"/>
  <c r="DQ13" i="18"/>
  <c r="BD49" i="30"/>
  <c r="BK65" i="30"/>
  <c r="BK51" i="30"/>
  <c r="BK67" i="30"/>
  <c r="BK53" i="30"/>
  <c r="BO70" i="30"/>
  <c r="BO56" i="30"/>
  <c r="DT19" i="18"/>
  <c r="DY30" i="18"/>
  <c r="DY25" i="18"/>
  <c r="DY20" i="18"/>
  <c r="DY6" i="18"/>
  <c r="DY29" i="18"/>
  <c r="BE62" i="30"/>
  <c r="BE76" i="30"/>
  <c r="BE69" i="30"/>
  <c r="BE55" i="30"/>
  <c r="BE66" i="30"/>
  <c r="BE52" i="30"/>
  <c r="BE74" i="30"/>
  <c r="BE60" i="30"/>
  <c r="BE47" i="30"/>
  <c r="BI66" i="30"/>
  <c r="BI52" i="30"/>
  <c r="BT60" i="30"/>
  <c r="BT74" i="30"/>
  <c r="BX74" i="30"/>
  <c r="BX60" i="30"/>
  <c r="BX59" i="30"/>
  <c r="BX73" i="30"/>
  <c r="BJ69" i="31"/>
  <c r="BJ55" i="31"/>
  <c r="BQ45" i="30"/>
  <c r="BV65" i="30"/>
  <c r="BV51" i="30"/>
  <c r="BV53" i="30"/>
  <c r="BV67" i="30"/>
  <c r="BY56" i="30"/>
  <c r="BY70" i="30"/>
  <c r="DV18" i="18"/>
  <c r="DV5" i="18"/>
  <c r="DX27" i="18"/>
  <c r="DX12" i="18"/>
  <c r="DX6" i="18"/>
  <c r="BF72" i="30"/>
  <c r="BF58" i="30"/>
  <c r="BF73" i="30"/>
  <c r="BF59" i="30"/>
  <c r="BG45" i="30"/>
  <c r="CB65" i="30"/>
  <c r="CB51" i="30"/>
  <c r="CB67" i="30"/>
  <c r="CB53" i="30"/>
  <c r="BN70" i="30"/>
  <c r="BN56" i="30"/>
  <c r="BZ65" i="30"/>
  <c r="BZ51" i="30"/>
  <c r="BZ53" i="30"/>
  <c r="BZ67" i="30"/>
  <c r="BG26" i="18"/>
  <c r="DQ12" i="18"/>
  <c r="BG7" i="18"/>
  <c r="DQ6" i="18"/>
  <c r="EA10" i="18"/>
  <c r="BD55" i="30"/>
  <c r="BD69" i="30"/>
  <c r="BD37" i="30"/>
  <c r="D44" i="18"/>
  <c r="D47" i="18"/>
  <c r="BH68" i="30"/>
  <c r="BH54" i="30"/>
  <c r="BO75" i="30"/>
  <c r="BO61" i="30"/>
  <c r="CA58" i="30"/>
  <c r="CA72" i="30"/>
  <c r="DT6" i="18"/>
  <c r="DU22" i="18"/>
  <c r="DY24" i="18"/>
  <c r="DY18" i="18"/>
  <c r="BE38" i="30"/>
  <c r="BI69" i="31"/>
  <c r="BI55" i="31"/>
  <c r="BL71" i="30"/>
  <c r="BL57" i="30"/>
  <c r="BX69" i="31"/>
  <c r="BX55" i="31"/>
  <c r="DW14" i="18"/>
  <c r="DS30" i="18"/>
  <c r="DS15" i="18"/>
  <c r="DS12" i="18"/>
  <c r="DS7" i="18"/>
  <c r="BQ71" i="30"/>
  <c r="BQ57" i="30"/>
  <c r="BV45" i="30"/>
  <c r="BY65" i="30"/>
  <c r="BY51" i="30"/>
  <c r="BY67" i="30"/>
  <c r="BY53" i="30"/>
  <c r="DV22" i="18"/>
  <c r="DV8" i="18"/>
  <c r="DX28" i="18"/>
  <c r="DX25" i="18"/>
  <c r="DX3" i="18"/>
  <c r="BG71" i="30"/>
  <c r="BG57" i="30"/>
  <c r="BG54" i="30"/>
  <c r="BG68" i="30"/>
  <c r="BN65" i="30"/>
  <c r="BN51" i="30"/>
  <c r="BN53" i="30"/>
  <c r="BN67" i="30"/>
  <c r="BR69" i="31"/>
  <c r="BR55" i="31"/>
  <c r="BR74" i="30"/>
  <c r="BR60" i="30"/>
  <c r="BG30" i="18"/>
  <c r="DQ25" i="18"/>
  <c r="DQ17" i="18"/>
  <c r="EA16" i="18"/>
  <c r="EA7" i="18"/>
  <c r="EA3" i="18"/>
  <c r="BD75" i="30"/>
  <c r="BD61" i="30"/>
  <c r="BD33" i="30"/>
  <c r="BK58" i="30"/>
  <c r="BK72" i="30"/>
  <c r="BK73" i="30"/>
  <c r="BK59" i="30"/>
  <c r="BO45" i="30"/>
  <c r="CA69" i="30"/>
  <c r="CA55" i="30"/>
  <c r="CA66" i="30"/>
  <c r="CA52" i="30"/>
  <c r="DT22" i="18"/>
  <c r="DU28" i="18"/>
  <c r="DU13" i="18"/>
  <c r="BI67" i="30"/>
  <c r="BI53" i="30"/>
  <c r="BL70" i="30"/>
  <c r="BL56" i="30"/>
  <c r="DS17" i="18"/>
  <c r="BV57" i="30"/>
  <c r="BV71" i="30"/>
  <c r="DX5" i="18"/>
  <c r="DX7" i="18"/>
  <c r="BF57" i="30"/>
  <c r="BF71" i="30"/>
  <c r="CB57" i="30"/>
  <c r="CB71" i="30"/>
  <c r="BW70" i="30"/>
  <c r="BW56" i="30"/>
  <c r="BZ68" i="30"/>
  <c r="BZ54" i="30"/>
  <c r="BG29" i="18"/>
  <c r="BG20" i="18"/>
  <c r="BG4" i="18"/>
  <c r="BG10" i="18"/>
  <c r="BG5" i="18"/>
  <c r="EA25" i="18"/>
  <c r="D35" i="18"/>
  <c r="D40" i="18"/>
  <c r="BH65" i="30"/>
  <c r="BH51" i="30"/>
  <c r="BH53" i="30"/>
  <c r="BH67" i="30"/>
  <c r="BK70" i="30"/>
  <c r="BK56" i="30"/>
  <c r="CA71" i="30"/>
  <c r="CA57" i="30"/>
  <c r="DT7" i="18"/>
  <c r="DY14" i="18"/>
  <c r="DY5" i="18"/>
  <c r="BE72" i="30"/>
  <c r="BE58" i="30"/>
  <c r="BI72" i="30"/>
  <c r="BI58" i="30"/>
  <c r="BP69" i="31"/>
  <c r="BP55" i="31"/>
  <c r="BP60" i="30"/>
  <c r="BP74" i="30"/>
  <c r="BT54" i="30"/>
  <c r="BT68" i="30"/>
  <c r="DW28" i="18"/>
  <c r="DW7" i="18"/>
  <c r="DW6" i="18"/>
  <c r="BJ73" i="30"/>
  <c r="BJ59" i="30"/>
  <c r="BV69" i="31"/>
  <c r="BV55" i="31"/>
  <c r="BV74" i="30"/>
  <c r="BV60" i="30"/>
  <c r="BY68" i="30"/>
  <c r="BY54" i="30"/>
  <c r="DV30" i="18"/>
  <c r="DX24" i="18"/>
  <c r="BG67" i="30"/>
  <c r="BG53" i="30"/>
  <c r="CB69" i="31"/>
  <c r="CB55" i="31"/>
  <c r="CB60" i="30"/>
  <c r="CB74" i="30"/>
  <c r="BN58" i="30"/>
  <c r="BN72" i="30"/>
  <c r="BN73" i="30"/>
  <c r="BN59" i="30"/>
  <c r="BW75" i="30"/>
  <c r="BW61" i="30"/>
  <c r="DQ18" i="18"/>
  <c r="BG16" i="18"/>
  <c r="DQ24" i="18"/>
  <c r="DQ14" i="18"/>
  <c r="DQ9" i="18"/>
  <c r="EA24" i="18"/>
  <c r="BD71" i="30"/>
  <c r="BD57" i="30"/>
  <c r="BK61" i="30"/>
  <c r="BK75" i="30"/>
  <c r="BS58" i="30"/>
  <c r="BS72" i="30"/>
  <c r="BS73" i="30"/>
  <c r="BS59" i="30"/>
  <c r="DT28" i="18"/>
  <c r="DT13" i="18"/>
  <c r="DT26" i="18"/>
  <c r="DT15" i="18"/>
  <c r="DU9" i="18"/>
  <c r="DU8" i="18"/>
  <c r="DY12" i="18"/>
  <c r="BE70" i="30"/>
  <c r="BE56" i="30"/>
  <c r="BT76" i="30"/>
  <c r="BT69" i="30"/>
  <c r="BT55" i="30"/>
  <c r="BT52" i="30"/>
  <c r="BT66" i="30"/>
  <c r="BX71" i="30"/>
  <c r="BX57" i="30"/>
  <c r="BX68" i="30"/>
  <c r="BX54" i="30"/>
  <c r="DW29" i="18"/>
  <c r="DW8" i="18"/>
  <c r="DS24" i="18"/>
  <c r="DS14" i="18"/>
  <c r="BJ69" i="30"/>
  <c r="BJ55" i="30"/>
  <c r="BM68" i="30"/>
  <c r="BM54" i="30"/>
  <c r="BV75" i="30"/>
  <c r="BV61" i="30"/>
  <c r="DV29" i="18"/>
  <c r="DV15" i="18"/>
  <c r="DV12" i="18"/>
  <c r="BF68" i="30"/>
  <c r="BF54" i="30"/>
  <c r="CB75" i="30"/>
  <c r="CB61" i="30"/>
  <c r="BN76" i="30"/>
  <c r="BN62" i="30"/>
  <c r="BZ75" i="30"/>
  <c r="BZ61" i="30"/>
  <c r="BD70" i="30"/>
  <c r="BD56" i="30"/>
  <c r="BD60" i="30"/>
  <c r="BD74" i="30"/>
  <c r="D39" i="18"/>
  <c r="BH62" i="30"/>
  <c r="BH76" i="30"/>
  <c r="BS69" i="31"/>
  <c r="BS55" i="31"/>
  <c r="BS60" i="30"/>
  <c r="BS74" i="30"/>
  <c r="CA68" i="30"/>
  <c r="CA54" i="30"/>
  <c r="DT29" i="18"/>
  <c r="DT18" i="18"/>
  <c r="DT11" i="18"/>
  <c r="DU27" i="18"/>
  <c r="DU20" i="18"/>
  <c r="DY15" i="18"/>
  <c r="DY4" i="18"/>
  <c r="BE65" i="30"/>
  <c r="BE51" i="30"/>
  <c r="BI62" i="30"/>
  <c r="BI76" i="30"/>
  <c r="BI69" i="30"/>
  <c r="BI55" i="30"/>
  <c r="BX76" i="30"/>
  <c r="BX62" i="30"/>
  <c r="BX69" i="30"/>
  <c r="BX55" i="30"/>
  <c r="BX52" i="30"/>
  <c r="BX66" i="30"/>
  <c r="DW16" i="18"/>
  <c r="DW5" i="18"/>
  <c r="DS26" i="18"/>
  <c r="BJ51" i="30"/>
  <c r="BJ65" i="30"/>
  <c r="BM55" i="31"/>
  <c r="BM69" i="31"/>
  <c r="BM74" i="30"/>
  <c r="BM60" i="30"/>
  <c r="BY61" i="30"/>
  <c r="BY75" i="30"/>
  <c r="DX29" i="18"/>
  <c r="BF69" i="31"/>
  <c r="BF55" i="31"/>
  <c r="BF74" i="30"/>
  <c r="BF60" i="30"/>
  <c r="CB45" i="30"/>
  <c r="BN71" i="30"/>
  <c r="BN57" i="30"/>
  <c r="BN61" i="30"/>
  <c r="BN75" i="30"/>
  <c r="BR76" i="30"/>
  <c r="BR62" i="30"/>
  <c r="BR55" i="30"/>
  <c r="BR69" i="30"/>
  <c r="BR52" i="30"/>
  <c r="BR66" i="30"/>
  <c r="BW72" i="30"/>
  <c r="BW58" i="30"/>
  <c r="BW59" i="30"/>
  <c r="BW73" i="30"/>
  <c r="BG28" i="18"/>
  <c r="DQ27" i="18"/>
  <c r="BG8" i="18"/>
  <c r="EA14" i="18"/>
  <c r="EA6" i="18"/>
  <c r="EA11" i="18"/>
  <c r="BD51" i="30"/>
  <c r="BD65" i="30"/>
  <c r="BD42" i="30"/>
  <c r="D33" i="18"/>
  <c r="BH69" i="31"/>
  <c r="BH55" i="31"/>
  <c r="BH74" i="30"/>
  <c r="BH60" i="30"/>
  <c r="BK68" i="30"/>
  <c r="BK54" i="30"/>
  <c r="CA56" i="30"/>
  <c r="CA70" i="30"/>
  <c r="DT4" i="18"/>
  <c r="DM3" i="18"/>
  <c r="DU3" i="18"/>
  <c r="DS3" i="18"/>
  <c r="DV3" i="18"/>
  <c r="DO3" i="18"/>
  <c r="DN3" i="18"/>
  <c r="DQ3" i="18"/>
  <c r="DT3" i="18"/>
  <c r="DW3" i="18"/>
  <c r="R59" i="32"/>
  <c r="R74" i="32"/>
  <c r="Q64" i="32"/>
  <c r="R72" i="32"/>
  <c r="R64" i="32"/>
  <c r="Q49" i="32"/>
  <c r="R49" i="32"/>
  <c r="AO45" i="5"/>
  <c r="N48" i="30"/>
  <c r="D67" i="18"/>
  <c r="D53" i="18"/>
  <c r="D66" i="18"/>
  <c r="D52" i="18"/>
  <c r="D59" i="18"/>
  <c r="D73" i="18"/>
  <c r="D65" i="18"/>
  <c r="D51" i="18"/>
  <c r="D75" i="18"/>
  <c r="D61" i="18"/>
  <c r="D54" i="18"/>
  <c r="D68" i="18"/>
  <c r="D74" i="18"/>
  <c r="D60" i="18"/>
  <c r="D70" i="18"/>
  <c r="D56" i="18"/>
  <c r="D71" i="18"/>
  <c r="D57" i="18"/>
  <c r="D55" i="18"/>
  <c r="D69" i="18"/>
  <c r="D62" i="18"/>
  <c r="D76" i="18"/>
  <c r="D58" i="18"/>
  <c r="D72" i="18"/>
  <c r="G14" i="5"/>
  <c r="G34" i="5"/>
  <c r="H72" i="5"/>
  <c r="H58" i="5"/>
  <c r="H52" i="5"/>
  <c r="H66" i="5"/>
  <c r="H61" i="5"/>
  <c r="G18" i="5"/>
  <c r="G75" i="5"/>
  <c r="H65" i="5"/>
  <c r="G21" i="5"/>
  <c r="G65" i="5"/>
  <c r="G23" i="5"/>
  <c r="G49" i="5"/>
  <c r="H73" i="5"/>
  <c r="H68" i="5"/>
  <c r="H54" i="5"/>
  <c r="G9" i="5"/>
  <c r="G54" i="5"/>
  <c r="G12" i="5"/>
  <c r="G74" i="5"/>
  <c r="F74" i="5"/>
  <c r="I74" i="5"/>
  <c r="H60" i="5"/>
  <c r="H74" i="5"/>
  <c r="G26" i="5"/>
  <c r="G36" i="5"/>
  <c r="G27" i="5"/>
  <c r="G30" i="5"/>
  <c r="I30" i="5"/>
  <c r="FJ3" i="18"/>
  <c r="FJ32" i="18"/>
  <c r="BE3" i="1"/>
  <c r="BD3" i="1"/>
  <c r="BY32" i="31"/>
  <c r="BK32" i="31"/>
  <c r="D32" i="31"/>
  <c r="CB32" i="31"/>
  <c r="CA32" i="31"/>
  <c r="BX32" i="31"/>
  <c r="BW32" i="31"/>
  <c r="BV32" i="31"/>
  <c r="BT32" i="31"/>
  <c r="BS32" i="31"/>
  <c r="BR32" i="31"/>
  <c r="BP32" i="31"/>
  <c r="BO32" i="31"/>
  <c r="BM32" i="31"/>
  <c r="BL32" i="31"/>
  <c r="BJ32" i="31"/>
  <c r="BI32" i="31"/>
  <c r="BH32" i="31"/>
  <c r="BG32" i="31"/>
  <c r="BF32" i="31"/>
  <c r="BE32" i="31"/>
  <c r="AB32" i="31"/>
  <c r="Z32" i="31"/>
  <c r="V32" i="31"/>
  <c r="T32" i="31"/>
  <c r="S32" i="31"/>
  <c r="R32" i="31"/>
  <c r="Q32" i="31"/>
  <c r="P32" i="31"/>
  <c r="O32" i="31"/>
  <c r="N32" i="31"/>
  <c r="M32" i="31"/>
  <c r="L32" i="31"/>
  <c r="J32" i="31"/>
  <c r="I32" i="31"/>
  <c r="H32" i="31"/>
  <c r="G32" i="31"/>
  <c r="F32" i="31"/>
  <c r="E32" i="31"/>
  <c r="AS63" i="32"/>
  <c r="AG35" i="5"/>
  <c r="AG57" i="5"/>
  <c r="AG71" i="5"/>
  <c r="AG43" i="5"/>
  <c r="AG76" i="5"/>
  <c r="AG62" i="5"/>
  <c r="AG69" i="5"/>
  <c r="AG55" i="5"/>
  <c r="AG74" i="5"/>
  <c r="AG60" i="5"/>
  <c r="AG39" i="5"/>
  <c r="AG46" i="5"/>
  <c r="AG68" i="5"/>
  <c r="AG54" i="5"/>
  <c r="AG41" i="5"/>
  <c r="AG73" i="5"/>
  <c r="AG59" i="5"/>
  <c r="AG67" i="5"/>
  <c r="AG53" i="5"/>
  <c r="AG40" i="5"/>
  <c r="AG49" i="5"/>
  <c r="AG65" i="5"/>
  <c r="AG51" i="5"/>
  <c r="AG70" i="5"/>
  <c r="AG56" i="5"/>
  <c r="AG42" i="5"/>
  <c r="AG75" i="5"/>
  <c r="AG61" i="5"/>
  <c r="AG66" i="5"/>
  <c r="AG72" i="5"/>
  <c r="AG58" i="5"/>
  <c r="AG44" i="5"/>
  <c r="AG38" i="5"/>
  <c r="W32" i="31"/>
  <c r="BQ3" i="18"/>
  <c r="BO3" i="18"/>
  <c r="BP3" i="18"/>
  <c r="BN3" i="18"/>
  <c r="H25" i="5"/>
  <c r="H64" i="5"/>
  <c r="AG32" i="5"/>
  <c r="AG45" i="5"/>
  <c r="AG47" i="5"/>
  <c r="AG34" i="5"/>
  <c r="AG52" i="5"/>
  <c r="AG37" i="5"/>
  <c r="AG36" i="5"/>
  <c r="D50" i="18"/>
  <c r="D64" i="18"/>
  <c r="AB50" i="31"/>
  <c r="AB64" i="31"/>
  <c r="R50" i="31"/>
  <c r="R64" i="31"/>
  <c r="I64" i="31"/>
  <c r="I50" i="31"/>
  <c r="X64" i="31"/>
  <c r="X50" i="31"/>
  <c r="O64" i="31"/>
  <c r="O50" i="31"/>
  <c r="D64" i="31"/>
  <c r="D50" i="31"/>
  <c r="AA64" i="31"/>
  <c r="AA50" i="31"/>
  <c r="Q64" i="31"/>
  <c r="Q50" i="31"/>
  <c r="H64" i="31"/>
  <c r="H50" i="31"/>
  <c r="Z64" i="31"/>
  <c r="Z50" i="31"/>
  <c r="P64" i="31"/>
  <c r="P50" i="31"/>
  <c r="G64" i="31"/>
  <c r="G50" i="31"/>
  <c r="AA32" i="31"/>
  <c r="W64" i="31"/>
  <c r="W50" i="31"/>
  <c r="E50" i="31"/>
  <c r="E64" i="31"/>
  <c r="S64" i="31"/>
  <c r="S50" i="31"/>
  <c r="J50" i="31"/>
  <c r="J64" i="31"/>
  <c r="V50" i="31"/>
  <c r="V64" i="31"/>
  <c r="M64" i="31"/>
  <c r="M50" i="31"/>
  <c r="K64" i="31"/>
  <c r="K50" i="31"/>
  <c r="T64" i="31"/>
  <c r="T50" i="31"/>
  <c r="L64" i="31"/>
  <c r="L50" i="31"/>
  <c r="CA50" i="30"/>
  <c r="CA64" i="30"/>
  <c r="BQ64" i="30"/>
  <c r="BQ50" i="30"/>
  <c r="BH50" i="30"/>
  <c r="BH64" i="30"/>
  <c r="BY50" i="30"/>
  <c r="BY64" i="30"/>
  <c r="BT50" i="30"/>
  <c r="BT64" i="30"/>
  <c r="BL64" i="30"/>
  <c r="BL50" i="30"/>
  <c r="BS50" i="30"/>
  <c r="BS64" i="30"/>
  <c r="BJ64" i="30"/>
  <c r="BJ50" i="30"/>
  <c r="BK64" i="30"/>
  <c r="BK50" i="30"/>
  <c r="CB64" i="30"/>
  <c r="CB50" i="30"/>
  <c r="BR64" i="30"/>
  <c r="BR50" i="30"/>
  <c r="BI64" i="30"/>
  <c r="BI50" i="30"/>
  <c r="BV64" i="31"/>
  <c r="BV50" i="31"/>
  <c r="BM64" i="31"/>
  <c r="BM50" i="31"/>
  <c r="BD64" i="31"/>
  <c r="BD50" i="31"/>
  <c r="BZ64" i="31"/>
  <c r="BZ50" i="31"/>
  <c r="BP64" i="31"/>
  <c r="BP50" i="31"/>
  <c r="BG50" i="31"/>
  <c r="BG64" i="31"/>
  <c r="BX50" i="31"/>
  <c r="BX64" i="31"/>
  <c r="BO50" i="31"/>
  <c r="BO64" i="31"/>
  <c r="BW64" i="31"/>
  <c r="BW50" i="31"/>
  <c r="BE64" i="31"/>
  <c r="BD32" i="31"/>
  <c r="BV64" i="30"/>
  <c r="BV50" i="30"/>
  <c r="BM64" i="30"/>
  <c r="BM50" i="30"/>
  <c r="BD50" i="30"/>
  <c r="BD64" i="30"/>
  <c r="BZ64" i="30"/>
  <c r="BZ50" i="30"/>
  <c r="BP64" i="30"/>
  <c r="BP50" i="30"/>
  <c r="BX64" i="30"/>
  <c r="BX50" i="30"/>
  <c r="BO64" i="30"/>
  <c r="BO50" i="30"/>
  <c r="BF50" i="30"/>
  <c r="BW64" i="30"/>
  <c r="BW50" i="30"/>
  <c r="BN64" i="30"/>
  <c r="BN50" i="30"/>
  <c r="BE64" i="30"/>
  <c r="BE50" i="30"/>
  <c r="CA64" i="31"/>
  <c r="CA50" i="31"/>
  <c r="BQ64" i="31"/>
  <c r="BQ50" i="31"/>
  <c r="BH50" i="31"/>
  <c r="BH64" i="31"/>
  <c r="BY64" i="31"/>
  <c r="BY50" i="31"/>
  <c r="BT64" i="31"/>
  <c r="BT50" i="31"/>
  <c r="BL64" i="31"/>
  <c r="BL50" i="31"/>
  <c r="BS64" i="31"/>
  <c r="BS50" i="31"/>
  <c r="BJ64" i="31"/>
  <c r="BJ50" i="31"/>
  <c r="BK64" i="31"/>
  <c r="BK50" i="31"/>
  <c r="CB64" i="31"/>
  <c r="CB50" i="31"/>
  <c r="BR64" i="31"/>
  <c r="BR50" i="31"/>
  <c r="BI64" i="31"/>
  <c r="BI50" i="31"/>
  <c r="AG31" i="5"/>
  <c r="AG33" i="5"/>
  <c r="AG50" i="5"/>
  <c r="AG48" i="5"/>
  <c r="AG64" i="5"/>
  <c r="AG63" i="5"/>
  <c r="E95" i="2"/>
  <c r="AA3" i="26"/>
  <c r="AA32" i="26"/>
  <c r="E53" i="2"/>
  <c r="AB3" i="26"/>
  <c r="AB3" i="28"/>
  <c r="AB32" i="28"/>
  <c r="Q73" i="2"/>
  <c r="Q45" i="2"/>
  <c r="Q42" i="2"/>
  <c r="Q39" i="2"/>
  <c r="AZ3" i="27"/>
  <c r="AZ32" i="27"/>
  <c r="BA3" i="26"/>
  <c r="AV3" i="27"/>
  <c r="AV32" i="27"/>
  <c r="BB3" i="26"/>
  <c r="AN3" i="27"/>
  <c r="AN32" i="27"/>
  <c r="G32" i="27"/>
  <c r="AF27" i="27"/>
  <c r="AF76" i="27"/>
  <c r="AF7" i="27"/>
  <c r="AG16" i="27"/>
  <c r="AI16" i="27"/>
  <c r="AI72" i="27"/>
  <c r="AJ25" i="27"/>
  <c r="AJ16" i="27"/>
  <c r="AJ7" i="27"/>
  <c r="BB30" i="26"/>
  <c r="BB35" i="26"/>
  <c r="BB29" i="26"/>
  <c r="BB29" i="27"/>
  <c r="BB28" i="26"/>
  <c r="BB43" i="26"/>
  <c r="BB27" i="26"/>
  <c r="BB76" i="26"/>
  <c r="BB26" i="26"/>
  <c r="BB25" i="26"/>
  <c r="BB25" i="27"/>
  <c r="BB64" i="27"/>
  <c r="BB24" i="26"/>
  <c r="BB69" i="26"/>
  <c r="BB23" i="26"/>
  <c r="BB49" i="26"/>
  <c r="BB22" i="26"/>
  <c r="BB37" i="26"/>
  <c r="BB21" i="26"/>
  <c r="BB21" i="27"/>
  <c r="BB20" i="26"/>
  <c r="BB20" i="27"/>
  <c r="BB19" i="26"/>
  <c r="BB42" i="26"/>
  <c r="BB18" i="26"/>
  <c r="BB75" i="26"/>
  <c r="BB17" i="26"/>
  <c r="BB17" i="27"/>
  <c r="BB16" i="26"/>
  <c r="BB15" i="26"/>
  <c r="BB14" i="26"/>
  <c r="BB34" i="26"/>
  <c r="BB13" i="26"/>
  <c r="BB33" i="26"/>
  <c r="BB12" i="26"/>
  <c r="BB12" i="27"/>
  <c r="BB11" i="26"/>
  <c r="BB39" i="26"/>
  <c r="BB10" i="26"/>
  <c r="BB46" i="26"/>
  <c r="BB9" i="26"/>
  <c r="BB68" i="26"/>
  <c r="BB8" i="26"/>
  <c r="BB7" i="26"/>
  <c r="BB73" i="26"/>
  <c r="BB6" i="26"/>
  <c r="BB47" i="26"/>
  <c r="BB5" i="26"/>
  <c r="BB5" i="27"/>
  <c r="BB67" i="27"/>
  <c r="BB4" i="26"/>
  <c r="BB40" i="26"/>
  <c r="BB2" i="26"/>
  <c r="BB38" i="26"/>
  <c r="AK26" i="27"/>
  <c r="AK36" i="27"/>
  <c r="AK25" i="27"/>
  <c r="AK64" i="27"/>
  <c r="AK12" i="27"/>
  <c r="AK74" i="27"/>
  <c r="AL27" i="27"/>
  <c r="AL62" i="27"/>
  <c r="AN25" i="27"/>
  <c r="AN12" i="27"/>
  <c r="AN60" i="27"/>
  <c r="AN8" i="27"/>
  <c r="AN41" i="27"/>
  <c r="AO27" i="27"/>
  <c r="AP27" i="27"/>
  <c r="AP25" i="28"/>
  <c r="AP50" i="28"/>
  <c r="AP7" i="27"/>
  <c r="AR25" i="27"/>
  <c r="AT7" i="27"/>
  <c r="AT73" i="27"/>
  <c r="AV7" i="27"/>
  <c r="AV73" i="27"/>
  <c r="AX16" i="27"/>
  <c r="AY22" i="27"/>
  <c r="AY37" i="27"/>
  <c r="AY12" i="27"/>
  <c r="AY74" i="27"/>
  <c r="AZ27" i="27"/>
  <c r="AZ16" i="27"/>
  <c r="AZ72" i="27"/>
  <c r="AZ12" i="27"/>
  <c r="AB29" i="26"/>
  <c r="AB26" i="26"/>
  <c r="AB17" i="26"/>
  <c r="AB14" i="26"/>
  <c r="AB34" i="26"/>
  <c r="AB5" i="26"/>
  <c r="AB5" i="27"/>
  <c r="AL25" i="28"/>
  <c r="AL50" i="28"/>
  <c r="BB72" i="26"/>
  <c r="BB58" i="26"/>
  <c r="M35" i="27"/>
  <c r="H36" i="27"/>
  <c r="Y40" i="27"/>
  <c r="G40" i="27"/>
  <c r="G49" i="27"/>
  <c r="G43" i="27"/>
  <c r="AS5" i="27"/>
  <c r="AS67" i="27"/>
  <c r="AS14" i="27"/>
  <c r="AS34" i="27"/>
  <c r="AS16" i="27"/>
  <c r="AS17" i="27"/>
  <c r="AS66" i="27"/>
  <c r="AS24" i="27"/>
  <c r="AS69" i="27"/>
  <c r="AS29" i="27"/>
  <c r="AS71" i="27"/>
  <c r="AZ6" i="27"/>
  <c r="AZ47" i="27"/>
  <c r="AZ22" i="27"/>
  <c r="AZ37" i="27"/>
  <c r="AY7" i="27"/>
  <c r="AY10" i="27"/>
  <c r="AY46" i="27"/>
  <c r="AY26" i="27"/>
  <c r="AY36" i="27"/>
  <c r="AY20" i="27"/>
  <c r="AY70" i="27"/>
  <c r="AY21" i="27"/>
  <c r="AY51" i="27"/>
  <c r="AY25" i="27"/>
  <c r="AX30" i="27"/>
  <c r="AX35" i="27"/>
  <c r="AX24" i="27"/>
  <c r="AX55" i="27"/>
  <c r="AX27" i="27"/>
  <c r="AV12" i="27"/>
  <c r="AV16" i="27"/>
  <c r="AV72" i="27"/>
  <c r="AV28" i="27"/>
  <c r="AV43" i="27"/>
  <c r="AT2" i="27"/>
  <c r="AT38" i="27"/>
  <c r="AT6" i="27"/>
  <c r="AT47" i="27"/>
  <c r="AT22" i="27"/>
  <c r="AT37" i="27"/>
  <c r="AT15" i="27"/>
  <c r="AT44" i="27"/>
  <c r="AT18" i="27"/>
  <c r="AT61" i="27"/>
  <c r="AR4" i="27"/>
  <c r="AR40" i="27"/>
  <c r="AR26" i="27"/>
  <c r="AR36" i="27"/>
  <c r="AQ8" i="27"/>
  <c r="AQ41" i="27"/>
  <c r="AQ11" i="27"/>
  <c r="AQ39" i="27"/>
  <c r="AQ13" i="27"/>
  <c r="AQ33" i="27"/>
  <c r="AQ30" i="27"/>
  <c r="AQ35" i="27"/>
  <c r="AQ25" i="27"/>
  <c r="AQ64" i="27"/>
  <c r="AQ27" i="27"/>
  <c r="AQ76" i="27"/>
  <c r="AP5" i="27"/>
  <c r="AP9" i="27"/>
  <c r="AP68" i="27"/>
  <c r="AP12" i="27"/>
  <c r="AP60" i="27"/>
  <c r="AP14" i="27"/>
  <c r="AP34" i="27"/>
  <c r="AP16" i="27"/>
  <c r="AP58" i="27"/>
  <c r="AP17" i="27"/>
  <c r="AP52" i="27"/>
  <c r="AP21" i="27"/>
  <c r="AP65" i="27"/>
  <c r="AP24" i="27"/>
  <c r="AP69" i="27"/>
  <c r="AP28" i="27"/>
  <c r="AP43" i="27"/>
  <c r="AP29" i="27"/>
  <c r="AO2" i="27"/>
  <c r="AO38" i="27"/>
  <c r="AO5" i="27"/>
  <c r="AO67" i="27"/>
  <c r="AO6" i="27"/>
  <c r="AO47" i="27"/>
  <c r="AO9" i="27"/>
  <c r="AO54" i="27"/>
  <c r="AO22" i="27"/>
  <c r="AO37" i="27"/>
  <c r="AO15" i="27"/>
  <c r="AO44" i="27"/>
  <c r="AO18" i="27"/>
  <c r="AO21" i="27"/>
  <c r="AO51" i="27"/>
  <c r="AO24" i="27"/>
  <c r="AO25" i="27"/>
  <c r="AO50" i="27"/>
  <c r="AO29" i="27"/>
  <c r="AN4" i="27"/>
  <c r="AN40" i="27"/>
  <c r="AN7" i="27"/>
  <c r="AN73" i="27"/>
  <c r="AN10" i="27"/>
  <c r="AN46" i="27"/>
  <c r="AN18" i="27"/>
  <c r="AN61" i="27"/>
  <c r="AN19" i="27"/>
  <c r="AN42" i="27"/>
  <c r="AN26" i="27"/>
  <c r="AN36" i="27"/>
  <c r="AL8" i="27"/>
  <c r="AL41" i="27"/>
  <c r="AL10" i="27"/>
  <c r="AL46" i="27"/>
  <c r="AL12" i="27"/>
  <c r="AL60" i="27"/>
  <c r="AL26" i="27"/>
  <c r="AL36" i="27"/>
  <c r="AL21" i="27"/>
  <c r="AL24" i="27"/>
  <c r="AL69" i="27"/>
  <c r="AL28" i="27"/>
  <c r="AL43" i="27"/>
  <c r="AL29" i="27"/>
  <c r="AL71" i="27"/>
  <c r="AK5" i="27"/>
  <c r="AK9" i="27"/>
  <c r="AK54" i="27"/>
  <c r="AK13" i="27"/>
  <c r="AK33" i="27"/>
  <c r="AK30" i="27"/>
  <c r="AK35" i="27"/>
  <c r="AK15" i="27"/>
  <c r="AK44" i="27"/>
  <c r="AK17" i="27"/>
  <c r="AK52" i="27"/>
  <c r="AK24" i="27"/>
  <c r="AK55" i="27"/>
  <c r="AK29" i="27"/>
  <c r="BB4" i="27"/>
  <c r="BB40" i="27"/>
  <c r="BB6" i="27"/>
  <c r="BB47" i="27"/>
  <c r="BB7" i="27"/>
  <c r="BB13" i="27"/>
  <c r="BB33" i="27"/>
  <c r="BB14" i="27"/>
  <c r="BB34" i="27"/>
  <c r="BB16" i="27"/>
  <c r="BB27" i="27"/>
  <c r="BB28" i="27"/>
  <c r="BB43" i="27"/>
  <c r="AJ2" i="27"/>
  <c r="AJ38" i="27"/>
  <c r="AJ11" i="27"/>
  <c r="AJ39" i="27"/>
  <c r="AJ14" i="27"/>
  <c r="AJ34" i="27"/>
  <c r="AJ18" i="27"/>
  <c r="AI2" i="27"/>
  <c r="AI38" i="27"/>
  <c r="AI7" i="27"/>
  <c r="AI15" i="27"/>
  <c r="AI44" i="27"/>
  <c r="AI23" i="27"/>
  <c r="AI49" i="27"/>
  <c r="AH7" i="27"/>
  <c r="AH59" i="27"/>
  <c r="AH10" i="27"/>
  <c r="AH46" i="27"/>
  <c r="AH11" i="27"/>
  <c r="AH39" i="27"/>
  <c r="AH19" i="27"/>
  <c r="AH42" i="27"/>
  <c r="AH23" i="27"/>
  <c r="AH49" i="27"/>
  <c r="AH27" i="27"/>
  <c r="AH62" i="27"/>
  <c r="AG8" i="27"/>
  <c r="AG41" i="27"/>
  <c r="AG11" i="27"/>
  <c r="AG39" i="27"/>
  <c r="AG14" i="27"/>
  <c r="AG34" i="27"/>
  <c r="AG17" i="27"/>
  <c r="AG19" i="27"/>
  <c r="AG42" i="27"/>
  <c r="AG20" i="27"/>
  <c r="AG70" i="27"/>
  <c r="AG25" i="27"/>
  <c r="AG50" i="27"/>
  <c r="AG27" i="27"/>
  <c r="AG29" i="27"/>
  <c r="AG57" i="27"/>
  <c r="AF2" i="27"/>
  <c r="AF38" i="27"/>
  <c r="AF5" i="27"/>
  <c r="AF53" i="27"/>
  <c r="AF9" i="27"/>
  <c r="AF12" i="27"/>
  <c r="AF74" i="27"/>
  <c r="AF14" i="27"/>
  <c r="AF34" i="27"/>
  <c r="AF17" i="27"/>
  <c r="AF52" i="27"/>
  <c r="AF18" i="27"/>
  <c r="AF21" i="27"/>
  <c r="AF51" i="27"/>
  <c r="AF24" i="27"/>
  <c r="AF69" i="27"/>
  <c r="AF28" i="27"/>
  <c r="AF43" i="27"/>
  <c r="AF29" i="27"/>
  <c r="AF71" i="27"/>
  <c r="Y57" i="27"/>
  <c r="Y71" i="27"/>
  <c r="G67" i="27"/>
  <c r="G53" i="27"/>
  <c r="N68" i="27"/>
  <c r="N54" i="27"/>
  <c r="G71" i="27"/>
  <c r="G57" i="27"/>
  <c r="L69" i="27"/>
  <c r="L55" i="27"/>
  <c r="G68" i="27"/>
  <c r="G54" i="27"/>
  <c r="L53" i="27"/>
  <c r="L67" i="27"/>
  <c r="W51" i="27"/>
  <c r="AO65" i="27"/>
  <c r="H57" i="27"/>
  <c r="G52" i="27"/>
  <c r="G66" i="27"/>
  <c r="J66" i="27"/>
  <c r="J52" i="27"/>
  <c r="L54" i="27"/>
  <c r="L68" i="27"/>
  <c r="W70" i="27"/>
  <c r="W56" i="27"/>
  <c r="AP72" i="27"/>
  <c r="J55" i="27"/>
  <c r="J69" i="27"/>
  <c r="G65" i="27"/>
  <c r="G51" i="27"/>
  <c r="H65" i="27"/>
  <c r="H51" i="27"/>
  <c r="Z67" i="27"/>
  <c r="Z53" i="27"/>
  <c r="Y70" i="27"/>
  <c r="Y56" i="27"/>
  <c r="Z31" i="4"/>
  <c r="AZ25" i="1"/>
  <c r="AL23" i="36"/>
  <c r="BA24" i="1"/>
  <c r="AZ24" i="1"/>
  <c r="BG23" i="36"/>
  <c r="BA25" i="1"/>
  <c r="BX19" i="36"/>
  <c r="BY19" i="36"/>
  <c r="BX13" i="36"/>
  <c r="BY13" i="36"/>
  <c r="BX5" i="36"/>
  <c r="BY5" i="36"/>
  <c r="Z4" i="36"/>
  <c r="AY4" i="36"/>
  <c r="AZ4" i="36"/>
  <c r="AA4" i="36"/>
  <c r="AZ30" i="36"/>
  <c r="AA30" i="36"/>
  <c r="Z30" i="36"/>
  <c r="AY30" i="36"/>
  <c r="BX16" i="36"/>
  <c r="BY16" i="36"/>
  <c r="BX14" i="36"/>
  <c r="BY14" i="36"/>
  <c r="BX9" i="36"/>
  <c r="BY9" i="36"/>
  <c r="AZ12" i="36"/>
  <c r="AA12" i="36"/>
  <c r="AY12" i="36"/>
  <c r="Z12" i="36"/>
  <c r="AZ11" i="36"/>
  <c r="AA11" i="36"/>
  <c r="AY11" i="36"/>
  <c r="Z11" i="36"/>
  <c r="BY28" i="36"/>
  <c r="BX28" i="36"/>
  <c r="AY19" i="36"/>
  <c r="Z19" i="36"/>
  <c r="AZ19" i="36"/>
  <c r="AA19" i="36"/>
  <c r="Z5" i="36"/>
  <c r="AZ5" i="36"/>
  <c r="AA5" i="36"/>
  <c r="AY5" i="36"/>
  <c r="BX4" i="36"/>
  <c r="BY4" i="36"/>
  <c r="BY30" i="36"/>
  <c r="BX30" i="36"/>
  <c r="AY16" i="36"/>
  <c r="Z16" i="36"/>
  <c r="AZ16" i="36"/>
  <c r="AA16" i="36"/>
  <c r="AY9" i="36"/>
  <c r="Z9" i="36"/>
  <c r="AZ9" i="36"/>
  <c r="AA9" i="36"/>
  <c r="BX15" i="36"/>
  <c r="BY15" i="36"/>
  <c r="BY12" i="36"/>
  <c r="BX12" i="36"/>
  <c r="BY11" i="36"/>
  <c r="BX11" i="36"/>
  <c r="AZ27" i="36"/>
  <c r="AA27" i="36"/>
  <c r="AY27" i="36"/>
  <c r="Z27" i="36"/>
  <c r="BX21" i="36"/>
  <c r="BY21" i="36"/>
  <c r="AY2" i="36"/>
  <c r="Z2" i="36"/>
  <c r="AZ2" i="36"/>
  <c r="AA2" i="36"/>
  <c r="AZ10" i="36"/>
  <c r="AA10" i="36"/>
  <c r="AY10" i="36"/>
  <c r="Z10" i="36"/>
  <c r="Z8" i="36"/>
  <c r="AZ8" i="36"/>
  <c r="AA8" i="36"/>
  <c r="AY8" i="36"/>
  <c r="AZ26" i="36"/>
  <c r="AA26" i="36"/>
  <c r="AY26" i="36"/>
  <c r="Z26" i="36"/>
  <c r="BX7" i="36"/>
  <c r="BY7" i="36"/>
  <c r="BY29" i="36"/>
  <c r="BX29" i="36"/>
  <c r="AY22" i="36"/>
  <c r="Z22" i="36"/>
  <c r="AA22" i="36"/>
  <c r="AZ22" i="36"/>
  <c r="AY20" i="36"/>
  <c r="Z20" i="36"/>
  <c r="AA20" i="36"/>
  <c r="AZ20" i="36"/>
  <c r="AY17" i="36"/>
  <c r="Z17" i="36"/>
  <c r="AA17" i="36"/>
  <c r="AZ17" i="36"/>
  <c r="AZ6" i="36"/>
  <c r="AY6" i="36"/>
  <c r="Z6" i="36"/>
  <c r="AA6" i="36"/>
  <c r="AY21" i="36"/>
  <c r="Z21" i="36"/>
  <c r="AZ21" i="36"/>
  <c r="AA21" i="36"/>
  <c r="AY18" i="36"/>
  <c r="Z18" i="36"/>
  <c r="AZ18" i="36"/>
  <c r="AA18" i="36"/>
  <c r="BX2" i="36"/>
  <c r="BY2" i="36"/>
  <c r="BY10" i="36"/>
  <c r="BX10" i="36"/>
  <c r="BY26" i="36"/>
  <c r="BX26" i="36"/>
  <c r="AY7" i="36"/>
  <c r="AZ7" i="36"/>
  <c r="AA7" i="36"/>
  <c r="Z7" i="36"/>
  <c r="AZ29" i="36"/>
  <c r="AA29" i="36"/>
  <c r="AY29" i="36"/>
  <c r="Z29" i="36"/>
  <c r="BX22" i="36"/>
  <c r="BY22" i="36"/>
  <c r="BX20" i="36"/>
  <c r="BY20" i="36"/>
  <c r="BX17" i="36"/>
  <c r="BY17" i="36"/>
  <c r="BX6" i="36"/>
  <c r="BY6" i="36"/>
  <c r="BE30" i="1"/>
  <c r="BD30" i="1"/>
  <c r="BE29" i="1"/>
  <c r="BD29" i="1"/>
  <c r="BE28" i="1"/>
  <c r="BD28" i="1"/>
  <c r="BE27" i="1"/>
  <c r="BD27" i="1"/>
  <c r="BE26" i="1"/>
  <c r="BD26" i="1"/>
  <c r="BE25" i="1"/>
  <c r="BD25" i="1"/>
  <c r="BE24" i="1"/>
  <c r="BD24" i="1"/>
  <c r="BE23" i="1"/>
  <c r="BD23" i="1"/>
  <c r="BE22" i="1"/>
  <c r="BE21" i="1"/>
  <c r="BD21" i="1"/>
  <c r="BE20" i="1"/>
  <c r="BD20" i="1"/>
  <c r="BE19" i="1"/>
  <c r="BD19" i="1"/>
  <c r="BE18" i="1"/>
  <c r="BD18" i="1"/>
  <c r="BE17" i="1"/>
  <c r="BD17" i="1"/>
  <c r="BE16" i="1"/>
  <c r="BD16" i="1"/>
  <c r="BE15" i="1"/>
  <c r="BD15" i="1"/>
  <c r="BE14" i="1"/>
  <c r="BD14" i="1"/>
  <c r="BE13" i="1"/>
  <c r="BD13" i="1"/>
  <c r="BE12" i="1"/>
  <c r="BD12" i="1"/>
  <c r="BE11" i="1"/>
  <c r="BD11" i="1"/>
  <c r="BE10" i="1"/>
  <c r="BD10" i="1"/>
  <c r="BE9" i="1"/>
  <c r="BD9" i="1"/>
  <c r="BE8" i="1"/>
  <c r="BD8" i="1"/>
  <c r="BE7" i="1"/>
  <c r="BD7" i="1"/>
  <c r="BE6" i="1"/>
  <c r="BD6" i="1"/>
  <c r="BE5" i="1"/>
  <c r="BD5" i="1"/>
  <c r="BE4" i="1"/>
  <c r="BD4" i="1"/>
  <c r="BE2" i="1"/>
  <c r="BD2" i="1"/>
  <c r="BF47" i="31"/>
  <c r="F47" i="31"/>
  <c r="F45" i="31"/>
  <c r="J47" i="31"/>
  <c r="J45" i="31"/>
  <c r="BN47" i="31"/>
  <c r="BN45" i="31"/>
  <c r="N47" i="31"/>
  <c r="N45" i="31"/>
  <c r="BR47" i="31"/>
  <c r="BR45" i="31"/>
  <c r="R47" i="31"/>
  <c r="R45" i="31"/>
  <c r="BW47" i="31"/>
  <c r="BW45" i="31"/>
  <c r="CA47" i="31"/>
  <c r="AA47" i="31"/>
  <c r="AA45" i="31"/>
  <c r="BG47" i="31"/>
  <c r="G47" i="31"/>
  <c r="G45" i="31"/>
  <c r="BK47" i="31"/>
  <c r="K47" i="31"/>
  <c r="K45" i="31"/>
  <c r="O47" i="31"/>
  <c r="O45" i="31"/>
  <c r="BS47" i="31"/>
  <c r="BS45" i="31"/>
  <c r="S47" i="31"/>
  <c r="S45" i="31"/>
  <c r="X47" i="31"/>
  <c r="X45" i="31"/>
  <c r="CB47" i="31"/>
  <c r="AB47" i="31"/>
  <c r="AB45" i="31"/>
  <c r="D47" i="31"/>
  <c r="BH47" i="31"/>
  <c r="BH45" i="31"/>
  <c r="H47" i="31"/>
  <c r="BL47" i="31"/>
  <c r="BL45" i="31"/>
  <c r="L47" i="31"/>
  <c r="L45" i="31"/>
  <c r="BP47" i="31"/>
  <c r="BP45" i="31"/>
  <c r="P47" i="31"/>
  <c r="P45" i="31"/>
  <c r="T47" i="31"/>
  <c r="T45" i="31"/>
  <c r="BY47" i="31"/>
  <c r="BY45" i="31"/>
  <c r="Y47" i="31"/>
  <c r="Y45" i="31"/>
  <c r="BE47" i="31"/>
  <c r="E47" i="31"/>
  <c r="BI47" i="31"/>
  <c r="BI45" i="31"/>
  <c r="I47" i="31"/>
  <c r="I45" i="31"/>
  <c r="BM47" i="31"/>
  <c r="BM45" i="31"/>
  <c r="M47" i="31"/>
  <c r="BQ47" i="31"/>
  <c r="BQ45" i="31"/>
  <c r="Q47" i="31"/>
  <c r="BV47" i="31"/>
  <c r="BZ47" i="31"/>
  <c r="BZ45" i="31"/>
  <c r="Z47" i="31"/>
  <c r="Z45" i="31"/>
  <c r="BF37" i="31"/>
  <c r="F37" i="31"/>
  <c r="BJ37" i="31"/>
  <c r="J37" i="31"/>
  <c r="BN37" i="31"/>
  <c r="N37" i="31"/>
  <c r="BR37" i="31"/>
  <c r="R37" i="31"/>
  <c r="BW37" i="31"/>
  <c r="CA37" i="31"/>
  <c r="AA37" i="31"/>
  <c r="BG37" i="31"/>
  <c r="G37" i="31"/>
  <c r="BK37" i="31"/>
  <c r="O37" i="31"/>
  <c r="BS37" i="31"/>
  <c r="S37" i="31"/>
  <c r="BX37" i="31"/>
  <c r="X37" i="31"/>
  <c r="CB37" i="31"/>
  <c r="AB37" i="31"/>
  <c r="D37" i="31"/>
  <c r="BH37" i="31"/>
  <c r="H37" i="31"/>
  <c r="BL37" i="31"/>
  <c r="L37" i="31"/>
  <c r="BP37" i="31"/>
  <c r="P37" i="31"/>
  <c r="BT37" i="31"/>
  <c r="T37" i="31"/>
  <c r="BY37" i="31"/>
  <c r="Y37" i="31"/>
  <c r="BE37" i="31"/>
  <c r="E37" i="31"/>
  <c r="BI37" i="31"/>
  <c r="I37" i="31"/>
  <c r="BM37" i="31"/>
  <c r="M37" i="31"/>
  <c r="BQ37" i="31"/>
  <c r="Q37" i="31"/>
  <c r="BV37" i="31"/>
  <c r="V37" i="31"/>
  <c r="Z37" i="31"/>
  <c r="BH36" i="31"/>
  <c r="H36" i="31"/>
  <c r="BL36" i="31"/>
  <c r="L36" i="31"/>
  <c r="BP36" i="31"/>
  <c r="P36" i="31"/>
  <c r="BT36" i="31"/>
  <c r="T36" i="31"/>
  <c r="BY36" i="31"/>
  <c r="Y36" i="31"/>
  <c r="BE36" i="31"/>
  <c r="E36" i="31"/>
  <c r="BI36" i="31"/>
  <c r="I36" i="31"/>
  <c r="BM36" i="31"/>
  <c r="M36" i="31"/>
  <c r="BQ36" i="31"/>
  <c r="Q36" i="31"/>
  <c r="BV36" i="31"/>
  <c r="V36" i="31"/>
  <c r="BZ36" i="31"/>
  <c r="Z36" i="31"/>
  <c r="F36" i="31"/>
  <c r="BJ36" i="31"/>
  <c r="J36" i="31"/>
  <c r="BN36" i="31"/>
  <c r="N36" i="31"/>
  <c r="BR36" i="31"/>
  <c r="BW36" i="31"/>
  <c r="CA36" i="31"/>
  <c r="AA36" i="31"/>
  <c r="BG36" i="31"/>
  <c r="BK36" i="31"/>
  <c r="K36" i="31"/>
  <c r="BO36" i="31"/>
  <c r="O36" i="31"/>
  <c r="BS36" i="31"/>
  <c r="S36" i="31"/>
  <c r="BX36" i="31"/>
  <c r="X36" i="31"/>
  <c r="CB36" i="31"/>
  <c r="AB36" i="31"/>
  <c r="BF41" i="31"/>
  <c r="BJ41" i="31"/>
  <c r="J41" i="31"/>
  <c r="N41" i="31"/>
  <c r="BR41" i="31"/>
  <c r="BW41" i="31"/>
  <c r="AA41" i="31"/>
  <c r="BG41" i="31"/>
  <c r="G41" i="31"/>
  <c r="BK41" i="31"/>
  <c r="K41" i="31"/>
  <c r="O41" i="31"/>
  <c r="BS41" i="31"/>
  <c r="S41" i="31"/>
  <c r="BX41" i="31"/>
  <c r="X41" i="31"/>
  <c r="CB41" i="31"/>
  <c r="AB41" i="31"/>
  <c r="D41" i="31"/>
  <c r="H41" i="31"/>
  <c r="L41" i="31"/>
  <c r="BL41" i="31"/>
  <c r="P41" i="31"/>
  <c r="BP41" i="31"/>
  <c r="BT41" i="31"/>
  <c r="T41" i="31"/>
  <c r="Y41" i="31"/>
  <c r="BE41" i="31"/>
  <c r="E41" i="31"/>
  <c r="BI41" i="31"/>
  <c r="I41" i="31"/>
  <c r="BM41" i="31"/>
  <c r="BQ41" i="31"/>
  <c r="Q41" i="31"/>
  <c r="BV41" i="31"/>
  <c r="V41" i="31"/>
  <c r="BZ41" i="31"/>
  <c r="Z41" i="31"/>
  <c r="F2" i="31"/>
  <c r="F38" i="31"/>
  <c r="BF38" i="31"/>
  <c r="BJ38" i="31"/>
  <c r="J2" i="31"/>
  <c r="J38" i="31"/>
  <c r="BN38" i="31"/>
  <c r="N2" i="31"/>
  <c r="N38" i="31"/>
  <c r="BR38" i="31"/>
  <c r="R2" i="31"/>
  <c r="R38" i="31"/>
  <c r="W2" i="31"/>
  <c r="BW38" i="31"/>
  <c r="CA38" i="31"/>
  <c r="AA38" i="31"/>
  <c r="BG38" i="31"/>
  <c r="G2" i="31"/>
  <c r="G38" i="31"/>
  <c r="BK38" i="31"/>
  <c r="K2" i="31"/>
  <c r="K38" i="31"/>
  <c r="BO38" i="31"/>
  <c r="O2" i="31"/>
  <c r="O38" i="31"/>
  <c r="BS38" i="31"/>
  <c r="S2" i="31"/>
  <c r="S38" i="31"/>
  <c r="BX38" i="31"/>
  <c r="X2" i="31"/>
  <c r="X38" i="31"/>
  <c r="CB38" i="31"/>
  <c r="AB38" i="31"/>
  <c r="H2" i="31"/>
  <c r="H38" i="31"/>
  <c r="BH38" i="31"/>
  <c r="BL38" i="31"/>
  <c r="L2" i="31"/>
  <c r="L38" i="31"/>
  <c r="P2" i="31"/>
  <c r="P38" i="31"/>
  <c r="BP38" i="31"/>
  <c r="T2" i="31"/>
  <c r="T38" i="31"/>
  <c r="Y2" i="31"/>
  <c r="Y38" i="31"/>
  <c r="BE38" i="31"/>
  <c r="E2" i="31"/>
  <c r="BI38" i="31"/>
  <c r="I2" i="31"/>
  <c r="I38" i="31"/>
  <c r="BM38" i="31"/>
  <c r="M2" i="31"/>
  <c r="M38" i="31"/>
  <c r="BQ38" i="31"/>
  <c r="Q2" i="31"/>
  <c r="Q38" i="31"/>
  <c r="BV38" i="31"/>
  <c r="V2" i="31"/>
  <c r="V38" i="31"/>
  <c r="BZ38" i="31"/>
  <c r="Z2" i="31"/>
  <c r="Z38" i="31"/>
  <c r="BH34" i="31"/>
  <c r="H34" i="31"/>
  <c r="BL34" i="31"/>
  <c r="L34" i="31"/>
  <c r="BP34" i="31"/>
  <c r="P34" i="31"/>
  <c r="BT34" i="31"/>
  <c r="T34" i="31"/>
  <c r="BY34" i="31"/>
  <c r="Y34" i="31"/>
  <c r="E34" i="31"/>
  <c r="I34" i="31"/>
  <c r="M34" i="31"/>
  <c r="BM34" i="31"/>
  <c r="Q34" i="31"/>
  <c r="BQ34" i="31"/>
  <c r="V34" i="31"/>
  <c r="BV34" i="31"/>
  <c r="BZ34" i="31"/>
  <c r="Z34" i="31"/>
  <c r="F34" i="31"/>
  <c r="BF34" i="31"/>
  <c r="BJ34" i="31"/>
  <c r="J34" i="31"/>
  <c r="BN34" i="31"/>
  <c r="R34" i="31"/>
  <c r="BR34" i="31"/>
  <c r="BW34" i="31"/>
  <c r="CA34" i="31"/>
  <c r="AA34" i="31"/>
  <c r="G34" i="31"/>
  <c r="BG34" i="31"/>
  <c r="BK34" i="31"/>
  <c r="K34" i="31"/>
  <c r="BO34" i="31"/>
  <c r="O34" i="31"/>
  <c r="BS34" i="31"/>
  <c r="S34" i="31"/>
  <c r="X34" i="31"/>
  <c r="BX34" i="31"/>
  <c r="CB34" i="31"/>
  <c r="AB34" i="31"/>
  <c r="BH33" i="31"/>
  <c r="H33" i="31"/>
  <c r="L33" i="31"/>
  <c r="BP33" i="31"/>
  <c r="P33" i="31"/>
  <c r="BT33" i="31"/>
  <c r="T33" i="31"/>
  <c r="BY33" i="31"/>
  <c r="Y33" i="31"/>
  <c r="BE33" i="31"/>
  <c r="E33" i="31"/>
  <c r="BI33" i="31"/>
  <c r="I33" i="31"/>
  <c r="BM33" i="31"/>
  <c r="M33" i="31"/>
  <c r="BQ33" i="31"/>
  <c r="Q33" i="31"/>
  <c r="BV33" i="31"/>
  <c r="V33" i="31"/>
  <c r="BZ33" i="31"/>
  <c r="Z33" i="31"/>
  <c r="BF33" i="31"/>
  <c r="F33" i="31"/>
  <c r="BJ33" i="31"/>
  <c r="J33" i="31"/>
  <c r="BN33" i="31"/>
  <c r="N33" i="31"/>
  <c r="BR33" i="31"/>
  <c r="R33" i="31"/>
  <c r="BW33" i="31"/>
  <c r="CA33" i="31"/>
  <c r="AA33" i="31"/>
  <c r="BG33" i="31"/>
  <c r="G33" i="31"/>
  <c r="BK33" i="31"/>
  <c r="K33" i="31"/>
  <c r="BO33" i="31"/>
  <c r="O33" i="31"/>
  <c r="BS33" i="31"/>
  <c r="S33" i="31"/>
  <c r="BX33" i="31"/>
  <c r="X33" i="31"/>
  <c r="CB33" i="31"/>
  <c r="AB33" i="31"/>
  <c r="D42" i="31"/>
  <c r="BH42" i="31"/>
  <c r="H42" i="31"/>
  <c r="BL42" i="31"/>
  <c r="L42" i="31"/>
  <c r="BP42" i="31"/>
  <c r="P42" i="31"/>
  <c r="T42" i="31"/>
  <c r="BY42" i="31"/>
  <c r="Y42" i="31"/>
  <c r="BE42" i="31"/>
  <c r="E42" i="31"/>
  <c r="BI42" i="31"/>
  <c r="I42" i="31"/>
  <c r="BM42" i="31"/>
  <c r="M42" i="31"/>
  <c r="BQ42" i="31"/>
  <c r="Q42" i="31"/>
  <c r="BV42" i="31"/>
  <c r="V42" i="31"/>
  <c r="BZ42" i="31"/>
  <c r="Z42" i="31"/>
  <c r="F42" i="31"/>
  <c r="BJ42" i="31"/>
  <c r="J42" i="31"/>
  <c r="BN42" i="31"/>
  <c r="N42" i="31"/>
  <c r="R42" i="31"/>
  <c r="BW42" i="31"/>
  <c r="CA42" i="31"/>
  <c r="BG42" i="31"/>
  <c r="G42" i="31"/>
  <c r="BK42" i="31"/>
  <c r="K42" i="31"/>
  <c r="BO42" i="31"/>
  <c r="O42" i="31"/>
  <c r="BS42" i="31"/>
  <c r="S42" i="31"/>
  <c r="BX42" i="31"/>
  <c r="CB42" i="31"/>
  <c r="AB42" i="31"/>
  <c r="D39" i="31"/>
  <c r="H39" i="31"/>
  <c r="BH39" i="31"/>
  <c r="BL39" i="31"/>
  <c r="P39" i="31"/>
  <c r="BT39" i="31"/>
  <c r="T39" i="31"/>
  <c r="Y39" i="31"/>
  <c r="BY39" i="31"/>
  <c r="BE39" i="31"/>
  <c r="E39" i="31"/>
  <c r="BI39" i="31"/>
  <c r="I39" i="31"/>
  <c r="BM39" i="31"/>
  <c r="M39" i="31"/>
  <c r="BQ39" i="31"/>
  <c r="Q39" i="31"/>
  <c r="BV39" i="31"/>
  <c r="V39" i="31"/>
  <c r="BZ39" i="31"/>
  <c r="Z39" i="31"/>
  <c r="BF39" i="31"/>
  <c r="F39" i="31"/>
  <c r="BJ39" i="31"/>
  <c r="J39" i="31"/>
  <c r="BN39" i="31"/>
  <c r="N39" i="31"/>
  <c r="BR39" i="31"/>
  <c r="R39" i="31"/>
  <c r="BW39" i="31"/>
  <c r="CA39" i="31"/>
  <c r="AA39" i="31"/>
  <c r="BG39" i="31"/>
  <c r="G39" i="31"/>
  <c r="BK39" i="31"/>
  <c r="K39" i="31"/>
  <c r="BO39" i="31"/>
  <c r="O39" i="31"/>
  <c r="BS39" i="31"/>
  <c r="S39" i="31"/>
  <c r="BX39" i="31"/>
  <c r="X39" i="31"/>
  <c r="CB39" i="31"/>
  <c r="AB39" i="31"/>
  <c r="D44" i="31"/>
  <c r="BH44" i="31"/>
  <c r="H44" i="31"/>
  <c r="BL44" i="31"/>
  <c r="L44" i="31"/>
  <c r="BP44" i="31"/>
  <c r="P44" i="31"/>
  <c r="BT44" i="31"/>
  <c r="T44" i="31"/>
  <c r="BY44" i="31"/>
  <c r="Y44" i="31"/>
  <c r="BE44" i="31"/>
  <c r="E44" i="31"/>
  <c r="BI44" i="31"/>
  <c r="I44" i="31"/>
  <c r="BM44" i="31"/>
  <c r="M44" i="31"/>
  <c r="BQ44" i="31"/>
  <c r="Q44" i="31"/>
  <c r="BV44" i="31"/>
  <c r="BZ44" i="31"/>
  <c r="Z44" i="31"/>
  <c r="BF44" i="31"/>
  <c r="F44" i="31"/>
  <c r="BJ44" i="31"/>
  <c r="J44" i="31"/>
  <c r="BN44" i="31"/>
  <c r="N44" i="31"/>
  <c r="BR44" i="31"/>
  <c r="R44" i="31"/>
  <c r="BW44" i="31"/>
  <c r="CA44" i="31"/>
  <c r="AA44" i="31"/>
  <c r="BG44" i="31"/>
  <c r="G44" i="31"/>
  <c r="BK44" i="31"/>
  <c r="K44" i="31"/>
  <c r="BO44" i="31"/>
  <c r="O44" i="31"/>
  <c r="BS44" i="31"/>
  <c r="S44" i="31"/>
  <c r="BX44" i="31"/>
  <c r="X44" i="31"/>
  <c r="CB44" i="31"/>
  <c r="AB44" i="31"/>
  <c r="BH35" i="31"/>
  <c r="H35" i="31"/>
  <c r="BL35" i="31"/>
  <c r="L35" i="31"/>
  <c r="BP35" i="31"/>
  <c r="BT35" i="31"/>
  <c r="T35" i="31"/>
  <c r="Y35" i="31"/>
  <c r="BE35" i="31"/>
  <c r="E35" i="31"/>
  <c r="BI35" i="31"/>
  <c r="I35" i="31"/>
  <c r="BM35" i="31"/>
  <c r="M35" i="31"/>
  <c r="BQ35" i="31"/>
  <c r="Q35" i="31"/>
  <c r="BV35" i="31"/>
  <c r="V35" i="31"/>
  <c r="BZ35" i="31"/>
  <c r="Z35" i="31"/>
  <c r="BF35" i="31"/>
  <c r="F35" i="31"/>
  <c r="BJ35" i="31"/>
  <c r="J35" i="31"/>
  <c r="BN35" i="31"/>
  <c r="N35" i="31"/>
  <c r="BR35" i="31"/>
  <c r="R35" i="31"/>
  <c r="BW35" i="31"/>
  <c r="CA35" i="31"/>
  <c r="BG35" i="31"/>
  <c r="G35" i="31"/>
  <c r="BK35" i="31"/>
  <c r="K35" i="31"/>
  <c r="BO35" i="31"/>
  <c r="O35" i="31"/>
  <c r="BS35" i="31"/>
  <c r="S35" i="31"/>
  <c r="BX35" i="31"/>
  <c r="X35" i="31"/>
  <c r="CB35" i="31"/>
  <c r="AB35" i="31"/>
  <c r="BF40" i="31"/>
  <c r="F40" i="31"/>
  <c r="BJ40" i="31"/>
  <c r="J40" i="31"/>
  <c r="BN40" i="31"/>
  <c r="N40" i="31"/>
  <c r="BR40" i="31"/>
  <c r="R40" i="31"/>
  <c r="BW40" i="31"/>
  <c r="CA40" i="31"/>
  <c r="BG40" i="31"/>
  <c r="G40" i="31"/>
  <c r="BK40" i="31"/>
  <c r="K40" i="31"/>
  <c r="BO40" i="31"/>
  <c r="O40" i="31"/>
  <c r="BS40" i="31"/>
  <c r="S40" i="31"/>
  <c r="BX40" i="31"/>
  <c r="X40" i="31"/>
  <c r="CB40" i="31"/>
  <c r="AB40" i="31"/>
  <c r="D40" i="31"/>
  <c r="BH40" i="31"/>
  <c r="H40" i="31"/>
  <c r="BL40" i="31"/>
  <c r="L40" i="31"/>
  <c r="BP40" i="31"/>
  <c r="P40" i="31"/>
  <c r="BT40" i="31"/>
  <c r="T40" i="31"/>
  <c r="BY40" i="31"/>
  <c r="Y40" i="31"/>
  <c r="BE40" i="31"/>
  <c r="E40" i="31"/>
  <c r="BI40" i="31"/>
  <c r="I40" i="31"/>
  <c r="M40" i="31"/>
  <c r="BQ40" i="31"/>
  <c r="Q40" i="31"/>
  <c r="BV40" i="31"/>
  <c r="V40" i="31"/>
  <c r="BZ40" i="31"/>
  <c r="Z40" i="31"/>
  <c r="D43" i="31"/>
  <c r="BH43" i="31"/>
  <c r="H43" i="31"/>
  <c r="BL43" i="31"/>
  <c r="L43" i="31"/>
  <c r="BP43" i="31"/>
  <c r="P43" i="31"/>
  <c r="BT43" i="31"/>
  <c r="T43" i="31"/>
  <c r="BY43" i="31"/>
  <c r="Y43" i="31"/>
  <c r="BE43" i="31"/>
  <c r="E43" i="31"/>
  <c r="BI43" i="31"/>
  <c r="I43" i="31"/>
  <c r="BM43" i="31"/>
  <c r="M43" i="31"/>
  <c r="BQ43" i="31"/>
  <c r="Q43" i="31"/>
  <c r="BV43" i="31"/>
  <c r="V43" i="31"/>
  <c r="BZ43" i="31"/>
  <c r="Z43" i="31"/>
  <c r="BF43" i="31"/>
  <c r="F43" i="31"/>
  <c r="BJ43" i="31"/>
  <c r="J43" i="31"/>
  <c r="BN43" i="31"/>
  <c r="N43" i="31"/>
  <c r="BR43" i="31"/>
  <c r="R43" i="31"/>
  <c r="BW43" i="31"/>
  <c r="CA43" i="31"/>
  <c r="AA43" i="31"/>
  <c r="BG43" i="31"/>
  <c r="G43" i="31"/>
  <c r="BK43" i="31"/>
  <c r="K43" i="31"/>
  <c r="BO43" i="31"/>
  <c r="BS43" i="31"/>
  <c r="S43" i="31"/>
  <c r="BX43" i="31"/>
  <c r="CB43" i="31"/>
  <c r="AB43" i="31"/>
  <c r="BB3" i="28"/>
  <c r="BB32" i="28"/>
  <c r="E38" i="31"/>
  <c r="W38" i="31"/>
  <c r="W43" i="31"/>
  <c r="W34" i="31"/>
  <c r="W41" i="31"/>
  <c r="W36" i="31"/>
  <c r="W37" i="31"/>
  <c r="W39" i="31"/>
  <c r="W42" i="31"/>
  <c r="W33" i="31"/>
  <c r="W35" i="31"/>
  <c r="W44" i="31"/>
  <c r="W40" i="31"/>
  <c r="AB60" i="31"/>
  <c r="AB74" i="31"/>
  <c r="S74" i="31"/>
  <c r="S60" i="31"/>
  <c r="K60" i="31"/>
  <c r="K74" i="31"/>
  <c r="AA60" i="31"/>
  <c r="AA74" i="31"/>
  <c r="R60" i="31"/>
  <c r="R74" i="31"/>
  <c r="J60" i="31"/>
  <c r="J74" i="31"/>
  <c r="Q60" i="31"/>
  <c r="Q74" i="31"/>
  <c r="I74" i="31"/>
  <c r="I60" i="31"/>
  <c r="Y74" i="31"/>
  <c r="Y60" i="31"/>
  <c r="P74" i="31"/>
  <c r="P60" i="31"/>
  <c r="H74" i="31"/>
  <c r="H60" i="31"/>
  <c r="Z67" i="31"/>
  <c r="Z53" i="31"/>
  <c r="Q67" i="31"/>
  <c r="Q53" i="31"/>
  <c r="I67" i="31"/>
  <c r="I53" i="31"/>
  <c r="Y67" i="31"/>
  <c r="Y53" i="31"/>
  <c r="P67" i="31"/>
  <c r="P53" i="31"/>
  <c r="H67" i="31"/>
  <c r="H53" i="31"/>
  <c r="AB67" i="31"/>
  <c r="AB53" i="31"/>
  <c r="S53" i="31"/>
  <c r="S67" i="31"/>
  <c r="K67" i="31"/>
  <c r="K53" i="31"/>
  <c r="AA67" i="31"/>
  <c r="AA53" i="31"/>
  <c r="R67" i="31"/>
  <c r="R53" i="31"/>
  <c r="AB72" i="31"/>
  <c r="AB58" i="31"/>
  <c r="S72" i="31"/>
  <c r="S58" i="31"/>
  <c r="K58" i="31"/>
  <c r="K72" i="31"/>
  <c r="Z72" i="31"/>
  <c r="Z58" i="31"/>
  <c r="I72" i="31"/>
  <c r="I58" i="31"/>
  <c r="Y72" i="31"/>
  <c r="Y58" i="31"/>
  <c r="P72" i="31"/>
  <c r="P58" i="31"/>
  <c r="H72" i="31"/>
  <c r="H58" i="31"/>
  <c r="Z68" i="31"/>
  <c r="Z54" i="31"/>
  <c r="Q68" i="31"/>
  <c r="Q54" i="31"/>
  <c r="I68" i="31"/>
  <c r="I54" i="31"/>
  <c r="Y68" i="31"/>
  <c r="Y54" i="31"/>
  <c r="H68" i="31"/>
  <c r="H54" i="31"/>
  <c r="AB54" i="31"/>
  <c r="AB68" i="31"/>
  <c r="S68" i="31"/>
  <c r="S54" i="31"/>
  <c r="K54" i="31"/>
  <c r="K68" i="31"/>
  <c r="AA68" i="31"/>
  <c r="AA54" i="31"/>
  <c r="R68" i="31"/>
  <c r="R54" i="31"/>
  <c r="J54" i="31"/>
  <c r="J68" i="31"/>
  <c r="AB62" i="31"/>
  <c r="AB76" i="31"/>
  <c r="S76" i="31"/>
  <c r="S62" i="31"/>
  <c r="K62" i="31"/>
  <c r="K76" i="31"/>
  <c r="AA62" i="31"/>
  <c r="AA76" i="31"/>
  <c r="R62" i="31"/>
  <c r="R76" i="31"/>
  <c r="J62" i="31"/>
  <c r="J76" i="31"/>
  <c r="Z76" i="31"/>
  <c r="Z62" i="31"/>
  <c r="Y76" i="31"/>
  <c r="Y62" i="31"/>
  <c r="P76" i="31"/>
  <c r="P62" i="31"/>
  <c r="H76" i="31"/>
  <c r="H62" i="31"/>
  <c r="M76" i="31"/>
  <c r="M62" i="31"/>
  <c r="E62" i="31"/>
  <c r="E76" i="31"/>
  <c r="AB56" i="31"/>
  <c r="AB70" i="31"/>
  <c r="S70" i="31"/>
  <c r="S56" i="31"/>
  <c r="K56" i="31"/>
  <c r="K70" i="31"/>
  <c r="AA56" i="31"/>
  <c r="AA70" i="31"/>
  <c r="R70" i="31"/>
  <c r="R56" i="31"/>
  <c r="J70" i="31"/>
  <c r="J56" i="31"/>
  <c r="Z70" i="31"/>
  <c r="Z56" i="31"/>
  <c r="Q70" i="31"/>
  <c r="Q56" i="31"/>
  <c r="I70" i="31"/>
  <c r="I56" i="31"/>
  <c r="Y70" i="31"/>
  <c r="Y56" i="31"/>
  <c r="P70" i="31"/>
  <c r="P56" i="31"/>
  <c r="AB52" i="31"/>
  <c r="AB66" i="31"/>
  <c r="S66" i="31"/>
  <c r="S52" i="31"/>
  <c r="K52" i="31"/>
  <c r="K66" i="31"/>
  <c r="AA66" i="31"/>
  <c r="AA52" i="31"/>
  <c r="R66" i="31"/>
  <c r="R52" i="31"/>
  <c r="J66" i="31"/>
  <c r="J52" i="31"/>
  <c r="Z66" i="31"/>
  <c r="Z52" i="31"/>
  <c r="Q66" i="31"/>
  <c r="Q52" i="31"/>
  <c r="I66" i="31"/>
  <c r="I52" i="31"/>
  <c r="Y66" i="31"/>
  <c r="Y52" i="31"/>
  <c r="P66" i="31"/>
  <c r="P52" i="31"/>
  <c r="H66" i="31"/>
  <c r="H52" i="31"/>
  <c r="AB65" i="31"/>
  <c r="AB51" i="31"/>
  <c r="S51" i="31"/>
  <c r="K65" i="31"/>
  <c r="K51" i="31"/>
  <c r="AA65" i="31"/>
  <c r="AA51" i="31"/>
  <c r="R51" i="31"/>
  <c r="R65" i="31"/>
  <c r="J65" i="31"/>
  <c r="J51" i="31"/>
  <c r="Z65" i="31"/>
  <c r="Z51" i="31"/>
  <c r="Q65" i="31"/>
  <c r="Q51" i="31"/>
  <c r="I65" i="31"/>
  <c r="I51" i="31"/>
  <c r="Y65" i="31"/>
  <c r="Y51" i="31"/>
  <c r="P65" i="31"/>
  <c r="P51" i="31"/>
  <c r="H65" i="31"/>
  <c r="H51" i="31"/>
  <c r="AB75" i="31"/>
  <c r="AB61" i="31"/>
  <c r="S61" i="31"/>
  <c r="S75" i="31"/>
  <c r="K75" i="31"/>
  <c r="K61" i="31"/>
  <c r="AA61" i="31"/>
  <c r="AA75" i="31"/>
  <c r="R61" i="31"/>
  <c r="R75" i="31"/>
  <c r="J61" i="31"/>
  <c r="J75" i="31"/>
  <c r="Z61" i="31"/>
  <c r="Z75" i="31"/>
  <c r="Q75" i="31"/>
  <c r="Q61" i="31"/>
  <c r="Y75" i="31"/>
  <c r="Y61" i="31"/>
  <c r="P75" i="31"/>
  <c r="P61" i="31"/>
  <c r="H75" i="31"/>
  <c r="H61" i="31"/>
  <c r="Z59" i="31"/>
  <c r="Z73" i="31"/>
  <c r="I59" i="31"/>
  <c r="I73" i="31"/>
  <c r="Y73" i="31"/>
  <c r="Y59" i="31"/>
  <c r="P73" i="31"/>
  <c r="P59" i="31"/>
  <c r="H73" i="31"/>
  <c r="H59" i="31"/>
  <c r="AB73" i="31"/>
  <c r="AB59" i="31"/>
  <c r="S59" i="31"/>
  <c r="S73" i="31"/>
  <c r="K73" i="31"/>
  <c r="K59" i="31"/>
  <c r="AA59" i="31"/>
  <c r="AA73" i="31"/>
  <c r="R59" i="31"/>
  <c r="R73" i="31"/>
  <c r="J73" i="31"/>
  <c r="J59" i="31"/>
  <c r="AB71" i="31"/>
  <c r="AB57" i="31"/>
  <c r="S57" i="31"/>
  <c r="S71" i="31"/>
  <c r="K71" i="31"/>
  <c r="K57" i="31"/>
  <c r="AA71" i="31"/>
  <c r="AA57" i="31"/>
  <c r="R71" i="31"/>
  <c r="R57" i="31"/>
  <c r="J71" i="31"/>
  <c r="J57" i="31"/>
  <c r="Z71" i="31"/>
  <c r="Z57" i="31"/>
  <c r="Q71" i="31"/>
  <c r="Q57" i="31"/>
  <c r="I57" i="31"/>
  <c r="I71" i="31"/>
  <c r="Y71" i="31"/>
  <c r="Y57" i="31"/>
  <c r="P71" i="31"/>
  <c r="P57" i="31"/>
  <c r="AA72" i="31"/>
  <c r="AA58" i="31"/>
  <c r="R72" i="31"/>
  <c r="R58" i="31"/>
  <c r="J58" i="31"/>
  <c r="J72" i="31"/>
  <c r="P68" i="31"/>
  <c r="P54" i="31"/>
  <c r="X74" i="31"/>
  <c r="X60" i="31"/>
  <c r="O74" i="31"/>
  <c r="O60" i="31"/>
  <c r="G74" i="31"/>
  <c r="G60" i="31"/>
  <c r="W60" i="31"/>
  <c r="W74" i="31"/>
  <c r="N74" i="31"/>
  <c r="N60" i="31"/>
  <c r="F60" i="31"/>
  <c r="F74" i="31"/>
  <c r="V60" i="31"/>
  <c r="V74" i="31"/>
  <c r="M74" i="31"/>
  <c r="M60" i="31"/>
  <c r="E60" i="31"/>
  <c r="E74" i="31"/>
  <c r="T74" i="31"/>
  <c r="L74" i="31"/>
  <c r="L60" i="31"/>
  <c r="D74" i="31"/>
  <c r="D60" i="31"/>
  <c r="V67" i="31"/>
  <c r="V53" i="31"/>
  <c r="M53" i="31"/>
  <c r="M67" i="31"/>
  <c r="E67" i="31"/>
  <c r="E53" i="31"/>
  <c r="T67" i="31"/>
  <c r="T53" i="31"/>
  <c r="L67" i="31"/>
  <c r="L53" i="31"/>
  <c r="D67" i="31"/>
  <c r="D53" i="31"/>
  <c r="X53" i="31"/>
  <c r="X67" i="31"/>
  <c r="O67" i="31"/>
  <c r="O53" i="31"/>
  <c r="G67" i="31"/>
  <c r="G53" i="31"/>
  <c r="W67" i="31"/>
  <c r="W53" i="31"/>
  <c r="N67" i="31"/>
  <c r="N53" i="31"/>
  <c r="F67" i="31"/>
  <c r="F53" i="31"/>
  <c r="X72" i="31"/>
  <c r="X58" i="31"/>
  <c r="O72" i="31"/>
  <c r="O58" i="31"/>
  <c r="V58" i="31"/>
  <c r="V72" i="31"/>
  <c r="M72" i="31"/>
  <c r="M58" i="31"/>
  <c r="T72" i="31"/>
  <c r="T58" i="31"/>
  <c r="L72" i="31"/>
  <c r="L58" i="31"/>
  <c r="D72" i="31"/>
  <c r="D58" i="31"/>
  <c r="V68" i="31"/>
  <c r="V54" i="31"/>
  <c r="M68" i="31"/>
  <c r="M54" i="31"/>
  <c r="E68" i="31"/>
  <c r="E54" i="31"/>
  <c r="T68" i="31"/>
  <c r="T54" i="31"/>
  <c r="D68" i="31"/>
  <c r="D54" i="31"/>
  <c r="X68" i="31"/>
  <c r="X54" i="31"/>
  <c r="O68" i="31"/>
  <c r="O54" i="31"/>
  <c r="G68" i="31"/>
  <c r="G54" i="31"/>
  <c r="W68" i="31"/>
  <c r="W54" i="31"/>
  <c r="F68" i="31"/>
  <c r="F54" i="31"/>
  <c r="X76" i="31"/>
  <c r="X62" i="31"/>
  <c r="O76" i="31"/>
  <c r="O62" i="31"/>
  <c r="G76" i="31"/>
  <c r="G62" i="31"/>
  <c r="W62" i="31"/>
  <c r="W76" i="31"/>
  <c r="N76" i="31"/>
  <c r="N62" i="31"/>
  <c r="F62" i="31"/>
  <c r="F76" i="31"/>
  <c r="V62" i="31"/>
  <c r="V76" i="31"/>
  <c r="T76" i="31"/>
  <c r="T62" i="31"/>
  <c r="L76" i="31"/>
  <c r="L62" i="31"/>
  <c r="D76" i="31"/>
  <c r="D62" i="31"/>
  <c r="I76" i="31"/>
  <c r="I62" i="31"/>
  <c r="X70" i="31"/>
  <c r="X56" i="31"/>
  <c r="O56" i="31"/>
  <c r="O70" i="31"/>
  <c r="G70" i="31"/>
  <c r="G56" i="31"/>
  <c r="W56" i="31"/>
  <c r="W70" i="31"/>
  <c r="N70" i="31"/>
  <c r="N56" i="31"/>
  <c r="F70" i="31"/>
  <c r="F56" i="31"/>
  <c r="V70" i="31"/>
  <c r="V56" i="31"/>
  <c r="M70" i="31"/>
  <c r="M56" i="31"/>
  <c r="E56" i="31"/>
  <c r="E70" i="31"/>
  <c r="T70" i="31"/>
  <c r="T56" i="31"/>
  <c r="D70" i="31"/>
  <c r="D56" i="31"/>
  <c r="X66" i="31"/>
  <c r="X52" i="31"/>
  <c r="O52" i="31"/>
  <c r="O66" i="31"/>
  <c r="G66" i="31"/>
  <c r="G52" i="31"/>
  <c r="W66" i="31"/>
  <c r="W52" i="31"/>
  <c r="N66" i="31"/>
  <c r="N52" i="31"/>
  <c r="F66" i="31"/>
  <c r="F52" i="31"/>
  <c r="V66" i="31"/>
  <c r="V52" i="31"/>
  <c r="M66" i="31"/>
  <c r="M52" i="31"/>
  <c r="E66" i="31"/>
  <c r="E52" i="31"/>
  <c r="L66" i="31"/>
  <c r="L52" i="31"/>
  <c r="D66" i="31"/>
  <c r="D52" i="31"/>
  <c r="X65" i="31"/>
  <c r="X51" i="31"/>
  <c r="O65" i="31"/>
  <c r="O51" i="31"/>
  <c r="G51" i="31"/>
  <c r="G65" i="31"/>
  <c r="W65" i="31"/>
  <c r="W51" i="31"/>
  <c r="N65" i="31"/>
  <c r="N51" i="31"/>
  <c r="F65" i="31"/>
  <c r="F51" i="31"/>
  <c r="V65" i="31"/>
  <c r="V51" i="31"/>
  <c r="M65" i="31"/>
  <c r="M51" i="31"/>
  <c r="E65" i="31"/>
  <c r="E51" i="31"/>
  <c r="T65" i="31"/>
  <c r="T51" i="31"/>
  <c r="L65" i="31"/>
  <c r="L51" i="31"/>
  <c r="D65" i="31"/>
  <c r="D51" i="31"/>
  <c r="X75" i="31"/>
  <c r="X61" i="31"/>
  <c r="O75" i="31"/>
  <c r="G75" i="31"/>
  <c r="G61" i="31"/>
  <c r="W75" i="31"/>
  <c r="W61" i="31"/>
  <c r="N61" i="31"/>
  <c r="N75" i="31"/>
  <c r="F75" i="31"/>
  <c r="F61" i="31"/>
  <c r="V75" i="31"/>
  <c r="V61" i="31"/>
  <c r="M61" i="31"/>
  <c r="E75" i="31"/>
  <c r="E61" i="31"/>
  <c r="T75" i="31"/>
  <c r="T61" i="31"/>
  <c r="L75" i="31"/>
  <c r="L61" i="31"/>
  <c r="D75" i="31"/>
  <c r="D61" i="31"/>
  <c r="V73" i="31"/>
  <c r="V59" i="31"/>
  <c r="E73" i="31"/>
  <c r="E59" i="31"/>
  <c r="T73" i="31"/>
  <c r="T59" i="31"/>
  <c r="L73" i="31"/>
  <c r="L59" i="31"/>
  <c r="D73" i="31"/>
  <c r="D59" i="31"/>
  <c r="X73" i="31"/>
  <c r="X59" i="31"/>
  <c r="G59" i="31"/>
  <c r="G73" i="31"/>
  <c r="W73" i="31"/>
  <c r="W59" i="31"/>
  <c r="N59" i="31"/>
  <c r="N73" i="31"/>
  <c r="F73" i="31"/>
  <c r="F59" i="31"/>
  <c r="X57" i="31"/>
  <c r="X71" i="31"/>
  <c r="O71" i="31"/>
  <c r="O57" i="31"/>
  <c r="G71" i="31"/>
  <c r="G57" i="31"/>
  <c r="W71" i="31"/>
  <c r="W57" i="31"/>
  <c r="N71" i="31"/>
  <c r="N57" i="31"/>
  <c r="F71" i="31"/>
  <c r="F57" i="31"/>
  <c r="V71" i="31"/>
  <c r="V57" i="31"/>
  <c r="E71" i="31"/>
  <c r="E57" i="31"/>
  <c r="T71" i="31"/>
  <c r="T57" i="31"/>
  <c r="D71" i="31"/>
  <c r="D57" i="31"/>
  <c r="BD43" i="31"/>
  <c r="BD35" i="31"/>
  <c r="BD44" i="31"/>
  <c r="BD39" i="31"/>
  <c r="BD42" i="31"/>
  <c r="W72" i="31"/>
  <c r="W58" i="31"/>
  <c r="N72" i="31"/>
  <c r="N58" i="31"/>
  <c r="BD34" i="31"/>
  <c r="L68" i="31"/>
  <c r="L54" i="31"/>
  <c r="BD36" i="31"/>
  <c r="BD37" i="31"/>
  <c r="BD47" i="31"/>
  <c r="M59" i="31"/>
  <c r="M73" i="31"/>
  <c r="BD40" i="31"/>
  <c r="CB74" i="31"/>
  <c r="CB60" i="31"/>
  <c r="BX74" i="31"/>
  <c r="BX60" i="31"/>
  <c r="BO74" i="31"/>
  <c r="BO60" i="31"/>
  <c r="BK74" i="31"/>
  <c r="BK60" i="31"/>
  <c r="BG74" i="31"/>
  <c r="BG60" i="31"/>
  <c r="CA74" i="31"/>
  <c r="CA60" i="31"/>
  <c r="BW74" i="31"/>
  <c r="BW60" i="31"/>
  <c r="BR74" i="31"/>
  <c r="BR60" i="31"/>
  <c r="BN74" i="31"/>
  <c r="BN60" i="31"/>
  <c r="BJ74" i="31"/>
  <c r="BJ60" i="31"/>
  <c r="BF74" i="31"/>
  <c r="BF60" i="31"/>
  <c r="BZ74" i="31"/>
  <c r="BZ60" i="31"/>
  <c r="BV60" i="31"/>
  <c r="BV74" i="31"/>
  <c r="BQ74" i="31"/>
  <c r="BQ60" i="31"/>
  <c r="BM60" i="31"/>
  <c r="BI74" i="31"/>
  <c r="BI60" i="31"/>
  <c r="BE60" i="31"/>
  <c r="BE74" i="31"/>
  <c r="BY74" i="31"/>
  <c r="BY60" i="31"/>
  <c r="BT74" i="31"/>
  <c r="BT60" i="31"/>
  <c r="BP74" i="31"/>
  <c r="BP60" i="31"/>
  <c r="BL74" i="31"/>
  <c r="BL60" i="31"/>
  <c r="BH74" i="31"/>
  <c r="BH60" i="31"/>
  <c r="BD74" i="31"/>
  <c r="BD60" i="31"/>
  <c r="BZ67" i="31"/>
  <c r="BZ53" i="31"/>
  <c r="BV67" i="31"/>
  <c r="BV53" i="31"/>
  <c r="BQ67" i="31"/>
  <c r="BQ53" i="31"/>
  <c r="BM67" i="31"/>
  <c r="BM53" i="31"/>
  <c r="BI53" i="31"/>
  <c r="BI67" i="31"/>
  <c r="BE67" i="31"/>
  <c r="BE53" i="31"/>
  <c r="BY67" i="31"/>
  <c r="BY53" i="31"/>
  <c r="BT67" i="31"/>
  <c r="BT53" i="31"/>
  <c r="BP67" i="31"/>
  <c r="BP53" i="31"/>
  <c r="BL67" i="31"/>
  <c r="BL53" i="31"/>
  <c r="BH67" i="31"/>
  <c r="BH53" i="31"/>
  <c r="BD67" i="31"/>
  <c r="BD53" i="31"/>
  <c r="CB67" i="31"/>
  <c r="CB53" i="31"/>
  <c r="BX67" i="31"/>
  <c r="BX53" i="31"/>
  <c r="BS67" i="31"/>
  <c r="BS53" i="31"/>
  <c r="BO67" i="31"/>
  <c r="BO53" i="31"/>
  <c r="BG67" i="31"/>
  <c r="BG53" i="31"/>
  <c r="CA53" i="31"/>
  <c r="CA67" i="31"/>
  <c r="BW67" i="31"/>
  <c r="BW53" i="31"/>
  <c r="BR67" i="31"/>
  <c r="BR53" i="31"/>
  <c r="BN67" i="31"/>
  <c r="BN53" i="31"/>
  <c r="BJ67" i="31"/>
  <c r="BJ53" i="31"/>
  <c r="BF67" i="31"/>
  <c r="BF53" i="31"/>
  <c r="CB72" i="31"/>
  <c r="CB58" i="31"/>
  <c r="BX72" i="31"/>
  <c r="BX58" i="31"/>
  <c r="BS72" i="31"/>
  <c r="BS58" i="31"/>
  <c r="BO72" i="31"/>
  <c r="BO58" i="31"/>
  <c r="BK72" i="31"/>
  <c r="BK58" i="31"/>
  <c r="BG72" i="31"/>
  <c r="BG58" i="31"/>
  <c r="BR72" i="31"/>
  <c r="BR58" i="31"/>
  <c r="BN72" i="31"/>
  <c r="BN58" i="31"/>
  <c r="BJ72" i="31"/>
  <c r="BJ58" i="31"/>
  <c r="BF72" i="31"/>
  <c r="BF58" i="31"/>
  <c r="BZ58" i="31"/>
  <c r="BZ72" i="31"/>
  <c r="BV72" i="31"/>
  <c r="BV58" i="31"/>
  <c r="BQ58" i="31"/>
  <c r="BQ72" i="31"/>
  <c r="BM72" i="31"/>
  <c r="BM58" i="31"/>
  <c r="BI58" i="31"/>
  <c r="BI72" i="31"/>
  <c r="BE72" i="31"/>
  <c r="BE58" i="31"/>
  <c r="BY72" i="31"/>
  <c r="BY58" i="31"/>
  <c r="BT72" i="31"/>
  <c r="BT58" i="31"/>
  <c r="BP72" i="31"/>
  <c r="BP58" i="31"/>
  <c r="BL72" i="31"/>
  <c r="BH72" i="31"/>
  <c r="BH58" i="31"/>
  <c r="BD72" i="31"/>
  <c r="BD58" i="31"/>
  <c r="BZ68" i="31"/>
  <c r="BZ54" i="31"/>
  <c r="BV68" i="31"/>
  <c r="BV54" i="31"/>
  <c r="BQ68" i="31"/>
  <c r="BQ54" i="31"/>
  <c r="BM68" i="31"/>
  <c r="BE68" i="31"/>
  <c r="BE54" i="31"/>
  <c r="BY68" i="31"/>
  <c r="BY54" i="31"/>
  <c r="BT68" i="31"/>
  <c r="BT54" i="31"/>
  <c r="BP68" i="31"/>
  <c r="BP54" i="31"/>
  <c r="BL68" i="31"/>
  <c r="BL54" i="31"/>
  <c r="BD68" i="31"/>
  <c r="BD54" i="31"/>
  <c r="CB68" i="31"/>
  <c r="CB54" i="31"/>
  <c r="BX54" i="31"/>
  <c r="BX68" i="31"/>
  <c r="BS68" i="31"/>
  <c r="BS54" i="31"/>
  <c r="BO68" i="31"/>
  <c r="BO54" i="31"/>
  <c r="BK68" i="31"/>
  <c r="BK54" i="31"/>
  <c r="CA68" i="31"/>
  <c r="CA54" i="31"/>
  <c r="BW68" i="31"/>
  <c r="BW54" i="31"/>
  <c r="BN68" i="31"/>
  <c r="BN54" i="31"/>
  <c r="BJ68" i="31"/>
  <c r="BJ54" i="31"/>
  <c r="BF68" i="31"/>
  <c r="BF54" i="31"/>
  <c r="CB76" i="31"/>
  <c r="CB62" i="31"/>
  <c r="BX76" i="31"/>
  <c r="BX62" i="31"/>
  <c r="BS76" i="31"/>
  <c r="BS62" i="31"/>
  <c r="BO76" i="31"/>
  <c r="BO62" i="31"/>
  <c r="BK76" i="31"/>
  <c r="BK62" i="31"/>
  <c r="BG76" i="31"/>
  <c r="BG62" i="31"/>
  <c r="CA76" i="31"/>
  <c r="CA62" i="31"/>
  <c r="BW62" i="31"/>
  <c r="BW76" i="31"/>
  <c r="BR76" i="31"/>
  <c r="BR62" i="31"/>
  <c r="BN76" i="31"/>
  <c r="BN62" i="31"/>
  <c r="BF62" i="31"/>
  <c r="BF76" i="31"/>
  <c r="BZ62" i="31"/>
  <c r="BZ76" i="31"/>
  <c r="BY76" i="31"/>
  <c r="BY62" i="31"/>
  <c r="BT76" i="31"/>
  <c r="BT62" i="31"/>
  <c r="BP76" i="31"/>
  <c r="BP62" i="31"/>
  <c r="BL76" i="31"/>
  <c r="BL62" i="31"/>
  <c r="BH76" i="31"/>
  <c r="BH62" i="31"/>
  <c r="BD76" i="31"/>
  <c r="BD62" i="31"/>
  <c r="BM76" i="31"/>
  <c r="BM62" i="31"/>
  <c r="BI62" i="31"/>
  <c r="BI76" i="31"/>
  <c r="BE76" i="31"/>
  <c r="BE62" i="31"/>
  <c r="BQ62" i="31"/>
  <c r="BQ76" i="31"/>
  <c r="BD38" i="31"/>
  <c r="BD41" i="31"/>
  <c r="CB70" i="31"/>
  <c r="CB56" i="31"/>
  <c r="BX70" i="31"/>
  <c r="BX56" i="31"/>
  <c r="BS70" i="31"/>
  <c r="BS56" i="31"/>
  <c r="BO70" i="31"/>
  <c r="BO56" i="31"/>
  <c r="BK70" i="31"/>
  <c r="BK56" i="31"/>
  <c r="BG70" i="31"/>
  <c r="BG56" i="31"/>
  <c r="CA70" i="31"/>
  <c r="CA56" i="31"/>
  <c r="BW70" i="31"/>
  <c r="BW56" i="31"/>
  <c r="BR70" i="31"/>
  <c r="BR56" i="31"/>
  <c r="BN70" i="31"/>
  <c r="BN56" i="31"/>
  <c r="BJ70" i="31"/>
  <c r="BJ56" i="31"/>
  <c r="BF70" i="31"/>
  <c r="BF56" i="31"/>
  <c r="BZ70" i="31"/>
  <c r="BZ56" i="31"/>
  <c r="BV56" i="31"/>
  <c r="BV70" i="31"/>
  <c r="BQ70" i="31"/>
  <c r="BQ56" i="31"/>
  <c r="BM56" i="31"/>
  <c r="BM70" i="31"/>
  <c r="BI70" i="31"/>
  <c r="BI56" i="31"/>
  <c r="BE56" i="31"/>
  <c r="BE70" i="31"/>
  <c r="BY70" i="31"/>
  <c r="BY56" i="31"/>
  <c r="BT70" i="31"/>
  <c r="BT56" i="31"/>
  <c r="BP70" i="31"/>
  <c r="BP56" i="31"/>
  <c r="BL70" i="31"/>
  <c r="BL56" i="31"/>
  <c r="BH70" i="31"/>
  <c r="BH56" i="31"/>
  <c r="BD70" i="31"/>
  <c r="BD56" i="31"/>
  <c r="CB52" i="31"/>
  <c r="CB66" i="31"/>
  <c r="BX66" i="31"/>
  <c r="BX52" i="31"/>
  <c r="BS66" i="31"/>
  <c r="BS52" i="31"/>
  <c r="BO66" i="31"/>
  <c r="BO52" i="31"/>
  <c r="BK66" i="31"/>
  <c r="BK52" i="31"/>
  <c r="BG66" i="31"/>
  <c r="BG52" i="31"/>
  <c r="CA66" i="31"/>
  <c r="CA52" i="31"/>
  <c r="BW66" i="31"/>
  <c r="BW52" i="31"/>
  <c r="BR66" i="31"/>
  <c r="BR52" i="31"/>
  <c r="BN52" i="31"/>
  <c r="BN66" i="31"/>
  <c r="BJ66" i="31"/>
  <c r="BJ52" i="31"/>
  <c r="BF66" i="31"/>
  <c r="BF52" i="31"/>
  <c r="BZ66" i="31"/>
  <c r="BZ52" i="31"/>
  <c r="BV66" i="31"/>
  <c r="BV52" i="31"/>
  <c r="BQ66" i="31"/>
  <c r="BQ52" i="31"/>
  <c r="BM66" i="31"/>
  <c r="BM52" i="31"/>
  <c r="BI66" i="31"/>
  <c r="BI52" i="31"/>
  <c r="BE66" i="31"/>
  <c r="BE52" i="31"/>
  <c r="BY66" i="31"/>
  <c r="BY52" i="31"/>
  <c r="BT66" i="31"/>
  <c r="BT52" i="31"/>
  <c r="BP66" i="31"/>
  <c r="BP52" i="31"/>
  <c r="BL66" i="31"/>
  <c r="BL52" i="31"/>
  <c r="BH66" i="31"/>
  <c r="BH52" i="31"/>
  <c r="BD66" i="31"/>
  <c r="BD52" i="31"/>
  <c r="CB65" i="31"/>
  <c r="CB51" i="31"/>
  <c r="BX65" i="31"/>
  <c r="BX51" i="31"/>
  <c r="BS65" i="31"/>
  <c r="BS51" i="31"/>
  <c r="BO65" i="31"/>
  <c r="BO51" i="31"/>
  <c r="BG65" i="31"/>
  <c r="BG51" i="31"/>
  <c r="CA65" i="31"/>
  <c r="CA51" i="31"/>
  <c r="BR65" i="31"/>
  <c r="BR51" i="31"/>
  <c r="BN65" i="31"/>
  <c r="BN51" i="31"/>
  <c r="BJ65" i="31"/>
  <c r="BJ51" i="31"/>
  <c r="BF65" i="31"/>
  <c r="BF51" i="31"/>
  <c r="BZ51" i="31"/>
  <c r="BZ65" i="31"/>
  <c r="BV51" i="31"/>
  <c r="BV65" i="31"/>
  <c r="BQ65" i="31"/>
  <c r="BQ51" i="31"/>
  <c r="BM65" i="31"/>
  <c r="BM51" i="31"/>
  <c r="BI51" i="31"/>
  <c r="BI65" i="31"/>
  <c r="BE65" i="31"/>
  <c r="BE51" i="31"/>
  <c r="BY65" i="31"/>
  <c r="BY51" i="31"/>
  <c r="BT65" i="31"/>
  <c r="BT51" i="31"/>
  <c r="BP51" i="31"/>
  <c r="BL65" i="31"/>
  <c r="BL51" i="31"/>
  <c r="BD65" i="31"/>
  <c r="BD51" i="31"/>
  <c r="CB61" i="31"/>
  <c r="CB75" i="31"/>
  <c r="BX75" i="31"/>
  <c r="BX61" i="31"/>
  <c r="BS61" i="31"/>
  <c r="BS75" i="31"/>
  <c r="BO75" i="31"/>
  <c r="BO61" i="31"/>
  <c r="BK61" i="31"/>
  <c r="BK75" i="31"/>
  <c r="BG75" i="31"/>
  <c r="BG61" i="31"/>
  <c r="CA75" i="31"/>
  <c r="CA61" i="31"/>
  <c r="BW75" i="31"/>
  <c r="BW61" i="31"/>
  <c r="BR75" i="31"/>
  <c r="BR61" i="31"/>
  <c r="BN75" i="31"/>
  <c r="BN61" i="31"/>
  <c r="BJ75" i="31"/>
  <c r="BJ61" i="31"/>
  <c r="BF75" i="31"/>
  <c r="BF61" i="31"/>
  <c r="BZ75" i="31"/>
  <c r="BZ61" i="31"/>
  <c r="BV75" i="31"/>
  <c r="BV61" i="31"/>
  <c r="BQ75" i="31"/>
  <c r="BQ61" i="31"/>
  <c r="BM75" i="31"/>
  <c r="BM61" i="31"/>
  <c r="BI75" i="31"/>
  <c r="BI61" i="31"/>
  <c r="BY75" i="31"/>
  <c r="BY61" i="31"/>
  <c r="BT75" i="31"/>
  <c r="BT61" i="31"/>
  <c r="BP75" i="31"/>
  <c r="BP61" i="31"/>
  <c r="BL75" i="31"/>
  <c r="BL61" i="31"/>
  <c r="BH75" i="31"/>
  <c r="BH61" i="31"/>
  <c r="BD75" i="31"/>
  <c r="BD61" i="31"/>
  <c r="BZ73" i="31"/>
  <c r="BZ59" i="31"/>
  <c r="BV73" i="31"/>
  <c r="BV59" i="31"/>
  <c r="BQ73" i="31"/>
  <c r="BQ59" i="31"/>
  <c r="BM73" i="31"/>
  <c r="BM59" i="31"/>
  <c r="BI73" i="31"/>
  <c r="BI59" i="31"/>
  <c r="BE73" i="31"/>
  <c r="BE59" i="31"/>
  <c r="BY73" i="31"/>
  <c r="BY59" i="31"/>
  <c r="BT73" i="31"/>
  <c r="BT59" i="31"/>
  <c r="BP73" i="31"/>
  <c r="BP59" i="31"/>
  <c r="BL73" i="31"/>
  <c r="BL59" i="31"/>
  <c r="BH73" i="31"/>
  <c r="BH59" i="31"/>
  <c r="BD73" i="31"/>
  <c r="BD59" i="31"/>
  <c r="CB73" i="31"/>
  <c r="CB59" i="31"/>
  <c r="BX59" i="31"/>
  <c r="BX73" i="31"/>
  <c r="BS73" i="31"/>
  <c r="BO59" i="31"/>
  <c r="BO73" i="31"/>
  <c r="BK73" i="31"/>
  <c r="BK59" i="31"/>
  <c r="BG59" i="31"/>
  <c r="BG73" i="31"/>
  <c r="BW73" i="31"/>
  <c r="BW59" i="31"/>
  <c r="BR73" i="31"/>
  <c r="BR59" i="31"/>
  <c r="BN73" i="31"/>
  <c r="BN59" i="31"/>
  <c r="BJ73" i="31"/>
  <c r="BJ59" i="31"/>
  <c r="BF73" i="31"/>
  <c r="BF59" i="31"/>
  <c r="CB57" i="31"/>
  <c r="CB71" i="31"/>
  <c r="BX71" i="31"/>
  <c r="BX57" i="31"/>
  <c r="BS57" i="31"/>
  <c r="BS71" i="31"/>
  <c r="BO71" i="31"/>
  <c r="BO57" i="31"/>
  <c r="BK57" i="31"/>
  <c r="BK71" i="31"/>
  <c r="BG71" i="31"/>
  <c r="BG57" i="31"/>
  <c r="CA71" i="31"/>
  <c r="CA57" i="31"/>
  <c r="BW71" i="31"/>
  <c r="BW57" i="31"/>
  <c r="BR71" i="31"/>
  <c r="BR57" i="31"/>
  <c r="BN71" i="31"/>
  <c r="BN57" i="31"/>
  <c r="BJ71" i="31"/>
  <c r="BJ57" i="31"/>
  <c r="BF71" i="31"/>
  <c r="BF57" i="31"/>
  <c r="BV71" i="31"/>
  <c r="BV57" i="31"/>
  <c r="BQ71" i="31"/>
  <c r="BQ57" i="31"/>
  <c r="BM71" i="31"/>
  <c r="BM57" i="31"/>
  <c r="BE71" i="31"/>
  <c r="BE57" i="31"/>
  <c r="BY71" i="31"/>
  <c r="BY57" i="31"/>
  <c r="BT71" i="31"/>
  <c r="BT57" i="31"/>
  <c r="BP57" i="31"/>
  <c r="BP71" i="31"/>
  <c r="BL71" i="31"/>
  <c r="BL57" i="31"/>
  <c r="BH71" i="31"/>
  <c r="BH57" i="31"/>
  <c r="BD71" i="31"/>
  <c r="BD57" i="31"/>
  <c r="BM30" i="18"/>
  <c r="BK30" i="18"/>
  <c r="BP30" i="18"/>
  <c r="BI30" i="18"/>
  <c r="BJ30" i="18"/>
  <c r="BN30" i="18"/>
  <c r="BQ30" i="18"/>
  <c r="BO30" i="18"/>
  <c r="BN29" i="18"/>
  <c r="BP29" i="18"/>
  <c r="BQ29" i="18"/>
  <c r="BL29" i="18"/>
  <c r="BM29" i="18"/>
  <c r="BK29" i="18"/>
  <c r="BJ29" i="18"/>
  <c r="BI29" i="18"/>
  <c r="BO29" i="18"/>
  <c r="BO28" i="18"/>
  <c r="BL28" i="18"/>
  <c r="BQ28" i="18"/>
  <c r="BM28" i="18"/>
  <c r="BP28" i="18"/>
  <c r="BK28" i="18"/>
  <c r="BJ28" i="18"/>
  <c r="BI28" i="18"/>
  <c r="BN28" i="18"/>
  <c r="BP27" i="18"/>
  <c r="BM27" i="18"/>
  <c r="BJ27" i="18"/>
  <c r="BL27" i="18"/>
  <c r="BN27" i="18"/>
  <c r="BQ27" i="18"/>
  <c r="BK27" i="18"/>
  <c r="BO27" i="18"/>
  <c r="BI27" i="18"/>
  <c r="BM26" i="18"/>
  <c r="BP26" i="18"/>
  <c r="BK26" i="18"/>
  <c r="BJ26" i="18"/>
  <c r="BQ26" i="18"/>
  <c r="BO26" i="18"/>
  <c r="BL26" i="18"/>
  <c r="BI26" i="18"/>
  <c r="BN26" i="18"/>
  <c r="BO25" i="18"/>
  <c r="BL25" i="18"/>
  <c r="BK25" i="18"/>
  <c r="BP25" i="18"/>
  <c r="BJ25" i="18"/>
  <c r="BM25" i="18"/>
  <c r="BQ25" i="18"/>
  <c r="BN25" i="18"/>
  <c r="BI25" i="18"/>
  <c r="BJ24" i="18"/>
  <c r="BQ24" i="18"/>
  <c r="BM24" i="18"/>
  <c r="BN24" i="18"/>
  <c r="BP24" i="18"/>
  <c r="BI24" i="18"/>
  <c r="BO24" i="18"/>
  <c r="BL24" i="18"/>
  <c r="BK24" i="18"/>
  <c r="BP23" i="18"/>
  <c r="BJ23" i="18"/>
  <c r="BO23" i="18"/>
  <c r="BL23" i="18"/>
  <c r="BQ23" i="18"/>
  <c r="BI23" i="18"/>
  <c r="BK23" i="18"/>
  <c r="BM23" i="18"/>
  <c r="BN23" i="18"/>
  <c r="BK22" i="18"/>
  <c r="BL22" i="18"/>
  <c r="BO22" i="18"/>
  <c r="BI22" i="18"/>
  <c r="BN22" i="18"/>
  <c r="BQ22" i="18"/>
  <c r="BM22" i="18"/>
  <c r="BJ22" i="18"/>
  <c r="BP22" i="18"/>
  <c r="BP21" i="18"/>
  <c r="BQ21" i="18"/>
  <c r="BO21" i="18"/>
  <c r="BI21" i="18"/>
  <c r="BJ21" i="18"/>
  <c r="BN21" i="18"/>
  <c r="BL21" i="18"/>
  <c r="BM21" i="18"/>
  <c r="BK21" i="18"/>
  <c r="BO20" i="18"/>
  <c r="BI20" i="18"/>
  <c r="BQ20" i="18"/>
  <c r="BK20" i="18"/>
  <c r="BL20" i="18"/>
  <c r="BN20" i="18"/>
  <c r="BM20" i="18"/>
  <c r="BJ20" i="18"/>
  <c r="BP20" i="18"/>
  <c r="BI19" i="18"/>
  <c r="BO19" i="18"/>
  <c r="BJ19" i="18"/>
  <c r="BN19" i="18"/>
  <c r="BL19" i="18"/>
  <c r="BM19" i="18"/>
  <c r="BK19" i="18"/>
  <c r="BP18" i="18"/>
  <c r="BQ18" i="18"/>
  <c r="BN18" i="18"/>
  <c r="BO18" i="18"/>
  <c r="BJ18" i="18"/>
  <c r="BI18" i="18"/>
  <c r="BM18" i="18"/>
  <c r="BK18" i="18"/>
  <c r="BI17" i="18"/>
  <c r="BP17" i="18"/>
  <c r="BJ17" i="18"/>
  <c r="BN17" i="18"/>
  <c r="BO17" i="18"/>
  <c r="BL17" i="18"/>
  <c r="BK17" i="18"/>
  <c r="BM17" i="18"/>
  <c r="BQ17" i="18"/>
  <c r="BN16" i="18"/>
  <c r="BM16" i="18"/>
  <c r="BI16" i="18"/>
  <c r="BQ16" i="18"/>
  <c r="BJ16" i="18"/>
  <c r="BP16" i="18"/>
  <c r="BL16" i="18"/>
  <c r="BO16" i="18"/>
  <c r="BK16" i="18"/>
  <c r="BJ15" i="18"/>
  <c r="BN15" i="18"/>
  <c r="BI15" i="18"/>
  <c r="BP15" i="18"/>
  <c r="BK15" i="18"/>
  <c r="BO15" i="18"/>
  <c r="BL15" i="18"/>
  <c r="BM15" i="18"/>
  <c r="BQ15" i="18"/>
  <c r="BQ14" i="18"/>
  <c r="BM14" i="18"/>
  <c r="BI14" i="18"/>
  <c r="BJ14" i="18"/>
  <c r="BN14" i="18"/>
  <c r="BP14" i="18"/>
  <c r="BL14" i="18"/>
  <c r="BO14" i="18"/>
  <c r="BK14" i="18"/>
  <c r="BM13" i="18"/>
  <c r="BQ13" i="18"/>
  <c r="BL13" i="18"/>
  <c r="BI13" i="18"/>
  <c r="BK13" i="18"/>
  <c r="BN13" i="18"/>
  <c r="BO13" i="18"/>
  <c r="BP13" i="18"/>
  <c r="BJ13" i="18"/>
  <c r="BJ12" i="18"/>
  <c r="BP12" i="18"/>
  <c r="BI12" i="18"/>
  <c r="BL12" i="18"/>
  <c r="BN12" i="18"/>
  <c r="BQ12" i="18"/>
  <c r="BK12" i="18"/>
  <c r="BM12" i="18"/>
  <c r="BO12" i="18"/>
  <c r="BQ11" i="18"/>
  <c r="BM11" i="18"/>
  <c r="BN11" i="18"/>
  <c r="BJ11" i="18"/>
  <c r="BI11" i="18"/>
  <c r="BK11" i="18"/>
  <c r="BL11" i="18"/>
  <c r="BO11" i="18"/>
  <c r="BK10" i="18"/>
  <c r="BO10" i="18"/>
  <c r="BL10" i="18"/>
  <c r="BQ10" i="18"/>
  <c r="BM10" i="18"/>
  <c r="BJ10" i="18"/>
  <c r="BI10" i="18"/>
  <c r="BP10" i="18"/>
  <c r="BN10" i="18"/>
  <c r="BQ9" i="18"/>
  <c r="BM9" i="18"/>
  <c r="BN9" i="18"/>
  <c r="BO9" i="18"/>
  <c r="BJ9" i="18"/>
  <c r="BL9" i="18"/>
  <c r="BP9" i="18"/>
  <c r="BI9" i="18"/>
  <c r="BK9" i="18"/>
  <c r="BO8" i="18"/>
  <c r="BL8" i="18"/>
  <c r="BK8" i="18"/>
  <c r="BI8" i="18"/>
  <c r="BQ8" i="18"/>
  <c r="BM8" i="18"/>
  <c r="BJ8" i="18"/>
  <c r="BN8" i="18"/>
  <c r="BQ7" i="18"/>
  <c r="BM7" i="18"/>
  <c r="BP7" i="18"/>
  <c r="BN7" i="18"/>
  <c r="BO7" i="18"/>
  <c r="BL7" i="18"/>
  <c r="BJ7" i="18"/>
  <c r="BI7" i="18"/>
  <c r="BK7" i="18"/>
  <c r="BI6" i="18"/>
  <c r="BN6" i="18"/>
  <c r="BJ6" i="18"/>
  <c r="BP6" i="18"/>
  <c r="BL6" i="18"/>
  <c r="BO6" i="18"/>
  <c r="BM6" i="18"/>
  <c r="BQ6" i="18"/>
  <c r="BK6" i="18"/>
  <c r="BP5" i="18"/>
  <c r="BJ5" i="18"/>
  <c r="BQ5" i="18"/>
  <c r="BL5" i="18"/>
  <c r="BM5" i="18"/>
  <c r="BK5" i="18"/>
  <c r="BO5" i="18"/>
  <c r="BI5" i="18"/>
  <c r="BN5" i="18"/>
  <c r="BK4" i="18"/>
  <c r="BO4" i="18"/>
  <c r="BL4" i="18"/>
  <c r="BQ4" i="18"/>
  <c r="BM4" i="18"/>
  <c r="BJ4" i="18"/>
  <c r="BP4" i="18"/>
  <c r="BI4" i="18"/>
  <c r="BN4" i="18"/>
  <c r="BK2" i="18"/>
  <c r="BP2" i="18"/>
  <c r="BL2" i="18"/>
  <c r="BJ2" i="18"/>
  <c r="BO2" i="18"/>
  <c r="BQ2" i="18"/>
  <c r="BN2" i="18"/>
  <c r="BM2" i="18"/>
  <c r="BI2" i="18"/>
  <c r="DP6" i="18"/>
  <c r="DP29" i="18"/>
  <c r="AL3" i="17"/>
  <c r="AW3" i="17"/>
  <c r="AL25" i="17"/>
  <c r="AL64" i="17"/>
  <c r="AL23" i="17"/>
  <c r="AL49" i="17"/>
  <c r="AW49" i="17"/>
  <c r="AL19" i="17"/>
  <c r="AW19" i="17"/>
  <c r="AL18" i="17"/>
  <c r="AW18" i="17"/>
  <c r="AL14" i="17"/>
  <c r="AL34" i="17"/>
  <c r="AW34" i="17"/>
  <c r="AL30" i="17"/>
  <c r="AL28" i="17"/>
  <c r="AW28" i="17"/>
  <c r="AL27" i="17"/>
  <c r="AW27" i="17"/>
  <c r="AL22" i="17"/>
  <c r="AL10" i="17"/>
  <c r="AL46" i="17"/>
  <c r="AW46" i="17"/>
  <c r="AL8" i="17"/>
  <c r="AL4" i="17"/>
  <c r="AL16" i="17"/>
  <c r="AL72" i="17"/>
  <c r="AW72" i="17"/>
  <c r="AL13" i="17"/>
  <c r="AL33" i="17"/>
  <c r="AW33" i="17"/>
  <c r="AL7" i="17"/>
  <c r="AL2" i="17"/>
  <c r="AL26" i="17"/>
  <c r="AL36" i="17"/>
  <c r="AW36" i="17"/>
  <c r="AL15" i="17"/>
  <c r="AL12" i="17"/>
  <c r="AL74" i="17"/>
  <c r="AW74" i="17"/>
  <c r="AL11" i="17"/>
  <c r="AW11" i="17"/>
  <c r="AL6" i="17"/>
  <c r="H9" i="2"/>
  <c r="Q8" i="15"/>
  <c r="Q41" i="15"/>
  <c r="AW17" i="17"/>
  <c r="AL70" i="17"/>
  <c r="AW70" i="17"/>
  <c r="AW20" i="17"/>
  <c r="AW9" i="17"/>
  <c r="AE30" i="1"/>
  <c r="AD30" i="1"/>
  <c r="AC30" i="1"/>
  <c r="AB30" i="1"/>
  <c r="AA30" i="1"/>
  <c r="AE29" i="1"/>
  <c r="AD29" i="1"/>
  <c r="AC29" i="1"/>
  <c r="AB29" i="1"/>
  <c r="AA29" i="1"/>
  <c r="AE28" i="1"/>
  <c r="AD28" i="1"/>
  <c r="AC28" i="1"/>
  <c r="AB28" i="1"/>
  <c r="AA28" i="1"/>
  <c r="AE27" i="1"/>
  <c r="AD27" i="1"/>
  <c r="AC27" i="1"/>
  <c r="AB27" i="1"/>
  <c r="AA27" i="1"/>
  <c r="AE26" i="1"/>
  <c r="AD26" i="1"/>
  <c r="AC26" i="1"/>
  <c r="AB26" i="1"/>
  <c r="AA26" i="1"/>
  <c r="AE25" i="1"/>
  <c r="AD25" i="1"/>
  <c r="AC25" i="1"/>
  <c r="AB25" i="1"/>
  <c r="AA25" i="1"/>
  <c r="AE24" i="1"/>
  <c r="AD24" i="1"/>
  <c r="AC24" i="1"/>
  <c r="AB24" i="1"/>
  <c r="AA24" i="1"/>
  <c r="AE23" i="1"/>
  <c r="AD23" i="1"/>
  <c r="AC23" i="1"/>
  <c r="AB23" i="1"/>
  <c r="AA23" i="1"/>
  <c r="AE22" i="1"/>
  <c r="AD22" i="1"/>
  <c r="AC22" i="1"/>
  <c r="AB22" i="1"/>
  <c r="AA22" i="1"/>
  <c r="AE21" i="1"/>
  <c r="AD21" i="1"/>
  <c r="AC21" i="1"/>
  <c r="AB21" i="1"/>
  <c r="AA21" i="1"/>
  <c r="AE20" i="1"/>
  <c r="AD20" i="1"/>
  <c r="AC20" i="1"/>
  <c r="AB20" i="1"/>
  <c r="AA20" i="1"/>
  <c r="AE19" i="1"/>
  <c r="AD19" i="1"/>
  <c r="AC19" i="1"/>
  <c r="AB19" i="1"/>
  <c r="AA19" i="1"/>
  <c r="AE18" i="1"/>
  <c r="AD18" i="1"/>
  <c r="AC18" i="1"/>
  <c r="AB18" i="1"/>
  <c r="AA18" i="1"/>
  <c r="AE17" i="1"/>
  <c r="AD17" i="1"/>
  <c r="AC17" i="1"/>
  <c r="AB17" i="1"/>
  <c r="AA17" i="1"/>
  <c r="AE16" i="1"/>
  <c r="AD16" i="1"/>
  <c r="AC16" i="1"/>
  <c r="AB16" i="1"/>
  <c r="AA16" i="1"/>
  <c r="AE15" i="1"/>
  <c r="AD15" i="1"/>
  <c r="AC15" i="1"/>
  <c r="AB15" i="1"/>
  <c r="AA15" i="1"/>
  <c r="AE14" i="1"/>
  <c r="AD14" i="1"/>
  <c r="AC14" i="1"/>
  <c r="AB14" i="1"/>
  <c r="AA14" i="1"/>
  <c r="AE13" i="1"/>
  <c r="AD13" i="1"/>
  <c r="AC13" i="1"/>
  <c r="AB13" i="1"/>
  <c r="AA13" i="1"/>
  <c r="AE12" i="1"/>
  <c r="AD12" i="1"/>
  <c r="AC12" i="1"/>
  <c r="AB12" i="1"/>
  <c r="AA12" i="1"/>
  <c r="AE11" i="1"/>
  <c r="AD11" i="1"/>
  <c r="AC11" i="1"/>
  <c r="AB11" i="1"/>
  <c r="AA11" i="1"/>
  <c r="AE10" i="1"/>
  <c r="AD10" i="1"/>
  <c r="AC10" i="1"/>
  <c r="AB10" i="1"/>
  <c r="AA10" i="1"/>
  <c r="AE9" i="1"/>
  <c r="AD9" i="1"/>
  <c r="AC9" i="1"/>
  <c r="AB9" i="1"/>
  <c r="AA9" i="1"/>
  <c r="AE8" i="1"/>
  <c r="AD8" i="1"/>
  <c r="AC8" i="1"/>
  <c r="AB8" i="1"/>
  <c r="AA8" i="1"/>
  <c r="AE7" i="1"/>
  <c r="AD7" i="1"/>
  <c r="AC7" i="1"/>
  <c r="AB7" i="1"/>
  <c r="AA7" i="1"/>
  <c r="AE6" i="1"/>
  <c r="AD6" i="1"/>
  <c r="AC6" i="1"/>
  <c r="AB6" i="1"/>
  <c r="AA6" i="1"/>
  <c r="AE5" i="1"/>
  <c r="AD5" i="1"/>
  <c r="AC5" i="1"/>
  <c r="AB5" i="1"/>
  <c r="AA5" i="1"/>
  <c r="AE4" i="1"/>
  <c r="AD4" i="1"/>
  <c r="AC4" i="1"/>
  <c r="AB4" i="1"/>
  <c r="AA4" i="1"/>
  <c r="AE3" i="1"/>
  <c r="AD3" i="1"/>
  <c r="AC3" i="1"/>
  <c r="AB3" i="1"/>
  <c r="AA3" i="1"/>
  <c r="AE2" i="1"/>
  <c r="AD2" i="1"/>
  <c r="AC2" i="1"/>
  <c r="AB2" i="1"/>
  <c r="AA2" i="1"/>
  <c r="W43" i="5"/>
  <c r="V49" i="5"/>
  <c r="U49" i="5"/>
  <c r="T49" i="5"/>
  <c r="W49" i="5"/>
  <c r="W46" i="5"/>
  <c r="W47" i="5"/>
  <c r="W45" i="5"/>
  <c r="F38" i="5"/>
  <c r="AF38" i="5"/>
  <c r="W32" i="5"/>
  <c r="W40" i="5"/>
  <c r="W53" i="5"/>
  <c r="W67" i="5"/>
  <c r="W73" i="5"/>
  <c r="W59" i="5"/>
  <c r="W41" i="5"/>
  <c r="W54" i="5"/>
  <c r="W68" i="5"/>
  <c r="W39" i="5"/>
  <c r="W60" i="5"/>
  <c r="W74" i="5"/>
  <c r="W34" i="5"/>
  <c r="W44" i="5"/>
  <c r="W58" i="5"/>
  <c r="W72" i="5"/>
  <c r="W52" i="5"/>
  <c r="W66" i="5"/>
  <c r="W61" i="5"/>
  <c r="W75" i="5"/>
  <c r="W42" i="5"/>
  <c r="W56" i="5"/>
  <c r="W70" i="5"/>
  <c r="W65" i="5"/>
  <c r="W51" i="5"/>
  <c r="W37" i="5"/>
  <c r="W69" i="5"/>
  <c r="W55" i="5"/>
  <c r="W50" i="5"/>
  <c r="W64" i="5"/>
  <c r="W71" i="5"/>
  <c r="W76" i="5"/>
  <c r="W63" i="5"/>
  <c r="W36" i="5"/>
  <c r="W62" i="5"/>
  <c r="W57" i="5"/>
  <c r="T32" i="5"/>
  <c r="T40" i="5"/>
  <c r="T53" i="5"/>
  <c r="T67" i="5"/>
  <c r="T47" i="5"/>
  <c r="T59" i="5"/>
  <c r="T73" i="5"/>
  <c r="T41" i="5"/>
  <c r="T68" i="5"/>
  <c r="T54" i="5"/>
  <c r="T46" i="5"/>
  <c r="T39" i="5"/>
  <c r="T60" i="5"/>
  <c r="T74" i="5"/>
  <c r="T34" i="5"/>
  <c r="T44" i="5"/>
  <c r="T72" i="5"/>
  <c r="T58" i="5"/>
  <c r="T52" i="5"/>
  <c r="T66" i="5"/>
  <c r="T61" i="5"/>
  <c r="T75" i="5"/>
  <c r="T42" i="5"/>
  <c r="T56" i="5"/>
  <c r="T70" i="5"/>
  <c r="T51" i="5"/>
  <c r="T65" i="5"/>
  <c r="T37" i="5"/>
  <c r="T55" i="5"/>
  <c r="T69" i="5"/>
  <c r="T64" i="5"/>
  <c r="T50" i="5"/>
  <c r="T36" i="5"/>
  <c r="T76" i="5"/>
  <c r="T62" i="5"/>
  <c r="T43" i="5"/>
  <c r="T57" i="5"/>
  <c r="T71" i="5"/>
  <c r="U32" i="5"/>
  <c r="U40" i="5"/>
  <c r="U67" i="5"/>
  <c r="U53" i="5"/>
  <c r="U47" i="5"/>
  <c r="U59" i="5"/>
  <c r="U73" i="5"/>
  <c r="U41" i="5"/>
  <c r="U54" i="5"/>
  <c r="U68" i="5"/>
  <c r="U46" i="5"/>
  <c r="U39" i="5"/>
  <c r="U60" i="5"/>
  <c r="U74" i="5"/>
  <c r="U34" i="5"/>
  <c r="U44" i="5"/>
  <c r="U58" i="5"/>
  <c r="U72" i="5"/>
  <c r="U52" i="5"/>
  <c r="U66" i="5"/>
  <c r="U75" i="5"/>
  <c r="U61" i="5"/>
  <c r="U42" i="5"/>
  <c r="U56" i="5"/>
  <c r="U70" i="5"/>
  <c r="U51" i="5"/>
  <c r="U65" i="5"/>
  <c r="U37" i="5"/>
  <c r="U55" i="5"/>
  <c r="U69" i="5"/>
  <c r="U50" i="5"/>
  <c r="U64" i="5"/>
  <c r="U36" i="5"/>
  <c r="U62" i="5"/>
  <c r="U76" i="5"/>
  <c r="U43" i="5"/>
  <c r="U71" i="5"/>
  <c r="U57" i="5"/>
  <c r="V32" i="5"/>
  <c r="V40" i="5"/>
  <c r="V53" i="5"/>
  <c r="V67" i="5"/>
  <c r="V47" i="5"/>
  <c r="V59" i="5"/>
  <c r="V73" i="5"/>
  <c r="V41" i="5"/>
  <c r="V54" i="5"/>
  <c r="V68" i="5"/>
  <c r="V46" i="5"/>
  <c r="V39" i="5"/>
  <c r="V74" i="5"/>
  <c r="V60" i="5"/>
  <c r="V34" i="5"/>
  <c r="V44" i="5"/>
  <c r="V58" i="5"/>
  <c r="V72" i="5"/>
  <c r="V66" i="5"/>
  <c r="V52" i="5"/>
  <c r="V61" i="5"/>
  <c r="V75" i="5"/>
  <c r="V42" i="5"/>
  <c r="V70" i="5"/>
  <c r="V56" i="5"/>
  <c r="V51" i="5"/>
  <c r="V65" i="5"/>
  <c r="V37" i="5"/>
  <c r="V55" i="5"/>
  <c r="V69" i="5"/>
  <c r="V50" i="5"/>
  <c r="V64" i="5"/>
  <c r="V36" i="5"/>
  <c r="V62" i="5"/>
  <c r="V76" i="5"/>
  <c r="V43" i="5"/>
  <c r="V57" i="5"/>
  <c r="V71" i="5"/>
  <c r="F40" i="5"/>
  <c r="F41" i="5"/>
  <c r="F34" i="5"/>
  <c r="S49" i="5"/>
  <c r="F49" i="5"/>
  <c r="AF49" i="5"/>
  <c r="W38" i="5"/>
  <c r="AF41" i="5"/>
  <c r="AF40" i="5"/>
  <c r="F32" i="5"/>
  <c r="V38" i="5"/>
  <c r="S43" i="5"/>
  <c r="S56" i="5"/>
  <c r="S70" i="5"/>
  <c r="S47" i="5"/>
  <c r="S45" i="5"/>
  <c r="S32" i="5"/>
  <c r="S42" i="5"/>
  <c r="S58" i="5"/>
  <c r="S72" i="5"/>
  <c r="S41" i="5"/>
  <c r="S36" i="5"/>
  <c r="S37" i="5"/>
  <c r="S44" i="5"/>
  <c r="S73" i="5"/>
  <c r="S59" i="5"/>
  <c r="U38" i="5"/>
  <c r="T38" i="5"/>
  <c r="F62" i="5"/>
  <c r="F76" i="5"/>
  <c r="F67" i="5"/>
  <c r="F53" i="5"/>
  <c r="F50" i="5"/>
  <c r="F64" i="5"/>
  <c r="AF64" i="5"/>
  <c r="F51" i="5"/>
  <c r="F65" i="5"/>
  <c r="F75" i="5"/>
  <c r="F61" i="5"/>
  <c r="F39" i="5"/>
  <c r="F55" i="5"/>
  <c r="F69" i="5"/>
  <c r="F66" i="5"/>
  <c r="F52" i="5"/>
  <c r="F60" i="5"/>
  <c r="F54" i="5"/>
  <c r="I54" i="5"/>
  <c r="F68" i="5"/>
  <c r="F71" i="5"/>
  <c r="F57" i="5"/>
  <c r="S62" i="5"/>
  <c r="S76" i="5"/>
  <c r="S53" i="5"/>
  <c r="S67" i="5"/>
  <c r="S50" i="5"/>
  <c r="S64" i="5"/>
  <c r="S65" i="5"/>
  <c r="S51" i="5"/>
  <c r="S61" i="5"/>
  <c r="S75" i="5"/>
  <c r="S34" i="5"/>
  <c r="S40" i="5"/>
  <c r="S69" i="5"/>
  <c r="S55" i="5"/>
  <c r="S52" i="5"/>
  <c r="S66" i="5"/>
  <c r="S60" i="5"/>
  <c r="S74" i="5"/>
  <c r="S54" i="5"/>
  <c r="S68" i="5"/>
  <c r="S57" i="5"/>
  <c r="S71" i="5"/>
  <c r="S38" i="5"/>
  <c r="F43" i="5"/>
  <c r="F70" i="5"/>
  <c r="F56" i="5"/>
  <c r="F47" i="5"/>
  <c r="F42" i="5"/>
  <c r="F58" i="5"/>
  <c r="F72" i="5"/>
  <c r="F36" i="5"/>
  <c r="F37" i="5"/>
  <c r="F44" i="5"/>
  <c r="F46" i="5"/>
  <c r="F59" i="5"/>
  <c r="F73" i="5"/>
  <c r="I9" i="5"/>
  <c r="I27" i="5"/>
  <c r="I25" i="5"/>
  <c r="I21" i="5"/>
  <c r="I23" i="5"/>
  <c r="BE3" i="18"/>
  <c r="BE14" i="18"/>
  <c r="BE22" i="18"/>
  <c r="BE17" i="18"/>
  <c r="BE10" i="18"/>
  <c r="BE23" i="18"/>
  <c r="BE16" i="18"/>
  <c r="BE28" i="18"/>
  <c r="BE12" i="18"/>
  <c r="BE19" i="18"/>
  <c r="BE8" i="18"/>
  <c r="BE4" i="18"/>
  <c r="BE9" i="18"/>
  <c r="BE7" i="18"/>
  <c r="BE15" i="18"/>
  <c r="BE11" i="18"/>
  <c r="BE6" i="18"/>
  <c r="BE5" i="18"/>
  <c r="BE30" i="18"/>
  <c r="BE26" i="18"/>
  <c r="BE29" i="18"/>
  <c r="BE25" i="18"/>
  <c r="BE27" i="18"/>
  <c r="BE24" i="18"/>
  <c r="BE20" i="18"/>
  <c r="BE2" i="18"/>
  <c r="BE21" i="18"/>
  <c r="BE18" i="18"/>
  <c r="BE13" i="18"/>
  <c r="H15" i="2"/>
  <c r="H12" i="2"/>
  <c r="D10" i="15"/>
  <c r="D46" i="15"/>
  <c r="K12" i="2"/>
  <c r="M5" i="17"/>
  <c r="X5" i="17"/>
  <c r="G3" i="17"/>
  <c r="K8" i="2"/>
  <c r="N2" i="17"/>
  <c r="H8" i="2"/>
  <c r="M30" i="15"/>
  <c r="M35" i="15"/>
  <c r="AF46" i="5"/>
  <c r="AF37" i="5"/>
  <c r="AF36" i="5"/>
  <c r="AF72" i="5"/>
  <c r="AF70" i="5"/>
  <c r="AF54" i="5"/>
  <c r="AF66" i="5"/>
  <c r="AF51" i="5"/>
  <c r="AF67" i="5"/>
  <c r="AF58" i="5"/>
  <c r="AF47" i="5"/>
  <c r="AF43" i="5"/>
  <c r="AF57" i="5"/>
  <c r="AF60" i="5"/>
  <c r="AF69" i="5"/>
  <c r="AF61" i="5"/>
  <c r="AF76" i="5"/>
  <c r="AF73" i="5"/>
  <c r="AF44" i="5"/>
  <c r="AF42" i="5"/>
  <c r="AF71" i="5"/>
  <c r="AF74" i="5"/>
  <c r="AF55" i="5"/>
  <c r="AF75" i="5"/>
  <c r="AF50" i="5"/>
  <c r="AF62" i="5"/>
  <c r="AF59" i="5"/>
  <c r="AF56" i="5"/>
  <c r="AF68" i="5"/>
  <c r="AF39" i="5"/>
  <c r="AF53" i="5"/>
  <c r="J16" i="17"/>
  <c r="AR16" i="17"/>
  <c r="J13" i="17"/>
  <c r="AR13" i="17"/>
  <c r="BC13" i="17"/>
  <c r="J7" i="17"/>
  <c r="AR7" i="17"/>
  <c r="J2" i="17"/>
  <c r="AR2" i="17"/>
  <c r="J30" i="17"/>
  <c r="J26" i="17"/>
  <c r="J36" i="17"/>
  <c r="J15" i="17"/>
  <c r="J44" i="17"/>
  <c r="J12" i="17"/>
  <c r="J60" i="17"/>
  <c r="J11" i="17"/>
  <c r="J6" i="17"/>
  <c r="J47" i="17"/>
  <c r="J25" i="17"/>
  <c r="J23" i="17"/>
  <c r="AR23" i="17"/>
  <c r="AR49" i="17"/>
  <c r="BC49" i="17"/>
  <c r="J19" i="17"/>
  <c r="J18" i="17"/>
  <c r="J75" i="17"/>
  <c r="J14" i="17"/>
  <c r="J34" i="17"/>
  <c r="J28" i="17"/>
  <c r="J27" i="17"/>
  <c r="J76" i="17"/>
  <c r="J22" i="17"/>
  <c r="AR22" i="17"/>
  <c r="AR37" i="17"/>
  <c r="BC37" i="17"/>
  <c r="J10" i="17"/>
  <c r="J8" i="17"/>
  <c r="J4" i="17"/>
  <c r="F16" i="17"/>
  <c r="F13" i="17"/>
  <c r="F7" i="17"/>
  <c r="F2" i="17"/>
  <c r="Q2" i="17"/>
  <c r="F30" i="17"/>
  <c r="F26" i="17"/>
  <c r="F36" i="17"/>
  <c r="F15" i="17"/>
  <c r="AN15" i="17"/>
  <c r="F12" i="17"/>
  <c r="F11" i="17"/>
  <c r="F6" i="17"/>
  <c r="AN6" i="17"/>
  <c r="F25" i="17"/>
  <c r="F50" i="17"/>
  <c r="F23" i="17"/>
  <c r="F19" i="17"/>
  <c r="F42" i="17"/>
  <c r="F18" i="17"/>
  <c r="F75" i="17"/>
  <c r="F14" i="17"/>
  <c r="F28" i="17"/>
  <c r="F27" i="17"/>
  <c r="F22" i="17"/>
  <c r="F10" i="17"/>
  <c r="F8" i="17"/>
  <c r="F41" i="17"/>
  <c r="F4" i="17"/>
  <c r="AN4" i="17"/>
  <c r="K30" i="17"/>
  <c r="K35" i="17"/>
  <c r="K26" i="17"/>
  <c r="V26" i="17"/>
  <c r="K15" i="17"/>
  <c r="AS15" i="17"/>
  <c r="K12" i="17"/>
  <c r="K74" i="17"/>
  <c r="K11" i="17"/>
  <c r="K6" i="17"/>
  <c r="AS6" i="17"/>
  <c r="AS47" i="17"/>
  <c r="BD47" i="17"/>
  <c r="K25" i="17"/>
  <c r="AS25" i="17"/>
  <c r="AS64" i="17"/>
  <c r="BD64" i="17"/>
  <c r="K23" i="17"/>
  <c r="AS23" i="17"/>
  <c r="AS49" i="17"/>
  <c r="BD49" i="17"/>
  <c r="K19" i="17"/>
  <c r="K18" i="17"/>
  <c r="K14" i="17"/>
  <c r="K28" i="17"/>
  <c r="K43" i="17"/>
  <c r="K27" i="17"/>
  <c r="K76" i="17"/>
  <c r="K22" i="17"/>
  <c r="V22" i="17"/>
  <c r="K10" i="17"/>
  <c r="V10" i="17"/>
  <c r="AG10" i="17"/>
  <c r="K8" i="17"/>
  <c r="K4" i="17"/>
  <c r="K16" i="17"/>
  <c r="K72" i="17"/>
  <c r="K13" i="17"/>
  <c r="K33" i="17"/>
  <c r="K7" i="17"/>
  <c r="AS7" i="17"/>
  <c r="G30" i="17"/>
  <c r="G26" i="17"/>
  <c r="AO26" i="17"/>
  <c r="G15" i="17"/>
  <c r="G12" i="17"/>
  <c r="AO12" i="17"/>
  <c r="AO60" i="17"/>
  <c r="AZ60" i="17"/>
  <c r="G11" i="17"/>
  <c r="G39" i="17"/>
  <c r="G6" i="17"/>
  <c r="AO6" i="17"/>
  <c r="G25" i="17"/>
  <c r="R25" i="17"/>
  <c r="R50" i="17"/>
  <c r="AC50" i="17"/>
  <c r="G23" i="17"/>
  <c r="G19" i="17"/>
  <c r="G42" i="17"/>
  <c r="G18" i="17"/>
  <c r="G14" i="17"/>
  <c r="G28" i="17"/>
  <c r="G27" i="17"/>
  <c r="G22" i="17"/>
  <c r="G10" i="17"/>
  <c r="G46" i="17"/>
  <c r="G8" i="17"/>
  <c r="G4" i="17"/>
  <c r="G16" i="17"/>
  <c r="R16" i="17"/>
  <c r="R72" i="17"/>
  <c r="AC72" i="17"/>
  <c r="G13" i="17"/>
  <c r="G33" i="17"/>
  <c r="G7" i="17"/>
  <c r="G73" i="17"/>
  <c r="G2" i="17"/>
  <c r="H25" i="17"/>
  <c r="H50" i="17"/>
  <c r="H23" i="17"/>
  <c r="H19" i="17"/>
  <c r="H18" i="17"/>
  <c r="H14" i="17"/>
  <c r="AP14" i="17"/>
  <c r="H28" i="17"/>
  <c r="H43" i="17"/>
  <c r="H27" i="17"/>
  <c r="AP27" i="17"/>
  <c r="H22" i="17"/>
  <c r="H10" i="17"/>
  <c r="H46" i="17"/>
  <c r="H8" i="17"/>
  <c r="H41" i="17"/>
  <c r="H4" i="17"/>
  <c r="H16" i="17"/>
  <c r="H13" i="17"/>
  <c r="H7" i="17"/>
  <c r="H2" i="17"/>
  <c r="H30" i="17"/>
  <c r="H26" i="17"/>
  <c r="H15" i="17"/>
  <c r="H44" i="17"/>
  <c r="H12" i="17"/>
  <c r="H11" i="17"/>
  <c r="H6" i="17"/>
  <c r="I28" i="17"/>
  <c r="I27" i="17"/>
  <c r="I22" i="17"/>
  <c r="AQ22" i="17"/>
  <c r="AQ37" i="17"/>
  <c r="BB37" i="17"/>
  <c r="I10" i="17"/>
  <c r="I8" i="17"/>
  <c r="I41" i="17"/>
  <c r="I4" i="17"/>
  <c r="I16" i="17"/>
  <c r="AQ16" i="17"/>
  <c r="I13" i="17"/>
  <c r="AQ13" i="17"/>
  <c r="AQ33" i="17"/>
  <c r="BB33" i="17"/>
  <c r="I7" i="17"/>
  <c r="I59" i="17"/>
  <c r="I2" i="17"/>
  <c r="I30" i="17"/>
  <c r="I35" i="17"/>
  <c r="I26" i="17"/>
  <c r="T26" i="17"/>
  <c r="T36" i="17"/>
  <c r="AE36" i="17"/>
  <c r="I15" i="17"/>
  <c r="I12" i="17"/>
  <c r="I11" i="17"/>
  <c r="I6" i="17"/>
  <c r="AQ6" i="17"/>
  <c r="I25" i="17"/>
  <c r="AQ25" i="17"/>
  <c r="AQ50" i="17"/>
  <c r="BB50" i="17"/>
  <c r="I23" i="17"/>
  <c r="I49" i="17"/>
  <c r="I19" i="17"/>
  <c r="I42" i="17"/>
  <c r="I18" i="17"/>
  <c r="I14" i="17"/>
  <c r="AJ16" i="17"/>
  <c r="AJ58" i="17"/>
  <c r="AU58" i="17"/>
  <c r="AJ13" i="17"/>
  <c r="AU13" i="17"/>
  <c r="AJ7" i="17"/>
  <c r="AJ59" i="17"/>
  <c r="AU59" i="17"/>
  <c r="AJ2" i="17"/>
  <c r="AJ26" i="17"/>
  <c r="AJ36" i="17"/>
  <c r="AU36" i="17"/>
  <c r="AJ15" i="17"/>
  <c r="AJ44" i="17"/>
  <c r="AU44" i="17"/>
  <c r="AJ12" i="17"/>
  <c r="AU12" i="17"/>
  <c r="AJ11" i="17"/>
  <c r="AJ39" i="17"/>
  <c r="AU39" i="17"/>
  <c r="AJ6" i="17"/>
  <c r="AU6" i="17"/>
  <c r="AJ25" i="17"/>
  <c r="AJ23" i="17"/>
  <c r="AU23" i="17"/>
  <c r="AJ19" i="17"/>
  <c r="AJ18" i="17"/>
  <c r="AJ75" i="17"/>
  <c r="AU75" i="17"/>
  <c r="AJ14" i="17"/>
  <c r="AU14" i="17"/>
  <c r="AJ30" i="17"/>
  <c r="AJ35" i="17"/>
  <c r="AU35" i="17"/>
  <c r="AJ28" i="17"/>
  <c r="AJ27" i="17"/>
  <c r="AU27" i="17"/>
  <c r="AJ22" i="17"/>
  <c r="AJ37" i="17"/>
  <c r="AU37" i="17"/>
  <c r="AJ10" i="17"/>
  <c r="AU10" i="17"/>
  <c r="AJ8" i="17"/>
  <c r="AU8" i="17"/>
  <c r="AJ4" i="17"/>
  <c r="AU4" i="17"/>
  <c r="AJ3" i="17"/>
  <c r="AJ32" i="17"/>
  <c r="AU32" i="17"/>
  <c r="J3" i="17"/>
  <c r="F3" i="17"/>
  <c r="F32" i="17"/>
  <c r="H3" i="17"/>
  <c r="AP3" i="17"/>
  <c r="I3" i="17"/>
  <c r="K3" i="17"/>
  <c r="AS3" i="17"/>
  <c r="AS32" i="17"/>
  <c r="AF32" i="5"/>
  <c r="AF31" i="5"/>
  <c r="AF63" i="5"/>
  <c r="AF65" i="5"/>
  <c r="AF48" i="5"/>
  <c r="AF52" i="5"/>
  <c r="AF45" i="5"/>
  <c r="AU5" i="17"/>
  <c r="AU21" i="17"/>
  <c r="AU29" i="17"/>
  <c r="AU17" i="17"/>
  <c r="AJ70" i="17"/>
  <c r="AU70" i="17"/>
  <c r="AU20" i="17"/>
  <c r="AU24" i="17"/>
  <c r="I70" i="17"/>
  <c r="I56" i="17"/>
  <c r="H70" i="17"/>
  <c r="H56" i="17"/>
  <c r="H36" i="17"/>
  <c r="AO22" i="17"/>
  <c r="AZ22" i="17"/>
  <c r="G68" i="17"/>
  <c r="G54" i="17"/>
  <c r="G66" i="17"/>
  <c r="G52" i="17"/>
  <c r="G70" i="17"/>
  <c r="G56" i="17"/>
  <c r="G69" i="17"/>
  <c r="G55" i="17"/>
  <c r="V27" i="17"/>
  <c r="V76" i="17"/>
  <c r="AG76" i="17"/>
  <c r="V6" i="17"/>
  <c r="V47" i="17"/>
  <c r="AG47" i="17"/>
  <c r="K70" i="17"/>
  <c r="K56" i="17"/>
  <c r="V20" i="17"/>
  <c r="V70" i="17"/>
  <c r="AG70" i="17"/>
  <c r="V30" i="17"/>
  <c r="V35" i="17"/>
  <c r="AG35" i="17"/>
  <c r="F49" i="17"/>
  <c r="F70" i="17"/>
  <c r="F56" i="17"/>
  <c r="AR28" i="17"/>
  <c r="AR43" i="17"/>
  <c r="BC43" i="17"/>
  <c r="J61" i="17"/>
  <c r="J35" i="17"/>
  <c r="AV23" i="17"/>
  <c r="E4" i="2"/>
  <c r="H4" i="2"/>
  <c r="F27" i="15"/>
  <c r="K4" i="2"/>
  <c r="O5" i="17"/>
  <c r="Z5" i="17"/>
  <c r="O12" i="17"/>
  <c r="BH22" i="17"/>
  <c r="BH37" i="17"/>
  <c r="J29" i="15"/>
  <c r="J71" i="15"/>
  <c r="J27" i="15"/>
  <c r="J62" i="15"/>
  <c r="S26" i="15"/>
  <c r="I23" i="15"/>
  <c r="I49" i="15"/>
  <c r="S20" i="15"/>
  <c r="S17" i="15"/>
  <c r="S52" i="15"/>
  <c r="J11" i="15"/>
  <c r="J39" i="15"/>
  <c r="S10" i="15"/>
  <c r="S8" i="15"/>
  <c r="S41" i="15"/>
  <c r="H8" i="15"/>
  <c r="H41" i="15"/>
  <c r="I7" i="15"/>
  <c r="I73" i="15"/>
  <c r="N47" i="15"/>
  <c r="K26" i="15"/>
  <c r="K36" i="15"/>
  <c r="F26" i="15"/>
  <c r="F36" i="15"/>
  <c r="S25" i="15"/>
  <c r="U25" i="15"/>
  <c r="U50" i="15"/>
  <c r="L25" i="15"/>
  <c r="L50" i="15"/>
  <c r="K24" i="15"/>
  <c r="K69" i="15"/>
  <c r="S23" i="15"/>
  <c r="X23" i="15"/>
  <c r="X49" i="15"/>
  <c r="I22" i="15"/>
  <c r="I37" i="15"/>
  <c r="H21" i="15"/>
  <c r="K20" i="15"/>
  <c r="K56" i="15"/>
  <c r="F20" i="15"/>
  <c r="F70" i="15"/>
  <c r="S19" i="15"/>
  <c r="L19" i="15"/>
  <c r="L42" i="15"/>
  <c r="H19" i="15"/>
  <c r="H42" i="15"/>
  <c r="K17" i="15"/>
  <c r="K66" i="15"/>
  <c r="J16" i="15"/>
  <c r="J58" i="15"/>
  <c r="K15" i="15"/>
  <c r="K44" i="15"/>
  <c r="F15" i="15"/>
  <c r="F44" i="15"/>
  <c r="S14" i="15"/>
  <c r="L14" i="15"/>
  <c r="L34" i="15"/>
  <c r="H14" i="15"/>
  <c r="H34" i="15"/>
  <c r="F12" i="15"/>
  <c r="K10" i="15"/>
  <c r="K46" i="15"/>
  <c r="F10" i="15"/>
  <c r="F46" i="15"/>
  <c r="N54" i="15"/>
  <c r="J9" i="15"/>
  <c r="K8" i="15"/>
  <c r="K41" i="15"/>
  <c r="F8" i="15"/>
  <c r="V6" i="15"/>
  <c r="V47" i="15"/>
  <c r="J30" i="15"/>
  <c r="J35" i="15"/>
  <c r="K29" i="15"/>
  <c r="F29" i="15"/>
  <c r="F71" i="15"/>
  <c r="S28" i="15"/>
  <c r="S43" i="15"/>
  <c r="L28" i="15"/>
  <c r="L43" i="15"/>
  <c r="H28" i="15"/>
  <c r="H43" i="15"/>
  <c r="N36" i="15"/>
  <c r="F25" i="15"/>
  <c r="F64" i="15"/>
  <c r="N69" i="15"/>
  <c r="J24" i="15"/>
  <c r="J55" i="15"/>
  <c r="K23" i="15"/>
  <c r="K49" i="15"/>
  <c r="F23" i="15"/>
  <c r="S22" i="15"/>
  <c r="L22" i="15"/>
  <c r="L37" i="15"/>
  <c r="F21" i="15"/>
  <c r="K19" i="15"/>
  <c r="K42" i="15"/>
  <c r="F19" i="15"/>
  <c r="F42" i="15"/>
  <c r="K18" i="15"/>
  <c r="K75" i="15"/>
  <c r="F18" i="15"/>
  <c r="J17" i="15"/>
  <c r="J52" i="15"/>
  <c r="V16" i="15"/>
  <c r="V72" i="15"/>
  <c r="J15" i="15"/>
  <c r="J44" i="15"/>
  <c r="F14" i="15"/>
  <c r="F34" i="15"/>
  <c r="V13" i="15"/>
  <c r="V33" i="15"/>
  <c r="I13" i="15"/>
  <c r="I33" i="15"/>
  <c r="N74" i="15"/>
  <c r="J12" i="15"/>
  <c r="S11" i="15"/>
  <c r="L11" i="15"/>
  <c r="L39" i="15"/>
  <c r="H11" i="15"/>
  <c r="H39" i="15"/>
  <c r="J8" i="15"/>
  <c r="J41" i="15"/>
  <c r="H6" i="15"/>
  <c r="H47" i="15"/>
  <c r="N53" i="15"/>
  <c r="J5" i="15"/>
  <c r="J67" i="15"/>
  <c r="K4" i="15"/>
  <c r="K40" i="15"/>
  <c r="F4" i="15"/>
  <c r="F40" i="15"/>
  <c r="S2" i="15"/>
  <c r="X2" i="15"/>
  <c r="X38" i="15"/>
  <c r="L2" i="15"/>
  <c r="L38" i="15"/>
  <c r="H2" i="15"/>
  <c r="H38" i="15"/>
  <c r="K3" i="15"/>
  <c r="K32" i="15"/>
  <c r="F3" i="15"/>
  <c r="F32" i="15"/>
  <c r="I9" i="15"/>
  <c r="F7" i="15"/>
  <c r="V5" i="15"/>
  <c r="V53" i="15"/>
  <c r="I5" i="15"/>
  <c r="I67" i="15"/>
  <c r="J4" i="15"/>
  <c r="J40" i="15"/>
  <c r="K2" i="15"/>
  <c r="K38" i="15"/>
  <c r="F2" i="15"/>
  <c r="F38" i="15"/>
  <c r="J3" i="15"/>
  <c r="J32" i="15"/>
  <c r="S6" i="15"/>
  <c r="S5" i="15"/>
  <c r="L5" i="15"/>
  <c r="L67" i="15"/>
  <c r="H5" i="15"/>
  <c r="V4" i="15"/>
  <c r="V40" i="15"/>
  <c r="I4" i="15"/>
  <c r="I40" i="15"/>
  <c r="J2" i="15"/>
  <c r="J38" i="15"/>
  <c r="V3" i="15"/>
  <c r="V32" i="15"/>
  <c r="I3" i="15"/>
  <c r="I32" i="15"/>
  <c r="V9" i="15"/>
  <c r="V54" i="15"/>
  <c r="N41" i="15"/>
  <c r="L6" i="15"/>
  <c r="L47" i="15"/>
  <c r="K5" i="15"/>
  <c r="K67" i="15"/>
  <c r="F5" i="15"/>
  <c r="F53" i="15"/>
  <c r="S4" i="15"/>
  <c r="X4" i="15"/>
  <c r="X40" i="15"/>
  <c r="L4" i="15"/>
  <c r="L40" i="15"/>
  <c r="H4" i="15"/>
  <c r="H40" i="15"/>
  <c r="V2" i="15"/>
  <c r="V38" i="15"/>
  <c r="I2" i="15"/>
  <c r="I38" i="15"/>
  <c r="L3" i="15"/>
  <c r="L32" i="15"/>
  <c r="H3" i="15"/>
  <c r="H32" i="15"/>
  <c r="AN70" i="17"/>
  <c r="AY70" i="17"/>
  <c r="AY20" i="17"/>
  <c r="AS70" i="17"/>
  <c r="BD70" i="17"/>
  <c r="BD20" i="17"/>
  <c r="AZ24" i="17"/>
  <c r="AO70" i="17"/>
  <c r="AZ70" i="17"/>
  <c r="AZ20" i="17"/>
  <c r="AZ17" i="17"/>
  <c r="AZ9" i="17"/>
  <c r="AP70" i="17"/>
  <c r="BA70" i="17"/>
  <c r="BA20" i="17"/>
  <c r="AQ70" i="17"/>
  <c r="BB70" i="17"/>
  <c r="BB20" i="17"/>
  <c r="N32" i="15"/>
  <c r="S3" i="15"/>
  <c r="U3" i="15"/>
  <c r="U32" i="15"/>
  <c r="H5" i="2"/>
  <c r="BD3" i="18"/>
  <c r="BG3" i="18"/>
  <c r="BC3" i="18"/>
  <c r="BK3" i="18"/>
  <c r="BI3" i="18"/>
  <c r="BM3" i="18"/>
  <c r="BJ3" i="18"/>
  <c r="BL3" i="18"/>
  <c r="EP59" i="18"/>
  <c r="FE59" i="18"/>
  <c r="Q28" i="17"/>
  <c r="T10" i="15"/>
  <c r="T46" i="15"/>
  <c r="R17" i="17"/>
  <c r="R52" i="17"/>
  <c r="AC52" i="17"/>
  <c r="V62" i="17"/>
  <c r="AG62" i="17"/>
  <c r="G28" i="5"/>
  <c r="G43" i="5"/>
  <c r="BV51" i="18"/>
  <c r="AX17" i="5"/>
  <c r="AC3" i="31"/>
  <c r="AX3" i="5"/>
  <c r="AX15" i="5"/>
  <c r="AX26" i="5"/>
  <c r="EF5" i="18"/>
  <c r="DP27" i="18"/>
  <c r="D44" i="30"/>
  <c r="G15" i="5"/>
  <c r="BV64" i="18"/>
  <c r="AX21" i="5"/>
  <c r="AX18" i="5"/>
  <c r="AX19" i="5"/>
  <c r="M25" i="5"/>
  <c r="EF14" i="18"/>
  <c r="EF6" i="18"/>
  <c r="BV23" i="18"/>
  <c r="BV11" i="18"/>
  <c r="M44" i="5"/>
  <c r="D46" i="30"/>
  <c r="BV50" i="18"/>
  <c r="CK50" i="18"/>
  <c r="EF69" i="18"/>
  <c r="EU69" i="18"/>
  <c r="EF55" i="18"/>
  <c r="AX25" i="5"/>
  <c r="AX23" i="5"/>
  <c r="AX9" i="5"/>
  <c r="EF16" i="18"/>
  <c r="BV22" i="18"/>
  <c r="BV10" i="18"/>
  <c r="BX31" i="30"/>
  <c r="DP20" i="18"/>
  <c r="EF56" i="18"/>
  <c r="EU56" i="18"/>
  <c r="D42" i="30"/>
  <c r="G2" i="5"/>
  <c r="EF18" i="18"/>
  <c r="EF8" i="18"/>
  <c r="BV21" i="18"/>
  <c r="BV9" i="18"/>
  <c r="EF54" i="18"/>
  <c r="EF70" i="18"/>
  <c r="EU70" i="18"/>
  <c r="D37" i="30"/>
  <c r="G22" i="5"/>
  <c r="G37" i="5"/>
  <c r="BV40" i="18"/>
  <c r="EF21" i="18"/>
  <c r="EF20" i="18"/>
  <c r="EF9" i="18"/>
  <c r="D46" i="31"/>
  <c r="D38" i="31"/>
  <c r="D33" i="30"/>
  <c r="EF61" i="18"/>
  <c r="M2" i="5"/>
  <c r="M7" i="5"/>
  <c r="AX20" i="5"/>
  <c r="EF29" i="18"/>
  <c r="EF37" i="18"/>
  <c r="EF46" i="18"/>
  <c r="EU46" i="18"/>
  <c r="EF10" i="18"/>
  <c r="CH45" i="30"/>
  <c r="BV19" i="18"/>
  <c r="BV7" i="18"/>
  <c r="BV59" i="18"/>
  <c r="CK59" i="18"/>
  <c r="M12" i="5"/>
  <c r="AX24" i="5"/>
  <c r="EF24" i="18"/>
  <c r="BV30" i="18"/>
  <c r="BV18" i="18"/>
  <c r="BV6" i="18"/>
  <c r="DP5" i="18"/>
  <c r="EF25" i="18"/>
  <c r="EF7" i="18"/>
  <c r="BV5" i="18"/>
  <c r="BF2" i="18"/>
  <c r="EF73" i="18"/>
  <c r="EU73" i="18"/>
  <c r="G7" i="5"/>
  <c r="I7" i="5"/>
  <c r="BF18" i="18"/>
  <c r="BV72" i="18"/>
  <c r="CK72" i="18"/>
  <c r="BV68" i="18"/>
  <c r="M49" i="5"/>
  <c r="R49" i="5"/>
  <c r="EF52" i="18"/>
  <c r="EF66" i="18"/>
  <c r="EU66" i="18"/>
  <c r="AC2" i="31"/>
  <c r="AX2" i="5"/>
  <c r="M18" i="5"/>
  <c r="AX14" i="5"/>
  <c r="EF12" i="18"/>
  <c r="EF13" i="18"/>
  <c r="BV16" i="18"/>
  <c r="BV4" i="18"/>
  <c r="BV62" i="18"/>
  <c r="CK62" i="18"/>
  <c r="EF51" i="18"/>
  <c r="M55" i="5"/>
  <c r="BF12" i="18"/>
  <c r="BV54" i="18"/>
  <c r="CK54" i="18"/>
  <c r="AX6" i="5"/>
  <c r="AX30" i="5"/>
  <c r="EF19" i="18"/>
  <c r="EF30" i="18"/>
  <c r="BV27" i="18"/>
  <c r="BV15" i="18"/>
  <c r="BV3" i="18"/>
  <c r="BB37" i="5"/>
  <c r="EF65" i="18"/>
  <c r="M65" i="5"/>
  <c r="R65" i="5"/>
  <c r="BV70" i="18"/>
  <c r="EF64" i="18"/>
  <c r="EU64" i="18"/>
  <c r="EF50" i="18"/>
  <c r="EU50" i="18"/>
  <c r="AX10" i="5"/>
  <c r="AX4" i="5"/>
  <c r="EF23" i="18"/>
  <c r="EF3" i="18"/>
  <c r="W45" i="30"/>
  <c r="EF58" i="18"/>
  <c r="EU58" i="18"/>
  <c r="BV56" i="18"/>
  <c r="CK56" i="18"/>
  <c r="EF57" i="18"/>
  <c r="AX13" i="5"/>
  <c r="AX8" i="5"/>
  <c r="AX11" i="5"/>
  <c r="EF27" i="18"/>
  <c r="EF40" i="18"/>
  <c r="EU40" i="18"/>
  <c r="EF4" i="18"/>
  <c r="BV26" i="18"/>
  <c r="BV14" i="18"/>
  <c r="BV25" i="18"/>
  <c r="BV13" i="18"/>
  <c r="AS48" i="32"/>
  <c r="AS31" i="32"/>
  <c r="Q57" i="32"/>
  <c r="CR48" i="18"/>
  <c r="EZ48" i="18"/>
  <c r="CS48" i="18"/>
  <c r="FM63" i="18"/>
  <c r="FM51" i="18"/>
  <c r="CW59" i="18"/>
  <c r="DW30" i="18"/>
  <c r="FJ55" i="18"/>
  <c r="CJ48" i="18"/>
  <c r="AC63" i="18"/>
  <c r="DV19" i="18"/>
  <c r="DW17" i="18"/>
  <c r="FO76" i="18"/>
  <c r="FJ54" i="18"/>
  <c r="FO53" i="18"/>
  <c r="AE63" i="18"/>
  <c r="DO7" i="18"/>
  <c r="FH63" i="18"/>
  <c r="N63" i="18"/>
  <c r="EY63" i="18"/>
  <c r="FM48" i="18"/>
  <c r="L63" i="18"/>
  <c r="DO24" i="18"/>
  <c r="O63" i="18"/>
  <c r="E63" i="18"/>
  <c r="FI48" i="18"/>
  <c r="F48" i="18"/>
  <c r="E48" i="18"/>
  <c r="G63" i="18"/>
  <c r="FH48" i="18"/>
  <c r="BC4" i="18"/>
  <c r="EP70" i="18"/>
  <c r="FE70" i="18"/>
  <c r="FI31" i="18"/>
  <c r="O31" i="18"/>
  <c r="J45" i="18"/>
  <c r="E31" i="18"/>
  <c r="FH45" i="18"/>
  <c r="AH64" i="18"/>
  <c r="AH63" i="18"/>
  <c r="EV68" i="18"/>
  <c r="EV58" i="18"/>
  <c r="FG58" i="18"/>
  <c r="ES48" i="18"/>
  <c r="CL48" i="18"/>
  <c r="EY68" i="18"/>
  <c r="FM65" i="18"/>
  <c r="FN63" i="18"/>
  <c r="AF48" i="18"/>
  <c r="V54" i="18"/>
  <c r="AH54" i="18"/>
  <c r="EG72" i="18"/>
  <c r="EV72" i="18"/>
  <c r="BL30" i="18"/>
  <c r="DW4" i="18"/>
  <c r="DV26" i="18"/>
  <c r="CP63" i="18"/>
  <c r="CJ63" i="18"/>
  <c r="ER48" i="18"/>
  <c r="DS4" i="18"/>
  <c r="BG14" i="18"/>
  <c r="CT63" i="18"/>
  <c r="AJ63" i="18"/>
  <c r="AM63" i="18"/>
  <c r="AC48" i="18"/>
  <c r="FC48" i="18"/>
  <c r="FO75" i="18"/>
  <c r="V50" i="18"/>
  <c r="AH50" i="18"/>
  <c r="CP31" i="18"/>
  <c r="BL18" i="18"/>
  <c r="DQ16" i="18"/>
  <c r="CN63" i="18"/>
  <c r="AF63" i="18"/>
  <c r="FF48" i="18"/>
  <c r="FO70" i="18"/>
  <c r="CR63" i="18"/>
  <c r="FB63" i="18"/>
  <c r="FA63" i="18"/>
  <c r="FB48" i="18"/>
  <c r="EZ63" i="18"/>
  <c r="FO74" i="18"/>
  <c r="BQ19" i="18"/>
  <c r="CU63" i="18"/>
  <c r="FF63" i="18"/>
  <c r="AJ48" i="18"/>
  <c r="FC63" i="18"/>
  <c r="FF31" i="18"/>
  <c r="CQ48" i="18"/>
  <c r="CI63" i="18"/>
  <c r="FM53" i="18"/>
  <c r="FO63" i="18"/>
  <c r="DU29" i="18"/>
  <c r="CU48" i="18"/>
  <c r="EX63" i="18"/>
  <c r="FD48" i="18"/>
  <c r="EA13" i="18"/>
  <c r="CO48" i="18"/>
  <c r="CI48" i="18"/>
  <c r="FO64" i="18"/>
  <c r="EG54" i="18"/>
  <c r="EV54" i="18"/>
  <c r="CG60" i="18"/>
  <c r="CV60" i="18"/>
  <c r="CW50" i="18"/>
  <c r="AL48" i="18"/>
  <c r="AL63" i="18"/>
  <c r="ES63" i="18"/>
  <c r="CO31" i="18"/>
  <c r="BR2" i="18"/>
  <c r="AH48" i="18"/>
  <c r="AH49" i="18"/>
  <c r="CS32" i="18"/>
  <c r="CS31" i="18"/>
  <c r="CN49" i="18"/>
  <c r="CN48" i="18"/>
  <c r="EV49" i="18"/>
  <c r="FB40" i="18"/>
  <c r="CJ32" i="18"/>
  <c r="CJ31" i="18"/>
  <c r="H31" i="18"/>
  <c r="L48" i="18"/>
  <c r="FJ45" i="18"/>
  <c r="L31" i="18"/>
  <c r="BC44" i="5"/>
  <c r="AX46" i="5"/>
  <c r="BC46" i="5"/>
  <c r="AX47" i="5"/>
  <c r="BW51" i="31"/>
  <c r="BR54" i="31"/>
  <c r="BS60" i="31"/>
  <c r="M57" i="31"/>
  <c r="O59" i="31"/>
  <c r="G58" i="31"/>
  <c r="AA42" i="31"/>
  <c r="BN64" i="31"/>
  <c r="AX7" i="5"/>
  <c r="CA41" i="31"/>
  <c r="F50" i="31"/>
  <c r="F48" i="31"/>
  <c r="EF72" i="18"/>
  <c r="EU72" i="18"/>
  <c r="EF2" i="18"/>
  <c r="BZ57" i="31"/>
  <c r="CA59" i="31"/>
  <c r="BV62" i="31"/>
  <c r="BW58" i="31"/>
  <c r="Q76" i="31"/>
  <c r="H56" i="31"/>
  <c r="AX27" i="5"/>
  <c r="BY63" i="31"/>
  <c r="EF68" i="18"/>
  <c r="EU68" i="18"/>
  <c r="BE61" i="31"/>
  <c r="CA58" i="31"/>
  <c r="F72" i="31"/>
  <c r="L56" i="31"/>
  <c r="N54" i="31"/>
  <c r="H57" i="31"/>
  <c r="Z60" i="31"/>
  <c r="BE34" i="31"/>
  <c r="BG45" i="31"/>
  <c r="BF50" i="31"/>
  <c r="AX29" i="5"/>
  <c r="BI57" i="31"/>
  <c r="BH65" i="31"/>
  <c r="BK51" i="31"/>
  <c r="BG54" i="31"/>
  <c r="L57" i="31"/>
  <c r="T52" i="31"/>
  <c r="E58" i="31"/>
  <c r="Q59" i="31"/>
  <c r="J53" i="31"/>
  <c r="CB45" i="31"/>
  <c r="N50" i="31"/>
  <c r="BT69" i="31"/>
  <c r="AX5" i="5"/>
  <c r="E72" i="31"/>
  <c r="EF22" i="18"/>
  <c r="AX28" i="5"/>
  <c r="BJ62" i="31"/>
  <c r="BH54" i="31"/>
  <c r="BI54" i="31"/>
  <c r="BK53" i="31"/>
  <c r="I75" i="31"/>
  <c r="Q72" i="31"/>
  <c r="J55" i="31"/>
  <c r="AX12" i="5"/>
  <c r="EF59" i="18"/>
  <c r="BV45" i="31"/>
  <c r="Y50" i="31"/>
  <c r="BD45" i="31"/>
  <c r="BD33" i="31"/>
  <c r="AX67" i="5"/>
  <c r="AX75" i="5"/>
  <c r="H69" i="31"/>
  <c r="AX66" i="5"/>
  <c r="AX65" i="5"/>
  <c r="AX64" i="5"/>
  <c r="EF32" i="18"/>
  <c r="EU32" i="18"/>
  <c r="AX72" i="5"/>
  <c r="AX68" i="5"/>
  <c r="AX70" i="5"/>
  <c r="AX69" i="5"/>
  <c r="BC55" i="5"/>
  <c r="Y63" i="31"/>
  <c r="BO48" i="31"/>
  <c r="I22" i="5"/>
  <c r="I37" i="5"/>
  <c r="I28" i="5"/>
  <c r="I17" i="5"/>
  <c r="I52" i="5"/>
  <c r="I43" i="5"/>
  <c r="CI63" i="30"/>
  <c r="BV76" i="18"/>
  <c r="CK76" i="18"/>
  <c r="CH63" i="30"/>
  <c r="CJ63" i="30"/>
  <c r="BV61" i="18"/>
  <c r="CK61" i="18"/>
  <c r="M20" i="5"/>
  <c r="BV74" i="18"/>
  <c r="CK74" i="18"/>
  <c r="CV45" i="30"/>
  <c r="CL63" i="30"/>
  <c r="M21" i="5"/>
  <c r="M23" i="5"/>
  <c r="M17" i="5"/>
  <c r="BV53" i="18"/>
  <c r="CK53" i="18"/>
  <c r="M30" i="5"/>
  <c r="CF63" i="30"/>
  <c r="CN48" i="30"/>
  <c r="BF45" i="30"/>
  <c r="BV73" i="18"/>
  <c r="CK73" i="18"/>
  <c r="CO63" i="30"/>
  <c r="CS63" i="30"/>
  <c r="BV65" i="18"/>
  <c r="CW65" i="18"/>
  <c r="Q63" i="30"/>
  <c r="AA45" i="30"/>
  <c r="M70" i="5"/>
  <c r="M56" i="5"/>
  <c r="M71" i="5"/>
  <c r="M57" i="5"/>
  <c r="BV58" i="18"/>
  <c r="CK58" i="18"/>
  <c r="CK63" i="30"/>
  <c r="M66" i="5"/>
  <c r="R66" i="5"/>
  <c r="M52" i="5"/>
  <c r="BF4" i="18"/>
  <c r="CA31" i="30"/>
  <c r="CY63" i="30"/>
  <c r="G16" i="5"/>
  <c r="I16" i="5"/>
  <c r="AG48" i="30"/>
  <c r="AR48" i="30"/>
  <c r="AK48" i="30"/>
  <c r="AZ48" i="30"/>
  <c r="AP48" i="30"/>
  <c r="BF14" i="18"/>
  <c r="M69" i="5"/>
  <c r="J31" i="30"/>
  <c r="W31" i="30"/>
  <c r="M64" i="5"/>
  <c r="M50" i="5"/>
  <c r="M68" i="5"/>
  <c r="M54" i="5"/>
  <c r="Q54" i="5"/>
  <c r="M75" i="5"/>
  <c r="M61" i="5"/>
  <c r="Q61" i="5"/>
  <c r="M31" i="30"/>
  <c r="AI48" i="30"/>
  <c r="AL48" i="30"/>
  <c r="M67" i="5"/>
  <c r="M53" i="5"/>
  <c r="Q45" i="30"/>
  <c r="M72" i="5"/>
  <c r="M58" i="5"/>
  <c r="M76" i="5"/>
  <c r="M62" i="5"/>
  <c r="E63" i="30"/>
  <c r="AJ48" i="30"/>
  <c r="AT48" i="30"/>
  <c r="AS48" i="30"/>
  <c r="L63" i="30"/>
  <c r="K45" i="30"/>
  <c r="G3" i="5"/>
  <c r="G32" i="5"/>
  <c r="I32" i="5"/>
  <c r="M74" i="5"/>
  <c r="M60" i="5"/>
  <c r="M51" i="5"/>
  <c r="M73" i="5"/>
  <c r="M59" i="5"/>
  <c r="Q59" i="5"/>
  <c r="BE45" i="30"/>
  <c r="I63" i="30"/>
  <c r="P45" i="30"/>
  <c r="G8" i="5"/>
  <c r="G41" i="5"/>
  <c r="I41" i="5"/>
  <c r="AN48" i="30"/>
  <c r="AW48" i="30"/>
  <c r="AM48" i="30"/>
  <c r="AV48" i="30"/>
  <c r="AQ48" i="30"/>
  <c r="AX48" i="30"/>
  <c r="G47" i="5"/>
  <c r="I6" i="5"/>
  <c r="BV55" i="18"/>
  <c r="BJ31" i="30"/>
  <c r="E31" i="30"/>
  <c r="BL31" i="30"/>
  <c r="CP63" i="30"/>
  <c r="AB45" i="30"/>
  <c r="I3" i="5"/>
  <c r="M24" i="5"/>
  <c r="BF26" i="18"/>
  <c r="BV36" i="18"/>
  <c r="M22" i="5"/>
  <c r="CM72" i="30"/>
  <c r="CM63" i="30"/>
  <c r="CR66" i="30"/>
  <c r="CV71" i="30"/>
  <c r="CV63" i="30"/>
  <c r="BD76" i="30"/>
  <c r="BW76" i="30"/>
  <c r="BY60" i="30"/>
  <c r="BN54" i="30"/>
  <c r="BN48" i="30"/>
  <c r="S55" i="30"/>
  <c r="N65" i="30"/>
  <c r="CW70" i="30"/>
  <c r="CW63" i="30"/>
  <c r="I18" i="5"/>
  <c r="BD62" i="30"/>
  <c r="BI75" i="30"/>
  <c r="BG73" i="30"/>
  <c r="BR51" i="30"/>
  <c r="AB72" i="30"/>
  <c r="AB63" i="30"/>
  <c r="Y59" i="30"/>
  <c r="J59" i="30"/>
  <c r="J48" i="30"/>
  <c r="G20" i="5"/>
  <c r="BV57" i="18"/>
  <c r="CK57" i="18"/>
  <c r="CZ76" i="30"/>
  <c r="CZ63" i="30"/>
  <c r="CE75" i="30"/>
  <c r="CE63" i="30"/>
  <c r="I26" i="5"/>
  <c r="CA59" i="30"/>
  <c r="BS75" i="30"/>
  <c r="BQ55" i="30"/>
  <c r="V58" i="30"/>
  <c r="AB58" i="30"/>
  <c r="K54" i="30"/>
  <c r="W52" i="30"/>
  <c r="AE48" i="30"/>
  <c r="G13" i="5"/>
  <c r="G33" i="5"/>
  <c r="I33" i="5"/>
  <c r="CX64" i="30"/>
  <c r="CX63" i="30"/>
  <c r="CT55" i="30"/>
  <c r="CT48" i="30"/>
  <c r="CN31" i="30"/>
  <c r="AX45" i="30"/>
  <c r="BM75" i="30"/>
  <c r="BP66" i="30"/>
  <c r="S57" i="30"/>
  <c r="G53" i="30"/>
  <c r="J53" i="30"/>
  <c r="X52" i="30"/>
  <c r="BF23" i="18"/>
  <c r="BR23" i="18"/>
  <c r="CP58" i="30"/>
  <c r="CJ54" i="30"/>
  <c r="BV24" i="18"/>
  <c r="BV29" i="18"/>
  <c r="CG68" i="30"/>
  <c r="CG63" i="30"/>
  <c r="BD34" i="30"/>
  <c r="BG51" i="30"/>
  <c r="BM73" i="30"/>
  <c r="BM57" i="30"/>
  <c r="Z58" i="30"/>
  <c r="I52" i="30"/>
  <c r="N76" i="30"/>
  <c r="BM58" i="30"/>
  <c r="BL51" i="30"/>
  <c r="L58" i="30"/>
  <c r="G11" i="5"/>
  <c r="G19" i="5"/>
  <c r="G10" i="5"/>
  <c r="BV52" i="18"/>
  <c r="CR71" i="30"/>
  <c r="BV28" i="18"/>
  <c r="BV54" i="30"/>
  <c r="BX67" i="30"/>
  <c r="I51" i="30"/>
  <c r="AA56" i="30"/>
  <c r="V54" i="30"/>
  <c r="G5" i="5"/>
  <c r="I5" i="5"/>
  <c r="BV2" i="18"/>
  <c r="BV12" i="18"/>
  <c r="BF21" i="18"/>
  <c r="BS71" i="30"/>
  <c r="Y61" i="30"/>
  <c r="Y57" i="30"/>
  <c r="M10" i="5"/>
  <c r="CR53" i="30"/>
  <c r="CR48" i="30"/>
  <c r="CZ54" i="30"/>
  <c r="CJ51" i="30"/>
  <c r="BV17" i="18"/>
  <c r="CG51" i="30"/>
  <c r="CG48" i="30"/>
  <c r="E53" i="30"/>
  <c r="CT74" i="30"/>
  <c r="CT63" i="30"/>
  <c r="I75" i="5"/>
  <c r="BF11" i="18"/>
  <c r="M19" i="5"/>
  <c r="BI31" i="30"/>
  <c r="BF31" i="30"/>
  <c r="BS31" i="30"/>
  <c r="CA45" i="30"/>
  <c r="BV37" i="18"/>
  <c r="CK37" i="18"/>
  <c r="Z31" i="30"/>
  <c r="AI45" i="30"/>
  <c r="I18" i="20"/>
  <c r="I26" i="20"/>
  <c r="H71" i="5"/>
  <c r="BE48" i="30"/>
  <c r="I12" i="5"/>
  <c r="I34" i="5"/>
  <c r="I14" i="5"/>
  <c r="I65" i="5"/>
  <c r="AJ31" i="29"/>
  <c r="K48" i="31"/>
  <c r="H70" i="5"/>
  <c r="BF45" i="29"/>
  <c r="H5" i="5"/>
  <c r="BZ31" i="29"/>
  <c r="AG31" i="29"/>
  <c r="BG31" i="29"/>
  <c r="BP31" i="29"/>
  <c r="AL31" i="29"/>
  <c r="BW45" i="30"/>
  <c r="BT31" i="30"/>
  <c r="BY31" i="29"/>
  <c r="BZ48" i="29"/>
  <c r="BW48" i="29"/>
  <c r="BF48" i="29"/>
  <c r="BF19" i="18"/>
  <c r="BG45" i="29"/>
  <c r="P46" i="18"/>
  <c r="AB46" i="18"/>
  <c r="BW31" i="29"/>
  <c r="BS48" i="29"/>
  <c r="BR45" i="29"/>
  <c r="BQ48" i="29"/>
  <c r="BL48" i="29"/>
  <c r="BO31" i="29"/>
  <c r="BX31" i="29"/>
  <c r="AA31" i="29"/>
  <c r="AD32" i="18"/>
  <c r="AD31" i="18"/>
  <c r="AM48" i="18"/>
  <c r="AM49" i="18"/>
  <c r="AC46" i="18"/>
  <c r="AC45" i="18"/>
  <c r="AL38" i="18"/>
  <c r="AL31" i="18"/>
  <c r="AM34" i="18"/>
  <c r="AM31" i="18"/>
  <c r="AH41" i="18"/>
  <c r="AH31" i="18"/>
  <c r="AC33" i="18"/>
  <c r="AC31" i="18"/>
  <c r="AE49" i="18"/>
  <c r="AE48" i="18"/>
  <c r="FB32" i="18"/>
  <c r="FB31" i="18"/>
  <c r="CT40" i="18"/>
  <c r="CT31" i="18"/>
  <c r="CV47" i="18"/>
  <c r="CV45" i="18"/>
  <c r="AE33" i="18"/>
  <c r="AE31" i="18"/>
  <c r="AD49" i="18"/>
  <c r="AD48" i="18"/>
  <c r="AF47" i="18"/>
  <c r="AF45" i="18"/>
  <c r="EY31" i="18"/>
  <c r="EY36" i="18"/>
  <c r="FA46" i="18"/>
  <c r="FG46" i="18"/>
  <c r="AE46" i="18"/>
  <c r="AE45" i="18"/>
  <c r="EX47" i="18"/>
  <c r="EX45" i="18"/>
  <c r="AJ37" i="18"/>
  <c r="AJ31" i="18"/>
  <c r="FC41" i="18"/>
  <c r="FC31" i="18"/>
  <c r="CU47" i="18"/>
  <c r="CU45" i="18"/>
  <c r="CN38" i="18"/>
  <c r="CN31" i="18"/>
  <c r="FB45" i="18"/>
  <c r="FB47" i="18"/>
  <c r="EY49" i="18"/>
  <c r="EY48" i="18"/>
  <c r="AF35" i="18"/>
  <c r="AF31" i="18"/>
  <c r="BJ31" i="29"/>
  <c r="BT31" i="29"/>
  <c r="BE31" i="29"/>
  <c r="P32" i="18"/>
  <c r="BS31" i="29"/>
  <c r="BQ31" i="29"/>
  <c r="BM31" i="29"/>
  <c r="BI31" i="29"/>
  <c r="BH31" i="29"/>
  <c r="Q42" i="32"/>
  <c r="Q71" i="32"/>
  <c r="R71" i="32"/>
  <c r="BE48" i="29"/>
  <c r="P49" i="18"/>
  <c r="AB49" i="18"/>
  <c r="BN31" i="29"/>
  <c r="BL31" i="29"/>
  <c r="BR31" i="29"/>
  <c r="BK31" i="29"/>
  <c r="BV31" i="29"/>
  <c r="BW31" i="30"/>
  <c r="P40" i="18"/>
  <c r="AB40" i="18"/>
  <c r="BH48" i="29"/>
  <c r="G14" i="32"/>
  <c r="X63" i="30"/>
  <c r="P47" i="18"/>
  <c r="AB47" i="18"/>
  <c r="BF8" i="18"/>
  <c r="D45" i="18"/>
  <c r="P37" i="18"/>
  <c r="AB37" i="18"/>
  <c r="CM31" i="30"/>
  <c r="BE45" i="29"/>
  <c r="G12" i="32"/>
  <c r="P44" i="18"/>
  <c r="AB44" i="18"/>
  <c r="O48" i="30"/>
  <c r="S48" i="30"/>
  <c r="T48" i="30"/>
  <c r="BZ31" i="30"/>
  <c r="D63" i="30"/>
  <c r="T63" i="30"/>
  <c r="BY63" i="30"/>
  <c r="BD63" i="30"/>
  <c r="BG31" i="30"/>
  <c r="O31" i="30"/>
  <c r="I36" i="5"/>
  <c r="G63" i="30"/>
  <c r="BV31" i="30"/>
  <c r="S63" i="30"/>
  <c r="V63" i="30"/>
  <c r="Y63" i="30"/>
  <c r="BK31" i="30"/>
  <c r="AA31" i="30"/>
  <c r="BD45" i="30"/>
  <c r="R42" i="32"/>
  <c r="BI48" i="30"/>
  <c r="G51" i="5"/>
  <c r="I51" i="5"/>
  <c r="BN45" i="30"/>
  <c r="CP31" i="30"/>
  <c r="CN45" i="30"/>
  <c r="AW45" i="30"/>
  <c r="G19" i="32"/>
  <c r="G30" i="32"/>
  <c r="Q60" i="32"/>
  <c r="CL45" i="30"/>
  <c r="CI45" i="30"/>
  <c r="G23" i="32"/>
  <c r="BW63" i="31"/>
  <c r="R63" i="31"/>
  <c r="AB48" i="31"/>
  <c r="EF41" i="18"/>
  <c r="FG41" i="18"/>
  <c r="BB46" i="5"/>
  <c r="BQ63" i="31"/>
  <c r="BR63" i="31"/>
  <c r="BO63" i="31"/>
  <c r="O48" i="31"/>
  <c r="AA48" i="31"/>
  <c r="Y48" i="31"/>
  <c r="EU51" i="18"/>
  <c r="FG51" i="18"/>
  <c r="S48" i="31"/>
  <c r="S63" i="31"/>
  <c r="W31" i="31"/>
  <c r="V63" i="31"/>
  <c r="AB63" i="31"/>
  <c r="M45" i="31"/>
  <c r="Z48" i="31"/>
  <c r="DP12" i="18"/>
  <c r="BJ63" i="31"/>
  <c r="G48" i="31"/>
  <c r="BF45" i="31"/>
  <c r="P48" i="31"/>
  <c r="I48" i="31"/>
  <c r="O63" i="30"/>
  <c r="CW76" i="18"/>
  <c r="BP63" i="31"/>
  <c r="AA63" i="31"/>
  <c r="R48" i="31"/>
  <c r="G72" i="5"/>
  <c r="I72" i="5"/>
  <c r="G58" i="5"/>
  <c r="I58" i="5"/>
  <c r="BC38" i="5"/>
  <c r="BB38" i="5"/>
  <c r="DP15" i="18"/>
  <c r="J63" i="30"/>
  <c r="K63" i="30"/>
  <c r="E48" i="30"/>
  <c r="BC36" i="5"/>
  <c r="BB36" i="5"/>
  <c r="V45" i="5"/>
  <c r="F45" i="5"/>
  <c r="M48" i="30"/>
  <c r="BF30" i="18"/>
  <c r="G73" i="5"/>
  <c r="I73" i="5"/>
  <c r="G59" i="5"/>
  <c r="I59" i="5"/>
  <c r="G57" i="5"/>
  <c r="G71" i="5"/>
  <c r="CK40" i="18"/>
  <c r="CW40" i="18"/>
  <c r="G50" i="5"/>
  <c r="G64" i="5"/>
  <c r="I64" i="5"/>
  <c r="DP3" i="18"/>
  <c r="D63" i="31"/>
  <c r="H63" i="31"/>
  <c r="BB42" i="5"/>
  <c r="BC42" i="5"/>
  <c r="S31" i="5"/>
  <c r="BM45" i="30"/>
  <c r="J48" i="31"/>
  <c r="I31" i="31"/>
  <c r="X63" i="31"/>
  <c r="BR48" i="30"/>
  <c r="BT63" i="30"/>
  <c r="BF10" i="18"/>
  <c r="BR10" i="18"/>
  <c r="N31" i="30"/>
  <c r="AB31" i="30"/>
  <c r="BZ48" i="30"/>
  <c r="R76" i="32"/>
  <c r="BE31" i="30"/>
  <c r="FJ59" i="18"/>
  <c r="FJ50" i="18"/>
  <c r="E31" i="31"/>
  <c r="BN63" i="30"/>
  <c r="BZ63" i="30"/>
  <c r="CW74" i="18"/>
  <c r="Q48" i="30"/>
  <c r="CA63" i="31"/>
  <c r="BD48" i="30"/>
  <c r="BY48" i="30"/>
  <c r="AR63" i="5"/>
  <c r="BG63" i="31"/>
  <c r="BD63" i="31"/>
  <c r="BK31" i="31"/>
  <c r="BM63" i="30"/>
  <c r="BH48" i="30"/>
  <c r="H62" i="5"/>
  <c r="BO48" i="30"/>
  <c r="D48" i="18"/>
  <c r="R60" i="32"/>
  <c r="Q31" i="30"/>
  <c r="F31" i="29"/>
  <c r="BF48" i="31"/>
  <c r="G68" i="5"/>
  <c r="I68" i="5"/>
  <c r="BF48" i="5"/>
  <c r="BS48" i="30"/>
  <c r="CW54" i="18"/>
  <c r="AQ48" i="37"/>
  <c r="BV48" i="29"/>
  <c r="ER33" i="18"/>
  <c r="ER31" i="18"/>
  <c r="BF48" i="32"/>
  <c r="F31" i="18"/>
  <c r="AD48" i="37"/>
  <c r="M42" i="5"/>
  <c r="CS48" i="30"/>
  <c r="CQ45" i="30"/>
  <c r="CS45" i="30"/>
  <c r="CH48" i="30"/>
  <c r="CH31" i="30"/>
  <c r="BP45" i="29"/>
  <c r="CO48" i="30"/>
  <c r="M36" i="5"/>
  <c r="CY48" i="30"/>
  <c r="AL45" i="30"/>
  <c r="M41" i="5"/>
  <c r="Q41" i="5"/>
  <c r="AT31" i="30"/>
  <c r="M40" i="5"/>
  <c r="M39" i="5"/>
  <c r="CK48" i="30"/>
  <c r="AR45" i="30"/>
  <c r="M47" i="5"/>
  <c r="Q47" i="5"/>
  <c r="M43" i="5"/>
  <c r="R43" i="5"/>
  <c r="BV41" i="18"/>
  <c r="CK41" i="18"/>
  <c r="CJ48" i="30"/>
  <c r="BV42" i="18"/>
  <c r="BV47" i="18"/>
  <c r="BV45" i="29"/>
  <c r="CR45" i="30"/>
  <c r="BV43" i="18"/>
  <c r="AK45" i="30"/>
  <c r="M34" i="5"/>
  <c r="R34" i="5"/>
  <c r="AH45" i="30"/>
  <c r="CZ45" i="30"/>
  <c r="BV39" i="18"/>
  <c r="AO45" i="30"/>
  <c r="S48" i="32"/>
  <c r="BM45" i="29"/>
  <c r="M38" i="5"/>
  <c r="AS45" i="30"/>
  <c r="M37" i="5"/>
  <c r="CZ48" i="30"/>
  <c r="CF45" i="30"/>
  <c r="BN62" i="37"/>
  <c r="BJ62" i="37"/>
  <c r="DZ26" i="18"/>
  <c r="AG45" i="30"/>
  <c r="DO19" i="18"/>
  <c r="BJ40" i="37"/>
  <c r="AN45" i="30"/>
  <c r="AQ45" i="30"/>
  <c r="CX48" i="30"/>
  <c r="DZ4" i="18"/>
  <c r="CM48" i="30"/>
  <c r="D63" i="5"/>
  <c r="EE53" i="18"/>
  <c r="ET53" i="18"/>
  <c r="EE67" i="18"/>
  <c r="ET67" i="18"/>
  <c r="AZ45" i="30"/>
  <c r="H73" i="32"/>
  <c r="H59" i="32"/>
  <c r="CL48" i="30"/>
  <c r="CI48" i="30"/>
  <c r="AY31" i="30"/>
  <c r="BT45" i="29"/>
  <c r="BJ38" i="37"/>
  <c r="BN38" i="37"/>
  <c r="BN37" i="37"/>
  <c r="BJ37" i="37"/>
  <c r="N45" i="32"/>
  <c r="N46" i="32"/>
  <c r="BK46" i="37"/>
  <c r="BK45" i="37"/>
  <c r="CV48" i="30"/>
  <c r="CF48" i="30"/>
  <c r="EE70" i="18"/>
  <c r="EE56" i="18"/>
  <c r="ET56" i="18"/>
  <c r="EE68" i="18"/>
  <c r="EE54" i="18"/>
  <c r="ET54" i="18"/>
  <c r="BN32" i="37"/>
  <c r="BS72" i="18"/>
  <c r="CH72" i="18"/>
  <c r="U74" i="18"/>
  <c r="AG74" i="18"/>
  <c r="M71" i="18"/>
  <c r="Y54" i="18"/>
  <c r="AK54" i="18"/>
  <c r="EP65" i="18"/>
  <c r="FE65" i="18"/>
  <c r="BG76" i="37"/>
  <c r="H45" i="32"/>
  <c r="DZ22" i="18"/>
  <c r="U70" i="18"/>
  <c r="AG70" i="18"/>
  <c r="M73" i="18"/>
  <c r="EP50" i="18"/>
  <c r="Y56" i="18"/>
  <c r="AK56" i="18"/>
  <c r="EP72" i="18"/>
  <c r="BC5" i="18"/>
  <c r="BC25" i="18"/>
  <c r="BS57" i="18"/>
  <c r="CH57" i="18"/>
  <c r="M50" i="18"/>
  <c r="EP66" i="18"/>
  <c r="DZ29" i="18"/>
  <c r="EB29" i="18"/>
  <c r="J54" i="5"/>
  <c r="N48" i="5"/>
  <c r="E61" i="32"/>
  <c r="E71" i="32"/>
  <c r="U51" i="18"/>
  <c r="AG51" i="18"/>
  <c r="N63" i="32"/>
  <c r="J55" i="32"/>
  <c r="E55" i="32"/>
  <c r="G26" i="32"/>
  <c r="BJ45" i="37"/>
  <c r="BC19" i="18"/>
  <c r="E54" i="32"/>
  <c r="D74" i="32"/>
  <c r="D65" i="32"/>
  <c r="AJ30" i="32"/>
  <c r="AJ35" i="32"/>
  <c r="AH35" i="32"/>
  <c r="D59" i="32"/>
  <c r="D56" i="32"/>
  <c r="U75" i="18"/>
  <c r="AG75" i="18"/>
  <c r="N45" i="5"/>
  <c r="D50" i="32"/>
  <c r="AH58" i="32"/>
  <c r="AH72" i="32"/>
  <c r="AJ14" i="32"/>
  <c r="AJ34" i="32"/>
  <c r="AJ6" i="32"/>
  <c r="AJ47" i="32"/>
  <c r="BD45" i="32"/>
  <c r="G25" i="32"/>
  <c r="AH39" i="32"/>
  <c r="AJ15" i="32"/>
  <c r="AJ44" i="32"/>
  <c r="AI52" i="32"/>
  <c r="AJ7" i="32"/>
  <c r="AI59" i="32"/>
  <c r="G29" i="32"/>
  <c r="AJ19" i="32"/>
  <c r="AJ42" i="32"/>
  <c r="H76" i="17"/>
  <c r="H62" i="17"/>
  <c r="R53" i="27"/>
  <c r="H55" i="27"/>
  <c r="AS22" i="27"/>
  <c r="AS37" i="27"/>
  <c r="BB19" i="27"/>
  <c r="BB42" i="27"/>
  <c r="BB59" i="26"/>
  <c r="AS6" i="27"/>
  <c r="AS47" i="27"/>
  <c r="AK4" i="27"/>
  <c r="AK40" i="27"/>
  <c r="AZ26" i="27"/>
  <c r="AZ36" i="27"/>
  <c r="AK19" i="27"/>
  <c r="AK42" i="27"/>
  <c r="AL15" i="27"/>
  <c r="AL44" i="27"/>
  <c r="AQ25" i="28"/>
  <c r="AQ50" i="28"/>
  <c r="AP8" i="27"/>
  <c r="AP41" i="27"/>
  <c r="AO28" i="27"/>
  <c r="AO43" i="27"/>
  <c r="AP25" i="27"/>
  <c r="AP64" i="27"/>
  <c r="AQ19" i="27"/>
  <c r="AQ42" i="27"/>
  <c r="AI10" i="27"/>
  <c r="AI46" i="27"/>
  <c r="AP54" i="27"/>
  <c r="AQ4" i="27"/>
  <c r="AQ40" i="27"/>
  <c r="AN15" i="27"/>
  <c r="AN44" i="27"/>
  <c r="AX19" i="27"/>
  <c r="AX42" i="27"/>
  <c r="AI25" i="28"/>
  <c r="AI50" i="28"/>
  <c r="AB48" i="30"/>
  <c r="CS31" i="30"/>
  <c r="BK63" i="31"/>
  <c r="BH63" i="31"/>
  <c r="BF16" i="18"/>
  <c r="W63" i="30"/>
  <c r="M32" i="5"/>
  <c r="AE31" i="30"/>
  <c r="AZ31" i="30"/>
  <c r="I50" i="5"/>
  <c r="CJ31" i="30"/>
  <c r="G66" i="5"/>
  <c r="F63" i="30"/>
  <c r="CG31" i="30"/>
  <c r="CT31" i="30"/>
  <c r="AS31" i="30"/>
  <c r="AG31" i="30"/>
  <c r="CX31" i="30"/>
  <c r="T31" i="31"/>
  <c r="CY31" i="30"/>
  <c r="AK31" i="30"/>
  <c r="I66" i="5"/>
  <c r="DP4" i="18"/>
  <c r="EB4" i="18"/>
  <c r="N63" i="31"/>
  <c r="CB63" i="30"/>
  <c r="EF38" i="18"/>
  <c r="CQ31" i="30"/>
  <c r="DP28" i="18"/>
  <c r="BT63" i="31"/>
  <c r="BF15" i="18"/>
  <c r="BR15" i="18"/>
  <c r="EF42" i="18"/>
  <c r="AX31" i="30"/>
  <c r="CE31" i="30"/>
  <c r="AO31" i="30"/>
  <c r="CW45" i="30"/>
  <c r="AF31" i="30"/>
  <c r="BX63" i="31"/>
  <c r="BT48" i="31"/>
  <c r="BV63" i="31"/>
  <c r="BW48" i="31"/>
  <c r="BX48" i="31"/>
  <c r="BV48" i="31"/>
  <c r="G35" i="5"/>
  <c r="I35" i="5"/>
  <c r="CR31" i="30"/>
  <c r="DP19" i="18"/>
  <c r="D31" i="31"/>
  <c r="AM31" i="30"/>
  <c r="AV31" i="30"/>
  <c r="BZ48" i="31"/>
  <c r="CB63" i="31"/>
  <c r="BB44" i="5"/>
  <c r="CK31" i="30"/>
  <c r="AJ31" i="30"/>
  <c r="AP31" i="30"/>
  <c r="AI31" i="30"/>
  <c r="AH31" i="30"/>
  <c r="AQ31" i="30"/>
  <c r="AL31" i="30"/>
  <c r="M46" i="5"/>
  <c r="Q46" i="5"/>
  <c r="AE45" i="30"/>
  <c r="AR31" i="30"/>
  <c r="AM45" i="30"/>
  <c r="BV46" i="18"/>
  <c r="CE45" i="30"/>
  <c r="AW31" i="30"/>
  <c r="AN31" i="30"/>
  <c r="AY45" i="30"/>
  <c r="R31" i="30"/>
  <c r="CA45" i="31"/>
  <c r="CL31" i="30"/>
  <c r="CX45" i="30"/>
  <c r="BV44" i="18"/>
  <c r="CW44" i="18"/>
  <c r="AT45" i="30"/>
  <c r="BV33" i="18"/>
  <c r="CW31" i="30"/>
  <c r="CO45" i="30"/>
  <c r="H31" i="30"/>
  <c r="H45" i="31"/>
  <c r="G24" i="5"/>
  <c r="BV38" i="18"/>
  <c r="M33" i="5"/>
  <c r="CV31" i="30"/>
  <c r="CK45" i="30"/>
  <c r="BV32" i="18"/>
  <c r="Q45" i="31"/>
  <c r="CQ48" i="30"/>
  <c r="L31" i="30"/>
  <c r="G31" i="30"/>
  <c r="BV35" i="18"/>
  <c r="CK35" i="18"/>
  <c r="CP45" i="30"/>
  <c r="AG34" i="32"/>
  <c r="AG31" i="32"/>
  <c r="AC41" i="32"/>
  <c r="AC31" i="32"/>
  <c r="AE47" i="32"/>
  <c r="AE45" i="32"/>
  <c r="F56" i="32"/>
  <c r="F70" i="32"/>
  <c r="P60" i="32"/>
  <c r="P48" i="32"/>
  <c r="AY58" i="32"/>
  <c r="AY56" i="32"/>
  <c r="AF66" i="32"/>
  <c r="AF63" i="32"/>
  <c r="AD62" i="32"/>
  <c r="AD48" i="32"/>
  <c r="AY48" i="32"/>
  <c r="AY52" i="32"/>
  <c r="AO71" i="32"/>
  <c r="AM71" i="32"/>
  <c r="AO63" i="32"/>
  <c r="O67" i="32"/>
  <c r="R67" i="32"/>
  <c r="Q65" i="32"/>
  <c r="Q53" i="32"/>
  <c r="R53" i="32"/>
  <c r="G74" i="32"/>
  <c r="I74" i="32"/>
  <c r="G60" i="32"/>
  <c r="I12" i="32"/>
  <c r="BA34" i="32"/>
  <c r="BA31" i="32"/>
  <c r="H70" i="32"/>
  <c r="H56" i="32"/>
  <c r="AZ74" i="32"/>
  <c r="AZ60" i="32"/>
  <c r="G6" i="32"/>
  <c r="AH69" i="32"/>
  <c r="AJ24" i="32"/>
  <c r="AJ69" i="32"/>
  <c r="AZ32" i="32"/>
  <c r="AZ76" i="32"/>
  <c r="AZ62" i="32"/>
  <c r="G8" i="32"/>
  <c r="BD31" i="32"/>
  <c r="AZ40" i="32"/>
  <c r="AZ44" i="32"/>
  <c r="E60" i="32"/>
  <c r="AZ67" i="32"/>
  <c r="AZ53" i="32"/>
  <c r="AZ58" i="32"/>
  <c r="AZ72" i="32"/>
  <c r="AZ71" i="32"/>
  <c r="AZ57" i="32"/>
  <c r="AH51" i="32"/>
  <c r="AJ21" i="32"/>
  <c r="AJ65" i="32"/>
  <c r="AH65" i="32"/>
  <c r="H58" i="32"/>
  <c r="AI76" i="32"/>
  <c r="AI62" i="32"/>
  <c r="AZ73" i="32"/>
  <c r="AZ59" i="32"/>
  <c r="AZ75" i="32"/>
  <c r="AZ61" i="32"/>
  <c r="D62" i="32"/>
  <c r="E66" i="32"/>
  <c r="G18" i="32"/>
  <c r="AJ17" i="32"/>
  <c r="AH52" i="32"/>
  <c r="AH66" i="32"/>
  <c r="AI58" i="32"/>
  <c r="AJ16" i="32"/>
  <c r="AI72" i="32"/>
  <c r="AZ42" i="32"/>
  <c r="H54" i="32"/>
  <c r="AJ45" i="32"/>
  <c r="AZ70" i="32"/>
  <c r="AZ56" i="32"/>
  <c r="D57" i="32"/>
  <c r="H53" i="32"/>
  <c r="AZ68" i="32"/>
  <c r="AZ54" i="32"/>
  <c r="AJ9" i="32"/>
  <c r="AH68" i="32"/>
  <c r="AH54" i="32"/>
  <c r="AZ39" i="32"/>
  <c r="AZ69" i="32"/>
  <c r="AZ55" i="32"/>
  <c r="G27" i="32"/>
  <c r="AI51" i="32"/>
  <c r="AI69" i="32"/>
  <c r="AJ18" i="32"/>
  <c r="G15" i="32"/>
  <c r="AH45" i="32"/>
  <c r="G11" i="32"/>
  <c r="AP63" i="32"/>
  <c r="G4" i="32"/>
  <c r="G20" i="32"/>
  <c r="I20" i="32"/>
  <c r="AJ26" i="32"/>
  <c r="AJ36" i="32"/>
  <c r="AH40" i="32"/>
  <c r="AI54" i="32"/>
  <c r="AI48" i="32"/>
  <c r="AI67" i="32"/>
  <c r="BD68" i="32"/>
  <c r="AJ20" i="32"/>
  <c r="AJ23" i="32"/>
  <c r="AJ49" i="32"/>
  <c r="AJ8" i="32"/>
  <c r="AJ41" i="32"/>
  <c r="AH57" i="32"/>
  <c r="G2" i="32"/>
  <c r="F31" i="5"/>
  <c r="T48" i="5"/>
  <c r="U48" i="5"/>
  <c r="CK70" i="18"/>
  <c r="CW70" i="18"/>
  <c r="DP17" i="18"/>
  <c r="F63" i="5"/>
  <c r="U31" i="5"/>
  <c r="R37" i="5"/>
  <c r="Q37" i="5"/>
  <c r="CK64" i="18"/>
  <c r="CW64" i="18"/>
  <c r="CK68" i="18"/>
  <c r="CW68" i="18"/>
  <c r="BR14" i="18"/>
  <c r="W31" i="5"/>
  <c r="BR4" i="18"/>
  <c r="BZ63" i="31"/>
  <c r="DP24" i="18"/>
  <c r="V48" i="5"/>
  <c r="I49" i="5"/>
  <c r="V31" i="5"/>
  <c r="U45" i="5"/>
  <c r="T31" i="5"/>
  <c r="BR26" i="18"/>
  <c r="S48" i="5"/>
  <c r="DP30" i="18"/>
  <c r="DP18" i="18"/>
  <c r="BR12" i="18"/>
  <c r="V63" i="5"/>
  <c r="T45" i="5"/>
  <c r="DP7" i="18"/>
  <c r="BB32" i="5"/>
  <c r="CK51" i="18"/>
  <c r="CW51" i="18"/>
  <c r="BR16" i="18"/>
  <c r="T63" i="5"/>
  <c r="S63" i="5"/>
  <c r="BR18" i="18"/>
  <c r="U63" i="5"/>
  <c r="W48" i="5"/>
  <c r="BB41" i="5"/>
  <c r="BC41" i="5"/>
  <c r="E45" i="31"/>
  <c r="X48" i="31"/>
  <c r="AR31" i="5"/>
  <c r="I31" i="30"/>
  <c r="X31" i="30"/>
  <c r="BM63" i="31"/>
  <c r="J63" i="31"/>
  <c r="Q48" i="31"/>
  <c r="D63" i="18"/>
  <c r="K48" i="30"/>
  <c r="BM31" i="30"/>
  <c r="BY31" i="30"/>
  <c r="BN31" i="30"/>
  <c r="FA45" i="18"/>
  <c r="FA47" i="18"/>
  <c r="M48" i="31"/>
  <c r="BG31" i="31"/>
  <c r="BX31" i="31"/>
  <c r="R31" i="31"/>
  <c r="BL31" i="31"/>
  <c r="AA31" i="31"/>
  <c r="BR31" i="31"/>
  <c r="BQ31" i="31"/>
  <c r="P31" i="31"/>
  <c r="BI63" i="31"/>
  <c r="BX63" i="30"/>
  <c r="CA63" i="30"/>
  <c r="BF5" i="18"/>
  <c r="BR5" i="18"/>
  <c r="Q31" i="31"/>
  <c r="BI31" i="31"/>
  <c r="BW31" i="31"/>
  <c r="L48" i="30"/>
  <c r="S31" i="30"/>
  <c r="FA37" i="18"/>
  <c r="FA31" i="18"/>
  <c r="FJ31" i="18"/>
  <c r="FJ63" i="18"/>
  <c r="V48" i="30"/>
  <c r="P63" i="30"/>
  <c r="N48" i="31"/>
  <c r="W48" i="31"/>
  <c r="S31" i="31"/>
  <c r="BM31" i="31"/>
  <c r="L31" i="31"/>
  <c r="BI63" i="30"/>
  <c r="BF24" i="18"/>
  <c r="BR24" i="18"/>
  <c r="I48" i="30"/>
  <c r="K31" i="30"/>
  <c r="DP16" i="18"/>
  <c r="CR31" i="18"/>
  <c r="CR32" i="18"/>
  <c r="BK45" i="31"/>
  <c r="BY48" i="31"/>
  <c r="D48" i="30"/>
  <c r="W48" i="30"/>
  <c r="X48" i="30"/>
  <c r="P48" i="30"/>
  <c r="G48" i="30"/>
  <c r="EF34" i="18"/>
  <c r="CA48" i="31"/>
  <c r="I63" i="31"/>
  <c r="K63" i="31"/>
  <c r="BP31" i="31"/>
  <c r="F31" i="31"/>
  <c r="H63" i="30"/>
  <c r="G63" i="31"/>
  <c r="M63" i="31"/>
  <c r="BH31" i="31"/>
  <c r="BF63" i="31"/>
  <c r="BG48" i="31"/>
  <c r="BF7" i="18"/>
  <c r="BR7" i="18"/>
  <c r="BG48" i="30"/>
  <c r="BV63" i="30"/>
  <c r="H48" i="5"/>
  <c r="AJ63" i="5"/>
  <c r="Z48" i="30"/>
  <c r="N63" i="30"/>
  <c r="BD31" i="31"/>
  <c r="V48" i="31"/>
  <c r="W63" i="31"/>
  <c r="P63" i="31"/>
  <c r="F63" i="31"/>
  <c r="H50" i="5"/>
  <c r="R63" i="30"/>
  <c r="Z63" i="30"/>
  <c r="E45" i="5"/>
  <c r="E63" i="5"/>
  <c r="AH48" i="5"/>
  <c r="AH31" i="5"/>
  <c r="P31" i="30"/>
  <c r="FI63" i="18"/>
  <c r="I63" i="18"/>
  <c r="BX45" i="31"/>
  <c r="BM48" i="30"/>
  <c r="BK63" i="30"/>
  <c r="BH63" i="30"/>
  <c r="BF22" i="18"/>
  <c r="BR22" i="18"/>
  <c r="BF63" i="30"/>
  <c r="F48" i="30"/>
  <c r="H48" i="30"/>
  <c r="M63" i="30"/>
  <c r="CB31" i="30"/>
  <c r="BR31" i="30"/>
  <c r="BH31" i="30"/>
  <c r="BO31" i="30"/>
  <c r="BP31" i="30"/>
  <c r="EV33" i="18"/>
  <c r="EV31" i="18"/>
  <c r="BS63" i="31"/>
  <c r="BR48" i="31"/>
  <c r="BS48" i="31"/>
  <c r="BP48" i="31"/>
  <c r="O31" i="31"/>
  <c r="BM48" i="31"/>
  <c r="BS31" i="31"/>
  <c r="CB48" i="30"/>
  <c r="R48" i="30"/>
  <c r="FO72" i="18"/>
  <c r="AY48" i="5"/>
  <c r="DZ10" i="18"/>
  <c r="CN63" i="30"/>
  <c r="AA63" i="37"/>
  <c r="O48" i="29"/>
  <c r="DZ7" i="18"/>
  <c r="F31" i="30"/>
  <c r="BY48" i="29"/>
  <c r="CP48" i="30"/>
  <c r="CW48" i="30"/>
  <c r="AC45" i="37"/>
  <c r="AC48" i="37"/>
  <c r="BP48" i="29"/>
  <c r="CJ45" i="30"/>
  <c r="AO74" i="5"/>
  <c r="AP31" i="29"/>
  <c r="AM48" i="29"/>
  <c r="BM63" i="29"/>
  <c r="J31" i="29"/>
  <c r="J48" i="29"/>
  <c r="Y63" i="29"/>
  <c r="DZ6" i="18"/>
  <c r="EB6" i="18"/>
  <c r="F48" i="29"/>
  <c r="V48" i="29"/>
  <c r="AB48" i="37"/>
  <c r="CM45" i="30"/>
  <c r="BN72" i="37"/>
  <c r="BJ46" i="37"/>
  <c r="AG49" i="18"/>
  <c r="M75" i="18"/>
  <c r="M63" i="18"/>
  <c r="AZ76" i="5"/>
  <c r="AZ62" i="5"/>
  <c r="BN41" i="37"/>
  <c r="BN46" i="37"/>
  <c r="DZ12" i="18"/>
  <c r="M47" i="18"/>
  <c r="M46" i="18"/>
  <c r="EP75" i="18"/>
  <c r="FE75" i="18"/>
  <c r="AK31" i="18"/>
  <c r="BQ45" i="29"/>
  <c r="DO14" i="18"/>
  <c r="BE76" i="37"/>
  <c r="BN43" i="37"/>
  <c r="BN45" i="37"/>
  <c r="BJ36" i="37"/>
  <c r="M59" i="18"/>
  <c r="AK63" i="18"/>
  <c r="AZ44" i="5"/>
  <c r="EF47" i="18"/>
  <c r="CT45" i="30"/>
  <c r="BH45" i="29"/>
  <c r="M55" i="18"/>
  <c r="AZ40" i="5"/>
  <c r="AZ72" i="5"/>
  <c r="AZ35" i="5"/>
  <c r="DN26" i="18"/>
  <c r="CG45" i="30"/>
  <c r="BY45" i="29"/>
  <c r="AV35" i="37"/>
  <c r="D31" i="5"/>
  <c r="DO5" i="18"/>
  <c r="DZ15" i="18"/>
  <c r="BJ39" i="37"/>
  <c r="AZ73" i="5"/>
  <c r="AZ59" i="5"/>
  <c r="CY45" i="30"/>
  <c r="AQ33" i="37"/>
  <c r="AQ15" i="37"/>
  <c r="ET45" i="18"/>
  <c r="BJ44" i="37"/>
  <c r="M52" i="18"/>
  <c r="DZ20" i="18"/>
  <c r="AZ68" i="5"/>
  <c r="AZ54" i="5"/>
  <c r="BW45" i="29"/>
  <c r="AV45" i="30"/>
  <c r="D45" i="5"/>
  <c r="AG45" i="18"/>
  <c r="AZ69" i="5"/>
  <c r="AP45" i="30"/>
  <c r="AZ50" i="5"/>
  <c r="AZ64" i="5"/>
  <c r="AQ37" i="37"/>
  <c r="AZ74" i="5"/>
  <c r="AV14" i="17"/>
  <c r="AV34" i="17"/>
  <c r="AV19" i="17"/>
  <c r="AV28" i="17"/>
  <c r="AV4" i="17"/>
  <c r="AV8" i="17"/>
  <c r="X5" i="36"/>
  <c r="BQ5" i="36"/>
  <c r="AS25" i="28"/>
  <c r="BJ20" i="36"/>
  <c r="AL74" i="27"/>
  <c r="J10" i="15"/>
  <c r="J46" i="15"/>
  <c r="N44" i="15"/>
  <c r="K21" i="15"/>
  <c r="K65" i="15"/>
  <c r="H27" i="15"/>
  <c r="H62" i="15"/>
  <c r="H7" i="15"/>
  <c r="H73" i="15"/>
  <c r="K12" i="15"/>
  <c r="K60" i="15"/>
  <c r="H18" i="15"/>
  <c r="H75" i="15"/>
  <c r="V22" i="15"/>
  <c r="V37" i="15"/>
  <c r="H29" i="15"/>
  <c r="H71" i="15"/>
  <c r="S12" i="15"/>
  <c r="S74" i="15"/>
  <c r="V12" i="15"/>
  <c r="BG13" i="17"/>
  <c r="BG33" i="17"/>
  <c r="AA22" i="26"/>
  <c r="AA37" i="26"/>
  <c r="N46" i="15"/>
  <c r="N45" i="15"/>
  <c r="I16" i="15"/>
  <c r="I72" i="15"/>
  <c r="H22" i="15"/>
  <c r="H37" i="15"/>
  <c r="L27" i="15"/>
  <c r="L76" i="15"/>
  <c r="L7" i="15"/>
  <c r="L73" i="15"/>
  <c r="J13" i="15"/>
  <c r="J33" i="15"/>
  <c r="L18" i="15"/>
  <c r="L75" i="15"/>
  <c r="H23" i="15"/>
  <c r="H49" i="15"/>
  <c r="K30" i="15"/>
  <c r="K35" i="15"/>
  <c r="F16" i="15"/>
  <c r="F72" i="15"/>
  <c r="S16" i="15"/>
  <c r="AI11" i="27"/>
  <c r="AI39" i="27"/>
  <c r="AL4" i="27"/>
  <c r="AL40" i="27"/>
  <c r="AA30" i="26"/>
  <c r="AA35" i="26"/>
  <c r="BB45" i="26"/>
  <c r="AV10" i="17"/>
  <c r="S27" i="15"/>
  <c r="S7" i="15"/>
  <c r="S73" i="15"/>
  <c r="N33" i="15"/>
  <c r="S18" i="15"/>
  <c r="S75" i="15"/>
  <c r="L23" i="15"/>
  <c r="L49" i="15"/>
  <c r="J6" i="15"/>
  <c r="J47" i="15"/>
  <c r="K16" i="15"/>
  <c r="I17" i="15"/>
  <c r="I66" i="15"/>
  <c r="BG8" i="17"/>
  <c r="BG41" i="17"/>
  <c r="N5" i="17"/>
  <c r="N53" i="17"/>
  <c r="Y53" i="17"/>
  <c r="N27" i="17"/>
  <c r="Y27" i="17"/>
  <c r="AV26" i="27"/>
  <c r="AV36" i="27"/>
  <c r="N18" i="17"/>
  <c r="Y18" i="17"/>
  <c r="BG28" i="17"/>
  <c r="BG43" i="17"/>
  <c r="L26" i="15"/>
  <c r="L36" i="15"/>
  <c r="N23" i="17"/>
  <c r="N49" i="17"/>
  <c r="Y49" i="17"/>
  <c r="AR16" i="27"/>
  <c r="AR58" i="27"/>
  <c r="N6" i="17"/>
  <c r="N47" i="17"/>
  <c r="Y47" i="17"/>
  <c r="W3" i="36"/>
  <c r="AR6" i="17"/>
  <c r="AR47" i="17"/>
  <c r="BC47" i="17"/>
  <c r="N12" i="17"/>
  <c r="N74" i="17"/>
  <c r="Y74" i="17"/>
  <c r="AO37" i="17"/>
  <c r="AZ37" i="17"/>
  <c r="I59" i="15"/>
  <c r="J20" i="15"/>
  <c r="J70" i="15"/>
  <c r="K25" i="15"/>
  <c r="K64" i="15"/>
  <c r="N35" i="15"/>
  <c r="I11" i="15"/>
  <c r="I39" i="15"/>
  <c r="N58" i="15"/>
  <c r="L21" i="15"/>
  <c r="L65" i="15"/>
  <c r="I27" i="15"/>
  <c r="I76" i="15"/>
  <c r="K6" i="15"/>
  <c r="K47" i="15"/>
  <c r="N15" i="17"/>
  <c r="Y15" i="17"/>
  <c r="AA6" i="26"/>
  <c r="AA47" i="26"/>
  <c r="BT17" i="36"/>
  <c r="N21" i="17"/>
  <c r="N65" i="17"/>
  <c r="Y65" i="17"/>
  <c r="S49" i="15"/>
  <c r="K7" i="15"/>
  <c r="K73" i="15"/>
  <c r="K14" i="15"/>
  <c r="K34" i="15"/>
  <c r="J26" i="15"/>
  <c r="J36" i="15"/>
  <c r="I6" i="15"/>
  <c r="I47" i="15"/>
  <c r="V11" i="15"/>
  <c r="V39" i="15"/>
  <c r="F17" i="15"/>
  <c r="F66" i="15"/>
  <c r="S21" i="15"/>
  <c r="S51" i="15"/>
  <c r="V27" i="15"/>
  <c r="V62" i="15"/>
  <c r="H12" i="15"/>
  <c r="H74" i="15"/>
  <c r="V8" i="15"/>
  <c r="V41" i="15"/>
  <c r="BG3" i="17"/>
  <c r="BG32" i="17"/>
  <c r="BG24" i="17"/>
  <c r="BG55" i="17"/>
  <c r="AA10" i="26"/>
  <c r="V28" i="15"/>
  <c r="V43" i="15"/>
  <c r="L12" i="15"/>
  <c r="L74" i="15"/>
  <c r="I12" i="15"/>
  <c r="BG7" i="17"/>
  <c r="BG73" i="17"/>
  <c r="AA18" i="26"/>
  <c r="AI22" i="27"/>
  <c r="AI37" i="27"/>
  <c r="AQ22" i="27"/>
  <c r="AQ37" i="27"/>
  <c r="AT30" i="27"/>
  <c r="AT35" i="27"/>
  <c r="AA11" i="26"/>
  <c r="AA39" i="26"/>
  <c r="AA23" i="26"/>
  <c r="AA49" i="26"/>
  <c r="AG30" i="27"/>
  <c r="AG35" i="27"/>
  <c r="AN16" i="27"/>
  <c r="S50" i="15"/>
  <c r="F9" i="15"/>
  <c r="F68" i="15"/>
  <c r="I21" i="15"/>
  <c r="I65" i="15"/>
  <c r="AF23" i="27"/>
  <c r="AF49" i="27"/>
  <c r="AL19" i="27"/>
  <c r="AL42" i="27"/>
  <c r="AO30" i="27"/>
  <c r="AO35" i="27"/>
  <c r="AT13" i="27"/>
  <c r="AT33" i="27"/>
  <c r="AA6" i="27"/>
  <c r="AA47" i="27"/>
  <c r="AA12" i="26"/>
  <c r="AA24" i="26"/>
  <c r="AA69" i="26"/>
  <c r="BB22" i="27"/>
  <c r="BB37" i="27"/>
  <c r="AO13" i="27"/>
  <c r="AO33" i="27"/>
  <c r="AP26" i="27"/>
  <c r="AP36" i="27"/>
  <c r="AX6" i="27"/>
  <c r="AX47" i="27"/>
  <c r="AA13" i="26"/>
  <c r="AA33" i="26"/>
  <c r="AA25" i="26"/>
  <c r="AA25" i="27"/>
  <c r="AA64" i="27"/>
  <c r="AZ13" i="27"/>
  <c r="AZ33" i="27"/>
  <c r="AA14" i="26"/>
  <c r="AA34" i="26"/>
  <c r="AA26" i="26"/>
  <c r="AA36" i="26"/>
  <c r="AJ23" i="27"/>
  <c r="AJ49" i="27"/>
  <c r="AA2" i="26"/>
  <c r="AA15" i="26"/>
  <c r="AA44" i="26"/>
  <c r="AA27" i="26"/>
  <c r="AA62" i="26"/>
  <c r="E5" i="2"/>
  <c r="AF16" i="27"/>
  <c r="AF72" i="27"/>
  <c r="AH26" i="27"/>
  <c r="AH36" i="27"/>
  <c r="BB10" i="27"/>
  <c r="BB46" i="27"/>
  <c r="AP10" i="27"/>
  <c r="AP46" i="27"/>
  <c r="AV19" i="27"/>
  <c r="AV42" i="27"/>
  <c r="AA4" i="26"/>
  <c r="AA4" i="27"/>
  <c r="AA40" i="27"/>
  <c r="AA16" i="26"/>
  <c r="AA28" i="26"/>
  <c r="AK8" i="27"/>
  <c r="AK41" i="27"/>
  <c r="AY16" i="27"/>
  <c r="AY58" i="27"/>
  <c r="AA5" i="26"/>
  <c r="AA17" i="26"/>
  <c r="AA66" i="26"/>
  <c r="AA29" i="26"/>
  <c r="AA57" i="26"/>
  <c r="AN28" i="27"/>
  <c r="AN43" i="27"/>
  <c r="AA7" i="26"/>
  <c r="AA73" i="26"/>
  <c r="AA19" i="26"/>
  <c r="AA42" i="26"/>
  <c r="AG13" i="27"/>
  <c r="AG33" i="27"/>
  <c r="AV10" i="27"/>
  <c r="AV46" i="27"/>
  <c r="AA8" i="26"/>
  <c r="AA20" i="26"/>
  <c r="AA70" i="26"/>
  <c r="V7" i="15"/>
  <c r="V59" i="15"/>
  <c r="H17" i="15"/>
  <c r="H66" i="15"/>
  <c r="H13" i="15"/>
  <c r="H33" i="15"/>
  <c r="AA9" i="26"/>
  <c r="AA9" i="27"/>
  <c r="AA21" i="26"/>
  <c r="AA21" i="28"/>
  <c r="BB52" i="27"/>
  <c r="BB66" i="27"/>
  <c r="S19" i="17"/>
  <c r="S42" i="17"/>
  <c r="AD42" i="17"/>
  <c r="R20" i="17"/>
  <c r="R70" i="17"/>
  <c r="AC70" i="17"/>
  <c r="T11" i="15"/>
  <c r="T39" i="15"/>
  <c r="AS27" i="17"/>
  <c r="AS62" i="17"/>
  <c r="BD62" i="17"/>
  <c r="R9" i="17"/>
  <c r="R24" i="17"/>
  <c r="AC24" i="17"/>
  <c r="Q11" i="17"/>
  <c r="AI4" i="27"/>
  <c r="AI40" i="27"/>
  <c r="AR6" i="27"/>
  <c r="AR47" i="27"/>
  <c r="AS11" i="27"/>
  <c r="AS39" i="27"/>
  <c r="AB9" i="26"/>
  <c r="AB9" i="27"/>
  <c r="AB68" i="27"/>
  <c r="AB21" i="26"/>
  <c r="AB65" i="26"/>
  <c r="S13" i="17"/>
  <c r="S33" i="17"/>
  <c r="AD33" i="17"/>
  <c r="Q12" i="17"/>
  <c r="Q60" i="17"/>
  <c r="AB60" i="17"/>
  <c r="AB22" i="26"/>
  <c r="AB37" i="26"/>
  <c r="T19" i="15"/>
  <c r="T42" i="15"/>
  <c r="T10" i="17"/>
  <c r="T46" i="17"/>
  <c r="AE46" i="17"/>
  <c r="R14" i="17"/>
  <c r="U30" i="17"/>
  <c r="K62" i="17"/>
  <c r="S16" i="17"/>
  <c r="S58" i="17"/>
  <c r="AD58" i="17"/>
  <c r="R2" i="17"/>
  <c r="R38" i="17"/>
  <c r="AC38" i="17"/>
  <c r="R18" i="17"/>
  <c r="R61" i="17"/>
  <c r="Q10" i="17"/>
  <c r="AB10" i="17"/>
  <c r="U2" i="17"/>
  <c r="AF2" i="17"/>
  <c r="AL55" i="27"/>
  <c r="AG12" i="27"/>
  <c r="AG74" i="27"/>
  <c r="AH8" i="27"/>
  <c r="AH41" i="27"/>
  <c r="AJ27" i="27"/>
  <c r="AJ62" i="27"/>
  <c r="AL13" i="27"/>
  <c r="AL33" i="27"/>
  <c r="AQ26" i="27"/>
  <c r="AQ36" i="27"/>
  <c r="AB11" i="26"/>
  <c r="AB39" i="26"/>
  <c r="AB23" i="26"/>
  <c r="AB49" i="26"/>
  <c r="M26" i="15"/>
  <c r="M36" i="15"/>
  <c r="AL30" i="27"/>
  <c r="AL35" i="27"/>
  <c r="T3" i="17"/>
  <c r="AE3" i="17"/>
  <c r="T12" i="17"/>
  <c r="T60" i="17"/>
  <c r="AE60" i="17"/>
  <c r="Q22" i="17"/>
  <c r="AB22" i="17"/>
  <c r="AK28" i="27"/>
  <c r="AK43" i="27"/>
  <c r="AT16" i="27"/>
  <c r="AT72" i="27"/>
  <c r="AS2" i="27"/>
  <c r="AS38" i="27"/>
  <c r="AB12" i="26"/>
  <c r="AB24" i="26"/>
  <c r="AB55" i="26"/>
  <c r="AZ7" i="27"/>
  <c r="AB10" i="26"/>
  <c r="AB46" i="26"/>
  <c r="AS30" i="17"/>
  <c r="AS35" i="17"/>
  <c r="BD35" i="17"/>
  <c r="G36" i="17"/>
  <c r="T15" i="17"/>
  <c r="T28" i="17"/>
  <c r="R23" i="17"/>
  <c r="R49" i="17"/>
  <c r="AC49" i="17"/>
  <c r="Q27" i="17"/>
  <c r="Q76" i="17"/>
  <c r="AB76" i="17"/>
  <c r="U18" i="17"/>
  <c r="AE27" i="27"/>
  <c r="AG28" i="27"/>
  <c r="AG43" i="27"/>
  <c r="AH2" i="27"/>
  <c r="AH38" i="27"/>
  <c r="AJ19" i="27"/>
  <c r="AJ42" i="27"/>
  <c r="AN6" i="27"/>
  <c r="AN47" i="27"/>
  <c r="AS30" i="27"/>
  <c r="AS35" i="27"/>
  <c r="AB13" i="26"/>
  <c r="AB33" i="26"/>
  <c r="AB25" i="26"/>
  <c r="AE26" i="17"/>
  <c r="AG27" i="17"/>
  <c r="J19" i="15"/>
  <c r="J42" i="15"/>
  <c r="AR15" i="17"/>
  <c r="AR44" i="17"/>
  <c r="BC44" i="17"/>
  <c r="AC16" i="17"/>
  <c r="S11" i="17"/>
  <c r="S39" i="17"/>
  <c r="AD39" i="17"/>
  <c r="S22" i="17"/>
  <c r="S37" i="17"/>
  <c r="AD37" i="17"/>
  <c r="Q14" i="17"/>
  <c r="Q34" i="17"/>
  <c r="AB34" i="17"/>
  <c r="Q7" i="17"/>
  <c r="Q59" i="17"/>
  <c r="AB59" i="17"/>
  <c r="AZ58" i="27"/>
  <c r="AI19" i="27"/>
  <c r="AI42" i="27"/>
  <c r="AJ15" i="27"/>
  <c r="AJ44" i="27"/>
  <c r="AS27" i="27"/>
  <c r="AS76" i="27"/>
  <c r="AB2" i="26"/>
  <c r="AB38" i="26"/>
  <c r="AB15" i="26"/>
  <c r="AB15" i="27"/>
  <c r="AB44" i="27"/>
  <c r="AB27" i="26"/>
  <c r="AB27" i="27"/>
  <c r="AB76" i="27"/>
  <c r="AP3" i="27"/>
  <c r="AP32" i="27"/>
  <c r="J57" i="15"/>
  <c r="W26" i="15"/>
  <c r="W36" i="15"/>
  <c r="J23" i="15"/>
  <c r="J49" i="15"/>
  <c r="S12" i="17"/>
  <c r="S27" i="17"/>
  <c r="S76" i="17"/>
  <c r="AD76" i="17"/>
  <c r="R8" i="17"/>
  <c r="R41" i="17"/>
  <c r="AC41" i="17"/>
  <c r="U25" i="17"/>
  <c r="AF15" i="27"/>
  <c r="AF44" i="27"/>
  <c r="AG23" i="27"/>
  <c r="AG49" i="27"/>
  <c r="AL25" i="27"/>
  <c r="AL64" i="27"/>
  <c r="AQ7" i="27"/>
  <c r="AQ73" i="27"/>
  <c r="AZ23" i="27"/>
  <c r="AZ49" i="27"/>
  <c r="AB4" i="26"/>
  <c r="AB16" i="26"/>
  <c r="AB58" i="26"/>
  <c r="AB28" i="26"/>
  <c r="T14" i="17"/>
  <c r="T34" i="17"/>
  <c r="AE34" i="17"/>
  <c r="AV17" i="36"/>
  <c r="W5" i="15"/>
  <c r="W53" i="15"/>
  <c r="J28" i="15"/>
  <c r="J43" i="15"/>
  <c r="I24" i="15"/>
  <c r="I69" i="15"/>
  <c r="T18" i="17"/>
  <c r="AE18" i="17"/>
  <c r="R22" i="17"/>
  <c r="Q23" i="17"/>
  <c r="AB23" i="17"/>
  <c r="U11" i="17"/>
  <c r="AF11" i="17"/>
  <c r="AX69" i="27"/>
  <c r="AN22" i="27"/>
  <c r="AN37" i="27"/>
  <c r="AY27" i="27"/>
  <c r="AY76" i="27"/>
  <c r="BB57" i="26"/>
  <c r="AB6" i="26"/>
  <c r="AB18" i="26"/>
  <c r="AB18" i="27"/>
  <c r="AB30" i="26"/>
  <c r="AB30" i="28"/>
  <c r="AB35" i="28"/>
  <c r="AH25" i="27"/>
  <c r="AH50" i="27"/>
  <c r="W6" i="15"/>
  <c r="W47" i="15"/>
  <c r="W27" i="15"/>
  <c r="F6" i="15"/>
  <c r="F47" i="15"/>
  <c r="K28" i="15"/>
  <c r="K43" i="15"/>
  <c r="V12" i="17"/>
  <c r="M14" i="17"/>
  <c r="M34" i="17"/>
  <c r="X34" i="17"/>
  <c r="S30" i="17"/>
  <c r="S35" i="17"/>
  <c r="AD35" i="17"/>
  <c r="S18" i="17"/>
  <c r="AD18" i="17"/>
  <c r="U8" i="17"/>
  <c r="AF8" i="17"/>
  <c r="R3" i="17"/>
  <c r="AR22" i="27"/>
  <c r="AR37" i="27"/>
  <c r="BB71" i="26"/>
  <c r="AB7" i="26"/>
  <c r="AB59" i="26"/>
  <c r="AB19" i="26"/>
  <c r="AK16" i="27"/>
  <c r="AK72" i="27"/>
  <c r="T22" i="15"/>
  <c r="T37" i="15"/>
  <c r="T23" i="15"/>
  <c r="T49" i="15"/>
  <c r="S2" i="17"/>
  <c r="R28" i="17"/>
  <c r="AC28" i="17"/>
  <c r="U15" i="17"/>
  <c r="AF15" i="17"/>
  <c r="AB14" i="27"/>
  <c r="AB34" i="27"/>
  <c r="AB8" i="26"/>
  <c r="AB8" i="27"/>
  <c r="AB41" i="27"/>
  <c r="AB20" i="26"/>
  <c r="AB70" i="26"/>
  <c r="AS52" i="27"/>
  <c r="AK18" i="27"/>
  <c r="AK75" i="27"/>
  <c r="D46" i="19"/>
  <c r="BN29" i="36"/>
  <c r="BB53" i="27"/>
  <c r="AI6" i="27"/>
  <c r="AI47" i="27"/>
  <c r="AO8" i="27"/>
  <c r="AO41" i="27"/>
  <c r="AR12" i="27"/>
  <c r="AY28" i="27"/>
  <c r="AY43" i="27"/>
  <c r="D65" i="19"/>
  <c r="F65" i="19"/>
  <c r="BJ29" i="36"/>
  <c r="D17" i="27"/>
  <c r="J66" i="15"/>
  <c r="BK2" i="36"/>
  <c r="D3" i="27"/>
  <c r="D26" i="27"/>
  <c r="Y6" i="27"/>
  <c r="Y47" i="27"/>
  <c r="BB18" i="27"/>
  <c r="AV4" i="27"/>
  <c r="AV40" i="27"/>
  <c r="AS55" i="27"/>
  <c r="AP4" i="27"/>
  <c r="AP40" i="27"/>
  <c r="AR28" i="27"/>
  <c r="AR43" i="27"/>
  <c r="BB61" i="26"/>
  <c r="D19" i="27"/>
  <c r="BU29" i="36"/>
  <c r="D20" i="27"/>
  <c r="AP19" i="27"/>
  <c r="AP42" i="27"/>
  <c r="AT8" i="27"/>
  <c r="AT41" i="27"/>
  <c r="AS4" i="27"/>
  <c r="AS40" i="27"/>
  <c r="N24" i="27"/>
  <c r="N55" i="27"/>
  <c r="X8" i="15"/>
  <c r="X41" i="15"/>
  <c r="BB30" i="27"/>
  <c r="BB35" i="27"/>
  <c r="AK2" i="27"/>
  <c r="BO29" i="36"/>
  <c r="D5" i="27"/>
  <c r="W9" i="36"/>
  <c r="G58" i="27"/>
  <c r="G72" i="27"/>
  <c r="AN11" i="17"/>
  <c r="AN39" i="17"/>
  <c r="AY39" i="17"/>
  <c r="D27" i="15"/>
  <c r="BP17" i="36"/>
  <c r="BK6" i="36"/>
  <c r="D29" i="15"/>
  <c r="D71" i="15"/>
  <c r="H57" i="15"/>
  <c r="K37" i="17"/>
  <c r="AU11" i="17"/>
  <c r="D8" i="15"/>
  <c r="D41" i="15"/>
  <c r="R16" i="27"/>
  <c r="AG20" i="17"/>
  <c r="BG17" i="36"/>
  <c r="BO15" i="36"/>
  <c r="BM15" i="36"/>
  <c r="AZ30" i="27"/>
  <c r="AZ35" i="27"/>
  <c r="AR8" i="17"/>
  <c r="BC8" i="17"/>
  <c r="J76" i="15"/>
  <c r="AT75" i="27"/>
  <c r="D16" i="15"/>
  <c r="D58" i="15"/>
  <c r="AZ76" i="27"/>
  <c r="AZ62" i="27"/>
  <c r="J72" i="27"/>
  <c r="J58" i="27"/>
  <c r="AO47" i="17"/>
  <c r="AZ47" i="17"/>
  <c r="AZ6" i="17"/>
  <c r="AI25" i="27"/>
  <c r="AI50" i="27"/>
  <c r="AJ4" i="27"/>
  <c r="AJ40" i="27"/>
  <c r="AK6" i="27"/>
  <c r="AK47" i="27"/>
  <c r="AO4" i="27"/>
  <c r="AO40" i="27"/>
  <c r="BP5" i="36"/>
  <c r="V16" i="17"/>
  <c r="V72" i="17"/>
  <c r="AG72" i="17"/>
  <c r="AS16" i="17"/>
  <c r="AS72" i="17"/>
  <c r="BD72" i="17"/>
  <c r="AO14" i="17"/>
  <c r="AO34" i="17"/>
  <c r="AZ34" i="17"/>
  <c r="AL57" i="27"/>
  <c r="AF4" i="27"/>
  <c r="AF40" i="27"/>
  <c r="AJ30" i="27"/>
  <c r="AJ35" i="27"/>
  <c r="AX28" i="27"/>
  <c r="AX43" i="27"/>
  <c r="BB56" i="26"/>
  <c r="K58" i="17"/>
  <c r="G34" i="17"/>
  <c r="AF19" i="27"/>
  <c r="AF42" i="27"/>
  <c r="AO19" i="27"/>
  <c r="AO42" i="27"/>
  <c r="AT4" i="27"/>
  <c r="AT40" i="27"/>
  <c r="BB70" i="26"/>
  <c r="BO5" i="36"/>
  <c r="N72" i="15"/>
  <c r="V56" i="17"/>
  <c r="AG56" i="17"/>
  <c r="J38" i="17"/>
  <c r="AH22" i="27"/>
  <c r="AH37" i="27"/>
  <c r="AQ12" i="27"/>
  <c r="AQ74" i="27"/>
  <c r="R20" i="36"/>
  <c r="I20" i="36"/>
  <c r="BN5" i="36"/>
  <c r="BM5" i="36"/>
  <c r="BD15" i="36"/>
  <c r="BT6" i="36"/>
  <c r="K47" i="17"/>
  <c r="AH12" i="27"/>
  <c r="AH60" i="27"/>
  <c r="AT19" i="27"/>
  <c r="AT42" i="27"/>
  <c r="AX18" i="27"/>
  <c r="AX75" i="27"/>
  <c r="AH3" i="27"/>
  <c r="AH32" i="27"/>
  <c r="BW5" i="36"/>
  <c r="BK5" i="36"/>
  <c r="AG10" i="27"/>
  <c r="AG46" i="27"/>
  <c r="AK22" i="27"/>
  <c r="AK37" i="27"/>
  <c r="BV5" i="36"/>
  <c r="BJ5" i="36"/>
  <c r="BG69" i="17"/>
  <c r="AF30" i="27"/>
  <c r="AF35" i="27"/>
  <c r="AG26" i="27"/>
  <c r="AG36" i="27"/>
  <c r="AQ28" i="27"/>
  <c r="AQ43" i="27"/>
  <c r="AX12" i="27"/>
  <c r="BI5" i="36"/>
  <c r="AF13" i="27"/>
  <c r="AF33" i="27"/>
  <c r="AI8" i="27"/>
  <c r="AI41" i="27"/>
  <c r="BB2" i="27"/>
  <c r="BB38" i="27"/>
  <c r="AV15" i="27"/>
  <c r="AV44" i="27"/>
  <c r="BU5" i="36"/>
  <c r="BH5" i="36"/>
  <c r="BJ6" i="36"/>
  <c r="E7" i="27"/>
  <c r="E73" i="27"/>
  <c r="H58" i="17"/>
  <c r="AF66" i="27"/>
  <c r="AJ13" i="27"/>
  <c r="AJ33" i="27"/>
  <c r="BT5" i="36"/>
  <c r="BF5" i="36"/>
  <c r="BV15" i="36"/>
  <c r="AR18" i="17"/>
  <c r="AR75" i="17"/>
  <c r="BC75" i="17"/>
  <c r="AH28" i="27"/>
  <c r="AH43" i="27"/>
  <c r="AH6" i="27"/>
  <c r="AH47" i="27"/>
  <c r="AH45" i="27"/>
  <c r="AL16" i="27"/>
  <c r="AL58" i="27"/>
  <c r="AP15" i="27"/>
  <c r="AP44" i="27"/>
  <c r="V20" i="36"/>
  <c r="BS5" i="36"/>
  <c r="BB5" i="36"/>
  <c r="AP13" i="17"/>
  <c r="AP33" i="17"/>
  <c r="BA33" i="17"/>
  <c r="Q13" i="15"/>
  <c r="Q33" i="15"/>
  <c r="AV8" i="27"/>
  <c r="AV41" i="27"/>
  <c r="E5" i="15"/>
  <c r="E67" i="15"/>
  <c r="AY60" i="27"/>
  <c r="M16" i="15"/>
  <c r="M58" i="15"/>
  <c r="M6" i="15"/>
  <c r="M47" i="15"/>
  <c r="O47" i="15"/>
  <c r="AE10" i="17"/>
  <c r="H74" i="17"/>
  <c r="M23" i="15"/>
  <c r="M49" i="15"/>
  <c r="G5" i="17"/>
  <c r="BU2" i="36"/>
  <c r="BD6" i="17"/>
  <c r="AN23" i="17"/>
  <c r="AY23" i="17"/>
  <c r="G43" i="17"/>
  <c r="M3" i="15"/>
  <c r="M32" i="15"/>
  <c r="AT3" i="27"/>
  <c r="AT32" i="27"/>
  <c r="AA29" i="27"/>
  <c r="AK3" i="27"/>
  <c r="AK32" i="27"/>
  <c r="AP55" i="27"/>
  <c r="AR25" i="28"/>
  <c r="AR50" i="28"/>
  <c r="Q18" i="15"/>
  <c r="Q75" i="15"/>
  <c r="AM16" i="36"/>
  <c r="Q12" i="15"/>
  <c r="Q74" i="15"/>
  <c r="AA71" i="26"/>
  <c r="U7" i="15"/>
  <c r="U73" i="15"/>
  <c r="T6" i="15"/>
  <c r="T47" i="15"/>
  <c r="I14" i="15"/>
  <c r="I34" i="15"/>
  <c r="L24" i="15"/>
  <c r="S9" i="15"/>
  <c r="S68" i="15"/>
  <c r="V20" i="15"/>
  <c r="V56" i="15"/>
  <c r="BH29" i="17"/>
  <c r="AZ15" i="36"/>
  <c r="Z28" i="36"/>
  <c r="AM18" i="27"/>
  <c r="AM61" i="27"/>
  <c r="BF17" i="36"/>
  <c r="X7" i="15"/>
  <c r="X73" i="15"/>
  <c r="T7" i="15"/>
  <c r="T59" i="15"/>
  <c r="S15" i="15"/>
  <c r="T15" i="15"/>
  <c r="T44" i="15"/>
  <c r="H26" i="15"/>
  <c r="H36" i="15"/>
  <c r="K11" i="15"/>
  <c r="K39" i="15"/>
  <c r="K22" i="15"/>
  <c r="K37" i="15"/>
  <c r="K13" i="15"/>
  <c r="K33" i="15"/>
  <c r="K31" i="15"/>
  <c r="BH16" i="17"/>
  <c r="BH72" i="17"/>
  <c r="AA15" i="36"/>
  <c r="AY28" i="36"/>
  <c r="AD2" i="27"/>
  <c r="AD24" i="28"/>
  <c r="BE17" i="36"/>
  <c r="BW27" i="36"/>
  <c r="S59" i="15"/>
  <c r="AA14" i="36"/>
  <c r="Z15" i="36"/>
  <c r="AA28" i="36"/>
  <c r="BO17" i="36"/>
  <c r="V3" i="36"/>
  <c r="W14" i="36"/>
  <c r="BU27" i="36"/>
  <c r="W7" i="15"/>
  <c r="W73" i="15"/>
  <c r="G57" i="17"/>
  <c r="AZ14" i="36"/>
  <c r="AY15" i="36"/>
  <c r="AZ28" i="36"/>
  <c r="F13" i="19"/>
  <c r="AR3" i="36"/>
  <c r="BH6" i="36"/>
  <c r="BS27" i="36"/>
  <c r="T27" i="15"/>
  <c r="T76" i="15"/>
  <c r="G71" i="17"/>
  <c r="Z14" i="36"/>
  <c r="G70" i="27"/>
  <c r="AZ28" i="27"/>
  <c r="AZ43" i="27"/>
  <c r="AS10" i="27"/>
  <c r="AS46" i="27"/>
  <c r="AB67" i="26"/>
  <c r="BM17" i="36"/>
  <c r="BC17" i="36"/>
  <c r="S3" i="36"/>
  <c r="Q14" i="36"/>
  <c r="X27" i="15"/>
  <c r="X62" i="15"/>
  <c r="U27" i="15"/>
  <c r="U62" i="15"/>
  <c r="AZ21" i="17"/>
  <c r="S13" i="15"/>
  <c r="U13" i="15"/>
  <c r="U33" i="15"/>
  <c r="J25" i="15"/>
  <c r="G51" i="17"/>
  <c r="AY14" i="36"/>
  <c r="AD25" i="28"/>
  <c r="AA11" i="27"/>
  <c r="AA39" i="27"/>
  <c r="BV17" i="36"/>
  <c r="O4" i="27"/>
  <c r="O40" i="27"/>
  <c r="AZ29" i="17"/>
  <c r="I19" i="15"/>
  <c r="I42" i="15"/>
  <c r="V29" i="15"/>
  <c r="V71" i="15"/>
  <c r="I15" i="15"/>
  <c r="I44" i="15"/>
  <c r="V26" i="15"/>
  <c r="V36" i="15"/>
  <c r="G65" i="17"/>
  <c r="R21" i="17"/>
  <c r="R65" i="17"/>
  <c r="AC65" i="17"/>
  <c r="BX27" i="36"/>
  <c r="AA13" i="36"/>
  <c r="J65" i="27"/>
  <c r="BU17" i="36"/>
  <c r="BK17" i="36"/>
  <c r="BA17" i="36"/>
  <c r="AJ54" i="17"/>
  <c r="AU54" i="17"/>
  <c r="BO27" i="36"/>
  <c r="BY27" i="36"/>
  <c r="AZ13" i="36"/>
  <c r="AD15" i="27"/>
  <c r="D50" i="19"/>
  <c r="F50" i="19"/>
  <c r="BI27" i="36"/>
  <c r="N75" i="17"/>
  <c r="Y75" i="17"/>
  <c r="BY18" i="36"/>
  <c r="Z13" i="36"/>
  <c r="AK69" i="27"/>
  <c r="AY65" i="27"/>
  <c r="BJ17" i="36"/>
  <c r="D64" i="19"/>
  <c r="F64" i="19"/>
  <c r="AH3" i="36"/>
  <c r="BG27" i="36"/>
  <c r="S47" i="15"/>
  <c r="V21" i="15"/>
  <c r="V51" i="15"/>
  <c r="J7" i="15"/>
  <c r="V17" i="15"/>
  <c r="V52" i="15"/>
  <c r="AU9" i="17"/>
  <c r="R29" i="17"/>
  <c r="R71" i="17"/>
  <c r="AC71" i="17"/>
  <c r="BX18" i="36"/>
  <c r="AA18" i="28"/>
  <c r="AY13" i="36"/>
  <c r="AV58" i="27"/>
  <c r="AS26" i="27"/>
  <c r="AS36" i="27"/>
  <c r="BS17" i="36"/>
  <c r="BF27" i="36"/>
  <c r="X6" i="15"/>
  <c r="X47" i="15"/>
  <c r="J22" i="15"/>
  <c r="J37" i="15"/>
  <c r="N59" i="15"/>
  <c r="J18" i="15"/>
  <c r="I30" i="15"/>
  <c r="I35" i="15"/>
  <c r="M12" i="17"/>
  <c r="X12" i="17"/>
  <c r="AY15" i="27"/>
  <c r="AY44" i="27"/>
  <c r="BH17" i="36"/>
  <c r="F3" i="36"/>
  <c r="N8" i="36"/>
  <c r="AX72" i="27"/>
  <c r="AX58" i="27"/>
  <c r="BH18" i="17"/>
  <c r="BH24" i="17"/>
  <c r="BH55" i="17"/>
  <c r="BI55" i="17"/>
  <c r="O17" i="17"/>
  <c r="O14" i="17"/>
  <c r="V13" i="17"/>
  <c r="V33" i="17"/>
  <c r="AG33" i="17"/>
  <c r="BG14" i="17"/>
  <c r="BG34" i="17"/>
  <c r="BG29" i="17"/>
  <c r="N24" i="17"/>
  <c r="N55" i="17"/>
  <c r="Y55" i="17"/>
  <c r="BG4" i="17"/>
  <c r="BG40" i="17"/>
  <c r="AF22" i="27"/>
  <c r="AF37" i="27"/>
  <c r="AF6" i="27"/>
  <c r="AF47" i="27"/>
  <c r="AN27" i="27"/>
  <c r="AQ14" i="27"/>
  <c r="AQ34" i="27"/>
  <c r="AV18" i="27"/>
  <c r="AV75" i="27"/>
  <c r="Q6" i="36"/>
  <c r="BV27" i="36"/>
  <c r="BH19" i="17"/>
  <c r="BH42" i="17"/>
  <c r="BH26" i="17"/>
  <c r="BH36" i="17"/>
  <c r="O11" i="17"/>
  <c r="Z11" i="17"/>
  <c r="O19" i="17"/>
  <c r="O42" i="17"/>
  <c r="Z42" i="17"/>
  <c r="AN75" i="27"/>
  <c r="AS7" i="27"/>
  <c r="AS73" i="27"/>
  <c r="F16" i="19"/>
  <c r="AM10" i="36"/>
  <c r="K5" i="2"/>
  <c r="BD25" i="17"/>
  <c r="BC22" i="17"/>
  <c r="BH4" i="17"/>
  <c r="BH40" i="17"/>
  <c r="BI40" i="17"/>
  <c r="BH21" i="17"/>
  <c r="BH2" i="17"/>
  <c r="BH38" i="17"/>
  <c r="O23" i="17"/>
  <c r="O49" i="17"/>
  <c r="Z49" i="17"/>
  <c r="O30" i="17"/>
  <c r="K50" i="17"/>
  <c r="BG18" i="17"/>
  <c r="BG6" i="17"/>
  <c r="BG47" i="17"/>
  <c r="N26" i="17"/>
  <c r="N10" i="17"/>
  <c r="N46" i="17"/>
  <c r="AJ23" i="36"/>
  <c r="AG56" i="27"/>
  <c r="BX3" i="36"/>
  <c r="AA3" i="28"/>
  <c r="AA32" i="28"/>
  <c r="AV24" i="28"/>
  <c r="AV69" i="28"/>
  <c r="D58" i="19"/>
  <c r="F58" i="19"/>
  <c r="BH3" i="17"/>
  <c r="BH32" i="17"/>
  <c r="AS50" i="17"/>
  <c r="BD50" i="17"/>
  <c r="BH8" i="17"/>
  <c r="BH23" i="17"/>
  <c r="BH49" i="17"/>
  <c r="BH7" i="17"/>
  <c r="O24" i="17"/>
  <c r="O55" i="17"/>
  <c r="Z55" i="17"/>
  <c r="O3" i="17"/>
  <c r="O32" i="17"/>
  <c r="Z32" i="17"/>
  <c r="AN28" i="17"/>
  <c r="N19" i="17"/>
  <c r="Y19" i="17"/>
  <c r="N11" i="17"/>
  <c r="N39" i="17"/>
  <c r="Y39" i="17"/>
  <c r="BG2" i="17"/>
  <c r="BG38" i="17"/>
  <c r="BG10" i="17"/>
  <c r="BG46" i="17"/>
  <c r="AI26" i="27"/>
  <c r="AI36" i="27"/>
  <c r="AJ6" i="27"/>
  <c r="AJ47" i="27"/>
  <c r="AR11" i="27"/>
  <c r="AR39" i="27"/>
  <c r="F28" i="19"/>
  <c r="AO7" i="27"/>
  <c r="BH10" i="17"/>
  <c r="BH46" i="17"/>
  <c r="BH25" i="17"/>
  <c r="BH64" i="17"/>
  <c r="BH13" i="17"/>
  <c r="O15" i="17"/>
  <c r="O2" i="17"/>
  <c r="O38" i="17"/>
  <c r="Z38" i="17"/>
  <c r="Y21" i="17"/>
  <c r="BG19" i="17"/>
  <c r="BG42" i="17"/>
  <c r="BG11" i="17"/>
  <c r="BG39" i="17"/>
  <c r="N7" i="17"/>
  <c r="N59" i="17"/>
  <c r="Y59" i="17"/>
  <c r="N22" i="17"/>
  <c r="AJ22" i="27"/>
  <c r="AJ37" i="27"/>
  <c r="AL2" i="27"/>
  <c r="AL38" i="27"/>
  <c r="AP18" i="27"/>
  <c r="AP75" i="27"/>
  <c r="BI10" i="36"/>
  <c r="O18" i="36"/>
  <c r="BH27" i="17"/>
  <c r="BH62" i="17"/>
  <c r="BH6" i="17"/>
  <c r="BH47" i="17"/>
  <c r="O28" i="17"/>
  <c r="O21" i="17"/>
  <c r="O65" i="17"/>
  <c r="Z65" i="17"/>
  <c r="N3" i="17"/>
  <c r="BG21" i="17"/>
  <c r="BG51" i="17"/>
  <c r="BG12" i="17"/>
  <c r="BG60" i="17"/>
  <c r="N13" i="17"/>
  <c r="N28" i="17"/>
  <c r="Q21" i="15"/>
  <c r="Q51" i="15"/>
  <c r="AL18" i="27"/>
  <c r="AT23" i="27"/>
  <c r="AT49" i="27"/>
  <c r="AY13" i="27"/>
  <c r="AY33" i="27"/>
  <c r="BT2" i="36"/>
  <c r="BH28" i="17"/>
  <c r="BH11" i="17"/>
  <c r="O6" i="17"/>
  <c r="Z6" i="17"/>
  <c r="O13" i="17"/>
  <c r="Y12" i="17"/>
  <c r="AN2" i="17"/>
  <c r="AY2" i="17"/>
  <c r="AK23" i="27"/>
  <c r="AK49" i="27"/>
  <c r="AK7" i="27"/>
  <c r="AK59" i="27"/>
  <c r="AO23" i="27"/>
  <c r="AO49" i="27"/>
  <c r="BB51" i="26"/>
  <c r="BH30" i="17"/>
  <c r="BH35" i="17"/>
  <c r="BH12" i="17"/>
  <c r="BH74" i="17"/>
  <c r="O18" i="17"/>
  <c r="O61" i="17"/>
  <c r="Z61" i="17"/>
  <c r="O10" i="17"/>
  <c r="N60" i="17"/>
  <c r="Y60" i="17"/>
  <c r="F38" i="17"/>
  <c r="BG5" i="17"/>
  <c r="BG67" i="17"/>
  <c r="BG23" i="17"/>
  <c r="BG15" i="17"/>
  <c r="BG44" i="17"/>
  <c r="AH30" i="27"/>
  <c r="AH35" i="27"/>
  <c r="AR27" i="27"/>
  <c r="AZ10" i="27"/>
  <c r="AZ46" i="27"/>
  <c r="BB65" i="26"/>
  <c r="BN20" i="36"/>
  <c r="F4" i="19"/>
  <c r="BH5" i="17"/>
  <c r="BH53" i="17"/>
  <c r="BH15" i="17"/>
  <c r="BH44" i="17"/>
  <c r="O8" i="17"/>
  <c r="O29" i="17"/>
  <c r="N9" i="17"/>
  <c r="N68" i="17"/>
  <c r="Y68" i="17"/>
  <c r="N25" i="17"/>
  <c r="N17" i="17"/>
  <c r="Y17" i="17"/>
  <c r="AH13" i="27"/>
  <c r="AH33" i="27"/>
  <c r="BB9" i="27"/>
  <c r="BB54" i="27"/>
  <c r="AN11" i="27"/>
  <c r="AN39" i="27"/>
  <c r="BB54" i="26"/>
  <c r="BH9" i="17"/>
  <c r="BH17" i="17"/>
  <c r="BH52" i="17"/>
  <c r="O27" i="17"/>
  <c r="O76" i="17"/>
  <c r="Z76" i="17"/>
  <c r="O25" i="17"/>
  <c r="H75" i="17"/>
  <c r="BG9" i="17"/>
  <c r="BG54" i="17"/>
  <c r="BG25" i="17"/>
  <c r="N20" i="17"/>
  <c r="N30" i="17"/>
  <c r="BP10" i="36"/>
  <c r="BH14" i="17"/>
  <c r="BH34" i="17"/>
  <c r="BI34" i="17"/>
  <c r="BH20" i="17"/>
  <c r="BH56" i="17"/>
  <c r="O22" i="17"/>
  <c r="O16" i="17"/>
  <c r="O72" i="17"/>
  <c r="Z72" i="17"/>
  <c r="N14" i="17"/>
  <c r="N34" i="17"/>
  <c r="Y34" i="17"/>
  <c r="N29" i="17"/>
  <c r="N57" i="17"/>
  <c r="Y57" i="17"/>
  <c r="BG20" i="17"/>
  <c r="N4" i="17"/>
  <c r="Y4" i="17"/>
  <c r="AP15" i="36"/>
  <c r="AJ33" i="17"/>
  <c r="AU33" i="17"/>
  <c r="M17" i="17"/>
  <c r="M66" i="17"/>
  <c r="X66" i="17"/>
  <c r="M18" i="17"/>
  <c r="M75" i="17"/>
  <c r="X75" i="17"/>
  <c r="AS57" i="27"/>
  <c r="AS28" i="27"/>
  <c r="AS43" i="27"/>
  <c r="BI4" i="36"/>
  <c r="R12" i="36"/>
  <c r="M20" i="17"/>
  <c r="M19" i="17"/>
  <c r="M42" i="17"/>
  <c r="X42" i="17"/>
  <c r="Q2" i="15"/>
  <c r="Q38" i="15"/>
  <c r="J73" i="17"/>
  <c r="M26" i="17"/>
  <c r="X26" i="17"/>
  <c r="M23" i="17"/>
  <c r="X23" i="17"/>
  <c r="AE11" i="27"/>
  <c r="AE39" i="27"/>
  <c r="AZ14" i="27"/>
  <c r="AZ34" i="27"/>
  <c r="AB7" i="27"/>
  <c r="AB59" i="27"/>
  <c r="F14" i="19"/>
  <c r="AL12" i="36"/>
  <c r="L60" i="15"/>
  <c r="M7" i="17"/>
  <c r="M59" i="17"/>
  <c r="X59" i="17"/>
  <c r="M29" i="17"/>
  <c r="M71" i="17"/>
  <c r="X71" i="17"/>
  <c r="M13" i="17"/>
  <c r="X13" i="17"/>
  <c r="Q29" i="15"/>
  <c r="AO53" i="27"/>
  <c r="AY2" i="27"/>
  <c r="AY38" i="27"/>
  <c r="AG24" i="28"/>
  <c r="AG55" i="28"/>
  <c r="I13" i="36"/>
  <c r="F28" i="27"/>
  <c r="F43" i="27"/>
  <c r="AI12" i="36"/>
  <c r="M16" i="17"/>
  <c r="M72" i="17"/>
  <c r="X72" i="17"/>
  <c r="AF25" i="27"/>
  <c r="AF64" i="27"/>
  <c r="BA12" i="26"/>
  <c r="BA12" i="27"/>
  <c r="BA60" i="27"/>
  <c r="Q20" i="27"/>
  <c r="Q70" i="27"/>
  <c r="H12" i="36"/>
  <c r="M8" i="17"/>
  <c r="X8" i="17"/>
  <c r="AP6" i="27"/>
  <c r="AP47" i="27"/>
  <c r="BA24" i="26"/>
  <c r="BA24" i="27"/>
  <c r="AG3" i="27"/>
  <c r="AG32" i="27"/>
  <c r="AL14" i="36"/>
  <c r="M22" i="17"/>
  <c r="X22" i="17"/>
  <c r="Q28" i="15"/>
  <c r="Q43" i="15"/>
  <c r="AF8" i="27"/>
  <c r="AF41" i="27"/>
  <c r="M14" i="36"/>
  <c r="AJ34" i="17"/>
  <c r="AU34" i="17"/>
  <c r="M28" i="17"/>
  <c r="X28" i="17"/>
  <c r="AN74" i="27"/>
  <c r="AY18" i="27"/>
  <c r="AS12" i="27"/>
  <c r="AJ57" i="17"/>
  <c r="AU57" i="17"/>
  <c r="AL24" i="28"/>
  <c r="AL69" i="28"/>
  <c r="AD12" i="36"/>
  <c r="M3" i="17"/>
  <c r="M32" i="17"/>
  <c r="X32" i="17"/>
  <c r="AO24" i="28"/>
  <c r="AO55" i="28"/>
  <c r="R5" i="36"/>
  <c r="AT13" i="36"/>
  <c r="AW12" i="36"/>
  <c r="AC12" i="36"/>
  <c r="U6" i="15"/>
  <c r="U47" i="15"/>
  <c r="V68" i="15"/>
  <c r="M6" i="17"/>
  <c r="M47" i="17"/>
  <c r="X47" i="17"/>
  <c r="M9" i="17"/>
  <c r="X9" i="17"/>
  <c r="AG4" i="27"/>
  <c r="AG40" i="27"/>
  <c r="AN13" i="27"/>
  <c r="AN33" i="27"/>
  <c r="Y14" i="36"/>
  <c r="Q28" i="27"/>
  <c r="Q43" i="27"/>
  <c r="S12" i="36"/>
  <c r="P27" i="15"/>
  <c r="P62" i="15"/>
  <c r="P16" i="15"/>
  <c r="P58" i="15"/>
  <c r="P5" i="15"/>
  <c r="P67" i="15"/>
  <c r="P26" i="15"/>
  <c r="P36" i="15"/>
  <c r="P14" i="15"/>
  <c r="P34" i="15"/>
  <c r="P24" i="15"/>
  <c r="P55" i="15"/>
  <c r="P13" i="15"/>
  <c r="P22" i="15"/>
  <c r="P11" i="15"/>
  <c r="P39" i="15"/>
  <c r="P25" i="15"/>
  <c r="P50" i="15"/>
  <c r="P10" i="15"/>
  <c r="P46" i="15"/>
  <c r="P23" i="15"/>
  <c r="P49" i="15"/>
  <c r="P12" i="15"/>
  <c r="P17" i="15"/>
  <c r="P66" i="15"/>
  <c r="P6" i="15"/>
  <c r="P15" i="15"/>
  <c r="P44" i="15"/>
  <c r="P4" i="15"/>
  <c r="P40" i="15"/>
  <c r="P30" i="15"/>
  <c r="P35" i="15"/>
  <c r="P21" i="15"/>
  <c r="P2" i="15"/>
  <c r="P38" i="15"/>
  <c r="P3" i="15"/>
  <c r="P29" i="15"/>
  <c r="P71" i="15"/>
  <c r="P19" i="15"/>
  <c r="P42" i="15"/>
  <c r="P9" i="15"/>
  <c r="P54" i="15"/>
  <c r="P28" i="15"/>
  <c r="P43" i="15"/>
  <c r="P18" i="15"/>
  <c r="P75" i="15"/>
  <c r="P7" i="15"/>
  <c r="P59" i="15"/>
  <c r="P8" i="15"/>
  <c r="P41" i="15"/>
  <c r="R41" i="15"/>
  <c r="F54" i="15"/>
  <c r="P20" i="15"/>
  <c r="R27" i="17"/>
  <c r="AC27" i="17"/>
  <c r="G76" i="17"/>
  <c r="G62" i="17"/>
  <c r="AO27" i="17"/>
  <c r="K40" i="17"/>
  <c r="V4" i="17"/>
  <c r="V40" i="17"/>
  <c r="AG40" i="17"/>
  <c r="K39" i="17"/>
  <c r="V11" i="17"/>
  <c r="AG11" i="17"/>
  <c r="Q13" i="17"/>
  <c r="AB13" i="17"/>
  <c r="F33" i="17"/>
  <c r="AX76" i="27"/>
  <c r="AX62" i="27"/>
  <c r="AD11" i="27"/>
  <c r="AG72" i="27"/>
  <c r="AG58" i="27"/>
  <c r="AP62" i="17"/>
  <c r="BA62" i="17"/>
  <c r="BA27" i="17"/>
  <c r="U23" i="15"/>
  <c r="U49" i="15"/>
  <c r="K59" i="15"/>
  <c r="W23" i="15"/>
  <c r="W49" i="15"/>
  <c r="S29" i="15"/>
  <c r="W29" i="15"/>
  <c r="W57" i="15"/>
  <c r="H10" i="15"/>
  <c r="H46" i="15"/>
  <c r="H15" i="15"/>
  <c r="H44" i="15"/>
  <c r="H20" i="15"/>
  <c r="H70" i="15"/>
  <c r="I25" i="15"/>
  <c r="I64" i="15"/>
  <c r="L30" i="15"/>
  <c r="L35" i="15"/>
  <c r="V10" i="15"/>
  <c r="V46" i="15"/>
  <c r="H16" i="15"/>
  <c r="H72" i="15"/>
  <c r="N51" i="15"/>
  <c r="K27" i="15"/>
  <c r="AG22" i="27"/>
  <c r="AG37" i="27"/>
  <c r="BA7" i="26"/>
  <c r="BA7" i="27"/>
  <c r="BA59" i="27"/>
  <c r="BA19" i="26"/>
  <c r="AW20" i="36"/>
  <c r="H25" i="15"/>
  <c r="H64" i="15"/>
  <c r="F30" i="15"/>
  <c r="F35" i="15"/>
  <c r="L10" i="15"/>
  <c r="L46" i="15"/>
  <c r="L15" i="15"/>
  <c r="L44" i="15"/>
  <c r="L20" i="15"/>
  <c r="L70" i="15"/>
  <c r="V25" i="15"/>
  <c r="V64" i="15"/>
  <c r="S30" i="15"/>
  <c r="F11" i="15"/>
  <c r="F39" i="15"/>
  <c r="L16" i="15"/>
  <c r="F22" i="15"/>
  <c r="F37" i="15"/>
  <c r="F28" i="15"/>
  <c r="F43" i="15"/>
  <c r="O26" i="17"/>
  <c r="O36" i="17"/>
  <c r="Z36" i="17"/>
  <c r="AG6" i="27"/>
  <c r="AG47" i="27"/>
  <c r="AL23" i="27"/>
  <c r="AL49" i="27"/>
  <c r="BA8" i="26"/>
  <c r="BA20" i="26"/>
  <c r="F5" i="19"/>
  <c r="D67" i="19"/>
  <c r="F67" i="19"/>
  <c r="BA9" i="26"/>
  <c r="BA21" i="26"/>
  <c r="H24" i="17"/>
  <c r="AL9" i="36"/>
  <c r="BU20" i="36"/>
  <c r="AP5" i="36"/>
  <c r="BW29" i="36"/>
  <c r="BM29" i="36"/>
  <c r="BS4" i="36"/>
  <c r="V28" i="36"/>
  <c r="AC28" i="36"/>
  <c r="P7" i="36"/>
  <c r="BP27" i="36"/>
  <c r="AL7" i="27"/>
  <c r="AR14" i="27"/>
  <c r="AR34" i="27"/>
  <c r="AV23" i="27"/>
  <c r="AV49" i="27"/>
  <c r="BA10" i="26"/>
  <c r="BA46" i="26"/>
  <c r="BA22" i="26"/>
  <c r="H29" i="17"/>
  <c r="BO20" i="36"/>
  <c r="F29" i="19"/>
  <c r="D71" i="19"/>
  <c r="F71" i="19"/>
  <c r="AX29" i="36"/>
  <c r="BL29" i="36"/>
  <c r="AH14" i="36"/>
  <c r="H22" i="36"/>
  <c r="O7" i="17"/>
  <c r="O59" i="17"/>
  <c r="Z59" i="17"/>
  <c r="AQ2" i="27"/>
  <c r="AQ38" i="27"/>
  <c r="BA11" i="26"/>
  <c r="BA23" i="26"/>
  <c r="BA49" i="26"/>
  <c r="BT20" i="36"/>
  <c r="D37" i="19"/>
  <c r="F37" i="19"/>
  <c r="BV29" i="36"/>
  <c r="BK29" i="36"/>
  <c r="C3" i="36"/>
  <c r="AR14" i="36"/>
  <c r="AI15" i="36"/>
  <c r="BW6" i="36"/>
  <c r="BE6" i="36"/>
  <c r="L7" i="36"/>
  <c r="BN27" i="36"/>
  <c r="BO2" i="36"/>
  <c r="L17" i="15"/>
  <c r="N37" i="15"/>
  <c r="I8" i="15"/>
  <c r="I41" i="15"/>
  <c r="L13" i="15"/>
  <c r="L33" i="15"/>
  <c r="N61" i="15"/>
  <c r="V24" i="15"/>
  <c r="V69" i="15"/>
  <c r="V30" i="15"/>
  <c r="V35" i="15"/>
  <c r="BG30" i="17"/>
  <c r="BG35" i="17"/>
  <c r="AF26" i="27"/>
  <c r="AF36" i="27"/>
  <c r="BB24" i="27"/>
  <c r="BB55" i="27"/>
  <c r="AT11" i="27"/>
  <c r="AT39" i="27"/>
  <c r="BB55" i="26"/>
  <c r="BA13" i="26"/>
  <c r="BA25" i="26"/>
  <c r="BA25" i="28"/>
  <c r="BT29" i="36"/>
  <c r="L29" i="36"/>
  <c r="BM3" i="36"/>
  <c r="AD14" i="36"/>
  <c r="AO27" i="36"/>
  <c r="BW2" i="36"/>
  <c r="BA14" i="26"/>
  <c r="BA14" i="28"/>
  <c r="BA34" i="28"/>
  <c r="BA26" i="26"/>
  <c r="AF24" i="28"/>
  <c r="AF69" i="28"/>
  <c r="I9" i="36"/>
  <c r="BS20" i="36"/>
  <c r="BM20" i="36"/>
  <c r="AU29" i="36"/>
  <c r="BI29" i="36"/>
  <c r="N12" i="36"/>
  <c r="AU18" i="36"/>
  <c r="BM27" i="36"/>
  <c r="I28" i="15"/>
  <c r="I43" i="15"/>
  <c r="L8" i="15"/>
  <c r="L41" i="15"/>
  <c r="F13" i="15"/>
  <c r="F33" i="15"/>
  <c r="I18" i="15"/>
  <c r="I75" i="15"/>
  <c r="V23" i="15"/>
  <c r="V49" i="15"/>
  <c r="N43" i="15"/>
  <c r="H9" i="15"/>
  <c r="J14" i="15"/>
  <c r="J34" i="15"/>
  <c r="N42" i="15"/>
  <c r="O4" i="17"/>
  <c r="O40" i="17"/>
  <c r="Z40" i="17"/>
  <c r="AP10" i="17"/>
  <c r="AF10" i="27"/>
  <c r="AF46" i="27"/>
  <c r="AI30" i="27"/>
  <c r="AI35" i="27"/>
  <c r="AJ26" i="27"/>
  <c r="AJ36" i="27"/>
  <c r="AJ10" i="27"/>
  <c r="AJ46" i="27"/>
  <c r="BA2" i="26"/>
  <c r="BA2" i="28"/>
  <c r="BA38" i="28"/>
  <c r="BA15" i="26"/>
  <c r="BA44" i="26"/>
  <c r="BA27" i="26"/>
  <c r="BA76" i="26"/>
  <c r="AL29" i="17"/>
  <c r="AL57" i="17"/>
  <c r="AW57" i="17"/>
  <c r="D52" i="19"/>
  <c r="F52" i="19"/>
  <c r="BS29" i="36"/>
  <c r="BG29" i="36"/>
  <c r="V18" i="15"/>
  <c r="V75" i="15"/>
  <c r="H24" i="15"/>
  <c r="H69" i="15"/>
  <c r="I29" i="15"/>
  <c r="I71" i="15"/>
  <c r="L9" i="15"/>
  <c r="N34" i="15"/>
  <c r="I20" i="15"/>
  <c r="I70" i="15"/>
  <c r="I26" i="15"/>
  <c r="I36" i="15"/>
  <c r="AS13" i="17"/>
  <c r="BD13" i="17"/>
  <c r="Q7" i="15"/>
  <c r="Q59" i="15"/>
  <c r="R59" i="15"/>
  <c r="AH16" i="27"/>
  <c r="AH58" i="27"/>
  <c r="AI13" i="27"/>
  <c r="AI33" i="27"/>
  <c r="AT27" i="27"/>
  <c r="AT62" i="27"/>
  <c r="BA4" i="26"/>
  <c r="BA16" i="26"/>
  <c r="BA28" i="26"/>
  <c r="AP24" i="28"/>
  <c r="AL24" i="17"/>
  <c r="AL5" i="17"/>
  <c r="AW5" i="17"/>
  <c r="BW20" i="36"/>
  <c r="BQ20" i="36"/>
  <c r="BL20" i="36"/>
  <c r="D66" i="19"/>
  <c r="F66" i="19"/>
  <c r="BQ29" i="36"/>
  <c r="BF29" i="36"/>
  <c r="BL27" i="36"/>
  <c r="AS15" i="27"/>
  <c r="AS44" i="27"/>
  <c r="AA56" i="26"/>
  <c r="BA5" i="26"/>
  <c r="BA17" i="26"/>
  <c r="BA29" i="26"/>
  <c r="H21" i="17"/>
  <c r="AL21" i="17"/>
  <c r="AP9" i="36"/>
  <c r="BP29" i="36"/>
  <c r="BE29" i="36"/>
  <c r="AO22" i="36"/>
  <c r="F24" i="15"/>
  <c r="F69" i="15"/>
  <c r="L29" i="15"/>
  <c r="K9" i="15"/>
  <c r="K54" i="15"/>
  <c r="V14" i="15"/>
  <c r="V34" i="15"/>
  <c r="V19" i="15"/>
  <c r="V42" i="15"/>
  <c r="S24" i="15"/>
  <c r="W24" i="15"/>
  <c r="H30" i="15"/>
  <c r="H35" i="15"/>
  <c r="I10" i="15"/>
  <c r="I46" i="15"/>
  <c r="I45" i="15"/>
  <c r="V15" i="15"/>
  <c r="V44" i="15"/>
  <c r="J21" i="15"/>
  <c r="J51" i="15"/>
  <c r="AP2" i="17"/>
  <c r="I47" i="17"/>
  <c r="M10" i="15"/>
  <c r="M46" i="15"/>
  <c r="M45" i="15"/>
  <c r="Q4" i="15"/>
  <c r="Q40" i="15"/>
  <c r="AN59" i="27"/>
  <c r="AZ2" i="27"/>
  <c r="AZ38" i="27"/>
  <c r="AA20" i="27"/>
  <c r="BA6" i="26"/>
  <c r="BA18" i="26"/>
  <c r="BA30" i="26"/>
  <c r="H17" i="17"/>
  <c r="BV20" i="36"/>
  <c r="BP20" i="36"/>
  <c r="AS20" i="28"/>
  <c r="BA29" i="36"/>
  <c r="AO8" i="36"/>
  <c r="BT27" i="36"/>
  <c r="BH27" i="36"/>
  <c r="Z24" i="28"/>
  <c r="AA14" i="27"/>
  <c r="AA34" i="27"/>
  <c r="V24" i="28"/>
  <c r="V25" i="28"/>
  <c r="T25" i="27"/>
  <c r="T64" i="27"/>
  <c r="R72" i="27"/>
  <c r="R58" i="27"/>
  <c r="K5" i="27"/>
  <c r="J19" i="27"/>
  <c r="J42" i="27"/>
  <c r="D11" i="27"/>
  <c r="D25" i="28"/>
  <c r="E11" i="27"/>
  <c r="E39" i="27"/>
  <c r="U30" i="15"/>
  <c r="U35" i="15"/>
  <c r="H59" i="17"/>
  <c r="H73" i="17"/>
  <c r="AP7" i="17"/>
  <c r="AP59" i="17"/>
  <c r="BA59" i="17"/>
  <c r="S7" i="17"/>
  <c r="S59" i="17"/>
  <c r="AD59" i="17"/>
  <c r="I76" i="17"/>
  <c r="AQ27" i="17"/>
  <c r="BB27" i="17"/>
  <c r="I54" i="15"/>
  <c r="I68" i="15"/>
  <c r="AN22" i="17"/>
  <c r="AY22" i="17"/>
  <c r="U4" i="17"/>
  <c r="U40" i="17"/>
  <c r="AF40" i="17"/>
  <c r="J40" i="17"/>
  <c r="AR4" i="17"/>
  <c r="N54" i="17"/>
  <c r="Y54" i="17"/>
  <c r="N50" i="17"/>
  <c r="Y50" i="17"/>
  <c r="N64" i="17"/>
  <c r="Y64" i="17"/>
  <c r="N66" i="17"/>
  <c r="Y66" i="17"/>
  <c r="N52" i="17"/>
  <c r="Y52" i="17"/>
  <c r="I10" i="27"/>
  <c r="I46" i="27"/>
  <c r="AN47" i="17"/>
  <c r="AY47" i="17"/>
  <c r="AY6" i="17"/>
  <c r="AO36" i="17"/>
  <c r="AZ36" i="17"/>
  <c r="AZ26" i="17"/>
  <c r="AS19" i="17"/>
  <c r="BD19" i="17"/>
  <c r="K42" i="17"/>
  <c r="D2" i="27"/>
  <c r="J60" i="15"/>
  <c r="J74" i="15"/>
  <c r="J54" i="15"/>
  <c r="J68" i="15"/>
  <c r="T3" i="15"/>
  <c r="T32" i="15"/>
  <c r="S32" i="15"/>
  <c r="X3" i="15"/>
  <c r="X32" i="15"/>
  <c r="Y25" i="17"/>
  <c r="F47" i="17"/>
  <c r="AS58" i="17"/>
  <c r="BD58" i="17"/>
  <c r="W64" i="27"/>
  <c r="W50" i="27"/>
  <c r="M2" i="27"/>
  <c r="M38" i="27"/>
  <c r="L62" i="15"/>
  <c r="K53" i="15"/>
  <c r="N61" i="17"/>
  <c r="Y61" i="17"/>
  <c r="G58" i="17"/>
  <c r="BG26" i="17"/>
  <c r="BI26" i="17"/>
  <c r="N8" i="17"/>
  <c r="E3" i="15"/>
  <c r="E32" i="15"/>
  <c r="M7" i="15"/>
  <c r="Q23" i="15"/>
  <c r="Q49" i="15"/>
  <c r="AX17" i="36"/>
  <c r="F29" i="17"/>
  <c r="Y9" i="36"/>
  <c r="S9" i="36"/>
  <c r="O9" i="36"/>
  <c r="K9" i="36"/>
  <c r="R21" i="27"/>
  <c r="BK13" i="36"/>
  <c r="H14" i="27"/>
  <c r="H34" i="27"/>
  <c r="S22" i="36"/>
  <c r="BH22" i="36"/>
  <c r="BU4" i="36"/>
  <c r="BI6" i="36"/>
  <c r="BA6" i="36"/>
  <c r="G7" i="36"/>
  <c r="BA27" i="36"/>
  <c r="G72" i="17"/>
  <c r="AJ47" i="17"/>
  <c r="E4" i="15"/>
  <c r="E40" i="15"/>
  <c r="M21" i="15"/>
  <c r="M51" i="15"/>
  <c r="AI28" i="27"/>
  <c r="AI43" i="27"/>
  <c r="BB11" i="27"/>
  <c r="BB39" i="27"/>
  <c r="AM16" i="27"/>
  <c r="AO26" i="27"/>
  <c r="AO36" i="27"/>
  <c r="Y17" i="36"/>
  <c r="D17" i="36"/>
  <c r="F21" i="17"/>
  <c r="AW9" i="36"/>
  <c r="AE9" i="36"/>
  <c r="BO19" i="36"/>
  <c r="W27" i="36"/>
  <c r="X21" i="15"/>
  <c r="X65" i="15"/>
  <c r="J56" i="15"/>
  <c r="AS11" i="17"/>
  <c r="AO16" i="17"/>
  <c r="AO58" i="17"/>
  <c r="AZ58" i="17"/>
  <c r="R58" i="17"/>
  <c r="AC58" i="17"/>
  <c r="M5" i="15"/>
  <c r="O5" i="15"/>
  <c r="E22" i="15"/>
  <c r="E37" i="15"/>
  <c r="Q10" i="15"/>
  <c r="Q46" i="15"/>
  <c r="AI12" i="27"/>
  <c r="AV22" i="27"/>
  <c r="AV37" i="27"/>
  <c r="AY6" i="27"/>
  <c r="AY47" i="27"/>
  <c r="AY45" i="27"/>
  <c r="AF25" i="28"/>
  <c r="AF50" i="28"/>
  <c r="AM3" i="27"/>
  <c r="AM32" i="27"/>
  <c r="X9" i="36"/>
  <c r="AM9" i="36"/>
  <c r="AI9" i="36"/>
  <c r="BI13" i="17"/>
  <c r="AL6" i="27"/>
  <c r="AL47" i="27"/>
  <c r="AL45" i="27"/>
  <c r="AN30" i="27"/>
  <c r="AN35" i="27"/>
  <c r="AQ16" i="27"/>
  <c r="R9" i="36"/>
  <c r="N9" i="36"/>
  <c r="V27" i="36"/>
  <c r="I27" i="36"/>
  <c r="AN13" i="17"/>
  <c r="E12" i="15"/>
  <c r="E74" i="15"/>
  <c r="M29" i="15"/>
  <c r="Q9" i="15"/>
  <c r="Q68" i="15"/>
  <c r="AO10" i="27"/>
  <c r="AO46" i="27"/>
  <c r="I24" i="17"/>
  <c r="P17" i="36"/>
  <c r="AV9" i="36"/>
  <c r="AH9" i="36"/>
  <c r="AP22" i="36"/>
  <c r="I4" i="27"/>
  <c r="I40" i="27"/>
  <c r="V8" i="36"/>
  <c r="BN6" i="36"/>
  <c r="BF6" i="36"/>
  <c r="Z25" i="28"/>
  <c r="AJ12" i="36"/>
  <c r="AO18" i="36"/>
  <c r="I27" i="27"/>
  <c r="AT27" i="36"/>
  <c r="H60" i="17"/>
  <c r="BG17" i="17"/>
  <c r="BG16" i="17"/>
  <c r="BG58" i="17"/>
  <c r="BG27" i="17"/>
  <c r="E24" i="15"/>
  <c r="E69" i="15"/>
  <c r="M17" i="15"/>
  <c r="O17" i="15"/>
  <c r="Q5" i="15"/>
  <c r="Q53" i="15"/>
  <c r="Q16" i="15"/>
  <c r="Q72" i="15"/>
  <c r="AD26" i="27"/>
  <c r="AL22" i="27"/>
  <c r="AL37" i="27"/>
  <c r="AR30" i="27"/>
  <c r="AR35" i="27"/>
  <c r="AR13" i="27"/>
  <c r="AR33" i="27"/>
  <c r="I17" i="17"/>
  <c r="I9" i="17"/>
  <c r="AU9" i="36"/>
  <c r="Q9" i="36"/>
  <c r="M9" i="36"/>
  <c r="V19" i="36"/>
  <c r="BL6" i="36"/>
  <c r="BK27" i="36"/>
  <c r="AF27" i="36"/>
  <c r="AQ12" i="17"/>
  <c r="AJ46" i="17"/>
  <c r="AU46" i="17"/>
  <c r="E26" i="15"/>
  <c r="E36" i="15"/>
  <c r="E23" i="15"/>
  <c r="E49" i="15"/>
  <c r="AS53" i="27"/>
  <c r="AF57" i="27"/>
  <c r="F24" i="17"/>
  <c r="H9" i="17"/>
  <c r="V9" i="36"/>
  <c r="AG9" i="36"/>
  <c r="I8" i="36"/>
  <c r="BD6" i="36"/>
  <c r="AW16" i="36"/>
  <c r="AX7" i="36"/>
  <c r="Q12" i="36"/>
  <c r="J12" i="36"/>
  <c r="BQ27" i="36"/>
  <c r="M27" i="36"/>
  <c r="G27" i="36"/>
  <c r="O26" i="15"/>
  <c r="E30" i="15"/>
  <c r="E35" i="15"/>
  <c r="M24" i="15"/>
  <c r="M55" i="15"/>
  <c r="AO9" i="36"/>
  <c r="AK9" i="36"/>
  <c r="H9" i="36"/>
  <c r="I5" i="17"/>
  <c r="BS19" i="36"/>
  <c r="AV6" i="27"/>
  <c r="AV47" i="27"/>
  <c r="AX10" i="27"/>
  <c r="AX46" i="27"/>
  <c r="S17" i="36"/>
  <c r="I29" i="17"/>
  <c r="AQ21" i="27"/>
  <c r="F9" i="17"/>
  <c r="AT9" i="36"/>
  <c r="P9" i="36"/>
  <c r="L9" i="36"/>
  <c r="H5" i="17"/>
  <c r="I28" i="36"/>
  <c r="W15" i="36"/>
  <c r="BQ6" i="36"/>
  <c r="BC6" i="36"/>
  <c r="AH25" i="28"/>
  <c r="AH64" i="28"/>
  <c r="AU16" i="36"/>
  <c r="AN12" i="36"/>
  <c r="AG12" i="36"/>
  <c r="BJ27" i="36"/>
  <c r="BD27" i="36"/>
  <c r="S53" i="15"/>
  <c r="H38" i="17"/>
  <c r="AQ10" i="17"/>
  <c r="AJ60" i="17"/>
  <c r="AU60" i="17"/>
  <c r="M2" i="15"/>
  <c r="M38" i="15"/>
  <c r="E13" i="15"/>
  <c r="E33" i="15"/>
  <c r="AH15" i="27"/>
  <c r="AH44" i="27"/>
  <c r="AP22" i="27"/>
  <c r="AP37" i="27"/>
  <c r="AT10" i="27"/>
  <c r="AT46" i="27"/>
  <c r="F17" i="17"/>
  <c r="AL17" i="36"/>
  <c r="I21" i="17"/>
  <c r="U9" i="36"/>
  <c r="AF9" i="36"/>
  <c r="R27" i="36"/>
  <c r="I46" i="17"/>
  <c r="AJ74" i="17"/>
  <c r="AU74" i="17"/>
  <c r="M4" i="15"/>
  <c r="M40" i="15"/>
  <c r="M22" i="15"/>
  <c r="AY56" i="27"/>
  <c r="AK10" i="27"/>
  <c r="AK46" i="27"/>
  <c r="AX9" i="36"/>
  <c r="AR9" i="36"/>
  <c r="AN9" i="36"/>
  <c r="AJ9" i="36"/>
  <c r="G9" i="36"/>
  <c r="F5" i="17"/>
  <c r="AU15" i="36"/>
  <c r="BP6" i="36"/>
  <c r="AN25" i="28"/>
  <c r="AT7" i="36"/>
  <c r="V12" i="36"/>
  <c r="AM12" i="36"/>
  <c r="J18" i="36"/>
  <c r="AW27" i="36"/>
  <c r="AJ27" i="36"/>
  <c r="AU28" i="17"/>
  <c r="AJ43" i="17"/>
  <c r="AU43" i="17"/>
  <c r="BH8" i="36"/>
  <c r="BY8" i="36"/>
  <c r="BB8" i="28"/>
  <c r="BB41" i="28"/>
  <c r="BX8" i="36"/>
  <c r="U20" i="15"/>
  <c r="U70" i="15"/>
  <c r="S56" i="15"/>
  <c r="U19" i="17"/>
  <c r="J42" i="17"/>
  <c r="AR19" i="17"/>
  <c r="F57" i="15"/>
  <c r="W16" i="15"/>
  <c r="W58" i="15"/>
  <c r="X16" i="15"/>
  <c r="X58" i="15"/>
  <c r="T16" i="15"/>
  <c r="T72" i="15"/>
  <c r="U14" i="15"/>
  <c r="U34" i="15"/>
  <c r="T14" i="15"/>
  <c r="T34" i="15"/>
  <c r="AJ38" i="17"/>
  <c r="AU38" i="17"/>
  <c r="AU2" i="17"/>
  <c r="R15" i="17"/>
  <c r="AO15" i="17"/>
  <c r="AO44" i="17"/>
  <c r="AZ44" i="17"/>
  <c r="BC7" i="17"/>
  <c r="AR73" i="17"/>
  <c r="BC73" i="17"/>
  <c r="AS76" i="17"/>
  <c r="BD76" i="17"/>
  <c r="H51" i="15"/>
  <c r="H65" i="15"/>
  <c r="W4" i="15"/>
  <c r="W40" i="15"/>
  <c r="T4" i="15"/>
  <c r="T40" i="15"/>
  <c r="I74" i="15"/>
  <c r="I60" i="15"/>
  <c r="BI44" i="17"/>
  <c r="K70" i="15"/>
  <c r="F72" i="17"/>
  <c r="AN16" i="17"/>
  <c r="AY16" i="17"/>
  <c r="N33" i="17"/>
  <c r="Y33" i="17"/>
  <c r="Y13" i="17"/>
  <c r="AS19" i="27"/>
  <c r="AS42" i="27"/>
  <c r="AR9" i="17"/>
  <c r="U9" i="17"/>
  <c r="AF9" i="17"/>
  <c r="J68" i="17"/>
  <c r="AH20" i="27"/>
  <c r="W19" i="15"/>
  <c r="W42" i="15"/>
  <c r="I33" i="17"/>
  <c r="F58" i="17"/>
  <c r="S58" i="15"/>
  <c r="S72" i="15"/>
  <c r="J72" i="15"/>
  <c r="AR59" i="17"/>
  <c r="BC59" i="17"/>
  <c r="AW2" i="17"/>
  <c r="AL38" i="17"/>
  <c r="AW38" i="17"/>
  <c r="S34" i="15"/>
  <c r="I50" i="15"/>
  <c r="F50" i="15"/>
  <c r="BB13" i="17"/>
  <c r="BC2" i="17"/>
  <c r="AR38" i="17"/>
  <c r="BC38" i="17"/>
  <c r="X14" i="15"/>
  <c r="X34" i="15"/>
  <c r="T8" i="15"/>
  <c r="T41" i="15"/>
  <c r="U8" i="15"/>
  <c r="U41" i="15"/>
  <c r="W8" i="15"/>
  <c r="W41" i="15"/>
  <c r="BI21" i="17"/>
  <c r="BH65" i="17"/>
  <c r="AN10" i="17"/>
  <c r="AN46" i="17"/>
  <c r="AY46" i="17"/>
  <c r="L64" i="15"/>
  <c r="J69" i="15"/>
  <c r="W14" i="15"/>
  <c r="W34" i="15"/>
  <c r="G44" i="17"/>
  <c r="D76" i="15"/>
  <c r="D62" i="15"/>
  <c r="BH58" i="17"/>
  <c r="K55" i="15"/>
  <c r="F45" i="15"/>
  <c r="W28" i="15"/>
  <c r="W43" i="15"/>
  <c r="T28" i="15"/>
  <c r="T43" i="15"/>
  <c r="BG53" i="17"/>
  <c r="T25" i="17"/>
  <c r="R12" i="17"/>
  <c r="R74" i="17"/>
  <c r="AC74" i="17"/>
  <c r="G74" i="17"/>
  <c r="AS8" i="17"/>
  <c r="K41" i="17"/>
  <c r="V8" i="17"/>
  <c r="U28" i="17"/>
  <c r="AF28" i="17"/>
  <c r="J43" i="17"/>
  <c r="AC29" i="17"/>
  <c r="D12" i="15"/>
  <c r="AA30" i="28"/>
  <c r="AA35" i="28"/>
  <c r="AX25" i="27"/>
  <c r="AS21" i="27"/>
  <c r="AO20" i="27"/>
  <c r="G24" i="27"/>
  <c r="AN12" i="17"/>
  <c r="S65" i="15"/>
  <c r="Y9" i="17"/>
  <c r="J64" i="17"/>
  <c r="F60" i="17"/>
  <c r="AN14" i="17"/>
  <c r="I74" i="17"/>
  <c r="R57" i="17"/>
  <c r="AC57" i="17"/>
  <c r="D30" i="15"/>
  <c r="D35" i="15"/>
  <c r="M4" i="17"/>
  <c r="X4" i="17"/>
  <c r="M21" i="17"/>
  <c r="X21" i="17"/>
  <c r="N16" i="17"/>
  <c r="BG22" i="17"/>
  <c r="E8" i="15"/>
  <c r="E41" i="15"/>
  <c r="E9" i="15"/>
  <c r="E27" i="15"/>
  <c r="E29" i="15"/>
  <c r="G29" i="15"/>
  <c r="Q14" i="15"/>
  <c r="Q34" i="15"/>
  <c r="C23" i="36"/>
  <c r="AI14" i="27"/>
  <c r="AI34" i="27"/>
  <c r="AH18" i="27"/>
  <c r="AH61" i="27"/>
  <c r="AG7" i="27"/>
  <c r="AG73" i="27"/>
  <c r="AF11" i="27"/>
  <c r="AF39" i="27"/>
  <c r="AO17" i="27"/>
  <c r="X8" i="27"/>
  <c r="X41" i="27"/>
  <c r="N8" i="27"/>
  <c r="N41" i="27"/>
  <c r="D16" i="27"/>
  <c r="R2" i="27"/>
  <c r="R38" i="27"/>
  <c r="I25" i="28"/>
  <c r="F74" i="17"/>
  <c r="G32" i="17"/>
  <c r="BB36" i="26"/>
  <c r="BB26" i="27"/>
  <c r="BB36" i="27"/>
  <c r="AJ12" i="27"/>
  <c r="AJ28" i="27"/>
  <c r="AJ43" i="27"/>
  <c r="AE20" i="27"/>
  <c r="AE70" i="27"/>
  <c r="AE14" i="27"/>
  <c r="AE34" i="27"/>
  <c r="AE12" i="27"/>
  <c r="AE74" i="27"/>
  <c r="S24" i="27"/>
  <c r="K13" i="27"/>
  <c r="K33" i="27"/>
  <c r="Q18" i="27"/>
  <c r="F34" i="17"/>
  <c r="BH68" i="17"/>
  <c r="V66" i="15"/>
  <c r="V76" i="15"/>
  <c r="F39" i="17"/>
  <c r="V25" i="17"/>
  <c r="AS4" i="17"/>
  <c r="AS40" i="17"/>
  <c r="BD40" i="17"/>
  <c r="AO28" i="17"/>
  <c r="AO43" i="17"/>
  <c r="AZ43" i="17"/>
  <c r="I72" i="17"/>
  <c r="P74" i="15"/>
  <c r="R43" i="17"/>
  <c r="AC43" i="17"/>
  <c r="D5" i="15"/>
  <c r="D53" i="15"/>
  <c r="M11" i="17"/>
  <c r="M39" i="17"/>
  <c r="X39" i="17"/>
  <c r="M10" i="17"/>
  <c r="M46" i="17"/>
  <c r="M45" i="17"/>
  <c r="M25" i="17"/>
  <c r="X25" i="17"/>
  <c r="M9" i="15"/>
  <c r="E16" i="15"/>
  <c r="E72" i="15"/>
  <c r="E7" i="15"/>
  <c r="AL62" i="17"/>
  <c r="AW62" i="17"/>
  <c r="AY50" i="27"/>
  <c r="AY64" i="27"/>
  <c r="AB67" i="27"/>
  <c r="AB53" i="27"/>
  <c r="AV11" i="27"/>
  <c r="AV39" i="27"/>
  <c r="AV27" i="27"/>
  <c r="AV62" i="27"/>
  <c r="AT14" i="27"/>
  <c r="AT34" i="27"/>
  <c r="AR2" i="27"/>
  <c r="AR38" i="27"/>
  <c r="AR18" i="27"/>
  <c r="AQ23" i="27"/>
  <c r="AQ49" i="27"/>
  <c r="AP11" i="27"/>
  <c r="AP39" i="27"/>
  <c r="AO14" i="27"/>
  <c r="AO34" i="27"/>
  <c r="AN2" i="27"/>
  <c r="AN38" i="27"/>
  <c r="AM23" i="27"/>
  <c r="AM49" i="27"/>
  <c r="AL11" i="27"/>
  <c r="AL39" i="27"/>
  <c r="AK14" i="27"/>
  <c r="AK34" i="27"/>
  <c r="BB44" i="26"/>
  <c r="BB15" i="27"/>
  <c r="BB44" i="27"/>
  <c r="F11" i="19"/>
  <c r="Y9" i="27"/>
  <c r="J9" i="27"/>
  <c r="BB18" i="36"/>
  <c r="BA18" i="36"/>
  <c r="BI18" i="36"/>
  <c r="BO18" i="36"/>
  <c r="BJ18" i="36"/>
  <c r="BP18" i="36"/>
  <c r="BD18" i="36"/>
  <c r="BK18" i="36"/>
  <c r="BE18" i="36"/>
  <c r="BS18" i="36"/>
  <c r="BF18" i="36"/>
  <c r="BM18" i="36"/>
  <c r="BT18" i="36"/>
  <c r="BG18" i="36"/>
  <c r="BU18" i="36"/>
  <c r="BN18" i="36"/>
  <c r="BV18" i="36"/>
  <c r="G2" i="27"/>
  <c r="G38" i="27"/>
  <c r="AJ75" i="27"/>
  <c r="AJ61" i="27"/>
  <c r="AM29" i="27"/>
  <c r="S4" i="27"/>
  <c r="S40" i="27"/>
  <c r="I58" i="15"/>
  <c r="Y6" i="17"/>
  <c r="J62" i="17"/>
  <c r="K64" i="17"/>
  <c r="AP8" i="17"/>
  <c r="BA8" i="17"/>
  <c r="AU30" i="17"/>
  <c r="D6" i="15"/>
  <c r="D47" i="15"/>
  <c r="D45" i="15"/>
  <c r="M15" i="17"/>
  <c r="M44" i="17"/>
  <c r="X44" i="17"/>
  <c r="M27" i="17"/>
  <c r="M76" i="17"/>
  <c r="X76" i="17"/>
  <c r="M30" i="17"/>
  <c r="M13" i="15"/>
  <c r="M27" i="15"/>
  <c r="M12" i="15"/>
  <c r="O12" i="15"/>
  <c r="M2" i="17"/>
  <c r="M38" i="17"/>
  <c r="X38" i="17"/>
  <c r="AY72" i="27"/>
  <c r="Y28" i="27"/>
  <c r="Y43" i="27"/>
  <c r="H42" i="17"/>
  <c r="AP16" i="17"/>
  <c r="D11" i="15"/>
  <c r="D39" i="15"/>
  <c r="E15" i="15"/>
  <c r="E44" i="15"/>
  <c r="E6" i="15"/>
  <c r="E47" i="15"/>
  <c r="M15" i="15"/>
  <c r="M44" i="15"/>
  <c r="O44" i="15"/>
  <c r="AD3" i="27"/>
  <c r="M26" i="27"/>
  <c r="M36" i="27"/>
  <c r="J20" i="17"/>
  <c r="J29" i="17"/>
  <c r="J17" i="17"/>
  <c r="J5" i="17"/>
  <c r="J21" i="17"/>
  <c r="J24" i="17"/>
  <c r="AW18" i="27"/>
  <c r="AW61" i="27"/>
  <c r="AW24" i="28"/>
  <c r="AK20" i="27"/>
  <c r="AK70" i="27"/>
  <c r="Y5" i="27"/>
  <c r="O11" i="27"/>
  <c r="O39" i="27"/>
  <c r="D15" i="27"/>
  <c r="AO3" i="17"/>
  <c r="J41" i="17"/>
  <c r="F43" i="17"/>
  <c r="G37" i="17"/>
  <c r="H72" i="17"/>
  <c r="D21" i="15"/>
  <c r="D65" i="15"/>
  <c r="M24" i="17"/>
  <c r="X24" i="17"/>
  <c r="E2" i="15"/>
  <c r="E38" i="15"/>
  <c r="E17" i="15"/>
  <c r="M14" i="15"/>
  <c r="M34" i="15"/>
  <c r="E18" i="15"/>
  <c r="Q26" i="15"/>
  <c r="Q36" i="15"/>
  <c r="R36" i="15"/>
  <c r="AP71" i="27"/>
  <c r="AP57" i="27"/>
  <c r="AA16" i="27"/>
  <c r="AA72" i="26"/>
  <c r="AA43" i="26"/>
  <c r="AA28" i="27"/>
  <c r="AA43" i="27"/>
  <c r="AW5" i="27"/>
  <c r="AW67" i="27"/>
  <c r="L30" i="27"/>
  <c r="L35" i="27"/>
  <c r="AR30" i="17"/>
  <c r="D25" i="15"/>
  <c r="D64" i="15"/>
  <c r="M18" i="15"/>
  <c r="M20" i="15"/>
  <c r="O20" i="15"/>
  <c r="AK66" i="27"/>
  <c r="E21" i="27"/>
  <c r="M17" i="27"/>
  <c r="K18" i="27"/>
  <c r="AB12" i="27"/>
  <c r="AB60" i="27"/>
  <c r="AB60" i="26"/>
  <c r="AZ15" i="27"/>
  <c r="AZ44" i="27"/>
  <c r="AY4" i="27"/>
  <c r="AY40" i="27"/>
  <c r="AY19" i="27"/>
  <c r="AY42" i="27"/>
  <c r="AX8" i="27"/>
  <c r="AX41" i="27"/>
  <c r="AX25" i="28"/>
  <c r="L29" i="27"/>
  <c r="Y11" i="27"/>
  <c r="Y39" i="27"/>
  <c r="Q25" i="27"/>
  <c r="BW17" i="36"/>
  <c r="BQ17" i="36"/>
  <c r="BL17" i="36"/>
  <c r="AW5" i="36"/>
  <c r="V29" i="36"/>
  <c r="AN3" i="36"/>
  <c r="AX14" i="36"/>
  <c r="BT30" i="36"/>
  <c r="X11" i="36"/>
  <c r="BV28" i="36"/>
  <c r="AN28" i="36"/>
  <c r="J15" i="36"/>
  <c r="R10" i="36"/>
  <c r="AS10" i="28"/>
  <c r="AS46" i="28"/>
  <c r="AA54" i="26"/>
  <c r="AY25" i="28"/>
  <c r="AY64" i="28"/>
  <c r="AN24" i="28"/>
  <c r="AT29" i="36"/>
  <c r="AR24" i="28"/>
  <c r="AV22" i="36"/>
  <c r="O22" i="36"/>
  <c r="AU28" i="36"/>
  <c r="V15" i="36"/>
  <c r="O15" i="36"/>
  <c r="L16" i="36"/>
  <c r="AB53" i="26"/>
  <c r="AA68" i="26"/>
  <c r="AX3" i="27"/>
  <c r="AX32" i="27"/>
  <c r="AV5" i="36"/>
  <c r="U29" i="36"/>
  <c r="AK29" i="36"/>
  <c r="M29" i="28"/>
  <c r="AU11" i="36"/>
  <c r="AG15" i="36"/>
  <c r="AU6" i="36"/>
  <c r="AF17" i="36"/>
  <c r="AC22" i="36"/>
  <c r="AI11" i="36"/>
  <c r="AW19" i="36"/>
  <c r="AM15" i="36"/>
  <c r="AU5" i="36"/>
  <c r="Y29" i="36"/>
  <c r="BM13" i="36"/>
  <c r="R30" i="36"/>
  <c r="BD30" i="36"/>
  <c r="AT22" i="36"/>
  <c r="AW4" i="36"/>
  <c r="BU19" i="36"/>
  <c r="BS28" i="36"/>
  <c r="AR15" i="36"/>
  <c r="L4" i="36"/>
  <c r="AB4" i="36"/>
  <c r="AL19" i="36"/>
  <c r="U28" i="36"/>
  <c r="S15" i="36"/>
  <c r="M15" i="36"/>
  <c r="AJ24" i="28"/>
  <c r="AW29" i="36"/>
  <c r="Y15" i="36"/>
  <c r="AE15" i="36"/>
  <c r="Q16" i="36"/>
  <c r="E17" i="36"/>
  <c r="W21" i="36"/>
  <c r="BK20" i="36"/>
  <c r="BE20" i="36"/>
  <c r="AR5" i="36"/>
  <c r="AH5" i="36"/>
  <c r="AP29" i="36"/>
  <c r="L15" i="36"/>
  <c r="AX16" i="36"/>
  <c r="AU17" i="36"/>
  <c r="AI17" i="36"/>
  <c r="AV29" i="36"/>
  <c r="G29" i="36"/>
  <c r="Y16" i="36"/>
  <c r="P16" i="36"/>
  <c r="BB17" i="36"/>
  <c r="AX5" i="36"/>
  <c r="BC5" i="36"/>
  <c r="AO29" i="36"/>
  <c r="AX11" i="36"/>
  <c r="AN11" i="36"/>
  <c r="AI19" i="36"/>
  <c r="Y28" i="36"/>
  <c r="X15" i="36"/>
  <c r="AC15" i="36"/>
  <c r="AX6" i="36"/>
  <c r="BT12" i="36"/>
  <c r="AQ72" i="17"/>
  <c r="BB72" i="17"/>
  <c r="BB16" i="17"/>
  <c r="AQ58" i="17"/>
  <c r="BB58" i="17"/>
  <c r="AB54" i="27"/>
  <c r="AO62" i="27"/>
  <c r="AO76" i="27"/>
  <c r="BB74" i="27"/>
  <c r="BB60" i="27"/>
  <c r="F56" i="15"/>
  <c r="T29" i="15"/>
  <c r="T57" i="15"/>
  <c r="W13" i="15"/>
  <c r="W33" i="15"/>
  <c r="T22" i="17"/>
  <c r="T37" i="17"/>
  <c r="AE37" i="17"/>
  <c r="AJ49" i="17"/>
  <c r="AU49" i="17"/>
  <c r="R55" i="17"/>
  <c r="AC55" i="17"/>
  <c r="D28" i="15"/>
  <c r="D43" i="15"/>
  <c r="D15" i="15"/>
  <c r="Q25" i="15"/>
  <c r="BP23" i="36"/>
  <c r="AK68" i="27"/>
  <c r="AG64" i="27"/>
  <c r="AH14" i="27"/>
  <c r="AH34" i="27"/>
  <c r="AJ8" i="27"/>
  <c r="AJ41" i="27"/>
  <c r="BA37" i="26"/>
  <c r="BA22" i="27"/>
  <c r="BA37" i="27"/>
  <c r="AO3" i="27"/>
  <c r="AO32" i="27"/>
  <c r="X13" i="15"/>
  <c r="X33" i="15"/>
  <c r="S61" i="15"/>
  <c r="X22" i="15"/>
  <c r="X37" i="15"/>
  <c r="T13" i="15"/>
  <c r="T33" i="15"/>
  <c r="O67" i="17"/>
  <c r="Z67" i="17"/>
  <c r="BB22" i="17"/>
  <c r="AQ18" i="17"/>
  <c r="AQ61" i="17"/>
  <c r="BB61" i="17"/>
  <c r="D2" i="15"/>
  <c r="D7" i="15"/>
  <c r="D73" i="15"/>
  <c r="D17" i="15"/>
  <c r="D52" i="15"/>
  <c r="AA29" i="28"/>
  <c r="AA57" i="28"/>
  <c r="BT23" i="36"/>
  <c r="BB5" i="28"/>
  <c r="AK58" i="27"/>
  <c r="AI27" i="27"/>
  <c r="BA39" i="26"/>
  <c r="BA11" i="27"/>
  <c r="BA39" i="27"/>
  <c r="N67" i="15"/>
  <c r="S33" i="15"/>
  <c r="X17" i="15"/>
  <c r="X52" i="15"/>
  <c r="J39" i="17"/>
  <c r="K36" i="17"/>
  <c r="G61" i="17"/>
  <c r="AQ15" i="17"/>
  <c r="AQ44" i="17"/>
  <c r="BB44" i="17"/>
  <c r="I61" i="17"/>
  <c r="D3" i="15"/>
  <c r="D32" i="15"/>
  <c r="D14" i="15"/>
  <c r="D34" i="15"/>
  <c r="D20" i="15"/>
  <c r="BB45" i="27"/>
  <c r="AM2" i="27"/>
  <c r="AM38" i="27"/>
  <c r="AY23" i="27"/>
  <c r="AY49" i="27"/>
  <c r="AX11" i="27"/>
  <c r="AX39" i="27"/>
  <c r="AQ10" i="27"/>
  <c r="AQ46" i="27"/>
  <c r="AO16" i="27"/>
  <c r="BB67" i="26"/>
  <c r="BB53" i="26"/>
  <c r="BB66" i="26"/>
  <c r="BB52" i="26"/>
  <c r="X2" i="27"/>
  <c r="X38" i="27"/>
  <c r="AD27" i="17"/>
  <c r="I57" i="15"/>
  <c r="S66" i="15"/>
  <c r="O51" i="17"/>
  <c r="Z51" i="17"/>
  <c r="BD3" i="17"/>
  <c r="AR11" i="17"/>
  <c r="AR39" i="17"/>
  <c r="BC39" i="17"/>
  <c r="AQ8" i="17"/>
  <c r="I44" i="17"/>
  <c r="I75" i="17"/>
  <c r="D4" i="15"/>
  <c r="D40" i="15"/>
  <c r="D18" i="15"/>
  <c r="D75" i="15"/>
  <c r="D24" i="15"/>
  <c r="Q65" i="15"/>
  <c r="BB11" i="28"/>
  <c r="BB39" i="28"/>
  <c r="AG60" i="27"/>
  <c r="AK73" i="27"/>
  <c r="AK11" i="27"/>
  <c r="AK39" i="27"/>
  <c r="AS8" i="27"/>
  <c r="AS41" i="27"/>
  <c r="AS25" i="27"/>
  <c r="AZ4" i="27"/>
  <c r="AZ40" i="27"/>
  <c r="AR7" i="27"/>
  <c r="N49" i="15"/>
  <c r="O49" i="15"/>
  <c r="X28" i="15"/>
  <c r="X43" i="15"/>
  <c r="K61" i="15"/>
  <c r="D9" i="15"/>
  <c r="D68" i="15"/>
  <c r="D19" i="15"/>
  <c r="D42" i="15"/>
  <c r="D26" i="15"/>
  <c r="D36" i="15"/>
  <c r="Q18" i="17"/>
  <c r="Q61" i="17"/>
  <c r="AW14" i="17"/>
  <c r="Q20" i="15"/>
  <c r="Q70" i="15"/>
  <c r="AG71" i="27"/>
  <c r="AG18" i="27"/>
  <c r="AG75" i="27"/>
  <c r="AA46" i="26"/>
  <c r="AA45" i="26"/>
  <c r="AA10" i="27"/>
  <c r="AA46" i="27"/>
  <c r="AA45" i="27"/>
  <c r="AB72" i="26"/>
  <c r="AB16" i="27"/>
  <c r="AZ20" i="27"/>
  <c r="U28" i="15"/>
  <c r="U43" i="15"/>
  <c r="BI46" i="17"/>
  <c r="BI38" i="17"/>
  <c r="N70" i="17"/>
  <c r="Y70" i="17"/>
  <c r="D13" i="15"/>
  <c r="D33" i="15"/>
  <c r="D23" i="15"/>
  <c r="D49" i="15"/>
  <c r="Q30" i="15"/>
  <c r="Q35" i="15"/>
  <c r="BB50" i="27"/>
  <c r="AX61" i="27"/>
  <c r="AT59" i="27"/>
  <c r="AX15" i="27"/>
  <c r="AX44" i="27"/>
  <c r="BA40" i="26"/>
  <c r="BA4" i="27"/>
  <c r="BA40" i="27"/>
  <c r="W22" i="15"/>
  <c r="W37" i="15"/>
  <c r="AQ3" i="17"/>
  <c r="AQ32" i="17"/>
  <c r="BB32" i="17"/>
  <c r="R66" i="17"/>
  <c r="AC66" i="17"/>
  <c r="R38" i="15"/>
  <c r="R21" i="15"/>
  <c r="AG2" i="27"/>
  <c r="AG38" i="27"/>
  <c r="AY30" i="27"/>
  <c r="AY35" i="27"/>
  <c r="BB32" i="26"/>
  <c r="BB3" i="27"/>
  <c r="BB32" i="27"/>
  <c r="W17" i="15"/>
  <c r="O2" i="15"/>
  <c r="T17" i="15"/>
  <c r="T66" i="15"/>
  <c r="G38" i="17"/>
  <c r="AU16" i="17"/>
  <c r="P60" i="15"/>
  <c r="AF67" i="27"/>
  <c r="AY14" i="27"/>
  <c r="AY34" i="27"/>
  <c r="AA38" i="26"/>
  <c r="AA2" i="27"/>
  <c r="AA38" i="27"/>
  <c r="AB21" i="27"/>
  <c r="AB51" i="26"/>
  <c r="AP23" i="27"/>
  <c r="AP49" i="27"/>
  <c r="AO11" i="27"/>
  <c r="AO39" i="27"/>
  <c r="AN14" i="27"/>
  <c r="AN34" i="27"/>
  <c r="BB74" i="26"/>
  <c r="BB60" i="26"/>
  <c r="AJ25" i="28"/>
  <c r="AJ64" i="28"/>
  <c r="BC23" i="17"/>
  <c r="F59" i="17"/>
  <c r="F61" i="17"/>
  <c r="AP30" i="17"/>
  <c r="D22" i="15"/>
  <c r="D37" i="15"/>
  <c r="Q6" i="15"/>
  <c r="Q47" i="15"/>
  <c r="Q45" i="15"/>
  <c r="AQ50" i="27"/>
  <c r="AV25" i="28"/>
  <c r="AV50" i="28"/>
  <c r="AV25" i="27"/>
  <c r="AT28" i="27"/>
  <c r="AT43" i="27"/>
  <c r="AR15" i="27"/>
  <c r="AR44" i="27"/>
  <c r="AX20" i="27"/>
  <c r="AX70" i="27"/>
  <c r="AN18" i="17"/>
  <c r="W11" i="15"/>
  <c r="W39" i="15"/>
  <c r="T45" i="15"/>
  <c r="H35" i="17"/>
  <c r="I37" i="17"/>
  <c r="P73" i="15"/>
  <c r="R49" i="15"/>
  <c r="BB23" i="27"/>
  <c r="BB49" i="27"/>
  <c r="AK27" i="27"/>
  <c r="AA27" i="27"/>
  <c r="J2" i="27"/>
  <c r="J38" i="27"/>
  <c r="D51" i="19"/>
  <c r="F51" i="19"/>
  <c r="AN5" i="36"/>
  <c r="P24" i="28"/>
  <c r="U13" i="36"/>
  <c r="AE13" i="36"/>
  <c r="BQ30" i="36"/>
  <c r="BA30" i="36"/>
  <c r="BS22" i="36"/>
  <c r="BJ4" i="36"/>
  <c r="BC4" i="36"/>
  <c r="W8" i="36"/>
  <c r="M28" i="36"/>
  <c r="BD28" i="36"/>
  <c r="AL15" i="36"/>
  <c r="H15" i="36"/>
  <c r="BU6" i="36"/>
  <c r="BO6" i="36"/>
  <c r="AE6" i="36"/>
  <c r="P25" i="28"/>
  <c r="BE16" i="36"/>
  <c r="Y7" i="36"/>
  <c r="U7" i="36"/>
  <c r="AO7" i="36"/>
  <c r="AK7" i="36"/>
  <c r="AF7" i="36"/>
  <c r="AB7" i="36"/>
  <c r="AU12" i="36"/>
  <c r="AP12" i="36"/>
  <c r="AJ55" i="17"/>
  <c r="AU55" i="17"/>
  <c r="K17" i="17"/>
  <c r="K5" i="17"/>
  <c r="AT5" i="36"/>
  <c r="BL5" i="36"/>
  <c r="AG5" i="36"/>
  <c r="F13" i="36"/>
  <c r="I22" i="36"/>
  <c r="K24" i="17"/>
  <c r="AM5" i="36"/>
  <c r="BE5" i="36"/>
  <c r="BW30" i="36"/>
  <c r="BH30" i="36"/>
  <c r="AB22" i="36"/>
  <c r="BP4" i="36"/>
  <c r="AU8" i="36"/>
  <c r="BL8" i="36"/>
  <c r="AK28" i="36"/>
  <c r="BW10" i="36"/>
  <c r="AB10" i="36"/>
  <c r="X7" i="36"/>
  <c r="BQ7" i="36"/>
  <c r="AL3" i="27"/>
  <c r="AL32" i="27"/>
  <c r="K21" i="17"/>
  <c r="N5" i="36"/>
  <c r="AE5" i="36"/>
  <c r="AD13" i="36"/>
  <c r="AR7" i="36"/>
  <c r="BM7" i="36"/>
  <c r="K7" i="36"/>
  <c r="AE7" i="36"/>
  <c r="BS12" i="36"/>
  <c r="BN12" i="36"/>
  <c r="BJ12" i="36"/>
  <c r="AG18" i="36"/>
  <c r="F5" i="36"/>
  <c r="Y13" i="36"/>
  <c r="R13" i="36"/>
  <c r="K13" i="36"/>
  <c r="BV30" i="36"/>
  <c r="BG30" i="36"/>
  <c r="BO26" i="36"/>
  <c r="BK22" i="36"/>
  <c r="BW4" i="36"/>
  <c r="AD8" i="36"/>
  <c r="BD19" i="36"/>
  <c r="AP28" i="36"/>
  <c r="K28" i="36"/>
  <c r="BV10" i="36"/>
  <c r="BN10" i="36"/>
  <c r="BB6" i="36"/>
  <c r="AL16" i="36"/>
  <c r="BU7" i="36"/>
  <c r="S7" i="36"/>
  <c r="AN7" i="36"/>
  <c r="AT12" i="36"/>
  <c r="AK12" i="36"/>
  <c r="AF12" i="36"/>
  <c r="K9" i="17"/>
  <c r="D54" i="19"/>
  <c r="F54" i="19"/>
  <c r="D13" i="36"/>
  <c r="AV14" i="36"/>
  <c r="BO30" i="36"/>
  <c r="BD26" i="36"/>
  <c r="AW22" i="36"/>
  <c r="BP22" i="36"/>
  <c r="AL22" i="36"/>
  <c r="AF22" i="36"/>
  <c r="AU19" i="36"/>
  <c r="BL19" i="36"/>
  <c r="Q28" i="36"/>
  <c r="BA28" i="36"/>
  <c r="K15" i="36"/>
  <c r="BF10" i="36"/>
  <c r="BS6" i="36"/>
  <c r="BM6" i="36"/>
  <c r="BG6" i="36"/>
  <c r="S16" i="36"/>
  <c r="AV7" i="36"/>
  <c r="O7" i="36"/>
  <c r="AI7" i="36"/>
  <c r="BC7" i="36"/>
  <c r="AX12" i="36"/>
  <c r="U12" i="36"/>
  <c r="L12" i="36"/>
  <c r="K29" i="17"/>
  <c r="D68" i="19"/>
  <c r="AK5" i="36"/>
  <c r="BV13" i="36"/>
  <c r="J13" i="36"/>
  <c r="BU30" i="36"/>
  <c r="BN4" i="36"/>
  <c r="BG4" i="36"/>
  <c r="BQ8" i="36"/>
  <c r="W7" i="36"/>
  <c r="J7" i="36"/>
  <c r="AD7" i="36"/>
  <c r="BM12" i="36"/>
  <c r="BD12" i="36"/>
  <c r="AA19" i="27"/>
  <c r="AA42" i="27"/>
  <c r="BV26" i="36"/>
  <c r="BC26" i="36"/>
  <c r="BU22" i="36"/>
  <c r="L22" i="36"/>
  <c r="AE22" i="36"/>
  <c r="K8" i="36"/>
  <c r="BT10" i="36"/>
  <c r="BL10" i="36"/>
  <c r="BE10" i="36"/>
  <c r="R7" i="36"/>
  <c r="N7" i="36"/>
  <c r="F12" i="36"/>
  <c r="AK18" i="36"/>
  <c r="BL26" i="36"/>
  <c r="BT7" i="36"/>
  <c r="I7" i="36"/>
  <c r="AC7" i="36"/>
  <c r="X12" i="36"/>
  <c r="O12" i="36"/>
  <c r="Q18" i="36"/>
  <c r="W5" i="36"/>
  <c r="J5" i="36"/>
  <c r="AU13" i="36"/>
  <c r="AN13" i="36"/>
  <c r="BL30" i="36"/>
  <c r="BU26" i="36"/>
  <c r="W22" i="36"/>
  <c r="BC22" i="36"/>
  <c r="BL4" i="36"/>
  <c r="BE4" i="36"/>
  <c r="AI8" i="36"/>
  <c r="O28" i="36"/>
  <c r="AG28" i="36"/>
  <c r="X25" i="28"/>
  <c r="AU7" i="36"/>
  <c r="AP7" i="36"/>
  <c r="AL7" i="36"/>
  <c r="D7" i="36"/>
  <c r="AO5" i="36"/>
  <c r="BG5" i="36"/>
  <c r="O13" i="36"/>
  <c r="BS30" i="36"/>
  <c r="BA26" i="36"/>
  <c r="BN22" i="36"/>
  <c r="AT28" i="36"/>
  <c r="BK10" i="36"/>
  <c r="BC10" i="36"/>
  <c r="BW7" i="36"/>
  <c r="Q7" i="36"/>
  <c r="M7" i="36"/>
  <c r="AG7" i="36"/>
  <c r="T43" i="17"/>
  <c r="AE43" i="17"/>
  <c r="AE28" i="17"/>
  <c r="U35" i="17"/>
  <c r="AF35" i="17"/>
  <c r="AF30" i="17"/>
  <c r="AQ47" i="17"/>
  <c r="BB47" i="17"/>
  <c r="BB6" i="17"/>
  <c r="AN40" i="17"/>
  <c r="AY40" i="17"/>
  <c r="AY4" i="17"/>
  <c r="T44" i="17"/>
  <c r="AE44" i="17"/>
  <c r="AE15" i="17"/>
  <c r="V38" i="17"/>
  <c r="AG38" i="17"/>
  <c r="AG2" i="17"/>
  <c r="U61" i="17"/>
  <c r="AF61" i="17"/>
  <c r="U75" i="17"/>
  <c r="AF75" i="17"/>
  <c r="AF18" i="17"/>
  <c r="BA32" i="26"/>
  <c r="BA3" i="27"/>
  <c r="BA32" i="27"/>
  <c r="AT20" i="27"/>
  <c r="AT56" i="27"/>
  <c r="D53" i="27"/>
  <c r="D67" i="27"/>
  <c r="P18" i="27"/>
  <c r="E60" i="15"/>
  <c r="BG65" i="17"/>
  <c r="G75" i="17"/>
  <c r="R69" i="17"/>
  <c r="AC69" i="17"/>
  <c r="AW10" i="17"/>
  <c r="Q11" i="15"/>
  <c r="Q39" i="15"/>
  <c r="R39" i="15"/>
  <c r="D23" i="36"/>
  <c r="BE23" i="36"/>
  <c r="AI20" i="27"/>
  <c r="O2" i="27"/>
  <c r="O38" i="27"/>
  <c r="H27" i="27"/>
  <c r="L51" i="15"/>
  <c r="V70" i="15"/>
  <c r="AP11" i="17"/>
  <c r="Q73" i="17"/>
  <c r="AB73" i="17"/>
  <c r="Q15" i="15"/>
  <c r="Q44" i="15"/>
  <c r="R44" i="15"/>
  <c r="Q22" i="15"/>
  <c r="Q37" i="15"/>
  <c r="BA3" i="28"/>
  <c r="BA32" i="28"/>
  <c r="L23" i="36"/>
  <c r="BF23" i="36"/>
  <c r="AS20" i="27"/>
  <c r="W2" i="27"/>
  <c r="W38" i="27"/>
  <c r="N2" i="27"/>
  <c r="N38" i="27"/>
  <c r="H58" i="15"/>
  <c r="T25" i="15"/>
  <c r="T50" i="15"/>
  <c r="K74" i="15"/>
  <c r="W25" i="15"/>
  <c r="W50" i="15"/>
  <c r="BB25" i="17"/>
  <c r="AO8" i="17"/>
  <c r="AO41" i="17"/>
  <c r="AZ41" i="17"/>
  <c r="H39" i="17"/>
  <c r="I60" i="17"/>
  <c r="P68" i="15"/>
  <c r="S62" i="17"/>
  <c r="AD62" i="17"/>
  <c r="AB7" i="17"/>
  <c r="S8" i="17"/>
  <c r="M25" i="15"/>
  <c r="E19" i="15"/>
  <c r="Q56" i="15"/>
  <c r="AW16" i="17"/>
  <c r="Q17" i="15"/>
  <c r="Q66" i="15"/>
  <c r="Q27" i="15"/>
  <c r="R27" i="15"/>
  <c r="AG23" i="36"/>
  <c r="BN23" i="36"/>
  <c r="AN20" i="27"/>
  <c r="AQ64" i="17"/>
  <c r="BB64" i="17"/>
  <c r="V28" i="17"/>
  <c r="AQ28" i="17"/>
  <c r="X18" i="17"/>
  <c r="F23" i="36"/>
  <c r="AK23" i="36"/>
  <c r="V27" i="27"/>
  <c r="F27" i="27"/>
  <c r="J53" i="15"/>
  <c r="I53" i="15"/>
  <c r="H60" i="15"/>
  <c r="BG74" i="17"/>
  <c r="AS28" i="17"/>
  <c r="BD28" i="17"/>
  <c r="I43" i="17"/>
  <c r="AU26" i="17"/>
  <c r="X6" i="17"/>
  <c r="R16" i="15"/>
  <c r="AC23" i="17"/>
  <c r="E20" i="15"/>
  <c r="M28" i="15"/>
  <c r="O28" i="15"/>
  <c r="E28" i="15"/>
  <c r="E43" i="15"/>
  <c r="E21" i="15"/>
  <c r="AW23" i="17"/>
  <c r="Q19" i="15"/>
  <c r="Q24" i="15"/>
  <c r="Q3" i="15"/>
  <c r="Q32" i="15"/>
  <c r="W23" i="36"/>
  <c r="E23" i="36"/>
  <c r="BA26" i="28"/>
  <c r="BA36" i="28"/>
  <c r="AM20" i="27"/>
  <c r="J67" i="27"/>
  <c r="J53" i="27"/>
  <c r="T2" i="27"/>
  <c r="T38" i="27"/>
  <c r="N38" i="15"/>
  <c r="O38" i="15"/>
  <c r="AO23" i="17"/>
  <c r="AJ76" i="17"/>
  <c r="AU76" i="17"/>
  <c r="M61" i="17"/>
  <c r="X61" i="17"/>
  <c r="AM23" i="36"/>
  <c r="M23" i="36"/>
  <c r="AR20" i="27"/>
  <c r="AR70" i="27"/>
  <c r="S2" i="27"/>
  <c r="S38" i="27"/>
  <c r="L2" i="27"/>
  <c r="L38" i="27"/>
  <c r="AS42" i="17"/>
  <c r="BD42" i="17"/>
  <c r="G49" i="17"/>
  <c r="AJ62" i="17"/>
  <c r="AU62" i="17"/>
  <c r="AC8" i="17"/>
  <c r="AE23" i="36"/>
  <c r="AH23" i="36"/>
  <c r="AF20" i="27"/>
  <c r="AF70" i="27"/>
  <c r="H53" i="27"/>
  <c r="H67" i="27"/>
  <c r="BH51" i="17"/>
  <c r="BI51" i="17"/>
  <c r="X25" i="15"/>
  <c r="F52" i="15"/>
  <c r="O36" i="15"/>
  <c r="AR27" i="17"/>
  <c r="AN7" i="17"/>
  <c r="AN59" i="17"/>
  <c r="AY59" i="17"/>
  <c r="P76" i="15"/>
  <c r="Q37" i="17"/>
  <c r="AB37" i="17"/>
  <c r="R13" i="15"/>
  <c r="T23" i="17"/>
  <c r="U27" i="17"/>
  <c r="U76" i="17"/>
  <c r="AF76" i="17"/>
  <c r="E11" i="15"/>
  <c r="M8" i="15"/>
  <c r="M41" i="15"/>
  <c r="O41" i="15"/>
  <c r="E25" i="15"/>
  <c r="E64" i="15"/>
  <c r="G64" i="15"/>
  <c r="AV23" i="36"/>
  <c r="AQ20" i="27"/>
  <c r="AQ56" i="27"/>
  <c r="AL20" i="27"/>
  <c r="AL70" i="27"/>
  <c r="Z2" i="27"/>
  <c r="Z38" i="27"/>
  <c r="M41" i="17"/>
  <c r="X41" i="17"/>
  <c r="Z23" i="36"/>
  <c r="P23" i="36"/>
  <c r="Z3" i="17"/>
  <c r="H59" i="15"/>
  <c r="L53" i="15"/>
  <c r="O75" i="17"/>
  <c r="Z75" i="17"/>
  <c r="F41" i="15"/>
  <c r="G41" i="15"/>
  <c r="AG6" i="17"/>
  <c r="Y11" i="17"/>
  <c r="F73" i="17"/>
  <c r="F37" i="17"/>
  <c r="AP28" i="17"/>
  <c r="H33" i="17"/>
  <c r="AQ23" i="17"/>
  <c r="AL39" i="17"/>
  <c r="AW39" i="17"/>
  <c r="AV3" i="17"/>
  <c r="AV32" i="17"/>
  <c r="K23" i="36"/>
  <c r="AV20" i="27"/>
  <c r="AP20" i="27"/>
  <c r="Y2" i="27"/>
  <c r="Y38" i="27"/>
  <c r="S64" i="15"/>
  <c r="AO18" i="17"/>
  <c r="AO75" i="17"/>
  <c r="AZ75" i="17"/>
  <c r="AJ41" i="17"/>
  <c r="AU41" i="17"/>
  <c r="E10" i="15"/>
  <c r="M11" i="15"/>
  <c r="M39" i="15"/>
  <c r="M19" i="15"/>
  <c r="M42" i="15"/>
  <c r="E14" i="15"/>
  <c r="E34" i="15"/>
  <c r="AL76" i="17"/>
  <c r="AW76" i="17"/>
  <c r="AF23" i="36"/>
  <c r="BD23" i="36"/>
  <c r="AJ20" i="27"/>
  <c r="AJ56" i="27"/>
  <c r="Q2" i="27"/>
  <c r="Q38" i="27"/>
  <c r="AG29" i="36"/>
  <c r="P29" i="36"/>
  <c r="AV13" i="36"/>
  <c r="AK13" i="36"/>
  <c r="AF13" i="36"/>
  <c r="V14" i="36"/>
  <c r="BJ22" i="36"/>
  <c r="AJ22" i="36"/>
  <c r="P22" i="36"/>
  <c r="BO4" i="36"/>
  <c r="M4" i="36"/>
  <c r="X8" i="36"/>
  <c r="BJ8" i="36"/>
  <c r="BE8" i="36"/>
  <c r="I19" i="36"/>
  <c r="X28" i="36"/>
  <c r="N28" i="36"/>
  <c r="J28" i="36"/>
  <c r="P15" i="36"/>
  <c r="AF15" i="36"/>
  <c r="BM10" i="36"/>
  <c r="X6" i="36"/>
  <c r="AL6" i="36"/>
  <c r="AG6" i="36"/>
  <c r="BM16" i="36"/>
  <c r="BP7" i="36"/>
  <c r="W18" i="36"/>
  <c r="AH18" i="36"/>
  <c r="S27" i="36"/>
  <c r="AG27" i="36"/>
  <c r="AV42" i="17"/>
  <c r="BD20" i="36"/>
  <c r="AI3" i="36"/>
  <c r="W13" i="36"/>
  <c r="BN13" i="36"/>
  <c r="L13" i="36"/>
  <c r="N14" i="36"/>
  <c r="BH26" i="36"/>
  <c r="AK26" i="36"/>
  <c r="P26" i="36"/>
  <c r="BT4" i="36"/>
  <c r="AP4" i="36"/>
  <c r="BF4" i="36"/>
  <c r="BA4" i="36"/>
  <c r="R8" i="36"/>
  <c r="L8" i="36"/>
  <c r="AR19" i="36"/>
  <c r="E28" i="36"/>
  <c r="AX15" i="36"/>
  <c r="AT15" i="36"/>
  <c r="AJ15" i="36"/>
  <c r="G15" i="36"/>
  <c r="BQ10" i="36"/>
  <c r="AH10" i="36"/>
  <c r="BA10" i="36"/>
  <c r="AB6" i="36"/>
  <c r="O25" i="28"/>
  <c r="AR16" i="36"/>
  <c r="BF16" i="36"/>
  <c r="BH7" i="36"/>
  <c r="K7" i="28"/>
  <c r="BD7" i="36"/>
  <c r="M18" i="36"/>
  <c r="AV27" i="36"/>
  <c r="S27" i="28"/>
  <c r="BN17" i="36"/>
  <c r="BI17" i="36"/>
  <c r="BH20" i="36"/>
  <c r="AV3" i="36"/>
  <c r="P3" i="36"/>
  <c r="AB3" i="36"/>
  <c r="AF14" i="36"/>
  <c r="BD22" i="36"/>
  <c r="BD8" i="36"/>
  <c r="S19" i="36"/>
  <c r="AG19" i="36"/>
  <c r="C19" i="36"/>
  <c r="W28" i="36"/>
  <c r="R28" i="36"/>
  <c r="AL28" i="36"/>
  <c r="AH28" i="36"/>
  <c r="AJ28" i="28"/>
  <c r="AJ43" i="28"/>
  <c r="H27" i="36"/>
  <c r="P27" i="36"/>
  <c r="AQ27" i="28"/>
  <c r="AQ76" i="28"/>
  <c r="AR29" i="36"/>
  <c r="AN29" i="36"/>
  <c r="F29" i="36"/>
  <c r="AI5" i="36"/>
  <c r="AC5" i="36"/>
  <c r="X29" i="36"/>
  <c r="S29" i="36"/>
  <c r="O29" i="36"/>
  <c r="AJ29" i="36"/>
  <c r="BC29" i="36"/>
  <c r="AT4" i="36"/>
  <c r="AO4" i="36"/>
  <c r="G4" i="36"/>
  <c r="C4" i="36"/>
  <c r="BN8" i="36"/>
  <c r="BC8" i="36"/>
  <c r="X19" i="36"/>
  <c r="M19" i="36"/>
  <c r="G19" i="36"/>
  <c r="AM27" i="36"/>
  <c r="AV39" i="17"/>
  <c r="BA5" i="36"/>
  <c r="BH29" i="36"/>
  <c r="AD29" i="36"/>
  <c r="AZ24" i="28"/>
  <c r="AZ55" i="28"/>
  <c r="AI27" i="36"/>
  <c r="AM29" i="36"/>
  <c r="AI29" i="36"/>
  <c r="E29" i="36"/>
  <c r="E13" i="36"/>
  <c r="E14" i="36"/>
  <c r="BW22" i="36"/>
  <c r="BQ4" i="36"/>
  <c r="BM4" i="36"/>
  <c r="BD4" i="36"/>
  <c r="J8" i="36"/>
  <c r="L28" i="36"/>
  <c r="H28" i="36"/>
  <c r="N15" i="36"/>
  <c r="AD15" i="36"/>
  <c r="X16" i="36"/>
  <c r="BO16" i="36"/>
  <c r="BJ16" i="36"/>
  <c r="AD16" i="36"/>
  <c r="AX18" i="36"/>
  <c r="J27" i="36"/>
  <c r="AV33" i="17"/>
  <c r="C5" i="36"/>
  <c r="W29" i="36"/>
  <c r="N29" i="36"/>
  <c r="AC29" i="36"/>
  <c r="N3" i="36"/>
  <c r="AE3" i="36"/>
  <c r="N13" i="36"/>
  <c r="AH13" i="36"/>
  <c r="X14" i="36"/>
  <c r="BO14" i="36"/>
  <c r="AJ14" i="36"/>
  <c r="BL22" i="36"/>
  <c r="BG22" i="36"/>
  <c r="BB22" i="36"/>
  <c r="BN11" i="36"/>
  <c r="BV4" i="36"/>
  <c r="AR4" i="36"/>
  <c r="O4" i="36"/>
  <c r="BH4" i="36"/>
  <c r="F4" i="36"/>
  <c r="U8" i="36"/>
  <c r="Q19" i="36"/>
  <c r="AJ19" i="36"/>
  <c r="F19" i="36"/>
  <c r="AX28" i="36"/>
  <c r="AB28" i="36"/>
  <c r="AV15" i="36"/>
  <c r="R15" i="36"/>
  <c r="BG15" i="36"/>
  <c r="AV10" i="36"/>
  <c r="BO10" i="36"/>
  <c r="AK10" i="36"/>
  <c r="BD10" i="36"/>
  <c r="J6" i="36"/>
  <c r="AP16" i="36"/>
  <c r="AK16" i="36"/>
  <c r="E16" i="36"/>
  <c r="BV7" i="36"/>
  <c r="BN7" i="36"/>
  <c r="BF7" i="36"/>
  <c r="S18" i="36"/>
  <c r="AJ18" i="36"/>
  <c r="Y27" i="36"/>
  <c r="AP27" i="36"/>
  <c r="AL27" i="36"/>
  <c r="AD27" i="36"/>
  <c r="Y2" i="36"/>
  <c r="AC17" i="36"/>
  <c r="R29" i="36"/>
  <c r="AH29" i="36"/>
  <c r="D29" i="36"/>
  <c r="J4" i="36"/>
  <c r="BA8" i="36"/>
  <c r="AJ28" i="36"/>
  <c r="E27" i="36"/>
  <c r="AV38" i="17"/>
  <c r="AE20" i="36"/>
  <c r="P20" i="36"/>
  <c r="AV43" i="17"/>
  <c r="AL29" i="36"/>
  <c r="M29" i="36"/>
  <c r="N29" i="28"/>
  <c r="I29" i="36"/>
  <c r="E19" i="36"/>
  <c r="D28" i="36"/>
  <c r="P28" i="36"/>
  <c r="AD2" i="36"/>
  <c r="P2" i="36"/>
  <c r="I2" i="36"/>
  <c r="AH76" i="27"/>
  <c r="AV40" i="17"/>
  <c r="AD3" i="36"/>
  <c r="BF8" i="36"/>
  <c r="AN19" i="36"/>
  <c r="J19" i="36"/>
  <c r="AE28" i="36"/>
  <c r="P10" i="36"/>
  <c r="AD10" i="36"/>
  <c r="N18" i="36"/>
  <c r="D18" i="36"/>
  <c r="D27" i="36"/>
  <c r="AL5" i="36"/>
  <c r="Q29" i="36"/>
  <c r="H29" i="36"/>
  <c r="C29" i="36"/>
  <c r="AX3" i="36"/>
  <c r="BJ13" i="36"/>
  <c r="BE13" i="36"/>
  <c r="O14" i="36"/>
  <c r="I14" i="36"/>
  <c r="BO22" i="36"/>
  <c r="AV4" i="36"/>
  <c r="BK4" i="36"/>
  <c r="I4" i="36"/>
  <c r="BV8" i="36"/>
  <c r="BP8" i="36"/>
  <c r="O19" i="36"/>
  <c r="AC19" i="36"/>
  <c r="AW28" i="36"/>
  <c r="S28" i="36"/>
  <c r="AM28" i="36"/>
  <c r="AI28" i="36"/>
  <c r="F28" i="36"/>
  <c r="BS10" i="36"/>
  <c r="AI10" i="36"/>
  <c r="BS16" i="36"/>
  <c r="AV18" i="36"/>
  <c r="R18" i="36"/>
  <c r="AR27" i="36"/>
  <c r="L27" i="36"/>
  <c r="AD7" i="27"/>
  <c r="AD8" i="27"/>
  <c r="AD16" i="27"/>
  <c r="E20" i="17"/>
  <c r="E70" i="17"/>
  <c r="AD20" i="27"/>
  <c r="AZ50" i="32"/>
  <c r="AZ52" i="32"/>
  <c r="AT31" i="32"/>
  <c r="H75" i="32"/>
  <c r="H61" i="32"/>
  <c r="AZ38" i="32"/>
  <c r="H57" i="32"/>
  <c r="H71" i="32"/>
  <c r="D61" i="32"/>
  <c r="H69" i="32"/>
  <c r="E76" i="32"/>
  <c r="AR31" i="32"/>
  <c r="H74" i="32"/>
  <c r="H60" i="32"/>
  <c r="D45" i="32"/>
  <c r="AJ66" i="32"/>
  <c r="AJ52" i="32"/>
  <c r="E53" i="32"/>
  <c r="AZ65" i="32"/>
  <c r="AZ51" i="32"/>
  <c r="E31" i="32"/>
  <c r="D55" i="32"/>
  <c r="D69" i="32"/>
  <c r="D63" i="32"/>
  <c r="N31" i="32"/>
  <c r="AJ50" i="32"/>
  <c r="AJ64" i="32"/>
  <c r="AJ73" i="32"/>
  <c r="AJ59" i="32"/>
  <c r="E73" i="32"/>
  <c r="E59" i="32"/>
  <c r="E48" i="32"/>
  <c r="H66" i="32"/>
  <c r="H52" i="32"/>
  <c r="AP31" i="32"/>
  <c r="H65" i="32"/>
  <c r="N48" i="32"/>
  <c r="H31" i="32"/>
  <c r="E64" i="32"/>
  <c r="F48" i="32"/>
  <c r="AJ54" i="32"/>
  <c r="AJ68" i="32"/>
  <c r="H62" i="32"/>
  <c r="H76" i="32"/>
  <c r="H50" i="32"/>
  <c r="H64" i="32"/>
  <c r="AJ75" i="32"/>
  <c r="AJ61" i="32"/>
  <c r="G21" i="32"/>
  <c r="BD64" i="32"/>
  <c r="BD50" i="32"/>
  <c r="AP48" i="32"/>
  <c r="D58" i="32"/>
  <c r="G17" i="32"/>
  <c r="G24" i="32"/>
  <c r="G16" i="32"/>
  <c r="AJ22" i="32"/>
  <c r="AJ37" i="32"/>
  <c r="AJ74" i="32"/>
  <c r="AJ27" i="32"/>
  <c r="BD74" i="32"/>
  <c r="G5" i="32"/>
  <c r="AH59" i="32"/>
  <c r="BD66" i="32"/>
  <c r="BD52" i="32"/>
  <c r="AH38" i="32"/>
  <c r="BD76" i="32"/>
  <c r="BD62" i="32"/>
  <c r="G13" i="32"/>
  <c r="AH36" i="32"/>
  <c r="AH50" i="32"/>
  <c r="AH55" i="32"/>
  <c r="AH75" i="32"/>
  <c r="AH32" i="32"/>
  <c r="AH60" i="32"/>
  <c r="AH73" i="32"/>
  <c r="AH63" i="32"/>
  <c r="AI75" i="32"/>
  <c r="BD55" i="32"/>
  <c r="D52" i="32"/>
  <c r="D48" i="32"/>
  <c r="G28" i="32"/>
  <c r="AJ55" i="32"/>
  <c r="G9" i="32"/>
  <c r="G22" i="32"/>
  <c r="G7" i="32"/>
  <c r="AH43" i="32"/>
  <c r="AI71" i="32"/>
  <c r="AI63" i="32"/>
  <c r="BD59" i="32"/>
  <c r="BD56" i="32"/>
  <c r="BD70" i="32"/>
  <c r="G10" i="32"/>
  <c r="AJ51" i="32"/>
  <c r="AJ29" i="32"/>
  <c r="AR45" i="32"/>
  <c r="AI41" i="32"/>
  <c r="AI31" i="32"/>
  <c r="AJ5" i="32"/>
  <c r="BD72" i="32"/>
  <c r="BD58" i="32"/>
  <c r="I9" i="20"/>
  <c r="I24" i="20"/>
  <c r="I21" i="20"/>
  <c r="DN12" i="18"/>
  <c r="AZ58" i="5"/>
  <c r="I25" i="20"/>
  <c r="I6" i="20"/>
  <c r="I16" i="20"/>
  <c r="I27" i="20"/>
  <c r="G62" i="5"/>
  <c r="I62" i="5"/>
  <c r="G76" i="5"/>
  <c r="I76" i="5"/>
  <c r="BC39" i="5"/>
  <c r="BB39" i="5"/>
  <c r="I20" i="20"/>
  <c r="BD48" i="31"/>
  <c r="BJ48" i="31"/>
  <c r="BK48" i="31"/>
  <c r="BH48" i="31"/>
  <c r="BI48" i="31"/>
  <c r="BW48" i="30"/>
  <c r="BL48" i="30"/>
  <c r="BN31" i="31"/>
  <c r="BW63" i="30"/>
  <c r="BL63" i="30"/>
  <c r="CA48" i="30"/>
  <c r="D31" i="18"/>
  <c r="BF17" i="18"/>
  <c r="BR17" i="18"/>
  <c r="BT48" i="30"/>
  <c r="AJ48" i="5"/>
  <c r="EU54" i="18"/>
  <c r="FG54" i="18"/>
  <c r="I47" i="5"/>
  <c r="DP13" i="18"/>
  <c r="BL48" i="31"/>
  <c r="BN48" i="31"/>
  <c r="BN63" i="31"/>
  <c r="L48" i="31"/>
  <c r="D48" i="31"/>
  <c r="Z63" i="31"/>
  <c r="V31" i="31"/>
  <c r="G31" i="31"/>
  <c r="H31" i="31"/>
  <c r="BF48" i="30"/>
  <c r="AJ31" i="5"/>
  <c r="AB54" i="18"/>
  <c r="AB48" i="18"/>
  <c r="I29" i="20"/>
  <c r="BE63" i="31"/>
  <c r="BF13" i="18"/>
  <c r="BV48" i="30"/>
  <c r="BR63" i="30"/>
  <c r="T48" i="31"/>
  <c r="BZ31" i="31"/>
  <c r="BF28" i="18"/>
  <c r="BR28" i="18"/>
  <c r="BE45" i="31"/>
  <c r="BQ48" i="31"/>
  <c r="DP11" i="18"/>
  <c r="BK48" i="30"/>
  <c r="BD31" i="30"/>
  <c r="X31" i="31"/>
  <c r="BV31" i="31"/>
  <c r="BT31" i="31"/>
  <c r="Z31" i="31"/>
  <c r="BO63" i="30"/>
  <c r="AB31" i="31"/>
  <c r="Y31" i="31"/>
  <c r="BF6" i="18"/>
  <c r="BR6" i="18"/>
  <c r="BJ63" i="30"/>
  <c r="O63" i="31"/>
  <c r="T63" i="31"/>
  <c r="BE31" i="31"/>
  <c r="E63" i="31"/>
  <c r="D45" i="31"/>
  <c r="BX48" i="30"/>
  <c r="BJ48" i="30"/>
  <c r="DP25" i="18"/>
  <c r="BP63" i="30"/>
  <c r="H55" i="5"/>
  <c r="H69" i="5"/>
  <c r="I11" i="20"/>
  <c r="CB48" i="31"/>
  <c r="CB31" i="31"/>
  <c r="CA31" i="31"/>
  <c r="BL63" i="31"/>
  <c r="N31" i="31"/>
  <c r="BF31" i="31"/>
  <c r="BY31" i="31"/>
  <c r="G67" i="5"/>
  <c r="I67" i="5"/>
  <c r="G53" i="5"/>
  <c r="I53" i="5"/>
  <c r="L63" i="31"/>
  <c r="M31" i="31"/>
  <c r="K31" i="31"/>
  <c r="BJ31" i="31"/>
  <c r="BP48" i="30"/>
  <c r="BQ48" i="30"/>
  <c r="H48" i="31"/>
  <c r="I10" i="20"/>
  <c r="BE63" i="30"/>
  <c r="BQ63" i="30"/>
  <c r="F48" i="5"/>
  <c r="BO31" i="31"/>
  <c r="J31" i="31"/>
  <c r="BF20" i="18"/>
  <c r="BR20" i="18"/>
  <c r="H63" i="5"/>
  <c r="BG63" i="30"/>
  <c r="H31" i="5"/>
  <c r="H45" i="5"/>
  <c r="CV48" i="18"/>
  <c r="CL64" i="18"/>
  <c r="CL63" i="18"/>
  <c r="AM63" i="5"/>
  <c r="AO65" i="5"/>
  <c r="EF75" i="18"/>
  <c r="W63" i="29"/>
  <c r="G56" i="5"/>
  <c r="I56" i="5"/>
  <c r="G60" i="5"/>
  <c r="I60" i="5"/>
  <c r="AA63" i="30"/>
  <c r="AA48" i="30"/>
  <c r="AB63" i="18"/>
  <c r="FG56" i="18"/>
  <c r="FJ62" i="18"/>
  <c r="BV49" i="18"/>
  <c r="AB32" i="18"/>
  <c r="CS66" i="18"/>
  <c r="CS63" i="18"/>
  <c r="FN52" i="18"/>
  <c r="FO52" i="18"/>
  <c r="FN48" i="18"/>
  <c r="FO48" i="18"/>
  <c r="AE61" i="5"/>
  <c r="AE48" i="5"/>
  <c r="AC66" i="5"/>
  <c r="AC63" i="5"/>
  <c r="BF29" i="18"/>
  <c r="BR29" i="18"/>
  <c r="BF9" i="18"/>
  <c r="I13" i="5"/>
  <c r="D45" i="30"/>
  <c r="AD71" i="18"/>
  <c r="AD63" i="18"/>
  <c r="Q34" i="5"/>
  <c r="Q43" i="5"/>
  <c r="CT48" i="18"/>
  <c r="G55" i="5"/>
  <c r="R46" i="5"/>
  <c r="CP48" i="18"/>
  <c r="Q49" i="5"/>
  <c r="Q65" i="5"/>
  <c r="V31" i="30"/>
  <c r="FD74" i="18"/>
  <c r="FD63" i="18"/>
  <c r="BF63" i="5"/>
  <c r="CV66" i="18"/>
  <c r="CV63" i="18"/>
  <c r="EX59" i="18"/>
  <c r="EX48" i="18"/>
  <c r="G61" i="5"/>
  <c r="CQ64" i="18"/>
  <c r="CQ63" i="18"/>
  <c r="CO63" i="18"/>
  <c r="BF25" i="18"/>
  <c r="BR25" i="18"/>
  <c r="CW41" i="18"/>
  <c r="CW72" i="18"/>
  <c r="FN54" i="18"/>
  <c r="FO54" i="18"/>
  <c r="BN48" i="29"/>
  <c r="BK34" i="37"/>
  <c r="BN34" i="37"/>
  <c r="BE45" i="37"/>
  <c r="DN11" i="18"/>
  <c r="DN24" i="18"/>
  <c r="CV31" i="18"/>
  <c r="CE48" i="30"/>
  <c r="AN45" i="29"/>
  <c r="EF35" i="18"/>
  <c r="X48" i="37"/>
  <c r="CL31" i="18"/>
  <c r="CU31" i="18"/>
  <c r="CQ31" i="18"/>
  <c r="BJ48" i="29"/>
  <c r="BK31" i="37"/>
  <c r="DN13" i="18"/>
  <c r="DN27" i="18"/>
  <c r="AQ38" i="29"/>
  <c r="AQ31" i="29"/>
  <c r="BQ2" i="30"/>
  <c r="BQ38" i="30"/>
  <c r="BQ31" i="30"/>
  <c r="CH47" i="18"/>
  <c r="CH45" i="18"/>
  <c r="BC9" i="18"/>
  <c r="AP36" i="37"/>
  <c r="AQ26" i="37"/>
  <c r="E4" i="30"/>
  <c r="P12" i="30"/>
  <c r="P74" i="29"/>
  <c r="P63" i="29"/>
  <c r="N42" i="5"/>
  <c r="N31" i="5"/>
  <c r="D71" i="5"/>
  <c r="I71" i="5"/>
  <c r="D57" i="5"/>
  <c r="I57" i="5"/>
  <c r="D69" i="5"/>
  <c r="D55" i="5"/>
  <c r="CO31" i="30"/>
  <c r="AP41" i="37"/>
  <c r="AQ41" i="37"/>
  <c r="AQ8" i="37"/>
  <c r="AK55" i="18"/>
  <c r="AK48" i="18"/>
  <c r="FE49" i="18"/>
  <c r="M42" i="18"/>
  <c r="M41" i="18"/>
  <c r="Z45" i="37"/>
  <c r="H12" i="20"/>
  <c r="D74" i="20"/>
  <c r="AT31" i="37"/>
  <c r="AT38" i="37"/>
  <c r="DO12" i="18"/>
  <c r="DZ25" i="18"/>
  <c r="AV40" i="37"/>
  <c r="AU40" i="37"/>
  <c r="BJ45" i="29"/>
  <c r="FE31" i="18"/>
  <c r="FE32" i="18"/>
  <c r="AV31" i="37"/>
  <c r="ET31" i="18"/>
  <c r="ET34" i="18"/>
  <c r="EP67" i="18"/>
  <c r="EP53" i="18"/>
  <c r="BJ61" i="37"/>
  <c r="ET64" i="18"/>
  <c r="BJ48" i="37"/>
  <c r="BN48" i="37"/>
  <c r="BN50" i="37"/>
  <c r="AK45" i="18"/>
  <c r="AK47" i="18"/>
  <c r="D49" i="20"/>
  <c r="BN53" i="37"/>
  <c r="BJ53" i="37"/>
  <c r="DZ14" i="18"/>
  <c r="DZ28" i="18"/>
  <c r="EB28" i="18"/>
  <c r="N63" i="5"/>
  <c r="D43" i="20"/>
  <c r="BJ63" i="37"/>
  <c r="CH63" i="18"/>
  <c r="CH71" i="18"/>
  <c r="DZ24" i="18"/>
  <c r="EP74" i="18"/>
  <c r="EP60" i="18"/>
  <c r="N47" i="5"/>
  <c r="BK48" i="37"/>
  <c r="BN55" i="37"/>
  <c r="BK55" i="37"/>
  <c r="BF31" i="29"/>
  <c r="BN73" i="37"/>
  <c r="M48" i="18"/>
  <c r="FE45" i="18"/>
  <c r="AZ46" i="5"/>
  <c r="AV41" i="37"/>
  <c r="AO68" i="37"/>
  <c r="CH31" i="18"/>
  <c r="CH34" i="18"/>
  <c r="BC21" i="18"/>
  <c r="DZ13" i="18"/>
  <c r="BN59" i="37"/>
  <c r="BK59" i="37"/>
  <c r="DO18" i="18"/>
  <c r="M39" i="18"/>
  <c r="M35" i="18"/>
  <c r="D48" i="5"/>
  <c r="DO27" i="18"/>
  <c r="BN35" i="37"/>
  <c r="BJ35" i="37"/>
  <c r="BK63" i="37"/>
  <c r="BK64" i="37"/>
  <c r="BN63" i="37"/>
  <c r="AG64" i="18"/>
  <c r="BC13" i="18"/>
  <c r="DZ5" i="18"/>
  <c r="DO20" i="18"/>
  <c r="BN31" i="37"/>
  <c r="AG35" i="18"/>
  <c r="AG31" i="18"/>
  <c r="M76" i="18"/>
  <c r="EP71" i="18"/>
  <c r="BN69" i="37"/>
  <c r="M51" i="18"/>
  <c r="DO15" i="18"/>
  <c r="EB15" i="18"/>
  <c r="BJ31" i="37"/>
  <c r="BJ32" i="37"/>
  <c r="BK32" i="37"/>
  <c r="AG46" i="18"/>
  <c r="AK64" i="18"/>
  <c r="EP69" i="18"/>
  <c r="BJ74" i="37"/>
  <c r="M60" i="18"/>
  <c r="BN66" i="37"/>
  <c r="DO9" i="18"/>
  <c r="AI64" i="28"/>
  <c r="AD50" i="28"/>
  <c r="AH50" i="28"/>
  <c r="AR64" i="28"/>
  <c r="R48" i="17"/>
  <c r="AC61" i="17"/>
  <c r="AR72" i="17"/>
  <c r="BC72" i="17"/>
  <c r="AR58" i="17"/>
  <c r="BC58" i="17"/>
  <c r="BC16" i="17"/>
  <c r="AB11" i="17"/>
  <c r="Q39" i="17"/>
  <c r="AB39" i="17"/>
  <c r="W76" i="15"/>
  <c r="W62" i="15"/>
  <c r="T61" i="17"/>
  <c r="AE61" i="17"/>
  <c r="V37" i="17"/>
  <c r="AG37" i="17"/>
  <c r="AG22" i="17"/>
  <c r="V36" i="17"/>
  <c r="AG36" i="17"/>
  <c r="AG26" i="17"/>
  <c r="AE12" i="17"/>
  <c r="AD11" i="17"/>
  <c r="K68" i="15"/>
  <c r="X18" i="15"/>
  <c r="F75" i="15"/>
  <c r="U11" i="15"/>
  <c r="U39" i="15"/>
  <c r="N40" i="15"/>
  <c r="BG36" i="17"/>
  <c r="BI36" i="17"/>
  <c r="J72" i="17"/>
  <c r="J50" i="17"/>
  <c r="H61" i="17"/>
  <c r="AU47" i="17"/>
  <c r="P32" i="15"/>
  <c r="AI58" i="27"/>
  <c r="AP66" i="27"/>
  <c r="AJ73" i="27"/>
  <c r="AJ59" i="27"/>
  <c r="BB70" i="27"/>
  <c r="BB56" i="27"/>
  <c r="AV64" i="27"/>
  <c r="AV50" i="27"/>
  <c r="AV74" i="27"/>
  <c r="AV60" i="27"/>
  <c r="AE18" i="27"/>
  <c r="AB57" i="26"/>
  <c r="AB29" i="27"/>
  <c r="AB71" i="26"/>
  <c r="AB75" i="27"/>
  <c r="AB61" i="27"/>
  <c r="H52" i="15"/>
  <c r="S62" i="15"/>
  <c r="U22" i="15"/>
  <c r="U37" i="15"/>
  <c r="S40" i="15"/>
  <c r="AO72" i="17"/>
  <c r="AZ72" i="17"/>
  <c r="AS22" i="17"/>
  <c r="AJ72" i="17"/>
  <c r="AU72" i="17"/>
  <c r="X14" i="17"/>
  <c r="P37" i="15"/>
  <c r="AC17" i="17"/>
  <c r="AX7" i="27"/>
  <c r="AX73" i="27"/>
  <c r="AX22" i="27"/>
  <c r="AX37" i="27"/>
  <c r="S76" i="15"/>
  <c r="S37" i="15"/>
  <c r="V58" i="15"/>
  <c r="X5" i="15"/>
  <c r="X67" i="15"/>
  <c r="U4" i="15"/>
  <c r="U40" i="15"/>
  <c r="BH33" i="17"/>
  <c r="AN49" i="17"/>
  <c r="AY49" i="17"/>
  <c r="AU3" i="17"/>
  <c r="AL60" i="17"/>
  <c r="AW60" i="17"/>
  <c r="AA12" i="27"/>
  <c r="AA74" i="26"/>
  <c r="AA60" i="26"/>
  <c r="BI58" i="17"/>
  <c r="X26" i="15"/>
  <c r="X36" i="15"/>
  <c r="O35" i="15"/>
  <c r="D50" i="15"/>
  <c r="AY8" i="27"/>
  <c r="AY41" i="27"/>
  <c r="AE14" i="17"/>
  <c r="X51" i="15"/>
  <c r="N73" i="15"/>
  <c r="S36" i="15"/>
  <c r="N56" i="15"/>
  <c r="S67" i="15"/>
  <c r="T18" i="15"/>
  <c r="AG30" i="17"/>
  <c r="AQ26" i="17"/>
  <c r="AU15" i="17"/>
  <c r="BI32" i="17"/>
  <c r="S20" i="17"/>
  <c r="Q20" i="17"/>
  <c r="T20" i="17"/>
  <c r="T56" i="17"/>
  <c r="AE56" i="17"/>
  <c r="AG59" i="27"/>
  <c r="U64" i="15"/>
  <c r="T62" i="15"/>
  <c r="S60" i="15"/>
  <c r="V73" i="15"/>
  <c r="V63" i="15"/>
  <c r="N70" i="15"/>
  <c r="N60" i="15"/>
  <c r="U5" i="15"/>
  <c r="Z2" i="17"/>
  <c r="W18" i="15"/>
  <c r="BC28" i="17"/>
  <c r="AS26" i="17"/>
  <c r="I36" i="17"/>
  <c r="AU18" i="17"/>
  <c r="R23" i="15"/>
  <c r="S60" i="17"/>
  <c r="AD60" i="17"/>
  <c r="Q16" i="17"/>
  <c r="Q72" i="17"/>
  <c r="AB72" i="17"/>
  <c r="Q6" i="17"/>
  <c r="S6" i="17"/>
  <c r="T6" i="17"/>
  <c r="U26" i="15"/>
  <c r="U36" i="15"/>
  <c r="K50" i="15"/>
  <c r="T26" i="15"/>
  <c r="T36" i="15"/>
  <c r="BB15" i="17"/>
  <c r="AY11" i="17"/>
  <c r="AN27" i="17"/>
  <c r="AQ14" i="17"/>
  <c r="AJ61" i="17"/>
  <c r="AU61" i="17"/>
  <c r="X19" i="17"/>
  <c r="E25" i="17"/>
  <c r="AZ25" i="28"/>
  <c r="AZ50" i="28"/>
  <c r="AZ25" i="27"/>
  <c r="I61" i="15"/>
  <c r="U19" i="15"/>
  <c r="U42" i="15"/>
  <c r="F59" i="15"/>
  <c r="T5" i="15"/>
  <c r="BD23" i="17"/>
  <c r="F62" i="17"/>
  <c r="I34" i="17"/>
  <c r="M58" i="17"/>
  <c r="X58" i="17"/>
  <c r="Q62" i="17"/>
  <c r="AB62" i="17"/>
  <c r="AO64" i="27"/>
  <c r="AK57" i="27"/>
  <c r="AK71" i="27"/>
  <c r="AL61" i="27"/>
  <c r="AL75" i="27"/>
  <c r="AZ11" i="27"/>
  <c r="AZ39" i="27"/>
  <c r="AC39" i="26"/>
  <c r="X66" i="15"/>
  <c r="U18" i="15"/>
  <c r="U61" i="15"/>
  <c r="F73" i="15"/>
  <c r="T12" i="15"/>
  <c r="T60" i="15"/>
  <c r="F76" i="17"/>
  <c r="T74" i="17"/>
  <c r="AE74" i="17"/>
  <c r="AD18" i="27"/>
  <c r="AZ74" i="27"/>
  <c r="AZ60" i="27"/>
  <c r="S57" i="15"/>
  <c r="X11" i="15"/>
  <c r="X39" i="15"/>
  <c r="AA2" i="28"/>
  <c r="AA38" i="28"/>
  <c r="AF68" i="27"/>
  <c r="AF54" i="27"/>
  <c r="AS18" i="27"/>
  <c r="F61" i="15"/>
  <c r="S39" i="15"/>
  <c r="AP41" i="17"/>
  <c r="BA41" i="17"/>
  <c r="G50" i="17"/>
  <c r="AP18" i="17"/>
  <c r="AW15" i="17"/>
  <c r="AL44" i="17"/>
  <c r="AW44" i="17"/>
  <c r="AL35" i="17"/>
  <c r="AW35" i="17"/>
  <c r="AW30" i="17"/>
  <c r="AQ70" i="27"/>
  <c r="AR64" i="27"/>
  <c r="AR50" i="27"/>
  <c r="AR60" i="27"/>
  <c r="AR74" i="27"/>
  <c r="AV76" i="27"/>
  <c r="AA54" i="27"/>
  <c r="AA68" i="27"/>
  <c r="O30" i="15"/>
  <c r="N23" i="36"/>
  <c r="AB23" i="36"/>
  <c r="AC23" i="36"/>
  <c r="AD23" i="36"/>
  <c r="AB22" i="27"/>
  <c r="AB37" i="27"/>
  <c r="AB73" i="26"/>
  <c r="AA17" i="27"/>
  <c r="AV17" i="17"/>
  <c r="BB7" i="28"/>
  <c r="BB59" i="28"/>
  <c r="R23" i="36"/>
  <c r="AN23" i="36"/>
  <c r="AO23" i="36"/>
  <c r="AP23" i="36"/>
  <c r="BA9" i="28"/>
  <c r="AK56" i="27"/>
  <c r="AP51" i="27"/>
  <c r="AS62" i="27"/>
  <c r="AV59" i="27"/>
  <c r="AW16" i="27"/>
  <c r="AA22" i="27"/>
  <c r="AA37" i="27"/>
  <c r="AV6" i="17"/>
  <c r="AV47" i="17"/>
  <c r="U6" i="17"/>
  <c r="AI23" i="36"/>
  <c r="AR23" i="36"/>
  <c r="AT23" i="36"/>
  <c r="AU23" i="36"/>
  <c r="AF62" i="27"/>
  <c r="AM25" i="27"/>
  <c r="AA26" i="27"/>
  <c r="AA36" i="27"/>
  <c r="AA76" i="26"/>
  <c r="BB21" i="36"/>
  <c r="BH21" i="36"/>
  <c r="BN21" i="36"/>
  <c r="BC21" i="36"/>
  <c r="BI21" i="36"/>
  <c r="BO21" i="36"/>
  <c r="BU21" i="36"/>
  <c r="BD21" i="36"/>
  <c r="BJ21" i="36"/>
  <c r="BV21" i="36"/>
  <c r="BP21" i="36"/>
  <c r="BE21" i="36"/>
  <c r="BK21" i="36"/>
  <c r="BW21" i="36"/>
  <c r="BQ21" i="36"/>
  <c r="BF21" i="36"/>
  <c r="BL21" i="36"/>
  <c r="BS21" i="36"/>
  <c r="BA21" i="36"/>
  <c r="BT21" i="36"/>
  <c r="BA29" i="28"/>
  <c r="BA57" i="28"/>
  <c r="AZ23" i="36"/>
  <c r="AW23" i="36"/>
  <c r="AX23" i="36"/>
  <c r="AY23" i="36"/>
  <c r="AP50" i="27"/>
  <c r="AA7" i="27"/>
  <c r="AD4" i="27"/>
  <c r="AO69" i="17"/>
  <c r="AZ69" i="17"/>
  <c r="AO55" i="17"/>
  <c r="AZ55" i="17"/>
  <c r="G23" i="36"/>
  <c r="H23" i="36"/>
  <c r="I23" i="36"/>
  <c r="AE60" i="27"/>
  <c r="AL76" i="27"/>
  <c r="AT45" i="27"/>
  <c r="AA13" i="27"/>
  <c r="AA33" i="27"/>
  <c r="BB22" i="28"/>
  <c r="BB37" i="28"/>
  <c r="AE19" i="27"/>
  <c r="AE42" i="27"/>
  <c r="AL64" i="28"/>
  <c r="AW13" i="17"/>
  <c r="J23" i="36"/>
  <c r="O23" i="36"/>
  <c r="Q23" i="36"/>
  <c r="AE56" i="27"/>
  <c r="AF50" i="27"/>
  <c r="AZ45" i="27"/>
  <c r="AB61" i="26"/>
  <c r="AB74" i="26"/>
  <c r="AV37" i="17"/>
  <c r="AV22" i="17"/>
  <c r="R26" i="17"/>
  <c r="AC26" i="17"/>
  <c r="AA23" i="36"/>
  <c r="S23" i="36"/>
  <c r="U23" i="36"/>
  <c r="V23" i="36"/>
  <c r="BB15" i="28"/>
  <c r="BB44" i="28"/>
  <c r="AO68" i="27"/>
  <c r="AK61" i="27"/>
  <c r="AQ62" i="27"/>
  <c r="AB75" i="26"/>
  <c r="AA52" i="26"/>
  <c r="AP64" i="28"/>
  <c r="F30" i="19"/>
  <c r="D61" i="19"/>
  <c r="D75" i="19"/>
  <c r="F75" i="19"/>
  <c r="F18" i="19"/>
  <c r="X23" i="36"/>
  <c r="Y23" i="36"/>
  <c r="AF55" i="27"/>
  <c r="BF20" i="36"/>
  <c r="BB3" i="36"/>
  <c r="AX13" i="36"/>
  <c r="Q13" i="36"/>
  <c r="AM13" i="36"/>
  <c r="AJ13" i="36"/>
  <c r="H13" i="36"/>
  <c r="AC13" i="36"/>
  <c r="AU14" i="36"/>
  <c r="BK14" i="36"/>
  <c r="AN14" i="28"/>
  <c r="AN34" i="28"/>
  <c r="J14" i="36"/>
  <c r="AE14" i="36"/>
  <c r="BE30" i="36"/>
  <c r="AR22" i="36"/>
  <c r="BM22" i="36"/>
  <c r="BI22" i="36"/>
  <c r="AL22" i="28"/>
  <c r="AL37" i="28"/>
  <c r="AG22" i="36"/>
  <c r="E22" i="36"/>
  <c r="W11" i="36"/>
  <c r="D11" i="36"/>
  <c r="Y4" i="36"/>
  <c r="V4" i="36"/>
  <c r="R4" i="36"/>
  <c r="AS4" i="28"/>
  <c r="AS40" i="28"/>
  <c r="AN4" i="36"/>
  <c r="AK4" i="36"/>
  <c r="AH4" i="36"/>
  <c r="AE4" i="36"/>
  <c r="Y8" i="36"/>
  <c r="BS8" i="36"/>
  <c r="Q8" i="36"/>
  <c r="M8" i="36"/>
  <c r="BG8" i="36"/>
  <c r="BG19" i="36"/>
  <c r="AD19" i="36"/>
  <c r="AV28" i="36"/>
  <c r="AR28" i="36"/>
  <c r="AO28" i="36"/>
  <c r="BK28" i="36"/>
  <c r="BH28" i="36"/>
  <c r="G28" i="36"/>
  <c r="BS15" i="36"/>
  <c r="AO15" i="36"/>
  <c r="BJ15" i="36"/>
  <c r="O10" i="36"/>
  <c r="AI6" i="36"/>
  <c r="BV16" i="36"/>
  <c r="U16" i="36"/>
  <c r="AO16" i="36"/>
  <c r="I16" i="36"/>
  <c r="F16" i="36"/>
  <c r="BJ7" i="36"/>
  <c r="AH7" i="36"/>
  <c r="W12" i="36"/>
  <c r="AR12" i="36"/>
  <c r="P12" i="36"/>
  <c r="AH12" i="36"/>
  <c r="BQ18" i="36"/>
  <c r="AC27" i="36"/>
  <c r="AG25" i="28"/>
  <c r="AG50" i="28"/>
  <c r="J9" i="36"/>
  <c r="F9" i="36"/>
  <c r="BI20" i="36"/>
  <c r="BA2" i="36"/>
  <c r="BW3" i="36"/>
  <c r="BQ3" i="36"/>
  <c r="BS14" i="36"/>
  <c r="BW28" i="36"/>
  <c r="BT28" i="36"/>
  <c r="BM28" i="36"/>
  <c r="AP28" i="28"/>
  <c r="AP43" i="28"/>
  <c r="Y6" i="36"/>
  <c r="AZ6" i="28"/>
  <c r="AZ47" i="28"/>
  <c r="M6" i="36"/>
  <c r="AE24" i="28"/>
  <c r="AJ65" i="17"/>
  <c r="AU65" i="17"/>
  <c r="AD9" i="36"/>
  <c r="AB20" i="36"/>
  <c r="AW13" i="36"/>
  <c r="AR13" i="36"/>
  <c r="AO13" i="36"/>
  <c r="AL13" i="36"/>
  <c r="BH13" i="36"/>
  <c r="G13" i="36"/>
  <c r="AB13" i="36"/>
  <c r="AT14" i="36"/>
  <c r="AO14" i="36"/>
  <c r="AK14" i="36"/>
  <c r="AX30" i="36"/>
  <c r="G26" i="36"/>
  <c r="N22" i="36"/>
  <c r="J22" i="36"/>
  <c r="G22" i="36"/>
  <c r="BS11" i="36"/>
  <c r="O11" i="36"/>
  <c r="H11" i="36"/>
  <c r="X4" i="36"/>
  <c r="AY4" i="28"/>
  <c r="AY40" i="28"/>
  <c r="U4" i="36"/>
  <c r="Q4" i="36"/>
  <c r="AM4" i="36"/>
  <c r="AJ4" i="36"/>
  <c r="AG4" i="36"/>
  <c r="AD4" i="36"/>
  <c r="AR8" i="36"/>
  <c r="AG8" i="36"/>
  <c r="BB8" i="36"/>
  <c r="AX19" i="36"/>
  <c r="AO19" i="36"/>
  <c r="AK19" i="36"/>
  <c r="H19" i="36"/>
  <c r="D19" i="36"/>
  <c r="BP28" i="36"/>
  <c r="BJ28" i="36"/>
  <c r="C15" i="36"/>
  <c r="W10" i="36"/>
  <c r="AH6" i="36"/>
  <c r="AV16" i="36"/>
  <c r="AN16" i="36"/>
  <c r="AG16" i="36"/>
  <c r="BI7" i="36"/>
  <c r="BB7" i="36"/>
  <c r="BW12" i="36"/>
  <c r="C12" i="36"/>
  <c r="BL18" i="36"/>
  <c r="BH18" i="36"/>
  <c r="BS2" i="36"/>
  <c r="BE2" i="36"/>
  <c r="AM24" i="28"/>
  <c r="AM69" i="28"/>
  <c r="E9" i="36"/>
  <c r="BD3" i="36"/>
  <c r="X13" i="36"/>
  <c r="S13" i="36"/>
  <c r="P13" i="36"/>
  <c r="M13" i="36"/>
  <c r="AI13" i="36"/>
  <c r="C13" i="36"/>
  <c r="BV14" i="36"/>
  <c r="U14" i="36"/>
  <c r="P14" i="36"/>
  <c r="L14" i="36"/>
  <c r="AG14" i="36"/>
  <c r="AC14" i="36"/>
  <c r="BP30" i="36"/>
  <c r="AS30" i="28"/>
  <c r="AS35" i="28"/>
  <c r="BI30" i="36"/>
  <c r="BB30" i="36"/>
  <c r="BT22" i="36"/>
  <c r="BA22" i="36"/>
  <c r="N4" i="36"/>
  <c r="K4" i="36"/>
  <c r="H4" i="36"/>
  <c r="E4" i="36"/>
  <c r="BU8" i="36"/>
  <c r="S8" i="36"/>
  <c r="BM8" i="36"/>
  <c r="BI8" i="36"/>
  <c r="H8" i="36"/>
  <c r="D8" i="36"/>
  <c r="Y19" i="36"/>
  <c r="U19" i="36"/>
  <c r="P19" i="36"/>
  <c r="L19" i="36"/>
  <c r="BU15" i="36"/>
  <c r="U6" i="36"/>
  <c r="P6" i="36"/>
  <c r="AD6" i="36"/>
  <c r="AF6" i="28"/>
  <c r="AF47" i="28"/>
  <c r="W16" i="36"/>
  <c r="O16" i="36"/>
  <c r="AJ16" i="36"/>
  <c r="H16" i="36"/>
  <c r="AC16" i="36"/>
  <c r="BS7" i="36"/>
  <c r="BO7" i="36"/>
  <c r="BL7" i="36"/>
  <c r="BC18" i="36"/>
  <c r="AE27" i="36"/>
  <c r="AB27" i="36"/>
  <c r="BN2" i="36"/>
  <c r="AS24" i="28"/>
  <c r="AS55" i="28"/>
  <c r="BV3" i="36"/>
  <c r="AW14" i="36"/>
  <c r="H14" i="36"/>
  <c r="AU22" i="36"/>
  <c r="AR11" i="36"/>
  <c r="AM11" i="36"/>
  <c r="G11" i="36"/>
  <c r="AV8" i="36"/>
  <c r="O8" i="36"/>
  <c r="AJ8" i="36"/>
  <c r="AF19" i="36"/>
  <c r="AD28" i="36"/>
  <c r="BH15" i="36"/>
  <c r="AP10" i="36"/>
  <c r="M10" i="36"/>
  <c r="H10" i="36"/>
  <c r="AW6" i="36"/>
  <c r="L6" i="36"/>
  <c r="R16" i="36"/>
  <c r="AS16" i="28"/>
  <c r="K16" i="36"/>
  <c r="D16" i="36"/>
  <c r="BE7" i="36"/>
  <c r="Y12" i="36"/>
  <c r="BO12" i="36"/>
  <c r="K12" i="36"/>
  <c r="AX27" i="36"/>
  <c r="AU27" i="36"/>
  <c r="W27" i="28"/>
  <c r="AN27" i="36"/>
  <c r="AP27" i="28"/>
  <c r="AP62" i="28"/>
  <c r="AK27" i="36"/>
  <c r="AH27" i="36"/>
  <c r="F27" i="36"/>
  <c r="C27" i="36"/>
  <c r="BI2" i="36"/>
  <c r="AC9" i="36"/>
  <c r="BL28" i="36"/>
  <c r="BF28" i="36"/>
  <c r="BV2" i="36"/>
  <c r="BQ2" i="36"/>
  <c r="BB24" i="28"/>
  <c r="BB69" i="28"/>
  <c r="BG20" i="36"/>
  <c r="BU3" i="36"/>
  <c r="S14" i="36"/>
  <c r="K14" i="36"/>
  <c r="BE14" i="36"/>
  <c r="C14" i="36"/>
  <c r="Y22" i="36"/>
  <c r="AH22" i="36"/>
  <c r="F22" i="36"/>
  <c r="C22" i="36"/>
  <c r="M11" i="36"/>
  <c r="AE11" i="36"/>
  <c r="W4" i="36"/>
  <c r="S4" i="36"/>
  <c r="P4" i="36"/>
  <c r="AL4" i="36"/>
  <c r="AI4" i="36"/>
  <c r="AF4" i="36"/>
  <c r="AC4" i="36"/>
  <c r="AF8" i="36"/>
  <c r="BO28" i="36"/>
  <c r="BI28" i="36"/>
  <c r="S6" i="36"/>
  <c r="O6" i="36"/>
  <c r="AC6" i="36"/>
  <c r="V16" i="36"/>
  <c r="N16" i="36"/>
  <c r="AI16" i="36"/>
  <c r="AF16" i="36"/>
  <c r="BK7" i="36"/>
  <c r="BA7" i="36"/>
  <c r="BM2" i="36"/>
  <c r="S5" i="28"/>
  <c r="BO3" i="36"/>
  <c r="BC3" i="36"/>
  <c r="R11" i="36"/>
  <c r="D4" i="36"/>
  <c r="AB8" i="36"/>
  <c r="BB28" i="36"/>
  <c r="AJ6" i="36"/>
  <c r="D6" i="36"/>
  <c r="J16" i="36"/>
  <c r="G16" i="36"/>
  <c r="C16" i="36"/>
  <c r="BC2" i="36"/>
  <c r="AI24" i="28"/>
  <c r="AI69" i="28"/>
  <c r="AB9" i="36"/>
  <c r="BC20" i="36"/>
  <c r="BO13" i="36"/>
  <c r="BH14" i="36"/>
  <c r="G14" i="36"/>
  <c r="H14" i="28"/>
  <c r="H34" i="28"/>
  <c r="AV6" i="36"/>
  <c r="AF6" i="36"/>
  <c r="BP2" i="36"/>
  <c r="C9" i="36"/>
  <c r="F6" i="19"/>
  <c r="BN3" i="36"/>
  <c r="BW13" i="36"/>
  <c r="V13" i="36"/>
  <c r="AP13" i="36"/>
  <c r="BL13" i="36"/>
  <c r="BI13" i="36"/>
  <c r="R14" i="36"/>
  <c r="X22" i="36"/>
  <c r="BQ22" i="36"/>
  <c r="BF22" i="36"/>
  <c r="AD22" i="36"/>
  <c r="AP11" i="36"/>
  <c r="K11" i="36"/>
  <c r="AC11" i="36"/>
  <c r="AX4" i="36"/>
  <c r="AX8" i="36"/>
  <c r="BO8" i="36"/>
  <c r="BK8" i="36"/>
  <c r="F8" i="36"/>
  <c r="W19" i="36"/>
  <c r="R19" i="36"/>
  <c r="AM19" i="36"/>
  <c r="BU28" i="36"/>
  <c r="BQ28" i="36"/>
  <c r="AF28" i="36"/>
  <c r="AH15" i="36"/>
  <c r="E15" i="36"/>
  <c r="AR10" i="36"/>
  <c r="K10" i="36"/>
  <c r="F10" i="36"/>
  <c r="W6" i="36"/>
  <c r="AM6" i="36"/>
  <c r="G6" i="36"/>
  <c r="K25" i="28"/>
  <c r="AT16" i="36"/>
  <c r="M16" i="36"/>
  <c r="BG16" i="36"/>
  <c r="AE16" i="36"/>
  <c r="AV12" i="36"/>
  <c r="BQ12" i="36"/>
  <c r="AO12" i="36"/>
  <c r="M12" i="36"/>
  <c r="BG12" i="36"/>
  <c r="E12" i="36"/>
  <c r="X27" i="36"/>
  <c r="U27" i="36"/>
  <c r="Q27" i="36"/>
  <c r="N27" i="36"/>
  <c r="AO27" i="28"/>
  <c r="AO76" i="28"/>
  <c r="K27" i="36"/>
  <c r="BB27" i="36"/>
  <c r="BG2" i="36"/>
  <c r="AS59" i="17"/>
  <c r="BD59" i="17"/>
  <c r="AS73" i="17"/>
  <c r="BD73" i="17"/>
  <c r="BD7" i="17"/>
  <c r="BI42" i="17"/>
  <c r="BI20" i="17"/>
  <c r="AS44" i="17"/>
  <c r="BD44" i="17"/>
  <c r="BD15" i="17"/>
  <c r="P65" i="15"/>
  <c r="P51" i="15"/>
  <c r="R51" i="15"/>
  <c r="I39" i="17"/>
  <c r="AQ11" i="17"/>
  <c r="R54" i="17"/>
  <c r="AC54" i="17"/>
  <c r="R68" i="17"/>
  <c r="AC68" i="17"/>
  <c r="AC9" i="17"/>
  <c r="R44" i="17"/>
  <c r="AC44" i="17"/>
  <c r="AC15" i="17"/>
  <c r="AS10" i="17"/>
  <c r="K46" i="17"/>
  <c r="K45" i="17"/>
  <c r="V15" i="17"/>
  <c r="K44" i="17"/>
  <c r="J33" i="17"/>
  <c r="U13" i="17"/>
  <c r="N36" i="17"/>
  <c r="Y36" i="17"/>
  <c r="Y26" i="17"/>
  <c r="AW7" i="17"/>
  <c r="AL59" i="17"/>
  <c r="AW59" i="17"/>
  <c r="Q58" i="17"/>
  <c r="AB58" i="17"/>
  <c r="AB16" i="17"/>
  <c r="AO76" i="17"/>
  <c r="AZ76" i="17"/>
  <c r="AO62" i="17"/>
  <c r="AZ62" i="17"/>
  <c r="AO7" i="17"/>
  <c r="R7" i="17"/>
  <c r="G59" i="17"/>
  <c r="W67" i="15"/>
  <c r="BH70" i="17"/>
  <c r="BH75" i="17"/>
  <c r="U16" i="15"/>
  <c r="U21" i="15"/>
  <c r="O53" i="17"/>
  <c r="Z53" i="17"/>
  <c r="T9" i="15"/>
  <c r="T68" i="15"/>
  <c r="AG13" i="17"/>
  <c r="BI4" i="17"/>
  <c r="E58" i="15"/>
  <c r="K49" i="17"/>
  <c r="AO74" i="17"/>
  <c r="AZ74" i="17"/>
  <c r="AZ12" i="17"/>
  <c r="Q3" i="17"/>
  <c r="AN3" i="17"/>
  <c r="AO13" i="17"/>
  <c r="R13" i="17"/>
  <c r="M68" i="15"/>
  <c r="M54" i="15"/>
  <c r="O54" i="15"/>
  <c r="O58" i="15"/>
  <c r="W30" i="15"/>
  <c r="W35" i="15"/>
  <c r="AZ27" i="17"/>
  <c r="AR33" i="17"/>
  <c r="BC33" i="17"/>
  <c r="F67" i="15"/>
  <c r="AP32" i="17"/>
  <c r="BA32" i="17"/>
  <c r="BA3" i="17"/>
  <c r="V23" i="17"/>
  <c r="AO19" i="17"/>
  <c r="R19" i="17"/>
  <c r="R42" i="17"/>
  <c r="AC42" i="17"/>
  <c r="N67" i="17"/>
  <c r="Y67" i="17"/>
  <c r="Y5" i="17"/>
  <c r="X72" i="15"/>
  <c r="H55" i="15"/>
  <c r="Z4" i="17"/>
  <c r="T30" i="15"/>
  <c r="T35" i="15"/>
  <c r="G35" i="17"/>
  <c r="R30" i="17"/>
  <c r="R35" i="17"/>
  <c r="AO30" i="17"/>
  <c r="K61" i="17"/>
  <c r="AS18" i="17"/>
  <c r="K75" i="17"/>
  <c r="V18" i="17"/>
  <c r="AL73" i="17"/>
  <c r="AW73" i="17"/>
  <c r="L45" i="15"/>
  <c r="K38" i="17"/>
  <c r="O9" i="17"/>
  <c r="AU19" i="17"/>
  <c r="AJ42" i="17"/>
  <c r="AU42" i="17"/>
  <c r="AO10" i="17"/>
  <c r="R10" i="17"/>
  <c r="K73" i="17"/>
  <c r="V7" i="17"/>
  <c r="K59" i="17"/>
  <c r="U17" i="15"/>
  <c r="L61" i="15"/>
  <c r="W21" i="15"/>
  <c r="W51" i="15"/>
  <c r="Z21" i="17"/>
  <c r="AP76" i="17"/>
  <c r="BA76" i="17"/>
  <c r="Y23" i="17"/>
  <c r="V19" i="17"/>
  <c r="P47" i="15"/>
  <c r="D60" i="15"/>
  <c r="D74" i="15"/>
  <c r="M70" i="17"/>
  <c r="X70" i="17"/>
  <c r="M56" i="17"/>
  <c r="X56" i="17"/>
  <c r="X20" i="17"/>
  <c r="AN26" i="17"/>
  <c r="Q26" i="17"/>
  <c r="BI19" i="17"/>
  <c r="P33" i="15"/>
  <c r="R33" i="15"/>
  <c r="U44" i="17"/>
  <c r="AF44" i="17"/>
  <c r="M72" i="15"/>
  <c r="O72" i="15"/>
  <c r="O16" i="15"/>
  <c r="V57" i="15"/>
  <c r="U29" i="15"/>
  <c r="H61" i="15"/>
  <c r="N52" i="15"/>
  <c r="V45" i="15"/>
  <c r="Y10" i="17"/>
  <c r="R2" i="15"/>
  <c r="M53" i="17"/>
  <c r="X53" i="17"/>
  <c r="M67" i="17"/>
  <c r="X67" i="17"/>
  <c r="T2" i="17"/>
  <c r="I38" i="17"/>
  <c r="AQ2" i="17"/>
  <c r="R11" i="17"/>
  <c r="AO11" i="17"/>
  <c r="X59" i="15"/>
  <c r="X29" i="15"/>
  <c r="N66" i="15"/>
  <c r="V46" i="17"/>
  <c r="AG46" i="17"/>
  <c r="H45" i="15"/>
  <c r="AJ40" i="17"/>
  <c r="AU40" i="17"/>
  <c r="T11" i="17"/>
  <c r="T7" i="17"/>
  <c r="AE7" i="17"/>
  <c r="I73" i="17"/>
  <c r="AQ7" i="17"/>
  <c r="H47" i="17"/>
  <c r="H45" i="17"/>
  <c r="AP6" i="17"/>
  <c r="AP22" i="17"/>
  <c r="H37" i="17"/>
  <c r="S25" i="17"/>
  <c r="AD25" i="17"/>
  <c r="H64" i="17"/>
  <c r="AP25" i="17"/>
  <c r="M70" i="15"/>
  <c r="M56" i="15"/>
  <c r="AS12" i="17"/>
  <c r="K60" i="17"/>
  <c r="AD36" i="27"/>
  <c r="AN19" i="17"/>
  <c r="R28" i="15"/>
  <c r="T27" i="17"/>
  <c r="I62" i="17"/>
  <c r="S4" i="17"/>
  <c r="H40" i="17"/>
  <c r="S14" i="17"/>
  <c r="AD14" i="17"/>
  <c r="H34" i="17"/>
  <c r="AC18" i="17"/>
  <c r="R75" i="17"/>
  <c r="U7" i="17"/>
  <c r="J59" i="17"/>
  <c r="BI33" i="17"/>
  <c r="V3" i="17"/>
  <c r="K32" i="17"/>
  <c r="D59" i="15"/>
  <c r="I64" i="17"/>
  <c r="I50" i="17"/>
  <c r="AP26" i="17"/>
  <c r="S26" i="17"/>
  <c r="S61" i="17"/>
  <c r="AD61" i="17"/>
  <c r="S75" i="17"/>
  <c r="AD75" i="17"/>
  <c r="U12" i="17"/>
  <c r="J74" i="17"/>
  <c r="AR12" i="17"/>
  <c r="S3" i="17"/>
  <c r="H32" i="17"/>
  <c r="D69" i="15"/>
  <c r="D55" i="15"/>
  <c r="Q8" i="17"/>
  <c r="AN8" i="17"/>
  <c r="AY8" i="17"/>
  <c r="Q19" i="17"/>
  <c r="Q42" i="17"/>
  <c r="AB42" i="17"/>
  <c r="U14" i="17"/>
  <c r="AR14" i="17"/>
  <c r="AR34" i="17"/>
  <c r="BC34" i="17"/>
  <c r="Q55" i="15"/>
  <c r="Q69" i="15"/>
  <c r="Q15" i="17"/>
  <c r="Q44" i="17"/>
  <c r="AB44" i="17"/>
  <c r="F44" i="17"/>
  <c r="K45" i="15"/>
  <c r="O20" i="17"/>
  <c r="R43" i="15"/>
  <c r="T16" i="17"/>
  <c r="I58" i="17"/>
  <c r="U26" i="17"/>
  <c r="AR26" i="17"/>
  <c r="Q64" i="15"/>
  <c r="Q50" i="15"/>
  <c r="AU7" i="17"/>
  <c r="AJ73" i="17"/>
  <c r="AU73" i="17"/>
  <c r="T19" i="17"/>
  <c r="AQ19" i="17"/>
  <c r="Q25" i="17"/>
  <c r="F64" i="17"/>
  <c r="AN25" i="17"/>
  <c r="U22" i="17"/>
  <c r="J37" i="17"/>
  <c r="U23" i="17"/>
  <c r="U49" i="17"/>
  <c r="J49" i="17"/>
  <c r="AO2" i="17"/>
  <c r="T13" i="17"/>
  <c r="S28" i="17"/>
  <c r="AW26" i="17"/>
  <c r="AL32" i="17"/>
  <c r="AW32" i="17"/>
  <c r="AW8" i="17"/>
  <c r="AL41" i="17"/>
  <c r="AW41" i="17"/>
  <c r="AO25" i="17"/>
  <c r="AA19" i="28"/>
  <c r="AA42" i="28"/>
  <c r="BA19" i="28"/>
  <c r="BA42" i="28"/>
  <c r="AF75" i="27"/>
  <c r="AF61" i="27"/>
  <c r="AF73" i="27"/>
  <c r="AF59" i="27"/>
  <c r="AI73" i="27"/>
  <c r="AI59" i="27"/>
  <c r="AA6" i="28"/>
  <c r="AA47" i="28"/>
  <c r="BA6" i="28"/>
  <c r="BA47" i="28"/>
  <c r="BB18" i="28"/>
  <c r="AB18" i="28"/>
  <c r="BB6" i="28"/>
  <c r="BB47" i="28"/>
  <c r="AB6" i="28"/>
  <c r="AB47" i="28"/>
  <c r="BA5" i="28"/>
  <c r="AA5" i="28"/>
  <c r="AA67" i="28"/>
  <c r="BB53" i="28"/>
  <c r="BB67" i="28"/>
  <c r="AB4" i="28"/>
  <c r="AB40" i="28"/>
  <c r="BB4" i="28"/>
  <c r="BB40" i="28"/>
  <c r="BB28" i="28"/>
  <c r="BB43" i="28"/>
  <c r="AL43" i="17"/>
  <c r="AW43" i="17"/>
  <c r="AW12" i="17"/>
  <c r="AG66" i="27"/>
  <c r="AG52" i="27"/>
  <c r="AK38" i="27"/>
  <c r="AN70" i="27"/>
  <c r="AN56" i="27"/>
  <c r="AO69" i="27"/>
  <c r="AO55" i="27"/>
  <c r="AP73" i="27"/>
  <c r="AP59" i="27"/>
  <c r="AQ59" i="27"/>
  <c r="BY23" i="36"/>
  <c r="AA20" i="28"/>
  <c r="AE62" i="27"/>
  <c r="AE76" i="27"/>
  <c r="AL51" i="27"/>
  <c r="AL65" i="27"/>
  <c r="BB69" i="27"/>
  <c r="BB27" i="28"/>
  <c r="BB76" i="28"/>
  <c r="BJ23" i="36"/>
  <c r="BH23" i="36"/>
  <c r="BX23" i="36"/>
  <c r="BV23" i="36"/>
  <c r="BO23" i="36"/>
  <c r="BM23" i="36"/>
  <c r="BK23" i="36"/>
  <c r="BI23" i="36"/>
  <c r="BC23" i="36"/>
  <c r="BA23" i="36"/>
  <c r="BS23" i="36"/>
  <c r="BL23" i="36"/>
  <c r="BU23" i="36"/>
  <c r="BW23" i="36"/>
  <c r="BB23" i="36"/>
  <c r="BQ23" i="36"/>
  <c r="AF58" i="27"/>
  <c r="AB16" i="28"/>
  <c r="BB16" i="28"/>
  <c r="BB72" i="28"/>
  <c r="BB57" i="27"/>
  <c r="BB71" i="27"/>
  <c r="BB58" i="27"/>
  <c r="BB72" i="27"/>
  <c r="AE26" i="27"/>
  <c r="AE36" i="27"/>
  <c r="AC36" i="26"/>
  <c r="AS13" i="27"/>
  <c r="AS33" i="27"/>
  <c r="AZ18" i="27"/>
  <c r="AX14" i="27"/>
  <c r="AX34" i="27"/>
  <c r="AV2" i="27"/>
  <c r="AV38" i="27"/>
  <c r="AV14" i="27"/>
  <c r="AV34" i="27"/>
  <c r="AI45" i="27"/>
  <c r="AQ51" i="27"/>
  <c r="AQ65" i="27"/>
  <c r="AP53" i="27"/>
  <c r="AP67" i="27"/>
  <c r="AS23" i="27"/>
  <c r="AS49" i="27"/>
  <c r="AP13" i="27"/>
  <c r="AP33" i="27"/>
  <c r="AP30" i="27"/>
  <c r="AP35" i="27"/>
  <c r="BB41" i="26"/>
  <c r="BB8" i="27"/>
  <c r="BB41" i="27"/>
  <c r="AI18" i="27"/>
  <c r="AI75" i="27"/>
  <c r="AK21" i="27"/>
  <c r="BB76" i="27"/>
  <c r="BB62" i="27"/>
  <c r="AK25" i="28"/>
  <c r="AG69" i="28"/>
  <c r="E6" i="17"/>
  <c r="E47" i="17"/>
  <c r="AA23" i="27"/>
  <c r="AA49" i="27"/>
  <c r="AX13" i="27"/>
  <c r="AX33" i="27"/>
  <c r="AV13" i="27"/>
  <c r="AV33" i="27"/>
  <c r="AV30" i="27"/>
  <c r="AV35" i="27"/>
  <c r="AQ6" i="27"/>
  <c r="AQ47" i="27"/>
  <c r="AQ45" i="27"/>
  <c r="AQ18" i="27"/>
  <c r="O23" i="27"/>
  <c r="O49" i="27"/>
  <c r="H9" i="27"/>
  <c r="BC9" i="36"/>
  <c r="BA9" i="36"/>
  <c r="BG9" i="36"/>
  <c r="J9" i="28"/>
  <c r="BH9" i="36"/>
  <c r="BK9" i="36"/>
  <c r="N9" i="28"/>
  <c r="BN9" i="36"/>
  <c r="BB9" i="36"/>
  <c r="BE9" i="36"/>
  <c r="H9" i="28"/>
  <c r="BQ9" i="36"/>
  <c r="BU9" i="36"/>
  <c r="BI9" i="36"/>
  <c r="BL9" i="36"/>
  <c r="O9" i="28"/>
  <c r="BO9" i="36"/>
  <c r="AR9" i="28"/>
  <c r="BF9" i="36"/>
  <c r="I9" i="28"/>
  <c r="BS9" i="36"/>
  <c r="BV9" i="36"/>
  <c r="BJ9" i="36"/>
  <c r="BM9" i="36"/>
  <c r="BD9" i="36"/>
  <c r="BP9" i="36"/>
  <c r="AF65" i="27"/>
  <c r="AB25" i="28"/>
  <c r="AB64" i="26"/>
  <c r="AB50" i="26"/>
  <c r="AB25" i="27"/>
  <c r="AZ19" i="27"/>
  <c r="AZ42" i="27"/>
  <c r="AR19" i="27"/>
  <c r="AR42" i="27"/>
  <c r="AJ50" i="28"/>
  <c r="AX23" i="27"/>
  <c r="AX49" i="27"/>
  <c r="AB26" i="27"/>
  <c r="AB36" i="27"/>
  <c r="AB36" i="26"/>
  <c r="AZ8" i="27"/>
  <c r="AZ41" i="27"/>
  <c r="AX2" i="27"/>
  <c r="AX38" i="27"/>
  <c r="AW6" i="27"/>
  <c r="AW47" i="27"/>
  <c r="AH4" i="27"/>
  <c r="AH40" i="27"/>
  <c r="AX4" i="27"/>
  <c r="AX40" i="27"/>
  <c r="BA69" i="26"/>
  <c r="AR8" i="27"/>
  <c r="AR41" i="27"/>
  <c r="AO25" i="28"/>
  <c r="BB64" i="26"/>
  <c r="BB25" i="28"/>
  <c r="BB50" i="26"/>
  <c r="AT21" i="27"/>
  <c r="AB21" i="36"/>
  <c r="F21" i="36"/>
  <c r="AJ21" i="36"/>
  <c r="AM21" i="36"/>
  <c r="AP21" i="36"/>
  <c r="U21" i="36"/>
  <c r="AE21" i="36"/>
  <c r="AT21" i="36"/>
  <c r="I21" i="36"/>
  <c r="X21" i="36"/>
  <c r="AH21" i="36"/>
  <c r="L21" i="36"/>
  <c r="O21" i="36"/>
  <c r="R21" i="36"/>
  <c r="AW21" i="36"/>
  <c r="D21" i="36"/>
  <c r="G21" i="36"/>
  <c r="AK21" i="36"/>
  <c r="AN21" i="36"/>
  <c r="AC21" i="36"/>
  <c r="AF21" i="36"/>
  <c r="V21" i="36"/>
  <c r="AU21" i="36"/>
  <c r="Y21" i="36"/>
  <c r="J21" i="36"/>
  <c r="M21" i="36"/>
  <c r="S21" i="36"/>
  <c r="AX21" i="36"/>
  <c r="E21" i="36"/>
  <c r="AI21" i="36"/>
  <c r="AL21" i="36"/>
  <c r="AO21" i="36"/>
  <c r="AR21" i="36"/>
  <c r="AD21" i="36"/>
  <c r="H21" i="36"/>
  <c r="C21" i="36"/>
  <c r="K21" i="36"/>
  <c r="N21" i="36"/>
  <c r="Q21" i="36"/>
  <c r="AV21" i="36"/>
  <c r="AS9" i="27"/>
  <c r="AV44" i="17"/>
  <c r="AV15" i="17"/>
  <c r="AA7" i="28"/>
  <c r="AA73" i="28"/>
  <c r="BB9" i="28"/>
  <c r="BB54" i="28"/>
  <c r="AA13" i="28"/>
  <c r="AA33" i="28"/>
  <c r="AK45" i="27"/>
  <c r="AX45" i="27"/>
  <c r="AA59" i="26"/>
  <c r="AN64" i="28"/>
  <c r="AN50" i="28"/>
  <c r="BA5" i="27"/>
  <c r="BA67" i="26"/>
  <c r="BA53" i="26"/>
  <c r="AR10" i="27"/>
  <c r="AR46" i="27"/>
  <c r="AR45" i="27"/>
  <c r="AL14" i="27"/>
  <c r="AL34" i="27"/>
  <c r="AG21" i="36"/>
  <c r="AG45" i="27"/>
  <c r="AM6" i="27"/>
  <c r="AB6" i="27"/>
  <c r="AB47" i="27"/>
  <c r="AB47" i="26"/>
  <c r="AB45" i="26"/>
  <c r="AB17" i="27"/>
  <c r="AB66" i="26"/>
  <c r="AM15" i="27"/>
  <c r="AM44" i="27"/>
  <c r="AO54" i="17"/>
  <c r="AZ54" i="17"/>
  <c r="AO68" i="17"/>
  <c r="AZ68" i="17"/>
  <c r="BB26" i="28"/>
  <c r="BB36" i="28"/>
  <c r="AB10" i="28"/>
  <c r="AB46" i="28"/>
  <c r="AA9" i="28"/>
  <c r="BA4" i="28"/>
  <c r="BA40" i="28"/>
  <c r="AB12" i="28"/>
  <c r="BA30" i="28"/>
  <c r="BA35" i="28"/>
  <c r="BA59" i="26"/>
  <c r="AT25" i="28"/>
  <c r="AT25" i="27"/>
  <c r="AO12" i="27"/>
  <c r="BT9" i="36"/>
  <c r="AY11" i="27"/>
  <c r="AY39" i="27"/>
  <c r="AT26" i="27"/>
  <c r="AT36" i="27"/>
  <c r="AB32" i="26"/>
  <c r="AB3" i="27"/>
  <c r="AB32" i="27"/>
  <c r="AZ17" i="27"/>
  <c r="BW9" i="36"/>
  <c r="BA20" i="28"/>
  <c r="AB28" i="28"/>
  <c r="AB43" i="28"/>
  <c r="AF60" i="27"/>
  <c r="AJ45" i="27"/>
  <c r="AA5" i="27"/>
  <c r="AA67" i="26"/>
  <c r="AA53" i="26"/>
  <c r="AA64" i="26"/>
  <c r="AA50" i="26"/>
  <c r="AA25" i="28"/>
  <c r="AX26" i="27"/>
  <c r="AX36" i="27"/>
  <c r="AT12" i="27"/>
  <c r="AQ15" i="27"/>
  <c r="AQ44" i="27"/>
  <c r="AP2" i="27"/>
  <c r="AP38" i="27"/>
  <c r="AQ3" i="27"/>
  <c r="AQ32" i="27"/>
  <c r="N29" i="27"/>
  <c r="AV26" i="17"/>
  <c r="W17" i="36"/>
  <c r="AR17" i="36"/>
  <c r="AO17" i="36"/>
  <c r="Y20" i="36"/>
  <c r="X24" i="28"/>
  <c r="S24" i="28"/>
  <c r="O24" i="28"/>
  <c r="G24" i="28"/>
  <c r="AJ3" i="27"/>
  <c r="AJ32" i="27"/>
  <c r="AV2" i="17"/>
  <c r="M17" i="36"/>
  <c r="J17" i="36"/>
  <c r="G17" i="36"/>
  <c r="O20" i="36"/>
  <c r="L20" i="36"/>
  <c r="AS45" i="27"/>
  <c r="AR3" i="27"/>
  <c r="AR32" i="27"/>
  <c r="AH20" i="36"/>
  <c r="N20" i="36"/>
  <c r="AU20" i="36"/>
  <c r="W20" i="28"/>
  <c r="G20" i="36"/>
  <c r="AM20" i="36"/>
  <c r="S20" i="36"/>
  <c r="C20" i="36"/>
  <c r="AD20" i="36"/>
  <c r="J20" i="36"/>
  <c r="AP20" i="36"/>
  <c r="W20" i="36"/>
  <c r="H20" i="36"/>
  <c r="AN20" i="36"/>
  <c r="U20" i="36"/>
  <c r="AG20" i="36"/>
  <c r="M20" i="36"/>
  <c r="AT20" i="36"/>
  <c r="AX24" i="28"/>
  <c r="AX69" i="28"/>
  <c r="V17" i="36"/>
  <c r="R17" i="36"/>
  <c r="AN17" i="36"/>
  <c r="AK17" i="36"/>
  <c r="AH17" i="36"/>
  <c r="AE17" i="36"/>
  <c r="X20" i="36"/>
  <c r="Y20" i="28"/>
  <c r="Q20" i="36"/>
  <c r="F30" i="36"/>
  <c r="I30" i="36"/>
  <c r="X30" i="36"/>
  <c r="AE30" i="36"/>
  <c r="AH30" i="36"/>
  <c r="D30" i="36"/>
  <c r="AU30" i="36"/>
  <c r="AW30" i="28"/>
  <c r="AW35" i="28"/>
  <c r="AC30" i="36"/>
  <c r="G30" i="36"/>
  <c r="AR30" i="36"/>
  <c r="W30" i="36"/>
  <c r="C30" i="36"/>
  <c r="AJ30" i="36"/>
  <c r="AM30" i="36"/>
  <c r="AB30" i="36"/>
  <c r="K30" i="36"/>
  <c r="O30" i="36"/>
  <c r="AN30" i="36"/>
  <c r="H30" i="36"/>
  <c r="AV30" i="36"/>
  <c r="AG30" i="36"/>
  <c r="L30" i="36"/>
  <c r="P30" i="36"/>
  <c r="S30" i="36"/>
  <c r="AK30" i="36"/>
  <c r="AO30" i="36"/>
  <c r="E30" i="36"/>
  <c r="M30" i="36"/>
  <c r="U30" i="36"/>
  <c r="AW30" i="36"/>
  <c r="AD30" i="36"/>
  <c r="J30" i="36"/>
  <c r="AL30" i="36"/>
  <c r="Q30" i="36"/>
  <c r="AT30" i="36"/>
  <c r="AI30" i="36"/>
  <c r="AP30" i="36"/>
  <c r="N30" i="36"/>
  <c r="Y30" i="36"/>
  <c r="O17" i="36"/>
  <c r="L17" i="36"/>
  <c r="I17" i="36"/>
  <c r="F17" i="36"/>
  <c r="AJ20" i="36"/>
  <c r="AA3" i="27"/>
  <c r="AA32" i="27"/>
  <c r="AV13" i="17"/>
  <c r="AW17" i="36"/>
  <c r="K20" i="36"/>
  <c r="E20" i="36"/>
  <c r="AV30" i="17"/>
  <c r="AV35" i="17"/>
  <c r="BB62" i="26"/>
  <c r="X17" i="36"/>
  <c r="AT17" i="36"/>
  <c r="AP17" i="36"/>
  <c r="AO57" i="17"/>
  <c r="AZ57" i="17"/>
  <c r="AR20" i="36"/>
  <c r="AF30" i="36"/>
  <c r="P22" i="27"/>
  <c r="P37" i="27"/>
  <c r="AY3" i="27"/>
  <c r="AY32" i="27"/>
  <c r="AK24" i="28"/>
  <c r="U17" i="36"/>
  <c r="Q17" i="36"/>
  <c r="AM17" i="36"/>
  <c r="AJ17" i="36"/>
  <c r="AG17" i="36"/>
  <c r="AB17" i="36"/>
  <c r="D17" i="28"/>
  <c r="AV20" i="36"/>
  <c r="AO20" i="36"/>
  <c r="AL20" i="36"/>
  <c r="D76" i="19"/>
  <c r="F76" i="19"/>
  <c r="D62" i="19"/>
  <c r="F62" i="19"/>
  <c r="AQ64" i="28"/>
  <c r="N17" i="36"/>
  <c r="K17" i="36"/>
  <c r="H17" i="36"/>
  <c r="AD17" i="36"/>
  <c r="AF20" i="36"/>
  <c r="AC20" i="36"/>
  <c r="AC26" i="36"/>
  <c r="AF26" i="36"/>
  <c r="J26" i="36"/>
  <c r="AU26" i="36"/>
  <c r="AX26" i="36"/>
  <c r="AI26" i="36"/>
  <c r="M26" i="36"/>
  <c r="E26" i="36"/>
  <c r="AO26" i="36"/>
  <c r="AR26" i="36"/>
  <c r="W26" i="36"/>
  <c r="AD26" i="36"/>
  <c r="H26" i="36"/>
  <c r="K26" i="36"/>
  <c r="AV26" i="36"/>
  <c r="C26" i="36"/>
  <c r="N26" i="36"/>
  <c r="AB26" i="36"/>
  <c r="F26" i="36"/>
  <c r="AM26" i="36"/>
  <c r="AP26" i="36"/>
  <c r="U26" i="36"/>
  <c r="X26" i="36"/>
  <c r="O26" i="36"/>
  <c r="R26" i="36"/>
  <c r="AG26" i="36"/>
  <c r="AL26" i="36"/>
  <c r="AW26" i="36"/>
  <c r="I26" i="36"/>
  <c r="S26" i="36"/>
  <c r="D26" i="36"/>
  <c r="AH26" i="36"/>
  <c r="Y26" i="36"/>
  <c r="AN26" i="36"/>
  <c r="AT26" i="36"/>
  <c r="AE26" i="36"/>
  <c r="AJ26" i="36"/>
  <c r="V26" i="36"/>
  <c r="L26" i="36"/>
  <c r="Q26" i="36"/>
  <c r="AX20" i="36"/>
  <c r="AI20" i="36"/>
  <c r="D20" i="36"/>
  <c r="Y5" i="36"/>
  <c r="U5" i="36"/>
  <c r="P5" i="36"/>
  <c r="L5" i="36"/>
  <c r="M5" i="28"/>
  <c r="H5" i="36"/>
  <c r="D5" i="36"/>
  <c r="K29" i="36"/>
  <c r="AL29" i="28"/>
  <c r="AF29" i="36"/>
  <c r="D3" i="36"/>
  <c r="G3" i="36"/>
  <c r="K3" i="36"/>
  <c r="O3" i="36"/>
  <c r="E3" i="36"/>
  <c r="AG3" i="36"/>
  <c r="AK3" i="36"/>
  <c r="BF14" i="36"/>
  <c r="BI14" i="36"/>
  <c r="BG14" i="36"/>
  <c r="AJ14" i="28"/>
  <c r="AJ34" i="28"/>
  <c r="BJ14" i="36"/>
  <c r="BA20" i="36"/>
  <c r="AJ5" i="36"/>
  <c r="AF5" i="36"/>
  <c r="W24" i="28"/>
  <c r="R24" i="28"/>
  <c r="N24" i="28"/>
  <c r="J24" i="28"/>
  <c r="F24" i="28"/>
  <c r="R3" i="36"/>
  <c r="J3" i="36"/>
  <c r="BU14" i="36"/>
  <c r="AX14" i="28"/>
  <c r="AX34" i="28"/>
  <c r="BQ14" i="36"/>
  <c r="BN14" i="36"/>
  <c r="BD14" i="36"/>
  <c r="S5" i="36"/>
  <c r="T5" i="28"/>
  <c r="O5" i="36"/>
  <c r="K5" i="36"/>
  <c r="G5" i="36"/>
  <c r="AB5" i="36"/>
  <c r="J29" i="36"/>
  <c r="BD29" i="36"/>
  <c r="AB29" i="36"/>
  <c r="AU3" i="36"/>
  <c r="AM3" i="36"/>
  <c r="AB14" i="36"/>
  <c r="F14" i="36"/>
  <c r="AM14" i="36"/>
  <c r="AP14" i="36"/>
  <c r="D14" i="36"/>
  <c r="AN14" i="36"/>
  <c r="AS5" i="28"/>
  <c r="M24" i="28"/>
  <c r="I24" i="28"/>
  <c r="Y3" i="36"/>
  <c r="AP3" i="36"/>
  <c r="I3" i="36"/>
  <c r="BG13" i="36"/>
  <c r="BD13" i="36"/>
  <c r="BC14" i="36"/>
  <c r="AT3" i="36"/>
  <c r="Q3" i="36"/>
  <c r="AL3" i="36"/>
  <c r="BB13" i="36"/>
  <c r="BP13" i="36"/>
  <c r="BT13" i="36"/>
  <c r="BQ13" i="36"/>
  <c r="BU13" i="36"/>
  <c r="BW14" i="36"/>
  <c r="BT14" i="36"/>
  <c r="BM14" i="36"/>
  <c r="BH11" i="36"/>
  <c r="BT11" i="36"/>
  <c r="BW11" i="36"/>
  <c r="BK11" i="36"/>
  <c r="BC11" i="36"/>
  <c r="BQ11" i="36"/>
  <c r="BF11" i="36"/>
  <c r="BI11" i="36"/>
  <c r="BU11" i="36"/>
  <c r="BA11" i="36"/>
  <c r="BD11" i="36"/>
  <c r="BL11" i="36"/>
  <c r="BO11" i="36"/>
  <c r="BG11" i="36"/>
  <c r="BJ11" i="36"/>
  <c r="BB11" i="36"/>
  <c r="BM11" i="36"/>
  <c r="BP11" i="36"/>
  <c r="U3" i="36"/>
  <c r="M3" i="36"/>
  <c r="H3" i="36"/>
  <c r="AC3" i="36"/>
  <c r="BP14" i="36"/>
  <c r="AD5" i="36"/>
  <c r="AF5" i="28"/>
  <c r="Y24" i="28"/>
  <c r="T24" i="28"/>
  <c r="L24" i="28"/>
  <c r="H24" i="28"/>
  <c r="D24" i="28"/>
  <c r="AW3" i="36"/>
  <c r="V5" i="36"/>
  <c r="Q5" i="36"/>
  <c r="R5" i="28"/>
  <c r="M5" i="36"/>
  <c r="I5" i="36"/>
  <c r="X3" i="36"/>
  <c r="AO3" i="36"/>
  <c r="L3" i="36"/>
  <c r="AF3" i="36"/>
  <c r="BS13" i="36"/>
  <c r="BF13" i="36"/>
  <c r="BC13" i="36"/>
  <c r="AF13" i="28"/>
  <c r="AF33" i="28"/>
  <c r="BL14" i="36"/>
  <c r="BB14" i="36"/>
  <c r="BM26" i="36"/>
  <c r="BP26" i="36"/>
  <c r="BB26" i="36"/>
  <c r="BE26" i="36"/>
  <c r="BT26" i="36"/>
  <c r="BW26" i="36"/>
  <c r="BK26" i="36"/>
  <c r="BN26" i="36"/>
  <c r="BQ26" i="36"/>
  <c r="BF26" i="36"/>
  <c r="BI26" i="36"/>
  <c r="BG26" i="36"/>
  <c r="BJ26" i="36"/>
  <c r="BE11" i="36"/>
  <c r="BF30" i="36"/>
  <c r="BC30" i="36"/>
  <c r="AX22" i="36"/>
  <c r="M22" i="36"/>
  <c r="AN22" i="28"/>
  <c r="AN37" i="28"/>
  <c r="AI22" i="36"/>
  <c r="BE22" i="36"/>
  <c r="Y11" i="36"/>
  <c r="V11" i="36"/>
  <c r="J11" i="36"/>
  <c r="AF11" i="36"/>
  <c r="BW8" i="36"/>
  <c r="BT8" i="36"/>
  <c r="P8" i="36"/>
  <c r="AL8" i="36"/>
  <c r="E8" i="36"/>
  <c r="AT19" i="36"/>
  <c r="AP19" i="36"/>
  <c r="AH19" i="36"/>
  <c r="AE19" i="36"/>
  <c r="BN28" i="36"/>
  <c r="BC28" i="36"/>
  <c r="AW15" i="36"/>
  <c r="AY15" i="28"/>
  <c r="AY44" i="28"/>
  <c r="AN15" i="36"/>
  <c r="AP15" i="28"/>
  <c r="AP44" i="28"/>
  <c r="AK15" i="36"/>
  <c r="D15" i="36"/>
  <c r="BU10" i="36"/>
  <c r="Q10" i="36"/>
  <c r="N10" i="36"/>
  <c r="AJ10" i="36"/>
  <c r="AG10" i="36"/>
  <c r="C10" i="36"/>
  <c r="V6" i="36"/>
  <c r="R6" i="36"/>
  <c r="AN6" i="36"/>
  <c r="AK6" i="36"/>
  <c r="M25" i="28"/>
  <c r="AH16" i="36"/>
  <c r="BD16" i="36"/>
  <c r="V7" i="36"/>
  <c r="BP12" i="36"/>
  <c r="G12" i="36"/>
  <c r="D12" i="36"/>
  <c r="P18" i="36"/>
  <c r="AL18" i="36"/>
  <c r="AN18" i="28"/>
  <c r="AI18" i="36"/>
  <c r="AF18" i="36"/>
  <c r="BC27" i="36"/>
  <c r="BI19" i="36"/>
  <c r="BA19" i="36"/>
  <c r="Y25" i="28"/>
  <c r="G25" i="28"/>
  <c r="BA16" i="36"/>
  <c r="G18" i="36"/>
  <c r="AC18" i="36"/>
  <c r="Y6" i="28"/>
  <c r="Y47" i="28"/>
  <c r="R25" i="28"/>
  <c r="M7" i="28"/>
  <c r="BN30" i="36"/>
  <c r="BK30" i="36"/>
  <c r="V22" i="36"/>
  <c r="R22" i="36"/>
  <c r="AN22" i="36"/>
  <c r="AP22" i="28"/>
  <c r="AP37" i="28"/>
  <c r="AK22" i="36"/>
  <c r="D22" i="36"/>
  <c r="AW11" i="36"/>
  <c r="AY11" i="28"/>
  <c r="AY39" i="28"/>
  <c r="AT11" i="36"/>
  <c r="AK11" i="36"/>
  <c r="AH11" i="36"/>
  <c r="AN8" i="36"/>
  <c r="G8" i="36"/>
  <c r="AC8" i="36"/>
  <c r="AV19" i="36"/>
  <c r="BQ19" i="36"/>
  <c r="N19" i="36"/>
  <c r="K19" i="36"/>
  <c r="BF19" i="36"/>
  <c r="BC19" i="36"/>
  <c r="BE28" i="36"/>
  <c r="U15" i="36"/>
  <c r="Q15" i="36"/>
  <c r="BL15" i="36"/>
  <c r="BI15" i="36"/>
  <c r="AL15" i="28"/>
  <c r="AL44" i="28"/>
  <c r="I15" i="36"/>
  <c r="F15" i="36"/>
  <c r="BA15" i="36"/>
  <c r="S10" i="36"/>
  <c r="AO10" i="36"/>
  <c r="AL10" i="36"/>
  <c r="BH10" i="36"/>
  <c r="E10" i="36"/>
  <c r="AT6" i="36"/>
  <c r="AP6" i="36"/>
  <c r="I6" i="36"/>
  <c r="F6" i="36"/>
  <c r="BL16" i="36"/>
  <c r="BI16" i="36"/>
  <c r="AW7" i="36"/>
  <c r="F7" i="36"/>
  <c r="BV12" i="36"/>
  <c r="I12" i="36"/>
  <c r="AE12" i="36"/>
  <c r="BA12" i="36"/>
  <c r="Y18" i="36"/>
  <c r="V18" i="36"/>
  <c r="AN18" i="36"/>
  <c r="AP18" i="28"/>
  <c r="AP75" i="28"/>
  <c r="X27" i="28"/>
  <c r="U11" i="36"/>
  <c r="L11" i="36"/>
  <c r="I11" i="36"/>
  <c r="BN19" i="36"/>
  <c r="BC16" i="36"/>
  <c r="AW8" i="36"/>
  <c r="AY8" i="28"/>
  <c r="AY41" i="28"/>
  <c r="AT8" i="36"/>
  <c r="AK8" i="36"/>
  <c r="AH8" i="36"/>
  <c r="BW19" i="36"/>
  <c r="BK19" i="36"/>
  <c r="BQ15" i="36"/>
  <c r="BF15" i="36"/>
  <c r="BC15" i="36"/>
  <c r="AX10" i="36"/>
  <c r="AU10" i="36"/>
  <c r="J10" i="36"/>
  <c r="AF10" i="36"/>
  <c r="BB10" i="36"/>
  <c r="N6" i="36"/>
  <c r="K6" i="36"/>
  <c r="C6" i="36"/>
  <c r="F25" i="28"/>
  <c r="BU16" i="36"/>
  <c r="AM7" i="36"/>
  <c r="AJ7" i="36"/>
  <c r="C7" i="36"/>
  <c r="BL12" i="36"/>
  <c r="AO12" i="28"/>
  <c r="BI12" i="36"/>
  <c r="L18" i="36"/>
  <c r="I18" i="36"/>
  <c r="AJ18" i="28"/>
  <c r="AE18" i="36"/>
  <c r="Q11" i="36"/>
  <c r="N11" i="36"/>
  <c r="F11" i="36"/>
  <c r="AB11" i="36"/>
  <c r="BH19" i="36"/>
  <c r="AK19" i="28"/>
  <c r="AK42" i="28"/>
  <c r="BN15" i="36"/>
  <c r="Y10" i="36"/>
  <c r="V10" i="36"/>
  <c r="G10" i="36"/>
  <c r="AC10" i="36"/>
  <c r="T25" i="28"/>
  <c r="Q25" i="28"/>
  <c r="BQ16" i="36"/>
  <c r="BN16" i="36"/>
  <c r="BF12" i="36"/>
  <c r="BC12" i="36"/>
  <c r="AW18" i="36"/>
  <c r="AT18" i="36"/>
  <c r="F18" i="36"/>
  <c r="AB18" i="36"/>
  <c r="BM30" i="36"/>
  <c r="U22" i="36"/>
  <c r="Q22" i="36"/>
  <c r="AM22" i="36"/>
  <c r="AV11" i="36"/>
  <c r="AJ11" i="36"/>
  <c r="AG11" i="36"/>
  <c r="C11" i="36"/>
  <c r="AP8" i="36"/>
  <c r="AM8" i="36"/>
  <c r="AO8" i="28"/>
  <c r="AO41" i="28"/>
  <c r="AE8" i="36"/>
  <c r="BT19" i="36"/>
  <c r="BP19" i="36"/>
  <c r="BE19" i="36"/>
  <c r="BW15" i="36"/>
  <c r="AZ15" i="28"/>
  <c r="AZ44" i="28"/>
  <c r="BK15" i="36"/>
  <c r="AN15" i="28"/>
  <c r="AN44" i="28"/>
  <c r="AN10" i="36"/>
  <c r="BJ10" i="36"/>
  <c r="D10" i="36"/>
  <c r="AR6" i="36"/>
  <c r="AO6" i="36"/>
  <c r="H6" i="36"/>
  <c r="AI6" i="28"/>
  <c r="AI47" i="28"/>
  <c r="W25" i="28"/>
  <c r="BK16" i="36"/>
  <c r="BH16" i="36"/>
  <c r="H7" i="36"/>
  <c r="BU12" i="36"/>
  <c r="X18" i="36"/>
  <c r="U18" i="36"/>
  <c r="AP18" i="36"/>
  <c r="AR18" i="28"/>
  <c r="AM18" i="36"/>
  <c r="C18" i="36"/>
  <c r="BB19" i="36"/>
  <c r="BB16" i="36"/>
  <c r="S11" i="36"/>
  <c r="AO11" i="36"/>
  <c r="AD11" i="36"/>
  <c r="BV19" i="36"/>
  <c r="BM19" i="36"/>
  <c r="BT15" i="36"/>
  <c r="AW15" i="28"/>
  <c r="AW44" i="28"/>
  <c r="BP15" i="36"/>
  <c r="AS15" i="28"/>
  <c r="AS44" i="28"/>
  <c r="BE15" i="36"/>
  <c r="AW10" i="36"/>
  <c r="AT10" i="36"/>
  <c r="L10" i="36"/>
  <c r="I10" i="36"/>
  <c r="H25" i="28"/>
  <c r="E25" i="28"/>
  <c r="BW16" i="36"/>
  <c r="AZ16" i="28"/>
  <c r="BT16" i="36"/>
  <c r="BK12" i="36"/>
  <c r="BH12" i="36"/>
  <c r="K18" i="36"/>
  <c r="H18" i="36"/>
  <c r="AD18" i="36"/>
  <c r="P11" i="36"/>
  <c r="AL11" i="36"/>
  <c r="X10" i="36"/>
  <c r="U10" i="36"/>
  <c r="J25" i="28"/>
  <c r="BE12" i="36"/>
  <c r="AR18" i="36"/>
  <c r="W55" i="15"/>
  <c r="W69" i="15"/>
  <c r="U56" i="15"/>
  <c r="U15" i="15"/>
  <c r="U44" i="15"/>
  <c r="H67" i="15"/>
  <c r="H53" i="15"/>
  <c r="N55" i="15"/>
  <c r="O24" i="15"/>
  <c r="G12" i="15"/>
  <c r="F74" i="15"/>
  <c r="F60" i="15"/>
  <c r="X10" i="15"/>
  <c r="X46" i="15"/>
  <c r="X45" i="15"/>
  <c r="S46" i="15"/>
  <c r="S45" i="15"/>
  <c r="J75" i="15"/>
  <c r="J61" i="15"/>
  <c r="S44" i="15"/>
  <c r="J73" i="15"/>
  <c r="J59" i="15"/>
  <c r="X15" i="15"/>
  <c r="X44" i="15"/>
  <c r="W10" i="15"/>
  <c r="W46" i="15"/>
  <c r="W45" i="15"/>
  <c r="F51" i="15"/>
  <c r="F65" i="15"/>
  <c r="BH57" i="17"/>
  <c r="BH71" i="17"/>
  <c r="N38" i="17"/>
  <c r="Y38" i="17"/>
  <c r="Y2" i="17"/>
  <c r="X76" i="15"/>
  <c r="K52" i="15"/>
  <c r="L59" i="15"/>
  <c r="V67" i="15"/>
  <c r="K71" i="15"/>
  <c r="K57" i="15"/>
  <c r="O44" i="17"/>
  <c r="Z44" i="17"/>
  <c r="Z15" i="17"/>
  <c r="BD32" i="17"/>
  <c r="K34" i="17"/>
  <c r="AS14" i="17"/>
  <c r="V14" i="17"/>
  <c r="T73" i="15"/>
  <c r="X24" i="15"/>
  <c r="T24" i="15"/>
  <c r="S55" i="15"/>
  <c r="O43" i="17"/>
  <c r="Z43" i="17"/>
  <c r="Z28" i="17"/>
  <c r="O60" i="17"/>
  <c r="Z60" i="17"/>
  <c r="Z12" i="17"/>
  <c r="O74" i="17"/>
  <c r="Z74" i="17"/>
  <c r="O35" i="17"/>
  <c r="Z30" i="17"/>
  <c r="Y46" i="17"/>
  <c r="N45" i="17"/>
  <c r="BH67" i="17"/>
  <c r="BI67" i="17"/>
  <c r="U12" i="15"/>
  <c r="W12" i="15"/>
  <c r="X12" i="15"/>
  <c r="F58" i="15"/>
  <c r="X20" i="15"/>
  <c r="T20" i="15"/>
  <c r="W20" i="15"/>
  <c r="S70" i="15"/>
  <c r="BI12" i="17"/>
  <c r="BH60" i="17"/>
  <c r="BI60" i="17"/>
  <c r="T4" i="17"/>
  <c r="AQ4" i="17"/>
  <c r="I40" i="17"/>
  <c r="S34" i="17"/>
  <c r="Q46" i="17"/>
  <c r="O32" i="15"/>
  <c r="W15" i="15"/>
  <c r="W44" i="15"/>
  <c r="O9" i="15"/>
  <c r="N68" i="15"/>
  <c r="V60" i="17"/>
  <c r="AG60" i="17"/>
  <c r="V74" i="17"/>
  <c r="AG74" i="17"/>
  <c r="R34" i="17"/>
  <c r="AC34" i="17"/>
  <c r="AC14" i="17"/>
  <c r="U24" i="15"/>
  <c r="U75" i="15"/>
  <c r="BD27" i="17"/>
  <c r="AG12" i="17"/>
  <c r="V31" i="15"/>
  <c r="AV49" i="17"/>
  <c r="S69" i="15"/>
  <c r="T2" i="15"/>
  <c r="T38" i="15"/>
  <c r="U2" i="15"/>
  <c r="U38" i="15"/>
  <c r="W2" i="15"/>
  <c r="W38" i="15"/>
  <c r="S38" i="15"/>
  <c r="J45" i="15"/>
  <c r="O62" i="17"/>
  <c r="Z62" i="17"/>
  <c r="Z27" i="17"/>
  <c r="AN44" i="17"/>
  <c r="AY44" i="17"/>
  <c r="AY15" i="17"/>
  <c r="AP34" i="17"/>
  <c r="BA34" i="17"/>
  <c r="BA14" i="17"/>
  <c r="H31" i="15"/>
  <c r="F49" i="15"/>
  <c r="N65" i="15"/>
  <c r="U10" i="15"/>
  <c r="U46" i="15"/>
  <c r="U45" i="15"/>
  <c r="G27" i="15"/>
  <c r="F76" i="15"/>
  <c r="F62" i="15"/>
  <c r="AN38" i="17"/>
  <c r="AY38" i="17"/>
  <c r="H49" i="17"/>
  <c r="AP23" i="17"/>
  <c r="S23" i="17"/>
  <c r="AR10" i="17"/>
  <c r="U10" i="17"/>
  <c r="J46" i="17"/>
  <c r="J45" i="17"/>
  <c r="X19" i="15"/>
  <c r="X42" i="15"/>
  <c r="S42" i="15"/>
  <c r="S71" i="15"/>
  <c r="T21" i="15"/>
  <c r="N39" i="15"/>
  <c r="AC22" i="17"/>
  <c r="R37" i="17"/>
  <c r="AC37" i="17"/>
  <c r="Q30" i="17"/>
  <c r="F35" i="17"/>
  <c r="U64" i="17"/>
  <c r="AF25" i="17"/>
  <c r="AD44" i="27"/>
  <c r="AJ64" i="27"/>
  <c r="AJ50" i="27"/>
  <c r="AJ58" i="27"/>
  <c r="AJ72" i="27"/>
  <c r="AB2" i="17"/>
  <c r="Q38" i="17"/>
  <c r="AB38" i="17"/>
  <c r="BB17" i="28"/>
  <c r="AB17" i="28"/>
  <c r="AB29" i="28"/>
  <c r="BB29" i="28"/>
  <c r="AA10" i="28"/>
  <c r="AA46" i="28"/>
  <c r="AA27" i="28"/>
  <c r="BB68" i="28"/>
  <c r="AB19" i="28"/>
  <c r="AB42" i="28"/>
  <c r="BB19" i="28"/>
  <c r="BB42" i="28"/>
  <c r="AA12" i="28"/>
  <c r="BA16" i="28"/>
  <c r="AA16" i="28"/>
  <c r="W3" i="15"/>
  <c r="W32" i="15"/>
  <c r="R64" i="17"/>
  <c r="AC64" i="17"/>
  <c r="AC25" i="17"/>
  <c r="F40" i="17"/>
  <c r="Q4" i="17"/>
  <c r="U50" i="17"/>
  <c r="AF50" i="17"/>
  <c r="M35" i="17"/>
  <c r="X30" i="17"/>
  <c r="AJ50" i="17"/>
  <c r="AU50" i="17"/>
  <c r="AJ64" i="17"/>
  <c r="AU64" i="17"/>
  <c r="AU25" i="17"/>
  <c r="G47" i="17"/>
  <c r="G45" i="17"/>
  <c r="R6" i="17"/>
  <c r="J32" i="17"/>
  <c r="U3" i="17"/>
  <c r="AR3" i="17"/>
  <c r="R20" i="15"/>
  <c r="P70" i="15"/>
  <c r="R70" i="15"/>
  <c r="P56" i="15"/>
  <c r="R60" i="17"/>
  <c r="AC60" i="17"/>
  <c r="AC12" i="17"/>
  <c r="J58" i="17"/>
  <c r="U16" i="17"/>
  <c r="AL47" i="17"/>
  <c r="AW6" i="17"/>
  <c r="AW22" i="17"/>
  <c r="AL37" i="17"/>
  <c r="AW37" i="17"/>
  <c r="AN30" i="17"/>
  <c r="AO4" i="17"/>
  <c r="G40" i="17"/>
  <c r="R4" i="17"/>
  <c r="T30" i="17"/>
  <c r="AQ30" i="17"/>
  <c r="S15" i="17"/>
  <c r="AP15" i="17"/>
  <c r="Q43" i="17"/>
  <c r="AB43" i="17"/>
  <c r="AB28" i="17"/>
  <c r="AR25" i="17"/>
  <c r="G64" i="17"/>
  <c r="AP19" i="17"/>
  <c r="I32" i="17"/>
  <c r="AB27" i="17"/>
  <c r="Q58" i="15"/>
  <c r="AL61" i="17"/>
  <c r="AW61" i="17"/>
  <c r="AL58" i="17"/>
  <c r="AW58" i="17"/>
  <c r="F46" i="17"/>
  <c r="F45" i="17"/>
  <c r="G60" i="17"/>
  <c r="G41" i="17"/>
  <c r="AP4" i="17"/>
  <c r="AP12" i="17"/>
  <c r="AU22" i="17"/>
  <c r="M43" i="17"/>
  <c r="X43" i="17"/>
  <c r="R5" i="15"/>
  <c r="AL75" i="17"/>
  <c r="AW75" i="17"/>
  <c r="AA26" i="28"/>
  <c r="AA36" i="28"/>
  <c r="D57" i="15"/>
  <c r="AB21" i="28"/>
  <c r="BB21" i="28"/>
  <c r="BA17" i="28"/>
  <c r="AA17" i="28"/>
  <c r="M60" i="17"/>
  <c r="X60" i="17"/>
  <c r="P53" i="15"/>
  <c r="R53" i="15"/>
  <c r="T8" i="17"/>
  <c r="S10" i="17"/>
  <c r="Q67" i="15"/>
  <c r="R67" i="15"/>
  <c r="BA21" i="28"/>
  <c r="BB20" i="28"/>
  <c r="AB2" i="28"/>
  <c r="AB38" i="28"/>
  <c r="BB2" i="28"/>
  <c r="BB38" i="28"/>
  <c r="BA11" i="28"/>
  <c r="BA39" i="28"/>
  <c r="AA11" i="28"/>
  <c r="AA39" i="28"/>
  <c r="M74" i="17"/>
  <c r="X74" i="17"/>
  <c r="Q71" i="15"/>
  <c r="Q57" i="15"/>
  <c r="AW64" i="17"/>
  <c r="X10" i="17"/>
  <c r="AW25" i="17"/>
  <c r="AL50" i="17"/>
  <c r="AL42" i="17"/>
  <c r="AW42" i="17"/>
  <c r="AL40" i="17"/>
  <c r="AW40" i="17"/>
  <c r="AW4" i="17"/>
  <c r="AA22" i="28"/>
  <c r="AA37" i="28"/>
  <c r="BA22" i="28"/>
  <c r="BA37" i="28"/>
  <c r="AB22" i="28"/>
  <c r="AB37" i="28"/>
  <c r="BB73" i="27"/>
  <c r="BB59" i="27"/>
  <c r="AO57" i="27"/>
  <c r="AO71" i="27"/>
  <c r="AO66" i="27"/>
  <c r="AO52" i="27"/>
  <c r="AB7" i="28"/>
  <c r="AB5" i="28"/>
  <c r="BB30" i="28"/>
  <c r="BB35" i="28"/>
  <c r="AB26" i="28"/>
  <c r="AB36" i="28"/>
  <c r="BB12" i="28"/>
  <c r="AP74" i="27"/>
  <c r="BB10" i="28"/>
  <c r="BB46" i="28"/>
  <c r="AA8" i="28"/>
  <c r="AA41" i="28"/>
  <c r="BA13" i="28"/>
  <c r="BA33" i="28"/>
  <c r="AL72" i="27"/>
  <c r="AH73" i="27"/>
  <c r="AO75" i="27"/>
  <c r="AO61" i="27"/>
  <c r="BB65" i="27"/>
  <c r="BB51" i="27"/>
  <c r="AS72" i="27"/>
  <c r="AS58" i="27"/>
  <c r="AN45" i="27"/>
  <c r="AO45" i="27"/>
  <c r="AK67" i="27"/>
  <c r="AK53" i="27"/>
  <c r="AP76" i="27"/>
  <c r="AP62" i="27"/>
  <c r="AP45" i="27"/>
  <c r="AE4" i="27"/>
  <c r="AK60" i="27"/>
  <c r="BB75" i="27"/>
  <c r="BB61" i="27"/>
  <c r="AO52" i="17"/>
  <c r="AZ52" i="17"/>
  <c r="AO66" i="17"/>
  <c r="AZ66" i="17"/>
  <c r="AG76" i="27"/>
  <c r="AG62" i="27"/>
  <c r="AL73" i="27"/>
  <c r="AL59" i="27"/>
  <c r="AO73" i="27"/>
  <c r="AO59" i="27"/>
  <c r="AR73" i="27"/>
  <c r="AR59" i="27"/>
  <c r="AQ24" i="28"/>
  <c r="AQ24" i="27"/>
  <c r="AS74" i="27"/>
  <c r="AS60" i="27"/>
  <c r="AG69" i="27"/>
  <c r="AR23" i="27"/>
  <c r="AR49" i="27"/>
  <c r="AN23" i="27"/>
  <c r="AN49" i="27"/>
  <c r="AG15" i="27"/>
  <c r="AG44" i="27"/>
  <c r="AY73" i="27"/>
  <c r="AY59" i="27"/>
  <c r="AH72" i="27"/>
  <c r="AK50" i="27"/>
  <c r="AK76" i="27"/>
  <c r="AK62" i="27"/>
  <c r="AN64" i="27"/>
  <c r="AN50" i="27"/>
  <c r="AP69" i="28"/>
  <c r="AP55" i="28"/>
  <c r="AT76" i="27"/>
  <c r="AW4" i="27"/>
  <c r="AW40" i="27"/>
  <c r="AS3" i="27"/>
  <c r="AS32" i="27"/>
  <c r="AN69" i="28"/>
  <c r="AN55" i="28"/>
  <c r="O29" i="27"/>
  <c r="AA18" i="27"/>
  <c r="AA75" i="26"/>
  <c r="AA61" i="26"/>
  <c r="AF3" i="27"/>
  <c r="AF32" i="27"/>
  <c r="AS64" i="28"/>
  <c r="AS50" i="28"/>
  <c r="AG64" i="28"/>
  <c r="F5" i="27"/>
  <c r="N21" i="27"/>
  <c r="AI55" i="28"/>
  <c r="AB13" i="27"/>
  <c r="AB33" i="27"/>
  <c r="AX64" i="28"/>
  <c r="AX50" i="28"/>
  <c r="AL55" i="17"/>
  <c r="AW55" i="17"/>
  <c r="AL66" i="17"/>
  <c r="AW66" i="17"/>
  <c r="AI3" i="27"/>
  <c r="AI32" i="27"/>
  <c r="AI31" i="27"/>
  <c r="AJ66" i="17"/>
  <c r="AP9" i="28"/>
  <c r="AJ67" i="17"/>
  <c r="AU67" i="17"/>
  <c r="AJ53" i="17"/>
  <c r="AU53" i="17"/>
  <c r="AO65" i="17"/>
  <c r="AZ65" i="17"/>
  <c r="F46" i="19"/>
  <c r="F45" i="19"/>
  <c r="D45" i="19"/>
  <c r="F24" i="19"/>
  <c r="D55" i="19"/>
  <c r="F55" i="19"/>
  <c r="D69" i="19"/>
  <c r="F69" i="19"/>
  <c r="D74" i="19"/>
  <c r="F74" i="19"/>
  <c r="D60" i="19"/>
  <c r="F60" i="19"/>
  <c r="F12" i="19"/>
  <c r="AB52" i="26"/>
  <c r="AA58" i="26"/>
  <c r="F68" i="19"/>
  <c r="F63" i="19"/>
  <c r="Q24" i="28"/>
  <c r="E24" i="28"/>
  <c r="AL54" i="17"/>
  <c r="AW54" i="17"/>
  <c r="AV46" i="17"/>
  <c r="BL3" i="36"/>
  <c r="BJ3" i="36"/>
  <c r="BA3" i="36"/>
  <c r="BF3" i="36"/>
  <c r="BS3" i="36"/>
  <c r="BK3" i="36"/>
  <c r="BG3" i="36"/>
  <c r="BT3" i="36"/>
  <c r="BI3" i="36"/>
  <c r="L25" i="28"/>
  <c r="BH3" i="36"/>
  <c r="N25" i="28"/>
  <c r="BE3" i="36"/>
  <c r="X2" i="36"/>
  <c r="V2" i="36"/>
  <c r="S2" i="36"/>
  <c r="Q2" i="36"/>
  <c r="O2" i="36"/>
  <c r="M2" i="36"/>
  <c r="K2" i="36"/>
  <c r="G2" i="36"/>
  <c r="E2" i="36"/>
  <c r="AB2" i="36"/>
  <c r="BL2" i="36"/>
  <c r="BJ2" i="36"/>
  <c r="BH2" i="36"/>
  <c r="BF2" i="36"/>
  <c r="BD2" i="36"/>
  <c r="AX2" i="36"/>
  <c r="AV2" i="36"/>
  <c r="AT2" i="36"/>
  <c r="AO2" i="36"/>
  <c r="AM2" i="36"/>
  <c r="AK2" i="36"/>
  <c r="AI2" i="36"/>
  <c r="AG2" i="36"/>
  <c r="AE2" i="36"/>
  <c r="AC2" i="36"/>
  <c r="W2" i="36"/>
  <c r="U2" i="36"/>
  <c r="R2" i="36"/>
  <c r="N2" i="36"/>
  <c r="L2" i="36"/>
  <c r="J2" i="36"/>
  <c r="H2" i="36"/>
  <c r="F2" i="36"/>
  <c r="D2" i="36"/>
  <c r="AW2" i="36"/>
  <c r="AU2" i="36"/>
  <c r="AR2" i="36"/>
  <c r="AP2" i="36"/>
  <c r="AN2" i="36"/>
  <c r="AL2" i="36"/>
  <c r="AJ2" i="36"/>
  <c r="AH2" i="36"/>
  <c r="AF2" i="36"/>
  <c r="W71" i="15"/>
  <c r="AD30" i="17"/>
  <c r="BA13" i="17"/>
  <c r="T71" i="15"/>
  <c r="AD7" i="17"/>
  <c r="S73" i="17"/>
  <c r="AD73" i="17"/>
  <c r="T64" i="15"/>
  <c r="BB47" i="5"/>
  <c r="BC45" i="5"/>
  <c r="BB45" i="5"/>
  <c r="BC47" i="5"/>
  <c r="Q73" i="5"/>
  <c r="R73" i="5"/>
  <c r="Q69" i="5"/>
  <c r="R69" i="5"/>
  <c r="BB59" i="5"/>
  <c r="BC59" i="5"/>
  <c r="BB61" i="5"/>
  <c r="BC61" i="5"/>
  <c r="DP14" i="18"/>
  <c r="BB75" i="5"/>
  <c r="BC75" i="5"/>
  <c r="EU52" i="18"/>
  <c r="FG52" i="18"/>
  <c r="BC33" i="5"/>
  <c r="BB33" i="5"/>
  <c r="EU37" i="18"/>
  <c r="FG37" i="18"/>
  <c r="Q51" i="5"/>
  <c r="R51" i="5"/>
  <c r="Q62" i="5"/>
  <c r="R62" i="5"/>
  <c r="Q52" i="5"/>
  <c r="R52" i="5"/>
  <c r="EU57" i="18"/>
  <c r="FG57" i="18"/>
  <c r="FG65" i="18"/>
  <c r="EU65" i="18"/>
  <c r="EU55" i="18"/>
  <c r="FG55" i="18"/>
  <c r="R60" i="5"/>
  <c r="Q60" i="5"/>
  <c r="Q76" i="5"/>
  <c r="R76" i="5"/>
  <c r="BB69" i="5"/>
  <c r="BC69" i="5"/>
  <c r="BB50" i="5"/>
  <c r="BC50" i="5"/>
  <c r="CK36" i="18"/>
  <c r="CW36" i="18"/>
  <c r="Q74" i="5"/>
  <c r="R74" i="5"/>
  <c r="R58" i="5"/>
  <c r="Q58" i="5"/>
  <c r="R75" i="5"/>
  <c r="Q75" i="5"/>
  <c r="BB56" i="5"/>
  <c r="BC56" i="5"/>
  <c r="BC64" i="5"/>
  <c r="BB64" i="5"/>
  <c r="Q72" i="5"/>
  <c r="R72" i="5"/>
  <c r="BB70" i="5"/>
  <c r="BC70" i="5"/>
  <c r="BB67" i="5"/>
  <c r="BC67" i="5"/>
  <c r="BC49" i="5"/>
  <c r="BB49" i="5"/>
  <c r="Q68" i="5"/>
  <c r="R68" i="5"/>
  <c r="Q57" i="5"/>
  <c r="R57" i="5"/>
  <c r="BB54" i="5"/>
  <c r="BC54" i="5"/>
  <c r="BB65" i="5"/>
  <c r="BC65" i="5"/>
  <c r="DP22" i="18"/>
  <c r="EB22" i="18"/>
  <c r="DP8" i="18"/>
  <c r="Q53" i="5"/>
  <c r="R53" i="5"/>
  <c r="R48" i="5"/>
  <c r="Q48" i="5"/>
  <c r="Q71" i="5"/>
  <c r="R71" i="5"/>
  <c r="BC68" i="5"/>
  <c r="BB68" i="5"/>
  <c r="BB35" i="5"/>
  <c r="BC35" i="5"/>
  <c r="Q67" i="5"/>
  <c r="R67" i="5"/>
  <c r="Q64" i="5"/>
  <c r="Q63" i="5"/>
  <c r="R64" i="5"/>
  <c r="R63" i="5"/>
  <c r="Q56" i="5"/>
  <c r="R56" i="5"/>
  <c r="BB58" i="5"/>
  <c r="BC58" i="5"/>
  <c r="BB52" i="5"/>
  <c r="BC52" i="5"/>
  <c r="EU61" i="18"/>
  <c r="FG61" i="18"/>
  <c r="Q70" i="5"/>
  <c r="R70" i="5"/>
  <c r="BC72" i="5"/>
  <c r="BB72" i="5"/>
  <c r="AD70" i="27"/>
  <c r="V50" i="28"/>
  <c r="V64" i="28"/>
  <c r="CW56" i="18"/>
  <c r="AX7" i="28"/>
  <c r="T7" i="28"/>
  <c r="D36" i="27"/>
  <c r="BV66" i="18"/>
  <c r="CK66" i="18"/>
  <c r="EF62" i="18"/>
  <c r="W50" i="28"/>
  <c r="W64" i="28"/>
  <c r="AC18" i="27"/>
  <c r="AD38" i="27"/>
  <c r="AX74" i="5"/>
  <c r="G38" i="5"/>
  <c r="I38" i="5"/>
  <c r="I2" i="5"/>
  <c r="G44" i="5"/>
  <c r="I44" i="5"/>
  <c r="I15" i="5"/>
  <c r="Y70" i="28"/>
  <c r="Y56" i="28"/>
  <c r="AD64" i="28"/>
  <c r="D32" i="27"/>
  <c r="EF74" i="18"/>
  <c r="EF67" i="18"/>
  <c r="EU67" i="18"/>
  <c r="Q55" i="5"/>
  <c r="R55" i="5"/>
  <c r="BF3" i="18"/>
  <c r="BR3" i="18"/>
  <c r="M35" i="5"/>
  <c r="AD40" i="27"/>
  <c r="AD58" i="27"/>
  <c r="D52" i="27"/>
  <c r="BV34" i="18"/>
  <c r="Y50" i="28"/>
  <c r="Y64" i="28"/>
  <c r="Y55" i="28"/>
  <c r="Y69" i="28"/>
  <c r="W70" i="28"/>
  <c r="W56" i="28"/>
  <c r="W62" i="28"/>
  <c r="W76" i="28"/>
  <c r="AT70" i="27"/>
  <c r="Y28" i="28"/>
  <c r="Y43" i="28"/>
  <c r="D38" i="27"/>
  <c r="BR30" i="18"/>
  <c r="AD41" i="27"/>
  <c r="EF60" i="18"/>
  <c r="Q63" i="31"/>
  <c r="EF76" i="18"/>
  <c r="BV69" i="18"/>
  <c r="AD32" i="27"/>
  <c r="Z50" i="28"/>
  <c r="Z64" i="28"/>
  <c r="BV67" i="18"/>
  <c r="AX76" i="5"/>
  <c r="X50" i="28"/>
  <c r="X64" i="28"/>
  <c r="V55" i="28"/>
  <c r="V69" i="28"/>
  <c r="EF17" i="18"/>
  <c r="BV71" i="18"/>
  <c r="BC37" i="5"/>
  <c r="W55" i="28"/>
  <c r="W69" i="28"/>
  <c r="AD73" i="27"/>
  <c r="EF71" i="18"/>
  <c r="EU71" i="18"/>
  <c r="BV60" i="18"/>
  <c r="D31" i="30"/>
  <c r="Q44" i="5"/>
  <c r="R44" i="5"/>
  <c r="BC34" i="5"/>
  <c r="BB34" i="5"/>
  <c r="D39" i="27"/>
  <c r="FG40" i="18"/>
  <c r="CW62" i="18"/>
  <c r="EF49" i="18"/>
  <c r="X62" i="28"/>
  <c r="X76" i="28"/>
  <c r="X55" i="28"/>
  <c r="X69" i="28"/>
  <c r="D44" i="27"/>
  <c r="Z55" i="28"/>
  <c r="Z69" i="28"/>
  <c r="AD39" i="27"/>
  <c r="D42" i="27"/>
  <c r="AX73" i="5"/>
  <c r="BB73" i="5"/>
  <c r="EF33" i="18"/>
  <c r="Q63" i="32"/>
  <c r="R48" i="32"/>
  <c r="R57" i="32"/>
  <c r="AG63" i="18"/>
  <c r="FJ48" i="18"/>
  <c r="EB20" i="18"/>
  <c r="CH48" i="18"/>
  <c r="EV48" i="18"/>
  <c r="EV63" i="18"/>
  <c r="CW53" i="18"/>
  <c r="EB12" i="18"/>
  <c r="EB14" i="18"/>
  <c r="ET63" i="18"/>
  <c r="FG64" i="18"/>
  <c r="BR21" i="18"/>
  <c r="FG73" i="18"/>
  <c r="DZ16" i="18"/>
  <c r="EB16" i="18"/>
  <c r="CK44" i="18"/>
  <c r="ET48" i="18"/>
  <c r="BF27" i="18"/>
  <c r="BR27" i="18"/>
  <c r="CW57" i="18"/>
  <c r="CW73" i="18"/>
  <c r="EB5" i="18"/>
  <c r="CW58" i="18"/>
  <c r="CK65" i="18"/>
  <c r="BB55" i="5"/>
  <c r="DP10" i="18"/>
  <c r="EB10" i="18"/>
  <c r="BE48" i="31"/>
  <c r="BC73" i="5"/>
  <c r="AX71" i="5"/>
  <c r="BC63" i="5"/>
  <c r="EF53" i="18"/>
  <c r="EU53" i="18"/>
  <c r="E48" i="31"/>
  <c r="DP9" i="18"/>
  <c r="FG32" i="18"/>
  <c r="CW61" i="18"/>
  <c r="R61" i="5"/>
  <c r="Q66" i="5"/>
  <c r="R59" i="5"/>
  <c r="CW66" i="18"/>
  <c r="I8" i="5"/>
  <c r="BS63" i="30"/>
  <c r="Y48" i="30"/>
  <c r="Q50" i="5"/>
  <c r="R50" i="5"/>
  <c r="CK55" i="18"/>
  <c r="CW55" i="18"/>
  <c r="Q31" i="5"/>
  <c r="CK31" i="18"/>
  <c r="CK52" i="18"/>
  <c r="CW52" i="18"/>
  <c r="G46" i="5"/>
  <c r="I10" i="5"/>
  <c r="BV75" i="18"/>
  <c r="G42" i="5"/>
  <c r="I42" i="5"/>
  <c r="I19" i="5"/>
  <c r="G39" i="5"/>
  <c r="I39" i="5"/>
  <c r="I11" i="5"/>
  <c r="G70" i="5"/>
  <c r="I70" i="5"/>
  <c r="I20" i="5"/>
  <c r="CR63" i="30"/>
  <c r="R41" i="5"/>
  <c r="R47" i="5"/>
  <c r="G31" i="5"/>
  <c r="R45" i="5"/>
  <c r="R31" i="5"/>
  <c r="CW35" i="18"/>
  <c r="Q45" i="5"/>
  <c r="Q42" i="5"/>
  <c r="CW37" i="18"/>
  <c r="R42" i="5"/>
  <c r="G63" i="5"/>
  <c r="AB45" i="18"/>
  <c r="H53" i="5"/>
  <c r="H67" i="5"/>
  <c r="Q50" i="32"/>
  <c r="R50" i="32"/>
  <c r="AB31" i="18"/>
  <c r="Q58" i="32"/>
  <c r="R58" i="32"/>
  <c r="G34" i="32"/>
  <c r="I34" i="32"/>
  <c r="I14" i="32"/>
  <c r="Q35" i="32"/>
  <c r="R35" i="32"/>
  <c r="I60" i="32"/>
  <c r="Q56" i="32"/>
  <c r="R56" i="32"/>
  <c r="G35" i="32"/>
  <c r="I35" i="32"/>
  <c r="I30" i="32"/>
  <c r="G42" i="32"/>
  <c r="I42" i="32"/>
  <c r="I19" i="32"/>
  <c r="Q75" i="32"/>
  <c r="R75" i="32"/>
  <c r="Q51" i="32"/>
  <c r="R51" i="32"/>
  <c r="G49" i="32"/>
  <c r="I49" i="32"/>
  <c r="I23" i="32"/>
  <c r="Q69" i="32"/>
  <c r="R69" i="32"/>
  <c r="EU41" i="18"/>
  <c r="EF11" i="18"/>
  <c r="EF15" i="18"/>
  <c r="EF26" i="18"/>
  <c r="EF28" i="18"/>
  <c r="N55" i="32"/>
  <c r="R55" i="32"/>
  <c r="AG48" i="18"/>
  <c r="FE72" i="18"/>
  <c r="FG72" i="18"/>
  <c r="CK47" i="18"/>
  <c r="CW47" i="18"/>
  <c r="M31" i="18"/>
  <c r="Q67" i="32"/>
  <c r="R63" i="32"/>
  <c r="CK42" i="18"/>
  <c r="CW42" i="18"/>
  <c r="BC51" i="5"/>
  <c r="BB51" i="5"/>
  <c r="R54" i="32"/>
  <c r="Q54" i="32"/>
  <c r="Q48" i="32"/>
  <c r="FE66" i="18"/>
  <c r="FG66" i="18"/>
  <c r="FE50" i="18"/>
  <c r="FG50" i="18"/>
  <c r="DZ3" i="18"/>
  <c r="EB3" i="18"/>
  <c r="Q68" i="32"/>
  <c r="R68" i="32"/>
  <c r="AZ47" i="32"/>
  <c r="R38" i="5"/>
  <c r="Q38" i="5"/>
  <c r="R36" i="5"/>
  <c r="Q36" i="5"/>
  <c r="ET68" i="18"/>
  <c r="FG68" i="18"/>
  <c r="BB66" i="5"/>
  <c r="BC66" i="5"/>
  <c r="G36" i="32"/>
  <c r="I36" i="32"/>
  <c r="I26" i="32"/>
  <c r="R39" i="5"/>
  <c r="Q39" i="5"/>
  <c r="G57" i="32"/>
  <c r="I57" i="32"/>
  <c r="G71" i="32"/>
  <c r="I71" i="32"/>
  <c r="I29" i="32"/>
  <c r="Q73" i="32"/>
  <c r="R73" i="32"/>
  <c r="G50" i="32"/>
  <c r="I50" i="32"/>
  <c r="I25" i="32"/>
  <c r="G64" i="32"/>
  <c r="ET70" i="18"/>
  <c r="FG70" i="18"/>
  <c r="CK43" i="18"/>
  <c r="CW43" i="18"/>
  <c r="CW31" i="18"/>
  <c r="N54" i="5"/>
  <c r="R54" i="5"/>
  <c r="BK76" i="37"/>
  <c r="BN76" i="37"/>
  <c r="CK39" i="18"/>
  <c r="CW39" i="18"/>
  <c r="R40" i="5"/>
  <c r="Q40" i="5"/>
  <c r="AJ31" i="17"/>
  <c r="BI74" i="17"/>
  <c r="BI11" i="17"/>
  <c r="BI29" i="17"/>
  <c r="O73" i="17"/>
  <c r="Z73" i="17"/>
  <c r="U39" i="17"/>
  <c r="AF39" i="17"/>
  <c r="AD19" i="17"/>
  <c r="M65" i="17"/>
  <c r="X65" i="17"/>
  <c r="AJ45" i="17"/>
  <c r="AD13" i="17"/>
  <c r="M40" i="17"/>
  <c r="X40" i="17"/>
  <c r="Z26" i="17"/>
  <c r="BH76" i="17"/>
  <c r="AD22" i="17"/>
  <c r="X29" i="17"/>
  <c r="M49" i="17"/>
  <c r="X49" i="17"/>
  <c r="Z19" i="17"/>
  <c r="R76" i="17"/>
  <c r="AC76" i="17"/>
  <c r="R62" i="17"/>
  <c r="AC62" i="17"/>
  <c r="Z7" i="17"/>
  <c r="O47" i="17"/>
  <c r="Z47" i="17"/>
  <c r="M57" i="17"/>
  <c r="X57" i="17"/>
  <c r="BH39" i="17"/>
  <c r="AC20" i="17"/>
  <c r="R56" i="17"/>
  <c r="AC56" i="17"/>
  <c r="T32" i="17"/>
  <c r="AE32" i="17"/>
  <c r="AB12" i="17"/>
  <c r="BG59" i="17"/>
  <c r="U38" i="17"/>
  <c r="AF38" i="17"/>
  <c r="BD30" i="17"/>
  <c r="M62" i="17"/>
  <c r="X62" i="17"/>
  <c r="X27" i="17"/>
  <c r="Q74" i="17"/>
  <c r="AB74" i="17"/>
  <c r="N62" i="17"/>
  <c r="Y62" i="17"/>
  <c r="V58" i="17"/>
  <c r="AG58" i="17"/>
  <c r="AG16" i="17"/>
  <c r="N44" i="17"/>
  <c r="Y44" i="17"/>
  <c r="AF23" i="17"/>
  <c r="AB14" i="17"/>
  <c r="N76" i="17"/>
  <c r="Y76" i="17"/>
  <c r="BI7" i="17"/>
  <c r="AF45" i="27"/>
  <c r="AP61" i="27"/>
  <c r="AT58" i="27"/>
  <c r="AA50" i="27"/>
  <c r="AR72" i="27"/>
  <c r="AJ76" i="27"/>
  <c r="AP63" i="27"/>
  <c r="Q5" i="28"/>
  <c r="AW18" i="28"/>
  <c r="AE18" i="28"/>
  <c r="AT18" i="28"/>
  <c r="AS12" i="28"/>
  <c r="Q27" i="28"/>
  <c r="AX10" i="28"/>
  <c r="AX46" i="28"/>
  <c r="X7" i="28"/>
  <c r="AQ15" i="28"/>
  <c r="AQ44" i="28"/>
  <c r="P7" i="28"/>
  <c r="AO16" i="28"/>
  <c r="AO58" i="28"/>
  <c r="R33" i="5"/>
  <c r="Q33" i="5"/>
  <c r="AK63" i="27"/>
  <c r="CK38" i="18"/>
  <c r="CW38" i="18"/>
  <c r="I28" i="20"/>
  <c r="G69" i="5"/>
  <c r="I69" i="5"/>
  <c r="I63" i="5"/>
  <c r="I24" i="5"/>
  <c r="FG38" i="18"/>
  <c r="EU38" i="18"/>
  <c r="R32" i="5"/>
  <c r="Q32" i="5"/>
  <c r="BR9" i="18"/>
  <c r="AS27" i="28"/>
  <c r="AA28" i="28"/>
  <c r="AA43" i="28"/>
  <c r="EU42" i="18"/>
  <c r="FG42" i="18"/>
  <c r="EU49" i="18"/>
  <c r="FG49" i="18"/>
  <c r="AD59" i="27"/>
  <c r="BR13" i="18"/>
  <c r="E59" i="27"/>
  <c r="CK46" i="18"/>
  <c r="CW46" i="18"/>
  <c r="CW45" i="18"/>
  <c r="CK45" i="18"/>
  <c r="CK32" i="18"/>
  <c r="CW32" i="18"/>
  <c r="CK33" i="18"/>
  <c r="CW33" i="18"/>
  <c r="CK34" i="18"/>
  <c r="CW34" i="18"/>
  <c r="AB14" i="28"/>
  <c r="AB34" i="28"/>
  <c r="F4" i="28"/>
  <c r="F40" i="28"/>
  <c r="T29" i="28"/>
  <c r="AS7" i="28"/>
  <c r="AS73" i="28"/>
  <c r="AM21" i="28"/>
  <c r="AE29" i="28"/>
  <c r="H27" i="28"/>
  <c r="AZ17" i="28"/>
  <c r="I18" i="32"/>
  <c r="G61" i="32"/>
  <c r="I61" i="32"/>
  <c r="G75" i="32"/>
  <c r="I75" i="32"/>
  <c r="G76" i="32"/>
  <c r="I76" i="32"/>
  <c r="G62" i="32"/>
  <c r="I27" i="32"/>
  <c r="G41" i="32"/>
  <c r="I41" i="32"/>
  <c r="I8" i="32"/>
  <c r="G56" i="32"/>
  <c r="I56" i="32"/>
  <c r="G70" i="32"/>
  <c r="I70" i="32"/>
  <c r="G44" i="32"/>
  <c r="I44" i="32"/>
  <c r="I15" i="32"/>
  <c r="F63" i="32"/>
  <c r="AJ31" i="32"/>
  <c r="AJ56" i="32"/>
  <c r="AJ70" i="32"/>
  <c r="G40" i="32"/>
  <c r="I40" i="32"/>
  <c r="I4" i="32"/>
  <c r="AR63" i="32"/>
  <c r="I2" i="32"/>
  <c r="G38" i="32"/>
  <c r="I38" i="32"/>
  <c r="AZ66" i="32"/>
  <c r="BB66" i="32"/>
  <c r="BC66" i="32"/>
  <c r="AJ58" i="32"/>
  <c r="AJ72" i="32"/>
  <c r="AR48" i="32"/>
  <c r="G3" i="32"/>
  <c r="I62" i="32"/>
  <c r="G39" i="32"/>
  <c r="I39" i="32"/>
  <c r="I11" i="32"/>
  <c r="H63" i="32"/>
  <c r="AH48" i="32"/>
  <c r="BD48" i="32"/>
  <c r="H48" i="32"/>
  <c r="G47" i="32"/>
  <c r="I47" i="32"/>
  <c r="I6" i="32"/>
  <c r="AZ60" i="5"/>
  <c r="EB13" i="18"/>
  <c r="AZ61" i="5"/>
  <c r="BC43" i="5"/>
  <c r="BB43" i="5"/>
  <c r="EU34" i="18"/>
  <c r="FG34" i="18"/>
  <c r="AP31" i="37"/>
  <c r="AZ75" i="5"/>
  <c r="DZ17" i="18"/>
  <c r="EB17" i="18"/>
  <c r="M45" i="18"/>
  <c r="DP26" i="18"/>
  <c r="EB26" i="18"/>
  <c r="AZ56" i="5"/>
  <c r="EU45" i="18"/>
  <c r="EU47" i="18"/>
  <c r="FG45" i="18"/>
  <c r="FG47" i="18"/>
  <c r="EB7" i="18"/>
  <c r="AZ70" i="5"/>
  <c r="AZ65" i="5"/>
  <c r="DZ18" i="18"/>
  <c r="EB18" i="18"/>
  <c r="AZ55" i="5"/>
  <c r="R25" i="15"/>
  <c r="D72" i="15"/>
  <c r="G72" i="15"/>
  <c r="AV70" i="17"/>
  <c r="M37" i="17"/>
  <c r="X37" i="17"/>
  <c r="AI12" i="28"/>
  <c r="AF31" i="27"/>
  <c r="AO69" i="28"/>
  <c r="M68" i="17"/>
  <c r="AB41" i="26"/>
  <c r="T9" i="28"/>
  <c r="T68" i="28"/>
  <c r="R50" i="15"/>
  <c r="BI15" i="17"/>
  <c r="Q23" i="28"/>
  <c r="Q49" i="28"/>
  <c r="AV51" i="17"/>
  <c r="AB10" i="27"/>
  <c r="AB46" i="27"/>
  <c r="AB45" i="27"/>
  <c r="AD3" i="28"/>
  <c r="M54" i="17"/>
  <c r="AR6" i="28"/>
  <c r="AR47" i="28"/>
  <c r="O10" i="15"/>
  <c r="O18" i="15"/>
  <c r="AA4" i="28"/>
  <c r="AA40" i="28"/>
  <c r="O39" i="15"/>
  <c r="AB74" i="27"/>
  <c r="AA65" i="26"/>
  <c r="BI14" i="17"/>
  <c r="AV69" i="17"/>
  <c r="N75" i="15"/>
  <c r="AA40" i="26"/>
  <c r="AI64" i="27"/>
  <c r="X17" i="17"/>
  <c r="AB2" i="27"/>
  <c r="AB38" i="27"/>
  <c r="T3" i="28"/>
  <c r="T32" i="28"/>
  <c r="AB73" i="27"/>
  <c r="G43" i="15"/>
  <c r="AV76" i="17"/>
  <c r="Q7" i="28"/>
  <c r="BA23" i="27"/>
  <c r="BA49" i="27"/>
  <c r="I52" i="15"/>
  <c r="M9" i="28"/>
  <c r="AJ23" i="28"/>
  <c r="AJ49" i="28"/>
  <c r="H56" i="15"/>
  <c r="G35" i="15"/>
  <c r="W29" i="28"/>
  <c r="M55" i="17"/>
  <c r="X55" i="17"/>
  <c r="AY19" i="28"/>
  <c r="AY42" i="28"/>
  <c r="AK48" i="27"/>
  <c r="AS18" i="28"/>
  <c r="AV57" i="17"/>
  <c r="Y5" i="28"/>
  <c r="W30" i="27"/>
  <c r="W35" i="27"/>
  <c r="BH66" i="17"/>
  <c r="E29" i="28"/>
  <c r="AZ31" i="27"/>
  <c r="AV54" i="17"/>
  <c r="R71" i="15"/>
  <c r="M69" i="17"/>
  <c r="X69" i="17"/>
  <c r="AZ64" i="28"/>
  <c r="M52" i="17"/>
  <c r="X52" i="17"/>
  <c r="M13" i="28"/>
  <c r="M33" i="28"/>
  <c r="AV53" i="17"/>
  <c r="AV67" i="17"/>
  <c r="X3" i="17"/>
  <c r="BI17" i="17"/>
  <c r="AV25" i="17"/>
  <c r="V55" i="15"/>
  <c r="AA55" i="26"/>
  <c r="AA51" i="26"/>
  <c r="AA48" i="26"/>
  <c r="BA28" i="28"/>
  <c r="BA43" i="28"/>
  <c r="AV41" i="17"/>
  <c r="AV52" i="17"/>
  <c r="AI5" i="27"/>
  <c r="O34" i="15"/>
  <c r="G36" i="15"/>
  <c r="AE17" i="28"/>
  <c r="K51" i="15"/>
  <c r="AB44" i="26"/>
  <c r="AC41" i="26"/>
  <c r="I55" i="15"/>
  <c r="G34" i="15"/>
  <c r="AV61" i="17"/>
  <c r="Z23" i="17"/>
  <c r="AE8" i="27"/>
  <c r="AM8" i="27"/>
  <c r="AW8" i="27"/>
  <c r="AC8" i="27"/>
  <c r="G16" i="15"/>
  <c r="AY6" i="28"/>
  <c r="AY47" i="28"/>
  <c r="AV59" i="17"/>
  <c r="AR41" i="17"/>
  <c r="BC41" i="17"/>
  <c r="AS33" i="17"/>
  <c r="BD33" i="17"/>
  <c r="AG4" i="17"/>
  <c r="Q49" i="17"/>
  <c r="AB49" i="17"/>
  <c r="AQ62" i="17"/>
  <c r="BB62" i="17"/>
  <c r="AQ76" i="17"/>
  <c r="BB76" i="17"/>
  <c r="P69" i="15"/>
  <c r="R69" i="15"/>
  <c r="O46" i="15"/>
  <c r="O45" i="15"/>
  <c r="AW7" i="28"/>
  <c r="AW59" i="28"/>
  <c r="BA73" i="26"/>
  <c r="R30" i="15"/>
  <c r="AT3" i="28"/>
  <c r="AT32" i="28"/>
  <c r="X9" i="15"/>
  <c r="W9" i="15"/>
  <c r="X16" i="17"/>
  <c r="J31" i="15"/>
  <c r="AA24" i="27"/>
  <c r="BA7" i="28"/>
  <c r="R51" i="17"/>
  <c r="AC51" i="17"/>
  <c r="L56" i="15"/>
  <c r="G26" i="15"/>
  <c r="BB55" i="28"/>
  <c r="AG20" i="28"/>
  <c r="I62" i="15"/>
  <c r="S63" i="15"/>
  <c r="AB69" i="26"/>
  <c r="U76" i="15"/>
  <c r="AD29" i="28"/>
  <c r="L9" i="28"/>
  <c r="L54" i="28"/>
  <c r="Y16" i="28"/>
  <c r="L23" i="28"/>
  <c r="L49" i="28"/>
  <c r="AB24" i="28"/>
  <c r="AB69" i="28"/>
  <c r="AB11" i="28"/>
  <c r="AB39" i="28"/>
  <c r="T59" i="17"/>
  <c r="AE59" i="17"/>
  <c r="T54" i="15"/>
  <c r="V31" i="4"/>
  <c r="T74" i="15"/>
  <c r="AC19" i="17"/>
  <c r="T73" i="17"/>
  <c r="O8" i="15"/>
  <c r="R24" i="15"/>
  <c r="AB24" i="27"/>
  <c r="U31" i="4"/>
  <c r="L22" i="28"/>
  <c r="L37" i="28"/>
  <c r="BA8" i="28"/>
  <c r="BA41" i="28"/>
  <c r="R75" i="15"/>
  <c r="BG45" i="17"/>
  <c r="BC15" i="17"/>
  <c r="AG21" i="27"/>
  <c r="M36" i="17"/>
  <c r="X36" i="17"/>
  <c r="S9" i="28"/>
  <c r="BB14" i="28"/>
  <c r="BB34" i="28"/>
  <c r="M73" i="17"/>
  <c r="X73" i="17"/>
  <c r="AJ48" i="17"/>
  <c r="J23" i="28"/>
  <c r="J49" i="28"/>
  <c r="Q75" i="17"/>
  <c r="AB75" i="17"/>
  <c r="AA21" i="27"/>
  <c r="E17" i="28"/>
  <c r="F17" i="28"/>
  <c r="G17" i="28"/>
  <c r="H17" i="28"/>
  <c r="I17" i="28"/>
  <c r="J17" i="28"/>
  <c r="K17" i="28"/>
  <c r="L17" i="28"/>
  <c r="M17" i="28"/>
  <c r="N17" i="28"/>
  <c r="O17" i="28"/>
  <c r="P17" i="28"/>
  <c r="Q17" i="28"/>
  <c r="R17" i="28"/>
  <c r="S17" i="28"/>
  <c r="T17" i="28"/>
  <c r="V17" i="28"/>
  <c r="W17" i="28"/>
  <c r="X17" i="28"/>
  <c r="Y17" i="28"/>
  <c r="Z17" i="28"/>
  <c r="C17" i="28"/>
  <c r="X3" i="28"/>
  <c r="X32" i="28"/>
  <c r="T27" i="28"/>
  <c r="O28" i="28"/>
  <c r="O43" i="28"/>
  <c r="H13" i="28"/>
  <c r="H33" i="28"/>
  <c r="AN58" i="17"/>
  <c r="AY58" i="17"/>
  <c r="O7" i="15"/>
  <c r="X3" i="27"/>
  <c r="X32" i="27"/>
  <c r="U9" i="15"/>
  <c r="O29" i="28"/>
  <c r="AC21" i="17"/>
  <c r="AL50" i="27"/>
  <c r="AB11" i="27"/>
  <c r="AB39" i="27"/>
  <c r="AA24" i="28"/>
  <c r="AG9" i="27"/>
  <c r="E7" i="17"/>
  <c r="AG5" i="27"/>
  <c r="AJ13" i="28"/>
  <c r="AJ33" i="28"/>
  <c r="R8" i="15"/>
  <c r="D61" i="15"/>
  <c r="I28" i="28"/>
  <c r="I43" i="28"/>
  <c r="BC6" i="17"/>
  <c r="Q33" i="17"/>
  <c r="AB33" i="17"/>
  <c r="V45" i="17"/>
  <c r="O68" i="15"/>
  <c r="Y9" i="28"/>
  <c r="AB18" i="17"/>
  <c r="Z7" i="28"/>
  <c r="AY9" i="28"/>
  <c r="AY68" i="28"/>
  <c r="S54" i="15"/>
  <c r="S48" i="15"/>
  <c r="Q61" i="15"/>
  <c r="H76" i="15"/>
  <c r="AB19" i="17"/>
  <c r="AK12" i="28"/>
  <c r="AI15" i="28"/>
  <c r="AI44" i="28"/>
  <c r="AS11" i="28"/>
  <c r="AS39" i="28"/>
  <c r="AS13" i="28"/>
  <c r="AS33" i="28"/>
  <c r="G3" i="15"/>
  <c r="AO29" i="28"/>
  <c r="AO57" i="28"/>
  <c r="X11" i="17"/>
  <c r="BG68" i="17"/>
  <c r="BI68" i="17"/>
  <c r="AF64" i="28"/>
  <c r="J65" i="15"/>
  <c r="BI53" i="17"/>
  <c r="BH45" i="17"/>
  <c r="G3" i="28"/>
  <c r="G32" i="28"/>
  <c r="U41" i="17"/>
  <c r="AF41" i="17"/>
  <c r="N51" i="17"/>
  <c r="Y51" i="17"/>
  <c r="AM22" i="28"/>
  <c r="AM37" i="28"/>
  <c r="M64" i="17"/>
  <c r="X64" i="17"/>
  <c r="I2" i="27"/>
  <c r="I38" i="27"/>
  <c r="AB8" i="28"/>
  <c r="AB41" i="28"/>
  <c r="G32" i="15"/>
  <c r="V60" i="15"/>
  <c r="V74" i="15"/>
  <c r="T52" i="15"/>
  <c r="AJ27" i="28"/>
  <c r="AP3" i="28"/>
  <c r="AP32" i="28"/>
  <c r="BA24" i="28"/>
  <c r="AP31" i="27"/>
  <c r="P52" i="15"/>
  <c r="P61" i="15"/>
  <c r="P48" i="15"/>
  <c r="AX27" i="28"/>
  <c r="AX62" i="28"/>
  <c r="N7" i="28"/>
  <c r="AG5" i="28"/>
  <c r="R12" i="28"/>
  <c r="AT17" i="28"/>
  <c r="I22" i="28"/>
  <c r="I37" i="28"/>
  <c r="AZ29" i="28"/>
  <c r="AZ57" i="28"/>
  <c r="L31" i="15"/>
  <c r="R40" i="15"/>
  <c r="AT15" i="28"/>
  <c r="AT44" i="28"/>
  <c r="BA55" i="26"/>
  <c r="R61" i="15"/>
  <c r="U68" i="17"/>
  <c r="AF68" i="17"/>
  <c r="W72" i="15"/>
  <c r="E55" i="15"/>
  <c r="M51" i="17"/>
  <c r="X51" i="17"/>
  <c r="P72" i="15"/>
  <c r="Y22" i="27"/>
  <c r="Y37" i="27"/>
  <c r="AZ24" i="27"/>
  <c r="R58" i="15"/>
  <c r="AY50" i="28"/>
  <c r="AJ70" i="27"/>
  <c r="Z6" i="28"/>
  <c r="Z47" i="28"/>
  <c r="AW8" i="28"/>
  <c r="AW41" i="28"/>
  <c r="R56" i="15"/>
  <c r="G21" i="15"/>
  <c r="AO22" i="28"/>
  <c r="AO37" i="28"/>
  <c r="AZ8" i="28"/>
  <c r="AZ41" i="28"/>
  <c r="AL31" i="27"/>
  <c r="AM23" i="28"/>
  <c r="AM49" i="28"/>
  <c r="R18" i="15"/>
  <c r="G40" i="15"/>
  <c r="AN72" i="17"/>
  <c r="AY72" i="17"/>
  <c r="R16" i="28"/>
  <c r="AX5" i="28"/>
  <c r="BD16" i="17"/>
  <c r="AR29" i="28"/>
  <c r="AH31" i="27"/>
  <c r="AO31" i="27"/>
  <c r="I63" i="15"/>
  <c r="AZ21" i="27"/>
  <c r="BA27" i="28"/>
  <c r="BA62" i="28"/>
  <c r="AD12" i="28"/>
  <c r="N5" i="28"/>
  <c r="AF14" i="28"/>
  <c r="AF34" i="28"/>
  <c r="BI3" i="17"/>
  <c r="U54" i="17"/>
  <c r="AF54" i="17"/>
  <c r="Y14" i="28"/>
  <c r="Y34" i="28"/>
  <c r="BI5" i="17"/>
  <c r="AG13" i="28"/>
  <c r="AG33" i="28"/>
  <c r="Q73" i="15"/>
  <c r="L28" i="28"/>
  <c r="L43" i="28"/>
  <c r="E5" i="28"/>
  <c r="E53" i="28"/>
  <c r="AN9" i="27"/>
  <c r="N69" i="27"/>
  <c r="F31" i="15"/>
  <c r="I13" i="28"/>
  <c r="I33" i="28"/>
  <c r="AD5" i="28"/>
  <c r="R36" i="17"/>
  <c r="AC36" i="17"/>
  <c r="AF4" i="17"/>
  <c r="G33" i="15"/>
  <c r="O27" i="15"/>
  <c r="O27" i="27"/>
  <c r="O76" i="27"/>
  <c r="E13" i="17"/>
  <c r="E33" i="17"/>
  <c r="BA15" i="28"/>
  <c r="BA44" i="28"/>
  <c r="AG12" i="28"/>
  <c r="BA10" i="28"/>
  <c r="BA46" i="28"/>
  <c r="AV13" i="28"/>
  <c r="AV33" i="28"/>
  <c r="V9" i="28"/>
  <c r="W59" i="15"/>
  <c r="R65" i="15"/>
  <c r="AH7" i="28"/>
  <c r="AW28" i="28"/>
  <c r="AW43" i="28"/>
  <c r="AL53" i="17"/>
  <c r="AW53" i="17"/>
  <c r="BA18" i="28"/>
  <c r="BA75" i="28"/>
  <c r="AB13" i="28"/>
  <c r="AB33" i="28"/>
  <c r="AA14" i="28"/>
  <c r="AA34" i="28"/>
  <c r="AA30" i="27"/>
  <c r="AA35" i="27"/>
  <c r="AZ29" i="27"/>
  <c r="AZ5" i="27"/>
  <c r="AD72" i="27"/>
  <c r="J28" i="28"/>
  <c r="J43" i="28"/>
  <c r="AG7" i="28"/>
  <c r="AG59" i="28"/>
  <c r="BB31" i="27"/>
  <c r="G14" i="15"/>
  <c r="AL27" i="28"/>
  <c r="AL67" i="17"/>
  <c r="AW67" i="17"/>
  <c r="M50" i="17"/>
  <c r="X50" i="17"/>
  <c r="AZ16" i="17"/>
  <c r="AA71" i="28"/>
  <c r="AQ29" i="28"/>
  <c r="AQ71" i="28"/>
  <c r="Y14" i="17"/>
  <c r="V61" i="15"/>
  <c r="V48" i="15"/>
  <c r="K72" i="15"/>
  <c r="K58" i="15"/>
  <c r="AZ9" i="27"/>
  <c r="R7" i="15"/>
  <c r="D51" i="15"/>
  <c r="O40" i="15"/>
  <c r="I31" i="15"/>
  <c r="D63" i="19"/>
  <c r="AG31" i="27"/>
  <c r="W65" i="15"/>
  <c r="AP11" i="28"/>
  <c r="AP39" i="28"/>
  <c r="BB63" i="26"/>
  <c r="Z29" i="28"/>
  <c r="AM7" i="28"/>
  <c r="AC2" i="17"/>
  <c r="D54" i="15"/>
  <c r="AZ8" i="17"/>
  <c r="G28" i="28"/>
  <c r="G43" i="28"/>
  <c r="N27" i="28"/>
  <c r="N76" i="28"/>
  <c r="M12" i="28"/>
  <c r="M60" i="28"/>
  <c r="AO5" i="28"/>
  <c r="W12" i="28"/>
  <c r="AB54" i="26"/>
  <c r="AM75" i="27"/>
  <c r="AM7" i="27"/>
  <c r="T50" i="27"/>
  <c r="AB62" i="26"/>
  <c r="AT5" i="28"/>
  <c r="AN45" i="17"/>
  <c r="Z5" i="28"/>
  <c r="D4" i="28"/>
  <c r="AB68" i="26"/>
  <c r="U59" i="15"/>
  <c r="AY62" i="27"/>
  <c r="AB76" i="26"/>
  <c r="AM3" i="28"/>
  <c r="AM32" i="28"/>
  <c r="AV55" i="28"/>
  <c r="AV22" i="28"/>
  <c r="AV37" i="28"/>
  <c r="AO15" i="28"/>
  <c r="AO44" i="28"/>
  <c r="AA15" i="28"/>
  <c r="AA44" i="28"/>
  <c r="AA31" i="28"/>
  <c r="O56" i="15"/>
  <c r="AR61" i="17"/>
  <c r="BC61" i="17"/>
  <c r="T22" i="28"/>
  <c r="T37" i="28"/>
  <c r="D31" i="4"/>
  <c r="AA15" i="27"/>
  <c r="AA44" i="27"/>
  <c r="AV45" i="27"/>
  <c r="AB56" i="26"/>
  <c r="AN58" i="27"/>
  <c r="AN72" i="27"/>
  <c r="N22" i="28"/>
  <c r="N37" i="28"/>
  <c r="AE5" i="28"/>
  <c r="AE53" i="28"/>
  <c r="BB45" i="28"/>
  <c r="AB20" i="28"/>
  <c r="BA12" i="28"/>
  <c r="BA74" i="28"/>
  <c r="O23" i="28"/>
  <c r="O49" i="28"/>
  <c r="G69" i="15"/>
  <c r="O69" i="17"/>
  <c r="Z69" i="17"/>
  <c r="G5" i="15"/>
  <c r="BC18" i="17"/>
  <c r="BB13" i="28"/>
  <c r="BB33" i="28"/>
  <c r="S19" i="27"/>
  <c r="S42" i="27"/>
  <c r="AB23" i="27"/>
  <c r="AB49" i="27"/>
  <c r="AH64" i="27"/>
  <c r="AB20" i="27"/>
  <c r="AZ69" i="28"/>
  <c r="AD10" i="27"/>
  <c r="BI6" i="17"/>
  <c r="Z24" i="17"/>
  <c r="AE7" i="28"/>
  <c r="AB62" i="27"/>
  <c r="AF28" i="28"/>
  <c r="AF43" i="28"/>
  <c r="R17" i="15"/>
  <c r="AS3" i="28"/>
  <c r="AS32" i="28"/>
  <c r="AW15" i="27"/>
  <c r="AW44" i="27"/>
  <c r="AO28" i="28"/>
  <c r="AO43" i="28"/>
  <c r="AG3" i="28"/>
  <c r="AG32" i="28"/>
  <c r="AH13" i="28"/>
  <c r="AH33" i="28"/>
  <c r="X9" i="28"/>
  <c r="AB27" i="28"/>
  <c r="AB76" i="28"/>
  <c r="R4" i="15"/>
  <c r="Q52" i="15"/>
  <c r="AY20" i="28"/>
  <c r="O21" i="15"/>
  <c r="AY10" i="17"/>
  <c r="AJ19" i="28"/>
  <c r="AJ42" i="28"/>
  <c r="AK31" i="27"/>
  <c r="BI47" i="17"/>
  <c r="BI45" i="17"/>
  <c r="AN37" i="17"/>
  <c r="AY37" i="17"/>
  <c r="Z14" i="27"/>
  <c r="Z34" i="27"/>
  <c r="AD10" i="28"/>
  <c r="AC30" i="17"/>
  <c r="AQ10" i="28"/>
  <c r="AQ46" i="28"/>
  <c r="AK22" i="28"/>
  <c r="AK37" i="28"/>
  <c r="N40" i="17"/>
  <c r="Y40" i="17"/>
  <c r="AC61" i="26"/>
  <c r="D66" i="27"/>
  <c r="AA41" i="26"/>
  <c r="AA31" i="26"/>
  <c r="AA8" i="27"/>
  <c r="AA41" i="27"/>
  <c r="T75" i="17"/>
  <c r="AE75" i="17"/>
  <c r="I51" i="15"/>
  <c r="I56" i="15"/>
  <c r="I48" i="15"/>
  <c r="G47" i="15"/>
  <c r="G9" i="15"/>
  <c r="AD2" i="28"/>
  <c r="AB9" i="28"/>
  <c r="G23" i="15"/>
  <c r="AD15" i="28"/>
  <c r="E53" i="15"/>
  <c r="G53" i="15"/>
  <c r="AK8" i="28"/>
  <c r="AK41" i="28"/>
  <c r="H23" i="28"/>
  <c r="H49" i="28"/>
  <c r="R32" i="17"/>
  <c r="AC32" i="17"/>
  <c r="AC3" i="17"/>
  <c r="AF56" i="27"/>
  <c r="AF16" i="28"/>
  <c r="AF72" i="28"/>
  <c r="X23" i="28"/>
  <c r="X49" i="28"/>
  <c r="S38" i="17"/>
  <c r="AD38" i="17"/>
  <c r="AD2" i="17"/>
  <c r="AB43" i="26"/>
  <c r="AB28" i="27"/>
  <c r="AB43" i="27"/>
  <c r="S74" i="17"/>
  <c r="AD74" i="17"/>
  <c r="AD12" i="17"/>
  <c r="AG29" i="28"/>
  <c r="AG57" i="28"/>
  <c r="AH4" i="28"/>
  <c r="AH40" i="28"/>
  <c r="K27" i="28"/>
  <c r="K76" i="28"/>
  <c r="K5" i="28"/>
  <c r="AX29" i="28"/>
  <c r="AX71" i="28"/>
  <c r="M4" i="28"/>
  <c r="M40" i="28"/>
  <c r="AR21" i="28"/>
  <c r="AZ27" i="28"/>
  <c r="X18" i="28"/>
  <c r="AB40" i="26"/>
  <c r="AB4" i="27"/>
  <c r="AB40" i="27"/>
  <c r="AB42" i="26"/>
  <c r="AB19" i="27"/>
  <c r="AB42" i="27"/>
  <c r="Q29" i="28"/>
  <c r="Q57" i="28"/>
  <c r="M16" i="28"/>
  <c r="M72" i="28"/>
  <c r="AL16" i="28"/>
  <c r="AM14" i="27"/>
  <c r="AM34" i="27"/>
  <c r="AZ73" i="27"/>
  <c r="AZ59" i="27"/>
  <c r="F22" i="28"/>
  <c r="F37" i="28"/>
  <c r="E6" i="28"/>
  <c r="E47" i="28"/>
  <c r="R6" i="15"/>
  <c r="AB35" i="26"/>
  <c r="AB30" i="27"/>
  <c r="AB35" i="27"/>
  <c r="S72" i="17"/>
  <c r="AD72" i="17"/>
  <c r="AD16" i="17"/>
  <c r="D31" i="19"/>
  <c r="AM18" i="28"/>
  <c r="G9" i="28"/>
  <c r="AN7" i="28"/>
  <c r="AQ62" i="28"/>
  <c r="I27" i="28"/>
  <c r="I45" i="17"/>
  <c r="AD27" i="27"/>
  <c r="AZ14" i="17"/>
  <c r="Y21" i="27"/>
  <c r="Y24" i="27"/>
  <c r="O9" i="27"/>
  <c r="F31" i="17"/>
  <c r="N13" i="28"/>
  <c r="N33" i="28"/>
  <c r="AC72" i="26"/>
  <c r="BB31" i="26"/>
  <c r="Y17" i="27"/>
  <c r="O12" i="27"/>
  <c r="O5" i="27"/>
  <c r="N22" i="27"/>
  <c r="N37" i="27"/>
  <c r="AY7" i="17"/>
  <c r="AQ6" i="28"/>
  <c r="AQ47" i="28"/>
  <c r="AL23" i="28"/>
  <c r="AL49" i="28"/>
  <c r="N23" i="28"/>
  <c r="N49" i="28"/>
  <c r="Y23" i="27"/>
  <c r="Y49" i="27"/>
  <c r="O21" i="27"/>
  <c r="O26" i="27"/>
  <c r="O36" i="27"/>
  <c r="AN73" i="17"/>
  <c r="AY73" i="17"/>
  <c r="P28" i="28"/>
  <c r="P43" i="28"/>
  <c r="O24" i="27"/>
  <c r="Y15" i="27"/>
  <c r="Y44" i="27"/>
  <c r="Y3" i="27"/>
  <c r="Y32" i="27"/>
  <c r="AL7" i="28"/>
  <c r="AY12" i="28"/>
  <c r="Y23" i="28"/>
  <c r="Y49" i="28"/>
  <c r="W64" i="15"/>
  <c r="AX22" i="28"/>
  <c r="AX37" i="28"/>
  <c r="AB15" i="28"/>
  <c r="AB44" i="28"/>
  <c r="Y10" i="27"/>
  <c r="Y46" i="27"/>
  <c r="Y45" i="27"/>
  <c r="O17" i="27"/>
  <c r="N19" i="27"/>
  <c r="N42" i="27"/>
  <c r="N25" i="27"/>
  <c r="O20" i="27"/>
  <c r="AQ16" i="28"/>
  <c r="AQ72" i="28"/>
  <c r="AX16" i="28"/>
  <c r="K29" i="28"/>
  <c r="S10" i="28"/>
  <c r="S46" i="28"/>
  <c r="O8" i="27"/>
  <c r="O41" i="27"/>
  <c r="Y26" i="27"/>
  <c r="Y36" i="27"/>
  <c r="N6" i="27"/>
  <c r="N47" i="27"/>
  <c r="N45" i="27"/>
  <c r="N14" i="27"/>
  <c r="N34" i="27"/>
  <c r="N5" i="27"/>
  <c r="D29" i="27"/>
  <c r="O22" i="27"/>
  <c r="O37" i="27"/>
  <c r="O13" i="27"/>
  <c r="O33" i="27"/>
  <c r="N15" i="27"/>
  <c r="N44" i="27"/>
  <c r="N20" i="27"/>
  <c r="D21" i="27"/>
  <c r="AO30" i="28"/>
  <c r="AO35" i="28"/>
  <c r="Y30" i="27"/>
  <c r="Y35" i="27"/>
  <c r="D9" i="27"/>
  <c r="D24" i="27"/>
  <c r="AR17" i="27"/>
  <c r="AE8" i="28"/>
  <c r="AE41" i="28"/>
  <c r="F7" i="28"/>
  <c r="F73" i="28"/>
  <c r="BI35" i="17"/>
  <c r="N13" i="27"/>
  <c r="N33" i="27"/>
  <c r="N17" i="27"/>
  <c r="N11" i="27"/>
  <c r="N39" i="27"/>
  <c r="Z17" i="27"/>
  <c r="N4" i="27"/>
  <c r="N40" i="27"/>
  <c r="G60" i="15"/>
  <c r="G58" i="15"/>
  <c r="S19" i="28"/>
  <c r="S42" i="28"/>
  <c r="R35" i="15"/>
  <c r="D23" i="27"/>
  <c r="N23" i="27"/>
  <c r="N49" i="27"/>
  <c r="AP8" i="28"/>
  <c r="AP41" i="28"/>
  <c r="AR7" i="28"/>
  <c r="AR73" i="28"/>
  <c r="Q12" i="28"/>
  <c r="E31" i="15"/>
  <c r="AN31" i="27"/>
  <c r="Y13" i="27"/>
  <c r="Y33" i="27"/>
  <c r="Y14" i="27"/>
  <c r="Y34" i="27"/>
  <c r="N26" i="27"/>
  <c r="N36" i="27"/>
  <c r="AC42" i="26"/>
  <c r="E19" i="17"/>
  <c r="E42" i="17"/>
  <c r="AO3" i="28"/>
  <c r="AO32" i="28"/>
  <c r="F5" i="28"/>
  <c r="N42" i="17"/>
  <c r="Y42" i="17"/>
  <c r="O39" i="17"/>
  <c r="Z39" i="17"/>
  <c r="AS23" i="28"/>
  <c r="AS49" i="28"/>
  <c r="AV61" i="27"/>
  <c r="G30" i="15"/>
  <c r="AH23" i="28"/>
  <c r="AH49" i="28"/>
  <c r="AJ31" i="27"/>
  <c r="AT31" i="27"/>
  <c r="AF27" i="17"/>
  <c r="M65" i="15"/>
  <c r="O65" i="15"/>
  <c r="G37" i="15"/>
  <c r="H50" i="15"/>
  <c r="R12" i="15"/>
  <c r="AZ15" i="17"/>
  <c r="AD25" i="27"/>
  <c r="AP10" i="28"/>
  <c r="AP46" i="28"/>
  <c r="AQ28" i="28"/>
  <c r="AQ43" i="28"/>
  <c r="S21" i="28"/>
  <c r="S51" i="28"/>
  <c r="X29" i="28"/>
  <c r="V65" i="15"/>
  <c r="S29" i="28"/>
  <c r="S71" i="28"/>
  <c r="BA62" i="26"/>
  <c r="G17" i="15"/>
  <c r="AW20" i="27"/>
  <c r="AC20" i="27"/>
  <c r="P20" i="17"/>
  <c r="P56" i="17"/>
  <c r="AA56" i="17"/>
  <c r="V39" i="17"/>
  <c r="AG39" i="17"/>
  <c r="S7" i="28"/>
  <c r="AG19" i="28"/>
  <c r="AG42" i="28"/>
  <c r="H30" i="28"/>
  <c r="H35" i="28"/>
  <c r="Z9" i="28"/>
  <c r="AR28" i="28"/>
  <c r="AR43" i="28"/>
  <c r="G22" i="15"/>
  <c r="BI65" i="17"/>
  <c r="BA27" i="27"/>
  <c r="R34" i="15"/>
  <c r="Q60" i="15"/>
  <c r="R60" i="15"/>
  <c r="W9" i="28"/>
  <c r="AX15" i="28"/>
  <c r="AX44" i="28"/>
  <c r="R74" i="15"/>
  <c r="U62" i="17"/>
  <c r="AF62" i="17"/>
  <c r="AT19" i="28"/>
  <c r="AT42" i="28"/>
  <c r="AR19" i="28"/>
  <c r="AR42" i="28"/>
  <c r="AJ8" i="28"/>
  <c r="AJ41" i="28"/>
  <c r="X7" i="17"/>
  <c r="O3" i="15"/>
  <c r="E23" i="27"/>
  <c r="E49" i="27"/>
  <c r="AK5" i="28"/>
  <c r="AK53" i="28"/>
  <c r="AN23" i="28"/>
  <c r="AN49" i="28"/>
  <c r="AW19" i="28"/>
  <c r="AW42" i="28"/>
  <c r="P9" i="28"/>
  <c r="AS59" i="28"/>
  <c r="AV7" i="28"/>
  <c r="AV73" i="28"/>
  <c r="AK6" i="28"/>
  <c r="AK47" i="28"/>
  <c r="I23" i="28"/>
  <c r="I49" i="28"/>
  <c r="AD23" i="27"/>
  <c r="AR9" i="27"/>
  <c r="AR54" i="27"/>
  <c r="E17" i="27"/>
  <c r="F17" i="27"/>
  <c r="H17" i="27"/>
  <c r="I17" i="27"/>
  <c r="K17" i="27"/>
  <c r="L17" i="27"/>
  <c r="P17" i="27"/>
  <c r="Q17" i="27"/>
  <c r="R17" i="27"/>
  <c r="S17" i="27"/>
  <c r="T17" i="27"/>
  <c r="V17" i="27"/>
  <c r="W17" i="27"/>
  <c r="X17" i="27"/>
  <c r="C17" i="27"/>
  <c r="M18" i="27"/>
  <c r="M12" i="27"/>
  <c r="M11" i="27"/>
  <c r="M39" i="27"/>
  <c r="M20" i="27"/>
  <c r="E11" i="28"/>
  <c r="E39" i="28"/>
  <c r="O4" i="28"/>
  <c r="O40" i="28"/>
  <c r="M7" i="27"/>
  <c r="M29" i="27"/>
  <c r="M19" i="27"/>
  <c r="M42" i="27"/>
  <c r="S8" i="28"/>
  <c r="S41" i="28"/>
  <c r="M28" i="27"/>
  <c r="M43" i="27"/>
  <c r="M15" i="27"/>
  <c r="M44" i="27"/>
  <c r="G10" i="27"/>
  <c r="G46" i="27"/>
  <c r="G45" i="27"/>
  <c r="M22" i="27"/>
  <c r="M37" i="27"/>
  <c r="M4" i="27"/>
  <c r="M40" i="27"/>
  <c r="M5" i="27"/>
  <c r="G27" i="27"/>
  <c r="E2" i="17"/>
  <c r="E38" i="17"/>
  <c r="R46" i="15"/>
  <c r="M13" i="27"/>
  <c r="M33" i="27"/>
  <c r="M9" i="27"/>
  <c r="M24" i="27"/>
  <c r="G25" i="27"/>
  <c r="AD14" i="27"/>
  <c r="M3" i="27"/>
  <c r="M32" i="27"/>
  <c r="L8" i="28"/>
  <c r="L41" i="28"/>
  <c r="AH74" i="27"/>
  <c r="G18" i="27"/>
  <c r="M21" i="27"/>
  <c r="AQ60" i="27"/>
  <c r="G7" i="27"/>
  <c r="M8" i="27"/>
  <c r="M41" i="27"/>
  <c r="AS21" i="28"/>
  <c r="AN20" i="28"/>
  <c r="G15" i="27"/>
  <c r="G44" i="27"/>
  <c r="G31" i="27"/>
  <c r="X11" i="27"/>
  <c r="X39" i="27"/>
  <c r="M14" i="27"/>
  <c r="M34" i="27"/>
  <c r="M23" i="27"/>
  <c r="M49" i="27"/>
  <c r="I30" i="28"/>
  <c r="I35" i="28"/>
  <c r="V12" i="28"/>
  <c r="S50" i="17"/>
  <c r="AD50" i="17"/>
  <c r="AN10" i="28"/>
  <c r="AN46" i="28"/>
  <c r="AS69" i="28"/>
  <c r="BB3" i="17"/>
  <c r="BA7" i="17"/>
  <c r="S64" i="17"/>
  <c r="AD64" i="17"/>
  <c r="AP13" i="28"/>
  <c r="AP33" i="28"/>
  <c r="O5" i="28"/>
  <c r="O53" i="28"/>
  <c r="Y7" i="27"/>
  <c r="AZ19" i="28"/>
  <c r="AZ42" i="28"/>
  <c r="Y3" i="28"/>
  <c r="Y32" i="28"/>
  <c r="AW14" i="28"/>
  <c r="AW34" i="28"/>
  <c r="AL21" i="28"/>
  <c r="AL65" i="28"/>
  <c r="AN27" i="28"/>
  <c r="BI16" i="17"/>
  <c r="BA73" i="27"/>
  <c r="V50" i="15"/>
  <c r="E50" i="15"/>
  <c r="G50" i="15"/>
  <c r="R37" i="15"/>
  <c r="F55" i="15"/>
  <c r="G55" i="15"/>
  <c r="AG16" i="28"/>
  <c r="AG58" i="28"/>
  <c r="AJ7" i="28"/>
  <c r="G25" i="15"/>
  <c r="G24" i="15"/>
  <c r="E5" i="27"/>
  <c r="I5" i="27"/>
  <c r="P5" i="27"/>
  <c r="Q5" i="27"/>
  <c r="S5" i="27"/>
  <c r="V5" i="27"/>
  <c r="W5" i="27"/>
  <c r="X5" i="27"/>
  <c r="C5" i="27"/>
  <c r="AS31" i="27"/>
  <c r="AG4" i="28"/>
  <c r="AG40" i="28"/>
  <c r="AW22" i="27"/>
  <c r="AW37" i="27"/>
  <c r="AX74" i="27"/>
  <c r="AX60" i="27"/>
  <c r="AO18" i="28"/>
  <c r="AO75" i="28"/>
  <c r="AN28" i="28"/>
  <c r="AN43" i="28"/>
  <c r="AR56" i="27"/>
  <c r="O42" i="15"/>
  <c r="O15" i="15"/>
  <c r="Z18" i="17"/>
  <c r="T27" i="27"/>
  <c r="M43" i="15"/>
  <c r="O43" i="15"/>
  <c r="AQ7" i="28"/>
  <c r="AQ73" i="28"/>
  <c r="BB68" i="27"/>
  <c r="BB63" i="27"/>
  <c r="BG72" i="17"/>
  <c r="BI72" i="17"/>
  <c r="AV21" i="27"/>
  <c r="AD28" i="28"/>
  <c r="G63" i="17"/>
  <c r="AP73" i="17"/>
  <c r="BA73" i="17"/>
  <c r="AJ3" i="28"/>
  <c r="AJ32" i="28"/>
  <c r="AM28" i="28"/>
  <c r="AM43" i="28"/>
  <c r="AZ28" i="28"/>
  <c r="AZ43" i="28"/>
  <c r="AV64" i="28"/>
  <c r="BA74" i="27"/>
  <c r="O15" i="27"/>
  <c r="O44" i="27"/>
  <c r="Y18" i="28"/>
  <c r="J11" i="28"/>
  <c r="J39" i="28"/>
  <c r="O19" i="15"/>
  <c r="BA60" i="26"/>
  <c r="M33" i="17"/>
  <c r="X33" i="17"/>
  <c r="O23" i="15"/>
  <c r="Y25" i="27"/>
  <c r="O19" i="27"/>
  <c r="O42" i="27"/>
  <c r="D6" i="27"/>
  <c r="G4" i="15"/>
  <c r="G18" i="15"/>
  <c r="O6" i="27"/>
  <c r="O47" i="27"/>
  <c r="AO5" i="17"/>
  <c r="R5" i="17"/>
  <c r="G53" i="17"/>
  <c r="G67" i="17"/>
  <c r="O14" i="27"/>
  <c r="O34" i="27"/>
  <c r="AA71" i="27"/>
  <c r="AA57" i="27"/>
  <c r="AL28" i="28"/>
  <c r="AL43" i="28"/>
  <c r="BA74" i="26"/>
  <c r="O28" i="27"/>
  <c r="O43" i="27"/>
  <c r="BB62" i="28"/>
  <c r="Y12" i="27"/>
  <c r="AN9" i="28"/>
  <c r="AN68" i="28"/>
  <c r="O25" i="27"/>
  <c r="O6" i="15"/>
  <c r="AH20" i="28"/>
  <c r="AH70" i="28"/>
  <c r="D67" i="15"/>
  <c r="G67" i="15"/>
  <c r="AY23" i="28"/>
  <c r="AY49" i="28"/>
  <c r="Z13" i="28"/>
  <c r="Z33" i="28"/>
  <c r="I4" i="28"/>
  <c r="I40" i="28"/>
  <c r="O16" i="27"/>
  <c r="E28" i="27"/>
  <c r="E43" i="27"/>
  <c r="AM24" i="27"/>
  <c r="E14" i="27"/>
  <c r="E34" i="27"/>
  <c r="AD30" i="27"/>
  <c r="AM26" i="27"/>
  <c r="AM36" i="27"/>
  <c r="E4" i="27"/>
  <c r="E40" i="27"/>
  <c r="AD24" i="27"/>
  <c r="Q11" i="28"/>
  <c r="Q39" i="28"/>
  <c r="AF20" i="28"/>
  <c r="AF70" i="28"/>
  <c r="AD5" i="27"/>
  <c r="AD13" i="27"/>
  <c r="AM30" i="27"/>
  <c r="AM35" i="27"/>
  <c r="AM10" i="27"/>
  <c r="AM46" i="27"/>
  <c r="AD29" i="27"/>
  <c r="AM13" i="27"/>
  <c r="AM33" i="27"/>
  <c r="AM27" i="27"/>
  <c r="Q13" i="27"/>
  <c r="Q33" i="27"/>
  <c r="AM22" i="27"/>
  <c r="AM37" i="27"/>
  <c r="AM19" i="27"/>
  <c r="AM42" i="27"/>
  <c r="AW23" i="27"/>
  <c r="AW49" i="27"/>
  <c r="AM11" i="27"/>
  <c r="AM39" i="27"/>
  <c r="AM9" i="27"/>
  <c r="AM4" i="27"/>
  <c r="AM40" i="27"/>
  <c r="AD9" i="27"/>
  <c r="AD19" i="27"/>
  <c r="O7" i="27"/>
  <c r="AM17" i="27"/>
  <c r="E6" i="27"/>
  <c r="E47" i="27"/>
  <c r="L69" i="15"/>
  <c r="L55" i="15"/>
  <c r="S23" i="28"/>
  <c r="S49" i="28"/>
  <c r="F30" i="27"/>
  <c r="F35" i="27"/>
  <c r="E25" i="27"/>
  <c r="AD28" i="27"/>
  <c r="AM5" i="27"/>
  <c r="J64" i="15"/>
  <c r="J63" i="15"/>
  <c r="J50" i="15"/>
  <c r="E8" i="27"/>
  <c r="E41" i="27"/>
  <c r="AD12" i="27"/>
  <c r="AM28" i="27"/>
  <c r="AM43" i="27"/>
  <c r="AD17" i="27"/>
  <c r="AM25" i="28"/>
  <c r="G23" i="28"/>
  <c r="G49" i="28"/>
  <c r="N57" i="15"/>
  <c r="N71" i="15"/>
  <c r="AM21" i="27"/>
  <c r="AM12" i="27"/>
  <c r="AM41" i="27"/>
  <c r="AD22" i="27"/>
  <c r="AI11" i="28"/>
  <c r="AI39" i="28"/>
  <c r="AW7" i="27"/>
  <c r="AD6" i="27"/>
  <c r="AD21" i="27"/>
  <c r="AL20" i="28"/>
  <c r="Z28" i="28"/>
  <c r="Z43" i="28"/>
  <c r="AM29" i="28"/>
  <c r="AM71" i="28"/>
  <c r="AS59" i="27"/>
  <c r="N71" i="17"/>
  <c r="Y71" i="17"/>
  <c r="Y29" i="17"/>
  <c r="Y20" i="17"/>
  <c r="N56" i="17"/>
  <c r="Y56" i="17"/>
  <c r="Z10" i="17"/>
  <c r="O46" i="17"/>
  <c r="N37" i="17"/>
  <c r="Y37" i="17"/>
  <c r="Y22" i="17"/>
  <c r="BH73" i="17"/>
  <c r="BI73" i="17"/>
  <c r="BH59" i="17"/>
  <c r="N28" i="27"/>
  <c r="N43" i="27"/>
  <c r="BG64" i="17"/>
  <c r="BI64" i="17"/>
  <c r="BG50" i="17"/>
  <c r="BH43" i="17"/>
  <c r="BI43" i="17"/>
  <c r="BI28" i="17"/>
  <c r="O18" i="27"/>
  <c r="N73" i="17"/>
  <c r="Y73" i="17"/>
  <c r="Y7" i="17"/>
  <c r="Y8" i="27"/>
  <c r="Y41" i="27"/>
  <c r="O58" i="17"/>
  <c r="Z58" i="17"/>
  <c r="Z16" i="17"/>
  <c r="N16" i="27"/>
  <c r="BI8" i="17"/>
  <c r="BH41" i="17"/>
  <c r="BI41" i="17"/>
  <c r="AV5" i="27"/>
  <c r="N69" i="17"/>
  <c r="Y69" i="17"/>
  <c r="Y24" i="17"/>
  <c r="N30" i="28"/>
  <c r="N35" i="28"/>
  <c r="AV31" i="27"/>
  <c r="V19" i="28"/>
  <c r="V42" i="28"/>
  <c r="E27" i="28"/>
  <c r="E76" i="28"/>
  <c r="K14" i="28"/>
  <c r="K34" i="28"/>
  <c r="Z22" i="17"/>
  <c r="O37" i="17"/>
  <c r="Z37" i="17"/>
  <c r="BG71" i="17"/>
  <c r="BI71" i="17"/>
  <c r="BG57" i="17"/>
  <c r="BI57" i="17"/>
  <c r="Z25" i="17"/>
  <c r="O50" i="17"/>
  <c r="Z50" i="17"/>
  <c r="O64" i="17"/>
  <c r="Z64" i="17"/>
  <c r="N18" i="27"/>
  <c r="Y28" i="17"/>
  <c r="N43" i="17"/>
  <c r="Y43" i="17"/>
  <c r="D30" i="28"/>
  <c r="AR20" i="28"/>
  <c r="AR70" i="28"/>
  <c r="AR76" i="27"/>
  <c r="AR62" i="27"/>
  <c r="M16" i="27"/>
  <c r="AJ21" i="27"/>
  <c r="AL55" i="28"/>
  <c r="BI2" i="17"/>
  <c r="BI10" i="17"/>
  <c r="D10" i="27"/>
  <c r="AV29" i="27"/>
  <c r="AI9" i="27"/>
  <c r="BG61" i="17"/>
  <c r="BG75" i="17"/>
  <c r="BI75" i="17"/>
  <c r="AJ9" i="27"/>
  <c r="Z14" i="17"/>
  <c r="O34" i="17"/>
  <c r="Z34" i="17"/>
  <c r="AV9" i="28"/>
  <c r="AI24" i="27"/>
  <c r="BI9" i="17"/>
  <c r="BH54" i="17"/>
  <c r="BI54" i="17"/>
  <c r="O71" i="17"/>
  <c r="Z71" i="17"/>
  <c r="O57" i="17"/>
  <c r="Z57" i="17"/>
  <c r="Z29" i="17"/>
  <c r="AQ17" i="27"/>
  <c r="AI17" i="27"/>
  <c r="G12" i="27"/>
  <c r="Z17" i="17"/>
  <c r="O52" i="17"/>
  <c r="Z52" i="17"/>
  <c r="O66" i="17"/>
  <c r="Z66" i="17"/>
  <c r="AI29" i="27"/>
  <c r="AV17" i="27"/>
  <c r="Z8" i="17"/>
  <c r="O41" i="17"/>
  <c r="Z41" i="17"/>
  <c r="BG49" i="17"/>
  <c r="BI49" i="17"/>
  <c r="BI23" i="17"/>
  <c r="AV9" i="27"/>
  <c r="N32" i="17"/>
  <c r="Y32" i="17"/>
  <c r="Y3" i="17"/>
  <c r="BI25" i="17"/>
  <c r="BH50" i="17"/>
  <c r="AV24" i="27"/>
  <c r="W7" i="27"/>
  <c r="BI24" i="17"/>
  <c r="BH69" i="17"/>
  <c r="BI69" i="17"/>
  <c r="AJ24" i="27"/>
  <c r="AI21" i="27"/>
  <c r="AY28" i="17"/>
  <c r="AN43" i="17"/>
  <c r="AY43" i="17"/>
  <c r="Y16" i="27"/>
  <c r="BI18" i="17"/>
  <c r="BH61" i="17"/>
  <c r="AQ31" i="27"/>
  <c r="O33" i="17"/>
  <c r="Z33" i="17"/>
  <c r="Z13" i="17"/>
  <c r="AN76" i="27"/>
  <c r="AN62" i="27"/>
  <c r="J66" i="28"/>
  <c r="BG56" i="17"/>
  <c r="BI56" i="17"/>
  <c r="BG70" i="17"/>
  <c r="BI70" i="17"/>
  <c r="N35" i="17"/>
  <c r="Y35" i="17"/>
  <c r="Y30" i="17"/>
  <c r="O10" i="27"/>
  <c r="O46" i="27"/>
  <c r="M71" i="28"/>
  <c r="M57" i="28"/>
  <c r="P8" i="28"/>
  <c r="P41" i="28"/>
  <c r="Y11" i="28"/>
  <c r="Y39" i="28"/>
  <c r="W31" i="15"/>
  <c r="BA45" i="28"/>
  <c r="P31" i="15"/>
  <c r="AE16" i="28"/>
  <c r="AE72" i="28"/>
  <c r="G10" i="28"/>
  <c r="G46" i="28"/>
  <c r="AN24" i="27"/>
  <c r="F29" i="27"/>
  <c r="Q22" i="27"/>
  <c r="Q37" i="27"/>
  <c r="Q3" i="27"/>
  <c r="Q32" i="27"/>
  <c r="Q16" i="27"/>
  <c r="Z15" i="28"/>
  <c r="Z44" i="28"/>
  <c r="Q21" i="27"/>
  <c r="L27" i="28"/>
  <c r="L62" i="28"/>
  <c r="E26" i="28"/>
  <c r="E36" i="28"/>
  <c r="X11" i="28"/>
  <c r="X39" i="28"/>
  <c r="E3" i="28"/>
  <c r="E32" i="28"/>
  <c r="AG9" i="28"/>
  <c r="AT23" i="28"/>
  <c r="AT49" i="28"/>
  <c r="AD4" i="28"/>
  <c r="AN21" i="27"/>
  <c r="Q10" i="27"/>
  <c r="Q46" i="27"/>
  <c r="F11" i="27"/>
  <c r="F39" i="27"/>
  <c r="Q7" i="27"/>
  <c r="F22" i="27"/>
  <c r="F37" i="27"/>
  <c r="AI61" i="27"/>
  <c r="AF12" i="28"/>
  <c r="S26" i="28"/>
  <c r="S36" i="28"/>
  <c r="K28" i="28"/>
  <c r="K43" i="28"/>
  <c r="T4" i="28"/>
  <c r="T40" i="28"/>
  <c r="F10" i="27"/>
  <c r="F46" i="27"/>
  <c r="F19" i="27"/>
  <c r="F42" i="27"/>
  <c r="F9" i="27"/>
  <c r="F6" i="27"/>
  <c r="F47" i="27"/>
  <c r="F26" i="27"/>
  <c r="F36" i="27"/>
  <c r="AL3" i="28"/>
  <c r="AL32" i="28"/>
  <c r="T31" i="15"/>
  <c r="AP6" i="28"/>
  <c r="AP47" i="28"/>
  <c r="AY75" i="27"/>
  <c r="AY61" i="27"/>
  <c r="F8" i="27"/>
  <c r="F41" i="27"/>
  <c r="F4" i="27"/>
  <c r="F40" i="27"/>
  <c r="Q15" i="27"/>
  <c r="Q44" i="27"/>
  <c r="G20" i="28"/>
  <c r="G70" i="28"/>
  <c r="Q19" i="27"/>
  <c r="Q42" i="27"/>
  <c r="Q14" i="27"/>
  <c r="Q34" i="27"/>
  <c r="F21" i="27"/>
  <c r="Q29" i="27"/>
  <c r="Q8" i="27"/>
  <c r="Q41" i="27"/>
  <c r="Q26" i="27"/>
  <c r="Q36" i="27"/>
  <c r="F3" i="27"/>
  <c r="F32" i="27"/>
  <c r="AN5" i="27"/>
  <c r="F24" i="27"/>
  <c r="AJ17" i="28"/>
  <c r="AJ66" i="28"/>
  <c r="AE11" i="28"/>
  <c r="AE39" i="28"/>
  <c r="F14" i="27"/>
  <c r="F34" i="27"/>
  <c r="Q6" i="27"/>
  <c r="Q47" i="27"/>
  <c r="Q30" i="27"/>
  <c r="Q35" i="27"/>
  <c r="Q23" i="27"/>
  <c r="Q49" i="27"/>
  <c r="AN29" i="27"/>
  <c r="AN17" i="27"/>
  <c r="X10" i="28"/>
  <c r="X46" i="28"/>
  <c r="AH19" i="28"/>
  <c r="AH42" i="28"/>
  <c r="AI10" i="28"/>
  <c r="AI46" i="28"/>
  <c r="F15" i="27"/>
  <c r="F44" i="27"/>
  <c r="F18" i="27"/>
  <c r="H5" i="28"/>
  <c r="H53" i="28"/>
  <c r="AP29" i="28"/>
  <c r="F20" i="27"/>
  <c r="F25" i="27"/>
  <c r="Q4" i="27"/>
  <c r="Q40" i="27"/>
  <c r="F12" i="27"/>
  <c r="F13" i="27"/>
  <c r="F33" i="27"/>
  <c r="Q24" i="27"/>
  <c r="R26" i="28"/>
  <c r="R36" i="28"/>
  <c r="AS19" i="28"/>
  <c r="AS42" i="28"/>
  <c r="L29" i="28"/>
  <c r="L57" i="28"/>
  <c r="AA45" i="28"/>
  <c r="AX19" i="28"/>
  <c r="AX42" i="28"/>
  <c r="AZ5" i="28"/>
  <c r="AF29" i="28"/>
  <c r="AH27" i="28"/>
  <c r="F23" i="27"/>
  <c r="F49" i="27"/>
  <c r="Q11" i="27"/>
  <c r="Q39" i="27"/>
  <c r="F16" i="27"/>
  <c r="Q9" i="27"/>
  <c r="D22" i="28"/>
  <c r="AL65" i="17"/>
  <c r="AW65" i="17"/>
  <c r="AW21" i="17"/>
  <c r="AR29" i="27"/>
  <c r="L15" i="27"/>
  <c r="L44" i="27"/>
  <c r="AL9" i="27"/>
  <c r="L22" i="27"/>
  <c r="L37" i="27"/>
  <c r="BA41" i="26"/>
  <c r="BA8" i="27"/>
  <c r="BA41" i="27"/>
  <c r="K62" i="15"/>
  <c r="K76" i="15"/>
  <c r="AN41" i="17"/>
  <c r="AY41" i="17"/>
  <c r="AR10" i="28"/>
  <c r="AR46" i="28"/>
  <c r="AJ9" i="28"/>
  <c r="AJ54" i="28"/>
  <c r="L13" i="28"/>
  <c r="L33" i="28"/>
  <c r="X46" i="17"/>
  <c r="R32" i="15"/>
  <c r="AK7" i="28"/>
  <c r="AP17" i="17"/>
  <c r="H66" i="17"/>
  <c r="S17" i="17"/>
  <c r="H52" i="17"/>
  <c r="T13" i="27"/>
  <c r="T33" i="27"/>
  <c r="AP21" i="17"/>
  <c r="H65" i="17"/>
  <c r="H51" i="17"/>
  <c r="S21" i="17"/>
  <c r="AL69" i="17"/>
  <c r="AW69" i="17"/>
  <c r="AW24" i="17"/>
  <c r="L54" i="15"/>
  <c r="L68" i="15"/>
  <c r="BA38" i="26"/>
  <c r="BA2" i="27"/>
  <c r="BA38" i="27"/>
  <c r="T22" i="27"/>
  <c r="T37" i="27"/>
  <c r="BA36" i="26"/>
  <c r="BA26" i="27"/>
  <c r="BA36" i="27"/>
  <c r="L8" i="27"/>
  <c r="L41" i="27"/>
  <c r="AX9" i="27"/>
  <c r="T26" i="27"/>
  <c r="T36" i="27"/>
  <c r="AX21" i="27"/>
  <c r="AA59" i="28"/>
  <c r="AP19" i="28"/>
  <c r="AP42" i="28"/>
  <c r="AX11" i="28"/>
  <c r="AX39" i="28"/>
  <c r="AJ12" i="28"/>
  <c r="AJ60" i="28"/>
  <c r="AN8" i="28"/>
  <c r="AN41" i="28"/>
  <c r="L26" i="28"/>
  <c r="L36" i="28"/>
  <c r="AB23" i="28"/>
  <c r="AB49" i="28"/>
  <c r="AG22" i="28"/>
  <c r="AG37" i="28"/>
  <c r="AF55" i="28"/>
  <c r="BA35" i="26"/>
  <c r="BA30" i="27"/>
  <c r="BA35" i="27"/>
  <c r="L3" i="27"/>
  <c r="L32" i="27"/>
  <c r="AL17" i="27"/>
  <c r="T20" i="27"/>
  <c r="T24" i="27"/>
  <c r="BA34" i="26"/>
  <c r="BA14" i="27"/>
  <c r="BA34" i="27"/>
  <c r="Q12" i="27"/>
  <c r="L23" i="27"/>
  <c r="L49" i="27"/>
  <c r="L14" i="27"/>
  <c r="L34" i="27"/>
  <c r="AP24" i="17"/>
  <c r="H69" i="17"/>
  <c r="S24" i="17"/>
  <c r="H55" i="17"/>
  <c r="AX23" i="28"/>
  <c r="AX49" i="28"/>
  <c r="AV19" i="28"/>
  <c r="AV42" i="28"/>
  <c r="R10" i="28"/>
  <c r="R46" i="28"/>
  <c r="AF19" i="28"/>
  <c r="AF42" i="28"/>
  <c r="AM15" i="28"/>
  <c r="AM44" i="28"/>
  <c r="D9" i="28"/>
  <c r="T12" i="28"/>
  <c r="AA31" i="4"/>
  <c r="P64" i="15"/>
  <c r="R64" i="15"/>
  <c r="BA18" i="27"/>
  <c r="BA75" i="26"/>
  <c r="BA61" i="26"/>
  <c r="BA29" i="27"/>
  <c r="BA71" i="26"/>
  <c r="BA57" i="26"/>
  <c r="L21" i="27"/>
  <c r="BA43" i="26"/>
  <c r="BA28" i="27"/>
  <c r="BA43" i="27"/>
  <c r="T9" i="27"/>
  <c r="T14" i="27"/>
  <c r="T34" i="27"/>
  <c r="T3" i="27"/>
  <c r="T32" i="27"/>
  <c r="BA65" i="26"/>
  <c r="BA51" i="26"/>
  <c r="BA21" i="27"/>
  <c r="BI30" i="17"/>
  <c r="M23" i="28"/>
  <c r="M49" i="28"/>
  <c r="O55" i="15"/>
  <c r="AI19" i="28"/>
  <c r="AI42" i="28"/>
  <c r="AF3" i="28"/>
  <c r="AF32" i="28"/>
  <c r="BB48" i="26"/>
  <c r="AM9" i="28"/>
  <c r="AM27" i="28"/>
  <c r="AM76" i="28"/>
  <c r="BA47" i="26"/>
  <c r="BA45" i="26"/>
  <c r="BA6" i="27"/>
  <c r="BA47" i="27"/>
  <c r="BA66" i="26"/>
  <c r="BA52" i="26"/>
  <c r="BA17" i="27"/>
  <c r="BA72" i="26"/>
  <c r="BA58" i="26"/>
  <c r="BA16" i="27"/>
  <c r="AP46" i="17"/>
  <c r="BA46" i="17"/>
  <c r="BA10" i="17"/>
  <c r="L13" i="27"/>
  <c r="L33" i="27"/>
  <c r="BA54" i="26"/>
  <c r="BA9" i="27"/>
  <c r="BA68" i="26"/>
  <c r="T23" i="28"/>
  <c r="T49" i="28"/>
  <c r="N6" i="28"/>
  <c r="N47" i="28"/>
  <c r="N4" i="28"/>
  <c r="N40" i="28"/>
  <c r="AI29" i="28"/>
  <c r="AE3" i="27"/>
  <c r="AE32" i="27"/>
  <c r="P3" i="28"/>
  <c r="P32" i="28"/>
  <c r="T7" i="27"/>
  <c r="AA56" i="27"/>
  <c r="AA70" i="27"/>
  <c r="M25" i="27"/>
  <c r="AF11" i="28"/>
  <c r="AF39" i="28"/>
  <c r="AN19" i="28"/>
  <c r="AN42" i="28"/>
  <c r="AK18" i="28"/>
  <c r="AK61" i="28"/>
  <c r="V22" i="28"/>
  <c r="V37" i="28"/>
  <c r="O30" i="28"/>
  <c r="O35" i="28"/>
  <c r="J31" i="17"/>
  <c r="F29" i="28"/>
  <c r="F57" i="28"/>
  <c r="AT14" i="28"/>
  <c r="AT34" i="28"/>
  <c r="AT9" i="28"/>
  <c r="AT54" i="28"/>
  <c r="AB31" i="26"/>
  <c r="E23" i="28"/>
  <c r="E49" i="28"/>
  <c r="BA23" i="28"/>
  <c r="BA49" i="28"/>
  <c r="AW27" i="28"/>
  <c r="AR16" i="28"/>
  <c r="AR72" i="28"/>
  <c r="BA15" i="27"/>
  <c r="BA44" i="27"/>
  <c r="G6" i="15"/>
  <c r="Q54" i="15"/>
  <c r="R54" i="15"/>
  <c r="BA10" i="27"/>
  <c r="BA46" i="27"/>
  <c r="R7" i="28"/>
  <c r="R59" i="28"/>
  <c r="L71" i="15"/>
  <c r="L57" i="15"/>
  <c r="N64" i="15"/>
  <c r="N50" i="15"/>
  <c r="E2" i="27"/>
  <c r="E38" i="27"/>
  <c r="T29" i="27"/>
  <c r="AX5" i="27"/>
  <c r="N62" i="15"/>
  <c r="N76" i="15"/>
  <c r="L58" i="15"/>
  <c r="L72" i="15"/>
  <c r="AK3" i="28"/>
  <c r="AK32" i="28"/>
  <c r="AN16" i="28"/>
  <c r="AN58" i="28"/>
  <c r="T23" i="27"/>
  <c r="T49" i="27"/>
  <c r="AL71" i="17"/>
  <c r="AW71" i="17"/>
  <c r="AW29" i="17"/>
  <c r="AR21" i="27"/>
  <c r="T21" i="27"/>
  <c r="T28" i="27"/>
  <c r="T43" i="27"/>
  <c r="M6" i="27"/>
  <c r="M47" i="27"/>
  <c r="M45" i="27"/>
  <c r="L20" i="27"/>
  <c r="R9" i="15"/>
  <c r="AD69" i="28"/>
  <c r="AD55" i="28"/>
  <c r="T16" i="27"/>
  <c r="AX29" i="27"/>
  <c r="L52" i="15"/>
  <c r="L66" i="15"/>
  <c r="T4" i="27"/>
  <c r="T40" i="27"/>
  <c r="AL5" i="27"/>
  <c r="T10" i="27"/>
  <c r="T46" i="27"/>
  <c r="S35" i="15"/>
  <c r="X30" i="15"/>
  <c r="X35" i="15"/>
  <c r="X31" i="15"/>
  <c r="AT4" i="28"/>
  <c r="AT40" i="28"/>
  <c r="AR12" i="28"/>
  <c r="AR60" i="28"/>
  <c r="AY16" i="28"/>
  <c r="AY72" i="28"/>
  <c r="AE22" i="17"/>
  <c r="R29" i="15"/>
  <c r="AW27" i="27"/>
  <c r="AW62" i="27"/>
  <c r="AP38" i="17"/>
  <c r="BA38" i="17"/>
  <c r="BA2" i="17"/>
  <c r="L28" i="27"/>
  <c r="L43" i="27"/>
  <c r="T8" i="27"/>
  <c r="T41" i="27"/>
  <c r="AR24" i="27"/>
  <c r="H54" i="15"/>
  <c r="H48" i="15"/>
  <c r="H68" i="15"/>
  <c r="H63" i="15"/>
  <c r="L11" i="27"/>
  <c r="L39" i="27"/>
  <c r="BA64" i="26"/>
  <c r="BA50" i="26"/>
  <c r="BA25" i="27"/>
  <c r="AP29" i="17"/>
  <c r="S29" i="17"/>
  <c r="H71" i="17"/>
  <c r="H57" i="17"/>
  <c r="BA42" i="26"/>
  <c r="BA19" i="27"/>
  <c r="BA42" i="27"/>
  <c r="AX55" i="28"/>
  <c r="X53" i="15"/>
  <c r="AI13" i="28"/>
  <c r="AI33" i="28"/>
  <c r="P57" i="15"/>
  <c r="R68" i="15"/>
  <c r="X22" i="28"/>
  <c r="X37" i="28"/>
  <c r="M69" i="15"/>
  <c r="O69" i="15"/>
  <c r="AL51" i="17"/>
  <c r="AW51" i="17"/>
  <c r="AR5" i="27"/>
  <c r="L4" i="27"/>
  <c r="L40" i="27"/>
  <c r="BA33" i="26"/>
  <c r="BA13" i="27"/>
  <c r="BA33" i="27"/>
  <c r="L19" i="27"/>
  <c r="L42" i="27"/>
  <c r="AX17" i="27"/>
  <c r="AT6" i="28"/>
  <c r="AT47" i="28"/>
  <c r="AL12" i="28"/>
  <c r="AL60" i="28"/>
  <c r="AZ18" i="28"/>
  <c r="AZ75" i="28"/>
  <c r="AN21" i="28"/>
  <c r="AG21" i="28"/>
  <c r="AG65" i="28"/>
  <c r="D23" i="28"/>
  <c r="D66" i="15"/>
  <c r="R15" i="15"/>
  <c r="L26" i="27"/>
  <c r="L36" i="27"/>
  <c r="F7" i="27"/>
  <c r="BA70" i="26"/>
  <c r="BA56" i="26"/>
  <c r="BA20" i="27"/>
  <c r="Z19" i="27"/>
  <c r="Z42" i="27"/>
  <c r="Z21" i="27"/>
  <c r="Z6" i="27"/>
  <c r="Z47" i="27"/>
  <c r="Z20" i="27"/>
  <c r="Z24" i="27"/>
  <c r="Z9" i="27"/>
  <c r="Z23" i="27"/>
  <c r="Z49" i="27"/>
  <c r="C54" i="26"/>
  <c r="AA53" i="28"/>
  <c r="AA63" i="26"/>
  <c r="W23" i="27"/>
  <c r="W49" i="27"/>
  <c r="W4" i="27"/>
  <c r="W40" i="27"/>
  <c r="W16" i="27"/>
  <c r="W6" i="27"/>
  <c r="W47" i="27"/>
  <c r="W45" i="27"/>
  <c r="W26" i="27"/>
  <c r="W36" i="27"/>
  <c r="W14" i="27"/>
  <c r="W34" i="27"/>
  <c r="W3" i="27"/>
  <c r="W32" i="27"/>
  <c r="W15" i="27"/>
  <c r="W44" i="27"/>
  <c r="W9" i="27"/>
  <c r="W13" i="27"/>
  <c r="W33" i="27"/>
  <c r="W29" i="27"/>
  <c r="W19" i="27"/>
  <c r="W42" i="27"/>
  <c r="W8" i="27"/>
  <c r="W41" i="27"/>
  <c r="W24" i="27"/>
  <c r="V25" i="27"/>
  <c r="V26" i="27"/>
  <c r="V36" i="27"/>
  <c r="V15" i="27"/>
  <c r="V44" i="27"/>
  <c r="V13" i="27"/>
  <c r="V33" i="27"/>
  <c r="V22" i="27"/>
  <c r="V37" i="27"/>
  <c r="V30" i="27"/>
  <c r="V35" i="27"/>
  <c r="V7" i="27"/>
  <c r="V16" i="27"/>
  <c r="V4" i="27"/>
  <c r="V40" i="27"/>
  <c r="V28" i="27"/>
  <c r="V43" i="27"/>
  <c r="V3" i="27"/>
  <c r="V32" i="27"/>
  <c r="V6" i="27"/>
  <c r="V47" i="27"/>
  <c r="V10" i="27"/>
  <c r="V46" i="27"/>
  <c r="V14" i="27"/>
  <c r="V34" i="27"/>
  <c r="V29" i="27"/>
  <c r="V24" i="27"/>
  <c r="V20" i="27"/>
  <c r="V23" i="27"/>
  <c r="V49" i="27"/>
  <c r="V19" i="27"/>
  <c r="V42" i="27"/>
  <c r="V8" i="27"/>
  <c r="V41" i="27"/>
  <c r="V21" i="27"/>
  <c r="V9" i="27"/>
  <c r="V11" i="27"/>
  <c r="V39" i="27"/>
  <c r="V12" i="27"/>
  <c r="T6" i="27"/>
  <c r="T47" i="27"/>
  <c r="T18" i="27"/>
  <c r="T15" i="27"/>
  <c r="T44" i="27"/>
  <c r="T19" i="27"/>
  <c r="T42" i="27"/>
  <c r="T12" i="27"/>
  <c r="S3" i="27"/>
  <c r="S32" i="27"/>
  <c r="S22" i="27"/>
  <c r="S37" i="27"/>
  <c r="S30" i="27"/>
  <c r="S35" i="27"/>
  <c r="S25" i="27"/>
  <c r="S25" i="28"/>
  <c r="S64" i="28"/>
  <c r="S26" i="27"/>
  <c r="S36" i="27"/>
  <c r="S9" i="27"/>
  <c r="S10" i="27"/>
  <c r="S46" i="27"/>
  <c r="S23" i="27"/>
  <c r="S49" i="27"/>
  <c r="S28" i="27"/>
  <c r="S43" i="27"/>
  <c r="S18" i="27"/>
  <c r="S21" i="27"/>
  <c r="S13" i="27"/>
  <c r="S33" i="27"/>
  <c r="S8" i="27"/>
  <c r="S41" i="27"/>
  <c r="S16" i="27"/>
  <c r="S7" i="27"/>
  <c r="S29" i="27"/>
  <c r="S15" i="27"/>
  <c r="S44" i="27"/>
  <c r="S6" i="27"/>
  <c r="S47" i="27"/>
  <c r="S12" i="27"/>
  <c r="S11" i="27"/>
  <c r="S39" i="27"/>
  <c r="S14" i="27"/>
  <c r="S34" i="27"/>
  <c r="S20" i="27"/>
  <c r="S20" i="28"/>
  <c r="R9" i="28"/>
  <c r="R68" i="28"/>
  <c r="R18" i="27"/>
  <c r="P30" i="28"/>
  <c r="P35" i="28"/>
  <c r="L7" i="27"/>
  <c r="L6" i="27"/>
  <c r="L47" i="27"/>
  <c r="L10" i="27"/>
  <c r="L46" i="27"/>
  <c r="L12" i="27"/>
  <c r="L25" i="27"/>
  <c r="L16" i="27"/>
  <c r="L18" i="27"/>
  <c r="K29" i="27"/>
  <c r="K21" i="27"/>
  <c r="K9" i="27"/>
  <c r="K27" i="27"/>
  <c r="K12" i="27"/>
  <c r="K19" i="27"/>
  <c r="K42" i="27"/>
  <c r="K25" i="27"/>
  <c r="K11" i="27"/>
  <c r="K39" i="27"/>
  <c r="K6" i="27"/>
  <c r="K47" i="27"/>
  <c r="K24" i="27"/>
  <c r="K23" i="27"/>
  <c r="K49" i="27"/>
  <c r="K10" i="27"/>
  <c r="K46" i="27"/>
  <c r="K24" i="28"/>
  <c r="C24" i="28"/>
  <c r="K7" i="27"/>
  <c r="K8" i="27"/>
  <c r="K41" i="27"/>
  <c r="K15" i="27"/>
  <c r="K44" i="27"/>
  <c r="K14" i="27"/>
  <c r="K34" i="27"/>
  <c r="K28" i="27"/>
  <c r="K43" i="27"/>
  <c r="K3" i="27"/>
  <c r="K32" i="27"/>
  <c r="K16" i="27"/>
  <c r="K4" i="27"/>
  <c r="K40" i="27"/>
  <c r="K20" i="27"/>
  <c r="K30" i="27"/>
  <c r="K35" i="27"/>
  <c r="K26" i="27"/>
  <c r="K36" i="27"/>
  <c r="K22" i="27"/>
  <c r="K37" i="27"/>
  <c r="AB48" i="26"/>
  <c r="J12" i="27"/>
  <c r="J25" i="27"/>
  <c r="J22" i="27"/>
  <c r="J37" i="27"/>
  <c r="J14" i="27"/>
  <c r="J34" i="27"/>
  <c r="J23" i="27"/>
  <c r="J49" i="27"/>
  <c r="J3" i="27"/>
  <c r="J32" i="27"/>
  <c r="J29" i="27"/>
  <c r="J6" i="27"/>
  <c r="J47" i="27"/>
  <c r="J10" i="27"/>
  <c r="J46" i="27"/>
  <c r="J15" i="27"/>
  <c r="J44" i="27"/>
  <c r="J8" i="27"/>
  <c r="J41" i="27"/>
  <c r="J11" i="27"/>
  <c r="J39" i="27"/>
  <c r="J7" i="27"/>
  <c r="J20" i="27"/>
  <c r="H3" i="27"/>
  <c r="H32" i="27"/>
  <c r="H20" i="27"/>
  <c r="D22" i="27"/>
  <c r="D14" i="27"/>
  <c r="D12" i="27"/>
  <c r="D7" i="27"/>
  <c r="D4" i="27"/>
  <c r="D30" i="27"/>
  <c r="D13" i="27"/>
  <c r="D8" i="27"/>
  <c r="D27" i="27"/>
  <c r="D25" i="27"/>
  <c r="D18" i="27"/>
  <c r="D28" i="27"/>
  <c r="E10" i="27"/>
  <c r="E46" i="27"/>
  <c r="E29" i="27"/>
  <c r="E20" i="27"/>
  <c r="I20" i="27"/>
  <c r="P20" i="27"/>
  <c r="R20" i="27"/>
  <c r="X20" i="27"/>
  <c r="C20" i="27"/>
  <c r="E26" i="27"/>
  <c r="E36" i="27"/>
  <c r="E12" i="27"/>
  <c r="E9" i="27"/>
  <c r="E30" i="27"/>
  <c r="E35" i="27"/>
  <c r="E27" i="27"/>
  <c r="E3" i="27"/>
  <c r="E32" i="27"/>
  <c r="E22" i="27"/>
  <c r="E37" i="27"/>
  <c r="E16" i="27"/>
  <c r="H16" i="27"/>
  <c r="I16" i="27"/>
  <c r="P16" i="27"/>
  <c r="X16" i="27"/>
  <c r="Z16" i="27"/>
  <c r="C16" i="27"/>
  <c r="E18" i="27"/>
  <c r="E15" i="27"/>
  <c r="E44" i="27"/>
  <c r="E19" i="27"/>
  <c r="E42" i="27"/>
  <c r="E13" i="27"/>
  <c r="E33" i="27"/>
  <c r="E24" i="27"/>
  <c r="AA23" i="28"/>
  <c r="AA49" i="28"/>
  <c r="J27" i="28"/>
  <c r="J62" i="28"/>
  <c r="AX12" i="28"/>
  <c r="AX74" i="28"/>
  <c r="AH9" i="28"/>
  <c r="F20" i="28"/>
  <c r="F56" i="28"/>
  <c r="AP76" i="28"/>
  <c r="X28" i="28"/>
  <c r="X43" i="28"/>
  <c r="AX76" i="28"/>
  <c r="AN29" i="28"/>
  <c r="AN71" i="28"/>
  <c r="E31" i="4"/>
  <c r="AP48" i="27"/>
  <c r="G8" i="15"/>
  <c r="AH24" i="28"/>
  <c r="AT24" i="28"/>
  <c r="AY24" i="28"/>
  <c r="AC24" i="28"/>
  <c r="AH24" i="27"/>
  <c r="AH9" i="27"/>
  <c r="R29" i="27"/>
  <c r="AQ9" i="17"/>
  <c r="I68" i="17"/>
  <c r="I54" i="17"/>
  <c r="T9" i="17"/>
  <c r="O29" i="15"/>
  <c r="M71" i="15"/>
  <c r="M57" i="15"/>
  <c r="AH29" i="27"/>
  <c r="R6" i="27"/>
  <c r="R47" i="27"/>
  <c r="Z10" i="27"/>
  <c r="Z46" i="27"/>
  <c r="N19" i="28"/>
  <c r="N42" i="28"/>
  <c r="L15" i="28"/>
  <c r="L44" i="28"/>
  <c r="AT20" i="28"/>
  <c r="AT56" i="28"/>
  <c r="R21" i="28"/>
  <c r="R65" i="28"/>
  <c r="AP16" i="28"/>
  <c r="AP72" i="28"/>
  <c r="V14" i="28"/>
  <c r="V34" i="28"/>
  <c r="T16" i="28"/>
  <c r="T58" i="28"/>
  <c r="Y7" i="28"/>
  <c r="X5" i="28"/>
  <c r="Y29" i="28"/>
  <c r="AX31" i="27"/>
  <c r="V29" i="28"/>
  <c r="M27" i="27"/>
  <c r="AQ5" i="17"/>
  <c r="T5" i="17"/>
  <c r="I67" i="17"/>
  <c r="I53" i="17"/>
  <c r="R11" i="27"/>
  <c r="R39" i="27"/>
  <c r="AQ29" i="27"/>
  <c r="BG76" i="17"/>
  <c r="BG62" i="17"/>
  <c r="BI62" i="17"/>
  <c r="R28" i="27"/>
  <c r="R43" i="27"/>
  <c r="AM72" i="27"/>
  <c r="AM58" i="27"/>
  <c r="R19" i="27"/>
  <c r="R42" i="27"/>
  <c r="O4" i="15"/>
  <c r="Q14" i="28"/>
  <c r="Q34" i="28"/>
  <c r="AF9" i="28"/>
  <c r="AF68" i="28"/>
  <c r="X2" i="17"/>
  <c r="R29" i="28"/>
  <c r="R57" i="28"/>
  <c r="R9" i="27"/>
  <c r="Z18" i="27"/>
  <c r="Z27" i="27"/>
  <c r="H13" i="27"/>
  <c r="H33" i="27"/>
  <c r="AQ17" i="17"/>
  <c r="I66" i="17"/>
  <c r="I52" i="17"/>
  <c r="T17" i="17"/>
  <c r="Z25" i="27"/>
  <c r="AN33" i="17"/>
  <c r="AY33" i="17"/>
  <c r="AY13" i="17"/>
  <c r="AQ72" i="27"/>
  <c r="AQ58" i="27"/>
  <c r="AI74" i="27"/>
  <c r="AI60" i="27"/>
  <c r="Z8" i="27"/>
  <c r="Z41" i="27"/>
  <c r="AR40" i="17"/>
  <c r="BC40" i="17"/>
  <c r="BC4" i="17"/>
  <c r="M37" i="15"/>
  <c r="O37" i="15"/>
  <c r="O22" i="15"/>
  <c r="Z12" i="27"/>
  <c r="AQ9" i="27"/>
  <c r="Z3" i="27"/>
  <c r="Z32" i="27"/>
  <c r="BG52" i="17"/>
  <c r="BG66" i="17"/>
  <c r="Z29" i="27"/>
  <c r="N16" i="28"/>
  <c r="N72" i="28"/>
  <c r="AI9" i="28"/>
  <c r="AI68" i="28"/>
  <c r="AX8" i="28"/>
  <c r="AX41" i="28"/>
  <c r="D13" i="28"/>
  <c r="AW23" i="28"/>
  <c r="AW49" i="28"/>
  <c r="G5" i="28"/>
  <c r="G53" i="28"/>
  <c r="AN9" i="17"/>
  <c r="Q9" i="17"/>
  <c r="F68" i="17"/>
  <c r="F54" i="17"/>
  <c r="R10" i="27"/>
  <c r="R46" i="27"/>
  <c r="AJ5" i="27"/>
  <c r="M59" i="15"/>
  <c r="O59" i="15"/>
  <c r="M73" i="15"/>
  <c r="O73" i="15"/>
  <c r="AQ21" i="17"/>
  <c r="I51" i="17"/>
  <c r="T21" i="17"/>
  <c r="I65" i="17"/>
  <c r="AQ46" i="17"/>
  <c r="BB10" i="17"/>
  <c r="AH21" i="27"/>
  <c r="AP9" i="17"/>
  <c r="H68" i="17"/>
  <c r="H63" i="17"/>
  <c r="H54" i="17"/>
  <c r="H48" i="17"/>
  <c r="S9" i="17"/>
  <c r="AQ74" i="17"/>
  <c r="BB74" i="17"/>
  <c r="AQ60" i="17"/>
  <c r="BB60" i="17"/>
  <c r="BB12" i="17"/>
  <c r="R15" i="27"/>
  <c r="R44" i="27"/>
  <c r="M67" i="15"/>
  <c r="O67" i="15"/>
  <c r="M53" i="15"/>
  <c r="O53" i="15"/>
  <c r="G7" i="28"/>
  <c r="G73" i="28"/>
  <c r="G31" i="17"/>
  <c r="AR8" i="28"/>
  <c r="AR41" i="28"/>
  <c r="R13" i="28"/>
  <c r="R33" i="28"/>
  <c r="H15" i="28"/>
  <c r="H44" i="28"/>
  <c r="Q26" i="28"/>
  <c r="Q36" i="28"/>
  <c r="R72" i="15"/>
  <c r="AN5" i="17"/>
  <c r="Q5" i="17"/>
  <c r="F67" i="17"/>
  <c r="F53" i="17"/>
  <c r="Z26" i="27"/>
  <c r="Z36" i="27"/>
  <c r="AH17" i="27"/>
  <c r="AN24" i="17"/>
  <c r="Q24" i="17"/>
  <c r="F69" i="17"/>
  <c r="F55" i="17"/>
  <c r="AJ17" i="27"/>
  <c r="R7" i="27"/>
  <c r="H30" i="27"/>
  <c r="H35" i="27"/>
  <c r="R23" i="27"/>
  <c r="R49" i="27"/>
  <c r="N41" i="17"/>
  <c r="Y41" i="17"/>
  <c r="Y8" i="17"/>
  <c r="AZ23" i="28"/>
  <c r="AZ49" i="28"/>
  <c r="AF21" i="28"/>
  <c r="AF51" i="28"/>
  <c r="AN17" i="17"/>
  <c r="Q17" i="17"/>
  <c r="F66" i="17"/>
  <c r="F52" i="17"/>
  <c r="AQ29" i="17"/>
  <c r="I71" i="17"/>
  <c r="I57" i="17"/>
  <c r="T29" i="17"/>
  <c r="R13" i="27"/>
  <c r="R33" i="27"/>
  <c r="R25" i="27"/>
  <c r="R22" i="27"/>
  <c r="R37" i="27"/>
  <c r="AN21" i="17"/>
  <c r="F65" i="17"/>
  <c r="F51" i="17"/>
  <c r="Q21" i="17"/>
  <c r="AG73" i="28"/>
  <c r="BA61" i="28"/>
  <c r="AN11" i="28"/>
  <c r="AN39" i="28"/>
  <c r="V30" i="28"/>
  <c r="V35" i="28"/>
  <c r="J30" i="28"/>
  <c r="J35" i="28"/>
  <c r="E28" i="28"/>
  <c r="E43" i="28"/>
  <c r="D8" i="28"/>
  <c r="AF7" i="28"/>
  <c r="Z4" i="27"/>
  <c r="Z40" i="27"/>
  <c r="H19" i="27"/>
  <c r="H42" i="27"/>
  <c r="R12" i="27"/>
  <c r="AQ5" i="27"/>
  <c r="Z28" i="27"/>
  <c r="Z43" i="27"/>
  <c r="AQ24" i="17"/>
  <c r="T24" i="17"/>
  <c r="I69" i="17"/>
  <c r="I55" i="17"/>
  <c r="R26" i="27"/>
  <c r="R36" i="27"/>
  <c r="BD11" i="17"/>
  <c r="AS39" i="17"/>
  <c r="BD39" i="17"/>
  <c r="AJ29" i="27"/>
  <c r="R14" i="27"/>
  <c r="R34" i="27"/>
  <c r="R10" i="15"/>
  <c r="BI27" i="17"/>
  <c r="AL10" i="28"/>
  <c r="AL46" i="28"/>
  <c r="AM14" i="28"/>
  <c r="AM34" i="28"/>
  <c r="AV23" i="28"/>
  <c r="AV49" i="28"/>
  <c r="R27" i="27"/>
  <c r="Z11" i="27"/>
  <c r="Z39" i="27"/>
  <c r="R8" i="27"/>
  <c r="R41" i="27"/>
  <c r="Z7" i="27"/>
  <c r="R24" i="27"/>
  <c r="R30" i="27"/>
  <c r="R35" i="27"/>
  <c r="AH5" i="27"/>
  <c r="AD9" i="28"/>
  <c r="D28" i="28"/>
  <c r="AJ29" i="28"/>
  <c r="AJ57" i="28"/>
  <c r="AK27" i="28"/>
  <c r="AK76" i="28"/>
  <c r="AQ23" i="28"/>
  <c r="AQ49" i="28"/>
  <c r="AW29" i="28"/>
  <c r="AW57" i="28"/>
  <c r="Z30" i="27"/>
  <c r="Z35" i="27"/>
  <c r="R4" i="27"/>
  <c r="R40" i="27"/>
  <c r="R3" i="27"/>
  <c r="R32" i="27"/>
  <c r="Z13" i="27"/>
  <c r="Z33" i="27"/>
  <c r="AV6" i="28"/>
  <c r="AV47" i="28"/>
  <c r="AX3" i="28"/>
  <c r="AX32" i="28"/>
  <c r="AH75" i="27"/>
  <c r="Y27" i="27"/>
  <c r="AP5" i="17"/>
  <c r="H53" i="17"/>
  <c r="S5" i="17"/>
  <c r="H67" i="17"/>
  <c r="Z22" i="27"/>
  <c r="Z37" i="27"/>
  <c r="Z15" i="27"/>
  <c r="Z44" i="27"/>
  <c r="M66" i="15"/>
  <c r="O66" i="15"/>
  <c r="M52" i="15"/>
  <c r="O52" i="15"/>
  <c r="AN29" i="17"/>
  <c r="F71" i="17"/>
  <c r="F57" i="17"/>
  <c r="Q29" i="17"/>
  <c r="E27" i="17"/>
  <c r="E62" i="17"/>
  <c r="AC76" i="26"/>
  <c r="AC62" i="26"/>
  <c r="AO32" i="17"/>
  <c r="AZ32" i="17"/>
  <c r="AZ3" i="17"/>
  <c r="K53" i="27"/>
  <c r="K67" i="27"/>
  <c r="AW11" i="27"/>
  <c r="AW17" i="27"/>
  <c r="AR17" i="17"/>
  <c r="J66" i="17"/>
  <c r="J63" i="17"/>
  <c r="U17" i="17"/>
  <c r="J52" i="17"/>
  <c r="J48" i="17"/>
  <c r="AE23" i="27"/>
  <c r="AE49" i="27"/>
  <c r="AE30" i="27"/>
  <c r="I6" i="27"/>
  <c r="I47" i="27"/>
  <c r="I45" i="27"/>
  <c r="I21" i="27"/>
  <c r="AY14" i="17"/>
  <c r="AN34" i="17"/>
  <c r="AY34" i="17"/>
  <c r="AR54" i="17"/>
  <c r="BC54" i="17"/>
  <c r="BC9" i="17"/>
  <c r="BB23" i="28"/>
  <c r="BB49" i="28"/>
  <c r="AZ18" i="17"/>
  <c r="AE19" i="28"/>
  <c r="AE42" i="28"/>
  <c r="AH22" i="28"/>
  <c r="AH37" i="28"/>
  <c r="AJ22" i="28"/>
  <c r="AJ37" i="28"/>
  <c r="AV29" i="28"/>
  <c r="T58" i="15"/>
  <c r="AJ55" i="28"/>
  <c r="AJ69" i="28"/>
  <c r="E75" i="15"/>
  <c r="G75" i="15"/>
  <c r="E61" i="15"/>
  <c r="G61" i="15"/>
  <c r="AW2" i="27"/>
  <c r="AW38" i="27"/>
  <c r="AR29" i="17"/>
  <c r="U29" i="17"/>
  <c r="J71" i="17"/>
  <c r="J57" i="17"/>
  <c r="Q61" i="27"/>
  <c r="Q75" i="27"/>
  <c r="AE24" i="27"/>
  <c r="I29" i="27"/>
  <c r="I24" i="27"/>
  <c r="D58" i="27"/>
  <c r="D72" i="27"/>
  <c r="E57" i="15"/>
  <c r="G57" i="15"/>
  <c r="E71" i="15"/>
  <c r="G71" i="15"/>
  <c r="H7" i="27"/>
  <c r="AO61" i="17"/>
  <c r="AO48" i="17"/>
  <c r="AC49" i="26"/>
  <c r="AV28" i="28"/>
  <c r="AV43" i="28"/>
  <c r="Q64" i="27"/>
  <c r="Q50" i="27"/>
  <c r="AW12" i="27"/>
  <c r="AR20" i="17"/>
  <c r="J70" i="17"/>
  <c r="J56" i="17"/>
  <c r="AP72" i="17"/>
  <c r="BA72" i="17"/>
  <c r="AP58" i="17"/>
  <c r="BA58" i="17"/>
  <c r="BA16" i="17"/>
  <c r="I76" i="27"/>
  <c r="I62" i="27"/>
  <c r="E73" i="15"/>
  <c r="G73" i="15"/>
  <c r="E59" i="15"/>
  <c r="G59" i="15"/>
  <c r="AG25" i="17"/>
  <c r="V50" i="17"/>
  <c r="AG50" i="17"/>
  <c r="V64" i="17"/>
  <c r="AG64" i="17"/>
  <c r="AE29" i="27"/>
  <c r="AJ60" i="27"/>
  <c r="AJ74" i="27"/>
  <c r="I13" i="27"/>
  <c r="I33" i="27"/>
  <c r="I3" i="27"/>
  <c r="I32" i="27"/>
  <c r="E76" i="15"/>
  <c r="G76" i="15"/>
  <c r="E62" i="15"/>
  <c r="G62" i="15"/>
  <c r="AN60" i="17"/>
  <c r="AY60" i="17"/>
  <c r="AN74" i="17"/>
  <c r="AY74" i="17"/>
  <c r="AY12" i="17"/>
  <c r="AX64" i="27"/>
  <c r="AX50" i="27"/>
  <c r="AY29" i="28"/>
  <c r="AY71" i="28"/>
  <c r="G22" i="28"/>
  <c r="G37" i="28"/>
  <c r="AW9" i="28"/>
  <c r="AE23" i="28"/>
  <c r="AE49" i="28"/>
  <c r="AB15" i="17"/>
  <c r="K31" i="17"/>
  <c r="G19" i="28"/>
  <c r="G42" i="28"/>
  <c r="AR27" i="28"/>
  <c r="AR76" i="28"/>
  <c r="AE28" i="28"/>
  <c r="AE43" i="28"/>
  <c r="S18" i="28"/>
  <c r="G13" i="15"/>
  <c r="BD4" i="17"/>
  <c r="H25" i="27"/>
  <c r="H18" i="27"/>
  <c r="H4" i="27"/>
  <c r="H40" i="27"/>
  <c r="L57" i="27"/>
  <c r="L71" i="27"/>
  <c r="M75" i="15"/>
  <c r="O75" i="15"/>
  <c r="M61" i="15"/>
  <c r="O61" i="15"/>
  <c r="E66" i="15"/>
  <c r="G66" i="15"/>
  <c r="E52" i="15"/>
  <c r="Y67" i="27"/>
  <c r="Y53" i="27"/>
  <c r="AW28" i="27"/>
  <c r="AW43" i="27"/>
  <c r="AE25" i="27"/>
  <c r="AE25" i="28"/>
  <c r="AW25" i="28"/>
  <c r="AC25" i="28"/>
  <c r="AE15" i="27"/>
  <c r="AE44" i="27"/>
  <c r="I30" i="27"/>
  <c r="I35" i="27"/>
  <c r="I28" i="27"/>
  <c r="I43" i="27"/>
  <c r="E54" i="15"/>
  <c r="G54" i="15"/>
  <c r="E68" i="15"/>
  <c r="G68" i="15"/>
  <c r="V41" i="17"/>
  <c r="AG41" i="17"/>
  <c r="AG8" i="17"/>
  <c r="S4" i="28"/>
  <c r="S40" i="28"/>
  <c r="AJ16" i="28"/>
  <c r="AJ72" i="28"/>
  <c r="AZ22" i="28"/>
  <c r="AZ37" i="28"/>
  <c r="M30" i="28"/>
  <c r="M35" i="28"/>
  <c r="J20" i="28"/>
  <c r="J70" i="28"/>
  <c r="Q52" i="28"/>
  <c r="AF63" i="27"/>
  <c r="BC11" i="17"/>
  <c r="G48" i="17"/>
  <c r="V28" i="28"/>
  <c r="V43" i="28"/>
  <c r="AF4" i="28"/>
  <c r="AF40" i="28"/>
  <c r="AG61" i="27"/>
  <c r="AX56" i="27"/>
  <c r="AZ71" i="28"/>
  <c r="H28" i="27"/>
  <c r="H43" i="27"/>
  <c r="H6" i="27"/>
  <c r="H47" i="27"/>
  <c r="M66" i="27"/>
  <c r="M52" i="27"/>
  <c r="AW29" i="27"/>
  <c r="AW19" i="27"/>
  <c r="AM71" i="27"/>
  <c r="AM57" i="27"/>
  <c r="AE10" i="27"/>
  <c r="AE46" i="27"/>
  <c r="AE16" i="27"/>
  <c r="AC16" i="27"/>
  <c r="I15" i="27"/>
  <c r="I44" i="27"/>
  <c r="I7" i="27"/>
  <c r="AQ14" i="28"/>
  <c r="AQ34" i="28"/>
  <c r="R14" i="15"/>
  <c r="AY7" i="28"/>
  <c r="AY73" i="28"/>
  <c r="AF27" i="28"/>
  <c r="AF62" i="28"/>
  <c r="T52" i="28"/>
  <c r="AF48" i="27"/>
  <c r="O70" i="15"/>
  <c r="AD8" i="28"/>
  <c r="AN4" i="28"/>
  <c r="AN40" i="28"/>
  <c r="R73" i="15"/>
  <c r="C62" i="26"/>
  <c r="AW12" i="28"/>
  <c r="H22" i="27"/>
  <c r="H37" i="27"/>
  <c r="BC30" i="17"/>
  <c r="AR35" i="17"/>
  <c r="BC35" i="17"/>
  <c r="AA72" i="27"/>
  <c r="AA58" i="27"/>
  <c r="AW13" i="27"/>
  <c r="AW33" i="27"/>
  <c r="AW21" i="27"/>
  <c r="AE17" i="27"/>
  <c r="I12" i="27"/>
  <c r="BG37" i="17"/>
  <c r="BI22" i="17"/>
  <c r="AS41" i="17"/>
  <c r="BD41" i="17"/>
  <c r="BD8" i="17"/>
  <c r="S16" i="28"/>
  <c r="S58" i="28"/>
  <c r="AH5" i="28"/>
  <c r="AH67" i="28"/>
  <c r="R26" i="15"/>
  <c r="AF18" i="28"/>
  <c r="AF61" i="28"/>
  <c r="Y4" i="28"/>
  <c r="Y40" i="28"/>
  <c r="AM6" i="28"/>
  <c r="AM47" i="28"/>
  <c r="AQ3" i="28"/>
  <c r="AQ32" i="28"/>
  <c r="AL14" i="28"/>
  <c r="AL34" i="28"/>
  <c r="AR68" i="17"/>
  <c r="BC68" i="17"/>
  <c r="AI28" i="28"/>
  <c r="AI43" i="28"/>
  <c r="AY14" i="28"/>
  <c r="AY34" i="28"/>
  <c r="AN6" i="28"/>
  <c r="AN47" i="28"/>
  <c r="AN45" i="28"/>
  <c r="AW75" i="27"/>
  <c r="AT29" i="28"/>
  <c r="AT57" i="28"/>
  <c r="AT27" i="28"/>
  <c r="H8" i="27"/>
  <c r="H41" i="27"/>
  <c r="D56" i="27"/>
  <c r="D70" i="27"/>
  <c r="AW30" i="27"/>
  <c r="AW35" i="27"/>
  <c r="J68" i="27"/>
  <c r="J54" i="27"/>
  <c r="AE2" i="27"/>
  <c r="AE38" i="27"/>
  <c r="I26" i="27"/>
  <c r="I36" i="27"/>
  <c r="I14" i="27"/>
  <c r="I34" i="27"/>
  <c r="N58" i="17"/>
  <c r="N72" i="17"/>
  <c r="Y16" i="17"/>
  <c r="G69" i="27"/>
  <c r="G55" i="27"/>
  <c r="AN5" i="28"/>
  <c r="AN67" i="28"/>
  <c r="S12" i="28"/>
  <c r="S60" i="28"/>
  <c r="S30" i="28"/>
  <c r="S35" i="28"/>
  <c r="AW53" i="27"/>
  <c r="X15" i="17"/>
  <c r="I15" i="28"/>
  <c r="I44" i="28"/>
  <c r="AL11" i="28"/>
  <c r="AL39" i="28"/>
  <c r="AZ3" i="28"/>
  <c r="AZ32" i="28"/>
  <c r="AI14" i="28"/>
  <c r="AI34" i="28"/>
  <c r="AY31" i="27"/>
  <c r="AL56" i="27"/>
  <c r="AK15" i="28"/>
  <c r="AK44" i="28"/>
  <c r="AG23" i="28"/>
  <c r="AG49" i="28"/>
  <c r="AR58" i="28"/>
  <c r="AC58" i="26"/>
  <c r="AZ28" i="17"/>
  <c r="U43" i="17"/>
  <c r="AF43" i="17"/>
  <c r="H2" i="27"/>
  <c r="H38" i="27"/>
  <c r="E51" i="27"/>
  <c r="E65" i="27"/>
  <c r="AW41" i="27"/>
  <c r="AW14" i="27"/>
  <c r="M74" i="15"/>
  <c r="O74" i="15"/>
  <c r="M60" i="15"/>
  <c r="O60" i="15"/>
  <c r="AE5" i="27"/>
  <c r="I8" i="27"/>
  <c r="I41" i="27"/>
  <c r="I22" i="27"/>
  <c r="I37" i="27"/>
  <c r="AR42" i="17"/>
  <c r="BC42" i="17"/>
  <c r="BC19" i="17"/>
  <c r="AX9" i="28"/>
  <c r="AX68" i="28"/>
  <c r="AR31" i="27"/>
  <c r="AB45" i="28"/>
  <c r="BB73" i="28"/>
  <c r="Q63" i="17"/>
  <c r="P63" i="15"/>
  <c r="AK28" i="28"/>
  <c r="AK43" i="28"/>
  <c r="G28" i="15"/>
  <c r="H12" i="27"/>
  <c r="AW25" i="27"/>
  <c r="AW3" i="27"/>
  <c r="AW32" i="27"/>
  <c r="M62" i="15"/>
  <c r="O62" i="15"/>
  <c r="M76" i="15"/>
  <c r="O76" i="15"/>
  <c r="S69" i="27"/>
  <c r="S55" i="27"/>
  <c r="AE21" i="27"/>
  <c r="AE9" i="27"/>
  <c r="I23" i="27"/>
  <c r="I49" i="27"/>
  <c r="I25" i="27"/>
  <c r="T50" i="17"/>
  <c r="AE50" i="17"/>
  <c r="T64" i="17"/>
  <c r="AE64" i="17"/>
  <c r="AE25" i="17"/>
  <c r="K8" i="28"/>
  <c r="K41" i="28"/>
  <c r="AQ5" i="28"/>
  <c r="AQ67" i="28"/>
  <c r="P13" i="28"/>
  <c r="P33" i="28"/>
  <c r="D21" i="28"/>
  <c r="AG10" i="28"/>
  <c r="AG46" i="28"/>
  <c r="AJ4" i="28"/>
  <c r="AJ40" i="28"/>
  <c r="AI23" i="28"/>
  <c r="AI49" i="28"/>
  <c r="U20" i="17"/>
  <c r="U70" i="17"/>
  <c r="AF70" i="17"/>
  <c r="Q56" i="27"/>
  <c r="G7" i="15"/>
  <c r="H15" i="27"/>
  <c r="H44" i="27"/>
  <c r="X6" i="27"/>
  <c r="X47" i="27"/>
  <c r="R51" i="27"/>
  <c r="R65" i="27"/>
  <c r="AW9" i="27"/>
  <c r="AR24" i="17"/>
  <c r="U24" i="17"/>
  <c r="J69" i="17"/>
  <c r="J55" i="17"/>
  <c r="M33" i="15"/>
  <c r="O13" i="15"/>
  <c r="Y68" i="27"/>
  <c r="Y54" i="27"/>
  <c r="AR75" i="27"/>
  <c r="AR61" i="27"/>
  <c r="AE6" i="27"/>
  <c r="AE47" i="27"/>
  <c r="I9" i="27"/>
  <c r="AH70" i="27"/>
  <c r="AH56" i="27"/>
  <c r="U42" i="17"/>
  <c r="AF42" i="17"/>
  <c r="AF19" i="17"/>
  <c r="AO63" i="17"/>
  <c r="F14" i="28"/>
  <c r="F34" i="28"/>
  <c r="I6" i="28"/>
  <c r="I47" i="28"/>
  <c r="E11" i="17"/>
  <c r="E39" i="17"/>
  <c r="G74" i="15"/>
  <c r="AK16" i="28"/>
  <c r="AK58" i="28"/>
  <c r="AT16" i="28"/>
  <c r="AT72" i="28"/>
  <c r="I29" i="28"/>
  <c r="I57" i="28"/>
  <c r="Z23" i="28"/>
  <c r="Z49" i="28"/>
  <c r="K23" i="28"/>
  <c r="K49" i="28"/>
  <c r="AM4" i="28"/>
  <c r="AM40" i="28"/>
  <c r="AP7" i="28"/>
  <c r="H10" i="27"/>
  <c r="H46" i="27"/>
  <c r="AW10" i="27"/>
  <c r="AW46" i="27"/>
  <c r="AW45" i="27"/>
  <c r="AR21" i="17"/>
  <c r="U21" i="17"/>
  <c r="J51" i="17"/>
  <c r="J65" i="17"/>
  <c r="AE22" i="27"/>
  <c r="AE28" i="27"/>
  <c r="I19" i="27"/>
  <c r="I42" i="27"/>
  <c r="I11" i="27"/>
  <c r="I39" i="27"/>
  <c r="AO70" i="27"/>
  <c r="AO56" i="27"/>
  <c r="T15" i="28"/>
  <c r="T44" i="28"/>
  <c r="AO62" i="28"/>
  <c r="R55" i="15"/>
  <c r="R28" i="28"/>
  <c r="R43" i="28"/>
  <c r="AH15" i="28"/>
  <c r="AH44" i="28"/>
  <c r="L16" i="28"/>
  <c r="L58" i="28"/>
  <c r="AF15" i="28"/>
  <c r="AF44" i="28"/>
  <c r="O16" i="28"/>
  <c r="AI45" i="28"/>
  <c r="F9" i="28"/>
  <c r="F68" i="28"/>
  <c r="AS43" i="17"/>
  <c r="BD43" i="17"/>
  <c r="AD22" i="28"/>
  <c r="AI8" i="28"/>
  <c r="AI41" i="28"/>
  <c r="K6" i="28"/>
  <c r="K47" i="28"/>
  <c r="AP4" i="28"/>
  <c r="AP40" i="28"/>
  <c r="O14" i="15"/>
  <c r="AR69" i="28"/>
  <c r="AR55" i="28"/>
  <c r="K75" i="27"/>
  <c r="K61" i="27"/>
  <c r="AW26" i="27"/>
  <c r="AW36" i="27"/>
  <c r="AW24" i="27"/>
  <c r="AR5" i="17"/>
  <c r="J67" i="17"/>
  <c r="J53" i="17"/>
  <c r="U5" i="17"/>
  <c r="AE7" i="27"/>
  <c r="AC7" i="27"/>
  <c r="AE13" i="27"/>
  <c r="AS65" i="27"/>
  <c r="AS51" i="27"/>
  <c r="AY24" i="27"/>
  <c r="P26" i="27"/>
  <c r="N12" i="27"/>
  <c r="P25" i="27"/>
  <c r="AY17" i="27"/>
  <c r="AI62" i="27"/>
  <c r="AI76" i="27"/>
  <c r="P11" i="27"/>
  <c r="AM12" i="28"/>
  <c r="J27" i="27"/>
  <c r="X19" i="27"/>
  <c r="X42" i="27"/>
  <c r="P29" i="27"/>
  <c r="AW55" i="28"/>
  <c r="AW69" i="28"/>
  <c r="D56" i="15"/>
  <c r="D70" i="15"/>
  <c r="Z12" i="28"/>
  <c r="X27" i="27"/>
  <c r="P12" i="27"/>
  <c r="P10" i="27"/>
  <c r="P14" i="27"/>
  <c r="AS21" i="17"/>
  <c r="K65" i="17"/>
  <c r="K51" i="17"/>
  <c r="V21" i="17"/>
  <c r="AT9" i="27"/>
  <c r="AB65" i="27"/>
  <c r="AB51" i="27"/>
  <c r="BA62" i="27"/>
  <c r="BA76" i="27"/>
  <c r="AW56" i="27"/>
  <c r="AW70" i="27"/>
  <c r="AJ30" i="28"/>
  <c r="AJ35" i="28"/>
  <c r="G4" i="28"/>
  <c r="G40" i="28"/>
  <c r="W12" i="27"/>
  <c r="X12" i="27"/>
  <c r="X26" i="27"/>
  <c r="X36" i="27"/>
  <c r="AV12" i="28"/>
  <c r="X10" i="27"/>
  <c r="X46" i="27"/>
  <c r="X30" i="27"/>
  <c r="X35" i="27"/>
  <c r="X14" i="27"/>
  <c r="X34" i="27"/>
  <c r="AY9" i="27"/>
  <c r="AA62" i="27"/>
  <c r="AA76" i="27"/>
  <c r="W54" i="15"/>
  <c r="W68" i="15"/>
  <c r="AS64" i="27"/>
  <c r="AS50" i="27"/>
  <c r="AO58" i="27"/>
  <c r="AO48" i="27"/>
  <c r="AO72" i="27"/>
  <c r="AY18" i="28"/>
  <c r="AY61" i="28"/>
  <c r="AY5" i="28"/>
  <c r="AY5" i="27"/>
  <c r="M14" i="28"/>
  <c r="M34" i="28"/>
  <c r="H7" i="28"/>
  <c r="H73" i="28"/>
  <c r="X18" i="27"/>
  <c r="P30" i="27"/>
  <c r="X29" i="27"/>
  <c r="X28" i="27"/>
  <c r="X43" i="27"/>
  <c r="AY29" i="27"/>
  <c r="AS5" i="17"/>
  <c r="K53" i="17"/>
  <c r="V5" i="17"/>
  <c r="K67" i="17"/>
  <c r="AN61" i="17"/>
  <c r="AN75" i="17"/>
  <c r="AY18" i="17"/>
  <c r="W66" i="15"/>
  <c r="W52" i="15"/>
  <c r="AB61" i="17"/>
  <c r="Q48" i="17"/>
  <c r="L12" i="28"/>
  <c r="P29" i="28"/>
  <c r="P71" i="28"/>
  <c r="P21" i="27"/>
  <c r="P12" i="28"/>
  <c r="AP12" i="28"/>
  <c r="P13" i="27"/>
  <c r="P3" i="27"/>
  <c r="P32" i="27"/>
  <c r="AT7" i="28"/>
  <c r="AT24" i="27"/>
  <c r="AS17" i="17"/>
  <c r="K66" i="17"/>
  <c r="K52" i="17"/>
  <c r="V17" i="17"/>
  <c r="P24" i="27"/>
  <c r="AB72" i="27"/>
  <c r="AB58" i="27"/>
  <c r="D44" i="15"/>
  <c r="G44" i="15"/>
  <c r="G15" i="15"/>
  <c r="K48" i="15"/>
  <c r="Q16" i="28"/>
  <c r="Q72" i="28"/>
  <c r="H16" i="28"/>
  <c r="H58" i="28"/>
  <c r="AG28" i="28"/>
  <c r="AG43" i="28"/>
  <c r="X23" i="27"/>
  <c r="X49" i="27"/>
  <c r="P28" i="27"/>
  <c r="X13" i="27"/>
  <c r="X33" i="27"/>
  <c r="P15" i="27"/>
  <c r="X24" i="27"/>
  <c r="X7" i="27"/>
  <c r="P7" i="27"/>
  <c r="AS24" i="17"/>
  <c r="K69" i="17"/>
  <c r="K55" i="17"/>
  <c r="V24" i="17"/>
  <c r="P9" i="27"/>
  <c r="AO9" i="28"/>
  <c r="AO54" i="28"/>
  <c r="AI4" i="28"/>
  <c r="AI40" i="28"/>
  <c r="AV14" i="28"/>
  <c r="AV34" i="28"/>
  <c r="X25" i="27"/>
  <c r="P23" i="27"/>
  <c r="X9" i="27"/>
  <c r="X15" i="27"/>
  <c r="X44" i="27"/>
  <c r="Q27" i="27"/>
  <c r="AZ7" i="28"/>
  <c r="P8" i="27"/>
  <c r="AQ41" i="17"/>
  <c r="BB41" i="17"/>
  <c r="BB8" i="17"/>
  <c r="O27" i="28"/>
  <c r="O62" i="28"/>
  <c r="AM16" i="28"/>
  <c r="AT29" i="27"/>
  <c r="AS29" i="17"/>
  <c r="V29" i="17"/>
  <c r="K71" i="17"/>
  <c r="K57" i="17"/>
  <c r="P27" i="27"/>
  <c r="P19" i="27"/>
  <c r="W27" i="27"/>
  <c r="D38" i="15"/>
  <c r="G2" i="15"/>
  <c r="N7" i="27"/>
  <c r="N27" i="27"/>
  <c r="P4" i="27"/>
  <c r="J18" i="27"/>
  <c r="P14" i="28"/>
  <c r="P34" i="28"/>
  <c r="AI27" i="28"/>
  <c r="AI76" i="28"/>
  <c r="AT17" i="27"/>
  <c r="X4" i="27"/>
  <c r="X40" i="27"/>
  <c r="X22" i="27"/>
  <c r="X37" i="27"/>
  <c r="AS9" i="17"/>
  <c r="K68" i="17"/>
  <c r="K54" i="17"/>
  <c r="V9" i="17"/>
  <c r="P6" i="27"/>
  <c r="X21" i="27"/>
  <c r="V18" i="27"/>
  <c r="AT5" i="27"/>
  <c r="AP35" i="17"/>
  <c r="BA35" i="17"/>
  <c r="BA30" i="17"/>
  <c r="AZ70" i="27"/>
  <c r="AZ56" i="27"/>
  <c r="AQ75" i="17"/>
  <c r="BB75" i="17"/>
  <c r="BB18" i="17"/>
  <c r="AP61" i="28"/>
  <c r="M22" i="28"/>
  <c r="M37" i="28"/>
  <c r="L10" i="28"/>
  <c r="L46" i="28"/>
  <c r="L14" i="28"/>
  <c r="L34" i="28"/>
  <c r="J26" i="28"/>
  <c r="J36" i="28"/>
  <c r="F26" i="28"/>
  <c r="F36" i="28"/>
  <c r="V23" i="28"/>
  <c r="V49" i="28"/>
  <c r="L21" i="28"/>
  <c r="L65" i="28"/>
  <c r="E7" i="28"/>
  <c r="E73" i="28"/>
  <c r="AI22" i="28"/>
  <c r="AI37" i="28"/>
  <c r="AO13" i="28"/>
  <c r="AO33" i="28"/>
  <c r="W18" i="27"/>
  <c r="R11" i="15"/>
  <c r="AM56" i="27"/>
  <c r="AM70" i="27"/>
  <c r="E51" i="15"/>
  <c r="G51" i="15"/>
  <c r="E65" i="15"/>
  <c r="G65" i="15"/>
  <c r="O25" i="15"/>
  <c r="M64" i="15"/>
  <c r="O64" i="15"/>
  <c r="M50" i="15"/>
  <c r="O50" i="15"/>
  <c r="AV56" i="17"/>
  <c r="AV20" i="17"/>
  <c r="AP39" i="17"/>
  <c r="BA39" i="17"/>
  <c r="BA11" i="17"/>
  <c r="R8" i="28"/>
  <c r="R41" i="28"/>
  <c r="W8" i="28"/>
  <c r="W41" i="28"/>
  <c r="Y15" i="28"/>
  <c r="Y44" i="28"/>
  <c r="AG26" i="28"/>
  <c r="AG36" i="28"/>
  <c r="Z21" i="28"/>
  <c r="M21" i="28"/>
  <c r="M65" i="28"/>
  <c r="AN13" i="28"/>
  <c r="AN33" i="28"/>
  <c r="AK9" i="28"/>
  <c r="AQ49" i="17"/>
  <c r="BB49" i="17"/>
  <c r="BB23" i="17"/>
  <c r="E39" i="15"/>
  <c r="G39" i="15"/>
  <c r="G11" i="15"/>
  <c r="S41" i="17"/>
  <c r="AD41" i="17"/>
  <c r="AD8" i="17"/>
  <c r="AS56" i="27"/>
  <c r="AS70" i="27"/>
  <c r="AV65" i="17"/>
  <c r="AV21" i="17"/>
  <c r="L4" i="28"/>
  <c r="L40" i="28"/>
  <c r="E52" i="28"/>
  <c r="E66" i="28"/>
  <c r="Y18" i="27"/>
  <c r="AM13" i="28"/>
  <c r="AM33" i="28"/>
  <c r="AV70" i="27"/>
  <c r="AV56" i="27"/>
  <c r="F76" i="27"/>
  <c r="F62" i="27"/>
  <c r="AV74" i="17"/>
  <c r="AV60" i="17"/>
  <c r="AV12" i="17"/>
  <c r="T13" i="28"/>
  <c r="T33" i="28"/>
  <c r="P2" i="27"/>
  <c r="P38" i="27"/>
  <c r="AS29" i="28"/>
  <c r="BA28" i="17"/>
  <c r="AP43" i="17"/>
  <c r="BA43" i="17"/>
  <c r="T49" i="17"/>
  <c r="AE49" i="17"/>
  <c r="AE23" i="17"/>
  <c r="AV50" i="17"/>
  <c r="AO49" i="17"/>
  <c r="AZ49" i="17"/>
  <c r="AZ23" i="17"/>
  <c r="E70" i="15"/>
  <c r="E56" i="15"/>
  <c r="G20" i="15"/>
  <c r="V76" i="27"/>
  <c r="V62" i="27"/>
  <c r="AV55" i="17"/>
  <c r="AV24" i="17"/>
  <c r="P61" i="27"/>
  <c r="P75" i="27"/>
  <c r="V2" i="27"/>
  <c r="V38" i="27"/>
  <c r="O11" i="15"/>
  <c r="BB28" i="17"/>
  <c r="AQ43" i="17"/>
  <c r="BB43" i="17"/>
  <c r="AV62" i="17"/>
  <c r="AV27" i="17"/>
  <c r="H76" i="27"/>
  <c r="H62" i="27"/>
  <c r="R18" i="28"/>
  <c r="R61" i="28"/>
  <c r="O15" i="28"/>
  <c r="O44" i="28"/>
  <c r="K18" i="28"/>
  <c r="K75" i="28"/>
  <c r="R19" i="28"/>
  <c r="R42" i="28"/>
  <c r="D5" i="28"/>
  <c r="W30" i="28"/>
  <c r="W35" i="28"/>
  <c r="J4" i="28"/>
  <c r="J40" i="28"/>
  <c r="T28" i="28"/>
  <c r="T43" i="28"/>
  <c r="O64" i="28"/>
  <c r="O50" i="28"/>
  <c r="AS8" i="28"/>
  <c r="AS41" i="28"/>
  <c r="L27" i="27"/>
  <c r="X64" i="15"/>
  <c r="X50" i="15"/>
  <c r="R22" i="15"/>
  <c r="V43" i="17"/>
  <c r="AG43" i="17"/>
  <c r="AG28" i="17"/>
  <c r="AV72" i="17"/>
  <c r="AV58" i="17"/>
  <c r="AV16" i="17"/>
  <c r="R3" i="15"/>
  <c r="R23" i="28"/>
  <c r="R49" i="28"/>
  <c r="S76" i="28"/>
  <c r="S62" i="28"/>
  <c r="AV71" i="17"/>
  <c r="AV29" i="17"/>
  <c r="N12" i="28"/>
  <c r="N74" i="28"/>
  <c r="F2" i="27"/>
  <c r="AY28" i="28"/>
  <c r="AY43" i="28"/>
  <c r="E46" i="15"/>
  <c r="G10" i="15"/>
  <c r="Q62" i="15"/>
  <c r="R62" i="15"/>
  <c r="Q76" i="15"/>
  <c r="R76" i="15"/>
  <c r="AV5" i="17"/>
  <c r="T19" i="28"/>
  <c r="T42" i="28"/>
  <c r="E8" i="28"/>
  <c r="E41" i="28"/>
  <c r="AH30" i="28"/>
  <c r="AH35" i="28"/>
  <c r="AS9" i="28"/>
  <c r="AS54" i="28"/>
  <c r="R27" i="28"/>
  <c r="R62" i="28"/>
  <c r="N14" i="28"/>
  <c r="N34" i="28"/>
  <c r="AV36" i="17"/>
  <c r="S27" i="27"/>
  <c r="AX18" i="28"/>
  <c r="AV66" i="17"/>
  <c r="P10" i="28"/>
  <c r="P46" i="28"/>
  <c r="L5" i="28"/>
  <c r="L67" i="28"/>
  <c r="AP23" i="28"/>
  <c r="AP49" i="28"/>
  <c r="AP70" i="27"/>
  <c r="AP56" i="27"/>
  <c r="AV75" i="17"/>
  <c r="AV18" i="17"/>
  <c r="AI56" i="27"/>
  <c r="AI70" i="27"/>
  <c r="S31" i="15"/>
  <c r="O12" i="28"/>
  <c r="O74" i="28"/>
  <c r="J29" i="28"/>
  <c r="I18" i="27"/>
  <c r="AR62" i="17"/>
  <c r="BC62" i="17"/>
  <c r="AR76" i="17"/>
  <c r="BC76" i="17"/>
  <c r="BC27" i="17"/>
  <c r="Q42" i="15"/>
  <c r="R19" i="15"/>
  <c r="AV73" i="17"/>
  <c r="AV7" i="17"/>
  <c r="E16" i="28"/>
  <c r="E72" i="28"/>
  <c r="X16" i="28"/>
  <c r="M6" i="28"/>
  <c r="M47" i="28"/>
  <c r="AV17" i="28"/>
  <c r="AV66" i="28"/>
  <c r="AH14" i="28"/>
  <c r="AH34" i="28"/>
  <c r="AO4" i="28"/>
  <c r="AO40" i="28"/>
  <c r="AD13" i="28"/>
  <c r="E42" i="15"/>
  <c r="G42" i="15"/>
  <c r="G19" i="15"/>
  <c r="AV68" i="17"/>
  <c r="AV9" i="17"/>
  <c r="AD46" i="27"/>
  <c r="E26" i="17"/>
  <c r="E36" i="17"/>
  <c r="AC47" i="26"/>
  <c r="AD56" i="27"/>
  <c r="E64" i="17"/>
  <c r="E50" i="17"/>
  <c r="AC33" i="26"/>
  <c r="AC38" i="26"/>
  <c r="AC70" i="26"/>
  <c r="AC56" i="26"/>
  <c r="AT45" i="32"/>
  <c r="AT48" i="32"/>
  <c r="AT63" i="32"/>
  <c r="AZ64" i="32"/>
  <c r="I5" i="32"/>
  <c r="G53" i="32"/>
  <c r="I53" i="32"/>
  <c r="G67" i="32"/>
  <c r="I67" i="32"/>
  <c r="E63" i="32"/>
  <c r="I64" i="32"/>
  <c r="AJ71" i="32"/>
  <c r="AJ57" i="32"/>
  <c r="BD63" i="32"/>
  <c r="AJ62" i="32"/>
  <c r="AJ76" i="32"/>
  <c r="G65" i="32"/>
  <c r="G51" i="32"/>
  <c r="I21" i="32"/>
  <c r="I7" i="32"/>
  <c r="G73" i="32"/>
  <c r="G59" i="32"/>
  <c r="I59" i="32"/>
  <c r="BB76" i="32"/>
  <c r="BC76" i="32"/>
  <c r="AJ67" i="32"/>
  <c r="AJ53" i="32"/>
  <c r="G46" i="32"/>
  <c r="I10" i="32"/>
  <c r="G43" i="32"/>
  <c r="I43" i="32"/>
  <c r="I28" i="32"/>
  <c r="AH31" i="32"/>
  <c r="G58" i="32"/>
  <c r="I58" i="32"/>
  <c r="G72" i="32"/>
  <c r="I72" i="32"/>
  <c r="I16" i="32"/>
  <c r="G37" i="32"/>
  <c r="I37" i="32"/>
  <c r="I22" i="32"/>
  <c r="G69" i="32"/>
  <c r="I69" i="32"/>
  <c r="G55" i="32"/>
  <c r="I55" i="32"/>
  <c r="I24" i="32"/>
  <c r="G68" i="32"/>
  <c r="I68" i="32"/>
  <c r="G54" i="32"/>
  <c r="I54" i="32"/>
  <c r="I9" i="32"/>
  <c r="I13" i="32"/>
  <c r="G33" i="32"/>
  <c r="I17" i="32"/>
  <c r="G66" i="32"/>
  <c r="I66" i="32"/>
  <c r="G52" i="32"/>
  <c r="I52" i="32"/>
  <c r="I73" i="32"/>
  <c r="FE60" i="18"/>
  <c r="AZ67" i="5"/>
  <c r="AZ71" i="5"/>
  <c r="EU59" i="18"/>
  <c r="FG59" i="18"/>
  <c r="I17" i="20"/>
  <c r="FE69" i="18"/>
  <c r="FG69" i="18"/>
  <c r="FE63" i="18"/>
  <c r="BP11" i="18"/>
  <c r="BR11" i="18"/>
  <c r="FE74" i="18"/>
  <c r="EU35" i="18"/>
  <c r="FG35" i="18"/>
  <c r="EU75" i="18"/>
  <c r="FG75" i="18"/>
  <c r="DZ11" i="18"/>
  <c r="EB11" i="18"/>
  <c r="BE48" i="37"/>
  <c r="AQ36" i="37"/>
  <c r="AQ31" i="37"/>
  <c r="P60" i="30"/>
  <c r="P74" i="30"/>
  <c r="E40" i="30"/>
  <c r="G4" i="5"/>
  <c r="DZ8" i="18"/>
  <c r="EB8" i="18"/>
  <c r="EB27" i="18"/>
  <c r="G48" i="5"/>
  <c r="I61" i="5"/>
  <c r="H48" i="20"/>
  <c r="D48" i="20"/>
  <c r="I22" i="20"/>
  <c r="I5" i="20"/>
  <c r="AQ68" i="37"/>
  <c r="AQ63" i="37"/>
  <c r="AO63" i="37"/>
  <c r="DZ9" i="18"/>
  <c r="EB9" i="18"/>
  <c r="BP8" i="18"/>
  <c r="BR8" i="18"/>
  <c r="I55" i="5"/>
  <c r="EB24" i="18"/>
  <c r="EB25" i="18"/>
  <c r="FE71" i="18"/>
  <c r="FG71" i="18"/>
  <c r="FE53" i="18"/>
  <c r="FG53" i="18"/>
  <c r="BE63" i="37"/>
  <c r="AS48" i="5"/>
  <c r="I2" i="20"/>
  <c r="FE67" i="18"/>
  <c r="FG67" i="18"/>
  <c r="BP19" i="18"/>
  <c r="BR19" i="18"/>
  <c r="DZ19" i="18"/>
  <c r="EB19" i="18"/>
  <c r="AZ52" i="5"/>
  <c r="CK49" i="18"/>
  <c r="CW49" i="18"/>
  <c r="I4" i="20"/>
  <c r="I7" i="20"/>
  <c r="DZ30" i="18"/>
  <c r="EB30" i="18"/>
  <c r="AZ66" i="5"/>
  <c r="FE48" i="18"/>
  <c r="AZ53" i="5"/>
  <c r="AZ57" i="5"/>
  <c r="AS63" i="5"/>
  <c r="I45" i="20"/>
  <c r="E45" i="20"/>
  <c r="AE58" i="28"/>
  <c r="BB31" i="28"/>
  <c r="BA71" i="28"/>
  <c r="AM55" i="28"/>
  <c r="L3" i="28"/>
  <c r="L32" i="28"/>
  <c r="D3" i="28"/>
  <c r="BC14" i="17"/>
  <c r="F15" i="28"/>
  <c r="F44" i="28"/>
  <c r="W28" i="28"/>
  <c r="W43" i="28"/>
  <c r="AH11" i="28"/>
  <c r="AH39" i="28"/>
  <c r="W14" i="28"/>
  <c r="W34" i="28"/>
  <c r="AJ20" i="28"/>
  <c r="AJ70" i="28"/>
  <c r="AC75" i="26"/>
  <c r="Y22" i="28"/>
  <c r="Y37" i="28"/>
  <c r="AY22" i="28"/>
  <c r="AY37" i="28"/>
  <c r="AN59" i="28"/>
  <c r="AN73" i="28"/>
  <c r="AS72" i="28"/>
  <c r="AS58" i="28"/>
  <c r="Q13" i="28"/>
  <c r="Q33" i="28"/>
  <c r="AQ13" i="28"/>
  <c r="AQ33" i="28"/>
  <c r="AF22" i="28"/>
  <c r="AF37" i="28"/>
  <c r="AL13" i="28"/>
  <c r="AL33" i="28"/>
  <c r="N28" i="28"/>
  <c r="N43" i="28"/>
  <c r="P4" i="28"/>
  <c r="P40" i="28"/>
  <c r="BA54" i="28"/>
  <c r="BA68" i="28"/>
  <c r="S70" i="17"/>
  <c r="AD70" i="17"/>
  <c r="AD20" i="17"/>
  <c r="S56" i="17"/>
  <c r="AD56" i="17"/>
  <c r="I64" i="28"/>
  <c r="I50" i="28"/>
  <c r="AS75" i="27"/>
  <c r="AS61" i="27"/>
  <c r="Q28" i="28"/>
  <c r="Q43" i="28"/>
  <c r="I31" i="17"/>
  <c r="P23" i="28"/>
  <c r="P49" i="28"/>
  <c r="E4" i="28"/>
  <c r="E40" i="28"/>
  <c r="AE4" i="28"/>
  <c r="K4" i="28"/>
  <c r="K40" i="28"/>
  <c r="AK4" i="28"/>
  <c r="AK40" i="28"/>
  <c r="Y13" i="28"/>
  <c r="Y33" i="28"/>
  <c r="AY13" i="28"/>
  <c r="AY33" i="28"/>
  <c r="AE73" i="28"/>
  <c r="AE59" i="28"/>
  <c r="S28" i="28"/>
  <c r="S43" i="28"/>
  <c r="AS28" i="28"/>
  <c r="AS43" i="28"/>
  <c r="AS56" i="28"/>
  <c r="AS70" i="28"/>
  <c r="AM73" i="28"/>
  <c r="AM59" i="28"/>
  <c r="AR13" i="28"/>
  <c r="AR33" i="28"/>
  <c r="AA59" i="27"/>
  <c r="AA73" i="27"/>
  <c r="AP75" i="17"/>
  <c r="BA75" i="17"/>
  <c r="AP61" i="17"/>
  <c r="BA61" i="17"/>
  <c r="BA18" i="17"/>
  <c r="AS36" i="17"/>
  <c r="BD36" i="17"/>
  <c r="BD26" i="17"/>
  <c r="AX59" i="28"/>
  <c r="AX73" i="28"/>
  <c r="BD22" i="17"/>
  <c r="AS37" i="17"/>
  <c r="BD37" i="17"/>
  <c r="X75" i="15"/>
  <c r="X63" i="15"/>
  <c r="X61" i="15"/>
  <c r="X48" i="15"/>
  <c r="AJ73" i="28"/>
  <c r="AJ59" i="28"/>
  <c r="F3" i="28"/>
  <c r="F32" i="28"/>
  <c r="E18" i="28"/>
  <c r="E75" i="28"/>
  <c r="BB58" i="28"/>
  <c r="AJ11" i="28"/>
  <c r="AJ39" i="28"/>
  <c r="J7" i="28"/>
  <c r="J73" i="28"/>
  <c r="AY3" i="28"/>
  <c r="AY32" i="28"/>
  <c r="R20" i="28"/>
  <c r="R70" i="28"/>
  <c r="AW76" i="28"/>
  <c r="AW62" i="28"/>
  <c r="Z27" i="28"/>
  <c r="R4" i="28"/>
  <c r="R40" i="28"/>
  <c r="AR4" i="28"/>
  <c r="AR40" i="28"/>
  <c r="AZ13" i="28"/>
  <c r="AZ33" i="28"/>
  <c r="AV8" i="28"/>
  <c r="AV41" i="28"/>
  <c r="I14" i="28"/>
  <c r="I34" i="28"/>
  <c r="AT13" i="28"/>
  <c r="AT33" i="28"/>
  <c r="H31" i="17"/>
  <c r="Q4" i="28"/>
  <c r="Q40" i="28"/>
  <c r="AQ4" i="28"/>
  <c r="AQ40" i="28"/>
  <c r="P27" i="28"/>
  <c r="AZ62" i="28"/>
  <c r="AZ76" i="28"/>
  <c r="T8" i="28"/>
  <c r="T41" i="28"/>
  <c r="AT8" i="28"/>
  <c r="AT41" i="28"/>
  <c r="V7" i="28"/>
  <c r="V4" i="28"/>
  <c r="V40" i="28"/>
  <c r="AV4" i="28"/>
  <c r="AV40" i="28"/>
  <c r="AT22" i="28"/>
  <c r="AT37" i="28"/>
  <c r="J22" i="28"/>
  <c r="J37" i="28"/>
  <c r="AW72" i="27"/>
  <c r="AW58" i="27"/>
  <c r="AA52" i="27"/>
  <c r="AA66" i="27"/>
  <c r="AS61" i="28"/>
  <c r="AS75" i="28"/>
  <c r="W23" i="28"/>
  <c r="W49" i="28"/>
  <c r="T47" i="17"/>
  <c r="AE6" i="17"/>
  <c r="AA74" i="27"/>
  <c r="AA60" i="27"/>
  <c r="AA51" i="27"/>
  <c r="AA65" i="27"/>
  <c r="X6" i="28"/>
  <c r="X47" i="28"/>
  <c r="X45" i="28"/>
  <c r="AX6" i="28"/>
  <c r="AX47" i="28"/>
  <c r="AX45" i="28"/>
  <c r="G12" i="28"/>
  <c r="G74" i="28"/>
  <c r="G16" i="28"/>
  <c r="G58" i="28"/>
  <c r="O52" i="28"/>
  <c r="S75" i="28"/>
  <c r="S61" i="28"/>
  <c r="AE69" i="28"/>
  <c r="AE55" i="28"/>
  <c r="S47" i="17"/>
  <c r="AD47" i="17"/>
  <c r="AD6" i="17"/>
  <c r="X8" i="28"/>
  <c r="X41" i="28"/>
  <c r="AK21" i="28"/>
  <c r="AK51" i="28"/>
  <c r="AX59" i="27"/>
  <c r="AL76" i="28"/>
  <c r="AL62" i="28"/>
  <c r="AH16" i="28"/>
  <c r="X4" i="28"/>
  <c r="X40" i="28"/>
  <c r="AX4" i="28"/>
  <c r="AX40" i="28"/>
  <c r="AT28" i="28"/>
  <c r="AT43" i="28"/>
  <c r="AZ50" i="27"/>
  <c r="AZ64" i="27"/>
  <c r="Q47" i="17"/>
  <c r="AB47" i="17"/>
  <c r="AB6" i="17"/>
  <c r="W75" i="15"/>
  <c r="W63" i="15"/>
  <c r="W61" i="15"/>
  <c r="W48" i="15"/>
  <c r="AQ36" i="17"/>
  <c r="BB36" i="17"/>
  <c r="BB26" i="17"/>
  <c r="AK23" i="28"/>
  <c r="AK49" i="28"/>
  <c r="AN12" i="28"/>
  <c r="Z19" i="28"/>
  <c r="Z42" i="28"/>
  <c r="T14" i="28"/>
  <c r="T34" i="28"/>
  <c r="P18" i="17"/>
  <c r="S67" i="28"/>
  <c r="S53" i="28"/>
  <c r="AZ12" i="28"/>
  <c r="D64" i="28"/>
  <c r="D50" i="28"/>
  <c r="AE27" i="28"/>
  <c r="V16" i="28"/>
  <c r="AV16" i="28"/>
  <c r="AX28" i="28"/>
  <c r="AX43" i="28"/>
  <c r="AK14" i="28"/>
  <c r="AK34" i="28"/>
  <c r="AE61" i="27"/>
  <c r="AE75" i="27"/>
  <c r="I8" i="28"/>
  <c r="I41" i="28"/>
  <c r="X12" i="28"/>
  <c r="AG8" i="28"/>
  <c r="AG41" i="28"/>
  <c r="F28" i="28"/>
  <c r="F43" i="28"/>
  <c r="X14" i="28"/>
  <c r="X34" i="28"/>
  <c r="K9" i="28"/>
  <c r="K54" i="28"/>
  <c r="AR62" i="28"/>
  <c r="AE6" i="28"/>
  <c r="AE47" i="28"/>
  <c r="K15" i="28"/>
  <c r="K44" i="28"/>
  <c r="AO71" i="28"/>
  <c r="M19" i="28"/>
  <c r="M42" i="28"/>
  <c r="AM19" i="28"/>
  <c r="AM42" i="28"/>
  <c r="AL4" i="28"/>
  <c r="AL40" i="28"/>
  <c r="P64" i="28"/>
  <c r="P50" i="28"/>
  <c r="W4" i="28"/>
  <c r="W40" i="28"/>
  <c r="AW4" i="28"/>
  <c r="AW40" i="28"/>
  <c r="F61" i="19"/>
  <c r="F48" i="19"/>
  <c r="D48" i="19"/>
  <c r="AF6" i="17"/>
  <c r="U47" i="17"/>
  <c r="AF47" i="17"/>
  <c r="Q3" i="28"/>
  <c r="Q32" i="28"/>
  <c r="E56" i="17"/>
  <c r="L7" i="28"/>
  <c r="L73" i="28"/>
  <c r="F19" i="28"/>
  <c r="F42" i="28"/>
  <c r="G26" i="28"/>
  <c r="G36" i="28"/>
  <c r="Z26" i="28"/>
  <c r="Z36" i="28"/>
  <c r="V27" i="28"/>
  <c r="AV27" i="28"/>
  <c r="AH59" i="28"/>
  <c r="AH73" i="28"/>
  <c r="M28" i="28"/>
  <c r="M43" i="28"/>
  <c r="F6" i="28"/>
  <c r="F47" i="28"/>
  <c r="Z4" i="28"/>
  <c r="Z40" i="28"/>
  <c r="AZ4" i="28"/>
  <c r="AZ40" i="28"/>
  <c r="AM64" i="27"/>
  <c r="AM50" i="27"/>
  <c r="X15" i="28"/>
  <c r="X44" i="28"/>
  <c r="AC50" i="26"/>
  <c r="AC64" i="26"/>
  <c r="T70" i="17"/>
  <c r="AE70" i="17"/>
  <c r="AE20" i="17"/>
  <c r="O13" i="28"/>
  <c r="O33" i="28"/>
  <c r="W7" i="28"/>
  <c r="F12" i="28"/>
  <c r="F74" i="28"/>
  <c r="F16" i="28"/>
  <c r="F58" i="28"/>
  <c r="V8" i="28"/>
  <c r="V41" i="28"/>
  <c r="I19" i="28"/>
  <c r="I42" i="28"/>
  <c r="V6" i="28"/>
  <c r="V47" i="28"/>
  <c r="P11" i="28"/>
  <c r="P39" i="28"/>
  <c r="S3" i="28"/>
  <c r="S32" i="28"/>
  <c r="P16" i="28"/>
  <c r="P58" i="28"/>
  <c r="AR23" i="28"/>
  <c r="AR49" i="28"/>
  <c r="Y27" i="28"/>
  <c r="AY27" i="28"/>
  <c r="K64" i="28"/>
  <c r="K50" i="28"/>
  <c r="D27" i="28"/>
  <c r="AD27" i="28"/>
  <c r="AG27" i="28"/>
  <c r="AC27" i="28"/>
  <c r="O67" i="28"/>
  <c r="K13" i="28"/>
  <c r="K33" i="28"/>
  <c r="AK13" i="28"/>
  <c r="AK33" i="28"/>
  <c r="AQ12" i="28"/>
  <c r="AD61" i="27"/>
  <c r="AD75" i="27"/>
  <c r="T67" i="15"/>
  <c r="T53" i="15"/>
  <c r="BB14" i="17"/>
  <c r="AQ34" i="17"/>
  <c r="BB34" i="17"/>
  <c r="U53" i="15"/>
  <c r="U67" i="15"/>
  <c r="Q70" i="17"/>
  <c r="AB70" i="17"/>
  <c r="AB20" i="17"/>
  <c r="Q56" i="17"/>
  <c r="AB56" i="17"/>
  <c r="AB71" i="27"/>
  <c r="AB57" i="27"/>
  <c r="AQ11" i="28"/>
  <c r="AQ39" i="28"/>
  <c r="H4" i="28"/>
  <c r="H40" i="28"/>
  <c r="M27" i="28"/>
  <c r="M62" i="28"/>
  <c r="Y8" i="28"/>
  <c r="Y41" i="28"/>
  <c r="Y12" i="28"/>
  <c r="F27" i="28"/>
  <c r="F62" i="28"/>
  <c r="I10" i="28"/>
  <c r="I46" i="28"/>
  <c r="AL9" i="28"/>
  <c r="AL68" i="28"/>
  <c r="N21" i="28"/>
  <c r="N51" i="28"/>
  <c r="E18" i="17"/>
  <c r="E61" i="17"/>
  <c r="H6" i="28"/>
  <c r="H47" i="28"/>
  <c r="AH6" i="28"/>
  <c r="AH47" i="28"/>
  <c r="G27" i="28"/>
  <c r="AL8" i="28"/>
  <c r="AL41" i="28"/>
  <c r="AI71" i="28"/>
  <c r="AI57" i="28"/>
  <c r="I16" i="28"/>
  <c r="AI16" i="28"/>
  <c r="AT12" i="28"/>
  <c r="AN76" i="17"/>
  <c r="AY76" i="17"/>
  <c r="AN62" i="17"/>
  <c r="AY62" i="17"/>
  <c r="AY27" i="17"/>
  <c r="T61" i="15"/>
  <c r="T75" i="15"/>
  <c r="T63" i="15"/>
  <c r="AF67" i="28"/>
  <c r="AF53" i="28"/>
  <c r="AL71" i="28"/>
  <c r="AL57" i="28"/>
  <c r="K57" i="28"/>
  <c r="K71" i="28"/>
  <c r="Y48" i="4"/>
  <c r="U31" i="15"/>
  <c r="Y10" i="28"/>
  <c r="Y46" i="28"/>
  <c r="Y45" i="28"/>
  <c r="AY10" i="28"/>
  <c r="AY46" i="28"/>
  <c r="AY45" i="28"/>
  <c r="L18" i="28"/>
  <c r="AL18" i="28"/>
  <c r="V18" i="28"/>
  <c r="AV18" i="28"/>
  <c r="AM61" i="28"/>
  <c r="AM75" i="28"/>
  <c r="D6" i="28"/>
  <c r="AD6" i="28"/>
  <c r="M18" i="28"/>
  <c r="F10" i="28"/>
  <c r="F46" i="28"/>
  <c r="AF10" i="28"/>
  <c r="AF46" i="28"/>
  <c r="AF45" i="28"/>
  <c r="H28" i="28"/>
  <c r="H43" i="28"/>
  <c r="AH28" i="28"/>
  <c r="I76" i="28"/>
  <c r="I62" i="28"/>
  <c r="AN61" i="28"/>
  <c r="AN75" i="28"/>
  <c r="R67" i="28"/>
  <c r="R53" i="28"/>
  <c r="L69" i="28"/>
  <c r="L55" i="28"/>
  <c r="W19" i="28"/>
  <c r="W42" i="28"/>
  <c r="S13" i="28"/>
  <c r="S33" i="28"/>
  <c r="J13" i="28"/>
  <c r="J33" i="28"/>
  <c r="O22" i="28"/>
  <c r="O37" i="28"/>
  <c r="AG71" i="28"/>
  <c r="AR26" i="28"/>
  <c r="AR36" i="28"/>
  <c r="AJ26" i="28"/>
  <c r="AJ36" i="28"/>
  <c r="O26" i="28"/>
  <c r="O36" i="28"/>
  <c r="AO26" i="28"/>
  <c r="AO36" i="28"/>
  <c r="F66" i="28"/>
  <c r="F52" i="28"/>
  <c r="AO17" i="28"/>
  <c r="AP17" i="28"/>
  <c r="AI30" i="28"/>
  <c r="AI35" i="28"/>
  <c r="AP57" i="28"/>
  <c r="AP71" i="28"/>
  <c r="F13" i="28"/>
  <c r="F33" i="28"/>
  <c r="AK20" i="28"/>
  <c r="K20" i="28"/>
  <c r="AK17" i="28"/>
  <c r="O69" i="28"/>
  <c r="O55" i="28"/>
  <c r="AT60" i="27"/>
  <c r="AT74" i="27"/>
  <c r="BA56" i="28"/>
  <c r="BA70" i="28"/>
  <c r="AW21" i="28"/>
  <c r="W21" i="28"/>
  <c r="AY21" i="28"/>
  <c r="Y21" i="28"/>
  <c r="O68" i="28"/>
  <c r="O54" i="28"/>
  <c r="AK51" i="27"/>
  <c r="AK65" i="27"/>
  <c r="AB8" i="17"/>
  <c r="Q41" i="17"/>
  <c r="AB41" i="17"/>
  <c r="S32" i="17"/>
  <c r="AD32" i="17"/>
  <c r="AD3" i="17"/>
  <c r="S40" i="17"/>
  <c r="AD40" i="17"/>
  <c r="AD4" i="17"/>
  <c r="T38" i="17"/>
  <c r="AE38" i="17"/>
  <c r="AE2" i="17"/>
  <c r="AO42" i="17"/>
  <c r="AZ42" i="17"/>
  <c r="AZ19" i="17"/>
  <c r="U58" i="15"/>
  <c r="U72" i="15"/>
  <c r="BB11" i="17"/>
  <c r="AQ39" i="17"/>
  <c r="BB39" i="17"/>
  <c r="Q74" i="28"/>
  <c r="Q60" i="28"/>
  <c r="T18" i="28"/>
  <c r="J8" i="28"/>
  <c r="J41" i="28"/>
  <c r="L6" i="28"/>
  <c r="L47" i="28"/>
  <c r="AL6" i="28"/>
  <c r="AL47" i="28"/>
  <c r="AL45" i="28"/>
  <c r="P18" i="28"/>
  <c r="M11" i="28"/>
  <c r="M39" i="28"/>
  <c r="AM11" i="28"/>
  <c r="AM39" i="28"/>
  <c r="AY60" i="28"/>
  <c r="AY74" i="28"/>
  <c r="W18" i="28"/>
  <c r="AE75" i="28"/>
  <c r="AE61" i="28"/>
  <c r="Q18" i="28"/>
  <c r="AQ18" i="28"/>
  <c r="S6" i="28"/>
  <c r="S47" i="28"/>
  <c r="S45" i="28"/>
  <c r="AS6" i="28"/>
  <c r="AS47" i="28"/>
  <c r="AS45" i="28"/>
  <c r="W5" i="28"/>
  <c r="AW5" i="28"/>
  <c r="P55" i="28"/>
  <c r="P69" i="28"/>
  <c r="F11" i="28"/>
  <c r="F39" i="28"/>
  <c r="P6" i="28"/>
  <c r="P47" i="28"/>
  <c r="Z3" i="28"/>
  <c r="Z32" i="28"/>
  <c r="AP14" i="28"/>
  <c r="AP34" i="28"/>
  <c r="AE3" i="28"/>
  <c r="AE32" i="28"/>
  <c r="M26" i="28"/>
  <c r="M36" i="28"/>
  <c r="AM26" i="28"/>
  <c r="AM36" i="28"/>
  <c r="D26" i="28"/>
  <c r="AD26" i="28"/>
  <c r="AI17" i="28"/>
  <c r="AR17" i="28"/>
  <c r="D29" i="28"/>
  <c r="E30" i="28"/>
  <c r="E35" i="28"/>
  <c r="AE30" i="28"/>
  <c r="AE35" i="28"/>
  <c r="AZ9" i="28"/>
  <c r="AN17" i="28"/>
  <c r="S69" i="28"/>
  <c r="S55" i="28"/>
  <c r="N71" i="27"/>
  <c r="N57" i="27"/>
  <c r="AJ21" i="28"/>
  <c r="J21" i="28"/>
  <c r="BA69" i="27"/>
  <c r="BA55" i="27"/>
  <c r="AQ61" i="27"/>
  <c r="AQ75" i="27"/>
  <c r="AZ61" i="27"/>
  <c r="AZ75" i="27"/>
  <c r="AP64" i="17"/>
  <c r="BA64" i="17"/>
  <c r="AP50" i="17"/>
  <c r="BA50" i="17"/>
  <c r="BA25" i="17"/>
  <c r="U71" i="15"/>
  <c r="U57" i="15"/>
  <c r="AC10" i="17"/>
  <c r="R46" i="17"/>
  <c r="AC46" i="17"/>
  <c r="AS38" i="17"/>
  <c r="BD38" i="17"/>
  <c r="BD2" i="17"/>
  <c r="T60" i="28"/>
  <c r="T74" i="28"/>
  <c r="AK74" i="28"/>
  <c r="AK60" i="28"/>
  <c r="J10" i="28"/>
  <c r="J46" i="28"/>
  <c r="AJ10" i="28"/>
  <c r="AJ46" i="28"/>
  <c r="T6" i="28"/>
  <c r="T47" i="28"/>
  <c r="AO60" i="28"/>
  <c r="AO74" i="28"/>
  <c r="O6" i="28"/>
  <c r="O47" i="28"/>
  <c r="AO6" i="28"/>
  <c r="AO47" i="28"/>
  <c r="V11" i="28"/>
  <c r="V39" i="28"/>
  <c r="AV11" i="28"/>
  <c r="AV39" i="28"/>
  <c r="Z18" i="28"/>
  <c r="AH18" i="28"/>
  <c r="M15" i="28"/>
  <c r="M44" i="28"/>
  <c r="E12" i="28"/>
  <c r="AE12" i="28"/>
  <c r="W6" i="28"/>
  <c r="W47" i="28"/>
  <c r="AW6" i="28"/>
  <c r="AW47" i="28"/>
  <c r="AG53" i="28"/>
  <c r="AG67" i="28"/>
  <c r="T69" i="28"/>
  <c r="T55" i="28"/>
  <c r="I11" i="28"/>
  <c r="I39" i="28"/>
  <c r="R3" i="28"/>
  <c r="R32" i="28"/>
  <c r="AR3" i="28"/>
  <c r="AR32" i="28"/>
  <c r="W15" i="28"/>
  <c r="W44" i="28"/>
  <c r="E14" i="28"/>
  <c r="E34" i="28"/>
  <c r="AE14" i="28"/>
  <c r="AE34" i="28"/>
  <c r="AD67" i="28"/>
  <c r="AD53" i="28"/>
  <c r="AE20" i="28"/>
  <c r="E20" i="28"/>
  <c r="W26" i="28"/>
  <c r="W36" i="28"/>
  <c r="AW26" i="28"/>
  <c r="AW36" i="28"/>
  <c r="K26" i="28"/>
  <c r="K36" i="28"/>
  <c r="AK26" i="28"/>
  <c r="AK36" i="28"/>
  <c r="AL17" i="28"/>
  <c r="AV30" i="28"/>
  <c r="AV35" i="28"/>
  <c r="AP30" i="28"/>
  <c r="AP35" i="28"/>
  <c r="AD20" i="28"/>
  <c r="D20" i="28"/>
  <c r="AZ66" i="28"/>
  <c r="AZ52" i="28"/>
  <c r="AO74" i="27"/>
  <c r="AO60" i="27"/>
  <c r="AM47" i="27"/>
  <c r="AS68" i="27"/>
  <c r="AS54" i="27"/>
  <c r="AE66" i="28"/>
  <c r="AE52" i="28"/>
  <c r="H18" i="28"/>
  <c r="AC51" i="26"/>
  <c r="E21" i="17"/>
  <c r="AC65" i="26"/>
  <c r="F23" i="28"/>
  <c r="F49" i="28"/>
  <c r="AF23" i="28"/>
  <c r="AF49" i="28"/>
  <c r="AB61" i="28"/>
  <c r="AB75" i="28"/>
  <c r="BC12" i="17"/>
  <c r="AR60" i="17"/>
  <c r="BC60" i="17"/>
  <c r="AR74" i="17"/>
  <c r="BC74" i="17"/>
  <c r="D48" i="15"/>
  <c r="G52" i="15"/>
  <c r="T76" i="17"/>
  <c r="AE76" i="17"/>
  <c r="T62" i="17"/>
  <c r="AE62" i="17"/>
  <c r="AE27" i="17"/>
  <c r="AO46" i="17"/>
  <c r="AZ10" i="17"/>
  <c r="V44" i="17"/>
  <c r="AG44" i="17"/>
  <c r="AG15" i="17"/>
  <c r="K73" i="28"/>
  <c r="K59" i="28"/>
  <c r="M10" i="28"/>
  <c r="M46" i="28"/>
  <c r="AM10" i="28"/>
  <c r="AM46" i="28"/>
  <c r="I7" i="28"/>
  <c r="AI7" i="28"/>
  <c r="D11" i="28"/>
  <c r="AD11" i="28"/>
  <c r="G18" i="28"/>
  <c r="AG18" i="28"/>
  <c r="Q64" i="28"/>
  <c r="Q50" i="28"/>
  <c r="O58" i="28"/>
  <c r="O72" i="28"/>
  <c r="L19" i="28"/>
  <c r="L42" i="28"/>
  <c r="AL19" i="28"/>
  <c r="AL42" i="28"/>
  <c r="M59" i="28"/>
  <c r="M73" i="28"/>
  <c r="H12" i="28"/>
  <c r="AH12" i="28"/>
  <c r="K11" i="28"/>
  <c r="K39" i="28"/>
  <c r="AK11" i="28"/>
  <c r="AK39" i="28"/>
  <c r="F18" i="28"/>
  <c r="AZ53" i="28"/>
  <c r="AZ67" i="28"/>
  <c r="X19" i="28"/>
  <c r="X42" i="28"/>
  <c r="R14" i="28"/>
  <c r="R34" i="28"/>
  <c r="AR14" i="28"/>
  <c r="AR34" i="28"/>
  <c r="AL5" i="28"/>
  <c r="D15" i="28"/>
  <c r="AQ26" i="28"/>
  <c r="AQ36" i="28"/>
  <c r="AL26" i="28"/>
  <c r="AL36" i="28"/>
  <c r="AH26" i="28"/>
  <c r="AH36" i="28"/>
  <c r="AK69" i="28"/>
  <c r="AK55" i="28"/>
  <c r="AR5" i="28"/>
  <c r="N11" i="28"/>
  <c r="N39" i="28"/>
  <c r="AN30" i="28"/>
  <c r="AN35" i="28"/>
  <c r="L30" i="28"/>
  <c r="L35" i="28"/>
  <c r="AL30" i="28"/>
  <c r="AL35" i="28"/>
  <c r="T20" i="28"/>
  <c r="AH17" i="28"/>
  <c r="BB50" i="28"/>
  <c r="BB64" i="28"/>
  <c r="AC34" i="26"/>
  <c r="E14" i="17"/>
  <c r="E34" i="17"/>
  <c r="AD23" i="28"/>
  <c r="BB61" i="28"/>
  <c r="BB75" i="28"/>
  <c r="U37" i="17"/>
  <c r="AF37" i="17"/>
  <c r="AF22" i="17"/>
  <c r="D63" i="15"/>
  <c r="P45" i="15"/>
  <c r="R47" i="15"/>
  <c r="V49" i="17"/>
  <c r="AG23" i="17"/>
  <c r="N59" i="28"/>
  <c r="N73" i="28"/>
  <c r="T64" i="28"/>
  <c r="T50" i="28"/>
  <c r="D7" i="28"/>
  <c r="AD7" i="28"/>
  <c r="R72" i="28"/>
  <c r="R58" i="28"/>
  <c r="T76" i="28"/>
  <c r="T62" i="28"/>
  <c r="AL72" i="28"/>
  <c r="AL58" i="28"/>
  <c r="T10" i="28"/>
  <c r="T46" i="28"/>
  <c r="AT10" i="28"/>
  <c r="AT46" i="28"/>
  <c r="AT45" i="28"/>
  <c r="O19" i="28"/>
  <c r="O42" i="28"/>
  <c r="AO19" i="28"/>
  <c r="AO42" i="28"/>
  <c r="J12" i="28"/>
  <c r="D19" i="28"/>
  <c r="AD19" i="28"/>
  <c r="AS60" i="28"/>
  <c r="AS74" i="28"/>
  <c r="W11" i="28"/>
  <c r="W39" i="28"/>
  <c r="AW11" i="28"/>
  <c r="AW39" i="28"/>
  <c r="E19" i="28"/>
  <c r="E42" i="28"/>
  <c r="J16" i="28"/>
  <c r="N18" i="28"/>
  <c r="G8" i="28"/>
  <c r="G41" i="28"/>
  <c r="AO14" i="28"/>
  <c r="AO34" i="28"/>
  <c r="I12" i="28"/>
  <c r="S11" i="28"/>
  <c r="S39" i="28"/>
  <c r="AS26" i="28"/>
  <c r="AS36" i="28"/>
  <c r="I26" i="28"/>
  <c r="I36" i="28"/>
  <c r="AI26" i="28"/>
  <c r="AI36" i="28"/>
  <c r="Z30" i="28"/>
  <c r="Z35" i="28"/>
  <c r="AZ30" i="28"/>
  <c r="AZ35" i="28"/>
  <c r="F30" i="28"/>
  <c r="F35" i="28"/>
  <c r="AF30" i="28"/>
  <c r="AF35" i="28"/>
  <c r="Y30" i="28"/>
  <c r="Y35" i="28"/>
  <c r="AY30" i="28"/>
  <c r="AY35" i="28"/>
  <c r="AZ20" i="28"/>
  <c r="Z20" i="28"/>
  <c r="AW20" i="28"/>
  <c r="E4" i="17"/>
  <c r="E40" i="17"/>
  <c r="AC40" i="26"/>
  <c r="F21" i="28"/>
  <c r="AV21" i="28"/>
  <c r="V21" i="28"/>
  <c r="S54" i="28"/>
  <c r="S68" i="28"/>
  <c r="H68" i="28"/>
  <c r="H54" i="28"/>
  <c r="AY25" i="17"/>
  <c r="AN64" i="17"/>
  <c r="AY64" i="17"/>
  <c r="AN50" i="17"/>
  <c r="AY50" i="17"/>
  <c r="AF12" i="17"/>
  <c r="U60" i="17"/>
  <c r="AF60" i="17"/>
  <c r="U74" i="17"/>
  <c r="AF74" i="17"/>
  <c r="U59" i="17"/>
  <c r="AF59" i="17"/>
  <c r="U73" i="17"/>
  <c r="AF73" i="17"/>
  <c r="AF7" i="17"/>
  <c r="BD12" i="17"/>
  <c r="AS74" i="17"/>
  <c r="BD74" i="17"/>
  <c r="AS60" i="17"/>
  <c r="BD60" i="17"/>
  <c r="BD10" i="17"/>
  <c r="AS46" i="17"/>
  <c r="Q59" i="28"/>
  <c r="Q73" i="28"/>
  <c r="Q6" i="28"/>
  <c r="Q47" i="28"/>
  <c r="G11" i="28"/>
  <c r="G39" i="28"/>
  <c r="AG11" i="28"/>
  <c r="AG39" i="28"/>
  <c r="AL59" i="28"/>
  <c r="AL73" i="28"/>
  <c r="K10" i="28"/>
  <c r="K46" i="28"/>
  <c r="K45" i="28"/>
  <c r="AK10" i="28"/>
  <c r="AK46" i="28"/>
  <c r="AK45" i="28"/>
  <c r="R6" i="28"/>
  <c r="R47" i="28"/>
  <c r="E22" i="28"/>
  <c r="E37" i="28"/>
  <c r="AE22" i="28"/>
  <c r="R64" i="28"/>
  <c r="R50" i="28"/>
  <c r="Z11" i="28"/>
  <c r="Z39" i="28"/>
  <c r="AZ11" i="28"/>
  <c r="AZ39" i="28"/>
  <c r="N8" i="28"/>
  <c r="N41" i="28"/>
  <c r="N57" i="28"/>
  <c r="N71" i="28"/>
  <c r="G14" i="28"/>
  <c r="G34" i="28"/>
  <c r="AG14" i="28"/>
  <c r="AG34" i="28"/>
  <c r="P5" i="28"/>
  <c r="AP5" i="28"/>
  <c r="P73" i="28"/>
  <c r="P59" i="28"/>
  <c r="H29" i="28"/>
  <c r="AH29" i="28"/>
  <c r="AH68" i="28"/>
  <c r="AH54" i="28"/>
  <c r="P26" i="28"/>
  <c r="P36" i="28"/>
  <c r="AP26" i="28"/>
  <c r="AP36" i="28"/>
  <c r="AO53" i="28"/>
  <c r="AO67" i="28"/>
  <c r="AY17" i="28"/>
  <c r="AS17" i="28"/>
  <c r="N20" i="28"/>
  <c r="H20" i="28"/>
  <c r="E71" i="28"/>
  <c r="E57" i="28"/>
  <c r="AM5" i="28"/>
  <c r="AA64" i="28"/>
  <c r="AA50" i="28"/>
  <c r="AR68" i="28"/>
  <c r="AR54" i="28"/>
  <c r="AT50" i="27"/>
  <c r="AT64" i="27"/>
  <c r="AX21" i="28"/>
  <c r="X21" i="28"/>
  <c r="AZ21" i="28"/>
  <c r="AH21" i="28"/>
  <c r="H21" i="28"/>
  <c r="G68" i="28"/>
  <c r="G54" i="28"/>
  <c r="AE9" i="28"/>
  <c r="E9" i="28"/>
  <c r="AA56" i="28"/>
  <c r="AA70" i="28"/>
  <c r="S43" i="17"/>
  <c r="AD43" i="17"/>
  <c r="AD28" i="17"/>
  <c r="AP37" i="17"/>
  <c r="BA37" i="17"/>
  <c r="BA22" i="17"/>
  <c r="V42" i="17"/>
  <c r="AG42" i="17"/>
  <c r="AG19" i="17"/>
  <c r="R33" i="17"/>
  <c r="AC33" i="17"/>
  <c r="AC13" i="17"/>
  <c r="T59" i="28"/>
  <c r="T73" i="28"/>
  <c r="T11" i="28"/>
  <c r="T39" i="28"/>
  <c r="AT11" i="28"/>
  <c r="AT39" i="28"/>
  <c r="AF74" i="28"/>
  <c r="AF60" i="28"/>
  <c r="O11" i="28"/>
  <c r="O39" i="28"/>
  <c r="AO11" i="28"/>
  <c r="AO39" i="28"/>
  <c r="O7" i="28"/>
  <c r="AO7" i="28"/>
  <c r="G15" i="28"/>
  <c r="G44" i="28"/>
  <c r="AG15" i="28"/>
  <c r="AG44" i="28"/>
  <c r="S59" i="28"/>
  <c r="S73" i="28"/>
  <c r="O10" i="28"/>
  <c r="O46" i="28"/>
  <c r="AO10" i="28"/>
  <c r="AO46" i="28"/>
  <c r="Z14" i="28"/>
  <c r="Z34" i="28"/>
  <c r="AZ14" i="28"/>
  <c r="AZ34" i="28"/>
  <c r="Z8" i="28"/>
  <c r="Z41" i="28"/>
  <c r="D14" i="28"/>
  <c r="AD14" i="28"/>
  <c r="F69" i="28"/>
  <c r="F55" i="28"/>
  <c r="S15" i="28"/>
  <c r="S44" i="28"/>
  <c r="Y26" i="28"/>
  <c r="Y36" i="28"/>
  <c r="AY26" i="28"/>
  <c r="AY36" i="28"/>
  <c r="X26" i="28"/>
  <c r="X36" i="28"/>
  <c r="AX26" i="28"/>
  <c r="AX36" i="28"/>
  <c r="G29" i="28"/>
  <c r="AV68" i="28"/>
  <c r="AV54" i="28"/>
  <c r="G30" i="28"/>
  <c r="G35" i="28"/>
  <c r="AG30" i="28"/>
  <c r="AG35" i="28"/>
  <c r="AW17" i="28"/>
  <c r="P15" i="28"/>
  <c r="P44" i="28"/>
  <c r="AM20" i="28"/>
  <c r="M20" i="28"/>
  <c r="AE71" i="28"/>
  <c r="AE57" i="28"/>
  <c r="AT64" i="28"/>
  <c r="AT50" i="28"/>
  <c r="AB74" i="28"/>
  <c r="AB60" i="28"/>
  <c r="BA67" i="27"/>
  <c r="BA53" i="27"/>
  <c r="AT21" i="28"/>
  <c r="T21" i="28"/>
  <c r="AE21" i="28"/>
  <c r="E21" i="28"/>
  <c r="AO50" i="28"/>
  <c r="AO64" i="28"/>
  <c r="H26" i="28"/>
  <c r="H36" i="28"/>
  <c r="P68" i="28"/>
  <c r="P54" i="28"/>
  <c r="AQ9" i="28"/>
  <c r="Q9" i="28"/>
  <c r="H54" i="27"/>
  <c r="H68" i="27"/>
  <c r="AF17" i="28"/>
  <c r="E15" i="17"/>
  <c r="E44" i="17"/>
  <c r="AC44" i="26"/>
  <c r="T33" i="17"/>
  <c r="AE33" i="17"/>
  <c r="AE13" i="17"/>
  <c r="AB25" i="17"/>
  <c r="Q64" i="17"/>
  <c r="AB64" i="17"/>
  <c r="Q50" i="17"/>
  <c r="AB50" i="17"/>
  <c r="AN42" i="17"/>
  <c r="AY42" i="17"/>
  <c r="AY19" i="17"/>
  <c r="AP47" i="17"/>
  <c r="BA6" i="17"/>
  <c r="Q36" i="17"/>
  <c r="AB36" i="17"/>
  <c r="AB26" i="17"/>
  <c r="U52" i="15"/>
  <c r="U66" i="15"/>
  <c r="AG18" i="17"/>
  <c r="V75" i="17"/>
  <c r="AG75" i="17"/>
  <c r="V61" i="17"/>
  <c r="AG61" i="17"/>
  <c r="AO33" i="17"/>
  <c r="AZ33" i="17"/>
  <c r="AZ13" i="17"/>
  <c r="BA31" i="28"/>
  <c r="K16" i="28"/>
  <c r="N15" i="28"/>
  <c r="N44" i="28"/>
  <c r="O8" i="28"/>
  <c r="O41" i="28"/>
  <c r="AI74" i="28"/>
  <c r="AI60" i="28"/>
  <c r="H10" i="28"/>
  <c r="H46" i="28"/>
  <c r="AH10" i="28"/>
  <c r="AH46" i="28"/>
  <c r="R11" i="28"/>
  <c r="R39" i="28"/>
  <c r="AR11" i="28"/>
  <c r="AR39" i="28"/>
  <c r="M8" i="28"/>
  <c r="M41" i="28"/>
  <c r="AM8" i="28"/>
  <c r="AM41" i="28"/>
  <c r="Q10" i="28"/>
  <c r="Q46" i="28"/>
  <c r="AW75" i="28"/>
  <c r="AW61" i="28"/>
  <c r="J15" i="28"/>
  <c r="J44" i="28"/>
  <c r="AJ15" i="28"/>
  <c r="AJ44" i="28"/>
  <c r="N10" i="28"/>
  <c r="N46" i="28"/>
  <c r="D16" i="28"/>
  <c r="AD16" i="28"/>
  <c r="AW16" i="28"/>
  <c r="AC16" i="28"/>
  <c r="S14" i="28"/>
  <c r="S34" i="28"/>
  <c r="AS14" i="28"/>
  <c r="AS34" i="28"/>
  <c r="J19" i="28"/>
  <c r="J42" i="28"/>
  <c r="X13" i="28"/>
  <c r="X33" i="28"/>
  <c r="AX13" i="28"/>
  <c r="AX33" i="28"/>
  <c r="Z22" i="28"/>
  <c r="Z37" i="28"/>
  <c r="I69" i="28"/>
  <c r="I55" i="28"/>
  <c r="J14" i="28"/>
  <c r="J34" i="28"/>
  <c r="D12" i="28"/>
  <c r="J69" i="28"/>
  <c r="J55" i="28"/>
  <c r="P19" i="28"/>
  <c r="P42" i="28"/>
  <c r="V26" i="28"/>
  <c r="V36" i="28"/>
  <c r="AV26" i="28"/>
  <c r="AV36" i="28"/>
  <c r="AS65" i="28"/>
  <c r="AS51" i="28"/>
  <c r="T30" i="28"/>
  <c r="T35" i="28"/>
  <c r="AT30" i="28"/>
  <c r="AT35" i="28"/>
  <c r="AD30" i="28"/>
  <c r="AV20" i="28"/>
  <c r="V20" i="28"/>
  <c r="AO20" i="28"/>
  <c r="O20" i="28"/>
  <c r="H11" i="28"/>
  <c r="H39" i="28"/>
  <c r="AP20" i="28"/>
  <c r="P20" i="28"/>
  <c r="AQ17" i="28"/>
  <c r="AO21" i="28"/>
  <c r="O21" i="28"/>
  <c r="AQ21" i="28"/>
  <c r="Q21" i="28"/>
  <c r="AB64" i="27"/>
  <c r="AB50" i="27"/>
  <c r="M54" i="28"/>
  <c r="M68" i="28"/>
  <c r="N54" i="28"/>
  <c r="N68" i="28"/>
  <c r="AR36" i="17"/>
  <c r="BC36" i="17"/>
  <c r="BC26" i="17"/>
  <c r="O70" i="17"/>
  <c r="Z70" i="17"/>
  <c r="O56" i="17"/>
  <c r="Z56" i="17"/>
  <c r="Z20" i="17"/>
  <c r="V32" i="17"/>
  <c r="AG32" i="17"/>
  <c r="AG3" i="17"/>
  <c r="R63" i="17"/>
  <c r="AC75" i="17"/>
  <c r="AY26" i="17"/>
  <c r="AN36" i="17"/>
  <c r="AY36" i="17"/>
  <c r="U68" i="15"/>
  <c r="U54" i="15"/>
  <c r="AY3" i="17"/>
  <c r="AN32" i="17"/>
  <c r="AY32" i="17"/>
  <c r="D2" i="28"/>
  <c r="J48" i="15"/>
  <c r="J64" i="28"/>
  <c r="J50" i="28"/>
  <c r="W16" i="28"/>
  <c r="O18" i="28"/>
  <c r="R22" i="28"/>
  <c r="R37" i="28"/>
  <c r="AR22" i="28"/>
  <c r="AR37" i="28"/>
  <c r="L74" i="28"/>
  <c r="L60" i="28"/>
  <c r="W10" i="28"/>
  <c r="W46" i="28"/>
  <c r="W45" i="28"/>
  <c r="AW10" i="28"/>
  <c r="AW46" i="28"/>
  <c r="H76" i="28"/>
  <c r="H62" i="28"/>
  <c r="AZ61" i="28"/>
  <c r="G6" i="28"/>
  <c r="G47" i="28"/>
  <c r="G45" i="28"/>
  <c r="AG6" i="28"/>
  <c r="AG47" i="28"/>
  <c r="AG45" i="28"/>
  <c r="H8" i="28"/>
  <c r="H41" i="28"/>
  <c r="AH8" i="28"/>
  <c r="AH41" i="28"/>
  <c r="S22" i="28"/>
  <c r="S37" i="28"/>
  <c r="AS22" i="28"/>
  <c r="AS37" i="28"/>
  <c r="K12" i="28"/>
  <c r="G13" i="28"/>
  <c r="G33" i="28"/>
  <c r="M69" i="28"/>
  <c r="M55" i="28"/>
  <c r="D10" i="28"/>
  <c r="N69" i="28"/>
  <c r="N55" i="28"/>
  <c r="Y19" i="28"/>
  <c r="Y42" i="28"/>
  <c r="I5" i="28"/>
  <c r="AI5" i="28"/>
  <c r="AZ26" i="28"/>
  <c r="AZ36" i="28"/>
  <c r="P22" i="28"/>
  <c r="P37" i="28"/>
  <c r="Q30" i="28"/>
  <c r="Q35" i="28"/>
  <c r="AQ30" i="28"/>
  <c r="AQ35" i="28"/>
  <c r="X30" i="28"/>
  <c r="X35" i="28"/>
  <c r="AX30" i="28"/>
  <c r="AX35" i="28"/>
  <c r="O14" i="28"/>
  <c r="O34" i="28"/>
  <c r="AZ66" i="27"/>
  <c r="AZ52" i="27"/>
  <c r="AA68" i="28"/>
  <c r="AA54" i="28"/>
  <c r="G21" i="28"/>
  <c r="C49" i="26"/>
  <c r="AC74" i="26"/>
  <c r="E12" i="17"/>
  <c r="AC60" i="26"/>
  <c r="U36" i="17"/>
  <c r="AF36" i="17"/>
  <c r="AF26" i="17"/>
  <c r="AQ73" i="17"/>
  <c r="BB73" i="17"/>
  <c r="AQ59" i="17"/>
  <c r="BB59" i="17"/>
  <c r="BB7" i="17"/>
  <c r="X71" i="15"/>
  <c r="X57" i="15"/>
  <c r="AO39" i="17"/>
  <c r="AZ39" i="17"/>
  <c r="AZ11" i="17"/>
  <c r="O54" i="17"/>
  <c r="Z54" i="17"/>
  <c r="Z9" i="17"/>
  <c r="O68" i="17"/>
  <c r="AS61" i="17"/>
  <c r="BD61" i="17"/>
  <c r="AS75" i="17"/>
  <c r="BD75" i="17"/>
  <c r="BD18" i="17"/>
  <c r="Q32" i="17"/>
  <c r="AB32" i="17"/>
  <c r="AB3" i="17"/>
  <c r="AZ72" i="28"/>
  <c r="AZ58" i="28"/>
  <c r="D18" i="28"/>
  <c r="AD18" i="28"/>
  <c r="Z10" i="28"/>
  <c r="Z46" i="28"/>
  <c r="Z45" i="28"/>
  <c r="AZ10" i="28"/>
  <c r="AZ46" i="28"/>
  <c r="AZ45" i="28"/>
  <c r="AX58" i="28"/>
  <c r="AX72" i="28"/>
  <c r="AD60" i="28"/>
  <c r="AD74" i="28"/>
  <c r="J6" i="28"/>
  <c r="J47" i="28"/>
  <c r="AJ6" i="28"/>
  <c r="AJ47" i="28"/>
  <c r="W22" i="28"/>
  <c r="W37" i="28"/>
  <c r="AW22" i="28"/>
  <c r="AW37" i="28"/>
  <c r="G50" i="28"/>
  <c r="G64" i="28"/>
  <c r="E15" i="28"/>
  <c r="E44" i="28"/>
  <c r="AE15" i="28"/>
  <c r="F8" i="28"/>
  <c r="F41" i="28"/>
  <c r="AF8" i="28"/>
  <c r="AF41" i="28"/>
  <c r="Q22" i="28"/>
  <c r="Q37" i="28"/>
  <c r="AQ22" i="28"/>
  <c r="AQ37" i="28"/>
  <c r="T71" i="28"/>
  <c r="T57" i="28"/>
  <c r="Z16" i="28"/>
  <c r="W13" i="28"/>
  <c r="W33" i="28"/>
  <c r="AW13" i="28"/>
  <c r="AW33" i="28"/>
  <c r="K19" i="28"/>
  <c r="K42" i="28"/>
  <c r="L11" i="28"/>
  <c r="L39" i="28"/>
  <c r="R69" i="28"/>
  <c r="R55" i="28"/>
  <c r="M53" i="28"/>
  <c r="M67" i="28"/>
  <c r="AF26" i="28"/>
  <c r="AF36" i="28"/>
  <c r="D52" i="28"/>
  <c r="D66" i="28"/>
  <c r="L20" i="28"/>
  <c r="AG17" i="28"/>
  <c r="R30" i="28"/>
  <c r="R35" i="28"/>
  <c r="AR30" i="28"/>
  <c r="AR35" i="28"/>
  <c r="AM30" i="28"/>
  <c r="AM35" i="28"/>
  <c r="AI20" i="28"/>
  <c r="I20" i="28"/>
  <c r="AG54" i="28"/>
  <c r="AG68" i="28"/>
  <c r="AG70" i="28"/>
  <c r="AG56" i="28"/>
  <c r="AX17" i="28"/>
  <c r="AD17" i="28"/>
  <c r="AB52" i="27"/>
  <c r="AB66" i="27"/>
  <c r="K21" i="28"/>
  <c r="AP21" i="28"/>
  <c r="P21" i="28"/>
  <c r="AD21" i="28"/>
  <c r="AB63" i="26"/>
  <c r="J54" i="28"/>
  <c r="J68" i="28"/>
  <c r="AK50" i="28"/>
  <c r="AK64" i="28"/>
  <c r="AZ25" i="17"/>
  <c r="AO64" i="17"/>
  <c r="AZ64" i="17"/>
  <c r="AO50" i="17"/>
  <c r="AZ50" i="17"/>
  <c r="AO38" i="17"/>
  <c r="AZ38" i="17"/>
  <c r="AZ2" i="17"/>
  <c r="AQ42" i="17"/>
  <c r="BB42" i="17"/>
  <c r="BB19" i="17"/>
  <c r="U34" i="17"/>
  <c r="AF34" i="17"/>
  <c r="AF14" i="17"/>
  <c r="R39" i="17"/>
  <c r="AC39" i="17"/>
  <c r="AC11" i="17"/>
  <c r="R59" i="17"/>
  <c r="AC59" i="17"/>
  <c r="AC7" i="17"/>
  <c r="R73" i="17"/>
  <c r="AC73" i="17"/>
  <c r="E50" i="28"/>
  <c r="E64" i="28"/>
  <c r="R60" i="28"/>
  <c r="R74" i="28"/>
  <c r="F50" i="28"/>
  <c r="F64" i="28"/>
  <c r="Q19" i="28"/>
  <c r="Q42" i="28"/>
  <c r="AQ19" i="28"/>
  <c r="AQ42" i="28"/>
  <c r="AG74" i="28"/>
  <c r="AG60" i="28"/>
  <c r="R15" i="28"/>
  <c r="R44" i="28"/>
  <c r="AR15" i="28"/>
  <c r="AR44" i="28"/>
  <c r="M64" i="28"/>
  <c r="M50" i="28"/>
  <c r="J5" i="28"/>
  <c r="AJ5" i="28"/>
  <c r="D69" i="28"/>
  <c r="D55" i="28"/>
  <c r="H22" i="28"/>
  <c r="H37" i="28"/>
  <c r="AE26" i="28"/>
  <c r="AE36" i="28"/>
  <c r="N26" i="28"/>
  <c r="N36" i="28"/>
  <c r="AN26" i="28"/>
  <c r="AN36" i="28"/>
  <c r="AQ20" i="28"/>
  <c r="Q20" i="28"/>
  <c r="V13" i="28"/>
  <c r="V33" i="28"/>
  <c r="V3" i="28"/>
  <c r="V32" i="28"/>
  <c r="V2" i="28"/>
  <c r="V38" i="28"/>
  <c r="V15" i="28"/>
  <c r="V44" i="28"/>
  <c r="V31" i="28"/>
  <c r="AM54" i="28"/>
  <c r="AM68" i="28"/>
  <c r="AX20" i="28"/>
  <c r="X20" i="28"/>
  <c r="AK29" i="28"/>
  <c r="G69" i="28"/>
  <c r="G55" i="28"/>
  <c r="AA67" i="27"/>
  <c r="AA53" i="27"/>
  <c r="AI21" i="28"/>
  <c r="I21" i="28"/>
  <c r="AB64" i="28"/>
  <c r="AB50" i="28"/>
  <c r="I54" i="28"/>
  <c r="I68" i="28"/>
  <c r="D68" i="28"/>
  <c r="AB58" i="28"/>
  <c r="AB72" i="28"/>
  <c r="AO23" i="28"/>
  <c r="AO49" i="28"/>
  <c r="T42" i="17"/>
  <c r="AE42" i="17"/>
  <c r="AE19" i="17"/>
  <c r="T58" i="17"/>
  <c r="AE58" i="17"/>
  <c r="T72" i="17"/>
  <c r="AE72" i="17"/>
  <c r="AE16" i="17"/>
  <c r="S36" i="17"/>
  <c r="AD36" i="17"/>
  <c r="AD26" i="17"/>
  <c r="AQ38" i="17"/>
  <c r="BB38" i="17"/>
  <c r="BB2" i="17"/>
  <c r="AZ30" i="17"/>
  <c r="AO35" i="17"/>
  <c r="AZ7" i="17"/>
  <c r="AO59" i="17"/>
  <c r="AZ59" i="17"/>
  <c r="AO73" i="17"/>
  <c r="AZ73" i="17"/>
  <c r="T48" i="15"/>
  <c r="AT61" i="28"/>
  <c r="AT75" i="28"/>
  <c r="V10" i="28"/>
  <c r="V46" i="28"/>
  <c r="V45" i="28"/>
  <c r="AV10" i="28"/>
  <c r="AV46" i="28"/>
  <c r="AV45" i="28"/>
  <c r="I18" i="28"/>
  <c r="AI18" i="28"/>
  <c r="H50" i="28"/>
  <c r="H64" i="28"/>
  <c r="H19" i="28"/>
  <c r="H42" i="28"/>
  <c r="AR61" i="28"/>
  <c r="AR75" i="28"/>
  <c r="E10" i="28"/>
  <c r="E46" i="28"/>
  <c r="E45" i="28"/>
  <c r="AE10" i="28"/>
  <c r="AJ61" i="28"/>
  <c r="AJ75" i="28"/>
  <c r="J18" i="28"/>
  <c r="AV15" i="28"/>
  <c r="AV44" i="28"/>
  <c r="Q8" i="28"/>
  <c r="Q41" i="28"/>
  <c r="AQ8" i="28"/>
  <c r="H69" i="28"/>
  <c r="H55" i="28"/>
  <c r="Q15" i="28"/>
  <c r="Q44" i="28"/>
  <c r="E13" i="28"/>
  <c r="E33" i="28"/>
  <c r="AE13" i="28"/>
  <c r="AS67" i="28"/>
  <c r="AS53" i="28"/>
  <c r="K22" i="28"/>
  <c r="K37" i="28"/>
  <c r="AD71" i="28"/>
  <c r="AD57" i="28"/>
  <c r="V5" i="28"/>
  <c r="AV5" i="28"/>
  <c r="T26" i="28"/>
  <c r="T36" i="28"/>
  <c r="AT26" i="28"/>
  <c r="AT36" i="28"/>
  <c r="M52" i="28"/>
  <c r="M66" i="28"/>
  <c r="K30" i="28"/>
  <c r="K35" i="28"/>
  <c r="AK30" i="28"/>
  <c r="AK35" i="28"/>
  <c r="AM17" i="28"/>
  <c r="H66" i="28"/>
  <c r="H52" i="28"/>
  <c r="K69" i="28"/>
  <c r="K55" i="28"/>
  <c r="AT51" i="27"/>
  <c r="AT65" i="27"/>
  <c r="BA55" i="28"/>
  <c r="BA69" i="28"/>
  <c r="R54" i="28"/>
  <c r="BA53" i="28"/>
  <c r="BA67" i="28"/>
  <c r="BA26" i="17"/>
  <c r="AP36" i="17"/>
  <c r="BA36" i="17"/>
  <c r="T39" i="17"/>
  <c r="AE39" i="17"/>
  <c r="AE11" i="17"/>
  <c r="V59" i="17"/>
  <c r="AG59" i="17"/>
  <c r="V73" i="17"/>
  <c r="AG7" i="17"/>
  <c r="U65" i="15"/>
  <c r="U51" i="15"/>
  <c r="U33" i="17"/>
  <c r="AF33" i="17"/>
  <c r="AF13" i="17"/>
  <c r="S2" i="28"/>
  <c r="S38" i="28"/>
  <c r="AS2" i="28"/>
  <c r="AS38" i="28"/>
  <c r="J2" i="28"/>
  <c r="J38" i="28"/>
  <c r="AJ2" i="28"/>
  <c r="AJ38" i="28"/>
  <c r="Q76" i="28"/>
  <c r="Q62" i="28"/>
  <c r="AQ69" i="28"/>
  <c r="AQ55" i="28"/>
  <c r="AW50" i="17"/>
  <c r="AA65" i="28"/>
  <c r="AA51" i="28"/>
  <c r="AN35" i="17"/>
  <c r="AY30" i="17"/>
  <c r="BA72" i="28"/>
  <c r="BA58" i="28"/>
  <c r="AR46" i="17"/>
  <c r="BC10" i="17"/>
  <c r="X74" i="15"/>
  <c r="X60" i="15"/>
  <c r="Z35" i="17"/>
  <c r="AV2" i="28"/>
  <c r="AV38" i="28"/>
  <c r="Z2" i="28"/>
  <c r="Z38" i="28"/>
  <c r="AZ2" i="28"/>
  <c r="AZ38" i="28"/>
  <c r="L2" i="28"/>
  <c r="L38" i="28"/>
  <c r="AL2" i="28"/>
  <c r="AL38" i="28"/>
  <c r="H3" i="28"/>
  <c r="H32" i="28"/>
  <c r="AH3" i="28"/>
  <c r="AH32" i="28"/>
  <c r="N3" i="28"/>
  <c r="N32" i="28"/>
  <c r="AN3" i="28"/>
  <c r="AN32" i="28"/>
  <c r="E55" i="28"/>
  <c r="E69" i="28"/>
  <c r="Q67" i="28"/>
  <c r="Q53" i="28"/>
  <c r="F67" i="28"/>
  <c r="F53" i="28"/>
  <c r="N51" i="27"/>
  <c r="N65" i="27"/>
  <c r="AR32" i="17"/>
  <c r="BC3" i="17"/>
  <c r="AA74" i="28"/>
  <c r="AA60" i="28"/>
  <c r="BB71" i="28"/>
  <c r="BB57" i="28"/>
  <c r="S49" i="17"/>
  <c r="AD23" i="17"/>
  <c r="W60" i="15"/>
  <c r="W74" i="15"/>
  <c r="W31" i="4"/>
  <c r="X2" i="28"/>
  <c r="X38" i="28"/>
  <c r="AX2" i="28"/>
  <c r="AX38" i="28"/>
  <c r="N2" i="28"/>
  <c r="N38" i="28"/>
  <c r="AN2" i="28"/>
  <c r="AN38" i="28"/>
  <c r="AV3" i="28"/>
  <c r="AV32" i="28"/>
  <c r="Q69" i="28"/>
  <c r="Q55" i="28"/>
  <c r="AB53" i="28"/>
  <c r="AB67" i="28"/>
  <c r="AP44" i="17"/>
  <c r="BA44" i="17"/>
  <c r="BA15" i="17"/>
  <c r="U32" i="17"/>
  <c r="AF3" i="17"/>
  <c r="X35" i="17"/>
  <c r="AB71" i="28"/>
  <c r="AB57" i="28"/>
  <c r="BA23" i="17"/>
  <c r="AP49" i="17"/>
  <c r="N63" i="15"/>
  <c r="U74" i="15"/>
  <c r="U60" i="15"/>
  <c r="O51" i="15"/>
  <c r="P2" i="28"/>
  <c r="P38" i="28"/>
  <c r="AP2" i="28"/>
  <c r="AP38" i="28"/>
  <c r="S74" i="28"/>
  <c r="I3" i="28"/>
  <c r="I32" i="28"/>
  <c r="AI3" i="28"/>
  <c r="AI32" i="28"/>
  <c r="J3" i="28"/>
  <c r="J32" i="28"/>
  <c r="AF71" i="28"/>
  <c r="AF57" i="28"/>
  <c r="AU66" i="17"/>
  <c r="AJ63" i="17"/>
  <c r="N53" i="28"/>
  <c r="N67" i="28"/>
  <c r="AT66" i="28"/>
  <c r="AT52" i="28"/>
  <c r="E76" i="17"/>
  <c r="AA66" i="28"/>
  <c r="AA52" i="28"/>
  <c r="S44" i="17"/>
  <c r="AD44" i="17"/>
  <c r="AD15" i="17"/>
  <c r="AB66" i="28"/>
  <c r="AB52" i="28"/>
  <c r="AE73" i="17"/>
  <c r="BI39" i="17"/>
  <c r="V34" i="17"/>
  <c r="AG14" i="17"/>
  <c r="R2" i="28"/>
  <c r="R38" i="28"/>
  <c r="AR2" i="28"/>
  <c r="AR38" i="28"/>
  <c r="AD32" i="28"/>
  <c r="AT67" i="28"/>
  <c r="AT53" i="28"/>
  <c r="AM51" i="28"/>
  <c r="AM65" i="28"/>
  <c r="AA75" i="27"/>
  <c r="AA61" i="27"/>
  <c r="BA66" i="28"/>
  <c r="BA52" i="28"/>
  <c r="AP42" i="17"/>
  <c r="BA42" i="17"/>
  <c r="BA19" i="17"/>
  <c r="AQ35" i="17"/>
  <c r="BB30" i="17"/>
  <c r="R57" i="15"/>
  <c r="Q40" i="17"/>
  <c r="AB40" i="17"/>
  <c r="AB4" i="17"/>
  <c r="BB66" i="28"/>
  <c r="BB52" i="28"/>
  <c r="X54" i="17"/>
  <c r="AS34" i="17"/>
  <c r="BD14" i="17"/>
  <c r="E2" i="28"/>
  <c r="E38" i="28"/>
  <c r="AE2" i="28"/>
  <c r="AE38" i="28"/>
  <c r="T2" i="28"/>
  <c r="T38" i="28"/>
  <c r="AT2" i="28"/>
  <c r="AT38" i="28"/>
  <c r="T53" i="28"/>
  <c r="T67" i="28"/>
  <c r="O71" i="28"/>
  <c r="O57" i="28"/>
  <c r="AE40" i="27"/>
  <c r="AB73" i="28"/>
  <c r="AB59" i="28"/>
  <c r="AO63" i="27"/>
  <c r="BB51" i="28"/>
  <c r="BB65" i="28"/>
  <c r="T35" i="17"/>
  <c r="AE30" i="17"/>
  <c r="AW47" i="17"/>
  <c r="AL45" i="17"/>
  <c r="G49" i="15"/>
  <c r="M63" i="17"/>
  <c r="X68" i="17"/>
  <c r="AB46" i="17"/>
  <c r="G2" i="28"/>
  <c r="G38" i="28"/>
  <c r="AG2" i="28"/>
  <c r="AG38" i="28"/>
  <c r="W2" i="28"/>
  <c r="W38" i="28"/>
  <c r="AW2" i="28"/>
  <c r="AW38" i="28"/>
  <c r="D32" i="28"/>
  <c r="AK54" i="28"/>
  <c r="AK68" i="28"/>
  <c r="AR71" i="28"/>
  <c r="AR57" i="28"/>
  <c r="O71" i="27"/>
  <c r="O57" i="27"/>
  <c r="E73" i="17"/>
  <c r="E59" i="17"/>
  <c r="AB68" i="28"/>
  <c r="AB54" i="28"/>
  <c r="AB65" i="28"/>
  <c r="AB51" i="28"/>
  <c r="AR50" i="17"/>
  <c r="BC25" i="17"/>
  <c r="AR64" i="17"/>
  <c r="U58" i="17"/>
  <c r="AF58" i="17"/>
  <c r="AF16" i="17"/>
  <c r="U72" i="17"/>
  <c r="AF72" i="17"/>
  <c r="I2" i="28"/>
  <c r="I38" i="28"/>
  <c r="AI2" i="28"/>
  <c r="AI38" i="28"/>
  <c r="Y2" i="28"/>
  <c r="Y38" i="28"/>
  <c r="AY2" i="28"/>
  <c r="AY38" i="28"/>
  <c r="K67" i="28"/>
  <c r="K53" i="28"/>
  <c r="F67" i="27"/>
  <c r="F53" i="27"/>
  <c r="BA64" i="28"/>
  <c r="BA50" i="28"/>
  <c r="AE41" i="27"/>
  <c r="AA75" i="28"/>
  <c r="AA61" i="28"/>
  <c r="AL31" i="17"/>
  <c r="W56" i="15"/>
  <c r="W70" i="15"/>
  <c r="T55" i="15"/>
  <c r="T69" i="15"/>
  <c r="AC35" i="17"/>
  <c r="K2" i="28"/>
  <c r="K38" i="28"/>
  <c r="AK2" i="28"/>
  <c r="AK38" i="28"/>
  <c r="N50" i="28"/>
  <c r="N64" i="28"/>
  <c r="AN51" i="28"/>
  <c r="AN65" i="28"/>
  <c r="AX53" i="28"/>
  <c r="AX67" i="28"/>
  <c r="AR51" i="28"/>
  <c r="AR65" i="28"/>
  <c r="AN70" i="28"/>
  <c r="AN56" i="28"/>
  <c r="AL56" i="28"/>
  <c r="AL70" i="28"/>
  <c r="S46" i="17"/>
  <c r="AD10" i="17"/>
  <c r="AP74" i="17"/>
  <c r="BA74" i="17"/>
  <c r="AP60" i="17"/>
  <c r="BA60" i="17"/>
  <c r="BA12" i="17"/>
  <c r="AC4" i="17"/>
  <c r="R40" i="17"/>
  <c r="AC40" i="17"/>
  <c r="R47" i="17"/>
  <c r="AC6" i="17"/>
  <c r="AA76" i="28"/>
  <c r="AA62" i="28"/>
  <c r="AD34" i="17"/>
  <c r="T70" i="15"/>
  <c r="T56" i="15"/>
  <c r="X69" i="15"/>
  <c r="X55" i="15"/>
  <c r="M2" i="28"/>
  <c r="M38" i="28"/>
  <c r="AM2" i="28"/>
  <c r="AM38" i="28"/>
  <c r="AD38" i="28"/>
  <c r="O3" i="28"/>
  <c r="O32" i="28"/>
  <c r="AY56" i="28"/>
  <c r="AY70" i="28"/>
  <c r="BB70" i="28"/>
  <c r="BB56" i="28"/>
  <c r="T41" i="17"/>
  <c r="AE41" i="17"/>
  <c r="AE8" i="17"/>
  <c r="AP40" i="17"/>
  <c r="BA40" i="17"/>
  <c r="BA4" i="17"/>
  <c r="AF64" i="17"/>
  <c r="R66" i="15"/>
  <c r="T51" i="15"/>
  <c r="T65" i="15"/>
  <c r="U69" i="15"/>
  <c r="U55" i="15"/>
  <c r="N31" i="15"/>
  <c r="X70" i="15"/>
  <c r="X56" i="15"/>
  <c r="O2" i="28"/>
  <c r="O38" i="28"/>
  <c r="AO2" i="28"/>
  <c r="AO38" i="28"/>
  <c r="F2" i="28"/>
  <c r="F38" i="28"/>
  <c r="AF2" i="28"/>
  <c r="AF38" i="28"/>
  <c r="K3" i="28"/>
  <c r="K32" i="28"/>
  <c r="L50" i="28"/>
  <c r="L64" i="28"/>
  <c r="M3" i="28"/>
  <c r="M32" i="28"/>
  <c r="AW68" i="28"/>
  <c r="AW54" i="28"/>
  <c r="BA59" i="28"/>
  <c r="BA73" i="28"/>
  <c r="AB70" i="28"/>
  <c r="AB56" i="28"/>
  <c r="AO40" i="17"/>
  <c r="AZ40" i="17"/>
  <c r="AZ4" i="17"/>
  <c r="AQ40" i="17"/>
  <c r="BB40" i="17"/>
  <c r="BB4" i="17"/>
  <c r="F63" i="15"/>
  <c r="Q2" i="28"/>
  <c r="Q38" i="28"/>
  <c r="AQ2" i="28"/>
  <c r="AQ38" i="28"/>
  <c r="H2" i="28"/>
  <c r="H38" i="28"/>
  <c r="AH2" i="28"/>
  <c r="AH38" i="28"/>
  <c r="Y63" i="4"/>
  <c r="W3" i="28"/>
  <c r="W32" i="28"/>
  <c r="AW3" i="28"/>
  <c r="AW32" i="28"/>
  <c r="AP68" i="28"/>
  <c r="AP54" i="28"/>
  <c r="AQ69" i="27"/>
  <c r="AQ55" i="27"/>
  <c r="BB74" i="28"/>
  <c r="BB60" i="28"/>
  <c r="BB48" i="27"/>
  <c r="BA65" i="28"/>
  <c r="BA51" i="28"/>
  <c r="AA72" i="28"/>
  <c r="AA58" i="28"/>
  <c r="Q35" i="17"/>
  <c r="AB30" i="17"/>
  <c r="AF49" i="17"/>
  <c r="U46" i="17"/>
  <c r="AF10" i="17"/>
  <c r="T40" i="17"/>
  <c r="AE40" i="17"/>
  <c r="AE4" i="17"/>
  <c r="BB60" i="5"/>
  <c r="BC60" i="5"/>
  <c r="BB62" i="5"/>
  <c r="BC62" i="5"/>
  <c r="EU60" i="18"/>
  <c r="FG48" i="18"/>
  <c r="FG60" i="18"/>
  <c r="EU48" i="18"/>
  <c r="CK60" i="18"/>
  <c r="CW60" i="18"/>
  <c r="CW48" i="18"/>
  <c r="CK48" i="18"/>
  <c r="FG76" i="18"/>
  <c r="EU76" i="18"/>
  <c r="EU74" i="18"/>
  <c r="FG63" i="18"/>
  <c r="EU63" i="18"/>
  <c r="FG74" i="18"/>
  <c r="W31" i="28"/>
  <c r="Z72" i="28"/>
  <c r="Z58" i="28"/>
  <c r="V70" i="28"/>
  <c r="V56" i="28"/>
  <c r="C12" i="28"/>
  <c r="W52" i="28"/>
  <c r="W66" i="28"/>
  <c r="Z74" i="28"/>
  <c r="Z60" i="28"/>
  <c r="AD37" i="28"/>
  <c r="AC22" i="28"/>
  <c r="D51" i="28"/>
  <c r="C21" i="28"/>
  <c r="V57" i="28"/>
  <c r="V71" i="28"/>
  <c r="C25" i="27"/>
  <c r="D54" i="28"/>
  <c r="C9" i="28"/>
  <c r="AD40" i="28"/>
  <c r="AC4" i="28"/>
  <c r="AC12" i="27"/>
  <c r="AC5" i="27"/>
  <c r="AD35" i="27"/>
  <c r="AC30" i="27"/>
  <c r="W57" i="28"/>
  <c r="W71" i="28"/>
  <c r="EU33" i="18"/>
  <c r="FG33" i="18"/>
  <c r="C20" i="28"/>
  <c r="W65" i="28"/>
  <c r="W51" i="28"/>
  <c r="V75" i="28"/>
  <c r="V61" i="28"/>
  <c r="Y62" i="28"/>
  <c r="Y76" i="28"/>
  <c r="V58" i="28"/>
  <c r="V72" i="28"/>
  <c r="C3" i="28"/>
  <c r="D40" i="27"/>
  <c r="C4" i="27"/>
  <c r="W68" i="28"/>
  <c r="W54" i="28"/>
  <c r="W58" i="28"/>
  <c r="W59" i="28"/>
  <c r="W61" i="28"/>
  <c r="W48" i="28"/>
  <c r="V68" i="28"/>
  <c r="V54" i="28"/>
  <c r="Y54" i="28"/>
  <c r="Y68" i="28"/>
  <c r="I3" i="20"/>
  <c r="AC26" i="27"/>
  <c r="AC2" i="27"/>
  <c r="AC30" i="28"/>
  <c r="AC14" i="28"/>
  <c r="X65" i="28"/>
  <c r="X51" i="28"/>
  <c r="AD49" i="28"/>
  <c r="AC23" i="28"/>
  <c r="AC20" i="28"/>
  <c r="Z62" i="28"/>
  <c r="Z76" i="28"/>
  <c r="Y57" i="28"/>
  <c r="Y71" i="28"/>
  <c r="AD37" i="27"/>
  <c r="AC22" i="27"/>
  <c r="AD42" i="27"/>
  <c r="AC19" i="27"/>
  <c r="V60" i="28"/>
  <c r="V74" i="28"/>
  <c r="AC25" i="27"/>
  <c r="X75" i="28"/>
  <c r="X61" i="28"/>
  <c r="AD44" i="28"/>
  <c r="AC15" i="28"/>
  <c r="Z57" i="28"/>
  <c r="Z71" i="28"/>
  <c r="AC5" i="28"/>
  <c r="BB57" i="5"/>
  <c r="BC57" i="5"/>
  <c r="C26" i="27"/>
  <c r="D34" i="28"/>
  <c r="C14" i="28"/>
  <c r="AC19" i="28"/>
  <c r="AC26" i="28"/>
  <c r="W53" i="28"/>
  <c r="W67" i="28"/>
  <c r="V62" i="28"/>
  <c r="V76" i="28"/>
  <c r="X72" i="28"/>
  <c r="X58" i="28"/>
  <c r="X53" i="28"/>
  <c r="X67" i="28"/>
  <c r="AC29" i="27"/>
  <c r="AD49" i="27"/>
  <c r="AC23" i="27"/>
  <c r="C21" i="27"/>
  <c r="C29" i="27"/>
  <c r="Y67" i="28"/>
  <c r="Y53" i="28"/>
  <c r="BB76" i="5"/>
  <c r="BC76" i="5"/>
  <c r="I12" i="20"/>
  <c r="X70" i="28"/>
  <c r="X56" i="28"/>
  <c r="AC21" i="28"/>
  <c r="D42" i="28"/>
  <c r="C19" i="28"/>
  <c r="AC7" i="28"/>
  <c r="D36" i="28"/>
  <c r="C26" i="28"/>
  <c r="AD41" i="28"/>
  <c r="AC8" i="28"/>
  <c r="D41" i="28"/>
  <c r="C8" i="28"/>
  <c r="Y59" i="28"/>
  <c r="Y73" i="28"/>
  <c r="C27" i="27"/>
  <c r="C7" i="27"/>
  <c r="Z31" i="28"/>
  <c r="AC10" i="27"/>
  <c r="Y72" i="28"/>
  <c r="Y58" i="28"/>
  <c r="EF44" i="18"/>
  <c r="C19" i="27"/>
  <c r="D46" i="28"/>
  <c r="C10" i="28"/>
  <c r="W72" i="28"/>
  <c r="Y52" i="28"/>
  <c r="Y66" i="28"/>
  <c r="Z70" i="28"/>
  <c r="Z56" i="28"/>
  <c r="C7" i="28"/>
  <c r="V66" i="28"/>
  <c r="V52" i="28"/>
  <c r="AC21" i="27"/>
  <c r="AC17" i="27"/>
  <c r="AC9" i="27"/>
  <c r="AC24" i="27"/>
  <c r="D49" i="27"/>
  <c r="C23" i="27"/>
  <c r="AC2" i="28"/>
  <c r="W60" i="28"/>
  <c r="W74" i="28"/>
  <c r="AC12" i="28"/>
  <c r="X60" i="28"/>
  <c r="X74" i="28"/>
  <c r="D41" i="27"/>
  <c r="C8" i="27"/>
  <c r="D37" i="28"/>
  <c r="C22" i="28"/>
  <c r="AD34" i="27"/>
  <c r="AC14" i="27"/>
  <c r="C24" i="27"/>
  <c r="X31" i="28"/>
  <c r="AC29" i="28"/>
  <c r="AC3" i="28"/>
  <c r="AC11" i="27"/>
  <c r="CK71" i="18"/>
  <c r="CW71" i="18"/>
  <c r="AC11" i="28"/>
  <c r="D43" i="27"/>
  <c r="C28" i="27"/>
  <c r="C12" i="27"/>
  <c r="D46" i="27"/>
  <c r="C10" i="27"/>
  <c r="AD46" i="28"/>
  <c r="AC10" i="28"/>
  <c r="D40" i="28"/>
  <c r="C4" i="28"/>
  <c r="Z59" i="28"/>
  <c r="Z73" i="28"/>
  <c r="CK67" i="18"/>
  <c r="CW67" i="18"/>
  <c r="EF43" i="18"/>
  <c r="I19" i="20"/>
  <c r="D39" i="28"/>
  <c r="C11" i="28"/>
  <c r="Z61" i="28"/>
  <c r="Z75" i="28"/>
  <c r="AC6" i="28"/>
  <c r="D43" i="28"/>
  <c r="C28" i="28"/>
  <c r="D33" i="27"/>
  <c r="C13" i="27"/>
  <c r="D35" i="28"/>
  <c r="C30" i="28"/>
  <c r="AD47" i="27"/>
  <c r="AD45" i="27"/>
  <c r="AE45" i="27"/>
  <c r="AM45" i="27"/>
  <c r="AC45" i="27"/>
  <c r="AC6" i="27"/>
  <c r="AD43" i="27"/>
  <c r="AC28" i="27"/>
  <c r="Z52" i="28"/>
  <c r="Z66" i="28"/>
  <c r="C11" i="27"/>
  <c r="AC4" i="27"/>
  <c r="AC18" i="28"/>
  <c r="D38" i="28"/>
  <c r="C2" i="28"/>
  <c r="C15" i="28"/>
  <c r="D47" i="28"/>
  <c r="C6" i="28"/>
  <c r="C27" i="28"/>
  <c r="AD33" i="28"/>
  <c r="AC13" i="28"/>
  <c r="D67" i="28"/>
  <c r="C5" i="28"/>
  <c r="AD68" i="28"/>
  <c r="AC9" i="28"/>
  <c r="D33" i="28"/>
  <c r="C13" i="28"/>
  <c r="D34" i="27"/>
  <c r="C14" i="27"/>
  <c r="Z54" i="28"/>
  <c r="Z48" i="28"/>
  <c r="Z68" i="28"/>
  <c r="C9" i="27"/>
  <c r="X68" i="28"/>
  <c r="X54" i="28"/>
  <c r="Z67" i="28"/>
  <c r="Z53" i="28"/>
  <c r="X59" i="28"/>
  <c r="X73" i="28"/>
  <c r="AC15" i="27"/>
  <c r="C3" i="27"/>
  <c r="BB74" i="5"/>
  <c r="BC74" i="5"/>
  <c r="EU62" i="18"/>
  <c r="FG62" i="18"/>
  <c r="V53" i="28"/>
  <c r="V67" i="28"/>
  <c r="AC17" i="28"/>
  <c r="C18" i="28"/>
  <c r="Y31" i="28"/>
  <c r="V51" i="28"/>
  <c r="V65" i="28"/>
  <c r="C29" i="28"/>
  <c r="W75" i="28"/>
  <c r="Y60" i="28"/>
  <c r="Y74" i="28"/>
  <c r="Z65" i="28"/>
  <c r="Z51" i="28"/>
  <c r="V59" i="28"/>
  <c r="V48" i="28"/>
  <c r="C18" i="27"/>
  <c r="D49" i="28"/>
  <c r="C23" i="28"/>
  <c r="AD33" i="27"/>
  <c r="AC13" i="27"/>
  <c r="Y75" i="28"/>
  <c r="Y61" i="28"/>
  <c r="Y48" i="28"/>
  <c r="AD43" i="28"/>
  <c r="AC28" i="28"/>
  <c r="X57" i="28"/>
  <c r="X71" i="28"/>
  <c r="C15" i="27"/>
  <c r="AC3" i="27"/>
  <c r="C25" i="28"/>
  <c r="EF39" i="18"/>
  <c r="X52" i="28"/>
  <c r="X66" i="28"/>
  <c r="X63" i="28"/>
  <c r="C16" i="28"/>
  <c r="Y65" i="28"/>
  <c r="Y51" i="28"/>
  <c r="W73" i="28"/>
  <c r="V73" i="28"/>
  <c r="D35" i="27"/>
  <c r="C30" i="27"/>
  <c r="D37" i="27"/>
  <c r="C22" i="27"/>
  <c r="D47" i="27"/>
  <c r="C6" i="27"/>
  <c r="AC27" i="27"/>
  <c r="C2" i="27"/>
  <c r="R35" i="5"/>
  <c r="Q35" i="5"/>
  <c r="Q46" i="32"/>
  <c r="R46" i="32"/>
  <c r="Q33" i="32"/>
  <c r="R33" i="32"/>
  <c r="I15" i="20"/>
  <c r="I30" i="20"/>
  <c r="BB40" i="5"/>
  <c r="BB31" i="5"/>
  <c r="BC40" i="5"/>
  <c r="I23" i="20"/>
  <c r="BB53" i="5"/>
  <c r="BC53" i="5"/>
  <c r="BC48" i="5"/>
  <c r="BB71" i="5"/>
  <c r="BC71" i="5"/>
  <c r="BB63" i="5"/>
  <c r="I14" i="20"/>
  <c r="I46" i="5"/>
  <c r="I45" i="5"/>
  <c r="G45" i="5"/>
  <c r="CK63" i="18"/>
  <c r="CK69" i="18"/>
  <c r="CW69" i="18"/>
  <c r="CW63" i="18"/>
  <c r="CK75" i="18"/>
  <c r="CW75" i="18"/>
  <c r="Q41" i="32"/>
  <c r="R41" i="32"/>
  <c r="Q38" i="32"/>
  <c r="R38" i="32"/>
  <c r="Q43" i="32"/>
  <c r="R43" i="32"/>
  <c r="Q40" i="32"/>
  <c r="R40" i="32"/>
  <c r="EF36" i="18"/>
  <c r="EU44" i="18"/>
  <c r="FG44" i="18"/>
  <c r="AJ48" i="32"/>
  <c r="BB55" i="32"/>
  <c r="BC55" i="32"/>
  <c r="AJ63" i="32"/>
  <c r="Q39" i="32"/>
  <c r="R39" i="32"/>
  <c r="Q34" i="32"/>
  <c r="R34" i="32"/>
  <c r="Q37" i="32"/>
  <c r="R37" i="32"/>
  <c r="Q44" i="32"/>
  <c r="R44" i="32"/>
  <c r="BB69" i="32"/>
  <c r="BC69" i="32"/>
  <c r="Q36" i="32"/>
  <c r="R36" i="32"/>
  <c r="BB52" i="32"/>
  <c r="BC52" i="32"/>
  <c r="BI76" i="17"/>
  <c r="BI59" i="17"/>
  <c r="M48" i="17"/>
  <c r="BH63" i="17"/>
  <c r="Y31" i="27"/>
  <c r="AB31" i="27"/>
  <c r="AR45" i="28"/>
  <c r="AO72" i="28"/>
  <c r="AY54" i="28"/>
  <c r="AE67" i="28"/>
  <c r="L68" i="28"/>
  <c r="AJ56" i="28"/>
  <c r="T54" i="28"/>
  <c r="E8" i="17"/>
  <c r="E41" i="17"/>
  <c r="AX60" i="28"/>
  <c r="AI54" i="28"/>
  <c r="AB31" i="28"/>
  <c r="I48" i="5"/>
  <c r="AS76" i="28"/>
  <c r="AS62" i="28"/>
  <c r="I8" i="20"/>
  <c r="AT70" i="28"/>
  <c r="F70" i="28"/>
  <c r="BA60" i="28"/>
  <c r="AL51" i="28"/>
  <c r="S57" i="28"/>
  <c r="AR56" i="28"/>
  <c r="AH56" i="28"/>
  <c r="F71" i="28"/>
  <c r="R73" i="28"/>
  <c r="AG72" i="28"/>
  <c r="H72" i="28"/>
  <c r="N45" i="28"/>
  <c r="AX57" i="28"/>
  <c r="AQ58" i="28"/>
  <c r="AQ45" i="28"/>
  <c r="D65" i="28"/>
  <c r="AT58" i="28"/>
  <c r="BB64" i="32"/>
  <c r="BC64" i="32"/>
  <c r="BB68" i="32"/>
  <c r="BC68" i="32"/>
  <c r="G32" i="32"/>
  <c r="I32" i="32"/>
  <c r="I3" i="32"/>
  <c r="BC53" i="32"/>
  <c r="BB53" i="32"/>
  <c r="BB50" i="32"/>
  <c r="BC50" i="32"/>
  <c r="BB54" i="32"/>
  <c r="BC54" i="32"/>
  <c r="BB49" i="32"/>
  <c r="BC49" i="32"/>
  <c r="BB56" i="32"/>
  <c r="BC56" i="32"/>
  <c r="BB67" i="32"/>
  <c r="BC67" i="32"/>
  <c r="BB62" i="32"/>
  <c r="BC62" i="32"/>
  <c r="E63" i="20"/>
  <c r="I63" i="20"/>
  <c r="I13" i="20"/>
  <c r="H67" i="28"/>
  <c r="AL48" i="17"/>
  <c r="AK75" i="28"/>
  <c r="M58" i="28"/>
  <c r="AW76" i="27"/>
  <c r="N48" i="15"/>
  <c r="M31" i="4"/>
  <c r="AB62" i="28"/>
  <c r="F48" i="15"/>
  <c r="BH48" i="17"/>
  <c r="E67" i="28"/>
  <c r="BA76" i="28"/>
  <c r="J52" i="28"/>
  <c r="AN72" i="28"/>
  <c r="AW73" i="28"/>
  <c r="AW71" i="28"/>
  <c r="I63" i="17"/>
  <c r="L48" i="15"/>
  <c r="AB55" i="28"/>
  <c r="AL63" i="17"/>
  <c r="E62" i="28"/>
  <c r="AK67" i="28"/>
  <c r="S65" i="28"/>
  <c r="AL74" i="28"/>
  <c r="M74" i="28"/>
  <c r="AA31" i="27"/>
  <c r="BH31" i="17"/>
  <c r="N62" i="28"/>
  <c r="AQ57" i="28"/>
  <c r="R31" i="17"/>
  <c r="K62" i="28"/>
  <c r="Q71" i="28"/>
  <c r="O62" i="27"/>
  <c r="AV64" i="17"/>
  <c r="AI53" i="27"/>
  <c r="AI67" i="27"/>
  <c r="AR59" i="28"/>
  <c r="AO68" i="28"/>
  <c r="AA69" i="27"/>
  <c r="AA55" i="27"/>
  <c r="Q63" i="15"/>
  <c r="Q58" i="28"/>
  <c r="AC73" i="26"/>
  <c r="R52" i="15"/>
  <c r="AG67" i="27"/>
  <c r="AG53" i="27"/>
  <c r="AC59" i="26"/>
  <c r="X68" i="15"/>
  <c r="X54" i="15"/>
  <c r="AF58" i="28"/>
  <c r="H59" i="28"/>
  <c r="AR68" i="27"/>
  <c r="AG68" i="27"/>
  <c r="AG63" i="27"/>
  <c r="AG54" i="27"/>
  <c r="AG48" i="27"/>
  <c r="AB69" i="27"/>
  <c r="AB55" i="27"/>
  <c r="T72" i="28"/>
  <c r="AG51" i="27"/>
  <c r="AG65" i="27"/>
  <c r="O76" i="28"/>
  <c r="O57" i="15"/>
  <c r="AA55" i="28"/>
  <c r="AA69" i="28"/>
  <c r="L53" i="28"/>
  <c r="AN54" i="27"/>
  <c r="AN68" i="27"/>
  <c r="AY57" i="28"/>
  <c r="AM57" i="28"/>
  <c r="AZ67" i="27"/>
  <c r="AZ53" i="27"/>
  <c r="AZ65" i="27"/>
  <c r="AZ51" i="27"/>
  <c r="K63" i="15"/>
  <c r="AA63" i="27"/>
  <c r="AZ71" i="27"/>
  <c r="AZ57" i="27"/>
  <c r="G59" i="28"/>
  <c r="AT71" i="28"/>
  <c r="AZ69" i="27"/>
  <c r="AZ55" i="27"/>
  <c r="AJ76" i="28"/>
  <c r="AJ62" i="28"/>
  <c r="M51" i="28"/>
  <c r="AJ58" i="28"/>
  <c r="N65" i="28"/>
  <c r="F59" i="28"/>
  <c r="AZ54" i="27"/>
  <c r="AZ68" i="27"/>
  <c r="G70" i="15"/>
  <c r="AN57" i="28"/>
  <c r="G56" i="28"/>
  <c r="AZ61" i="17"/>
  <c r="AK72" i="28"/>
  <c r="AM73" i="27"/>
  <c r="AM59" i="27"/>
  <c r="R75" i="28"/>
  <c r="AX54" i="28"/>
  <c r="AD54" i="28"/>
  <c r="AB70" i="27"/>
  <c r="AB56" i="27"/>
  <c r="AJ71" i="28"/>
  <c r="E45" i="27"/>
  <c r="AP45" i="28"/>
  <c r="AC50" i="28"/>
  <c r="L45" i="28"/>
  <c r="N64" i="27"/>
  <c r="N50" i="27"/>
  <c r="AF56" i="28"/>
  <c r="AJ68" i="28"/>
  <c r="S50" i="28"/>
  <c r="AO61" i="28"/>
  <c r="AM62" i="28"/>
  <c r="E16" i="17"/>
  <c r="E58" i="17"/>
  <c r="L31" i="27"/>
  <c r="Z66" i="27"/>
  <c r="Z52" i="27"/>
  <c r="AD62" i="27"/>
  <c r="AD76" i="27"/>
  <c r="L31" i="4"/>
  <c r="AF65" i="28"/>
  <c r="AR74" i="28"/>
  <c r="U48" i="4"/>
  <c r="AR66" i="27"/>
  <c r="AR63" i="27"/>
  <c r="AR52" i="27"/>
  <c r="AR48" i="27"/>
  <c r="D65" i="27"/>
  <c r="D51" i="27"/>
  <c r="D57" i="27"/>
  <c r="D71" i="27"/>
  <c r="O67" i="27"/>
  <c r="O53" i="27"/>
  <c r="Y65" i="27"/>
  <c r="Y51" i="27"/>
  <c r="E61" i="28"/>
  <c r="O65" i="27"/>
  <c r="O51" i="27"/>
  <c r="AC32" i="27"/>
  <c r="O60" i="28"/>
  <c r="AM24" i="17"/>
  <c r="AM55" i="17"/>
  <c r="AX55" i="17"/>
  <c r="AA63" i="4"/>
  <c r="O66" i="27"/>
  <c r="O52" i="27"/>
  <c r="O68" i="27"/>
  <c r="O54" i="27"/>
  <c r="AT68" i="28"/>
  <c r="N66" i="27"/>
  <c r="N52" i="27"/>
  <c r="D69" i="27"/>
  <c r="D55" i="27"/>
  <c r="N70" i="27"/>
  <c r="N56" i="27"/>
  <c r="N67" i="27"/>
  <c r="N53" i="27"/>
  <c r="O60" i="27"/>
  <c r="O74" i="27"/>
  <c r="AM45" i="28"/>
  <c r="N31" i="27"/>
  <c r="O69" i="27"/>
  <c r="O55" i="27"/>
  <c r="Y69" i="27"/>
  <c r="Y55" i="27"/>
  <c r="D54" i="27"/>
  <c r="D68" i="27"/>
  <c r="O56" i="27"/>
  <c r="O70" i="27"/>
  <c r="Y66" i="27"/>
  <c r="Y52" i="27"/>
  <c r="AA20" i="17"/>
  <c r="R45" i="15"/>
  <c r="AV59" i="28"/>
  <c r="AJ74" i="28"/>
  <c r="J76" i="28"/>
  <c r="P70" i="17"/>
  <c r="AA70" i="17"/>
  <c r="AI70" i="17"/>
  <c r="L76" i="28"/>
  <c r="M31" i="17"/>
  <c r="R48" i="15"/>
  <c r="AG51" i="28"/>
  <c r="AS63" i="27"/>
  <c r="M48" i="4"/>
  <c r="N48" i="4"/>
  <c r="O31" i="4"/>
  <c r="BA63" i="26"/>
  <c r="O48" i="4"/>
  <c r="AD31" i="27"/>
  <c r="E66" i="27"/>
  <c r="E52" i="27"/>
  <c r="N31" i="4"/>
  <c r="N63" i="4"/>
  <c r="N58" i="28"/>
  <c r="AD50" i="27"/>
  <c r="AD64" i="27"/>
  <c r="N31" i="17"/>
  <c r="AA48" i="4"/>
  <c r="M65" i="27"/>
  <c r="M51" i="27"/>
  <c r="G76" i="27"/>
  <c r="G62" i="27"/>
  <c r="I45" i="28"/>
  <c r="R56" i="28"/>
  <c r="L72" i="28"/>
  <c r="AP58" i="28"/>
  <c r="M69" i="27"/>
  <c r="M55" i="27"/>
  <c r="R71" i="28"/>
  <c r="G56" i="15"/>
  <c r="O71" i="15"/>
  <c r="O31" i="27"/>
  <c r="G75" i="27"/>
  <c r="G61" i="27"/>
  <c r="M67" i="27"/>
  <c r="M53" i="27"/>
  <c r="M70" i="27"/>
  <c r="M56" i="27"/>
  <c r="S72" i="28"/>
  <c r="R51" i="28"/>
  <c r="C68" i="26"/>
  <c r="AC49" i="27"/>
  <c r="R45" i="28"/>
  <c r="V31" i="27"/>
  <c r="M54" i="27"/>
  <c r="M68" i="27"/>
  <c r="L71" i="28"/>
  <c r="P72" i="28"/>
  <c r="Q66" i="28"/>
  <c r="AN54" i="28"/>
  <c r="G67" i="28"/>
  <c r="M31" i="27"/>
  <c r="M71" i="27"/>
  <c r="M57" i="27"/>
  <c r="AJ52" i="28"/>
  <c r="O31" i="17"/>
  <c r="AY59" i="28"/>
  <c r="M48" i="15"/>
  <c r="D45" i="27"/>
  <c r="G73" i="27"/>
  <c r="G59" i="27"/>
  <c r="M73" i="27"/>
  <c r="M59" i="27"/>
  <c r="M60" i="27"/>
  <c r="M74" i="27"/>
  <c r="Q45" i="17"/>
  <c r="AF76" i="28"/>
  <c r="M45" i="28"/>
  <c r="AV52" i="28"/>
  <c r="AY58" i="28"/>
  <c r="AQ59" i="28"/>
  <c r="AH53" i="28"/>
  <c r="G50" i="27"/>
  <c r="G64" i="27"/>
  <c r="M61" i="27"/>
  <c r="M75" i="27"/>
  <c r="E67" i="27"/>
  <c r="E53" i="27"/>
  <c r="AN76" i="28"/>
  <c r="AN62" i="28"/>
  <c r="O48" i="17"/>
  <c r="T62" i="27"/>
  <c r="T76" i="27"/>
  <c r="AV51" i="27"/>
  <c r="AV65" i="27"/>
  <c r="Y59" i="27"/>
  <c r="Y73" i="27"/>
  <c r="T45" i="27"/>
  <c r="O64" i="27"/>
  <c r="O50" i="27"/>
  <c r="BA45" i="27"/>
  <c r="O72" i="27"/>
  <c r="O58" i="27"/>
  <c r="O45" i="27"/>
  <c r="AM31" i="27"/>
  <c r="Y74" i="27"/>
  <c r="Y60" i="27"/>
  <c r="R67" i="17"/>
  <c r="AC67" i="17"/>
  <c r="R53" i="17"/>
  <c r="AC53" i="17"/>
  <c r="AC5" i="17"/>
  <c r="Y64" i="27"/>
  <c r="Y50" i="27"/>
  <c r="AZ5" i="17"/>
  <c r="AO53" i="17"/>
  <c r="AZ53" i="17"/>
  <c r="AO67" i="17"/>
  <c r="AZ67" i="17"/>
  <c r="AM64" i="28"/>
  <c r="AM50" i="28"/>
  <c r="AD51" i="27"/>
  <c r="AD65" i="27"/>
  <c r="AM76" i="27"/>
  <c r="AM62" i="27"/>
  <c r="AD53" i="27"/>
  <c r="AD67" i="27"/>
  <c r="BA31" i="27"/>
  <c r="AD66" i="27"/>
  <c r="AD52" i="27"/>
  <c r="AM74" i="27"/>
  <c r="AM60" i="27"/>
  <c r="AD54" i="27"/>
  <c r="AD68" i="27"/>
  <c r="AD71" i="27"/>
  <c r="AD57" i="27"/>
  <c r="AM67" i="27"/>
  <c r="AM53" i="27"/>
  <c r="AW73" i="27"/>
  <c r="AW59" i="27"/>
  <c r="AM66" i="27"/>
  <c r="AM52" i="27"/>
  <c r="AD55" i="27"/>
  <c r="AD69" i="27"/>
  <c r="AM51" i="27"/>
  <c r="AM65" i="27"/>
  <c r="AM54" i="27"/>
  <c r="AM68" i="27"/>
  <c r="AM69" i="27"/>
  <c r="AM55" i="27"/>
  <c r="AD60" i="27"/>
  <c r="AD74" i="27"/>
  <c r="O73" i="27"/>
  <c r="O59" i="27"/>
  <c r="E50" i="27"/>
  <c r="E64" i="27"/>
  <c r="AC50" i="27"/>
  <c r="W73" i="27"/>
  <c r="W59" i="27"/>
  <c r="BI61" i="17"/>
  <c r="AI68" i="27"/>
  <c r="AI54" i="27"/>
  <c r="O75" i="27"/>
  <c r="O61" i="27"/>
  <c r="O45" i="17"/>
  <c r="Z46" i="17"/>
  <c r="G60" i="27"/>
  <c r="G74" i="27"/>
  <c r="AI65" i="27"/>
  <c r="AI51" i="27"/>
  <c r="AV55" i="27"/>
  <c r="AV69" i="27"/>
  <c r="AV52" i="27"/>
  <c r="AV66" i="27"/>
  <c r="AI69" i="27"/>
  <c r="AI55" i="27"/>
  <c r="AJ65" i="27"/>
  <c r="AJ51" i="27"/>
  <c r="N61" i="27"/>
  <c r="N75" i="27"/>
  <c r="AE63" i="4"/>
  <c r="AJ69" i="27"/>
  <c r="AJ55" i="27"/>
  <c r="N72" i="27"/>
  <c r="N58" i="27"/>
  <c r="AI52" i="27"/>
  <c r="AI66" i="27"/>
  <c r="BI50" i="17"/>
  <c r="AQ66" i="27"/>
  <c r="AQ52" i="27"/>
  <c r="AV71" i="27"/>
  <c r="AV57" i="27"/>
  <c r="M58" i="27"/>
  <c r="M72" i="27"/>
  <c r="BA48" i="26"/>
  <c r="Y58" i="27"/>
  <c r="Y72" i="27"/>
  <c r="AV68" i="27"/>
  <c r="AV54" i="27"/>
  <c r="AI71" i="27"/>
  <c r="AI57" i="27"/>
  <c r="AJ54" i="27"/>
  <c r="AJ68" i="27"/>
  <c r="AV67" i="27"/>
  <c r="AV53" i="27"/>
  <c r="Q54" i="27"/>
  <c r="Q68" i="27"/>
  <c r="AN55" i="27"/>
  <c r="AN69" i="27"/>
  <c r="F60" i="27"/>
  <c r="F74" i="27"/>
  <c r="F51" i="27"/>
  <c r="F65" i="27"/>
  <c r="Q45" i="27"/>
  <c r="Q66" i="27"/>
  <c r="Q52" i="27"/>
  <c r="AN51" i="27"/>
  <c r="AN65" i="27"/>
  <c r="F72" i="27"/>
  <c r="F58" i="27"/>
  <c r="F61" i="27"/>
  <c r="F75" i="27"/>
  <c r="Q31" i="27"/>
  <c r="F64" i="27"/>
  <c r="F50" i="27"/>
  <c r="AN57" i="27"/>
  <c r="AN71" i="27"/>
  <c r="F68" i="27"/>
  <c r="F54" i="27"/>
  <c r="Q65" i="27"/>
  <c r="Q51" i="27"/>
  <c r="AI62" i="28"/>
  <c r="L48" i="4"/>
  <c r="Q58" i="27"/>
  <c r="Q72" i="27"/>
  <c r="Q53" i="27"/>
  <c r="Q67" i="27"/>
  <c r="AH62" i="28"/>
  <c r="AH76" i="28"/>
  <c r="Q69" i="27"/>
  <c r="Q55" i="27"/>
  <c r="F55" i="27"/>
  <c r="F69" i="27"/>
  <c r="F45" i="27"/>
  <c r="F70" i="27"/>
  <c r="F56" i="27"/>
  <c r="AN67" i="27"/>
  <c r="AN53" i="27"/>
  <c r="Q73" i="27"/>
  <c r="Q59" i="27"/>
  <c r="E59" i="28"/>
  <c r="L63" i="4"/>
  <c r="BA31" i="26"/>
  <c r="Q71" i="27"/>
  <c r="Q57" i="27"/>
  <c r="F52" i="27"/>
  <c r="F66" i="27"/>
  <c r="AN66" i="27"/>
  <c r="AN63" i="27"/>
  <c r="AN52" i="27"/>
  <c r="F71" i="27"/>
  <c r="F57" i="27"/>
  <c r="BA51" i="27"/>
  <c r="BA65" i="27"/>
  <c r="S51" i="17"/>
  <c r="AD51" i="17"/>
  <c r="S65" i="17"/>
  <c r="AD65" i="17"/>
  <c r="AD21" i="17"/>
  <c r="F63" i="17"/>
  <c r="I48" i="17"/>
  <c r="L63" i="15"/>
  <c r="T45" i="28"/>
  <c r="AR55" i="27"/>
  <c r="AR69" i="27"/>
  <c r="L70" i="27"/>
  <c r="L56" i="27"/>
  <c r="BA61" i="27"/>
  <c r="BA75" i="27"/>
  <c r="Q74" i="27"/>
  <c r="Q60" i="27"/>
  <c r="T70" i="27"/>
  <c r="T56" i="27"/>
  <c r="AX54" i="27"/>
  <c r="AX68" i="27"/>
  <c r="S45" i="27"/>
  <c r="AX66" i="27"/>
  <c r="AX52" i="27"/>
  <c r="AL53" i="27"/>
  <c r="AL67" i="27"/>
  <c r="T57" i="27"/>
  <c r="T71" i="27"/>
  <c r="L66" i="27"/>
  <c r="L52" i="27"/>
  <c r="T53" i="27"/>
  <c r="T67" i="27"/>
  <c r="AL66" i="27"/>
  <c r="AL52" i="27"/>
  <c r="BA21" i="17"/>
  <c r="AP65" i="17"/>
  <c r="BA65" i="17"/>
  <c r="AP51" i="17"/>
  <c r="BA51" i="17"/>
  <c r="AK59" i="28"/>
  <c r="AK73" i="28"/>
  <c r="T73" i="27"/>
  <c r="T59" i="27"/>
  <c r="V48" i="4"/>
  <c r="BA70" i="27"/>
  <c r="BA56" i="27"/>
  <c r="BA64" i="27"/>
  <c r="BA50" i="27"/>
  <c r="AR51" i="27"/>
  <c r="AR65" i="27"/>
  <c r="T66" i="27"/>
  <c r="T52" i="27"/>
  <c r="M50" i="27"/>
  <c r="M64" i="27"/>
  <c r="V63" i="4"/>
  <c r="S69" i="17"/>
  <c r="AD69" i="17"/>
  <c r="S55" i="17"/>
  <c r="AD55" i="17"/>
  <c r="AD24" i="17"/>
  <c r="AE31" i="4"/>
  <c r="T31" i="27"/>
  <c r="V45" i="27"/>
  <c r="L65" i="27"/>
  <c r="L51" i="27"/>
  <c r="BA24" i="17"/>
  <c r="AP55" i="17"/>
  <c r="BA55" i="17"/>
  <c r="AP69" i="17"/>
  <c r="BA69" i="17"/>
  <c r="O63" i="4"/>
  <c r="S57" i="17"/>
  <c r="AD57" i="17"/>
  <c r="AD29" i="17"/>
  <c r="S71" i="17"/>
  <c r="AD71" i="17"/>
  <c r="AX71" i="27"/>
  <c r="AX57" i="27"/>
  <c r="AX67" i="27"/>
  <c r="AX53" i="27"/>
  <c r="BA54" i="27"/>
  <c r="BA68" i="27"/>
  <c r="BA72" i="27"/>
  <c r="BA58" i="27"/>
  <c r="AX65" i="27"/>
  <c r="AX51" i="27"/>
  <c r="F59" i="27"/>
  <c r="F73" i="27"/>
  <c r="BA29" i="17"/>
  <c r="AP71" i="17"/>
  <c r="BA71" i="17"/>
  <c r="AP57" i="17"/>
  <c r="BA57" i="17"/>
  <c r="AE48" i="4"/>
  <c r="M63" i="4"/>
  <c r="BA71" i="27"/>
  <c r="BA57" i="27"/>
  <c r="S66" i="17"/>
  <c r="AD66" i="17"/>
  <c r="AD17" i="17"/>
  <c r="S52" i="17"/>
  <c r="AD52" i="17"/>
  <c r="AL54" i="27"/>
  <c r="AL68" i="27"/>
  <c r="AR53" i="27"/>
  <c r="AR67" i="27"/>
  <c r="T54" i="27"/>
  <c r="T68" i="27"/>
  <c r="AR71" i="27"/>
  <c r="AR57" i="27"/>
  <c r="AM31" i="28"/>
  <c r="T58" i="27"/>
  <c r="T72" i="27"/>
  <c r="T65" i="27"/>
  <c r="T51" i="27"/>
  <c r="BA66" i="27"/>
  <c r="BA52" i="27"/>
  <c r="T69" i="27"/>
  <c r="T55" i="27"/>
  <c r="AP52" i="17"/>
  <c r="BA52" i="17"/>
  <c r="BA17" i="17"/>
  <c r="AP66" i="17"/>
  <c r="BA66" i="17"/>
  <c r="Z45" i="27"/>
  <c r="Z69" i="27"/>
  <c r="Z55" i="27"/>
  <c r="Z70" i="27"/>
  <c r="Z56" i="27"/>
  <c r="Z65" i="27"/>
  <c r="Z51" i="27"/>
  <c r="Z54" i="27"/>
  <c r="Z68" i="27"/>
  <c r="AA48" i="27"/>
  <c r="W55" i="27"/>
  <c r="W69" i="27"/>
  <c r="W67" i="27"/>
  <c r="W53" i="27"/>
  <c r="W68" i="27"/>
  <c r="W54" i="27"/>
  <c r="W31" i="27"/>
  <c r="W72" i="27"/>
  <c r="W58" i="27"/>
  <c r="W71" i="27"/>
  <c r="W57" i="27"/>
  <c r="W66" i="27"/>
  <c r="W52" i="27"/>
  <c r="V54" i="27"/>
  <c r="V68" i="27"/>
  <c r="V70" i="27"/>
  <c r="V56" i="27"/>
  <c r="V58" i="27"/>
  <c r="V72" i="27"/>
  <c r="V65" i="27"/>
  <c r="V51" i="27"/>
  <c r="V69" i="27"/>
  <c r="V55" i="27"/>
  <c r="V67" i="27"/>
  <c r="V53" i="27"/>
  <c r="V59" i="27"/>
  <c r="V73" i="27"/>
  <c r="V64" i="27"/>
  <c r="V50" i="27"/>
  <c r="V71" i="27"/>
  <c r="V57" i="27"/>
  <c r="V66" i="27"/>
  <c r="V52" i="27"/>
  <c r="V74" i="27"/>
  <c r="V60" i="27"/>
  <c r="T60" i="27"/>
  <c r="T74" i="27"/>
  <c r="T75" i="27"/>
  <c r="T61" i="27"/>
  <c r="S70" i="28"/>
  <c r="S56" i="28"/>
  <c r="S71" i="27"/>
  <c r="S57" i="27"/>
  <c r="S65" i="27"/>
  <c r="S51" i="27"/>
  <c r="S54" i="27"/>
  <c r="S68" i="27"/>
  <c r="S56" i="27"/>
  <c r="S70" i="27"/>
  <c r="S67" i="27"/>
  <c r="S53" i="27"/>
  <c r="S73" i="27"/>
  <c r="S59" i="27"/>
  <c r="S61" i="27"/>
  <c r="S75" i="27"/>
  <c r="S31" i="27"/>
  <c r="S74" i="27"/>
  <c r="S60" i="27"/>
  <c r="S58" i="27"/>
  <c r="S72" i="27"/>
  <c r="S64" i="27"/>
  <c r="S50" i="27"/>
  <c r="S52" i="27"/>
  <c r="S66" i="27"/>
  <c r="R61" i="27"/>
  <c r="R75" i="27"/>
  <c r="R76" i="28"/>
  <c r="C53" i="27"/>
  <c r="L60" i="27"/>
  <c r="L74" i="27"/>
  <c r="L61" i="27"/>
  <c r="L75" i="27"/>
  <c r="L45" i="27"/>
  <c r="L72" i="27"/>
  <c r="L58" i="27"/>
  <c r="L73" i="27"/>
  <c r="L59" i="27"/>
  <c r="L64" i="27"/>
  <c r="L50" i="27"/>
  <c r="K73" i="27"/>
  <c r="K59" i="27"/>
  <c r="K31" i="27"/>
  <c r="K76" i="27"/>
  <c r="K62" i="27"/>
  <c r="K45" i="27"/>
  <c r="K52" i="27"/>
  <c r="K66" i="27"/>
  <c r="K68" i="27"/>
  <c r="K54" i="27"/>
  <c r="K70" i="27"/>
  <c r="K56" i="27"/>
  <c r="K64" i="27"/>
  <c r="K50" i="27"/>
  <c r="K69" i="27"/>
  <c r="K55" i="27"/>
  <c r="K65" i="27"/>
  <c r="K51" i="27"/>
  <c r="K72" i="27"/>
  <c r="K58" i="27"/>
  <c r="K60" i="27"/>
  <c r="K74" i="27"/>
  <c r="K71" i="27"/>
  <c r="K57" i="27"/>
  <c r="J70" i="27"/>
  <c r="J56" i="27"/>
  <c r="J59" i="28"/>
  <c r="J45" i="27"/>
  <c r="J64" i="27"/>
  <c r="J50" i="27"/>
  <c r="J59" i="27"/>
  <c r="J73" i="27"/>
  <c r="J71" i="27"/>
  <c r="J57" i="27"/>
  <c r="J31" i="27"/>
  <c r="J74" i="27"/>
  <c r="J60" i="27"/>
  <c r="H45" i="27"/>
  <c r="H52" i="27"/>
  <c r="H66" i="27"/>
  <c r="H70" i="27"/>
  <c r="H56" i="27"/>
  <c r="G60" i="28"/>
  <c r="D31" i="27"/>
  <c r="D62" i="27"/>
  <c r="D76" i="27"/>
  <c r="D73" i="27"/>
  <c r="D59" i="27"/>
  <c r="D60" i="27"/>
  <c r="D74" i="27"/>
  <c r="D75" i="27"/>
  <c r="D61" i="27"/>
  <c r="D50" i="27"/>
  <c r="D64" i="27"/>
  <c r="C76" i="26"/>
  <c r="E74" i="27"/>
  <c r="E60" i="27"/>
  <c r="E31" i="27"/>
  <c r="E76" i="27"/>
  <c r="E62" i="27"/>
  <c r="E75" i="27"/>
  <c r="E61" i="27"/>
  <c r="E70" i="27"/>
  <c r="E56" i="27"/>
  <c r="E72" i="27"/>
  <c r="E58" i="27"/>
  <c r="E71" i="27"/>
  <c r="E57" i="27"/>
  <c r="E55" i="27"/>
  <c r="E69" i="27"/>
  <c r="E54" i="27"/>
  <c r="E68" i="27"/>
  <c r="R55" i="27"/>
  <c r="R69" i="27"/>
  <c r="AQ55" i="17"/>
  <c r="BB55" i="17"/>
  <c r="BB24" i="17"/>
  <c r="AQ69" i="17"/>
  <c r="BB69" i="17"/>
  <c r="AY17" i="17"/>
  <c r="AN66" i="17"/>
  <c r="AY66" i="17"/>
  <c r="AN52" i="17"/>
  <c r="AY52" i="17"/>
  <c r="Z76" i="27"/>
  <c r="Z62" i="27"/>
  <c r="BB5" i="17"/>
  <c r="AQ67" i="17"/>
  <c r="BB67" i="17"/>
  <c r="AQ53" i="17"/>
  <c r="BB53" i="17"/>
  <c r="O63" i="15"/>
  <c r="L59" i="28"/>
  <c r="Q71" i="17"/>
  <c r="AB71" i="17"/>
  <c r="AB29" i="17"/>
  <c r="Q57" i="17"/>
  <c r="AB57" i="17"/>
  <c r="Z73" i="27"/>
  <c r="Z59" i="27"/>
  <c r="AD9" i="17"/>
  <c r="S68" i="17"/>
  <c r="S54" i="17"/>
  <c r="AD54" i="17"/>
  <c r="AQ65" i="17"/>
  <c r="BB65" i="17"/>
  <c r="BB21" i="17"/>
  <c r="AQ51" i="17"/>
  <c r="BB51" i="17"/>
  <c r="AH71" i="27"/>
  <c r="AH57" i="27"/>
  <c r="R71" i="27"/>
  <c r="R57" i="27"/>
  <c r="N60" i="28"/>
  <c r="AZ31" i="28"/>
  <c r="AL31" i="28"/>
  <c r="AD5" i="17"/>
  <c r="S67" i="17"/>
  <c r="AD67" i="17"/>
  <c r="S53" i="17"/>
  <c r="AD53" i="17"/>
  <c r="AJ71" i="27"/>
  <c r="AJ57" i="27"/>
  <c r="R64" i="27"/>
  <c r="R50" i="27"/>
  <c r="Q68" i="17"/>
  <c r="AB68" i="17"/>
  <c r="Q54" i="17"/>
  <c r="AB54" i="17"/>
  <c r="AB9" i="17"/>
  <c r="Z71" i="27"/>
  <c r="Z57" i="27"/>
  <c r="AH54" i="27"/>
  <c r="AH68" i="27"/>
  <c r="E23" i="17"/>
  <c r="E49" i="17"/>
  <c r="AF54" i="28"/>
  <c r="R31" i="27"/>
  <c r="AC32" i="26"/>
  <c r="E3" i="17"/>
  <c r="E32" i="17"/>
  <c r="AQ53" i="27"/>
  <c r="AQ67" i="27"/>
  <c r="Q65" i="17"/>
  <c r="AB65" i="17"/>
  <c r="Q51" i="17"/>
  <c r="AB51" i="17"/>
  <c r="AB21" i="17"/>
  <c r="AJ66" i="27"/>
  <c r="AJ52" i="27"/>
  <c r="AN68" i="17"/>
  <c r="AY68" i="17"/>
  <c r="AY9" i="17"/>
  <c r="AN54" i="17"/>
  <c r="AY54" i="17"/>
  <c r="BI66" i="17"/>
  <c r="BI63" i="17"/>
  <c r="BG63" i="17"/>
  <c r="Z50" i="27"/>
  <c r="Z64" i="27"/>
  <c r="AQ71" i="27"/>
  <c r="AQ57" i="27"/>
  <c r="M62" i="27"/>
  <c r="M76" i="27"/>
  <c r="U56" i="17"/>
  <c r="AF56" i="17"/>
  <c r="AI56" i="17"/>
  <c r="E48" i="4"/>
  <c r="AN71" i="17"/>
  <c r="AY71" i="17"/>
  <c r="AY29" i="17"/>
  <c r="AN57" i="17"/>
  <c r="AY57" i="17"/>
  <c r="BA5" i="17"/>
  <c r="AP53" i="17"/>
  <c r="BA53" i="17"/>
  <c r="AP67" i="17"/>
  <c r="BA67" i="17"/>
  <c r="AF73" i="28"/>
  <c r="AF59" i="28"/>
  <c r="Q53" i="17"/>
  <c r="AB53" i="17"/>
  <c r="Q67" i="17"/>
  <c r="AB67" i="17"/>
  <c r="AB5" i="17"/>
  <c r="BA9" i="17"/>
  <c r="AP68" i="17"/>
  <c r="AP54" i="17"/>
  <c r="BA54" i="17"/>
  <c r="BG48" i="17"/>
  <c r="BI52" i="17"/>
  <c r="Z61" i="27"/>
  <c r="Z75" i="27"/>
  <c r="P31" i="28"/>
  <c r="T66" i="28"/>
  <c r="AF20" i="17"/>
  <c r="AE29" i="17"/>
  <c r="T57" i="17"/>
  <c r="AE57" i="17"/>
  <c r="T71" i="17"/>
  <c r="AE71" i="17"/>
  <c r="AN53" i="17"/>
  <c r="AY53" i="17"/>
  <c r="AY5" i="17"/>
  <c r="AN67" i="17"/>
  <c r="AY67" i="17"/>
  <c r="L31" i="28"/>
  <c r="AH67" i="27"/>
  <c r="AH53" i="27"/>
  <c r="AY21" i="17"/>
  <c r="AN65" i="17"/>
  <c r="AY65" i="17"/>
  <c r="AN51" i="17"/>
  <c r="AY51" i="17"/>
  <c r="AH65" i="27"/>
  <c r="AH51" i="27"/>
  <c r="R70" i="27"/>
  <c r="R56" i="27"/>
  <c r="Z31" i="27"/>
  <c r="T52" i="17"/>
  <c r="T66" i="17"/>
  <c r="AE66" i="17"/>
  <c r="AE17" i="17"/>
  <c r="AH69" i="27"/>
  <c r="AH55" i="27"/>
  <c r="O48" i="15"/>
  <c r="E58" i="28"/>
  <c r="I71" i="28"/>
  <c r="Y76" i="27"/>
  <c r="Y62" i="27"/>
  <c r="AB24" i="17"/>
  <c r="Q55" i="17"/>
  <c r="AB55" i="17"/>
  <c r="Q69" i="17"/>
  <c r="AB69" i="17"/>
  <c r="AJ53" i="27"/>
  <c r="AJ67" i="27"/>
  <c r="T54" i="17"/>
  <c r="AE54" i="17"/>
  <c r="T68" i="17"/>
  <c r="AE68" i="17"/>
  <c r="AE9" i="17"/>
  <c r="AM9" i="17"/>
  <c r="R74" i="27"/>
  <c r="R60" i="27"/>
  <c r="BB29" i="17"/>
  <c r="AQ57" i="17"/>
  <c r="BB57" i="17"/>
  <c r="AQ71" i="17"/>
  <c r="BB71" i="17"/>
  <c r="AY24" i="17"/>
  <c r="AN55" i="17"/>
  <c r="AY55" i="17"/>
  <c r="AN69" i="17"/>
  <c r="AY69" i="17"/>
  <c r="U63" i="4"/>
  <c r="R68" i="27"/>
  <c r="R54" i="27"/>
  <c r="R66" i="27"/>
  <c r="R52" i="27"/>
  <c r="AH55" i="28"/>
  <c r="AH69" i="28"/>
  <c r="AK62" i="28"/>
  <c r="M63" i="15"/>
  <c r="F48" i="17"/>
  <c r="BB46" i="17"/>
  <c r="AQ45" i="17"/>
  <c r="AQ68" i="27"/>
  <c r="AQ54" i="27"/>
  <c r="BB17" i="17"/>
  <c r="AQ66" i="17"/>
  <c r="BB66" i="17"/>
  <c r="AQ52" i="17"/>
  <c r="BB52" i="17"/>
  <c r="P45" i="28"/>
  <c r="G63" i="15"/>
  <c r="R76" i="27"/>
  <c r="R62" i="27"/>
  <c r="AH66" i="27"/>
  <c r="AH52" i="27"/>
  <c r="Z74" i="27"/>
  <c r="Z60" i="27"/>
  <c r="BB9" i="17"/>
  <c r="AQ68" i="17"/>
  <c r="BB68" i="17"/>
  <c r="AQ54" i="17"/>
  <c r="BB54" i="17"/>
  <c r="AS48" i="27"/>
  <c r="AY75" i="28"/>
  <c r="T55" i="17"/>
  <c r="AE55" i="17"/>
  <c r="AE24" i="17"/>
  <c r="T69" i="17"/>
  <c r="AE69" i="17"/>
  <c r="Z58" i="27"/>
  <c r="Z72" i="27"/>
  <c r="Q66" i="17"/>
  <c r="AB66" i="17"/>
  <c r="Q52" i="17"/>
  <c r="AB52" i="17"/>
  <c r="AB17" i="17"/>
  <c r="R59" i="27"/>
  <c r="R73" i="27"/>
  <c r="T51" i="17"/>
  <c r="AE51" i="17"/>
  <c r="AE21" i="17"/>
  <c r="T65" i="17"/>
  <c r="AE65" i="17"/>
  <c r="R45" i="27"/>
  <c r="AE5" i="17"/>
  <c r="T67" i="17"/>
  <c r="AE67" i="17"/>
  <c r="T53" i="17"/>
  <c r="AE53" i="17"/>
  <c r="BC24" i="17"/>
  <c r="AR69" i="17"/>
  <c r="BC69" i="17"/>
  <c r="AR55" i="17"/>
  <c r="BC55" i="17"/>
  <c r="AE51" i="27"/>
  <c r="AE65" i="27"/>
  <c r="AW39" i="27"/>
  <c r="F54" i="28"/>
  <c r="D45" i="28"/>
  <c r="AM12" i="17"/>
  <c r="AS68" i="28"/>
  <c r="E63" i="4"/>
  <c r="I72" i="27"/>
  <c r="I58" i="27"/>
  <c r="U65" i="17"/>
  <c r="AF65" i="17"/>
  <c r="AF21" i="17"/>
  <c r="U51" i="17"/>
  <c r="AF51" i="17"/>
  <c r="AW54" i="27"/>
  <c r="AW68" i="27"/>
  <c r="H74" i="27"/>
  <c r="H60" i="27"/>
  <c r="I59" i="27"/>
  <c r="I73" i="27"/>
  <c r="AW74" i="27"/>
  <c r="AW60" i="27"/>
  <c r="AE69" i="27"/>
  <c r="AE55" i="27"/>
  <c r="AE35" i="27"/>
  <c r="AW50" i="28"/>
  <c r="AW64" i="28"/>
  <c r="H75" i="27"/>
  <c r="H61" i="27"/>
  <c r="H59" i="27"/>
  <c r="H73" i="27"/>
  <c r="AC35" i="26"/>
  <c r="E30" i="17"/>
  <c r="E35" i="17"/>
  <c r="F76" i="28"/>
  <c r="AC38" i="27"/>
  <c r="U63" i="15"/>
  <c r="C32" i="27"/>
  <c r="P57" i="28"/>
  <c r="K63" i="17"/>
  <c r="AF5" i="17"/>
  <c r="U53" i="17"/>
  <c r="AF53" i="17"/>
  <c r="U67" i="17"/>
  <c r="AF67" i="17"/>
  <c r="AR51" i="17"/>
  <c r="BC51" i="17"/>
  <c r="BC21" i="17"/>
  <c r="AR65" i="17"/>
  <c r="BC65" i="17"/>
  <c r="I74" i="27"/>
  <c r="I60" i="27"/>
  <c r="AW42" i="27"/>
  <c r="E48" i="15"/>
  <c r="AE73" i="27"/>
  <c r="AE59" i="27"/>
  <c r="AE71" i="27"/>
  <c r="AE57" i="27"/>
  <c r="AR56" i="17"/>
  <c r="BC56" i="17"/>
  <c r="AR70" i="17"/>
  <c r="BC70" i="17"/>
  <c r="BC20" i="17"/>
  <c r="AO31" i="28"/>
  <c r="AF75" i="28"/>
  <c r="L51" i="28"/>
  <c r="K61" i="28"/>
  <c r="Y72" i="17"/>
  <c r="N63" i="17"/>
  <c r="E63" i="15"/>
  <c r="H64" i="27"/>
  <c r="H50" i="27"/>
  <c r="AR71" i="17"/>
  <c r="BC71" i="17"/>
  <c r="BC29" i="17"/>
  <c r="AR57" i="17"/>
  <c r="BC57" i="17"/>
  <c r="I71" i="27"/>
  <c r="I57" i="27"/>
  <c r="S31" i="28"/>
  <c r="J56" i="28"/>
  <c r="Y58" i="17"/>
  <c r="N48" i="17"/>
  <c r="I31" i="27"/>
  <c r="BG31" i="17"/>
  <c r="BI37" i="17"/>
  <c r="BI31" i="17"/>
  <c r="X31" i="27"/>
  <c r="BC5" i="17"/>
  <c r="AR53" i="17"/>
  <c r="BC53" i="17"/>
  <c r="AR67" i="17"/>
  <c r="BC67" i="17"/>
  <c r="AE43" i="27"/>
  <c r="I52" i="27"/>
  <c r="I66" i="27"/>
  <c r="AF24" i="17"/>
  <c r="U55" i="17"/>
  <c r="AF55" i="17"/>
  <c r="U69" i="17"/>
  <c r="AF69" i="17"/>
  <c r="I67" i="27"/>
  <c r="I53" i="27"/>
  <c r="AC43" i="26"/>
  <c r="E28" i="17"/>
  <c r="E43" i="17"/>
  <c r="O33" i="15"/>
  <c r="O31" i="15"/>
  <c r="M31" i="15"/>
  <c r="I50" i="27"/>
  <c r="I64" i="27"/>
  <c r="H72" i="27"/>
  <c r="H58" i="27"/>
  <c r="AE67" i="27"/>
  <c r="AE53" i="27"/>
  <c r="AE66" i="27"/>
  <c r="AE52" i="27"/>
  <c r="AE58" i="27"/>
  <c r="AE72" i="27"/>
  <c r="AW57" i="27"/>
  <c r="AW71" i="27"/>
  <c r="AE64" i="28"/>
  <c r="AE50" i="28"/>
  <c r="U66" i="17"/>
  <c r="AF66" i="17"/>
  <c r="AF17" i="17"/>
  <c r="U52" i="17"/>
  <c r="AF52" i="17"/>
  <c r="AW52" i="27"/>
  <c r="AW66" i="27"/>
  <c r="AQ53" i="28"/>
  <c r="AB63" i="27"/>
  <c r="D53" i="28"/>
  <c r="AL54" i="28"/>
  <c r="X45" i="27"/>
  <c r="AE33" i="27"/>
  <c r="AW69" i="27"/>
  <c r="AW55" i="27"/>
  <c r="AP73" i="28"/>
  <c r="AP59" i="28"/>
  <c r="I70" i="27"/>
  <c r="I56" i="27"/>
  <c r="H31" i="27"/>
  <c r="AE64" i="27"/>
  <c r="AE50" i="27"/>
  <c r="AV71" i="28"/>
  <c r="AV57" i="28"/>
  <c r="AN53" i="28"/>
  <c r="AB48" i="27"/>
  <c r="U48" i="15"/>
  <c r="AK65" i="28"/>
  <c r="AC37" i="26"/>
  <c r="E22" i="17"/>
  <c r="E37" i="17"/>
  <c r="AW74" i="28"/>
  <c r="AW60" i="28"/>
  <c r="BC17" i="17"/>
  <c r="AR66" i="17"/>
  <c r="BC66" i="17"/>
  <c r="AR52" i="17"/>
  <c r="BC52" i="17"/>
  <c r="AE37" i="27"/>
  <c r="AW64" i="27"/>
  <c r="AW50" i="27"/>
  <c r="AW34" i="27"/>
  <c r="AW31" i="27"/>
  <c r="AT62" i="28"/>
  <c r="AT76" i="28"/>
  <c r="I69" i="27"/>
  <c r="I55" i="27"/>
  <c r="I65" i="27"/>
  <c r="I51" i="27"/>
  <c r="R63" i="15"/>
  <c r="G48" i="15"/>
  <c r="AZ63" i="27"/>
  <c r="AW45" i="28"/>
  <c r="AC47" i="27"/>
  <c r="I68" i="27"/>
  <c r="I54" i="27"/>
  <c r="AE68" i="27"/>
  <c r="AE54" i="27"/>
  <c r="AW51" i="27"/>
  <c r="AW65" i="27"/>
  <c r="AC46" i="26"/>
  <c r="E10" i="17"/>
  <c r="E46" i="17"/>
  <c r="E45" i="17"/>
  <c r="U71" i="17"/>
  <c r="AF71" i="17"/>
  <c r="U57" i="17"/>
  <c r="AF57" i="17"/>
  <c r="AF29" i="17"/>
  <c r="C66" i="26"/>
  <c r="C52" i="26"/>
  <c r="N73" i="27"/>
  <c r="N63" i="27"/>
  <c r="N59" i="27"/>
  <c r="C70" i="26"/>
  <c r="C56" i="26"/>
  <c r="C44" i="26"/>
  <c r="C32" i="26"/>
  <c r="C34" i="26"/>
  <c r="J76" i="27"/>
  <c r="J62" i="27"/>
  <c r="X58" i="27"/>
  <c r="X72" i="27"/>
  <c r="P47" i="27"/>
  <c r="P66" i="27"/>
  <c r="P52" i="27"/>
  <c r="V57" i="17"/>
  <c r="AG57" i="17"/>
  <c r="V71" i="17"/>
  <c r="AG71" i="17"/>
  <c r="AG29" i="17"/>
  <c r="BD24" i="17"/>
  <c r="AS55" i="17"/>
  <c r="BD55" i="17"/>
  <c r="AS69" i="17"/>
  <c r="BD69" i="17"/>
  <c r="P44" i="27"/>
  <c r="P69" i="27"/>
  <c r="P55" i="27"/>
  <c r="C65" i="26"/>
  <c r="C51" i="26"/>
  <c r="AY75" i="17"/>
  <c r="AN63" i="17"/>
  <c r="AY54" i="27"/>
  <c r="AY68" i="27"/>
  <c r="X60" i="27"/>
  <c r="X74" i="27"/>
  <c r="AG9" i="17"/>
  <c r="V68" i="17"/>
  <c r="AG68" i="17"/>
  <c r="V54" i="17"/>
  <c r="AG54" i="17"/>
  <c r="AC52" i="26"/>
  <c r="E17" i="17"/>
  <c r="AC66" i="26"/>
  <c r="X52" i="27"/>
  <c r="X66" i="27"/>
  <c r="C67" i="26"/>
  <c r="C53" i="26"/>
  <c r="X67" i="27"/>
  <c r="X53" i="27"/>
  <c r="BD29" i="17"/>
  <c r="AS57" i="17"/>
  <c r="BD57" i="17"/>
  <c r="AS71" i="17"/>
  <c r="BD71" i="17"/>
  <c r="P70" i="27"/>
  <c r="P56" i="27"/>
  <c r="V52" i="17"/>
  <c r="AG52" i="17"/>
  <c r="V66" i="17"/>
  <c r="AG66" i="17"/>
  <c r="AG17" i="17"/>
  <c r="P65" i="27"/>
  <c r="P51" i="27"/>
  <c r="AN48" i="17"/>
  <c r="AY61" i="17"/>
  <c r="X71" i="27"/>
  <c r="X57" i="27"/>
  <c r="P34" i="27"/>
  <c r="N74" i="27"/>
  <c r="N60" i="27"/>
  <c r="C40" i="26"/>
  <c r="C42" i="26"/>
  <c r="AT57" i="27"/>
  <c r="AT71" i="27"/>
  <c r="K48" i="17"/>
  <c r="AM74" i="28"/>
  <c r="AM60" i="28"/>
  <c r="AY52" i="27"/>
  <c r="AY66" i="27"/>
  <c r="P36" i="27"/>
  <c r="P40" i="27"/>
  <c r="P53" i="27"/>
  <c r="P67" i="27"/>
  <c r="P42" i="27"/>
  <c r="AC71" i="26"/>
  <c r="AC57" i="26"/>
  <c r="E29" i="17"/>
  <c r="P73" i="27"/>
  <c r="P59" i="27"/>
  <c r="C43" i="26"/>
  <c r="V53" i="17"/>
  <c r="AG53" i="17"/>
  <c r="V67" i="17"/>
  <c r="AG67" i="17"/>
  <c r="AG5" i="17"/>
  <c r="P35" i="27"/>
  <c r="C46" i="26"/>
  <c r="C39" i="26"/>
  <c r="D48" i="4"/>
  <c r="V75" i="27"/>
  <c r="V61" i="27"/>
  <c r="BD9" i="17"/>
  <c r="AS54" i="17"/>
  <c r="BD54" i="17"/>
  <c r="AS68" i="17"/>
  <c r="BD68" i="17"/>
  <c r="AT66" i="27"/>
  <c r="AT52" i="27"/>
  <c r="C41" i="26"/>
  <c r="BD17" i="17"/>
  <c r="AS66" i="17"/>
  <c r="AS52" i="17"/>
  <c r="BD52" i="17"/>
  <c r="X56" i="27"/>
  <c r="X70" i="27"/>
  <c r="C35" i="26"/>
  <c r="W74" i="27"/>
  <c r="W60" i="27"/>
  <c r="AC54" i="26"/>
  <c r="E9" i="17"/>
  <c r="AC68" i="26"/>
  <c r="P46" i="27"/>
  <c r="P39" i="27"/>
  <c r="C36" i="26"/>
  <c r="D63" i="4"/>
  <c r="C72" i="26"/>
  <c r="C58" i="26"/>
  <c r="D31" i="15"/>
  <c r="G38" i="15"/>
  <c r="G31" i="15"/>
  <c r="P41" i="27"/>
  <c r="P43" i="27"/>
  <c r="AT69" i="27"/>
  <c r="AT55" i="27"/>
  <c r="P33" i="27"/>
  <c r="AS67" i="17"/>
  <c r="BD67" i="17"/>
  <c r="BD5" i="17"/>
  <c r="AS53" i="17"/>
  <c r="BD53" i="17"/>
  <c r="AT54" i="27"/>
  <c r="AT68" i="27"/>
  <c r="C57" i="26"/>
  <c r="C71" i="26"/>
  <c r="C37" i="26"/>
  <c r="P72" i="27"/>
  <c r="P58" i="27"/>
  <c r="N62" i="27"/>
  <c r="N76" i="27"/>
  <c r="P76" i="27"/>
  <c r="P62" i="27"/>
  <c r="AM58" i="28"/>
  <c r="AM72" i="28"/>
  <c r="AZ73" i="28"/>
  <c r="AZ59" i="28"/>
  <c r="X54" i="27"/>
  <c r="X68" i="27"/>
  <c r="X73" i="27"/>
  <c r="X59" i="27"/>
  <c r="AC55" i="26"/>
  <c r="E24" i="17"/>
  <c r="AC69" i="26"/>
  <c r="C33" i="26"/>
  <c r="E5" i="17"/>
  <c r="AC53" i="26"/>
  <c r="AC67" i="26"/>
  <c r="X65" i="27"/>
  <c r="X51" i="27"/>
  <c r="AY71" i="27"/>
  <c r="AY57" i="27"/>
  <c r="X75" i="27"/>
  <c r="X61" i="27"/>
  <c r="AY67" i="27"/>
  <c r="AY53" i="27"/>
  <c r="V51" i="17"/>
  <c r="AG51" i="17"/>
  <c r="V65" i="17"/>
  <c r="AG65" i="17"/>
  <c r="AG21" i="17"/>
  <c r="P74" i="27"/>
  <c r="P60" i="27"/>
  <c r="C64" i="26"/>
  <c r="C50" i="26"/>
  <c r="AY69" i="27"/>
  <c r="AY55" i="27"/>
  <c r="AT67" i="27"/>
  <c r="AT53" i="27"/>
  <c r="P49" i="27"/>
  <c r="P54" i="27"/>
  <c r="P68" i="27"/>
  <c r="AP74" i="28"/>
  <c r="AP60" i="28"/>
  <c r="AY67" i="28"/>
  <c r="AY53" i="28"/>
  <c r="AV74" i="28"/>
  <c r="AV60" i="28"/>
  <c r="P57" i="27"/>
  <c r="P71" i="27"/>
  <c r="S31" i="17"/>
  <c r="J75" i="27"/>
  <c r="J61" i="27"/>
  <c r="Q76" i="27"/>
  <c r="Q62" i="27"/>
  <c r="X64" i="27"/>
  <c r="X50" i="27"/>
  <c r="V55" i="17"/>
  <c r="AG55" i="17"/>
  <c r="V69" i="17"/>
  <c r="AG69" i="17"/>
  <c r="AG24" i="17"/>
  <c r="X55" i="27"/>
  <c r="X69" i="27"/>
  <c r="C55" i="26"/>
  <c r="C69" i="26"/>
  <c r="AT69" i="28"/>
  <c r="AT55" i="28"/>
  <c r="P74" i="28"/>
  <c r="P60" i="28"/>
  <c r="X76" i="27"/>
  <c r="X62" i="27"/>
  <c r="P64" i="27"/>
  <c r="P50" i="27"/>
  <c r="C47" i="26"/>
  <c r="C73" i="26"/>
  <c r="C59" i="26"/>
  <c r="W62" i="27"/>
  <c r="W76" i="27"/>
  <c r="AT73" i="28"/>
  <c r="AT63" i="28"/>
  <c r="AT59" i="28"/>
  <c r="AS65" i="17"/>
  <c r="BD65" i="17"/>
  <c r="BD21" i="17"/>
  <c r="AS51" i="17"/>
  <c r="BD51" i="17"/>
  <c r="C74" i="26"/>
  <c r="C60" i="26"/>
  <c r="AY69" i="28"/>
  <c r="AY55" i="28"/>
  <c r="G31" i="28"/>
  <c r="S76" i="27"/>
  <c r="S62" i="27"/>
  <c r="Y61" i="27"/>
  <c r="Y48" i="27"/>
  <c r="Y75" i="27"/>
  <c r="C75" i="26"/>
  <c r="C61" i="26"/>
  <c r="Q48" i="15"/>
  <c r="J57" i="28"/>
  <c r="J71" i="28"/>
  <c r="E45" i="15"/>
  <c r="G46" i="15"/>
  <c r="G45" i="15"/>
  <c r="W61" i="27"/>
  <c r="W75" i="27"/>
  <c r="Q31" i="15"/>
  <c r="R42" i="15"/>
  <c r="R31" i="15"/>
  <c r="AS71" i="28"/>
  <c r="AS57" i="28"/>
  <c r="AX75" i="28"/>
  <c r="AX61" i="28"/>
  <c r="C38" i="26"/>
  <c r="L76" i="27"/>
  <c r="L62" i="27"/>
  <c r="I61" i="27"/>
  <c r="I75" i="27"/>
  <c r="F38" i="27"/>
  <c r="F31" i="27"/>
  <c r="AC55" i="28"/>
  <c r="AC56" i="27"/>
  <c r="AC70" i="27"/>
  <c r="AC69" i="28"/>
  <c r="E75" i="17"/>
  <c r="AC61" i="27"/>
  <c r="AC75" i="27"/>
  <c r="I46" i="32"/>
  <c r="I45" i="32"/>
  <c r="G45" i="32"/>
  <c r="I51" i="32"/>
  <c r="I48" i="32"/>
  <c r="G48" i="32"/>
  <c r="BB71" i="32"/>
  <c r="BC71" i="32"/>
  <c r="BB43" i="32"/>
  <c r="BC43" i="32"/>
  <c r="I65" i="32"/>
  <c r="G63" i="32"/>
  <c r="BB61" i="32"/>
  <c r="BC61" i="32"/>
  <c r="BB38" i="32"/>
  <c r="BC38" i="32"/>
  <c r="I63" i="32"/>
  <c r="G31" i="32"/>
  <c r="I33" i="32"/>
  <c r="BB36" i="32"/>
  <c r="BC36" i="32"/>
  <c r="BB42" i="32"/>
  <c r="BC42" i="32"/>
  <c r="BC70" i="32"/>
  <c r="BB63" i="32"/>
  <c r="BC63" i="32"/>
  <c r="BB70" i="32"/>
  <c r="BC40" i="32"/>
  <c r="BB40" i="32"/>
  <c r="BB37" i="32"/>
  <c r="BC37" i="32"/>
  <c r="BB75" i="32"/>
  <c r="BC75" i="32"/>
  <c r="G40" i="5"/>
  <c r="I40" i="5"/>
  <c r="I31" i="5"/>
  <c r="I4" i="5"/>
  <c r="I48" i="20"/>
  <c r="AC66" i="28"/>
  <c r="H45" i="28"/>
  <c r="C54" i="28"/>
  <c r="K68" i="28"/>
  <c r="O45" i="28"/>
  <c r="BB63" i="28"/>
  <c r="Q45" i="28"/>
  <c r="F31" i="28"/>
  <c r="C57" i="28"/>
  <c r="C76" i="28"/>
  <c r="C34" i="28"/>
  <c r="AT31" i="28"/>
  <c r="AX31" i="28"/>
  <c r="G72" i="28"/>
  <c r="O66" i="28"/>
  <c r="AS31" i="28"/>
  <c r="AR31" i="28"/>
  <c r="AW31" i="28"/>
  <c r="C67" i="28"/>
  <c r="AA48" i="28"/>
  <c r="F60" i="28"/>
  <c r="AH45" i="28"/>
  <c r="AC70" i="28"/>
  <c r="C43" i="28"/>
  <c r="F45" i="28"/>
  <c r="R31" i="28"/>
  <c r="M76" i="28"/>
  <c r="Q31" i="28"/>
  <c r="AK31" i="28"/>
  <c r="E31" i="28"/>
  <c r="C42" i="28"/>
  <c r="F72" i="28"/>
  <c r="AG31" i="28"/>
  <c r="BA48" i="28"/>
  <c r="AC49" i="28"/>
  <c r="T31" i="28"/>
  <c r="AJ63" i="28"/>
  <c r="AO45" i="28"/>
  <c r="C55" i="28"/>
  <c r="C69" i="28"/>
  <c r="AM25" i="17"/>
  <c r="AC64" i="28"/>
  <c r="AI72" i="28"/>
  <c r="AI58" i="28"/>
  <c r="AQ74" i="28"/>
  <c r="AQ60" i="28"/>
  <c r="I58" i="28"/>
  <c r="I72" i="28"/>
  <c r="T45" i="17"/>
  <c r="AE47" i="17"/>
  <c r="AZ60" i="28"/>
  <c r="AZ74" i="28"/>
  <c r="M31" i="28"/>
  <c r="J31" i="28"/>
  <c r="AG62" i="28"/>
  <c r="AG76" i="28"/>
  <c r="G62" i="28"/>
  <c r="G76" i="28"/>
  <c r="AV62" i="28"/>
  <c r="AV76" i="28"/>
  <c r="P76" i="28"/>
  <c r="P62" i="28"/>
  <c r="AE40" i="28"/>
  <c r="AD62" i="28"/>
  <c r="AD76" i="28"/>
  <c r="AH58" i="28"/>
  <c r="AH72" i="28"/>
  <c r="AC53" i="28"/>
  <c r="D76" i="28"/>
  <c r="D62" i="28"/>
  <c r="BB48" i="28"/>
  <c r="AV58" i="28"/>
  <c r="AV72" i="28"/>
  <c r="K31" i="28"/>
  <c r="AN60" i="28"/>
  <c r="AN74" i="28"/>
  <c r="AT74" i="28"/>
  <c r="AT60" i="28"/>
  <c r="AY62" i="28"/>
  <c r="AY76" i="28"/>
  <c r="AE62" i="28"/>
  <c r="AE76" i="28"/>
  <c r="I56" i="28"/>
  <c r="I70" i="28"/>
  <c r="O70" i="28"/>
  <c r="O56" i="28"/>
  <c r="H70" i="28"/>
  <c r="H56" i="28"/>
  <c r="AY31" i="28"/>
  <c r="Z68" i="17"/>
  <c r="O63" i="17"/>
  <c r="AQ54" i="28"/>
  <c r="AQ68" i="28"/>
  <c r="AZ65" i="28"/>
  <c r="AZ51" i="28"/>
  <c r="AZ70" i="28"/>
  <c r="AZ56" i="28"/>
  <c r="D73" i="28"/>
  <c r="D59" i="28"/>
  <c r="AI73" i="28"/>
  <c r="AI59" i="28"/>
  <c r="AE60" i="28"/>
  <c r="AE74" i="28"/>
  <c r="I52" i="28"/>
  <c r="I66" i="28"/>
  <c r="AG73" i="17"/>
  <c r="E74" i="28"/>
  <c r="E60" i="28"/>
  <c r="AI52" i="28"/>
  <c r="AI66" i="28"/>
  <c r="AP31" i="17"/>
  <c r="I61" i="28"/>
  <c r="I75" i="28"/>
  <c r="AO31" i="17"/>
  <c r="AZ35" i="17"/>
  <c r="AK71" i="28"/>
  <c r="AK57" i="28"/>
  <c r="Q56" i="28"/>
  <c r="Q70" i="28"/>
  <c r="AD66" i="28"/>
  <c r="AD52" i="28"/>
  <c r="AI70" i="28"/>
  <c r="AI56" i="28"/>
  <c r="AO56" i="28"/>
  <c r="AO70" i="28"/>
  <c r="K31" i="4"/>
  <c r="O59" i="28"/>
  <c r="O73" i="28"/>
  <c r="AX65" i="28"/>
  <c r="AX51" i="28"/>
  <c r="N56" i="28"/>
  <c r="N70" i="28"/>
  <c r="J58" i="28"/>
  <c r="J72" i="28"/>
  <c r="D70" i="28"/>
  <c r="D56" i="28"/>
  <c r="AE70" i="28"/>
  <c r="AE56" i="28"/>
  <c r="N52" i="28"/>
  <c r="N66" i="28"/>
  <c r="AD36" i="28"/>
  <c r="N75" i="28"/>
  <c r="N61" i="28"/>
  <c r="I59" i="28"/>
  <c r="I73" i="28"/>
  <c r="E70" i="28"/>
  <c r="E56" i="28"/>
  <c r="AQ70" i="28"/>
  <c r="AQ56" i="28"/>
  <c r="Q65" i="28"/>
  <c r="Q51" i="28"/>
  <c r="S66" i="28"/>
  <c r="S63" i="28"/>
  <c r="S52" i="28"/>
  <c r="S48" i="28"/>
  <c r="AV65" i="28"/>
  <c r="AV51" i="28"/>
  <c r="I60" i="28"/>
  <c r="I74" i="28"/>
  <c r="AH60" i="28"/>
  <c r="AH74" i="28"/>
  <c r="AD56" i="28"/>
  <c r="AD70" i="28"/>
  <c r="AH75" i="28"/>
  <c r="AH61" i="28"/>
  <c r="AN52" i="28"/>
  <c r="AN48" i="28"/>
  <c r="AN66" i="28"/>
  <c r="AN63" i="28"/>
  <c r="M75" i="28"/>
  <c r="M63" i="28"/>
  <c r="M61" i="28"/>
  <c r="M48" i="28"/>
  <c r="AJ31" i="28"/>
  <c r="AM66" i="28"/>
  <c r="AM52" i="28"/>
  <c r="AQ51" i="28"/>
  <c r="AQ65" i="28"/>
  <c r="AV70" i="28"/>
  <c r="AV56" i="28"/>
  <c r="AW52" i="28"/>
  <c r="AW66" i="28"/>
  <c r="AS66" i="28"/>
  <c r="AS52" i="28"/>
  <c r="AS48" i="28"/>
  <c r="F65" i="28"/>
  <c r="F51" i="28"/>
  <c r="H60" i="28"/>
  <c r="H74" i="28"/>
  <c r="AO45" i="17"/>
  <c r="AZ46" i="17"/>
  <c r="AJ45" i="28"/>
  <c r="AZ68" i="28"/>
  <c r="AZ54" i="28"/>
  <c r="AZ48" i="28"/>
  <c r="P52" i="28"/>
  <c r="P66" i="28"/>
  <c r="AD47" i="28"/>
  <c r="AD45" i="28"/>
  <c r="AE46" i="28"/>
  <c r="AE45" i="28"/>
  <c r="AC45" i="28"/>
  <c r="AL75" i="28"/>
  <c r="AL61" i="28"/>
  <c r="AO73" i="28"/>
  <c r="AO59" i="28"/>
  <c r="C39" i="28"/>
  <c r="AC36" i="27"/>
  <c r="P26" i="17"/>
  <c r="O61" i="28"/>
  <c r="O75" i="28"/>
  <c r="O51" i="28"/>
  <c r="O65" i="28"/>
  <c r="AD35" i="28"/>
  <c r="E54" i="28"/>
  <c r="E48" i="28"/>
  <c r="E68" i="28"/>
  <c r="E63" i="28"/>
  <c r="AH57" i="28"/>
  <c r="AH71" i="28"/>
  <c r="AH52" i="28"/>
  <c r="AH66" i="28"/>
  <c r="J45" i="28"/>
  <c r="AW53" i="28"/>
  <c r="AW67" i="28"/>
  <c r="AP52" i="28"/>
  <c r="AP48" i="28"/>
  <c r="AP66" i="28"/>
  <c r="L61" i="28"/>
  <c r="L75" i="28"/>
  <c r="C60" i="28"/>
  <c r="AP31" i="28"/>
  <c r="AV31" i="28"/>
  <c r="F48" i="4"/>
  <c r="AJ67" i="28"/>
  <c r="AJ53" i="28"/>
  <c r="AD65" i="28"/>
  <c r="AD51" i="28"/>
  <c r="AX66" i="28"/>
  <c r="AX52" i="28"/>
  <c r="AD75" i="28"/>
  <c r="AD61" i="28"/>
  <c r="K74" i="28"/>
  <c r="K60" i="28"/>
  <c r="AW58" i="28"/>
  <c r="AW72" i="28"/>
  <c r="AO51" i="28"/>
  <c r="AO65" i="28"/>
  <c r="K58" i="28"/>
  <c r="K72" i="28"/>
  <c r="E51" i="28"/>
  <c r="E65" i="28"/>
  <c r="AE54" i="28"/>
  <c r="AE48" i="28"/>
  <c r="AE68" i="28"/>
  <c r="AE63" i="28"/>
  <c r="H71" i="28"/>
  <c r="H57" i="28"/>
  <c r="AE37" i="28"/>
  <c r="E74" i="17"/>
  <c r="E60" i="17"/>
  <c r="AR67" i="28"/>
  <c r="AR53" i="28"/>
  <c r="F63" i="4"/>
  <c r="J67" i="28"/>
  <c r="J53" i="28"/>
  <c r="P51" i="28"/>
  <c r="P65" i="28"/>
  <c r="AE44" i="28"/>
  <c r="D61" i="28"/>
  <c r="D75" i="28"/>
  <c r="AI53" i="28"/>
  <c r="AI67" i="28"/>
  <c r="AQ66" i="28"/>
  <c r="AQ52" i="28"/>
  <c r="D74" i="28"/>
  <c r="D60" i="28"/>
  <c r="AE51" i="28"/>
  <c r="AE65" i="28"/>
  <c r="AD34" i="28"/>
  <c r="AS45" i="17"/>
  <c r="BD46" i="17"/>
  <c r="L66" i="28"/>
  <c r="L52" i="28"/>
  <c r="D71" i="28"/>
  <c r="D57" i="28"/>
  <c r="P75" i="28"/>
  <c r="P61" i="28"/>
  <c r="AI75" i="28"/>
  <c r="AI61" i="28"/>
  <c r="AE33" i="28"/>
  <c r="I65" i="28"/>
  <c r="I51" i="28"/>
  <c r="AX70" i="28"/>
  <c r="AX56" i="28"/>
  <c r="K63" i="4"/>
  <c r="AP51" i="28"/>
  <c r="AP65" i="28"/>
  <c r="G66" i="28"/>
  <c r="G52" i="28"/>
  <c r="I67" i="28"/>
  <c r="I53" i="28"/>
  <c r="AD72" i="28"/>
  <c r="AD58" i="28"/>
  <c r="AF52" i="28"/>
  <c r="AF66" i="28"/>
  <c r="T51" i="28"/>
  <c r="T65" i="28"/>
  <c r="AY66" i="28"/>
  <c r="AY52" i="28"/>
  <c r="AD42" i="28"/>
  <c r="T70" i="28"/>
  <c r="T56" i="28"/>
  <c r="AG75" i="28"/>
  <c r="AG61" i="28"/>
  <c r="AL52" i="28"/>
  <c r="AL66" i="28"/>
  <c r="J51" i="28"/>
  <c r="J65" i="28"/>
  <c r="K66" i="28"/>
  <c r="K52" i="28"/>
  <c r="AO66" i="28"/>
  <c r="AO52" i="28"/>
  <c r="AV53" i="28"/>
  <c r="AV67" i="28"/>
  <c r="C36" i="28"/>
  <c r="AF31" i="28"/>
  <c r="AI51" i="28"/>
  <c r="AI65" i="28"/>
  <c r="K48" i="4"/>
  <c r="K65" i="28"/>
  <c r="K51" i="28"/>
  <c r="AG66" i="28"/>
  <c r="AG52" i="28"/>
  <c r="AC74" i="28"/>
  <c r="D72" i="28"/>
  <c r="D58" i="28"/>
  <c r="AT51" i="28"/>
  <c r="AT65" i="28"/>
  <c r="AP53" i="28"/>
  <c r="AP67" i="28"/>
  <c r="D44" i="28"/>
  <c r="G61" i="28"/>
  <c r="G75" i="28"/>
  <c r="E51" i="17"/>
  <c r="E65" i="17"/>
  <c r="AJ51" i="28"/>
  <c r="AJ65" i="28"/>
  <c r="AQ61" i="28"/>
  <c r="AQ75" i="28"/>
  <c r="T75" i="28"/>
  <c r="T63" i="28"/>
  <c r="T61" i="28"/>
  <c r="T48" i="28"/>
  <c r="AY51" i="28"/>
  <c r="AY65" i="28"/>
  <c r="AK66" i="28"/>
  <c r="AK63" i="28"/>
  <c r="AK52" i="28"/>
  <c r="AK48" i="28"/>
  <c r="AH43" i="28"/>
  <c r="AQ41" i="28"/>
  <c r="AQ31" i="28"/>
  <c r="L56" i="28"/>
  <c r="L70" i="28"/>
  <c r="AZ48" i="27"/>
  <c r="P56" i="28"/>
  <c r="P70" i="28"/>
  <c r="AP45" i="17"/>
  <c r="BA47" i="17"/>
  <c r="M56" i="28"/>
  <c r="M70" i="28"/>
  <c r="H51" i="28"/>
  <c r="H65" i="28"/>
  <c r="AM67" i="28"/>
  <c r="AM53" i="28"/>
  <c r="P67" i="28"/>
  <c r="P53" i="28"/>
  <c r="AW56" i="28"/>
  <c r="AW70" i="28"/>
  <c r="J60" i="28"/>
  <c r="J74" i="28"/>
  <c r="AG49" i="17"/>
  <c r="AL67" i="28"/>
  <c r="AL53" i="28"/>
  <c r="AD39" i="28"/>
  <c r="R52" i="28"/>
  <c r="R48" i="28"/>
  <c r="R66" i="28"/>
  <c r="R63" i="28"/>
  <c r="Q61" i="28"/>
  <c r="Q75" i="28"/>
  <c r="K70" i="28"/>
  <c r="K56" i="28"/>
  <c r="AV75" i="28"/>
  <c r="AV61" i="28"/>
  <c r="J61" i="28"/>
  <c r="J75" i="28"/>
  <c r="G51" i="28"/>
  <c r="G65" i="28"/>
  <c r="AP56" i="28"/>
  <c r="AP70" i="28"/>
  <c r="Q54" i="28"/>
  <c r="Q68" i="28"/>
  <c r="AM70" i="28"/>
  <c r="AM56" i="28"/>
  <c r="G57" i="28"/>
  <c r="G71" i="28"/>
  <c r="AH51" i="28"/>
  <c r="AH65" i="28"/>
  <c r="AD59" i="28"/>
  <c r="AD73" i="28"/>
  <c r="F75" i="28"/>
  <c r="F61" i="28"/>
  <c r="F48" i="28"/>
  <c r="H61" i="28"/>
  <c r="H75" i="28"/>
  <c r="H63" i="28"/>
  <c r="AR52" i="28"/>
  <c r="AR48" i="28"/>
  <c r="AR66" i="28"/>
  <c r="AR63" i="28"/>
  <c r="AW51" i="28"/>
  <c r="AW65" i="28"/>
  <c r="AK70" i="28"/>
  <c r="AK56" i="28"/>
  <c r="P75" i="17"/>
  <c r="AA75" i="17"/>
  <c r="AI75" i="17"/>
  <c r="P61" i="17"/>
  <c r="AA61" i="17"/>
  <c r="AI61" i="17"/>
  <c r="AA18" i="17"/>
  <c r="AI18" i="17"/>
  <c r="AC41" i="27"/>
  <c r="P8" i="17"/>
  <c r="BC46" i="17"/>
  <c r="AR45" i="17"/>
  <c r="BA63" i="28"/>
  <c r="AF32" i="17"/>
  <c r="U31" i="17"/>
  <c r="AC44" i="27"/>
  <c r="P15" i="17"/>
  <c r="AC40" i="27"/>
  <c r="P4" i="17"/>
  <c r="AG34" i="17"/>
  <c r="V31" i="17"/>
  <c r="AD49" i="17"/>
  <c r="C32" i="28"/>
  <c r="AA63" i="28"/>
  <c r="AM29" i="17"/>
  <c r="AC71" i="28"/>
  <c r="AC57" i="28"/>
  <c r="BC64" i="17"/>
  <c r="BD34" i="17"/>
  <c r="AS31" i="17"/>
  <c r="BA49" i="17"/>
  <c r="AI31" i="28"/>
  <c r="AF46" i="17"/>
  <c r="U45" i="17"/>
  <c r="BC50" i="17"/>
  <c r="BB35" i="17"/>
  <c r="AQ31" i="17"/>
  <c r="I31" i="28"/>
  <c r="AN31" i="28"/>
  <c r="AC69" i="27"/>
  <c r="AC55" i="27"/>
  <c r="P24" i="17"/>
  <c r="AC47" i="17"/>
  <c r="R45" i="17"/>
  <c r="AD46" i="17"/>
  <c r="S45" i="17"/>
  <c r="AB48" i="28"/>
  <c r="N31" i="28"/>
  <c r="AC52" i="28"/>
  <c r="AB63" i="28"/>
  <c r="AN31" i="17"/>
  <c r="AY35" i="17"/>
  <c r="AR31" i="17"/>
  <c r="BC32" i="17"/>
  <c r="AB35" i="17"/>
  <c r="Q31" i="17"/>
  <c r="AH31" i="28"/>
  <c r="O31" i="28"/>
  <c r="AE35" i="17"/>
  <c r="T31" i="17"/>
  <c r="H31" i="28"/>
  <c r="BF55" i="17"/>
  <c r="EU39" i="18"/>
  <c r="FG39" i="18"/>
  <c r="EU43" i="18"/>
  <c r="FG43" i="18"/>
  <c r="Y63" i="28"/>
  <c r="X48" i="28"/>
  <c r="C45" i="28"/>
  <c r="Z63" i="28"/>
  <c r="W63" i="28"/>
  <c r="V63" i="28"/>
  <c r="I31" i="20"/>
  <c r="Q47" i="32"/>
  <c r="Q45" i="32"/>
  <c r="R45" i="32"/>
  <c r="R47" i="32"/>
  <c r="I31" i="32"/>
  <c r="EU36" i="18"/>
  <c r="FG36" i="18"/>
  <c r="EU31" i="18"/>
  <c r="FG31" i="18"/>
  <c r="BB58" i="32"/>
  <c r="BC58" i="32"/>
  <c r="BC72" i="32"/>
  <c r="BB72" i="32"/>
  <c r="BB65" i="32"/>
  <c r="BC65" i="32"/>
  <c r="BB73" i="32"/>
  <c r="BC73" i="32"/>
  <c r="BB74" i="32"/>
  <c r="BC74" i="32"/>
  <c r="BB60" i="32"/>
  <c r="BC60" i="32"/>
  <c r="Q31" i="32"/>
  <c r="R31" i="32"/>
  <c r="R32" i="32"/>
  <c r="Q32" i="32"/>
  <c r="BC31" i="32"/>
  <c r="BB51" i="32"/>
  <c r="BC51" i="32"/>
  <c r="BC59" i="32"/>
  <c r="BB59" i="32"/>
  <c r="AI20" i="17"/>
  <c r="AQ48" i="17"/>
  <c r="AM69" i="17"/>
  <c r="AX69" i="17"/>
  <c r="BF69" i="17"/>
  <c r="AX24" i="17"/>
  <c r="BF24" i="17"/>
  <c r="AN48" i="27"/>
  <c r="P2" i="17"/>
  <c r="P38" i="17"/>
  <c r="AA38" i="17"/>
  <c r="AI38" i="17"/>
  <c r="J48" i="27"/>
  <c r="E72" i="17"/>
  <c r="AT48" i="28"/>
  <c r="V48" i="27"/>
  <c r="AJ48" i="28"/>
  <c r="AY48" i="28"/>
  <c r="P3" i="17"/>
  <c r="AA3" i="17"/>
  <c r="AI3" i="17"/>
  <c r="S48" i="17"/>
  <c r="H48" i="28"/>
  <c r="M63" i="27"/>
  <c r="AQ63" i="17"/>
  <c r="J63" i="27"/>
  <c r="P6" i="17"/>
  <c r="AA6" i="17"/>
  <c r="AI6" i="17"/>
  <c r="G48" i="27"/>
  <c r="C64" i="28"/>
  <c r="AM63" i="27"/>
  <c r="AV63" i="28"/>
  <c r="W48" i="4"/>
  <c r="AH63" i="27"/>
  <c r="C50" i="28"/>
  <c r="AS63" i="28"/>
  <c r="Y63" i="27"/>
  <c r="AP48" i="17"/>
  <c r="W48" i="27"/>
  <c r="P23" i="17"/>
  <c r="AY63" i="28"/>
  <c r="AC68" i="28"/>
  <c r="AC54" i="28"/>
  <c r="G63" i="27"/>
  <c r="AF63" i="28"/>
  <c r="AF48" i="28"/>
  <c r="AP63" i="28"/>
  <c r="V48" i="17"/>
  <c r="BI48" i="17"/>
  <c r="AJ63" i="27"/>
  <c r="AI48" i="27"/>
  <c r="AC60" i="28"/>
  <c r="AC46" i="27"/>
  <c r="P10" i="17"/>
  <c r="M48" i="27"/>
  <c r="AC62" i="27"/>
  <c r="AC76" i="27"/>
  <c r="P27" i="17"/>
  <c r="W63" i="4"/>
  <c r="AM48" i="27"/>
  <c r="AD48" i="27"/>
  <c r="O48" i="27"/>
  <c r="V63" i="17"/>
  <c r="Q48" i="27"/>
  <c r="AD63" i="27"/>
  <c r="V63" i="27"/>
  <c r="AR63" i="17"/>
  <c r="AQ63" i="27"/>
  <c r="N48" i="27"/>
  <c r="AJ48" i="27"/>
  <c r="AI63" i="27"/>
  <c r="U63" i="17"/>
  <c r="AX63" i="28"/>
  <c r="T63" i="17"/>
  <c r="P25" i="17"/>
  <c r="O63" i="27"/>
  <c r="U48" i="17"/>
  <c r="AC64" i="27"/>
  <c r="AQ48" i="27"/>
  <c r="Q63" i="27"/>
  <c r="AR48" i="17"/>
  <c r="H48" i="27"/>
  <c r="F63" i="27"/>
  <c r="AX63" i="27"/>
  <c r="AZ63" i="28"/>
  <c r="AV63" i="27"/>
  <c r="AV48" i="27"/>
  <c r="AL63" i="27"/>
  <c r="F48" i="27"/>
  <c r="AM20" i="17"/>
  <c r="AM56" i="17"/>
  <c r="AX56" i="17"/>
  <c r="BF56" i="17"/>
  <c r="AX48" i="27"/>
  <c r="AM63" i="28"/>
  <c r="AW63" i="27"/>
  <c r="R48" i="27"/>
  <c r="AW48" i="27"/>
  <c r="Z63" i="27"/>
  <c r="AH48" i="27"/>
  <c r="E48" i="27"/>
  <c r="AL48" i="27"/>
  <c r="K63" i="27"/>
  <c r="AY63" i="27"/>
  <c r="E31" i="17"/>
  <c r="K48" i="27"/>
  <c r="BA48" i="27"/>
  <c r="S48" i="27"/>
  <c r="BA63" i="27"/>
  <c r="T48" i="27"/>
  <c r="T63" i="27"/>
  <c r="AE48" i="27"/>
  <c r="Z48" i="27"/>
  <c r="W63" i="27"/>
  <c r="C67" i="27"/>
  <c r="S63" i="27"/>
  <c r="P48" i="27"/>
  <c r="L48" i="27"/>
  <c r="L63" i="27"/>
  <c r="H63" i="27"/>
  <c r="C53" i="28"/>
  <c r="D63" i="27"/>
  <c r="C49" i="28"/>
  <c r="D48" i="27"/>
  <c r="C41" i="28"/>
  <c r="E63" i="27"/>
  <c r="C68" i="28"/>
  <c r="C62" i="28"/>
  <c r="C71" i="28"/>
  <c r="C47" i="28"/>
  <c r="C37" i="28"/>
  <c r="AM48" i="28"/>
  <c r="R63" i="27"/>
  <c r="AD68" i="17"/>
  <c r="S63" i="17"/>
  <c r="P63" i="27"/>
  <c r="AE63" i="27"/>
  <c r="BA68" i="17"/>
  <c r="AP63" i="17"/>
  <c r="X48" i="27"/>
  <c r="AG48" i="28"/>
  <c r="AG63" i="28"/>
  <c r="AE31" i="27"/>
  <c r="AC31" i="27"/>
  <c r="AE52" i="17"/>
  <c r="T48" i="17"/>
  <c r="AC65" i="27"/>
  <c r="AC51" i="27"/>
  <c r="P21" i="17"/>
  <c r="P45" i="27"/>
  <c r="C45" i="27"/>
  <c r="I63" i="27"/>
  <c r="C57" i="27"/>
  <c r="AC43" i="27"/>
  <c r="P28" i="17"/>
  <c r="AC74" i="27"/>
  <c r="AC60" i="27"/>
  <c r="P12" i="17"/>
  <c r="I48" i="27"/>
  <c r="AY48" i="27"/>
  <c r="C71" i="27"/>
  <c r="AC73" i="27"/>
  <c r="AC59" i="27"/>
  <c r="P7" i="17"/>
  <c r="C74" i="28"/>
  <c r="AT48" i="27"/>
  <c r="AC33" i="27"/>
  <c r="P13" i="17"/>
  <c r="P31" i="27"/>
  <c r="C31" i="27"/>
  <c r="AT63" i="27"/>
  <c r="AC34" i="27"/>
  <c r="P14" i="17"/>
  <c r="AC42" i="27"/>
  <c r="P19" i="17"/>
  <c r="AX48" i="28"/>
  <c r="AC35" i="27"/>
  <c r="P30" i="17"/>
  <c r="H31" i="4"/>
  <c r="AC37" i="27"/>
  <c r="P22" i="17"/>
  <c r="AC39" i="27"/>
  <c r="P11" i="17"/>
  <c r="AC58" i="27"/>
  <c r="AC72" i="27"/>
  <c r="P16" i="17"/>
  <c r="C46" i="28"/>
  <c r="C65" i="27"/>
  <c r="C51" i="27"/>
  <c r="C39" i="27"/>
  <c r="C40" i="27"/>
  <c r="C59" i="27"/>
  <c r="C73" i="27"/>
  <c r="AC68" i="27"/>
  <c r="AC54" i="27"/>
  <c r="P9" i="17"/>
  <c r="C41" i="27"/>
  <c r="E52" i="17"/>
  <c r="E66" i="17"/>
  <c r="AC56" i="28"/>
  <c r="C46" i="27"/>
  <c r="BD66" i="17"/>
  <c r="AS63" i="17"/>
  <c r="C36" i="27"/>
  <c r="G63" i="28"/>
  <c r="E69" i="17"/>
  <c r="E55" i="17"/>
  <c r="AS48" i="17"/>
  <c r="C66" i="27"/>
  <c r="C52" i="27"/>
  <c r="C37" i="27"/>
  <c r="C72" i="27"/>
  <c r="C58" i="27"/>
  <c r="E54" i="17"/>
  <c r="E68" i="17"/>
  <c r="E57" i="17"/>
  <c r="E71" i="17"/>
  <c r="C55" i="27"/>
  <c r="C69" i="27"/>
  <c r="C54" i="27"/>
  <c r="C68" i="27"/>
  <c r="AC66" i="27"/>
  <c r="AC52" i="27"/>
  <c r="P17" i="17"/>
  <c r="C33" i="27"/>
  <c r="C74" i="27"/>
  <c r="C60" i="27"/>
  <c r="C47" i="27"/>
  <c r="C64" i="27"/>
  <c r="C50" i="27"/>
  <c r="C49" i="27"/>
  <c r="C35" i="27"/>
  <c r="C42" i="27"/>
  <c r="C44" i="27"/>
  <c r="P5" i="17"/>
  <c r="AC67" i="27"/>
  <c r="AC53" i="27"/>
  <c r="AC71" i="27"/>
  <c r="AC57" i="27"/>
  <c r="P29" i="17"/>
  <c r="X63" i="27"/>
  <c r="E53" i="17"/>
  <c r="E67" i="17"/>
  <c r="C43" i="27"/>
  <c r="C34" i="27"/>
  <c r="C56" i="27"/>
  <c r="C70" i="27"/>
  <c r="N63" i="28"/>
  <c r="C76" i="27"/>
  <c r="C62" i="27"/>
  <c r="C38" i="27"/>
  <c r="C75" i="27"/>
  <c r="C61" i="27"/>
  <c r="AM17" i="17"/>
  <c r="AX17" i="17"/>
  <c r="BF17" i="17"/>
  <c r="AM23" i="17"/>
  <c r="AX23" i="17"/>
  <c r="BF23" i="17"/>
  <c r="BB39" i="32"/>
  <c r="BC39" i="32"/>
  <c r="BB47" i="32"/>
  <c r="BC47" i="32"/>
  <c r="BB44" i="32"/>
  <c r="BC44" i="32"/>
  <c r="BB33" i="32"/>
  <c r="BC33" i="32"/>
  <c r="BC46" i="32"/>
  <c r="BB45" i="32"/>
  <c r="BB46" i="32"/>
  <c r="BC45" i="32"/>
  <c r="BC32" i="32"/>
  <c r="BB32" i="32"/>
  <c r="BB48" i="32"/>
  <c r="BB57" i="32"/>
  <c r="BC48" i="32"/>
  <c r="BC57" i="32"/>
  <c r="F63" i="28"/>
  <c r="D48" i="28"/>
  <c r="K63" i="28"/>
  <c r="C33" i="28"/>
  <c r="AW48" i="28"/>
  <c r="C40" i="28"/>
  <c r="AL48" i="28"/>
  <c r="AE31" i="28"/>
  <c r="AV48" i="28"/>
  <c r="Q63" i="28"/>
  <c r="Q48" i="28"/>
  <c r="AH63" i="28"/>
  <c r="AW63" i="28"/>
  <c r="AX25" i="17"/>
  <c r="BF25" i="17"/>
  <c r="AM50" i="17"/>
  <c r="AX50" i="17"/>
  <c r="BF50" i="17"/>
  <c r="AM64" i="17"/>
  <c r="AX64" i="17"/>
  <c r="BF64" i="17"/>
  <c r="AM5" i="17"/>
  <c r="I48" i="28"/>
  <c r="AQ48" i="28"/>
  <c r="AH48" i="28"/>
  <c r="AC40" i="28"/>
  <c r="AM4" i="17"/>
  <c r="O63" i="28"/>
  <c r="AC62" i="28"/>
  <c r="AC76" i="28"/>
  <c r="AM27" i="17"/>
  <c r="K48" i="28"/>
  <c r="AD48" i="28"/>
  <c r="O48" i="28"/>
  <c r="D63" i="28"/>
  <c r="AO48" i="28"/>
  <c r="J63" i="28"/>
  <c r="AD31" i="28"/>
  <c r="AC31" i="28"/>
  <c r="J48" i="28"/>
  <c r="AC67" i="28"/>
  <c r="G48" i="28"/>
  <c r="N48" i="28"/>
  <c r="AM22" i="17"/>
  <c r="AC37" i="28"/>
  <c r="AM10" i="17"/>
  <c r="AC46" i="28"/>
  <c r="AI63" i="28"/>
  <c r="AC39" i="28"/>
  <c r="AM11" i="17"/>
  <c r="AC65" i="28"/>
  <c r="AM21" i="17"/>
  <c r="AC51" i="28"/>
  <c r="C75" i="28"/>
  <c r="C61" i="28"/>
  <c r="AI48" i="28"/>
  <c r="C51" i="28"/>
  <c r="C65" i="28"/>
  <c r="C66" i="28"/>
  <c r="C52" i="28"/>
  <c r="AC34" i="28"/>
  <c r="AM14" i="17"/>
  <c r="AC47" i="28"/>
  <c r="AM6" i="17"/>
  <c r="AQ63" i="28"/>
  <c r="AM28" i="17"/>
  <c r="AC43" i="28"/>
  <c r="D31" i="28"/>
  <c r="C31" i="28"/>
  <c r="AM60" i="17"/>
  <c r="AX60" i="17"/>
  <c r="BF60" i="17"/>
  <c r="AM74" i="17"/>
  <c r="AX74" i="17"/>
  <c r="BF74" i="17"/>
  <c r="AX12" i="17"/>
  <c r="BF12" i="17"/>
  <c r="AL63" i="28"/>
  <c r="AA2" i="17"/>
  <c r="AI2" i="17"/>
  <c r="C73" i="28"/>
  <c r="C59" i="28"/>
  <c r="C35" i="28"/>
  <c r="L48" i="28"/>
  <c r="P63" i="28"/>
  <c r="AC35" i="28"/>
  <c r="AM30" i="17"/>
  <c r="AM13" i="17"/>
  <c r="AC33" i="28"/>
  <c r="L63" i="28"/>
  <c r="AC44" i="28"/>
  <c r="AM15" i="17"/>
  <c r="P48" i="28"/>
  <c r="C56" i="28"/>
  <c r="C70" i="28"/>
  <c r="AM7" i="17"/>
  <c r="AC59" i="28"/>
  <c r="AC73" i="28"/>
  <c r="P36" i="17"/>
  <c r="AA36" i="17"/>
  <c r="AI36" i="17"/>
  <c r="AA26" i="17"/>
  <c r="AI26" i="17"/>
  <c r="AD63" i="28"/>
  <c r="C58" i="28"/>
  <c r="C72" i="28"/>
  <c r="AM8" i="17"/>
  <c r="AC41" i="28"/>
  <c r="AO63" i="28"/>
  <c r="AC72" i="28"/>
  <c r="AM16" i="17"/>
  <c r="AC58" i="28"/>
  <c r="AM18" i="17"/>
  <c r="AC75" i="28"/>
  <c r="AC61" i="28"/>
  <c r="C44" i="28"/>
  <c r="AC42" i="28"/>
  <c r="AM19" i="17"/>
  <c r="AC36" i="28"/>
  <c r="AM26" i="17"/>
  <c r="I63" i="28"/>
  <c r="C38" i="28"/>
  <c r="AC32" i="28"/>
  <c r="AM3" i="17"/>
  <c r="P49" i="17"/>
  <c r="AA23" i="17"/>
  <c r="AI23" i="17"/>
  <c r="P32" i="17"/>
  <c r="AA15" i="17"/>
  <c r="AI15" i="17"/>
  <c r="P44" i="17"/>
  <c r="AA44" i="17"/>
  <c r="AI44" i="17"/>
  <c r="AM68" i="17"/>
  <c r="AX68" i="17"/>
  <c r="BF68" i="17"/>
  <c r="AM54" i="17"/>
  <c r="AX54" i="17"/>
  <c r="BF54" i="17"/>
  <c r="AX9" i="17"/>
  <c r="BF9" i="17"/>
  <c r="P69" i="17"/>
  <c r="AA69" i="17"/>
  <c r="AI69" i="17"/>
  <c r="P55" i="17"/>
  <c r="AA55" i="17"/>
  <c r="AI55" i="17"/>
  <c r="AA24" i="17"/>
  <c r="AI24" i="17"/>
  <c r="AM70" i="17"/>
  <c r="AX70" i="17"/>
  <c r="BF70" i="17"/>
  <c r="AM71" i="17"/>
  <c r="AX71" i="17"/>
  <c r="BF71" i="17"/>
  <c r="AM57" i="17"/>
  <c r="AX57" i="17"/>
  <c r="BF57" i="17"/>
  <c r="AX29" i="17"/>
  <c r="BF29" i="17"/>
  <c r="P40" i="17"/>
  <c r="AA40" i="17"/>
  <c r="AI40" i="17"/>
  <c r="AA4" i="17"/>
  <c r="AI4" i="17"/>
  <c r="AC38" i="28"/>
  <c r="AM2" i="17"/>
  <c r="P41" i="17"/>
  <c r="AA41" i="17"/>
  <c r="AI41" i="17"/>
  <c r="AA8" i="17"/>
  <c r="AI8" i="17"/>
  <c r="AC48" i="28"/>
  <c r="C48" i="27"/>
  <c r="AC63" i="27"/>
  <c r="C48" i="28"/>
  <c r="C63" i="27"/>
  <c r="AC48" i="27"/>
  <c r="AC63" i="28"/>
  <c r="C63" i="28"/>
  <c r="BB31" i="32"/>
  <c r="BC41" i="32"/>
  <c r="BB41" i="32"/>
  <c r="BB34" i="32"/>
  <c r="BC34" i="32"/>
  <c r="BB35" i="32"/>
  <c r="BC35" i="32"/>
  <c r="P47" i="17"/>
  <c r="AA47" i="17"/>
  <c r="AI47" i="17"/>
  <c r="AM49" i="17"/>
  <c r="P62" i="17"/>
  <c r="AA62" i="17"/>
  <c r="AI62" i="17"/>
  <c r="P76" i="17"/>
  <c r="AA76" i="17"/>
  <c r="AI76" i="17"/>
  <c r="AA27" i="17"/>
  <c r="AI27" i="17"/>
  <c r="AA10" i="17"/>
  <c r="AI10" i="17"/>
  <c r="P46" i="17"/>
  <c r="AA46" i="17"/>
  <c r="AI46" i="17"/>
  <c r="E63" i="17"/>
  <c r="AX20" i="17"/>
  <c r="BF20" i="17"/>
  <c r="P50" i="17"/>
  <c r="AA50" i="17"/>
  <c r="AI50" i="17"/>
  <c r="AA25" i="17"/>
  <c r="AI25" i="17"/>
  <c r="P64" i="17"/>
  <c r="AA64" i="17"/>
  <c r="AI64" i="17"/>
  <c r="H63" i="4"/>
  <c r="AA28" i="17"/>
  <c r="AI28" i="17"/>
  <c r="P43" i="17"/>
  <c r="AA43" i="17"/>
  <c r="AI43" i="17"/>
  <c r="AA19" i="17"/>
  <c r="AI19" i="17"/>
  <c r="P42" i="17"/>
  <c r="AA42" i="17"/>
  <c r="AI42" i="17"/>
  <c r="P72" i="17"/>
  <c r="AA72" i="17"/>
  <c r="AI72" i="17"/>
  <c r="AA16" i="17"/>
  <c r="AI16" i="17"/>
  <c r="P58" i="17"/>
  <c r="AA58" i="17"/>
  <c r="AI58" i="17"/>
  <c r="AA7" i="17"/>
  <c r="AI7" i="17"/>
  <c r="P73" i="17"/>
  <c r="AA73" i="17"/>
  <c r="AI73" i="17"/>
  <c r="P59" i="17"/>
  <c r="AA59" i="17"/>
  <c r="AI59" i="17"/>
  <c r="H48" i="4"/>
  <c r="AA14" i="17"/>
  <c r="AI14" i="17"/>
  <c r="P34" i="17"/>
  <c r="AA34" i="17"/>
  <c r="AI34" i="17"/>
  <c r="AA21" i="17"/>
  <c r="AI21" i="17"/>
  <c r="P65" i="17"/>
  <c r="AA65" i="17"/>
  <c r="AI65" i="17"/>
  <c r="P51" i="17"/>
  <c r="AA51" i="17"/>
  <c r="AI51" i="17"/>
  <c r="P39" i="17"/>
  <c r="AA39" i="17"/>
  <c r="AI39" i="17"/>
  <c r="AA11" i="17"/>
  <c r="AI11" i="17"/>
  <c r="P37" i="17"/>
  <c r="AA37" i="17"/>
  <c r="AI37" i="17"/>
  <c r="AA22" i="17"/>
  <c r="AI22" i="17"/>
  <c r="AA12" i="17"/>
  <c r="AI12" i="17"/>
  <c r="P74" i="17"/>
  <c r="AA74" i="17"/>
  <c r="AI74" i="17"/>
  <c r="P60" i="17"/>
  <c r="AA60" i="17"/>
  <c r="AI60" i="17"/>
  <c r="AA30" i="17"/>
  <c r="AI30" i="17"/>
  <c r="P35" i="17"/>
  <c r="AA35" i="17"/>
  <c r="AI35" i="17"/>
  <c r="P33" i="17"/>
  <c r="AA33" i="17"/>
  <c r="AI33" i="17"/>
  <c r="AA13" i="17"/>
  <c r="AI13" i="17"/>
  <c r="AA5" i="17"/>
  <c r="AI5" i="17"/>
  <c r="P67" i="17"/>
  <c r="AA67" i="17"/>
  <c r="AI67" i="17"/>
  <c r="P53" i="17"/>
  <c r="AA53" i="17"/>
  <c r="AI53" i="17"/>
  <c r="E48" i="17"/>
  <c r="AA17" i="17"/>
  <c r="AI17" i="17"/>
  <c r="P52" i="17"/>
  <c r="AA52" i="17"/>
  <c r="AI52" i="17"/>
  <c r="P66" i="17"/>
  <c r="P54" i="17"/>
  <c r="AA54" i="17"/>
  <c r="AI54" i="17"/>
  <c r="AA9" i="17"/>
  <c r="AI9" i="17"/>
  <c r="P68" i="17"/>
  <c r="AA68" i="17"/>
  <c r="AI68" i="17"/>
  <c r="P71" i="17"/>
  <c r="AA71" i="17"/>
  <c r="AI71" i="17"/>
  <c r="P57" i="17"/>
  <c r="AA57" i="17"/>
  <c r="AI57" i="17"/>
  <c r="AA29" i="17"/>
  <c r="AI29" i="17"/>
  <c r="AM66" i="17"/>
  <c r="AX66" i="17"/>
  <c r="BF66" i="17"/>
  <c r="AM52" i="17"/>
  <c r="AX52" i="17"/>
  <c r="BF52" i="17"/>
  <c r="AM76" i="17"/>
  <c r="AX76" i="17"/>
  <c r="BF76" i="17"/>
  <c r="AX27" i="17"/>
  <c r="BF27" i="17"/>
  <c r="AM62" i="17"/>
  <c r="AX62" i="17"/>
  <c r="BF62" i="17"/>
  <c r="AM40" i="17"/>
  <c r="AX40" i="17"/>
  <c r="BF40" i="17"/>
  <c r="AX4" i="17"/>
  <c r="BF4" i="17"/>
  <c r="AM67" i="17"/>
  <c r="AX67" i="17"/>
  <c r="BF67" i="17"/>
  <c r="AM53" i="17"/>
  <c r="AX53" i="17"/>
  <c r="BF53" i="17"/>
  <c r="AX5" i="17"/>
  <c r="BF5" i="17"/>
  <c r="AX6" i="17"/>
  <c r="BF6" i="17"/>
  <c r="AM47" i="17"/>
  <c r="AX47" i="17"/>
  <c r="BF47" i="17"/>
  <c r="AM35" i="17"/>
  <c r="AX35" i="17"/>
  <c r="BF35" i="17"/>
  <c r="AX30" i="17"/>
  <c r="BF30" i="17"/>
  <c r="AM34" i="17"/>
  <c r="AX34" i="17"/>
  <c r="BF34" i="17"/>
  <c r="AX14" i="17"/>
  <c r="BF14" i="17"/>
  <c r="AX18" i="17"/>
  <c r="BF18" i="17"/>
  <c r="AM61" i="17"/>
  <c r="AX61" i="17"/>
  <c r="BF61" i="17"/>
  <c r="AM75" i="17"/>
  <c r="AX75" i="17"/>
  <c r="BF75" i="17"/>
  <c r="AM73" i="17"/>
  <c r="AX73" i="17"/>
  <c r="BF73" i="17"/>
  <c r="AX7" i="17"/>
  <c r="BF7" i="17"/>
  <c r="AM59" i="17"/>
  <c r="AX59" i="17"/>
  <c r="BF59" i="17"/>
  <c r="AM36" i="17"/>
  <c r="AX36" i="17"/>
  <c r="BF36" i="17"/>
  <c r="AX26" i="17"/>
  <c r="BF26" i="17"/>
  <c r="AX10" i="17"/>
  <c r="BF10" i="17"/>
  <c r="AM46" i="17"/>
  <c r="AX13" i="17"/>
  <c r="BF13" i="17"/>
  <c r="AM33" i="17"/>
  <c r="AX33" i="17"/>
  <c r="BF33" i="17"/>
  <c r="AX16" i="17"/>
  <c r="BF16" i="17"/>
  <c r="AM72" i="17"/>
  <c r="AX72" i="17"/>
  <c r="BF72" i="17"/>
  <c r="AM58" i="17"/>
  <c r="AX58" i="17"/>
  <c r="BF58" i="17"/>
  <c r="AM51" i="17"/>
  <c r="AX51" i="17"/>
  <c r="BF51" i="17"/>
  <c r="AX21" i="17"/>
  <c r="BF21" i="17"/>
  <c r="AM65" i="17"/>
  <c r="AX65" i="17"/>
  <c r="BF65" i="17"/>
  <c r="AM37" i="17"/>
  <c r="AX37" i="17"/>
  <c r="BF37" i="17"/>
  <c r="AX22" i="17"/>
  <c r="BF22" i="17"/>
  <c r="AX19" i="17"/>
  <c r="BF19" i="17"/>
  <c r="AM42" i="17"/>
  <c r="AX42" i="17"/>
  <c r="BF42" i="17"/>
  <c r="AX15" i="17"/>
  <c r="BF15" i="17"/>
  <c r="AM44" i="17"/>
  <c r="AX44" i="17"/>
  <c r="BF44" i="17"/>
  <c r="AX8" i="17"/>
  <c r="BF8" i="17"/>
  <c r="AM41" i="17"/>
  <c r="AX41" i="17"/>
  <c r="BF41" i="17"/>
  <c r="AX28" i="17"/>
  <c r="BF28" i="17"/>
  <c r="AM43" i="17"/>
  <c r="AX43" i="17"/>
  <c r="BF43" i="17"/>
  <c r="AM39" i="17"/>
  <c r="AX39" i="17"/>
  <c r="BF39" i="17"/>
  <c r="AX11" i="17"/>
  <c r="BF11" i="17"/>
  <c r="AA49" i="17"/>
  <c r="AI49" i="17"/>
  <c r="AX49" i="17"/>
  <c r="BF49" i="17"/>
  <c r="AM38" i="17"/>
  <c r="AX38" i="17"/>
  <c r="BF38" i="17"/>
  <c r="AX2" i="17"/>
  <c r="BF2" i="17"/>
  <c r="AA32" i="17"/>
  <c r="AI32" i="17"/>
  <c r="E64" i="19"/>
  <c r="G25" i="19"/>
  <c r="E69" i="19"/>
  <c r="G69" i="19"/>
  <c r="G24" i="19"/>
  <c r="E10" i="19"/>
  <c r="AM32" i="17"/>
  <c r="AX3" i="17"/>
  <c r="BF3" i="17"/>
  <c r="AI31" i="17"/>
  <c r="AI45" i="17"/>
  <c r="P45" i="17"/>
  <c r="P31" i="17"/>
  <c r="P48" i="17"/>
  <c r="E74" i="19"/>
  <c r="G74" i="19"/>
  <c r="E71" i="19"/>
  <c r="G71" i="19"/>
  <c r="AB48" i="4"/>
  <c r="AI48" i="17"/>
  <c r="AA66" i="17"/>
  <c r="P63" i="17"/>
  <c r="I63" i="4"/>
  <c r="G63" i="4"/>
  <c r="I48" i="4"/>
  <c r="G48" i="4"/>
  <c r="I31" i="4"/>
  <c r="G31" i="4"/>
  <c r="AM63" i="17"/>
  <c r="AB31" i="4"/>
  <c r="BF63" i="17"/>
  <c r="AM48" i="17"/>
  <c r="AB63" i="4"/>
  <c r="BF48" i="17"/>
  <c r="AX46" i="17"/>
  <c r="AM45" i="17"/>
  <c r="G19" i="19"/>
  <c r="E76" i="19"/>
  <c r="G76" i="19"/>
  <c r="G27" i="19"/>
  <c r="AM31" i="17"/>
  <c r="AX32" i="17"/>
  <c r="G4" i="19"/>
  <c r="G23" i="19"/>
  <c r="G26" i="19"/>
  <c r="G14" i="19"/>
  <c r="G10" i="19"/>
  <c r="E46" i="19"/>
  <c r="G13" i="19"/>
  <c r="G28" i="19"/>
  <c r="G64" i="19"/>
  <c r="G8" i="19"/>
  <c r="G6" i="19"/>
  <c r="G22" i="19"/>
  <c r="G30" i="19"/>
  <c r="G11" i="19"/>
  <c r="G5" i="19"/>
  <c r="E67" i="19"/>
  <c r="G67" i="19"/>
  <c r="BF32" i="17"/>
  <c r="BF31" i="17"/>
  <c r="BF46" i="17"/>
  <c r="BF45" i="17"/>
  <c r="AI66" i="17"/>
  <c r="AI63" i="17"/>
  <c r="G12" i="19"/>
  <c r="G9" i="19"/>
  <c r="E68" i="19"/>
  <c r="G68" i="19"/>
  <c r="G29" i="19"/>
  <c r="G7" i="19"/>
  <c r="E73" i="19"/>
  <c r="G73" i="19"/>
  <c r="E72" i="19"/>
  <c r="G72" i="19"/>
  <c r="G16" i="19"/>
  <c r="E75" i="19"/>
  <c r="G75" i="19"/>
  <c r="G18" i="19"/>
  <c r="G15" i="19"/>
  <c r="E66" i="19"/>
  <c r="G66" i="19"/>
  <c r="G17" i="19"/>
  <c r="G20" i="19"/>
  <c r="E70" i="19"/>
  <c r="G70" i="19"/>
  <c r="G46" i="19"/>
  <c r="G45" i="19"/>
  <c r="E45" i="19"/>
  <c r="G3" i="19"/>
  <c r="E31" i="19"/>
  <c r="AC63" i="4"/>
  <c r="G21" i="19"/>
  <c r="E65" i="19"/>
  <c r="Z48" i="4"/>
  <c r="Z63" i="4"/>
  <c r="E63" i="19"/>
  <c r="G65" i="19"/>
  <c r="G63" i="19"/>
  <c r="E48"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Manning, Karessa L.</author>
  </authors>
  <commentList>
    <comment ref="A1" authorId="0" shapeId="0" xr:uid="{00000000-0006-0000-0C00-000001000000}">
      <text>
        <r>
          <rPr>
            <b/>
            <sz val="9"/>
            <color indexed="81"/>
            <rFont val="Tahoma"/>
            <family val="2"/>
          </rPr>
          <t>Manning, Karessa L.:</t>
        </r>
        <r>
          <rPr>
            <sz val="9"/>
            <color indexed="81"/>
            <rFont val="Tahoma"/>
            <family val="2"/>
          </rPr>
          <t xml:space="preserve">
Slab Size = 1
Cover Layer = 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tc={2CE6D14A-524B-4529-94FA-D8FEC90628C4}</author>
  </authors>
  <commentList>
    <comment ref="D1" authorId="0" shapeId="0" xr:uid="{2CE6D14A-524B-4529-94FA-D8FEC90628C4}">
      <text>
        <t>[Threaded comment]
Your version of Excel allows you to read this threaded comment; however, any edits to it will get removed if the file is opened in a newer version of Excel. Learn more: https://go.microsoft.com/fwlink/?linkid=870924
Comment:
    AEQ based on ACH of 5</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tc={165EF534-4BF2-4E29-9565-8DFA50480CB7}</author>
  </authors>
  <commentList>
    <comment ref="D1" authorId="0" shapeId="0" xr:uid="{165EF534-4BF2-4E29-9565-8DFA50480CB7}">
      <text>
        <t>[Threaded comment]
Your version of Excel allows you to read this threaded comment; however, any edits to it will get removed if the file is opened in a newer version of Excel. Learn more: https://go.microsoft.com/fwlink/?linkid=870924
Comment:
    AEQ based on ACH of 5</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<sst xmlns="http://schemas.openxmlformats.org/spreadsheetml/2006/main" count="6677" uniqueCount="1553">
  <si>
    <t>SFS</t>
  </si>
  <si>
    <t>SFF</t>
  </si>
  <si>
    <t>SFX</t>
  </si>
  <si>
    <t>SFI</t>
  </si>
  <si>
    <t>SFW</t>
  </si>
  <si>
    <t>SFOSA</t>
  </si>
  <si>
    <t>SFXSUB</t>
  </si>
  <si>
    <t>SFXGP</t>
  </si>
  <si>
    <t>SFXIMM</t>
  </si>
  <si>
    <t>SFXSV1</t>
  </si>
  <si>
    <t>SFXSV5</t>
  </si>
  <si>
    <t>SFXSV15</t>
  </si>
  <si>
    <t>Ac-225</t>
  </si>
  <si>
    <t>Am-241</t>
  </si>
  <si>
    <t>At-217</t>
  </si>
  <si>
    <t>At-218</t>
  </si>
  <si>
    <t>Ba-137m</t>
  </si>
  <si>
    <t>Bi-210</t>
  </si>
  <si>
    <t>Bi-213</t>
  </si>
  <si>
    <t>Bi-214</t>
  </si>
  <si>
    <t>Cs-137</t>
  </si>
  <si>
    <t>Fr-221</t>
  </si>
  <si>
    <t>Hg-206</t>
  </si>
  <si>
    <t>Np-237</t>
  </si>
  <si>
    <t>Pa-233</t>
  </si>
  <si>
    <t>Pb-209</t>
  </si>
  <si>
    <t>Pb-210</t>
  </si>
  <si>
    <t>Pb-214</t>
  </si>
  <si>
    <t>Po-210</t>
  </si>
  <si>
    <t>Po-213</t>
  </si>
  <si>
    <t>Po-214</t>
  </si>
  <si>
    <t>Po-218</t>
  </si>
  <si>
    <t>Ra-225</t>
  </si>
  <si>
    <t>Ra-226</t>
  </si>
  <si>
    <t>Rn-218</t>
  </si>
  <si>
    <t>Rn-222</t>
  </si>
  <si>
    <t>Th-229</t>
  </si>
  <si>
    <t>Tl-206</t>
  </si>
  <si>
    <t>Tl-209</t>
  </si>
  <si>
    <t>Tl-210</t>
  </si>
  <si>
    <t>U-233</t>
  </si>
  <si>
    <t>ACFGP</t>
  </si>
  <si>
    <t>ACFSV</t>
  </si>
  <si>
    <t>ACFSV1</t>
  </si>
  <si>
    <t>ACFSV5</t>
  </si>
  <si>
    <t>ACFSV15</t>
  </si>
  <si>
    <t>GSFGP</t>
  </si>
  <si>
    <t>GSFSV</t>
  </si>
  <si>
    <t>GSFSV1</t>
  </si>
  <si>
    <t>GSFSV5</t>
  </si>
  <si>
    <t>GSFSV15</t>
  </si>
  <si>
    <t>Radionuclide</t>
  </si>
  <si>
    <t>General</t>
  </si>
  <si>
    <t>Resident</t>
  </si>
  <si>
    <t>Recreator</t>
  </si>
  <si>
    <t>years</t>
  </si>
  <si>
    <t>m3/day</t>
  </si>
  <si>
    <t>mg/day</t>
  </si>
  <si>
    <t>L/day</t>
  </si>
  <si>
    <t>g/day</t>
  </si>
  <si>
    <t>days/year</t>
  </si>
  <si>
    <t>hours/event</t>
  </si>
  <si>
    <t>hours/day</t>
  </si>
  <si>
    <t>events/day</t>
  </si>
  <si>
    <r>
      <t xml:space="preserve">ED </t>
    </r>
    <r>
      <rPr>
        <vertAlign val="subscript"/>
        <sz val="11"/>
        <color theme="1"/>
        <rFont val="Calibri"/>
        <family val="2"/>
        <scheme val="minor"/>
      </rPr>
      <t>res-c</t>
    </r>
  </si>
  <si>
    <r>
      <t xml:space="preserve">ED </t>
    </r>
    <r>
      <rPr>
        <vertAlign val="subscript"/>
        <sz val="11"/>
        <color theme="1"/>
        <rFont val="Calibri"/>
        <family val="2"/>
        <scheme val="minor"/>
      </rPr>
      <t>rec-c</t>
    </r>
  </si>
  <si>
    <r>
      <t xml:space="preserve">ED </t>
    </r>
    <r>
      <rPr>
        <vertAlign val="subscript"/>
        <sz val="11"/>
        <color theme="1"/>
        <rFont val="Calibri"/>
        <family val="2"/>
        <scheme val="minor"/>
      </rPr>
      <t>far-c</t>
    </r>
  </si>
  <si>
    <r>
      <t xml:space="preserve">ED </t>
    </r>
    <r>
      <rPr>
        <vertAlign val="subscript"/>
        <sz val="11"/>
        <color theme="1"/>
        <rFont val="Calibri"/>
        <family val="2"/>
        <scheme val="minor"/>
      </rPr>
      <t>res-a</t>
    </r>
  </si>
  <si>
    <r>
      <t xml:space="preserve">ED </t>
    </r>
    <r>
      <rPr>
        <vertAlign val="subscript"/>
        <sz val="11"/>
        <color theme="1"/>
        <rFont val="Calibri"/>
        <family val="2"/>
        <scheme val="minor"/>
      </rPr>
      <t>rec-a</t>
    </r>
  </si>
  <si>
    <r>
      <t xml:space="preserve">ED </t>
    </r>
    <r>
      <rPr>
        <vertAlign val="subscript"/>
        <sz val="11"/>
        <color theme="1"/>
        <rFont val="Calibri"/>
        <family val="2"/>
        <scheme val="minor"/>
      </rPr>
      <t>far-a</t>
    </r>
  </si>
  <si>
    <r>
      <t xml:space="preserve">ED </t>
    </r>
    <r>
      <rPr>
        <vertAlign val="subscript"/>
        <sz val="11"/>
        <color theme="1"/>
        <rFont val="Calibri"/>
        <family val="2"/>
        <scheme val="minor"/>
      </rPr>
      <t>res</t>
    </r>
  </si>
  <si>
    <r>
      <t xml:space="preserve">ED </t>
    </r>
    <r>
      <rPr>
        <vertAlign val="subscript"/>
        <sz val="11"/>
        <color theme="1"/>
        <rFont val="Calibri"/>
        <family val="2"/>
        <scheme val="minor"/>
      </rPr>
      <t>rec</t>
    </r>
  </si>
  <si>
    <r>
      <t xml:space="preserve">ED </t>
    </r>
    <r>
      <rPr>
        <vertAlign val="subscript"/>
        <sz val="11"/>
        <color theme="1"/>
        <rFont val="Calibri"/>
        <family val="2"/>
        <scheme val="minor"/>
      </rPr>
      <t>far</t>
    </r>
  </si>
  <si>
    <r>
      <t xml:space="preserve">IRA </t>
    </r>
    <r>
      <rPr>
        <vertAlign val="subscript"/>
        <sz val="11"/>
        <color theme="1"/>
        <rFont val="Calibri"/>
        <family val="2"/>
        <scheme val="minor"/>
      </rPr>
      <t>res-c</t>
    </r>
  </si>
  <si>
    <r>
      <t xml:space="preserve">IRA </t>
    </r>
    <r>
      <rPr>
        <vertAlign val="subscript"/>
        <sz val="11"/>
        <color theme="1"/>
        <rFont val="Calibri"/>
        <family val="2"/>
        <scheme val="minor"/>
      </rPr>
      <t>res-a</t>
    </r>
  </si>
  <si>
    <r>
      <t xml:space="preserve">IRS </t>
    </r>
    <r>
      <rPr>
        <vertAlign val="subscript"/>
        <sz val="11"/>
        <color theme="1"/>
        <rFont val="Calibri"/>
        <family val="2"/>
        <scheme val="minor"/>
      </rPr>
      <t>res-c</t>
    </r>
  </si>
  <si>
    <r>
      <t xml:space="preserve">IRS </t>
    </r>
    <r>
      <rPr>
        <vertAlign val="subscript"/>
        <sz val="11"/>
        <color theme="1"/>
        <rFont val="Calibri"/>
        <family val="2"/>
        <scheme val="minor"/>
      </rPr>
      <t>res-a</t>
    </r>
  </si>
  <si>
    <r>
      <t xml:space="preserve">IRW </t>
    </r>
    <r>
      <rPr>
        <vertAlign val="subscript"/>
        <sz val="11"/>
        <color theme="1"/>
        <rFont val="Calibri"/>
        <family val="2"/>
        <scheme val="minor"/>
      </rPr>
      <t>res-c</t>
    </r>
  </si>
  <si>
    <r>
      <t xml:space="preserve">IRW </t>
    </r>
    <r>
      <rPr>
        <vertAlign val="subscript"/>
        <sz val="11"/>
        <color theme="1"/>
        <rFont val="Calibri"/>
        <family val="2"/>
        <scheme val="minor"/>
      </rPr>
      <t>res-a</t>
    </r>
  </si>
  <si>
    <r>
      <t xml:space="preserve">IRF </t>
    </r>
    <r>
      <rPr>
        <vertAlign val="subscript"/>
        <sz val="11"/>
        <color theme="1"/>
        <rFont val="Calibri"/>
        <family val="2"/>
        <scheme val="minor"/>
      </rPr>
      <t>res</t>
    </r>
  </si>
  <si>
    <r>
      <t xml:space="preserve">EF </t>
    </r>
    <r>
      <rPr>
        <vertAlign val="subscript"/>
        <sz val="11"/>
        <color theme="1"/>
        <rFont val="Calibri"/>
        <family val="2"/>
        <scheme val="minor"/>
      </rPr>
      <t>res-c</t>
    </r>
  </si>
  <si>
    <r>
      <t xml:space="preserve">EF </t>
    </r>
    <r>
      <rPr>
        <vertAlign val="subscript"/>
        <sz val="11"/>
        <color theme="1"/>
        <rFont val="Calibri"/>
        <family val="2"/>
        <scheme val="minor"/>
      </rPr>
      <t>res-a</t>
    </r>
  </si>
  <si>
    <r>
      <t xml:space="preserve">EF </t>
    </r>
    <r>
      <rPr>
        <vertAlign val="subscript"/>
        <sz val="11"/>
        <color theme="1"/>
        <rFont val="Calibri"/>
        <family val="2"/>
        <scheme val="minor"/>
      </rPr>
      <t>res</t>
    </r>
  </si>
  <si>
    <r>
      <t xml:space="preserve">ET </t>
    </r>
    <r>
      <rPr>
        <vertAlign val="subscript"/>
        <sz val="11"/>
        <color theme="1"/>
        <rFont val="Calibri"/>
        <family val="2"/>
        <scheme val="minor"/>
      </rPr>
      <t>event-res-c</t>
    </r>
  </si>
  <si>
    <r>
      <t xml:space="preserve">ET </t>
    </r>
    <r>
      <rPr>
        <vertAlign val="subscript"/>
        <sz val="11"/>
        <color theme="1"/>
        <rFont val="Calibri"/>
        <family val="2"/>
        <scheme val="minor"/>
      </rPr>
      <t>event-res-a</t>
    </r>
  </si>
  <si>
    <r>
      <t xml:space="preserve">ET </t>
    </r>
    <r>
      <rPr>
        <vertAlign val="subscript"/>
        <sz val="11"/>
        <color theme="1"/>
        <rFont val="Calibri"/>
        <family val="2"/>
        <scheme val="minor"/>
      </rPr>
      <t>res-c</t>
    </r>
  </si>
  <si>
    <r>
      <t xml:space="preserve">ET </t>
    </r>
    <r>
      <rPr>
        <vertAlign val="subscript"/>
        <sz val="11"/>
        <color theme="1"/>
        <rFont val="Calibri"/>
        <family val="2"/>
        <scheme val="minor"/>
      </rPr>
      <t>res-a</t>
    </r>
  </si>
  <si>
    <r>
      <t xml:space="preserve">ET </t>
    </r>
    <r>
      <rPr>
        <vertAlign val="subscript"/>
        <sz val="11"/>
        <color theme="1"/>
        <rFont val="Calibri"/>
        <family val="2"/>
        <scheme val="minor"/>
      </rPr>
      <t>res</t>
    </r>
  </si>
  <si>
    <r>
      <t xml:space="preserve">EV </t>
    </r>
    <r>
      <rPr>
        <vertAlign val="subscript"/>
        <sz val="11"/>
        <color theme="1"/>
        <rFont val="Calibri"/>
        <family val="2"/>
        <scheme val="minor"/>
      </rPr>
      <t>res-c</t>
    </r>
  </si>
  <si>
    <r>
      <t xml:space="preserve">EV </t>
    </r>
    <r>
      <rPr>
        <vertAlign val="subscript"/>
        <sz val="11"/>
        <color theme="1"/>
        <rFont val="Calibri"/>
        <family val="2"/>
        <scheme val="minor"/>
      </rPr>
      <t>res-a</t>
    </r>
  </si>
  <si>
    <r>
      <t xml:space="preserve">t </t>
    </r>
    <r>
      <rPr>
        <vertAlign val="subscript"/>
        <sz val="11"/>
        <color theme="1"/>
        <rFont val="Calibri"/>
        <family val="2"/>
        <scheme val="minor"/>
      </rPr>
      <t>res</t>
    </r>
  </si>
  <si>
    <r>
      <t xml:space="preserve">t </t>
    </r>
    <r>
      <rPr>
        <vertAlign val="subscript"/>
        <sz val="11"/>
        <color theme="1"/>
        <rFont val="Calibri"/>
        <family val="2"/>
        <scheme val="minor"/>
      </rPr>
      <t>rec</t>
    </r>
  </si>
  <si>
    <r>
      <t xml:space="preserve">t </t>
    </r>
    <r>
      <rPr>
        <vertAlign val="subscript"/>
        <sz val="11"/>
        <color theme="1"/>
        <rFont val="Calibri"/>
        <family val="2"/>
        <scheme val="minor"/>
      </rPr>
      <t>far</t>
    </r>
  </si>
  <si>
    <r>
      <t xml:space="preserve">GSF </t>
    </r>
    <r>
      <rPr>
        <vertAlign val="subscript"/>
        <sz val="11"/>
        <color theme="1"/>
        <rFont val="Calibri"/>
        <family val="2"/>
        <scheme val="minor"/>
      </rPr>
      <t>a</t>
    </r>
  </si>
  <si>
    <r>
      <t xml:space="preserve">GSF </t>
    </r>
    <r>
      <rPr>
        <vertAlign val="subscript"/>
        <sz val="11"/>
        <color theme="1"/>
        <rFont val="Calibri"/>
        <family val="2"/>
        <scheme val="minor"/>
      </rPr>
      <t>i</t>
    </r>
  </si>
  <si>
    <r>
      <t xml:space="preserve">ET </t>
    </r>
    <r>
      <rPr>
        <vertAlign val="subscript"/>
        <sz val="11"/>
        <rFont val="Calibri"/>
        <family val="2"/>
        <scheme val="minor"/>
      </rPr>
      <t>res-o</t>
    </r>
  </si>
  <si>
    <r>
      <t xml:space="preserve">ET </t>
    </r>
    <r>
      <rPr>
        <vertAlign val="subscript"/>
        <sz val="11"/>
        <rFont val="Calibri"/>
        <family val="2"/>
        <scheme val="minor"/>
      </rPr>
      <t>res-i</t>
    </r>
  </si>
  <si>
    <r>
      <t xml:space="preserve">CF </t>
    </r>
    <r>
      <rPr>
        <vertAlign val="subscript"/>
        <sz val="11"/>
        <color theme="1"/>
        <rFont val="Calibri"/>
        <family val="2"/>
        <scheme val="minor"/>
      </rPr>
      <t>res-fish</t>
    </r>
  </si>
  <si>
    <t>m^3/day</t>
  </si>
  <si>
    <t>L/hour</t>
  </si>
  <si>
    <t>kg/day</t>
  </si>
  <si>
    <t>unitless</t>
  </si>
  <si>
    <t>K</t>
  </si>
  <si>
    <r>
      <t xml:space="preserve">EV </t>
    </r>
    <r>
      <rPr>
        <vertAlign val="subscript"/>
        <sz val="11"/>
        <color theme="1"/>
        <rFont val="Calibri"/>
        <family val="2"/>
        <scheme val="minor"/>
      </rPr>
      <t>rec-c</t>
    </r>
  </si>
  <si>
    <r>
      <t xml:space="preserve">EV </t>
    </r>
    <r>
      <rPr>
        <vertAlign val="subscript"/>
        <sz val="11"/>
        <color theme="1"/>
        <rFont val="Calibri"/>
        <family val="2"/>
        <scheme val="minor"/>
      </rPr>
      <t>rec-a</t>
    </r>
  </si>
  <si>
    <r>
      <t xml:space="preserve">EF </t>
    </r>
    <r>
      <rPr>
        <vertAlign val="subscript"/>
        <sz val="11"/>
        <color theme="1"/>
        <rFont val="Calibri"/>
        <family val="2"/>
        <scheme val="minor"/>
      </rPr>
      <t>rec-c</t>
    </r>
  </si>
  <si>
    <r>
      <t xml:space="preserve">EF </t>
    </r>
    <r>
      <rPr>
        <vertAlign val="subscript"/>
        <sz val="11"/>
        <color theme="1"/>
        <rFont val="Calibri"/>
        <family val="2"/>
        <scheme val="minor"/>
      </rPr>
      <t>rec-a</t>
    </r>
  </si>
  <si>
    <r>
      <t xml:space="preserve">EF </t>
    </r>
    <r>
      <rPr>
        <vertAlign val="subscript"/>
        <sz val="11"/>
        <color theme="1"/>
        <rFont val="Calibri"/>
        <family val="2"/>
        <scheme val="minor"/>
      </rPr>
      <t>rec</t>
    </r>
  </si>
  <si>
    <r>
      <t xml:space="preserve">ET </t>
    </r>
    <r>
      <rPr>
        <vertAlign val="subscript"/>
        <sz val="11"/>
        <color theme="1"/>
        <rFont val="Calibri"/>
        <family val="2"/>
        <scheme val="minor"/>
      </rPr>
      <t>rec</t>
    </r>
  </si>
  <si>
    <r>
      <t xml:space="preserve">ET </t>
    </r>
    <r>
      <rPr>
        <vertAlign val="subscript"/>
        <sz val="11"/>
        <color theme="1"/>
        <rFont val="Calibri"/>
        <family val="2"/>
        <scheme val="minor"/>
      </rPr>
      <t>rec-c</t>
    </r>
  </si>
  <si>
    <r>
      <t xml:space="preserve">ET </t>
    </r>
    <r>
      <rPr>
        <vertAlign val="subscript"/>
        <sz val="11"/>
        <color theme="1"/>
        <rFont val="Calibri"/>
        <family val="2"/>
        <scheme val="minor"/>
      </rPr>
      <t>rec-a</t>
    </r>
  </si>
  <si>
    <r>
      <t xml:space="preserve">Q </t>
    </r>
    <r>
      <rPr>
        <vertAlign val="subscript"/>
        <sz val="11"/>
        <rFont val="Calibri"/>
        <family val="2"/>
        <scheme val="minor"/>
      </rPr>
      <t>w-game</t>
    </r>
  </si>
  <si>
    <r>
      <t xml:space="preserve">f </t>
    </r>
    <r>
      <rPr>
        <vertAlign val="subscript"/>
        <sz val="11"/>
        <rFont val="Calibri"/>
        <family val="2"/>
        <scheme val="minor"/>
      </rPr>
      <t>s-game</t>
    </r>
  </si>
  <si>
    <r>
      <t xml:space="preserve">f </t>
    </r>
    <r>
      <rPr>
        <vertAlign val="subscript"/>
        <sz val="11"/>
        <rFont val="Calibri"/>
        <family val="2"/>
        <scheme val="minor"/>
      </rPr>
      <t>p-game</t>
    </r>
  </si>
  <si>
    <r>
      <t xml:space="preserve">Q </t>
    </r>
    <r>
      <rPr>
        <vertAlign val="subscript"/>
        <sz val="11"/>
        <rFont val="Calibri"/>
        <family val="2"/>
        <scheme val="minor"/>
      </rPr>
      <t>s-game</t>
    </r>
  </si>
  <si>
    <r>
      <t xml:space="preserve">Q </t>
    </r>
    <r>
      <rPr>
        <vertAlign val="subscript"/>
        <sz val="11"/>
        <rFont val="Calibri"/>
        <family val="2"/>
        <scheme val="minor"/>
      </rPr>
      <t>p-game</t>
    </r>
  </si>
  <si>
    <r>
      <t xml:space="preserve">Q </t>
    </r>
    <r>
      <rPr>
        <vertAlign val="subscript"/>
        <sz val="11"/>
        <rFont val="Calibri"/>
        <family val="2"/>
        <scheme val="minor"/>
      </rPr>
      <t>w-fowl</t>
    </r>
  </si>
  <si>
    <r>
      <t xml:space="preserve">f </t>
    </r>
    <r>
      <rPr>
        <vertAlign val="subscript"/>
        <sz val="11"/>
        <rFont val="Calibri"/>
        <family val="2"/>
        <scheme val="minor"/>
      </rPr>
      <t>s-fowl</t>
    </r>
  </si>
  <si>
    <r>
      <t xml:space="preserve">f </t>
    </r>
    <r>
      <rPr>
        <vertAlign val="subscript"/>
        <sz val="11"/>
        <rFont val="Calibri"/>
        <family val="2"/>
        <scheme val="minor"/>
      </rPr>
      <t>p-fowl</t>
    </r>
  </si>
  <si>
    <r>
      <t xml:space="preserve">Q </t>
    </r>
    <r>
      <rPr>
        <vertAlign val="subscript"/>
        <sz val="11"/>
        <rFont val="Calibri"/>
        <family val="2"/>
        <scheme val="minor"/>
      </rPr>
      <t>s-fowl</t>
    </r>
  </si>
  <si>
    <r>
      <t xml:space="preserve">Q </t>
    </r>
    <r>
      <rPr>
        <vertAlign val="subscript"/>
        <sz val="11"/>
        <rFont val="Calibri"/>
        <family val="2"/>
        <scheme val="minor"/>
      </rPr>
      <t>p-fowl</t>
    </r>
  </si>
  <si>
    <r>
      <t xml:space="preserve">IRA </t>
    </r>
    <r>
      <rPr>
        <vertAlign val="subscript"/>
        <sz val="11"/>
        <color theme="1"/>
        <rFont val="Calibri"/>
        <family val="2"/>
        <scheme val="minor"/>
      </rPr>
      <t>rec-c</t>
    </r>
  </si>
  <si>
    <r>
      <t xml:space="preserve">IRA </t>
    </r>
    <r>
      <rPr>
        <vertAlign val="subscript"/>
        <sz val="11"/>
        <color theme="1"/>
        <rFont val="Calibri"/>
        <family val="2"/>
        <scheme val="minor"/>
      </rPr>
      <t>rec-a</t>
    </r>
  </si>
  <si>
    <r>
      <t xml:space="preserve">IRW </t>
    </r>
    <r>
      <rPr>
        <vertAlign val="subscript"/>
        <sz val="11"/>
        <color theme="1"/>
        <rFont val="Calibri"/>
        <family val="2"/>
        <scheme val="minor"/>
      </rPr>
      <t>rec-c</t>
    </r>
  </si>
  <si>
    <r>
      <t xml:space="preserve">IRW </t>
    </r>
    <r>
      <rPr>
        <vertAlign val="subscript"/>
        <sz val="11"/>
        <color theme="1"/>
        <rFont val="Calibri"/>
        <family val="2"/>
        <scheme val="minor"/>
      </rPr>
      <t>rec-a</t>
    </r>
  </si>
  <si>
    <r>
      <t xml:space="preserve">IRS </t>
    </r>
    <r>
      <rPr>
        <vertAlign val="subscript"/>
        <sz val="11"/>
        <color theme="1"/>
        <rFont val="Calibri"/>
        <family val="2"/>
        <scheme val="minor"/>
      </rPr>
      <t>rec-c</t>
    </r>
  </si>
  <si>
    <r>
      <t xml:space="preserve">IRS </t>
    </r>
    <r>
      <rPr>
        <vertAlign val="subscript"/>
        <sz val="11"/>
        <color theme="1"/>
        <rFont val="Calibri"/>
        <family val="2"/>
        <scheme val="minor"/>
      </rPr>
      <t>rec-a</t>
    </r>
  </si>
  <si>
    <t>hour/event</t>
  </si>
  <si>
    <t>event/day</t>
  </si>
  <si>
    <t>Ir</t>
  </si>
  <si>
    <t>L/m^2-day</t>
  </si>
  <si>
    <t>F</t>
  </si>
  <si>
    <t>day</t>
  </si>
  <si>
    <t>P</t>
  </si>
  <si>
    <t>kg/m^2</t>
  </si>
  <si>
    <t>lambda HL</t>
  </si>
  <si>
    <t>1/day</t>
  </si>
  <si>
    <t>T</t>
  </si>
  <si>
    <t>days</t>
  </si>
  <si>
    <t>kg/L</t>
  </si>
  <si>
    <r>
      <t xml:space="preserve">IRS </t>
    </r>
    <r>
      <rPr>
        <vertAlign val="subscript"/>
        <sz val="11"/>
        <color theme="1"/>
        <rFont val="Calibri"/>
        <family val="2"/>
        <scheme val="minor"/>
      </rPr>
      <t>far-c</t>
    </r>
  </si>
  <si>
    <r>
      <t xml:space="preserve">IRS </t>
    </r>
    <r>
      <rPr>
        <vertAlign val="subscript"/>
        <sz val="11"/>
        <color theme="1"/>
        <rFont val="Calibri"/>
        <family val="2"/>
        <scheme val="minor"/>
      </rPr>
      <t>far-a</t>
    </r>
  </si>
  <si>
    <r>
      <t xml:space="preserve">IRA </t>
    </r>
    <r>
      <rPr>
        <vertAlign val="subscript"/>
        <sz val="11"/>
        <color theme="1"/>
        <rFont val="Calibri"/>
        <family val="2"/>
        <scheme val="minor"/>
      </rPr>
      <t>far-c</t>
    </r>
  </si>
  <si>
    <r>
      <t xml:space="preserve">IRA </t>
    </r>
    <r>
      <rPr>
        <vertAlign val="subscript"/>
        <sz val="11"/>
        <color theme="1"/>
        <rFont val="Calibri"/>
        <family val="2"/>
        <scheme val="minor"/>
      </rPr>
      <t>far-a</t>
    </r>
  </si>
  <si>
    <r>
      <t xml:space="preserve">IRW </t>
    </r>
    <r>
      <rPr>
        <vertAlign val="subscript"/>
        <sz val="11"/>
        <color theme="1"/>
        <rFont val="Calibri"/>
        <family val="2"/>
        <scheme val="minor"/>
      </rPr>
      <t>far-c</t>
    </r>
  </si>
  <si>
    <r>
      <t xml:space="preserve">IRW </t>
    </r>
    <r>
      <rPr>
        <vertAlign val="subscript"/>
        <sz val="11"/>
        <color theme="1"/>
        <rFont val="Calibri"/>
        <family val="2"/>
        <scheme val="minor"/>
      </rPr>
      <t>far-a</t>
    </r>
  </si>
  <si>
    <r>
      <t xml:space="preserve">IRD </t>
    </r>
    <r>
      <rPr>
        <vertAlign val="subscript"/>
        <sz val="11"/>
        <rFont val="Calibri"/>
        <family val="2"/>
        <scheme val="minor"/>
      </rPr>
      <t>far-c</t>
    </r>
  </si>
  <si>
    <r>
      <t xml:space="preserve">IRD </t>
    </r>
    <r>
      <rPr>
        <vertAlign val="subscript"/>
        <sz val="11"/>
        <rFont val="Calibri"/>
        <family val="2"/>
        <scheme val="minor"/>
      </rPr>
      <t>far-a</t>
    </r>
  </si>
  <si>
    <r>
      <t xml:space="preserve">IRB </t>
    </r>
    <r>
      <rPr>
        <vertAlign val="subscript"/>
        <sz val="11"/>
        <rFont val="Calibri"/>
        <family val="2"/>
        <scheme val="minor"/>
      </rPr>
      <t>far-c</t>
    </r>
  </si>
  <si>
    <r>
      <t xml:space="preserve">IRB </t>
    </r>
    <r>
      <rPr>
        <vertAlign val="subscript"/>
        <sz val="11"/>
        <rFont val="Calibri"/>
        <family val="2"/>
        <scheme val="minor"/>
      </rPr>
      <t>far-a</t>
    </r>
  </si>
  <si>
    <r>
      <t xml:space="preserve">IRE </t>
    </r>
    <r>
      <rPr>
        <vertAlign val="subscript"/>
        <sz val="11"/>
        <rFont val="Calibri"/>
        <family val="2"/>
        <scheme val="minor"/>
      </rPr>
      <t>far-c</t>
    </r>
  </si>
  <si>
    <r>
      <t xml:space="preserve">IRE </t>
    </r>
    <r>
      <rPr>
        <vertAlign val="subscript"/>
        <sz val="11"/>
        <rFont val="Calibri"/>
        <family val="2"/>
        <scheme val="minor"/>
      </rPr>
      <t>far-a</t>
    </r>
  </si>
  <si>
    <r>
      <t xml:space="preserve">IRFI </t>
    </r>
    <r>
      <rPr>
        <vertAlign val="subscript"/>
        <sz val="11"/>
        <rFont val="Calibri"/>
        <family val="2"/>
        <scheme val="minor"/>
      </rPr>
      <t>far-c</t>
    </r>
  </si>
  <si>
    <r>
      <t xml:space="preserve">IRFI </t>
    </r>
    <r>
      <rPr>
        <vertAlign val="subscript"/>
        <sz val="11"/>
        <rFont val="Calibri"/>
        <family val="2"/>
        <scheme val="minor"/>
      </rPr>
      <t>far-a</t>
    </r>
  </si>
  <si>
    <r>
      <t xml:space="preserve">IRP </t>
    </r>
    <r>
      <rPr>
        <vertAlign val="subscript"/>
        <sz val="11"/>
        <rFont val="Calibri"/>
        <family val="2"/>
        <scheme val="minor"/>
      </rPr>
      <t>far-c</t>
    </r>
  </si>
  <si>
    <r>
      <t xml:space="preserve">IRP </t>
    </r>
    <r>
      <rPr>
        <vertAlign val="subscript"/>
        <sz val="11"/>
        <rFont val="Calibri"/>
        <family val="2"/>
        <scheme val="minor"/>
      </rPr>
      <t>far-a</t>
    </r>
  </si>
  <si>
    <r>
      <t xml:space="preserve">IRSW </t>
    </r>
    <r>
      <rPr>
        <vertAlign val="subscript"/>
        <sz val="11"/>
        <rFont val="Calibri"/>
        <family val="2"/>
        <scheme val="minor"/>
      </rPr>
      <t>far-c</t>
    </r>
  </si>
  <si>
    <r>
      <t xml:space="preserve">IRSW </t>
    </r>
    <r>
      <rPr>
        <vertAlign val="subscript"/>
        <sz val="11"/>
        <rFont val="Calibri"/>
        <family val="2"/>
        <scheme val="minor"/>
      </rPr>
      <t>far-a</t>
    </r>
  </si>
  <si>
    <r>
      <t xml:space="preserve">ET </t>
    </r>
    <r>
      <rPr>
        <vertAlign val="subscript"/>
        <sz val="11"/>
        <color theme="1"/>
        <rFont val="Calibri"/>
        <family val="2"/>
        <scheme val="minor"/>
      </rPr>
      <t>event-rec-c</t>
    </r>
  </si>
  <si>
    <r>
      <t xml:space="preserve">ET </t>
    </r>
    <r>
      <rPr>
        <vertAlign val="subscript"/>
        <sz val="11"/>
        <color theme="1"/>
        <rFont val="Calibri"/>
        <family val="2"/>
        <scheme val="minor"/>
      </rPr>
      <t>event-rec-a</t>
    </r>
  </si>
  <si>
    <r>
      <t xml:space="preserve">EF </t>
    </r>
    <r>
      <rPr>
        <vertAlign val="subscript"/>
        <sz val="11"/>
        <color theme="1"/>
        <rFont val="Calibri"/>
        <family val="2"/>
        <scheme val="minor"/>
      </rPr>
      <t>far-c</t>
    </r>
  </si>
  <si>
    <r>
      <t xml:space="preserve">EF </t>
    </r>
    <r>
      <rPr>
        <vertAlign val="subscript"/>
        <sz val="11"/>
        <color theme="1"/>
        <rFont val="Calibri"/>
        <family val="2"/>
        <scheme val="minor"/>
      </rPr>
      <t>far-a</t>
    </r>
  </si>
  <si>
    <r>
      <t xml:space="preserve">ET </t>
    </r>
    <r>
      <rPr>
        <vertAlign val="subscript"/>
        <sz val="11"/>
        <color theme="1"/>
        <rFont val="Calibri"/>
        <family val="2"/>
        <scheme val="minor"/>
      </rPr>
      <t>far-c</t>
    </r>
  </si>
  <si>
    <r>
      <t xml:space="preserve">ET </t>
    </r>
    <r>
      <rPr>
        <vertAlign val="subscript"/>
        <sz val="11"/>
        <color theme="1"/>
        <rFont val="Calibri"/>
        <family val="2"/>
        <scheme val="minor"/>
      </rPr>
      <t>far-a</t>
    </r>
  </si>
  <si>
    <r>
      <t xml:space="preserve">ET </t>
    </r>
    <r>
      <rPr>
        <vertAlign val="subscript"/>
        <sz val="11"/>
        <color theme="1"/>
        <rFont val="Calibri"/>
        <family val="2"/>
        <scheme val="minor"/>
      </rPr>
      <t>far</t>
    </r>
  </si>
  <si>
    <r>
      <t xml:space="preserve">ET </t>
    </r>
    <r>
      <rPr>
        <vertAlign val="subscript"/>
        <sz val="11"/>
        <color theme="1"/>
        <rFont val="Calibri"/>
        <family val="2"/>
        <scheme val="minor"/>
      </rPr>
      <t>event-far-c</t>
    </r>
  </si>
  <si>
    <r>
      <t xml:space="preserve">ET </t>
    </r>
    <r>
      <rPr>
        <vertAlign val="subscript"/>
        <sz val="11"/>
        <color theme="1"/>
        <rFont val="Calibri"/>
        <family val="2"/>
        <scheme val="minor"/>
      </rPr>
      <t>event-far-a</t>
    </r>
  </si>
  <si>
    <r>
      <t xml:space="preserve">ET </t>
    </r>
    <r>
      <rPr>
        <vertAlign val="subscript"/>
        <sz val="11"/>
        <rFont val="Calibri"/>
        <family val="2"/>
        <scheme val="minor"/>
      </rPr>
      <t>far-o</t>
    </r>
  </si>
  <si>
    <r>
      <t xml:space="preserve">ET </t>
    </r>
    <r>
      <rPr>
        <vertAlign val="subscript"/>
        <sz val="11"/>
        <rFont val="Calibri"/>
        <family val="2"/>
        <scheme val="minor"/>
      </rPr>
      <t>far-i</t>
    </r>
  </si>
  <si>
    <r>
      <t xml:space="preserve">EV </t>
    </r>
    <r>
      <rPr>
        <vertAlign val="subscript"/>
        <sz val="11"/>
        <color theme="1"/>
        <rFont val="Calibri"/>
        <family val="2"/>
        <scheme val="minor"/>
      </rPr>
      <t>far-c</t>
    </r>
  </si>
  <si>
    <r>
      <t xml:space="preserve">EV </t>
    </r>
    <r>
      <rPr>
        <vertAlign val="subscript"/>
        <sz val="11"/>
        <color theme="1"/>
        <rFont val="Calibri"/>
        <family val="2"/>
        <scheme val="minor"/>
      </rPr>
      <t>far-a</t>
    </r>
  </si>
  <si>
    <r>
      <t xml:space="preserve">DF </t>
    </r>
    <r>
      <rPr>
        <vertAlign val="subscript"/>
        <sz val="11"/>
        <rFont val="Calibri"/>
        <family val="2"/>
        <scheme val="minor"/>
      </rPr>
      <t>i</t>
    </r>
  </si>
  <si>
    <r>
      <t xml:space="preserve">CF </t>
    </r>
    <r>
      <rPr>
        <vertAlign val="subscript"/>
        <sz val="11"/>
        <rFont val="Calibri"/>
        <family val="2"/>
        <scheme val="minor"/>
      </rPr>
      <t>far-dairy</t>
    </r>
  </si>
  <si>
    <r>
      <t xml:space="preserve">CF </t>
    </r>
    <r>
      <rPr>
        <vertAlign val="subscript"/>
        <sz val="11"/>
        <rFont val="Calibri"/>
        <family val="2"/>
        <scheme val="minor"/>
      </rPr>
      <t>far-beef</t>
    </r>
  </si>
  <si>
    <r>
      <t xml:space="preserve">CF </t>
    </r>
    <r>
      <rPr>
        <vertAlign val="subscript"/>
        <sz val="11"/>
        <rFont val="Calibri"/>
        <family val="2"/>
        <scheme val="minor"/>
      </rPr>
      <t>far-fish</t>
    </r>
  </si>
  <si>
    <r>
      <t xml:space="preserve">CF </t>
    </r>
    <r>
      <rPr>
        <vertAlign val="subscript"/>
        <sz val="11"/>
        <rFont val="Calibri"/>
        <family val="2"/>
        <scheme val="minor"/>
      </rPr>
      <t>far-poultry</t>
    </r>
  </si>
  <si>
    <r>
      <t xml:space="preserve">CF </t>
    </r>
    <r>
      <rPr>
        <vertAlign val="subscript"/>
        <sz val="11"/>
        <rFont val="Calibri"/>
        <family val="2"/>
        <scheme val="minor"/>
      </rPr>
      <t>far-swine</t>
    </r>
  </si>
  <si>
    <r>
      <t xml:space="preserve">Q </t>
    </r>
    <r>
      <rPr>
        <vertAlign val="subscript"/>
        <sz val="11"/>
        <rFont val="Calibri"/>
        <family val="2"/>
        <scheme val="minor"/>
      </rPr>
      <t>w dairy</t>
    </r>
  </si>
  <si>
    <r>
      <t xml:space="preserve">Q </t>
    </r>
    <r>
      <rPr>
        <vertAlign val="subscript"/>
        <sz val="11"/>
        <rFont val="Calibri"/>
        <family val="2"/>
        <scheme val="minor"/>
      </rPr>
      <t>p-dairy</t>
    </r>
  </si>
  <si>
    <r>
      <t xml:space="preserve">Q </t>
    </r>
    <r>
      <rPr>
        <vertAlign val="subscript"/>
        <sz val="11"/>
        <rFont val="Calibri"/>
        <family val="2"/>
        <scheme val="minor"/>
      </rPr>
      <t>s-dairy</t>
    </r>
  </si>
  <si>
    <r>
      <t xml:space="preserve">f </t>
    </r>
    <r>
      <rPr>
        <vertAlign val="subscript"/>
        <sz val="11"/>
        <rFont val="Calibri"/>
        <family val="2"/>
        <scheme val="minor"/>
      </rPr>
      <t>p-dairy</t>
    </r>
  </si>
  <si>
    <r>
      <t xml:space="preserve">f </t>
    </r>
    <r>
      <rPr>
        <vertAlign val="subscript"/>
        <sz val="11"/>
        <rFont val="Calibri"/>
        <family val="2"/>
        <scheme val="minor"/>
      </rPr>
      <t>s-dairy</t>
    </r>
  </si>
  <si>
    <r>
      <t xml:space="preserve">Q </t>
    </r>
    <r>
      <rPr>
        <vertAlign val="subscript"/>
        <sz val="11"/>
        <rFont val="Calibri"/>
        <family val="2"/>
        <scheme val="minor"/>
      </rPr>
      <t>p-beef</t>
    </r>
  </si>
  <si>
    <r>
      <t xml:space="preserve">Q </t>
    </r>
    <r>
      <rPr>
        <vertAlign val="subscript"/>
        <sz val="11"/>
        <rFont val="Calibri"/>
        <family val="2"/>
        <scheme val="minor"/>
      </rPr>
      <t>s-beef</t>
    </r>
  </si>
  <si>
    <r>
      <t xml:space="preserve">f </t>
    </r>
    <r>
      <rPr>
        <vertAlign val="subscript"/>
        <sz val="11"/>
        <rFont val="Calibri"/>
        <family val="2"/>
        <scheme val="minor"/>
      </rPr>
      <t>p-beef</t>
    </r>
  </si>
  <si>
    <r>
      <t xml:space="preserve">f </t>
    </r>
    <r>
      <rPr>
        <vertAlign val="subscript"/>
        <sz val="11"/>
        <rFont val="Calibri"/>
        <family val="2"/>
        <scheme val="minor"/>
      </rPr>
      <t>s-beef</t>
    </r>
  </si>
  <si>
    <r>
      <t xml:space="preserve">Q </t>
    </r>
    <r>
      <rPr>
        <vertAlign val="subscript"/>
        <sz val="11"/>
        <rFont val="Calibri"/>
        <family val="2"/>
        <scheme val="minor"/>
      </rPr>
      <t>w-egg</t>
    </r>
  </si>
  <si>
    <r>
      <t xml:space="preserve">Q </t>
    </r>
    <r>
      <rPr>
        <vertAlign val="subscript"/>
        <sz val="11"/>
        <rFont val="Calibri"/>
        <family val="2"/>
        <scheme val="minor"/>
      </rPr>
      <t>p-egg</t>
    </r>
  </si>
  <si>
    <r>
      <t xml:space="preserve">Q </t>
    </r>
    <r>
      <rPr>
        <vertAlign val="subscript"/>
        <sz val="11"/>
        <rFont val="Calibri"/>
        <family val="2"/>
        <scheme val="minor"/>
      </rPr>
      <t>s-egg</t>
    </r>
  </si>
  <si>
    <r>
      <t xml:space="preserve">f </t>
    </r>
    <r>
      <rPr>
        <vertAlign val="subscript"/>
        <sz val="11"/>
        <rFont val="Calibri"/>
        <family val="2"/>
        <scheme val="minor"/>
      </rPr>
      <t>p-egg</t>
    </r>
  </si>
  <si>
    <r>
      <t xml:space="preserve">f </t>
    </r>
    <r>
      <rPr>
        <vertAlign val="subscript"/>
        <sz val="11"/>
        <rFont val="Calibri"/>
        <family val="2"/>
        <scheme val="minor"/>
      </rPr>
      <t>s-egg</t>
    </r>
  </si>
  <si>
    <r>
      <t xml:space="preserve">Q </t>
    </r>
    <r>
      <rPr>
        <vertAlign val="subscript"/>
        <sz val="11"/>
        <rFont val="Calibri"/>
        <family val="2"/>
        <scheme val="minor"/>
      </rPr>
      <t>w-poultry</t>
    </r>
  </si>
  <si>
    <r>
      <t xml:space="preserve">Q </t>
    </r>
    <r>
      <rPr>
        <vertAlign val="subscript"/>
        <sz val="11"/>
        <rFont val="Calibri"/>
        <family val="2"/>
        <scheme val="minor"/>
      </rPr>
      <t>w-beef</t>
    </r>
  </si>
  <si>
    <r>
      <t xml:space="preserve">f </t>
    </r>
    <r>
      <rPr>
        <vertAlign val="subscript"/>
        <sz val="11"/>
        <rFont val="Calibri"/>
        <family val="2"/>
        <scheme val="minor"/>
      </rPr>
      <t>s-swine</t>
    </r>
  </si>
  <si>
    <r>
      <t xml:space="preserve">f </t>
    </r>
    <r>
      <rPr>
        <vertAlign val="subscript"/>
        <sz val="11"/>
        <rFont val="Calibri"/>
        <family val="2"/>
        <scheme val="minor"/>
      </rPr>
      <t>p-swine</t>
    </r>
  </si>
  <si>
    <r>
      <t xml:space="preserve">Q </t>
    </r>
    <r>
      <rPr>
        <vertAlign val="subscript"/>
        <sz val="11"/>
        <rFont val="Calibri"/>
        <family val="2"/>
        <scheme val="minor"/>
      </rPr>
      <t>s-swine</t>
    </r>
  </si>
  <si>
    <r>
      <t xml:space="preserve">Q </t>
    </r>
    <r>
      <rPr>
        <vertAlign val="subscript"/>
        <sz val="11"/>
        <rFont val="Calibri"/>
        <family val="2"/>
        <scheme val="minor"/>
      </rPr>
      <t>p-swine</t>
    </r>
  </si>
  <si>
    <r>
      <t xml:space="preserve">Q </t>
    </r>
    <r>
      <rPr>
        <vertAlign val="subscript"/>
        <sz val="11"/>
        <rFont val="Calibri"/>
        <family val="2"/>
        <scheme val="minor"/>
      </rPr>
      <t>w-swine</t>
    </r>
  </si>
  <si>
    <r>
      <t xml:space="preserve">f </t>
    </r>
    <r>
      <rPr>
        <vertAlign val="subscript"/>
        <sz val="11"/>
        <rFont val="Calibri"/>
        <family val="2"/>
        <scheme val="minor"/>
      </rPr>
      <t>s-poultry</t>
    </r>
  </si>
  <si>
    <r>
      <t xml:space="preserve">f </t>
    </r>
    <r>
      <rPr>
        <vertAlign val="subscript"/>
        <sz val="11"/>
        <rFont val="Calibri"/>
        <family val="2"/>
        <scheme val="minor"/>
      </rPr>
      <t>p-poultry</t>
    </r>
  </si>
  <si>
    <r>
      <t xml:space="preserve">Q </t>
    </r>
    <r>
      <rPr>
        <vertAlign val="subscript"/>
        <sz val="11"/>
        <rFont val="Calibri"/>
        <family val="2"/>
        <scheme val="minor"/>
      </rPr>
      <t>s-poultry</t>
    </r>
  </si>
  <si>
    <r>
      <t xml:space="preserve">Q </t>
    </r>
    <r>
      <rPr>
        <vertAlign val="subscript"/>
        <sz val="11"/>
        <rFont val="Calibri"/>
        <family val="2"/>
        <scheme val="minor"/>
      </rPr>
      <t>p-poultry</t>
    </r>
  </si>
  <si>
    <t xml:space="preserve">ρb </t>
  </si>
  <si>
    <t>m/yr</t>
  </si>
  <si>
    <t>m/m</t>
  </si>
  <si>
    <t>m</t>
  </si>
  <si>
    <r>
      <t xml:space="preserve">ED </t>
    </r>
    <r>
      <rPr>
        <vertAlign val="subscript"/>
        <sz val="11"/>
        <color theme="1"/>
        <rFont val="Calibri"/>
        <family val="2"/>
        <scheme val="minor"/>
      </rPr>
      <t>s2gw</t>
    </r>
  </si>
  <si>
    <r>
      <t xml:space="preserve">K </t>
    </r>
    <r>
      <rPr>
        <vertAlign val="subscript"/>
        <sz val="11"/>
        <color theme="1"/>
        <rFont val="Calibri"/>
        <family val="2"/>
        <scheme val="minor"/>
      </rPr>
      <t>s2gw</t>
    </r>
  </si>
  <si>
    <t>KD</t>
  </si>
  <si>
    <r>
      <t xml:space="preserve">t </t>
    </r>
    <r>
      <rPr>
        <vertAlign val="subscript"/>
        <sz val="11"/>
        <rFont val="Calibri"/>
        <family val="2"/>
        <scheme val="minor"/>
      </rPr>
      <t>b</t>
    </r>
  </si>
  <si>
    <r>
      <t xml:space="preserve">t </t>
    </r>
    <r>
      <rPr>
        <vertAlign val="subscript"/>
        <sz val="11"/>
        <rFont val="Calibri"/>
        <family val="2"/>
        <scheme val="minor"/>
      </rPr>
      <t>v</t>
    </r>
  </si>
  <si>
    <r>
      <t xml:space="preserve">I </t>
    </r>
    <r>
      <rPr>
        <vertAlign val="subscript"/>
        <sz val="11"/>
        <rFont val="Calibri"/>
        <family val="2"/>
        <scheme val="minor"/>
      </rPr>
      <t>f</t>
    </r>
  </si>
  <si>
    <r>
      <t xml:space="preserve">Y </t>
    </r>
    <r>
      <rPr>
        <vertAlign val="subscript"/>
        <sz val="11"/>
        <rFont val="Calibri"/>
        <family val="2"/>
        <scheme val="minor"/>
      </rPr>
      <t>v</t>
    </r>
  </si>
  <si>
    <r>
      <t xml:space="preserve">t </t>
    </r>
    <r>
      <rPr>
        <vertAlign val="subscript"/>
        <sz val="11"/>
        <rFont val="Calibri"/>
        <family val="2"/>
        <scheme val="minor"/>
      </rPr>
      <t>w</t>
    </r>
  </si>
  <si>
    <r>
      <t>θ</t>
    </r>
    <r>
      <rPr>
        <vertAlign val="subscript"/>
        <sz val="11"/>
        <color theme="1"/>
        <rFont val="Calibri"/>
        <family val="2"/>
        <scheme val="minor"/>
      </rPr>
      <t>w</t>
    </r>
  </si>
  <si>
    <r>
      <t>d</t>
    </r>
    <r>
      <rPr>
        <vertAlign val="subscript"/>
        <sz val="11"/>
        <color theme="1"/>
        <rFont val="Calibri"/>
        <family val="2"/>
        <scheme val="minor"/>
      </rPr>
      <t xml:space="preserve"> a</t>
    </r>
  </si>
  <si>
    <r>
      <t>d</t>
    </r>
    <r>
      <rPr>
        <vertAlign val="subscript"/>
        <sz val="11"/>
        <color theme="1"/>
        <rFont val="Calibri"/>
        <family val="2"/>
        <scheme val="minor"/>
      </rPr>
      <t xml:space="preserve"> s</t>
    </r>
  </si>
  <si>
    <t>m³ air / kg soil</t>
  </si>
  <si>
    <t>Um</t>
  </si>
  <si>
    <t>m/s</t>
  </si>
  <si>
    <t>Ut</t>
  </si>
  <si>
    <t>F(x)</t>
  </si>
  <si>
    <t>V</t>
  </si>
  <si>
    <t>As</t>
  </si>
  <si>
    <t>acres</t>
  </si>
  <si>
    <t>g</t>
  </si>
  <si>
    <r>
      <t xml:space="preserve">i </t>
    </r>
    <r>
      <rPr>
        <vertAlign val="subscript"/>
        <sz val="11"/>
        <color theme="1"/>
        <rFont val="Calibri"/>
        <family val="2"/>
        <scheme val="minor"/>
      </rPr>
      <t>s2gw</t>
    </r>
  </si>
  <si>
    <r>
      <t xml:space="preserve">L </t>
    </r>
    <r>
      <rPr>
        <vertAlign val="subscript"/>
        <sz val="11"/>
        <color theme="1"/>
        <rFont val="Calibri"/>
        <family val="2"/>
        <scheme val="minor"/>
      </rPr>
      <t>s2gw</t>
    </r>
  </si>
  <si>
    <r>
      <t>PEF</t>
    </r>
    <r>
      <rPr>
        <sz val="12"/>
        <color theme="1"/>
        <rFont val="Calibri"/>
        <family val="2"/>
        <scheme val="minor"/>
      </rPr>
      <t xml:space="preserve"> </t>
    </r>
    <r>
      <rPr>
        <vertAlign val="subscript"/>
        <sz val="12"/>
        <color theme="1"/>
        <rFont val="Calibri"/>
        <family val="2"/>
        <scheme val="minor"/>
      </rPr>
      <t>wind</t>
    </r>
  </si>
  <si>
    <r>
      <t xml:space="preserve">Q/C </t>
    </r>
    <r>
      <rPr>
        <vertAlign val="subscript"/>
        <sz val="11"/>
        <color theme="1"/>
        <rFont val="Calibri"/>
        <family val="2"/>
        <scheme val="minor"/>
      </rPr>
      <t>wind</t>
    </r>
  </si>
  <si>
    <r>
      <t xml:space="preserve">A </t>
    </r>
    <r>
      <rPr>
        <vertAlign val="subscript"/>
        <sz val="11"/>
        <color theme="1"/>
        <rFont val="Calibri"/>
        <family val="2"/>
        <scheme val="minor"/>
      </rPr>
      <t>wind</t>
    </r>
  </si>
  <si>
    <r>
      <t xml:space="preserve">B </t>
    </r>
    <r>
      <rPr>
        <vertAlign val="subscript"/>
        <sz val="11"/>
        <color theme="1"/>
        <rFont val="Calibri"/>
        <family val="2"/>
        <scheme val="minor"/>
      </rPr>
      <t>wind</t>
    </r>
  </si>
  <si>
    <r>
      <t xml:space="preserve">C </t>
    </r>
    <r>
      <rPr>
        <vertAlign val="subscript"/>
        <sz val="11"/>
        <color theme="1"/>
        <rFont val="Calibri"/>
        <family val="2"/>
        <scheme val="minor"/>
      </rPr>
      <t>wind</t>
    </r>
  </si>
  <si>
    <r>
      <t xml:space="preserve">IFA </t>
    </r>
    <r>
      <rPr>
        <vertAlign val="subscript"/>
        <sz val="11"/>
        <color theme="1"/>
        <rFont val="Calibri"/>
        <family val="2"/>
        <scheme val="minor"/>
      </rPr>
      <t>res-adj</t>
    </r>
  </si>
  <si>
    <r>
      <t xml:space="preserve">IFW </t>
    </r>
    <r>
      <rPr>
        <vertAlign val="subscript"/>
        <sz val="11"/>
        <color theme="1"/>
        <rFont val="Calibri"/>
        <family val="2"/>
        <scheme val="minor"/>
      </rPr>
      <t>res-adj</t>
    </r>
  </si>
  <si>
    <r>
      <t xml:space="preserve">IFS </t>
    </r>
    <r>
      <rPr>
        <vertAlign val="subscript"/>
        <sz val="11"/>
        <color theme="1"/>
        <rFont val="Calibri"/>
        <family val="2"/>
        <scheme val="minor"/>
      </rPr>
      <t>res-adj</t>
    </r>
  </si>
  <si>
    <r>
      <t xml:space="preserve">IFA </t>
    </r>
    <r>
      <rPr>
        <vertAlign val="subscript"/>
        <sz val="11"/>
        <color theme="1"/>
        <rFont val="Calibri"/>
        <family val="2"/>
        <scheme val="minor"/>
      </rPr>
      <t>rec-adj</t>
    </r>
  </si>
  <si>
    <r>
      <t xml:space="preserve">IFS </t>
    </r>
    <r>
      <rPr>
        <vertAlign val="subscript"/>
        <sz val="11"/>
        <color theme="1"/>
        <rFont val="Calibri"/>
        <family val="2"/>
        <scheme val="minor"/>
      </rPr>
      <t>rec-adj</t>
    </r>
  </si>
  <si>
    <r>
      <t xml:space="preserve">IFW </t>
    </r>
    <r>
      <rPr>
        <vertAlign val="subscript"/>
        <sz val="11"/>
        <color theme="1"/>
        <rFont val="Calibri"/>
        <family val="2"/>
        <scheme val="minor"/>
      </rPr>
      <t>rec-adj</t>
    </r>
  </si>
  <si>
    <r>
      <t xml:space="preserve">IFA </t>
    </r>
    <r>
      <rPr>
        <vertAlign val="subscript"/>
        <sz val="11"/>
        <color theme="1"/>
        <rFont val="Calibri"/>
        <family val="2"/>
        <scheme val="minor"/>
      </rPr>
      <t>far-adj</t>
    </r>
  </si>
  <si>
    <r>
      <t xml:space="preserve">IFS </t>
    </r>
    <r>
      <rPr>
        <vertAlign val="subscript"/>
        <sz val="11"/>
        <color theme="1"/>
        <rFont val="Calibri"/>
        <family val="2"/>
        <scheme val="minor"/>
      </rPr>
      <t>far-adj</t>
    </r>
  </si>
  <si>
    <r>
      <t xml:space="preserve">IFW </t>
    </r>
    <r>
      <rPr>
        <vertAlign val="subscript"/>
        <sz val="11"/>
        <color theme="1"/>
        <rFont val="Calibri"/>
        <family val="2"/>
        <scheme val="minor"/>
      </rPr>
      <t>far-adj</t>
    </r>
  </si>
  <si>
    <r>
      <t xml:space="preserve">IFD </t>
    </r>
    <r>
      <rPr>
        <vertAlign val="subscript"/>
        <sz val="11"/>
        <color theme="1"/>
        <rFont val="Calibri"/>
        <family val="2"/>
        <scheme val="minor"/>
      </rPr>
      <t>far-adj</t>
    </r>
  </si>
  <si>
    <r>
      <t xml:space="preserve">IFB </t>
    </r>
    <r>
      <rPr>
        <vertAlign val="subscript"/>
        <sz val="11"/>
        <color theme="1"/>
        <rFont val="Calibri"/>
        <family val="2"/>
        <scheme val="minor"/>
      </rPr>
      <t>far-adj</t>
    </r>
  </si>
  <si>
    <r>
      <t xml:space="preserve">IFE </t>
    </r>
    <r>
      <rPr>
        <vertAlign val="subscript"/>
        <sz val="11"/>
        <color theme="1"/>
        <rFont val="Calibri"/>
        <family val="2"/>
        <scheme val="minor"/>
      </rPr>
      <t>far-adj</t>
    </r>
  </si>
  <si>
    <r>
      <t xml:space="preserve">IFFI </t>
    </r>
    <r>
      <rPr>
        <vertAlign val="subscript"/>
        <sz val="11"/>
        <color theme="1"/>
        <rFont val="Calibri"/>
        <family val="2"/>
        <scheme val="minor"/>
      </rPr>
      <t>far-adj</t>
    </r>
  </si>
  <si>
    <r>
      <t xml:space="preserve">IFP </t>
    </r>
    <r>
      <rPr>
        <vertAlign val="subscript"/>
        <sz val="11"/>
        <color theme="1"/>
        <rFont val="Calibri"/>
        <family val="2"/>
        <scheme val="minor"/>
      </rPr>
      <t>far-adj</t>
    </r>
  </si>
  <si>
    <r>
      <t xml:space="preserve">IFSW </t>
    </r>
    <r>
      <rPr>
        <vertAlign val="subscript"/>
        <sz val="11"/>
        <color theme="1"/>
        <rFont val="Calibri"/>
        <family val="2"/>
        <scheme val="minor"/>
      </rPr>
      <t>far-adj</t>
    </r>
  </si>
  <si>
    <t>m^3</t>
  </si>
  <si>
    <t>mg</t>
  </si>
  <si>
    <t>L</t>
  </si>
  <si>
    <r>
      <t xml:space="preserve">l </t>
    </r>
    <r>
      <rPr>
        <vertAlign val="subscript"/>
        <sz val="11"/>
        <color theme="1"/>
        <rFont val="Calibri"/>
        <family val="2"/>
        <scheme val="minor"/>
      </rPr>
      <t>s2gw</t>
    </r>
  </si>
  <si>
    <t>s_K</t>
  </si>
  <si>
    <r>
      <t xml:space="preserve">s_GSF </t>
    </r>
    <r>
      <rPr>
        <vertAlign val="subscript"/>
        <sz val="11"/>
        <color theme="1"/>
        <rFont val="Calibri"/>
        <family val="2"/>
        <scheme val="minor"/>
      </rPr>
      <t>a</t>
    </r>
  </si>
  <si>
    <r>
      <t xml:space="preserve">s_GSF </t>
    </r>
    <r>
      <rPr>
        <vertAlign val="subscript"/>
        <sz val="11"/>
        <color theme="1"/>
        <rFont val="Calibri"/>
        <family val="2"/>
        <scheme val="minor"/>
      </rPr>
      <t>i</t>
    </r>
  </si>
  <si>
    <t>s_lambda HL</t>
  </si>
  <si>
    <t>s_Ir</t>
  </si>
  <si>
    <t>s_F</t>
  </si>
  <si>
    <r>
      <t xml:space="preserve">s_t </t>
    </r>
    <r>
      <rPr>
        <vertAlign val="subscript"/>
        <sz val="11"/>
        <rFont val="Calibri"/>
        <family val="2"/>
        <scheme val="minor"/>
      </rPr>
      <t>b</t>
    </r>
  </si>
  <si>
    <t>s_P</t>
  </si>
  <si>
    <r>
      <t xml:space="preserve">s_I </t>
    </r>
    <r>
      <rPr>
        <vertAlign val="subscript"/>
        <sz val="11"/>
        <rFont val="Calibri"/>
        <family val="2"/>
        <scheme val="minor"/>
      </rPr>
      <t>f</t>
    </r>
  </si>
  <si>
    <r>
      <t xml:space="preserve">s_t </t>
    </r>
    <r>
      <rPr>
        <vertAlign val="subscript"/>
        <sz val="11"/>
        <rFont val="Calibri"/>
        <family val="2"/>
        <scheme val="minor"/>
      </rPr>
      <t>v</t>
    </r>
  </si>
  <si>
    <r>
      <t xml:space="preserve">s_Y </t>
    </r>
    <r>
      <rPr>
        <vertAlign val="subscript"/>
        <sz val="11"/>
        <rFont val="Calibri"/>
        <family val="2"/>
        <scheme val="minor"/>
      </rPr>
      <t>v</t>
    </r>
  </si>
  <si>
    <t>s_T</t>
  </si>
  <si>
    <r>
      <t xml:space="preserve">s_t </t>
    </r>
    <r>
      <rPr>
        <vertAlign val="subscript"/>
        <sz val="11"/>
        <rFont val="Calibri"/>
        <family val="2"/>
        <scheme val="minor"/>
      </rPr>
      <t>w</t>
    </r>
  </si>
  <si>
    <t xml:space="preserve">s_ρb </t>
  </si>
  <si>
    <r>
      <t>s_θ</t>
    </r>
    <r>
      <rPr>
        <vertAlign val="subscript"/>
        <sz val="11"/>
        <color theme="1"/>
        <rFont val="Calibri"/>
        <family val="2"/>
        <scheme val="minor"/>
      </rPr>
      <t>w</t>
    </r>
  </si>
  <si>
    <r>
      <t xml:space="preserve">s_ED </t>
    </r>
    <r>
      <rPr>
        <vertAlign val="subscript"/>
        <sz val="11"/>
        <color theme="1"/>
        <rFont val="Calibri"/>
        <family val="2"/>
        <scheme val="minor"/>
      </rPr>
      <t>s2gw</t>
    </r>
  </si>
  <si>
    <r>
      <t xml:space="preserve">s_K </t>
    </r>
    <r>
      <rPr>
        <vertAlign val="subscript"/>
        <sz val="11"/>
        <color theme="1"/>
        <rFont val="Calibri"/>
        <family val="2"/>
        <scheme val="minor"/>
      </rPr>
      <t>s2gw</t>
    </r>
  </si>
  <si>
    <r>
      <t xml:space="preserve">s_i </t>
    </r>
    <r>
      <rPr>
        <vertAlign val="subscript"/>
        <sz val="11"/>
        <color theme="1"/>
        <rFont val="Calibri"/>
        <family val="2"/>
        <scheme val="minor"/>
      </rPr>
      <t>s2gw</t>
    </r>
  </si>
  <si>
    <r>
      <t>s_d</t>
    </r>
    <r>
      <rPr>
        <vertAlign val="subscript"/>
        <sz val="11"/>
        <color theme="1"/>
        <rFont val="Calibri"/>
        <family val="2"/>
        <scheme val="minor"/>
      </rPr>
      <t xml:space="preserve"> a</t>
    </r>
  </si>
  <si>
    <r>
      <t>s_d</t>
    </r>
    <r>
      <rPr>
        <vertAlign val="subscript"/>
        <sz val="11"/>
        <color theme="1"/>
        <rFont val="Calibri"/>
        <family val="2"/>
        <scheme val="minor"/>
      </rPr>
      <t xml:space="preserve"> s</t>
    </r>
  </si>
  <si>
    <r>
      <t>s_PEF</t>
    </r>
    <r>
      <rPr>
        <sz val="12"/>
        <color theme="1"/>
        <rFont val="Calibri"/>
        <family val="2"/>
        <scheme val="minor"/>
      </rPr>
      <t xml:space="preserve"> </t>
    </r>
    <r>
      <rPr>
        <vertAlign val="subscript"/>
        <sz val="12"/>
        <color theme="1"/>
        <rFont val="Calibri"/>
        <family val="2"/>
        <scheme val="minor"/>
      </rPr>
      <t>wind</t>
    </r>
  </si>
  <si>
    <t>s_Um</t>
  </si>
  <si>
    <t>s_Ut</t>
  </si>
  <si>
    <t>s_F(x)</t>
  </si>
  <si>
    <t>s_V</t>
  </si>
  <si>
    <r>
      <t xml:space="preserve">s_Q/C </t>
    </r>
    <r>
      <rPr>
        <vertAlign val="subscript"/>
        <sz val="11"/>
        <color theme="1"/>
        <rFont val="Calibri"/>
        <family val="2"/>
        <scheme val="minor"/>
      </rPr>
      <t>wind</t>
    </r>
  </si>
  <si>
    <t>s_As</t>
  </si>
  <si>
    <r>
      <t xml:space="preserve">s_A </t>
    </r>
    <r>
      <rPr>
        <vertAlign val="subscript"/>
        <sz val="11"/>
        <color theme="1"/>
        <rFont val="Calibri"/>
        <family val="2"/>
        <scheme val="minor"/>
      </rPr>
      <t>wind</t>
    </r>
  </si>
  <si>
    <r>
      <t xml:space="preserve">s_B </t>
    </r>
    <r>
      <rPr>
        <vertAlign val="subscript"/>
        <sz val="11"/>
        <color theme="1"/>
        <rFont val="Calibri"/>
        <family val="2"/>
        <scheme val="minor"/>
      </rPr>
      <t>wind</t>
    </r>
  </si>
  <si>
    <r>
      <t xml:space="preserve">s_C </t>
    </r>
    <r>
      <rPr>
        <vertAlign val="subscript"/>
        <sz val="11"/>
        <color theme="1"/>
        <rFont val="Calibri"/>
        <family val="2"/>
        <scheme val="minor"/>
      </rPr>
      <t>wind</t>
    </r>
  </si>
  <si>
    <r>
      <t xml:space="preserve">s_ED </t>
    </r>
    <r>
      <rPr>
        <vertAlign val="subscript"/>
        <sz val="11"/>
        <color theme="1"/>
        <rFont val="Calibri"/>
        <family val="2"/>
        <scheme val="minor"/>
      </rPr>
      <t>res-c</t>
    </r>
  </si>
  <si>
    <r>
      <t xml:space="preserve">s_ED </t>
    </r>
    <r>
      <rPr>
        <vertAlign val="subscript"/>
        <sz val="11"/>
        <color theme="1"/>
        <rFont val="Calibri"/>
        <family val="2"/>
        <scheme val="minor"/>
      </rPr>
      <t>res-a</t>
    </r>
  </si>
  <si>
    <r>
      <t xml:space="preserve">s_ED </t>
    </r>
    <r>
      <rPr>
        <vertAlign val="subscript"/>
        <sz val="11"/>
        <color theme="1"/>
        <rFont val="Calibri"/>
        <family val="2"/>
        <scheme val="minor"/>
      </rPr>
      <t>res</t>
    </r>
  </si>
  <si>
    <r>
      <t xml:space="preserve">s_IRD </t>
    </r>
    <r>
      <rPr>
        <vertAlign val="subscript"/>
        <sz val="11"/>
        <rFont val="Calibri"/>
        <family val="2"/>
        <scheme val="minor"/>
      </rPr>
      <t>far-c</t>
    </r>
  </si>
  <si>
    <r>
      <t xml:space="preserve">s_IRD </t>
    </r>
    <r>
      <rPr>
        <vertAlign val="subscript"/>
        <sz val="11"/>
        <rFont val="Calibri"/>
        <family val="2"/>
        <scheme val="minor"/>
      </rPr>
      <t>far-a</t>
    </r>
  </si>
  <si>
    <r>
      <t xml:space="preserve">s_IFD </t>
    </r>
    <r>
      <rPr>
        <vertAlign val="subscript"/>
        <sz val="11"/>
        <color theme="1"/>
        <rFont val="Calibri"/>
        <family val="2"/>
        <scheme val="minor"/>
      </rPr>
      <t>far-adj</t>
    </r>
  </si>
  <si>
    <r>
      <t xml:space="preserve">s_IRB </t>
    </r>
    <r>
      <rPr>
        <vertAlign val="subscript"/>
        <sz val="11"/>
        <rFont val="Calibri"/>
        <family val="2"/>
        <scheme val="minor"/>
      </rPr>
      <t>far-c</t>
    </r>
  </si>
  <si>
    <r>
      <t xml:space="preserve">s_IRB </t>
    </r>
    <r>
      <rPr>
        <vertAlign val="subscript"/>
        <sz val="11"/>
        <rFont val="Calibri"/>
        <family val="2"/>
        <scheme val="minor"/>
      </rPr>
      <t>far-a</t>
    </r>
  </si>
  <si>
    <r>
      <t xml:space="preserve">s_IFB </t>
    </r>
    <r>
      <rPr>
        <vertAlign val="subscript"/>
        <sz val="11"/>
        <color theme="1"/>
        <rFont val="Calibri"/>
        <family val="2"/>
        <scheme val="minor"/>
      </rPr>
      <t>far-adj</t>
    </r>
  </si>
  <si>
    <r>
      <t xml:space="preserve">s_IRE </t>
    </r>
    <r>
      <rPr>
        <vertAlign val="subscript"/>
        <sz val="11"/>
        <rFont val="Calibri"/>
        <family val="2"/>
        <scheme val="minor"/>
      </rPr>
      <t>far-c</t>
    </r>
  </si>
  <si>
    <r>
      <t xml:space="preserve">s_IRE </t>
    </r>
    <r>
      <rPr>
        <vertAlign val="subscript"/>
        <sz val="11"/>
        <rFont val="Calibri"/>
        <family val="2"/>
        <scheme val="minor"/>
      </rPr>
      <t>far-a</t>
    </r>
  </si>
  <si>
    <r>
      <t xml:space="preserve">s_IFE </t>
    </r>
    <r>
      <rPr>
        <vertAlign val="subscript"/>
        <sz val="11"/>
        <color theme="1"/>
        <rFont val="Calibri"/>
        <family val="2"/>
        <scheme val="minor"/>
      </rPr>
      <t>far-adj</t>
    </r>
  </si>
  <si>
    <r>
      <t xml:space="preserve">s_IRFI </t>
    </r>
    <r>
      <rPr>
        <vertAlign val="subscript"/>
        <sz val="11"/>
        <rFont val="Calibri"/>
        <family val="2"/>
        <scheme val="minor"/>
      </rPr>
      <t>far-c</t>
    </r>
  </si>
  <si>
    <r>
      <t xml:space="preserve">s_IRFI </t>
    </r>
    <r>
      <rPr>
        <vertAlign val="subscript"/>
        <sz val="11"/>
        <rFont val="Calibri"/>
        <family val="2"/>
        <scheme val="minor"/>
      </rPr>
      <t>far-a</t>
    </r>
  </si>
  <si>
    <r>
      <t xml:space="preserve">s_IFFI </t>
    </r>
    <r>
      <rPr>
        <vertAlign val="subscript"/>
        <sz val="11"/>
        <color theme="1"/>
        <rFont val="Calibri"/>
        <family val="2"/>
        <scheme val="minor"/>
      </rPr>
      <t>far-adj</t>
    </r>
  </si>
  <si>
    <r>
      <t xml:space="preserve">s_IRP </t>
    </r>
    <r>
      <rPr>
        <vertAlign val="subscript"/>
        <sz val="11"/>
        <rFont val="Calibri"/>
        <family val="2"/>
        <scheme val="minor"/>
      </rPr>
      <t>far-c</t>
    </r>
  </si>
  <si>
    <r>
      <t xml:space="preserve">s_IRP </t>
    </r>
    <r>
      <rPr>
        <vertAlign val="subscript"/>
        <sz val="11"/>
        <rFont val="Calibri"/>
        <family val="2"/>
        <scheme val="minor"/>
      </rPr>
      <t>far-a</t>
    </r>
  </si>
  <si>
    <r>
      <t xml:space="preserve">s_IFP </t>
    </r>
    <r>
      <rPr>
        <vertAlign val="subscript"/>
        <sz val="11"/>
        <color theme="1"/>
        <rFont val="Calibri"/>
        <family val="2"/>
        <scheme val="minor"/>
      </rPr>
      <t>far-adj</t>
    </r>
  </si>
  <si>
    <r>
      <t xml:space="preserve">s_IRSW </t>
    </r>
    <r>
      <rPr>
        <vertAlign val="subscript"/>
        <sz val="11"/>
        <rFont val="Calibri"/>
        <family val="2"/>
        <scheme val="minor"/>
      </rPr>
      <t>far-c</t>
    </r>
  </si>
  <si>
    <r>
      <t xml:space="preserve">s_IRSW </t>
    </r>
    <r>
      <rPr>
        <vertAlign val="subscript"/>
        <sz val="11"/>
        <rFont val="Calibri"/>
        <family val="2"/>
        <scheme val="minor"/>
      </rPr>
      <t>far-a</t>
    </r>
  </si>
  <si>
    <r>
      <t xml:space="preserve">s_IFSW </t>
    </r>
    <r>
      <rPr>
        <vertAlign val="subscript"/>
        <sz val="11"/>
        <color theme="1"/>
        <rFont val="Calibri"/>
        <family val="2"/>
        <scheme val="minor"/>
      </rPr>
      <t>far-adj</t>
    </r>
  </si>
  <si>
    <r>
      <t xml:space="preserve">s_CF </t>
    </r>
    <r>
      <rPr>
        <vertAlign val="subscript"/>
        <sz val="11"/>
        <rFont val="Calibri"/>
        <family val="2"/>
        <scheme val="minor"/>
      </rPr>
      <t>far-dairy</t>
    </r>
  </si>
  <si>
    <r>
      <t xml:space="preserve">s_CF </t>
    </r>
    <r>
      <rPr>
        <vertAlign val="subscript"/>
        <sz val="11"/>
        <rFont val="Calibri"/>
        <family val="2"/>
        <scheme val="minor"/>
      </rPr>
      <t>far-beef</t>
    </r>
  </si>
  <si>
    <r>
      <t xml:space="preserve">s_CF </t>
    </r>
    <r>
      <rPr>
        <vertAlign val="subscript"/>
        <sz val="11"/>
        <rFont val="Calibri"/>
        <family val="2"/>
        <scheme val="minor"/>
      </rPr>
      <t>far-egg</t>
    </r>
  </si>
  <si>
    <r>
      <t xml:space="preserve">s_CF </t>
    </r>
    <r>
      <rPr>
        <vertAlign val="subscript"/>
        <sz val="11"/>
        <rFont val="Calibri"/>
        <family val="2"/>
        <scheme val="minor"/>
      </rPr>
      <t>far-fish</t>
    </r>
  </si>
  <si>
    <r>
      <t xml:space="preserve">s_CF </t>
    </r>
    <r>
      <rPr>
        <vertAlign val="subscript"/>
        <sz val="11"/>
        <rFont val="Calibri"/>
        <family val="2"/>
        <scheme val="minor"/>
      </rPr>
      <t>far-poultry</t>
    </r>
  </si>
  <si>
    <r>
      <t xml:space="preserve">s_CF </t>
    </r>
    <r>
      <rPr>
        <vertAlign val="subscript"/>
        <sz val="11"/>
        <rFont val="Calibri"/>
        <family val="2"/>
        <scheme val="minor"/>
      </rPr>
      <t>far-swine</t>
    </r>
  </si>
  <si>
    <r>
      <t xml:space="preserve">s_Q </t>
    </r>
    <r>
      <rPr>
        <vertAlign val="subscript"/>
        <sz val="11"/>
        <rFont val="Calibri"/>
        <family val="2"/>
        <scheme val="minor"/>
      </rPr>
      <t>w dairy</t>
    </r>
  </si>
  <si>
    <r>
      <t xml:space="preserve">s_Q </t>
    </r>
    <r>
      <rPr>
        <vertAlign val="subscript"/>
        <sz val="11"/>
        <rFont val="Calibri"/>
        <family val="2"/>
        <scheme val="minor"/>
      </rPr>
      <t>p-dairy</t>
    </r>
  </si>
  <si>
    <r>
      <t xml:space="preserve">s_Q </t>
    </r>
    <r>
      <rPr>
        <vertAlign val="subscript"/>
        <sz val="11"/>
        <rFont val="Calibri"/>
        <family val="2"/>
        <scheme val="minor"/>
      </rPr>
      <t>s-dairy</t>
    </r>
  </si>
  <si>
    <r>
      <t xml:space="preserve">s_f </t>
    </r>
    <r>
      <rPr>
        <vertAlign val="subscript"/>
        <sz val="11"/>
        <rFont val="Calibri"/>
        <family val="2"/>
        <scheme val="minor"/>
      </rPr>
      <t>p-dairy</t>
    </r>
  </si>
  <si>
    <r>
      <t xml:space="preserve">s_f </t>
    </r>
    <r>
      <rPr>
        <vertAlign val="subscript"/>
        <sz val="11"/>
        <rFont val="Calibri"/>
        <family val="2"/>
        <scheme val="minor"/>
      </rPr>
      <t>s-dairy</t>
    </r>
  </si>
  <si>
    <r>
      <t xml:space="preserve">s_Q </t>
    </r>
    <r>
      <rPr>
        <vertAlign val="subscript"/>
        <sz val="11"/>
        <rFont val="Calibri"/>
        <family val="2"/>
        <scheme val="minor"/>
      </rPr>
      <t>w-beef</t>
    </r>
  </si>
  <si>
    <r>
      <t xml:space="preserve">s_Q </t>
    </r>
    <r>
      <rPr>
        <vertAlign val="subscript"/>
        <sz val="11"/>
        <rFont val="Calibri"/>
        <family val="2"/>
        <scheme val="minor"/>
      </rPr>
      <t>p-beef</t>
    </r>
  </si>
  <si>
    <r>
      <t xml:space="preserve">s_Q </t>
    </r>
    <r>
      <rPr>
        <vertAlign val="subscript"/>
        <sz val="11"/>
        <rFont val="Calibri"/>
        <family val="2"/>
        <scheme val="minor"/>
      </rPr>
      <t>s-beef</t>
    </r>
  </si>
  <si>
    <r>
      <t xml:space="preserve">s_f </t>
    </r>
    <r>
      <rPr>
        <vertAlign val="subscript"/>
        <sz val="11"/>
        <rFont val="Calibri"/>
        <family val="2"/>
        <scheme val="minor"/>
      </rPr>
      <t>p-beef</t>
    </r>
  </si>
  <si>
    <r>
      <t xml:space="preserve">s_f </t>
    </r>
    <r>
      <rPr>
        <vertAlign val="subscript"/>
        <sz val="11"/>
        <rFont val="Calibri"/>
        <family val="2"/>
        <scheme val="minor"/>
      </rPr>
      <t>s-beef</t>
    </r>
  </si>
  <si>
    <r>
      <t xml:space="preserve">s_Q </t>
    </r>
    <r>
      <rPr>
        <vertAlign val="subscript"/>
        <sz val="11"/>
        <rFont val="Calibri"/>
        <family val="2"/>
        <scheme val="minor"/>
      </rPr>
      <t>w-egg</t>
    </r>
  </si>
  <si>
    <r>
      <t xml:space="preserve">s_Q </t>
    </r>
    <r>
      <rPr>
        <vertAlign val="subscript"/>
        <sz val="11"/>
        <rFont val="Calibri"/>
        <family val="2"/>
        <scheme val="minor"/>
      </rPr>
      <t>p-egg</t>
    </r>
  </si>
  <si>
    <r>
      <t xml:space="preserve">s_Q </t>
    </r>
    <r>
      <rPr>
        <vertAlign val="subscript"/>
        <sz val="11"/>
        <rFont val="Calibri"/>
        <family val="2"/>
        <scheme val="minor"/>
      </rPr>
      <t>s-egg</t>
    </r>
  </si>
  <si>
    <r>
      <t xml:space="preserve">s_f </t>
    </r>
    <r>
      <rPr>
        <vertAlign val="subscript"/>
        <sz val="11"/>
        <rFont val="Calibri"/>
        <family val="2"/>
        <scheme val="minor"/>
      </rPr>
      <t>p-egg</t>
    </r>
  </si>
  <si>
    <r>
      <t xml:space="preserve">s_f </t>
    </r>
    <r>
      <rPr>
        <vertAlign val="subscript"/>
        <sz val="11"/>
        <rFont val="Calibri"/>
        <family val="2"/>
        <scheme val="minor"/>
      </rPr>
      <t>s-egg</t>
    </r>
  </si>
  <si>
    <r>
      <t xml:space="preserve">s_Q </t>
    </r>
    <r>
      <rPr>
        <vertAlign val="subscript"/>
        <sz val="11"/>
        <rFont val="Calibri"/>
        <family val="2"/>
        <scheme val="minor"/>
      </rPr>
      <t>w-poultry</t>
    </r>
  </si>
  <si>
    <r>
      <t xml:space="preserve">s_Q </t>
    </r>
    <r>
      <rPr>
        <vertAlign val="subscript"/>
        <sz val="11"/>
        <rFont val="Calibri"/>
        <family val="2"/>
        <scheme val="minor"/>
      </rPr>
      <t>p-poultry</t>
    </r>
  </si>
  <si>
    <r>
      <t xml:space="preserve">s_Q </t>
    </r>
    <r>
      <rPr>
        <vertAlign val="subscript"/>
        <sz val="11"/>
        <rFont val="Calibri"/>
        <family val="2"/>
        <scheme val="minor"/>
      </rPr>
      <t>s-poultry</t>
    </r>
  </si>
  <si>
    <r>
      <t xml:space="preserve">s_f </t>
    </r>
    <r>
      <rPr>
        <vertAlign val="subscript"/>
        <sz val="11"/>
        <rFont val="Calibri"/>
        <family val="2"/>
        <scheme val="minor"/>
      </rPr>
      <t>p-poultry</t>
    </r>
  </si>
  <si>
    <r>
      <t xml:space="preserve">s_f </t>
    </r>
    <r>
      <rPr>
        <vertAlign val="subscript"/>
        <sz val="11"/>
        <rFont val="Calibri"/>
        <family val="2"/>
        <scheme val="minor"/>
      </rPr>
      <t>s-poultry</t>
    </r>
  </si>
  <si>
    <r>
      <t xml:space="preserve">s_Q </t>
    </r>
    <r>
      <rPr>
        <vertAlign val="subscript"/>
        <sz val="11"/>
        <rFont val="Calibri"/>
        <family val="2"/>
        <scheme val="minor"/>
      </rPr>
      <t>w-swine</t>
    </r>
  </si>
  <si>
    <r>
      <t xml:space="preserve">s_Q </t>
    </r>
    <r>
      <rPr>
        <vertAlign val="subscript"/>
        <sz val="11"/>
        <rFont val="Calibri"/>
        <family val="2"/>
        <scheme val="minor"/>
      </rPr>
      <t>p-swine</t>
    </r>
  </si>
  <si>
    <r>
      <t xml:space="preserve">s_Q </t>
    </r>
    <r>
      <rPr>
        <vertAlign val="subscript"/>
        <sz val="11"/>
        <rFont val="Calibri"/>
        <family val="2"/>
        <scheme val="minor"/>
      </rPr>
      <t>s-swine</t>
    </r>
  </si>
  <si>
    <r>
      <t xml:space="preserve">s_f </t>
    </r>
    <r>
      <rPr>
        <vertAlign val="subscript"/>
        <sz val="11"/>
        <rFont val="Calibri"/>
        <family val="2"/>
        <scheme val="minor"/>
      </rPr>
      <t>p-swine</t>
    </r>
  </si>
  <si>
    <r>
      <t xml:space="preserve">s_f </t>
    </r>
    <r>
      <rPr>
        <vertAlign val="subscript"/>
        <sz val="11"/>
        <rFont val="Calibri"/>
        <family val="2"/>
        <scheme val="minor"/>
      </rPr>
      <t>s-swine</t>
    </r>
  </si>
  <si>
    <t>TR</t>
  </si>
  <si>
    <t>YHALFLIFE</t>
  </si>
  <si>
    <t>WEIGHT</t>
  </si>
  <si>
    <t>MILKBTF</t>
  </si>
  <si>
    <t>BEEFBTF</t>
  </si>
  <si>
    <t>FISHBTF</t>
  </si>
  <si>
    <t>POULTRYBTF</t>
  </si>
  <si>
    <t>EGGBTF</t>
  </si>
  <si>
    <t>SWINEBTF</t>
  </si>
  <si>
    <t>BVWET</t>
  </si>
  <si>
    <t>BVDRY</t>
  </si>
  <si>
    <t>GIABSFCT</t>
  </si>
  <si>
    <t>LAMBDA</t>
  </si>
  <si>
    <t>s_TR</t>
  </si>
  <si>
    <t>Test Rad</t>
  </si>
  <si>
    <t>Y</t>
  </si>
  <si>
    <r>
      <t xml:space="preserve">MLF </t>
    </r>
    <r>
      <rPr>
        <vertAlign val="subscript"/>
        <sz val="11"/>
        <rFont val="Calibri"/>
        <family val="2"/>
        <scheme val="minor"/>
      </rPr>
      <t>pasture</t>
    </r>
  </si>
  <si>
    <r>
      <t xml:space="preserve">s_MLF </t>
    </r>
    <r>
      <rPr>
        <vertAlign val="subscript"/>
        <sz val="11"/>
        <rFont val="Calibri"/>
        <family val="2"/>
        <scheme val="minor"/>
      </rPr>
      <t>pasture</t>
    </r>
  </si>
  <si>
    <t>MCL</t>
  </si>
  <si>
    <t>MASS</t>
  </si>
  <si>
    <t>hours</t>
  </si>
  <si>
    <r>
      <t xml:space="preserve">DFA </t>
    </r>
    <r>
      <rPr>
        <vertAlign val="subscript"/>
        <sz val="11"/>
        <color theme="1"/>
        <rFont val="Calibri"/>
        <family val="2"/>
        <scheme val="minor"/>
      </rPr>
      <t>res-adj</t>
    </r>
  </si>
  <si>
    <t>lambda i</t>
  </si>
  <si>
    <t>lambda E</t>
  </si>
  <si>
    <t>lambda B</t>
  </si>
  <si>
    <t>DHALFLIFE</t>
  </si>
  <si>
    <t>Volatile</t>
  </si>
  <si>
    <t>GSFiGP</t>
  </si>
  <si>
    <t>GSFiSV</t>
  </si>
  <si>
    <t>GSFiSV1</t>
  </si>
  <si>
    <t>GSFiSV5</t>
  </si>
  <si>
    <t>GSFiSV15</t>
  </si>
  <si>
    <r>
      <t xml:space="preserve">DFA </t>
    </r>
    <r>
      <rPr>
        <vertAlign val="subscript"/>
        <sz val="11"/>
        <color theme="1"/>
        <rFont val="Calibri"/>
        <family val="2"/>
        <scheme val="minor"/>
      </rPr>
      <t>rec-adj</t>
    </r>
  </si>
  <si>
    <r>
      <t xml:space="preserve">CF </t>
    </r>
    <r>
      <rPr>
        <vertAlign val="subscript"/>
        <sz val="11"/>
        <rFont val="Calibri"/>
        <family val="2"/>
        <scheme val="minor"/>
      </rPr>
      <t>fowl</t>
    </r>
  </si>
  <si>
    <r>
      <t xml:space="preserve">CF </t>
    </r>
    <r>
      <rPr>
        <vertAlign val="subscript"/>
        <sz val="11"/>
        <rFont val="Calibri"/>
        <family val="2"/>
        <scheme val="minor"/>
      </rPr>
      <t>game</t>
    </r>
  </si>
  <si>
    <r>
      <t>IRGL</t>
    </r>
    <r>
      <rPr>
        <vertAlign val="subscript"/>
        <sz val="11"/>
        <color theme="1"/>
        <rFont val="Calibri"/>
        <family val="2"/>
        <scheme val="minor"/>
      </rPr>
      <t xml:space="preserve"> rec</t>
    </r>
  </si>
  <si>
    <r>
      <t xml:space="preserve">IRGF </t>
    </r>
    <r>
      <rPr>
        <vertAlign val="subscript"/>
        <sz val="11"/>
        <color theme="1"/>
        <rFont val="Calibri"/>
        <family val="2"/>
        <scheme val="minor"/>
      </rPr>
      <t>rec</t>
    </r>
  </si>
  <si>
    <t>Rupp</t>
  </si>
  <si>
    <r>
      <t xml:space="preserve">R </t>
    </r>
    <r>
      <rPr>
        <vertAlign val="subscript"/>
        <sz val="11"/>
        <rFont val="Calibri"/>
        <family val="2"/>
        <scheme val="minor"/>
      </rPr>
      <t>es-past</t>
    </r>
  </si>
  <si>
    <r>
      <t xml:space="preserve">s_R </t>
    </r>
    <r>
      <rPr>
        <vertAlign val="subscript"/>
        <sz val="11"/>
        <rFont val="Calibri"/>
        <family val="2"/>
        <scheme val="minor"/>
      </rPr>
      <t>es-past</t>
    </r>
  </si>
  <si>
    <t>Ruvp</t>
  </si>
  <si>
    <r>
      <t xml:space="preserve">EF </t>
    </r>
    <r>
      <rPr>
        <vertAlign val="subscript"/>
        <sz val="11"/>
        <color theme="1"/>
        <rFont val="Calibri"/>
        <family val="2"/>
        <scheme val="minor"/>
      </rPr>
      <t>far</t>
    </r>
  </si>
  <si>
    <r>
      <t xml:space="preserve">D </t>
    </r>
    <r>
      <rPr>
        <vertAlign val="subscript"/>
        <sz val="11"/>
        <rFont val="Calibri"/>
        <family val="2"/>
        <scheme val="minor"/>
      </rPr>
      <t>milk</t>
    </r>
  </si>
  <si>
    <r>
      <t xml:space="preserve">DFA </t>
    </r>
    <r>
      <rPr>
        <vertAlign val="subscript"/>
        <sz val="11"/>
        <color theme="1"/>
        <rFont val="Calibri"/>
        <family val="2"/>
        <scheme val="minor"/>
      </rPr>
      <t>far-adj</t>
    </r>
  </si>
  <si>
    <t>*These are for running contruction worker and recreator with defaults only.</t>
  </si>
  <si>
    <t>DAF</t>
  </si>
  <si>
    <t>dm</t>
  </si>
  <si>
    <t>s_dm</t>
  </si>
  <si>
    <t>Farmer General</t>
  </si>
  <si>
    <r>
      <t>IRAP</t>
    </r>
    <r>
      <rPr>
        <vertAlign val="subscript"/>
        <sz val="11"/>
        <color theme="1"/>
        <rFont val="Calibri"/>
        <family val="2"/>
        <scheme val="minor"/>
      </rPr>
      <t xml:space="preserve"> far-c</t>
    </r>
  </si>
  <si>
    <r>
      <t xml:space="preserve">IRAP </t>
    </r>
    <r>
      <rPr>
        <vertAlign val="subscript"/>
        <sz val="11"/>
        <color theme="1"/>
        <rFont val="Calibri"/>
        <family val="2"/>
        <scheme val="minor"/>
      </rPr>
      <t>far-a</t>
    </r>
  </si>
  <si>
    <r>
      <t xml:space="preserve">IFAP </t>
    </r>
    <r>
      <rPr>
        <vertAlign val="subscript"/>
        <sz val="11"/>
        <color theme="1"/>
        <rFont val="Calibri"/>
        <family val="2"/>
        <scheme val="minor"/>
      </rPr>
      <t>far-adj</t>
    </r>
  </si>
  <si>
    <r>
      <t>IRAS</t>
    </r>
    <r>
      <rPr>
        <vertAlign val="subscript"/>
        <sz val="11"/>
        <color theme="1"/>
        <rFont val="Calibri"/>
        <family val="2"/>
        <scheme val="minor"/>
      </rPr>
      <t xml:space="preserve"> far-c</t>
    </r>
  </si>
  <si>
    <r>
      <t xml:space="preserve">IRAS </t>
    </r>
    <r>
      <rPr>
        <vertAlign val="subscript"/>
        <sz val="11"/>
        <color theme="1"/>
        <rFont val="Calibri"/>
        <family val="2"/>
        <scheme val="minor"/>
      </rPr>
      <t>far-a</t>
    </r>
  </si>
  <si>
    <r>
      <t xml:space="preserve">IFAS </t>
    </r>
    <r>
      <rPr>
        <vertAlign val="subscript"/>
        <sz val="11"/>
        <color theme="1"/>
        <rFont val="Calibri"/>
        <family val="2"/>
        <scheme val="minor"/>
      </rPr>
      <t>far-adj</t>
    </r>
  </si>
  <si>
    <r>
      <t>IRBT</t>
    </r>
    <r>
      <rPr>
        <vertAlign val="subscript"/>
        <sz val="11"/>
        <color theme="1"/>
        <rFont val="Calibri"/>
        <family val="2"/>
        <scheme val="minor"/>
      </rPr>
      <t xml:space="preserve"> far-c</t>
    </r>
  </si>
  <si>
    <r>
      <t xml:space="preserve">IRBT </t>
    </r>
    <r>
      <rPr>
        <vertAlign val="subscript"/>
        <sz val="11"/>
        <color theme="1"/>
        <rFont val="Calibri"/>
        <family val="2"/>
        <scheme val="minor"/>
      </rPr>
      <t>far-a</t>
    </r>
  </si>
  <si>
    <r>
      <t xml:space="preserve">IFBT </t>
    </r>
    <r>
      <rPr>
        <vertAlign val="subscript"/>
        <sz val="11"/>
        <color theme="1"/>
        <rFont val="Calibri"/>
        <family val="2"/>
        <scheme val="minor"/>
      </rPr>
      <t>far-adj</t>
    </r>
  </si>
  <si>
    <r>
      <t>IRBE</t>
    </r>
    <r>
      <rPr>
        <vertAlign val="subscript"/>
        <sz val="11"/>
        <color theme="1"/>
        <rFont val="Calibri"/>
        <family val="2"/>
        <scheme val="minor"/>
      </rPr>
      <t xml:space="preserve"> far-c</t>
    </r>
  </si>
  <si>
    <r>
      <t xml:space="preserve">IRBE </t>
    </r>
    <r>
      <rPr>
        <vertAlign val="subscript"/>
        <sz val="11"/>
        <color theme="1"/>
        <rFont val="Calibri"/>
        <family val="2"/>
        <scheme val="minor"/>
      </rPr>
      <t>far-a</t>
    </r>
  </si>
  <si>
    <r>
      <t xml:space="preserve">IFBE </t>
    </r>
    <r>
      <rPr>
        <vertAlign val="subscript"/>
        <sz val="11"/>
        <color theme="1"/>
        <rFont val="Calibri"/>
        <family val="2"/>
        <scheme val="minor"/>
      </rPr>
      <t>far-adj</t>
    </r>
  </si>
  <si>
    <r>
      <t>IRBR</t>
    </r>
    <r>
      <rPr>
        <vertAlign val="subscript"/>
        <sz val="11"/>
        <color theme="1"/>
        <rFont val="Calibri"/>
        <family val="2"/>
        <scheme val="minor"/>
      </rPr>
      <t xml:space="preserve"> far-c</t>
    </r>
  </si>
  <si>
    <r>
      <t xml:space="preserve">IRBR </t>
    </r>
    <r>
      <rPr>
        <vertAlign val="subscript"/>
        <sz val="11"/>
        <color theme="1"/>
        <rFont val="Calibri"/>
        <family val="2"/>
        <scheme val="minor"/>
      </rPr>
      <t>far-a</t>
    </r>
  </si>
  <si>
    <r>
      <t xml:space="preserve">IFBR </t>
    </r>
    <r>
      <rPr>
        <vertAlign val="subscript"/>
        <sz val="11"/>
        <color theme="1"/>
        <rFont val="Calibri"/>
        <family val="2"/>
        <scheme val="minor"/>
      </rPr>
      <t>far-adj</t>
    </r>
  </si>
  <si>
    <r>
      <t>IRCB</t>
    </r>
    <r>
      <rPr>
        <vertAlign val="subscript"/>
        <sz val="11"/>
        <color theme="1"/>
        <rFont val="Calibri"/>
        <family val="2"/>
        <scheme val="minor"/>
      </rPr>
      <t xml:space="preserve"> far-c</t>
    </r>
  </si>
  <si>
    <r>
      <t xml:space="preserve">IRCB </t>
    </r>
    <r>
      <rPr>
        <vertAlign val="subscript"/>
        <sz val="11"/>
        <color theme="1"/>
        <rFont val="Calibri"/>
        <family val="2"/>
        <scheme val="minor"/>
      </rPr>
      <t>far-a</t>
    </r>
  </si>
  <si>
    <r>
      <t xml:space="preserve">IFCB </t>
    </r>
    <r>
      <rPr>
        <vertAlign val="subscript"/>
        <sz val="11"/>
        <color theme="1"/>
        <rFont val="Calibri"/>
        <family val="2"/>
        <scheme val="minor"/>
      </rPr>
      <t>far-adj</t>
    </r>
  </si>
  <si>
    <r>
      <t>IRCR</t>
    </r>
    <r>
      <rPr>
        <vertAlign val="subscript"/>
        <sz val="11"/>
        <color theme="1"/>
        <rFont val="Calibri"/>
        <family val="2"/>
        <scheme val="minor"/>
      </rPr>
      <t xml:space="preserve"> far-c</t>
    </r>
  </si>
  <si>
    <r>
      <t xml:space="preserve">IRCR </t>
    </r>
    <r>
      <rPr>
        <vertAlign val="subscript"/>
        <sz val="11"/>
        <color theme="1"/>
        <rFont val="Calibri"/>
        <family val="2"/>
        <scheme val="minor"/>
      </rPr>
      <t>far-a</t>
    </r>
  </si>
  <si>
    <r>
      <t xml:space="preserve">IFCR </t>
    </r>
    <r>
      <rPr>
        <vertAlign val="subscript"/>
        <sz val="11"/>
        <color theme="1"/>
        <rFont val="Calibri"/>
        <family val="2"/>
        <scheme val="minor"/>
      </rPr>
      <t>far-adj</t>
    </r>
  </si>
  <si>
    <r>
      <t>IRCG</t>
    </r>
    <r>
      <rPr>
        <vertAlign val="subscript"/>
        <sz val="11"/>
        <color theme="1"/>
        <rFont val="Calibri"/>
        <family val="2"/>
        <scheme val="minor"/>
      </rPr>
      <t xml:space="preserve"> far-c</t>
    </r>
  </si>
  <si>
    <r>
      <t xml:space="preserve">IRCG </t>
    </r>
    <r>
      <rPr>
        <vertAlign val="subscript"/>
        <sz val="11"/>
        <color theme="1"/>
        <rFont val="Calibri"/>
        <family val="2"/>
        <scheme val="minor"/>
      </rPr>
      <t>far-a</t>
    </r>
  </si>
  <si>
    <r>
      <t xml:space="preserve">IFCG </t>
    </r>
    <r>
      <rPr>
        <vertAlign val="subscript"/>
        <sz val="11"/>
        <color theme="1"/>
        <rFont val="Calibri"/>
        <family val="2"/>
        <scheme val="minor"/>
      </rPr>
      <t>far-adj</t>
    </r>
  </si>
  <si>
    <r>
      <t>IRCI</t>
    </r>
    <r>
      <rPr>
        <vertAlign val="subscript"/>
        <sz val="11"/>
        <color theme="1"/>
        <rFont val="Calibri"/>
        <family val="2"/>
        <scheme val="minor"/>
      </rPr>
      <t xml:space="preserve"> far-c</t>
    </r>
  </si>
  <si>
    <r>
      <t xml:space="preserve">IRCI </t>
    </r>
    <r>
      <rPr>
        <vertAlign val="subscript"/>
        <sz val="11"/>
        <color theme="1"/>
        <rFont val="Calibri"/>
        <family val="2"/>
        <scheme val="minor"/>
      </rPr>
      <t>far-a</t>
    </r>
  </si>
  <si>
    <r>
      <t xml:space="preserve">IFCI </t>
    </r>
    <r>
      <rPr>
        <vertAlign val="subscript"/>
        <sz val="11"/>
        <color theme="1"/>
        <rFont val="Calibri"/>
        <family val="2"/>
        <scheme val="minor"/>
      </rPr>
      <t>far-adj</t>
    </r>
  </si>
  <si>
    <r>
      <t>IRCO</t>
    </r>
    <r>
      <rPr>
        <vertAlign val="subscript"/>
        <sz val="11"/>
        <color theme="1"/>
        <rFont val="Calibri"/>
        <family val="2"/>
        <scheme val="minor"/>
      </rPr>
      <t xml:space="preserve"> far-c</t>
    </r>
  </si>
  <si>
    <r>
      <t xml:space="preserve">IRCO </t>
    </r>
    <r>
      <rPr>
        <vertAlign val="subscript"/>
        <sz val="11"/>
        <color theme="1"/>
        <rFont val="Calibri"/>
        <family val="2"/>
        <scheme val="minor"/>
      </rPr>
      <t>far-a</t>
    </r>
  </si>
  <si>
    <r>
      <t xml:space="preserve">IFCO </t>
    </r>
    <r>
      <rPr>
        <vertAlign val="subscript"/>
        <sz val="11"/>
        <color theme="1"/>
        <rFont val="Calibri"/>
        <family val="2"/>
        <scheme val="minor"/>
      </rPr>
      <t>far-adj</t>
    </r>
  </si>
  <si>
    <r>
      <t>IRCU</t>
    </r>
    <r>
      <rPr>
        <vertAlign val="subscript"/>
        <sz val="11"/>
        <color theme="1"/>
        <rFont val="Calibri"/>
        <family val="2"/>
        <scheme val="minor"/>
      </rPr>
      <t xml:space="preserve"> far-c</t>
    </r>
  </si>
  <si>
    <r>
      <t xml:space="preserve">IRCU </t>
    </r>
    <r>
      <rPr>
        <vertAlign val="subscript"/>
        <sz val="11"/>
        <color theme="1"/>
        <rFont val="Calibri"/>
        <family val="2"/>
        <scheme val="minor"/>
      </rPr>
      <t>far-a</t>
    </r>
  </si>
  <si>
    <r>
      <t xml:space="preserve">IFCU </t>
    </r>
    <r>
      <rPr>
        <vertAlign val="subscript"/>
        <sz val="11"/>
        <color theme="1"/>
        <rFont val="Calibri"/>
        <family val="2"/>
        <scheme val="minor"/>
      </rPr>
      <t>far-adj</t>
    </r>
  </si>
  <si>
    <r>
      <t>IRLE</t>
    </r>
    <r>
      <rPr>
        <vertAlign val="subscript"/>
        <sz val="11"/>
        <color theme="1"/>
        <rFont val="Calibri"/>
        <family val="2"/>
        <scheme val="minor"/>
      </rPr>
      <t xml:space="preserve"> far-c</t>
    </r>
  </si>
  <si>
    <r>
      <t xml:space="preserve">IRLE </t>
    </r>
    <r>
      <rPr>
        <vertAlign val="subscript"/>
        <sz val="11"/>
        <color theme="1"/>
        <rFont val="Calibri"/>
        <family val="2"/>
        <scheme val="minor"/>
      </rPr>
      <t>far-a</t>
    </r>
  </si>
  <si>
    <r>
      <t xml:space="preserve">IFLE </t>
    </r>
    <r>
      <rPr>
        <vertAlign val="subscript"/>
        <sz val="11"/>
        <color theme="1"/>
        <rFont val="Calibri"/>
        <family val="2"/>
        <scheme val="minor"/>
      </rPr>
      <t>far-adj</t>
    </r>
  </si>
  <si>
    <r>
      <t>IRLI</t>
    </r>
    <r>
      <rPr>
        <vertAlign val="subscript"/>
        <sz val="11"/>
        <color theme="1"/>
        <rFont val="Calibri"/>
        <family val="2"/>
        <scheme val="minor"/>
      </rPr>
      <t xml:space="preserve"> far-c</t>
    </r>
  </si>
  <si>
    <r>
      <t xml:space="preserve">IRLI </t>
    </r>
    <r>
      <rPr>
        <vertAlign val="subscript"/>
        <sz val="11"/>
        <color theme="1"/>
        <rFont val="Calibri"/>
        <family val="2"/>
        <scheme val="minor"/>
      </rPr>
      <t>far-a</t>
    </r>
  </si>
  <si>
    <r>
      <t xml:space="preserve">IFLI </t>
    </r>
    <r>
      <rPr>
        <vertAlign val="subscript"/>
        <sz val="11"/>
        <color theme="1"/>
        <rFont val="Calibri"/>
        <family val="2"/>
        <scheme val="minor"/>
      </rPr>
      <t>far-adj</t>
    </r>
  </si>
  <si>
    <r>
      <t>IROK</t>
    </r>
    <r>
      <rPr>
        <vertAlign val="subscript"/>
        <sz val="11"/>
        <color theme="1"/>
        <rFont val="Calibri"/>
        <family val="2"/>
        <scheme val="minor"/>
      </rPr>
      <t xml:space="preserve"> far-c</t>
    </r>
  </si>
  <si>
    <r>
      <t xml:space="preserve">IROK </t>
    </r>
    <r>
      <rPr>
        <vertAlign val="subscript"/>
        <sz val="11"/>
        <color theme="1"/>
        <rFont val="Calibri"/>
        <family val="2"/>
        <scheme val="minor"/>
      </rPr>
      <t>far-a</t>
    </r>
  </si>
  <si>
    <r>
      <t xml:space="preserve">IFOK </t>
    </r>
    <r>
      <rPr>
        <vertAlign val="subscript"/>
        <sz val="11"/>
        <color theme="1"/>
        <rFont val="Calibri"/>
        <family val="2"/>
        <scheme val="minor"/>
      </rPr>
      <t>far-adj</t>
    </r>
  </si>
  <si>
    <r>
      <t>IRON</t>
    </r>
    <r>
      <rPr>
        <vertAlign val="subscript"/>
        <sz val="11"/>
        <color theme="1"/>
        <rFont val="Calibri"/>
        <family val="2"/>
        <scheme val="minor"/>
      </rPr>
      <t xml:space="preserve"> far-c</t>
    </r>
  </si>
  <si>
    <r>
      <t xml:space="preserve">IRON </t>
    </r>
    <r>
      <rPr>
        <vertAlign val="subscript"/>
        <sz val="11"/>
        <color theme="1"/>
        <rFont val="Calibri"/>
        <family val="2"/>
        <scheme val="minor"/>
      </rPr>
      <t>far-a</t>
    </r>
  </si>
  <si>
    <r>
      <t xml:space="preserve">IFON </t>
    </r>
    <r>
      <rPr>
        <vertAlign val="subscript"/>
        <sz val="11"/>
        <color theme="1"/>
        <rFont val="Calibri"/>
        <family val="2"/>
        <scheme val="minor"/>
      </rPr>
      <t>far-adj</t>
    </r>
  </si>
  <si>
    <r>
      <t>IRPC</t>
    </r>
    <r>
      <rPr>
        <vertAlign val="subscript"/>
        <sz val="11"/>
        <color theme="1"/>
        <rFont val="Calibri"/>
        <family val="2"/>
        <scheme val="minor"/>
      </rPr>
      <t xml:space="preserve"> far-c</t>
    </r>
  </si>
  <si>
    <r>
      <t xml:space="preserve">IRPC </t>
    </r>
    <r>
      <rPr>
        <vertAlign val="subscript"/>
        <sz val="11"/>
        <color theme="1"/>
        <rFont val="Calibri"/>
        <family val="2"/>
        <scheme val="minor"/>
      </rPr>
      <t>far-a</t>
    </r>
  </si>
  <si>
    <r>
      <t xml:space="preserve">IFPC </t>
    </r>
    <r>
      <rPr>
        <vertAlign val="subscript"/>
        <sz val="11"/>
        <color theme="1"/>
        <rFont val="Calibri"/>
        <family val="2"/>
        <scheme val="minor"/>
      </rPr>
      <t>far-adj</t>
    </r>
  </si>
  <si>
    <r>
      <t>IRPE</t>
    </r>
    <r>
      <rPr>
        <vertAlign val="subscript"/>
        <sz val="11"/>
        <color theme="1"/>
        <rFont val="Calibri"/>
        <family val="2"/>
        <scheme val="minor"/>
      </rPr>
      <t xml:space="preserve"> far-c</t>
    </r>
  </si>
  <si>
    <r>
      <t xml:space="preserve">IRPE </t>
    </r>
    <r>
      <rPr>
        <vertAlign val="subscript"/>
        <sz val="11"/>
        <color theme="1"/>
        <rFont val="Calibri"/>
        <family val="2"/>
        <scheme val="minor"/>
      </rPr>
      <t>far-a</t>
    </r>
  </si>
  <si>
    <r>
      <t xml:space="preserve">IFPE </t>
    </r>
    <r>
      <rPr>
        <vertAlign val="subscript"/>
        <sz val="11"/>
        <color theme="1"/>
        <rFont val="Calibri"/>
        <family val="2"/>
        <scheme val="minor"/>
      </rPr>
      <t>far-adj</t>
    </r>
  </si>
  <si>
    <r>
      <t>IRPT</t>
    </r>
    <r>
      <rPr>
        <vertAlign val="subscript"/>
        <sz val="11"/>
        <color theme="1"/>
        <rFont val="Calibri"/>
        <family val="2"/>
        <scheme val="minor"/>
      </rPr>
      <t xml:space="preserve"> far-c</t>
    </r>
  </si>
  <si>
    <r>
      <t xml:space="preserve">IRPT </t>
    </r>
    <r>
      <rPr>
        <vertAlign val="subscript"/>
        <sz val="11"/>
        <color theme="1"/>
        <rFont val="Calibri"/>
        <family val="2"/>
        <scheme val="minor"/>
      </rPr>
      <t>far-a</t>
    </r>
  </si>
  <si>
    <r>
      <t xml:space="preserve">IFPT </t>
    </r>
    <r>
      <rPr>
        <vertAlign val="subscript"/>
        <sz val="11"/>
        <color theme="1"/>
        <rFont val="Calibri"/>
        <family val="2"/>
        <scheme val="minor"/>
      </rPr>
      <t>far-adj</t>
    </r>
  </si>
  <si>
    <r>
      <t>IRPU</t>
    </r>
    <r>
      <rPr>
        <vertAlign val="subscript"/>
        <sz val="11"/>
        <color theme="1"/>
        <rFont val="Calibri"/>
        <family val="2"/>
        <scheme val="minor"/>
      </rPr>
      <t xml:space="preserve"> far-c</t>
    </r>
  </si>
  <si>
    <r>
      <t xml:space="preserve">IRPU </t>
    </r>
    <r>
      <rPr>
        <vertAlign val="subscript"/>
        <sz val="11"/>
        <color theme="1"/>
        <rFont val="Calibri"/>
        <family val="2"/>
        <scheme val="minor"/>
      </rPr>
      <t>far-a</t>
    </r>
  </si>
  <si>
    <r>
      <t xml:space="preserve">IFPU </t>
    </r>
    <r>
      <rPr>
        <vertAlign val="subscript"/>
        <sz val="11"/>
        <color theme="1"/>
        <rFont val="Calibri"/>
        <family val="2"/>
        <scheme val="minor"/>
      </rPr>
      <t>far-adj</t>
    </r>
  </si>
  <si>
    <r>
      <t>IRRI</t>
    </r>
    <r>
      <rPr>
        <vertAlign val="subscript"/>
        <sz val="11"/>
        <color theme="1"/>
        <rFont val="Calibri"/>
        <family val="2"/>
        <scheme val="minor"/>
      </rPr>
      <t xml:space="preserve"> far-c</t>
    </r>
  </si>
  <si>
    <r>
      <t xml:space="preserve">IRRI </t>
    </r>
    <r>
      <rPr>
        <vertAlign val="subscript"/>
        <sz val="11"/>
        <color theme="1"/>
        <rFont val="Calibri"/>
        <family val="2"/>
        <scheme val="minor"/>
      </rPr>
      <t>far-a</t>
    </r>
  </si>
  <si>
    <r>
      <t xml:space="preserve">IFRI </t>
    </r>
    <r>
      <rPr>
        <vertAlign val="subscript"/>
        <sz val="11"/>
        <color theme="1"/>
        <rFont val="Calibri"/>
        <family val="2"/>
        <scheme val="minor"/>
      </rPr>
      <t>far-adj</t>
    </r>
  </si>
  <si>
    <r>
      <t>IRSN</t>
    </r>
    <r>
      <rPr>
        <vertAlign val="subscript"/>
        <sz val="11"/>
        <color theme="1"/>
        <rFont val="Calibri"/>
        <family val="2"/>
        <scheme val="minor"/>
      </rPr>
      <t xml:space="preserve"> far-c</t>
    </r>
  </si>
  <si>
    <r>
      <t xml:space="preserve">IRSN </t>
    </r>
    <r>
      <rPr>
        <vertAlign val="subscript"/>
        <sz val="11"/>
        <color theme="1"/>
        <rFont val="Calibri"/>
        <family val="2"/>
        <scheme val="minor"/>
      </rPr>
      <t>far-a</t>
    </r>
  </si>
  <si>
    <r>
      <t xml:space="preserve">IFSN </t>
    </r>
    <r>
      <rPr>
        <vertAlign val="subscript"/>
        <sz val="11"/>
        <color theme="1"/>
        <rFont val="Calibri"/>
        <family val="2"/>
        <scheme val="minor"/>
      </rPr>
      <t>far-adj</t>
    </r>
  </si>
  <si>
    <r>
      <t>IRST</t>
    </r>
    <r>
      <rPr>
        <vertAlign val="subscript"/>
        <sz val="11"/>
        <color theme="1"/>
        <rFont val="Calibri"/>
        <family val="2"/>
        <scheme val="minor"/>
      </rPr>
      <t xml:space="preserve"> far-c</t>
    </r>
  </si>
  <si>
    <r>
      <t xml:space="preserve">IRST </t>
    </r>
    <r>
      <rPr>
        <vertAlign val="subscript"/>
        <sz val="11"/>
        <color theme="1"/>
        <rFont val="Calibri"/>
        <family val="2"/>
        <scheme val="minor"/>
      </rPr>
      <t>far-a</t>
    </r>
  </si>
  <si>
    <r>
      <t xml:space="preserve">IFST </t>
    </r>
    <r>
      <rPr>
        <vertAlign val="subscript"/>
        <sz val="11"/>
        <color theme="1"/>
        <rFont val="Calibri"/>
        <family val="2"/>
        <scheme val="minor"/>
      </rPr>
      <t>far-adj</t>
    </r>
  </si>
  <si>
    <r>
      <t>IRTO</t>
    </r>
    <r>
      <rPr>
        <vertAlign val="subscript"/>
        <sz val="11"/>
        <color theme="1"/>
        <rFont val="Calibri"/>
        <family val="2"/>
        <scheme val="minor"/>
      </rPr>
      <t xml:space="preserve"> far-c</t>
    </r>
  </si>
  <si>
    <r>
      <t xml:space="preserve">IRTO </t>
    </r>
    <r>
      <rPr>
        <vertAlign val="subscript"/>
        <sz val="11"/>
        <color theme="1"/>
        <rFont val="Calibri"/>
        <family val="2"/>
        <scheme val="minor"/>
      </rPr>
      <t>far-a</t>
    </r>
  </si>
  <si>
    <r>
      <t xml:space="preserve">IFTO </t>
    </r>
    <r>
      <rPr>
        <vertAlign val="subscript"/>
        <sz val="11"/>
        <color theme="1"/>
        <rFont val="Calibri"/>
        <family val="2"/>
        <scheme val="minor"/>
      </rPr>
      <t>far-adj</t>
    </r>
  </si>
  <si>
    <r>
      <t xml:space="preserve">CF </t>
    </r>
    <r>
      <rPr>
        <vertAlign val="subscript"/>
        <sz val="11"/>
        <rFont val="Calibri"/>
        <family val="2"/>
        <scheme val="minor"/>
      </rPr>
      <t>far-goat</t>
    </r>
  </si>
  <si>
    <r>
      <t xml:space="preserve">CF </t>
    </r>
    <r>
      <rPr>
        <vertAlign val="subscript"/>
        <sz val="11"/>
        <rFont val="Calibri"/>
        <family val="2"/>
        <scheme val="minor"/>
      </rPr>
      <t>far-goat-milk</t>
    </r>
  </si>
  <si>
    <r>
      <t xml:space="preserve">CF </t>
    </r>
    <r>
      <rPr>
        <vertAlign val="subscript"/>
        <sz val="11"/>
        <rFont val="Calibri"/>
        <family val="2"/>
        <scheme val="minor"/>
      </rPr>
      <t>far-sheep-milk</t>
    </r>
  </si>
  <si>
    <r>
      <t>IRGO</t>
    </r>
    <r>
      <rPr>
        <vertAlign val="subscript"/>
        <sz val="11"/>
        <color theme="1"/>
        <rFont val="Calibri"/>
        <family val="2"/>
        <scheme val="minor"/>
      </rPr>
      <t xml:space="preserve"> far-c</t>
    </r>
  </si>
  <si>
    <r>
      <t xml:space="preserve">IRGO </t>
    </r>
    <r>
      <rPr>
        <vertAlign val="subscript"/>
        <sz val="11"/>
        <color theme="1"/>
        <rFont val="Calibri"/>
        <family val="2"/>
        <scheme val="minor"/>
      </rPr>
      <t>far-a</t>
    </r>
  </si>
  <si>
    <r>
      <t xml:space="preserve">IFGO </t>
    </r>
    <r>
      <rPr>
        <vertAlign val="subscript"/>
        <sz val="11"/>
        <color theme="1"/>
        <rFont val="Calibri"/>
        <family val="2"/>
        <scheme val="minor"/>
      </rPr>
      <t>far-adj</t>
    </r>
  </si>
  <si>
    <r>
      <t>IRSM</t>
    </r>
    <r>
      <rPr>
        <vertAlign val="subscript"/>
        <sz val="11"/>
        <color theme="1"/>
        <rFont val="Calibri"/>
        <family val="2"/>
        <scheme val="minor"/>
      </rPr>
      <t xml:space="preserve"> far-c</t>
    </r>
  </si>
  <si>
    <r>
      <t xml:space="preserve">IRSM </t>
    </r>
    <r>
      <rPr>
        <vertAlign val="subscript"/>
        <sz val="11"/>
        <color theme="1"/>
        <rFont val="Calibri"/>
        <family val="2"/>
        <scheme val="minor"/>
      </rPr>
      <t>far-a</t>
    </r>
  </si>
  <si>
    <r>
      <t xml:space="preserve">IFSM </t>
    </r>
    <r>
      <rPr>
        <vertAlign val="subscript"/>
        <sz val="11"/>
        <color theme="1"/>
        <rFont val="Calibri"/>
        <family val="2"/>
        <scheme val="minor"/>
      </rPr>
      <t>far-adj</t>
    </r>
  </si>
  <si>
    <r>
      <t>IRGM</t>
    </r>
    <r>
      <rPr>
        <vertAlign val="subscript"/>
        <sz val="11"/>
        <color theme="1"/>
        <rFont val="Calibri"/>
        <family val="2"/>
        <scheme val="minor"/>
      </rPr>
      <t xml:space="preserve"> far-c</t>
    </r>
  </si>
  <si>
    <r>
      <t xml:space="preserve">IRGM </t>
    </r>
    <r>
      <rPr>
        <vertAlign val="subscript"/>
        <sz val="11"/>
        <color theme="1"/>
        <rFont val="Calibri"/>
        <family val="2"/>
        <scheme val="minor"/>
      </rPr>
      <t>far-a</t>
    </r>
  </si>
  <si>
    <r>
      <t xml:space="preserve">IFGM </t>
    </r>
    <r>
      <rPr>
        <vertAlign val="subscript"/>
        <sz val="11"/>
        <color theme="1"/>
        <rFont val="Calibri"/>
        <family val="2"/>
        <scheme val="minor"/>
      </rPr>
      <t>far-adj</t>
    </r>
  </si>
  <si>
    <r>
      <t xml:space="preserve">MLF </t>
    </r>
    <r>
      <rPr>
        <vertAlign val="subscript"/>
        <sz val="11"/>
        <rFont val="Calibri"/>
        <family val="2"/>
        <scheme val="minor"/>
      </rPr>
      <t>apple</t>
    </r>
  </si>
  <si>
    <r>
      <t xml:space="preserve">MLF </t>
    </r>
    <r>
      <rPr>
        <vertAlign val="subscript"/>
        <sz val="11"/>
        <rFont val="Calibri"/>
        <family val="2"/>
        <scheme val="minor"/>
      </rPr>
      <t>asparagus</t>
    </r>
  </si>
  <si>
    <r>
      <t xml:space="preserve">MLF </t>
    </r>
    <r>
      <rPr>
        <vertAlign val="subscript"/>
        <sz val="11"/>
        <rFont val="Calibri"/>
        <family val="2"/>
        <scheme val="minor"/>
      </rPr>
      <t>beet</t>
    </r>
  </si>
  <si>
    <r>
      <t xml:space="preserve">MLF </t>
    </r>
    <r>
      <rPr>
        <vertAlign val="subscript"/>
        <sz val="11"/>
        <rFont val="Calibri"/>
        <family val="2"/>
        <scheme val="minor"/>
      </rPr>
      <t>berries</t>
    </r>
  </si>
  <si>
    <r>
      <t xml:space="preserve">MLF </t>
    </r>
    <r>
      <rPr>
        <vertAlign val="subscript"/>
        <sz val="11"/>
        <rFont val="Calibri"/>
        <family val="2"/>
        <scheme val="minor"/>
      </rPr>
      <t>broccoli</t>
    </r>
  </si>
  <si>
    <r>
      <t xml:space="preserve">MLF </t>
    </r>
    <r>
      <rPr>
        <vertAlign val="subscript"/>
        <sz val="11"/>
        <rFont val="Calibri"/>
        <family val="2"/>
        <scheme val="minor"/>
      </rPr>
      <t>cabbage</t>
    </r>
  </si>
  <si>
    <r>
      <t xml:space="preserve">MLF </t>
    </r>
    <r>
      <rPr>
        <vertAlign val="subscript"/>
        <sz val="11"/>
        <rFont val="Calibri"/>
        <family val="2"/>
        <scheme val="minor"/>
      </rPr>
      <t>carrot</t>
    </r>
  </si>
  <si>
    <r>
      <t xml:space="preserve">MLF </t>
    </r>
    <r>
      <rPr>
        <vertAlign val="subscript"/>
        <sz val="11"/>
        <rFont val="Calibri"/>
        <family val="2"/>
        <scheme val="minor"/>
      </rPr>
      <t>citrus</t>
    </r>
  </si>
  <si>
    <r>
      <t xml:space="preserve">MLF </t>
    </r>
    <r>
      <rPr>
        <vertAlign val="subscript"/>
        <sz val="11"/>
        <rFont val="Calibri"/>
        <family val="2"/>
        <scheme val="minor"/>
      </rPr>
      <t>corn</t>
    </r>
  </si>
  <si>
    <r>
      <t xml:space="preserve">MLF </t>
    </r>
    <r>
      <rPr>
        <vertAlign val="subscript"/>
        <sz val="11"/>
        <rFont val="Calibri"/>
        <family val="2"/>
        <scheme val="minor"/>
      </rPr>
      <t>cucumber</t>
    </r>
  </si>
  <si>
    <r>
      <t xml:space="preserve">MLF </t>
    </r>
    <r>
      <rPr>
        <vertAlign val="subscript"/>
        <sz val="11"/>
        <rFont val="Calibri"/>
        <family val="2"/>
        <scheme val="minor"/>
      </rPr>
      <t>lettuce</t>
    </r>
  </si>
  <si>
    <r>
      <t xml:space="preserve">MLF </t>
    </r>
    <r>
      <rPr>
        <vertAlign val="subscript"/>
        <sz val="11"/>
        <rFont val="Calibri"/>
        <family val="2"/>
        <scheme val="minor"/>
      </rPr>
      <t>lima bean</t>
    </r>
  </si>
  <si>
    <r>
      <t xml:space="preserve">MLF </t>
    </r>
    <r>
      <rPr>
        <vertAlign val="subscript"/>
        <sz val="11"/>
        <rFont val="Calibri"/>
        <family val="2"/>
        <scheme val="minor"/>
      </rPr>
      <t>okra</t>
    </r>
  </si>
  <si>
    <r>
      <t xml:space="preserve">MLF </t>
    </r>
    <r>
      <rPr>
        <vertAlign val="subscript"/>
        <sz val="11"/>
        <rFont val="Calibri"/>
        <family val="2"/>
        <scheme val="minor"/>
      </rPr>
      <t>onion</t>
    </r>
  </si>
  <si>
    <r>
      <t xml:space="preserve">MLF </t>
    </r>
    <r>
      <rPr>
        <vertAlign val="subscript"/>
        <sz val="11"/>
        <rFont val="Calibri"/>
        <family val="2"/>
        <scheme val="minor"/>
      </rPr>
      <t>peach</t>
    </r>
  </si>
  <si>
    <r>
      <t xml:space="preserve">MLF </t>
    </r>
    <r>
      <rPr>
        <vertAlign val="subscript"/>
        <sz val="11"/>
        <rFont val="Calibri"/>
        <family val="2"/>
        <scheme val="minor"/>
      </rPr>
      <t>pear</t>
    </r>
  </si>
  <si>
    <r>
      <t xml:space="preserve">MLF </t>
    </r>
    <r>
      <rPr>
        <vertAlign val="subscript"/>
        <sz val="11"/>
        <rFont val="Calibri"/>
        <family val="2"/>
        <scheme val="minor"/>
      </rPr>
      <t>peas</t>
    </r>
  </si>
  <si>
    <r>
      <t xml:space="preserve">MLF </t>
    </r>
    <r>
      <rPr>
        <vertAlign val="subscript"/>
        <sz val="11"/>
        <rFont val="Calibri"/>
        <family val="2"/>
        <scheme val="minor"/>
      </rPr>
      <t>potato</t>
    </r>
  </si>
  <si>
    <r>
      <t xml:space="preserve">MLF </t>
    </r>
    <r>
      <rPr>
        <vertAlign val="subscript"/>
        <sz val="11"/>
        <rFont val="Calibri"/>
        <family val="2"/>
        <scheme val="minor"/>
      </rPr>
      <t>pumpkin</t>
    </r>
  </si>
  <si>
    <r>
      <t xml:space="preserve">MLF </t>
    </r>
    <r>
      <rPr>
        <vertAlign val="subscript"/>
        <sz val="11"/>
        <rFont val="Calibri"/>
        <family val="2"/>
        <scheme val="minor"/>
      </rPr>
      <t>snap bean</t>
    </r>
  </si>
  <si>
    <r>
      <t xml:space="preserve">MLF </t>
    </r>
    <r>
      <rPr>
        <vertAlign val="subscript"/>
        <sz val="11"/>
        <rFont val="Calibri"/>
        <family val="2"/>
        <scheme val="minor"/>
      </rPr>
      <t>strawberry</t>
    </r>
  </si>
  <si>
    <r>
      <t xml:space="preserve">MLF </t>
    </r>
    <r>
      <rPr>
        <vertAlign val="subscript"/>
        <sz val="11"/>
        <rFont val="Calibri"/>
        <family val="2"/>
        <scheme val="minor"/>
      </rPr>
      <t>tomato</t>
    </r>
  </si>
  <si>
    <r>
      <t xml:space="preserve">MLF </t>
    </r>
    <r>
      <rPr>
        <vertAlign val="subscript"/>
        <sz val="11"/>
        <rFont val="Calibri"/>
        <family val="2"/>
        <scheme val="minor"/>
      </rPr>
      <t>cereal</t>
    </r>
  </si>
  <si>
    <r>
      <t xml:space="preserve">MLF </t>
    </r>
    <r>
      <rPr>
        <vertAlign val="subscript"/>
        <sz val="11"/>
        <rFont val="Calibri"/>
        <family val="2"/>
        <scheme val="minor"/>
      </rPr>
      <t>rice</t>
    </r>
  </si>
  <si>
    <t>IRAP res-c</t>
  </si>
  <si>
    <t>IRAP res-a</t>
  </si>
  <si>
    <t>IFAP res-adj</t>
  </si>
  <si>
    <t>IRAS res-c</t>
  </si>
  <si>
    <t>IRAS res-a</t>
  </si>
  <si>
    <t>IFAS res-adj</t>
  </si>
  <si>
    <t>IRBT res-c</t>
  </si>
  <si>
    <t>IRBT res-a</t>
  </si>
  <si>
    <t>IFBT res-adj</t>
  </si>
  <si>
    <t>IRBE res-c</t>
  </si>
  <si>
    <t>IRBE res-a</t>
  </si>
  <si>
    <t>IFBE res-adj</t>
  </si>
  <si>
    <t>IRBR res-c</t>
  </si>
  <si>
    <t>IRBR res-a</t>
  </si>
  <si>
    <t>IFBR res-adj</t>
  </si>
  <si>
    <t>IRCB res-c</t>
  </si>
  <si>
    <t>IRCB res-a</t>
  </si>
  <si>
    <t>IFCB res-adj</t>
  </si>
  <si>
    <t>IRCR res-c</t>
  </si>
  <si>
    <t>IRCR res-a</t>
  </si>
  <si>
    <t>IFCR res-adj</t>
  </si>
  <si>
    <t>IRCG res-c</t>
  </si>
  <si>
    <t>IRCG res-a</t>
  </si>
  <si>
    <t>IFCG res-adj</t>
  </si>
  <si>
    <t>IRCI res-c</t>
  </si>
  <si>
    <t>IRCI res-a</t>
  </si>
  <si>
    <t>IFCI res-adj</t>
  </si>
  <si>
    <t>IRCO res-c</t>
  </si>
  <si>
    <t>IRCO res-a</t>
  </si>
  <si>
    <t>IFCO res-adj</t>
  </si>
  <si>
    <t>IRCU res-c</t>
  </si>
  <si>
    <t>IRCU res-a</t>
  </si>
  <si>
    <t>IFCU res-adj</t>
  </si>
  <si>
    <t>IRLE res-c</t>
  </si>
  <si>
    <t>IRLE res-a</t>
  </si>
  <si>
    <t>IFLE res-adj</t>
  </si>
  <si>
    <t>IRLI res-c</t>
  </si>
  <si>
    <t>IRLI res-a</t>
  </si>
  <si>
    <t>IFLI res-adj</t>
  </si>
  <si>
    <t>IROK res-c</t>
  </si>
  <si>
    <t>IROK res-a</t>
  </si>
  <si>
    <t>IFOK res-adj</t>
  </si>
  <si>
    <t>IRON res-c</t>
  </si>
  <si>
    <t>IRON res-a</t>
  </si>
  <si>
    <t>IFON res-adj</t>
  </si>
  <si>
    <t>IRPC res-c</t>
  </si>
  <si>
    <t>IRPC res-a</t>
  </si>
  <si>
    <t>IFPC res-adj</t>
  </si>
  <si>
    <t>IRPE res-c</t>
  </si>
  <si>
    <t>IRPE res-a</t>
  </si>
  <si>
    <t>IFPE res-adj</t>
  </si>
  <si>
    <t>IRPT res-c</t>
  </si>
  <si>
    <t>IRPT res-a</t>
  </si>
  <si>
    <t>IFPT res-adj</t>
  </si>
  <si>
    <t>IRPU res-c</t>
  </si>
  <si>
    <t>IRPU res-a</t>
  </si>
  <si>
    <t>IFPU res-adj</t>
  </si>
  <si>
    <t>IRRI res-c</t>
  </si>
  <si>
    <t>IRRI res-a</t>
  </si>
  <si>
    <t>IFRI res-adj</t>
  </si>
  <si>
    <t>IRSN res-c</t>
  </si>
  <si>
    <t>IRSN res-a</t>
  </si>
  <si>
    <t>IFSN res-adj</t>
  </si>
  <si>
    <t>IRST res-c</t>
  </si>
  <si>
    <t>IRST res-a</t>
  </si>
  <si>
    <t>IFST res-adj</t>
  </si>
  <si>
    <t>IRTO res-c</t>
  </si>
  <si>
    <t>IRTO res-a</t>
  </si>
  <si>
    <t>IFTO res-adj</t>
  </si>
  <si>
    <r>
      <t>IRPR</t>
    </r>
    <r>
      <rPr>
        <vertAlign val="subscript"/>
        <sz val="11"/>
        <color theme="1"/>
        <rFont val="Calibri"/>
        <family val="2"/>
        <scheme val="minor"/>
      </rPr>
      <t xml:space="preserve"> far-c</t>
    </r>
  </si>
  <si>
    <r>
      <t xml:space="preserve">IRPR </t>
    </r>
    <r>
      <rPr>
        <vertAlign val="subscript"/>
        <sz val="11"/>
        <color theme="1"/>
        <rFont val="Calibri"/>
        <family val="2"/>
        <scheme val="minor"/>
      </rPr>
      <t>far-a</t>
    </r>
  </si>
  <si>
    <r>
      <t xml:space="preserve">IFPR </t>
    </r>
    <r>
      <rPr>
        <vertAlign val="subscript"/>
        <sz val="11"/>
        <color theme="1"/>
        <rFont val="Calibri"/>
        <family val="2"/>
        <scheme val="minor"/>
      </rPr>
      <t>far-adj</t>
    </r>
  </si>
  <si>
    <t>IRPR res-c</t>
  </si>
  <si>
    <t>IRPR res-a</t>
  </si>
  <si>
    <t>IFPR res-adj</t>
  </si>
  <si>
    <t xml:space="preserve"> Farmer Produce</t>
  </si>
  <si>
    <t>Farmer Animal Products</t>
  </si>
  <si>
    <t>far_prod_ing_tot</t>
  </si>
  <si>
    <t>res_prod_ing_tot</t>
  </si>
  <si>
    <t>res_apple</t>
  </si>
  <si>
    <t>res_beet</t>
  </si>
  <si>
    <t>res_berry</t>
  </si>
  <si>
    <t>res_broc</t>
  </si>
  <si>
    <t>res_aspar</t>
  </si>
  <si>
    <t>res_cabb</t>
  </si>
  <si>
    <t>res_carr</t>
  </si>
  <si>
    <t>res_citrus</t>
  </si>
  <si>
    <t>res_corn</t>
  </si>
  <si>
    <t>res_cucum</t>
  </si>
  <si>
    <t>res_lett</t>
  </si>
  <si>
    <t>res_lima</t>
  </si>
  <si>
    <t>res_okra</t>
  </si>
  <si>
    <t>res_onion</t>
  </si>
  <si>
    <t>res_peach</t>
  </si>
  <si>
    <t>res_pear</t>
  </si>
  <si>
    <t>res_pea</t>
  </si>
  <si>
    <t>res_potat</t>
  </si>
  <si>
    <t>res_pump</t>
  </si>
  <si>
    <t>res_snap</t>
  </si>
  <si>
    <t>res_straw</t>
  </si>
  <si>
    <t>res_tom</t>
  </si>
  <si>
    <t>res_rice</t>
  </si>
  <si>
    <t>far_apple</t>
  </si>
  <si>
    <t>far_aspar</t>
  </si>
  <si>
    <t>far_beet</t>
  </si>
  <si>
    <t>far_berry</t>
  </si>
  <si>
    <t>far_broc</t>
  </si>
  <si>
    <t>far_cabb</t>
  </si>
  <si>
    <t>far_carr</t>
  </si>
  <si>
    <t>far_citrus</t>
  </si>
  <si>
    <t>far_corn</t>
  </si>
  <si>
    <t>far_cucum</t>
  </si>
  <si>
    <t>far_lett</t>
  </si>
  <si>
    <t>far_lima</t>
  </si>
  <si>
    <t>far_okra</t>
  </si>
  <si>
    <t>far_onion</t>
  </si>
  <si>
    <t>far_peach</t>
  </si>
  <si>
    <t>far_pear</t>
  </si>
  <si>
    <t>far_pea</t>
  </si>
  <si>
    <t>far_potat</t>
  </si>
  <si>
    <t>far_pump</t>
  </si>
  <si>
    <t>far_snap</t>
  </si>
  <si>
    <t>far_straw</t>
  </si>
  <si>
    <t>far_tom</t>
  </si>
  <si>
    <t>far_rice</t>
  </si>
  <si>
    <t>far_grain</t>
  </si>
  <si>
    <r>
      <t xml:space="preserve">CF </t>
    </r>
    <r>
      <rPr>
        <vertAlign val="subscript"/>
        <sz val="11"/>
        <rFont val="Calibri"/>
        <family val="2"/>
        <scheme val="minor"/>
      </rPr>
      <t>apple</t>
    </r>
  </si>
  <si>
    <r>
      <t xml:space="preserve">CF </t>
    </r>
    <r>
      <rPr>
        <vertAlign val="subscript"/>
        <sz val="11"/>
        <rFont val="Calibri"/>
        <family val="2"/>
        <scheme val="minor"/>
      </rPr>
      <t>asparagus</t>
    </r>
  </si>
  <si>
    <r>
      <t xml:space="preserve">CF </t>
    </r>
    <r>
      <rPr>
        <vertAlign val="subscript"/>
        <sz val="11"/>
        <rFont val="Calibri"/>
        <family val="2"/>
        <scheme val="minor"/>
      </rPr>
      <t>beet</t>
    </r>
  </si>
  <si>
    <r>
      <t xml:space="preserve">CF </t>
    </r>
    <r>
      <rPr>
        <vertAlign val="subscript"/>
        <sz val="11"/>
        <rFont val="Calibri"/>
        <family val="2"/>
        <scheme val="minor"/>
      </rPr>
      <t>berries</t>
    </r>
  </si>
  <si>
    <r>
      <t xml:space="preserve">CF </t>
    </r>
    <r>
      <rPr>
        <vertAlign val="subscript"/>
        <sz val="11"/>
        <rFont val="Calibri"/>
        <family val="2"/>
        <scheme val="minor"/>
      </rPr>
      <t>broccoli</t>
    </r>
  </si>
  <si>
    <r>
      <t xml:space="preserve">CF </t>
    </r>
    <r>
      <rPr>
        <vertAlign val="subscript"/>
        <sz val="11"/>
        <rFont val="Calibri"/>
        <family val="2"/>
        <scheme val="minor"/>
      </rPr>
      <t>cabbage</t>
    </r>
  </si>
  <si>
    <r>
      <t xml:space="preserve">CF </t>
    </r>
    <r>
      <rPr>
        <vertAlign val="subscript"/>
        <sz val="11"/>
        <rFont val="Calibri"/>
        <family val="2"/>
        <scheme val="minor"/>
      </rPr>
      <t>carrot</t>
    </r>
  </si>
  <si>
    <r>
      <t xml:space="preserve">CF </t>
    </r>
    <r>
      <rPr>
        <vertAlign val="subscript"/>
        <sz val="11"/>
        <rFont val="Calibri"/>
        <family val="2"/>
        <scheme val="minor"/>
      </rPr>
      <t>citrus</t>
    </r>
  </si>
  <si>
    <r>
      <t xml:space="preserve">CF </t>
    </r>
    <r>
      <rPr>
        <vertAlign val="subscript"/>
        <sz val="11"/>
        <rFont val="Calibri"/>
        <family val="2"/>
        <scheme val="minor"/>
      </rPr>
      <t>corn</t>
    </r>
  </si>
  <si>
    <r>
      <t xml:space="preserve">CF </t>
    </r>
    <r>
      <rPr>
        <vertAlign val="subscript"/>
        <sz val="11"/>
        <rFont val="Calibri"/>
        <family val="2"/>
        <scheme val="minor"/>
      </rPr>
      <t>cucumber</t>
    </r>
  </si>
  <si>
    <r>
      <t xml:space="preserve">CF </t>
    </r>
    <r>
      <rPr>
        <vertAlign val="subscript"/>
        <sz val="11"/>
        <rFont val="Calibri"/>
        <family val="2"/>
        <scheme val="minor"/>
      </rPr>
      <t>lettuce</t>
    </r>
  </si>
  <si>
    <r>
      <t xml:space="preserve">CF </t>
    </r>
    <r>
      <rPr>
        <vertAlign val="subscript"/>
        <sz val="11"/>
        <rFont val="Calibri"/>
        <family val="2"/>
        <scheme val="minor"/>
      </rPr>
      <t>lima bean</t>
    </r>
  </si>
  <si>
    <r>
      <t xml:space="preserve">CF </t>
    </r>
    <r>
      <rPr>
        <vertAlign val="subscript"/>
        <sz val="11"/>
        <rFont val="Calibri"/>
        <family val="2"/>
        <scheme val="minor"/>
      </rPr>
      <t>okra</t>
    </r>
  </si>
  <si>
    <r>
      <t xml:space="preserve">CF </t>
    </r>
    <r>
      <rPr>
        <vertAlign val="subscript"/>
        <sz val="11"/>
        <rFont val="Calibri"/>
        <family val="2"/>
        <scheme val="minor"/>
      </rPr>
      <t>onion</t>
    </r>
  </si>
  <si>
    <r>
      <t xml:space="preserve">CF </t>
    </r>
    <r>
      <rPr>
        <vertAlign val="subscript"/>
        <sz val="11"/>
        <rFont val="Calibri"/>
        <family val="2"/>
        <scheme val="minor"/>
      </rPr>
      <t>peach</t>
    </r>
  </si>
  <si>
    <r>
      <t xml:space="preserve">CF </t>
    </r>
    <r>
      <rPr>
        <vertAlign val="subscript"/>
        <sz val="11"/>
        <rFont val="Calibri"/>
        <family val="2"/>
        <scheme val="minor"/>
      </rPr>
      <t>pear</t>
    </r>
  </si>
  <si>
    <r>
      <t xml:space="preserve">CF </t>
    </r>
    <r>
      <rPr>
        <vertAlign val="subscript"/>
        <sz val="11"/>
        <rFont val="Calibri"/>
        <family val="2"/>
        <scheme val="minor"/>
      </rPr>
      <t>peas</t>
    </r>
  </si>
  <si>
    <r>
      <t xml:space="preserve">CF </t>
    </r>
    <r>
      <rPr>
        <vertAlign val="subscript"/>
        <sz val="11"/>
        <rFont val="Calibri"/>
        <family val="2"/>
        <scheme val="minor"/>
      </rPr>
      <t>potato</t>
    </r>
  </si>
  <si>
    <r>
      <t xml:space="preserve">CF </t>
    </r>
    <r>
      <rPr>
        <vertAlign val="subscript"/>
        <sz val="11"/>
        <rFont val="Calibri"/>
        <family val="2"/>
        <scheme val="minor"/>
      </rPr>
      <t>pumpkin</t>
    </r>
  </si>
  <si>
    <r>
      <t xml:space="preserve">CF </t>
    </r>
    <r>
      <rPr>
        <vertAlign val="subscript"/>
        <sz val="11"/>
        <rFont val="Calibri"/>
        <family val="2"/>
        <scheme val="minor"/>
      </rPr>
      <t>snap bean</t>
    </r>
  </si>
  <si>
    <r>
      <t xml:space="preserve">CF </t>
    </r>
    <r>
      <rPr>
        <vertAlign val="subscript"/>
        <sz val="11"/>
        <rFont val="Calibri"/>
        <family val="2"/>
        <scheme val="minor"/>
      </rPr>
      <t>strawberry</t>
    </r>
  </si>
  <si>
    <r>
      <t xml:space="preserve">CF </t>
    </r>
    <r>
      <rPr>
        <vertAlign val="subscript"/>
        <sz val="11"/>
        <rFont val="Calibri"/>
        <family val="2"/>
        <scheme val="minor"/>
      </rPr>
      <t>tomato</t>
    </r>
  </si>
  <si>
    <r>
      <t xml:space="preserve">CF </t>
    </r>
    <r>
      <rPr>
        <vertAlign val="subscript"/>
        <sz val="11"/>
        <rFont val="Calibri"/>
        <family val="2"/>
        <scheme val="minor"/>
      </rPr>
      <t>cereal</t>
    </r>
  </si>
  <si>
    <r>
      <t xml:space="preserve">CF </t>
    </r>
    <r>
      <rPr>
        <vertAlign val="subscript"/>
        <sz val="11"/>
        <rFont val="Calibri"/>
        <family val="2"/>
        <scheme val="minor"/>
      </rPr>
      <t>rice</t>
    </r>
  </si>
  <si>
    <t>res_cereal</t>
  </si>
  <si>
    <t>res_soil_prod_ing_tot</t>
  </si>
  <si>
    <t>far_soil_prod_ing_tot</t>
  </si>
  <si>
    <t>bvwet_apple</t>
  </si>
  <si>
    <t>bvwet_aspar</t>
  </si>
  <si>
    <t>bvwet_beet</t>
  </si>
  <si>
    <t>bvwet_berry</t>
  </si>
  <si>
    <t>bvwet_broc</t>
  </si>
  <si>
    <t>bvwet_cabb</t>
  </si>
  <si>
    <t>bvwet_carr</t>
  </si>
  <si>
    <t>bvwet_citrus</t>
  </si>
  <si>
    <t>bvwet_corn</t>
  </si>
  <si>
    <t>bvwet_cucum</t>
  </si>
  <si>
    <t>bvwet_lett</t>
  </si>
  <si>
    <t>bvwet_lima</t>
  </si>
  <si>
    <t>bvwet_okra</t>
  </si>
  <si>
    <t>bvwet_onion</t>
  </si>
  <si>
    <t>bvwet_peach</t>
  </si>
  <si>
    <t>bvwet_pear</t>
  </si>
  <si>
    <t>bvwet_pea</t>
  </si>
  <si>
    <t>bvwet_potat</t>
  </si>
  <si>
    <t>bvwet_pump</t>
  </si>
  <si>
    <t>bvwet_snap</t>
  </si>
  <si>
    <t>bvwet_straw</t>
  </si>
  <si>
    <t>bvwet_tom</t>
  </si>
  <si>
    <t>bvwet_rice</t>
  </si>
  <si>
    <t>IRRrup_apple</t>
  </si>
  <si>
    <t>IRRrup_aspar</t>
  </si>
  <si>
    <t>IRRrup_beet</t>
  </si>
  <si>
    <t>IRRrup_berry</t>
  </si>
  <si>
    <t>IRRrup_broc</t>
  </si>
  <si>
    <t>IRRrup_cabb</t>
  </si>
  <si>
    <t>IRRrup_carr</t>
  </si>
  <si>
    <t>IRRrup_citrus</t>
  </si>
  <si>
    <t>IRRrup_corn</t>
  </si>
  <si>
    <t>IRRrup_cucum</t>
  </si>
  <si>
    <t>IRRrup_lett</t>
  </si>
  <si>
    <t>IRRrup_lima</t>
  </si>
  <si>
    <t>IRRrup_okra</t>
  </si>
  <si>
    <t>IRRrup_onion</t>
  </si>
  <si>
    <t>IRRrup_peach</t>
  </si>
  <si>
    <t>IRRrup_pear</t>
  </si>
  <si>
    <t>IRRrup_pea</t>
  </si>
  <si>
    <t>IRRrup_potat</t>
  </si>
  <si>
    <t>IRRrup_pump</t>
  </si>
  <si>
    <t>IRRrup_snap</t>
  </si>
  <si>
    <t>IRRrup_straw</t>
  </si>
  <si>
    <t>IRRrup_tom</t>
  </si>
  <si>
    <t>IRRrup_rice</t>
  </si>
  <si>
    <t>IRRres_apple</t>
  </si>
  <si>
    <t>IRRres_aspar</t>
  </si>
  <si>
    <t>IRRres_beet</t>
  </si>
  <si>
    <t>IRRres_berry</t>
  </si>
  <si>
    <t>IRRres_broc</t>
  </si>
  <si>
    <t>IRRres_cabb</t>
  </si>
  <si>
    <t>IRRres_carr</t>
  </si>
  <si>
    <t>IRRres_citrus</t>
  </si>
  <si>
    <t>IRRres_corn</t>
  </si>
  <si>
    <t>IRRres_cucum</t>
  </si>
  <si>
    <t>IRRres_lett</t>
  </si>
  <si>
    <t>IRRres_lima</t>
  </si>
  <si>
    <t>IRRres_okra</t>
  </si>
  <si>
    <t>IRRres_onion</t>
  </si>
  <si>
    <t>IRRres_peach</t>
  </si>
  <si>
    <t>IRRres_pear</t>
  </si>
  <si>
    <t>IRRres_pea</t>
  </si>
  <si>
    <t>IRRres_potat</t>
  </si>
  <si>
    <t>IRRres_pump</t>
  </si>
  <si>
    <t>IRRres_snap</t>
  </si>
  <si>
    <t>IRRres_straw</t>
  </si>
  <si>
    <t>IRRres_tom</t>
  </si>
  <si>
    <t>IRRres_rice</t>
  </si>
  <si>
    <t>IRRdep_apple</t>
  </si>
  <si>
    <t>IRRdep_aspar</t>
  </si>
  <si>
    <t>IRRdep_beet</t>
  </si>
  <si>
    <t>IRRdep_berry</t>
  </si>
  <si>
    <t>IRRdep_broc</t>
  </si>
  <si>
    <t>IRRdep_cabb</t>
  </si>
  <si>
    <t>IRRdep_carr</t>
  </si>
  <si>
    <t>IRRdep_citrus</t>
  </si>
  <si>
    <t>IRRdep_corn</t>
  </si>
  <si>
    <t>IRRdep_cucum</t>
  </si>
  <si>
    <t>IRRdep_lett</t>
  </si>
  <si>
    <t>IRRdep_lima</t>
  </si>
  <si>
    <t>IRRdep_okra</t>
  </si>
  <si>
    <t>IRRdep_onion</t>
  </si>
  <si>
    <t>IRRdep_peach</t>
  </si>
  <si>
    <t>IRRdep_pear</t>
  </si>
  <si>
    <t>IRRdep_pea</t>
  </si>
  <si>
    <t>IRRdep_potat</t>
  </si>
  <si>
    <t>IRRdep_pump</t>
  </si>
  <si>
    <t>IRRdep_snap</t>
  </si>
  <si>
    <t>IRRdep_straw</t>
  </si>
  <si>
    <t>IRRdep_tom</t>
  </si>
  <si>
    <t>IRRdep_rice</t>
  </si>
  <si>
    <t>bvwet_cereal</t>
  </si>
  <si>
    <t>IRRrup_cereal</t>
  </si>
  <si>
    <t>IRRres_cereal</t>
  </si>
  <si>
    <t>IRRdep_cereal</t>
  </si>
  <si>
    <t>wat_res_prod_ing_tot</t>
  </si>
  <si>
    <t>wat_far_prod_ing_tot</t>
  </si>
  <si>
    <r>
      <t xml:space="preserve">Q </t>
    </r>
    <r>
      <rPr>
        <vertAlign val="subscript"/>
        <sz val="11"/>
        <rFont val="Calibri"/>
        <family val="2"/>
        <scheme val="minor"/>
      </rPr>
      <t>w-goat</t>
    </r>
  </si>
  <si>
    <r>
      <t xml:space="preserve">Q </t>
    </r>
    <r>
      <rPr>
        <vertAlign val="subscript"/>
        <sz val="11"/>
        <rFont val="Calibri"/>
        <family val="2"/>
        <scheme val="minor"/>
      </rPr>
      <t>p-goat</t>
    </r>
  </si>
  <si>
    <r>
      <t xml:space="preserve">Q </t>
    </r>
    <r>
      <rPr>
        <vertAlign val="subscript"/>
        <sz val="11"/>
        <rFont val="Calibri"/>
        <family val="2"/>
        <scheme val="minor"/>
      </rPr>
      <t>s-goat</t>
    </r>
  </si>
  <si>
    <r>
      <t xml:space="preserve">f </t>
    </r>
    <r>
      <rPr>
        <vertAlign val="subscript"/>
        <sz val="11"/>
        <rFont val="Calibri"/>
        <family val="2"/>
        <scheme val="minor"/>
      </rPr>
      <t>p-goat</t>
    </r>
  </si>
  <si>
    <r>
      <t xml:space="preserve">f </t>
    </r>
    <r>
      <rPr>
        <vertAlign val="subscript"/>
        <sz val="11"/>
        <rFont val="Calibri"/>
        <family val="2"/>
        <scheme val="minor"/>
      </rPr>
      <t>s-goat</t>
    </r>
  </si>
  <si>
    <r>
      <t xml:space="preserve">Q </t>
    </r>
    <r>
      <rPr>
        <vertAlign val="subscript"/>
        <sz val="11"/>
        <rFont val="Calibri"/>
        <family val="2"/>
        <scheme val="minor"/>
      </rPr>
      <t>w-goat-milk</t>
    </r>
  </si>
  <si>
    <r>
      <t xml:space="preserve">Q </t>
    </r>
    <r>
      <rPr>
        <vertAlign val="subscript"/>
        <sz val="11"/>
        <rFont val="Calibri"/>
        <family val="2"/>
        <scheme val="minor"/>
      </rPr>
      <t>p-goat-milk</t>
    </r>
  </si>
  <si>
    <r>
      <t xml:space="preserve">Q </t>
    </r>
    <r>
      <rPr>
        <vertAlign val="subscript"/>
        <sz val="11"/>
        <rFont val="Calibri"/>
        <family val="2"/>
        <scheme val="minor"/>
      </rPr>
      <t>s-goat-milk</t>
    </r>
  </si>
  <si>
    <r>
      <t xml:space="preserve">f </t>
    </r>
    <r>
      <rPr>
        <vertAlign val="subscript"/>
        <sz val="11"/>
        <rFont val="Calibri"/>
        <family val="2"/>
        <scheme val="minor"/>
      </rPr>
      <t>p-goat-milk</t>
    </r>
  </si>
  <si>
    <r>
      <t xml:space="preserve">f </t>
    </r>
    <r>
      <rPr>
        <vertAlign val="subscript"/>
        <sz val="11"/>
        <rFont val="Calibri"/>
        <family val="2"/>
        <scheme val="minor"/>
      </rPr>
      <t>s-goat-milk</t>
    </r>
  </si>
  <si>
    <r>
      <t xml:space="preserve">Q </t>
    </r>
    <r>
      <rPr>
        <vertAlign val="subscript"/>
        <sz val="11"/>
        <rFont val="Calibri"/>
        <family val="2"/>
        <scheme val="minor"/>
      </rPr>
      <t>w-sheep-milk</t>
    </r>
  </si>
  <si>
    <r>
      <t xml:space="preserve">Q </t>
    </r>
    <r>
      <rPr>
        <vertAlign val="subscript"/>
        <sz val="11"/>
        <rFont val="Calibri"/>
        <family val="2"/>
        <scheme val="minor"/>
      </rPr>
      <t>p-sheep-milk</t>
    </r>
  </si>
  <si>
    <r>
      <t xml:space="preserve">Q </t>
    </r>
    <r>
      <rPr>
        <vertAlign val="subscript"/>
        <sz val="11"/>
        <rFont val="Calibri"/>
        <family val="2"/>
        <scheme val="minor"/>
      </rPr>
      <t>s-sheep-milk</t>
    </r>
  </si>
  <si>
    <r>
      <t xml:space="preserve">f </t>
    </r>
    <r>
      <rPr>
        <vertAlign val="subscript"/>
        <sz val="11"/>
        <rFont val="Calibri"/>
        <family val="2"/>
        <scheme val="minor"/>
      </rPr>
      <t>p-sheep-milk</t>
    </r>
  </si>
  <si>
    <r>
      <t xml:space="preserve">f </t>
    </r>
    <r>
      <rPr>
        <vertAlign val="subscript"/>
        <sz val="11"/>
        <rFont val="Calibri"/>
        <family val="2"/>
        <scheme val="minor"/>
      </rPr>
      <t>s-sheep-milk</t>
    </r>
  </si>
  <si>
    <r>
      <t xml:space="preserve">CF </t>
    </r>
    <r>
      <rPr>
        <vertAlign val="subscript"/>
        <sz val="11"/>
        <rFont val="Calibri"/>
        <family val="2"/>
        <scheme val="minor"/>
      </rPr>
      <t>far-egg</t>
    </r>
  </si>
  <si>
    <r>
      <t xml:space="preserve">s_CF </t>
    </r>
    <r>
      <rPr>
        <vertAlign val="subscript"/>
        <sz val="11"/>
        <rFont val="Calibri"/>
        <family val="2"/>
        <scheme val="minor"/>
      </rPr>
      <t>apple</t>
    </r>
  </si>
  <si>
    <r>
      <t xml:space="preserve">s_CF </t>
    </r>
    <r>
      <rPr>
        <vertAlign val="subscript"/>
        <sz val="11"/>
        <rFont val="Calibri"/>
        <family val="2"/>
        <scheme val="minor"/>
      </rPr>
      <t>asparagus</t>
    </r>
  </si>
  <si>
    <r>
      <t xml:space="preserve">s_CF </t>
    </r>
    <r>
      <rPr>
        <vertAlign val="subscript"/>
        <sz val="11"/>
        <rFont val="Calibri"/>
        <family val="2"/>
        <scheme val="minor"/>
      </rPr>
      <t>beet</t>
    </r>
  </si>
  <si>
    <r>
      <t xml:space="preserve">s_CF </t>
    </r>
    <r>
      <rPr>
        <vertAlign val="subscript"/>
        <sz val="11"/>
        <rFont val="Calibri"/>
        <family val="2"/>
        <scheme val="minor"/>
      </rPr>
      <t>berries</t>
    </r>
  </si>
  <si>
    <r>
      <t xml:space="preserve">s_CF </t>
    </r>
    <r>
      <rPr>
        <vertAlign val="subscript"/>
        <sz val="11"/>
        <rFont val="Calibri"/>
        <family val="2"/>
        <scheme val="minor"/>
      </rPr>
      <t>broccoli</t>
    </r>
  </si>
  <si>
    <r>
      <t xml:space="preserve">s_CF </t>
    </r>
    <r>
      <rPr>
        <vertAlign val="subscript"/>
        <sz val="11"/>
        <rFont val="Calibri"/>
        <family val="2"/>
        <scheme val="minor"/>
      </rPr>
      <t>cabbage</t>
    </r>
  </si>
  <si>
    <r>
      <t xml:space="preserve">s_CF </t>
    </r>
    <r>
      <rPr>
        <vertAlign val="subscript"/>
        <sz val="11"/>
        <rFont val="Calibri"/>
        <family val="2"/>
        <scheme val="minor"/>
      </rPr>
      <t>carrot</t>
    </r>
  </si>
  <si>
    <r>
      <t xml:space="preserve">s_CF </t>
    </r>
    <r>
      <rPr>
        <vertAlign val="subscript"/>
        <sz val="11"/>
        <rFont val="Calibri"/>
        <family val="2"/>
        <scheme val="minor"/>
      </rPr>
      <t>citrus</t>
    </r>
  </si>
  <si>
    <r>
      <t xml:space="preserve">s_CF </t>
    </r>
    <r>
      <rPr>
        <vertAlign val="subscript"/>
        <sz val="11"/>
        <rFont val="Calibri"/>
        <family val="2"/>
        <scheme val="minor"/>
      </rPr>
      <t>corn</t>
    </r>
  </si>
  <si>
    <r>
      <t xml:space="preserve">s_CF </t>
    </r>
    <r>
      <rPr>
        <vertAlign val="subscript"/>
        <sz val="11"/>
        <rFont val="Calibri"/>
        <family val="2"/>
        <scheme val="minor"/>
      </rPr>
      <t>cucumber</t>
    </r>
  </si>
  <si>
    <r>
      <t xml:space="preserve">s_CF </t>
    </r>
    <r>
      <rPr>
        <vertAlign val="subscript"/>
        <sz val="11"/>
        <rFont val="Calibri"/>
        <family val="2"/>
        <scheme val="minor"/>
      </rPr>
      <t>lettuce</t>
    </r>
  </si>
  <si>
    <r>
      <t xml:space="preserve">s_CF </t>
    </r>
    <r>
      <rPr>
        <vertAlign val="subscript"/>
        <sz val="11"/>
        <rFont val="Calibri"/>
        <family val="2"/>
        <scheme val="minor"/>
      </rPr>
      <t>lima bean</t>
    </r>
  </si>
  <si>
    <r>
      <t xml:space="preserve">s_CF </t>
    </r>
    <r>
      <rPr>
        <vertAlign val="subscript"/>
        <sz val="11"/>
        <rFont val="Calibri"/>
        <family val="2"/>
        <scheme val="minor"/>
      </rPr>
      <t>okra</t>
    </r>
  </si>
  <si>
    <r>
      <t xml:space="preserve">s_CF </t>
    </r>
    <r>
      <rPr>
        <vertAlign val="subscript"/>
        <sz val="11"/>
        <rFont val="Calibri"/>
        <family val="2"/>
        <scheme val="minor"/>
      </rPr>
      <t>onion</t>
    </r>
  </si>
  <si>
    <r>
      <t xml:space="preserve">s_CF </t>
    </r>
    <r>
      <rPr>
        <vertAlign val="subscript"/>
        <sz val="11"/>
        <rFont val="Calibri"/>
        <family val="2"/>
        <scheme val="minor"/>
      </rPr>
      <t>peach</t>
    </r>
  </si>
  <si>
    <r>
      <t xml:space="preserve">s_CF </t>
    </r>
    <r>
      <rPr>
        <vertAlign val="subscript"/>
        <sz val="11"/>
        <rFont val="Calibri"/>
        <family val="2"/>
        <scheme val="minor"/>
      </rPr>
      <t>pear</t>
    </r>
  </si>
  <si>
    <r>
      <t xml:space="preserve">s_CF </t>
    </r>
    <r>
      <rPr>
        <vertAlign val="subscript"/>
        <sz val="11"/>
        <rFont val="Calibri"/>
        <family val="2"/>
        <scheme val="minor"/>
      </rPr>
      <t>peas</t>
    </r>
  </si>
  <si>
    <r>
      <t xml:space="preserve">s_CF </t>
    </r>
    <r>
      <rPr>
        <vertAlign val="subscript"/>
        <sz val="11"/>
        <rFont val="Calibri"/>
        <family val="2"/>
        <scheme val="minor"/>
      </rPr>
      <t>potato</t>
    </r>
  </si>
  <si>
    <r>
      <t xml:space="preserve">s_CF </t>
    </r>
    <r>
      <rPr>
        <vertAlign val="subscript"/>
        <sz val="11"/>
        <rFont val="Calibri"/>
        <family val="2"/>
        <scheme val="minor"/>
      </rPr>
      <t>pumpkin</t>
    </r>
  </si>
  <si>
    <r>
      <t xml:space="preserve">s_CF </t>
    </r>
    <r>
      <rPr>
        <vertAlign val="subscript"/>
        <sz val="11"/>
        <rFont val="Calibri"/>
        <family val="2"/>
        <scheme val="minor"/>
      </rPr>
      <t>snap bean</t>
    </r>
  </si>
  <si>
    <r>
      <t xml:space="preserve">s_CF </t>
    </r>
    <r>
      <rPr>
        <vertAlign val="subscript"/>
        <sz val="11"/>
        <rFont val="Calibri"/>
        <family val="2"/>
        <scheme val="minor"/>
      </rPr>
      <t>strawberry</t>
    </r>
  </si>
  <si>
    <r>
      <t xml:space="preserve">s_CF </t>
    </r>
    <r>
      <rPr>
        <vertAlign val="subscript"/>
        <sz val="11"/>
        <rFont val="Calibri"/>
        <family val="2"/>
        <scheme val="minor"/>
      </rPr>
      <t>tomato</t>
    </r>
  </si>
  <si>
    <r>
      <t xml:space="preserve">s_CF </t>
    </r>
    <r>
      <rPr>
        <vertAlign val="subscript"/>
        <sz val="11"/>
        <rFont val="Calibri"/>
        <family val="2"/>
        <scheme val="minor"/>
      </rPr>
      <t>cereal</t>
    </r>
  </si>
  <si>
    <r>
      <t xml:space="preserve">s_CF </t>
    </r>
    <r>
      <rPr>
        <vertAlign val="subscript"/>
        <sz val="11"/>
        <rFont val="Calibri"/>
        <family val="2"/>
        <scheme val="minor"/>
      </rPr>
      <t>rice</t>
    </r>
  </si>
  <si>
    <r>
      <t>s_IRAP</t>
    </r>
    <r>
      <rPr>
        <vertAlign val="subscript"/>
        <sz val="11"/>
        <color theme="1"/>
        <rFont val="Calibri"/>
        <family val="2"/>
        <scheme val="minor"/>
      </rPr>
      <t xml:space="preserve"> far-c</t>
    </r>
  </si>
  <si>
    <r>
      <t xml:space="preserve">s_IRAP </t>
    </r>
    <r>
      <rPr>
        <vertAlign val="subscript"/>
        <sz val="11"/>
        <color theme="1"/>
        <rFont val="Calibri"/>
        <family val="2"/>
        <scheme val="minor"/>
      </rPr>
      <t>far-a</t>
    </r>
  </si>
  <si>
    <r>
      <t xml:space="preserve">s_IFAP </t>
    </r>
    <r>
      <rPr>
        <vertAlign val="subscript"/>
        <sz val="11"/>
        <color theme="1"/>
        <rFont val="Calibri"/>
        <family val="2"/>
        <scheme val="minor"/>
      </rPr>
      <t>far-adj</t>
    </r>
  </si>
  <si>
    <r>
      <t>s_IRAS</t>
    </r>
    <r>
      <rPr>
        <vertAlign val="subscript"/>
        <sz val="11"/>
        <color theme="1"/>
        <rFont val="Calibri"/>
        <family val="2"/>
        <scheme val="minor"/>
      </rPr>
      <t xml:space="preserve"> far-c</t>
    </r>
  </si>
  <si>
    <r>
      <t xml:space="preserve">s_IRAS </t>
    </r>
    <r>
      <rPr>
        <vertAlign val="subscript"/>
        <sz val="11"/>
        <color theme="1"/>
        <rFont val="Calibri"/>
        <family val="2"/>
        <scheme val="minor"/>
      </rPr>
      <t>far-a</t>
    </r>
  </si>
  <si>
    <r>
      <t xml:space="preserve">s_IFAS </t>
    </r>
    <r>
      <rPr>
        <vertAlign val="subscript"/>
        <sz val="11"/>
        <color theme="1"/>
        <rFont val="Calibri"/>
        <family val="2"/>
        <scheme val="minor"/>
      </rPr>
      <t>far-adj</t>
    </r>
  </si>
  <si>
    <r>
      <t>s_IRBT</t>
    </r>
    <r>
      <rPr>
        <vertAlign val="subscript"/>
        <sz val="11"/>
        <color theme="1"/>
        <rFont val="Calibri"/>
        <family val="2"/>
        <scheme val="minor"/>
      </rPr>
      <t xml:space="preserve"> far-c</t>
    </r>
  </si>
  <si>
    <r>
      <t xml:space="preserve">s_IRBT </t>
    </r>
    <r>
      <rPr>
        <vertAlign val="subscript"/>
        <sz val="11"/>
        <color theme="1"/>
        <rFont val="Calibri"/>
        <family val="2"/>
        <scheme val="minor"/>
      </rPr>
      <t>far-a</t>
    </r>
  </si>
  <si>
    <r>
      <t xml:space="preserve">s_IFBT </t>
    </r>
    <r>
      <rPr>
        <vertAlign val="subscript"/>
        <sz val="11"/>
        <color theme="1"/>
        <rFont val="Calibri"/>
        <family val="2"/>
        <scheme val="minor"/>
      </rPr>
      <t>far-adj</t>
    </r>
  </si>
  <si>
    <r>
      <t>s_IRBE</t>
    </r>
    <r>
      <rPr>
        <vertAlign val="subscript"/>
        <sz val="11"/>
        <color theme="1"/>
        <rFont val="Calibri"/>
        <family val="2"/>
        <scheme val="minor"/>
      </rPr>
      <t xml:space="preserve"> far-c</t>
    </r>
  </si>
  <si>
    <r>
      <t xml:space="preserve">s_IRBE </t>
    </r>
    <r>
      <rPr>
        <vertAlign val="subscript"/>
        <sz val="11"/>
        <color theme="1"/>
        <rFont val="Calibri"/>
        <family val="2"/>
        <scheme val="minor"/>
      </rPr>
      <t>far-a</t>
    </r>
  </si>
  <si>
    <r>
      <t xml:space="preserve">s_IFBE </t>
    </r>
    <r>
      <rPr>
        <vertAlign val="subscript"/>
        <sz val="11"/>
        <color theme="1"/>
        <rFont val="Calibri"/>
        <family val="2"/>
        <scheme val="minor"/>
      </rPr>
      <t>far-adj</t>
    </r>
  </si>
  <si>
    <r>
      <t>s_IRBR</t>
    </r>
    <r>
      <rPr>
        <vertAlign val="subscript"/>
        <sz val="11"/>
        <color theme="1"/>
        <rFont val="Calibri"/>
        <family val="2"/>
        <scheme val="minor"/>
      </rPr>
      <t xml:space="preserve"> far-c</t>
    </r>
  </si>
  <si>
    <r>
      <t xml:space="preserve">s_IRBR </t>
    </r>
    <r>
      <rPr>
        <vertAlign val="subscript"/>
        <sz val="11"/>
        <color theme="1"/>
        <rFont val="Calibri"/>
        <family val="2"/>
        <scheme val="minor"/>
      </rPr>
      <t>far-a</t>
    </r>
  </si>
  <si>
    <r>
      <t xml:space="preserve">s_IFBR </t>
    </r>
    <r>
      <rPr>
        <vertAlign val="subscript"/>
        <sz val="11"/>
        <color theme="1"/>
        <rFont val="Calibri"/>
        <family val="2"/>
        <scheme val="minor"/>
      </rPr>
      <t>far-adj</t>
    </r>
  </si>
  <si>
    <r>
      <t>s_IRCB</t>
    </r>
    <r>
      <rPr>
        <vertAlign val="subscript"/>
        <sz val="11"/>
        <color theme="1"/>
        <rFont val="Calibri"/>
        <family val="2"/>
        <scheme val="minor"/>
      </rPr>
      <t xml:space="preserve"> far-c</t>
    </r>
  </si>
  <si>
    <r>
      <t xml:space="preserve">s_IRCB </t>
    </r>
    <r>
      <rPr>
        <vertAlign val="subscript"/>
        <sz val="11"/>
        <color theme="1"/>
        <rFont val="Calibri"/>
        <family val="2"/>
        <scheme val="minor"/>
      </rPr>
      <t>far-a</t>
    </r>
  </si>
  <si>
    <r>
      <t xml:space="preserve">s_IFCB </t>
    </r>
    <r>
      <rPr>
        <vertAlign val="subscript"/>
        <sz val="11"/>
        <color theme="1"/>
        <rFont val="Calibri"/>
        <family val="2"/>
        <scheme val="minor"/>
      </rPr>
      <t>far-adj</t>
    </r>
  </si>
  <si>
    <r>
      <t>s_IRCR</t>
    </r>
    <r>
      <rPr>
        <vertAlign val="subscript"/>
        <sz val="11"/>
        <color theme="1"/>
        <rFont val="Calibri"/>
        <family val="2"/>
        <scheme val="minor"/>
      </rPr>
      <t xml:space="preserve"> far-c</t>
    </r>
  </si>
  <si>
    <r>
      <t xml:space="preserve">s_IRCR </t>
    </r>
    <r>
      <rPr>
        <vertAlign val="subscript"/>
        <sz val="11"/>
        <color theme="1"/>
        <rFont val="Calibri"/>
        <family val="2"/>
        <scheme val="minor"/>
      </rPr>
      <t>far-a</t>
    </r>
  </si>
  <si>
    <r>
      <t xml:space="preserve">s_IFCR </t>
    </r>
    <r>
      <rPr>
        <vertAlign val="subscript"/>
        <sz val="11"/>
        <color theme="1"/>
        <rFont val="Calibri"/>
        <family val="2"/>
        <scheme val="minor"/>
      </rPr>
      <t>far-adj</t>
    </r>
  </si>
  <si>
    <r>
      <t>s_IRCG</t>
    </r>
    <r>
      <rPr>
        <vertAlign val="subscript"/>
        <sz val="11"/>
        <color theme="1"/>
        <rFont val="Calibri"/>
        <family val="2"/>
        <scheme val="minor"/>
      </rPr>
      <t xml:space="preserve"> far-c</t>
    </r>
  </si>
  <si>
    <r>
      <t xml:space="preserve">s_IRCG </t>
    </r>
    <r>
      <rPr>
        <vertAlign val="subscript"/>
        <sz val="11"/>
        <color theme="1"/>
        <rFont val="Calibri"/>
        <family val="2"/>
        <scheme val="minor"/>
      </rPr>
      <t>far-a</t>
    </r>
  </si>
  <si>
    <r>
      <t xml:space="preserve">s_IFCG </t>
    </r>
    <r>
      <rPr>
        <vertAlign val="subscript"/>
        <sz val="11"/>
        <color theme="1"/>
        <rFont val="Calibri"/>
        <family val="2"/>
        <scheme val="minor"/>
      </rPr>
      <t>far-adj</t>
    </r>
  </si>
  <si>
    <r>
      <t>s_IRCI</t>
    </r>
    <r>
      <rPr>
        <vertAlign val="subscript"/>
        <sz val="11"/>
        <color theme="1"/>
        <rFont val="Calibri"/>
        <family val="2"/>
        <scheme val="minor"/>
      </rPr>
      <t xml:space="preserve"> far-c</t>
    </r>
  </si>
  <si>
    <r>
      <t xml:space="preserve">s_IRCI </t>
    </r>
    <r>
      <rPr>
        <vertAlign val="subscript"/>
        <sz val="11"/>
        <color theme="1"/>
        <rFont val="Calibri"/>
        <family val="2"/>
        <scheme val="minor"/>
      </rPr>
      <t>far-a</t>
    </r>
  </si>
  <si>
    <r>
      <t xml:space="preserve">s_IFCI </t>
    </r>
    <r>
      <rPr>
        <vertAlign val="subscript"/>
        <sz val="11"/>
        <color theme="1"/>
        <rFont val="Calibri"/>
        <family val="2"/>
        <scheme val="minor"/>
      </rPr>
      <t>far-adj</t>
    </r>
  </si>
  <si>
    <r>
      <t>s_IRCO</t>
    </r>
    <r>
      <rPr>
        <vertAlign val="subscript"/>
        <sz val="11"/>
        <color theme="1"/>
        <rFont val="Calibri"/>
        <family val="2"/>
        <scheme val="minor"/>
      </rPr>
      <t xml:space="preserve"> far-c</t>
    </r>
  </si>
  <si>
    <r>
      <t xml:space="preserve">s_IRCO </t>
    </r>
    <r>
      <rPr>
        <vertAlign val="subscript"/>
        <sz val="11"/>
        <color theme="1"/>
        <rFont val="Calibri"/>
        <family val="2"/>
        <scheme val="minor"/>
      </rPr>
      <t>far-a</t>
    </r>
  </si>
  <si>
    <r>
      <t xml:space="preserve">s_IFCO </t>
    </r>
    <r>
      <rPr>
        <vertAlign val="subscript"/>
        <sz val="11"/>
        <color theme="1"/>
        <rFont val="Calibri"/>
        <family val="2"/>
        <scheme val="minor"/>
      </rPr>
      <t>far-adj</t>
    </r>
  </si>
  <si>
    <r>
      <t>s_IRCU</t>
    </r>
    <r>
      <rPr>
        <vertAlign val="subscript"/>
        <sz val="11"/>
        <color theme="1"/>
        <rFont val="Calibri"/>
        <family val="2"/>
        <scheme val="minor"/>
      </rPr>
      <t xml:space="preserve"> far-c</t>
    </r>
  </si>
  <si>
    <r>
      <t xml:space="preserve">s_IRCU </t>
    </r>
    <r>
      <rPr>
        <vertAlign val="subscript"/>
        <sz val="11"/>
        <color theme="1"/>
        <rFont val="Calibri"/>
        <family val="2"/>
        <scheme val="minor"/>
      </rPr>
      <t>far-a</t>
    </r>
  </si>
  <si>
    <r>
      <t xml:space="preserve">s_IFCU </t>
    </r>
    <r>
      <rPr>
        <vertAlign val="subscript"/>
        <sz val="11"/>
        <color theme="1"/>
        <rFont val="Calibri"/>
        <family val="2"/>
        <scheme val="minor"/>
      </rPr>
      <t>far-adj</t>
    </r>
  </si>
  <si>
    <r>
      <t>s_IRLE</t>
    </r>
    <r>
      <rPr>
        <vertAlign val="subscript"/>
        <sz val="11"/>
        <color theme="1"/>
        <rFont val="Calibri"/>
        <family val="2"/>
        <scheme val="minor"/>
      </rPr>
      <t xml:space="preserve"> far-c</t>
    </r>
  </si>
  <si>
    <r>
      <t xml:space="preserve">s_IRLE </t>
    </r>
    <r>
      <rPr>
        <vertAlign val="subscript"/>
        <sz val="11"/>
        <color theme="1"/>
        <rFont val="Calibri"/>
        <family val="2"/>
        <scheme val="minor"/>
      </rPr>
      <t>far-a</t>
    </r>
  </si>
  <si>
    <r>
      <t xml:space="preserve">s_IFLE </t>
    </r>
    <r>
      <rPr>
        <vertAlign val="subscript"/>
        <sz val="11"/>
        <color theme="1"/>
        <rFont val="Calibri"/>
        <family val="2"/>
        <scheme val="minor"/>
      </rPr>
      <t>far-adj</t>
    </r>
  </si>
  <si>
    <r>
      <t>s_IRLI</t>
    </r>
    <r>
      <rPr>
        <vertAlign val="subscript"/>
        <sz val="11"/>
        <color theme="1"/>
        <rFont val="Calibri"/>
        <family val="2"/>
        <scheme val="minor"/>
      </rPr>
      <t xml:space="preserve"> far-c</t>
    </r>
  </si>
  <si>
    <r>
      <t xml:space="preserve">s_IRLI </t>
    </r>
    <r>
      <rPr>
        <vertAlign val="subscript"/>
        <sz val="11"/>
        <color theme="1"/>
        <rFont val="Calibri"/>
        <family val="2"/>
        <scheme val="minor"/>
      </rPr>
      <t>far-a</t>
    </r>
  </si>
  <si>
    <r>
      <t xml:space="preserve">s_IFLI </t>
    </r>
    <r>
      <rPr>
        <vertAlign val="subscript"/>
        <sz val="11"/>
        <color theme="1"/>
        <rFont val="Calibri"/>
        <family val="2"/>
        <scheme val="minor"/>
      </rPr>
      <t>far-adj</t>
    </r>
  </si>
  <si>
    <r>
      <t>s_IROK</t>
    </r>
    <r>
      <rPr>
        <vertAlign val="subscript"/>
        <sz val="11"/>
        <color theme="1"/>
        <rFont val="Calibri"/>
        <family val="2"/>
        <scheme val="minor"/>
      </rPr>
      <t xml:space="preserve"> far-c</t>
    </r>
  </si>
  <si>
    <r>
      <t xml:space="preserve">s_IROK </t>
    </r>
    <r>
      <rPr>
        <vertAlign val="subscript"/>
        <sz val="11"/>
        <color theme="1"/>
        <rFont val="Calibri"/>
        <family val="2"/>
        <scheme val="minor"/>
      </rPr>
      <t>far-a</t>
    </r>
  </si>
  <si>
    <r>
      <t xml:space="preserve">s_IFOK </t>
    </r>
    <r>
      <rPr>
        <vertAlign val="subscript"/>
        <sz val="11"/>
        <color theme="1"/>
        <rFont val="Calibri"/>
        <family val="2"/>
        <scheme val="minor"/>
      </rPr>
      <t>far-adj</t>
    </r>
  </si>
  <si>
    <r>
      <t>s_IRON</t>
    </r>
    <r>
      <rPr>
        <vertAlign val="subscript"/>
        <sz val="11"/>
        <color theme="1"/>
        <rFont val="Calibri"/>
        <family val="2"/>
        <scheme val="minor"/>
      </rPr>
      <t xml:space="preserve"> far-c</t>
    </r>
  </si>
  <si>
    <r>
      <t xml:space="preserve">s_IRON </t>
    </r>
    <r>
      <rPr>
        <vertAlign val="subscript"/>
        <sz val="11"/>
        <color theme="1"/>
        <rFont val="Calibri"/>
        <family val="2"/>
        <scheme val="minor"/>
      </rPr>
      <t>far-a</t>
    </r>
  </si>
  <si>
    <r>
      <t xml:space="preserve">s_IFON </t>
    </r>
    <r>
      <rPr>
        <vertAlign val="subscript"/>
        <sz val="11"/>
        <color theme="1"/>
        <rFont val="Calibri"/>
        <family val="2"/>
        <scheme val="minor"/>
      </rPr>
      <t>far-adj</t>
    </r>
  </si>
  <si>
    <r>
      <t>s_IRPC</t>
    </r>
    <r>
      <rPr>
        <vertAlign val="subscript"/>
        <sz val="11"/>
        <color theme="1"/>
        <rFont val="Calibri"/>
        <family val="2"/>
        <scheme val="minor"/>
      </rPr>
      <t xml:space="preserve"> far-c</t>
    </r>
  </si>
  <si>
    <r>
      <t xml:space="preserve">s_IRPC </t>
    </r>
    <r>
      <rPr>
        <vertAlign val="subscript"/>
        <sz val="11"/>
        <color theme="1"/>
        <rFont val="Calibri"/>
        <family val="2"/>
        <scheme val="minor"/>
      </rPr>
      <t>far-a</t>
    </r>
  </si>
  <si>
    <r>
      <t xml:space="preserve">s_IFPC </t>
    </r>
    <r>
      <rPr>
        <vertAlign val="subscript"/>
        <sz val="11"/>
        <color theme="1"/>
        <rFont val="Calibri"/>
        <family val="2"/>
        <scheme val="minor"/>
      </rPr>
      <t>far-adj</t>
    </r>
  </si>
  <si>
    <r>
      <t>s_IRPR</t>
    </r>
    <r>
      <rPr>
        <vertAlign val="subscript"/>
        <sz val="11"/>
        <color theme="1"/>
        <rFont val="Calibri"/>
        <family val="2"/>
        <scheme val="minor"/>
      </rPr>
      <t xml:space="preserve"> far-c</t>
    </r>
  </si>
  <si>
    <r>
      <t xml:space="preserve">s_IRPR </t>
    </r>
    <r>
      <rPr>
        <vertAlign val="subscript"/>
        <sz val="11"/>
        <color theme="1"/>
        <rFont val="Calibri"/>
        <family val="2"/>
        <scheme val="minor"/>
      </rPr>
      <t>far-a</t>
    </r>
  </si>
  <si>
    <r>
      <t xml:space="preserve">s_IFPR </t>
    </r>
    <r>
      <rPr>
        <vertAlign val="subscript"/>
        <sz val="11"/>
        <color theme="1"/>
        <rFont val="Calibri"/>
        <family val="2"/>
        <scheme val="minor"/>
      </rPr>
      <t>far-adj</t>
    </r>
  </si>
  <si>
    <r>
      <t>s_IRPE</t>
    </r>
    <r>
      <rPr>
        <vertAlign val="subscript"/>
        <sz val="11"/>
        <color theme="1"/>
        <rFont val="Calibri"/>
        <family val="2"/>
        <scheme val="minor"/>
      </rPr>
      <t xml:space="preserve"> far-c</t>
    </r>
  </si>
  <si>
    <r>
      <t xml:space="preserve">s_IRPE </t>
    </r>
    <r>
      <rPr>
        <vertAlign val="subscript"/>
        <sz val="11"/>
        <color theme="1"/>
        <rFont val="Calibri"/>
        <family val="2"/>
        <scheme val="minor"/>
      </rPr>
      <t>far-a</t>
    </r>
  </si>
  <si>
    <r>
      <t xml:space="preserve">s_IFPE </t>
    </r>
    <r>
      <rPr>
        <vertAlign val="subscript"/>
        <sz val="11"/>
        <color theme="1"/>
        <rFont val="Calibri"/>
        <family val="2"/>
        <scheme val="minor"/>
      </rPr>
      <t>far-adj</t>
    </r>
  </si>
  <si>
    <r>
      <t>s_IRPT</t>
    </r>
    <r>
      <rPr>
        <vertAlign val="subscript"/>
        <sz val="11"/>
        <color theme="1"/>
        <rFont val="Calibri"/>
        <family val="2"/>
        <scheme val="minor"/>
      </rPr>
      <t xml:space="preserve"> far-c</t>
    </r>
  </si>
  <si>
    <r>
      <t xml:space="preserve">s_IRPT </t>
    </r>
    <r>
      <rPr>
        <vertAlign val="subscript"/>
        <sz val="11"/>
        <color theme="1"/>
        <rFont val="Calibri"/>
        <family val="2"/>
        <scheme val="minor"/>
      </rPr>
      <t>far-a</t>
    </r>
  </si>
  <si>
    <r>
      <t xml:space="preserve">s_IFPT </t>
    </r>
    <r>
      <rPr>
        <vertAlign val="subscript"/>
        <sz val="11"/>
        <color theme="1"/>
        <rFont val="Calibri"/>
        <family val="2"/>
        <scheme val="minor"/>
      </rPr>
      <t>far-adj</t>
    </r>
  </si>
  <si>
    <r>
      <t>s_IRPU</t>
    </r>
    <r>
      <rPr>
        <vertAlign val="subscript"/>
        <sz val="11"/>
        <color theme="1"/>
        <rFont val="Calibri"/>
        <family val="2"/>
        <scheme val="minor"/>
      </rPr>
      <t xml:space="preserve"> far-c</t>
    </r>
  </si>
  <si>
    <r>
      <t xml:space="preserve">s_IRPU </t>
    </r>
    <r>
      <rPr>
        <vertAlign val="subscript"/>
        <sz val="11"/>
        <color theme="1"/>
        <rFont val="Calibri"/>
        <family val="2"/>
        <scheme val="minor"/>
      </rPr>
      <t>far-a</t>
    </r>
  </si>
  <si>
    <r>
      <t xml:space="preserve">s_IFPU </t>
    </r>
    <r>
      <rPr>
        <vertAlign val="subscript"/>
        <sz val="11"/>
        <color theme="1"/>
        <rFont val="Calibri"/>
        <family val="2"/>
        <scheme val="minor"/>
      </rPr>
      <t>far-adj</t>
    </r>
  </si>
  <si>
    <r>
      <t>s_IRRI</t>
    </r>
    <r>
      <rPr>
        <vertAlign val="subscript"/>
        <sz val="11"/>
        <color theme="1"/>
        <rFont val="Calibri"/>
        <family val="2"/>
        <scheme val="minor"/>
      </rPr>
      <t xml:space="preserve"> far-c</t>
    </r>
  </si>
  <si>
    <r>
      <t xml:space="preserve">s_IRRI </t>
    </r>
    <r>
      <rPr>
        <vertAlign val="subscript"/>
        <sz val="11"/>
        <color theme="1"/>
        <rFont val="Calibri"/>
        <family val="2"/>
        <scheme val="minor"/>
      </rPr>
      <t>far-a</t>
    </r>
  </si>
  <si>
    <r>
      <t xml:space="preserve">s_IFRI </t>
    </r>
    <r>
      <rPr>
        <vertAlign val="subscript"/>
        <sz val="11"/>
        <color theme="1"/>
        <rFont val="Calibri"/>
        <family val="2"/>
        <scheme val="minor"/>
      </rPr>
      <t>far-adj</t>
    </r>
  </si>
  <si>
    <r>
      <t>s_IRSN</t>
    </r>
    <r>
      <rPr>
        <vertAlign val="subscript"/>
        <sz val="11"/>
        <color theme="1"/>
        <rFont val="Calibri"/>
        <family val="2"/>
        <scheme val="minor"/>
      </rPr>
      <t xml:space="preserve"> far-c</t>
    </r>
  </si>
  <si>
    <r>
      <t xml:space="preserve">s_IRSN </t>
    </r>
    <r>
      <rPr>
        <vertAlign val="subscript"/>
        <sz val="11"/>
        <color theme="1"/>
        <rFont val="Calibri"/>
        <family val="2"/>
        <scheme val="minor"/>
      </rPr>
      <t>far-a</t>
    </r>
  </si>
  <si>
    <r>
      <t xml:space="preserve">s_IFSN </t>
    </r>
    <r>
      <rPr>
        <vertAlign val="subscript"/>
        <sz val="11"/>
        <color theme="1"/>
        <rFont val="Calibri"/>
        <family val="2"/>
        <scheme val="minor"/>
      </rPr>
      <t>far-adj</t>
    </r>
  </si>
  <si>
    <r>
      <t>s_IRST</t>
    </r>
    <r>
      <rPr>
        <vertAlign val="subscript"/>
        <sz val="11"/>
        <color theme="1"/>
        <rFont val="Calibri"/>
        <family val="2"/>
        <scheme val="minor"/>
      </rPr>
      <t xml:space="preserve"> far-c</t>
    </r>
  </si>
  <si>
    <r>
      <t xml:space="preserve">s_IRST </t>
    </r>
    <r>
      <rPr>
        <vertAlign val="subscript"/>
        <sz val="11"/>
        <color theme="1"/>
        <rFont val="Calibri"/>
        <family val="2"/>
        <scheme val="minor"/>
      </rPr>
      <t>far-a</t>
    </r>
  </si>
  <si>
    <r>
      <t xml:space="preserve">s_IFST </t>
    </r>
    <r>
      <rPr>
        <vertAlign val="subscript"/>
        <sz val="11"/>
        <color theme="1"/>
        <rFont val="Calibri"/>
        <family val="2"/>
        <scheme val="minor"/>
      </rPr>
      <t>far-adj</t>
    </r>
  </si>
  <si>
    <r>
      <t>s_IRTO</t>
    </r>
    <r>
      <rPr>
        <vertAlign val="subscript"/>
        <sz val="11"/>
        <color theme="1"/>
        <rFont val="Calibri"/>
        <family val="2"/>
        <scheme val="minor"/>
      </rPr>
      <t xml:space="preserve"> far-c</t>
    </r>
  </si>
  <si>
    <r>
      <t xml:space="preserve">s_IRTO </t>
    </r>
    <r>
      <rPr>
        <vertAlign val="subscript"/>
        <sz val="11"/>
        <color theme="1"/>
        <rFont val="Calibri"/>
        <family val="2"/>
        <scheme val="minor"/>
      </rPr>
      <t>far-a</t>
    </r>
  </si>
  <si>
    <r>
      <t xml:space="preserve">s_IFTO </t>
    </r>
    <r>
      <rPr>
        <vertAlign val="subscript"/>
        <sz val="11"/>
        <color theme="1"/>
        <rFont val="Calibri"/>
        <family val="2"/>
        <scheme val="minor"/>
      </rPr>
      <t>far-adj</t>
    </r>
  </si>
  <si>
    <r>
      <t xml:space="preserve">s_MLF </t>
    </r>
    <r>
      <rPr>
        <vertAlign val="subscript"/>
        <sz val="11"/>
        <rFont val="Calibri"/>
        <family val="2"/>
        <scheme val="minor"/>
      </rPr>
      <t>apple</t>
    </r>
  </si>
  <si>
    <r>
      <t xml:space="preserve">s_MLF </t>
    </r>
    <r>
      <rPr>
        <vertAlign val="subscript"/>
        <sz val="11"/>
        <rFont val="Calibri"/>
        <family val="2"/>
        <scheme val="minor"/>
      </rPr>
      <t>asparagus</t>
    </r>
  </si>
  <si>
    <r>
      <t xml:space="preserve">s_MLF </t>
    </r>
    <r>
      <rPr>
        <vertAlign val="subscript"/>
        <sz val="11"/>
        <rFont val="Calibri"/>
        <family val="2"/>
        <scheme val="minor"/>
      </rPr>
      <t>beet</t>
    </r>
  </si>
  <si>
    <r>
      <t xml:space="preserve">s_MLF </t>
    </r>
    <r>
      <rPr>
        <vertAlign val="subscript"/>
        <sz val="11"/>
        <rFont val="Calibri"/>
        <family val="2"/>
        <scheme val="minor"/>
      </rPr>
      <t>berries</t>
    </r>
  </si>
  <si>
    <r>
      <t xml:space="preserve">s_MLF </t>
    </r>
    <r>
      <rPr>
        <vertAlign val="subscript"/>
        <sz val="11"/>
        <rFont val="Calibri"/>
        <family val="2"/>
        <scheme val="minor"/>
      </rPr>
      <t>broccoli</t>
    </r>
  </si>
  <si>
    <r>
      <t xml:space="preserve">s_MLF </t>
    </r>
    <r>
      <rPr>
        <vertAlign val="subscript"/>
        <sz val="11"/>
        <rFont val="Calibri"/>
        <family val="2"/>
        <scheme val="minor"/>
      </rPr>
      <t>cabbage</t>
    </r>
  </si>
  <si>
    <r>
      <t xml:space="preserve">s_MLF </t>
    </r>
    <r>
      <rPr>
        <vertAlign val="subscript"/>
        <sz val="11"/>
        <rFont val="Calibri"/>
        <family val="2"/>
        <scheme val="minor"/>
      </rPr>
      <t>carrot</t>
    </r>
  </si>
  <si>
    <r>
      <t xml:space="preserve">s_MLF </t>
    </r>
    <r>
      <rPr>
        <vertAlign val="subscript"/>
        <sz val="11"/>
        <rFont val="Calibri"/>
        <family val="2"/>
        <scheme val="minor"/>
      </rPr>
      <t>citrus</t>
    </r>
  </si>
  <si>
    <r>
      <t xml:space="preserve">s_MLF </t>
    </r>
    <r>
      <rPr>
        <vertAlign val="subscript"/>
        <sz val="11"/>
        <rFont val="Calibri"/>
        <family val="2"/>
        <scheme val="minor"/>
      </rPr>
      <t>corn</t>
    </r>
  </si>
  <si>
    <r>
      <t xml:space="preserve">s_MLF </t>
    </r>
    <r>
      <rPr>
        <vertAlign val="subscript"/>
        <sz val="11"/>
        <rFont val="Calibri"/>
        <family val="2"/>
        <scheme val="minor"/>
      </rPr>
      <t>cucumber</t>
    </r>
  </si>
  <si>
    <r>
      <t xml:space="preserve">s_MLF </t>
    </r>
    <r>
      <rPr>
        <vertAlign val="subscript"/>
        <sz val="11"/>
        <rFont val="Calibri"/>
        <family val="2"/>
        <scheme val="minor"/>
      </rPr>
      <t>lettuce</t>
    </r>
  </si>
  <si>
    <r>
      <t xml:space="preserve">s_MLF </t>
    </r>
    <r>
      <rPr>
        <vertAlign val="subscript"/>
        <sz val="11"/>
        <rFont val="Calibri"/>
        <family val="2"/>
        <scheme val="minor"/>
      </rPr>
      <t>lima bean</t>
    </r>
  </si>
  <si>
    <r>
      <t xml:space="preserve">s_MLF </t>
    </r>
    <r>
      <rPr>
        <vertAlign val="subscript"/>
        <sz val="11"/>
        <rFont val="Calibri"/>
        <family val="2"/>
        <scheme val="minor"/>
      </rPr>
      <t>okra</t>
    </r>
  </si>
  <si>
    <r>
      <t xml:space="preserve">s_MLF </t>
    </r>
    <r>
      <rPr>
        <vertAlign val="subscript"/>
        <sz val="11"/>
        <rFont val="Calibri"/>
        <family val="2"/>
        <scheme val="minor"/>
      </rPr>
      <t>onion</t>
    </r>
  </si>
  <si>
    <r>
      <t xml:space="preserve">s_MLF </t>
    </r>
    <r>
      <rPr>
        <vertAlign val="subscript"/>
        <sz val="11"/>
        <rFont val="Calibri"/>
        <family val="2"/>
        <scheme val="minor"/>
      </rPr>
      <t>peach</t>
    </r>
  </si>
  <si>
    <r>
      <t xml:space="preserve">s_MLF </t>
    </r>
    <r>
      <rPr>
        <vertAlign val="subscript"/>
        <sz val="11"/>
        <rFont val="Calibri"/>
        <family val="2"/>
        <scheme val="minor"/>
      </rPr>
      <t>pear</t>
    </r>
  </si>
  <si>
    <r>
      <t xml:space="preserve">s_MLF </t>
    </r>
    <r>
      <rPr>
        <vertAlign val="subscript"/>
        <sz val="11"/>
        <rFont val="Calibri"/>
        <family val="2"/>
        <scheme val="minor"/>
      </rPr>
      <t>peas</t>
    </r>
  </si>
  <si>
    <r>
      <t xml:space="preserve">s_MLF </t>
    </r>
    <r>
      <rPr>
        <vertAlign val="subscript"/>
        <sz val="11"/>
        <rFont val="Calibri"/>
        <family val="2"/>
        <scheme val="minor"/>
      </rPr>
      <t>potato</t>
    </r>
  </si>
  <si>
    <r>
      <t xml:space="preserve">s_MLF </t>
    </r>
    <r>
      <rPr>
        <vertAlign val="subscript"/>
        <sz val="11"/>
        <rFont val="Calibri"/>
        <family val="2"/>
        <scheme val="minor"/>
      </rPr>
      <t>pumpkin</t>
    </r>
  </si>
  <si>
    <r>
      <t xml:space="preserve">s_MLF </t>
    </r>
    <r>
      <rPr>
        <vertAlign val="subscript"/>
        <sz val="11"/>
        <rFont val="Calibri"/>
        <family val="2"/>
        <scheme val="minor"/>
      </rPr>
      <t>snap bean</t>
    </r>
  </si>
  <si>
    <r>
      <t xml:space="preserve">s_MLF </t>
    </r>
    <r>
      <rPr>
        <vertAlign val="subscript"/>
        <sz val="11"/>
        <rFont val="Calibri"/>
        <family val="2"/>
        <scheme val="minor"/>
      </rPr>
      <t>strawberry</t>
    </r>
  </si>
  <si>
    <r>
      <t xml:space="preserve">s_MLF </t>
    </r>
    <r>
      <rPr>
        <vertAlign val="subscript"/>
        <sz val="11"/>
        <rFont val="Calibri"/>
        <family val="2"/>
        <scheme val="minor"/>
      </rPr>
      <t>tomato</t>
    </r>
  </si>
  <si>
    <r>
      <t xml:space="preserve">s_MLF </t>
    </r>
    <r>
      <rPr>
        <vertAlign val="subscript"/>
        <sz val="11"/>
        <rFont val="Calibri"/>
        <family val="2"/>
        <scheme val="minor"/>
      </rPr>
      <t>cereal</t>
    </r>
  </si>
  <si>
    <r>
      <t xml:space="preserve">s_MLF </t>
    </r>
    <r>
      <rPr>
        <vertAlign val="subscript"/>
        <sz val="11"/>
        <rFont val="Calibri"/>
        <family val="2"/>
        <scheme val="minor"/>
      </rPr>
      <t>rice</t>
    </r>
  </si>
  <si>
    <r>
      <t xml:space="preserve">s_CF </t>
    </r>
    <r>
      <rPr>
        <vertAlign val="subscript"/>
        <sz val="11"/>
        <rFont val="Calibri"/>
        <family val="2"/>
        <scheme val="minor"/>
      </rPr>
      <t>far-goat</t>
    </r>
  </si>
  <si>
    <r>
      <t xml:space="preserve">s_CF </t>
    </r>
    <r>
      <rPr>
        <vertAlign val="subscript"/>
        <sz val="11"/>
        <rFont val="Calibri"/>
        <family val="2"/>
        <scheme val="minor"/>
      </rPr>
      <t>far-sheep-milk</t>
    </r>
  </si>
  <si>
    <r>
      <t xml:space="preserve">s_CF </t>
    </r>
    <r>
      <rPr>
        <vertAlign val="subscript"/>
        <sz val="11"/>
        <rFont val="Calibri"/>
        <family val="2"/>
        <scheme val="minor"/>
      </rPr>
      <t>far-goat-milk</t>
    </r>
  </si>
  <si>
    <r>
      <t>s_IRGO</t>
    </r>
    <r>
      <rPr>
        <vertAlign val="subscript"/>
        <sz val="11"/>
        <color theme="1"/>
        <rFont val="Calibri"/>
        <family val="2"/>
        <scheme val="minor"/>
      </rPr>
      <t xml:space="preserve"> far-c</t>
    </r>
  </si>
  <si>
    <r>
      <t xml:space="preserve">s_IRGO </t>
    </r>
    <r>
      <rPr>
        <vertAlign val="subscript"/>
        <sz val="11"/>
        <color theme="1"/>
        <rFont val="Calibri"/>
        <family val="2"/>
        <scheme val="minor"/>
      </rPr>
      <t>far-a</t>
    </r>
  </si>
  <si>
    <r>
      <t xml:space="preserve">s_IFGO </t>
    </r>
    <r>
      <rPr>
        <vertAlign val="subscript"/>
        <sz val="11"/>
        <color theme="1"/>
        <rFont val="Calibri"/>
        <family val="2"/>
        <scheme val="minor"/>
      </rPr>
      <t>far-adj</t>
    </r>
  </si>
  <si>
    <r>
      <t>s_IRSM</t>
    </r>
    <r>
      <rPr>
        <vertAlign val="subscript"/>
        <sz val="11"/>
        <color theme="1"/>
        <rFont val="Calibri"/>
        <family val="2"/>
        <scheme val="minor"/>
      </rPr>
      <t xml:space="preserve"> far-c</t>
    </r>
  </si>
  <si>
    <r>
      <t xml:space="preserve">s_IRSM </t>
    </r>
    <r>
      <rPr>
        <vertAlign val="subscript"/>
        <sz val="11"/>
        <color theme="1"/>
        <rFont val="Calibri"/>
        <family val="2"/>
        <scheme val="minor"/>
      </rPr>
      <t>far-a</t>
    </r>
  </si>
  <si>
    <r>
      <t xml:space="preserve">s_IFSM </t>
    </r>
    <r>
      <rPr>
        <vertAlign val="subscript"/>
        <sz val="11"/>
        <color theme="1"/>
        <rFont val="Calibri"/>
        <family val="2"/>
        <scheme val="minor"/>
      </rPr>
      <t>far-adj</t>
    </r>
  </si>
  <si>
    <r>
      <t>s_IRGM</t>
    </r>
    <r>
      <rPr>
        <vertAlign val="subscript"/>
        <sz val="11"/>
        <color theme="1"/>
        <rFont val="Calibri"/>
        <family val="2"/>
        <scheme val="minor"/>
      </rPr>
      <t xml:space="preserve"> far-c</t>
    </r>
  </si>
  <si>
    <r>
      <t xml:space="preserve">s_IRGM </t>
    </r>
    <r>
      <rPr>
        <vertAlign val="subscript"/>
        <sz val="11"/>
        <color theme="1"/>
        <rFont val="Calibri"/>
        <family val="2"/>
        <scheme val="minor"/>
      </rPr>
      <t>far-a</t>
    </r>
  </si>
  <si>
    <r>
      <t xml:space="preserve">s_IFGM </t>
    </r>
    <r>
      <rPr>
        <vertAlign val="subscript"/>
        <sz val="11"/>
        <color theme="1"/>
        <rFont val="Calibri"/>
        <family val="2"/>
        <scheme val="minor"/>
      </rPr>
      <t>far-adj</t>
    </r>
  </si>
  <si>
    <r>
      <t xml:space="preserve">s_D </t>
    </r>
    <r>
      <rPr>
        <vertAlign val="subscript"/>
        <sz val="11"/>
        <rFont val="Calibri"/>
        <family val="2"/>
        <scheme val="minor"/>
      </rPr>
      <t>milk</t>
    </r>
  </si>
  <si>
    <r>
      <t xml:space="preserve">s_Q </t>
    </r>
    <r>
      <rPr>
        <vertAlign val="subscript"/>
        <sz val="11"/>
        <rFont val="Calibri"/>
        <family val="2"/>
        <scheme val="minor"/>
      </rPr>
      <t>w-goat</t>
    </r>
  </si>
  <si>
    <r>
      <t xml:space="preserve">s_Q </t>
    </r>
    <r>
      <rPr>
        <vertAlign val="subscript"/>
        <sz val="11"/>
        <rFont val="Calibri"/>
        <family val="2"/>
        <scheme val="minor"/>
      </rPr>
      <t>p-goat</t>
    </r>
  </si>
  <si>
    <r>
      <t xml:space="preserve">s_Q </t>
    </r>
    <r>
      <rPr>
        <vertAlign val="subscript"/>
        <sz val="11"/>
        <rFont val="Calibri"/>
        <family val="2"/>
        <scheme val="minor"/>
      </rPr>
      <t>s-goat</t>
    </r>
  </si>
  <si>
    <r>
      <t xml:space="preserve">s_f </t>
    </r>
    <r>
      <rPr>
        <vertAlign val="subscript"/>
        <sz val="11"/>
        <rFont val="Calibri"/>
        <family val="2"/>
        <scheme val="minor"/>
      </rPr>
      <t>p-goat</t>
    </r>
  </si>
  <si>
    <r>
      <t xml:space="preserve">s_f </t>
    </r>
    <r>
      <rPr>
        <vertAlign val="subscript"/>
        <sz val="11"/>
        <rFont val="Calibri"/>
        <family val="2"/>
        <scheme val="minor"/>
      </rPr>
      <t>s-goat</t>
    </r>
  </si>
  <si>
    <r>
      <t xml:space="preserve">s_Q </t>
    </r>
    <r>
      <rPr>
        <vertAlign val="subscript"/>
        <sz val="11"/>
        <rFont val="Calibri"/>
        <family val="2"/>
        <scheme val="minor"/>
      </rPr>
      <t>w-goat-milk</t>
    </r>
  </si>
  <si>
    <r>
      <t xml:space="preserve">s_Q </t>
    </r>
    <r>
      <rPr>
        <vertAlign val="subscript"/>
        <sz val="11"/>
        <rFont val="Calibri"/>
        <family val="2"/>
        <scheme val="minor"/>
      </rPr>
      <t>p-goat-milk</t>
    </r>
  </si>
  <si>
    <r>
      <t xml:space="preserve">s_Q </t>
    </r>
    <r>
      <rPr>
        <vertAlign val="subscript"/>
        <sz val="11"/>
        <rFont val="Calibri"/>
        <family val="2"/>
        <scheme val="minor"/>
      </rPr>
      <t>s-goat-milk</t>
    </r>
  </si>
  <si>
    <r>
      <t xml:space="preserve">s_f </t>
    </r>
    <r>
      <rPr>
        <vertAlign val="subscript"/>
        <sz val="11"/>
        <rFont val="Calibri"/>
        <family val="2"/>
        <scheme val="minor"/>
      </rPr>
      <t>p-goat-milk</t>
    </r>
  </si>
  <si>
    <r>
      <t xml:space="preserve">s_f </t>
    </r>
    <r>
      <rPr>
        <vertAlign val="subscript"/>
        <sz val="11"/>
        <rFont val="Calibri"/>
        <family val="2"/>
        <scheme val="minor"/>
      </rPr>
      <t>s-goat-milk</t>
    </r>
  </si>
  <si>
    <r>
      <t xml:space="preserve">s_Q </t>
    </r>
    <r>
      <rPr>
        <vertAlign val="subscript"/>
        <sz val="11"/>
        <rFont val="Calibri"/>
        <family val="2"/>
        <scheme val="minor"/>
      </rPr>
      <t>w-sheep-milk</t>
    </r>
  </si>
  <si>
    <r>
      <t xml:space="preserve">s_Q </t>
    </r>
    <r>
      <rPr>
        <vertAlign val="subscript"/>
        <sz val="11"/>
        <rFont val="Calibri"/>
        <family val="2"/>
        <scheme val="minor"/>
      </rPr>
      <t>p-sheep-milk</t>
    </r>
  </si>
  <si>
    <r>
      <t xml:space="preserve">s_Q </t>
    </r>
    <r>
      <rPr>
        <vertAlign val="subscript"/>
        <sz val="11"/>
        <rFont val="Calibri"/>
        <family val="2"/>
        <scheme val="minor"/>
      </rPr>
      <t>s-sheep-milk</t>
    </r>
  </si>
  <si>
    <r>
      <t xml:space="preserve">s_f </t>
    </r>
    <r>
      <rPr>
        <vertAlign val="subscript"/>
        <sz val="11"/>
        <rFont val="Calibri"/>
        <family val="2"/>
        <scheme val="minor"/>
      </rPr>
      <t>p-sheep-milk</t>
    </r>
  </si>
  <si>
    <r>
      <t xml:space="preserve">s_f </t>
    </r>
    <r>
      <rPr>
        <vertAlign val="subscript"/>
        <sz val="11"/>
        <rFont val="Calibri"/>
        <family val="2"/>
        <scheme val="minor"/>
      </rPr>
      <t>s-sheep-milk</t>
    </r>
  </si>
  <si>
    <r>
      <t xml:space="preserve">s_L </t>
    </r>
    <r>
      <rPr>
        <vertAlign val="subscript"/>
        <sz val="11"/>
        <color theme="1"/>
        <rFont val="Calibri"/>
        <family val="2"/>
        <scheme val="minor"/>
      </rPr>
      <t>s2gw</t>
    </r>
  </si>
  <si>
    <r>
      <t>s_l</t>
    </r>
    <r>
      <rPr>
        <vertAlign val="subscript"/>
        <sz val="11"/>
        <color theme="1"/>
        <rFont val="Calibri"/>
        <family val="2"/>
        <scheme val="minor"/>
      </rPr>
      <t>s2gw</t>
    </r>
  </si>
  <si>
    <r>
      <t xml:space="preserve">s_t </t>
    </r>
    <r>
      <rPr>
        <vertAlign val="subscript"/>
        <sz val="11"/>
        <color theme="1"/>
        <rFont val="Calibri"/>
        <family val="2"/>
        <scheme val="minor"/>
      </rPr>
      <t>res</t>
    </r>
  </si>
  <si>
    <r>
      <t xml:space="preserve">s_IRA </t>
    </r>
    <r>
      <rPr>
        <vertAlign val="subscript"/>
        <sz val="11"/>
        <color theme="1"/>
        <rFont val="Calibri"/>
        <family val="2"/>
        <scheme val="minor"/>
      </rPr>
      <t>res-c</t>
    </r>
  </si>
  <si>
    <r>
      <t xml:space="preserve">s_IRA </t>
    </r>
    <r>
      <rPr>
        <vertAlign val="subscript"/>
        <sz val="11"/>
        <color theme="1"/>
        <rFont val="Calibri"/>
        <family val="2"/>
        <scheme val="minor"/>
      </rPr>
      <t>res-a</t>
    </r>
  </si>
  <si>
    <r>
      <t xml:space="preserve">s_IFA </t>
    </r>
    <r>
      <rPr>
        <vertAlign val="subscript"/>
        <sz val="11"/>
        <color theme="1"/>
        <rFont val="Calibri"/>
        <family val="2"/>
        <scheme val="minor"/>
      </rPr>
      <t>res-adj</t>
    </r>
  </si>
  <si>
    <r>
      <t xml:space="preserve">s_DFA </t>
    </r>
    <r>
      <rPr>
        <vertAlign val="subscript"/>
        <sz val="11"/>
        <color theme="1"/>
        <rFont val="Calibri"/>
        <family val="2"/>
        <scheme val="minor"/>
      </rPr>
      <t>res-adj</t>
    </r>
  </si>
  <si>
    <r>
      <t xml:space="preserve">s_IRS </t>
    </r>
    <r>
      <rPr>
        <vertAlign val="subscript"/>
        <sz val="11"/>
        <color theme="1"/>
        <rFont val="Calibri"/>
        <family val="2"/>
        <scheme val="minor"/>
      </rPr>
      <t>res-c</t>
    </r>
  </si>
  <si>
    <r>
      <t xml:space="preserve">s_IRS </t>
    </r>
    <r>
      <rPr>
        <vertAlign val="subscript"/>
        <sz val="11"/>
        <color theme="1"/>
        <rFont val="Calibri"/>
        <family val="2"/>
        <scheme val="minor"/>
      </rPr>
      <t>res-a</t>
    </r>
  </si>
  <si>
    <r>
      <t xml:space="preserve">s_IFS </t>
    </r>
    <r>
      <rPr>
        <vertAlign val="subscript"/>
        <sz val="11"/>
        <color theme="1"/>
        <rFont val="Calibri"/>
        <family val="2"/>
        <scheme val="minor"/>
      </rPr>
      <t>res-adj</t>
    </r>
  </si>
  <si>
    <r>
      <t xml:space="preserve">s_IRW </t>
    </r>
    <r>
      <rPr>
        <vertAlign val="subscript"/>
        <sz val="11"/>
        <color theme="1"/>
        <rFont val="Calibri"/>
        <family val="2"/>
        <scheme val="minor"/>
      </rPr>
      <t>res-c</t>
    </r>
  </si>
  <si>
    <r>
      <t xml:space="preserve">s_IRW </t>
    </r>
    <r>
      <rPr>
        <vertAlign val="subscript"/>
        <sz val="11"/>
        <color theme="1"/>
        <rFont val="Calibri"/>
        <family val="2"/>
        <scheme val="minor"/>
      </rPr>
      <t>res-a</t>
    </r>
  </si>
  <si>
    <r>
      <t xml:space="preserve">s_IFW </t>
    </r>
    <r>
      <rPr>
        <vertAlign val="subscript"/>
        <sz val="11"/>
        <color theme="1"/>
        <rFont val="Calibri"/>
        <family val="2"/>
        <scheme val="minor"/>
      </rPr>
      <t>res-adj</t>
    </r>
  </si>
  <si>
    <r>
      <t xml:space="preserve">s_IRF </t>
    </r>
    <r>
      <rPr>
        <vertAlign val="subscript"/>
        <sz val="11"/>
        <color theme="1"/>
        <rFont val="Calibri"/>
        <family val="2"/>
        <scheme val="minor"/>
      </rPr>
      <t>res</t>
    </r>
  </si>
  <si>
    <r>
      <t xml:space="preserve">s_EF </t>
    </r>
    <r>
      <rPr>
        <vertAlign val="subscript"/>
        <sz val="11"/>
        <color theme="1"/>
        <rFont val="Calibri"/>
        <family val="2"/>
        <scheme val="minor"/>
      </rPr>
      <t>res-c</t>
    </r>
  </si>
  <si>
    <r>
      <t xml:space="preserve">s_EF </t>
    </r>
    <r>
      <rPr>
        <vertAlign val="subscript"/>
        <sz val="11"/>
        <color theme="1"/>
        <rFont val="Calibri"/>
        <family val="2"/>
        <scheme val="minor"/>
      </rPr>
      <t>res-a</t>
    </r>
  </si>
  <si>
    <r>
      <t xml:space="preserve">s_EF </t>
    </r>
    <r>
      <rPr>
        <vertAlign val="subscript"/>
        <sz val="11"/>
        <color theme="1"/>
        <rFont val="Calibri"/>
        <family val="2"/>
        <scheme val="minor"/>
      </rPr>
      <t>res</t>
    </r>
  </si>
  <si>
    <r>
      <t xml:space="preserve">s_ET </t>
    </r>
    <r>
      <rPr>
        <vertAlign val="subscript"/>
        <sz val="11"/>
        <color theme="1"/>
        <rFont val="Calibri"/>
        <family val="2"/>
        <scheme val="minor"/>
      </rPr>
      <t>event-res-c</t>
    </r>
  </si>
  <si>
    <r>
      <t xml:space="preserve">s_ET </t>
    </r>
    <r>
      <rPr>
        <vertAlign val="subscript"/>
        <sz val="11"/>
        <color theme="1"/>
        <rFont val="Calibri"/>
        <family val="2"/>
        <scheme val="minor"/>
      </rPr>
      <t>event-res-a</t>
    </r>
  </si>
  <si>
    <r>
      <t xml:space="preserve">s_ET </t>
    </r>
    <r>
      <rPr>
        <vertAlign val="subscript"/>
        <sz val="11"/>
        <color theme="1"/>
        <rFont val="Calibri"/>
        <family val="2"/>
        <scheme val="minor"/>
      </rPr>
      <t>res-c</t>
    </r>
  </si>
  <si>
    <r>
      <t xml:space="preserve">s_ET </t>
    </r>
    <r>
      <rPr>
        <vertAlign val="subscript"/>
        <sz val="11"/>
        <color theme="1"/>
        <rFont val="Calibri"/>
        <family val="2"/>
        <scheme val="minor"/>
      </rPr>
      <t>res-a</t>
    </r>
  </si>
  <si>
    <r>
      <t xml:space="preserve">s_ET </t>
    </r>
    <r>
      <rPr>
        <vertAlign val="subscript"/>
        <sz val="11"/>
        <color theme="1"/>
        <rFont val="Calibri"/>
        <family val="2"/>
        <scheme val="minor"/>
      </rPr>
      <t>res</t>
    </r>
  </si>
  <si>
    <r>
      <t xml:space="preserve">s_EV </t>
    </r>
    <r>
      <rPr>
        <vertAlign val="subscript"/>
        <sz val="11"/>
        <color theme="1"/>
        <rFont val="Calibri"/>
        <family val="2"/>
        <scheme val="minor"/>
      </rPr>
      <t>res-c</t>
    </r>
  </si>
  <si>
    <r>
      <t xml:space="preserve">s_EV </t>
    </r>
    <r>
      <rPr>
        <vertAlign val="subscript"/>
        <sz val="11"/>
        <color theme="1"/>
        <rFont val="Calibri"/>
        <family val="2"/>
        <scheme val="minor"/>
      </rPr>
      <t>res-a</t>
    </r>
  </si>
  <si>
    <r>
      <t xml:space="preserve">s_ET </t>
    </r>
    <r>
      <rPr>
        <vertAlign val="subscript"/>
        <sz val="11"/>
        <rFont val="Calibri"/>
        <family val="2"/>
        <scheme val="minor"/>
      </rPr>
      <t>res-o</t>
    </r>
  </si>
  <si>
    <r>
      <t xml:space="preserve">s_ET </t>
    </r>
    <r>
      <rPr>
        <vertAlign val="subscript"/>
        <sz val="11"/>
        <rFont val="Calibri"/>
        <family val="2"/>
        <scheme val="minor"/>
      </rPr>
      <t>res-i</t>
    </r>
  </si>
  <si>
    <r>
      <t xml:space="preserve">s_CF </t>
    </r>
    <r>
      <rPr>
        <vertAlign val="subscript"/>
        <sz val="11"/>
        <color theme="1"/>
        <rFont val="Calibri"/>
        <family val="2"/>
        <scheme val="minor"/>
      </rPr>
      <t>res-fish</t>
    </r>
  </si>
  <si>
    <t>s_IRAP res-c</t>
  </si>
  <si>
    <t>s_IRAP res-a</t>
  </si>
  <si>
    <t>s_IFAP res-adj</t>
  </si>
  <si>
    <t>s_IRAS res-c</t>
  </si>
  <si>
    <t>s_IRAS res-a</t>
  </si>
  <si>
    <t>s_IFAS res-adj</t>
  </si>
  <si>
    <t>s_IRBT res-c</t>
  </si>
  <si>
    <t>s_IRBT res-a</t>
  </si>
  <si>
    <t>s_IFBT res-adj</t>
  </si>
  <si>
    <t>s_IRBE res-c</t>
  </si>
  <si>
    <t>s_IRBE res-a</t>
  </si>
  <si>
    <t>s_IFBE res-adj</t>
  </si>
  <si>
    <t>s_IRBR res-c</t>
  </si>
  <si>
    <t>s_IRBR res-a</t>
  </si>
  <si>
    <t>s_IFBR res-adj</t>
  </si>
  <si>
    <t>s_IRCB res-c</t>
  </si>
  <si>
    <t>s_IRCB res-a</t>
  </si>
  <si>
    <t>s_IFCB res-adj</t>
  </si>
  <si>
    <t>s_IRCR res-c</t>
  </si>
  <si>
    <t>s_IRCR res-a</t>
  </si>
  <si>
    <t>s_IFCR res-adj</t>
  </si>
  <si>
    <t>s_IRCG res-c</t>
  </si>
  <si>
    <t>s_IRCG res-a</t>
  </si>
  <si>
    <t>s_IFCG res-adj</t>
  </si>
  <si>
    <t>s_IRCI res-c</t>
  </si>
  <si>
    <t>s_IRCI res-a</t>
  </si>
  <si>
    <t>s_IFCI res-adj</t>
  </si>
  <si>
    <t>s_IRCO res-c</t>
  </si>
  <si>
    <t>s_IRCO res-a</t>
  </si>
  <si>
    <t>s_IFCO res-adj</t>
  </si>
  <si>
    <t>s_IRCU res-c</t>
  </si>
  <si>
    <t>s_IRCU res-a</t>
  </si>
  <si>
    <t>s_IFCU res-adj</t>
  </si>
  <si>
    <t>s_IRLE res-c</t>
  </si>
  <si>
    <t>s_IRLE res-a</t>
  </si>
  <si>
    <t>s_IFLE res-adj</t>
  </si>
  <si>
    <t>s_IRLI res-c</t>
  </si>
  <si>
    <t>s_IRLI res-a</t>
  </si>
  <si>
    <t>s_IFLI res-adj</t>
  </si>
  <si>
    <t>s_IROK res-c</t>
  </si>
  <si>
    <t>s_IROK res-a</t>
  </si>
  <si>
    <t>s_IFOK res-adj</t>
  </si>
  <si>
    <t>s_IRON res-c</t>
  </si>
  <si>
    <t>s_IRON res-a</t>
  </si>
  <si>
    <t>s_IFON res-adj</t>
  </si>
  <si>
    <t>s_IRPC res-c</t>
  </si>
  <si>
    <t>s_IRPC res-a</t>
  </si>
  <si>
    <t>s_IFPC res-adj</t>
  </si>
  <si>
    <t>s_IRPR res-c</t>
  </si>
  <si>
    <t>s_IRPR res-a</t>
  </si>
  <si>
    <t>s_IFPR res-adj</t>
  </si>
  <si>
    <t>s_IRPE res-c</t>
  </si>
  <si>
    <t>s_IRPE res-a</t>
  </si>
  <si>
    <t>s_IFPE res-adj</t>
  </si>
  <si>
    <t>s_IRPT res-c</t>
  </si>
  <si>
    <t>s_IRPT res-a</t>
  </si>
  <si>
    <t>s_IFPT res-adj</t>
  </si>
  <si>
    <t>s_IRPU res-c</t>
  </si>
  <si>
    <t>s_IRPU res-a</t>
  </si>
  <si>
    <t>s_IFPU res-adj</t>
  </si>
  <si>
    <t>s_IRRI res-c</t>
  </si>
  <si>
    <t>s_IRRI res-a</t>
  </si>
  <si>
    <t>s_IFRI res-adj</t>
  </si>
  <si>
    <t>s_IRSN res-c</t>
  </si>
  <si>
    <t>s_IRSN res-a</t>
  </si>
  <si>
    <t>s_IFSN res-adj</t>
  </si>
  <si>
    <t>s_IRST res-c</t>
  </si>
  <si>
    <t>s_IRST res-a</t>
  </si>
  <si>
    <t>s_IFST res-adj</t>
  </si>
  <si>
    <t>s_IRTO res-c</t>
  </si>
  <si>
    <t>s_IRTO res-a</t>
  </si>
  <si>
    <t>s_IFTO res-adj</t>
  </si>
  <si>
    <r>
      <t xml:space="preserve">s_ED </t>
    </r>
    <r>
      <rPr>
        <vertAlign val="subscript"/>
        <sz val="11"/>
        <color theme="1"/>
        <rFont val="Calibri"/>
        <family val="2"/>
        <scheme val="minor"/>
      </rPr>
      <t>rec-c</t>
    </r>
  </si>
  <si>
    <r>
      <t xml:space="preserve">s_ED </t>
    </r>
    <r>
      <rPr>
        <vertAlign val="subscript"/>
        <sz val="11"/>
        <color theme="1"/>
        <rFont val="Calibri"/>
        <family val="2"/>
        <scheme val="minor"/>
      </rPr>
      <t>rec-a</t>
    </r>
  </si>
  <si>
    <r>
      <t xml:space="preserve">s_ED </t>
    </r>
    <r>
      <rPr>
        <vertAlign val="subscript"/>
        <sz val="11"/>
        <color theme="1"/>
        <rFont val="Calibri"/>
        <family val="2"/>
        <scheme val="minor"/>
      </rPr>
      <t>rec</t>
    </r>
  </si>
  <si>
    <r>
      <t xml:space="preserve">s_t </t>
    </r>
    <r>
      <rPr>
        <vertAlign val="subscript"/>
        <sz val="11"/>
        <color theme="1"/>
        <rFont val="Calibri"/>
        <family val="2"/>
        <scheme val="minor"/>
      </rPr>
      <t>rec</t>
    </r>
  </si>
  <si>
    <r>
      <t xml:space="preserve">s_IRA </t>
    </r>
    <r>
      <rPr>
        <vertAlign val="subscript"/>
        <sz val="11"/>
        <color theme="1"/>
        <rFont val="Calibri"/>
        <family val="2"/>
        <scheme val="minor"/>
      </rPr>
      <t>rec-c</t>
    </r>
  </si>
  <si>
    <r>
      <t xml:space="preserve">s_IRA </t>
    </r>
    <r>
      <rPr>
        <vertAlign val="subscript"/>
        <sz val="11"/>
        <color theme="1"/>
        <rFont val="Calibri"/>
        <family val="2"/>
        <scheme val="minor"/>
      </rPr>
      <t>rec-a</t>
    </r>
  </si>
  <si>
    <r>
      <t xml:space="preserve">s_IFA </t>
    </r>
    <r>
      <rPr>
        <vertAlign val="subscript"/>
        <sz val="11"/>
        <color theme="1"/>
        <rFont val="Calibri"/>
        <family val="2"/>
        <scheme val="minor"/>
      </rPr>
      <t>rec-adj</t>
    </r>
  </si>
  <si>
    <r>
      <t xml:space="preserve">s_DFA </t>
    </r>
    <r>
      <rPr>
        <vertAlign val="subscript"/>
        <sz val="11"/>
        <color theme="1"/>
        <rFont val="Calibri"/>
        <family val="2"/>
        <scheme val="minor"/>
      </rPr>
      <t>rec-adj</t>
    </r>
  </si>
  <si>
    <r>
      <t xml:space="preserve">s_IRS </t>
    </r>
    <r>
      <rPr>
        <vertAlign val="subscript"/>
        <sz val="11"/>
        <color theme="1"/>
        <rFont val="Calibri"/>
        <family val="2"/>
        <scheme val="minor"/>
      </rPr>
      <t>rec-c</t>
    </r>
  </si>
  <si>
    <r>
      <t xml:space="preserve">s_IRS </t>
    </r>
    <r>
      <rPr>
        <vertAlign val="subscript"/>
        <sz val="11"/>
        <color theme="1"/>
        <rFont val="Calibri"/>
        <family val="2"/>
        <scheme val="minor"/>
      </rPr>
      <t>rec-a</t>
    </r>
  </si>
  <si>
    <r>
      <t xml:space="preserve">s_IFS </t>
    </r>
    <r>
      <rPr>
        <vertAlign val="subscript"/>
        <sz val="11"/>
        <color theme="1"/>
        <rFont val="Calibri"/>
        <family val="2"/>
        <scheme val="minor"/>
      </rPr>
      <t>rec-adj</t>
    </r>
  </si>
  <si>
    <r>
      <t xml:space="preserve">s_IRW </t>
    </r>
    <r>
      <rPr>
        <vertAlign val="subscript"/>
        <sz val="11"/>
        <color theme="1"/>
        <rFont val="Calibri"/>
        <family val="2"/>
        <scheme val="minor"/>
      </rPr>
      <t>rec-c</t>
    </r>
  </si>
  <si>
    <r>
      <t xml:space="preserve">s_IRW </t>
    </r>
    <r>
      <rPr>
        <vertAlign val="subscript"/>
        <sz val="11"/>
        <color theme="1"/>
        <rFont val="Calibri"/>
        <family val="2"/>
        <scheme val="minor"/>
      </rPr>
      <t>rec-a</t>
    </r>
  </si>
  <si>
    <r>
      <t xml:space="preserve">s_IFW </t>
    </r>
    <r>
      <rPr>
        <vertAlign val="subscript"/>
        <sz val="11"/>
        <color theme="1"/>
        <rFont val="Calibri"/>
        <family val="2"/>
        <scheme val="minor"/>
      </rPr>
      <t>rec-adj</t>
    </r>
  </si>
  <si>
    <r>
      <t>s_IRGL</t>
    </r>
    <r>
      <rPr>
        <vertAlign val="subscript"/>
        <sz val="11"/>
        <color theme="1"/>
        <rFont val="Calibri"/>
        <family val="2"/>
        <scheme val="minor"/>
      </rPr>
      <t xml:space="preserve"> rec</t>
    </r>
  </si>
  <si>
    <r>
      <t xml:space="preserve">s_IRGF </t>
    </r>
    <r>
      <rPr>
        <vertAlign val="subscript"/>
        <sz val="11"/>
        <color theme="1"/>
        <rFont val="Calibri"/>
        <family val="2"/>
        <scheme val="minor"/>
      </rPr>
      <t>rec</t>
    </r>
  </si>
  <si>
    <r>
      <t xml:space="preserve">s_EF </t>
    </r>
    <r>
      <rPr>
        <vertAlign val="subscript"/>
        <sz val="11"/>
        <color theme="1"/>
        <rFont val="Calibri"/>
        <family val="2"/>
        <scheme val="minor"/>
      </rPr>
      <t>rec-c</t>
    </r>
  </si>
  <si>
    <r>
      <t xml:space="preserve">s_EF </t>
    </r>
    <r>
      <rPr>
        <vertAlign val="subscript"/>
        <sz val="11"/>
        <color theme="1"/>
        <rFont val="Calibri"/>
        <family val="2"/>
        <scheme val="minor"/>
      </rPr>
      <t>rec-a</t>
    </r>
  </si>
  <si>
    <r>
      <t xml:space="preserve">s_EF </t>
    </r>
    <r>
      <rPr>
        <vertAlign val="subscript"/>
        <sz val="11"/>
        <color theme="1"/>
        <rFont val="Calibri"/>
        <family val="2"/>
        <scheme val="minor"/>
      </rPr>
      <t>rec</t>
    </r>
  </si>
  <si>
    <r>
      <t xml:space="preserve">s_ET </t>
    </r>
    <r>
      <rPr>
        <vertAlign val="subscript"/>
        <sz val="11"/>
        <color theme="1"/>
        <rFont val="Calibri"/>
        <family val="2"/>
        <scheme val="minor"/>
      </rPr>
      <t>rec</t>
    </r>
  </si>
  <si>
    <r>
      <t xml:space="preserve">s_ET </t>
    </r>
    <r>
      <rPr>
        <vertAlign val="subscript"/>
        <sz val="11"/>
        <color theme="1"/>
        <rFont val="Calibri"/>
        <family val="2"/>
        <scheme val="minor"/>
      </rPr>
      <t>rec-c</t>
    </r>
  </si>
  <si>
    <r>
      <t xml:space="preserve">s_ET </t>
    </r>
    <r>
      <rPr>
        <vertAlign val="subscript"/>
        <sz val="11"/>
        <color theme="1"/>
        <rFont val="Calibri"/>
        <family val="2"/>
        <scheme val="minor"/>
      </rPr>
      <t>rec-a</t>
    </r>
  </si>
  <si>
    <r>
      <t xml:space="preserve">s_ET </t>
    </r>
    <r>
      <rPr>
        <vertAlign val="subscript"/>
        <sz val="11"/>
        <color theme="1"/>
        <rFont val="Calibri"/>
        <family val="2"/>
        <scheme val="minor"/>
      </rPr>
      <t>event-rec-c</t>
    </r>
  </si>
  <si>
    <r>
      <t xml:space="preserve">s_ET </t>
    </r>
    <r>
      <rPr>
        <vertAlign val="subscript"/>
        <sz val="11"/>
        <color theme="1"/>
        <rFont val="Calibri"/>
        <family val="2"/>
        <scheme val="minor"/>
      </rPr>
      <t>event-rec-a</t>
    </r>
  </si>
  <si>
    <r>
      <t xml:space="preserve">s_EV </t>
    </r>
    <r>
      <rPr>
        <vertAlign val="subscript"/>
        <sz val="11"/>
        <color theme="1"/>
        <rFont val="Calibri"/>
        <family val="2"/>
        <scheme val="minor"/>
      </rPr>
      <t>rec-c</t>
    </r>
  </si>
  <si>
    <r>
      <t xml:space="preserve">s_EV </t>
    </r>
    <r>
      <rPr>
        <vertAlign val="subscript"/>
        <sz val="11"/>
        <color theme="1"/>
        <rFont val="Calibri"/>
        <family val="2"/>
        <scheme val="minor"/>
      </rPr>
      <t>rec-a</t>
    </r>
  </si>
  <si>
    <r>
      <t xml:space="preserve">s_Q </t>
    </r>
    <r>
      <rPr>
        <vertAlign val="subscript"/>
        <sz val="11"/>
        <rFont val="Calibri"/>
        <family val="2"/>
        <scheme val="minor"/>
      </rPr>
      <t>p-fowl</t>
    </r>
  </si>
  <si>
    <r>
      <t xml:space="preserve">s_Q </t>
    </r>
    <r>
      <rPr>
        <vertAlign val="subscript"/>
        <sz val="11"/>
        <rFont val="Calibri"/>
        <family val="2"/>
        <scheme val="minor"/>
      </rPr>
      <t>s-fowl</t>
    </r>
  </si>
  <si>
    <r>
      <t xml:space="preserve">s_f </t>
    </r>
    <r>
      <rPr>
        <vertAlign val="subscript"/>
        <sz val="11"/>
        <rFont val="Calibri"/>
        <family val="2"/>
        <scheme val="minor"/>
      </rPr>
      <t>p-fowl</t>
    </r>
  </si>
  <si>
    <r>
      <t xml:space="preserve">s_f </t>
    </r>
    <r>
      <rPr>
        <vertAlign val="subscript"/>
        <sz val="11"/>
        <rFont val="Calibri"/>
        <family val="2"/>
        <scheme val="minor"/>
      </rPr>
      <t>s-fowl</t>
    </r>
  </si>
  <si>
    <r>
      <t xml:space="preserve">s_Q </t>
    </r>
    <r>
      <rPr>
        <vertAlign val="subscript"/>
        <sz val="11"/>
        <rFont val="Calibri"/>
        <family val="2"/>
        <scheme val="minor"/>
      </rPr>
      <t>w-fowl</t>
    </r>
  </si>
  <si>
    <r>
      <t xml:space="preserve">s_Q </t>
    </r>
    <r>
      <rPr>
        <vertAlign val="subscript"/>
        <sz val="11"/>
        <rFont val="Calibri"/>
        <family val="2"/>
        <scheme val="minor"/>
      </rPr>
      <t>p-game</t>
    </r>
  </si>
  <si>
    <r>
      <t xml:space="preserve">s_Q </t>
    </r>
    <r>
      <rPr>
        <vertAlign val="subscript"/>
        <sz val="11"/>
        <rFont val="Calibri"/>
        <family val="2"/>
        <scheme val="minor"/>
      </rPr>
      <t>s-game</t>
    </r>
  </si>
  <si>
    <r>
      <t xml:space="preserve">s_f </t>
    </r>
    <r>
      <rPr>
        <vertAlign val="subscript"/>
        <sz val="11"/>
        <rFont val="Calibri"/>
        <family val="2"/>
        <scheme val="minor"/>
      </rPr>
      <t>p-game</t>
    </r>
  </si>
  <si>
    <r>
      <t xml:space="preserve">s_f </t>
    </r>
    <r>
      <rPr>
        <vertAlign val="subscript"/>
        <sz val="11"/>
        <rFont val="Calibri"/>
        <family val="2"/>
        <scheme val="minor"/>
      </rPr>
      <t>s-game</t>
    </r>
  </si>
  <si>
    <r>
      <t xml:space="preserve">s_Q </t>
    </r>
    <r>
      <rPr>
        <vertAlign val="subscript"/>
        <sz val="11"/>
        <rFont val="Calibri"/>
        <family val="2"/>
        <scheme val="minor"/>
      </rPr>
      <t>w-game</t>
    </r>
  </si>
  <si>
    <r>
      <t xml:space="preserve">s_CF </t>
    </r>
    <r>
      <rPr>
        <vertAlign val="subscript"/>
        <sz val="11"/>
        <rFont val="Calibri"/>
        <family val="2"/>
        <scheme val="minor"/>
      </rPr>
      <t>fowl</t>
    </r>
  </si>
  <si>
    <r>
      <t xml:space="preserve">s_CF </t>
    </r>
    <r>
      <rPr>
        <vertAlign val="subscript"/>
        <sz val="11"/>
        <rFont val="Calibri"/>
        <family val="2"/>
        <scheme val="minor"/>
      </rPr>
      <t>game</t>
    </r>
  </si>
  <si>
    <r>
      <t xml:space="preserve">s_ED </t>
    </r>
    <r>
      <rPr>
        <vertAlign val="subscript"/>
        <sz val="11"/>
        <color theme="1"/>
        <rFont val="Calibri"/>
        <family val="2"/>
        <scheme val="minor"/>
      </rPr>
      <t>far-c</t>
    </r>
  </si>
  <si>
    <r>
      <t xml:space="preserve">s_ED </t>
    </r>
    <r>
      <rPr>
        <vertAlign val="subscript"/>
        <sz val="11"/>
        <color theme="1"/>
        <rFont val="Calibri"/>
        <family val="2"/>
        <scheme val="minor"/>
      </rPr>
      <t>far-a</t>
    </r>
  </si>
  <si>
    <r>
      <t xml:space="preserve">s_ED </t>
    </r>
    <r>
      <rPr>
        <vertAlign val="subscript"/>
        <sz val="11"/>
        <color theme="1"/>
        <rFont val="Calibri"/>
        <family val="2"/>
        <scheme val="minor"/>
      </rPr>
      <t>far</t>
    </r>
  </si>
  <si>
    <r>
      <t xml:space="preserve">s_t </t>
    </r>
    <r>
      <rPr>
        <vertAlign val="subscript"/>
        <sz val="11"/>
        <color theme="1"/>
        <rFont val="Calibri"/>
        <family val="2"/>
        <scheme val="minor"/>
      </rPr>
      <t>far</t>
    </r>
  </si>
  <si>
    <r>
      <t xml:space="preserve">s_IRA </t>
    </r>
    <r>
      <rPr>
        <vertAlign val="subscript"/>
        <sz val="11"/>
        <color theme="1"/>
        <rFont val="Calibri"/>
        <family val="2"/>
        <scheme val="minor"/>
      </rPr>
      <t>far-c</t>
    </r>
  </si>
  <si>
    <r>
      <t xml:space="preserve">s_IRA </t>
    </r>
    <r>
      <rPr>
        <vertAlign val="subscript"/>
        <sz val="11"/>
        <color theme="1"/>
        <rFont val="Calibri"/>
        <family val="2"/>
        <scheme val="minor"/>
      </rPr>
      <t>far-a</t>
    </r>
  </si>
  <si>
    <r>
      <t xml:space="preserve">s_IFA </t>
    </r>
    <r>
      <rPr>
        <vertAlign val="subscript"/>
        <sz val="11"/>
        <color theme="1"/>
        <rFont val="Calibri"/>
        <family val="2"/>
        <scheme val="minor"/>
      </rPr>
      <t>far-adj</t>
    </r>
  </si>
  <si>
    <r>
      <t xml:space="preserve">s_DFA </t>
    </r>
    <r>
      <rPr>
        <vertAlign val="subscript"/>
        <sz val="11"/>
        <color theme="1"/>
        <rFont val="Calibri"/>
        <family val="2"/>
        <scheme val="minor"/>
      </rPr>
      <t>far-adj</t>
    </r>
  </si>
  <si>
    <r>
      <t xml:space="preserve">s_IRS </t>
    </r>
    <r>
      <rPr>
        <vertAlign val="subscript"/>
        <sz val="11"/>
        <color theme="1"/>
        <rFont val="Calibri"/>
        <family val="2"/>
        <scheme val="minor"/>
      </rPr>
      <t>far-c</t>
    </r>
  </si>
  <si>
    <r>
      <t xml:space="preserve">s_IRS </t>
    </r>
    <r>
      <rPr>
        <vertAlign val="subscript"/>
        <sz val="11"/>
        <color theme="1"/>
        <rFont val="Calibri"/>
        <family val="2"/>
        <scheme val="minor"/>
      </rPr>
      <t>far-a</t>
    </r>
  </si>
  <si>
    <r>
      <t xml:space="preserve">s_IFS </t>
    </r>
    <r>
      <rPr>
        <vertAlign val="subscript"/>
        <sz val="11"/>
        <color theme="1"/>
        <rFont val="Calibri"/>
        <family val="2"/>
        <scheme val="minor"/>
      </rPr>
      <t>far-adj</t>
    </r>
  </si>
  <si>
    <r>
      <t xml:space="preserve">s_IRW </t>
    </r>
    <r>
      <rPr>
        <vertAlign val="subscript"/>
        <sz val="11"/>
        <color theme="1"/>
        <rFont val="Calibri"/>
        <family val="2"/>
        <scheme val="minor"/>
      </rPr>
      <t>far-c</t>
    </r>
  </si>
  <si>
    <r>
      <t xml:space="preserve">s_IRW </t>
    </r>
    <r>
      <rPr>
        <vertAlign val="subscript"/>
        <sz val="11"/>
        <color theme="1"/>
        <rFont val="Calibri"/>
        <family val="2"/>
        <scheme val="minor"/>
      </rPr>
      <t>far-a</t>
    </r>
  </si>
  <si>
    <r>
      <t xml:space="preserve">s_IFW </t>
    </r>
    <r>
      <rPr>
        <vertAlign val="subscript"/>
        <sz val="11"/>
        <color theme="1"/>
        <rFont val="Calibri"/>
        <family val="2"/>
        <scheme val="minor"/>
      </rPr>
      <t>far-adj</t>
    </r>
  </si>
  <si>
    <r>
      <t xml:space="preserve">s_EF </t>
    </r>
    <r>
      <rPr>
        <vertAlign val="subscript"/>
        <sz val="11"/>
        <color theme="1"/>
        <rFont val="Calibri"/>
        <family val="2"/>
        <scheme val="minor"/>
      </rPr>
      <t>far-c</t>
    </r>
  </si>
  <si>
    <r>
      <t xml:space="preserve">s_EF </t>
    </r>
    <r>
      <rPr>
        <vertAlign val="subscript"/>
        <sz val="11"/>
        <color theme="1"/>
        <rFont val="Calibri"/>
        <family val="2"/>
        <scheme val="minor"/>
      </rPr>
      <t>far-a</t>
    </r>
  </si>
  <si>
    <r>
      <t xml:space="preserve">s_EF </t>
    </r>
    <r>
      <rPr>
        <vertAlign val="subscript"/>
        <sz val="11"/>
        <color theme="1"/>
        <rFont val="Calibri"/>
        <family val="2"/>
        <scheme val="minor"/>
      </rPr>
      <t>far</t>
    </r>
  </si>
  <si>
    <r>
      <t xml:space="preserve">s_ET </t>
    </r>
    <r>
      <rPr>
        <vertAlign val="subscript"/>
        <sz val="11"/>
        <color theme="1"/>
        <rFont val="Calibri"/>
        <family val="2"/>
        <scheme val="minor"/>
      </rPr>
      <t>far-c</t>
    </r>
  </si>
  <si>
    <r>
      <t xml:space="preserve">s_ET </t>
    </r>
    <r>
      <rPr>
        <vertAlign val="subscript"/>
        <sz val="11"/>
        <color theme="1"/>
        <rFont val="Calibri"/>
        <family val="2"/>
        <scheme val="minor"/>
      </rPr>
      <t>far-a</t>
    </r>
  </si>
  <si>
    <r>
      <t xml:space="preserve">s_ET </t>
    </r>
    <r>
      <rPr>
        <vertAlign val="subscript"/>
        <sz val="11"/>
        <color theme="1"/>
        <rFont val="Calibri"/>
        <family val="2"/>
        <scheme val="minor"/>
      </rPr>
      <t>far</t>
    </r>
  </si>
  <si>
    <r>
      <t xml:space="preserve">s_ET </t>
    </r>
    <r>
      <rPr>
        <vertAlign val="subscript"/>
        <sz val="11"/>
        <color theme="1"/>
        <rFont val="Calibri"/>
        <family val="2"/>
        <scheme val="minor"/>
      </rPr>
      <t>event-far-c</t>
    </r>
  </si>
  <si>
    <r>
      <t xml:space="preserve">s_ET </t>
    </r>
    <r>
      <rPr>
        <vertAlign val="subscript"/>
        <sz val="11"/>
        <color theme="1"/>
        <rFont val="Calibri"/>
        <family val="2"/>
        <scheme val="minor"/>
      </rPr>
      <t>event-far-a</t>
    </r>
  </si>
  <si>
    <r>
      <t xml:space="preserve">s_ET </t>
    </r>
    <r>
      <rPr>
        <vertAlign val="subscript"/>
        <sz val="11"/>
        <rFont val="Calibri"/>
        <family val="2"/>
        <scheme val="minor"/>
      </rPr>
      <t>far-o</t>
    </r>
  </si>
  <si>
    <r>
      <t xml:space="preserve">s_ET </t>
    </r>
    <r>
      <rPr>
        <vertAlign val="subscript"/>
        <sz val="11"/>
        <rFont val="Calibri"/>
        <family val="2"/>
        <scheme val="minor"/>
      </rPr>
      <t>far-i</t>
    </r>
  </si>
  <si>
    <r>
      <t xml:space="preserve">s_EV </t>
    </r>
    <r>
      <rPr>
        <vertAlign val="subscript"/>
        <sz val="11"/>
        <color theme="1"/>
        <rFont val="Calibri"/>
        <family val="2"/>
        <scheme val="minor"/>
      </rPr>
      <t>far-c</t>
    </r>
  </si>
  <si>
    <r>
      <t xml:space="preserve">s_EV </t>
    </r>
    <r>
      <rPr>
        <vertAlign val="subscript"/>
        <sz val="11"/>
        <color theme="1"/>
        <rFont val="Calibri"/>
        <family val="2"/>
        <scheme val="minor"/>
      </rPr>
      <t>far-a</t>
    </r>
  </si>
  <si>
    <t>s_C</t>
  </si>
  <si>
    <t>MUTTBTF</t>
  </si>
  <si>
    <t>GOATBTF</t>
  </si>
  <si>
    <t>GOATMILKBTF</t>
  </si>
  <si>
    <t>MUTTMILKBTF</t>
  </si>
  <si>
    <t>SE</t>
  </si>
  <si>
    <t>~Ba-137m</t>
  </si>
  <si>
    <t>~Po-218</t>
  </si>
  <si>
    <t>~Pb-214</t>
  </si>
  <si>
    <t>~Np-237</t>
  </si>
  <si>
    <t>~Pa-233</t>
  </si>
  <si>
    <t>~U-233</t>
  </si>
  <si>
    <t>~Th-229</t>
  </si>
  <si>
    <t>~Ra-225</t>
  </si>
  <si>
    <t>~Ac-225</t>
  </si>
  <si>
    <t>~Fr-221</t>
  </si>
  <si>
    <t>~At-217</t>
  </si>
  <si>
    <t>~Bi-213</t>
  </si>
  <si>
    <t>~Po-213</t>
  </si>
  <si>
    <t>~Tl-209</t>
  </si>
  <si>
    <t>~Pb-209</t>
  </si>
  <si>
    <t>~Rn-222</t>
  </si>
  <si>
    <t>~At-218</t>
  </si>
  <si>
    <t>~Bi-214</t>
  </si>
  <si>
    <t>~Rn-218</t>
  </si>
  <si>
    <t>~Po-214</t>
  </si>
  <si>
    <t>~Tl-210</t>
  </si>
  <si>
    <t>~Pb-210</t>
  </si>
  <si>
    <t>~Bi-210</t>
  </si>
  <si>
    <t>~Hg-206</t>
  </si>
  <si>
    <t>~Po-210</t>
  </si>
  <si>
    <t>~Tl-206</t>
  </si>
  <si>
    <t>~Cs-137</t>
  </si>
  <si>
    <t>~Am-241</t>
  </si>
  <si>
    <t>~Ra-226</t>
  </si>
  <si>
    <r>
      <t xml:space="preserve">Q </t>
    </r>
    <r>
      <rPr>
        <vertAlign val="subscript"/>
        <sz val="11"/>
        <rFont val="Calibri"/>
        <family val="2"/>
        <scheme val="minor"/>
      </rPr>
      <t>w-sheep</t>
    </r>
  </si>
  <si>
    <r>
      <t xml:space="preserve">Q </t>
    </r>
    <r>
      <rPr>
        <vertAlign val="subscript"/>
        <sz val="11"/>
        <rFont val="Calibri"/>
        <family val="2"/>
        <scheme val="minor"/>
      </rPr>
      <t>p-sheep</t>
    </r>
  </si>
  <si>
    <r>
      <t xml:space="preserve">Q </t>
    </r>
    <r>
      <rPr>
        <vertAlign val="subscript"/>
        <sz val="11"/>
        <rFont val="Calibri"/>
        <family val="2"/>
        <scheme val="minor"/>
      </rPr>
      <t>s-sheep</t>
    </r>
  </si>
  <si>
    <r>
      <t xml:space="preserve">f </t>
    </r>
    <r>
      <rPr>
        <vertAlign val="subscript"/>
        <sz val="11"/>
        <rFont val="Calibri"/>
        <family val="2"/>
        <scheme val="minor"/>
      </rPr>
      <t>p-sheep</t>
    </r>
  </si>
  <si>
    <r>
      <t xml:space="preserve">f </t>
    </r>
    <r>
      <rPr>
        <vertAlign val="subscript"/>
        <sz val="11"/>
        <rFont val="Calibri"/>
        <family val="2"/>
        <scheme val="minor"/>
      </rPr>
      <t>s-sheep</t>
    </r>
  </si>
  <si>
    <r>
      <t>IRSH</t>
    </r>
    <r>
      <rPr>
        <vertAlign val="subscript"/>
        <sz val="11"/>
        <color theme="1"/>
        <rFont val="Calibri"/>
        <family val="2"/>
        <scheme val="minor"/>
      </rPr>
      <t xml:space="preserve"> far-c</t>
    </r>
  </si>
  <si>
    <r>
      <t xml:space="preserve">IRSH </t>
    </r>
    <r>
      <rPr>
        <vertAlign val="subscript"/>
        <sz val="11"/>
        <color theme="1"/>
        <rFont val="Calibri"/>
        <family val="2"/>
        <scheme val="minor"/>
      </rPr>
      <t>far-a</t>
    </r>
  </si>
  <si>
    <r>
      <t xml:space="preserve">IFSH </t>
    </r>
    <r>
      <rPr>
        <vertAlign val="subscript"/>
        <sz val="11"/>
        <color theme="1"/>
        <rFont val="Calibri"/>
        <family val="2"/>
        <scheme val="minor"/>
      </rPr>
      <t>far-adj</t>
    </r>
  </si>
  <si>
    <r>
      <t xml:space="preserve">CF </t>
    </r>
    <r>
      <rPr>
        <vertAlign val="subscript"/>
        <sz val="11"/>
        <rFont val="Calibri"/>
        <family val="2"/>
        <scheme val="minor"/>
      </rPr>
      <t>far-sheep</t>
    </r>
  </si>
  <si>
    <r>
      <t xml:space="preserve">s_CF </t>
    </r>
    <r>
      <rPr>
        <vertAlign val="subscript"/>
        <sz val="11"/>
        <rFont val="Calibri"/>
        <family val="2"/>
        <scheme val="minor"/>
      </rPr>
      <t>far-sheep</t>
    </r>
  </si>
  <si>
    <r>
      <t>s_IRSH</t>
    </r>
    <r>
      <rPr>
        <vertAlign val="subscript"/>
        <sz val="11"/>
        <color theme="1"/>
        <rFont val="Calibri"/>
        <family val="2"/>
        <scheme val="minor"/>
      </rPr>
      <t xml:space="preserve"> far-c</t>
    </r>
  </si>
  <si>
    <r>
      <t xml:space="preserve">s_IRSH </t>
    </r>
    <r>
      <rPr>
        <vertAlign val="subscript"/>
        <sz val="11"/>
        <color theme="1"/>
        <rFont val="Calibri"/>
        <family val="2"/>
        <scheme val="minor"/>
      </rPr>
      <t>far-a</t>
    </r>
  </si>
  <si>
    <r>
      <t xml:space="preserve">s_IFSH </t>
    </r>
    <r>
      <rPr>
        <vertAlign val="subscript"/>
        <sz val="11"/>
        <color theme="1"/>
        <rFont val="Calibri"/>
        <family val="2"/>
        <scheme val="minor"/>
      </rPr>
      <t>far-adj</t>
    </r>
  </si>
  <si>
    <r>
      <t xml:space="preserve">s_Q </t>
    </r>
    <r>
      <rPr>
        <vertAlign val="subscript"/>
        <sz val="11"/>
        <rFont val="Calibri"/>
        <family val="2"/>
        <scheme val="minor"/>
      </rPr>
      <t>w-sheep</t>
    </r>
  </si>
  <si>
    <r>
      <t xml:space="preserve">s_Q </t>
    </r>
    <r>
      <rPr>
        <vertAlign val="subscript"/>
        <sz val="11"/>
        <rFont val="Calibri"/>
        <family val="2"/>
        <scheme val="minor"/>
      </rPr>
      <t>p-sheep</t>
    </r>
  </si>
  <si>
    <r>
      <t xml:space="preserve">s_Q </t>
    </r>
    <r>
      <rPr>
        <vertAlign val="subscript"/>
        <sz val="11"/>
        <rFont val="Calibri"/>
        <family val="2"/>
        <scheme val="minor"/>
      </rPr>
      <t>s-sheep</t>
    </r>
  </si>
  <si>
    <r>
      <t xml:space="preserve">s_f </t>
    </r>
    <r>
      <rPr>
        <vertAlign val="subscript"/>
        <sz val="11"/>
        <rFont val="Calibri"/>
        <family val="2"/>
        <scheme val="minor"/>
      </rPr>
      <t>p-sheep</t>
    </r>
  </si>
  <si>
    <r>
      <t xml:space="preserve">s_f </t>
    </r>
    <r>
      <rPr>
        <vertAlign val="subscript"/>
        <sz val="11"/>
        <rFont val="Calibri"/>
        <family val="2"/>
        <scheme val="minor"/>
      </rPr>
      <t>s-sheep</t>
    </r>
  </si>
  <si>
    <t>risk_fsh_ing</t>
  </si>
  <si>
    <t>cdi_res_prod_ing_tot</t>
  </si>
  <si>
    <t>cdi_res_apple</t>
  </si>
  <si>
    <t>cdi_res_aspar</t>
  </si>
  <si>
    <t>cdi_res_beet</t>
  </si>
  <si>
    <t>cdi_res_berry</t>
  </si>
  <si>
    <t>cdi_res_broc</t>
  </si>
  <si>
    <t>cdi_res_cabb</t>
  </si>
  <si>
    <t>cdi_res_carr</t>
  </si>
  <si>
    <t>cdi_res_citrus</t>
  </si>
  <si>
    <t>cdi_res_corn</t>
  </si>
  <si>
    <t>cdi_res_cucum</t>
  </si>
  <si>
    <t>cdi_res_lett</t>
  </si>
  <si>
    <t>cdi_res_lima</t>
  </si>
  <si>
    <t>cdi_res_okra</t>
  </si>
  <si>
    <t>cdi_res_onion</t>
  </si>
  <si>
    <t>cdi_res_peach</t>
  </si>
  <si>
    <t>cdi_res_pear</t>
  </si>
  <si>
    <t>cdi_res_pea</t>
  </si>
  <si>
    <t>cdi_res_potat</t>
  </si>
  <si>
    <t>cdi_res_pump</t>
  </si>
  <si>
    <t>cdi_res_snap</t>
  </si>
  <si>
    <t>cdi_res_straw</t>
  </si>
  <si>
    <t>cdi_res_tom</t>
  </si>
  <si>
    <t>cdi_res_rice</t>
  </si>
  <si>
    <t>cdi_res_cereal</t>
  </si>
  <si>
    <t>cdi_far_prod_ing_tot</t>
  </si>
  <si>
    <t>INSTRUCTIONS</t>
  </si>
  <si>
    <t>Tab Descriptions</t>
  </si>
  <si>
    <r>
      <t>The</t>
    </r>
    <r>
      <rPr>
        <i/>
        <sz val="11"/>
        <rFont val="Arial"/>
        <family val="2"/>
      </rPr>
      <t xml:space="preserve"> 'RadSpec' </t>
    </r>
    <r>
      <rPr>
        <sz val="11"/>
        <rFont val="Arial"/>
        <family val="2"/>
      </rPr>
      <t>tab contains most isotope specific parameters like slope factors.</t>
    </r>
  </si>
  <si>
    <r>
      <t>The '</t>
    </r>
    <r>
      <rPr>
        <i/>
        <sz val="11"/>
        <rFont val="Arial"/>
        <family val="2"/>
      </rPr>
      <t>def_acf</t>
    </r>
    <r>
      <rPr>
        <sz val="11"/>
        <rFont val="Arial"/>
        <family val="2"/>
      </rPr>
      <t>' tab contains ACFs for slab size 1, cover layer 0, which is used to test recreator output using default input values.</t>
    </r>
  </si>
  <si>
    <t>The 'd' tab contains all the non isotope specific default exposure parameters that are used to calculate PRGs in the defaults tabs.</t>
  </si>
  <si>
    <t xml:space="preserve">The 'ss' tab contains all the non isotope specific site-specific exposure parameters that are used to calculate PRGs in the site specific tabs. </t>
  </si>
  <si>
    <t>Relevant Cell Descriptions on Green Tabs</t>
  </si>
  <si>
    <t>These cells, in column A, represent the primary QA isotopes.</t>
  </si>
  <si>
    <t>These cells, in column A, represent the progeny for the primary QA isotopes.</t>
  </si>
  <si>
    <t>These cells represent 'Chronic Daily Intakes'.</t>
  </si>
  <si>
    <r>
      <t xml:space="preserve">In column B, under the </t>
    </r>
    <r>
      <rPr>
        <b/>
        <sz val="10"/>
        <rFont val="Arial"/>
        <family val="2"/>
      </rPr>
      <t xml:space="preserve">'TEST' </t>
    </r>
    <r>
      <rPr>
        <sz val="10"/>
        <rFont val="Arial"/>
        <family val="2"/>
      </rPr>
      <t>filter, a value of '</t>
    </r>
    <r>
      <rPr>
        <b/>
        <sz val="10"/>
        <rFont val="Arial"/>
        <family val="2"/>
      </rPr>
      <t>Y</t>
    </r>
    <r>
      <rPr>
        <sz val="10"/>
        <rFont val="Arial"/>
        <family val="2"/>
      </rPr>
      <t>' means it is a primary test isotope and '</t>
    </r>
    <r>
      <rPr>
        <b/>
        <sz val="10"/>
        <rFont val="Arial"/>
        <family val="2"/>
      </rPr>
      <t>SE</t>
    </r>
    <r>
      <rPr>
        <sz val="10"/>
        <rFont val="Arial"/>
        <family val="2"/>
      </rPr>
      <t>' means it is a progeny for a primary test isotope.</t>
    </r>
  </si>
  <si>
    <t>These cells are intermediate calculation steps for determining total that are not presented in the online tool output.</t>
  </si>
  <si>
    <t>Other Important Notes</t>
  </si>
  <si>
    <t>Since this tool is used to calculate 'risk', the one hit rule is applied when the risk of exposure by route for a single isotope, summation of all routes for a single isotope, summation of single route for all isotopes, or summation of all routes for all isotopes exceed 0.01.</t>
  </si>
  <si>
    <r>
      <t xml:space="preserve">These tabs present PRGs in units of pCi for the output option that assumes secular equilibrium. Tabs that do not begin with 's_ ' or 'up_ 'should be used to test the default output. Tabs that begin with 's_' should be used to test the site-specific output and use inputs from the 'ss' tab . </t>
    </r>
    <r>
      <rPr>
        <b/>
        <sz val="11"/>
        <color indexed="9"/>
        <rFont val="Arial"/>
        <family val="2"/>
      </rPr>
      <t xml:space="preserve">Tabs that begin with 'up_' should be used to test the site-specific user provided output and use inputs from the 'ss'. </t>
    </r>
  </si>
  <si>
    <r>
      <t>The '</t>
    </r>
    <r>
      <rPr>
        <i/>
        <sz val="11"/>
        <rFont val="Arial"/>
        <family val="2"/>
      </rPr>
      <t>dir</t>
    </r>
    <r>
      <rPr>
        <sz val="11"/>
        <rFont val="Arial"/>
        <family val="2"/>
      </rPr>
      <t>' tabs contain the direct ingestion PRGs for resident and farmer scenarios.</t>
    </r>
  </si>
  <si>
    <t>The 'b2s' tabs contain the PRGs back calculated to soil for resident and farmer scenarios.</t>
  </si>
  <si>
    <t>The 'b2w' tabs contain the PRGs back calculated to water for resident and farmer scenarios.</t>
  </si>
  <si>
    <t>The point of this QA sheet is to replicate the 'Default', 'Site-Specific with Defaults', and 'Site-Specific User Provided' output results for the PRG (Preliminary Remediation Goals for Radionuclide Contaminants at Superfund Sites) calculator. Below are instructions for understanding the ins and outs of this spreadsheet. Due to the higher than normal processing time for calculating secular equilibrium, this QA sheet only calculates secular equilibrium PRGs for 4 isotopes including Am-241, Ca-137, Rn-222, &amp; Ra-226).</t>
  </si>
  <si>
    <t>prg_soil_ing</t>
  </si>
  <si>
    <t>prg_soil_inh</t>
  </si>
  <si>
    <t>prg_soil_ext</t>
  </si>
  <si>
    <t>prg_soil_tot</t>
  </si>
  <si>
    <t>prg_wat_ing</t>
  </si>
  <si>
    <t>prg_food_produce</t>
  </si>
  <si>
    <t>prg_soil_produce</t>
  </si>
  <si>
    <t>prg_soil_poultry</t>
  </si>
  <si>
    <t>prg_soil_egg</t>
  </si>
  <si>
    <t>prg_soil_beef</t>
  </si>
  <si>
    <t>prg_soil_dairy</t>
  </si>
  <si>
    <t>prg_soil_swine</t>
  </si>
  <si>
    <t>prg_soil_fish</t>
  </si>
  <si>
    <t>soil_ing</t>
  </si>
  <si>
    <t>soil_inh</t>
  </si>
  <si>
    <t>soil_ext</t>
  </si>
  <si>
    <t>soil_produce</t>
  </si>
  <si>
    <t>soil_poultry</t>
  </si>
  <si>
    <t>soil_egg</t>
  </si>
  <si>
    <t>soil_beef</t>
  </si>
  <si>
    <t>soil_dairy</t>
  </si>
  <si>
    <t>soil_swine</t>
  </si>
  <si>
    <t>soil_fish</t>
  </si>
  <si>
    <t>water_ing</t>
  </si>
  <si>
    <t>water_inh</t>
  </si>
  <si>
    <t>water_imm</t>
  </si>
  <si>
    <t>water_produce</t>
  </si>
  <si>
    <t>water_poultry</t>
  </si>
  <si>
    <t>water_egg</t>
  </si>
  <si>
    <t>water_beef</t>
  </si>
  <si>
    <t>water_dairy</t>
  </si>
  <si>
    <t>water_swine</t>
  </si>
  <si>
    <t>water_fish</t>
  </si>
  <si>
    <t>prg_wat_tot</t>
  </si>
  <si>
    <t>prg_food_ingv</t>
  </si>
  <si>
    <t>prg_tap_ing</t>
  </si>
  <si>
    <t>prg_tap_inh</t>
  </si>
  <si>
    <t>prg_tap_imm</t>
  </si>
  <si>
    <t>prg_tap_tot</t>
  </si>
  <si>
    <t>prg_fsh_ing</t>
  </si>
  <si>
    <t>prg_air_inh</t>
  </si>
  <si>
    <t>prg_air_sub</t>
  </si>
  <si>
    <t>prg_air_tot</t>
  </si>
  <si>
    <t>prg_tap_produce</t>
  </si>
  <si>
    <t>prg_wat_imm</t>
  </si>
  <si>
    <t>prg_game_ing</t>
  </si>
  <si>
    <t>prg_fowl_ing</t>
  </si>
  <si>
    <t>prg_wat_game_ing</t>
  </si>
  <si>
    <t>prg_wat_fowl_ing</t>
  </si>
  <si>
    <t>prg_soil_fowl_ing</t>
  </si>
  <si>
    <t>prg_soil_game_ing</t>
  </si>
  <si>
    <t>prg_soil_sv</t>
  </si>
  <si>
    <t>prg_soil_1cm</t>
  </si>
  <si>
    <t>prg_soil_5cm</t>
  </si>
  <si>
    <t>prg_soil_15cm</t>
  </si>
  <si>
    <t>prg_soil_gp</t>
  </si>
  <si>
    <t>cdi_soil_ing</t>
  </si>
  <si>
    <t>cdi_soil_inh</t>
  </si>
  <si>
    <t>cdi_soil_ext</t>
  </si>
  <si>
    <t>cdi_soil_produce</t>
  </si>
  <si>
    <t>risk_soil_ing</t>
  </si>
  <si>
    <t>risk_soil_inh</t>
  </si>
  <si>
    <t>risk_soil_ext</t>
  </si>
  <si>
    <t>risk_soil_produce</t>
  </si>
  <si>
    <t>risk_soil_tot</t>
  </si>
  <si>
    <t>risk_soil_sv</t>
  </si>
  <si>
    <t>risk_soil_1cm</t>
  </si>
  <si>
    <t>risk_soil_5cm</t>
  </si>
  <si>
    <t>risk_soil_15cm</t>
  </si>
  <si>
    <t>risk_soil_gp</t>
  </si>
  <si>
    <t>cdi_soil_sv</t>
  </si>
  <si>
    <t>cdi_soil_1cm</t>
  </si>
  <si>
    <t>cdi_soil_5cm</t>
  </si>
  <si>
    <t>cdi_soil_15cm</t>
  </si>
  <si>
    <t>cdi_soil_gp</t>
  </si>
  <si>
    <t>cdi_air_inh</t>
  </si>
  <si>
    <t>cdi_air_sub</t>
  </si>
  <si>
    <t>risk_air_inh</t>
  </si>
  <si>
    <t>risk_air_sub</t>
  </si>
  <si>
    <t>risk_air_tot</t>
  </si>
  <si>
    <t>risk_tap_ing</t>
  </si>
  <si>
    <t>risk_tap_inh</t>
  </si>
  <si>
    <t>risk_tap_imm</t>
  </si>
  <si>
    <t>risk_tap_produce</t>
  </si>
  <si>
    <t>risk_tap_tot</t>
  </si>
  <si>
    <t>cdi_tap_ing</t>
  </si>
  <si>
    <t>cdi_tap_inh</t>
  </si>
  <si>
    <t>cdi_tap_imm</t>
  </si>
  <si>
    <t>cdi_tap_produce</t>
  </si>
  <si>
    <t>cdi_fsh_ing</t>
  </si>
  <si>
    <t>FC</t>
  </si>
  <si>
    <t>These cells represent fractional contribution applied to CDIs used to determine risk. These values are not presented in the tool risk output.</t>
  </si>
  <si>
    <t>These cells represent fractional contribution applied to PRGs. If individuals progeny are included in the output these values will be presented in the tool output.</t>
  </si>
  <si>
    <t>These cells represent 'Risk' for individual progeny.</t>
  </si>
  <si>
    <t>These cells represent 'Total Risk' by route and media.</t>
  </si>
  <si>
    <t>These cells represent secular equilibrium PRGs by route and media.</t>
  </si>
  <si>
    <t>prg_produce</t>
  </si>
  <si>
    <t>prg_poultry</t>
  </si>
  <si>
    <t>prg_egg</t>
  </si>
  <si>
    <t>prg_beef</t>
  </si>
  <si>
    <t>prg_dairy</t>
  </si>
  <si>
    <t>prg_swine</t>
  </si>
  <si>
    <t>prg_fish</t>
  </si>
  <si>
    <t>prg_goat</t>
  </si>
  <si>
    <t>prg_sheep</t>
  </si>
  <si>
    <t>prg_g-dairy</t>
  </si>
  <si>
    <t>prg_sh-dairy</t>
  </si>
  <si>
    <t>prg_soil_goat</t>
  </si>
  <si>
    <t>prg_soil_sheep</t>
  </si>
  <si>
    <t>prg_soil_g-dairy</t>
  </si>
  <si>
    <t>prg_soil_sh-dairy</t>
  </si>
  <si>
    <t>soil_goat</t>
  </si>
  <si>
    <t>soil_sheep</t>
  </si>
  <si>
    <t>soil_g-dairy</t>
  </si>
  <si>
    <t>soil_sh-dairy</t>
  </si>
  <si>
    <t>prg_water_ing</t>
  </si>
  <si>
    <t>prg_water_inh</t>
  </si>
  <si>
    <t>prg_water_imm</t>
  </si>
  <si>
    <t>prg_water_produce</t>
  </si>
  <si>
    <t>prg_water_poultry</t>
  </si>
  <si>
    <t>prg_water_egg</t>
  </si>
  <si>
    <t>prg_water_beef</t>
  </si>
  <si>
    <t>prg_water_dairy</t>
  </si>
  <si>
    <t>prg_water_swine</t>
  </si>
  <si>
    <t>prg_water_fish</t>
  </si>
  <si>
    <t>prg_water_goat</t>
  </si>
  <si>
    <t>prg_water_sheep</t>
  </si>
  <si>
    <t>prg_water_g-dairy</t>
  </si>
  <si>
    <t>prg_water_sh-dairy</t>
  </si>
  <si>
    <t>water_goat</t>
  </si>
  <si>
    <t>water_sheep</t>
  </si>
  <si>
    <t>water_g-dairy</t>
  </si>
  <si>
    <t>water_sh-dairy</t>
  </si>
  <si>
    <t>prg_water_tot</t>
  </si>
  <si>
    <t>cdi_produce</t>
  </si>
  <si>
    <t>cdi_poultry</t>
  </si>
  <si>
    <t>cdi_egg</t>
  </si>
  <si>
    <t>cdi_beef</t>
  </si>
  <si>
    <t>cdi_dairy</t>
  </si>
  <si>
    <t>cdi_swine</t>
  </si>
  <si>
    <t>cdi_fish</t>
  </si>
  <si>
    <t>cdi_goat</t>
  </si>
  <si>
    <t>cdi_sheep</t>
  </si>
  <si>
    <t>cdi_g-dairy</t>
  </si>
  <si>
    <t>cdi_sh-dairy</t>
  </si>
  <si>
    <t>risk_produce</t>
  </si>
  <si>
    <t>risk_poultry</t>
  </si>
  <si>
    <t>risk_egg</t>
  </si>
  <si>
    <t>risk_beef</t>
  </si>
  <si>
    <t>risk_dairy</t>
  </si>
  <si>
    <t>risk_swine</t>
  </si>
  <si>
    <t>risk_fish</t>
  </si>
  <si>
    <t>risk_goat</t>
  </si>
  <si>
    <t>risk_sheep</t>
  </si>
  <si>
    <t>risk_g-dairy</t>
  </si>
  <si>
    <t>risk_sh-dairy</t>
  </si>
  <si>
    <t>cdi_soil_poultry</t>
  </si>
  <si>
    <t>cdi_soil_egg</t>
  </si>
  <si>
    <t>cdi_soil_beef</t>
  </si>
  <si>
    <t>cdi_soil_dairy</t>
  </si>
  <si>
    <t>cdi_soil_swine</t>
  </si>
  <si>
    <t>cdi_soil_fish</t>
  </si>
  <si>
    <t>cdi_soil_goat</t>
  </si>
  <si>
    <t>cdi_soil_sheep</t>
  </si>
  <si>
    <t>cdi_soil_g-dairy</t>
  </si>
  <si>
    <t>cdi_soil_sh-dairy</t>
  </si>
  <si>
    <t>risk_soil_poultry</t>
  </si>
  <si>
    <t>risk_soil_egg</t>
  </si>
  <si>
    <t>risk_soil_beef</t>
  </si>
  <si>
    <t>risk_soil_dairy</t>
  </si>
  <si>
    <t>risk_soil_swine</t>
  </si>
  <si>
    <t>risk_soil_fish</t>
  </si>
  <si>
    <t>risk_soil_goat</t>
  </si>
  <si>
    <t>risk_soil_sheep</t>
  </si>
  <si>
    <t>risk_soil_g-dairy</t>
  </si>
  <si>
    <t>risk_soil_sh-dairy</t>
  </si>
  <si>
    <t>cdi_water_ing</t>
  </si>
  <si>
    <t>cdi_water_inh</t>
  </si>
  <si>
    <t>cdi_water_imm</t>
  </si>
  <si>
    <t>cdi_water_produce</t>
  </si>
  <si>
    <t>cdi_water_fish</t>
  </si>
  <si>
    <t>cdi_water_beef</t>
  </si>
  <si>
    <t>cdi_water_dairy</t>
  </si>
  <si>
    <t>cdi_water_swine</t>
  </si>
  <si>
    <t>cdi_water_poultry</t>
  </si>
  <si>
    <t>cdi_water_egg</t>
  </si>
  <si>
    <t>cdi_water_goat</t>
  </si>
  <si>
    <t>cdi_water_g-dairy</t>
  </si>
  <si>
    <t>cdi_water_sheep</t>
  </si>
  <si>
    <t>cdi_water_sh-dairy</t>
  </si>
  <si>
    <t>risk_water_ing</t>
  </si>
  <si>
    <t>risk_water_inh</t>
  </si>
  <si>
    <t>risk_water_imm</t>
  </si>
  <si>
    <t>risk_water_produce</t>
  </si>
  <si>
    <t>risk_water_fish</t>
  </si>
  <si>
    <t>risk_water_beef</t>
  </si>
  <si>
    <t>risk_water_dairy</t>
  </si>
  <si>
    <t>risk_water_swine</t>
  </si>
  <si>
    <t>risk_water_poultry</t>
  </si>
  <si>
    <t>risk_water_egg</t>
  </si>
  <si>
    <t>risk_water_goat</t>
  </si>
  <si>
    <t>risk_water_g-dairy</t>
  </si>
  <si>
    <t>risk_water_sheep</t>
  </si>
  <si>
    <t>risk_water_sh-dairy</t>
  </si>
  <si>
    <t>risk_water_tot</t>
  </si>
  <si>
    <t>cdi_wat_ing</t>
  </si>
  <si>
    <t>cdi_wat_imm</t>
  </si>
  <si>
    <t>risk_wat_ing</t>
  </si>
  <si>
    <t>risk_wat_imm</t>
  </si>
  <si>
    <t>risk_wat_tot</t>
  </si>
  <si>
    <t>cdi_game_ing</t>
  </si>
  <si>
    <t>cdi_soil_game_ing</t>
  </si>
  <si>
    <t>cdi_wat_game_ing</t>
  </si>
  <si>
    <t>cdi_fowl_ing</t>
  </si>
  <si>
    <t>cdi_soil_fowl_ing</t>
  </si>
  <si>
    <t>cdi_wat_fowl_ing</t>
  </si>
  <si>
    <t>risk_game_ing</t>
  </si>
  <si>
    <t>risk_soil_game_ing</t>
  </si>
  <si>
    <t>risk_wat_game_ing</t>
  </si>
  <si>
    <t>risk_fowl_ing</t>
  </si>
  <si>
    <t>risk_soil_fowl_ing</t>
  </si>
  <si>
    <t>risk_wat_fowl_ing</t>
  </si>
  <si>
    <t>mcl_water_conc</t>
  </si>
  <si>
    <t>risk_water_conc</t>
  </si>
  <si>
    <t>mcl_water_sl</t>
  </si>
  <si>
    <t>risk_water_sl</t>
  </si>
  <si>
    <t>For the 'Site-Specific with Defaults' and 'Site-Specific User Provided' tabs, the ACF is based on 20,000 and the GSFs are based on 20.</t>
  </si>
  <si>
    <t>cdi_far_apple</t>
  </si>
  <si>
    <t>cdi_far_aspar</t>
  </si>
  <si>
    <t>cdi_far_beet</t>
  </si>
  <si>
    <t>cdi_far_berry</t>
  </si>
  <si>
    <t>cdi_far_broc</t>
  </si>
  <si>
    <t>cdi_far_cabb</t>
  </si>
  <si>
    <t>cdi_far_carr</t>
  </si>
  <si>
    <t>cdi_far_citrus</t>
  </si>
  <si>
    <t>cdi_far_corn</t>
  </si>
  <si>
    <t>cdi_far_cucum</t>
  </si>
  <si>
    <t>cdi_far_lett</t>
  </si>
  <si>
    <t>cdi_far_lima</t>
  </si>
  <si>
    <t>cdi_far_okra</t>
  </si>
  <si>
    <t>cdi_far_onion</t>
  </si>
  <si>
    <t>cdi_far_peach</t>
  </si>
  <si>
    <t>cdi_far_pear</t>
  </si>
  <si>
    <t>cdi_far_pea</t>
  </si>
  <si>
    <t>cdi_far_potat</t>
  </si>
  <si>
    <t>cdi_far_pump</t>
  </si>
  <si>
    <t>cdi_far_snap</t>
  </si>
  <si>
    <t>cdi_far_straw</t>
  </si>
  <si>
    <t>cdi_far_tom</t>
  </si>
  <si>
    <t>cdi_far_rice</t>
  </si>
  <si>
    <t>cdi_far_grain</t>
  </si>
  <si>
    <t>prg_far_prod_ing_tot</t>
  </si>
  <si>
    <t>prg_far_apple</t>
  </si>
  <si>
    <t>prg_far_aspar</t>
  </si>
  <si>
    <t>prg_far_beet</t>
  </si>
  <si>
    <t>prg_far_berry</t>
  </si>
  <si>
    <t>prg_far_broc</t>
  </si>
  <si>
    <t>prg_far_cabb</t>
  </si>
  <si>
    <t>prg_far_carr</t>
  </si>
  <si>
    <t>prg_far_citrus</t>
  </si>
  <si>
    <t>prg_far_corn</t>
  </si>
  <si>
    <t>prg_far_cucum</t>
  </si>
  <si>
    <t>prg_far_lett</t>
  </si>
  <si>
    <t>prg_far_lima</t>
  </si>
  <si>
    <t>prg_far_okra</t>
  </si>
  <si>
    <t>prg_far_onion</t>
  </si>
  <si>
    <t>prg_far_peach</t>
  </si>
  <si>
    <t>prg_far_pear</t>
  </si>
  <si>
    <t>prg_far_pea</t>
  </si>
  <si>
    <t>prg_far_potat</t>
  </si>
  <si>
    <t>prg_far_pump</t>
  </si>
  <si>
    <t>prg_far_snap</t>
  </si>
  <si>
    <t>prg_far_straw</t>
  </si>
  <si>
    <t>prg_far_tom</t>
  </si>
  <si>
    <t>prg_far_rice</t>
  </si>
  <si>
    <t>prg_far_grain</t>
  </si>
  <si>
    <t>prg_res_prod_ing_tot</t>
  </si>
  <si>
    <t>prg_res_apple</t>
  </si>
  <si>
    <t>prg_res_aspar</t>
  </si>
  <si>
    <t>prg_res_beet</t>
  </si>
  <si>
    <t>prg_res_berry</t>
  </si>
  <si>
    <t>prg_res_broc</t>
  </si>
  <si>
    <t>prg_res_cabb</t>
  </si>
  <si>
    <t>prg_res_carr</t>
  </si>
  <si>
    <t>prg_res_citrus</t>
  </si>
  <si>
    <t>prg_res_corn</t>
  </si>
  <si>
    <t>prg_res_cucum</t>
  </si>
  <si>
    <t>prg_res_lett</t>
  </si>
  <si>
    <t>prg_res_lima</t>
  </si>
  <si>
    <t>prg_res_okra</t>
  </si>
  <si>
    <t>prg_res_onion</t>
  </si>
  <si>
    <t>prg_res_peach</t>
  </si>
  <si>
    <t>prg_res_pear</t>
  </si>
  <si>
    <t>prg_res_pea</t>
  </si>
  <si>
    <t>prg_res_potat</t>
  </si>
  <si>
    <t>prg_res_pump</t>
  </si>
  <si>
    <t>prg_res_snap</t>
  </si>
  <si>
    <t>prg_res_straw</t>
  </si>
  <si>
    <t>prg_res_tom</t>
  </si>
  <si>
    <t>prg_res_rice</t>
  </si>
  <si>
    <t>prg_res_cereal</t>
  </si>
  <si>
    <t>prg_far_soil_prod_ing_tot</t>
  </si>
  <si>
    <t>res_water_prod_ing_tot</t>
  </si>
  <si>
    <t>prg_res_soil_prod_ing_tot</t>
  </si>
  <si>
    <t>prg_far_water_prod_ing_tot</t>
  </si>
  <si>
    <t>IAEA</t>
  </si>
  <si>
    <t>EA</t>
  </si>
  <si>
    <t>NCRP</t>
  </si>
  <si>
    <t>Other</t>
  </si>
  <si>
    <t>In the 'd' and 'ss' tabs, these cells are calculated based on specific inputs and cannot be altered unless the respective inputs are altered.</t>
  </si>
  <si>
    <t>Any tab that contains Bv are tabs that contain soil to plant transfer coefficients. 'd_ss' contains default transfer coefficents and 'up' contains altered trasfer coefficients.</t>
  </si>
  <si>
    <t>Disclaimer: This archived file was intended for internal review but has been posted due to interest in historical reviews. This file is no longer used to quality assure the EPA PRG calculator as the calculator has undergone significant updates. Quality assurance spreadsheets have been updated accordingly and are provided on the internal verification page of the EPA PRG website.</t>
  </si>
  <si>
    <t>mass_soil_tot</t>
  </si>
  <si>
    <t>mass_soil_sv</t>
  </si>
  <si>
    <t>mass_soil_1cm</t>
  </si>
  <si>
    <t>mass_soil_5cm</t>
  </si>
  <si>
    <t>mass_soil_15cm</t>
  </si>
  <si>
    <t>mass_soil_gp</t>
  </si>
  <si>
    <t>mass_air_tot</t>
  </si>
  <si>
    <t>mass_tap_tot</t>
  </si>
  <si>
    <r>
      <t xml:space="preserve">IRSF </t>
    </r>
    <r>
      <rPr>
        <vertAlign val="subscript"/>
        <sz val="11"/>
        <rFont val="Calibri"/>
        <family val="2"/>
        <scheme val="minor"/>
      </rPr>
      <t>far-c</t>
    </r>
  </si>
  <si>
    <r>
      <t xml:space="preserve">IRSF </t>
    </r>
    <r>
      <rPr>
        <vertAlign val="subscript"/>
        <sz val="11"/>
        <rFont val="Calibri"/>
        <family val="2"/>
        <scheme val="minor"/>
      </rPr>
      <t>far-a</t>
    </r>
  </si>
  <si>
    <r>
      <t xml:space="preserve">IFSF </t>
    </r>
    <r>
      <rPr>
        <vertAlign val="subscript"/>
        <sz val="11"/>
        <color theme="1"/>
        <rFont val="Calibri"/>
        <family val="2"/>
        <scheme val="minor"/>
      </rPr>
      <t>far-adj</t>
    </r>
  </si>
  <si>
    <t>s_IRSF far-c</t>
  </si>
  <si>
    <t>s_IRSF far-a</t>
  </si>
  <si>
    <t>s_IFSF far-adj</t>
  </si>
  <si>
    <t>AEQ</t>
  </si>
  <si>
    <t>res_pepp</t>
  </si>
  <si>
    <t>IRPP res-c</t>
  </si>
  <si>
    <t>IRPP res-a</t>
  </si>
  <si>
    <t>IFPP res-adj</t>
  </si>
  <si>
    <r>
      <t>IRPP</t>
    </r>
    <r>
      <rPr>
        <vertAlign val="subscript"/>
        <sz val="11"/>
        <color theme="1"/>
        <rFont val="Calibri"/>
        <family val="2"/>
        <scheme val="minor"/>
      </rPr>
      <t xml:space="preserve"> far-c</t>
    </r>
  </si>
  <si>
    <r>
      <t xml:space="preserve">IRPP </t>
    </r>
    <r>
      <rPr>
        <vertAlign val="subscript"/>
        <sz val="11"/>
        <color theme="1"/>
        <rFont val="Calibri"/>
        <family val="2"/>
        <scheme val="minor"/>
      </rPr>
      <t>far-a</t>
    </r>
  </si>
  <si>
    <r>
      <t xml:space="preserve">IFPP </t>
    </r>
    <r>
      <rPr>
        <vertAlign val="subscript"/>
        <sz val="11"/>
        <color theme="1"/>
        <rFont val="Calibri"/>
        <family val="2"/>
        <scheme val="minor"/>
      </rPr>
      <t>far-adj</t>
    </r>
  </si>
  <si>
    <r>
      <t xml:space="preserve">CF </t>
    </r>
    <r>
      <rPr>
        <vertAlign val="subscript"/>
        <sz val="11"/>
        <rFont val="Calibri"/>
        <family val="2"/>
        <scheme val="minor"/>
      </rPr>
      <t>peppers</t>
    </r>
  </si>
  <si>
    <r>
      <t xml:space="preserve">MLF </t>
    </r>
    <r>
      <rPr>
        <vertAlign val="subscript"/>
        <sz val="11"/>
        <rFont val="Calibri"/>
        <family val="2"/>
        <scheme val="minor"/>
      </rPr>
      <t>peppers</t>
    </r>
  </si>
  <si>
    <r>
      <t xml:space="preserve">CF </t>
    </r>
    <r>
      <rPr>
        <vertAlign val="subscript"/>
        <sz val="11"/>
        <rFont val="Calibri"/>
        <family val="2"/>
        <scheme val="minor"/>
      </rPr>
      <t>far-shellfish</t>
    </r>
  </si>
  <si>
    <t>INVERTBTF</t>
  </si>
  <si>
    <t xml:space="preserve"> </t>
  </si>
  <si>
    <t>IRRrup_pepp</t>
  </si>
  <si>
    <t>bvwet_peppers</t>
  </si>
  <si>
    <t>IRRres_pepp</t>
  </si>
  <si>
    <t>IRRdep_pepp</t>
  </si>
  <si>
    <t>far_pepp</t>
  </si>
  <si>
    <t>prg_soil_sh-fish</t>
  </si>
  <si>
    <t>prg_sh-fish</t>
  </si>
  <si>
    <t>soil_sh-fish</t>
  </si>
  <si>
    <t>prg_water_sh-fish</t>
  </si>
  <si>
    <t>water_sh-fish</t>
  </si>
  <si>
    <t>target risk</t>
  </si>
  <si>
    <t>fraction</t>
  </si>
  <si>
    <t>L/m^3</t>
  </si>
  <si>
    <r>
      <t xml:space="preserve">s_CF </t>
    </r>
    <r>
      <rPr>
        <vertAlign val="subscript"/>
        <sz val="11"/>
        <rFont val="Calibri"/>
        <family val="2"/>
        <scheme val="minor"/>
      </rPr>
      <t>far-shellfish</t>
    </r>
  </si>
  <si>
    <t>L-water/L-soil</t>
  </si>
  <si>
    <t>g.m^2-s per kg/m^3</t>
  </si>
  <si>
    <t>conversion factor</t>
  </si>
  <si>
    <t>varies by media</t>
  </si>
  <si>
    <t>g dry soil / g dry plant</t>
  </si>
  <si>
    <r>
      <t>s_IRPP</t>
    </r>
    <r>
      <rPr>
        <vertAlign val="subscript"/>
        <sz val="11"/>
        <color theme="1"/>
        <rFont val="Calibri"/>
        <family val="2"/>
        <scheme val="minor"/>
      </rPr>
      <t xml:space="preserve"> far-c</t>
    </r>
  </si>
  <si>
    <r>
      <t xml:space="preserve">s_IRPP </t>
    </r>
    <r>
      <rPr>
        <vertAlign val="subscript"/>
        <sz val="11"/>
        <color theme="1"/>
        <rFont val="Calibri"/>
        <family val="2"/>
        <scheme val="minor"/>
      </rPr>
      <t>far-a</t>
    </r>
  </si>
  <si>
    <r>
      <t xml:space="preserve">s_IFPP </t>
    </r>
    <r>
      <rPr>
        <vertAlign val="subscript"/>
        <sz val="11"/>
        <color theme="1"/>
        <rFont val="Calibri"/>
        <family val="2"/>
        <scheme val="minor"/>
      </rPr>
      <t>far-adj</t>
    </r>
  </si>
  <si>
    <t>s_IRPP res-c</t>
  </si>
  <si>
    <t>s_IRPP res-a</t>
  </si>
  <si>
    <t>s_IFPP res-adj</t>
  </si>
  <si>
    <t>g dry soil / g fresh plant</t>
  </si>
  <si>
    <r>
      <t xml:space="preserve">s_MLF </t>
    </r>
    <r>
      <rPr>
        <vertAlign val="subscript"/>
        <sz val="11"/>
        <rFont val="Calibri"/>
        <family val="2"/>
        <scheme val="minor"/>
      </rPr>
      <t>peppers</t>
    </r>
  </si>
  <si>
    <t>cdi_far_pepp</t>
  </si>
  <si>
    <r>
      <t xml:space="preserve">s_CF </t>
    </r>
    <r>
      <rPr>
        <vertAlign val="subscript"/>
        <sz val="11"/>
        <rFont val="Calibri"/>
        <family val="2"/>
        <scheme val="minor"/>
      </rPr>
      <t>peppers</t>
    </r>
  </si>
  <si>
    <t>prg_res_pepp</t>
  </si>
  <si>
    <t>prg_far_pepp</t>
  </si>
  <si>
    <t>cdi_res_pepp</t>
  </si>
  <si>
    <t>cdi_sh-fish</t>
  </si>
  <si>
    <t>cdi_soil_sh-fish</t>
  </si>
  <si>
    <t>risk_soil_sh-fish</t>
  </si>
  <si>
    <t>cdi_water_sh-fish</t>
  </si>
  <si>
    <t>risk_water_sh-fish</t>
  </si>
  <si>
    <t>bvwet_pepp</t>
  </si>
  <si>
    <t>MUTTONBTF</t>
  </si>
  <si>
    <t>risk_sh-fish</t>
  </si>
  <si>
    <t>s_DAF</t>
  </si>
  <si>
    <t>soil_game</t>
  </si>
  <si>
    <t>soil_fowl</t>
  </si>
  <si>
    <t>risk_shellfish</t>
  </si>
  <si>
    <t>Tox Order</t>
  </si>
  <si>
    <t>m2_mcl_water_sl</t>
  </si>
  <si>
    <t>m2_risk_water_sl</t>
  </si>
  <si>
    <t>m1_mcl_water_sl</t>
  </si>
  <si>
    <t>m1_risk_water_sl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</si>
</sst>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37" x14ac:knownFonts="1">
    <font>
      <sz val="11"/>
      <color theme="1"/>
      <name val="Calibri"/>
      <family val="2"/>
      <scheme val="minor"/>
    </font>
    <font>
      <b/>
      <sz val="10"/>
      <name val="Arial"/>
      <family val="2"/>
    </font>
    <font>
      <sz val="11"/>
      <color theme="1"/>
      <name val="Calibri"/>
      <family val="2"/>
      <scheme val="minor"/>
    </font>
    <font>
      <b/>
      <sz val="14"/>
      <color theme="1"/>
      <name val="Calibri"/>
      <family val="2"/>
      <scheme val="minor"/>
    </font>
    <font>
      <vertAlign val="subscript"/>
      <sz val="12"/>
      <color theme="1"/>
      <name val="Calibri"/>
      <family val="2"/>
      <scheme val="minor"/>
    </font>
    <font>
      <sz val="11"/>
      <color rgb="FF005C00"/>
      <name val="Calibri"/>
      <family val="2"/>
      <scheme val="minor"/>
    </font>
    <font>
      <sz val="10"/>
      <name val="Arial"/>
      <family val="2"/>
    </font>
    <font>
      <vertAlign val="subscript"/>
      <sz val="11"/>
      <color theme="1"/>
      <name val="Calibri"/>
      <family val="2"/>
      <scheme val="minor"/>
    </font>
    <font>
      <sz val="11"/>
      <name val="Calibri"/>
      <family val="2"/>
      <scheme val="minor"/>
    </font>
    <font>
      <vertAlign val="subscript"/>
      <sz val="11"/>
      <name val="Calibri"/>
      <family val="2"/>
      <scheme val="minor"/>
    </font>
    <font>
      <sz val="10"/>
      <name val="Arial"/>
      <family val="2"/>
      <charset val="1"/>
    </font>
    <font>
      <sz val="12"/>
      <color theme="1"/>
      <name val="Calibri"/>
      <family val="2"/>
      <scheme val="minor"/>
    </font>
    <font>
      <sz val="11"/>
      <color rgb="FF7030A0"/>
      <name val="Calibri"/>
      <family val="2"/>
      <scheme val="minor"/>
    </font>
    <font>
      <b/>
      <sz val="11"/>
      <color theme="1"/>
      <name val="Calibri"/>
      <family val="2"/>
      <scheme val="minor"/>
    </font>
    <font>
      <b/>
      <sz val="10"/>
      <name val="Arial"/>
      <family val="2"/>
    </font>
    <font>
      <sz val="9"/>
      <color indexed="81"/>
      <name val="Tahoma"/>
      <family val="2"/>
    </font>
    <font>
      <b/>
      <sz val="9"/>
      <color indexed="81"/>
      <name val="Tahoma"/>
      <family val="2"/>
    </font>
    <font>
      <i/>
      <sz val="9"/>
      <color theme="1"/>
      <name val="Calibri"/>
      <family val="2"/>
      <scheme val="minor"/>
    </font>
    <font>
      <b/>
      <sz val="10"/>
      <color rgb="FFFF0000"/>
      <name val="Arial"/>
      <family val="2"/>
    </font>
    <font>
      <i/>
      <sz val="11"/>
      <color theme="1"/>
      <name val="Calibri"/>
      <family val="2"/>
      <scheme val="minor"/>
    </font>
    <font>
      <sz val="11"/>
      <color rgb="FF151515"/>
      <name val="Calibri"/>
      <family val="2"/>
      <scheme val="minor"/>
    </font>
    <font>
      <b/>
      <i/>
      <sz val="11"/>
      <color theme="1"/>
      <name val="Calibri"/>
      <family val="2"/>
      <scheme val="minor"/>
    </font>
    <font>
      <i/>
      <sz val="11"/>
      <name val="Calibri"/>
      <family val="2"/>
      <scheme val="minor"/>
    </font>
    <font>
      <b/>
      <sz val="22"/>
      <color rgb="FFFF0000"/>
      <name val="Arial"/>
      <family val="2"/>
    </font>
    <font>
      <b/>
      <sz val="11"/>
      <name val="Arial"/>
      <family val="2"/>
    </font>
    <font>
      <sz val="12"/>
      <name val="Arial"/>
      <family val="2"/>
    </font>
    <font>
      <b/>
      <sz val="12"/>
      <name val="Arial"/>
      <family val="2"/>
    </font>
    <font>
      <b/>
      <sz val="11"/>
      <color theme="0"/>
      <name val="Arial"/>
      <family val="2"/>
    </font>
    <font>
      <b/>
      <sz val="11"/>
      <color indexed="9"/>
      <name val="Arial"/>
      <family val="2"/>
    </font>
    <font>
      <sz val="11"/>
      <name val="Arial"/>
      <family val="2"/>
    </font>
    <font>
      <i/>
      <sz val="11"/>
      <name val="Arial"/>
      <family val="2"/>
    </font>
    <font>
      <b/>
      <i/>
      <sz val="11"/>
      <color theme="0"/>
      <name val="Calibri"/>
      <family val="2"/>
      <scheme val="minor"/>
    </font>
    <font>
      <sz val="10"/>
      <color theme="0"/>
      <name val="Arial"/>
      <family val="2"/>
    </font>
    <font>
      <sz val="11"/>
      <color theme="9" tint="-0.499984740745262"/>
      <name val="Calibri"/>
      <family val="2"/>
      <scheme val="minor"/>
    </font>
    <font>
      <sz val="10"/>
      <color rgb="FF008000"/>
      <name val="Arial"/>
      <family val="2"/>
    </font>
    <font>
      <b/>
      <sz val="12"/>
      <color rgb="FFFF0000"/>
      <name val="Arial"/>
      <family val="2"/>
    </font>
    <font>
      <sz val="11"/>
      <color rgb="FF008000"/>
      <name val="Calibri"/>
      <family val="2"/>
      <scheme val="minor"/>
    </font>
  </fonts>
  <fills count="18">
    <fill>
      <patternFill patternType="none"/>
    </fill>
    <fill>
      <patternFill patternType="gray125"/>
    </fill>
    <fill>
      <patternFill patternType="solid">
        <fgColor theme="8" tint="0.79998168889431442"/>
        <bgColor indexed="64"/>
      </patternFill>
    </fill>
    <fill>
      <patternFill patternType="solid">
        <fgColor rgb="FFB3FFB3"/>
        <bgColor indexed="64"/>
      </patternFill>
    </fill>
    <fill>
      <patternFill patternType="solid">
        <fgColor theme="7" tint="0.79998168889431442"/>
        <bgColor indexed="64"/>
      </patternFill>
    </fill>
    <fill>
      <patternFill patternType="solid">
        <fgColor rgb="FFFFCCFF"/>
        <bgColor indexed="64"/>
      </patternFill>
    </fill>
    <fill>
      <patternFill patternType="solid">
        <fgColor rgb="FFCCCCFF"/>
        <bgColor indexed="64"/>
      </patternFill>
    </fill>
    <fill>
      <patternFill patternType="solid">
        <fgColor rgb="FFCCFFCC"/>
        <bgColor indexed="64"/>
      </patternFill>
    </fill>
    <fill>
      <patternFill patternType="solid">
        <fgColor rgb="FFE9D9FF"/>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rgb="FFFFCCCC"/>
        <bgColor indexed="64"/>
      </patternFill>
    </fill>
    <fill>
      <patternFill patternType="solid">
        <fgColor theme="0" tint="-0.14999847407452621"/>
        <bgColor indexed="64"/>
      </patternFill>
    </fill>
  </fills>
  <borders count="8">
    <border>
      <left/>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s>
  <cellStyleXfs count="5">
    <xf numFmtId="0" fontId="0" fillId="0" borderId="0"/>
    <xf numFmtId="0" fontId="10" fillId="0" borderId="0"/>
    <xf numFmtId="0" fontId="6" fillId="0" borderId="0"/>
    <xf numFmtId="0" fontId="6" fillId="0" borderId="0"/>
    <xf numFmtId="0" fontId="6" fillId="0" borderId="0"/>
  </cellStyleXfs>
  <cellXfs count="256">
    <xf numFmtId="0" fontId="0" fillId="0" borderId="0" xfId="0"/>
    <xf numFmtId="0" fontId="8" fillId="0" borderId="0" xfId="0" applyFont="1" applyFill="1"/>
    <xf numFmtId="11" fontId="0" fillId="0" borderId="0" xfId="0" applyNumberFormat="1" applyAlignment="1">
      <alignment horizontal="left"/>
    </xf>
    <xf numFmtId="0" fontId="0" fillId="0" borderId="0" xfId="0" applyAlignment="1">
      <alignment horizontal="left"/>
    </xf>
    <xf numFmtId="0" fontId="0" fillId="0" borderId="0" xfId="0" applyAlignment="1" applyProtection="1">
      <alignment horizontal="left"/>
      <protection locked="0"/>
    </xf>
    <xf numFmtId="11" fontId="0" fillId="0" borderId="0" xfId="0" applyNumberFormat="1" applyAlignment="1" applyProtection="1">
      <alignment horizontal="left"/>
      <protection locked="0"/>
    </xf>
    <xf numFmtId="11" fontId="14" fillId="0" borderId="0" xfId="0" applyNumberFormat="1" applyFont="1" applyAlignment="1" applyProtection="1">
      <alignment horizontal="left"/>
      <protection locked="0"/>
    </xf>
    <xf numFmtId="11" fontId="13" fillId="0" borderId="0" xfId="0" applyNumberFormat="1" applyFont="1" applyFill="1" applyBorder="1" applyAlignment="1">
      <alignment horizontal="left" vertical="center"/>
    </xf>
    <xf numFmtId="11" fontId="13" fillId="0" borderId="0" xfId="0" applyNumberFormat="1" applyFont="1" applyAlignment="1">
      <alignment horizontal="left" vertical="center"/>
    </xf>
    <xf numFmtId="0" fontId="13" fillId="0" borderId="0" xfId="0" applyFont="1" applyAlignment="1">
      <alignment horizontal="left"/>
    </xf>
    <xf numFmtId="0" fontId="13" fillId="0" borderId="0" xfId="0" applyNumberFormat="1" applyFont="1" applyFill="1" applyBorder="1"/>
    <xf numFmtId="11" fontId="14" fillId="0" borderId="0" xfId="0" applyNumberFormat="1" applyFont="1" applyProtection="1">
      <protection locked="0"/>
    </xf>
    <xf numFmtId="11" fontId="0" fillId="0" borderId="0" xfId="0" applyNumberFormat="1" applyProtection="1">
      <protection locked="0"/>
    </xf>
    <xf numFmtId="11" fontId="1" fillId="0" borderId="0" xfId="0" applyNumberFormat="1" applyFont="1" applyProtection="1">
      <protection locked="0"/>
    </xf>
    <xf numFmtId="0" fontId="0" fillId="0" borderId="0" xfId="0" applyAlignment="1">
      <alignment horizontal="left" vertical="top"/>
    </xf>
    <xf numFmtId="11" fontId="0" fillId="0" borderId="0" xfId="0" applyNumberFormat="1" applyAlignment="1" applyProtection="1">
      <alignment horizontal="left"/>
    </xf>
    <xf numFmtId="11" fontId="19" fillId="4" borderId="0" xfId="0" applyNumberFormat="1" applyFont="1" applyFill="1" applyAlignment="1">
      <alignment horizontal="left"/>
    </xf>
    <xf numFmtId="0" fontId="0" fillId="0" borderId="0" xfId="0" applyFill="1" applyAlignment="1">
      <alignment horizontal="left"/>
    </xf>
    <xf numFmtId="11" fontId="0" fillId="0" borderId="0" xfId="0" applyNumberFormat="1" applyFill="1" applyAlignment="1" applyProtection="1">
      <alignment horizontal="left"/>
      <protection locked="0"/>
    </xf>
    <xf numFmtId="11" fontId="0" fillId="4" borderId="0" xfId="0" applyNumberFormat="1" applyFill="1" applyAlignment="1">
      <alignment horizontal="left"/>
    </xf>
    <xf numFmtId="0" fontId="23" fillId="0" borderId="0" xfId="3" applyFont="1" applyAlignment="1" applyProtection="1">
      <alignment horizontal="center" vertical="center"/>
    </xf>
    <xf numFmtId="0" fontId="23" fillId="0" borderId="0" xfId="3" applyFont="1" applyAlignment="1" applyProtection="1">
      <alignment vertical="center"/>
      <protection locked="0"/>
    </xf>
    <xf numFmtId="0" fontId="6" fillId="0" borderId="0" xfId="3" applyProtection="1">
      <protection locked="0"/>
    </xf>
    <xf numFmtId="0" fontId="24" fillId="0" borderId="0" xfId="3" applyFont="1" applyAlignment="1" applyProtection="1">
      <alignment wrapText="1"/>
      <protection locked="0"/>
    </xf>
    <xf numFmtId="0" fontId="24" fillId="0" borderId="0" xfId="3" applyFont="1" applyAlignment="1" applyProtection="1">
      <alignment wrapText="1"/>
    </xf>
    <xf numFmtId="0" fontId="25" fillId="0" borderId="0" xfId="3" applyFont="1" applyAlignment="1" applyProtection="1">
      <alignment wrapText="1"/>
    </xf>
    <xf numFmtId="0" fontId="26" fillId="0" borderId="0" xfId="3" applyFont="1" applyAlignment="1" applyProtection="1">
      <alignment horizontal="center"/>
    </xf>
    <xf numFmtId="0" fontId="27" fillId="10" borderId="1" xfId="3" applyFont="1" applyFill="1" applyBorder="1" applyAlignment="1" applyProtection="1">
      <alignment wrapText="1"/>
    </xf>
    <xf numFmtId="0" fontId="27" fillId="0" borderId="0" xfId="3" applyFont="1" applyFill="1" applyAlignment="1" applyProtection="1">
      <protection locked="0"/>
    </xf>
    <xf numFmtId="0" fontId="24" fillId="0" borderId="2" xfId="3" applyFont="1" applyFill="1" applyBorder="1" applyProtection="1"/>
    <xf numFmtId="0" fontId="29" fillId="0" borderId="2" xfId="3" applyFont="1" applyBorder="1" applyProtection="1"/>
    <xf numFmtId="0" fontId="29" fillId="0" borderId="3" xfId="3" applyFont="1" applyBorder="1" applyProtection="1"/>
    <xf numFmtId="0" fontId="6" fillId="9" borderId="1" xfId="4" applyFont="1" applyFill="1" applyBorder="1" applyProtection="1"/>
    <xf numFmtId="0" fontId="6" fillId="6" borderId="2" xfId="4" applyFont="1" applyFill="1" applyBorder="1" applyProtection="1"/>
    <xf numFmtId="0" fontId="6" fillId="4" borderId="2" xfId="4" applyFont="1" applyFill="1" applyBorder="1" applyProtection="1"/>
    <xf numFmtId="0" fontId="6" fillId="0" borderId="3" xfId="3" applyFont="1" applyBorder="1" applyAlignment="1" applyProtection="1">
      <alignment wrapText="1"/>
    </xf>
    <xf numFmtId="0" fontId="6" fillId="0" borderId="0" xfId="3" applyProtection="1"/>
    <xf numFmtId="0" fontId="0" fillId="0" borderId="0" xfId="0" applyFill="1" applyAlignment="1">
      <alignment horizontal="left" vertical="top"/>
    </xf>
    <xf numFmtId="11" fontId="17" fillId="11" borderId="0" xfId="0" applyNumberFormat="1" applyFont="1" applyFill="1" applyAlignment="1" applyProtection="1">
      <alignment horizontal="left" vertical="top"/>
    </xf>
    <xf numFmtId="11" fontId="1" fillId="0" borderId="0" xfId="0" applyNumberFormat="1" applyFont="1" applyAlignment="1" applyProtection="1">
      <alignment horizontal="left"/>
    </xf>
    <xf numFmtId="11" fontId="0" fillId="4" borderId="0" xfId="0" applyNumberFormat="1" applyFill="1" applyAlignment="1" applyProtection="1">
      <alignment horizontal="left"/>
    </xf>
    <xf numFmtId="11" fontId="19" fillId="12" borderId="0" xfId="0" applyNumberFormat="1" applyFont="1" applyFill="1" applyAlignment="1" applyProtection="1">
      <alignment horizontal="left"/>
    </xf>
    <xf numFmtId="0" fontId="0" fillId="0" borderId="0" xfId="0" applyAlignment="1" applyProtection="1">
      <alignment horizontal="left"/>
    </xf>
    <xf numFmtId="11" fontId="19" fillId="4" borderId="0" xfId="0" applyNumberFormat="1" applyFont="1" applyFill="1" applyAlignment="1" applyProtection="1">
      <alignment horizontal="left"/>
    </xf>
    <xf numFmtId="0" fontId="0" fillId="6" borderId="0" xfId="0" applyFill="1" applyAlignment="1" applyProtection="1">
      <alignment horizontal="left"/>
    </xf>
    <xf numFmtId="11" fontId="0" fillId="0" borderId="0" xfId="0" applyNumberFormat="1" applyFill="1" applyAlignment="1" applyProtection="1">
      <alignment horizontal="left"/>
    </xf>
    <xf numFmtId="0" fontId="0" fillId="9" borderId="0" xfId="0" applyFill="1" applyAlignment="1" applyProtection="1">
      <alignment horizontal="left"/>
    </xf>
    <xf numFmtId="11" fontId="31" fillId="13" borderId="0" xfId="0" applyNumberFormat="1" applyFont="1" applyFill="1" applyAlignment="1" applyProtection="1">
      <alignment horizontal="left"/>
    </xf>
    <xf numFmtId="11" fontId="19" fillId="0" borderId="0" xfId="0" applyNumberFormat="1" applyFont="1" applyAlignment="1" applyProtection="1">
      <alignment horizontal="left"/>
    </xf>
    <xf numFmtId="11" fontId="0" fillId="12" borderId="0" xfId="0" applyNumberFormat="1" applyFill="1" applyAlignment="1" applyProtection="1">
      <alignment horizontal="left"/>
    </xf>
    <xf numFmtId="11" fontId="20" fillId="0" borderId="0" xfId="0" applyNumberFormat="1" applyFont="1" applyAlignment="1" applyProtection="1">
      <alignment horizontal="left"/>
    </xf>
    <xf numFmtId="11" fontId="0" fillId="0" borderId="0" xfId="0" applyNumberFormat="1" applyFont="1" applyAlignment="1" applyProtection="1">
      <alignment horizontal="left"/>
    </xf>
    <xf numFmtId="11" fontId="0" fillId="0" borderId="0" xfId="0" applyNumberFormat="1" applyFont="1" applyFill="1" applyAlignment="1" applyProtection="1">
      <alignment horizontal="left"/>
    </xf>
    <xf numFmtId="0" fontId="6" fillId="0" borderId="3" xfId="3" applyFont="1" applyBorder="1" applyProtection="1"/>
    <xf numFmtId="0" fontId="32" fillId="13" borderId="2" xfId="4" applyFont="1" applyFill="1" applyBorder="1" applyProtection="1"/>
    <xf numFmtId="0" fontId="6" fillId="14" borderId="2" xfId="4" applyFont="1" applyFill="1" applyBorder="1" applyProtection="1"/>
    <xf numFmtId="0" fontId="6" fillId="15" borderId="2" xfId="4" applyFont="1" applyFill="1" applyBorder="1" applyProtection="1"/>
    <xf numFmtId="11" fontId="13" fillId="15" borderId="0" xfId="0" applyNumberFormat="1" applyFont="1" applyFill="1" applyAlignment="1" applyProtection="1">
      <alignment horizontal="left"/>
    </xf>
    <xf numFmtId="11" fontId="19" fillId="15" borderId="0" xfId="0" applyNumberFormat="1" applyFont="1" applyFill="1" applyAlignment="1" applyProtection="1">
      <alignment horizontal="left"/>
    </xf>
    <xf numFmtId="11" fontId="21" fillId="15" borderId="0" xfId="0" applyNumberFormat="1" applyFont="1" applyFill="1" applyAlignment="1" applyProtection="1">
      <alignment horizontal="left"/>
    </xf>
    <xf numFmtId="11" fontId="0" fillId="14" borderId="0" xfId="0" applyNumberFormat="1" applyFill="1" applyAlignment="1" applyProtection="1">
      <alignment horizontal="left"/>
    </xf>
    <xf numFmtId="11" fontId="19" fillId="15" borderId="0" xfId="0" applyNumberFormat="1" applyFont="1" applyFill="1" applyAlignment="1">
      <alignment horizontal="left"/>
    </xf>
    <xf numFmtId="11" fontId="21" fillId="15" borderId="0" xfId="0" applyNumberFormat="1" applyFont="1" applyFill="1" applyAlignment="1">
      <alignment horizontal="left"/>
    </xf>
    <xf numFmtId="11" fontId="0" fillId="14" borderId="0" xfId="0" applyNumberFormat="1" applyFill="1" applyAlignment="1">
      <alignment horizontal="left"/>
    </xf>
    <xf numFmtId="0" fontId="0" fillId="0" borderId="0" xfId="0" applyFill="1" applyAlignment="1" applyProtection="1">
      <alignment horizontal="left" vertical="top"/>
    </xf>
    <xf numFmtId="11" fontId="0" fillId="0" borderId="0" xfId="0" applyNumberFormat="1" applyFill="1" applyAlignment="1" applyProtection="1">
      <alignment horizontal="left" vertical="top"/>
    </xf>
    <xf numFmtId="0" fontId="6" fillId="11" borderId="4" xfId="3" applyFont="1" applyFill="1" applyBorder="1" applyAlignment="1" applyProtection="1">
      <alignment wrapText="1"/>
    </xf>
    <xf numFmtId="0" fontId="6" fillId="2" borderId="2" xfId="3" applyFont="1" applyFill="1" applyBorder="1" applyAlignment="1" applyProtection="1">
      <alignment wrapText="1"/>
    </xf>
    <xf numFmtId="0" fontId="6" fillId="12" borderId="2" xfId="4" applyFont="1" applyFill="1" applyBorder="1" applyProtection="1"/>
    <xf numFmtId="11" fontId="19" fillId="12" borderId="0" xfId="0" applyNumberFormat="1" applyFont="1" applyFill="1" applyAlignment="1">
      <alignment horizontal="left"/>
    </xf>
    <xf numFmtId="11" fontId="21" fillId="2" borderId="0" xfId="0" applyNumberFormat="1" applyFont="1" applyFill="1" applyAlignment="1" applyProtection="1">
      <alignment horizontal="left"/>
    </xf>
    <xf numFmtId="11" fontId="0" fillId="2" borderId="0" xfId="0" applyNumberFormat="1" applyFill="1" applyAlignment="1" applyProtection="1">
      <alignment horizontal="left"/>
    </xf>
    <xf numFmtId="11" fontId="8" fillId="2" borderId="0" xfId="0" applyNumberFormat="1" applyFont="1" applyFill="1" applyAlignment="1" applyProtection="1">
      <alignment horizontal="left"/>
    </xf>
    <xf numFmtId="11" fontId="19" fillId="2" borderId="0" xfId="0" applyNumberFormat="1" applyFont="1" applyFill="1" applyAlignment="1" applyProtection="1">
      <alignment horizontal="left"/>
    </xf>
    <xf numFmtId="0" fontId="18" fillId="0" borderId="5" xfId="3" applyFont="1" applyFill="1" applyBorder="1" applyProtection="1"/>
    <xf numFmtId="0" fontId="0" fillId="0" borderId="0" xfId="0" applyAlignment="1" applyProtection="1">
      <alignment horizontal="left" vertical="center"/>
      <protection locked="0"/>
    </xf>
    <xf numFmtId="11" fontId="0" fillId="0" borderId="0" xfId="0" applyNumberFormat="1" applyAlignment="1" applyProtection="1">
      <alignment horizontal="left" vertical="center"/>
    </xf>
    <xf numFmtId="0" fontId="0" fillId="0" borderId="0" xfId="0" applyAlignment="1">
      <alignment horizontal="left" vertical="center"/>
    </xf>
    <xf numFmtId="0" fontId="1" fillId="0" borderId="0" xfId="0" applyFont="1" applyAlignment="1" applyProtection="1">
      <alignment horizontal="left"/>
    </xf>
    <xf numFmtId="0" fontId="14" fillId="0" borderId="0" xfId="0" applyFont="1" applyAlignment="1" applyProtection="1">
      <alignment horizontal="left"/>
    </xf>
    <xf numFmtId="0" fontId="8" fillId="0" borderId="0" xfId="0" applyFont="1" applyAlignment="1" applyProtection="1">
      <alignment horizontal="left" vertical="top"/>
    </xf>
    <xf numFmtId="0" fontId="19" fillId="4" borderId="0" xfId="0" applyFont="1" applyFill="1" applyAlignment="1" applyProtection="1">
      <alignment horizontal="left"/>
    </xf>
    <xf numFmtId="0" fontId="0" fillId="15" borderId="0" xfId="0" applyFill="1" applyAlignment="1" applyProtection="1">
      <alignment horizontal="left"/>
    </xf>
    <xf numFmtId="0" fontId="19" fillId="0" borderId="0" xfId="0" applyFont="1" applyAlignment="1" applyProtection="1">
      <alignment horizontal="left"/>
    </xf>
    <xf numFmtId="0" fontId="20" fillId="0" borderId="0" xfId="0" applyFont="1" applyAlignment="1" applyProtection="1">
      <alignment horizontal="left"/>
    </xf>
    <xf numFmtId="0" fontId="0" fillId="0" borderId="0" xfId="0" applyFont="1" applyAlignment="1" applyProtection="1">
      <alignment horizontal="left"/>
    </xf>
    <xf numFmtId="0" fontId="0" fillId="0" borderId="0" xfId="0" applyNumberFormat="1" applyAlignment="1" applyProtection="1">
      <alignment horizontal="left"/>
    </xf>
    <xf numFmtId="0" fontId="1" fillId="0" borderId="0" xfId="0" applyFont="1" applyAlignment="1" applyProtection="1">
      <alignment horizontal="left" vertical="center"/>
    </xf>
    <xf numFmtId="0" fontId="14" fillId="0" borderId="0" xfId="0" applyFont="1" applyAlignment="1" applyProtection="1">
      <alignment horizontal="left" vertical="center"/>
    </xf>
    <xf numFmtId="0" fontId="8" fillId="0" borderId="0" xfId="0" applyFont="1" applyAlignment="1" applyProtection="1">
      <alignment horizontal="left" vertical="center"/>
    </xf>
    <xf numFmtId="0" fontId="0" fillId="0" borderId="0" xfId="0" applyAlignment="1" applyProtection="1">
      <alignment horizontal="left" vertical="center"/>
    </xf>
    <xf numFmtId="0" fontId="19" fillId="4" borderId="0" xfId="0" applyFont="1" applyFill="1" applyAlignment="1" applyProtection="1">
      <alignment horizontal="left" vertical="center"/>
    </xf>
    <xf numFmtId="0" fontId="0" fillId="6" borderId="0" xfId="0" applyFill="1" applyAlignment="1" applyProtection="1">
      <alignment horizontal="left" vertical="center"/>
    </xf>
    <xf numFmtId="11" fontId="0" fillId="4" borderId="0" xfId="0" applyNumberFormat="1" applyFill="1" applyAlignment="1" applyProtection="1">
      <alignment horizontal="left" vertical="center"/>
    </xf>
    <xf numFmtId="0" fontId="0" fillId="9" borderId="0" xfId="0" applyFill="1" applyAlignment="1" applyProtection="1">
      <alignment horizontal="left" vertical="center"/>
    </xf>
    <xf numFmtId="0" fontId="0" fillId="15" borderId="0" xfId="0" applyFill="1" applyAlignment="1" applyProtection="1">
      <alignment horizontal="left" vertical="center"/>
    </xf>
    <xf numFmtId="11" fontId="19" fillId="15" borderId="0" xfId="0" applyNumberFormat="1" applyFont="1" applyFill="1" applyAlignment="1" applyProtection="1">
      <alignment horizontal="left" vertical="center"/>
    </xf>
    <xf numFmtId="11" fontId="31" fillId="13" borderId="0" xfId="0" applyNumberFormat="1" applyFont="1" applyFill="1" applyAlignment="1" applyProtection="1">
      <alignment horizontal="left" vertical="center"/>
    </xf>
    <xf numFmtId="11" fontId="22" fillId="15" borderId="0" xfId="0" applyNumberFormat="1" applyFont="1" applyFill="1" applyAlignment="1" applyProtection="1">
      <alignment horizontal="left" vertical="center"/>
    </xf>
    <xf numFmtId="0" fontId="19" fillId="0" borderId="0" xfId="0" applyFont="1" applyAlignment="1" applyProtection="1">
      <alignment horizontal="left" vertical="center"/>
    </xf>
    <xf numFmtId="11" fontId="0" fillId="14" borderId="0" xfId="0" applyNumberFormat="1" applyFill="1" applyAlignment="1" applyProtection="1">
      <alignment horizontal="left" vertical="center"/>
    </xf>
    <xf numFmtId="11" fontId="0" fillId="12" borderId="0" xfId="0" applyNumberFormat="1" applyFill="1" applyAlignment="1" applyProtection="1">
      <alignment horizontal="left" vertical="center"/>
    </xf>
    <xf numFmtId="0" fontId="20" fillId="0" borderId="0" xfId="0" applyFont="1" applyAlignment="1" applyProtection="1">
      <alignment horizontal="left" vertical="center"/>
    </xf>
    <xf numFmtId="0" fontId="0" fillId="0" borderId="0" xfId="0" applyFont="1" applyAlignment="1" applyProtection="1">
      <alignment horizontal="left" vertical="center"/>
    </xf>
    <xf numFmtId="0" fontId="0" fillId="0" borderId="0" xfId="0" applyNumberFormat="1" applyAlignment="1" applyProtection="1">
      <alignment horizontal="left" vertical="center"/>
    </xf>
    <xf numFmtId="11" fontId="5" fillId="3" borderId="0" xfId="0" applyNumberFormat="1" applyFont="1" applyFill="1" applyAlignment="1" applyProtection="1">
      <alignment horizontal="left"/>
    </xf>
    <xf numFmtId="11" fontId="13" fillId="0" borderId="0" xfId="0" applyNumberFormat="1" applyFont="1" applyAlignment="1" applyProtection="1">
      <alignment horizontal="left"/>
      <protection locked="0"/>
    </xf>
    <xf numFmtId="0" fontId="13" fillId="0" borderId="0" xfId="0" applyFont="1" applyAlignment="1" applyProtection="1">
      <alignment horizontal="left"/>
      <protection locked="0"/>
    </xf>
    <xf numFmtId="11" fontId="13" fillId="0" borderId="0" xfId="0" applyNumberFormat="1" applyFont="1" applyFill="1" applyAlignment="1" applyProtection="1">
      <alignment horizontal="left" vertical="center"/>
      <protection locked="0"/>
    </xf>
    <xf numFmtId="11" fontId="13" fillId="0" borderId="0" xfId="0" applyNumberFormat="1" applyFont="1" applyAlignment="1" applyProtection="1">
      <alignment horizontal="left" vertical="center"/>
      <protection locked="0"/>
    </xf>
    <xf numFmtId="11" fontId="13" fillId="0" borderId="0" xfId="0" applyNumberFormat="1" applyFont="1" applyFill="1" applyBorder="1" applyAlignment="1" applyProtection="1">
      <alignment horizontal="left" vertical="center"/>
      <protection locked="0"/>
    </xf>
    <xf numFmtId="11" fontId="0" fillId="0" borderId="0" xfId="0" applyNumberFormat="1" applyAlignment="1" applyProtection="1">
      <alignment horizontal="right"/>
      <protection locked="0"/>
    </xf>
    <xf numFmtId="0" fontId="0" fillId="0" borderId="0" xfId="0" applyProtection="1"/>
    <xf numFmtId="0" fontId="8" fillId="0" borderId="0" xfId="0" applyFont="1" applyFill="1" applyProtection="1"/>
    <xf numFmtId="0" fontId="34" fillId="3" borderId="1" xfId="3" applyFont="1" applyFill="1" applyBorder="1" applyProtection="1"/>
    <xf numFmtId="11" fontId="8" fillId="0" borderId="0" xfId="0" applyNumberFormat="1" applyFont="1" applyFill="1" applyProtection="1"/>
    <xf numFmtId="0" fontId="19" fillId="4" borderId="0" xfId="0" applyFont="1" applyFill="1" applyAlignment="1" applyProtection="1">
      <alignment horizontal="left" vertical="top"/>
    </xf>
    <xf numFmtId="0" fontId="19" fillId="12" borderId="0" xfId="0" applyFont="1" applyFill="1" applyAlignment="1" applyProtection="1">
      <alignment horizontal="left" vertical="top"/>
    </xf>
    <xf numFmtId="11" fontId="17" fillId="11" borderId="0" xfId="0" applyNumberFormat="1" applyFont="1" applyFill="1" applyAlignment="1" applyProtection="1">
      <alignment horizontal="left"/>
    </xf>
    <xf numFmtId="0" fontId="19" fillId="15" borderId="0" xfId="0" applyNumberFormat="1" applyFont="1" applyFill="1" applyAlignment="1" applyProtection="1">
      <alignment horizontal="left"/>
    </xf>
    <xf numFmtId="0" fontId="0" fillId="0" borderId="0" xfId="0" applyProtection="1">
      <protection locked="0"/>
    </xf>
    <xf numFmtId="11" fontId="0" fillId="0" borderId="0" xfId="0" applyNumberFormat="1" applyAlignment="1" applyProtection="1">
      <alignment horizontal="center"/>
    </xf>
    <xf numFmtId="11" fontId="22" fillId="15" borderId="0" xfId="0" applyNumberFormat="1" applyFont="1" applyFill="1" applyAlignment="1" applyProtection="1">
      <alignment horizontal="left"/>
    </xf>
    <xf numFmtId="0" fontId="0" fillId="0" borderId="0" xfId="0" applyBorder="1" applyAlignment="1" applyProtection="1">
      <alignment horizontal="center" vertical="center"/>
      <protection locked="0"/>
    </xf>
    <xf numFmtId="0" fontId="2" fillId="0" borderId="0" xfId="0" applyFont="1" applyBorder="1" applyAlignment="1" applyProtection="1">
      <alignment horizontal="center" vertical="center"/>
      <protection locked="0"/>
    </xf>
    <xf numFmtId="0" fontId="8" fillId="0" borderId="0" xfId="2" applyFont="1" applyBorder="1" applyAlignment="1" applyProtection="1">
      <alignment horizontal="center" vertical="center"/>
      <protection locked="0"/>
    </xf>
    <xf numFmtId="0" fontId="8" fillId="0" borderId="0" xfId="0" applyNumberFormat="1"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0" borderId="0" xfId="0" applyFont="1" applyBorder="1" applyAlignment="1" applyProtection="1">
      <alignment horizontal="left" vertical="center"/>
      <protection locked="0"/>
    </xf>
    <xf numFmtId="0" fontId="0" fillId="0" borderId="0" xfId="0"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10" fillId="0" borderId="0" xfId="1" applyBorder="1" applyAlignment="1" applyProtection="1">
      <alignment vertical="center"/>
      <protection locked="0"/>
    </xf>
    <xf numFmtId="0" fontId="0" fillId="0" borderId="0" xfId="0" applyBorder="1" applyAlignment="1" applyProtection="1">
      <alignment vertical="center"/>
      <protection locked="0"/>
    </xf>
    <xf numFmtId="0" fontId="0" fillId="0" borderId="0" xfId="0" applyNumberFormat="1" applyFont="1" applyFill="1" applyBorder="1" applyAlignment="1" applyProtection="1">
      <alignment vertical="center"/>
      <protection locked="0"/>
    </xf>
    <xf numFmtId="0" fontId="8" fillId="0" borderId="0" xfId="1" applyFont="1" applyBorder="1" applyAlignment="1" applyProtection="1">
      <alignment vertical="center"/>
      <protection locked="0"/>
    </xf>
    <xf numFmtId="0" fontId="2" fillId="0" borderId="0" xfId="0" applyFont="1" applyBorder="1" applyAlignment="1" applyProtection="1">
      <alignment vertical="center"/>
      <protection locked="0"/>
    </xf>
    <xf numFmtId="0" fontId="0" fillId="0" borderId="0" xfId="0" applyFont="1" applyFill="1" applyBorder="1" applyAlignment="1" applyProtection="1">
      <alignment vertical="center"/>
      <protection locked="0"/>
    </xf>
    <xf numFmtId="0" fontId="8" fillId="0" borderId="0" xfId="1" applyFont="1" applyFill="1" applyBorder="1" applyAlignment="1" applyProtection="1">
      <alignment vertical="center"/>
      <protection locked="0"/>
    </xf>
    <xf numFmtId="0" fontId="2" fillId="0" borderId="0" xfId="0" applyFont="1" applyFill="1" applyBorder="1" applyAlignment="1" applyProtection="1">
      <alignment vertical="center"/>
      <protection locked="0"/>
    </xf>
    <xf numFmtId="0" fontId="5"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locked="0"/>
    </xf>
    <xf numFmtId="164" fontId="5" fillId="0" borderId="0" xfId="0" applyNumberFormat="1" applyFont="1" applyFill="1" applyBorder="1" applyAlignment="1" applyProtection="1">
      <alignment horizontal="center" vertical="center"/>
      <protection locked="0"/>
    </xf>
    <xf numFmtId="0" fontId="5" fillId="0" borderId="0"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protection locked="0"/>
    </xf>
    <xf numFmtId="0" fontId="2" fillId="0" borderId="0" xfId="0" applyFont="1" applyFill="1" applyBorder="1" applyAlignment="1" applyProtection="1">
      <alignment horizontal="center" vertical="center"/>
      <protection locked="0"/>
    </xf>
    <xf numFmtId="0" fontId="2" fillId="0" borderId="0" xfId="0" applyNumberFormat="1" applyFont="1" applyFill="1" applyBorder="1" applyAlignment="1" applyProtection="1">
      <alignment horizontal="center" vertical="center"/>
      <protection locked="0"/>
    </xf>
    <xf numFmtId="0" fontId="8" fillId="0" borderId="0" xfId="2" applyFont="1" applyFill="1" applyBorder="1" applyAlignment="1" applyProtection="1">
      <alignment horizontal="center" vertical="center"/>
      <protection locked="0"/>
    </xf>
    <xf numFmtId="0" fontId="0" fillId="0" borderId="0" xfId="0" applyFont="1" applyBorder="1" applyAlignment="1" applyProtection="1">
      <alignment vertical="center"/>
      <protection locked="0"/>
    </xf>
    <xf numFmtId="11" fontId="5" fillId="0" borderId="0" xfId="0" applyNumberFormat="1" applyFont="1" applyFill="1" applyBorder="1" applyAlignment="1" applyProtection="1">
      <alignment horizontal="center" vertical="center"/>
      <protection locked="0"/>
    </xf>
    <xf numFmtId="0" fontId="8" fillId="0" borderId="0" xfId="2" applyFont="1" applyBorder="1" applyAlignment="1" applyProtection="1">
      <alignment vertical="center"/>
      <protection locked="0"/>
    </xf>
    <xf numFmtId="0" fontId="0" fillId="0" borderId="0" xfId="0" applyNumberFormat="1" applyFont="1" applyFill="1" applyBorder="1" applyAlignment="1" applyProtection="1">
      <alignment horizontal="center" vertical="center"/>
      <protection locked="0"/>
    </xf>
    <xf numFmtId="11" fontId="5" fillId="3" borderId="0" xfId="0" applyNumberFormat="1" applyFont="1" applyFill="1" applyBorder="1" applyAlignment="1" applyProtection="1">
      <alignment horizontal="center" vertical="center"/>
    </xf>
    <xf numFmtId="0" fontId="33" fillId="3" borderId="0" xfId="0" applyFont="1" applyFill="1" applyBorder="1" applyAlignment="1" applyProtection="1">
      <alignment horizontal="center" vertical="center"/>
    </xf>
    <xf numFmtId="0" fontId="5" fillId="3" borderId="0" xfId="0" applyFont="1" applyFill="1" applyBorder="1" applyAlignment="1" applyProtection="1">
      <alignment horizontal="center" vertical="center"/>
    </xf>
    <xf numFmtId="11" fontId="0" fillId="0" borderId="0" xfId="0" applyNumberFormat="1" applyFont="1" applyBorder="1" applyAlignment="1" applyProtection="1">
      <alignment horizontal="center" vertical="center"/>
      <protection locked="0"/>
    </xf>
    <xf numFmtId="0" fontId="8"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horizontal="center" vertical="center"/>
      <protection locked="0"/>
    </xf>
    <xf numFmtId="1" fontId="8" fillId="0" borderId="0" xfId="0" applyNumberFormat="1" applyFont="1" applyFill="1" applyBorder="1" applyAlignment="1" applyProtection="1">
      <alignment horizontal="center" vertical="center"/>
      <protection locked="0"/>
    </xf>
    <xf numFmtId="0" fontId="8" fillId="0" borderId="0" xfId="0" applyFont="1" applyFill="1" applyBorder="1" applyAlignment="1" applyProtection="1">
      <alignment horizontal="left" vertical="center"/>
      <protection locked="0"/>
    </xf>
    <xf numFmtId="0" fontId="33" fillId="3" borderId="0" xfId="0" applyNumberFormat="1" applyFont="1" applyFill="1" applyBorder="1" applyAlignment="1" applyProtection="1">
      <alignment horizontal="center" vertical="center"/>
    </xf>
    <xf numFmtId="11" fontId="8" fillId="0" borderId="0" xfId="0" applyNumberFormat="1" applyFont="1" applyFill="1" applyBorder="1" applyAlignment="1" applyProtection="1">
      <alignment horizontal="center" vertical="center"/>
      <protection locked="0"/>
    </xf>
    <xf numFmtId="11" fontId="14" fillId="0" borderId="0" xfId="0" applyNumberFormat="1" applyFont="1" applyAlignment="1" applyProtection="1">
      <alignment horizontal="left"/>
    </xf>
    <xf numFmtId="11" fontId="14" fillId="0" borderId="0" xfId="0" applyNumberFormat="1" applyFont="1" applyProtection="1"/>
    <xf numFmtId="11" fontId="1" fillId="0" borderId="0" xfId="0" applyNumberFormat="1" applyFont="1" applyProtection="1"/>
    <xf numFmtId="11" fontId="13" fillId="0" borderId="0" xfId="0" applyNumberFormat="1" applyFont="1" applyFill="1" applyBorder="1" applyAlignment="1" applyProtection="1">
      <alignment horizontal="left" vertical="center"/>
    </xf>
    <xf numFmtId="11" fontId="13" fillId="0" borderId="0" xfId="0" applyNumberFormat="1" applyFont="1" applyAlignment="1" applyProtection="1">
      <alignment horizontal="left" vertical="center"/>
    </xf>
    <xf numFmtId="0" fontId="13" fillId="0" borderId="0" xfId="0" applyFont="1" applyAlignment="1" applyProtection="1">
      <alignment horizontal="left"/>
    </xf>
    <xf numFmtId="0" fontId="13" fillId="0" borderId="0" xfId="0" applyNumberFormat="1" applyFont="1" applyFill="1" applyBorder="1" applyProtection="1"/>
    <xf numFmtId="11" fontId="13" fillId="0" borderId="0" xfId="0" applyNumberFormat="1" applyFont="1" applyAlignment="1" applyProtection="1">
      <alignment horizontal="left"/>
    </xf>
    <xf numFmtId="11" fontId="0" fillId="0" borderId="0" xfId="0" applyNumberFormat="1" applyProtection="1"/>
    <xf numFmtId="11" fontId="0" fillId="0" borderId="0" xfId="0" applyNumberFormat="1" applyAlignment="1" applyProtection="1">
      <alignment horizontal="right"/>
    </xf>
    <xf numFmtId="11" fontId="18" fillId="0" borderId="0" xfId="0" applyNumberFormat="1" applyFont="1" applyProtection="1"/>
    <xf numFmtId="11" fontId="8" fillId="14" borderId="0" xfId="0" applyNumberFormat="1" applyFont="1" applyFill="1" applyAlignment="1" applyProtection="1">
      <alignment horizontal="left"/>
    </xf>
    <xf numFmtId="0" fontId="1" fillId="0" borderId="0" xfId="0" applyFont="1" applyFill="1" applyAlignment="1" applyProtection="1">
      <alignment horizontal="left"/>
    </xf>
    <xf numFmtId="0" fontId="14" fillId="0" borderId="0" xfId="0" applyFont="1" applyFill="1" applyAlignment="1" applyProtection="1">
      <alignment horizontal="left"/>
    </xf>
    <xf numFmtId="11" fontId="0" fillId="11" borderId="0" xfId="0" applyNumberFormat="1" applyFill="1" applyAlignment="1" applyProtection="1">
      <alignment horizontal="left"/>
    </xf>
    <xf numFmtId="0" fontId="19" fillId="0" borderId="0" xfId="0" applyFont="1" applyFill="1" applyAlignment="1" applyProtection="1">
      <alignment horizontal="left"/>
    </xf>
    <xf numFmtId="0" fontId="0" fillId="0" borderId="0" xfId="0" applyFill="1" applyAlignment="1" applyProtection="1">
      <alignment horizontal="left"/>
    </xf>
    <xf numFmtId="0" fontId="20" fillId="0" borderId="0" xfId="0" applyFont="1" applyFill="1" applyAlignment="1" applyProtection="1">
      <alignment horizontal="left"/>
    </xf>
    <xf numFmtId="0" fontId="13" fillId="15" borderId="0" xfId="0" applyFont="1" applyFill="1" applyAlignment="1" applyProtection="1">
      <alignment horizontal="left"/>
    </xf>
    <xf numFmtId="0" fontId="0" fillId="0" borderId="0" xfId="0" applyFont="1" applyFill="1" applyAlignment="1" applyProtection="1">
      <alignment horizontal="left"/>
    </xf>
    <xf numFmtId="0" fontId="0" fillId="0" borderId="0" xfId="0" applyNumberFormat="1" applyFill="1" applyAlignment="1" applyProtection="1">
      <alignment horizontal="left"/>
    </xf>
    <xf numFmtId="11" fontId="0" fillId="5" borderId="0" xfId="0" applyNumberFormat="1" applyFill="1" applyAlignment="1" applyProtection="1"/>
    <xf numFmtId="11" fontId="0" fillId="4" borderId="0" xfId="0" applyNumberFormat="1" applyFill="1" applyProtection="1"/>
    <xf numFmtId="11" fontId="0" fillId="7" borderId="0" xfId="0" applyNumberFormat="1" applyFill="1" applyProtection="1"/>
    <xf numFmtId="0" fontId="13" fillId="4" borderId="0" xfId="0" applyFont="1" applyFill="1" applyAlignment="1" applyProtection="1">
      <alignment horizontal="center" vertical="center"/>
    </xf>
    <xf numFmtId="0" fontId="13" fillId="7" borderId="0" xfId="0" applyFont="1" applyFill="1" applyAlignment="1" applyProtection="1">
      <alignment horizontal="center" vertical="center"/>
    </xf>
    <xf numFmtId="0" fontId="13" fillId="5" borderId="0" xfId="0" applyFont="1" applyFill="1" applyAlignment="1" applyProtection="1">
      <alignment horizontal="center" vertical="center"/>
    </xf>
    <xf numFmtId="0" fontId="13" fillId="8" borderId="0" xfId="0" applyFont="1" applyFill="1" applyAlignment="1" applyProtection="1">
      <alignment horizontal="center" vertical="center"/>
    </xf>
    <xf numFmtId="0" fontId="19" fillId="0" borderId="0" xfId="0" applyFont="1" applyFill="1" applyAlignment="1" applyProtection="1">
      <alignment horizontal="left" vertical="center"/>
    </xf>
    <xf numFmtId="0" fontId="0" fillId="0" borderId="0" xfId="0" applyFill="1" applyAlignment="1" applyProtection="1">
      <alignment horizontal="left" vertical="center"/>
    </xf>
    <xf numFmtId="0" fontId="20" fillId="0" borderId="0" xfId="0" applyFont="1" applyFill="1" applyAlignment="1" applyProtection="1">
      <alignment horizontal="left" vertical="center"/>
    </xf>
    <xf numFmtId="0" fontId="0" fillId="0" borderId="0" xfId="0" applyFont="1" applyFill="1" applyAlignment="1" applyProtection="1">
      <alignment horizontal="left" vertical="center"/>
    </xf>
    <xf numFmtId="0" fontId="0" fillId="0" borderId="0" xfId="0" applyNumberFormat="1" applyFill="1" applyAlignment="1" applyProtection="1">
      <alignment horizontal="left" vertical="center"/>
    </xf>
    <xf numFmtId="0" fontId="35" fillId="0" borderId="6" xfId="3" applyFont="1" applyBorder="1" applyAlignment="1">
      <alignment horizontal="left" vertical="center" wrapText="1"/>
    </xf>
    <xf numFmtId="0" fontId="0" fillId="16" borderId="0" xfId="0" applyFill="1" applyAlignment="1" applyProtection="1">
      <alignment horizontal="left"/>
    </xf>
    <xf numFmtId="11" fontId="0" fillId="16" borderId="0" xfId="0" applyNumberFormat="1" applyFill="1" applyAlignment="1" applyProtection="1">
      <alignment horizontal="left"/>
    </xf>
    <xf numFmtId="11" fontId="19" fillId="16" borderId="0" xfId="0" applyNumberFormat="1" applyFont="1" applyFill="1" applyAlignment="1" applyProtection="1">
      <alignment horizontal="left"/>
    </xf>
    <xf numFmtId="11" fontId="21" fillId="16" borderId="0" xfId="0" applyNumberFormat="1" applyFont="1" applyFill="1" applyAlignment="1" applyProtection="1">
      <alignment horizontal="left"/>
    </xf>
    <xf numFmtId="0" fontId="8" fillId="0" borderId="0" xfId="0" applyFont="1" applyAlignment="1">
      <alignment vertical="center"/>
    </xf>
    <xf numFmtId="0" fontId="8" fillId="0" borderId="0" xfId="0" applyFont="1" applyAlignment="1" applyProtection="1">
      <alignment horizontal="center" vertical="center"/>
      <protection locked="0"/>
    </xf>
    <xf numFmtId="0" fontId="0" fillId="0" borderId="0" xfId="0" applyAlignment="1">
      <alignment vertical="center"/>
    </xf>
    <xf numFmtId="0" fontId="5" fillId="3" borderId="0" xfId="0" applyFont="1" applyFill="1" applyAlignment="1">
      <alignment horizontal="center"/>
    </xf>
    <xf numFmtId="0" fontId="0" fillId="0" borderId="0" xfId="0" applyAlignment="1">
      <alignment horizontal="center"/>
    </xf>
    <xf numFmtId="165" fontId="8" fillId="0" borderId="0" xfId="0" applyNumberFormat="1" applyFont="1" applyFill="1" applyBorder="1" applyAlignment="1" applyProtection="1">
      <alignment horizontal="center" vertical="center"/>
      <protection locked="0"/>
    </xf>
    <xf numFmtId="165" fontId="0" fillId="0" borderId="0" xfId="0" applyNumberFormat="1" applyAlignment="1">
      <alignment horizontal="center" vertical="center"/>
    </xf>
    <xf numFmtId="0" fontId="8" fillId="0" borderId="0" xfId="0" applyFont="1" applyAlignment="1" applyProtection="1">
      <alignment vertical="center"/>
      <protection locked="0"/>
    </xf>
    <xf numFmtId="11" fontId="8" fillId="0" borderId="0" xfId="0" applyNumberFormat="1" applyFont="1" applyAlignment="1" applyProtection="1">
      <alignment horizontal="center" vertical="center"/>
      <protection locked="0"/>
    </xf>
    <xf numFmtId="0" fontId="1" fillId="0" borderId="0" xfId="0" applyFont="1" applyAlignment="1">
      <alignment horizontal="left"/>
    </xf>
    <xf numFmtId="0" fontId="8" fillId="0" borderId="0" xfId="0" applyFont="1"/>
    <xf numFmtId="11" fontId="8" fillId="0" borderId="0" xfId="0" applyNumberFormat="1" applyFont="1"/>
    <xf numFmtId="11" fontId="0" fillId="5" borderId="0" xfId="0" applyNumberFormat="1" applyFill="1"/>
    <xf numFmtId="11" fontId="0" fillId="4" borderId="0" xfId="0" applyNumberFormat="1" applyFill="1"/>
    <xf numFmtId="11" fontId="0" fillId="7" borderId="0" xfId="0" applyNumberFormat="1" applyFill="1"/>
    <xf numFmtId="11" fontId="0" fillId="0" borderId="0" xfId="0" applyNumberFormat="1" applyAlignment="1" applyProtection="1">
      <alignment horizontal="center"/>
      <protection locked="0"/>
    </xf>
    <xf numFmtId="0" fontId="0" fillId="0" borderId="0" xfId="0" applyAlignment="1" applyProtection="1">
      <alignment horizontal="center"/>
      <protection locked="0"/>
    </xf>
    <xf numFmtId="0" fontId="0" fillId="0" borderId="7" xfId="0" applyBorder="1" applyAlignment="1" applyProtection="1">
      <alignment horizontal="center"/>
      <protection locked="0"/>
    </xf>
    <xf numFmtId="0" fontId="6" fillId="0" borderId="0" xfId="0" applyFont="1" applyAlignment="1" applyProtection="1">
      <alignment horizontal="center" vertical="center"/>
      <protection locked="0"/>
    </xf>
    <xf numFmtId="0" fontId="5" fillId="3" borderId="0" xfId="0" applyFont="1" applyFill="1" applyAlignment="1">
      <alignment horizontal="center" vertical="center"/>
    </xf>
    <xf numFmtId="0" fontId="0" fillId="0" borderId="0" xfId="0" applyAlignment="1" applyProtection="1">
      <alignment horizontal="center" vertical="center"/>
      <protection locked="0"/>
    </xf>
    <xf numFmtId="1" fontId="8" fillId="0" borderId="0" xfId="0" applyNumberFormat="1" applyFont="1" applyAlignment="1" applyProtection="1">
      <alignment horizontal="center" vertical="center"/>
      <protection locked="0"/>
    </xf>
    <xf numFmtId="0" fontId="8" fillId="0" borderId="0" xfId="0" applyFont="1" applyAlignment="1">
      <alignment horizontal="left" vertical="center"/>
    </xf>
    <xf numFmtId="11" fontId="5" fillId="3" borderId="0" xfId="0" applyNumberFormat="1" applyFont="1" applyFill="1" applyAlignment="1">
      <alignment horizontal="center"/>
    </xf>
    <xf numFmtId="0" fontId="10" fillId="0" borderId="0" xfId="1"/>
    <xf numFmtId="0" fontId="8" fillId="0" borderId="0" xfId="1" applyFont="1"/>
    <xf numFmtId="0" fontId="2" fillId="0" borderId="0" xfId="0" applyFont="1"/>
    <xf numFmtId="0" fontId="2" fillId="0" borderId="0" xfId="0" applyFont="1" applyAlignment="1" applyProtection="1">
      <alignment horizontal="center"/>
      <protection locked="0"/>
    </xf>
    <xf numFmtId="0" fontId="8" fillId="0" borderId="0" xfId="2" applyFont="1" applyAlignment="1" applyProtection="1">
      <alignment horizontal="center"/>
      <protection locked="0"/>
    </xf>
    <xf numFmtId="0" fontId="8" fillId="0" borderId="0" xfId="0" applyFont="1" applyAlignment="1" applyProtection="1">
      <alignment horizontal="center"/>
      <protection locked="0"/>
    </xf>
    <xf numFmtId="0" fontId="5" fillId="0" borderId="0" xfId="0" applyFont="1" applyAlignment="1">
      <alignment horizontal="center"/>
    </xf>
    <xf numFmtId="0" fontId="8" fillId="0" borderId="0" xfId="0" applyFont="1" applyAlignment="1">
      <alignment horizontal="center" vertical="center"/>
    </xf>
    <xf numFmtId="164" fontId="5" fillId="0" borderId="0" xfId="0" applyNumberFormat="1" applyFont="1" applyAlignment="1">
      <alignment horizontal="center"/>
    </xf>
    <xf numFmtId="0" fontId="12" fillId="0" borderId="0" xfId="0" applyFont="1" applyAlignment="1">
      <alignment horizontal="center"/>
    </xf>
    <xf numFmtId="0" fontId="2" fillId="0" borderId="0" xfId="0" applyFont="1" applyAlignment="1">
      <alignment horizontal="center"/>
    </xf>
    <xf numFmtId="0" fontId="8" fillId="0" borderId="0" xfId="2" applyFont="1" applyAlignment="1">
      <alignment horizontal="center"/>
    </xf>
    <xf numFmtId="11" fontId="5" fillId="0" borderId="0" xfId="0" applyNumberFormat="1" applyFont="1" applyAlignment="1">
      <alignment horizontal="center"/>
    </xf>
    <xf numFmtId="0" fontId="0" fillId="0" borderId="0" xfId="0" applyAlignment="1" applyProtection="1">
      <alignment vertical="center"/>
      <protection locked="0"/>
    </xf>
    <xf numFmtId="0" fontId="8" fillId="0" borderId="0" xfId="2" applyFont="1"/>
    <xf numFmtId="11" fontId="0" fillId="0" borderId="0" xfId="0" applyNumberFormat="1"/>
    <xf numFmtId="0" fontId="36" fillId="3" borderId="0" xfId="0" applyFont="1" applyFill="1"/>
    <xf numFmtId="2" fontId="8" fillId="0" borderId="0" xfId="0" applyNumberFormat="1" applyFont="1" applyAlignment="1" applyProtection="1">
      <alignment horizontal="center" vertical="center"/>
      <protection locked="0"/>
    </xf>
    <xf numFmtId="165" fontId="8" fillId="0" borderId="0" xfId="0" applyNumberFormat="1" applyFont="1" applyAlignment="1" applyProtection="1">
      <alignment horizontal="center" vertical="center"/>
      <protection locked="0"/>
    </xf>
    <xf numFmtId="11" fontId="17" fillId="17" borderId="0" xfId="0" applyNumberFormat="1" applyFont="1" applyFill="1" applyAlignment="1" applyProtection="1">
      <alignment horizontal="left" vertical="top"/>
    </xf>
    <xf numFmtId="11" fontId="17" fillId="17" borderId="0" xfId="0" applyNumberFormat="1" applyFont="1" applyFill="1" applyAlignment="1">
      <alignment horizontal="left"/>
    </xf>
    <xf numFmtId="11" fontId="33" fillId="3" borderId="0" xfId="0" applyNumberFormat="1" applyFont="1" applyFill="1" applyAlignment="1" applyProtection="1">
      <alignment horizontal="left"/>
    </xf>
    <xf numFmtId="11" fontId="33" fillId="3" borderId="0" xfId="0" applyNumberFormat="1" applyFont="1" applyFill="1" applyAlignment="1" applyProtection="1">
      <alignment horizontal="left"/>
      <protection locked="0"/>
    </xf>
    <xf numFmtId="11" fontId="0" fillId="0" borderId="0" xfId="0" applyNumberFormat="1" applyAlignment="1">
      <alignment horizontal="left" vertical="top"/>
    </xf>
    <xf numFmtId="0" fontId="0" fillId="14" borderId="0" xfId="0" applyFill="1" applyAlignment="1" applyProtection="1">
      <alignment horizontal="left"/>
    </xf>
    <xf numFmtId="0" fontId="0" fillId="8" borderId="0" xfId="0" applyFill="1" applyAlignment="1" applyProtection="1">
      <alignment horizontal="left"/>
    </xf>
    <xf numFmtId="11" fontId="13" fillId="8" borderId="0" xfId="0" applyNumberFormat="1" applyFont="1" applyFill="1" applyAlignment="1" applyProtection="1">
      <alignment horizontal="left"/>
    </xf>
    <xf numFmtId="0" fontId="0" fillId="8" borderId="0" xfId="0" applyFont="1" applyFill="1" applyAlignment="1" applyProtection="1">
      <alignment horizontal="left"/>
    </xf>
    <xf numFmtId="0" fontId="0" fillId="8" borderId="0" xfId="0" applyNumberFormat="1" applyFill="1" applyAlignment="1" applyProtection="1">
      <alignment horizontal="left"/>
    </xf>
    <xf numFmtId="0" fontId="3" fillId="0" borderId="0" xfId="0" applyFont="1" applyBorder="1" applyAlignment="1" applyProtection="1">
      <alignment horizontal="center" vertical="center"/>
      <protection locked="0"/>
    </xf>
    <xf numFmtId="0" fontId="3" fillId="0" borderId="0" xfId="0" applyFont="1" applyFill="1" applyBorder="1" applyAlignment="1" applyProtection="1">
      <alignment horizontal="center" vertical="center"/>
      <protection locked="0"/>
    </xf>
    <xf numFmtId="0" fontId="3" fillId="0" borderId="0" xfId="0" applyFont="1" applyAlignment="1">
      <alignment horizontal="center"/>
    </xf>
  </cellXfs>
  <cellStyles count="5">
    <cellStyle name="Excel Built-in Normal" xfId="1" xr:uid="{00000000-0005-0000-0000-000000000000}"/>
    <cellStyle name="Excel Built-in Normal 2" xfId="2" xr:uid="{00000000-0005-0000-0000-000001000000}"/>
    <cellStyle name="Normal" xfId="0" builtinId="0"/>
    <cellStyle name="Normal 2" xfId="3" xr:uid="{66F8C8A4-BE9A-4D4F-9666-749D1383DFCF}"/>
    <cellStyle name="Normal 2 2" xfId="4" xr:uid="{2CD6799B-21A8-43AC-B203-D9C414B0BCC5}"/>
  </cellStyles>
  <dxfs count="0"/>
  <tableStyles count="0" defaultTableStyle="TableStyleMedium2" defaultPivotStyle="PivotStyleLight16"/>
  <colors>
    <mruColors>
      <color rgb="FFE9D9FF"/>
      <color rgb="FFFFCCCC"/>
      <color rgb="FF008000"/>
      <color rgb="FFB3FFB3"/>
      <color rgb="FFFF9999"/>
      <color rgb="FFCCFFCC"/>
      <color rgb="FFFFCCFF"/>
      <color rgb="FFCCECFF"/>
      <color rgb="FFFF9966"/>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k21_ornl_gov/Documents/EPA%20Tools/RAD_Master%20QA%20Sheets/2019_Internal_Verification_Spreadsheets/RADPRG_non_worker_deca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adSpec"/>
      <sheetName val="def_acf"/>
      <sheetName val="d"/>
      <sheetName val="Bv"/>
      <sheetName val="Irr"/>
      <sheetName val="dir"/>
      <sheetName val="b2s"/>
      <sheetName val="b2w"/>
      <sheetName val="res"/>
      <sheetName val="far"/>
      <sheetName val="rec"/>
      <sheetName val="sgw"/>
      <sheetName val="s_RadSpec"/>
      <sheetName val="s_Irr"/>
      <sheetName val="s_dir"/>
      <sheetName val="s_b2s"/>
      <sheetName val="s_b2w"/>
      <sheetName val="s_res"/>
      <sheetName val="s_far"/>
      <sheetName val="ss_rec"/>
      <sheetName val="ss_sgw"/>
      <sheetName val="ss"/>
      <sheetName val="up_RadSpec"/>
      <sheetName val="up_Bv"/>
      <sheetName val="up_Irr"/>
      <sheetName val="up_dir"/>
      <sheetName val="up_b2s"/>
      <sheetName val="up_b2w"/>
      <sheetName val="up_res"/>
      <sheetName val="up_far"/>
      <sheetName val="up_rec"/>
      <sheetName val="up_sgw"/>
    </sheetNames>
    <sheetDataSet>
      <sheetData sheetId="0"/>
      <sheetData sheetId="1"/>
      <sheetData sheetId="2"/>
      <sheetData sheetId="3">
        <row r="2">
          <cell r="B2">
            <v>9.9999999999999995E-7</v>
          </cell>
          <cell r="E2">
            <v>6</v>
          </cell>
          <cell r="H2">
            <v>6</v>
          </cell>
          <cell r="K2">
            <v>6</v>
          </cell>
          <cell r="N2">
            <v>1</v>
          </cell>
          <cell r="Q2">
            <v>1</v>
          </cell>
        </row>
        <row r="3">
          <cell r="B3">
            <v>0.5</v>
          </cell>
          <cell r="E3">
            <v>20</v>
          </cell>
          <cell r="H3">
            <v>20</v>
          </cell>
          <cell r="K3">
            <v>34</v>
          </cell>
          <cell r="N3">
            <v>1</v>
          </cell>
          <cell r="Q3">
            <v>1</v>
          </cell>
        </row>
        <row r="4">
          <cell r="B4">
            <v>1</v>
          </cell>
          <cell r="E4">
            <v>26</v>
          </cell>
          <cell r="H4">
            <v>26</v>
          </cell>
          <cell r="K4">
            <v>40</v>
          </cell>
          <cell r="N4">
            <v>1</v>
          </cell>
          <cell r="Q4">
            <v>1</v>
          </cell>
        </row>
        <row r="5">
          <cell r="E5">
            <v>26</v>
          </cell>
          <cell r="H5">
            <v>26</v>
          </cell>
          <cell r="K5">
            <v>40</v>
          </cell>
          <cell r="N5">
            <v>1</v>
          </cell>
          <cell r="Q5">
            <v>1</v>
          </cell>
        </row>
        <row r="6">
          <cell r="B6">
            <v>1</v>
          </cell>
          <cell r="E6">
            <v>10</v>
          </cell>
          <cell r="H6">
            <v>10</v>
          </cell>
          <cell r="K6">
            <v>10</v>
          </cell>
          <cell r="N6">
            <v>1</v>
          </cell>
          <cell r="Q6">
            <v>1</v>
          </cell>
        </row>
        <row r="7">
          <cell r="B7">
            <v>2.6999999999999999E-5</v>
          </cell>
          <cell r="E7">
            <v>20</v>
          </cell>
          <cell r="H7">
            <v>20</v>
          </cell>
          <cell r="K7">
            <v>20</v>
          </cell>
          <cell r="N7">
            <v>1</v>
          </cell>
          <cell r="Q7">
            <v>1</v>
          </cell>
        </row>
        <row r="8">
          <cell r="B8">
            <v>3.62</v>
          </cell>
          <cell r="E8">
            <v>161000</v>
          </cell>
          <cell r="H8">
            <v>1437.5</v>
          </cell>
          <cell r="K8">
            <v>259000</v>
          </cell>
          <cell r="N8">
            <v>1</v>
          </cell>
        </row>
        <row r="9">
          <cell r="B9">
            <v>0.25</v>
          </cell>
          <cell r="E9">
            <v>6104</v>
          </cell>
          <cell r="H9">
            <v>1950</v>
          </cell>
          <cell r="K9">
            <v>9583</v>
          </cell>
          <cell r="N9">
            <v>1</v>
          </cell>
        </row>
        <row r="10">
          <cell r="B10">
            <v>10950</v>
          </cell>
          <cell r="E10">
            <v>200</v>
          </cell>
          <cell r="H10">
            <v>200</v>
          </cell>
          <cell r="K10">
            <v>200</v>
          </cell>
          <cell r="N10">
            <v>1</v>
          </cell>
        </row>
        <row r="11">
          <cell r="B11">
            <v>240</v>
          </cell>
          <cell r="E11">
            <v>100</v>
          </cell>
          <cell r="H11">
            <v>100</v>
          </cell>
          <cell r="K11">
            <v>100</v>
          </cell>
          <cell r="N11">
            <v>1</v>
          </cell>
        </row>
        <row r="12">
          <cell r="B12">
            <v>0.42</v>
          </cell>
          <cell r="E12">
            <v>1120000</v>
          </cell>
          <cell r="H12">
            <v>240000</v>
          </cell>
          <cell r="K12">
            <v>1610000</v>
          </cell>
          <cell r="N12">
            <v>1</v>
          </cell>
          <cell r="Q12">
            <v>62.8</v>
          </cell>
        </row>
        <row r="13">
          <cell r="B13">
            <v>60</v>
          </cell>
          <cell r="E13">
            <v>0.78</v>
          </cell>
          <cell r="H13">
            <v>0.12</v>
          </cell>
          <cell r="K13">
            <v>0.78</v>
          </cell>
          <cell r="N13">
            <v>1</v>
          </cell>
          <cell r="Q13">
            <v>165.3</v>
          </cell>
        </row>
        <row r="14">
          <cell r="B14">
            <v>2</v>
          </cell>
          <cell r="E14">
            <v>2.5</v>
          </cell>
          <cell r="H14">
            <v>7.0999999999999994E-2</v>
          </cell>
          <cell r="K14">
            <v>2.5</v>
          </cell>
          <cell r="N14">
            <v>1</v>
          </cell>
          <cell r="Q14">
            <v>2098950</v>
          </cell>
        </row>
        <row r="15">
          <cell r="B15">
            <v>1</v>
          </cell>
          <cell r="E15">
            <v>19138</v>
          </cell>
          <cell r="H15">
            <v>160.5</v>
          </cell>
          <cell r="K15">
            <v>31388</v>
          </cell>
          <cell r="N15">
            <v>1</v>
          </cell>
          <cell r="Q15">
            <v>994.7</v>
          </cell>
        </row>
        <row r="16">
          <cell r="B16">
            <v>14</v>
          </cell>
          <cell r="E16">
            <v>54000</v>
          </cell>
          <cell r="H16">
            <v>1</v>
          </cell>
          <cell r="K16">
            <v>350</v>
          </cell>
          <cell r="N16">
            <v>1</v>
          </cell>
          <cell r="Q16">
            <v>676.4</v>
          </cell>
        </row>
        <row r="17">
          <cell r="B17">
            <v>1.5</v>
          </cell>
          <cell r="E17">
            <v>350</v>
          </cell>
          <cell r="H17">
            <v>1</v>
          </cell>
          <cell r="K17">
            <v>350</v>
          </cell>
          <cell r="N17">
            <v>1</v>
          </cell>
          <cell r="Q17">
            <v>10138030</v>
          </cell>
        </row>
        <row r="18">
          <cell r="B18">
            <v>0.3</v>
          </cell>
          <cell r="E18">
            <v>350</v>
          </cell>
          <cell r="H18">
            <v>75</v>
          </cell>
          <cell r="K18">
            <v>350</v>
          </cell>
          <cell r="N18">
            <v>1</v>
          </cell>
          <cell r="Q18">
            <v>31.7</v>
          </cell>
        </row>
        <row r="19">
          <cell r="E19">
            <v>350</v>
          </cell>
          <cell r="H19">
            <v>75</v>
          </cell>
          <cell r="K19">
            <v>24</v>
          </cell>
          <cell r="N19">
            <v>1</v>
          </cell>
          <cell r="Q19">
            <v>59.6</v>
          </cell>
        </row>
        <row r="20">
          <cell r="E20">
            <v>0.54</v>
          </cell>
          <cell r="H20">
            <v>75</v>
          </cell>
          <cell r="K20">
            <v>24</v>
          </cell>
          <cell r="N20">
            <v>1</v>
          </cell>
          <cell r="Q20">
            <v>775810</v>
          </cell>
        </row>
        <row r="21">
          <cell r="E21">
            <v>0.71</v>
          </cell>
          <cell r="H21">
            <v>1</v>
          </cell>
          <cell r="K21">
            <v>24</v>
          </cell>
          <cell r="N21">
            <v>1</v>
          </cell>
          <cell r="Q21">
            <v>46.9</v>
          </cell>
        </row>
        <row r="22">
          <cell r="E22">
            <v>24</v>
          </cell>
          <cell r="H22">
            <v>1</v>
          </cell>
          <cell r="K22">
            <v>0.54</v>
          </cell>
          <cell r="N22">
            <v>1</v>
          </cell>
          <cell r="Q22">
            <v>107.4</v>
          </cell>
        </row>
        <row r="23">
          <cell r="E23">
            <v>24</v>
          </cell>
          <cell r="H23">
            <v>1</v>
          </cell>
          <cell r="K23">
            <v>0.71</v>
          </cell>
          <cell r="N23">
            <v>1</v>
          </cell>
          <cell r="Q23">
            <v>1376550</v>
          </cell>
        </row>
        <row r="24">
          <cell r="E24">
            <v>24</v>
          </cell>
          <cell r="H24">
            <v>1</v>
          </cell>
          <cell r="K24">
            <v>12.167999999999999</v>
          </cell>
          <cell r="N24">
            <v>1</v>
          </cell>
          <cell r="Q24">
            <v>57.4</v>
          </cell>
        </row>
        <row r="25">
          <cell r="E25">
            <v>1</v>
          </cell>
          <cell r="H25">
            <v>1</v>
          </cell>
          <cell r="K25">
            <v>10.007999999999999</v>
          </cell>
          <cell r="N25">
            <v>1</v>
          </cell>
          <cell r="Q25">
            <v>831.8</v>
          </cell>
        </row>
        <row r="26">
          <cell r="E26">
            <v>1</v>
          </cell>
          <cell r="H26">
            <v>1</v>
          </cell>
          <cell r="K26">
            <v>1</v>
          </cell>
          <cell r="N26">
            <v>82.9</v>
          </cell>
          <cell r="Q26">
            <v>10018960</v>
          </cell>
        </row>
        <row r="27">
          <cell r="B27">
            <v>1359344473.5814338</v>
          </cell>
          <cell r="E27">
            <v>1.752</v>
          </cell>
          <cell r="H27">
            <v>1</v>
          </cell>
          <cell r="K27">
            <v>1</v>
          </cell>
          <cell r="N27">
            <v>84.7</v>
          </cell>
          <cell r="Q27">
            <v>33.700000000000003</v>
          </cell>
        </row>
        <row r="28">
          <cell r="B28">
            <v>4.6900000000000004</v>
          </cell>
          <cell r="E28">
            <v>16.416</v>
          </cell>
          <cell r="H28">
            <v>1</v>
          </cell>
          <cell r="N28">
            <v>1182020</v>
          </cell>
          <cell r="Q28">
            <v>92.5</v>
          </cell>
        </row>
        <row r="29">
          <cell r="B29">
            <v>11.32</v>
          </cell>
          <cell r="E29">
            <v>1</v>
          </cell>
          <cell r="H29">
            <v>1</v>
          </cell>
          <cell r="N29">
            <v>12</v>
          </cell>
          <cell r="Q29">
            <v>1171520</v>
          </cell>
        </row>
        <row r="30">
          <cell r="B30">
            <v>0.19400000000000001</v>
          </cell>
          <cell r="E30">
            <v>72.2</v>
          </cell>
          <cell r="H30">
            <v>1</v>
          </cell>
          <cell r="K30">
            <v>1.6000000000000001E-4</v>
          </cell>
          <cell r="N30">
            <v>39.299999999999997</v>
          </cell>
          <cell r="Q30">
            <v>0</v>
          </cell>
        </row>
        <row r="31">
          <cell r="B31">
            <v>0.5</v>
          </cell>
          <cell r="E31">
            <v>73.7</v>
          </cell>
          <cell r="H31">
            <v>1</v>
          </cell>
          <cell r="K31">
            <v>7.8999999999999996E-5</v>
          </cell>
          <cell r="N31">
            <v>492869.99999999994</v>
          </cell>
          <cell r="Q31">
            <v>0</v>
          </cell>
        </row>
        <row r="32">
          <cell r="B32">
            <v>93.773582452087695</v>
          </cell>
          <cell r="E32">
            <v>667520</v>
          </cell>
          <cell r="H32">
            <v>1</v>
          </cell>
          <cell r="K32">
            <v>1.3799999999999999E-4</v>
          </cell>
          <cell r="N32">
            <v>3.9</v>
          </cell>
        </row>
        <row r="33">
          <cell r="B33">
            <v>0.5</v>
          </cell>
          <cell r="E33">
            <v>12</v>
          </cell>
          <cell r="H33">
            <v>1</v>
          </cell>
          <cell r="K33">
            <v>1.66E-4</v>
          </cell>
          <cell r="N33">
            <v>33.9</v>
          </cell>
          <cell r="Q33">
            <v>0</v>
          </cell>
        </row>
        <row r="34">
          <cell r="B34">
            <v>16.2302</v>
          </cell>
          <cell r="E34">
            <v>39.299999999999997</v>
          </cell>
          <cell r="H34">
            <v>1</v>
          </cell>
          <cell r="K34">
            <v>1.01E-3</v>
          </cell>
          <cell r="N34">
            <v>411600</v>
          </cell>
          <cell r="Q34">
            <v>0</v>
          </cell>
        </row>
        <row r="35">
          <cell r="B35">
            <v>18.776199999999999</v>
          </cell>
          <cell r="E35">
            <v>300300</v>
          </cell>
          <cell r="H35">
            <v>1</v>
          </cell>
          <cell r="K35">
            <v>1.05E-4</v>
          </cell>
          <cell r="N35">
            <v>23.9</v>
          </cell>
        </row>
        <row r="36">
          <cell r="B36">
            <v>216.108</v>
          </cell>
          <cell r="E36">
            <v>3.9</v>
          </cell>
          <cell r="H36">
            <v>1</v>
          </cell>
          <cell r="K36">
            <v>9.7E-5</v>
          </cell>
          <cell r="N36">
            <v>35.4</v>
          </cell>
          <cell r="Q36">
            <v>0</v>
          </cell>
        </row>
        <row r="37">
          <cell r="E37">
            <v>33.9</v>
          </cell>
          <cell r="H37">
            <v>1</v>
          </cell>
          <cell r="K37">
            <v>1.5699999999999999E-4</v>
          </cell>
          <cell r="N37">
            <v>471450</v>
          </cell>
          <cell r="Q37">
            <v>0</v>
          </cell>
        </row>
        <row r="38">
          <cell r="E38">
            <v>245490</v>
          </cell>
          <cell r="H38">
            <v>1</v>
          </cell>
          <cell r="K38">
            <v>1.45E-4</v>
          </cell>
          <cell r="N38">
            <v>14.4</v>
          </cell>
        </row>
        <row r="39">
          <cell r="E39">
            <v>23.9</v>
          </cell>
          <cell r="H39">
            <v>1</v>
          </cell>
          <cell r="K39">
            <v>4.0000000000000003E-5</v>
          </cell>
          <cell r="N39">
            <v>35.299999999999997</v>
          </cell>
          <cell r="Q39">
            <v>0</v>
          </cell>
        </row>
        <row r="40">
          <cell r="E40">
            <v>35.4</v>
          </cell>
          <cell r="K40">
            <v>1.35E-2</v>
          </cell>
          <cell r="N40">
            <v>450309.99999999994</v>
          </cell>
          <cell r="Q40">
            <v>0</v>
          </cell>
        </row>
        <row r="41">
          <cell r="E41">
            <v>297990</v>
          </cell>
          <cell r="K41">
            <v>3.8300000000000001E-3</v>
          </cell>
          <cell r="N41">
            <v>11.5</v>
          </cell>
        </row>
        <row r="42">
          <cell r="E42">
            <v>13.1</v>
          </cell>
          <cell r="K42">
            <v>8.0000000000000007E-5</v>
          </cell>
          <cell r="N42">
            <v>85.7</v>
          </cell>
          <cell r="Q42">
            <v>92</v>
          </cell>
        </row>
        <row r="43">
          <cell r="E43">
            <v>32</v>
          </cell>
          <cell r="K43">
            <v>9.7E-5</v>
          </cell>
          <cell r="N43">
            <v>1043980</v>
          </cell>
          <cell r="Q43">
            <v>1.03</v>
          </cell>
        </row>
        <row r="44">
          <cell r="E44">
            <v>251510</v>
          </cell>
          <cell r="K44">
            <v>1.4999999999999999E-4</v>
          </cell>
          <cell r="N44">
            <v>13.3</v>
          </cell>
          <cell r="Q44">
            <v>20.3</v>
          </cell>
        </row>
        <row r="45">
          <cell r="E45">
            <v>12.3</v>
          </cell>
          <cell r="K45">
            <v>1.6000000000000001E-4</v>
          </cell>
          <cell r="N45">
            <v>24.4</v>
          </cell>
          <cell r="Q45">
            <v>0.4</v>
          </cell>
        </row>
        <row r="46">
          <cell r="E46">
            <v>92.1</v>
          </cell>
          <cell r="K46">
            <v>1.7799999999999999E-4</v>
          </cell>
          <cell r="N46">
            <v>318290</v>
          </cell>
          <cell r="Q46">
            <v>1</v>
          </cell>
        </row>
        <row r="47">
          <cell r="E47">
            <v>670530</v>
          </cell>
          <cell r="K47">
            <v>2.1000000000000001E-4</v>
          </cell>
          <cell r="N47">
            <v>46</v>
          </cell>
          <cell r="Q47">
            <v>1</v>
          </cell>
        </row>
        <row r="48">
          <cell r="E48">
            <v>14.9</v>
          </cell>
          <cell r="K48">
            <v>5.8E-5</v>
          </cell>
          <cell r="N48">
            <v>91.9</v>
          </cell>
          <cell r="Q48">
            <v>53</v>
          </cell>
        </row>
        <row r="49">
          <cell r="E49">
            <v>27.3</v>
          </cell>
          <cell r="K49">
            <v>5.0000000000000001E-3</v>
          </cell>
          <cell r="N49">
            <v>1190210</v>
          </cell>
          <cell r="Q49">
            <v>11.77</v>
          </cell>
        </row>
        <row r="50">
          <cell r="E50">
            <v>222390</v>
          </cell>
          <cell r="K50">
            <v>8.0000000000000007E-5</v>
          </cell>
          <cell r="N50">
            <v>194.4</v>
          </cell>
          <cell r="Q50">
            <v>0.5</v>
          </cell>
        </row>
        <row r="51">
          <cell r="E51">
            <v>46</v>
          </cell>
          <cell r="K51">
            <v>1.5900000000000001E-3</v>
          </cell>
          <cell r="N51">
            <v>309.39999999999998</v>
          </cell>
          <cell r="Q51">
            <v>1</v>
          </cell>
        </row>
        <row r="52">
          <cell r="E52">
            <v>91.9</v>
          </cell>
          <cell r="K52">
            <v>0.25</v>
          </cell>
          <cell r="N52">
            <v>4090099.9999999995</v>
          </cell>
          <cell r="Q52">
            <v>1</v>
          </cell>
        </row>
        <row r="53">
          <cell r="E53">
            <v>739900</v>
          </cell>
          <cell r="K53">
            <v>0.25</v>
          </cell>
          <cell r="N53">
            <v>32.700000000000003</v>
          </cell>
        </row>
        <row r="54">
          <cell r="E54">
            <v>194.1</v>
          </cell>
          <cell r="N54">
            <v>82</v>
          </cell>
        </row>
        <row r="55">
          <cell r="E55">
            <v>309.39999999999998</v>
          </cell>
          <cell r="N55">
            <v>1044470</v>
          </cell>
        </row>
        <row r="56">
          <cell r="E56">
            <v>2573410</v>
          </cell>
          <cell r="N56">
            <v>16.899999999999999</v>
          </cell>
        </row>
        <row r="57">
          <cell r="E57">
            <v>23.8</v>
          </cell>
          <cell r="N57">
            <v>54.9</v>
          </cell>
        </row>
        <row r="58">
          <cell r="E58">
            <v>59.8</v>
          </cell>
          <cell r="N58">
            <v>688800</v>
          </cell>
          <cell r="Q58">
            <v>0.4</v>
          </cell>
        </row>
        <row r="59">
          <cell r="E59">
            <v>468580</v>
          </cell>
          <cell r="N59">
            <v>4.2</v>
          </cell>
          <cell r="Q59">
            <v>0.2</v>
          </cell>
        </row>
        <row r="60">
          <cell r="E60">
            <v>25.4</v>
          </cell>
          <cell r="N60">
            <v>37.5</v>
          </cell>
          <cell r="Q60">
            <v>2.1999999999999999E-2</v>
          </cell>
        </row>
        <row r="61">
          <cell r="E61">
            <v>82.4</v>
          </cell>
          <cell r="N61">
            <v>455070</v>
          </cell>
          <cell r="Q61">
            <v>1</v>
          </cell>
        </row>
        <row r="62">
          <cell r="E62">
            <v>630140</v>
          </cell>
          <cell r="N62">
            <v>6.5</v>
          </cell>
          <cell r="Q62">
            <v>1</v>
          </cell>
        </row>
        <row r="63">
          <cell r="E63">
            <v>4.2</v>
          </cell>
          <cell r="N63">
            <v>33.799999999999997</v>
          </cell>
          <cell r="Q63">
            <v>11.4</v>
          </cell>
        </row>
        <row r="64">
          <cell r="E64">
            <v>37.5</v>
          </cell>
          <cell r="N64">
            <v>415869.99999999994</v>
          </cell>
          <cell r="Q64">
            <v>4.7</v>
          </cell>
        </row>
        <row r="65">
          <cell r="E65">
            <v>271320</v>
          </cell>
          <cell r="N65">
            <v>5.3</v>
          </cell>
          <cell r="Q65">
            <v>0.37</v>
          </cell>
        </row>
        <row r="66">
          <cell r="E66">
            <v>6.5</v>
          </cell>
          <cell r="N66">
            <v>30.2</v>
          </cell>
          <cell r="Q66">
            <v>1</v>
          </cell>
        </row>
        <row r="67">
          <cell r="E67">
            <v>33.799999999999997</v>
          </cell>
          <cell r="N67">
            <v>370510</v>
          </cell>
          <cell r="Q67">
            <v>1</v>
          </cell>
        </row>
        <row r="68">
          <cell r="E68">
            <v>250249.99999999997</v>
          </cell>
          <cell r="N68">
            <v>7.2</v>
          </cell>
          <cell r="Q68">
            <v>0.25</v>
          </cell>
        </row>
        <row r="69">
          <cell r="E69">
            <v>5.3</v>
          </cell>
          <cell r="N69">
            <v>27.2</v>
          </cell>
          <cell r="Q69">
            <v>0.25</v>
          </cell>
        </row>
        <row r="70">
          <cell r="E70">
            <v>30.2</v>
          </cell>
          <cell r="N70">
            <v>338800</v>
          </cell>
        </row>
        <row r="71">
          <cell r="E71">
            <v>222530</v>
          </cell>
          <cell r="N71">
            <v>99.3</v>
          </cell>
        </row>
        <row r="72">
          <cell r="E72">
            <v>5.8</v>
          </cell>
          <cell r="N72">
            <v>103.1</v>
          </cell>
        </row>
        <row r="73">
          <cell r="E73">
            <v>21.8</v>
          </cell>
          <cell r="N73">
            <v>1435420</v>
          </cell>
        </row>
        <row r="74">
          <cell r="E74">
            <v>164780</v>
          </cell>
          <cell r="N74">
            <v>76.900000000000006</v>
          </cell>
        </row>
        <row r="75">
          <cell r="E75">
            <v>111.4</v>
          </cell>
          <cell r="N75">
            <v>59.9</v>
          </cell>
        </row>
        <row r="76">
          <cell r="E76">
            <v>115.7</v>
          </cell>
          <cell r="N76">
            <v>874300</v>
          </cell>
        </row>
        <row r="77">
          <cell r="E77">
            <v>1043840</v>
          </cell>
          <cell r="N77">
            <v>28.7</v>
          </cell>
        </row>
        <row r="78">
          <cell r="E78">
            <v>66.7</v>
          </cell>
          <cell r="N78">
            <v>31.7</v>
          </cell>
        </row>
        <row r="79">
          <cell r="E79">
            <v>51.9</v>
          </cell>
          <cell r="N79">
            <v>437500</v>
          </cell>
        </row>
        <row r="80">
          <cell r="E80">
            <v>503370</v>
          </cell>
          <cell r="N80">
            <v>57.3</v>
          </cell>
        </row>
        <row r="81">
          <cell r="E81">
            <v>32.1</v>
          </cell>
          <cell r="N81">
            <v>141.80000000000001</v>
          </cell>
        </row>
        <row r="82">
          <cell r="E82">
            <v>35.4</v>
          </cell>
          <cell r="N82">
            <v>1807750.0000000002</v>
          </cell>
        </row>
        <row r="83">
          <cell r="E83">
            <v>315210</v>
          </cell>
          <cell r="N83">
            <v>45.2</v>
          </cell>
        </row>
        <row r="84">
          <cell r="E84">
            <v>51.7</v>
          </cell>
          <cell r="N84">
            <v>64.8</v>
          </cell>
        </row>
        <row r="85">
          <cell r="E85">
            <v>127.8</v>
          </cell>
          <cell r="N85">
            <v>866040</v>
          </cell>
        </row>
        <row r="86">
          <cell r="E86">
            <v>1003170</v>
          </cell>
          <cell r="N86">
            <v>34.799999999999997</v>
          </cell>
        </row>
        <row r="87">
          <cell r="E87">
            <v>45.2</v>
          </cell>
          <cell r="N87">
            <v>88.5</v>
          </cell>
        </row>
        <row r="88">
          <cell r="E88">
            <v>64.8</v>
          </cell>
          <cell r="N88">
            <v>1126230</v>
          </cell>
        </row>
        <row r="89">
          <cell r="E89">
            <v>548520</v>
          </cell>
          <cell r="N89">
            <v>27.5</v>
          </cell>
        </row>
        <row r="90">
          <cell r="E90">
            <v>28.8</v>
          </cell>
          <cell r="N90">
            <v>54.2</v>
          </cell>
        </row>
        <row r="91">
          <cell r="E91">
            <v>73.2</v>
          </cell>
          <cell r="N91">
            <v>702730</v>
          </cell>
        </row>
        <row r="92">
          <cell r="E92">
            <v>572880</v>
          </cell>
          <cell r="N92">
            <v>25.3</v>
          </cell>
        </row>
        <row r="93">
          <cell r="E93">
            <v>27.3</v>
          </cell>
          <cell r="N93">
            <v>40.5</v>
          </cell>
        </row>
        <row r="94">
          <cell r="E94">
            <v>53.9</v>
          </cell>
          <cell r="N94">
            <v>535080</v>
          </cell>
        </row>
        <row r="95">
          <cell r="E95">
            <v>434630</v>
          </cell>
          <cell r="N95">
            <v>34.9</v>
          </cell>
        </row>
        <row r="96">
          <cell r="E96">
            <v>25.3</v>
          </cell>
          <cell r="N96">
            <v>94.2</v>
          </cell>
        </row>
        <row r="97">
          <cell r="E97">
            <v>40.5</v>
          </cell>
          <cell r="N97">
            <v>1194270</v>
          </cell>
        </row>
        <row r="98">
          <cell r="E98">
            <v>336630</v>
          </cell>
        </row>
        <row r="99">
          <cell r="E99">
            <v>29.7</v>
          </cell>
        </row>
        <row r="100">
          <cell r="E100">
            <v>80.3</v>
          </cell>
        </row>
        <row r="101">
          <cell r="E101">
            <v>624470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
          <cell r="B2">
            <v>1E-3</v>
          </cell>
          <cell r="E2">
            <v>5</v>
          </cell>
          <cell r="H2">
            <v>5</v>
          </cell>
          <cell r="K2">
            <v>5</v>
          </cell>
          <cell r="N2">
            <v>0.5</v>
          </cell>
          <cell r="Q2">
            <v>0.5</v>
          </cell>
        </row>
        <row r="3">
          <cell r="B3">
            <v>0.5</v>
          </cell>
          <cell r="E3">
            <v>15</v>
          </cell>
          <cell r="H3">
            <v>15</v>
          </cell>
          <cell r="K3">
            <v>15</v>
          </cell>
          <cell r="N3">
            <v>0.5</v>
          </cell>
          <cell r="Q3">
            <v>0.5</v>
          </cell>
        </row>
        <row r="4">
          <cell r="B4">
            <v>2</v>
          </cell>
          <cell r="E4">
            <v>20</v>
          </cell>
          <cell r="H4">
            <v>20</v>
          </cell>
          <cell r="K4">
            <v>20</v>
          </cell>
          <cell r="N4">
            <v>0.5</v>
          </cell>
          <cell r="Q4">
            <v>0.5</v>
          </cell>
        </row>
        <row r="5">
          <cell r="E5">
            <v>20</v>
          </cell>
          <cell r="H5">
            <v>20</v>
          </cell>
          <cell r="K5">
            <v>20</v>
          </cell>
          <cell r="N5">
            <v>0.5</v>
          </cell>
          <cell r="Q5">
            <v>0.5</v>
          </cell>
        </row>
        <row r="6">
          <cell r="B6">
            <v>2</v>
          </cell>
          <cell r="E6">
            <v>5</v>
          </cell>
          <cell r="H6">
            <v>5</v>
          </cell>
          <cell r="K6">
            <v>5</v>
          </cell>
          <cell r="N6">
            <v>0.5</v>
          </cell>
          <cell r="Q6">
            <v>0.5</v>
          </cell>
        </row>
        <row r="7">
          <cell r="B7">
            <v>5.5000000000000002E-5</v>
          </cell>
          <cell r="E7">
            <v>10</v>
          </cell>
          <cell r="H7">
            <v>10</v>
          </cell>
          <cell r="K7">
            <v>10</v>
          </cell>
          <cell r="N7">
            <v>0.5</v>
          </cell>
          <cell r="Q7">
            <v>0.5</v>
          </cell>
        </row>
        <row r="8">
          <cell r="B8">
            <v>5</v>
          </cell>
          <cell r="E8">
            <v>182.29166666666666</v>
          </cell>
          <cell r="H8">
            <v>182.29166666666666</v>
          </cell>
          <cell r="K8">
            <v>182.29166666666666</v>
          </cell>
          <cell r="N8">
            <v>0.5</v>
          </cell>
          <cell r="Q8">
            <v>0.5</v>
          </cell>
        </row>
        <row r="9">
          <cell r="B9">
            <v>0.5</v>
          </cell>
          <cell r="E9">
            <v>400</v>
          </cell>
          <cell r="H9">
            <v>400</v>
          </cell>
          <cell r="K9">
            <v>400</v>
          </cell>
          <cell r="N9">
            <v>0.5</v>
          </cell>
          <cell r="Q9">
            <v>0.5</v>
          </cell>
        </row>
        <row r="10">
          <cell r="B10">
            <v>5000</v>
          </cell>
          <cell r="E10">
            <v>55</v>
          </cell>
          <cell r="H10">
            <v>55</v>
          </cell>
          <cell r="K10">
            <v>55</v>
          </cell>
          <cell r="N10">
            <v>0.5</v>
          </cell>
          <cell r="Q10">
            <v>0.5</v>
          </cell>
        </row>
        <row r="11">
          <cell r="B11">
            <v>55</v>
          </cell>
          <cell r="E11">
            <v>55</v>
          </cell>
          <cell r="H11">
            <v>55</v>
          </cell>
          <cell r="K11">
            <v>55</v>
          </cell>
          <cell r="N11">
            <v>0.5</v>
          </cell>
          <cell r="Q11">
            <v>0.5</v>
          </cell>
        </row>
        <row r="12">
          <cell r="B12">
            <v>0.5</v>
          </cell>
          <cell r="E12">
            <v>5500</v>
          </cell>
          <cell r="H12">
            <v>5500</v>
          </cell>
          <cell r="K12">
            <v>5500</v>
          </cell>
          <cell r="N12">
            <v>0.5</v>
          </cell>
          <cell r="Q12">
            <v>55</v>
          </cell>
        </row>
        <row r="13">
          <cell r="B13">
            <v>55</v>
          </cell>
          <cell r="E13">
            <v>5</v>
          </cell>
          <cell r="H13">
            <v>2</v>
          </cell>
          <cell r="K13">
            <v>5</v>
          </cell>
          <cell r="N13">
            <v>0.5</v>
          </cell>
          <cell r="Q13">
            <v>55</v>
          </cell>
        </row>
        <row r="14">
          <cell r="B14">
            <v>5</v>
          </cell>
          <cell r="E14">
            <v>5</v>
          </cell>
          <cell r="H14">
            <v>2</v>
          </cell>
          <cell r="K14">
            <v>5</v>
          </cell>
          <cell r="N14">
            <v>0.5</v>
          </cell>
          <cell r="Q14">
            <v>5500</v>
          </cell>
        </row>
        <row r="15">
          <cell r="B15">
            <v>5</v>
          </cell>
          <cell r="E15">
            <v>500</v>
          </cell>
          <cell r="H15">
            <v>800</v>
          </cell>
          <cell r="K15">
            <v>500</v>
          </cell>
          <cell r="N15">
            <v>0.5</v>
          </cell>
          <cell r="Q15">
            <v>55</v>
          </cell>
        </row>
        <row r="16">
          <cell r="B16">
            <v>5</v>
          </cell>
          <cell r="E16">
            <v>55000</v>
          </cell>
          <cell r="H16">
            <v>2</v>
          </cell>
          <cell r="K16">
            <v>5</v>
          </cell>
          <cell r="N16">
            <v>0.5</v>
          </cell>
          <cell r="Q16">
            <v>55</v>
          </cell>
        </row>
        <row r="17">
          <cell r="B17">
            <v>2</v>
          </cell>
          <cell r="E17">
            <v>5</v>
          </cell>
          <cell r="H17">
            <v>2</v>
          </cell>
          <cell r="K17">
            <v>5</v>
          </cell>
          <cell r="N17">
            <v>0.5</v>
          </cell>
          <cell r="Q17">
            <v>5500</v>
          </cell>
        </row>
        <row r="18">
          <cell r="B18">
            <v>0.5</v>
          </cell>
          <cell r="E18">
            <v>5</v>
          </cell>
          <cell r="H18">
            <v>5</v>
          </cell>
          <cell r="K18">
            <v>5</v>
          </cell>
          <cell r="N18">
            <v>0.5</v>
          </cell>
          <cell r="Q18">
            <v>55</v>
          </cell>
        </row>
        <row r="19">
          <cell r="B19">
            <v>70</v>
          </cell>
          <cell r="E19">
            <v>5</v>
          </cell>
          <cell r="H19">
            <v>5</v>
          </cell>
          <cell r="K19">
            <v>5</v>
          </cell>
          <cell r="N19">
            <v>0.5</v>
          </cell>
          <cell r="Q19">
            <v>55</v>
          </cell>
        </row>
        <row r="20">
          <cell r="B20">
            <v>5</v>
          </cell>
          <cell r="E20">
            <v>2</v>
          </cell>
          <cell r="H20">
            <v>5</v>
          </cell>
          <cell r="K20">
            <v>5</v>
          </cell>
          <cell r="N20">
            <v>0.5</v>
          </cell>
          <cell r="Q20">
            <v>5500</v>
          </cell>
        </row>
        <row r="21">
          <cell r="B21">
            <v>2</v>
          </cell>
          <cell r="E21">
            <v>2</v>
          </cell>
          <cell r="H21">
            <v>5</v>
          </cell>
          <cell r="K21">
            <v>5</v>
          </cell>
          <cell r="N21">
            <v>0.5</v>
          </cell>
          <cell r="Q21">
            <v>55</v>
          </cell>
        </row>
        <row r="22">
          <cell r="B22">
            <v>0.5</v>
          </cell>
          <cell r="E22">
            <v>5</v>
          </cell>
          <cell r="H22">
            <v>5</v>
          </cell>
          <cell r="K22">
            <v>2</v>
          </cell>
          <cell r="N22">
            <v>0.5</v>
          </cell>
          <cell r="Q22">
            <v>55</v>
          </cell>
        </row>
        <row r="23">
          <cell r="B23">
            <v>2</v>
          </cell>
          <cell r="E23">
            <v>5</v>
          </cell>
          <cell r="H23">
            <v>5</v>
          </cell>
          <cell r="K23">
            <v>2</v>
          </cell>
          <cell r="N23">
            <v>0.5</v>
          </cell>
          <cell r="Q23">
            <v>5500</v>
          </cell>
        </row>
        <row r="24">
          <cell r="B24">
            <v>2</v>
          </cell>
          <cell r="E24">
            <v>5</v>
          </cell>
          <cell r="H24">
            <v>2</v>
          </cell>
          <cell r="K24">
            <v>10</v>
          </cell>
          <cell r="N24">
            <v>0.5</v>
          </cell>
          <cell r="Q24">
            <v>55</v>
          </cell>
        </row>
        <row r="25">
          <cell r="B25">
            <v>2</v>
          </cell>
          <cell r="E25">
            <v>2</v>
          </cell>
          <cell r="H25">
            <v>2</v>
          </cell>
          <cell r="K25">
            <v>5</v>
          </cell>
          <cell r="N25">
            <v>0.5</v>
          </cell>
          <cell r="Q25">
            <v>55</v>
          </cell>
        </row>
        <row r="26">
          <cell r="B26">
            <v>0.3092012558837392</v>
          </cell>
          <cell r="E26">
            <v>2</v>
          </cell>
          <cell r="H26">
            <v>2</v>
          </cell>
          <cell r="K26">
            <v>2</v>
          </cell>
          <cell r="N26">
            <v>55</v>
          </cell>
          <cell r="Q26">
            <v>5500</v>
          </cell>
        </row>
        <row r="27">
          <cell r="B27">
            <v>309803863.88015682</v>
          </cell>
          <cell r="E27">
            <v>5</v>
          </cell>
          <cell r="H27">
            <v>2</v>
          </cell>
          <cell r="K27">
            <v>2</v>
          </cell>
          <cell r="N27">
            <v>55</v>
          </cell>
          <cell r="Q27">
            <v>55</v>
          </cell>
        </row>
        <row r="28">
          <cell r="B28">
            <v>5</v>
          </cell>
          <cell r="E28">
            <v>10</v>
          </cell>
          <cell r="H28">
            <v>2</v>
          </cell>
          <cell r="N28">
            <v>5500</v>
          </cell>
          <cell r="Q28">
            <v>55</v>
          </cell>
        </row>
        <row r="29">
          <cell r="B29">
            <v>11.32</v>
          </cell>
          <cell r="E29">
            <v>0.5</v>
          </cell>
          <cell r="H29">
            <v>2</v>
          </cell>
          <cell r="N29">
            <v>55</v>
          </cell>
          <cell r="Q29">
            <v>5500</v>
          </cell>
        </row>
        <row r="30">
          <cell r="B30">
            <v>0.28539705780000002</v>
          </cell>
          <cell r="E30">
            <v>55</v>
          </cell>
          <cell r="H30">
            <v>2</v>
          </cell>
          <cell r="K30">
            <v>1.35E-2</v>
          </cell>
          <cell r="N30">
            <v>55</v>
          </cell>
          <cell r="Q30">
            <v>55</v>
          </cell>
        </row>
        <row r="31">
          <cell r="B31">
            <v>0.25</v>
          </cell>
          <cell r="E31">
            <v>55</v>
          </cell>
          <cell r="H31">
            <v>2</v>
          </cell>
          <cell r="K31">
            <v>1.35E-2</v>
          </cell>
          <cell r="N31">
            <v>5500</v>
          </cell>
          <cell r="Q31">
            <v>55</v>
          </cell>
        </row>
        <row r="32">
          <cell r="B32">
            <v>57.143694778447667</v>
          </cell>
          <cell r="E32">
            <v>5500</v>
          </cell>
          <cell r="H32">
            <v>2</v>
          </cell>
          <cell r="K32">
            <v>1.35E-2</v>
          </cell>
          <cell r="N32">
            <v>55</v>
          </cell>
          <cell r="Q32">
            <v>5500</v>
          </cell>
        </row>
        <row r="33">
          <cell r="B33">
            <v>5</v>
          </cell>
          <cell r="E33">
            <v>55</v>
          </cell>
          <cell r="H33">
            <v>2</v>
          </cell>
          <cell r="K33">
            <v>1.35E-2</v>
          </cell>
          <cell r="N33">
            <v>55</v>
          </cell>
          <cell r="Q33">
            <v>55</v>
          </cell>
        </row>
        <row r="34">
          <cell r="B34">
            <v>15.0235</v>
          </cell>
          <cell r="E34">
            <v>55</v>
          </cell>
          <cell r="H34">
            <v>2</v>
          </cell>
          <cell r="K34">
            <v>1.35E-2</v>
          </cell>
          <cell r="N34">
            <v>5500</v>
          </cell>
          <cell r="Q34">
            <v>55</v>
          </cell>
        </row>
        <row r="35">
          <cell r="B35">
            <v>18.252600000000001</v>
          </cell>
          <cell r="E35">
            <v>5500</v>
          </cell>
          <cell r="H35">
            <v>2</v>
          </cell>
          <cell r="K35">
            <v>1.35E-2</v>
          </cell>
          <cell r="N35">
            <v>55</v>
          </cell>
          <cell r="Q35">
            <v>5500</v>
          </cell>
        </row>
        <row r="36">
          <cell r="B36">
            <v>207.33869999999999</v>
          </cell>
          <cell r="E36">
            <v>55</v>
          </cell>
          <cell r="H36">
            <v>2</v>
          </cell>
          <cell r="K36">
            <v>1.35E-2</v>
          </cell>
          <cell r="N36">
            <v>55</v>
          </cell>
          <cell r="Q36">
            <v>55</v>
          </cell>
        </row>
        <row r="37">
          <cell r="E37">
            <v>55</v>
          </cell>
          <cell r="H37">
            <v>2</v>
          </cell>
          <cell r="K37">
            <v>1.35E-2</v>
          </cell>
          <cell r="N37">
            <v>5500</v>
          </cell>
          <cell r="Q37">
            <v>55</v>
          </cell>
        </row>
        <row r="38">
          <cell r="B38">
            <v>5</v>
          </cell>
          <cell r="E38">
            <v>5500</v>
          </cell>
          <cell r="H38">
            <v>0.5</v>
          </cell>
          <cell r="K38">
            <v>1.35E-2</v>
          </cell>
          <cell r="N38">
            <v>55</v>
          </cell>
          <cell r="Q38">
            <v>5500</v>
          </cell>
        </row>
        <row r="39">
          <cell r="E39">
            <v>55</v>
          </cell>
          <cell r="H39">
            <v>0.5</v>
          </cell>
          <cell r="K39">
            <v>1.35E-2</v>
          </cell>
          <cell r="N39">
            <v>55</v>
          </cell>
          <cell r="Q39">
            <v>55</v>
          </cell>
        </row>
        <row r="40">
          <cell r="E40">
            <v>55</v>
          </cell>
          <cell r="K40">
            <v>1.35E-2</v>
          </cell>
          <cell r="N40">
            <v>5500</v>
          </cell>
          <cell r="Q40">
            <v>55</v>
          </cell>
        </row>
        <row r="41">
          <cell r="E41">
            <v>5500</v>
          </cell>
          <cell r="K41">
            <v>1.35E-2</v>
          </cell>
          <cell r="N41">
            <v>55</v>
          </cell>
          <cell r="Q41">
            <v>5500</v>
          </cell>
        </row>
        <row r="42">
          <cell r="E42">
            <v>55</v>
          </cell>
          <cell r="K42">
            <v>1.35E-2</v>
          </cell>
          <cell r="N42">
            <v>55</v>
          </cell>
          <cell r="Q42">
            <v>5</v>
          </cell>
        </row>
        <row r="43">
          <cell r="E43">
            <v>55</v>
          </cell>
          <cell r="K43">
            <v>1.35E-2</v>
          </cell>
          <cell r="N43">
            <v>5500</v>
          </cell>
          <cell r="Q43">
            <v>1.03</v>
          </cell>
        </row>
        <row r="44">
          <cell r="E44">
            <v>5500</v>
          </cell>
          <cell r="K44">
            <v>1.35E-2</v>
          </cell>
          <cell r="N44">
            <v>55</v>
          </cell>
          <cell r="Q44">
            <v>5</v>
          </cell>
        </row>
        <row r="45">
          <cell r="E45">
            <v>55</v>
          </cell>
          <cell r="K45">
            <v>1.35E-2</v>
          </cell>
          <cell r="N45">
            <v>55</v>
          </cell>
          <cell r="Q45">
            <v>5</v>
          </cell>
        </row>
        <row r="46">
          <cell r="E46">
            <v>55</v>
          </cell>
          <cell r="K46">
            <v>1.35E-2</v>
          </cell>
          <cell r="N46">
            <v>5500</v>
          </cell>
          <cell r="Q46">
            <v>5</v>
          </cell>
        </row>
        <row r="47">
          <cell r="E47">
            <v>5500</v>
          </cell>
          <cell r="K47">
            <v>1.35E-2</v>
          </cell>
          <cell r="N47">
            <v>55</v>
          </cell>
          <cell r="Q47">
            <v>5</v>
          </cell>
        </row>
        <row r="48">
          <cell r="E48">
            <v>55</v>
          </cell>
          <cell r="K48">
            <v>1.35E-2</v>
          </cell>
          <cell r="N48">
            <v>55</v>
          </cell>
          <cell r="Q48">
            <v>5</v>
          </cell>
        </row>
        <row r="49">
          <cell r="E49">
            <v>55</v>
          </cell>
          <cell r="K49">
            <v>1.35E-2</v>
          </cell>
          <cell r="N49">
            <v>5500</v>
          </cell>
          <cell r="Q49">
            <v>5</v>
          </cell>
        </row>
        <row r="50">
          <cell r="E50">
            <v>5500</v>
          </cell>
          <cell r="K50">
            <v>1.35E-2</v>
          </cell>
          <cell r="N50">
            <v>55</v>
          </cell>
          <cell r="Q50">
            <v>5</v>
          </cell>
        </row>
        <row r="51">
          <cell r="E51">
            <v>55</v>
          </cell>
          <cell r="K51">
            <v>1.35E-2</v>
          </cell>
          <cell r="N51">
            <v>55</v>
          </cell>
          <cell r="Q51">
            <v>5</v>
          </cell>
        </row>
        <row r="52">
          <cell r="E52">
            <v>55</v>
          </cell>
          <cell r="K52">
            <v>1.35E-2</v>
          </cell>
          <cell r="N52">
            <v>5500</v>
          </cell>
          <cell r="Q52">
            <v>5</v>
          </cell>
        </row>
        <row r="53">
          <cell r="E53">
            <v>5500</v>
          </cell>
          <cell r="K53">
            <v>1.35E-2</v>
          </cell>
          <cell r="N53">
            <v>55</v>
          </cell>
          <cell r="Q53">
            <v>5</v>
          </cell>
        </row>
        <row r="54">
          <cell r="E54">
            <v>55</v>
          </cell>
          <cell r="N54">
            <v>55</v>
          </cell>
          <cell r="Q54">
            <v>5</v>
          </cell>
        </row>
        <row r="55">
          <cell r="E55">
            <v>55</v>
          </cell>
          <cell r="N55">
            <v>5500</v>
          </cell>
        </row>
        <row r="56">
          <cell r="E56">
            <v>5500</v>
          </cell>
          <cell r="N56">
            <v>55</v>
          </cell>
          <cell r="Q56">
            <v>5</v>
          </cell>
        </row>
        <row r="57">
          <cell r="E57">
            <v>55</v>
          </cell>
          <cell r="N57">
            <v>55</v>
          </cell>
          <cell r="Q57">
            <v>5</v>
          </cell>
        </row>
        <row r="58">
          <cell r="E58">
            <v>55</v>
          </cell>
          <cell r="N58">
            <v>5500</v>
          </cell>
          <cell r="Q58">
            <v>5</v>
          </cell>
        </row>
        <row r="59">
          <cell r="E59">
            <v>5500</v>
          </cell>
          <cell r="N59">
            <v>55</v>
          </cell>
          <cell r="Q59">
            <v>5</v>
          </cell>
        </row>
        <row r="60">
          <cell r="E60">
            <v>55</v>
          </cell>
          <cell r="N60">
            <v>55</v>
          </cell>
          <cell r="Q60">
            <v>5</v>
          </cell>
        </row>
        <row r="61">
          <cell r="E61">
            <v>55</v>
          </cell>
          <cell r="N61">
            <v>5500</v>
          </cell>
          <cell r="Q61">
            <v>5</v>
          </cell>
        </row>
        <row r="62">
          <cell r="E62">
            <v>5500</v>
          </cell>
          <cell r="N62">
            <v>55</v>
          </cell>
          <cell r="Q62">
            <v>5</v>
          </cell>
        </row>
        <row r="63">
          <cell r="E63">
            <v>55</v>
          </cell>
          <cell r="N63">
            <v>55</v>
          </cell>
          <cell r="Q63">
            <v>5</v>
          </cell>
        </row>
        <row r="64">
          <cell r="E64">
            <v>55</v>
          </cell>
          <cell r="N64">
            <v>5500</v>
          </cell>
          <cell r="Q64">
            <v>5</v>
          </cell>
        </row>
        <row r="65">
          <cell r="E65">
            <v>5500</v>
          </cell>
          <cell r="N65">
            <v>55</v>
          </cell>
          <cell r="Q65">
            <v>5</v>
          </cell>
        </row>
        <row r="66">
          <cell r="E66">
            <v>55</v>
          </cell>
          <cell r="N66">
            <v>55</v>
          </cell>
          <cell r="Q66">
            <v>5</v>
          </cell>
        </row>
        <row r="67">
          <cell r="E67">
            <v>55</v>
          </cell>
          <cell r="N67">
            <v>5500</v>
          </cell>
          <cell r="Q67">
            <v>5</v>
          </cell>
        </row>
        <row r="68">
          <cell r="E68">
            <v>5500</v>
          </cell>
          <cell r="N68">
            <v>55</v>
          </cell>
          <cell r="Q68">
            <v>0.5</v>
          </cell>
        </row>
        <row r="69">
          <cell r="E69">
            <v>55</v>
          </cell>
          <cell r="N69">
            <v>55</v>
          </cell>
          <cell r="Q69">
            <v>0.5</v>
          </cell>
        </row>
        <row r="70">
          <cell r="E70">
            <v>55</v>
          </cell>
          <cell r="N70">
            <v>5500</v>
          </cell>
          <cell r="Q70">
            <v>5</v>
          </cell>
        </row>
        <row r="71">
          <cell r="E71">
            <v>5500</v>
          </cell>
          <cell r="N71">
            <v>55</v>
          </cell>
          <cell r="Q71">
            <v>5</v>
          </cell>
        </row>
        <row r="72">
          <cell r="E72">
            <v>55</v>
          </cell>
          <cell r="N72">
            <v>55</v>
          </cell>
          <cell r="Q72">
            <v>5</v>
          </cell>
        </row>
        <row r="73">
          <cell r="E73">
            <v>55</v>
          </cell>
          <cell r="N73">
            <v>5500</v>
          </cell>
          <cell r="Q73">
            <v>5</v>
          </cell>
        </row>
        <row r="74">
          <cell r="E74">
            <v>5500</v>
          </cell>
          <cell r="N74">
            <v>55</v>
          </cell>
          <cell r="Q74">
            <v>5</v>
          </cell>
        </row>
        <row r="75">
          <cell r="E75">
            <v>55</v>
          </cell>
          <cell r="N75">
            <v>55</v>
          </cell>
          <cell r="Q75">
            <v>5</v>
          </cell>
        </row>
        <row r="76">
          <cell r="E76">
            <v>55</v>
          </cell>
          <cell r="N76">
            <v>5500</v>
          </cell>
          <cell r="Q76">
            <v>5</v>
          </cell>
        </row>
        <row r="77">
          <cell r="E77">
            <v>5500</v>
          </cell>
          <cell r="N77">
            <v>55</v>
          </cell>
          <cell r="Q77">
            <v>5</v>
          </cell>
        </row>
        <row r="78">
          <cell r="E78">
            <v>55</v>
          </cell>
          <cell r="N78">
            <v>55</v>
          </cell>
          <cell r="Q78">
            <v>5</v>
          </cell>
        </row>
        <row r="79">
          <cell r="E79">
            <v>55</v>
          </cell>
          <cell r="N79">
            <v>5500</v>
          </cell>
          <cell r="Q79">
            <v>5</v>
          </cell>
        </row>
        <row r="80">
          <cell r="E80">
            <v>5500</v>
          </cell>
          <cell r="N80">
            <v>55</v>
          </cell>
          <cell r="Q80">
            <v>5</v>
          </cell>
        </row>
        <row r="81">
          <cell r="E81">
            <v>55</v>
          </cell>
          <cell r="N81">
            <v>55</v>
          </cell>
          <cell r="Q81">
            <v>5</v>
          </cell>
        </row>
        <row r="82">
          <cell r="E82">
            <v>55</v>
          </cell>
          <cell r="N82">
            <v>5500</v>
          </cell>
          <cell r="Q82">
            <v>5</v>
          </cell>
        </row>
        <row r="83">
          <cell r="E83">
            <v>5500</v>
          </cell>
          <cell r="N83">
            <v>55</v>
          </cell>
          <cell r="Q83">
            <v>5</v>
          </cell>
        </row>
        <row r="84">
          <cell r="E84">
            <v>55</v>
          </cell>
          <cell r="N84">
            <v>55</v>
          </cell>
          <cell r="Q84">
            <v>5</v>
          </cell>
        </row>
        <row r="85">
          <cell r="E85">
            <v>55</v>
          </cell>
          <cell r="N85">
            <v>5500</v>
          </cell>
          <cell r="Q85">
            <v>5</v>
          </cell>
        </row>
        <row r="86">
          <cell r="E86">
            <v>5500</v>
          </cell>
          <cell r="N86">
            <v>55</v>
          </cell>
          <cell r="Q86">
            <v>5</v>
          </cell>
        </row>
        <row r="87">
          <cell r="E87">
            <v>55</v>
          </cell>
          <cell r="N87">
            <v>55</v>
          </cell>
          <cell r="Q87">
            <v>5</v>
          </cell>
        </row>
        <row r="88">
          <cell r="E88">
            <v>55</v>
          </cell>
          <cell r="N88">
            <v>5500</v>
          </cell>
          <cell r="Q88">
            <v>5</v>
          </cell>
        </row>
        <row r="89">
          <cell r="E89">
            <v>5500</v>
          </cell>
          <cell r="N89">
            <v>55</v>
          </cell>
          <cell r="Q89">
            <v>5</v>
          </cell>
        </row>
        <row r="90">
          <cell r="E90">
            <v>55</v>
          </cell>
          <cell r="N90">
            <v>55</v>
          </cell>
        </row>
        <row r="91">
          <cell r="E91">
            <v>55</v>
          </cell>
          <cell r="N91">
            <v>5500</v>
          </cell>
        </row>
        <row r="92">
          <cell r="E92">
            <v>5500</v>
          </cell>
          <cell r="N92">
            <v>55</v>
          </cell>
        </row>
        <row r="93">
          <cell r="E93">
            <v>55</v>
          </cell>
          <cell r="N93">
            <v>55</v>
          </cell>
        </row>
        <row r="94">
          <cell r="E94">
            <v>55</v>
          </cell>
          <cell r="N94">
            <v>5500</v>
          </cell>
        </row>
        <row r="95">
          <cell r="E95">
            <v>5500</v>
          </cell>
          <cell r="N95">
            <v>55</v>
          </cell>
        </row>
        <row r="96">
          <cell r="E96">
            <v>55</v>
          </cell>
          <cell r="N96">
            <v>55</v>
          </cell>
        </row>
        <row r="97">
          <cell r="E97">
            <v>55</v>
          </cell>
          <cell r="N97">
            <v>5500</v>
          </cell>
        </row>
        <row r="98">
          <cell r="E98">
            <v>5500</v>
          </cell>
        </row>
        <row r="99">
          <cell r="E99">
            <v>55</v>
          </cell>
        </row>
        <row r="100">
          <cell r="E100">
            <v>55</v>
          </cell>
        </row>
        <row r="101">
          <cell r="E101">
            <v>5500</v>
          </cell>
        </row>
      </sheetData>
      <sheetData sheetId="23"/>
      <sheetData sheetId="24"/>
      <sheetData sheetId="25"/>
      <sheetData sheetId="26"/>
      <sheetData sheetId="27"/>
      <sheetData sheetId="28"/>
      <sheetData sheetId="29"/>
      <sheetData sheetId="30"/>
      <sheetData sheetId="31"/>
      <sheetData sheetId="32"/>
    </sheetDataSet>
  </externalBook>
</externalLink>
</file>

<file path=xl/persons/person.xml><?xml version="1.0" encoding="utf-8"?>
<personList xmlns="http://schemas.microsoft.com/office/spreadsheetml/2018/threadedcomments" xmlns:x="http://schemas.openxmlformats.org/spreadsheetml/2006/main">
  <person displayName="Manning, Karessa" id="{0E7EE78B-661A-4AAF-99B3-A8036167D23D}" userId="S::k21@ornl.gov::61f50f5c-9652-42a7-8131-02bbd1db80b3"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1" dT="2021-04-21T18:21:18.12" personId="{0E7EE78B-661A-4AAF-99B3-A8036167D23D}" id="{2CE6D14A-524B-4529-94FA-D8FEC90628C4}">
    <text>AEQ based on ACH of 5</text>
  </threadedComment>
</ThreadedComments>
</file>

<file path=xl/threadedComments/threadedComment2.xml><?xml version="1.0" encoding="utf-8"?>
<ThreadedComments xmlns="http://schemas.microsoft.com/office/spreadsheetml/2018/threadedcomments" xmlns:x="http://schemas.openxmlformats.org/spreadsheetml/2006/main">
  <threadedComment ref="D1" dT="2021-04-21T18:21:18.12" personId="{0E7EE78B-661A-4AAF-99B3-A8036167D23D}" id="{165EF534-4BF2-4E29-9565-8DFA50480CB7}">
    <text>AEQ based on ACH of 5</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3.bin"/><Relationship Id="rId4" Type="http://schemas.microsoft.com/office/2017/10/relationships/threadedComment" Target="../threadedComments/threadedComment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08E036-FF7A-4FF4-8B94-47CD0C2C3D3F}">
  <sheetPr codeName="Sheet1"/>
  <dimension ref="B1:N35"/>
  <sheetViews>
    <sheetView workbookViewId="0">
      <pane xSplit="1" ySplit="2" topLeftCell="B3" activePane="bottomRight" state="frozen"/>
      <selection pane="topRight" activeCell="B1" sqref="B1"/>
      <selection pane="bottomLeft" activeCell="A3" sqref="A3"/>
      <selection pane="bottomRight" activeCell="B30" sqref="B30"/>
    </sheetView>
  </sheetViews>
  <sheetFormatPr defaultRowHeight="12.75" x14ac:dyDescent="0.2"/>
  <cols>
    <col min="1" max="1" width="9.140625" style="22"/>
    <col min="2" max="2" width="159.140625" style="36" bestFit="1" customWidth="1"/>
    <col min="3" max="257" width="9.140625" style="22"/>
    <col min="258" max="258" width="118.85546875" style="22" bestFit="1" customWidth="1"/>
    <col min="259" max="513" width="9.140625" style="22"/>
    <col min="514" max="514" width="118.85546875" style="22" bestFit="1" customWidth="1"/>
    <col min="515" max="769" width="9.140625" style="22"/>
    <col min="770" max="770" width="118.85546875" style="22" bestFit="1" customWidth="1"/>
    <col min="771" max="1025" width="9.140625" style="22"/>
    <col min="1026" max="1026" width="118.85546875" style="22" bestFit="1" customWidth="1"/>
    <col min="1027" max="1281" width="9.140625" style="22"/>
    <col min="1282" max="1282" width="118.85546875" style="22" bestFit="1" customWidth="1"/>
    <col min="1283" max="1537" width="9.140625" style="22"/>
    <col min="1538" max="1538" width="118.85546875" style="22" bestFit="1" customWidth="1"/>
    <col min="1539" max="1793" width="9.140625" style="22"/>
    <col min="1794" max="1794" width="118.85546875" style="22" bestFit="1" customWidth="1"/>
    <col min="1795" max="2049" width="9.140625" style="22"/>
    <col min="2050" max="2050" width="118.85546875" style="22" bestFit="1" customWidth="1"/>
    <col min="2051" max="2305" width="9.140625" style="22"/>
    <col min="2306" max="2306" width="118.85546875" style="22" bestFit="1" customWidth="1"/>
    <col min="2307" max="2561" width="9.140625" style="22"/>
    <col min="2562" max="2562" width="118.85546875" style="22" bestFit="1" customWidth="1"/>
    <col min="2563" max="2817" width="9.140625" style="22"/>
    <col min="2818" max="2818" width="118.85546875" style="22" bestFit="1" customWidth="1"/>
    <col min="2819" max="3073" width="9.140625" style="22"/>
    <col min="3074" max="3074" width="118.85546875" style="22" bestFit="1" customWidth="1"/>
    <col min="3075" max="3329" width="9.140625" style="22"/>
    <col min="3330" max="3330" width="118.85546875" style="22" bestFit="1" customWidth="1"/>
    <col min="3331" max="3585" width="9.140625" style="22"/>
    <col min="3586" max="3586" width="118.85546875" style="22" bestFit="1" customWidth="1"/>
    <col min="3587" max="3841" width="9.140625" style="22"/>
    <col min="3842" max="3842" width="118.85546875" style="22" bestFit="1" customWidth="1"/>
    <col min="3843" max="4097" width="9.140625" style="22"/>
    <col min="4098" max="4098" width="118.85546875" style="22" bestFit="1" customWidth="1"/>
    <col min="4099" max="4353" width="9.140625" style="22"/>
    <col min="4354" max="4354" width="118.85546875" style="22" bestFit="1" customWidth="1"/>
    <col min="4355" max="4609" width="9.140625" style="22"/>
    <col min="4610" max="4610" width="118.85546875" style="22" bestFit="1" customWidth="1"/>
    <col min="4611" max="4865" width="9.140625" style="22"/>
    <col min="4866" max="4866" width="118.85546875" style="22" bestFit="1" customWidth="1"/>
    <col min="4867" max="5121" width="9.140625" style="22"/>
    <col min="5122" max="5122" width="118.85546875" style="22" bestFit="1" customWidth="1"/>
    <col min="5123" max="5377" width="9.140625" style="22"/>
    <col min="5378" max="5378" width="118.85546875" style="22" bestFit="1" customWidth="1"/>
    <col min="5379" max="5633" width="9.140625" style="22"/>
    <col min="5634" max="5634" width="118.85546875" style="22" bestFit="1" customWidth="1"/>
    <col min="5635" max="5889" width="9.140625" style="22"/>
    <col min="5890" max="5890" width="118.85546875" style="22" bestFit="1" customWidth="1"/>
    <col min="5891" max="6145" width="9.140625" style="22"/>
    <col min="6146" max="6146" width="118.85546875" style="22" bestFit="1" customWidth="1"/>
    <col min="6147" max="6401" width="9.140625" style="22"/>
    <col min="6402" max="6402" width="118.85546875" style="22" bestFit="1" customWidth="1"/>
    <col min="6403" max="6657" width="9.140625" style="22"/>
    <col min="6658" max="6658" width="118.85546875" style="22" bestFit="1" customWidth="1"/>
    <col min="6659" max="6913" width="9.140625" style="22"/>
    <col min="6914" max="6914" width="118.85546875" style="22" bestFit="1" customWidth="1"/>
    <col min="6915" max="7169" width="9.140625" style="22"/>
    <col min="7170" max="7170" width="118.85546875" style="22" bestFit="1" customWidth="1"/>
    <col min="7171" max="7425" width="9.140625" style="22"/>
    <col min="7426" max="7426" width="118.85546875" style="22" bestFit="1" customWidth="1"/>
    <col min="7427" max="7681" width="9.140625" style="22"/>
    <col min="7682" max="7682" width="118.85546875" style="22" bestFit="1" customWidth="1"/>
    <col min="7683" max="7937" width="9.140625" style="22"/>
    <col min="7938" max="7938" width="118.85546875" style="22" bestFit="1" customWidth="1"/>
    <col min="7939" max="8193" width="9.140625" style="22"/>
    <col min="8194" max="8194" width="118.85546875" style="22" bestFit="1" customWidth="1"/>
    <col min="8195" max="8449" width="9.140625" style="22"/>
    <col min="8450" max="8450" width="118.85546875" style="22" bestFit="1" customWidth="1"/>
    <col min="8451" max="8705" width="9.140625" style="22"/>
    <col min="8706" max="8706" width="118.85546875" style="22" bestFit="1" customWidth="1"/>
    <col min="8707" max="8961" width="9.140625" style="22"/>
    <col min="8962" max="8962" width="118.85546875" style="22" bestFit="1" customWidth="1"/>
    <col min="8963" max="9217" width="9.140625" style="22"/>
    <col min="9218" max="9218" width="118.85546875" style="22" bestFit="1" customWidth="1"/>
    <col min="9219" max="9473" width="9.140625" style="22"/>
    <col min="9474" max="9474" width="118.85546875" style="22" bestFit="1" customWidth="1"/>
    <col min="9475" max="9729" width="9.140625" style="22"/>
    <col min="9730" max="9730" width="118.85546875" style="22" bestFit="1" customWidth="1"/>
    <col min="9731" max="9985" width="9.140625" style="22"/>
    <col min="9986" max="9986" width="118.85546875" style="22" bestFit="1" customWidth="1"/>
    <col min="9987" max="10241" width="9.140625" style="22"/>
    <col min="10242" max="10242" width="118.85546875" style="22" bestFit="1" customWidth="1"/>
    <col min="10243" max="10497" width="9.140625" style="22"/>
    <col min="10498" max="10498" width="118.85546875" style="22" bestFit="1" customWidth="1"/>
    <col min="10499" max="10753" width="9.140625" style="22"/>
    <col min="10754" max="10754" width="118.85546875" style="22" bestFit="1" customWidth="1"/>
    <col min="10755" max="11009" width="9.140625" style="22"/>
    <col min="11010" max="11010" width="118.85546875" style="22" bestFit="1" customWidth="1"/>
    <col min="11011" max="11265" width="9.140625" style="22"/>
    <col min="11266" max="11266" width="118.85546875" style="22" bestFit="1" customWidth="1"/>
    <col min="11267" max="11521" width="9.140625" style="22"/>
    <col min="11522" max="11522" width="118.85546875" style="22" bestFit="1" customWidth="1"/>
    <col min="11523" max="11777" width="9.140625" style="22"/>
    <col min="11778" max="11778" width="118.85546875" style="22" bestFit="1" customWidth="1"/>
    <col min="11779" max="12033" width="9.140625" style="22"/>
    <col min="12034" max="12034" width="118.85546875" style="22" bestFit="1" customWidth="1"/>
    <col min="12035" max="12289" width="9.140625" style="22"/>
    <col min="12290" max="12290" width="118.85546875" style="22" bestFit="1" customWidth="1"/>
    <col min="12291" max="12545" width="9.140625" style="22"/>
    <col min="12546" max="12546" width="118.85546875" style="22" bestFit="1" customWidth="1"/>
    <col min="12547" max="12801" width="9.140625" style="22"/>
    <col min="12802" max="12802" width="118.85546875" style="22" bestFit="1" customWidth="1"/>
    <col min="12803" max="13057" width="9.140625" style="22"/>
    <col min="13058" max="13058" width="118.85546875" style="22" bestFit="1" customWidth="1"/>
    <col min="13059" max="13313" width="9.140625" style="22"/>
    <col min="13314" max="13314" width="118.85546875" style="22" bestFit="1" customWidth="1"/>
    <col min="13315" max="13569" width="9.140625" style="22"/>
    <col min="13570" max="13570" width="118.85546875" style="22" bestFit="1" customWidth="1"/>
    <col min="13571" max="13825" width="9.140625" style="22"/>
    <col min="13826" max="13826" width="118.85546875" style="22" bestFit="1" customWidth="1"/>
    <col min="13827" max="14081" width="9.140625" style="22"/>
    <col min="14082" max="14082" width="118.85546875" style="22" bestFit="1" customWidth="1"/>
    <col min="14083" max="14337" width="9.140625" style="22"/>
    <col min="14338" max="14338" width="118.85546875" style="22" bestFit="1" customWidth="1"/>
    <col min="14339" max="14593" width="9.140625" style="22"/>
    <col min="14594" max="14594" width="118.85546875" style="22" bestFit="1" customWidth="1"/>
    <col min="14595" max="14849" width="9.140625" style="22"/>
    <col min="14850" max="14850" width="118.85546875" style="22" bestFit="1" customWidth="1"/>
    <col min="14851" max="15105" width="9.140625" style="22"/>
    <col min="15106" max="15106" width="118.85546875" style="22" bestFit="1" customWidth="1"/>
    <col min="15107" max="15361" width="9.140625" style="22"/>
    <col min="15362" max="15362" width="118.85546875" style="22" bestFit="1" customWidth="1"/>
    <col min="15363" max="15617" width="9.140625" style="22"/>
    <col min="15618" max="15618" width="118.85546875" style="22" bestFit="1" customWidth="1"/>
    <col min="15619" max="15873" width="9.140625" style="22"/>
    <col min="15874" max="15874" width="118.85546875" style="22" bestFit="1" customWidth="1"/>
    <col min="15875" max="16129" width="9.140625" style="22"/>
    <col min="16130" max="16130" width="118.85546875" style="22" bestFit="1" customWidth="1"/>
    <col min="16131" max="16384" width="9.140625" style="22"/>
  </cols>
  <sheetData>
    <row r="1" spans="2:14" ht="28.5" thickBot="1" x14ac:dyDescent="0.25">
      <c r="B1" s="20" t="s">
        <v>1146</v>
      </c>
      <c r="C1" s="21"/>
      <c r="D1" s="21"/>
      <c r="E1" s="21"/>
      <c r="F1" s="21"/>
      <c r="G1" s="21"/>
      <c r="H1" s="21"/>
      <c r="I1" s="21"/>
      <c r="J1" s="21"/>
      <c r="K1" s="21"/>
      <c r="L1" s="21"/>
      <c r="M1" s="21"/>
      <c r="N1" s="21"/>
    </row>
    <row r="2" spans="2:14" ht="48" thickBot="1" x14ac:dyDescent="0.3">
      <c r="B2" s="195" t="s">
        <v>1476</v>
      </c>
      <c r="C2" s="23"/>
      <c r="D2" s="23"/>
      <c r="E2" s="23"/>
      <c r="F2" s="23"/>
      <c r="G2" s="23"/>
      <c r="H2" s="23"/>
      <c r="I2" s="23"/>
      <c r="J2" s="23"/>
      <c r="K2" s="23"/>
      <c r="L2" s="23"/>
      <c r="M2" s="23"/>
      <c r="N2" s="23"/>
    </row>
    <row r="3" spans="2:14" ht="15" x14ac:dyDescent="0.25">
      <c r="B3" s="24"/>
      <c r="C3" s="23"/>
      <c r="D3" s="23"/>
      <c r="E3" s="23"/>
      <c r="F3" s="23"/>
      <c r="G3" s="23"/>
      <c r="H3" s="23"/>
      <c r="I3" s="23"/>
      <c r="J3" s="23"/>
      <c r="K3" s="23"/>
      <c r="L3" s="23"/>
      <c r="M3" s="23"/>
      <c r="N3" s="23"/>
    </row>
    <row r="4" spans="2:14" ht="60.75" x14ac:dyDescent="0.25">
      <c r="B4" s="25" t="s">
        <v>1164</v>
      </c>
      <c r="C4" s="23"/>
      <c r="D4" s="23"/>
      <c r="E4" s="23"/>
      <c r="F4" s="23"/>
      <c r="G4" s="23"/>
      <c r="H4" s="23"/>
      <c r="I4" s="23"/>
      <c r="J4" s="23"/>
      <c r="K4" s="23"/>
      <c r="L4" s="23"/>
      <c r="M4" s="23"/>
      <c r="N4" s="23"/>
    </row>
    <row r="6" spans="2:14" ht="16.5" thickBot="1" x14ac:dyDescent="0.3">
      <c r="B6" s="26" t="s">
        <v>1147</v>
      </c>
    </row>
    <row r="7" spans="2:14" ht="45" x14ac:dyDescent="0.25">
      <c r="B7" s="27" t="s">
        <v>1160</v>
      </c>
      <c r="C7" s="28"/>
      <c r="D7" s="28"/>
      <c r="E7" s="28"/>
      <c r="F7" s="28"/>
      <c r="G7" s="28"/>
      <c r="H7" s="28"/>
      <c r="I7" s="28"/>
      <c r="J7" s="28"/>
      <c r="K7" s="28"/>
      <c r="L7" s="28"/>
      <c r="M7" s="28"/>
      <c r="N7" s="28"/>
    </row>
    <row r="8" spans="2:14" ht="15" x14ac:dyDescent="0.25">
      <c r="B8" s="29"/>
    </row>
    <row r="9" spans="2:14" ht="14.25" x14ac:dyDescent="0.2">
      <c r="B9" s="30" t="s">
        <v>1148</v>
      </c>
    </row>
    <row r="10" spans="2:14" ht="14.25" x14ac:dyDescent="0.2">
      <c r="B10" s="30" t="s">
        <v>1149</v>
      </c>
    </row>
    <row r="11" spans="2:14" ht="14.25" x14ac:dyDescent="0.2">
      <c r="B11" s="30" t="s">
        <v>1161</v>
      </c>
    </row>
    <row r="12" spans="2:14" ht="14.25" x14ac:dyDescent="0.2">
      <c r="B12" s="30" t="s">
        <v>1162</v>
      </c>
    </row>
    <row r="13" spans="2:14" ht="14.25" x14ac:dyDescent="0.2">
      <c r="B13" s="30" t="s">
        <v>1163</v>
      </c>
    </row>
    <row r="14" spans="2:14" ht="14.25" x14ac:dyDescent="0.2">
      <c r="B14" s="30" t="s">
        <v>1475</v>
      </c>
    </row>
    <row r="15" spans="2:14" ht="14.25" x14ac:dyDescent="0.2">
      <c r="B15" s="30"/>
    </row>
    <row r="16" spans="2:14" ht="14.25" x14ac:dyDescent="0.2">
      <c r="B16" s="30" t="s">
        <v>1150</v>
      </c>
    </row>
    <row r="17" spans="2:2" ht="15" thickBot="1" x14ac:dyDescent="0.25">
      <c r="B17" s="31" t="s">
        <v>1151</v>
      </c>
    </row>
    <row r="20" spans="2:2" ht="16.5" thickBot="1" x14ac:dyDescent="0.3">
      <c r="B20" s="26" t="s">
        <v>1152</v>
      </c>
    </row>
    <row r="21" spans="2:2" x14ac:dyDescent="0.2">
      <c r="B21" s="32" t="s">
        <v>1153</v>
      </c>
    </row>
    <row r="22" spans="2:2" x14ac:dyDescent="0.2">
      <c r="B22" s="33" t="s">
        <v>1154</v>
      </c>
    </row>
    <row r="23" spans="2:2" x14ac:dyDescent="0.2">
      <c r="B23" s="34" t="s">
        <v>1155</v>
      </c>
    </row>
    <row r="24" spans="2:2" x14ac:dyDescent="0.2">
      <c r="B24" s="68" t="s">
        <v>1258</v>
      </c>
    </row>
    <row r="25" spans="2:2" x14ac:dyDescent="0.2">
      <c r="B25" s="54" t="s">
        <v>1259</v>
      </c>
    </row>
    <row r="26" spans="2:2" x14ac:dyDescent="0.2">
      <c r="B26" s="56" t="s">
        <v>1260</v>
      </c>
    </row>
    <row r="27" spans="2:2" x14ac:dyDescent="0.2">
      <c r="B27" s="55" t="s">
        <v>1257</v>
      </c>
    </row>
    <row r="28" spans="2:2" x14ac:dyDescent="0.2">
      <c r="B28" s="67" t="s">
        <v>1256</v>
      </c>
    </row>
    <row r="29" spans="2:2" x14ac:dyDescent="0.2">
      <c r="B29" s="66" t="s">
        <v>1157</v>
      </c>
    </row>
    <row r="30" spans="2:2" ht="13.5" thickBot="1" x14ac:dyDescent="0.25">
      <c r="B30" s="53" t="s">
        <v>1156</v>
      </c>
    </row>
    <row r="32" spans="2:2" ht="16.5" thickBot="1" x14ac:dyDescent="0.3">
      <c r="B32" s="26" t="s">
        <v>1158</v>
      </c>
    </row>
    <row r="33" spans="2:2" x14ac:dyDescent="0.2">
      <c r="B33" s="114" t="s">
        <v>1474</v>
      </c>
    </row>
    <row r="34" spans="2:2" x14ac:dyDescent="0.2">
      <c r="B34" s="74" t="s">
        <v>1391</v>
      </c>
    </row>
    <row r="35" spans="2:2" ht="26.25" thickBot="1" x14ac:dyDescent="0.25">
      <c r="B35" s="35" t="s">
        <v>1159</v>
      </c>
    </row>
  </sheetData>
  <sheetProtection formatColumns="0" formatRows="0"/>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9" tint="-0.499984740745262"/>
  </sheetPr>
  <dimension ref="A1:BI76"/>
  <sheetViews>
    <sheetView zoomScale="85" zoomScaleNormal="85" workbookViewId="0">
      <pane xSplit="3" ySplit="1" topLeftCell="D2" activePane="bottomRight" state="frozen"/>
      <selection activeCell="M25" sqref="M25"/>
      <selection pane="topRight" activeCell="M25" sqref="M25"/>
      <selection pane="bottomLeft" activeCell="M25" sqref="M25"/>
      <selection pane="bottomRight" activeCell="D2" sqref="D2"/>
    </sheetView>
  </sheetViews>
  <sheetFormatPr defaultColWidth="15.5703125" defaultRowHeight="15" x14ac:dyDescent="0.25"/>
  <cols>
    <col min="1" max="1" width="9.7109375" style="3" bestFit="1" customWidth="1"/>
    <col min="2" max="2" width="15.5703125" style="4" bestFit="1" customWidth="1"/>
    <col min="3" max="3" width="12.28515625" style="4" bestFit="1" customWidth="1"/>
    <col min="4" max="4" width="13.28515625" style="4" customWidth="1"/>
    <col min="5" max="5" width="15.140625" style="3" bestFit="1" customWidth="1"/>
    <col min="6" max="6" width="14.140625" style="3" bestFit="1" customWidth="1"/>
    <col min="7" max="7" width="10.85546875" style="3" bestFit="1" customWidth="1"/>
    <col min="8" max="8" width="11.85546875" style="3" bestFit="1" customWidth="1"/>
    <col min="9" max="9" width="12.28515625" style="3" bestFit="1" customWidth="1"/>
    <col min="10" max="10" width="13.28515625" style="3" bestFit="1" customWidth="1"/>
    <col min="11" max="11" width="11.28515625" style="3" bestFit="1" customWidth="1"/>
    <col min="12" max="12" width="14.140625" style="3" bestFit="1" customWidth="1"/>
    <col min="13" max="13" width="15.140625" style="3" bestFit="1" customWidth="1"/>
    <col min="14" max="14" width="15.28515625" style="3" bestFit="1" customWidth="1"/>
    <col min="15" max="15" width="15" style="3" bestFit="1" customWidth="1"/>
    <col min="16" max="16" width="19.85546875" style="3" bestFit="1" customWidth="1"/>
    <col min="17" max="17" width="18.85546875" style="3" bestFit="1" customWidth="1"/>
    <col min="18" max="18" width="15.42578125" style="3" bestFit="1" customWidth="1"/>
    <col min="19" max="19" width="16.5703125" style="3" bestFit="1" customWidth="1"/>
    <col min="20" max="20" width="17" style="3" bestFit="1" customWidth="1"/>
    <col min="21" max="21" width="18" style="3" bestFit="1" customWidth="1"/>
    <col min="22" max="22" width="15.7109375" style="3" bestFit="1" customWidth="1"/>
    <col min="23" max="23" width="18.85546875" style="3" bestFit="1" customWidth="1"/>
    <col min="24" max="26" width="11.42578125" style="3" bestFit="1" customWidth="1"/>
    <col min="27" max="27" width="15.5703125" style="3" bestFit="1" customWidth="1"/>
    <col min="28" max="28" width="14.28515625" style="3" bestFit="1" customWidth="1"/>
    <col min="29" max="29" width="12.140625" style="3" bestFit="1" customWidth="1"/>
    <col min="30" max="30" width="12.5703125" style="3" bestFit="1" customWidth="1"/>
    <col min="31" max="31" width="12.7109375" style="3" bestFit="1" customWidth="1"/>
    <col min="32" max="32" width="13.42578125" style="3" bestFit="1" customWidth="1"/>
    <col min="33" max="33" width="11.7109375" style="3" bestFit="1" customWidth="1"/>
    <col min="34" max="34" width="14.42578125" style="3" bestFit="1" customWidth="1"/>
    <col min="35" max="35" width="14.7109375" style="3" bestFit="1" customWidth="1"/>
    <col min="36" max="36" width="17" style="3" bestFit="1" customWidth="1"/>
    <col min="37" max="37" width="17.140625" style="3" bestFit="1" customWidth="1"/>
    <col min="38" max="38" width="18.140625" style="3" bestFit="1" customWidth="1"/>
    <col min="39" max="39" width="21.7109375" style="3" bestFit="1" customWidth="1"/>
    <col min="40" max="40" width="20.7109375" style="3" bestFit="1" customWidth="1"/>
    <col min="41" max="41" width="17.28515625" style="3" bestFit="1" customWidth="1"/>
    <col min="42" max="42" width="18.28515625" style="3" bestFit="1" customWidth="1"/>
    <col min="43" max="43" width="18.5703125" style="3" bestFit="1" customWidth="1"/>
    <col min="44" max="44" width="19.5703125" style="3" bestFit="1" customWidth="1"/>
    <col min="45" max="45" width="17.5703125" style="3" bestFit="1" customWidth="1"/>
    <col min="46" max="46" width="20.7109375" style="3" bestFit="1" customWidth="1"/>
    <col min="47" max="48" width="13.140625" style="3" bestFit="1" customWidth="1"/>
    <col min="49" max="49" width="13.7109375" style="3" bestFit="1" customWidth="1"/>
    <col min="50" max="50" width="17.42578125" style="3" bestFit="1" customWidth="1"/>
    <col min="51" max="51" width="16" style="3" bestFit="1" customWidth="1"/>
    <col min="52" max="52" width="13.7109375" style="3" bestFit="1" customWidth="1"/>
    <col min="53" max="53" width="14.28515625" style="3" bestFit="1" customWidth="1"/>
    <col min="54" max="54" width="14.42578125" style="3" bestFit="1" customWidth="1"/>
    <col min="55" max="55" width="15.140625" style="3" bestFit="1" customWidth="1"/>
    <col min="56" max="56" width="13.42578125" style="3" bestFit="1" customWidth="1"/>
    <col min="57" max="57" width="16.140625" style="3" bestFit="1" customWidth="1"/>
    <col min="58" max="58" width="16.5703125" style="3" bestFit="1" customWidth="1"/>
    <col min="59" max="59" width="14.28515625" style="3" bestFit="1" customWidth="1"/>
    <col min="60" max="60" width="14.5703125" style="3" bestFit="1" customWidth="1"/>
    <col min="61" max="61" width="13.7109375" style="3" bestFit="1" customWidth="1"/>
    <col min="62" max="16384" width="15.5703125" style="3"/>
  </cols>
  <sheetData>
    <row r="1" spans="1:61" s="37" customFormat="1" x14ac:dyDescent="0.2">
      <c r="A1" s="37" t="s">
        <v>1548</v>
      </c>
      <c r="B1" s="174" t="s">
        <v>51</v>
      </c>
      <c r="C1" s="175" t="s">
        <v>348</v>
      </c>
      <c r="D1" s="78"/>
      <c r="E1" s="64" t="s">
        <v>1261</v>
      </c>
      <c r="F1" s="64" t="s">
        <v>1262</v>
      </c>
      <c r="G1" s="64" t="s">
        <v>1263</v>
      </c>
      <c r="H1" s="64" t="s">
        <v>1264</v>
      </c>
      <c r="I1" s="64" t="s">
        <v>1265</v>
      </c>
      <c r="J1" s="64" t="s">
        <v>1266</v>
      </c>
      <c r="K1" s="64" t="s">
        <v>1267</v>
      </c>
      <c r="L1" s="64" t="s">
        <v>1510</v>
      </c>
      <c r="M1" s="64" t="s">
        <v>1165</v>
      </c>
      <c r="N1" s="64" t="s">
        <v>1166</v>
      </c>
      <c r="O1" s="64" t="s">
        <v>1167</v>
      </c>
      <c r="P1" s="64" t="s">
        <v>1171</v>
      </c>
      <c r="Q1" s="64" t="s">
        <v>1172</v>
      </c>
      <c r="R1" s="64" t="s">
        <v>1173</v>
      </c>
      <c r="S1" s="64" t="s">
        <v>1174</v>
      </c>
      <c r="T1" s="64" t="s">
        <v>1175</v>
      </c>
      <c r="U1" s="64" t="s">
        <v>1176</v>
      </c>
      <c r="V1" s="64" t="s">
        <v>1177</v>
      </c>
      <c r="W1" s="64" t="s">
        <v>1509</v>
      </c>
      <c r="X1" s="38" t="s">
        <v>1178</v>
      </c>
      <c r="Y1" s="38" t="s">
        <v>1179</v>
      </c>
      <c r="Z1" s="38" t="s">
        <v>1180</v>
      </c>
      <c r="AA1" s="38" t="s">
        <v>1181</v>
      </c>
      <c r="AB1" s="38" t="s">
        <v>1182</v>
      </c>
      <c r="AC1" s="38" t="s">
        <v>1183</v>
      </c>
      <c r="AD1" s="38" t="s">
        <v>1184</v>
      </c>
      <c r="AE1" s="38" t="s">
        <v>1185</v>
      </c>
      <c r="AF1" s="38" t="s">
        <v>1186</v>
      </c>
      <c r="AG1" s="38" t="s">
        <v>1187</v>
      </c>
      <c r="AH1" s="38" t="s">
        <v>1511</v>
      </c>
      <c r="AI1" s="64" t="s">
        <v>1168</v>
      </c>
      <c r="AJ1" s="64" t="s">
        <v>1280</v>
      </c>
      <c r="AK1" s="64" t="s">
        <v>1281</v>
      </c>
      <c r="AL1" s="64" t="s">
        <v>1282</v>
      </c>
      <c r="AM1" s="64" t="s">
        <v>1283</v>
      </c>
      <c r="AN1" s="64" t="s">
        <v>1284</v>
      </c>
      <c r="AO1" s="64" t="s">
        <v>1285</v>
      </c>
      <c r="AP1" s="64" t="s">
        <v>1286</v>
      </c>
      <c r="AQ1" s="64" t="s">
        <v>1287</v>
      </c>
      <c r="AR1" s="64" t="s">
        <v>1288</v>
      </c>
      <c r="AS1" s="64" t="s">
        <v>1289</v>
      </c>
      <c r="AT1" s="64" t="s">
        <v>1512</v>
      </c>
      <c r="AU1" s="38" t="s">
        <v>1188</v>
      </c>
      <c r="AV1" s="38" t="s">
        <v>1189</v>
      </c>
      <c r="AW1" s="38" t="s">
        <v>1190</v>
      </c>
      <c r="AX1" s="38" t="s">
        <v>1191</v>
      </c>
      <c r="AY1" s="38" t="s">
        <v>1192</v>
      </c>
      <c r="AZ1" s="38" t="s">
        <v>1193</v>
      </c>
      <c r="BA1" s="38" t="s">
        <v>1194</v>
      </c>
      <c r="BB1" s="38" t="s">
        <v>1195</v>
      </c>
      <c r="BC1" s="38" t="s">
        <v>1196</v>
      </c>
      <c r="BD1" s="38" t="s">
        <v>1197</v>
      </c>
      <c r="BE1" s="38" t="s">
        <v>1513</v>
      </c>
      <c r="BF1" s="64" t="s">
        <v>1298</v>
      </c>
      <c r="BG1" s="64" t="s">
        <v>1205</v>
      </c>
      <c r="BH1" s="64" t="s">
        <v>1206</v>
      </c>
      <c r="BI1" s="64" t="s">
        <v>1207</v>
      </c>
    </row>
    <row r="2" spans="1:61" customFormat="1" x14ac:dyDescent="0.25">
      <c r="A2" s="3">
        <v>1</v>
      </c>
      <c r="B2" s="44" t="s">
        <v>12</v>
      </c>
      <c r="C2" s="42" t="s">
        <v>1071</v>
      </c>
      <c r="D2" s="42"/>
      <c r="E2" s="15">
        <f>d_dir!AC2</f>
        <v>1.8585259772303022E-4</v>
      </c>
      <c r="F2" s="15">
        <f>IFERROR(TR/(RadSpec!F2*IFP_far_adj*CF_far_poultry),".")</f>
        <v>1.6806362004774817E-3</v>
      </c>
      <c r="G2" s="15">
        <f>IFERROR(TR/(RadSpec!F2*IFE_far_adj*CF_far_egg),".")</f>
        <v>3.041646376705487E-3</v>
      </c>
      <c r="H2" s="15">
        <f>IFERROR(TR/(RadSpec!F2*IFB_far_adj*CF_far_beef),".")</f>
        <v>1.0992003435115387E-3</v>
      </c>
      <c r="I2" s="15">
        <f>IFERROR(TR/(RadSpec!F2*IFD_far_adj*CF_far_dairy),".")</f>
        <v>1.8924933959368776E-4</v>
      </c>
      <c r="J2" s="15">
        <f>IFERROR(TR/(RadSpec!F2*IFSW_far_adj*CF_far_swine),".")</f>
        <v>1.9735951839847184E-3</v>
      </c>
      <c r="K2" s="15">
        <f>IFERROR(TR/(RadSpec!F2*IFFI_far_adj*CF_far_fish),".")</f>
        <v>1.9068452272436997E-3</v>
      </c>
      <c r="L2" s="15">
        <f>IFERROR(TR/(RadSpec!F2*IFSF_far_adj*CF_far_shellfish),".")</f>
        <v>1.4550296647141154E-3</v>
      </c>
      <c r="M2" s="15">
        <f>IFERROR((TR/(RadSpec!E2*IFS_far_adj*(1/1000)))*1,".")</f>
        <v>1.2717404021751848</v>
      </c>
      <c r="N2" s="15">
        <f>IFERROR(IF(B2="H-3",(TR/(RadSpec!H2*IFA_far_adj*(1/17)*1000))*1,(TR/(RadSpec!H2*IFA_far_adj*(1/PEF_wind)*1000))*1),".")</f>
        <v>183.74297230542561</v>
      </c>
      <c r="O2" s="15">
        <f>IFERROR((TR/(RadSpec!G2*EF_far*(1/365)*ED_far*RadSpec!R2*((ET_far_o*(1/24)*RadSpec!W2)+(ET_far_i*(1/24)*RadSpec!AB2))))*1,".")</f>
        <v>0.9387575126779838</v>
      </c>
      <c r="P2" s="15">
        <f>d_b2s!AC2</f>
        <v>0.10062628218697231</v>
      </c>
      <c r="Q2" s="15" t="str">
        <f>IFERROR((F2/(RadSpec!AL2*((Q_p_poultry*f_p_poultry*f_s_poultry*(RadSpec!BD2+R_es_past))+(Q_s_poultry*f_p_poultry))))*1,".")</f>
        <v>.</v>
      </c>
      <c r="R2" s="15" t="str">
        <f>IFERROR((G2/(RadSpec!AM2*((Q_p_poultry*f_p_poultry*f_s_poultry*(RadSpec!BD2+R_es_past))+(Q_s_poultry*f_p_poultry))))*1,".")</f>
        <v>.</v>
      </c>
      <c r="S2" s="15">
        <f>IFERROR((H2/(RadSpec!AI2*((Q_p_beef*f_p_beef*f_s_beef*(RadSpec!BD2+R_es_past))+(Q_s_beef*f_p_beef))))*1,".")</f>
        <v>11.897395210645509</v>
      </c>
      <c r="T2" s="15">
        <f>IFERROR(((I2*D_milk)/(RadSpec!AH2*((Q_p_dairy*f_p_dairy*f_s_dairy*(RadSpec!BD2+R_es_past))+(Q_s_dairy*f_p_dairy))))*1,".")</f>
        <v>12.986463676315685</v>
      </c>
      <c r="U2" s="15" t="str">
        <f>IFERROR((J2/(RadSpec!AN2*((Q_p_swine*f_p_swine*f_s_swine*(RadSpec!BD2+R_es_past))+(Q_s_swine*f_p_swine))))*1,".")</f>
        <v>.</v>
      </c>
      <c r="V2" s="15">
        <f>IFERROR(((K2*RadSpec!AU2)/RadSpec!AJ2)*1,".")</f>
        <v>0.21610912575428595</v>
      </c>
      <c r="W2" s="15" t="str">
        <f>IFERROR(((L2*RadSpec!AU2)/RadSpec!AK2)*1,".")</f>
        <v>.</v>
      </c>
      <c r="X2" s="118">
        <f t="shared" ref="X2:X3" si="0">IFERROR(1/M2,".")</f>
        <v>0.78632400000000002</v>
      </c>
      <c r="Y2" s="118">
        <f t="shared" ref="Y2:Y3" si="1">IFERROR(1/N2,".")</f>
        <v>5.4423850199710293E-3</v>
      </c>
      <c r="Z2" s="118">
        <f t="shared" ref="Z2:Z3" si="2">IFERROR(1/O2,".")</f>
        <v>1.0652378132743889</v>
      </c>
      <c r="AA2" s="118">
        <f t="shared" ref="AA2:AA3" si="3">IFERROR(1/P2,".")</f>
        <v>9.9377615695064012</v>
      </c>
      <c r="AB2" s="118" t="str">
        <f t="shared" ref="AB2:AB3" si="4">IFERROR(1/Q2,".")</f>
        <v>.</v>
      </c>
      <c r="AC2" s="118" t="str">
        <f t="shared" ref="AC2:AC3" si="5">IFERROR(1/R2,".")</f>
        <v>.</v>
      </c>
      <c r="AD2" s="118">
        <f t="shared" ref="AD2:AD3" si="6">IFERROR(1/S2,".")</f>
        <v>8.4052011578570035E-2</v>
      </c>
      <c r="AE2" s="118">
        <f t="shared" ref="AE2:AE3" si="7">IFERROR(1/T2,".")</f>
        <v>7.7003257000885422E-2</v>
      </c>
      <c r="AF2" s="118" t="str">
        <f t="shared" ref="AF2:AF3" si="8">IFERROR(1/U2,".")</f>
        <v>.</v>
      </c>
      <c r="AG2" s="118">
        <f t="shared" ref="AG2:AH17" si="9">IFERROR(1/V2,".")</f>
        <v>4.6272918670588234</v>
      </c>
      <c r="AH2" s="118" t="str">
        <f t="shared" si="9"/>
        <v>.</v>
      </c>
      <c r="AI2" s="15">
        <f>IFERROR(1/(SUMIF(X2:AH2,"&lt;&gt;0")),".")</f>
        <v>6.0302309091353888E-2</v>
      </c>
      <c r="AJ2" s="15">
        <f>IFERROR(TR/(RadSpec!I2*IFW_far_adj),".")</f>
        <v>0.16850536462778118</v>
      </c>
      <c r="AK2" s="15" t="str">
        <f>IFERROR(IF(AND(RadSpec!C2=1,RadSpec!D2&lt;&gt;0),TR/(RadSpec!H2*IFA_far_adj*K*RadSpec!D2),"."),".")</f>
        <v>.</v>
      </c>
      <c r="AL2" s="15">
        <f>IFERROR((TR/(RadSpec!M2*(1/8760)*DFA_far_adj)),".")</f>
        <v>8013133.2220672667</v>
      </c>
      <c r="AM2" s="15">
        <f>d_b2w!AC2</f>
        <v>5.0116079538197911E-2</v>
      </c>
      <c r="AN2" s="15" t="str">
        <f>IFERROR(F2/(RadSpec!AL2*Q_w_poultry*(1/1000)),".")</f>
        <v>.</v>
      </c>
      <c r="AO2" s="15" t="str">
        <f>IFERROR(G2/(RadSpec!AM2*Q_w_poultry*(1/1000)),".")</f>
        <v>.</v>
      </c>
      <c r="AP2" s="15">
        <f>IFERROR(H2/(RadSpec!AI2*Q_w_beef*(1/1000)),".")</f>
        <v>1036.9814561429607</v>
      </c>
      <c r="AQ2" s="15">
        <f>IFERROR((I2*D_milk)/(RadSpec!AH2*Q_w_dairy*(1/1000)),".")</f>
        <v>1059.3848901168392</v>
      </c>
      <c r="AR2" s="15" t="str">
        <f>IFERROR(J2/(RadSpec!AN2*Q_w_swine*(1/1000)),".")</f>
        <v>.</v>
      </c>
      <c r="AS2" s="15">
        <f>IFERROR(K2/(RadSpec!AJ2*(1/1000)),".")</f>
        <v>0.12712301514957999</v>
      </c>
      <c r="AT2" s="15" t="str">
        <f>IFERROR(L2/(RadSpec!AK2*(1/1000)),".")</f>
        <v>.</v>
      </c>
      <c r="AU2" s="118">
        <f t="shared" ref="AU2:AU3" si="10">IFERROR(1/AJ2,".")</f>
        <v>5.9345291600000003</v>
      </c>
      <c r="AV2" s="118" t="str">
        <f t="shared" ref="AV2:AV3" si="11">IFERROR(1/AK2,".")</f>
        <v>.</v>
      </c>
      <c r="AW2" s="118">
        <f t="shared" ref="AW2:AW3" si="12">IFERROR(1/AL2,".")</f>
        <v>1.2479512973104112E-7</v>
      </c>
      <c r="AX2" s="118">
        <f t="shared" ref="AX2:AX3" si="13">IFERROR(1/AM2,".")</f>
        <v>19.953675730716551</v>
      </c>
      <c r="AY2" s="118" t="str">
        <f t="shared" ref="AY2:AY3" si="14">IFERROR(1/AN2,".")</f>
        <v>.</v>
      </c>
      <c r="AZ2" s="118" t="str">
        <f t="shared" ref="AZ2:AZ3" si="15">IFERROR(1/AO2,".")</f>
        <v>.</v>
      </c>
      <c r="BA2" s="118">
        <f t="shared" ref="BA2:BA3" si="16">IFERROR(1/AP2,".")</f>
        <v>9.6433739878000056E-4</v>
      </c>
      <c r="BB2" s="118">
        <f t="shared" ref="BB2:BB3" si="17">IFERROR(1/AQ2,".")</f>
        <v>9.4394398988427181E-4</v>
      </c>
      <c r="BC2" s="118" t="str">
        <f t="shared" ref="BC2:BC3" si="18">IFERROR(1/AR2,".")</f>
        <v>.</v>
      </c>
      <c r="BD2" s="118">
        <f t="shared" ref="BD2:BE17" si="19">IFERROR(1/AS2,".")</f>
        <v>7.8663961739999992</v>
      </c>
      <c r="BE2" s="118" t="str">
        <f t="shared" si="19"/>
        <v>.</v>
      </c>
      <c r="BF2" s="15">
        <f>IFERROR(1/(SUMIF(AU2:BE2,"&lt;&gt;0")),".")</f>
        <v>2.9623915969808599E-2</v>
      </c>
      <c r="BG2" s="15">
        <f>IFERROR((TR/(RadSpec!H2*IFA_far_adj)),".")</f>
        <v>1.3517027940778114E-4</v>
      </c>
      <c r="BH2" s="15">
        <f>IFERROR((TR/(RadSpec!K2*EF_far*(1/365)*ED_far*ET_far*(1/24)*GSF_a)),".")</f>
        <v>506.3147134942771</v>
      </c>
      <c r="BI2" s="15">
        <f t="shared" ref="BI2:BI3" si="20">IFERROR(IF(AND(ISNUMBER(BG2),ISNUMBER(BH2)),1/((1/BG2)+(1/BH2)),IF(AND(ISNUMBER(BG2),NOT(ISNUMBER(BH2))),1/((1/BG2)),IF(AND(NOT(ISNUMBER(BG2)),ISNUMBER(BH2)),1/((1/BH2)),IF(AND(NOT(ISNUMBER(BG2)),NOT(ISNUMBER(BH2))),".")))),".")</f>
        <v>1.351702433215307E-4</v>
      </c>
    </row>
    <row r="3" spans="1:61" x14ac:dyDescent="0.25">
      <c r="A3" s="3">
        <v>2</v>
      </c>
      <c r="B3" s="46" t="s">
        <v>13</v>
      </c>
      <c r="C3" s="42" t="s">
        <v>349</v>
      </c>
      <c r="D3" s="42"/>
      <c r="E3" s="15">
        <f>d_dir!AC3</f>
        <v>3.7788312113214465E-4</v>
      </c>
      <c r="F3" s="15">
        <f>IFERROR(TR/(RadSpec!F3*IFP_far_adj*CF_far_poultry),".")</f>
        <v>3.4171384242395329E-3</v>
      </c>
      <c r="G3" s="15">
        <f>IFERROR(TR/(RadSpec!F3*IFE_far_adj*CF_far_egg),".")</f>
        <v>6.1844001121934286E-3</v>
      </c>
      <c r="H3" s="15">
        <f>IFERROR(TR/(RadSpec!F3*IFB_far_adj*CF_far_beef),".")</f>
        <v>2.2349392025968681E-3</v>
      </c>
      <c r="I3" s="15">
        <f>IFERROR(TR/(RadSpec!F3*IFD_far_adj*CF_far_dairy),".")</f>
        <v>3.847895159605729E-4</v>
      </c>
      <c r="J3" s="15">
        <f>IFERROR(TR/(RadSpec!F3*IFSW_far_adj*CF_far_swine),".")</f>
        <v>4.0127946400132499E-3</v>
      </c>
      <c r="K3" s="15">
        <f>IFERROR(TR/(RadSpec!F3*IFFI_far_adj*CF_far_fish),".")</f>
        <v>3.8770758914040871E-3</v>
      </c>
      <c r="L3" s="15">
        <f>IFERROR(TR/(RadSpec!F3*IFSF_far_adj*CF_far_shellfish),".")</f>
        <v>2.9584259664824394E-3</v>
      </c>
      <c r="M3" s="15">
        <f>IFERROR((TR/(RadSpec!E3*IFS_far_adj*(1/1000)))*1,".")</f>
        <v>3.3708781744402492</v>
      </c>
      <c r="N3" s="15">
        <f>IFERROR(IF(B3="H-3",(TR/(RadSpec!H3*IFA_far_adj*(1/17)*1000))*1,(TR/(RadSpec!H3*IFA_far_adj*(1/PEF_wind)*1000))*1),".")</f>
        <v>139.0682104115574</v>
      </c>
      <c r="O3" s="15">
        <f>IFERROR((TR/(RadSpec!G3*EF_far*(1/365)*ED_far*RadSpec!R3*((ET_far_o*(1/24)*RadSpec!W3)+(ET_far_i*(1/24)*RadSpec!AB3))))*1,".")</f>
        <v>1.3982337636089801</v>
      </c>
      <c r="P3" s="15">
        <f>d_b2s!AC3</f>
        <v>0.35493801594763108</v>
      </c>
      <c r="Q3" s="15">
        <f>IFERROR((F3/(RadSpec!AL3*((Q_p_poultry*f_p_poultry*f_s_poultry*(RadSpec!BD3+R_es_past))+(Q_s_poultry*f_p_poultry))))*1,".")</f>
        <v>7.9094870653200005</v>
      </c>
      <c r="R3" s="15">
        <f>IFERROR((G3/(RadSpec!AM3*((Q_p_poultry*f_p_poultry*f_s_poultry*(RadSpec!BD3+R_es_past))+(Q_s_poultry*f_p_poultry))))*1,".")</f>
        <v>28.62947099080036</v>
      </c>
      <c r="S3" s="15">
        <f>IFERROR((H3/(RadSpec!AI3*((Q_p_beef*f_p_beef*f_s_beef*(RadSpec!BD3+R_es_past))+(Q_s_beef*f_p_beef))))*1,".")</f>
        <v>1.298327372892466</v>
      </c>
      <c r="T3" s="15">
        <f>IFERROR(((I3*D_milk)/(RadSpec!AH3*((Q_p_dairy*f_p_dairy*f_s_dairy*(RadSpec!BD3+R_es_past))+(Q_s_dairy*f_p_dairy))))*1,".")</f>
        <v>172.34009346172635</v>
      </c>
      <c r="U3" s="15">
        <f>IFERROR((J3/(RadSpec!AN3*((Q_p_swine*f_p_swine*f_s_swine*(RadSpec!BD3+R_es_past))+(Q_s_swine*f_p_swine))))*1,".")</f>
        <v>15.276931185092504</v>
      </c>
      <c r="V3" s="15">
        <f>IFERROR(((K3*RadSpec!AU3)/RadSpec!AJ3)*1,".")</f>
        <v>6.4617931523401446E-5</v>
      </c>
      <c r="W3" s="15">
        <f>IFERROR(((L3*RadSpec!AU3)/RadSpec!AK3)*1,".")</f>
        <v>4.9307099441373986E-6</v>
      </c>
      <c r="X3" s="118">
        <f t="shared" si="0"/>
        <v>0.29665859999999999</v>
      </c>
      <c r="Y3" s="118">
        <f t="shared" si="1"/>
        <v>7.1907159590290813E-3</v>
      </c>
      <c r="Z3" s="118">
        <f t="shared" si="2"/>
        <v>0.71518799361481644</v>
      </c>
      <c r="AA3" s="118">
        <f t="shared" si="3"/>
        <v>2.8173933336787003</v>
      </c>
      <c r="AB3" s="118">
        <f t="shared" si="4"/>
        <v>0.12643044887001686</v>
      </c>
      <c r="AC3" s="118">
        <f t="shared" si="5"/>
        <v>3.4929042185981522E-2</v>
      </c>
      <c r="AD3" s="118">
        <f t="shared" si="6"/>
        <v>0.77022176446311819</v>
      </c>
      <c r="AE3" s="118">
        <f t="shared" si="7"/>
        <v>5.8024803161783253E-3</v>
      </c>
      <c r="AF3" s="118">
        <f t="shared" si="8"/>
        <v>6.5458172710486345E-2</v>
      </c>
      <c r="AG3" s="118">
        <f t="shared" si="9"/>
        <v>15475.580484000004</v>
      </c>
      <c r="AH3" s="118">
        <f t="shared" si="9"/>
        <v>202810.55088000002</v>
      </c>
      <c r="AI3" s="15">
        <f t="shared" ref="AI3:AI30" si="21">IFERROR(1/(SUMIF(X3:AH3,"&lt;&gt;0")),".")</f>
        <v>4.5810415203337527E-6</v>
      </c>
      <c r="AJ3" s="15">
        <f>IFERROR(TR/(RadSpec!I3*IFW_far_adj),".")</f>
        <v>0.30752229044570067</v>
      </c>
      <c r="AK3" s="15" t="str">
        <f>IFERROR(IF(AND(RadSpec!C3=1,RadSpec!D3&lt;&gt;0),TR/(RadSpec!H3*IFA_far_adj*K*RadSpec!D3),"."),".")</f>
        <v>.</v>
      </c>
      <c r="AL3" s="15">
        <f>IFERROR((TR/(RadSpec!M3*(1/8760)*DFA_far_adj)),".")</f>
        <v>6928169.1663360354</v>
      </c>
      <c r="AM3" s="15">
        <f>d_b2w!AC3</f>
        <v>0.10267200450230425</v>
      </c>
      <c r="AN3" s="15">
        <f>IFERROR(F3/(RadSpec!AL3*Q_w_poultry*(1/1000)),".")</f>
        <v>1423.8076767664718</v>
      </c>
      <c r="AO3" s="15">
        <f>IFERROR(G3/(RadSpec!AM3*Q_w_poultry*(1/1000)),".")</f>
        <v>5153.6667601611898</v>
      </c>
      <c r="AP3" s="15">
        <f>IFERROR(H3/(RadSpec!AI3*Q_w_beef*(1/1000)),".")</f>
        <v>84.337328399881812</v>
      </c>
      <c r="AQ3" s="15">
        <f>IFERROR((I3*D_milk)/(RadSpec!AH3*Q_w_dairy*(1/1000)),".")</f>
        <v>10257.070430626038</v>
      </c>
      <c r="AR3" s="15">
        <f>IFERROR(J3/(RadSpec!AN3*Q_w_swine*(1/1000)),".")</f>
        <v>2070.5854695630801</v>
      </c>
      <c r="AS3" s="15">
        <f>IFERROR(K3/(RadSpec!AJ3*(1/1000)),".")</f>
        <v>1.6154482880850363E-2</v>
      </c>
      <c r="AT3" s="15">
        <f>IFERROR(L3/(RadSpec!AK3*(1/1000)),".")</f>
        <v>1.2326774860343499E-3</v>
      </c>
      <c r="AU3" s="118">
        <f t="shared" si="10"/>
        <v>3.2517967999999997</v>
      </c>
      <c r="AV3" s="118" t="str">
        <f t="shared" si="11"/>
        <v>.</v>
      </c>
      <c r="AW3" s="118">
        <f t="shared" si="12"/>
        <v>1.4433827696630138E-7</v>
      </c>
      <c r="AX3" s="118">
        <f t="shared" si="13"/>
        <v>9.7397533519232802</v>
      </c>
      <c r="AY3" s="118">
        <f t="shared" si="14"/>
        <v>7.0234204824000022E-4</v>
      </c>
      <c r="AZ3" s="118">
        <f t="shared" si="15"/>
        <v>1.9403660472000004E-4</v>
      </c>
      <c r="BA3" s="118">
        <f t="shared" si="16"/>
        <v>1.1857145809250005E-2</v>
      </c>
      <c r="BB3" s="118">
        <f t="shared" si="17"/>
        <v>9.7493724622788351E-5</v>
      </c>
      <c r="BC3" s="118">
        <f t="shared" si="18"/>
        <v>4.8295519054860015E-4</v>
      </c>
      <c r="BD3" s="118">
        <f t="shared" si="19"/>
        <v>61.902321936000007</v>
      </c>
      <c r="BE3" s="118">
        <f t="shared" si="19"/>
        <v>811.24220351999998</v>
      </c>
      <c r="BF3" s="15">
        <f t="shared" ref="BF3:BF66" si="22">IFERROR(1/(SUMIF(AU3:BE3,"&lt;&gt;0")),".")</f>
        <v>1.1284778718180385E-3</v>
      </c>
      <c r="BG3" s="15">
        <f>IFERROR((TR/(RadSpec!H3*IFA_far_adj)),".")</f>
        <v>1.0230534872824221E-4</v>
      </c>
      <c r="BH3" s="15">
        <f>IFERROR((TR/(RadSpec!K3*EF_far*(1/365)*ED_far*ET_far*(1/24)*GSF_a)),".")</f>
        <v>449.26516831182334</v>
      </c>
      <c r="BI3" s="15">
        <f t="shared" si="20"/>
        <v>1.0230532543157305E-4</v>
      </c>
    </row>
    <row r="4" spans="1:61" customFormat="1" x14ac:dyDescent="0.25">
      <c r="A4" s="3">
        <v>3</v>
      </c>
      <c r="B4" s="44" t="s">
        <v>14</v>
      </c>
      <c r="C4" s="42" t="s">
        <v>1071</v>
      </c>
      <c r="D4" s="42"/>
      <c r="E4" s="15" t="str">
        <f>d_dir!AC4</f>
        <v>.</v>
      </c>
      <c r="F4" s="15" t="str">
        <f>IFERROR(TR/(RadSpec!F4*IFP_far_adj*CF_far_poultry),".")</f>
        <v>.</v>
      </c>
      <c r="G4" s="15" t="str">
        <f>IFERROR(TR/(RadSpec!F4*IFE_far_adj*CF_far_egg),".")</f>
        <v>.</v>
      </c>
      <c r="H4" s="15" t="str">
        <f>IFERROR(TR/(RadSpec!F4*IFB_far_adj*CF_far_beef),".")</f>
        <v>.</v>
      </c>
      <c r="I4" s="15" t="str">
        <f>IFERROR(TR/(RadSpec!F4*IFD_far_adj*CF_far_dairy),".")</f>
        <v>.</v>
      </c>
      <c r="J4" s="15" t="str">
        <f>IFERROR(TR/(RadSpec!F4*IFSW_far_adj*CF_far_swine),".")</f>
        <v>.</v>
      </c>
      <c r="K4" s="15" t="str">
        <f>IFERROR(TR/(RadSpec!F4*IFFI_far_adj*CF_far_fish),".")</f>
        <v>.</v>
      </c>
      <c r="L4" s="15" t="str">
        <f>IFERROR(TR/(RadSpec!F4*IFSF_far_adj*CF_far_shellfish),".")</f>
        <v>.</v>
      </c>
      <c r="M4" s="15" t="str">
        <f>IFERROR((TR/(RadSpec!E4*IFS_far_adj*(1/1000)))*1,".")</f>
        <v>.</v>
      </c>
      <c r="N4" s="15" t="str">
        <f>IFERROR(IF(B4="H-3",(TR/(RadSpec!H4*IFA_far_adj*(1/17)*1000))*1,(TR/(RadSpec!H4*IFA_far_adj*(1/PEF_wind)*1000))*1),".")</f>
        <v>.</v>
      </c>
      <c r="O4" s="15">
        <f>IFERROR((TR/(RadSpec!G4*EF_far*(1/365)*ED_far*RadSpec!R4*((ET_far_o*(1/24)*RadSpec!W4)+(ET_far_i*(1/24)*RadSpec!AB4))))*1,".")</f>
        <v>41.319376804903776</v>
      </c>
      <c r="P4" s="15" t="str">
        <f>d_b2s!AC4</f>
        <v>.</v>
      </c>
      <c r="Q4" s="15" t="str">
        <f>IFERROR((F4/(RadSpec!AL4*((Q_p_poultry*f_p_poultry*f_s_poultry*(RadSpec!BD4+R_es_past))+(Q_s_poultry*f_p_poultry))))*1,".")</f>
        <v>.</v>
      </c>
      <c r="R4" s="15" t="str">
        <f>IFERROR((G4/(RadSpec!AM4*((Q_p_poultry*f_p_poultry*f_s_poultry*(RadSpec!BD4+R_es_past))+(Q_s_poultry*f_p_poultry))))*1,".")</f>
        <v>.</v>
      </c>
      <c r="S4" s="15" t="str">
        <f>IFERROR((H4/(RadSpec!AI4*((Q_p_beef*f_p_beef*f_s_beef*(RadSpec!BD4+R_es_past))+(Q_s_beef*f_p_beef))))*1,".")</f>
        <v>.</v>
      </c>
      <c r="T4" s="15" t="str">
        <f>IFERROR(((I4*D_milk)/(RadSpec!AH4*((Q_p_dairy*f_p_dairy*f_s_dairy*(RadSpec!BD4+R_es_past))+(Q_s_dairy*f_p_dairy))))*1,".")</f>
        <v>.</v>
      </c>
      <c r="U4" s="15" t="str">
        <f>IFERROR((J4/(RadSpec!AN4*((Q_p_swine*f_p_swine*f_s_swine*(RadSpec!BD4+R_es_past))+(Q_s_swine*f_p_swine))))*1,".")</f>
        <v>.</v>
      </c>
      <c r="V4" s="15" t="str">
        <f>IFERROR(((K4*RadSpec!AU4)/RadSpec!AJ4)*1,".")</f>
        <v>.</v>
      </c>
      <c r="W4" s="15" t="str">
        <f>IFERROR(((L4*RadSpec!AU4)/RadSpec!AK4)*1,".")</f>
        <v>.</v>
      </c>
      <c r="X4" s="118" t="str">
        <f t="shared" ref="X4:X6" si="23">IFERROR(1/M4,".")</f>
        <v>.</v>
      </c>
      <c r="Y4" s="118" t="str">
        <f t="shared" ref="Y4:Y6" si="24">IFERROR(1/N4,".")</f>
        <v>.</v>
      </c>
      <c r="Z4" s="118">
        <f t="shared" ref="Z4:Z6" si="25">IFERROR(1/O4,".")</f>
        <v>2.4201720290256658E-2</v>
      </c>
      <c r="AA4" s="118" t="str">
        <f t="shared" ref="AA4:AA6" si="26">IFERROR(1/P4,".")</f>
        <v>.</v>
      </c>
      <c r="AB4" s="118" t="str">
        <f t="shared" ref="AB4:AB6" si="27">IFERROR(1/Q4,".")</f>
        <v>.</v>
      </c>
      <c r="AC4" s="118" t="str">
        <f t="shared" ref="AC4:AC6" si="28">IFERROR(1/R4,".")</f>
        <v>.</v>
      </c>
      <c r="AD4" s="118" t="str">
        <f t="shared" ref="AD4:AD6" si="29">IFERROR(1/S4,".")</f>
        <v>.</v>
      </c>
      <c r="AE4" s="118" t="str">
        <f t="shared" ref="AE4:AE6" si="30">IFERROR(1/T4,".")</f>
        <v>.</v>
      </c>
      <c r="AF4" s="118" t="str">
        <f t="shared" ref="AF4:AF6" si="31">IFERROR(1/U4,".")</f>
        <v>.</v>
      </c>
      <c r="AG4" s="118" t="str">
        <f t="shared" ref="AG4:AG6" si="32">IFERROR(1/V4,".")</f>
        <v>.</v>
      </c>
      <c r="AH4" s="118" t="str">
        <f t="shared" si="9"/>
        <v>.</v>
      </c>
      <c r="AI4" s="15">
        <f t="shared" si="21"/>
        <v>41.319376804903776</v>
      </c>
      <c r="AJ4" s="15" t="str">
        <f>IFERROR(TR/(RadSpec!I4*IFW_far_adj),".")</f>
        <v>.</v>
      </c>
      <c r="AK4" s="15" t="str">
        <f>IFERROR(IF(AND(RadSpec!C4=1,RadSpec!D4&lt;&gt;0),TR/(RadSpec!H4*IFA_far_adj*K*RadSpec!D4),"."),".")</f>
        <v>.</v>
      </c>
      <c r="AL4" s="15">
        <f>IFERROR((TR/(RadSpec!M4*(1/8760)*DFA_far_adj)),".")</f>
        <v>427804981.30927438</v>
      </c>
      <c r="AM4" s="15" t="str">
        <f>d_b2w!AC4</f>
        <v>.</v>
      </c>
      <c r="AN4" s="15" t="str">
        <f>IFERROR(F4/(RadSpec!AL4*Q_w_poultry*(1/1000)),".")</f>
        <v>.</v>
      </c>
      <c r="AO4" s="15" t="str">
        <f>IFERROR(G4/(RadSpec!AM4*Q_w_poultry*(1/1000)),".")</f>
        <v>.</v>
      </c>
      <c r="AP4" s="15" t="str">
        <f>IFERROR(H4/(RadSpec!AI4*Q_w_beef*(1/1000)),".")</f>
        <v>.</v>
      </c>
      <c r="AQ4" s="15" t="str">
        <f>IFERROR((I4*D_milk)/(RadSpec!AH4*Q_w_dairy*(1/1000)),".")</f>
        <v>.</v>
      </c>
      <c r="AR4" s="15" t="str">
        <f>IFERROR(J4/(RadSpec!AN4*Q_w_swine*(1/1000)),".")</f>
        <v>.</v>
      </c>
      <c r="AS4" s="15" t="str">
        <f>IFERROR(K4/(RadSpec!AJ4*(1/1000)),".")</f>
        <v>.</v>
      </c>
      <c r="AT4" s="15" t="str">
        <f>IFERROR(L4/(RadSpec!AK4*(1/1000)),".")</f>
        <v>.</v>
      </c>
      <c r="AU4" s="118" t="str">
        <f t="shared" ref="AU4:AU6" si="33">IFERROR(1/AJ4,".")</f>
        <v>.</v>
      </c>
      <c r="AV4" s="118" t="str">
        <f t="shared" ref="AV4:AV6" si="34">IFERROR(1/AK4,".")</f>
        <v>.</v>
      </c>
      <c r="AW4" s="118">
        <f t="shared" ref="AW4:AW6" si="35">IFERROR(1/AL4,".")</f>
        <v>2.3375136889232874E-9</v>
      </c>
      <c r="AX4" s="118" t="str">
        <f t="shared" ref="AX4:AX6" si="36">IFERROR(1/AM4,".")</f>
        <v>.</v>
      </c>
      <c r="AY4" s="118" t="str">
        <f t="shared" ref="AY4:AY6" si="37">IFERROR(1/AN4,".")</f>
        <v>.</v>
      </c>
      <c r="AZ4" s="118" t="str">
        <f t="shared" ref="AZ4:AZ6" si="38">IFERROR(1/AO4,".")</f>
        <v>.</v>
      </c>
      <c r="BA4" s="118" t="str">
        <f t="shared" ref="BA4:BA6" si="39">IFERROR(1/AP4,".")</f>
        <v>.</v>
      </c>
      <c r="BB4" s="118" t="str">
        <f t="shared" ref="BB4:BB6" si="40">IFERROR(1/AQ4,".")</f>
        <v>.</v>
      </c>
      <c r="BC4" s="118" t="str">
        <f t="shared" ref="BC4:BC6" si="41">IFERROR(1/AR4,".")</f>
        <v>.</v>
      </c>
      <c r="BD4" s="118" t="str">
        <f t="shared" ref="BD4:BD6" si="42">IFERROR(1/AS4,".")</f>
        <v>.</v>
      </c>
      <c r="BE4" s="118" t="str">
        <f t="shared" si="19"/>
        <v>.</v>
      </c>
      <c r="BF4" s="15">
        <f t="shared" si="22"/>
        <v>427804981.30927438</v>
      </c>
      <c r="BG4" s="15" t="str">
        <f>IFERROR((TR/(RadSpec!H4*IFA_far_adj)),".")</f>
        <v>.</v>
      </c>
      <c r="BH4" s="15">
        <f>IFERROR((TR/(RadSpec!K4*EF_far*(1/365)*ED_far*ET_far*(1/24)*GSF_a)),".")</f>
        <v>26708.706776432547</v>
      </c>
      <c r="BI4" s="15">
        <f t="shared" ref="BI4:BI5" si="43">IFERROR(IF(AND(BG4&lt;&gt;".",BH4&lt;&gt;"."),1/((1/BG4)+(1/BH4)),IF(AND(BG4&lt;&gt;".",BH4="."),1/((1/BG4)),IF(AND(BG4=".",BH4&lt;&gt;"."),1/((1/BH4)),IF(AND(BG4=".",BH4="."),".")))),".")</f>
        <v>26708.706776432547</v>
      </c>
    </row>
    <row r="5" spans="1:61" customFormat="1" x14ac:dyDescent="0.25">
      <c r="A5" s="3">
        <v>4</v>
      </c>
      <c r="B5" s="44" t="s">
        <v>15</v>
      </c>
      <c r="C5" s="248" t="s">
        <v>1071</v>
      </c>
      <c r="D5" s="249"/>
      <c r="E5" s="15" t="str">
        <f>d_dir!AC5</f>
        <v>.</v>
      </c>
      <c r="F5" s="15" t="str">
        <f>IFERROR(TR/(RadSpec!F5*IFP_far_adj*CF_far_poultry),".")</f>
        <v>.</v>
      </c>
      <c r="G5" s="15" t="str">
        <f>IFERROR(TR/(RadSpec!F5*IFE_far_adj*CF_far_egg),".")</f>
        <v>.</v>
      </c>
      <c r="H5" s="15" t="str">
        <f>IFERROR(TR/(RadSpec!F5*IFB_far_adj*CF_far_beef),".")</f>
        <v>.</v>
      </c>
      <c r="I5" s="15" t="str">
        <f>IFERROR(TR/(RadSpec!F5*IFD_far_adj*CF_far_dairy),".")</f>
        <v>.</v>
      </c>
      <c r="J5" s="15" t="str">
        <f>IFERROR(TR/(RadSpec!F5*IFSW_far_adj*CF_far_swine),".")</f>
        <v>.</v>
      </c>
      <c r="K5" s="15" t="str">
        <f>IFERROR(TR/(RadSpec!F5*IFFI_far_adj*CF_far_fish),".")</f>
        <v>.</v>
      </c>
      <c r="L5" s="15" t="str">
        <f>IFERROR(TR/(RadSpec!F5*IFSF_far_adj*CF_far_shellfish),".")</f>
        <v>.</v>
      </c>
      <c r="M5" s="15" t="str">
        <f>IFERROR((TR/(RadSpec!E5*IFS_far_adj*(1/1000)))*1,".")</f>
        <v>.</v>
      </c>
      <c r="N5" s="15" t="str">
        <f>IFERROR(IF(B5="H-3",(TR/(RadSpec!H5*IFA_far_adj*(1/17)*1000))*1,(TR/(RadSpec!H5*IFA_far_adj*(1/PEF_wind)*1000))*1),".")</f>
        <v>.</v>
      </c>
      <c r="O5" s="15">
        <f>IFERROR((TR/(RadSpec!G5*EF_far*(1/365)*ED_far*RadSpec!R5*((ET_far_o*(1/24)*RadSpec!W5)+(ET_far_i*(1/24)*RadSpec!AB5))))*1,".")</f>
        <v>1566.8151393632543</v>
      </c>
      <c r="P5" s="15" t="str">
        <f>d_b2s!AC5</f>
        <v>.</v>
      </c>
      <c r="Q5" s="15" t="str">
        <f>IFERROR((F5/(RadSpec!AL5*((Q_p_poultry*f_p_poultry*f_s_poultry*(RadSpec!BD5+R_es_past))+(Q_s_poultry*f_p_poultry))))*1,".")</f>
        <v>.</v>
      </c>
      <c r="R5" s="15" t="str">
        <f>IFERROR((G5/(RadSpec!AM5*((Q_p_poultry*f_p_poultry*f_s_poultry*(RadSpec!BD5+R_es_past))+(Q_s_poultry*f_p_poultry))))*1,".")</f>
        <v>.</v>
      </c>
      <c r="S5" s="15" t="str">
        <f>IFERROR((H5/(RadSpec!AI5*((Q_p_beef*f_p_beef*f_s_beef*(RadSpec!BD5+R_es_past))+(Q_s_beef*f_p_beef))))*1,".")</f>
        <v>.</v>
      </c>
      <c r="T5" s="15" t="str">
        <f>IFERROR(((I5*D_milk)/(RadSpec!AH5*((Q_p_dairy*f_p_dairy*f_s_dairy*(RadSpec!BD5+R_es_past))+(Q_s_dairy*f_p_dairy))))*1,".")</f>
        <v>.</v>
      </c>
      <c r="U5" s="15" t="str">
        <f>IFERROR((J5/(RadSpec!AN5*((Q_p_swine*f_p_swine*f_s_swine*(RadSpec!BD5+R_es_past))+(Q_s_swine*f_p_swine))))*1,".")</f>
        <v>.</v>
      </c>
      <c r="V5" s="15" t="str">
        <f>IFERROR(((K5*RadSpec!AU5)/RadSpec!AJ5)*1,".")</f>
        <v>.</v>
      </c>
      <c r="W5" s="15" t="str">
        <f>IFERROR(((L5*RadSpec!AU5)/RadSpec!AK5)*1,".")</f>
        <v>.</v>
      </c>
      <c r="X5" s="118" t="str">
        <f t="shared" si="23"/>
        <v>.</v>
      </c>
      <c r="Y5" s="118" t="str">
        <f t="shared" si="24"/>
        <v>.</v>
      </c>
      <c r="Z5" s="118">
        <f t="shared" si="25"/>
        <v>6.3823738670689312E-4</v>
      </c>
      <c r="AA5" s="118" t="str">
        <f t="shared" si="26"/>
        <v>.</v>
      </c>
      <c r="AB5" s="118" t="str">
        <f t="shared" si="27"/>
        <v>.</v>
      </c>
      <c r="AC5" s="118" t="str">
        <f t="shared" si="28"/>
        <v>.</v>
      </c>
      <c r="AD5" s="118" t="str">
        <f t="shared" si="29"/>
        <v>.</v>
      </c>
      <c r="AE5" s="118" t="str">
        <f t="shared" si="30"/>
        <v>.</v>
      </c>
      <c r="AF5" s="118" t="str">
        <f t="shared" si="31"/>
        <v>.</v>
      </c>
      <c r="AG5" s="118" t="str">
        <f t="shared" si="32"/>
        <v>.</v>
      </c>
      <c r="AH5" s="118" t="str">
        <f t="shared" si="9"/>
        <v>.</v>
      </c>
      <c r="AI5" s="15">
        <f t="shared" si="21"/>
        <v>1566.8151393632543</v>
      </c>
      <c r="AJ5" s="15" t="str">
        <f>IFERROR(TR/(RadSpec!I5*IFW_far_adj),".")</f>
        <v>.</v>
      </c>
      <c r="AK5" s="15" t="str">
        <f>IFERROR(IF(AND(RadSpec!C5=1,RadSpec!D5&lt;&gt;0),TR/(RadSpec!H5*IFA_far_adj*K*RadSpec!D5),"."),".")</f>
        <v>.</v>
      </c>
      <c r="AL5" s="15">
        <f>IFERROR((TR/(RadSpec!M5*(1/8760)*DFA_far_adj)),".")</f>
        <v>17833328378.040363</v>
      </c>
      <c r="AM5" s="15" t="str">
        <f>d_b2w!AC5</f>
        <v>.</v>
      </c>
      <c r="AN5" s="15" t="str">
        <f>IFERROR(F5/(RadSpec!AL5*Q_w_poultry*(1/1000)),".")</f>
        <v>.</v>
      </c>
      <c r="AO5" s="15" t="str">
        <f>IFERROR(G5/(RadSpec!AM5*Q_w_poultry*(1/1000)),".")</f>
        <v>.</v>
      </c>
      <c r="AP5" s="15" t="str">
        <f>IFERROR(H5/(RadSpec!AI5*Q_w_beef*(1/1000)),".")</f>
        <v>.</v>
      </c>
      <c r="AQ5" s="15" t="str">
        <f>IFERROR((I5*D_milk)/(RadSpec!AH5*Q_w_dairy*(1/1000)),".")</f>
        <v>.</v>
      </c>
      <c r="AR5" s="15" t="str">
        <f>IFERROR(J5/(RadSpec!AN5*Q_w_swine*(1/1000)),".")</f>
        <v>.</v>
      </c>
      <c r="AS5" s="15" t="str">
        <f>IFERROR(K5/(RadSpec!AJ5*(1/1000)),".")</f>
        <v>.</v>
      </c>
      <c r="AT5" s="15" t="str">
        <f>IFERROR(L5/(RadSpec!AK5*(1/1000)),".")</f>
        <v>.</v>
      </c>
      <c r="AU5" s="118" t="str">
        <f t="shared" si="33"/>
        <v>.</v>
      </c>
      <c r="AV5" s="118" t="str">
        <f t="shared" si="34"/>
        <v>.</v>
      </c>
      <c r="AW5" s="118">
        <f t="shared" si="35"/>
        <v>5.6074781936465757E-11</v>
      </c>
      <c r="AX5" s="118" t="str">
        <f t="shared" si="36"/>
        <v>.</v>
      </c>
      <c r="AY5" s="118" t="str">
        <f t="shared" si="37"/>
        <v>.</v>
      </c>
      <c r="AZ5" s="118" t="str">
        <f t="shared" si="38"/>
        <v>.</v>
      </c>
      <c r="BA5" s="118" t="str">
        <f t="shared" si="39"/>
        <v>.</v>
      </c>
      <c r="BB5" s="118" t="str">
        <f t="shared" si="40"/>
        <v>.</v>
      </c>
      <c r="BC5" s="118" t="str">
        <f t="shared" si="41"/>
        <v>.</v>
      </c>
      <c r="BD5" s="118" t="str">
        <f t="shared" si="42"/>
        <v>.</v>
      </c>
      <c r="BE5" s="118" t="str">
        <f t="shared" si="19"/>
        <v>.</v>
      </c>
      <c r="BF5" s="15">
        <f t="shared" si="22"/>
        <v>17833328378.040363</v>
      </c>
      <c r="BG5" s="15" t="str">
        <f>IFERROR((TR/(RadSpec!H5*IFA_far_adj)),".")</f>
        <v>.</v>
      </c>
      <c r="BH5" s="15">
        <f>IFERROR((TR/(RadSpec!K5*EF_far*(1/365)*ED_far*ET_far*(1/24)*GSF_a)),".")</f>
        <v>845775.71458703105</v>
      </c>
      <c r="BI5" s="15">
        <f t="shared" si="43"/>
        <v>845775.71458703105</v>
      </c>
    </row>
    <row r="6" spans="1:61" customFormat="1" x14ac:dyDescent="0.25">
      <c r="A6" s="3">
        <v>5</v>
      </c>
      <c r="B6" s="44" t="s">
        <v>16</v>
      </c>
      <c r="C6" s="42" t="s">
        <v>1071</v>
      </c>
      <c r="D6" s="42"/>
      <c r="E6" s="15" t="str">
        <f>d_dir!AC6</f>
        <v>.</v>
      </c>
      <c r="F6" s="15" t="str">
        <f>IFERROR(TR/(RadSpec!F6*IFP_far_adj*CF_far_poultry),".")</f>
        <v>.</v>
      </c>
      <c r="G6" s="15" t="str">
        <f>IFERROR(TR/(RadSpec!F6*IFE_far_adj*CF_far_egg),".")</f>
        <v>.</v>
      </c>
      <c r="H6" s="15" t="str">
        <f>IFERROR(TR/(RadSpec!F6*IFB_far_adj*CF_far_beef),".")</f>
        <v>.</v>
      </c>
      <c r="I6" s="15" t="str">
        <f>IFERROR(TR/(RadSpec!F6*IFD_far_adj*CF_far_dairy),".")</f>
        <v>.</v>
      </c>
      <c r="J6" s="15" t="str">
        <f>IFERROR(TR/(RadSpec!F6*IFSW_far_adj*CF_far_swine),".")</f>
        <v>.</v>
      </c>
      <c r="K6" s="15" t="str">
        <f>IFERROR(TR/(RadSpec!F6*IFFI_far_adj*CF_far_fish),".")</f>
        <v>.</v>
      </c>
      <c r="L6" s="15" t="str">
        <f>IFERROR(TR/(RadSpec!F6*IFSF_far_adj*CF_far_shellfish),".")</f>
        <v>.</v>
      </c>
      <c r="M6" s="15" t="str">
        <f>IFERROR((TR/(RadSpec!E6*IFS_far_adj*(1/1000)))*1,".")</f>
        <v>.</v>
      </c>
      <c r="N6" s="15" t="str">
        <f>IFERROR(IF(B6="H-3",(TR/(RadSpec!H6*IFA_far_adj*(1/17)*1000))*1,(TR/(RadSpec!H6*IFA_far_adj*(1/PEF_wind)*1000))*1),".")</f>
        <v>.</v>
      </c>
      <c r="O6" s="15">
        <f>IFERROR((TR/(RadSpec!G6*EF_far*(1/365)*ED_far*RadSpec!R6*((ET_far_o*(1/24)*RadSpec!W6)+(ET_far_i*(1/24)*RadSpec!AB6))))*1,".")</f>
        <v>1.440788704240558E-2</v>
      </c>
      <c r="P6" s="15" t="str">
        <f>d_b2s!AC6</f>
        <v>.</v>
      </c>
      <c r="Q6" s="15" t="str">
        <f>IFERROR((F6/(RadSpec!AL6*((Q_p_poultry*f_p_poultry*f_s_poultry*(RadSpec!BD6+R_es_past))+(Q_s_poultry*f_p_poultry))))*1,".")</f>
        <v>.</v>
      </c>
      <c r="R6" s="15" t="str">
        <f>IFERROR((G6/(RadSpec!AM6*((Q_p_poultry*f_p_poultry*f_s_poultry*(RadSpec!BD6+R_es_past))+(Q_s_poultry*f_p_poultry))))*1,".")</f>
        <v>.</v>
      </c>
      <c r="S6" s="15" t="str">
        <f>IFERROR((H6/(RadSpec!AI6*((Q_p_beef*f_p_beef*f_s_beef*(RadSpec!BD6+R_es_past))+(Q_s_beef*f_p_beef))))*1,".")</f>
        <v>.</v>
      </c>
      <c r="T6" s="15" t="str">
        <f>IFERROR(((I6*D_milk)/(RadSpec!AH6*((Q_p_dairy*f_p_dairy*f_s_dairy*(RadSpec!BD6+R_es_past))+(Q_s_dairy*f_p_dairy))))*1,".")</f>
        <v>.</v>
      </c>
      <c r="U6" s="15" t="str">
        <f>IFERROR((J6/(RadSpec!AN6*((Q_p_swine*f_p_swine*f_s_swine*(RadSpec!BD6+R_es_past))+(Q_s_swine*f_p_swine))))*1,".")</f>
        <v>.</v>
      </c>
      <c r="V6" s="15" t="str">
        <f>IFERROR(((K6*RadSpec!AU6)/RadSpec!AJ6)*1,".")</f>
        <v>.</v>
      </c>
      <c r="W6" s="15" t="str">
        <f>IFERROR(((L6*RadSpec!AU6)/RadSpec!AK6)*1,".")</f>
        <v>.</v>
      </c>
      <c r="X6" s="118" t="str">
        <f t="shared" si="23"/>
        <v>.</v>
      </c>
      <c r="Y6" s="118" t="str">
        <f t="shared" si="24"/>
        <v>.</v>
      </c>
      <c r="Z6" s="118">
        <f t="shared" si="25"/>
        <v>69.406429760087661</v>
      </c>
      <c r="AA6" s="118" t="str">
        <f t="shared" si="26"/>
        <v>.</v>
      </c>
      <c r="AB6" s="118" t="str">
        <f t="shared" si="27"/>
        <v>.</v>
      </c>
      <c r="AC6" s="118" t="str">
        <f t="shared" si="28"/>
        <v>.</v>
      </c>
      <c r="AD6" s="118" t="str">
        <f t="shared" si="29"/>
        <v>.</v>
      </c>
      <c r="AE6" s="118" t="str">
        <f t="shared" si="30"/>
        <v>.</v>
      </c>
      <c r="AF6" s="118" t="str">
        <f t="shared" si="31"/>
        <v>.</v>
      </c>
      <c r="AG6" s="118" t="str">
        <f t="shared" si="32"/>
        <v>.</v>
      </c>
      <c r="AH6" s="118" t="str">
        <f t="shared" si="9"/>
        <v>.</v>
      </c>
      <c r="AI6" s="15">
        <f t="shared" si="21"/>
        <v>1.440788704240558E-2</v>
      </c>
      <c r="AJ6" s="15" t="str">
        <f>IFERROR(TR/(RadSpec!I6*IFW_far_adj),".")</f>
        <v>.</v>
      </c>
      <c r="AK6" s="15" t="str">
        <f>IFERROR(IF(AND(RadSpec!C6=1,RadSpec!D6&lt;&gt;0),TR/(RadSpec!H6*IFA_far_adj*K*RadSpec!D6),"."),".")</f>
        <v>.</v>
      </c>
      <c r="AL6" s="15">
        <f>IFERROR((TR/(RadSpec!M6*(1/8760)*DFA_far_adj)),".")</f>
        <v>167282.7170504214</v>
      </c>
      <c r="AM6" s="15" t="str">
        <f>d_b2w!AC6</f>
        <v>.</v>
      </c>
      <c r="AN6" s="15" t="str">
        <f>IFERROR(F6/(RadSpec!AL6*Q_w_poultry*(1/1000)),".")</f>
        <v>.</v>
      </c>
      <c r="AO6" s="15" t="str">
        <f>IFERROR(G6/(RadSpec!AM6*Q_w_poultry*(1/1000)),".")</f>
        <v>.</v>
      </c>
      <c r="AP6" s="15" t="str">
        <f>IFERROR(H6/(RadSpec!AI6*Q_w_beef*(1/1000)),".")</f>
        <v>.</v>
      </c>
      <c r="AQ6" s="15" t="str">
        <f>IFERROR((I6*D_milk)/(RadSpec!AH6*Q_w_dairy*(1/1000)),".")</f>
        <v>.</v>
      </c>
      <c r="AR6" s="15" t="str">
        <f>IFERROR(J6/(RadSpec!AN6*Q_w_swine*(1/1000)),".")</f>
        <v>.</v>
      </c>
      <c r="AS6" s="15" t="str">
        <f>IFERROR(K6/(RadSpec!AJ6*(1/1000)),".")</f>
        <v>.</v>
      </c>
      <c r="AT6" s="15" t="str">
        <f>IFERROR(L6/(RadSpec!AK6*(1/1000)),".")</f>
        <v>.</v>
      </c>
      <c r="AU6" s="118" t="str">
        <f t="shared" si="33"/>
        <v>.</v>
      </c>
      <c r="AV6" s="118" t="str">
        <f t="shared" si="34"/>
        <v>.</v>
      </c>
      <c r="AW6" s="118">
        <f t="shared" si="35"/>
        <v>5.9779038601972596E-6</v>
      </c>
      <c r="AX6" s="118" t="str">
        <f t="shared" si="36"/>
        <v>.</v>
      </c>
      <c r="AY6" s="118" t="str">
        <f t="shared" si="37"/>
        <v>.</v>
      </c>
      <c r="AZ6" s="118" t="str">
        <f t="shared" si="38"/>
        <v>.</v>
      </c>
      <c r="BA6" s="118" t="str">
        <f t="shared" si="39"/>
        <v>.</v>
      </c>
      <c r="BB6" s="118" t="str">
        <f t="shared" si="40"/>
        <v>.</v>
      </c>
      <c r="BC6" s="118" t="str">
        <f t="shared" si="41"/>
        <v>.</v>
      </c>
      <c r="BD6" s="118" t="str">
        <f t="shared" si="42"/>
        <v>.</v>
      </c>
      <c r="BE6" s="118" t="str">
        <f t="shared" si="19"/>
        <v>.</v>
      </c>
      <c r="BF6" s="15">
        <f t="shared" si="22"/>
        <v>167282.7170504214</v>
      </c>
      <c r="BG6" s="15" t="str">
        <f>IFERROR((TR/(RadSpec!H6*IFA_far_adj)),".")</f>
        <v>.</v>
      </c>
      <c r="BH6" s="15">
        <f>IFERROR((TR/(RadSpec!K6*EF_far*(1/365)*ED_far*ET_far*(1/24)*GSF_a)),".")</f>
        <v>10.337258733841491</v>
      </c>
      <c r="BI6" s="15">
        <f>IFERROR(IF(AND(BG6&lt;&gt;".",BH6&lt;&gt;"."),1/((1/BG6)+(1/BH6)),IF(AND(BG6&lt;&gt;".",BH6="."),1/((1/BG6)),IF(AND(BG6=".",BH6&lt;&gt;"."),1/((1/BH6)),IF(AND(BG6=".",BH6="."),".")))),".")</f>
        <v>10.337258733841491</v>
      </c>
    </row>
    <row r="7" spans="1:61" customFormat="1" x14ac:dyDescent="0.25">
      <c r="A7" s="3">
        <v>6</v>
      </c>
      <c r="B7" s="44" t="s">
        <v>17</v>
      </c>
      <c r="C7" s="248" t="s">
        <v>1071</v>
      </c>
      <c r="D7" s="249"/>
      <c r="E7" s="15">
        <f>d_dir!AC7</f>
        <v>3.8754490547927328E-3</v>
      </c>
      <c r="F7" s="15">
        <f>IFERROR(TR/(RadSpec!F7*IFP_far_adj*CF_far_poultry),".")</f>
        <v>3.5045084407683856E-2</v>
      </c>
      <c r="G7" s="15">
        <f>IFERROR(TR/(RadSpec!F7*IFE_far_adj*CF_far_egg),".")</f>
        <v>6.3425239786983736E-2</v>
      </c>
      <c r="H7" s="15">
        <f>IFERROR(TR/(RadSpec!F7*IFB_far_adj*CF_far_beef),".")</f>
        <v>2.2920825344814474E-2</v>
      </c>
      <c r="I7" s="15">
        <f>IFERROR(TR/(RadSpec!F7*IFD_far_adj*CF_far_dairy),".")</f>
        <v>3.9462788426638295E-3</v>
      </c>
      <c r="J7" s="15">
        <f>IFERROR(TR/(RadSpec!F7*IFSW_far_adj*CF_far_swine),".")</f>
        <v>4.1153945029681345E-2</v>
      </c>
      <c r="K7" s="15">
        <f>IFERROR(TR/(RadSpec!F7*IFFI_far_adj*CF_far_fish),".")</f>
        <v>3.9762056727183963E-2</v>
      </c>
      <c r="L7" s="15">
        <f>IFERROR(TR/(RadSpec!F7*IFSF_far_adj*CF_far_shellfish),".")</f>
        <v>3.034067539489093E-2</v>
      </c>
      <c r="M7" s="15">
        <f>IFERROR((TR/(RadSpec!E7*IFS_far_adj*(1/1000)))*1,".")</f>
        <v>25.865906484919016</v>
      </c>
      <c r="N7" s="15">
        <f>IFERROR(IF(B7="H-3",(TR/(RadSpec!H7*IFA_far_adj*(1/17)*1000))*1,(TR/(RadSpec!H7*IFA_far_adj*(1/PEF_wind)*1000))*1),".")</f>
        <v>11532.485741446224</v>
      </c>
      <c r="O7" s="15">
        <f>IFERROR((TR/(RadSpec!G7*EF_far*(1/365)*ED_far*RadSpec!R7*((ET_far_o*(1/24)*RadSpec!W7)+(ET_far_i*(1/24)*RadSpec!AB7))))*1,".")</f>
        <v>13.982337636089804</v>
      </c>
      <c r="P7" s="15">
        <f>d_b2s!AC7</f>
        <v>3.8429012642352843E-2</v>
      </c>
      <c r="Q7" s="15" t="str">
        <f>IFERROR((F7/(RadSpec!AL7*((Q_p_poultry*f_p_poultry*f_s_poultry*(RadSpec!BD7+R_es_past))+(Q_s_poultry*f_p_poultry))))*1,".")</f>
        <v>.</v>
      </c>
      <c r="R7" s="15" t="str">
        <f>IFERROR((G7/(RadSpec!AM7*((Q_p_poultry*f_p_poultry*f_s_poultry*(RadSpec!BD7+R_es_past))+(Q_s_poultry*f_p_poultry))))*1,".")</f>
        <v>.</v>
      </c>
      <c r="S7" s="15">
        <f>IFERROR((H7/(RadSpec!AI7*((Q_p_beef*f_p_beef*f_s_beef*(RadSpec!BD7+R_es_past))+(Q_s_beef*f_p_beef))))*1,".")</f>
        <v>1.2286692760554527</v>
      </c>
      <c r="T7" s="15">
        <f>IFERROR(((I7*D_milk)/(RadSpec!AH7*((Q_p_dairy*f_p_dairy*f_s_dairy*(RadSpec!BD7+R_es_past))+(Q_s_dairy*f_p_dairy))))*1,".")</f>
        <v>0.26013870130839961</v>
      </c>
      <c r="U7" s="15" t="str">
        <f>IFERROR((J7/(RadSpec!AN7*((Q_p_swine*f_p_swine*f_s_swine*(RadSpec!BD7+R_es_past))+(Q_s_swine*f_p_swine))))*1,".")</f>
        <v>.</v>
      </c>
      <c r="V7" s="15">
        <f>IFERROR(((K7*RadSpec!AU7)/RadSpec!AJ7)*1,".")</f>
        <v>1.2723858152698868</v>
      </c>
      <c r="W7" s="15" t="str">
        <f>IFERROR(((L7*RadSpec!AU7)/RadSpec!AK7)*1,".")</f>
        <v>.</v>
      </c>
      <c r="X7" s="118">
        <f t="shared" ref="X7:X9" si="44">IFERROR(1/M7,".")</f>
        <v>3.8660929999999996E-2</v>
      </c>
      <c r="Y7" s="118">
        <f t="shared" ref="Y7:Y9" si="45">IFERROR(1/N7,".")</f>
        <v>8.6711574800056555E-5</v>
      </c>
      <c r="Z7" s="118">
        <f t="shared" ref="Z7:Z9" si="46">IFERROR(1/O7,".")</f>
        <v>7.151879936148163E-2</v>
      </c>
      <c r="AA7" s="118">
        <f t="shared" ref="AA7:AA9" si="47">IFERROR(1/P7,".")</f>
        <v>26.02200606366592</v>
      </c>
      <c r="AB7" s="118" t="str">
        <f t="shared" ref="AB7:AB9" si="48">IFERROR(1/Q7,".")</f>
        <v>.</v>
      </c>
      <c r="AC7" s="118" t="str">
        <f t="shared" ref="AC7:AC9" si="49">IFERROR(1/R7,".")</f>
        <v>.</v>
      </c>
      <c r="AD7" s="118">
        <f t="shared" ref="AD7:AD9" si="50">IFERROR(1/S7,".")</f>
        <v>0.81388866759200029</v>
      </c>
      <c r="AE7" s="118">
        <f t="shared" ref="AE7:AE9" si="51">IFERROR(1/T7,".")</f>
        <v>3.844103145631069</v>
      </c>
      <c r="AF7" s="118" t="str">
        <f t="shared" ref="AF7:AF9" si="52">IFERROR(1/U7,".")</f>
        <v>.</v>
      </c>
      <c r="AG7" s="118">
        <f t="shared" ref="AG7:AG9" si="53">IFERROR(1/V7,".")</f>
        <v>0.78592514000000002</v>
      </c>
      <c r="AH7" s="118" t="str">
        <f t="shared" si="9"/>
        <v>.</v>
      </c>
      <c r="AI7" s="15">
        <f t="shared" si="21"/>
        <v>3.166943247967427E-2</v>
      </c>
      <c r="AJ7" s="15">
        <f>IFERROR(TR/(RadSpec!I7*IFW_far_adj),".")</f>
        <v>3.5728730840164387</v>
      </c>
      <c r="AK7" s="15" t="str">
        <f>IFERROR(IF(AND(RadSpec!C7=1,RadSpec!D7&lt;&gt;0),TR/(RadSpec!H7*IFA_far_adj*K*RadSpec!D7),"."),".")</f>
        <v>.</v>
      </c>
      <c r="AL7" s="15">
        <f>IFERROR((TR/(RadSpec!M7*(1/8760)*DFA_far_adj)),".")</f>
        <v>116848226.23820479</v>
      </c>
      <c r="AM7" s="15">
        <f>d_b2w!AC7</f>
        <v>0.53474110325731117</v>
      </c>
      <c r="AN7" s="15" t="str">
        <f>IFERROR(F7/(RadSpec!AL7*Q_w_poultry*(1/1000)),".")</f>
        <v>.</v>
      </c>
      <c r="AO7" s="15" t="str">
        <f>IFERROR(G7/(RadSpec!AM7*Q_w_poultry*(1/1000)),".")</f>
        <v>.</v>
      </c>
      <c r="AP7" s="15">
        <f>IFERROR(H7/(RadSpec!AI7*Q_w_beef*(1/1000)),".")</f>
        <v>216.23420136617429</v>
      </c>
      <c r="AQ7" s="15">
        <f>IFERROR((I7*D_milk)/(RadSpec!AH7*Q_w_dairy*(1/1000)),".")</f>
        <v>44.181165303736357</v>
      </c>
      <c r="AR7" s="15" t="str">
        <f>IFERROR(J7/(RadSpec!AN7*Q_w_swine*(1/1000)),".")</f>
        <v>.</v>
      </c>
      <c r="AS7" s="15">
        <f>IFERROR(K7/(RadSpec!AJ7*(1/1000)),".")</f>
        <v>2.6508037818122645</v>
      </c>
      <c r="AT7" s="15" t="str">
        <f>IFERROR(L7/(RadSpec!AK7*(1/1000)),".")</f>
        <v>.</v>
      </c>
      <c r="AU7" s="118">
        <f t="shared" ref="AU7:AU9" si="54">IFERROR(1/AJ7,".")</f>
        <v>0.27988679600000005</v>
      </c>
      <c r="AV7" s="118" t="str">
        <f t="shared" ref="AV7:AV9" si="55">IFERROR(1/AK7,".")</f>
        <v>.</v>
      </c>
      <c r="AW7" s="118">
        <f t="shared" ref="AW7:AW9" si="56">IFERROR(1/AL7,".")</f>
        <v>8.558110227205479E-9</v>
      </c>
      <c r="AX7" s="118">
        <f t="shared" ref="AX7:AX9" si="57">IFERROR(1/AM7,".")</f>
        <v>1.8700638381987473</v>
      </c>
      <c r="AY7" s="118" t="str">
        <f t="shared" ref="AY7:AY9" si="58">IFERROR(1/AN7,".")</f>
        <v>.</v>
      </c>
      <c r="AZ7" s="118" t="str">
        <f t="shared" ref="AZ7:AZ9" si="59">IFERROR(1/AO7,".")</f>
        <v>.</v>
      </c>
      <c r="BA7" s="118">
        <f t="shared" ref="BA7:BA9" si="60">IFERROR(1/AP7,".")</f>
        <v>4.6246153184000011E-3</v>
      </c>
      <c r="BB7" s="118">
        <f t="shared" ref="BB7:BB9" si="61">IFERROR(1/AQ7,".")</f>
        <v>2.2634079321475729E-2</v>
      </c>
      <c r="BC7" s="118" t="str">
        <f t="shared" ref="BC7:BC9" si="62">IFERROR(1/AR7,".")</f>
        <v>.</v>
      </c>
      <c r="BD7" s="118">
        <f t="shared" ref="BD7:BD9" si="63">IFERROR(1/AS7,".")</f>
        <v>0.37724406719999998</v>
      </c>
      <c r="BE7" s="118" t="str">
        <f t="shared" si="19"/>
        <v>.</v>
      </c>
      <c r="BF7" s="15">
        <f t="shared" si="22"/>
        <v>0.39147318099461209</v>
      </c>
      <c r="BG7" s="15">
        <f>IFERROR((TR/(RadSpec!H7*IFA_far_adj)),".")</f>
        <v>8.4838581872200853E-3</v>
      </c>
      <c r="BH7" s="15">
        <f>IFERROR((TR/(RadSpec!K7*EF_far*(1/365)*ED_far*ET_far*(1/24)*GSF_a)),".")</f>
        <v>4929.0240320303792</v>
      </c>
      <c r="BI7" s="15">
        <f>IFERROR(IF(AND(BG7&lt;&gt;".",BH7&lt;&gt;"."),1/((1/BG7)+(1/BH7)),IF(AND(BG7&lt;&gt;".",BH7="."),1/((1/BG7)),IF(AND(BG7=".",BH7&lt;&gt;"."),1/((1/BH7)),IF(AND(BG7=".",BH7="."),".")))),".")</f>
        <v>8.483843584790601E-3</v>
      </c>
    </row>
    <row r="8" spans="1:61" customFormat="1" x14ac:dyDescent="0.25">
      <c r="A8" s="3">
        <v>7</v>
      </c>
      <c r="B8" s="44" t="s">
        <v>18</v>
      </c>
      <c r="C8" s="42" t="s">
        <v>1071</v>
      </c>
      <c r="D8" s="42"/>
      <c r="E8" s="15">
        <f>d_dir!AC8</f>
        <v>7.03174261488166E-2</v>
      </c>
      <c r="F8" s="15">
        <f>IFERROR(TR/(RadSpec!F8*IFP_far_adj*CF_far_poultry),".")</f>
        <v>0.63586957275797495</v>
      </c>
      <c r="G8" s="15">
        <f>IFERROR(TR/(RadSpec!F8*IFE_far_adj*CF_far_egg),".")</f>
        <v>1.1508084744854781</v>
      </c>
      <c r="H8" s="15">
        <f>IFERROR(TR/(RadSpec!F8*IFB_far_adj*CF_far_beef),".")</f>
        <v>0.41588301656570592</v>
      </c>
      <c r="I8" s="15">
        <f>IFERROR(TR/(RadSpec!F8*IFD_far_adj*CF_far_dairy),".")</f>
        <v>7.1602585186477732E-2</v>
      </c>
      <c r="J8" s="15">
        <f>IFERROR(TR/(RadSpec!F8*IFSW_far_adj*CF_far_swine),".")</f>
        <v>0.74671075517772334</v>
      </c>
      <c r="K8" s="15">
        <f>IFERROR(TR/(RadSpec!F8*IFFI_far_adj*CF_far_fish),".")</f>
        <v>0.72145587463756466</v>
      </c>
      <c r="L8" s="15">
        <f>IFERROR(TR/(RadSpec!F8*IFSF_far_adj*CF_far_shellfish),".")</f>
        <v>0.55051122365987659</v>
      </c>
      <c r="M8" s="15">
        <f>IFERROR((TR/(RadSpec!E8*IFS_far_adj*(1/1000)))*1,".")</f>
        <v>521.33457480473407</v>
      </c>
      <c r="N8" s="15">
        <f>IFERROR(IF(B8="H-3",(TR/(RadSpec!H8*IFA_far_adj*(1/17)*1000))*1,(TR/(RadSpec!H8*IFA_far_adj*(1/PEF_wind)*1000))*1),".")</f>
        <v>70924.78730989428</v>
      </c>
      <c r="O8" s="15">
        <f>IFERROR((TR/(RadSpec!G8*EF_far*(1/365)*ED_far*RadSpec!R8*((ET_far_o*(1/24)*RadSpec!W8)+(ET_far_i*(1/24)*RadSpec!AB8))))*1,".")</f>
        <v>7.1264817629102861E-2</v>
      </c>
      <c r="P8" s="15">
        <f>d_b2s!AC8</f>
        <v>0.69726868299526812</v>
      </c>
      <c r="Q8" s="15" t="str">
        <f>IFERROR((F8/(RadSpec!AL8*((Q_p_poultry*f_p_poultry*f_s_poultry*(RadSpec!BD8+R_es_past))+(Q_s_poultry*f_p_poultry))))*1,".")</f>
        <v>.</v>
      </c>
      <c r="R8" s="15" t="str">
        <f>IFERROR((G8/(RadSpec!AM8*((Q_p_poultry*f_p_poultry*f_s_poultry*(RadSpec!BD8+R_es_past))+(Q_s_poultry*f_p_poultry))))*1,".")</f>
        <v>.</v>
      </c>
      <c r="S8" s="15">
        <f>IFERROR((H8/(RadSpec!AI8*((Q_p_beef*f_p_beef*f_s_beef*(RadSpec!BD8+R_es_past))+(Q_s_beef*f_p_beef))))*1,".")</f>
        <v>22.293380678944299</v>
      </c>
      <c r="T8" s="15">
        <f>IFERROR(((I8*D_milk)/(RadSpec!AH8*((Q_p_dairy*f_p_dairy*f_s_dairy*(RadSpec!BD8+R_es_past))+(Q_s_dairy*f_p_dairy))))*1,".")</f>
        <v>4.7200424154926113</v>
      </c>
      <c r="U8" s="15" t="str">
        <f>IFERROR((J8/(RadSpec!AN8*((Q_p_swine*f_p_swine*f_s_swine*(RadSpec!BD8+R_es_past))+(Q_s_swine*f_p_swine))))*1,".")</f>
        <v>.</v>
      </c>
      <c r="V8" s="15">
        <f>IFERROR(((K8*RadSpec!AU8)/RadSpec!AJ8)*1,".")</f>
        <v>23.086587988402069</v>
      </c>
      <c r="W8" s="15" t="str">
        <f>IFERROR(((L8*RadSpec!AU8)/RadSpec!AK8)*1,".")</f>
        <v>.</v>
      </c>
      <c r="X8" s="118">
        <f t="shared" si="44"/>
        <v>1.9181540000000003E-3</v>
      </c>
      <c r="Y8" s="118">
        <f t="shared" si="45"/>
        <v>1.4099443056919766E-5</v>
      </c>
      <c r="Z8" s="118">
        <f t="shared" si="46"/>
        <v>14.032169494974246</v>
      </c>
      <c r="AA8" s="118">
        <f t="shared" si="47"/>
        <v>1.4341673796452239</v>
      </c>
      <c r="AB8" s="118" t="str">
        <f t="shared" si="48"/>
        <v>.</v>
      </c>
      <c r="AC8" s="118" t="str">
        <f t="shared" si="49"/>
        <v>.</v>
      </c>
      <c r="AD8" s="118">
        <f t="shared" si="50"/>
        <v>4.4856364066150012E-2</v>
      </c>
      <c r="AE8" s="118">
        <f t="shared" si="51"/>
        <v>0.21186250291262143</v>
      </c>
      <c r="AF8" s="118" t="str">
        <f t="shared" si="52"/>
        <v>.</v>
      </c>
      <c r="AG8" s="118">
        <f t="shared" si="53"/>
        <v>4.3315192375000006E-2</v>
      </c>
      <c r="AH8" s="118" t="str">
        <f t="shared" si="9"/>
        <v>.</v>
      </c>
      <c r="AI8" s="15">
        <f t="shared" si="21"/>
        <v>6.3418364557959392E-2</v>
      </c>
      <c r="AJ8" s="15">
        <f>IFERROR(TR/(RadSpec!I8*IFW_far_adj),".")</f>
        <v>62.851271039997215</v>
      </c>
      <c r="AK8" s="15" t="str">
        <f>IFERROR(IF(AND(RadSpec!C8=1,RadSpec!D8&lt;&gt;0),TR/(RadSpec!H8*IFA_far_adj*K*RadSpec!D8),"."),".")</f>
        <v>.</v>
      </c>
      <c r="AL8" s="15">
        <f>IFERROR((TR/(RadSpec!M8*(1/8760)*DFA_far_adj)),".")</f>
        <v>790791.02605653752</v>
      </c>
      <c r="AM8" s="15">
        <f>d_b2w!AC8</f>
        <v>9.7025189869367789</v>
      </c>
      <c r="AN8" s="15" t="str">
        <f>IFERROR(F8/(RadSpec!AL8*Q_w_poultry*(1/1000)),".")</f>
        <v>.</v>
      </c>
      <c r="AO8" s="15" t="str">
        <f>IFERROR(G8/(RadSpec!AM8*Q_w_poultry*(1/1000)),".")</f>
        <v>.</v>
      </c>
      <c r="AP8" s="15">
        <f>IFERROR(H8/(RadSpec!AI8*Q_w_beef*(1/1000)),".")</f>
        <v>3923.4246845821312</v>
      </c>
      <c r="AQ8" s="15">
        <f>IFERROR((I8*D_milk)/(RadSpec!AH8*Q_w_dairy*(1/1000)),".")</f>
        <v>801.63763850078328</v>
      </c>
      <c r="AR8" s="15" t="str">
        <f>IFERROR(J8/(RadSpec!AN8*Q_w_swine*(1/1000)),".")</f>
        <v>.</v>
      </c>
      <c r="AS8" s="15">
        <f>IFERROR(K8/(RadSpec!AJ8*(1/1000)),".")</f>
        <v>48.097058309170983</v>
      </c>
      <c r="AT8" s="15" t="str">
        <f>IFERROR(L8/(RadSpec!AK8*(1/1000)),".")</f>
        <v>.</v>
      </c>
      <c r="AU8" s="118">
        <f t="shared" si="54"/>
        <v>1.5910577200000001E-2</v>
      </c>
      <c r="AV8" s="118" t="str">
        <f t="shared" si="55"/>
        <v>.</v>
      </c>
      <c r="AW8" s="118">
        <f t="shared" si="56"/>
        <v>1.2645565858109588E-6</v>
      </c>
      <c r="AX8" s="118">
        <f t="shared" si="57"/>
        <v>0.10306601835527188</v>
      </c>
      <c r="AY8" s="118" t="str">
        <f t="shared" si="58"/>
        <v>.</v>
      </c>
      <c r="AZ8" s="118" t="str">
        <f t="shared" si="59"/>
        <v>.</v>
      </c>
      <c r="BA8" s="118">
        <f t="shared" si="60"/>
        <v>2.5487936698000006E-4</v>
      </c>
      <c r="BB8" s="118">
        <f t="shared" si="61"/>
        <v>1.2474464171495147E-3</v>
      </c>
      <c r="BC8" s="118" t="str">
        <f t="shared" si="62"/>
        <v>.</v>
      </c>
      <c r="BD8" s="118">
        <f t="shared" si="63"/>
        <v>2.079129234E-2</v>
      </c>
      <c r="BE8" s="118" t="str">
        <f t="shared" si="19"/>
        <v>.</v>
      </c>
      <c r="BF8" s="15">
        <f t="shared" si="22"/>
        <v>7.078569662374087</v>
      </c>
      <c r="BG8" s="15">
        <f>IFERROR((TR/(RadSpec!H8*IFA_far_adj)),".")</f>
        <v>5.2175727851403529E-2</v>
      </c>
      <c r="BH8" s="15">
        <f>IFERROR((TR/(RadSpec!K8*EF_far*(1/365)*ED_far*ET_far*(1/24)*GSF_a)),".")</f>
        <v>48.965962423459686</v>
      </c>
      <c r="BI8" s="15">
        <f t="shared" ref="BI8:BI9" si="64">IFERROR(IF(AND(BG8&lt;&gt;".",BH8&lt;&gt;"."),1/((1/BG8)+(1/BH8)),IF(AND(BG8&lt;&gt;".",BH8="."),1/((1/BG8)),IF(AND(BG8=".",BH8&lt;&gt;"."),1/((1/BH8)),IF(AND(BG8=".",BH8="."),".")))),".")</f>
        <v>5.2120191132150329E-2</v>
      </c>
    </row>
    <row r="9" spans="1:61" customFormat="1" x14ac:dyDescent="0.25">
      <c r="A9" s="3">
        <v>8</v>
      </c>
      <c r="B9" s="44" t="s">
        <v>19</v>
      </c>
      <c r="C9" s="248" t="s">
        <v>1071</v>
      </c>
      <c r="D9" s="249"/>
      <c r="E9" s="15">
        <f>d_dir!AC9</f>
        <v>0.19025914467043817</v>
      </c>
      <c r="F9" s="15">
        <f>IFERROR(TR/(RadSpec!F9*IFP_far_adj*CF_far_poultry),".")</f>
        <v>1.7204839207119547</v>
      </c>
      <c r="G9" s="15">
        <f>IFERROR(TR/(RadSpec!F9*IFE_far_adj*CF_far_egg),".")</f>
        <v>3.1137635153442504</v>
      </c>
      <c r="H9" s="15">
        <f>IFERROR(TR/(RadSpec!F9*IFB_far_adj*CF_far_beef),".")</f>
        <v>1.1252622763423561</v>
      </c>
      <c r="I9" s="15">
        <f>IFERROR(TR/(RadSpec!F9*IFD_far_adj*CF_far_dairy),".")</f>
        <v>0.19373642295922844</v>
      </c>
      <c r="J9" s="15">
        <f>IFERROR(TR/(RadSpec!F9*IFSW_far_adj*CF_far_swine),".")</f>
        <v>2.0203889331168523</v>
      </c>
      <c r="K9" s="15">
        <f>IFERROR(TR/(RadSpec!F9*IFFI_far_adj*CF_far_fish),".")</f>
        <v>1.9520563414182364</v>
      </c>
      <c r="L9" s="15">
        <f>IFERROR(TR/(RadSpec!F9*IFSF_far_adj*CF_far_shellfish),".")</f>
        <v>1.4895282760113815</v>
      </c>
      <c r="M9" s="15">
        <f>IFERROR((TR/(RadSpec!E9*IFS_far_adj*(1/1000)))*1,".")</f>
        <v>1540.0892943772878</v>
      </c>
      <c r="N9" s="15">
        <f>IFERROR(IF(B9="H-3",(TR/(RadSpec!H9*IFA_far_adj*(1/17)*1000))*1,(TR/(RadSpec!H9*IFA_far_adj*(1/PEF_wind)*1000))*1),".")</f>
        <v>84926.120727057874</v>
      </c>
      <c r="O9" s="15">
        <f>IFERROR((TR/(RadSpec!G9*EF_far*(1/365)*ED_far*RadSpec!R9*((ET_far_o*(1/24)*RadSpec!W9)+(ET_far_i*(1/24)*RadSpec!AB9))))*1,".")</f>
        <v>5.2683847690831211E-3</v>
      </c>
      <c r="P9" s="15">
        <f>d_b2s!AC9</f>
        <v>1.8866126150778517</v>
      </c>
      <c r="Q9" s="15" t="str">
        <f>IFERROR((F9/(RadSpec!AL9*((Q_p_poultry*f_p_poultry*f_s_poultry*(RadSpec!BD9+R_es_past))+(Q_s_poultry*f_p_poultry))))*1,".")</f>
        <v>.</v>
      </c>
      <c r="R9" s="15" t="str">
        <f>IFERROR((G9/(RadSpec!AM9*((Q_p_poultry*f_p_poultry*f_s_poultry*(RadSpec!BD9+R_es_past))+(Q_s_poultry*f_p_poultry))))*1,".")</f>
        <v>.</v>
      </c>
      <c r="S9" s="15">
        <f>IFERROR((H9/(RadSpec!AI9*((Q_p_beef*f_p_beef*f_s_beef*(RadSpec!BD9+R_es_past))+(Q_s_beef*f_p_beef))))*1,".")</f>
        <v>60.319607415832536</v>
      </c>
      <c r="T9" s="15">
        <f>IFERROR(((I9*D_milk)/(RadSpec!AH9*((Q_p_dairy*f_p_dairy*f_s_dairy*(RadSpec!BD9+R_es_past))+(Q_s_dairy*f_p_dairy))))*1,".")</f>
        <v>12.771105001472336</v>
      </c>
      <c r="U9" s="15" t="str">
        <f>IFERROR((J9/(RadSpec!AN9*((Q_p_swine*f_p_swine*f_s_swine*(RadSpec!BD9+R_es_past))+(Q_s_swine*f_p_swine))))*1,".")</f>
        <v>.</v>
      </c>
      <c r="V9" s="15">
        <f>IFERROR(((K9*RadSpec!AU9)/RadSpec!AJ9)*1,".")</f>
        <v>62.465802925383564</v>
      </c>
      <c r="W9" s="15" t="str">
        <f>IFERROR(((L9*RadSpec!AU9)/RadSpec!AK9)*1,".")</f>
        <v>.</v>
      </c>
      <c r="X9" s="118">
        <f t="shared" si="44"/>
        <v>6.493130000000001E-4</v>
      </c>
      <c r="Y9" s="118">
        <f t="shared" si="45"/>
        <v>1.1774940282670831E-5</v>
      </c>
      <c r="Z9" s="118">
        <f t="shared" si="46"/>
        <v>189.81149703954409</v>
      </c>
      <c r="AA9" s="118">
        <f t="shared" si="47"/>
        <v>0.53005052124001339</v>
      </c>
      <c r="AB9" s="118" t="str">
        <f t="shared" si="48"/>
        <v>.</v>
      </c>
      <c r="AC9" s="118" t="str">
        <f t="shared" si="49"/>
        <v>.</v>
      </c>
      <c r="AD9" s="118">
        <f t="shared" si="50"/>
        <v>1.657835723475751E-2</v>
      </c>
      <c r="AE9" s="118">
        <f t="shared" si="51"/>
        <v>7.8301760097087406E-2</v>
      </c>
      <c r="AF9" s="118" t="str">
        <f t="shared" si="52"/>
        <v>.</v>
      </c>
      <c r="AG9" s="118">
        <f t="shared" si="53"/>
        <v>1.600875924375E-2</v>
      </c>
      <c r="AH9" s="118" t="str">
        <f t="shared" si="9"/>
        <v>.</v>
      </c>
      <c r="AI9" s="15">
        <f t="shared" si="21"/>
        <v>5.2506365766361932E-3</v>
      </c>
      <c r="AJ9" s="15">
        <f>IFERROR(TR/(RadSpec!I9*IFW_far_adj),".")</f>
        <v>165.90797943120651</v>
      </c>
      <c r="AK9" s="15">
        <f>IFERROR(IF(AND(RadSpec!C9=1,RadSpec!D9&lt;&gt;0),TR/(RadSpec!H9*IFA_far_adj*K*RadSpec!D9),"."),".")</f>
        <v>0.15345317098848396</v>
      </c>
      <c r="AL9" s="15">
        <f>IFERROR((TR/(RadSpec!M9*(1/8760)*DFA_far_adj)),".")</f>
        <v>63135.735144836457</v>
      </c>
      <c r="AM9" s="15">
        <f>d_b2w!AC9</f>
        <v>26.252282893524896</v>
      </c>
      <c r="AN9" s="15" t="str">
        <f>IFERROR(F9/(RadSpec!AL9*Q_w_poultry*(1/1000)),".")</f>
        <v>.</v>
      </c>
      <c r="AO9" s="15" t="str">
        <f>IFERROR(G9/(RadSpec!AM9*Q_w_poultry*(1/1000)),".")</f>
        <v>.</v>
      </c>
      <c r="AP9" s="15">
        <f>IFERROR(H9/(RadSpec!AI9*Q_w_beef*(1/1000)),".")</f>
        <v>10615.681852286378</v>
      </c>
      <c r="AQ9" s="15">
        <f>IFERROR((I9*D_milk)/(RadSpec!AH9*Q_w_dairy*(1/1000)),".")</f>
        <v>2169.0056048696229</v>
      </c>
      <c r="AR9" s="15" t="str">
        <f>IFERROR(J9/(RadSpec!AN9*Q_w_swine*(1/1000)),".")</f>
        <v>.</v>
      </c>
      <c r="AS9" s="15">
        <f>IFERROR(K9/(RadSpec!AJ9*(1/1000)),".")</f>
        <v>130.13708942788242</v>
      </c>
      <c r="AT9" s="15" t="str">
        <f>IFERROR(L9/(RadSpec!AK9*(1/1000)),".")</f>
        <v>.</v>
      </c>
      <c r="AU9" s="118">
        <f t="shared" si="54"/>
        <v>6.0274376400000001E-3</v>
      </c>
      <c r="AV9" s="118">
        <f t="shared" si="55"/>
        <v>6.5166460462067999</v>
      </c>
      <c r="AW9" s="118">
        <f t="shared" si="56"/>
        <v>1.5838890569753423E-5</v>
      </c>
      <c r="AX9" s="118">
        <f t="shared" si="57"/>
        <v>3.8091925340582443E-2</v>
      </c>
      <c r="AY9" s="118" t="str">
        <f t="shared" si="58"/>
        <v>.</v>
      </c>
      <c r="AZ9" s="118" t="str">
        <f t="shared" si="59"/>
        <v>.</v>
      </c>
      <c r="BA9" s="118">
        <f t="shared" si="60"/>
        <v>9.4200260889000046E-5</v>
      </c>
      <c r="BB9" s="118">
        <f t="shared" si="61"/>
        <v>4.6104076345165055E-4</v>
      </c>
      <c r="BC9" s="118" t="str">
        <f t="shared" si="62"/>
        <v>.</v>
      </c>
      <c r="BD9" s="118">
        <f t="shared" si="63"/>
        <v>7.6842044370000013E-3</v>
      </c>
      <c r="BE9" s="118" t="str">
        <f t="shared" si="19"/>
        <v>.</v>
      </c>
      <c r="BF9" s="15">
        <f t="shared" si="22"/>
        <v>0.1522296924690025</v>
      </c>
      <c r="BG9" s="15">
        <f>IFERROR((TR/(RadSpec!H9*IFA_far_adj)),".")</f>
        <v>6.2475790631130436E-2</v>
      </c>
      <c r="BH9" s="15">
        <f>IFERROR((TR/(RadSpec!K9*EF_far*(1/365)*ED_far*ET_far*(1/24)*GSF_a)),".")</f>
        <v>3.8967676902439141</v>
      </c>
      <c r="BI9" s="15">
        <f t="shared" si="64"/>
        <v>6.1489939562905105E-2</v>
      </c>
    </row>
    <row r="10" spans="1:61" customFormat="1" x14ac:dyDescent="0.25">
      <c r="A10" s="3">
        <v>9</v>
      </c>
      <c r="B10" s="46" t="s">
        <v>20</v>
      </c>
      <c r="C10" s="42" t="s">
        <v>349</v>
      </c>
      <c r="D10" s="42"/>
      <c r="E10" s="15">
        <f>d_dir!AC10</f>
        <v>1.3506515517693483E-3</v>
      </c>
      <c r="F10" s="15">
        <f>IFERROR(TR/(RadSpec!F10*IFP_far_adj*CF_far_poultry),".")</f>
        <v>1.2213732387628431E-2</v>
      </c>
      <c r="G10" s="15">
        <f>IFERROR(TR/(RadSpec!F10*IFE_far_adj*CF_far_egg),".")</f>
        <v>2.210463802477057E-2</v>
      </c>
      <c r="H10" s="15">
        <f>IFERROR(TR/(RadSpec!F10*IFB_far_adj*CF_far_beef),".")</f>
        <v>7.9882480409650455E-3</v>
      </c>
      <c r="I10" s="15">
        <f>IFERROR(TR/(RadSpec!F10*IFD_far_adj*CF_far_dairy),".")</f>
        <v>1.3753367847699682E-3</v>
      </c>
      <c r="J10" s="15">
        <f>IFERROR(TR/(RadSpec!F10*IFSW_far_adj*CF_far_swine),".")</f>
        <v>1.4342761040047359E-2</v>
      </c>
      <c r="K10" s="15">
        <f>IFERROR(TR/(RadSpec!F10*IFFI_far_adj*CF_far_fish),".")</f>
        <v>1.3857667295018567E-2</v>
      </c>
      <c r="L10" s="15">
        <f>IFERROR(TR/(RadSpec!F10*IFSF_far_adj*CF_far_shellfish),".")</f>
        <v>1.0574175979209512E-2</v>
      </c>
      <c r="M10" s="15">
        <f>IFERROR((TR/(RadSpec!E10*IFS_far_adj*(1/1000)))*1,".")</f>
        <v>14.597368094532557</v>
      </c>
      <c r="N10" s="15">
        <f>IFERROR(IF(B10="H-3",(TR/(RadSpec!H10*IFA_far_adj*(1/17)*1000))*1,(TR/(RadSpec!H10*IFA_far_adj*(1/PEF_wind)*1000))*1),".")</f>
        <v>46661.044282825183</v>
      </c>
      <c r="O10" s="15">
        <f>IFERROR((TR/(RadSpec!G10*EF_far*(1/365)*ED_far*RadSpec!R10*((ET_far_o*(1/24)*RadSpec!W10)+(ET_far_i*(1/24)*RadSpec!AB10))))*1,".")</f>
        <v>70.059493018039817</v>
      </c>
      <c r="P10" s="15">
        <f>d_b2s!AC10</f>
        <v>5.3324995332092305E-2</v>
      </c>
      <c r="Q10" s="15">
        <f>IFERROR((F10/(RadSpec!AL10*((Q_p_poultry*f_p_poultry*f_s_poultry*(RadSpec!BD10+R_es_past))+(Q_s_poultry*f_p_poultry))))*1,".")</f>
        <v>5.7503448152676266E-2</v>
      </c>
      <c r="R10" s="15">
        <f>IFERROR((G10/(RadSpec!AM10*((Q_p_poultry*f_p_poultry*f_s_poultry*(RadSpec!BD10+R_es_past))+(Q_s_poultry*f_p_poultry))))*1,".")</f>
        <v>0.70247790332957372</v>
      </c>
      <c r="S10" s="15">
        <f>IFERROR((H10/(RadSpec!AI10*((Q_p_beef*f_p_beef*f_s_beef*(RadSpec!BD10+R_es_past))+(Q_s_beef*f_p_beef))))*1,".")</f>
        <v>9.4685258033003539E-2</v>
      </c>
      <c r="T10" s="15">
        <f>IFERROR(((I10*D_milk)/(RadSpec!AH10*((Q_p_dairy*f_p_dairy*f_s_dairy*(RadSpec!BD10+R_es_past))+(Q_s_dairy*f_p_dairy))))*1,".")</f>
        <v>5.0060554638653436E-2</v>
      </c>
      <c r="U10" s="15">
        <f>IFERROR((J10/(RadSpec!AN10*((Q_p_swine*f_p_swine*f_s_swine*(RadSpec!BD10+R_es_past))+(Q_s_swine*f_p_swine))))*1,".")</f>
        <v>4.2143274358611267E-2</v>
      </c>
      <c r="V10" s="15">
        <f>IFERROR(((K10*RadSpec!AU10)/RadSpec!AJ10)*1,".")</f>
        <v>5.5430669180074264E-5</v>
      </c>
      <c r="W10" s="15">
        <f>IFERROR(((L10*RadSpec!AU10)/RadSpec!AK10)*1,".")</f>
        <v>4.5974678170476136E-3</v>
      </c>
      <c r="X10" s="118">
        <f t="shared" ref="X10" si="65">IFERROR(1/M10,".")</f>
        <v>6.8505499999999997E-2</v>
      </c>
      <c r="Y10" s="118">
        <f t="shared" ref="Y10" si="66">IFERROR(1/N10,".")</f>
        <v>2.1431153446518043E-5</v>
      </c>
      <c r="Z10" s="118">
        <f t="shared" ref="Z10" si="67">IFERROR(1/O10,".")</f>
        <v>1.4273583163704985E-2</v>
      </c>
      <c r="AA10" s="118">
        <f t="shared" ref="AA10" si="68">IFERROR(1/P10,".")</f>
        <v>18.752931786909603</v>
      </c>
      <c r="AB10" s="118">
        <f t="shared" ref="AB10" si="69">IFERROR(1/Q10,".")</f>
        <v>17.39026149083999</v>
      </c>
      <c r="AC10" s="118">
        <f t="shared" ref="AC10" si="70">IFERROR(1/R10,".")</f>
        <v>1.4235323207466657</v>
      </c>
      <c r="AD10" s="118">
        <f t="shared" ref="AD10" si="71">IFERROR(1/S10,".")</f>
        <v>10.561306171351822</v>
      </c>
      <c r="AE10" s="118">
        <f t="shared" ref="AE10" si="72">IFERROR(1/T10,".")</f>
        <v>19.975807443968396</v>
      </c>
      <c r="AF10" s="118">
        <f t="shared" ref="AF10" si="73">IFERROR(1/U10,".")</f>
        <v>23.728578645566653</v>
      </c>
      <c r="AG10" s="118">
        <f t="shared" ref="AG10" si="74">IFERROR(1/V10,".")</f>
        <v>18040.554350000006</v>
      </c>
      <c r="AH10" s="118">
        <f t="shared" si="9"/>
        <v>217.51103864000001</v>
      </c>
      <c r="AI10" s="15">
        <f t="shared" si="21"/>
        <v>5.4495970399978586E-5</v>
      </c>
      <c r="AJ10" s="15">
        <f>IFERROR(TR/(RadSpec!I10*IFW_far_adj),".")</f>
        <v>1.0449786568543227</v>
      </c>
      <c r="AK10" s="15" t="str">
        <f>IFERROR(IF(AND(RadSpec!C10=1,RadSpec!D10&lt;&gt;0),TR/(RadSpec!H10*IFA_far_adj*K*RadSpec!D10),"."),".")</f>
        <v>.</v>
      </c>
      <c r="AL10" s="15">
        <f>IFERROR((TR/(RadSpec!M10*(1/8760)*DFA_far_adj)),".")</f>
        <v>407751622.81040215</v>
      </c>
      <c r="AM10" s="15">
        <f>d_b2w!AC10</f>
        <v>0.29631819187647696</v>
      </c>
      <c r="AN10" s="15">
        <f>IFERROR(F10/(RadSpec!AL10*Q_w_poultry*(1/1000)),".")</f>
        <v>11.309011470026325</v>
      </c>
      <c r="AO10" s="15">
        <f>IFERROR(G10/(RadSpec!AM10*Q_w_poultry*(1/1000)),".")</f>
        <v>138.15398765481604</v>
      </c>
      <c r="AP10" s="15">
        <f>IFERROR(H10/(RadSpec!AI10*Q_w_beef*(1/1000)),".")</f>
        <v>6.8509845977401769</v>
      </c>
      <c r="AQ10" s="15">
        <f>IFERROR((I10*D_milk)/(RadSpec!AH10*Q_w_dairy*(1/1000)),".")</f>
        <v>3.3473461444070582</v>
      </c>
      <c r="AR10" s="15">
        <f>IFERROR(J10/(RadSpec!AN10*Q_w_swine*(1/1000)),".")</f>
        <v>6.2906846666874374</v>
      </c>
      <c r="AS10" s="15">
        <f>IFERROR(K10/(RadSpec!AJ10*(1/1000)),".")</f>
        <v>5.5430669180074272E-3</v>
      </c>
      <c r="AT10" s="15">
        <f>IFERROR(L10/(RadSpec!AK10*(1/1000)),".")</f>
        <v>0.45974678170476141</v>
      </c>
      <c r="AU10" s="118">
        <f t="shared" ref="AU10" si="75">IFERROR(1/AJ10,".")</f>
        <v>0.95695734399999999</v>
      </c>
      <c r="AV10" s="118" t="str">
        <f t="shared" ref="AV10" si="76">IFERROR(1/AK10,".")</f>
        <v>.</v>
      </c>
      <c r="AW10" s="118">
        <f t="shared" ref="AW10" si="77">IFERROR(1/AL10,".")</f>
        <v>2.4524733785424656E-9</v>
      </c>
      <c r="AX10" s="118">
        <f t="shared" ref="AX10" si="78">IFERROR(1/AM10,".")</f>
        <v>3.3747506140860208</v>
      </c>
      <c r="AY10" s="118">
        <f t="shared" ref="AY10" si="79">IFERROR(1/AN10,".")</f>
        <v>8.8425058427999997E-2</v>
      </c>
      <c r="AZ10" s="118">
        <f t="shared" ref="AZ10" si="80">IFERROR(1/AO10,".")</f>
        <v>7.2382999360000025E-3</v>
      </c>
      <c r="BA10" s="118">
        <f t="shared" ref="BA10" si="81">IFERROR(1/AP10,".")</f>
        <v>0.14596442098699999</v>
      </c>
      <c r="BB10" s="118">
        <f t="shared" ref="BB10" si="82">IFERROR(1/AQ10,".")</f>
        <v>0.29874412649879623</v>
      </c>
      <c r="BC10" s="118">
        <f t="shared" ref="BC10" si="83">IFERROR(1/AR10,".")</f>
        <v>0.15896520855600002</v>
      </c>
      <c r="BD10" s="118">
        <f t="shared" ref="BD10" si="84">IFERROR(1/AS10,".")</f>
        <v>180.40554350000002</v>
      </c>
      <c r="BE10" s="118">
        <f t="shared" si="19"/>
        <v>2.1751103864000001</v>
      </c>
      <c r="BF10" s="15">
        <f t="shared" si="22"/>
        <v>5.3301580100611999E-3</v>
      </c>
      <c r="BG10" s="15">
        <f>IFERROR((TR/(RadSpec!H10*IFA_far_adj)),".")</f>
        <v>3.4326136744344427E-2</v>
      </c>
      <c r="BH10" s="15">
        <f>IFERROR((TR/(RadSpec!K10*EF_far*(1/365)*ED_far*ET_far*(1/24)*GSF_a)),".")</f>
        <v>16063.653859782458</v>
      </c>
      <c r="BI10" s="15">
        <f>IFERROR(IF(AND(BG10&lt;&gt;".",BH10&lt;&gt;"."),1/((1/BG10)+(1/BH10)),IF(AND(BG10&lt;&gt;".",BH10="."),1/((1/BG10)),IF(AND(BG10=".",BH10&lt;&gt;"."),1/((1/BH10)),IF(AND(BG10=".",BH10="."),".")))),".")</f>
        <v>3.4326063393588971E-2</v>
      </c>
    </row>
    <row r="11" spans="1:61" customFormat="1" x14ac:dyDescent="0.25">
      <c r="A11" s="3">
        <v>10</v>
      </c>
      <c r="B11" s="44" t="s">
        <v>21</v>
      </c>
      <c r="C11" s="42" t="s">
        <v>1071</v>
      </c>
      <c r="D11" s="42"/>
      <c r="E11" s="15" t="str">
        <f>d_dir!AC11</f>
        <v>.</v>
      </c>
      <c r="F11" s="15" t="str">
        <f>IFERROR(TR/(RadSpec!F11*IFP_far_adj*CF_far_poultry),".")</f>
        <v>.</v>
      </c>
      <c r="G11" s="15" t="str">
        <f>IFERROR(TR/(RadSpec!F11*IFE_far_adj*CF_far_egg),".")</f>
        <v>.</v>
      </c>
      <c r="H11" s="15" t="str">
        <f>IFERROR(TR/(RadSpec!F11*IFB_far_adj*CF_far_beef),".")</f>
        <v>.</v>
      </c>
      <c r="I11" s="15" t="str">
        <f>IFERROR(TR/(RadSpec!F11*IFD_far_adj*CF_far_dairy),".")</f>
        <v>.</v>
      </c>
      <c r="J11" s="15" t="str">
        <f>IFERROR(TR/(RadSpec!F11*IFSW_far_adj*CF_far_swine),".")</f>
        <v>.</v>
      </c>
      <c r="K11" s="15" t="str">
        <f>IFERROR(TR/(RadSpec!F11*IFFI_far_adj*CF_far_fish),".")</f>
        <v>.</v>
      </c>
      <c r="L11" s="15" t="str">
        <f>IFERROR(TR/(RadSpec!F11*IFSF_far_adj*CF_far_shellfish),".")</f>
        <v>.</v>
      </c>
      <c r="M11" s="15" t="str">
        <f>IFERROR((TR/(RadSpec!E11*IFS_far_adj*(1/1000)))*1,".")</f>
        <v>.</v>
      </c>
      <c r="N11" s="15" t="str">
        <f>IFERROR(IF(B11="H-3",(TR/(RadSpec!H11*IFA_far_adj*(1/17)*1000))*1,(TR/(RadSpec!H11*IFA_far_adj*(1/PEF_wind)*1000))*1),".")</f>
        <v>.</v>
      </c>
      <c r="O11" s="15">
        <f>IFERROR((TR/(RadSpec!G11*EF_far*(1/365)*ED_far*RadSpec!R11*((ET_far_o*(1/24)*RadSpec!W11)+(ET_far_i*(1/24)*RadSpec!AB11))))*1,".")</f>
        <v>0.36902160576317183</v>
      </c>
      <c r="P11" s="15" t="str">
        <f>d_b2s!AC11</f>
        <v>.</v>
      </c>
      <c r="Q11" s="15" t="str">
        <f>IFERROR((F11/(RadSpec!AL11*((Q_p_poultry*f_p_poultry*f_s_poultry*(RadSpec!BD11+R_es_past))+(Q_s_poultry*f_p_poultry))))*1,".")</f>
        <v>.</v>
      </c>
      <c r="R11" s="15" t="str">
        <f>IFERROR((G11/(RadSpec!AM11*((Q_p_poultry*f_p_poultry*f_s_poultry*(RadSpec!BD11+R_es_past))+(Q_s_poultry*f_p_poultry))))*1,".")</f>
        <v>.</v>
      </c>
      <c r="S11" s="15" t="str">
        <f>IFERROR((H11/(RadSpec!AI11*((Q_p_beef*f_p_beef*f_s_beef*(RadSpec!BD11+R_es_past))+(Q_s_beef*f_p_beef))))*1,".")</f>
        <v>.</v>
      </c>
      <c r="T11" s="15" t="str">
        <f>IFERROR(((I11*D_milk)/(RadSpec!AH11*((Q_p_dairy*f_p_dairy*f_s_dairy*(RadSpec!BD11+R_es_past))+(Q_s_dairy*f_p_dairy))))*1,".")</f>
        <v>.</v>
      </c>
      <c r="U11" s="15" t="str">
        <f>IFERROR((J11/(RadSpec!AN11*((Q_p_swine*f_p_swine*f_s_swine*(RadSpec!BD11+R_es_past))+(Q_s_swine*f_p_swine))))*1,".")</f>
        <v>.</v>
      </c>
      <c r="V11" s="15" t="str">
        <f>IFERROR(((K11*RadSpec!AU11)/RadSpec!AJ11)*1,".")</f>
        <v>.</v>
      </c>
      <c r="W11" s="15" t="str">
        <f>IFERROR(((L11*RadSpec!AU11)/RadSpec!AK11)*1,".")</f>
        <v>.</v>
      </c>
      <c r="X11" s="118" t="str">
        <f t="shared" ref="X11" si="85">IFERROR(1/M11,".")</f>
        <v>.</v>
      </c>
      <c r="Y11" s="118" t="str">
        <f t="shared" ref="Y11" si="86">IFERROR(1/N11,".")</f>
        <v>.</v>
      </c>
      <c r="Z11" s="118">
        <f t="shared" ref="Z11" si="87">IFERROR(1/O11,".")</f>
        <v>2.7098684315025534</v>
      </c>
      <c r="AA11" s="118" t="str">
        <f t="shared" ref="AA11" si="88">IFERROR(1/P11,".")</f>
        <v>.</v>
      </c>
      <c r="AB11" s="118" t="str">
        <f t="shared" ref="AB11" si="89">IFERROR(1/Q11,".")</f>
        <v>.</v>
      </c>
      <c r="AC11" s="118" t="str">
        <f t="shared" ref="AC11" si="90">IFERROR(1/R11,".")</f>
        <v>.</v>
      </c>
      <c r="AD11" s="118" t="str">
        <f t="shared" ref="AD11" si="91">IFERROR(1/S11,".")</f>
        <v>.</v>
      </c>
      <c r="AE11" s="118" t="str">
        <f t="shared" ref="AE11" si="92">IFERROR(1/T11,".")</f>
        <v>.</v>
      </c>
      <c r="AF11" s="118" t="str">
        <f t="shared" ref="AF11" si="93">IFERROR(1/U11,".")</f>
        <v>.</v>
      </c>
      <c r="AG11" s="118" t="str">
        <f t="shared" ref="AG11" si="94">IFERROR(1/V11,".")</f>
        <v>.</v>
      </c>
      <c r="AH11" s="118" t="str">
        <f t="shared" si="9"/>
        <v>.</v>
      </c>
      <c r="AI11" s="15">
        <f t="shared" si="21"/>
        <v>0.36902160576317178</v>
      </c>
      <c r="AJ11" s="15" t="str">
        <f>IFERROR(TR/(RadSpec!I11*IFW_far_adj),".")</f>
        <v>.</v>
      </c>
      <c r="AK11" s="15" t="str">
        <f>IFERROR(IF(AND(RadSpec!C11=1,RadSpec!D11&lt;&gt;0),TR/(RadSpec!H11*IFA_far_adj*K*RadSpec!D11),"."),".")</f>
        <v>.</v>
      </c>
      <c r="AL11" s="15">
        <f>IFERROR((TR/(RadSpec!M11*(1/8760)*DFA_far_adj)),".")</f>
        <v>3607756.2939906539</v>
      </c>
      <c r="AM11" s="15" t="str">
        <f>d_b2w!AC11</f>
        <v>.</v>
      </c>
      <c r="AN11" s="15" t="str">
        <f>IFERROR(F11/(RadSpec!AL11*Q_w_poultry*(1/1000)),".")</f>
        <v>.</v>
      </c>
      <c r="AO11" s="15" t="str">
        <f>IFERROR(G11/(RadSpec!AM11*Q_w_poultry*(1/1000)),".")</f>
        <v>.</v>
      </c>
      <c r="AP11" s="15" t="str">
        <f>IFERROR(H11/(RadSpec!AI11*Q_w_beef*(1/1000)),".")</f>
        <v>.</v>
      </c>
      <c r="AQ11" s="15" t="str">
        <f>IFERROR((I11*D_milk)/(RadSpec!AH11*Q_w_dairy*(1/1000)),".")</f>
        <v>.</v>
      </c>
      <c r="AR11" s="15" t="str">
        <f>IFERROR(J11/(RadSpec!AN11*Q_w_swine*(1/1000)),".")</f>
        <v>.</v>
      </c>
      <c r="AS11" s="15" t="str">
        <f>IFERROR(K11/(RadSpec!AJ11*(1/1000)),".")</f>
        <v>.</v>
      </c>
      <c r="AT11" s="15" t="str">
        <f>IFERROR(L11/(RadSpec!AK11*(1/1000)),".")</f>
        <v>.</v>
      </c>
      <c r="AU11" s="118" t="str">
        <f t="shared" ref="AU11" si="95">IFERROR(1/AJ11,".")</f>
        <v>.</v>
      </c>
      <c r="AV11" s="118" t="str">
        <f t="shared" ref="AV11" si="96">IFERROR(1/AK11,".")</f>
        <v>.</v>
      </c>
      <c r="AW11" s="118">
        <f t="shared" ref="AW11" si="97">IFERROR(1/AL11,".")</f>
        <v>2.7718058497068499E-7</v>
      </c>
      <c r="AX11" s="118" t="str">
        <f t="shared" ref="AX11" si="98">IFERROR(1/AM11,".")</f>
        <v>.</v>
      </c>
      <c r="AY11" s="118" t="str">
        <f t="shared" ref="AY11" si="99">IFERROR(1/AN11,".")</f>
        <v>.</v>
      </c>
      <c r="AZ11" s="118" t="str">
        <f t="shared" ref="AZ11" si="100">IFERROR(1/AO11,".")</f>
        <v>.</v>
      </c>
      <c r="BA11" s="118" t="str">
        <f t="shared" ref="BA11" si="101">IFERROR(1/AP11,".")</f>
        <v>.</v>
      </c>
      <c r="BB11" s="118" t="str">
        <f t="shared" ref="BB11" si="102">IFERROR(1/AQ11,".")</f>
        <v>.</v>
      </c>
      <c r="BC11" s="118" t="str">
        <f t="shared" ref="BC11" si="103">IFERROR(1/AR11,".")</f>
        <v>.</v>
      </c>
      <c r="BD11" s="118" t="str">
        <f t="shared" ref="BD11" si="104">IFERROR(1/AS11,".")</f>
        <v>.</v>
      </c>
      <c r="BE11" s="118" t="str">
        <f t="shared" si="19"/>
        <v>.</v>
      </c>
      <c r="BF11" s="15">
        <f t="shared" si="22"/>
        <v>3607756.2939906539</v>
      </c>
      <c r="BG11" s="15" t="str">
        <f>IFERROR((TR/(RadSpec!H11*IFA_far_adj)),".")</f>
        <v>.</v>
      </c>
      <c r="BH11" s="15">
        <f>IFERROR((TR/(RadSpec!K11*EF_far*(1/365)*ED_far*ET_far*(1/24)*GSF_a)),".")</f>
        <v>226.2257230506344</v>
      </c>
      <c r="BI11" s="15">
        <f>IFERROR(IF(AND(BG11&lt;&gt;".",BH11&lt;&gt;"."),1/((1/BG11)+(1/BH11)),IF(AND(BG11&lt;&gt;".",BH11="."),1/((1/BG11)),IF(AND(BG11=".",BH11&lt;&gt;"."),1/((1/BH11)),IF(AND(BG11=".",BH11="."),".")))),".")</f>
        <v>226.2257230506344</v>
      </c>
    </row>
    <row r="12" spans="1:61" customFormat="1" x14ac:dyDescent="0.25">
      <c r="A12" s="3">
        <v>11</v>
      </c>
      <c r="B12" s="44" t="s">
        <v>22</v>
      </c>
      <c r="C12" s="248" t="s">
        <v>1071</v>
      </c>
      <c r="D12" s="249"/>
      <c r="E12" s="15" t="str">
        <f>d_dir!AC12</f>
        <v>.</v>
      </c>
      <c r="F12" s="15" t="str">
        <f>IFERROR(TR/(RadSpec!F12*IFP_far_adj*CF_far_poultry),".")</f>
        <v>.</v>
      </c>
      <c r="G12" s="15" t="str">
        <f>IFERROR(TR/(RadSpec!F12*IFE_far_adj*CF_far_egg),".")</f>
        <v>.</v>
      </c>
      <c r="H12" s="15" t="str">
        <f>IFERROR(TR/(RadSpec!F12*IFB_far_adj*CF_far_beef),".")</f>
        <v>.</v>
      </c>
      <c r="I12" s="15" t="str">
        <f>IFERROR(TR/(RadSpec!F12*IFD_far_adj*CF_far_dairy),".")</f>
        <v>.</v>
      </c>
      <c r="J12" s="15" t="str">
        <f>IFERROR(TR/(RadSpec!F12*IFSW_far_adj*CF_far_swine),".")</f>
        <v>.</v>
      </c>
      <c r="K12" s="15" t="str">
        <f>IFERROR(TR/(RadSpec!F12*IFFI_far_adj*CF_far_fish),".")</f>
        <v>.</v>
      </c>
      <c r="L12" s="15" t="str">
        <f>IFERROR(TR/(RadSpec!F12*IFSF_far_adj*CF_far_shellfish),".")</f>
        <v>.</v>
      </c>
      <c r="M12" s="15" t="str">
        <f>IFERROR((TR/(RadSpec!E12*IFS_far_adj*(1/1000)))*1,".")</f>
        <v>.</v>
      </c>
      <c r="N12" s="15" t="str">
        <f>IFERROR(IF(B12="H-3",(TR/(RadSpec!H12*IFA_far_adj*(1/17)*1000))*1,(TR/(RadSpec!H12*IFA_far_adj*(1/PEF_wind)*1000))*1),".")</f>
        <v>.</v>
      </c>
      <c r="O12" s="15">
        <f>IFERROR((TR/(RadSpec!G12*EF_far*(1/365)*ED_far*RadSpec!R12*((ET_far_o*(1/24)*RadSpec!W12)+(ET_far_i*(1/24)*RadSpec!AB12))))*1,".")</f>
        <v>8.004381690225322E-2</v>
      </c>
      <c r="P12" s="15" t="str">
        <f>d_b2s!AC12</f>
        <v>.</v>
      </c>
      <c r="Q12" s="15" t="str">
        <f>IFERROR((F12/(RadSpec!AL12*((Q_p_poultry*f_p_poultry*f_s_poultry*(RadSpec!BD12+R_es_past))+(Q_s_poultry*f_p_poultry))))*1,".")</f>
        <v>.</v>
      </c>
      <c r="R12" s="15" t="str">
        <f>IFERROR((G12/(RadSpec!AM12*((Q_p_poultry*f_p_poultry*f_s_poultry*(RadSpec!BD12+R_es_past))+(Q_s_poultry*f_p_poultry))))*1,".")</f>
        <v>.</v>
      </c>
      <c r="S12" s="15" t="str">
        <f>IFERROR((H12/(RadSpec!AI12*((Q_p_beef*f_p_beef*f_s_beef*(RadSpec!BD12+R_es_past))+(Q_s_beef*f_p_beef))))*1,".")</f>
        <v>.</v>
      </c>
      <c r="T12" s="15" t="str">
        <f>IFERROR(((I12*D_milk)/(RadSpec!AH12*((Q_p_dairy*f_p_dairy*f_s_dairy*(RadSpec!BD12+R_es_past))+(Q_s_dairy*f_p_dairy))))*1,".")</f>
        <v>.</v>
      </c>
      <c r="U12" s="15" t="str">
        <f>IFERROR((J12/(RadSpec!AN12*((Q_p_swine*f_p_swine*f_s_swine*(RadSpec!BD12+R_es_past))+(Q_s_swine*f_p_swine))))*1,".")</f>
        <v>.</v>
      </c>
      <c r="V12" s="15" t="str">
        <f>IFERROR(((K12*RadSpec!AU12)/RadSpec!AJ12)*1,".")</f>
        <v>.</v>
      </c>
      <c r="W12" s="15" t="str">
        <f>IFERROR(((L12*RadSpec!AU12)/RadSpec!AK12)*1,".")</f>
        <v>.</v>
      </c>
      <c r="X12" s="118" t="str">
        <f t="shared" ref="X12" si="105">IFERROR(1/M12,".")</f>
        <v>.</v>
      </c>
      <c r="Y12" s="118" t="str">
        <f t="shared" ref="Y12" si="106">IFERROR(1/N12,".")</f>
        <v>.</v>
      </c>
      <c r="Z12" s="118">
        <f t="shared" ref="Z12" si="107">IFERROR(1/O12,".")</f>
        <v>12.493157356815779</v>
      </c>
      <c r="AA12" s="118" t="str">
        <f t="shared" ref="AA12" si="108">IFERROR(1/P12,".")</f>
        <v>.</v>
      </c>
      <c r="AB12" s="118" t="str">
        <f t="shared" ref="AB12" si="109">IFERROR(1/Q12,".")</f>
        <v>.</v>
      </c>
      <c r="AC12" s="118" t="str">
        <f t="shared" ref="AC12" si="110">IFERROR(1/R12,".")</f>
        <v>.</v>
      </c>
      <c r="AD12" s="118" t="str">
        <f t="shared" ref="AD12" si="111">IFERROR(1/S12,".")</f>
        <v>.</v>
      </c>
      <c r="AE12" s="118" t="str">
        <f t="shared" ref="AE12" si="112">IFERROR(1/T12,".")</f>
        <v>.</v>
      </c>
      <c r="AF12" s="118" t="str">
        <f t="shared" ref="AF12" si="113">IFERROR(1/U12,".")</f>
        <v>.</v>
      </c>
      <c r="AG12" s="118" t="str">
        <f t="shared" ref="AG12" si="114">IFERROR(1/V12,".")</f>
        <v>.</v>
      </c>
      <c r="AH12" s="118" t="str">
        <f t="shared" si="9"/>
        <v>.</v>
      </c>
      <c r="AI12" s="15">
        <f t="shared" si="21"/>
        <v>8.004381690225322E-2</v>
      </c>
      <c r="AJ12" s="15" t="str">
        <f>IFERROR(TR/(RadSpec!I12*IFW_far_adj),".")</f>
        <v>.</v>
      </c>
      <c r="AK12" s="15" t="str">
        <f>IFERROR(IF(AND(RadSpec!C12=1,RadSpec!D12&lt;&gt;0),TR/(RadSpec!H12*IFA_far_adj*K*RadSpec!D12),"."),".")</f>
        <v>.</v>
      </c>
      <c r="AL12" s="15">
        <f>IFERROR((TR/(RadSpec!M12*(1/8760)*DFA_far_adj)),".")</f>
        <v>846360.1251848347</v>
      </c>
      <c r="AM12" s="15" t="str">
        <f>d_b2w!AC12</f>
        <v>.</v>
      </c>
      <c r="AN12" s="15" t="str">
        <f>IFERROR(F12/(RadSpec!AL12*Q_w_poultry*(1/1000)),".")</f>
        <v>.</v>
      </c>
      <c r="AO12" s="15" t="str">
        <f>IFERROR(G12/(RadSpec!AM12*Q_w_poultry*(1/1000)),".")</f>
        <v>.</v>
      </c>
      <c r="AP12" s="15" t="str">
        <f>IFERROR(H12/(RadSpec!AI12*Q_w_beef*(1/1000)),".")</f>
        <v>.</v>
      </c>
      <c r="AQ12" s="15" t="str">
        <f>IFERROR((I12*D_milk)/(RadSpec!AH12*Q_w_dairy*(1/1000)),".")</f>
        <v>.</v>
      </c>
      <c r="AR12" s="15" t="str">
        <f>IFERROR(J12/(RadSpec!AN12*Q_w_swine*(1/1000)),".")</f>
        <v>.</v>
      </c>
      <c r="AS12" s="15" t="str">
        <f>IFERROR(K12/(RadSpec!AJ12*(1/1000)),".")</f>
        <v>.</v>
      </c>
      <c r="AT12" s="15" t="str">
        <f>IFERROR(L12/(RadSpec!AK12*(1/1000)),".")</f>
        <v>.</v>
      </c>
      <c r="AU12" s="118" t="str">
        <f t="shared" ref="AU12" si="115">IFERROR(1/AJ12,".")</f>
        <v>.</v>
      </c>
      <c r="AV12" s="118" t="str">
        <f t="shared" ref="AV12" si="116">IFERROR(1/AK12,".")</f>
        <v>.</v>
      </c>
      <c r="AW12" s="118">
        <f t="shared" ref="AW12" si="117">IFERROR(1/AL12,".")</f>
        <v>1.181530143308219E-6</v>
      </c>
      <c r="AX12" s="118" t="str">
        <f t="shared" ref="AX12" si="118">IFERROR(1/AM12,".")</f>
        <v>.</v>
      </c>
      <c r="AY12" s="118" t="str">
        <f t="shared" ref="AY12" si="119">IFERROR(1/AN12,".")</f>
        <v>.</v>
      </c>
      <c r="AZ12" s="118" t="str">
        <f t="shared" ref="AZ12" si="120">IFERROR(1/AO12,".")</f>
        <v>.</v>
      </c>
      <c r="BA12" s="118" t="str">
        <f t="shared" ref="BA12" si="121">IFERROR(1/AP12,".")</f>
        <v>.</v>
      </c>
      <c r="BB12" s="118" t="str">
        <f t="shared" ref="BB12" si="122">IFERROR(1/AQ12,".")</f>
        <v>.</v>
      </c>
      <c r="BC12" s="118" t="str">
        <f t="shared" ref="BC12" si="123">IFERROR(1/AR12,".")</f>
        <v>.</v>
      </c>
      <c r="BD12" s="118" t="str">
        <f t="shared" ref="BD12" si="124">IFERROR(1/AS12,".")</f>
        <v>.</v>
      </c>
      <c r="BE12" s="118" t="str">
        <f t="shared" si="19"/>
        <v>.</v>
      </c>
      <c r="BF12" s="15">
        <f t="shared" si="22"/>
        <v>846360.12518483482</v>
      </c>
      <c r="BG12" s="15" t="str">
        <f>IFERROR((TR/(RadSpec!H12*IFA_far_adj)),".")</f>
        <v>.</v>
      </c>
      <c r="BH12" s="15">
        <f>IFERROR((TR/(RadSpec!K12*EF_far*(1/365)*ED_far*ET_far*(1/24)*GSF_a)),".")</f>
        <v>52.537597329641464</v>
      </c>
      <c r="BI12" s="15">
        <f>IFERROR(IF(AND(BG12&lt;&gt;".",BH12&lt;&gt;"."),1/((1/BG12)+(1/BH12)),IF(AND(BG12&lt;&gt;".",BH12="."),1/((1/BG12)),IF(AND(BG12=".",BH12&lt;&gt;"."),1/((1/BH12)),IF(AND(BG12=".",BH12="."),".")))),".")</f>
        <v>52.537597329641464</v>
      </c>
    </row>
    <row r="13" spans="1:61" customFormat="1" x14ac:dyDescent="0.25">
      <c r="A13" s="3">
        <v>12</v>
      </c>
      <c r="B13" s="44" t="s">
        <v>23</v>
      </c>
      <c r="C13" s="42" t="s">
        <v>1071</v>
      </c>
      <c r="D13" s="42"/>
      <c r="E13" s="15">
        <f>d_dir!AC13</f>
        <v>6.0899913718171525E-4</v>
      </c>
      <c r="F13" s="15">
        <f>IFERROR(TR/(RadSpec!F13*IFP_far_adj*CF_far_poultry),".")</f>
        <v>5.5070846926360334E-3</v>
      </c>
      <c r="G13" s="15">
        <f>IFERROR(TR/(RadSpec!F13*IFE_far_adj*CF_far_egg),".")</f>
        <v>9.9668233950974457E-3</v>
      </c>
      <c r="H13" s="15">
        <f>IFERROR(TR/(RadSpec!F13*IFB_far_adj*CF_far_beef),".")</f>
        <v>3.6018439827565601E-3</v>
      </c>
      <c r="I13" s="15">
        <f>IFERROR(TR/(RadSpec!F13*IFD_far_adj*CF_far_dairy),".")</f>
        <v>6.201295324186018E-4</v>
      </c>
      <c r="J13" s="15">
        <f>IFERROR(TR/(RadSpec!F13*IFSW_far_adj*CF_far_swine),".")</f>
        <v>6.467048504664211E-3</v>
      </c>
      <c r="K13" s="15">
        <f>IFERROR(TR/(RadSpec!F13*IFFI_far_adj*CF_far_fish),".")</f>
        <v>6.2483231999860512E-3</v>
      </c>
      <c r="L13" s="15">
        <f>IFERROR(TR/(RadSpec!F13*IFSF_far_adj*CF_far_shellfish),".")</f>
        <v>4.7678204191971456E-3</v>
      </c>
      <c r="M13" s="15">
        <f>IFERROR((TR/(RadSpec!E13*IFS_far_adj*(1/1000)))*1,".")</f>
        <v>4.9812977177188245</v>
      </c>
      <c r="N13" s="15">
        <f>IFERROR(IF(B13="H-3",(TR/(RadSpec!H13*IFA_far_adj*(1/17)*1000))*1,(TR/(RadSpec!H13*IFA_far_adj*(1/PEF_wind)*1000))*1),".")</f>
        <v>183.03170918682395</v>
      </c>
      <c r="O13" s="15">
        <f>IFERROR((TR/(RadSpec!G13*EF_far*(1/365)*ED_far*RadSpec!R13*((ET_far_o*(1/24)*RadSpec!W13)+(ET_far_i*(1/24)*RadSpec!AB13))))*1,".")</f>
        <v>0.74803928211135051</v>
      </c>
      <c r="P13" s="15">
        <f>d_b2s!AC13</f>
        <v>5.8701453844350091E-2</v>
      </c>
      <c r="Q13" s="15" t="str">
        <f>IFERROR((F13/(RadSpec!AL13*((Q_p_poultry*f_p_poultry*f_s_poultry*(RadSpec!BD13+R_es_past))+(Q_s_poultry*f_p_poultry))))*1,".")</f>
        <v>.</v>
      </c>
      <c r="R13" s="15" t="str">
        <f>IFERROR((G13/(RadSpec!AM13*((Q_p_poultry*f_p_poultry*f_s_poultry*(RadSpec!BD13+R_es_past))+(Q_s_poultry*f_p_poultry))))*1,".")</f>
        <v>.</v>
      </c>
      <c r="S13" s="15">
        <f>IFERROR((H13/(RadSpec!AI13*((Q_p_beef*f_p_beef*f_s_beef*(RadSpec!BD13+R_es_past))+(Q_s_beef*f_p_beef))))*1,".")</f>
        <v>10.344973718329646</v>
      </c>
      <c r="T13" s="15">
        <f>IFERROR(((I13*D_milk)/(RadSpec!AH13*((Q_p_dairy*f_p_dairy*f_s_dairy*(RadSpec!BD13+R_es_past))+(Q_s_dairy*f_p_dairy))))*1,".")</f>
        <v>115.23937065031753</v>
      </c>
      <c r="U13" s="15" t="str">
        <f>IFERROR((J13/(RadSpec!AN13*((Q_p_swine*f_p_swine*f_s_swine*(RadSpec!BD13+R_es_past))+(Q_s_swine*f_p_swine))))*1,".")</f>
        <v>.</v>
      </c>
      <c r="V13" s="15">
        <f>IFERROR(((K13*RadSpec!AU13)/RadSpec!AJ13)*1,".")</f>
        <v>4.1655487999907011E-5</v>
      </c>
      <c r="W13" s="15">
        <f>IFERROR(((L13*RadSpec!AU13)/RadSpec!AK13)*1,".")</f>
        <v>1.0037516671993991E-7</v>
      </c>
      <c r="X13" s="118">
        <f t="shared" ref="X13:X14" si="125">IFERROR(1/M13,".")</f>
        <v>0.20075090000000001</v>
      </c>
      <c r="Y13" s="118">
        <f t="shared" ref="Y13:Y14" si="126">IFERROR(1/N13,".")</f>
        <v>5.4635341845564091E-3</v>
      </c>
      <c r="Z13" s="118">
        <f t="shared" ref="Z13:Z14" si="127">IFERROR(1/O13,".")</f>
        <v>1.3368281905964712</v>
      </c>
      <c r="AA13" s="118">
        <f t="shared" ref="AA13:AA14" si="128">IFERROR(1/P13,".")</f>
        <v>17.035353206950397</v>
      </c>
      <c r="AB13" s="118" t="str">
        <f t="shared" ref="AB13:AB14" si="129">IFERROR(1/Q13,".")</f>
        <v>.</v>
      </c>
      <c r="AC13" s="118" t="str">
        <f t="shared" ref="AC13:AC14" si="130">IFERROR(1/R13,".")</f>
        <v>.</v>
      </c>
      <c r="AD13" s="118">
        <f t="shared" ref="AD13:AD14" si="131">IFERROR(1/S13,".")</f>
        <v>9.6665301162453338E-2</v>
      </c>
      <c r="AE13" s="118">
        <f t="shared" ref="AE13:AE14" si="132">IFERROR(1/T13,".")</f>
        <v>8.6775899100872481E-3</v>
      </c>
      <c r="AF13" s="118" t="str">
        <f t="shared" ref="AF13:AF14" si="133">IFERROR(1/U13,".")</f>
        <v>.</v>
      </c>
      <c r="AG13" s="118">
        <f t="shared" ref="AG13:AG14" si="134">IFERROR(1/V13,".")</f>
        <v>24006.440640000001</v>
      </c>
      <c r="AH13" s="118">
        <f t="shared" si="9"/>
        <v>9962623.5520000011</v>
      </c>
      <c r="AI13" s="15">
        <f t="shared" si="21"/>
        <v>1.001336917323712E-7</v>
      </c>
      <c r="AJ13" s="15">
        <f>IFERROR(TR/(RadSpec!I13*IFW_far_adj),".")</f>
        <v>0.51253715074283446</v>
      </c>
      <c r="AK13" s="15" t="str">
        <f>IFERROR(IF(AND(RadSpec!C13=1,RadSpec!D13&lt;&gt;0),TR/(RadSpec!H13*IFA_far_adj*K*RadSpec!D13),"."),".")</f>
        <v>.</v>
      </c>
      <c r="AL13" s="15">
        <f>IFERROR((TR/(RadSpec!M13*(1/8760)*DFA_far_adj)),".")</f>
        <v>5325735.4816052523</v>
      </c>
      <c r="AM13" s="15">
        <f>d_b2w!AC13</f>
        <v>0.15176675539748552</v>
      </c>
      <c r="AN13" s="15" t="str">
        <f>IFERROR(F13/(RadSpec!AL13*Q_w_poultry*(1/1000)),".")</f>
        <v>.</v>
      </c>
      <c r="AO13" s="15" t="str">
        <f>IFERROR(G13/(RadSpec!AM13*Q_w_poultry*(1/1000)),".")</f>
        <v>.</v>
      </c>
      <c r="AP13" s="15">
        <f>IFERROR(H13/(RadSpec!AI13*Q_w_beef*(1/1000)),".")</f>
        <v>679.59320429369063</v>
      </c>
      <c r="AQ13" s="15">
        <f>IFERROR((I13*D_milk)/(RadSpec!AH13*Q_w_dairy*(1/1000)),".")</f>
        <v>6942.7545477299982</v>
      </c>
      <c r="AR13" s="15" t="str">
        <f>IFERROR(J13/(RadSpec!AN13*Q_w_swine*(1/1000)),".")</f>
        <v>.</v>
      </c>
      <c r="AS13" s="15">
        <f>IFERROR(K13/(RadSpec!AJ13*(1/1000)),".")</f>
        <v>0.20827743999953505</v>
      </c>
      <c r="AT13" s="15">
        <f>IFERROR(L13/(RadSpec!AK13*(1/1000)),".")</f>
        <v>5.0187583359969951E-4</v>
      </c>
      <c r="AU13" s="118">
        <f t="shared" ref="AU13:AU14" si="135">IFERROR(1/AJ13,".")</f>
        <v>1.95107808</v>
      </c>
      <c r="AV13" s="118" t="str">
        <f t="shared" ref="AV13:AV14" si="136">IFERROR(1/AK13,".")</f>
        <v>.</v>
      </c>
      <c r="AW13" s="118">
        <f t="shared" ref="AW13:AW14" si="137">IFERROR(1/AL13,".")</f>
        <v>1.8776749304465751E-7</v>
      </c>
      <c r="AX13" s="118">
        <f t="shared" ref="AX13:AX14" si="138">IFERROR(1/AM13,".")</f>
        <v>6.5890583045077609</v>
      </c>
      <c r="AY13" s="118" t="str">
        <f t="shared" ref="AY13:AY14" si="139">IFERROR(1/AN13,".")</f>
        <v>.</v>
      </c>
      <c r="AZ13" s="118" t="str">
        <f t="shared" ref="AZ13:AZ14" si="140">IFERROR(1/AO13,".")</f>
        <v>.</v>
      </c>
      <c r="BA13" s="118">
        <f t="shared" ref="BA13:BA14" si="141">IFERROR(1/AP13,".")</f>
        <v>1.4714685104000003E-3</v>
      </c>
      <c r="BB13" s="118">
        <f t="shared" ref="BB13:BB14" si="142">IFERROR(1/AQ13,".")</f>
        <v>1.4403505022757285E-4</v>
      </c>
      <c r="BC13" s="118" t="str">
        <f t="shared" ref="BC13:BC14" si="143">IFERROR(1/AR13,".")</f>
        <v>.</v>
      </c>
      <c r="BD13" s="118">
        <f t="shared" ref="BD13:BD14" si="144">IFERROR(1/AS13,".")</f>
        <v>4.8012881280000004</v>
      </c>
      <c r="BE13" s="118">
        <f t="shared" si="19"/>
        <v>1992.5247104000002</v>
      </c>
      <c r="BF13" s="15">
        <f t="shared" si="22"/>
        <v>4.9853735357127367E-4</v>
      </c>
      <c r="BG13" s="15">
        <f>IFERROR((TR/(RadSpec!H13*IFA_far_adj)),".")</f>
        <v>1.3464703961652523E-4</v>
      </c>
      <c r="BH13" s="15">
        <f>IFERROR((TR/(RadSpec!K13*EF_far*(1/365)*ED_far*ET_far*(1/24)*GSF_a)),".")</f>
        <v>339.85508166054217</v>
      </c>
      <c r="BI13" s="15">
        <f>IFERROR(IF(AND(BG13&lt;&gt;".",BH13&lt;&gt;"."),1/((1/BG13)+(1/BH13)),IF(AND(BG13&lt;&gt;".",BH13="."),1/((1/BG13)),IF(AND(BG13=".",BH13&lt;&gt;"."),1/((1/BH13)),IF(AND(BG13=".",BH13="."),".")))),".")</f>
        <v>1.3464698627079326E-4</v>
      </c>
    </row>
    <row r="14" spans="1:61" customFormat="1" x14ac:dyDescent="0.25">
      <c r="A14" s="3">
        <v>13</v>
      </c>
      <c r="B14" s="44" t="s">
        <v>24</v>
      </c>
      <c r="C14" s="42" t="s">
        <v>1071</v>
      </c>
      <c r="D14" s="42"/>
      <c r="E14" s="15">
        <f>d_dir!AC14</f>
        <v>5.6370168069712484E-3</v>
      </c>
      <c r="F14" s="15">
        <f>IFERROR(TR/(RadSpec!F14*IFP_far_adj*CF_far_poultry),".")</f>
        <v>5.0974668229358332E-2</v>
      </c>
      <c r="G14" s="15">
        <f>IFERROR(TR/(RadSpec!F14*IFE_far_adj*CF_far_egg),".")</f>
        <v>9.2254894235612728E-2</v>
      </c>
      <c r="H14" s="15">
        <f>IFERROR(TR/(RadSpec!F14*IFB_far_adj*CF_far_beef),".")</f>
        <v>3.3339382319730153E-2</v>
      </c>
      <c r="I14" s="15">
        <f>IFERROR(TR/(RadSpec!F14*IFD_far_adj*CF_far_dairy),".")</f>
        <v>5.7400419529655706E-3</v>
      </c>
      <c r="J14" s="15">
        <f>IFERROR(TR/(RadSpec!F14*IFSW_far_adj*CF_far_swine),".")</f>
        <v>5.9860283679536504E-2</v>
      </c>
      <c r="K14" s="15">
        <f>IFERROR(TR/(RadSpec!F14*IFFI_far_adj*CF_far_fish),".")</f>
        <v>5.7835718875903948E-2</v>
      </c>
      <c r="L14" s="15">
        <f>IFERROR(TR/(RadSpec!F14*IFSF_far_adj*CF_far_shellfish),".")</f>
        <v>4.4131891483477716E-2</v>
      </c>
      <c r="M14" s="15">
        <f>IFERROR((TR/(RadSpec!E14*IFS_far_adj*(1/1000)))*1,".")</f>
        <v>37.723535525196489</v>
      </c>
      <c r="N14" s="15">
        <f>IFERROR(IF(B14="H-3",(TR/(RadSpec!H14*IFA_far_adj*(1/17)*1000))*1,(TR/(RadSpec!H14*IFA_far_adj*(1/PEF_wind)*1000))*1),".")</f>
        <v>343461.43975735729</v>
      </c>
      <c r="O14" s="15">
        <f>IFERROR((TR/(RadSpec!G14*EF_far*(1/365)*ED_far*RadSpec!R14*((ET_far_o*(1/24)*RadSpec!W14)+(ET_far_i*(1/24)*RadSpec!AB14))))*1,".")</f>
        <v>4.8165901449902376E-2</v>
      </c>
      <c r="P14" s="15">
        <f>d_b2s!AC14</f>
        <v>0.51968638484041607</v>
      </c>
      <c r="Q14" s="15" t="str">
        <f>IFERROR((F14/(RadSpec!AL14*((Q_p_poultry*f_p_poultry*f_s_poultry*(RadSpec!BD14+R_es_past))+(Q_s_poultry*f_p_poultry))))*1,".")</f>
        <v>.</v>
      </c>
      <c r="R14" s="15" t="str">
        <f>IFERROR((G14/(RadSpec!AM14*((Q_p_poultry*f_p_poultry*f_s_poultry*(RadSpec!BD14+R_es_past))+(Q_s_poultry*f_p_poultry))))*1,".")</f>
        <v>.</v>
      </c>
      <c r="S14" s="15">
        <f>IFERROR((H14/(RadSpec!AI14*((Q_p_beef*f_p_beef*f_s_beef*(RadSpec!BD14+R_es_past))+(Q_s_beef*f_p_beef))))*1,".")</f>
        <v>1443.4195181179848</v>
      </c>
      <c r="T14" s="15">
        <f>IFERROR(((I14*D_milk)/(RadSpec!AH14*((Q_p_dairy*f_p_dairy*f_s_dairy*(RadSpec!BD14+R_es_past))+(Q_s_dairy*f_p_dairy))))*1,".")</f>
        <v>157.55478245315223</v>
      </c>
      <c r="U14" s="15" t="str">
        <f>IFERROR((J14/(RadSpec!AN14*((Q_p_swine*f_p_swine*f_s_swine*(RadSpec!BD14+R_es_past))+(Q_s_swine*f_p_swine))))*1,".")</f>
        <v>.</v>
      </c>
      <c r="V14" s="15">
        <f>IFERROR(((K14*RadSpec!AU14)/RadSpec!AJ14)*1,".")</f>
        <v>11.56714377518079</v>
      </c>
      <c r="W14" s="15" t="str">
        <f>IFERROR(((L14*RadSpec!AU14)/RadSpec!AK14)*1,".")</f>
        <v>.</v>
      </c>
      <c r="X14" s="118">
        <f t="shared" si="125"/>
        <v>2.6508650000000002E-2</v>
      </c>
      <c r="Y14" s="118">
        <f t="shared" si="126"/>
        <v>2.9115349912539316E-6</v>
      </c>
      <c r="Z14" s="118">
        <f t="shared" si="127"/>
        <v>20.761575510843613</v>
      </c>
      <c r="AA14" s="118">
        <f t="shared" si="128"/>
        <v>1.9242374423703199</v>
      </c>
      <c r="AB14" s="118" t="str">
        <f t="shared" si="129"/>
        <v>.</v>
      </c>
      <c r="AC14" s="118" t="str">
        <f t="shared" si="130"/>
        <v>.</v>
      </c>
      <c r="AD14" s="118">
        <f t="shared" si="131"/>
        <v>6.9279927799774995E-4</v>
      </c>
      <c r="AE14" s="118">
        <f t="shared" si="132"/>
        <v>6.3469987037514568E-3</v>
      </c>
      <c r="AF14" s="118" t="str">
        <f t="shared" si="133"/>
        <v>.</v>
      </c>
      <c r="AG14" s="118">
        <f t="shared" si="134"/>
        <v>8.6451765399999991E-2</v>
      </c>
      <c r="AH14" s="118" t="str">
        <f t="shared" si="9"/>
        <v>.</v>
      </c>
      <c r="AI14" s="15">
        <f t="shared" si="21"/>
        <v>4.3848463767930508E-2</v>
      </c>
      <c r="AJ14" s="15">
        <f>IFERROR(TR/(RadSpec!I14*IFW_far_adj),".")</f>
        <v>5.1871229713732632</v>
      </c>
      <c r="AK14" s="15" t="str">
        <f>IFERROR(IF(AND(RadSpec!C14=1,RadSpec!D14&lt;&gt;0),TR/(RadSpec!H14*IFA_far_adj*K*RadSpec!D14),"."),".")</f>
        <v>.</v>
      </c>
      <c r="AL14" s="15">
        <f>IFERROR((TR/(RadSpec!M14*(1/8760)*DFA_far_adj)),".")</f>
        <v>489301.94737248251</v>
      </c>
      <c r="AM14" s="15">
        <f>d_b2w!AC14</f>
        <v>1.3987078863946356</v>
      </c>
      <c r="AN14" s="15" t="str">
        <f>IFERROR(F14/(RadSpec!AL14*Q_w_poultry*(1/1000)),".")</f>
        <v>.</v>
      </c>
      <c r="AO14" s="15" t="str">
        <f>IFERROR(G14/(RadSpec!AM14*Q_w_poultry*(1/1000)),".")</f>
        <v>.</v>
      </c>
      <c r="AP14" s="15">
        <f>IFERROR(H14/(RadSpec!AI14*Q_w_beef*(1/1000)),".")</f>
        <v>125808.98988577414</v>
      </c>
      <c r="AQ14" s="15">
        <f>IFERROR((I14*D_milk)/(RadSpec!AH14*Q_w_dairy*(1/1000)),".")</f>
        <v>12852.702633814211</v>
      </c>
      <c r="AR14" s="15" t="str">
        <f>IFERROR(J14/(RadSpec!AN14*Q_w_swine*(1/1000)),".")</f>
        <v>.</v>
      </c>
      <c r="AS14" s="15">
        <f>IFERROR(K14/(RadSpec!AJ14*(1/1000)),".")</f>
        <v>5.7835718875903943</v>
      </c>
      <c r="AT14" s="15" t="str">
        <f>IFERROR(L14/(RadSpec!AK14*(1/1000)),".")</f>
        <v>.</v>
      </c>
      <c r="AU14" s="118">
        <f t="shared" si="135"/>
        <v>0.19278509600000004</v>
      </c>
      <c r="AV14" s="118" t="str">
        <f t="shared" si="136"/>
        <v>.</v>
      </c>
      <c r="AW14" s="118">
        <f t="shared" si="137"/>
        <v>2.0437278154520549E-6</v>
      </c>
      <c r="AX14" s="118">
        <f t="shared" si="138"/>
        <v>0.71494556492252237</v>
      </c>
      <c r="AY14" s="118" t="str">
        <f t="shared" si="139"/>
        <v>.</v>
      </c>
      <c r="AZ14" s="118" t="str">
        <f t="shared" si="140"/>
        <v>.</v>
      </c>
      <c r="BA14" s="118">
        <f t="shared" si="141"/>
        <v>7.9485575785000007E-6</v>
      </c>
      <c r="BB14" s="118">
        <f t="shared" si="142"/>
        <v>7.7804647667572828E-5</v>
      </c>
      <c r="BC14" s="118" t="str">
        <f t="shared" si="143"/>
        <v>.</v>
      </c>
      <c r="BD14" s="118">
        <f t="shared" si="144"/>
        <v>0.17290353080000001</v>
      </c>
      <c r="BE14" s="118" t="str">
        <f t="shared" si="19"/>
        <v>.</v>
      </c>
      <c r="BF14" s="15">
        <f t="shared" si="22"/>
        <v>0.92530735054627522</v>
      </c>
      <c r="BG14" s="15">
        <f>IFERROR((TR/(RadSpec!H14*IFA_far_adj)),".")</f>
        <v>0.25266696296079189</v>
      </c>
      <c r="BH14" s="15">
        <f>IFERROR((TR/(RadSpec!K14*EF_far*(1/365)*ED_far*ET_far*(1/24)*GSF_a)),".")</f>
        <v>30.545114726535733</v>
      </c>
      <c r="BI14" s="15">
        <f>IFERROR(IF(AND(BG14&lt;&gt;".",BH14&lt;&gt;"."),1/((1/BG14)+(1/BH14)),IF(AND(BG14&lt;&gt;".",BH14="."),1/((1/BG14)),IF(AND(BG14=".",BH14&lt;&gt;"."),1/((1/BH14)),IF(AND(BG14=".",BH14="."),".")))),".")</f>
        <v>0.25059406710045129</v>
      </c>
    </row>
    <row r="15" spans="1:61" customFormat="1" x14ac:dyDescent="0.25">
      <c r="A15" s="3">
        <v>14</v>
      </c>
      <c r="B15" s="44" t="s">
        <v>25</v>
      </c>
      <c r="C15" s="42" t="s">
        <v>1071</v>
      </c>
      <c r="D15" s="42"/>
      <c r="E15" s="15">
        <f>d_dir!AC15</f>
        <v>0.14481508145297686</v>
      </c>
      <c r="F15" s="15">
        <f>IFERROR(TR/(RadSpec!F15*IFP_far_adj*CF_far_poultry),".")</f>
        <v>1.3095403090769335</v>
      </c>
      <c r="G15" s="15">
        <f>IFERROR(TR/(RadSpec!F15*IFE_far_adj*CF_far_egg),".")</f>
        <v>2.3700301916155286</v>
      </c>
      <c r="H15" s="15">
        <f>IFERROR(TR/(RadSpec!F15*IFB_far_adj*CF_far_beef),".")</f>
        <v>0.85648943963637958</v>
      </c>
      <c r="I15" s="15">
        <f>IFERROR(TR/(RadSpec!F15*IFD_far_adj*CF_far_dairy),".")</f>
        <v>0.14746179964094142</v>
      </c>
      <c r="J15" s="15">
        <f>IFERROR(TR/(RadSpec!F15*IFSW_far_adj*CF_far_swine),".")</f>
        <v>1.5378119586462669</v>
      </c>
      <c r="K15" s="15">
        <f>IFERROR(TR/(RadSpec!F15*IFFI_far_adj*CF_far_fish),".")</f>
        <v>1.4858008458565557</v>
      </c>
      <c r="L15" s="15">
        <f>IFERROR(TR/(RadSpec!F15*IFSF_far_adj*CF_far_shellfish),".")</f>
        <v>1.1337492291933766</v>
      </c>
      <c r="M15" s="15">
        <f>IFERROR((TR/(RadSpec!E15*IFS_far_adj*(1/1000)))*1,".")</f>
        <v>993.31203010132788</v>
      </c>
      <c r="N15" s="15">
        <f>IFERROR(IF(B15="H-3",(TR/(RadSpec!H15*IFA_far_adj*(1/17)*1000))*1,(TR/(RadSpec!H15*IFA_far_adj*(1/PEF_wind)*1000))*1),".")</f>
        <v>25240137.832702592</v>
      </c>
      <c r="O15" s="15">
        <f>IFERROR((TR/(RadSpec!G15*EF_far*(1/365)*ED_far*RadSpec!R15*((ET_far_o*(1/24)*RadSpec!W15)+(ET_far_i*(1/24)*RadSpec!AB15))))*1,".")</f>
        <v>80.043816902253226</v>
      </c>
      <c r="P15" s="15">
        <f>d_b2s!AC15</f>
        <v>8.3999765638137003</v>
      </c>
      <c r="Q15" s="15" t="str">
        <f>IFERROR((F15/(RadSpec!AL15*((Q_p_poultry*f_p_poultry*f_s_poultry*(RadSpec!BD15+R_es_past))+(Q_s_poultry*f_p_poultry))))*1,".")</f>
        <v>.</v>
      </c>
      <c r="R15" s="15" t="str">
        <f>IFERROR((G15/(RadSpec!AM15*((Q_p_poultry*f_p_poultry*f_s_poultry*(RadSpec!BD15+R_es_past))+(Q_s_poultry*f_p_poultry))))*1,".")</f>
        <v>.</v>
      </c>
      <c r="S15" s="15">
        <f>IFERROR((H15/(RadSpec!AI15*((Q_p_beef*f_p_beef*f_s_beef*(RadSpec!BD15+R_es_past))+(Q_s_beef*f_p_beef))))*1,".")</f>
        <v>340.69859377706581</v>
      </c>
      <c r="T15" s="15">
        <f>IFERROR(((I15*D_milk)/(RadSpec!AH15*((Q_p_dairy*f_p_dairy*f_s_dairy*(RadSpec!BD15+R_es_past))+(Q_s_dairy*f_p_dairy))))*1,".")</f>
        <v>139.47045833106571</v>
      </c>
      <c r="U15" s="15" t="str">
        <f>IFERROR((J15/(RadSpec!AN15*((Q_p_swine*f_p_swine*f_s_swine*(RadSpec!BD15+R_es_past))+(Q_s_swine*f_p_swine))))*1,".")</f>
        <v>.</v>
      </c>
      <c r="V15" s="15">
        <f>IFERROR(((K15*RadSpec!AU15)/RadSpec!AJ15)*1,".")</f>
        <v>8.9148050751393342</v>
      </c>
      <c r="W15" s="15">
        <f>IFERROR(((L15*RadSpec!AU15)/RadSpec!AK15)*1,".")</f>
        <v>7.730108380863931</v>
      </c>
      <c r="X15" s="118">
        <f t="shared" ref="X15:X21" si="145">IFERROR(1/M15,".")</f>
        <v>1.0067329999999999E-3</v>
      </c>
      <c r="Y15" s="118">
        <f t="shared" ref="Y15:Y21" si="146">IFERROR(1/N15,".")</f>
        <v>3.9619434989944536E-8</v>
      </c>
      <c r="Z15" s="118">
        <f t="shared" ref="Z15:Z21" si="147">IFERROR(1/O15,".")</f>
        <v>1.2493157356815778E-2</v>
      </c>
      <c r="AA15" s="118">
        <f t="shared" ref="AA15:AA21" si="148">IFERROR(1/P15,".")</f>
        <v>0.11904795119404318</v>
      </c>
      <c r="AB15" s="118" t="str">
        <f t="shared" ref="AB15:AB21" si="149">IFERROR(1/Q15,".")</f>
        <v>.</v>
      </c>
      <c r="AC15" s="118" t="str">
        <f t="shared" ref="AC15:AC21" si="150">IFERROR(1/R15,".")</f>
        <v>.</v>
      </c>
      <c r="AD15" s="118">
        <f t="shared" ref="AD15:AD21" si="151">IFERROR(1/S15,".")</f>
        <v>2.9351456632496237E-3</v>
      </c>
      <c r="AE15" s="118">
        <f t="shared" ref="AE15:AE21" si="152">IFERROR(1/T15,".")</f>
        <v>7.1699771547768659E-3</v>
      </c>
      <c r="AF15" s="118" t="str">
        <f t="shared" ref="AF15:AF21" si="153">IFERROR(1/U15,".")</f>
        <v>.</v>
      </c>
      <c r="AG15" s="118">
        <f t="shared" ref="AG15:AH30" si="154">IFERROR(1/V15,".")</f>
        <v>0.1121729518</v>
      </c>
      <c r="AH15" s="118">
        <f t="shared" si="9"/>
        <v>0.129364292288</v>
      </c>
      <c r="AI15" s="15">
        <f t="shared" si="21"/>
        <v>2.6028771032245128</v>
      </c>
      <c r="AJ15" s="15">
        <f>IFERROR(TR/(RadSpec!I15*IFW_far_adj),".")</f>
        <v>132.26765180460242</v>
      </c>
      <c r="AK15" s="15" t="str">
        <f>IFERROR(IF(AND(RadSpec!C15=1,RadSpec!D15&lt;&gt;0),TR/(RadSpec!H15*IFA_far_adj*K*RadSpec!D15),"."),".")</f>
        <v>.</v>
      </c>
      <c r="AL15" s="15">
        <f>IFERROR((TR/(RadSpec!M15*(1/8760)*DFA_far_adj)),".")</f>
        <v>393408600.90249848</v>
      </c>
      <c r="AM15" s="15">
        <f>d_b2w!AC15</f>
        <v>34.04660525120444</v>
      </c>
      <c r="AN15" s="15" t="str">
        <f>IFERROR(F15/(RadSpec!AL15*Q_w_poultry*(1/1000)),".")</f>
        <v>.</v>
      </c>
      <c r="AO15" s="15" t="str">
        <f>IFERROR(G15/(RadSpec!AM15*Q_w_poultry*(1/1000)),".")</f>
        <v>.</v>
      </c>
      <c r="AP15" s="15">
        <f>IFERROR(H15/(RadSpec!AI15*Q_w_beef*(1/1000)),".")</f>
        <v>23085.968723352547</v>
      </c>
      <c r="AQ15" s="15">
        <f>IFERROR((I15*D_milk)/(RadSpec!AH15*Q_w_dairy*(1/1000)),".")</f>
        <v>8689.1106195749235</v>
      </c>
      <c r="AR15" s="15" t="str">
        <f>IFERROR(J15/(RadSpec!AN15*Q_w_swine*(1/1000)),".")</f>
        <v>.</v>
      </c>
      <c r="AS15" s="15">
        <f>IFERROR(K15/(RadSpec!AJ15*(1/1000)),".")</f>
        <v>59.432033834262228</v>
      </c>
      <c r="AT15" s="15">
        <f>IFERROR(L15/(RadSpec!AK15*(1/1000)),".")</f>
        <v>51.534055872426215</v>
      </c>
      <c r="AU15" s="118">
        <f t="shared" ref="AU15:AU21" si="155">IFERROR(1/AJ15,".")</f>
        <v>7.560427560000001E-3</v>
      </c>
      <c r="AV15" s="118" t="str">
        <f t="shared" ref="AV15:AV21" si="156">IFERROR(1/AK15,".")</f>
        <v>.</v>
      </c>
      <c r="AW15" s="118">
        <f t="shared" ref="AW15:AW21" si="157">IFERROR(1/AL15,".")</f>
        <v>2.5418864704684932E-9</v>
      </c>
      <c r="AX15" s="118">
        <f t="shared" ref="AX15:AX21" si="158">IFERROR(1/AM15,".")</f>
        <v>2.9371503931794309E-2</v>
      </c>
      <c r="AY15" s="118" t="str">
        <f t="shared" ref="AY15:AY21" si="159">IFERROR(1/AN15,".")</f>
        <v>.</v>
      </c>
      <c r="AZ15" s="118" t="str">
        <f t="shared" ref="AZ15:AZ21" si="160">IFERROR(1/AO15,".")</f>
        <v>.</v>
      </c>
      <c r="BA15" s="118">
        <f t="shared" ref="BA15:BA21" si="161">IFERROR(1/AP15,".")</f>
        <v>4.3316354274900008E-5</v>
      </c>
      <c r="BB15" s="118">
        <f t="shared" ref="BB15:BB21" si="162">IFERROR(1/AQ15,".")</f>
        <v>1.1508657718629903E-4</v>
      </c>
      <c r="BC15" s="118" t="str">
        <f t="shared" ref="BC15:BC21" si="163">IFERROR(1/AR15,".")</f>
        <v>.</v>
      </c>
      <c r="BD15" s="118">
        <f t="shared" ref="BD15:BE30" si="164">IFERROR(1/AS15,".")</f>
        <v>1.6825942770000001E-2</v>
      </c>
      <c r="BE15" s="118">
        <f t="shared" si="19"/>
        <v>1.9404643843199995E-2</v>
      </c>
      <c r="BF15" s="15">
        <f t="shared" si="22"/>
        <v>13.638671625999356</v>
      </c>
      <c r="BG15" s="15">
        <f>IFERROR((TR/(RadSpec!H15*IFA_far_adj)),".")</f>
        <v>18.567874680214778</v>
      </c>
      <c r="BH15" s="15">
        <f>IFERROR((TR/(RadSpec!K15*EF_far*(1/365)*ED_far*ET_far*(1/24)*GSF_a)),".")</f>
        <v>15293.478674724396</v>
      </c>
      <c r="BI15" s="15">
        <f t="shared" ref="BI15:BI16" si="165">IFERROR(IF(AND(BG15&lt;&gt;".",BH15&lt;&gt;"."),1/((1/BG15)+(1/BH15)),IF(AND(BG15&lt;&gt;".",BH15="."),1/((1/BG15)),IF(AND(BG15=".",BH15&lt;&gt;"."),1/((1/BH15)),IF(AND(BG15=".",BH15="."),".")))),".")</f>
        <v>18.545358684784137</v>
      </c>
    </row>
    <row r="16" spans="1:61" customFormat="1" x14ac:dyDescent="0.25">
      <c r="A16" s="3">
        <v>15</v>
      </c>
      <c r="B16" s="44" t="s">
        <v>26</v>
      </c>
      <c r="C16" s="248" t="s">
        <v>1071</v>
      </c>
      <c r="D16" s="249"/>
      <c r="E16" s="15">
        <f>d_dir!AC16</f>
        <v>4.289805243041012E-5</v>
      </c>
      <c r="F16" s="15">
        <f>IFERROR(TR/(RadSpec!F16*IFP_far_adj*CF_far_poultry),".")</f>
        <v>3.8792043117939355E-4</v>
      </c>
      <c r="G16" s="15">
        <f>IFERROR(TR/(RadSpec!F16*IFE_far_adj*CF_far_egg),".")</f>
        <v>7.0206554732761875E-4</v>
      </c>
      <c r="H16" s="15">
        <f>IFERROR(TR/(RadSpec!F16*IFB_far_adj*CF_far_beef),".")</f>
        <v>2.537147962696445E-4</v>
      </c>
      <c r="I16" s="15">
        <f>IFERROR(TR/(RadSpec!F16*IFD_far_adj*CF_far_dairy),".")</f>
        <v>4.368208027099585E-5</v>
      </c>
      <c r="J16" s="15">
        <f>IFERROR(TR/(RadSpec!F16*IFSW_far_adj*CF_far_swine),".")</f>
        <v>4.5554052359898849E-4</v>
      </c>
      <c r="K16" s="15">
        <f>IFERROR(TR/(RadSpec!F16*IFFI_far_adj*CF_far_fish),".")</f>
        <v>4.4013345811222502E-4</v>
      </c>
      <c r="L16" s="15">
        <f>IFERROR(TR/(RadSpec!F16*IFSF_far_adj*CF_far_shellfish),".")</f>
        <v>3.3584646977992476E-4</v>
      </c>
      <c r="M16" s="15">
        <f>IFERROR((TR/(RadSpec!E16*IFS_far_adj*(1/1000)))*1,".")</f>
        <v>0.36178821786018189</v>
      </c>
      <c r="N16" s="15">
        <f>IFERROR(IF(B16="H-3",(TR/(RadSpec!H16*IFA_far_adj*(1/17)*1000))*1,(TR/(RadSpec!H16*IFA_far_adj*(1/PEF_wind)*1000))*1),".")</f>
        <v>330.6516890904162</v>
      </c>
      <c r="O16" s="15">
        <f>IFERROR((TR/(RadSpec!G16*EF_far*(1/365)*ED_far*RadSpec!R16*((ET_far_o*(1/24)*RadSpec!W16)+(ET_far_i*(1/24)*RadSpec!AB16))))*1,".")</f>
        <v>26.093023777584907</v>
      </c>
      <c r="P16" s="15">
        <f>d_b2s!AC16</f>
        <v>2.4882949443750016E-3</v>
      </c>
      <c r="Q16" s="15" t="str">
        <f>IFERROR((F16/(RadSpec!AL16*((Q_p_poultry*f_p_poultry*f_s_poultry*(RadSpec!BD16+R_es_past))+(Q_s_poultry*f_p_poultry))))*1,".")</f>
        <v>.</v>
      </c>
      <c r="R16" s="15" t="str">
        <f>IFERROR((G16/(RadSpec!AM16*((Q_p_poultry*f_p_poultry*f_s_poultry*(RadSpec!BD16+R_es_past))+(Q_s_poultry*f_p_poultry))))*1,".")</f>
        <v>.</v>
      </c>
      <c r="S16" s="15">
        <f>IFERROR((H16/(RadSpec!AI16*((Q_p_beef*f_p_beef*f_s_beef*(RadSpec!BD16+R_es_past))+(Q_s_beef*f_p_beef))))*1,".")</f>
        <v>0.10092392306226289</v>
      </c>
      <c r="T16" s="15">
        <f>IFERROR(((I16*D_milk)/(RadSpec!AH16*((Q_p_dairy*f_p_dairy*f_s_dairy*(RadSpec!BD16+R_es_past))+(Q_s_dairy*f_p_dairy))))*1,".")</f>
        <v>4.1314833882976063E-2</v>
      </c>
      <c r="U16" s="15" t="str">
        <f>IFERROR((J16/(RadSpec!AN16*((Q_p_swine*f_p_swine*f_s_swine*(RadSpec!BD16+R_es_past))+(Q_s_swine*f_p_swine))))*1,".")</f>
        <v>.</v>
      </c>
      <c r="V16" s="15">
        <f>IFERROR(((K16*RadSpec!AU16)/RadSpec!AJ16)*1,".")</f>
        <v>2.6408007486733503E-3</v>
      </c>
      <c r="W16" s="15">
        <f>IFERROR(((L16*RadSpec!AU16)/RadSpec!AK16)*1,".")</f>
        <v>2.2898622939540323E-3</v>
      </c>
      <c r="X16" s="118">
        <f t="shared" si="145"/>
        <v>2.7640479999999998</v>
      </c>
      <c r="Y16" s="118">
        <f t="shared" si="146"/>
        <v>3.0243305357092898E-3</v>
      </c>
      <c r="Z16" s="118">
        <f t="shared" si="147"/>
        <v>3.832441991100493E-2</v>
      </c>
      <c r="AA16" s="118">
        <f t="shared" si="148"/>
        <v>401.88161868052799</v>
      </c>
      <c r="AB16" s="118" t="str">
        <f t="shared" si="149"/>
        <v>.</v>
      </c>
      <c r="AC16" s="118" t="str">
        <f t="shared" si="150"/>
        <v>.</v>
      </c>
      <c r="AD16" s="118">
        <f t="shared" si="151"/>
        <v>9.9084535128808966</v>
      </c>
      <c r="AE16" s="118">
        <f t="shared" si="152"/>
        <v>24.20438147790917</v>
      </c>
      <c r="AF16" s="118" t="str">
        <f t="shared" si="153"/>
        <v>.</v>
      </c>
      <c r="AG16" s="118">
        <f t="shared" si="154"/>
        <v>378.673022</v>
      </c>
      <c r="AH16" s="118">
        <f t="shared" si="9"/>
        <v>436.70748352000004</v>
      </c>
      <c r="AI16" s="15">
        <f t="shared" si="21"/>
        <v>7.9733348976678822E-4</v>
      </c>
      <c r="AJ16" s="15">
        <f>IFERROR(TR/(RadSpec!I16*IFW_far_adj),".")</f>
        <v>3.6027716035479572E-2</v>
      </c>
      <c r="AK16" s="15" t="str">
        <f>IFERROR(IF(AND(RadSpec!C16=1,RadSpec!D16&lt;&gt;0),TR/(RadSpec!H16*IFA_far_adj*K*RadSpec!D16),"."),".")</f>
        <v>.</v>
      </c>
      <c r="AL16" s="15">
        <f>IFERROR((TR/(RadSpec!M16*(1/8760)*DFA_far_adj)),".")</f>
        <v>100627649.84524062</v>
      </c>
      <c r="AM16" s="15">
        <f>d_b2w!AC16</f>
        <v>1.0085503819696409E-2</v>
      </c>
      <c r="AN16" s="15" t="str">
        <f>IFERROR(F16/(RadSpec!AL16*Q_w_poultry*(1/1000)),".")</f>
        <v>.</v>
      </c>
      <c r="AO16" s="15" t="str">
        <f>IFERROR(G16/(RadSpec!AM16*Q_w_poultry*(1/1000)),".")</f>
        <v>.</v>
      </c>
      <c r="AP16" s="15">
        <f>IFERROR(H16/(RadSpec!AI16*Q_w_beef*(1/1000)),".")</f>
        <v>6.8386737538987736</v>
      </c>
      <c r="AQ16" s="15">
        <f>IFERROR((I16*D_milk)/(RadSpec!AH16*Q_w_dairy*(1/1000)),".")</f>
        <v>2.5739440891948355</v>
      </c>
      <c r="AR16" s="15" t="str">
        <f>IFERROR(J16/(RadSpec!AN16*Q_w_swine*(1/1000)),".")</f>
        <v>.</v>
      </c>
      <c r="AS16" s="15">
        <f>IFERROR(K16/(RadSpec!AJ16*(1/1000)),".")</f>
        <v>1.7605338324489E-2</v>
      </c>
      <c r="AT16" s="15">
        <f>IFERROR(L16/(RadSpec!AK16*(1/1000)),".")</f>
        <v>1.5265748626360216E-2</v>
      </c>
      <c r="AU16" s="118">
        <f t="shared" si="155"/>
        <v>27.756408400000002</v>
      </c>
      <c r="AV16" s="118" t="str">
        <f t="shared" si="156"/>
        <v>.</v>
      </c>
      <c r="AW16" s="118">
        <f t="shared" si="157"/>
        <v>9.9376265026356169E-9</v>
      </c>
      <c r="AX16" s="118">
        <f t="shared" si="158"/>
        <v>99.152210725165517</v>
      </c>
      <c r="AY16" s="118" t="str">
        <f t="shared" si="159"/>
        <v>.</v>
      </c>
      <c r="AZ16" s="118" t="str">
        <f t="shared" si="160"/>
        <v>.</v>
      </c>
      <c r="BA16" s="118">
        <f t="shared" si="161"/>
        <v>0.14622718322100003</v>
      </c>
      <c r="BB16" s="118">
        <f t="shared" si="162"/>
        <v>0.38850882744419424</v>
      </c>
      <c r="BC16" s="118" t="str">
        <f t="shared" si="163"/>
        <v>.</v>
      </c>
      <c r="BD16" s="118">
        <f t="shared" si="164"/>
        <v>56.800953300000003</v>
      </c>
      <c r="BE16" s="118">
        <f t="shared" si="19"/>
        <v>65.506122527999992</v>
      </c>
      <c r="BF16" s="15">
        <f t="shared" si="22"/>
        <v>4.0039970946237581E-3</v>
      </c>
      <c r="BG16" s="15">
        <f>IFERROR((TR/(RadSpec!H16*IFA_far_adj)),".")</f>
        <v>2.432434864867297E-4</v>
      </c>
      <c r="BH16" s="15">
        <f>IFERROR((TR/(RadSpec!K16*EF_far*(1/365)*ED_far*ET_far*(1/24)*GSF_a)),".")</f>
        <v>6625.6613843019659</v>
      </c>
      <c r="BI16" s="15">
        <f t="shared" si="165"/>
        <v>2.4324347755669417E-4</v>
      </c>
    </row>
    <row r="17" spans="1:61" customFormat="1" x14ac:dyDescent="0.25">
      <c r="A17" s="3">
        <v>16</v>
      </c>
      <c r="B17" s="44" t="s">
        <v>27</v>
      </c>
      <c r="C17" s="248" t="s">
        <v>1071</v>
      </c>
      <c r="D17" s="249"/>
      <c r="E17" s="15">
        <f>d_dir!AC17</f>
        <v>0.10413420360969784</v>
      </c>
      <c r="F17" s="15">
        <f>IFERROR(TR/(RadSpec!F17*IFP_far_adj*CF_far_poultry),".")</f>
        <v>0.94166944362631411</v>
      </c>
      <c r="G17" s="15">
        <f>IFERROR(TR/(RadSpec!F17*IFE_far_adj*CF_far_egg),".")</f>
        <v>1.7042507179403263</v>
      </c>
      <c r="H17" s="15">
        <f>IFERROR(TR/(RadSpec!F17*IFB_far_adj*CF_far_beef),".")</f>
        <v>0.61588782605913694</v>
      </c>
      <c r="I17" s="15">
        <f>IFERROR(TR/(RadSpec!F17*IFD_far_adj*CF_far_dairy),".")</f>
        <v>0.10603741623035634</v>
      </c>
      <c r="J17" s="15">
        <f>IFERROR(TR/(RadSpec!F17*IFSW_far_adj*CF_far_swine),".")</f>
        <v>1.1058159275151016</v>
      </c>
      <c r="K17" s="15">
        <f>IFERROR(TR/(RadSpec!F17*IFFI_far_adj*CF_far_fish),".")</f>
        <v>1.0684155700739508</v>
      </c>
      <c r="L17" s="15">
        <f>IFERROR(TR/(RadSpec!F17*IFSF_far_adj*CF_far_shellfish),".")</f>
        <v>0.81526089610699271</v>
      </c>
      <c r="M17" s="15">
        <f>IFERROR((TR/(RadSpec!E17*IFS_far_adj*(1/1000)))*1,".")</f>
        <v>784.4380050800205</v>
      </c>
      <c r="N17" s="15">
        <f>IFERROR(IF(B17="H-3",(TR/(RadSpec!H17*IFA_far_adj*(1/17)*1000))*1,(TR/(RadSpec!H17*IFA_far_adj*(1/PEF_wind)*1000))*1),".")</f>
        <v>67547.416485613605</v>
      </c>
      <c r="O17" s="15">
        <f>IFERROR((TR/(RadSpec!G17*EF_far*(1/365)*ED_far*RadSpec!R17*((ET_far_o*(1/24)*RadSpec!W17)+(ET_far_i*(1/24)*RadSpec!AB17))))*1,".")</f>
        <v>3.8940235249744805E-2</v>
      </c>
      <c r="P17" s="15">
        <f>d_b2s!AC17</f>
        <v>6.0402884909255743</v>
      </c>
      <c r="Q17" s="15" t="str">
        <f>IFERROR((F17/(RadSpec!AL17*((Q_p_poultry*f_p_poultry*f_s_poultry*(RadSpec!BD17+R_es_past))+(Q_s_poultry*f_p_poultry))))*1,".")</f>
        <v>.</v>
      </c>
      <c r="R17" s="15" t="str">
        <f>IFERROR((G17/(RadSpec!AM17*((Q_p_poultry*f_p_poultry*f_s_poultry*(RadSpec!BD17+R_es_past))+(Q_s_poultry*f_p_poultry))))*1,".")</f>
        <v>.</v>
      </c>
      <c r="S17" s="15">
        <f>IFERROR((H17/(RadSpec!AI17*((Q_p_beef*f_p_beef*f_s_beef*(RadSpec!BD17+R_es_past))+(Q_s_beef*f_p_beef))))*1,".")</f>
        <v>244.99089720457707</v>
      </c>
      <c r="T17" s="15">
        <f>IFERROR(((I17*D_milk)/(RadSpec!AH17*((Q_p_dairy*f_p_dairy*f_s_dairy*(RadSpec!BD17+R_es_past))+(Q_s_dairy*f_p_dairy))))*1,".")</f>
        <v>100.29097079989609</v>
      </c>
      <c r="U17" s="15" t="str">
        <f>IFERROR((J17/(RadSpec!AN17*((Q_p_swine*f_p_swine*f_s_swine*(RadSpec!BD17+R_es_past))+(Q_s_swine*f_p_swine))))*1,".")</f>
        <v>.</v>
      </c>
      <c r="V17" s="15">
        <f>IFERROR(((K17*RadSpec!AU17)/RadSpec!AJ17)*1,".")</f>
        <v>6.4104934204437054</v>
      </c>
      <c r="W17" s="15">
        <f>IFERROR(((L17*RadSpec!AU17)/RadSpec!AK17)*1,".")</f>
        <v>5.5585970189113141</v>
      </c>
      <c r="X17" s="118">
        <f t="shared" si="145"/>
        <v>1.2747979999999999E-3</v>
      </c>
      <c r="Y17" s="118">
        <f t="shared" si="146"/>
        <v>1.4804415209765752E-5</v>
      </c>
      <c r="Z17" s="118">
        <f t="shared" si="147"/>
        <v>25.680379011232439</v>
      </c>
      <c r="AA17" s="118">
        <f t="shared" si="148"/>
        <v>0.16555500643757606</v>
      </c>
      <c r="AB17" s="118" t="str">
        <f t="shared" si="149"/>
        <v>.</v>
      </c>
      <c r="AC17" s="118" t="str">
        <f t="shared" si="150"/>
        <v>.</v>
      </c>
      <c r="AD17" s="118">
        <f t="shared" si="151"/>
        <v>4.081784308765401E-3</v>
      </c>
      <c r="AE17" s="118">
        <f t="shared" si="152"/>
        <v>9.9709873383839673E-3</v>
      </c>
      <c r="AF17" s="118" t="str">
        <f t="shared" si="153"/>
        <v>.</v>
      </c>
      <c r="AG17" s="118">
        <f t="shared" si="154"/>
        <v>0.15599423233333332</v>
      </c>
      <c r="AH17" s="118">
        <f t="shared" si="9"/>
        <v>0.1799015105066667</v>
      </c>
      <c r="AI17" s="15">
        <f t="shared" si="21"/>
        <v>3.8172058986485083E-2</v>
      </c>
      <c r="AJ17" s="15">
        <f>IFERROR(TR/(RadSpec!I17*IFW_far_adj),".")</f>
        <v>92.487906900962599</v>
      </c>
      <c r="AK17" s="15">
        <f>IFERROR(IF(AND(RadSpec!C17=1,RadSpec!D17&lt;&gt;0),TR/(RadSpec!H17*IFA_far_adj*K*RadSpec!D17),"."),".")</f>
        <v>0.11239804877301637</v>
      </c>
      <c r="AL17" s="15">
        <f>IFERROR((TR/(RadSpec!M17*(1/8760)*DFA_far_adj)),".")</f>
        <v>409886.44806071837</v>
      </c>
      <c r="AM17" s="15">
        <f>d_b2w!AC17</f>
        <v>24.482368050866086</v>
      </c>
      <c r="AN17" s="15" t="str">
        <f>IFERROR(F17/(RadSpec!AL17*Q_w_poultry*(1/1000)),".")</f>
        <v>.</v>
      </c>
      <c r="AO17" s="15" t="str">
        <f>IFERROR(G17/(RadSpec!AM17*Q_w_poultry*(1/1000)),".")</f>
        <v>.</v>
      </c>
      <c r="AP17" s="15">
        <f>IFERROR(H17/(RadSpec!AI17*Q_w_beef*(1/1000)),".")</f>
        <v>16600.750028548166</v>
      </c>
      <c r="AQ17" s="15">
        <f>IFERROR((I17*D_milk)/(RadSpec!AH17*Q_w_dairy*(1/1000)),".")</f>
        <v>6248.2001554500584</v>
      </c>
      <c r="AR17" s="15" t="str">
        <f>IFERROR(J17/(RadSpec!AN17*Q_w_swine*(1/1000)),".")</f>
        <v>.</v>
      </c>
      <c r="AS17" s="15">
        <f>IFERROR(K17/(RadSpec!AJ17*(1/1000)),".")</f>
        <v>42.736622802958031</v>
      </c>
      <c r="AT17" s="15">
        <f>IFERROR(L17/(RadSpec!AK17*(1/1000)),".")</f>
        <v>37.057313459408761</v>
      </c>
      <c r="AU17" s="118">
        <f t="shared" si="155"/>
        <v>1.0812224360000001E-2</v>
      </c>
      <c r="AV17" s="118">
        <f t="shared" si="156"/>
        <v>8.896951601174699</v>
      </c>
      <c r="AW17" s="118">
        <f t="shared" si="157"/>
        <v>2.4397000796958902E-6</v>
      </c>
      <c r="AX17" s="118">
        <f t="shared" si="158"/>
        <v>4.084572202829146E-2</v>
      </c>
      <c r="AY17" s="118" t="str">
        <f t="shared" si="159"/>
        <v>.</v>
      </c>
      <c r="AZ17" s="118" t="str">
        <f t="shared" si="160"/>
        <v>.</v>
      </c>
      <c r="BA17" s="118">
        <f t="shared" si="161"/>
        <v>6.0238242144500016E-5</v>
      </c>
      <c r="BB17" s="118">
        <f t="shared" si="162"/>
        <v>1.6004608929304857E-4</v>
      </c>
      <c r="BC17" s="118" t="str">
        <f t="shared" si="163"/>
        <v>.</v>
      </c>
      <c r="BD17" s="118">
        <f t="shared" si="164"/>
        <v>2.3399134849999999E-2</v>
      </c>
      <c r="BE17" s="118">
        <f t="shared" si="19"/>
        <v>2.6985226576000006E-2</v>
      </c>
      <c r="BF17" s="15">
        <f t="shared" si="22"/>
        <v>0.11112078315025058</v>
      </c>
      <c r="BG17" s="15">
        <f>IFERROR((TR/(RadSpec!H17*IFA_far_adj)),".")</f>
        <v>4.9691169382289069E-2</v>
      </c>
      <c r="BH17" s="15">
        <f>IFERROR((TR/(RadSpec!K17*EF_far*(1/365)*ED_far*ET_far*(1/24)*GSF_a)),".")</f>
        <v>25.576722640432553</v>
      </c>
      <c r="BI17" s="15">
        <f>IFERROR(IF(AND(BG17&lt;&gt;".",BH17&lt;&gt;"."),1/((1/BG17)+(1/BH17)),IF(AND(BG17&lt;&gt;".",BH17="."),1/((1/BG17)),IF(AND(BG17=".",BH17&lt;&gt;"."),1/((1/BH17)),IF(AND(BG17=".",BH17="."),".")))),".")</f>
        <v>4.9594815193485887E-2</v>
      </c>
    </row>
    <row r="18" spans="1:61" customFormat="1" x14ac:dyDescent="0.25">
      <c r="A18" s="3">
        <v>17</v>
      </c>
      <c r="B18" s="44" t="s">
        <v>28</v>
      </c>
      <c r="C18" s="248" t="s">
        <v>1071</v>
      </c>
      <c r="D18" s="249"/>
      <c r="E18" s="15">
        <f>d_dir!AC18</f>
        <v>2.2399968264155046E-5</v>
      </c>
      <c r="F18" s="15">
        <f>IFERROR(TR/(RadSpec!F18*IFP_far_adj*CF_far_poultry),".")</f>
        <v>2.0255943697052077E-4</v>
      </c>
      <c r="G18" s="15">
        <f>IFERROR(TR/(RadSpec!F18*IFE_far_adj*CF_far_egg),".")</f>
        <v>3.6659580303806692E-4</v>
      </c>
      <c r="H18" s="15">
        <f>IFERROR(TR/(RadSpec!F18*IFB_far_adj*CF_far_beef),".")</f>
        <v>1.3248161775656313E-4</v>
      </c>
      <c r="I18" s="15">
        <f>IFERROR(TR/(RadSpec!F18*IFD_far_adj*CF_far_dairy),".")</f>
        <v>2.2809362111948572E-5</v>
      </c>
      <c r="J18" s="15">
        <f>IFERROR(TR/(RadSpec!F18*IFSW_far_adj*CF_far_swine),".")</f>
        <v>2.3786845074626984E-4</v>
      </c>
      <c r="K18" s="15">
        <f>IFERROR(TR/(RadSpec!F18*IFFI_far_adj*CF_far_fish),".")</f>
        <v>2.2982338206845249E-4</v>
      </c>
      <c r="L18" s="15">
        <f>IFERROR(TR/(RadSpec!F18*IFSF_far_adj*CF_far_shellfish),".")</f>
        <v>1.7536810737276857E-4</v>
      </c>
      <c r="M18" s="15">
        <f>IFERROR((TR/(RadSpec!E18*IFS_far_adj*(1/1000)))*1,".")</f>
        <v>0.1896833142227394</v>
      </c>
      <c r="N18" s="15">
        <f>IFERROR(IF(B18="H-3",(TR/(RadSpec!H18*IFA_far_adj*(1/17)*1000))*1,(TR/(RadSpec!H18*IFA_far_adj*(1/PEF_wind)*1000))*1),".")</f>
        <v>361.86115974435853</v>
      </c>
      <c r="O18" s="15">
        <f>IFERROR((TR/(RadSpec!G18*EF_far*(1/365)*ED_far*RadSpec!R18*((ET_far_o*(1/24)*RadSpec!W18)+(ET_far_i*(1/24)*RadSpec!AB18))))*1,".")</f>
        <v>858.50104138686095</v>
      </c>
      <c r="P18" s="15">
        <f>d_b2s!AC18</f>
        <v>9.8122858857131959E-3</v>
      </c>
      <c r="Q18" s="15">
        <f>IFERROR((F18/(RadSpec!AL18*((Q_p_poultry*f_p_poultry*f_s_poultry*(RadSpec!BD18+R_es_past))+(Q_s_poultry*f_p_poultry))))*1,".")</f>
        <v>1.1713213996588467E-3</v>
      </c>
      <c r="R18" s="15">
        <f>IFERROR((G18/(RadSpec!AM18*((Q_p_poultry*f_p_poultry*f_s_poultry*(RadSpec!BD18+R_es_past))+(Q_s_poultry*f_p_poultry))))*1,".")</f>
        <v>1.6411966926999362E-3</v>
      </c>
      <c r="S18" s="15">
        <f>IFERROR((H18/(RadSpec!AI18*((Q_p_beef*f_p_beef*f_s_beef*(RadSpec!BD18+R_es_past))+(Q_s_beef*f_p_beef))))*1,".")</f>
        <v>1.2815955604975124E-2</v>
      </c>
      <c r="T18" s="15">
        <f>IFERROR(((I18*D_milk)/(RadSpec!AH18*((Q_p_dairy*f_p_dairy*f_s_dairy*(RadSpec!BD18+R_es_past))+(Q_s_dairy*f_p_dairy))))*1,".")</f>
        <v>2.0412818005073326E-2</v>
      </c>
      <c r="U18" s="15" t="str">
        <f>IFERROR((J18/(RadSpec!AN18*((Q_p_swine*f_p_swine*f_s_swine*(RadSpec!BD18+R_es_past))+(Q_s_swine*f_p_swine))))*1,".")</f>
        <v>.</v>
      </c>
      <c r="V18" s="15">
        <f>IFERROR(((K18*RadSpec!AU18)/RadSpec!AJ18)*1,".")</f>
        <v>1.3406363953993063E-3</v>
      </c>
      <c r="W18" s="15" t="str">
        <f>IFERROR(((L18*RadSpec!AU18)/RadSpec!AK18)*1,".")</f>
        <v>.</v>
      </c>
      <c r="X18" s="118">
        <f t="shared" si="145"/>
        <v>5.2719450000000005</v>
      </c>
      <c r="Y18" s="118">
        <f t="shared" si="146"/>
        <v>2.7634908391562744E-3</v>
      </c>
      <c r="Z18" s="118">
        <f t="shared" si="147"/>
        <v>1.1648209516258189E-3</v>
      </c>
      <c r="AA18" s="118">
        <f t="shared" si="148"/>
        <v>101.91305182577403</v>
      </c>
      <c r="AB18" s="118">
        <f t="shared" si="149"/>
        <v>853.73664332544001</v>
      </c>
      <c r="AC18" s="118">
        <f t="shared" si="150"/>
        <v>609.31148865216016</v>
      </c>
      <c r="AD18" s="118">
        <f t="shared" si="151"/>
        <v>78.027735958433126</v>
      </c>
      <c r="AE18" s="118">
        <f t="shared" si="152"/>
        <v>48.988826518291773</v>
      </c>
      <c r="AF18" s="118" t="str">
        <f t="shared" si="153"/>
        <v>.</v>
      </c>
      <c r="AG18" s="118">
        <f t="shared" si="154"/>
        <v>745.9144055999999</v>
      </c>
      <c r="AH18" s="118" t="str">
        <f t="shared" si="154"/>
        <v>.</v>
      </c>
      <c r="AI18" s="15">
        <f t="shared" si="21"/>
        <v>4.0930463631188798E-4</v>
      </c>
      <c r="AJ18" s="15">
        <f>IFERROR(TR/(RadSpec!I18*IFW_far_adj),".")</f>
        <v>1.7938800275999204E-2</v>
      </c>
      <c r="AK18" s="15" t="str">
        <f>IFERROR(IF(AND(RadSpec!C18=1,RadSpec!D18&lt;&gt;0),TR/(RadSpec!H18*IFA_far_adj*K*RadSpec!D18),"."),".")</f>
        <v>.</v>
      </c>
      <c r="AL18" s="15">
        <f>IFERROR((TR/(RadSpec!M18*(1/8760)*DFA_far_adj)),".")</f>
        <v>10075715776.009937</v>
      </c>
      <c r="AM18" s="15">
        <f>d_b2w!AC18</f>
        <v>6.0149291467434885E-3</v>
      </c>
      <c r="AN18" s="15">
        <f>IFERROR(F18/(RadSpec!AL18*Q_w_poultry*(1/1000)),".")</f>
        <v>0.21099941351095913</v>
      </c>
      <c r="AO18" s="15">
        <f>IFERROR(G18/(RadSpec!AM18*Q_w_poultry*(1/1000)),".")</f>
        <v>0.29564177664360231</v>
      </c>
      <c r="AP18" s="15">
        <f>IFERROR(H18/(RadSpec!AI18*Q_w_beef*(1/1000)),".")</f>
        <v>0.83321772173939068</v>
      </c>
      <c r="AQ18" s="15">
        <f>IFERROR((I18*D_milk)/(RadSpec!AH18*Q_w_dairy*(1/1000)),".")</f>
        <v>1.2160270691152706</v>
      </c>
      <c r="AR18" s="15" t="str">
        <f>IFERROR(J18/(RadSpec!AN18*Q_w_swine*(1/1000)),".")</f>
        <v>.</v>
      </c>
      <c r="AS18" s="15">
        <f>IFERROR(K18/(RadSpec!AJ18*(1/1000)),".")</f>
        <v>6.3839828352347909E-3</v>
      </c>
      <c r="AT18" s="15" t="str">
        <f>IFERROR(L18/(RadSpec!AK18*(1/1000)),".")</f>
        <v>.</v>
      </c>
      <c r="AU18" s="118">
        <f t="shared" si="155"/>
        <v>55.745088000000003</v>
      </c>
      <c r="AV18" s="118" t="str">
        <f t="shared" si="156"/>
        <v>.</v>
      </c>
      <c r="AW18" s="118">
        <f t="shared" si="157"/>
        <v>9.9248532037890403E-11</v>
      </c>
      <c r="AX18" s="118">
        <f t="shared" si="158"/>
        <v>166.25299743412685</v>
      </c>
      <c r="AY18" s="118">
        <f t="shared" si="159"/>
        <v>4.7393496662400008</v>
      </c>
      <c r="AZ18" s="118">
        <f t="shared" si="160"/>
        <v>3.3824718933600009</v>
      </c>
      <c r="BA18" s="118">
        <f t="shared" si="161"/>
        <v>1.2001665037950004</v>
      </c>
      <c r="BB18" s="118">
        <f t="shared" si="162"/>
        <v>0.82235011489304866</v>
      </c>
      <c r="BC18" s="118" t="str">
        <f t="shared" si="163"/>
        <v>.</v>
      </c>
      <c r="BD18" s="118">
        <f t="shared" si="164"/>
        <v>156.642025176</v>
      </c>
      <c r="BE18" s="118" t="str">
        <f t="shared" si="164"/>
        <v>.</v>
      </c>
      <c r="BF18" s="15">
        <f t="shared" si="22"/>
        <v>2.5721193404625265E-3</v>
      </c>
      <c r="BG18" s="15">
        <f>IFERROR((TR/(RadSpec!H18*IFA_far_adj)),".")</f>
        <v>2.6620269311940573E-4</v>
      </c>
      <c r="BH18" s="15">
        <f>IFERROR((TR/(RadSpec!K18*EF_far*(1/365)*ED_far*ET_far*(1/24)*GSF_a)),".")</f>
        <v>623700.52695803414</v>
      </c>
      <c r="BI18" s="15">
        <f>IFERROR(IF(AND(BG18&lt;&gt;".",BH18&lt;&gt;"."),1/((1/BG18)+(1/BH18)),IF(AND(BG18&lt;&gt;".",BH18="."),1/((1/BG18)),IF(AND(BG18=".",BH18&lt;&gt;"."),1/((1/BH18)),IF(AND(BG18=".",BH18="."),".")))),".")</f>
        <v>2.662026930057873E-4</v>
      </c>
    </row>
    <row r="19" spans="1:61" customFormat="1" x14ac:dyDescent="0.25">
      <c r="A19" s="3">
        <v>18</v>
      </c>
      <c r="B19" s="44" t="s">
        <v>29</v>
      </c>
      <c r="C19" s="42" t="s">
        <v>1071</v>
      </c>
      <c r="D19" s="42"/>
      <c r="E19" s="15" t="str">
        <f>d_dir!AC19</f>
        <v>.</v>
      </c>
      <c r="F19" s="15" t="str">
        <f>IFERROR(TR/(RadSpec!F19*IFP_far_adj*CF_far_poultry),".")</f>
        <v>.</v>
      </c>
      <c r="G19" s="15" t="str">
        <f>IFERROR(TR/(RadSpec!F19*IFE_far_adj*CF_far_egg),".")</f>
        <v>.</v>
      </c>
      <c r="H19" s="15" t="str">
        <f>IFERROR(TR/(RadSpec!F19*IFB_far_adj*CF_far_beef),".")</f>
        <v>.</v>
      </c>
      <c r="I19" s="15" t="str">
        <f>IFERROR(TR/(RadSpec!F19*IFD_far_adj*CF_far_dairy),".")</f>
        <v>.</v>
      </c>
      <c r="J19" s="15" t="str">
        <f>IFERROR(TR/(RadSpec!F19*IFSW_far_adj*CF_far_swine),".")</f>
        <v>.</v>
      </c>
      <c r="K19" s="15" t="str">
        <f>IFERROR(TR/(RadSpec!F19*IFFI_far_adj*CF_far_fish),".")</f>
        <v>.</v>
      </c>
      <c r="L19" s="15" t="str">
        <f>IFERROR(TR/(RadSpec!F19*IFSF_far_adj*CF_far_shellfish),".")</f>
        <v>.</v>
      </c>
      <c r="M19" s="15" t="str">
        <f>IFERROR((TR/(RadSpec!E19*IFS_far_adj*(1/1000)))*1,".")</f>
        <v>.</v>
      </c>
      <c r="N19" s="15" t="str">
        <f>IFERROR(IF(B19="H-3",(TR/(RadSpec!H19*IFA_far_adj*(1/17)*1000))*1,(TR/(RadSpec!H19*IFA_far_adj*(1/PEF_wind)*1000))*1),".")</f>
        <v>.</v>
      </c>
      <c r="O19" s="15">
        <f>IFERROR((TR/(RadSpec!G19*EF_far*(1/365)*ED_far*RadSpec!R19*((ET_far_o*(1/24)*RadSpec!W19)+(ET_far_i*(1/24)*RadSpec!AB19))))*1,".")</f>
        <v>223.90635268603265</v>
      </c>
      <c r="P19" s="15" t="str">
        <f>d_b2s!AC19</f>
        <v>.</v>
      </c>
      <c r="Q19" s="15" t="str">
        <f>IFERROR((F19/(RadSpec!AL19*((Q_p_poultry*f_p_poultry*f_s_poultry*(RadSpec!BD19+R_es_past))+(Q_s_poultry*f_p_poultry))))*1,".")</f>
        <v>.</v>
      </c>
      <c r="R19" s="15" t="str">
        <f>IFERROR((G19/(RadSpec!AM19*((Q_p_poultry*f_p_poultry*f_s_poultry*(RadSpec!BD19+R_es_past))+(Q_s_poultry*f_p_poultry))))*1,".")</f>
        <v>.</v>
      </c>
      <c r="S19" s="15" t="str">
        <f>IFERROR((H19/(RadSpec!AI19*((Q_p_beef*f_p_beef*f_s_beef*(RadSpec!BD19+R_es_past))+(Q_s_beef*f_p_beef))))*1,".")</f>
        <v>.</v>
      </c>
      <c r="T19" s="15" t="str">
        <f>IFERROR(((I19*D_milk)/(RadSpec!AH19*((Q_p_dairy*f_p_dairy*f_s_dairy*(RadSpec!BD19+R_es_past))+(Q_s_dairy*f_p_dairy))))*1,".")</f>
        <v>.</v>
      </c>
      <c r="U19" s="15" t="str">
        <f>IFERROR((J19/(RadSpec!AN19*((Q_p_swine*f_p_swine*f_s_swine*(RadSpec!BD19+R_es_past))+(Q_s_swine*f_p_swine))))*1,".")</f>
        <v>.</v>
      </c>
      <c r="V19" s="15" t="str">
        <f>IFERROR(((K19*RadSpec!AU19)/RadSpec!AJ19)*1,".")</f>
        <v>.</v>
      </c>
      <c r="W19" s="15" t="str">
        <f>IFERROR(((L19*RadSpec!AU19)/RadSpec!AK19)*1,".")</f>
        <v>.</v>
      </c>
      <c r="X19" s="118" t="str">
        <f t="shared" si="145"/>
        <v>.</v>
      </c>
      <c r="Y19" s="118" t="str">
        <f t="shared" si="146"/>
        <v>.</v>
      </c>
      <c r="Z19" s="118">
        <f t="shared" si="147"/>
        <v>4.4661528715186846E-3</v>
      </c>
      <c r="AA19" s="118" t="str">
        <f t="shared" si="148"/>
        <v>.</v>
      </c>
      <c r="AB19" s="118" t="str">
        <f t="shared" si="149"/>
        <v>.</v>
      </c>
      <c r="AC19" s="118" t="str">
        <f t="shared" si="150"/>
        <v>.</v>
      </c>
      <c r="AD19" s="118" t="str">
        <f t="shared" si="151"/>
        <v>.</v>
      </c>
      <c r="AE19" s="118" t="str">
        <f t="shared" si="152"/>
        <v>.</v>
      </c>
      <c r="AF19" s="118" t="str">
        <f t="shared" si="153"/>
        <v>.</v>
      </c>
      <c r="AG19" s="118" t="str">
        <f t="shared" si="154"/>
        <v>.</v>
      </c>
      <c r="AH19" s="118" t="str">
        <f t="shared" si="154"/>
        <v>.</v>
      </c>
      <c r="AI19" s="15">
        <f t="shared" si="21"/>
        <v>223.90635268603265</v>
      </c>
      <c r="AJ19" s="15" t="str">
        <f>IFERROR(TR/(RadSpec!I19*IFW_far_adj),".")</f>
        <v>.</v>
      </c>
      <c r="AK19" s="15" t="str">
        <f>IFERROR(IF(AND(RadSpec!C19=1,RadSpec!D19&lt;&gt;0),TR/(RadSpec!H19*IFA_far_adj*K*RadSpec!D19),"."),".")</f>
        <v>.</v>
      </c>
      <c r="AL19" s="15">
        <f>IFERROR((TR/(RadSpec!M19*(1/8760)*DFA_far_adj)),".")</f>
        <v>2618338179.9196386</v>
      </c>
      <c r="AM19" s="15" t="str">
        <f>d_b2w!AC19</f>
        <v>.</v>
      </c>
      <c r="AN19" s="15" t="str">
        <f>IFERROR(F19/(RadSpec!AL19*Q_w_poultry*(1/1000)),".")</f>
        <v>.</v>
      </c>
      <c r="AO19" s="15" t="str">
        <f>IFERROR(G19/(RadSpec!AM19*Q_w_poultry*(1/1000)),".")</f>
        <v>.</v>
      </c>
      <c r="AP19" s="15" t="str">
        <f>IFERROR(H19/(RadSpec!AI19*Q_w_beef*(1/1000)),".")</f>
        <v>.</v>
      </c>
      <c r="AQ19" s="15" t="str">
        <f>IFERROR((I19*D_milk)/(RadSpec!AH19*Q_w_dairy*(1/1000)),".")</f>
        <v>.</v>
      </c>
      <c r="AR19" s="15" t="str">
        <f>IFERROR(J19/(RadSpec!AN19*Q_w_swine*(1/1000)),".")</f>
        <v>.</v>
      </c>
      <c r="AS19" s="15" t="str">
        <f>IFERROR(K19/(RadSpec!AJ19*(1/1000)),".")</f>
        <v>.</v>
      </c>
      <c r="AT19" s="15" t="str">
        <f>IFERROR(L19/(RadSpec!AK19*(1/1000)),".")</f>
        <v>.</v>
      </c>
      <c r="AU19" s="118" t="str">
        <f t="shared" si="155"/>
        <v>.</v>
      </c>
      <c r="AV19" s="118" t="str">
        <f t="shared" si="156"/>
        <v>.</v>
      </c>
      <c r="AW19" s="118">
        <f t="shared" si="157"/>
        <v>3.819216355126028E-10</v>
      </c>
      <c r="AX19" s="118" t="str">
        <f t="shared" si="158"/>
        <v>.</v>
      </c>
      <c r="AY19" s="118" t="str">
        <f t="shared" si="159"/>
        <v>.</v>
      </c>
      <c r="AZ19" s="118" t="str">
        <f t="shared" si="160"/>
        <v>.</v>
      </c>
      <c r="BA19" s="118" t="str">
        <f t="shared" si="161"/>
        <v>.</v>
      </c>
      <c r="BB19" s="118" t="str">
        <f t="shared" si="162"/>
        <v>.</v>
      </c>
      <c r="BC19" s="118" t="str">
        <f t="shared" si="163"/>
        <v>.</v>
      </c>
      <c r="BD19" s="118" t="str">
        <f t="shared" si="164"/>
        <v>.</v>
      </c>
      <c r="BE19" s="118" t="str">
        <f t="shared" si="164"/>
        <v>.</v>
      </c>
      <c r="BF19" s="15">
        <f t="shared" si="22"/>
        <v>2618338179.9196386</v>
      </c>
      <c r="BG19" s="15" t="str">
        <f>IFERROR((TR/(RadSpec!H19*IFA_far_adj)),".")</f>
        <v>.</v>
      </c>
      <c r="BH19" s="15">
        <f>IFERROR((TR/(RadSpec!K19*EF_far*(1/365)*ED_far*ET_far*(1/24)*GSF_a)),".")</f>
        <v>161800.57148621461</v>
      </c>
      <c r="BI19" s="15">
        <f t="shared" ref="BI19:BI20" si="166">IFERROR(IF(AND(BG19&lt;&gt;".",BH19&lt;&gt;"."),1/((1/BG19)+(1/BH19)),IF(AND(BG19&lt;&gt;".",BH19="."),1/((1/BG19)),IF(AND(BG19=".",BH19&lt;&gt;"."),1/((1/BH19)),IF(AND(BG19=".",BH19="."),".")))),".")</f>
        <v>161800.57148621461</v>
      </c>
    </row>
    <row r="20" spans="1:61" customFormat="1" x14ac:dyDescent="0.25">
      <c r="A20" s="3">
        <v>19</v>
      </c>
      <c r="B20" s="44" t="s">
        <v>30</v>
      </c>
      <c r="C20" s="248" t="s">
        <v>1071</v>
      </c>
      <c r="D20" s="249"/>
      <c r="E20" s="15" t="str">
        <f>d_dir!AC20</f>
        <v>.</v>
      </c>
      <c r="F20" s="15" t="str">
        <f>IFERROR(TR/(RadSpec!F20*IFP_far_adj*CF_far_poultry),".")</f>
        <v>.</v>
      </c>
      <c r="G20" s="15" t="str">
        <f>IFERROR(TR/(RadSpec!F20*IFE_far_adj*CF_far_egg),".")</f>
        <v>.</v>
      </c>
      <c r="H20" s="15" t="str">
        <f>IFERROR(TR/(RadSpec!F20*IFB_far_adj*CF_far_beef),".")</f>
        <v>.</v>
      </c>
      <c r="I20" s="15" t="str">
        <f>IFERROR(TR/(RadSpec!F20*IFD_far_adj*CF_far_dairy),".")</f>
        <v>.</v>
      </c>
      <c r="J20" s="15" t="str">
        <f>IFERROR(TR/(RadSpec!F20*IFSW_far_adj*CF_far_swine),".")</f>
        <v>.</v>
      </c>
      <c r="K20" s="15" t="str">
        <f>IFERROR(TR/(RadSpec!F20*IFFI_far_adj*CF_far_fish),".")</f>
        <v>.</v>
      </c>
      <c r="L20" s="15" t="str">
        <f>IFERROR(TR/(RadSpec!F20*IFSF_far_adj*CF_far_shellfish),".")</f>
        <v>.</v>
      </c>
      <c r="M20" s="15" t="str">
        <f>IFERROR((TR/(RadSpec!E20*IFS_far_adj*(1/1000)))*1,".")</f>
        <v>.</v>
      </c>
      <c r="N20" s="15" t="str">
        <f>IFERROR(IF(B20="H-3",(TR/(RadSpec!H20*IFA_far_adj*(1/17)*1000))*1,(TR/(RadSpec!H20*IFA_far_adj*(1/PEF_wind)*1000))*1),".")</f>
        <v>.</v>
      </c>
      <c r="O20" s="15">
        <f>IFERROR((TR/(RadSpec!G20*EF_far*(1/365)*ED_far*RadSpec!R20*((ET_far_o*(1/24)*RadSpec!W20)+(ET_far_i*(1/24)*RadSpec!AB20))))*1,".")</f>
        <v>100.4186066591904</v>
      </c>
      <c r="P20" s="15" t="str">
        <f>d_b2s!AC20</f>
        <v>.</v>
      </c>
      <c r="Q20" s="15" t="str">
        <f>IFERROR((F20/(RadSpec!AL20*((Q_p_poultry*f_p_poultry*f_s_poultry*(RadSpec!BD20+R_es_past))+(Q_s_poultry*f_p_poultry))))*1,".")</f>
        <v>.</v>
      </c>
      <c r="R20" s="15" t="str">
        <f>IFERROR((G20/(RadSpec!AM20*((Q_p_poultry*f_p_poultry*f_s_poultry*(RadSpec!BD20+R_es_past))+(Q_s_poultry*f_p_poultry))))*1,".")</f>
        <v>.</v>
      </c>
      <c r="S20" s="15" t="str">
        <f>IFERROR((H20/(RadSpec!AI20*((Q_p_beef*f_p_beef*f_s_beef*(RadSpec!BD20+R_es_past))+(Q_s_beef*f_p_beef))))*1,".")</f>
        <v>.</v>
      </c>
      <c r="T20" s="15" t="str">
        <f>IFERROR(((I20*D_milk)/(RadSpec!AH20*((Q_p_dairy*f_p_dairy*f_s_dairy*(RadSpec!BD20+R_es_past))+(Q_s_dairy*f_p_dairy))))*1,".")</f>
        <v>.</v>
      </c>
      <c r="U20" s="15" t="str">
        <f>IFERROR((J20/(RadSpec!AN20*((Q_p_swine*f_p_swine*f_s_swine*(RadSpec!BD20+R_es_past))+(Q_s_swine*f_p_swine))))*1,".")</f>
        <v>.</v>
      </c>
      <c r="V20" s="15" t="str">
        <f>IFERROR(((K20*RadSpec!AU20)/RadSpec!AJ20)*1,".")</f>
        <v>.</v>
      </c>
      <c r="W20" s="15" t="str">
        <f>IFERROR(((L20*RadSpec!AU20)/RadSpec!AK20)*1,".")</f>
        <v>.</v>
      </c>
      <c r="X20" s="118" t="str">
        <f t="shared" si="145"/>
        <v>.</v>
      </c>
      <c r="Y20" s="118" t="str">
        <f t="shared" si="146"/>
        <v>.</v>
      </c>
      <c r="Z20" s="118">
        <f t="shared" si="147"/>
        <v>9.9583138351430119E-3</v>
      </c>
      <c r="AA20" s="118" t="str">
        <f t="shared" si="148"/>
        <v>.</v>
      </c>
      <c r="AB20" s="118" t="str">
        <f t="shared" si="149"/>
        <v>.</v>
      </c>
      <c r="AC20" s="118" t="str">
        <f t="shared" si="150"/>
        <v>.</v>
      </c>
      <c r="AD20" s="118" t="str">
        <f t="shared" si="151"/>
        <v>.</v>
      </c>
      <c r="AE20" s="118" t="str">
        <f t="shared" si="152"/>
        <v>.</v>
      </c>
      <c r="AF20" s="118" t="str">
        <f t="shared" si="153"/>
        <v>.</v>
      </c>
      <c r="AG20" s="118" t="str">
        <f t="shared" si="154"/>
        <v>.</v>
      </c>
      <c r="AH20" s="118" t="str">
        <f t="shared" si="154"/>
        <v>.</v>
      </c>
      <c r="AI20" s="15">
        <f t="shared" si="21"/>
        <v>100.4186066591904</v>
      </c>
      <c r="AJ20" s="15" t="str">
        <f>IFERROR(TR/(RadSpec!I20*IFW_far_adj),".")</f>
        <v>.</v>
      </c>
      <c r="AK20" s="15" t="str">
        <f>IFERROR(IF(AND(RadSpec!C20=1,RadSpec!D20&lt;&gt;0),TR/(RadSpec!H20*IFA_far_adj*K*RadSpec!D20),"."),".")</f>
        <v>.</v>
      </c>
      <c r="AL20" s="15">
        <f>IFERROR((TR/(RadSpec!M20*(1/8760)*DFA_far_adj)),".")</f>
        <v>1180819179.179445</v>
      </c>
      <c r="AM20" s="15" t="str">
        <f>d_b2w!AC20</f>
        <v>.</v>
      </c>
      <c r="AN20" s="15" t="str">
        <f>IFERROR(F20/(RadSpec!AL20*Q_w_poultry*(1/1000)),".")</f>
        <v>.</v>
      </c>
      <c r="AO20" s="15" t="str">
        <f>IFERROR(G20/(RadSpec!AM20*Q_w_poultry*(1/1000)),".")</f>
        <v>.</v>
      </c>
      <c r="AP20" s="15" t="str">
        <f>IFERROR(H20/(RadSpec!AI20*Q_w_beef*(1/1000)),".")</f>
        <v>.</v>
      </c>
      <c r="AQ20" s="15" t="str">
        <f>IFERROR((I20*D_milk)/(RadSpec!AH20*Q_w_dairy*(1/1000)),".")</f>
        <v>.</v>
      </c>
      <c r="AR20" s="15" t="str">
        <f>IFERROR(J20/(RadSpec!AN20*Q_w_swine*(1/1000)),".")</f>
        <v>.</v>
      </c>
      <c r="AS20" s="15" t="str">
        <f>IFERROR(K20/(RadSpec!AJ20*(1/1000)),".")</f>
        <v>.</v>
      </c>
      <c r="AT20" s="15" t="str">
        <f>IFERROR(L20/(RadSpec!AK20*(1/1000)),".")</f>
        <v>.</v>
      </c>
      <c r="AU20" s="118" t="str">
        <f t="shared" si="155"/>
        <v>.</v>
      </c>
      <c r="AV20" s="118" t="str">
        <f t="shared" si="156"/>
        <v>.</v>
      </c>
      <c r="AW20" s="118">
        <f t="shared" si="157"/>
        <v>8.4686971352794521E-10</v>
      </c>
      <c r="AX20" s="118" t="str">
        <f t="shared" si="158"/>
        <v>.</v>
      </c>
      <c r="AY20" s="118" t="str">
        <f t="shared" si="159"/>
        <v>.</v>
      </c>
      <c r="AZ20" s="118" t="str">
        <f t="shared" si="160"/>
        <v>.</v>
      </c>
      <c r="BA20" s="118" t="str">
        <f t="shared" si="161"/>
        <v>.</v>
      </c>
      <c r="BB20" s="118" t="str">
        <f t="shared" si="162"/>
        <v>.</v>
      </c>
      <c r="BC20" s="118" t="str">
        <f t="shared" si="163"/>
        <v>.</v>
      </c>
      <c r="BD20" s="118" t="str">
        <f t="shared" si="164"/>
        <v>.</v>
      </c>
      <c r="BE20" s="118" t="str">
        <f t="shared" si="164"/>
        <v>.</v>
      </c>
      <c r="BF20" s="15">
        <f t="shared" si="22"/>
        <v>1180819179.179445</v>
      </c>
      <c r="BG20" s="15" t="str">
        <f>IFERROR((TR/(RadSpec!H20*IFA_far_adj)),".")</f>
        <v>.</v>
      </c>
      <c r="BH20" s="15">
        <f>IFERROR((TR/(RadSpec!K20*EF_far*(1/365)*ED_far*ET_far*(1/24)*GSF_a)),".")</f>
        <v>72968.885180057565</v>
      </c>
      <c r="BI20" s="15">
        <f t="shared" si="166"/>
        <v>72968.885180057565</v>
      </c>
    </row>
    <row r="21" spans="1:61" customFormat="1" x14ac:dyDescent="0.25">
      <c r="A21" s="3">
        <v>20</v>
      </c>
      <c r="B21" s="44" t="s">
        <v>31</v>
      </c>
      <c r="C21" s="248" t="s">
        <v>1071</v>
      </c>
      <c r="D21" s="249"/>
      <c r="E21" s="15" t="str">
        <f>d_dir!AC21</f>
        <v>.</v>
      </c>
      <c r="F21" s="15" t="str">
        <f>IFERROR(TR/(RadSpec!F21*IFP_far_adj*CF_far_poultry),".")</f>
        <v>.</v>
      </c>
      <c r="G21" s="15" t="str">
        <f>IFERROR(TR/(RadSpec!F21*IFE_far_adj*CF_far_egg),".")</f>
        <v>.</v>
      </c>
      <c r="H21" s="15" t="str">
        <f>IFERROR(TR/(RadSpec!F21*IFB_far_adj*CF_far_beef),".")</f>
        <v>.</v>
      </c>
      <c r="I21" s="15" t="str">
        <f>IFERROR(TR/(RadSpec!F21*IFD_far_adj*CF_far_dairy),".")</f>
        <v>.</v>
      </c>
      <c r="J21" s="15" t="str">
        <f>IFERROR(TR/(RadSpec!F21*IFSW_far_adj*CF_far_swine),".")</f>
        <v>.</v>
      </c>
      <c r="K21" s="15" t="str">
        <f>IFERROR(TR/(RadSpec!F21*IFFI_far_adj*CF_far_fish),".")</f>
        <v>.</v>
      </c>
      <c r="L21" s="15" t="str">
        <f>IFERROR(TR/(RadSpec!F21*IFSF_far_adj*CF_far_shellfish),".")</f>
        <v>.</v>
      </c>
      <c r="M21" s="15" t="str">
        <f>IFERROR((TR/(RadSpec!E21*IFS_far_adj*(1/1000)))*1,".")</f>
        <v>.</v>
      </c>
      <c r="N21" s="15">
        <f>IFERROR(IF(B21="H-3",(TR/(RadSpec!H21*IFA_far_adj*(1/17)*1000))*1,(TR/(RadSpec!H21*IFA_far_adj*(1/PEF_wind)*1000))*1),".")</f>
        <v>377585.19862821413</v>
      </c>
      <c r="O21" s="15">
        <f>IFERROR((TR/(RadSpec!G21*EF_far*(1/365)*ED_far*RadSpec!R21*((ET_far_o*(1/24)*RadSpec!W21)+(ET_far_i*(1/24)*RadSpec!AB21))))*1,".")</f>
        <v>6283303.0332826758</v>
      </c>
      <c r="P21" s="15" t="str">
        <f>d_b2s!AC21</f>
        <v>.</v>
      </c>
      <c r="Q21" s="15" t="str">
        <f>IFERROR((F21/(RadSpec!AL21*((Q_p_poultry*f_p_poultry*f_s_poultry*(RadSpec!BD21+R_es_past))+(Q_s_poultry*f_p_poultry))))*1,".")</f>
        <v>.</v>
      </c>
      <c r="R21" s="15" t="str">
        <f>IFERROR((G21/(RadSpec!AM21*((Q_p_poultry*f_p_poultry*f_s_poultry*(RadSpec!BD21+R_es_past))+(Q_s_poultry*f_p_poultry))))*1,".")</f>
        <v>.</v>
      </c>
      <c r="S21" s="15" t="str">
        <f>IFERROR((H21/(RadSpec!AI21*((Q_p_beef*f_p_beef*f_s_beef*(RadSpec!BD21+R_es_past))+(Q_s_beef*f_p_beef))))*1,".")</f>
        <v>.</v>
      </c>
      <c r="T21" s="15" t="str">
        <f>IFERROR(((I21*D_milk)/(RadSpec!AH21*((Q_p_dairy*f_p_dairy*f_s_dairy*(RadSpec!BD21+R_es_past))+(Q_s_dairy*f_p_dairy))))*1,".")</f>
        <v>.</v>
      </c>
      <c r="U21" s="15" t="str">
        <f>IFERROR((J21/(RadSpec!AN21*((Q_p_swine*f_p_swine*f_s_swine*(RadSpec!BD21+R_es_past))+(Q_s_swine*f_p_swine))))*1,".")</f>
        <v>.</v>
      </c>
      <c r="V21" s="15" t="str">
        <f>IFERROR(((K21*RadSpec!AU21)/RadSpec!AJ21)*1,".")</f>
        <v>.</v>
      </c>
      <c r="W21" s="15" t="str">
        <f>IFERROR(((L21*RadSpec!AU21)/RadSpec!AK21)*1,".")</f>
        <v>.</v>
      </c>
      <c r="X21" s="118" t="str">
        <f t="shared" si="145"/>
        <v>.</v>
      </c>
      <c r="Y21" s="118">
        <f t="shared" si="146"/>
        <v>2.6484088985295237E-6</v>
      </c>
      <c r="Z21" s="118">
        <f t="shared" si="147"/>
        <v>1.5915196111074015E-7</v>
      </c>
      <c r="AA21" s="118" t="str">
        <f t="shared" si="148"/>
        <v>.</v>
      </c>
      <c r="AB21" s="118" t="str">
        <f t="shared" si="149"/>
        <v>.</v>
      </c>
      <c r="AC21" s="118" t="str">
        <f t="shared" si="150"/>
        <v>.</v>
      </c>
      <c r="AD21" s="118" t="str">
        <f t="shared" si="151"/>
        <v>.</v>
      </c>
      <c r="AE21" s="118" t="str">
        <f t="shared" si="152"/>
        <v>.</v>
      </c>
      <c r="AF21" s="118" t="str">
        <f t="shared" si="153"/>
        <v>.</v>
      </c>
      <c r="AG21" s="118" t="str">
        <f t="shared" si="154"/>
        <v>.</v>
      </c>
      <c r="AH21" s="118" t="str">
        <f t="shared" si="154"/>
        <v>.</v>
      </c>
      <c r="AI21" s="15">
        <f t="shared" si="21"/>
        <v>356181.05893103639</v>
      </c>
      <c r="AJ21" s="15" t="str">
        <f>IFERROR(TR/(RadSpec!I21*IFW_far_adj),".")</f>
        <v>.</v>
      </c>
      <c r="AK21" s="15">
        <f>IFERROR(IF(AND(RadSpec!C21=1,RadSpec!D21&lt;&gt;0),TR/(RadSpec!H21*IFA_far_adj*K*RadSpec!D21),"."),".")</f>
        <v>0.56299384143961861</v>
      </c>
      <c r="AL21" s="15">
        <f>IFERROR((TR/(RadSpec!M21*(1/8760)*DFA_far_adj)),".")</f>
        <v>18080441473348.086</v>
      </c>
      <c r="AM21" s="15" t="str">
        <f>d_b2w!AC21</f>
        <v>.</v>
      </c>
      <c r="AN21" s="15" t="str">
        <f>IFERROR(F21/(RadSpec!AL21*Q_w_poultry*(1/1000)),".")</f>
        <v>.</v>
      </c>
      <c r="AO21" s="15" t="str">
        <f>IFERROR(G21/(RadSpec!AM21*Q_w_poultry*(1/1000)),".")</f>
        <v>.</v>
      </c>
      <c r="AP21" s="15" t="str">
        <f>IFERROR(H21/(RadSpec!AI21*Q_w_beef*(1/1000)),".")</f>
        <v>.</v>
      </c>
      <c r="AQ21" s="15" t="str">
        <f>IFERROR((I21*D_milk)/(RadSpec!AH21*Q_w_dairy*(1/1000)),".")</f>
        <v>.</v>
      </c>
      <c r="AR21" s="15" t="str">
        <f>IFERROR(J21/(RadSpec!AN21*Q_w_swine*(1/1000)),".")</f>
        <v>.</v>
      </c>
      <c r="AS21" s="15" t="str">
        <f>IFERROR(K21/(RadSpec!AJ21*(1/1000)),".")</f>
        <v>.</v>
      </c>
      <c r="AT21" s="15" t="str">
        <f>IFERROR(L21/(RadSpec!AK21*(1/1000)),".")</f>
        <v>.</v>
      </c>
      <c r="AU21" s="118" t="str">
        <f t="shared" si="155"/>
        <v>.</v>
      </c>
      <c r="AV21" s="118">
        <f t="shared" si="156"/>
        <v>1.7762183640284999</v>
      </c>
      <c r="AW21" s="118">
        <f t="shared" si="157"/>
        <v>5.5308384005671229E-14</v>
      </c>
      <c r="AX21" s="118" t="str">
        <f t="shared" si="158"/>
        <v>.</v>
      </c>
      <c r="AY21" s="118" t="str">
        <f t="shared" si="159"/>
        <v>.</v>
      </c>
      <c r="AZ21" s="118" t="str">
        <f t="shared" si="160"/>
        <v>.</v>
      </c>
      <c r="BA21" s="118" t="str">
        <f t="shared" si="161"/>
        <v>.</v>
      </c>
      <c r="BB21" s="118" t="str">
        <f t="shared" si="162"/>
        <v>.</v>
      </c>
      <c r="BC21" s="118" t="str">
        <f t="shared" si="163"/>
        <v>.</v>
      </c>
      <c r="BD21" s="118" t="str">
        <f t="shared" si="164"/>
        <v>.</v>
      </c>
      <c r="BE21" s="118" t="str">
        <f t="shared" si="164"/>
        <v>.</v>
      </c>
      <c r="BF21" s="15">
        <f t="shared" si="22"/>
        <v>0.56299384143960107</v>
      </c>
      <c r="BG21" s="15">
        <f>IFERROR((TR/(RadSpec!H21*IFA_far_adj)),".")</f>
        <v>0.2777700619427238</v>
      </c>
      <c r="BH21" s="15">
        <f>IFERROR((TR/(RadSpec!K21*EF_far*(1/365)*ED_far*ET_far*(1/24)*GSF_a)),".")</f>
        <v>660605883.58276963</v>
      </c>
      <c r="BI21" s="15">
        <f>IFERROR(IF(AND(BG21&lt;&gt;".",BH21&lt;&gt;"."),1/((1/BG21)+(1/BH21)),IF(AND(BG21&lt;&gt;".",BH21="."),1/((1/BG21)),IF(AND(BG21=".",BH21&lt;&gt;"."),1/((1/BH21)),IF(AND(BG21=".",BH21="."),".")))),".")</f>
        <v>0.27777006182592767</v>
      </c>
    </row>
    <row r="22" spans="1:61" customFormat="1" x14ac:dyDescent="0.25">
      <c r="A22" s="3">
        <v>21</v>
      </c>
      <c r="B22" s="44" t="s">
        <v>32</v>
      </c>
      <c r="C22" s="42" t="s">
        <v>1071</v>
      </c>
      <c r="D22" s="42"/>
      <c r="E22" s="15">
        <f>d_dir!AC22</f>
        <v>3.2871278729808246E-4</v>
      </c>
      <c r="F22" s="15">
        <f>IFERROR(TR/(RadSpec!F22*IFP_far_adj*CF_far_poultry),".")</f>
        <v>2.9724987256637865E-3</v>
      </c>
      <c r="G22" s="15">
        <f>IFERROR(TR/(RadSpec!F22*IFE_far_adj*CF_far_egg),".")</f>
        <v>5.3796829891610302E-3</v>
      </c>
      <c r="H22" s="15">
        <f>IFERROR(TR/(RadSpec!F22*IFB_far_adj*CF_far_beef),".")</f>
        <v>1.9441278364758301E-3</v>
      </c>
      <c r="I22" s="15">
        <f>IFERROR(TR/(RadSpec!F22*IFD_far_adj*CF_far_dairy),".")</f>
        <v>3.3472051870305256E-4</v>
      </c>
      <c r="J22" s="15">
        <f>IFERROR(TR/(RadSpec!F22*IFSW_far_adj*CF_far_swine),".")</f>
        <v>3.4906478675777908E-3</v>
      </c>
      <c r="K22" s="15">
        <f>IFERROR(TR/(RadSpec!F22*IFFI_far_adj*CF_far_fish),".")</f>
        <v>3.3725889079442781E-3</v>
      </c>
      <c r="L22" s="15">
        <f>IFERROR(TR/(RadSpec!F22*IFSF_far_adj*CF_far_shellfish),".")</f>
        <v>2.5734741539762906E-3</v>
      </c>
      <c r="M22" s="15">
        <f>IFERROR((TR/(RadSpec!E22*IFS_far_adj*(1/1000)))*1,".")</f>
        <v>2.5628966883530442</v>
      </c>
      <c r="N22" s="15">
        <f>IFERROR(IF(B22="H-3",(TR/(RadSpec!H22*IFA_far_adj*(1/17)*1000))*1,(TR/(RadSpec!H22*IFA_far_adj*(1/PEF_wind)*1000))*1),".")</f>
        <v>200.63589055132752</v>
      </c>
      <c r="O22" s="15">
        <f>IFERROR((TR/(RadSpec!G22*EF_far*(1/365)*ED_far*RadSpec!R22*((ET_far_o*(1/24)*RadSpec!W22)+(ET_far_i*(1/24)*RadSpec!AB22))))*1,".")</f>
        <v>6.3361644737156473</v>
      </c>
      <c r="P22" s="15">
        <f>d_b2s!AC22</f>
        <v>1.4104619973505707E-2</v>
      </c>
      <c r="Q22" s="15" t="str">
        <f>IFERROR((F22/(RadSpec!AL22*((Q_p_poultry*f_p_poultry*f_s_poultry*(RadSpec!BD22+R_es_past))+(Q_s_poultry*f_p_poultry))))*1,".")</f>
        <v>.</v>
      </c>
      <c r="R22" s="15" t="str">
        <f>IFERROR((G22/(RadSpec!AM22*((Q_p_poultry*f_p_poultry*f_s_poultry*(RadSpec!BD22+R_es_past))+(Q_s_poultry*f_p_poultry))))*1,".")</f>
        <v>.</v>
      </c>
      <c r="S22" s="15">
        <f>IFERROR((H22/(RadSpec!AI22*((Q_p_beef*f_p_beef*f_s_beef*(RadSpec!BD22+R_es_past))+(Q_s_beef*f_p_beef))))*1,".")</f>
        <v>0.31139773695738587</v>
      </c>
      <c r="T22" s="15">
        <f>IFERROR(((I22*D_milk)/(RadSpec!AH22*((Q_p_dairy*f_p_dairy*f_s_dairy*(RadSpec!BD22+R_es_past))+(Q_s_dairy*f_p_dairy))))*1,".")</f>
        <v>0.15451639643133605</v>
      </c>
      <c r="U22" s="15" t="str">
        <f>IFERROR((J22/(RadSpec!AN22*((Q_p_swine*f_p_swine*f_s_swine*(RadSpec!BD22+R_es_past))+(Q_s_swine*f_p_swine))))*1,".")</f>
        <v>.</v>
      </c>
      <c r="V22" s="15">
        <f>IFERROR(((K22*RadSpec!AU22)/RadSpec!AJ22)*1,".")</f>
        <v>8.4314722698606952E-4</v>
      </c>
      <c r="W22" s="15">
        <f>IFERROR(((L22*RadSpec!AU22)/RadSpec!AK22)*1,".")</f>
        <v>2.5734741539762904E-5</v>
      </c>
      <c r="X22" s="118">
        <f t="shared" ref="X22:X23" si="167">IFERROR(1/M22,".")</f>
        <v>0.39018350000000002</v>
      </c>
      <c r="Y22" s="118">
        <f t="shared" ref="Y22:Y23" si="168">IFERROR(1/N22,".")</f>
        <v>4.9841531206211371E-3</v>
      </c>
      <c r="Z22" s="118">
        <f t="shared" ref="Z22:Z23" si="169">IFERROR(1/O22,".")</f>
        <v>0.15782418593272107</v>
      </c>
      <c r="AA22" s="118">
        <f t="shared" ref="AA22:AA23" si="170">IFERROR(1/P22,".")</f>
        <v>70.898755292834011</v>
      </c>
      <c r="AB22" s="118" t="str">
        <f t="shared" ref="AB22:AB23" si="171">IFERROR(1/Q22,".")</f>
        <v>.</v>
      </c>
      <c r="AC22" s="118" t="str">
        <f t="shared" ref="AC22:AC23" si="172">IFERROR(1/R22,".")</f>
        <v>.</v>
      </c>
      <c r="AD22" s="118">
        <f t="shared" ref="AD22:AD23" si="173">IFERROR(1/S22,".")</f>
        <v>3.211327127071729</v>
      </c>
      <c r="AE22" s="118">
        <f t="shared" ref="AE22:AE23" si="174">IFERROR(1/T22,".")</f>
        <v>6.4718050840926757</v>
      </c>
      <c r="AF22" s="118" t="str">
        <f t="shared" ref="AF22:AF23" si="175">IFERROR(1/U22,".")</f>
        <v>.</v>
      </c>
      <c r="AG22" s="118">
        <f t="shared" ref="AG22:AG23" si="176">IFERROR(1/V22,".")</f>
        <v>1186.0324840000001</v>
      </c>
      <c r="AH22" s="118">
        <f t="shared" si="154"/>
        <v>38857.977200000008</v>
      </c>
      <c r="AI22" s="15">
        <f t="shared" si="21"/>
        <v>2.49220285903609E-5</v>
      </c>
      <c r="AJ22" s="15">
        <f>IFERROR(TR/(RadSpec!I22*IFW_far_adj),".")</f>
        <v>0.27866097516115274</v>
      </c>
      <c r="AK22" s="15" t="str">
        <f>IFERROR(IF(AND(RadSpec!C22=1,RadSpec!D22&lt;&gt;0),TR/(RadSpec!H22*IFA_far_adj*K*RadSpec!D22),"."),".")</f>
        <v>.</v>
      </c>
      <c r="AL22" s="15">
        <f>IFERROR((TR/(RadSpec!M22*(1/8760)*DFA_far_adj)),".")</f>
        <v>21567027.983360112</v>
      </c>
      <c r="AM22" s="15">
        <f>d_b2w!AC22</f>
        <v>7.3473783962706027E-2</v>
      </c>
      <c r="AN22" s="15" t="str">
        <f>IFERROR(F22/(RadSpec!AL22*Q_w_poultry*(1/1000)),".")</f>
        <v>.</v>
      </c>
      <c r="AO22" s="15" t="str">
        <f>IFERROR(G22/(RadSpec!AM22*Q_w_poultry*(1/1000)),".")</f>
        <v>.</v>
      </c>
      <c r="AP22" s="15">
        <f>IFERROR(H22/(RadSpec!AI22*Q_w_beef*(1/1000)),".")</f>
        <v>21.577445465880466</v>
      </c>
      <c r="AQ22" s="15">
        <f>IFERROR((I22*D_milk)/(RadSpec!AH22*Q_w_dairy*(1/1000)),".")</f>
        <v>9.8616171128187684</v>
      </c>
      <c r="AR22" s="15" t="str">
        <f>IFERROR(J22/(RadSpec!AN22*Q_w_swine*(1/1000)),".")</f>
        <v>.</v>
      </c>
      <c r="AS22" s="15">
        <f>IFERROR(K22/(RadSpec!AJ22*(1/1000)),".")</f>
        <v>0.84314722698606948</v>
      </c>
      <c r="AT22" s="15">
        <f>IFERROR(L22/(RadSpec!AK22*(1/1000)),".")</f>
        <v>2.5734741539762903E-2</v>
      </c>
      <c r="AU22" s="118">
        <f t="shared" ref="AU22:AU23" si="177">IFERROR(1/AJ22,".")</f>
        <v>3.5885900399999997</v>
      </c>
      <c r="AV22" s="118" t="str">
        <f t="shared" ref="AV22:AV23" si="178">IFERROR(1/AK22,".")</f>
        <v>.</v>
      </c>
      <c r="AW22" s="118">
        <f t="shared" ref="AW22:AW23" si="179">IFERROR(1/AL22,".")</f>
        <v>4.6367074813068492E-8</v>
      </c>
      <c r="AX22" s="118">
        <f t="shared" ref="AX22:AX23" si="180">IFERROR(1/AM22,".")</f>
        <v>13.610296708109956</v>
      </c>
      <c r="AY22" s="118" t="str">
        <f t="shared" ref="AY22:AY23" si="181">IFERROR(1/AN22,".")</f>
        <v>.</v>
      </c>
      <c r="AZ22" s="118" t="str">
        <f t="shared" ref="AZ22:AZ23" si="182">IFERROR(1/AO22,".")</f>
        <v>.</v>
      </c>
      <c r="BA22" s="118">
        <f t="shared" ref="BA22:BA23" si="183">IFERROR(1/AP22,".")</f>
        <v>4.6344689021750013E-2</v>
      </c>
      <c r="BB22" s="118">
        <f t="shared" ref="BB22:BB23" si="184">IFERROR(1/AQ22,".")</f>
        <v>0.10140324741467961</v>
      </c>
      <c r="BC22" s="118" t="str">
        <f t="shared" ref="BC22:BC23" si="185">IFERROR(1/AR22,".")</f>
        <v>.</v>
      </c>
      <c r="BD22" s="118">
        <f t="shared" ref="BD22:BD23" si="186">IFERROR(1/AS22,".")</f>
        <v>1.1860324840000003</v>
      </c>
      <c r="BE22" s="118">
        <f t="shared" si="164"/>
        <v>38.857977200000008</v>
      </c>
      <c r="BF22" s="15">
        <f t="shared" si="22"/>
        <v>1.7424442784966205E-2</v>
      </c>
      <c r="BG22" s="15">
        <f>IFERROR((TR/(RadSpec!H22*IFA_far_adj)),".")</f>
        <v>1.4759753281868042E-4</v>
      </c>
      <c r="BH22" s="15">
        <f>IFERROR((TR/(RadSpec!K22*EF_far*(1/365)*ED_far*ET_far*(1/24)*GSF_a)),".")</f>
        <v>1413.194864879596</v>
      </c>
      <c r="BI22" s="15">
        <f t="shared" ref="BI22:BI23" si="187">IFERROR(IF(AND(BG22&lt;&gt;".",BH22&lt;&gt;"."),1/((1/BG22)+(1/BH22)),IF(AND(BG22&lt;&gt;".",BH22="."),1/((1/BG22)),IF(AND(BG22=".",BH22&lt;&gt;"."),1/((1/BH22)),IF(AND(BG22=".",BH22="."),".")))),".")</f>
        <v>1.4759751740323418E-4</v>
      </c>
    </row>
    <row r="23" spans="1:61" customFormat="1" x14ac:dyDescent="0.25">
      <c r="A23" s="3">
        <v>22</v>
      </c>
      <c r="B23" s="46" t="s">
        <v>33</v>
      </c>
      <c r="C23" s="248" t="s">
        <v>349</v>
      </c>
      <c r="D23" s="249"/>
      <c r="E23" s="15">
        <f>d_dir!AC23</f>
        <v>9.8140868150146924E-5</v>
      </c>
      <c r="F23" s="15">
        <f>IFERROR(TR/(RadSpec!F23*IFP_far_adj*CF_far_poultry),".")</f>
        <v>8.8747264111544712E-4</v>
      </c>
      <c r="G23" s="15">
        <f>IFERROR(TR/(RadSpec!F23*IFE_far_adj*CF_far_egg),".")</f>
        <v>1.6061643456847681E-3</v>
      </c>
      <c r="H23" s="15">
        <f>IFERROR(TR/(RadSpec!F23*IFB_far_adj*CF_far_beef),".")</f>
        <v>5.8044104470321553E-4</v>
      </c>
      <c r="I23" s="15">
        <f>IFERROR(TR/(RadSpec!F23*IFD_far_adj*CF_far_dairy),".")</f>
        <v>9.9934543353789082E-5</v>
      </c>
      <c r="J23" s="15">
        <f>IFERROR(TR/(RadSpec!F23*IFSW_far_adj*CF_far_swine),".")</f>
        <v>1.0421718453559592E-3</v>
      </c>
      <c r="K23" s="15">
        <f>IFERROR(TR/(RadSpec!F23*IFFI_far_adj*CF_far_fish),".")</f>
        <v>1.0069240264725724E-3</v>
      </c>
      <c r="L23" s="15">
        <f>IFERROR(TR/(RadSpec!F23*IFSF_far_adj*CF_far_shellfish),".")</f>
        <v>7.6833940568356892E-4</v>
      </c>
      <c r="M23" s="15">
        <f>IFERROR((TR/(RadSpec!E23*IFS_far_adj*(1/1000)))*1,".")</f>
        <v>0.91732094583128065</v>
      </c>
      <c r="N23" s="15">
        <f>IFERROR(IF(B23="H-3",(TR/(RadSpec!H23*IFA_far_adj*(1/17)*1000))*1,(TR/(RadSpec!H23*IFA_far_adj*(1/PEF_wind)*1000))*1),".")</f>
        <v>186.39891540051062</v>
      </c>
      <c r="O23" s="15">
        <f>IFERROR((TR/(RadSpec!G23*EF_far*(1/365)*ED_far*RadSpec!R23*((ET_far_o*(1/24)*RadSpec!W23)+(ET_far_i*(1/24)*RadSpec!AB23))))*1,".")</f>
        <v>1.5485112241837773</v>
      </c>
      <c r="P23" s="15">
        <f>d_b2s!AC23</f>
        <v>4.2110915748236463E-3</v>
      </c>
      <c r="Q23" s="15" t="str">
        <f>IFERROR((F23/(RadSpec!AL23*((Q_p_poultry*f_p_poultry*f_s_poultry*(RadSpec!BD23+R_es_past))+(Q_s_poultry*f_p_poultry))))*1,".")</f>
        <v>.</v>
      </c>
      <c r="R23" s="15" t="str">
        <f>IFERROR((G23/(RadSpec!AM23*((Q_p_poultry*f_p_poultry*f_s_poultry*(RadSpec!BD23+R_es_past))+(Q_s_poultry*f_p_poultry))))*1,".")</f>
        <v>.</v>
      </c>
      <c r="S23" s="15">
        <f>IFERROR((H23/(RadSpec!AI23*((Q_p_beef*f_p_beef*f_s_beef*(RadSpec!BD23+R_es_past))+(Q_s_beef*f_p_beef))))*1,".")</f>
        <v>9.2971266789435347E-2</v>
      </c>
      <c r="T23" s="15">
        <f>IFERROR(((I23*D_milk)/(RadSpec!AH23*((Q_p_dairy*f_p_dairy*f_s_dairy*(RadSpec!BD23+R_es_past))+(Q_s_dairy*f_p_dairy))))*1,".")</f>
        <v>4.6132593179139904E-2</v>
      </c>
      <c r="U23" s="15" t="str">
        <f>IFERROR((J23/(RadSpec!AN23*((Q_p_swine*f_p_swine*f_s_swine*(RadSpec!BD23+R_es_past))+(Q_s_swine*f_p_swine))))*1,".")</f>
        <v>.</v>
      </c>
      <c r="V23" s="15">
        <f>IFERROR(((K23*RadSpec!AU23)/RadSpec!AJ23)*1,".")</f>
        <v>2.5173100661814309E-4</v>
      </c>
      <c r="W23" s="15">
        <f>IFERROR(((L23*RadSpec!AU23)/RadSpec!AK23)*1,".")</f>
        <v>7.6833940568356891E-6</v>
      </c>
      <c r="X23" s="118">
        <f t="shared" si="167"/>
        <v>1.0901310000000002</v>
      </c>
      <c r="Y23" s="118">
        <f t="shared" si="168"/>
        <v>5.3648380831579703E-3</v>
      </c>
      <c r="Z23" s="118">
        <f t="shared" si="169"/>
        <v>0.64578156385472862</v>
      </c>
      <c r="AA23" s="118">
        <f t="shared" si="170"/>
        <v>237.46812013744403</v>
      </c>
      <c r="AB23" s="118" t="str">
        <f t="shared" si="171"/>
        <v>.</v>
      </c>
      <c r="AC23" s="118" t="str">
        <f t="shared" si="172"/>
        <v>.</v>
      </c>
      <c r="AD23" s="118">
        <f t="shared" si="173"/>
        <v>10.756011341276395</v>
      </c>
      <c r="AE23" s="118">
        <f t="shared" si="174"/>
        <v>21.676648353948959</v>
      </c>
      <c r="AF23" s="118" t="str">
        <f t="shared" si="175"/>
        <v>.</v>
      </c>
      <c r="AG23" s="118">
        <f t="shared" si="176"/>
        <v>3972.4943440000002</v>
      </c>
      <c r="AH23" s="118">
        <f t="shared" si="154"/>
        <v>130150.8152</v>
      </c>
      <c r="AI23" s="15">
        <f t="shared" si="21"/>
        <v>7.440755683793211E-6</v>
      </c>
      <c r="AJ23" s="15">
        <f>IFERROR(TR/(RadSpec!I23*IFW_far_adj),".")</f>
        <v>8.2794462812304015E-2</v>
      </c>
      <c r="AK23" s="15" t="str">
        <f>IFERROR(IF(AND(RadSpec!C23=1,RadSpec!D23&lt;&gt;0),TR/(RadSpec!H23*IFA_far_adj*K*RadSpec!D23),"."),".")</f>
        <v>.</v>
      </c>
      <c r="AL23" s="15">
        <f>IFERROR((TR/(RadSpec!M23*(1/8760)*DFA_far_adj)),".")</f>
        <v>14578828.971992029</v>
      </c>
      <c r="AM23" s="15">
        <f>d_b2w!AC23</f>
        <v>2.193641751404533E-2</v>
      </c>
      <c r="AN23" s="15" t="str">
        <f>IFERROR(F23/(RadSpec!AL23*Q_w_poultry*(1/1000)),".")</f>
        <v>.</v>
      </c>
      <c r="AO23" s="15" t="str">
        <f>IFERROR(G23/(RadSpec!AM23*Q_w_poultry*(1/1000)),".")</f>
        <v>.</v>
      </c>
      <c r="AP23" s="15">
        <f>IFERROR(H23/(RadSpec!AI23*Q_w_beef*(1/1000)),".")</f>
        <v>6.4421869556405715</v>
      </c>
      <c r="AQ23" s="15">
        <f>IFERROR((I23*D_milk)/(RadSpec!AH23*Q_w_dairy*(1/1000)),".")</f>
        <v>2.944295756704884</v>
      </c>
      <c r="AR23" s="15" t="str">
        <f>IFERROR(J23/(RadSpec!AN23*Q_w_swine*(1/1000)),".")</f>
        <v>.</v>
      </c>
      <c r="AS23" s="15">
        <f>IFERROR(K23/(RadSpec!AJ23*(1/1000)),".")</f>
        <v>0.25173100661814307</v>
      </c>
      <c r="AT23" s="15">
        <f>IFERROR(L23/(RadSpec!AK23*(1/1000)),".")</f>
        <v>7.6833940568356886E-3</v>
      </c>
      <c r="AU23" s="118">
        <f t="shared" si="177"/>
        <v>12.078102400000002</v>
      </c>
      <c r="AV23" s="118" t="str">
        <f t="shared" si="178"/>
        <v>.</v>
      </c>
      <c r="AW23" s="118">
        <f t="shared" si="179"/>
        <v>6.8592614806109596E-8</v>
      </c>
      <c r="AX23" s="118">
        <f t="shared" si="180"/>
        <v>45.586294998247794</v>
      </c>
      <c r="AY23" s="118" t="str">
        <f t="shared" si="181"/>
        <v>.</v>
      </c>
      <c r="AZ23" s="118" t="str">
        <f t="shared" si="182"/>
        <v>.</v>
      </c>
      <c r="BA23" s="118">
        <f t="shared" si="183"/>
        <v>0.15522678973550003</v>
      </c>
      <c r="BB23" s="118">
        <f t="shared" si="184"/>
        <v>0.33963979254555343</v>
      </c>
      <c r="BC23" s="118" t="str">
        <f t="shared" si="185"/>
        <v>.</v>
      </c>
      <c r="BD23" s="118">
        <f t="shared" si="186"/>
        <v>3.9724943440000002</v>
      </c>
      <c r="BE23" s="118">
        <f t="shared" si="164"/>
        <v>130.15081520000001</v>
      </c>
      <c r="BF23" s="15">
        <f t="shared" si="22"/>
        <v>5.2006792987701776E-3</v>
      </c>
      <c r="BG23" s="15">
        <f>IFERROR((TR/(RadSpec!H23*IFA_far_adj)),".")</f>
        <v>1.3712412050303162E-4</v>
      </c>
      <c r="BH23" s="15">
        <f>IFERROR((TR/(RadSpec!K23*EF_far*(1/365)*ED_far*ET_far*(1/24)*GSF_a)),".")</f>
        <v>915.10159283186954</v>
      </c>
      <c r="BI23" s="15">
        <f t="shared" si="187"/>
        <v>1.3712409995556262E-4</v>
      </c>
    </row>
    <row r="24" spans="1:61" customFormat="1" x14ac:dyDescent="0.25">
      <c r="A24" s="3">
        <v>23</v>
      </c>
      <c r="B24" s="44" t="s">
        <v>34</v>
      </c>
      <c r="C24" s="248" t="s">
        <v>1071</v>
      </c>
      <c r="D24" s="249"/>
      <c r="E24" s="15" t="str">
        <f>d_dir!AC24</f>
        <v>.</v>
      </c>
      <c r="F24" s="15" t="str">
        <f>IFERROR(TR/(RadSpec!F24*IFP_far_adj*CF_far_poultry),".")</f>
        <v>.</v>
      </c>
      <c r="G24" s="15" t="str">
        <f>IFERROR(TR/(RadSpec!F24*IFE_far_adj*CF_far_egg),".")</f>
        <v>.</v>
      </c>
      <c r="H24" s="15" t="str">
        <f>IFERROR(TR/(RadSpec!F24*IFB_far_adj*CF_far_beef),".")</f>
        <v>.</v>
      </c>
      <c r="I24" s="15" t="str">
        <f>IFERROR(TR/(RadSpec!F24*IFD_far_adj*CF_far_dairy),".")</f>
        <v>.</v>
      </c>
      <c r="J24" s="15" t="str">
        <f>IFERROR(TR/(RadSpec!F24*IFSW_far_adj*CF_far_swine),".")</f>
        <v>.</v>
      </c>
      <c r="K24" s="15" t="str">
        <f>IFERROR(TR/(RadSpec!F24*IFFI_far_adj*CF_far_fish),".")</f>
        <v>.</v>
      </c>
      <c r="L24" s="15" t="str">
        <f>IFERROR(TR/(RadSpec!F24*IFSF_far_adj*CF_far_shellfish),".")</f>
        <v>.</v>
      </c>
      <c r="M24" s="15" t="str">
        <f>IFERROR((TR/(RadSpec!E24*IFS_far_adj*(1/1000)))*1,".")</f>
        <v>.</v>
      </c>
      <c r="N24" s="15" t="str">
        <f>IFERROR(IF(B24="H-3",(TR/(RadSpec!H24*IFA_far_adj*(1/17)*1000))*1,(TR/(RadSpec!H24*IFA_far_adj*(1/PEF_wind)*1000))*1),".")</f>
        <v>.</v>
      </c>
      <c r="O24" s="15">
        <f>IFERROR((TR/(RadSpec!G24*EF_far*(1/365)*ED_far*RadSpec!R24*((ET_far_o*(1/24)*RadSpec!W24)+(ET_far_i*(1/24)*RadSpec!AB24))))*1,".")</f>
        <v>11.426944895700977</v>
      </c>
      <c r="P24" s="15" t="str">
        <f>d_b2s!AC24</f>
        <v>.</v>
      </c>
      <c r="Q24" s="15" t="str">
        <f>IFERROR((F24/(RadSpec!AL24*((Q_p_poultry*f_p_poultry*f_s_poultry*(RadSpec!BD24+R_es_past))+(Q_s_poultry*f_p_poultry))))*1,".")</f>
        <v>.</v>
      </c>
      <c r="R24" s="15" t="str">
        <f>IFERROR((G24/(RadSpec!AM24*((Q_p_poultry*f_p_poultry*f_s_poultry*(RadSpec!BD24+R_es_past))+(Q_s_poultry*f_p_poultry))))*1,".")</f>
        <v>.</v>
      </c>
      <c r="S24" s="15" t="str">
        <f>IFERROR((H24/(RadSpec!AI24*((Q_p_beef*f_p_beef*f_s_beef*(RadSpec!BD24+R_es_past))+(Q_s_beef*f_p_beef))))*1,".")</f>
        <v>.</v>
      </c>
      <c r="T24" s="15" t="str">
        <f>IFERROR(((I24*D_milk)/(RadSpec!AH24*((Q_p_dairy*f_p_dairy*f_s_dairy*(RadSpec!BD24+R_es_past))+(Q_s_dairy*f_p_dairy))))*1,".")</f>
        <v>.</v>
      </c>
      <c r="U24" s="15" t="str">
        <f>IFERROR((J24/(RadSpec!AN24*((Q_p_swine*f_p_swine*f_s_swine*(RadSpec!BD24+R_es_past))+(Q_s_swine*f_p_swine))))*1,".")</f>
        <v>.</v>
      </c>
      <c r="V24" s="15" t="str">
        <f>IFERROR(((K24*RadSpec!AU24)/RadSpec!AJ24)*1,".")</f>
        <v>.</v>
      </c>
      <c r="W24" s="15" t="str">
        <f>IFERROR(((L24*RadSpec!AU24)/RadSpec!AK24)*1,".")</f>
        <v>.</v>
      </c>
      <c r="X24" s="118" t="str">
        <f t="shared" ref="X24:X25" si="188">IFERROR(1/M24,".")</f>
        <v>.</v>
      </c>
      <c r="Y24" s="118" t="str">
        <f t="shared" ref="Y24:Y25" si="189">IFERROR(1/N24,".")</f>
        <v>.</v>
      </c>
      <c r="Z24" s="118">
        <f t="shared" ref="Z24:Z25" si="190">IFERROR(1/O24,".")</f>
        <v>8.7512454914893137E-2</v>
      </c>
      <c r="AA24" s="118" t="str">
        <f t="shared" ref="AA24:AA25" si="191">IFERROR(1/P24,".")</f>
        <v>.</v>
      </c>
      <c r="AB24" s="118" t="str">
        <f t="shared" ref="AB24:AB25" si="192">IFERROR(1/Q24,".")</f>
        <v>.</v>
      </c>
      <c r="AC24" s="118" t="str">
        <f t="shared" ref="AC24:AC25" si="193">IFERROR(1/R24,".")</f>
        <v>.</v>
      </c>
      <c r="AD24" s="118" t="str">
        <f t="shared" ref="AD24:AD25" si="194">IFERROR(1/S24,".")</f>
        <v>.</v>
      </c>
      <c r="AE24" s="118" t="str">
        <f t="shared" ref="AE24:AE25" si="195">IFERROR(1/T24,".")</f>
        <v>.</v>
      </c>
      <c r="AF24" s="118" t="str">
        <f t="shared" ref="AF24:AF25" si="196">IFERROR(1/U24,".")</f>
        <v>.</v>
      </c>
      <c r="AG24" s="118" t="str">
        <f t="shared" ref="AG24:AG25" si="197">IFERROR(1/V24,".")</f>
        <v>.</v>
      </c>
      <c r="AH24" s="118" t="str">
        <f t="shared" si="154"/>
        <v>.</v>
      </c>
      <c r="AI24" s="15">
        <f t="shared" si="21"/>
        <v>11.426944895700977</v>
      </c>
      <c r="AJ24" s="15" t="str">
        <f>IFERROR(TR/(RadSpec!I24*IFW_far_adj),".")</f>
        <v>.</v>
      </c>
      <c r="AK24" s="15" t="str">
        <f>IFERROR(IF(AND(RadSpec!C24=1,RadSpec!D24&lt;&gt;0),TR/(RadSpec!H24*IFA_far_adj*K*RadSpec!D24),"."),".")</f>
        <v>.</v>
      </c>
      <c r="AL24" s="15">
        <f>IFERROR((TR/(RadSpec!M24*(1/8760)*DFA_far_adj)),".")</f>
        <v>132020761.51702733</v>
      </c>
      <c r="AM24" s="15" t="str">
        <f>d_b2w!AC24</f>
        <v>.</v>
      </c>
      <c r="AN24" s="15" t="str">
        <f>IFERROR(F24/(RadSpec!AL24*Q_w_poultry*(1/1000)),".")</f>
        <v>.</v>
      </c>
      <c r="AO24" s="15" t="str">
        <f>IFERROR(G24/(RadSpec!AM24*Q_w_poultry*(1/1000)),".")</f>
        <v>.</v>
      </c>
      <c r="AP24" s="15" t="str">
        <f>IFERROR(H24/(RadSpec!AI24*Q_w_beef*(1/1000)),".")</f>
        <v>.</v>
      </c>
      <c r="AQ24" s="15" t="str">
        <f>IFERROR((I24*D_milk)/(RadSpec!AH24*Q_w_dairy*(1/1000)),".")</f>
        <v>.</v>
      </c>
      <c r="AR24" s="15" t="str">
        <f>IFERROR(J24/(RadSpec!AN24*Q_w_swine*(1/1000)),".")</f>
        <v>.</v>
      </c>
      <c r="AS24" s="15" t="str">
        <f>IFERROR(K24/(RadSpec!AJ24*(1/1000)),".")</f>
        <v>.</v>
      </c>
      <c r="AT24" s="15" t="str">
        <f>IFERROR(L24/(RadSpec!AK24*(1/1000)),".")</f>
        <v>.</v>
      </c>
      <c r="AU24" s="118" t="str">
        <f t="shared" ref="AU24:AU25" si="198">IFERROR(1/AJ24,".")</f>
        <v>.</v>
      </c>
      <c r="AV24" s="118" t="str">
        <f t="shared" ref="AV24:AV25" si="199">IFERROR(1/AK24,".")</f>
        <v>.</v>
      </c>
      <c r="AW24" s="118">
        <f t="shared" ref="AW24:AW25" si="200">IFERROR(1/AL24,".")</f>
        <v>7.5745662160191771E-9</v>
      </c>
      <c r="AX24" s="118" t="str">
        <f t="shared" ref="AX24:AX25" si="201">IFERROR(1/AM24,".")</f>
        <v>.</v>
      </c>
      <c r="AY24" s="118" t="str">
        <f t="shared" ref="AY24:AY25" si="202">IFERROR(1/AN24,".")</f>
        <v>.</v>
      </c>
      <c r="AZ24" s="118" t="str">
        <f t="shared" ref="AZ24:AZ25" si="203">IFERROR(1/AO24,".")</f>
        <v>.</v>
      </c>
      <c r="BA24" s="118" t="str">
        <f t="shared" ref="BA24:BA25" si="204">IFERROR(1/AP24,".")</f>
        <v>.</v>
      </c>
      <c r="BB24" s="118" t="str">
        <f t="shared" ref="BB24:BB25" si="205">IFERROR(1/AQ24,".")</f>
        <v>.</v>
      </c>
      <c r="BC24" s="118" t="str">
        <f t="shared" ref="BC24:BC25" si="206">IFERROR(1/AR24,".")</f>
        <v>.</v>
      </c>
      <c r="BD24" s="118" t="str">
        <f t="shared" ref="BD24:BD25" si="207">IFERROR(1/AS24,".")</f>
        <v>.</v>
      </c>
      <c r="BE24" s="118" t="str">
        <f t="shared" si="164"/>
        <v>.</v>
      </c>
      <c r="BF24" s="15">
        <f t="shared" si="22"/>
        <v>132020761.51702735</v>
      </c>
      <c r="BG24" s="15" t="str">
        <f>IFERROR((TR/(RadSpec!H24*IFA_far_adj)),".")</f>
        <v>.</v>
      </c>
      <c r="BH24" s="15">
        <f>IFERROR((TR/(RadSpec!K24*EF_far*(1/365)*ED_far*ET_far*(1/24)*GSF_a)),".")</f>
        <v>8178.9299872152451</v>
      </c>
      <c r="BI24" s="15">
        <f t="shared" ref="BI24:BI30" si="208">IFERROR(IF(AND(BG24&lt;&gt;".",BH24&lt;&gt;"."),1/((1/BG24)+(1/BH24)),IF(AND(BG24&lt;&gt;".",BH24="."),1/((1/BG24)),IF(AND(BG24=".",BH24&lt;&gt;"."),1/((1/BH24)),IF(AND(BG24=".",BH24="."),".")))),".")</f>
        <v>8178.9299872152442</v>
      </c>
    </row>
    <row r="25" spans="1:61" customFormat="1" x14ac:dyDescent="0.25">
      <c r="A25" s="3">
        <v>24</v>
      </c>
      <c r="B25" s="46" t="s">
        <v>35</v>
      </c>
      <c r="C25" s="248" t="s">
        <v>349</v>
      </c>
      <c r="D25" s="249"/>
      <c r="E25" s="15" t="str">
        <f>d_dir!AC25</f>
        <v>.</v>
      </c>
      <c r="F25" s="15" t="str">
        <f>IFERROR(TR/(RadSpec!F25*IFP_far_adj*CF_far_poultry),".")</f>
        <v>.</v>
      </c>
      <c r="G25" s="15" t="str">
        <f>IFERROR(TR/(RadSpec!F25*IFE_far_adj*CF_far_egg),".")</f>
        <v>.</v>
      </c>
      <c r="H25" s="15" t="str">
        <f>IFERROR(TR/(RadSpec!F25*IFB_far_adj*CF_far_beef),".")</f>
        <v>.</v>
      </c>
      <c r="I25" s="15" t="str">
        <f>IFERROR(TR/(RadSpec!F25*IFD_far_adj*CF_far_dairy),".")</f>
        <v>.</v>
      </c>
      <c r="J25" s="15" t="str">
        <f>IFERROR(TR/(RadSpec!F25*IFSW_far_adj*CF_far_swine),".")</f>
        <v>.</v>
      </c>
      <c r="K25" s="15" t="str">
        <f>IFERROR(TR/(RadSpec!F25*IFFI_far_adj*CF_far_fish),".")</f>
        <v>.</v>
      </c>
      <c r="L25" s="15" t="str">
        <f>IFERROR(TR/(RadSpec!F25*IFSF_far_adj*CF_far_shellfish),".")</f>
        <v>.</v>
      </c>
      <c r="M25" s="15" t="str">
        <f>IFERROR((TR/(RadSpec!E25*IFS_far_adj*(1/1000)))*1,".")</f>
        <v>.</v>
      </c>
      <c r="N25" s="15">
        <f>IFERROR(IF(B25="H-3",(TR/(RadSpec!H25*IFA_far_adj*(1/17)*1000))*1,(TR/(RadSpec!H25*IFA_far_adj*(1/PEF_wind)*1000))*1),".")</f>
        <v>2301944.8512860425</v>
      </c>
      <c r="O25" s="15">
        <f>IFERROR((TR/(RadSpec!G25*EF_far*(1/365)*ED_far*RadSpec!R25*((ET_far_o*(1/24)*RadSpec!W25)+(ET_far_i*(1/24)*RadSpec!AB25))))*1,".")</f>
        <v>22.853889791401954</v>
      </c>
      <c r="P25" s="15" t="str">
        <f>d_b2s!AC25</f>
        <v>.</v>
      </c>
      <c r="Q25" s="15" t="str">
        <f>IFERROR((F25/(RadSpec!AL25*((Q_p_poultry*f_p_poultry*f_s_poultry*(RadSpec!BD25+R_es_past))+(Q_s_poultry*f_p_poultry))))*1,".")</f>
        <v>.</v>
      </c>
      <c r="R25" s="15" t="str">
        <f>IFERROR((G25/(RadSpec!AM25*((Q_p_poultry*f_p_poultry*f_s_poultry*(RadSpec!BD25+R_es_past))+(Q_s_poultry*f_p_poultry))))*1,".")</f>
        <v>.</v>
      </c>
      <c r="S25" s="15" t="str">
        <f>IFERROR((H25/(RadSpec!AI25*((Q_p_beef*f_p_beef*f_s_beef*(RadSpec!BD25+R_es_past))+(Q_s_beef*f_p_beef))))*1,".")</f>
        <v>.</v>
      </c>
      <c r="T25" s="15" t="str">
        <f>IFERROR(((I25*D_milk)/(RadSpec!AH25*((Q_p_dairy*f_p_dairy*f_s_dairy*(RadSpec!BD25+R_es_past))+(Q_s_dairy*f_p_dairy))))*1,".")</f>
        <v>.</v>
      </c>
      <c r="U25" s="15" t="str">
        <f>IFERROR((J25/(RadSpec!AN25*((Q_p_swine*f_p_swine*f_s_swine*(RadSpec!BD25+R_es_past))+(Q_s_swine*f_p_swine))))*1,".")</f>
        <v>.</v>
      </c>
      <c r="V25" s="15" t="str">
        <f>IFERROR(((K25*RadSpec!AU25)/RadSpec!AJ25)*1,".")</f>
        <v>.</v>
      </c>
      <c r="W25" s="15" t="str">
        <f>IFERROR(((L25*RadSpec!AU25)/RadSpec!AK25)*1,".")</f>
        <v>.</v>
      </c>
      <c r="X25" s="118" t="str">
        <f t="shared" si="188"/>
        <v>.</v>
      </c>
      <c r="Y25" s="118">
        <f t="shared" si="189"/>
        <v>4.3441527256455492E-7</v>
      </c>
      <c r="Z25" s="118">
        <f t="shared" si="190"/>
        <v>4.3756227457446568E-2</v>
      </c>
      <c r="AA25" s="118" t="str">
        <f t="shared" si="191"/>
        <v>.</v>
      </c>
      <c r="AB25" s="118" t="str">
        <f t="shared" si="192"/>
        <v>.</v>
      </c>
      <c r="AC25" s="118" t="str">
        <f t="shared" si="193"/>
        <v>.</v>
      </c>
      <c r="AD25" s="118" t="str">
        <f t="shared" si="194"/>
        <v>.</v>
      </c>
      <c r="AE25" s="118" t="str">
        <f t="shared" si="195"/>
        <v>.</v>
      </c>
      <c r="AF25" s="118" t="str">
        <f t="shared" si="196"/>
        <v>.</v>
      </c>
      <c r="AG25" s="118" t="str">
        <f t="shared" si="197"/>
        <v>.</v>
      </c>
      <c r="AH25" s="118" t="str">
        <f t="shared" si="154"/>
        <v>.</v>
      </c>
      <c r="AI25" s="15">
        <f t="shared" si="21"/>
        <v>22.853662898436678</v>
      </c>
      <c r="AJ25" s="15" t="str">
        <f>IFERROR(TR/(RadSpec!I25*IFW_far_adj),".")</f>
        <v>.</v>
      </c>
      <c r="AK25" s="15">
        <f>IFERROR(IF(AND(RadSpec!C25=1,RadSpec!D25&lt;&gt;0),TR/(RadSpec!H25*IFA_far_adj*K*RadSpec!D25),"."),".")</f>
        <v>3.3868454921086499</v>
      </c>
      <c r="AL25" s="15">
        <f>IFERROR((TR/(RadSpec!M25*(1/8760)*DFA_far_adj)),".")</f>
        <v>260094058.40397739</v>
      </c>
      <c r="AM25" s="15" t="str">
        <f>d_b2w!AC25</f>
        <v>.</v>
      </c>
      <c r="AN25" s="15" t="str">
        <f>IFERROR(F25/(RadSpec!AL25*Q_w_poultry*(1/1000)),".")</f>
        <v>.</v>
      </c>
      <c r="AO25" s="15" t="str">
        <f>IFERROR(G25/(RadSpec!AM25*Q_w_poultry*(1/1000)),".")</f>
        <v>.</v>
      </c>
      <c r="AP25" s="15" t="str">
        <f>IFERROR(H25/(RadSpec!AI25*Q_w_beef*(1/1000)),".")</f>
        <v>.</v>
      </c>
      <c r="AQ25" s="15" t="str">
        <f>IFERROR((I25*D_milk)/(RadSpec!AH25*Q_w_dairy*(1/1000)),".")</f>
        <v>.</v>
      </c>
      <c r="AR25" s="15" t="str">
        <f>IFERROR(J25/(RadSpec!AN25*Q_w_swine*(1/1000)),".")</f>
        <v>.</v>
      </c>
      <c r="AS25" s="15" t="str">
        <f>IFERROR(K25/(RadSpec!AJ25*(1/1000)),".")</f>
        <v>.</v>
      </c>
      <c r="AT25" s="15" t="str">
        <f>IFERROR(L25/(RadSpec!AK25*(1/1000)),".")</f>
        <v>.</v>
      </c>
      <c r="AU25" s="118" t="str">
        <f t="shared" si="198"/>
        <v>.</v>
      </c>
      <c r="AV25" s="118">
        <f t="shared" si="199"/>
        <v>0.29526000000000002</v>
      </c>
      <c r="AW25" s="118">
        <f t="shared" si="200"/>
        <v>3.8447629528191783E-9</v>
      </c>
      <c r="AX25" s="118" t="str">
        <f t="shared" si="201"/>
        <v>.</v>
      </c>
      <c r="AY25" s="118" t="str">
        <f t="shared" si="202"/>
        <v>.</v>
      </c>
      <c r="AZ25" s="118" t="str">
        <f t="shared" si="203"/>
        <v>.</v>
      </c>
      <c r="BA25" s="118" t="str">
        <f t="shared" si="204"/>
        <v>.</v>
      </c>
      <c r="BB25" s="118" t="str">
        <f t="shared" si="205"/>
        <v>.</v>
      </c>
      <c r="BC25" s="118" t="str">
        <f t="shared" si="206"/>
        <v>.</v>
      </c>
      <c r="BD25" s="118" t="str">
        <f t="shared" si="207"/>
        <v>.</v>
      </c>
      <c r="BE25" s="118" t="str">
        <f t="shared" si="164"/>
        <v>.</v>
      </c>
      <c r="BF25" s="15">
        <f t="shared" si="22"/>
        <v>3.3868454480064418</v>
      </c>
      <c r="BG25" s="15">
        <f>IFERROR((TR/(RadSpec!H25*IFA_far_adj)),".")</f>
        <v>1.693422746054325</v>
      </c>
      <c r="BH25" s="15">
        <f>IFERROR((TR/(RadSpec!K25*EF_far*(1/365)*ED_far*ET_far*(1/24)*GSF_a)),".")</f>
        <v>16063.653859782458</v>
      </c>
      <c r="BI25" s="15">
        <f t="shared" si="208"/>
        <v>1.6932442450517369</v>
      </c>
    </row>
    <row r="26" spans="1:61" customFormat="1" x14ac:dyDescent="0.25">
      <c r="A26" s="3">
        <v>25</v>
      </c>
      <c r="B26" s="44" t="s">
        <v>36</v>
      </c>
      <c r="C26" s="42" t="s">
        <v>1071</v>
      </c>
      <c r="D26" s="42"/>
      <c r="E26" s="15">
        <f>d_dir!AC26</f>
        <v>1.7377809774357227E-4</v>
      </c>
      <c r="F26" s="15">
        <f>IFERROR(TR/(RadSpec!F26*IFP_far_adj*CF_far_poultry),".")</f>
        <v>1.5714483708923204E-3</v>
      </c>
      <c r="G26" s="15">
        <f>IFERROR(TR/(RadSpec!F26*IFE_far_adj*CF_far_egg),".")</f>
        <v>2.844036229938634E-3</v>
      </c>
      <c r="H26" s="15">
        <f>IFERROR(TR/(RadSpec!F26*IFB_far_adj*CF_far_beef),".")</f>
        <v>1.0277873275636553E-3</v>
      </c>
      <c r="I26" s="15">
        <f>IFERROR(TR/(RadSpec!F26*IFD_far_adj*CF_far_dairy),".")</f>
        <v>1.7695415956912969E-4</v>
      </c>
      <c r="J26" s="15">
        <f>IFERROR(TR/(RadSpec!F26*IFSW_far_adj*CF_far_swine),".")</f>
        <v>1.8453743503755201E-3</v>
      </c>
      <c r="K26" s="15">
        <f>IFERROR(TR/(RadSpec!F26*IFFI_far_adj*CF_far_fish),".")</f>
        <v>1.782961015027867E-3</v>
      </c>
      <c r="L26" s="15">
        <f>IFERROR(TR/(RadSpec!F26*IFSF_far_adj*CF_far_shellfish),".")</f>
        <v>1.3604990750320518E-3</v>
      </c>
      <c r="M26" s="15">
        <f>IFERROR((TR/(RadSpec!E26*IFS_far_adj*(1/1000)))*1,".")</f>
        <v>1.6141320489146573</v>
      </c>
      <c r="N26" s="15">
        <f>IFERROR(IF(B26="H-3",(TR/(RadSpec!H26*IFA_far_adj*(1/17)*1000))*1,(TR/(RadSpec!H26*IFA_far_adj*(1/PEF_wind)*1000))*1),".")</f>
        <v>30.052875978768757</v>
      </c>
      <c r="O26" s="15">
        <f>IFERROR((TR/(RadSpec!G26*EF_far*(1/365)*ED_far*RadSpec!R26*((ET_far_o*(1/24)*RadSpec!W26)+(ET_far_i*(1/24)*RadSpec!AB26))))*1,".")</f>
        <v>0.17259448019548351</v>
      </c>
      <c r="P26" s="15">
        <f>d_b2s!AC26</f>
        <v>0.11842412087178163</v>
      </c>
      <c r="Q26" s="15" t="str">
        <f>IFERROR((F26/(RadSpec!AL26*((Q_p_poultry*f_p_poultry*f_s_poultry*(RadSpec!BD26+R_es_past))+(Q_s_poultry*f_p_poultry))))*1,".")</f>
        <v>.</v>
      </c>
      <c r="R26" s="15" t="str">
        <f>IFERROR((G26/(RadSpec!AM26*((Q_p_poultry*f_p_poultry*f_s_poultry*(RadSpec!BD26+R_es_past))+(Q_s_poultry*f_p_poultry))))*1,".")</f>
        <v>.</v>
      </c>
      <c r="S26" s="15">
        <f>IFERROR((H26/(RadSpec!AI26*((Q_p_beef*f_p_beef*f_s_beef*(RadSpec!BD26+R_es_past))+(Q_s_beef*f_p_beef))))*1,".")</f>
        <v>1.2874549068326806</v>
      </c>
      <c r="T26" s="15">
        <f>IFERROR(((I26*D_milk)/(RadSpec!AH26*((Q_p_dairy*f_p_dairy*f_s_dairy*(RadSpec!BD26+R_es_past))+(Q_s_dairy*f_p_dairy))))*1,".")</f>
        <v>6.598942228682243</v>
      </c>
      <c r="U26" s="15" t="str">
        <f>IFERROR((J26/(RadSpec!AN26*((Q_p_swine*f_p_swine*f_s_swine*(RadSpec!BD26+R_es_past))+(Q_s_swine*f_p_swine))))*1,".")</f>
        <v>.</v>
      </c>
      <c r="V26" s="15">
        <f>IFERROR(((K26*RadSpec!AU26)/RadSpec!AJ26)*1,".")</f>
        <v>5.9432033834262233E-3</v>
      </c>
      <c r="W26" s="15">
        <f>IFERROR(((L26*RadSpec!AU26)/RadSpec!AK26)*1,".")</f>
        <v>9.3827522416003575E-6</v>
      </c>
      <c r="X26" s="118">
        <f t="shared" ref="X26" si="209">IFERROR(1/M26,".")</f>
        <v>0.61952800000000008</v>
      </c>
      <c r="Y26" s="118">
        <f t="shared" ref="Y26" si="210">IFERROR(1/N26,".")</f>
        <v>3.3274685614330654E-2</v>
      </c>
      <c r="Z26" s="118">
        <f t="shared" ref="Z26" si="211">IFERROR(1/O26,".")</f>
        <v>5.7939280495377519</v>
      </c>
      <c r="AA26" s="118">
        <f t="shared" ref="AA26" si="212">IFERROR(1/P26,".")</f>
        <v>8.4442256580710016</v>
      </c>
      <c r="AB26" s="118" t="str">
        <f t="shared" ref="AB26" si="213">IFERROR(1/Q26,".")</f>
        <v>.</v>
      </c>
      <c r="AC26" s="118" t="str">
        <f t="shared" ref="AC26" si="214">IFERROR(1/R26,".")</f>
        <v>.</v>
      </c>
      <c r="AD26" s="118">
        <f t="shared" ref="AD26" si="215">IFERROR(1/S26,".")</f>
        <v>0.77672623304542765</v>
      </c>
      <c r="AE26" s="118">
        <f t="shared" ref="AE26" si="216">IFERROR(1/T26,".")</f>
        <v>0.15153943849568935</v>
      </c>
      <c r="AF26" s="118" t="str">
        <f t="shared" ref="AF26" si="217">IFERROR(1/U26,".")</f>
        <v>.</v>
      </c>
      <c r="AG26" s="118">
        <f t="shared" ref="AG26" si="218">IFERROR(1/V26,".")</f>
        <v>168.2594277</v>
      </c>
      <c r="AH26" s="118">
        <f t="shared" si="154"/>
        <v>106578.53626000001</v>
      </c>
      <c r="AI26" s="15">
        <f t="shared" si="21"/>
        <v>9.366574627693364E-6</v>
      </c>
      <c r="AJ26" s="15">
        <f>IFERROR(TR/(RadSpec!I26*IFW_far_adj),".")</f>
        <v>0.14256000219337117</v>
      </c>
      <c r="AK26" s="15" t="str">
        <f>IFERROR(IF(AND(RadSpec!C26=1,RadSpec!D26&lt;&gt;0),TR/(RadSpec!H26*IFA_far_adj*K*RadSpec!D26),"."),".")</f>
        <v>.</v>
      </c>
      <c r="AL26" s="15">
        <f>IFERROR((TR/(RadSpec!M26*(1/8760)*DFA_far_adj)),".")</f>
        <v>1368676.775867084</v>
      </c>
      <c r="AM26" s="15">
        <f>d_b2w!AC26</f>
        <v>4.7033916930934741E-2</v>
      </c>
      <c r="AN26" s="15" t="str">
        <f>IFERROR(F26/(RadSpec!AL26*Q_w_poultry*(1/1000)),".")</f>
        <v>.</v>
      </c>
      <c r="AO26" s="15" t="str">
        <f>IFERROR(G26/(RadSpec!AM26*Q_w_poultry*(1/1000)),".")</f>
        <v>.</v>
      </c>
      <c r="AP26" s="15">
        <f>IFERROR(H26/(RadSpec!AI26*Q_w_beef*(1/1000)),".")</f>
        <v>84.313972728765805</v>
      </c>
      <c r="AQ26" s="15">
        <f>IFERROR((I26*D_milk)/(RadSpec!AH26*Q_w_dairy*(1/1000)),".")</f>
        <v>396.22344425261645</v>
      </c>
      <c r="AR26" s="15" t="str">
        <f>IFERROR(J26/(RadSpec!AN26*Q_w_swine*(1/1000)),".")</f>
        <v>.</v>
      </c>
      <c r="AS26" s="15">
        <f>IFERROR(K26/(RadSpec!AJ26*(1/1000)),".")</f>
        <v>0.29716016917131116</v>
      </c>
      <c r="AT26" s="15">
        <f>IFERROR(L26/(RadSpec!AK26*(1/1000)),".")</f>
        <v>4.6913761208001786E-4</v>
      </c>
      <c r="AU26" s="118">
        <f t="shared" ref="AU26" si="219">IFERROR(1/AJ26,".")</f>
        <v>7.0145902399999995</v>
      </c>
      <c r="AV26" s="118" t="str">
        <f t="shared" ref="AV26" si="220">IFERROR(1/AK26,".")</f>
        <v>.</v>
      </c>
      <c r="AW26" s="118">
        <f t="shared" ref="AW26" si="221">IFERROR(1/AL26,".")</f>
        <v>7.3063269402410958E-7</v>
      </c>
      <c r="AX26" s="118">
        <f t="shared" ref="AX26" si="222">IFERROR(1/AM26,".")</f>
        <v>21.261252841612446</v>
      </c>
      <c r="AY26" s="118" t="str">
        <f t="shared" ref="AY26" si="223">IFERROR(1/AN26,".")</f>
        <v>.</v>
      </c>
      <c r="AZ26" s="118" t="str">
        <f t="shared" ref="AZ26" si="224">IFERROR(1/AO26,".")</f>
        <v>.</v>
      </c>
      <c r="BA26" s="118">
        <f t="shared" ref="BA26" si="225">IFERROR(1/AP26,".")</f>
        <v>1.1860430337175005E-2</v>
      </c>
      <c r="BB26" s="118">
        <f t="shared" ref="BB26" si="226">IFERROR(1/AQ26,".")</f>
        <v>2.5238284470679617E-3</v>
      </c>
      <c r="BC26" s="118" t="str">
        <f t="shared" ref="BC26" si="227">IFERROR(1/AR26,".")</f>
        <v>.</v>
      </c>
      <c r="BD26" s="118">
        <f t="shared" ref="BD26" si="228">IFERROR(1/AS26,".")</f>
        <v>3.3651885539999999</v>
      </c>
      <c r="BE26" s="118">
        <f t="shared" si="164"/>
        <v>2131.5707252000002</v>
      </c>
      <c r="BF26" s="15">
        <f t="shared" si="22"/>
        <v>4.6227252004098793E-4</v>
      </c>
      <c r="BG26" s="15">
        <f>IFERROR((TR/(RadSpec!H26*IFA_far_adj)),".")</f>
        <v>2.210835925906929E-5</v>
      </c>
      <c r="BH26" s="15">
        <f>IFERROR((TR/(RadSpec!K26*EF_far*(1/365)*ED_far*ET_far*(1/24)*GSF_a)),".")</f>
        <v>86.881240720224184</v>
      </c>
      <c r="BI26" s="15">
        <f t="shared" si="208"/>
        <v>2.2108353633235443E-5</v>
      </c>
    </row>
    <row r="27" spans="1:61" customFormat="1" x14ac:dyDescent="0.25">
      <c r="A27" s="3">
        <v>26</v>
      </c>
      <c r="B27" s="44" t="s">
        <v>37</v>
      </c>
      <c r="C27" s="248" t="s">
        <v>1071</v>
      </c>
      <c r="D27" s="249"/>
      <c r="E27" s="15" t="str">
        <f>d_dir!AC27</f>
        <v>.</v>
      </c>
      <c r="F27" s="15" t="str">
        <f>IFERROR(TR/(RadSpec!F27*IFP_far_adj*CF_far_poultry),".")</f>
        <v>.</v>
      </c>
      <c r="G27" s="15" t="str">
        <f>IFERROR(TR/(RadSpec!F27*IFE_far_adj*CF_far_egg),".")</f>
        <v>.</v>
      </c>
      <c r="H27" s="15" t="str">
        <f>IFERROR(TR/(RadSpec!F27*IFB_far_adj*CF_far_beef),".")</f>
        <v>.</v>
      </c>
      <c r="I27" s="15" t="str">
        <f>IFERROR(TR/(RadSpec!F27*IFD_far_adj*CF_far_dairy),".")</f>
        <v>.</v>
      </c>
      <c r="J27" s="15" t="str">
        <f>IFERROR(TR/(RadSpec!F27*IFSW_far_adj*CF_far_swine),".")</f>
        <v>.</v>
      </c>
      <c r="K27" s="15" t="str">
        <f>IFERROR(TR/(RadSpec!F27*IFFI_far_adj*CF_far_fish),".")</f>
        <v>.</v>
      </c>
      <c r="L27" s="15" t="str">
        <f>IFERROR(TR/(RadSpec!F27*IFSF_far_adj*CF_far_shellfish),".")</f>
        <v>.</v>
      </c>
      <c r="M27" s="15" t="str">
        <f>IFERROR((TR/(RadSpec!E27*IFS_far_adj*(1/1000)))*1,".")</f>
        <v>.</v>
      </c>
      <c r="N27" s="15" t="str">
        <f>IFERROR(IF(B27="H-3",(TR/(RadSpec!H27*IFA_far_adj*(1/17)*1000))*1,(TR/(RadSpec!H27*IFA_far_adj*(1/PEF_wind)*1000))*1),".")</f>
        <v>.</v>
      </c>
      <c r="O27" s="15">
        <f>IFERROR((TR/(RadSpec!G27*EF_far*(1/365)*ED_far*RadSpec!R27*((ET_far_o*(1/24)*RadSpec!W27)+(ET_far_i*(1/24)*RadSpec!AB27))))*1,".")</f>
        <v>6.3361644737156473</v>
      </c>
      <c r="P27" s="15" t="str">
        <f>d_b2s!AC27</f>
        <v>.</v>
      </c>
      <c r="Q27" s="15" t="str">
        <f>IFERROR((F27/(RadSpec!AL27*((Q_p_poultry*f_p_poultry*f_s_poultry*(RadSpec!BD27+R_es_past))+(Q_s_poultry*f_p_poultry))))*1,".")</f>
        <v>.</v>
      </c>
      <c r="R27" s="15" t="str">
        <f>IFERROR((G27/(RadSpec!AM27*((Q_p_poultry*f_p_poultry*f_s_poultry*(RadSpec!BD27+R_es_past))+(Q_s_poultry*f_p_poultry))))*1,".")</f>
        <v>.</v>
      </c>
      <c r="S27" s="15" t="str">
        <f>IFERROR((H27/(RadSpec!AI27*((Q_p_beef*f_p_beef*f_s_beef*(RadSpec!BD27+R_es_past))+(Q_s_beef*f_p_beef))))*1,".")</f>
        <v>.</v>
      </c>
      <c r="T27" s="15" t="str">
        <f>IFERROR(((I27*D_milk)/(RadSpec!AH27*((Q_p_dairy*f_p_dairy*f_s_dairy*(RadSpec!BD27+R_es_past))+(Q_s_dairy*f_p_dairy))))*1,".")</f>
        <v>.</v>
      </c>
      <c r="U27" s="15" t="str">
        <f>IFERROR((J27/(RadSpec!AN27*((Q_p_swine*f_p_swine*f_s_swine*(RadSpec!BD27+R_es_past))+(Q_s_swine*f_p_swine))))*1,".")</f>
        <v>.</v>
      </c>
      <c r="V27" s="15" t="str">
        <f>IFERROR(((K27*RadSpec!AU27)/RadSpec!AJ27)*1,".")</f>
        <v>.</v>
      </c>
      <c r="W27" s="15" t="str">
        <f>IFERROR(((L27*RadSpec!AU27)/RadSpec!AK27)*1,".")</f>
        <v>.</v>
      </c>
      <c r="X27" s="118" t="str">
        <f t="shared" ref="X27:X30" si="229">IFERROR(1/M27,".")</f>
        <v>.</v>
      </c>
      <c r="Y27" s="118" t="str">
        <f t="shared" ref="Y27:Y30" si="230">IFERROR(1/N27,".")</f>
        <v>.</v>
      </c>
      <c r="Z27" s="118">
        <f t="shared" ref="Z27:Z30" si="231">IFERROR(1/O27,".")</f>
        <v>0.15782418593272107</v>
      </c>
      <c r="AA27" s="118" t="str">
        <f t="shared" ref="AA27:AA30" si="232">IFERROR(1/P27,".")</f>
        <v>.</v>
      </c>
      <c r="AB27" s="118" t="str">
        <f t="shared" ref="AB27:AB30" si="233">IFERROR(1/Q27,".")</f>
        <v>.</v>
      </c>
      <c r="AC27" s="118" t="str">
        <f t="shared" ref="AC27:AC30" si="234">IFERROR(1/R27,".")</f>
        <v>.</v>
      </c>
      <c r="AD27" s="118" t="str">
        <f t="shared" ref="AD27:AD30" si="235">IFERROR(1/S27,".")</f>
        <v>.</v>
      </c>
      <c r="AE27" s="118" t="str">
        <f t="shared" ref="AE27:AE30" si="236">IFERROR(1/T27,".")</f>
        <v>.</v>
      </c>
      <c r="AF27" s="118" t="str">
        <f t="shared" ref="AF27:AF30" si="237">IFERROR(1/U27,".")</f>
        <v>.</v>
      </c>
      <c r="AG27" s="118" t="str">
        <f t="shared" ref="AG27:AG30" si="238">IFERROR(1/V27,".")</f>
        <v>.</v>
      </c>
      <c r="AH27" s="118" t="str">
        <f t="shared" si="154"/>
        <v>.</v>
      </c>
      <c r="AI27" s="15">
        <f t="shared" si="21"/>
        <v>6.3361644737156464</v>
      </c>
      <c r="AJ27" s="15" t="str">
        <f>IFERROR(TR/(RadSpec!I27*IFW_far_adj),".")</f>
        <v>.</v>
      </c>
      <c r="AK27" s="15" t="str">
        <f>IFERROR(IF(AND(RadSpec!C27=1,RadSpec!D27&lt;&gt;0),TR/(RadSpec!H27*IFA_far_adj*K*RadSpec!D27),"."),".")</f>
        <v>.</v>
      </c>
      <c r="AL27" s="15">
        <f>IFERROR((TR/(RadSpec!M27*(1/8760)*DFA_far_adj)),".")</f>
        <v>62133580.618727945</v>
      </c>
      <c r="AM27" s="15" t="str">
        <f>d_b2w!AC27</f>
        <v>.</v>
      </c>
      <c r="AN27" s="15" t="str">
        <f>IFERROR(F27/(RadSpec!AL27*Q_w_poultry*(1/1000)),".")</f>
        <v>.</v>
      </c>
      <c r="AO27" s="15" t="str">
        <f>IFERROR(G27/(RadSpec!AM27*Q_w_poultry*(1/1000)),".")</f>
        <v>.</v>
      </c>
      <c r="AP27" s="15" t="str">
        <f>IFERROR(H27/(RadSpec!AI27*Q_w_beef*(1/1000)),".")</f>
        <v>.</v>
      </c>
      <c r="AQ27" s="15" t="str">
        <f>IFERROR((I27*D_milk)/(RadSpec!AH27*Q_w_dairy*(1/1000)),".")</f>
        <v>.</v>
      </c>
      <c r="AR27" s="15" t="str">
        <f>IFERROR(J27/(RadSpec!AN27*Q_w_swine*(1/1000)),".")</f>
        <v>.</v>
      </c>
      <c r="AS27" s="15" t="str">
        <f>IFERROR(K27/(RadSpec!AJ27*(1/1000)),".")</f>
        <v>.</v>
      </c>
      <c r="AT27" s="15" t="str">
        <f>IFERROR(L27/(RadSpec!AK27*(1/1000)),".")</f>
        <v>.</v>
      </c>
      <c r="AU27" s="118" t="str">
        <f t="shared" ref="AU27:AU30" si="239">IFERROR(1/AJ27,".")</f>
        <v>.</v>
      </c>
      <c r="AV27" s="118" t="str">
        <f t="shared" ref="AV27:AV30" si="240">IFERROR(1/AK27,".")</f>
        <v>.</v>
      </c>
      <c r="AW27" s="118">
        <f t="shared" ref="AW27:AW30" si="241">IFERROR(1/AL27,".")</f>
        <v>1.609435654668493E-8</v>
      </c>
      <c r="AX27" s="118" t="str">
        <f t="shared" ref="AX27:AX30" si="242">IFERROR(1/AM27,".")</f>
        <v>.</v>
      </c>
      <c r="AY27" s="118" t="str">
        <f t="shared" ref="AY27:AY30" si="243">IFERROR(1/AN27,".")</f>
        <v>.</v>
      </c>
      <c r="AZ27" s="118" t="str">
        <f t="shared" ref="AZ27:AZ30" si="244">IFERROR(1/AO27,".")</f>
        <v>.</v>
      </c>
      <c r="BA27" s="118" t="str">
        <f t="shared" ref="BA27:BA30" si="245">IFERROR(1/AP27,".")</f>
        <v>.</v>
      </c>
      <c r="BB27" s="118" t="str">
        <f t="shared" ref="BB27:BB30" si="246">IFERROR(1/AQ27,".")</f>
        <v>.</v>
      </c>
      <c r="BC27" s="118" t="str">
        <f t="shared" ref="BC27:BC30" si="247">IFERROR(1/AR27,".")</f>
        <v>.</v>
      </c>
      <c r="BD27" s="118" t="str">
        <f t="shared" ref="BD27:BD30" si="248">IFERROR(1/AS27,".")</f>
        <v>.</v>
      </c>
      <c r="BE27" s="118" t="str">
        <f t="shared" si="164"/>
        <v>.</v>
      </c>
      <c r="BF27" s="15">
        <f t="shared" si="22"/>
        <v>62133580.618727945</v>
      </c>
      <c r="BG27" s="15" t="str">
        <f>IFERROR((TR/(RadSpec!H27*IFA_far_adj)),".")</f>
        <v>.</v>
      </c>
      <c r="BH27" s="15">
        <f>IFERROR((TR/(RadSpec!K27*EF_far*(1/365)*ED_far*ET_far*(1/24)*GSF_a)),".")</f>
        <v>2773.7240826208217</v>
      </c>
      <c r="BI27" s="15">
        <f t="shared" si="208"/>
        <v>2773.7240826208217</v>
      </c>
    </row>
    <row r="28" spans="1:61" customFormat="1" x14ac:dyDescent="0.25">
      <c r="A28" s="3">
        <v>27</v>
      </c>
      <c r="B28" s="44" t="s">
        <v>38</v>
      </c>
      <c r="C28" s="42" t="s">
        <v>1071</v>
      </c>
      <c r="D28" s="42"/>
      <c r="E28" s="15" t="str">
        <f>d_dir!AC28</f>
        <v>.</v>
      </c>
      <c r="F28" s="15" t="str">
        <f>IFERROR(TR/(RadSpec!F28*IFP_far_adj*CF_far_poultry),".")</f>
        <v>.</v>
      </c>
      <c r="G28" s="15" t="str">
        <f>IFERROR(TR/(RadSpec!F28*IFE_far_adj*CF_far_egg),".")</f>
        <v>.</v>
      </c>
      <c r="H28" s="15" t="str">
        <f>IFERROR(TR/(RadSpec!F28*IFB_far_adj*CF_far_beef),".")</f>
        <v>.</v>
      </c>
      <c r="I28" s="15" t="str">
        <f>IFERROR(TR/(RadSpec!F28*IFD_far_adj*CF_far_dairy),".")</f>
        <v>.</v>
      </c>
      <c r="J28" s="15" t="str">
        <f>IFERROR(TR/(RadSpec!F28*IFSW_far_adj*CF_far_swine),".")</f>
        <v>.</v>
      </c>
      <c r="K28" s="15" t="str">
        <f>IFERROR(TR/(RadSpec!F28*IFFI_far_adj*CF_far_fish),".")</f>
        <v>.</v>
      </c>
      <c r="L28" s="15" t="str">
        <f>IFERROR(TR/(RadSpec!F28*IFSF_far_adj*CF_far_shellfish),".")</f>
        <v>.</v>
      </c>
      <c r="M28" s="15" t="str">
        <f>IFERROR((TR/(RadSpec!E28*IFS_far_adj*(1/1000)))*1,".")</f>
        <v>.</v>
      </c>
      <c r="N28" s="15" t="str">
        <f>IFERROR(IF(B28="H-3",(TR/(RadSpec!H28*IFA_far_adj*(1/17)*1000))*1,(TR/(RadSpec!H28*IFA_far_adj*(1/PEF_wind)*1000))*1),".")</f>
        <v>.</v>
      </c>
      <c r="O28" s="15">
        <f>IFERROR((TR/(RadSpec!G28*EF_far*(1/365)*ED_far*RadSpec!R28*((ET_far_o*(1/24)*RadSpec!W28)+(ET_far_i*(1/24)*RadSpec!AB28))))*1,".")</f>
        <v>3.748658393386067E-3</v>
      </c>
      <c r="P28" s="15" t="str">
        <f>d_b2s!AC28</f>
        <v>.</v>
      </c>
      <c r="Q28" s="15" t="str">
        <f>IFERROR((F28/(RadSpec!AL28*((Q_p_poultry*f_p_poultry*f_s_poultry*(RadSpec!BD28+R_es_past))+(Q_s_poultry*f_p_poultry))))*1,".")</f>
        <v>.</v>
      </c>
      <c r="R28" s="15" t="str">
        <f>IFERROR((G28/(RadSpec!AM28*((Q_p_poultry*f_p_poultry*f_s_poultry*(RadSpec!BD28+R_es_past))+(Q_s_poultry*f_p_poultry))))*1,".")</f>
        <v>.</v>
      </c>
      <c r="S28" s="15" t="str">
        <f>IFERROR((H28/(RadSpec!AI28*((Q_p_beef*f_p_beef*f_s_beef*(RadSpec!BD28+R_es_past))+(Q_s_beef*f_p_beef))))*1,".")</f>
        <v>.</v>
      </c>
      <c r="T28" s="15" t="str">
        <f>IFERROR(((I28*D_milk)/(RadSpec!AH28*((Q_p_dairy*f_p_dairy*f_s_dairy*(RadSpec!BD28+R_es_past))+(Q_s_dairy*f_p_dairy))))*1,".")</f>
        <v>.</v>
      </c>
      <c r="U28" s="15" t="str">
        <f>IFERROR((J28/(RadSpec!AN28*((Q_p_swine*f_p_swine*f_s_swine*(RadSpec!BD28+R_es_past))+(Q_s_swine*f_p_swine))))*1,".")</f>
        <v>.</v>
      </c>
      <c r="V28" s="15" t="str">
        <f>IFERROR(((K28*RadSpec!AU28)/RadSpec!AJ28)*1,".")</f>
        <v>.</v>
      </c>
      <c r="W28" s="15" t="str">
        <f>IFERROR(((L28*RadSpec!AU28)/RadSpec!AK28)*1,".")</f>
        <v>.</v>
      </c>
      <c r="X28" s="118" t="str">
        <f t="shared" si="229"/>
        <v>.</v>
      </c>
      <c r="Y28" s="118" t="str">
        <f t="shared" si="230"/>
        <v>.</v>
      </c>
      <c r="Z28" s="118">
        <f t="shared" si="231"/>
        <v>266.76210394746738</v>
      </c>
      <c r="AA28" s="118" t="str">
        <f t="shared" si="232"/>
        <v>.</v>
      </c>
      <c r="AB28" s="118" t="str">
        <f t="shared" si="233"/>
        <v>.</v>
      </c>
      <c r="AC28" s="118" t="str">
        <f t="shared" si="234"/>
        <v>.</v>
      </c>
      <c r="AD28" s="118" t="str">
        <f t="shared" si="235"/>
        <v>.</v>
      </c>
      <c r="AE28" s="118" t="str">
        <f t="shared" si="236"/>
        <v>.</v>
      </c>
      <c r="AF28" s="118" t="str">
        <f t="shared" si="237"/>
        <v>.</v>
      </c>
      <c r="AG28" s="118" t="str">
        <f t="shared" si="238"/>
        <v>.</v>
      </c>
      <c r="AH28" s="118" t="str">
        <f t="shared" si="154"/>
        <v>.</v>
      </c>
      <c r="AI28" s="15">
        <f t="shared" si="21"/>
        <v>3.7486583933860665E-3</v>
      </c>
      <c r="AJ28" s="15" t="str">
        <f>IFERROR(TR/(RadSpec!I28*IFW_far_adj),".")</f>
        <v>.</v>
      </c>
      <c r="AK28" s="15" t="str">
        <f>IFERROR(IF(AND(RadSpec!C28=1,RadSpec!D28&lt;&gt;0),TR/(RadSpec!H28*IFA_far_adj*K*RadSpec!D28),"."),".")</f>
        <v>.</v>
      </c>
      <c r="AL28" s="15">
        <f>IFERROR((TR/(RadSpec!M28*(1/8760)*DFA_far_adj)),".")</f>
        <v>43982.197516627639</v>
      </c>
      <c r="AM28" s="15" t="str">
        <f>d_b2w!AC28</f>
        <v>.</v>
      </c>
      <c r="AN28" s="15" t="str">
        <f>IFERROR(F28/(RadSpec!AL28*Q_w_poultry*(1/1000)),".")</f>
        <v>.</v>
      </c>
      <c r="AO28" s="15" t="str">
        <f>IFERROR(G28/(RadSpec!AM28*Q_w_poultry*(1/1000)),".")</f>
        <v>.</v>
      </c>
      <c r="AP28" s="15" t="str">
        <f>IFERROR(H28/(RadSpec!AI28*Q_w_beef*(1/1000)),".")</f>
        <v>.</v>
      </c>
      <c r="AQ28" s="15" t="str">
        <f>IFERROR((I28*D_milk)/(RadSpec!AH28*Q_w_dairy*(1/1000)),".")</f>
        <v>.</v>
      </c>
      <c r="AR28" s="15" t="str">
        <f>IFERROR(J28/(RadSpec!AN28*Q_w_swine*(1/1000)),".")</f>
        <v>.</v>
      </c>
      <c r="AS28" s="15" t="str">
        <f>IFERROR(K28/(RadSpec!AJ28*(1/1000)),".")</f>
        <v>.</v>
      </c>
      <c r="AT28" s="15" t="str">
        <f>IFERROR(L28/(RadSpec!AK28*(1/1000)),".")</f>
        <v>.</v>
      </c>
      <c r="AU28" s="118" t="str">
        <f t="shared" si="239"/>
        <v>.</v>
      </c>
      <c r="AV28" s="118" t="str">
        <f t="shared" si="240"/>
        <v>.</v>
      </c>
      <c r="AW28" s="118">
        <f t="shared" si="241"/>
        <v>2.2736471946904111E-5</v>
      </c>
      <c r="AX28" s="118" t="str">
        <f t="shared" si="242"/>
        <v>.</v>
      </c>
      <c r="AY28" s="118" t="str">
        <f t="shared" si="243"/>
        <v>.</v>
      </c>
      <c r="AZ28" s="118" t="str">
        <f t="shared" si="244"/>
        <v>.</v>
      </c>
      <c r="BA28" s="118" t="str">
        <f t="shared" si="245"/>
        <v>.</v>
      </c>
      <c r="BB28" s="118" t="str">
        <f t="shared" si="246"/>
        <v>.</v>
      </c>
      <c r="BC28" s="118" t="str">
        <f t="shared" si="247"/>
        <v>.</v>
      </c>
      <c r="BD28" s="118" t="str">
        <f t="shared" si="248"/>
        <v>.</v>
      </c>
      <c r="BE28" s="118" t="str">
        <f t="shared" si="164"/>
        <v>.</v>
      </c>
      <c r="BF28" s="15">
        <f t="shared" si="22"/>
        <v>43982.197516627639</v>
      </c>
      <c r="BG28" s="15" t="str">
        <f>IFERROR((TR/(RadSpec!H28*IFA_far_adj)),".")</f>
        <v>.</v>
      </c>
      <c r="BH28" s="15">
        <f>IFERROR((TR/(RadSpec!K28*EF_far*(1/365)*ED_far*ET_far*(1/24)*GSF_a)),".")</f>
        <v>2.7229852274509301</v>
      </c>
      <c r="BI28" s="15">
        <f t="shared" si="208"/>
        <v>2.7229852274509301</v>
      </c>
    </row>
    <row r="29" spans="1:61" customFormat="1" x14ac:dyDescent="0.25">
      <c r="A29" s="3">
        <v>28</v>
      </c>
      <c r="B29" s="44" t="s">
        <v>39</v>
      </c>
      <c r="C29" s="248" t="s">
        <v>1071</v>
      </c>
      <c r="D29" s="249"/>
      <c r="E29" s="15" t="str">
        <f>d_dir!AC29</f>
        <v>.</v>
      </c>
      <c r="F29" s="15" t="str">
        <f>IFERROR(TR/(RadSpec!F29*IFP_far_adj*CF_far_poultry),".")</f>
        <v>.</v>
      </c>
      <c r="G29" s="15" t="str">
        <f>IFERROR(TR/(RadSpec!F29*IFE_far_adj*CF_far_egg),".")</f>
        <v>.</v>
      </c>
      <c r="H29" s="15" t="str">
        <f>IFERROR(TR/(RadSpec!F29*IFB_far_adj*CF_far_beef),".")</f>
        <v>.</v>
      </c>
      <c r="I29" s="15" t="str">
        <f>IFERROR(TR/(RadSpec!F29*IFD_far_adj*CF_far_dairy),".")</f>
        <v>.</v>
      </c>
      <c r="J29" s="15" t="str">
        <f>IFERROR(TR/(RadSpec!F29*IFSW_far_adj*CF_far_swine),".")</f>
        <v>.</v>
      </c>
      <c r="K29" s="15" t="str">
        <f>IFERROR(TR/(RadSpec!F29*IFFI_far_adj*CF_far_fish),".")</f>
        <v>.</v>
      </c>
      <c r="L29" s="15" t="str">
        <f>IFERROR(TR/(RadSpec!F29*IFSF_far_adj*CF_far_shellfish),".")</f>
        <v>.</v>
      </c>
      <c r="M29" s="15" t="str">
        <f>IFERROR((TR/(RadSpec!E29*IFS_far_adj*(1/1000)))*1,".")</f>
        <v>.</v>
      </c>
      <c r="N29" s="15" t="str">
        <f>IFERROR(IF(B29="H-3",(TR/(RadSpec!H29*IFA_far_adj*(1/17)*1000))*1,(TR/(RadSpec!H29*IFA_far_adj*(1/PEF_wind)*1000))*1),".")</f>
        <v>.</v>
      </c>
      <c r="O29" s="15">
        <f>IFERROR((TR/(RadSpec!G29*EF_far*(1/365)*ED_far*RadSpec!R29*((ET_far_o*(1/24)*RadSpec!W29)+(ET_far_i*(1/24)*RadSpec!AB29))))*1,".")</f>
        <v>2.8815774084811154E-3</v>
      </c>
      <c r="P29" s="15" t="str">
        <f>d_b2s!AC29</f>
        <v>.</v>
      </c>
      <c r="Q29" s="15" t="str">
        <f>IFERROR((F29/(RadSpec!AL29*((Q_p_poultry*f_p_poultry*f_s_poultry*(RadSpec!BD29+R_es_past))+(Q_s_poultry*f_p_poultry))))*1,".")</f>
        <v>.</v>
      </c>
      <c r="R29" s="15" t="str">
        <f>IFERROR((G29/(RadSpec!AM29*((Q_p_poultry*f_p_poultry*f_s_poultry*(RadSpec!BD29+R_es_past))+(Q_s_poultry*f_p_poultry))))*1,".")</f>
        <v>.</v>
      </c>
      <c r="S29" s="15" t="str">
        <f>IFERROR((H29/(RadSpec!AI29*((Q_p_beef*f_p_beef*f_s_beef*(RadSpec!BD29+R_es_past))+(Q_s_beef*f_p_beef))))*1,".")</f>
        <v>.</v>
      </c>
      <c r="T29" s="15" t="str">
        <f>IFERROR(((I29*D_milk)/(RadSpec!AH29*((Q_p_dairy*f_p_dairy*f_s_dairy*(RadSpec!BD29+R_es_past))+(Q_s_dairy*f_p_dairy))))*1,".")</f>
        <v>.</v>
      </c>
      <c r="U29" s="15" t="str">
        <f>IFERROR((J29/(RadSpec!AN29*((Q_p_swine*f_p_swine*f_s_swine*(RadSpec!BD29+R_es_past))+(Q_s_swine*f_p_swine))))*1,".")</f>
        <v>.</v>
      </c>
      <c r="V29" s="15" t="str">
        <f>IFERROR(((K29*RadSpec!AU29)/RadSpec!AJ29)*1,".")</f>
        <v>.</v>
      </c>
      <c r="W29" s="15" t="str">
        <f>IFERROR(((L29*RadSpec!AU29)/RadSpec!AK29)*1,".")</f>
        <v>.</v>
      </c>
      <c r="X29" s="118" t="str">
        <f t="shared" si="229"/>
        <v>.</v>
      </c>
      <c r="Y29" s="118" t="str">
        <f t="shared" si="230"/>
        <v>.</v>
      </c>
      <c r="Z29" s="118">
        <f t="shared" si="231"/>
        <v>347.03214880043834</v>
      </c>
      <c r="AA29" s="118" t="str">
        <f t="shared" si="232"/>
        <v>.</v>
      </c>
      <c r="AB29" s="118" t="str">
        <f t="shared" si="233"/>
        <v>.</v>
      </c>
      <c r="AC29" s="118" t="str">
        <f t="shared" si="234"/>
        <v>.</v>
      </c>
      <c r="AD29" s="118" t="str">
        <f t="shared" si="235"/>
        <v>.</v>
      </c>
      <c r="AE29" s="118" t="str">
        <f t="shared" si="236"/>
        <v>.</v>
      </c>
      <c r="AF29" s="118" t="str">
        <f t="shared" si="237"/>
        <v>.</v>
      </c>
      <c r="AG29" s="118" t="str">
        <f t="shared" si="238"/>
        <v>.</v>
      </c>
      <c r="AH29" s="118" t="str">
        <f t="shared" si="154"/>
        <v>.</v>
      </c>
      <c r="AI29" s="15">
        <f t="shared" si="21"/>
        <v>2.8815774084811154E-3</v>
      </c>
      <c r="AJ29" s="15" t="str">
        <f>IFERROR(TR/(RadSpec!I29*IFW_far_adj),".")</f>
        <v>.</v>
      </c>
      <c r="AK29" s="15" t="str">
        <f>IFERROR(IF(AND(RadSpec!C29=1,RadSpec!D29&lt;&gt;0),TR/(RadSpec!H29*IFA_far_adj*K*RadSpec!D29),"."),".")</f>
        <v>.</v>
      </c>
      <c r="AL29" s="15">
        <f>IFERROR((TR/(RadSpec!M29*(1/8760)*DFA_far_adj)),".")</f>
        <v>34038.39633895531</v>
      </c>
      <c r="AM29" s="15" t="str">
        <f>d_b2w!AC29</f>
        <v>.</v>
      </c>
      <c r="AN29" s="15" t="str">
        <f>IFERROR(F29/(RadSpec!AL29*Q_w_poultry*(1/1000)),".")</f>
        <v>.</v>
      </c>
      <c r="AO29" s="15" t="str">
        <f>IFERROR(G29/(RadSpec!AM29*Q_w_poultry*(1/1000)),".")</f>
        <v>.</v>
      </c>
      <c r="AP29" s="15" t="str">
        <f>IFERROR(H29/(RadSpec!AI29*Q_w_beef*(1/1000)),".")</f>
        <v>.</v>
      </c>
      <c r="AQ29" s="15" t="str">
        <f>IFERROR((I29*D_milk)/(RadSpec!AH29*Q_w_dairy*(1/1000)),".")</f>
        <v>.</v>
      </c>
      <c r="AR29" s="15" t="str">
        <f>IFERROR(J29/(RadSpec!AN29*Q_w_swine*(1/1000)),".")</f>
        <v>.</v>
      </c>
      <c r="AS29" s="15" t="str">
        <f>IFERROR(K29/(RadSpec!AJ29*(1/1000)),".")</f>
        <v>.</v>
      </c>
      <c r="AT29" s="15" t="str">
        <f>IFERROR(L29/(RadSpec!AK29*(1/1000)),".")</f>
        <v>.</v>
      </c>
      <c r="AU29" s="118" t="str">
        <f t="shared" si="239"/>
        <v>.</v>
      </c>
      <c r="AV29" s="118" t="str">
        <f t="shared" si="240"/>
        <v>.</v>
      </c>
      <c r="AW29" s="118">
        <f t="shared" si="241"/>
        <v>2.9378587347123285E-5</v>
      </c>
      <c r="AX29" s="118" t="str">
        <f t="shared" si="242"/>
        <v>.</v>
      </c>
      <c r="AY29" s="118" t="str">
        <f t="shared" si="243"/>
        <v>.</v>
      </c>
      <c r="AZ29" s="118" t="str">
        <f t="shared" si="244"/>
        <v>.</v>
      </c>
      <c r="BA29" s="118" t="str">
        <f t="shared" si="245"/>
        <v>.</v>
      </c>
      <c r="BB29" s="118" t="str">
        <f t="shared" si="246"/>
        <v>.</v>
      </c>
      <c r="BC29" s="118" t="str">
        <f t="shared" si="247"/>
        <v>.</v>
      </c>
      <c r="BD29" s="118" t="str">
        <f t="shared" si="248"/>
        <v>.</v>
      </c>
      <c r="BE29" s="118" t="str">
        <f t="shared" si="164"/>
        <v>.</v>
      </c>
      <c r="BF29" s="15">
        <f t="shared" si="22"/>
        <v>34038.39633895531</v>
      </c>
      <c r="BG29" s="15" t="str">
        <f>IFERROR((TR/(RadSpec!H29*IFA_far_adj)),".")</f>
        <v>.</v>
      </c>
      <c r="BH29" s="15">
        <f>IFERROR((TR/(RadSpec!K29*EF_far*(1/365)*ED_far*ET_far*(1/24)*GSF_a)),".")</f>
        <v>2.1064602702922279</v>
      </c>
      <c r="BI29" s="15">
        <f t="shared" si="208"/>
        <v>2.1064602702922279</v>
      </c>
    </row>
    <row r="30" spans="1:61" customFormat="1" x14ac:dyDescent="0.25">
      <c r="A30" s="3">
        <v>29</v>
      </c>
      <c r="B30" s="44" t="s">
        <v>40</v>
      </c>
      <c r="C30" s="42" t="s">
        <v>1071</v>
      </c>
      <c r="D30" s="42"/>
      <c r="E30" s="15">
        <f>d_dir!AC30</f>
        <v>5.2067101804848925E-4</v>
      </c>
      <c r="F30" s="15">
        <f>IFERROR(TR/(RadSpec!F30*IFP_far_adj*CF_far_poultry),".")</f>
        <v>4.70834721813157E-3</v>
      </c>
      <c r="G30" s="15">
        <f>IFERROR(TR/(RadSpec!F30*IFE_far_adj*CF_far_egg),".")</f>
        <v>8.5212535897016325E-3</v>
      </c>
      <c r="H30" s="15">
        <f>IFERROR(TR/(RadSpec!F30*IFB_far_adj*CF_far_beef),".")</f>
        <v>3.0794391302956851E-3</v>
      </c>
      <c r="I30" s="15">
        <f>IFERROR(TR/(RadSpec!F30*IFD_far_adj*CF_far_dairy),".")</f>
        <v>5.3018708115178169E-4</v>
      </c>
      <c r="J30" s="15">
        <f>IFERROR(TR/(RadSpec!F30*IFSW_far_adj*CF_far_swine),".")</f>
        <v>5.5290796375755081E-3</v>
      </c>
      <c r="K30" s="15">
        <f>IFERROR(TR/(RadSpec!F30*IFFI_far_adj*CF_far_fish),".")</f>
        <v>5.3420778503697544E-3</v>
      </c>
      <c r="L30" s="15">
        <f>IFERROR(TR/(RadSpec!F30*IFSF_far_adj*CF_far_shellfish),".")</f>
        <v>4.0763044805349636E-3</v>
      </c>
      <c r="M30" s="15">
        <f>IFERROR((TR/(RadSpec!E30*IFS_far_adj*(1/1000)))*1,".")</f>
        <v>4.1347224898306498</v>
      </c>
      <c r="N30" s="15">
        <f>IFERROR(IF(B30="H-3",(TR/(RadSpec!H30*IFA_far_adj*(1/17)*1000))*1,(TR/(RadSpec!H30*IFA_far_adj*(1/PEF_wind)*1000))*1),".")</f>
        <v>185.42428054874321</v>
      </c>
      <c r="O30" s="15">
        <f>IFERROR((TR/(RadSpec!G30*EF_far*(1/365)*ED_far*RadSpec!R30*((ET_far_o*(1/24)*RadSpec!W30)+(ET_far_i*(1/24)*RadSpec!AB30))))*1,".")</f>
        <v>54.414023312861794</v>
      </c>
      <c r="P30" s="15">
        <f>d_b2s!AC30</f>
        <v>6.526769446392898E-2</v>
      </c>
      <c r="Q30" s="15">
        <f>IFERROR((F30/(RadSpec!AL30*((Q_p_poultry*f_p_poultry*f_s_poultry*(RadSpec!BD30+R_es_past))+(Q_s_poultry*f_p_poultry))))*1,".")</f>
        <v>8.5499104148913915E-2</v>
      </c>
      <c r="R30" s="15">
        <f>IFERROR((G30/(RadSpec!AM30*((Q_p_poultry*f_p_poultry*f_s_poultry*(RadSpec!BD30+R_es_past))+(Q_s_poultry*f_p_poultry))))*1,".")</f>
        <v>0.10550308281209682</v>
      </c>
      <c r="S30" s="15">
        <f>IFERROR((H30/(RadSpec!AI30*((Q_p_beef*f_p_beef*f_s_beef*(RadSpec!BD30+R_es_past))+(Q_s_beef*f_p_beef))))*1,".")</f>
        <v>2.2391239423766089</v>
      </c>
      <c r="T30" s="15">
        <f>IFERROR(((I30*D_milk)/(RadSpec!AH30*((Q_p_dairy*f_p_dairy*f_s_dairy*(RadSpec!BD30+R_es_past))+(Q_s_dairy*f_p_dairy))))*1,".")</f>
        <v>5.3986267827899552E-2</v>
      </c>
      <c r="U30" s="15">
        <f>IFERROR((J30/(RadSpec!AN30*((Q_p_swine*f_p_swine*f_s_swine*(RadSpec!BD30+R_es_past))+(Q_s_swine*f_p_swine))))*1,".")</f>
        <v>7.9608082592147536E-2</v>
      </c>
      <c r="V30" s="15">
        <f>IFERROR(((K30*RadSpec!AU30)/RadSpec!AJ30)*1,".")</f>
        <v>2.2258657709873981E-3</v>
      </c>
      <c r="W30" s="15">
        <f>IFERROR(((L30*RadSpec!AU30)/RadSpec!AK30)*1,".")</f>
        <v>9.5913046600822676E-6</v>
      </c>
      <c r="X30" s="118">
        <f t="shared" si="229"/>
        <v>0.24185420000000002</v>
      </c>
      <c r="Y30" s="118">
        <f t="shared" si="230"/>
        <v>5.3930369692718107E-3</v>
      </c>
      <c r="Z30" s="118">
        <f t="shared" si="231"/>
        <v>1.8377615532127561E-2</v>
      </c>
      <c r="AA30" s="118">
        <f t="shared" si="232"/>
        <v>15.321515616775198</v>
      </c>
      <c r="AB30" s="118">
        <f t="shared" si="233"/>
        <v>11.696028981289658</v>
      </c>
      <c r="AC30" s="118">
        <f t="shared" si="234"/>
        <v>9.4783960178777029</v>
      </c>
      <c r="AD30" s="118">
        <f t="shared" si="235"/>
        <v>0.44660323668309254</v>
      </c>
      <c r="AE30" s="118">
        <f t="shared" si="236"/>
        <v>18.523228966074409</v>
      </c>
      <c r="AF30" s="118">
        <f t="shared" si="237"/>
        <v>12.561538570439568</v>
      </c>
      <c r="AG30" s="118">
        <f t="shared" si="238"/>
        <v>449.26338911999989</v>
      </c>
      <c r="AH30" s="118">
        <f t="shared" si="154"/>
        <v>104261.10268000003</v>
      </c>
      <c r="AI30" s="15">
        <f t="shared" si="21"/>
        <v>9.5439282148937276E-6</v>
      </c>
      <c r="AJ30" s="15">
        <f>IFERROR(TR/(RadSpec!I30*IFW_far_adj),".")</f>
        <v>0.44384660476699062</v>
      </c>
      <c r="AK30" s="15" t="str">
        <f>IFERROR(IF(AND(RadSpec!C30=1,RadSpec!D30&lt;&gt;0),TR/(RadSpec!H30*IFA_far_adj*K*RadSpec!D30),"."),".")</f>
        <v>.</v>
      </c>
      <c r="AL30" s="15">
        <f>IFERROR((TR/(RadSpec!M30*(1/8760)*DFA_far_adj)),".")</f>
        <v>437364869.15976095</v>
      </c>
      <c r="AM30" s="15">
        <f>d_b2w!AC30</f>
        <v>0.13280191334437977</v>
      </c>
      <c r="AN30" s="15">
        <f>IFERROR(F30/(RadSpec!AL30*Q_w_poultry*(1/1000)),".")</f>
        <v>15.694490727105231</v>
      </c>
      <c r="AO30" s="15">
        <f>IFERROR(G30/(RadSpec!AM30*Q_w_poultry*(1/1000)),".")</f>
        <v>19.36648543114007</v>
      </c>
      <c r="AP30" s="15">
        <f>IFERROR(H30/(RadSpec!AI30*Q_w_beef*(1/1000)),".")</f>
        <v>148.98108999979124</v>
      </c>
      <c r="AQ30" s="15">
        <f>IFERROR((I30*D_milk)/(RadSpec!AH30*Q_w_dairy*(1/1000)),".")</f>
        <v>3.2976611931541977</v>
      </c>
      <c r="AR30" s="15">
        <f>IFERROR(J30/(RadSpec!AN30*Q_w_swine*(1/1000)),".")</f>
        <v>11.022886039823582</v>
      </c>
      <c r="AS30" s="15">
        <f>IFERROR(K30/(RadSpec!AJ30*(1/1000)),".")</f>
        <v>5.564664427468494</v>
      </c>
      <c r="AT30" s="15">
        <f>IFERROR(L30/(RadSpec!AK30*(1/1000)),".")</f>
        <v>2.3978261650205668E-2</v>
      </c>
      <c r="AU30" s="118">
        <f t="shared" si="239"/>
        <v>2.25303064</v>
      </c>
      <c r="AV30" s="118" t="str">
        <f t="shared" si="240"/>
        <v>.</v>
      </c>
      <c r="AW30" s="118">
        <f t="shared" si="241"/>
        <v>2.2864204935369862E-9</v>
      </c>
      <c r="AX30" s="118">
        <f t="shared" si="242"/>
        <v>7.5300119916707544</v>
      </c>
      <c r="AY30" s="118">
        <f t="shared" si="243"/>
        <v>6.371662626000002E-2</v>
      </c>
      <c r="AZ30" s="118">
        <f t="shared" si="244"/>
        <v>5.1635595088000009E-2</v>
      </c>
      <c r="BA30" s="118">
        <f t="shared" si="245"/>
        <v>6.7122612675300014E-3</v>
      </c>
      <c r="BB30" s="118">
        <f t="shared" si="246"/>
        <v>0.3032452218184078</v>
      </c>
      <c r="BC30" s="118">
        <f t="shared" si="247"/>
        <v>9.0720342783840002E-2</v>
      </c>
      <c r="BD30" s="118">
        <f t="shared" si="248"/>
        <v>0.179705355648</v>
      </c>
      <c r="BE30" s="118">
        <f t="shared" si="164"/>
        <v>41.704441072000009</v>
      </c>
      <c r="BF30" s="15">
        <f t="shared" si="22"/>
        <v>1.9163248589831122E-2</v>
      </c>
      <c r="BG30" s="15">
        <f>IFERROR((TR/(RadSpec!H30*IFA_far_adj)),".")</f>
        <v>1.3640713163765627E-4</v>
      </c>
      <c r="BH30" s="15">
        <f>IFERROR((TR/(RadSpec!K30*EF_far*(1/365)*ED_far*ET_far*(1/24)*GSF_a)),".")</f>
        <v>27806.324863135262</v>
      </c>
      <c r="BI30" s="15">
        <f t="shared" si="208"/>
        <v>1.3640713096849536E-4</v>
      </c>
    </row>
    <row r="31" spans="1:61" x14ac:dyDescent="0.25">
      <c r="A31" s="3">
        <v>30</v>
      </c>
      <c r="B31" s="82" t="s">
        <v>13</v>
      </c>
      <c r="C31" s="57" t="s">
        <v>1255</v>
      </c>
      <c r="D31" s="57"/>
      <c r="E31" s="58">
        <f>1/SUM(1/E32,1/E33,1/E34,1/E35,1/E36,1/E37,1/E38,1/E41,1/E44)</f>
        <v>4.8579715097177684E-5</v>
      </c>
      <c r="F31" s="58">
        <f t="shared" ref="F31:P31" si="249">1/SUM(1/F32,1/F33,1/F34,1/F35,1/F36,1/F37,1/F38,1/F41,1/F44)</f>
        <v>4.3929882499071503E-4</v>
      </c>
      <c r="G31" s="58">
        <f t="shared" si="249"/>
        <v>7.9505111156380199E-4</v>
      </c>
      <c r="H31" s="58">
        <f t="shared" si="249"/>
        <v>2.8731823055865404E-4</v>
      </c>
      <c r="I31" s="58">
        <f t="shared" si="249"/>
        <v>4.9467584055464222E-5</v>
      </c>
      <c r="J31" s="58">
        <f t="shared" si="249"/>
        <v>5.158749080172735E-4</v>
      </c>
      <c r="K31" s="58">
        <f t="shared" si="249"/>
        <v>4.9842724292700616E-4</v>
      </c>
      <c r="L31" s="58">
        <f t="shared" ref="L31" si="250">1/SUM(1/L32,1/L33,1/L34,1/L35,1/L36,1/L37,1/L38,1/L41,1/L44)</f>
        <v>3.80327891219971E-4</v>
      </c>
      <c r="M31" s="58">
        <f t="shared" si="249"/>
        <v>0.38990422761196142</v>
      </c>
      <c r="N31" s="58">
        <f t="shared" si="249"/>
        <v>16.190252363077683</v>
      </c>
      <c r="O31" s="58">
        <f>1/SUM(1/O32,1/O33,1/O34,1/O35,1/O36,1/O37,1/O38,1/O39,1/O40,1/O41,1/O42,1/O43,1/O44)</f>
        <v>1.9155239376833093E-2</v>
      </c>
      <c r="P31" s="58">
        <f t="shared" si="249"/>
        <v>7.8166360346285726E-3</v>
      </c>
      <c r="Q31" s="58">
        <f>1/SUM(1/Q32,1/Q35)</f>
        <v>8.4584769007449573E-2</v>
      </c>
      <c r="R31" s="58">
        <f>1/SUM(1/R32,1/R35)</f>
        <v>0.10511571860378603</v>
      </c>
      <c r="S31" s="58">
        <f t="shared" ref="S31" si="251">1/SUM(1/S32,1/S33,1/S34,1/S35,1/S36,1/S37,1/S38,1/S41,1/S44)</f>
        <v>0.18402398538489112</v>
      </c>
      <c r="T31" s="58">
        <f t="shared" ref="T31" si="252">1/SUM(1/T32,1/T33,1/T34,1/T35,1/T36,1/T37,1/T38,1/T41,1/T44)</f>
        <v>3.9272037781950521E-2</v>
      </c>
      <c r="U31" s="58">
        <f>1/SUM(1/U32,1/U35)</f>
        <v>7.9195395416767192E-2</v>
      </c>
      <c r="V31" s="58">
        <f t="shared" ref="V31" si="253">1/SUM(1/V32,1/V33,1/V34,1/V35,1/V36,1/V37,1/V38,1/V41,1/V44)</f>
        <v>2.4218677821224344E-5</v>
      </c>
      <c r="W31" s="58">
        <f>1/SUM(1/W32,1/W33,1/W35,1/W36,1/W37,1/W44)</f>
        <v>9.6014146969884146E-8</v>
      </c>
      <c r="X31" s="176"/>
      <c r="Y31" s="176"/>
      <c r="Z31" s="176"/>
      <c r="AA31" s="176"/>
      <c r="AB31" s="176"/>
      <c r="AC31" s="176"/>
      <c r="AD31" s="176"/>
      <c r="AE31" s="176"/>
      <c r="AF31" s="176"/>
      <c r="AG31" s="176"/>
      <c r="AH31" s="118"/>
      <c r="AI31" s="59">
        <f>1/SUM(1/AI32,1/AI33,1/AI34,1/AI35,1/AI36,1/AI37,1/AI38,1/AI39,1/AI40,1/AI41,1/AI42,1/AI43,1/AI44)</f>
        <v>9.563274042637925E-8</v>
      </c>
      <c r="AJ31" s="58">
        <f>1/SUM(1/AJ32,1/AJ33,1/AJ34,1/AJ35,1/AJ36,1/AJ37,1/AJ38,1/AJ41,1/AJ44)</f>
        <v>4.1305470559012361E-2</v>
      </c>
      <c r="AK31" s="58" t="str">
        <f>IFERROR(1/SUM(1/AK32,1/AK33,1/AK34,1/AK35,1/AK36,1/AK37,1/AK38,1/AK39,1/AK40,1/AK41,1/AK42,1/AK43,1/AK44,1/AK45),".")</f>
        <v>.</v>
      </c>
      <c r="AL31" s="58">
        <f>1/SUM(1/AL32,1/AL33,1/AL34,1/AL35,1/AL36,1/AL37,1/AL38,1/AL39,1/AL40,1/AL41,1/AL42,1/AL43,1/AL44)</f>
        <v>188612.0368047565</v>
      </c>
      <c r="AM31" s="58">
        <f>1/SUM(1/AM32,1/AM33,1/AM34,1/AM35,1/AM36,1/AM37,1/AM38,1/AM41,1/AM44)</f>
        <v>1.2573647606756144E-2</v>
      </c>
      <c r="AN31" s="58">
        <f>1/SUM(1/AN32,1/AN35)</f>
        <v>15.523378071115228</v>
      </c>
      <c r="AO31" s="58">
        <f>1/SUM(1/AO32,1/AO35)</f>
        <v>19.293982367628132</v>
      </c>
      <c r="AP31" s="58">
        <f t="shared" ref="AP31:AQ31" si="254">1/SUM(1/AP32,1/AP33,1/AP34,1/AP35,1/AP36,1/AP37,1/AP38,1/AP41,1/AP44)</f>
        <v>12.576015594174372</v>
      </c>
      <c r="AQ31" s="58">
        <f t="shared" si="254"/>
        <v>2.4402269782434742</v>
      </c>
      <c r="AR31" s="58">
        <f>1/SUM(1/AR32,1/AR35)</f>
        <v>10.964515781883421</v>
      </c>
      <c r="AS31" s="58">
        <f>1/SUM(1/AS32,1/AS33,1/AS34,1/AS35,1/AS36,1/AS37,1/AS38,1/AS41,1/AS44)</f>
        <v>1.2576805152492269E-2</v>
      </c>
      <c r="AT31" s="58">
        <f>1/SUM(1/AT32,1/AT33,1/AT35,1/AT36,1/AT37,1/AT44)</f>
        <v>1.9936524261064526E-4</v>
      </c>
      <c r="AU31" s="176"/>
      <c r="AV31" s="176"/>
      <c r="AW31" s="176"/>
      <c r="AX31" s="176"/>
      <c r="AY31" s="176"/>
      <c r="AZ31" s="176"/>
      <c r="BA31" s="176"/>
      <c r="BB31" s="176"/>
      <c r="BC31" s="176"/>
      <c r="BD31" s="176"/>
      <c r="BE31" s="118"/>
      <c r="BF31" s="59">
        <f>1/SUM(1/BF32,1/BF33,1/BF34,1/BF35,1/BF36,1/BF37,1/BF38,1/BF39,1/BF40,1/BF41,1/BF42,1/BF43,1/BF44)</f>
        <v>1.9231253841562544E-4</v>
      </c>
      <c r="BG31" s="58">
        <f>1/SUM(1/BG32,1/BG33,1/BG34,1/BG35,1/BG36,1/BG37,1/BG38,1/BG41,1/BG44)</f>
        <v>1.191033816499919E-5</v>
      </c>
      <c r="BH31" s="58">
        <f t="shared" ref="BH31:BI31" si="255">1/SUM(1/BH32,1/BH33,1/BH34,1/BH35,1/BH36,1/BH37,1/BH38,1/BH39,1/BH40,1/BH41,1/BH42,1/BH43,1/BH44)</f>
        <v>11.79816274684852</v>
      </c>
      <c r="BI31" s="59">
        <f t="shared" si="255"/>
        <v>1.1910326141431195E-5</v>
      </c>
    </row>
    <row r="32" spans="1:61" x14ac:dyDescent="0.25">
      <c r="A32" s="3">
        <v>31</v>
      </c>
      <c r="B32" s="83" t="s">
        <v>1099</v>
      </c>
      <c r="C32" s="42">
        <v>1</v>
      </c>
      <c r="D32" s="42"/>
      <c r="E32" s="60">
        <f t="shared" ref="E32:V32" si="256">IFERROR(E3/$C32,0)</f>
        <v>3.7788312113214465E-4</v>
      </c>
      <c r="F32" s="60">
        <f t="shared" si="256"/>
        <v>3.4171384242395329E-3</v>
      </c>
      <c r="G32" s="60">
        <f t="shared" si="256"/>
        <v>6.1844001121934286E-3</v>
      </c>
      <c r="H32" s="60">
        <f t="shared" si="256"/>
        <v>2.2349392025968681E-3</v>
      </c>
      <c r="I32" s="60">
        <f t="shared" si="256"/>
        <v>3.847895159605729E-4</v>
      </c>
      <c r="J32" s="60">
        <f t="shared" si="256"/>
        <v>4.0127946400132499E-3</v>
      </c>
      <c r="K32" s="60">
        <f t="shared" si="256"/>
        <v>3.8770758914040871E-3</v>
      </c>
      <c r="L32" s="60">
        <f t="shared" ref="L32" si="257">IFERROR(L3/$C32,0)</f>
        <v>2.9584259664824394E-3</v>
      </c>
      <c r="M32" s="60">
        <f t="shared" si="256"/>
        <v>3.3708781744402492</v>
      </c>
      <c r="N32" s="60">
        <f t="shared" si="256"/>
        <v>139.0682104115574</v>
      </c>
      <c r="O32" s="60">
        <f t="shared" si="256"/>
        <v>1.3982337636089801</v>
      </c>
      <c r="P32" s="60">
        <f t="shared" si="256"/>
        <v>0.35493801594763108</v>
      </c>
      <c r="Q32" s="60">
        <f t="shared" si="256"/>
        <v>7.9094870653200005</v>
      </c>
      <c r="R32" s="60">
        <f t="shared" si="256"/>
        <v>28.62947099080036</v>
      </c>
      <c r="S32" s="60">
        <f t="shared" si="256"/>
        <v>1.298327372892466</v>
      </c>
      <c r="T32" s="60">
        <f t="shared" si="256"/>
        <v>172.34009346172635</v>
      </c>
      <c r="U32" s="60">
        <f t="shared" si="256"/>
        <v>15.276931185092504</v>
      </c>
      <c r="V32" s="60">
        <f t="shared" si="256"/>
        <v>6.4617931523401446E-5</v>
      </c>
      <c r="W32" s="60">
        <f t="shared" ref="W32" si="258">IFERROR(W3/$C32,0)</f>
        <v>4.9307099441373986E-6</v>
      </c>
      <c r="X32" s="118">
        <f t="shared" ref="X32:X44" si="259">IFERROR(1/M32,".")</f>
        <v>0.29665859999999999</v>
      </c>
      <c r="Y32" s="118">
        <f t="shared" ref="Y32:Y44" si="260">IFERROR(1/N32,".")</f>
        <v>7.1907159590290813E-3</v>
      </c>
      <c r="Z32" s="118">
        <f t="shared" ref="Z32:Z44" si="261">IFERROR(1/O32,".")</f>
        <v>0.71518799361481644</v>
      </c>
      <c r="AA32" s="118">
        <f t="shared" ref="AA32:AA44" si="262">IFERROR(1/P32,".")</f>
        <v>2.8173933336787003</v>
      </c>
      <c r="AB32" s="118">
        <f t="shared" ref="AB32:AB44" si="263">IFERROR(1/Q32,".")</f>
        <v>0.12643044887001686</v>
      </c>
      <c r="AC32" s="118">
        <f t="shared" ref="AC32:AC44" si="264">IFERROR(1/R32,".")</f>
        <v>3.4929042185981522E-2</v>
      </c>
      <c r="AD32" s="118">
        <f t="shared" ref="AD32:AD44" si="265">IFERROR(1/S32,".")</f>
        <v>0.77022176446311819</v>
      </c>
      <c r="AE32" s="118">
        <f t="shared" ref="AE32:AE44" si="266">IFERROR(1/T32,".")</f>
        <v>5.8024803161783253E-3</v>
      </c>
      <c r="AF32" s="118">
        <f t="shared" ref="AF32:AF44" si="267">IFERROR(1/U32,".")</f>
        <v>6.5458172710486345E-2</v>
      </c>
      <c r="AG32" s="118">
        <f t="shared" ref="AG32:AG44" si="268">IFERROR(1/V32,".")</f>
        <v>15475.580484000004</v>
      </c>
      <c r="AH32" s="118">
        <f t="shared" ref="AH32:AH76" si="269">IFERROR(1/W32,".")</f>
        <v>202810.55088000002</v>
      </c>
      <c r="AI32" s="60">
        <f>IFERROR(1/(SUMIF(X32:AH32,"&lt;&gt;0")),".")</f>
        <v>4.5810415203337527E-6</v>
      </c>
      <c r="AJ32" s="60">
        <f t="shared" ref="AJ32:AS32" si="270">IFERROR(AJ3/$C32,0)</f>
        <v>0.30752229044570067</v>
      </c>
      <c r="AK32" s="60" t="str">
        <f>IFERROR(AK3,".")</f>
        <v>.</v>
      </c>
      <c r="AL32" s="60">
        <f t="shared" si="270"/>
        <v>6928169.1663360354</v>
      </c>
      <c r="AM32" s="60">
        <f t="shared" si="270"/>
        <v>0.10267200450230425</v>
      </c>
      <c r="AN32" s="60">
        <f t="shared" si="270"/>
        <v>1423.8076767664718</v>
      </c>
      <c r="AO32" s="60">
        <f t="shared" si="270"/>
        <v>5153.6667601611898</v>
      </c>
      <c r="AP32" s="60">
        <f t="shared" si="270"/>
        <v>84.337328399881812</v>
      </c>
      <c r="AQ32" s="60">
        <f t="shared" si="270"/>
        <v>10257.070430626038</v>
      </c>
      <c r="AR32" s="60">
        <f t="shared" si="270"/>
        <v>2070.5854695630801</v>
      </c>
      <c r="AS32" s="60">
        <f t="shared" si="270"/>
        <v>1.6154482880850363E-2</v>
      </c>
      <c r="AT32" s="60">
        <f t="shared" ref="AT32" si="271">IFERROR(AT3/$C32,0)</f>
        <v>1.2326774860343499E-3</v>
      </c>
      <c r="AU32" s="118">
        <f t="shared" ref="AU32:AU44" si="272">IFERROR(1/AJ32,".")</f>
        <v>3.2517967999999997</v>
      </c>
      <c r="AV32" s="118" t="str">
        <f t="shared" ref="AV32:AV44" si="273">IFERROR(1/AK32,".")</f>
        <v>.</v>
      </c>
      <c r="AW32" s="118">
        <f t="shared" ref="AW32:AW44" si="274">IFERROR(1/AL32,".")</f>
        <v>1.4433827696630138E-7</v>
      </c>
      <c r="AX32" s="118">
        <f t="shared" ref="AX32:AX44" si="275">IFERROR(1/AM32,".")</f>
        <v>9.7397533519232802</v>
      </c>
      <c r="AY32" s="118">
        <f t="shared" ref="AY32:AY44" si="276">IFERROR(1/AN32,".")</f>
        <v>7.0234204824000022E-4</v>
      </c>
      <c r="AZ32" s="118">
        <f t="shared" ref="AZ32:AZ44" si="277">IFERROR(1/AO32,".")</f>
        <v>1.9403660472000004E-4</v>
      </c>
      <c r="BA32" s="118">
        <f t="shared" ref="BA32:BA44" si="278">IFERROR(1/AP32,".")</f>
        <v>1.1857145809250005E-2</v>
      </c>
      <c r="BB32" s="118">
        <f t="shared" ref="BB32:BB44" si="279">IFERROR(1/AQ32,".")</f>
        <v>9.7493724622788351E-5</v>
      </c>
      <c r="BC32" s="118">
        <f t="shared" ref="BC32:BC44" si="280">IFERROR(1/AR32,".")</f>
        <v>4.8295519054860015E-4</v>
      </c>
      <c r="BD32" s="118">
        <f t="shared" ref="BD32:BD44" si="281">IFERROR(1/AS32,".")</f>
        <v>61.902321936000007</v>
      </c>
      <c r="BE32" s="118">
        <f t="shared" ref="BE32:BE76" si="282">IFERROR(1/AT32,".")</f>
        <v>811.24220351999998</v>
      </c>
      <c r="BF32" s="60">
        <f t="shared" si="22"/>
        <v>1.1284778718180385E-3</v>
      </c>
      <c r="BG32" s="60">
        <f>IFERROR(BG3/$C32,0)</f>
        <v>1.0230534872824221E-4</v>
      </c>
      <c r="BH32" s="60">
        <f>IFERROR(BH3/$C32,0)</f>
        <v>449.26516831182334</v>
      </c>
      <c r="BI32" s="60">
        <f t="shared" ref="BI32:BI44" si="283">IFERROR(IF(AND(BG32&lt;&gt;0,BH32&lt;&gt;0),1/((1/BG32)+(1/BH32)),IF(AND(BG32&lt;&gt;0,BH32=0),1/((1/BG32)),IF(AND(BG32=0,BH32&lt;&gt;0),1/((1/BH32)),IF(AND(BG32=0,BH32=0),0)))),0)</f>
        <v>1.0230532543157305E-4</v>
      </c>
    </row>
    <row r="33" spans="1:61" x14ac:dyDescent="0.25">
      <c r="A33" s="3">
        <v>32</v>
      </c>
      <c r="B33" s="177" t="s">
        <v>1075</v>
      </c>
      <c r="C33" s="178">
        <v>1</v>
      </c>
      <c r="D33" s="42"/>
      <c r="E33" s="60">
        <f t="shared" ref="E33:V33" si="284">IFERROR(E13/$C33,0)</f>
        <v>6.0899913718171525E-4</v>
      </c>
      <c r="F33" s="60">
        <f t="shared" si="284"/>
        <v>5.5070846926360334E-3</v>
      </c>
      <c r="G33" s="60">
        <f t="shared" si="284"/>
        <v>9.9668233950974457E-3</v>
      </c>
      <c r="H33" s="60">
        <f t="shared" si="284"/>
        <v>3.6018439827565601E-3</v>
      </c>
      <c r="I33" s="60">
        <f t="shared" si="284"/>
        <v>6.201295324186018E-4</v>
      </c>
      <c r="J33" s="60">
        <f t="shared" si="284"/>
        <v>6.467048504664211E-3</v>
      </c>
      <c r="K33" s="60">
        <f t="shared" si="284"/>
        <v>6.2483231999860512E-3</v>
      </c>
      <c r="L33" s="60">
        <f t="shared" ref="L33" si="285">IFERROR(L13/$C33,0)</f>
        <v>4.7678204191971456E-3</v>
      </c>
      <c r="M33" s="60">
        <f t="shared" si="284"/>
        <v>4.9812977177188245</v>
      </c>
      <c r="N33" s="60">
        <f t="shared" si="284"/>
        <v>183.03170918682395</v>
      </c>
      <c r="O33" s="60">
        <f t="shared" si="284"/>
        <v>0.74803928211135051</v>
      </c>
      <c r="P33" s="60">
        <f t="shared" si="284"/>
        <v>5.8701453844350091E-2</v>
      </c>
      <c r="Q33" s="60">
        <f t="shared" si="284"/>
        <v>0</v>
      </c>
      <c r="R33" s="60">
        <f t="shared" si="284"/>
        <v>0</v>
      </c>
      <c r="S33" s="60">
        <f t="shared" si="284"/>
        <v>10.344973718329646</v>
      </c>
      <c r="T33" s="60">
        <f t="shared" si="284"/>
        <v>115.23937065031753</v>
      </c>
      <c r="U33" s="60">
        <f t="shared" si="284"/>
        <v>0</v>
      </c>
      <c r="V33" s="60">
        <f t="shared" si="284"/>
        <v>4.1655487999907011E-5</v>
      </c>
      <c r="W33" s="60">
        <f t="shared" ref="W33" si="286">IFERROR(W13/$C33,0)</f>
        <v>1.0037516671993991E-7</v>
      </c>
      <c r="X33" s="118">
        <f t="shared" si="259"/>
        <v>0.20075090000000001</v>
      </c>
      <c r="Y33" s="118">
        <f t="shared" si="260"/>
        <v>5.4635341845564091E-3</v>
      </c>
      <c r="Z33" s="118">
        <f t="shared" si="261"/>
        <v>1.3368281905964712</v>
      </c>
      <c r="AA33" s="118">
        <f t="shared" si="262"/>
        <v>17.035353206950397</v>
      </c>
      <c r="AB33" s="118" t="str">
        <f t="shared" si="263"/>
        <v>.</v>
      </c>
      <c r="AC33" s="118" t="str">
        <f t="shared" si="264"/>
        <v>.</v>
      </c>
      <c r="AD33" s="118">
        <f t="shared" si="265"/>
        <v>9.6665301162453338E-2</v>
      </c>
      <c r="AE33" s="118">
        <f t="shared" si="266"/>
        <v>8.6775899100872481E-3</v>
      </c>
      <c r="AF33" s="118" t="str">
        <f t="shared" si="267"/>
        <v>.</v>
      </c>
      <c r="AG33" s="118">
        <f t="shared" si="268"/>
        <v>24006.440640000001</v>
      </c>
      <c r="AH33" s="118">
        <f t="shared" si="269"/>
        <v>9962623.5520000011</v>
      </c>
      <c r="AI33" s="60">
        <f t="shared" ref="AI33:AI44" si="287">IFERROR(1/(SUMIF(X33:AH33,"&lt;&gt;0")),".")</f>
        <v>1.001336917323712E-7</v>
      </c>
      <c r="AJ33" s="60">
        <f t="shared" ref="AJ33:AS33" si="288">IFERROR(AJ13/$C33,0)</f>
        <v>0.51253715074283446</v>
      </c>
      <c r="AK33" s="60" t="str">
        <f>IFERROR(AK13,".")</f>
        <v>.</v>
      </c>
      <c r="AL33" s="60">
        <f t="shared" si="288"/>
        <v>5325735.4816052523</v>
      </c>
      <c r="AM33" s="60">
        <f t="shared" si="288"/>
        <v>0.15176675539748552</v>
      </c>
      <c r="AN33" s="60">
        <f t="shared" si="288"/>
        <v>0</v>
      </c>
      <c r="AO33" s="60">
        <f t="shared" si="288"/>
        <v>0</v>
      </c>
      <c r="AP33" s="60">
        <f t="shared" si="288"/>
        <v>679.59320429369063</v>
      </c>
      <c r="AQ33" s="60">
        <f t="shared" si="288"/>
        <v>6942.7545477299982</v>
      </c>
      <c r="AR33" s="60">
        <f t="shared" si="288"/>
        <v>0</v>
      </c>
      <c r="AS33" s="60">
        <f t="shared" si="288"/>
        <v>0.20827743999953505</v>
      </c>
      <c r="AT33" s="60">
        <f t="shared" ref="AT33" si="289">IFERROR(AT13/$C33,0)</f>
        <v>5.0187583359969951E-4</v>
      </c>
      <c r="AU33" s="118">
        <f t="shared" si="272"/>
        <v>1.95107808</v>
      </c>
      <c r="AV33" s="118" t="str">
        <f t="shared" si="273"/>
        <v>.</v>
      </c>
      <c r="AW33" s="118">
        <f t="shared" si="274"/>
        <v>1.8776749304465751E-7</v>
      </c>
      <c r="AX33" s="118">
        <f t="shared" si="275"/>
        <v>6.5890583045077609</v>
      </c>
      <c r="AY33" s="118" t="str">
        <f t="shared" si="276"/>
        <v>.</v>
      </c>
      <c r="AZ33" s="118" t="str">
        <f t="shared" si="277"/>
        <v>.</v>
      </c>
      <c r="BA33" s="118">
        <f t="shared" si="278"/>
        <v>1.4714685104000003E-3</v>
      </c>
      <c r="BB33" s="118">
        <f t="shared" si="279"/>
        <v>1.4403505022757285E-4</v>
      </c>
      <c r="BC33" s="118" t="str">
        <f t="shared" si="280"/>
        <v>.</v>
      </c>
      <c r="BD33" s="118">
        <f t="shared" si="281"/>
        <v>4.8012881280000004</v>
      </c>
      <c r="BE33" s="118">
        <f t="shared" si="282"/>
        <v>1992.5247104000002</v>
      </c>
      <c r="BF33" s="60">
        <f t="shared" si="22"/>
        <v>4.9853735357127367E-4</v>
      </c>
      <c r="BG33" s="60">
        <f>IFERROR(BG13/$C33,0)</f>
        <v>1.3464703961652523E-4</v>
      </c>
      <c r="BH33" s="60">
        <f>IFERROR(BH13/$C33,0)</f>
        <v>339.85508166054217</v>
      </c>
      <c r="BI33" s="60">
        <f t="shared" si="283"/>
        <v>1.3464698627079326E-4</v>
      </c>
    </row>
    <row r="34" spans="1:61" x14ac:dyDescent="0.25">
      <c r="A34" s="3">
        <v>33</v>
      </c>
      <c r="B34" s="177" t="s">
        <v>1076</v>
      </c>
      <c r="C34" s="178">
        <v>1</v>
      </c>
      <c r="D34" s="42"/>
      <c r="E34" s="60">
        <f t="shared" ref="E34:V34" si="290">IFERROR(E14/$C34,0)</f>
        <v>5.6370168069712484E-3</v>
      </c>
      <c r="F34" s="60">
        <f t="shared" si="290"/>
        <v>5.0974668229358332E-2</v>
      </c>
      <c r="G34" s="60">
        <f t="shared" si="290"/>
        <v>9.2254894235612728E-2</v>
      </c>
      <c r="H34" s="60">
        <f t="shared" si="290"/>
        <v>3.3339382319730153E-2</v>
      </c>
      <c r="I34" s="60">
        <f t="shared" si="290"/>
        <v>5.7400419529655706E-3</v>
      </c>
      <c r="J34" s="60">
        <f t="shared" si="290"/>
        <v>5.9860283679536504E-2</v>
      </c>
      <c r="K34" s="60">
        <f t="shared" si="290"/>
        <v>5.7835718875903948E-2</v>
      </c>
      <c r="L34" s="60">
        <f t="shared" ref="L34" si="291">IFERROR(L14/$C34,0)</f>
        <v>4.4131891483477716E-2</v>
      </c>
      <c r="M34" s="60">
        <f t="shared" si="290"/>
        <v>37.723535525196489</v>
      </c>
      <c r="N34" s="60">
        <f t="shared" si="290"/>
        <v>343461.43975735729</v>
      </c>
      <c r="O34" s="60">
        <f t="shared" si="290"/>
        <v>4.8165901449902376E-2</v>
      </c>
      <c r="P34" s="60">
        <f t="shared" si="290"/>
        <v>0.51968638484041607</v>
      </c>
      <c r="Q34" s="60">
        <f t="shared" si="290"/>
        <v>0</v>
      </c>
      <c r="R34" s="60">
        <f t="shared" si="290"/>
        <v>0</v>
      </c>
      <c r="S34" s="60">
        <f t="shared" si="290"/>
        <v>1443.4195181179848</v>
      </c>
      <c r="T34" s="60">
        <f t="shared" si="290"/>
        <v>157.55478245315223</v>
      </c>
      <c r="U34" s="60">
        <f t="shared" si="290"/>
        <v>0</v>
      </c>
      <c r="V34" s="60">
        <f t="shared" si="290"/>
        <v>11.56714377518079</v>
      </c>
      <c r="W34" s="60">
        <f t="shared" ref="W34" si="292">IFERROR(W14/$C34,0)</f>
        <v>0</v>
      </c>
      <c r="X34" s="118">
        <f t="shared" si="259"/>
        <v>2.6508650000000002E-2</v>
      </c>
      <c r="Y34" s="118">
        <f t="shared" si="260"/>
        <v>2.9115349912539316E-6</v>
      </c>
      <c r="Z34" s="118">
        <f t="shared" si="261"/>
        <v>20.761575510843613</v>
      </c>
      <c r="AA34" s="118">
        <f t="shared" si="262"/>
        <v>1.9242374423703199</v>
      </c>
      <c r="AB34" s="118" t="str">
        <f t="shared" si="263"/>
        <v>.</v>
      </c>
      <c r="AC34" s="118" t="str">
        <f t="shared" si="264"/>
        <v>.</v>
      </c>
      <c r="AD34" s="118">
        <f t="shared" si="265"/>
        <v>6.9279927799774995E-4</v>
      </c>
      <c r="AE34" s="118">
        <f t="shared" si="266"/>
        <v>6.3469987037514568E-3</v>
      </c>
      <c r="AF34" s="118" t="str">
        <f t="shared" si="267"/>
        <v>.</v>
      </c>
      <c r="AG34" s="118">
        <f t="shared" si="268"/>
        <v>8.6451765399999991E-2</v>
      </c>
      <c r="AH34" s="118" t="str">
        <f t="shared" si="269"/>
        <v>.</v>
      </c>
      <c r="AI34" s="60">
        <f t="shared" si="287"/>
        <v>4.3848463767930508E-2</v>
      </c>
      <c r="AJ34" s="60">
        <f t="shared" ref="AJ34:AS34" si="293">IFERROR(AJ14/$C34,0)</f>
        <v>5.1871229713732632</v>
      </c>
      <c r="AK34" s="60" t="str">
        <f>IFERROR(AK14,".")</f>
        <v>.</v>
      </c>
      <c r="AL34" s="60">
        <f t="shared" si="293"/>
        <v>489301.94737248251</v>
      </c>
      <c r="AM34" s="60">
        <f t="shared" si="293"/>
        <v>1.3987078863946356</v>
      </c>
      <c r="AN34" s="60">
        <f t="shared" si="293"/>
        <v>0</v>
      </c>
      <c r="AO34" s="60">
        <f t="shared" si="293"/>
        <v>0</v>
      </c>
      <c r="AP34" s="60">
        <f t="shared" si="293"/>
        <v>125808.98988577414</v>
      </c>
      <c r="AQ34" s="60">
        <f t="shared" si="293"/>
        <v>12852.702633814211</v>
      </c>
      <c r="AR34" s="60">
        <f t="shared" si="293"/>
        <v>0</v>
      </c>
      <c r="AS34" s="60">
        <f t="shared" si="293"/>
        <v>5.7835718875903943</v>
      </c>
      <c r="AT34" s="60">
        <f t="shared" ref="AT34" si="294">IFERROR(AT14/$C34,0)</f>
        <v>0</v>
      </c>
      <c r="AU34" s="118">
        <f t="shared" si="272"/>
        <v>0.19278509600000004</v>
      </c>
      <c r="AV34" s="118" t="str">
        <f t="shared" si="273"/>
        <v>.</v>
      </c>
      <c r="AW34" s="118">
        <f t="shared" si="274"/>
        <v>2.0437278154520549E-6</v>
      </c>
      <c r="AX34" s="118">
        <f t="shared" si="275"/>
        <v>0.71494556492252237</v>
      </c>
      <c r="AY34" s="118" t="str">
        <f t="shared" si="276"/>
        <v>.</v>
      </c>
      <c r="AZ34" s="118" t="str">
        <f t="shared" si="277"/>
        <v>.</v>
      </c>
      <c r="BA34" s="118">
        <f t="shared" si="278"/>
        <v>7.9485575785000007E-6</v>
      </c>
      <c r="BB34" s="118">
        <f t="shared" si="279"/>
        <v>7.7804647667572828E-5</v>
      </c>
      <c r="BC34" s="118" t="str">
        <f t="shared" si="280"/>
        <v>.</v>
      </c>
      <c r="BD34" s="118">
        <f t="shared" si="281"/>
        <v>0.17290353080000001</v>
      </c>
      <c r="BE34" s="118" t="str">
        <f t="shared" si="282"/>
        <v>.</v>
      </c>
      <c r="BF34" s="60">
        <f t="shared" si="22"/>
        <v>0.92530735054627522</v>
      </c>
      <c r="BG34" s="60">
        <f>IFERROR(BG14/$C34,0)</f>
        <v>0.25266696296079189</v>
      </c>
      <c r="BH34" s="60">
        <f>IFERROR(BH14/$C34,0)</f>
        <v>30.545114726535733</v>
      </c>
      <c r="BI34" s="60">
        <f t="shared" si="283"/>
        <v>0.25059406710045129</v>
      </c>
    </row>
    <row r="35" spans="1:61" x14ac:dyDescent="0.25">
      <c r="A35" s="3">
        <v>34</v>
      </c>
      <c r="B35" s="177" t="s">
        <v>1077</v>
      </c>
      <c r="C35" s="178">
        <v>1</v>
      </c>
      <c r="D35" s="42"/>
      <c r="E35" s="60">
        <f t="shared" ref="E35:V35" si="295">IFERROR(E30/$C35,0)</f>
        <v>5.2067101804848925E-4</v>
      </c>
      <c r="F35" s="60">
        <f t="shared" si="295"/>
        <v>4.70834721813157E-3</v>
      </c>
      <c r="G35" s="60">
        <f t="shared" si="295"/>
        <v>8.5212535897016325E-3</v>
      </c>
      <c r="H35" s="60">
        <f t="shared" si="295"/>
        <v>3.0794391302956851E-3</v>
      </c>
      <c r="I35" s="60">
        <f t="shared" si="295"/>
        <v>5.3018708115178169E-4</v>
      </c>
      <c r="J35" s="60">
        <f t="shared" si="295"/>
        <v>5.5290796375755081E-3</v>
      </c>
      <c r="K35" s="60">
        <f t="shared" si="295"/>
        <v>5.3420778503697544E-3</v>
      </c>
      <c r="L35" s="60">
        <f t="shared" ref="L35" si="296">IFERROR(L30/$C35,0)</f>
        <v>4.0763044805349636E-3</v>
      </c>
      <c r="M35" s="60">
        <f t="shared" si="295"/>
        <v>4.1347224898306498</v>
      </c>
      <c r="N35" s="60">
        <f t="shared" si="295"/>
        <v>185.42428054874321</v>
      </c>
      <c r="O35" s="60">
        <f t="shared" si="295"/>
        <v>54.414023312861794</v>
      </c>
      <c r="P35" s="60">
        <f t="shared" si="295"/>
        <v>6.526769446392898E-2</v>
      </c>
      <c r="Q35" s="60">
        <f t="shared" si="295"/>
        <v>8.5499104148913915E-2</v>
      </c>
      <c r="R35" s="60">
        <f t="shared" si="295"/>
        <v>0.10550308281209682</v>
      </c>
      <c r="S35" s="60">
        <f t="shared" si="295"/>
        <v>2.2391239423766089</v>
      </c>
      <c r="T35" s="60">
        <f t="shared" si="295"/>
        <v>5.3986267827899552E-2</v>
      </c>
      <c r="U35" s="60">
        <f t="shared" si="295"/>
        <v>7.9608082592147536E-2</v>
      </c>
      <c r="V35" s="60">
        <f t="shared" si="295"/>
        <v>2.2258657709873981E-3</v>
      </c>
      <c r="W35" s="60">
        <f t="shared" ref="W35" si="297">IFERROR(W30/$C35,0)</f>
        <v>9.5913046600822676E-6</v>
      </c>
      <c r="X35" s="118">
        <f t="shared" si="259"/>
        <v>0.24185420000000002</v>
      </c>
      <c r="Y35" s="118">
        <f t="shared" si="260"/>
        <v>5.3930369692718107E-3</v>
      </c>
      <c r="Z35" s="118">
        <f t="shared" si="261"/>
        <v>1.8377615532127561E-2</v>
      </c>
      <c r="AA35" s="118">
        <f t="shared" si="262"/>
        <v>15.321515616775198</v>
      </c>
      <c r="AB35" s="118">
        <f t="shared" si="263"/>
        <v>11.696028981289658</v>
      </c>
      <c r="AC35" s="118">
        <f t="shared" si="264"/>
        <v>9.4783960178777029</v>
      </c>
      <c r="AD35" s="118">
        <f t="shared" si="265"/>
        <v>0.44660323668309254</v>
      </c>
      <c r="AE35" s="118">
        <f t="shared" si="266"/>
        <v>18.523228966074409</v>
      </c>
      <c r="AF35" s="118">
        <f t="shared" si="267"/>
        <v>12.561538570439568</v>
      </c>
      <c r="AG35" s="118">
        <f t="shared" si="268"/>
        <v>449.26338911999989</v>
      </c>
      <c r="AH35" s="118">
        <f t="shared" si="269"/>
        <v>104261.10268000003</v>
      </c>
      <c r="AI35" s="60">
        <f t="shared" si="287"/>
        <v>9.5439282148937276E-6</v>
      </c>
      <c r="AJ35" s="60">
        <f t="shared" ref="AJ35:AS35" si="298">IFERROR(AJ30/$C35,0)</f>
        <v>0.44384660476699062</v>
      </c>
      <c r="AK35" s="60" t="str">
        <f>IFERROR(AK30,".")</f>
        <v>.</v>
      </c>
      <c r="AL35" s="60">
        <f t="shared" si="298"/>
        <v>437364869.15976095</v>
      </c>
      <c r="AM35" s="60">
        <f t="shared" si="298"/>
        <v>0.13280191334437977</v>
      </c>
      <c r="AN35" s="60">
        <f t="shared" si="298"/>
        <v>15.694490727105231</v>
      </c>
      <c r="AO35" s="60">
        <f t="shared" si="298"/>
        <v>19.36648543114007</v>
      </c>
      <c r="AP35" s="60">
        <f t="shared" si="298"/>
        <v>148.98108999979124</v>
      </c>
      <c r="AQ35" s="60">
        <f t="shared" si="298"/>
        <v>3.2976611931541977</v>
      </c>
      <c r="AR35" s="60">
        <f t="shared" si="298"/>
        <v>11.022886039823582</v>
      </c>
      <c r="AS35" s="60">
        <f t="shared" si="298"/>
        <v>5.564664427468494</v>
      </c>
      <c r="AT35" s="60">
        <f t="shared" ref="AT35" si="299">IFERROR(AT30/$C35,0)</f>
        <v>2.3978261650205668E-2</v>
      </c>
      <c r="AU35" s="118">
        <f t="shared" si="272"/>
        <v>2.25303064</v>
      </c>
      <c r="AV35" s="118" t="str">
        <f t="shared" si="273"/>
        <v>.</v>
      </c>
      <c r="AW35" s="118">
        <f t="shared" si="274"/>
        <v>2.2864204935369862E-9</v>
      </c>
      <c r="AX35" s="118">
        <f t="shared" si="275"/>
        <v>7.5300119916707544</v>
      </c>
      <c r="AY35" s="118">
        <f t="shared" si="276"/>
        <v>6.371662626000002E-2</v>
      </c>
      <c r="AZ35" s="118">
        <f t="shared" si="277"/>
        <v>5.1635595088000009E-2</v>
      </c>
      <c r="BA35" s="118">
        <f t="shared" si="278"/>
        <v>6.7122612675300014E-3</v>
      </c>
      <c r="BB35" s="118">
        <f t="shared" si="279"/>
        <v>0.3032452218184078</v>
      </c>
      <c r="BC35" s="118">
        <f t="shared" si="280"/>
        <v>9.0720342783840002E-2</v>
      </c>
      <c r="BD35" s="118">
        <f t="shared" si="281"/>
        <v>0.179705355648</v>
      </c>
      <c r="BE35" s="118">
        <f t="shared" si="282"/>
        <v>41.704441072000009</v>
      </c>
      <c r="BF35" s="60">
        <f t="shared" si="22"/>
        <v>1.9163248589831122E-2</v>
      </c>
      <c r="BG35" s="60">
        <f>IFERROR(BG30/$C35,0)</f>
        <v>1.3640713163765627E-4</v>
      </c>
      <c r="BH35" s="60">
        <f>IFERROR(BH30/$C35,0)</f>
        <v>27806.324863135262</v>
      </c>
      <c r="BI35" s="60">
        <f t="shared" si="283"/>
        <v>1.3640713096849536E-4</v>
      </c>
    </row>
    <row r="36" spans="1:61" x14ac:dyDescent="0.25">
      <c r="A36" s="3">
        <v>35</v>
      </c>
      <c r="B36" s="177" t="s">
        <v>1078</v>
      </c>
      <c r="C36" s="178">
        <v>1</v>
      </c>
      <c r="D36" s="42"/>
      <c r="E36" s="60">
        <f t="shared" ref="E36:V36" si="300">IFERROR(E26/$C36,0)</f>
        <v>1.7377809774357227E-4</v>
      </c>
      <c r="F36" s="60">
        <f t="shared" si="300"/>
        <v>1.5714483708923204E-3</v>
      </c>
      <c r="G36" s="60">
        <f t="shared" si="300"/>
        <v>2.844036229938634E-3</v>
      </c>
      <c r="H36" s="60">
        <f t="shared" si="300"/>
        <v>1.0277873275636553E-3</v>
      </c>
      <c r="I36" s="60">
        <f t="shared" si="300"/>
        <v>1.7695415956912969E-4</v>
      </c>
      <c r="J36" s="60">
        <f t="shared" si="300"/>
        <v>1.8453743503755201E-3</v>
      </c>
      <c r="K36" s="60">
        <f t="shared" si="300"/>
        <v>1.782961015027867E-3</v>
      </c>
      <c r="L36" s="60">
        <f t="shared" ref="L36" si="301">IFERROR(L26/$C36,0)</f>
        <v>1.3604990750320518E-3</v>
      </c>
      <c r="M36" s="60">
        <f t="shared" si="300"/>
        <v>1.6141320489146573</v>
      </c>
      <c r="N36" s="60">
        <f t="shared" si="300"/>
        <v>30.052875978768757</v>
      </c>
      <c r="O36" s="60">
        <f t="shared" si="300"/>
        <v>0.17259448019548351</v>
      </c>
      <c r="P36" s="60">
        <f t="shared" si="300"/>
        <v>0.11842412087178163</v>
      </c>
      <c r="Q36" s="60">
        <f t="shared" si="300"/>
        <v>0</v>
      </c>
      <c r="R36" s="60">
        <f t="shared" si="300"/>
        <v>0</v>
      </c>
      <c r="S36" s="60">
        <f t="shared" si="300"/>
        <v>1.2874549068326806</v>
      </c>
      <c r="T36" s="60">
        <f t="shared" si="300"/>
        <v>6.598942228682243</v>
      </c>
      <c r="U36" s="60">
        <f t="shared" si="300"/>
        <v>0</v>
      </c>
      <c r="V36" s="60">
        <f t="shared" si="300"/>
        <v>5.9432033834262233E-3</v>
      </c>
      <c r="W36" s="60">
        <f t="shared" ref="W36" si="302">IFERROR(W26/$C36,0)</f>
        <v>9.3827522416003575E-6</v>
      </c>
      <c r="X36" s="118">
        <f t="shared" si="259"/>
        <v>0.61952800000000008</v>
      </c>
      <c r="Y36" s="118">
        <f t="shared" si="260"/>
        <v>3.3274685614330654E-2</v>
      </c>
      <c r="Z36" s="118">
        <f t="shared" si="261"/>
        <v>5.7939280495377519</v>
      </c>
      <c r="AA36" s="118">
        <f t="shared" si="262"/>
        <v>8.4442256580710016</v>
      </c>
      <c r="AB36" s="118" t="str">
        <f t="shared" si="263"/>
        <v>.</v>
      </c>
      <c r="AC36" s="118" t="str">
        <f t="shared" si="264"/>
        <v>.</v>
      </c>
      <c r="AD36" s="118">
        <f t="shared" si="265"/>
        <v>0.77672623304542765</v>
      </c>
      <c r="AE36" s="118">
        <f t="shared" si="266"/>
        <v>0.15153943849568935</v>
      </c>
      <c r="AF36" s="118" t="str">
        <f t="shared" si="267"/>
        <v>.</v>
      </c>
      <c r="AG36" s="118">
        <f t="shared" si="268"/>
        <v>168.2594277</v>
      </c>
      <c r="AH36" s="118">
        <f t="shared" si="269"/>
        <v>106578.53626000001</v>
      </c>
      <c r="AI36" s="60">
        <f t="shared" si="287"/>
        <v>9.366574627693364E-6</v>
      </c>
      <c r="AJ36" s="60">
        <f t="shared" ref="AJ36:AS36" si="303">IFERROR(AJ26/$C36,0)</f>
        <v>0.14256000219337117</v>
      </c>
      <c r="AK36" s="60" t="str">
        <f>IFERROR(AK26,".")</f>
        <v>.</v>
      </c>
      <c r="AL36" s="60">
        <f t="shared" si="303"/>
        <v>1368676.775867084</v>
      </c>
      <c r="AM36" s="60">
        <f t="shared" si="303"/>
        <v>4.7033916930934741E-2</v>
      </c>
      <c r="AN36" s="60">
        <f t="shared" si="303"/>
        <v>0</v>
      </c>
      <c r="AO36" s="60">
        <f t="shared" si="303"/>
        <v>0</v>
      </c>
      <c r="AP36" s="60">
        <f t="shared" si="303"/>
        <v>84.313972728765805</v>
      </c>
      <c r="AQ36" s="60">
        <f t="shared" si="303"/>
        <v>396.22344425261645</v>
      </c>
      <c r="AR36" s="60">
        <f t="shared" si="303"/>
        <v>0</v>
      </c>
      <c r="AS36" s="60">
        <f t="shared" si="303"/>
        <v>0.29716016917131116</v>
      </c>
      <c r="AT36" s="60">
        <f t="shared" ref="AT36" si="304">IFERROR(AT26/$C36,0)</f>
        <v>4.6913761208001786E-4</v>
      </c>
      <c r="AU36" s="118">
        <f t="shared" si="272"/>
        <v>7.0145902399999995</v>
      </c>
      <c r="AV36" s="118" t="str">
        <f t="shared" si="273"/>
        <v>.</v>
      </c>
      <c r="AW36" s="118">
        <f t="shared" si="274"/>
        <v>7.3063269402410958E-7</v>
      </c>
      <c r="AX36" s="118">
        <f t="shared" si="275"/>
        <v>21.261252841612446</v>
      </c>
      <c r="AY36" s="118" t="str">
        <f t="shared" si="276"/>
        <v>.</v>
      </c>
      <c r="AZ36" s="118" t="str">
        <f t="shared" si="277"/>
        <v>.</v>
      </c>
      <c r="BA36" s="118">
        <f t="shared" si="278"/>
        <v>1.1860430337175005E-2</v>
      </c>
      <c r="BB36" s="118">
        <f t="shared" si="279"/>
        <v>2.5238284470679617E-3</v>
      </c>
      <c r="BC36" s="118" t="str">
        <f t="shared" si="280"/>
        <v>.</v>
      </c>
      <c r="BD36" s="118">
        <f t="shared" si="281"/>
        <v>3.3651885539999999</v>
      </c>
      <c r="BE36" s="118">
        <f t="shared" si="282"/>
        <v>2131.5707252000002</v>
      </c>
      <c r="BF36" s="60">
        <f t="shared" si="22"/>
        <v>4.6227252004098793E-4</v>
      </c>
      <c r="BG36" s="60">
        <f>IFERROR(BG26/$C36,0)</f>
        <v>2.210835925906929E-5</v>
      </c>
      <c r="BH36" s="60">
        <f>IFERROR(BH26/$C36,0)</f>
        <v>86.881240720224184</v>
      </c>
      <c r="BI36" s="60">
        <f t="shared" si="283"/>
        <v>2.2108353633235443E-5</v>
      </c>
    </row>
    <row r="37" spans="1:61" x14ac:dyDescent="0.25">
      <c r="A37" s="3">
        <v>36</v>
      </c>
      <c r="B37" s="177" t="s">
        <v>1079</v>
      </c>
      <c r="C37" s="178">
        <v>1</v>
      </c>
      <c r="D37" s="42"/>
      <c r="E37" s="60">
        <f t="shared" ref="E37:V37" si="305">IFERROR(E22/$C37,0)</f>
        <v>3.2871278729808246E-4</v>
      </c>
      <c r="F37" s="60">
        <f t="shared" si="305"/>
        <v>2.9724987256637865E-3</v>
      </c>
      <c r="G37" s="60">
        <f t="shared" si="305"/>
        <v>5.3796829891610302E-3</v>
      </c>
      <c r="H37" s="60">
        <f t="shared" si="305"/>
        <v>1.9441278364758301E-3</v>
      </c>
      <c r="I37" s="60">
        <f t="shared" si="305"/>
        <v>3.3472051870305256E-4</v>
      </c>
      <c r="J37" s="60">
        <f t="shared" si="305"/>
        <v>3.4906478675777908E-3</v>
      </c>
      <c r="K37" s="60">
        <f t="shared" si="305"/>
        <v>3.3725889079442781E-3</v>
      </c>
      <c r="L37" s="60">
        <f t="shared" ref="L37" si="306">IFERROR(L22/$C37,0)</f>
        <v>2.5734741539762906E-3</v>
      </c>
      <c r="M37" s="60">
        <f t="shared" si="305"/>
        <v>2.5628966883530442</v>
      </c>
      <c r="N37" s="60">
        <f t="shared" si="305"/>
        <v>200.63589055132752</v>
      </c>
      <c r="O37" s="60">
        <f t="shared" si="305"/>
        <v>6.3361644737156473</v>
      </c>
      <c r="P37" s="60">
        <f t="shared" si="305"/>
        <v>1.4104619973505707E-2</v>
      </c>
      <c r="Q37" s="60">
        <f t="shared" si="305"/>
        <v>0</v>
      </c>
      <c r="R37" s="60">
        <f t="shared" si="305"/>
        <v>0</v>
      </c>
      <c r="S37" s="60">
        <f t="shared" si="305"/>
        <v>0.31139773695738587</v>
      </c>
      <c r="T37" s="60">
        <f t="shared" si="305"/>
        <v>0.15451639643133605</v>
      </c>
      <c r="U37" s="60">
        <f t="shared" si="305"/>
        <v>0</v>
      </c>
      <c r="V37" s="60">
        <f t="shared" si="305"/>
        <v>8.4314722698606952E-4</v>
      </c>
      <c r="W37" s="60">
        <f t="shared" ref="W37" si="307">IFERROR(W22/$C37,0)</f>
        <v>2.5734741539762904E-5</v>
      </c>
      <c r="X37" s="118">
        <f t="shared" si="259"/>
        <v>0.39018350000000002</v>
      </c>
      <c r="Y37" s="118">
        <f t="shared" si="260"/>
        <v>4.9841531206211371E-3</v>
      </c>
      <c r="Z37" s="118">
        <f t="shared" si="261"/>
        <v>0.15782418593272107</v>
      </c>
      <c r="AA37" s="118">
        <f t="shared" si="262"/>
        <v>70.898755292834011</v>
      </c>
      <c r="AB37" s="118" t="str">
        <f t="shared" si="263"/>
        <v>.</v>
      </c>
      <c r="AC37" s="118" t="str">
        <f t="shared" si="264"/>
        <v>.</v>
      </c>
      <c r="AD37" s="118">
        <f t="shared" si="265"/>
        <v>3.211327127071729</v>
      </c>
      <c r="AE37" s="118">
        <f t="shared" si="266"/>
        <v>6.4718050840926757</v>
      </c>
      <c r="AF37" s="118" t="str">
        <f t="shared" si="267"/>
        <v>.</v>
      </c>
      <c r="AG37" s="118">
        <f t="shared" si="268"/>
        <v>1186.0324840000001</v>
      </c>
      <c r="AH37" s="118">
        <f t="shared" si="269"/>
        <v>38857.977200000008</v>
      </c>
      <c r="AI37" s="60">
        <f t="shared" si="287"/>
        <v>2.49220285903609E-5</v>
      </c>
      <c r="AJ37" s="60">
        <f t="shared" ref="AJ37:AS37" si="308">IFERROR(AJ22/$C37,0)</f>
        <v>0.27866097516115274</v>
      </c>
      <c r="AK37" s="60" t="str">
        <f>IFERROR(AK22,".")</f>
        <v>.</v>
      </c>
      <c r="AL37" s="60">
        <f t="shared" si="308"/>
        <v>21567027.983360112</v>
      </c>
      <c r="AM37" s="60">
        <f t="shared" si="308"/>
        <v>7.3473783962706027E-2</v>
      </c>
      <c r="AN37" s="60">
        <f t="shared" si="308"/>
        <v>0</v>
      </c>
      <c r="AO37" s="60">
        <f t="shared" si="308"/>
        <v>0</v>
      </c>
      <c r="AP37" s="60">
        <f t="shared" si="308"/>
        <v>21.577445465880466</v>
      </c>
      <c r="AQ37" s="60">
        <f t="shared" si="308"/>
        <v>9.8616171128187684</v>
      </c>
      <c r="AR37" s="60">
        <f t="shared" si="308"/>
        <v>0</v>
      </c>
      <c r="AS37" s="60">
        <f t="shared" si="308"/>
        <v>0.84314722698606948</v>
      </c>
      <c r="AT37" s="60">
        <f t="shared" ref="AT37" si="309">IFERROR(AT22/$C37,0)</f>
        <v>2.5734741539762903E-2</v>
      </c>
      <c r="AU37" s="118">
        <f t="shared" si="272"/>
        <v>3.5885900399999997</v>
      </c>
      <c r="AV37" s="118" t="str">
        <f t="shared" si="273"/>
        <v>.</v>
      </c>
      <c r="AW37" s="118">
        <f t="shared" si="274"/>
        <v>4.6367074813068492E-8</v>
      </c>
      <c r="AX37" s="118">
        <f t="shared" si="275"/>
        <v>13.610296708109956</v>
      </c>
      <c r="AY37" s="118" t="str">
        <f t="shared" si="276"/>
        <v>.</v>
      </c>
      <c r="AZ37" s="118" t="str">
        <f t="shared" si="277"/>
        <v>.</v>
      </c>
      <c r="BA37" s="118">
        <f t="shared" si="278"/>
        <v>4.6344689021750013E-2</v>
      </c>
      <c r="BB37" s="118">
        <f t="shared" si="279"/>
        <v>0.10140324741467961</v>
      </c>
      <c r="BC37" s="118" t="str">
        <f t="shared" si="280"/>
        <v>.</v>
      </c>
      <c r="BD37" s="118">
        <f t="shared" si="281"/>
        <v>1.1860324840000003</v>
      </c>
      <c r="BE37" s="118">
        <f t="shared" si="282"/>
        <v>38.857977200000008</v>
      </c>
      <c r="BF37" s="60">
        <f t="shared" si="22"/>
        <v>1.7424442784966205E-2</v>
      </c>
      <c r="BG37" s="60">
        <f>IFERROR(BG22/$C37,0)</f>
        <v>1.4759753281868042E-4</v>
      </c>
      <c r="BH37" s="60">
        <f>IFERROR(BH22/$C37,0)</f>
        <v>1413.194864879596</v>
      </c>
      <c r="BI37" s="60">
        <f t="shared" si="283"/>
        <v>1.4759751740323418E-4</v>
      </c>
    </row>
    <row r="38" spans="1:61" x14ac:dyDescent="0.25">
      <c r="A38" s="3">
        <v>37</v>
      </c>
      <c r="B38" s="177" t="s">
        <v>1080</v>
      </c>
      <c r="C38" s="178">
        <v>1</v>
      </c>
      <c r="D38" s="42"/>
      <c r="E38" s="60">
        <f t="shared" ref="E38:V38" si="310">IFERROR(E2/$C38,0)</f>
        <v>1.8585259772303022E-4</v>
      </c>
      <c r="F38" s="60">
        <f t="shared" si="310"/>
        <v>1.6806362004774817E-3</v>
      </c>
      <c r="G38" s="60">
        <f t="shared" si="310"/>
        <v>3.041646376705487E-3</v>
      </c>
      <c r="H38" s="60">
        <f t="shared" si="310"/>
        <v>1.0992003435115387E-3</v>
      </c>
      <c r="I38" s="60">
        <f t="shared" si="310"/>
        <v>1.8924933959368776E-4</v>
      </c>
      <c r="J38" s="60">
        <f t="shared" si="310"/>
        <v>1.9735951839847184E-3</v>
      </c>
      <c r="K38" s="60">
        <f t="shared" si="310"/>
        <v>1.9068452272436997E-3</v>
      </c>
      <c r="L38" s="60">
        <f t="shared" ref="L38" si="311">IFERROR(L2/$C38,0)</f>
        <v>1.4550296647141154E-3</v>
      </c>
      <c r="M38" s="60">
        <f t="shared" si="310"/>
        <v>1.2717404021751848</v>
      </c>
      <c r="N38" s="60">
        <f t="shared" si="310"/>
        <v>183.74297230542561</v>
      </c>
      <c r="O38" s="60">
        <f t="shared" si="310"/>
        <v>0.9387575126779838</v>
      </c>
      <c r="P38" s="60">
        <f t="shared" si="310"/>
        <v>0.10062628218697231</v>
      </c>
      <c r="Q38" s="60">
        <f t="shared" si="310"/>
        <v>0</v>
      </c>
      <c r="R38" s="60">
        <f t="shared" si="310"/>
        <v>0</v>
      </c>
      <c r="S38" s="60">
        <f t="shared" si="310"/>
        <v>11.897395210645509</v>
      </c>
      <c r="T38" s="60">
        <f t="shared" si="310"/>
        <v>12.986463676315685</v>
      </c>
      <c r="U38" s="60">
        <f t="shared" si="310"/>
        <v>0</v>
      </c>
      <c r="V38" s="60">
        <f t="shared" si="310"/>
        <v>0.21610912575428595</v>
      </c>
      <c r="W38" s="60">
        <f t="shared" ref="W38" si="312">IFERROR(W2/$C38,0)</f>
        <v>0</v>
      </c>
      <c r="X38" s="118">
        <f t="shared" si="259"/>
        <v>0.78632400000000002</v>
      </c>
      <c r="Y38" s="118">
        <f t="shared" si="260"/>
        <v>5.4423850199710293E-3</v>
      </c>
      <c r="Z38" s="118">
        <f t="shared" si="261"/>
        <v>1.0652378132743889</v>
      </c>
      <c r="AA38" s="118">
        <f t="shared" si="262"/>
        <v>9.9377615695064012</v>
      </c>
      <c r="AB38" s="118" t="str">
        <f t="shared" si="263"/>
        <v>.</v>
      </c>
      <c r="AC38" s="118" t="str">
        <f t="shared" si="264"/>
        <v>.</v>
      </c>
      <c r="AD38" s="118">
        <f t="shared" si="265"/>
        <v>8.4052011578570035E-2</v>
      </c>
      <c r="AE38" s="118">
        <f t="shared" si="266"/>
        <v>7.7003257000885422E-2</v>
      </c>
      <c r="AF38" s="118" t="str">
        <f t="shared" si="267"/>
        <v>.</v>
      </c>
      <c r="AG38" s="118">
        <f t="shared" si="268"/>
        <v>4.6272918670588234</v>
      </c>
      <c r="AH38" s="118" t="str">
        <f t="shared" si="269"/>
        <v>.</v>
      </c>
      <c r="AI38" s="60">
        <f t="shared" si="287"/>
        <v>6.0302309091353888E-2</v>
      </c>
      <c r="AJ38" s="60">
        <f t="shared" ref="AJ38:AS38" si="313">IFERROR(AJ2/$C38,0)</f>
        <v>0.16850536462778118</v>
      </c>
      <c r="AK38" s="60" t="str">
        <f>IFERROR(AK2,".")</f>
        <v>.</v>
      </c>
      <c r="AL38" s="60">
        <f t="shared" si="313"/>
        <v>8013133.2220672667</v>
      </c>
      <c r="AM38" s="60">
        <f t="shared" si="313"/>
        <v>5.0116079538197911E-2</v>
      </c>
      <c r="AN38" s="60">
        <f t="shared" si="313"/>
        <v>0</v>
      </c>
      <c r="AO38" s="60">
        <f t="shared" si="313"/>
        <v>0</v>
      </c>
      <c r="AP38" s="60">
        <f t="shared" si="313"/>
        <v>1036.9814561429607</v>
      </c>
      <c r="AQ38" s="60">
        <f t="shared" si="313"/>
        <v>1059.3848901168392</v>
      </c>
      <c r="AR38" s="60">
        <f t="shared" si="313"/>
        <v>0</v>
      </c>
      <c r="AS38" s="60">
        <f t="shared" si="313"/>
        <v>0.12712301514957999</v>
      </c>
      <c r="AT38" s="60">
        <f t="shared" ref="AT38" si="314">IFERROR(AT2/$C38,0)</f>
        <v>0</v>
      </c>
      <c r="AU38" s="118">
        <f t="shared" si="272"/>
        <v>5.9345291600000003</v>
      </c>
      <c r="AV38" s="118" t="str">
        <f t="shared" si="273"/>
        <v>.</v>
      </c>
      <c r="AW38" s="118">
        <f t="shared" si="274"/>
        <v>1.2479512973104112E-7</v>
      </c>
      <c r="AX38" s="118">
        <f t="shared" si="275"/>
        <v>19.953675730716551</v>
      </c>
      <c r="AY38" s="118" t="str">
        <f t="shared" si="276"/>
        <v>.</v>
      </c>
      <c r="AZ38" s="118" t="str">
        <f t="shared" si="277"/>
        <v>.</v>
      </c>
      <c r="BA38" s="118">
        <f t="shared" si="278"/>
        <v>9.6433739878000056E-4</v>
      </c>
      <c r="BB38" s="118">
        <f t="shared" si="279"/>
        <v>9.4394398988427181E-4</v>
      </c>
      <c r="BC38" s="118" t="str">
        <f t="shared" si="280"/>
        <v>.</v>
      </c>
      <c r="BD38" s="118">
        <f t="shared" si="281"/>
        <v>7.8663961739999992</v>
      </c>
      <c r="BE38" s="118" t="str">
        <f t="shared" si="282"/>
        <v>.</v>
      </c>
      <c r="BF38" s="60">
        <f t="shared" si="22"/>
        <v>2.9623915969808599E-2</v>
      </c>
      <c r="BG38" s="60">
        <f>IFERROR(BG2/$C38,0)</f>
        <v>1.3517027940778114E-4</v>
      </c>
      <c r="BH38" s="60">
        <f>IFERROR(BH2/$C38,0)</f>
        <v>506.3147134942771</v>
      </c>
      <c r="BI38" s="60">
        <f t="shared" si="283"/>
        <v>1.351702433215307E-4</v>
      </c>
    </row>
    <row r="39" spans="1:61" x14ac:dyDescent="0.25">
      <c r="A39" s="3">
        <v>38</v>
      </c>
      <c r="B39" s="177" t="s">
        <v>1081</v>
      </c>
      <c r="C39" s="178">
        <v>1</v>
      </c>
      <c r="D39" s="42"/>
      <c r="E39" s="60">
        <f t="shared" ref="E39:V39" si="315">IFERROR(E11/$C39,0)</f>
        <v>0</v>
      </c>
      <c r="F39" s="60">
        <f t="shared" si="315"/>
        <v>0</v>
      </c>
      <c r="G39" s="60">
        <f t="shared" si="315"/>
        <v>0</v>
      </c>
      <c r="H39" s="60">
        <f t="shared" si="315"/>
        <v>0</v>
      </c>
      <c r="I39" s="60">
        <f t="shared" si="315"/>
        <v>0</v>
      </c>
      <c r="J39" s="60">
        <f t="shared" si="315"/>
        <v>0</v>
      </c>
      <c r="K39" s="60">
        <f t="shared" si="315"/>
        <v>0</v>
      </c>
      <c r="L39" s="60">
        <f t="shared" ref="L39" si="316">IFERROR(L11/$C39,0)</f>
        <v>0</v>
      </c>
      <c r="M39" s="60">
        <f t="shared" si="315"/>
        <v>0</v>
      </c>
      <c r="N39" s="60">
        <f t="shared" si="315"/>
        <v>0</v>
      </c>
      <c r="O39" s="60">
        <f t="shared" si="315"/>
        <v>0.36902160576317183</v>
      </c>
      <c r="P39" s="60">
        <f t="shared" si="315"/>
        <v>0</v>
      </c>
      <c r="Q39" s="60">
        <f t="shared" si="315"/>
        <v>0</v>
      </c>
      <c r="R39" s="60">
        <f t="shared" si="315"/>
        <v>0</v>
      </c>
      <c r="S39" s="60">
        <f t="shared" si="315"/>
        <v>0</v>
      </c>
      <c r="T39" s="60">
        <f t="shared" si="315"/>
        <v>0</v>
      </c>
      <c r="U39" s="60">
        <f t="shared" si="315"/>
        <v>0</v>
      </c>
      <c r="V39" s="60">
        <f t="shared" si="315"/>
        <v>0</v>
      </c>
      <c r="W39" s="60">
        <f t="shared" ref="W39" si="317">IFERROR(W11/$C39,0)</f>
        <v>0</v>
      </c>
      <c r="X39" s="118" t="str">
        <f t="shared" si="259"/>
        <v>.</v>
      </c>
      <c r="Y39" s="118" t="str">
        <f t="shared" si="260"/>
        <v>.</v>
      </c>
      <c r="Z39" s="118">
        <f t="shared" si="261"/>
        <v>2.7098684315025534</v>
      </c>
      <c r="AA39" s="118" t="str">
        <f t="shared" si="262"/>
        <v>.</v>
      </c>
      <c r="AB39" s="118" t="str">
        <f t="shared" si="263"/>
        <v>.</v>
      </c>
      <c r="AC39" s="118" t="str">
        <f t="shared" si="264"/>
        <v>.</v>
      </c>
      <c r="AD39" s="118" t="str">
        <f t="shared" si="265"/>
        <v>.</v>
      </c>
      <c r="AE39" s="118" t="str">
        <f t="shared" si="266"/>
        <v>.</v>
      </c>
      <c r="AF39" s="118" t="str">
        <f t="shared" si="267"/>
        <v>.</v>
      </c>
      <c r="AG39" s="118" t="str">
        <f t="shared" si="268"/>
        <v>.</v>
      </c>
      <c r="AH39" s="118" t="str">
        <f t="shared" si="269"/>
        <v>.</v>
      </c>
      <c r="AI39" s="60">
        <f t="shared" si="287"/>
        <v>0.36902160576317178</v>
      </c>
      <c r="AJ39" s="60">
        <f t="shared" ref="AJ39:AS39" si="318">IFERROR(AJ11/$C39,0)</f>
        <v>0</v>
      </c>
      <c r="AK39" s="60" t="str">
        <f>IFERROR(AK11,".")</f>
        <v>.</v>
      </c>
      <c r="AL39" s="60">
        <f t="shared" si="318"/>
        <v>3607756.2939906539</v>
      </c>
      <c r="AM39" s="60">
        <f t="shared" si="318"/>
        <v>0</v>
      </c>
      <c r="AN39" s="60">
        <f t="shared" si="318"/>
        <v>0</v>
      </c>
      <c r="AO39" s="60">
        <f t="shared" si="318"/>
        <v>0</v>
      </c>
      <c r="AP39" s="60">
        <f t="shared" si="318"/>
        <v>0</v>
      </c>
      <c r="AQ39" s="60">
        <f t="shared" si="318"/>
        <v>0</v>
      </c>
      <c r="AR39" s="60">
        <f t="shared" si="318"/>
        <v>0</v>
      </c>
      <c r="AS39" s="60">
        <f t="shared" si="318"/>
        <v>0</v>
      </c>
      <c r="AT39" s="60">
        <f t="shared" ref="AT39" si="319">IFERROR(AT11/$C39,0)</f>
        <v>0</v>
      </c>
      <c r="AU39" s="118" t="str">
        <f t="shared" si="272"/>
        <v>.</v>
      </c>
      <c r="AV39" s="118" t="str">
        <f t="shared" si="273"/>
        <v>.</v>
      </c>
      <c r="AW39" s="118">
        <f t="shared" si="274"/>
        <v>2.7718058497068499E-7</v>
      </c>
      <c r="AX39" s="118" t="str">
        <f t="shared" si="275"/>
        <v>.</v>
      </c>
      <c r="AY39" s="118" t="str">
        <f t="shared" si="276"/>
        <v>.</v>
      </c>
      <c r="AZ39" s="118" t="str">
        <f t="shared" si="277"/>
        <v>.</v>
      </c>
      <c r="BA39" s="118" t="str">
        <f t="shared" si="278"/>
        <v>.</v>
      </c>
      <c r="BB39" s="118" t="str">
        <f t="shared" si="279"/>
        <v>.</v>
      </c>
      <c r="BC39" s="118" t="str">
        <f t="shared" si="280"/>
        <v>.</v>
      </c>
      <c r="BD39" s="118" t="str">
        <f t="shared" si="281"/>
        <v>.</v>
      </c>
      <c r="BE39" s="118" t="str">
        <f t="shared" si="282"/>
        <v>.</v>
      </c>
      <c r="BF39" s="60">
        <f t="shared" si="22"/>
        <v>3607756.2939906539</v>
      </c>
      <c r="BG39" s="60">
        <f>IFERROR(BG11/$C39,0)</f>
        <v>0</v>
      </c>
      <c r="BH39" s="60">
        <f>IFERROR(BH11/$C39,0)</f>
        <v>226.2257230506344</v>
      </c>
      <c r="BI39" s="60">
        <f t="shared" si="283"/>
        <v>226.2257230506344</v>
      </c>
    </row>
    <row r="40" spans="1:61" x14ac:dyDescent="0.25">
      <c r="A40" s="3">
        <v>39</v>
      </c>
      <c r="B40" s="177" t="s">
        <v>1082</v>
      </c>
      <c r="C40" s="178">
        <v>1</v>
      </c>
      <c r="D40" s="42"/>
      <c r="E40" s="60">
        <f t="shared" ref="E40:V40" si="320">IFERROR(E4/$C40,0)</f>
        <v>0</v>
      </c>
      <c r="F40" s="60">
        <f t="shared" si="320"/>
        <v>0</v>
      </c>
      <c r="G40" s="60">
        <f t="shared" si="320"/>
        <v>0</v>
      </c>
      <c r="H40" s="60">
        <f t="shared" si="320"/>
        <v>0</v>
      </c>
      <c r="I40" s="60">
        <f t="shared" si="320"/>
        <v>0</v>
      </c>
      <c r="J40" s="60">
        <f t="shared" si="320"/>
        <v>0</v>
      </c>
      <c r="K40" s="60">
        <f t="shared" si="320"/>
        <v>0</v>
      </c>
      <c r="L40" s="60">
        <f t="shared" ref="L40" si="321">IFERROR(L4/$C40,0)</f>
        <v>0</v>
      </c>
      <c r="M40" s="60">
        <f t="shared" si="320"/>
        <v>0</v>
      </c>
      <c r="N40" s="60">
        <f t="shared" si="320"/>
        <v>0</v>
      </c>
      <c r="O40" s="60">
        <f t="shared" si="320"/>
        <v>41.319376804903776</v>
      </c>
      <c r="P40" s="60">
        <f t="shared" si="320"/>
        <v>0</v>
      </c>
      <c r="Q40" s="60">
        <f t="shared" si="320"/>
        <v>0</v>
      </c>
      <c r="R40" s="60">
        <f t="shared" si="320"/>
        <v>0</v>
      </c>
      <c r="S40" s="60">
        <f t="shared" si="320"/>
        <v>0</v>
      </c>
      <c r="T40" s="60">
        <f t="shared" si="320"/>
        <v>0</v>
      </c>
      <c r="U40" s="60">
        <f t="shared" si="320"/>
        <v>0</v>
      </c>
      <c r="V40" s="60">
        <f t="shared" si="320"/>
        <v>0</v>
      </c>
      <c r="W40" s="60">
        <f t="shared" ref="W40" si="322">IFERROR(W4/$C40,0)</f>
        <v>0</v>
      </c>
      <c r="X40" s="118" t="str">
        <f t="shared" si="259"/>
        <v>.</v>
      </c>
      <c r="Y40" s="118" t="str">
        <f t="shared" si="260"/>
        <v>.</v>
      </c>
      <c r="Z40" s="118">
        <f t="shared" si="261"/>
        <v>2.4201720290256658E-2</v>
      </c>
      <c r="AA40" s="118" t="str">
        <f t="shared" si="262"/>
        <v>.</v>
      </c>
      <c r="AB40" s="118" t="str">
        <f t="shared" si="263"/>
        <v>.</v>
      </c>
      <c r="AC40" s="118" t="str">
        <f t="shared" si="264"/>
        <v>.</v>
      </c>
      <c r="AD40" s="118" t="str">
        <f t="shared" si="265"/>
        <v>.</v>
      </c>
      <c r="AE40" s="118" t="str">
        <f t="shared" si="266"/>
        <v>.</v>
      </c>
      <c r="AF40" s="118" t="str">
        <f t="shared" si="267"/>
        <v>.</v>
      </c>
      <c r="AG40" s="118" t="str">
        <f t="shared" si="268"/>
        <v>.</v>
      </c>
      <c r="AH40" s="118" t="str">
        <f t="shared" si="269"/>
        <v>.</v>
      </c>
      <c r="AI40" s="60">
        <f t="shared" si="287"/>
        <v>41.319376804903776</v>
      </c>
      <c r="AJ40" s="60">
        <f t="shared" ref="AJ40:AS40" si="323">IFERROR(AJ4/$C40,0)</f>
        <v>0</v>
      </c>
      <c r="AK40" s="60" t="str">
        <f>IFERROR(AK4,".")</f>
        <v>.</v>
      </c>
      <c r="AL40" s="60">
        <f t="shared" si="323"/>
        <v>427804981.30927438</v>
      </c>
      <c r="AM40" s="60">
        <f t="shared" si="323"/>
        <v>0</v>
      </c>
      <c r="AN40" s="60">
        <f t="shared" si="323"/>
        <v>0</v>
      </c>
      <c r="AO40" s="60">
        <f t="shared" si="323"/>
        <v>0</v>
      </c>
      <c r="AP40" s="60">
        <f t="shared" si="323"/>
        <v>0</v>
      </c>
      <c r="AQ40" s="60">
        <f t="shared" si="323"/>
        <v>0</v>
      </c>
      <c r="AR40" s="60">
        <f t="shared" si="323"/>
        <v>0</v>
      </c>
      <c r="AS40" s="60">
        <f t="shared" si="323"/>
        <v>0</v>
      </c>
      <c r="AT40" s="60">
        <f t="shared" ref="AT40" si="324">IFERROR(AT4/$C40,0)</f>
        <v>0</v>
      </c>
      <c r="AU40" s="118" t="str">
        <f t="shared" si="272"/>
        <v>.</v>
      </c>
      <c r="AV40" s="118" t="str">
        <f t="shared" si="273"/>
        <v>.</v>
      </c>
      <c r="AW40" s="118">
        <f t="shared" si="274"/>
        <v>2.3375136889232874E-9</v>
      </c>
      <c r="AX40" s="118" t="str">
        <f t="shared" si="275"/>
        <v>.</v>
      </c>
      <c r="AY40" s="118" t="str">
        <f t="shared" si="276"/>
        <v>.</v>
      </c>
      <c r="AZ40" s="118" t="str">
        <f t="shared" si="277"/>
        <v>.</v>
      </c>
      <c r="BA40" s="118" t="str">
        <f t="shared" si="278"/>
        <v>.</v>
      </c>
      <c r="BB40" s="118" t="str">
        <f t="shared" si="279"/>
        <v>.</v>
      </c>
      <c r="BC40" s="118" t="str">
        <f t="shared" si="280"/>
        <v>.</v>
      </c>
      <c r="BD40" s="118" t="str">
        <f t="shared" si="281"/>
        <v>.</v>
      </c>
      <c r="BE40" s="118" t="str">
        <f t="shared" si="282"/>
        <v>.</v>
      </c>
      <c r="BF40" s="60">
        <f t="shared" si="22"/>
        <v>427804981.30927438</v>
      </c>
      <c r="BG40" s="60">
        <f>IFERROR(BG4/$C40,0)</f>
        <v>0</v>
      </c>
      <c r="BH40" s="60">
        <f>IFERROR(BH4/$C40,0)</f>
        <v>26708.706776432547</v>
      </c>
      <c r="BI40" s="60">
        <f t="shared" si="283"/>
        <v>26708.706776432547</v>
      </c>
    </row>
    <row r="41" spans="1:61" x14ac:dyDescent="0.25">
      <c r="A41" s="3">
        <v>40</v>
      </c>
      <c r="B41" s="177" t="s">
        <v>1083</v>
      </c>
      <c r="C41" s="179">
        <v>0.99987999999999999</v>
      </c>
      <c r="D41" s="84"/>
      <c r="E41" s="60">
        <f t="shared" ref="E41:V41" si="325">IFERROR(E8/$C41,0)</f>
        <v>7.0325865252646919E-2</v>
      </c>
      <c r="F41" s="60">
        <f t="shared" si="325"/>
        <v>0.63594588626432669</v>
      </c>
      <c r="G41" s="60">
        <f t="shared" si="325"/>
        <v>1.1509465880760472</v>
      </c>
      <c r="H41" s="60">
        <f t="shared" si="325"/>
        <v>0.41593292851712799</v>
      </c>
      <c r="I41" s="60">
        <f t="shared" si="325"/>
        <v>7.1611178527901082E-2</v>
      </c>
      <c r="J41" s="60">
        <f t="shared" si="325"/>
        <v>0.74680037122227005</v>
      </c>
      <c r="K41" s="60">
        <f t="shared" si="325"/>
        <v>0.72154245973273257</v>
      </c>
      <c r="L41" s="60">
        <f t="shared" ref="L41" si="326">IFERROR(L8/$C41,0)</f>
        <v>0.55057729293502877</v>
      </c>
      <c r="M41" s="60">
        <f t="shared" si="325"/>
        <v>521.3971424618295</v>
      </c>
      <c r="N41" s="60">
        <f t="shared" si="325"/>
        <v>70933.299305810971</v>
      </c>
      <c r="O41" s="60">
        <f t="shared" si="325"/>
        <v>7.1273370433554889E-2</v>
      </c>
      <c r="P41" s="60">
        <f t="shared" si="325"/>
        <v>0.6973523652791016</v>
      </c>
      <c r="Q41" s="60">
        <f t="shared" si="325"/>
        <v>0</v>
      </c>
      <c r="R41" s="60">
        <f t="shared" si="325"/>
        <v>0</v>
      </c>
      <c r="S41" s="60">
        <f t="shared" si="325"/>
        <v>22.296056205688981</v>
      </c>
      <c r="T41" s="60">
        <f t="shared" si="325"/>
        <v>4.7206088885592381</v>
      </c>
      <c r="U41" s="60">
        <f t="shared" si="325"/>
        <v>0</v>
      </c>
      <c r="V41" s="60">
        <f t="shared" si="325"/>
        <v>23.089358711447442</v>
      </c>
      <c r="W41" s="60">
        <f t="shared" ref="W41" si="327">IFERROR(W8/$C41,0)</f>
        <v>0</v>
      </c>
      <c r="X41" s="118">
        <f t="shared" si="259"/>
        <v>1.9179238215200002E-3</v>
      </c>
      <c r="Y41" s="118">
        <f t="shared" si="260"/>
        <v>1.4097751123752937E-5</v>
      </c>
      <c r="Z41" s="118">
        <f t="shared" si="261"/>
        <v>14.030485634634848</v>
      </c>
      <c r="AA41" s="118">
        <f t="shared" si="262"/>
        <v>1.4339952795596664</v>
      </c>
      <c r="AB41" s="118" t="str">
        <f t="shared" si="263"/>
        <v>.</v>
      </c>
      <c r="AC41" s="118" t="str">
        <f t="shared" si="264"/>
        <v>.</v>
      </c>
      <c r="AD41" s="118">
        <f t="shared" si="265"/>
        <v>4.4850981302462074E-2</v>
      </c>
      <c r="AE41" s="118">
        <f t="shared" si="266"/>
        <v>0.21183707941227192</v>
      </c>
      <c r="AF41" s="118" t="str">
        <f t="shared" si="267"/>
        <v>.</v>
      </c>
      <c r="AG41" s="118">
        <f t="shared" si="268"/>
        <v>4.3309994551915004E-2</v>
      </c>
      <c r="AH41" s="118" t="str">
        <f t="shared" si="269"/>
        <v>.</v>
      </c>
      <c r="AI41" s="60">
        <f t="shared" si="287"/>
        <v>6.3425975675040408E-2</v>
      </c>
      <c r="AJ41" s="60">
        <f t="shared" ref="AJ41:AS41" si="328">IFERROR(AJ8/$C41,0)</f>
        <v>62.858814097688935</v>
      </c>
      <c r="AK41" s="60" t="str">
        <f>IFERROR(AK8,".")</f>
        <v>.</v>
      </c>
      <c r="AL41" s="60">
        <f t="shared" si="328"/>
        <v>790885.93236842169</v>
      </c>
      <c r="AM41" s="60">
        <f t="shared" si="328"/>
        <v>9.7036834289482528</v>
      </c>
      <c r="AN41" s="60">
        <f t="shared" si="328"/>
        <v>0</v>
      </c>
      <c r="AO41" s="60">
        <f t="shared" si="328"/>
        <v>0</v>
      </c>
      <c r="AP41" s="60">
        <f t="shared" si="328"/>
        <v>3923.8955520483769</v>
      </c>
      <c r="AQ41" s="60">
        <f t="shared" si="328"/>
        <v>801.73384656237079</v>
      </c>
      <c r="AR41" s="60">
        <f t="shared" si="328"/>
        <v>0</v>
      </c>
      <c r="AS41" s="60">
        <f t="shared" si="328"/>
        <v>48.102830648848844</v>
      </c>
      <c r="AT41" s="60">
        <f t="shared" ref="AT41" si="329">IFERROR(AT8/$C41,0)</f>
        <v>0</v>
      </c>
      <c r="AU41" s="118">
        <f t="shared" si="272"/>
        <v>1.5908667930736E-2</v>
      </c>
      <c r="AV41" s="118" t="str">
        <f t="shared" si="273"/>
        <v>.</v>
      </c>
      <c r="AW41" s="118">
        <f t="shared" si="274"/>
        <v>1.2644048390206615E-6</v>
      </c>
      <c r="AX41" s="118">
        <f t="shared" si="275"/>
        <v>0.10305365043306924</v>
      </c>
      <c r="AY41" s="118" t="str">
        <f t="shared" si="276"/>
        <v>.</v>
      </c>
      <c r="AZ41" s="118" t="str">
        <f t="shared" si="277"/>
        <v>.</v>
      </c>
      <c r="BA41" s="118">
        <f t="shared" si="278"/>
        <v>2.5484878145596245E-4</v>
      </c>
      <c r="BB41" s="118">
        <f t="shared" si="279"/>
        <v>1.2472967235794567E-3</v>
      </c>
      <c r="BC41" s="118" t="str">
        <f t="shared" si="280"/>
        <v>.</v>
      </c>
      <c r="BD41" s="118">
        <f t="shared" si="281"/>
        <v>2.0788797384919202E-2</v>
      </c>
      <c r="BE41" s="118" t="str">
        <f t="shared" si="282"/>
        <v>.</v>
      </c>
      <c r="BF41" s="60">
        <f t="shared" si="22"/>
        <v>7.0794191926772072</v>
      </c>
      <c r="BG41" s="60">
        <f>IFERROR(BG8/$C41,0)</f>
        <v>5.2181989690166353E-2</v>
      </c>
      <c r="BH41" s="60">
        <f>IFERROR(BH8/$C41,0)</f>
        <v>48.971839044144986</v>
      </c>
      <c r="BI41" s="60">
        <f t="shared" si="283"/>
        <v>5.2126446305707015E-2</v>
      </c>
    </row>
    <row r="42" spans="1:61" x14ac:dyDescent="0.25">
      <c r="A42" s="3">
        <v>41</v>
      </c>
      <c r="B42" s="177" t="s">
        <v>1084</v>
      </c>
      <c r="C42" s="178">
        <v>0.97898250799999997</v>
      </c>
      <c r="D42" s="42"/>
      <c r="E42" s="60">
        <f t="shared" ref="E42:V42" si="330">IFERROR(E19/$C42,0)</f>
        <v>0</v>
      </c>
      <c r="F42" s="60">
        <f t="shared" si="330"/>
        <v>0</v>
      </c>
      <c r="G42" s="60">
        <f t="shared" si="330"/>
        <v>0</v>
      </c>
      <c r="H42" s="60">
        <f t="shared" si="330"/>
        <v>0</v>
      </c>
      <c r="I42" s="60">
        <f t="shared" si="330"/>
        <v>0</v>
      </c>
      <c r="J42" s="60">
        <f t="shared" si="330"/>
        <v>0</v>
      </c>
      <c r="K42" s="60">
        <f t="shared" si="330"/>
        <v>0</v>
      </c>
      <c r="L42" s="60">
        <f t="shared" ref="L42" si="331">IFERROR(L19/$C42,0)</f>
        <v>0</v>
      </c>
      <c r="M42" s="60">
        <f t="shared" si="330"/>
        <v>0</v>
      </c>
      <c r="N42" s="60">
        <f t="shared" si="330"/>
        <v>0</v>
      </c>
      <c r="O42" s="60">
        <f t="shared" si="330"/>
        <v>228.71333333979513</v>
      </c>
      <c r="P42" s="60">
        <f t="shared" si="330"/>
        <v>0</v>
      </c>
      <c r="Q42" s="60">
        <f t="shared" si="330"/>
        <v>0</v>
      </c>
      <c r="R42" s="60">
        <f t="shared" si="330"/>
        <v>0</v>
      </c>
      <c r="S42" s="60">
        <f t="shared" si="330"/>
        <v>0</v>
      </c>
      <c r="T42" s="60">
        <f t="shared" si="330"/>
        <v>0</v>
      </c>
      <c r="U42" s="60">
        <f t="shared" si="330"/>
        <v>0</v>
      </c>
      <c r="V42" s="60">
        <f t="shared" si="330"/>
        <v>0</v>
      </c>
      <c r="W42" s="60">
        <f t="shared" ref="W42" si="332">IFERROR(W19/$C42,0)</f>
        <v>0</v>
      </c>
      <c r="X42" s="118" t="str">
        <f t="shared" si="259"/>
        <v>.</v>
      </c>
      <c r="Y42" s="118" t="str">
        <f t="shared" si="260"/>
        <v>.</v>
      </c>
      <c r="Z42" s="118">
        <f t="shared" si="261"/>
        <v>4.3722855392707635E-3</v>
      </c>
      <c r="AA42" s="118" t="str">
        <f t="shared" si="262"/>
        <v>.</v>
      </c>
      <c r="AB42" s="118" t="str">
        <f t="shared" si="263"/>
        <v>.</v>
      </c>
      <c r="AC42" s="118" t="str">
        <f t="shared" si="264"/>
        <v>.</v>
      </c>
      <c r="AD42" s="118" t="str">
        <f t="shared" si="265"/>
        <v>.</v>
      </c>
      <c r="AE42" s="118" t="str">
        <f t="shared" si="266"/>
        <v>.</v>
      </c>
      <c r="AF42" s="118" t="str">
        <f t="shared" si="267"/>
        <v>.</v>
      </c>
      <c r="AG42" s="118" t="str">
        <f t="shared" si="268"/>
        <v>.</v>
      </c>
      <c r="AH42" s="118" t="str">
        <f t="shared" si="269"/>
        <v>.</v>
      </c>
      <c r="AI42" s="60">
        <f t="shared" si="287"/>
        <v>228.71333333979513</v>
      </c>
      <c r="AJ42" s="60">
        <f t="shared" ref="AJ42:AS42" si="333">IFERROR(AJ19/$C42,0)</f>
        <v>0</v>
      </c>
      <c r="AK42" s="60" t="str">
        <f>IFERROR(AK19,".")</f>
        <v>.</v>
      </c>
      <c r="AL42" s="60">
        <f t="shared" si="333"/>
        <v>2674550524.1648698</v>
      </c>
      <c r="AM42" s="60">
        <f t="shared" si="333"/>
        <v>0</v>
      </c>
      <c r="AN42" s="60">
        <f t="shared" si="333"/>
        <v>0</v>
      </c>
      <c r="AO42" s="60">
        <f t="shared" si="333"/>
        <v>0</v>
      </c>
      <c r="AP42" s="60">
        <f t="shared" si="333"/>
        <v>0</v>
      </c>
      <c r="AQ42" s="60">
        <f t="shared" si="333"/>
        <v>0</v>
      </c>
      <c r="AR42" s="60">
        <f t="shared" si="333"/>
        <v>0</v>
      </c>
      <c r="AS42" s="60">
        <f t="shared" si="333"/>
        <v>0</v>
      </c>
      <c r="AT42" s="60">
        <f t="shared" ref="AT42" si="334">IFERROR(AT19/$C42,0)</f>
        <v>0</v>
      </c>
      <c r="AU42" s="118" t="str">
        <f t="shared" si="272"/>
        <v>.</v>
      </c>
      <c r="AV42" s="118" t="str">
        <f t="shared" si="273"/>
        <v>.</v>
      </c>
      <c r="AW42" s="118">
        <f t="shared" si="274"/>
        <v>3.7389460059358973E-10</v>
      </c>
      <c r="AX42" s="118" t="str">
        <f t="shared" si="275"/>
        <v>.</v>
      </c>
      <c r="AY42" s="118" t="str">
        <f t="shared" si="276"/>
        <v>.</v>
      </c>
      <c r="AZ42" s="118" t="str">
        <f t="shared" si="277"/>
        <v>.</v>
      </c>
      <c r="BA42" s="118" t="str">
        <f t="shared" si="278"/>
        <v>.</v>
      </c>
      <c r="BB42" s="118" t="str">
        <f t="shared" si="279"/>
        <v>.</v>
      </c>
      <c r="BC42" s="118" t="str">
        <f t="shared" si="280"/>
        <v>.</v>
      </c>
      <c r="BD42" s="118" t="str">
        <f t="shared" si="281"/>
        <v>.</v>
      </c>
      <c r="BE42" s="118" t="str">
        <f t="shared" si="282"/>
        <v>.</v>
      </c>
      <c r="BF42" s="60">
        <f t="shared" si="22"/>
        <v>2674550524.1648698</v>
      </c>
      <c r="BG42" s="60">
        <f>IFERROR(BG19/$C42,0)</f>
        <v>0</v>
      </c>
      <c r="BH42" s="60">
        <f>IFERROR(BH19/$C42,0)</f>
        <v>165274.2211061187</v>
      </c>
      <c r="BI42" s="60">
        <f t="shared" si="283"/>
        <v>165274.2211061187</v>
      </c>
    </row>
    <row r="43" spans="1:61" x14ac:dyDescent="0.25">
      <c r="A43" s="3">
        <v>42</v>
      </c>
      <c r="B43" s="177" t="s">
        <v>1085</v>
      </c>
      <c r="C43" s="178">
        <v>2.0897492E-2</v>
      </c>
      <c r="D43" s="42"/>
      <c r="E43" s="60">
        <f t="shared" ref="E43:V43" si="335">IFERROR(E28/$C43,0)</f>
        <v>0</v>
      </c>
      <c r="F43" s="60">
        <f t="shared" si="335"/>
        <v>0</v>
      </c>
      <c r="G43" s="60">
        <f t="shared" si="335"/>
        <v>0</v>
      </c>
      <c r="H43" s="60">
        <f t="shared" si="335"/>
        <v>0</v>
      </c>
      <c r="I43" s="60">
        <f t="shared" si="335"/>
        <v>0</v>
      </c>
      <c r="J43" s="60">
        <f t="shared" si="335"/>
        <v>0</v>
      </c>
      <c r="K43" s="60">
        <f t="shared" si="335"/>
        <v>0</v>
      </c>
      <c r="L43" s="60">
        <f t="shared" ref="L43" si="336">IFERROR(L28/$C43,0)</f>
        <v>0</v>
      </c>
      <c r="M43" s="60">
        <f t="shared" si="335"/>
        <v>0</v>
      </c>
      <c r="N43" s="60">
        <f t="shared" si="335"/>
        <v>0</v>
      </c>
      <c r="O43" s="60">
        <f t="shared" si="335"/>
        <v>0.17938317159714989</v>
      </c>
      <c r="P43" s="60">
        <f t="shared" si="335"/>
        <v>0</v>
      </c>
      <c r="Q43" s="60">
        <f t="shared" si="335"/>
        <v>0</v>
      </c>
      <c r="R43" s="60">
        <f t="shared" si="335"/>
        <v>0</v>
      </c>
      <c r="S43" s="60">
        <f t="shared" si="335"/>
        <v>0</v>
      </c>
      <c r="T43" s="60">
        <f t="shared" si="335"/>
        <v>0</v>
      </c>
      <c r="U43" s="60">
        <f t="shared" si="335"/>
        <v>0</v>
      </c>
      <c r="V43" s="60">
        <f t="shared" si="335"/>
        <v>0</v>
      </c>
      <c r="W43" s="60">
        <f t="shared" ref="W43" si="337">IFERROR(W28/$C43,0)</f>
        <v>0</v>
      </c>
      <c r="X43" s="118" t="str">
        <f t="shared" si="259"/>
        <v>.</v>
      </c>
      <c r="Y43" s="118" t="str">
        <f t="shared" si="260"/>
        <v>.</v>
      </c>
      <c r="Z43" s="118">
        <f t="shared" si="261"/>
        <v>5.5746589331453675</v>
      </c>
      <c r="AA43" s="118" t="str">
        <f t="shared" si="262"/>
        <v>.</v>
      </c>
      <c r="AB43" s="118" t="str">
        <f t="shared" si="263"/>
        <v>.</v>
      </c>
      <c r="AC43" s="118" t="str">
        <f t="shared" si="264"/>
        <v>.</v>
      </c>
      <c r="AD43" s="118" t="str">
        <f t="shared" si="265"/>
        <v>.</v>
      </c>
      <c r="AE43" s="118" t="str">
        <f t="shared" si="266"/>
        <v>.</v>
      </c>
      <c r="AF43" s="118" t="str">
        <f t="shared" si="267"/>
        <v>.</v>
      </c>
      <c r="AG43" s="118" t="str">
        <f t="shared" si="268"/>
        <v>.</v>
      </c>
      <c r="AH43" s="118" t="str">
        <f t="shared" si="269"/>
        <v>.</v>
      </c>
      <c r="AI43" s="60">
        <f t="shared" si="287"/>
        <v>0.17938317159714989</v>
      </c>
      <c r="AJ43" s="60">
        <f t="shared" ref="AJ43:AS43" si="338">IFERROR(AJ28/$C43,0)</f>
        <v>0</v>
      </c>
      <c r="AK43" s="60" t="str">
        <f>IFERROR(AK28,".")</f>
        <v>.</v>
      </c>
      <c r="AL43" s="60">
        <f t="shared" si="338"/>
        <v>2104663.9241028368</v>
      </c>
      <c r="AM43" s="60">
        <f t="shared" si="338"/>
        <v>0</v>
      </c>
      <c r="AN43" s="60">
        <f t="shared" si="338"/>
        <v>0</v>
      </c>
      <c r="AO43" s="60">
        <f t="shared" si="338"/>
        <v>0</v>
      </c>
      <c r="AP43" s="60">
        <f t="shared" si="338"/>
        <v>0</v>
      </c>
      <c r="AQ43" s="60">
        <f t="shared" si="338"/>
        <v>0</v>
      </c>
      <c r="AR43" s="60">
        <f t="shared" si="338"/>
        <v>0</v>
      </c>
      <c r="AS43" s="60">
        <f t="shared" si="338"/>
        <v>0</v>
      </c>
      <c r="AT43" s="60">
        <f t="shared" ref="AT43" si="339">IFERROR(AT28/$C43,0)</f>
        <v>0</v>
      </c>
      <c r="AU43" s="118" t="str">
        <f t="shared" si="272"/>
        <v>.</v>
      </c>
      <c r="AV43" s="118" t="str">
        <f t="shared" si="273"/>
        <v>.</v>
      </c>
      <c r="AW43" s="118">
        <f t="shared" si="274"/>
        <v>4.7513524061865311E-7</v>
      </c>
      <c r="AX43" s="118" t="str">
        <f t="shared" si="275"/>
        <v>.</v>
      </c>
      <c r="AY43" s="118" t="str">
        <f t="shared" si="276"/>
        <v>.</v>
      </c>
      <c r="AZ43" s="118" t="str">
        <f t="shared" si="277"/>
        <v>.</v>
      </c>
      <c r="BA43" s="118" t="str">
        <f t="shared" si="278"/>
        <v>.</v>
      </c>
      <c r="BB43" s="118" t="str">
        <f t="shared" si="279"/>
        <v>.</v>
      </c>
      <c r="BC43" s="118" t="str">
        <f t="shared" si="280"/>
        <v>.</v>
      </c>
      <c r="BD43" s="118" t="str">
        <f t="shared" si="281"/>
        <v>.</v>
      </c>
      <c r="BE43" s="118" t="str">
        <f t="shared" si="282"/>
        <v>.</v>
      </c>
      <c r="BF43" s="60">
        <f t="shared" si="22"/>
        <v>2104663.9241028368</v>
      </c>
      <c r="BG43" s="60">
        <f>IFERROR(BG28/$C43,0)</f>
        <v>0</v>
      </c>
      <c r="BH43" s="60">
        <f>IFERROR(BH28/$C43,0)</f>
        <v>130.3020107604745</v>
      </c>
      <c r="BI43" s="60">
        <f t="shared" si="283"/>
        <v>130.3020107604745</v>
      </c>
    </row>
    <row r="44" spans="1:61" x14ac:dyDescent="0.25">
      <c r="A44" s="3">
        <v>43</v>
      </c>
      <c r="B44" s="177" t="s">
        <v>1086</v>
      </c>
      <c r="C44" s="178">
        <v>0.99987999999999999</v>
      </c>
      <c r="D44" s="42"/>
      <c r="E44" s="60">
        <f t="shared" ref="E44:V44" si="340">IFERROR(E15/$C44,0)</f>
        <v>0.14483246134833866</v>
      </c>
      <c r="F44" s="60">
        <f t="shared" si="340"/>
        <v>1.3096974727736663</v>
      </c>
      <c r="G44" s="60">
        <f t="shared" si="340"/>
        <v>2.3703146293710531</v>
      </c>
      <c r="H44" s="60">
        <f t="shared" si="340"/>
        <v>0.85659223070406409</v>
      </c>
      <c r="I44" s="60">
        <f t="shared" si="340"/>
        <v>0.1474794971806031</v>
      </c>
      <c r="J44" s="60">
        <f t="shared" si="340"/>
        <v>1.5379965182284543</v>
      </c>
      <c r="K44" s="60">
        <f t="shared" si="340"/>
        <v>1.4859791633561585</v>
      </c>
      <c r="L44" s="60">
        <f t="shared" ref="L44" si="341">IFERROR(L15/$C44,0)</f>
        <v>1.1338852954288281</v>
      </c>
      <c r="M44" s="60">
        <f t="shared" si="340"/>
        <v>993.43124185034992</v>
      </c>
      <c r="N44" s="60">
        <f t="shared" si="340"/>
        <v>25243167.012744121</v>
      </c>
      <c r="O44" s="60">
        <f t="shared" si="340"/>
        <v>80.0534233130508</v>
      </c>
      <c r="P44" s="60">
        <f t="shared" si="340"/>
        <v>8.4009846819755367</v>
      </c>
      <c r="Q44" s="60">
        <f t="shared" si="340"/>
        <v>0</v>
      </c>
      <c r="R44" s="60">
        <f t="shared" si="340"/>
        <v>0</v>
      </c>
      <c r="S44" s="60">
        <f t="shared" si="340"/>
        <v>340.73948251496762</v>
      </c>
      <c r="T44" s="60">
        <f t="shared" si="340"/>
        <v>139.48719679468107</v>
      </c>
      <c r="U44" s="60">
        <f t="shared" si="340"/>
        <v>0</v>
      </c>
      <c r="V44" s="60">
        <f t="shared" si="340"/>
        <v>8.9158749801369499</v>
      </c>
      <c r="W44" s="60">
        <f t="shared" ref="W44" si="342">IFERROR(W15/$C44,0)</f>
        <v>7.731036105196555</v>
      </c>
      <c r="X44" s="118">
        <f t="shared" si="259"/>
        <v>1.0066121920399998E-3</v>
      </c>
      <c r="Y44" s="118">
        <f t="shared" si="260"/>
        <v>3.9614680657745745E-8</v>
      </c>
      <c r="Z44" s="118">
        <f t="shared" si="261"/>
        <v>1.2491658177932959E-2</v>
      </c>
      <c r="AA44" s="118">
        <f t="shared" si="262"/>
        <v>0.11903366543989992</v>
      </c>
      <c r="AB44" s="118" t="str">
        <f t="shared" si="263"/>
        <v>.</v>
      </c>
      <c r="AC44" s="118" t="str">
        <f t="shared" si="264"/>
        <v>.</v>
      </c>
      <c r="AD44" s="118">
        <f t="shared" si="265"/>
        <v>2.9347934457700339E-3</v>
      </c>
      <c r="AE44" s="118">
        <f t="shared" si="266"/>
        <v>7.1691167575182934E-3</v>
      </c>
      <c r="AF44" s="118" t="str">
        <f t="shared" si="267"/>
        <v>.</v>
      </c>
      <c r="AG44" s="118">
        <f t="shared" si="268"/>
        <v>0.11215949104578402</v>
      </c>
      <c r="AH44" s="118">
        <f t="shared" si="269"/>
        <v>0.12934876857292543</v>
      </c>
      <c r="AI44" s="60">
        <f t="shared" si="287"/>
        <v>2.6031894859628286</v>
      </c>
      <c r="AJ44" s="60">
        <f t="shared" ref="AJ44:AS44" si="343">IFERROR(AJ15/$C44,0)</f>
        <v>132.28352582770174</v>
      </c>
      <c r="AK44" s="60" t="str">
        <f>IFERROR(AK15,".")</f>
        <v>.</v>
      </c>
      <c r="AL44" s="60">
        <f t="shared" si="343"/>
        <v>393455815.60037053</v>
      </c>
      <c r="AM44" s="60">
        <f t="shared" si="343"/>
        <v>34.05069133416454</v>
      </c>
      <c r="AN44" s="60">
        <f t="shared" si="343"/>
        <v>0</v>
      </c>
      <c r="AO44" s="60">
        <f t="shared" si="343"/>
        <v>0</v>
      </c>
      <c r="AP44" s="60">
        <f t="shared" si="343"/>
        <v>23088.739372077198</v>
      </c>
      <c r="AQ44" s="60">
        <f t="shared" si="343"/>
        <v>8690.1534379874829</v>
      </c>
      <c r="AR44" s="60">
        <f t="shared" si="343"/>
        <v>0</v>
      </c>
      <c r="AS44" s="60">
        <f t="shared" si="343"/>
        <v>59.43916653424634</v>
      </c>
      <c r="AT44" s="60">
        <f t="shared" ref="AT44" si="344">IFERROR(AT15/$C44,0)</f>
        <v>51.540240701310374</v>
      </c>
      <c r="AU44" s="118">
        <f t="shared" si="272"/>
        <v>7.5595203086928015E-3</v>
      </c>
      <c r="AV44" s="118" t="str">
        <f t="shared" si="273"/>
        <v>.</v>
      </c>
      <c r="AW44" s="118">
        <f t="shared" si="274"/>
        <v>2.5415814440920373E-9</v>
      </c>
      <c r="AX44" s="118">
        <f t="shared" si="275"/>
        <v>2.9367979351322494E-2</v>
      </c>
      <c r="AY44" s="118" t="str">
        <f t="shared" si="276"/>
        <v>.</v>
      </c>
      <c r="AZ44" s="118" t="str">
        <f t="shared" si="277"/>
        <v>.</v>
      </c>
      <c r="BA44" s="118">
        <f t="shared" si="278"/>
        <v>4.3311156312387017E-5</v>
      </c>
      <c r="BB44" s="118">
        <f t="shared" si="279"/>
        <v>1.1507276679703666E-4</v>
      </c>
      <c r="BC44" s="118" t="str">
        <f t="shared" si="280"/>
        <v>.</v>
      </c>
      <c r="BD44" s="118">
        <f t="shared" si="281"/>
        <v>1.68239236568676E-2</v>
      </c>
      <c r="BE44" s="118">
        <f t="shared" si="282"/>
        <v>1.9402315285938811E-2</v>
      </c>
      <c r="BF44" s="60">
        <f t="shared" si="22"/>
        <v>13.64030846301492</v>
      </c>
      <c r="BG44" s="60">
        <f>IFERROR(BG15/$C44,0)</f>
        <v>18.570103092585889</v>
      </c>
      <c r="BH44" s="60">
        <f>IFERROR(BH15/$C44,0)</f>
        <v>15295.314112417886</v>
      </c>
      <c r="BI44" s="60">
        <f t="shared" si="283"/>
        <v>18.547584394911524</v>
      </c>
    </row>
    <row r="45" spans="1:61" x14ac:dyDescent="0.25">
      <c r="A45" s="3">
        <v>44</v>
      </c>
      <c r="B45" s="82" t="s">
        <v>20</v>
      </c>
      <c r="C45" s="57" t="s">
        <v>1255</v>
      </c>
      <c r="D45" s="57"/>
      <c r="E45" s="58">
        <f t="shared" ref="E45" si="345">IFERROR(IF(AND(E46&lt;&gt;0,E47&lt;&gt;0),1/SUM(1/E46,1/E47),IF(AND(E46&lt;&gt;0,E47=0),1/(1/E46),IF(AND(E46=0,E47&lt;&gt;0),1/(1/E47),IF(AND(E46=0,E47=0),".")))),".")</f>
        <v>1.3506515517693483E-3</v>
      </c>
      <c r="F45" s="58">
        <f t="shared" ref="F45:O45" si="346">IFERROR(IF(AND(F46&lt;&gt;0,F47&lt;&gt;0),1/SUM(1/F46,1/F47),IF(AND(F46&lt;&gt;0,F47=0),1/(1/F46),IF(AND(F46=0,F47&lt;&gt;0),1/(1/F47),IF(AND(F46=0,F47=0),".")))),".")</f>
        <v>1.2213732387628431E-2</v>
      </c>
      <c r="G45" s="58">
        <f t="shared" si="346"/>
        <v>2.210463802477057E-2</v>
      </c>
      <c r="H45" s="58">
        <f t="shared" si="346"/>
        <v>7.9882480409650455E-3</v>
      </c>
      <c r="I45" s="58">
        <f t="shared" si="346"/>
        <v>1.3753367847699682E-3</v>
      </c>
      <c r="J45" s="58">
        <f t="shared" si="346"/>
        <v>1.434276104004736E-2</v>
      </c>
      <c r="K45" s="58">
        <f t="shared" si="346"/>
        <v>1.3857667295018567E-2</v>
      </c>
      <c r="L45" s="58">
        <f t="shared" ref="L45" si="347">IFERROR(IF(AND(L46&lt;&gt;0,L47&lt;&gt;0),1/SUM(1/L46,1/L47),IF(AND(L46&lt;&gt;0,L47=0),1/(1/L46),IF(AND(L46=0,L47&lt;&gt;0),1/(1/L47),IF(AND(L46=0,L47=0),".")))),".")</f>
        <v>1.0574175979209512E-2</v>
      </c>
      <c r="M45" s="58">
        <f t="shared" si="346"/>
        <v>14.597368094532557</v>
      </c>
      <c r="N45" s="58">
        <f t="shared" si="346"/>
        <v>46661.044282825183</v>
      </c>
      <c r="O45" s="58">
        <f t="shared" si="346"/>
        <v>1.5259429557033976E-2</v>
      </c>
      <c r="P45" s="58">
        <f t="shared" ref="P45:V45" si="348">IFERROR(IF(AND(P46&lt;&gt;0,P47&lt;&gt;0),1/SUM(1/P46,1/P47),IF(AND(P46&lt;&gt;0,P47=0),1/(1/P46),IF(AND(P46=0,P47&lt;&gt;0),1/(1/P47),IF(AND(P46=0,P47=0),".")))),".")</f>
        <v>5.3324995332092305E-2</v>
      </c>
      <c r="Q45" s="58">
        <f t="shared" si="348"/>
        <v>5.7503448152676266E-2</v>
      </c>
      <c r="R45" s="58">
        <f t="shared" si="348"/>
        <v>0.70247790332957372</v>
      </c>
      <c r="S45" s="58">
        <f t="shared" si="348"/>
        <v>9.4685258033003553E-2</v>
      </c>
      <c r="T45" s="58">
        <f t="shared" si="348"/>
        <v>5.0060554638653443E-2</v>
      </c>
      <c r="U45" s="58">
        <f t="shared" si="348"/>
        <v>4.2143274358611267E-2</v>
      </c>
      <c r="V45" s="58">
        <f t="shared" si="348"/>
        <v>5.5430669180074264E-5</v>
      </c>
      <c r="W45" s="58">
        <f t="shared" ref="W45" si="349">IFERROR(IF(AND(W46&lt;&gt;0,W47&lt;&gt;0),1/SUM(1/W46,1/W47),IF(AND(W46&lt;&gt;0,W47=0),1/(1/W46),IF(AND(W46=0,W47&lt;&gt;0),1/(1/W47),IF(AND(W46=0,W47=0),".")))),".")</f>
        <v>4.5974678170476136E-3</v>
      </c>
      <c r="X45" s="176"/>
      <c r="Y45" s="176"/>
      <c r="Z45" s="176"/>
      <c r="AA45" s="176"/>
      <c r="AB45" s="176"/>
      <c r="AC45" s="176"/>
      <c r="AD45" s="176"/>
      <c r="AE45" s="176"/>
      <c r="AF45" s="176"/>
      <c r="AG45" s="176"/>
      <c r="AH45" s="118"/>
      <c r="AI45" s="59">
        <f t="shared" ref="AI45" si="350">IFERROR(IF(AND(AI46&lt;&gt;0,AI47&lt;&gt;0),1/SUM(1/AI46,1/AI47),IF(AND(AI46&lt;&gt;0,AI47=0),1/(1/AI46),IF(AND(AI46=0,AI47&lt;&gt;0),1/(1/AI47),IF(AND(AI46=0,AI47=0),".")))),".")</f>
        <v>5.4302083715530862E-5</v>
      </c>
      <c r="AJ45" s="58">
        <f>IFERROR(IF(AND(AJ46&lt;&gt;0,AJ47&lt;&gt;0),1/SUM(1/AJ46,1/AJ47),IF(AND(AJ46&lt;&gt;0,AJ47=0),1/(1/AJ46),IF(AND(AJ46=0,AJ47&lt;&gt;0),1/(1/AJ47),IF(AND(AJ46=0,AJ47=0),".")))),".")</f>
        <v>1.0449786568543227</v>
      </c>
      <c r="AK45" s="58" t="str">
        <f>IFERROR(IF(AND(AK46&lt;&gt;0,AK47&lt;&gt;0),1/SUM(1/AK46,1/AK47),IF(AND(AK46&lt;&gt;0,AK47=0),1/(1/AK46),IF(AND(AK46=0,AK47&lt;&gt;0),1/(1/AK47),IF(AND(AK46=0,AK47=0),".")))),".")</f>
        <v>.</v>
      </c>
      <c r="AL45" s="58">
        <f>IFERROR(IF(AND(AL46&lt;&gt;0,AL47&lt;&gt;0),1/SUM(1/AL46,1/AL47),IF(AND(AL46&lt;&gt;0,AL47=0),1/(1/AL46),IF(AND(AL46=0,AL47&lt;&gt;0),1/(1/AL47),IF(AND(AL46=0,AL47=0),".")))),".")</f>
        <v>177131.16437121361</v>
      </c>
      <c r="AM45" s="58">
        <f t="shared" ref="AM45:AS45" si="351">IFERROR(IF(AND(AM46&lt;&gt;0,AM47&lt;&gt;0),1/SUM(1/AM46,1/AM47),IF(AND(AM46&lt;&gt;0,AM47=0),1/(1/AM46),IF(AND(AM46=0,AM47&lt;&gt;0),1/(1/AM47),IF(AND(AM46=0,AM47=0),".")))),".")</f>
        <v>0.29631819187647696</v>
      </c>
      <c r="AN45" s="58">
        <f t="shared" si="351"/>
        <v>11.309011470026325</v>
      </c>
      <c r="AO45" s="58">
        <f t="shared" si="351"/>
        <v>138.15398765481604</v>
      </c>
      <c r="AP45" s="58">
        <f t="shared" si="351"/>
        <v>6.8509845977401769</v>
      </c>
      <c r="AQ45" s="58">
        <f t="shared" si="351"/>
        <v>3.3473461444070582</v>
      </c>
      <c r="AR45" s="58">
        <f t="shared" si="351"/>
        <v>6.2906846666874374</v>
      </c>
      <c r="AS45" s="58">
        <f t="shared" si="351"/>
        <v>5.5430669180074272E-3</v>
      </c>
      <c r="AT45" s="58">
        <f t="shared" ref="AT45" si="352">IFERROR(IF(AND(AT46&lt;&gt;0,AT47&lt;&gt;0),1/SUM(1/AT46,1/AT47),IF(AND(AT46&lt;&gt;0,AT47=0),1/(1/AT46),IF(AND(AT46=0,AT47&lt;&gt;0),1/(1/AT47),IF(AND(AT46=0,AT47=0),".")))),".")</f>
        <v>0.45974678170476135</v>
      </c>
      <c r="AU45" s="176"/>
      <c r="AV45" s="176"/>
      <c r="AW45" s="176"/>
      <c r="AX45" s="176"/>
      <c r="AY45" s="176"/>
      <c r="AZ45" s="176"/>
      <c r="BA45" s="176"/>
      <c r="BB45" s="176"/>
      <c r="BC45" s="176"/>
      <c r="BD45" s="176"/>
      <c r="BE45" s="118"/>
      <c r="BF45" s="59">
        <f>IFERROR(IF(AND(BF46&lt;&gt;0,BF47&lt;&gt;0),1/SUM(1/BF46,1/BF47),IF(AND(BF46&lt;&gt;0,BF47=0),1/(1/BF46),IF(AND(BF46=0,BF47&lt;&gt;0),1/(1/BF47),IF(AND(BF46=0,BF47=0),".")))),".")</f>
        <v>5.3301578497379626E-3</v>
      </c>
      <c r="BG45" s="58">
        <f t="shared" ref="BG45:BI45" si="353">IFERROR(IF(AND(BG46&lt;&gt;0,BG47&lt;&gt;0),1/SUM(1/BG46,1/BG47),IF(AND(BG46&lt;&gt;0,BG47=0),1/(1/BG46),IF(AND(BG46=0,BG47&lt;&gt;0),1/(1/BG47),IF(AND(BG46=0,BG47=0),".")))),".")</f>
        <v>3.4326136744344427E-2</v>
      </c>
      <c r="BH45" s="58">
        <f t="shared" si="353"/>
        <v>10.943142002893939</v>
      </c>
      <c r="BI45" s="59">
        <f t="shared" si="353"/>
        <v>3.4218800184693039E-2</v>
      </c>
    </row>
    <row r="46" spans="1:61" x14ac:dyDescent="0.25">
      <c r="A46" s="3">
        <v>45</v>
      </c>
      <c r="B46" s="83" t="s">
        <v>1098</v>
      </c>
      <c r="C46" s="42">
        <v>1</v>
      </c>
      <c r="D46" s="42"/>
      <c r="E46" s="60">
        <f t="shared" ref="E46:V46" si="354">IFERROR(E10/$C46,0)</f>
        <v>1.3506515517693483E-3</v>
      </c>
      <c r="F46" s="60">
        <f t="shared" si="354"/>
        <v>1.2213732387628431E-2</v>
      </c>
      <c r="G46" s="60">
        <f t="shared" si="354"/>
        <v>2.210463802477057E-2</v>
      </c>
      <c r="H46" s="60">
        <f t="shared" si="354"/>
        <v>7.9882480409650455E-3</v>
      </c>
      <c r="I46" s="60">
        <f t="shared" si="354"/>
        <v>1.3753367847699682E-3</v>
      </c>
      <c r="J46" s="60">
        <f t="shared" si="354"/>
        <v>1.4342761040047359E-2</v>
      </c>
      <c r="K46" s="60">
        <f t="shared" si="354"/>
        <v>1.3857667295018567E-2</v>
      </c>
      <c r="L46" s="60">
        <f t="shared" ref="L46" si="355">IFERROR(L10/$C46,0)</f>
        <v>1.0574175979209512E-2</v>
      </c>
      <c r="M46" s="60">
        <f t="shared" si="354"/>
        <v>14.597368094532557</v>
      </c>
      <c r="N46" s="60">
        <f t="shared" si="354"/>
        <v>46661.044282825183</v>
      </c>
      <c r="O46" s="60">
        <f t="shared" si="354"/>
        <v>70.059493018039817</v>
      </c>
      <c r="P46" s="60">
        <f t="shared" si="354"/>
        <v>5.3324995332092305E-2</v>
      </c>
      <c r="Q46" s="60">
        <f t="shared" si="354"/>
        <v>5.7503448152676266E-2</v>
      </c>
      <c r="R46" s="60">
        <f t="shared" si="354"/>
        <v>0.70247790332957372</v>
      </c>
      <c r="S46" s="60">
        <f t="shared" si="354"/>
        <v>9.4685258033003539E-2</v>
      </c>
      <c r="T46" s="60">
        <f t="shared" si="354"/>
        <v>5.0060554638653436E-2</v>
      </c>
      <c r="U46" s="60">
        <f t="shared" si="354"/>
        <v>4.2143274358611267E-2</v>
      </c>
      <c r="V46" s="60">
        <f t="shared" si="354"/>
        <v>5.5430669180074264E-5</v>
      </c>
      <c r="W46" s="60">
        <f t="shared" ref="W46" si="356">IFERROR(W10/$C46,0)</f>
        <v>4.5974678170476136E-3</v>
      </c>
      <c r="X46" s="118">
        <f t="shared" ref="X46:X47" si="357">IFERROR(1/M46,".")</f>
        <v>6.8505499999999997E-2</v>
      </c>
      <c r="Y46" s="118">
        <f t="shared" ref="Y46:Y47" si="358">IFERROR(1/N46,".")</f>
        <v>2.1431153446518043E-5</v>
      </c>
      <c r="Z46" s="118">
        <f t="shared" ref="Z46:Z47" si="359">IFERROR(1/O46,".")</f>
        <v>1.4273583163704985E-2</v>
      </c>
      <c r="AA46" s="118">
        <f t="shared" ref="AA46:AA47" si="360">IFERROR(1/P46,".")</f>
        <v>18.752931786909603</v>
      </c>
      <c r="AB46" s="118">
        <f t="shared" ref="AB46:AB47" si="361">IFERROR(1/Q46,".")</f>
        <v>17.39026149083999</v>
      </c>
      <c r="AC46" s="118">
        <f t="shared" ref="AC46:AC47" si="362">IFERROR(1/R46,".")</f>
        <v>1.4235323207466657</v>
      </c>
      <c r="AD46" s="118">
        <f t="shared" ref="AD46:AD47" si="363">IFERROR(1/S46,".")</f>
        <v>10.561306171351822</v>
      </c>
      <c r="AE46" s="118">
        <f t="shared" ref="AE46:AE47" si="364">IFERROR(1/T46,".")</f>
        <v>19.975807443968396</v>
      </c>
      <c r="AF46" s="118">
        <f t="shared" ref="AF46:AF47" si="365">IFERROR(1/U46,".")</f>
        <v>23.728578645566653</v>
      </c>
      <c r="AG46" s="118">
        <f t="shared" ref="AG46:AG47" si="366">IFERROR(1/V46,".")</f>
        <v>18040.554350000006</v>
      </c>
      <c r="AH46" s="118">
        <f t="shared" si="269"/>
        <v>217.51103864000001</v>
      </c>
      <c r="AI46" s="60">
        <f t="shared" ref="AI46:AI47" si="367">IFERROR(1/(SUMIF(X46:AH46,"&lt;&gt;0")),".")</f>
        <v>5.4495970399978586E-5</v>
      </c>
      <c r="AJ46" s="60">
        <f t="shared" ref="AJ46:AS46" si="368">IFERROR(AJ10/$C46,0)</f>
        <v>1.0449786568543227</v>
      </c>
      <c r="AK46" s="60" t="str">
        <f>IFERROR(AK10,".")</f>
        <v>.</v>
      </c>
      <c r="AL46" s="60">
        <f t="shared" si="368"/>
        <v>407751622.81040215</v>
      </c>
      <c r="AM46" s="60">
        <f t="shared" si="368"/>
        <v>0.29631819187647696</v>
      </c>
      <c r="AN46" s="60">
        <f t="shared" si="368"/>
        <v>11.309011470026325</v>
      </c>
      <c r="AO46" s="60">
        <f t="shared" si="368"/>
        <v>138.15398765481604</v>
      </c>
      <c r="AP46" s="60">
        <f t="shared" si="368"/>
        <v>6.8509845977401769</v>
      </c>
      <c r="AQ46" s="60">
        <f t="shared" si="368"/>
        <v>3.3473461444070582</v>
      </c>
      <c r="AR46" s="60">
        <f t="shared" si="368"/>
        <v>6.2906846666874374</v>
      </c>
      <c r="AS46" s="60">
        <f t="shared" si="368"/>
        <v>5.5430669180074272E-3</v>
      </c>
      <c r="AT46" s="60">
        <f t="shared" ref="AT46" si="369">IFERROR(AT10/$C46,0)</f>
        <v>0.45974678170476141</v>
      </c>
      <c r="AU46" s="118">
        <f t="shared" ref="AU46:AU47" si="370">IFERROR(1/AJ46,".")</f>
        <v>0.95695734399999999</v>
      </c>
      <c r="AV46" s="118" t="str">
        <f t="shared" ref="AV46:AV47" si="371">IFERROR(1/AK46,".")</f>
        <v>.</v>
      </c>
      <c r="AW46" s="118">
        <f t="shared" ref="AW46:AW47" si="372">IFERROR(1/AL46,".")</f>
        <v>2.4524733785424656E-9</v>
      </c>
      <c r="AX46" s="118">
        <f t="shared" ref="AX46:AX47" si="373">IFERROR(1/AM46,".")</f>
        <v>3.3747506140860208</v>
      </c>
      <c r="AY46" s="118">
        <f t="shared" ref="AY46:AY47" si="374">IFERROR(1/AN46,".")</f>
        <v>8.8425058427999997E-2</v>
      </c>
      <c r="AZ46" s="118">
        <f t="shared" ref="AZ46:AZ47" si="375">IFERROR(1/AO46,".")</f>
        <v>7.2382999360000025E-3</v>
      </c>
      <c r="BA46" s="118">
        <f t="shared" ref="BA46:BA47" si="376">IFERROR(1/AP46,".")</f>
        <v>0.14596442098699999</v>
      </c>
      <c r="BB46" s="118">
        <f t="shared" ref="BB46:BB47" si="377">IFERROR(1/AQ46,".")</f>
        <v>0.29874412649879623</v>
      </c>
      <c r="BC46" s="118">
        <f t="shared" ref="BC46:BC47" si="378">IFERROR(1/AR46,".")</f>
        <v>0.15896520855600002</v>
      </c>
      <c r="BD46" s="118">
        <f t="shared" ref="BD46:BD47" si="379">IFERROR(1/AS46,".")</f>
        <v>180.40554350000002</v>
      </c>
      <c r="BE46" s="118">
        <f t="shared" si="282"/>
        <v>2.1751103864000001</v>
      </c>
      <c r="BF46" s="60">
        <f t="shared" si="22"/>
        <v>5.3301580100611999E-3</v>
      </c>
      <c r="BG46" s="60">
        <f>IFERROR(BG10/$C46,0)</f>
        <v>3.4326136744344427E-2</v>
      </c>
      <c r="BH46" s="60">
        <f>IFERROR(BH10/$C46,0)</f>
        <v>16063.653859782458</v>
      </c>
      <c r="BI46" s="60">
        <f>IFERROR(IF(AND(BG46&lt;&gt;0,BH46&lt;&gt;0),1/((1/BG46)+(1/BH46)),IF(AND(BG46&lt;&gt;0,BH46=0),1/((1/BG46)),IF(AND(BG46=0,BH46&lt;&gt;0),1/((1/BH46)),IF(AND(BG46=0,BH46=0),0)))),0)</f>
        <v>3.4326063393588971E-2</v>
      </c>
    </row>
    <row r="47" spans="1:61" x14ac:dyDescent="0.25">
      <c r="A47" s="3">
        <v>46</v>
      </c>
      <c r="B47" s="83" t="s">
        <v>1072</v>
      </c>
      <c r="C47" s="85">
        <v>0.94399</v>
      </c>
      <c r="D47" s="85"/>
      <c r="E47" s="60">
        <f t="shared" ref="E47:V47" si="380">IFERROR(E6/$C$47,0)</f>
        <v>0</v>
      </c>
      <c r="F47" s="60">
        <f t="shared" si="380"/>
        <v>0</v>
      </c>
      <c r="G47" s="60">
        <f t="shared" si="380"/>
        <v>0</v>
      </c>
      <c r="H47" s="60">
        <f t="shared" si="380"/>
        <v>0</v>
      </c>
      <c r="I47" s="60">
        <f t="shared" si="380"/>
        <v>0</v>
      </c>
      <c r="J47" s="60">
        <f t="shared" si="380"/>
        <v>0</v>
      </c>
      <c r="K47" s="60">
        <f t="shared" si="380"/>
        <v>0</v>
      </c>
      <c r="L47" s="60">
        <f t="shared" ref="L47" si="381">IFERROR(L6/$C$47,0)</f>
        <v>0</v>
      </c>
      <c r="M47" s="60">
        <f t="shared" si="380"/>
        <v>0</v>
      </c>
      <c r="N47" s="60">
        <f t="shared" si="380"/>
        <v>0</v>
      </c>
      <c r="O47" s="60">
        <f t="shared" si="380"/>
        <v>1.5262753887653026E-2</v>
      </c>
      <c r="P47" s="60">
        <f t="shared" si="380"/>
        <v>0</v>
      </c>
      <c r="Q47" s="60">
        <f t="shared" si="380"/>
        <v>0</v>
      </c>
      <c r="R47" s="60">
        <f t="shared" si="380"/>
        <v>0</v>
      </c>
      <c r="S47" s="60">
        <f t="shared" si="380"/>
        <v>0</v>
      </c>
      <c r="T47" s="60">
        <f t="shared" si="380"/>
        <v>0</v>
      </c>
      <c r="U47" s="60">
        <f t="shared" si="380"/>
        <v>0</v>
      </c>
      <c r="V47" s="60">
        <f t="shared" si="380"/>
        <v>0</v>
      </c>
      <c r="W47" s="60">
        <f t="shared" ref="W47" si="382">IFERROR(W6/$C$47,0)</f>
        <v>0</v>
      </c>
      <c r="X47" s="118" t="str">
        <f t="shared" si="357"/>
        <v>.</v>
      </c>
      <c r="Y47" s="118" t="str">
        <f t="shared" si="358"/>
        <v>.</v>
      </c>
      <c r="Z47" s="118">
        <f t="shared" si="359"/>
        <v>65.518975629225153</v>
      </c>
      <c r="AA47" s="118" t="str">
        <f t="shared" si="360"/>
        <v>.</v>
      </c>
      <c r="AB47" s="118" t="str">
        <f t="shared" si="361"/>
        <v>.</v>
      </c>
      <c r="AC47" s="118" t="str">
        <f t="shared" si="362"/>
        <v>.</v>
      </c>
      <c r="AD47" s="118" t="str">
        <f t="shared" si="363"/>
        <v>.</v>
      </c>
      <c r="AE47" s="118" t="str">
        <f t="shared" si="364"/>
        <v>.</v>
      </c>
      <c r="AF47" s="118" t="str">
        <f t="shared" si="365"/>
        <v>.</v>
      </c>
      <c r="AG47" s="118" t="str">
        <f t="shared" si="366"/>
        <v>.</v>
      </c>
      <c r="AH47" s="118" t="str">
        <f t="shared" si="269"/>
        <v>.</v>
      </c>
      <c r="AI47" s="60">
        <f t="shared" si="367"/>
        <v>1.5262753887653024E-2</v>
      </c>
      <c r="AJ47" s="60">
        <f t="shared" ref="AJ47:AS47" si="383">IFERROR(AJ6/$C$47,0)</f>
        <v>0</v>
      </c>
      <c r="AK47" s="60" t="str">
        <f>IFERROR(AK6,".")</f>
        <v>.</v>
      </c>
      <c r="AL47" s="60">
        <f t="shared" si="383"/>
        <v>177208.14526681576</v>
      </c>
      <c r="AM47" s="60">
        <f t="shared" si="383"/>
        <v>0</v>
      </c>
      <c r="AN47" s="60">
        <f t="shared" si="383"/>
        <v>0</v>
      </c>
      <c r="AO47" s="60">
        <f t="shared" si="383"/>
        <v>0</v>
      </c>
      <c r="AP47" s="60">
        <f t="shared" si="383"/>
        <v>0</v>
      </c>
      <c r="AQ47" s="60">
        <f t="shared" si="383"/>
        <v>0</v>
      </c>
      <c r="AR47" s="60">
        <f t="shared" si="383"/>
        <v>0</v>
      </c>
      <c r="AS47" s="60">
        <f t="shared" si="383"/>
        <v>0</v>
      </c>
      <c r="AT47" s="60">
        <f t="shared" ref="AT47" si="384">IFERROR(AT6/$C$47,0)</f>
        <v>0</v>
      </c>
      <c r="AU47" s="118" t="str">
        <f t="shared" si="370"/>
        <v>.</v>
      </c>
      <c r="AV47" s="118" t="str">
        <f t="shared" si="371"/>
        <v>.</v>
      </c>
      <c r="AW47" s="118">
        <f t="shared" si="372"/>
        <v>5.6430814649876107E-6</v>
      </c>
      <c r="AX47" s="118" t="str">
        <f t="shared" si="373"/>
        <v>.</v>
      </c>
      <c r="AY47" s="118" t="str">
        <f t="shared" si="374"/>
        <v>.</v>
      </c>
      <c r="AZ47" s="118" t="str">
        <f t="shared" si="375"/>
        <v>.</v>
      </c>
      <c r="BA47" s="118" t="str">
        <f t="shared" si="376"/>
        <v>.</v>
      </c>
      <c r="BB47" s="118" t="str">
        <f t="shared" si="377"/>
        <v>.</v>
      </c>
      <c r="BC47" s="118" t="str">
        <f t="shared" si="378"/>
        <v>.</v>
      </c>
      <c r="BD47" s="118" t="str">
        <f t="shared" si="379"/>
        <v>.</v>
      </c>
      <c r="BE47" s="118" t="str">
        <f t="shared" si="282"/>
        <v>.</v>
      </c>
      <c r="BF47" s="60">
        <f t="shared" si="22"/>
        <v>177208.14526681576</v>
      </c>
      <c r="BG47" s="60">
        <f>IFERROR(BG6/$C$47,0)</f>
        <v>0</v>
      </c>
      <c r="BH47" s="60">
        <f>IFERROR(BH6/$C$47,0)</f>
        <v>10.950601949005277</v>
      </c>
      <c r="BI47" s="60">
        <f>IFERROR(IF(AND(BG47&lt;&gt;0,BH47&lt;&gt;0),1/((1/BG47)+(1/BH47)),IF(AND(BG47&lt;&gt;0,BH47=0),1/((1/BG47)),IF(AND(BG47=0,BH47&lt;&gt;0),1/((1/BH47)),IF(AND(BG47=0,BH47=0),0)))),0)</f>
        <v>10.950601949005277</v>
      </c>
    </row>
    <row r="48" spans="1:61" x14ac:dyDescent="0.25">
      <c r="A48" s="3">
        <v>47</v>
      </c>
      <c r="B48" s="82" t="s">
        <v>33</v>
      </c>
      <c r="C48" s="57" t="s">
        <v>1255</v>
      </c>
      <c r="D48" s="250"/>
      <c r="E48" s="58">
        <f>1/SUM(1/E49,1/E52,1/E54,1/E58,1/E59,1/E61)</f>
        <v>1.2752446037807161E-5</v>
      </c>
      <c r="F48" s="58">
        <f t="shared" ref="F48:P48" si="385">1/SUM(1/F49,1/F52,1/F54,1/F58,1/F59,1/F61)</f>
        <v>1.1531839058668442E-4</v>
      </c>
      <c r="G48" s="58">
        <f t="shared" si="385"/>
        <v>2.0870534907902372E-4</v>
      </c>
      <c r="H48" s="58">
        <f t="shared" si="385"/>
        <v>7.5422637278709333E-5</v>
      </c>
      <c r="I48" s="58">
        <f t="shared" si="385"/>
        <v>1.2985516589096809E-5</v>
      </c>
      <c r="J48" s="58">
        <f t="shared" si="385"/>
        <v>1.3542003928160567E-4</v>
      </c>
      <c r="K48" s="58">
        <f t="shared" si="385"/>
        <v>1.3083992992723252E-4</v>
      </c>
      <c r="L48" s="58">
        <f t="shared" ref="L48" si="386">1/SUM(1/L49,1/L52,1/L54,1/L58,1/L59,1/L61)</f>
        <v>9.9838191717543576E-5</v>
      </c>
      <c r="M48" s="58">
        <f t="shared" si="385"/>
        <v>0.1090904078394009</v>
      </c>
      <c r="N48" s="58">
        <f t="shared" si="385"/>
        <v>88.763062907075181</v>
      </c>
      <c r="O48" s="58">
        <f>1/SUM(1/O49,1/O50,1/O51,1/O52,1/O53,1/O54,1/O55,1/O56,1/O57,1/O58,1/O59,1/O60,1/O61,1/O62)</f>
        <v>4.6217110647019024E-3</v>
      </c>
      <c r="P48" s="58">
        <f t="shared" si="385"/>
        <v>1.3021166169632393E-3</v>
      </c>
      <c r="Q48" s="58">
        <f>1/SUM(1/Q61)</f>
        <v>1.1713213996588467E-3</v>
      </c>
      <c r="R48" s="58">
        <f>1/SUM(1/R61)</f>
        <v>1.6411966926999362E-3</v>
      </c>
      <c r="S48" s="58">
        <f>1/SUM(1/S49,1/S52,1/S54,1/S58,1/S59,1/S61)</f>
        <v>1.0047550151456051E-2</v>
      </c>
      <c r="T48" s="58">
        <f t="shared" ref="T48" si="387">1/SUM(1/T49,1/T52,1/T54,1/T58,1/T59,1/T61)</f>
        <v>1.0121229021228813E-2</v>
      </c>
      <c r="U48" s="58" t="str">
        <f>IFERROR(1/SUM(1/U49,1/U50,1/U51,1/U52,1/U53,1/U54,1/U55,1/U56,1/U57,1/U58,1/U59,1/U60,1/U61,1/U62),".")</f>
        <v>.</v>
      </c>
      <c r="V48" s="58">
        <f t="shared" ref="V48" si="388">1/SUM(1/V49,1/V52,1/V54,1/V58,1/V59,1/V61)</f>
        <v>1.9615382873010062E-4</v>
      </c>
      <c r="W48" s="58">
        <f>1/SUM(1/W49,1/W52,1/W58)</f>
        <v>7.6576888978071176E-6</v>
      </c>
      <c r="X48" s="176"/>
      <c r="Y48" s="176"/>
      <c r="Z48" s="176"/>
      <c r="AA48" s="176"/>
      <c r="AB48" s="176"/>
      <c r="AC48" s="176"/>
      <c r="AD48" s="176"/>
      <c r="AE48" s="176"/>
      <c r="AF48" s="176"/>
      <c r="AG48" s="176"/>
      <c r="AH48" s="118"/>
      <c r="AI48" s="59">
        <f>1/SUM(1/AI49,1/AI50,1/AI51,1/AI52,1/AI53,1/AI54,1/AI55,1/AI56,1/AI57,1/AI58,1/AI59,1/AI60,1/AI61,1/AI62)</f>
        <v>7.2285334514021744E-6</v>
      </c>
      <c r="AJ48" s="58">
        <f>1/SUM(1/AJ49,1/AJ52,1/AJ54,1/AJ58,1/AJ59,1/AJ61)</f>
        <v>1.0430103780846115E-2</v>
      </c>
      <c r="AK48" s="58">
        <f>1/SUM(1/AK50,1/AK51,1/AK52,1/AK54)</f>
        <v>5.719163012774113E-2</v>
      </c>
      <c r="AL48" s="58">
        <f>1/SUM(1/AL49,1/AL50,1/AL51,1/AL52,1/AL53,1/AL54,1/AL55,1/AL56,1/AL57,1/AL58,1/AL59,1/AL60,1/AL61,1/AL62)</f>
        <v>54418.368231165448</v>
      </c>
      <c r="AM48" s="58">
        <f>1/SUM(1/AM49,1/AM52,1/AM54,1/AM58,1/AM59,1/AM61)</f>
        <v>3.1954956654436841E-3</v>
      </c>
      <c r="AN48" s="58">
        <f>1/SUM(1/AN61)</f>
        <v>0.21099941351095911</v>
      </c>
      <c r="AO48" s="58">
        <f>1/SUM(1/AO61)</f>
        <v>0.29564177664360231</v>
      </c>
      <c r="AP48" s="58">
        <f>1/SUM(1/AP49,1/AP52,1/AP54,1/AP58,1/AP59,1/AP61)</f>
        <v>0.66383451913969871</v>
      </c>
      <c r="AQ48" s="58">
        <f>1/SUM(1/AQ49,1/AQ52,1/AQ54,1/AQ58,1/AQ59,1/AQ61)</f>
        <v>0.63542337828445949</v>
      </c>
      <c r="AR48" s="58" t="str">
        <f>IFERROR(1/SUM(1/AR49,1/AR50,1/AR51,1/AR52,1/AR53,1/AR54,1/AR55,1/AR56,1/AR57,1/AR58,1/AR59,1/AR60,1/AR61,1/AR62),".")</f>
        <v>.</v>
      </c>
      <c r="AS48" s="58">
        <f>1/SUM(1/AS49,1/AS52,1/AS54,1/AS58,1/AS59,1/AS61)</f>
        <v>4.5908666566818928E-3</v>
      </c>
      <c r="AT48" s="58">
        <f>1/SUM(1/AT49,1/AT52,1/AT58)</f>
        <v>5.1102819919066778E-3</v>
      </c>
      <c r="AU48" s="176"/>
      <c r="AV48" s="176"/>
      <c r="AW48" s="176"/>
      <c r="AX48" s="176"/>
      <c r="AY48" s="176"/>
      <c r="AZ48" s="176"/>
      <c r="BA48" s="176"/>
      <c r="BB48" s="176"/>
      <c r="BC48" s="176"/>
      <c r="BD48" s="176"/>
      <c r="BE48" s="118"/>
      <c r="BF48" s="59">
        <f>1/SUM(1/BF49,1/BF50,1/BF51,1/BF52,1/BF53,1/BF54,1/BF55,1/BF56,1/BF57,1/BF58,1/BF59,1/BF60,1/BF61,1/BF62)</f>
        <v>1.1750721114168626E-3</v>
      </c>
      <c r="BG48" s="58">
        <f>1/SUM(1/BG49,1/BG50,1/BG51,1/BG52,1/BG54,1/BG58,1/BG59,1/BG61)</f>
        <v>6.5280568737778157E-5</v>
      </c>
      <c r="BH48" s="58">
        <f t="shared" ref="BH48:BI48" si="389">1/SUM(1/BH49,1/BH50,1/BH51,1/BH52,1/BH53,1/BH54,1/BH55,1/BH56,1/BH57,1/BH58,1/BH59,1/BH60,1/BH61,1/BH62)</f>
        <v>3.3631876672742003</v>
      </c>
      <c r="BI48" s="59">
        <f t="shared" si="389"/>
        <v>6.5279301645257678E-5</v>
      </c>
    </row>
    <row r="49" spans="1:61" x14ac:dyDescent="0.25">
      <c r="A49" s="3">
        <v>48</v>
      </c>
      <c r="B49" s="83" t="s">
        <v>1100</v>
      </c>
      <c r="C49" s="42">
        <v>1</v>
      </c>
      <c r="D49" s="249"/>
      <c r="E49" s="60">
        <f t="shared" ref="E49:V49" si="390">IFERROR(E23/$C49,0)</f>
        <v>9.8140868150146924E-5</v>
      </c>
      <c r="F49" s="60">
        <f t="shared" si="390"/>
        <v>8.8747264111544712E-4</v>
      </c>
      <c r="G49" s="60">
        <f t="shared" si="390"/>
        <v>1.6061643456847681E-3</v>
      </c>
      <c r="H49" s="60">
        <f t="shared" si="390"/>
        <v>5.8044104470321553E-4</v>
      </c>
      <c r="I49" s="60">
        <f t="shared" si="390"/>
        <v>9.9934543353789082E-5</v>
      </c>
      <c r="J49" s="60">
        <f t="shared" si="390"/>
        <v>1.0421718453559592E-3</v>
      </c>
      <c r="K49" s="60">
        <f t="shared" si="390"/>
        <v>1.0069240264725724E-3</v>
      </c>
      <c r="L49" s="60">
        <f t="shared" ref="L49" si="391">IFERROR(L23/$C49,0)</f>
        <v>7.6833940568356892E-4</v>
      </c>
      <c r="M49" s="60">
        <f t="shared" si="390"/>
        <v>0.91732094583128065</v>
      </c>
      <c r="N49" s="60">
        <f t="shared" si="390"/>
        <v>186.39891540051062</v>
      </c>
      <c r="O49" s="60">
        <f t="shared" si="390"/>
        <v>1.5485112241837773</v>
      </c>
      <c r="P49" s="60">
        <f t="shared" si="390"/>
        <v>4.2110915748236463E-3</v>
      </c>
      <c r="Q49" s="60">
        <f t="shared" si="390"/>
        <v>0</v>
      </c>
      <c r="R49" s="60">
        <f t="shared" si="390"/>
        <v>0</v>
      </c>
      <c r="S49" s="60">
        <f t="shared" si="390"/>
        <v>9.2971266789435347E-2</v>
      </c>
      <c r="T49" s="60">
        <f t="shared" si="390"/>
        <v>4.6132593179139904E-2</v>
      </c>
      <c r="U49" s="60">
        <f t="shared" si="390"/>
        <v>0</v>
      </c>
      <c r="V49" s="60">
        <f t="shared" si="390"/>
        <v>2.5173100661814309E-4</v>
      </c>
      <c r="W49" s="60">
        <f t="shared" ref="W49" si="392">IFERROR(W23/$C49,0)</f>
        <v>7.6833940568356891E-6</v>
      </c>
      <c r="X49" s="118">
        <f t="shared" ref="X49:X62" si="393">IFERROR(1/M49,".")</f>
        <v>1.0901310000000002</v>
      </c>
      <c r="Y49" s="118">
        <f t="shared" ref="Y49:Y62" si="394">IFERROR(1/N49,".")</f>
        <v>5.3648380831579703E-3</v>
      </c>
      <c r="Z49" s="118">
        <f t="shared" ref="Z49:Z62" si="395">IFERROR(1/O49,".")</f>
        <v>0.64578156385472862</v>
      </c>
      <c r="AA49" s="118">
        <f t="shared" ref="AA49:AA62" si="396">IFERROR(1/P49,".")</f>
        <v>237.46812013744403</v>
      </c>
      <c r="AB49" s="118" t="str">
        <f t="shared" ref="AB49:AB62" si="397">IFERROR(1/Q49,".")</f>
        <v>.</v>
      </c>
      <c r="AC49" s="118" t="str">
        <f t="shared" ref="AC49:AC62" si="398">IFERROR(1/R49,".")</f>
        <v>.</v>
      </c>
      <c r="AD49" s="118">
        <f t="shared" ref="AD49:AD62" si="399">IFERROR(1/S49,".")</f>
        <v>10.756011341276395</v>
      </c>
      <c r="AE49" s="118">
        <f t="shared" ref="AE49:AE62" si="400">IFERROR(1/T49,".")</f>
        <v>21.676648353948959</v>
      </c>
      <c r="AF49" s="118" t="str">
        <f t="shared" ref="AF49:AF62" si="401">IFERROR(1/U49,".")</f>
        <v>.</v>
      </c>
      <c r="AG49" s="118">
        <f t="shared" ref="AG49:AG62" si="402">IFERROR(1/V49,".")</f>
        <v>3972.4943440000002</v>
      </c>
      <c r="AH49" s="118">
        <f t="shared" si="269"/>
        <v>130150.8152</v>
      </c>
      <c r="AI49" s="60">
        <f t="shared" ref="AI49:AI62" si="403">IFERROR(1/(SUMIF(X49:AH49,"&lt;&gt;0")),".")</f>
        <v>7.440755683793211E-6</v>
      </c>
      <c r="AJ49" s="60">
        <f t="shared" ref="AJ49:AS49" si="404">IFERROR(AJ23/$C49,0)</f>
        <v>8.2794462812304015E-2</v>
      </c>
      <c r="AK49" s="60" t="str">
        <f>IFERROR(AK23,".")</f>
        <v>.</v>
      </c>
      <c r="AL49" s="60">
        <f t="shared" si="404"/>
        <v>14578828.971992029</v>
      </c>
      <c r="AM49" s="60">
        <f t="shared" si="404"/>
        <v>2.193641751404533E-2</v>
      </c>
      <c r="AN49" s="60">
        <f t="shared" si="404"/>
        <v>0</v>
      </c>
      <c r="AO49" s="60">
        <f t="shared" si="404"/>
        <v>0</v>
      </c>
      <c r="AP49" s="60">
        <f t="shared" si="404"/>
        <v>6.4421869556405715</v>
      </c>
      <c r="AQ49" s="60">
        <f t="shared" si="404"/>
        <v>2.944295756704884</v>
      </c>
      <c r="AR49" s="60">
        <f t="shared" si="404"/>
        <v>0</v>
      </c>
      <c r="AS49" s="60">
        <f t="shared" si="404"/>
        <v>0.25173100661814307</v>
      </c>
      <c r="AT49" s="60">
        <f t="shared" ref="AT49" si="405">IFERROR(AT23/$C49,0)</f>
        <v>7.6833940568356886E-3</v>
      </c>
      <c r="AU49" s="118">
        <f t="shared" ref="AU49:AU62" si="406">IFERROR(1/AJ49,".")</f>
        <v>12.078102400000002</v>
      </c>
      <c r="AV49" s="118" t="str">
        <f t="shared" ref="AV49:AV62" si="407">IFERROR(1/AK49,".")</f>
        <v>.</v>
      </c>
      <c r="AW49" s="118">
        <f t="shared" ref="AW49:AW62" si="408">IFERROR(1/AL49,".")</f>
        <v>6.8592614806109596E-8</v>
      </c>
      <c r="AX49" s="118">
        <f t="shared" ref="AX49:AX62" si="409">IFERROR(1/AM49,".")</f>
        <v>45.586294998247794</v>
      </c>
      <c r="AY49" s="118" t="str">
        <f t="shared" ref="AY49:AY62" si="410">IFERROR(1/AN49,".")</f>
        <v>.</v>
      </c>
      <c r="AZ49" s="118" t="str">
        <f t="shared" ref="AZ49:AZ62" si="411">IFERROR(1/AO49,".")</f>
        <v>.</v>
      </c>
      <c r="BA49" s="118">
        <f t="shared" ref="BA49:BA62" si="412">IFERROR(1/AP49,".")</f>
        <v>0.15522678973550003</v>
      </c>
      <c r="BB49" s="118">
        <f t="shared" ref="BB49:BB62" si="413">IFERROR(1/AQ49,".")</f>
        <v>0.33963979254555343</v>
      </c>
      <c r="BC49" s="118" t="str">
        <f t="shared" ref="BC49:BC62" si="414">IFERROR(1/AR49,".")</f>
        <v>.</v>
      </c>
      <c r="BD49" s="118">
        <f t="shared" ref="BD49:BD62" si="415">IFERROR(1/AS49,".")</f>
        <v>3.9724943440000002</v>
      </c>
      <c r="BE49" s="118">
        <f t="shared" si="282"/>
        <v>130.15081520000001</v>
      </c>
      <c r="BF49" s="60">
        <f t="shared" si="22"/>
        <v>5.2006792987701776E-3</v>
      </c>
      <c r="BG49" s="60">
        <f>IFERROR(BG23/$C49,0)</f>
        <v>1.3712412050303162E-4</v>
      </c>
      <c r="BH49" s="60">
        <f>IFERROR(BH23/$C49,0)</f>
        <v>915.10159283186954</v>
      </c>
      <c r="BI49" s="60">
        <f t="shared" ref="BI49:BI62" si="416">IFERROR(IF(AND(BG49&lt;&gt;0,BH49&lt;&gt;0),1/((1/BG49)+(1/BH49)),IF(AND(BG49&lt;&gt;0,BH49=0),1/((1/BG49)),IF(AND(BG49=0,BH49&lt;&gt;0),1/((1/BH49)),IF(AND(BG49=0,BH49=0),0)))),0)</f>
        <v>1.3712409995556262E-4</v>
      </c>
    </row>
    <row r="50" spans="1:61" x14ac:dyDescent="0.25">
      <c r="A50" s="3">
        <v>49</v>
      </c>
      <c r="B50" s="83" t="s">
        <v>1087</v>
      </c>
      <c r="C50" s="42">
        <v>1</v>
      </c>
      <c r="D50" s="249"/>
      <c r="E50" s="60">
        <f t="shared" ref="E50:V50" si="417">IFERROR(E25/$C50,0)</f>
        <v>0</v>
      </c>
      <c r="F50" s="60">
        <f t="shared" si="417"/>
        <v>0</v>
      </c>
      <c r="G50" s="60">
        <f t="shared" si="417"/>
        <v>0</v>
      </c>
      <c r="H50" s="60">
        <f t="shared" si="417"/>
        <v>0</v>
      </c>
      <c r="I50" s="60">
        <f t="shared" si="417"/>
        <v>0</v>
      </c>
      <c r="J50" s="60">
        <f t="shared" si="417"/>
        <v>0</v>
      </c>
      <c r="K50" s="60">
        <f t="shared" si="417"/>
        <v>0</v>
      </c>
      <c r="L50" s="60">
        <f t="shared" ref="L50" si="418">IFERROR(L25/$C50,0)</f>
        <v>0</v>
      </c>
      <c r="M50" s="60">
        <f t="shared" si="417"/>
        <v>0</v>
      </c>
      <c r="N50" s="60">
        <f t="shared" si="417"/>
        <v>2301944.8512860425</v>
      </c>
      <c r="O50" s="60">
        <f t="shared" si="417"/>
        <v>22.853889791401954</v>
      </c>
      <c r="P50" s="60">
        <f t="shared" si="417"/>
        <v>0</v>
      </c>
      <c r="Q50" s="60">
        <f t="shared" si="417"/>
        <v>0</v>
      </c>
      <c r="R50" s="60">
        <f t="shared" si="417"/>
        <v>0</v>
      </c>
      <c r="S50" s="60">
        <f t="shared" si="417"/>
        <v>0</v>
      </c>
      <c r="T50" s="60">
        <f t="shared" si="417"/>
        <v>0</v>
      </c>
      <c r="U50" s="60">
        <f t="shared" si="417"/>
        <v>0</v>
      </c>
      <c r="V50" s="60">
        <f t="shared" si="417"/>
        <v>0</v>
      </c>
      <c r="W50" s="60">
        <f t="shared" ref="W50" si="419">IFERROR(W25/$C50,0)</f>
        <v>0</v>
      </c>
      <c r="X50" s="118" t="str">
        <f t="shared" si="393"/>
        <v>.</v>
      </c>
      <c r="Y50" s="118">
        <f t="shared" si="394"/>
        <v>4.3441527256455492E-7</v>
      </c>
      <c r="Z50" s="118">
        <f t="shared" si="395"/>
        <v>4.3756227457446568E-2</v>
      </c>
      <c r="AA50" s="118" t="str">
        <f t="shared" si="396"/>
        <v>.</v>
      </c>
      <c r="AB50" s="118" t="str">
        <f t="shared" si="397"/>
        <v>.</v>
      </c>
      <c r="AC50" s="118" t="str">
        <f t="shared" si="398"/>
        <v>.</v>
      </c>
      <c r="AD50" s="118" t="str">
        <f t="shared" si="399"/>
        <v>.</v>
      </c>
      <c r="AE50" s="118" t="str">
        <f t="shared" si="400"/>
        <v>.</v>
      </c>
      <c r="AF50" s="118" t="str">
        <f t="shared" si="401"/>
        <v>.</v>
      </c>
      <c r="AG50" s="118" t="str">
        <f t="shared" si="402"/>
        <v>.</v>
      </c>
      <c r="AH50" s="118" t="str">
        <f t="shared" si="269"/>
        <v>.</v>
      </c>
      <c r="AI50" s="60">
        <f t="shared" si="403"/>
        <v>22.853662898436678</v>
      </c>
      <c r="AJ50" s="60">
        <f t="shared" ref="AJ50:AS50" si="420">IFERROR(AJ25/$C50,0)</f>
        <v>0</v>
      </c>
      <c r="AK50" s="60">
        <f>IFERROR(AK25,".")</f>
        <v>3.3868454921086499</v>
      </c>
      <c r="AL50" s="60">
        <f t="shared" si="420"/>
        <v>260094058.40397739</v>
      </c>
      <c r="AM50" s="60">
        <f t="shared" si="420"/>
        <v>0</v>
      </c>
      <c r="AN50" s="60">
        <f t="shared" si="420"/>
        <v>0</v>
      </c>
      <c r="AO50" s="60">
        <f t="shared" si="420"/>
        <v>0</v>
      </c>
      <c r="AP50" s="60">
        <f t="shared" si="420"/>
        <v>0</v>
      </c>
      <c r="AQ50" s="60">
        <f t="shared" si="420"/>
        <v>0</v>
      </c>
      <c r="AR50" s="60">
        <f t="shared" si="420"/>
        <v>0</v>
      </c>
      <c r="AS50" s="60">
        <f t="shared" si="420"/>
        <v>0</v>
      </c>
      <c r="AT50" s="60">
        <f t="shared" ref="AT50" si="421">IFERROR(AT25/$C50,0)</f>
        <v>0</v>
      </c>
      <c r="AU50" s="118" t="str">
        <f t="shared" si="406"/>
        <v>.</v>
      </c>
      <c r="AV50" s="118">
        <f t="shared" si="407"/>
        <v>0.29526000000000002</v>
      </c>
      <c r="AW50" s="118">
        <f t="shared" si="408"/>
        <v>3.8447629528191783E-9</v>
      </c>
      <c r="AX50" s="118" t="str">
        <f t="shared" si="409"/>
        <v>.</v>
      </c>
      <c r="AY50" s="118" t="str">
        <f t="shared" si="410"/>
        <v>.</v>
      </c>
      <c r="AZ50" s="118" t="str">
        <f t="shared" si="411"/>
        <v>.</v>
      </c>
      <c r="BA50" s="118" t="str">
        <f t="shared" si="412"/>
        <v>.</v>
      </c>
      <c r="BB50" s="118" t="str">
        <f t="shared" si="413"/>
        <v>.</v>
      </c>
      <c r="BC50" s="118" t="str">
        <f t="shared" si="414"/>
        <v>.</v>
      </c>
      <c r="BD50" s="118" t="str">
        <f t="shared" si="415"/>
        <v>.</v>
      </c>
      <c r="BE50" s="118" t="str">
        <f t="shared" si="282"/>
        <v>.</v>
      </c>
      <c r="BF50" s="60">
        <f t="shared" si="22"/>
        <v>3.3868454480064418</v>
      </c>
      <c r="BG50" s="60">
        <f>IFERROR(BG25/$C50,0)</f>
        <v>1.693422746054325</v>
      </c>
      <c r="BH50" s="60">
        <f>IFERROR(BH25/$C50,0)</f>
        <v>16063.653859782458</v>
      </c>
      <c r="BI50" s="60">
        <f t="shared" si="416"/>
        <v>1.6932442450517369</v>
      </c>
    </row>
    <row r="51" spans="1:61" x14ac:dyDescent="0.25">
      <c r="A51" s="3">
        <v>50</v>
      </c>
      <c r="B51" s="83" t="s">
        <v>1073</v>
      </c>
      <c r="C51" s="42">
        <v>1</v>
      </c>
      <c r="D51" s="249"/>
      <c r="E51" s="60">
        <f t="shared" ref="E51:V51" si="422">IFERROR(E21/$C51,0)</f>
        <v>0</v>
      </c>
      <c r="F51" s="60">
        <f t="shared" si="422"/>
        <v>0</v>
      </c>
      <c r="G51" s="60">
        <f t="shared" si="422"/>
        <v>0</v>
      </c>
      <c r="H51" s="60">
        <f t="shared" si="422"/>
        <v>0</v>
      </c>
      <c r="I51" s="60">
        <f t="shared" si="422"/>
        <v>0</v>
      </c>
      <c r="J51" s="60">
        <f t="shared" si="422"/>
        <v>0</v>
      </c>
      <c r="K51" s="60">
        <f t="shared" si="422"/>
        <v>0</v>
      </c>
      <c r="L51" s="60">
        <f t="shared" ref="L51" si="423">IFERROR(L21/$C51,0)</f>
        <v>0</v>
      </c>
      <c r="M51" s="60">
        <f t="shared" si="422"/>
        <v>0</v>
      </c>
      <c r="N51" s="60">
        <f t="shared" si="422"/>
        <v>377585.19862821413</v>
      </c>
      <c r="O51" s="60">
        <f t="shared" si="422"/>
        <v>6283303.0332826758</v>
      </c>
      <c r="P51" s="60">
        <f t="shared" si="422"/>
        <v>0</v>
      </c>
      <c r="Q51" s="60">
        <f t="shared" si="422"/>
        <v>0</v>
      </c>
      <c r="R51" s="60">
        <f t="shared" si="422"/>
        <v>0</v>
      </c>
      <c r="S51" s="60">
        <f t="shared" si="422"/>
        <v>0</v>
      </c>
      <c r="T51" s="60">
        <f t="shared" si="422"/>
        <v>0</v>
      </c>
      <c r="U51" s="60">
        <f t="shared" si="422"/>
        <v>0</v>
      </c>
      <c r="V51" s="60">
        <f t="shared" si="422"/>
        <v>0</v>
      </c>
      <c r="W51" s="60">
        <f t="shared" ref="W51" si="424">IFERROR(W21/$C51,0)</f>
        <v>0</v>
      </c>
      <c r="X51" s="118" t="str">
        <f t="shared" si="393"/>
        <v>.</v>
      </c>
      <c r="Y51" s="118">
        <f t="shared" si="394"/>
        <v>2.6484088985295237E-6</v>
      </c>
      <c r="Z51" s="118">
        <f t="shared" si="395"/>
        <v>1.5915196111074015E-7</v>
      </c>
      <c r="AA51" s="118" t="str">
        <f t="shared" si="396"/>
        <v>.</v>
      </c>
      <c r="AB51" s="118" t="str">
        <f t="shared" si="397"/>
        <v>.</v>
      </c>
      <c r="AC51" s="118" t="str">
        <f t="shared" si="398"/>
        <v>.</v>
      </c>
      <c r="AD51" s="118" t="str">
        <f t="shared" si="399"/>
        <v>.</v>
      </c>
      <c r="AE51" s="118" t="str">
        <f t="shared" si="400"/>
        <v>.</v>
      </c>
      <c r="AF51" s="118" t="str">
        <f t="shared" si="401"/>
        <v>.</v>
      </c>
      <c r="AG51" s="118" t="str">
        <f t="shared" si="402"/>
        <v>.</v>
      </c>
      <c r="AH51" s="118" t="str">
        <f t="shared" si="269"/>
        <v>.</v>
      </c>
      <c r="AI51" s="60">
        <f t="shared" si="403"/>
        <v>356181.05893103639</v>
      </c>
      <c r="AJ51" s="60">
        <f t="shared" ref="AJ51:AS51" si="425">IFERROR(AJ21/$C51,0)</f>
        <v>0</v>
      </c>
      <c r="AK51" s="60">
        <f>IFERROR(AK21,".")</f>
        <v>0.56299384143961861</v>
      </c>
      <c r="AL51" s="60">
        <f t="shared" si="425"/>
        <v>18080441473348.086</v>
      </c>
      <c r="AM51" s="60">
        <f t="shared" si="425"/>
        <v>0</v>
      </c>
      <c r="AN51" s="60">
        <f t="shared" si="425"/>
        <v>0</v>
      </c>
      <c r="AO51" s="60">
        <f t="shared" si="425"/>
        <v>0</v>
      </c>
      <c r="AP51" s="60">
        <f t="shared" si="425"/>
        <v>0</v>
      </c>
      <c r="AQ51" s="60">
        <f t="shared" si="425"/>
        <v>0</v>
      </c>
      <c r="AR51" s="60">
        <f t="shared" si="425"/>
        <v>0</v>
      </c>
      <c r="AS51" s="60">
        <f t="shared" si="425"/>
        <v>0</v>
      </c>
      <c r="AT51" s="60">
        <f t="shared" ref="AT51" si="426">IFERROR(AT21/$C51,0)</f>
        <v>0</v>
      </c>
      <c r="AU51" s="118" t="str">
        <f t="shared" si="406"/>
        <v>.</v>
      </c>
      <c r="AV51" s="118">
        <f t="shared" si="407"/>
        <v>1.7762183640284999</v>
      </c>
      <c r="AW51" s="118">
        <f t="shared" si="408"/>
        <v>5.5308384005671229E-14</v>
      </c>
      <c r="AX51" s="118" t="str">
        <f t="shared" si="409"/>
        <v>.</v>
      </c>
      <c r="AY51" s="118" t="str">
        <f t="shared" si="410"/>
        <v>.</v>
      </c>
      <c r="AZ51" s="118" t="str">
        <f t="shared" si="411"/>
        <v>.</v>
      </c>
      <c r="BA51" s="118" t="str">
        <f t="shared" si="412"/>
        <v>.</v>
      </c>
      <c r="BB51" s="118" t="str">
        <f t="shared" si="413"/>
        <v>.</v>
      </c>
      <c r="BC51" s="118" t="str">
        <f t="shared" si="414"/>
        <v>.</v>
      </c>
      <c r="BD51" s="118" t="str">
        <f t="shared" si="415"/>
        <v>.</v>
      </c>
      <c r="BE51" s="118" t="str">
        <f t="shared" si="282"/>
        <v>.</v>
      </c>
      <c r="BF51" s="60">
        <f t="shared" si="22"/>
        <v>0.56299384143960107</v>
      </c>
      <c r="BG51" s="60">
        <f>IFERROR(BG21/$C51,0)</f>
        <v>0.2777700619427238</v>
      </c>
      <c r="BH51" s="60">
        <f>IFERROR(BH21/$C51,0)</f>
        <v>660605883.58276963</v>
      </c>
      <c r="BI51" s="60">
        <f t="shared" si="416"/>
        <v>0.27777006182592767</v>
      </c>
    </row>
    <row r="52" spans="1:61" x14ac:dyDescent="0.25">
      <c r="A52" s="3">
        <v>51</v>
      </c>
      <c r="B52" s="83" t="s">
        <v>1074</v>
      </c>
      <c r="C52" s="85">
        <v>0.99980000000000002</v>
      </c>
      <c r="D52" s="251"/>
      <c r="E52" s="60">
        <f t="shared" ref="E52:V52" si="427">IFERROR(E17/$C52,0)</f>
        <v>0.10415503461662116</v>
      </c>
      <c r="F52" s="60">
        <f t="shared" si="427"/>
        <v>0.94185781518935197</v>
      </c>
      <c r="G52" s="60">
        <f t="shared" si="427"/>
        <v>1.7045916362675799</v>
      </c>
      <c r="H52" s="60">
        <f t="shared" si="427"/>
        <v>0.61601102826478993</v>
      </c>
      <c r="I52" s="60">
        <f t="shared" si="427"/>
        <v>0.10605862795594753</v>
      </c>
      <c r="J52" s="60">
        <f t="shared" si="427"/>
        <v>1.1060371349420901</v>
      </c>
      <c r="K52" s="60">
        <f t="shared" si="427"/>
        <v>1.0686292959331374</v>
      </c>
      <c r="L52" s="60">
        <f t="shared" ref="L52" si="428">IFERROR(L17/$C52,0)</f>
        <v>0.81542398090317336</v>
      </c>
      <c r="M52" s="60">
        <f t="shared" si="427"/>
        <v>784.59492406483344</v>
      </c>
      <c r="N52" s="60">
        <f t="shared" si="427"/>
        <v>67560.92867134788</v>
      </c>
      <c r="O52" s="60">
        <f t="shared" si="427"/>
        <v>3.8948024854715747E-2</v>
      </c>
      <c r="P52" s="60">
        <f t="shared" si="427"/>
        <v>6.041496790283631</v>
      </c>
      <c r="Q52" s="60">
        <f t="shared" si="427"/>
        <v>0</v>
      </c>
      <c r="R52" s="60">
        <f t="shared" si="427"/>
        <v>0</v>
      </c>
      <c r="S52" s="60">
        <f t="shared" si="427"/>
        <v>245.03990518561417</v>
      </c>
      <c r="T52" s="60">
        <f t="shared" si="427"/>
        <v>100.31103300649738</v>
      </c>
      <c r="U52" s="60">
        <f t="shared" si="427"/>
        <v>0</v>
      </c>
      <c r="V52" s="60">
        <f t="shared" si="427"/>
        <v>6.4117757755988247</v>
      </c>
      <c r="W52" s="60">
        <f t="shared" ref="W52" si="429">IFERROR(W17/$C52,0)</f>
        <v>5.5597089607034542</v>
      </c>
      <c r="X52" s="118">
        <f t="shared" si="393"/>
        <v>1.2745430404000001E-3</v>
      </c>
      <c r="Y52" s="118">
        <f t="shared" si="394"/>
        <v>1.4801454326723799E-5</v>
      </c>
      <c r="Z52" s="118">
        <f t="shared" si="395"/>
        <v>25.675242935430191</v>
      </c>
      <c r="AA52" s="118">
        <f t="shared" si="396"/>
        <v>0.16552189543628854</v>
      </c>
      <c r="AB52" s="118" t="str">
        <f t="shared" si="397"/>
        <v>.</v>
      </c>
      <c r="AC52" s="118" t="str">
        <f t="shared" si="398"/>
        <v>.</v>
      </c>
      <c r="AD52" s="118">
        <f t="shared" si="399"/>
        <v>4.0809679519036484E-3</v>
      </c>
      <c r="AE52" s="118">
        <f t="shared" si="400"/>
        <v>9.9689931409162897E-3</v>
      </c>
      <c r="AF52" s="118" t="str">
        <f t="shared" si="401"/>
        <v>.</v>
      </c>
      <c r="AG52" s="118">
        <f t="shared" si="402"/>
        <v>0.15596303348686666</v>
      </c>
      <c r="AH52" s="118">
        <f t="shared" si="269"/>
        <v>0.17986553020456539</v>
      </c>
      <c r="AI52" s="60">
        <f t="shared" si="403"/>
        <v>3.817969492547018E-2</v>
      </c>
      <c r="AJ52" s="60">
        <f t="shared" ref="AJ52:AS52" si="430">IFERROR(AJ17/$C52,0)</f>
        <v>92.506408182599117</v>
      </c>
      <c r="AK52" s="60">
        <f>IFERROR(AK17,".")</f>
        <v>0.11239804877301637</v>
      </c>
      <c r="AL52" s="60">
        <f t="shared" si="430"/>
        <v>409968.44174906815</v>
      </c>
      <c r="AM52" s="60">
        <f t="shared" si="430"/>
        <v>24.487265503966878</v>
      </c>
      <c r="AN52" s="60">
        <f t="shared" si="430"/>
        <v>0</v>
      </c>
      <c r="AO52" s="60">
        <f t="shared" si="430"/>
        <v>0</v>
      </c>
      <c r="AP52" s="60">
        <f t="shared" si="430"/>
        <v>16604.070842716708</v>
      </c>
      <c r="AQ52" s="60">
        <f t="shared" si="430"/>
        <v>6249.4500454591498</v>
      </c>
      <c r="AR52" s="60">
        <f t="shared" si="430"/>
        <v>0</v>
      </c>
      <c r="AS52" s="60">
        <f t="shared" si="430"/>
        <v>42.745171837325493</v>
      </c>
      <c r="AT52" s="60">
        <f t="shared" ref="AT52" si="431">IFERROR(AT17/$C52,0)</f>
        <v>37.064726404689701</v>
      </c>
      <c r="AU52" s="118">
        <f t="shared" si="406"/>
        <v>1.0810061915128E-2</v>
      </c>
      <c r="AV52" s="118">
        <f t="shared" si="407"/>
        <v>8.896951601174699</v>
      </c>
      <c r="AW52" s="118">
        <f t="shared" si="408"/>
        <v>2.4392121396799514E-6</v>
      </c>
      <c r="AX52" s="118">
        <f t="shared" si="409"/>
        <v>4.0837552883885804E-2</v>
      </c>
      <c r="AY52" s="118" t="str">
        <f t="shared" si="410"/>
        <v>.</v>
      </c>
      <c r="AZ52" s="118" t="str">
        <f t="shared" si="411"/>
        <v>.</v>
      </c>
      <c r="BA52" s="118">
        <f t="shared" si="412"/>
        <v>6.022619449607112E-5</v>
      </c>
      <c r="BB52" s="118">
        <f t="shared" si="413"/>
        <v>1.6001408007518996E-4</v>
      </c>
      <c r="BC52" s="118" t="str">
        <f t="shared" si="414"/>
        <v>.</v>
      </c>
      <c r="BD52" s="118">
        <f t="shared" si="415"/>
        <v>2.3394455023030003E-2</v>
      </c>
      <c r="BE52" s="118">
        <f t="shared" si="282"/>
        <v>2.6979829530684805E-2</v>
      </c>
      <c r="BF52" s="60">
        <f t="shared" si="22"/>
        <v>0.11112103570103846</v>
      </c>
      <c r="BG52" s="60">
        <f>IFERROR(BG17/$C52,0)</f>
        <v>4.9701109604209912E-2</v>
      </c>
      <c r="BH52" s="60">
        <f>IFERROR(BH17/$C52,0)</f>
        <v>25.581839008234201</v>
      </c>
      <c r="BI52" s="60">
        <f t="shared" si="416"/>
        <v>4.9604736140714034E-2</v>
      </c>
    </row>
    <row r="53" spans="1:61" x14ac:dyDescent="0.25">
      <c r="A53" s="3">
        <v>52</v>
      </c>
      <c r="B53" s="83" t="s">
        <v>1088</v>
      </c>
      <c r="C53" s="42">
        <v>2.0000000000000001E-4</v>
      </c>
      <c r="D53" s="249"/>
      <c r="E53" s="60">
        <f t="shared" ref="E53:V53" si="432">IFERROR(E5/$C53,0)</f>
        <v>0</v>
      </c>
      <c r="F53" s="60">
        <f t="shared" si="432"/>
        <v>0</v>
      </c>
      <c r="G53" s="60">
        <f t="shared" si="432"/>
        <v>0</v>
      </c>
      <c r="H53" s="60">
        <f t="shared" si="432"/>
        <v>0</v>
      </c>
      <c r="I53" s="60">
        <f t="shared" si="432"/>
        <v>0</v>
      </c>
      <c r="J53" s="60">
        <f t="shared" si="432"/>
        <v>0</v>
      </c>
      <c r="K53" s="60">
        <f t="shared" si="432"/>
        <v>0</v>
      </c>
      <c r="L53" s="60">
        <f t="shared" ref="L53" si="433">IFERROR(L5/$C53,0)</f>
        <v>0</v>
      </c>
      <c r="M53" s="60">
        <f t="shared" si="432"/>
        <v>0</v>
      </c>
      <c r="N53" s="60">
        <f t="shared" si="432"/>
        <v>0</v>
      </c>
      <c r="O53" s="60">
        <f t="shared" si="432"/>
        <v>7834075.6968162712</v>
      </c>
      <c r="P53" s="60">
        <f t="shared" si="432"/>
        <v>0</v>
      </c>
      <c r="Q53" s="60">
        <f t="shared" si="432"/>
        <v>0</v>
      </c>
      <c r="R53" s="60">
        <f t="shared" si="432"/>
        <v>0</v>
      </c>
      <c r="S53" s="60">
        <f t="shared" si="432"/>
        <v>0</v>
      </c>
      <c r="T53" s="60">
        <f t="shared" si="432"/>
        <v>0</v>
      </c>
      <c r="U53" s="60">
        <f t="shared" si="432"/>
        <v>0</v>
      </c>
      <c r="V53" s="60">
        <f t="shared" si="432"/>
        <v>0</v>
      </c>
      <c r="W53" s="60">
        <f t="shared" ref="W53" si="434">IFERROR(W5/$C53,0)</f>
        <v>0</v>
      </c>
      <c r="X53" s="118" t="str">
        <f t="shared" si="393"/>
        <v>.</v>
      </c>
      <c r="Y53" s="118" t="str">
        <f t="shared" si="394"/>
        <v>.</v>
      </c>
      <c r="Z53" s="118">
        <f t="shared" si="395"/>
        <v>1.2764747734137864E-7</v>
      </c>
      <c r="AA53" s="118" t="str">
        <f t="shared" si="396"/>
        <v>.</v>
      </c>
      <c r="AB53" s="118" t="str">
        <f t="shared" si="397"/>
        <v>.</v>
      </c>
      <c r="AC53" s="118" t="str">
        <f t="shared" si="398"/>
        <v>.</v>
      </c>
      <c r="AD53" s="118" t="str">
        <f t="shared" si="399"/>
        <v>.</v>
      </c>
      <c r="AE53" s="118" t="str">
        <f t="shared" si="400"/>
        <v>.</v>
      </c>
      <c r="AF53" s="118" t="str">
        <f t="shared" si="401"/>
        <v>.</v>
      </c>
      <c r="AG53" s="118" t="str">
        <f t="shared" si="402"/>
        <v>.</v>
      </c>
      <c r="AH53" s="118" t="str">
        <f t="shared" si="269"/>
        <v>.</v>
      </c>
      <c r="AI53" s="60">
        <f t="shared" si="403"/>
        <v>7834075.6968162702</v>
      </c>
      <c r="AJ53" s="60">
        <f t="shared" ref="AJ53:AS53" si="435">IFERROR(AJ5/$C53,0)</f>
        <v>0</v>
      </c>
      <c r="AK53" s="60" t="str">
        <f>IFERROR(AK5,".")</f>
        <v>.</v>
      </c>
      <c r="AL53" s="60">
        <f t="shared" si="435"/>
        <v>89166641890201.813</v>
      </c>
      <c r="AM53" s="60">
        <f t="shared" si="435"/>
        <v>0</v>
      </c>
      <c r="AN53" s="60">
        <f t="shared" si="435"/>
        <v>0</v>
      </c>
      <c r="AO53" s="60">
        <f t="shared" si="435"/>
        <v>0</v>
      </c>
      <c r="AP53" s="60">
        <f t="shared" si="435"/>
        <v>0</v>
      </c>
      <c r="AQ53" s="60">
        <f t="shared" si="435"/>
        <v>0</v>
      </c>
      <c r="AR53" s="60">
        <f t="shared" si="435"/>
        <v>0</v>
      </c>
      <c r="AS53" s="60">
        <f t="shared" si="435"/>
        <v>0</v>
      </c>
      <c r="AT53" s="60">
        <f t="shared" ref="AT53" si="436">IFERROR(AT5/$C53,0)</f>
        <v>0</v>
      </c>
      <c r="AU53" s="118" t="str">
        <f t="shared" si="406"/>
        <v>.</v>
      </c>
      <c r="AV53" s="118" t="str">
        <f t="shared" si="407"/>
        <v>.</v>
      </c>
      <c r="AW53" s="118">
        <f t="shared" si="408"/>
        <v>1.1214956387293153E-14</v>
      </c>
      <c r="AX53" s="118" t="str">
        <f t="shared" si="409"/>
        <v>.</v>
      </c>
      <c r="AY53" s="118" t="str">
        <f t="shared" si="410"/>
        <v>.</v>
      </c>
      <c r="AZ53" s="118" t="str">
        <f t="shared" si="411"/>
        <v>.</v>
      </c>
      <c r="BA53" s="118" t="str">
        <f t="shared" si="412"/>
        <v>.</v>
      </c>
      <c r="BB53" s="118" t="str">
        <f t="shared" si="413"/>
        <v>.</v>
      </c>
      <c r="BC53" s="118" t="str">
        <f t="shared" si="414"/>
        <v>.</v>
      </c>
      <c r="BD53" s="118" t="str">
        <f t="shared" si="415"/>
        <v>.</v>
      </c>
      <c r="BE53" s="118" t="str">
        <f t="shared" si="282"/>
        <v>.</v>
      </c>
      <c r="BF53" s="60">
        <f t="shared" si="22"/>
        <v>89166641890201.813</v>
      </c>
      <c r="BG53" s="60">
        <f>IFERROR(BG5/$C53,0)</f>
        <v>0</v>
      </c>
      <c r="BH53" s="60">
        <f>IFERROR(BH5/$C53,0)</f>
        <v>4228878572.9351549</v>
      </c>
      <c r="BI53" s="60">
        <f t="shared" si="416"/>
        <v>4228878572.9351549</v>
      </c>
    </row>
    <row r="54" spans="1:61" x14ac:dyDescent="0.25">
      <c r="A54" s="3">
        <v>53</v>
      </c>
      <c r="B54" s="83" t="s">
        <v>1089</v>
      </c>
      <c r="C54" s="42">
        <v>0.99999979999999999</v>
      </c>
      <c r="D54" s="249"/>
      <c r="E54" s="60">
        <f t="shared" ref="E54:V54" si="437">IFERROR(E9/$C54,0)</f>
        <v>0.19025918272227471</v>
      </c>
      <c r="F54" s="60">
        <f t="shared" si="437"/>
        <v>1.7204842648088077</v>
      </c>
      <c r="G54" s="60">
        <f t="shared" si="437"/>
        <v>3.113764138097078</v>
      </c>
      <c r="H54" s="60">
        <f t="shared" si="437"/>
        <v>1.1252625013948563</v>
      </c>
      <c r="I54" s="60">
        <f t="shared" si="437"/>
        <v>0.19373646170652079</v>
      </c>
      <c r="J54" s="60">
        <f t="shared" si="437"/>
        <v>2.0203893371947199</v>
      </c>
      <c r="K54" s="60">
        <f t="shared" si="437"/>
        <v>1.9520567318295827</v>
      </c>
      <c r="L54" s="60">
        <f t="shared" ref="L54" si="438">IFERROR(L9/$C54,0)</f>
        <v>1.4895285739170963</v>
      </c>
      <c r="M54" s="60">
        <f t="shared" si="437"/>
        <v>1540.0896023952084</v>
      </c>
      <c r="N54" s="60">
        <f t="shared" si="437"/>
        <v>84926.137712285417</v>
      </c>
      <c r="O54" s="60">
        <f t="shared" si="437"/>
        <v>5.2683858227602857E-3</v>
      </c>
      <c r="P54" s="60">
        <f t="shared" si="437"/>
        <v>1.8866129924004502</v>
      </c>
      <c r="Q54" s="60">
        <f t="shared" si="437"/>
        <v>0</v>
      </c>
      <c r="R54" s="60">
        <f t="shared" si="437"/>
        <v>0</v>
      </c>
      <c r="S54" s="60">
        <f t="shared" si="437"/>
        <v>60.319619479756433</v>
      </c>
      <c r="T54" s="60">
        <f t="shared" si="437"/>
        <v>12.771107555693847</v>
      </c>
      <c r="U54" s="60">
        <f t="shared" si="437"/>
        <v>0</v>
      </c>
      <c r="V54" s="60">
        <f t="shared" si="437"/>
        <v>62.465815418546647</v>
      </c>
      <c r="W54" s="60">
        <f t="shared" ref="W54" si="439">IFERROR(W9/$C54,0)</f>
        <v>0</v>
      </c>
      <c r="X54" s="118">
        <f t="shared" si="393"/>
        <v>6.4931287013740005E-4</v>
      </c>
      <c r="Y54" s="118">
        <f t="shared" si="394"/>
        <v>1.1774937927682775E-5</v>
      </c>
      <c r="Z54" s="118">
        <f t="shared" si="395"/>
        <v>189.81145907724468</v>
      </c>
      <c r="AA54" s="118">
        <f t="shared" si="396"/>
        <v>0.53005041522990914</v>
      </c>
      <c r="AB54" s="118" t="str">
        <f t="shared" si="397"/>
        <v>.</v>
      </c>
      <c r="AC54" s="118" t="str">
        <f t="shared" si="398"/>
        <v>.</v>
      </c>
      <c r="AD54" s="118">
        <f t="shared" si="399"/>
        <v>1.6578353919086061E-2</v>
      </c>
      <c r="AE54" s="118">
        <f t="shared" si="400"/>
        <v>7.830174443673539E-2</v>
      </c>
      <c r="AF54" s="118" t="str">
        <f t="shared" si="401"/>
        <v>.</v>
      </c>
      <c r="AG54" s="118">
        <f t="shared" si="402"/>
        <v>1.6008756041998154E-2</v>
      </c>
      <c r="AH54" s="118" t="str">
        <f t="shared" si="269"/>
        <v>.</v>
      </c>
      <c r="AI54" s="60">
        <f t="shared" si="403"/>
        <v>5.250637626763718E-3</v>
      </c>
      <c r="AJ54" s="60">
        <f t="shared" ref="AJ54:AS54" si="440">IFERROR(AJ9/$C54,0)</f>
        <v>165.90801261280905</v>
      </c>
      <c r="AK54" s="60">
        <f>IFERROR(AK9,".")</f>
        <v>0.15345317098848396</v>
      </c>
      <c r="AL54" s="60">
        <f t="shared" si="440"/>
        <v>63135.747771986011</v>
      </c>
      <c r="AM54" s="60">
        <f t="shared" si="440"/>
        <v>26.252288143982526</v>
      </c>
      <c r="AN54" s="60">
        <f t="shared" si="440"/>
        <v>0</v>
      </c>
      <c r="AO54" s="60">
        <f t="shared" si="440"/>
        <v>0</v>
      </c>
      <c r="AP54" s="60">
        <f t="shared" si="440"/>
        <v>10615.683975423173</v>
      </c>
      <c r="AQ54" s="60">
        <f t="shared" si="440"/>
        <v>2169.0060386708305</v>
      </c>
      <c r="AR54" s="60">
        <f t="shared" si="440"/>
        <v>0</v>
      </c>
      <c r="AS54" s="60">
        <f t="shared" si="440"/>
        <v>130.13711545530552</v>
      </c>
      <c r="AT54" s="60">
        <f t="shared" ref="AT54" si="441">IFERROR(AT9/$C54,0)</f>
        <v>0</v>
      </c>
      <c r="AU54" s="118">
        <f t="shared" si="406"/>
        <v>6.0274364345124717E-3</v>
      </c>
      <c r="AV54" s="118">
        <f t="shared" si="407"/>
        <v>6.5166460462067999</v>
      </c>
      <c r="AW54" s="118">
        <f t="shared" si="408"/>
        <v>1.5838887401975311E-5</v>
      </c>
      <c r="AX54" s="118">
        <f t="shared" si="409"/>
        <v>3.8091917722197374E-2</v>
      </c>
      <c r="AY54" s="118" t="str">
        <f t="shared" si="410"/>
        <v>.</v>
      </c>
      <c r="AZ54" s="118" t="str">
        <f t="shared" si="411"/>
        <v>.</v>
      </c>
      <c r="BA54" s="118">
        <f t="shared" si="412"/>
        <v>9.420024204894786E-5</v>
      </c>
      <c r="BB54" s="118">
        <f t="shared" si="413"/>
        <v>4.6104067124349787E-4</v>
      </c>
      <c r="BC54" s="118" t="str">
        <f t="shared" si="414"/>
        <v>.</v>
      </c>
      <c r="BD54" s="118">
        <f t="shared" si="415"/>
        <v>7.6842029001591133E-3</v>
      </c>
      <c r="BE54" s="118" t="str">
        <f t="shared" si="282"/>
        <v>.</v>
      </c>
      <c r="BF54" s="60">
        <f t="shared" si="22"/>
        <v>0.15222969271174727</v>
      </c>
      <c r="BG54" s="60">
        <f>IFERROR(BG9/$C54,0)</f>
        <v>6.2475803126291064E-2</v>
      </c>
      <c r="BH54" s="60">
        <f>IFERROR(BH9/$C54,0)</f>
        <v>3.8967684695976081</v>
      </c>
      <c r="BI54" s="60">
        <f t="shared" si="416"/>
        <v>6.1489951860895488E-2</v>
      </c>
    </row>
    <row r="55" spans="1:61" x14ac:dyDescent="0.25">
      <c r="A55" s="3">
        <v>54</v>
      </c>
      <c r="B55" s="83" t="s">
        <v>1090</v>
      </c>
      <c r="C55" s="42">
        <v>1.9999999999999999E-7</v>
      </c>
      <c r="D55" s="249"/>
      <c r="E55" s="60">
        <f t="shared" ref="E55:V55" si="442">IFERROR(E24/$C55,0)</f>
        <v>0</v>
      </c>
      <c r="F55" s="60">
        <f t="shared" si="442"/>
        <v>0</v>
      </c>
      <c r="G55" s="60">
        <f t="shared" si="442"/>
        <v>0</v>
      </c>
      <c r="H55" s="60">
        <f t="shared" si="442"/>
        <v>0</v>
      </c>
      <c r="I55" s="60">
        <f t="shared" si="442"/>
        <v>0</v>
      </c>
      <c r="J55" s="60">
        <f t="shared" si="442"/>
        <v>0</v>
      </c>
      <c r="K55" s="60">
        <f t="shared" si="442"/>
        <v>0</v>
      </c>
      <c r="L55" s="60">
        <f t="shared" ref="L55" si="443">IFERROR(L24/$C55,0)</f>
        <v>0</v>
      </c>
      <c r="M55" s="60">
        <f t="shared" si="442"/>
        <v>0</v>
      </c>
      <c r="N55" s="60">
        <f t="shared" si="442"/>
        <v>0</v>
      </c>
      <c r="O55" s="60">
        <f t="shared" si="442"/>
        <v>57134724.478504889</v>
      </c>
      <c r="P55" s="60">
        <f t="shared" si="442"/>
        <v>0</v>
      </c>
      <c r="Q55" s="60">
        <f t="shared" si="442"/>
        <v>0</v>
      </c>
      <c r="R55" s="60">
        <f t="shared" si="442"/>
        <v>0</v>
      </c>
      <c r="S55" s="60">
        <f t="shared" si="442"/>
        <v>0</v>
      </c>
      <c r="T55" s="60">
        <f t="shared" si="442"/>
        <v>0</v>
      </c>
      <c r="U55" s="60">
        <f t="shared" si="442"/>
        <v>0</v>
      </c>
      <c r="V55" s="60">
        <f t="shared" si="442"/>
        <v>0</v>
      </c>
      <c r="W55" s="60">
        <f t="shared" ref="W55" si="444">IFERROR(W24/$C55,0)</f>
        <v>0</v>
      </c>
      <c r="X55" s="118" t="str">
        <f t="shared" si="393"/>
        <v>.</v>
      </c>
      <c r="Y55" s="118" t="str">
        <f t="shared" si="394"/>
        <v>.</v>
      </c>
      <c r="Z55" s="118">
        <f t="shared" si="395"/>
        <v>1.7502490982978626E-8</v>
      </c>
      <c r="AA55" s="118" t="str">
        <f t="shared" si="396"/>
        <v>.</v>
      </c>
      <c r="AB55" s="118" t="str">
        <f t="shared" si="397"/>
        <v>.</v>
      </c>
      <c r="AC55" s="118" t="str">
        <f t="shared" si="398"/>
        <v>.</v>
      </c>
      <c r="AD55" s="118" t="str">
        <f t="shared" si="399"/>
        <v>.</v>
      </c>
      <c r="AE55" s="118" t="str">
        <f t="shared" si="400"/>
        <v>.</v>
      </c>
      <c r="AF55" s="118" t="str">
        <f t="shared" si="401"/>
        <v>.</v>
      </c>
      <c r="AG55" s="118" t="str">
        <f t="shared" si="402"/>
        <v>.</v>
      </c>
      <c r="AH55" s="118" t="str">
        <f t="shared" si="269"/>
        <v>.</v>
      </c>
      <c r="AI55" s="60">
        <f t="shared" si="403"/>
        <v>57134724.478504889</v>
      </c>
      <c r="AJ55" s="60">
        <f t="shared" ref="AJ55:AS55" si="445">IFERROR(AJ24/$C55,0)</f>
        <v>0</v>
      </c>
      <c r="AK55" s="60" t="str">
        <f>IFERROR(AK24,".")</f>
        <v>.</v>
      </c>
      <c r="AL55" s="60">
        <f t="shared" si="445"/>
        <v>660103807585136.75</v>
      </c>
      <c r="AM55" s="60">
        <f t="shared" si="445"/>
        <v>0</v>
      </c>
      <c r="AN55" s="60">
        <f t="shared" si="445"/>
        <v>0</v>
      </c>
      <c r="AO55" s="60">
        <f t="shared" si="445"/>
        <v>0</v>
      </c>
      <c r="AP55" s="60">
        <f t="shared" si="445"/>
        <v>0</v>
      </c>
      <c r="AQ55" s="60">
        <f t="shared" si="445"/>
        <v>0</v>
      </c>
      <c r="AR55" s="60">
        <f t="shared" si="445"/>
        <v>0</v>
      </c>
      <c r="AS55" s="60">
        <f t="shared" si="445"/>
        <v>0</v>
      </c>
      <c r="AT55" s="60">
        <f t="shared" ref="AT55" si="446">IFERROR(AT24/$C55,0)</f>
        <v>0</v>
      </c>
      <c r="AU55" s="118" t="str">
        <f t="shared" si="406"/>
        <v>.</v>
      </c>
      <c r="AV55" s="118" t="str">
        <f t="shared" si="407"/>
        <v>.</v>
      </c>
      <c r="AW55" s="118">
        <f t="shared" si="408"/>
        <v>1.5149132432038353E-15</v>
      </c>
      <c r="AX55" s="118" t="str">
        <f t="shared" si="409"/>
        <v>.</v>
      </c>
      <c r="AY55" s="118" t="str">
        <f t="shared" si="410"/>
        <v>.</v>
      </c>
      <c r="AZ55" s="118" t="str">
        <f t="shared" si="411"/>
        <v>.</v>
      </c>
      <c r="BA55" s="118" t="str">
        <f t="shared" si="412"/>
        <v>.</v>
      </c>
      <c r="BB55" s="118" t="str">
        <f t="shared" si="413"/>
        <v>.</v>
      </c>
      <c r="BC55" s="118" t="str">
        <f t="shared" si="414"/>
        <v>.</v>
      </c>
      <c r="BD55" s="118" t="str">
        <f t="shared" si="415"/>
        <v>.</v>
      </c>
      <c r="BE55" s="118" t="str">
        <f t="shared" si="282"/>
        <v>.</v>
      </c>
      <c r="BF55" s="60">
        <f t="shared" si="22"/>
        <v>660103807585136.75</v>
      </c>
      <c r="BG55" s="60">
        <f>IFERROR(BG24/$C55,0)</f>
        <v>0</v>
      </c>
      <c r="BH55" s="60">
        <f>IFERROR(BH24/$C55,0)</f>
        <v>40894649936.076225</v>
      </c>
      <c r="BI55" s="60">
        <f t="shared" si="416"/>
        <v>40894649936.076225</v>
      </c>
    </row>
    <row r="56" spans="1:61" x14ac:dyDescent="0.25">
      <c r="A56" s="3">
        <v>55</v>
      </c>
      <c r="B56" s="83" t="s">
        <v>1091</v>
      </c>
      <c r="C56" s="42">
        <v>0.99979000004200003</v>
      </c>
      <c r="D56" s="249"/>
      <c r="E56" s="60">
        <f t="shared" ref="E56:V56" si="447">IFERROR(E20/$C56,0)</f>
        <v>0</v>
      </c>
      <c r="F56" s="60">
        <f t="shared" si="447"/>
        <v>0</v>
      </c>
      <c r="G56" s="60">
        <f t="shared" si="447"/>
        <v>0</v>
      </c>
      <c r="H56" s="60">
        <f t="shared" si="447"/>
        <v>0</v>
      </c>
      <c r="I56" s="60">
        <f t="shared" si="447"/>
        <v>0</v>
      </c>
      <c r="J56" s="60">
        <f t="shared" si="447"/>
        <v>0</v>
      </c>
      <c r="K56" s="60">
        <f t="shared" si="447"/>
        <v>0</v>
      </c>
      <c r="L56" s="60">
        <f t="shared" ref="L56" si="448">IFERROR(L20/$C56,0)</f>
        <v>0</v>
      </c>
      <c r="M56" s="60">
        <f t="shared" si="447"/>
        <v>0</v>
      </c>
      <c r="N56" s="60">
        <f t="shared" si="447"/>
        <v>0</v>
      </c>
      <c r="O56" s="60">
        <f t="shared" si="447"/>
        <v>100.4396989917602</v>
      </c>
      <c r="P56" s="60">
        <f t="shared" si="447"/>
        <v>0</v>
      </c>
      <c r="Q56" s="60">
        <f t="shared" si="447"/>
        <v>0</v>
      </c>
      <c r="R56" s="60">
        <f t="shared" si="447"/>
        <v>0</v>
      </c>
      <c r="S56" s="60">
        <f t="shared" si="447"/>
        <v>0</v>
      </c>
      <c r="T56" s="60">
        <f t="shared" si="447"/>
        <v>0</v>
      </c>
      <c r="U56" s="60">
        <f t="shared" si="447"/>
        <v>0</v>
      </c>
      <c r="V56" s="60">
        <f t="shared" si="447"/>
        <v>0</v>
      </c>
      <c r="W56" s="60">
        <f t="shared" ref="W56" si="449">IFERROR(W20/$C56,0)</f>
        <v>0</v>
      </c>
      <c r="X56" s="118" t="str">
        <f t="shared" si="393"/>
        <v>.</v>
      </c>
      <c r="Y56" s="118" t="str">
        <f t="shared" si="394"/>
        <v>.</v>
      </c>
      <c r="Z56" s="118">
        <f t="shared" si="395"/>
        <v>9.9562225896558821E-3</v>
      </c>
      <c r="AA56" s="118" t="str">
        <f t="shared" si="396"/>
        <v>.</v>
      </c>
      <c r="AB56" s="118" t="str">
        <f t="shared" si="397"/>
        <v>.</v>
      </c>
      <c r="AC56" s="118" t="str">
        <f t="shared" si="398"/>
        <v>.</v>
      </c>
      <c r="AD56" s="118" t="str">
        <f t="shared" si="399"/>
        <v>.</v>
      </c>
      <c r="AE56" s="118" t="str">
        <f t="shared" si="400"/>
        <v>.</v>
      </c>
      <c r="AF56" s="118" t="str">
        <f t="shared" si="401"/>
        <v>.</v>
      </c>
      <c r="AG56" s="118" t="str">
        <f t="shared" si="402"/>
        <v>.</v>
      </c>
      <c r="AH56" s="118" t="str">
        <f t="shared" si="269"/>
        <v>.</v>
      </c>
      <c r="AI56" s="60">
        <f t="shared" si="403"/>
        <v>100.4396989917602</v>
      </c>
      <c r="AJ56" s="60">
        <f t="shared" ref="AJ56:AS56" si="450">IFERROR(AJ20/$C56,0)</f>
        <v>0</v>
      </c>
      <c r="AK56" s="60" t="str">
        <f>IFERROR(AK20,".")</f>
        <v>.</v>
      </c>
      <c r="AL56" s="60">
        <f t="shared" si="450"/>
        <v>1181067203.242521</v>
      </c>
      <c r="AM56" s="60">
        <f t="shared" si="450"/>
        <v>0</v>
      </c>
      <c r="AN56" s="60">
        <f t="shared" si="450"/>
        <v>0</v>
      </c>
      <c r="AO56" s="60">
        <f t="shared" si="450"/>
        <v>0</v>
      </c>
      <c r="AP56" s="60">
        <f t="shared" si="450"/>
        <v>0</v>
      </c>
      <c r="AQ56" s="60">
        <f t="shared" si="450"/>
        <v>0</v>
      </c>
      <c r="AR56" s="60">
        <f t="shared" si="450"/>
        <v>0</v>
      </c>
      <c r="AS56" s="60">
        <f t="shared" si="450"/>
        <v>0</v>
      </c>
      <c r="AT56" s="60">
        <f t="shared" ref="AT56" si="451">IFERROR(AT20/$C56,0)</f>
        <v>0</v>
      </c>
      <c r="AU56" s="118" t="str">
        <f t="shared" si="406"/>
        <v>.</v>
      </c>
      <c r="AV56" s="118" t="str">
        <f t="shared" si="407"/>
        <v>.</v>
      </c>
      <c r="AW56" s="118">
        <f t="shared" si="408"/>
        <v>8.4669187092367294E-10</v>
      </c>
      <c r="AX56" s="118" t="str">
        <f t="shared" si="409"/>
        <v>.</v>
      </c>
      <c r="AY56" s="118" t="str">
        <f t="shared" si="410"/>
        <v>.</v>
      </c>
      <c r="AZ56" s="118" t="str">
        <f t="shared" si="411"/>
        <v>.</v>
      </c>
      <c r="BA56" s="118" t="str">
        <f t="shared" si="412"/>
        <v>.</v>
      </c>
      <c r="BB56" s="118" t="str">
        <f t="shared" si="413"/>
        <v>.</v>
      </c>
      <c r="BC56" s="118" t="str">
        <f t="shared" si="414"/>
        <v>.</v>
      </c>
      <c r="BD56" s="118" t="str">
        <f t="shared" si="415"/>
        <v>.</v>
      </c>
      <c r="BE56" s="118" t="str">
        <f t="shared" si="282"/>
        <v>.</v>
      </c>
      <c r="BF56" s="60">
        <f t="shared" si="22"/>
        <v>1181067203.242521</v>
      </c>
      <c r="BG56" s="60">
        <f>IFERROR(BG20/$C56,0)</f>
        <v>0</v>
      </c>
      <c r="BH56" s="60">
        <f>IFERROR(BH20/$C56,0)</f>
        <v>72984.211861483142</v>
      </c>
      <c r="BI56" s="60">
        <f t="shared" si="416"/>
        <v>72984.211861483142</v>
      </c>
    </row>
    <row r="57" spans="1:61" x14ac:dyDescent="0.25">
      <c r="A57" s="3">
        <v>56</v>
      </c>
      <c r="B57" s="83" t="s">
        <v>1092</v>
      </c>
      <c r="C57" s="42">
        <v>2.0999995799999999E-4</v>
      </c>
      <c r="D57" s="249"/>
      <c r="E57" s="60">
        <f t="shared" ref="E57:V57" si="452">IFERROR(E29/$C57,0)</f>
        <v>0</v>
      </c>
      <c r="F57" s="60">
        <f t="shared" si="452"/>
        <v>0</v>
      </c>
      <c r="G57" s="60">
        <f t="shared" si="452"/>
        <v>0</v>
      </c>
      <c r="H57" s="60">
        <f t="shared" si="452"/>
        <v>0</v>
      </c>
      <c r="I57" s="60">
        <f t="shared" si="452"/>
        <v>0</v>
      </c>
      <c r="J57" s="60">
        <f t="shared" si="452"/>
        <v>0</v>
      </c>
      <c r="K57" s="60">
        <f t="shared" si="452"/>
        <v>0</v>
      </c>
      <c r="L57" s="60">
        <f t="shared" ref="L57" si="453">IFERROR(L29/$C57,0)</f>
        <v>0</v>
      </c>
      <c r="M57" s="60">
        <f t="shared" si="452"/>
        <v>0</v>
      </c>
      <c r="N57" s="60">
        <f t="shared" si="452"/>
        <v>0</v>
      </c>
      <c r="O57" s="60">
        <f t="shared" si="452"/>
        <v>13.721799927603394</v>
      </c>
      <c r="P57" s="60">
        <f t="shared" si="452"/>
        <v>0</v>
      </c>
      <c r="Q57" s="60">
        <f t="shared" si="452"/>
        <v>0</v>
      </c>
      <c r="R57" s="60">
        <f t="shared" si="452"/>
        <v>0</v>
      </c>
      <c r="S57" s="60">
        <f t="shared" si="452"/>
        <v>0</v>
      </c>
      <c r="T57" s="60">
        <f t="shared" si="452"/>
        <v>0</v>
      </c>
      <c r="U57" s="60">
        <f t="shared" si="452"/>
        <v>0</v>
      </c>
      <c r="V57" s="60">
        <f t="shared" si="452"/>
        <v>0</v>
      </c>
      <c r="W57" s="60">
        <f t="shared" ref="W57" si="454">IFERROR(W29/$C57,0)</f>
        <v>0</v>
      </c>
      <c r="X57" s="118" t="str">
        <f t="shared" si="393"/>
        <v>.</v>
      </c>
      <c r="Y57" s="118" t="str">
        <f t="shared" si="394"/>
        <v>.</v>
      </c>
      <c r="Z57" s="118">
        <f t="shared" si="395"/>
        <v>7.2876736672741804E-2</v>
      </c>
      <c r="AA57" s="118" t="str">
        <f t="shared" si="396"/>
        <v>.</v>
      </c>
      <c r="AB57" s="118" t="str">
        <f t="shared" si="397"/>
        <v>.</v>
      </c>
      <c r="AC57" s="118" t="str">
        <f t="shared" si="398"/>
        <v>.</v>
      </c>
      <c r="AD57" s="118" t="str">
        <f t="shared" si="399"/>
        <v>.</v>
      </c>
      <c r="AE57" s="118" t="str">
        <f t="shared" si="400"/>
        <v>.</v>
      </c>
      <c r="AF57" s="118" t="str">
        <f t="shared" si="401"/>
        <v>.</v>
      </c>
      <c r="AG57" s="118" t="str">
        <f t="shared" si="402"/>
        <v>.</v>
      </c>
      <c r="AH57" s="118" t="str">
        <f t="shared" si="269"/>
        <v>.</v>
      </c>
      <c r="AI57" s="60">
        <f t="shared" si="403"/>
        <v>13.721799927603392</v>
      </c>
      <c r="AJ57" s="60">
        <f t="shared" ref="AJ57:AS57" si="455">IFERROR(AJ29/$C57,0)</f>
        <v>0</v>
      </c>
      <c r="AK57" s="60" t="str">
        <f>IFERROR(AK29,".")</f>
        <v>.</v>
      </c>
      <c r="AL57" s="60">
        <f t="shared" si="455"/>
        <v>162087634.03159973</v>
      </c>
      <c r="AM57" s="60">
        <f t="shared" si="455"/>
        <v>0</v>
      </c>
      <c r="AN57" s="60">
        <f t="shared" si="455"/>
        <v>0</v>
      </c>
      <c r="AO57" s="60">
        <f t="shared" si="455"/>
        <v>0</v>
      </c>
      <c r="AP57" s="60">
        <f t="shared" si="455"/>
        <v>0</v>
      </c>
      <c r="AQ57" s="60">
        <f t="shared" si="455"/>
        <v>0</v>
      </c>
      <c r="AR57" s="60">
        <f t="shared" si="455"/>
        <v>0</v>
      </c>
      <c r="AS57" s="60">
        <f t="shared" si="455"/>
        <v>0</v>
      </c>
      <c r="AT57" s="60">
        <f t="shared" ref="AT57" si="456">IFERROR(AT29/$C57,0)</f>
        <v>0</v>
      </c>
      <c r="AU57" s="118" t="str">
        <f t="shared" si="406"/>
        <v>.</v>
      </c>
      <c r="AV57" s="118" t="str">
        <f t="shared" si="407"/>
        <v>.</v>
      </c>
      <c r="AW57" s="118">
        <f t="shared" si="408"/>
        <v>6.1695021089952203E-9</v>
      </c>
      <c r="AX57" s="118" t="str">
        <f t="shared" si="409"/>
        <v>.</v>
      </c>
      <c r="AY57" s="118" t="str">
        <f t="shared" si="410"/>
        <v>.</v>
      </c>
      <c r="AZ57" s="118" t="str">
        <f t="shared" si="411"/>
        <v>.</v>
      </c>
      <c r="BA57" s="118" t="str">
        <f t="shared" si="412"/>
        <v>.</v>
      </c>
      <c r="BB57" s="118" t="str">
        <f t="shared" si="413"/>
        <v>.</v>
      </c>
      <c r="BC57" s="118" t="str">
        <f t="shared" si="414"/>
        <v>.</v>
      </c>
      <c r="BD57" s="118" t="str">
        <f t="shared" si="415"/>
        <v>.</v>
      </c>
      <c r="BE57" s="118" t="str">
        <f t="shared" si="282"/>
        <v>.</v>
      </c>
      <c r="BF57" s="60">
        <f t="shared" si="22"/>
        <v>162087634.03159973</v>
      </c>
      <c r="BG57" s="60">
        <f>IFERROR(BG29/$C57,0)</f>
        <v>0</v>
      </c>
      <c r="BH57" s="60">
        <f>IFERROR(BH29/$C57,0)</f>
        <v>10030.765198020792</v>
      </c>
      <c r="BI57" s="60">
        <f t="shared" si="416"/>
        <v>10030.765198020792</v>
      </c>
    </row>
    <row r="58" spans="1:61" x14ac:dyDescent="0.25">
      <c r="A58" s="3">
        <v>57</v>
      </c>
      <c r="B58" s="83" t="s">
        <v>1093</v>
      </c>
      <c r="C58" s="42">
        <v>1</v>
      </c>
      <c r="D58" s="249"/>
      <c r="E58" s="60">
        <f t="shared" ref="E58:V58" si="457">IFERROR(E16/$C58,0)</f>
        <v>4.289805243041012E-5</v>
      </c>
      <c r="F58" s="60">
        <f t="shared" si="457"/>
        <v>3.8792043117939355E-4</v>
      </c>
      <c r="G58" s="60">
        <f t="shared" si="457"/>
        <v>7.0206554732761875E-4</v>
      </c>
      <c r="H58" s="60">
        <f t="shared" si="457"/>
        <v>2.537147962696445E-4</v>
      </c>
      <c r="I58" s="60">
        <f t="shared" si="457"/>
        <v>4.368208027099585E-5</v>
      </c>
      <c r="J58" s="60">
        <f t="shared" si="457"/>
        <v>4.5554052359898849E-4</v>
      </c>
      <c r="K58" s="60">
        <f t="shared" si="457"/>
        <v>4.4013345811222502E-4</v>
      </c>
      <c r="L58" s="60">
        <f t="shared" ref="L58" si="458">IFERROR(L16/$C58,0)</f>
        <v>3.3584646977992476E-4</v>
      </c>
      <c r="M58" s="60">
        <f t="shared" si="457"/>
        <v>0.36178821786018189</v>
      </c>
      <c r="N58" s="60">
        <f t="shared" si="457"/>
        <v>330.6516890904162</v>
      </c>
      <c r="O58" s="60">
        <f t="shared" si="457"/>
        <v>26.093023777584907</v>
      </c>
      <c r="P58" s="60">
        <f t="shared" si="457"/>
        <v>2.4882949443750016E-3</v>
      </c>
      <c r="Q58" s="60">
        <f t="shared" si="457"/>
        <v>0</v>
      </c>
      <c r="R58" s="60">
        <f t="shared" si="457"/>
        <v>0</v>
      </c>
      <c r="S58" s="60">
        <f t="shared" si="457"/>
        <v>0.10092392306226289</v>
      </c>
      <c r="T58" s="60">
        <f t="shared" si="457"/>
        <v>4.1314833882976063E-2</v>
      </c>
      <c r="U58" s="60">
        <f t="shared" si="457"/>
        <v>0</v>
      </c>
      <c r="V58" s="60">
        <f t="shared" si="457"/>
        <v>2.6408007486733503E-3</v>
      </c>
      <c r="W58" s="60">
        <f t="shared" ref="W58" si="459">IFERROR(W16/$C58,0)</f>
        <v>2.2898622939540323E-3</v>
      </c>
      <c r="X58" s="118">
        <f t="shared" si="393"/>
        <v>2.7640479999999998</v>
      </c>
      <c r="Y58" s="118">
        <f t="shared" si="394"/>
        <v>3.0243305357092898E-3</v>
      </c>
      <c r="Z58" s="118">
        <f t="shared" si="395"/>
        <v>3.832441991100493E-2</v>
      </c>
      <c r="AA58" s="118">
        <f t="shared" si="396"/>
        <v>401.88161868052799</v>
      </c>
      <c r="AB58" s="118" t="str">
        <f t="shared" si="397"/>
        <v>.</v>
      </c>
      <c r="AC58" s="118" t="str">
        <f t="shared" si="398"/>
        <v>.</v>
      </c>
      <c r="AD58" s="118">
        <f t="shared" si="399"/>
        <v>9.9084535128808966</v>
      </c>
      <c r="AE58" s="118">
        <f t="shared" si="400"/>
        <v>24.20438147790917</v>
      </c>
      <c r="AF58" s="118" t="str">
        <f t="shared" si="401"/>
        <v>.</v>
      </c>
      <c r="AG58" s="118">
        <f t="shared" si="402"/>
        <v>378.673022</v>
      </c>
      <c r="AH58" s="118">
        <f t="shared" si="269"/>
        <v>436.70748352000004</v>
      </c>
      <c r="AI58" s="60">
        <f t="shared" si="403"/>
        <v>7.9733348976678822E-4</v>
      </c>
      <c r="AJ58" s="60">
        <f t="shared" ref="AJ58:AS58" si="460">IFERROR(AJ16/$C58,0)</f>
        <v>3.6027716035479572E-2</v>
      </c>
      <c r="AK58" s="60" t="str">
        <f>IFERROR(AK16,".")</f>
        <v>.</v>
      </c>
      <c r="AL58" s="60">
        <f t="shared" si="460"/>
        <v>100627649.84524062</v>
      </c>
      <c r="AM58" s="60">
        <f t="shared" si="460"/>
        <v>1.0085503819696409E-2</v>
      </c>
      <c r="AN58" s="60">
        <f t="shared" si="460"/>
        <v>0</v>
      </c>
      <c r="AO58" s="60">
        <f t="shared" si="460"/>
        <v>0</v>
      </c>
      <c r="AP58" s="60">
        <f t="shared" si="460"/>
        <v>6.8386737538987736</v>
      </c>
      <c r="AQ58" s="60">
        <f t="shared" si="460"/>
        <v>2.5739440891948355</v>
      </c>
      <c r="AR58" s="60">
        <f t="shared" si="460"/>
        <v>0</v>
      </c>
      <c r="AS58" s="60">
        <f t="shared" si="460"/>
        <v>1.7605338324489E-2</v>
      </c>
      <c r="AT58" s="60">
        <f t="shared" ref="AT58" si="461">IFERROR(AT16/$C58,0)</f>
        <v>1.5265748626360216E-2</v>
      </c>
      <c r="AU58" s="118">
        <f t="shared" si="406"/>
        <v>27.756408400000002</v>
      </c>
      <c r="AV58" s="118" t="str">
        <f t="shared" si="407"/>
        <v>.</v>
      </c>
      <c r="AW58" s="118">
        <f t="shared" si="408"/>
        <v>9.9376265026356169E-9</v>
      </c>
      <c r="AX58" s="118">
        <f t="shared" si="409"/>
        <v>99.152210725165517</v>
      </c>
      <c r="AY58" s="118" t="str">
        <f t="shared" si="410"/>
        <v>.</v>
      </c>
      <c r="AZ58" s="118" t="str">
        <f t="shared" si="411"/>
        <v>.</v>
      </c>
      <c r="BA58" s="118">
        <f t="shared" si="412"/>
        <v>0.14622718322100003</v>
      </c>
      <c r="BB58" s="118">
        <f t="shared" si="413"/>
        <v>0.38850882744419424</v>
      </c>
      <c r="BC58" s="118" t="str">
        <f t="shared" si="414"/>
        <v>.</v>
      </c>
      <c r="BD58" s="118">
        <f t="shared" si="415"/>
        <v>56.800953300000003</v>
      </c>
      <c r="BE58" s="118">
        <f t="shared" si="282"/>
        <v>65.506122527999992</v>
      </c>
      <c r="BF58" s="60">
        <f t="shared" si="22"/>
        <v>4.0039970946237581E-3</v>
      </c>
      <c r="BG58" s="60">
        <f>IFERROR(BG16/$C58,0)</f>
        <v>2.432434864867297E-4</v>
      </c>
      <c r="BH58" s="60">
        <f>IFERROR(BH16/$C58,0)</f>
        <v>6625.6613843019659</v>
      </c>
      <c r="BI58" s="60">
        <f t="shared" si="416"/>
        <v>2.4324347755669417E-4</v>
      </c>
    </row>
    <row r="59" spans="1:61" x14ac:dyDescent="0.25">
      <c r="A59" s="3">
        <v>58</v>
      </c>
      <c r="B59" s="83" t="s">
        <v>1094</v>
      </c>
      <c r="C59" s="42">
        <v>1</v>
      </c>
      <c r="D59" s="249"/>
      <c r="E59" s="60">
        <f t="shared" ref="E59:V59" si="462">IFERROR(E7/$C59,0)</f>
        <v>3.8754490547927328E-3</v>
      </c>
      <c r="F59" s="60">
        <f t="shared" si="462"/>
        <v>3.5045084407683856E-2</v>
      </c>
      <c r="G59" s="60">
        <f t="shared" si="462"/>
        <v>6.3425239786983736E-2</v>
      </c>
      <c r="H59" s="60">
        <f t="shared" si="462"/>
        <v>2.2920825344814474E-2</v>
      </c>
      <c r="I59" s="60">
        <f t="shared" si="462"/>
        <v>3.9462788426638295E-3</v>
      </c>
      <c r="J59" s="60">
        <f t="shared" si="462"/>
        <v>4.1153945029681345E-2</v>
      </c>
      <c r="K59" s="60">
        <f t="shared" si="462"/>
        <v>3.9762056727183963E-2</v>
      </c>
      <c r="L59" s="60">
        <f t="shared" ref="L59" si="463">IFERROR(L7/$C59,0)</f>
        <v>3.034067539489093E-2</v>
      </c>
      <c r="M59" s="60">
        <f t="shared" si="462"/>
        <v>25.865906484919016</v>
      </c>
      <c r="N59" s="60">
        <f t="shared" si="462"/>
        <v>11532.485741446224</v>
      </c>
      <c r="O59" s="60">
        <f t="shared" si="462"/>
        <v>13.982337636089804</v>
      </c>
      <c r="P59" s="60">
        <f t="shared" si="462"/>
        <v>3.8429012642352843E-2</v>
      </c>
      <c r="Q59" s="60">
        <f t="shared" si="462"/>
        <v>0</v>
      </c>
      <c r="R59" s="60">
        <f t="shared" si="462"/>
        <v>0</v>
      </c>
      <c r="S59" s="60">
        <f t="shared" si="462"/>
        <v>1.2286692760554527</v>
      </c>
      <c r="T59" s="60">
        <f t="shared" si="462"/>
        <v>0.26013870130839961</v>
      </c>
      <c r="U59" s="60">
        <f t="shared" si="462"/>
        <v>0</v>
      </c>
      <c r="V59" s="60">
        <f t="shared" si="462"/>
        <v>1.2723858152698868</v>
      </c>
      <c r="W59" s="60">
        <f t="shared" ref="W59" si="464">IFERROR(W7/$C59,0)</f>
        <v>0</v>
      </c>
      <c r="X59" s="118">
        <f t="shared" si="393"/>
        <v>3.8660929999999996E-2</v>
      </c>
      <c r="Y59" s="118">
        <f t="shared" si="394"/>
        <v>8.6711574800056555E-5</v>
      </c>
      <c r="Z59" s="118">
        <f t="shared" si="395"/>
        <v>7.151879936148163E-2</v>
      </c>
      <c r="AA59" s="118">
        <f t="shared" si="396"/>
        <v>26.02200606366592</v>
      </c>
      <c r="AB59" s="118" t="str">
        <f t="shared" si="397"/>
        <v>.</v>
      </c>
      <c r="AC59" s="118" t="str">
        <f t="shared" si="398"/>
        <v>.</v>
      </c>
      <c r="AD59" s="118">
        <f t="shared" si="399"/>
        <v>0.81388866759200029</v>
      </c>
      <c r="AE59" s="118">
        <f t="shared" si="400"/>
        <v>3.844103145631069</v>
      </c>
      <c r="AF59" s="118" t="str">
        <f t="shared" si="401"/>
        <v>.</v>
      </c>
      <c r="AG59" s="118">
        <f t="shared" si="402"/>
        <v>0.78592514000000002</v>
      </c>
      <c r="AH59" s="118" t="str">
        <f t="shared" si="269"/>
        <v>.</v>
      </c>
      <c r="AI59" s="60">
        <f t="shared" si="403"/>
        <v>3.166943247967427E-2</v>
      </c>
      <c r="AJ59" s="60">
        <f t="shared" ref="AJ59:AS59" si="465">IFERROR(AJ7/$C59,0)</f>
        <v>3.5728730840164387</v>
      </c>
      <c r="AK59" s="60" t="str">
        <f>IFERROR(AK7,".")</f>
        <v>.</v>
      </c>
      <c r="AL59" s="60">
        <f t="shared" si="465"/>
        <v>116848226.23820479</v>
      </c>
      <c r="AM59" s="60">
        <f t="shared" si="465"/>
        <v>0.53474110325731117</v>
      </c>
      <c r="AN59" s="60">
        <f t="shared" si="465"/>
        <v>0</v>
      </c>
      <c r="AO59" s="60">
        <f t="shared" si="465"/>
        <v>0</v>
      </c>
      <c r="AP59" s="60">
        <f t="shared" si="465"/>
        <v>216.23420136617429</v>
      </c>
      <c r="AQ59" s="60">
        <f t="shared" si="465"/>
        <v>44.181165303736357</v>
      </c>
      <c r="AR59" s="60">
        <f t="shared" si="465"/>
        <v>0</v>
      </c>
      <c r="AS59" s="60">
        <f t="shared" si="465"/>
        <v>2.6508037818122645</v>
      </c>
      <c r="AT59" s="60">
        <f t="shared" ref="AT59" si="466">IFERROR(AT7/$C59,0)</f>
        <v>0</v>
      </c>
      <c r="AU59" s="118">
        <f t="shared" si="406"/>
        <v>0.27988679600000005</v>
      </c>
      <c r="AV59" s="118" t="str">
        <f t="shared" si="407"/>
        <v>.</v>
      </c>
      <c r="AW59" s="118">
        <f t="shared" si="408"/>
        <v>8.558110227205479E-9</v>
      </c>
      <c r="AX59" s="118">
        <f t="shared" si="409"/>
        <v>1.8700638381987473</v>
      </c>
      <c r="AY59" s="118" t="str">
        <f t="shared" si="410"/>
        <v>.</v>
      </c>
      <c r="AZ59" s="118" t="str">
        <f t="shared" si="411"/>
        <v>.</v>
      </c>
      <c r="BA59" s="118">
        <f t="shared" si="412"/>
        <v>4.6246153184000011E-3</v>
      </c>
      <c r="BB59" s="118">
        <f t="shared" si="413"/>
        <v>2.2634079321475729E-2</v>
      </c>
      <c r="BC59" s="118" t="str">
        <f t="shared" si="414"/>
        <v>.</v>
      </c>
      <c r="BD59" s="118">
        <f t="shared" si="415"/>
        <v>0.37724406719999998</v>
      </c>
      <c r="BE59" s="118" t="str">
        <f t="shared" si="282"/>
        <v>.</v>
      </c>
      <c r="BF59" s="60">
        <f t="shared" si="22"/>
        <v>0.39147318099461209</v>
      </c>
      <c r="BG59" s="60">
        <f>IFERROR(BG7/$C59,0)</f>
        <v>8.4838581872200853E-3</v>
      </c>
      <c r="BH59" s="60">
        <f>IFERROR(BH7/$C59,0)</f>
        <v>4929.0240320303792</v>
      </c>
      <c r="BI59" s="60">
        <f t="shared" si="416"/>
        <v>8.483843584790601E-3</v>
      </c>
    </row>
    <row r="60" spans="1:61" x14ac:dyDescent="0.25">
      <c r="A60" s="3">
        <v>59</v>
      </c>
      <c r="B60" s="83" t="s">
        <v>1095</v>
      </c>
      <c r="C60" s="86">
        <v>1.9000000000000001E-8</v>
      </c>
      <c r="D60" s="252"/>
      <c r="E60" s="60">
        <f t="shared" ref="E60:V60" si="467">IFERROR(E12/$C60,0)</f>
        <v>0</v>
      </c>
      <c r="F60" s="60">
        <f t="shared" si="467"/>
        <v>0</v>
      </c>
      <c r="G60" s="60">
        <f t="shared" si="467"/>
        <v>0</v>
      </c>
      <c r="H60" s="60">
        <f t="shared" si="467"/>
        <v>0</v>
      </c>
      <c r="I60" s="60">
        <f t="shared" si="467"/>
        <v>0</v>
      </c>
      <c r="J60" s="60">
        <f t="shared" si="467"/>
        <v>0</v>
      </c>
      <c r="K60" s="60">
        <f t="shared" si="467"/>
        <v>0</v>
      </c>
      <c r="L60" s="60">
        <f t="shared" ref="L60" si="468">IFERROR(L12/$C60,0)</f>
        <v>0</v>
      </c>
      <c r="M60" s="60">
        <f t="shared" si="467"/>
        <v>0</v>
      </c>
      <c r="N60" s="60">
        <f t="shared" si="467"/>
        <v>0</v>
      </c>
      <c r="O60" s="60">
        <f t="shared" si="467"/>
        <v>4212832.4685396431</v>
      </c>
      <c r="P60" s="60">
        <f t="shared" si="467"/>
        <v>0</v>
      </c>
      <c r="Q60" s="60">
        <f t="shared" si="467"/>
        <v>0</v>
      </c>
      <c r="R60" s="60">
        <f t="shared" si="467"/>
        <v>0</v>
      </c>
      <c r="S60" s="60">
        <f t="shared" si="467"/>
        <v>0</v>
      </c>
      <c r="T60" s="60">
        <f t="shared" si="467"/>
        <v>0</v>
      </c>
      <c r="U60" s="60">
        <f t="shared" si="467"/>
        <v>0</v>
      </c>
      <c r="V60" s="60">
        <f t="shared" si="467"/>
        <v>0</v>
      </c>
      <c r="W60" s="60">
        <f t="shared" ref="W60" si="469">IFERROR(W12/$C60,0)</f>
        <v>0</v>
      </c>
      <c r="X60" s="118" t="str">
        <f t="shared" si="393"/>
        <v>.</v>
      </c>
      <c r="Y60" s="118" t="str">
        <f t="shared" si="394"/>
        <v>.</v>
      </c>
      <c r="Z60" s="118">
        <f t="shared" si="395"/>
        <v>2.373699897794998E-7</v>
      </c>
      <c r="AA60" s="118" t="str">
        <f t="shared" si="396"/>
        <v>.</v>
      </c>
      <c r="AB60" s="118" t="str">
        <f t="shared" si="397"/>
        <v>.</v>
      </c>
      <c r="AC60" s="118" t="str">
        <f t="shared" si="398"/>
        <v>.</v>
      </c>
      <c r="AD60" s="118" t="str">
        <f t="shared" si="399"/>
        <v>.</v>
      </c>
      <c r="AE60" s="118" t="str">
        <f t="shared" si="400"/>
        <v>.</v>
      </c>
      <c r="AF60" s="118" t="str">
        <f t="shared" si="401"/>
        <v>.</v>
      </c>
      <c r="AG60" s="118" t="str">
        <f t="shared" si="402"/>
        <v>.</v>
      </c>
      <c r="AH60" s="118" t="str">
        <f t="shared" si="269"/>
        <v>.</v>
      </c>
      <c r="AI60" s="60">
        <f t="shared" si="403"/>
        <v>4212832.4685396431</v>
      </c>
      <c r="AJ60" s="60">
        <f t="shared" ref="AJ60:AS60" si="470">IFERROR(AJ12/$C60,0)</f>
        <v>0</v>
      </c>
      <c r="AK60" s="60" t="str">
        <f>IFERROR(AK12,".")</f>
        <v>.</v>
      </c>
      <c r="AL60" s="60">
        <f t="shared" si="470"/>
        <v>44545269746570.242</v>
      </c>
      <c r="AM60" s="60">
        <f t="shared" si="470"/>
        <v>0</v>
      </c>
      <c r="AN60" s="60">
        <f t="shared" si="470"/>
        <v>0</v>
      </c>
      <c r="AO60" s="60">
        <f t="shared" si="470"/>
        <v>0</v>
      </c>
      <c r="AP60" s="60">
        <f t="shared" si="470"/>
        <v>0</v>
      </c>
      <c r="AQ60" s="60">
        <f t="shared" si="470"/>
        <v>0</v>
      </c>
      <c r="AR60" s="60">
        <f t="shared" si="470"/>
        <v>0</v>
      </c>
      <c r="AS60" s="60">
        <f t="shared" si="470"/>
        <v>0</v>
      </c>
      <c r="AT60" s="60">
        <f t="shared" ref="AT60" si="471">IFERROR(AT12/$C60,0)</f>
        <v>0</v>
      </c>
      <c r="AU60" s="118" t="str">
        <f t="shared" si="406"/>
        <v>.</v>
      </c>
      <c r="AV60" s="118" t="str">
        <f t="shared" si="407"/>
        <v>.</v>
      </c>
      <c r="AW60" s="118">
        <f t="shared" si="408"/>
        <v>2.2449072722856167E-14</v>
      </c>
      <c r="AX60" s="118" t="str">
        <f t="shared" si="409"/>
        <v>.</v>
      </c>
      <c r="AY60" s="118" t="str">
        <f t="shared" si="410"/>
        <v>.</v>
      </c>
      <c r="AZ60" s="118" t="str">
        <f t="shared" si="411"/>
        <v>.</v>
      </c>
      <c r="BA60" s="118" t="str">
        <f t="shared" si="412"/>
        <v>.</v>
      </c>
      <c r="BB60" s="118" t="str">
        <f t="shared" si="413"/>
        <v>.</v>
      </c>
      <c r="BC60" s="118" t="str">
        <f t="shared" si="414"/>
        <v>.</v>
      </c>
      <c r="BD60" s="118" t="str">
        <f t="shared" si="415"/>
        <v>.</v>
      </c>
      <c r="BE60" s="118" t="str">
        <f t="shared" si="282"/>
        <v>.</v>
      </c>
      <c r="BF60" s="60">
        <f t="shared" si="22"/>
        <v>44545269746570.242</v>
      </c>
      <c r="BG60" s="60">
        <f>IFERROR(BG12/$C60,0)</f>
        <v>0</v>
      </c>
      <c r="BH60" s="60">
        <f>IFERROR(BH12/$C60,0)</f>
        <v>2765136701.5600767</v>
      </c>
      <c r="BI60" s="60">
        <f t="shared" si="416"/>
        <v>2765136701.5600767</v>
      </c>
    </row>
    <row r="61" spans="1:61" x14ac:dyDescent="0.25">
      <c r="A61" s="3">
        <v>60</v>
      </c>
      <c r="B61" s="83" t="s">
        <v>1096</v>
      </c>
      <c r="C61" s="42">
        <v>1</v>
      </c>
      <c r="D61" s="249"/>
      <c r="E61" s="60">
        <f t="shared" ref="E61:V61" si="472">IFERROR(E18/$C61,0)</f>
        <v>2.2399968264155046E-5</v>
      </c>
      <c r="F61" s="60">
        <f t="shared" si="472"/>
        <v>2.0255943697052077E-4</v>
      </c>
      <c r="G61" s="60">
        <f t="shared" si="472"/>
        <v>3.6659580303806692E-4</v>
      </c>
      <c r="H61" s="60">
        <f t="shared" si="472"/>
        <v>1.3248161775656313E-4</v>
      </c>
      <c r="I61" s="60">
        <f t="shared" si="472"/>
        <v>2.2809362111948572E-5</v>
      </c>
      <c r="J61" s="60">
        <f t="shared" si="472"/>
        <v>2.3786845074626984E-4</v>
      </c>
      <c r="K61" s="60">
        <f t="shared" si="472"/>
        <v>2.2982338206845249E-4</v>
      </c>
      <c r="L61" s="60">
        <f t="shared" ref="L61" si="473">IFERROR(L18/$C61,0)</f>
        <v>1.7536810737276857E-4</v>
      </c>
      <c r="M61" s="60">
        <f t="shared" si="472"/>
        <v>0.1896833142227394</v>
      </c>
      <c r="N61" s="60">
        <f t="shared" si="472"/>
        <v>361.86115974435853</v>
      </c>
      <c r="O61" s="60">
        <f t="shared" si="472"/>
        <v>858.50104138686095</v>
      </c>
      <c r="P61" s="60">
        <f t="shared" si="472"/>
        <v>9.8122858857131959E-3</v>
      </c>
      <c r="Q61" s="60">
        <f t="shared" si="472"/>
        <v>1.1713213996588467E-3</v>
      </c>
      <c r="R61" s="60">
        <f t="shared" si="472"/>
        <v>1.6411966926999362E-3</v>
      </c>
      <c r="S61" s="60">
        <f t="shared" si="472"/>
        <v>1.2815955604975124E-2</v>
      </c>
      <c r="T61" s="60">
        <f t="shared" si="472"/>
        <v>2.0412818005073326E-2</v>
      </c>
      <c r="U61" s="60">
        <f t="shared" si="472"/>
        <v>0</v>
      </c>
      <c r="V61" s="60">
        <f t="shared" si="472"/>
        <v>1.3406363953993063E-3</v>
      </c>
      <c r="W61" s="60">
        <f t="shared" ref="W61" si="474">IFERROR(W18/$C61,0)</f>
        <v>0</v>
      </c>
      <c r="X61" s="118">
        <f t="shared" si="393"/>
        <v>5.2719450000000005</v>
      </c>
      <c r="Y61" s="118">
        <f t="shared" si="394"/>
        <v>2.7634908391562744E-3</v>
      </c>
      <c r="Z61" s="118">
        <f t="shared" si="395"/>
        <v>1.1648209516258189E-3</v>
      </c>
      <c r="AA61" s="118">
        <f t="shared" si="396"/>
        <v>101.91305182577403</v>
      </c>
      <c r="AB61" s="118">
        <f t="shared" si="397"/>
        <v>853.73664332544001</v>
      </c>
      <c r="AC61" s="118">
        <f t="shared" si="398"/>
        <v>609.31148865216016</v>
      </c>
      <c r="AD61" s="118">
        <f t="shared" si="399"/>
        <v>78.027735958433126</v>
      </c>
      <c r="AE61" s="118">
        <f t="shared" si="400"/>
        <v>48.988826518291773</v>
      </c>
      <c r="AF61" s="118" t="str">
        <f t="shared" si="401"/>
        <v>.</v>
      </c>
      <c r="AG61" s="118">
        <f t="shared" si="402"/>
        <v>745.9144055999999</v>
      </c>
      <c r="AH61" s="118" t="str">
        <f t="shared" si="269"/>
        <v>.</v>
      </c>
      <c r="AI61" s="60">
        <f t="shared" si="403"/>
        <v>4.0930463631188798E-4</v>
      </c>
      <c r="AJ61" s="60">
        <f t="shared" ref="AJ61:AS61" si="475">IFERROR(AJ18/$C61,0)</f>
        <v>1.7938800275999204E-2</v>
      </c>
      <c r="AK61" s="60" t="str">
        <f>IFERROR(AK18,".")</f>
        <v>.</v>
      </c>
      <c r="AL61" s="60">
        <f t="shared" si="475"/>
        <v>10075715776.009937</v>
      </c>
      <c r="AM61" s="60">
        <f t="shared" si="475"/>
        <v>6.0149291467434885E-3</v>
      </c>
      <c r="AN61" s="60">
        <f t="shared" si="475"/>
        <v>0.21099941351095913</v>
      </c>
      <c r="AO61" s="60">
        <f t="shared" si="475"/>
        <v>0.29564177664360231</v>
      </c>
      <c r="AP61" s="60">
        <f t="shared" si="475"/>
        <v>0.83321772173939068</v>
      </c>
      <c r="AQ61" s="60">
        <f t="shared" si="475"/>
        <v>1.2160270691152706</v>
      </c>
      <c r="AR61" s="60">
        <f t="shared" si="475"/>
        <v>0</v>
      </c>
      <c r="AS61" s="60">
        <f t="shared" si="475"/>
        <v>6.3839828352347909E-3</v>
      </c>
      <c r="AT61" s="60">
        <f t="shared" ref="AT61" si="476">IFERROR(AT18/$C61,0)</f>
        <v>0</v>
      </c>
      <c r="AU61" s="118">
        <f t="shared" si="406"/>
        <v>55.745088000000003</v>
      </c>
      <c r="AV61" s="118" t="str">
        <f t="shared" si="407"/>
        <v>.</v>
      </c>
      <c r="AW61" s="118">
        <f t="shared" si="408"/>
        <v>9.9248532037890403E-11</v>
      </c>
      <c r="AX61" s="118">
        <f t="shared" si="409"/>
        <v>166.25299743412685</v>
      </c>
      <c r="AY61" s="118">
        <f t="shared" si="410"/>
        <v>4.7393496662400008</v>
      </c>
      <c r="AZ61" s="118">
        <f t="shared" si="411"/>
        <v>3.3824718933600009</v>
      </c>
      <c r="BA61" s="118">
        <f t="shared" si="412"/>
        <v>1.2001665037950004</v>
      </c>
      <c r="BB61" s="118">
        <f t="shared" si="413"/>
        <v>0.82235011489304866</v>
      </c>
      <c r="BC61" s="118" t="str">
        <f t="shared" si="414"/>
        <v>.</v>
      </c>
      <c r="BD61" s="118">
        <f t="shared" si="415"/>
        <v>156.642025176</v>
      </c>
      <c r="BE61" s="118" t="str">
        <f t="shared" si="282"/>
        <v>.</v>
      </c>
      <c r="BF61" s="60">
        <f t="shared" si="22"/>
        <v>2.5721193404625265E-3</v>
      </c>
      <c r="BG61" s="60">
        <f>IFERROR(BG18/$C61,0)</f>
        <v>2.6620269311940573E-4</v>
      </c>
      <c r="BH61" s="60">
        <f>IFERROR(BH18/$C61,0)</f>
        <v>623700.52695803414</v>
      </c>
      <c r="BI61" s="60">
        <f t="shared" si="416"/>
        <v>2.662026930057873E-4</v>
      </c>
    </row>
    <row r="62" spans="1:61" x14ac:dyDescent="0.25">
      <c r="A62" s="3">
        <v>61</v>
      </c>
      <c r="B62" s="83" t="s">
        <v>1097</v>
      </c>
      <c r="C62" s="42">
        <v>1.339E-6</v>
      </c>
      <c r="D62" s="249"/>
      <c r="E62" s="60">
        <f t="shared" ref="E62:V62" si="477">IFERROR(E27/$C62,0)</f>
        <v>0</v>
      </c>
      <c r="F62" s="60">
        <f t="shared" si="477"/>
        <v>0</v>
      </c>
      <c r="G62" s="60">
        <f t="shared" si="477"/>
        <v>0</v>
      </c>
      <c r="H62" s="60">
        <f t="shared" si="477"/>
        <v>0</v>
      </c>
      <c r="I62" s="60">
        <f t="shared" si="477"/>
        <v>0</v>
      </c>
      <c r="J62" s="60">
        <f t="shared" si="477"/>
        <v>0</v>
      </c>
      <c r="K62" s="60">
        <f t="shared" si="477"/>
        <v>0</v>
      </c>
      <c r="L62" s="60">
        <f t="shared" ref="L62" si="478">IFERROR(L27/$C62,0)</f>
        <v>0</v>
      </c>
      <c r="M62" s="60">
        <f t="shared" si="477"/>
        <v>0</v>
      </c>
      <c r="N62" s="60">
        <f t="shared" si="477"/>
        <v>0</v>
      </c>
      <c r="O62" s="60">
        <f t="shared" si="477"/>
        <v>4732012.3029989898</v>
      </c>
      <c r="P62" s="60">
        <f t="shared" si="477"/>
        <v>0</v>
      </c>
      <c r="Q62" s="60">
        <f t="shared" si="477"/>
        <v>0</v>
      </c>
      <c r="R62" s="60">
        <f t="shared" si="477"/>
        <v>0</v>
      </c>
      <c r="S62" s="60">
        <f t="shared" si="477"/>
        <v>0</v>
      </c>
      <c r="T62" s="60">
        <f t="shared" si="477"/>
        <v>0</v>
      </c>
      <c r="U62" s="60">
        <f t="shared" si="477"/>
        <v>0</v>
      </c>
      <c r="V62" s="60">
        <f t="shared" si="477"/>
        <v>0</v>
      </c>
      <c r="W62" s="60">
        <f t="shared" ref="W62" si="479">IFERROR(W27/$C62,0)</f>
        <v>0</v>
      </c>
      <c r="X62" s="118" t="str">
        <f t="shared" si="393"/>
        <v>.</v>
      </c>
      <c r="Y62" s="118" t="str">
        <f t="shared" si="394"/>
        <v>.</v>
      </c>
      <c r="Z62" s="118">
        <f t="shared" si="395"/>
        <v>2.1132658496391349E-7</v>
      </c>
      <c r="AA62" s="118" t="str">
        <f t="shared" si="396"/>
        <v>.</v>
      </c>
      <c r="AB62" s="118" t="str">
        <f t="shared" si="397"/>
        <v>.</v>
      </c>
      <c r="AC62" s="118" t="str">
        <f t="shared" si="398"/>
        <v>.</v>
      </c>
      <c r="AD62" s="118" t="str">
        <f t="shared" si="399"/>
        <v>.</v>
      </c>
      <c r="AE62" s="118" t="str">
        <f t="shared" si="400"/>
        <v>.</v>
      </c>
      <c r="AF62" s="118" t="str">
        <f t="shared" si="401"/>
        <v>.</v>
      </c>
      <c r="AG62" s="118" t="str">
        <f t="shared" si="402"/>
        <v>.</v>
      </c>
      <c r="AH62" s="118" t="str">
        <f t="shared" si="269"/>
        <v>.</v>
      </c>
      <c r="AI62" s="60">
        <f t="shared" si="403"/>
        <v>4732012.3029989898</v>
      </c>
      <c r="AJ62" s="60">
        <f t="shared" ref="AJ62:AS62" si="480">IFERROR(AJ27/$C62,0)</f>
        <v>0</v>
      </c>
      <c r="AK62" s="60" t="str">
        <f>IFERROR(AK27,".")</f>
        <v>.</v>
      </c>
      <c r="AL62" s="60">
        <f t="shared" si="480"/>
        <v>46402972829520.492</v>
      </c>
      <c r="AM62" s="60">
        <f t="shared" si="480"/>
        <v>0</v>
      </c>
      <c r="AN62" s="60">
        <f t="shared" si="480"/>
        <v>0</v>
      </c>
      <c r="AO62" s="60">
        <f t="shared" si="480"/>
        <v>0</v>
      </c>
      <c r="AP62" s="60">
        <f t="shared" si="480"/>
        <v>0</v>
      </c>
      <c r="AQ62" s="60">
        <f t="shared" si="480"/>
        <v>0</v>
      </c>
      <c r="AR62" s="60">
        <f t="shared" si="480"/>
        <v>0</v>
      </c>
      <c r="AS62" s="60">
        <f t="shared" si="480"/>
        <v>0</v>
      </c>
      <c r="AT62" s="60">
        <f t="shared" ref="AT62" si="481">IFERROR(AT27/$C62,0)</f>
        <v>0</v>
      </c>
      <c r="AU62" s="118" t="str">
        <f t="shared" si="406"/>
        <v>.</v>
      </c>
      <c r="AV62" s="118" t="str">
        <f t="shared" si="407"/>
        <v>.</v>
      </c>
      <c r="AW62" s="118">
        <f t="shared" si="408"/>
        <v>2.1550343416011123E-14</v>
      </c>
      <c r="AX62" s="118" t="str">
        <f t="shared" si="409"/>
        <v>.</v>
      </c>
      <c r="AY62" s="118" t="str">
        <f t="shared" si="410"/>
        <v>.</v>
      </c>
      <c r="AZ62" s="118" t="str">
        <f t="shared" si="411"/>
        <v>.</v>
      </c>
      <c r="BA62" s="118" t="str">
        <f t="shared" si="412"/>
        <v>.</v>
      </c>
      <c r="BB62" s="118" t="str">
        <f t="shared" si="413"/>
        <v>.</v>
      </c>
      <c r="BC62" s="118" t="str">
        <f t="shared" si="414"/>
        <v>.</v>
      </c>
      <c r="BD62" s="118" t="str">
        <f t="shared" si="415"/>
        <v>.</v>
      </c>
      <c r="BE62" s="118" t="str">
        <f t="shared" si="282"/>
        <v>.</v>
      </c>
      <c r="BF62" s="60">
        <f t="shared" si="22"/>
        <v>46402972829520.492</v>
      </c>
      <c r="BG62" s="60">
        <f>IFERROR(BG27/$C62,0)</f>
        <v>0</v>
      </c>
      <c r="BH62" s="60">
        <f>IFERROR(BH27/$C62,0)</f>
        <v>2071489232.7265284</v>
      </c>
      <c r="BI62" s="60">
        <f t="shared" si="416"/>
        <v>2071489232.7265282</v>
      </c>
    </row>
    <row r="63" spans="1:61" x14ac:dyDescent="0.25">
      <c r="A63" s="3">
        <v>62</v>
      </c>
      <c r="B63" s="82" t="s">
        <v>35</v>
      </c>
      <c r="C63" s="57" t="s">
        <v>1255</v>
      </c>
      <c r="D63" s="57"/>
      <c r="E63" s="58">
        <f>1/SUM(1/E66,1/E68,1/E72,1/E73,1/E75)</f>
        <v>1.4656976838636682E-5</v>
      </c>
      <c r="F63" s="58">
        <f t="shared" ref="F63:N63" si="482">1/SUM(1/F66,1/F68,1/F72,1/F73,1/F75)</f>
        <v>1.3254076707220732E-4</v>
      </c>
      <c r="G63" s="58">
        <f t="shared" si="482"/>
        <v>2.3987472352220523E-4</v>
      </c>
      <c r="H63" s="58">
        <f t="shared" si="482"/>
        <v>8.6686730092843295E-5</v>
      </c>
      <c r="I63" s="58">
        <f t="shared" si="482"/>
        <v>1.4924855617491569E-5</v>
      </c>
      <c r="J63" s="58">
        <f t="shared" si="482"/>
        <v>1.5564452289021938E-4</v>
      </c>
      <c r="K63" s="58">
        <f t="shared" si="482"/>
        <v>1.5038039108943003E-4</v>
      </c>
      <c r="L63" s="58">
        <f t="shared" ref="L63" si="483">1/SUM(1/L66,1/L68,1/L72,1/L73,1/L75)</f>
        <v>1.1474865757338505E-4</v>
      </c>
      <c r="M63" s="58">
        <f t="shared" si="482"/>
        <v>0.12381481693205311</v>
      </c>
      <c r="N63" s="58">
        <f t="shared" si="482"/>
        <v>169.45966293087409</v>
      </c>
      <c r="O63" s="58">
        <f>1/SUM(1/O64,1/O65,1/O66,1/O67,1/O68,1/O69,1/O70,1/O71,1/O72,1/O73,1/O74,1/O75,1/O76)</f>
        <v>4.6355463896938023E-3</v>
      </c>
      <c r="P63" s="58">
        <f t="shared" ref="P63:V63" si="484">1/SUM(1/P66,1/P68,1/P72,1/P73,1/P75)</f>
        <v>1.8849706149291967E-3</v>
      </c>
      <c r="Q63" s="58">
        <f>1/SUM(1/Q75)</f>
        <v>1.1713213996588467E-3</v>
      </c>
      <c r="R63" s="58">
        <f>1/SUM(1/R75)</f>
        <v>1.6411966926999362E-3</v>
      </c>
      <c r="S63" s="58">
        <f t="shared" si="484"/>
        <v>1.1264973442874077E-2</v>
      </c>
      <c r="T63" s="58">
        <f t="shared" si="484"/>
        <v>1.2965866520962632E-2</v>
      </c>
      <c r="U63" s="58" t="str">
        <f>IFERROR(1/SUM(1/U64,1/U65,1/U66,1/U67,1/U68,1/U69,1/U70,1/U71,1/U72,1/U73,1/U74,1/U75,1/U76,1/U77),".")</f>
        <v>.</v>
      </c>
      <c r="V63" s="58">
        <f t="shared" si="484"/>
        <v>8.8845822394401921E-4</v>
      </c>
      <c r="W63" s="58">
        <f>1/SUM(1/W66,1/W72)</f>
        <v>2.2889195628438435E-3</v>
      </c>
      <c r="X63" s="176"/>
      <c r="Y63" s="176"/>
      <c r="Z63" s="176"/>
      <c r="AA63" s="176"/>
      <c r="AB63" s="176"/>
      <c r="AC63" s="176"/>
      <c r="AD63" s="176"/>
      <c r="AE63" s="176"/>
      <c r="AF63" s="176"/>
      <c r="AG63" s="176"/>
      <c r="AH63" s="118"/>
      <c r="AI63" s="59">
        <f>1/SUM(1/AI64,1/AI65,1/AI66,1/AI67,1/AI68,1/AI69,1/AI70,1/AI71,1/AI72,1/AI73,1/AI74,1/AI75,1/AI76)</f>
        <v>2.5344070108971971E-4</v>
      </c>
      <c r="AJ63" s="58">
        <f>1/SUM(1/AJ66,1/AJ68,1/AJ72,1/AJ73,1/AJ75)</f>
        <v>1.1933427603999569E-2</v>
      </c>
      <c r="AK63" s="58">
        <f>1/SUM(1/AK64,1/AK65,1/AK66,1/AK68)</f>
        <v>5.719163012774113E-2</v>
      </c>
      <c r="AL63" s="58">
        <f>1/SUM(1/AL64,1/AL65,1/AL66,1/AL67,1/AL68,1/AL69,1/AL70,1/AL71,1/AL72,1/AL73,1/AL74,1/AL75,1/AL76)</f>
        <v>54622.25662854909</v>
      </c>
      <c r="AM63" s="58">
        <f>1/SUM(1/AM66,1/AM68,1/AM72,1/AM73,1/AM75)</f>
        <v>3.7403564055054801E-3</v>
      </c>
      <c r="AN63" s="58">
        <f>1/SUM(1/AN75)</f>
        <v>0.21099941351095911</v>
      </c>
      <c r="AO63" s="58">
        <f>1/SUM(1/AO75)</f>
        <v>0.29564177664360231</v>
      </c>
      <c r="AP63" s="58">
        <f t="shared" ref="AP63:AQ63" si="485">1/SUM(1/AP66,1/AP68,1/AP72,1/AP73,1/AP75)</f>
        <v>0.74009782665582702</v>
      </c>
      <c r="AQ63" s="58">
        <f t="shared" si="485"/>
        <v>0.81029786396160319</v>
      </c>
      <c r="AR63" s="58" t="str">
        <f>IFERROR(1/SUM(1/AR64,1/AR65,1/AR66,1/AR67,1/AR68,1/AR69,1/AR70,1/AR71,1/AR72,1/AR73,1/AR74,1/AR75,1/AR76),".")</f>
        <v>.</v>
      </c>
      <c r="AS63" s="58">
        <f>1/SUM(1/AS66,1/AS68,1/AS72,1/AS73,1/AS75)</f>
        <v>4.6761464362544067E-3</v>
      </c>
      <c r="AT63" s="58">
        <f>1/SUM(1/AT66,1/AT72)</f>
        <v>1.5259463752292292E-2</v>
      </c>
      <c r="AU63" s="176"/>
      <c r="AV63" s="176"/>
      <c r="AW63" s="176"/>
      <c r="AX63" s="176"/>
      <c r="AY63" s="176"/>
      <c r="AZ63" s="176"/>
      <c r="BA63" s="176"/>
      <c r="BB63" s="176"/>
      <c r="BC63" s="176"/>
      <c r="BD63" s="176"/>
      <c r="BE63" s="118"/>
      <c r="BF63" s="59">
        <f>1/SUM(1/BF64,1/BF65,1/BF66,1/BF67,1/BF68,1/BF69,1/BF70,1/BF71,1/BF72,1/BF73,1/BF74,1/BF75,1/BF76)</f>
        <v>1.5180748940449174E-3</v>
      </c>
      <c r="BG63" s="58">
        <f>1/SUM(1/BG64,1/BG65,1/BG66,1/BG68,1/BG72,1/BG73,1/BG75)</f>
        <v>1.2459768976002755E-4</v>
      </c>
      <c r="BH63" s="58">
        <f t="shared" ref="BH63:BI63" si="486">1/SUM(1/BH64,1/BH65,1/BH66,1/BH67,1/BH68,1/BH69,1/BH70,1/BH71,1/BH72,1/BH73,1/BH74,1/BH75,1/BH76)</f>
        <v>3.3755936723533257</v>
      </c>
      <c r="BI63" s="59">
        <f t="shared" si="486"/>
        <v>1.2459309086194079E-4</v>
      </c>
    </row>
    <row r="64" spans="1:61" x14ac:dyDescent="0.25">
      <c r="A64" s="3">
        <v>63</v>
      </c>
      <c r="B64" s="83" t="s">
        <v>1087</v>
      </c>
      <c r="C64" s="42">
        <v>1</v>
      </c>
      <c r="D64" s="178"/>
      <c r="E64" s="60">
        <f t="shared" ref="E64:V64" si="487">IFERROR(E25/$C50,0)</f>
        <v>0</v>
      </c>
      <c r="F64" s="60">
        <f t="shared" si="487"/>
        <v>0</v>
      </c>
      <c r="G64" s="60">
        <f t="shared" si="487"/>
        <v>0</v>
      </c>
      <c r="H64" s="60">
        <f t="shared" si="487"/>
        <v>0</v>
      </c>
      <c r="I64" s="60">
        <f t="shared" si="487"/>
        <v>0</v>
      </c>
      <c r="J64" s="60">
        <f t="shared" si="487"/>
        <v>0</v>
      </c>
      <c r="K64" s="60">
        <f t="shared" si="487"/>
        <v>0</v>
      </c>
      <c r="L64" s="60">
        <f t="shared" ref="L64" si="488">IFERROR(L25/$C50,0)</f>
        <v>0</v>
      </c>
      <c r="M64" s="60">
        <f t="shared" si="487"/>
        <v>0</v>
      </c>
      <c r="N64" s="60">
        <f t="shared" si="487"/>
        <v>2301944.8512860425</v>
      </c>
      <c r="O64" s="60">
        <f t="shared" si="487"/>
        <v>22.853889791401954</v>
      </c>
      <c r="P64" s="60">
        <f t="shared" si="487"/>
        <v>0</v>
      </c>
      <c r="Q64" s="60">
        <f t="shared" si="487"/>
        <v>0</v>
      </c>
      <c r="R64" s="60">
        <f t="shared" si="487"/>
        <v>0</v>
      </c>
      <c r="S64" s="60">
        <f t="shared" si="487"/>
        <v>0</v>
      </c>
      <c r="T64" s="60">
        <f t="shared" si="487"/>
        <v>0</v>
      </c>
      <c r="U64" s="60">
        <f t="shared" si="487"/>
        <v>0</v>
      </c>
      <c r="V64" s="60">
        <f t="shared" si="487"/>
        <v>0</v>
      </c>
      <c r="W64" s="60">
        <f t="shared" ref="W64" si="489">IFERROR(W25/$C50,0)</f>
        <v>0</v>
      </c>
      <c r="X64" s="118" t="str">
        <f t="shared" ref="X64:X76" si="490">IFERROR(1/M64,".")</f>
        <v>.</v>
      </c>
      <c r="Y64" s="118">
        <f t="shared" ref="Y64:Y76" si="491">IFERROR(1/N64,".")</f>
        <v>4.3441527256455492E-7</v>
      </c>
      <c r="Z64" s="118">
        <f t="shared" ref="Z64:Z76" si="492">IFERROR(1/O64,".")</f>
        <v>4.3756227457446568E-2</v>
      </c>
      <c r="AA64" s="118" t="str">
        <f t="shared" ref="AA64:AA76" si="493">IFERROR(1/P64,".")</f>
        <v>.</v>
      </c>
      <c r="AB64" s="118" t="str">
        <f t="shared" ref="AB64:AB76" si="494">IFERROR(1/Q64,".")</f>
        <v>.</v>
      </c>
      <c r="AC64" s="118" t="str">
        <f t="shared" ref="AC64:AC76" si="495">IFERROR(1/R64,".")</f>
        <v>.</v>
      </c>
      <c r="AD64" s="118" t="str">
        <f t="shared" ref="AD64:AD76" si="496">IFERROR(1/S64,".")</f>
        <v>.</v>
      </c>
      <c r="AE64" s="118" t="str">
        <f t="shared" ref="AE64:AE76" si="497">IFERROR(1/T64,".")</f>
        <v>.</v>
      </c>
      <c r="AF64" s="118" t="str">
        <f t="shared" ref="AF64:AF76" si="498">IFERROR(1/U64,".")</f>
        <v>.</v>
      </c>
      <c r="AG64" s="118" t="str">
        <f t="shared" ref="AG64:AG76" si="499">IFERROR(1/V64,".")</f>
        <v>.</v>
      </c>
      <c r="AH64" s="118" t="str">
        <f t="shared" si="269"/>
        <v>.</v>
      </c>
      <c r="AI64" s="60">
        <f t="shared" ref="AI64:AI76" si="500">IFERROR(1/(SUMIF(X64:AH64,"&lt;&gt;0")),".")</f>
        <v>22.853662898436678</v>
      </c>
      <c r="AJ64" s="60">
        <f t="shared" ref="AJ64:AS64" si="501">IFERROR(AJ25/$C50,0)</f>
        <v>0</v>
      </c>
      <c r="AK64" s="60">
        <f>IFERROR(AK25,".")</f>
        <v>3.3868454921086499</v>
      </c>
      <c r="AL64" s="60">
        <f t="shared" si="501"/>
        <v>260094058.40397739</v>
      </c>
      <c r="AM64" s="60">
        <f t="shared" si="501"/>
        <v>0</v>
      </c>
      <c r="AN64" s="60">
        <f t="shared" si="501"/>
        <v>0</v>
      </c>
      <c r="AO64" s="60">
        <f t="shared" si="501"/>
        <v>0</v>
      </c>
      <c r="AP64" s="60">
        <f t="shared" si="501"/>
        <v>0</v>
      </c>
      <c r="AQ64" s="60">
        <f t="shared" si="501"/>
        <v>0</v>
      </c>
      <c r="AR64" s="60">
        <f t="shared" si="501"/>
        <v>0</v>
      </c>
      <c r="AS64" s="60">
        <f t="shared" si="501"/>
        <v>0</v>
      </c>
      <c r="AT64" s="60">
        <f t="shared" ref="AT64" si="502">IFERROR(AT25/$C50,0)</f>
        <v>0</v>
      </c>
      <c r="AU64" s="118" t="str">
        <f t="shared" ref="AU64:AU76" si="503">IFERROR(1/AJ64,".")</f>
        <v>.</v>
      </c>
      <c r="AV64" s="118">
        <f t="shared" ref="AV64:AV76" si="504">IFERROR(1/AK64,".")</f>
        <v>0.29526000000000002</v>
      </c>
      <c r="AW64" s="118">
        <f t="shared" ref="AW64:AW76" si="505">IFERROR(1/AL64,".")</f>
        <v>3.8447629528191783E-9</v>
      </c>
      <c r="AX64" s="118" t="str">
        <f t="shared" ref="AX64:AX76" si="506">IFERROR(1/AM64,".")</f>
        <v>.</v>
      </c>
      <c r="AY64" s="118" t="str">
        <f t="shared" ref="AY64:AY76" si="507">IFERROR(1/AN64,".")</f>
        <v>.</v>
      </c>
      <c r="AZ64" s="118" t="str">
        <f t="shared" ref="AZ64:AZ76" si="508">IFERROR(1/AO64,".")</f>
        <v>.</v>
      </c>
      <c r="BA64" s="118" t="str">
        <f t="shared" ref="BA64:BA76" si="509">IFERROR(1/AP64,".")</f>
        <v>.</v>
      </c>
      <c r="BB64" s="118" t="str">
        <f t="shared" ref="BB64:BB76" si="510">IFERROR(1/AQ64,".")</f>
        <v>.</v>
      </c>
      <c r="BC64" s="118" t="str">
        <f t="shared" ref="BC64:BC76" si="511">IFERROR(1/AR64,".")</f>
        <v>.</v>
      </c>
      <c r="BD64" s="118" t="str">
        <f t="shared" ref="BD64:BD76" si="512">IFERROR(1/AS64,".")</f>
        <v>.</v>
      </c>
      <c r="BE64" s="118" t="str">
        <f t="shared" si="282"/>
        <v>.</v>
      </c>
      <c r="BF64" s="60">
        <f t="shared" si="22"/>
        <v>3.3868454480064418</v>
      </c>
      <c r="BG64" s="60">
        <f>IFERROR(BG25/$C50,0)</f>
        <v>1.693422746054325</v>
      </c>
      <c r="BH64" s="60">
        <f>IFERROR(BH25/$C50,0)</f>
        <v>16063.653859782458</v>
      </c>
      <c r="BI64" s="60">
        <f t="shared" ref="BI64:BI76" si="513">IFERROR(IF(AND(BG64&lt;&gt;0,BH64&lt;&gt;0),1/((1/BG64)+(1/BH64)),IF(AND(BG64&lt;&gt;0,BH64=0),1/((1/BG64)),IF(AND(BG64=0,BH64&lt;&gt;0),1/((1/BH64)),IF(AND(BG64=0,BH64=0),0)))),0)</f>
        <v>1.6932442450517369</v>
      </c>
    </row>
    <row r="65" spans="1:61" x14ac:dyDescent="0.25">
      <c r="A65" s="3">
        <v>64</v>
      </c>
      <c r="B65" s="83" t="s">
        <v>1073</v>
      </c>
      <c r="C65" s="42">
        <v>1</v>
      </c>
      <c r="D65" s="178"/>
      <c r="E65" s="60">
        <f t="shared" ref="E65:V65" si="514">IFERROR(E21/$C51,0)</f>
        <v>0</v>
      </c>
      <c r="F65" s="60">
        <f t="shared" si="514"/>
        <v>0</v>
      </c>
      <c r="G65" s="60">
        <f t="shared" si="514"/>
        <v>0</v>
      </c>
      <c r="H65" s="60">
        <f t="shared" si="514"/>
        <v>0</v>
      </c>
      <c r="I65" s="60">
        <f t="shared" si="514"/>
        <v>0</v>
      </c>
      <c r="J65" s="60">
        <f t="shared" si="514"/>
        <v>0</v>
      </c>
      <c r="K65" s="60">
        <f t="shared" si="514"/>
        <v>0</v>
      </c>
      <c r="L65" s="60">
        <f t="shared" ref="L65" si="515">IFERROR(L21/$C51,0)</f>
        <v>0</v>
      </c>
      <c r="M65" s="60">
        <f t="shared" si="514"/>
        <v>0</v>
      </c>
      <c r="N65" s="60">
        <f t="shared" si="514"/>
        <v>377585.19862821413</v>
      </c>
      <c r="O65" s="60">
        <f t="shared" si="514"/>
        <v>6283303.0332826758</v>
      </c>
      <c r="P65" s="60">
        <f t="shared" si="514"/>
        <v>0</v>
      </c>
      <c r="Q65" s="60">
        <f t="shared" si="514"/>
        <v>0</v>
      </c>
      <c r="R65" s="60">
        <f t="shared" si="514"/>
        <v>0</v>
      </c>
      <c r="S65" s="60">
        <f t="shared" si="514"/>
        <v>0</v>
      </c>
      <c r="T65" s="60">
        <f t="shared" si="514"/>
        <v>0</v>
      </c>
      <c r="U65" s="60">
        <f t="shared" si="514"/>
        <v>0</v>
      </c>
      <c r="V65" s="60">
        <f t="shared" si="514"/>
        <v>0</v>
      </c>
      <c r="W65" s="60">
        <f t="shared" ref="W65" si="516">IFERROR(W21/$C51,0)</f>
        <v>0</v>
      </c>
      <c r="X65" s="118" t="str">
        <f t="shared" si="490"/>
        <v>.</v>
      </c>
      <c r="Y65" s="118">
        <f t="shared" si="491"/>
        <v>2.6484088985295237E-6</v>
      </c>
      <c r="Z65" s="118">
        <f t="shared" si="492"/>
        <v>1.5915196111074015E-7</v>
      </c>
      <c r="AA65" s="118" t="str">
        <f t="shared" si="493"/>
        <v>.</v>
      </c>
      <c r="AB65" s="118" t="str">
        <f t="shared" si="494"/>
        <v>.</v>
      </c>
      <c r="AC65" s="118" t="str">
        <f t="shared" si="495"/>
        <v>.</v>
      </c>
      <c r="AD65" s="118" t="str">
        <f t="shared" si="496"/>
        <v>.</v>
      </c>
      <c r="AE65" s="118" t="str">
        <f t="shared" si="497"/>
        <v>.</v>
      </c>
      <c r="AF65" s="118" t="str">
        <f t="shared" si="498"/>
        <v>.</v>
      </c>
      <c r="AG65" s="118" t="str">
        <f t="shared" si="499"/>
        <v>.</v>
      </c>
      <c r="AH65" s="118" t="str">
        <f t="shared" si="269"/>
        <v>.</v>
      </c>
      <c r="AI65" s="60">
        <f t="shared" si="500"/>
        <v>356181.05893103639</v>
      </c>
      <c r="AJ65" s="60">
        <f t="shared" ref="AJ65:AS65" si="517">IFERROR(AJ21/$C51,0)</f>
        <v>0</v>
      </c>
      <c r="AK65" s="60">
        <f>IFERROR(AK21,".")</f>
        <v>0.56299384143961861</v>
      </c>
      <c r="AL65" s="60">
        <f t="shared" si="517"/>
        <v>18080441473348.086</v>
      </c>
      <c r="AM65" s="60">
        <f t="shared" si="517"/>
        <v>0</v>
      </c>
      <c r="AN65" s="60">
        <f t="shared" si="517"/>
        <v>0</v>
      </c>
      <c r="AO65" s="60">
        <f t="shared" si="517"/>
        <v>0</v>
      </c>
      <c r="AP65" s="60">
        <f t="shared" si="517"/>
        <v>0</v>
      </c>
      <c r="AQ65" s="60">
        <f t="shared" si="517"/>
        <v>0</v>
      </c>
      <c r="AR65" s="60">
        <f t="shared" si="517"/>
        <v>0</v>
      </c>
      <c r="AS65" s="60">
        <f t="shared" si="517"/>
        <v>0</v>
      </c>
      <c r="AT65" s="60">
        <f t="shared" ref="AT65" si="518">IFERROR(AT21/$C51,0)</f>
        <v>0</v>
      </c>
      <c r="AU65" s="118" t="str">
        <f t="shared" si="503"/>
        <v>.</v>
      </c>
      <c r="AV65" s="118">
        <f t="shared" si="504"/>
        <v>1.7762183640284999</v>
      </c>
      <c r="AW65" s="118">
        <f t="shared" si="505"/>
        <v>5.5308384005671229E-14</v>
      </c>
      <c r="AX65" s="118" t="str">
        <f t="shared" si="506"/>
        <v>.</v>
      </c>
      <c r="AY65" s="118" t="str">
        <f t="shared" si="507"/>
        <v>.</v>
      </c>
      <c r="AZ65" s="118" t="str">
        <f t="shared" si="508"/>
        <v>.</v>
      </c>
      <c r="BA65" s="118" t="str">
        <f t="shared" si="509"/>
        <v>.</v>
      </c>
      <c r="BB65" s="118" t="str">
        <f t="shared" si="510"/>
        <v>.</v>
      </c>
      <c r="BC65" s="118" t="str">
        <f t="shared" si="511"/>
        <v>.</v>
      </c>
      <c r="BD65" s="118" t="str">
        <f t="shared" si="512"/>
        <v>.</v>
      </c>
      <c r="BE65" s="118" t="str">
        <f t="shared" si="282"/>
        <v>.</v>
      </c>
      <c r="BF65" s="60">
        <f t="shared" si="22"/>
        <v>0.56299384143960107</v>
      </c>
      <c r="BG65" s="60">
        <f>IFERROR(BG21/$C51,0)</f>
        <v>0.2777700619427238</v>
      </c>
      <c r="BH65" s="60">
        <f>IFERROR(BH21/$C51,0)</f>
        <v>660605883.58276963</v>
      </c>
      <c r="BI65" s="60">
        <f t="shared" si="513"/>
        <v>0.27777006182592767</v>
      </c>
    </row>
    <row r="66" spans="1:61" x14ac:dyDescent="0.25">
      <c r="A66" s="3">
        <v>65</v>
      </c>
      <c r="B66" s="83" t="s">
        <v>1074</v>
      </c>
      <c r="C66" s="85">
        <v>0.99980000000000002</v>
      </c>
      <c r="D66" s="181"/>
      <c r="E66" s="60">
        <f t="shared" ref="E66:V66" si="519">IFERROR(E17/$C52,0)</f>
        <v>0.10415503461662116</v>
      </c>
      <c r="F66" s="60">
        <f t="shared" si="519"/>
        <v>0.94185781518935197</v>
      </c>
      <c r="G66" s="60">
        <f t="shared" si="519"/>
        <v>1.7045916362675799</v>
      </c>
      <c r="H66" s="60">
        <f t="shared" si="519"/>
        <v>0.61601102826478993</v>
      </c>
      <c r="I66" s="60">
        <f t="shared" si="519"/>
        <v>0.10605862795594753</v>
      </c>
      <c r="J66" s="60">
        <f t="shared" si="519"/>
        <v>1.1060371349420901</v>
      </c>
      <c r="K66" s="60">
        <f t="shared" si="519"/>
        <v>1.0686292959331374</v>
      </c>
      <c r="L66" s="60">
        <f t="shared" ref="L66" si="520">IFERROR(L17/$C52,0)</f>
        <v>0.81542398090317336</v>
      </c>
      <c r="M66" s="60">
        <f t="shared" si="519"/>
        <v>784.59492406483344</v>
      </c>
      <c r="N66" s="60">
        <f t="shared" si="519"/>
        <v>67560.92867134788</v>
      </c>
      <c r="O66" s="60">
        <f t="shared" si="519"/>
        <v>3.8948024854715747E-2</v>
      </c>
      <c r="P66" s="60">
        <f t="shared" si="519"/>
        <v>6.041496790283631</v>
      </c>
      <c r="Q66" s="60">
        <f t="shared" si="519"/>
        <v>0</v>
      </c>
      <c r="R66" s="60">
        <f t="shared" si="519"/>
        <v>0</v>
      </c>
      <c r="S66" s="60">
        <f t="shared" si="519"/>
        <v>245.03990518561417</v>
      </c>
      <c r="T66" s="60">
        <f t="shared" si="519"/>
        <v>100.31103300649738</v>
      </c>
      <c r="U66" s="60">
        <f t="shared" si="519"/>
        <v>0</v>
      </c>
      <c r="V66" s="60">
        <f t="shared" si="519"/>
        <v>6.4117757755988247</v>
      </c>
      <c r="W66" s="60">
        <f t="shared" ref="W66" si="521">IFERROR(W17/$C52,0)</f>
        <v>5.5597089607034542</v>
      </c>
      <c r="X66" s="118">
        <f t="shared" si="490"/>
        <v>1.2745430404000001E-3</v>
      </c>
      <c r="Y66" s="118">
        <f t="shared" si="491"/>
        <v>1.4801454326723799E-5</v>
      </c>
      <c r="Z66" s="118">
        <f t="shared" si="492"/>
        <v>25.675242935430191</v>
      </c>
      <c r="AA66" s="118">
        <f t="shared" si="493"/>
        <v>0.16552189543628854</v>
      </c>
      <c r="AB66" s="118" t="str">
        <f t="shared" si="494"/>
        <v>.</v>
      </c>
      <c r="AC66" s="118" t="str">
        <f t="shared" si="495"/>
        <v>.</v>
      </c>
      <c r="AD66" s="118">
        <f t="shared" si="496"/>
        <v>4.0809679519036484E-3</v>
      </c>
      <c r="AE66" s="118">
        <f t="shared" si="497"/>
        <v>9.9689931409162897E-3</v>
      </c>
      <c r="AF66" s="118" t="str">
        <f t="shared" si="498"/>
        <v>.</v>
      </c>
      <c r="AG66" s="118">
        <f t="shared" si="499"/>
        <v>0.15596303348686666</v>
      </c>
      <c r="AH66" s="118">
        <f t="shared" si="269"/>
        <v>0.17986553020456539</v>
      </c>
      <c r="AI66" s="60">
        <f t="shared" si="500"/>
        <v>3.817969492547018E-2</v>
      </c>
      <c r="AJ66" s="60">
        <f t="shared" ref="AJ66:AS66" si="522">IFERROR(AJ17/$C52,0)</f>
        <v>92.506408182599117</v>
      </c>
      <c r="AK66" s="60">
        <f>IFERROR(AK17,".")</f>
        <v>0.11239804877301637</v>
      </c>
      <c r="AL66" s="60">
        <f t="shared" si="522"/>
        <v>409968.44174906815</v>
      </c>
      <c r="AM66" s="60">
        <f t="shared" si="522"/>
        <v>24.487265503966878</v>
      </c>
      <c r="AN66" s="60">
        <f t="shared" si="522"/>
        <v>0</v>
      </c>
      <c r="AO66" s="60">
        <f t="shared" si="522"/>
        <v>0</v>
      </c>
      <c r="AP66" s="60">
        <f t="shared" si="522"/>
        <v>16604.070842716708</v>
      </c>
      <c r="AQ66" s="60">
        <f t="shared" si="522"/>
        <v>6249.4500454591498</v>
      </c>
      <c r="AR66" s="60">
        <f t="shared" si="522"/>
        <v>0</v>
      </c>
      <c r="AS66" s="60">
        <f t="shared" si="522"/>
        <v>42.745171837325493</v>
      </c>
      <c r="AT66" s="60">
        <f t="shared" ref="AT66" si="523">IFERROR(AT17/$C52,0)</f>
        <v>37.064726404689701</v>
      </c>
      <c r="AU66" s="118">
        <f t="shared" si="503"/>
        <v>1.0810061915128E-2</v>
      </c>
      <c r="AV66" s="118">
        <f t="shared" si="504"/>
        <v>8.896951601174699</v>
      </c>
      <c r="AW66" s="118">
        <f t="shared" si="505"/>
        <v>2.4392121396799514E-6</v>
      </c>
      <c r="AX66" s="118">
        <f t="shared" si="506"/>
        <v>4.0837552883885804E-2</v>
      </c>
      <c r="AY66" s="118" t="str">
        <f t="shared" si="507"/>
        <v>.</v>
      </c>
      <c r="AZ66" s="118" t="str">
        <f t="shared" si="508"/>
        <v>.</v>
      </c>
      <c r="BA66" s="118">
        <f t="shared" si="509"/>
        <v>6.022619449607112E-5</v>
      </c>
      <c r="BB66" s="118">
        <f t="shared" si="510"/>
        <v>1.6001408007518996E-4</v>
      </c>
      <c r="BC66" s="118" t="str">
        <f t="shared" si="511"/>
        <v>.</v>
      </c>
      <c r="BD66" s="118">
        <f t="shared" si="512"/>
        <v>2.3394455023030003E-2</v>
      </c>
      <c r="BE66" s="118">
        <f t="shared" si="282"/>
        <v>2.6979829530684805E-2</v>
      </c>
      <c r="BF66" s="60">
        <f t="shared" si="22"/>
        <v>0.11112103570103846</v>
      </c>
      <c r="BG66" s="60">
        <f>IFERROR(BG17/$C52,0)</f>
        <v>4.9701109604209912E-2</v>
      </c>
      <c r="BH66" s="60">
        <f>IFERROR(BH17/$C52,0)</f>
        <v>25.581839008234201</v>
      </c>
      <c r="BI66" s="60">
        <f t="shared" si="513"/>
        <v>4.9604736140714034E-2</v>
      </c>
    </row>
    <row r="67" spans="1:61" x14ac:dyDescent="0.25">
      <c r="A67" s="3">
        <v>66</v>
      </c>
      <c r="B67" s="83" t="s">
        <v>1088</v>
      </c>
      <c r="C67" s="42">
        <v>2.0000000000000001E-4</v>
      </c>
      <c r="D67" s="178"/>
      <c r="E67" s="60">
        <f t="shared" ref="E67:V67" si="524">IFERROR(E5/$C53,0)</f>
        <v>0</v>
      </c>
      <c r="F67" s="60">
        <f t="shared" si="524"/>
        <v>0</v>
      </c>
      <c r="G67" s="60">
        <f t="shared" si="524"/>
        <v>0</v>
      </c>
      <c r="H67" s="60">
        <f t="shared" si="524"/>
        <v>0</v>
      </c>
      <c r="I67" s="60">
        <f t="shared" si="524"/>
        <v>0</v>
      </c>
      <c r="J67" s="60">
        <f t="shared" si="524"/>
        <v>0</v>
      </c>
      <c r="K67" s="60">
        <f t="shared" si="524"/>
        <v>0</v>
      </c>
      <c r="L67" s="60">
        <f t="shared" ref="L67" si="525">IFERROR(L5/$C53,0)</f>
        <v>0</v>
      </c>
      <c r="M67" s="60">
        <f t="shared" si="524"/>
        <v>0</v>
      </c>
      <c r="N67" s="60">
        <f t="shared" si="524"/>
        <v>0</v>
      </c>
      <c r="O67" s="60">
        <f t="shared" si="524"/>
        <v>7834075.6968162712</v>
      </c>
      <c r="P67" s="60">
        <f t="shared" si="524"/>
        <v>0</v>
      </c>
      <c r="Q67" s="60">
        <f t="shared" si="524"/>
        <v>0</v>
      </c>
      <c r="R67" s="60">
        <f t="shared" si="524"/>
        <v>0</v>
      </c>
      <c r="S67" s="60">
        <f t="shared" si="524"/>
        <v>0</v>
      </c>
      <c r="T67" s="60">
        <f t="shared" si="524"/>
        <v>0</v>
      </c>
      <c r="U67" s="60">
        <f t="shared" si="524"/>
        <v>0</v>
      </c>
      <c r="V67" s="60">
        <f t="shared" si="524"/>
        <v>0</v>
      </c>
      <c r="W67" s="60">
        <f t="shared" ref="W67" si="526">IFERROR(W5/$C53,0)</f>
        <v>0</v>
      </c>
      <c r="X67" s="118" t="str">
        <f t="shared" si="490"/>
        <v>.</v>
      </c>
      <c r="Y67" s="118" t="str">
        <f t="shared" si="491"/>
        <v>.</v>
      </c>
      <c r="Z67" s="118">
        <f t="shared" si="492"/>
        <v>1.2764747734137864E-7</v>
      </c>
      <c r="AA67" s="118" t="str">
        <f t="shared" si="493"/>
        <v>.</v>
      </c>
      <c r="AB67" s="118" t="str">
        <f t="shared" si="494"/>
        <v>.</v>
      </c>
      <c r="AC67" s="118" t="str">
        <f t="shared" si="495"/>
        <v>.</v>
      </c>
      <c r="AD67" s="118" t="str">
        <f t="shared" si="496"/>
        <v>.</v>
      </c>
      <c r="AE67" s="118" t="str">
        <f t="shared" si="497"/>
        <v>.</v>
      </c>
      <c r="AF67" s="118" t="str">
        <f t="shared" si="498"/>
        <v>.</v>
      </c>
      <c r="AG67" s="118" t="str">
        <f t="shared" si="499"/>
        <v>.</v>
      </c>
      <c r="AH67" s="118" t="str">
        <f t="shared" si="269"/>
        <v>.</v>
      </c>
      <c r="AI67" s="60">
        <f t="shared" si="500"/>
        <v>7834075.6968162702</v>
      </c>
      <c r="AJ67" s="60">
        <f t="shared" ref="AJ67:AS67" si="527">IFERROR(AJ5/$C53,0)</f>
        <v>0</v>
      </c>
      <c r="AK67" s="60" t="str">
        <f>IFERROR(AK5,".")</f>
        <v>.</v>
      </c>
      <c r="AL67" s="60">
        <f t="shared" si="527"/>
        <v>89166641890201.813</v>
      </c>
      <c r="AM67" s="60">
        <f t="shared" si="527"/>
        <v>0</v>
      </c>
      <c r="AN67" s="60">
        <f t="shared" si="527"/>
        <v>0</v>
      </c>
      <c r="AO67" s="60">
        <f t="shared" si="527"/>
        <v>0</v>
      </c>
      <c r="AP67" s="60">
        <f t="shared" si="527"/>
        <v>0</v>
      </c>
      <c r="AQ67" s="60">
        <f t="shared" si="527"/>
        <v>0</v>
      </c>
      <c r="AR67" s="60">
        <f t="shared" si="527"/>
        <v>0</v>
      </c>
      <c r="AS67" s="60">
        <f t="shared" si="527"/>
        <v>0</v>
      </c>
      <c r="AT67" s="60">
        <f t="shared" ref="AT67" si="528">IFERROR(AT5/$C53,0)</f>
        <v>0</v>
      </c>
      <c r="AU67" s="118" t="str">
        <f t="shared" si="503"/>
        <v>.</v>
      </c>
      <c r="AV67" s="118" t="str">
        <f t="shared" si="504"/>
        <v>.</v>
      </c>
      <c r="AW67" s="118">
        <f t="shared" si="505"/>
        <v>1.1214956387293153E-14</v>
      </c>
      <c r="AX67" s="118" t="str">
        <f t="shared" si="506"/>
        <v>.</v>
      </c>
      <c r="AY67" s="118" t="str">
        <f t="shared" si="507"/>
        <v>.</v>
      </c>
      <c r="AZ67" s="118" t="str">
        <f t="shared" si="508"/>
        <v>.</v>
      </c>
      <c r="BA67" s="118" t="str">
        <f t="shared" si="509"/>
        <v>.</v>
      </c>
      <c r="BB67" s="118" t="str">
        <f t="shared" si="510"/>
        <v>.</v>
      </c>
      <c r="BC67" s="118" t="str">
        <f t="shared" si="511"/>
        <v>.</v>
      </c>
      <c r="BD67" s="118" t="str">
        <f t="shared" si="512"/>
        <v>.</v>
      </c>
      <c r="BE67" s="118" t="str">
        <f t="shared" si="282"/>
        <v>.</v>
      </c>
      <c r="BF67" s="60">
        <f t="shared" ref="BF67:BF76" si="529">IFERROR(1/(SUMIF(AU67:BE67,"&lt;&gt;0")),".")</f>
        <v>89166641890201.813</v>
      </c>
      <c r="BG67" s="60">
        <f>IFERROR(BG5/$C53,0)</f>
        <v>0</v>
      </c>
      <c r="BH67" s="60">
        <f>IFERROR(BH5/$C53,0)</f>
        <v>4228878572.9351549</v>
      </c>
      <c r="BI67" s="60">
        <f t="shared" si="513"/>
        <v>4228878572.9351549</v>
      </c>
    </row>
    <row r="68" spans="1:61" x14ac:dyDescent="0.25">
      <c r="A68" s="3">
        <v>67</v>
      </c>
      <c r="B68" s="83" t="s">
        <v>1089</v>
      </c>
      <c r="C68" s="42">
        <v>0.99999979999999999</v>
      </c>
      <c r="D68" s="178"/>
      <c r="E68" s="60">
        <f t="shared" ref="E68:V68" si="530">IFERROR(E9/$C54,0)</f>
        <v>0.19025918272227471</v>
      </c>
      <c r="F68" s="60">
        <f t="shared" si="530"/>
        <v>1.7204842648088077</v>
      </c>
      <c r="G68" s="60">
        <f t="shared" si="530"/>
        <v>3.113764138097078</v>
      </c>
      <c r="H68" s="60">
        <f t="shared" si="530"/>
        <v>1.1252625013948563</v>
      </c>
      <c r="I68" s="60">
        <f t="shared" si="530"/>
        <v>0.19373646170652079</v>
      </c>
      <c r="J68" s="60">
        <f t="shared" si="530"/>
        <v>2.0203893371947199</v>
      </c>
      <c r="K68" s="60">
        <f t="shared" si="530"/>
        <v>1.9520567318295827</v>
      </c>
      <c r="L68" s="60">
        <f t="shared" ref="L68" si="531">IFERROR(L9/$C54,0)</f>
        <v>1.4895285739170963</v>
      </c>
      <c r="M68" s="60">
        <f t="shared" si="530"/>
        <v>1540.0896023952084</v>
      </c>
      <c r="N68" s="60">
        <f t="shared" si="530"/>
        <v>84926.137712285417</v>
      </c>
      <c r="O68" s="60">
        <f t="shared" si="530"/>
        <v>5.2683858227602857E-3</v>
      </c>
      <c r="P68" s="60">
        <f t="shared" si="530"/>
        <v>1.8866129924004502</v>
      </c>
      <c r="Q68" s="60">
        <f t="shared" si="530"/>
        <v>0</v>
      </c>
      <c r="R68" s="60">
        <f t="shared" si="530"/>
        <v>0</v>
      </c>
      <c r="S68" s="60">
        <f t="shared" si="530"/>
        <v>60.319619479756433</v>
      </c>
      <c r="T68" s="60">
        <f t="shared" si="530"/>
        <v>12.771107555693847</v>
      </c>
      <c r="U68" s="60">
        <f t="shared" si="530"/>
        <v>0</v>
      </c>
      <c r="V68" s="60">
        <f t="shared" si="530"/>
        <v>62.465815418546647</v>
      </c>
      <c r="W68" s="60">
        <f t="shared" ref="W68" si="532">IFERROR(W9/$C54,0)</f>
        <v>0</v>
      </c>
      <c r="X68" s="118">
        <f t="shared" si="490"/>
        <v>6.4931287013740005E-4</v>
      </c>
      <c r="Y68" s="118">
        <f t="shared" si="491"/>
        <v>1.1774937927682775E-5</v>
      </c>
      <c r="Z68" s="118">
        <f t="shared" si="492"/>
        <v>189.81145907724468</v>
      </c>
      <c r="AA68" s="118">
        <f t="shared" si="493"/>
        <v>0.53005041522990914</v>
      </c>
      <c r="AB68" s="118" t="str">
        <f t="shared" si="494"/>
        <v>.</v>
      </c>
      <c r="AC68" s="118" t="str">
        <f t="shared" si="495"/>
        <v>.</v>
      </c>
      <c r="AD68" s="118">
        <f t="shared" si="496"/>
        <v>1.6578353919086061E-2</v>
      </c>
      <c r="AE68" s="118">
        <f t="shared" si="497"/>
        <v>7.830174443673539E-2</v>
      </c>
      <c r="AF68" s="118" t="str">
        <f t="shared" si="498"/>
        <v>.</v>
      </c>
      <c r="AG68" s="118">
        <f t="shared" si="499"/>
        <v>1.6008756041998154E-2</v>
      </c>
      <c r="AH68" s="118" t="str">
        <f t="shared" si="269"/>
        <v>.</v>
      </c>
      <c r="AI68" s="60">
        <f t="shared" si="500"/>
        <v>5.250637626763718E-3</v>
      </c>
      <c r="AJ68" s="60">
        <f t="shared" ref="AJ68:AS68" si="533">IFERROR(AJ9/$C54,0)</f>
        <v>165.90801261280905</v>
      </c>
      <c r="AK68" s="60">
        <f>IFERROR(AK9,".")</f>
        <v>0.15345317098848396</v>
      </c>
      <c r="AL68" s="60">
        <f t="shared" si="533"/>
        <v>63135.747771986011</v>
      </c>
      <c r="AM68" s="60">
        <f t="shared" si="533"/>
        <v>26.252288143982526</v>
      </c>
      <c r="AN68" s="60">
        <f t="shared" si="533"/>
        <v>0</v>
      </c>
      <c r="AO68" s="60">
        <f t="shared" si="533"/>
        <v>0</v>
      </c>
      <c r="AP68" s="60">
        <f t="shared" si="533"/>
        <v>10615.683975423173</v>
      </c>
      <c r="AQ68" s="60">
        <f t="shared" si="533"/>
        <v>2169.0060386708305</v>
      </c>
      <c r="AR68" s="60">
        <f t="shared" si="533"/>
        <v>0</v>
      </c>
      <c r="AS68" s="60">
        <f t="shared" si="533"/>
        <v>130.13711545530552</v>
      </c>
      <c r="AT68" s="60">
        <f t="shared" ref="AT68" si="534">IFERROR(AT9/$C54,0)</f>
        <v>0</v>
      </c>
      <c r="AU68" s="118">
        <f t="shared" si="503"/>
        <v>6.0274364345124717E-3</v>
      </c>
      <c r="AV68" s="118">
        <f t="shared" si="504"/>
        <v>6.5166460462067999</v>
      </c>
      <c r="AW68" s="118">
        <f t="shared" si="505"/>
        <v>1.5838887401975311E-5</v>
      </c>
      <c r="AX68" s="118">
        <f t="shared" si="506"/>
        <v>3.8091917722197374E-2</v>
      </c>
      <c r="AY68" s="118" t="str">
        <f t="shared" si="507"/>
        <v>.</v>
      </c>
      <c r="AZ68" s="118" t="str">
        <f t="shared" si="508"/>
        <v>.</v>
      </c>
      <c r="BA68" s="118">
        <f t="shared" si="509"/>
        <v>9.420024204894786E-5</v>
      </c>
      <c r="BB68" s="118">
        <f t="shared" si="510"/>
        <v>4.6104067124349787E-4</v>
      </c>
      <c r="BC68" s="118" t="str">
        <f t="shared" si="511"/>
        <v>.</v>
      </c>
      <c r="BD68" s="118">
        <f t="shared" si="512"/>
        <v>7.6842029001591133E-3</v>
      </c>
      <c r="BE68" s="118" t="str">
        <f t="shared" si="282"/>
        <v>.</v>
      </c>
      <c r="BF68" s="60">
        <f t="shared" si="529"/>
        <v>0.15222969271174727</v>
      </c>
      <c r="BG68" s="60">
        <f>IFERROR(BG9/$C54,0)</f>
        <v>6.2475803126291064E-2</v>
      </c>
      <c r="BH68" s="60">
        <f>IFERROR(BH9/$C54,0)</f>
        <v>3.8967684695976081</v>
      </c>
      <c r="BI68" s="60">
        <f t="shared" si="513"/>
        <v>6.1489951860895488E-2</v>
      </c>
    </row>
    <row r="69" spans="1:61" x14ac:dyDescent="0.25">
      <c r="A69" s="3">
        <v>68</v>
      </c>
      <c r="B69" s="83" t="s">
        <v>1090</v>
      </c>
      <c r="C69" s="42">
        <v>1.9999999999999999E-7</v>
      </c>
      <c r="D69" s="178"/>
      <c r="E69" s="60">
        <f t="shared" ref="E69:V69" si="535">IFERROR(E24/$C55,0)</f>
        <v>0</v>
      </c>
      <c r="F69" s="60">
        <f t="shared" si="535"/>
        <v>0</v>
      </c>
      <c r="G69" s="60">
        <f t="shared" si="535"/>
        <v>0</v>
      </c>
      <c r="H69" s="60">
        <f t="shared" si="535"/>
        <v>0</v>
      </c>
      <c r="I69" s="60">
        <f t="shared" si="535"/>
        <v>0</v>
      </c>
      <c r="J69" s="60">
        <f t="shared" si="535"/>
        <v>0</v>
      </c>
      <c r="K69" s="60">
        <f t="shared" si="535"/>
        <v>0</v>
      </c>
      <c r="L69" s="60">
        <f t="shared" ref="L69" si="536">IFERROR(L24/$C55,0)</f>
        <v>0</v>
      </c>
      <c r="M69" s="60">
        <f t="shared" si="535"/>
        <v>0</v>
      </c>
      <c r="N69" s="60">
        <f t="shared" si="535"/>
        <v>0</v>
      </c>
      <c r="O69" s="60">
        <f t="shared" si="535"/>
        <v>57134724.478504889</v>
      </c>
      <c r="P69" s="60">
        <f t="shared" si="535"/>
        <v>0</v>
      </c>
      <c r="Q69" s="60">
        <f t="shared" si="535"/>
        <v>0</v>
      </c>
      <c r="R69" s="60">
        <f t="shared" si="535"/>
        <v>0</v>
      </c>
      <c r="S69" s="60">
        <f t="shared" si="535"/>
        <v>0</v>
      </c>
      <c r="T69" s="60">
        <f t="shared" si="535"/>
        <v>0</v>
      </c>
      <c r="U69" s="60">
        <f t="shared" si="535"/>
        <v>0</v>
      </c>
      <c r="V69" s="60">
        <f t="shared" si="535"/>
        <v>0</v>
      </c>
      <c r="W69" s="60">
        <f t="shared" ref="W69" si="537">IFERROR(W24/$C55,0)</f>
        <v>0</v>
      </c>
      <c r="X69" s="118" t="str">
        <f t="shared" si="490"/>
        <v>.</v>
      </c>
      <c r="Y69" s="118" t="str">
        <f t="shared" si="491"/>
        <v>.</v>
      </c>
      <c r="Z69" s="118">
        <f t="shared" si="492"/>
        <v>1.7502490982978626E-8</v>
      </c>
      <c r="AA69" s="118" t="str">
        <f t="shared" si="493"/>
        <v>.</v>
      </c>
      <c r="AB69" s="118" t="str">
        <f t="shared" si="494"/>
        <v>.</v>
      </c>
      <c r="AC69" s="118" t="str">
        <f t="shared" si="495"/>
        <v>.</v>
      </c>
      <c r="AD69" s="118" t="str">
        <f t="shared" si="496"/>
        <v>.</v>
      </c>
      <c r="AE69" s="118" t="str">
        <f t="shared" si="497"/>
        <v>.</v>
      </c>
      <c r="AF69" s="118" t="str">
        <f t="shared" si="498"/>
        <v>.</v>
      </c>
      <c r="AG69" s="118" t="str">
        <f t="shared" si="499"/>
        <v>.</v>
      </c>
      <c r="AH69" s="118" t="str">
        <f t="shared" si="269"/>
        <v>.</v>
      </c>
      <c r="AI69" s="60">
        <f t="shared" si="500"/>
        <v>57134724.478504889</v>
      </c>
      <c r="AJ69" s="60">
        <f t="shared" ref="AJ69:AS69" si="538">IFERROR(AJ24/$C55,0)</f>
        <v>0</v>
      </c>
      <c r="AK69" s="60" t="str">
        <f>IFERROR(AK24,".")</f>
        <v>.</v>
      </c>
      <c r="AL69" s="60">
        <f t="shared" si="538"/>
        <v>660103807585136.75</v>
      </c>
      <c r="AM69" s="60">
        <f t="shared" si="538"/>
        <v>0</v>
      </c>
      <c r="AN69" s="60">
        <f t="shared" si="538"/>
        <v>0</v>
      </c>
      <c r="AO69" s="60">
        <f t="shared" si="538"/>
        <v>0</v>
      </c>
      <c r="AP69" s="60">
        <f t="shared" si="538"/>
        <v>0</v>
      </c>
      <c r="AQ69" s="60">
        <f t="shared" si="538"/>
        <v>0</v>
      </c>
      <c r="AR69" s="60">
        <f t="shared" si="538"/>
        <v>0</v>
      </c>
      <c r="AS69" s="60">
        <f t="shared" si="538"/>
        <v>0</v>
      </c>
      <c r="AT69" s="60">
        <f t="shared" ref="AT69" si="539">IFERROR(AT24/$C55,0)</f>
        <v>0</v>
      </c>
      <c r="AU69" s="118" t="str">
        <f t="shared" si="503"/>
        <v>.</v>
      </c>
      <c r="AV69" s="118" t="str">
        <f t="shared" si="504"/>
        <v>.</v>
      </c>
      <c r="AW69" s="118">
        <f t="shared" si="505"/>
        <v>1.5149132432038353E-15</v>
      </c>
      <c r="AX69" s="118" t="str">
        <f t="shared" si="506"/>
        <v>.</v>
      </c>
      <c r="AY69" s="118" t="str">
        <f t="shared" si="507"/>
        <v>.</v>
      </c>
      <c r="AZ69" s="118" t="str">
        <f t="shared" si="508"/>
        <v>.</v>
      </c>
      <c r="BA69" s="118" t="str">
        <f t="shared" si="509"/>
        <v>.</v>
      </c>
      <c r="BB69" s="118" t="str">
        <f t="shared" si="510"/>
        <v>.</v>
      </c>
      <c r="BC69" s="118" t="str">
        <f t="shared" si="511"/>
        <v>.</v>
      </c>
      <c r="BD69" s="118" t="str">
        <f t="shared" si="512"/>
        <v>.</v>
      </c>
      <c r="BE69" s="118" t="str">
        <f t="shared" si="282"/>
        <v>.</v>
      </c>
      <c r="BF69" s="60">
        <f t="shared" si="529"/>
        <v>660103807585136.75</v>
      </c>
      <c r="BG69" s="60">
        <f>IFERROR(BG24/$C55,0)</f>
        <v>0</v>
      </c>
      <c r="BH69" s="60">
        <f>IFERROR(BH24/$C55,0)</f>
        <v>40894649936.076225</v>
      </c>
      <c r="BI69" s="60">
        <f t="shared" si="513"/>
        <v>40894649936.076225</v>
      </c>
    </row>
    <row r="70" spans="1:61" x14ac:dyDescent="0.25">
      <c r="A70" s="3">
        <v>69</v>
      </c>
      <c r="B70" s="83" t="s">
        <v>1091</v>
      </c>
      <c r="C70" s="42">
        <v>0.99979000004200003</v>
      </c>
      <c r="D70" s="178"/>
      <c r="E70" s="60">
        <f t="shared" ref="E70:V70" si="540">IFERROR(E20/$C56,0)</f>
        <v>0</v>
      </c>
      <c r="F70" s="60">
        <f t="shared" si="540"/>
        <v>0</v>
      </c>
      <c r="G70" s="60">
        <f t="shared" si="540"/>
        <v>0</v>
      </c>
      <c r="H70" s="60">
        <f t="shared" si="540"/>
        <v>0</v>
      </c>
      <c r="I70" s="60">
        <f t="shared" si="540"/>
        <v>0</v>
      </c>
      <c r="J70" s="60">
        <f t="shared" si="540"/>
        <v>0</v>
      </c>
      <c r="K70" s="60">
        <f t="shared" si="540"/>
        <v>0</v>
      </c>
      <c r="L70" s="60">
        <f t="shared" ref="L70" si="541">IFERROR(L20/$C56,0)</f>
        <v>0</v>
      </c>
      <c r="M70" s="60">
        <f t="shared" si="540"/>
        <v>0</v>
      </c>
      <c r="N70" s="60">
        <f t="shared" si="540"/>
        <v>0</v>
      </c>
      <c r="O70" s="60">
        <f t="shared" si="540"/>
        <v>100.4396989917602</v>
      </c>
      <c r="P70" s="60">
        <f t="shared" si="540"/>
        <v>0</v>
      </c>
      <c r="Q70" s="60">
        <f t="shared" si="540"/>
        <v>0</v>
      </c>
      <c r="R70" s="60">
        <f t="shared" si="540"/>
        <v>0</v>
      </c>
      <c r="S70" s="60">
        <f t="shared" si="540"/>
        <v>0</v>
      </c>
      <c r="T70" s="60">
        <f t="shared" si="540"/>
        <v>0</v>
      </c>
      <c r="U70" s="60">
        <f t="shared" si="540"/>
        <v>0</v>
      </c>
      <c r="V70" s="60">
        <f t="shared" si="540"/>
        <v>0</v>
      </c>
      <c r="W70" s="60">
        <f t="shared" ref="W70" si="542">IFERROR(W20/$C56,0)</f>
        <v>0</v>
      </c>
      <c r="X70" s="118" t="str">
        <f t="shared" si="490"/>
        <v>.</v>
      </c>
      <c r="Y70" s="118" t="str">
        <f t="shared" si="491"/>
        <v>.</v>
      </c>
      <c r="Z70" s="118">
        <f t="shared" si="492"/>
        <v>9.9562225896558821E-3</v>
      </c>
      <c r="AA70" s="118" t="str">
        <f t="shared" si="493"/>
        <v>.</v>
      </c>
      <c r="AB70" s="118" t="str">
        <f t="shared" si="494"/>
        <v>.</v>
      </c>
      <c r="AC70" s="118" t="str">
        <f t="shared" si="495"/>
        <v>.</v>
      </c>
      <c r="AD70" s="118" t="str">
        <f t="shared" si="496"/>
        <v>.</v>
      </c>
      <c r="AE70" s="118" t="str">
        <f t="shared" si="497"/>
        <v>.</v>
      </c>
      <c r="AF70" s="118" t="str">
        <f t="shared" si="498"/>
        <v>.</v>
      </c>
      <c r="AG70" s="118" t="str">
        <f t="shared" si="499"/>
        <v>.</v>
      </c>
      <c r="AH70" s="118" t="str">
        <f t="shared" si="269"/>
        <v>.</v>
      </c>
      <c r="AI70" s="60">
        <f t="shared" si="500"/>
        <v>100.4396989917602</v>
      </c>
      <c r="AJ70" s="60">
        <f t="shared" ref="AJ70:AS70" si="543">IFERROR(AJ20/$C56,0)</f>
        <v>0</v>
      </c>
      <c r="AK70" s="60" t="str">
        <f>IFERROR(AK20,".")</f>
        <v>.</v>
      </c>
      <c r="AL70" s="60">
        <f t="shared" si="543"/>
        <v>1181067203.242521</v>
      </c>
      <c r="AM70" s="60">
        <f t="shared" si="543"/>
        <v>0</v>
      </c>
      <c r="AN70" s="60">
        <f t="shared" si="543"/>
        <v>0</v>
      </c>
      <c r="AO70" s="60">
        <f t="shared" si="543"/>
        <v>0</v>
      </c>
      <c r="AP70" s="60">
        <f t="shared" si="543"/>
        <v>0</v>
      </c>
      <c r="AQ70" s="60">
        <f t="shared" si="543"/>
        <v>0</v>
      </c>
      <c r="AR70" s="60">
        <f t="shared" si="543"/>
        <v>0</v>
      </c>
      <c r="AS70" s="60">
        <f t="shared" si="543"/>
        <v>0</v>
      </c>
      <c r="AT70" s="60">
        <f t="shared" ref="AT70" si="544">IFERROR(AT20/$C56,0)</f>
        <v>0</v>
      </c>
      <c r="AU70" s="118" t="str">
        <f t="shared" si="503"/>
        <v>.</v>
      </c>
      <c r="AV70" s="118" t="str">
        <f t="shared" si="504"/>
        <v>.</v>
      </c>
      <c r="AW70" s="118">
        <f t="shared" si="505"/>
        <v>8.4669187092367294E-10</v>
      </c>
      <c r="AX70" s="118" t="str">
        <f t="shared" si="506"/>
        <v>.</v>
      </c>
      <c r="AY70" s="118" t="str">
        <f t="shared" si="507"/>
        <v>.</v>
      </c>
      <c r="AZ70" s="118" t="str">
        <f t="shared" si="508"/>
        <v>.</v>
      </c>
      <c r="BA70" s="118" t="str">
        <f t="shared" si="509"/>
        <v>.</v>
      </c>
      <c r="BB70" s="118" t="str">
        <f t="shared" si="510"/>
        <v>.</v>
      </c>
      <c r="BC70" s="118" t="str">
        <f t="shared" si="511"/>
        <v>.</v>
      </c>
      <c r="BD70" s="118" t="str">
        <f t="shared" si="512"/>
        <v>.</v>
      </c>
      <c r="BE70" s="118" t="str">
        <f t="shared" si="282"/>
        <v>.</v>
      </c>
      <c r="BF70" s="60">
        <f t="shared" si="529"/>
        <v>1181067203.242521</v>
      </c>
      <c r="BG70" s="60">
        <f>IFERROR(BG20/$C56,0)</f>
        <v>0</v>
      </c>
      <c r="BH70" s="60">
        <f>IFERROR(BH20/$C56,0)</f>
        <v>72984.211861483142</v>
      </c>
      <c r="BI70" s="60">
        <f t="shared" si="513"/>
        <v>72984.211861483142</v>
      </c>
    </row>
    <row r="71" spans="1:61" x14ac:dyDescent="0.25">
      <c r="A71" s="3">
        <v>70</v>
      </c>
      <c r="B71" s="83" t="s">
        <v>1092</v>
      </c>
      <c r="C71" s="42">
        <v>2.0999995799999999E-4</v>
      </c>
      <c r="D71" s="178"/>
      <c r="E71" s="60">
        <f t="shared" ref="E71:V71" si="545">IFERROR(E29/$C57,0)</f>
        <v>0</v>
      </c>
      <c r="F71" s="60">
        <f t="shared" si="545"/>
        <v>0</v>
      </c>
      <c r="G71" s="60">
        <f t="shared" si="545"/>
        <v>0</v>
      </c>
      <c r="H71" s="60">
        <f t="shared" si="545"/>
        <v>0</v>
      </c>
      <c r="I71" s="60">
        <f t="shared" si="545"/>
        <v>0</v>
      </c>
      <c r="J71" s="60">
        <f t="shared" si="545"/>
        <v>0</v>
      </c>
      <c r="K71" s="60">
        <f t="shared" si="545"/>
        <v>0</v>
      </c>
      <c r="L71" s="60">
        <f t="shared" ref="L71" si="546">IFERROR(L29/$C57,0)</f>
        <v>0</v>
      </c>
      <c r="M71" s="60">
        <f t="shared" si="545"/>
        <v>0</v>
      </c>
      <c r="N71" s="60">
        <f t="shared" si="545"/>
        <v>0</v>
      </c>
      <c r="O71" s="60">
        <f t="shared" si="545"/>
        <v>13.721799927603394</v>
      </c>
      <c r="P71" s="60">
        <f t="shared" si="545"/>
        <v>0</v>
      </c>
      <c r="Q71" s="60">
        <f t="shared" si="545"/>
        <v>0</v>
      </c>
      <c r="R71" s="60">
        <f t="shared" si="545"/>
        <v>0</v>
      </c>
      <c r="S71" s="60">
        <f t="shared" si="545"/>
        <v>0</v>
      </c>
      <c r="T71" s="60">
        <f t="shared" si="545"/>
        <v>0</v>
      </c>
      <c r="U71" s="60">
        <f t="shared" si="545"/>
        <v>0</v>
      </c>
      <c r="V71" s="60">
        <f t="shared" si="545"/>
        <v>0</v>
      </c>
      <c r="W71" s="60">
        <f t="shared" ref="W71" si="547">IFERROR(W29/$C57,0)</f>
        <v>0</v>
      </c>
      <c r="X71" s="118" t="str">
        <f t="shared" si="490"/>
        <v>.</v>
      </c>
      <c r="Y71" s="118" t="str">
        <f t="shared" si="491"/>
        <v>.</v>
      </c>
      <c r="Z71" s="118">
        <f t="shared" si="492"/>
        <v>7.2876736672741804E-2</v>
      </c>
      <c r="AA71" s="118" t="str">
        <f t="shared" si="493"/>
        <v>.</v>
      </c>
      <c r="AB71" s="118" t="str">
        <f t="shared" si="494"/>
        <v>.</v>
      </c>
      <c r="AC71" s="118" t="str">
        <f t="shared" si="495"/>
        <v>.</v>
      </c>
      <c r="AD71" s="118" t="str">
        <f t="shared" si="496"/>
        <v>.</v>
      </c>
      <c r="AE71" s="118" t="str">
        <f t="shared" si="497"/>
        <v>.</v>
      </c>
      <c r="AF71" s="118" t="str">
        <f t="shared" si="498"/>
        <v>.</v>
      </c>
      <c r="AG71" s="118" t="str">
        <f t="shared" si="499"/>
        <v>.</v>
      </c>
      <c r="AH71" s="118" t="str">
        <f t="shared" si="269"/>
        <v>.</v>
      </c>
      <c r="AI71" s="60">
        <f t="shared" si="500"/>
        <v>13.721799927603392</v>
      </c>
      <c r="AJ71" s="60">
        <f t="shared" ref="AJ71:AS71" si="548">IFERROR(AJ29/$C57,0)</f>
        <v>0</v>
      </c>
      <c r="AK71" s="60" t="str">
        <f>IFERROR(AK29,".")</f>
        <v>.</v>
      </c>
      <c r="AL71" s="60">
        <f t="shared" si="548"/>
        <v>162087634.03159973</v>
      </c>
      <c r="AM71" s="60">
        <f t="shared" si="548"/>
        <v>0</v>
      </c>
      <c r="AN71" s="60">
        <f t="shared" si="548"/>
        <v>0</v>
      </c>
      <c r="AO71" s="60">
        <f t="shared" si="548"/>
        <v>0</v>
      </c>
      <c r="AP71" s="60">
        <f t="shared" si="548"/>
        <v>0</v>
      </c>
      <c r="AQ71" s="60">
        <f t="shared" si="548"/>
        <v>0</v>
      </c>
      <c r="AR71" s="60">
        <f t="shared" si="548"/>
        <v>0</v>
      </c>
      <c r="AS71" s="60">
        <f t="shared" si="548"/>
        <v>0</v>
      </c>
      <c r="AT71" s="60">
        <f t="shared" ref="AT71" si="549">IFERROR(AT29/$C57,0)</f>
        <v>0</v>
      </c>
      <c r="AU71" s="118" t="str">
        <f t="shared" si="503"/>
        <v>.</v>
      </c>
      <c r="AV71" s="118" t="str">
        <f t="shared" si="504"/>
        <v>.</v>
      </c>
      <c r="AW71" s="118">
        <f t="shared" si="505"/>
        <v>6.1695021089952203E-9</v>
      </c>
      <c r="AX71" s="118" t="str">
        <f t="shared" si="506"/>
        <v>.</v>
      </c>
      <c r="AY71" s="118" t="str">
        <f t="shared" si="507"/>
        <v>.</v>
      </c>
      <c r="AZ71" s="118" t="str">
        <f t="shared" si="508"/>
        <v>.</v>
      </c>
      <c r="BA71" s="118" t="str">
        <f t="shared" si="509"/>
        <v>.</v>
      </c>
      <c r="BB71" s="118" t="str">
        <f t="shared" si="510"/>
        <v>.</v>
      </c>
      <c r="BC71" s="118" t="str">
        <f t="shared" si="511"/>
        <v>.</v>
      </c>
      <c r="BD71" s="118" t="str">
        <f t="shared" si="512"/>
        <v>.</v>
      </c>
      <c r="BE71" s="118" t="str">
        <f t="shared" si="282"/>
        <v>.</v>
      </c>
      <c r="BF71" s="60">
        <f t="shared" si="529"/>
        <v>162087634.03159973</v>
      </c>
      <c r="BG71" s="60">
        <f>IFERROR(BG29/$C57,0)</f>
        <v>0</v>
      </c>
      <c r="BH71" s="60">
        <f>IFERROR(BH29/$C57,0)</f>
        <v>10030.765198020792</v>
      </c>
      <c r="BI71" s="60">
        <f t="shared" si="513"/>
        <v>10030.765198020792</v>
      </c>
    </row>
    <row r="72" spans="1:61" x14ac:dyDescent="0.25">
      <c r="A72" s="3">
        <v>71</v>
      </c>
      <c r="B72" s="83" t="s">
        <v>1093</v>
      </c>
      <c r="C72" s="42">
        <v>1</v>
      </c>
      <c r="D72" s="178"/>
      <c r="E72" s="60">
        <f t="shared" ref="E72:V72" si="550">IFERROR(E16/$C58,0)</f>
        <v>4.289805243041012E-5</v>
      </c>
      <c r="F72" s="60">
        <f t="shared" si="550"/>
        <v>3.8792043117939355E-4</v>
      </c>
      <c r="G72" s="60">
        <f t="shared" si="550"/>
        <v>7.0206554732761875E-4</v>
      </c>
      <c r="H72" s="60">
        <f t="shared" si="550"/>
        <v>2.537147962696445E-4</v>
      </c>
      <c r="I72" s="60">
        <f t="shared" si="550"/>
        <v>4.368208027099585E-5</v>
      </c>
      <c r="J72" s="60">
        <f t="shared" si="550"/>
        <v>4.5554052359898849E-4</v>
      </c>
      <c r="K72" s="60">
        <f t="shared" si="550"/>
        <v>4.4013345811222502E-4</v>
      </c>
      <c r="L72" s="60">
        <f t="shared" ref="L72" si="551">IFERROR(L16/$C58,0)</f>
        <v>3.3584646977992476E-4</v>
      </c>
      <c r="M72" s="60">
        <f t="shared" si="550"/>
        <v>0.36178821786018189</v>
      </c>
      <c r="N72" s="60">
        <f t="shared" si="550"/>
        <v>330.6516890904162</v>
      </c>
      <c r="O72" s="60">
        <f t="shared" si="550"/>
        <v>26.093023777584907</v>
      </c>
      <c r="P72" s="60">
        <f t="shared" si="550"/>
        <v>2.4882949443750016E-3</v>
      </c>
      <c r="Q72" s="60">
        <f t="shared" si="550"/>
        <v>0</v>
      </c>
      <c r="R72" s="60">
        <f t="shared" si="550"/>
        <v>0</v>
      </c>
      <c r="S72" s="60">
        <f t="shared" si="550"/>
        <v>0.10092392306226289</v>
      </c>
      <c r="T72" s="60">
        <f t="shared" si="550"/>
        <v>4.1314833882976063E-2</v>
      </c>
      <c r="U72" s="60">
        <f t="shared" si="550"/>
        <v>0</v>
      </c>
      <c r="V72" s="60">
        <f t="shared" si="550"/>
        <v>2.6408007486733503E-3</v>
      </c>
      <c r="W72" s="60">
        <f t="shared" ref="W72" si="552">IFERROR(W16/$C58,0)</f>
        <v>2.2898622939540323E-3</v>
      </c>
      <c r="X72" s="118">
        <f t="shared" si="490"/>
        <v>2.7640479999999998</v>
      </c>
      <c r="Y72" s="118">
        <f t="shared" si="491"/>
        <v>3.0243305357092898E-3</v>
      </c>
      <c r="Z72" s="118">
        <f t="shared" si="492"/>
        <v>3.832441991100493E-2</v>
      </c>
      <c r="AA72" s="118">
        <f t="shared" si="493"/>
        <v>401.88161868052799</v>
      </c>
      <c r="AB72" s="118" t="str">
        <f t="shared" si="494"/>
        <v>.</v>
      </c>
      <c r="AC72" s="118" t="str">
        <f t="shared" si="495"/>
        <v>.</v>
      </c>
      <c r="AD72" s="118">
        <f t="shared" si="496"/>
        <v>9.9084535128808966</v>
      </c>
      <c r="AE72" s="118">
        <f t="shared" si="497"/>
        <v>24.20438147790917</v>
      </c>
      <c r="AF72" s="118" t="str">
        <f t="shared" si="498"/>
        <v>.</v>
      </c>
      <c r="AG72" s="118">
        <f t="shared" si="499"/>
        <v>378.673022</v>
      </c>
      <c r="AH72" s="118">
        <f t="shared" si="269"/>
        <v>436.70748352000004</v>
      </c>
      <c r="AI72" s="60">
        <f t="shared" si="500"/>
        <v>7.9733348976678822E-4</v>
      </c>
      <c r="AJ72" s="60">
        <f t="shared" ref="AJ72:AS72" si="553">IFERROR(AJ16/$C58,0)</f>
        <v>3.6027716035479572E-2</v>
      </c>
      <c r="AK72" s="60" t="str">
        <f>IFERROR(AK16,".")</f>
        <v>.</v>
      </c>
      <c r="AL72" s="60">
        <f t="shared" si="553"/>
        <v>100627649.84524062</v>
      </c>
      <c r="AM72" s="60">
        <f t="shared" si="553"/>
        <v>1.0085503819696409E-2</v>
      </c>
      <c r="AN72" s="60">
        <f t="shared" si="553"/>
        <v>0</v>
      </c>
      <c r="AO72" s="60">
        <f t="shared" si="553"/>
        <v>0</v>
      </c>
      <c r="AP72" s="60">
        <f t="shared" si="553"/>
        <v>6.8386737538987736</v>
      </c>
      <c r="AQ72" s="60">
        <f t="shared" si="553"/>
        <v>2.5739440891948355</v>
      </c>
      <c r="AR72" s="60">
        <f t="shared" si="553"/>
        <v>0</v>
      </c>
      <c r="AS72" s="60">
        <f t="shared" si="553"/>
        <v>1.7605338324489E-2</v>
      </c>
      <c r="AT72" s="60">
        <f t="shared" ref="AT72" si="554">IFERROR(AT16/$C58,0)</f>
        <v>1.5265748626360216E-2</v>
      </c>
      <c r="AU72" s="118">
        <f t="shared" si="503"/>
        <v>27.756408400000002</v>
      </c>
      <c r="AV72" s="118" t="str">
        <f t="shared" si="504"/>
        <v>.</v>
      </c>
      <c r="AW72" s="118">
        <f t="shared" si="505"/>
        <v>9.9376265026356169E-9</v>
      </c>
      <c r="AX72" s="118">
        <f t="shared" si="506"/>
        <v>99.152210725165517</v>
      </c>
      <c r="AY72" s="118" t="str">
        <f t="shared" si="507"/>
        <v>.</v>
      </c>
      <c r="AZ72" s="118" t="str">
        <f t="shared" si="508"/>
        <v>.</v>
      </c>
      <c r="BA72" s="118">
        <f t="shared" si="509"/>
        <v>0.14622718322100003</v>
      </c>
      <c r="BB72" s="118">
        <f t="shared" si="510"/>
        <v>0.38850882744419424</v>
      </c>
      <c r="BC72" s="118" t="str">
        <f t="shared" si="511"/>
        <v>.</v>
      </c>
      <c r="BD72" s="118">
        <f t="shared" si="512"/>
        <v>56.800953300000003</v>
      </c>
      <c r="BE72" s="118">
        <f t="shared" si="282"/>
        <v>65.506122527999992</v>
      </c>
      <c r="BF72" s="60">
        <f t="shared" si="529"/>
        <v>4.0039970946237581E-3</v>
      </c>
      <c r="BG72" s="60">
        <f>IFERROR(BG16/$C58,0)</f>
        <v>2.432434864867297E-4</v>
      </c>
      <c r="BH72" s="60">
        <f>IFERROR(BH16/$C58,0)</f>
        <v>6625.6613843019659</v>
      </c>
      <c r="BI72" s="60">
        <f t="shared" si="513"/>
        <v>2.4324347755669417E-4</v>
      </c>
    </row>
    <row r="73" spans="1:61" x14ac:dyDescent="0.25">
      <c r="A73" s="3">
        <v>72</v>
      </c>
      <c r="B73" s="83" t="s">
        <v>1094</v>
      </c>
      <c r="C73" s="42">
        <v>1</v>
      </c>
      <c r="D73" s="178"/>
      <c r="E73" s="60">
        <f t="shared" ref="E73:V73" si="555">IFERROR(E7/$C59,0)</f>
        <v>3.8754490547927328E-3</v>
      </c>
      <c r="F73" s="60">
        <f t="shared" si="555"/>
        <v>3.5045084407683856E-2</v>
      </c>
      <c r="G73" s="60">
        <f t="shared" si="555"/>
        <v>6.3425239786983736E-2</v>
      </c>
      <c r="H73" s="60">
        <f t="shared" si="555"/>
        <v>2.2920825344814474E-2</v>
      </c>
      <c r="I73" s="60">
        <f t="shared" si="555"/>
        <v>3.9462788426638295E-3</v>
      </c>
      <c r="J73" s="60">
        <f t="shared" si="555"/>
        <v>4.1153945029681345E-2</v>
      </c>
      <c r="K73" s="60">
        <f t="shared" si="555"/>
        <v>3.9762056727183963E-2</v>
      </c>
      <c r="L73" s="60">
        <f t="shared" ref="L73" si="556">IFERROR(L7/$C59,0)</f>
        <v>3.034067539489093E-2</v>
      </c>
      <c r="M73" s="60">
        <f t="shared" si="555"/>
        <v>25.865906484919016</v>
      </c>
      <c r="N73" s="60">
        <f t="shared" si="555"/>
        <v>11532.485741446224</v>
      </c>
      <c r="O73" s="60">
        <f t="shared" si="555"/>
        <v>13.982337636089804</v>
      </c>
      <c r="P73" s="60">
        <f t="shared" si="555"/>
        <v>3.8429012642352843E-2</v>
      </c>
      <c r="Q73" s="60">
        <f t="shared" si="555"/>
        <v>0</v>
      </c>
      <c r="R73" s="60">
        <f t="shared" si="555"/>
        <v>0</v>
      </c>
      <c r="S73" s="60">
        <f t="shared" si="555"/>
        <v>1.2286692760554527</v>
      </c>
      <c r="T73" s="60">
        <f t="shared" si="555"/>
        <v>0.26013870130839961</v>
      </c>
      <c r="U73" s="60">
        <f t="shared" si="555"/>
        <v>0</v>
      </c>
      <c r="V73" s="60">
        <f t="shared" si="555"/>
        <v>1.2723858152698868</v>
      </c>
      <c r="W73" s="60">
        <f t="shared" ref="W73" si="557">IFERROR(W7/$C59,0)</f>
        <v>0</v>
      </c>
      <c r="X73" s="118">
        <f t="shared" si="490"/>
        <v>3.8660929999999996E-2</v>
      </c>
      <c r="Y73" s="118">
        <f t="shared" si="491"/>
        <v>8.6711574800056555E-5</v>
      </c>
      <c r="Z73" s="118">
        <f t="shared" si="492"/>
        <v>7.151879936148163E-2</v>
      </c>
      <c r="AA73" s="118">
        <f t="shared" si="493"/>
        <v>26.02200606366592</v>
      </c>
      <c r="AB73" s="118" t="str">
        <f t="shared" si="494"/>
        <v>.</v>
      </c>
      <c r="AC73" s="118" t="str">
        <f t="shared" si="495"/>
        <v>.</v>
      </c>
      <c r="AD73" s="118">
        <f t="shared" si="496"/>
        <v>0.81388866759200029</v>
      </c>
      <c r="AE73" s="118">
        <f t="shared" si="497"/>
        <v>3.844103145631069</v>
      </c>
      <c r="AF73" s="118" t="str">
        <f t="shared" si="498"/>
        <v>.</v>
      </c>
      <c r="AG73" s="118">
        <f t="shared" si="499"/>
        <v>0.78592514000000002</v>
      </c>
      <c r="AH73" s="118" t="str">
        <f t="shared" si="269"/>
        <v>.</v>
      </c>
      <c r="AI73" s="60">
        <f t="shared" si="500"/>
        <v>3.166943247967427E-2</v>
      </c>
      <c r="AJ73" s="60">
        <f t="shared" ref="AJ73:AS73" si="558">IFERROR(AJ7/$C59,0)</f>
        <v>3.5728730840164387</v>
      </c>
      <c r="AK73" s="60" t="str">
        <f>IFERROR(AK7,".")</f>
        <v>.</v>
      </c>
      <c r="AL73" s="60">
        <f t="shared" si="558"/>
        <v>116848226.23820479</v>
      </c>
      <c r="AM73" s="60">
        <f t="shared" si="558"/>
        <v>0.53474110325731117</v>
      </c>
      <c r="AN73" s="60">
        <f t="shared" si="558"/>
        <v>0</v>
      </c>
      <c r="AO73" s="60">
        <f t="shared" si="558"/>
        <v>0</v>
      </c>
      <c r="AP73" s="60">
        <f t="shared" si="558"/>
        <v>216.23420136617429</v>
      </c>
      <c r="AQ73" s="60">
        <f t="shared" si="558"/>
        <v>44.181165303736357</v>
      </c>
      <c r="AR73" s="60">
        <f t="shared" si="558"/>
        <v>0</v>
      </c>
      <c r="AS73" s="60">
        <f t="shared" si="558"/>
        <v>2.6508037818122645</v>
      </c>
      <c r="AT73" s="60">
        <f t="shared" ref="AT73" si="559">IFERROR(AT7/$C59,0)</f>
        <v>0</v>
      </c>
      <c r="AU73" s="118">
        <f t="shared" si="503"/>
        <v>0.27988679600000005</v>
      </c>
      <c r="AV73" s="118" t="str">
        <f t="shared" si="504"/>
        <v>.</v>
      </c>
      <c r="AW73" s="118">
        <f t="shared" si="505"/>
        <v>8.558110227205479E-9</v>
      </c>
      <c r="AX73" s="118">
        <f t="shared" si="506"/>
        <v>1.8700638381987473</v>
      </c>
      <c r="AY73" s="118" t="str">
        <f t="shared" si="507"/>
        <v>.</v>
      </c>
      <c r="AZ73" s="118" t="str">
        <f t="shared" si="508"/>
        <v>.</v>
      </c>
      <c r="BA73" s="118">
        <f t="shared" si="509"/>
        <v>4.6246153184000011E-3</v>
      </c>
      <c r="BB73" s="118">
        <f t="shared" si="510"/>
        <v>2.2634079321475729E-2</v>
      </c>
      <c r="BC73" s="118" t="str">
        <f t="shared" si="511"/>
        <v>.</v>
      </c>
      <c r="BD73" s="118">
        <f t="shared" si="512"/>
        <v>0.37724406719999998</v>
      </c>
      <c r="BE73" s="118" t="str">
        <f t="shared" si="282"/>
        <v>.</v>
      </c>
      <c r="BF73" s="60">
        <f t="shared" si="529"/>
        <v>0.39147318099461209</v>
      </c>
      <c r="BG73" s="60">
        <f>IFERROR(BG7/$C59,0)</f>
        <v>8.4838581872200853E-3</v>
      </c>
      <c r="BH73" s="60">
        <f>IFERROR(BH7/$C59,0)</f>
        <v>4929.0240320303792</v>
      </c>
      <c r="BI73" s="60">
        <f t="shared" si="513"/>
        <v>8.483843584790601E-3</v>
      </c>
    </row>
    <row r="74" spans="1:61" x14ac:dyDescent="0.25">
      <c r="A74" s="3">
        <v>73</v>
      </c>
      <c r="B74" s="83" t="s">
        <v>1095</v>
      </c>
      <c r="C74" s="86">
        <v>1.9000000000000001E-8</v>
      </c>
      <c r="D74" s="182"/>
      <c r="E74" s="60">
        <f t="shared" ref="E74:V74" si="560">IFERROR(E12/$C60,0)</f>
        <v>0</v>
      </c>
      <c r="F74" s="60">
        <f t="shared" si="560"/>
        <v>0</v>
      </c>
      <c r="G74" s="60">
        <f t="shared" si="560"/>
        <v>0</v>
      </c>
      <c r="H74" s="60">
        <f t="shared" si="560"/>
        <v>0</v>
      </c>
      <c r="I74" s="60">
        <f t="shared" si="560"/>
        <v>0</v>
      </c>
      <c r="J74" s="60">
        <f t="shared" si="560"/>
        <v>0</v>
      </c>
      <c r="K74" s="60">
        <f t="shared" si="560"/>
        <v>0</v>
      </c>
      <c r="L74" s="60">
        <f t="shared" ref="L74" si="561">IFERROR(L12/$C60,0)</f>
        <v>0</v>
      </c>
      <c r="M74" s="60">
        <f t="shared" si="560"/>
        <v>0</v>
      </c>
      <c r="N74" s="60">
        <f t="shared" si="560"/>
        <v>0</v>
      </c>
      <c r="O74" s="60">
        <f t="shared" si="560"/>
        <v>4212832.4685396431</v>
      </c>
      <c r="P74" s="60">
        <f t="shared" si="560"/>
        <v>0</v>
      </c>
      <c r="Q74" s="60">
        <f t="shared" si="560"/>
        <v>0</v>
      </c>
      <c r="R74" s="60">
        <f t="shared" si="560"/>
        <v>0</v>
      </c>
      <c r="S74" s="60">
        <f t="shared" si="560"/>
        <v>0</v>
      </c>
      <c r="T74" s="60">
        <f t="shared" si="560"/>
        <v>0</v>
      </c>
      <c r="U74" s="60">
        <f t="shared" si="560"/>
        <v>0</v>
      </c>
      <c r="V74" s="60">
        <f t="shared" si="560"/>
        <v>0</v>
      </c>
      <c r="W74" s="60">
        <f t="shared" ref="W74" si="562">IFERROR(W12/$C60,0)</f>
        <v>0</v>
      </c>
      <c r="X74" s="118" t="str">
        <f t="shared" si="490"/>
        <v>.</v>
      </c>
      <c r="Y74" s="118" t="str">
        <f t="shared" si="491"/>
        <v>.</v>
      </c>
      <c r="Z74" s="118">
        <f t="shared" si="492"/>
        <v>2.373699897794998E-7</v>
      </c>
      <c r="AA74" s="118" t="str">
        <f t="shared" si="493"/>
        <v>.</v>
      </c>
      <c r="AB74" s="118" t="str">
        <f t="shared" si="494"/>
        <v>.</v>
      </c>
      <c r="AC74" s="118" t="str">
        <f t="shared" si="495"/>
        <v>.</v>
      </c>
      <c r="AD74" s="118" t="str">
        <f t="shared" si="496"/>
        <v>.</v>
      </c>
      <c r="AE74" s="118" t="str">
        <f t="shared" si="497"/>
        <v>.</v>
      </c>
      <c r="AF74" s="118" t="str">
        <f t="shared" si="498"/>
        <v>.</v>
      </c>
      <c r="AG74" s="118" t="str">
        <f t="shared" si="499"/>
        <v>.</v>
      </c>
      <c r="AH74" s="118" t="str">
        <f t="shared" si="269"/>
        <v>.</v>
      </c>
      <c r="AI74" s="60">
        <f t="shared" si="500"/>
        <v>4212832.4685396431</v>
      </c>
      <c r="AJ74" s="60">
        <f t="shared" ref="AJ74:AS74" si="563">IFERROR(AJ12/$C60,0)</f>
        <v>0</v>
      </c>
      <c r="AK74" s="60" t="str">
        <f>IFERROR(AK12,".")</f>
        <v>.</v>
      </c>
      <c r="AL74" s="60">
        <f t="shared" si="563"/>
        <v>44545269746570.242</v>
      </c>
      <c r="AM74" s="60">
        <f t="shared" si="563"/>
        <v>0</v>
      </c>
      <c r="AN74" s="60">
        <f t="shared" si="563"/>
        <v>0</v>
      </c>
      <c r="AO74" s="60">
        <f t="shared" si="563"/>
        <v>0</v>
      </c>
      <c r="AP74" s="60">
        <f t="shared" si="563"/>
        <v>0</v>
      </c>
      <c r="AQ74" s="60">
        <f t="shared" si="563"/>
        <v>0</v>
      </c>
      <c r="AR74" s="60">
        <f t="shared" si="563"/>
        <v>0</v>
      </c>
      <c r="AS74" s="60">
        <f t="shared" si="563"/>
        <v>0</v>
      </c>
      <c r="AT74" s="60">
        <f t="shared" ref="AT74" si="564">IFERROR(AT12/$C60,0)</f>
        <v>0</v>
      </c>
      <c r="AU74" s="118" t="str">
        <f t="shared" si="503"/>
        <v>.</v>
      </c>
      <c r="AV74" s="118" t="str">
        <f t="shared" si="504"/>
        <v>.</v>
      </c>
      <c r="AW74" s="118">
        <f t="shared" si="505"/>
        <v>2.2449072722856167E-14</v>
      </c>
      <c r="AX74" s="118" t="str">
        <f t="shared" si="506"/>
        <v>.</v>
      </c>
      <c r="AY74" s="118" t="str">
        <f t="shared" si="507"/>
        <v>.</v>
      </c>
      <c r="AZ74" s="118" t="str">
        <f t="shared" si="508"/>
        <v>.</v>
      </c>
      <c r="BA74" s="118" t="str">
        <f t="shared" si="509"/>
        <v>.</v>
      </c>
      <c r="BB74" s="118" t="str">
        <f t="shared" si="510"/>
        <v>.</v>
      </c>
      <c r="BC74" s="118" t="str">
        <f t="shared" si="511"/>
        <v>.</v>
      </c>
      <c r="BD74" s="118" t="str">
        <f t="shared" si="512"/>
        <v>.</v>
      </c>
      <c r="BE74" s="118" t="str">
        <f t="shared" si="282"/>
        <v>.</v>
      </c>
      <c r="BF74" s="60">
        <f t="shared" si="529"/>
        <v>44545269746570.242</v>
      </c>
      <c r="BG74" s="60">
        <f>IFERROR(BG12/$C60,0)</f>
        <v>0</v>
      </c>
      <c r="BH74" s="60">
        <f>IFERROR(BH12/$C60,0)</f>
        <v>2765136701.5600767</v>
      </c>
      <c r="BI74" s="60">
        <f t="shared" si="513"/>
        <v>2765136701.5600767</v>
      </c>
    </row>
    <row r="75" spans="1:61" x14ac:dyDescent="0.25">
      <c r="A75" s="3">
        <v>74</v>
      </c>
      <c r="B75" s="83" t="s">
        <v>1096</v>
      </c>
      <c r="C75" s="42">
        <v>1</v>
      </c>
      <c r="D75" s="178"/>
      <c r="E75" s="60">
        <f t="shared" ref="E75:V75" si="565">IFERROR(E18/$C61,0)</f>
        <v>2.2399968264155046E-5</v>
      </c>
      <c r="F75" s="60">
        <f t="shared" si="565"/>
        <v>2.0255943697052077E-4</v>
      </c>
      <c r="G75" s="60">
        <f t="shared" si="565"/>
        <v>3.6659580303806692E-4</v>
      </c>
      <c r="H75" s="60">
        <f t="shared" si="565"/>
        <v>1.3248161775656313E-4</v>
      </c>
      <c r="I75" s="60">
        <f t="shared" si="565"/>
        <v>2.2809362111948572E-5</v>
      </c>
      <c r="J75" s="60">
        <f t="shared" si="565"/>
        <v>2.3786845074626984E-4</v>
      </c>
      <c r="K75" s="60">
        <f t="shared" si="565"/>
        <v>2.2982338206845249E-4</v>
      </c>
      <c r="L75" s="60">
        <f t="shared" ref="L75" si="566">IFERROR(L18/$C61,0)</f>
        <v>1.7536810737276857E-4</v>
      </c>
      <c r="M75" s="60">
        <f t="shared" si="565"/>
        <v>0.1896833142227394</v>
      </c>
      <c r="N75" s="60">
        <f t="shared" si="565"/>
        <v>361.86115974435853</v>
      </c>
      <c r="O75" s="60">
        <f t="shared" si="565"/>
        <v>858.50104138686095</v>
      </c>
      <c r="P75" s="60">
        <f t="shared" si="565"/>
        <v>9.8122858857131959E-3</v>
      </c>
      <c r="Q75" s="60">
        <f t="shared" si="565"/>
        <v>1.1713213996588467E-3</v>
      </c>
      <c r="R75" s="60">
        <f t="shared" si="565"/>
        <v>1.6411966926999362E-3</v>
      </c>
      <c r="S75" s="60">
        <f t="shared" si="565"/>
        <v>1.2815955604975124E-2</v>
      </c>
      <c r="T75" s="60">
        <f t="shared" si="565"/>
        <v>2.0412818005073326E-2</v>
      </c>
      <c r="U75" s="60">
        <f t="shared" si="565"/>
        <v>0</v>
      </c>
      <c r="V75" s="60">
        <f t="shared" si="565"/>
        <v>1.3406363953993063E-3</v>
      </c>
      <c r="W75" s="60">
        <f t="shared" ref="W75" si="567">IFERROR(W18/$C61,0)</f>
        <v>0</v>
      </c>
      <c r="X75" s="118">
        <f t="shared" si="490"/>
        <v>5.2719450000000005</v>
      </c>
      <c r="Y75" s="118">
        <f t="shared" si="491"/>
        <v>2.7634908391562744E-3</v>
      </c>
      <c r="Z75" s="118">
        <f t="shared" si="492"/>
        <v>1.1648209516258189E-3</v>
      </c>
      <c r="AA75" s="118">
        <f t="shared" si="493"/>
        <v>101.91305182577403</v>
      </c>
      <c r="AB75" s="118">
        <f t="shared" si="494"/>
        <v>853.73664332544001</v>
      </c>
      <c r="AC75" s="118">
        <f t="shared" si="495"/>
        <v>609.31148865216016</v>
      </c>
      <c r="AD75" s="118">
        <f t="shared" si="496"/>
        <v>78.027735958433126</v>
      </c>
      <c r="AE75" s="118">
        <f t="shared" si="497"/>
        <v>48.988826518291773</v>
      </c>
      <c r="AF75" s="118" t="str">
        <f t="shared" si="498"/>
        <v>.</v>
      </c>
      <c r="AG75" s="118">
        <f t="shared" si="499"/>
        <v>745.9144055999999</v>
      </c>
      <c r="AH75" s="118" t="str">
        <f t="shared" si="269"/>
        <v>.</v>
      </c>
      <c r="AI75" s="60">
        <f t="shared" si="500"/>
        <v>4.0930463631188798E-4</v>
      </c>
      <c r="AJ75" s="60">
        <f t="shared" ref="AJ75:AS75" si="568">IFERROR(AJ18/$C61,0)</f>
        <v>1.7938800275999204E-2</v>
      </c>
      <c r="AK75" s="60" t="str">
        <f>IFERROR(AK18,".")</f>
        <v>.</v>
      </c>
      <c r="AL75" s="60">
        <f t="shared" si="568"/>
        <v>10075715776.009937</v>
      </c>
      <c r="AM75" s="60">
        <f t="shared" si="568"/>
        <v>6.0149291467434885E-3</v>
      </c>
      <c r="AN75" s="60">
        <f t="shared" si="568"/>
        <v>0.21099941351095913</v>
      </c>
      <c r="AO75" s="60">
        <f t="shared" si="568"/>
        <v>0.29564177664360231</v>
      </c>
      <c r="AP75" s="60">
        <f t="shared" si="568"/>
        <v>0.83321772173939068</v>
      </c>
      <c r="AQ75" s="60">
        <f t="shared" si="568"/>
        <v>1.2160270691152706</v>
      </c>
      <c r="AR75" s="60">
        <f t="shared" si="568"/>
        <v>0</v>
      </c>
      <c r="AS75" s="60">
        <f t="shared" si="568"/>
        <v>6.3839828352347909E-3</v>
      </c>
      <c r="AT75" s="60">
        <f t="shared" ref="AT75" si="569">IFERROR(AT18/$C61,0)</f>
        <v>0</v>
      </c>
      <c r="AU75" s="118">
        <f t="shared" si="503"/>
        <v>55.745088000000003</v>
      </c>
      <c r="AV75" s="118" t="str">
        <f t="shared" si="504"/>
        <v>.</v>
      </c>
      <c r="AW75" s="118">
        <f t="shared" si="505"/>
        <v>9.9248532037890403E-11</v>
      </c>
      <c r="AX75" s="118">
        <f t="shared" si="506"/>
        <v>166.25299743412685</v>
      </c>
      <c r="AY75" s="118">
        <f t="shared" si="507"/>
        <v>4.7393496662400008</v>
      </c>
      <c r="AZ75" s="118">
        <f t="shared" si="508"/>
        <v>3.3824718933600009</v>
      </c>
      <c r="BA75" s="118">
        <f t="shared" si="509"/>
        <v>1.2001665037950004</v>
      </c>
      <c r="BB75" s="118">
        <f t="shared" si="510"/>
        <v>0.82235011489304866</v>
      </c>
      <c r="BC75" s="118" t="str">
        <f t="shared" si="511"/>
        <v>.</v>
      </c>
      <c r="BD75" s="118">
        <f t="shared" si="512"/>
        <v>156.642025176</v>
      </c>
      <c r="BE75" s="118" t="str">
        <f t="shared" si="282"/>
        <v>.</v>
      </c>
      <c r="BF75" s="60">
        <f t="shared" si="529"/>
        <v>2.5721193404625265E-3</v>
      </c>
      <c r="BG75" s="60">
        <f>IFERROR(BG18/$C61,0)</f>
        <v>2.6620269311940573E-4</v>
      </c>
      <c r="BH75" s="60">
        <f>IFERROR(BH18/$C61,0)</f>
        <v>623700.52695803414</v>
      </c>
      <c r="BI75" s="60">
        <f t="shared" si="513"/>
        <v>2.662026930057873E-4</v>
      </c>
    </row>
    <row r="76" spans="1:61" x14ac:dyDescent="0.25">
      <c r="A76" s="3">
        <v>75</v>
      </c>
      <c r="B76" s="83" t="s">
        <v>1097</v>
      </c>
      <c r="C76" s="42">
        <v>1.339E-6</v>
      </c>
      <c r="D76" s="178"/>
      <c r="E76" s="60">
        <f t="shared" ref="E76:V76" si="570">IFERROR(E27/$C62,0)</f>
        <v>0</v>
      </c>
      <c r="F76" s="60">
        <f t="shared" si="570"/>
        <v>0</v>
      </c>
      <c r="G76" s="60">
        <f t="shared" si="570"/>
        <v>0</v>
      </c>
      <c r="H76" s="60">
        <f t="shared" si="570"/>
        <v>0</v>
      </c>
      <c r="I76" s="60">
        <f t="shared" si="570"/>
        <v>0</v>
      </c>
      <c r="J76" s="60">
        <f t="shared" si="570"/>
        <v>0</v>
      </c>
      <c r="K76" s="60">
        <f t="shared" si="570"/>
        <v>0</v>
      </c>
      <c r="L76" s="60">
        <f t="shared" ref="L76" si="571">IFERROR(L27/$C62,0)</f>
        <v>0</v>
      </c>
      <c r="M76" s="60">
        <f t="shared" si="570"/>
        <v>0</v>
      </c>
      <c r="N76" s="60">
        <f t="shared" si="570"/>
        <v>0</v>
      </c>
      <c r="O76" s="60">
        <f t="shared" si="570"/>
        <v>4732012.3029989898</v>
      </c>
      <c r="P76" s="60">
        <f t="shared" si="570"/>
        <v>0</v>
      </c>
      <c r="Q76" s="60">
        <f t="shared" si="570"/>
        <v>0</v>
      </c>
      <c r="R76" s="60">
        <f t="shared" si="570"/>
        <v>0</v>
      </c>
      <c r="S76" s="60">
        <f t="shared" si="570"/>
        <v>0</v>
      </c>
      <c r="T76" s="60">
        <f t="shared" si="570"/>
        <v>0</v>
      </c>
      <c r="U76" s="60">
        <f t="shared" si="570"/>
        <v>0</v>
      </c>
      <c r="V76" s="60">
        <f t="shared" si="570"/>
        <v>0</v>
      </c>
      <c r="W76" s="60">
        <f t="shared" ref="W76" si="572">IFERROR(W27/$C62,0)</f>
        <v>0</v>
      </c>
      <c r="X76" s="118" t="str">
        <f t="shared" si="490"/>
        <v>.</v>
      </c>
      <c r="Y76" s="118" t="str">
        <f t="shared" si="491"/>
        <v>.</v>
      </c>
      <c r="Z76" s="118">
        <f t="shared" si="492"/>
        <v>2.1132658496391349E-7</v>
      </c>
      <c r="AA76" s="118" t="str">
        <f t="shared" si="493"/>
        <v>.</v>
      </c>
      <c r="AB76" s="118" t="str">
        <f t="shared" si="494"/>
        <v>.</v>
      </c>
      <c r="AC76" s="118" t="str">
        <f t="shared" si="495"/>
        <v>.</v>
      </c>
      <c r="AD76" s="118" t="str">
        <f t="shared" si="496"/>
        <v>.</v>
      </c>
      <c r="AE76" s="118" t="str">
        <f t="shared" si="497"/>
        <v>.</v>
      </c>
      <c r="AF76" s="118" t="str">
        <f t="shared" si="498"/>
        <v>.</v>
      </c>
      <c r="AG76" s="118" t="str">
        <f t="shared" si="499"/>
        <v>.</v>
      </c>
      <c r="AH76" s="118" t="str">
        <f t="shared" si="269"/>
        <v>.</v>
      </c>
      <c r="AI76" s="60">
        <f t="shared" si="500"/>
        <v>4732012.3029989898</v>
      </c>
      <c r="AJ76" s="60">
        <f t="shared" ref="AJ76:AS76" si="573">IFERROR(AJ27/$C62,0)</f>
        <v>0</v>
      </c>
      <c r="AK76" s="60" t="str">
        <f>IFERROR(AK27,".")</f>
        <v>.</v>
      </c>
      <c r="AL76" s="60">
        <f t="shared" si="573"/>
        <v>46402972829520.492</v>
      </c>
      <c r="AM76" s="60">
        <f t="shared" si="573"/>
        <v>0</v>
      </c>
      <c r="AN76" s="60">
        <f t="shared" si="573"/>
        <v>0</v>
      </c>
      <c r="AO76" s="60">
        <f t="shared" si="573"/>
        <v>0</v>
      </c>
      <c r="AP76" s="60">
        <f t="shared" si="573"/>
        <v>0</v>
      </c>
      <c r="AQ76" s="60">
        <f t="shared" si="573"/>
        <v>0</v>
      </c>
      <c r="AR76" s="60">
        <f t="shared" si="573"/>
        <v>0</v>
      </c>
      <c r="AS76" s="60">
        <f t="shared" si="573"/>
        <v>0</v>
      </c>
      <c r="AT76" s="60">
        <f t="shared" ref="AT76" si="574">IFERROR(AT27/$C62,0)</f>
        <v>0</v>
      </c>
      <c r="AU76" s="118" t="str">
        <f t="shared" si="503"/>
        <v>.</v>
      </c>
      <c r="AV76" s="118" t="str">
        <f t="shared" si="504"/>
        <v>.</v>
      </c>
      <c r="AW76" s="118">
        <f t="shared" si="505"/>
        <v>2.1550343416011123E-14</v>
      </c>
      <c r="AX76" s="118" t="str">
        <f t="shared" si="506"/>
        <v>.</v>
      </c>
      <c r="AY76" s="118" t="str">
        <f t="shared" si="507"/>
        <v>.</v>
      </c>
      <c r="AZ76" s="118" t="str">
        <f t="shared" si="508"/>
        <v>.</v>
      </c>
      <c r="BA76" s="118" t="str">
        <f t="shared" si="509"/>
        <v>.</v>
      </c>
      <c r="BB76" s="118" t="str">
        <f t="shared" si="510"/>
        <v>.</v>
      </c>
      <c r="BC76" s="118" t="str">
        <f t="shared" si="511"/>
        <v>.</v>
      </c>
      <c r="BD76" s="118" t="str">
        <f t="shared" si="512"/>
        <v>.</v>
      </c>
      <c r="BE76" s="118" t="str">
        <f t="shared" si="282"/>
        <v>.</v>
      </c>
      <c r="BF76" s="60">
        <f t="shared" si="529"/>
        <v>46402972829520.492</v>
      </c>
      <c r="BG76" s="60">
        <f>IFERROR(BG27/$C62,0)</f>
        <v>0</v>
      </c>
      <c r="BH76" s="60">
        <f>IFERROR(BH27/$C62,0)</f>
        <v>2071489232.7265284</v>
      </c>
      <c r="BI76" s="60">
        <f t="shared" si="513"/>
        <v>2071489232.7265282</v>
      </c>
    </row>
  </sheetData>
  <sheetProtection algorithmName="SHA-512" hashValue="P+ue6dMGwofQGMst2LP18LtxK+Bu8qeBGYmpiu5TFGYbSB3Wym8RDGk0FCi3m7pIFRbTX+2/VHUNy+8/c7BRxA==" saltValue="FLv+0wqlYGV+7orBRgYg5Q==" spinCount="100000" sheet="1" formatColumns="0" formatRows="0" autoFilter="0"/>
  <autoFilter ref="B1:BI76" xr:uid="{00000000-0009-0000-0000-000008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9" tint="-0.499984740745262"/>
  </sheetPr>
  <dimension ref="A1:X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42578125" style="4" bestFit="1" customWidth="1"/>
    <col min="2" max="2" width="13.28515625" style="4" bestFit="1" customWidth="1"/>
    <col min="3" max="3" width="13.28515625" style="4" customWidth="1"/>
    <col min="4" max="4" width="14.42578125" style="3" bestFit="1" customWidth="1"/>
    <col min="5" max="5" width="14.5703125" style="3" bestFit="1" customWidth="1"/>
    <col min="6" max="6" width="14.28515625" style="3" bestFit="1" customWidth="1"/>
    <col min="7" max="7" width="14.140625" style="3" bestFit="1" customWidth="1"/>
    <col min="8" max="8" width="13.5703125" style="3" bestFit="1" customWidth="1"/>
    <col min="9" max="10" width="15.42578125" style="3" bestFit="1" customWidth="1"/>
    <col min="11" max="11" width="16.42578125" style="3" bestFit="1" customWidth="1"/>
    <col min="12" max="13" width="13.85546875" style="3" bestFit="1" customWidth="1"/>
    <col min="14" max="14" width="14.140625" style="3" bestFit="1" customWidth="1"/>
    <col min="15" max="15" width="13.28515625" style="3" bestFit="1" customWidth="1"/>
    <col min="16" max="16" width="14.28515625" style="3" bestFit="1" customWidth="1"/>
    <col min="17" max="17" width="15.5703125" style="3" bestFit="1" customWidth="1"/>
    <col min="18" max="18" width="14" style="3" bestFit="1" customWidth="1"/>
    <col min="19" max="19" width="15.85546875" style="3" bestFit="1" customWidth="1"/>
    <col min="20" max="20" width="20.140625" style="3" bestFit="1" customWidth="1"/>
    <col min="21" max="21" width="20.28515625" style="3" bestFit="1" customWidth="1"/>
    <col min="22" max="22" width="14.85546875" style="3" bestFit="1" customWidth="1"/>
    <col min="23" max="24" width="19.28515625" style="3" bestFit="1" customWidth="1"/>
    <col min="25" max="16384" width="9.140625" style="3"/>
  </cols>
  <sheetData>
    <row r="1" spans="1:24" x14ac:dyDescent="0.25">
      <c r="A1" s="78" t="s">
        <v>51</v>
      </c>
      <c r="B1" s="79" t="s">
        <v>348</v>
      </c>
      <c r="C1" s="78"/>
      <c r="D1" s="15" t="s">
        <v>1165</v>
      </c>
      <c r="E1" s="15" t="s">
        <v>1166</v>
      </c>
      <c r="F1" s="15" t="s">
        <v>1167</v>
      </c>
      <c r="G1" s="15" t="s">
        <v>1168</v>
      </c>
      <c r="H1" s="42" t="s">
        <v>1216</v>
      </c>
      <c r="I1" s="42" t="s">
        <v>1217</v>
      </c>
      <c r="J1" s="42" t="s">
        <v>1218</v>
      </c>
      <c r="K1" s="42" t="s">
        <v>1219</v>
      </c>
      <c r="L1" s="42" t="s">
        <v>1220</v>
      </c>
      <c r="M1" s="42" t="s">
        <v>1205</v>
      </c>
      <c r="N1" s="42" t="s">
        <v>1206</v>
      </c>
      <c r="O1" s="42" t="s">
        <v>1207</v>
      </c>
      <c r="P1" s="15" t="s">
        <v>1169</v>
      </c>
      <c r="Q1" s="15" t="s">
        <v>1209</v>
      </c>
      <c r="R1" s="15" t="s">
        <v>1198</v>
      </c>
      <c r="S1" s="15" t="s">
        <v>1210</v>
      </c>
      <c r="T1" s="15" t="s">
        <v>1215</v>
      </c>
      <c r="U1" s="15" t="s">
        <v>1212</v>
      </c>
      <c r="V1" s="15" t="s">
        <v>1211</v>
      </c>
      <c r="W1" s="15" t="s">
        <v>1214</v>
      </c>
      <c r="X1" s="15" t="s">
        <v>1213</v>
      </c>
    </row>
    <row r="2" spans="1:24" customFormat="1" x14ac:dyDescent="0.25">
      <c r="A2" s="44" t="s">
        <v>12</v>
      </c>
      <c r="B2" s="42" t="s">
        <v>1071</v>
      </c>
      <c r="C2" s="42"/>
      <c r="D2" s="15">
        <f>IFERROR(((TR)/(RadSpec!E2*IFS_rec_adj*(1/1000))),".")</f>
        <v>8.5312585312585316</v>
      </c>
      <c r="E2" s="15">
        <f>IFERROR(IF(A2="H-3",(TR/(RadSpec!H2*IFA_rec_adj*(1/17)*1000))*RadSpec!#REF!,(TR/(RadSpec!H2*IFA_rec_adj*(1/PEF_wind)*1000))),".")</f>
        <v>33105.690314507985</v>
      </c>
      <c r="F2" s="15">
        <f>IFERROR((TR/(RadSpec!G2*EF_rec*(1/365)*ED_rec*d_acf!D2*ET_rec*(1/24)*RadSpec!W2)),".")</f>
        <v>1171.1928967994074</v>
      </c>
      <c r="G2" s="15">
        <f t="shared" ref="G2" si="0">(IF(AND(ISNUMBER(D2),ISNUMBER(E2),ISNUMBER(F2)),1/((1/D2)+(1/E2)+(1/F2)),IF(AND(ISNUMBER(D2),ISNUMBER(E2),NOT(ISNUMBER(F2))), 1/((1/D2)+(1/E2)),IF(AND(ISNUMBER(D2),NOT(ISNUMBER(E2)),ISNUMBER(F2)),1/((1/D2)+(1/F2)),IF(AND(NOT(ISNUMBER(D2)),ISNUMBER(E2),ISNUMBER(F2)),1/((1/E2)+(1/F2)),IF(AND(ISNUMBER(D2),NOT(ISNUMBER(E2)),NOT(ISNUMBER(F2))),1/((1/D2)),IF(AND(NOT(ISNUMBER(D2)),NOT(ISNUMBER(E2)),ISNUMBER(F2)),1/((1/F2)),IF(AND(NOT(ISNUMBER(D2)),ISNUMBER(E2),NOT(ISNUMBER(F2))),1/((1/E2)),IF(AND(NOT(ISNUMBER(D2)),NOT(ISNUMBER(E2)),NOT(ISNUMBER(F2))),".")))))))))</f>
        <v>8.4673978837590838</v>
      </c>
      <c r="H2" s="15">
        <f>IFERROR((TR/(RadSpec!G2*EF_rec*(1/365)*ED_rec*d_acf!D2*ET_rec*(1/24)*RadSpec!W2)),".")</f>
        <v>1171.1928967994074</v>
      </c>
      <c r="I2" s="15">
        <f>IFERROR((TR/(RadSpec!N2*EF_rec*(1/365)*ED_rec*d_acf!E2*ET_rec*(1/24)*RadSpec!S2)),".")</f>
        <v>4028.5060175334456</v>
      </c>
      <c r="J2" s="15">
        <f>IFERROR((TR/(RadSpec!O2*EF_rec*(1/365)*ED_rec*d_acf!F2*ET_rec*(1/24)*RadSpec!T2)),".")</f>
        <v>1656.8835906962897</v>
      </c>
      <c r="K2" s="15">
        <f>IFERROR((TR/(RadSpec!P2*EF_rec*(1/365)*ED_rec*d_acf!G2*ET_rec*(1/24)*RadSpec!Z2)),".")</f>
        <v>1160.1337997803114</v>
      </c>
      <c r="L2" s="15">
        <f>IFERROR((TR/(RadSpec!L2*EF_rec*(1/365)*ED_rec*d_acf!C2*ET_rec*(1/24)*RadSpec!V2)),".")</f>
        <v>3899.1883135736875</v>
      </c>
      <c r="M2" s="15">
        <f>IFERROR((TR/(RadSpec!H2*IFA_rec_adj)),".")</f>
        <v>2.4354158168080221E-2</v>
      </c>
      <c r="N2" s="15">
        <f>IFERROR((TR/(RadSpec!K2*EF_rec*(1/365)*ED_rec*ET_rec*(1/24)*GSF_a)),".")</f>
        <v>87241.919863629271</v>
      </c>
      <c r="O2" s="15">
        <f t="shared" ref="O2" si="1">IFERROR(IF(AND(M2&lt;&gt;0,N2&lt;&gt;0),1/((1/M2)+(1/N2)),IF(AND(M2&lt;&gt;0,N2=0),1/((1/M2)),IF(AND(M2=0,N2&lt;&gt;0),1/((1/N2)),IF(AND(M2=0,N2=0),0)))),0)</f>
        <v>2.4354151369458007E-2</v>
      </c>
      <c r="P2" s="15">
        <f>IFERROR(TR/(RadSpec!I2*IFW_rec_adj),".")</f>
        <v>24.150896734871214</v>
      </c>
      <c r="Q2" s="15">
        <f>IFERROR(TR/(RadSpec!M2*(1/8760)*DFA_rec_adj),".")</f>
        <v>39379413.162600324</v>
      </c>
      <c r="R2" s="15">
        <f t="shared" ref="R2" si="2">IFERROR(IF(AND(P2&lt;&gt;0,Q2&lt;&gt;0),1/((1/P2)+(1/Q2)),IF(AND(P2&lt;&gt;0,Q2=0),1/((1/P2)),IF(AND(P2=0,Q2&lt;&gt;0),1/((1/Q2)),IF(AND(P2=0,Q2=0),0)))),0)</f>
        <v>24.150881923440355</v>
      </c>
      <c r="S2" s="15">
        <f>IFERROR(TR/(RadSpec!F2*EF_rec*ED_rec*IRGL_rec*CF_game),".")</f>
        <v>1.8882852670318606</v>
      </c>
      <c r="T2" s="15">
        <f>IFERROR((S2/(RadSpec!AI2*((Q_p_game*f_p_game*f_s_game*(RadSpec!BD2+R_es_past))+(Q_s_game*f_p_game)))),".")</f>
        <v>69936.491371550394</v>
      </c>
      <c r="U2" s="15">
        <f>IFERROR(S2/(RadSpec!AI2*Q_w_game*(1/1000)),".")</f>
        <v>94414263.351593032</v>
      </c>
      <c r="V2" s="15">
        <f>IFERROR(TR/(RadSpec!F2*EF_rec*ED_rec*IRGF_rec*CF_fowl),".")</f>
        <v>1.8882852670318606</v>
      </c>
      <c r="W2" s="15" t="str">
        <f>IFERROR((S2/(RadSpec!AL2*((Q_p_fowl*f_p_fowl*f_s_fowl*(RadSpec!BD2+R_es_past))+(Q_s_fowl*f_p_fowl)))),".")</f>
        <v>.</v>
      </c>
      <c r="X2" s="15" t="str">
        <f>IFERROR(S2/(RadSpec!AL2*Q_w_fowl*(1/1000)),".")</f>
        <v>.</v>
      </c>
    </row>
    <row r="3" spans="1:24" x14ac:dyDescent="0.25">
      <c r="A3" s="46" t="s">
        <v>13</v>
      </c>
      <c r="B3" s="42" t="s">
        <v>349</v>
      </c>
      <c r="C3" s="42"/>
      <c r="D3" s="15">
        <f>IFERROR(((TR)/(RadSpec!E3*IFS_rec_adj*(1/1000))),".")</f>
        <v>22.612974420203336</v>
      </c>
      <c r="E3" s="15">
        <f>IFERROR(IF(A3="H-3",(TR/(RadSpec!H3*IFA_rec_adj*(1/17)*1000))*RadSpec!#REF!,(TR/(RadSpec!H3*IFA_rec_adj*(1/PEF_wind)*1000))),".")</f>
        <v>25056.463649804085</v>
      </c>
      <c r="F3" s="15">
        <f>IFERROR((TR/(RadSpec!G3*EF_rec*(1/365)*ED_rec*d_acf!D3*ET_rec*(1/24)*RadSpec!W3)),".")</f>
        <v>1507.4078558715651</v>
      </c>
      <c r="G3" s="15">
        <f>IF(AND(D3&lt;&gt;".",E3&lt;&gt;".",F3&lt;&gt;"."),1/((1/D3)+(1/E3)+(1/F3)),IF(AND(D3&lt;&gt;".",E3&lt;&gt;".",F3="."), 1/((1/D3)+(1/E3)),IF(AND(D3&lt;&gt;".",E3=".",F3&lt;&gt;"."),1/((1/D3)+(1/F3)),IF(AND(D3=".",E3&lt;&gt;".",F3&lt;&gt;"."),1/((1/E3)+(1/F3)),IF(AND(D3&lt;&gt;".",E3=".",F3="."),1/((1/D3)),IF(AND(D3=".",E3&lt;&gt;".",F3="."),1/((1/E3)),IF(AND(D3=".",E3=".",F3&lt;&gt;"."),1/((1/F3)),IF(AND(D3=".",E3=".",F3="."),"."))))))))</f>
        <v>22.25897409955094</v>
      </c>
      <c r="H3" s="15">
        <f>IFERROR((TR/(RadSpec!G3*EF_rec*(1/365)*ED_rec*d_acf!D3*ET_rec*(1/24)*RadSpec!W3)),".")</f>
        <v>1507.4078558715651</v>
      </c>
      <c r="I3" s="15">
        <f>IFERROR((TR/(RadSpec!N3*EF_rec*(1/365)*ED_rec*d_acf!E3*ET_rec*(1/24)*RadSpec!S3)),".")</f>
        <v>3453.8858090458807</v>
      </c>
      <c r="J3" s="15">
        <f>IFERROR((TR/(RadSpec!O3*EF_rec*(1/365)*ED_rec*d_acf!F3*ET_rec*(1/24)*RadSpec!T3)),".")</f>
        <v>1833.696367950899</v>
      </c>
      <c r="K3" s="15">
        <f>IFERROR((TR/(RadSpec!P3*EF_rec*(1/365)*ED_rec*d_acf!G3*ET_rec*(1/24)*RadSpec!Z3)),".")</f>
        <v>1674.8673383687362</v>
      </c>
      <c r="L3" s="15">
        <f>IFERROR((TR/(RadSpec!L3*EF_rec*(1/365)*ED_rec*d_acf!C3*ET_rec*(1/24)*RadSpec!V3)),".")</f>
        <v>2849.1543167228629</v>
      </c>
      <c r="M3" s="15">
        <f>IFERROR((TR/(RadSpec!H3*IFA_rec_adj)),".")</f>
        <v>1.8432755005645032E-2</v>
      </c>
      <c r="N3" s="15">
        <f>IFERROR((TR/(RadSpec!K3*EF_rec*(1/365)*ED_rec*ET_rec*(1/24)*GSF_a)),".")</f>
        <v>77411.844386037235</v>
      </c>
      <c r="O3" s="15">
        <f t="shared" ref="O3" si="3">IFERROR(IF(AND(M3&lt;&gt;0,N3&lt;&gt;0),1/((1/M3)+(1/N3)),IF(AND(M3&lt;&gt;0,N3=0),1/((1/M3)),IF(AND(M3=0,N3&lt;&gt;0),1/((1/N3)),IF(AND(M3=0,N3=0),0)))),0)</f>
        <v>1.8432750616570223E-2</v>
      </c>
      <c r="P3" s="15">
        <f>IFERROR(TR/(RadSpec!I3*IFW_rec_adj),".")</f>
        <v>44.075386541139963</v>
      </c>
      <c r="Q3" s="15">
        <f>IFERROR(TR/(RadSpec!M3*(1/8760)*DFA_rec_adj),".")</f>
        <v>34047510.318460628</v>
      </c>
      <c r="R3" s="15">
        <f t="shared" ref="R3" si="4">IFERROR(IF(AND(P3&lt;&gt;0,Q3&lt;&gt;0),1/((1/P3)+(1/Q3)),IF(AND(P3&lt;&gt;0,Q3=0),1/((1/P3)),IF(AND(P3=0,Q3&lt;&gt;0),1/((1/Q3)),IF(AND(P3=0,Q3=0),0)))),0)</f>
        <v>44.075329484481024</v>
      </c>
      <c r="S3" s="15">
        <f>IFERROR(TR/(RadSpec!F3*EF_rec*ED_rec*IRGL_rec*CF_game),".")</f>
        <v>3.8393390193944206</v>
      </c>
      <c r="T3" s="15">
        <f>IFERROR((S3/(RadSpec!AI3*((Q_p_game*f_p_game*f_s_game*(RadSpec!BD3+R_es_past))+(Q_s_game*f_p_game)))),".")</f>
        <v>6142.8181625257166</v>
      </c>
      <c r="U3" s="15">
        <f>IFERROR(S3/(RadSpec!AI3*Q_w_game*(1/1000)),".")</f>
        <v>7678678.0387888411</v>
      </c>
      <c r="V3" s="15">
        <f>IFERROR(TR/(RadSpec!F3*EF_rec*ED_rec*IRGF_rec*CF_fowl),".")</f>
        <v>3.8393390193944206</v>
      </c>
      <c r="W3" s="15">
        <f>IFERROR((S3/(RadSpec!AL3*((Q_p_fowl*f_p_fowl*f_s_fowl*(RadSpec!BD3+R_es_past))+(Q_s_fowl*f_p_fowl)))),".")</f>
        <v>511.90151354380964</v>
      </c>
      <c r="X3" s="15">
        <f>IFERROR(S3/(RadSpec!AL3*Q_w_fowl*(1/1000)),".")</f>
        <v>639889.8365657368</v>
      </c>
    </row>
    <row r="4" spans="1:24" customFormat="1" x14ac:dyDescent="0.25">
      <c r="A4" s="44" t="s">
        <v>14</v>
      </c>
      <c r="B4" s="42" t="s">
        <v>1071</v>
      </c>
      <c r="C4" s="42"/>
      <c r="D4" s="15" t="str">
        <f>IFERROR(((TR)/(RadSpec!E4*IFS_rec_adj*(1/1000))),".")</f>
        <v>.</v>
      </c>
      <c r="E4" s="15" t="str">
        <f>IFERROR(IF(A4="H-3",(TR/(RadSpec!H4*IFA_rec_adj*(1/17)*1000))*RadSpec!#REF!,(TR/(RadSpec!H4*IFA_rec_adj*(1/PEF_wind)*1000))),".")</f>
        <v>.</v>
      </c>
      <c r="F4" s="15">
        <f>IFERROR((TR/(RadSpec!G4*EF_rec*(1/365)*ED_rec*d_acf!D4*ET_rec*(1/24)*RadSpec!W4)),".")</f>
        <v>63226.929005186066</v>
      </c>
      <c r="G4" s="15">
        <f t="shared" ref="G4:G5" si="5">IF(AND(D4&lt;&gt;".",E4&lt;&gt;".",F4&lt;&gt;"."),1/((1/D4)+(1/E4)+(1/F4)),IF(AND(D4&lt;&gt;".",E4&lt;&gt;".",F4="."), 1/((1/D4)+(1/E4)),IF(AND(D4&lt;&gt;".",E4=".",F4&lt;&gt;"."),1/((1/D4)+(1/F4)),IF(AND(D4=".",E4&lt;&gt;".",F4&lt;&gt;"."),1/((1/E4)+(1/F4)),IF(AND(D4&lt;&gt;".",E4=".",F4="."),1/((1/D4)),IF(AND(D4=".",E4&lt;&gt;".",F4="."),1/((1/E4)),IF(AND(D4=".",E4=".",F4&lt;&gt;"."),1/((1/F4)),IF(AND(D4=".",E4=".",F4="."),"."))))))))</f>
        <v>63226.929005186066</v>
      </c>
      <c r="H4" s="15">
        <f>IFERROR((TR/(RadSpec!G4*EF_rec*(1/365)*ED_rec*d_acf!D4*ET_rec*(1/24)*RadSpec!W4)),".")</f>
        <v>63226.929005186066</v>
      </c>
      <c r="I4" s="15">
        <f>IFERROR((TR/(RadSpec!N4*EF_rec*(1/365)*ED_rec*d_acf!E4*ET_rec*(1/24)*RadSpec!S4)),".")</f>
        <v>408720.34156996419</v>
      </c>
      <c r="J4" s="15">
        <f>IFERROR((TR/(RadSpec!O4*EF_rec*(1/365)*ED_rec*d_acf!F4*ET_rec*(1/24)*RadSpec!T4)),".")</f>
        <v>105671.13645591572</v>
      </c>
      <c r="K4" s="15">
        <f>IFERROR((TR/(RadSpec!P4*EF_rec*(1/365)*ED_rec*d_acf!G4*ET_rec*(1/24)*RadSpec!Z4)),".")</f>
        <v>61058.403800489687</v>
      </c>
      <c r="L4" s="15">
        <f>IFERROR((TR/(RadSpec!L4*EF_rec*(1/365)*ED_rec*d_acf!C4*ET_rec*(1/24)*RadSpec!V4)),".")</f>
        <v>503176.98850924254</v>
      </c>
      <c r="M4" s="15" t="str">
        <f>IFERROR((TR/(RadSpec!H4*IFA_rec_adj)),".")</f>
        <v>.</v>
      </c>
      <c r="N4" s="15">
        <f>IFERROR((TR/(RadSpec!K4*EF_rec*(1/365)*ED_rec*ET_rec*(1/24)*GSF_a)),".")</f>
        <v>4602115.6291699177</v>
      </c>
      <c r="O4" s="15">
        <f t="shared" ref="O4:O5" si="6">IFERROR(IF(AND(M4&lt;&gt;0,N4&lt;&gt;0),1/((1/M4)+(1/N4)),IF(AND(M4&lt;&gt;0,N4=0),1/((1/M4)),IF(AND(M4=0,N4&lt;&gt;0),1/((1/N4)),IF(AND(M4=0,N4=0),0)))),0)</f>
        <v>0</v>
      </c>
      <c r="P4" s="15" t="str">
        <f>IFERROR(TR/(RadSpec!I4*IFW_rec_adj),".")</f>
        <v>.</v>
      </c>
      <c r="Q4" s="15">
        <f>IFERROR(TR/(RadSpec!M4*(1/8760)*DFA_rec_adj),".")</f>
        <v>2102387249.1727059</v>
      </c>
      <c r="R4" s="15">
        <f t="shared" ref="R4:R5" si="7">IFERROR(IF(AND(P4&lt;&gt;0,Q4&lt;&gt;0),1/((1/P4)+(1/Q4)),IF(AND(P4&lt;&gt;0,Q4=0),1/((1/P4)),IF(AND(P4=0,Q4&lt;&gt;0),1/((1/Q4)),IF(AND(P4=0,Q4=0),0)))),0)</f>
        <v>0</v>
      </c>
      <c r="S4" s="15" t="str">
        <f>IFERROR(TR/(RadSpec!F4*EF_rec*ED_rec*IRGL_rec*CF_game),".")</f>
        <v>.</v>
      </c>
      <c r="T4" s="15" t="str">
        <f>IFERROR((S4/(RadSpec!AI4*((Q_p_game*f_p_game*f_s_game*(RadSpec!BD4+R_es_past))+(Q_s_game*f_p_game)))),".")</f>
        <v>.</v>
      </c>
      <c r="U4" s="15" t="str">
        <f>IFERROR(S4/(RadSpec!AI4*Q_w_game*(1/1000)),".")</f>
        <v>.</v>
      </c>
      <c r="V4" s="15" t="str">
        <f>IFERROR(TR/(RadSpec!F4*EF_rec*ED_rec*IRGF_rec*CF_fowl),".")</f>
        <v>.</v>
      </c>
      <c r="W4" s="15" t="str">
        <f>IFERROR((S4/(RadSpec!AL4*((Q_p_fowl*f_p_fowl*f_s_fowl*(RadSpec!BD4+R_es_past))+(Q_s_fowl*f_p_fowl)))),".")</f>
        <v>.</v>
      </c>
      <c r="X4" s="15" t="str">
        <f>IFERROR(S4/(RadSpec!AL4*Q_w_fowl*(1/1000)),".")</f>
        <v>.</v>
      </c>
    </row>
    <row r="5" spans="1:24" customFormat="1" x14ac:dyDescent="0.25">
      <c r="A5" s="44" t="s">
        <v>15</v>
      </c>
      <c r="B5" s="42" t="s">
        <v>1071</v>
      </c>
      <c r="C5" s="249"/>
      <c r="D5" s="15" t="str">
        <f>IFERROR(((TR)/(RadSpec!E5*IFS_rec_adj*(1/1000))),".")</f>
        <v>.</v>
      </c>
      <c r="E5" s="15" t="str">
        <f>IFERROR(IF(A5="H-3",(TR/(RadSpec!H5*IFA_rec_adj*(1/17)*1000))*RadSpec!#REF!,(TR/(RadSpec!H5*IFA_rec_adj*(1/PEF_wind)*1000))),".")</f>
        <v>.</v>
      </c>
      <c r="F5" s="15">
        <f>IFERROR((TR/(RadSpec!G5*EF_rec*(1/365)*ED_rec*d_acf!D5*ET_rec*(1/24)*RadSpec!W5)),".")</f>
        <v>181908.68397097167</v>
      </c>
      <c r="G5" s="15">
        <f t="shared" si="5"/>
        <v>181908.68397097167</v>
      </c>
      <c r="H5" s="15">
        <f>IFERROR((TR/(RadSpec!G5*EF_rec*(1/365)*ED_rec*d_acf!D5*ET_rec*(1/24)*RadSpec!W5)),".")</f>
        <v>181908.68397097167</v>
      </c>
      <c r="I5" s="15">
        <f>IFERROR((TR/(RadSpec!N5*EF_rec*(1/365)*ED_rec*d_acf!E5*ET_rec*(1/24)*RadSpec!S5)),".")</f>
        <v>661168.96704371367</v>
      </c>
      <c r="J5" s="15">
        <f>IFERROR((TR/(RadSpec!O5*EF_rec*(1/365)*ED_rec*d_acf!F5*ET_rec*(1/24)*RadSpec!T5)),".")</f>
        <v>300813.03731741855</v>
      </c>
      <c r="K5" s="15">
        <f>IFERROR((TR/(RadSpec!P5*EF_rec*(1/365)*ED_rec*d_acf!G5*ET_rec*(1/24)*RadSpec!Z5)),".")</f>
        <v>195198.81613323445</v>
      </c>
      <c r="L5" s="15">
        <f>IFERROR((TR/(RadSpec!L5*EF_rec*(1/365)*ED_rec*d_acf!C5*ET_rec*(1/24)*RadSpec!V5)),".")</f>
        <v>249991.46627589676</v>
      </c>
      <c r="M5" s="15" t="str">
        <f>IFERROR((TR/(RadSpec!H5*IFA_rec_adj)),".")</f>
        <v>.</v>
      </c>
      <c r="N5" s="15">
        <f>IFERROR((TR/(RadSpec!K5*EF_rec*(1/365)*ED_rec*ET_rec*(1/24)*GSF_a)),".")</f>
        <v>145733661.59038073</v>
      </c>
      <c r="O5" s="15">
        <f t="shared" si="6"/>
        <v>0</v>
      </c>
      <c r="P5" s="15" t="str">
        <f>IFERROR(TR/(RadSpec!I5*IFW_rec_adj),".")</f>
        <v>.</v>
      </c>
      <c r="Q5" s="15">
        <f>IFERROR(TR/(RadSpec!M5*(1/8760)*DFA_rec_adj),".")</f>
        <v>87639377357.313232</v>
      </c>
      <c r="R5" s="15">
        <f t="shared" si="7"/>
        <v>0</v>
      </c>
      <c r="S5" s="15" t="str">
        <f>IFERROR(TR/(RadSpec!F5*EF_rec*ED_rec*IRGL_rec*CF_game),".")</f>
        <v>.</v>
      </c>
      <c r="T5" s="15" t="str">
        <f>IFERROR((S5/(RadSpec!AI5*((Q_p_game*f_p_game*f_s_game*(RadSpec!BD5+R_es_past))+(Q_s_game*f_p_game)))),".")</f>
        <v>.</v>
      </c>
      <c r="U5" s="15" t="str">
        <f>IFERROR(S5/(RadSpec!AI5*Q_w_game*(1/1000)),".")</f>
        <v>.</v>
      </c>
      <c r="V5" s="15" t="str">
        <f>IFERROR(TR/(RadSpec!F5*EF_rec*ED_rec*IRGF_rec*CF_fowl),".")</f>
        <v>.</v>
      </c>
      <c r="W5" s="15" t="str">
        <f>IFERROR((S5/(RadSpec!AL5*((Q_p_fowl*f_p_fowl*f_s_fowl*(RadSpec!BD5+R_es_past))+(Q_s_fowl*f_p_fowl)))),".")</f>
        <v>.</v>
      </c>
      <c r="X5" s="15" t="str">
        <f>IFERROR(S5/(RadSpec!AL5*Q_w_fowl*(1/1000)),".")</f>
        <v>.</v>
      </c>
    </row>
    <row r="6" spans="1:24" customFormat="1" x14ac:dyDescent="0.25">
      <c r="A6" s="44" t="s">
        <v>16</v>
      </c>
      <c r="B6" s="42" t="s">
        <v>1071</v>
      </c>
      <c r="C6" s="42"/>
      <c r="D6" s="15" t="str">
        <f>IFERROR(((TR)/(RadSpec!E6*IFS_rec_adj*(1/1000))),".")</f>
        <v>.</v>
      </c>
      <c r="E6" s="15" t="str">
        <f>IFERROR(IF(A6="H-3",(TR/(RadSpec!H6*IFA_rec_adj*(1/17)*1000))*RadSpec!#REF!,(TR/(RadSpec!H6*IFA_rec_adj*(1/PEF_wind)*1000))),".")</f>
        <v>.</v>
      </c>
      <c r="F6" s="15">
        <f>IFERROR((TR/(RadSpec!G6*EF_rec*(1/365)*ED_rec*d_acf!D6*ET_rec*(1/24)*RadSpec!W6)),".")</f>
        <v>19.088452532855044</v>
      </c>
      <c r="G6" s="15">
        <f>IF(AND(D6&lt;&gt;".",E6&lt;&gt;".",F6&lt;&gt;"."),1/((1/D6)+(1/E6)+(1/F6)),IF(AND(D6&lt;&gt;".",E6&lt;&gt;".",F6="."), 1/((1/D6)+(1/E6)),IF(AND(D6&lt;&gt;".",E6=".",F6&lt;&gt;"."),1/((1/D6)+(1/F6)),IF(AND(D6=".",E6&lt;&gt;".",F6&lt;&gt;"."),1/((1/E6)+(1/F6)),IF(AND(D6&lt;&gt;".",E6=".",F6="."),1/((1/D6)),IF(AND(D6=".",E6&lt;&gt;".",F6="."),1/((1/E6)),IF(AND(D6=".",E6=".",F6&lt;&gt;"."),1/((1/F6)),IF(AND(D6=".",E6=".",F6="."),"."))))))))</f>
        <v>19.088452532855044</v>
      </c>
      <c r="H6" s="15">
        <f>IFERROR((TR/(RadSpec!G6*EF_rec*(1/365)*ED_rec*d_acf!D6*ET_rec*(1/24)*RadSpec!W6)),".")</f>
        <v>19.088452532855044</v>
      </c>
      <c r="I6" s="15">
        <f>IFERROR((TR/(RadSpec!N6*EF_rec*(1/365)*ED_rec*d_acf!E6*ET_rec*(1/24)*RadSpec!S6)),".")</f>
        <v>175.96657413689536</v>
      </c>
      <c r="J6" s="15">
        <f>IFERROR((TR/(RadSpec!O6*EF_rec*(1/365)*ED_rec*d_acf!F6*ET_rec*(1/24)*RadSpec!T6)),".")</f>
        <v>42.989175061702433</v>
      </c>
      <c r="K6" s="15">
        <f>IFERROR((TR/(RadSpec!P6*EF_rec*(1/365)*ED_rec*d_acf!G6*ET_rec*(1/24)*RadSpec!Z6)),".")</f>
        <v>21.507455245141884</v>
      </c>
      <c r="L6" s="15">
        <f>IFERROR((TR/(RadSpec!L6*EF_rec*(1/365)*ED_rec*d_acf!C6*ET_rec*(1/24)*RadSpec!V6)),".")</f>
        <v>267.93957154698728</v>
      </c>
      <c r="M6" s="15" t="str">
        <f>IFERROR((TR/(RadSpec!H6*IFA_rec_adj)),".")</f>
        <v>.</v>
      </c>
      <c r="N6" s="15">
        <f>IFERROR((TR/(RadSpec!K6*EF_rec*(1/365)*ED_rec*ET_rec*(1/24)*GSF_a)),".")</f>
        <v>1781.1891972157646</v>
      </c>
      <c r="O6" s="15">
        <f t="shared" ref="O6" si="8">IFERROR(IF(AND(M6&lt;&gt;0,N6&lt;&gt;0),1/((1/M6)+(1/N6)),IF(AND(M6&lt;&gt;0,N6=0),1/((1/M6)),IF(AND(M6=0,N6&lt;&gt;0),1/((1/N6)),IF(AND(M6=0,N6=0),0)))),0)</f>
        <v>0</v>
      </c>
      <c r="P6" s="15" t="str">
        <f>IFERROR(TR/(RadSpec!I6*IFW_rec_adj),".")</f>
        <v>.</v>
      </c>
      <c r="Q6" s="15">
        <f>IFERROR(TR/(RadSpec!M6*(1/8760)*DFA_rec_adj),".")</f>
        <v>822087.32179189136</v>
      </c>
      <c r="R6" s="15">
        <f t="shared" ref="R6" si="9">IFERROR(IF(AND(P6&lt;&gt;0,Q6&lt;&gt;0),1/((1/P6)+(1/Q6)),IF(AND(P6&lt;&gt;0,Q6=0),1/((1/P6)),IF(AND(P6=0,Q6&lt;&gt;0),1/((1/Q6)),IF(AND(P6=0,Q6=0),0)))),0)</f>
        <v>0</v>
      </c>
      <c r="S6" s="15" t="str">
        <f>IFERROR(TR/(RadSpec!F6*EF_rec*ED_rec*IRGL_rec*CF_game),".")</f>
        <v>.</v>
      </c>
      <c r="T6" s="15" t="str">
        <f>IFERROR((S6/(RadSpec!AI6*((Q_p_game*f_p_game*f_s_game*(RadSpec!BD6+R_es_past))+(Q_s_game*f_p_game)))),".")</f>
        <v>.</v>
      </c>
      <c r="U6" s="15" t="str">
        <f>IFERROR(S6/(RadSpec!AI6*Q_w_game*(1/1000)),".")</f>
        <v>.</v>
      </c>
      <c r="V6" s="15" t="str">
        <f>IFERROR(TR/(RadSpec!F6*EF_rec*ED_rec*IRGF_rec*CF_fowl),".")</f>
        <v>.</v>
      </c>
      <c r="W6" s="15" t="str">
        <f>IFERROR((S6/(RadSpec!AL6*((Q_p_fowl*f_p_fowl*f_s_fowl*(RadSpec!BD6+R_es_past))+(Q_s_fowl*f_p_fowl)))),".")</f>
        <v>.</v>
      </c>
      <c r="X6" s="15" t="str">
        <f>IFERROR(S6/(RadSpec!AL6*Q_w_fowl*(1/1000)),".")</f>
        <v>.</v>
      </c>
    </row>
    <row r="7" spans="1:24" customFormat="1" x14ac:dyDescent="0.25">
      <c r="A7" s="44" t="s">
        <v>17</v>
      </c>
      <c r="B7" s="42" t="s">
        <v>1071</v>
      </c>
      <c r="C7" s="249"/>
      <c r="D7" s="15">
        <f>IFERROR(((TR)/(RadSpec!E7*IFS_rec_adj*(1/1000))),".")</f>
        <v>173.51712266966504</v>
      </c>
      <c r="E7" s="15">
        <f>IFERROR(IF(A7="H-3",(TR/(RadSpec!H7*IFA_rec_adj*(1/17)*1000))*RadSpec!#REF!,(TR/(RadSpec!H7*IFA_rec_adj*(1/PEF_wind)*1000))),".")</f>
        <v>2077853.0831544846</v>
      </c>
      <c r="F7" s="15">
        <f>IFERROR((TR/(RadSpec!G7*EF_rec*(1/365)*ED_rec*d_acf!D7*ET_rec*(1/24)*RadSpec!W7)),".")</f>
        <v>21736.546135514403</v>
      </c>
      <c r="G7" s="15">
        <f>IF(AND(D7&lt;&gt;".",E7&lt;&gt;".",F7&lt;&gt;"."),1/((1/D7)+(1/E7)+(1/F7)),IF(AND(D7&lt;&gt;".",E7&lt;&gt;".",F7="."), 1/((1/D7)+(1/E7)),IF(AND(D7&lt;&gt;".",E7=".",F7&lt;&gt;"."),1/((1/D7)+(1/F7)),IF(AND(D7=".",E7&lt;&gt;".",F7&lt;&gt;"."),1/((1/E7)+(1/F7)),IF(AND(D7&lt;&gt;".",E7=".",F7="."),1/((1/D7)),IF(AND(D7=".",E7&lt;&gt;".",F7="."),1/((1/E7)),IF(AND(D7=".",E7=".",F7&lt;&gt;"."),1/((1/F7)),IF(AND(D7=".",E7=".",F7="."),"."))))))))</f>
        <v>172.12869056596418</v>
      </c>
      <c r="H7" s="15">
        <f>IFERROR((TR/(RadSpec!G7*EF_rec*(1/365)*ED_rec*d_acf!D7*ET_rec*(1/24)*RadSpec!W7)),".")</f>
        <v>21736.546135514403</v>
      </c>
      <c r="I7" s="15">
        <f>IFERROR((TR/(RadSpec!N7*EF_rec*(1/365)*ED_rec*d_acf!E7*ET_rec*(1/24)*RadSpec!S7)),".")</f>
        <v>94113.714921380903</v>
      </c>
      <c r="J7" s="15">
        <f>IFERROR((TR/(RadSpec!O7*EF_rec*(1/365)*ED_rec*d_acf!F7*ET_rec*(1/24)*RadSpec!T7)),".")</f>
        <v>30371.92681817228</v>
      </c>
      <c r="K7" s="15">
        <f>IFERROR((TR/(RadSpec!P7*EF_rec*(1/365)*ED_rec*d_acf!G7*ET_rec*(1/24)*RadSpec!Z7)),".")</f>
        <v>20168.297237121678</v>
      </c>
      <c r="L7" s="15">
        <f>IFERROR((TR/(RadSpec!L7*EF_rec*(1/365)*ED_rec*d_acf!C7*ET_rec*(1/24)*RadSpec!V7)),".")</f>
        <v>24386.862042847402</v>
      </c>
      <c r="M7" s="15">
        <f>IFERROR((TR/(RadSpec!H7*IFA_rec_adj)),".")</f>
        <v>1.5285699272973927</v>
      </c>
      <c r="N7" s="15">
        <f>IFERROR((TR/(RadSpec!K7*EF_rec*(1/365)*ED_rec*ET_rec*(1/24)*GSF_a)),".")</f>
        <v>849308.75628831144</v>
      </c>
      <c r="O7" s="15">
        <f t="shared" ref="O7" si="10">IFERROR(IF(AND(M7&lt;&gt;0,N7&lt;&gt;0),1/((1/M7)+(1/N7)),IF(AND(M7&lt;&gt;0,N7=0),1/((1/M7)),IF(AND(M7=0,N7&lt;&gt;0),1/((1/N7)),IF(AND(M7=0,N7=0),0)))),0)</f>
        <v>1.5285671762109354</v>
      </c>
      <c r="P7" s="15">
        <f>IFERROR(TR/(RadSpec!I7*IFW_rec_adj),".")</f>
        <v>512.0791797310867</v>
      </c>
      <c r="Q7" s="15">
        <f>IFERROR(TR/(RadSpec!M7*(1/8760)*DFA_rec_adj),".")</f>
        <v>574234129.2516495</v>
      </c>
      <c r="R7" s="15">
        <f t="shared" ref="R7" si="11">IFERROR(IF(AND(P7&lt;&gt;0,Q7&lt;&gt;0),1/((1/P7)+(1/Q7)),IF(AND(P7&lt;&gt;0,Q7=0),1/((1/P7)),IF(AND(P7=0,Q7&lt;&gt;0),1/((1/Q7)),IF(AND(P7=0,Q7=0),0)))),0)</f>
        <v>512.0787230796285</v>
      </c>
      <c r="S7" s="15">
        <f>IFERROR(TR/(RadSpec!F7*EF_rec*ED_rec*IRGL_rec*CF_game),".")</f>
        <v>39.375039375039378</v>
      </c>
      <c r="T7" s="15">
        <f>IFERROR((S7/(RadSpec!AI7*((Q_p_game*f_p_game*f_s_game*(RadSpec!BD7+R_es_past))+(Q_s_game*f_p_game)))),".")</f>
        <v>11250.01125001125</v>
      </c>
      <c r="U7" s="15">
        <f>IFERROR(S7/(RadSpec!AI7*Q_w_game*(1/1000)),".")</f>
        <v>19687519.687519692</v>
      </c>
      <c r="V7" s="15">
        <f>IFERROR(TR/(RadSpec!F7*EF_rec*ED_rec*IRGF_rec*CF_fowl),".")</f>
        <v>39.375039375039378</v>
      </c>
      <c r="W7" s="15" t="str">
        <f>IFERROR((S7/(RadSpec!AL7*((Q_p_fowl*f_p_fowl*f_s_fowl*(RadSpec!BD7+R_es_past))+(Q_s_fowl*f_p_fowl)))),".")</f>
        <v>.</v>
      </c>
      <c r="X7" s="15" t="str">
        <f>IFERROR(S7/(RadSpec!AL7*Q_w_fowl*(1/1000)),".")</f>
        <v>.</v>
      </c>
    </row>
    <row r="8" spans="1:24" customFormat="1" x14ac:dyDescent="0.25">
      <c r="A8" s="44" t="s">
        <v>18</v>
      </c>
      <c r="B8" s="42" t="s">
        <v>1071</v>
      </c>
      <c r="C8" s="42"/>
      <c r="D8" s="15">
        <f>IFERROR(((TR)/(RadSpec!E8*IFS_rec_adj*(1/1000))),".")</f>
        <v>3497.2861059817583</v>
      </c>
      <c r="E8" s="15">
        <f>IFERROR(IF(A8="H-3",(TR/(RadSpec!H8*IFA_rec_adj*(1/17)*1000))*RadSpec!#REF!,(TR/(RadSpec!H8*IFA_rec_adj*(1/PEF_wind)*1000))),".")</f>
        <v>12778796.461400082</v>
      </c>
      <c r="F8" s="15">
        <f>IFERROR((TR/(RadSpec!G8*EF_rec*(1/365)*ED_rec*d_acf!D8*ET_rec*(1/24)*RadSpec!W8)),".")</f>
        <v>93.838260146001232</v>
      </c>
      <c r="G8" s="15">
        <f t="shared" ref="G8:G9" si="12">IF(AND(D8&lt;&gt;".",E8&lt;&gt;".",F8&lt;&gt;"."),1/((1/D8)+(1/E8)+(1/F8)),IF(AND(D8&lt;&gt;".",E8&lt;&gt;".",F8="."), 1/((1/D8)+(1/E8)),IF(AND(D8&lt;&gt;".",E8=".",F8&lt;&gt;"."),1/((1/D8)+(1/F8)),IF(AND(D8=".",E8&lt;&gt;".",F8&lt;&gt;"."),1/((1/E8)+(1/F8)),IF(AND(D8&lt;&gt;".",E8=".",F8="."),1/((1/D8)),IF(AND(D8=".",E8&lt;&gt;".",F8="."),1/((1/E8)),IF(AND(D8=".",E8=".",F8&lt;&gt;"."),1/((1/F8)),IF(AND(D8=".",E8=".",F8="."),"."))))))))</f>
        <v>91.385555897542517</v>
      </c>
      <c r="H8" s="15">
        <f>IFERROR((TR/(RadSpec!G8*EF_rec*(1/365)*ED_rec*d_acf!D8*ET_rec*(1/24)*RadSpec!W8)),".")</f>
        <v>93.838260146001232</v>
      </c>
      <c r="I8" s="15">
        <f>IFERROR((TR/(RadSpec!N8*EF_rec*(1/365)*ED_rec*d_acf!E8*ET_rec*(1/24)*RadSpec!S8)),".")</f>
        <v>792.0307695129386</v>
      </c>
      <c r="J8" s="15">
        <f>IFERROR((TR/(RadSpec!O8*EF_rec*(1/365)*ED_rec*d_acf!F8*ET_rec*(1/24)*RadSpec!T8)),".")</f>
        <v>191.27543083737478</v>
      </c>
      <c r="K8" s="15">
        <f>IFERROR((TR/(RadSpec!P8*EF_rec*(1/365)*ED_rec*d_acf!G8*ET_rec*(1/24)*RadSpec!Z8)),".")</f>
        <v>105.81321963658011</v>
      </c>
      <c r="L8" s="15">
        <f>IFERROR((TR/(RadSpec!L8*EF_rec*(1/365)*ED_rec*d_acf!C8*ET_rec*(1/24)*RadSpec!V8)),".")</f>
        <v>1118.5953236863049</v>
      </c>
      <c r="M8" s="15">
        <f>IFERROR((TR/(RadSpec!H8*IFA_rec_adj)),".")</f>
        <v>9.4007050528789655</v>
      </c>
      <c r="N8" s="15">
        <f>IFERROR((TR/(RadSpec!K8*EF_rec*(1/365)*ED_rec*ET_rec*(1/24)*GSF_a)),".")</f>
        <v>8437.2119868115169</v>
      </c>
      <c r="O8" s="15">
        <f t="shared" ref="O8:O9" si="13">IFERROR(IF(AND(M8&lt;&gt;0,N8&lt;&gt;0),1/((1/M8)+(1/N8)),IF(AND(M8&lt;&gt;0,N8=0),1/((1/M8)),IF(AND(M8=0,N8&lt;&gt;0),1/((1/N8)),IF(AND(M8=0,N8=0),0)))),0)</f>
        <v>9.3902424853723065</v>
      </c>
      <c r="P8" s="15">
        <f>IFERROR(TR/(RadSpec!I8*IFW_rec_adj),".")</f>
        <v>9008.1081981891894</v>
      </c>
      <c r="Q8" s="15">
        <f>IFERROR(TR/(RadSpec!M8*(1/8760)*DFA_rec_adj),".")</f>
        <v>3886230.975743487</v>
      </c>
      <c r="R8" s="15">
        <f t="shared" ref="R8:R9" si="14">IFERROR(IF(AND(P8&lt;&gt;0,Q8&lt;&gt;0),1/((1/P8)+(1/Q8)),IF(AND(P8&lt;&gt;0,Q8=0),1/((1/P8)),IF(AND(P8=0,Q8&lt;&gt;0),1/((1/Q8)),IF(AND(P8=0,Q8=0),0)))),0)</f>
        <v>8987.2760973703171</v>
      </c>
      <c r="S8" s="15">
        <f>IFERROR(TR/(RadSpec!F8*EF_rec*ED_rec*IRGL_rec*CF_game),".")</f>
        <v>714.43370412442573</v>
      </c>
      <c r="T8" s="15">
        <f>IFERROR((S8/(RadSpec!AI8*((Q_p_game*f_p_game*f_s_game*(RadSpec!BD8+R_es_past))+(Q_s_game*f_p_game)))),".")</f>
        <v>204123.91546412164</v>
      </c>
      <c r="U8" s="15">
        <f>IFERROR(S8/(RadSpec!AI8*Q_w_game*(1/1000)),".")</f>
        <v>357216852.06221288</v>
      </c>
      <c r="V8" s="15">
        <f>IFERROR(TR/(RadSpec!F8*EF_rec*ED_rec*IRGF_rec*CF_fowl),".")</f>
        <v>714.43370412442573</v>
      </c>
      <c r="W8" s="15" t="str">
        <f>IFERROR((S8/(RadSpec!AL8*((Q_p_fowl*f_p_fowl*f_s_fowl*(RadSpec!BD8+R_es_past))+(Q_s_fowl*f_p_fowl)))),".")</f>
        <v>.</v>
      </c>
      <c r="X8" s="15" t="str">
        <f>IFERROR(S8/(RadSpec!AL8*Q_w_fowl*(1/1000)),".")</f>
        <v>.</v>
      </c>
    </row>
    <row r="9" spans="1:24" customFormat="1" x14ac:dyDescent="0.25">
      <c r="A9" s="44" t="s">
        <v>19</v>
      </c>
      <c r="B9" s="42" t="s">
        <v>1071</v>
      </c>
      <c r="C9" s="249"/>
      <c r="D9" s="15">
        <f>IFERROR(((TR)/(RadSpec!E9*IFS_rec_adj*(1/1000))),".")</f>
        <v>10331.432349780973</v>
      </c>
      <c r="E9" s="15">
        <f>IFERROR(IF(A9="H-3",(TR/(RadSpec!H9*IFA_rec_adj*(1/17)*1000))*RadSpec!#REF!,(TR/(RadSpec!H9*IFA_rec_adj*(1/PEF_wind)*1000))),".")</f>
        <v>15301471.490996864</v>
      </c>
      <c r="F9" s="15">
        <f>IFERROR((TR/(RadSpec!G9*EF_rec*(1/365)*ED_rec*d_acf!D9*ET_rec*(1/24)*RadSpec!W9)),".")</f>
        <v>6.5306930517165691</v>
      </c>
      <c r="G9" s="15">
        <f t="shared" si="12"/>
        <v>6.5265647016475414</v>
      </c>
      <c r="H9" s="15">
        <f>IFERROR((TR/(RadSpec!G9*EF_rec*(1/365)*ED_rec*d_acf!D9*ET_rec*(1/24)*RadSpec!W9)),".")</f>
        <v>6.5306930517165691</v>
      </c>
      <c r="I9" s="15">
        <f>IFERROR((TR/(RadSpec!N9*EF_rec*(1/365)*ED_rec*d_acf!E9*ET_rec*(1/24)*RadSpec!S9)),".")</f>
        <v>78.779173159160123</v>
      </c>
      <c r="J9" s="15">
        <f>IFERROR((TR/(RadSpec!O9*EF_rec*(1/365)*ED_rec*d_acf!F9*ET_rec*(1/24)*RadSpec!T9)),".")</f>
        <v>18.170892309866712</v>
      </c>
      <c r="K9" s="15">
        <f>IFERROR((TR/(RadSpec!P9*EF_rec*(1/365)*ED_rec*d_acf!G9*ET_rec*(1/24)*RadSpec!Z9)),".")</f>
        <v>8.682887704420871</v>
      </c>
      <c r="L9" s="15">
        <f>IFERROR((TR/(RadSpec!L9*EF_rec*(1/365)*ED_rec*d_acf!C9*ET_rec*(1/24)*RadSpec!V9)),".")</f>
        <v>120.75951410941882</v>
      </c>
      <c r="M9" s="15">
        <f>IFERROR((TR/(RadSpec!H9*IFA_rec_adj)),".")</f>
        <v>11.25650766849585</v>
      </c>
      <c r="N9" s="15">
        <f>IFERROR((TR/(RadSpec!K9*EF_rec*(1/365)*ED_rec*ET_rec*(1/24)*GSF_a)),".")</f>
        <v>671.44304816510498</v>
      </c>
      <c r="O9" s="15">
        <f t="shared" si="13"/>
        <v>11.070907774943569</v>
      </c>
      <c r="P9" s="15">
        <f>IFERROR(TR/(RadSpec!I9*IFW_rec_adj),".")</f>
        <v>23778.628577108266</v>
      </c>
      <c r="Q9" s="15">
        <f>IFERROR(TR/(RadSpec!M9*(1/8760)*DFA_rec_adj),".")</f>
        <v>310271.66661177832</v>
      </c>
      <c r="R9" s="15">
        <f t="shared" si="14"/>
        <v>22085.999697111754</v>
      </c>
      <c r="S9" s="15">
        <f>IFERROR(TR/(RadSpec!F9*EF_rec*ED_rec*IRGL_rec*CF_game),".")</f>
        <v>1933.0563263617655</v>
      </c>
      <c r="T9" s="15">
        <f>IFERROR((S9/(RadSpec!AI9*((Q_p_game*f_p_game*f_s_game*(RadSpec!BD9+R_es_past))+(Q_s_game*f_p_game)))),".")</f>
        <v>552301.80753193295</v>
      </c>
      <c r="U9" s="15">
        <f>IFERROR(S9/(RadSpec!AI9*Q_w_game*(1/1000)),".")</f>
        <v>966528163.18088281</v>
      </c>
      <c r="V9" s="15">
        <f>IFERROR(TR/(RadSpec!F9*EF_rec*ED_rec*IRGF_rec*CF_fowl),".")</f>
        <v>1933.0563263617655</v>
      </c>
      <c r="W9" s="15" t="str">
        <f>IFERROR((S9/(RadSpec!AL9*((Q_p_fowl*f_p_fowl*f_s_fowl*(RadSpec!BD9+R_es_past))+(Q_s_fowl*f_p_fowl)))),".")</f>
        <v>.</v>
      </c>
      <c r="X9" s="15" t="str">
        <f>IFERROR(S9/(RadSpec!AL9*Q_w_fowl*(1/1000)),".")</f>
        <v>.</v>
      </c>
    </row>
    <row r="10" spans="1:24" customFormat="1" x14ac:dyDescent="0.25">
      <c r="A10" s="46" t="s">
        <v>20</v>
      </c>
      <c r="B10" s="42" t="s">
        <v>349</v>
      </c>
      <c r="C10" s="42"/>
      <c r="D10" s="15">
        <f>IFERROR(((TR)/(RadSpec!E10*IFS_rec_adj*(1/1000))),".")</f>
        <v>97.924010967489224</v>
      </c>
      <c r="E10" s="15">
        <f>IFERROR(IF(A10="H-3",(TR/(RadSpec!H10*IFA_rec_adj*(1/17)*1000))*RadSpec!#REF!,(TR/(RadSpec!H10*IFA_rec_adj*(1/PEF_wind)*1000))),".")</f>
        <v>8407102.9351316337</v>
      </c>
      <c r="F10" s="15">
        <f>IFERROR((TR/(RadSpec!G10*EF_rec*(1/365)*ED_rec*d_acf!D10*ET_rec*(1/24)*RadSpec!W10)),".")</f>
        <v>110462.92946605638</v>
      </c>
      <c r="G10" s="15">
        <f>IF(AND(D10&lt;&gt;".",E10&lt;&gt;".",F10&lt;&gt;"."),1/((1/D10)+(1/E10)+(1/F10)),IF(AND(D10&lt;&gt;".",E10&lt;&gt;".",F10="."), 1/((1/D10)+(1/E10)),IF(AND(D10&lt;&gt;".",E10=".",F10&lt;&gt;"."),1/((1/D10)+(1/F10)),IF(AND(D10=".",E10&lt;&gt;".",F10&lt;&gt;"."),1/((1/E10)+(1/F10)),IF(AND(D10&lt;&gt;".",E10=".",F10="."),1/((1/D10)),IF(AND(D10=".",E10&lt;&gt;".",F10="."),1/((1/E10)),IF(AND(D10=".",E10=".",F10&lt;&gt;"."),1/((1/F10)),IF(AND(D10=".",E10=".",F10="."),"."))))))))</f>
        <v>97.836140874341638</v>
      </c>
      <c r="H10" s="15">
        <f>IFERROR((TR/(RadSpec!G10*EF_rec*(1/365)*ED_rec*d_acf!D10*ET_rec*(1/24)*RadSpec!W10)),".")</f>
        <v>110462.92946605638</v>
      </c>
      <c r="I10" s="15">
        <f>IFERROR((TR/(RadSpec!N10*EF_rec*(1/365)*ED_rec*d_acf!E10*ET_rec*(1/24)*RadSpec!S10)),".")</f>
        <v>474477.81208987691</v>
      </c>
      <c r="J10" s="15">
        <f>IFERROR((TR/(RadSpec!O10*EF_rec*(1/365)*ED_rec*d_acf!F10*ET_rec*(1/24)*RadSpec!T10)),".")</f>
        <v>147804.83266029027</v>
      </c>
      <c r="K10" s="15">
        <f>IFERROR((TR/(RadSpec!P10*EF_rec*(1/365)*ED_rec*d_acf!G10*ET_rec*(1/24)*RadSpec!Z10)),".")</f>
        <v>99963.904491038818</v>
      </c>
      <c r="L10" s="15">
        <f>IFERROR((TR/(RadSpec!L10*EF_rec*(1/365)*ED_rec*d_acf!C10*ET_rec*(1/24)*RadSpec!V10)),".")</f>
        <v>242928.68555617123</v>
      </c>
      <c r="M10" s="15">
        <f>IFERROR((TR/(RadSpec!H10*IFA_rec_adj)),".")</f>
        <v>6.1846743768940566</v>
      </c>
      <c r="N10" s="15">
        <f>IFERROR((TR/(RadSpec!K10*EF_rec*(1/365)*ED_rec*ET_rec*(1/24)*GSF_a)),".")</f>
        <v>2767891.1266086698</v>
      </c>
      <c r="O10" s="15">
        <f t="shared" ref="O10" si="15">IFERROR(IF(AND(M10&lt;&gt;0,N10&lt;&gt;0),1/((1/M10)+(1/N10)),IF(AND(M10&lt;&gt;0,N10=0),1/((1/M10)),IF(AND(M10=0,N10&lt;&gt;0),1/((1/N10)),IF(AND(M10=0,N10=0),0)))),0)</f>
        <v>6.1846605576685416</v>
      </c>
      <c r="P10" s="15">
        <f>IFERROR(TR/(RadSpec!I10*IFW_rec_adj),".")</f>
        <v>149.77073096503872</v>
      </c>
      <c r="Q10" s="15">
        <f>IFERROR(TR/(RadSpec!M10*(1/8760)*DFA_rec_adj),".")</f>
        <v>2003837846.8677349</v>
      </c>
      <c r="R10" s="15">
        <f t="shared" ref="R10" si="16">IFERROR(IF(AND(P10&lt;&gt;0,Q10&lt;&gt;0),1/((1/P10)+(1/Q10)),IF(AND(P10&lt;&gt;0,Q10=0),1/((1/P10)),IF(AND(P10=0,Q10&lt;&gt;0),1/((1/Q10)),IF(AND(P10=0,Q10=0),0)))),0)</f>
        <v>149.77071977088437</v>
      </c>
      <c r="S10" s="15">
        <f>IFERROR(TR/(RadSpec!F10*EF_rec*ED_rec*IRGL_rec*CF_game),".")</f>
        <v>13.722786000013722</v>
      </c>
      <c r="T10" s="15">
        <f>IFERROR((S10/(RadSpec!AI10*((Q_p_game*f_p_game*f_s_game*(RadSpec!BD10+R_es_past))+(Q_s_game*f_p_game)))),".")</f>
        <v>486.04909090957705</v>
      </c>
      <c r="U10" s="15">
        <f>IFERROR(S10/(RadSpec!AI10*Q_w_game*(1/1000)),".")</f>
        <v>623763.00000062375</v>
      </c>
      <c r="V10" s="15">
        <f>IFERROR(TR/(RadSpec!F10*EF_rec*ED_rec*IRGF_rec*CF_fowl),".")</f>
        <v>13.722786000013722</v>
      </c>
      <c r="W10" s="15">
        <f>IFERROR((S10/(RadSpec!AL10*((Q_p_fowl*f_p_fowl*f_s_fowl*(RadSpec!BD10+R_es_past))+(Q_s_fowl*f_p_fowl)))),".")</f>
        <v>3.9604000000039608</v>
      </c>
      <c r="X10" s="15">
        <f>IFERROR(S10/(RadSpec!AL10*Q_w_fowl*(1/1000)),".")</f>
        <v>5082.5133333384156</v>
      </c>
    </row>
    <row r="11" spans="1:24" customFormat="1" x14ac:dyDescent="0.25">
      <c r="A11" s="44" t="s">
        <v>21</v>
      </c>
      <c r="B11" s="42" t="s">
        <v>1071</v>
      </c>
      <c r="C11" s="42"/>
      <c r="D11" s="15" t="str">
        <f>IFERROR(((TR)/(RadSpec!E11*IFS_rec_adj*(1/1000))),".")</f>
        <v>.</v>
      </c>
      <c r="E11" s="15" t="str">
        <f>IFERROR(IF(A11="H-3",(TR/(RadSpec!H11*IFA_rec_adj*(1/17)*1000))*RadSpec!#REF!,(TR/(RadSpec!H11*IFA_rec_adj*(1/PEF_wind)*1000))),".")</f>
        <v>.</v>
      </c>
      <c r="F11" s="15">
        <f>IFERROR((TR/(RadSpec!G11*EF_rec*(1/365)*ED_rec*d_acf!D11*ET_rec*(1/24)*RadSpec!W11)),".")</f>
        <v>580.09677936798175</v>
      </c>
      <c r="G11" s="15">
        <f>IF(AND(D11&lt;&gt;".",E11&lt;&gt;".",F11&lt;&gt;"."),1/((1/D11)+(1/E11)+(1/F11)),IF(AND(D11&lt;&gt;".",E11&lt;&gt;".",F11="."), 1/((1/D11)+(1/E11)),IF(AND(D11&lt;&gt;".",E11=".",F11&lt;&gt;"."),1/((1/D11)+(1/F11)),IF(AND(D11=".",E11&lt;&gt;".",F11&lt;&gt;"."),1/((1/E11)+(1/F11)),IF(AND(D11&lt;&gt;".",E11=".",F11="."),1/((1/D11)),IF(AND(D11=".",E11&lt;&gt;".",F11="."),1/((1/E11)),IF(AND(D11=".",E11=".",F11&lt;&gt;"."),1/((1/F11)),IF(AND(D11=".",E11=".",F11="."),"."))))))))</f>
        <v>580.09677936798175</v>
      </c>
      <c r="H11" s="15">
        <f>IFERROR((TR/(RadSpec!G11*EF_rec*(1/365)*ED_rec*d_acf!D11*ET_rec*(1/24)*RadSpec!W11)),".")</f>
        <v>580.09677936798175</v>
      </c>
      <c r="I11" s="15">
        <f>IFERROR((TR/(RadSpec!N11*EF_rec*(1/365)*ED_rec*d_acf!E11*ET_rec*(1/24)*RadSpec!S11)),".")</f>
        <v>3328.3535364031809</v>
      </c>
      <c r="J11" s="15">
        <f>IFERROR((TR/(RadSpec!O11*EF_rec*(1/365)*ED_rec*d_acf!F11*ET_rec*(1/24)*RadSpec!T11)),".")</f>
        <v>884.81151679874029</v>
      </c>
      <c r="K11" s="15">
        <f>IFERROR((TR/(RadSpec!P11*EF_rec*(1/365)*ED_rec*d_acf!G11*ET_rec*(1/24)*RadSpec!Z11)),".")</f>
        <v>528.17922437669768</v>
      </c>
      <c r="L11" s="15">
        <f>IFERROR((TR/(RadSpec!L11*EF_rec*(1/365)*ED_rec*d_acf!C11*ET_rec*(1/24)*RadSpec!V11)),".")</f>
        <v>3964.5824067060535</v>
      </c>
      <c r="M11" s="15" t="str">
        <f>IFERROR((TR/(RadSpec!H11*IFA_rec_adj)),".")</f>
        <v>.</v>
      </c>
      <c r="N11" s="15">
        <f>IFERROR((TR/(RadSpec!K11*EF_rec*(1/365)*ED_rec*ET_rec*(1/24)*GSF_a)),".")</f>
        <v>38980.432279493936</v>
      </c>
      <c r="O11" s="15">
        <f t="shared" ref="O11" si="17">IFERROR(IF(AND(M11&lt;&gt;0,N11&lt;&gt;0),1/((1/M11)+(1/N11)),IF(AND(M11&lt;&gt;0,N11=0),1/((1/M11)),IF(AND(M11=0,N11&lt;&gt;0),1/((1/N11)),IF(AND(M11=0,N11=0),0)))),0)</f>
        <v>0</v>
      </c>
      <c r="P11" s="15" t="str">
        <f>IFERROR(TR/(RadSpec!I11*IFW_rec_adj),".")</f>
        <v>.</v>
      </c>
      <c r="Q11" s="15">
        <f>IFERROR(TR/(RadSpec!M11*(1/8760)*DFA_rec_adj),".")</f>
        <v>17729809.520673044</v>
      </c>
      <c r="R11" s="15">
        <f t="shared" ref="R11" si="18">IFERROR(IF(AND(P11&lt;&gt;0,Q11&lt;&gt;0),1/((1/P11)+(1/Q11)),IF(AND(P11&lt;&gt;0,Q11=0),1/((1/P11)),IF(AND(P11=0,Q11&lt;&gt;0),1/((1/Q11)),IF(AND(P11=0,Q11=0),0)))),0)</f>
        <v>0</v>
      </c>
      <c r="S11" s="15" t="str">
        <f>IFERROR(TR/(RadSpec!F11*EF_rec*ED_rec*IRGL_rec*CF_game),".")</f>
        <v>.</v>
      </c>
      <c r="T11" s="15" t="str">
        <f>IFERROR((S11/(RadSpec!AI11*((Q_p_game*f_p_game*f_s_game*(RadSpec!BD11+R_es_past))+(Q_s_game*f_p_game)))),".")</f>
        <v>.</v>
      </c>
      <c r="U11" s="15" t="str">
        <f>IFERROR(S11/(RadSpec!AI11*Q_w_game*(1/1000)),".")</f>
        <v>.</v>
      </c>
      <c r="V11" s="15" t="str">
        <f>IFERROR(TR/(RadSpec!F11*EF_rec*ED_rec*IRGF_rec*CF_fowl),".")</f>
        <v>.</v>
      </c>
      <c r="W11" s="15" t="str">
        <f>IFERROR((S11/(RadSpec!AL11*((Q_p_fowl*f_p_fowl*f_s_fowl*(RadSpec!BD11+R_es_past))+(Q_s_fowl*f_p_fowl)))),".")</f>
        <v>.</v>
      </c>
      <c r="X11" s="15" t="str">
        <f>IFERROR(S11/(RadSpec!AL11*Q_w_fowl*(1/1000)),".")</f>
        <v>.</v>
      </c>
    </row>
    <row r="12" spans="1:24" customFormat="1" x14ac:dyDescent="0.25">
      <c r="A12" s="44" t="s">
        <v>22</v>
      </c>
      <c r="B12" s="42" t="s">
        <v>1071</v>
      </c>
      <c r="C12" s="249"/>
      <c r="D12" s="15" t="str">
        <f>IFERROR(((TR)/(RadSpec!E12*IFS_rec_adj*(1/1000))),".")</f>
        <v>.</v>
      </c>
      <c r="E12" s="15" t="str">
        <f>IFERROR(IF(A12="H-3",(TR/(RadSpec!H12*IFA_rec_adj*(1/17)*1000))*RadSpec!#REF!,(TR/(RadSpec!H12*IFA_rec_adj*(1/PEF_wind)*1000))),".")</f>
        <v>.</v>
      </c>
      <c r="F12" s="15">
        <f>IFERROR((TR/(RadSpec!G12*EF_rec*(1/365)*ED_rec*d_acf!D12*ET_rec*(1/24)*RadSpec!W12)),".")</f>
        <v>117.75308739676132</v>
      </c>
      <c r="G12" s="15">
        <f>IF(AND(D12&lt;&gt;".",E12&lt;&gt;".",F12&lt;&gt;"."),1/((1/D12)+(1/E12)+(1/F12)),IF(AND(D12&lt;&gt;".",E12&lt;&gt;".",F12="."), 1/((1/D12)+(1/E12)),IF(AND(D12&lt;&gt;".",E12=".",F12&lt;&gt;"."),1/((1/D12)+(1/F12)),IF(AND(D12=".",E12&lt;&gt;".",F12&lt;&gt;"."),1/((1/E12)+(1/F12)),IF(AND(D12&lt;&gt;".",E12=".",F12="."),1/((1/D12)),IF(AND(D12=".",E12&lt;&gt;".",F12="."),1/((1/E12)),IF(AND(D12=".",E12=".",F12&lt;&gt;"."),1/((1/F12)),IF(AND(D12=".",E12=".",F12="."),"."))))))))</f>
        <v>117.75308739676132</v>
      </c>
      <c r="H12" s="15">
        <f>IFERROR((TR/(RadSpec!G12*EF_rec*(1/365)*ED_rec*d_acf!D12*ET_rec*(1/24)*RadSpec!W12)),".")</f>
        <v>117.75308739676132</v>
      </c>
      <c r="I12" s="15">
        <f>IFERROR((TR/(RadSpec!N12*EF_rec*(1/365)*ED_rec*d_acf!E12*ET_rec*(1/24)*RadSpec!S12)),".")</f>
        <v>821.11304989759446</v>
      </c>
      <c r="J12" s="15">
        <f>IFERROR((TR/(RadSpec!O12*EF_rec*(1/365)*ED_rec*d_acf!F12*ET_rec*(1/24)*RadSpec!T12)),".")</f>
        <v>204.47324968038126</v>
      </c>
      <c r="K12" s="15">
        <f>IFERROR((TR/(RadSpec!P12*EF_rec*(1/365)*ED_rec*d_acf!G12*ET_rec*(1/24)*RadSpec!Z12)),".")</f>
        <v>118.2698199915519</v>
      </c>
      <c r="L12" s="15">
        <f>IFERROR((TR/(RadSpec!L12*EF_rec*(1/365)*ED_rec*d_acf!C12*ET_rec*(1/24)*RadSpec!V12)),".")</f>
        <v>1062.0728481185749</v>
      </c>
      <c r="M12" s="15" t="str">
        <f>IFERROR((TR/(RadSpec!H12*IFA_rec_adj)),".")</f>
        <v>.</v>
      </c>
      <c r="N12" s="15">
        <f>IFERROR((TR/(RadSpec!K12*EF_rec*(1/365)*ED_rec*ET_rec*(1/24)*GSF_a)),".")</f>
        <v>9052.632155261299</v>
      </c>
      <c r="O12" s="15">
        <f t="shared" ref="O12" si="19">IFERROR(IF(AND(M12&lt;&gt;0,N12&lt;&gt;0),1/((1/M12)+(1/N12)),IF(AND(M12&lt;&gt;0,N12=0),1/((1/M12)),IF(AND(M12=0,N12&lt;&gt;0),1/((1/N12)),IF(AND(M12=0,N12=0),0)))),0)</f>
        <v>0</v>
      </c>
      <c r="P12" s="15" t="str">
        <f>IFERROR(TR/(RadSpec!I12*IFW_rec_adj),".")</f>
        <v>.</v>
      </c>
      <c r="Q12" s="15">
        <f>IFERROR(TR/(RadSpec!M12*(1/8760)*DFA_rec_adj),".")</f>
        <v>4159317.4767416776</v>
      </c>
      <c r="R12" s="15">
        <f t="shared" ref="R12" si="20">IFERROR(IF(AND(P12&lt;&gt;0,Q12&lt;&gt;0),1/((1/P12)+(1/Q12)),IF(AND(P12&lt;&gt;0,Q12=0),1/((1/P12)),IF(AND(P12=0,Q12&lt;&gt;0),1/((1/Q12)),IF(AND(P12=0,Q12=0),0)))),0)</f>
        <v>0</v>
      </c>
      <c r="S12" s="15" t="str">
        <f>IFERROR(TR/(RadSpec!F12*EF_rec*ED_rec*IRGL_rec*CF_game),".")</f>
        <v>.</v>
      </c>
      <c r="T12" s="15" t="str">
        <f>IFERROR((S12/(RadSpec!AI12*((Q_p_game*f_p_game*f_s_game*(RadSpec!BD12+R_es_past))+(Q_s_game*f_p_game)))),".")</f>
        <v>.</v>
      </c>
      <c r="U12" s="15" t="str">
        <f>IFERROR(S12/(RadSpec!AI12*Q_w_game*(1/1000)),".")</f>
        <v>.</v>
      </c>
      <c r="V12" s="15" t="str">
        <f>IFERROR(TR/(RadSpec!F12*EF_rec*ED_rec*IRGF_rec*CF_fowl),".")</f>
        <v>.</v>
      </c>
      <c r="W12" s="15" t="str">
        <f>IFERROR((S12/(RadSpec!AL12*((Q_p_fowl*f_p_fowl*f_s_fowl*(RadSpec!BD12+R_es_past))+(Q_s_fowl*f_p_fowl)))),".")</f>
        <v>.</v>
      </c>
      <c r="X12" s="15" t="str">
        <f>IFERROR(S12/(RadSpec!AL12*Q_w_fowl*(1/1000)),".")</f>
        <v>.</v>
      </c>
    </row>
    <row r="13" spans="1:24" customFormat="1" x14ac:dyDescent="0.25">
      <c r="A13" s="44" t="s">
        <v>23</v>
      </c>
      <c r="B13" s="42" t="s">
        <v>1071</v>
      </c>
      <c r="C13" s="42"/>
      <c r="D13" s="15">
        <f>IFERROR(((TR)/(RadSpec!E13*IFS_rec_adj*(1/1000))),".")</f>
        <v>33.416205523030442</v>
      </c>
      <c r="E13" s="15">
        <f>IFERROR(IF(A13="H-3",(TR/(RadSpec!H13*IFA_rec_adj*(1/17)*1000))*RadSpec!#REF!,(TR/(RadSpec!H13*IFA_rec_adj*(1/PEF_wind)*1000))),".")</f>
        <v>32977.539255226016</v>
      </c>
      <c r="F13" s="15">
        <f>IFERROR((TR/(RadSpec!G13*EF_rec*(1/365)*ED_rec*d_acf!D13*ET_rec*(1/24)*RadSpec!W13)),".")</f>
        <v>832.04076976761598</v>
      </c>
      <c r="G13" s="15">
        <f>IF(AND(D13&lt;&gt;".",E13&lt;&gt;".",F13&lt;&gt;"."),1/((1/D13)+(1/E13)+(1/F13)),IF(AND(D13&lt;&gt;".",E13&lt;&gt;".",F13="."), 1/((1/D13)+(1/E13)),IF(AND(D13&lt;&gt;".",E13=".",F13&lt;&gt;"."),1/((1/D13)+(1/F13)),IF(AND(D13=".",E13&lt;&gt;".",F13&lt;&gt;"."),1/((1/E13)+(1/F13)),IF(AND(D13&lt;&gt;".",E13=".",F13="."),1/((1/D13)),IF(AND(D13=".",E13&lt;&gt;".",F13="."),1/((1/E13)),IF(AND(D13=".",E13=".",F13&lt;&gt;"."),1/((1/F13)),IF(AND(D13=".",E13=".",F13="."),"."))))))))</f>
        <v>32.094704692593702</v>
      </c>
      <c r="H13" s="15">
        <f>IFERROR((TR/(RadSpec!G13*EF_rec*(1/365)*ED_rec*d_acf!D13*ET_rec*(1/24)*RadSpec!W13)),".")</f>
        <v>832.04076976761598</v>
      </c>
      <c r="I13" s="15">
        <f>IFERROR((TR/(RadSpec!N13*EF_rec*(1/365)*ED_rec*d_acf!E13*ET_rec*(1/24)*RadSpec!S13)),".")</f>
        <v>2417.6151003361829</v>
      </c>
      <c r="J13" s="15">
        <f>IFERROR((TR/(RadSpec!O13*EF_rec*(1/365)*ED_rec*d_acf!F13*ET_rec*(1/24)*RadSpec!T13)),".")</f>
        <v>1035.0982350776396</v>
      </c>
      <c r="K13" s="15">
        <f>IFERROR((TR/(RadSpec!P13*EF_rec*(1/365)*ED_rec*d_acf!G13*ET_rec*(1/24)*RadSpec!Z13)),".")</f>
        <v>822.59255696962987</v>
      </c>
      <c r="L13" s="15">
        <f>IFERROR((TR/(RadSpec!L13*EF_rec*(1/365)*ED_rec*d_acf!C13*ET_rec*(1/24)*RadSpec!V13)),".")</f>
        <v>2369.490543496172</v>
      </c>
      <c r="M13" s="15">
        <f>IFERROR((TR/(RadSpec!H13*IFA_rec_adj)),".")</f>
        <v>2.4259884007429587E-2</v>
      </c>
      <c r="N13" s="15">
        <f>IFERROR((TR/(RadSpec!K13*EF_rec*(1/365)*ED_rec*ET_rec*(1/24)*GSF_a)),".")</f>
        <v>58559.644839970337</v>
      </c>
      <c r="O13" s="15">
        <f t="shared" ref="O13" si="21">IFERROR(IF(AND(M13&lt;&gt;0,N13&lt;&gt;0),1/((1/M13)+(1/N13)),IF(AND(M13&lt;&gt;0,N13=0),1/((1/M13)),IF(AND(M13=0,N13&lt;&gt;0),1/((1/N13)),IF(AND(M13=0,N13=0),0)))),0)</f>
        <v>2.4259873957134203E-2</v>
      </c>
      <c r="P13" s="15">
        <f>IFERROR(TR/(RadSpec!I13*IFW_rec_adj),".")</f>
        <v>73.45897756856661</v>
      </c>
      <c r="Q13" s="15">
        <f>IFERROR(TR/(RadSpec!M13*(1/8760)*DFA_rec_adj),".")</f>
        <v>26172575.959088787</v>
      </c>
      <c r="R13" s="15">
        <f t="shared" ref="R13" si="22">IFERROR(IF(AND(P13&lt;&gt;0,Q13&lt;&gt;0),1/((1/P13)+(1/Q13)),IF(AND(P13&lt;&gt;0,Q13=0),1/((1/P13)),IF(AND(P13=0,Q13&lt;&gt;0),1/((1/Q13)),IF(AND(P13=0,Q13=0),0)))),0)</f>
        <v>73.458771390686067</v>
      </c>
      <c r="S13" s="15">
        <f>IFERROR(TR/(RadSpec!F13*EF_rec*ED_rec*IRGL_rec*CF_game),".")</f>
        <v>6.1875061875061865</v>
      </c>
      <c r="T13" s="15">
        <f>IFERROR((S13/(RadSpec!AI13*((Q_p_game*f_p_game*f_s_game*(RadSpec!BD13+R_es_past))+(Q_s_game*f_p_game)))),".")</f>
        <v>49368.400432230213</v>
      </c>
      <c r="U13" s="15">
        <f>IFERROR(S13/(RadSpec!AI13*Q_w_game*(1/1000)),".")</f>
        <v>61875061.875061862</v>
      </c>
      <c r="V13" s="15">
        <f>IFERROR(TR/(RadSpec!F13*EF_rec*ED_rec*IRGF_rec*CF_fowl),".")</f>
        <v>6.1875061875061865</v>
      </c>
      <c r="W13" s="15" t="str">
        <f>IFERROR((S13/(RadSpec!AL13*((Q_p_fowl*f_p_fowl*f_s_fowl*(RadSpec!BD13+R_es_past))+(Q_s_fowl*f_p_fowl)))),".")</f>
        <v>.</v>
      </c>
      <c r="X13" s="15" t="str">
        <f>IFERROR(S13/(RadSpec!AL13*Q_w_fowl*(1/1000)),".")</f>
        <v>.</v>
      </c>
    </row>
    <row r="14" spans="1:24" customFormat="1" x14ac:dyDescent="0.25">
      <c r="A14" s="44" t="s">
        <v>24</v>
      </c>
      <c r="B14" s="42" t="s">
        <v>1071</v>
      </c>
      <c r="C14" s="42"/>
      <c r="D14" s="15">
        <f>IFERROR(((TR)/(RadSpec!E14*IFS_rec_adj*(1/1000))),".")</f>
        <v>253.06205081485976</v>
      </c>
      <c r="E14" s="15">
        <f>IFERROR(IF(A14="H-3",(TR/(RadSpec!H14*IFA_rec_adj*(1/17)*1000))*RadSpec!#REF!,(TR/(RadSpec!H14*IFA_rec_adj*(1/PEF_wind)*1000))),".")</f>
        <v>61882791.580629945</v>
      </c>
      <c r="F14" s="15">
        <f>IFERROR((TR/(RadSpec!G14*EF_rec*(1/365)*ED_rec*d_acf!D14*ET_rec*(1/24)*RadSpec!W14)),".")</f>
        <v>69.071138288983377</v>
      </c>
      <c r="G14" s="15">
        <f>IF(AND(D14&lt;&gt;".",E14&lt;&gt;".",F14&lt;&gt;"."),1/((1/D14)+(1/E14)+(1/F14)),IF(AND(D14&lt;&gt;".",E14&lt;&gt;".",F14="."), 1/((1/D14)+(1/E14)),IF(AND(D14&lt;&gt;".",E14=".",F14&lt;&gt;"."),1/((1/D14)+(1/F14)),IF(AND(D14=".",E14&lt;&gt;".",F14&lt;&gt;"."),1/((1/E14)+(1/F14)),IF(AND(D14&lt;&gt;".",E14=".",F14="."),1/((1/D14)),IF(AND(D14=".",E14&lt;&gt;".",F14="."),1/((1/E14)),IF(AND(D14=".",E14=".",F14&lt;&gt;"."),1/((1/F14)),IF(AND(D14=".",E14=".",F14="."),"."))))))))</f>
        <v>54.260998780364837</v>
      </c>
      <c r="H14" s="15">
        <f>IFERROR((TR/(RadSpec!G14*EF_rec*(1/365)*ED_rec*d_acf!D14*ET_rec*(1/24)*RadSpec!W14)),".")</f>
        <v>69.071138288983377</v>
      </c>
      <c r="I14" s="15">
        <f>IFERROR((TR/(RadSpec!N14*EF_rec*(1/365)*ED_rec*d_acf!E14*ET_rec*(1/24)*RadSpec!S14)),".")</f>
        <v>382.39054789694626</v>
      </c>
      <c r="J14" s="15">
        <f>IFERROR((TR/(RadSpec!O14*EF_rec*(1/365)*ED_rec*d_acf!F14*ET_rec*(1/24)*RadSpec!T14)),".")</f>
        <v>111.59387524929282</v>
      </c>
      <c r="K14" s="15">
        <f>IFERROR((TR/(RadSpec!P14*EF_rec*(1/365)*ED_rec*d_acf!G14*ET_rec*(1/24)*RadSpec!Z14)),".")</f>
        <v>68.78417722172972</v>
      </c>
      <c r="L14" s="15">
        <f>IFERROR((TR/(RadSpec!L14*EF_rec*(1/365)*ED_rec*d_acf!C14*ET_rec*(1/24)*RadSpec!V14)),".")</f>
        <v>417.17967427788506</v>
      </c>
      <c r="M14" s="15">
        <f>IFERROR((TR/(RadSpec!H14*IFA_rec_adj)),".")</f>
        <v>45.523995413457463</v>
      </c>
      <c r="N14" s="15">
        <f>IFERROR((TR/(RadSpec!K14*EF_rec*(1/365)*ED_rec*ET_rec*(1/24)*GSF_a)),".")</f>
        <v>5263.1582298030798</v>
      </c>
      <c r="O14" s="15">
        <f t="shared" ref="O14" si="23">IFERROR(IF(AND(M14&lt;&gt;0,N14&lt;&gt;0),1/((1/M14)+(1/N14)),IF(AND(M14&lt;&gt;0,N14=0),1/((1/M14)),IF(AND(M14=0,N14&lt;&gt;0),1/((1/N14)),IF(AND(M14=0,N14=0),0)))),0)</f>
        <v>45.133609613275205</v>
      </c>
      <c r="P14" s="15">
        <f>IFERROR(TR/(RadSpec!I14*IFW_rec_adj),".")</f>
        <v>743.44025491079458</v>
      </c>
      <c r="Q14" s="15">
        <f>IFERROR(TR/(RadSpec!M14*(1/8760)*DFA_rec_adj),".")</f>
        <v>2404605.4162412821</v>
      </c>
      <c r="R14" s="15">
        <f t="shared" ref="R14" si="24">IFERROR(IF(AND(P14&lt;&gt;0,Q14&lt;&gt;0),1/((1/P14)+(1/Q14)),IF(AND(P14&lt;&gt;0,Q14=0),1/((1/P14)),IF(AND(P14=0,Q14&lt;&gt;0),1/((1/Q14)),IF(AND(P14=0,Q14=0),0)))),0)</f>
        <v>743.21047393281742</v>
      </c>
      <c r="S14" s="15">
        <f>IFERROR(TR/(RadSpec!F14*EF_rec*ED_rec*IRGL_rec*CF_game),".")</f>
        <v>57.272784545511819</v>
      </c>
      <c r="T14" s="15">
        <f>IFERROR((S14/(RadSpec!AI14*((Q_p_game*f_p_game*f_s_game*(RadSpec!BD14+R_es_past))+(Q_s_game*f_p_game)))),".")</f>
        <v>8484856.9697054531</v>
      </c>
      <c r="U14" s="15">
        <f>IFERROR(S14/(RadSpec!AI14*Q_w_game*(1/1000)),".")</f>
        <v>11454556909.102364</v>
      </c>
      <c r="V14" s="15">
        <f>IFERROR(TR/(RadSpec!F14*EF_rec*ED_rec*IRGF_rec*CF_fowl),".")</f>
        <v>57.272784545511819</v>
      </c>
      <c r="W14" s="15" t="str">
        <f>IFERROR((S14/(RadSpec!AL14*((Q_p_fowl*f_p_fowl*f_s_fowl*(RadSpec!BD14+R_es_past))+(Q_s_fowl*f_p_fowl)))),".")</f>
        <v>.</v>
      </c>
      <c r="X14" s="15" t="str">
        <f>IFERROR(S14/(RadSpec!AL14*Q_w_fowl*(1/1000)),".")</f>
        <v>.</v>
      </c>
    </row>
    <row r="15" spans="1:24" customFormat="1" x14ac:dyDescent="0.25">
      <c r="A15" s="44" t="s">
        <v>25</v>
      </c>
      <c r="B15" s="42" t="s">
        <v>1071</v>
      </c>
      <c r="C15" s="42"/>
      <c r="D15" s="15">
        <f>IFERROR(((TR)/(RadSpec!E15*IFS_rec_adj*(1/1000))),".")</f>
        <v>6663.4682019297406</v>
      </c>
      <c r="E15" s="15">
        <f>IFERROR(IF(A15="H-3",(TR/(RadSpec!H15*IFA_rec_adj*(1/17)*1000))*RadSpec!#REF!,(TR/(RadSpec!H15*IFA_rec_adj*(1/PEF_wind)*1000))),".")</f>
        <v>4547614399.0747623</v>
      </c>
      <c r="F15" s="15">
        <f>IFERROR((TR/(RadSpec!G15*EF_rec*(1/365)*ED_rec*d_acf!D15*ET_rec*(1/24)*RadSpec!W15)),".")</f>
        <v>9293.1610289518139</v>
      </c>
      <c r="G15" s="15">
        <f t="shared" ref="G15:G16" si="25">IF(AND(D15&lt;&gt;".",E15&lt;&gt;".",F15&lt;&gt;"."),1/((1/D15)+(1/E15)+(1/F15)),IF(AND(D15&lt;&gt;".",E15&lt;&gt;".",F15="."), 1/((1/D15)+(1/E15)),IF(AND(D15&lt;&gt;".",E15=".",F15&lt;&gt;"."),1/((1/D15)+(1/F15)),IF(AND(D15=".",E15&lt;&gt;".",F15&lt;&gt;"."),1/((1/E15)+(1/F15)),IF(AND(D15&lt;&gt;".",E15=".",F15="."),1/((1/D15)),IF(AND(D15=".",E15&lt;&gt;".",F15="."),1/((1/E15)),IF(AND(D15=".",E15=".",F15&lt;&gt;"."),1/((1/F15)),IF(AND(D15=".",E15=".",F15="."),"."))))))))</f>
        <v>3880.8089898565286</v>
      </c>
      <c r="H15" s="15">
        <f>IFERROR((TR/(RadSpec!G15*EF_rec*(1/365)*ED_rec*d_acf!D15*ET_rec*(1/24)*RadSpec!W15)),".")</f>
        <v>9293.1610289518139</v>
      </c>
      <c r="I15" s="15">
        <f>IFERROR((TR/(RadSpec!N15*EF_rec*(1/365)*ED_rec*d_acf!E15*ET_rec*(1/24)*RadSpec!S15)),".")</f>
        <v>30100.366661863362</v>
      </c>
      <c r="J15" s="15">
        <f>IFERROR((TR/(RadSpec!O15*EF_rec*(1/365)*ED_rec*d_acf!F15*ET_rec*(1/24)*RadSpec!T15)),".")</f>
        <v>13312.325838682844</v>
      </c>
      <c r="K15" s="15">
        <f>IFERROR((TR/(RadSpec!P15*EF_rec*(1/365)*ED_rec*d_acf!G15*ET_rec*(1/24)*RadSpec!Z15)),".")</f>
        <v>9436.7639587590147</v>
      </c>
      <c r="L15" s="15">
        <f>IFERROR((TR/(RadSpec!L15*EF_rec*(1/365)*ED_rec*d_acf!C15*ET_rec*(1/24)*RadSpec!V15)),".")</f>
        <v>8832.3431266897405</v>
      </c>
      <c r="M15" s="15">
        <f>IFERROR((TR/(RadSpec!H15*IFA_rec_adj)),".")</f>
        <v>3345.4466380352187</v>
      </c>
      <c r="N15" s="15">
        <f>IFERROR((TR/(RadSpec!K15*EF_rec*(1/365)*ED_rec*ET_rec*(1/24)*GSF_a)),".")</f>
        <v>2635184.017798665</v>
      </c>
      <c r="O15" s="15">
        <f t="shared" ref="O15:O16" si="26">IFERROR(IF(AND(M15&lt;&gt;0,N15&lt;&gt;0),1/((1/M15)+(1/N15)),IF(AND(M15&lt;&gt;0,N15=0),1/((1/M15)),IF(AND(M15=0,N15&lt;&gt;0),1/((1/N15)),IF(AND(M15=0,N15=0),0)))),0)</f>
        <v>3341.204876342279</v>
      </c>
      <c r="P15" s="15">
        <f>IFERROR(TR/(RadSpec!I15*IFW_rec_adj),".")</f>
        <v>18957.155501565576</v>
      </c>
      <c r="Q15" s="15">
        <f>IFERROR(TR/(RadSpec!M15*(1/8760)*DFA_rec_adj),".")</f>
        <v>1933351088.4352016</v>
      </c>
      <c r="R15" s="15">
        <f t="shared" ref="R15:R16" si="27">IFERROR(IF(AND(P15&lt;&gt;0,Q15&lt;&gt;0),1/((1/P15)+(1/Q15)),IF(AND(P15&lt;&gt;0,Q15=0),1/((1/P15)),IF(AND(P15=0,Q15&lt;&gt;0),1/((1/Q15)),IF(AND(P15=0,Q15=0),0)))),0)</f>
        <v>18956.969622123856</v>
      </c>
      <c r="S15" s="15">
        <f>IFERROR(TR/(RadSpec!F15*EF_rec*ED_rec*IRGL_rec*CF_game),".")</f>
        <v>1471.3390509568851</v>
      </c>
      <c r="T15" s="15">
        <f>IFERROR((S15/(RadSpec!AI15*((Q_p_game*f_p_game*f_s_game*(RadSpec!BD15+R_es_past))+(Q_s_game*f_p_game)))),".")</f>
        <v>1664692.0792411594</v>
      </c>
      <c r="U15" s="15">
        <f>IFERROR(S15/(RadSpec!AI15*Q_w_game*(1/1000)),".")</f>
        <v>2101912929.9384074</v>
      </c>
      <c r="V15" s="15">
        <f>IFERROR(TR/(RadSpec!F15*EF_rec*ED_rec*IRGF_rec*CF_fowl),".")</f>
        <v>1471.3390509568851</v>
      </c>
      <c r="W15" s="15" t="str">
        <f>IFERROR((S15/(RadSpec!AL15*((Q_p_fowl*f_p_fowl*f_s_fowl*(RadSpec!BD15+R_es_past))+(Q_s_fowl*f_p_fowl)))),".")</f>
        <v>.</v>
      </c>
      <c r="X15" s="15" t="str">
        <f>IFERROR(S15/(RadSpec!AL15*Q_w_fowl*(1/1000)),".")</f>
        <v>.</v>
      </c>
    </row>
    <row r="16" spans="1:24" customFormat="1" x14ac:dyDescent="0.25">
      <c r="A16" s="44" t="s">
        <v>26</v>
      </c>
      <c r="B16" s="42" t="s">
        <v>1071</v>
      </c>
      <c r="C16" s="249"/>
      <c r="D16" s="15">
        <f>IFERROR(((TR)/(RadSpec!E16*IFS_rec_adj*(1/1000))),".")</f>
        <v>2.42699596147872</v>
      </c>
      <c r="E16" s="15">
        <f>IFERROR(IF(A16="H-3",(TR/(RadSpec!H16*IFA_rec_adj*(1/17)*1000))*RadSpec!#REF!,(TR/(RadSpec!H16*IFA_rec_adj*(1/PEF_wind)*1000))),".")</f>
        <v>59574.808677855865</v>
      </c>
      <c r="F16" s="15">
        <f>IFERROR((TR/(RadSpec!G16*EF_rec*(1/365)*ED_rec*d_acf!D16*ET_rec*(1/24)*RadSpec!W16)),".")</f>
        <v>23029.106633614458</v>
      </c>
      <c r="G16" s="15">
        <f t="shared" si="25"/>
        <v>2.4266413640879403</v>
      </c>
      <c r="H16" s="15">
        <f>IFERROR((TR/(RadSpec!G16*EF_rec*(1/365)*ED_rec*d_acf!D16*ET_rec*(1/24)*RadSpec!W16)),".")</f>
        <v>23029.106633614458</v>
      </c>
      <c r="I16" s="15">
        <f>IFERROR((TR/(RadSpec!N16*EF_rec*(1/365)*ED_rec*d_acf!E16*ET_rec*(1/24)*RadSpec!S16)),".")</f>
        <v>31329.353333381099</v>
      </c>
      <c r="J16" s="15">
        <f>IFERROR((TR/(RadSpec!O16*EF_rec*(1/365)*ED_rec*d_acf!F16*ET_rec*(1/24)*RadSpec!T16)),".")</f>
        <v>22223.154839747051</v>
      </c>
      <c r="K16" s="15">
        <f>IFERROR((TR/(RadSpec!P16*EF_rec*(1/365)*ED_rec*d_acf!G16*ET_rec*(1/24)*RadSpec!Z16)),".")</f>
        <v>20839.350816314487</v>
      </c>
      <c r="L16" s="15">
        <f>IFERROR((TR/(RadSpec!L16*EF_rec*(1/365)*ED_rec*d_acf!C16*ET_rec*(1/24)*RadSpec!V16)),".")</f>
        <v>20693.011941646226</v>
      </c>
      <c r="M16" s="15">
        <f>IFERROR((TR/(RadSpec!H16*IFA_rec_adj)),".")</f>
        <v>4.3826130782652524E-2</v>
      </c>
      <c r="N16" s="15">
        <f>IFERROR((TR/(RadSpec!K16*EF_rec*(1/365)*ED_rec*ET_rec*(1/24)*GSF_a)),".")</f>
        <v>1141652.4231412616</v>
      </c>
      <c r="O16" s="15">
        <f t="shared" si="26"/>
        <v>4.3826129100240585E-2</v>
      </c>
      <c r="P16" s="15">
        <f>IFERROR(TR/(RadSpec!I16*IFW_rec_adj),".")</f>
        <v>5.1636436115143054</v>
      </c>
      <c r="Q16" s="15">
        <f>IFERROR(TR/(RadSpec!M16*(1/8760)*DFA_rec_adj),".")</f>
        <v>494520394.08561069</v>
      </c>
      <c r="R16" s="15">
        <f t="shared" si="27"/>
        <v>5.1636435575969832</v>
      </c>
      <c r="S16" s="15">
        <f>IFERROR(TR/(RadSpec!F16*EF_rec*ED_rec*IRGL_rec*CF_game),".")</f>
        <v>0.43584949245326604</v>
      </c>
      <c r="T16" s="15">
        <f>IFERROR((S16/(RadSpec!AI16*((Q_p_game*f_p_game*f_s_game*(RadSpec!BD16+R_es_past))+(Q_s_game*f_p_game)))),".")</f>
        <v>493.12576686955106</v>
      </c>
      <c r="U16" s="15">
        <f>IFERROR(S16/(RadSpec!AI16*Q_w_game*(1/1000)),".")</f>
        <v>622642.13207609439</v>
      </c>
      <c r="V16" s="15">
        <f>IFERROR(TR/(RadSpec!F16*EF_rec*ED_rec*IRGF_rec*CF_fowl),".")</f>
        <v>0.43584949245326604</v>
      </c>
      <c r="W16" s="15" t="str">
        <f>IFERROR((S16/(RadSpec!AL16*((Q_p_fowl*f_p_fowl*f_s_fowl*(RadSpec!BD16+R_es_past))+(Q_s_fowl*f_p_fowl)))),".")</f>
        <v>.</v>
      </c>
      <c r="X16" s="15" t="str">
        <f>IFERROR(S16/(RadSpec!AL16*Q_w_fowl*(1/1000)),".")</f>
        <v>.</v>
      </c>
    </row>
    <row r="17" spans="1:24" customFormat="1" x14ac:dyDescent="0.25">
      <c r="A17" s="44" t="s">
        <v>27</v>
      </c>
      <c r="B17" s="42" t="s">
        <v>1071</v>
      </c>
      <c r="C17" s="249"/>
      <c r="D17" s="15">
        <f>IFERROR(((TR)/(RadSpec!E17*IFS_rec_adj*(1/1000))),".")</f>
        <v>5262.2716174118032</v>
      </c>
      <c r="E17" s="15">
        <f>IFERROR(IF(A17="H-3",(TR/(RadSpec!H17*IFA_rec_adj*(1/17)*1000))*RadSpec!#REF!,(TR/(RadSpec!H17*IFA_rec_adj*(1/PEF_wind)*1000))),".")</f>
        <v>12170282.344190553</v>
      </c>
      <c r="F17" s="15">
        <f>IFERROR((TR/(RadSpec!G17*EF_rec*(1/365)*ED_rec*d_acf!D17*ET_rec*(1/24)*RadSpec!W17)),".")</f>
        <v>55.635850426268988</v>
      </c>
      <c r="G17" s="15">
        <f>IF(AND(D17&lt;&gt;".",E17&lt;&gt;".",F17&lt;&gt;"."),1/((1/D17)+(1/E17)+(1/F17)),IF(AND(D17&lt;&gt;".",E17&lt;&gt;".",F17="."), 1/((1/D17)+(1/E17)),IF(AND(D17&lt;&gt;".",E17=".",F17&lt;&gt;"."),1/((1/D17)+(1/F17)),IF(AND(D17=".",E17&lt;&gt;".",F17&lt;&gt;"."),1/((1/E17)+(1/F17)),IF(AND(D17&lt;&gt;".",E17=".",F17="."),1/((1/D17)),IF(AND(D17=".",E17&lt;&gt;".",F17="."),1/((1/E17)),IF(AND(D17=".",E17=".",F17&lt;&gt;"."),1/((1/F17)),IF(AND(D17=".",E17=".",F17="."),"."))))))))</f>
        <v>55.053540137625049</v>
      </c>
      <c r="H17" s="15">
        <f>IFERROR((TR/(RadSpec!G17*EF_rec*(1/365)*ED_rec*d_acf!D17*ET_rec*(1/24)*RadSpec!W17)),".")</f>
        <v>55.635850426268988</v>
      </c>
      <c r="I17" s="15">
        <f>IFERROR((TR/(RadSpec!N17*EF_rec*(1/365)*ED_rec*d_acf!E17*ET_rec*(1/24)*RadSpec!S17)),".")</f>
        <v>391.98587041616202</v>
      </c>
      <c r="J17" s="15">
        <f>IFERROR((TR/(RadSpec!O17*EF_rec*(1/365)*ED_rec*d_acf!F17*ET_rec*(1/24)*RadSpec!T17)),".")</f>
        <v>98.206660055162274</v>
      </c>
      <c r="K17" s="15">
        <f>IFERROR((TR/(RadSpec!P17*EF_rec*(1/365)*ED_rec*d_acf!G17*ET_rec*(1/24)*RadSpec!Z17)),".")</f>
        <v>57.44901727573351</v>
      </c>
      <c r="L17" s="15">
        <f>IFERROR((TR/(RadSpec!L17*EF_rec*(1/365)*ED_rec*d_acf!C17*ET_rec*(1/24)*RadSpec!V17)),".")</f>
        <v>491.16518865776146</v>
      </c>
      <c r="M17" s="15">
        <f>IFERROR((TR/(RadSpec!H17*IFA_rec_adj)),".")</f>
        <v>8.9530524313133011</v>
      </c>
      <c r="N17" s="15">
        <f>IFERROR((TR/(RadSpec!K17*EF_rec*(1/365)*ED_rec*ET_rec*(1/24)*GSF_a)),".")</f>
        <v>4407.0660549668401</v>
      </c>
      <c r="O17" s="15">
        <f t="shared" ref="O17" si="28">IFERROR(IF(AND(M17&lt;&gt;0,N17&lt;&gt;0),1/((1/M17)+(1/N17)),IF(AND(M17&lt;&gt;0,N17=0),1/((1/M17)),IF(AND(M17=0,N17&lt;&gt;0),1/((1/N17)),IF(AND(M17=0,N17=0),0)))),0)</f>
        <v>8.9349009818090277</v>
      </c>
      <c r="P17" s="15">
        <f>IFERROR(TR/(RadSpec!I17*IFW_rec_adj),".")</f>
        <v>13255.755350718786</v>
      </c>
      <c r="Q17" s="15">
        <f>IFERROR(TR/(RadSpec!M17*(1/8760)*DFA_rec_adj),".")</f>
        <v>2014329.1444953152</v>
      </c>
      <c r="R17" s="15">
        <f t="shared" ref="R17" si="29">IFERROR(IF(AND(P17&lt;&gt;0,Q17&lt;&gt;0),1/((1/P17)+(1/Q17)),IF(AND(P17&lt;&gt;0,Q17=0),1/((1/P17)),IF(AND(P17=0,Q17&lt;&gt;0),1/((1/Q17)),IF(AND(P17=0,Q17=0),0)))),0)</f>
        <v>13169.093110369959</v>
      </c>
      <c r="S17" s="15">
        <f>IFERROR(TR/(RadSpec!F17*EF_rec*ED_rec*IRGL_rec*CF_game),".")</f>
        <v>1058.0163251918977</v>
      </c>
      <c r="T17" s="15">
        <f>IFERROR((S17/(RadSpec!AI17*((Q_p_game*f_p_game*f_s_game*(RadSpec!BD17+R_es_past))+(Q_s_game*f_p_game)))),".")</f>
        <v>1197053.3882787577</v>
      </c>
      <c r="U17" s="15">
        <f>IFERROR(S17/(RadSpec!AI17*Q_w_game*(1/1000)),".")</f>
        <v>1511451893.1312826</v>
      </c>
      <c r="V17" s="15">
        <f>IFERROR(TR/(RadSpec!F17*EF_rec*ED_rec*IRGF_rec*CF_fowl),".")</f>
        <v>1058.0163251918977</v>
      </c>
      <c r="W17" s="15" t="str">
        <f>IFERROR((S17/(RadSpec!AL17*((Q_p_fowl*f_p_fowl*f_s_fowl*(RadSpec!BD17+R_es_past))+(Q_s_fowl*f_p_fowl)))),".")</f>
        <v>.</v>
      </c>
      <c r="X17" s="15" t="str">
        <f>IFERROR(S17/(RadSpec!AL17*Q_w_fowl*(1/1000)),".")</f>
        <v>.</v>
      </c>
    </row>
    <row r="18" spans="1:24" customFormat="1" x14ac:dyDescent="0.25">
      <c r="A18" s="44" t="s">
        <v>28</v>
      </c>
      <c r="B18" s="42" t="s">
        <v>1071</v>
      </c>
      <c r="C18" s="249"/>
      <c r="D18" s="15">
        <f>IFERROR(((TR)/(RadSpec!E18*IFS_rec_adj*(1/1000))),".")</f>
        <v>1.2724588995775437</v>
      </c>
      <c r="E18" s="15">
        <f>IFERROR(IF(A18="H-3",(TR/(RadSpec!H18*IFA_rec_adj*(1/17)*1000))*RadSpec!#REF!,(TR/(RadSpec!H18*IFA_rec_adj*(1/PEF_wind)*1000))),".")</f>
        <v>65197.941129592262</v>
      </c>
      <c r="F18" s="15">
        <f>IFERROR((TR/(RadSpec!G18*EF_rec*(1/365)*ED_rec*d_acf!D18*ET_rec*(1/24)*RadSpec!W18)),".")</f>
        <v>1059752.5660152568</v>
      </c>
      <c r="G18" s="15">
        <f>IF(AND(D18&lt;&gt;".",E18&lt;&gt;".",F18&lt;&gt;"."),1/((1/D18)+(1/E18)+(1/F18)),IF(AND(D18&lt;&gt;".",E18&lt;&gt;".",F18="."), 1/((1/D18)+(1/E18)),IF(AND(D18&lt;&gt;".",E18=".",F18&lt;&gt;"."),1/((1/D18)+(1/F18)),IF(AND(D18=".",E18&lt;&gt;".",F18&lt;&gt;"."),1/((1/E18)+(1/F18)),IF(AND(D18&lt;&gt;".",E18=".",F18="."),1/((1/D18)),IF(AND(D18=".",E18&lt;&gt;".",F18="."),1/((1/E18)),IF(AND(D18=".",E18=".",F18&lt;&gt;"."),1/((1/F18)),IF(AND(D18=".",E18=".",F18="."),"."))))))))</f>
        <v>1.2724325378669956</v>
      </c>
      <c r="H18" s="15">
        <f>IFERROR((TR/(RadSpec!G18*EF_rec*(1/365)*ED_rec*d_acf!D18*ET_rec*(1/24)*RadSpec!W18)),".")</f>
        <v>1059752.5660152568</v>
      </c>
      <c r="I18" s="15">
        <f>IFERROR((TR/(RadSpec!N18*EF_rec*(1/365)*ED_rec*d_acf!E18*ET_rec*(1/24)*RadSpec!S18)),".")</f>
        <v>11100058.674572077</v>
      </c>
      <c r="J18" s="15">
        <f>IFERROR((TR/(RadSpec!O18*EF_rec*(1/365)*ED_rec*d_acf!F18*ET_rec*(1/24)*RadSpec!T18)),".")</f>
        <v>2612213.6637535729</v>
      </c>
      <c r="K18" s="15">
        <f>IFERROR((TR/(RadSpec!P18*EF_rec*(1/365)*ED_rec*d_acf!G18*ET_rec*(1/24)*RadSpec!Z18)),".")</f>
        <v>1299248.8854555865</v>
      </c>
      <c r="L18" s="15">
        <f>IFERROR((TR/(RadSpec!L18*EF_rec*(1/365)*ED_rec*d_acf!C18*ET_rec*(1/24)*RadSpec!V18)),".")</f>
        <v>17262942.851735063</v>
      </c>
      <c r="M18" s="15">
        <f>IFERROR((TR/(RadSpec!H18*IFA_rec_adj)),".")</f>
        <v>4.7962780882035538E-2</v>
      </c>
      <c r="N18" s="15">
        <f>IFERROR((TR/(RadSpec!K18*EF_rec*(1/365)*ED_rec*ET_rec*(1/24)*GSF_a)),".")</f>
        <v>107468398.49123049</v>
      </c>
      <c r="O18" s="15">
        <f t="shared" ref="O18" si="30">IFERROR(IF(AND(M18&lt;&gt;0,N18&lt;&gt;0),1/((1/M18)+(1/N18)),IF(AND(M18&lt;&gt;0,N18=0),1/((1/M18)),IF(AND(M18=0,N18&lt;&gt;0),1/((1/N18)),IF(AND(M18=0,N18=0),0)))),0)</f>
        <v>4.7962780860629904E-2</v>
      </c>
      <c r="P18" s="15">
        <f>IFERROR(TR/(RadSpec!I18*IFW_rec_adj),".")</f>
        <v>2.5710642148998311</v>
      </c>
      <c r="Q18" s="15">
        <f>IFERROR(TR/(RadSpec!M18*(1/8760)*DFA_rec_adj),".")</f>
        <v>49515684246.924728</v>
      </c>
      <c r="R18" s="15">
        <f t="shared" ref="R18" si="31">IFERROR(IF(AND(P18&lt;&gt;0,Q18&lt;&gt;0),1/((1/P18)+(1/Q18)),IF(AND(P18&lt;&gt;0,Q18=0),1/((1/P18)),IF(AND(P18=0,Q18&lt;&gt;0),1/((1/Q18)),IF(AND(P18=0,Q18=0),0)))),0)</f>
        <v>2.5710642147663303</v>
      </c>
      <c r="S18" s="15">
        <f>IFERROR(TR/(RadSpec!F18*EF_rec*ED_rec*IRGL_rec*CF_game),".")</f>
        <v>0.22758643448298618</v>
      </c>
      <c r="T18" s="15">
        <f>IFERROR((S18/(RadSpec!AI18*((Q_p_game*f_p_game*f_s_game*(RadSpec!BD18+R_es_past))+(Q_s_game*f_p_game)))),".")</f>
        <v>60.676325224838649</v>
      </c>
      <c r="U18" s="15">
        <f>IFERROR(S18/(RadSpec!AI18*Q_w_game*(1/1000)),".")</f>
        <v>75862.144827662065</v>
      </c>
      <c r="V18" s="15">
        <f>IFERROR(TR/(RadSpec!F18*EF_rec*ED_rec*IRGF_rec*CF_fowl),".")</f>
        <v>0.22758643448298618</v>
      </c>
      <c r="W18" s="15">
        <f>IFERROR((S18/(RadSpec!AL18*((Q_p_fowl*f_p_fowl*f_s_fowl*(RadSpec!BD18+R_es_past))+(Q_s_fowl*f_p_fowl)))),".")</f>
        <v>7.5845406531048307E-2</v>
      </c>
      <c r="X18" s="15">
        <f>IFERROR(S18/(RadSpec!AL18*Q_w_fowl*(1/1000)),".")</f>
        <v>94.82768103457758</v>
      </c>
    </row>
    <row r="19" spans="1:24" customFormat="1" x14ac:dyDescent="0.25">
      <c r="A19" s="44" t="s">
        <v>29</v>
      </c>
      <c r="B19" s="42" t="s">
        <v>1071</v>
      </c>
      <c r="C19" s="42"/>
      <c r="D19" s="15" t="str">
        <f>IFERROR(((TR)/(RadSpec!E19*IFS_rec_adj*(1/1000))),".")</f>
        <v>.</v>
      </c>
      <c r="E19" s="15" t="str">
        <f>IFERROR(IF(A19="H-3",(TR/(RadSpec!H19*IFA_rec_adj*(1/17)*1000))*RadSpec!#REF!,(TR/(RadSpec!H19*IFA_rec_adj*(1/PEF_wind)*1000))),".")</f>
        <v>.</v>
      </c>
      <c r="F19" s="15">
        <f>IFERROR((TR/(RadSpec!G19*EF_rec*(1/365)*ED_rec*d_acf!D19*ET_rec*(1/24)*RadSpec!W19)),".")</f>
        <v>279095.30614639336</v>
      </c>
      <c r="G19" s="15">
        <f t="shared" ref="G19:G20" si="32">IF(AND(D19&lt;&gt;".",E19&lt;&gt;".",F19&lt;&gt;"."),1/((1/D19)+(1/E19)+(1/F19)),IF(AND(D19&lt;&gt;".",E19&lt;&gt;".",F19="."), 1/((1/D19)+(1/E19)),IF(AND(D19&lt;&gt;".",E19=".",F19&lt;&gt;"."),1/((1/D19)+(1/F19)),IF(AND(D19=".",E19&lt;&gt;".",F19&lt;&gt;"."),1/((1/E19)+(1/F19)),IF(AND(D19&lt;&gt;".",E19=".",F19="."),1/((1/D19)),IF(AND(D19=".",E19&lt;&gt;".",F19="."),1/((1/E19)),IF(AND(D19=".",E19=".",F19&lt;&gt;"."),1/((1/F19)),IF(AND(D19=".",E19=".",F19="."),"."))))))))</f>
        <v>279095.30614639336</v>
      </c>
      <c r="H19" s="15">
        <f>IFERROR((TR/(RadSpec!G19*EF_rec*(1/365)*ED_rec*d_acf!D19*ET_rec*(1/24)*RadSpec!W19)),".")</f>
        <v>279095.30614639336</v>
      </c>
      <c r="I19" s="15">
        <f>IFERROR((TR/(RadSpec!N19*EF_rec*(1/365)*ED_rec*d_acf!E19*ET_rec*(1/24)*RadSpec!S19)),".")</f>
        <v>2853667.0658096061</v>
      </c>
      <c r="J19" s="15">
        <f>IFERROR((TR/(RadSpec!O19*EF_rec*(1/365)*ED_rec*d_acf!F19*ET_rec*(1/24)*RadSpec!T19)),".")</f>
        <v>680766.40862877015</v>
      </c>
      <c r="K19" s="15">
        <f>IFERROR((TR/(RadSpec!P19*EF_rec*(1/365)*ED_rec*d_acf!G19*ET_rec*(1/24)*RadSpec!Z19)),".")</f>
        <v>338279.77719689783</v>
      </c>
      <c r="L19" s="15">
        <f>IFERROR((TR/(RadSpec!L19*EF_rec*(1/365)*ED_rec*d_acf!C19*ET_rec*(1/24)*RadSpec!V19)),".")</f>
        <v>4433612.240895764</v>
      </c>
      <c r="M19" s="15" t="str">
        <f>IFERROR((TR/(RadSpec!H19*IFA_rec_adj)),".")</f>
        <v>.</v>
      </c>
      <c r="N19" s="15">
        <f>IFERROR((TR/(RadSpec!K19*EF_rec*(1/365)*ED_rec*ET_rec*(1/24)*GSF_a)),".")</f>
        <v>27879483.086855445</v>
      </c>
      <c r="O19" s="15">
        <f t="shared" ref="O19:O20" si="33">IFERROR(IF(AND(M19&lt;&gt;0,N19&lt;&gt;0),1/((1/M19)+(1/N19)),IF(AND(M19&lt;&gt;0,N19=0),1/((1/M19)),IF(AND(M19=0,N19&lt;&gt;0),1/((1/N19)),IF(AND(M19=0,N19=0),0)))),0)</f>
        <v>0</v>
      </c>
      <c r="P19" s="15" t="str">
        <f>IFERROR(TR/(RadSpec!I19*IFW_rec_adj),".")</f>
        <v>.</v>
      </c>
      <c r="Q19" s="15">
        <f>IFERROR(TR/(RadSpec!M19*(1/8760)*DFA_rec_adj),".")</f>
        <v>12867453732.394819</v>
      </c>
      <c r="R19" s="15">
        <f t="shared" ref="R19:R20" si="34">IFERROR(IF(AND(P19&lt;&gt;0,Q19&lt;&gt;0),1/((1/P19)+(1/Q19)),IF(AND(P19&lt;&gt;0,Q19=0),1/((1/P19)),IF(AND(P19=0,Q19&lt;&gt;0),1/((1/Q19)),IF(AND(P19=0,Q19=0),0)))),0)</f>
        <v>0</v>
      </c>
      <c r="S19" s="15" t="str">
        <f>IFERROR(TR/(RadSpec!F19*EF_rec*ED_rec*IRGL_rec*CF_game),".")</f>
        <v>.</v>
      </c>
      <c r="T19" s="15" t="str">
        <f>IFERROR((S19/(RadSpec!AI19*((Q_p_game*f_p_game*f_s_game*(RadSpec!BD19+R_es_past))+(Q_s_game*f_p_game)))),".")</f>
        <v>.</v>
      </c>
      <c r="U19" s="15" t="str">
        <f>IFERROR(S19/(RadSpec!AI19*Q_w_game*(1/1000)),".")</f>
        <v>.</v>
      </c>
      <c r="V19" s="15" t="str">
        <f>IFERROR(TR/(RadSpec!F19*EF_rec*ED_rec*IRGF_rec*CF_fowl),".")</f>
        <v>.</v>
      </c>
      <c r="W19" s="15" t="str">
        <f>IFERROR((S19/(RadSpec!AL19*((Q_p_fowl*f_p_fowl*f_s_fowl*(RadSpec!BD19+R_es_past))+(Q_s_fowl*f_p_fowl)))),".")</f>
        <v>.</v>
      </c>
      <c r="X19" s="15" t="str">
        <f>IFERROR(S19/(RadSpec!AL19*Q_w_fowl*(1/1000)),".")</f>
        <v>.</v>
      </c>
    </row>
    <row r="20" spans="1:24" customFormat="1" x14ac:dyDescent="0.25">
      <c r="A20" s="44" t="s">
        <v>30</v>
      </c>
      <c r="B20" s="42" t="s">
        <v>1071</v>
      </c>
      <c r="C20" s="249"/>
      <c r="D20" s="15" t="str">
        <f>IFERROR(((TR)/(RadSpec!E20*IFS_rec_adj*(1/1000))),".")</f>
        <v>.</v>
      </c>
      <c r="E20" s="15" t="str">
        <f>IFERROR(IF(A20="H-3",(TR/(RadSpec!H20*IFA_rec_adj*(1/17)*1000))*RadSpec!#REF!,(TR/(RadSpec!H20*IFA_rec_adj*(1/PEF_wind)*1000))),".")</f>
        <v>.</v>
      </c>
      <c r="F20" s="15">
        <f>IFERROR((TR/(RadSpec!G20*EF_rec*(1/365)*ED_rec*d_acf!D20*ET_rec*(1/24)*RadSpec!W20)),".")</f>
        <v>124273.97955399501</v>
      </c>
      <c r="G20" s="15">
        <f t="shared" si="32"/>
        <v>124273.979553995</v>
      </c>
      <c r="H20" s="15">
        <f>IFERROR((TR/(RadSpec!G20*EF_rec*(1/365)*ED_rec*d_acf!D20*ET_rec*(1/24)*RadSpec!W20)),".")</f>
        <v>124273.97955399501</v>
      </c>
      <c r="I20" s="15">
        <f>IFERROR((TR/(RadSpec!N20*EF_rec*(1/365)*ED_rec*d_acf!E20*ET_rec*(1/24)*RadSpec!S20)),".")</f>
        <v>1304297.1228854067</v>
      </c>
      <c r="J20" s="15">
        <f>IFERROR((TR/(RadSpec!O20*EF_rec*(1/365)*ED_rec*d_acf!F20*ET_rec*(1/24)*RadSpec!T20)),".")</f>
        <v>308515.41189510771</v>
      </c>
      <c r="K20" s="15">
        <f>IFERROR((TR/(RadSpec!P20*EF_rec*(1/365)*ED_rec*d_acf!G20*ET_rec*(1/24)*RadSpec!Z20)),".")</f>
        <v>152145.07823968568</v>
      </c>
      <c r="L20" s="15">
        <f>IFERROR((TR/(RadSpec!L20*EF_rec*(1/365)*ED_rec*d_acf!C20*ET_rec*(1/24)*RadSpec!V20)),".")</f>
        <v>2023117.5562528179</v>
      </c>
      <c r="M20" s="15" t="str">
        <f>IFERROR((TR/(RadSpec!H20*IFA_rec_adj)),".")</f>
        <v>.</v>
      </c>
      <c r="N20" s="15">
        <f>IFERROR((TR/(RadSpec!K20*EF_rec*(1/365)*ED_rec*ET_rec*(1/24)*GSF_a)),".")</f>
        <v>12573100.21564069</v>
      </c>
      <c r="O20" s="15">
        <f t="shared" si="33"/>
        <v>0</v>
      </c>
      <c r="P20" s="15" t="str">
        <f>IFERROR(TR/(RadSpec!I20*IFW_rec_adj),".")</f>
        <v>.</v>
      </c>
      <c r="Q20" s="15">
        <f>IFERROR(TR/(RadSpec!M20*(1/8760)*DFA_rec_adj),".")</f>
        <v>5802969330.2957039</v>
      </c>
      <c r="R20" s="15">
        <f t="shared" si="34"/>
        <v>0</v>
      </c>
      <c r="S20" s="15" t="str">
        <f>IFERROR(TR/(RadSpec!F20*EF_rec*ED_rec*IRGL_rec*CF_game),".")</f>
        <v>.</v>
      </c>
      <c r="T20" s="15" t="str">
        <f>IFERROR((S20/(RadSpec!AI20*((Q_p_game*f_p_game*f_s_game*(RadSpec!BD20+R_es_past))+(Q_s_game*f_p_game)))),".")</f>
        <v>.</v>
      </c>
      <c r="U20" s="15" t="str">
        <f>IFERROR(S20/(RadSpec!AI20*Q_w_game*(1/1000)),".")</f>
        <v>.</v>
      </c>
      <c r="V20" s="15" t="str">
        <f>IFERROR(TR/(RadSpec!F20*EF_rec*ED_rec*IRGF_rec*CF_fowl),".")</f>
        <v>.</v>
      </c>
      <c r="W20" s="15" t="str">
        <f>IFERROR((S20/(RadSpec!AL20*((Q_p_fowl*f_p_fowl*f_s_fowl*(RadSpec!BD20+R_es_past))+(Q_s_fowl*f_p_fowl)))),".")</f>
        <v>.</v>
      </c>
      <c r="X20" s="15" t="str">
        <f>IFERROR(S20/(RadSpec!AL20*Q_w_fowl*(1/1000)),".")</f>
        <v>.</v>
      </c>
    </row>
    <row r="21" spans="1:24" customFormat="1" x14ac:dyDescent="0.25">
      <c r="A21" s="44" t="s">
        <v>31</v>
      </c>
      <c r="B21" s="42" t="s">
        <v>1071</v>
      </c>
      <c r="C21" s="249"/>
      <c r="D21" s="15" t="str">
        <f>IFERROR(((TR)/(RadSpec!E21*IFS_rec_adj*(1/1000))),".")</f>
        <v>.</v>
      </c>
      <c r="E21" s="15">
        <f>IFERROR(IF(A21="H-3",(TR/(RadSpec!H21*IFA_rec_adj*(1/17)*1000))*RadSpec!#REF!,(TR/(RadSpec!H21*IFA_rec_adj*(1/PEF_wind)*1000))),".")</f>
        <v>68031002.74414432</v>
      </c>
      <c r="F21" s="15">
        <f>IFERROR((TR/(RadSpec!G21*EF_rec*(1/365)*ED_rec*d_acf!D21*ET_rec*(1/24)*RadSpec!W21)),".")</f>
        <v>729497282.13614905</v>
      </c>
      <c r="G21" s="15">
        <f>IF(AND(D21&lt;&gt;".",E21&lt;&gt;".",F21&lt;&gt;"."),1/((1/D21)+(1/E21)+(1/F21)),IF(AND(D21&lt;&gt;".",E21&lt;&gt;".",F21="."), 1/((1/D21)+(1/E21)),IF(AND(D21&lt;&gt;".",E21=".",F21&lt;&gt;"."),1/((1/D21)+(1/F21)),IF(AND(D21=".",E21&lt;&gt;".",F21&lt;&gt;"."),1/((1/E21)+(1/F21)),IF(AND(D21&lt;&gt;".",E21=".",F21="."),1/((1/D21)),IF(AND(D21=".",E21&lt;&gt;".",F21="."),1/((1/E21)),IF(AND(D21=".",E21=".",F21&lt;&gt;"."),1/((1/F21)),IF(AND(D21=".",E21=".",F21="."),"."))))))))</f>
        <v>62227801.250082642</v>
      </c>
      <c r="H21" s="15">
        <f>IFERROR((TR/(RadSpec!G21*EF_rec*(1/365)*ED_rec*d_acf!D21*ET_rec*(1/24)*RadSpec!W21)),".")</f>
        <v>729497282.13614905</v>
      </c>
      <c r="I21" s="15">
        <f>IFERROR((TR/(RadSpec!N21*EF_rec*(1/365)*ED_rec*d_acf!E21*ET_rec*(1/24)*RadSpec!S21)),".")</f>
        <v>1756596841.4356649</v>
      </c>
      <c r="J21" s="15">
        <f>IFERROR((TR/(RadSpec!O21*EF_rec*(1/365)*ED_rec*d_acf!F21*ET_rec*(1/24)*RadSpec!T21)),".")</f>
        <v>927702706.88321078</v>
      </c>
      <c r="K21" s="15">
        <f>IFERROR((TR/(RadSpec!P21*EF_rec*(1/365)*ED_rec*d_acf!G21*ET_rec*(1/24)*RadSpec!Z21)),".")</f>
        <v>731995560.49962926</v>
      </c>
      <c r="L21" s="15">
        <f>IFERROR((TR/(RadSpec!L21*EF_rec*(1/365)*ED_rec*d_acf!C21*ET_rec*(1/24)*RadSpec!V21)),".")</f>
        <v>941597813.50613093</v>
      </c>
      <c r="M21" s="15">
        <f>IFERROR((TR/(RadSpec!H21*IFA_rec_adj)),".")</f>
        <v>50.04691898654989</v>
      </c>
      <c r="N21" s="15">
        <f>IFERROR((TR/(RadSpec!K21*EF_rec*(1/365)*ED_rec*ET_rec*(1/24)*GSF_a)),".")</f>
        <v>113827475325.03108</v>
      </c>
      <c r="O21" s="15">
        <f t="shared" ref="O21" si="35">IFERROR(IF(AND(M21&lt;&gt;0,N21&lt;&gt;0),1/((1/M21)+(1/N21)),IF(AND(M21&lt;&gt;0,N21=0),1/((1/M21)),IF(AND(M21=0,N21&lt;&gt;0),1/((1/N21)),IF(AND(M21=0,N21=0),0)))),0)</f>
        <v>50.04691896454559</v>
      </c>
      <c r="P21" s="15" t="str">
        <f>IFERROR(TR/(RadSpec!I21*IFW_rec_adj),".")</f>
        <v>.</v>
      </c>
      <c r="Q21" s="15">
        <f>IFERROR(TR/(RadSpec!M21*(1/8760)*DFA_rec_adj),".")</f>
        <v>88853779814920.344</v>
      </c>
      <c r="R21" s="15">
        <f t="shared" ref="R21" si="36">IFERROR(IF(AND(P21&lt;&gt;0,Q21&lt;&gt;0),1/((1/P21)+(1/Q21)),IF(AND(P21&lt;&gt;0,Q21=0),1/((1/P21)),IF(AND(P21=0,Q21&lt;&gt;0),1/((1/Q21)),IF(AND(P21=0,Q21=0),0)))),0)</f>
        <v>0</v>
      </c>
      <c r="S21" s="15" t="str">
        <f>IFERROR(TR/(RadSpec!F21*EF_rec*ED_rec*IRGL_rec*CF_game),".")</f>
        <v>.</v>
      </c>
      <c r="T21" s="15" t="str">
        <f>IFERROR((S21/(RadSpec!AI21*((Q_p_game*f_p_game*f_s_game*(RadSpec!BD21+R_es_past))+(Q_s_game*f_p_game)))),".")</f>
        <v>.</v>
      </c>
      <c r="U21" s="15" t="str">
        <f>IFERROR(S21/(RadSpec!AI21*Q_w_game*(1/1000)),".")</f>
        <v>.</v>
      </c>
      <c r="V21" s="15" t="str">
        <f>IFERROR(TR/(RadSpec!F21*EF_rec*ED_rec*IRGF_rec*CF_fowl),".")</f>
        <v>.</v>
      </c>
      <c r="W21" s="15" t="str">
        <f>IFERROR((S21/(RadSpec!AL21*((Q_p_fowl*f_p_fowl*f_s_fowl*(RadSpec!BD21+R_es_past))+(Q_s_fowl*f_p_fowl)))),".")</f>
        <v>.</v>
      </c>
      <c r="X21" s="15" t="str">
        <f>IFERROR(S21/(RadSpec!AL21*Q_w_fowl*(1/1000)),".")</f>
        <v>.</v>
      </c>
    </row>
    <row r="22" spans="1:24" customFormat="1" x14ac:dyDescent="0.25">
      <c r="A22" s="44" t="s">
        <v>32</v>
      </c>
      <c r="B22" s="42" t="s">
        <v>1071</v>
      </c>
      <c r="C22" s="42"/>
      <c r="D22" s="15">
        <f>IFERROR(((TR)/(RadSpec!E22*IFS_rec_adj*(1/1000))),".")</f>
        <v>17.192765284368335</v>
      </c>
      <c r="E22" s="15">
        <f>IFERROR(IF(A22="H-3",(TR/(RadSpec!H22*IFA_rec_adj*(1/17)*1000))*RadSpec!#REF!,(TR/(RadSpec!H22*IFA_rec_adj*(1/PEF_wind)*1000))),".")</f>
        <v>36149.353497595701</v>
      </c>
      <c r="F22" s="15">
        <f>IFERROR((TR/(RadSpec!G22*EF_rec*(1/365)*ED_rec*d_acf!D22*ET_rec*(1/24)*RadSpec!W22)),".")</f>
        <v>7439.7034636576955</v>
      </c>
      <c r="G22" s="15">
        <f t="shared" ref="G22:G23" si="37">IF(AND(D22&lt;&gt;".",E22&lt;&gt;".",F22&lt;&gt;"."),1/((1/D22)+(1/E22)+(1/F22)),IF(AND(D22&lt;&gt;".",E22&lt;&gt;".",F22="."), 1/((1/D22)+(1/E22)),IF(AND(D22&lt;&gt;".",E22=".",F22&lt;&gt;"."),1/((1/D22)+(1/F22)),IF(AND(D22=".",E22&lt;&gt;".",F22&lt;&gt;"."),1/((1/E22)+(1/F22)),IF(AND(D22&lt;&gt;".",E22=".",F22="."),1/((1/D22)),IF(AND(D22=".",E22&lt;&gt;".",F22="."),1/((1/E22)),IF(AND(D22=".",E22=".",F22&lt;&gt;"."),1/((1/F22)),IF(AND(D22=".",E22=".",F22="."),"."))))))))</f>
        <v>17.144989890003572</v>
      </c>
      <c r="H22" s="15">
        <f>IFERROR((TR/(RadSpec!G22*EF_rec*(1/365)*ED_rec*d_acf!D22*ET_rec*(1/24)*RadSpec!W22)),".")</f>
        <v>7439.7034636576955</v>
      </c>
      <c r="I22" s="15">
        <f>IFERROR((TR/(RadSpec!N22*EF_rec*(1/365)*ED_rec*d_acf!E22*ET_rec*(1/24)*RadSpec!S22)),".")</f>
        <v>11003.280661533448</v>
      </c>
      <c r="J22" s="15">
        <f>IFERROR((TR/(RadSpec!O22*EF_rec*(1/365)*ED_rec*d_acf!F22*ET_rec*(1/24)*RadSpec!T22)),".")</f>
        <v>7204.0810041236573</v>
      </c>
      <c r="K22" s="15">
        <f>IFERROR((TR/(RadSpec!P22*EF_rec*(1/365)*ED_rec*d_acf!G22*ET_rec*(1/24)*RadSpec!Z22)),".")</f>
        <v>6183.149918483803</v>
      </c>
      <c r="L22" s="15">
        <f>IFERROR((TR/(RadSpec!L22*EF_rec*(1/365)*ED_rec*d_acf!C22*ET_rec*(1/24)*RadSpec!V22)),".")</f>
        <v>6479.1451671959358</v>
      </c>
      <c r="M22" s="15">
        <f>IFERROR((TR/(RadSpec!H22*IFA_rec_adj)),".")</f>
        <v>2.6593225043504851E-2</v>
      </c>
      <c r="N22" s="15">
        <f>IFERROR((TR/(RadSpec!K22*EF_rec*(1/365)*ED_rec*ET_rec*(1/24)*GSF_a)),".")</f>
        <v>243504.34594848426</v>
      </c>
      <c r="O22" s="15">
        <f t="shared" ref="O22:O23" si="38">IFERROR(IF(AND(M22&lt;&gt;0,N22&lt;&gt;0),1/((1/M22)+(1/N22)),IF(AND(M22&lt;&gt;0,N22=0),1/((1/M22)),IF(AND(M22=0,N22&lt;&gt;0),1/((1/N22)),IF(AND(M22=0,N22=0),0)))),0)</f>
        <v>2.6593222139246458E-2</v>
      </c>
      <c r="P22" s="15">
        <f>IFERROR(TR/(RadSpec!I22*IFW_rec_adj),".")</f>
        <v>39.938861590676993</v>
      </c>
      <c r="Q22" s="15">
        <f>IFERROR(TR/(RadSpec!M22*(1/8760)*DFA_rec_adj),".")</f>
        <v>105988117.52027689</v>
      </c>
      <c r="R22" s="15">
        <f t="shared" ref="R22:R23" si="39">IFERROR(IF(AND(P22&lt;&gt;0,Q22&lt;&gt;0),1/((1/P22)+(1/Q22)),IF(AND(P22&lt;&gt;0,Q22=0),1/((1/P22)),IF(AND(P22=0,Q22&lt;&gt;0),1/((1/Q22)),IF(AND(P22=0,Q22=0),0)))),0)</f>
        <v>39.938846540762896</v>
      </c>
      <c r="S22" s="15">
        <f>IFERROR(TR/(RadSpec!F22*EF_rec*ED_rec*IRGL_rec*CF_game),".")</f>
        <v>3.3397623759069539</v>
      </c>
      <c r="T22" s="15">
        <f>IFERROR((S22/(RadSpec!AI22*((Q_p_game*f_p_game*f_s_game*(RadSpec!BD22+R_es_past))+(Q_s_game*f_p_game)))),".")</f>
        <v>1547.4626618587338</v>
      </c>
      <c r="U22" s="15">
        <f>IFERROR(S22/(RadSpec!AI22*Q_w_game*(1/1000)),".")</f>
        <v>1964566.1034746787</v>
      </c>
      <c r="V22" s="15">
        <f>IFERROR(TR/(RadSpec!F22*EF_rec*ED_rec*IRGF_rec*CF_fowl),".")</f>
        <v>3.3397623759069539</v>
      </c>
      <c r="W22" s="15" t="str">
        <f>IFERROR((S22/(RadSpec!AL22*((Q_p_fowl*f_p_fowl*f_s_fowl*(RadSpec!BD22+R_es_past))+(Q_s_fowl*f_p_fowl)))),".")</f>
        <v>.</v>
      </c>
      <c r="X22" s="15" t="str">
        <f>IFERROR(S22/(RadSpec!AL22*Q_w_fowl*(1/1000)),".")</f>
        <v>.</v>
      </c>
    </row>
    <row r="23" spans="1:24" customFormat="1" x14ac:dyDescent="0.25">
      <c r="A23" s="46" t="s">
        <v>33</v>
      </c>
      <c r="B23" s="42" t="s">
        <v>349</v>
      </c>
      <c r="C23" s="249"/>
      <c r="D23" s="15">
        <f>IFERROR(((TR)/(RadSpec!E23*IFS_rec_adj*(1/1000))),".")</f>
        <v>6.1536946782848414</v>
      </c>
      <c r="E23" s="15">
        <f>IFERROR(IF(A23="H-3",(TR/(RadSpec!H23*IFA_rec_adj*(1/17)*1000))*RadSpec!#REF!,(TR/(RadSpec!H23*IFA_rec_adj*(1/PEF_wind)*1000))),".")</f>
        <v>33584.221974770255</v>
      </c>
      <c r="F23" s="15">
        <f>IFERROR((TR/(RadSpec!G23*EF_rec*(1/365)*ED_rec*d_acf!D23*ET_rec*(1/24)*RadSpec!W23)),".")</f>
        <v>2272.616412875137</v>
      </c>
      <c r="G23" s="15">
        <f t="shared" si="37"/>
        <v>6.135955695067878</v>
      </c>
      <c r="H23" s="15">
        <f>IFERROR((TR/(RadSpec!G23*EF_rec*(1/365)*ED_rec*d_acf!D23*ET_rec*(1/24)*RadSpec!W23)),".")</f>
        <v>2272.616412875137</v>
      </c>
      <c r="I23" s="15">
        <f>IFERROR((TR/(RadSpec!N23*EF_rec*(1/365)*ED_rec*d_acf!E23*ET_rec*(1/24)*RadSpec!S23)),".")</f>
        <v>12928.936859156907</v>
      </c>
      <c r="J23" s="15">
        <f>IFERROR((TR/(RadSpec!O23*EF_rec*(1/365)*ED_rec*d_acf!F23*ET_rec*(1/24)*RadSpec!T23)),".")</f>
        <v>3622.7751382346282</v>
      </c>
      <c r="K23" s="15">
        <f>IFERROR((TR/(RadSpec!P23*EF_rec*(1/365)*ED_rec*d_acf!G23*ET_rec*(1/24)*RadSpec!Z23)),".")</f>
        <v>2128.7009701147585</v>
      </c>
      <c r="L23" s="15">
        <f>IFERROR((TR/(RadSpec!L23*EF_rec*(1/365)*ED_rec*d_acf!C23*ET_rec*(1/24)*RadSpec!V23)),".")</f>
        <v>14539.874433530853</v>
      </c>
      <c r="M23" s="15">
        <f>IFERROR((TR/(RadSpec!H23*IFA_rec_adj)),".")</f>
        <v>2.4706189363676651E-2</v>
      </c>
      <c r="N23" s="15">
        <f>IFERROR((TR/(RadSpec!K23*EF_rec*(1/365)*ED_rec*ET_rec*(1/24)*GSF_a)),".")</f>
        <v>157679.04368795292</v>
      </c>
      <c r="O23" s="15">
        <f t="shared" si="38"/>
        <v>2.4706185492549059E-2</v>
      </c>
      <c r="P23" s="15">
        <f>IFERROR(TR/(RadSpec!I23*IFW_rec_adj),".")</f>
        <v>11.866450222614606</v>
      </c>
      <c r="Q23" s="15">
        <f>IFERROR(TR/(RadSpec!M23*(1/8760)*DFA_rec_adj),".")</f>
        <v>71645598.994153649</v>
      </c>
      <c r="R23" s="15">
        <f t="shared" si="39"/>
        <v>11.866448257209617</v>
      </c>
      <c r="S23" s="15">
        <f>IFERROR(TR/(RadSpec!F23*EF_rec*ED_rec*IRGL_rec*CF_game),".")</f>
        <v>0.99712329928157262</v>
      </c>
      <c r="T23" s="15">
        <f>IFERROR((S23/(RadSpec!AI23*((Q_p_game*f_p_game*f_s_game*(RadSpec!BD23+R_es_past))+(Q_s_game*f_p_game)))),".")</f>
        <v>462.01223357652844</v>
      </c>
      <c r="U23" s="15">
        <f>IFERROR(S23/(RadSpec!AI23*Q_w_game*(1/1000)),".")</f>
        <v>586543.11722445441</v>
      </c>
      <c r="V23" s="15">
        <f>IFERROR(TR/(RadSpec!F23*EF_rec*ED_rec*IRGF_rec*CF_fowl),".")</f>
        <v>0.99712329928157262</v>
      </c>
      <c r="W23" s="15" t="str">
        <f>IFERROR((S23/(RadSpec!AL23*((Q_p_fowl*f_p_fowl*f_s_fowl*(RadSpec!BD23+R_es_past))+(Q_s_fowl*f_p_fowl)))),".")</f>
        <v>.</v>
      </c>
      <c r="X23" s="15" t="str">
        <f>IFERROR(S23/(RadSpec!AL23*Q_w_fowl*(1/1000)),".")</f>
        <v>.</v>
      </c>
    </row>
    <row r="24" spans="1:24" customFormat="1" x14ac:dyDescent="0.25">
      <c r="A24" s="44" t="s">
        <v>34</v>
      </c>
      <c r="B24" s="42" t="s">
        <v>1071</v>
      </c>
      <c r="C24" s="249"/>
      <c r="D24" s="15" t="str">
        <f>IFERROR(((TR)/(RadSpec!E24*IFS_rec_adj*(1/1000))),".")</f>
        <v>.</v>
      </c>
      <c r="E24" s="15" t="str">
        <f>IFERROR(IF(A24="H-3",(TR/(RadSpec!H24*IFA_rec_adj*(1/17)*1000))*RadSpec!#REF!,(TR/(RadSpec!H24*IFA_rec_adj*(1/PEF_wind)*1000))),".")</f>
        <v>.</v>
      </c>
      <c r="F24" s="15">
        <f>IFERROR((TR/(RadSpec!G24*EF_rec*(1/365)*ED_rec*d_acf!D24*ET_rec*(1/24)*RadSpec!W24)),".")</f>
        <v>15420.487935770341</v>
      </c>
      <c r="G24" s="15">
        <f>IF(AND(D24&lt;&gt;".",E24&lt;&gt;".",F24&lt;&gt;"."),1/((1/D24)+(1/E24)+(1/F24)),IF(AND(D24&lt;&gt;".",E24&lt;&gt;".",F24="."), 1/((1/D24)+(1/E24)),IF(AND(D24&lt;&gt;".",E24=".",F24&lt;&gt;"."),1/((1/D24)+(1/F24)),IF(AND(D24=".",E24&lt;&gt;".",F24&lt;&gt;"."),1/((1/E24)+(1/F24)),IF(AND(D24&lt;&gt;".",E24=".",F24="."),1/((1/D24)),IF(AND(D24=".",E24&lt;&gt;".",F24="."),1/((1/E24)),IF(AND(D24=".",E24=".",F24&lt;&gt;"."),1/((1/F24)),IF(AND(D24=".",E24=".",F24="."),"."))))))))</f>
        <v>15420.487935770343</v>
      </c>
      <c r="H24" s="15">
        <f>IFERROR((TR/(RadSpec!G24*EF_rec*(1/365)*ED_rec*d_acf!D24*ET_rec*(1/24)*RadSpec!W24)),".")</f>
        <v>15420.487935770341</v>
      </c>
      <c r="I24" s="15">
        <f>IFERROR((TR/(RadSpec!N24*EF_rec*(1/365)*ED_rec*d_acf!E24*ET_rec*(1/24)*RadSpec!S24)),".")</f>
        <v>138306.07465118694</v>
      </c>
      <c r="J24" s="15">
        <f>IFERROR((TR/(RadSpec!O24*EF_rec*(1/365)*ED_rec*d_acf!F24*ET_rec*(1/24)*RadSpec!T24)),".")</f>
        <v>33715.366947298389</v>
      </c>
      <c r="K24" s="15">
        <f>IFERROR((TR/(RadSpec!P24*EF_rec*(1/365)*ED_rec*d_acf!G24*ET_rec*(1/24)*RadSpec!Z24)),".")</f>
        <v>16911.510619718905</v>
      </c>
      <c r="L24" s="15">
        <f>IFERROR((TR/(RadSpec!L24*EF_rec*(1/365)*ED_rec*d_acf!C24*ET_rec*(1/24)*RadSpec!V24)),".")</f>
        <v>209936.19529595715</v>
      </c>
      <c r="M24" s="15" t="str">
        <f>IFERROR((TR/(RadSpec!H24*IFA_rec_adj)),".")</f>
        <v>.</v>
      </c>
      <c r="N24" s="15">
        <f>IFERROR((TR/(RadSpec!K24*EF_rec*(1/365)*ED_rec*ET_rec*(1/24)*GSF_a)),".")</f>
        <v>1409292.5516432421</v>
      </c>
      <c r="O24" s="15">
        <f t="shared" ref="O24" si="40">IFERROR(IF(AND(M24&lt;&gt;0,N24&lt;&gt;0),1/((1/M24)+(1/N24)),IF(AND(M24&lt;&gt;0,N24=0),1/((1/M24)),IF(AND(M24=0,N24&lt;&gt;0),1/((1/N24)),IF(AND(M24=0,N24=0),0)))),0)</f>
        <v>0</v>
      </c>
      <c r="P24" s="15" t="str">
        <f>IFERROR(TR/(RadSpec!I24*IFW_rec_adj),".")</f>
        <v>.</v>
      </c>
      <c r="Q24" s="15">
        <f>IFERROR(TR/(RadSpec!M24*(1/8760)*DFA_rec_adj),".")</f>
        <v>648797414.16290915</v>
      </c>
      <c r="R24" s="15">
        <f t="shared" ref="R24" si="41">IFERROR(IF(AND(P24&lt;&gt;0,Q24&lt;&gt;0),1/((1/P24)+(1/Q24)),IF(AND(P24&lt;&gt;0,Q24=0),1/((1/P24)),IF(AND(P24=0,Q24&lt;&gt;0),1/((1/Q24)),IF(AND(P24=0,Q24=0),0)))),0)</f>
        <v>0</v>
      </c>
      <c r="S24" s="15" t="str">
        <f>IFERROR(TR/(RadSpec!F24*EF_rec*ED_rec*IRGL_rec*CF_game),".")</f>
        <v>.</v>
      </c>
      <c r="T24" s="15" t="str">
        <f>IFERROR((S24/(RadSpec!AI24*((Q_p_game*f_p_game*f_s_game*(RadSpec!BD24+R_es_past))+(Q_s_game*f_p_game)))),".")</f>
        <v>.</v>
      </c>
      <c r="U24" s="15" t="str">
        <f>IFERROR(S24/(RadSpec!AI24*Q_w_game*(1/1000)),".")</f>
        <v>.</v>
      </c>
      <c r="V24" s="15" t="str">
        <f>IFERROR(TR/(RadSpec!F24*EF_rec*ED_rec*IRGF_rec*CF_fowl),".")</f>
        <v>.</v>
      </c>
      <c r="W24" s="15" t="str">
        <f>IFERROR((S24/(RadSpec!AL24*((Q_p_fowl*f_p_fowl*f_s_fowl*(RadSpec!BD24+R_es_past))+(Q_s_fowl*f_p_fowl)))),".")</f>
        <v>.</v>
      </c>
      <c r="X24" s="15" t="str">
        <f>IFERROR(S24/(RadSpec!AL24*Q_w_fowl*(1/1000)),".")</f>
        <v>.</v>
      </c>
    </row>
    <row r="25" spans="1:24" customFormat="1" x14ac:dyDescent="0.25">
      <c r="A25" s="46" t="s">
        <v>35</v>
      </c>
      <c r="B25" s="42" t="s">
        <v>349</v>
      </c>
      <c r="C25" s="249"/>
      <c r="D25" s="15" t="str">
        <f>IFERROR(((TR)/(RadSpec!E25*IFS_rec_adj*(1/1000))),".")</f>
        <v>.</v>
      </c>
      <c r="E25" s="15">
        <f>IFERROR(IF(A25="H-3",(TR/(RadSpec!H25*IFA_rec_adj*(1/17)*1000))*RadSpec!#REF!,(TR/(RadSpec!H25*IFA_rec_adj*(1/PEF_wind)*1000))),".")</f>
        <v>414750411.4664939</v>
      </c>
      <c r="F25" s="15">
        <f>IFERROR((TR/(RadSpec!G25*EF_rec*(1/365)*ED_rec*d_acf!D25*ET_rec*(1/24)*RadSpec!W25)),".")</f>
        <v>30522.284661417398</v>
      </c>
      <c r="G25" s="15">
        <f>IF(AND(D25&lt;&gt;".",E25&lt;&gt;".",F25&lt;&gt;"."),1/((1/D25)+(1/E25)+(1/F25)),IF(AND(D25&lt;&gt;".",E25&lt;&gt;".",F25="."), 1/((1/D25)+(1/E25)),IF(AND(D25&lt;&gt;".",E25=".",F25&lt;&gt;"."),1/((1/D25)+(1/F25)),IF(AND(D25=".",E25&lt;&gt;".",F25&lt;&gt;"."),1/((1/E25)+(1/F25)),IF(AND(D25&lt;&gt;".",E25=".",F25="."),1/((1/D25)),IF(AND(D25=".",E25&lt;&gt;".",F25="."),1/((1/E25)),IF(AND(D25=".",E25=".",F25&lt;&gt;"."),1/((1/F25)),IF(AND(D25=".",E25=".",F25="."),"."))))))))</f>
        <v>30520.038632766733</v>
      </c>
      <c r="H25" s="15">
        <f>IFERROR((TR/(RadSpec!G25*EF_rec*(1/365)*ED_rec*d_acf!D25*ET_rec*(1/24)*RadSpec!W25)),".")</f>
        <v>30522.284661417398</v>
      </c>
      <c r="I25" s="15">
        <f>IFERROR((TR/(RadSpec!N25*EF_rec*(1/365)*ED_rec*d_acf!E25*ET_rec*(1/24)*RadSpec!S25)),".")</f>
        <v>265310.1306088625</v>
      </c>
      <c r="J25" s="15">
        <f>IFERROR((TR/(RadSpec!O25*EF_rec*(1/365)*ED_rec*d_acf!F25*ET_rec*(1/24)*RadSpec!T25)),".")</f>
        <v>64067.3531466075</v>
      </c>
      <c r="K25" s="15">
        <f>IFERROR((TR/(RadSpec!P25*EF_rec*(1/365)*ED_rec*d_acf!G25*ET_rec*(1/24)*RadSpec!Z25)),".")</f>
        <v>33839.579690208884</v>
      </c>
      <c r="L25" s="15">
        <f>IFERROR((TR/(RadSpec!L25*EF_rec*(1/365)*ED_rec*d_acf!C25*ET_rec*(1/24)*RadSpec!V25)),".")</f>
        <v>408577.39893056965</v>
      </c>
      <c r="M25" s="15">
        <f>IFERROR((TR/(RadSpec!H25*IFA_rec_adj)),".")</f>
        <v>305.11060259344009</v>
      </c>
      <c r="N25" s="15">
        <f>IFERROR((TR/(RadSpec!K25*EF_rec*(1/365)*ED_rec*ET_rec*(1/24)*GSF_a)),".")</f>
        <v>2767891.1266086698</v>
      </c>
      <c r="O25" s="15">
        <f t="shared" ref="O25" si="42">IFERROR(IF(AND(M25&lt;&gt;0,N25&lt;&gt;0),1/((1/M25)+(1/N25)),IF(AND(M25&lt;&gt;0,N25=0),1/((1/M25)),IF(AND(M25=0,N25&lt;&gt;0),1/((1/N25)),IF(AND(M25=0,N25=0),0)))),0)</f>
        <v>305.07697330135323</v>
      </c>
      <c r="P25" s="15" t="str">
        <f>IFERROR(TR/(RadSpec!I25*IFW_rec_adj),".")</f>
        <v>.</v>
      </c>
      <c r="Q25" s="15">
        <f>IFERROR(TR/(RadSpec!M25*(1/8760)*DFA_rec_adj),".")</f>
        <v>1278195570.0950336</v>
      </c>
      <c r="R25" s="15">
        <f t="shared" ref="R25" si="43">IFERROR(IF(AND(P25&lt;&gt;0,Q25&lt;&gt;0),1/((1/P25)+(1/Q25)),IF(AND(P25&lt;&gt;0,Q25=0),1/((1/P25)),IF(AND(P25=0,Q25&lt;&gt;0),1/((1/Q25)),IF(AND(P25=0,Q25=0),0)))),0)</f>
        <v>0</v>
      </c>
      <c r="S25" s="15" t="str">
        <f>IFERROR(TR/(RadSpec!F25*EF_rec*ED_rec*IRGL_rec*CF_game),".")</f>
        <v>.</v>
      </c>
      <c r="T25" s="15" t="str">
        <f>IFERROR((S25/(RadSpec!AI25*((Q_p_game*f_p_game*f_s_game*(RadSpec!BD25+R_es_past))+(Q_s_game*f_p_game)))),".")</f>
        <v>.</v>
      </c>
      <c r="U25" s="15" t="str">
        <f>IFERROR(S25/(RadSpec!AI25*Q_w_game*(1/1000)),".")</f>
        <v>.</v>
      </c>
      <c r="V25" s="15" t="str">
        <f>IFERROR(TR/(RadSpec!F25*EF_rec*ED_rec*IRGF_rec*CF_fowl),".")</f>
        <v>.</v>
      </c>
      <c r="W25" s="15" t="str">
        <f>IFERROR((S25/(RadSpec!AL25*((Q_p_fowl*f_p_fowl*f_s_fowl*(RadSpec!BD25+R_es_past))+(Q_s_fowl*f_p_fowl)))),".")</f>
        <v>.</v>
      </c>
      <c r="X25" s="15" t="str">
        <f>IFERROR(S25/(RadSpec!AL25*Q_w_fowl*(1/1000)),".")</f>
        <v>.</v>
      </c>
    </row>
    <row r="26" spans="1:24" customFormat="1" x14ac:dyDescent="0.25">
      <c r="A26" s="44" t="s">
        <v>36</v>
      </c>
      <c r="B26" s="42" t="s">
        <v>1071</v>
      </c>
      <c r="C26" s="42"/>
      <c r="D26" s="15">
        <f>IFERROR(((TR)/(RadSpec!E26*IFS_rec_adj*(1/1000))),".")</f>
        <v>10.828135828135826</v>
      </c>
      <c r="E26" s="15">
        <f>IFERROR(IF(A26="H-3",(TR/(RadSpec!H26*IFA_rec_adj*(1/17)*1000))*RadSpec!#REF!,(TR/(RadSpec!H26*IFA_rec_adj*(1/PEF_wind)*1000))),".")</f>
        <v>5414.7442633051196</v>
      </c>
      <c r="F26" s="15">
        <f>IFERROR((TR/(RadSpec!G26*EF_rec*(1/365)*ED_rec*d_acf!D26*ET_rec*(1/24)*RadSpec!W26)),".")</f>
        <v>224.34271546453976</v>
      </c>
      <c r="G26" s="15">
        <f>IF(AND(D26&lt;&gt;".",E26&lt;&gt;".",F26&lt;&gt;"."),1/((1/D26)+(1/E26)+(1/F26)),IF(AND(D26&lt;&gt;".",E26&lt;&gt;".",F26="."), 1/((1/D26)+(1/E26)),IF(AND(D26&lt;&gt;".",E26=".",F26&lt;&gt;"."),1/((1/D26)+(1/F26)),IF(AND(D26=".",E26&lt;&gt;".",F26&lt;&gt;"."),1/((1/E26)+(1/F26)),IF(AND(D26&lt;&gt;".",E26=".",F26="."),1/((1/D26)),IF(AND(D26=".",E26&lt;&gt;".",F26="."),1/((1/E26)),IF(AND(D26=".",E26=".",F26&lt;&gt;"."),1/((1/F26)),IF(AND(D26=".",E26=".",F26="."),"."))))))))</f>
        <v>10.309900472168325</v>
      </c>
      <c r="H26" s="15">
        <f>IFERROR((TR/(RadSpec!G26*EF_rec*(1/365)*ED_rec*d_acf!D26*ET_rec*(1/24)*RadSpec!W26)),".")</f>
        <v>224.34271546453976</v>
      </c>
      <c r="I26" s="15">
        <f>IFERROR((TR/(RadSpec!N26*EF_rec*(1/365)*ED_rec*d_acf!E26*ET_rec*(1/24)*RadSpec!S26)),".")</f>
        <v>770.15146648771974</v>
      </c>
      <c r="J26" s="15">
        <f>IFERROR((TR/(RadSpec!O26*EF_rec*(1/365)*ED_rec*d_acf!F26*ET_rec*(1/24)*RadSpec!T26)),".")</f>
        <v>303.72390811323294</v>
      </c>
      <c r="K26" s="15">
        <f>IFERROR((TR/(RadSpec!P26*EF_rec*(1/365)*ED_rec*d_acf!G26*ET_rec*(1/24)*RadSpec!Z26)),".")</f>
        <v>219.29749330036228</v>
      </c>
      <c r="L26" s="15">
        <f>IFERROR((TR/(RadSpec!L26*EF_rec*(1/365)*ED_rec*d_acf!C26*ET_rec*(1/24)*RadSpec!V26)),".")</f>
        <v>718.93999404645012</v>
      </c>
      <c r="M26" s="15">
        <f>IFERROR((TR/(RadSpec!H26*IFA_rec_adj)),".")</f>
        <v>3.9833495986775274E-3</v>
      </c>
      <c r="N26" s="15">
        <f>IFERROR((TR/(RadSpec!K26*EF_rec*(1/365)*ED_rec*ET_rec*(1/24)*GSF_a)),".")</f>
        <v>14970.306093330935</v>
      </c>
      <c r="O26" s="15">
        <f t="shared" ref="O26" si="44">IFERROR(IF(AND(M26&lt;&gt;0,N26&lt;&gt;0),1/((1/M26)+(1/N26)),IF(AND(M26&lt;&gt;0,N26=0),1/((1/M26)),IF(AND(M26=0,N26&lt;&gt;0),1/((1/N26)),IF(AND(M26=0,N26=0),0)))),0)</f>
        <v>3.983348538774697E-3</v>
      </c>
      <c r="P26" s="15">
        <f>IFERROR(TR/(RadSpec!I26*IFW_rec_adj),".")</f>
        <v>20.432298396554952</v>
      </c>
      <c r="Q26" s="15">
        <f>IFERROR(TR/(RadSpec!M26*(1/8760)*DFA_rec_adj),".")</f>
        <v>6726168.9964791108</v>
      </c>
      <c r="R26" s="15">
        <f t="shared" ref="R26" si="45">IFERROR(IF(AND(P26&lt;&gt;0,Q26&lt;&gt;0),1/((1/P26)+(1/Q26)),IF(AND(P26&lt;&gt;0,Q26=0),1/((1/P26)),IF(AND(P26=0,Q26&lt;&gt;0),1/((1/Q26)),IF(AND(P26=0,Q26=0),0)))),0)</f>
        <v>20.432236328898043</v>
      </c>
      <c r="S26" s="15">
        <f>IFERROR(TR/(RadSpec!F26*EF_rec*ED_rec*IRGL_rec*CF_game),".")</f>
        <v>1.7656068611482623</v>
      </c>
      <c r="T26" s="15">
        <f>IFERROR((S26/(RadSpec!AI26*((Q_p_game*f_p_game*f_s_game*(RadSpec!BD26+R_es_past))+(Q_s_game*f_p_game)))),".")</f>
        <v>6129.4051634384705</v>
      </c>
      <c r="U26" s="15">
        <f>IFERROR(S26/(RadSpec!AI26*Q_w_game*(1/1000)),".")</f>
        <v>7676551.5702098357</v>
      </c>
      <c r="V26" s="15">
        <f>IFERROR(TR/(RadSpec!F26*EF_rec*ED_rec*IRGF_rec*CF_fowl),".")</f>
        <v>1.7656068611482623</v>
      </c>
      <c r="W26" s="15" t="str">
        <f>IFERROR((S26/(RadSpec!AL26*((Q_p_fowl*f_p_fowl*f_s_fowl*(RadSpec!BD26+R_es_past))+(Q_s_fowl*f_p_fowl)))),".")</f>
        <v>.</v>
      </c>
      <c r="X26" s="15" t="str">
        <f>IFERROR(S26/(RadSpec!AL26*Q_w_fowl*(1/1000)),".")</f>
        <v>.</v>
      </c>
    </row>
    <row r="27" spans="1:24" customFormat="1" x14ac:dyDescent="0.25">
      <c r="A27" s="44" t="s">
        <v>37</v>
      </c>
      <c r="B27" s="42" t="s">
        <v>1071</v>
      </c>
      <c r="C27" s="249"/>
      <c r="D27" s="15" t="str">
        <f>IFERROR(((TR)/(RadSpec!E27*IFS_rec_adj*(1/1000))),".")</f>
        <v>.</v>
      </c>
      <c r="E27" s="15" t="str">
        <f>IFERROR(IF(A27="H-3",(TR/(RadSpec!H27*IFA_rec_adj*(1/17)*1000))*RadSpec!#REF!,(TR/(RadSpec!H27*IFA_rec_adj*(1/PEF_wind)*1000))),".")</f>
        <v>.</v>
      </c>
      <c r="F27" s="15">
        <f>IFERROR((TR/(RadSpec!G27*EF_rec*(1/365)*ED_rec*d_acf!D27*ET_rec*(1/24)*RadSpec!W27)),".")</f>
        <v>8031.3983174784735</v>
      </c>
      <c r="G27" s="15">
        <f>IF(AND(D27&lt;&gt;".",E27&lt;&gt;".",F27&lt;&gt;"."),1/((1/D27)+(1/E27)+(1/F27)),IF(AND(D27&lt;&gt;".",E27&lt;&gt;".",F27="."), 1/((1/D27)+(1/E27)),IF(AND(D27&lt;&gt;".",E27=".",F27&lt;&gt;"."),1/((1/D27)+(1/F27)),IF(AND(D27=".",E27&lt;&gt;".",F27&lt;&gt;"."),1/((1/E27)+(1/F27)),IF(AND(D27&lt;&gt;".",E27=".",F27="."),1/((1/D27)),IF(AND(D27=".",E27&lt;&gt;".",F27="."),1/((1/E27)),IF(AND(D27=".",E27=".",F27&lt;&gt;"."),1/((1/F27)),IF(AND(D27=".",E27=".",F27="."),"."))))))))</f>
        <v>8031.3983174784735</v>
      </c>
      <c r="H27" s="15">
        <f>IFERROR((TR/(RadSpec!G27*EF_rec*(1/365)*ED_rec*d_acf!D27*ET_rec*(1/24)*RadSpec!W27)),".")</f>
        <v>8031.3983174784735</v>
      </c>
      <c r="I27" s="15">
        <f>IFERROR((TR/(RadSpec!N27*EF_rec*(1/365)*ED_rec*d_acf!E27*ET_rec*(1/24)*RadSpec!S27)),".")</f>
        <v>36338.123116694769</v>
      </c>
      <c r="J27" s="15">
        <f>IFERROR((TR/(RadSpec!O27*EF_rec*(1/365)*ED_rec*d_acf!F27*ET_rec*(1/24)*RadSpec!T27)),".")</f>
        <v>13510.034564548525</v>
      </c>
      <c r="K27" s="15">
        <f>IFERROR((TR/(RadSpec!P27*EF_rec*(1/365)*ED_rec*d_acf!G27*ET_rec*(1/24)*RadSpec!Z27)),".")</f>
        <v>9011.2827476173534</v>
      </c>
      <c r="L27" s="15">
        <f>IFERROR((TR/(RadSpec!L27*EF_rec*(1/365)*ED_rec*d_acf!C27*ET_rec*(1/24)*RadSpec!V27)),".")</f>
        <v>7750.1490254876653</v>
      </c>
      <c r="M27" s="15" t="str">
        <f>IFERROR((TR/(RadSpec!H27*IFA_rec_adj)),".")</f>
        <v>.</v>
      </c>
      <c r="N27" s="15">
        <f>IFERROR((TR/(RadSpec!K27*EF_rec*(1/365)*ED_rec*ET_rec*(1/24)*GSF_a)),".")</f>
        <v>477933.9957746648</v>
      </c>
      <c r="O27" s="15">
        <f t="shared" ref="O27" si="46">IFERROR(IF(AND(M27&lt;&gt;0,N27&lt;&gt;0),1/((1/M27)+(1/N27)),IF(AND(M27&lt;&gt;0,N27=0),1/((1/M27)),IF(AND(M27=0,N27&lt;&gt;0),1/((1/N27)),IF(AND(M27=0,N27=0),0)))),0)</f>
        <v>0</v>
      </c>
      <c r="P27" s="15" t="str">
        <f>IFERROR(TR/(RadSpec!I27*IFW_rec_adj),".")</f>
        <v>.</v>
      </c>
      <c r="Q27" s="15">
        <f>IFERROR(TR/(RadSpec!M27*(1/8760)*DFA_rec_adj),".")</f>
        <v>305346719.52270252</v>
      </c>
      <c r="R27" s="15">
        <f t="shared" ref="R27" si="47">IFERROR(IF(AND(P27&lt;&gt;0,Q27&lt;&gt;0),1/((1/P27)+(1/Q27)),IF(AND(P27&lt;&gt;0,Q27=0),1/((1/P27)),IF(AND(P27=0,Q27&lt;&gt;0),1/((1/Q27)),IF(AND(P27=0,Q27=0),0)))),0)</f>
        <v>0</v>
      </c>
      <c r="S27" s="15" t="str">
        <f>IFERROR(TR/(RadSpec!F27*EF_rec*ED_rec*IRGL_rec*CF_game),".")</f>
        <v>.</v>
      </c>
      <c r="T27" s="15" t="str">
        <f>IFERROR((S27/(RadSpec!AI27*((Q_p_game*f_p_game*f_s_game*(RadSpec!BD27+R_es_past))+(Q_s_game*f_p_game)))),".")</f>
        <v>.</v>
      </c>
      <c r="U27" s="15" t="str">
        <f>IFERROR(S27/(RadSpec!AI27*Q_w_game*(1/1000)),".")</f>
        <v>.</v>
      </c>
      <c r="V27" s="15" t="str">
        <f>IFERROR(TR/(RadSpec!F27*EF_rec*ED_rec*IRGF_rec*CF_fowl),".")</f>
        <v>.</v>
      </c>
      <c r="W27" s="15" t="str">
        <f>IFERROR((S27/(RadSpec!AL27*((Q_p_fowl*f_p_fowl*f_s_fowl*(RadSpec!BD27+R_es_past))+(Q_s_fowl*f_p_fowl)))),".")</f>
        <v>.</v>
      </c>
      <c r="X27" s="15" t="str">
        <f>IFERROR(S27/(RadSpec!AL27*Q_w_fowl*(1/1000)),".")</f>
        <v>.</v>
      </c>
    </row>
    <row r="28" spans="1:24" customFormat="1" x14ac:dyDescent="0.25">
      <c r="A28" s="44" t="s">
        <v>38</v>
      </c>
      <c r="B28" s="42" t="s">
        <v>1071</v>
      </c>
      <c r="C28" s="42"/>
      <c r="D28" s="15" t="str">
        <f>IFERROR(((TR)/(RadSpec!E28*IFS_rec_adj*(1/1000))),".")</f>
        <v>.</v>
      </c>
      <c r="E28" s="15" t="str">
        <f>IFERROR(IF(A28="H-3",(TR/(RadSpec!H28*IFA_rec_adj*(1/17)*1000))*RadSpec!#REF!,(TR/(RadSpec!H28*IFA_rec_adj*(1/PEF_wind)*1000))),".")</f>
        <v>.</v>
      </c>
      <c r="F28" s="15">
        <f>IFERROR((TR/(RadSpec!G28*EF_rec*(1/365)*ED_rec*d_acf!D28*ET_rec*(1/24)*RadSpec!W28)),".")</f>
        <v>4.6201985113819282</v>
      </c>
      <c r="G28" s="15">
        <f t="shared" ref="G28:G29" si="48">IF(AND(D28&lt;&gt;".",E28&lt;&gt;".",F28&lt;&gt;"."),1/((1/D28)+(1/E28)+(1/F28)),IF(AND(D28&lt;&gt;".",E28&lt;&gt;".",F28="."), 1/((1/D28)+(1/E28)),IF(AND(D28&lt;&gt;".",E28=".",F28&lt;&gt;"."),1/((1/D28)+(1/F28)),IF(AND(D28=".",E28&lt;&gt;".",F28&lt;&gt;"."),1/((1/E28)+(1/F28)),IF(AND(D28&lt;&gt;".",E28=".",F28="."),1/((1/D28)),IF(AND(D28=".",E28&lt;&gt;".",F28="."),1/((1/E28)),IF(AND(D28=".",E28=".",F28&lt;&gt;"."),1/((1/F28)),IF(AND(D28=".",E28=".",F28="."),"."))))))))</f>
        <v>4.6201985113819282</v>
      </c>
      <c r="H28" s="15">
        <f>IFERROR((TR/(RadSpec!G28*EF_rec*(1/365)*ED_rec*d_acf!D28*ET_rec*(1/24)*RadSpec!W28)),".")</f>
        <v>4.6201985113819282</v>
      </c>
      <c r="I28" s="15">
        <f>IFERROR((TR/(RadSpec!N28*EF_rec*(1/365)*ED_rec*d_acf!E28*ET_rec*(1/24)*RadSpec!S28)),".")</f>
        <v>54.245376292154624</v>
      </c>
      <c r="J28" s="15">
        <f>IFERROR((TR/(RadSpec!O28*EF_rec*(1/365)*ED_rec*d_acf!F28*ET_rec*(1/24)*RadSpec!T28)),".")</f>
        <v>12.42676758212998</v>
      </c>
      <c r="K28" s="15">
        <f>IFERROR((TR/(RadSpec!P28*EF_rec*(1/365)*ED_rec*d_acf!G28*ET_rec*(1/24)*RadSpec!Z28)),".")</f>
        <v>6.1526049877016957</v>
      </c>
      <c r="L28" s="15">
        <f>IFERROR((TR/(RadSpec!L28*EF_rec*(1/365)*ED_rec*d_acf!C28*ET_rec*(1/24)*RadSpec!V28)),".")</f>
        <v>80.768875920071551</v>
      </c>
      <c r="M28" s="15" t="str">
        <f>IFERROR((TR/(RadSpec!H28*IFA_rec_adj)),".")</f>
        <v>.</v>
      </c>
      <c r="N28" s="15">
        <f>IFERROR((TR/(RadSpec!K28*EF_rec*(1/365)*ED_rec*ET_rec*(1/24)*GSF_a)),".")</f>
        <v>469.19130073000633</v>
      </c>
      <c r="O28" s="15">
        <f t="shared" ref="O28:O29" si="49">IFERROR(IF(AND(M28&lt;&gt;0,N28&lt;&gt;0),1/((1/M28)+(1/N28)),IF(AND(M28&lt;&gt;0,N28=0),1/((1/M28)),IF(AND(M28=0,N28&lt;&gt;0),1/((1/N28)),IF(AND(M28=0,N28=0),0)))),0)</f>
        <v>0</v>
      </c>
      <c r="P28" s="15" t="str">
        <f>IFERROR(TR/(RadSpec!I28*IFW_rec_adj),".")</f>
        <v>.</v>
      </c>
      <c r="Q28" s="15">
        <f>IFERROR(TR/(RadSpec!M28*(1/8760)*DFA_rec_adj),".")</f>
        <v>216144.30707786803</v>
      </c>
      <c r="R28" s="15">
        <f t="shared" ref="R28:R29" si="50">IFERROR(IF(AND(P28&lt;&gt;0,Q28&lt;&gt;0),1/((1/P28)+(1/Q28)),IF(AND(P28&lt;&gt;0,Q28=0),1/((1/P28)),IF(AND(P28=0,Q28&lt;&gt;0),1/((1/Q28)),IF(AND(P28=0,Q28=0),0)))),0)</f>
        <v>0</v>
      </c>
      <c r="S28" s="15" t="str">
        <f>IFERROR(TR/(RadSpec!F28*EF_rec*ED_rec*IRGL_rec*CF_game),".")</f>
        <v>.</v>
      </c>
      <c r="T28" s="15" t="str">
        <f>IFERROR((S28/(RadSpec!AI28*((Q_p_game*f_p_game*f_s_game*(RadSpec!BD28+R_es_past))+(Q_s_game*f_p_game)))),".")</f>
        <v>.</v>
      </c>
      <c r="U28" s="15" t="str">
        <f>IFERROR(S28/(RadSpec!AI28*Q_w_game*(1/1000)),".")</f>
        <v>.</v>
      </c>
      <c r="V28" s="15" t="str">
        <f>IFERROR(TR/(RadSpec!F28*EF_rec*ED_rec*IRGF_rec*CF_fowl),".")</f>
        <v>.</v>
      </c>
      <c r="W28" s="15" t="str">
        <f>IFERROR((S28/(RadSpec!AL28*((Q_p_fowl*f_p_fowl*f_s_fowl*(RadSpec!BD28+R_es_past))+(Q_s_fowl*f_p_fowl)))),".")</f>
        <v>.</v>
      </c>
      <c r="X28" s="15" t="str">
        <f>IFERROR(S28/(RadSpec!AL28*Q_w_fowl*(1/1000)),".")</f>
        <v>.</v>
      </c>
    </row>
    <row r="29" spans="1:24" customFormat="1" x14ac:dyDescent="0.25">
      <c r="A29" s="44" t="s">
        <v>39</v>
      </c>
      <c r="B29" s="42" t="s">
        <v>1071</v>
      </c>
      <c r="C29" s="249"/>
      <c r="D29" s="15" t="str">
        <f>IFERROR(((TR)/(RadSpec!E29*IFS_rec_adj*(1/1000))),".")</f>
        <v>.</v>
      </c>
      <c r="E29" s="15" t="str">
        <f>IFERROR(IF(A29="H-3",(TR/(RadSpec!H29*IFA_rec_adj*(1/17)*1000))*RadSpec!#REF!,(TR/(RadSpec!H29*IFA_rec_adj*(1/PEF_wind)*1000))),".")</f>
        <v>.</v>
      </c>
      <c r="F29" s="15">
        <f>IFERROR((TR/(RadSpec!G29*EF_rec*(1/365)*ED_rec*d_acf!D29*ET_rec*(1/24)*RadSpec!W29)),".")</f>
        <v>3.6243328012912084</v>
      </c>
      <c r="G29" s="15">
        <f t="shared" si="48"/>
        <v>3.6243328012912084</v>
      </c>
      <c r="H29" s="15">
        <f>IFERROR((TR/(RadSpec!G29*EF_rec*(1/365)*ED_rec*d_acf!D29*ET_rec*(1/24)*RadSpec!W29)),".")</f>
        <v>3.6243328012912084</v>
      </c>
      <c r="I29" s="15">
        <f>IFERROR((TR/(RadSpec!N29*EF_rec*(1/365)*ED_rec*d_acf!E29*ET_rec*(1/24)*RadSpec!S29)),".")</f>
        <v>40.942908904610618</v>
      </c>
      <c r="J29" s="15">
        <f>IFERROR((TR/(RadSpec!O29*EF_rec*(1/365)*ED_rec*d_acf!F29*ET_rec*(1/24)*RadSpec!T29)),".")</f>
        <v>9.6194539966135402</v>
      </c>
      <c r="K29" s="15">
        <f>IFERROR((TR/(RadSpec!P29*EF_rec*(1/365)*ED_rec*d_acf!G29*ET_rec*(1/24)*RadSpec!Z29)),".")</f>
        <v>4.6883724120701746</v>
      </c>
      <c r="L29" s="15">
        <f>IFERROR((TR/(RadSpec!L29*EF_rec*(1/365)*ED_rec*d_acf!C29*ET_rec*(1/24)*RadSpec!V29)),".")</f>
        <v>60.964894098576764</v>
      </c>
      <c r="M29" s="15" t="str">
        <f>IFERROR((TR/(RadSpec!H29*IFA_rec_adj)),".")</f>
        <v>.</v>
      </c>
      <c r="N29" s="15">
        <f>IFERROR((TR/(RadSpec!K29*EF_rec*(1/365)*ED_rec*ET_rec*(1/24)*GSF_a)),".")</f>
        <v>362.95930811189157</v>
      </c>
      <c r="O29" s="15">
        <f t="shared" si="49"/>
        <v>0</v>
      </c>
      <c r="P29" s="15" t="str">
        <f>IFERROR(TR/(RadSpec!I29*IFW_rec_adj),".")</f>
        <v>.</v>
      </c>
      <c r="Q29" s="15">
        <f>IFERROR(TR/(RadSpec!M29*(1/8760)*DFA_rec_adj),".")</f>
        <v>167276.89852113268</v>
      </c>
      <c r="R29" s="15">
        <f t="shared" si="50"/>
        <v>0</v>
      </c>
      <c r="S29" s="15" t="str">
        <f>IFERROR(TR/(RadSpec!F29*EF_rec*ED_rec*IRGL_rec*CF_game),".")</f>
        <v>.</v>
      </c>
      <c r="T29" s="15" t="str">
        <f>IFERROR((S29/(RadSpec!AI29*((Q_p_game*f_p_game*f_s_game*(RadSpec!BD29+R_es_past))+(Q_s_game*f_p_game)))),".")</f>
        <v>.</v>
      </c>
      <c r="U29" s="15" t="str">
        <f>IFERROR(S29/(RadSpec!AI29*Q_w_game*(1/1000)),".")</f>
        <v>.</v>
      </c>
      <c r="V29" s="15" t="str">
        <f>IFERROR(TR/(RadSpec!F29*EF_rec*ED_rec*IRGF_rec*CF_fowl),".")</f>
        <v>.</v>
      </c>
      <c r="W29" s="15" t="str">
        <f>IFERROR((S29/(RadSpec!AL29*((Q_p_fowl*f_p_fowl*f_s_fowl*(RadSpec!BD29+R_es_past))+(Q_s_fowl*f_p_fowl)))),".")</f>
        <v>.</v>
      </c>
      <c r="X29" s="15" t="str">
        <f>IFERROR(S29/(RadSpec!AL29*Q_w_fowl*(1/1000)),".")</f>
        <v>.</v>
      </c>
    </row>
    <row r="30" spans="1:24" customFormat="1" x14ac:dyDescent="0.25">
      <c r="A30" s="44" t="s">
        <v>40</v>
      </c>
      <c r="B30" s="42" t="s">
        <v>1071</v>
      </c>
      <c r="C30" s="42"/>
      <c r="D30" s="15">
        <f>IFERROR(((TR)/(RadSpec!E30*IFS_rec_adj*(1/1000))),".")</f>
        <v>27.737096702613943</v>
      </c>
      <c r="E30" s="15">
        <f>IFERROR(IF(A30="H-3",(TR/(RadSpec!H30*IFA_rec_adj*(1/17)*1000))*RadSpec!#REF!,(TR/(RadSpec!H30*IFA_rec_adj*(1/PEF_wind)*1000))),".")</f>
        <v>33408.618199738776</v>
      </c>
      <c r="F30" s="15">
        <f>IFERROR((TR/(RadSpec!G30*EF_rec*(1/365)*ED_rec*d_acf!D30*ET_rec*(1/24)*RadSpec!W30)),".")</f>
        <v>41025.680378965822</v>
      </c>
      <c r="G30" s="15">
        <f>IF(AND(D30&lt;&gt;".",E30&lt;&gt;".",F30&lt;&gt;"."),1/((1/D30)+(1/E30)+(1/F30)),IF(AND(D30&lt;&gt;".",E30&lt;&gt;".",F30="."), 1/((1/D30)+(1/E30)),IF(AND(D30&lt;&gt;".",E30=".",F30&lt;&gt;"."),1/((1/D30)+(1/F30)),IF(AND(D30=".",E30&lt;&gt;".",F30&lt;&gt;"."),1/((1/E30)+(1/F30)),IF(AND(D30&lt;&gt;".",E30=".",F30="."),1/((1/D30)),IF(AND(D30=".",E30&lt;&gt;".",F30="."),1/((1/E30)),IF(AND(D30=".",E30=".",F30&lt;&gt;"."),1/((1/F30)),IF(AND(D30=".",E30=".",F30="."),"."))))))))</f>
        <v>27.695378355061891</v>
      </c>
      <c r="H30" s="15">
        <f>IFERROR((TR/(RadSpec!G30*EF_rec*(1/365)*ED_rec*d_acf!D30*ET_rec*(1/24)*RadSpec!W30)),".")</f>
        <v>41025.680378965822</v>
      </c>
      <c r="I30" s="15">
        <f>IFERROR((TR/(RadSpec!N30*EF_rec*(1/365)*ED_rec*d_acf!E30*ET_rec*(1/24)*RadSpec!S30)),".")</f>
        <v>141405.36751285254</v>
      </c>
      <c r="J30" s="15">
        <f>IFERROR((TR/(RadSpec!O30*EF_rec*(1/365)*ED_rec*d_acf!F30*ET_rec*(1/24)*RadSpec!T30)),".")</f>
        <v>59564.675644899995</v>
      </c>
      <c r="K30" s="15">
        <f>IFERROR((TR/(RadSpec!P30*EF_rec*(1/365)*ED_rec*d_acf!G30*ET_rec*(1/24)*RadSpec!Z30)),".")</f>
        <v>42131.626308336345</v>
      </c>
      <c r="L30" s="15">
        <f>IFERROR((TR/(RadSpec!L30*EF_rec*(1/365)*ED_rec*d_acf!C30*ET_rec*(1/24)*RadSpec!V30)),".")</f>
        <v>116283.00777471159</v>
      </c>
      <c r="M30" s="15">
        <f>IFERROR((TR/(RadSpec!H30*IFA_rec_adj)),".")</f>
        <v>2.4577006674193373E-2</v>
      </c>
      <c r="N30" s="15">
        <f>IFERROR((TR/(RadSpec!K30*EF_rec*(1/365)*ED_rec*ET_rec*(1/24)*GSF_a)),".")</f>
        <v>4791243.6687248461</v>
      </c>
      <c r="O30" s="15">
        <f t="shared" ref="O30" si="51">IFERROR(IF(AND(M30&lt;&gt;0,N30&lt;&gt;0),1/((1/M30)+(1/N30)),IF(AND(M30&lt;&gt;0,N30=0),1/((1/M30)),IF(AND(M30=0,N30&lt;&gt;0),1/((1/N30)),IF(AND(M30=0,N30=0),0)))),0)</f>
        <v>2.4577006548123961E-2</v>
      </c>
      <c r="P30" s="15">
        <f>IFERROR(TR/(RadSpec!I30*IFW_rec_adj),".")</f>
        <v>63.613959956284482</v>
      </c>
      <c r="Q30" s="15">
        <f>IFERROR(TR/(RadSpec!M30*(1/8760)*DFA_rec_adj),".")</f>
        <v>2149367969.8246093</v>
      </c>
      <c r="R30" s="15">
        <f t="shared" ref="R30" si="52">IFERROR(IF(AND(P30&lt;&gt;0,Q30&lt;&gt;0),1/((1/P30)+(1/Q30)),IF(AND(P30&lt;&gt;0,Q30=0),1/((1/P30)),IF(AND(P30=0,Q30&lt;&gt;0),1/((1/Q30)),IF(AND(P30=0,Q30=0),0)))),0)</f>
        <v>63.613958073528323</v>
      </c>
      <c r="S30" s="15">
        <f>IFERROR(TR/(RadSpec!F30*EF_rec*ED_rec*IRGL_rec*CF_game),".")</f>
        <v>5.2900816259594876</v>
      </c>
      <c r="T30" s="15">
        <f>IFERROR((S30/(RadSpec!AI30*((Q_p_game*f_p_game*f_s_game*(RadSpec!BD30+R_es_past))+(Q_s_game*f_p_game)))),".")</f>
        <v>10789.934460499304</v>
      </c>
      <c r="U30" s="15">
        <f>IFERROR(S30/(RadSpec!AI30*Q_w_game*(1/1000)),".")</f>
        <v>13564311.861434583</v>
      </c>
      <c r="V30" s="15">
        <f>IFERROR(TR/(RadSpec!F30*EF_rec*ED_rec*IRGF_rec*CF_fowl),".")</f>
        <v>5.2900816259594876</v>
      </c>
      <c r="W30" s="15">
        <f>IFERROR((S30/(RadSpec!AL30*((Q_p_fowl*f_p_fowl*f_s_fowl*(RadSpec!BD30+R_es_past))+(Q_s_fowl*f_p_fowl)))),".")</f>
        <v>5.610765919459638</v>
      </c>
      <c r="X30" s="15">
        <f>IFERROR(S30/(RadSpec!AL30*Q_w_fowl*(1/1000)),".")</f>
        <v>7053.4421679459838</v>
      </c>
    </row>
    <row r="31" spans="1:24" x14ac:dyDescent="0.25">
      <c r="A31" s="82" t="s">
        <v>13</v>
      </c>
      <c r="B31" s="57" t="s">
        <v>1255</v>
      </c>
      <c r="C31" s="57"/>
      <c r="D31" s="58">
        <f>1/SUM(1/D32,1/D33,1/D34,1/D35,1/D36,1/D37,1/D38,1/D41,1/D44)</f>
        <v>2.6156075268969081</v>
      </c>
      <c r="E31" s="58">
        <f>1/SUM(1/E32,1/E33,1/E34,1/E35,1/E36,1/E37,1/E38,1/E41,1/E44)</f>
        <v>2917.0611214171267</v>
      </c>
      <c r="F31" s="58">
        <f>1/SUM(1/F32,1/F33,1/F34,1/F35,1/F36,1/F37,1/F38,1/F39,1/F40,1/F41,1/F42,1/F43,1/F44)</f>
        <v>25.745087522698348</v>
      </c>
      <c r="G31" s="59">
        <f>1/SUM(1/G32,1/G33,1/G34,1/G35,1/G36,1/G37,1/G38,1/G39,1/G40,1/G41,1/G42,1/G43,1/G44)</f>
        <v>2.3724481254362431</v>
      </c>
      <c r="H31" s="58">
        <f t="shared" ref="H31:R31" si="53">1/SUM(1/H32,1/H33,1/H34,1/H35,1/H36,1/H37,1/H38,1/H39,1/H40,1/H41,1/H42,1/H43,1/H44)</f>
        <v>25.745087522698348</v>
      </c>
      <c r="I31" s="58">
        <f t="shared" si="53"/>
        <v>143.94619048226392</v>
      </c>
      <c r="J31" s="58">
        <f t="shared" si="53"/>
        <v>44.151297489357887</v>
      </c>
      <c r="K31" s="58">
        <f t="shared" si="53"/>
        <v>27.15698343026499</v>
      </c>
      <c r="L31" s="58">
        <f t="shared" si="53"/>
        <v>153.8306683939802</v>
      </c>
      <c r="M31" s="58">
        <f>1/SUM(1/M32,1/M33,1/M34,1/M35,1/M36,1/M37,1/M38,1/M41,1/M44)</f>
        <v>2.145932232858984E-3</v>
      </c>
      <c r="N31" s="58">
        <f t="shared" si="53"/>
        <v>2032.9141963800525</v>
      </c>
      <c r="O31" s="59">
        <f t="shared" si="53"/>
        <v>2.1459299676279704E-3</v>
      </c>
      <c r="P31" s="58">
        <f>1/SUM(1/P32,1/P33,1/P34,1/P35,1/P36,1/P37,1/P38,1/P41,1/P44)</f>
        <v>5.920073561215891</v>
      </c>
      <c r="Q31" s="58">
        <f t="shared" si="53"/>
        <v>926907.2557435804</v>
      </c>
      <c r="R31" s="59">
        <f t="shared" si="53"/>
        <v>5.9200357504781813</v>
      </c>
      <c r="S31" s="58">
        <f>1/SUM(1/S32,1/S33,1/S34,1/S35,1/S36,1/S37,1/S38,1/S41,1/S44)</f>
        <v>0.49357588442918332</v>
      </c>
      <c r="T31" s="58">
        <f>1/SUM(1/T32,1/T33,1/T34,1/T35,1/T36,1/T37,1/T38,1/T41,1/T44)</f>
        <v>904.96978622336701</v>
      </c>
      <c r="U31" s="58">
        <f>1/SUM(1/U32,1/U33,1/U34,1/U35,1/U36,1/U37,1/U38,1/U41,1/U44)</f>
        <v>1145011.0714983006</v>
      </c>
      <c r="V31" s="58">
        <f>1/SUM(1/V32,1/V33,1/V34,1/V35,1/V36,1/V37,1/V38,1/V41,1/V44)</f>
        <v>0.49357588442918332</v>
      </c>
      <c r="W31" s="58">
        <f>1/SUM(1/W32,1/W35)</f>
        <v>5.5499351035500721</v>
      </c>
      <c r="X31" s="58">
        <f>1/SUM(1/X32,1/X35)</f>
        <v>6976.5404548407168</v>
      </c>
    </row>
    <row r="32" spans="1:24" x14ac:dyDescent="0.25">
      <c r="A32" s="83" t="s">
        <v>1099</v>
      </c>
      <c r="B32" s="42">
        <v>1</v>
      </c>
      <c r="C32" s="42"/>
      <c r="D32" s="60">
        <f>IFERROR(D3/$B32,0)</f>
        <v>22.612974420203336</v>
      </c>
      <c r="E32" s="60">
        <f>IFERROR(E3/$B32,0)</f>
        <v>25056.463649804085</v>
      </c>
      <c r="F32" s="60">
        <f>IFERROR(F3/$B32,0)</f>
        <v>1507.4078558715651</v>
      </c>
      <c r="G32" s="60">
        <f t="shared" ref="G32:G44" si="54">IF(AND(D32&lt;&gt;0,E32&lt;&gt;0,F32&lt;&gt;0),1/((1/D32)+(1/E32)+(1/F32)),IF(AND(D32&lt;&gt;0,E32&lt;&gt;0,F32=0), 1/((1/D32)+(1/E32)),IF(AND(D32&lt;&gt;0,E32=0,F32&lt;&gt;0),1/((1/D32)+(1/F32)),IF(AND(D32=0,E32&lt;&gt;0,F32&lt;&gt;0),1/((1/E32)+(1/F32)),IF(AND(D32&lt;&gt;0,E32=0,F32=0),1/((1/D32)),IF(AND(D32=0,E32&lt;&gt;0,F32=0),1/((1/E32)),IF(AND(D32=0,E32=0,F32&lt;&gt;0),1/((1/F32)),IF(AND(D32=0,E32=0,F32=0),0))))))))</f>
        <v>22.25897409955094</v>
      </c>
      <c r="H32" s="60">
        <f t="shared" ref="H32:N32" si="55">IFERROR(H3/$B32,0)</f>
        <v>1507.4078558715651</v>
      </c>
      <c r="I32" s="60">
        <f t="shared" si="55"/>
        <v>3453.8858090458807</v>
      </c>
      <c r="J32" s="60">
        <f t="shared" si="55"/>
        <v>1833.696367950899</v>
      </c>
      <c r="K32" s="60">
        <f t="shared" si="55"/>
        <v>1674.8673383687362</v>
      </c>
      <c r="L32" s="60">
        <f t="shared" si="55"/>
        <v>2849.1543167228629</v>
      </c>
      <c r="M32" s="60">
        <f t="shared" si="55"/>
        <v>1.8432755005645032E-2</v>
      </c>
      <c r="N32" s="60">
        <f t="shared" si="55"/>
        <v>77411.844386037235</v>
      </c>
      <c r="O32" s="60">
        <f t="shared" ref="O32:O44" si="56">IFERROR(IF(AND(M32&lt;&gt;0,N32&lt;&gt;0),1/((1/M32)+(1/N32)),IF(AND(M32&lt;&gt;0,N32=0),1/((1/M32)),IF(AND(M32=0,N32&lt;&gt;0),1/((1/N32)),IF(AND(M32=0,N32=0),0)))),0)</f>
        <v>1.8432750616570223E-2</v>
      </c>
      <c r="P32" s="60">
        <f>IFERROR(P3/$B32,0)</f>
        <v>44.075386541139963</v>
      </c>
      <c r="Q32" s="60">
        <f>IFERROR(Q3/$B32,0)</f>
        <v>34047510.318460628</v>
      </c>
      <c r="R32" s="60">
        <f t="shared" ref="R32:R44" si="57">IFERROR(IF(AND(P32&lt;&gt;0,Q32&lt;&gt;0),1/((1/P32)+(1/Q32)),IF(AND(P32&lt;&gt;0,Q32=0),1/((1/P32)),IF(AND(P32=0,Q32&lt;&gt;0),1/((1/Q32)),IF(AND(P32=0,Q32=0),0)))),0)</f>
        <v>44.075329484481024</v>
      </c>
      <c r="S32" s="60">
        <f t="shared" ref="S32:X32" si="58">IFERROR(S3/$B32,0)</f>
        <v>3.8393390193944206</v>
      </c>
      <c r="T32" s="60">
        <f t="shared" si="58"/>
        <v>6142.8181625257166</v>
      </c>
      <c r="U32" s="60">
        <f t="shared" si="58"/>
        <v>7678678.0387888411</v>
      </c>
      <c r="V32" s="60">
        <f t="shared" si="58"/>
        <v>3.8393390193944206</v>
      </c>
      <c r="W32" s="60">
        <f t="shared" si="58"/>
        <v>511.90151354380964</v>
      </c>
      <c r="X32" s="60">
        <f t="shared" si="58"/>
        <v>639889.8365657368</v>
      </c>
    </row>
    <row r="33" spans="1:24" x14ac:dyDescent="0.25">
      <c r="A33" s="83" t="s">
        <v>1075</v>
      </c>
      <c r="B33" s="42">
        <v>1</v>
      </c>
      <c r="C33" s="42"/>
      <c r="D33" s="60">
        <f t="shared" ref="D33:F34" si="59">IFERROR(D13/$B33,0)</f>
        <v>33.416205523030442</v>
      </c>
      <c r="E33" s="60">
        <f t="shared" si="59"/>
        <v>32977.539255226016</v>
      </c>
      <c r="F33" s="60">
        <f t="shared" si="59"/>
        <v>832.04076976761598</v>
      </c>
      <c r="G33" s="60">
        <f t="shared" si="54"/>
        <v>32.094704692593702</v>
      </c>
      <c r="H33" s="60">
        <f t="shared" ref="H33:N34" si="60">IFERROR(H13/$B33,0)</f>
        <v>832.04076976761598</v>
      </c>
      <c r="I33" s="60">
        <f t="shared" si="60"/>
        <v>2417.6151003361829</v>
      </c>
      <c r="J33" s="60">
        <f t="shared" si="60"/>
        <v>1035.0982350776396</v>
      </c>
      <c r="K33" s="60">
        <f t="shared" si="60"/>
        <v>822.59255696962987</v>
      </c>
      <c r="L33" s="60">
        <f t="shared" si="60"/>
        <v>2369.490543496172</v>
      </c>
      <c r="M33" s="60">
        <f t="shared" si="60"/>
        <v>2.4259884007429587E-2</v>
      </c>
      <c r="N33" s="60">
        <f t="shared" si="60"/>
        <v>58559.644839970337</v>
      </c>
      <c r="O33" s="60">
        <f t="shared" si="56"/>
        <v>2.4259873957134203E-2</v>
      </c>
      <c r="P33" s="60">
        <f>IFERROR(P13/$B33,0)</f>
        <v>73.45897756856661</v>
      </c>
      <c r="Q33" s="60">
        <f>IFERROR(Q13/$B33,0)</f>
        <v>26172575.959088787</v>
      </c>
      <c r="R33" s="60">
        <f t="shared" si="57"/>
        <v>73.458771390686067</v>
      </c>
      <c r="S33" s="60">
        <f t="shared" ref="S33:X34" si="61">IFERROR(S13/$B33,0)</f>
        <v>6.1875061875061865</v>
      </c>
      <c r="T33" s="60">
        <f t="shared" si="61"/>
        <v>49368.400432230213</v>
      </c>
      <c r="U33" s="60">
        <f t="shared" si="61"/>
        <v>61875061.875061862</v>
      </c>
      <c r="V33" s="60">
        <f t="shared" si="61"/>
        <v>6.1875061875061865</v>
      </c>
      <c r="W33" s="60">
        <f t="shared" si="61"/>
        <v>0</v>
      </c>
      <c r="X33" s="60">
        <f t="shared" si="61"/>
        <v>0</v>
      </c>
    </row>
    <row r="34" spans="1:24" x14ac:dyDescent="0.25">
      <c r="A34" s="83" t="s">
        <v>1076</v>
      </c>
      <c r="B34" s="42">
        <v>1</v>
      </c>
      <c r="C34" s="42"/>
      <c r="D34" s="60">
        <f t="shared" si="59"/>
        <v>253.06205081485976</v>
      </c>
      <c r="E34" s="60">
        <f t="shared" si="59"/>
        <v>61882791.580629945</v>
      </c>
      <c r="F34" s="60">
        <f t="shared" si="59"/>
        <v>69.071138288983377</v>
      </c>
      <c r="G34" s="60">
        <f t="shared" si="54"/>
        <v>54.260998780364837</v>
      </c>
      <c r="H34" s="60">
        <f t="shared" si="60"/>
        <v>69.071138288983377</v>
      </c>
      <c r="I34" s="60">
        <f t="shared" si="60"/>
        <v>382.39054789694626</v>
      </c>
      <c r="J34" s="60">
        <f t="shared" si="60"/>
        <v>111.59387524929282</v>
      </c>
      <c r="K34" s="60">
        <f t="shared" si="60"/>
        <v>68.78417722172972</v>
      </c>
      <c r="L34" s="60">
        <f t="shared" si="60"/>
        <v>417.17967427788506</v>
      </c>
      <c r="M34" s="60">
        <f t="shared" si="60"/>
        <v>45.523995413457463</v>
      </c>
      <c r="N34" s="60">
        <f t="shared" si="60"/>
        <v>5263.1582298030798</v>
      </c>
      <c r="O34" s="60">
        <f t="shared" si="56"/>
        <v>45.133609613275205</v>
      </c>
      <c r="P34" s="60">
        <f>IFERROR(P14/$B34,0)</f>
        <v>743.44025491079458</v>
      </c>
      <c r="Q34" s="60">
        <f>IFERROR(Q14/$B34,0)</f>
        <v>2404605.4162412821</v>
      </c>
      <c r="R34" s="60">
        <f t="shared" si="57"/>
        <v>743.21047393281742</v>
      </c>
      <c r="S34" s="60">
        <f t="shared" si="61"/>
        <v>57.272784545511819</v>
      </c>
      <c r="T34" s="60">
        <f t="shared" si="61"/>
        <v>8484856.9697054531</v>
      </c>
      <c r="U34" s="60">
        <f t="shared" si="61"/>
        <v>11454556909.102364</v>
      </c>
      <c r="V34" s="60">
        <f t="shared" si="61"/>
        <v>57.272784545511819</v>
      </c>
      <c r="W34" s="60">
        <f t="shared" si="61"/>
        <v>0</v>
      </c>
      <c r="X34" s="60">
        <f t="shared" si="61"/>
        <v>0</v>
      </c>
    </row>
    <row r="35" spans="1:24" x14ac:dyDescent="0.25">
      <c r="A35" s="83" t="s">
        <v>1077</v>
      </c>
      <c r="B35" s="42">
        <v>1</v>
      </c>
      <c r="C35" s="42"/>
      <c r="D35" s="60">
        <f>IFERROR(D30/$B35,0)</f>
        <v>27.737096702613943</v>
      </c>
      <c r="E35" s="60">
        <f>IFERROR(E30/$B35,0)</f>
        <v>33408.618199738776</v>
      </c>
      <c r="F35" s="60">
        <f>IFERROR(F30/$B35,0)</f>
        <v>41025.680378965822</v>
      </c>
      <c r="G35" s="60">
        <f t="shared" si="54"/>
        <v>27.695378355061891</v>
      </c>
      <c r="H35" s="60">
        <f t="shared" ref="H35:N35" si="62">IFERROR(H30/$B35,0)</f>
        <v>41025.680378965822</v>
      </c>
      <c r="I35" s="60">
        <f t="shared" si="62"/>
        <v>141405.36751285254</v>
      </c>
      <c r="J35" s="60">
        <f t="shared" si="62"/>
        <v>59564.675644899995</v>
      </c>
      <c r="K35" s="60">
        <f t="shared" si="62"/>
        <v>42131.626308336345</v>
      </c>
      <c r="L35" s="60">
        <f t="shared" si="62"/>
        <v>116283.00777471159</v>
      </c>
      <c r="M35" s="60">
        <f t="shared" si="62"/>
        <v>2.4577006674193373E-2</v>
      </c>
      <c r="N35" s="60">
        <f t="shared" si="62"/>
        <v>4791243.6687248461</v>
      </c>
      <c r="O35" s="60">
        <f t="shared" si="56"/>
        <v>2.4577006548123961E-2</v>
      </c>
      <c r="P35" s="60">
        <f>IFERROR(P30/$B35,0)</f>
        <v>63.613959956284482</v>
      </c>
      <c r="Q35" s="60">
        <f>IFERROR(Q30/$B35,0)</f>
        <v>2149367969.8246093</v>
      </c>
      <c r="R35" s="60">
        <f t="shared" si="57"/>
        <v>63.613958073528323</v>
      </c>
      <c r="S35" s="60">
        <f t="shared" ref="S35:X35" si="63">IFERROR(S30/$B35,0)</f>
        <v>5.2900816259594876</v>
      </c>
      <c r="T35" s="60">
        <f t="shared" si="63"/>
        <v>10789.934460499304</v>
      </c>
      <c r="U35" s="60">
        <f t="shared" si="63"/>
        <v>13564311.861434583</v>
      </c>
      <c r="V35" s="60">
        <f t="shared" si="63"/>
        <v>5.2900816259594876</v>
      </c>
      <c r="W35" s="60">
        <f t="shared" si="63"/>
        <v>5.610765919459638</v>
      </c>
      <c r="X35" s="60">
        <f t="shared" si="63"/>
        <v>7053.4421679459838</v>
      </c>
    </row>
    <row r="36" spans="1:24" x14ac:dyDescent="0.25">
      <c r="A36" s="83" t="s">
        <v>1078</v>
      </c>
      <c r="B36" s="42">
        <v>1</v>
      </c>
      <c r="C36" s="42"/>
      <c r="D36" s="60">
        <f>IFERROR(D26/$B36,0)</f>
        <v>10.828135828135826</v>
      </c>
      <c r="E36" s="60">
        <f>IFERROR(E26/$B36,0)</f>
        <v>5414.7442633051196</v>
      </c>
      <c r="F36" s="60">
        <f>IFERROR(F26/$B36,0)</f>
        <v>224.34271546453976</v>
      </c>
      <c r="G36" s="60">
        <f t="shared" si="54"/>
        <v>10.309900472168325</v>
      </c>
      <c r="H36" s="60">
        <f t="shared" ref="H36:N36" si="64">IFERROR(H26/$B36,0)</f>
        <v>224.34271546453976</v>
      </c>
      <c r="I36" s="60">
        <f t="shared" si="64"/>
        <v>770.15146648771974</v>
      </c>
      <c r="J36" s="60">
        <f t="shared" si="64"/>
        <v>303.72390811323294</v>
      </c>
      <c r="K36" s="60">
        <f t="shared" si="64"/>
        <v>219.29749330036228</v>
      </c>
      <c r="L36" s="60">
        <f t="shared" si="64"/>
        <v>718.93999404645012</v>
      </c>
      <c r="M36" s="60">
        <f t="shared" si="64"/>
        <v>3.9833495986775274E-3</v>
      </c>
      <c r="N36" s="60">
        <f t="shared" si="64"/>
        <v>14970.306093330935</v>
      </c>
      <c r="O36" s="60">
        <f t="shared" si="56"/>
        <v>3.983348538774697E-3</v>
      </c>
      <c r="P36" s="60">
        <f>IFERROR(P26/$B36,0)</f>
        <v>20.432298396554952</v>
      </c>
      <c r="Q36" s="60">
        <f>IFERROR(Q26/$B36,0)</f>
        <v>6726168.9964791108</v>
      </c>
      <c r="R36" s="60">
        <f t="shared" si="57"/>
        <v>20.432236328898043</v>
      </c>
      <c r="S36" s="60">
        <f t="shared" ref="S36:X36" si="65">IFERROR(S26/$B36,0)</f>
        <v>1.7656068611482623</v>
      </c>
      <c r="T36" s="60">
        <f t="shared" si="65"/>
        <v>6129.4051634384705</v>
      </c>
      <c r="U36" s="60">
        <f t="shared" si="65"/>
        <v>7676551.5702098357</v>
      </c>
      <c r="V36" s="60">
        <f t="shared" si="65"/>
        <v>1.7656068611482623</v>
      </c>
      <c r="W36" s="60">
        <f t="shared" si="65"/>
        <v>0</v>
      </c>
      <c r="X36" s="60">
        <f t="shared" si="65"/>
        <v>0</v>
      </c>
    </row>
    <row r="37" spans="1:24" x14ac:dyDescent="0.25">
      <c r="A37" s="83" t="s">
        <v>1079</v>
      </c>
      <c r="B37" s="42">
        <v>1</v>
      </c>
      <c r="C37" s="42"/>
      <c r="D37" s="60">
        <f>IFERROR(D22/$B37,0)</f>
        <v>17.192765284368335</v>
      </c>
      <c r="E37" s="60">
        <f>IFERROR(E22/$B37,0)</f>
        <v>36149.353497595701</v>
      </c>
      <c r="F37" s="60">
        <f>IFERROR(F22/$B37,0)</f>
        <v>7439.7034636576955</v>
      </c>
      <c r="G37" s="60">
        <f t="shared" si="54"/>
        <v>17.144989890003572</v>
      </c>
      <c r="H37" s="60">
        <f t="shared" ref="H37:N37" si="66">IFERROR(H22/$B37,0)</f>
        <v>7439.7034636576955</v>
      </c>
      <c r="I37" s="60">
        <f t="shared" si="66"/>
        <v>11003.280661533448</v>
      </c>
      <c r="J37" s="60">
        <f t="shared" si="66"/>
        <v>7204.0810041236573</v>
      </c>
      <c r="K37" s="60">
        <f t="shared" si="66"/>
        <v>6183.149918483803</v>
      </c>
      <c r="L37" s="60">
        <f t="shared" si="66"/>
        <v>6479.1451671959358</v>
      </c>
      <c r="M37" s="60">
        <f t="shared" si="66"/>
        <v>2.6593225043504851E-2</v>
      </c>
      <c r="N37" s="60">
        <f t="shared" si="66"/>
        <v>243504.34594848426</v>
      </c>
      <c r="O37" s="60">
        <f t="shared" si="56"/>
        <v>2.6593222139246458E-2</v>
      </c>
      <c r="P37" s="60">
        <f>IFERROR(P22/$B37,0)</f>
        <v>39.938861590676993</v>
      </c>
      <c r="Q37" s="60">
        <f>IFERROR(Q22/$B37,0)</f>
        <v>105988117.52027689</v>
      </c>
      <c r="R37" s="60">
        <f t="shared" si="57"/>
        <v>39.938846540762896</v>
      </c>
      <c r="S37" s="60">
        <f t="shared" ref="S37:X37" si="67">IFERROR(S22/$B37,0)</f>
        <v>3.3397623759069539</v>
      </c>
      <c r="T37" s="60">
        <f t="shared" si="67"/>
        <v>1547.4626618587338</v>
      </c>
      <c r="U37" s="60">
        <f t="shared" si="67"/>
        <v>1964566.1034746787</v>
      </c>
      <c r="V37" s="60">
        <f t="shared" si="67"/>
        <v>3.3397623759069539</v>
      </c>
      <c r="W37" s="60">
        <f t="shared" si="67"/>
        <v>0</v>
      </c>
      <c r="X37" s="60">
        <f t="shared" si="67"/>
        <v>0</v>
      </c>
    </row>
    <row r="38" spans="1:24" x14ac:dyDescent="0.25">
      <c r="A38" s="83" t="s">
        <v>1080</v>
      </c>
      <c r="B38" s="42">
        <v>1</v>
      </c>
      <c r="C38" s="42"/>
      <c r="D38" s="60">
        <f>IFERROR(D2/$B38,0)</f>
        <v>8.5312585312585316</v>
      </c>
      <c r="E38" s="60">
        <f>IFERROR(E2/$B38,0)</f>
        <v>33105.690314507985</v>
      </c>
      <c r="F38" s="60">
        <f>IFERROR(F2/$B38,0)</f>
        <v>1171.1928967994074</v>
      </c>
      <c r="G38" s="60">
        <f t="shared" si="54"/>
        <v>8.4673978837590838</v>
      </c>
      <c r="H38" s="60">
        <f t="shared" ref="H38:N38" si="68">IFERROR(H2/$B38,0)</f>
        <v>1171.1928967994074</v>
      </c>
      <c r="I38" s="60">
        <f t="shared" si="68"/>
        <v>4028.5060175334456</v>
      </c>
      <c r="J38" s="60">
        <f t="shared" si="68"/>
        <v>1656.8835906962897</v>
      </c>
      <c r="K38" s="60">
        <f t="shared" si="68"/>
        <v>1160.1337997803114</v>
      </c>
      <c r="L38" s="60">
        <f t="shared" si="68"/>
        <v>3899.1883135736875</v>
      </c>
      <c r="M38" s="60">
        <f t="shared" si="68"/>
        <v>2.4354158168080221E-2</v>
      </c>
      <c r="N38" s="60">
        <f t="shared" si="68"/>
        <v>87241.919863629271</v>
      </c>
      <c r="O38" s="60">
        <f t="shared" si="56"/>
        <v>2.4354151369458007E-2</v>
      </c>
      <c r="P38" s="60">
        <f>IFERROR(P2/$B38,0)</f>
        <v>24.150896734871214</v>
      </c>
      <c r="Q38" s="60">
        <f>IFERROR(Q2/$B38,0)</f>
        <v>39379413.162600324</v>
      </c>
      <c r="R38" s="60">
        <f t="shared" si="57"/>
        <v>24.150881923440355</v>
      </c>
      <c r="S38" s="60">
        <f t="shared" ref="S38:X38" si="69">IFERROR(S2/$B38,0)</f>
        <v>1.8882852670318606</v>
      </c>
      <c r="T38" s="60">
        <f t="shared" si="69"/>
        <v>69936.491371550394</v>
      </c>
      <c r="U38" s="60">
        <f t="shared" si="69"/>
        <v>94414263.351593032</v>
      </c>
      <c r="V38" s="60">
        <f t="shared" si="69"/>
        <v>1.8882852670318606</v>
      </c>
      <c r="W38" s="60">
        <f t="shared" si="69"/>
        <v>0</v>
      </c>
      <c r="X38" s="60">
        <f t="shared" si="69"/>
        <v>0</v>
      </c>
    </row>
    <row r="39" spans="1:24" x14ac:dyDescent="0.25">
      <c r="A39" s="83" t="s">
        <v>1081</v>
      </c>
      <c r="B39" s="42">
        <v>1</v>
      </c>
      <c r="C39" s="42"/>
      <c r="D39" s="60">
        <f>IFERROR(D11/$B39,0)</f>
        <v>0</v>
      </c>
      <c r="E39" s="60">
        <f>IFERROR(E11/$B39,0)</f>
        <v>0</v>
      </c>
      <c r="F39" s="60">
        <f>IFERROR(F11/$B39,0)</f>
        <v>580.09677936798175</v>
      </c>
      <c r="G39" s="60">
        <f t="shared" si="54"/>
        <v>580.09677936798175</v>
      </c>
      <c r="H39" s="60">
        <f t="shared" ref="H39:N39" si="70">IFERROR(H11/$B39,0)</f>
        <v>580.09677936798175</v>
      </c>
      <c r="I39" s="60">
        <f t="shared" si="70"/>
        <v>3328.3535364031809</v>
      </c>
      <c r="J39" s="60">
        <f t="shared" si="70"/>
        <v>884.81151679874029</v>
      </c>
      <c r="K39" s="60">
        <f t="shared" si="70"/>
        <v>528.17922437669768</v>
      </c>
      <c r="L39" s="60">
        <f t="shared" si="70"/>
        <v>3964.5824067060535</v>
      </c>
      <c r="M39" s="60">
        <f t="shared" si="70"/>
        <v>0</v>
      </c>
      <c r="N39" s="60">
        <f t="shared" si="70"/>
        <v>38980.432279493936</v>
      </c>
      <c r="O39" s="60">
        <f t="shared" si="56"/>
        <v>38980.432279493936</v>
      </c>
      <c r="P39" s="60">
        <f>IFERROR(P11/$B39,0)</f>
        <v>0</v>
      </c>
      <c r="Q39" s="60">
        <f>IFERROR(Q11/$B39,0)</f>
        <v>17729809.520673044</v>
      </c>
      <c r="R39" s="60">
        <f t="shared" si="57"/>
        <v>17729809.520673044</v>
      </c>
      <c r="S39" s="60">
        <f t="shared" ref="S39:X39" si="71">IFERROR(S11/$B39,0)</f>
        <v>0</v>
      </c>
      <c r="T39" s="60">
        <f t="shared" si="71"/>
        <v>0</v>
      </c>
      <c r="U39" s="60">
        <f t="shared" si="71"/>
        <v>0</v>
      </c>
      <c r="V39" s="60">
        <f t="shared" si="71"/>
        <v>0</v>
      </c>
      <c r="W39" s="60">
        <f t="shared" si="71"/>
        <v>0</v>
      </c>
      <c r="X39" s="60">
        <f t="shared" si="71"/>
        <v>0</v>
      </c>
    </row>
    <row r="40" spans="1:24" x14ac:dyDescent="0.25">
      <c r="A40" s="83" t="s">
        <v>1082</v>
      </c>
      <c r="B40" s="42">
        <v>1</v>
      </c>
      <c r="C40" s="42"/>
      <c r="D40" s="60">
        <f>IFERROR(D4/$B40,0)</f>
        <v>0</v>
      </c>
      <c r="E40" s="60">
        <f>IFERROR(E4/$B40,0)</f>
        <v>0</v>
      </c>
      <c r="F40" s="60">
        <f>IFERROR(F4/$B40,0)</f>
        <v>63226.929005186066</v>
      </c>
      <c r="G40" s="60">
        <f t="shared" si="54"/>
        <v>63226.929005186066</v>
      </c>
      <c r="H40" s="60">
        <f t="shared" ref="H40:N40" si="72">IFERROR(H4/$B40,0)</f>
        <v>63226.929005186066</v>
      </c>
      <c r="I40" s="60">
        <f t="shared" si="72"/>
        <v>408720.34156996419</v>
      </c>
      <c r="J40" s="60">
        <f t="shared" si="72"/>
        <v>105671.13645591572</v>
      </c>
      <c r="K40" s="60">
        <f t="shared" si="72"/>
        <v>61058.403800489687</v>
      </c>
      <c r="L40" s="60">
        <f t="shared" si="72"/>
        <v>503176.98850924254</v>
      </c>
      <c r="M40" s="60">
        <f t="shared" si="72"/>
        <v>0</v>
      </c>
      <c r="N40" s="60">
        <f t="shared" si="72"/>
        <v>4602115.6291699177</v>
      </c>
      <c r="O40" s="60">
        <f t="shared" si="56"/>
        <v>4602115.6291699177</v>
      </c>
      <c r="P40" s="60">
        <f>IFERROR(P4/$B40,0)</f>
        <v>0</v>
      </c>
      <c r="Q40" s="60">
        <f>IFERROR(Q4/$B40,0)</f>
        <v>2102387249.1727059</v>
      </c>
      <c r="R40" s="60">
        <f t="shared" si="57"/>
        <v>2102387249.1727059</v>
      </c>
      <c r="S40" s="60">
        <f t="shared" ref="S40:X40" si="73">IFERROR(S4/$B40,0)</f>
        <v>0</v>
      </c>
      <c r="T40" s="60">
        <f t="shared" si="73"/>
        <v>0</v>
      </c>
      <c r="U40" s="60">
        <f t="shared" si="73"/>
        <v>0</v>
      </c>
      <c r="V40" s="60">
        <f t="shared" si="73"/>
        <v>0</v>
      </c>
      <c r="W40" s="60">
        <f t="shared" si="73"/>
        <v>0</v>
      </c>
      <c r="X40" s="60">
        <f t="shared" si="73"/>
        <v>0</v>
      </c>
    </row>
    <row r="41" spans="1:24" x14ac:dyDescent="0.25">
      <c r="A41" s="83" t="s">
        <v>1083</v>
      </c>
      <c r="B41" s="84">
        <v>0.99987999999999999</v>
      </c>
      <c r="C41" s="84"/>
      <c r="D41" s="60">
        <f>IFERROR(D8/$B41,0)</f>
        <v>3497.7058306814401</v>
      </c>
      <c r="E41" s="60">
        <f>IFERROR(E8/$B41,0)</f>
        <v>12780330.101012204</v>
      </c>
      <c r="F41" s="60">
        <f>IFERROR(F8/$B41,0)</f>
        <v>93.849522088651867</v>
      </c>
      <c r="G41" s="60">
        <f t="shared" si="54"/>
        <v>91.396523480360159</v>
      </c>
      <c r="H41" s="60">
        <f t="shared" ref="H41:N41" si="74">IFERROR(H8/$B41,0)</f>
        <v>93.849522088651867</v>
      </c>
      <c r="I41" s="60">
        <f t="shared" si="74"/>
        <v>792.12582461189209</v>
      </c>
      <c r="J41" s="60">
        <f t="shared" si="74"/>
        <v>191.29838664377203</v>
      </c>
      <c r="K41" s="60">
        <f t="shared" si="74"/>
        <v>105.82591874682973</v>
      </c>
      <c r="L41" s="60">
        <f t="shared" si="74"/>
        <v>1118.7295712348532</v>
      </c>
      <c r="M41" s="60">
        <f t="shared" si="74"/>
        <v>9.4018332728717109</v>
      </c>
      <c r="N41" s="60">
        <f t="shared" si="74"/>
        <v>8438.224573760368</v>
      </c>
      <c r="O41" s="60">
        <f t="shared" si="56"/>
        <v>9.3913694497062732</v>
      </c>
      <c r="P41" s="60">
        <f>IFERROR(P8/$B41,0)</f>
        <v>9009.1893009052983</v>
      </c>
      <c r="Q41" s="60">
        <f>IFERROR(Q8/$B41,0)</f>
        <v>3886697.3794290186</v>
      </c>
      <c r="R41" s="60">
        <f t="shared" si="57"/>
        <v>8988.3546999343107</v>
      </c>
      <c r="S41" s="60">
        <f t="shared" ref="S41:X41" si="75">IFERROR(S8/$B41,0)</f>
        <v>714.51944645800074</v>
      </c>
      <c r="T41" s="60">
        <f t="shared" si="75"/>
        <v>204148.41327371448</v>
      </c>
      <c r="U41" s="60">
        <f t="shared" si="75"/>
        <v>357259723.22900039</v>
      </c>
      <c r="V41" s="60">
        <f t="shared" si="75"/>
        <v>714.51944645800074</v>
      </c>
      <c r="W41" s="60">
        <f t="shared" si="75"/>
        <v>0</v>
      </c>
      <c r="X41" s="60">
        <f t="shared" si="75"/>
        <v>0</v>
      </c>
    </row>
    <row r="42" spans="1:24" x14ac:dyDescent="0.25">
      <c r="A42" s="83" t="s">
        <v>1084</v>
      </c>
      <c r="B42" s="42">
        <v>0.97898250799999997</v>
      </c>
      <c r="C42" s="42"/>
      <c r="D42" s="60">
        <f>IFERROR(D19/$B42,0)</f>
        <v>0</v>
      </c>
      <c r="E42" s="60">
        <f>IFERROR(E19/$B42,0)</f>
        <v>0</v>
      </c>
      <c r="F42" s="60">
        <f>IFERROR(F19/$B42,0)</f>
        <v>285087.12246204237</v>
      </c>
      <c r="G42" s="60">
        <f t="shared" si="54"/>
        <v>285087.12246204237</v>
      </c>
      <c r="H42" s="60">
        <f t="shared" ref="H42:N42" si="76">IFERROR(H19/$B42,0)</f>
        <v>285087.12246204237</v>
      </c>
      <c r="I42" s="60">
        <f t="shared" si="76"/>
        <v>2914931.6177665619</v>
      </c>
      <c r="J42" s="60">
        <f t="shared" si="76"/>
        <v>695381.58553980023</v>
      </c>
      <c r="K42" s="60">
        <f t="shared" si="76"/>
        <v>345542.2077846746</v>
      </c>
      <c r="L42" s="60">
        <f t="shared" si="76"/>
        <v>4528796.1783437338</v>
      </c>
      <c r="M42" s="60">
        <f t="shared" si="76"/>
        <v>0</v>
      </c>
      <c r="N42" s="60">
        <f t="shared" si="76"/>
        <v>28478019.636746611</v>
      </c>
      <c r="O42" s="60">
        <f t="shared" si="56"/>
        <v>28478019.636746611</v>
      </c>
      <c r="P42" s="60">
        <f>IFERROR(P19/$B42,0)</f>
        <v>0</v>
      </c>
      <c r="Q42" s="60">
        <f>IFERROR(Q19/$B42,0)</f>
        <v>13143701370.806126</v>
      </c>
      <c r="R42" s="60">
        <f t="shared" si="57"/>
        <v>13143701370.806126</v>
      </c>
      <c r="S42" s="60">
        <f t="shared" ref="S42:X42" si="77">IFERROR(S19/$B42,0)</f>
        <v>0</v>
      </c>
      <c r="T42" s="60">
        <f t="shared" si="77"/>
        <v>0</v>
      </c>
      <c r="U42" s="60">
        <f t="shared" si="77"/>
        <v>0</v>
      </c>
      <c r="V42" s="60">
        <f t="shared" si="77"/>
        <v>0</v>
      </c>
      <c r="W42" s="60">
        <f t="shared" si="77"/>
        <v>0</v>
      </c>
      <c r="X42" s="60">
        <f t="shared" si="77"/>
        <v>0</v>
      </c>
    </row>
    <row r="43" spans="1:24" x14ac:dyDescent="0.25">
      <c r="A43" s="83" t="s">
        <v>1085</v>
      </c>
      <c r="B43" s="42">
        <v>2.0897492E-2</v>
      </c>
      <c r="C43" s="42"/>
      <c r="D43" s="60">
        <f>IFERROR(D28/$B43,0)</f>
        <v>0</v>
      </c>
      <c r="E43" s="60">
        <f>IFERROR(E28/$B43,0)</f>
        <v>0</v>
      </c>
      <c r="F43" s="60">
        <f>IFERROR(F28/$B43,0)</f>
        <v>221.0886603704372</v>
      </c>
      <c r="G43" s="60">
        <f t="shared" si="54"/>
        <v>221.08866037043717</v>
      </c>
      <c r="H43" s="60">
        <f t="shared" ref="H43:N43" si="78">IFERROR(H28/$B43,0)</f>
        <v>221.0886603704372</v>
      </c>
      <c r="I43" s="60">
        <f t="shared" si="78"/>
        <v>2595.7840439491315</v>
      </c>
      <c r="J43" s="60">
        <f t="shared" si="78"/>
        <v>594.65353938788348</v>
      </c>
      <c r="K43" s="60">
        <f t="shared" si="78"/>
        <v>294.4183439669074</v>
      </c>
      <c r="L43" s="60">
        <f t="shared" si="78"/>
        <v>3865.0033181049453</v>
      </c>
      <c r="M43" s="60">
        <f t="shared" si="78"/>
        <v>0</v>
      </c>
      <c r="N43" s="60">
        <f t="shared" si="78"/>
        <v>22452.038777189449</v>
      </c>
      <c r="O43" s="60">
        <f t="shared" si="56"/>
        <v>22452.038777189449</v>
      </c>
      <c r="P43" s="60">
        <f>IFERROR(P28/$B43,0)</f>
        <v>0</v>
      </c>
      <c r="Q43" s="60">
        <f>IFERROR(Q28/$B43,0)</f>
        <v>10343074.043424351</v>
      </c>
      <c r="R43" s="60">
        <f t="shared" si="57"/>
        <v>10343074.043424351</v>
      </c>
      <c r="S43" s="60">
        <f t="shared" ref="S43:X43" si="79">IFERROR(S28/$B43,0)</f>
        <v>0</v>
      </c>
      <c r="T43" s="60">
        <f t="shared" si="79"/>
        <v>0</v>
      </c>
      <c r="U43" s="60">
        <f t="shared" si="79"/>
        <v>0</v>
      </c>
      <c r="V43" s="60">
        <f t="shared" si="79"/>
        <v>0</v>
      </c>
      <c r="W43" s="60">
        <f t="shared" si="79"/>
        <v>0</v>
      </c>
      <c r="X43" s="60">
        <f t="shared" si="79"/>
        <v>0</v>
      </c>
    </row>
    <row r="44" spans="1:24" x14ac:dyDescent="0.25">
      <c r="A44" s="83" t="s">
        <v>1086</v>
      </c>
      <c r="B44" s="42">
        <v>0.99987999999999999</v>
      </c>
      <c r="C44" s="42"/>
      <c r="D44" s="60">
        <f>IFERROR(D15/$B44,0)</f>
        <v>6664.2679140794298</v>
      </c>
      <c r="E44" s="60">
        <f>IFERROR(E15/$B44,0)</f>
        <v>4548160178.2961578</v>
      </c>
      <c r="F44" s="60">
        <f>IFERROR(F15/$B44,0)</f>
        <v>9294.2763421128675</v>
      </c>
      <c r="G44" s="60">
        <f t="shared" si="54"/>
        <v>3881.2747428256675</v>
      </c>
      <c r="H44" s="60">
        <f t="shared" ref="H44:N44" si="80">IFERROR(H15/$B44,0)</f>
        <v>9294.2763421128675</v>
      </c>
      <c r="I44" s="60">
        <f t="shared" si="80"/>
        <v>30103.979139360086</v>
      </c>
      <c r="J44" s="60">
        <f t="shared" si="80"/>
        <v>13313.923509503984</v>
      </c>
      <c r="K44" s="60">
        <f t="shared" si="80"/>
        <v>9437.8965063397754</v>
      </c>
      <c r="L44" s="60">
        <f t="shared" si="80"/>
        <v>8833.4031350659479</v>
      </c>
      <c r="M44" s="60">
        <f t="shared" si="80"/>
        <v>3345.8481398119961</v>
      </c>
      <c r="N44" s="60">
        <f t="shared" si="80"/>
        <v>2635500.2778320047</v>
      </c>
      <c r="O44" s="60">
        <f t="shared" si="56"/>
        <v>3341.6058690465638</v>
      </c>
      <c r="P44" s="60">
        <f>IFERROR(P15/$B44,0)</f>
        <v>18959.430633241565</v>
      </c>
      <c r="Q44" s="60">
        <f>IFERROR(Q15/$B44,0)</f>
        <v>1933583118.4094107</v>
      </c>
      <c r="R44" s="60">
        <f t="shared" si="57"/>
        <v>18959.244731491635</v>
      </c>
      <c r="S44" s="60">
        <f t="shared" ref="S44:X44" si="81">IFERROR(S15/$B44,0)</f>
        <v>1471.5156328328251</v>
      </c>
      <c r="T44" s="60">
        <f t="shared" si="81"/>
        <v>1664891.8662651111</v>
      </c>
      <c r="U44" s="60">
        <f t="shared" si="81"/>
        <v>2102165189.7611787</v>
      </c>
      <c r="V44" s="60">
        <f t="shared" si="81"/>
        <v>1471.5156328328251</v>
      </c>
      <c r="W44" s="60">
        <f t="shared" si="81"/>
        <v>0</v>
      </c>
      <c r="X44" s="60">
        <f t="shared" si="81"/>
        <v>0</v>
      </c>
    </row>
    <row r="45" spans="1:24" x14ac:dyDescent="0.25">
      <c r="A45" s="82" t="s">
        <v>20</v>
      </c>
      <c r="B45" s="57" t="s">
        <v>1255</v>
      </c>
      <c r="C45" s="57"/>
      <c r="D45" s="58">
        <f t="shared" ref="D45:G45" si="82">IFERROR(IF(AND(D46&lt;&gt;0,D47&lt;&gt;0),1/SUM(1/D46,1/D47),IF(AND(D46&lt;&gt;0,D47=0),1/(1/D46),IF(AND(D46=0,D47&lt;&gt;0),1/(1/D47),IF(AND(D46=0,D47=0),".")))),".")</f>
        <v>97.924010967489224</v>
      </c>
      <c r="E45" s="58">
        <f t="shared" si="82"/>
        <v>8407102.9351316337</v>
      </c>
      <c r="F45" s="58">
        <f t="shared" si="82"/>
        <v>20.217331639174333</v>
      </c>
      <c r="G45" s="59">
        <f t="shared" si="82"/>
        <v>16.75753986967046</v>
      </c>
      <c r="H45" s="58">
        <f t="shared" ref="H45:O45" si="83">IFERROR(IF(AND(H46&lt;&gt;0,H47&lt;&gt;0),1/SUM(1/H46,1/H47),IF(AND(H46&lt;&gt;0,H47=0),1/(1/H46),IF(AND(H46=0,H47&lt;&gt;0),1/(1/H47),IF(AND(H46=0,H47=0),".")))),".")</f>
        <v>20.217331639174333</v>
      </c>
      <c r="I45" s="58">
        <f t="shared" si="83"/>
        <v>186.33403914730457</v>
      </c>
      <c r="J45" s="58">
        <f t="shared" si="83"/>
        <v>45.525835898016986</v>
      </c>
      <c r="K45" s="58">
        <f t="shared" si="83"/>
        <v>22.778370987215361</v>
      </c>
      <c r="L45" s="58">
        <f t="shared" si="83"/>
        <v>283.50605084826083</v>
      </c>
      <c r="M45" s="58">
        <f t="shared" si="83"/>
        <v>6.1846743768940566</v>
      </c>
      <c r="N45" s="58">
        <f t="shared" si="83"/>
        <v>1885.5875451140328</v>
      </c>
      <c r="O45" s="59">
        <f t="shared" si="83"/>
        <v>6.1644551365679119</v>
      </c>
      <c r="P45" s="58">
        <f t="shared" ref="P45:R45" si="84">IFERROR(IF(AND(P46&lt;&gt;0,P47&lt;&gt;0),1/SUM(1/P46,1/P47),IF(AND(P46&lt;&gt;0,P47=0),1/(1/P46),IF(AND(P46=0,P47&lt;&gt;0),1/(1/P47),IF(AND(P46=0,P47=0),".")))),".")</f>
        <v>149.77073096503872</v>
      </c>
      <c r="Q45" s="58">
        <f t="shared" si="84"/>
        <v>870486.12726632808</v>
      </c>
      <c r="R45" s="59">
        <f t="shared" si="84"/>
        <v>149.74496672546923</v>
      </c>
      <c r="S45" s="58">
        <f t="shared" ref="S45:X45" si="85">IFERROR(IF(AND(S46&lt;&gt;0,S47&lt;&gt;0),1/SUM(1/S46,1/S47),IF(AND(S46&lt;&gt;0,S47=0),1/(1/S46),IF(AND(S46=0,S47&lt;&gt;0),1/(1/S47),IF(AND(S46=0,S47=0),".")))),".")</f>
        <v>13.722786000013722</v>
      </c>
      <c r="T45" s="58">
        <f t="shared" si="85"/>
        <v>486.0490909095771</v>
      </c>
      <c r="U45" s="58">
        <f t="shared" si="85"/>
        <v>623763.00000062375</v>
      </c>
      <c r="V45" s="58">
        <f t="shared" si="85"/>
        <v>13.722786000013722</v>
      </c>
      <c r="W45" s="58">
        <f t="shared" si="85"/>
        <v>3.9604000000039608</v>
      </c>
      <c r="X45" s="58">
        <f t="shared" si="85"/>
        <v>5082.5133333384156</v>
      </c>
    </row>
    <row r="46" spans="1:24" x14ac:dyDescent="0.25">
      <c r="A46" s="83" t="s">
        <v>1098</v>
      </c>
      <c r="B46" s="42">
        <v>1</v>
      </c>
      <c r="C46" s="42"/>
      <c r="D46" s="60">
        <f>IFERROR(D10/$B46,0)</f>
        <v>97.924010967489224</v>
      </c>
      <c r="E46" s="60">
        <f>IFERROR(E10/$B46,0)</f>
        <v>8407102.9351316337</v>
      </c>
      <c r="F46" s="60">
        <f>IFERROR(F10/$B46,0)</f>
        <v>110462.92946605638</v>
      </c>
      <c r="G46" s="60">
        <f>IF(AND(D46&lt;&gt;0,E46&lt;&gt;0,F46&lt;&gt;0),1/((1/D46)+(1/E46)+(1/F46)),IF(AND(D46&lt;&gt;0,E46&lt;&gt;0,F46=0), 1/((1/D46)+(1/E46)),IF(AND(D46&lt;&gt;0,E46=0,F46&lt;&gt;0),1/((1/D46)+(1/F46)),IF(AND(D46=0,E46&lt;&gt;0,F46&lt;&gt;0),1/((1/E46)+(1/F46)),IF(AND(D46&lt;&gt;0,E46=0,F46=0),1/((1/D46)),IF(AND(D46=0,E46&lt;&gt;0,F46=0),1/((1/E46)),IF(AND(D46=0,E46=0,F46&lt;&gt;0),1/((1/F46)),IF(AND(D46=0,E46=0,F46=0),0))))))))</f>
        <v>97.836140874341638</v>
      </c>
      <c r="H46" s="60">
        <f t="shared" ref="H46:N46" si="86">IFERROR(H10/$B46,0)</f>
        <v>110462.92946605638</v>
      </c>
      <c r="I46" s="60">
        <f t="shared" si="86"/>
        <v>474477.81208987691</v>
      </c>
      <c r="J46" s="60">
        <f t="shared" si="86"/>
        <v>147804.83266029027</v>
      </c>
      <c r="K46" s="60">
        <f t="shared" si="86"/>
        <v>99963.904491038818</v>
      </c>
      <c r="L46" s="60">
        <f t="shared" si="86"/>
        <v>242928.68555617123</v>
      </c>
      <c r="M46" s="60">
        <f t="shared" si="86"/>
        <v>6.1846743768940566</v>
      </c>
      <c r="N46" s="60">
        <f t="shared" si="86"/>
        <v>2767891.1266086698</v>
      </c>
      <c r="O46" s="60">
        <f t="shared" ref="O46:O47" si="87">IFERROR(IF(AND(M46&lt;&gt;0,N46&lt;&gt;0),1/((1/M46)+(1/N46)),IF(AND(M46&lt;&gt;0,N46=0),1/((1/M46)),IF(AND(M46=0,N46&lt;&gt;0),1/((1/N46)),IF(AND(M46=0,N46=0),0)))),0)</f>
        <v>6.1846605576685416</v>
      </c>
      <c r="P46" s="60">
        <f>IFERROR(P10/$B46,0)</f>
        <v>149.77073096503872</v>
      </c>
      <c r="Q46" s="60">
        <f>IFERROR(Q10/$B46,0)</f>
        <v>2003837846.8677349</v>
      </c>
      <c r="R46" s="60">
        <f t="shared" ref="R46:R47" si="88">IFERROR(IF(AND(P46&lt;&gt;0,Q46&lt;&gt;0),1/((1/P46)+(1/Q46)),IF(AND(P46&lt;&gt;0,Q46=0),1/((1/P46)),IF(AND(P46=0,Q46&lt;&gt;0),1/((1/Q46)),IF(AND(P46=0,Q46=0),0)))),0)</f>
        <v>149.77071977088437</v>
      </c>
      <c r="S46" s="60">
        <f t="shared" ref="S46:X46" si="89">IFERROR(S10/$B46,0)</f>
        <v>13.722786000013722</v>
      </c>
      <c r="T46" s="60">
        <f t="shared" si="89"/>
        <v>486.04909090957705</v>
      </c>
      <c r="U46" s="60">
        <f t="shared" si="89"/>
        <v>623763.00000062375</v>
      </c>
      <c r="V46" s="60">
        <f t="shared" si="89"/>
        <v>13.722786000013722</v>
      </c>
      <c r="W46" s="60">
        <f t="shared" si="89"/>
        <v>3.9604000000039608</v>
      </c>
      <c r="X46" s="60">
        <f t="shared" si="89"/>
        <v>5082.5133333384156</v>
      </c>
    </row>
    <row r="47" spans="1:24" x14ac:dyDescent="0.25">
      <c r="A47" s="83" t="s">
        <v>1072</v>
      </c>
      <c r="B47" s="85">
        <v>0.94399</v>
      </c>
      <c r="C47" s="85"/>
      <c r="D47" s="60">
        <f>IFERROR(D6/$B$47,0)</f>
        <v>0</v>
      </c>
      <c r="E47" s="60">
        <f>IFERROR(E6/$B$47,0)</f>
        <v>0</v>
      </c>
      <c r="F47" s="60">
        <f>IFERROR(F6/$B$47,0)</f>
        <v>20.22103256692872</v>
      </c>
      <c r="G47" s="60">
        <f>IF(AND(D47&lt;&gt;0,E47&lt;&gt;0,F47&lt;&gt;0),1/((1/D47)+(1/E47)+(1/F47)),IF(AND(D47&lt;&gt;0,E47&lt;&gt;0,F47=0), 1/((1/D47)+(1/E47)),IF(AND(D47&lt;&gt;0,E47=0,F47&lt;&gt;0),1/((1/D47)+(1/F47)),IF(AND(D47=0,E47&lt;&gt;0,F47&lt;&gt;0),1/((1/E47)+(1/F47)),IF(AND(D47&lt;&gt;0,E47=0,F47=0),1/((1/D47)),IF(AND(D47=0,E47&lt;&gt;0,F47=0),1/((1/E47)),IF(AND(D47=0,E47=0,F47&lt;&gt;0),1/((1/F47)),IF(AND(D47=0,E47=0,F47=0),0))))))))</f>
        <v>20.22103256692872</v>
      </c>
      <c r="H47" s="60">
        <f t="shared" ref="H47:N47" si="90">IFERROR(H6/$B$47,0)</f>
        <v>20.22103256692872</v>
      </c>
      <c r="I47" s="60">
        <f t="shared" si="90"/>
        <v>186.40724386581994</v>
      </c>
      <c r="J47" s="60">
        <f t="shared" si="90"/>
        <v>45.539862775773507</v>
      </c>
      <c r="K47" s="60">
        <f t="shared" si="90"/>
        <v>22.783562585559046</v>
      </c>
      <c r="L47" s="60">
        <f t="shared" si="90"/>
        <v>283.83729864403995</v>
      </c>
      <c r="M47" s="60">
        <f t="shared" si="90"/>
        <v>0</v>
      </c>
      <c r="N47" s="60">
        <f t="shared" si="90"/>
        <v>1886.8729512132168</v>
      </c>
      <c r="O47" s="60">
        <f t="shared" si="87"/>
        <v>1886.872951213217</v>
      </c>
      <c r="P47" s="60">
        <f>IFERROR(P6/$B$47,0)</f>
        <v>0</v>
      </c>
      <c r="Q47" s="60">
        <f>IFERROR(Q6/$B$47,0)</f>
        <v>870864.43902148469</v>
      </c>
      <c r="R47" s="60">
        <f t="shared" si="88"/>
        <v>870864.43902148469</v>
      </c>
      <c r="S47" s="60">
        <f t="shared" ref="S47:X47" si="91">IFERROR(S6/$B$47,0)</f>
        <v>0</v>
      </c>
      <c r="T47" s="60">
        <f t="shared" si="91"/>
        <v>0</v>
      </c>
      <c r="U47" s="60">
        <f t="shared" si="91"/>
        <v>0</v>
      </c>
      <c r="V47" s="60">
        <f t="shared" si="91"/>
        <v>0</v>
      </c>
      <c r="W47" s="60">
        <f t="shared" si="91"/>
        <v>0</v>
      </c>
      <c r="X47" s="60">
        <f t="shared" si="91"/>
        <v>0</v>
      </c>
    </row>
    <row r="48" spans="1:24" x14ac:dyDescent="0.25">
      <c r="A48" s="82" t="s">
        <v>33</v>
      </c>
      <c r="B48" s="57" t="s">
        <v>1255</v>
      </c>
      <c r="C48" s="250"/>
      <c r="D48" s="58">
        <f>1/SUM(1/D49,1/D52,1/D54,1/D58,1/D59,1/D61)</f>
        <v>0.73181481925598102</v>
      </c>
      <c r="E48" s="58">
        <f>1/SUM(1/E49,1/E52,1/E54,1/E58,1/E59,1/E61)</f>
        <v>15992.788377692157</v>
      </c>
      <c r="F48" s="58">
        <f>1/SUM(1/F49,1/F50,1/F51,1/F52,1/F53,1/F54,1/F55,1/F56,1/F57,1/F58,1/F59,1/F60,1/F61,1/F62)</f>
        <v>5.8233436891918258</v>
      </c>
      <c r="G48" s="59">
        <f>1/SUM(1/G49,1/G50,1/G51,1/G52,1/G53,1/G54,1/G55,1/G56,1/G57,1/G58,1/G59,1/G60,1/G61,1/G62)</f>
        <v>0.65008892261551587</v>
      </c>
      <c r="H48" s="58">
        <f t="shared" ref="H48:R48" si="92">1/SUM(1/H49,1/H50,1/H51,1/H52,1/H53,1/H54,1/H55,1/H56,1/H57,1/H58,1/H59,1/H60,1/H61,1/H62)</f>
        <v>5.8233436891918258</v>
      </c>
      <c r="I48" s="58">
        <f t="shared" si="92"/>
        <v>65.045067228667804</v>
      </c>
      <c r="J48" s="58">
        <f t="shared" si="92"/>
        <v>15.241892327897313</v>
      </c>
      <c r="K48" s="58">
        <f t="shared" si="92"/>
        <v>7.5063061866296481</v>
      </c>
      <c r="L48" s="58">
        <f t="shared" si="92"/>
        <v>95.410370598785363</v>
      </c>
      <c r="M48" s="58">
        <f>1/SUM(1/M49,1/M52,1/M54,1/M58,1/M59,1/M61)</f>
        <v>1.1765074040104287E-2</v>
      </c>
      <c r="N48" s="58">
        <f t="shared" si="92"/>
        <v>579.50310574570813</v>
      </c>
      <c r="O48" s="59">
        <f t="shared" si="92"/>
        <v>1.1761616796128022E-2</v>
      </c>
      <c r="P48" s="58">
        <f>1/SUM(1/P49,1/P52,1/P54,1/P58,1/P59,1/P61)</f>
        <v>1.4948862898319537</v>
      </c>
      <c r="Q48" s="58">
        <f t="shared" si="92"/>
        <v>267431.39628679934</v>
      </c>
      <c r="R48" s="59">
        <f t="shared" si="92"/>
        <v>1.4948779337729448</v>
      </c>
      <c r="S48" s="58">
        <f>1/SUM(1/S49,1/S52,1/S54,1/S58,1/S59,1/S61)</f>
        <v>0.12956642127594076</v>
      </c>
      <c r="T48" s="58">
        <f>1/SUM(1/T49,1/T52,1/T54,1/T58,1/T59,1/T61)</f>
        <v>48.158532513606538</v>
      </c>
      <c r="U48" s="58">
        <f>1/SUM(1/U49,1/U52,1/U54,1/U58,1/U59,1/U61)</f>
        <v>60440.277635295592</v>
      </c>
      <c r="V48" s="58">
        <f>1/SUM(1/V49,1/V52,1/V54,1/V58,1/V59,1/V61)</f>
        <v>0.12956642127594076</v>
      </c>
      <c r="W48" s="58">
        <f>1/SUM(1/W61)</f>
        <v>7.5845406531048307E-2</v>
      </c>
      <c r="X48" s="58">
        <f>1/SUM(1/X61)</f>
        <v>94.82768103457758</v>
      </c>
    </row>
    <row r="49" spans="1:24" x14ac:dyDescent="0.25">
      <c r="A49" s="83" t="s">
        <v>1100</v>
      </c>
      <c r="B49" s="42">
        <v>1</v>
      </c>
      <c r="C49" s="249"/>
      <c r="D49" s="60">
        <f>IFERROR(D23/$B49,0)</f>
        <v>6.1536946782848414</v>
      </c>
      <c r="E49" s="60">
        <f>IFERROR(E23/$B49,0)</f>
        <v>33584.221974770255</v>
      </c>
      <c r="F49" s="60">
        <f>IFERROR(F23/$B49,0)</f>
        <v>2272.616412875137</v>
      </c>
      <c r="G49" s="60">
        <f t="shared" ref="G49:G62" si="93">IF(AND(D49&lt;&gt;0,E49&lt;&gt;0,F49&lt;&gt;0),1/((1/D49)+(1/E49)+(1/F49)),IF(AND(D49&lt;&gt;0,E49&lt;&gt;0,F49=0), 1/((1/D49)+(1/E49)),IF(AND(D49&lt;&gt;0,E49=0,F49&lt;&gt;0),1/((1/D49)+(1/F49)),IF(AND(D49=0,E49&lt;&gt;0,F49&lt;&gt;0),1/((1/E49)+(1/F49)),IF(AND(D49&lt;&gt;0,E49=0,F49=0),1/((1/D49)),IF(AND(D49=0,E49&lt;&gt;0,F49=0),1/((1/E49)),IF(AND(D49=0,E49=0,F49&lt;&gt;0),1/((1/F49)),IF(AND(D49=0,E49=0,F49=0),0))))))))</f>
        <v>6.135955695067878</v>
      </c>
      <c r="H49" s="60">
        <f t="shared" ref="H49:N49" si="94">IFERROR(H23/$B49,0)</f>
        <v>2272.616412875137</v>
      </c>
      <c r="I49" s="60">
        <f t="shared" si="94"/>
        <v>12928.936859156907</v>
      </c>
      <c r="J49" s="60">
        <f t="shared" si="94"/>
        <v>3622.7751382346282</v>
      </c>
      <c r="K49" s="60">
        <f t="shared" si="94"/>
        <v>2128.7009701147585</v>
      </c>
      <c r="L49" s="60">
        <f t="shared" si="94"/>
        <v>14539.874433530853</v>
      </c>
      <c r="M49" s="60">
        <f t="shared" si="94"/>
        <v>2.4706189363676651E-2</v>
      </c>
      <c r="N49" s="60">
        <f t="shared" si="94"/>
        <v>157679.04368795292</v>
      </c>
      <c r="O49" s="60">
        <f t="shared" ref="O49:O62" si="95">IFERROR(IF(AND(M49&lt;&gt;0,N49&lt;&gt;0),1/((1/M49)+(1/N49)),IF(AND(M49&lt;&gt;0,N49=0),1/((1/M49)),IF(AND(M49=0,N49&lt;&gt;0),1/((1/N49)),IF(AND(M49=0,N49=0),0)))),0)</f>
        <v>2.4706185492549059E-2</v>
      </c>
      <c r="P49" s="60">
        <f>IFERROR(P23/$B49,0)</f>
        <v>11.866450222614606</v>
      </c>
      <c r="Q49" s="60">
        <f>IFERROR(Q23/$B49,0)</f>
        <v>71645598.994153649</v>
      </c>
      <c r="R49" s="60">
        <f t="shared" ref="R49:R62" si="96">IFERROR(IF(AND(P49&lt;&gt;0,Q49&lt;&gt;0),1/((1/P49)+(1/Q49)),IF(AND(P49&lt;&gt;0,Q49=0),1/((1/P49)),IF(AND(P49=0,Q49&lt;&gt;0),1/((1/Q49)),IF(AND(P49=0,Q49=0),0)))),0)</f>
        <v>11.866448257209617</v>
      </c>
      <c r="S49" s="60">
        <f t="shared" ref="S49:X49" si="97">IFERROR(S23/$B49,0)</f>
        <v>0.99712329928157262</v>
      </c>
      <c r="T49" s="60">
        <f t="shared" si="97"/>
        <v>462.01223357652844</v>
      </c>
      <c r="U49" s="60">
        <f t="shared" si="97"/>
        <v>586543.11722445441</v>
      </c>
      <c r="V49" s="60">
        <f t="shared" si="97"/>
        <v>0.99712329928157262</v>
      </c>
      <c r="W49" s="60">
        <f t="shared" si="97"/>
        <v>0</v>
      </c>
      <c r="X49" s="60">
        <f t="shared" si="97"/>
        <v>0</v>
      </c>
    </row>
    <row r="50" spans="1:24" x14ac:dyDescent="0.25">
      <c r="A50" s="83" t="s">
        <v>1087</v>
      </c>
      <c r="B50" s="42">
        <v>1</v>
      </c>
      <c r="C50" s="249"/>
      <c r="D50" s="60">
        <f>IFERROR(D25/$B50,0)</f>
        <v>0</v>
      </c>
      <c r="E50" s="60">
        <f>IFERROR(E25/$B50,0)</f>
        <v>414750411.4664939</v>
      </c>
      <c r="F50" s="60">
        <f>IFERROR(F25/$B50,0)</f>
        <v>30522.284661417398</v>
      </c>
      <c r="G50" s="60">
        <f t="shared" si="93"/>
        <v>30520.038632766733</v>
      </c>
      <c r="H50" s="60">
        <f t="shared" ref="H50:N50" si="98">IFERROR(H25/$B50,0)</f>
        <v>30522.284661417398</v>
      </c>
      <c r="I50" s="60">
        <f t="shared" si="98"/>
        <v>265310.1306088625</v>
      </c>
      <c r="J50" s="60">
        <f t="shared" si="98"/>
        <v>64067.3531466075</v>
      </c>
      <c r="K50" s="60">
        <f t="shared" si="98"/>
        <v>33839.579690208884</v>
      </c>
      <c r="L50" s="60">
        <f t="shared" si="98"/>
        <v>408577.39893056965</v>
      </c>
      <c r="M50" s="60">
        <f t="shared" si="98"/>
        <v>305.11060259344009</v>
      </c>
      <c r="N50" s="60">
        <f t="shared" si="98"/>
        <v>2767891.1266086698</v>
      </c>
      <c r="O50" s="60">
        <f t="shared" si="95"/>
        <v>305.07697330135323</v>
      </c>
      <c r="P50" s="60">
        <f>IFERROR(P25/$B50,0)</f>
        <v>0</v>
      </c>
      <c r="Q50" s="60">
        <f>IFERROR(Q25/$B50,0)</f>
        <v>1278195570.0950336</v>
      </c>
      <c r="R50" s="60">
        <f t="shared" si="96"/>
        <v>1278195570.0950336</v>
      </c>
      <c r="S50" s="60">
        <f t="shared" ref="S50:X50" si="99">IFERROR(S25/$B50,0)</f>
        <v>0</v>
      </c>
      <c r="T50" s="60">
        <f t="shared" si="99"/>
        <v>0</v>
      </c>
      <c r="U50" s="60">
        <f t="shared" si="99"/>
        <v>0</v>
      </c>
      <c r="V50" s="60">
        <f t="shared" si="99"/>
        <v>0</v>
      </c>
      <c r="W50" s="60">
        <f t="shared" si="99"/>
        <v>0</v>
      </c>
      <c r="X50" s="60">
        <f t="shared" si="99"/>
        <v>0</v>
      </c>
    </row>
    <row r="51" spans="1:24" x14ac:dyDescent="0.25">
      <c r="A51" s="83" t="s">
        <v>1073</v>
      </c>
      <c r="B51" s="42">
        <v>1</v>
      </c>
      <c r="C51" s="249"/>
      <c r="D51" s="60">
        <f>IFERROR(D21/$B51,0)</f>
        <v>0</v>
      </c>
      <c r="E51" s="60">
        <f>IFERROR(E21/$B51,0)</f>
        <v>68031002.74414432</v>
      </c>
      <c r="F51" s="60">
        <f>IFERROR(F21/$B51,0)</f>
        <v>729497282.13614905</v>
      </c>
      <c r="G51" s="60">
        <f t="shared" si="93"/>
        <v>62227801.250082642</v>
      </c>
      <c r="H51" s="60">
        <f t="shared" ref="H51:N51" si="100">IFERROR(H21/$B51,0)</f>
        <v>729497282.13614905</v>
      </c>
      <c r="I51" s="60">
        <f t="shared" si="100"/>
        <v>1756596841.4356649</v>
      </c>
      <c r="J51" s="60">
        <f t="shared" si="100"/>
        <v>927702706.88321078</v>
      </c>
      <c r="K51" s="60">
        <f t="shared" si="100"/>
        <v>731995560.49962926</v>
      </c>
      <c r="L51" s="60">
        <f t="shared" si="100"/>
        <v>941597813.50613093</v>
      </c>
      <c r="M51" s="60">
        <f t="shared" si="100"/>
        <v>50.04691898654989</v>
      </c>
      <c r="N51" s="60">
        <f t="shared" si="100"/>
        <v>113827475325.03108</v>
      </c>
      <c r="O51" s="60">
        <f t="shared" si="95"/>
        <v>50.04691896454559</v>
      </c>
      <c r="P51" s="60">
        <f>IFERROR(P21/$B51,0)</f>
        <v>0</v>
      </c>
      <c r="Q51" s="60">
        <f>IFERROR(Q21/$B51,0)</f>
        <v>88853779814920.344</v>
      </c>
      <c r="R51" s="60">
        <f t="shared" si="96"/>
        <v>88853779814920.344</v>
      </c>
      <c r="S51" s="60">
        <f t="shared" ref="S51:X51" si="101">IFERROR(S21/$B51,0)</f>
        <v>0</v>
      </c>
      <c r="T51" s="60">
        <f t="shared" si="101"/>
        <v>0</v>
      </c>
      <c r="U51" s="60">
        <f t="shared" si="101"/>
        <v>0</v>
      </c>
      <c r="V51" s="60">
        <f t="shared" si="101"/>
        <v>0</v>
      </c>
      <c r="W51" s="60">
        <f t="shared" si="101"/>
        <v>0</v>
      </c>
      <c r="X51" s="60">
        <f t="shared" si="101"/>
        <v>0</v>
      </c>
    </row>
    <row r="52" spans="1:24" x14ac:dyDescent="0.25">
      <c r="A52" s="83" t="s">
        <v>1074</v>
      </c>
      <c r="B52" s="85">
        <v>0.99980000000000002</v>
      </c>
      <c r="C52" s="251"/>
      <c r="D52" s="60">
        <f>IFERROR(D17/$B52,0)</f>
        <v>5263.3242822682569</v>
      </c>
      <c r="E52" s="60">
        <f>IFERROR(E17/$B52,0)</f>
        <v>12172716.887568066</v>
      </c>
      <c r="F52" s="60">
        <f>IFERROR(F17/$B52,0)</f>
        <v>55.646979822233433</v>
      </c>
      <c r="G52" s="60">
        <f t="shared" si="93"/>
        <v>55.064553048234686</v>
      </c>
      <c r="H52" s="60">
        <f t="shared" ref="H52:N52" si="102">IFERROR(H17/$B52,0)</f>
        <v>55.646979822233433</v>
      </c>
      <c r="I52" s="60">
        <f t="shared" si="102"/>
        <v>392.06428327281657</v>
      </c>
      <c r="J52" s="60">
        <f t="shared" si="102"/>
        <v>98.22630531622552</v>
      </c>
      <c r="K52" s="60">
        <f t="shared" si="102"/>
        <v>57.460509377609029</v>
      </c>
      <c r="L52" s="60">
        <f t="shared" si="102"/>
        <v>491.26344134603067</v>
      </c>
      <c r="M52" s="60">
        <f t="shared" si="102"/>
        <v>8.9548433999932993</v>
      </c>
      <c r="N52" s="60">
        <f t="shared" si="102"/>
        <v>4407.947644495739</v>
      </c>
      <c r="O52" s="60">
        <f t="shared" si="95"/>
        <v>8.9366883194729212</v>
      </c>
      <c r="P52" s="60">
        <f>IFERROR(P17/$B52,0)</f>
        <v>13258.407032125211</v>
      </c>
      <c r="Q52" s="60">
        <f>IFERROR(Q17/$B52,0)</f>
        <v>2014732.0909134978</v>
      </c>
      <c r="R52" s="60">
        <f t="shared" si="96"/>
        <v>13171.727455861132</v>
      </c>
      <c r="S52" s="60">
        <f t="shared" ref="S52:X52" si="103">IFERROR(S17/$B52,0)</f>
        <v>1058.227970786055</v>
      </c>
      <c r="T52" s="60">
        <f t="shared" si="103"/>
        <v>1197292.8468481272</v>
      </c>
      <c r="U52" s="60">
        <f t="shared" si="103"/>
        <v>1511754243.9800785</v>
      </c>
      <c r="V52" s="60">
        <f t="shared" si="103"/>
        <v>1058.227970786055</v>
      </c>
      <c r="W52" s="60">
        <f t="shared" si="103"/>
        <v>0</v>
      </c>
      <c r="X52" s="60">
        <f t="shared" si="103"/>
        <v>0</v>
      </c>
    </row>
    <row r="53" spans="1:24" x14ac:dyDescent="0.25">
      <c r="A53" s="83" t="s">
        <v>1088</v>
      </c>
      <c r="B53" s="42">
        <v>2.0000000000000001E-4</v>
      </c>
      <c r="C53" s="249"/>
      <c r="D53" s="60">
        <f>IFERROR(D5/$B53,0)</f>
        <v>0</v>
      </c>
      <c r="E53" s="60">
        <f>IFERROR(E5/$B53,0)</f>
        <v>0</v>
      </c>
      <c r="F53" s="60">
        <f>IFERROR(F5/$B53,0)</f>
        <v>909543419.85485828</v>
      </c>
      <c r="G53" s="60">
        <f t="shared" si="93"/>
        <v>909543419.85485828</v>
      </c>
      <c r="H53" s="60">
        <f t="shared" ref="H53:N53" si="104">IFERROR(H5/$B53,0)</f>
        <v>909543419.85485828</v>
      </c>
      <c r="I53" s="60">
        <f t="shared" si="104"/>
        <v>3305844835.2185683</v>
      </c>
      <c r="J53" s="60">
        <f t="shared" si="104"/>
        <v>1504065186.5870926</v>
      </c>
      <c r="K53" s="60">
        <f t="shared" si="104"/>
        <v>975994080.66617215</v>
      </c>
      <c r="L53" s="60">
        <f t="shared" si="104"/>
        <v>1249957331.3794837</v>
      </c>
      <c r="M53" s="60">
        <f t="shared" si="104"/>
        <v>0</v>
      </c>
      <c r="N53" s="60">
        <f t="shared" si="104"/>
        <v>728668307951.90356</v>
      </c>
      <c r="O53" s="60">
        <f t="shared" si="95"/>
        <v>728668307951.90356</v>
      </c>
      <c r="P53" s="60">
        <f>IFERROR(P5/$B53,0)</f>
        <v>0</v>
      </c>
      <c r="Q53" s="60">
        <f>IFERROR(Q5/$B53,0)</f>
        <v>438196886786566.13</v>
      </c>
      <c r="R53" s="60">
        <f t="shared" si="96"/>
        <v>438196886786566.13</v>
      </c>
      <c r="S53" s="60">
        <f t="shared" ref="S53:X53" si="105">IFERROR(S5/$B53,0)</f>
        <v>0</v>
      </c>
      <c r="T53" s="60">
        <f t="shared" si="105"/>
        <v>0</v>
      </c>
      <c r="U53" s="60">
        <f t="shared" si="105"/>
        <v>0</v>
      </c>
      <c r="V53" s="60">
        <f t="shared" si="105"/>
        <v>0</v>
      </c>
      <c r="W53" s="60">
        <f t="shared" si="105"/>
        <v>0</v>
      </c>
      <c r="X53" s="60">
        <f t="shared" si="105"/>
        <v>0</v>
      </c>
    </row>
    <row r="54" spans="1:24" x14ac:dyDescent="0.25">
      <c r="A54" s="83" t="s">
        <v>1089</v>
      </c>
      <c r="B54" s="42">
        <v>0.99999979999999999</v>
      </c>
      <c r="C54" s="249"/>
      <c r="D54" s="60">
        <f>IFERROR(D9/$B54,0)</f>
        <v>10331.434416067856</v>
      </c>
      <c r="E54" s="60">
        <f>IFERROR(E9/$B54,0)</f>
        <v>15301474.551291775</v>
      </c>
      <c r="F54" s="60">
        <f>IFERROR(F9/$B54,0)</f>
        <v>6.5306943578554408</v>
      </c>
      <c r="G54" s="60">
        <f t="shared" si="93"/>
        <v>6.5265660069607438</v>
      </c>
      <c r="H54" s="60">
        <f t="shared" ref="H54:N54" si="106">IFERROR(H9/$B54,0)</f>
        <v>6.5306943578554408</v>
      </c>
      <c r="I54" s="60">
        <f t="shared" si="106"/>
        <v>78.779188914997903</v>
      </c>
      <c r="J54" s="60">
        <f t="shared" si="106"/>
        <v>18.170895944045903</v>
      </c>
      <c r="K54" s="60">
        <f t="shared" si="106"/>
        <v>8.6828894409987587</v>
      </c>
      <c r="L54" s="60">
        <f t="shared" si="106"/>
        <v>120.75953826132647</v>
      </c>
      <c r="M54" s="60">
        <f t="shared" si="106"/>
        <v>11.256509919797834</v>
      </c>
      <c r="N54" s="60">
        <f t="shared" si="106"/>
        <v>671.44318245374143</v>
      </c>
      <c r="O54" s="60">
        <f t="shared" si="95"/>
        <v>11.070909989125566</v>
      </c>
      <c r="P54" s="60">
        <f>IFERROR(P9/$B54,0)</f>
        <v>23778.633332834932</v>
      </c>
      <c r="Q54" s="60">
        <f>IFERROR(Q9/$B54,0)</f>
        <v>310271.72866612405</v>
      </c>
      <c r="R54" s="60">
        <f t="shared" si="96"/>
        <v>22086.004114312578</v>
      </c>
      <c r="S54" s="60">
        <f t="shared" ref="S54:X54" si="107">IFERROR(S9/$B54,0)</f>
        <v>1933.0567129731082</v>
      </c>
      <c r="T54" s="60">
        <f t="shared" si="107"/>
        <v>552301.91799231654</v>
      </c>
      <c r="U54" s="60">
        <f t="shared" si="107"/>
        <v>966528356.48655415</v>
      </c>
      <c r="V54" s="60">
        <f t="shared" si="107"/>
        <v>1933.0567129731082</v>
      </c>
      <c r="W54" s="60">
        <f t="shared" si="107"/>
        <v>0</v>
      </c>
      <c r="X54" s="60">
        <f t="shared" si="107"/>
        <v>0</v>
      </c>
    </row>
    <row r="55" spans="1:24" x14ac:dyDescent="0.25">
      <c r="A55" s="83" t="s">
        <v>1090</v>
      </c>
      <c r="B55" s="42">
        <v>1.9999999999999999E-7</v>
      </c>
      <c r="C55" s="249"/>
      <c r="D55" s="60">
        <f>IFERROR(D24/$B55,0)</f>
        <v>0</v>
      </c>
      <c r="E55" s="60">
        <f>IFERROR(E24/$B55,0)</f>
        <v>0</v>
      </c>
      <c r="F55" s="60">
        <f>IFERROR(F24/$B55,0)</f>
        <v>77102439678.851715</v>
      </c>
      <c r="G55" s="60">
        <f t="shared" si="93"/>
        <v>77102439678.851715</v>
      </c>
      <c r="H55" s="60">
        <f t="shared" ref="H55:N55" si="108">IFERROR(H24/$B55,0)</f>
        <v>77102439678.851715</v>
      </c>
      <c r="I55" s="60">
        <f t="shared" si="108"/>
        <v>691530373255.93469</v>
      </c>
      <c r="J55" s="60">
        <f t="shared" si="108"/>
        <v>168576834736.49194</v>
      </c>
      <c r="K55" s="60">
        <f t="shared" si="108"/>
        <v>84557553098.594528</v>
      </c>
      <c r="L55" s="60">
        <f t="shared" si="108"/>
        <v>1049680976479.7858</v>
      </c>
      <c r="M55" s="60">
        <f t="shared" si="108"/>
        <v>0</v>
      </c>
      <c r="N55" s="60">
        <f t="shared" si="108"/>
        <v>7046462758216.2109</v>
      </c>
      <c r="O55" s="60">
        <f t="shared" si="95"/>
        <v>7046462758216.2119</v>
      </c>
      <c r="P55" s="60">
        <f>IFERROR(P24/$B55,0)</f>
        <v>0</v>
      </c>
      <c r="Q55" s="60">
        <f>IFERROR(Q24/$B55,0)</f>
        <v>3243987070814546</v>
      </c>
      <c r="R55" s="60">
        <f t="shared" si="96"/>
        <v>3243987070814546</v>
      </c>
      <c r="S55" s="60">
        <f t="shared" ref="S55:X55" si="109">IFERROR(S24/$B55,0)</f>
        <v>0</v>
      </c>
      <c r="T55" s="60">
        <f t="shared" si="109"/>
        <v>0</v>
      </c>
      <c r="U55" s="60">
        <f t="shared" si="109"/>
        <v>0</v>
      </c>
      <c r="V55" s="60">
        <f t="shared" si="109"/>
        <v>0</v>
      </c>
      <c r="W55" s="60">
        <f t="shared" si="109"/>
        <v>0</v>
      </c>
      <c r="X55" s="60">
        <f t="shared" si="109"/>
        <v>0</v>
      </c>
    </row>
    <row r="56" spans="1:24" x14ac:dyDescent="0.25">
      <c r="A56" s="83" t="s">
        <v>1091</v>
      </c>
      <c r="B56" s="42">
        <v>0.99979000004200003</v>
      </c>
      <c r="C56" s="249"/>
      <c r="D56" s="60">
        <f>IFERROR(D20/$B56,0)</f>
        <v>0</v>
      </c>
      <c r="E56" s="60">
        <f>IFERROR(E20/$B56,0)</f>
        <v>0</v>
      </c>
      <c r="F56" s="60">
        <f>IFERROR(F20/$B56,0)</f>
        <v>124300.08256611328</v>
      </c>
      <c r="G56" s="60">
        <f t="shared" si="93"/>
        <v>124300.0825661133</v>
      </c>
      <c r="H56" s="60">
        <f t="shared" ref="H56:N56" si="110">IFERROR(H20/$B56,0)</f>
        <v>124300.08256611328</v>
      </c>
      <c r="I56" s="60">
        <f t="shared" si="110"/>
        <v>1304571.0827579938</v>
      </c>
      <c r="J56" s="60">
        <f t="shared" si="110"/>
        <v>308580.21372703003</v>
      </c>
      <c r="K56" s="60">
        <f t="shared" si="110"/>
        <v>152177.03541073049</v>
      </c>
      <c r="L56" s="60">
        <f t="shared" si="110"/>
        <v>2023542.5000928484</v>
      </c>
      <c r="M56" s="60">
        <f t="shared" si="110"/>
        <v>0</v>
      </c>
      <c r="N56" s="60">
        <f t="shared" si="110"/>
        <v>12575741.120747866</v>
      </c>
      <c r="O56" s="60">
        <f t="shared" si="95"/>
        <v>12575741.120747864</v>
      </c>
      <c r="P56" s="60">
        <f>IFERROR(P20/$B56,0)</f>
        <v>0</v>
      </c>
      <c r="Q56" s="60">
        <f>IFERROR(Q20/$B56,0)</f>
        <v>5804188209.5759392</v>
      </c>
      <c r="R56" s="60">
        <f t="shared" si="96"/>
        <v>5804188209.5759392</v>
      </c>
      <c r="S56" s="60">
        <f t="shared" ref="S56:X56" si="111">IFERROR(S20/$B56,0)</f>
        <v>0</v>
      </c>
      <c r="T56" s="60">
        <f t="shared" si="111"/>
        <v>0</v>
      </c>
      <c r="U56" s="60">
        <f t="shared" si="111"/>
        <v>0</v>
      </c>
      <c r="V56" s="60">
        <f t="shared" si="111"/>
        <v>0</v>
      </c>
      <c r="W56" s="60">
        <f t="shared" si="111"/>
        <v>0</v>
      </c>
      <c r="X56" s="60">
        <f t="shared" si="111"/>
        <v>0</v>
      </c>
    </row>
    <row r="57" spans="1:24" x14ac:dyDescent="0.25">
      <c r="A57" s="83" t="s">
        <v>1092</v>
      </c>
      <c r="B57" s="42">
        <v>2.0999995799999999E-4</v>
      </c>
      <c r="C57" s="249"/>
      <c r="D57" s="60">
        <f>IFERROR(D29/$B57,0)</f>
        <v>0</v>
      </c>
      <c r="E57" s="60">
        <f>IFERROR(E29/$B57,0)</f>
        <v>0</v>
      </c>
      <c r="F57" s="60">
        <f>IFERROR(F29/$B57,0)</f>
        <v>17258.731076942448</v>
      </c>
      <c r="G57" s="60">
        <f t="shared" si="93"/>
        <v>17258.731076942448</v>
      </c>
      <c r="H57" s="60">
        <f t="shared" ref="H57:N57" si="112">IFERROR(H29/$B57,0)</f>
        <v>17258.731076942448</v>
      </c>
      <c r="I57" s="60">
        <f t="shared" si="112"/>
        <v>194966.27187235258</v>
      </c>
      <c r="J57" s="60">
        <f t="shared" si="112"/>
        <v>45806.932954784403</v>
      </c>
      <c r="K57" s="60">
        <f t="shared" si="112"/>
        <v>22325.587379737357</v>
      </c>
      <c r="L57" s="60">
        <f t="shared" si="112"/>
        <v>290309.07757884776</v>
      </c>
      <c r="M57" s="60">
        <f t="shared" si="112"/>
        <v>0</v>
      </c>
      <c r="N57" s="60">
        <f t="shared" si="112"/>
        <v>1728378.0033512749</v>
      </c>
      <c r="O57" s="60">
        <f t="shared" si="95"/>
        <v>1728378.0033512749</v>
      </c>
      <c r="P57" s="60">
        <f>IFERROR(P29/$B57,0)</f>
        <v>0</v>
      </c>
      <c r="Q57" s="60">
        <f>IFERROR(Q29/$B57,0)</f>
        <v>796556818.9358052</v>
      </c>
      <c r="R57" s="60">
        <f t="shared" si="96"/>
        <v>796556818.9358052</v>
      </c>
      <c r="S57" s="60">
        <f t="shared" ref="S57:X57" si="113">IFERROR(S29/$B57,0)</f>
        <v>0</v>
      </c>
      <c r="T57" s="60">
        <f t="shared" si="113"/>
        <v>0</v>
      </c>
      <c r="U57" s="60">
        <f t="shared" si="113"/>
        <v>0</v>
      </c>
      <c r="V57" s="60">
        <f t="shared" si="113"/>
        <v>0</v>
      </c>
      <c r="W57" s="60">
        <f t="shared" si="113"/>
        <v>0</v>
      </c>
      <c r="X57" s="60">
        <f t="shared" si="113"/>
        <v>0</v>
      </c>
    </row>
    <row r="58" spans="1:24" x14ac:dyDescent="0.25">
      <c r="A58" s="83" t="s">
        <v>1093</v>
      </c>
      <c r="B58" s="42">
        <v>1</v>
      </c>
      <c r="C58" s="249"/>
      <c r="D58" s="60">
        <f>IFERROR(D16/$B58,0)</f>
        <v>2.42699596147872</v>
      </c>
      <c r="E58" s="60">
        <f>IFERROR(E16/$B58,0)</f>
        <v>59574.808677855865</v>
      </c>
      <c r="F58" s="60">
        <f>IFERROR(F16/$B58,0)</f>
        <v>23029.106633614458</v>
      </c>
      <c r="G58" s="60">
        <f t="shared" si="93"/>
        <v>2.4266413640879403</v>
      </c>
      <c r="H58" s="60">
        <f t="shared" ref="H58:N58" si="114">IFERROR(H16/$B58,0)</f>
        <v>23029.106633614458</v>
      </c>
      <c r="I58" s="60">
        <f t="shared" si="114"/>
        <v>31329.353333381099</v>
      </c>
      <c r="J58" s="60">
        <f t="shared" si="114"/>
        <v>22223.154839747051</v>
      </c>
      <c r="K58" s="60">
        <f t="shared" si="114"/>
        <v>20839.350816314487</v>
      </c>
      <c r="L58" s="60">
        <f t="shared" si="114"/>
        <v>20693.011941646226</v>
      </c>
      <c r="M58" s="60">
        <f t="shared" si="114"/>
        <v>4.3826130782652524E-2</v>
      </c>
      <c r="N58" s="60">
        <f t="shared" si="114"/>
        <v>1141652.4231412616</v>
      </c>
      <c r="O58" s="60">
        <f t="shared" si="95"/>
        <v>4.3826129100240585E-2</v>
      </c>
      <c r="P58" s="60">
        <f>IFERROR(P16/$B58,0)</f>
        <v>5.1636436115143054</v>
      </c>
      <c r="Q58" s="60">
        <f>IFERROR(Q16/$B58,0)</f>
        <v>494520394.08561069</v>
      </c>
      <c r="R58" s="60">
        <f t="shared" si="96"/>
        <v>5.1636435575969832</v>
      </c>
      <c r="S58" s="60">
        <f t="shared" ref="S58:X58" si="115">IFERROR(S16/$B58,0)</f>
        <v>0.43584949245326604</v>
      </c>
      <c r="T58" s="60">
        <f t="shared" si="115"/>
        <v>493.12576686955106</v>
      </c>
      <c r="U58" s="60">
        <f t="shared" si="115"/>
        <v>622642.13207609439</v>
      </c>
      <c r="V58" s="60">
        <f t="shared" si="115"/>
        <v>0.43584949245326604</v>
      </c>
      <c r="W58" s="60">
        <f t="shared" si="115"/>
        <v>0</v>
      </c>
      <c r="X58" s="60">
        <f t="shared" si="115"/>
        <v>0</v>
      </c>
    </row>
    <row r="59" spans="1:24" x14ac:dyDescent="0.25">
      <c r="A59" s="83" t="s">
        <v>1094</v>
      </c>
      <c r="B59" s="42">
        <v>1</v>
      </c>
      <c r="C59" s="249"/>
      <c r="D59" s="60">
        <f>IFERROR(D7/$B59,0)</f>
        <v>173.51712266966504</v>
      </c>
      <c r="E59" s="60">
        <f>IFERROR(E7/$B59,0)</f>
        <v>2077853.0831544846</v>
      </c>
      <c r="F59" s="60">
        <f>IFERROR(F7/$B59,0)</f>
        <v>21736.546135514403</v>
      </c>
      <c r="G59" s="60">
        <f t="shared" si="93"/>
        <v>172.12869056596418</v>
      </c>
      <c r="H59" s="60">
        <f t="shared" ref="H59:N59" si="116">IFERROR(H7/$B59,0)</f>
        <v>21736.546135514403</v>
      </c>
      <c r="I59" s="60">
        <f t="shared" si="116"/>
        <v>94113.714921380903</v>
      </c>
      <c r="J59" s="60">
        <f t="shared" si="116"/>
        <v>30371.92681817228</v>
      </c>
      <c r="K59" s="60">
        <f t="shared" si="116"/>
        <v>20168.297237121678</v>
      </c>
      <c r="L59" s="60">
        <f t="shared" si="116"/>
        <v>24386.862042847402</v>
      </c>
      <c r="M59" s="60">
        <f t="shared" si="116"/>
        <v>1.5285699272973927</v>
      </c>
      <c r="N59" s="60">
        <f t="shared" si="116"/>
        <v>849308.75628831144</v>
      </c>
      <c r="O59" s="60">
        <f t="shared" si="95"/>
        <v>1.5285671762109354</v>
      </c>
      <c r="P59" s="60">
        <f>IFERROR(P7/$B59,0)</f>
        <v>512.0791797310867</v>
      </c>
      <c r="Q59" s="60">
        <f>IFERROR(Q7/$B59,0)</f>
        <v>574234129.2516495</v>
      </c>
      <c r="R59" s="60">
        <f t="shared" si="96"/>
        <v>512.0787230796285</v>
      </c>
      <c r="S59" s="60">
        <f t="shared" ref="S59:X59" si="117">IFERROR(S7/$B59,0)</f>
        <v>39.375039375039378</v>
      </c>
      <c r="T59" s="60">
        <f t="shared" si="117"/>
        <v>11250.01125001125</v>
      </c>
      <c r="U59" s="60">
        <f t="shared" si="117"/>
        <v>19687519.687519692</v>
      </c>
      <c r="V59" s="60">
        <f t="shared" si="117"/>
        <v>39.375039375039378</v>
      </c>
      <c r="W59" s="60">
        <f t="shared" si="117"/>
        <v>0</v>
      </c>
      <c r="X59" s="60">
        <f t="shared" si="117"/>
        <v>0</v>
      </c>
    </row>
    <row r="60" spans="1:24" x14ac:dyDescent="0.25">
      <c r="A60" s="83" t="s">
        <v>1095</v>
      </c>
      <c r="B60" s="86">
        <v>1.9000000000000001E-8</v>
      </c>
      <c r="C60" s="252"/>
      <c r="D60" s="60">
        <f>IFERROR(D12/$B60,0)</f>
        <v>0</v>
      </c>
      <c r="E60" s="60">
        <f>IFERROR(E12/$B60,0)</f>
        <v>0</v>
      </c>
      <c r="F60" s="60">
        <f>IFERROR(F12/$B60,0)</f>
        <v>6197530915.6190166</v>
      </c>
      <c r="G60" s="60">
        <f t="shared" si="93"/>
        <v>6197530915.6190166</v>
      </c>
      <c r="H60" s="60">
        <f t="shared" ref="H60:N60" si="118">IFERROR(H12/$B60,0)</f>
        <v>6197530915.6190166</v>
      </c>
      <c r="I60" s="60">
        <f t="shared" si="118"/>
        <v>43216476310.399704</v>
      </c>
      <c r="J60" s="60">
        <f t="shared" si="118"/>
        <v>10761749983.177959</v>
      </c>
      <c r="K60" s="60">
        <f t="shared" si="118"/>
        <v>6224727367.9764156</v>
      </c>
      <c r="L60" s="60">
        <f t="shared" si="118"/>
        <v>55898570953.6092</v>
      </c>
      <c r="M60" s="60">
        <f t="shared" si="118"/>
        <v>0</v>
      </c>
      <c r="N60" s="60">
        <f t="shared" si="118"/>
        <v>476454323961.12097</v>
      </c>
      <c r="O60" s="60">
        <f t="shared" si="95"/>
        <v>476454323961.12097</v>
      </c>
      <c r="P60" s="60">
        <f>IFERROR(P12/$B60,0)</f>
        <v>0</v>
      </c>
      <c r="Q60" s="60">
        <f>IFERROR(Q12/$B60,0)</f>
        <v>218911446144298.81</v>
      </c>
      <c r="R60" s="60">
        <f t="shared" si="96"/>
        <v>218911446144298.81</v>
      </c>
      <c r="S60" s="60">
        <f t="shared" ref="S60:X60" si="119">IFERROR(S12/$B60,0)</f>
        <v>0</v>
      </c>
      <c r="T60" s="60">
        <f t="shared" si="119"/>
        <v>0</v>
      </c>
      <c r="U60" s="60">
        <f t="shared" si="119"/>
        <v>0</v>
      </c>
      <c r="V60" s="60">
        <f t="shared" si="119"/>
        <v>0</v>
      </c>
      <c r="W60" s="60">
        <f t="shared" si="119"/>
        <v>0</v>
      </c>
      <c r="X60" s="60">
        <f t="shared" si="119"/>
        <v>0</v>
      </c>
    </row>
    <row r="61" spans="1:24" x14ac:dyDescent="0.25">
      <c r="A61" s="83" t="s">
        <v>1096</v>
      </c>
      <c r="B61" s="42">
        <v>1</v>
      </c>
      <c r="C61" s="249"/>
      <c r="D61" s="60">
        <f>IFERROR(D18/$B61,0)</f>
        <v>1.2724588995775437</v>
      </c>
      <c r="E61" s="60">
        <f>IFERROR(E18/$B61,0)</f>
        <v>65197.941129592262</v>
      </c>
      <c r="F61" s="60">
        <f>IFERROR(F18/$B61,0)</f>
        <v>1059752.5660152568</v>
      </c>
      <c r="G61" s="60">
        <f t="shared" si="93"/>
        <v>1.2724325378669956</v>
      </c>
      <c r="H61" s="60">
        <f t="shared" ref="H61:N61" si="120">IFERROR(H18/$B61,0)</f>
        <v>1059752.5660152568</v>
      </c>
      <c r="I61" s="60">
        <f t="shared" si="120"/>
        <v>11100058.674572077</v>
      </c>
      <c r="J61" s="60">
        <f t="shared" si="120"/>
        <v>2612213.6637535729</v>
      </c>
      <c r="K61" s="60">
        <f t="shared" si="120"/>
        <v>1299248.8854555865</v>
      </c>
      <c r="L61" s="60">
        <f t="shared" si="120"/>
        <v>17262942.851735063</v>
      </c>
      <c r="M61" s="60">
        <f t="shared" si="120"/>
        <v>4.7962780882035538E-2</v>
      </c>
      <c r="N61" s="60">
        <f t="shared" si="120"/>
        <v>107468398.49123049</v>
      </c>
      <c r="O61" s="60">
        <f t="shared" si="95"/>
        <v>4.7962780860629904E-2</v>
      </c>
      <c r="P61" s="60">
        <f>IFERROR(P18/$B61,0)</f>
        <v>2.5710642148998311</v>
      </c>
      <c r="Q61" s="60">
        <f>IFERROR(Q18/$B61,0)</f>
        <v>49515684246.924728</v>
      </c>
      <c r="R61" s="60">
        <f t="shared" si="96"/>
        <v>2.5710642147663303</v>
      </c>
      <c r="S61" s="60">
        <f t="shared" ref="S61:X61" si="121">IFERROR(S18/$B61,0)</f>
        <v>0.22758643448298618</v>
      </c>
      <c r="T61" s="60">
        <f t="shared" si="121"/>
        <v>60.676325224838649</v>
      </c>
      <c r="U61" s="60">
        <f t="shared" si="121"/>
        <v>75862.144827662065</v>
      </c>
      <c r="V61" s="60">
        <f t="shared" si="121"/>
        <v>0.22758643448298618</v>
      </c>
      <c r="W61" s="60">
        <f t="shared" si="121"/>
        <v>7.5845406531048307E-2</v>
      </c>
      <c r="X61" s="60">
        <f t="shared" si="121"/>
        <v>94.82768103457758</v>
      </c>
    </row>
    <row r="62" spans="1:24" x14ac:dyDescent="0.25">
      <c r="A62" s="83" t="s">
        <v>1097</v>
      </c>
      <c r="B62" s="42">
        <v>1.339E-6</v>
      </c>
      <c r="C62" s="249"/>
      <c r="D62" s="60">
        <f>IFERROR(D27/$B62,0)</f>
        <v>0</v>
      </c>
      <c r="E62" s="60">
        <f>IFERROR(E27/$B62,0)</f>
        <v>0</v>
      </c>
      <c r="F62" s="60">
        <f>IFERROR(F27/$B62,0)</f>
        <v>5998056995.87638</v>
      </c>
      <c r="G62" s="60">
        <f t="shared" si="93"/>
        <v>5998056995.87638</v>
      </c>
      <c r="H62" s="60">
        <f t="shared" ref="H62:N62" si="122">IFERROR(H27/$B62,0)</f>
        <v>5998056995.87638</v>
      </c>
      <c r="I62" s="60">
        <f t="shared" si="122"/>
        <v>27138254754.813122</v>
      </c>
      <c r="J62" s="60">
        <f t="shared" si="122"/>
        <v>10089644932.448488</v>
      </c>
      <c r="K62" s="60">
        <f t="shared" si="122"/>
        <v>6729860155.0540352</v>
      </c>
      <c r="L62" s="60">
        <f t="shared" si="122"/>
        <v>5788012715.0766735</v>
      </c>
      <c r="M62" s="60">
        <f t="shared" si="122"/>
        <v>0</v>
      </c>
      <c r="N62" s="60">
        <f t="shared" si="122"/>
        <v>356933529331.34039</v>
      </c>
      <c r="O62" s="60">
        <f t="shared" si="95"/>
        <v>356933529331.34039</v>
      </c>
      <c r="P62" s="60">
        <f>IFERROR(P27/$B62,0)</f>
        <v>0</v>
      </c>
      <c r="Q62" s="60">
        <f>IFERROR(Q27/$B62,0)</f>
        <v>228040865961689.69</v>
      </c>
      <c r="R62" s="60">
        <f t="shared" si="96"/>
        <v>228040865961689.69</v>
      </c>
      <c r="S62" s="60">
        <f t="shared" ref="S62:X62" si="123">IFERROR(S27/$B62,0)</f>
        <v>0</v>
      </c>
      <c r="T62" s="60">
        <f t="shared" si="123"/>
        <v>0</v>
      </c>
      <c r="U62" s="60">
        <f t="shared" si="123"/>
        <v>0</v>
      </c>
      <c r="V62" s="60">
        <f t="shared" si="123"/>
        <v>0</v>
      </c>
      <c r="W62" s="60">
        <f t="shared" si="123"/>
        <v>0</v>
      </c>
      <c r="X62" s="60">
        <f t="shared" si="123"/>
        <v>0</v>
      </c>
    </row>
    <row r="63" spans="1:24" x14ac:dyDescent="0.25">
      <c r="A63" s="82" t="s">
        <v>35</v>
      </c>
      <c r="B63" s="57" t="s">
        <v>1255</v>
      </c>
      <c r="C63" s="57"/>
      <c r="D63" s="58">
        <f>1/SUM(1/D66,1/D68,1/D72,1/D73,1/D75)</f>
        <v>0.83059106358585622</v>
      </c>
      <c r="E63" s="58">
        <f>1/SUM(1/E66,1/E68,1/E72,1/E73,1/E75)</f>
        <v>30532.210573284447</v>
      </c>
      <c r="F63" s="58">
        <f>1/SUM(1/F64,1/F65,1/F66,1/F67,1/F68,1/F69,1/F70,1/F71,1/F72,1/F73,1/F74,1/F75,1/F76)</f>
        <v>5.8383037365748134</v>
      </c>
      <c r="G63" s="59">
        <f>1/SUM(1/G64,1/G65,1/G66,1/G67,1/G68,1/G69,1/G70,1/G71,1/G72,1/G73,1/G74,1/G75,1/G76)</f>
        <v>0.7271260846241876</v>
      </c>
      <c r="H63" s="58">
        <f t="shared" ref="H63:R63" si="124">1/SUM(1/H64,1/H65,1/H66,1/H67,1/H68,1/H69,1/H70,1/H71,1/H72,1/H73,1/H74,1/H75,1/H76)</f>
        <v>5.8383037365748134</v>
      </c>
      <c r="I63" s="58">
        <f t="shared" si="124"/>
        <v>65.373961535244348</v>
      </c>
      <c r="J63" s="58">
        <f t="shared" si="124"/>
        <v>15.306289594921482</v>
      </c>
      <c r="K63" s="58">
        <f t="shared" si="124"/>
        <v>7.5328688748758523</v>
      </c>
      <c r="L63" s="58">
        <f t="shared" si="124"/>
        <v>96.040587045594094</v>
      </c>
      <c r="M63" s="58">
        <f>1/SUM(1/M66,1/M68,1/M72,1/M73,1/M75)</f>
        <v>2.2460981132208471E-2</v>
      </c>
      <c r="N63" s="58">
        <f t="shared" si="124"/>
        <v>581.64075585164971</v>
      </c>
      <c r="O63" s="59">
        <f t="shared" si="124"/>
        <v>2.244838689277932E-2</v>
      </c>
      <c r="P63" s="58">
        <f>1/SUM(1/P66,1/P68,1/P72,1/P73,1/P75)</f>
        <v>1.7103489754992622</v>
      </c>
      <c r="Q63" s="58">
        <f t="shared" si="124"/>
        <v>268433.37706224929</v>
      </c>
      <c r="R63" s="59">
        <f t="shared" si="124"/>
        <v>1.7103380779163637</v>
      </c>
      <c r="S63" s="58">
        <f>1/SUM(1/S66,1/S68,1/S72,1/S73,1/S75)</f>
        <v>0.14891668861615956</v>
      </c>
      <c r="T63" s="58">
        <f>1/SUM(1/T66,1/T68,1/T72,1/T73,1/T75)</f>
        <v>53.762552117412099</v>
      </c>
      <c r="U63" s="58">
        <f>1/SUM(1/U66,1/U68,1/U72,1/U73,1/U75)</f>
        <v>67383.838638471905</v>
      </c>
      <c r="V63" s="58">
        <f>1/SUM(1/V66,1/V68,1/V72,1/V73,1/V75)</f>
        <v>0.14891668861615956</v>
      </c>
      <c r="W63" s="58">
        <f>1/SUM(1/W75)</f>
        <v>7.5845406531048307E-2</v>
      </c>
      <c r="X63" s="58">
        <f>1/SUM(1/X75)</f>
        <v>94.82768103457758</v>
      </c>
    </row>
    <row r="64" spans="1:24" x14ac:dyDescent="0.25">
      <c r="A64" s="83" t="s">
        <v>1087</v>
      </c>
      <c r="B64" s="42">
        <v>1</v>
      </c>
      <c r="C64" s="178"/>
      <c r="D64" s="60">
        <f>IFERROR(D25/$B50,0)</f>
        <v>0</v>
      </c>
      <c r="E64" s="60">
        <f>IFERROR(E25/$B50,0)</f>
        <v>414750411.4664939</v>
      </c>
      <c r="F64" s="60">
        <f>IFERROR(F25/$B50,0)</f>
        <v>30522.284661417398</v>
      </c>
      <c r="G64" s="60">
        <f t="shared" ref="G64:G76" si="125">IF(AND(D64&lt;&gt;0,E64&lt;&gt;0,F64&lt;&gt;0),1/((1/D64)+(1/E64)+(1/F64)),IF(AND(D64&lt;&gt;0,E64&lt;&gt;0,F64=0), 1/((1/D64)+(1/E64)),IF(AND(D64&lt;&gt;0,E64=0,F64&lt;&gt;0),1/((1/D64)+(1/F64)),IF(AND(D64=0,E64&lt;&gt;0,F64&lt;&gt;0),1/((1/E64)+(1/F64)),IF(AND(D64&lt;&gt;0,E64=0,F64=0),1/((1/D64)),IF(AND(D64=0,E64&lt;&gt;0,F64=0),1/((1/E64)),IF(AND(D64=0,E64=0,F64&lt;&gt;0),1/((1/F64)),IF(AND(D64=0,E64=0,F64=0),0))))))))</f>
        <v>30520.038632766733</v>
      </c>
      <c r="H64" s="60">
        <f t="shared" ref="H64:N64" si="126">IFERROR(H25/$B50,0)</f>
        <v>30522.284661417398</v>
      </c>
      <c r="I64" s="60">
        <f t="shared" si="126"/>
        <v>265310.1306088625</v>
      </c>
      <c r="J64" s="60">
        <f t="shared" si="126"/>
        <v>64067.3531466075</v>
      </c>
      <c r="K64" s="60">
        <f t="shared" si="126"/>
        <v>33839.579690208884</v>
      </c>
      <c r="L64" s="60">
        <f t="shared" si="126"/>
        <v>408577.39893056965</v>
      </c>
      <c r="M64" s="60">
        <f t="shared" si="126"/>
        <v>305.11060259344009</v>
      </c>
      <c r="N64" s="60">
        <f t="shared" si="126"/>
        <v>2767891.1266086698</v>
      </c>
      <c r="O64" s="60">
        <f t="shared" ref="O64:O76" si="127">IFERROR(IF(AND(M64&lt;&gt;0,N64&lt;&gt;0),1/((1/M64)+(1/N64)),IF(AND(M64&lt;&gt;0,N64=0),1/((1/M64)),IF(AND(M64=0,N64&lt;&gt;0),1/((1/N64)),IF(AND(M64=0,N64=0),0)))),0)</f>
        <v>305.07697330135323</v>
      </c>
      <c r="P64" s="60">
        <f>IFERROR(P25/$B50,0)</f>
        <v>0</v>
      </c>
      <c r="Q64" s="60">
        <f>IFERROR(Q25/$B50,0)</f>
        <v>1278195570.0950336</v>
      </c>
      <c r="R64" s="60">
        <f t="shared" ref="R64:R76" si="128">IFERROR(IF(AND(P64&lt;&gt;0,Q64&lt;&gt;0),1/((1/P64)+(1/Q64)),IF(AND(P64&lt;&gt;0,Q64=0),1/((1/P64)),IF(AND(P64=0,Q64&lt;&gt;0),1/((1/Q64)),IF(AND(P64=0,Q64=0),0)))),0)</f>
        <v>1278195570.0950336</v>
      </c>
      <c r="S64" s="60">
        <f t="shared" ref="S64:X64" si="129">IFERROR(S25/$B50,0)</f>
        <v>0</v>
      </c>
      <c r="T64" s="60">
        <f t="shared" si="129"/>
        <v>0</v>
      </c>
      <c r="U64" s="60">
        <f t="shared" si="129"/>
        <v>0</v>
      </c>
      <c r="V64" s="60">
        <f t="shared" si="129"/>
        <v>0</v>
      </c>
      <c r="W64" s="60">
        <f t="shared" si="129"/>
        <v>0</v>
      </c>
      <c r="X64" s="60">
        <f t="shared" si="129"/>
        <v>0</v>
      </c>
    </row>
    <row r="65" spans="1:24" x14ac:dyDescent="0.25">
      <c r="A65" s="83" t="s">
        <v>1073</v>
      </c>
      <c r="B65" s="42">
        <v>1</v>
      </c>
      <c r="C65" s="178"/>
      <c r="D65" s="60">
        <f>IFERROR(D21/$B51,0)</f>
        <v>0</v>
      </c>
      <c r="E65" s="60">
        <f>IFERROR(E21/$B51,0)</f>
        <v>68031002.74414432</v>
      </c>
      <c r="F65" s="60">
        <f>IFERROR(F21/$B51,0)</f>
        <v>729497282.13614905</v>
      </c>
      <c r="G65" s="60">
        <f t="shared" si="125"/>
        <v>62227801.250082642</v>
      </c>
      <c r="H65" s="60">
        <f t="shared" ref="H65:N65" si="130">IFERROR(H21/$B51,0)</f>
        <v>729497282.13614905</v>
      </c>
      <c r="I65" s="60">
        <f t="shared" si="130"/>
        <v>1756596841.4356649</v>
      </c>
      <c r="J65" s="60">
        <f t="shared" si="130"/>
        <v>927702706.88321078</v>
      </c>
      <c r="K65" s="60">
        <f t="shared" si="130"/>
        <v>731995560.49962926</v>
      </c>
      <c r="L65" s="60">
        <f t="shared" si="130"/>
        <v>941597813.50613093</v>
      </c>
      <c r="M65" s="60">
        <f t="shared" si="130"/>
        <v>50.04691898654989</v>
      </c>
      <c r="N65" s="60">
        <f t="shared" si="130"/>
        <v>113827475325.03108</v>
      </c>
      <c r="O65" s="60">
        <f t="shared" si="127"/>
        <v>50.04691896454559</v>
      </c>
      <c r="P65" s="60">
        <f>IFERROR(P21/$B51,0)</f>
        <v>0</v>
      </c>
      <c r="Q65" s="60">
        <f>IFERROR(Q21/$B51,0)</f>
        <v>88853779814920.344</v>
      </c>
      <c r="R65" s="60">
        <f t="shared" si="128"/>
        <v>88853779814920.344</v>
      </c>
      <c r="S65" s="60">
        <f t="shared" ref="S65:X65" si="131">IFERROR(S21/$B51,0)</f>
        <v>0</v>
      </c>
      <c r="T65" s="60">
        <f t="shared" si="131"/>
        <v>0</v>
      </c>
      <c r="U65" s="60">
        <f t="shared" si="131"/>
        <v>0</v>
      </c>
      <c r="V65" s="60">
        <f t="shared" si="131"/>
        <v>0</v>
      </c>
      <c r="W65" s="60">
        <f t="shared" si="131"/>
        <v>0</v>
      </c>
      <c r="X65" s="60">
        <f t="shared" si="131"/>
        <v>0</v>
      </c>
    </row>
    <row r="66" spans="1:24" x14ac:dyDescent="0.25">
      <c r="A66" s="83" t="s">
        <v>1074</v>
      </c>
      <c r="B66" s="85">
        <v>0.99980000000000002</v>
      </c>
      <c r="C66" s="181"/>
      <c r="D66" s="60">
        <f>IFERROR(D17/$B52,0)</f>
        <v>5263.3242822682569</v>
      </c>
      <c r="E66" s="60">
        <f>IFERROR(E17/$B52,0)</f>
        <v>12172716.887568066</v>
      </c>
      <c r="F66" s="60">
        <f>IFERROR(F17/$B52,0)</f>
        <v>55.646979822233433</v>
      </c>
      <c r="G66" s="60">
        <f t="shared" si="125"/>
        <v>55.064553048234686</v>
      </c>
      <c r="H66" s="60">
        <f t="shared" ref="H66:N66" si="132">IFERROR(H17/$B52,0)</f>
        <v>55.646979822233433</v>
      </c>
      <c r="I66" s="60">
        <f t="shared" si="132"/>
        <v>392.06428327281657</v>
      </c>
      <c r="J66" s="60">
        <f t="shared" si="132"/>
        <v>98.22630531622552</v>
      </c>
      <c r="K66" s="60">
        <f t="shared" si="132"/>
        <v>57.460509377609029</v>
      </c>
      <c r="L66" s="60">
        <f t="shared" si="132"/>
        <v>491.26344134603067</v>
      </c>
      <c r="M66" s="60">
        <f t="shared" si="132"/>
        <v>8.9548433999932993</v>
      </c>
      <c r="N66" s="60">
        <f t="shared" si="132"/>
        <v>4407.947644495739</v>
      </c>
      <c r="O66" s="60">
        <f t="shared" si="127"/>
        <v>8.9366883194729212</v>
      </c>
      <c r="P66" s="60">
        <f>IFERROR(P17/$B52,0)</f>
        <v>13258.407032125211</v>
      </c>
      <c r="Q66" s="60">
        <f>IFERROR(Q17/$B52,0)</f>
        <v>2014732.0909134978</v>
      </c>
      <c r="R66" s="60">
        <f t="shared" si="128"/>
        <v>13171.727455861132</v>
      </c>
      <c r="S66" s="60">
        <f t="shared" ref="S66:X66" si="133">IFERROR(S17/$B52,0)</f>
        <v>1058.227970786055</v>
      </c>
      <c r="T66" s="60">
        <f t="shared" si="133"/>
        <v>1197292.8468481272</v>
      </c>
      <c r="U66" s="60">
        <f t="shared" si="133"/>
        <v>1511754243.9800785</v>
      </c>
      <c r="V66" s="60">
        <f t="shared" si="133"/>
        <v>1058.227970786055</v>
      </c>
      <c r="W66" s="60">
        <f t="shared" si="133"/>
        <v>0</v>
      </c>
      <c r="X66" s="60">
        <f t="shared" si="133"/>
        <v>0</v>
      </c>
    </row>
    <row r="67" spans="1:24" x14ac:dyDescent="0.25">
      <c r="A67" s="83" t="s">
        <v>1088</v>
      </c>
      <c r="B67" s="42">
        <v>2.0000000000000001E-4</v>
      </c>
      <c r="C67" s="178"/>
      <c r="D67" s="60">
        <f>IFERROR(D5/$B53,0)</f>
        <v>0</v>
      </c>
      <c r="E67" s="60">
        <f>IFERROR(E5/$B53,0)</f>
        <v>0</v>
      </c>
      <c r="F67" s="60">
        <f>IFERROR(F5/$B53,0)</f>
        <v>909543419.85485828</v>
      </c>
      <c r="G67" s="60">
        <f t="shared" si="125"/>
        <v>909543419.85485828</v>
      </c>
      <c r="H67" s="60">
        <f t="shared" ref="H67:N67" si="134">IFERROR(H5/$B53,0)</f>
        <v>909543419.85485828</v>
      </c>
      <c r="I67" s="60">
        <f t="shared" si="134"/>
        <v>3305844835.2185683</v>
      </c>
      <c r="J67" s="60">
        <f t="shared" si="134"/>
        <v>1504065186.5870926</v>
      </c>
      <c r="K67" s="60">
        <f t="shared" si="134"/>
        <v>975994080.66617215</v>
      </c>
      <c r="L67" s="60">
        <f t="shared" si="134"/>
        <v>1249957331.3794837</v>
      </c>
      <c r="M67" s="60">
        <f t="shared" si="134"/>
        <v>0</v>
      </c>
      <c r="N67" s="60">
        <f t="shared" si="134"/>
        <v>728668307951.90356</v>
      </c>
      <c r="O67" s="60">
        <f t="shared" si="127"/>
        <v>728668307951.90356</v>
      </c>
      <c r="P67" s="60">
        <f>IFERROR(P5/$B53,0)</f>
        <v>0</v>
      </c>
      <c r="Q67" s="60">
        <f>IFERROR(Q5/$B53,0)</f>
        <v>438196886786566.13</v>
      </c>
      <c r="R67" s="60">
        <f t="shared" si="128"/>
        <v>438196886786566.13</v>
      </c>
      <c r="S67" s="60">
        <f t="shared" ref="S67:X67" si="135">IFERROR(S5/$B53,0)</f>
        <v>0</v>
      </c>
      <c r="T67" s="60">
        <f t="shared" si="135"/>
        <v>0</v>
      </c>
      <c r="U67" s="60">
        <f t="shared" si="135"/>
        <v>0</v>
      </c>
      <c r="V67" s="60">
        <f t="shared" si="135"/>
        <v>0</v>
      </c>
      <c r="W67" s="60">
        <f t="shared" si="135"/>
        <v>0</v>
      </c>
      <c r="X67" s="60">
        <f t="shared" si="135"/>
        <v>0</v>
      </c>
    </row>
    <row r="68" spans="1:24" x14ac:dyDescent="0.25">
      <c r="A68" s="83" t="s">
        <v>1089</v>
      </c>
      <c r="B68" s="42">
        <v>0.99999979999999999</v>
      </c>
      <c r="C68" s="178"/>
      <c r="D68" s="60">
        <f>IFERROR(D9/$B54,0)</f>
        <v>10331.434416067856</v>
      </c>
      <c r="E68" s="60">
        <f>IFERROR(E9/$B54,0)</f>
        <v>15301474.551291775</v>
      </c>
      <c r="F68" s="60">
        <f>IFERROR(F9/$B54,0)</f>
        <v>6.5306943578554408</v>
      </c>
      <c r="G68" s="60">
        <f t="shared" si="125"/>
        <v>6.5265660069607438</v>
      </c>
      <c r="H68" s="60">
        <f t="shared" ref="H68:N68" si="136">IFERROR(H9/$B54,0)</f>
        <v>6.5306943578554408</v>
      </c>
      <c r="I68" s="60">
        <f t="shared" si="136"/>
        <v>78.779188914997903</v>
      </c>
      <c r="J68" s="60">
        <f t="shared" si="136"/>
        <v>18.170895944045903</v>
      </c>
      <c r="K68" s="60">
        <f t="shared" si="136"/>
        <v>8.6828894409987587</v>
      </c>
      <c r="L68" s="60">
        <f t="shared" si="136"/>
        <v>120.75953826132647</v>
      </c>
      <c r="M68" s="60">
        <f t="shared" si="136"/>
        <v>11.256509919797834</v>
      </c>
      <c r="N68" s="60">
        <f t="shared" si="136"/>
        <v>671.44318245374143</v>
      </c>
      <c r="O68" s="60">
        <f t="shared" si="127"/>
        <v>11.070909989125566</v>
      </c>
      <c r="P68" s="60">
        <f>IFERROR(P9/$B54,0)</f>
        <v>23778.633332834932</v>
      </c>
      <c r="Q68" s="60">
        <f>IFERROR(Q9/$B54,0)</f>
        <v>310271.72866612405</v>
      </c>
      <c r="R68" s="60">
        <f t="shared" si="128"/>
        <v>22086.004114312578</v>
      </c>
      <c r="S68" s="60">
        <f t="shared" ref="S68:X68" si="137">IFERROR(S9/$B54,0)</f>
        <v>1933.0567129731082</v>
      </c>
      <c r="T68" s="60">
        <f t="shared" si="137"/>
        <v>552301.91799231654</v>
      </c>
      <c r="U68" s="60">
        <f t="shared" si="137"/>
        <v>966528356.48655415</v>
      </c>
      <c r="V68" s="60">
        <f t="shared" si="137"/>
        <v>1933.0567129731082</v>
      </c>
      <c r="W68" s="60">
        <f t="shared" si="137"/>
        <v>0</v>
      </c>
      <c r="X68" s="60">
        <f t="shared" si="137"/>
        <v>0</v>
      </c>
    </row>
    <row r="69" spans="1:24" x14ac:dyDescent="0.25">
      <c r="A69" s="83" t="s">
        <v>1090</v>
      </c>
      <c r="B69" s="42">
        <v>1.9999999999999999E-7</v>
      </c>
      <c r="C69" s="178"/>
      <c r="D69" s="60">
        <f>IFERROR(D24/$B55,0)</f>
        <v>0</v>
      </c>
      <c r="E69" s="60">
        <f>IFERROR(E24/$B55,0)</f>
        <v>0</v>
      </c>
      <c r="F69" s="60">
        <f>IFERROR(F24/$B55,0)</f>
        <v>77102439678.851715</v>
      </c>
      <c r="G69" s="60">
        <f t="shared" si="125"/>
        <v>77102439678.851715</v>
      </c>
      <c r="H69" s="60">
        <f t="shared" ref="H69:N69" si="138">IFERROR(H24/$B55,0)</f>
        <v>77102439678.851715</v>
      </c>
      <c r="I69" s="60">
        <f t="shared" si="138"/>
        <v>691530373255.93469</v>
      </c>
      <c r="J69" s="60">
        <f t="shared" si="138"/>
        <v>168576834736.49194</v>
      </c>
      <c r="K69" s="60">
        <f t="shared" si="138"/>
        <v>84557553098.594528</v>
      </c>
      <c r="L69" s="60">
        <f t="shared" si="138"/>
        <v>1049680976479.7858</v>
      </c>
      <c r="M69" s="60">
        <f t="shared" si="138"/>
        <v>0</v>
      </c>
      <c r="N69" s="60">
        <f t="shared" si="138"/>
        <v>7046462758216.2109</v>
      </c>
      <c r="O69" s="60">
        <f t="shared" si="127"/>
        <v>7046462758216.2119</v>
      </c>
      <c r="P69" s="60">
        <f>IFERROR(P24/$B55,0)</f>
        <v>0</v>
      </c>
      <c r="Q69" s="60">
        <f>IFERROR(Q24/$B55,0)</f>
        <v>3243987070814546</v>
      </c>
      <c r="R69" s="60">
        <f t="shared" si="128"/>
        <v>3243987070814546</v>
      </c>
      <c r="S69" s="60">
        <f t="shared" ref="S69:X69" si="139">IFERROR(S24/$B55,0)</f>
        <v>0</v>
      </c>
      <c r="T69" s="60">
        <f t="shared" si="139"/>
        <v>0</v>
      </c>
      <c r="U69" s="60">
        <f t="shared" si="139"/>
        <v>0</v>
      </c>
      <c r="V69" s="60">
        <f t="shared" si="139"/>
        <v>0</v>
      </c>
      <c r="W69" s="60">
        <f t="shared" si="139"/>
        <v>0</v>
      </c>
      <c r="X69" s="60">
        <f t="shared" si="139"/>
        <v>0</v>
      </c>
    </row>
    <row r="70" spans="1:24" x14ac:dyDescent="0.25">
      <c r="A70" s="83" t="s">
        <v>1091</v>
      </c>
      <c r="B70" s="42">
        <v>0.99979000004200003</v>
      </c>
      <c r="C70" s="178"/>
      <c r="D70" s="60">
        <f>IFERROR(D20/$B56,0)</f>
        <v>0</v>
      </c>
      <c r="E70" s="60">
        <f>IFERROR(E20/$B56,0)</f>
        <v>0</v>
      </c>
      <c r="F70" s="60">
        <f>IFERROR(F20/$B56,0)</f>
        <v>124300.08256611328</v>
      </c>
      <c r="G70" s="60">
        <f t="shared" si="125"/>
        <v>124300.0825661133</v>
      </c>
      <c r="H70" s="60">
        <f t="shared" ref="H70:N70" si="140">IFERROR(H20/$B56,0)</f>
        <v>124300.08256611328</v>
      </c>
      <c r="I70" s="60">
        <f t="shared" si="140"/>
        <v>1304571.0827579938</v>
      </c>
      <c r="J70" s="60">
        <f t="shared" si="140"/>
        <v>308580.21372703003</v>
      </c>
      <c r="K70" s="60">
        <f t="shared" si="140"/>
        <v>152177.03541073049</v>
      </c>
      <c r="L70" s="60">
        <f t="shared" si="140"/>
        <v>2023542.5000928484</v>
      </c>
      <c r="M70" s="60">
        <f t="shared" si="140"/>
        <v>0</v>
      </c>
      <c r="N70" s="60">
        <f t="shared" si="140"/>
        <v>12575741.120747866</v>
      </c>
      <c r="O70" s="60">
        <f t="shared" si="127"/>
        <v>12575741.120747864</v>
      </c>
      <c r="P70" s="60">
        <f>IFERROR(P20/$B56,0)</f>
        <v>0</v>
      </c>
      <c r="Q70" s="60">
        <f>IFERROR(Q20/$B56,0)</f>
        <v>5804188209.5759392</v>
      </c>
      <c r="R70" s="60">
        <f t="shared" si="128"/>
        <v>5804188209.5759392</v>
      </c>
      <c r="S70" s="60">
        <f t="shared" ref="S70:X70" si="141">IFERROR(S20/$B56,0)</f>
        <v>0</v>
      </c>
      <c r="T70" s="60">
        <f t="shared" si="141"/>
        <v>0</v>
      </c>
      <c r="U70" s="60">
        <f t="shared" si="141"/>
        <v>0</v>
      </c>
      <c r="V70" s="60">
        <f t="shared" si="141"/>
        <v>0</v>
      </c>
      <c r="W70" s="60">
        <f t="shared" si="141"/>
        <v>0</v>
      </c>
      <c r="X70" s="60">
        <f t="shared" si="141"/>
        <v>0</v>
      </c>
    </row>
    <row r="71" spans="1:24" x14ac:dyDescent="0.25">
      <c r="A71" s="83" t="s">
        <v>1092</v>
      </c>
      <c r="B71" s="42">
        <v>2.0999995799999999E-4</v>
      </c>
      <c r="C71" s="178"/>
      <c r="D71" s="60">
        <f>IFERROR(D29/$B57,0)</f>
        <v>0</v>
      </c>
      <c r="E71" s="60">
        <f>IFERROR(E29/$B57,0)</f>
        <v>0</v>
      </c>
      <c r="F71" s="60">
        <f>IFERROR(F29/$B57,0)</f>
        <v>17258.731076942448</v>
      </c>
      <c r="G71" s="60">
        <f t="shared" si="125"/>
        <v>17258.731076942448</v>
      </c>
      <c r="H71" s="60">
        <f t="shared" ref="H71:N71" si="142">IFERROR(H29/$B57,0)</f>
        <v>17258.731076942448</v>
      </c>
      <c r="I71" s="60">
        <f t="shared" si="142"/>
        <v>194966.27187235258</v>
      </c>
      <c r="J71" s="60">
        <f t="shared" si="142"/>
        <v>45806.932954784403</v>
      </c>
      <c r="K71" s="60">
        <f t="shared" si="142"/>
        <v>22325.587379737357</v>
      </c>
      <c r="L71" s="60">
        <f t="shared" si="142"/>
        <v>290309.07757884776</v>
      </c>
      <c r="M71" s="60">
        <f t="shared" si="142"/>
        <v>0</v>
      </c>
      <c r="N71" s="60">
        <f t="shared" si="142"/>
        <v>1728378.0033512749</v>
      </c>
      <c r="O71" s="60">
        <f t="shared" si="127"/>
        <v>1728378.0033512749</v>
      </c>
      <c r="P71" s="60">
        <f>IFERROR(P29/$B57,0)</f>
        <v>0</v>
      </c>
      <c r="Q71" s="60">
        <f>IFERROR(Q29/$B57,0)</f>
        <v>796556818.9358052</v>
      </c>
      <c r="R71" s="60">
        <f t="shared" si="128"/>
        <v>796556818.9358052</v>
      </c>
      <c r="S71" s="60">
        <f t="shared" ref="S71:X71" si="143">IFERROR(S29/$B57,0)</f>
        <v>0</v>
      </c>
      <c r="T71" s="60">
        <f t="shared" si="143"/>
        <v>0</v>
      </c>
      <c r="U71" s="60">
        <f t="shared" si="143"/>
        <v>0</v>
      </c>
      <c r="V71" s="60">
        <f t="shared" si="143"/>
        <v>0</v>
      </c>
      <c r="W71" s="60">
        <f t="shared" si="143"/>
        <v>0</v>
      </c>
      <c r="X71" s="60">
        <f t="shared" si="143"/>
        <v>0</v>
      </c>
    </row>
    <row r="72" spans="1:24" x14ac:dyDescent="0.25">
      <c r="A72" s="83" t="s">
        <v>1093</v>
      </c>
      <c r="B72" s="42">
        <v>1</v>
      </c>
      <c r="C72" s="178"/>
      <c r="D72" s="60">
        <f>IFERROR(D16/$B58,0)</f>
        <v>2.42699596147872</v>
      </c>
      <c r="E72" s="60">
        <f>IFERROR(E16/$B58,0)</f>
        <v>59574.808677855865</v>
      </c>
      <c r="F72" s="60">
        <f>IFERROR(F16/$B58,0)</f>
        <v>23029.106633614458</v>
      </c>
      <c r="G72" s="60">
        <f t="shared" si="125"/>
        <v>2.4266413640879403</v>
      </c>
      <c r="H72" s="60">
        <f t="shared" ref="H72:N72" si="144">IFERROR(H16/$B58,0)</f>
        <v>23029.106633614458</v>
      </c>
      <c r="I72" s="60">
        <f t="shared" si="144"/>
        <v>31329.353333381099</v>
      </c>
      <c r="J72" s="60">
        <f t="shared" si="144"/>
        <v>22223.154839747051</v>
      </c>
      <c r="K72" s="60">
        <f t="shared" si="144"/>
        <v>20839.350816314487</v>
      </c>
      <c r="L72" s="60">
        <f t="shared" si="144"/>
        <v>20693.011941646226</v>
      </c>
      <c r="M72" s="60">
        <f t="shared" si="144"/>
        <v>4.3826130782652524E-2</v>
      </c>
      <c r="N72" s="60">
        <f t="shared" si="144"/>
        <v>1141652.4231412616</v>
      </c>
      <c r="O72" s="60">
        <f t="shared" si="127"/>
        <v>4.3826129100240585E-2</v>
      </c>
      <c r="P72" s="60">
        <f>IFERROR(P16/$B58,0)</f>
        <v>5.1636436115143054</v>
      </c>
      <c r="Q72" s="60">
        <f>IFERROR(Q16/$B58,0)</f>
        <v>494520394.08561069</v>
      </c>
      <c r="R72" s="60">
        <f t="shared" si="128"/>
        <v>5.1636435575969832</v>
      </c>
      <c r="S72" s="60">
        <f t="shared" ref="S72:X72" si="145">IFERROR(S16/$B58,0)</f>
        <v>0.43584949245326604</v>
      </c>
      <c r="T72" s="60">
        <f t="shared" si="145"/>
        <v>493.12576686955106</v>
      </c>
      <c r="U72" s="60">
        <f t="shared" si="145"/>
        <v>622642.13207609439</v>
      </c>
      <c r="V72" s="60">
        <f t="shared" si="145"/>
        <v>0.43584949245326604</v>
      </c>
      <c r="W72" s="60">
        <f t="shared" si="145"/>
        <v>0</v>
      </c>
      <c r="X72" s="60">
        <f t="shared" si="145"/>
        <v>0</v>
      </c>
    </row>
    <row r="73" spans="1:24" x14ac:dyDescent="0.25">
      <c r="A73" s="83" t="s">
        <v>1094</v>
      </c>
      <c r="B73" s="42">
        <v>1</v>
      </c>
      <c r="C73" s="178"/>
      <c r="D73" s="60">
        <f>IFERROR(D7/$B59,0)</f>
        <v>173.51712266966504</v>
      </c>
      <c r="E73" s="60">
        <f>IFERROR(E7/$B59,0)</f>
        <v>2077853.0831544846</v>
      </c>
      <c r="F73" s="60">
        <f>IFERROR(F7/$B59,0)</f>
        <v>21736.546135514403</v>
      </c>
      <c r="G73" s="60">
        <f t="shared" si="125"/>
        <v>172.12869056596418</v>
      </c>
      <c r="H73" s="60">
        <f t="shared" ref="H73:N73" si="146">IFERROR(H7/$B59,0)</f>
        <v>21736.546135514403</v>
      </c>
      <c r="I73" s="60">
        <f t="shared" si="146"/>
        <v>94113.714921380903</v>
      </c>
      <c r="J73" s="60">
        <f t="shared" si="146"/>
        <v>30371.92681817228</v>
      </c>
      <c r="K73" s="60">
        <f t="shared" si="146"/>
        <v>20168.297237121678</v>
      </c>
      <c r="L73" s="60">
        <f t="shared" si="146"/>
        <v>24386.862042847402</v>
      </c>
      <c r="M73" s="60">
        <f t="shared" si="146"/>
        <v>1.5285699272973927</v>
      </c>
      <c r="N73" s="60">
        <f t="shared" si="146"/>
        <v>849308.75628831144</v>
      </c>
      <c r="O73" s="60">
        <f t="shared" si="127"/>
        <v>1.5285671762109354</v>
      </c>
      <c r="P73" s="60">
        <f>IFERROR(P7/$B59,0)</f>
        <v>512.0791797310867</v>
      </c>
      <c r="Q73" s="60">
        <f>IFERROR(Q7/$B59,0)</f>
        <v>574234129.2516495</v>
      </c>
      <c r="R73" s="60">
        <f t="shared" si="128"/>
        <v>512.0787230796285</v>
      </c>
      <c r="S73" s="60">
        <f t="shared" ref="S73:X73" si="147">IFERROR(S7/$B59,0)</f>
        <v>39.375039375039378</v>
      </c>
      <c r="T73" s="60">
        <f t="shared" si="147"/>
        <v>11250.01125001125</v>
      </c>
      <c r="U73" s="60">
        <f t="shared" si="147"/>
        <v>19687519.687519692</v>
      </c>
      <c r="V73" s="60">
        <f t="shared" si="147"/>
        <v>39.375039375039378</v>
      </c>
      <c r="W73" s="60">
        <f t="shared" si="147"/>
        <v>0</v>
      </c>
      <c r="X73" s="60">
        <f t="shared" si="147"/>
        <v>0</v>
      </c>
    </row>
    <row r="74" spans="1:24" x14ac:dyDescent="0.25">
      <c r="A74" s="83" t="s">
        <v>1095</v>
      </c>
      <c r="B74" s="86">
        <v>1.9000000000000001E-8</v>
      </c>
      <c r="C74" s="182"/>
      <c r="D74" s="60">
        <f>IFERROR(D12/$B60,0)</f>
        <v>0</v>
      </c>
      <c r="E74" s="60">
        <f>IFERROR(E12/$B60,0)</f>
        <v>0</v>
      </c>
      <c r="F74" s="60">
        <f>IFERROR(F12/$B60,0)</f>
        <v>6197530915.6190166</v>
      </c>
      <c r="G74" s="60">
        <f t="shared" si="125"/>
        <v>6197530915.6190166</v>
      </c>
      <c r="H74" s="60">
        <f t="shared" ref="H74:N74" si="148">IFERROR(H12/$B60,0)</f>
        <v>6197530915.6190166</v>
      </c>
      <c r="I74" s="60">
        <f t="shared" si="148"/>
        <v>43216476310.399704</v>
      </c>
      <c r="J74" s="60">
        <f t="shared" si="148"/>
        <v>10761749983.177959</v>
      </c>
      <c r="K74" s="60">
        <f t="shared" si="148"/>
        <v>6224727367.9764156</v>
      </c>
      <c r="L74" s="60">
        <f t="shared" si="148"/>
        <v>55898570953.6092</v>
      </c>
      <c r="M74" s="60">
        <f t="shared" si="148"/>
        <v>0</v>
      </c>
      <c r="N74" s="60">
        <f t="shared" si="148"/>
        <v>476454323961.12097</v>
      </c>
      <c r="O74" s="60">
        <f t="shared" si="127"/>
        <v>476454323961.12097</v>
      </c>
      <c r="P74" s="60">
        <f>IFERROR(P12/$B60,0)</f>
        <v>0</v>
      </c>
      <c r="Q74" s="60">
        <f>IFERROR(Q12/$B60,0)</f>
        <v>218911446144298.81</v>
      </c>
      <c r="R74" s="60">
        <f t="shared" si="128"/>
        <v>218911446144298.81</v>
      </c>
      <c r="S74" s="60">
        <f t="shared" ref="S74:X74" si="149">IFERROR(S12/$B60,0)</f>
        <v>0</v>
      </c>
      <c r="T74" s="60">
        <f t="shared" si="149"/>
        <v>0</v>
      </c>
      <c r="U74" s="60">
        <f t="shared" si="149"/>
        <v>0</v>
      </c>
      <c r="V74" s="60">
        <f t="shared" si="149"/>
        <v>0</v>
      </c>
      <c r="W74" s="60">
        <f t="shared" si="149"/>
        <v>0</v>
      </c>
      <c r="X74" s="60">
        <f t="shared" si="149"/>
        <v>0</v>
      </c>
    </row>
    <row r="75" spans="1:24" x14ac:dyDescent="0.25">
      <c r="A75" s="83" t="s">
        <v>1096</v>
      </c>
      <c r="B75" s="42">
        <v>1</v>
      </c>
      <c r="C75" s="178"/>
      <c r="D75" s="60">
        <f>IFERROR(D18/$B61,0)</f>
        <v>1.2724588995775437</v>
      </c>
      <c r="E75" s="60">
        <f>IFERROR(E18/$B61,0)</f>
        <v>65197.941129592262</v>
      </c>
      <c r="F75" s="60">
        <f>IFERROR(F18/$B61,0)</f>
        <v>1059752.5660152568</v>
      </c>
      <c r="G75" s="60">
        <f t="shared" si="125"/>
        <v>1.2724325378669956</v>
      </c>
      <c r="H75" s="60">
        <f t="shared" ref="H75:N75" si="150">IFERROR(H18/$B61,0)</f>
        <v>1059752.5660152568</v>
      </c>
      <c r="I75" s="60">
        <f t="shared" si="150"/>
        <v>11100058.674572077</v>
      </c>
      <c r="J75" s="60">
        <f t="shared" si="150"/>
        <v>2612213.6637535729</v>
      </c>
      <c r="K75" s="60">
        <f t="shared" si="150"/>
        <v>1299248.8854555865</v>
      </c>
      <c r="L75" s="60">
        <f t="shared" si="150"/>
        <v>17262942.851735063</v>
      </c>
      <c r="M75" s="60">
        <f t="shared" si="150"/>
        <v>4.7962780882035538E-2</v>
      </c>
      <c r="N75" s="60">
        <f t="shared" si="150"/>
        <v>107468398.49123049</v>
      </c>
      <c r="O75" s="60">
        <f t="shared" si="127"/>
        <v>4.7962780860629904E-2</v>
      </c>
      <c r="P75" s="60">
        <f>IFERROR(P18/$B61,0)</f>
        <v>2.5710642148998311</v>
      </c>
      <c r="Q75" s="60">
        <f>IFERROR(Q18/$B61,0)</f>
        <v>49515684246.924728</v>
      </c>
      <c r="R75" s="60">
        <f t="shared" si="128"/>
        <v>2.5710642147663303</v>
      </c>
      <c r="S75" s="60">
        <f t="shared" ref="S75:X75" si="151">IFERROR(S18/$B61,0)</f>
        <v>0.22758643448298618</v>
      </c>
      <c r="T75" s="60">
        <f t="shared" si="151"/>
        <v>60.676325224838649</v>
      </c>
      <c r="U75" s="60">
        <f t="shared" si="151"/>
        <v>75862.144827662065</v>
      </c>
      <c r="V75" s="60">
        <f t="shared" si="151"/>
        <v>0.22758643448298618</v>
      </c>
      <c r="W75" s="60">
        <f t="shared" si="151"/>
        <v>7.5845406531048307E-2</v>
      </c>
      <c r="X75" s="60">
        <f t="shared" si="151"/>
        <v>94.82768103457758</v>
      </c>
    </row>
    <row r="76" spans="1:24" x14ac:dyDescent="0.25">
      <c r="A76" s="83" t="s">
        <v>1097</v>
      </c>
      <c r="B76" s="42">
        <v>1.339E-6</v>
      </c>
      <c r="C76" s="178"/>
      <c r="D76" s="60">
        <f>IFERROR(D27/$B62,0)</f>
        <v>0</v>
      </c>
      <c r="E76" s="60">
        <f>IFERROR(E27/$B62,0)</f>
        <v>0</v>
      </c>
      <c r="F76" s="60">
        <f>IFERROR(F27/$B62,0)</f>
        <v>5998056995.87638</v>
      </c>
      <c r="G76" s="60">
        <f t="shared" si="125"/>
        <v>5998056995.87638</v>
      </c>
      <c r="H76" s="60">
        <f t="shared" ref="H76:N76" si="152">IFERROR(H27/$B62,0)</f>
        <v>5998056995.87638</v>
      </c>
      <c r="I76" s="60">
        <f t="shared" si="152"/>
        <v>27138254754.813122</v>
      </c>
      <c r="J76" s="60">
        <f t="shared" si="152"/>
        <v>10089644932.448488</v>
      </c>
      <c r="K76" s="60">
        <f t="shared" si="152"/>
        <v>6729860155.0540352</v>
      </c>
      <c r="L76" s="60">
        <f t="shared" si="152"/>
        <v>5788012715.0766735</v>
      </c>
      <c r="M76" s="60">
        <f t="shared" si="152"/>
        <v>0</v>
      </c>
      <c r="N76" s="60">
        <f t="shared" si="152"/>
        <v>356933529331.34039</v>
      </c>
      <c r="O76" s="60">
        <f t="shared" si="127"/>
        <v>356933529331.34039</v>
      </c>
      <c r="P76" s="60">
        <f>IFERROR(P27/$B62,0)</f>
        <v>0</v>
      </c>
      <c r="Q76" s="60">
        <f>IFERROR(Q27/$B62,0)</f>
        <v>228040865961689.69</v>
      </c>
      <c r="R76" s="60">
        <f t="shared" si="128"/>
        <v>228040865961689.69</v>
      </c>
      <c r="S76" s="60">
        <f t="shared" ref="S76:X76" si="153">IFERROR(S27/$B62,0)</f>
        <v>0</v>
      </c>
      <c r="T76" s="60">
        <f t="shared" si="153"/>
        <v>0</v>
      </c>
      <c r="U76" s="60">
        <f t="shared" si="153"/>
        <v>0</v>
      </c>
      <c r="V76" s="60">
        <f t="shared" si="153"/>
        <v>0</v>
      </c>
      <c r="W76" s="60">
        <f t="shared" si="153"/>
        <v>0</v>
      </c>
      <c r="X76" s="60">
        <f t="shared" si="153"/>
        <v>0</v>
      </c>
    </row>
  </sheetData>
  <sheetProtection algorithmName="SHA-512" hashValue="xYFP+wNh7VG03BE3JK9eqUy73cIYG+MOCz4mSHja0SN8SkOiSXJxFVMsZ5SeCo0RWAB2rZ9nFBvThSnOOUKVlw==" saltValue="OBw2KLTDT/WENsFvc5fXMQ==" spinCount="100000" sheet="1" formatColumns="0" formatRows="0" autoFilter="0"/>
  <autoFilter ref="A1:X76" xr:uid="{C24D8B07-A305-4F8F-8A5E-8C939A267B1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9" tint="-0.499984740745262"/>
  </sheetPr>
  <dimension ref="A1:I76"/>
  <sheetViews>
    <sheetView zoomScale="85" zoomScaleNormal="85" workbookViewId="0">
      <pane xSplit="2" ySplit="1" topLeftCell="C2" activePane="bottomRight" state="frozen"/>
      <selection activeCell="M25" sqref="M25"/>
      <selection pane="topRight" activeCell="M25" sqref="M25"/>
      <selection pane="bottomLeft" activeCell="M25" sqref="M25"/>
      <selection pane="bottomRight" activeCell="F28" sqref="F28"/>
    </sheetView>
  </sheetViews>
  <sheetFormatPr defaultRowHeight="15" x14ac:dyDescent="0.25"/>
  <cols>
    <col min="1" max="1" width="15.5703125" style="4" bestFit="1" customWidth="1"/>
    <col min="2" max="2" width="12.28515625" style="4" bestFit="1" customWidth="1"/>
    <col min="3" max="3" width="13.28515625" style="4" customWidth="1"/>
    <col min="4" max="4" width="18.42578125" bestFit="1" customWidth="1"/>
    <col min="5" max="5" width="18.5703125" bestFit="1" customWidth="1"/>
    <col min="6" max="6" width="16.140625" bestFit="1" customWidth="1"/>
    <col min="7" max="7" width="16.28515625" bestFit="1" customWidth="1"/>
  </cols>
  <sheetData>
    <row r="1" spans="1:9" x14ac:dyDescent="0.25">
      <c r="A1" s="78" t="s">
        <v>51</v>
      </c>
      <c r="B1" s="79" t="s">
        <v>348</v>
      </c>
      <c r="C1" s="78"/>
      <c r="D1" s="112" t="s">
        <v>1387</v>
      </c>
      <c r="E1" s="112" t="s">
        <v>1388</v>
      </c>
      <c r="F1" s="112" t="s">
        <v>1389</v>
      </c>
      <c r="G1" s="112" t="s">
        <v>1390</v>
      </c>
    </row>
    <row r="2" spans="1:9" x14ac:dyDescent="0.25">
      <c r="A2" s="44" t="s">
        <v>12</v>
      </c>
      <c r="B2" s="42" t="s">
        <v>1071</v>
      </c>
      <c r="C2" s="42"/>
      <c r="D2" s="121">
        <f>IF(RadSpec!AX2*DAF=0,".",RadSpec!AX2*DAF)</f>
        <v>15</v>
      </c>
      <c r="E2" s="121">
        <f>IFERROR(d_res!AC2*DAF,".")</f>
        <v>6.323319978406626E-2</v>
      </c>
      <c r="F2" s="121">
        <f>IFERROR((D2*0.001*(RadSpec!AU2+(θw/ρb))*1),".")</f>
        <v>25.503</v>
      </c>
      <c r="G2" s="121">
        <f>IFERROR((E2*0.001*(RadSpec!AU2+(θw/ρb))*1),".")</f>
        <v>0.10750908627286947</v>
      </c>
    </row>
    <row r="3" spans="1:9" x14ac:dyDescent="0.25">
      <c r="A3" s="46" t="s">
        <v>13</v>
      </c>
      <c r="B3" s="42" t="s">
        <v>349</v>
      </c>
      <c r="C3" s="42"/>
      <c r="D3" s="121">
        <f>IF(RadSpec!AX3*DAF=0,".",RadSpec!AX3*DAF)</f>
        <v>15</v>
      </c>
      <c r="E3" s="121">
        <f>IFERROR(d_res!AC3*DAF,".")</f>
        <v>0.12601080970551543</v>
      </c>
      <c r="F3" s="121">
        <f>IFERROR((D3*0.001*(RadSpec!AU3+(θw/ρb))*1),".")</f>
        <v>6.3E-2</v>
      </c>
      <c r="G3" s="121">
        <f>IFERROR((E3*0.001*(RadSpec!AU3+(θw/ρb))*1),".")</f>
        <v>5.2924540076316486E-4</v>
      </c>
    </row>
    <row r="4" spans="1:9" x14ac:dyDescent="0.25">
      <c r="A4" s="44" t="s">
        <v>14</v>
      </c>
      <c r="B4" s="42" t="s">
        <v>1071</v>
      </c>
      <c r="C4" s="42"/>
      <c r="D4" s="121">
        <f>IF(RadSpec!AX4*DAF=0,".",RadSpec!AX4*DAF)</f>
        <v>15</v>
      </c>
      <c r="E4" s="121">
        <f>IFERROR(d_res!AC4*DAF,".")</f>
        <v>671634196.57384932</v>
      </c>
      <c r="F4" s="121">
        <f>IFERROR((D4*0.001*(RadSpec!AU4+(θw/ρb))*1),".")</f>
        <v>0.153</v>
      </c>
      <c r="G4" s="121">
        <f>IFERROR((E4*0.001*(RadSpec!AU4+(θw/ρb))*1),".")</f>
        <v>6850668.805053262</v>
      </c>
    </row>
    <row r="5" spans="1:9" x14ac:dyDescent="0.25">
      <c r="A5" s="44" t="s">
        <v>15</v>
      </c>
      <c r="B5" s="42" t="s">
        <v>1071</v>
      </c>
      <c r="C5" s="249"/>
      <c r="D5" s="121">
        <f>IF(RadSpec!AX5*DAF=0,".",RadSpec!AX5*DAF)</f>
        <v>15</v>
      </c>
      <c r="E5" s="121">
        <f>IFERROR(d_res!AC5*DAF,".")</f>
        <v>27997507510.937225</v>
      </c>
      <c r="F5" s="121">
        <f>IFERROR((D5*0.001*(RadSpec!AU5+(θw/ρb))*1),".")</f>
        <v>0.153</v>
      </c>
      <c r="G5" s="121">
        <f>IFERROR((E5*0.001*(RadSpec!AU5+(θw/ρb))*1),".")</f>
        <v>285574576.61155969</v>
      </c>
    </row>
    <row r="6" spans="1:9" x14ac:dyDescent="0.25">
      <c r="A6" s="44" t="s">
        <v>16</v>
      </c>
      <c r="B6" s="42" t="s">
        <v>1071</v>
      </c>
      <c r="C6" s="42"/>
      <c r="D6" s="121" t="str">
        <f>IF(RadSpec!AX6*DAF=0,".",RadSpec!AX6*DAF)</f>
        <v>.</v>
      </c>
      <c r="E6" s="121">
        <f>IFERROR(d_res!AC6*DAF,".")</f>
        <v>262626.19225003081</v>
      </c>
      <c r="F6" s="121" t="str">
        <f>IFERROR((D6*0.001*(RadSpec!AU6+(θw/ρb))*1),".")</f>
        <v>.</v>
      </c>
      <c r="G6" s="121">
        <f>IFERROR((E6*0.001*(RadSpec!AU6+(θw/ρb))*1),".")</f>
        <v>157.5757153500185</v>
      </c>
    </row>
    <row r="7" spans="1:9" x14ac:dyDescent="0.25">
      <c r="A7" s="44" t="s">
        <v>17</v>
      </c>
      <c r="B7" s="42" t="s">
        <v>1071</v>
      </c>
      <c r="C7" s="249"/>
      <c r="D7" s="121">
        <f>IF(RadSpec!AX7*DAF=0,".",RadSpec!AX7*DAF)</f>
        <v>15</v>
      </c>
      <c r="E7" s="121">
        <f>IFERROR(d_res!AC7*DAF,".")</f>
        <v>0.7611365237392419</v>
      </c>
      <c r="F7" s="121">
        <f>IFERROR((D7*0.001*(RadSpec!AU7+(θw/ρb))*1),".")</f>
        <v>7.2029999999999994</v>
      </c>
      <c r="G7" s="121">
        <f>IFERROR((E7*0.001*(RadSpec!AU7+(θw/ρb))*1),".")</f>
        <v>0.36549775869958395</v>
      </c>
    </row>
    <row r="8" spans="1:9" x14ac:dyDescent="0.25">
      <c r="A8" s="44" t="s">
        <v>18</v>
      </c>
      <c r="B8" s="42" t="s">
        <v>1071</v>
      </c>
      <c r="C8" s="42"/>
      <c r="D8" s="121">
        <f>IF(RadSpec!AX8*DAF=0,".",RadSpec!AX8*DAF)</f>
        <v>15</v>
      </c>
      <c r="E8" s="121">
        <f>IFERROR(d_res!AC8*DAF,".")</f>
        <v>13.753989153267312</v>
      </c>
      <c r="F8" s="121">
        <f>IFERROR((D8*0.001*(RadSpec!AU8+(θw/ρb))*1),".")</f>
        <v>7.2029999999999994</v>
      </c>
      <c r="G8" s="121">
        <f>IFERROR((E8*0.001*(RadSpec!AU8+(θw/ρb))*1),".")</f>
        <v>6.6046655913989634</v>
      </c>
    </row>
    <row r="9" spans="1:9" x14ac:dyDescent="0.25">
      <c r="A9" s="44" t="s">
        <v>19</v>
      </c>
      <c r="B9" s="42" t="s">
        <v>1071</v>
      </c>
      <c r="C9" s="249"/>
      <c r="D9" s="121">
        <f>IF(RadSpec!AX9*DAF=0,".",RadSpec!AX9*DAF)</f>
        <v>15</v>
      </c>
      <c r="E9" s="121">
        <f>IFERROR(d_res!AC9*DAF,".")</f>
        <v>0.24522673159131367</v>
      </c>
      <c r="F9" s="121">
        <f>IFERROR((D9*0.001*(RadSpec!AU9+(θw/ρb))*1),".")</f>
        <v>7.2029999999999994</v>
      </c>
      <c r="G9" s="121">
        <f>IFERROR((E9*0.001*(RadSpec!AU9+(θw/ρb))*1),".")</f>
        <v>0.11775787651014881</v>
      </c>
    </row>
    <row r="10" spans="1:9" x14ac:dyDescent="0.25">
      <c r="A10" s="46" t="s">
        <v>20</v>
      </c>
      <c r="B10" s="42" t="s">
        <v>349</v>
      </c>
      <c r="C10" s="42"/>
      <c r="D10" s="121">
        <f>IF(RadSpec!AX10*DAF=0,".",RadSpec!AX10*DAF)</f>
        <v>200</v>
      </c>
      <c r="E10" s="121">
        <f>IFERROR(d_res!AC10*DAF,".")</f>
        <v>0.379454435005117</v>
      </c>
      <c r="F10" s="121">
        <f>IFERROR((D10*0.001*(RadSpec!AU10+(θw/ρb))*1),".")</f>
        <v>2.04</v>
      </c>
      <c r="G10" s="121">
        <f>IFERROR((E10*0.001*(RadSpec!AU10+(θw/ρb))*1),".")</f>
        <v>3.8704352370521932E-3</v>
      </c>
    </row>
    <row r="11" spans="1:9" x14ac:dyDescent="0.25">
      <c r="A11" s="44" t="s">
        <v>21</v>
      </c>
      <c r="B11" s="42" t="s">
        <v>1071</v>
      </c>
      <c r="C11" s="42"/>
      <c r="D11" s="121">
        <f>IF(RadSpec!AX11*DAF=0,".",RadSpec!AX11*DAF)</f>
        <v>15</v>
      </c>
      <c r="E11" s="121">
        <f>IFERROR(d_res!AC11*DAF,".")</f>
        <v>5664011.8881573454</v>
      </c>
      <c r="F11" s="121">
        <f>IFERROR((D11*0.001*(RadSpec!AU11+(θw/ρb))*1),".")</f>
        <v>3.7529999999999997</v>
      </c>
      <c r="G11" s="121">
        <f>IFERROR((E11*0.001*(RadSpec!AU11+(θw/ρb))*1),".")</f>
        <v>1417135.7744169678</v>
      </c>
      <c r="I11" s="239"/>
    </row>
    <row r="12" spans="1:9" x14ac:dyDescent="0.25">
      <c r="A12" s="44" t="s">
        <v>22</v>
      </c>
      <c r="B12" s="42" t="s">
        <v>1071</v>
      </c>
      <c r="C12" s="249"/>
      <c r="D12" s="121" t="str">
        <f>IF(RadSpec!AX12*DAF=0,".",RadSpec!AX12*DAF)</f>
        <v>.</v>
      </c>
      <c r="E12" s="121">
        <f>IFERROR(d_res!AC12*DAF,".")</f>
        <v>1328746.572681237</v>
      </c>
      <c r="F12" s="121" t="str">
        <f>IFERROR((D12*0.001*(RadSpec!AU12+(θw/ρb))*1),".")</f>
        <v>.</v>
      </c>
      <c r="G12" s="121">
        <f>IFERROR((E12*0.001*(RadSpec!AU12+(θw/ρb))*1),".")</f>
        <v>8371369.1572063295</v>
      </c>
    </row>
    <row r="13" spans="1:9" x14ac:dyDescent="0.25">
      <c r="A13" s="44" t="s">
        <v>23</v>
      </c>
      <c r="B13" s="42" t="s">
        <v>1071</v>
      </c>
      <c r="C13" s="42"/>
      <c r="D13" s="121">
        <f>IF(RadSpec!AX13*DAF=0,".",RadSpec!AX13*DAF)</f>
        <v>15</v>
      </c>
      <c r="E13" s="121">
        <f>IFERROR(d_res!AC13*DAF,".")</f>
        <v>0.19165350450777627</v>
      </c>
      <c r="F13" s="121">
        <f>IFERROR((D13*0.001*(RadSpec!AU13+(θw/ρb))*1),".")</f>
        <v>6.0000000000000001E-3</v>
      </c>
      <c r="G13" s="121">
        <f>IFERROR((E13*0.001*(RadSpec!AU13+(θw/ρb))*1),".")</f>
        <v>7.6661401803110522E-5</v>
      </c>
    </row>
    <row r="14" spans="1:9" x14ac:dyDescent="0.25">
      <c r="A14" s="44" t="s">
        <v>24</v>
      </c>
      <c r="B14" s="42" t="s">
        <v>1071</v>
      </c>
      <c r="C14" s="42"/>
      <c r="D14" s="121">
        <f>IF(RadSpec!AX14*DAF=0,".",RadSpec!AX14*DAF)</f>
        <v>300</v>
      </c>
      <c r="E14" s="121">
        <f>IFERROR(d_res!AC14*DAF,".")</f>
        <v>1.8032819699741687</v>
      </c>
      <c r="F14" s="121">
        <f>IFERROR((D14*0.001*(RadSpec!AU14+(θw/ρb))*1),".")</f>
        <v>600.05999999999995</v>
      </c>
      <c r="G14" s="121">
        <f>IFERROR((E14*0.001*(RadSpec!AU14+(θw/ρb))*1),".")</f>
        <v>3.6069245963423326</v>
      </c>
    </row>
    <row r="15" spans="1:9" x14ac:dyDescent="0.25">
      <c r="A15" s="44" t="s">
        <v>25</v>
      </c>
      <c r="B15" s="42" t="s">
        <v>1071</v>
      </c>
      <c r="C15" s="42"/>
      <c r="D15" s="121" t="str">
        <f>IF(RadSpec!AX15*DAF=0,".",RadSpec!AX15*DAF)</f>
        <v>.</v>
      </c>
      <c r="E15" s="121">
        <f>IFERROR(d_res!AC15*DAF,".")</f>
        <v>44.224436944811984</v>
      </c>
      <c r="F15" s="121" t="str">
        <f>IFERROR((D15*0.001*(RadSpec!AU15+(θw/ρb))*1),".")</f>
        <v>.</v>
      </c>
      <c r="G15" s="121">
        <f>IFERROR((E15*0.001*(RadSpec!AU15+(θw/ρb))*1),".")</f>
        <v>6.64251042911076</v>
      </c>
    </row>
    <row r="16" spans="1:9" x14ac:dyDescent="0.25">
      <c r="A16" s="44" t="s">
        <v>26</v>
      </c>
      <c r="B16" s="42" t="s">
        <v>1071</v>
      </c>
      <c r="C16" s="249"/>
      <c r="D16" s="121" t="str">
        <f>IF(RadSpec!AX16*DAF=0,".",RadSpec!AX16*DAF)</f>
        <v>.</v>
      </c>
      <c r="E16" s="121">
        <f>IFERROR(d_res!AC16*DAF,".")</f>
        <v>1.2870781406132901E-2</v>
      </c>
      <c r="F16" s="121" t="str">
        <f>IFERROR((D16*0.001*(RadSpec!AU16+(θw/ρb))*1),".")</f>
        <v>.</v>
      </c>
      <c r="G16" s="121">
        <f>IFERROR((E16*0.001*(RadSpec!AU16+(θw/ρb))*1),".")</f>
        <v>1.9331913672011617E-3</v>
      </c>
    </row>
    <row r="17" spans="1:7" x14ac:dyDescent="0.25">
      <c r="A17" s="44" t="s">
        <v>27</v>
      </c>
      <c r="B17" s="42" t="s">
        <v>1071</v>
      </c>
      <c r="C17" s="249"/>
      <c r="D17" s="121" t="str">
        <f>IF(RadSpec!AX17*DAF=0,".",RadSpec!AX17*DAF)</f>
        <v>.</v>
      </c>
      <c r="E17" s="121">
        <f>IFERROR(d_res!AC17*DAF,".")</f>
        <v>0.17978606465947655</v>
      </c>
      <c r="F17" s="121" t="str">
        <f>IFERROR((D17*0.001*(RadSpec!AU17+(θw/ρb))*1),".")</f>
        <v>.</v>
      </c>
      <c r="G17" s="121">
        <f>IFERROR((E17*0.001*(RadSpec!AU17+(θw/ρb))*1),".")</f>
        <v>2.7003866911853379E-2</v>
      </c>
    </row>
    <row r="18" spans="1:7" x14ac:dyDescent="0.25">
      <c r="A18" s="44" t="s">
        <v>28</v>
      </c>
      <c r="B18" s="42" t="s">
        <v>1071</v>
      </c>
      <c r="C18" s="249"/>
      <c r="D18" s="121">
        <f>IF(RadSpec!AX18*DAF=0,".",RadSpec!AX18*DAF)</f>
        <v>15</v>
      </c>
      <c r="E18" s="121">
        <f>IFERROR(d_res!AC18*DAF,".")</f>
        <v>7.3754591229882949E-3</v>
      </c>
      <c r="F18" s="121">
        <f>IFERROR((D18*0.001*(RadSpec!AU18+(θw/ρb))*1),".")</f>
        <v>3.1529999999999996</v>
      </c>
      <c r="G18" s="121">
        <f>IFERROR((E18*0.001*(RadSpec!AU18+(θw/ρb))*1),".")</f>
        <v>1.5503215076521394E-3</v>
      </c>
    </row>
    <row r="19" spans="1:7" x14ac:dyDescent="0.25">
      <c r="A19" s="44" t="s">
        <v>29</v>
      </c>
      <c r="B19" s="42" t="s">
        <v>1071</v>
      </c>
      <c r="C19" s="42"/>
      <c r="D19" s="121">
        <f>IF(RadSpec!AX19*DAF=0,".",RadSpec!AX19*DAF)</f>
        <v>15</v>
      </c>
      <c r="E19" s="121">
        <f>IFERROR(d_res!AC19*DAF,".")</f>
        <v>4110670835.2178731</v>
      </c>
      <c r="F19" s="121">
        <f>IFERROR((D19*0.001*(RadSpec!AU19+(θw/ρb))*1),".")</f>
        <v>3.1529999999999996</v>
      </c>
      <c r="G19" s="121">
        <f>IFERROR((E19*0.001*(RadSpec!AU19+(θw/ρb))*1),".")</f>
        <v>864063009.56279683</v>
      </c>
    </row>
    <row r="20" spans="1:7" x14ac:dyDescent="0.25">
      <c r="A20" s="44" t="s">
        <v>30</v>
      </c>
      <c r="B20" s="42" t="s">
        <v>1071</v>
      </c>
      <c r="C20" s="249"/>
      <c r="D20" s="121">
        <f>IF(RadSpec!AX20*DAF=0,".",RadSpec!AX20*DAF)</f>
        <v>15</v>
      </c>
      <c r="E20" s="121">
        <f>IFERROR(d_res!AC20*DAF,".")</f>
        <v>1853831945.2943351</v>
      </c>
      <c r="F20" s="121">
        <f>IFERROR((D20*0.001*(RadSpec!AU20+(θw/ρb))*1),".")</f>
        <v>3.1529999999999996</v>
      </c>
      <c r="G20" s="121">
        <f>IFERROR((E20*0.001*(RadSpec!AU20+(θw/ρb))*1),".")</f>
        <v>389675474.90086925</v>
      </c>
    </row>
    <row r="21" spans="1:7" x14ac:dyDescent="0.25">
      <c r="A21" s="44" t="s">
        <v>31</v>
      </c>
      <c r="B21" s="42" t="s">
        <v>1071</v>
      </c>
      <c r="C21" s="249"/>
      <c r="D21" s="121">
        <f>IF(RadSpec!AX21*DAF=0,".",RadSpec!AX21*DAF)</f>
        <v>15</v>
      </c>
      <c r="E21" s="121">
        <f>IFERROR(d_res!AC21*DAF,".")</f>
        <v>0.90568574492457465</v>
      </c>
      <c r="F21" s="121">
        <f>IFERROR((D21*0.001*(RadSpec!AU21+(θw/ρb))*1),".")</f>
        <v>3.1529999999999996</v>
      </c>
      <c r="G21" s="121">
        <f>IFERROR((E21*0.001*(RadSpec!AU21+(θw/ρb))*1),".")</f>
        <v>0.19037514358314558</v>
      </c>
    </row>
    <row r="22" spans="1:7" x14ac:dyDescent="0.25">
      <c r="A22" s="44" t="s">
        <v>32</v>
      </c>
      <c r="B22" s="42" t="s">
        <v>1071</v>
      </c>
      <c r="C22" s="42"/>
      <c r="D22" s="121" t="str">
        <f>IF(RadSpec!AX22*DAF=0,".",RadSpec!AX22*DAF)</f>
        <v>.</v>
      </c>
      <c r="E22" s="121">
        <f>IFERROR(d_res!AC22*DAF,".")</f>
        <v>9.5078720845769266E-2</v>
      </c>
      <c r="F22" s="121" t="str">
        <f>IFERROR((D22*0.001*(RadSpec!AU22+(θw/ρb))*1),".")</f>
        <v>.</v>
      </c>
      <c r="G22" s="121">
        <f>IFERROR((E22*0.001*(RadSpec!AU22+(θw/ρb))*1),".")</f>
        <v>1.1409446501492312E-4</v>
      </c>
    </row>
    <row r="23" spans="1:7" x14ac:dyDescent="0.25">
      <c r="A23" s="46" t="s">
        <v>33</v>
      </c>
      <c r="B23" s="42" t="s">
        <v>349</v>
      </c>
      <c r="C23" s="249"/>
      <c r="D23" s="121">
        <f>IF(RadSpec!AX23*DAF=0,".",RadSpec!AX23*DAF)</f>
        <v>5</v>
      </c>
      <c r="E23" s="121">
        <f>IFERROR(d_res!AC23*DAF,".")</f>
        <v>2.8358105218669119E-2</v>
      </c>
      <c r="F23" s="121">
        <f>IFERROR((D23*0.001*(RadSpec!AU23+(θw/ρb))*1),".")</f>
        <v>6.0000000000000001E-3</v>
      </c>
      <c r="G23" s="121">
        <f>IFERROR((E23*0.001*(RadSpec!AU23+(θw/ρb))*1),".")</f>
        <v>3.4029726262402941E-5</v>
      </c>
    </row>
    <row r="24" spans="1:7" x14ac:dyDescent="0.25">
      <c r="A24" s="44" t="s">
        <v>34</v>
      </c>
      <c r="B24" s="42" t="s">
        <v>1071</v>
      </c>
      <c r="C24" s="249"/>
      <c r="D24" s="121" t="str">
        <f>IF(RadSpec!AX24*DAF=0,".",RadSpec!AX24*DAF)</f>
        <v>.</v>
      </c>
      <c r="E24" s="121">
        <f>IFERROR(d_res!AC24*DAF,".")</f>
        <v>207266539.58349818</v>
      </c>
      <c r="F24" s="121" t="str">
        <f>IFERROR((D24*0.001*(RadSpec!AU24+(θw/ρb))*1),".")</f>
        <v>.</v>
      </c>
      <c r="G24" s="121">
        <f>IFERROR((E24*0.001*(RadSpec!AU24+(θw/ρb))*1),".")</f>
        <v>41453.307916699632</v>
      </c>
    </row>
    <row r="25" spans="1:7" x14ac:dyDescent="0.25">
      <c r="A25" s="46" t="s">
        <v>35</v>
      </c>
      <c r="B25" s="42" t="s">
        <v>349</v>
      </c>
      <c r="C25" s="249"/>
      <c r="D25" s="121" t="str">
        <f>IF(RadSpec!AX25*DAF=0,".",RadSpec!AX25*DAF)</f>
        <v>.</v>
      </c>
      <c r="E25" s="121">
        <f>IFERROR(d_res!AC25*DAF,".")</f>
        <v>5.4484035450422228</v>
      </c>
      <c r="F25" s="121" t="str">
        <f>IFERROR((D25*0.001*(RadSpec!AU25+(θw/ρb))*1),".")</f>
        <v>.</v>
      </c>
      <c r="G25" s="121">
        <f>IFERROR((E25*0.001*(RadSpec!AU25+(θw/ρb))*1),".")</f>
        <v>1.0896807090084446E-3</v>
      </c>
    </row>
    <row r="26" spans="1:7" x14ac:dyDescent="0.25">
      <c r="A26" s="44" t="s">
        <v>36</v>
      </c>
      <c r="B26" s="42" t="s">
        <v>1071</v>
      </c>
      <c r="C26" s="42"/>
      <c r="D26" s="121">
        <f>IF(RadSpec!AX26*DAF=0,".",RadSpec!AX26*DAF)</f>
        <v>15</v>
      </c>
      <c r="E26" s="121">
        <f>IFERROR(d_res!AC26*DAF,".")</f>
        <v>5.7895169073491577E-2</v>
      </c>
      <c r="F26" s="121">
        <f>IFERROR((D26*0.001*(RadSpec!AU26+(θw/ρb))*1),".")</f>
        <v>0.30299999999999999</v>
      </c>
      <c r="G26" s="121">
        <f>IFERROR((E26*0.001*(RadSpec!AU26+(θw/ρb))*1),".")</f>
        <v>1.1694824152845298E-3</v>
      </c>
    </row>
    <row r="27" spans="1:7" x14ac:dyDescent="0.25">
      <c r="A27" s="44" t="s">
        <v>37</v>
      </c>
      <c r="B27" s="42" t="s">
        <v>1071</v>
      </c>
      <c r="C27" s="249"/>
      <c r="D27" s="121" t="str">
        <f>IF(RadSpec!AX27*DAF=0,".",RadSpec!AX27*DAF)</f>
        <v>.</v>
      </c>
      <c r="E27" s="121">
        <f>IFERROR(d_res!AC27*DAF,".")</f>
        <v>97546871.407154307</v>
      </c>
      <c r="F27" s="121" t="str">
        <f>IFERROR((D27*0.001*(RadSpec!AU27+(θw/ρb))*1),".")</f>
        <v>.</v>
      </c>
      <c r="G27" s="121">
        <f>IFERROR((E27*0.001*(RadSpec!AU27+(θw/ρb))*1),".")</f>
        <v>146339816.48501289</v>
      </c>
    </row>
    <row r="28" spans="1:7" x14ac:dyDescent="0.25">
      <c r="A28" s="44" t="s">
        <v>38</v>
      </c>
      <c r="B28" s="42" t="s">
        <v>1071</v>
      </c>
      <c r="C28" s="42"/>
      <c r="D28" s="121" t="str">
        <f>IF(RadSpec!AX28*DAF=0,".",RadSpec!AX28*DAF)</f>
        <v>.</v>
      </c>
      <c r="E28" s="121">
        <f>IFERROR(d_res!AC28*DAF,".")</f>
        <v>69050.032569109215</v>
      </c>
      <c r="F28" s="121" t="str">
        <f>IFERROR((D28*0.001*(RadSpec!AU28+(θw/ρb))*1),".")</f>
        <v>.</v>
      </c>
      <c r="G28" s="121">
        <f>IFERROR((E28*0.001*(RadSpec!AU28+(θw/ρb))*1),".")</f>
        <v>103588.85886017766</v>
      </c>
    </row>
    <row r="29" spans="1:7" x14ac:dyDescent="0.25">
      <c r="A29" s="44" t="s">
        <v>39</v>
      </c>
      <c r="B29" s="42" t="s">
        <v>1071</v>
      </c>
      <c r="C29" s="249"/>
      <c r="D29" s="121" t="str">
        <f>IF(RadSpec!AX29*DAF=0,".",RadSpec!AX29*DAF)</f>
        <v>.</v>
      </c>
      <c r="E29" s="121">
        <f>IFERROR(d_res!AC29*DAF,".")</f>
        <v>53438.720857832363</v>
      </c>
      <c r="F29" s="121" t="str">
        <f>IFERROR((D29*0.001*(RadSpec!AU29+(θw/ρb))*1),".")</f>
        <v>.</v>
      </c>
      <c r="G29" s="121">
        <f>IFERROR((E29*0.001*(RadSpec!AU29+(θw/ρb))*1),".")</f>
        <v>80168.769030920113</v>
      </c>
    </row>
    <row r="30" spans="1:7" x14ac:dyDescent="0.25">
      <c r="A30" s="44" t="s">
        <v>40</v>
      </c>
      <c r="B30" s="42" t="s">
        <v>1071</v>
      </c>
      <c r="C30" s="42"/>
      <c r="D30" s="121">
        <f>IF(RadSpec!AX30*DAF=0,".",RadSpec!AX30*DAF)</f>
        <v>289207.91735594597</v>
      </c>
      <c r="E30" s="121">
        <f>IFERROR(d_res!AC30*DAF,".")</f>
        <v>0.167470774547958</v>
      </c>
      <c r="F30" s="121">
        <f>IFERROR((D30*0.001*(RadSpec!AU30+(θw/ρb))*1),".")</f>
        <v>173.5247504135676</v>
      </c>
      <c r="G30" s="121">
        <f>IFERROR((E30*0.001*(RadSpec!AU30+(θw/ρb))*1),".")</f>
        <v>1.004824647287748E-4</v>
      </c>
    </row>
    <row r="31" spans="1:7" x14ac:dyDescent="0.25">
      <c r="A31" s="82" t="s">
        <v>13</v>
      </c>
      <c r="B31" s="57" t="s">
        <v>1255</v>
      </c>
      <c r="C31" s="57"/>
      <c r="D31" s="58">
        <f>1/SUM(1/D32,1/D33,1/D34,1/D35,1/D36,1/D38,1/D39,1/D40,1/D41,1/D42)</f>
        <v>1.8682475988220888</v>
      </c>
      <c r="E31" s="58">
        <f>1/SUM(1/E32,1/E33,1/E34,1/E35,1/E36,1/E37,1/E38,1/E39,1/E40,1/E41,1/E42,1/E43,1/E44)</f>
        <v>1.5778023282873473E-2</v>
      </c>
      <c r="F31" s="122">
        <f>1/SUM(1/F32,1/F33,1/F34,1/F35,1/F36,1/F38,1/F39,1/F40,1/F41,1/F42)</f>
        <v>5.1776353222086824E-3</v>
      </c>
      <c r="G31" s="122">
        <f>1/SUM(1/G32,1/G33,1/G34,1/G35,1/G36,1/G37,1/G38,1/G39,1/G40,1/G41,1/G42,1/G43,1/G44)</f>
        <v>2.897251683752392E-5</v>
      </c>
    </row>
    <row r="32" spans="1:7" x14ac:dyDescent="0.25">
      <c r="A32" s="83" t="s">
        <v>1099</v>
      </c>
      <c r="B32" s="42">
        <v>1</v>
      </c>
      <c r="C32" s="42"/>
      <c r="D32" s="60">
        <f>IFERROR(D3/$B32,0)</f>
        <v>15</v>
      </c>
      <c r="E32" s="60">
        <f>IFERROR(E3/$B32,0)</f>
        <v>0.12601080970551543</v>
      </c>
      <c r="F32" s="173">
        <f>IFERROR((D32*0.001*(RadSpec!$AU3+(θw/ρb))*1),".")</f>
        <v>6.3E-2</v>
      </c>
      <c r="G32" s="173">
        <f>IFERROR((E32*0.001*(RadSpec!$AU3+(θw/ρb))*1),".")</f>
        <v>5.2924540076316486E-4</v>
      </c>
    </row>
    <row r="33" spans="1:7" x14ac:dyDescent="0.25">
      <c r="A33" s="83" t="s">
        <v>1075</v>
      </c>
      <c r="B33" s="42">
        <v>1</v>
      </c>
      <c r="C33" s="42"/>
      <c r="D33" s="60">
        <f>IFERROR(D13/$B33,0)</f>
        <v>15</v>
      </c>
      <c r="E33" s="60">
        <f>IFERROR(E13/$B33,0)</f>
        <v>0.19165350450777627</v>
      </c>
      <c r="F33" s="173">
        <f>IFERROR((D33*0.001*(RadSpec!$AU13+(θw/ρb))*1),".")</f>
        <v>6.0000000000000001E-3</v>
      </c>
      <c r="G33" s="173">
        <f>IFERROR((E33*0.001*(RadSpec!$AU13+(θw/ρb))*1),".")</f>
        <v>7.6661401803110522E-5</v>
      </c>
    </row>
    <row r="34" spans="1:7" x14ac:dyDescent="0.25">
      <c r="A34" s="83" t="s">
        <v>1076</v>
      </c>
      <c r="B34" s="42">
        <v>1</v>
      </c>
      <c r="C34" s="42"/>
      <c r="D34" s="60">
        <f>IFERROR(D14/$B34,0)</f>
        <v>300</v>
      </c>
      <c r="E34" s="60">
        <f>IFERROR(E14/$B34,0)</f>
        <v>1.8032819699741687</v>
      </c>
      <c r="F34" s="173">
        <f>IFERROR((D34*0.001*(RadSpec!$AU14+(θw/ρb))*1),".")</f>
        <v>600.05999999999995</v>
      </c>
      <c r="G34" s="173">
        <f>IFERROR((E34*0.001*(RadSpec!$AU14+(θw/ρb))*1),".")</f>
        <v>3.6069245963423326</v>
      </c>
    </row>
    <row r="35" spans="1:7" x14ac:dyDescent="0.25">
      <c r="A35" s="83" t="s">
        <v>1077</v>
      </c>
      <c r="B35" s="42">
        <v>1</v>
      </c>
      <c r="C35" s="42"/>
      <c r="D35" s="60">
        <f>IFERROR(D30/$B35,0)</f>
        <v>289207.91735594597</v>
      </c>
      <c r="E35" s="60">
        <f>IFERROR(E30/$B35,0)</f>
        <v>0.167470774547958</v>
      </c>
      <c r="F35" s="173">
        <f>IFERROR((D35*0.001*(RadSpec!$AU30+(θw/ρb))*1),".")</f>
        <v>173.5247504135676</v>
      </c>
      <c r="G35" s="173">
        <f>IFERROR((E35*0.001*(RadSpec!$AU30+(θw/ρb))*1),".")</f>
        <v>1.004824647287748E-4</v>
      </c>
    </row>
    <row r="36" spans="1:7" x14ac:dyDescent="0.25">
      <c r="A36" s="83" t="s">
        <v>1078</v>
      </c>
      <c r="B36" s="42">
        <v>1</v>
      </c>
      <c r="C36" s="42"/>
      <c r="D36" s="60">
        <f>IFERROR(D26/$B36,0)</f>
        <v>15</v>
      </c>
      <c r="E36" s="60">
        <f>IFERROR(E26/$B36,0)</f>
        <v>5.7895169073491577E-2</v>
      </c>
      <c r="F36" s="173">
        <f>IFERROR((D36*0.001*(RadSpec!$AU26+(θw/ρb))*1),".")</f>
        <v>0.30299999999999999</v>
      </c>
      <c r="G36" s="173">
        <f>IFERROR((E36*0.001*(RadSpec!$AU26+(θw/ρb))*1),".")</f>
        <v>1.1694824152845298E-3</v>
      </c>
    </row>
    <row r="37" spans="1:7" x14ac:dyDescent="0.25">
      <c r="A37" s="83" t="s">
        <v>1079</v>
      </c>
      <c r="B37" s="42">
        <v>1</v>
      </c>
      <c r="C37" s="42"/>
      <c r="D37" s="60">
        <f>IFERROR(D22/$B37,0)</f>
        <v>0</v>
      </c>
      <c r="E37" s="60">
        <f>IFERROR(E22/$B37,0)</f>
        <v>9.5078720845769266E-2</v>
      </c>
      <c r="F37" s="173">
        <f>IFERROR((D37*0.001*(RadSpec!$AU22+(θw/ρb))*1),".")</f>
        <v>0</v>
      </c>
      <c r="G37" s="173">
        <f>IFERROR((E37*0.001*(RadSpec!$AU22+(θw/ρb))*1),".")</f>
        <v>1.1409446501492312E-4</v>
      </c>
    </row>
    <row r="38" spans="1:7" x14ac:dyDescent="0.25">
      <c r="A38" s="83" t="s">
        <v>1080</v>
      </c>
      <c r="B38" s="42">
        <v>1</v>
      </c>
      <c r="C38" s="42"/>
      <c r="D38" s="60">
        <f>IFERROR(D2/$B38,0)</f>
        <v>15</v>
      </c>
      <c r="E38" s="60">
        <f>IFERROR(E2/$B38,0)</f>
        <v>6.323319978406626E-2</v>
      </c>
      <c r="F38" s="173">
        <f>IFERROR((D38*0.001*(RadSpec!$AU2+(θw/ρb))*1),".")</f>
        <v>25.503</v>
      </c>
      <c r="G38" s="173">
        <f>IFERROR((E38*0.001*(RadSpec!$AU2+(θw/ρb))*1),".")</f>
        <v>0.10750908627286947</v>
      </c>
    </row>
    <row r="39" spans="1:7" x14ac:dyDescent="0.25">
      <c r="A39" s="83" t="s">
        <v>1081</v>
      </c>
      <c r="B39" s="42">
        <v>1</v>
      </c>
      <c r="C39" s="42"/>
      <c r="D39" s="60">
        <f>IFERROR(D11/$B39,0)</f>
        <v>15</v>
      </c>
      <c r="E39" s="60">
        <f>IFERROR(E11/$B39,0)</f>
        <v>5664011.8881573454</v>
      </c>
      <c r="F39" s="173">
        <f>IFERROR((D39*0.001*(RadSpec!$AU11+(θw/ρb))*1),".")</f>
        <v>3.7529999999999997</v>
      </c>
      <c r="G39" s="173">
        <f>IFERROR((E39*0.001*(RadSpec!$AU11+(θw/ρb))*1),".")</f>
        <v>1417135.7744169678</v>
      </c>
    </row>
    <row r="40" spans="1:7" x14ac:dyDescent="0.25">
      <c r="A40" s="83" t="s">
        <v>1082</v>
      </c>
      <c r="B40" s="42">
        <v>1</v>
      </c>
      <c r="C40" s="42"/>
      <c r="D40" s="60">
        <f>IFERROR(D4/$B40,0)</f>
        <v>15</v>
      </c>
      <c r="E40" s="60">
        <f>IFERROR(E4/$B40,0)</f>
        <v>671634196.57384932</v>
      </c>
      <c r="F40" s="173">
        <f>IFERROR((D40*0.001*(RadSpec!$AU4+(θw/ρb))*1),".")</f>
        <v>0.153</v>
      </c>
      <c r="G40" s="173">
        <f>IFERROR((E40*0.001*(RadSpec!$AU4+(θw/ρb))*1),".")</f>
        <v>6850668.805053262</v>
      </c>
    </row>
    <row r="41" spans="1:7" x14ac:dyDescent="0.25">
      <c r="A41" s="83" t="s">
        <v>1083</v>
      </c>
      <c r="B41" s="84">
        <v>0.99987999999999999</v>
      </c>
      <c r="C41" s="84"/>
      <c r="D41" s="60">
        <f>IFERROR(D8/$B41,0)</f>
        <v>15.001800216025924</v>
      </c>
      <c r="E41" s="60">
        <f>IFERROR(E8/$B41,0)</f>
        <v>13.755639830046919</v>
      </c>
      <c r="F41" s="173">
        <f>IFERROR((D41*0.001*(RadSpec!$AU8+(θw/ρb))*1),".")</f>
        <v>7.2038644637356484</v>
      </c>
      <c r="G41" s="173">
        <f>IFERROR((E41*0.001*(RadSpec!$AU8+(θw/ρb))*1),".")</f>
        <v>6.6054582463885296</v>
      </c>
    </row>
    <row r="42" spans="1:7" x14ac:dyDescent="0.25">
      <c r="A42" s="83" t="s">
        <v>1084</v>
      </c>
      <c r="B42" s="42">
        <v>0.97898250799999997</v>
      </c>
      <c r="C42" s="42"/>
      <c r="D42" s="60">
        <f>IFERROR(D19/$B42,0)</f>
        <v>15.322030656752041</v>
      </c>
      <c r="E42" s="60">
        <f>IFERROR(E19/$B42,0)</f>
        <v>4198921637.1349845</v>
      </c>
      <c r="F42" s="173">
        <f>IFERROR((D42*0.001*(RadSpec!$AU19+(θw/ρb))*1),".")</f>
        <v>3.2206908440492792</v>
      </c>
      <c r="G42" s="173">
        <f>IFERROR((E42*0.001*(RadSpec!$AU19+(θw/ρb))*1),".")</f>
        <v>882613328.12577367</v>
      </c>
    </row>
    <row r="43" spans="1:7" x14ac:dyDescent="0.25">
      <c r="A43" s="83" t="s">
        <v>1085</v>
      </c>
      <c r="B43" s="42">
        <v>2.0897492E-2</v>
      </c>
      <c r="C43" s="42"/>
      <c r="D43" s="60">
        <f>IFERROR(D28/$B43,0)</f>
        <v>0</v>
      </c>
      <c r="E43" s="60">
        <f>IFERROR(E28/$B43,0)</f>
        <v>3304225.8166247518</v>
      </c>
      <c r="F43" s="173">
        <f>IFERROR((D43*0.001*(RadSpec!$AU28+(θw/ρb))*1),".")</f>
        <v>0</v>
      </c>
      <c r="G43" s="173">
        <f>IFERROR((E43*0.001*(RadSpec!$AU28+(θw/ρb))*1),".")</f>
        <v>4956999.5701004528</v>
      </c>
    </row>
    <row r="44" spans="1:7" x14ac:dyDescent="0.25">
      <c r="A44" s="83" t="s">
        <v>1086</v>
      </c>
      <c r="B44" s="42">
        <v>0.99987999999999999</v>
      </c>
      <c r="C44" s="42"/>
      <c r="D44" s="60">
        <f>IFERROR(D15/$B44,0)</f>
        <v>0</v>
      </c>
      <c r="E44" s="60">
        <f>IFERROR(E15/$B44,0)</f>
        <v>44.22974451415368</v>
      </c>
      <c r="F44" s="173">
        <f>IFERROR((D44*0.001*(RadSpec!$AU15+(θw/ρb))*1),".")</f>
        <v>0</v>
      </c>
      <c r="G44" s="173">
        <f>IFERROR((E44*0.001*(RadSpec!$AU15+(θw/ρb))*1),".")</f>
        <v>6.6433076260258819</v>
      </c>
    </row>
    <row r="45" spans="1:7" x14ac:dyDescent="0.25">
      <c r="A45" s="82" t="s">
        <v>20</v>
      </c>
      <c r="B45" s="57" t="s">
        <v>1255</v>
      </c>
      <c r="C45" s="57"/>
      <c r="D45" s="58">
        <f t="shared" ref="D45:F45" si="0">IFERROR(IF(AND(D46&lt;&gt;0,D47&lt;&gt;0),1/SUM(1/D46,1/D47),IF(AND(D46&lt;&gt;0,D47=0),1/(1/D46),IF(AND(D46=0,D47&lt;&gt;0),1/(1/D47),IF(AND(D46=0,D47=0),".")))),".")</f>
        <v>200</v>
      </c>
      <c r="E45" s="58">
        <f t="shared" si="0"/>
        <v>0.37945391746022011</v>
      </c>
      <c r="F45" s="122">
        <f t="shared" si="0"/>
        <v>2.04</v>
      </c>
      <c r="G45" s="122">
        <f>IFERROR(IF(AND(G46&lt;&gt;0,G47&lt;&gt;0),1/SUM(1/G46,1/G47),IF(AND(G46&lt;&gt;0,G47=0),1/(1/G46),IF(AND(G46=0,G47&lt;&gt;0),1/(1/G47),IF(AND(G46=0,G47=0),".")))),".")</f>
        <v>3.8703454967254527E-3</v>
      </c>
    </row>
    <row r="46" spans="1:7" x14ac:dyDescent="0.25">
      <c r="A46" s="83" t="s">
        <v>1098</v>
      </c>
      <c r="B46" s="42">
        <v>1</v>
      </c>
      <c r="C46" s="42"/>
      <c r="D46" s="60">
        <f>IFERROR(D10/$B46,0)</f>
        <v>200</v>
      </c>
      <c r="E46" s="60">
        <f>IFERROR(E10/$B46,0)</f>
        <v>0.379454435005117</v>
      </c>
      <c r="F46" s="60">
        <f>IFERROR((D46*0.001*(RadSpec!$AU10+(θw/ρb))*1),".")</f>
        <v>2.04</v>
      </c>
      <c r="G46" s="60">
        <f>IFERROR((E46*0.001*(RadSpec!$AU10+(θw/ρb))*1),".")</f>
        <v>3.8704352370521932E-3</v>
      </c>
    </row>
    <row r="47" spans="1:7" x14ac:dyDescent="0.25">
      <c r="A47" s="83" t="s">
        <v>1072</v>
      </c>
      <c r="B47" s="85">
        <v>0.94399</v>
      </c>
      <c r="C47" s="85"/>
      <c r="D47" s="60">
        <f>IFERROR(D6/$B$47,0)</f>
        <v>0</v>
      </c>
      <c r="E47" s="60">
        <f>IFERROR(E6/$B$47,0)</f>
        <v>278208.65925489762</v>
      </c>
      <c r="F47" s="60">
        <f>IFERROR((D47*0.001*(RadSpec!$AU6+(θw/ρb))*1),".")</f>
        <v>0</v>
      </c>
      <c r="G47" s="60">
        <f>IFERROR((E47*0.001*(RadSpec!$AU6+(θw/ρb))*1),".")</f>
        <v>166.92519555293856</v>
      </c>
    </row>
    <row r="48" spans="1:7" x14ac:dyDescent="0.25">
      <c r="A48" s="82" t="s">
        <v>33</v>
      </c>
      <c r="B48" s="57" t="s">
        <v>1255</v>
      </c>
      <c r="C48" s="250"/>
      <c r="D48" s="58">
        <f>1/SUM(1/D49,1/D51,1/D53,1/D54,1/D56,1/D59,1/D61)</f>
        <v>1.8750023906182043</v>
      </c>
      <c r="E48" s="58">
        <f>1/SUM(1/E49,1/E50,1/E51,1/E52,1/E53,1/E54,1/E55,1/E56,1/E57,1/E58,1/E59,1/E60,1/E61,1/E62)</f>
        <v>3.8345934406878051E-3</v>
      </c>
      <c r="F48" s="58">
        <f>1/SUM(1/F49,1/F51,1/F53,1/F54,1/F56,1/F59,1/F61)</f>
        <v>5.9560310032971617E-3</v>
      </c>
      <c r="G48" s="58">
        <f>1/SUM(1/G49,1/G50,1/G51,1/G52,1/G53,1/G54,1/G55,1/G56,1/G57,1/G58,1/G59,1/G60,1/G61,1/G62)</f>
        <v>3.1726306656816836E-5</v>
      </c>
    </row>
    <row r="49" spans="1:7" x14ac:dyDescent="0.25">
      <c r="A49" s="83" t="s">
        <v>1100</v>
      </c>
      <c r="B49" s="42">
        <v>1</v>
      </c>
      <c r="C49" s="249"/>
      <c r="D49" s="60">
        <f>IFERROR(D23/$B49,0)</f>
        <v>5</v>
      </c>
      <c r="E49" s="60">
        <f>IFERROR(E23/$B49,0)</f>
        <v>2.8358105218669119E-2</v>
      </c>
      <c r="F49" s="60">
        <f>IFERROR((D49*0.001*(RadSpec!$AU23+(θw/ρb))*1),".")</f>
        <v>6.0000000000000001E-3</v>
      </c>
      <c r="G49" s="60">
        <f>IFERROR((E49*0.001*(RadSpec!$AU23+(θw/ρb))*1),".")</f>
        <v>3.4029726262402941E-5</v>
      </c>
    </row>
    <row r="50" spans="1:7" x14ac:dyDescent="0.25">
      <c r="A50" s="83" t="s">
        <v>1087</v>
      </c>
      <c r="B50" s="42">
        <v>1</v>
      </c>
      <c r="C50" s="249"/>
      <c r="D50" s="60">
        <f>IFERROR(D25/$B50,0)</f>
        <v>0</v>
      </c>
      <c r="E50" s="60">
        <f>IFERROR(E25/$B50,0)</f>
        <v>5.4484035450422228</v>
      </c>
      <c r="F50" s="60">
        <f>IFERROR((D50*0.001*(RadSpec!$AU25+(θw/ρb))*1),".")</f>
        <v>0</v>
      </c>
      <c r="G50" s="60">
        <f>IFERROR((E50*0.001*(RadSpec!$AU25+(θw/ρb))*1),".")</f>
        <v>1.0896807090084446E-3</v>
      </c>
    </row>
    <row r="51" spans="1:7" x14ac:dyDescent="0.25">
      <c r="A51" s="83" t="s">
        <v>1073</v>
      </c>
      <c r="B51" s="42">
        <v>1</v>
      </c>
      <c r="C51" s="249"/>
      <c r="D51" s="60">
        <f>IFERROR(D21/$B51,0)</f>
        <v>15</v>
      </c>
      <c r="E51" s="60">
        <f>IFERROR(E21/$B51,0)</f>
        <v>0.90568574492457465</v>
      </c>
      <c r="F51" s="60">
        <f>IFERROR((D51*0.001*(RadSpec!$AU21+(θw/ρb))*1),".")</f>
        <v>3.1529999999999996</v>
      </c>
      <c r="G51" s="60">
        <f>IFERROR((E51*0.001*(RadSpec!$AU21+(θw/ρb))*1),".")</f>
        <v>0.19037514358314558</v>
      </c>
    </row>
    <row r="52" spans="1:7" x14ac:dyDescent="0.25">
      <c r="A52" s="83" t="s">
        <v>1074</v>
      </c>
      <c r="B52" s="85">
        <v>0.99980000000000002</v>
      </c>
      <c r="C52" s="251"/>
      <c r="D52" s="60">
        <f>IFERROR(D17/$B52,0)</f>
        <v>0</v>
      </c>
      <c r="E52" s="60">
        <f>IFERROR(E17/$B52,0)</f>
        <v>0.1798220290652896</v>
      </c>
      <c r="F52" s="60">
        <f>IFERROR((D52*0.001*(RadSpec!$AU17+(θw/ρb))*1),".")</f>
        <v>0</v>
      </c>
      <c r="G52" s="60">
        <f>IFERROR((E52*0.001*(RadSpec!$AU17+(θw/ρb))*1),".")</f>
        <v>2.7009268765606498E-2</v>
      </c>
    </row>
    <row r="53" spans="1:7" x14ac:dyDescent="0.25">
      <c r="A53" s="83" t="s">
        <v>1088</v>
      </c>
      <c r="B53" s="42">
        <v>2.0000000000000001E-4</v>
      </c>
      <c r="C53" s="249"/>
      <c r="D53" s="60">
        <f>IFERROR(D5/$B53,0)</f>
        <v>75000</v>
      </c>
      <c r="E53" s="60">
        <f>IFERROR(E5/$B53,0)</f>
        <v>139987537554686.13</v>
      </c>
      <c r="F53" s="60">
        <f>IFERROR((D53*0.001*(RadSpec!$AU5+(θw/ρb))*1),".")</f>
        <v>765</v>
      </c>
      <c r="G53" s="60">
        <f>IFERROR((E53*0.001*(RadSpec!$AU5+(θw/ρb))*1),".")</f>
        <v>1427872883057.7983</v>
      </c>
    </row>
    <row r="54" spans="1:7" x14ac:dyDescent="0.25">
      <c r="A54" s="83" t="s">
        <v>1089</v>
      </c>
      <c r="B54" s="42">
        <v>0.99999979999999999</v>
      </c>
      <c r="C54" s="249"/>
      <c r="D54" s="60">
        <f>IFERROR(D9/$B54,0)</f>
        <v>15.0000030000006</v>
      </c>
      <c r="E54" s="60">
        <f>IFERROR(E9/$B54,0)</f>
        <v>0.24522678063666981</v>
      </c>
      <c r="F54" s="60">
        <f>IFERROR((D54*0.001*(RadSpec!$AU9+(θw/ρb))*1),".")</f>
        <v>7.2030014406002882</v>
      </c>
      <c r="G54" s="60">
        <f>IFERROR((E54*0.001*(RadSpec!$AU9+(θw/ρb))*1),".")</f>
        <v>0.11775790006172884</v>
      </c>
    </row>
    <row r="55" spans="1:7" x14ac:dyDescent="0.25">
      <c r="A55" s="83" t="s">
        <v>1090</v>
      </c>
      <c r="B55" s="42">
        <v>1.9999999999999999E-7</v>
      </c>
      <c r="C55" s="249"/>
      <c r="D55" s="60">
        <f>IFERROR(D24/$B55,0)</f>
        <v>0</v>
      </c>
      <c r="E55" s="60">
        <f>IFERROR(E24/$B55,0)</f>
        <v>1036332697917491</v>
      </c>
      <c r="F55" s="60">
        <f>IFERROR((D55*0.001*(RadSpec!$AU24+(θw/ρb))*1),".")</f>
        <v>0</v>
      </c>
      <c r="G55" s="60">
        <f>IFERROR((E55*0.001*(RadSpec!$AU24+(θw/ρb))*1),".")</f>
        <v>207266539583.49817</v>
      </c>
    </row>
    <row r="56" spans="1:7" x14ac:dyDescent="0.25">
      <c r="A56" s="83" t="s">
        <v>1091</v>
      </c>
      <c r="B56" s="42">
        <v>0.99979000004200003</v>
      </c>
      <c r="C56" s="249"/>
      <c r="D56" s="60">
        <f>IFERROR(D20/$B56,0)</f>
        <v>15.003150661008679</v>
      </c>
      <c r="E56" s="60">
        <f>IFERROR(E20/$B56,0)</f>
        <v>1854221331.6961141</v>
      </c>
      <c r="F56" s="60">
        <f>IFERROR((D56*0.001*(RadSpec!$AU20+(θw/ρb))*1),".")</f>
        <v>3.1536622689440241</v>
      </c>
      <c r="G56" s="60">
        <f>IFERROR((E56*0.001*(RadSpec!$AU20+(θw/ρb))*1),".")</f>
        <v>389757323.92252314</v>
      </c>
    </row>
    <row r="57" spans="1:7" x14ac:dyDescent="0.25">
      <c r="A57" s="83" t="s">
        <v>1092</v>
      </c>
      <c r="B57" s="42">
        <v>2.0999995799999999E-4</v>
      </c>
      <c r="C57" s="249"/>
      <c r="D57" s="60">
        <f>IFERROR(D29/$B57,0)</f>
        <v>0</v>
      </c>
      <c r="E57" s="60">
        <f>IFERROR(E29/$B57,0)</f>
        <v>254470150.21704131</v>
      </c>
      <c r="F57" s="60">
        <f>IFERROR((D57*0.001*(RadSpec!$AU29+(θw/ρb))*1),".")</f>
        <v>0</v>
      </c>
      <c r="G57" s="60">
        <f>IFERROR((E57*0.001*(RadSpec!$AU29+(θw/ρb))*1),".")</f>
        <v>381756119.35560536</v>
      </c>
    </row>
    <row r="58" spans="1:7" x14ac:dyDescent="0.25">
      <c r="A58" s="83" t="s">
        <v>1093</v>
      </c>
      <c r="B58" s="42">
        <v>1</v>
      </c>
      <c r="C58" s="249"/>
      <c r="D58" s="60">
        <f>IFERROR(D16/$B58,0)</f>
        <v>0</v>
      </c>
      <c r="E58" s="60">
        <f>IFERROR(E16/$B58,0)</f>
        <v>1.2870781406132901E-2</v>
      </c>
      <c r="F58" s="60">
        <f>IFERROR((D58*0.001*(RadSpec!$AU16+(θw/ρb))*1),".")</f>
        <v>0</v>
      </c>
      <c r="G58" s="60">
        <f>IFERROR((E58*0.001*(RadSpec!$AU16+(θw/ρb))*1),".")</f>
        <v>1.9331913672011617E-3</v>
      </c>
    </row>
    <row r="59" spans="1:7" x14ac:dyDescent="0.25">
      <c r="A59" s="83" t="s">
        <v>1094</v>
      </c>
      <c r="B59" s="42">
        <v>1</v>
      </c>
      <c r="C59" s="249"/>
      <c r="D59" s="60">
        <f>IFERROR(D7/$B59,0)</f>
        <v>15</v>
      </c>
      <c r="E59" s="60">
        <f>IFERROR(E7/$B59,0)</f>
        <v>0.7611365237392419</v>
      </c>
      <c r="F59" s="60">
        <f>IFERROR((D59*0.001*(RadSpec!$AU7+(θw/ρb))*1),".")</f>
        <v>7.2029999999999994</v>
      </c>
      <c r="G59" s="60">
        <f>IFERROR((E59*0.001*(RadSpec!$AU7+(θw/ρb))*1),".")</f>
        <v>0.36549775869958395</v>
      </c>
    </row>
    <row r="60" spans="1:7" x14ac:dyDescent="0.25">
      <c r="A60" s="83" t="s">
        <v>1095</v>
      </c>
      <c r="B60" s="86">
        <v>1.9000000000000001E-8</v>
      </c>
      <c r="C60" s="252"/>
      <c r="D60" s="60">
        <f>IFERROR(D12/$B60,0)</f>
        <v>0</v>
      </c>
      <c r="E60" s="60">
        <f>IFERROR(E12/$B60,0)</f>
        <v>69934030141117.734</v>
      </c>
      <c r="F60" s="60">
        <f>IFERROR((D60*0.001*(RadSpec!$AU12+(θw/ρb))*1),".")</f>
        <v>0</v>
      </c>
      <c r="G60" s="60">
        <f>IFERROR((E60*0.001*(RadSpec!$AU12+(θw/ρb))*1),".")</f>
        <v>440598376695069.94</v>
      </c>
    </row>
    <row r="61" spans="1:7" x14ac:dyDescent="0.25">
      <c r="A61" s="83" t="s">
        <v>1096</v>
      </c>
      <c r="B61" s="42">
        <v>1</v>
      </c>
      <c r="C61" s="249"/>
      <c r="D61" s="60">
        <f>IFERROR(D18/$B61,0)</f>
        <v>15</v>
      </c>
      <c r="E61" s="60">
        <f>IFERROR(E18/$B61,0)</f>
        <v>7.3754591229882949E-3</v>
      </c>
      <c r="F61" s="60">
        <f>IFERROR((D61*0.001*(RadSpec!$AU18+(θw/ρb))*1),".")</f>
        <v>3.1529999999999996</v>
      </c>
      <c r="G61" s="60">
        <f>IFERROR((E61*0.001*(RadSpec!$AU18+(θw/ρb))*1),".")</f>
        <v>1.5503215076521394E-3</v>
      </c>
    </row>
    <row r="62" spans="1:7" x14ac:dyDescent="0.25">
      <c r="A62" s="83" t="s">
        <v>1097</v>
      </c>
      <c r="B62" s="42">
        <v>1.339E-6</v>
      </c>
      <c r="C62" s="249"/>
      <c r="D62" s="60">
        <f>IFERROR(D27/$B62,0)</f>
        <v>0</v>
      </c>
      <c r="E62" s="60">
        <f>IFERROR(E27/$B62,0)</f>
        <v>72850538765611.875</v>
      </c>
      <c r="F62" s="60">
        <f>IFERROR((D62*0.001*(RadSpec!$AU27+(θw/ρb))*1),".")</f>
        <v>0</v>
      </c>
      <c r="G62" s="60">
        <f>IFERROR((E62*0.001*(RadSpec!$AU27+(θw/ρb))*1),".")</f>
        <v>109290378256170.94</v>
      </c>
    </row>
    <row r="63" spans="1:7" x14ac:dyDescent="0.25">
      <c r="A63" s="82" t="s">
        <v>35</v>
      </c>
      <c r="B63" s="57" t="s">
        <v>1255</v>
      </c>
      <c r="C63" s="57"/>
      <c r="D63" s="58">
        <f>1/SUM(1/D65,1/D67,1/D68,1/D70,1/D73,1/D75)</f>
        <v>3.0000061199872849</v>
      </c>
      <c r="E63" s="58">
        <f>1/SUM(1/E64,1/E65,1/E66,1/E67,1/E68,1/E69,1/E70,1/E71,1/E72,1/E73,1/E74,1/E75,1/E76)</f>
        <v>4.4341856601254866E-3</v>
      </c>
      <c r="F63" s="58">
        <f>1/SUM(1/F65,1/F67,1/F68,1/F70,1/F73,1/F75)</f>
        <v>0.81275873227910567</v>
      </c>
      <c r="G63" s="58">
        <f>1/SUM(1/G64,1/G65,1/G66,1/G67,1/G68,1/G69,1/G70,1/G71,1/G72,1/G73,1/G74,1/G75,1/G76)</f>
        <v>4.6871074997810219E-4</v>
      </c>
    </row>
    <row r="64" spans="1:7" x14ac:dyDescent="0.25">
      <c r="A64" s="83" t="s">
        <v>1087</v>
      </c>
      <c r="B64" s="42">
        <v>1</v>
      </c>
      <c r="C64" s="178"/>
      <c r="D64" s="60">
        <f>IFERROR(D25/$B50,0)</f>
        <v>0</v>
      </c>
      <c r="E64" s="60">
        <f>IFERROR(E25/$B50,0)</f>
        <v>5.4484035450422228</v>
      </c>
      <c r="F64" s="60">
        <f>IFERROR((D64*0.001*(RadSpec!$AU25+(θw/ρb))*1),".")</f>
        <v>0</v>
      </c>
      <c r="G64" s="60">
        <f>IFERROR((E64*0.001*(RadSpec!$AU25+(θw/ρb))*1),".")</f>
        <v>1.0896807090084446E-3</v>
      </c>
    </row>
    <row r="65" spans="1:7" x14ac:dyDescent="0.25">
      <c r="A65" s="83" t="s">
        <v>1073</v>
      </c>
      <c r="B65" s="42">
        <v>1</v>
      </c>
      <c r="C65" s="178"/>
      <c r="D65" s="60">
        <f>IFERROR(D21/$B51,0)</f>
        <v>15</v>
      </c>
      <c r="E65" s="60">
        <f>IFERROR(E21/$B51,0)</f>
        <v>0.90568574492457465</v>
      </c>
      <c r="F65" s="60">
        <f>IFERROR((D65*0.001*(RadSpec!$AU21+(θw/ρb))*1),".")</f>
        <v>3.1529999999999996</v>
      </c>
      <c r="G65" s="60">
        <f>IFERROR((E65*0.001*(RadSpec!$AU21+(θw/ρb))*1),".")</f>
        <v>0.19037514358314558</v>
      </c>
    </row>
    <row r="66" spans="1:7" x14ac:dyDescent="0.25">
      <c r="A66" s="83" t="s">
        <v>1074</v>
      </c>
      <c r="B66" s="85">
        <v>0.99980000000000002</v>
      </c>
      <c r="C66" s="181"/>
      <c r="D66" s="60">
        <f>IFERROR(D17/$B52,0)</f>
        <v>0</v>
      </c>
      <c r="E66" s="60">
        <f>IFERROR(E17/$B52,0)</f>
        <v>0.1798220290652896</v>
      </c>
      <c r="F66" s="60">
        <f>IFERROR((D66*0.001*(RadSpec!$AU17+(θw/ρb))*1),".")</f>
        <v>0</v>
      </c>
      <c r="G66" s="60">
        <f>IFERROR((E66*0.001*(RadSpec!$AU17+(θw/ρb))*1),".")</f>
        <v>2.7009268765606498E-2</v>
      </c>
    </row>
    <row r="67" spans="1:7" x14ac:dyDescent="0.25">
      <c r="A67" s="83" t="s">
        <v>1088</v>
      </c>
      <c r="B67" s="42">
        <v>2.0000000000000001E-4</v>
      </c>
      <c r="C67" s="178"/>
      <c r="D67" s="60">
        <f>IFERROR(D5/$B53,0)</f>
        <v>75000</v>
      </c>
      <c r="E67" s="60">
        <f>IFERROR(E5/$B53,0)</f>
        <v>139987537554686.13</v>
      </c>
      <c r="F67" s="60">
        <f>IFERROR((D67*0.001*(RadSpec!$AU5+(θw/ρb))*1),".")</f>
        <v>765</v>
      </c>
      <c r="G67" s="60">
        <f>IFERROR((E67*0.001*(RadSpec!$AU5+(θw/ρb))*1),".")</f>
        <v>1427872883057.7983</v>
      </c>
    </row>
    <row r="68" spans="1:7" x14ac:dyDescent="0.25">
      <c r="A68" s="83" t="s">
        <v>1089</v>
      </c>
      <c r="B68" s="42">
        <v>0.99999979999999999</v>
      </c>
      <c r="C68" s="178"/>
      <c r="D68" s="60">
        <f>IFERROR(D9/$B54,0)</f>
        <v>15.0000030000006</v>
      </c>
      <c r="E68" s="60">
        <f>IFERROR(E9/$B54,0)</f>
        <v>0.24522678063666981</v>
      </c>
      <c r="F68" s="60">
        <f>IFERROR((D68*0.001*(RadSpec!$AU9+(θw/ρb))*1),".")</f>
        <v>7.2030014406002882</v>
      </c>
      <c r="G68" s="60">
        <f>IFERROR((E68*0.001*(RadSpec!$AU9+(θw/ρb))*1),".")</f>
        <v>0.11775790006172884</v>
      </c>
    </row>
    <row r="69" spans="1:7" x14ac:dyDescent="0.25">
      <c r="A69" s="83" t="s">
        <v>1090</v>
      </c>
      <c r="B69" s="42">
        <v>1.9999999999999999E-7</v>
      </c>
      <c r="C69" s="178"/>
      <c r="D69" s="60">
        <f>IFERROR(D24/$B55,0)</f>
        <v>0</v>
      </c>
      <c r="E69" s="60">
        <f>IFERROR(E24/$B55,0)</f>
        <v>1036332697917491</v>
      </c>
      <c r="F69" s="60">
        <f>IFERROR((D69*0.001*(RadSpec!$AU24+(θw/ρb))*1),".")</f>
        <v>0</v>
      </c>
      <c r="G69" s="60">
        <f>IFERROR((E69*0.001*(RadSpec!$AU24+(θw/ρb))*1),".")</f>
        <v>207266539583.49817</v>
      </c>
    </row>
    <row r="70" spans="1:7" x14ac:dyDescent="0.25">
      <c r="A70" s="83" t="s">
        <v>1091</v>
      </c>
      <c r="B70" s="42">
        <v>0.99979000004200003</v>
      </c>
      <c r="C70" s="178"/>
      <c r="D70" s="60">
        <f>IFERROR(D20/$B56,0)</f>
        <v>15.003150661008679</v>
      </c>
      <c r="E70" s="60">
        <f>IFERROR(E20/$B56,0)</f>
        <v>1854221331.6961141</v>
      </c>
      <c r="F70" s="60">
        <f>IFERROR((D70*0.001*(RadSpec!$AU20+(θw/ρb))*1),".")</f>
        <v>3.1536622689440241</v>
      </c>
      <c r="G70" s="60">
        <f>IFERROR((E70*0.001*(RadSpec!$AU20+(θw/ρb))*1),".")</f>
        <v>389757323.92252314</v>
      </c>
    </row>
    <row r="71" spans="1:7" x14ac:dyDescent="0.25">
      <c r="A71" s="83" t="s">
        <v>1092</v>
      </c>
      <c r="B71" s="42">
        <v>2.0999995799999999E-4</v>
      </c>
      <c r="C71" s="178"/>
      <c r="D71" s="60">
        <f>IFERROR(D29/$B57,0)</f>
        <v>0</v>
      </c>
      <c r="E71" s="60">
        <f>IFERROR(E29/$B57,0)</f>
        <v>254470150.21704131</v>
      </c>
      <c r="F71" s="60">
        <f>IFERROR((D71*0.001*(RadSpec!$AU29+(θw/ρb))*1),".")</f>
        <v>0</v>
      </c>
      <c r="G71" s="60">
        <f>IFERROR((E71*0.001*(RadSpec!$AU29+(θw/ρb))*1),".")</f>
        <v>381756119.35560536</v>
      </c>
    </row>
    <row r="72" spans="1:7" x14ac:dyDescent="0.25">
      <c r="A72" s="83" t="s">
        <v>1093</v>
      </c>
      <c r="B72" s="42">
        <v>1</v>
      </c>
      <c r="C72" s="178"/>
      <c r="D72" s="60">
        <f>IFERROR(D16/$B58,0)</f>
        <v>0</v>
      </c>
      <c r="E72" s="60">
        <f>IFERROR(E16/$B58,0)</f>
        <v>1.2870781406132901E-2</v>
      </c>
      <c r="F72" s="60">
        <f>IFERROR((D72*0.001*(RadSpec!$AU16+(θw/ρb))*1),".")</f>
        <v>0</v>
      </c>
      <c r="G72" s="60">
        <f>IFERROR((E72*0.001*(RadSpec!$AU16+(θw/ρb))*1),".")</f>
        <v>1.9331913672011617E-3</v>
      </c>
    </row>
    <row r="73" spans="1:7" x14ac:dyDescent="0.25">
      <c r="A73" s="83" t="s">
        <v>1094</v>
      </c>
      <c r="B73" s="42">
        <v>1</v>
      </c>
      <c r="C73" s="178"/>
      <c r="D73" s="60">
        <f>IFERROR(D7/$B59,0)</f>
        <v>15</v>
      </c>
      <c r="E73" s="60">
        <f>IFERROR(E7/$B59,0)</f>
        <v>0.7611365237392419</v>
      </c>
      <c r="F73" s="60">
        <f>IFERROR((D73*0.001*(RadSpec!$AU7+(θw/ρb))*1),".")</f>
        <v>7.2029999999999994</v>
      </c>
      <c r="G73" s="60">
        <f>IFERROR((E73*0.001*(RadSpec!$AU7+(θw/ρb))*1),".")</f>
        <v>0.36549775869958395</v>
      </c>
    </row>
    <row r="74" spans="1:7" x14ac:dyDescent="0.25">
      <c r="A74" s="83" t="s">
        <v>1095</v>
      </c>
      <c r="B74" s="86">
        <v>1.9000000000000001E-8</v>
      </c>
      <c r="C74" s="182"/>
      <c r="D74" s="60">
        <f>IFERROR(D12/$B60,0)</f>
        <v>0</v>
      </c>
      <c r="E74" s="60">
        <f>IFERROR(E12/$B60,0)</f>
        <v>69934030141117.734</v>
      </c>
      <c r="F74" s="60">
        <f>IFERROR((D74*0.001*(RadSpec!$AU12+(θw/ρb))*1),".")</f>
        <v>0</v>
      </c>
      <c r="G74" s="60">
        <f>IFERROR((E74*0.001*(RadSpec!$AU12+(θw/ρb))*1),".")</f>
        <v>440598376695069.94</v>
      </c>
    </row>
    <row r="75" spans="1:7" x14ac:dyDescent="0.25">
      <c r="A75" s="83" t="s">
        <v>1096</v>
      </c>
      <c r="B75" s="42">
        <v>1</v>
      </c>
      <c r="C75" s="178"/>
      <c r="D75" s="60">
        <f>IFERROR(D18/$B61,0)</f>
        <v>15</v>
      </c>
      <c r="E75" s="60">
        <f>IFERROR(E18/$B61,0)</f>
        <v>7.3754591229882949E-3</v>
      </c>
      <c r="F75" s="60">
        <f>IFERROR((D75*0.001*(RadSpec!$AU18+(θw/ρb))*1),".")</f>
        <v>3.1529999999999996</v>
      </c>
      <c r="G75" s="60">
        <f>IFERROR((E75*0.001*(RadSpec!$AU18+(θw/ρb))*1),".")</f>
        <v>1.5503215076521394E-3</v>
      </c>
    </row>
    <row r="76" spans="1:7" x14ac:dyDescent="0.25">
      <c r="A76" s="83" t="s">
        <v>1097</v>
      </c>
      <c r="B76" s="42">
        <v>1.339E-6</v>
      </c>
      <c r="C76" s="178"/>
      <c r="D76" s="60">
        <f>IFERROR(D27/$B62,0)</f>
        <v>0</v>
      </c>
      <c r="E76" s="60">
        <f>IFERROR(E27/$B62,0)</f>
        <v>72850538765611.875</v>
      </c>
      <c r="F76" s="60">
        <f>IFERROR((D76*0.001*(RadSpec!$AU27+(θw/ρb))*1),".")</f>
        <v>0</v>
      </c>
      <c r="G76" s="60">
        <f>IFERROR((E76*0.001*(RadSpec!$AU27+(θw/ρb))*1),".")</f>
        <v>109290378256170.94</v>
      </c>
    </row>
  </sheetData>
  <sheetProtection formatColumns="0" formatRows="0" autoFilter="0"/>
  <autoFilter ref="A1:G76" xr:uid="{00000000-0009-0000-0000-00000A000000}"/>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H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0.7109375" style="4" bestFit="1" customWidth="1"/>
    <col min="3" max="3" width="9.28515625" bestFit="1" customWidth="1"/>
    <col min="4" max="4" width="9" bestFit="1" customWidth="1"/>
    <col min="5" max="6" width="10" bestFit="1" customWidth="1"/>
    <col min="7" max="7" width="11" bestFit="1" customWidth="1"/>
    <col min="8" max="8" width="67.5703125" bestFit="1" customWidth="1"/>
  </cols>
  <sheetData>
    <row r="1" spans="1:8" x14ac:dyDescent="0.25">
      <c r="A1" s="79" t="s">
        <v>51</v>
      </c>
      <c r="B1" s="79" t="s">
        <v>348</v>
      </c>
      <c r="C1" s="164" t="s">
        <v>41</v>
      </c>
      <c r="D1" s="164" t="s">
        <v>42</v>
      </c>
      <c r="E1" s="164" t="s">
        <v>43</v>
      </c>
      <c r="F1" s="164" t="s">
        <v>44</v>
      </c>
      <c r="G1" s="164" t="s">
        <v>45</v>
      </c>
      <c r="H1" s="172" t="s">
        <v>378</v>
      </c>
    </row>
    <row r="2" spans="1:8" x14ac:dyDescent="0.25">
      <c r="A2" s="44" t="s">
        <v>12</v>
      </c>
      <c r="B2" s="42" t="s">
        <v>1071</v>
      </c>
      <c r="C2" s="170">
        <v>9.5797101449275404E-2</v>
      </c>
      <c r="D2" s="170">
        <v>9.3059490084985805E-2</v>
      </c>
      <c r="E2" s="170">
        <v>9.6585365853658595E-2</v>
      </c>
      <c r="F2" s="170">
        <v>9.0705128205128202E-2</v>
      </c>
      <c r="G2" s="170">
        <v>9.6404494382022504E-2</v>
      </c>
      <c r="H2" s="112"/>
    </row>
    <row r="3" spans="1:8" x14ac:dyDescent="0.25">
      <c r="A3" s="46" t="s">
        <v>13</v>
      </c>
      <c r="B3" s="42" t="s">
        <v>349</v>
      </c>
      <c r="C3" s="170">
        <v>8.4397163120567401E-2</v>
      </c>
      <c r="D3" s="170">
        <v>0.107692307692308</v>
      </c>
      <c r="E3" s="170">
        <v>9.4560669456066906E-2</v>
      </c>
      <c r="F3" s="170">
        <v>9.5024875621890506E-2</v>
      </c>
      <c r="G3" s="170">
        <v>9.6924829157175402E-2</v>
      </c>
      <c r="H3" s="112"/>
    </row>
    <row r="4" spans="1:8" x14ac:dyDescent="0.25">
      <c r="A4" s="44" t="s">
        <v>14</v>
      </c>
      <c r="B4" s="42" t="s">
        <v>1071</v>
      </c>
      <c r="C4" s="170">
        <v>4.2011834319526598E-2</v>
      </c>
      <c r="D4" s="170">
        <v>7.5873015873015898E-2</v>
      </c>
      <c r="E4" s="170">
        <v>5.07177033492823E-2</v>
      </c>
      <c r="F4" s="170">
        <v>7.1111111111111097E-2</v>
      </c>
      <c r="G4" s="170">
        <v>8.3791606367583205E-2</v>
      </c>
      <c r="H4" s="112"/>
    </row>
    <row r="5" spans="1:8" x14ac:dyDescent="0.25">
      <c r="A5" s="44" t="s">
        <v>15</v>
      </c>
      <c r="B5" s="42" t="s">
        <v>1071</v>
      </c>
      <c r="C5" s="170">
        <v>0.9</v>
      </c>
      <c r="D5" s="170">
        <v>0.9</v>
      </c>
      <c r="E5" s="170">
        <v>0.9</v>
      </c>
      <c r="F5" s="170">
        <v>0.9</v>
      </c>
      <c r="G5" s="170">
        <v>0.9</v>
      </c>
      <c r="H5" s="112"/>
    </row>
    <row r="6" spans="1:8" x14ac:dyDescent="0.25">
      <c r="A6" s="44" t="s">
        <v>16</v>
      </c>
      <c r="B6" s="42" t="s">
        <v>1071</v>
      </c>
      <c r="C6" s="170">
        <v>3.1283422459892997E-2</v>
      </c>
      <c r="D6" s="170">
        <v>8.7632508833922304E-2</v>
      </c>
      <c r="E6" s="170">
        <v>4.6638655462184903E-2</v>
      </c>
      <c r="F6" s="170">
        <v>6.7697594501718195E-2</v>
      </c>
      <c r="G6" s="170">
        <v>8.7261146496815295E-2</v>
      </c>
      <c r="H6" s="112"/>
    </row>
    <row r="7" spans="1:8" x14ac:dyDescent="0.25">
      <c r="A7" s="44" t="s">
        <v>17</v>
      </c>
      <c r="B7" s="42" t="s">
        <v>1071</v>
      </c>
      <c r="C7" s="170">
        <v>3.81995133819951E-2</v>
      </c>
      <c r="D7" s="170">
        <v>7.4683544303797506E-2</v>
      </c>
      <c r="E7" s="170">
        <v>0.05</v>
      </c>
      <c r="F7" s="170">
        <v>7.1974522292993601E-2</v>
      </c>
      <c r="G7" s="170">
        <v>8.2940516273849602E-2</v>
      </c>
      <c r="H7" s="112"/>
    </row>
    <row r="8" spans="1:8" x14ac:dyDescent="0.25">
      <c r="A8" s="44" t="s">
        <v>18</v>
      </c>
      <c r="B8" s="42" t="s">
        <v>1071</v>
      </c>
      <c r="C8" s="170">
        <v>3.3392857142857099E-2</v>
      </c>
      <c r="D8" s="170">
        <v>8.8172043010752696E-2</v>
      </c>
      <c r="E8" s="170">
        <v>4.81904761904762E-2</v>
      </c>
      <c r="F8" s="170">
        <v>7.1428571428571397E-2</v>
      </c>
      <c r="G8" s="170">
        <v>8.5352112676056302E-2</v>
      </c>
      <c r="H8" s="112"/>
    </row>
    <row r="9" spans="1:8" x14ac:dyDescent="0.25">
      <c r="A9" s="44" t="s">
        <v>19</v>
      </c>
      <c r="B9" s="42" t="s">
        <v>1071</v>
      </c>
      <c r="C9" s="170">
        <v>2.8963414634146301E-2</v>
      </c>
      <c r="D9" s="170">
        <v>9.3659942363112397E-2</v>
      </c>
      <c r="E9" s="170">
        <v>4.2990654205607499E-2</v>
      </c>
      <c r="F9" s="170">
        <v>6.4869029275808898E-2</v>
      </c>
      <c r="G9" s="170">
        <v>8.4239130434782594E-2</v>
      </c>
      <c r="H9" s="112"/>
    </row>
    <row r="10" spans="1:8" x14ac:dyDescent="0.25">
      <c r="A10" s="46" t="s">
        <v>20</v>
      </c>
      <c r="B10" s="42" t="s">
        <v>349</v>
      </c>
      <c r="C10" s="170">
        <v>3.3412322274881501E-2</v>
      </c>
      <c r="D10" s="170">
        <v>7.3635307781649201E-2</v>
      </c>
      <c r="E10" s="170">
        <v>4.92028985507246E-2</v>
      </c>
      <c r="F10" s="170">
        <v>7.1668667466986802E-2</v>
      </c>
      <c r="G10" s="170">
        <v>8.2947368421052603E-2</v>
      </c>
      <c r="H10" s="112"/>
    </row>
    <row r="11" spans="1:8" x14ac:dyDescent="0.25">
      <c r="A11" s="44" t="s">
        <v>21</v>
      </c>
      <c r="B11" s="42" t="s">
        <v>1071</v>
      </c>
      <c r="C11" s="170">
        <v>4.4927536231884099E-2</v>
      </c>
      <c r="D11" s="170">
        <v>7.3856209150326799E-2</v>
      </c>
      <c r="E11" s="170">
        <v>5.2734375E-2</v>
      </c>
      <c r="F11" s="170">
        <v>7.1895424836601302E-2</v>
      </c>
      <c r="G11" s="170">
        <v>8.42105263157895E-2</v>
      </c>
      <c r="H11" s="112"/>
    </row>
    <row r="12" spans="1:8" x14ac:dyDescent="0.25">
      <c r="A12" s="44" t="s">
        <v>22</v>
      </c>
      <c r="B12" s="42" t="s">
        <v>1071</v>
      </c>
      <c r="C12" s="170">
        <v>3.7852760736196298E-2</v>
      </c>
      <c r="D12" s="170">
        <v>7.8920741989881901E-2</v>
      </c>
      <c r="E12" s="170">
        <v>4.9803921568627403E-2</v>
      </c>
      <c r="F12" s="170">
        <v>7.1707317073170698E-2</v>
      </c>
      <c r="G12" s="170">
        <v>8.4057971014492805E-2</v>
      </c>
      <c r="H12" s="112"/>
    </row>
    <row r="13" spans="1:8" x14ac:dyDescent="0.25">
      <c r="A13" s="44" t="s">
        <v>23</v>
      </c>
      <c r="B13" s="42" t="s">
        <v>1071</v>
      </c>
      <c r="C13" s="170">
        <v>9.0206185567010294E-2</v>
      </c>
      <c r="D13" s="170">
        <v>0.104379562043796</v>
      </c>
      <c r="E13" s="170">
        <v>0.10709219858155999</v>
      </c>
      <c r="F13" s="170">
        <v>0.105116279069767</v>
      </c>
      <c r="G13" s="170">
        <v>0.106057268722467</v>
      </c>
      <c r="H13" s="112"/>
    </row>
    <row r="14" spans="1:8" x14ac:dyDescent="0.25">
      <c r="A14" s="44" t="s">
        <v>24</v>
      </c>
      <c r="B14" s="42" t="s">
        <v>1071</v>
      </c>
      <c r="C14" s="170">
        <v>5.7281553398058301E-2</v>
      </c>
      <c r="D14" s="170">
        <v>8.0961538461538501E-2</v>
      </c>
      <c r="E14" s="170">
        <v>6.16504854368932E-2</v>
      </c>
      <c r="F14" s="170">
        <v>7.6956521739130396E-2</v>
      </c>
      <c r="G14" s="170">
        <v>8.5919999999999996E-2</v>
      </c>
      <c r="H14" s="112"/>
    </row>
    <row r="15" spans="1:8" x14ac:dyDescent="0.25">
      <c r="A15" s="44" t="s">
        <v>25</v>
      </c>
      <c r="B15" s="42" t="s">
        <v>1071</v>
      </c>
      <c r="C15" s="170">
        <v>0.9</v>
      </c>
      <c r="D15" s="170">
        <v>0.9</v>
      </c>
      <c r="E15" s="170">
        <v>0.9</v>
      </c>
      <c r="F15" s="170">
        <v>0.9</v>
      </c>
      <c r="G15" s="170">
        <v>0.9</v>
      </c>
      <c r="H15" s="112"/>
    </row>
    <row r="16" spans="1:8" x14ac:dyDescent="0.25">
      <c r="A16" s="44" t="s">
        <v>26</v>
      </c>
      <c r="B16" s="42" t="s">
        <v>1071</v>
      </c>
      <c r="C16" s="170">
        <v>0.12648026315789501</v>
      </c>
      <c r="D16" s="170">
        <v>0.131547619047619</v>
      </c>
      <c r="E16" s="170">
        <v>0.15049504950494999</v>
      </c>
      <c r="F16" s="170">
        <v>0.13783783783783801</v>
      </c>
      <c r="G16" s="170">
        <v>0.14537037037037001</v>
      </c>
      <c r="H16" s="112"/>
    </row>
    <row r="17" spans="1:8" x14ac:dyDescent="0.25">
      <c r="A17" s="44" t="s">
        <v>27</v>
      </c>
      <c r="B17" s="42" t="s">
        <v>1071</v>
      </c>
      <c r="C17" s="170">
        <v>4.1011235955056201E-2</v>
      </c>
      <c r="D17" s="170">
        <v>8.1260504201680697E-2</v>
      </c>
      <c r="E17" s="170">
        <v>5.06976744186046E-2</v>
      </c>
      <c r="F17" s="170">
        <v>7.2656250000000006E-2</v>
      </c>
      <c r="G17" s="170">
        <v>8.4027777777777798E-2</v>
      </c>
      <c r="H17" s="112"/>
    </row>
    <row r="18" spans="1:8" x14ac:dyDescent="0.25">
      <c r="A18" s="44" t="s">
        <v>28</v>
      </c>
      <c r="B18" s="42" t="s">
        <v>1071</v>
      </c>
      <c r="C18" s="170">
        <v>2.9915254237288101E-2</v>
      </c>
      <c r="D18" s="170">
        <v>9.4052863436123402E-2</v>
      </c>
      <c r="E18" s="170">
        <v>4.5225464190981397E-2</v>
      </c>
      <c r="F18" s="170">
        <v>6.7685589519650702E-2</v>
      </c>
      <c r="G18" s="170">
        <v>8.7351778656126505E-2</v>
      </c>
      <c r="H18" s="112"/>
    </row>
    <row r="19" spans="1:8" x14ac:dyDescent="0.25">
      <c r="A19" s="44" t="s">
        <v>29</v>
      </c>
      <c r="B19" s="42" t="s">
        <v>1071</v>
      </c>
      <c r="C19" s="170">
        <v>3.0131004366812202E-2</v>
      </c>
      <c r="D19" s="170">
        <v>9.3142857142857097E-2</v>
      </c>
      <c r="E19" s="170">
        <v>4.5547945205479501E-2</v>
      </c>
      <c r="F19" s="170">
        <v>6.7796610169491497E-2</v>
      </c>
      <c r="G19" s="170">
        <v>8.7487179487179503E-2</v>
      </c>
      <c r="H19" s="112"/>
    </row>
    <row r="20" spans="1:8" x14ac:dyDescent="0.25">
      <c r="A20" s="44" t="s">
        <v>30</v>
      </c>
      <c r="B20" s="42" t="s">
        <v>1071</v>
      </c>
      <c r="C20" s="170">
        <v>2.99009900990099E-2</v>
      </c>
      <c r="D20" s="170">
        <v>9.3814432989690694E-2</v>
      </c>
      <c r="E20" s="170">
        <v>4.5186335403726699E-2</v>
      </c>
      <c r="F20" s="170">
        <v>6.7774936061381102E-2</v>
      </c>
      <c r="G20" s="170">
        <v>8.7499999999999994E-2</v>
      </c>
      <c r="H20" s="112"/>
    </row>
    <row r="21" spans="1:8" x14ac:dyDescent="0.25">
      <c r="A21" s="44" t="s">
        <v>31</v>
      </c>
      <c r="B21" s="42" t="s">
        <v>1071</v>
      </c>
      <c r="C21" s="170">
        <v>0.9</v>
      </c>
      <c r="D21" s="170">
        <v>0.9</v>
      </c>
      <c r="E21" s="170">
        <v>0.9</v>
      </c>
      <c r="F21" s="170">
        <v>0.9</v>
      </c>
      <c r="G21" s="170">
        <v>0.9</v>
      </c>
      <c r="H21" s="112"/>
    </row>
    <row r="22" spans="1:8" x14ac:dyDescent="0.25">
      <c r="A22" s="44" t="s">
        <v>32</v>
      </c>
      <c r="B22" s="42" t="s">
        <v>1071</v>
      </c>
      <c r="C22" s="170">
        <v>7.8442280945758003E-2</v>
      </c>
      <c r="D22" s="170">
        <v>9.8879551820728301E-2</v>
      </c>
      <c r="E22" s="170">
        <v>9.1821561338289906E-2</v>
      </c>
      <c r="F22" s="170">
        <v>0.102702702702703</v>
      </c>
      <c r="G22" s="170">
        <v>0.119201995012469</v>
      </c>
      <c r="H22" s="112"/>
    </row>
    <row r="23" spans="1:8" x14ac:dyDescent="0.25">
      <c r="A23" s="46" t="s">
        <v>33</v>
      </c>
      <c r="B23" s="42" t="s">
        <v>349</v>
      </c>
      <c r="C23" s="170">
        <v>4.9459459459459502E-2</v>
      </c>
      <c r="D23" s="170">
        <v>7.9108635097492996E-2</v>
      </c>
      <c r="E23" s="170">
        <v>5.4863221884498499E-2</v>
      </c>
      <c r="F23" s="170">
        <v>7.1611253196930902E-2</v>
      </c>
      <c r="G23" s="170">
        <v>8.6893203883495099E-2</v>
      </c>
      <c r="H23" s="112"/>
    </row>
    <row r="24" spans="1:8" x14ac:dyDescent="0.25">
      <c r="A24" s="44" t="s">
        <v>34</v>
      </c>
      <c r="B24" s="42" t="s">
        <v>1071</v>
      </c>
      <c r="C24" s="170">
        <v>3.1434599156118098E-2</v>
      </c>
      <c r="D24" s="170">
        <v>8.6033519553072604E-2</v>
      </c>
      <c r="E24" s="170">
        <v>4.6611570247933901E-2</v>
      </c>
      <c r="F24" s="170">
        <v>6.7924528301886805E-2</v>
      </c>
      <c r="G24" s="170">
        <v>8.7499999999999994E-2</v>
      </c>
      <c r="H24" s="112"/>
    </row>
    <row r="25" spans="1:8" x14ac:dyDescent="0.25">
      <c r="A25" s="46" t="s">
        <v>35</v>
      </c>
      <c r="B25" s="42" t="s">
        <v>349</v>
      </c>
      <c r="C25" s="170">
        <v>3.1388329979879302E-2</v>
      </c>
      <c r="D25" s="170">
        <v>8.6931818181818193E-2</v>
      </c>
      <c r="E25" s="170">
        <v>4.7452229299363102E-2</v>
      </c>
      <c r="F25" s="170">
        <v>6.9633507853403095E-2</v>
      </c>
      <c r="G25" s="170">
        <v>8.61320754716981E-2</v>
      </c>
      <c r="H25" s="112"/>
    </row>
    <row r="26" spans="1:8" x14ac:dyDescent="0.25">
      <c r="A26" s="44" t="s">
        <v>36</v>
      </c>
      <c r="B26" s="42" t="s">
        <v>1071</v>
      </c>
      <c r="C26" s="170">
        <v>8.8307692307692295E-2</v>
      </c>
      <c r="D26" s="170">
        <v>8.9320388349514598E-2</v>
      </c>
      <c r="E26" s="170">
        <v>8.6249999999999993E-2</v>
      </c>
      <c r="F26" s="170">
        <v>8.6703096539162097E-2</v>
      </c>
      <c r="G26" s="170">
        <v>9.2337164750957906E-2</v>
      </c>
      <c r="H26" s="112"/>
    </row>
    <row r="27" spans="1:8" x14ac:dyDescent="0.25">
      <c r="A27" s="44" t="s">
        <v>37</v>
      </c>
      <c r="B27" s="42" t="s">
        <v>1071</v>
      </c>
      <c r="C27" s="170">
        <v>6.7632850241545903E-2</v>
      </c>
      <c r="D27" s="170">
        <v>9.1594827586206906E-2</v>
      </c>
      <c r="E27" s="170">
        <v>5.9615384615384598E-2</v>
      </c>
      <c r="F27" s="170">
        <v>7.5418060200668893E-2</v>
      </c>
      <c r="G27" s="170">
        <v>8.5049833887043194E-2</v>
      </c>
      <c r="H27" s="112"/>
    </row>
    <row r="28" spans="1:8" x14ac:dyDescent="0.25">
      <c r="A28" s="44" t="s">
        <v>38</v>
      </c>
      <c r="B28" s="42" t="s">
        <v>1071</v>
      </c>
      <c r="C28" s="170">
        <v>2.99586776859504E-2</v>
      </c>
      <c r="D28" s="170">
        <v>9.4200000000000006E-2</v>
      </c>
      <c r="E28" s="170">
        <v>4.3459119496855297E-2</v>
      </c>
      <c r="F28" s="170">
        <v>6.6041666666666707E-2</v>
      </c>
      <c r="G28" s="170">
        <v>8.38235294117647E-2</v>
      </c>
      <c r="H28" s="112"/>
    </row>
    <row r="29" spans="1:8" x14ac:dyDescent="0.25">
      <c r="A29" s="44" t="s">
        <v>39</v>
      </c>
      <c r="B29" s="42" t="s">
        <v>1071</v>
      </c>
      <c r="C29" s="170">
        <v>3.0634920634920602E-2</v>
      </c>
      <c r="D29" s="170">
        <v>9.2307692307692299E-2</v>
      </c>
      <c r="E29" s="170">
        <v>4.4158415841584198E-2</v>
      </c>
      <c r="F29" s="170">
        <v>6.5609756097561006E-2</v>
      </c>
      <c r="G29" s="170">
        <v>8.4339080459770094E-2</v>
      </c>
      <c r="H29" s="112"/>
    </row>
    <row r="30" spans="1:8" x14ac:dyDescent="0.25">
      <c r="A30" s="44" t="s">
        <v>40</v>
      </c>
      <c r="B30" s="42" t="s">
        <v>1071</v>
      </c>
      <c r="C30" s="170">
        <v>0.108125</v>
      </c>
      <c r="D30" s="170">
        <v>0.15398936170212801</v>
      </c>
      <c r="E30" s="170">
        <v>0.153198653198653</v>
      </c>
      <c r="F30" s="170">
        <v>0.14896551724137899</v>
      </c>
      <c r="G30" s="170">
        <v>0.15503875968992201</v>
      </c>
      <c r="H30" s="112"/>
    </row>
  </sheetData>
  <sheetProtection algorithmName="SHA-512" hashValue="ujm8UW5nXqbJc9ckI8xz54T2nxLCaJk/1oVWEwYLf9yI4P8z8UbHtOaPZbpGAFATTQ3pvflywZOLNfgav+rVKw==" saltValue="mTZPLpkIiuGndLOsaopQ9w==" spinCount="100000" sheet="1" objects="1" scenarios="1" formatColumns="0" formatRows="0" autoFilter="0"/>
  <autoFilter ref="A1:G30"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BE30"/>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4" width="10.28515625" style="4" customWidth="1"/>
    <col min="5" max="5" width="8.5703125" style="4" bestFit="1" customWidth="1"/>
    <col min="6" max="6" width="8.5703125" style="5" bestFit="1" customWidth="1"/>
    <col min="7" max="7" width="8.28515625" style="5" bestFit="1" customWidth="1"/>
    <col min="8" max="9" width="8.5703125" style="5" bestFit="1" customWidth="1"/>
    <col min="10" max="10" width="9.7109375" style="5" bestFit="1" customWidth="1"/>
    <col min="11" max="11" width="10.85546875" style="5" bestFit="1" customWidth="1"/>
    <col min="12" max="12" width="9.7109375" style="5" bestFit="1" customWidth="1"/>
    <col min="13" max="13" width="10.7109375" style="5" bestFit="1" customWidth="1"/>
    <col min="14" max="15" width="10.5703125" style="5" bestFit="1" customWidth="1"/>
    <col min="16" max="16" width="11.5703125" style="5" bestFit="1" customWidth="1"/>
    <col min="17" max="17" width="9.7109375" style="2" bestFit="1" customWidth="1"/>
    <col min="18" max="18" width="9.5703125" style="2" bestFit="1" customWidth="1"/>
    <col min="19" max="20" width="10.5703125" style="2" bestFit="1" customWidth="1"/>
    <col min="21" max="21" width="11.5703125" style="2" bestFit="1" customWidth="1"/>
    <col min="22" max="22" width="9.85546875" style="2" bestFit="1" customWidth="1"/>
    <col min="23" max="23" width="9.7109375" style="2" bestFit="1" customWidth="1"/>
    <col min="24" max="25" width="10.7109375" style="2" bestFit="1" customWidth="1"/>
    <col min="26" max="26" width="11.7109375" style="2" bestFit="1" customWidth="1"/>
    <col min="27" max="27" width="10.42578125" style="2" bestFit="1" customWidth="1"/>
    <col min="28" max="28" width="10.28515625" style="2" bestFit="1" customWidth="1"/>
    <col min="29" max="30" width="11.28515625" style="2" bestFit="1" customWidth="1"/>
    <col min="31" max="32" width="12.28515625" style="2" bestFit="1" customWidth="1"/>
    <col min="33" max="33" width="10.5703125" style="2" bestFit="1" customWidth="1"/>
    <col min="34" max="34" width="10.85546875" style="2" bestFit="1" customWidth="1"/>
    <col min="35" max="35" width="10.5703125" style="2" bestFit="1" customWidth="1"/>
    <col min="36" max="36" width="10.28515625" style="2" bestFit="1" customWidth="1"/>
    <col min="37" max="37" width="10.28515625" style="2" customWidth="1"/>
    <col min="38" max="38" width="14.5703125" style="2" bestFit="1" customWidth="1"/>
    <col min="39" max="39" width="10.28515625" style="2" bestFit="1" customWidth="1"/>
    <col min="40" max="40" width="12.42578125" style="2" bestFit="1" customWidth="1"/>
    <col min="41" max="41" width="11.7109375" style="2" bestFit="1" customWidth="1"/>
    <col min="42" max="42" width="16.28515625" style="2" bestFit="1" customWidth="1"/>
    <col min="43" max="43" width="11.5703125" style="2" bestFit="1" customWidth="1"/>
    <col min="44" max="44" width="16.140625" style="2" bestFit="1" customWidth="1"/>
    <col min="45" max="45" width="9.7109375" style="2" bestFit="1" customWidth="1"/>
    <col min="46" max="46" width="9.28515625" style="2" bestFit="1" customWidth="1"/>
    <col min="47" max="47" width="8.5703125" style="2" bestFit="1" customWidth="1"/>
    <col min="48" max="48" width="11.85546875" style="2" bestFit="1" customWidth="1"/>
    <col min="49" max="49" width="11" style="2" bestFit="1" customWidth="1"/>
    <col min="50" max="50" width="12" style="2" bestFit="1" customWidth="1"/>
    <col min="51" max="51" width="8.42578125" style="3" bestFit="1" customWidth="1"/>
    <col min="52" max="52" width="11.42578125" style="3" bestFit="1" customWidth="1"/>
    <col min="53" max="53" width="11.28515625" style="2" bestFit="1" customWidth="1"/>
    <col min="54" max="54" width="10.85546875" style="3" bestFit="1" customWidth="1"/>
    <col min="55" max="55" width="12.42578125" style="3" bestFit="1" customWidth="1"/>
    <col min="56" max="57" width="8.5703125" style="3" bestFit="1" customWidth="1"/>
    <col min="58" max="16384" width="9.140625" style="3"/>
  </cols>
  <sheetData>
    <row r="1" spans="1:57" s="9" customFormat="1" x14ac:dyDescent="0.25">
      <c r="A1" s="78" t="s">
        <v>51</v>
      </c>
      <c r="B1" s="79" t="s">
        <v>348</v>
      </c>
      <c r="C1" s="79" t="s">
        <v>360</v>
      </c>
      <c r="D1" s="209" t="s">
        <v>1491</v>
      </c>
      <c r="E1" s="162" t="s">
        <v>0</v>
      </c>
      <c r="F1" s="162" t="s">
        <v>3</v>
      </c>
      <c r="G1" s="162" t="s">
        <v>2</v>
      </c>
      <c r="H1" s="162" t="s">
        <v>1</v>
      </c>
      <c r="I1" s="162" t="s">
        <v>4</v>
      </c>
      <c r="J1" s="162" t="s">
        <v>5</v>
      </c>
      <c r="K1" s="162" t="s">
        <v>6</v>
      </c>
      <c r="L1" s="162" t="s">
        <v>7</v>
      </c>
      <c r="M1" s="162" t="s">
        <v>8</v>
      </c>
      <c r="N1" s="162" t="s">
        <v>9</v>
      </c>
      <c r="O1" s="162" t="s">
        <v>10</v>
      </c>
      <c r="P1" s="162" t="s">
        <v>11</v>
      </c>
      <c r="Q1" s="163" t="s">
        <v>41</v>
      </c>
      <c r="R1" s="163" t="s">
        <v>42</v>
      </c>
      <c r="S1" s="163" t="s">
        <v>43</v>
      </c>
      <c r="T1" s="163" t="s">
        <v>44</v>
      </c>
      <c r="U1" s="163" t="s">
        <v>45</v>
      </c>
      <c r="V1" s="164" t="s">
        <v>46</v>
      </c>
      <c r="W1" s="164" t="s">
        <v>47</v>
      </c>
      <c r="X1" s="164" t="s">
        <v>48</v>
      </c>
      <c r="Y1" s="164" t="s">
        <v>49</v>
      </c>
      <c r="Z1" s="164" t="s">
        <v>50</v>
      </c>
      <c r="AA1" s="162" t="s">
        <v>361</v>
      </c>
      <c r="AB1" s="162" t="s">
        <v>362</v>
      </c>
      <c r="AC1" s="162" t="s">
        <v>363</v>
      </c>
      <c r="AD1" s="162" t="s">
        <v>364</v>
      </c>
      <c r="AE1" s="162" t="s">
        <v>365</v>
      </c>
      <c r="AF1" s="165" t="s">
        <v>335</v>
      </c>
      <c r="AG1" s="165" t="s">
        <v>336</v>
      </c>
      <c r="AH1" s="8" t="s">
        <v>337</v>
      </c>
      <c r="AI1" s="8" t="s">
        <v>338</v>
      </c>
      <c r="AJ1" s="8" t="s">
        <v>339</v>
      </c>
      <c r="AK1" s="8" t="s">
        <v>1502</v>
      </c>
      <c r="AL1" s="8" t="s">
        <v>340</v>
      </c>
      <c r="AM1" s="8" t="s">
        <v>341</v>
      </c>
      <c r="AN1" s="8" t="s">
        <v>342</v>
      </c>
      <c r="AO1" s="8" t="s">
        <v>1542</v>
      </c>
      <c r="AP1" s="8" t="s">
        <v>1070</v>
      </c>
      <c r="AQ1" s="8" t="s">
        <v>1068</v>
      </c>
      <c r="AR1" s="8" t="s">
        <v>1069</v>
      </c>
      <c r="AS1" s="8" t="s">
        <v>343</v>
      </c>
      <c r="AT1" s="8" t="s">
        <v>344</v>
      </c>
      <c r="AU1" s="166" t="s">
        <v>208</v>
      </c>
      <c r="AV1" s="166" t="s">
        <v>345</v>
      </c>
      <c r="AW1" s="166" t="s">
        <v>346</v>
      </c>
      <c r="AX1" s="167" t="s">
        <v>352</v>
      </c>
      <c r="AY1" s="167" t="s">
        <v>353</v>
      </c>
      <c r="AZ1" s="168" t="s">
        <v>358</v>
      </c>
      <c r="BA1" s="168" t="s">
        <v>357</v>
      </c>
      <c r="BB1" s="168" t="s">
        <v>356</v>
      </c>
      <c r="BC1" s="169" t="s">
        <v>359</v>
      </c>
      <c r="BD1" s="167" t="s">
        <v>371</v>
      </c>
      <c r="BE1" s="167" t="s">
        <v>374</v>
      </c>
    </row>
    <row r="2" spans="1:57" x14ac:dyDescent="0.25">
      <c r="A2" s="44" t="s">
        <v>12</v>
      </c>
      <c r="B2" s="42" t="s">
        <v>1071</v>
      </c>
      <c r="C2" s="42"/>
      <c r="D2" s="3"/>
      <c r="E2" s="15">
        <v>4.8839999999999999E-10</v>
      </c>
      <c r="F2" s="15">
        <v>2.8564E-8</v>
      </c>
      <c r="G2" s="15">
        <v>4.1217381359999998E-8</v>
      </c>
      <c r="H2" s="15">
        <v>2.7158000000000001E-10</v>
      </c>
      <c r="I2" s="15">
        <v>1.8907E-10</v>
      </c>
      <c r="J2" s="15">
        <v>9.0279999999999997E-11</v>
      </c>
      <c r="K2" s="15">
        <v>5.1492535920000001E-11</v>
      </c>
      <c r="L2" s="15">
        <v>1.202660136E-8</v>
      </c>
      <c r="M2" s="15">
        <v>1.1407756824E-13</v>
      </c>
      <c r="N2" s="15">
        <v>1.1545537305600001E-8</v>
      </c>
      <c r="O2" s="15">
        <v>2.9891358720000003E-8</v>
      </c>
      <c r="P2" s="15">
        <v>4.0166513280000001E-8</v>
      </c>
      <c r="Q2" s="170">
        <v>0.98115942028985503</v>
      </c>
      <c r="R2" s="170">
        <v>0.94192634560906496</v>
      </c>
      <c r="S2" s="170">
        <v>0.931707317073171</v>
      </c>
      <c r="T2" s="170">
        <v>0.91452991452991494</v>
      </c>
      <c r="U2" s="170">
        <v>0.91685393258426995</v>
      </c>
      <c r="V2" s="170">
        <v>1.1999999999999999E-3</v>
      </c>
      <c r="W2" s="170">
        <v>0.02</v>
      </c>
      <c r="X2" s="170">
        <v>0.01</v>
      </c>
      <c r="Y2" s="170">
        <v>1.4999999999999999E-2</v>
      </c>
      <c r="Z2" s="170">
        <v>1.7999999999999999E-2</v>
      </c>
      <c r="AA2" s="105">
        <f t="shared" ref="AA2:AE3" si="0">0.4*V2</f>
        <v>4.7999999999999996E-4</v>
      </c>
      <c r="AB2" s="105">
        <f t="shared" si="0"/>
        <v>8.0000000000000002E-3</v>
      </c>
      <c r="AC2" s="105">
        <f t="shared" si="0"/>
        <v>4.0000000000000001E-3</v>
      </c>
      <c r="AD2" s="105">
        <f t="shared" si="0"/>
        <v>6.0000000000000001E-3</v>
      </c>
      <c r="AE2" s="105">
        <f t="shared" si="0"/>
        <v>7.1999999999999998E-3</v>
      </c>
      <c r="AF2" s="15">
        <v>2.7397260273972601E-2</v>
      </c>
      <c r="AG2" s="15">
        <v>225</v>
      </c>
      <c r="AH2" s="2">
        <v>1.9999999999999999E-6</v>
      </c>
      <c r="AI2" s="2">
        <v>2.0000000000000002E-5</v>
      </c>
      <c r="AJ2" s="2">
        <v>15</v>
      </c>
      <c r="AK2" s="2" t="s">
        <v>1503</v>
      </c>
      <c r="AL2" s="2" t="s">
        <v>1503</v>
      </c>
      <c r="AM2" s="2" t="s">
        <v>1503</v>
      </c>
      <c r="AN2" s="2" t="s">
        <v>1503</v>
      </c>
      <c r="AO2" s="2" t="s">
        <v>1503</v>
      </c>
      <c r="AP2" s="2" t="s">
        <v>1503</v>
      </c>
      <c r="AQ2" s="2" t="s">
        <v>1503</v>
      </c>
      <c r="AR2" s="2" t="s">
        <v>1503</v>
      </c>
      <c r="AS2" s="2">
        <v>1E-3</v>
      </c>
      <c r="AT2" s="2">
        <v>0.1</v>
      </c>
      <c r="AU2" s="15">
        <v>1700</v>
      </c>
      <c r="AV2" s="15">
        <v>5.0000000000000001E-4</v>
      </c>
      <c r="AW2" s="15">
        <v>25.294499999999999</v>
      </c>
      <c r="AX2" s="42">
        <v>15</v>
      </c>
      <c r="AY2" s="42">
        <v>225</v>
      </c>
      <c r="AZ2" s="105">
        <f>BB2+s_lambda_HL</f>
        <v>5.5000000000000002E-5</v>
      </c>
      <c r="BA2" s="105">
        <f>BB2+(0.693/s_t_w)</f>
        <v>0.1386</v>
      </c>
      <c r="BB2" s="105">
        <v>0</v>
      </c>
      <c r="BC2" s="15">
        <v>10</v>
      </c>
      <c r="BD2" s="105">
        <f t="shared" ref="BD2" si="1">AT2</f>
        <v>0.1</v>
      </c>
      <c r="BE2" s="105">
        <f t="shared" ref="BE2" si="2">AS2</f>
        <v>1E-3</v>
      </c>
    </row>
    <row r="3" spans="1:57" x14ac:dyDescent="0.25">
      <c r="A3" s="46" t="s">
        <v>13</v>
      </c>
      <c r="B3" s="42" t="s">
        <v>349</v>
      </c>
      <c r="C3" s="42"/>
      <c r="D3" s="3"/>
      <c r="E3" s="15">
        <v>1.8425999999999999E-10</v>
      </c>
      <c r="F3" s="15">
        <v>3.7739999999999999E-8</v>
      </c>
      <c r="G3" s="15">
        <v>2.767285944E-8</v>
      </c>
      <c r="H3" s="15">
        <v>1.3357000000000001E-10</v>
      </c>
      <c r="I3" s="15">
        <v>1.036E-10</v>
      </c>
      <c r="J3" s="15">
        <v>9.1019999999999999E-11</v>
      </c>
      <c r="K3" s="15">
        <v>5.8031270640000001E-11</v>
      </c>
      <c r="L3" s="15">
        <v>1.86820992E-8</v>
      </c>
      <c r="M3" s="15">
        <v>1.319423256E-13</v>
      </c>
      <c r="N3" s="15">
        <v>1.3754695536000001E-8</v>
      </c>
      <c r="O3" s="15">
        <v>2.5781296896000001E-8</v>
      </c>
      <c r="P3" s="15">
        <v>2.767285944E-8</v>
      </c>
      <c r="Q3" s="170">
        <v>0.98581560283687897</v>
      </c>
      <c r="R3" s="170">
        <v>0.95726495726495697</v>
      </c>
      <c r="S3" s="170">
        <v>0.93096234309623405</v>
      </c>
      <c r="T3" s="170">
        <v>0.90049751243781095</v>
      </c>
      <c r="U3" s="170">
        <v>0.87357630979498901</v>
      </c>
      <c r="V3" s="170">
        <v>6.7000000000000002E-5</v>
      </c>
      <c r="W3" s="170">
        <v>1.4999999999999999E-4</v>
      </c>
      <c r="X3" s="170">
        <v>1.1E-4</v>
      </c>
      <c r="Y3" s="170">
        <v>1.4999999999999999E-4</v>
      </c>
      <c r="Z3" s="170">
        <v>1.4999999999999999E-4</v>
      </c>
      <c r="AA3" s="105">
        <f t="shared" si="0"/>
        <v>2.6800000000000001E-5</v>
      </c>
      <c r="AB3" s="105">
        <f t="shared" si="0"/>
        <v>5.9999999999999995E-5</v>
      </c>
      <c r="AC3" s="105">
        <f t="shared" si="0"/>
        <v>4.4000000000000006E-5</v>
      </c>
      <c r="AD3" s="105">
        <f t="shared" si="0"/>
        <v>5.9999999999999995E-5</v>
      </c>
      <c r="AE3" s="105">
        <f t="shared" si="0"/>
        <v>5.9999999999999995E-5</v>
      </c>
      <c r="AF3" s="15">
        <v>432.2</v>
      </c>
      <c r="AG3" s="15">
        <v>241</v>
      </c>
      <c r="AH3" s="2">
        <v>4.2E-7</v>
      </c>
      <c r="AI3" s="2">
        <v>5.0000000000000001E-4</v>
      </c>
      <c r="AJ3" s="2">
        <v>240</v>
      </c>
      <c r="AK3" s="2">
        <v>2400</v>
      </c>
      <c r="AL3" s="2">
        <v>6.0000000000000001E-3</v>
      </c>
      <c r="AM3" s="2">
        <v>3.0000000000000001E-3</v>
      </c>
      <c r="AN3" s="2">
        <v>1.7000000000000001E-4</v>
      </c>
      <c r="AO3" s="239">
        <v>1.1E-4</v>
      </c>
      <c r="AP3" s="2" t="s">
        <v>1503</v>
      </c>
      <c r="AQ3" s="2" t="s">
        <v>1503</v>
      </c>
      <c r="AR3" s="239">
        <v>6.9E-6</v>
      </c>
      <c r="AS3" s="2">
        <v>2.1999999999999999E-5</v>
      </c>
      <c r="AT3" s="2">
        <v>2.5287356321838999E-5</v>
      </c>
      <c r="AU3" s="15">
        <v>4</v>
      </c>
      <c r="AV3" s="15">
        <v>5.0000000000000001E-4</v>
      </c>
      <c r="AW3" s="15">
        <v>1.60342434058306E-3</v>
      </c>
      <c r="AX3" s="42">
        <v>15</v>
      </c>
      <c r="AY3" s="42">
        <v>241</v>
      </c>
      <c r="AZ3" s="105">
        <f t="shared" ref="AZ3" si="3">BB3+s_lambda_HL</f>
        <v>5.5000000000000002E-5</v>
      </c>
      <c r="BA3" s="105">
        <f t="shared" ref="BA3" si="4">BB3+(0.693/s_t_w)</f>
        <v>0.1386</v>
      </c>
      <c r="BB3" s="105">
        <v>0</v>
      </c>
      <c r="BC3" s="15">
        <v>157753</v>
      </c>
      <c r="BD3" s="105">
        <f>AT3</f>
        <v>2.5287356321838999E-5</v>
      </c>
      <c r="BE3" s="105">
        <f>AS3</f>
        <v>2.1999999999999999E-5</v>
      </c>
    </row>
    <row r="4" spans="1:57" x14ac:dyDescent="0.25">
      <c r="A4" s="44" t="s">
        <v>14</v>
      </c>
      <c r="B4" s="42" t="s">
        <v>1071</v>
      </c>
      <c r="C4" s="42"/>
      <c r="D4" s="2"/>
      <c r="E4" s="15">
        <v>0</v>
      </c>
      <c r="F4" s="15">
        <v>0</v>
      </c>
      <c r="G4" s="15">
        <v>9.364402224000001E-10</v>
      </c>
      <c r="H4" s="15">
        <v>0</v>
      </c>
      <c r="I4" s="15">
        <v>0</v>
      </c>
      <c r="J4" s="15">
        <v>0</v>
      </c>
      <c r="K4" s="15">
        <v>9.7613968320000008E-13</v>
      </c>
      <c r="L4" s="15">
        <v>2.125088784E-10</v>
      </c>
      <c r="M4" s="15">
        <v>2.1367650959999998E-15</v>
      </c>
      <c r="N4" s="15">
        <v>2.1671235072E-10</v>
      </c>
      <c r="O4" s="15">
        <v>5.9782717440000002E-10</v>
      </c>
      <c r="P4" s="15">
        <v>8.7805866240000002E-10</v>
      </c>
      <c r="Q4" s="170">
        <v>0.914201183431953</v>
      </c>
      <c r="R4" s="170">
        <v>0.85714285714285698</v>
      </c>
      <c r="S4" s="170">
        <v>0.90909090909090895</v>
      </c>
      <c r="T4" s="170">
        <v>0.91269841269841301</v>
      </c>
      <c r="U4" s="170">
        <v>0.89869753979739497</v>
      </c>
      <c r="V4" s="170">
        <v>1.4E-2</v>
      </c>
      <c r="W4" s="170">
        <v>4.4999999999999998E-2</v>
      </c>
      <c r="X4" s="170">
        <v>2.5999999999999999E-2</v>
      </c>
      <c r="Y4" s="170">
        <v>3.5999999999999997E-2</v>
      </c>
      <c r="Z4" s="170">
        <v>4.2000000000000003E-2</v>
      </c>
      <c r="AA4" s="105">
        <f t="shared" ref="AA4:AE5" si="5">0.4*V4</f>
        <v>5.6000000000000008E-3</v>
      </c>
      <c r="AB4" s="105">
        <f t="shared" si="5"/>
        <v>1.7999999999999999E-2</v>
      </c>
      <c r="AC4" s="105">
        <f t="shared" si="5"/>
        <v>1.04E-2</v>
      </c>
      <c r="AD4" s="105">
        <f t="shared" si="5"/>
        <v>1.44E-2</v>
      </c>
      <c r="AE4" s="105">
        <f t="shared" si="5"/>
        <v>1.6800000000000002E-2</v>
      </c>
      <c r="AF4" s="15">
        <v>1.0242262810756E-9</v>
      </c>
      <c r="AG4" s="15">
        <v>217</v>
      </c>
      <c r="AH4" s="2">
        <v>0.01</v>
      </c>
      <c r="AI4" s="2">
        <v>0.01</v>
      </c>
      <c r="AJ4" s="2" t="s">
        <v>1503</v>
      </c>
      <c r="AK4" s="2" t="s">
        <v>1503</v>
      </c>
      <c r="AL4" s="2" t="s">
        <v>1503</v>
      </c>
      <c r="AM4" s="2" t="s">
        <v>1503</v>
      </c>
      <c r="AN4" s="2" t="s">
        <v>1503</v>
      </c>
      <c r="AO4" s="2" t="s">
        <v>1503</v>
      </c>
      <c r="AP4" s="2" t="s">
        <v>1503</v>
      </c>
      <c r="AQ4" s="2" t="s">
        <v>1503</v>
      </c>
      <c r="AR4" s="2" t="s">
        <v>1503</v>
      </c>
      <c r="AS4" s="2">
        <v>0.2</v>
      </c>
      <c r="AT4" s="2">
        <v>0.9</v>
      </c>
      <c r="AU4" s="15">
        <v>10</v>
      </c>
      <c r="AV4" s="15"/>
      <c r="AW4" s="15">
        <v>676608297.21362197</v>
      </c>
      <c r="AX4" s="42">
        <v>15</v>
      </c>
      <c r="AY4" s="42">
        <v>217</v>
      </c>
      <c r="AZ4" s="105">
        <f t="shared" ref="AZ4:AZ5" si="6">BB4+s_lambda_HL</f>
        <v>5.5000000000000002E-5</v>
      </c>
      <c r="BA4" s="105">
        <f t="shared" ref="BA4:BA5" si="7">BB4+(0.693/s_t_w)</f>
        <v>0.1386</v>
      </c>
      <c r="BB4" s="105">
        <v>0</v>
      </c>
      <c r="BC4" s="15">
        <v>3.7384259259259298E-7</v>
      </c>
      <c r="BD4" s="105">
        <f t="shared" ref="BD4:BD5" si="8">AT4</f>
        <v>0.9</v>
      </c>
      <c r="BE4" s="105">
        <f t="shared" ref="BE4:BE5" si="9">AS4</f>
        <v>0.2</v>
      </c>
    </row>
    <row r="5" spans="1:57" x14ac:dyDescent="0.25">
      <c r="A5" s="44" t="s">
        <v>15</v>
      </c>
      <c r="B5" s="42" t="s">
        <v>1071</v>
      </c>
      <c r="C5" s="42">
        <v>1</v>
      </c>
      <c r="D5" s="247">
        <v>1.4526200000000001E-4</v>
      </c>
      <c r="E5" s="15">
        <v>0</v>
      </c>
      <c r="F5" s="15">
        <v>0</v>
      </c>
      <c r="G5" s="15">
        <v>2.7439333200000001E-11</v>
      </c>
      <c r="H5" s="15">
        <v>0</v>
      </c>
      <c r="I5" s="15">
        <v>0</v>
      </c>
      <c r="J5" s="15">
        <v>0</v>
      </c>
      <c r="K5" s="15">
        <v>3.0825463680000002E-14</v>
      </c>
      <c r="L5" s="15">
        <v>1.9966493520000001E-11</v>
      </c>
      <c r="M5" s="15">
        <v>5.1259009680000003E-17</v>
      </c>
      <c r="N5" s="15">
        <v>8.3882625408000002E-12</v>
      </c>
      <c r="O5" s="15">
        <v>1.8436896648E-11</v>
      </c>
      <c r="P5" s="15">
        <v>2.5571123280000002E-11</v>
      </c>
      <c r="Q5" s="170">
        <v>0.9</v>
      </c>
      <c r="R5" s="170">
        <v>0.9</v>
      </c>
      <c r="S5" s="170">
        <v>0.9</v>
      </c>
      <c r="T5" s="170">
        <v>0.9</v>
      </c>
      <c r="U5" s="170">
        <v>0.9</v>
      </c>
      <c r="V5" s="170">
        <v>0</v>
      </c>
      <c r="W5" s="170">
        <v>0</v>
      </c>
      <c r="X5" s="170">
        <v>0</v>
      </c>
      <c r="Y5" s="170">
        <v>0</v>
      </c>
      <c r="Z5" s="170">
        <v>0</v>
      </c>
      <c r="AA5" s="105">
        <f t="shared" si="5"/>
        <v>0</v>
      </c>
      <c r="AB5" s="105">
        <f t="shared" si="5"/>
        <v>0</v>
      </c>
      <c r="AC5" s="105">
        <f t="shared" si="5"/>
        <v>0</v>
      </c>
      <c r="AD5" s="105">
        <f t="shared" si="5"/>
        <v>0</v>
      </c>
      <c r="AE5" s="105">
        <f t="shared" si="5"/>
        <v>0</v>
      </c>
      <c r="AF5" s="15">
        <v>4.7564687975646899E-8</v>
      </c>
      <c r="AG5" s="15">
        <v>218</v>
      </c>
      <c r="AH5" s="2">
        <v>0.01</v>
      </c>
      <c r="AI5" s="2">
        <v>0.01</v>
      </c>
      <c r="AJ5" s="2" t="s">
        <v>1503</v>
      </c>
      <c r="AK5" s="2" t="s">
        <v>1503</v>
      </c>
      <c r="AL5" s="2" t="s">
        <v>1503</v>
      </c>
      <c r="AM5" s="2" t="s">
        <v>1503</v>
      </c>
      <c r="AN5" s="2" t="s">
        <v>1503</v>
      </c>
      <c r="AO5" s="2" t="s">
        <v>1503</v>
      </c>
      <c r="AP5" s="2" t="s">
        <v>1503</v>
      </c>
      <c r="AQ5" s="2" t="s">
        <v>1503</v>
      </c>
      <c r="AR5" s="2" t="s">
        <v>1503</v>
      </c>
      <c r="AS5" s="2">
        <v>0.2</v>
      </c>
      <c r="AT5" s="2">
        <v>0.9</v>
      </c>
      <c r="AU5" s="15">
        <v>10</v>
      </c>
      <c r="AV5" s="15"/>
      <c r="AW5" s="15">
        <v>14569632</v>
      </c>
      <c r="AX5" s="42">
        <v>15</v>
      </c>
      <c r="AY5" s="42">
        <v>218</v>
      </c>
      <c r="AZ5" s="105">
        <f t="shared" si="6"/>
        <v>5.5000000000000002E-5</v>
      </c>
      <c r="BA5" s="105">
        <f t="shared" si="7"/>
        <v>0.1386</v>
      </c>
      <c r="BB5" s="105">
        <v>0</v>
      </c>
      <c r="BC5" s="15">
        <v>1.7361111111111101E-5</v>
      </c>
      <c r="BD5" s="105">
        <f t="shared" si="8"/>
        <v>0.9</v>
      </c>
      <c r="BE5" s="105">
        <f t="shared" si="9"/>
        <v>0.2</v>
      </c>
    </row>
    <row r="6" spans="1:57" x14ac:dyDescent="0.25">
      <c r="A6" s="44" t="s">
        <v>16</v>
      </c>
      <c r="B6" s="42" t="s">
        <v>1071</v>
      </c>
      <c r="C6" s="42"/>
      <c r="D6" s="2"/>
      <c r="E6" s="15">
        <v>0</v>
      </c>
      <c r="F6" s="15">
        <v>0</v>
      </c>
      <c r="G6" s="15">
        <v>2.6855517600000001E-6</v>
      </c>
      <c r="H6" s="15">
        <v>0</v>
      </c>
      <c r="I6" s="15">
        <v>0</v>
      </c>
      <c r="J6" s="15">
        <v>0</v>
      </c>
      <c r="K6" s="15">
        <v>2.5220833919999999E-9</v>
      </c>
      <c r="L6" s="15">
        <v>5.3594272079999995E-7</v>
      </c>
      <c r="M6" s="15">
        <v>5.4645140159999999E-12</v>
      </c>
      <c r="N6" s="15">
        <v>5.4738550656000004E-7</v>
      </c>
      <c r="O6" s="15">
        <v>1.5436084463999999E-6</v>
      </c>
      <c r="P6" s="15">
        <v>2.3936439600000001E-6</v>
      </c>
      <c r="Q6" s="170">
        <v>0.88636363636363602</v>
      </c>
      <c r="R6" s="170">
        <v>0.91519434628975305</v>
      </c>
      <c r="S6" s="170">
        <v>0.93487394957983205</v>
      </c>
      <c r="T6" s="170">
        <v>0.91752577319587603</v>
      </c>
      <c r="U6" s="170">
        <v>0.95541401273885396</v>
      </c>
      <c r="V6" s="170">
        <v>2.7E-2</v>
      </c>
      <c r="W6" s="170">
        <v>8.2000000000000003E-2</v>
      </c>
      <c r="X6" s="170">
        <v>4.2999999999999997E-2</v>
      </c>
      <c r="Y6" s="170">
        <v>6.2E-2</v>
      </c>
      <c r="Z6" s="170">
        <v>7.1999999999999995E-2</v>
      </c>
      <c r="AA6" s="105">
        <f t="shared" ref="AA6:AE7" si="10">0.4*V6</f>
        <v>1.0800000000000001E-2</v>
      </c>
      <c r="AB6" s="105">
        <f t="shared" si="10"/>
        <v>3.2800000000000003E-2</v>
      </c>
      <c r="AC6" s="105">
        <f t="shared" si="10"/>
        <v>1.72E-2</v>
      </c>
      <c r="AD6" s="105">
        <f t="shared" si="10"/>
        <v>2.4800000000000003E-2</v>
      </c>
      <c r="AE6" s="105">
        <f t="shared" si="10"/>
        <v>2.8799999999999999E-2</v>
      </c>
      <c r="AF6" s="15">
        <v>4.8554033485540298E-6</v>
      </c>
      <c r="AG6" s="15">
        <v>137</v>
      </c>
      <c r="AH6" s="2">
        <v>1.6000000000000001E-4</v>
      </c>
      <c r="AI6" s="2">
        <v>1.3999999999999999E-4</v>
      </c>
      <c r="AJ6" s="2">
        <v>1.2</v>
      </c>
      <c r="AK6" s="2">
        <v>140</v>
      </c>
      <c r="AL6" s="2">
        <v>1.9E-2</v>
      </c>
      <c r="AM6" s="2">
        <v>0.87</v>
      </c>
      <c r="AN6" s="2" t="s">
        <v>1503</v>
      </c>
      <c r="AO6" s="239">
        <v>5.0000000000000001E-3</v>
      </c>
      <c r="AP6" s="239">
        <v>4.1000000000000002E-2</v>
      </c>
      <c r="AQ6" s="239">
        <v>1.2999999999999999E-5</v>
      </c>
      <c r="AR6" s="239">
        <v>1.0999999999999999E-2</v>
      </c>
      <c r="AS6" s="2">
        <v>1E-3</v>
      </c>
      <c r="AT6" s="2">
        <v>1.1494252873562999E-3</v>
      </c>
      <c r="AU6" s="15">
        <v>0.4</v>
      </c>
      <c r="AV6" s="15"/>
      <c r="AW6" s="15">
        <v>142727.58620689699</v>
      </c>
      <c r="AX6" s="42"/>
      <c r="AY6" s="42">
        <v>137</v>
      </c>
      <c r="AZ6" s="105">
        <f t="shared" ref="AZ6:AZ9" si="11">BB6+s_lambda_HL</f>
        <v>5.5000000000000002E-5</v>
      </c>
      <c r="BA6" s="105">
        <f t="shared" ref="BA6:BA9" si="12">BB6+(0.693/s_t_w)</f>
        <v>0.1386</v>
      </c>
      <c r="BB6" s="105">
        <v>0</v>
      </c>
      <c r="BC6" s="15">
        <v>1.77222222222222E-3</v>
      </c>
      <c r="BD6" s="105">
        <f t="shared" ref="BD6:BD9" si="13">AT6</f>
        <v>1.1494252873562999E-3</v>
      </c>
      <c r="BE6" s="105">
        <f t="shared" ref="BE6:BE9" si="14">AS6</f>
        <v>1E-3</v>
      </c>
    </row>
    <row r="7" spans="1:57" x14ac:dyDescent="0.25">
      <c r="A7" s="44" t="s">
        <v>17</v>
      </c>
      <c r="B7" s="42" t="s">
        <v>1071</v>
      </c>
      <c r="C7" s="42">
        <v>1</v>
      </c>
      <c r="D7" s="247">
        <v>0</v>
      </c>
      <c r="E7" s="15">
        <v>2.4013E-11</v>
      </c>
      <c r="F7" s="15">
        <v>4.5510000000000001E-10</v>
      </c>
      <c r="G7" s="15">
        <v>2.7672859440000002E-9</v>
      </c>
      <c r="H7" s="15">
        <v>1.3023999999999999E-11</v>
      </c>
      <c r="I7" s="15">
        <v>8.9170000000000001E-12</v>
      </c>
      <c r="J7" s="15">
        <v>3.7369999999999999E-12</v>
      </c>
      <c r="K7" s="15">
        <v>5.2893693360000002E-12</v>
      </c>
      <c r="L7" s="15">
        <v>4.8223168560000003E-9</v>
      </c>
      <c r="M7" s="15">
        <v>7.82312904E-15</v>
      </c>
      <c r="N7" s="15">
        <v>9.5465526912000009E-10</v>
      </c>
      <c r="O7" s="15">
        <v>2.0550309120000001E-9</v>
      </c>
      <c r="P7" s="15">
        <v>2.6855517600000001E-9</v>
      </c>
      <c r="Q7" s="170">
        <v>0.90997566909975702</v>
      </c>
      <c r="R7" s="170">
        <v>0.867088607594937</v>
      </c>
      <c r="S7" s="170">
        <v>0.90839694656488501</v>
      </c>
      <c r="T7" s="170">
        <v>0.92993630573248398</v>
      </c>
      <c r="U7" s="170">
        <v>0.87429854096520798</v>
      </c>
      <c r="V7" s="170">
        <v>1.4E-2</v>
      </c>
      <c r="W7" s="170">
        <v>0.04</v>
      </c>
      <c r="X7" s="170">
        <v>2.4E-2</v>
      </c>
      <c r="Y7" s="170">
        <v>3.2000000000000001E-2</v>
      </c>
      <c r="Z7" s="170">
        <v>3.6999999999999998E-2</v>
      </c>
      <c r="AA7" s="105">
        <f t="shared" si="10"/>
        <v>5.6000000000000008E-3</v>
      </c>
      <c r="AB7" s="105">
        <f t="shared" si="10"/>
        <v>1.6E-2</v>
      </c>
      <c r="AC7" s="105">
        <f t="shared" si="10"/>
        <v>9.6000000000000009E-3</v>
      </c>
      <c r="AD7" s="105">
        <f t="shared" si="10"/>
        <v>1.2800000000000001E-2</v>
      </c>
      <c r="AE7" s="105">
        <f t="shared" si="10"/>
        <v>1.4800000000000001E-2</v>
      </c>
      <c r="AF7" s="15">
        <v>1.37342465753425E-2</v>
      </c>
      <c r="AG7" s="15">
        <v>210</v>
      </c>
      <c r="AH7" s="2">
        <v>1E-3</v>
      </c>
      <c r="AI7" s="2">
        <v>2E-3</v>
      </c>
      <c r="AJ7" s="2">
        <v>15</v>
      </c>
      <c r="AK7" s="2" t="s">
        <v>1503</v>
      </c>
      <c r="AL7" s="2" t="s">
        <v>1503</v>
      </c>
      <c r="AM7" s="2" t="s">
        <v>1503</v>
      </c>
      <c r="AN7" s="2" t="s">
        <v>1503</v>
      </c>
      <c r="AO7" s="2" t="s">
        <v>1503</v>
      </c>
      <c r="AP7" s="2" t="s">
        <v>1503</v>
      </c>
      <c r="AQ7" s="2" t="s">
        <v>1503</v>
      </c>
      <c r="AR7" s="2" t="s">
        <v>1503</v>
      </c>
      <c r="AS7" s="2">
        <v>0.1</v>
      </c>
      <c r="AT7" s="2">
        <v>0.5</v>
      </c>
      <c r="AU7" s="15">
        <v>480</v>
      </c>
      <c r="AV7" s="15">
        <v>0.05</v>
      </c>
      <c r="AW7" s="15">
        <v>50.457809694793497</v>
      </c>
      <c r="AX7" s="42">
        <v>15</v>
      </c>
      <c r="AY7" s="42">
        <v>210</v>
      </c>
      <c r="AZ7" s="105">
        <f t="shared" si="11"/>
        <v>5.5000000000000002E-5</v>
      </c>
      <c r="BA7" s="105">
        <f t="shared" si="12"/>
        <v>0.1386</v>
      </c>
      <c r="BB7" s="105">
        <v>0</v>
      </c>
      <c r="BC7" s="15">
        <v>5.0129999999999999</v>
      </c>
      <c r="BD7" s="105">
        <f t="shared" si="13"/>
        <v>0.5</v>
      </c>
      <c r="BE7" s="105">
        <f t="shared" si="14"/>
        <v>0.1</v>
      </c>
    </row>
    <row r="8" spans="1:57" x14ac:dyDescent="0.25">
      <c r="A8" s="44" t="s">
        <v>18</v>
      </c>
      <c r="B8" s="42" t="s">
        <v>1071</v>
      </c>
      <c r="C8" s="42"/>
      <c r="D8" s="2"/>
      <c r="E8" s="15">
        <v>1.1914E-12</v>
      </c>
      <c r="F8" s="15">
        <v>7.4000000000000003E-11</v>
      </c>
      <c r="G8" s="15">
        <v>5.4294850800000002E-7</v>
      </c>
      <c r="H8" s="15">
        <v>7.1780000000000003E-13</v>
      </c>
      <c r="I8" s="15">
        <v>5.0689999999999999E-13</v>
      </c>
      <c r="J8" s="15">
        <v>3.1709000000000002E-13</v>
      </c>
      <c r="K8" s="15">
        <v>5.3243982719999998E-10</v>
      </c>
      <c r="L8" s="15">
        <v>1.2026601359999999E-7</v>
      </c>
      <c r="M8" s="15">
        <v>1.1559548879999999E-12</v>
      </c>
      <c r="N8" s="15">
        <v>1.1769722496E-7</v>
      </c>
      <c r="O8" s="15">
        <v>3.2880494591999999E-7</v>
      </c>
      <c r="P8" s="15">
        <v>4.9741089120000005E-7</v>
      </c>
      <c r="Q8" s="170">
        <v>0.88690476190476197</v>
      </c>
      <c r="R8" s="170">
        <v>0.97311827956989205</v>
      </c>
      <c r="S8" s="170">
        <v>0.93904761904761902</v>
      </c>
      <c r="T8" s="170">
        <v>0.93809523809523798</v>
      </c>
      <c r="U8" s="170">
        <v>0.89295774647887305</v>
      </c>
      <c r="V8" s="170">
        <v>0.02</v>
      </c>
      <c r="W8" s="170">
        <v>6.2E-2</v>
      </c>
      <c r="X8" s="170">
        <v>3.5000000000000003E-2</v>
      </c>
      <c r="Y8" s="170">
        <v>4.8000000000000001E-2</v>
      </c>
      <c r="Z8" s="170">
        <v>5.5E-2</v>
      </c>
      <c r="AA8" s="105">
        <f t="shared" ref="AA8:AE9" si="15">0.4*V8</f>
        <v>8.0000000000000002E-3</v>
      </c>
      <c r="AB8" s="105">
        <f t="shared" si="15"/>
        <v>2.4800000000000003E-2</v>
      </c>
      <c r="AC8" s="105">
        <f t="shared" si="15"/>
        <v>1.4000000000000002E-2</v>
      </c>
      <c r="AD8" s="105">
        <f t="shared" si="15"/>
        <v>1.9200000000000002E-2</v>
      </c>
      <c r="AE8" s="105">
        <f t="shared" si="15"/>
        <v>2.2000000000000002E-2</v>
      </c>
      <c r="AF8" s="15">
        <v>8.6738964992389594E-5</v>
      </c>
      <c r="AG8" s="15">
        <v>213</v>
      </c>
      <c r="AH8" s="2">
        <v>1E-3</v>
      </c>
      <c r="AI8" s="2">
        <v>2E-3</v>
      </c>
      <c r="AJ8" s="2">
        <v>15</v>
      </c>
      <c r="AK8" s="2" t="s">
        <v>1503</v>
      </c>
      <c r="AL8" s="2" t="s">
        <v>1503</v>
      </c>
      <c r="AM8" s="2" t="s">
        <v>1503</v>
      </c>
      <c r="AN8" s="2" t="s">
        <v>1503</v>
      </c>
      <c r="AO8" s="2" t="s">
        <v>1503</v>
      </c>
      <c r="AP8" s="2" t="s">
        <v>1503</v>
      </c>
      <c r="AQ8" s="2" t="s">
        <v>1503</v>
      </c>
      <c r="AR8" s="2" t="s">
        <v>1503</v>
      </c>
      <c r="AS8" s="2">
        <v>0.1</v>
      </c>
      <c r="AT8" s="2">
        <v>0.5</v>
      </c>
      <c r="AU8" s="15">
        <v>480</v>
      </c>
      <c r="AV8" s="15">
        <v>0.05</v>
      </c>
      <c r="AW8" s="15">
        <v>7989.4889230094304</v>
      </c>
      <c r="AX8" s="42">
        <v>15</v>
      </c>
      <c r="AY8" s="42">
        <v>213</v>
      </c>
      <c r="AZ8" s="105">
        <f t="shared" si="11"/>
        <v>5.5000000000000002E-5</v>
      </c>
      <c r="BA8" s="105">
        <f t="shared" si="12"/>
        <v>0.1386</v>
      </c>
      <c r="BB8" s="105">
        <v>0</v>
      </c>
      <c r="BC8" s="15">
        <v>3.16597222222222E-2</v>
      </c>
      <c r="BD8" s="105">
        <f t="shared" si="13"/>
        <v>0.5</v>
      </c>
      <c r="BE8" s="105">
        <f t="shared" si="14"/>
        <v>0.1</v>
      </c>
    </row>
    <row r="9" spans="1:57" x14ac:dyDescent="0.25">
      <c r="A9" s="44" t="s">
        <v>19</v>
      </c>
      <c r="B9" s="42" t="s">
        <v>1071</v>
      </c>
      <c r="C9" s="42">
        <v>1</v>
      </c>
      <c r="D9" s="247">
        <v>5.0904311000000001E-2</v>
      </c>
      <c r="E9" s="15">
        <v>4.0330000000000001E-13</v>
      </c>
      <c r="F9" s="15">
        <v>6.1799999999999996E-11</v>
      </c>
      <c r="G9" s="15">
        <v>7.3444002480000004E-6</v>
      </c>
      <c r="H9" s="15">
        <v>2.6529000000000002E-13</v>
      </c>
      <c r="I9" s="15">
        <v>1.9202999999999999E-13</v>
      </c>
      <c r="J9" s="15">
        <v>1.4726E-13</v>
      </c>
      <c r="K9" s="15">
        <v>6.6905267759999996E-9</v>
      </c>
      <c r="L9" s="15">
        <v>1.2843943200000001E-6</v>
      </c>
      <c r="M9" s="15">
        <v>1.4478626879999999E-11</v>
      </c>
      <c r="N9" s="15">
        <v>1.3264290432000001E-6</v>
      </c>
      <c r="O9" s="15">
        <v>3.8111482368000001E-6</v>
      </c>
      <c r="P9" s="15">
        <v>6.1417401119999998E-6</v>
      </c>
      <c r="Q9" s="170">
        <v>0.86585365853658502</v>
      </c>
      <c r="R9" s="170">
        <v>0.94236311239193105</v>
      </c>
      <c r="S9" s="170">
        <v>0.934579439252336</v>
      </c>
      <c r="T9" s="170">
        <v>0.94453004622496095</v>
      </c>
      <c r="U9" s="170">
        <v>0.9375</v>
      </c>
      <c r="V9" s="170">
        <v>3.9E-2</v>
      </c>
      <c r="W9" s="170">
        <v>0.13</v>
      </c>
      <c r="X9" s="170">
        <v>6.4000000000000001E-2</v>
      </c>
      <c r="Y9" s="170">
        <v>0.09</v>
      </c>
      <c r="Z9" s="170">
        <v>0.11</v>
      </c>
      <c r="AA9" s="105">
        <f t="shared" si="15"/>
        <v>1.5600000000000001E-2</v>
      </c>
      <c r="AB9" s="105">
        <f t="shared" si="15"/>
        <v>5.2000000000000005E-2</v>
      </c>
      <c r="AC9" s="105">
        <f t="shared" si="15"/>
        <v>2.5600000000000001E-2</v>
      </c>
      <c r="AD9" s="105">
        <f t="shared" si="15"/>
        <v>3.5999999999999997E-2</v>
      </c>
      <c r="AE9" s="105">
        <f t="shared" si="15"/>
        <v>4.4000000000000004E-2</v>
      </c>
      <c r="AF9" s="15">
        <v>3.7861491628614902E-5</v>
      </c>
      <c r="AG9" s="15">
        <v>214</v>
      </c>
      <c r="AH9" s="2">
        <v>1E-3</v>
      </c>
      <c r="AI9" s="2">
        <v>2E-3</v>
      </c>
      <c r="AJ9" s="2">
        <v>15</v>
      </c>
      <c r="AK9" s="2" t="s">
        <v>1503</v>
      </c>
      <c r="AL9" s="2" t="s">
        <v>1503</v>
      </c>
      <c r="AM9" s="2" t="s">
        <v>1503</v>
      </c>
      <c r="AN9" s="2" t="s">
        <v>1503</v>
      </c>
      <c r="AO9" s="2" t="s">
        <v>1503</v>
      </c>
      <c r="AP9" s="2" t="s">
        <v>1503</v>
      </c>
      <c r="AQ9" s="2" t="s">
        <v>1503</v>
      </c>
      <c r="AR9" s="2" t="s">
        <v>1503</v>
      </c>
      <c r="AS9" s="2">
        <v>0.1</v>
      </c>
      <c r="AT9" s="2">
        <v>0.5</v>
      </c>
      <c r="AU9" s="15">
        <v>480</v>
      </c>
      <c r="AV9" s="15">
        <v>0.05</v>
      </c>
      <c r="AW9" s="15">
        <v>18303.557788944701</v>
      </c>
      <c r="AX9" s="42">
        <v>15</v>
      </c>
      <c r="AY9" s="42">
        <v>214</v>
      </c>
      <c r="AZ9" s="105">
        <f t="shared" si="11"/>
        <v>5.5000000000000002E-5</v>
      </c>
      <c r="BA9" s="105">
        <f t="shared" si="12"/>
        <v>0.1386</v>
      </c>
      <c r="BB9" s="105">
        <v>0</v>
      </c>
      <c r="BC9" s="15">
        <v>1.38194444444444E-2</v>
      </c>
      <c r="BD9" s="105">
        <f t="shared" si="13"/>
        <v>0.5</v>
      </c>
      <c r="BE9" s="105">
        <f t="shared" si="14"/>
        <v>0.1</v>
      </c>
    </row>
    <row r="10" spans="1:57" x14ac:dyDescent="0.25">
      <c r="A10" s="46" t="s">
        <v>20</v>
      </c>
      <c r="B10" s="42" t="s">
        <v>349</v>
      </c>
      <c r="C10" s="42"/>
      <c r="D10" s="2"/>
      <c r="E10" s="15">
        <v>4.2549999999999998E-11</v>
      </c>
      <c r="F10" s="15">
        <v>1.1248E-10</v>
      </c>
      <c r="G10" s="15">
        <v>5.5228955760000004E-10</v>
      </c>
      <c r="H10" s="15">
        <v>3.7370000000000003E-11</v>
      </c>
      <c r="I10" s="15">
        <v>3.0487999999999999E-11</v>
      </c>
      <c r="J10" s="15">
        <v>3.1782999999999999E-11</v>
      </c>
      <c r="K10" s="15">
        <v>1.6230073680000001E-12</v>
      </c>
      <c r="L10" s="15">
        <v>5.5345718879999995E-10</v>
      </c>
      <c r="M10" s="15">
        <v>2.2418519040000001E-15</v>
      </c>
      <c r="N10" s="15">
        <v>1.9242562176E-10</v>
      </c>
      <c r="O10" s="15">
        <v>4.2408365184000002E-10</v>
      </c>
      <c r="P10" s="15">
        <v>5.4178087679999995E-10</v>
      </c>
      <c r="Q10" s="170">
        <v>0.90521327014218</v>
      </c>
      <c r="R10" s="170">
        <v>0.85365853658536595</v>
      </c>
      <c r="S10" s="170">
        <v>0.91304347826086996</v>
      </c>
      <c r="T10" s="170">
        <v>0.92797118847538995</v>
      </c>
      <c r="U10" s="170">
        <v>0.87368421052631595</v>
      </c>
      <c r="V10" s="170">
        <v>2.7E-2</v>
      </c>
      <c r="W10" s="170">
        <v>7.4999999999999997E-2</v>
      </c>
      <c r="X10" s="170">
        <v>4.4999999999999998E-2</v>
      </c>
      <c r="Y10" s="170">
        <v>6.2E-2</v>
      </c>
      <c r="Z10" s="170">
        <v>7.1999999999999995E-2</v>
      </c>
      <c r="AA10" s="105">
        <f t="shared" ref="AA10:AE10" si="16">0.4*V10</f>
        <v>1.0800000000000001E-2</v>
      </c>
      <c r="AB10" s="105">
        <f t="shared" si="16"/>
        <v>0.03</v>
      </c>
      <c r="AC10" s="105">
        <f t="shared" si="16"/>
        <v>1.7999999999999999E-2</v>
      </c>
      <c r="AD10" s="105">
        <f t="shared" si="16"/>
        <v>2.4800000000000003E-2</v>
      </c>
      <c r="AE10" s="105">
        <f t="shared" si="16"/>
        <v>2.8799999999999999E-2</v>
      </c>
      <c r="AF10" s="15">
        <v>30.167100000000001</v>
      </c>
      <c r="AG10" s="15">
        <v>137</v>
      </c>
      <c r="AH10" s="2">
        <v>4.5999999999999999E-3</v>
      </c>
      <c r="AI10" s="2">
        <v>2.1999999999999999E-2</v>
      </c>
      <c r="AJ10" s="2">
        <v>2500</v>
      </c>
      <c r="AK10" s="2">
        <v>23</v>
      </c>
      <c r="AL10" s="2">
        <v>2.7</v>
      </c>
      <c r="AM10" s="2">
        <v>0.4</v>
      </c>
      <c r="AN10" s="2">
        <v>0.2</v>
      </c>
      <c r="AO10" s="239">
        <v>0.19</v>
      </c>
      <c r="AP10" s="239">
        <v>5.8000000000000003E-2</v>
      </c>
      <c r="AQ10" s="239">
        <v>0.32</v>
      </c>
      <c r="AR10" s="239">
        <v>0.11</v>
      </c>
      <c r="AS10" s="2">
        <v>2.9000000000000001E-2</v>
      </c>
      <c r="AT10" s="2">
        <v>3.3333333333333E-2</v>
      </c>
      <c r="AU10" s="15">
        <v>10</v>
      </c>
      <c r="AV10" s="15">
        <v>1</v>
      </c>
      <c r="AW10" s="15">
        <v>2.2972045705420802E-2</v>
      </c>
      <c r="AX10" s="42">
        <v>200</v>
      </c>
      <c r="AY10" s="42">
        <v>137</v>
      </c>
      <c r="AZ10" s="105">
        <f t="shared" ref="AZ10" si="17">BB10+s_lambda_HL</f>
        <v>5.5000000000000002E-5</v>
      </c>
      <c r="BA10" s="105">
        <f t="shared" ref="BA10" si="18">BB10+(0.693/s_t_w)</f>
        <v>0.1386</v>
      </c>
      <c r="BB10" s="105">
        <v>0</v>
      </c>
      <c r="BC10" s="15">
        <v>11010.9915</v>
      </c>
      <c r="BD10" s="105">
        <f t="shared" ref="BD10" si="19">AT10</f>
        <v>3.3333333333333E-2</v>
      </c>
      <c r="BE10" s="105">
        <f t="shared" ref="BE10" si="20">AS10</f>
        <v>2.9000000000000001E-2</v>
      </c>
    </row>
    <row r="11" spans="1:57" x14ac:dyDescent="0.25">
      <c r="A11" s="44" t="s">
        <v>21</v>
      </c>
      <c r="B11" s="42" t="s">
        <v>1071</v>
      </c>
      <c r="C11" s="42"/>
      <c r="D11" s="2"/>
      <c r="E11" s="15">
        <v>0</v>
      </c>
      <c r="F11" s="15">
        <v>0</v>
      </c>
      <c r="G11" s="15">
        <v>1.0485328176E-7</v>
      </c>
      <c r="H11" s="15">
        <v>0</v>
      </c>
      <c r="I11" s="15">
        <v>0</v>
      </c>
      <c r="J11" s="15">
        <v>0</v>
      </c>
      <c r="K11" s="15">
        <v>1.1524519944E-10</v>
      </c>
      <c r="L11" s="15">
        <v>2.5220833919999999E-8</v>
      </c>
      <c r="M11" s="15">
        <v>2.5337597040000002E-13</v>
      </c>
      <c r="N11" s="15">
        <v>2.5594475903999999E-8</v>
      </c>
      <c r="O11" s="15">
        <v>7.0618334975999998E-8</v>
      </c>
      <c r="P11" s="15">
        <v>1.010000988E-7</v>
      </c>
      <c r="Q11" s="170">
        <v>0.92753623188405798</v>
      </c>
      <c r="R11" s="170">
        <v>0.82352941176470595</v>
      </c>
      <c r="S11" s="170">
        <v>0.890625</v>
      </c>
      <c r="T11" s="170">
        <v>0.908496732026144</v>
      </c>
      <c r="U11" s="170">
        <v>0.88038277511961704</v>
      </c>
      <c r="V11" s="170">
        <v>9.7999999999999997E-3</v>
      </c>
      <c r="W11" s="170">
        <v>2.5999999999999999E-2</v>
      </c>
      <c r="X11" s="170">
        <v>1.9E-2</v>
      </c>
      <c r="Y11" s="170">
        <v>2.4E-2</v>
      </c>
      <c r="Z11" s="170">
        <v>2.5999999999999999E-2</v>
      </c>
      <c r="AA11" s="105">
        <f t="shared" ref="AA11:AE11" si="21">0.4*V11</f>
        <v>3.9199999999999999E-3</v>
      </c>
      <c r="AB11" s="105">
        <f t="shared" si="21"/>
        <v>1.04E-2</v>
      </c>
      <c r="AC11" s="105">
        <f t="shared" si="21"/>
        <v>7.6E-3</v>
      </c>
      <c r="AD11" s="105">
        <f t="shared" si="21"/>
        <v>9.6000000000000009E-3</v>
      </c>
      <c r="AE11" s="105">
        <f t="shared" si="21"/>
        <v>1.04E-2</v>
      </c>
      <c r="AF11" s="15">
        <v>9.3226788432267907E-6</v>
      </c>
      <c r="AG11" s="15">
        <v>221</v>
      </c>
      <c r="AH11" s="2">
        <v>8.0000000000000002E-3</v>
      </c>
      <c r="AI11" s="2">
        <v>0.03</v>
      </c>
      <c r="AJ11" s="2" t="s">
        <v>1503</v>
      </c>
      <c r="AK11" s="2" t="s">
        <v>1503</v>
      </c>
      <c r="AL11" s="2" t="s">
        <v>1503</v>
      </c>
      <c r="AM11" s="2" t="s">
        <v>1503</v>
      </c>
      <c r="AN11" s="2" t="s">
        <v>1503</v>
      </c>
      <c r="AO11" s="2" t="s">
        <v>1503</v>
      </c>
      <c r="AP11" s="2" t="s">
        <v>1503</v>
      </c>
      <c r="AQ11" s="2" t="s">
        <v>1503</v>
      </c>
      <c r="AR11" s="2" t="s">
        <v>1503</v>
      </c>
      <c r="AS11" s="2">
        <v>0.03</v>
      </c>
      <c r="AT11" s="2">
        <v>0.1</v>
      </c>
      <c r="AU11" s="15">
        <v>250</v>
      </c>
      <c r="AV11" s="15"/>
      <c r="AW11" s="15">
        <v>74334.857142857101</v>
      </c>
      <c r="AX11" s="42">
        <v>15</v>
      </c>
      <c r="AY11" s="42">
        <v>221</v>
      </c>
      <c r="AZ11" s="105">
        <f t="shared" ref="AZ11" si="22">BB11+s_lambda_HL</f>
        <v>5.5000000000000002E-5</v>
      </c>
      <c r="BA11" s="105">
        <f t="shared" ref="BA11" si="23">BB11+(0.693/s_t_w)</f>
        <v>0.1386</v>
      </c>
      <c r="BB11" s="105">
        <v>0</v>
      </c>
      <c r="BC11" s="15">
        <v>3.4027777777777802E-3</v>
      </c>
      <c r="BD11" s="105">
        <f t="shared" ref="BD11" si="24">AT11</f>
        <v>0.1</v>
      </c>
      <c r="BE11" s="105">
        <f t="shared" ref="BE11" si="25">AS11</f>
        <v>0.03</v>
      </c>
    </row>
    <row r="12" spans="1:57" x14ac:dyDescent="0.25">
      <c r="A12" s="44" t="s">
        <v>22</v>
      </c>
      <c r="B12" s="42" t="s">
        <v>1071</v>
      </c>
      <c r="C12" s="42">
        <v>1</v>
      </c>
      <c r="D12" s="247">
        <v>0</v>
      </c>
      <c r="E12" s="15">
        <v>0</v>
      </c>
      <c r="F12" s="15">
        <v>0</v>
      </c>
      <c r="G12" s="15">
        <v>4.8339931680000002E-7</v>
      </c>
      <c r="H12" s="15">
        <v>0</v>
      </c>
      <c r="I12" s="15">
        <v>0</v>
      </c>
      <c r="J12" s="15">
        <v>0</v>
      </c>
      <c r="K12" s="15">
        <v>4.9624325999999998E-10</v>
      </c>
      <c r="L12" s="15">
        <v>1.1174230584E-7</v>
      </c>
      <c r="M12" s="15">
        <v>1.08005886E-12</v>
      </c>
      <c r="N12" s="15">
        <v>1.0985074329599999E-7</v>
      </c>
      <c r="O12" s="15">
        <v>3.0638642687999998E-7</v>
      </c>
      <c r="P12" s="15">
        <v>4.5187327439999998E-7</v>
      </c>
      <c r="Q12" s="170">
        <v>0.90184049079754602</v>
      </c>
      <c r="R12" s="170">
        <v>0.89376053962900504</v>
      </c>
      <c r="S12" s="170">
        <v>0.92254901960784297</v>
      </c>
      <c r="T12" s="170">
        <v>0.92845528455284598</v>
      </c>
      <c r="U12" s="170">
        <v>0.88405797101449302</v>
      </c>
      <c r="V12" s="170">
        <v>1.6E-2</v>
      </c>
      <c r="W12" s="170">
        <v>0.05</v>
      </c>
      <c r="X12" s="170">
        <v>2.7E-2</v>
      </c>
      <c r="Y12" s="170">
        <v>3.6999999999999998E-2</v>
      </c>
      <c r="Z12" s="170">
        <v>4.3999999999999997E-2</v>
      </c>
      <c r="AA12" s="105">
        <f t="shared" ref="AA12:AE12" si="26">0.4*V12</f>
        <v>6.4000000000000003E-3</v>
      </c>
      <c r="AB12" s="105">
        <f t="shared" si="26"/>
        <v>2.0000000000000004E-2</v>
      </c>
      <c r="AC12" s="105">
        <f t="shared" si="26"/>
        <v>1.0800000000000001E-2</v>
      </c>
      <c r="AD12" s="105">
        <f t="shared" si="26"/>
        <v>1.4800000000000001E-2</v>
      </c>
      <c r="AE12" s="105">
        <f t="shared" si="26"/>
        <v>1.7600000000000001E-2</v>
      </c>
      <c r="AF12" s="15">
        <v>1.5506088280060901E-5</v>
      </c>
      <c r="AG12" s="15">
        <v>206</v>
      </c>
      <c r="AH12" s="2">
        <v>5.0000000000000001E-4</v>
      </c>
      <c r="AI12" s="2">
        <v>0.01</v>
      </c>
      <c r="AJ12" s="2">
        <v>6100</v>
      </c>
      <c r="AK12" s="2">
        <v>750</v>
      </c>
      <c r="AL12" s="2">
        <v>0.03</v>
      </c>
      <c r="AM12" s="2" t="s">
        <v>1503</v>
      </c>
      <c r="AN12" s="2" t="s">
        <v>1503</v>
      </c>
      <c r="AO12" s="2" t="s">
        <v>1503</v>
      </c>
      <c r="AP12" s="2" t="s">
        <v>1503</v>
      </c>
      <c r="AQ12" s="2" t="s">
        <v>1503</v>
      </c>
      <c r="AR12" s="2" t="s">
        <v>1503</v>
      </c>
      <c r="AS12" s="2">
        <v>0.3</v>
      </c>
      <c r="AT12" s="2">
        <v>1</v>
      </c>
      <c r="AU12" s="15">
        <v>6300</v>
      </c>
      <c r="AV12" s="15"/>
      <c r="AW12" s="15">
        <v>44692.122699386498</v>
      </c>
      <c r="AX12" s="42"/>
      <c r="AY12" s="42">
        <v>206</v>
      </c>
      <c r="AZ12" s="105">
        <f t="shared" ref="AZ12" si="27">BB12+s_lambda_HL</f>
        <v>5.5000000000000002E-5</v>
      </c>
      <c r="BA12" s="105">
        <f t="shared" ref="BA12" si="28">BB12+(0.693/s_t_w)</f>
        <v>0.1386</v>
      </c>
      <c r="BB12" s="105">
        <v>0</v>
      </c>
      <c r="BC12" s="15">
        <v>5.6597222222222196E-3</v>
      </c>
      <c r="BD12" s="105">
        <f t="shared" ref="BD12" si="29">AT12</f>
        <v>1</v>
      </c>
      <c r="BE12" s="105">
        <f t="shared" ref="BE12" si="30">AS12</f>
        <v>0.3</v>
      </c>
    </row>
    <row r="13" spans="1:57" x14ac:dyDescent="0.25">
      <c r="A13" s="44" t="s">
        <v>23</v>
      </c>
      <c r="B13" s="42" t="s">
        <v>1071</v>
      </c>
      <c r="C13" s="42"/>
      <c r="D13" s="2"/>
      <c r="E13" s="15">
        <v>1.2469000000000001E-10</v>
      </c>
      <c r="F13" s="15">
        <v>2.8675E-8</v>
      </c>
      <c r="G13" s="15">
        <v>5.172606216E-8</v>
      </c>
      <c r="H13" s="15">
        <v>8.2880000000000002E-11</v>
      </c>
      <c r="I13" s="15">
        <v>6.2159999999999995E-11</v>
      </c>
      <c r="J13" s="15">
        <v>4.6989999999999997E-11</v>
      </c>
      <c r="K13" s="15">
        <v>7.6713369839999998E-11</v>
      </c>
      <c r="L13" s="15">
        <v>2.1017361600000002E-8</v>
      </c>
      <c r="M13" s="15">
        <v>1.716417864E-13</v>
      </c>
      <c r="N13" s="15">
        <v>1.7350999631999999E-8</v>
      </c>
      <c r="O13" s="15">
        <v>4.1287439231999997E-8</v>
      </c>
      <c r="P13" s="15">
        <v>5.1492535920000002E-8</v>
      </c>
      <c r="Q13" s="170">
        <v>0.98969072164948502</v>
      </c>
      <c r="R13" s="170">
        <v>0.98540145985401395</v>
      </c>
      <c r="S13" s="170">
        <v>0.95212765957446799</v>
      </c>
      <c r="T13" s="170">
        <v>0.93488372093023298</v>
      </c>
      <c r="U13" s="170">
        <v>0.93722466960352402</v>
      </c>
      <c r="V13" s="170">
        <v>2.7999999999999998E-4</v>
      </c>
      <c r="W13" s="170">
        <v>5.8999999999999999E-3</v>
      </c>
      <c r="X13" s="170">
        <v>2.8E-3</v>
      </c>
      <c r="Y13" s="170">
        <v>4.7999999999999996E-3</v>
      </c>
      <c r="Z13" s="170">
        <v>5.7999999999999996E-3</v>
      </c>
      <c r="AA13" s="105">
        <f t="shared" ref="AA13:AE13" si="31">0.4*V13</f>
        <v>1.12E-4</v>
      </c>
      <c r="AB13" s="105">
        <f t="shared" si="31"/>
        <v>2.3600000000000001E-3</v>
      </c>
      <c r="AC13" s="105">
        <f t="shared" si="31"/>
        <v>1.1200000000000001E-3</v>
      </c>
      <c r="AD13" s="105">
        <f t="shared" si="31"/>
        <v>1.9199999999999998E-3</v>
      </c>
      <c r="AE13" s="105">
        <f t="shared" si="31"/>
        <v>2.32E-3</v>
      </c>
      <c r="AF13" s="15">
        <v>2144000</v>
      </c>
      <c r="AG13" s="15">
        <v>237</v>
      </c>
      <c r="AH13" s="2">
        <v>9.9999999999999995E-7</v>
      </c>
      <c r="AI13" s="2">
        <v>1E-4</v>
      </c>
      <c r="AJ13" s="2">
        <v>30</v>
      </c>
      <c r="AK13" s="2">
        <v>9500</v>
      </c>
      <c r="AL13" s="2" t="s">
        <v>1503</v>
      </c>
      <c r="AM13" s="2" t="s">
        <v>1503</v>
      </c>
      <c r="AN13" s="2" t="s">
        <v>1503</v>
      </c>
      <c r="AO13" s="239">
        <v>4.0000000000000002E-4</v>
      </c>
      <c r="AP13" s="2" t="s">
        <v>1503</v>
      </c>
      <c r="AQ13" s="2" t="s">
        <v>1503</v>
      </c>
      <c r="AR13" s="239">
        <v>5.3000000000000001E-5</v>
      </c>
      <c r="AS13" s="2">
        <v>2.8999999999999998E-3</v>
      </c>
      <c r="AT13" s="2">
        <v>3.3333333333333002E-3</v>
      </c>
      <c r="AU13" s="15">
        <v>0.2</v>
      </c>
      <c r="AV13" s="15">
        <v>5.0000000000000001E-4</v>
      </c>
      <c r="AW13" s="15">
        <v>3.2322761194029798E-7</v>
      </c>
      <c r="AX13" s="42">
        <v>15</v>
      </c>
      <c r="AY13" s="42">
        <v>237</v>
      </c>
      <c r="AZ13" s="105">
        <f t="shared" ref="AZ13:AZ14" si="32">BB13+s_lambda_HL</f>
        <v>5.5000000000000002E-5</v>
      </c>
      <c r="BA13" s="105">
        <f t="shared" ref="BA13:BA14" si="33">BB13+(0.693/s_t_w)</f>
        <v>0.1386</v>
      </c>
      <c r="BB13" s="105">
        <v>0</v>
      </c>
      <c r="BC13" s="15">
        <v>782560000</v>
      </c>
      <c r="BD13" s="105">
        <f t="shared" ref="BD13:BD14" si="34">AT13</f>
        <v>3.3333333333333002E-3</v>
      </c>
      <c r="BE13" s="105">
        <f t="shared" ref="BE13:BE14" si="35">AS13</f>
        <v>2.8999999999999998E-3</v>
      </c>
    </row>
    <row r="14" spans="1:57" x14ac:dyDescent="0.25">
      <c r="A14" s="44" t="s">
        <v>24</v>
      </c>
      <c r="B14" s="42" t="s">
        <v>1071</v>
      </c>
      <c r="C14" s="42"/>
      <c r="D14" s="2"/>
      <c r="E14" s="15">
        <v>1.6465000000000001E-11</v>
      </c>
      <c r="F14" s="15">
        <v>1.5281E-11</v>
      </c>
      <c r="G14" s="15">
        <v>8.0333026560000001E-7</v>
      </c>
      <c r="H14" s="15">
        <v>8.9539999999999992E-12</v>
      </c>
      <c r="I14" s="15">
        <v>6.1420000000000003E-12</v>
      </c>
      <c r="J14" s="15">
        <v>2.5825999999999999E-12</v>
      </c>
      <c r="K14" s="15">
        <v>8.5353840720000002E-10</v>
      </c>
      <c r="L14" s="15">
        <v>1.879886232E-7</v>
      </c>
      <c r="M14" s="15">
        <v>1.8682099199999999E-12</v>
      </c>
      <c r="N14" s="15">
        <v>1.9055741183999999E-7</v>
      </c>
      <c r="O14" s="15">
        <v>5.2309877760000005E-7</v>
      </c>
      <c r="P14" s="15">
        <v>7.601279112E-7</v>
      </c>
      <c r="Q14" s="170">
        <v>0.93203883495145601</v>
      </c>
      <c r="R14" s="170">
        <v>0.922115384615385</v>
      </c>
      <c r="S14" s="170">
        <v>0.92718446601941695</v>
      </c>
      <c r="T14" s="170">
        <v>0.93043478260869505</v>
      </c>
      <c r="U14" s="170">
        <v>0.88959999999999995</v>
      </c>
      <c r="V14" s="170">
        <v>8.2000000000000007E-3</v>
      </c>
      <c r="W14" s="170">
        <v>4.2000000000000003E-2</v>
      </c>
      <c r="X14" s="170">
        <v>2.3E-2</v>
      </c>
      <c r="Y14" s="170">
        <v>3.1E-2</v>
      </c>
      <c r="Z14" s="170">
        <v>3.6999999999999998E-2</v>
      </c>
      <c r="AA14" s="105">
        <f t="shared" ref="AA14:AE14" si="36">0.4*V14</f>
        <v>3.2800000000000004E-3</v>
      </c>
      <c r="AB14" s="105">
        <f t="shared" si="36"/>
        <v>1.6800000000000002E-2</v>
      </c>
      <c r="AC14" s="105">
        <f t="shared" si="36"/>
        <v>9.1999999999999998E-3</v>
      </c>
      <c r="AD14" s="105">
        <f t="shared" si="36"/>
        <v>1.2400000000000001E-2</v>
      </c>
      <c r="AE14" s="105">
        <f t="shared" si="36"/>
        <v>1.4800000000000001E-2</v>
      </c>
      <c r="AF14" s="15">
        <v>7.3882191780821893E-2</v>
      </c>
      <c r="AG14" s="15">
        <v>233</v>
      </c>
      <c r="AH14" s="2">
        <v>5.0000000000000004E-6</v>
      </c>
      <c r="AI14" s="2">
        <v>5.0000000000000004E-6</v>
      </c>
      <c r="AJ14" s="2">
        <v>10</v>
      </c>
      <c r="AK14" s="2" t="s">
        <v>1503</v>
      </c>
      <c r="AL14" s="2" t="s">
        <v>1503</v>
      </c>
      <c r="AM14" s="2" t="s">
        <v>1503</v>
      </c>
      <c r="AN14" s="2" t="s">
        <v>1503</v>
      </c>
      <c r="AO14" s="2" t="s">
        <v>1503</v>
      </c>
      <c r="AP14" s="2" t="s">
        <v>1503</v>
      </c>
      <c r="AQ14" s="2" t="s">
        <v>1503</v>
      </c>
      <c r="AR14" s="2" t="s">
        <v>1503</v>
      </c>
      <c r="AS14" s="2">
        <v>0.01</v>
      </c>
      <c r="AT14" s="2">
        <v>0.1</v>
      </c>
      <c r="AU14" s="15">
        <v>2000</v>
      </c>
      <c r="AV14" s="15">
        <v>5.0000000000000001E-4</v>
      </c>
      <c r="AW14" s="15">
        <v>9.3797975303148302</v>
      </c>
      <c r="AX14" s="42">
        <v>300</v>
      </c>
      <c r="AY14" s="42">
        <v>233</v>
      </c>
      <c r="AZ14" s="105">
        <f t="shared" si="32"/>
        <v>5.5000000000000002E-5</v>
      </c>
      <c r="BA14" s="105">
        <f t="shared" si="33"/>
        <v>0.1386</v>
      </c>
      <c r="BB14" s="105">
        <v>0</v>
      </c>
      <c r="BC14" s="15">
        <v>26.966999999999999</v>
      </c>
      <c r="BD14" s="105">
        <f t="shared" si="34"/>
        <v>0.1</v>
      </c>
      <c r="BE14" s="105">
        <f t="shared" si="35"/>
        <v>0.01</v>
      </c>
    </row>
    <row r="15" spans="1:57" x14ac:dyDescent="0.25">
      <c r="A15" s="44" t="s">
        <v>25</v>
      </c>
      <c r="B15" s="42" t="s">
        <v>1071</v>
      </c>
      <c r="C15" s="42"/>
      <c r="D15" s="2"/>
      <c r="E15" s="15">
        <v>6.2529999999999997E-13</v>
      </c>
      <c r="F15" s="15">
        <v>2.0794E-13</v>
      </c>
      <c r="G15" s="15">
        <v>5.3711035200000002E-10</v>
      </c>
      <c r="H15" s="15">
        <v>3.4854E-13</v>
      </c>
      <c r="I15" s="15">
        <v>2.4087000000000001E-13</v>
      </c>
      <c r="J15" s="15">
        <v>1.221E-13</v>
      </c>
      <c r="K15" s="15">
        <v>1.7047415520000001E-12</v>
      </c>
      <c r="L15" s="15">
        <v>5.6513350080000005E-10</v>
      </c>
      <c r="M15" s="15">
        <v>2.323586088E-15</v>
      </c>
      <c r="N15" s="15">
        <v>1.8425220336000001E-10</v>
      </c>
      <c r="O15" s="15">
        <v>4.1661081215999999E-10</v>
      </c>
      <c r="P15" s="15">
        <v>5.2893693360000005E-10</v>
      </c>
      <c r="Q15" s="170">
        <v>0.9</v>
      </c>
      <c r="R15" s="170">
        <v>0.9</v>
      </c>
      <c r="S15" s="170">
        <v>0.9</v>
      </c>
      <c r="T15" s="170">
        <v>0.9</v>
      </c>
      <c r="U15" s="170">
        <v>0.9</v>
      </c>
      <c r="V15" s="170">
        <v>0</v>
      </c>
      <c r="W15" s="170">
        <v>0</v>
      </c>
      <c r="X15" s="170">
        <v>0</v>
      </c>
      <c r="Y15" s="170">
        <v>0</v>
      </c>
      <c r="Z15" s="170">
        <v>0</v>
      </c>
      <c r="AA15" s="105">
        <f t="shared" ref="AA15:AE17" si="37">0.4*V15</f>
        <v>0</v>
      </c>
      <c r="AB15" s="105">
        <f t="shared" si="37"/>
        <v>0</v>
      </c>
      <c r="AC15" s="105">
        <f t="shared" si="37"/>
        <v>0</v>
      </c>
      <c r="AD15" s="105">
        <f t="shared" si="37"/>
        <v>0</v>
      </c>
      <c r="AE15" s="105">
        <f t="shared" si="37"/>
        <v>0</v>
      </c>
      <c r="AF15" s="15">
        <v>3.7134703196347002E-4</v>
      </c>
      <c r="AG15" s="15">
        <v>209</v>
      </c>
      <c r="AH15" s="2">
        <v>1.9000000000000001E-4</v>
      </c>
      <c r="AI15" s="2">
        <v>6.9999999999999999E-4</v>
      </c>
      <c r="AJ15" s="2">
        <v>25</v>
      </c>
      <c r="AK15" s="2">
        <v>22</v>
      </c>
      <c r="AL15" s="2" t="s">
        <v>1503</v>
      </c>
      <c r="AM15" s="2" t="s">
        <v>1503</v>
      </c>
      <c r="AN15" s="2" t="s">
        <v>1503</v>
      </c>
      <c r="AO15" s="239">
        <v>7.1000000000000004E-3</v>
      </c>
      <c r="AP15" s="239">
        <v>3.5000000000000003E-2</v>
      </c>
      <c r="AQ15" s="2" t="s">
        <v>1503</v>
      </c>
      <c r="AR15" s="239">
        <v>6.0000000000000001E-3</v>
      </c>
      <c r="AS15" s="2">
        <v>1.0999999999999999E-2</v>
      </c>
      <c r="AT15" s="2">
        <v>1.264367816092E-2</v>
      </c>
      <c r="AU15" s="15">
        <v>150</v>
      </c>
      <c r="AV15" s="15">
        <v>0.2</v>
      </c>
      <c r="AW15" s="15">
        <v>1866.1789117737501</v>
      </c>
      <c r="AX15" s="42"/>
      <c r="AY15" s="42">
        <v>209</v>
      </c>
      <c r="AZ15" s="105">
        <f t="shared" ref="AZ15:AZ21" si="38">BB15+s_lambda_HL</f>
        <v>5.5000000000000002E-5</v>
      </c>
      <c r="BA15" s="105">
        <f t="shared" ref="BA15:BA21" si="39">BB15+(0.693/s_t_w)</f>
        <v>0.1386</v>
      </c>
      <c r="BB15" s="105">
        <v>0</v>
      </c>
      <c r="BC15" s="15">
        <v>0.135541666666667</v>
      </c>
      <c r="BD15" s="105">
        <f t="shared" ref="BD15:BD21" si="40">AT15</f>
        <v>1.264367816092E-2</v>
      </c>
      <c r="BE15" s="105">
        <f t="shared" ref="BE15:BE21" si="41">AS15</f>
        <v>1.0999999999999999E-2</v>
      </c>
    </row>
    <row r="16" spans="1:57" x14ac:dyDescent="0.25">
      <c r="A16" s="44" t="s">
        <v>26</v>
      </c>
      <c r="B16" s="42" t="s">
        <v>1071</v>
      </c>
      <c r="C16" s="42">
        <v>1</v>
      </c>
      <c r="D16" s="247">
        <v>0</v>
      </c>
      <c r="E16" s="15">
        <v>1.7167999999999999E-9</v>
      </c>
      <c r="F16" s="15">
        <v>1.5872999999999999E-8</v>
      </c>
      <c r="G16" s="15">
        <v>1.482891624E-9</v>
      </c>
      <c r="H16" s="15">
        <v>1.1766000000000001E-9</v>
      </c>
      <c r="I16" s="15">
        <v>8.8430000000000004E-10</v>
      </c>
      <c r="J16" s="15">
        <v>5.9940000000000002E-10</v>
      </c>
      <c r="K16" s="15">
        <v>3.9349171439999997E-12</v>
      </c>
      <c r="L16" s="15">
        <v>1.7164178639999999E-9</v>
      </c>
      <c r="M16" s="15">
        <v>9.0841707359999996E-15</v>
      </c>
      <c r="N16" s="15">
        <v>9.5278705920000003E-10</v>
      </c>
      <c r="O16" s="15">
        <v>1.4665447872000001E-9</v>
      </c>
      <c r="P16" s="15">
        <v>1.482891624E-9</v>
      </c>
      <c r="Q16" s="170">
        <v>1</v>
      </c>
      <c r="R16" s="170">
        <v>0.94642857142857095</v>
      </c>
      <c r="S16" s="170">
        <v>0.97425742574257401</v>
      </c>
      <c r="T16" s="170">
        <v>0.94932432432432401</v>
      </c>
      <c r="U16" s="170">
        <v>0.94444444444444398</v>
      </c>
      <c r="V16" s="170">
        <v>9.9999999999999995E-8</v>
      </c>
      <c r="W16" s="170">
        <v>4.4000000000000002E-6</v>
      </c>
      <c r="X16" s="170">
        <v>2.3999999999999999E-6</v>
      </c>
      <c r="Y16" s="170">
        <v>4.0999999999999997E-6</v>
      </c>
      <c r="Z16" s="170">
        <v>4.0999999999999997E-6</v>
      </c>
      <c r="AA16" s="105">
        <f t="shared" si="37"/>
        <v>4.0000000000000001E-8</v>
      </c>
      <c r="AB16" s="105">
        <f t="shared" si="37"/>
        <v>1.7600000000000001E-6</v>
      </c>
      <c r="AC16" s="105">
        <f t="shared" si="37"/>
        <v>9.5999999999999991E-7</v>
      </c>
      <c r="AD16" s="105">
        <f t="shared" si="37"/>
        <v>1.64E-6</v>
      </c>
      <c r="AE16" s="105">
        <f t="shared" si="37"/>
        <v>1.64E-6</v>
      </c>
      <c r="AF16" s="15">
        <v>22.2</v>
      </c>
      <c r="AG16" s="15">
        <v>210</v>
      </c>
      <c r="AH16" s="2">
        <v>1.9000000000000001E-4</v>
      </c>
      <c r="AI16" s="2">
        <v>6.9999999999999999E-4</v>
      </c>
      <c r="AJ16" s="2">
        <v>25</v>
      </c>
      <c r="AK16" s="2">
        <v>22</v>
      </c>
      <c r="AL16" s="2" t="s">
        <v>1503</v>
      </c>
      <c r="AM16" s="2" t="s">
        <v>1503</v>
      </c>
      <c r="AN16" s="2" t="s">
        <v>1503</v>
      </c>
      <c r="AO16" s="239">
        <v>7.1000000000000004E-3</v>
      </c>
      <c r="AP16" s="239">
        <v>3.5000000000000003E-2</v>
      </c>
      <c r="AQ16" s="2" t="s">
        <v>1503</v>
      </c>
      <c r="AR16" s="239">
        <v>6.0000000000000001E-3</v>
      </c>
      <c r="AS16" s="2">
        <v>1.0999999999999999E-2</v>
      </c>
      <c r="AT16" s="2">
        <v>1.264367816092E-2</v>
      </c>
      <c r="AU16" s="15">
        <v>150</v>
      </c>
      <c r="AV16" s="15">
        <v>0.2</v>
      </c>
      <c r="AW16" s="15">
        <v>3.1216216216216199E-2</v>
      </c>
      <c r="AX16" s="42"/>
      <c r="AY16" s="42">
        <v>210</v>
      </c>
      <c r="AZ16" s="105">
        <f t="shared" si="38"/>
        <v>5.5000000000000002E-5</v>
      </c>
      <c r="BA16" s="105">
        <f t="shared" si="39"/>
        <v>0.1386</v>
      </c>
      <c r="BB16" s="105">
        <v>0</v>
      </c>
      <c r="BC16" s="15">
        <v>8103</v>
      </c>
      <c r="BD16" s="105">
        <f t="shared" si="40"/>
        <v>1.264367816092E-2</v>
      </c>
      <c r="BE16" s="105">
        <f t="shared" si="41"/>
        <v>1.0999999999999999E-2</v>
      </c>
    </row>
    <row r="17" spans="1:57" x14ac:dyDescent="0.25">
      <c r="A17" s="44" t="s">
        <v>27</v>
      </c>
      <c r="B17" s="42" t="s">
        <v>1071</v>
      </c>
      <c r="C17" s="42">
        <v>1</v>
      </c>
      <c r="D17" s="247">
        <v>0.17254619500000001</v>
      </c>
      <c r="E17" s="15">
        <v>7.9180000000000002E-13</v>
      </c>
      <c r="F17" s="15">
        <v>7.7700000000000001E-11</v>
      </c>
      <c r="G17" s="15">
        <v>9.9365415120000007E-7</v>
      </c>
      <c r="H17" s="15">
        <v>4.8470000000000005E-13</v>
      </c>
      <c r="I17" s="15">
        <v>3.4447E-13</v>
      </c>
      <c r="J17" s="15">
        <v>2.2052E-13</v>
      </c>
      <c r="K17" s="15">
        <v>1.0193420376000001E-9</v>
      </c>
      <c r="L17" s="15">
        <v>2.230175592E-7</v>
      </c>
      <c r="M17" s="15">
        <v>2.2301755919999998E-12</v>
      </c>
      <c r="N17" s="15">
        <v>2.2605340032000001E-7</v>
      </c>
      <c r="O17" s="15">
        <v>6.2958674304000002E-7</v>
      </c>
      <c r="P17" s="15">
        <v>9.3060206639999999E-7</v>
      </c>
      <c r="Q17" s="170">
        <v>0.901685393258427</v>
      </c>
      <c r="R17" s="170">
        <v>0.92436974789916004</v>
      </c>
      <c r="S17" s="170">
        <v>0.92558139534883699</v>
      </c>
      <c r="T17" s="170">
        <v>0.9296875</v>
      </c>
      <c r="U17" s="170">
        <v>0.87916666666666698</v>
      </c>
      <c r="V17" s="170">
        <v>1.4999999999999999E-2</v>
      </c>
      <c r="W17" s="170">
        <v>4.9000000000000002E-2</v>
      </c>
      <c r="X17" s="170">
        <v>2.8000000000000001E-2</v>
      </c>
      <c r="Y17" s="170">
        <v>3.6999999999999998E-2</v>
      </c>
      <c r="Z17" s="170">
        <v>4.3999999999999997E-2</v>
      </c>
      <c r="AA17" s="105">
        <f t="shared" si="37"/>
        <v>6.0000000000000001E-3</v>
      </c>
      <c r="AB17" s="105">
        <f t="shared" si="37"/>
        <v>1.9600000000000003E-2</v>
      </c>
      <c r="AC17" s="105">
        <f t="shared" si="37"/>
        <v>1.1200000000000002E-2</v>
      </c>
      <c r="AD17" s="105">
        <f t="shared" si="37"/>
        <v>1.4800000000000001E-2</v>
      </c>
      <c r="AE17" s="105">
        <f t="shared" si="37"/>
        <v>1.7600000000000001E-2</v>
      </c>
      <c r="AF17" s="15">
        <v>5.0989345509893397E-5</v>
      </c>
      <c r="AG17" s="15">
        <v>214</v>
      </c>
      <c r="AH17" s="2">
        <v>1.9000000000000001E-4</v>
      </c>
      <c r="AI17" s="2">
        <v>6.9999999999999999E-4</v>
      </c>
      <c r="AJ17" s="2">
        <v>25</v>
      </c>
      <c r="AK17" s="2">
        <v>22</v>
      </c>
      <c r="AL17" s="2" t="s">
        <v>1503</v>
      </c>
      <c r="AM17" s="2" t="s">
        <v>1503</v>
      </c>
      <c r="AN17" s="2" t="s">
        <v>1503</v>
      </c>
      <c r="AO17" s="239">
        <v>7.1000000000000004E-3</v>
      </c>
      <c r="AP17" s="239">
        <v>3.5000000000000003E-2</v>
      </c>
      <c r="AQ17" s="2" t="s">
        <v>1503</v>
      </c>
      <c r="AR17" s="239">
        <v>6.0000000000000001E-3</v>
      </c>
      <c r="AS17" s="2">
        <v>1.0999999999999999E-2</v>
      </c>
      <c r="AT17" s="2">
        <v>1.264367816092E-2</v>
      </c>
      <c r="AU17" s="15">
        <v>150</v>
      </c>
      <c r="AV17" s="15">
        <v>0.2</v>
      </c>
      <c r="AW17" s="15">
        <v>13591.0746268657</v>
      </c>
      <c r="AX17" s="42"/>
      <c r="AY17" s="42">
        <v>214</v>
      </c>
      <c r="AZ17" s="105">
        <f t="shared" si="38"/>
        <v>5.5000000000000002E-5</v>
      </c>
      <c r="BA17" s="105">
        <f t="shared" si="39"/>
        <v>0.1386</v>
      </c>
      <c r="BB17" s="105">
        <v>0</v>
      </c>
      <c r="BC17" s="15">
        <v>1.8611111111111099E-2</v>
      </c>
      <c r="BD17" s="105">
        <f t="shared" si="40"/>
        <v>1.264367816092E-2</v>
      </c>
      <c r="BE17" s="105">
        <f t="shared" si="41"/>
        <v>1.0999999999999999E-2</v>
      </c>
    </row>
    <row r="18" spans="1:57" x14ac:dyDescent="0.25">
      <c r="A18" s="44" t="s">
        <v>28</v>
      </c>
      <c r="B18" s="42" t="s">
        <v>1071</v>
      </c>
      <c r="C18" s="42">
        <v>1</v>
      </c>
      <c r="D18" s="247">
        <v>0</v>
      </c>
      <c r="E18" s="15">
        <v>3.2744999999999998E-9</v>
      </c>
      <c r="F18" s="15">
        <v>1.4504E-8</v>
      </c>
      <c r="G18" s="15">
        <v>4.5070564319999998E-11</v>
      </c>
      <c r="H18" s="15">
        <v>2.2533000000000001E-9</v>
      </c>
      <c r="I18" s="15">
        <v>1.7760000000000001E-9</v>
      </c>
      <c r="J18" s="15">
        <v>1.4356000000000001E-9</v>
      </c>
      <c r="K18" s="15">
        <v>4.1801196960000001E-14</v>
      </c>
      <c r="L18" s="15">
        <v>8.69885244E-12</v>
      </c>
      <c r="M18" s="15">
        <v>9.0724944239999998E-17</v>
      </c>
      <c r="N18" s="15">
        <v>8.9487255167999993E-12</v>
      </c>
      <c r="O18" s="15">
        <v>2.5407654911999999E-11</v>
      </c>
      <c r="P18" s="15">
        <v>3.9582697679999998E-11</v>
      </c>
      <c r="Q18" s="170">
        <v>0.88135593220339004</v>
      </c>
      <c r="R18" s="170">
        <v>0.93612334801762098</v>
      </c>
      <c r="S18" s="170">
        <v>0.93633952254641895</v>
      </c>
      <c r="T18" s="170">
        <v>0.93013100436681195</v>
      </c>
      <c r="U18" s="170">
        <v>0.94466403162055301</v>
      </c>
      <c r="V18" s="170">
        <v>0.03</v>
      </c>
      <c r="W18" s="170">
        <v>9.5000000000000001E-2</v>
      </c>
      <c r="X18" s="170">
        <v>4.8000000000000001E-2</v>
      </c>
      <c r="Y18" s="170">
        <v>6.9000000000000006E-2</v>
      </c>
      <c r="Z18" s="170">
        <v>8.2000000000000003E-2</v>
      </c>
      <c r="AA18" s="105">
        <f t="shared" ref="AA18:AE21" si="42">0.4*V18</f>
        <v>1.2E-2</v>
      </c>
      <c r="AB18" s="105">
        <f t="shared" si="42"/>
        <v>3.8000000000000006E-2</v>
      </c>
      <c r="AC18" s="105">
        <f t="shared" si="42"/>
        <v>1.9200000000000002E-2</v>
      </c>
      <c r="AD18" s="105">
        <f t="shared" si="42"/>
        <v>2.7600000000000003E-2</v>
      </c>
      <c r="AE18" s="105">
        <f t="shared" si="42"/>
        <v>3.2800000000000003E-2</v>
      </c>
      <c r="AF18" s="15">
        <v>0.37911232876712297</v>
      </c>
      <c r="AG18" s="15">
        <v>210</v>
      </c>
      <c r="AH18" s="2">
        <v>2.1000000000000001E-4</v>
      </c>
      <c r="AI18" s="2">
        <v>3.0000000000000001E-3</v>
      </c>
      <c r="AJ18" s="2">
        <v>36</v>
      </c>
      <c r="AK18" s="2" t="s">
        <v>1503</v>
      </c>
      <c r="AL18" s="2">
        <v>2.4</v>
      </c>
      <c r="AM18" s="2">
        <v>3.1</v>
      </c>
      <c r="AN18" s="2" t="s">
        <v>1503</v>
      </c>
      <c r="AO18" s="239">
        <v>0.05</v>
      </c>
      <c r="AP18" s="2" t="s">
        <v>1503</v>
      </c>
      <c r="AQ18" s="2" t="s">
        <v>1503</v>
      </c>
      <c r="AR18" s="239">
        <v>2.3E-3</v>
      </c>
      <c r="AS18" s="2">
        <v>2.4000000000000001E-4</v>
      </c>
      <c r="AT18" s="2">
        <v>2.7586206896552002E-4</v>
      </c>
      <c r="AU18" s="15">
        <v>210</v>
      </c>
      <c r="AV18" s="15"/>
      <c r="AW18" s="15">
        <v>1.8279542695265101</v>
      </c>
      <c r="AX18" s="42">
        <v>15</v>
      </c>
      <c r="AY18" s="42">
        <v>210</v>
      </c>
      <c r="AZ18" s="105">
        <f t="shared" si="38"/>
        <v>5.5000000000000002E-5</v>
      </c>
      <c r="BA18" s="105">
        <f t="shared" si="39"/>
        <v>0.1386</v>
      </c>
      <c r="BB18" s="105">
        <v>0</v>
      </c>
      <c r="BC18" s="15">
        <v>138.376</v>
      </c>
      <c r="BD18" s="105">
        <f t="shared" si="40"/>
        <v>2.7586206896552002E-4</v>
      </c>
      <c r="BE18" s="105">
        <f t="shared" si="41"/>
        <v>2.4000000000000001E-4</v>
      </c>
    </row>
    <row r="19" spans="1:57" x14ac:dyDescent="0.25">
      <c r="A19" s="44" t="s">
        <v>29</v>
      </c>
      <c r="B19" s="42" t="s">
        <v>1071</v>
      </c>
      <c r="C19" s="42"/>
      <c r="D19" s="2"/>
      <c r="E19" s="15">
        <v>0</v>
      </c>
      <c r="F19" s="15">
        <v>0</v>
      </c>
      <c r="G19" s="15">
        <v>1.728094176E-10</v>
      </c>
      <c r="H19" s="15">
        <v>0</v>
      </c>
      <c r="I19" s="15">
        <v>0</v>
      </c>
      <c r="J19" s="15">
        <v>0</v>
      </c>
      <c r="K19" s="15">
        <v>1.6113310560000001E-13</v>
      </c>
      <c r="L19" s="15">
        <v>3.3627778560000003E-11</v>
      </c>
      <c r="M19" s="15">
        <v>3.491217288E-16</v>
      </c>
      <c r="N19" s="15">
        <v>3.4561883519999999E-11</v>
      </c>
      <c r="O19" s="15">
        <v>9.7333736831999999E-11</v>
      </c>
      <c r="P19" s="15">
        <v>1.51792056E-10</v>
      </c>
      <c r="Q19" s="170">
        <v>0.87991266375545796</v>
      </c>
      <c r="R19" s="170">
        <v>0.93714285714285706</v>
      </c>
      <c r="S19" s="170">
        <v>0.93493150684931503</v>
      </c>
      <c r="T19" s="170">
        <v>0.93220338983050799</v>
      </c>
      <c r="U19" s="170">
        <v>0.94871794871794901</v>
      </c>
      <c r="V19" s="170">
        <v>2.9000000000000001E-2</v>
      </c>
      <c r="W19" s="170">
        <v>9.2999999999999999E-2</v>
      </c>
      <c r="X19" s="170">
        <v>4.7E-2</v>
      </c>
      <c r="Y19" s="170">
        <v>6.8000000000000005E-2</v>
      </c>
      <c r="Z19" s="170">
        <v>0.08</v>
      </c>
      <c r="AA19" s="105">
        <f t="shared" si="42"/>
        <v>1.1600000000000001E-2</v>
      </c>
      <c r="AB19" s="105">
        <f t="shared" si="42"/>
        <v>3.7200000000000004E-2</v>
      </c>
      <c r="AC19" s="105">
        <f t="shared" si="42"/>
        <v>1.8800000000000001E-2</v>
      </c>
      <c r="AD19" s="105">
        <f t="shared" si="42"/>
        <v>2.7200000000000002E-2</v>
      </c>
      <c r="AE19" s="105">
        <f t="shared" si="42"/>
        <v>3.2000000000000001E-2</v>
      </c>
      <c r="AF19" s="15">
        <v>1.3318112633181101E-13</v>
      </c>
      <c r="AG19" s="15">
        <v>213</v>
      </c>
      <c r="AH19" s="2">
        <v>2.1000000000000001E-4</v>
      </c>
      <c r="AI19" s="2">
        <v>3.0000000000000001E-3</v>
      </c>
      <c r="AJ19" s="2">
        <v>36</v>
      </c>
      <c r="AK19" s="2" t="s">
        <v>1503</v>
      </c>
      <c r="AL19" s="2">
        <v>2.4</v>
      </c>
      <c r="AM19" s="2">
        <v>3.1</v>
      </c>
      <c r="AN19" s="2" t="s">
        <v>1503</v>
      </c>
      <c r="AO19" s="239">
        <v>0.05</v>
      </c>
      <c r="AP19" s="2" t="s">
        <v>1503</v>
      </c>
      <c r="AQ19" s="2" t="s">
        <v>1503</v>
      </c>
      <c r="AR19" s="239">
        <v>2.3E-3</v>
      </c>
      <c r="AS19" s="2">
        <v>2.4000000000000001E-4</v>
      </c>
      <c r="AT19" s="2">
        <v>2.7586206896552002E-4</v>
      </c>
      <c r="AU19" s="15">
        <v>210</v>
      </c>
      <c r="AV19" s="15"/>
      <c r="AW19" s="15">
        <v>5203440000000</v>
      </c>
      <c r="AX19" s="42">
        <v>15</v>
      </c>
      <c r="AY19" s="42">
        <v>213</v>
      </c>
      <c r="AZ19" s="105">
        <f t="shared" si="38"/>
        <v>5.5000000000000002E-5</v>
      </c>
      <c r="BA19" s="105">
        <f t="shared" si="39"/>
        <v>0.1386</v>
      </c>
      <c r="BB19" s="105">
        <v>0</v>
      </c>
      <c r="BC19" s="15">
        <v>4.8611111111111103E-11</v>
      </c>
      <c r="BD19" s="105">
        <f t="shared" si="40"/>
        <v>2.7586206896552002E-4</v>
      </c>
      <c r="BE19" s="105">
        <f t="shared" si="41"/>
        <v>2.4000000000000001E-4</v>
      </c>
    </row>
    <row r="20" spans="1:57" x14ac:dyDescent="0.25">
      <c r="A20" s="44" t="s">
        <v>30</v>
      </c>
      <c r="B20" s="42" t="s">
        <v>1071</v>
      </c>
      <c r="C20" s="42">
        <v>1</v>
      </c>
      <c r="D20" s="247">
        <v>5.0904440000000002E-2</v>
      </c>
      <c r="E20" s="15">
        <v>0</v>
      </c>
      <c r="F20" s="15">
        <v>0</v>
      </c>
      <c r="G20" s="15">
        <v>3.8531829600000002E-10</v>
      </c>
      <c r="H20" s="15">
        <v>0</v>
      </c>
      <c r="I20" s="15">
        <v>0</v>
      </c>
      <c r="J20" s="15">
        <v>0</v>
      </c>
      <c r="K20" s="15">
        <v>3.5729514720000002E-13</v>
      </c>
      <c r="L20" s="15">
        <v>7.4261344320000001E-11</v>
      </c>
      <c r="M20" s="15">
        <v>7.741394856E-16</v>
      </c>
      <c r="N20" s="15">
        <v>7.6222964736000004E-11</v>
      </c>
      <c r="O20" s="15">
        <v>2.1484414079999999E-10</v>
      </c>
      <c r="P20" s="15">
        <v>3.3744541680000003E-10</v>
      </c>
      <c r="Q20" s="170">
        <v>0.87920792079207899</v>
      </c>
      <c r="R20" s="170">
        <v>0.93298969072164994</v>
      </c>
      <c r="S20" s="170">
        <v>0.93633540372670798</v>
      </c>
      <c r="T20" s="170">
        <v>0.930946291560102</v>
      </c>
      <c r="U20" s="170">
        <v>0.94444444444444398</v>
      </c>
      <c r="V20" s="170">
        <v>0.03</v>
      </c>
      <c r="W20" s="170">
        <v>9.5000000000000001E-2</v>
      </c>
      <c r="X20" s="170">
        <v>4.8000000000000001E-2</v>
      </c>
      <c r="Y20" s="170">
        <v>6.9000000000000006E-2</v>
      </c>
      <c r="Z20" s="170">
        <v>8.1000000000000003E-2</v>
      </c>
      <c r="AA20" s="105">
        <f t="shared" si="42"/>
        <v>1.2E-2</v>
      </c>
      <c r="AB20" s="105">
        <f t="shared" si="42"/>
        <v>3.8000000000000006E-2</v>
      </c>
      <c r="AC20" s="105">
        <f t="shared" si="42"/>
        <v>1.9200000000000002E-2</v>
      </c>
      <c r="AD20" s="105">
        <f t="shared" si="42"/>
        <v>2.7600000000000003E-2</v>
      </c>
      <c r="AE20" s="105">
        <f t="shared" si="42"/>
        <v>3.2400000000000005E-2</v>
      </c>
      <c r="AF20" s="15">
        <v>5.20991882293252E-12</v>
      </c>
      <c r="AG20" s="15">
        <v>214</v>
      </c>
      <c r="AH20" s="2">
        <v>2.1000000000000001E-4</v>
      </c>
      <c r="AI20" s="2">
        <v>3.0000000000000001E-3</v>
      </c>
      <c r="AJ20" s="2">
        <v>36</v>
      </c>
      <c r="AK20" s="2" t="s">
        <v>1503</v>
      </c>
      <c r="AL20" s="2">
        <v>2.4</v>
      </c>
      <c r="AM20" s="2">
        <v>3.1</v>
      </c>
      <c r="AN20" s="2" t="s">
        <v>1503</v>
      </c>
      <c r="AO20" s="239">
        <v>0.05</v>
      </c>
      <c r="AP20" s="2" t="s">
        <v>1503</v>
      </c>
      <c r="AQ20" s="2" t="s">
        <v>1503</v>
      </c>
      <c r="AR20" s="239">
        <v>2.3E-3</v>
      </c>
      <c r="AS20" s="2">
        <v>2.4000000000000001E-4</v>
      </c>
      <c r="AT20" s="2">
        <v>2.7586206896552002E-4</v>
      </c>
      <c r="AU20" s="15">
        <v>210</v>
      </c>
      <c r="AV20" s="15"/>
      <c r="AW20" s="15">
        <v>133015508216.677</v>
      </c>
      <c r="AX20" s="42">
        <v>15</v>
      </c>
      <c r="AY20" s="42">
        <v>214</v>
      </c>
      <c r="AZ20" s="105">
        <f t="shared" si="38"/>
        <v>5.5000000000000002E-5</v>
      </c>
      <c r="BA20" s="105">
        <f t="shared" si="39"/>
        <v>0.1386</v>
      </c>
      <c r="BB20" s="105">
        <v>0</v>
      </c>
      <c r="BC20" s="15">
        <v>1.9016203703703698E-9</v>
      </c>
      <c r="BD20" s="105">
        <f t="shared" si="40"/>
        <v>2.7586206896552002E-4</v>
      </c>
      <c r="BE20" s="105">
        <f t="shared" si="41"/>
        <v>2.4000000000000001E-4</v>
      </c>
    </row>
    <row r="21" spans="1:57" x14ac:dyDescent="0.25">
      <c r="A21" s="44" t="s">
        <v>31</v>
      </c>
      <c r="B21" s="42" t="s">
        <v>1071</v>
      </c>
      <c r="C21" s="42">
        <v>1</v>
      </c>
      <c r="D21" s="247">
        <v>0.72849330099999998</v>
      </c>
      <c r="E21" s="15">
        <v>0</v>
      </c>
      <c r="F21" s="15">
        <v>1.39E-11</v>
      </c>
      <c r="G21" s="15">
        <v>6.8423188320000004E-15</v>
      </c>
      <c r="H21" s="15">
        <v>0</v>
      </c>
      <c r="I21" s="15">
        <v>0</v>
      </c>
      <c r="J21" s="15">
        <v>0</v>
      </c>
      <c r="K21" s="15">
        <v>3.9465934560000001E-17</v>
      </c>
      <c r="L21" s="15">
        <v>5.3010456479999998E-15</v>
      </c>
      <c r="M21" s="15">
        <v>5.055843096E-20</v>
      </c>
      <c r="N21" s="15">
        <v>3.1572747648000001E-15</v>
      </c>
      <c r="O21" s="15">
        <v>5.9782717440000002E-15</v>
      </c>
      <c r="P21" s="15">
        <v>6.8189662079999997E-15</v>
      </c>
      <c r="Q21" s="170">
        <v>0.9</v>
      </c>
      <c r="R21" s="170">
        <v>0.9</v>
      </c>
      <c r="S21" s="170">
        <v>0.9</v>
      </c>
      <c r="T21" s="170">
        <v>0.9</v>
      </c>
      <c r="U21" s="170">
        <v>0.9</v>
      </c>
      <c r="V21" s="170">
        <v>0</v>
      </c>
      <c r="W21" s="170">
        <v>0</v>
      </c>
      <c r="X21" s="170">
        <v>0</v>
      </c>
      <c r="Y21" s="170">
        <v>0</v>
      </c>
      <c r="Z21" s="170">
        <v>0</v>
      </c>
      <c r="AA21" s="105">
        <f t="shared" si="42"/>
        <v>0</v>
      </c>
      <c r="AB21" s="105">
        <f t="shared" si="42"/>
        <v>0</v>
      </c>
      <c r="AC21" s="105">
        <f t="shared" si="42"/>
        <v>0</v>
      </c>
      <c r="AD21" s="105">
        <f t="shared" si="42"/>
        <v>0</v>
      </c>
      <c r="AE21" s="105">
        <f t="shared" si="42"/>
        <v>0</v>
      </c>
      <c r="AF21" s="15">
        <v>5.8980213089802101E-6</v>
      </c>
      <c r="AG21" s="15">
        <v>218</v>
      </c>
      <c r="AH21" s="2">
        <v>2.1000000000000001E-4</v>
      </c>
      <c r="AI21" s="2">
        <v>3.0000000000000001E-3</v>
      </c>
      <c r="AJ21" s="2">
        <v>36</v>
      </c>
      <c r="AK21" s="2" t="s">
        <v>1503</v>
      </c>
      <c r="AL21" s="2">
        <v>2.4</v>
      </c>
      <c r="AM21" s="2">
        <v>3.1</v>
      </c>
      <c r="AN21" s="2" t="s">
        <v>1503</v>
      </c>
      <c r="AO21" s="239">
        <v>0.05</v>
      </c>
      <c r="AP21" s="2" t="s">
        <v>1503</v>
      </c>
      <c r="AQ21" s="2" t="s">
        <v>1503</v>
      </c>
      <c r="AR21" s="239">
        <v>2.3E-3</v>
      </c>
      <c r="AS21" s="2">
        <v>2.4000000000000001E-4</v>
      </c>
      <c r="AT21" s="2">
        <v>2.7586206896552002E-4</v>
      </c>
      <c r="AU21" s="15">
        <v>210</v>
      </c>
      <c r="AV21" s="15"/>
      <c r="AW21" s="15">
        <v>117497.032258065</v>
      </c>
      <c r="AX21" s="42">
        <v>15</v>
      </c>
      <c r="AY21" s="42">
        <v>218</v>
      </c>
      <c r="AZ21" s="105">
        <f t="shared" si="38"/>
        <v>5.5000000000000002E-5</v>
      </c>
      <c r="BA21" s="105">
        <f t="shared" si="39"/>
        <v>0.1386</v>
      </c>
      <c r="BB21" s="105">
        <v>0</v>
      </c>
      <c r="BC21" s="15">
        <v>2.1527777777777799E-3</v>
      </c>
      <c r="BD21" s="105">
        <f t="shared" si="40"/>
        <v>2.7586206896552002E-4</v>
      </c>
      <c r="BE21" s="105">
        <f t="shared" si="41"/>
        <v>2.4000000000000001E-4</v>
      </c>
    </row>
    <row r="22" spans="1:57" x14ac:dyDescent="0.25">
      <c r="A22" s="44" t="s">
        <v>32</v>
      </c>
      <c r="B22" s="42" t="s">
        <v>1071</v>
      </c>
      <c r="C22" s="42"/>
      <c r="D22" s="2"/>
      <c r="E22" s="15">
        <v>2.4235E-10</v>
      </c>
      <c r="F22" s="15">
        <v>2.6159E-8</v>
      </c>
      <c r="G22" s="15">
        <v>6.106711176E-9</v>
      </c>
      <c r="H22" s="15">
        <v>1.5355E-10</v>
      </c>
      <c r="I22" s="15">
        <v>1.1432999999999999E-10</v>
      </c>
      <c r="J22" s="15">
        <v>7.4369999999999998E-11</v>
      </c>
      <c r="K22" s="15">
        <v>1.844857296E-11</v>
      </c>
      <c r="L22" s="15">
        <v>8.8389681839999997E-9</v>
      </c>
      <c r="M22" s="15">
        <v>4.2385012559999998E-14</v>
      </c>
      <c r="N22" s="15">
        <v>4.4463396095999997E-9</v>
      </c>
      <c r="O22" s="15">
        <v>6.0716822400000003E-9</v>
      </c>
      <c r="P22" s="15">
        <v>6.0950348640000001E-9</v>
      </c>
      <c r="Q22" s="170">
        <v>0.98748261474269805</v>
      </c>
      <c r="R22" s="170">
        <v>0.86834733893557403</v>
      </c>
      <c r="S22" s="170">
        <v>0.98884758364312197</v>
      </c>
      <c r="T22" s="170">
        <v>0.95495495495495497</v>
      </c>
      <c r="U22" s="170">
        <v>0.95760598503740701</v>
      </c>
      <c r="V22" s="170">
        <v>4.1000000000000003E-9</v>
      </c>
      <c r="W22" s="170">
        <v>2.4E-8</v>
      </c>
      <c r="X22" s="170">
        <v>2.3000000000000001E-8</v>
      </c>
      <c r="Y22" s="170">
        <v>3.1E-8</v>
      </c>
      <c r="Z22" s="170">
        <v>2.9999999999999997E-8</v>
      </c>
      <c r="AA22" s="105">
        <f t="shared" ref="AA22:AE23" si="43">0.4*V22</f>
        <v>1.6400000000000001E-9</v>
      </c>
      <c r="AB22" s="105">
        <f t="shared" si="43"/>
        <v>9.5999999999999999E-9</v>
      </c>
      <c r="AC22" s="105">
        <f t="shared" si="43"/>
        <v>9.2000000000000013E-9</v>
      </c>
      <c r="AD22" s="105">
        <f t="shared" si="43"/>
        <v>1.24E-8</v>
      </c>
      <c r="AE22" s="105">
        <f t="shared" si="43"/>
        <v>1.2E-8</v>
      </c>
      <c r="AF22" s="15">
        <v>4.0821917808219199E-2</v>
      </c>
      <c r="AG22" s="15">
        <v>225</v>
      </c>
      <c r="AH22" s="2">
        <v>3.8000000000000002E-4</v>
      </c>
      <c r="AI22" s="2">
        <v>1.6999999999999999E-3</v>
      </c>
      <c r="AJ22" s="2">
        <v>4</v>
      </c>
      <c r="AK22" s="2">
        <v>100</v>
      </c>
      <c r="AL22" s="2" t="s">
        <v>1503</v>
      </c>
      <c r="AM22" s="2" t="s">
        <v>1503</v>
      </c>
      <c r="AN22" s="2" t="s">
        <v>1503</v>
      </c>
      <c r="AO22" s="239">
        <v>5.0000000000000001E-3</v>
      </c>
      <c r="AP22" s="2" t="s">
        <v>1503</v>
      </c>
      <c r="AQ22" s="2" t="s">
        <v>1503</v>
      </c>
      <c r="AR22" s="2" t="s">
        <v>1503</v>
      </c>
      <c r="AS22" s="2">
        <v>1.7000000000000001E-2</v>
      </c>
      <c r="AT22" s="2">
        <v>1.9540229885056999E-2</v>
      </c>
      <c r="AU22" s="15">
        <v>1</v>
      </c>
      <c r="AV22" s="15">
        <v>0.2</v>
      </c>
      <c r="AW22" s="15">
        <v>16.976174496644301</v>
      </c>
      <c r="AX22" s="42"/>
      <c r="AY22" s="42">
        <v>225</v>
      </c>
      <c r="AZ22" s="105">
        <f t="shared" ref="AZ22:AZ23" si="44">BB22+s_lambda_HL</f>
        <v>5.5000000000000002E-5</v>
      </c>
      <c r="BA22" s="105">
        <f t="shared" ref="BA22:BA23" si="45">BB22+(0.693/s_t_w)</f>
        <v>0.1386</v>
      </c>
      <c r="BB22" s="105">
        <v>0</v>
      </c>
      <c r="BC22" s="15">
        <v>14.9</v>
      </c>
      <c r="BD22" s="105">
        <f>AT22</f>
        <v>1.9540229885056999E-2</v>
      </c>
      <c r="BE22" s="105">
        <f t="shared" ref="BE22:BE23" si="46">AS22</f>
        <v>1.7000000000000001E-2</v>
      </c>
    </row>
    <row r="23" spans="1:57" x14ac:dyDescent="0.25">
      <c r="A23" s="46" t="s">
        <v>33</v>
      </c>
      <c r="B23" s="42" t="s">
        <v>349</v>
      </c>
      <c r="C23" s="42"/>
      <c r="D23" s="2"/>
      <c r="E23" s="15">
        <v>6.7709999999999997E-10</v>
      </c>
      <c r="F23" s="15">
        <v>2.8156999999999999E-8</v>
      </c>
      <c r="G23" s="15">
        <v>2.4987307680000001E-8</v>
      </c>
      <c r="H23" s="15">
        <v>5.1429999999999997E-10</v>
      </c>
      <c r="I23" s="15">
        <v>3.8480000000000001E-10</v>
      </c>
      <c r="J23" s="15">
        <v>2.9451999999999998E-10</v>
      </c>
      <c r="K23" s="15">
        <v>2.849020128E-11</v>
      </c>
      <c r="L23" s="15">
        <v>6.2468269200000004E-9</v>
      </c>
      <c r="M23" s="15">
        <v>6.2701795440000005E-14</v>
      </c>
      <c r="N23" s="15">
        <v>6.3332316288000001E-9</v>
      </c>
      <c r="O23" s="15">
        <v>1.7315970695999999E-8</v>
      </c>
      <c r="P23" s="15">
        <v>2.4286728960000001E-8</v>
      </c>
      <c r="Q23" s="170">
        <v>0.927927927927928</v>
      </c>
      <c r="R23" s="170">
        <v>0.82729805013927604</v>
      </c>
      <c r="S23" s="170">
        <v>0.88145896656534894</v>
      </c>
      <c r="T23" s="170">
        <v>0.89258312020460395</v>
      </c>
      <c r="U23" s="170">
        <v>0.88349514563106801</v>
      </c>
      <c r="V23" s="170">
        <v>3.5000000000000003E-2</v>
      </c>
      <c r="W23" s="170">
        <v>0.11</v>
      </c>
      <c r="X23" s="170">
        <v>5.8000000000000003E-2</v>
      </c>
      <c r="Y23" s="170">
        <v>8.1000000000000003E-2</v>
      </c>
      <c r="Z23" s="170">
        <v>0.1</v>
      </c>
      <c r="AA23" s="105">
        <f t="shared" si="43"/>
        <v>1.4000000000000002E-2</v>
      </c>
      <c r="AB23" s="105">
        <f t="shared" si="43"/>
        <v>4.4000000000000004E-2</v>
      </c>
      <c r="AC23" s="105">
        <f t="shared" si="43"/>
        <v>2.3200000000000002E-2</v>
      </c>
      <c r="AD23" s="105">
        <f t="shared" si="43"/>
        <v>3.2400000000000005E-2</v>
      </c>
      <c r="AE23" s="105">
        <f t="shared" si="43"/>
        <v>4.0000000000000008E-2</v>
      </c>
      <c r="AF23" s="15">
        <v>1600</v>
      </c>
      <c r="AG23" s="15">
        <v>226</v>
      </c>
      <c r="AH23" s="2">
        <v>3.8000000000000002E-4</v>
      </c>
      <c r="AI23" s="2">
        <v>1.6999999999999999E-3</v>
      </c>
      <c r="AJ23" s="2">
        <v>4</v>
      </c>
      <c r="AK23" s="2">
        <v>100</v>
      </c>
      <c r="AL23" s="2" t="s">
        <v>1503</v>
      </c>
      <c r="AM23" s="2" t="s">
        <v>1503</v>
      </c>
      <c r="AN23" s="2" t="s">
        <v>1503</v>
      </c>
      <c r="AO23" s="239">
        <v>5.0000000000000001E-3</v>
      </c>
      <c r="AP23" s="2" t="s">
        <v>1503</v>
      </c>
      <c r="AQ23" s="2" t="s">
        <v>1503</v>
      </c>
      <c r="AR23" s="2" t="s">
        <v>1503</v>
      </c>
      <c r="AS23" s="2">
        <v>1.7000000000000001E-2</v>
      </c>
      <c r="AT23" s="2">
        <v>1.9540229885056999E-2</v>
      </c>
      <c r="AU23" s="15">
        <v>1</v>
      </c>
      <c r="AV23" s="15">
        <v>0.2</v>
      </c>
      <c r="AW23" s="15">
        <v>4.3312500000000002E-4</v>
      </c>
      <c r="AX23" s="42">
        <v>5</v>
      </c>
      <c r="AY23" s="42">
        <v>226</v>
      </c>
      <c r="AZ23" s="105">
        <f t="shared" si="44"/>
        <v>5.5000000000000002E-5</v>
      </c>
      <c r="BA23" s="105">
        <f t="shared" si="45"/>
        <v>0.1386</v>
      </c>
      <c r="BB23" s="105">
        <v>0</v>
      </c>
      <c r="BC23" s="15">
        <v>584000</v>
      </c>
      <c r="BD23" s="105">
        <f t="shared" ref="BD23" si="47">AT23</f>
        <v>1.9540229885056999E-2</v>
      </c>
      <c r="BE23" s="105">
        <f t="shared" si="46"/>
        <v>1.7000000000000001E-2</v>
      </c>
    </row>
    <row r="24" spans="1:57" x14ac:dyDescent="0.25">
      <c r="A24" s="44" t="s">
        <v>34</v>
      </c>
      <c r="B24" s="42" t="s">
        <v>1071</v>
      </c>
      <c r="C24" s="42">
        <v>1</v>
      </c>
      <c r="D24" s="247">
        <v>1.4525200000000001E-7</v>
      </c>
      <c r="E24" s="15">
        <v>0</v>
      </c>
      <c r="F24" s="15">
        <v>0</v>
      </c>
      <c r="G24" s="15">
        <v>3.3861304799999998E-9</v>
      </c>
      <c r="H24" s="15">
        <v>0</v>
      </c>
      <c r="I24" s="15">
        <v>0</v>
      </c>
      <c r="J24" s="15">
        <v>0</v>
      </c>
      <c r="K24" s="15">
        <v>3.187633176E-12</v>
      </c>
      <c r="L24" s="15">
        <v>6.807289896E-10</v>
      </c>
      <c r="M24" s="15">
        <v>6.9240530159999999E-15</v>
      </c>
      <c r="N24" s="15">
        <v>6.9684230016000005E-10</v>
      </c>
      <c r="O24" s="15">
        <v>1.9616204160000001E-9</v>
      </c>
      <c r="P24" s="15">
        <v>3.0358411200000002E-9</v>
      </c>
      <c r="Q24" s="170">
        <v>0.886075949367089</v>
      </c>
      <c r="R24" s="170">
        <v>0.91340782122904995</v>
      </c>
      <c r="S24" s="170">
        <v>0.93388429752066104</v>
      </c>
      <c r="T24" s="170">
        <v>0.91913746630727799</v>
      </c>
      <c r="U24" s="170">
        <v>0.95499999999999996</v>
      </c>
      <c r="V24" s="170">
        <v>2.5999999999999999E-2</v>
      </c>
      <c r="W24" s="170">
        <v>7.5999999999999998E-2</v>
      </c>
      <c r="X24" s="170">
        <v>4.1000000000000002E-2</v>
      </c>
      <c r="Y24" s="170">
        <v>5.8999999999999997E-2</v>
      </c>
      <c r="Z24" s="170">
        <v>6.8000000000000005E-2</v>
      </c>
      <c r="AA24" s="105">
        <f t="shared" ref="AA24:AE25" si="48">0.4*V24</f>
        <v>1.04E-2</v>
      </c>
      <c r="AB24" s="105">
        <f t="shared" si="48"/>
        <v>3.04E-2</v>
      </c>
      <c r="AC24" s="105">
        <f t="shared" si="48"/>
        <v>1.6400000000000001E-2</v>
      </c>
      <c r="AD24" s="105">
        <f t="shared" si="48"/>
        <v>2.3599999999999999E-2</v>
      </c>
      <c r="AE24" s="105">
        <f t="shared" si="48"/>
        <v>2.7200000000000002E-2</v>
      </c>
      <c r="AF24" s="15">
        <v>1.1098427194317601E-9</v>
      </c>
      <c r="AG24" s="15">
        <v>218</v>
      </c>
      <c r="AH24" s="2">
        <v>0</v>
      </c>
      <c r="AI24" s="2">
        <v>0</v>
      </c>
      <c r="AJ24" s="2">
        <v>0</v>
      </c>
      <c r="AK24" s="2" t="s">
        <v>1503</v>
      </c>
      <c r="AL24" s="2" t="s">
        <v>1503</v>
      </c>
      <c r="AM24" s="2" t="s">
        <v>1503</v>
      </c>
      <c r="AN24" s="2" t="s">
        <v>1503</v>
      </c>
      <c r="AO24" s="2" t="s">
        <v>1503</v>
      </c>
      <c r="AP24" s="2" t="s">
        <v>1503</v>
      </c>
      <c r="AQ24" s="2" t="s">
        <v>1503</v>
      </c>
      <c r="AR24" s="2" t="s">
        <v>1503</v>
      </c>
      <c r="AS24" s="2">
        <v>0</v>
      </c>
      <c r="AT24" s="2">
        <v>0</v>
      </c>
      <c r="AU24" s="15">
        <v>0</v>
      </c>
      <c r="AV24" s="15"/>
      <c r="AW24" s="15">
        <v>624412800</v>
      </c>
      <c r="AX24" s="42"/>
      <c r="AY24" s="42">
        <v>218</v>
      </c>
      <c r="AZ24" s="105">
        <f t="shared" ref="AZ24:AZ25" si="49">BB24+s_lambda_HL</f>
        <v>5.5000000000000002E-5</v>
      </c>
      <c r="BA24" s="105">
        <f t="shared" ref="BA24:BA25" si="50">BB24+(0.693/s_t_w)</f>
        <v>0.1386</v>
      </c>
      <c r="BB24" s="105">
        <v>0</v>
      </c>
      <c r="BC24" s="15">
        <v>4.05092592592593E-7</v>
      </c>
      <c r="BD24" s="105">
        <f t="shared" ref="BD24:BD25" si="51">AT24</f>
        <v>0</v>
      </c>
      <c r="BE24" s="105">
        <f t="shared" ref="BE24:BE25" si="52">AS24</f>
        <v>0</v>
      </c>
    </row>
    <row r="25" spans="1:57" x14ac:dyDescent="0.25">
      <c r="A25" s="46" t="s">
        <v>35</v>
      </c>
      <c r="B25" s="42" t="s">
        <v>349</v>
      </c>
      <c r="C25" s="42">
        <v>1</v>
      </c>
      <c r="D25" s="247">
        <v>1</v>
      </c>
      <c r="E25" s="15">
        <v>0</v>
      </c>
      <c r="F25" s="45">
        <v>2.28E-12</v>
      </c>
      <c r="G25" s="15">
        <v>1.6930652399999999E-9</v>
      </c>
      <c r="H25" s="15">
        <v>0</v>
      </c>
      <c r="I25" s="15">
        <v>0</v>
      </c>
      <c r="J25" s="15">
        <v>0</v>
      </c>
      <c r="K25" s="15">
        <v>1.6230073680000001E-12</v>
      </c>
      <c r="L25" s="15">
        <v>3.5028935999999998E-10</v>
      </c>
      <c r="M25" s="15">
        <v>3.5145699120000001E-15</v>
      </c>
      <c r="N25" s="15">
        <v>3.5682809472000002E-10</v>
      </c>
      <c r="O25" s="15">
        <v>1.00696514688E-9</v>
      </c>
      <c r="P25" s="15">
        <v>1.5412731840000001E-9</v>
      </c>
      <c r="Q25" s="170">
        <v>0.881287726358149</v>
      </c>
      <c r="R25" s="170">
        <v>0.94318181818181801</v>
      </c>
      <c r="S25" s="170">
        <v>0.93949044585987296</v>
      </c>
      <c r="T25" s="170">
        <v>0.93193717277486898</v>
      </c>
      <c r="U25" s="170">
        <v>0.91981132075471705</v>
      </c>
      <c r="V25" s="170">
        <v>2.1999999999999999E-2</v>
      </c>
      <c r="W25" s="170">
        <v>6.6000000000000003E-2</v>
      </c>
      <c r="X25" s="170">
        <v>3.6999999999999998E-2</v>
      </c>
      <c r="Y25" s="170">
        <v>5.1999999999999998E-2</v>
      </c>
      <c r="Z25" s="170">
        <v>5.8999999999999997E-2</v>
      </c>
      <c r="AA25" s="105">
        <f t="shared" si="48"/>
        <v>8.8000000000000005E-3</v>
      </c>
      <c r="AB25" s="105">
        <f t="shared" si="48"/>
        <v>2.6400000000000003E-2</v>
      </c>
      <c r="AC25" s="105">
        <f t="shared" si="48"/>
        <v>1.4800000000000001E-2</v>
      </c>
      <c r="AD25" s="105">
        <f t="shared" si="48"/>
        <v>2.0799999999999999E-2</v>
      </c>
      <c r="AE25" s="105">
        <f t="shared" si="48"/>
        <v>2.3599999999999999E-2</v>
      </c>
      <c r="AF25" s="15">
        <v>1.04753424657534E-2</v>
      </c>
      <c r="AG25" s="15">
        <v>222</v>
      </c>
      <c r="AH25" s="2">
        <v>0</v>
      </c>
      <c r="AI25" s="2">
        <v>0</v>
      </c>
      <c r="AJ25" s="2">
        <v>0</v>
      </c>
      <c r="AK25" s="2" t="s">
        <v>1503</v>
      </c>
      <c r="AL25" s="2" t="s">
        <v>1503</v>
      </c>
      <c r="AM25" s="2" t="s">
        <v>1503</v>
      </c>
      <c r="AN25" s="2" t="s">
        <v>1503</v>
      </c>
      <c r="AO25" s="2" t="s">
        <v>1503</v>
      </c>
      <c r="AP25" s="2" t="s">
        <v>1503</v>
      </c>
      <c r="AQ25" s="2" t="s">
        <v>1503</v>
      </c>
      <c r="AR25" s="2" t="s">
        <v>1503</v>
      </c>
      <c r="AS25" s="2">
        <v>0</v>
      </c>
      <c r="AT25" s="2">
        <v>0</v>
      </c>
      <c r="AU25" s="15">
        <v>0</v>
      </c>
      <c r="AV25" s="15"/>
      <c r="AW25" s="15">
        <v>66.155355041192607</v>
      </c>
      <c r="AX25" s="42"/>
      <c r="AY25" s="42">
        <v>222</v>
      </c>
      <c r="AZ25" s="105">
        <f t="shared" si="49"/>
        <v>5.5000000000000002E-5</v>
      </c>
      <c r="BA25" s="105">
        <f t="shared" si="50"/>
        <v>0.1386</v>
      </c>
      <c r="BB25" s="105">
        <v>0</v>
      </c>
      <c r="BC25" s="15">
        <v>3.8235000000000001</v>
      </c>
      <c r="BD25" s="105">
        <f t="shared" si="51"/>
        <v>0</v>
      </c>
      <c r="BE25" s="105">
        <f t="shared" si="52"/>
        <v>0</v>
      </c>
    </row>
    <row r="26" spans="1:57" x14ac:dyDescent="0.25">
      <c r="A26" s="44" t="s">
        <v>36</v>
      </c>
      <c r="B26" s="42" t="s">
        <v>1071</v>
      </c>
      <c r="C26" s="42"/>
      <c r="D26" s="2"/>
      <c r="E26" s="15">
        <v>3.8480000000000001E-10</v>
      </c>
      <c r="F26" s="15">
        <v>1.7464000000000001E-7</v>
      </c>
      <c r="G26" s="15">
        <v>2.241851904E-7</v>
      </c>
      <c r="H26" s="15">
        <v>2.9045000000000002E-10</v>
      </c>
      <c r="I26" s="15">
        <v>2.2347999999999999E-10</v>
      </c>
      <c r="J26" s="15">
        <v>1.9683999999999999E-10</v>
      </c>
      <c r="K26" s="15">
        <v>3.0008121840000002E-10</v>
      </c>
      <c r="L26" s="15">
        <v>7.0758450719999997E-8</v>
      </c>
      <c r="M26" s="15">
        <v>6.6788504639999998E-13</v>
      </c>
      <c r="N26" s="15">
        <v>6.7629199103999999E-8</v>
      </c>
      <c r="O26" s="15">
        <v>1.7059091832000001E-7</v>
      </c>
      <c r="P26" s="15">
        <v>2.2184992799999999E-7</v>
      </c>
      <c r="Q26" s="170">
        <v>0.97538461538461496</v>
      </c>
      <c r="R26" s="170">
        <v>0.95145631067961201</v>
      </c>
      <c r="S26" s="170">
        <v>0.91964285714285698</v>
      </c>
      <c r="T26" s="170">
        <v>0.91074681238615696</v>
      </c>
      <c r="U26" s="170">
        <v>0.91954022988505801</v>
      </c>
      <c r="V26" s="170">
        <v>1.1000000000000001E-3</v>
      </c>
      <c r="W26" s="170">
        <v>1.2E-2</v>
      </c>
      <c r="X26" s="170">
        <v>6.7999999999999996E-3</v>
      </c>
      <c r="Y26" s="170">
        <v>9.4999999999999998E-3</v>
      </c>
      <c r="Z26" s="170">
        <v>1.0999999999999999E-2</v>
      </c>
      <c r="AA26" s="105">
        <f t="shared" ref="AA26:AE26" si="53">0.4*V26</f>
        <v>4.4000000000000007E-4</v>
      </c>
      <c r="AB26" s="105">
        <f t="shared" si="53"/>
        <v>4.8000000000000004E-3</v>
      </c>
      <c r="AC26" s="105">
        <f t="shared" si="53"/>
        <v>2.7200000000000002E-3</v>
      </c>
      <c r="AD26" s="105">
        <f t="shared" si="53"/>
        <v>3.8E-3</v>
      </c>
      <c r="AE26" s="105">
        <f t="shared" si="53"/>
        <v>4.4000000000000003E-3</v>
      </c>
      <c r="AF26" s="15">
        <v>7340</v>
      </c>
      <c r="AG26" s="15">
        <v>229</v>
      </c>
      <c r="AH26" s="2">
        <v>5.0000000000000004E-6</v>
      </c>
      <c r="AI26" s="2">
        <v>2.3000000000000001E-4</v>
      </c>
      <c r="AJ26" s="2">
        <v>6</v>
      </c>
      <c r="AK26" s="2">
        <v>2900</v>
      </c>
      <c r="AL26" s="2" t="s">
        <v>1503</v>
      </c>
      <c r="AM26" s="2" t="s">
        <v>1503</v>
      </c>
      <c r="AN26" s="2" t="s">
        <v>1503</v>
      </c>
      <c r="AO26" s="239">
        <v>1E-3</v>
      </c>
      <c r="AP26" s="2" t="s">
        <v>1503</v>
      </c>
      <c r="AQ26" s="2" t="s">
        <v>1503</v>
      </c>
      <c r="AR26" s="2" t="s">
        <v>1503</v>
      </c>
      <c r="AS26" s="2">
        <v>2.0999999999999999E-3</v>
      </c>
      <c r="AT26" s="2">
        <v>2.4137931034482999E-3</v>
      </c>
      <c r="AU26" s="15">
        <v>20</v>
      </c>
      <c r="AV26" s="15">
        <v>5.0000000000000001E-4</v>
      </c>
      <c r="AW26" s="15">
        <v>9.4414168937329696E-5</v>
      </c>
      <c r="AX26" s="42">
        <v>15</v>
      </c>
      <c r="AY26" s="42">
        <v>229</v>
      </c>
      <c r="AZ26" s="105">
        <f t="shared" ref="AZ26" si="54">BB26+s_lambda_HL</f>
        <v>5.5000000000000002E-5</v>
      </c>
      <c r="BA26" s="105">
        <f t="shared" ref="BA26" si="55">BB26+(0.693/s_t_w)</f>
        <v>0.1386</v>
      </c>
      <c r="BB26" s="105">
        <v>0</v>
      </c>
      <c r="BC26" s="15">
        <v>2679100</v>
      </c>
      <c r="BD26" s="105">
        <f t="shared" ref="BD26" si="56">AT26</f>
        <v>2.4137931034482999E-3</v>
      </c>
      <c r="BE26" s="105">
        <f t="shared" ref="BE26" si="57">AS26</f>
        <v>2.0999999999999999E-3</v>
      </c>
    </row>
    <row r="27" spans="1:57" x14ac:dyDescent="0.25">
      <c r="A27" s="44" t="s">
        <v>37</v>
      </c>
      <c r="B27" s="42" t="s">
        <v>1071</v>
      </c>
      <c r="C27" s="42">
        <v>1</v>
      </c>
      <c r="D27" s="247">
        <v>0</v>
      </c>
      <c r="E27" s="15">
        <v>0</v>
      </c>
      <c r="F27" s="15">
        <v>0</v>
      </c>
      <c r="G27" s="15">
        <v>6.106711176E-9</v>
      </c>
      <c r="H27" s="15">
        <v>0</v>
      </c>
      <c r="I27" s="15">
        <v>0</v>
      </c>
      <c r="J27" s="15">
        <v>0</v>
      </c>
      <c r="K27" s="15">
        <v>9.3994311600000004E-12</v>
      </c>
      <c r="L27" s="15">
        <v>8.5704130080000005E-9</v>
      </c>
      <c r="M27" s="15">
        <v>1.4712153119999999E-14</v>
      </c>
      <c r="N27" s="15">
        <v>2.0737130111999998E-9</v>
      </c>
      <c r="O27" s="15">
        <v>4.4089754112000003E-9</v>
      </c>
      <c r="P27" s="15">
        <v>5.8615086239999998E-9</v>
      </c>
      <c r="Q27" s="170">
        <v>0.94202898550724601</v>
      </c>
      <c r="R27" s="170">
        <v>0.96767241379310298</v>
      </c>
      <c r="S27" s="170">
        <v>0.91346153846153799</v>
      </c>
      <c r="T27" s="170">
        <v>0.90301003344481601</v>
      </c>
      <c r="U27" s="170">
        <v>0.91029900332225899</v>
      </c>
      <c r="V27" s="170">
        <v>6.1999999999999998E-3</v>
      </c>
      <c r="W27" s="170">
        <v>5.6000000000000001E-2</v>
      </c>
      <c r="X27" s="170">
        <v>0.02</v>
      </c>
      <c r="Y27" s="170">
        <v>3.3000000000000002E-2</v>
      </c>
      <c r="Z27" s="170">
        <v>4.4999999999999998E-2</v>
      </c>
      <c r="AA27" s="105">
        <f t="shared" ref="AA27:AE30" si="58">0.4*V27</f>
        <v>2.48E-3</v>
      </c>
      <c r="AB27" s="105">
        <f t="shared" si="58"/>
        <v>2.2400000000000003E-2</v>
      </c>
      <c r="AC27" s="105">
        <f t="shared" si="58"/>
        <v>8.0000000000000002E-3</v>
      </c>
      <c r="AD27" s="105">
        <f t="shared" si="58"/>
        <v>1.3200000000000002E-2</v>
      </c>
      <c r="AE27" s="105">
        <f t="shared" si="58"/>
        <v>1.7999999999999999E-2</v>
      </c>
      <c r="AF27" s="15">
        <v>7.9908675799086794E-6</v>
      </c>
      <c r="AG27" s="15">
        <v>206</v>
      </c>
      <c r="AH27" s="2">
        <v>2E-3</v>
      </c>
      <c r="AI27" s="2">
        <v>0.04</v>
      </c>
      <c r="AJ27" s="2">
        <v>900</v>
      </c>
      <c r="AK27" s="2" t="s">
        <v>1503</v>
      </c>
      <c r="AL27" s="2" t="s">
        <v>1503</v>
      </c>
      <c r="AM27" s="2" t="s">
        <v>1503</v>
      </c>
      <c r="AN27" s="2" t="s">
        <v>1503</v>
      </c>
      <c r="AO27" s="239">
        <v>0.4</v>
      </c>
      <c r="AP27" s="2" t="s">
        <v>1503</v>
      </c>
      <c r="AQ27" s="2" t="s">
        <v>1503</v>
      </c>
      <c r="AR27" s="2" t="s">
        <v>1503</v>
      </c>
      <c r="AS27" s="2">
        <v>8.0000000000000004E-4</v>
      </c>
      <c r="AT27" s="2">
        <v>8.0000000000000002E-3</v>
      </c>
      <c r="AU27" s="15">
        <v>1500</v>
      </c>
      <c r="AV27" s="15"/>
      <c r="AW27" s="15">
        <v>86724</v>
      </c>
      <c r="AX27" s="42"/>
      <c r="AY27" s="42">
        <v>206</v>
      </c>
      <c r="AZ27" s="105">
        <f t="shared" ref="AZ27:AZ30" si="59">BB27+s_lambda_HL</f>
        <v>5.5000000000000002E-5</v>
      </c>
      <c r="BA27" s="105">
        <f t="shared" ref="BA27:BA30" si="60">BB27+(0.693/s_t_w)</f>
        <v>0.1386</v>
      </c>
      <c r="BB27" s="105">
        <v>0</v>
      </c>
      <c r="BC27" s="15">
        <v>2.9166666666666698E-3</v>
      </c>
      <c r="BD27" s="105">
        <f t="shared" ref="BD27:BD30" si="61">AT27</f>
        <v>8.0000000000000002E-3</v>
      </c>
      <c r="BE27" s="105">
        <f t="shared" ref="BE27:BE30" si="62">AS27</f>
        <v>8.0000000000000004E-4</v>
      </c>
    </row>
    <row r="28" spans="1:57" x14ac:dyDescent="0.25">
      <c r="A28" s="44" t="s">
        <v>38</v>
      </c>
      <c r="B28" s="42" t="s">
        <v>1071</v>
      </c>
      <c r="C28" s="42"/>
      <c r="D28" s="2"/>
      <c r="E28" s="15">
        <v>0</v>
      </c>
      <c r="F28" s="15">
        <v>0</v>
      </c>
      <c r="G28" s="15">
        <v>1.0321859808E-5</v>
      </c>
      <c r="H28" s="15">
        <v>0</v>
      </c>
      <c r="I28" s="15">
        <v>0</v>
      </c>
      <c r="J28" s="15">
        <v>0</v>
      </c>
      <c r="K28" s="15">
        <v>9.5745758399999995E-9</v>
      </c>
      <c r="L28" s="15">
        <v>1.8565336080000001E-6</v>
      </c>
      <c r="M28" s="15">
        <v>2.078383536E-11</v>
      </c>
      <c r="N28" s="15">
        <v>1.9055741184E-6</v>
      </c>
      <c r="O28" s="15">
        <v>5.4738550656000002E-6</v>
      </c>
      <c r="P28" s="15">
        <v>8.710528752E-6</v>
      </c>
      <c r="Q28" s="170">
        <v>0.86776859504132198</v>
      </c>
      <c r="R28" s="170">
        <v>0.94199999999999995</v>
      </c>
      <c r="S28" s="170">
        <v>0.93081761006289299</v>
      </c>
      <c r="T28" s="170">
        <v>0.94166666666666698</v>
      </c>
      <c r="U28" s="170">
        <v>0.91360294117647101</v>
      </c>
      <c r="V28" s="170">
        <v>3.5999999999999997E-2</v>
      </c>
      <c r="W28" s="170">
        <v>0.13</v>
      </c>
      <c r="X28" s="170">
        <v>5.8999999999999997E-2</v>
      </c>
      <c r="Y28" s="170">
        <v>8.4000000000000005E-2</v>
      </c>
      <c r="Z28" s="170">
        <v>0.1</v>
      </c>
      <c r="AA28" s="105">
        <f t="shared" si="58"/>
        <v>1.44E-2</v>
      </c>
      <c r="AB28" s="105">
        <f t="shared" si="58"/>
        <v>5.2000000000000005E-2</v>
      </c>
      <c r="AC28" s="105">
        <f t="shared" si="58"/>
        <v>2.3599999999999999E-2</v>
      </c>
      <c r="AD28" s="105">
        <f t="shared" si="58"/>
        <v>3.3600000000000005E-2</v>
      </c>
      <c r="AE28" s="105">
        <f t="shared" si="58"/>
        <v>4.0000000000000008E-2</v>
      </c>
      <c r="AF28" s="15">
        <v>4.1114916286149197E-6</v>
      </c>
      <c r="AG28" s="15">
        <v>209</v>
      </c>
      <c r="AH28" s="2">
        <v>2E-3</v>
      </c>
      <c r="AI28" s="2">
        <v>0.04</v>
      </c>
      <c r="AJ28" s="2">
        <v>900</v>
      </c>
      <c r="AK28" s="2" t="s">
        <v>1503</v>
      </c>
      <c r="AL28" s="2" t="s">
        <v>1503</v>
      </c>
      <c r="AM28" s="2" t="s">
        <v>1503</v>
      </c>
      <c r="AN28" s="2" t="s">
        <v>1503</v>
      </c>
      <c r="AO28" s="239">
        <v>0.4</v>
      </c>
      <c r="AP28" s="2" t="s">
        <v>1503</v>
      </c>
      <c r="AQ28" s="2" t="s">
        <v>1503</v>
      </c>
      <c r="AR28" s="2" t="s">
        <v>1503</v>
      </c>
      <c r="AS28" s="2">
        <v>8.0000000000000004E-4</v>
      </c>
      <c r="AT28" s="2">
        <v>8.0000000000000002E-3</v>
      </c>
      <c r="AU28" s="15">
        <v>1500</v>
      </c>
      <c r="AV28" s="15"/>
      <c r="AW28" s="15">
        <v>168551.966682092</v>
      </c>
      <c r="AX28" s="42"/>
      <c r="AY28" s="42">
        <v>209</v>
      </c>
      <c r="AZ28" s="105">
        <f t="shared" si="59"/>
        <v>5.5000000000000002E-5</v>
      </c>
      <c r="BA28" s="105">
        <f t="shared" si="60"/>
        <v>0.1386</v>
      </c>
      <c r="BB28" s="105">
        <v>0</v>
      </c>
      <c r="BC28" s="15">
        <v>1.5006944444444399E-3</v>
      </c>
      <c r="BD28" s="105">
        <f t="shared" si="61"/>
        <v>8.0000000000000002E-3</v>
      </c>
      <c r="BE28" s="105">
        <f t="shared" si="62"/>
        <v>8.0000000000000004E-4</v>
      </c>
    </row>
    <row r="29" spans="1:57" x14ac:dyDescent="0.25">
      <c r="A29" s="44" t="s">
        <v>39</v>
      </c>
      <c r="B29" s="42" t="s">
        <v>1071</v>
      </c>
      <c r="C29" s="42">
        <v>1</v>
      </c>
      <c r="D29" s="247">
        <v>9.2449899999999997E-6</v>
      </c>
      <c r="E29" s="15">
        <v>0</v>
      </c>
      <c r="F29" s="15">
        <v>0</v>
      </c>
      <c r="G29" s="15">
        <v>1.34277588E-5</v>
      </c>
      <c r="H29" s="15">
        <v>0</v>
      </c>
      <c r="I29" s="15">
        <v>0</v>
      </c>
      <c r="J29" s="15">
        <v>0</v>
      </c>
      <c r="K29" s="15">
        <v>1.237689072E-8</v>
      </c>
      <c r="L29" s="15">
        <v>2.4053202719999999E-6</v>
      </c>
      <c r="M29" s="15">
        <v>2.6855517599999999E-11</v>
      </c>
      <c r="N29" s="15">
        <v>2.4847191936000002E-6</v>
      </c>
      <c r="O29" s="15">
        <v>7.1178797952000003E-6</v>
      </c>
      <c r="P29" s="15">
        <v>1.1361051576E-5</v>
      </c>
      <c r="Q29" s="170">
        <v>0.87301587301587302</v>
      </c>
      <c r="R29" s="170">
        <v>0.93846153846153801</v>
      </c>
      <c r="S29" s="170">
        <v>0.94059405940594099</v>
      </c>
      <c r="T29" s="170">
        <v>0.94308943089430897</v>
      </c>
      <c r="U29" s="170">
        <v>0.93390804597701205</v>
      </c>
      <c r="V29" s="170">
        <v>3.5999999999999997E-2</v>
      </c>
      <c r="W29" s="170">
        <v>0.12</v>
      </c>
      <c r="X29" s="170">
        <v>0.06</v>
      </c>
      <c r="Y29" s="170">
        <v>8.4000000000000005E-2</v>
      </c>
      <c r="Z29" s="170">
        <v>0.1</v>
      </c>
      <c r="AA29" s="105">
        <f t="shared" si="58"/>
        <v>1.44E-2</v>
      </c>
      <c r="AB29" s="105">
        <f t="shared" si="58"/>
        <v>4.8000000000000001E-2</v>
      </c>
      <c r="AC29" s="105">
        <f t="shared" si="58"/>
        <v>2.4E-2</v>
      </c>
      <c r="AD29" s="105">
        <f t="shared" si="58"/>
        <v>3.3600000000000005E-2</v>
      </c>
      <c r="AE29" s="105">
        <f t="shared" si="58"/>
        <v>4.0000000000000008E-2</v>
      </c>
      <c r="AF29" s="15">
        <v>2.4733637747336398E-6</v>
      </c>
      <c r="AG29" s="15">
        <v>210</v>
      </c>
      <c r="AH29" s="2">
        <v>2E-3</v>
      </c>
      <c r="AI29" s="2">
        <v>0.04</v>
      </c>
      <c r="AJ29" s="2">
        <v>900</v>
      </c>
      <c r="AK29" s="2" t="s">
        <v>1503</v>
      </c>
      <c r="AL29" s="2" t="s">
        <v>1503</v>
      </c>
      <c r="AM29" s="2" t="s">
        <v>1503</v>
      </c>
      <c r="AN29" s="2" t="s">
        <v>1503</v>
      </c>
      <c r="AO29" s="239">
        <v>0.4</v>
      </c>
      <c r="AP29" s="2" t="s">
        <v>1503</v>
      </c>
      <c r="AQ29" s="2" t="s">
        <v>1503</v>
      </c>
      <c r="AR29" s="2" t="s">
        <v>1503</v>
      </c>
      <c r="AS29" s="2">
        <v>8.0000000000000004E-4</v>
      </c>
      <c r="AT29" s="2">
        <v>8.0000000000000002E-3</v>
      </c>
      <c r="AU29" s="15">
        <v>1500</v>
      </c>
      <c r="AV29" s="15"/>
      <c r="AW29" s="15">
        <v>280185.23076923098</v>
      </c>
      <c r="AX29" s="42"/>
      <c r="AY29" s="42">
        <v>210</v>
      </c>
      <c r="AZ29" s="105">
        <f t="shared" si="59"/>
        <v>5.5000000000000002E-5</v>
      </c>
      <c r="BA29" s="105">
        <f t="shared" si="60"/>
        <v>0.1386</v>
      </c>
      <c r="BB29" s="105">
        <v>0</v>
      </c>
      <c r="BC29" s="15">
        <v>9.0277777777777795E-4</v>
      </c>
      <c r="BD29" s="105">
        <f t="shared" si="61"/>
        <v>8.0000000000000002E-3</v>
      </c>
      <c r="BE29" s="105">
        <f t="shared" si="62"/>
        <v>8.0000000000000004E-4</v>
      </c>
    </row>
    <row r="30" spans="1:57" x14ac:dyDescent="0.25">
      <c r="A30" s="44" t="s">
        <v>40</v>
      </c>
      <c r="B30" s="42" t="s">
        <v>1071</v>
      </c>
      <c r="C30" s="42"/>
      <c r="D30" s="3"/>
      <c r="E30" s="15">
        <v>1.5022E-10</v>
      </c>
      <c r="F30" s="15">
        <v>2.8305000000000001E-8</v>
      </c>
      <c r="G30" s="15">
        <v>7.1108740080000005E-10</v>
      </c>
      <c r="H30" s="15">
        <v>9.6940000000000003E-11</v>
      </c>
      <c r="I30" s="15">
        <v>7.1779999999999997E-11</v>
      </c>
      <c r="J30" s="15">
        <v>5.2169999999999999E-11</v>
      </c>
      <c r="K30" s="15">
        <v>9.3760785359999994E-13</v>
      </c>
      <c r="L30" s="15">
        <v>3.5729514719999999E-10</v>
      </c>
      <c r="M30" s="15">
        <v>2.0900598480000001E-15</v>
      </c>
      <c r="N30" s="15">
        <v>2.0737130111999999E-10</v>
      </c>
      <c r="O30" s="15">
        <v>5.0628488832E-10</v>
      </c>
      <c r="P30" s="15">
        <v>6.8773477679999995E-10</v>
      </c>
      <c r="Q30" s="171">
        <v>1</v>
      </c>
      <c r="R30" s="171">
        <v>1</v>
      </c>
      <c r="S30" s="171">
        <v>0.97979797979798</v>
      </c>
      <c r="T30" s="171">
        <v>0.97103448275862103</v>
      </c>
      <c r="U30" s="171">
        <v>0.96124031007751898</v>
      </c>
      <c r="V30" s="15">
        <v>1E-4</v>
      </c>
      <c r="W30" s="15">
        <v>1.2E-2</v>
      </c>
      <c r="X30" s="15">
        <v>2.5000000000000001E-3</v>
      </c>
      <c r="Y30" s="15">
        <v>7.0000000000000001E-3</v>
      </c>
      <c r="Z30" s="15">
        <v>9.4999999999999998E-3</v>
      </c>
      <c r="AA30" s="105">
        <f t="shared" si="58"/>
        <v>4.0000000000000003E-5</v>
      </c>
      <c r="AB30" s="105">
        <f t="shared" si="58"/>
        <v>4.8000000000000004E-3</v>
      </c>
      <c r="AC30" s="105">
        <f t="shared" si="58"/>
        <v>1E-3</v>
      </c>
      <c r="AD30" s="105">
        <f t="shared" si="58"/>
        <v>2.8000000000000004E-3</v>
      </c>
      <c r="AE30" s="105">
        <f t="shared" si="58"/>
        <v>3.8E-3</v>
      </c>
      <c r="AF30" s="15">
        <v>159200</v>
      </c>
      <c r="AG30" s="15">
        <v>233</v>
      </c>
      <c r="AH30" s="2">
        <v>1.8E-3</v>
      </c>
      <c r="AI30" s="2">
        <v>3.8999999999999999E-4</v>
      </c>
      <c r="AJ30" s="2">
        <v>0.96</v>
      </c>
      <c r="AK30" s="2">
        <v>170</v>
      </c>
      <c r="AL30" s="2">
        <v>0.75</v>
      </c>
      <c r="AM30" s="2">
        <v>1.1000000000000001</v>
      </c>
      <c r="AN30" s="2">
        <v>4.3999999999999997E-2</v>
      </c>
      <c r="AO30" s="239">
        <v>2E-3</v>
      </c>
      <c r="AP30" s="2" t="s">
        <v>1503</v>
      </c>
      <c r="AQ30" s="2" t="s">
        <v>1503</v>
      </c>
      <c r="AR30" s="239">
        <v>1.4E-3</v>
      </c>
      <c r="AS30" s="2">
        <v>6.1999999999999998E-3</v>
      </c>
      <c r="AT30" s="2">
        <v>7.1264367816092E-3</v>
      </c>
      <c r="AU30" s="15">
        <v>0.4</v>
      </c>
      <c r="AV30" s="15">
        <v>0.02</v>
      </c>
      <c r="AW30" s="15">
        <v>4.3530150753768799E-6</v>
      </c>
      <c r="AX30" s="42">
        <v>289207.91735594597</v>
      </c>
      <c r="AY30" s="42">
        <v>233</v>
      </c>
      <c r="AZ30" s="105">
        <f t="shared" si="59"/>
        <v>5.5000000000000002E-5</v>
      </c>
      <c r="BA30" s="105">
        <f t="shared" si="60"/>
        <v>0.1386</v>
      </c>
      <c r="BB30" s="105">
        <v>0</v>
      </c>
      <c r="BC30" s="15">
        <v>58108000</v>
      </c>
      <c r="BD30" s="105">
        <f t="shared" si="61"/>
        <v>7.1264367816092E-3</v>
      </c>
      <c r="BE30" s="105">
        <f t="shared" si="62"/>
        <v>6.1999999999999998E-3</v>
      </c>
    </row>
  </sheetData>
  <sheetProtection algorithmName="SHA-512" hashValue="b0gtOLYHOdkY5EW0LKhSv0HfvlnMR+bEJbsmaL2yPTfPPkk3buXiVfxZd8XkGunSYnHaNILwXK96ppOWm1yP4Q==" saltValue="2oSOLvdKgbZeZYL+q8lcFw==" spinCount="100000" sheet="1" formatColumns="0" formatRows="0" autoFilter="0"/>
  <autoFilter ref="A1:BE30" xr:uid="{00000000-0009-0000-0000-00000D000000}"/>
  <pageMargins left="0.7" right="0.7" top="0.75" bottom="0.75" header="0.3" footer="0.3"/>
  <pageSetup orientation="portrait" horizontalDpi="1200" verticalDpi="1200"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R126"/>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1" width="12.85546875" bestFit="1" customWidth="1"/>
    <col min="2" max="2" width="13.28515625" bestFit="1" customWidth="1"/>
    <col min="3" max="3" width="18.5703125" bestFit="1" customWidth="1"/>
    <col min="4" max="4" width="14" bestFit="1" customWidth="1"/>
    <col min="5" max="5" width="13.28515625" bestFit="1" customWidth="1"/>
    <col min="6" max="6" width="12" bestFit="1" customWidth="1"/>
    <col min="7" max="7" width="11.85546875" bestFit="1" customWidth="1"/>
    <col min="8" max="8" width="13.28515625" bestFit="1" customWidth="1"/>
    <col min="9" max="9" width="12" bestFit="1" customWidth="1"/>
    <col min="10" max="10" width="13.140625" bestFit="1" customWidth="1"/>
    <col min="11" max="11" width="13.28515625" bestFit="1" customWidth="1"/>
    <col min="12" max="12" width="22.140625" bestFit="1" customWidth="1"/>
    <col min="13" max="13" width="13.5703125" bestFit="1" customWidth="1"/>
    <col min="14" max="14" width="8.42578125" bestFit="1" customWidth="1"/>
    <col min="15" max="15" width="23.28515625" bestFit="1" customWidth="1"/>
    <col min="16" max="16" width="14" bestFit="1" customWidth="1"/>
    <col min="17" max="17" width="8" customWidth="1"/>
    <col min="18" max="18" width="20.5703125" bestFit="1" customWidth="1"/>
  </cols>
  <sheetData>
    <row r="1" spans="1:18" ht="18.75" x14ac:dyDescent="0.3">
      <c r="A1" s="255" t="s">
        <v>52</v>
      </c>
      <c r="B1" s="255"/>
      <c r="C1" s="255"/>
      <c r="D1" s="255" t="s">
        <v>53</v>
      </c>
      <c r="E1" s="255"/>
      <c r="F1" s="255"/>
      <c r="G1" s="255" t="s">
        <v>54</v>
      </c>
      <c r="H1" s="255"/>
      <c r="I1" s="255"/>
      <c r="J1" s="255" t="s">
        <v>382</v>
      </c>
      <c r="K1" s="255"/>
      <c r="L1" s="255"/>
      <c r="M1" s="255" t="s">
        <v>563</v>
      </c>
      <c r="N1" s="255"/>
      <c r="O1" s="255"/>
      <c r="P1" s="255" t="s">
        <v>564</v>
      </c>
      <c r="Q1" s="255"/>
      <c r="R1" s="255"/>
    </row>
    <row r="2" spans="1:18" ht="18" x14ac:dyDescent="0.35">
      <c r="A2" t="s">
        <v>347</v>
      </c>
      <c r="B2" s="215">
        <v>1.0000000000000001E-5</v>
      </c>
      <c r="C2" t="s">
        <v>1514</v>
      </c>
      <c r="D2" t="s">
        <v>282</v>
      </c>
      <c r="E2" s="216">
        <v>5</v>
      </c>
      <c r="F2" s="3" t="s">
        <v>55</v>
      </c>
      <c r="G2" t="s">
        <v>1002</v>
      </c>
      <c r="H2" s="216">
        <v>5</v>
      </c>
      <c r="I2" s="3" t="s">
        <v>55</v>
      </c>
      <c r="J2" t="s">
        <v>1040</v>
      </c>
      <c r="K2" s="217">
        <v>5</v>
      </c>
      <c r="L2" s="3" t="s">
        <v>55</v>
      </c>
      <c r="M2" s="200" t="s">
        <v>755</v>
      </c>
      <c r="N2" s="201">
        <v>0.5</v>
      </c>
      <c r="O2" s="200" t="s">
        <v>1515</v>
      </c>
      <c r="P2" s="200" t="s">
        <v>304</v>
      </c>
      <c r="Q2" s="201">
        <v>0.5</v>
      </c>
      <c r="R2" s="200" t="s">
        <v>1515</v>
      </c>
    </row>
    <row r="3" spans="1:18" ht="18" x14ac:dyDescent="0.35">
      <c r="A3" s="200" t="s">
        <v>252</v>
      </c>
      <c r="B3" s="218">
        <v>0.5</v>
      </c>
      <c r="C3" t="s">
        <v>1516</v>
      </c>
      <c r="D3" t="s">
        <v>283</v>
      </c>
      <c r="E3" s="216">
        <v>15</v>
      </c>
      <c r="F3" s="3" t="s">
        <v>55</v>
      </c>
      <c r="G3" t="s">
        <v>1003</v>
      </c>
      <c r="H3" s="216">
        <v>15</v>
      </c>
      <c r="I3" s="3" t="s">
        <v>55</v>
      </c>
      <c r="J3" t="s">
        <v>1041</v>
      </c>
      <c r="K3" s="216">
        <v>15</v>
      </c>
      <c r="L3" s="3" t="s">
        <v>55</v>
      </c>
      <c r="M3" s="200" t="s">
        <v>756</v>
      </c>
      <c r="N3" s="201">
        <v>0.5</v>
      </c>
      <c r="O3" s="200" t="s">
        <v>1515</v>
      </c>
      <c r="P3" s="200" t="s">
        <v>303</v>
      </c>
      <c r="Q3" s="201">
        <v>0.5</v>
      </c>
      <c r="R3" s="200" t="s">
        <v>1515</v>
      </c>
    </row>
    <row r="4" spans="1:18" ht="18" x14ac:dyDescent="0.35">
      <c r="A4" s="202" t="s">
        <v>253</v>
      </c>
      <c r="B4" s="201">
        <v>0.5</v>
      </c>
      <c r="C4" t="s">
        <v>1515</v>
      </c>
      <c r="D4" t="s">
        <v>284</v>
      </c>
      <c r="E4" s="203">
        <f>s_ED_res_c+s_ED_res_a</f>
        <v>20</v>
      </c>
      <c r="F4" s="3" t="s">
        <v>55</v>
      </c>
      <c r="G4" t="s">
        <v>1004</v>
      </c>
      <c r="H4" s="203">
        <f>s_ED_rec_c+s_ED_rec_a</f>
        <v>20</v>
      </c>
      <c r="I4" s="3" t="s">
        <v>55</v>
      </c>
      <c r="J4" t="s">
        <v>1042</v>
      </c>
      <c r="K4" s="203">
        <f>s_ED_far_c+s_ED_far_a</f>
        <v>20</v>
      </c>
      <c r="L4" s="3" t="s">
        <v>55</v>
      </c>
      <c r="M4" s="200" t="s">
        <v>757</v>
      </c>
      <c r="N4" s="201">
        <v>0.5</v>
      </c>
      <c r="O4" s="200" t="s">
        <v>1515</v>
      </c>
      <c r="P4" s="200" t="s">
        <v>307</v>
      </c>
      <c r="Q4" s="201">
        <v>0.5</v>
      </c>
      <c r="R4" s="200" t="s">
        <v>1515</v>
      </c>
    </row>
    <row r="5" spans="1:18" ht="18" x14ac:dyDescent="0.35">
      <c r="A5" s="202" t="s">
        <v>254</v>
      </c>
      <c r="B5" s="219">
        <v>0.4</v>
      </c>
      <c r="C5" t="s">
        <v>1515</v>
      </c>
      <c r="D5" t="s">
        <v>905</v>
      </c>
      <c r="E5" s="203">
        <f>s_ED_res</f>
        <v>20</v>
      </c>
      <c r="G5" t="s">
        <v>1005</v>
      </c>
      <c r="H5" s="203">
        <f>s_ED_rec</f>
        <v>20</v>
      </c>
      <c r="I5" s="3"/>
      <c r="J5" t="s">
        <v>1043</v>
      </c>
      <c r="K5" s="203">
        <f>s_ED_far</f>
        <v>20</v>
      </c>
      <c r="L5" s="3"/>
      <c r="M5" s="200" t="s">
        <v>758</v>
      </c>
      <c r="N5" s="201">
        <v>0.5</v>
      </c>
      <c r="O5" s="200" t="s">
        <v>1515</v>
      </c>
      <c r="P5" s="200" t="s">
        <v>305</v>
      </c>
      <c r="Q5" s="201">
        <v>0.5</v>
      </c>
      <c r="R5" s="200" t="s">
        <v>1515</v>
      </c>
    </row>
    <row r="6" spans="1:18" ht="18" x14ac:dyDescent="0.25">
      <c r="A6" s="200" t="s">
        <v>255</v>
      </c>
      <c r="B6" s="201">
        <v>5.5000000000000002E-5</v>
      </c>
      <c r="C6" s="200" t="s">
        <v>136</v>
      </c>
      <c r="D6" s="202" t="s">
        <v>906</v>
      </c>
      <c r="E6" s="201">
        <v>5</v>
      </c>
      <c r="F6" s="202" t="s">
        <v>56</v>
      </c>
      <c r="G6" s="202" t="s">
        <v>1006</v>
      </c>
      <c r="H6" s="201">
        <v>5</v>
      </c>
      <c r="I6" s="200" t="s">
        <v>98</v>
      </c>
      <c r="J6" s="202" t="s">
        <v>1044</v>
      </c>
      <c r="K6" s="201">
        <v>5</v>
      </c>
      <c r="L6" s="200" t="s">
        <v>98</v>
      </c>
      <c r="M6" s="200" t="s">
        <v>759</v>
      </c>
      <c r="N6" s="201">
        <v>0.5</v>
      </c>
      <c r="O6" s="200" t="s">
        <v>1515</v>
      </c>
      <c r="P6" s="200" t="s">
        <v>306</v>
      </c>
      <c r="Q6" s="201">
        <v>0.5</v>
      </c>
      <c r="R6" s="200" t="s">
        <v>1515</v>
      </c>
    </row>
    <row r="7" spans="1:18" ht="18" x14ac:dyDescent="0.25">
      <c r="A7" s="200" t="s">
        <v>256</v>
      </c>
      <c r="B7" s="201">
        <v>5</v>
      </c>
      <c r="C7" s="200" t="s">
        <v>130</v>
      </c>
      <c r="D7" s="202" t="s">
        <v>907</v>
      </c>
      <c r="E7" s="201">
        <v>10</v>
      </c>
      <c r="F7" s="202" t="s">
        <v>56</v>
      </c>
      <c r="G7" s="202" t="s">
        <v>1007</v>
      </c>
      <c r="H7" s="201">
        <v>10</v>
      </c>
      <c r="I7" s="200" t="s">
        <v>98</v>
      </c>
      <c r="J7" s="202" t="s">
        <v>1045</v>
      </c>
      <c r="K7" s="201">
        <v>10</v>
      </c>
      <c r="L7" s="200" t="s">
        <v>98</v>
      </c>
      <c r="M7" s="200" t="s">
        <v>760</v>
      </c>
      <c r="N7" s="201">
        <v>0.5</v>
      </c>
      <c r="O7" s="200" t="s">
        <v>1515</v>
      </c>
      <c r="P7" s="207" t="s">
        <v>1517</v>
      </c>
      <c r="Q7" s="201">
        <v>0.5</v>
      </c>
      <c r="R7" s="200" t="s">
        <v>1515</v>
      </c>
    </row>
    <row r="8" spans="1:18" ht="18" x14ac:dyDescent="0.25">
      <c r="A8" s="200" t="s">
        <v>257</v>
      </c>
      <c r="B8" s="201">
        <v>0.5</v>
      </c>
      <c r="C8" s="200" t="s">
        <v>101</v>
      </c>
      <c r="D8" s="202" t="s">
        <v>908</v>
      </c>
      <c r="E8" s="203">
        <f>((s_EF_res_c*s_ED_res_c*s_ET_res_c*(1/24)*s_IRA_res_c)+(s_EF_res_a*s_ED_res_a*s_ET_res_a*(1/24)*s_IRA_res_a))</f>
        <v>2005.2083333333333</v>
      </c>
      <c r="F8" s="3" t="s">
        <v>248</v>
      </c>
      <c r="G8" s="202" t="s">
        <v>1008</v>
      </c>
      <c r="H8" s="203">
        <f>((s_EF_rec_c*s_ED_rec_c*s_ET_rec_c*(1/24)*s_IRA_rec_c)+(s_EF_rec_a*s_ED_rec_a*s_ET_rec_a*(1/24)*s_IRA_rec_a))</f>
        <v>2005.2083333333333</v>
      </c>
      <c r="J8" s="202" t="s">
        <v>1046</v>
      </c>
      <c r="K8" s="203">
        <f>((s_EF_far_c*s_ED_far_c*s_ET_far_c*(1/24)*s_IRA_far_c)+(s_EF_far_a*s_ED_far_a*s_ET_far_a*(1/24)*s_IRA_far_a))</f>
        <v>2005.2083333333333</v>
      </c>
      <c r="L8" s="3" t="s">
        <v>248</v>
      </c>
      <c r="M8" s="200" t="s">
        <v>761</v>
      </c>
      <c r="N8" s="201">
        <v>0.5</v>
      </c>
      <c r="O8" s="200" t="s">
        <v>1515</v>
      </c>
      <c r="P8" s="200" t="s">
        <v>308</v>
      </c>
      <c r="Q8" s="201">
        <v>0.5</v>
      </c>
      <c r="R8" s="200" t="s">
        <v>1515</v>
      </c>
    </row>
    <row r="9" spans="1:18" ht="18" x14ac:dyDescent="0.25">
      <c r="A9" s="200" t="s">
        <v>258</v>
      </c>
      <c r="B9" s="201">
        <v>5000</v>
      </c>
      <c r="C9" s="200" t="s">
        <v>132</v>
      </c>
      <c r="D9" s="202" t="s">
        <v>909</v>
      </c>
      <c r="E9" s="203">
        <f>((s_EF_res_c*s_ED_res_c*s_ET_event_res_c*s_EV_res_c)+(s_EF_res_a*s_ED_res_a*s_ET_event_res_a*s_EV_res_a))</f>
        <v>4400</v>
      </c>
      <c r="F9" s="3" t="s">
        <v>354</v>
      </c>
      <c r="G9" s="202" t="s">
        <v>1009</v>
      </c>
      <c r="H9" s="203">
        <f>((s_EF_rec_c*s_ED_rec_c*s_ET_event_rec_c*s_EV_rec_c)+(s_EF_rec_a*s_ED_rec_a*s_ET_event_rec_a*s_EV_rec_a))</f>
        <v>4400</v>
      </c>
      <c r="I9" s="3" t="s">
        <v>354</v>
      </c>
      <c r="J9" s="202" t="s">
        <v>1047</v>
      </c>
      <c r="K9" s="203">
        <f>((s_EF_far_c*s_ED_far_c*s_EV_far_c*s_ET_event_far_c)+(s_EF_far_a*s_ED_far_a*s_EV_far_a*s_ET_event_far_a))</f>
        <v>4400</v>
      </c>
      <c r="L9" s="3" t="s">
        <v>354</v>
      </c>
      <c r="M9" s="200" t="s">
        <v>762</v>
      </c>
      <c r="N9" s="201">
        <v>0.5</v>
      </c>
      <c r="O9" s="200" t="s">
        <v>1515</v>
      </c>
      <c r="P9" s="200" t="s">
        <v>1110</v>
      </c>
      <c r="Q9" s="201">
        <v>0.5</v>
      </c>
      <c r="R9" s="200" t="s">
        <v>1515</v>
      </c>
    </row>
    <row r="10" spans="1:18" ht="18" x14ac:dyDescent="0.25">
      <c r="A10" s="200" t="s">
        <v>259</v>
      </c>
      <c r="B10" s="201">
        <v>55</v>
      </c>
      <c r="C10" s="200" t="s">
        <v>134</v>
      </c>
      <c r="D10" s="202" t="s">
        <v>910</v>
      </c>
      <c r="E10" s="201">
        <v>55</v>
      </c>
      <c r="F10" s="202" t="s">
        <v>57</v>
      </c>
      <c r="G10" s="202" t="s">
        <v>1010</v>
      </c>
      <c r="H10" s="201">
        <v>55</v>
      </c>
      <c r="I10" s="200" t="s">
        <v>57</v>
      </c>
      <c r="J10" s="202" t="s">
        <v>1048</v>
      </c>
      <c r="K10" s="201">
        <v>55</v>
      </c>
      <c r="L10" s="200" t="s">
        <v>57</v>
      </c>
      <c r="M10" s="200" t="s">
        <v>763</v>
      </c>
      <c r="N10" s="201">
        <v>0.5</v>
      </c>
      <c r="O10" s="200" t="s">
        <v>1515</v>
      </c>
      <c r="P10" s="200" t="s">
        <v>875</v>
      </c>
      <c r="Q10" s="201">
        <v>0.5</v>
      </c>
      <c r="R10" s="200" t="s">
        <v>1515</v>
      </c>
    </row>
    <row r="11" spans="1:18" ht="18" x14ac:dyDescent="0.25">
      <c r="A11" s="200" t="s">
        <v>260</v>
      </c>
      <c r="B11" s="201">
        <v>0.5</v>
      </c>
      <c r="C11" s="200" t="s">
        <v>101</v>
      </c>
      <c r="D11" s="202" t="s">
        <v>911</v>
      </c>
      <c r="E11" s="201">
        <v>55</v>
      </c>
      <c r="F11" s="202" t="s">
        <v>57</v>
      </c>
      <c r="G11" s="202" t="s">
        <v>1011</v>
      </c>
      <c r="H11" s="201">
        <v>55</v>
      </c>
      <c r="I11" s="200" t="s">
        <v>57</v>
      </c>
      <c r="J11" s="202" t="s">
        <v>1049</v>
      </c>
      <c r="K11" s="201">
        <v>55</v>
      </c>
      <c r="L11" s="200" t="s">
        <v>57</v>
      </c>
      <c r="M11" s="200" t="s">
        <v>764</v>
      </c>
      <c r="N11" s="201">
        <v>0.5</v>
      </c>
      <c r="O11" s="200" t="s">
        <v>1515</v>
      </c>
      <c r="P11" s="200" t="s">
        <v>876</v>
      </c>
      <c r="Q11" s="201">
        <v>0.5</v>
      </c>
      <c r="R11" s="200" t="s">
        <v>1515</v>
      </c>
    </row>
    <row r="12" spans="1:18" ht="18" x14ac:dyDescent="0.25">
      <c r="A12" s="200" t="s">
        <v>261</v>
      </c>
      <c r="B12" s="201">
        <v>55</v>
      </c>
      <c r="C12" s="200" t="s">
        <v>132</v>
      </c>
      <c r="D12" s="202" t="s">
        <v>912</v>
      </c>
      <c r="E12" s="203">
        <f>((s_EF_res_c*s_ED_res_c*s_IRS_res_c)+(s_EF_res_a*s_ED_res_a*s_IRS_res_a))</f>
        <v>60500</v>
      </c>
      <c r="F12" s="200" t="s">
        <v>249</v>
      </c>
      <c r="G12" s="202" t="s">
        <v>1012</v>
      </c>
      <c r="H12" s="203">
        <f>((s_EF_rec_c*s_ED_rec_c*s_IRS_rec_c)+(s_EF_rec_a*s_ED_rec_a*s_IRS_rec_a))</f>
        <v>60500</v>
      </c>
      <c r="I12" s="200" t="s">
        <v>249</v>
      </c>
      <c r="J12" s="202" t="s">
        <v>1050</v>
      </c>
      <c r="K12" s="203">
        <f>((s_EF_far_c*s_ED_far_c*s_IRS_far_c)+(s_EF_far_a*s_ED_far_a*s_IRS_far_a))</f>
        <v>60500</v>
      </c>
      <c r="L12" s="200" t="s">
        <v>249</v>
      </c>
      <c r="M12" s="200" t="s">
        <v>765</v>
      </c>
      <c r="N12" s="201">
        <v>0.5</v>
      </c>
      <c r="O12" s="200" t="s">
        <v>1515</v>
      </c>
      <c r="P12" s="200" t="s">
        <v>877</v>
      </c>
      <c r="Q12" s="201">
        <v>0.5</v>
      </c>
      <c r="R12" s="200" t="s">
        <v>1515</v>
      </c>
    </row>
    <row r="13" spans="1:18" ht="18" x14ac:dyDescent="0.25">
      <c r="A13" s="200" t="s">
        <v>262</v>
      </c>
      <c r="B13" s="201">
        <v>5</v>
      </c>
      <c r="C13" s="200" t="s">
        <v>134</v>
      </c>
      <c r="D13" s="202" t="s">
        <v>913</v>
      </c>
      <c r="E13" s="201">
        <v>5</v>
      </c>
      <c r="F13" s="202" t="s">
        <v>58</v>
      </c>
      <c r="G13" s="202" t="s">
        <v>1013</v>
      </c>
      <c r="H13" s="201">
        <v>2</v>
      </c>
      <c r="I13" s="200" t="s">
        <v>99</v>
      </c>
      <c r="J13" s="202" t="s">
        <v>1051</v>
      </c>
      <c r="K13" s="201">
        <v>5</v>
      </c>
      <c r="L13" s="200" t="s">
        <v>58</v>
      </c>
      <c r="M13" s="200" t="s">
        <v>766</v>
      </c>
      <c r="N13" s="201">
        <v>0.5</v>
      </c>
      <c r="O13" s="200" t="s">
        <v>1515</v>
      </c>
      <c r="P13" s="200" t="s">
        <v>288</v>
      </c>
      <c r="Q13" s="201">
        <v>55</v>
      </c>
      <c r="R13" s="200" t="s">
        <v>59</v>
      </c>
    </row>
    <row r="14" spans="1:18" ht="18" x14ac:dyDescent="0.25">
      <c r="A14" s="200" t="s">
        <v>263</v>
      </c>
      <c r="B14" s="201">
        <v>5</v>
      </c>
      <c r="C14" s="200" t="s">
        <v>101</v>
      </c>
      <c r="D14" s="202" t="s">
        <v>914</v>
      </c>
      <c r="E14" s="201">
        <v>5</v>
      </c>
      <c r="F14" s="202" t="s">
        <v>58</v>
      </c>
      <c r="G14" s="202" t="s">
        <v>1014</v>
      </c>
      <c r="H14" s="201">
        <v>2</v>
      </c>
      <c r="I14" s="200" t="s">
        <v>99</v>
      </c>
      <c r="J14" s="202" t="s">
        <v>1052</v>
      </c>
      <c r="K14" s="201">
        <v>5</v>
      </c>
      <c r="L14" s="200" t="s">
        <v>58</v>
      </c>
      <c r="M14" s="200" t="s">
        <v>767</v>
      </c>
      <c r="N14" s="201">
        <v>0.5</v>
      </c>
      <c r="O14" s="200" t="s">
        <v>1515</v>
      </c>
      <c r="P14" s="200" t="s">
        <v>289</v>
      </c>
      <c r="Q14" s="201">
        <v>55</v>
      </c>
      <c r="R14" s="200" t="s">
        <v>59</v>
      </c>
    </row>
    <row r="15" spans="1:18" ht="18" x14ac:dyDescent="0.25">
      <c r="A15" s="200" t="s">
        <v>264</v>
      </c>
      <c r="B15" s="201">
        <v>5</v>
      </c>
      <c r="C15" s="200" t="s">
        <v>138</v>
      </c>
      <c r="D15" s="202" t="s">
        <v>915</v>
      </c>
      <c r="E15" s="203">
        <f>((s_EF_res_c*s_ED_res_c*s_IRW_res_c)+(s_EF_res_a*s_ED_res_a*s_IRW_res_a))</f>
        <v>5500</v>
      </c>
      <c r="F15" s="200" t="s">
        <v>250</v>
      </c>
      <c r="G15" s="202" t="s">
        <v>1015</v>
      </c>
      <c r="H15" s="203">
        <f>((s_EF_rec_c*s_ED_rec_c*s_IRW_rec_c*s_ET_event_rec_c*s_EV_rec_c)+(s_EF_rec_a*s_ED_rec_a*s_IRW_rec_a*s_ET_event_rec_a*s_EV_rec_a))</f>
        <v>8800</v>
      </c>
      <c r="I15" s="200" t="s">
        <v>250</v>
      </c>
      <c r="J15" s="202" t="s">
        <v>1053</v>
      </c>
      <c r="K15" s="203">
        <f>((s_EF_far_c*s_ED_far_c*s_IRW_far_c)+(s_EF_far_a*s_ED_far_a*s_IRW_far_a))</f>
        <v>5500</v>
      </c>
      <c r="L15" s="200" t="s">
        <v>250</v>
      </c>
      <c r="M15" s="200" t="s">
        <v>768</v>
      </c>
      <c r="N15" s="201">
        <v>0.5</v>
      </c>
      <c r="O15" s="200" t="s">
        <v>1515</v>
      </c>
      <c r="P15" s="202" t="s">
        <v>290</v>
      </c>
      <c r="Q15" s="203">
        <f>((s_EF_far_c*s_ED_far_c*s_IRB_far_c)+(s_EF_far_a*s_ED_far_a*s_IRB_far_a))</f>
        <v>60500</v>
      </c>
      <c r="R15" s="200" t="s">
        <v>225</v>
      </c>
    </row>
    <row r="16" spans="1:18" ht="18" x14ac:dyDescent="0.35">
      <c r="A16" s="202" t="s">
        <v>265</v>
      </c>
      <c r="B16" s="220">
        <v>2</v>
      </c>
      <c r="C16" s="202" t="s">
        <v>139</v>
      </c>
      <c r="D16" t="s">
        <v>916</v>
      </c>
      <c r="E16" s="201">
        <v>55000</v>
      </c>
      <c r="F16" s="202" t="s">
        <v>57</v>
      </c>
      <c r="G16" s="202" t="s">
        <v>1016</v>
      </c>
      <c r="H16" s="201">
        <v>2</v>
      </c>
      <c r="I16" s="200" t="s">
        <v>59</v>
      </c>
      <c r="J16" s="202" t="s">
        <v>1054</v>
      </c>
      <c r="K16" s="201">
        <v>55</v>
      </c>
      <c r="L16" s="200" t="s">
        <v>60</v>
      </c>
      <c r="M16" s="200" t="s">
        <v>769</v>
      </c>
      <c r="N16" s="201">
        <v>0.5</v>
      </c>
      <c r="O16" s="200" t="s">
        <v>1515</v>
      </c>
      <c r="P16" s="200" t="s">
        <v>285</v>
      </c>
      <c r="Q16" s="201">
        <v>55</v>
      </c>
      <c r="R16" s="200" t="s">
        <v>59</v>
      </c>
    </row>
    <row r="17" spans="1:18" ht="18" x14ac:dyDescent="0.35">
      <c r="A17" s="202" t="s">
        <v>266</v>
      </c>
      <c r="B17" s="220">
        <v>0.5</v>
      </c>
      <c r="C17" s="202" t="s">
        <v>1518</v>
      </c>
      <c r="D17" t="s">
        <v>917</v>
      </c>
      <c r="E17" s="201">
        <v>55</v>
      </c>
      <c r="F17" s="202" t="s">
        <v>60</v>
      </c>
      <c r="G17" s="202" t="s">
        <v>1017</v>
      </c>
      <c r="H17" s="201">
        <v>2</v>
      </c>
      <c r="I17" s="200" t="s">
        <v>59</v>
      </c>
      <c r="J17" s="202" t="s">
        <v>1055</v>
      </c>
      <c r="K17" s="201">
        <v>55</v>
      </c>
      <c r="L17" s="200" t="s">
        <v>60</v>
      </c>
      <c r="M17" s="200" t="s">
        <v>770</v>
      </c>
      <c r="N17" s="201">
        <v>0.5</v>
      </c>
      <c r="O17" s="200" t="s">
        <v>1515</v>
      </c>
      <c r="P17" s="200" t="s">
        <v>286</v>
      </c>
      <c r="Q17" s="201">
        <v>55</v>
      </c>
      <c r="R17" s="200" t="s">
        <v>59</v>
      </c>
    </row>
    <row r="18" spans="1:18" ht="18" x14ac:dyDescent="0.35">
      <c r="A18" s="202" t="s">
        <v>267</v>
      </c>
      <c r="B18" s="220">
        <v>70</v>
      </c>
      <c r="C18" s="202" t="s">
        <v>55</v>
      </c>
      <c r="D18" t="s">
        <v>918</v>
      </c>
      <c r="E18" s="201">
        <v>55</v>
      </c>
      <c r="F18" s="202" t="s">
        <v>60</v>
      </c>
      <c r="G18" s="202" t="s">
        <v>1018</v>
      </c>
      <c r="H18" s="221">
        <v>55</v>
      </c>
      <c r="I18" s="222" t="s">
        <v>60</v>
      </c>
      <c r="J18" s="202" t="s">
        <v>1056</v>
      </c>
      <c r="K18" s="216">
        <v>55</v>
      </c>
      <c r="L18" t="s">
        <v>60</v>
      </c>
      <c r="M18" s="200" t="s">
        <v>771</v>
      </c>
      <c r="N18" s="201">
        <v>0.5</v>
      </c>
      <c r="O18" s="200" t="s">
        <v>1515</v>
      </c>
      <c r="P18" s="202" t="s">
        <v>287</v>
      </c>
      <c r="Q18" s="203">
        <f>((s_EF_far_c*s_ED_far_c*s_IRD_far_c)+(s_EF_far_a*s_ED_far_a*s_IRD_far_a))</f>
        <v>60500</v>
      </c>
      <c r="R18" s="200" t="s">
        <v>225</v>
      </c>
    </row>
    <row r="19" spans="1:18" ht="18" x14ac:dyDescent="0.35">
      <c r="A19" s="202" t="s">
        <v>268</v>
      </c>
      <c r="B19" s="220">
        <v>5</v>
      </c>
      <c r="C19" s="202" t="s">
        <v>203</v>
      </c>
      <c r="D19" t="s">
        <v>919</v>
      </c>
      <c r="E19" s="201">
        <v>55</v>
      </c>
      <c r="F19" s="202" t="s">
        <v>60</v>
      </c>
      <c r="G19" s="202" t="s">
        <v>1019</v>
      </c>
      <c r="H19" s="201">
        <v>55</v>
      </c>
      <c r="I19" s="222" t="s">
        <v>60</v>
      </c>
      <c r="J19" s="202" t="s">
        <v>1057</v>
      </c>
      <c r="K19" s="201">
        <v>5</v>
      </c>
      <c r="L19" s="200" t="s">
        <v>62</v>
      </c>
      <c r="M19" s="207" t="s">
        <v>1532</v>
      </c>
      <c r="N19" s="201">
        <v>0.5</v>
      </c>
      <c r="O19" s="200" t="s">
        <v>1515</v>
      </c>
      <c r="P19" s="200" t="s">
        <v>291</v>
      </c>
      <c r="Q19" s="201">
        <v>55</v>
      </c>
      <c r="R19" s="200" t="s">
        <v>59</v>
      </c>
    </row>
    <row r="20" spans="1:18" ht="18" x14ac:dyDescent="0.35">
      <c r="A20" s="202" t="s">
        <v>269</v>
      </c>
      <c r="B20" s="220">
        <v>5</v>
      </c>
      <c r="C20" s="202" t="s">
        <v>204</v>
      </c>
      <c r="D20" t="s">
        <v>920</v>
      </c>
      <c r="E20" s="201">
        <v>2</v>
      </c>
      <c r="F20" s="77" t="s">
        <v>61</v>
      </c>
      <c r="G20" s="202" t="s">
        <v>1020</v>
      </c>
      <c r="H20" s="201">
        <v>55</v>
      </c>
      <c r="I20" s="222" t="s">
        <v>60</v>
      </c>
      <c r="J20" s="202" t="s">
        <v>1058</v>
      </c>
      <c r="K20" s="201">
        <v>5</v>
      </c>
      <c r="L20" s="200" t="s">
        <v>62</v>
      </c>
      <c r="M20" s="200" t="s">
        <v>772</v>
      </c>
      <c r="N20" s="201">
        <v>0.5</v>
      </c>
      <c r="O20" s="200" t="s">
        <v>1515</v>
      </c>
      <c r="P20" s="200" t="s">
        <v>292</v>
      </c>
      <c r="Q20" s="201">
        <v>55</v>
      </c>
      <c r="R20" s="200" t="s">
        <v>59</v>
      </c>
    </row>
    <row r="21" spans="1:18" ht="18" x14ac:dyDescent="0.35">
      <c r="A21" s="202" t="s">
        <v>904</v>
      </c>
      <c r="B21" s="220">
        <v>0.5</v>
      </c>
      <c r="C21" s="202" t="s">
        <v>203</v>
      </c>
      <c r="D21" t="s">
        <v>921</v>
      </c>
      <c r="E21" s="201">
        <v>2</v>
      </c>
      <c r="F21" s="77" t="s">
        <v>61</v>
      </c>
      <c r="G21" s="202" t="s">
        <v>1021</v>
      </c>
      <c r="H21" s="201">
        <v>5</v>
      </c>
      <c r="I21" s="222" t="s">
        <v>62</v>
      </c>
      <c r="J21" s="202" t="s">
        <v>1059</v>
      </c>
      <c r="K21" s="201">
        <v>5</v>
      </c>
      <c r="L21" s="200" t="s">
        <v>62</v>
      </c>
      <c r="M21" s="200" t="s">
        <v>773</v>
      </c>
      <c r="N21" s="201">
        <v>0.5</v>
      </c>
      <c r="O21" s="200" t="s">
        <v>1515</v>
      </c>
      <c r="P21" s="202" t="s">
        <v>293</v>
      </c>
      <c r="Q21" s="203">
        <f>((s_EF_far_c*s_ED_far_c*s_IRE_far_c)+(s_EF_far_a*s_ED_far_a*s_IRE_far_a))</f>
        <v>60500</v>
      </c>
      <c r="R21" s="200" t="s">
        <v>225</v>
      </c>
    </row>
    <row r="22" spans="1:18" ht="18" x14ac:dyDescent="0.35">
      <c r="A22" s="202" t="s">
        <v>903</v>
      </c>
      <c r="B22" s="220">
        <v>5</v>
      </c>
      <c r="C22" s="202" t="s">
        <v>205</v>
      </c>
      <c r="D22" t="s">
        <v>922</v>
      </c>
      <c r="E22" s="201">
        <v>5</v>
      </c>
      <c r="F22" s="202" t="s">
        <v>62</v>
      </c>
      <c r="G22" s="202" t="s">
        <v>1022</v>
      </c>
      <c r="H22" s="201">
        <v>5</v>
      </c>
      <c r="I22" s="222" t="s">
        <v>62</v>
      </c>
      <c r="J22" s="202" t="s">
        <v>1060</v>
      </c>
      <c r="K22" s="201">
        <v>2</v>
      </c>
      <c r="L22" s="200" t="s">
        <v>127</v>
      </c>
      <c r="M22" s="200" t="s">
        <v>774</v>
      </c>
      <c r="N22" s="201">
        <v>0.5</v>
      </c>
      <c r="O22" s="200" t="s">
        <v>1515</v>
      </c>
      <c r="P22" s="200" t="s">
        <v>297</v>
      </c>
      <c r="Q22" s="201">
        <v>55</v>
      </c>
      <c r="R22" s="200" t="s">
        <v>59</v>
      </c>
    </row>
    <row r="23" spans="1:18" ht="18" x14ac:dyDescent="0.35">
      <c r="A23" s="202" t="s">
        <v>270</v>
      </c>
      <c r="B23" s="220">
        <v>5</v>
      </c>
      <c r="C23" s="202" t="s">
        <v>205</v>
      </c>
      <c r="D23" t="s">
        <v>923</v>
      </c>
      <c r="E23" s="201">
        <v>5</v>
      </c>
      <c r="F23" s="202" t="s">
        <v>62</v>
      </c>
      <c r="G23" s="202" t="s">
        <v>1023</v>
      </c>
      <c r="H23" s="201">
        <v>5</v>
      </c>
      <c r="I23" s="222" t="s">
        <v>62</v>
      </c>
      <c r="J23" s="202" t="s">
        <v>1061</v>
      </c>
      <c r="K23" s="201">
        <v>2</v>
      </c>
      <c r="L23" s="200" t="s">
        <v>127</v>
      </c>
      <c r="M23" s="200" t="s">
        <v>775</v>
      </c>
      <c r="N23" s="201">
        <v>0.5</v>
      </c>
      <c r="O23" s="200" t="s">
        <v>1515</v>
      </c>
      <c r="P23" s="200" t="s">
        <v>298</v>
      </c>
      <c r="Q23" s="201">
        <v>55</v>
      </c>
      <c r="R23" s="200" t="s">
        <v>59</v>
      </c>
    </row>
    <row r="24" spans="1:18" ht="18" x14ac:dyDescent="0.35">
      <c r="A24" s="202" t="s">
        <v>271</v>
      </c>
      <c r="B24" s="220">
        <v>5</v>
      </c>
      <c r="C24" s="202" t="s">
        <v>205</v>
      </c>
      <c r="D24" t="s">
        <v>924</v>
      </c>
      <c r="E24" s="201">
        <v>5</v>
      </c>
      <c r="F24" s="202" t="s">
        <v>62</v>
      </c>
      <c r="G24" s="202" t="s">
        <v>1024</v>
      </c>
      <c r="H24" s="201">
        <v>2</v>
      </c>
      <c r="I24" s="200" t="s">
        <v>61</v>
      </c>
      <c r="J24" s="200" t="s">
        <v>1062</v>
      </c>
      <c r="K24" s="201">
        <v>10</v>
      </c>
      <c r="L24" s="200" t="s">
        <v>62</v>
      </c>
      <c r="M24" s="200" t="s">
        <v>776</v>
      </c>
      <c r="N24" s="201">
        <v>0.5</v>
      </c>
      <c r="O24" s="200" t="s">
        <v>1515</v>
      </c>
      <c r="P24" s="202" t="s">
        <v>299</v>
      </c>
      <c r="Q24" s="203">
        <f>((s_EF_far_c*s_ED_far_c*s_IRP_far_c)+(s_EF_far_a*s_ED_far_a*s_IRP_far_a))</f>
        <v>60500</v>
      </c>
    </row>
    <row r="25" spans="1:18" ht="18" x14ac:dyDescent="0.35">
      <c r="A25" s="202" t="s">
        <v>381</v>
      </c>
      <c r="B25" s="220">
        <f>((0.0112*((s_L_s2gw)^2))^0.5)+(s_d_a*(1-EXP((-s_L_s2gw*s_ls2gw)/(s_K_s2gw*s_i_s2gw*s_d_a))))</f>
        <v>0.62815689567914179</v>
      </c>
      <c r="C25" s="202" t="s">
        <v>205</v>
      </c>
      <c r="D25" t="s">
        <v>925</v>
      </c>
      <c r="E25" s="201">
        <v>2</v>
      </c>
      <c r="F25" s="77" t="s">
        <v>63</v>
      </c>
      <c r="G25" s="202" t="s">
        <v>1025</v>
      </c>
      <c r="H25" s="201">
        <v>2</v>
      </c>
      <c r="I25" s="200" t="s">
        <v>61</v>
      </c>
      <c r="J25" s="200" t="s">
        <v>1063</v>
      </c>
      <c r="K25" s="201">
        <v>5</v>
      </c>
      <c r="L25" s="200" t="s">
        <v>62</v>
      </c>
      <c r="M25" s="200" t="s">
        <v>777</v>
      </c>
      <c r="N25" s="201">
        <v>0.5</v>
      </c>
      <c r="O25" s="200" t="s">
        <v>1515</v>
      </c>
      <c r="P25" s="200" t="s">
        <v>294</v>
      </c>
      <c r="Q25" s="201">
        <v>55</v>
      </c>
      <c r="R25" s="200" t="s">
        <v>59</v>
      </c>
    </row>
    <row r="26" spans="1:18" ht="18.75" x14ac:dyDescent="0.35">
      <c r="A26" t="s">
        <v>272</v>
      </c>
      <c r="B26" s="223">
        <f>s_Q_C_wind*((3600)/(B36*(1-s_V)*((s_Um/s_Ut)^3)*s_F_x))</f>
        <v>309803863.88015682</v>
      </c>
      <c r="C26" t="s">
        <v>217</v>
      </c>
      <c r="D26" t="s">
        <v>926</v>
      </c>
      <c r="E26" s="201">
        <v>2</v>
      </c>
      <c r="F26" s="77" t="s">
        <v>63</v>
      </c>
      <c r="G26" s="202" t="s">
        <v>1026</v>
      </c>
      <c r="H26" s="201">
        <v>2</v>
      </c>
      <c r="I26" s="222" t="s">
        <v>63</v>
      </c>
      <c r="J26" s="202" t="s">
        <v>1064</v>
      </c>
      <c r="K26" s="201">
        <v>2</v>
      </c>
      <c r="L26" s="200" t="s">
        <v>128</v>
      </c>
      <c r="M26" s="200" t="s">
        <v>778</v>
      </c>
      <c r="N26" s="201">
        <v>0.5</v>
      </c>
      <c r="O26" s="200" t="s">
        <v>1515</v>
      </c>
      <c r="P26" s="200" t="s">
        <v>295</v>
      </c>
      <c r="Q26" s="201">
        <v>55</v>
      </c>
      <c r="R26" s="200" t="s">
        <v>59</v>
      </c>
    </row>
    <row r="27" spans="1:18" ht="18" x14ac:dyDescent="0.35">
      <c r="A27" s="224" t="s">
        <v>273</v>
      </c>
      <c r="B27" s="216">
        <v>5</v>
      </c>
      <c r="C27" t="s">
        <v>219</v>
      </c>
      <c r="D27" t="s">
        <v>927</v>
      </c>
      <c r="E27" s="201">
        <v>5</v>
      </c>
      <c r="F27" s="200" t="s">
        <v>62</v>
      </c>
      <c r="G27" s="202" t="s">
        <v>1027</v>
      </c>
      <c r="H27" s="201">
        <v>2</v>
      </c>
      <c r="I27" s="222" t="s">
        <v>63</v>
      </c>
      <c r="J27" s="202" t="s">
        <v>1065</v>
      </c>
      <c r="K27" s="201">
        <v>2</v>
      </c>
      <c r="L27" s="200" t="s">
        <v>128</v>
      </c>
      <c r="M27" s="202" t="s">
        <v>779</v>
      </c>
      <c r="N27" s="201">
        <v>55</v>
      </c>
      <c r="O27" s="200" t="s">
        <v>59</v>
      </c>
      <c r="P27" s="202" t="s">
        <v>296</v>
      </c>
      <c r="Q27" s="203">
        <f>((s_EF_far_c*s_ED_far_c*s_IRFI_far_c)+(s_EF_far_a*s_ED_far_a*s_IRFI_far_a))</f>
        <v>60500</v>
      </c>
      <c r="R27" s="200" t="s">
        <v>225</v>
      </c>
    </row>
    <row r="28" spans="1:18" ht="18" x14ac:dyDescent="0.35">
      <c r="A28" s="224" t="s">
        <v>274</v>
      </c>
      <c r="B28" s="216">
        <v>11.32</v>
      </c>
      <c r="C28" t="s">
        <v>219</v>
      </c>
      <c r="D28" t="s">
        <v>928</v>
      </c>
      <c r="E28" s="201">
        <v>10</v>
      </c>
      <c r="F28" s="200" t="s">
        <v>62</v>
      </c>
      <c r="G28" s="200" t="s">
        <v>1028</v>
      </c>
      <c r="H28" s="201">
        <v>2</v>
      </c>
      <c r="I28" s="200" t="s">
        <v>100</v>
      </c>
      <c r="J28" s="200"/>
      <c r="K28" s="201"/>
      <c r="L28" s="210"/>
      <c r="M28" s="202" t="s">
        <v>780</v>
      </c>
      <c r="N28" s="201">
        <v>55</v>
      </c>
      <c r="O28" s="200" t="s">
        <v>59</v>
      </c>
      <c r="P28" s="200" t="s">
        <v>1488</v>
      </c>
      <c r="Q28" s="201">
        <v>55</v>
      </c>
      <c r="R28" s="200" t="s">
        <v>59</v>
      </c>
    </row>
    <row r="29" spans="1:18" ht="18" x14ac:dyDescent="0.35">
      <c r="A29" s="225" t="s">
        <v>275</v>
      </c>
      <c r="B29" s="216">
        <v>0.28539705780000002</v>
      </c>
      <c r="C29" s="226" t="s">
        <v>101</v>
      </c>
      <c r="D29" t="s">
        <v>929</v>
      </c>
      <c r="E29" s="201">
        <v>0.5</v>
      </c>
      <c r="G29" s="200" t="s">
        <v>1029</v>
      </c>
      <c r="H29" s="201">
        <v>2</v>
      </c>
      <c r="I29" s="200" t="s">
        <v>100</v>
      </c>
      <c r="K29" s="120"/>
      <c r="L29" s="210"/>
      <c r="M29" s="202" t="s">
        <v>781</v>
      </c>
      <c r="N29" s="203">
        <f>((s_EF_far_c*s_ED_far_c*s_IRAP_far_c)+(s_EF_far_a*s_ED_far_a*s_IRAP_far_a))</f>
        <v>60500</v>
      </c>
      <c r="O29" s="200" t="s">
        <v>225</v>
      </c>
      <c r="P29" s="200" t="s">
        <v>1489</v>
      </c>
      <c r="Q29" s="201">
        <v>55</v>
      </c>
      <c r="R29" s="200" t="s">
        <v>59</v>
      </c>
    </row>
    <row r="30" spans="1:18" ht="18" x14ac:dyDescent="0.25">
      <c r="A30" s="225" t="s">
        <v>276</v>
      </c>
      <c r="B30" s="227">
        <v>0.25</v>
      </c>
      <c r="C30" t="s">
        <v>1515</v>
      </c>
      <c r="D30" s="202" t="s">
        <v>930</v>
      </c>
      <c r="E30" s="201">
        <v>55</v>
      </c>
      <c r="F30" s="200" t="s">
        <v>59</v>
      </c>
      <c r="G30" s="200" t="s">
        <v>1030</v>
      </c>
      <c r="H30" s="201">
        <v>2</v>
      </c>
      <c r="I30" s="200" t="s">
        <v>101</v>
      </c>
      <c r="M30" s="202" t="s">
        <v>782</v>
      </c>
      <c r="N30" s="201">
        <v>55</v>
      </c>
      <c r="O30" s="200" t="s">
        <v>59</v>
      </c>
      <c r="P30" s="202" t="s">
        <v>1490</v>
      </c>
      <c r="Q30" s="203" cm="1">
        <f t="array" ref="Q30">((s_EF_far_c*s_ED_far_c*s_IRSF_far_c)+(s_EF_far_a*s_ED_far_a*s_IRSF_far_a))</f>
        <v>60500</v>
      </c>
      <c r="R30" s="200" t="s">
        <v>225</v>
      </c>
    </row>
    <row r="31" spans="1:18" ht="18" x14ac:dyDescent="0.35">
      <c r="A31" t="s">
        <v>277</v>
      </c>
      <c r="B31" s="203">
        <f>s_A_wind*EXP((((LN(s_As))-s_B_wind)^2)/s_C_wind)</f>
        <v>57.143694778447667</v>
      </c>
      <c r="C31" t="s">
        <v>1519</v>
      </c>
      <c r="D31" s="202" t="s">
        <v>931</v>
      </c>
      <c r="E31" s="201">
        <v>55</v>
      </c>
      <c r="F31" s="200" t="s">
        <v>59</v>
      </c>
      <c r="G31" s="200" t="s">
        <v>1031</v>
      </c>
      <c r="H31" s="201">
        <v>2</v>
      </c>
      <c r="I31" s="200" t="s">
        <v>101</v>
      </c>
      <c r="M31" s="202" t="s">
        <v>783</v>
      </c>
      <c r="N31" s="201">
        <v>55</v>
      </c>
      <c r="O31" s="200" t="s">
        <v>59</v>
      </c>
      <c r="P31" s="200" t="s">
        <v>300</v>
      </c>
      <c r="Q31" s="201">
        <v>55</v>
      </c>
      <c r="R31" s="200" t="s">
        <v>59</v>
      </c>
    </row>
    <row r="32" spans="1:18" ht="18" x14ac:dyDescent="0.25">
      <c r="A32" s="225" t="s">
        <v>278</v>
      </c>
      <c r="B32" s="227">
        <v>5</v>
      </c>
      <c r="C32" s="226" t="s">
        <v>224</v>
      </c>
      <c r="D32" s="202" t="s">
        <v>932</v>
      </c>
      <c r="E32" s="203">
        <f>((s_EF_res_c*s_ED_res_c*s_IRAP_res_c)+(s_EF_res_a*s_ED_res_a*s_IRAP_res_a))</f>
        <v>60500</v>
      </c>
      <c r="F32" s="200" t="s">
        <v>225</v>
      </c>
      <c r="G32" s="200" t="s">
        <v>1032</v>
      </c>
      <c r="H32" s="201">
        <v>2</v>
      </c>
      <c r="I32" s="200" t="s">
        <v>58</v>
      </c>
      <c r="M32" s="202" t="s">
        <v>784</v>
      </c>
      <c r="N32" s="203">
        <f>((s_EF_far_c*s_ED_far_c*s_IRAS_far_c)+(s_EF_far_a*s_ED_far_a*s_IRAS_far_a))</f>
        <v>60500</v>
      </c>
      <c r="O32" s="200" t="s">
        <v>225</v>
      </c>
      <c r="P32" s="200" t="s">
        <v>301</v>
      </c>
      <c r="Q32" s="201">
        <v>55</v>
      </c>
      <c r="R32" s="200" t="s">
        <v>59</v>
      </c>
    </row>
    <row r="33" spans="1:18" ht="18" x14ac:dyDescent="0.35">
      <c r="A33" t="s">
        <v>279</v>
      </c>
      <c r="B33" s="228">
        <v>15.0235</v>
      </c>
      <c r="C33" s="226"/>
      <c r="D33" s="202" t="s">
        <v>933</v>
      </c>
      <c r="E33" s="201">
        <v>55</v>
      </c>
      <c r="F33" s="200" t="s">
        <v>59</v>
      </c>
      <c r="G33" s="200" t="s">
        <v>1033</v>
      </c>
      <c r="H33" s="201">
        <v>2</v>
      </c>
      <c r="I33" s="200" t="s">
        <v>100</v>
      </c>
      <c r="M33" s="202" t="s">
        <v>785</v>
      </c>
      <c r="N33" s="201">
        <v>55</v>
      </c>
      <c r="O33" s="200" t="s">
        <v>59</v>
      </c>
      <c r="P33" s="202" t="s">
        <v>302</v>
      </c>
      <c r="Q33" s="203">
        <f>((s_EF_far_c*s_ED_far_c*s_IRSW_far_c)+(s_EF_far_a*s_ED_far_a*s_IRSW_far_a))</f>
        <v>60500</v>
      </c>
      <c r="R33" s="200" t="s">
        <v>225</v>
      </c>
    </row>
    <row r="34" spans="1:18" ht="18" x14ac:dyDescent="0.35">
      <c r="A34" t="s">
        <v>280</v>
      </c>
      <c r="B34" s="228">
        <v>18.252600000000001</v>
      </c>
      <c r="C34" s="226"/>
      <c r="D34" s="202" t="s">
        <v>934</v>
      </c>
      <c r="E34" s="201">
        <v>55</v>
      </c>
      <c r="F34" s="200" t="s">
        <v>59</v>
      </c>
      <c r="G34" s="200" t="s">
        <v>1034</v>
      </c>
      <c r="H34" s="201">
        <v>2</v>
      </c>
      <c r="I34" s="200" t="s">
        <v>100</v>
      </c>
      <c r="M34" s="202" t="s">
        <v>786</v>
      </c>
      <c r="N34" s="201">
        <v>55</v>
      </c>
      <c r="O34" s="200" t="s">
        <v>59</v>
      </c>
      <c r="P34" s="202" t="s">
        <v>1111</v>
      </c>
      <c r="Q34" s="201">
        <v>55</v>
      </c>
      <c r="R34" s="200" t="s">
        <v>59</v>
      </c>
    </row>
    <row r="35" spans="1:18" ht="18" x14ac:dyDescent="0.35">
      <c r="A35" t="s">
        <v>281</v>
      </c>
      <c r="B35" s="228">
        <v>207.33869999999999</v>
      </c>
      <c r="C35" s="226"/>
      <c r="D35" s="202" t="s">
        <v>935</v>
      </c>
      <c r="E35" s="203">
        <f>((s_EF_res_c*s_ED_res_c*s_IRAS_res_c)+(s_EF_res_a*s_ED_res_a*s_IRAS_res_a))</f>
        <v>60500</v>
      </c>
      <c r="F35" s="200" t="s">
        <v>225</v>
      </c>
      <c r="G35" s="200" t="s">
        <v>1035</v>
      </c>
      <c r="H35" s="201">
        <v>2</v>
      </c>
      <c r="I35" s="200" t="s">
        <v>101</v>
      </c>
      <c r="M35" s="202" t="s">
        <v>787</v>
      </c>
      <c r="N35" s="203">
        <f>((s_EF_far_c*s_ED_far_c*s_IRBT_far_c)+(s_EF_far_a*s_ED_far_a*s_IRBT_far_a))</f>
        <v>60500</v>
      </c>
      <c r="O35" s="200" t="s">
        <v>225</v>
      </c>
      <c r="P35" s="202" t="s">
        <v>1112</v>
      </c>
      <c r="Q35" s="201">
        <v>55</v>
      </c>
      <c r="R35" s="200" t="s">
        <v>59</v>
      </c>
    </row>
    <row r="36" spans="1:18" ht="18" x14ac:dyDescent="0.25">
      <c r="A36" s="226"/>
      <c r="B36" s="227">
        <v>3.5999999999999997E-2</v>
      </c>
      <c r="C36" t="s">
        <v>1520</v>
      </c>
      <c r="D36" s="202" t="s">
        <v>936</v>
      </c>
      <c r="E36" s="201">
        <v>55</v>
      </c>
      <c r="F36" s="200" t="s">
        <v>59</v>
      </c>
      <c r="G36" s="200" t="s">
        <v>1036</v>
      </c>
      <c r="H36" s="201">
        <v>2</v>
      </c>
      <c r="I36" s="200" t="s">
        <v>101</v>
      </c>
      <c r="M36" s="202" t="s">
        <v>788</v>
      </c>
      <c r="N36" s="201">
        <v>55</v>
      </c>
      <c r="O36" s="200" t="s">
        <v>59</v>
      </c>
      <c r="P36" s="202" t="s">
        <v>1113</v>
      </c>
      <c r="Q36" s="203">
        <f>((s_EF_far_c*s_ED_far_c*s_IRSH_far_c)+(s_EF_far_a*s_ED_far_a*s_IRSH_far_a))</f>
        <v>60500</v>
      </c>
      <c r="R36" s="200" t="s">
        <v>225</v>
      </c>
    </row>
    <row r="37" spans="1:18" ht="18" x14ac:dyDescent="0.25">
      <c r="A37" t="s">
        <v>1066</v>
      </c>
      <c r="B37" s="229">
        <v>5</v>
      </c>
      <c r="C37" t="s">
        <v>1521</v>
      </c>
      <c r="D37" s="202" t="s">
        <v>937</v>
      </c>
      <c r="E37" s="201">
        <v>55</v>
      </c>
      <c r="F37" s="200" t="s">
        <v>59</v>
      </c>
      <c r="G37" s="200" t="s">
        <v>1037</v>
      </c>
      <c r="H37" s="201">
        <v>2</v>
      </c>
      <c r="I37" s="200" t="s">
        <v>58</v>
      </c>
      <c r="M37" s="202" t="s">
        <v>789</v>
      </c>
      <c r="N37" s="201">
        <v>55</v>
      </c>
      <c r="O37" s="200" t="s">
        <v>59</v>
      </c>
      <c r="P37" s="202" t="s">
        <v>878</v>
      </c>
      <c r="Q37" s="201">
        <v>55</v>
      </c>
      <c r="R37" s="200" t="s">
        <v>59</v>
      </c>
    </row>
    <row r="38" spans="1:18" ht="18" x14ac:dyDescent="0.25">
      <c r="A38" t="s">
        <v>1544</v>
      </c>
      <c r="B38" s="240">
        <f>(1+(s_K_s2gw*s_i_s2gw*s_dm)/(s_ls2gw*s_L_s2gw))</f>
        <v>7.2815689567914177</v>
      </c>
      <c r="C38" t="s">
        <v>101</v>
      </c>
      <c r="D38" s="202" t="s">
        <v>938</v>
      </c>
      <c r="E38" s="203">
        <f>((s_EF_res_c*s_ED_res_c*s_IRBT_res_c)+(s_EF_res_a*s_ED_res_a*s_IRBT_res_a))</f>
        <v>60500</v>
      </c>
      <c r="F38" s="200" t="s">
        <v>225</v>
      </c>
      <c r="G38" s="200" t="s">
        <v>1038</v>
      </c>
      <c r="H38" s="201">
        <v>0.5</v>
      </c>
      <c r="I38" s="200" t="s">
        <v>1515</v>
      </c>
      <c r="M38" s="202" t="s">
        <v>790</v>
      </c>
      <c r="N38" s="203">
        <f>((s_EF_far_c*s_ED_far_c*s_IRBE_far_c)+(s_EF_far_a*s_ED_far_a*s_IRBE_far_a))</f>
        <v>60500</v>
      </c>
      <c r="O38" s="200" t="s">
        <v>225</v>
      </c>
      <c r="P38" s="202" t="s">
        <v>879</v>
      </c>
      <c r="Q38" s="201">
        <v>55</v>
      </c>
      <c r="R38" s="200" t="s">
        <v>59</v>
      </c>
    </row>
    <row r="39" spans="1:18" ht="18" x14ac:dyDescent="0.25">
      <c r="D39" s="202" t="s">
        <v>939</v>
      </c>
      <c r="E39" s="201">
        <v>55</v>
      </c>
      <c r="F39" s="200" t="s">
        <v>59</v>
      </c>
      <c r="G39" s="200" t="s">
        <v>1039</v>
      </c>
      <c r="H39" s="201">
        <v>0.5</v>
      </c>
      <c r="I39" s="200" t="s">
        <v>1515</v>
      </c>
      <c r="M39" s="202" t="s">
        <v>791</v>
      </c>
      <c r="N39" s="201">
        <v>55</v>
      </c>
      <c r="O39" s="200" t="s">
        <v>59</v>
      </c>
      <c r="P39" s="202" t="s">
        <v>880</v>
      </c>
      <c r="Q39" s="203">
        <f>((s_EF_far_c*s_ED_far_c*s_IRGO_far_c)+(s_EF_far_a*s_ED_far_a*s_IRGO_far_a))</f>
        <v>60500</v>
      </c>
      <c r="R39" s="200" t="s">
        <v>225</v>
      </c>
    </row>
    <row r="40" spans="1:18" ht="18" x14ac:dyDescent="0.25">
      <c r="D40" s="202" t="s">
        <v>940</v>
      </c>
      <c r="E40" s="201">
        <v>55</v>
      </c>
      <c r="F40" s="200" t="s">
        <v>59</v>
      </c>
      <c r="M40" s="202" t="s">
        <v>792</v>
      </c>
      <c r="N40" s="201">
        <v>55</v>
      </c>
      <c r="O40" s="200" t="s">
        <v>59</v>
      </c>
      <c r="P40" s="202" t="s">
        <v>881</v>
      </c>
      <c r="Q40" s="201">
        <v>55</v>
      </c>
      <c r="R40" s="200" t="s">
        <v>59</v>
      </c>
    </row>
    <row r="41" spans="1:18" ht="18" x14ac:dyDescent="0.25">
      <c r="A41" s="226"/>
      <c r="B41" s="230"/>
      <c r="C41" s="226"/>
      <c r="D41" s="202" t="s">
        <v>941</v>
      </c>
      <c r="E41" s="203">
        <f>((s_EF_res_c*s_ED_res_c*s_IRBE_res_c)+(s_EF_res_a*s_ED_res_a*s_IRBE_res_a))</f>
        <v>60500</v>
      </c>
      <c r="F41" s="200" t="s">
        <v>225</v>
      </c>
      <c r="G41" s="202"/>
      <c r="H41" s="231"/>
      <c r="I41" s="200"/>
      <c r="M41" s="202" t="s">
        <v>793</v>
      </c>
      <c r="N41" s="203">
        <f>((s_EF_far_c*s_ED_far_c*s_IRBR_far_c)+(s_EF_far_a*s_ED_far_a*s_IRBR_far_a))</f>
        <v>60500</v>
      </c>
      <c r="O41" s="200" t="s">
        <v>225</v>
      </c>
      <c r="P41" s="202" t="s">
        <v>882</v>
      </c>
      <c r="Q41" s="201">
        <v>55</v>
      </c>
      <c r="R41" s="200" t="s">
        <v>59</v>
      </c>
    </row>
    <row r="42" spans="1:18" ht="18" x14ac:dyDescent="0.25">
      <c r="B42" s="230"/>
      <c r="C42" s="226"/>
      <c r="D42" s="202" t="s">
        <v>942</v>
      </c>
      <c r="E42" s="201">
        <v>55</v>
      </c>
      <c r="F42" s="200" t="s">
        <v>59</v>
      </c>
      <c r="M42" s="202" t="s">
        <v>794</v>
      </c>
      <c r="N42" s="201">
        <v>55</v>
      </c>
      <c r="O42" s="200" t="s">
        <v>59</v>
      </c>
      <c r="P42" s="202" t="s">
        <v>883</v>
      </c>
      <c r="Q42" s="203">
        <f>((s_EF_far_c*s_ED_far_c*s_IRSM_far_c)+(s_EF_far_a*s_ED_far_a*s_IRSM_far_a))</f>
        <v>60500</v>
      </c>
      <c r="R42" s="200" t="s">
        <v>225</v>
      </c>
    </row>
    <row r="43" spans="1:18" ht="18" x14ac:dyDescent="0.25">
      <c r="A43" s="226"/>
      <c r="B43" s="230"/>
      <c r="C43" s="226"/>
      <c r="D43" s="202" t="s">
        <v>943</v>
      </c>
      <c r="E43" s="201">
        <v>55</v>
      </c>
      <c r="F43" s="200" t="s">
        <v>59</v>
      </c>
      <c r="M43" s="202" t="s">
        <v>795</v>
      </c>
      <c r="N43" s="201">
        <v>55</v>
      </c>
      <c r="O43" s="200" t="s">
        <v>59</v>
      </c>
      <c r="P43" s="202" t="s">
        <v>884</v>
      </c>
      <c r="Q43" s="201">
        <v>55</v>
      </c>
      <c r="R43" s="200" t="s">
        <v>59</v>
      </c>
    </row>
    <row r="44" spans="1:18" ht="18" x14ac:dyDescent="0.25">
      <c r="A44" s="226"/>
      <c r="B44" s="230"/>
      <c r="C44" s="226"/>
      <c r="D44" s="202" t="s">
        <v>944</v>
      </c>
      <c r="E44" s="203">
        <f>((s_EF_res_c*s_ED_res_c*s_IRBR_res_c)+(s_EF_res_a*s_ED_res_a*s_IRBR_res_a))</f>
        <v>60500</v>
      </c>
      <c r="F44" s="200" t="s">
        <v>225</v>
      </c>
      <c r="M44" s="202" t="s">
        <v>796</v>
      </c>
      <c r="N44" s="203">
        <f>((s_EF_far_c*s_ED_far_c*s_IRCB_far_c)+(s_EF_far_a*s_ED_far_a*s_IRCB_far_a))</f>
        <v>60500</v>
      </c>
      <c r="O44" s="200" t="s">
        <v>225</v>
      </c>
      <c r="P44" s="202" t="s">
        <v>885</v>
      </c>
      <c r="Q44" s="201">
        <v>55</v>
      </c>
      <c r="R44" s="200" t="s">
        <v>59</v>
      </c>
    </row>
    <row r="45" spans="1:18" ht="18" x14ac:dyDescent="0.25">
      <c r="A45" s="226"/>
      <c r="B45" s="230"/>
      <c r="C45" s="226"/>
      <c r="D45" s="202" t="s">
        <v>945</v>
      </c>
      <c r="E45" s="201">
        <v>55</v>
      </c>
      <c r="F45" s="200" t="s">
        <v>59</v>
      </c>
      <c r="M45" s="202" t="s">
        <v>797</v>
      </c>
      <c r="N45" s="201">
        <v>55</v>
      </c>
      <c r="O45" s="200" t="s">
        <v>59</v>
      </c>
      <c r="P45" s="202" t="s">
        <v>886</v>
      </c>
      <c r="Q45" s="203">
        <f>((s_EF_far_c*s_ED_far_c*s_IRGM_far_c)+(s_EF_far_a*s_ED_far_a*s_IRGM_far_a))</f>
        <v>60500</v>
      </c>
      <c r="R45" s="200" t="s">
        <v>225</v>
      </c>
    </row>
    <row r="46" spans="1:18" ht="18" x14ac:dyDescent="0.25">
      <c r="A46" s="226"/>
      <c r="B46" s="232"/>
      <c r="C46" s="226"/>
      <c r="D46" s="202" t="s">
        <v>946</v>
      </c>
      <c r="E46" s="201">
        <v>55</v>
      </c>
      <c r="F46" s="200" t="s">
        <v>59</v>
      </c>
      <c r="M46" s="202" t="s">
        <v>798</v>
      </c>
      <c r="N46" s="201">
        <v>55</v>
      </c>
      <c r="O46" s="200" t="s">
        <v>59</v>
      </c>
      <c r="P46" s="200" t="s">
        <v>309</v>
      </c>
      <c r="Q46" s="201">
        <v>5</v>
      </c>
      <c r="R46" s="200" t="s">
        <v>58</v>
      </c>
    </row>
    <row r="47" spans="1:18" ht="18" x14ac:dyDescent="0.25">
      <c r="A47" s="226"/>
      <c r="B47" s="230"/>
      <c r="C47" s="226"/>
      <c r="D47" s="202" t="s">
        <v>947</v>
      </c>
      <c r="E47" s="203">
        <f>((s_EF_res_c*s_ED_res_c*s_IRCB_res_c)+(s_EF_res_a*s_ED_res_a*s_IRCB_res_a))</f>
        <v>60500</v>
      </c>
      <c r="F47" s="200" t="s">
        <v>225</v>
      </c>
      <c r="M47" s="202" t="s">
        <v>799</v>
      </c>
      <c r="N47" s="203">
        <f>((s_EF_far_c*s_ED_far_c*s_IRCR_far_c)+(s_EF_far_a*s_ED_far_a*s_IRCR_far_a))</f>
        <v>60500</v>
      </c>
      <c r="O47" s="200" t="s">
        <v>225</v>
      </c>
      <c r="P47" s="200" t="s">
        <v>887</v>
      </c>
      <c r="Q47" s="228">
        <v>1.03</v>
      </c>
      <c r="R47" s="200" t="s">
        <v>139</v>
      </c>
    </row>
    <row r="48" spans="1:18" ht="18" x14ac:dyDescent="0.25">
      <c r="A48" s="226"/>
      <c r="B48" s="230"/>
      <c r="C48" s="226"/>
      <c r="D48" s="202" t="s">
        <v>948</v>
      </c>
      <c r="E48" s="201">
        <v>55</v>
      </c>
      <c r="F48" s="200" t="s">
        <v>59</v>
      </c>
      <c r="M48" s="202" t="s">
        <v>800</v>
      </c>
      <c r="N48" s="201">
        <v>55</v>
      </c>
      <c r="O48" s="200" t="s">
        <v>59</v>
      </c>
      <c r="P48" s="200" t="s">
        <v>310</v>
      </c>
      <c r="Q48" s="201">
        <v>5</v>
      </c>
      <c r="R48" s="200" t="s">
        <v>100</v>
      </c>
    </row>
    <row r="49" spans="1:18" ht="18" x14ac:dyDescent="0.25">
      <c r="A49" s="226"/>
      <c r="B49" s="230"/>
      <c r="C49" s="226"/>
      <c r="D49" s="202" t="s">
        <v>949</v>
      </c>
      <c r="E49" s="201">
        <v>55</v>
      </c>
      <c r="F49" s="200" t="s">
        <v>59</v>
      </c>
      <c r="M49" s="202" t="s">
        <v>801</v>
      </c>
      <c r="N49" s="201">
        <v>55</v>
      </c>
      <c r="O49" s="200" t="s">
        <v>59</v>
      </c>
      <c r="P49" s="200" t="s">
        <v>311</v>
      </c>
      <c r="Q49" s="201">
        <v>5</v>
      </c>
      <c r="R49" s="200" t="s">
        <v>100</v>
      </c>
    </row>
    <row r="50" spans="1:18" ht="18" x14ac:dyDescent="0.25">
      <c r="A50" s="226"/>
      <c r="B50" s="233"/>
      <c r="C50" s="226"/>
      <c r="D50" s="202" t="s">
        <v>950</v>
      </c>
      <c r="E50" s="203">
        <f>((s_EF_res_c*s_ED_res_c*s_IRCR_res_c)+(s_EF_res_a*s_ED_res_a*s_IRCR_res_a))</f>
        <v>60500</v>
      </c>
      <c r="F50" s="200" t="s">
        <v>225</v>
      </c>
      <c r="M50" s="202" t="s">
        <v>802</v>
      </c>
      <c r="N50" s="203">
        <f>((s_EF_far_c*s_ED_far_c*s_IRCG_far_c)+(s_EF_far_a*s_ED_far_a*s_IRCG_far_a))</f>
        <v>60500</v>
      </c>
      <c r="O50" s="200" t="s">
        <v>225</v>
      </c>
      <c r="P50" s="200" t="s">
        <v>312</v>
      </c>
      <c r="Q50" s="201">
        <v>5</v>
      </c>
      <c r="R50" s="200" t="s">
        <v>1515</v>
      </c>
    </row>
    <row r="51" spans="1:18" ht="18" x14ac:dyDescent="0.25">
      <c r="A51" s="226"/>
      <c r="B51" s="234"/>
      <c r="C51" s="226"/>
      <c r="D51" s="202" t="s">
        <v>951</v>
      </c>
      <c r="E51" s="201">
        <v>55</v>
      </c>
      <c r="F51" s="200" t="s">
        <v>59</v>
      </c>
      <c r="M51" s="202" t="s">
        <v>803</v>
      </c>
      <c r="N51" s="201">
        <v>55</v>
      </c>
      <c r="O51" s="200" t="s">
        <v>59</v>
      </c>
      <c r="P51" s="200" t="s">
        <v>313</v>
      </c>
      <c r="Q51" s="201">
        <v>5</v>
      </c>
      <c r="R51" s="200" t="s">
        <v>1515</v>
      </c>
    </row>
    <row r="52" spans="1:18" ht="18" x14ac:dyDescent="0.25">
      <c r="A52" s="226"/>
      <c r="B52" s="234"/>
      <c r="C52" s="226"/>
      <c r="D52" s="202" t="s">
        <v>952</v>
      </c>
      <c r="E52" s="201">
        <v>55</v>
      </c>
      <c r="F52" s="200" t="s">
        <v>59</v>
      </c>
      <c r="M52" s="202" t="s">
        <v>804</v>
      </c>
      <c r="N52" s="201">
        <v>55</v>
      </c>
      <c r="O52" s="200" t="s">
        <v>59</v>
      </c>
      <c r="P52" s="200" t="s">
        <v>314</v>
      </c>
      <c r="Q52" s="201">
        <v>5</v>
      </c>
      <c r="R52" s="200" t="s">
        <v>58</v>
      </c>
    </row>
    <row r="53" spans="1:18" ht="18" x14ac:dyDescent="0.25">
      <c r="A53" s="226"/>
      <c r="B53" s="234"/>
      <c r="C53" s="226"/>
      <c r="D53" s="202" t="s">
        <v>953</v>
      </c>
      <c r="E53" s="203">
        <f>((s_EF_res_c*s_ED_res_c*s_IRCG_res_c)+(s_EF_res_a*s_ED_res_a*s_IRCG_res_a))</f>
        <v>60500</v>
      </c>
      <c r="F53" s="200" t="s">
        <v>225</v>
      </c>
      <c r="M53" s="202" t="s">
        <v>805</v>
      </c>
      <c r="N53" s="203">
        <f>((s_EF_far_c*s_ED_far_c*s_IRCI_far_c)+(s_EF_far_a*s_ED_far_a*s_IRCI_far_a))</f>
        <v>60500</v>
      </c>
      <c r="O53" s="200" t="s">
        <v>225</v>
      </c>
      <c r="P53" s="200" t="s">
        <v>315</v>
      </c>
      <c r="Q53" s="201">
        <v>5</v>
      </c>
      <c r="R53" s="200" t="s">
        <v>100</v>
      </c>
    </row>
    <row r="54" spans="1:18" ht="18" x14ac:dyDescent="0.25">
      <c r="A54" s="226"/>
      <c r="B54" s="234"/>
      <c r="C54" s="226"/>
      <c r="D54" s="202" t="s">
        <v>954</v>
      </c>
      <c r="E54" s="201">
        <v>55</v>
      </c>
      <c r="F54" s="200" t="s">
        <v>59</v>
      </c>
      <c r="M54" s="202" t="s">
        <v>806</v>
      </c>
      <c r="N54" s="201">
        <v>55</v>
      </c>
      <c r="O54" s="200" t="s">
        <v>59</v>
      </c>
      <c r="P54" s="200" t="s">
        <v>316</v>
      </c>
      <c r="Q54" s="201">
        <v>5</v>
      </c>
      <c r="R54" s="200" t="s">
        <v>100</v>
      </c>
    </row>
    <row r="55" spans="1:18" ht="18" x14ac:dyDescent="0.25">
      <c r="A55" s="226"/>
      <c r="B55" s="233"/>
      <c r="C55" s="226"/>
      <c r="D55" s="202" t="s">
        <v>955</v>
      </c>
      <c r="E55" s="201">
        <v>55</v>
      </c>
      <c r="F55" s="200" t="s">
        <v>59</v>
      </c>
      <c r="M55" s="202" t="s">
        <v>807</v>
      </c>
      <c r="N55" s="201">
        <v>55</v>
      </c>
      <c r="O55" s="200" t="s">
        <v>59</v>
      </c>
      <c r="P55" s="200" t="s">
        <v>317</v>
      </c>
      <c r="Q55" s="201">
        <v>5</v>
      </c>
      <c r="R55" s="200" t="s">
        <v>1515</v>
      </c>
    </row>
    <row r="56" spans="1:18" ht="18" x14ac:dyDescent="0.25">
      <c r="A56" s="226"/>
      <c r="B56" s="233"/>
      <c r="C56" s="226"/>
      <c r="D56" s="202" t="s">
        <v>956</v>
      </c>
      <c r="E56" s="203">
        <f>((s_EF_res_c*s_ED_res_c*s_IRCI_res_c)+(s_EF_res_a*s_ED_res_a*s_IRCI_res_a))</f>
        <v>60500</v>
      </c>
      <c r="F56" s="200" t="s">
        <v>225</v>
      </c>
      <c r="M56" s="202" t="s">
        <v>808</v>
      </c>
      <c r="N56" s="203">
        <f>((s_EF_far_c*s_ED_far_c*s_IRCO_far_c)+(s_EF_far_a*s_ED_far_a*s_IRCO_far_a))</f>
        <v>60500</v>
      </c>
      <c r="O56" s="200" t="s">
        <v>225</v>
      </c>
      <c r="P56" s="200" t="s">
        <v>318</v>
      </c>
      <c r="Q56" s="201">
        <v>5</v>
      </c>
      <c r="R56" s="200" t="s">
        <v>1515</v>
      </c>
    </row>
    <row r="57" spans="1:18" ht="18" x14ac:dyDescent="0.25">
      <c r="A57" s="226"/>
      <c r="B57" s="234"/>
      <c r="C57" s="226"/>
      <c r="D57" s="202" t="s">
        <v>957</v>
      </c>
      <c r="E57" s="201">
        <v>55</v>
      </c>
      <c r="F57" s="200" t="s">
        <v>59</v>
      </c>
      <c r="M57" s="202" t="s">
        <v>809</v>
      </c>
      <c r="N57" s="201">
        <v>55</v>
      </c>
      <c r="O57" s="200" t="s">
        <v>59</v>
      </c>
      <c r="P57" s="200" t="s">
        <v>319</v>
      </c>
      <c r="Q57" s="201">
        <v>5</v>
      </c>
      <c r="R57" s="200" t="s">
        <v>58</v>
      </c>
    </row>
    <row r="58" spans="1:18" ht="18" x14ac:dyDescent="0.25">
      <c r="A58" s="226"/>
      <c r="B58" s="234"/>
      <c r="C58" s="226"/>
      <c r="D58" s="202" t="s">
        <v>958</v>
      </c>
      <c r="E58" s="201">
        <v>55</v>
      </c>
      <c r="F58" s="200" t="s">
        <v>59</v>
      </c>
      <c r="M58" s="202" t="s">
        <v>810</v>
      </c>
      <c r="N58" s="201">
        <v>55</v>
      </c>
      <c r="O58" s="200" t="s">
        <v>59</v>
      </c>
      <c r="P58" s="200" t="s">
        <v>320</v>
      </c>
      <c r="Q58" s="201">
        <v>5</v>
      </c>
      <c r="R58" s="200" t="s">
        <v>100</v>
      </c>
    </row>
    <row r="59" spans="1:18" ht="18" x14ac:dyDescent="0.25">
      <c r="A59" s="226"/>
      <c r="B59" s="234"/>
      <c r="C59" s="226"/>
      <c r="D59" s="202" t="s">
        <v>959</v>
      </c>
      <c r="E59" s="203">
        <f>((s_EF_res_c*s_ED_res_c*s_IRCO_res_c)+(s_EF_res_a*s_ED_res_a*s_IRCO_res_a))</f>
        <v>60500</v>
      </c>
      <c r="F59" s="200" t="s">
        <v>225</v>
      </c>
      <c r="M59" s="202" t="s">
        <v>811</v>
      </c>
      <c r="N59" s="203">
        <f>((s_EF_far_c*s_ED_far_c*s_IRCU_far_c)+(s_EF_far_a*s_ED_far_a*s_IRCU_far_a))</f>
        <v>60500</v>
      </c>
      <c r="O59" s="200" t="s">
        <v>225</v>
      </c>
      <c r="P59" s="200" t="s">
        <v>321</v>
      </c>
      <c r="Q59" s="201">
        <v>5</v>
      </c>
      <c r="R59" s="200" t="s">
        <v>100</v>
      </c>
    </row>
    <row r="60" spans="1:18" ht="18" x14ac:dyDescent="0.25">
      <c r="A60" s="226"/>
      <c r="B60" s="235"/>
      <c r="C60" s="226"/>
      <c r="D60" s="202" t="s">
        <v>960</v>
      </c>
      <c r="E60" s="201">
        <v>55</v>
      </c>
      <c r="F60" s="200" t="s">
        <v>59</v>
      </c>
      <c r="M60" s="202" t="s">
        <v>812</v>
      </c>
      <c r="N60" s="201">
        <v>55</v>
      </c>
      <c r="O60" s="200" t="s">
        <v>59</v>
      </c>
      <c r="P60" s="200" t="s">
        <v>322</v>
      </c>
      <c r="Q60" s="201">
        <v>5</v>
      </c>
      <c r="R60" s="200" t="s">
        <v>1515</v>
      </c>
    </row>
    <row r="61" spans="1:18" ht="18" x14ac:dyDescent="0.25">
      <c r="A61" s="226"/>
      <c r="B61" s="235"/>
      <c r="C61" s="226"/>
      <c r="D61" s="202" t="s">
        <v>961</v>
      </c>
      <c r="E61" s="201">
        <v>55</v>
      </c>
      <c r="F61" s="200" t="s">
        <v>59</v>
      </c>
      <c r="M61" s="202" t="s">
        <v>813</v>
      </c>
      <c r="N61" s="201">
        <v>55</v>
      </c>
      <c r="O61" s="200" t="s">
        <v>59</v>
      </c>
      <c r="P61" s="200" t="s">
        <v>323</v>
      </c>
      <c r="Q61" s="201">
        <v>5</v>
      </c>
      <c r="R61" s="200" t="s">
        <v>1515</v>
      </c>
    </row>
    <row r="62" spans="1:18" ht="18" x14ac:dyDescent="0.25">
      <c r="A62" s="226"/>
      <c r="B62" s="235"/>
      <c r="C62" s="226"/>
      <c r="D62" s="202" t="s">
        <v>962</v>
      </c>
      <c r="E62" s="203">
        <f>((s_EF_res_c*s_ED_res_c*s_IRCU_res_c)+(s_EF_res_a*s_ED_res_a*s_IRCU_res_a))</f>
        <v>60500</v>
      </c>
      <c r="F62" s="200" t="s">
        <v>225</v>
      </c>
      <c r="M62" s="202" t="s">
        <v>814</v>
      </c>
      <c r="N62" s="203">
        <f>((s_EF_far_c*s_ED_far_c*s_IRLE_far_c)+(s_EF_far_a*s_ED_far_a*s_IRLE_far_a))</f>
        <v>60500</v>
      </c>
      <c r="O62" s="200" t="s">
        <v>225</v>
      </c>
      <c r="P62" s="200" t="s">
        <v>324</v>
      </c>
      <c r="Q62" s="201">
        <v>5</v>
      </c>
      <c r="R62" s="200" t="s">
        <v>58</v>
      </c>
    </row>
    <row r="63" spans="1:18" ht="18" x14ac:dyDescent="0.25">
      <c r="A63" s="226"/>
      <c r="B63" s="234"/>
      <c r="C63" s="226"/>
      <c r="D63" s="202" t="s">
        <v>963</v>
      </c>
      <c r="E63" s="201">
        <v>55</v>
      </c>
      <c r="F63" s="200" t="s">
        <v>59</v>
      </c>
      <c r="M63" s="202" t="s">
        <v>815</v>
      </c>
      <c r="N63" s="201">
        <v>55</v>
      </c>
      <c r="O63" s="200" t="s">
        <v>59</v>
      </c>
      <c r="P63" s="200" t="s">
        <v>325</v>
      </c>
      <c r="Q63" s="201">
        <v>5</v>
      </c>
      <c r="R63" s="200" t="s">
        <v>100</v>
      </c>
    </row>
    <row r="64" spans="1:18" ht="18" x14ac:dyDescent="0.25">
      <c r="A64" s="226"/>
      <c r="B64" s="234"/>
      <c r="C64" s="226"/>
      <c r="D64" s="202" t="s">
        <v>964</v>
      </c>
      <c r="E64" s="201">
        <v>55</v>
      </c>
      <c r="F64" s="200" t="s">
        <v>59</v>
      </c>
      <c r="M64" s="202" t="s">
        <v>816</v>
      </c>
      <c r="N64" s="201">
        <v>55</v>
      </c>
      <c r="O64" s="200" t="s">
        <v>59</v>
      </c>
      <c r="P64" s="200" t="s">
        <v>326</v>
      </c>
      <c r="Q64" s="201">
        <v>5</v>
      </c>
      <c r="R64" s="200" t="s">
        <v>100</v>
      </c>
    </row>
    <row r="65" spans="1:18" ht="18" x14ac:dyDescent="0.25">
      <c r="A65" s="226"/>
      <c r="B65" s="234"/>
      <c r="C65" s="226"/>
      <c r="D65" s="202" t="s">
        <v>965</v>
      </c>
      <c r="E65" s="203">
        <f>((s_EF_res_c*s_ED_res_c*s_IRLE_res_c)+(s_EF_res_a*s_ED_res_a*s_IRLE_res_a))</f>
        <v>60500</v>
      </c>
      <c r="F65" s="200" t="s">
        <v>225</v>
      </c>
      <c r="M65" s="202" t="s">
        <v>817</v>
      </c>
      <c r="N65" s="203">
        <f>((s_EF_far_c*s_ED_far_c*s_IRLI_far_c)+(s_EF_far_a*s_ED_far_a*s_IRLI_far_a))</f>
        <v>60500</v>
      </c>
      <c r="O65" s="200" t="s">
        <v>225</v>
      </c>
      <c r="P65" s="200" t="s">
        <v>327</v>
      </c>
      <c r="Q65" s="201">
        <v>5</v>
      </c>
      <c r="R65" s="200" t="s">
        <v>1515</v>
      </c>
    </row>
    <row r="66" spans="1:18" ht="18" x14ac:dyDescent="0.25">
      <c r="A66" s="226"/>
      <c r="B66" s="234"/>
      <c r="C66" s="226"/>
      <c r="D66" s="202" t="s">
        <v>966</v>
      </c>
      <c r="E66" s="201">
        <v>55</v>
      </c>
      <c r="F66" s="200" t="s">
        <v>59</v>
      </c>
      <c r="M66" s="202" t="s">
        <v>818</v>
      </c>
      <c r="N66" s="201">
        <v>55</v>
      </c>
      <c r="O66" s="200" t="s">
        <v>59</v>
      </c>
      <c r="P66" s="200" t="s">
        <v>328</v>
      </c>
      <c r="Q66" s="201">
        <v>5</v>
      </c>
      <c r="R66" s="200" t="s">
        <v>1515</v>
      </c>
    </row>
    <row r="67" spans="1:18" ht="18" x14ac:dyDescent="0.25">
      <c r="A67" s="226"/>
      <c r="B67" s="234"/>
      <c r="C67" s="226"/>
      <c r="D67" s="202" t="s">
        <v>967</v>
      </c>
      <c r="E67" s="201">
        <v>55</v>
      </c>
      <c r="F67" s="200" t="s">
        <v>59</v>
      </c>
      <c r="M67" s="202" t="s">
        <v>819</v>
      </c>
      <c r="N67" s="201">
        <v>55</v>
      </c>
      <c r="O67" s="200" t="s">
        <v>59</v>
      </c>
      <c r="P67" s="200" t="s">
        <v>329</v>
      </c>
      <c r="Q67" s="201">
        <v>5</v>
      </c>
      <c r="R67" s="200" t="s">
        <v>58</v>
      </c>
    </row>
    <row r="68" spans="1:18" ht="18" x14ac:dyDescent="0.25">
      <c r="A68" s="226"/>
      <c r="B68" s="234"/>
      <c r="C68" s="226"/>
      <c r="D68" s="202" t="s">
        <v>968</v>
      </c>
      <c r="E68" s="203">
        <f>((s_EF_res_c*s_ED_res_c*s_IRLI_res_c)+(s_EF_res_a*s_ED_res_a*s_IRLI_res_a))</f>
        <v>60500</v>
      </c>
      <c r="F68" s="200" t="s">
        <v>225</v>
      </c>
      <c r="M68" s="202" t="s">
        <v>820</v>
      </c>
      <c r="N68" s="203">
        <f>((s_EF_far_c*s_ED_far_c*s_IROK_far_c)+(s_EF_far_a*s_ED_far_a*s_IROK_far_a))</f>
        <v>60500</v>
      </c>
      <c r="O68" s="200" t="s">
        <v>225</v>
      </c>
      <c r="P68" s="200" t="s">
        <v>330</v>
      </c>
      <c r="Q68" s="201">
        <v>5</v>
      </c>
      <c r="R68" s="200" t="s">
        <v>100</v>
      </c>
    </row>
    <row r="69" spans="1:18" ht="18" x14ac:dyDescent="0.25">
      <c r="A69" s="226"/>
      <c r="B69" s="236"/>
      <c r="C69" s="226"/>
      <c r="D69" s="202" t="s">
        <v>969</v>
      </c>
      <c r="E69" s="201">
        <v>55</v>
      </c>
      <c r="F69" s="200" t="s">
        <v>59</v>
      </c>
      <c r="M69" s="202" t="s">
        <v>821</v>
      </c>
      <c r="N69" s="201">
        <v>55</v>
      </c>
      <c r="O69" s="200" t="s">
        <v>59</v>
      </c>
      <c r="P69" s="200" t="s">
        <v>331</v>
      </c>
      <c r="Q69" s="201">
        <v>5</v>
      </c>
      <c r="R69" s="200" t="s">
        <v>100</v>
      </c>
    </row>
    <row r="70" spans="1:18" ht="18" x14ac:dyDescent="0.25">
      <c r="A70" s="226"/>
      <c r="B70" s="236"/>
      <c r="C70" s="226"/>
      <c r="D70" s="202" t="s">
        <v>970</v>
      </c>
      <c r="E70" s="201">
        <v>55</v>
      </c>
      <c r="F70" s="200" t="s">
        <v>59</v>
      </c>
      <c r="M70" s="202" t="s">
        <v>822</v>
      </c>
      <c r="N70" s="201">
        <v>55</v>
      </c>
      <c r="O70" s="200" t="s">
        <v>59</v>
      </c>
      <c r="P70" s="200" t="s">
        <v>332</v>
      </c>
      <c r="Q70" s="201">
        <v>5</v>
      </c>
      <c r="R70" s="200" t="s">
        <v>1515</v>
      </c>
    </row>
    <row r="71" spans="1:18" ht="18" x14ac:dyDescent="0.25">
      <c r="A71" s="226"/>
      <c r="B71" s="236"/>
      <c r="C71" s="226"/>
      <c r="D71" s="202" t="s">
        <v>971</v>
      </c>
      <c r="E71" s="203">
        <f>((s_EF_res_c*s_ED_res_c*s_IROK_res_c)+(s_EF_res_a*s_ED_res_a*s_IROK_res_a))</f>
        <v>60500</v>
      </c>
      <c r="F71" s="200" t="s">
        <v>225</v>
      </c>
      <c r="M71" s="202" t="s">
        <v>823</v>
      </c>
      <c r="N71" s="203">
        <f>((s_EF_far_c*s_ED_far_c*s_IRON_far_c)+(s_EF_far_a*s_ED_far_a*s_IRON_far_a))</f>
        <v>60500</v>
      </c>
      <c r="O71" s="200" t="s">
        <v>225</v>
      </c>
      <c r="P71" s="200" t="s">
        <v>333</v>
      </c>
      <c r="Q71" s="201">
        <v>5</v>
      </c>
      <c r="R71" s="200" t="s">
        <v>1515</v>
      </c>
    </row>
    <row r="72" spans="1:18" ht="18" x14ac:dyDescent="0.25">
      <c r="A72" s="226"/>
      <c r="B72" s="236"/>
      <c r="C72" s="226"/>
      <c r="D72" s="202" t="s">
        <v>972</v>
      </c>
      <c r="E72" s="201">
        <v>55</v>
      </c>
      <c r="F72" s="200" t="s">
        <v>59</v>
      </c>
      <c r="M72" s="202" t="s">
        <v>824</v>
      </c>
      <c r="N72" s="201">
        <v>55</v>
      </c>
      <c r="O72" s="200" t="s">
        <v>59</v>
      </c>
      <c r="P72" s="200" t="s">
        <v>351</v>
      </c>
      <c r="Q72" s="201">
        <v>0.5</v>
      </c>
      <c r="R72" s="210" t="s">
        <v>1522</v>
      </c>
    </row>
    <row r="73" spans="1:18" ht="18" x14ac:dyDescent="0.25">
      <c r="A73" s="226"/>
      <c r="B73" s="236"/>
      <c r="C73" s="226"/>
      <c r="D73" s="202" t="s">
        <v>973</v>
      </c>
      <c r="E73" s="201">
        <v>55</v>
      </c>
      <c r="F73" s="200" t="s">
        <v>59</v>
      </c>
      <c r="M73" s="202" t="s">
        <v>825</v>
      </c>
      <c r="N73" s="201">
        <v>55</v>
      </c>
      <c r="O73" s="200" t="s">
        <v>59</v>
      </c>
      <c r="P73" s="200" t="s">
        <v>373</v>
      </c>
      <c r="Q73" s="203">
        <f>s_MLF_pasture</f>
        <v>0.5</v>
      </c>
      <c r="R73" s="210" t="s">
        <v>1522</v>
      </c>
    </row>
    <row r="74" spans="1:18" ht="18" x14ac:dyDescent="0.25">
      <c r="A74" s="226"/>
      <c r="B74" s="236"/>
      <c r="C74" s="226"/>
      <c r="D74" s="202" t="s">
        <v>974</v>
      </c>
      <c r="E74" s="203">
        <f>((s_EF_res_c*s_ED_res_c*s_IRON_res_c)+(s_EF_res_a*s_ED_res_a*s_IRON_res_a))</f>
        <v>60500</v>
      </c>
      <c r="F74" s="200" t="s">
        <v>225</v>
      </c>
      <c r="M74" s="202" t="s">
        <v>826</v>
      </c>
      <c r="N74" s="203">
        <f>((s_EF_far_c*s_ED_far_c*s_IRPC_far_c)+(s_EF_far_a*s_ED_far_a*s_IRPC_far_a))</f>
        <v>60500</v>
      </c>
      <c r="O74" s="200" t="s">
        <v>225</v>
      </c>
      <c r="P74" s="200" t="s">
        <v>1114</v>
      </c>
      <c r="Q74" s="201">
        <v>5</v>
      </c>
      <c r="R74" s="200" t="s">
        <v>58</v>
      </c>
    </row>
    <row r="75" spans="1:18" ht="18" x14ac:dyDescent="0.25">
      <c r="A75" s="226"/>
      <c r="B75" s="236"/>
      <c r="C75" s="226"/>
      <c r="D75" s="202" t="s">
        <v>975</v>
      </c>
      <c r="E75" s="201">
        <v>55</v>
      </c>
      <c r="F75" s="200" t="s">
        <v>59</v>
      </c>
      <c r="M75" s="237" t="s">
        <v>1523</v>
      </c>
      <c r="N75" s="201">
        <v>55</v>
      </c>
      <c r="O75" s="207" t="s">
        <v>59</v>
      </c>
      <c r="P75" s="200" t="s">
        <v>1115</v>
      </c>
      <c r="Q75" s="201">
        <v>5</v>
      </c>
      <c r="R75" s="200" t="s">
        <v>100</v>
      </c>
    </row>
    <row r="76" spans="1:18" ht="18" x14ac:dyDescent="0.25">
      <c r="A76" s="226"/>
      <c r="B76" s="236"/>
      <c r="C76" s="226"/>
      <c r="D76" s="202" t="s">
        <v>976</v>
      </c>
      <c r="E76" s="201">
        <v>55</v>
      </c>
      <c r="F76" s="200" t="s">
        <v>59</v>
      </c>
      <c r="M76" s="237" t="s">
        <v>1524</v>
      </c>
      <c r="N76" s="201">
        <v>55</v>
      </c>
      <c r="O76" s="207" t="s">
        <v>59</v>
      </c>
      <c r="P76" s="200" t="s">
        <v>1116</v>
      </c>
      <c r="Q76" s="201">
        <v>5</v>
      </c>
      <c r="R76" s="200" t="s">
        <v>100</v>
      </c>
    </row>
    <row r="77" spans="1:18" ht="18" x14ac:dyDescent="0.25">
      <c r="A77" s="226"/>
      <c r="B77" s="236"/>
      <c r="C77" s="226"/>
      <c r="D77" s="202" t="s">
        <v>977</v>
      </c>
      <c r="E77" s="203">
        <f>((s_EF_res_c*s_ED_res_c*s_IRPC_res_c)+(s_EF_res_a*s_ED_res_a*s_IRPC_res_a))</f>
        <v>60500</v>
      </c>
      <c r="F77" s="200" t="s">
        <v>225</v>
      </c>
      <c r="M77" s="237" t="s">
        <v>1525</v>
      </c>
      <c r="N77" s="219" cm="1">
        <f t="array" ref="N77">((s_EF_far_c*s_ED_far_c*s_IRPP_far_c)+(s_EF_far_a*s_ED_far_a*s_IRPP_far_a))</f>
        <v>60500</v>
      </c>
      <c r="O77" s="207" t="s">
        <v>225</v>
      </c>
      <c r="P77" s="200" t="s">
        <v>1117</v>
      </c>
      <c r="Q77" s="201">
        <v>5</v>
      </c>
      <c r="R77" s="200" t="s">
        <v>1515</v>
      </c>
    </row>
    <row r="78" spans="1:18" ht="18" x14ac:dyDescent="0.25">
      <c r="A78" s="226"/>
      <c r="B78" s="236"/>
      <c r="C78" s="226"/>
      <c r="D78" s="237" t="s">
        <v>1526</v>
      </c>
      <c r="E78" s="204">
        <v>55</v>
      </c>
      <c r="F78" s="207" t="s">
        <v>59</v>
      </c>
      <c r="M78" s="202" t="s">
        <v>827</v>
      </c>
      <c r="N78" s="201">
        <v>55</v>
      </c>
      <c r="O78" s="200" t="s">
        <v>59</v>
      </c>
      <c r="P78" s="200" t="s">
        <v>1118</v>
      </c>
      <c r="Q78" s="201">
        <v>5</v>
      </c>
      <c r="R78" s="200" t="s">
        <v>1515</v>
      </c>
    </row>
    <row r="79" spans="1:18" ht="18" x14ac:dyDescent="0.25">
      <c r="A79" s="226"/>
      <c r="B79" s="236"/>
      <c r="C79" s="226"/>
      <c r="D79" s="237" t="s">
        <v>1527</v>
      </c>
      <c r="E79" s="204">
        <v>55</v>
      </c>
      <c r="F79" s="207" t="s">
        <v>59</v>
      </c>
      <c r="M79" s="202" t="s">
        <v>828</v>
      </c>
      <c r="N79" s="201">
        <v>55</v>
      </c>
      <c r="O79" s="200" t="s">
        <v>59</v>
      </c>
      <c r="P79" s="200" t="s">
        <v>888</v>
      </c>
      <c r="Q79" s="201">
        <v>5</v>
      </c>
      <c r="R79" s="200" t="s">
        <v>58</v>
      </c>
    </row>
    <row r="80" spans="1:18" ht="18" x14ac:dyDescent="0.25">
      <c r="A80" s="225"/>
      <c r="B80" s="234"/>
      <c r="C80" s="226"/>
      <c r="D80" s="237" t="s">
        <v>1528</v>
      </c>
      <c r="E80" s="219">
        <f>((s_EF_res_c*s_ED_res_c*s_IRPP_res_c)+(s_EF_res_a*s_ED_res_a*s_IRPP_res_a))</f>
        <v>60500</v>
      </c>
      <c r="F80" s="207" t="s">
        <v>225</v>
      </c>
      <c r="M80" s="202" t="s">
        <v>829</v>
      </c>
      <c r="N80" s="203">
        <f>((s_EF_far_c*s_ED_far_c*s_IRPR_far_c)+(s_EF_far_a*s_ED_far_a*s_IRPR_far_a))</f>
        <v>60500</v>
      </c>
      <c r="O80" s="200" t="s">
        <v>225</v>
      </c>
      <c r="P80" s="200" t="s">
        <v>889</v>
      </c>
      <c r="Q80" s="201">
        <v>5</v>
      </c>
      <c r="R80" s="200" t="s">
        <v>100</v>
      </c>
    </row>
    <row r="81" spans="1:18" ht="18" x14ac:dyDescent="0.25">
      <c r="A81" s="225"/>
      <c r="B81" s="234"/>
      <c r="C81" s="226"/>
      <c r="D81" s="202" t="s">
        <v>978</v>
      </c>
      <c r="E81" s="201">
        <v>55</v>
      </c>
      <c r="F81" s="200" t="s">
        <v>59</v>
      </c>
      <c r="M81" s="202" t="s">
        <v>830</v>
      </c>
      <c r="N81" s="201">
        <v>55</v>
      </c>
      <c r="O81" s="200" t="s">
        <v>59</v>
      </c>
      <c r="P81" s="200" t="s">
        <v>890</v>
      </c>
      <c r="Q81" s="201">
        <v>5</v>
      </c>
      <c r="R81" s="200" t="s">
        <v>100</v>
      </c>
    </row>
    <row r="82" spans="1:18" ht="18" x14ac:dyDescent="0.25">
      <c r="A82" s="225"/>
      <c r="B82" s="234"/>
      <c r="C82" s="226"/>
      <c r="D82" s="202" t="s">
        <v>979</v>
      </c>
      <c r="E82" s="201">
        <v>55</v>
      </c>
      <c r="F82" s="200" t="s">
        <v>59</v>
      </c>
      <c r="M82" s="202" t="s">
        <v>831</v>
      </c>
      <c r="N82" s="201">
        <v>55</v>
      </c>
      <c r="O82" s="200" t="s">
        <v>59</v>
      </c>
      <c r="P82" s="200" t="s">
        <v>891</v>
      </c>
      <c r="Q82" s="201">
        <v>5</v>
      </c>
      <c r="R82" s="200" t="s">
        <v>1515</v>
      </c>
    </row>
    <row r="83" spans="1:18" ht="18" x14ac:dyDescent="0.25">
      <c r="A83" s="225"/>
      <c r="B83" s="234"/>
      <c r="C83" s="226"/>
      <c r="D83" s="202" t="s">
        <v>980</v>
      </c>
      <c r="E83" s="203">
        <f>((s_EF_res_c*s_ED_res_c*s_IRPR_res_c)+(s_EF_res_a*s_ED_res_a*s_IRPR_res_a))</f>
        <v>60500</v>
      </c>
      <c r="F83" s="200" t="s">
        <v>225</v>
      </c>
      <c r="M83" s="202" t="s">
        <v>832</v>
      </c>
      <c r="N83" s="203">
        <f>((s_EF_far_c*s_ED_far_c*s_IRPE_far_c)+(s_EF_far_a*s_ED_far_a*s_IRPE_far_a))</f>
        <v>60500</v>
      </c>
      <c r="O83" s="200" t="s">
        <v>225</v>
      </c>
      <c r="P83" s="200" t="s">
        <v>892</v>
      </c>
      <c r="Q83" s="201">
        <v>5</v>
      </c>
      <c r="R83" s="200" t="s">
        <v>1515</v>
      </c>
    </row>
    <row r="84" spans="1:18" ht="18" x14ac:dyDescent="0.25">
      <c r="A84" s="225"/>
      <c r="B84" s="234"/>
      <c r="C84" s="226"/>
      <c r="D84" s="202" t="s">
        <v>981</v>
      </c>
      <c r="E84" s="201">
        <v>55</v>
      </c>
      <c r="F84" s="200" t="s">
        <v>59</v>
      </c>
      <c r="M84" s="202" t="s">
        <v>833</v>
      </c>
      <c r="N84" s="201">
        <v>55</v>
      </c>
      <c r="O84" s="200" t="s">
        <v>59</v>
      </c>
      <c r="P84" s="200" t="s">
        <v>893</v>
      </c>
      <c r="Q84" s="201">
        <v>5</v>
      </c>
      <c r="R84" s="200" t="s">
        <v>58</v>
      </c>
    </row>
    <row r="85" spans="1:18" ht="18" x14ac:dyDescent="0.25">
      <c r="A85" s="225"/>
      <c r="B85" s="234"/>
      <c r="C85" s="226"/>
      <c r="D85" s="202" t="s">
        <v>982</v>
      </c>
      <c r="E85" s="201">
        <v>55</v>
      </c>
      <c r="F85" s="200" t="s">
        <v>59</v>
      </c>
      <c r="M85" s="202" t="s">
        <v>834</v>
      </c>
      <c r="N85" s="201">
        <v>55</v>
      </c>
      <c r="O85" s="200" t="s">
        <v>59</v>
      </c>
      <c r="P85" s="200" t="s">
        <v>894</v>
      </c>
      <c r="Q85" s="201">
        <v>5</v>
      </c>
      <c r="R85" s="200" t="s">
        <v>100</v>
      </c>
    </row>
    <row r="86" spans="1:18" ht="18" x14ac:dyDescent="0.25">
      <c r="A86" s="225"/>
      <c r="B86" s="234"/>
      <c r="C86" s="226"/>
      <c r="D86" s="202" t="s">
        <v>983</v>
      </c>
      <c r="E86" s="203">
        <f>((s_EF_res_c*s_ED_res_c*s_IRPE_res_c)+(s_EF_res_a*s_ED_res_a*s_IRPE_res_a))</f>
        <v>60500</v>
      </c>
      <c r="F86" s="200" t="s">
        <v>225</v>
      </c>
      <c r="M86" s="202" t="s">
        <v>835</v>
      </c>
      <c r="N86" s="203">
        <f>((s_EF_far_c*s_ED_far_c*s_IRPT_far_c)+(s_EF_far_a*s_ED_far_a*s_IRPT_far_a))</f>
        <v>60500</v>
      </c>
      <c r="O86" s="200" t="s">
        <v>225</v>
      </c>
      <c r="P86" s="200" t="s">
        <v>895</v>
      </c>
      <c r="Q86" s="201">
        <v>5</v>
      </c>
      <c r="R86" s="200" t="s">
        <v>100</v>
      </c>
    </row>
    <row r="87" spans="1:18" ht="18" x14ac:dyDescent="0.25">
      <c r="A87" s="225"/>
      <c r="B87" s="234"/>
      <c r="C87" s="226"/>
      <c r="D87" s="202" t="s">
        <v>984</v>
      </c>
      <c r="E87" s="201">
        <v>55</v>
      </c>
      <c r="F87" s="200" t="s">
        <v>59</v>
      </c>
      <c r="M87" s="202" t="s">
        <v>836</v>
      </c>
      <c r="N87" s="201">
        <v>55</v>
      </c>
      <c r="O87" s="200" t="s">
        <v>59</v>
      </c>
      <c r="P87" s="200" t="s">
        <v>896</v>
      </c>
      <c r="Q87" s="201">
        <v>5</v>
      </c>
      <c r="R87" s="200" t="s">
        <v>1515</v>
      </c>
    </row>
    <row r="88" spans="1:18" ht="18" x14ac:dyDescent="0.25">
      <c r="A88" s="225"/>
      <c r="B88" s="234"/>
      <c r="C88" s="226"/>
      <c r="D88" s="202" t="s">
        <v>985</v>
      </c>
      <c r="E88" s="201">
        <v>55</v>
      </c>
      <c r="F88" s="200" t="s">
        <v>59</v>
      </c>
      <c r="M88" s="202" t="s">
        <v>837</v>
      </c>
      <c r="N88" s="201">
        <v>55</v>
      </c>
      <c r="O88" s="200" t="s">
        <v>59</v>
      </c>
      <c r="P88" s="200" t="s">
        <v>897</v>
      </c>
      <c r="Q88" s="201">
        <v>5</v>
      </c>
      <c r="R88" s="200" t="s">
        <v>1515</v>
      </c>
    </row>
    <row r="89" spans="1:18" ht="18" x14ac:dyDescent="0.25">
      <c r="A89" s="225"/>
      <c r="B89" s="234"/>
      <c r="C89" s="226"/>
      <c r="D89" s="202" t="s">
        <v>986</v>
      </c>
      <c r="E89" s="203">
        <f>((s_EF_res_c*s_ED_res_c*s_IRPT_res_c)+(s_EF_res_a*s_ED_res_a*s_IRPT_res_a))</f>
        <v>60500</v>
      </c>
      <c r="F89" s="200" t="s">
        <v>225</v>
      </c>
      <c r="M89" s="202" t="s">
        <v>838</v>
      </c>
      <c r="N89" s="203">
        <f>((s_EF_far_c*s_ED_far_c*s_IRPU_far_c)+(s_EF_far_a*s_ED_far_a*s_IRPU_far_a))</f>
        <v>60500</v>
      </c>
      <c r="O89" s="200" t="s">
        <v>225</v>
      </c>
      <c r="P89" s="200" t="s">
        <v>898</v>
      </c>
      <c r="Q89" s="201">
        <v>5</v>
      </c>
      <c r="R89" s="200" t="s">
        <v>58</v>
      </c>
    </row>
    <row r="90" spans="1:18" ht="18" x14ac:dyDescent="0.25">
      <c r="A90" s="225"/>
      <c r="B90" s="234"/>
      <c r="C90" s="226"/>
      <c r="D90" s="202" t="s">
        <v>987</v>
      </c>
      <c r="E90" s="201">
        <v>55</v>
      </c>
      <c r="F90" s="200" t="s">
        <v>59</v>
      </c>
      <c r="M90" s="202" t="s">
        <v>839</v>
      </c>
      <c r="N90" s="201">
        <v>55</v>
      </c>
      <c r="O90" s="200" t="s">
        <v>59</v>
      </c>
      <c r="P90" s="200" t="s">
        <v>899</v>
      </c>
      <c r="Q90" s="201">
        <v>5</v>
      </c>
      <c r="R90" s="200" t="s">
        <v>100</v>
      </c>
    </row>
    <row r="91" spans="1:18" ht="18" x14ac:dyDescent="0.25">
      <c r="A91" s="225"/>
      <c r="B91" s="234"/>
      <c r="C91" s="226"/>
      <c r="D91" s="202" t="s">
        <v>988</v>
      </c>
      <c r="E91" s="201">
        <v>55</v>
      </c>
      <c r="F91" s="200" t="s">
        <v>59</v>
      </c>
      <c r="K91" s="238"/>
      <c r="M91" s="202" t="s">
        <v>840</v>
      </c>
      <c r="N91" s="201">
        <v>55</v>
      </c>
      <c r="O91" s="200" t="s">
        <v>59</v>
      </c>
      <c r="P91" s="200" t="s">
        <v>900</v>
      </c>
      <c r="Q91" s="201">
        <v>5</v>
      </c>
      <c r="R91" s="200" t="s">
        <v>100</v>
      </c>
    </row>
    <row r="92" spans="1:18" ht="18" x14ac:dyDescent="0.25">
      <c r="A92" s="225"/>
      <c r="B92" s="234"/>
      <c r="C92" s="226"/>
      <c r="D92" s="202" t="s">
        <v>989</v>
      </c>
      <c r="E92" s="203">
        <f>((s_EF_res_c*s_ED_res_c*s_IRPU_res_c)+(s_EF_res_a*s_ED_res_a*s_IRPU_res_a))</f>
        <v>60500</v>
      </c>
      <c r="F92" s="200" t="s">
        <v>225</v>
      </c>
      <c r="K92" s="238"/>
      <c r="M92" s="202" t="s">
        <v>841</v>
      </c>
      <c r="N92" s="203">
        <f>((s_EF_far_c*s_ED_far_c*s_IRRI_far_c)+(s_EF_far_a*s_ED_far_a*s_IRRI_far_a))</f>
        <v>60500</v>
      </c>
      <c r="O92" s="200" t="s">
        <v>225</v>
      </c>
      <c r="P92" s="200" t="s">
        <v>901</v>
      </c>
      <c r="Q92" s="201">
        <v>5</v>
      </c>
      <c r="R92" s="200" t="s">
        <v>1515</v>
      </c>
    </row>
    <row r="93" spans="1:18" ht="18" x14ac:dyDescent="0.25">
      <c r="A93" s="225"/>
      <c r="B93" s="234"/>
      <c r="C93" s="226"/>
      <c r="D93" s="202" t="s">
        <v>990</v>
      </c>
      <c r="E93" s="201">
        <v>55</v>
      </c>
      <c r="F93" s="200" t="s">
        <v>59</v>
      </c>
      <c r="K93" s="238"/>
      <c r="M93" s="202" t="s">
        <v>842</v>
      </c>
      <c r="N93" s="201">
        <v>55</v>
      </c>
      <c r="O93" s="200" t="s">
        <v>59</v>
      </c>
      <c r="P93" s="200" t="s">
        <v>902</v>
      </c>
      <c r="Q93" s="201">
        <v>5</v>
      </c>
      <c r="R93" s="200" t="s">
        <v>1515</v>
      </c>
    </row>
    <row r="94" spans="1:18" ht="18" x14ac:dyDescent="0.25">
      <c r="A94" s="225"/>
      <c r="B94" s="234"/>
      <c r="C94" s="226"/>
      <c r="D94" s="202" t="s">
        <v>991</v>
      </c>
      <c r="E94" s="201">
        <v>55</v>
      </c>
      <c r="F94" s="200" t="s">
        <v>59</v>
      </c>
      <c r="K94" s="238"/>
      <c r="M94" s="202" t="s">
        <v>843</v>
      </c>
      <c r="N94" s="201">
        <v>55</v>
      </c>
      <c r="O94" s="200" t="s">
        <v>59</v>
      </c>
    </row>
    <row r="95" spans="1:18" ht="18" x14ac:dyDescent="0.25">
      <c r="A95" s="225"/>
      <c r="B95" s="234"/>
      <c r="C95" s="226"/>
      <c r="D95" s="202" t="s">
        <v>992</v>
      </c>
      <c r="E95" s="203">
        <f>((s_EF_res_c*s_ED_res_c*s_IRRI_res_c)+(s_EF_res_a*s_ED_res_a*s_IRRI_res_a))</f>
        <v>60500</v>
      </c>
      <c r="F95" s="200" t="s">
        <v>225</v>
      </c>
      <c r="K95" s="238"/>
      <c r="M95" s="202" t="s">
        <v>844</v>
      </c>
      <c r="N95" s="203">
        <f>((s_EF_far_c*s_ED_far_c*s_IRSN_far_c)+(s_EF_far_a*s_ED_far_a*s_IRSN_far_a))</f>
        <v>60500</v>
      </c>
      <c r="O95" s="200" t="s">
        <v>225</v>
      </c>
    </row>
    <row r="96" spans="1:18" ht="18" x14ac:dyDescent="0.25">
      <c r="A96" s="225"/>
      <c r="B96" s="234"/>
      <c r="C96" s="226"/>
      <c r="D96" s="202" t="s">
        <v>993</v>
      </c>
      <c r="E96" s="201">
        <v>55</v>
      </c>
      <c r="F96" s="200" t="s">
        <v>59</v>
      </c>
      <c r="M96" s="202" t="s">
        <v>845</v>
      </c>
      <c r="N96" s="201">
        <v>55</v>
      </c>
      <c r="O96" s="200" t="s">
        <v>59</v>
      </c>
    </row>
    <row r="97" spans="1:15" ht="18" x14ac:dyDescent="0.25">
      <c r="A97" s="225"/>
      <c r="B97" s="204"/>
      <c r="C97" s="226"/>
      <c r="D97" s="202" t="s">
        <v>994</v>
      </c>
      <c r="E97" s="201">
        <v>55</v>
      </c>
      <c r="F97" s="200" t="s">
        <v>59</v>
      </c>
      <c r="K97" s="238"/>
      <c r="M97" s="202" t="s">
        <v>846</v>
      </c>
      <c r="N97" s="201">
        <v>55</v>
      </c>
      <c r="O97" s="200" t="s">
        <v>59</v>
      </c>
    </row>
    <row r="98" spans="1:15" ht="18" x14ac:dyDescent="0.25">
      <c r="A98" s="226"/>
      <c r="B98" s="235"/>
      <c r="C98" s="226"/>
      <c r="D98" s="202" t="s">
        <v>995</v>
      </c>
      <c r="E98" s="203">
        <f>((s_EF_res_c*s_ED_res_c*s_IRSN_res_c)+(s_EF_res_a*s_ED_res_a*s_IRSN_res_a))</f>
        <v>60500</v>
      </c>
      <c r="F98" s="200" t="s">
        <v>225</v>
      </c>
      <c r="K98" s="238"/>
      <c r="M98" s="202" t="s">
        <v>847</v>
      </c>
      <c r="N98" s="203">
        <f>((s_EF_far_c*s_ED_far_c*s_IRST_far_c)+(s_EF_far_a*s_ED_far_a*s_IRST_far_a))</f>
        <v>60500</v>
      </c>
      <c r="O98" s="200" t="s">
        <v>225</v>
      </c>
    </row>
    <row r="99" spans="1:15" ht="18" x14ac:dyDescent="0.25">
      <c r="A99" s="226"/>
      <c r="B99" s="235"/>
      <c r="D99" s="202" t="s">
        <v>996</v>
      </c>
      <c r="E99" s="201">
        <v>55</v>
      </c>
      <c r="F99" s="200" t="s">
        <v>59</v>
      </c>
      <c r="M99" s="202" t="s">
        <v>848</v>
      </c>
      <c r="N99" s="201">
        <v>55</v>
      </c>
      <c r="O99" s="200" t="s">
        <v>59</v>
      </c>
    </row>
    <row r="100" spans="1:15" ht="18" x14ac:dyDescent="0.25">
      <c r="A100" s="226"/>
      <c r="B100" s="235"/>
      <c r="D100" s="202" t="s">
        <v>997</v>
      </c>
      <c r="E100" s="201">
        <v>55</v>
      </c>
      <c r="F100" s="200" t="s">
        <v>59</v>
      </c>
      <c r="M100" s="202" t="s">
        <v>849</v>
      </c>
      <c r="N100" s="201">
        <v>55</v>
      </c>
      <c r="O100" s="200" t="s">
        <v>59</v>
      </c>
    </row>
    <row r="101" spans="1:15" ht="18" x14ac:dyDescent="0.25">
      <c r="D101" s="202" t="s">
        <v>998</v>
      </c>
      <c r="E101" s="203">
        <f>((s_EF_res_c*s_ED_res_c*s_IRST_res_c)+(s_EF_res_a*s_ED_res_a*s_IRST_res_a))</f>
        <v>60500</v>
      </c>
      <c r="F101" s="200" t="s">
        <v>225</v>
      </c>
      <c r="M101" s="202" t="s">
        <v>850</v>
      </c>
      <c r="N101" s="203">
        <f>((s_EF_far_c*s_ED_far_c*s_IRTO_far_c)+(s_EF_far_a*s_ED_far_a*s_IRTO_far_a))</f>
        <v>60500</v>
      </c>
      <c r="O101" s="200" t="s">
        <v>225</v>
      </c>
    </row>
    <row r="102" spans="1:15" ht="18" x14ac:dyDescent="0.25">
      <c r="D102" s="202" t="s">
        <v>999</v>
      </c>
      <c r="E102" s="201">
        <v>55</v>
      </c>
      <c r="F102" s="200" t="s">
        <v>59</v>
      </c>
      <c r="M102" s="200" t="s">
        <v>851</v>
      </c>
      <c r="N102" s="208">
        <v>1.35E-2</v>
      </c>
      <c r="O102" s="210" t="s">
        <v>1529</v>
      </c>
    </row>
    <row r="103" spans="1:15" ht="18" x14ac:dyDescent="0.25">
      <c r="D103" s="202" t="s">
        <v>1000</v>
      </c>
      <c r="E103" s="201">
        <v>55</v>
      </c>
      <c r="F103" s="200" t="s">
        <v>59</v>
      </c>
      <c r="M103" s="200" t="s">
        <v>852</v>
      </c>
      <c r="N103" s="208">
        <v>1.35E-2</v>
      </c>
      <c r="O103" s="210" t="s">
        <v>1529</v>
      </c>
    </row>
    <row r="104" spans="1:15" ht="18" x14ac:dyDescent="0.25">
      <c r="D104" s="202" t="s">
        <v>1001</v>
      </c>
      <c r="E104" s="203">
        <f>((s_EF_res_c*s_ED_res_c*s_IRTO_res_c)+(s_EF_res_a*s_ED_res_a*s_IRTO_res_a))</f>
        <v>60500</v>
      </c>
      <c r="F104" s="200" t="s">
        <v>225</v>
      </c>
      <c r="M104" s="200" t="s">
        <v>853</v>
      </c>
      <c r="N104" s="208">
        <v>1.35E-2</v>
      </c>
      <c r="O104" s="210" t="s">
        <v>1529</v>
      </c>
    </row>
    <row r="105" spans="1:15" ht="18" x14ac:dyDescent="0.25">
      <c r="M105" s="200" t="s">
        <v>854</v>
      </c>
      <c r="N105" s="208">
        <v>1.35E-2</v>
      </c>
      <c r="O105" s="210" t="s">
        <v>1529</v>
      </c>
    </row>
    <row r="106" spans="1:15" ht="18" x14ac:dyDescent="0.25">
      <c r="M106" s="200" t="s">
        <v>855</v>
      </c>
      <c r="N106" s="208">
        <v>1.35E-2</v>
      </c>
      <c r="O106" s="210" t="s">
        <v>1529</v>
      </c>
    </row>
    <row r="107" spans="1:15" ht="18" x14ac:dyDescent="0.25">
      <c r="M107" s="200" t="s">
        <v>856</v>
      </c>
      <c r="N107" s="208">
        <v>1.35E-2</v>
      </c>
      <c r="O107" s="210" t="s">
        <v>1529</v>
      </c>
    </row>
    <row r="108" spans="1:15" ht="18" x14ac:dyDescent="0.25">
      <c r="M108" s="200" t="s">
        <v>857</v>
      </c>
      <c r="N108" s="208">
        <v>1.35E-2</v>
      </c>
      <c r="O108" s="210" t="s">
        <v>1529</v>
      </c>
    </row>
    <row r="109" spans="1:15" ht="18" x14ac:dyDescent="0.25">
      <c r="M109" s="200" t="s">
        <v>858</v>
      </c>
      <c r="N109" s="208">
        <v>1.35E-2</v>
      </c>
      <c r="O109" s="210" t="s">
        <v>1529</v>
      </c>
    </row>
    <row r="110" spans="1:15" ht="18" x14ac:dyDescent="0.25">
      <c r="M110" s="200" t="s">
        <v>859</v>
      </c>
      <c r="N110" s="208">
        <v>1.35E-2</v>
      </c>
      <c r="O110" s="210" t="s">
        <v>1529</v>
      </c>
    </row>
    <row r="111" spans="1:15" ht="18" x14ac:dyDescent="0.25">
      <c r="M111" s="200" t="s">
        <v>860</v>
      </c>
      <c r="N111" s="208">
        <v>1.35E-2</v>
      </c>
      <c r="O111" s="210" t="s">
        <v>1529</v>
      </c>
    </row>
    <row r="112" spans="1:15" ht="18" x14ac:dyDescent="0.25">
      <c r="M112" s="200" t="s">
        <v>861</v>
      </c>
      <c r="N112" s="208">
        <v>1.35E-2</v>
      </c>
      <c r="O112" s="210" t="s">
        <v>1529</v>
      </c>
    </row>
    <row r="113" spans="13:15" ht="18" x14ac:dyDescent="0.25">
      <c r="M113" s="200" t="s">
        <v>862</v>
      </c>
      <c r="N113" s="208">
        <v>1.35E-2</v>
      </c>
      <c r="O113" s="210" t="s">
        <v>1529</v>
      </c>
    </row>
    <row r="114" spans="13:15" ht="18" x14ac:dyDescent="0.25">
      <c r="M114" s="200" t="s">
        <v>863</v>
      </c>
      <c r="N114" s="208">
        <v>1.35E-2</v>
      </c>
      <c r="O114" s="210" t="s">
        <v>1529</v>
      </c>
    </row>
    <row r="115" spans="13:15" ht="18" x14ac:dyDescent="0.25">
      <c r="M115" s="200" t="s">
        <v>864</v>
      </c>
      <c r="N115" s="208">
        <v>1.35E-2</v>
      </c>
      <c r="O115" s="210" t="s">
        <v>1529</v>
      </c>
    </row>
    <row r="116" spans="13:15" ht="18" x14ac:dyDescent="0.25">
      <c r="M116" s="200" t="s">
        <v>865</v>
      </c>
      <c r="N116" s="208">
        <v>1.35E-2</v>
      </c>
      <c r="O116" s="210" t="s">
        <v>1529</v>
      </c>
    </row>
    <row r="117" spans="13:15" ht="18" x14ac:dyDescent="0.25">
      <c r="M117" s="200" t="s">
        <v>866</v>
      </c>
      <c r="N117" s="208">
        <v>1.35E-2</v>
      </c>
      <c r="O117" s="210" t="s">
        <v>1529</v>
      </c>
    </row>
    <row r="118" spans="13:15" ht="18" x14ac:dyDescent="0.25">
      <c r="M118" s="200" t="s">
        <v>867</v>
      </c>
      <c r="N118" s="208">
        <v>1.35E-2</v>
      </c>
      <c r="O118" s="210" t="s">
        <v>1529</v>
      </c>
    </row>
    <row r="119" spans="13:15" ht="18" x14ac:dyDescent="0.25">
      <c r="M119" s="200" t="s">
        <v>1530</v>
      </c>
      <c r="N119" s="208">
        <v>1.35E-2</v>
      </c>
      <c r="O119" s="210" t="s">
        <v>1529</v>
      </c>
    </row>
    <row r="120" spans="13:15" ht="18" x14ac:dyDescent="0.25">
      <c r="M120" s="200" t="s">
        <v>868</v>
      </c>
      <c r="N120" s="208">
        <v>1.35E-2</v>
      </c>
      <c r="O120" s="210" t="s">
        <v>1529</v>
      </c>
    </row>
    <row r="121" spans="13:15" ht="18" x14ac:dyDescent="0.25">
      <c r="M121" s="200" t="s">
        <v>869</v>
      </c>
      <c r="N121" s="208">
        <v>1.35E-2</v>
      </c>
      <c r="O121" s="210" t="s">
        <v>1529</v>
      </c>
    </row>
    <row r="122" spans="13:15" ht="18" x14ac:dyDescent="0.25">
      <c r="M122" s="200" t="s">
        <v>870</v>
      </c>
      <c r="N122" s="208">
        <v>1.35E-2</v>
      </c>
      <c r="O122" s="210" t="s">
        <v>1529</v>
      </c>
    </row>
    <row r="123" spans="13:15" ht="18" x14ac:dyDescent="0.25">
      <c r="M123" s="200" t="s">
        <v>871</v>
      </c>
      <c r="N123" s="208">
        <v>1.35E-2</v>
      </c>
      <c r="O123" s="210" t="s">
        <v>1529</v>
      </c>
    </row>
    <row r="124" spans="13:15" ht="18" x14ac:dyDescent="0.25">
      <c r="M124" s="200" t="s">
        <v>872</v>
      </c>
      <c r="N124" s="208">
        <v>1.35E-2</v>
      </c>
      <c r="O124" s="210" t="s">
        <v>1529</v>
      </c>
    </row>
    <row r="125" spans="13:15" ht="18" x14ac:dyDescent="0.25">
      <c r="M125" s="200" t="s">
        <v>873</v>
      </c>
      <c r="N125" s="208">
        <v>1.35E-2</v>
      </c>
      <c r="O125" s="210" t="s">
        <v>1529</v>
      </c>
    </row>
    <row r="126" spans="13:15" ht="18" x14ac:dyDescent="0.25">
      <c r="M126" s="200" t="s">
        <v>874</v>
      </c>
      <c r="N126" s="208">
        <v>1.35E-2</v>
      </c>
      <c r="O126" s="210" t="s">
        <v>1529</v>
      </c>
    </row>
  </sheetData>
  <sheetProtection algorithmName="SHA-512" hashValue="LXOOG0FrQhlj/HZ4Uhb8iWwtO/jBPn4H6pq0Cw011lPvjz4hmb46qKif/hURrlpupielPWmyzLplMiqe6ucqzA==" saltValue="Uqvh06HAAFFKxWj4nKlBzw==" spinCount="100000" sheet="1" formatColumns="0" formatRows="0" autoFilter="0"/>
  <mergeCells count="6">
    <mergeCell ref="P1:R1"/>
    <mergeCell ref="A1:C1"/>
    <mergeCell ref="D1:F1"/>
    <mergeCell ref="G1:I1"/>
    <mergeCell ref="J1:L1"/>
    <mergeCell ref="M1:O1"/>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BY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5.42578125" style="1" bestFit="1" customWidth="1"/>
    <col min="4" max="4" width="15.5703125" style="1" bestFit="1" customWidth="1"/>
    <col min="5" max="5" width="14.28515625" style="1" bestFit="1" customWidth="1"/>
    <col min="6" max="6" width="15" style="1" bestFit="1" customWidth="1"/>
    <col min="7" max="7" width="14.42578125" style="1" bestFit="1" customWidth="1"/>
    <col min="8" max="8" width="14.7109375" style="1" bestFit="1" customWidth="1"/>
    <col min="9" max="9" width="14.140625" style="1" bestFit="1" customWidth="1"/>
    <col min="10" max="10" width="15.5703125" style="1" bestFit="1" customWidth="1"/>
    <col min="11" max="11" width="14.42578125" style="1" bestFit="1" customWidth="1"/>
    <col min="12" max="12" width="16.140625" style="1" bestFit="1" customWidth="1"/>
    <col min="13" max="13" width="13.28515625" style="1" bestFit="1" customWidth="1"/>
    <col min="14" max="15" width="14.42578125" style="1" bestFit="1" customWidth="1"/>
    <col min="16" max="16" width="15.5703125" style="1" bestFit="1" customWidth="1"/>
    <col min="17" max="17" width="15.7109375" style="1" bestFit="1" customWidth="1"/>
    <col min="18" max="18" width="14.42578125" style="1" bestFit="1" customWidth="1"/>
    <col min="19" max="19" width="13.5703125" style="1" bestFit="1" customWidth="1"/>
    <col min="20" max="20" width="14.7109375" style="1" bestFit="1" customWidth="1"/>
    <col min="21" max="21" width="15" style="1" bestFit="1" customWidth="1"/>
    <col min="22" max="22" width="15.42578125" style="1" bestFit="1" customWidth="1"/>
    <col min="23" max="23" width="14.7109375" style="1" bestFit="1" customWidth="1"/>
    <col min="24" max="24" width="15.42578125" style="1" bestFit="1" customWidth="1"/>
    <col min="25" max="26" width="13.85546875" style="1" bestFit="1" customWidth="1"/>
    <col min="27" max="27" width="15.85546875" style="1" bestFit="1" customWidth="1"/>
    <col min="28" max="28" width="15" style="1" bestFit="1" customWidth="1"/>
    <col min="29" max="29" width="15.28515625" style="1" bestFit="1" customWidth="1"/>
    <col min="30" max="30" width="14" style="1" bestFit="1" customWidth="1"/>
    <col min="31" max="31" width="14.7109375" style="1" bestFit="1" customWidth="1"/>
    <col min="32" max="32" width="14.140625" style="1" bestFit="1" customWidth="1"/>
    <col min="33" max="33" width="14.42578125" style="1" bestFit="1" customWidth="1"/>
    <col min="34" max="34" width="13.85546875" style="1" bestFit="1" customWidth="1"/>
    <col min="35" max="35" width="15.28515625" style="1" bestFit="1" customWidth="1"/>
    <col min="36" max="36" width="14.140625" style="1" bestFit="1" customWidth="1"/>
    <col min="37" max="37" width="15.85546875" style="1" bestFit="1" customWidth="1"/>
    <col min="38" max="38" width="13" style="1" bestFit="1" customWidth="1"/>
    <col min="39" max="40" width="14.140625" style="1" bestFit="1" customWidth="1"/>
    <col min="41" max="41" width="15.28515625" style="1" bestFit="1" customWidth="1"/>
    <col min="42" max="42" width="15.42578125" style="1" bestFit="1" customWidth="1"/>
    <col min="43" max="43" width="14.140625" style="1" bestFit="1" customWidth="1"/>
    <col min="44" max="44" width="13.28515625" style="1" bestFit="1" customWidth="1"/>
    <col min="45" max="45" width="14.42578125" style="1" bestFit="1" customWidth="1"/>
    <col min="46" max="46" width="14.7109375" style="1" bestFit="1" customWidth="1"/>
    <col min="47" max="47" width="15" style="1" bestFit="1" customWidth="1"/>
    <col min="48" max="48" width="14.42578125" style="1" bestFit="1" customWidth="1"/>
    <col min="49" max="49" width="15" style="1" bestFit="1" customWidth="1"/>
    <col min="50" max="51" width="13.42578125" style="1" bestFit="1" customWidth="1"/>
    <col min="52" max="52" width="15.5703125" style="1" bestFit="1" customWidth="1"/>
    <col min="53" max="54" width="15.7109375" style="1" bestFit="1" customWidth="1"/>
    <col min="55" max="55" width="14.7109375" style="1" bestFit="1" customWidth="1"/>
    <col min="56" max="56" width="15.42578125" style="1" bestFit="1" customWidth="1"/>
    <col min="57" max="57" width="14.5703125" style="1" bestFit="1" customWidth="1"/>
    <col min="58" max="58" width="14.85546875" style="1" bestFit="1" customWidth="1"/>
    <col min="59" max="59" width="14.28515625" style="1" bestFit="1" customWidth="1"/>
    <col min="60" max="60" width="15.7109375" style="1" bestFit="1" customWidth="1"/>
    <col min="61" max="61" width="14.5703125" style="1" bestFit="1" customWidth="1"/>
    <col min="62" max="62" width="16.42578125" style="1" bestFit="1" customWidth="1"/>
    <col min="63" max="63" width="13.7109375" style="1" bestFit="1" customWidth="1"/>
    <col min="64" max="65" width="14.5703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5.140625" style="1" bestFit="1" customWidth="1"/>
    <col min="71" max="71" width="15.42578125" style="1" bestFit="1" customWidth="1"/>
    <col min="72" max="72" width="15.85546875" style="1" bestFit="1" customWidth="1"/>
    <col min="73" max="73" width="14.85546875" style="1" bestFit="1" customWidth="1"/>
    <col min="74" max="74" width="15.5703125" style="1" bestFit="1" customWidth="1"/>
    <col min="75" max="75" width="14.140625" style="1" bestFit="1" customWidth="1"/>
    <col min="76" max="76" width="14" style="1" bestFit="1" customWidth="1"/>
    <col min="77" max="77" width="16.140625" style="1" bestFit="1" customWidth="1"/>
  </cols>
  <sheetData>
    <row r="1" spans="1:77" x14ac:dyDescent="0.25">
      <c r="A1" s="78" t="s">
        <v>51</v>
      </c>
      <c r="B1" s="79" t="s">
        <v>348</v>
      </c>
      <c r="C1" s="113" t="s">
        <v>664</v>
      </c>
      <c r="D1" s="113" t="s">
        <v>665</v>
      </c>
      <c r="E1" s="113" t="s">
        <v>666</v>
      </c>
      <c r="F1" s="113" t="s">
        <v>667</v>
      </c>
      <c r="G1" s="113" t="s">
        <v>668</v>
      </c>
      <c r="H1" s="113" t="s">
        <v>669</v>
      </c>
      <c r="I1" s="113" t="s">
        <v>670</v>
      </c>
      <c r="J1" s="113" t="s">
        <v>671</v>
      </c>
      <c r="K1" s="113" t="s">
        <v>672</v>
      </c>
      <c r="L1" s="113" t="s">
        <v>673</v>
      </c>
      <c r="M1" s="113" t="s">
        <v>674</v>
      </c>
      <c r="N1" s="113" t="s">
        <v>675</v>
      </c>
      <c r="O1" s="113" t="s">
        <v>676</v>
      </c>
      <c r="P1" s="113" t="s">
        <v>677</v>
      </c>
      <c r="Q1" s="113" t="s">
        <v>678</v>
      </c>
      <c r="R1" s="113" t="s">
        <v>679</v>
      </c>
      <c r="S1" s="113" t="s">
        <v>680</v>
      </c>
      <c r="T1" s="113" t="s">
        <v>1504</v>
      </c>
      <c r="U1" s="113" t="s">
        <v>681</v>
      </c>
      <c r="V1" s="113" t="s">
        <v>682</v>
      </c>
      <c r="W1" s="113" t="s">
        <v>683</v>
      </c>
      <c r="X1" s="113" t="s">
        <v>684</v>
      </c>
      <c r="Y1" s="113" t="s">
        <v>685</v>
      </c>
      <c r="Z1" s="113" t="s">
        <v>686</v>
      </c>
      <c r="AA1" s="113" t="s">
        <v>734</v>
      </c>
      <c r="AB1" s="113" t="s">
        <v>687</v>
      </c>
      <c r="AC1" s="113" t="s">
        <v>688</v>
      </c>
      <c r="AD1" s="113" t="s">
        <v>689</v>
      </c>
      <c r="AE1" s="113" t="s">
        <v>690</v>
      </c>
      <c r="AF1" s="113" t="s">
        <v>691</v>
      </c>
      <c r="AG1" s="113" t="s">
        <v>692</v>
      </c>
      <c r="AH1" s="113" t="s">
        <v>693</v>
      </c>
      <c r="AI1" s="113" t="s">
        <v>694</v>
      </c>
      <c r="AJ1" s="113" t="s">
        <v>695</v>
      </c>
      <c r="AK1" s="113" t="s">
        <v>696</v>
      </c>
      <c r="AL1" s="113" t="s">
        <v>697</v>
      </c>
      <c r="AM1" s="113" t="s">
        <v>698</v>
      </c>
      <c r="AN1" s="113" t="s">
        <v>699</v>
      </c>
      <c r="AO1" s="113" t="s">
        <v>700</v>
      </c>
      <c r="AP1" s="113" t="s">
        <v>701</v>
      </c>
      <c r="AQ1" s="113" t="s">
        <v>702</v>
      </c>
      <c r="AR1" s="113" t="s">
        <v>703</v>
      </c>
      <c r="AS1" s="113" t="s">
        <v>1506</v>
      </c>
      <c r="AT1" s="113" t="s">
        <v>704</v>
      </c>
      <c r="AU1" s="113" t="s">
        <v>705</v>
      </c>
      <c r="AV1" s="113" t="s">
        <v>706</v>
      </c>
      <c r="AW1" s="113" t="s">
        <v>707</v>
      </c>
      <c r="AX1" s="113" t="s">
        <v>708</v>
      </c>
      <c r="AY1" s="113" t="s">
        <v>709</v>
      </c>
      <c r="AZ1" s="113" t="s">
        <v>735</v>
      </c>
      <c r="BA1" s="113" t="s">
        <v>710</v>
      </c>
      <c r="BB1" s="113" t="s">
        <v>711</v>
      </c>
      <c r="BC1" s="113" t="s">
        <v>712</v>
      </c>
      <c r="BD1" s="113" t="s">
        <v>713</v>
      </c>
      <c r="BE1" s="113" t="s">
        <v>714</v>
      </c>
      <c r="BF1" s="113" t="s">
        <v>715</v>
      </c>
      <c r="BG1" s="113" t="s">
        <v>716</v>
      </c>
      <c r="BH1" s="113" t="s">
        <v>717</v>
      </c>
      <c r="BI1" s="113" t="s">
        <v>718</v>
      </c>
      <c r="BJ1" s="113" t="s">
        <v>719</v>
      </c>
      <c r="BK1" s="113" t="s">
        <v>720</v>
      </c>
      <c r="BL1" s="113" t="s">
        <v>721</v>
      </c>
      <c r="BM1" s="113" t="s">
        <v>722</v>
      </c>
      <c r="BN1" s="113" t="s">
        <v>723</v>
      </c>
      <c r="BO1" s="113" t="s">
        <v>724</v>
      </c>
      <c r="BP1" s="113" t="s">
        <v>725</v>
      </c>
      <c r="BQ1" s="113" t="s">
        <v>726</v>
      </c>
      <c r="BR1" s="113" t="s">
        <v>1507</v>
      </c>
      <c r="BS1" s="113" t="s">
        <v>727</v>
      </c>
      <c r="BT1" s="113" t="s">
        <v>728</v>
      </c>
      <c r="BU1" s="113" t="s">
        <v>729</v>
      </c>
      <c r="BV1" s="113" t="s">
        <v>730</v>
      </c>
      <c r="BW1" s="113" t="s">
        <v>731</v>
      </c>
      <c r="BX1" s="113" t="s">
        <v>732</v>
      </c>
      <c r="BY1" s="113" t="s">
        <v>736</v>
      </c>
    </row>
    <row r="2" spans="1:77" x14ac:dyDescent="0.25">
      <c r="A2" s="44" t="s">
        <v>12</v>
      </c>
      <c r="B2" s="42" t="s">
        <v>1071</v>
      </c>
      <c r="C2" s="115">
        <f>IFERROR(IF(d_Bv!C2=0,0,((s_Ir*s_F*d_Bv!C2*(1-EXP(-s_RadSpec!$AZ2*s_t_b)))/(s_P*s_RadSpec!$AZ2))),0)</f>
        <v>0.19870072460746407</v>
      </c>
      <c r="D2" s="115">
        <f>IFERROR(IF(d_Bv!D2=0,0,((s_Ir*s_F*d_Bv!D2*(1-EXP(-s_RadSpec!AZ2*s_t_b)))/(s_P*s_RadSpec!AZ2))),0)</f>
        <v>0.19870072460746407</v>
      </c>
      <c r="E2" s="115">
        <f>IFERROR(IF(d_Bv!E2=0,0,((s_Ir*s_F*d_Bv!E2*(1-EXP(-s_RadSpec!AZ2*s_t_b)))/(s_P*s_RadSpec!AZ2))),0)</f>
        <v>0.19870072460746407</v>
      </c>
      <c r="F2" s="115">
        <f>IFERROR(IF(d_Bv!F2=0,0,((s_Ir*s_F*d_Bv!F2*(1-EXP(-s_RadSpec!AZ2*s_t_b)))/(s_P*s_RadSpec!AZ2))),0)</f>
        <v>0.19870072460746407</v>
      </c>
      <c r="G2" s="115">
        <f>IFERROR(IF(d_Bv!G2=0,0,((s_Ir*s_F*d_Bv!G2*(1-EXP(-s_RadSpec!AZ2*s_t_b)))/(s_P*s_RadSpec!AZ2))),0)</f>
        <v>0.19870072460746407</v>
      </c>
      <c r="H2" s="115">
        <f>IFERROR(IF(d_Bv!H2=0,0,((s_Ir*s_F*d_Bv!H2*(1-EXP(-s_RadSpec!AZ2*s_t_b)))/(s_P*s_RadSpec!AZ2))),0)</f>
        <v>0.19870072460746407</v>
      </c>
      <c r="I2" s="115">
        <f>IFERROR(IF(d_Bv!I2=0,0,((s_Ir*s_F*d_Bv!I2*(1-EXP(-s_RadSpec!AZ2*s_t_b)))/(s_P*s_RadSpec!AZ2))),0)</f>
        <v>0.19870072460746407</v>
      </c>
      <c r="J2" s="115">
        <f>IFERROR(IF(d_Bv!J2=0,0,((s_Ir*s_F*d_Bv!J2*(1-EXP(-s_RadSpec!AZ2*s_t_b)))/(s_P*s_RadSpec!AZ2))),0)</f>
        <v>0.19870072460746407</v>
      </c>
      <c r="K2" s="115">
        <f>IFERROR(IF(d_Bv!K2=0,0,((s_Ir*s_F*d_Bv!K2*(1-EXP(-s_RadSpec!AZ2*s_t_b)))/(s_P*s_RadSpec!AZ2))),0)</f>
        <v>0.19870072460746407</v>
      </c>
      <c r="L2" s="115">
        <f>IFERROR(IF(d_Bv!L2=0,0,((s_Ir*s_F*d_Bv!L2*(1-EXP(-s_RadSpec!AZ2*s_t_b)))/(s_P*s_RadSpec!AZ2))),0)</f>
        <v>0.19870072460746407</v>
      </c>
      <c r="M2" s="115">
        <f>IFERROR(IF(d_Bv!M2=0,0,((s_Ir*s_F*d_Bv!M2*(1-EXP(-s_RadSpec!AZ2*s_t_b)))/(s_P*s_RadSpec!AZ2))),0)</f>
        <v>0.19870072460746407</v>
      </c>
      <c r="N2" s="115">
        <f>IFERROR(IF(d_Bv!N2=0,0,((s_Ir*s_F*d_Bv!N2*(1-EXP(-s_RadSpec!AZ2*s_t_b)))/(s_P*s_RadSpec!AZ2))),0)</f>
        <v>0.19870072460746407</v>
      </c>
      <c r="O2" s="115">
        <f>IFERROR(IF(d_Bv!O2=0,0,((s_Ir*s_F*d_Bv!O2*(1-EXP(-s_RadSpec!AZ2*s_t_b)))/(s_P*s_RadSpec!AZ2))),0)</f>
        <v>0.19870072460746407</v>
      </c>
      <c r="P2" s="115">
        <f>IFERROR(IF(d_Bv!P2=0,0,((s_Ir*s_F*d_Bv!P2*(1-EXP(-s_RadSpec!AZ2*s_t_b)))/(s_P*s_RadSpec!AZ2))),0)</f>
        <v>0.19870072460746407</v>
      </c>
      <c r="Q2" s="115">
        <f>IFERROR(IF(d_Bv!Q2=0,0,((s_Ir*s_F*d_Bv!Q2*(1-EXP(-s_RadSpec!AZ2*s_t_b)))/(s_P*s_RadSpec!AZ2))),0)</f>
        <v>0.19870072460746407</v>
      </c>
      <c r="R2" s="115">
        <f>IFERROR(IF(d_Bv!R2=0,0,((s_Ir*s_F*d_Bv!R2*(1-EXP(-s_RadSpec!AZ2*s_t_b)))/(s_P*s_RadSpec!AZ2))),0)</f>
        <v>0.19870072460746407</v>
      </c>
      <c r="S2" s="115">
        <f>IFERROR(IF(d_Bv!S2=0,0,((s_Ir*s_F*d_Bv!S2*(1-EXP(-s_RadSpec!AZ2*s_t_b)))/(s_P*s_RadSpec!AZ2))),0)</f>
        <v>0.19870072460746407</v>
      </c>
      <c r="T2" s="115">
        <f>IFERROR(IF(d_Bv!T2=0,0,((s_Ir*s_F*d_Bv!T2*(1-EXP(-s_RadSpec!AZ2*s_t_b)))/(s_P*s_RadSpec!AZ2))),0)</f>
        <v>0.19870072460746407</v>
      </c>
      <c r="U2" s="115">
        <f>IFERROR(IF(d_Bv!U2=0,0,((s_Ir*s_F*d_Bv!U2*(1-EXP(-s_RadSpec!AZ2*s_t_b)))/(s_P*s_RadSpec!AZ2))),0)</f>
        <v>0.19870072460746407</v>
      </c>
      <c r="V2" s="115">
        <f>IFERROR(IF(d_Bv!V2=0,0,((s_Ir*s_F*d_Bv!V2*(1-EXP(-s_RadSpec!AZ2*s_t_b)))/(s_P*s_RadSpec!AZ2))),0)</f>
        <v>0.19870072460746407</v>
      </c>
      <c r="W2" s="115">
        <f>IFERROR(IF(d_Bv!W2=0,0,((s_Ir*s_F*d_Bv!W2*(1-EXP(-s_RadSpec!AZ2*s_t_b)))/(s_P*s_RadSpec!AZ2))),0)</f>
        <v>0.19870072460746407</v>
      </c>
      <c r="X2" s="115">
        <f>IFERROR(IF(d_Bv!X2=0,0,((s_Ir*s_F*d_Bv!X2*(1-EXP(-s_RadSpec!AZ2*s_t_b)))/(s_P*s_RadSpec!AZ2))),0)</f>
        <v>0.19870072460746407</v>
      </c>
      <c r="Y2" s="115">
        <f>IFERROR(IF(d_Bv!Y2=0,0,((s_Ir*s_F*d_Bv!Y2*(1-EXP(-s_RadSpec!AZ2*s_t_b)))/(s_P*s_RadSpec!AZ2))),0)</f>
        <v>0.19870072460746407</v>
      </c>
      <c r="Z2" s="115">
        <f>IFERROR(IF(d_Bv!Z2=0,0,((s_Ir*s_F*d_Bv!Z2*(1-EXP(-s_RadSpec!AZ2*s_t_b)))/(s_P*s_RadSpec!AZ2))),0)</f>
        <v>0.19870072460746407</v>
      </c>
      <c r="AA2" s="115">
        <f>IFERROR(IF(d_Bv!AA2=0,0,((s_Ir*s_F*d_Bv!AA2*(1-EXP(-s_RadSpec!AZ2*s_t_b)))/(s_P*s_RadSpec!AZ2))),0)</f>
        <v>0.19870072460746407</v>
      </c>
      <c r="AB2" s="115">
        <f>IFERROR(IF(d_Bv!C2=0,0,((s_Ir*s_F*s_MLF_apple*(1-EXP(-s_RadSpec!AZ2*s_t_b)))/(s_P*s_RadSpec!AZ2))),0)</f>
        <v>2.6824597822007652</v>
      </c>
      <c r="AC2" s="115">
        <f>IFERROR(IF(d_Bv!D2=0,0,((s_Ir*s_F*s_MLF_asparagus*(1-EXP(-s_RadSpec!AZ2*s_t_b)))/(s_P*s_RadSpec!AZ2))),0)</f>
        <v>2.6824597822007652</v>
      </c>
      <c r="AD2" s="115">
        <f>IFERROR(IF(d_Bv!E2=0,0,((s_Ir*s_F*s_MLF_beet*(1-EXP(-s_RadSpec!AZ2*s_t_b)))/(s_P*s_RadSpec!AZ2))),0)</f>
        <v>2.6824597822007652</v>
      </c>
      <c r="AE2" s="115">
        <f>IFERROR(IF(d_Bv!F2=0,0,((s_Ir*s_F*s_MLF_berries*(1-EXP(-s_RadSpec!AZ2*s_t_b)))/(s_P*s_RadSpec!AZ2))),0)</f>
        <v>2.6824597822007652</v>
      </c>
      <c r="AF2" s="115">
        <f>IFERROR(IF(d_Bv!G2=0,0,((s_Ir*s_F*s_MLF_broccoli*(1-EXP(-s_RadSpec!AZ2*s_t_b)))/(s_P*s_RadSpec!AZ2))),0)</f>
        <v>2.6824597822007652</v>
      </c>
      <c r="AG2" s="115">
        <f>IFERROR(IF(d_Bv!H2=0,0,((s_Ir*s_F*s_MLF_cabbage*(1-EXP(-s_RadSpec!AZ2*s_t_b)))/(s_P*s_RadSpec!AZ2))),0)</f>
        <v>2.6824597822007652</v>
      </c>
      <c r="AH2" s="115">
        <f>IFERROR(IF(d_Bv!I2=0,0,((s_Ir*s_F*s_MLF_carrot*(1-EXP(-s_RadSpec!AZ2*s_t_b)))/(s_P*s_RadSpec!AZ2))),0)</f>
        <v>2.6824597822007652</v>
      </c>
      <c r="AI2" s="115">
        <f>IFERROR(IF(d_Bv!J2=0,0,((s_Ir*s_F*s_MLF_citrus*(1-EXP(-s_RadSpec!AZ2*s_t_b)))/(s_P*s_RadSpec!AZ2))),0)</f>
        <v>2.6824597822007652</v>
      </c>
      <c r="AJ2" s="115">
        <f>IFERROR(IF(d_Bv!K2=0,0,((s_Ir*s_F*s_MLF_corn*(1-EXP(-s_RadSpec!AZ2*s_t_b)))/(s_P*s_RadSpec!AZ2))),0)</f>
        <v>2.6824597822007652</v>
      </c>
      <c r="AK2" s="115">
        <f>IFERROR(IF(d_Bv!L2=0,0,((s_Ir*s_F*s_MLF_cucumber*(1-EXP(-s_RadSpec!AZ2*s_t_b)))/(s_P*s_RadSpec!AZ2))),0)</f>
        <v>2.6824597822007652</v>
      </c>
      <c r="AL2" s="115">
        <f>IFERROR(IF(d_Bv!M2=0,0,((s_Ir*s_F*s_MLF_lettuce*(1-EXP(-s_RadSpec!AZ2*s_t_b)))/(s_P*s_RadSpec!AZ2))),0)</f>
        <v>2.6824597822007652</v>
      </c>
      <c r="AM2" s="115">
        <f>IFERROR(IF(d_Bv!N2=0,0,((s_Ir*s_F*s_MLF_lima_bean*(1-EXP(-s_RadSpec!AZ2*s_t_b)))/(s_P*s_RadSpec!AZ2))),0)</f>
        <v>2.6824597822007652</v>
      </c>
      <c r="AN2" s="115">
        <f>IFERROR(IF(d_Bv!O2=0,0,((s_Ir*s_F*s_MLF_okra*(1-EXP(-s_RadSpec!AZ2*s_t_b)))/(s_P*s_RadSpec!AZ2))),0)</f>
        <v>2.6824597822007652</v>
      </c>
      <c r="AO2" s="115">
        <f>IFERROR(IF(d_Bv!P2=0,0,((s_Ir*s_F*s_MLF_onion*(1-EXP(-s_RadSpec!AZ2*s_t_b)))/(s_P*s_RadSpec!AZ2))),0)</f>
        <v>2.6824597822007652</v>
      </c>
      <c r="AP2" s="115">
        <f>IFERROR(IF(d_Bv!Q2=0,0,((s_Ir*s_F*s_MLF_peach*(1-EXP(-s_RadSpec!AZ2*s_t_b)))/(s_P*s_RadSpec!AZ2))),0)</f>
        <v>2.6824597822007652</v>
      </c>
      <c r="AQ2" s="115">
        <f>IFERROR(IF(d_Bv!R2=0,0,((s_Ir*s_F*s_MLF_pear*(1-EXP(-s_RadSpec!AZ2*s_t_b)))/(s_P*s_RadSpec!AZ2))),0)</f>
        <v>2.6824597822007652</v>
      </c>
      <c r="AR2" s="115">
        <f>IFERROR(IF(d_Bv!S2=0,0,((s_Ir*s_F*s_MLF_peas*(1-EXP(-s_RadSpec!AZ2*s_t_b)))/(s_P*s_RadSpec!AZ2))),0)</f>
        <v>2.6824597822007652</v>
      </c>
      <c r="AS2" s="115">
        <f>IFERROR(IF(d_Bv!T2=0,0,((s_Ir*s_F*s_MLF_peppers*(1-EXP(-s_RadSpec!AZ2*s_t_b)))/(s_P*s_RadSpec!AZ2))),0)</f>
        <v>2.6824597822007652</v>
      </c>
      <c r="AT2" s="115">
        <f>IFERROR(IF(d_Bv!U2=0,0,((s_Ir*s_F*s_MLF_potato*(1-EXP(-s_RadSpec!AZ2*s_t_b)))/(s_P*s_RadSpec!AZ2))),0)</f>
        <v>2.6824597822007652</v>
      </c>
      <c r="AU2" s="115">
        <f>IFERROR(IF(d_Bv!V2=0,0,((s_Ir*s_F*s_MLF_pumpkin*(1-EXP(-s_RadSpec!AZ2*s_t_b)))/(s_P*s_RadSpec!AZ2))),0)</f>
        <v>2.6824597822007652</v>
      </c>
      <c r="AV2" s="115">
        <f>IFERROR(IF(d_Bv!W2=0,0,((s_Ir*s_F*s_MLF_snap_bean*(1-EXP(-s_RadSpec!AZ2*s_t_b)))/(s_P*s_RadSpec!AZ2))),0)</f>
        <v>2.6824597822007652</v>
      </c>
      <c r="AW2" s="115">
        <f>IFERROR(IF(d_Bv!X2=0,0,((s_Ir*s_F*s_MLF_strawberry*(1-EXP(-s_RadSpec!AZ2*s_t_b)))/(s_P*s_RadSpec!AZ2))),0)</f>
        <v>2.6824597822007652</v>
      </c>
      <c r="AX2" s="115">
        <f>IFERROR(IF(d_Bv!Y2=0,0,((s_Ir*s_F*s_MLF_tomato*(1-EXP(-s_RadSpec!AZ2*s_t_b)))/(s_P*s_RadSpec!AZ2))),0)</f>
        <v>2.6824597822007652</v>
      </c>
      <c r="AY2" s="115">
        <f>IFERROR(IF(d_Bv!Z2=0,0,((s_Ir*s_F*s_MLF_rice*(1-EXP(-s_RadSpec!AZ2*s_t_b)))/(s_P*s_RadSpec!AZ2))),0)</f>
        <v>2.6824597822007652</v>
      </c>
      <c r="AZ2" s="115">
        <f>IFERROR(IF(d_Bv!AA2=0,0,((s_Ir*s_F*s_MLF_cereal*(1-EXP(-s_RadSpec!AZ2*s_t_b)))/(s_P*s_RadSpec!AZ2))),0)</f>
        <v>2.6824597822007652</v>
      </c>
      <c r="BA2" s="115">
        <f>IFERROR(IF(d_Bv!C2=0,0,((s_Ir*s_F*s_I_f*s_T*(1-EXP(-s_RadSpec!BA2*s_t_v)))/(s_Y_v*s_RadSpec!BA2))),0)</f>
        <v>9.0143481925428208</v>
      </c>
      <c r="BB2" s="115">
        <f>IFERROR(IF(d_Bv!D2=0,0,((s_Ir*s_F*s_I_f*s_T*(1-EXP(-s_RadSpec!BA2*s_t_v)))/(s_Y_v*s_RadSpec!BA2))),0)</f>
        <v>9.0143481925428208</v>
      </c>
      <c r="BC2" s="115">
        <f>IFERROR(IF(d_Bv!E2=0,0,((s_Ir*s_F*s_I_f*s_T*(1-EXP(-s_RadSpec!BA2*s_t_v)))/(s_Y_v*s_RadSpec!BA2))),0)</f>
        <v>9.0143481925428208</v>
      </c>
      <c r="BD2" s="115">
        <f>IFERROR(IF(d_Bv!F2=0,0,((s_Ir*s_F*s_I_f*s_T*(1-EXP(-s_RadSpec!BA2*s_t_v)))/(s_Y_v*s_RadSpec!BA2))),0)</f>
        <v>9.0143481925428208</v>
      </c>
      <c r="BE2" s="115">
        <f>IFERROR(IF(d_Bv!G2=0,0,((s_Ir*s_F*s_I_f*s_T*(1-EXP(-s_RadSpec!BA2*s_t_v)))/(s_Y_v*s_RadSpec!BA2))),0)</f>
        <v>9.0143481925428208</v>
      </c>
      <c r="BF2" s="115">
        <f>IFERROR(IF(d_Bv!H2=0,0,((s_Ir*s_F*s_I_f*s_T*(1-EXP(-s_RadSpec!BA2*s_t_v)))/(s_Y_v*s_RadSpec!BA2))),0)</f>
        <v>9.0143481925428208</v>
      </c>
      <c r="BG2" s="115">
        <f>IFERROR(IF(d_Bv!I2=0,0,((s_Ir*s_F*s_I_f*s_T*(1-EXP(-s_RadSpec!BA2*s_t_v)))/(s_Y_v*s_RadSpec!BA2))),0)</f>
        <v>9.0143481925428208</v>
      </c>
      <c r="BH2" s="115">
        <f>IFERROR(IF(d_Bv!J2=0,0,((s_Ir*s_F*s_I_f*s_T*(1-EXP(-s_RadSpec!BA2*s_t_v)))/(s_Y_v*s_RadSpec!BA2))),0)</f>
        <v>9.0143481925428208</v>
      </c>
      <c r="BI2" s="115">
        <f>IFERROR(IF(d_Bv!K2=0,0,((s_Ir*s_F*s_I_f*s_T*(1-EXP(-s_RadSpec!BA2*s_t_v)))/(s_Y_v*s_RadSpec!BA2))),0)</f>
        <v>9.0143481925428208</v>
      </c>
      <c r="BJ2" s="115">
        <f>IFERROR(IF(d_Bv!L2=0,0,((s_Ir*s_F*s_I_f*s_T*(1-EXP(-s_RadSpec!BA2*s_t_v)))/(s_Y_v*s_RadSpec!BA2))),0)</f>
        <v>9.0143481925428208</v>
      </c>
      <c r="BK2" s="115">
        <f>IFERROR(IF(d_Bv!M2=0,0,((s_Ir*s_F*s_I_f*s_T*(1-EXP(-s_RadSpec!BA2*s_t_v)))/(s_Y_v*s_RadSpec!BA2))),0)</f>
        <v>9.0143481925428208</v>
      </c>
      <c r="BL2" s="115">
        <f>IFERROR(IF(d_Bv!N2=0,0,((s_Ir*s_F*s_I_f*s_T*(1-EXP(-s_RadSpec!BA2*s_t_v)))/(s_Y_v*s_RadSpec!BA2))),0)</f>
        <v>9.0143481925428208</v>
      </c>
      <c r="BM2" s="115">
        <f>IFERROR(IF(d_Bv!O2=0,0,((s_Ir*s_F*s_I_f*s_T*(1-EXP(-s_RadSpec!BA2*s_t_v)))/(s_Y_v*s_RadSpec!BA2))),0)</f>
        <v>9.0143481925428208</v>
      </c>
      <c r="BN2" s="115">
        <f>IFERROR(IF(d_Bv!P2=0,0,((s_Ir*s_F*s_I_f*s_T*(1-EXP(-s_RadSpec!BA2*s_t_v)))/(s_Y_v*s_RadSpec!BA2))),0)</f>
        <v>9.0143481925428208</v>
      </c>
      <c r="BO2" s="115">
        <f>IFERROR(IF(d_Bv!Q2=0,0,((s_Ir*s_F*s_I_f*s_T*(1-EXP(-s_RadSpec!BA2*s_t_v)))/(s_Y_v*s_RadSpec!BA2))),0)</f>
        <v>9.0143481925428208</v>
      </c>
      <c r="BP2" s="115">
        <f>IFERROR(IF(d_Bv!R2=0,0,((s_Ir*s_F*s_I_f*s_T*(1-EXP(-s_RadSpec!BA2*s_t_v)))/(s_Y_v*s_RadSpec!BA2))),0)</f>
        <v>9.0143481925428208</v>
      </c>
      <c r="BQ2" s="115">
        <f>IFERROR(IF(d_Bv!S2=0,0,((s_Ir*s_F*s_I_f*s_T*(1-EXP(-s_RadSpec!BA2*s_t_v)))/(s_Y_v*s_RadSpec!BA2))),0)</f>
        <v>9.0143481925428208</v>
      </c>
      <c r="BR2" s="115">
        <f>IFERROR(IF(d_Bv!T2=0,0,((s_Ir*s_F*s_I_f*s_T*(1-EXP(-s_RadSpec!BA2*s_t_v)))/(s_Y_v*s_RadSpec!BA2))),0)</f>
        <v>9.0143481925428208</v>
      </c>
      <c r="BS2" s="115">
        <f>IFERROR(IF(d_Bv!U2=0,0,((s_Ir*s_F*s_I_f*s_T*(1-EXP(-s_RadSpec!BA2*s_t_v)))/(s_Y_v*s_RadSpec!BA2))),0)</f>
        <v>9.0143481925428208</v>
      </c>
      <c r="BT2" s="115">
        <f>IFERROR(IF(d_Bv!V2=0,0,((s_Ir*s_F*s_I_f*s_T*(1-EXP(-s_RadSpec!BA2*s_t_v)))/(s_Y_v*s_RadSpec!BA2))),0)</f>
        <v>9.0143481925428208</v>
      </c>
      <c r="BU2" s="115">
        <f>IFERROR(IF(d_Bv!W2=0,0,((s_Ir*s_F*s_I_f*s_T*(1-EXP(-s_RadSpec!BA2*s_t_v)))/(s_Y_v*s_RadSpec!BA2))),0)</f>
        <v>9.0143481925428208</v>
      </c>
      <c r="BV2" s="115">
        <f>IFERROR(IF(d_Bv!X2=0,0,((s_Ir*s_F*s_I_f*s_T*(1-EXP(-s_RadSpec!BA2*s_t_v)))/(s_Y_v*s_RadSpec!BA2))),0)</f>
        <v>9.0143481925428208</v>
      </c>
      <c r="BW2" s="115">
        <f>IFERROR(IF(d_Bv!Y2=0,0,((s_Ir*s_F*s_I_f*s_T*(1-EXP(-s_RadSpec!BA2*s_t_v)))/(s_Y_v*s_RadSpec!BA2))),0)</f>
        <v>9.0143481925428208</v>
      </c>
      <c r="BX2" s="115">
        <f>IFERROR(IF(d_Bv!Z2=0,0,((s_Ir*s_F*s_I_f*s_T*(1-EXP(-s_RadSpec!BA2*s_t_v)))/(s_Y_v*s_RadSpec!BA2))),0)</f>
        <v>9.0143481925428208</v>
      </c>
      <c r="BY2" s="115">
        <f>IFERROR(IF(d_Bv!AA2=0,0,((s_Ir*s_F*s_I_f*s_T*(1-EXP(-s_RadSpec!BA2*s_t_v)))/(s_Y_v*s_RadSpec!BA2))),0)</f>
        <v>9.0143481925428208</v>
      </c>
    </row>
    <row r="3" spans="1:77" x14ac:dyDescent="0.25">
      <c r="A3" s="46" t="s">
        <v>13</v>
      </c>
      <c r="B3" s="42" t="s">
        <v>349</v>
      </c>
      <c r="C3" s="115">
        <f>IFERROR(IF(d_Bv!C3=0,0,((s_Ir*s_F*d_Bv!C3*(1-EXP(-s_RadSpec!$AZ3*s_t_b)))/(s_P*s_RadSpec!$AZ3))),0)</f>
        <v>6.1597224628313864E-3</v>
      </c>
      <c r="D3" s="115">
        <f>IFERROR(IF(d_Bv!D3=0,0,((s_Ir*s_F*d_Bv!D3*(1-EXP(-s_RadSpec!AZ3*s_t_b)))/(s_P*s_RadSpec!AZ3))),0)</f>
        <v>5.364919564401531E-2</v>
      </c>
      <c r="E3" s="115">
        <f>IFERROR(IF(d_Bv!E3=0,0,((s_Ir*s_F*d_Bv!E3*(1-EXP(-s_RadSpec!AZ3*s_t_b)))/(s_P*s_RadSpec!AZ3))),0)</f>
        <v>0.13312948548700093</v>
      </c>
      <c r="F3" s="115">
        <f>IFERROR(IF(d_Bv!F3=0,0,((s_Ir*s_F*d_Bv!F3*(1-EXP(-s_RadSpec!AZ3*s_t_b)))/(s_P*s_RadSpec!AZ3))),0)</f>
        <v>0.15896057968597124</v>
      </c>
      <c r="G3" s="115">
        <f>IFERROR(IF(d_Bv!G3=0,0,((s_Ir*s_F*d_Bv!G3*(1-EXP(-s_RadSpec!AZ3*s_t_b)))/(s_P*s_RadSpec!AZ3))),0)</f>
        <v>7.1532260858687066E-2</v>
      </c>
      <c r="H3" s="115">
        <f>IFERROR(IF(d_Bv!H3=0,0,((s_Ir*s_F*d_Bv!H3*(1-EXP(-s_RadSpec!AZ3*s_t_b)))/(s_P*s_RadSpec!AZ3))),0)</f>
        <v>5.364919564401531E-2</v>
      </c>
      <c r="I3" s="115">
        <f>IFERROR(IF(d_Bv!I3=0,0,((s_Ir*s_F*d_Bv!I3*(1-EXP(-s_RadSpec!AZ3*s_t_b)))/(s_P*s_RadSpec!AZ3))),0)</f>
        <v>0.13312948548700093</v>
      </c>
      <c r="J3" s="115">
        <f>IFERROR(IF(d_Bv!J3=0,0,((s_Ir*s_F*d_Bv!J3*(1-EXP(-s_RadSpec!AZ3*s_t_b)))/(s_P*s_RadSpec!AZ3))),0)</f>
        <v>6.1597224628313864E-3</v>
      </c>
      <c r="K3" s="115">
        <f>IFERROR(IF(d_Bv!K3=0,0,((s_Ir*s_F*d_Bv!K3*(1-EXP(-s_RadSpec!AZ3*s_t_b)))/(s_P*s_RadSpec!AZ3))),0)</f>
        <v>9.9350362303732027E-3</v>
      </c>
      <c r="L3" s="115">
        <f>IFERROR(IF(d_Bv!L3=0,0,((s_Ir*s_F*d_Bv!L3*(1-EXP(-s_RadSpec!AZ3*s_t_b)))/(s_P*s_RadSpec!AZ3))),0)</f>
        <v>7.1532260858687066E-2</v>
      </c>
      <c r="M3" s="115">
        <f>IFERROR(IF(d_Bv!M3=0,0,((s_Ir*s_F*d_Bv!M3*(1-EXP(-s_RadSpec!AZ3*s_t_b)))/(s_P*s_RadSpec!AZ3))),0)</f>
        <v>5.364919564401531E-2</v>
      </c>
      <c r="N3" s="115">
        <f>IFERROR(IF(d_Bv!N3=0,0,((s_Ir*s_F*d_Bv!N3*(1-EXP(-s_RadSpec!AZ3*s_t_b)))/(s_P*s_RadSpec!AZ3))),0)</f>
        <v>7.5506275350836358E-2</v>
      </c>
      <c r="O3" s="115">
        <f>IFERROR(IF(d_Bv!O3=0,0,((s_Ir*s_F*d_Bv!O3*(1-EXP(-s_RadSpec!AZ3*s_t_b)))/(s_P*s_RadSpec!AZ3))),0)</f>
        <v>7.1532260858687066E-2</v>
      </c>
      <c r="P3" s="115">
        <f>IFERROR(IF(d_Bv!P3=0,0,((s_Ir*s_F*d_Bv!P3*(1-EXP(-s_RadSpec!AZ3*s_t_b)))/(s_P*s_RadSpec!AZ3))),0)</f>
        <v>0.13312948548700093</v>
      </c>
      <c r="Q3" s="115">
        <f>IFERROR(IF(d_Bv!Q3=0,0,((s_Ir*s_F*d_Bv!Q3*(1-EXP(-s_RadSpec!AZ3*s_t_b)))/(s_P*s_RadSpec!AZ3))),0)</f>
        <v>6.1597224628313864E-3</v>
      </c>
      <c r="R3" s="115">
        <f>IFERROR(IF(d_Bv!R3=0,0,((s_Ir*s_F*d_Bv!R3*(1-EXP(-s_RadSpec!AZ3*s_t_b)))/(s_P*s_RadSpec!AZ3))),0)</f>
        <v>6.1597224628313864E-3</v>
      </c>
      <c r="S3" s="115">
        <f>IFERROR(IF(d_Bv!S3=0,0,((s_Ir*s_F*d_Bv!S3*(1-EXP(-s_RadSpec!AZ3*s_t_b)))/(s_P*s_RadSpec!AZ3))),0)</f>
        <v>7.5506275350836358E-2</v>
      </c>
      <c r="T3" s="115">
        <f>IFERROR(IF(d_Bv!T3=0,0,((s_Ir*s_F*d_Bv!T3*(1-EXP(-s_RadSpec!AZ3*s_t_b)))/(s_P*s_RadSpec!AZ3))),0)</f>
        <v>7.1532260858687066E-2</v>
      </c>
      <c r="U3" s="115">
        <f>IFERROR(IF(d_Bv!U3=0,0,((s_Ir*s_F*d_Bv!U3*(1-EXP(-s_RadSpec!AZ3*s_t_b)))/(s_P*s_RadSpec!AZ3))),0)</f>
        <v>4.1727152167567463E-2</v>
      </c>
      <c r="V3" s="115">
        <f>IFERROR(IF(d_Bv!V3=0,0,((s_Ir*s_F*d_Bv!V3*(1-EXP(-s_RadSpec!AZ3*s_t_b)))/(s_P*s_RadSpec!AZ3))),0)</f>
        <v>7.1532260858687066E-2</v>
      </c>
      <c r="W3" s="115">
        <f>IFERROR(IF(d_Bv!W3=0,0,((s_Ir*s_F*d_Bv!W3*(1-EXP(-s_RadSpec!AZ3*s_t_b)))/(s_P*s_RadSpec!AZ3))),0)</f>
        <v>7.5506275350836358E-2</v>
      </c>
      <c r="X3" s="115">
        <f>IFERROR(IF(d_Bv!X3=0,0,((s_Ir*s_F*d_Bv!X3*(1-EXP(-s_RadSpec!AZ3*s_t_b)))/(s_P*s_RadSpec!AZ3))),0)</f>
        <v>2.1857079706821051E-2</v>
      </c>
      <c r="Y3" s="115">
        <f>IFERROR(IF(d_Bv!Y3=0,0,((s_Ir*s_F*d_Bv!Y3*(1-EXP(-s_RadSpec!AZ3*s_t_b)))/(s_P*s_RadSpec!AZ3))),0)</f>
        <v>7.1532260858687066E-2</v>
      </c>
      <c r="Z3" s="115">
        <f>IFERROR(IF(d_Bv!Z3=0,0,((s_Ir*s_F*d_Bv!Z3*(1-EXP(-s_RadSpec!AZ3*s_t_b)))/(s_P*s_RadSpec!AZ3))),0)</f>
        <v>0.19870072460746407</v>
      </c>
      <c r="AA3" s="115">
        <f>IFERROR(IF(d_Bv!AA3=0,0,((s_Ir*s_F*d_Bv!AA3*(1-EXP(-s_RadSpec!AZ3*s_t_b)))/(s_P*s_RadSpec!AZ3))),0)</f>
        <v>4.3714159413642097E-3</v>
      </c>
      <c r="AB3" s="115">
        <f>IFERROR(IF(d_Bv!C3=0,0,((s_Ir*s_F*s_MLF_apple*(1-EXP(-s_RadSpec!AZ3*s_t_b)))/(s_P*s_RadSpec!AZ3))),0)</f>
        <v>2.6824597822007652</v>
      </c>
      <c r="AC3" s="115">
        <f>IFERROR(IF(d_Bv!D3=0,0,((s_Ir*s_F*s_MLF_asparagus*(1-EXP(-s_RadSpec!AZ3*s_t_b)))/(s_P*s_RadSpec!AZ3))),0)</f>
        <v>2.6824597822007652</v>
      </c>
      <c r="AD3" s="115">
        <f>IFERROR(IF(d_Bv!E3=0,0,((s_Ir*s_F*s_MLF_beet*(1-EXP(-s_RadSpec!AZ3*s_t_b)))/(s_P*s_RadSpec!AZ3))),0)</f>
        <v>2.6824597822007652</v>
      </c>
      <c r="AE3" s="115">
        <f>IFERROR(IF(d_Bv!F3=0,0,((s_Ir*s_F*s_MLF_berries*(1-EXP(-s_RadSpec!AZ3*s_t_b)))/(s_P*s_RadSpec!AZ3))),0)</f>
        <v>2.6824597822007652</v>
      </c>
      <c r="AF3" s="115">
        <f>IFERROR(IF(d_Bv!G3=0,0,((s_Ir*s_F*s_MLF_broccoli*(1-EXP(-s_RadSpec!AZ3*s_t_b)))/(s_P*s_RadSpec!AZ3))),0)</f>
        <v>2.6824597822007652</v>
      </c>
      <c r="AG3" s="115">
        <f>IFERROR(IF(d_Bv!H3=0,0,((s_Ir*s_F*s_MLF_cabbage*(1-EXP(-s_RadSpec!AZ3*s_t_b)))/(s_P*s_RadSpec!AZ3))),0)</f>
        <v>2.6824597822007652</v>
      </c>
      <c r="AH3" s="115">
        <f>IFERROR(IF(d_Bv!I3=0,0,((s_Ir*s_F*s_MLF_carrot*(1-EXP(-s_RadSpec!AZ3*s_t_b)))/(s_P*s_RadSpec!AZ3))),0)</f>
        <v>2.6824597822007652</v>
      </c>
      <c r="AI3" s="115">
        <f>IFERROR(IF(d_Bv!J3=0,0,((s_Ir*s_F*s_MLF_citrus*(1-EXP(-s_RadSpec!AZ3*s_t_b)))/(s_P*s_RadSpec!AZ3))),0)</f>
        <v>2.6824597822007652</v>
      </c>
      <c r="AJ3" s="115">
        <f>IFERROR(IF(d_Bv!K3=0,0,((s_Ir*s_F*s_MLF_corn*(1-EXP(-s_RadSpec!AZ3*s_t_b)))/(s_P*s_RadSpec!AZ3))),0)</f>
        <v>2.6824597822007652</v>
      </c>
      <c r="AK3" s="115">
        <f>IFERROR(IF(d_Bv!L3=0,0,((s_Ir*s_F*s_MLF_cucumber*(1-EXP(-s_RadSpec!AZ3*s_t_b)))/(s_P*s_RadSpec!AZ3))),0)</f>
        <v>2.6824597822007652</v>
      </c>
      <c r="AL3" s="115">
        <f>IFERROR(IF(d_Bv!M3=0,0,((s_Ir*s_F*s_MLF_lettuce*(1-EXP(-s_RadSpec!AZ3*s_t_b)))/(s_P*s_RadSpec!AZ3))),0)</f>
        <v>2.6824597822007652</v>
      </c>
      <c r="AM3" s="115">
        <f>IFERROR(IF(d_Bv!N3=0,0,((s_Ir*s_F*s_MLF_lima_bean*(1-EXP(-s_RadSpec!AZ3*s_t_b)))/(s_P*s_RadSpec!AZ3))),0)</f>
        <v>2.6824597822007652</v>
      </c>
      <c r="AN3" s="115">
        <f>IFERROR(IF(d_Bv!O3=0,0,((s_Ir*s_F*s_MLF_okra*(1-EXP(-s_RadSpec!AZ3*s_t_b)))/(s_P*s_RadSpec!AZ3))),0)</f>
        <v>2.6824597822007652</v>
      </c>
      <c r="AO3" s="115">
        <f>IFERROR(IF(d_Bv!P3=0,0,((s_Ir*s_F*s_MLF_onion*(1-EXP(-s_RadSpec!AZ3*s_t_b)))/(s_P*s_RadSpec!AZ3))),0)</f>
        <v>2.6824597822007652</v>
      </c>
      <c r="AP3" s="115">
        <f>IFERROR(IF(d_Bv!Q3=0,0,((s_Ir*s_F*s_MLF_peach*(1-EXP(-s_RadSpec!AZ3*s_t_b)))/(s_P*s_RadSpec!AZ3))),0)</f>
        <v>2.6824597822007652</v>
      </c>
      <c r="AQ3" s="115">
        <f>IFERROR(IF(d_Bv!R3=0,0,((s_Ir*s_F*s_MLF_pear*(1-EXP(-s_RadSpec!AZ3*s_t_b)))/(s_P*s_RadSpec!AZ3))),0)</f>
        <v>2.6824597822007652</v>
      </c>
      <c r="AR3" s="115">
        <f>IFERROR(IF(d_Bv!S3=0,0,((s_Ir*s_F*s_MLF_peas*(1-EXP(-s_RadSpec!AZ3*s_t_b)))/(s_P*s_RadSpec!AZ3))),0)</f>
        <v>2.6824597822007652</v>
      </c>
      <c r="AS3" s="115">
        <f>IFERROR(IF(d_Bv!T3=0,0,((s_Ir*s_F*s_MLF_peppers*(1-EXP(-s_RadSpec!AZ3*s_t_b)))/(s_P*s_RadSpec!AZ3))),0)</f>
        <v>2.6824597822007652</v>
      </c>
      <c r="AT3" s="115">
        <f>IFERROR(IF(d_Bv!U3=0,0,((s_Ir*s_F*s_MLF_potato*(1-EXP(-s_RadSpec!AZ3*s_t_b)))/(s_P*s_RadSpec!AZ3))),0)</f>
        <v>2.6824597822007652</v>
      </c>
      <c r="AU3" s="115">
        <f>IFERROR(IF(d_Bv!V3=0,0,((s_Ir*s_F*s_MLF_pumpkin*(1-EXP(-s_RadSpec!AZ3*s_t_b)))/(s_P*s_RadSpec!AZ3))),0)</f>
        <v>2.6824597822007652</v>
      </c>
      <c r="AV3" s="115">
        <f>IFERROR(IF(d_Bv!W3=0,0,((s_Ir*s_F*s_MLF_snap_bean*(1-EXP(-s_RadSpec!AZ3*s_t_b)))/(s_P*s_RadSpec!AZ3))),0)</f>
        <v>2.6824597822007652</v>
      </c>
      <c r="AW3" s="115">
        <f>IFERROR(IF(d_Bv!X3=0,0,((s_Ir*s_F*s_MLF_strawberry*(1-EXP(-s_RadSpec!AZ3*s_t_b)))/(s_P*s_RadSpec!AZ3))),0)</f>
        <v>2.6824597822007652</v>
      </c>
      <c r="AX3" s="115">
        <f>IFERROR(IF(d_Bv!Y3=0,0,((s_Ir*s_F*s_MLF_tomato*(1-EXP(-s_RadSpec!AZ3*s_t_b)))/(s_P*s_RadSpec!AZ3))),0)</f>
        <v>2.6824597822007652</v>
      </c>
      <c r="AY3" s="115">
        <f>IFERROR(IF(d_Bv!Z3=0,0,((s_Ir*s_F*s_MLF_rice*(1-EXP(-s_RadSpec!AZ3*s_t_b)))/(s_P*s_RadSpec!AZ3))),0)</f>
        <v>2.6824597822007652</v>
      </c>
      <c r="AZ3" s="115">
        <f>IFERROR(IF(d_Bv!AA3=0,0,((s_Ir*s_F*s_MLF_cereal*(1-EXP(-s_RadSpec!AZ3*s_t_b)))/(s_P*s_RadSpec!AZ3))),0)</f>
        <v>2.6824597822007652</v>
      </c>
      <c r="BA3" s="115">
        <f>IFERROR(IF(d_Bv!C3=0,0,((s_Ir*s_F*s_I_f*s_T*(1-EXP(-s_RadSpec!BA3*s_t_v)))/(s_Y_v*s_RadSpec!BA3))),0)</f>
        <v>9.0143481925428208</v>
      </c>
      <c r="BB3" s="115">
        <f>IFERROR(IF(d_Bv!D3=0,0,((s_Ir*s_F*s_I_f*s_T*(1-EXP(-s_RadSpec!BA3*s_t_v)))/(s_Y_v*s_RadSpec!BA3))),0)</f>
        <v>9.0143481925428208</v>
      </c>
      <c r="BC3" s="115">
        <f>IFERROR(IF(d_Bv!E3=0,0,((s_Ir*s_F*s_I_f*s_T*(1-EXP(-s_RadSpec!BA3*s_t_v)))/(s_Y_v*s_RadSpec!BA3))),0)</f>
        <v>9.0143481925428208</v>
      </c>
      <c r="BD3" s="115">
        <f>IFERROR(IF(d_Bv!F3=0,0,((s_Ir*s_F*s_I_f*s_T*(1-EXP(-s_RadSpec!BA3*s_t_v)))/(s_Y_v*s_RadSpec!BA3))),0)</f>
        <v>9.0143481925428208</v>
      </c>
      <c r="BE3" s="115">
        <f>IFERROR(IF(d_Bv!G3=0,0,((s_Ir*s_F*s_I_f*s_T*(1-EXP(-s_RadSpec!BA3*s_t_v)))/(s_Y_v*s_RadSpec!BA3))),0)</f>
        <v>9.0143481925428208</v>
      </c>
      <c r="BF3" s="115">
        <f>IFERROR(IF(d_Bv!H3=0,0,((s_Ir*s_F*s_I_f*s_T*(1-EXP(-s_RadSpec!BA3*s_t_v)))/(s_Y_v*s_RadSpec!BA3))),0)</f>
        <v>9.0143481925428208</v>
      </c>
      <c r="BG3" s="115">
        <f>IFERROR(IF(d_Bv!I3=0,0,((s_Ir*s_F*s_I_f*s_T*(1-EXP(-s_RadSpec!BA3*s_t_v)))/(s_Y_v*s_RadSpec!BA3))),0)</f>
        <v>9.0143481925428208</v>
      </c>
      <c r="BH3" s="115">
        <f>IFERROR(IF(d_Bv!J3=0,0,((s_Ir*s_F*s_I_f*s_T*(1-EXP(-s_RadSpec!BA3*s_t_v)))/(s_Y_v*s_RadSpec!BA3))),0)</f>
        <v>9.0143481925428208</v>
      </c>
      <c r="BI3" s="115">
        <f>IFERROR(IF(d_Bv!K3=0,0,((s_Ir*s_F*s_I_f*s_T*(1-EXP(-s_RadSpec!BA3*s_t_v)))/(s_Y_v*s_RadSpec!BA3))),0)</f>
        <v>9.0143481925428208</v>
      </c>
      <c r="BJ3" s="115">
        <f>IFERROR(IF(d_Bv!L3=0,0,((s_Ir*s_F*s_I_f*s_T*(1-EXP(-s_RadSpec!BA3*s_t_v)))/(s_Y_v*s_RadSpec!BA3))),0)</f>
        <v>9.0143481925428208</v>
      </c>
      <c r="BK3" s="115">
        <f>IFERROR(IF(d_Bv!M3=0,0,((s_Ir*s_F*s_I_f*s_T*(1-EXP(-s_RadSpec!BA3*s_t_v)))/(s_Y_v*s_RadSpec!BA3))),0)</f>
        <v>9.0143481925428208</v>
      </c>
      <c r="BL3" s="115">
        <f>IFERROR(IF(d_Bv!N3=0,0,((s_Ir*s_F*s_I_f*s_T*(1-EXP(-s_RadSpec!BA3*s_t_v)))/(s_Y_v*s_RadSpec!BA3))),0)</f>
        <v>9.0143481925428208</v>
      </c>
      <c r="BM3" s="115">
        <f>IFERROR(IF(d_Bv!O3=0,0,((s_Ir*s_F*s_I_f*s_T*(1-EXP(-s_RadSpec!BA3*s_t_v)))/(s_Y_v*s_RadSpec!BA3))),0)</f>
        <v>9.0143481925428208</v>
      </c>
      <c r="BN3" s="115">
        <f>IFERROR(IF(d_Bv!P3=0,0,((s_Ir*s_F*s_I_f*s_T*(1-EXP(-s_RadSpec!BA3*s_t_v)))/(s_Y_v*s_RadSpec!BA3))),0)</f>
        <v>9.0143481925428208</v>
      </c>
      <c r="BO3" s="115">
        <f>IFERROR(IF(d_Bv!Q3=0,0,((s_Ir*s_F*s_I_f*s_T*(1-EXP(-s_RadSpec!BA3*s_t_v)))/(s_Y_v*s_RadSpec!BA3))),0)</f>
        <v>9.0143481925428208</v>
      </c>
      <c r="BP3" s="115">
        <f>IFERROR(IF(d_Bv!R3=0,0,((s_Ir*s_F*s_I_f*s_T*(1-EXP(-s_RadSpec!BA3*s_t_v)))/(s_Y_v*s_RadSpec!BA3))),0)</f>
        <v>9.0143481925428208</v>
      </c>
      <c r="BQ3" s="115">
        <f>IFERROR(IF(d_Bv!S3=0,0,((s_Ir*s_F*s_I_f*s_T*(1-EXP(-s_RadSpec!BA3*s_t_v)))/(s_Y_v*s_RadSpec!BA3))),0)</f>
        <v>9.0143481925428208</v>
      </c>
      <c r="BR3" s="115">
        <f>IFERROR(IF(d_Bv!T3=0,0,((s_Ir*s_F*s_I_f*s_T*(1-EXP(-s_RadSpec!BA3*s_t_v)))/(s_Y_v*s_RadSpec!BA3))),0)</f>
        <v>9.0143481925428208</v>
      </c>
      <c r="BS3" s="115">
        <f>IFERROR(IF(d_Bv!U3=0,0,((s_Ir*s_F*s_I_f*s_T*(1-EXP(-s_RadSpec!BA3*s_t_v)))/(s_Y_v*s_RadSpec!BA3))),0)</f>
        <v>9.0143481925428208</v>
      </c>
      <c r="BT3" s="115">
        <f>IFERROR(IF(d_Bv!V3=0,0,((s_Ir*s_F*s_I_f*s_T*(1-EXP(-s_RadSpec!BA3*s_t_v)))/(s_Y_v*s_RadSpec!BA3))),0)</f>
        <v>9.0143481925428208</v>
      </c>
      <c r="BU3" s="115">
        <f>IFERROR(IF(d_Bv!W3=0,0,((s_Ir*s_F*s_I_f*s_T*(1-EXP(-s_RadSpec!BA3*s_t_v)))/(s_Y_v*s_RadSpec!BA3))),0)</f>
        <v>9.0143481925428208</v>
      </c>
      <c r="BV3" s="115">
        <f>IFERROR(IF(d_Bv!X3=0,0,((s_Ir*s_F*s_I_f*s_T*(1-EXP(-s_RadSpec!BA3*s_t_v)))/(s_Y_v*s_RadSpec!BA3))),0)</f>
        <v>9.0143481925428208</v>
      </c>
      <c r="BW3" s="115">
        <f>IFERROR(IF(d_Bv!Y3=0,0,((s_Ir*s_F*s_I_f*s_T*(1-EXP(-s_RadSpec!BA3*s_t_v)))/(s_Y_v*s_RadSpec!BA3))),0)</f>
        <v>9.0143481925428208</v>
      </c>
      <c r="BX3" s="115">
        <f>IFERROR(IF(d_Bv!Z3=0,0,((s_Ir*s_F*s_I_f*s_T*(1-EXP(-s_RadSpec!BA3*s_t_v)))/(s_Y_v*s_RadSpec!BA3))),0)</f>
        <v>9.0143481925428208</v>
      </c>
      <c r="BY3" s="115">
        <f>IFERROR(IF(d_Bv!AA3=0,0,((s_Ir*s_F*s_I_f*s_T*(1-EXP(-s_RadSpec!BA3*s_t_v)))/(s_Y_v*s_RadSpec!BA3))),0)</f>
        <v>9.0143481925428208</v>
      </c>
    </row>
    <row r="4" spans="1:77" x14ac:dyDescent="0.25">
      <c r="A4" s="44" t="s">
        <v>14</v>
      </c>
      <c r="B4" s="42" t="s">
        <v>1071</v>
      </c>
      <c r="C4" s="115">
        <f>IFERROR(IF(d_Bv!C4=0,0,((s_Ir*s_F*d_Bv!C4*(1-EXP(-s_RadSpec!$AZ4*s_t_b)))/(s_P*s_RadSpec!$AZ4))),0)</f>
        <v>39.740144921492814</v>
      </c>
      <c r="D4" s="115">
        <f>IFERROR(IF(d_Bv!D4=0,0,((s_Ir*s_F*d_Bv!D4*(1-EXP(-s_RadSpec!AZ4*s_t_b)))/(s_P*s_RadSpec!AZ4))),0)</f>
        <v>39.740144921492814</v>
      </c>
      <c r="E4" s="115">
        <f>IFERROR(IF(d_Bv!E4=0,0,((s_Ir*s_F*d_Bv!E4*(1-EXP(-s_RadSpec!AZ4*s_t_b)))/(s_P*s_RadSpec!AZ4))),0)</f>
        <v>39.740144921492814</v>
      </c>
      <c r="F4" s="115">
        <f>IFERROR(IF(d_Bv!F4=0,0,((s_Ir*s_F*d_Bv!F4*(1-EXP(-s_RadSpec!AZ4*s_t_b)))/(s_P*s_RadSpec!AZ4))),0)</f>
        <v>39.740144921492814</v>
      </c>
      <c r="G4" s="115">
        <f>IFERROR(IF(d_Bv!G4=0,0,((s_Ir*s_F*d_Bv!G4*(1-EXP(-s_RadSpec!AZ4*s_t_b)))/(s_P*s_RadSpec!AZ4))),0)</f>
        <v>39.740144921492814</v>
      </c>
      <c r="H4" s="115">
        <f>IFERROR(IF(d_Bv!H4=0,0,((s_Ir*s_F*d_Bv!H4*(1-EXP(-s_RadSpec!AZ4*s_t_b)))/(s_P*s_RadSpec!AZ4))),0)</f>
        <v>39.740144921492814</v>
      </c>
      <c r="I4" s="115">
        <f>IFERROR(IF(d_Bv!I4=0,0,((s_Ir*s_F*d_Bv!I4*(1-EXP(-s_RadSpec!AZ4*s_t_b)))/(s_P*s_RadSpec!AZ4))),0)</f>
        <v>39.740144921492814</v>
      </c>
      <c r="J4" s="115">
        <f>IFERROR(IF(d_Bv!J4=0,0,((s_Ir*s_F*d_Bv!J4*(1-EXP(-s_RadSpec!AZ4*s_t_b)))/(s_P*s_RadSpec!AZ4))),0)</f>
        <v>39.740144921492814</v>
      </c>
      <c r="K4" s="115">
        <f>IFERROR(IF(d_Bv!K4=0,0,((s_Ir*s_F*d_Bv!K4*(1-EXP(-s_RadSpec!AZ4*s_t_b)))/(s_P*s_RadSpec!AZ4))),0)</f>
        <v>39.740144921492814</v>
      </c>
      <c r="L4" s="115">
        <f>IFERROR(IF(d_Bv!L4=0,0,((s_Ir*s_F*d_Bv!L4*(1-EXP(-s_RadSpec!AZ4*s_t_b)))/(s_P*s_RadSpec!AZ4))),0)</f>
        <v>39.740144921492814</v>
      </c>
      <c r="M4" s="115">
        <f>IFERROR(IF(d_Bv!M4=0,0,((s_Ir*s_F*d_Bv!M4*(1-EXP(-s_RadSpec!AZ4*s_t_b)))/(s_P*s_RadSpec!AZ4))),0)</f>
        <v>39.740144921492814</v>
      </c>
      <c r="N4" s="115">
        <f>IFERROR(IF(d_Bv!N4=0,0,((s_Ir*s_F*d_Bv!N4*(1-EXP(-s_RadSpec!AZ4*s_t_b)))/(s_P*s_RadSpec!AZ4))),0)</f>
        <v>39.740144921492814</v>
      </c>
      <c r="O4" s="115">
        <f>IFERROR(IF(d_Bv!O4=0,0,((s_Ir*s_F*d_Bv!O4*(1-EXP(-s_RadSpec!AZ4*s_t_b)))/(s_P*s_RadSpec!AZ4))),0)</f>
        <v>39.740144921492814</v>
      </c>
      <c r="P4" s="115">
        <f>IFERROR(IF(d_Bv!P4=0,0,((s_Ir*s_F*d_Bv!P4*(1-EXP(-s_RadSpec!AZ4*s_t_b)))/(s_P*s_RadSpec!AZ4))),0)</f>
        <v>39.740144921492814</v>
      </c>
      <c r="Q4" s="115">
        <f>IFERROR(IF(d_Bv!Q4=0,0,((s_Ir*s_F*d_Bv!Q4*(1-EXP(-s_RadSpec!AZ4*s_t_b)))/(s_P*s_RadSpec!AZ4))),0)</f>
        <v>39.740144921492814</v>
      </c>
      <c r="R4" s="115">
        <f>IFERROR(IF(d_Bv!R4=0,0,((s_Ir*s_F*d_Bv!R4*(1-EXP(-s_RadSpec!AZ4*s_t_b)))/(s_P*s_RadSpec!AZ4))),0)</f>
        <v>39.740144921492814</v>
      </c>
      <c r="S4" s="115">
        <f>IFERROR(IF(d_Bv!S4=0,0,((s_Ir*s_F*d_Bv!S4*(1-EXP(-s_RadSpec!AZ4*s_t_b)))/(s_P*s_RadSpec!AZ4))),0)</f>
        <v>39.740144921492814</v>
      </c>
      <c r="T4" s="115">
        <f>IFERROR(IF(d_Bv!T4=0,0,((s_Ir*s_F*d_Bv!T4*(1-EXP(-s_RadSpec!AZ4*s_t_b)))/(s_P*s_RadSpec!AZ4))),0)</f>
        <v>39.740144921492814</v>
      </c>
      <c r="U4" s="115">
        <f>IFERROR(IF(d_Bv!U4=0,0,((s_Ir*s_F*d_Bv!U4*(1-EXP(-s_RadSpec!AZ4*s_t_b)))/(s_P*s_RadSpec!AZ4))),0)</f>
        <v>39.740144921492814</v>
      </c>
      <c r="V4" s="115">
        <f>IFERROR(IF(d_Bv!V4=0,0,((s_Ir*s_F*d_Bv!V4*(1-EXP(-s_RadSpec!AZ4*s_t_b)))/(s_P*s_RadSpec!AZ4))),0)</f>
        <v>39.740144921492814</v>
      </c>
      <c r="W4" s="115">
        <f>IFERROR(IF(d_Bv!W4=0,0,((s_Ir*s_F*d_Bv!W4*(1-EXP(-s_RadSpec!AZ4*s_t_b)))/(s_P*s_RadSpec!AZ4))),0)</f>
        <v>39.740144921492814</v>
      </c>
      <c r="X4" s="115">
        <f>IFERROR(IF(d_Bv!X4=0,0,((s_Ir*s_F*d_Bv!X4*(1-EXP(-s_RadSpec!AZ4*s_t_b)))/(s_P*s_RadSpec!AZ4))),0)</f>
        <v>39.740144921492814</v>
      </c>
      <c r="Y4" s="115">
        <f>IFERROR(IF(d_Bv!Y4=0,0,((s_Ir*s_F*d_Bv!Y4*(1-EXP(-s_RadSpec!AZ4*s_t_b)))/(s_P*s_RadSpec!AZ4))),0)</f>
        <v>39.740144921492814</v>
      </c>
      <c r="Z4" s="115">
        <f>IFERROR(IF(d_Bv!Z4=0,0,((s_Ir*s_F*d_Bv!Z4*(1-EXP(-s_RadSpec!AZ4*s_t_b)))/(s_P*s_RadSpec!AZ4))),0)</f>
        <v>39.740144921492814</v>
      </c>
      <c r="AA4" s="115">
        <f>IFERROR(IF(d_Bv!AA4=0,0,((s_Ir*s_F*d_Bv!AA4*(1-EXP(-s_RadSpec!AZ4*s_t_b)))/(s_P*s_RadSpec!AZ4))),0)</f>
        <v>39.740144921492814</v>
      </c>
      <c r="AB4" s="115">
        <f>IFERROR(IF(d_Bv!C4=0,0,((s_Ir*s_F*s_MLF_apple*(1-EXP(-s_RadSpec!AZ4*s_t_b)))/(s_P*s_RadSpec!AZ4))),0)</f>
        <v>2.6824597822007652</v>
      </c>
      <c r="AC4" s="115">
        <f>IFERROR(IF(d_Bv!D4=0,0,((s_Ir*s_F*s_MLF_asparagus*(1-EXP(-s_RadSpec!AZ4*s_t_b)))/(s_P*s_RadSpec!AZ4))),0)</f>
        <v>2.6824597822007652</v>
      </c>
      <c r="AD4" s="115">
        <f>IFERROR(IF(d_Bv!E4=0,0,((s_Ir*s_F*s_MLF_beet*(1-EXP(-s_RadSpec!AZ4*s_t_b)))/(s_P*s_RadSpec!AZ4))),0)</f>
        <v>2.6824597822007652</v>
      </c>
      <c r="AE4" s="115">
        <f>IFERROR(IF(d_Bv!F4=0,0,((s_Ir*s_F*s_MLF_berries*(1-EXP(-s_RadSpec!AZ4*s_t_b)))/(s_P*s_RadSpec!AZ4))),0)</f>
        <v>2.6824597822007652</v>
      </c>
      <c r="AF4" s="115">
        <f>IFERROR(IF(d_Bv!G4=0,0,((s_Ir*s_F*s_MLF_broccoli*(1-EXP(-s_RadSpec!AZ4*s_t_b)))/(s_P*s_RadSpec!AZ4))),0)</f>
        <v>2.6824597822007652</v>
      </c>
      <c r="AG4" s="115">
        <f>IFERROR(IF(d_Bv!H4=0,0,((s_Ir*s_F*s_MLF_cabbage*(1-EXP(-s_RadSpec!AZ4*s_t_b)))/(s_P*s_RadSpec!AZ4))),0)</f>
        <v>2.6824597822007652</v>
      </c>
      <c r="AH4" s="115">
        <f>IFERROR(IF(d_Bv!I4=0,0,((s_Ir*s_F*s_MLF_carrot*(1-EXP(-s_RadSpec!AZ4*s_t_b)))/(s_P*s_RadSpec!AZ4))),0)</f>
        <v>2.6824597822007652</v>
      </c>
      <c r="AI4" s="115">
        <f>IFERROR(IF(d_Bv!J4=0,0,((s_Ir*s_F*s_MLF_citrus*(1-EXP(-s_RadSpec!AZ4*s_t_b)))/(s_P*s_RadSpec!AZ4))),0)</f>
        <v>2.6824597822007652</v>
      </c>
      <c r="AJ4" s="115">
        <f>IFERROR(IF(d_Bv!K4=0,0,((s_Ir*s_F*s_MLF_corn*(1-EXP(-s_RadSpec!AZ4*s_t_b)))/(s_P*s_RadSpec!AZ4))),0)</f>
        <v>2.6824597822007652</v>
      </c>
      <c r="AK4" s="115">
        <f>IFERROR(IF(d_Bv!L4=0,0,((s_Ir*s_F*s_MLF_cucumber*(1-EXP(-s_RadSpec!AZ4*s_t_b)))/(s_P*s_RadSpec!AZ4))),0)</f>
        <v>2.6824597822007652</v>
      </c>
      <c r="AL4" s="115">
        <f>IFERROR(IF(d_Bv!M4=0,0,((s_Ir*s_F*s_MLF_lettuce*(1-EXP(-s_RadSpec!AZ4*s_t_b)))/(s_P*s_RadSpec!AZ4))),0)</f>
        <v>2.6824597822007652</v>
      </c>
      <c r="AM4" s="115">
        <f>IFERROR(IF(d_Bv!N4=0,0,((s_Ir*s_F*s_MLF_lima_bean*(1-EXP(-s_RadSpec!AZ4*s_t_b)))/(s_P*s_RadSpec!AZ4))),0)</f>
        <v>2.6824597822007652</v>
      </c>
      <c r="AN4" s="115">
        <f>IFERROR(IF(d_Bv!O4=0,0,((s_Ir*s_F*s_MLF_okra*(1-EXP(-s_RadSpec!AZ4*s_t_b)))/(s_P*s_RadSpec!AZ4))),0)</f>
        <v>2.6824597822007652</v>
      </c>
      <c r="AO4" s="115">
        <f>IFERROR(IF(d_Bv!P4=0,0,((s_Ir*s_F*s_MLF_onion*(1-EXP(-s_RadSpec!AZ4*s_t_b)))/(s_P*s_RadSpec!AZ4))),0)</f>
        <v>2.6824597822007652</v>
      </c>
      <c r="AP4" s="115">
        <f>IFERROR(IF(d_Bv!Q4=0,0,((s_Ir*s_F*s_MLF_peach*(1-EXP(-s_RadSpec!AZ4*s_t_b)))/(s_P*s_RadSpec!AZ4))),0)</f>
        <v>2.6824597822007652</v>
      </c>
      <c r="AQ4" s="115">
        <f>IFERROR(IF(d_Bv!R4=0,0,((s_Ir*s_F*s_MLF_pear*(1-EXP(-s_RadSpec!AZ4*s_t_b)))/(s_P*s_RadSpec!AZ4))),0)</f>
        <v>2.6824597822007652</v>
      </c>
      <c r="AR4" s="115">
        <f>IFERROR(IF(d_Bv!S4=0,0,((s_Ir*s_F*s_MLF_peas*(1-EXP(-s_RadSpec!AZ4*s_t_b)))/(s_P*s_RadSpec!AZ4))),0)</f>
        <v>2.6824597822007652</v>
      </c>
      <c r="AS4" s="115">
        <f>IFERROR(IF(d_Bv!T4=0,0,((s_Ir*s_F*s_MLF_peppers*(1-EXP(-s_RadSpec!AZ4*s_t_b)))/(s_P*s_RadSpec!AZ4))),0)</f>
        <v>2.6824597822007652</v>
      </c>
      <c r="AT4" s="115">
        <f>IFERROR(IF(d_Bv!U4=0,0,((s_Ir*s_F*s_MLF_potato*(1-EXP(-s_RadSpec!AZ4*s_t_b)))/(s_P*s_RadSpec!AZ4))),0)</f>
        <v>2.6824597822007652</v>
      </c>
      <c r="AU4" s="115">
        <f>IFERROR(IF(d_Bv!V4=0,0,((s_Ir*s_F*s_MLF_pumpkin*(1-EXP(-s_RadSpec!AZ4*s_t_b)))/(s_P*s_RadSpec!AZ4))),0)</f>
        <v>2.6824597822007652</v>
      </c>
      <c r="AV4" s="115">
        <f>IFERROR(IF(d_Bv!W4=0,0,((s_Ir*s_F*s_MLF_snap_bean*(1-EXP(-s_RadSpec!AZ4*s_t_b)))/(s_P*s_RadSpec!AZ4))),0)</f>
        <v>2.6824597822007652</v>
      </c>
      <c r="AW4" s="115">
        <f>IFERROR(IF(d_Bv!X4=0,0,((s_Ir*s_F*s_MLF_strawberry*(1-EXP(-s_RadSpec!AZ4*s_t_b)))/(s_P*s_RadSpec!AZ4))),0)</f>
        <v>2.6824597822007652</v>
      </c>
      <c r="AX4" s="115">
        <f>IFERROR(IF(d_Bv!Y4=0,0,((s_Ir*s_F*s_MLF_tomato*(1-EXP(-s_RadSpec!AZ4*s_t_b)))/(s_P*s_RadSpec!AZ4))),0)</f>
        <v>2.6824597822007652</v>
      </c>
      <c r="AY4" s="115">
        <f>IFERROR(IF(d_Bv!Z4=0,0,((s_Ir*s_F*s_MLF_rice*(1-EXP(-s_RadSpec!AZ4*s_t_b)))/(s_P*s_RadSpec!AZ4))),0)</f>
        <v>2.6824597822007652</v>
      </c>
      <c r="AZ4" s="115">
        <f>IFERROR(IF(d_Bv!AA4=0,0,((s_Ir*s_F*s_MLF_cereal*(1-EXP(-s_RadSpec!AZ4*s_t_b)))/(s_P*s_RadSpec!AZ4))),0)</f>
        <v>2.6824597822007652</v>
      </c>
      <c r="BA4" s="115">
        <f>IFERROR(IF(d_Bv!C4=0,0,((s_Ir*s_F*s_I_f*s_T*(1-EXP(-s_RadSpec!BA4*s_t_v)))/(s_Y_v*s_RadSpec!BA4))),0)</f>
        <v>9.0143481925428208</v>
      </c>
      <c r="BB4" s="115">
        <f>IFERROR(IF(d_Bv!D4=0,0,((s_Ir*s_F*s_I_f*s_T*(1-EXP(-s_RadSpec!BA4*s_t_v)))/(s_Y_v*s_RadSpec!BA4))),0)</f>
        <v>9.0143481925428208</v>
      </c>
      <c r="BC4" s="115">
        <f>IFERROR(IF(d_Bv!E4=0,0,((s_Ir*s_F*s_I_f*s_T*(1-EXP(-s_RadSpec!BA4*s_t_v)))/(s_Y_v*s_RadSpec!BA4))),0)</f>
        <v>9.0143481925428208</v>
      </c>
      <c r="BD4" s="115">
        <f>IFERROR(IF(d_Bv!F4=0,0,((s_Ir*s_F*s_I_f*s_T*(1-EXP(-s_RadSpec!BA4*s_t_v)))/(s_Y_v*s_RadSpec!BA4))),0)</f>
        <v>9.0143481925428208</v>
      </c>
      <c r="BE4" s="115">
        <f>IFERROR(IF(d_Bv!G4=0,0,((s_Ir*s_F*s_I_f*s_T*(1-EXP(-s_RadSpec!BA4*s_t_v)))/(s_Y_v*s_RadSpec!BA4))),0)</f>
        <v>9.0143481925428208</v>
      </c>
      <c r="BF4" s="115">
        <f>IFERROR(IF(d_Bv!H4=0,0,((s_Ir*s_F*s_I_f*s_T*(1-EXP(-s_RadSpec!BA4*s_t_v)))/(s_Y_v*s_RadSpec!BA4))),0)</f>
        <v>9.0143481925428208</v>
      </c>
      <c r="BG4" s="115">
        <f>IFERROR(IF(d_Bv!I4=0,0,((s_Ir*s_F*s_I_f*s_T*(1-EXP(-s_RadSpec!BA4*s_t_v)))/(s_Y_v*s_RadSpec!BA4))),0)</f>
        <v>9.0143481925428208</v>
      </c>
      <c r="BH4" s="115">
        <f>IFERROR(IF(d_Bv!J4=0,0,((s_Ir*s_F*s_I_f*s_T*(1-EXP(-s_RadSpec!BA4*s_t_v)))/(s_Y_v*s_RadSpec!BA4))),0)</f>
        <v>9.0143481925428208</v>
      </c>
      <c r="BI4" s="115">
        <f>IFERROR(IF(d_Bv!K4=0,0,((s_Ir*s_F*s_I_f*s_T*(1-EXP(-s_RadSpec!BA4*s_t_v)))/(s_Y_v*s_RadSpec!BA4))),0)</f>
        <v>9.0143481925428208</v>
      </c>
      <c r="BJ4" s="115">
        <f>IFERROR(IF(d_Bv!L4=0,0,((s_Ir*s_F*s_I_f*s_T*(1-EXP(-s_RadSpec!BA4*s_t_v)))/(s_Y_v*s_RadSpec!BA4))),0)</f>
        <v>9.0143481925428208</v>
      </c>
      <c r="BK4" s="115">
        <f>IFERROR(IF(d_Bv!M4=0,0,((s_Ir*s_F*s_I_f*s_T*(1-EXP(-s_RadSpec!BA4*s_t_v)))/(s_Y_v*s_RadSpec!BA4))),0)</f>
        <v>9.0143481925428208</v>
      </c>
      <c r="BL4" s="115">
        <f>IFERROR(IF(d_Bv!N4=0,0,((s_Ir*s_F*s_I_f*s_T*(1-EXP(-s_RadSpec!BA4*s_t_v)))/(s_Y_v*s_RadSpec!BA4))),0)</f>
        <v>9.0143481925428208</v>
      </c>
      <c r="BM4" s="115">
        <f>IFERROR(IF(d_Bv!O4=0,0,((s_Ir*s_F*s_I_f*s_T*(1-EXP(-s_RadSpec!BA4*s_t_v)))/(s_Y_v*s_RadSpec!BA4))),0)</f>
        <v>9.0143481925428208</v>
      </c>
      <c r="BN4" s="115">
        <f>IFERROR(IF(d_Bv!P4=0,0,((s_Ir*s_F*s_I_f*s_T*(1-EXP(-s_RadSpec!BA4*s_t_v)))/(s_Y_v*s_RadSpec!BA4))),0)</f>
        <v>9.0143481925428208</v>
      </c>
      <c r="BO4" s="115">
        <f>IFERROR(IF(d_Bv!Q4=0,0,((s_Ir*s_F*s_I_f*s_T*(1-EXP(-s_RadSpec!BA4*s_t_v)))/(s_Y_v*s_RadSpec!BA4))),0)</f>
        <v>9.0143481925428208</v>
      </c>
      <c r="BP4" s="115">
        <f>IFERROR(IF(d_Bv!R4=0,0,((s_Ir*s_F*s_I_f*s_T*(1-EXP(-s_RadSpec!BA4*s_t_v)))/(s_Y_v*s_RadSpec!BA4))),0)</f>
        <v>9.0143481925428208</v>
      </c>
      <c r="BQ4" s="115">
        <f>IFERROR(IF(d_Bv!S4=0,0,((s_Ir*s_F*s_I_f*s_T*(1-EXP(-s_RadSpec!BA4*s_t_v)))/(s_Y_v*s_RadSpec!BA4))),0)</f>
        <v>9.0143481925428208</v>
      </c>
      <c r="BR4" s="115">
        <f>IFERROR(IF(d_Bv!T4=0,0,((s_Ir*s_F*s_I_f*s_T*(1-EXP(-s_RadSpec!BA4*s_t_v)))/(s_Y_v*s_RadSpec!BA4))),0)</f>
        <v>9.0143481925428208</v>
      </c>
      <c r="BS4" s="115">
        <f>IFERROR(IF(d_Bv!U4=0,0,((s_Ir*s_F*s_I_f*s_T*(1-EXP(-s_RadSpec!BA4*s_t_v)))/(s_Y_v*s_RadSpec!BA4))),0)</f>
        <v>9.0143481925428208</v>
      </c>
      <c r="BT4" s="115">
        <f>IFERROR(IF(d_Bv!V4=0,0,((s_Ir*s_F*s_I_f*s_T*(1-EXP(-s_RadSpec!BA4*s_t_v)))/(s_Y_v*s_RadSpec!BA4))),0)</f>
        <v>9.0143481925428208</v>
      </c>
      <c r="BU4" s="115">
        <f>IFERROR(IF(d_Bv!W4=0,0,((s_Ir*s_F*s_I_f*s_T*(1-EXP(-s_RadSpec!BA4*s_t_v)))/(s_Y_v*s_RadSpec!BA4))),0)</f>
        <v>9.0143481925428208</v>
      </c>
      <c r="BV4" s="115">
        <f>IFERROR(IF(d_Bv!X4=0,0,((s_Ir*s_F*s_I_f*s_T*(1-EXP(-s_RadSpec!BA4*s_t_v)))/(s_Y_v*s_RadSpec!BA4))),0)</f>
        <v>9.0143481925428208</v>
      </c>
      <c r="BW4" s="115">
        <f>IFERROR(IF(d_Bv!Y4=0,0,((s_Ir*s_F*s_I_f*s_T*(1-EXP(-s_RadSpec!BA4*s_t_v)))/(s_Y_v*s_RadSpec!BA4))),0)</f>
        <v>9.0143481925428208</v>
      </c>
      <c r="BX4" s="115">
        <f>IFERROR(IF(d_Bv!Z4=0,0,((s_Ir*s_F*s_I_f*s_T*(1-EXP(-s_RadSpec!BA4*s_t_v)))/(s_Y_v*s_RadSpec!BA4))),0)</f>
        <v>9.0143481925428208</v>
      </c>
      <c r="BY4" s="115">
        <f>IFERROR(IF(d_Bv!AA4=0,0,((s_Ir*s_F*s_I_f*s_T*(1-EXP(-s_RadSpec!BA4*s_t_v)))/(s_Y_v*s_RadSpec!BA4))),0)</f>
        <v>9.0143481925428208</v>
      </c>
    </row>
    <row r="5" spans="1:77" x14ac:dyDescent="0.25">
      <c r="A5" s="44" t="s">
        <v>15</v>
      </c>
      <c r="B5" s="42" t="s">
        <v>1071</v>
      </c>
      <c r="C5" s="115">
        <f>IFERROR(IF(d_Bv!C5=0,0,((s_Ir*s_F*d_Bv!C5*(1-EXP(-s_RadSpec!$AZ5*s_t_b)))/(s_P*s_RadSpec!$AZ5))),0)</f>
        <v>39.740144921492814</v>
      </c>
      <c r="D5" s="115">
        <f>IFERROR(IF(d_Bv!D5=0,0,((s_Ir*s_F*d_Bv!D5*(1-EXP(-s_RadSpec!AZ5*s_t_b)))/(s_P*s_RadSpec!AZ5))),0)</f>
        <v>39.740144921492814</v>
      </c>
      <c r="E5" s="115">
        <f>IFERROR(IF(d_Bv!E5=0,0,((s_Ir*s_F*d_Bv!E5*(1-EXP(-s_RadSpec!AZ5*s_t_b)))/(s_P*s_RadSpec!AZ5))),0)</f>
        <v>39.740144921492814</v>
      </c>
      <c r="F5" s="115">
        <f>IFERROR(IF(d_Bv!F5=0,0,((s_Ir*s_F*d_Bv!F5*(1-EXP(-s_RadSpec!AZ5*s_t_b)))/(s_P*s_RadSpec!AZ5))),0)</f>
        <v>39.740144921492814</v>
      </c>
      <c r="G5" s="115">
        <f>IFERROR(IF(d_Bv!G5=0,0,((s_Ir*s_F*d_Bv!G5*(1-EXP(-s_RadSpec!AZ5*s_t_b)))/(s_P*s_RadSpec!AZ5))),0)</f>
        <v>39.740144921492814</v>
      </c>
      <c r="H5" s="115">
        <f>IFERROR(IF(d_Bv!H5=0,0,((s_Ir*s_F*d_Bv!H5*(1-EXP(-s_RadSpec!AZ5*s_t_b)))/(s_P*s_RadSpec!AZ5))),0)</f>
        <v>39.740144921492814</v>
      </c>
      <c r="I5" s="115">
        <f>IFERROR(IF(d_Bv!I5=0,0,((s_Ir*s_F*d_Bv!I5*(1-EXP(-s_RadSpec!AZ5*s_t_b)))/(s_P*s_RadSpec!AZ5))),0)</f>
        <v>39.740144921492814</v>
      </c>
      <c r="J5" s="115">
        <f>IFERROR(IF(d_Bv!J5=0,0,((s_Ir*s_F*d_Bv!J5*(1-EXP(-s_RadSpec!AZ5*s_t_b)))/(s_P*s_RadSpec!AZ5))),0)</f>
        <v>39.740144921492814</v>
      </c>
      <c r="K5" s="115">
        <f>IFERROR(IF(d_Bv!K5=0,0,((s_Ir*s_F*d_Bv!K5*(1-EXP(-s_RadSpec!AZ5*s_t_b)))/(s_P*s_RadSpec!AZ5))),0)</f>
        <v>39.740144921492814</v>
      </c>
      <c r="L5" s="115">
        <f>IFERROR(IF(d_Bv!L5=0,0,((s_Ir*s_F*d_Bv!L5*(1-EXP(-s_RadSpec!AZ5*s_t_b)))/(s_P*s_RadSpec!AZ5))),0)</f>
        <v>39.740144921492814</v>
      </c>
      <c r="M5" s="115">
        <f>IFERROR(IF(d_Bv!M5=0,0,((s_Ir*s_F*d_Bv!M5*(1-EXP(-s_RadSpec!AZ5*s_t_b)))/(s_P*s_RadSpec!AZ5))),0)</f>
        <v>39.740144921492814</v>
      </c>
      <c r="N5" s="115">
        <f>IFERROR(IF(d_Bv!N5=0,0,((s_Ir*s_F*d_Bv!N5*(1-EXP(-s_RadSpec!AZ5*s_t_b)))/(s_P*s_RadSpec!AZ5))),0)</f>
        <v>39.740144921492814</v>
      </c>
      <c r="O5" s="115">
        <f>IFERROR(IF(d_Bv!O5=0,0,((s_Ir*s_F*d_Bv!O5*(1-EXP(-s_RadSpec!AZ5*s_t_b)))/(s_P*s_RadSpec!AZ5))),0)</f>
        <v>39.740144921492814</v>
      </c>
      <c r="P5" s="115">
        <f>IFERROR(IF(d_Bv!P5=0,0,((s_Ir*s_F*d_Bv!P5*(1-EXP(-s_RadSpec!AZ5*s_t_b)))/(s_P*s_RadSpec!AZ5))),0)</f>
        <v>39.740144921492814</v>
      </c>
      <c r="Q5" s="115">
        <f>IFERROR(IF(d_Bv!Q5=0,0,((s_Ir*s_F*d_Bv!Q5*(1-EXP(-s_RadSpec!AZ5*s_t_b)))/(s_P*s_RadSpec!AZ5))),0)</f>
        <v>39.740144921492814</v>
      </c>
      <c r="R5" s="115">
        <f>IFERROR(IF(d_Bv!R5=0,0,((s_Ir*s_F*d_Bv!R5*(1-EXP(-s_RadSpec!AZ5*s_t_b)))/(s_P*s_RadSpec!AZ5))),0)</f>
        <v>39.740144921492814</v>
      </c>
      <c r="S5" s="115">
        <f>IFERROR(IF(d_Bv!S5=0,0,((s_Ir*s_F*d_Bv!S5*(1-EXP(-s_RadSpec!AZ5*s_t_b)))/(s_P*s_RadSpec!AZ5))),0)</f>
        <v>39.740144921492814</v>
      </c>
      <c r="T5" s="115">
        <f>IFERROR(IF(d_Bv!T5=0,0,((s_Ir*s_F*d_Bv!T5*(1-EXP(-s_RadSpec!AZ5*s_t_b)))/(s_P*s_RadSpec!AZ5))),0)</f>
        <v>39.740144921492814</v>
      </c>
      <c r="U5" s="115">
        <f>IFERROR(IF(d_Bv!U5=0,0,((s_Ir*s_F*d_Bv!U5*(1-EXP(-s_RadSpec!AZ5*s_t_b)))/(s_P*s_RadSpec!AZ5))),0)</f>
        <v>39.740144921492814</v>
      </c>
      <c r="V5" s="115">
        <f>IFERROR(IF(d_Bv!V5=0,0,((s_Ir*s_F*d_Bv!V5*(1-EXP(-s_RadSpec!AZ5*s_t_b)))/(s_P*s_RadSpec!AZ5))),0)</f>
        <v>39.740144921492814</v>
      </c>
      <c r="W5" s="115">
        <f>IFERROR(IF(d_Bv!W5=0,0,((s_Ir*s_F*d_Bv!W5*(1-EXP(-s_RadSpec!AZ5*s_t_b)))/(s_P*s_RadSpec!AZ5))),0)</f>
        <v>39.740144921492814</v>
      </c>
      <c r="X5" s="115">
        <f>IFERROR(IF(d_Bv!X5=0,0,((s_Ir*s_F*d_Bv!X5*(1-EXP(-s_RadSpec!AZ5*s_t_b)))/(s_P*s_RadSpec!AZ5))),0)</f>
        <v>39.740144921492814</v>
      </c>
      <c r="Y5" s="115">
        <f>IFERROR(IF(d_Bv!Y5=0,0,((s_Ir*s_F*d_Bv!Y5*(1-EXP(-s_RadSpec!AZ5*s_t_b)))/(s_P*s_RadSpec!AZ5))),0)</f>
        <v>39.740144921492814</v>
      </c>
      <c r="Z5" s="115">
        <f>IFERROR(IF(d_Bv!Z5=0,0,((s_Ir*s_F*d_Bv!Z5*(1-EXP(-s_RadSpec!AZ5*s_t_b)))/(s_P*s_RadSpec!AZ5))),0)</f>
        <v>39.740144921492814</v>
      </c>
      <c r="AA5" s="115">
        <f>IFERROR(IF(d_Bv!AA5=0,0,((s_Ir*s_F*d_Bv!AA5*(1-EXP(-s_RadSpec!AZ5*s_t_b)))/(s_P*s_RadSpec!AZ5))),0)</f>
        <v>39.740144921492814</v>
      </c>
      <c r="AB5" s="115">
        <f>IFERROR(IF(d_Bv!C5=0,0,((s_Ir*s_F*s_MLF_apple*(1-EXP(-s_RadSpec!AZ5*s_t_b)))/(s_P*s_RadSpec!AZ5))),0)</f>
        <v>2.6824597822007652</v>
      </c>
      <c r="AC5" s="115">
        <f>IFERROR(IF(d_Bv!D5=0,0,((s_Ir*s_F*s_MLF_asparagus*(1-EXP(-s_RadSpec!AZ5*s_t_b)))/(s_P*s_RadSpec!AZ5))),0)</f>
        <v>2.6824597822007652</v>
      </c>
      <c r="AD5" s="115">
        <f>IFERROR(IF(d_Bv!E5=0,0,((s_Ir*s_F*s_MLF_beet*(1-EXP(-s_RadSpec!AZ5*s_t_b)))/(s_P*s_RadSpec!AZ5))),0)</f>
        <v>2.6824597822007652</v>
      </c>
      <c r="AE5" s="115">
        <f>IFERROR(IF(d_Bv!F5=0,0,((s_Ir*s_F*s_MLF_berries*(1-EXP(-s_RadSpec!AZ5*s_t_b)))/(s_P*s_RadSpec!AZ5))),0)</f>
        <v>2.6824597822007652</v>
      </c>
      <c r="AF5" s="115">
        <f>IFERROR(IF(d_Bv!G5=0,0,((s_Ir*s_F*s_MLF_broccoli*(1-EXP(-s_RadSpec!AZ5*s_t_b)))/(s_P*s_RadSpec!AZ5))),0)</f>
        <v>2.6824597822007652</v>
      </c>
      <c r="AG5" s="115">
        <f>IFERROR(IF(d_Bv!H5=0,0,((s_Ir*s_F*s_MLF_cabbage*(1-EXP(-s_RadSpec!AZ5*s_t_b)))/(s_P*s_RadSpec!AZ5))),0)</f>
        <v>2.6824597822007652</v>
      </c>
      <c r="AH5" s="115">
        <f>IFERROR(IF(d_Bv!I5=0,0,((s_Ir*s_F*s_MLF_carrot*(1-EXP(-s_RadSpec!AZ5*s_t_b)))/(s_P*s_RadSpec!AZ5))),0)</f>
        <v>2.6824597822007652</v>
      </c>
      <c r="AI5" s="115">
        <f>IFERROR(IF(d_Bv!J5=0,0,((s_Ir*s_F*s_MLF_citrus*(1-EXP(-s_RadSpec!AZ5*s_t_b)))/(s_P*s_RadSpec!AZ5))),0)</f>
        <v>2.6824597822007652</v>
      </c>
      <c r="AJ5" s="115">
        <f>IFERROR(IF(d_Bv!K5=0,0,((s_Ir*s_F*s_MLF_corn*(1-EXP(-s_RadSpec!AZ5*s_t_b)))/(s_P*s_RadSpec!AZ5))),0)</f>
        <v>2.6824597822007652</v>
      </c>
      <c r="AK5" s="115">
        <f>IFERROR(IF(d_Bv!L5=0,0,((s_Ir*s_F*s_MLF_cucumber*(1-EXP(-s_RadSpec!AZ5*s_t_b)))/(s_P*s_RadSpec!AZ5))),0)</f>
        <v>2.6824597822007652</v>
      </c>
      <c r="AL5" s="115">
        <f>IFERROR(IF(d_Bv!M5=0,0,((s_Ir*s_F*s_MLF_lettuce*(1-EXP(-s_RadSpec!AZ5*s_t_b)))/(s_P*s_RadSpec!AZ5))),0)</f>
        <v>2.6824597822007652</v>
      </c>
      <c r="AM5" s="115">
        <f>IFERROR(IF(d_Bv!N5=0,0,((s_Ir*s_F*s_MLF_lima_bean*(1-EXP(-s_RadSpec!AZ5*s_t_b)))/(s_P*s_RadSpec!AZ5))),0)</f>
        <v>2.6824597822007652</v>
      </c>
      <c r="AN5" s="115">
        <f>IFERROR(IF(d_Bv!O5=0,0,((s_Ir*s_F*s_MLF_okra*(1-EXP(-s_RadSpec!AZ5*s_t_b)))/(s_P*s_RadSpec!AZ5))),0)</f>
        <v>2.6824597822007652</v>
      </c>
      <c r="AO5" s="115">
        <f>IFERROR(IF(d_Bv!P5=0,0,((s_Ir*s_F*s_MLF_onion*(1-EXP(-s_RadSpec!AZ5*s_t_b)))/(s_P*s_RadSpec!AZ5))),0)</f>
        <v>2.6824597822007652</v>
      </c>
      <c r="AP5" s="115">
        <f>IFERROR(IF(d_Bv!Q5=0,0,((s_Ir*s_F*s_MLF_peach*(1-EXP(-s_RadSpec!AZ5*s_t_b)))/(s_P*s_RadSpec!AZ5))),0)</f>
        <v>2.6824597822007652</v>
      </c>
      <c r="AQ5" s="115">
        <f>IFERROR(IF(d_Bv!R5=0,0,((s_Ir*s_F*s_MLF_pear*(1-EXP(-s_RadSpec!AZ5*s_t_b)))/(s_P*s_RadSpec!AZ5))),0)</f>
        <v>2.6824597822007652</v>
      </c>
      <c r="AR5" s="115">
        <f>IFERROR(IF(d_Bv!S5=0,0,((s_Ir*s_F*s_MLF_peas*(1-EXP(-s_RadSpec!AZ5*s_t_b)))/(s_P*s_RadSpec!AZ5))),0)</f>
        <v>2.6824597822007652</v>
      </c>
      <c r="AS5" s="115">
        <f>IFERROR(IF(d_Bv!T5=0,0,((s_Ir*s_F*s_MLF_peppers*(1-EXP(-s_RadSpec!AZ5*s_t_b)))/(s_P*s_RadSpec!AZ5))),0)</f>
        <v>2.6824597822007652</v>
      </c>
      <c r="AT5" s="115">
        <f>IFERROR(IF(d_Bv!U5=0,0,((s_Ir*s_F*s_MLF_potato*(1-EXP(-s_RadSpec!AZ5*s_t_b)))/(s_P*s_RadSpec!AZ5))),0)</f>
        <v>2.6824597822007652</v>
      </c>
      <c r="AU5" s="115">
        <f>IFERROR(IF(d_Bv!V5=0,0,((s_Ir*s_F*s_MLF_pumpkin*(1-EXP(-s_RadSpec!AZ5*s_t_b)))/(s_P*s_RadSpec!AZ5))),0)</f>
        <v>2.6824597822007652</v>
      </c>
      <c r="AV5" s="115">
        <f>IFERROR(IF(d_Bv!W5=0,0,((s_Ir*s_F*s_MLF_snap_bean*(1-EXP(-s_RadSpec!AZ5*s_t_b)))/(s_P*s_RadSpec!AZ5))),0)</f>
        <v>2.6824597822007652</v>
      </c>
      <c r="AW5" s="115">
        <f>IFERROR(IF(d_Bv!X5=0,0,((s_Ir*s_F*s_MLF_strawberry*(1-EXP(-s_RadSpec!AZ5*s_t_b)))/(s_P*s_RadSpec!AZ5))),0)</f>
        <v>2.6824597822007652</v>
      </c>
      <c r="AX5" s="115">
        <f>IFERROR(IF(d_Bv!Y5=0,0,((s_Ir*s_F*s_MLF_tomato*(1-EXP(-s_RadSpec!AZ5*s_t_b)))/(s_P*s_RadSpec!AZ5))),0)</f>
        <v>2.6824597822007652</v>
      </c>
      <c r="AY5" s="115">
        <f>IFERROR(IF(d_Bv!Z5=0,0,((s_Ir*s_F*s_MLF_rice*(1-EXP(-s_RadSpec!AZ5*s_t_b)))/(s_P*s_RadSpec!AZ5))),0)</f>
        <v>2.6824597822007652</v>
      </c>
      <c r="AZ5" s="115">
        <f>IFERROR(IF(d_Bv!AA5=0,0,((s_Ir*s_F*s_MLF_cereal*(1-EXP(-s_RadSpec!AZ5*s_t_b)))/(s_P*s_RadSpec!AZ5))),0)</f>
        <v>2.6824597822007652</v>
      </c>
      <c r="BA5" s="115">
        <f>IFERROR(IF(d_Bv!C5=0,0,((s_Ir*s_F*s_I_f*s_T*(1-EXP(-s_RadSpec!BA5*s_t_v)))/(s_Y_v*s_RadSpec!BA5))),0)</f>
        <v>9.0143481925428208</v>
      </c>
      <c r="BB5" s="115">
        <f>IFERROR(IF(d_Bv!D5=0,0,((s_Ir*s_F*s_I_f*s_T*(1-EXP(-s_RadSpec!BA5*s_t_v)))/(s_Y_v*s_RadSpec!BA5))),0)</f>
        <v>9.0143481925428208</v>
      </c>
      <c r="BC5" s="115">
        <f>IFERROR(IF(d_Bv!E5=0,0,((s_Ir*s_F*s_I_f*s_T*(1-EXP(-s_RadSpec!BA5*s_t_v)))/(s_Y_v*s_RadSpec!BA5))),0)</f>
        <v>9.0143481925428208</v>
      </c>
      <c r="BD5" s="115">
        <f>IFERROR(IF(d_Bv!F5=0,0,((s_Ir*s_F*s_I_f*s_T*(1-EXP(-s_RadSpec!BA5*s_t_v)))/(s_Y_v*s_RadSpec!BA5))),0)</f>
        <v>9.0143481925428208</v>
      </c>
      <c r="BE5" s="115">
        <f>IFERROR(IF(d_Bv!G5=0,0,((s_Ir*s_F*s_I_f*s_T*(1-EXP(-s_RadSpec!BA5*s_t_v)))/(s_Y_v*s_RadSpec!BA5))),0)</f>
        <v>9.0143481925428208</v>
      </c>
      <c r="BF5" s="115">
        <f>IFERROR(IF(d_Bv!H5=0,0,((s_Ir*s_F*s_I_f*s_T*(1-EXP(-s_RadSpec!BA5*s_t_v)))/(s_Y_v*s_RadSpec!BA5))),0)</f>
        <v>9.0143481925428208</v>
      </c>
      <c r="BG5" s="115">
        <f>IFERROR(IF(d_Bv!I5=0,0,((s_Ir*s_F*s_I_f*s_T*(1-EXP(-s_RadSpec!BA5*s_t_v)))/(s_Y_v*s_RadSpec!BA5))),0)</f>
        <v>9.0143481925428208</v>
      </c>
      <c r="BH5" s="115">
        <f>IFERROR(IF(d_Bv!J5=0,0,((s_Ir*s_F*s_I_f*s_T*(1-EXP(-s_RadSpec!BA5*s_t_v)))/(s_Y_v*s_RadSpec!BA5))),0)</f>
        <v>9.0143481925428208</v>
      </c>
      <c r="BI5" s="115">
        <f>IFERROR(IF(d_Bv!K5=0,0,((s_Ir*s_F*s_I_f*s_T*(1-EXP(-s_RadSpec!BA5*s_t_v)))/(s_Y_v*s_RadSpec!BA5))),0)</f>
        <v>9.0143481925428208</v>
      </c>
      <c r="BJ5" s="115">
        <f>IFERROR(IF(d_Bv!L5=0,0,((s_Ir*s_F*s_I_f*s_T*(1-EXP(-s_RadSpec!BA5*s_t_v)))/(s_Y_v*s_RadSpec!BA5))),0)</f>
        <v>9.0143481925428208</v>
      </c>
      <c r="BK5" s="115">
        <f>IFERROR(IF(d_Bv!M5=0,0,((s_Ir*s_F*s_I_f*s_T*(1-EXP(-s_RadSpec!BA5*s_t_v)))/(s_Y_v*s_RadSpec!BA5))),0)</f>
        <v>9.0143481925428208</v>
      </c>
      <c r="BL5" s="115">
        <f>IFERROR(IF(d_Bv!N5=0,0,((s_Ir*s_F*s_I_f*s_T*(1-EXP(-s_RadSpec!BA5*s_t_v)))/(s_Y_v*s_RadSpec!BA5))),0)</f>
        <v>9.0143481925428208</v>
      </c>
      <c r="BM5" s="115">
        <f>IFERROR(IF(d_Bv!O5=0,0,((s_Ir*s_F*s_I_f*s_T*(1-EXP(-s_RadSpec!BA5*s_t_v)))/(s_Y_v*s_RadSpec!BA5))),0)</f>
        <v>9.0143481925428208</v>
      </c>
      <c r="BN5" s="115">
        <f>IFERROR(IF(d_Bv!P5=0,0,((s_Ir*s_F*s_I_f*s_T*(1-EXP(-s_RadSpec!BA5*s_t_v)))/(s_Y_v*s_RadSpec!BA5))),0)</f>
        <v>9.0143481925428208</v>
      </c>
      <c r="BO5" s="115">
        <f>IFERROR(IF(d_Bv!Q5=0,0,((s_Ir*s_F*s_I_f*s_T*(1-EXP(-s_RadSpec!BA5*s_t_v)))/(s_Y_v*s_RadSpec!BA5))),0)</f>
        <v>9.0143481925428208</v>
      </c>
      <c r="BP5" s="115">
        <f>IFERROR(IF(d_Bv!R5=0,0,((s_Ir*s_F*s_I_f*s_T*(1-EXP(-s_RadSpec!BA5*s_t_v)))/(s_Y_v*s_RadSpec!BA5))),0)</f>
        <v>9.0143481925428208</v>
      </c>
      <c r="BQ5" s="115">
        <f>IFERROR(IF(d_Bv!S5=0,0,((s_Ir*s_F*s_I_f*s_T*(1-EXP(-s_RadSpec!BA5*s_t_v)))/(s_Y_v*s_RadSpec!BA5))),0)</f>
        <v>9.0143481925428208</v>
      </c>
      <c r="BR5" s="115">
        <f>IFERROR(IF(d_Bv!T5=0,0,((s_Ir*s_F*s_I_f*s_T*(1-EXP(-s_RadSpec!BA5*s_t_v)))/(s_Y_v*s_RadSpec!BA5))),0)</f>
        <v>9.0143481925428208</v>
      </c>
      <c r="BS5" s="115">
        <f>IFERROR(IF(d_Bv!U5=0,0,((s_Ir*s_F*s_I_f*s_T*(1-EXP(-s_RadSpec!BA5*s_t_v)))/(s_Y_v*s_RadSpec!BA5))),0)</f>
        <v>9.0143481925428208</v>
      </c>
      <c r="BT5" s="115">
        <f>IFERROR(IF(d_Bv!V5=0,0,((s_Ir*s_F*s_I_f*s_T*(1-EXP(-s_RadSpec!BA5*s_t_v)))/(s_Y_v*s_RadSpec!BA5))),0)</f>
        <v>9.0143481925428208</v>
      </c>
      <c r="BU5" s="115">
        <f>IFERROR(IF(d_Bv!W5=0,0,((s_Ir*s_F*s_I_f*s_T*(1-EXP(-s_RadSpec!BA5*s_t_v)))/(s_Y_v*s_RadSpec!BA5))),0)</f>
        <v>9.0143481925428208</v>
      </c>
      <c r="BV5" s="115">
        <f>IFERROR(IF(d_Bv!X5=0,0,((s_Ir*s_F*s_I_f*s_T*(1-EXP(-s_RadSpec!BA5*s_t_v)))/(s_Y_v*s_RadSpec!BA5))),0)</f>
        <v>9.0143481925428208</v>
      </c>
      <c r="BW5" s="115">
        <f>IFERROR(IF(d_Bv!Y5=0,0,((s_Ir*s_F*s_I_f*s_T*(1-EXP(-s_RadSpec!BA5*s_t_v)))/(s_Y_v*s_RadSpec!BA5))),0)</f>
        <v>9.0143481925428208</v>
      </c>
      <c r="BX5" s="115">
        <f>IFERROR(IF(d_Bv!Z5=0,0,((s_Ir*s_F*s_I_f*s_T*(1-EXP(-s_RadSpec!BA5*s_t_v)))/(s_Y_v*s_RadSpec!BA5))),0)</f>
        <v>9.0143481925428208</v>
      </c>
      <c r="BY5" s="115">
        <f>IFERROR(IF(d_Bv!AA5=0,0,((s_Ir*s_F*s_I_f*s_T*(1-EXP(-s_RadSpec!BA5*s_t_v)))/(s_Y_v*s_RadSpec!BA5))),0)</f>
        <v>9.0143481925428208</v>
      </c>
    </row>
    <row r="6" spans="1:77" x14ac:dyDescent="0.25">
      <c r="A6" s="44" t="s">
        <v>16</v>
      </c>
      <c r="B6" s="42" t="s">
        <v>1071</v>
      </c>
      <c r="C6" s="115">
        <f>IFERROR(IF(d_Bv!C6=0,0,((s_Ir*s_F*d_Bv!C6*(1-EXP(-s_RadSpec!$AZ6*s_t_b)))/(s_P*s_RadSpec!$AZ6))),0)</f>
        <v>1.9870072460746409</v>
      </c>
      <c r="D6" s="115">
        <f>IFERROR(IF(d_Bv!D6=0,0,((s_Ir*s_F*d_Bv!D6*(1-EXP(-s_RadSpec!AZ6*s_t_b)))/(s_P*s_RadSpec!AZ6))),0)</f>
        <v>0.99350362303732043</v>
      </c>
      <c r="E6" s="115">
        <f>IFERROR(IF(d_Bv!E6=0,0,((s_Ir*s_F*d_Bv!E6*(1-EXP(-s_RadSpec!AZ6*s_t_b)))/(s_P*s_RadSpec!AZ6))),0)</f>
        <v>0.99350362303732043</v>
      </c>
      <c r="F6" s="115">
        <f>IFERROR(IF(d_Bv!F6=0,0,((s_Ir*s_F*d_Bv!F6*(1-EXP(-s_RadSpec!AZ6*s_t_b)))/(s_P*s_RadSpec!AZ6))),0)</f>
        <v>1.9870072460746409</v>
      </c>
      <c r="G6" s="115">
        <f>IFERROR(IF(d_Bv!G6=0,0,((s_Ir*s_F*d_Bv!G6*(1-EXP(-s_RadSpec!AZ6*s_t_b)))/(s_P*s_RadSpec!AZ6))),0)</f>
        <v>1.9870072460746409</v>
      </c>
      <c r="H6" s="115">
        <f>IFERROR(IF(d_Bv!H6=0,0,((s_Ir*s_F*d_Bv!H6*(1-EXP(-s_RadSpec!AZ6*s_t_b)))/(s_P*s_RadSpec!AZ6))),0)</f>
        <v>0.99350362303732043</v>
      </c>
      <c r="I6" s="115">
        <f>IFERROR(IF(d_Bv!I6=0,0,((s_Ir*s_F*d_Bv!I6*(1-EXP(-s_RadSpec!AZ6*s_t_b)))/(s_P*s_RadSpec!AZ6))),0)</f>
        <v>0.99350362303732043</v>
      </c>
      <c r="J6" s="115">
        <f>IFERROR(IF(d_Bv!J6=0,0,((s_Ir*s_F*d_Bv!J6*(1-EXP(-s_RadSpec!AZ6*s_t_b)))/(s_P*s_RadSpec!AZ6))),0)</f>
        <v>1.9870072460746409</v>
      </c>
      <c r="K6" s="115">
        <f>IFERROR(IF(d_Bv!K6=0,0,((s_Ir*s_F*d_Bv!K6*(1-EXP(-s_RadSpec!AZ6*s_t_b)))/(s_P*s_RadSpec!AZ6))),0)</f>
        <v>1.9870072460746409</v>
      </c>
      <c r="L6" s="115">
        <f>IFERROR(IF(d_Bv!L6=0,0,((s_Ir*s_F*d_Bv!L6*(1-EXP(-s_RadSpec!AZ6*s_t_b)))/(s_P*s_RadSpec!AZ6))),0)</f>
        <v>1.9870072460746409</v>
      </c>
      <c r="M6" s="115">
        <f>IFERROR(IF(d_Bv!M6=0,0,((s_Ir*s_F*d_Bv!M6*(1-EXP(-s_RadSpec!AZ6*s_t_b)))/(s_P*s_RadSpec!AZ6))),0)</f>
        <v>0.99350362303732043</v>
      </c>
      <c r="N6" s="115">
        <f>IFERROR(IF(d_Bv!N6=0,0,((s_Ir*s_F*d_Bv!N6*(1-EXP(-s_RadSpec!AZ6*s_t_b)))/(s_P*s_RadSpec!AZ6))),0)</f>
        <v>1.9870072460746409</v>
      </c>
      <c r="O6" s="115">
        <f>IFERROR(IF(d_Bv!O6=0,0,((s_Ir*s_F*d_Bv!O6*(1-EXP(-s_RadSpec!AZ6*s_t_b)))/(s_P*s_RadSpec!AZ6))),0)</f>
        <v>1.9870072460746409</v>
      </c>
      <c r="P6" s="115">
        <f>IFERROR(IF(d_Bv!P6=0,0,((s_Ir*s_F*d_Bv!P6*(1-EXP(-s_RadSpec!AZ6*s_t_b)))/(s_P*s_RadSpec!AZ6))),0)</f>
        <v>0.99350362303732043</v>
      </c>
      <c r="Q6" s="115">
        <f>IFERROR(IF(d_Bv!Q6=0,0,((s_Ir*s_F*d_Bv!Q6*(1-EXP(-s_RadSpec!AZ6*s_t_b)))/(s_P*s_RadSpec!AZ6))),0)</f>
        <v>1.9870072460746409</v>
      </c>
      <c r="R6" s="115">
        <f>IFERROR(IF(d_Bv!R6=0,0,((s_Ir*s_F*d_Bv!R6*(1-EXP(-s_RadSpec!AZ6*s_t_b)))/(s_P*s_RadSpec!AZ6))),0)</f>
        <v>1.9870072460746409</v>
      </c>
      <c r="S6" s="115">
        <f>IFERROR(IF(d_Bv!S6=0,0,((s_Ir*s_F*d_Bv!S6*(1-EXP(-s_RadSpec!AZ6*s_t_b)))/(s_P*s_RadSpec!AZ6))),0)</f>
        <v>1.9870072460746409</v>
      </c>
      <c r="T6" s="115">
        <f>IFERROR(IF(d_Bv!T6=0,0,((s_Ir*s_F*d_Bv!T6*(1-EXP(-s_RadSpec!AZ6*s_t_b)))/(s_P*s_RadSpec!AZ6))),0)</f>
        <v>1.9870072460746409</v>
      </c>
      <c r="U6" s="115">
        <f>IFERROR(IF(d_Bv!U6=0,0,((s_Ir*s_F*d_Bv!U6*(1-EXP(-s_RadSpec!AZ6*s_t_b)))/(s_P*s_RadSpec!AZ6))),0)</f>
        <v>0.99350362303732043</v>
      </c>
      <c r="V6" s="115">
        <f>IFERROR(IF(d_Bv!V6=0,0,((s_Ir*s_F*d_Bv!V6*(1-EXP(-s_RadSpec!AZ6*s_t_b)))/(s_P*s_RadSpec!AZ6))),0)</f>
        <v>1.9870072460746409</v>
      </c>
      <c r="W6" s="115">
        <f>IFERROR(IF(d_Bv!W6=0,0,((s_Ir*s_F*d_Bv!W6*(1-EXP(-s_RadSpec!AZ6*s_t_b)))/(s_P*s_RadSpec!AZ6))),0)</f>
        <v>1.9870072460746409</v>
      </c>
      <c r="X6" s="115">
        <f>IFERROR(IF(d_Bv!X6=0,0,((s_Ir*s_F*d_Bv!X6*(1-EXP(-s_RadSpec!AZ6*s_t_b)))/(s_P*s_RadSpec!AZ6))),0)</f>
        <v>1.9870072460746409</v>
      </c>
      <c r="Y6" s="115">
        <f>IFERROR(IF(d_Bv!Y6=0,0,((s_Ir*s_F*d_Bv!Y6*(1-EXP(-s_RadSpec!AZ6*s_t_b)))/(s_P*s_RadSpec!AZ6))),0)</f>
        <v>1.9870072460746409</v>
      </c>
      <c r="Z6" s="115">
        <f>IFERROR(IF(d_Bv!Z6=0,0,((s_Ir*s_F*d_Bv!Z6*(1-EXP(-s_RadSpec!AZ6*s_t_b)))/(s_P*s_RadSpec!AZ6))),0)</f>
        <v>0.18677868113101623</v>
      </c>
      <c r="AA6" s="115">
        <f>IFERROR(IF(d_Bv!AA6=0,0,((s_Ir*s_F*d_Bv!AA6*(1-EXP(-s_RadSpec!AZ6*s_t_b)))/(s_P*s_RadSpec!AZ6))),0)</f>
        <v>0.19870072460746407</v>
      </c>
      <c r="AB6" s="115">
        <f>IFERROR(IF(d_Bv!C6=0,0,((s_Ir*s_F*s_MLF_apple*(1-EXP(-s_RadSpec!AZ6*s_t_b)))/(s_P*s_RadSpec!AZ6))),0)</f>
        <v>2.6824597822007652</v>
      </c>
      <c r="AC6" s="115">
        <f>IFERROR(IF(d_Bv!D6=0,0,((s_Ir*s_F*s_MLF_asparagus*(1-EXP(-s_RadSpec!AZ6*s_t_b)))/(s_P*s_RadSpec!AZ6))),0)</f>
        <v>2.6824597822007652</v>
      </c>
      <c r="AD6" s="115">
        <f>IFERROR(IF(d_Bv!E6=0,0,((s_Ir*s_F*s_MLF_beet*(1-EXP(-s_RadSpec!AZ6*s_t_b)))/(s_P*s_RadSpec!AZ6))),0)</f>
        <v>2.6824597822007652</v>
      </c>
      <c r="AE6" s="115">
        <f>IFERROR(IF(d_Bv!F6=0,0,((s_Ir*s_F*s_MLF_berries*(1-EXP(-s_RadSpec!AZ6*s_t_b)))/(s_P*s_RadSpec!AZ6))),0)</f>
        <v>2.6824597822007652</v>
      </c>
      <c r="AF6" s="115">
        <f>IFERROR(IF(d_Bv!G6=0,0,((s_Ir*s_F*s_MLF_broccoli*(1-EXP(-s_RadSpec!AZ6*s_t_b)))/(s_P*s_RadSpec!AZ6))),0)</f>
        <v>2.6824597822007652</v>
      </c>
      <c r="AG6" s="115">
        <f>IFERROR(IF(d_Bv!H6=0,0,((s_Ir*s_F*s_MLF_cabbage*(1-EXP(-s_RadSpec!AZ6*s_t_b)))/(s_P*s_RadSpec!AZ6))),0)</f>
        <v>2.6824597822007652</v>
      </c>
      <c r="AH6" s="115">
        <f>IFERROR(IF(d_Bv!I6=0,0,((s_Ir*s_F*s_MLF_carrot*(1-EXP(-s_RadSpec!AZ6*s_t_b)))/(s_P*s_RadSpec!AZ6))),0)</f>
        <v>2.6824597822007652</v>
      </c>
      <c r="AI6" s="115">
        <f>IFERROR(IF(d_Bv!J6=0,0,((s_Ir*s_F*s_MLF_citrus*(1-EXP(-s_RadSpec!AZ6*s_t_b)))/(s_P*s_RadSpec!AZ6))),0)</f>
        <v>2.6824597822007652</v>
      </c>
      <c r="AJ6" s="115">
        <f>IFERROR(IF(d_Bv!K6=0,0,((s_Ir*s_F*s_MLF_corn*(1-EXP(-s_RadSpec!AZ6*s_t_b)))/(s_P*s_RadSpec!AZ6))),0)</f>
        <v>2.6824597822007652</v>
      </c>
      <c r="AK6" s="115">
        <f>IFERROR(IF(d_Bv!L6=0,0,((s_Ir*s_F*s_MLF_cucumber*(1-EXP(-s_RadSpec!AZ6*s_t_b)))/(s_P*s_RadSpec!AZ6))),0)</f>
        <v>2.6824597822007652</v>
      </c>
      <c r="AL6" s="115">
        <f>IFERROR(IF(d_Bv!M6=0,0,((s_Ir*s_F*s_MLF_lettuce*(1-EXP(-s_RadSpec!AZ6*s_t_b)))/(s_P*s_RadSpec!AZ6))),0)</f>
        <v>2.6824597822007652</v>
      </c>
      <c r="AM6" s="115">
        <f>IFERROR(IF(d_Bv!N6=0,0,((s_Ir*s_F*s_MLF_lima_bean*(1-EXP(-s_RadSpec!AZ6*s_t_b)))/(s_P*s_RadSpec!AZ6))),0)</f>
        <v>2.6824597822007652</v>
      </c>
      <c r="AN6" s="115">
        <f>IFERROR(IF(d_Bv!O6=0,0,((s_Ir*s_F*s_MLF_okra*(1-EXP(-s_RadSpec!AZ6*s_t_b)))/(s_P*s_RadSpec!AZ6))),0)</f>
        <v>2.6824597822007652</v>
      </c>
      <c r="AO6" s="115">
        <f>IFERROR(IF(d_Bv!P6=0,0,((s_Ir*s_F*s_MLF_onion*(1-EXP(-s_RadSpec!AZ6*s_t_b)))/(s_P*s_RadSpec!AZ6))),0)</f>
        <v>2.6824597822007652</v>
      </c>
      <c r="AP6" s="115">
        <f>IFERROR(IF(d_Bv!Q6=0,0,((s_Ir*s_F*s_MLF_peach*(1-EXP(-s_RadSpec!AZ6*s_t_b)))/(s_P*s_RadSpec!AZ6))),0)</f>
        <v>2.6824597822007652</v>
      </c>
      <c r="AQ6" s="115">
        <f>IFERROR(IF(d_Bv!R6=0,0,((s_Ir*s_F*s_MLF_pear*(1-EXP(-s_RadSpec!AZ6*s_t_b)))/(s_P*s_RadSpec!AZ6))),0)</f>
        <v>2.6824597822007652</v>
      </c>
      <c r="AR6" s="115">
        <f>IFERROR(IF(d_Bv!S6=0,0,((s_Ir*s_F*s_MLF_peas*(1-EXP(-s_RadSpec!AZ6*s_t_b)))/(s_P*s_RadSpec!AZ6))),0)</f>
        <v>2.6824597822007652</v>
      </c>
      <c r="AS6" s="115">
        <f>IFERROR(IF(d_Bv!T6=0,0,((s_Ir*s_F*s_MLF_peppers*(1-EXP(-s_RadSpec!AZ6*s_t_b)))/(s_P*s_RadSpec!AZ6))),0)</f>
        <v>2.6824597822007652</v>
      </c>
      <c r="AT6" s="115">
        <f>IFERROR(IF(d_Bv!U6=0,0,((s_Ir*s_F*s_MLF_potato*(1-EXP(-s_RadSpec!AZ6*s_t_b)))/(s_P*s_RadSpec!AZ6))),0)</f>
        <v>2.6824597822007652</v>
      </c>
      <c r="AU6" s="115">
        <f>IFERROR(IF(d_Bv!V6=0,0,((s_Ir*s_F*s_MLF_pumpkin*(1-EXP(-s_RadSpec!AZ6*s_t_b)))/(s_P*s_RadSpec!AZ6))),0)</f>
        <v>2.6824597822007652</v>
      </c>
      <c r="AV6" s="115">
        <f>IFERROR(IF(d_Bv!W6=0,0,((s_Ir*s_F*s_MLF_snap_bean*(1-EXP(-s_RadSpec!AZ6*s_t_b)))/(s_P*s_RadSpec!AZ6))),0)</f>
        <v>2.6824597822007652</v>
      </c>
      <c r="AW6" s="115">
        <f>IFERROR(IF(d_Bv!X6=0,0,((s_Ir*s_F*s_MLF_strawberry*(1-EXP(-s_RadSpec!AZ6*s_t_b)))/(s_P*s_RadSpec!AZ6))),0)</f>
        <v>2.6824597822007652</v>
      </c>
      <c r="AX6" s="115">
        <f>IFERROR(IF(d_Bv!Y6=0,0,((s_Ir*s_F*s_MLF_tomato*(1-EXP(-s_RadSpec!AZ6*s_t_b)))/(s_P*s_RadSpec!AZ6))),0)</f>
        <v>2.6824597822007652</v>
      </c>
      <c r="AY6" s="115">
        <f>IFERROR(IF(d_Bv!Z6=0,0,((s_Ir*s_F*s_MLF_rice*(1-EXP(-s_RadSpec!AZ6*s_t_b)))/(s_P*s_RadSpec!AZ6))),0)</f>
        <v>2.6824597822007652</v>
      </c>
      <c r="AZ6" s="115">
        <f>IFERROR(IF(d_Bv!AA6=0,0,((s_Ir*s_F*s_MLF_cereal*(1-EXP(-s_RadSpec!AZ6*s_t_b)))/(s_P*s_RadSpec!AZ6))),0)</f>
        <v>2.6824597822007652</v>
      </c>
      <c r="BA6" s="115">
        <f>IFERROR(IF(d_Bv!C6=0,0,((s_Ir*s_F*s_I_f*s_T*(1-EXP(-s_RadSpec!BA6*s_t_v)))/(s_Y_v*s_RadSpec!BA6))),0)</f>
        <v>9.0143481925428208</v>
      </c>
      <c r="BB6" s="115">
        <f>IFERROR(IF(d_Bv!D6=0,0,((s_Ir*s_F*s_I_f*s_T*(1-EXP(-s_RadSpec!BA6*s_t_v)))/(s_Y_v*s_RadSpec!BA6))),0)</f>
        <v>9.0143481925428208</v>
      </c>
      <c r="BC6" s="115">
        <f>IFERROR(IF(d_Bv!E6=0,0,((s_Ir*s_F*s_I_f*s_T*(1-EXP(-s_RadSpec!BA6*s_t_v)))/(s_Y_v*s_RadSpec!BA6))),0)</f>
        <v>9.0143481925428208</v>
      </c>
      <c r="BD6" s="115">
        <f>IFERROR(IF(d_Bv!F6=0,0,((s_Ir*s_F*s_I_f*s_T*(1-EXP(-s_RadSpec!BA6*s_t_v)))/(s_Y_v*s_RadSpec!BA6))),0)</f>
        <v>9.0143481925428208</v>
      </c>
      <c r="BE6" s="115">
        <f>IFERROR(IF(d_Bv!G6=0,0,((s_Ir*s_F*s_I_f*s_T*(1-EXP(-s_RadSpec!BA6*s_t_v)))/(s_Y_v*s_RadSpec!BA6))),0)</f>
        <v>9.0143481925428208</v>
      </c>
      <c r="BF6" s="115">
        <f>IFERROR(IF(d_Bv!H6=0,0,((s_Ir*s_F*s_I_f*s_T*(1-EXP(-s_RadSpec!BA6*s_t_v)))/(s_Y_v*s_RadSpec!BA6))),0)</f>
        <v>9.0143481925428208</v>
      </c>
      <c r="BG6" s="115">
        <f>IFERROR(IF(d_Bv!I6=0,0,((s_Ir*s_F*s_I_f*s_T*(1-EXP(-s_RadSpec!BA6*s_t_v)))/(s_Y_v*s_RadSpec!BA6))),0)</f>
        <v>9.0143481925428208</v>
      </c>
      <c r="BH6" s="115">
        <f>IFERROR(IF(d_Bv!J6=0,0,((s_Ir*s_F*s_I_f*s_T*(1-EXP(-s_RadSpec!BA6*s_t_v)))/(s_Y_v*s_RadSpec!BA6))),0)</f>
        <v>9.0143481925428208</v>
      </c>
      <c r="BI6" s="115">
        <f>IFERROR(IF(d_Bv!K6=0,0,((s_Ir*s_F*s_I_f*s_T*(1-EXP(-s_RadSpec!BA6*s_t_v)))/(s_Y_v*s_RadSpec!BA6))),0)</f>
        <v>9.0143481925428208</v>
      </c>
      <c r="BJ6" s="115">
        <f>IFERROR(IF(d_Bv!L6=0,0,((s_Ir*s_F*s_I_f*s_T*(1-EXP(-s_RadSpec!BA6*s_t_v)))/(s_Y_v*s_RadSpec!BA6))),0)</f>
        <v>9.0143481925428208</v>
      </c>
      <c r="BK6" s="115">
        <f>IFERROR(IF(d_Bv!M6=0,0,((s_Ir*s_F*s_I_f*s_T*(1-EXP(-s_RadSpec!BA6*s_t_v)))/(s_Y_v*s_RadSpec!BA6))),0)</f>
        <v>9.0143481925428208</v>
      </c>
      <c r="BL6" s="115">
        <f>IFERROR(IF(d_Bv!N6=0,0,((s_Ir*s_F*s_I_f*s_T*(1-EXP(-s_RadSpec!BA6*s_t_v)))/(s_Y_v*s_RadSpec!BA6))),0)</f>
        <v>9.0143481925428208</v>
      </c>
      <c r="BM6" s="115">
        <f>IFERROR(IF(d_Bv!O6=0,0,((s_Ir*s_F*s_I_f*s_T*(1-EXP(-s_RadSpec!BA6*s_t_v)))/(s_Y_v*s_RadSpec!BA6))),0)</f>
        <v>9.0143481925428208</v>
      </c>
      <c r="BN6" s="115">
        <f>IFERROR(IF(d_Bv!P6=0,0,((s_Ir*s_F*s_I_f*s_T*(1-EXP(-s_RadSpec!BA6*s_t_v)))/(s_Y_v*s_RadSpec!BA6))),0)</f>
        <v>9.0143481925428208</v>
      </c>
      <c r="BO6" s="115">
        <f>IFERROR(IF(d_Bv!Q6=0,0,((s_Ir*s_F*s_I_f*s_T*(1-EXP(-s_RadSpec!BA6*s_t_v)))/(s_Y_v*s_RadSpec!BA6))),0)</f>
        <v>9.0143481925428208</v>
      </c>
      <c r="BP6" s="115">
        <f>IFERROR(IF(d_Bv!R6=0,0,((s_Ir*s_F*s_I_f*s_T*(1-EXP(-s_RadSpec!BA6*s_t_v)))/(s_Y_v*s_RadSpec!BA6))),0)</f>
        <v>9.0143481925428208</v>
      </c>
      <c r="BQ6" s="115">
        <f>IFERROR(IF(d_Bv!S6=0,0,((s_Ir*s_F*s_I_f*s_T*(1-EXP(-s_RadSpec!BA6*s_t_v)))/(s_Y_v*s_RadSpec!BA6))),0)</f>
        <v>9.0143481925428208</v>
      </c>
      <c r="BR6" s="115">
        <f>IFERROR(IF(d_Bv!T6=0,0,((s_Ir*s_F*s_I_f*s_T*(1-EXP(-s_RadSpec!BA6*s_t_v)))/(s_Y_v*s_RadSpec!BA6))),0)</f>
        <v>9.0143481925428208</v>
      </c>
      <c r="BS6" s="115">
        <f>IFERROR(IF(d_Bv!U6=0,0,((s_Ir*s_F*s_I_f*s_T*(1-EXP(-s_RadSpec!BA6*s_t_v)))/(s_Y_v*s_RadSpec!BA6))),0)</f>
        <v>9.0143481925428208</v>
      </c>
      <c r="BT6" s="115">
        <f>IFERROR(IF(d_Bv!V6=0,0,((s_Ir*s_F*s_I_f*s_T*(1-EXP(-s_RadSpec!BA6*s_t_v)))/(s_Y_v*s_RadSpec!BA6))),0)</f>
        <v>9.0143481925428208</v>
      </c>
      <c r="BU6" s="115">
        <f>IFERROR(IF(d_Bv!W6=0,0,((s_Ir*s_F*s_I_f*s_T*(1-EXP(-s_RadSpec!BA6*s_t_v)))/(s_Y_v*s_RadSpec!BA6))),0)</f>
        <v>9.0143481925428208</v>
      </c>
      <c r="BV6" s="115">
        <f>IFERROR(IF(d_Bv!X6=0,0,((s_Ir*s_F*s_I_f*s_T*(1-EXP(-s_RadSpec!BA6*s_t_v)))/(s_Y_v*s_RadSpec!BA6))),0)</f>
        <v>9.0143481925428208</v>
      </c>
      <c r="BW6" s="115">
        <f>IFERROR(IF(d_Bv!Y6=0,0,((s_Ir*s_F*s_I_f*s_T*(1-EXP(-s_RadSpec!BA6*s_t_v)))/(s_Y_v*s_RadSpec!BA6))),0)</f>
        <v>9.0143481925428208</v>
      </c>
      <c r="BX6" s="115">
        <f>IFERROR(IF(d_Bv!Z6=0,0,((s_Ir*s_F*s_I_f*s_T*(1-EXP(-s_RadSpec!BA6*s_t_v)))/(s_Y_v*s_RadSpec!BA6))),0)</f>
        <v>9.0143481925428208</v>
      </c>
      <c r="BY6" s="115">
        <f>IFERROR(IF(d_Bv!AA6=0,0,((s_Ir*s_F*s_I_f*s_T*(1-EXP(-s_RadSpec!BA6*s_t_v)))/(s_Y_v*s_RadSpec!BA6))),0)</f>
        <v>9.0143481925428208</v>
      </c>
    </row>
    <row r="7" spans="1:77" x14ac:dyDescent="0.25">
      <c r="A7" s="44" t="s">
        <v>17</v>
      </c>
      <c r="B7" s="42" t="s">
        <v>1071</v>
      </c>
      <c r="C7" s="115">
        <f>IFERROR(IF(d_Bv!C7=0,0,((s_Ir*s_F*d_Bv!C7*(1-EXP(-s_RadSpec!$AZ7*s_t_b)))/(s_P*s_RadSpec!$AZ7))),0)</f>
        <v>19.870072460746407</v>
      </c>
      <c r="D7" s="115">
        <f>IFERROR(IF(d_Bv!D7=0,0,((s_Ir*s_F*d_Bv!D7*(1-EXP(-s_RadSpec!AZ7*s_t_b)))/(s_P*s_RadSpec!AZ7))),0)</f>
        <v>19.870072460746407</v>
      </c>
      <c r="E7" s="115">
        <f>IFERROR(IF(d_Bv!E7=0,0,((s_Ir*s_F*d_Bv!E7*(1-EXP(-s_RadSpec!AZ7*s_t_b)))/(s_P*s_RadSpec!AZ7))),0)</f>
        <v>19.870072460746407</v>
      </c>
      <c r="F7" s="115">
        <f>IFERROR(IF(d_Bv!F7=0,0,((s_Ir*s_F*d_Bv!F7*(1-EXP(-s_RadSpec!AZ7*s_t_b)))/(s_P*s_RadSpec!AZ7))),0)</f>
        <v>19.870072460746407</v>
      </c>
      <c r="G7" s="115">
        <f>IFERROR(IF(d_Bv!G7=0,0,((s_Ir*s_F*d_Bv!G7*(1-EXP(-s_RadSpec!AZ7*s_t_b)))/(s_P*s_RadSpec!AZ7))),0)</f>
        <v>19.870072460746407</v>
      </c>
      <c r="H7" s="115">
        <f>IFERROR(IF(d_Bv!H7=0,0,((s_Ir*s_F*d_Bv!H7*(1-EXP(-s_RadSpec!AZ7*s_t_b)))/(s_P*s_RadSpec!AZ7))),0)</f>
        <v>19.870072460746407</v>
      </c>
      <c r="I7" s="115">
        <f>IFERROR(IF(d_Bv!I7=0,0,((s_Ir*s_F*d_Bv!I7*(1-EXP(-s_RadSpec!AZ7*s_t_b)))/(s_P*s_RadSpec!AZ7))),0)</f>
        <v>19.870072460746407</v>
      </c>
      <c r="J7" s="115">
        <f>IFERROR(IF(d_Bv!J7=0,0,((s_Ir*s_F*d_Bv!J7*(1-EXP(-s_RadSpec!AZ7*s_t_b)))/(s_P*s_RadSpec!AZ7))),0)</f>
        <v>19.870072460746407</v>
      </c>
      <c r="K7" s="115">
        <f>IFERROR(IF(d_Bv!K7=0,0,((s_Ir*s_F*d_Bv!K7*(1-EXP(-s_RadSpec!AZ7*s_t_b)))/(s_P*s_RadSpec!AZ7))),0)</f>
        <v>19.870072460746407</v>
      </c>
      <c r="L7" s="115">
        <f>IFERROR(IF(d_Bv!L7=0,0,((s_Ir*s_F*d_Bv!L7*(1-EXP(-s_RadSpec!AZ7*s_t_b)))/(s_P*s_RadSpec!AZ7))),0)</f>
        <v>19.870072460746407</v>
      </c>
      <c r="M7" s="115">
        <f>IFERROR(IF(d_Bv!M7=0,0,((s_Ir*s_F*d_Bv!M7*(1-EXP(-s_RadSpec!AZ7*s_t_b)))/(s_P*s_RadSpec!AZ7))),0)</f>
        <v>19.870072460746407</v>
      </c>
      <c r="N7" s="115">
        <f>IFERROR(IF(d_Bv!N7=0,0,((s_Ir*s_F*d_Bv!N7*(1-EXP(-s_RadSpec!AZ7*s_t_b)))/(s_P*s_RadSpec!AZ7))),0)</f>
        <v>19.870072460746407</v>
      </c>
      <c r="O7" s="115">
        <f>IFERROR(IF(d_Bv!O7=0,0,((s_Ir*s_F*d_Bv!O7*(1-EXP(-s_RadSpec!AZ7*s_t_b)))/(s_P*s_RadSpec!AZ7))),0)</f>
        <v>19.870072460746407</v>
      </c>
      <c r="P7" s="115">
        <f>IFERROR(IF(d_Bv!P7=0,0,((s_Ir*s_F*d_Bv!P7*(1-EXP(-s_RadSpec!AZ7*s_t_b)))/(s_P*s_RadSpec!AZ7))),0)</f>
        <v>19.870072460746407</v>
      </c>
      <c r="Q7" s="115">
        <f>IFERROR(IF(d_Bv!Q7=0,0,((s_Ir*s_F*d_Bv!Q7*(1-EXP(-s_RadSpec!AZ7*s_t_b)))/(s_P*s_RadSpec!AZ7))),0)</f>
        <v>19.870072460746407</v>
      </c>
      <c r="R7" s="115">
        <f>IFERROR(IF(d_Bv!R7=0,0,((s_Ir*s_F*d_Bv!R7*(1-EXP(-s_RadSpec!AZ7*s_t_b)))/(s_P*s_RadSpec!AZ7))),0)</f>
        <v>19.870072460746407</v>
      </c>
      <c r="S7" s="115">
        <f>IFERROR(IF(d_Bv!S7=0,0,((s_Ir*s_F*d_Bv!S7*(1-EXP(-s_RadSpec!AZ7*s_t_b)))/(s_P*s_RadSpec!AZ7))),0)</f>
        <v>19.870072460746407</v>
      </c>
      <c r="T7" s="115">
        <f>IFERROR(IF(d_Bv!T7=0,0,((s_Ir*s_F*d_Bv!T7*(1-EXP(-s_RadSpec!AZ7*s_t_b)))/(s_P*s_RadSpec!AZ7))),0)</f>
        <v>19.870072460746407</v>
      </c>
      <c r="U7" s="115">
        <f>IFERROR(IF(d_Bv!U7=0,0,((s_Ir*s_F*d_Bv!U7*(1-EXP(-s_RadSpec!AZ7*s_t_b)))/(s_P*s_RadSpec!AZ7))),0)</f>
        <v>19.870072460746407</v>
      </c>
      <c r="V7" s="115">
        <f>IFERROR(IF(d_Bv!V7=0,0,((s_Ir*s_F*d_Bv!V7*(1-EXP(-s_RadSpec!AZ7*s_t_b)))/(s_P*s_RadSpec!AZ7))),0)</f>
        <v>19.870072460746407</v>
      </c>
      <c r="W7" s="115">
        <f>IFERROR(IF(d_Bv!W7=0,0,((s_Ir*s_F*d_Bv!W7*(1-EXP(-s_RadSpec!AZ7*s_t_b)))/(s_P*s_RadSpec!AZ7))),0)</f>
        <v>19.870072460746407</v>
      </c>
      <c r="X7" s="115">
        <f>IFERROR(IF(d_Bv!X7=0,0,((s_Ir*s_F*d_Bv!X7*(1-EXP(-s_RadSpec!AZ7*s_t_b)))/(s_P*s_RadSpec!AZ7))),0)</f>
        <v>19.870072460746407</v>
      </c>
      <c r="Y7" s="115">
        <f>IFERROR(IF(d_Bv!Y7=0,0,((s_Ir*s_F*d_Bv!Y7*(1-EXP(-s_RadSpec!AZ7*s_t_b)))/(s_P*s_RadSpec!AZ7))),0)</f>
        <v>19.870072460746407</v>
      </c>
      <c r="Z7" s="115">
        <f>IFERROR(IF(d_Bv!Z7=0,0,((s_Ir*s_F*d_Bv!Z7*(1-EXP(-s_RadSpec!AZ7*s_t_b)))/(s_P*s_RadSpec!AZ7))),0)</f>
        <v>19.870072460746407</v>
      </c>
      <c r="AA7" s="115">
        <f>IFERROR(IF(d_Bv!AA7=0,0,((s_Ir*s_F*d_Bv!AA7*(1-EXP(-s_RadSpec!AZ7*s_t_b)))/(s_P*s_RadSpec!AZ7))),0)</f>
        <v>19.870072460746407</v>
      </c>
      <c r="AB7" s="115">
        <f>IFERROR(IF(d_Bv!C7=0,0,((s_Ir*s_F*s_MLF_apple*(1-EXP(-s_RadSpec!AZ7*s_t_b)))/(s_P*s_RadSpec!AZ7))),0)</f>
        <v>2.6824597822007652</v>
      </c>
      <c r="AC7" s="115">
        <f>IFERROR(IF(d_Bv!D7=0,0,((s_Ir*s_F*s_MLF_asparagus*(1-EXP(-s_RadSpec!AZ7*s_t_b)))/(s_P*s_RadSpec!AZ7))),0)</f>
        <v>2.6824597822007652</v>
      </c>
      <c r="AD7" s="115">
        <f>IFERROR(IF(d_Bv!E7=0,0,((s_Ir*s_F*s_MLF_beet*(1-EXP(-s_RadSpec!AZ7*s_t_b)))/(s_P*s_RadSpec!AZ7))),0)</f>
        <v>2.6824597822007652</v>
      </c>
      <c r="AE7" s="115">
        <f>IFERROR(IF(d_Bv!F7=0,0,((s_Ir*s_F*s_MLF_berries*(1-EXP(-s_RadSpec!AZ7*s_t_b)))/(s_P*s_RadSpec!AZ7))),0)</f>
        <v>2.6824597822007652</v>
      </c>
      <c r="AF7" s="115">
        <f>IFERROR(IF(d_Bv!G7=0,0,((s_Ir*s_F*s_MLF_broccoli*(1-EXP(-s_RadSpec!AZ7*s_t_b)))/(s_P*s_RadSpec!AZ7))),0)</f>
        <v>2.6824597822007652</v>
      </c>
      <c r="AG7" s="115">
        <f>IFERROR(IF(d_Bv!H7=0,0,((s_Ir*s_F*s_MLF_cabbage*(1-EXP(-s_RadSpec!AZ7*s_t_b)))/(s_P*s_RadSpec!AZ7))),0)</f>
        <v>2.6824597822007652</v>
      </c>
      <c r="AH7" s="115">
        <f>IFERROR(IF(d_Bv!I7=0,0,((s_Ir*s_F*s_MLF_carrot*(1-EXP(-s_RadSpec!AZ7*s_t_b)))/(s_P*s_RadSpec!AZ7))),0)</f>
        <v>2.6824597822007652</v>
      </c>
      <c r="AI7" s="115">
        <f>IFERROR(IF(d_Bv!J7=0,0,((s_Ir*s_F*s_MLF_citrus*(1-EXP(-s_RadSpec!AZ7*s_t_b)))/(s_P*s_RadSpec!AZ7))),0)</f>
        <v>2.6824597822007652</v>
      </c>
      <c r="AJ7" s="115">
        <f>IFERROR(IF(d_Bv!K7=0,0,((s_Ir*s_F*s_MLF_corn*(1-EXP(-s_RadSpec!AZ7*s_t_b)))/(s_P*s_RadSpec!AZ7))),0)</f>
        <v>2.6824597822007652</v>
      </c>
      <c r="AK7" s="115">
        <f>IFERROR(IF(d_Bv!L7=0,0,((s_Ir*s_F*s_MLF_cucumber*(1-EXP(-s_RadSpec!AZ7*s_t_b)))/(s_P*s_RadSpec!AZ7))),0)</f>
        <v>2.6824597822007652</v>
      </c>
      <c r="AL7" s="115">
        <f>IFERROR(IF(d_Bv!M7=0,0,((s_Ir*s_F*s_MLF_lettuce*(1-EXP(-s_RadSpec!AZ7*s_t_b)))/(s_P*s_RadSpec!AZ7))),0)</f>
        <v>2.6824597822007652</v>
      </c>
      <c r="AM7" s="115">
        <f>IFERROR(IF(d_Bv!N7=0,0,((s_Ir*s_F*s_MLF_lima_bean*(1-EXP(-s_RadSpec!AZ7*s_t_b)))/(s_P*s_RadSpec!AZ7))),0)</f>
        <v>2.6824597822007652</v>
      </c>
      <c r="AN7" s="115">
        <f>IFERROR(IF(d_Bv!O7=0,0,((s_Ir*s_F*s_MLF_okra*(1-EXP(-s_RadSpec!AZ7*s_t_b)))/(s_P*s_RadSpec!AZ7))),0)</f>
        <v>2.6824597822007652</v>
      </c>
      <c r="AO7" s="115">
        <f>IFERROR(IF(d_Bv!P7=0,0,((s_Ir*s_F*s_MLF_onion*(1-EXP(-s_RadSpec!AZ7*s_t_b)))/(s_P*s_RadSpec!AZ7))),0)</f>
        <v>2.6824597822007652</v>
      </c>
      <c r="AP7" s="115">
        <f>IFERROR(IF(d_Bv!Q7=0,0,((s_Ir*s_F*s_MLF_peach*(1-EXP(-s_RadSpec!AZ7*s_t_b)))/(s_P*s_RadSpec!AZ7))),0)</f>
        <v>2.6824597822007652</v>
      </c>
      <c r="AQ7" s="115">
        <f>IFERROR(IF(d_Bv!R7=0,0,((s_Ir*s_F*s_MLF_pear*(1-EXP(-s_RadSpec!AZ7*s_t_b)))/(s_P*s_RadSpec!AZ7))),0)</f>
        <v>2.6824597822007652</v>
      </c>
      <c r="AR7" s="115">
        <f>IFERROR(IF(d_Bv!S7=0,0,((s_Ir*s_F*s_MLF_peas*(1-EXP(-s_RadSpec!AZ7*s_t_b)))/(s_P*s_RadSpec!AZ7))),0)</f>
        <v>2.6824597822007652</v>
      </c>
      <c r="AS7" s="115">
        <f>IFERROR(IF(d_Bv!T7=0,0,((s_Ir*s_F*s_MLF_peppers*(1-EXP(-s_RadSpec!AZ7*s_t_b)))/(s_P*s_RadSpec!AZ7))),0)</f>
        <v>2.6824597822007652</v>
      </c>
      <c r="AT7" s="115">
        <f>IFERROR(IF(d_Bv!U7=0,0,((s_Ir*s_F*s_MLF_potato*(1-EXP(-s_RadSpec!AZ7*s_t_b)))/(s_P*s_RadSpec!AZ7))),0)</f>
        <v>2.6824597822007652</v>
      </c>
      <c r="AU7" s="115">
        <f>IFERROR(IF(d_Bv!V7=0,0,((s_Ir*s_F*s_MLF_pumpkin*(1-EXP(-s_RadSpec!AZ7*s_t_b)))/(s_P*s_RadSpec!AZ7))),0)</f>
        <v>2.6824597822007652</v>
      </c>
      <c r="AV7" s="115">
        <f>IFERROR(IF(d_Bv!W7=0,0,((s_Ir*s_F*s_MLF_snap_bean*(1-EXP(-s_RadSpec!AZ7*s_t_b)))/(s_P*s_RadSpec!AZ7))),0)</f>
        <v>2.6824597822007652</v>
      </c>
      <c r="AW7" s="115">
        <f>IFERROR(IF(d_Bv!X7=0,0,((s_Ir*s_F*s_MLF_strawberry*(1-EXP(-s_RadSpec!AZ7*s_t_b)))/(s_P*s_RadSpec!AZ7))),0)</f>
        <v>2.6824597822007652</v>
      </c>
      <c r="AX7" s="115">
        <f>IFERROR(IF(d_Bv!Y7=0,0,((s_Ir*s_F*s_MLF_tomato*(1-EXP(-s_RadSpec!AZ7*s_t_b)))/(s_P*s_RadSpec!AZ7))),0)</f>
        <v>2.6824597822007652</v>
      </c>
      <c r="AY7" s="115">
        <f>IFERROR(IF(d_Bv!Z7=0,0,((s_Ir*s_F*s_MLF_rice*(1-EXP(-s_RadSpec!AZ7*s_t_b)))/(s_P*s_RadSpec!AZ7))),0)</f>
        <v>2.6824597822007652</v>
      </c>
      <c r="AZ7" s="115">
        <f>IFERROR(IF(d_Bv!AA7=0,0,((s_Ir*s_F*s_MLF_cereal*(1-EXP(-s_RadSpec!AZ7*s_t_b)))/(s_P*s_RadSpec!AZ7))),0)</f>
        <v>2.6824597822007652</v>
      </c>
      <c r="BA7" s="115">
        <f>IFERROR(IF(d_Bv!C7=0,0,((s_Ir*s_F*s_I_f*s_T*(1-EXP(-s_RadSpec!BA7*s_t_v)))/(s_Y_v*s_RadSpec!BA7))),0)</f>
        <v>9.0143481925428208</v>
      </c>
      <c r="BB7" s="115">
        <f>IFERROR(IF(d_Bv!D7=0,0,((s_Ir*s_F*s_I_f*s_T*(1-EXP(-s_RadSpec!BA7*s_t_v)))/(s_Y_v*s_RadSpec!BA7))),0)</f>
        <v>9.0143481925428208</v>
      </c>
      <c r="BC7" s="115">
        <f>IFERROR(IF(d_Bv!E7=0,0,((s_Ir*s_F*s_I_f*s_T*(1-EXP(-s_RadSpec!BA7*s_t_v)))/(s_Y_v*s_RadSpec!BA7))),0)</f>
        <v>9.0143481925428208</v>
      </c>
      <c r="BD7" s="115">
        <f>IFERROR(IF(d_Bv!F7=0,0,((s_Ir*s_F*s_I_f*s_T*(1-EXP(-s_RadSpec!BA7*s_t_v)))/(s_Y_v*s_RadSpec!BA7))),0)</f>
        <v>9.0143481925428208</v>
      </c>
      <c r="BE7" s="115">
        <f>IFERROR(IF(d_Bv!G7=0,0,((s_Ir*s_F*s_I_f*s_T*(1-EXP(-s_RadSpec!BA7*s_t_v)))/(s_Y_v*s_RadSpec!BA7))),0)</f>
        <v>9.0143481925428208</v>
      </c>
      <c r="BF7" s="115">
        <f>IFERROR(IF(d_Bv!H7=0,0,((s_Ir*s_F*s_I_f*s_T*(1-EXP(-s_RadSpec!BA7*s_t_v)))/(s_Y_v*s_RadSpec!BA7))),0)</f>
        <v>9.0143481925428208</v>
      </c>
      <c r="BG7" s="115">
        <f>IFERROR(IF(d_Bv!I7=0,0,((s_Ir*s_F*s_I_f*s_T*(1-EXP(-s_RadSpec!BA7*s_t_v)))/(s_Y_v*s_RadSpec!BA7))),0)</f>
        <v>9.0143481925428208</v>
      </c>
      <c r="BH7" s="115">
        <f>IFERROR(IF(d_Bv!J7=0,0,((s_Ir*s_F*s_I_f*s_T*(1-EXP(-s_RadSpec!BA7*s_t_v)))/(s_Y_v*s_RadSpec!BA7))),0)</f>
        <v>9.0143481925428208</v>
      </c>
      <c r="BI7" s="115">
        <f>IFERROR(IF(d_Bv!K7=0,0,((s_Ir*s_F*s_I_f*s_T*(1-EXP(-s_RadSpec!BA7*s_t_v)))/(s_Y_v*s_RadSpec!BA7))),0)</f>
        <v>9.0143481925428208</v>
      </c>
      <c r="BJ7" s="115">
        <f>IFERROR(IF(d_Bv!L7=0,0,((s_Ir*s_F*s_I_f*s_T*(1-EXP(-s_RadSpec!BA7*s_t_v)))/(s_Y_v*s_RadSpec!BA7))),0)</f>
        <v>9.0143481925428208</v>
      </c>
      <c r="BK7" s="115">
        <f>IFERROR(IF(d_Bv!M7=0,0,((s_Ir*s_F*s_I_f*s_T*(1-EXP(-s_RadSpec!BA7*s_t_v)))/(s_Y_v*s_RadSpec!BA7))),0)</f>
        <v>9.0143481925428208</v>
      </c>
      <c r="BL7" s="115">
        <f>IFERROR(IF(d_Bv!N7=0,0,((s_Ir*s_F*s_I_f*s_T*(1-EXP(-s_RadSpec!BA7*s_t_v)))/(s_Y_v*s_RadSpec!BA7))),0)</f>
        <v>9.0143481925428208</v>
      </c>
      <c r="BM7" s="115">
        <f>IFERROR(IF(d_Bv!O7=0,0,((s_Ir*s_F*s_I_f*s_T*(1-EXP(-s_RadSpec!BA7*s_t_v)))/(s_Y_v*s_RadSpec!BA7))),0)</f>
        <v>9.0143481925428208</v>
      </c>
      <c r="BN7" s="115">
        <f>IFERROR(IF(d_Bv!P7=0,0,((s_Ir*s_F*s_I_f*s_T*(1-EXP(-s_RadSpec!BA7*s_t_v)))/(s_Y_v*s_RadSpec!BA7))),0)</f>
        <v>9.0143481925428208</v>
      </c>
      <c r="BO7" s="115">
        <f>IFERROR(IF(d_Bv!Q7=0,0,((s_Ir*s_F*s_I_f*s_T*(1-EXP(-s_RadSpec!BA7*s_t_v)))/(s_Y_v*s_RadSpec!BA7))),0)</f>
        <v>9.0143481925428208</v>
      </c>
      <c r="BP7" s="115">
        <f>IFERROR(IF(d_Bv!R7=0,0,((s_Ir*s_F*s_I_f*s_T*(1-EXP(-s_RadSpec!BA7*s_t_v)))/(s_Y_v*s_RadSpec!BA7))),0)</f>
        <v>9.0143481925428208</v>
      </c>
      <c r="BQ7" s="115">
        <f>IFERROR(IF(d_Bv!S7=0,0,((s_Ir*s_F*s_I_f*s_T*(1-EXP(-s_RadSpec!BA7*s_t_v)))/(s_Y_v*s_RadSpec!BA7))),0)</f>
        <v>9.0143481925428208</v>
      </c>
      <c r="BR7" s="115">
        <f>IFERROR(IF(d_Bv!T7=0,0,((s_Ir*s_F*s_I_f*s_T*(1-EXP(-s_RadSpec!BA7*s_t_v)))/(s_Y_v*s_RadSpec!BA7))),0)</f>
        <v>9.0143481925428208</v>
      </c>
      <c r="BS7" s="115">
        <f>IFERROR(IF(d_Bv!U7=0,0,((s_Ir*s_F*s_I_f*s_T*(1-EXP(-s_RadSpec!BA7*s_t_v)))/(s_Y_v*s_RadSpec!BA7))),0)</f>
        <v>9.0143481925428208</v>
      </c>
      <c r="BT7" s="115">
        <f>IFERROR(IF(d_Bv!V7=0,0,((s_Ir*s_F*s_I_f*s_T*(1-EXP(-s_RadSpec!BA7*s_t_v)))/(s_Y_v*s_RadSpec!BA7))),0)</f>
        <v>9.0143481925428208</v>
      </c>
      <c r="BU7" s="115">
        <f>IFERROR(IF(d_Bv!W7=0,0,((s_Ir*s_F*s_I_f*s_T*(1-EXP(-s_RadSpec!BA7*s_t_v)))/(s_Y_v*s_RadSpec!BA7))),0)</f>
        <v>9.0143481925428208</v>
      </c>
      <c r="BV7" s="115">
        <f>IFERROR(IF(d_Bv!X7=0,0,((s_Ir*s_F*s_I_f*s_T*(1-EXP(-s_RadSpec!BA7*s_t_v)))/(s_Y_v*s_RadSpec!BA7))),0)</f>
        <v>9.0143481925428208</v>
      </c>
      <c r="BW7" s="115">
        <f>IFERROR(IF(d_Bv!Y7=0,0,((s_Ir*s_F*s_I_f*s_T*(1-EXP(-s_RadSpec!BA7*s_t_v)))/(s_Y_v*s_RadSpec!BA7))),0)</f>
        <v>9.0143481925428208</v>
      </c>
      <c r="BX7" s="115">
        <f>IFERROR(IF(d_Bv!Z7=0,0,((s_Ir*s_F*s_I_f*s_T*(1-EXP(-s_RadSpec!BA7*s_t_v)))/(s_Y_v*s_RadSpec!BA7))),0)</f>
        <v>9.0143481925428208</v>
      </c>
      <c r="BY7" s="115">
        <f>IFERROR(IF(d_Bv!AA7=0,0,((s_Ir*s_F*s_I_f*s_T*(1-EXP(-s_RadSpec!BA7*s_t_v)))/(s_Y_v*s_RadSpec!BA7))),0)</f>
        <v>9.0143481925428208</v>
      </c>
    </row>
    <row r="8" spans="1:77" x14ac:dyDescent="0.25">
      <c r="A8" s="44" t="s">
        <v>18</v>
      </c>
      <c r="B8" s="42" t="s">
        <v>1071</v>
      </c>
      <c r="C8" s="115">
        <f>IFERROR(IF(d_Bv!C8=0,0,((s_Ir*s_F*d_Bv!C8*(1-EXP(-s_RadSpec!$AZ8*s_t_b)))/(s_P*s_RadSpec!$AZ8))),0)</f>
        <v>19.870072460746407</v>
      </c>
      <c r="D8" s="115">
        <f>IFERROR(IF(d_Bv!D8=0,0,((s_Ir*s_F*d_Bv!D8*(1-EXP(-s_RadSpec!AZ8*s_t_b)))/(s_P*s_RadSpec!AZ8))),0)</f>
        <v>19.870072460746407</v>
      </c>
      <c r="E8" s="115">
        <f>IFERROR(IF(d_Bv!E8=0,0,((s_Ir*s_F*d_Bv!E8*(1-EXP(-s_RadSpec!AZ8*s_t_b)))/(s_P*s_RadSpec!AZ8))),0)</f>
        <v>19.870072460746407</v>
      </c>
      <c r="F8" s="115">
        <f>IFERROR(IF(d_Bv!F8=0,0,((s_Ir*s_F*d_Bv!F8*(1-EXP(-s_RadSpec!AZ8*s_t_b)))/(s_P*s_RadSpec!AZ8))),0)</f>
        <v>19.870072460746407</v>
      </c>
      <c r="G8" s="115">
        <f>IFERROR(IF(d_Bv!G8=0,0,((s_Ir*s_F*d_Bv!G8*(1-EXP(-s_RadSpec!AZ8*s_t_b)))/(s_P*s_RadSpec!AZ8))),0)</f>
        <v>19.870072460746407</v>
      </c>
      <c r="H8" s="115">
        <f>IFERROR(IF(d_Bv!H8=0,0,((s_Ir*s_F*d_Bv!H8*(1-EXP(-s_RadSpec!AZ8*s_t_b)))/(s_P*s_RadSpec!AZ8))),0)</f>
        <v>19.870072460746407</v>
      </c>
      <c r="I8" s="115">
        <f>IFERROR(IF(d_Bv!I8=0,0,((s_Ir*s_F*d_Bv!I8*(1-EXP(-s_RadSpec!AZ8*s_t_b)))/(s_P*s_RadSpec!AZ8))),0)</f>
        <v>19.870072460746407</v>
      </c>
      <c r="J8" s="115">
        <f>IFERROR(IF(d_Bv!J8=0,0,((s_Ir*s_F*d_Bv!J8*(1-EXP(-s_RadSpec!AZ8*s_t_b)))/(s_P*s_RadSpec!AZ8))),0)</f>
        <v>19.870072460746407</v>
      </c>
      <c r="K8" s="115">
        <f>IFERROR(IF(d_Bv!K8=0,0,((s_Ir*s_F*d_Bv!K8*(1-EXP(-s_RadSpec!AZ8*s_t_b)))/(s_P*s_RadSpec!AZ8))),0)</f>
        <v>19.870072460746407</v>
      </c>
      <c r="L8" s="115">
        <f>IFERROR(IF(d_Bv!L8=0,0,((s_Ir*s_F*d_Bv!L8*(1-EXP(-s_RadSpec!AZ8*s_t_b)))/(s_P*s_RadSpec!AZ8))),0)</f>
        <v>19.870072460746407</v>
      </c>
      <c r="M8" s="115">
        <f>IFERROR(IF(d_Bv!M8=0,0,((s_Ir*s_F*d_Bv!M8*(1-EXP(-s_RadSpec!AZ8*s_t_b)))/(s_P*s_RadSpec!AZ8))),0)</f>
        <v>19.870072460746407</v>
      </c>
      <c r="N8" s="115">
        <f>IFERROR(IF(d_Bv!N8=0,0,((s_Ir*s_F*d_Bv!N8*(1-EXP(-s_RadSpec!AZ8*s_t_b)))/(s_P*s_RadSpec!AZ8))),0)</f>
        <v>19.870072460746407</v>
      </c>
      <c r="O8" s="115">
        <f>IFERROR(IF(d_Bv!O8=0,0,((s_Ir*s_F*d_Bv!O8*(1-EXP(-s_RadSpec!AZ8*s_t_b)))/(s_P*s_RadSpec!AZ8))),0)</f>
        <v>19.870072460746407</v>
      </c>
      <c r="P8" s="115">
        <f>IFERROR(IF(d_Bv!P8=0,0,((s_Ir*s_F*d_Bv!P8*(1-EXP(-s_RadSpec!AZ8*s_t_b)))/(s_P*s_RadSpec!AZ8))),0)</f>
        <v>19.870072460746407</v>
      </c>
      <c r="Q8" s="115">
        <f>IFERROR(IF(d_Bv!Q8=0,0,((s_Ir*s_F*d_Bv!Q8*(1-EXP(-s_RadSpec!AZ8*s_t_b)))/(s_P*s_RadSpec!AZ8))),0)</f>
        <v>19.870072460746407</v>
      </c>
      <c r="R8" s="115">
        <f>IFERROR(IF(d_Bv!R8=0,0,((s_Ir*s_F*d_Bv!R8*(1-EXP(-s_RadSpec!AZ8*s_t_b)))/(s_P*s_RadSpec!AZ8))),0)</f>
        <v>19.870072460746407</v>
      </c>
      <c r="S8" s="115">
        <f>IFERROR(IF(d_Bv!S8=0,0,((s_Ir*s_F*d_Bv!S8*(1-EXP(-s_RadSpec!AZ8*s_t_b)))/(s_P*s_RadSpec!AZ8))),0)</f>
        <v>19.870072460746407</v>
      </c>
      <c r="T8" s="115">
        <f>IFERROR(IF(d_Bv!T8=0,0,((s_Ir*s_F*d_Bv!T8*(1-EXP(-s_RadSpec!AZ8*s_t_b)))/(s_P*s_RadSpec!AZ8))),0)</f>
        <v>19.870072460746407</v>
      </c>
      <c r="U8" s="115">
        <f>IFERROR(IF(d_Bv!U8=0,0,((s_Ir*s_F*d_Bv!U8*(1-EXP(-s_RadSpec!AZ8*s_t_b)))/(s_P*s_RadSpec!AZ8))),0)</f>
        <v>19.870072460746407</v>
      </c>
      <c r="V8" s="115">
        <f>IFERROR(IF(d_Bv!V8=0,0,((s_Ir*s_F*d_Bv!V8*(1-EXP(-s_RadSpec!AZ8*s_t_b)))/(s_P*s_RadSpec!AZ8))),0)</f>
        <v>19.870072460746407</v>
      </c>
      <c r="W8" s="115">
        <f>IFERROR(IF(d_Bv!W8=0,0,((s_Ir*s_F*d_Bv!W8*(1-EXP(-s_RadSpec!AZ8*s_t_b)))/(s_P*s_RadSpec!AZ8))),0)</f>
        <v>19.870072460746407</v>
      </c>
      <c r="X8" s="115">
        <f>IFERROR(IF(d_Bv!X8=0,0,((s_Ir*s_F*d_Bv!X8*(1-EXP(-s_RadSpec!AZ8*s_t_b)))/(s_P*s_RadSpec!AZ8))),0)</f>
        <v>19.870072460746407</v>
      </c>
      <c r="Y8" s="115">
        <f>IFERROR(IF(d_Bv!Y8=0,0,((s_Ir*s_F*d_Bv!Y8*(1-EXP(-s_RadSpec!AZ8*s_t_b)))/(s_P*s_RadSpec!AZ8))),0)</f>
        <v>19.870072460746407</v>
      </c>
      <c r="Z8" s="115">
        <f>IFERROR(IF(d_Bv!Z8=0,0,((s_Ir*s_F*d_Bv!Z8*(1-EXP(-s_RadSpec!AZ8*s_t_b)))/(s_P*s_RadSpec!AZ8))),0)</f>
        <v>19.870072460746407</v>
      </c>
      <c r="AA8" s="115">
        <f>IFERROR(IF(d_Bv!AA8=0,0,((s_Ir*s_F*d_Bv!AA8*(1-EXP(-s_RadSpec!AZ8*s_t_b)))/(s_P*s_RadSpec!AZ8))),0)</f>
        <v>19.870072460746407</v>
      </c>
      <c r="AB8" s="115">
        <f>IFERROR(IF(d_Bv!C8=0,0,((s_Ir*s_F*s_MLF_apple*(1-EXP(-s_RadSpec!AZ8*s_t_b)))/(s_P*s_RadSpec!AZ8))),0)</f>
        <v>2.6824597822007652</v>
      </c>
      <c r="AC8" s="115">
        <f>IFERROR(IF(d_Bv!D8=0,0,((s_Ir*s_F*s_MLF_asparagus*(1-EXP(-s_RadSpec!AZ8*s_t_b)))/(s_P*s_RadSpec!AZ8))),0)</f>
        <v>2.6824597822007652</v>
      </c>
      <c r="AD8" s="115">
        <f>IFERROR(IF(d_Bv!E8=0,0,((s_Ir*s_F*s_MLF_beet*(1-EXP(-s_RadSpec!AZ8*s_t_b)))/(s_P*s_RadSpec!AZ8))),0)</f>
        <v>2.6824597822007652</v>
      </c>
      <c r="AE8" s="115">
        <f>IFERROR(IF(d_Bv!F8=0,0,((s_Ir*s_F*s_MLF_berries*(1-EXP(-s_RadSpec!AZ8*s_t_b)))/(s_P*s_RadSpec!AZ8))),0)</f>
        <v>2.6824597822007652</v>
      </c>
      <c r="AF8" s="115">
        <f>IFERROR(IF(d_Bv!G8=0,0,((s_Ir*s_F*s_MLF_broccoli*(1-EXP(-s_RadSpec!AZ8*s_t_b)))/(s_P*s_RadSpec!AZ8))),0)</f>
        <v>2.6824597822007652</v>
      </c>
      <c r="AG8" s="115">
        <f>IFERROR(IF(d_Bv!H8=0,0,((s_Ir*s_F*s_MLF_cabbage*(1-EXP(-s_RadSpec!AZ8*s_t_b)))/(s_P*s_RadSpec!AZ8))),0)</f>
        <v>2.6824597822007652</v>
      </c>
      <c r="AH8" s="115">
        <f>IFERROR(IF(d_Bv!I8=0,0,((s_Ir*s_F*s_MLF_carrot*(1-EXP(-s_RadSpec!AZ8*s_t_b)))/(s_P*s_RadSpec!AZ8))),0)</f>
        <v>2.6824597822007652</v>
      </c>
      <c r="AI8" s="115">
        <f>IFERROR(IF(d_Bv!J8=0,0,((s_Ir*s_F*s_MLF_citrus*(1-EXP(-s_RadSpec!AZ8*s_t_b)))/(s_P*s_RadSpec!AZ8))),0)</f>
        <v>2.6824597822007652</v>
      </c>
      <c r="AJ8" s="115">
        <f>IFERROR(IF(d_Bv!K8=0,0,((s_Ir*s_F*s_MLF_corn*(1-EXP(-s_RadSpec!AZ8*s_t_b)))/(s_P*s_RadSpec!AZ8))),0)</f>
        <v>2.6824597822007652</v>
      </c>
      <c r="AK8" s="115">
        <f>IFERROR(IF(d_Bv!L8=0,0,((s_Ir*s_F*s_MLF_cucumber*(1-EXP(-s_RadSpec!AZ8*s_t_b)))/(s_P*s_RadSpec!AZ8))),0)</f>
        <v>2.6824597822007652</v>
      </c>
      <c r="AL8" s="115">
        <f>IFERROR(IF(d_Bv!M8=0,0,((s_Ir*s_F*s_MLF_lettuce*(1-EXP(-s_RadSpec!AZ8*s_t_b)))/(s_P*s_RadSpec!AZ8))),0)</f>
        <v>2.6824597822007652</v>
      </c>
      <c r="AM8" s="115">
        <f>IFERROR(IF(d_Bv!N8=0,0,((s_Ir*s_F*s_MLF_lima_bean*(1-EXP(-s_RadSpec!AZ8*s_t_b)))/(s_P*s_RadSpec!AZ8))),0)</f>
        <v>2.6824597822007652</v>
      </c>
      <c r="AN8" s="115">
        <f>IFERROR(IF(d_Bv!O8=0,0,((s_Ir*s_F*s_MLF_okra*(1-EXP(-s_RadSpec!AZ8*s_t_b)))/(s_P*s_RadSpec!AZ8))),0)</f>
        <v>2.6824597822007652</v>
      </c>
      <c r="AO8" s="115">
        <f>IFERROR(IF(d_Bv!P8=0,0,((s_Ir*s_F*s_MLF_onion*(1-EXP(-s_RadSpec!AZ8*s_t_b)))/(s_P*s_RadSpec!AZ8))),0)</f>
        <v>2.6824597822007652</v>
      </c>
      <c r="AP8" s="115">
        <f>IFERROR(IF(d_Bv!Q8=0,0,((s_Ir*s_F*s_MLF_peach*(1-EXP(-s_RadSpec!AZ8*s_t_b)))/(s_P*s_RadSpec!AZ8))),0)</f>
        <v>2.6824597822007652</v>
      </c>
      <c r="AQ8" s="115">
        <f>IFERROR(IF(d_Bv!R8=0,0,((s_Ir*s_F*s_MLF_pear*(1-EXP(-s_RadSpec!AZ8*s_t_b)))/(s_P*s_RadSpec!AZ8))),0)</f>
        <v>2.6824597822007652</v>
      </c>
      <c r="AR8" s="115">
        <f>IFERROR(IF(d_Bv!S8=0,0,((s_Ir*s_F*s_MLF_peas*(1-EXP(-s_RadSpec!AZ8*s_t_b)))/(s_P*s_RadSpec!AZ8))),0)</f>
        <v>2.6824597822007652</v>
      </c>
      <c r="AS8" s="115">
        <f>IFERROR(IF(d_Bv!T8=0,0,((s_Ir*s_F*s_MLF_peppers*(1-EXP(-s_RadSpec!AZ8*s_t_b)))/(s_P*s_RadSpec!AZ8))),0)</f>
        <v>2.6824597822007652</v>
      </c>
      <c r="AT8" s="115">
        <f>IFERROR(IF(d_Bv!U8=0,0,((s_Ir*s_F*s_MLF_potato*(1-EXP(-s_RadSpec!AZ8*s_t_b)))/(s_P*s_RadSpec!AZ8))),0)</f>
        <v>2.6824597822007652</v>
      </c>
      <c r="AU8" s="115">
        <f>IFERROR(IF(d_Bv!V8=0,0,((s_Ir*s_F*s_MLF_pumpkin*(1-EXP(-s_RadSpec!AZ8*s_t_b)))/(s_P*s_RadSpec!AZ8))),0)</f>
        <v>2.6824597822007652</v>
      </c>
      <c r="AV8" s="115">
        <f>IFERROR(IF(d_Bv!W8=0,0,((s_Ir*s_F*s_MLF_snap_bean*(1-EXP(-s_RadSpec!AZ8*s_t_b)))/(s_P*s_RadSpec!AZ8))),0)</f>
        <v>2.6824597822007652</v>
      </c>
      <c r="AW8" s="115">
        <f>IFERROR(IF(d_Bv!X8=0,0,((s_Ir*s_F*s_MLF_strawberry*(1-EXP(-s_RadSpec!AZ8*s_t_b)))/(s_P*s_RadSpec!AZ8))),0)</f>
        <v>2.6824597822007652</v>
      </c>
      <c r="AX8" s="115">
        <f>IFERROR(IF(d_Bv!Y8=0,0,((s_Ir*s_F*s_MLF_tomato*(1-EXP(-s_RadSpec!AZ8*s_t_b)))/(s_P*s_RadSpec!AZ8))),0)</f>
        <v>2.6824597822007652</v>
      </c>
      <c r="AY8" s="115">
        <f>IFERROR(IF(d_Bv!Z8=0,0,((s_Ir*s_F*s_MLF_rice*(1-EXP(-s_RadSpec!AZ8*s_t_b)))/(s_P*s_RadSpec!AZ8))),0)</f>
        <v>2.6824597822007652</v>
      </c>
      <c r="AZ8" s="115">
        <f>IFERROR(IF(d_Bv!AA8=0,0,((s_Ir*s_F*s_MLF_cereal*(1-EXP(-s_RadSpec!AZ8*s_t_b)))/(s_P*s_RadSpec!AZ8))),0)</f>
        <v>2.6824597822007652</v>
      </c>
      <c r="BA8" s="115">
        <f>IFERROR(IF(d_Bv!C8=0,0,((s_Ir*s_F*s_I_f*s_T*(1-EXP(-s_RadSpec!BA8*s_t_v)))/(s_Y_v*s_RadSpec!BA8))),0)</f>
        <v>9.0143481925428208</v>
      </c>
      <c r="BB8" s="115">
        <f>IFERROR(IF(d_Bv!D8=0,0,((s_Ir*s_F*s_I_f*s_T*(1-EXP(-s_RadSpec!BA8*s_t_v)))/(s_Y_v*s_RadSpec!BA8))),0)</f>
        <v>9.0143481925428208</v>
      </c>
      <c r="BC8" s="115">
        <f>IFERROR(IF(d_Bv!E8=0,0,((s_Ir*s_F*s_I_f*s_T*(1-EXP(-s_RadSpec!BA8*s_t_v)))/(s_Y_v*s_RadSpec!BA8))),0)</f>
        <v>9.0143481925428208</v>
      </c>
      <c r="BD8" s="115">
        <f>IFERROR(IF(d_Bv!F8=0,0,((s_Ir*s_F*s_I_f*s_T*(1-EXP(-s_RadSpec!BA8*s_t_v)))/(s_Y_v*s_RadSpec!BA8))),0)</f>
        <v>9.0143481925428208</v>
      </c>
      <c r="BE8" s="115">
        <f>IFERROR(IF(d_Bv!G8=0,0,((s_Ir*s_F*s_I_f*s_T*(1-EXP(-s_RadSpec!BA8*s_t_v)))/(s_Y_v*s_RadSpec!BA8))),0)</f>
        <v>9.0143481925428208</v>
      </c>
      <c r="BF8" s="115">
        <f>IFERROR(IF(d_Bv!H8=0,0,((s_Ir*s_F*s_I_f*s_T*(1-EXP(-s_RadSpec!BA8*s_t_v)))/(s_Y_v*s_RadSpec!BA8))),0)</f>
        <v>9.0143481925428208</v>
      </c>
      <c r="BG8" s="115">
        <f>IFERROR(IF(d_Bv!I8=0,0,((s_Ir*s_F*s_I_f*s_T*(1-EXP(-s_RadSpec!BA8*s_t_v)))/(s_Y_v*s_RadSpec!BA8))),0)</f>
        <v>9.0143481925428208</v>
      </c>
      <c r="BH8" s="115">
        <f>IFERROR(IF(d_Bv!J8=0,0,((s_Ir*s_F*s_I_f*s_T*(1-EXP(-s_RadSpec!BA8*s_t_v)))/(s_Y_v*s_RadSpec!BA8))),0)</f>
        <v>9.0143481925428208</v>
      </c>
      <c r="BI8" s="115">
        <f>IFERROR(IF(d_Bv!K8=0,0,((s_Ir*s_F*s_I_f*s_T*(1-EXP(-s_RadSpec!BA8*s_t_v)))/(s_Y_v*s_RadSpec!BA8))),0)</f>
        <v>9.0143481925428208</v>
      </c>
      <c r="BJ8" s="115">
        <f>IFERROR(IF(d_Bv!L8=0,0,((s_Ir*s_F*s_I_f*s_T*(1-EXP(-s_RadSpec!BA8*s_t_v)))/(s_Y_v*s_RadSpec!BA8))),0)</f>
        <v>9.0143481925428208</v>
      </c>
      <c r="BK8" s="115">
        <f>IFERROR(IF(d_Bv!M8=0,0,((s_Ir*s_F*s_I_f*s_T*(1-EXP(-s_RadSpec!BA8*s_t_v)))/(s_Y_v*s_RadSpec!BA8))),0)</f>
        <v>9.0143481925428208</v>
      </c>
      <c r="BL8" s="115">
        <f>IFERROR(IF(d_Bv!N8=0,0,((s_Ir*s_F*s_I_f*s_T*(1-EXP(-s_RadSpec!BA8*s_t_v)))/(s_Y_v*s_RadSpec!BA8))),0)</f>
        <v>9.0143481925428208</v>
      </c>
      <c r="BM8" s="115">
        <f>IFERROR(IF(d_Bv!O8=0,0,((s_Ir*s_F*s_I_f*s_T*(1-EXP(-s_RadSpec!BA8*s_t_v)))/(s_Y_v*s_RadSpec!BA8))),0)</f>
        <v>9.0143481925428208</v>
      </c>
      <c r="BN8" s="115">
        <f>IFERROR(IF(d_Bv!P8=0,0,((s_Ir*s_F*s_I_f*s_T*(1-EXP(-s_RadSpec!BA8*s_t_v)))/(s_Y_v*s_RadSpec!BA8))),0)</f>
        <v>9.0143481925428208</v>
      </c>
      <c r="BO8" s="115">
        <f>IFERROR(IF(d_Bv!Q8=0,0,((s_Ir*s_F*s_I_f*s_T*(1-EXP(-s_RadSpec!BA8*s_t_v)))/(s_Y_v*s_RadSpec!BA8))),0)</f>
        <v>9.0143481925428208</v>
      </c>
      <c r="BP8" s="115">
        <f>IFERROR(IF(d_Bv!R8=0,0,((s_Ir*s_F*s_I_f*s_T*(1-EXP(-s_RadSpec!BA8*s_t_v)))/(s_Y_v*s_RadSpec!BA8))),0)</f>
        <v>9.0143481925428208</v>
      </c>
      <c r="BQ8" s="115">
        <f>IFERROR(IF(d_Bv!S8=0,0,((s_Ir*s_F*s_I_f*s_T*(1-EXP(-s_RadSpec!BA8*s_t_v)))/(s_Y_v*s_RadSpec!BA8))),0)</f>
        <v>9.0143481925428208</v>
      </c>
      <c r="BR8" s="115">
        <f>IFERROR(IF(d_Bv!T8=0,0,((s_Ir*s_F*s_I_f*s_T*(1-EXP(-s_RadSpec!BA8*s_t_v)))/(s_Y_v*s_RadSpec!BA8))),0)</f>
        <v>9.0143481925428208</v>
      </c>
      <c r="BS8" s="115">
        <f>IFERROR(IF(d_Bv!U8=0,0,((s_Ir*s_F*s_I_f*s_T*(1-EXP(-s_RadSpec!BA8*s_t_v)))/(s_Y_v*s_RadSpec!BA8))),0)</f>
        <v>9.0143481925428208</v>
      </c>
      <c r="BT8" s="115">
        <f>IFERROR(IF(d_Bv!V8=0,0,((s_Ir*s_F*s_I_f*s_T*(1-EXP(-s_RadSpec!BA8*s_t_v)))/(s_Y_v*s_RadSpec!BA8))),0)</f>
        <v>9.0143481925428208</v>
      </c>
      <c r="BU8" s="115">
        <f>IFERROR(IF(d_Bv!W8=0,0,((s_Ir*s_F*s_I_f*s_T*(1-EXP(-s_RadSpec!BA8*s_t_v)))/(s_Y_v*s_RadSpec!BA8))),0)</f>
        <v>9.0143481925428208</v>
      </c>
      <c r="BV8" s="115">
        <f>IFERROR(IF(d_Bv!X8=0,0,((s_Ir*s_F*s_I_f*s_T*(1-EXP(-s_RadSpec!BA8*s_t_v)))/(s_Y_v*s_RadSpec!BA8))),0)</f>
        <v>9.0143481925428208</v>
      </c>
      <c r="BW8" s="115">
        <f>IFERROR(IF(d_Bv!Y8=0,0,((s_Ir*s_F*s_I_f*s_T*(1-EXP(-s_RadSpec!BA8*s_t_v)))/(s_Y_v*s_RadSpec!BA8))),0)</f>
        <v>9.0143481925428208</v>
      </c>
      <c r="BX8" s="115">
        <f>IFERROR(IF(d_Bv!Z8=0,0,((s_Ir*s_F*s_I_f*s_T*(1-EXP(-s_RadSpec!BA8*s_t_v)))/(s_Y_v*s_RadSpec!BA8))),0)</f>
        <v>9.0143481925428208</v>
      </c>
      <c r="BY8" s="115">
        <f>IFERROR(IF(d_Bv!AA8=0,0,((s_Ir*s_F*s_I_f*s_T*(1-EXP(-s_RadSpec!BA8*s_t_v)))/(s_Y_v*s_RadSpec!BA8))),0)</f>
        <v>9.0143481925428208</v>
      </c>
    </row>
    <row r="9" spans="1:77" x14ac:dyDescent="0.25">
      <c r="A9" s="44" t="s">
        <v>19</v>
      </c>
      <c r="B9" s="42" t="s">
        <v>1071</v>
      </c>
      <c r="C9" s="115">
        <f>IFERROR(IF(d_Bv!C9=0,0,((s_Ir*s_F*d_Bv!C9*(1-EXP(-s_RadSpec!$AZ9*s_t_b)))/(s_P*s_RadSpec!$AZ9))),0)</f>
        <v>19.870072460746407</v>
      </c>
      <c r="D9" s="115">
        <f>IFERROR(IF(d_Bv!D9=0,0,((s_Ir*s_F*d_Bv!D9*(1-EXP(-s_RadSpec!AZ9*s_t_b)))/(s_P*s_RadSpec!AZ9))),0)</f>
        <v>19.870072460746407</v>
      </c>
      <c r="E9" s="115">
        <f>IFERROR(IF(d_Bv!E9=0,0,((s_Ir*s_F*d_Bv!E9*(1-EXP(-s_RadSpec!AZ9*s_t_b)))/(s_P*s_RadSpec!AZ9))),0)</f>
        <v>19.870072460746407</v>
      </c>
      <c r="F9" s="115">
        <f>IFERROR(IF(d_Bv!F9=0,0,((s_Ir*s_F*d_Bv!F9*(1-EXP(-s_RadSpec!AZ9*s_t_b)))/(s_P*s_RadSpec!AZ9))),0)</f>
        <v>19.870072460746407</v>
      </c>
      <c r="G9" s="115">
        <f>IFERROR(IF(d_Bv!G9=0,0,((s_Ir*s_F*d_Bv!G9*(1-EXP(-s_RadSpec!AZ9*s_t_b)))/(s_P*s_RadSpec!AZ9))),0)</f>
        <v>19.870072460746407</v>
      </c>
      <c r="H9" s="115">
        <f>IFERROR(IF(d_Bv!H9=0,0,((s_Ir*s_F*d_Bv!H9*(1-EXP(-s_RadSpec!AZ9*s_t_b)))/(s_P*s_RadSpec!AZ9))),0)</f>
        <v>19.870072460746407</v>
      </c>
      <c r="I9" s="115">
        <f>IFERROR(IF(d_Bv!I9=0,0,((s_Ir*s_F*d_Bv!I9*(1-EXP(-s_RadSpec!AZ9*s_t_b)))/(s_P*s_RadSpec!AZ9))),0)</f>
        <v>19.870072460746407</v>
      </c>
      <c r="J9" s="115">
        <f>IFERROR(IF(d_Bv!J9=0,0,((s_Ir*s_F*d_Bv!J9*(1-EXP(-s_RadSpec!AZ9*s_t_b)))/(s_P*s_RadSpec!AZ9))),0)</f>
        <v>19.870072460746407</v>
      </c>
      <c r="K9" s="115">
        <f>IFERROR(IF(d_Bv!K9=0,0,((s_Ir*s_F*d_Bv!K9*(1-EXP(-s_RadSpec!AZ9*s_t_b)))/(s_P*s_RadSpec!AZ9))),0)</f>
        <v>19.870072460746407</v>
      </c>
      <c r="L9" s="115">
        <f>IFERROR(IF(d_Bv!L9=0,0,((s_Ir*s_F*d_Bv!L9*(1-EXP(-s_RadSpec!AZ9*s_t_b)))/(s_P*s_RadSpec!AZ9))),0)</f>
        <v>19.870072460746407</v>
      </c>
      <c r="M9" s="115">
        <f>IFERROR(IF(d_Bv!M9=0,0,((s_Ir*s_F*d_Bv!M9*(1-EXP(-s_RadSpec!AZ9*s_t_b)))/(s_P*s_RadSpec!AZ9))),0)</f>
        <v>19.870072460746407</v>
      </c>
      <c r="N9" s="115">
        <f>IFERROR(IF(d_Bv!N9=0,0,((s_Ir*s_F*d_Bv!N9*(1-EXP(-s_RadSpec!AZ9*s_t_b)))/(s_P*s_RadSpec!AZ9))),0)</f>
        <v>19.870072460746407</v>
      </c>
      <c r="O9" s="115">
        <f>IFERROR(IF(d_Bv!O9=0,0,((s_Ir*s_F*d_Bv!O9*(1-EXP(-s_RadSpec!AZ9*s_t_b)))/(s_P*s_RadSpec!AZ9))),0)</f>
        <v>19.870072460746407</v>
      </c>
      <c r="P9" s="115">
        <f>IFERROR(IF(d_Bv!P9=0,0,((s_Ir*s_F*d_Bv!P9*(1-EXP(-s_RadSpec!AZ9*s_t_b)))/(s_P*s_RadSpec!AZ9))),0)</f>
        <v>19.870072460746407</v>
      </c>
      <c r="Q9" s="115">
        <f>IFERROR(IF(d_Bv!Q9=0,0,((s_Ir*s_F*d_Bv!Q9*(1-EXP(-s_RadSpec!AZ9*s_t_b)))/(s_P*s_RadSpec!AZ9))),0)</f>
        <v>19.870072460746407</v>
      </c>
      <c r="R9" s="115">
        <f>IFERROR(IF(d_Bv!R9=0,0,((s_Ir*s_F*d_Bv!R9*(1-EXP(-s_RadSpec!AZ9*s_t_b)))/(s_P*s_RadSpec!AZ9))),0)</f>
        <v>19.870072460746407</v>
      </c>
      <c r="S9" s="115">
        <f>IFERROR(IF(d_Bv!S9=0,0,((s_Ir*s_F*d_Bv!S9*(1-EXP(-s_RadSpec!AZ9*s_t_b)))/(s_P*s_RadSpec!AZ9))),0)</f>
        <v>19.870072460746407</v>
      </c>
      <c r="T9" s="115">
        <f>IFERROR(IF(d_Bv!T9=0,0,((s_Ir*s_F*d_Bv!T9*(1-EXP(-s_RadSpec!AZ9*s_t_b)))/(s_P*s_RadSpec!AZ9))),0)</f>
        <v>19.870072460746407</v>
      </c>
      <c r="U9" s="115">
        <f>IFERROR(IF(d_Bv!U9=0,0,((s_Ir*s_F*d_Bv!U9*(1-EXP(-s_RadSpec!AZ9*s_t_b)))/(s_P*s_RadSpec!AZ9))),0)</f>
        <v>19.870072460746407</v>
      </c>
      <c r="V9" s="115">
        <f>IFERROR(IF(d_Bv!V9=0,0,((s_Ir*s_F*d_Bv!V9*(1-EXP(-s_RadSpec!AZ9*s_t_b)))/(s_P*s_RadSpec!AZ9))),0)</f>
        <v>19.870072460746407</v>
      </c>
      <c r="W9" s="115">
        <f>IFERROR(IF(d_Bv!W9=0,0,((s_Ir*s_F*d_Bv!W9*(1-EXP(-s_RadSpec!AZ9*s_t_b)))/(s_P*s_RadSpec!AZ9))),0)</f>
        <v>19.870072460746407</v>
      </c>
      <c r="X9" s="115">
        <f>IFERROR(IF(d_Bv!X9=0,0,((s_Ir*s_F*d_Bv!X9*(1-EXP(-s_RadSpec!AZ9*s_t_b)))/(s_P*s_RadSpec!AZ9))),0)</f>
        <v>19.870072460746407</v>
      </c>
      <c r="Y9" s="115">
        <f>IFERROR(IF(d_Bv!Y9=0,0,((s_Ir*s_F*d_Bv!Y9*(1-EXP(-s_RadSpec!AZ9*s_t_b)))/(s_P*s_RadSpec!AZ9))),0)</f>
        <v>19.870072460746407</v>
      </c>
      <c r="Z9" s="115">
        <f>IFERROR(IF(d_Bv!Z9=0,0,((s_Ir*s_F*d_Bv!Z9*(1-EXP(-s_RadSpec!AZ9*s_t_b)))/(s_P*s_RadSpec!AZ9))),0)</f>
        <v>19.870072460746407</v>
      </c>
      <c r="AA9" s="115">
        <f>IFERROR(IF(d_Bv!AA9=0,0,((s_Ir*s_F*d_Bv!AA9*(1-EXP(-s_RadSpec!AZ9*s_t_b)))/(s_P*s_RadSpec!AZ9))),0)</f>
        <v>19.870072460746407</v>
      </c>
      <c r="AB9" s="115">
        <f>IFERROR(IF(d_Bv!C9=0,0,((s_Ir*s_F*s_MLF_apple*(1-EXP(-s_RadSpec!AZ9*s_t_b)))/(s_P*s_RadSpec!AZ9))),0)</f>
        <v>2.6824597822007652</v>
      </c>
      <c r="AC9" s="115">
        <f>IFERROR(IF(d_Bv!D9=0,0,((s_Ir*s_F*s_MLF_asparagus*(1-EXP(-s_RadSpec!AZ9*s_t_b)))/(s_P*s_RadSpec!AZ9))),0)</f>
        <v>2.6824597822007652</v>
      </c>
      <c r="AD9" s="115">
        <f>IFERROR(IF(d_Bv!E9=0,0,((s_Ir*s_F*s_MLF_beet*(1-EXP(-s_RadSpec!AZ9*s_t_b)))/(s_P*s_RadSpec!AZ9))),0)</f>
        <v>2.6824597822007652</v>
      </c>
      <c r="AE9" s="115">
        <f>IFERROR(IF(d_Bv!F9=0,0,((s_Ir*s_F*s_MLF_berries*(1-EXP(-s_RadSpec!AZ9*s_t_b)))/(s_P*s_RadSpec!AZ9))),0)</f>
        <v>2.6824597822007652</v>
      </c>
      <c r="AF9" s="115">
        <f>IFERROR(IF(d_Bv!G9=0,0,((s_Ir*s_F*s_MLF_broccoli*(1-EXP(-s_RadSpec!AZ9*s_t_b)))/(s_P*s_RadSpec!AZ9))),0)</f>
        <v>2.6824597822007652</v>
      </c>
      <c r="AG9" s="115">
        <f>IFERROR(IF(d_Bv!H9=0,0,((s_Ir*s_F*s_MLF_cabbage*(1-EXP(-s_RadSpec!AZ9*s_t_b)))/(s_P*s_RadSpec!AZ9))),0)</f>
        <v>2.6824597822007652</v>
      </c>
      <c r="AH9" s="115">
        <f>IFERROR(IF(d_Bv!I9=0,0,((s_Ir*s_F*s_MLF_carrot*(1-EXP(-s_RadSpec!AZ9*s_t_b)))/(s_P*s_RadSpec!AZ9))),0)</f>
        <v>2.6824597822007652</v>
      </c>
      <c r="AI9" s="115">
        <f>IFERROR(IF(d_Bv!J9=0,0,((s_Ir*s_F*s_MLF_citrus*(1-EXP(-s_RadSpec!AZ9*s_t_b)))/(s_P*s_RadSpec!AZ9))),0)</f>
        <v>2.6824597822007652</v>
      </c>
      <c r="AJ9" s="115">
        <f>IFERROR(IF(d_Bv!K9=0,0,((s_Ir*s_F*s_MLF_corn*(1-EXP(-s_RadSpec!AZ9*s_t_b)))/(s_P*s_RadSpec!AZ9))),0)</f>
        <v>2.6824597822007652</v>
      </c>
      <c r="AK9" s="115">
        <f>IFERROR(IF(d_Bv!L9=0,0,((s_Ir*s_F*s_MLF_cucumber*(1-EXP(-s_RadSpec!AZ9*s_t_b)))/(s_P*s_RadSpec!AZ9))),0)</f>
        <v>2.6824597822007652</v>
      </c>
      <c r="AL9" s="115">
        <f>IFERROR(IF(d_Bv!M9=0,0,((s_Ir*s_F*s_MLF_lettuce*(1-EXP(-s_RadSpec!AZ9*s_t_b)))/(s_P*s_RadSpec!AZ9))),0)</f>
        <v>2.6824597822007652</v>
      </c>
      <c r="AM9" s="115">
        <f>IFERROR(IF(d_Bv!N9=0,0,((s_Ir*s_F*s_MLF_lima_bean*(1-EXP(-s_RadSpec!AZ9*s_t_b)))/(s_P*s_RadSpec!AZ9))),0)</f>
        <v>2.6824597822007652</v>
      </c>
      <c r="AN9" s="115">
        <f>IFERROR(IF(d_Bv!O9=0,0,((s_Ir*s_F*s_MLF_okra*(1-EXP(-s_RadSpec!AZ9*s_t_b)))/(s_P*s_RadSpec!AZ9))),0)</f>
        <v>2.6824597822007652</v>
      </c>
      <c r="AO9" s="115">
        <f>IFERROR(IF(d_Bv!P9=0,0,((s_Ir*s_F*s_MLF_onion*(1-EXP(-s_RadSpec!AZ9*s_t_b)))/(s_P*s_RadSpec!AZ9))),0)</f>
        <v>2.6824597822007652</v>
      </c>
      <c r="AP9" s="115">
        <f>IFERROR(IF(d_Bv!Q9=0,0,((s_Ir*s_F*s_MLF_peach*(1-EXP(-s_RadSpec!AZ9*s_t_b)))/(s_P*s_RadSpec!AZ9))),0)</f>
        <v>2.6824597822007652</v>
      </c>
      <c r="AQ9" s="115">
        <f>IFERROR(IF(d_Bv!R9=0,0,((s_Ir*s_F*s_MLF_pear*(1-EXP(-s_RadSpec!AZ9*s_t_b)))/(s_P*s_RadSpec!AZ9))),0)</f>
        <v>2.6824597822007652</v>
      </c>
      <c r="AR9" s="115">
        <f>IFERROR(IF(d_Bv!S9=0,0,((s_Ir*s_F*s_MLF_peas*(1-EXP(-s_RadSpec!AZ9*s_t_b)))/(s_P*s_RadSpec!AZ9))),0)</f>
        <v>2.6824597822007652</v>
      </c>
      <c r="AS9" s="115">
        <f>IFERROR(IF(d_Bv!T9=0,0,((s_Ir*s_F*s_MLF_peppers*(1-EXP(-s_RadSpec!AZ9*s_t_b)))/(s_P*s_RadSpec!AZ9))),0)</f>
        <v>2.6824597822007652</v>
      </c>
      <c r="AT9" s="115">
        <f>IFERROR(IF(d_Bv!U9=0,0,((s_Ir*s_F*s_MLF_potato*(1-EXP(-s_RadSpec!AZ9*s_t_b)))/(s_P*s_RadSpec!AZ9))),0)</f>
        <v>2.6824597822007652</v>
      </c>
      <c r="AU9" s="115">
        <f>IFERROR(IF(d_Bv!V9=0,0,((s_Ir*s_F*s_MLF_pumpkin*(1-EXP(-s_RadSpec!AZ9*s_t_b)))/(s_P*s_RadSpec!AZ9))),0)</f>
        <v>2.6824597822007652</v>
      </c>
      <c r="AV9" s="115">
        <f>IFERROR(IF(d_Bv!W9=0,0,((s_Ir*s_F*s_MLF_snap_bean*(1-EXP(-s_RadSpec!AZ9*s_t_b)))/(s_P*s_RadSpec!AZ9))),0)</f>
        <v>2.6824597822007652</v>
      </c>
      <c r="AW9" s="115">
        <f>IFERROR(IF(d_Bv!X9=0,0,((s_Ir*s_F*s_MLF_strawberry*(1-EXP(-s_RadSpec!AZ9*s_t_b)))/(s_P*s_RadSpec!AZ9))),0)</f>
        <v>2.6824597822007652</v>
      </c>
      <c r="AX9" s="115">
        <f>IFERROR(IF(d_Bv!Y9=0,0,((s_Ir*s_F*s_MLF_tomato*(1-EXP(-s_RadSpec!AZ9*s_t_b)))/(s_P*s_RadSpec!AZ9))),0)</f>
        <v>2.6824597822007652</v>
      </c>
      <c r="AY9" s="115">
        <f>IFERROR(IF(d_Bv!Z9=0,0,((s_Ir*s_F*s_MLF_rice*(1-EXP(-s_RadSpec!AZ9*s_t_b)))/(s_P*s_RadSpec!AZ9))),0)</f>
        <v>2.6824597822007652</v>
      </c>
      <c r="AZ9" s="115">
        <f>IFERROR(IF(d_Bv!AA9=0,0,((s_Ir*s_F*s_MLF_cereal*(1-EXP(-s_RadSpec!AZ9*s_t_b)))/(s_P*s_RadSpec!AZ9))),0)</f>
        <v>2.6824597822007652</v>
      </c>
      <c r="BA9" s="115">
        <f>IFERROR(IF(d_Bv!C9=0,0,((s_Ir*s_F*s_I_f*s_T*(1-EXP(-s_RadSpec!BA9*s_t_v)))/(s_Y_v*s_RadSpec!BA9))),0)</f>
        <v>9.0143481925428208</v>
      </c>
      <c r="BB9" s="115">
        <f>IFERROR(IF(d_Bv!D9=0,0,((s_Ir*s_F*s_I_f*s_T*(1-EXP(-s_RadSpec!BA9*s_t_v)))/(s_Y_v*s_RadSpec!BA9))),0)</f>
        <v>9.0143481925428208</v>
      </c>
      <c r="BC9" s="115">
        <f>IFERROR(IF(d_Bv!E9=0,0,((s_Ir*s_F*s_I_f*s_T*(1-EXP(-s_RadSpec!BA9*s_t_v)))/(s_Y_v*s_RadSpec!BA9))),0)</f>
        <v>9.0143481925428208</v>
      </c>
      <c r="BD9" s="115">
        <f>IFERROR(IF(d_Bv!F9=0,0,((s_Ir*s_F*s_I_f*s_T*(1-EXP(-s_RadSpec!BA9*s_t_v)))/(s_Y_v*s_RadSpec!BA9))),0)</f>
        <v>9.0143481925428208</v>
      </c>
      <c r="BE9" s="115">
        <f>IFERROR(IF(d_Bv!G9=0,0,((s_Ir*s_F*s_I_f*s_T*(1-EXP(-s_RadSpec!BA9*s_t_v)))/(s_Y_v*s_RadSpec!BA9))),0)</f>
        <v>9.0143481925428208</v>
      </c>
      <c r="BF9" s="115">
        <f>IFERROR(IF(d_Bv!H9=0,0,((s_Ir*s_F*s_I_f*s_T*(1-EXP(-s_RadSpec!BA9*s_t_v)))/(s_Y_v*s_RadSpec!BA9))),0)</f>
        <v>9.0143481925428208</v>
      </c>
      <c r="BG9" s="115">
        <f>IFERROR(IF(d_Bv!I9=0,0,((s_Ir*s_F*s_I_f*s_T*(1-EXP(-s_RadSpec!BA9*s_t_v)))/(s_Y_v*s_RadSpec!BA9))),0)</f>
        <v>9.0143481925428208</v>
      </c>
      <c r="BH9" s="115">
        <f>IFERROR(IF(d_Bv!J9=0,0,((s_Ir*s_F*s_I_f*s_T*(1-EXP(-s_RadSpec!BA9*s_t_v)))/(s_Y_v*s_RadSpec!BA9))),0)</f>
        <v>9.0143481925428208</v>
      </c>
      <c r="BI9" s="115">
        <f>IFERROR(IF(d_Bv!K9=0,0,((s_Ir*s_F*s_I_f*s_T*(1-EXP(-s_RadSpec!BA9*s_t_v)))/(s_Y_v*s_RadSpec!BA9))),0)</f>
        <v>9.0143481925428208</v>
      </c>
      <c r="BJ9" s="115">
        <f>IFERROR(IF(d_Bv!L9=0,0,((s_Ir*s_F*s_I_f*s_T*(1-EXP(-s_RadSpec!BA9*s_t_v)))/(s_Y_v*s_RadSpec!BA9))),0)</f>
        <v>9.0143481925428208</v>
      </c>
      <c r="BK9" s="115">
        <f>IFERROR(IF(d_Bv!M9=0,0,((s_Ir*s_F*s_I_f*s_T*(1-EXP(-s_RadSpec!BA9*s_t_v)))/(s_Y_v*s_RadSpec!BA9))),0)</f>
        <v>9.0143481925428208</v>
      </c>
      <c r="BL9" s="115">
        <f>IFERROR(IF(d_Bv!N9=0,0,((s_Ir*s_F*s_I_f*s_T*(1-EXP(-s_RadSpec!BA9*s_t_v)))/(s_Y_v*s_RadSpec!BA9))),0)</f>
        <v>9.0143481925428208</v>
      </c>
      <c r="BM9" s="115">
        <f>IFERROR(IF(d_Bv!O9=0,0,((s_Ir*s_F*s_I_f*s_T*(1-EXP(-s_RadSpec!BA9*s_t_v)))/(s_Y_v*s_RadSpec!BA9))),0)</f>
        <v>9.0143481925428208</v>
      </c>
      <c r="BN9" s="115">
        <f>IFERROR(IF(d_Bv!P9=0,0,((s_Ir*s_F*s_I_f*s_T*(1-EXP(-s_RadSpec!BA9*s_t_v)))/(s_Y_v*s_RadSpec!BA9))),0)</f>
        <v>9.0143481925428208</v>
      </c>
      <c r="BO9" s="115">
        <f>IFERROR(IF(d_Bv!Q9=0,0,((s_Ir*s_F*s_I_f*s_T*(1-EXP(-s_RadSpec!BA9*s_t_v)))/(s_Y_v*s_RadSpec!BA9))),0)</f>
        <v>9.0143481925428208</v>
      </c>
      <c r="BP9" s="115">
        <f>IFERROR(IF(d_Bv!R9=0,0,((s_Ir*s_F*s_I_f*s_T*(1-EXP(-s_RadSpec!BA9*s_t_v)))/(s_Y_v*s_RadSpec!BA9))),0)</f>
        <v>9.0143481925428208</v>
      </c>
      <c r="BQ9" s="115">
        <f>IFERROR(IF(d_Bv!S9=0,0,((s_Ir*s_F*s_I_f*s_T*(1-EXP(-s_RadSpec!BA9*s_t_v)))/(s_Y_v*s_RadSpec!BA9))),0)</f>
        <v>9.0143481925428208</v>
      </c>
      <c r="BR9" s="115">
        <f>IFERROR(IF(d_Bv!T9=0,0,((s_Ir*s_F*s_I_f*s_T*(1-EXP(-s_RadSpec!BA9*s_t_v)))/(s_Y_v*s_RadSpec!BA9))),0)</f>
        <v>9.0143481925428208</v>
      </c>
      <c r="BS9" s="115">
        <f>IFERROR(IF(d_Bv!U9=0,0,((s_Ir*s_F*s_I_f*s_T*(1-EXP(-s_RadSpec!BA9*s_t_v)))/(s_Y_v*s_RadSpec!BA9))),0)</f>
        <v>9.0143481925428208</v>
      </c>
      <c r="BT9" s="115">
        <f>IFERROR(IF(d_Bv!V9=0,0,((s_Ir*s_F*s_I_f*s_T*(1-EXP(-s_RadSpec!BA9*s_t_v)))/(s_Y_v*s_RadSpec!BA9))),0)</f>
        <v>9.0143481925428208</v>
      </c>
      <c r="BU9" s="115">
        <f>IFERROR(IF(d_Bv!W9=0,0,((s_Ir*s_F*s_I_f*s_T*(1-EXP(-s_RadSpec!BA9*s_t_v)))/(s_Y_v*s_RadSpec!BA9))),0)</f>
        <v>9.0143481925428208</v>
      </c>
      <c r="BV9" s="115">
        <f>IFERROR(IF(d_Bv!X9=0,0,((s_Ir*s_F*s_I_f*s_T*(1-EXP(-s_RadSpec!BA9*s_t_v)))/(s_Y_v*s_RadSpec!BA9))),0)</f>
        <v>9.0143481925428208</v>
      </c>
      <c r="BW9" s="115">
        <f>IFERROR(IF(d_Bv!Y9=0,0,((s_Ir*s_F*s_I_f*s_T*(1-EXP(-s_RadSpec!BA9*s_t_v)))/(s_Y_v*s_RadSpec!BA9))),0)</f>
        <v>9.0143481925428208</v>
      </c>
      <c r="BX9" s="115">
        <f>IFERROR(IF(d_Bv!Z9=0,0,((s_Ir*s_F*s_I_f*s_T*(1-EXP(-s_RadSpec!BA9*s_t_v)))/(s_Y_v*s_RadSpec!BA9))),0)</f>
        <v>9.0143481925428208</v>
      </c>
      <c r="BY9" s="115">
        <f>IFERROR(IF(d_Bv!AA9=0,0,((s_Ir*s_F*s_I_f*s_T*(1-EXP(-s_RadSpec!BA9*s_t_v)))/(s_Y_v*s_RadSpec!BA9))),0)</f>
        <v>9.0143481925428208</v>
      </c>
    </row>
    <row r="10" spans="1:77" x14ac:dyDescent="0.25">
      <c r="A10" s="46" t="s">
        <v>20</v>
      </c>
      <c r="B10" s="42" t="s">
        <v>349</v>
      </c>
      <c r="C10" s="115">
        <f>IFERROR(IF(d_Bv!C10=0,0,((s_Ir*s_F*d_Bv!C10*(1-EXP(-s_RadSpec!$AZ10*s_t_b)))/(s_P*s_RadSpec!$AZ10))),0)</f>
        <v>1.1524642027232916</v>
      </c>
      <c r="D10" s="115">
        <f>IFERROR(IF(d_Bv!D10=0,0,((s_Ir*s_F*d_Bv!D10*(1-EXP(-s_RadSpec!AZ10*s_t_b)))/(s_P*s_RadSpec!AZ10))),0)</f>
        <v>11.922043476447843</v>
      </c>
      <c r="E10" s="115">
        <f>IFERROR(IF(d_Bv!E10=0,0,((s_Ir*s_F*d_Bv!E10*(1-EXP(-s_RadSpec!AZ10*s_t_b)))/(s_P*s_RadSpec!AZ10))),0)</f>
        <v>8.3454304335134921</v>
      </c>
      <c r="F10" s="115">
        <f>IFERROR(IF(d_Bv!F10=0,0,((s_Ir*s_F*d_Bv!F10*(1-EXP(-s_RadSpec!AZ10*s_t_b)))/(s_P*s_RadSpec!AZ10))),0)</f>
        <v>0.41727152167567449</v>
      </c>
      <c r="G10" s="115">
        <f>IFERROR(IF(d_Bv!G10=0,0,((s_Ir*s_F*d_Bv!G10*(1-EXP(-s_RadSpec!AZ10*s_t_b)))/(s_P*s_RadSpec!AZ10))),0)</f>
        <v>4.1727152167567461</v>
      </c>
      <c r="H10" s="115">
        <f>IFERROR(IF(d_Bv!H10=0,0,((s_Ir*s_F*d_Bv!H10*(1-EXP(-s_RadSpec!AZ10*s_t_b)))/(s_P*s_RadSpec!AZ10))),0)</f>
        <v>11.922043476447843</v>
      </c>
      <c r="I10" s="115">
        <f>IFERROR(IF(d_Bv!I10=0,0,((s_Ir*s_F*d_Bv!I10*(1-EXP(-s_RadSpec!AZ10*s_t_b)))/(s_P*s_RadSpec!AZ10))),0)</f>
        <v>8.3454304335134921</v>
      </c>
      <c r="J10" s="115">
        <f>IFERROR(IF(d_Bv!J10=0,0,((s_Ir*s_F*d_Bv!J10*(1-EXP(-s_RadSpec!AZ10*s_t_b)))/(s_P*s_RadSpec!AZ10))),0)</f>
        <v>1.1524642027232916</v>
      </c>
      <c r="K10" s="115">
        <f>IFERROR(IF(d_Bv!K10=0,0,((s_Ir*s_F*d_Bv!K10*(1-EXP(-s_RadSpec!AZ10*s_t_b)))/(s_P*s_RadSpec!AZ10))),0)</f>
        <v>6.5571239120463147</v>
      </c>
      <c r="L10" s="115">
        <f>IFERROR(IF(d_Bv!L10=0,0,((s_Ir*s_F*d_Bv!L10*(1-EXP(-s_RadSpec!AZ10*s_t_b)))/(s_P*s_RadSpec!AZ10))),0)</f>
        <v>4.1727152167567461</v>
      </c>
      <c r="M10" s="115">
        <f>IFERROR(IF(d_Bv!M10=0,0,((s_Ir*s_F*d_Bv!M10*(1-EXP(-s_RadSpec!AZ10*s_t_b)))/(s_P*s_RadSpec!AZ10))),0)</f>
        <v>11.922043476447843</v>
      </c>
      <c r="N10" s="115">
        <f>IFERROR(IF(d_Bv!N10=0,0,((s_Ir*s_F*d_Bv!N10*(1-EXP(-s_RadSpec!AZ10*s_t_b)))/(s_P*s_RadSpec!AZ10))),0)</f>
        <v>7.9480289842985634</v>
      </c>
      <c r="O10" s="115">
        <f>IFERROR(IF(d_Bv!O10=0,0,((s_Ir*s_F*d_Bv!O10*(1-EXP(-s_RadSpec!AZ10*s_t_b)))/(s_P*s_RadSpec!AZ10))),0)</f>
        <v>4.1727152167567461</v>
      </c>
      <c r="P10" s="115">
        <f>IFERROR(IF(d_Bv!P10=0,0,((s_Ir*s_F*d_Bv!P10*(1-EXP(-s_RadSpec!AZ10*s_t_b)))/(s_P*s_RadSpec!AZ10))),0)</f>
        <v>8.3454304335134921</v>
      </c>
      <c r="Q10" s="115">
        <f>IFERROR(IF(d_Bv!Q10=0,0,((s_Ir*s_F*d_Bv!Q10*(1-EXP(-s_RadSpec!AZ10*s_t_b)))/(s_P*s_RadSpec!AZ10))),0)</f>
        <v>1.1524642027232916</v>
      </c>
      <c r="R10" s="115">
        <f>IFERROR(IF(d_Bv!R10=0,0,((s_Ir*s_F*d_Bv!R10*(1-EXP(-s_RadSpec!AZ10*s_t_b)))/(s_P*s_RadSpec!AZ10))),0)</f>
        <v>1.1524642027232916</v>
      </c>
      <c r="S10" s="115">
        <f>IFERROR(IF(d_Bv!S10=0,0,((s_Ir*s_F*d_Bv!S10*(1-EXP(-s_RadSpec!AZ10*s_t_b)))/(s_P*s_RadSpec!AZ10))),0)</f>
        <v>7.9480289842985634</v>
      </c>
      <c r="T10" s="115">
        <f>IFERROR(IF(d_Bv!T10=0,0,((s_Ir*s_F*d_Bv!T10*(1-EXP(-s_RadSpec!AZ10*s_t_b)))/(s_P*s_RadSpec!AZ10))),0)</f>
        <v>4.1727152167567461</v>
      </c>
      <c r="U10" s="115">
        <f>IFERROR(IF(d_Bv!U10=0,0,((s_Ir*s_F*d_Bv!U10*(1-EXP(-s_RadSpec!AZ10*s_t_b)))/(s_P*s_RadSpec!AZ10))),0)</f>
        <v>11.127240578017989</v>
      </c>
      <c r="V10" s="115">
        <f>IFERROR(IF(d_Bv!V10=0,0,((s_Ir*s_F*d_Bv!V10*(1-EXP(-s_RadSpec!AZ10*s_t_b)))/(s_P*s_RadSpec!AZ10))),0)</f>
        <v>4.1727152167567461</v>
      </c>
      <c r="W10" s="115">
        <f>IFERROR(IF(d_Bv!W10=0,0,((s_Ir*s_F*d_Bv!W10*(1-EXP(-s_RadSpec!AZ10*s_t_b)))/(s_P*s_RadSpec!AZ10))),0)</f>
        <v>7.9480289842985634</v>
      </c>
      <c r="X10" s="115">
        <f>IFERROR(IF(d_Bv!X10=0,0,((s_Ir*s_F*d_Bv!X10*(1-EXP(-s_RadSpec!AZ10*s_t_b)))/(s_P*s_RadSpec!AZ10))),0)</f>
        <v>0.57623210136164582</v>
      </c>
      <c r="Y10" s="115">
        <f>IFERROR(IF(d_Bv!Y10=0,0,((s_Ir*s_F*d_Bv!Y10*(1-EXP(-s_RadSpec!AZ10*s_t_b)))/(s_P*s_RadSpec!AZ10))),0)</f>
        <v>4.1727152167567461</v>
      </c>
      <c r="Z10" s="115">
        <f>IFERROR(IF(d_Bv!Z10=0,0,((s_Ir*s_F*d_Bv!Z10*(1-EXP(-s_RadSpec!AZ10*s_t_b)))/(s_P*s_RadSpec!AZ10))),0)</f>
        <v>0.14505152896344875</v>
      </c>
      <c r="AA10" s="115">
        <f>IFERROR(IF(d_Bv!AA10=0,0,((s_Ir*s_F*d_Bv!AA10*(1-EXP(-s_RadSpec!AZ10*s_t_b)))/(s_P*s_RadSpec!AZ10))),0)</f>
        <v>5.7623210136164591</v>
      </c>
      <c r="AB10" s="115">
        <f>IFERROR(IF(d_Bv!C10=0,0,((s_Ir*s_F*s_MLF_apple*(1-EXP(-s_RadSpec!AZ10*s_t_b)))/(s_P*s_RadSpec!AZ10))),0)</f>
        <v>2.6824597822007652</v>
      </c>
      <c r="AC10" s="115">
        <f>IFERROR(IF(d_Bv!D10=0,0,((s_Ir*s_F*s_MLF_asparagus*(1-EXP(-s_RadSpec!AZ10*s_t_b)))/(s_P*s_RadSpec!AZ10))),0)</f>
        <v>2.6824597822007652</v>
      </c>
      <c r="AD10" s="115">
        <f>IFERROR(IF(d_Bv!E10=0,0,((s_Ir*s_F*s_MLF_beet*(1-EXP(-s_RadSpec!AZ10*s_t_b)))/(s_P*s_RadSpec!AZ10))),0)</f>
        <v>2.6824597822007652</v>
      </c>
      <c r="AE10" s="115">
        <f>IFERROR(IF(d_Bv!F10=0,0,((s_Ir*s_F*s_MLF_berries*(1-EXP(-s_RadSpec!AZ10*s_t_b)))/(s_P*s_RadSpec!AZ10))),0)</f>
        <v>2.6824597822007652</v>
      </c>
      <c r="AF10" s="115">
        <f>IFERROR(IF(d_Bv!G10=0,0,((s_Ir*s_F*s_MLF_broccoli*(1-EXP(-s_RadSpec!AZ10*s_t_b)))/(s_P*s_RadSpec!AZ10))),0)</f>
        <v>2.6824597822007652</v>
      </c>
      <c r="AG10" s="115">
        <f>IFERROR(IF(d_Bv!H10=0,0,((s_Ir*s_F*s_MLF_cabbage*(1-EXP(-s_RadSpec!AZ10*s_t_b)))/(s_P*s_RadSpec!AZ10))),0)</f>
        <v>2.6824597822007652</v>
      </c>
      <c r="AH10" s="115">
        <f>IFERROR(IF(d_Bv!I10=0,0,((s_Ir*s_F*s_MLF_carrot*(1-EXP(-s_RadSpec!AZ10*s_t_b)))/(s_P*s_RadSpec!AZ10))),0)</f>
        <v>2.6824597822007652</v>
      </c>
      <c r="AI10" s="115">
        <f>IFERROR(IF(d_Bv!J10=0,0,((s_Ir*s_F*s_MLF_citrus*(1-EXP(-s_RadSpec!AZ10*s_t_b)))/(s_P*s_RadSpec!AZ10))),0)</f>
        <v>2.6824597822007652</v>
      </c>
      <c r="AJ10" s="115">
        <f>IFERROR(IF(d_Bv!K10=0,0,((s_Ir*s_F*s_MLF_corn*(1-EXP(-s_RadSpec!AZ10*s_t_b)))/(s_P*s_RadSpec!AZ10))),0)</f>
        <v>2.6824597822007652</v>
      </c>
      <c r="AK10" s="115">
        <f>IFERROR(IF(d_Bv!L10=0,0,((s_Ir*s_F*s_MLF_cucumber*(1-EXP(-s_RadSpec!AZ10*s_t_b)))/(s_P*s_RadSpec!AZ10))),0)</f>
        <v>2.6824597822007652</v>
      </c>
      <c r="AL10" s="115">
        <f>IFERROR(IF(d_Bv!M10=0,0,((s_Ir*s_F*s_MLF_lettuce*(1-EXP(-s_RadSpec!AZ10*s_t_b)))/(s_P*s_RadSpec!AZ10))),0)</f>
        <v>2.6824597822007652</v>
      </c>
      <c r="AM10" s="115">
        <f>IFERROR(IF(d_Bv!N10=0,0,((s_Ir*s_F*s_MLF_lima_bean*(1-EXP(-s_RadSpec!AZ10*s_t_b)))/(s_P*s_RadSpec!AZ10))),0)</f>
        <v>2.6824597822007652</v>
      </c>
      <c r="AN10" s="115">
        <f>IFERROR(IF(d_Bv!O10=0,0,((s_Ir*s_F*s_MLF_okra*(1-EXP(-s_RadSpec!AZ10*s_t_b)))/(s_P*s_RadSpec!AZ10))),0)</f>
        <v>2.6824597822007652</v>
      </c>
      <c r="AO10" s="115">
        <f>IFERROR(IF(d_Bv!P10=0,0,((s_Ir*s_F*s_MLF_onion*(1-EXP(-s_RadSpec!AZ10*s_t_b)))/(s_P*s_RadSpec!AZ10))),0)</f>
        <v>2.6824597822007652</v>
      </c>
      <c r="AP10" s="115">
        <f>IFERROR(IF(d_Bv!Q10=0,0,((s_Ir*s_F*s_MLF_peach*(1-EXP(-s_RadSpec!AZ10*s_t_b)))/(s_P*s_RadSpec!AZ10))),0)</f>
        <v>2.6824597822007652</v>
      </c>
      <c r="AQ10" s="115">
        <f>IFERROR(IF(d_Bv!R10=0,0,((s_Ir*s_F*s_MLF_pear*(1-EXP(-s_RadSpec!AZ10*s_t_b)))/(s_P*s_RadSpec!AZ10))),0)</f>
        <v>2.6824597822007652</v>
      </c>
      <c r="AR10" s="115">
        <f>IFERROR(IF(d_Bv!S10=0,0,((s_Ir*s_F*s_MLF_peas*(1-EXP(-s_RadSpec!AZ10*s_t_b)))/(s_P*s_RadSpec!AZ10))),0)</f>
        <v>2.6824597822007652</v>
      </c>
      <c r="AS10" s="115">
        <f>IFERROR(IF(d_Bv!T10=0,0,((s_Ir*s_F*s_MLF_peppers*(1-EXP(-s_RadSpec!AZ10*s_t_b)))/(s_P*s_RadSpec!AZ10))),0)</f>
        <v>2.6824597822007652</v>
      </c>
      <c r="AT10" s="115">
        <f>IFERROR(IF(d_Bv!U10=0,0,((s_Ir*s_F*s_MLF_potato*(1-EXP(-s_RadSpec!AZ10*s_t_b)))/(s_P*s_RadSpec!AZ10))),0)</f>
        <v>2.6824597822007652</v>
      </c>
      <c r="AU10" s="115">
        <f>IFERROR(IF(d_Bv!V10=0,0,((s_Ir*s_F*s_MLF_pumpkin*(1-EXP(-s_RadSpec!AZ10*s_t_b)))/(s_P*s_RadSpec!AZ10))),0)</f>
        <v>2.6824597822007652</v>
      </c>
      <c r="AV10" s="115">
        <f>IFERROR(IF(d_Bv!W10=0,0,((s_Ir*s_F*s_MLF_snap_bean*(1-EXP(-s_RadSpec!AZ10*s_t_b)))/(s_P*s_RadSpec!AZ10))),0)</f>
        <v>2.6824597822007652</v>
      </c>
      <c r="AW10" s="115">
        <f>IFERROR(IF(d_Bv!X10=0,0,((s_Ir*s_F*s_MLF_strawberry*(1-EXP(-s_RadSpec!AZ10*s_t_b)))/(s_P*s_RadSpec!AZ10))),0)</f>
        <v>2.6824597822007652</v>
      </c>
      <c r="AX10" s="115">
        <f>IFERROR(IF(d_Bv!Y10=0,0,((s_Ir*s_F*s_MLF_tomato*(1-EXP(-s_RadSpec!AZ10*s_t_b)))/(s_P*s_RadSpec!AZ10))),0)</f>
        <v>2.6824597822007652</v>
      </c>
      <c r="AY10" s="115">
        <f>IFERROR(IF(d_Bv!Z10=0,0,((s_Ir*s_F*s_MLF_rice*(1-EXP(-s_RadSpec!AZ10*s_t_b)))/(s_P*s_RadSpec!AZ10))),0)</f>
        <v>2.6824597822007652</v>
      </c>
      <c r="AZ10" s="115">
        <f>IFERROR(IF(d_Bv!AA10=0,0,((s_Ir*s_F*s_MLF_cereal*(1-EXP(-s_RadSpec!AZ10*s_t_b)))/(s_P*s_RadSpec!AZ10))),0)</f>
        <v>2.6824597822007652</v>
      </c>
      <c r="BA10" s="115">
        <f>IFERROR(IF(d_Bv!C10=0,0,((s_Ir*s_F*s_I_f*s_T*(1-EXP(-s_RadSpec!BA10*s_t_v)))/(s_Y_v*s_RadSpec!BA10))),0)</f>
        <v>9.0143481925428208</v>
      </c>
      <c r="BB10" s="115">
        <f>IFERROR(IF(d_Bv!D10=0,0,((s_Ir*s_F*s_I_f*s_T*(1-EXP(-s_RadSpec!BA10*s_t_v)))/(s_Y_v*s_RadSpec!BA10))),0)</f>
        <v>9.0143481925428208</v>
      </c>
      <c r="BC10" s="115">
        <f>IFERROR(IF(d_Bv!E10=0,0,((s_Ir*s_F*s_I_f*s_T*(1-EXP(-s_RadSpec!BA10*s_t_v)))/(s_Y_v*s_RadSpec!BA10))),0)</f>
        <v>9.0143481925428208</v>
      </c>
      <c r="BD10" s="115">
        <f>IFERROR(IF(d_Bv!F10=0,0,((s_Ir*s_F*s_I_f*s_T*(1-EXP(-s_RadSpec!BA10*s_t_v)))/(s_Y_v*s_RadSpec!BA10))),0)</f>
        <v>9.0143481925428208</v>
      </c>
      <c r="BE10" s="115">
        <f>IFERROR(IF(d_Bv!G10=0,0,((s_Ir*s_F*s_I_f*s_T*(1-EXP(-s_RadSpec!BA10*s_t_v)))/(s_Y_v*s_RadSpec!BA10))),0)</f>
        <v>9.0143481925428208</v>
      </c>
      <c r="BF10" s="115">
        <f>IFERROR(IF(d_Bv!H10=0,0,((s_Ir*s_F*s_I_f*s_T*(1-EXP(-s_RadSpec!BA10*s_t_v)))/(s_Y_v*s_RadSpec!BA10))),0)</f>
        <v>9.0143481925428208</v>
      </c>
      <c r="BG10" s="115">
        <f>IFERROR(IF(d_Bv!I10=0,0,((s_Ir*s_F*s_I_f*s_T*(1-EXP(-s_RadSpec!BA10*s_t_v)))/(s_Y_v*s_RadSpec!BA10))),0)</f>
        <v>9.0143481925428208</v>
      </c>
      <c r="BH10" s="115">
        <f>IFERROR(IF(d_Bv!J10=0,0,((s_Ir*s_F*s_I_f*s_T*(1-EXP(-s_RadSpec!BA10*s_t_v)))/(s_Y_v*s_RadSpec!BA10))),0)</f>
        <v>9.0143481925428208</v>
      </c>
      <c r="BI10" s="115">
        <f>IFERROR(IF(d_Bv!K10=0,0,((s_Ir*s_F*s_I_f*s_T*(1-EXP(-s_RadSpec!BA10*s_t_v)))/(s_Y_v*s_RadSpec!BA10))),0)</f>
        <v>9.0143481925428208</v>
      </c>
      <c r="BJ10" s="115">
        <f>IFERROR(IF(d_Bv!L10=0,0,((s_Ir*s_F*s_I_f*s_T*(1-EXP(-s_RadSpec!BA10*s_t_v)))/(s_Y_v*s_RadSpec!BA10))),0)</f>
        <v>9.0143481925428208</v>
      </c>
      <c r="BK10" s="115">
        <f>IFERROR(IF(d_Bv!M10=0,0,((s_Ir*s_F*s_I_f*s_T*(1-EXP(-s_RadSpec!BA10*s_t_v)))/(s_Y_v*s_RadSpec!BA10))),0)</f>
        <v>9.0143481925428208</v>
      </c>
      <c r="BL10" s="115">
        <f>IFERROR(IF(d_Bv!N10=0,0,((s_Ir*s_F*s_I_f*s_T*(1-EXP(-s_RadSpec!BA10*s_t_v)))/(s_Y_v*s_RadSpec!BA10))),0)</f>
        <v>9.0143481925428208</v>
      </c>
      <c r="BM10" s="115">
        <f>IFERROR(IF(d_Bv!O10=0,0,((s_Ir*s_F*s_I_f*s_T*(1-EXP(-s_RadSpec!BA10*s_t_v)))/(s_Y_v*s_RadSpec!BA10))),0)</f>
        <v>9.0143481925428208</v>
      </c>
      <c r="BN10" s="115">
        <f>IFERROR(IF(d_Bv!P10=0,0,((s_Ir*s_F*s_I_f*s_T*(1-EXP(-s_RadSpec!BA10*s_t_v)))/(s_Y_v*s_RadSpec!BA10))),0)</f>
        <v>9.0143481925428208</v>
      </c>
      <c r="BO10" s="115">
        <f>IFERROR(IF(d_Bv!Q10=0,0,((s_Ir*s_F*s_I_f*s_T*(1-EXP(-s_RadSpec!BA10*s_t_v)))/(s_Y_v*s_RadSpec!BA10))),0)</f>
        <v>9.0143481925428208</v>
      </c>
      <c r="BP10" s="115">
        <f>IFERROR(IF(d_Bv!R10=0,0,((s_Ir*s_F*s_I_f*s_T*(1-EXP(-s_RadSpec!BA10*s_t_v)))/(s_Y_v*s_RadSpec!BA10))),0)</f>
        <v>9.0143481925428208</v>
      </c>
      <c r="BQ10" s="115">
        <f>IFERROR(IF(d_Bv!S10=0,0,((s_Ir*s_F*s_I_f*s_T*(1-EXP(-s_RadSpec!BA10*s_t_v)))/(s_Y_v*s_RadSpec!BA10))),0)</f>
        <v>9.0143481925428208</v>
      </c>
      <c r="BR10" s="115">
        <f>IFERROR(IF(d_Bv!T10=0,0,((s_Ir*s_F*s_I_f*s_T*(1-EXP(-s_RadSpec!BA10*s_t_v)))/(s_Y_v*s_RadSpec!BA10))),0)</f>
        <v>9.0143481925428208</v>
      </c>
      <c r="BS10" s="115">
        <f>IFERROR(IF(d_Bv!U10=0,0,((s_Ir*s_F*s_I_f*s_T*(1-EXP(-s_RadSpec!BA10*s_t_v)))/(s_Y_v*s_RadSpec!BA10))),0)</f>
        <v>9.0143481925428208</v>
      </c>
      <c r="BT10" s="115">
        <f>IFERROR(IF(d_Bv!V10=0,0,((s_Ir*s_F*s_I_f*s_T*(1-EXP(-s_RadSpec!BA10*s_t_v)))/(s_Y_v*s_RadSpec!BA10))),0)</f>
        <v>9.0143481925428208</v>
      </c>
      <c r="BU10" s="115">
        <f>IFERROR(IF(d_Bv!W10=0,0,((s_Ir*s_F*s_I_f*s_T*(1-EXP(-s_RadSpec!BA10*s_t_v)))/(s_Y_v*s_RadSpec!BA10))),0)</f>
        <v>9.0143481925428208</v>
      </c>
      <c r="BV10" s="115">
        <f>IFERROR(IF(d_Bv!X10=0,0,((s_Ir*s_F*s_I_f*s_T*(1-EXP(-s_RadSpec!BA10*s_t_v)))/(s_Y_v*s_RadSpec!BA10))),0)</f>
        <v>9.0143481925428208</v>
      </c>
      <c r="BW10" s="115">
        <f>IFERROR(IF(d_Bv!Y10=0,0,((s_Ir*s_F*s_I_f*s_T*(1-EXP(-s_RadSpec!BA10*s_t_v)))/(s_Y_v*s_RadSpec!BA10))),0)</f>
        <v>9.0143481925428208</v>
      </c>
      <c r="BX10" s="115">
        <f>IFERROR(IF(d_Bv!Z10=0,0,((s_Ir*s_F*s_I_f*s_T*(1-EXP(-s_RadSpec!BA10*s_t_v)))/(s_Y_v*s_RadSpec!BA10))),0)</f>
        <v>9.0143481925428208</v>
      </c>
      <c r="BY10" s="115">
        <f>IFERROR(IF(d_Bv!AA10=0,0,((s_Ir*s_F*s_I_f*s_T*(1-EXP(-s_RadSpec!BA10*s_t_v)))/(s_Y_v*s_RadSpec!BA10))),0)</f>
        <v>9.0143481925428208</v>
      </c>
    </row>
    <row r="11" spans="1:77" x14ac:dyDescent="0.25">
      <c r="A11" s="44" t="s">
        <v>21</v>
      </c>
      <c r="B11" s="42" t="s">
        <v>1071</v>
      </c>
      <c r="C11" s="115">
        <f>IFERROR(IF(d_Bv!C11=0,0,((s_Ir*s_F*d_Bv!C11*(1-EXP(-s_RadSpec!$AZ11*s_t_b)))/(s_P*s_RadSpec!$AZ11))),0)</f>
        <v>5.9610217382239217</v>
      </c>
      <c r="D11" s="115">
        <f>IFERROR(IF(d_Bv!D11=0,0,((s_Ir*s_F*d_Bv!D11*(1-EXP(-s_RadSpec!AZ11*s_t_b)))/(s_P*s_RadSpec!AZ11))),0)</f>
        <v>5.9610217382239217</v>
      </c>
      <c r="E11" s="115">
        <f>IFERROR(IF(d_Bv!E11=0,0,((s_Ir*s_F*d_Bv!E11*(1-EXP(-s_RadSpec!AZ11*s_t_b)))/(s_P*s_RadSpec!AZ11))),0)</f>
        <v>5.9610217382239217</v>
      </c>
      <c r="F11" s="115">
        <f>IFERROR(IF(d_Bv!F11=0,0,((s_Ir*s_F*d_Bv!F11*(1-EXP(-s_RadSpec!AZ11*s_t_b)))/(s_P*s_RadSpec!AZ11))),0)</f>
        <v>5.9610217382239217</v>
      </c>
      <c r="G11" s="115">
        <f>IFERROR(IF(d_Bv!G11=0,0,((s_Ir*s_F*d_Bv!G11*(1-EXP(-s_RadSpec!AZ11*s_t_b)))/(s_P*s_RadSpec!AZ11))),0)</f>
        <v>5.9610217382239217</v>
      </c>
      <c r="H11" s="115">
        <f>IFERROR(IF(d_Bv!H11=0,0,((s_Ir*s_F*d_Bv!H11*(1-EXP(-s_RadSpec!AZ11*s_t_b)))/(s_P*s_RadSpec!AZ11))),0)</f>
        <v>5.9610217382239217</v>
      </c>
      <c r="I11" s="115">
        <f>IFERROR(IF(d_Bv!I11=0,0,((s_Ir*s_F*d_Bv!I11*(1-EXP(-s_RadSpec!AZ11*s_t_b)))/(s_P*s_RadSpec!AZ11))),0)</f>
        <v>5.9610217382239217</v>
      </c>
      <c r="J11" s="115">
        <f>IFERROR(IF(d_Bv!J11=0,0,((s_Ir*s_F*d_Bv!J11*(1-EXP(-s_RadSpec!AZ11*s_t_b)))/(s_P*s_RadSpec!AZ11))),0)</f>
        <v>5.9610217382239217</v>
      </c>
      <c r="K11" s="115">
        <f>IFERROR(IF(d_Bv!K11=0,0,((s_Ir*s_F*d_Bv!K11*(1-EXP(-s_RadSpec!AZ11*s_t_b)))/(s_P*s_RadSpec!AZ11))),0)</f>
        <v>5.9610217382239217</v>
      </c>
      <c r="L11" s="115">
        <f>IFERROR(IF(d_Bv!L11=0,0,((s_Ir*s_F*d_Bv!L11*(1-EXP(-s_RadSpec!AZ11*s_t_b)))/(s_P*s_RadSpec!AZ11))),0)</f>
        <v>5.9610217382239217</v>
      </c>
      <c r="M11" s="115">
        <f>IFERROR(IF(d_Bv!M11=0,0,((s_Ir*s_F*d_Bv!M11*(1-EXP(-s_RadSpec!AZ11*s_t_b)))/(s_P*s_RadSpec!AZ11))),0)</f>
        <v>5.9610217382239217</v>
      </c>
      <c r="N11" s="115">
        <f>IFERROR(IF(d_Bv!N11=0,0,((s_Ir*s_F*d_Bv!N11*(1-EXP(-s_RadSpec!AZ11*s_t_b)))/(s_P*s_RadSpec!AZ11))),0)</f>
        <v>5.9610217382239217</v>
      </c>
      <c r="O11" s="115">
        <f>IFERROR(IF(d_Bv!O11=0,0,((s_Ir*s_F*d_Bv!O11*(1-EXP(-s_RadSpec!AZ11*s_t_b)))/(s_P*s_RadSpec!AZ11))),0)</f>
        <v>5.9610217382239217</v>
      </c>
      <c r="P11" s="115">
        <f>IFERROR(IF(d_Bv!P11=0,0,((s_Ir*s_F*d_Bv!P11*(1-EXP(-s_RadSpec!AZ11*s_t_b)))/(s_P*s_RadSpec!AZ11))),0)</f>
        <v>5.9610217382239217</v>
      </c>
      <c r="Q11" s="115">
        <f>IFERROR(IF(d_Bv!Q11=0,0,((s_Ir*s_F*d_Bv!Q11*(1-EXP(-s_RadSpec!AZ11*s_t_b)))/(s_P*s_RadSpec!AZ11))),0)</f>
        <v>5.9610217382239217</v>
      </c>
      <c r="R11" s="115">
        <f>IFERROR(IF(d_Bv!R11=0,0,((s_Ir*s_F*d_Bv!R11*(1-EXP(-s_RadSpec!AZ11*s_t_b)))/(s_P*s_RadSpec!AZ11))),0)</f>
        <v>5.9610217382239217</v>
      </c>
      <c r="S11" s="115">
        <f>IFERROR(IF(d_Bv!S11=0,0,((s_Ir*s_F*d_Bv!S11*(1-EXP(-s_RadSpec!AZ11*s_t_b)))/(s_P*s_RadSpec!AZ11))),0)</f>
        <v>5.9610217382239217</v>
      </c>
      <c r="T11" s="115">
        <f>IFERROR(IF(d_Bv!T11=0,0,((s_Ir*s_F*d_Bv!T11*(1-EXP(-s_RadSpec!AZ11*s_t_b)))/(s_P*s_RadSpec!AZ11))),0)</f>
        <v>5.9610217382239217</v>
      </c>
      <c r="U11" s="115">
        <f>IFERROR(IF(d_Bv!U11=0,0,((s_Ir*s_F*d_Bv!U11*(1-EXP(-s_RadSpec!AZ11*s_t_b)))/(s_P*s_RadSpec!AZ11))),0)</f>
        <v>5.9610217382239217</v>
      </c>
      <c r="V11" s="115">
        <f>IFERROR(IF(d_Bv!V11=0,0,((s_Ir*s_F*d_Bv!V11*(1-EXP(-s_RadSpec!AZ11*s_t_b)))/(s_P*s_RadSpec!AZ11))),0)</f>
        <v>5.9610217382239217</v>
      </c>
      <c r="W11" s="115">
        <f>IFERROR(IF(d_Bv!W11=0,0,((s_Ir*s_F*d_Bv!W11*(1-EXP(-s_RadSpec!AZ11*s_t_b)))/(s_P*s_RadSpec!AZ11))),0)</f>
        <v>5.9610217382239217</v>
      </c>
      <c r="X11" s="115">
        <f>IFERROR(IF(d_Bv!X11=0,0,((s_Ir*s_F*d_Bv!X11*(1-EXP(-s_RadSpec!AZ11*s_t_b)))/(s_P*s_RadSpec!AZ11))),0)</f>
        <v>5.9610217382239217</v>
      </c>
      <c r="Y11" s="115">
        <f>IFERROR(IF(d_Bv!Y11=0,0,((s_Ir*s_F*d_Bv!Y11*(1-EXP(-s_RadSpec!AZ11*s_t_b)))/(s_P*s_RadSpec!AZ11))),0)</f>
        <v>5.9610217382239217</v>
      </c>
      <c r="Z11" s="115">
        <f>IFERROR(IF(d_Bv!Z11=0,0,((s_Ir*s_F*d_Bv!Z11*(1-EXP(-s_RadSpec!AZ11*s_t_b)))/(s_P*s_RadSpec!AZ11))),0)</f>
        <v>5.9610217382239217</v>
      </c>
      <c r="AA11" s="115">
        <f>IFERROR(IF(d_Bv!AA11=0,0,((s_Ir*s_F*d_Bv!AA11*(1-EXP(-s_RadSpec!AZ11*s_t_b)))/(s_P*s_RadSpec!AZ11))),0)</f>
        <v>5.9610217382239217</v>
      </c>
      <c r="AB11" s="115">
        <f>IFERROR(IF(d_Bv!C11=0,0,((s_Ir*s_F*s_MLF_apple*(1-EXP(-s_RadSpec!AZ11*s_t_b)))/(s_P*s_RadSpec!AZ11))),0)</f>
        <v>2.6824597822007652</v>
      </c>
      <c r="AC11" s="115">
        <f>IFERROR(IF(d_Bv!D11=0,0,((s_Ir*s_F*s_MLF_asparagus*(1-EXP(-s_RadSpec!AZ11*s_t_b)))/(s_P*s_RadSpec!AZ11))),0)</f>
        <v>2.6824597822007652</v>
      </c>
      <c r="AD11" s="115">
        <f>IFERROR(IF(d_Bv!E11=0,0,((s_Ir*s_F*s_MLF_beet*(1-EXP(-s_RadSpec!AZ11*s_t_b)))/(s_P*s_RadSpec!AZ11))),0)</f>
        <v>2.6824597822007652</v>
      </c>
      <c r="AE11" s="115">
        <f>IFERROR(IF(d_Bv!F11=0,0,((s_Ir*s_F*s_MLF_berries*(1-EXP(-s_RadSpec!AZ11*s_t_b)))/(s_P*s_RadSpec!AZ11))),0)</f>
        <v>2.6824597822007652</v>
      </c>
      <c r="AF11" s="115">
        <f>IFERROR(IF(d_Bv!G11=0,0,((s_Ir*s_F*s_MLF_broccoli*(1-EXP(-s_RadSpec!AZ11*s_t_b)))/(s_P*s_RadSpec!AZ11))),0)</f>
        <v>2.6824597822007652</v>
      </c>
      <c r="AG11" s="115">
        <f>IFERROR(IF(d_Bv!H11=0,0,((s_Ir*s_F*s_MLF_cabbage*(1-EXP(-s_RadSpec!AZ11*s_t_b)))/(s_P*s_RadSpec!AZ11))),0)</f>
        <v>2.6824597822007652</v>
      </c>
      <c r="AH11" s="115">
        <f>IFERROR(IF(d_Bv!I11=0,0,((s_Ir*s_F*s_MLF_carrot*(1-EXP(-s_RadSpec!AZ11*s_t_b)))/(s_P*s_RadSpec!AZ11))),0)</f>
        <v>2.6824597822007652</v>
      </c>
      <c r="AI11" s="115">
        <f>IFERROR(IF(d_Bv!J11=0,0,((s_Ir*s_F*s_MLF_citrus*(1-EXP(-s_RadSpec!AZ11*s_t_b)))/(s_P*s_RadSpec!AZ11))),0)</f>
        <v>2.6824597822007652</v>
      </c>
      <c r="AJ11" s="115">
        <f>IFERROR(IF(d_Bv!K11=0,0,((s_Ir*s_F*s_MLF_corn*(1-EXP(-s_RadSpec!AZ11*s_t_b)))/(s_P*s_RadSpec!AZ11))),0)</f>
        <v>2.6824597822007652</v>
      </c>
      <c r="AK11" s="115">
        <f>IFERROR(IF(d_Bv!L11=0,0,((s_Ir*s_F*s_MLF_cucumber*(1-EXP(-s_RadSpec!AZ11*s_t_b)))/(s_P*s_RadSpec!AZ11))),0)</f>
        <v>2.6824597822007652</v>
      </c>
      <c r="AL11" s="115">
        <f>IFERROR(IF(d_Bv!M11=0,0,((s_Ir*s_F*s_MLF_lettuce*(1-EXP(-s_RadSpec!AZ11*s_t_b)))/(s_P*s_RadSpec!AZ11))),0)</f>
        <v>2.6824597822007652</v>
      </c>
      <c r="AM11" s="115">
        <f>IFERROR(IF(d_Bv!N11=0,0,((s_Ir*s_F*s_MLF_lima_bean*(1-EXP(-s_RadSpec!AZ11*s_t_b)))/(s_P*s_RadSpec!AZ11))),0)</f>
        <v>2.6824597822007652</v>
      </c>
      <c r="AN11" s="115">
        <f>IFERROR(IF(d_Bv!O11=0,0,((s_Ir*s_F*s_MLF_okra*(1-EXP(-s_RadSpec!AZ11*s_t_b)))/(s_P*s_RadSpec!AZ11))),0)</f>
        <v>2.6824597822007652</v>
      </c>
      <c r="AO11" s="115">
        <f>IFERROR(IF(d_Bv!P11=0,0,((s_Ir*s_F*s_MLF_onion*(1-EXP(-s_RadSpec!AZ11*s_t_b)))/(s_P*s_RadSpec!AZ11))),0)</f>
        <v>2.6824597822007652</v>
      </c>
      <c r="AP11" s="115">
        <f>IFERROR(IF(d_Bv!Q11=0,0,((s_Ir*s_F*s_MLF_peach*(1-EXP(-s_RadSpec!AZ11*s_t_b)))/(s_P*s_RadSpec!AZ11))),0)</f>
        <v>2.6824597822007652</v>
      </c>
      <c r="AQ11" s="115">
        <f>IFERROR(IF(d_Bv!R11=0,0,((s_Ir*s_F*s_MLF_pear*(1-EXP(-s_RadSpec!AZ11*s_t_b)))/(s_P*s_RadSpec!AZ11))),0)</f>
        <v>2.6824597822007652</v>
      </c>
      <c r="AR11" s="115">
        <f>IFERROR(IF(d_Bv!S11=0,0,((s_Ir*s_F*s_MLF_peas*(1-EXP(-s_RadSpec!AZ11*s_t_b)))/(s_P*s_RadSpec!AZ11))),0)</f>
        <v>2.6824597822007652</v>
      </c>
      <c r="AS11" s="115">
        <f>IFERROR(IF(d_Bv!T11=0,0,((s_Ir*s_F*s_MLF_peppers*(1-EXP(-s_RadSpec!AZ11*s_t_b)))/(s_P*s_RadSpec!AZ11))),0)</f>
        <v>2.6824597822007652</v>
      </c>
      <c r="AT11" s="115">
        <f>IFERROR(IF(d_Bv!U11=0,0,((s_Ir*s_F*s_MLF_potato*(1-EXP(-s_RadSpec!AZ11*s_t_b)))/(s_P*s_RadSpec!AZ11))),0)</f>
        <v>2.6824597822007652</v>
      </c>
      <c r="AU11" s="115">
        <f>IFERROR(IF(d_Bv!V11=0,0,((s_Ir*s_F*s_MLF_pumpkin*(1-EXP(-s_RadSpec!AZ11*s_t_b)))/(s_P*s_RadSpec!AZ11))),0)</f>
        <v>2.6824597822007652</v>
      </c>
      <c r="AV11" s="115">
        <f>IFERROR(IF(d_Bv!W11=0,0,((s_Ir*s_F*s_MLF_snap_bean*(1-EXP(-s_RadSpec!AZ11*s_t_b)))/(s_P*s_RadSpec!AZ11))),0)</f>
        <v>2.6824597822007652</v>
      </c>
      <c r="AW11" s="115">
        <f>IFERROR(IF(d_Bv!X11=0,0,((s_Ir*s_F*s_MLF_strawberry*(1-EXP(-s_RadSpec!AZ11*s_t_b)))/(s_P*s_RadSpec!AZ11))),0)</f>
        <v>2.6824597822007652</v>
      </c>
      <c r="AX11" s="115">
        <f>IFERROR(IF(d_Bv!Y11=0,0,((s_Ir*s_F*s_MLF_tomato*(1-EXP(-s_RadSpec!AZ11*s_t_b)))/(s_P*s_RadSpec!AZ11))),0)</f>
        <v>2.6824597822007652</v>
      </c>
      <c r="AY11" s="115">
        <f>IFERROR(IF(d_Bv!Z11=0,0,((s_Ir*s_F*s_MLF_rice*(1-EXP(-s_RadSpec!AZ11*s_t_b)))/(s_P*s_RadSpec!AZ11))),0)</f>
        <v>2.6824597822007652</v>
      </c>
      <c r="AZ11" s="115">
        <f>IFERROR(IF(d_Bv!AA11=0,0,((s_Ir*s_F*s_MLF_cereal*(1-EXP(-s_RadSpec!AZ11*s_t_b)))/(s_P*s_RadSpec!AZ11))),0)</f>
        <v>2.6824597822007652</v>
      </c>
      <c r="BA11" s="115">
        <f>IFERROR(IF(d_Bv!C11=0,0,((s_Ir*s_F*s_I_f*s_T*(1-EXP(-s_RadSpec!BA11*s_t_v)))/(s_Y_v*s_RadSpec!BA11))),0)</f>
        <v>9.0143481925428208</v>
      </c>
      <c r="BB11" s="115">
        <f>IFERROR(IF(d_Bv!D11=0,0,((s_Ir*s_F*s_I_f*s_T*(1-EXP(-s_RadSpec!BA11*s_t_v)))/(s_Y_v*s_RadSpec!BA11))),0)</f>
        <v>9.0143481925428208</v>
      </c>
      <c r="BC11" s="115">
        <f>IFERROR(IF(d_Bv!E11=0,0,((s_Ir*s_F*s_I_f*s_T*(1-EXP(-s_RadSpec!BA11*s_t_v)))/(s_Y_v*s_RadSpec!BA11))),0)</f>
        <v>9.0143481925428208</v>
      </c>
      <c r="BD11" s="115">
        <f>IFERROR(IF(d_Bv!F11=0,0,((s_Ir*s_F*s_I_f*s_T*(1-EXP(-s_RadSpec!BA11*s_t_v)))/(s_Y_v*s_RadSpec!BA11))),0)</f>
        <v>9.0143481925428208</v>
      </c>
      <c r="BE11" s="115">
        <f>IFERROR(IF(d_Bv!G11=0,0,((s_Ir*s_F*s_I_f*s_T*(1-EXP(-s_RadSpec!BA11*s_t_v)))/(s_Y_v*s_RadSpec!BA11))),0)</f>
        <v>9.0143481925428208</v>
      </c>
      <c r="BF11" s="115">
        <f>IFERROR(IF(d_Bv!H11=0,0,((s_Ir*s_F*s_I_f*s_T*(1-EXP(-s_RadSpec!BA11*s_t_v)))/(s_Y_v*s_RadSpec!BA11))),0)</f>
        <v>9.0143481925428208</v>
      </c>
      <c r="BG11" s="115">
        <f>IFERROR(IF(d_Bv!I11=0,0,((s_Ir*s_F*s_I_f*s_T*(1-EXP(-s_RadSpec!BA11*s_t_v)))/(s_Y_v*s_RadSpec!BA11))),0)</f>
        <v>9.0143481925428208</v>
      </c>
      <c r="BH11" s="115">
        <f>IFERROR(IF(d_Bv!J11=0,0,((s_Ir*s_F*s_I_f*s_T*(1-EXP(-s_RadSpec!BA11*s_t_v)))/(s_Y_v*s_RadSpec!BA11))),0)</f>
        <v>9.0143481925428208</v>
      </c>
      <c r="BI11" s="115">
        <f>IFERROR(IF(d_Bv!K11=0,0,((s_Ir*s_F*s_I_f*s_T*(1-EXP(-s_RadSpec!BA11*s_t_v)))/(s_Y_v*s_RadSpec!BA11))),0)</f>
        <v>9.0143481925428208</v>
      </c>
      <c r="BJ11" s="115">
        <f>IFERROR(IF(d_Bv!L11=0,0,((s_Ir*s_F*s_I_f*s_T*(1-EXP(-s_RadSpec!BA11*s_t_v)))/(s_Y_v*s_RadSpec!BA11))),0)</f>
        <v>9.0143481925428208</v>
      </c>
      <c r="BK11" s="115">
        <f>IFERROR(IF(d_Bv!M11=0,0,((s_Ir*s_F*s_I_f*s_T*(1-EXP(-s_RadSpec!BA11*s_t_v)))/(s_Y_v*s_RadSpec!BA11))),0)</f>
        <v>9.0143481925428208</v>
      </c>
      <c r="BL11" s="115">
        <f>IFERROR(IF(d_Bv!N11=0,0,((s_Ir*s_F*s_I_f*s_T*(1-EXP(-s_RadSpec!BA11*s_t_v)))/(s_Y_v*s_RadSpec!BA11))),0)</f>
        <v>9.0143481925428208</v>
      </c>
      <c r="BM11" s="115">
        <f>IFERROR(IF(d_Bv!O11=0,0,((s_Ir*s_F*s_I_f*s_T*(1-EXP(-s_RadSpec!BA11*s_t_v)))/(s_Y_v*s_RadSpec!BA11))),0)</f>
        <v>9.0143481925428208</v>
      </c>
      <c r="BN11" s="115">
        <f>IFERROR(IF(d_Bv!P11=0,0,((s_Ir*s_F*s_I_f*s_T*(1-EXP(-s_RadSpec!BA11*s_t_v)))/(s_Y_v*s_RadSpec!BA11))),0)</f>
        <v>9.0143481925428208</v>
      </c>
      <c r="BO11" s="115">
        <f>IFERROR(IF(d_Bv!Q11=0,0,((s_Ir*s_F*s_I_f*s_T*(1-EXP(-s_RadSpec!BA11*s_t_v)))/(s_Y_v*s_RadSpec!BA11))),0)</f>
        <v>9.0143481925428208</v>
      </c>
      <c r="BP11" s="115">
        <f>IFERROR(IF(d_Bv!R11=0,0,((s_Ir*s_F*s_I_f*s_T*(1-EXP(-s_RadSpec!BA11*s_t_v)))/(s_Y_v*s_RadSpec!BA11))),0)</f>
        <v>9.0143481925428208</v>
      </c>
      <c r="BQ11" s="115">
        <f>IFERROR(IF(d_Bv!S11=0,0,((s_Ir*s_F*s_I_f*s_T*(1-EXP(-s_RadSpec!BA11*s_t_v)))/(s_Y_v*s_RadSpec!BA11))),0)</f>
        <v>9.0143481925428208</v>
      </c>
      <c r="BR11" s="115">
        <f>IFERROR(IF(d_Bv!T11=0,0,((s_Ir*s_F*s_I_f*s_T*(1-EXP(-s_RadSpec!BA11*s_t_v)))/(s_Y_v*s_RadSpec!BA11))),0)</f>
        <v>9.0143481925428208</v>
      </c>
      <c r="BS11" s="115">
        <f>IFERROR(IF(d_Bv!U11=0,0,((s_Ir*s_F*s_I_f*s_T*(1-EXP(-s_RadSpec!BA11*s_t_v)))/(s_Y_v*s_RadSpec!BA11))),0)</f>
        <v>9.0143481925428208</v>
      </c>
      <c r="BT11" s="115">
        <f>IFERROR(IF(d_Bv!V11=0,0,((s_Ir*s_F*s_I_f*s_T*(1-EXP(-s_RadSpec!BA11*s_t_v)))/(s_Y_v*s_RadSpec!BA11))),0)</f>
        <v>9.0143481925428208</v>
      </c>
      <c r="BU11" s="115">
        <f>IFERROR(IF(d_Bv!W11=0,0,((s_Ir*s_F*s_I_f*s_T*(1-EXP(-s_RadSpec!BA11*s_t_v)))/(s_Y_v*s_RadSpec!BA11))),0)</f>
        <v>9.0143481925428208</v>
      </c>
      <c r="BV11" s="115">
        <f>IFERROR(IF(d_Bv!X11=0,0,((s_Ir*s_F*s_I_f*s_T*(1-EXP(-s_RadSpec!BA11*s_t_v)))/(s_Y_v*s_RadSpec!BA11))),0)</f>
        <v>9.0143481925428208</v>
      </c>
      <c r="BW11" s="115">
        <f>IFERROR(IF(d_Bv!Y11=0,0,((s_Ir*s_F*s_I_f*s_T*(1-EXP(-s_RadSpec!BA11*s_t_v)))/(s_Y_v*s_RadSpec!BA11))),0)</f>
        <v>9.0143481925428208</v>
      </c>
      <c r="BX11" s="115">
        <f>IFERROR(IF(d_Bv!Z11=0,0,((s_Ir*s_F*s_I_f*s_T*(1-EXP(-s_RadSpec!BA11*s_t_v)))/(s_Y_v*s_RadSpec!BA11))),0)</f>
        <v>9.0143481925428208</v>
      </c>
      <c r="BY11" s="115">
        <f>IFERROR(IF(d_Bv!AA11=0,0,((s_Ir*s_F*s_I_f*s_T*(1-EXP(-s_RadSpec!BA11*s_t_v)))/(s_Y_v*s_RadSpec!BA11))),0)</f>
        <v>9.0143481925428208</v>
      </c>
    </row>
    <row r="12" spans="1:77" x14ac:dyDescent="0.25">
      <c r="A12" s="44" t="s">
        <v>22</v>
      </c>
      <c r="B12" s="42" t="s">
        <v>1071</v>
      </c>
      <c r="C12" s="115">
        <f>IFERROR(IF(d_Bv!C12=0,0,((s_Ir*s_F*d_Bv!C12*(1-EXP(-s_RadSpec!$AZ12*s_t_b)))/(s_P*s_RadSpec!$AZ12))),0)</f>
        <v>59.61021738223922</v>
      </c>
      <c r="D12" s="115">
        <f>IFERROR(IF(d_Bv!D12=0,0,((s_Ir*s_F*d_Bv!D12*(1-EXP(-s_RadSpec!AZ12*s_t_b)))/(s_P*s_RadSpec!AZ12))),0)</f>
        <v>59.61021738223922</v>
      </c>
      <c r="E12" s="115">
        <f>IFERROR(IF(d_Bv!E12=0,0,((s_Ir*s_F*d_Bv!E12*(1-EXP(-s_RadSpec!AZ12*s_t_b)))/(s_P*s_RadSpec!AZ12))),0)</f>
        <v>59.61021738223922</v>
      </c>
      <c r="F12" s="115">
        <f>IFERROR(IF(d_Bv!F12=0,0,((s_Ir*s_F*d_Bv!F12*(1-EXP(-s_RadSpec!AZ12*s_t_b)))/(s_P*s_RadSpec!AZ12))),0)</f>
        <v>59.61021738223922</v>
      </c>
      <c r="G12" s="115">
        <f>IFERROR(IF(d_Bv!G12=0,0,((s_Ir*s_F*d_Bv!G12*(1-EXP(-s_RadSpec!AZ12*s_t_b)))/(s_P*s_RadSpec!AZ12))),0)</f>
        <v>59.61021738223922</v>
      </c>
      <c r="H12" s="115">
        <f>IFERROR(IF(d_Bv!H12=0,0,((s_Ir*s_F*d_Bv!H12*(1-EXP(-s_RadSpec!AZ12*s_t_b)))/(s_P*s_RadSpec!AZ12))),0)</f>
        <v>59.61021738223922</v>
      </c>
      <c r="I12" s="115">
        <f>IFERROR(IF(d_Bv!I12=0,0,((s_Ir*s_F*d_Bv!I12*(1-EXP(-s_RadSpec!AZ12*s_t_b)))/(s_P*s_RadSpec!AZ12))),0)</f>
        <v>59.61021738223922</v>
      </c>
      <c r="J12" s="115">
        <f>IFERROR(IF(d_Bv!J12=0,0,((s_Ir*s_F*d_Bv!J12*(1-EXP(-s_RadSpec!AZ12*s_t_b)))/(s_P*s_RadSpec!AZ12))),0)</f>
        <v>59.61021738223922</v>
      </c>
      <c r="K12" s="115">
        <f>IFERROR(IF(d_Bv!K12=0,0,((s_Ir*s_F*d_Bv!K12*(1-EXP(-s_RadSpec!AZ12*s_t_b)))/(s_P*s_RadSpec!AZ12))),0)</f>
        <v>59.61021738223922</v>
      </c>
      <c r="L12" s="115">
        <f>IFERROR(IF(d_Bv!L12=0,0,((s_Ir*s_F*d_Bv!L12*(1-EXP(-s_RadSpec!AZ12*s_t_b)))/(s_P*s_RadSpec!AZ12))),0)</f>
        <v>59.61021738223922</v>
      </c>
      <c r="M12" s="115">
        <f>IFERROR(IF(d_Bv!M12=0,0,((s_Ir*s_F*d_Bv!M12*(1-EXP(-s_RadSpec!AZ12*s_t_b)))/(s_P*s_RadSpec!AZ12))),0)</f>
        <v>59.61021738223922</v>
      </c>
      <c r="N12" s="115">
        <f>IFERROR(IF(d_Bv!N12=0,0,((s_Ir*s_F*d_Bv!N12*(1-EXP(-s_RadSpec!AZ12*s_t_b)))/(s_P*s_RadSpec!AZ12))),0)</f>
        <v>59.61021738223922</v>
      </c>
      <c r="O12" s="115">
        <f>IFERROR(IF(d_Bv!O12=0,0,((s_Ir*s_F*d_Bv!O12*(1-EXP(-s_RadSpec!AZ12*s_t_b)))/(s_P*s_RadSpec!AZ12))),0)</f>
        <v>59.61021738223922</v>
      </c>
      <c r="P12" s="115">
        <f>IFERROR(IF(d_Bv!P12=0,0,((s_Ir*s_F*d_Bv!P12*(1-EXP(-s_RadSpec!AZ12*s_t_b)))/(s_P*s_RadSpec!AZ12))),0)</f>
        <v>59.61021738223922</v>
      </c>
      <c r="Q12" s="115">
        <f>IFERROR(IF(d_Bv!Q12=0,0,((s_Ir*s_F*d_Bv!Q12*(1-EXP(-s_RadSpec!AZ12*s_t_b)))/(s_P*s_RadSpec!AZ12))),0)</f>
        <v>59.61021738223922</v>
      </c>
      <c r="R12" s="115">
        <f>IFERROR(IF(d_Bv!R12=0,0,((s_Ir*s_F*d_Bv!R12*(1-EXP(-s_RadSpec!AZ12*s_t_b)))/(s_P*s_RadSpec!AZ12))),0)</f>
        <v>59.61021738223922</v>
      </c>
      <c r="S12" s="115">
        <f>IFERROR(IF(d_Bv!S12=0,0,((s_Ir*s_F*d_Bv!S12*(1-EXP(-s_RadSpec!AZ12*s_t_b)))/(s_P*s_RadSpec!AZ12))),0)</f>
        <v>59.61021738223922</v>
      </c>
      <c r="T12" s="115">
        <f>IFERROR(IF(d_Bv!T12=0,0,((s_Ir*s_F*d_Bv!T12*(1-EXP(-s_RadSpec!AZ12*s_t_b)))/(s_P*s_RadSpec!AZ12))),0)</f>
        <v>59.61021738223922</v>
      </c>
      <c r="U12" s="115">
        <f>IFERROR(IF(d_Bv!U12=0,0,((s_Ir*s_F*d_Bv!U12*(1-EXP(-s_RadSpec!AZ12*s_t_b)))/(s_P*s_RadSpec!AZ12))),0)</f>
        <v>59.61021738223922</v>
      </c>
      <c r="V12" s="115">
        <f>IFERROR(IF(d_Bv!V12=0,0,((s_Ir*s_F*d_Bv!V12*(1-EXP(-s_RadSpec!AZ12*s_t_b)))/(s_P*s_RadSpec!AZ12))),0)</f>
        <v>59.61021738223922</v>
      </c>
      <c r="W12" s="115">
        <f>IFERROR(IF(d_Bv!W12=0,0,((s_Ir*s_F*d_Bv!W12*(1-EXP(-s_RadSpec!AZ12*s_t_b)))/(s_P*s_RadSpec!AZ12))),0)</f>
        <v>59.61021738223922</v>
      </c>
      <c r="X12" s="115">
        <f>IFERROR(IF(d_Bv!X12=0,0,((s_Ir*s_F*d_Bv!X12*(1-EXP(-s_RadSpec!AZ12*s_t_b)))/(s_P*s_RadSpec!AZ12))),0)</f>
        <v>59.61021738223922</v>
      </c>
      <c r="Y12" s="115">
        <f>IFERROR(IF(d_Bv!Y12=0,0,((s_Ir*s_F*d_Bv!Y12*(1-EXP(-s_RadSpec!AZ12*s_t_b)))/(s_P*s_RadSpec!AZ12))),0)</f>
        <v>59.61021738223922</v>
      </c>
      <c r="Z12" s="115">
        <f>IFERROR(IF(d_Bv!Z12=0,0,((s_Ir*s_F*d_Bv!Z12*(1-EXP(-s_RadSpec!AZ12*s_t_b)))/(s_P*s_RadSpec!AZ12))),0)</f>
        <v>59.61021738223922</v>
      </c>
      <c r="AA12" s="115">
        <f>IFERROR(IF(d_Bv!AA12=0,0,((s_Ir*s_F*d_Bv!AA12*(1-EXP(-s_RadSpec!AZ12*s_t_b)))/(s_P*s_RadSpec!AZ12))),0)</f>
        <v>59.61021738223922</v>
      </c>
      <c r="AB12" s="115">
        <f>IFERROR(IF(d_Bv!C12=0,0,((s_Ir*s_F*s_MLF_apple*(1-EXP(-s_RadSpec!AZ12*s_t_b)))/(s_P*s_RadSpec!AZ12))),0)</f>
        <v>2.6824597822007652</v>
      </c>
      <c r="AC12" s="115">
        <f>IFERROR(IF(d_Bv!D12=0,0,((s_Ir*s_F*s_MLF_asparagus*(1-EXP(-s_RadSpec!AZ12*s_t_b)))/(s_P*s_RadSpec!AZ12))),0)</f>
        <v>2.6824597822007652</v>
      </c>
      <c r="AD12" s="115">
        <f>IFERROR(IF(d_Bv!E12=0,0,((s_Ir*s_F*s_MLF_beet*(1-EXP(-s_RadSpec!AZ12*s_t_b)))/(s_P*s_RadSpec!AZ12))),0)</f>
        <v>2.6824597822007652</v>
      </c>
      <c r="AE12" s="115">
        <f>IFERROR(IF(d_Bv!F12=0,0,((s_Ir*s_F*s_MLF_berries*(1-EXP(-s_RadSpec!AZ12*s_t_b)))/(s_P*s_RadSpec!AZ12))),0)</f>
        <v>2.6824597822007652</v>
      </c>
      <c r="AF12" s="115">
        <f>IFERROR(IF(d_Bv!G12=0,0,((s_Ir*s_F*s_MLF_broccoli*(1-EXP(-s_RadSpec!AZ12*s_t_b)))/(s_P*s_RadSpec!AZ12))),0)</f>
        <v>2.6824597822007652</v>
      </c>
      <c r="AG12" s="115">
        <f>IFERROR(IF(d_Bv!H12=0,0,((s_Ir*s_F*s_MLF_cabbage*(1-EXP(-s_RadSpec!AZ12*s_t_b)))/(s_P*s_RadSpec!AZ12))),0)</f>
        <v>2.6824597822007652</v>
      </c>
      <c r="AH12" s="115">
        <f>IFERROR(IF(d_Bv!I12=0,0,((s_Ir*s_F*s_MLF_carrot*(1-EXP(-s_RadSpec!AZ12*s_t_b)))/(s_P*s_RadSpec!AZ12))),0)</f>
        <v>2.6824597822007652</v>
      </c>
      <c r="AI12" s="115">
        <f>IFERROR(IF(d_Bv!J12=0,0,((s_Ir*s_F*s_MLF_citrus*(1-EXP(-s_RadSpec!AZ12*s_t_b)))/(s_P*s_RadSpec!AZ12))),0)</f>
        <v>2.6824597822007652</v>
      </c>
      <c r="AJ12" s="115">
        <f>IFERROR(IF(d_Bv!K12=0,0,((s_Ir*s_F*s_MLF_corn*(1-EXP(-s_RadSpec!AZ12*s_t_b)))/(s_P*s_RadSpec!AZ12))),0)</f>
        <v>2.6824597822007652</v>
      </c>
      <c r="AK12" s="115">
        <f>IFERROR(IF(d_Bv!L12=0,0,((s_Ir*s_F*s_MLF_cucumber*(1-EXP(-s_RadSpec!AZ12*s_t_b)))/(s_P*s_RadSpec!AZ12))),0)</f>
        <v>2.6824597822007652</v>
      </c>
      <c r="AL12" s="115">
        <f>IFERROR(IF(d_Bv!M12=0,0,((s_Ir*s_F*s_MLF_lettuce*(1-EXP(-s_RadSpec!AZ12*s_t_b)))/(s_P*s_RadSpec!AZ12))),0)</f>
        <v>2.6824597822007652</v>
      </c>
      <c r="AM12" s="115">
        <f>IFERROR(IF(d_Bv!N12=0,0,((s_Ir*s_F*s_MLF_lima_bean*(1-EXP(-s_RadSpec!AZ12*s_t_b)))/(s_P*s_RadSpec!AZ12))),0)</f>
        <v>2.6824597822007652</v>
      </c>
      <c r="AN12" s="115">
        <f>IFERROR(IF(d_Bv!O12=0,0,((s_Ir*s_F*s_MLF_okra*(1-EXP(-s_RadSpec!AZ12*s_t_b)))/(s_P*s_RadSpec!AZ12))),0)</f>
        <v>2.6824597822007652</v>
      </c>
      <c r="AO12" s="115">
        <f>IFERROR(IF(d_Bv!P12=0,0,((s_Ir*s_F*s_MLF_onion*(1-EXP(-s_RadSpec!AZ12*s_t_b)))/(s_P*s_RadSpec!AZ12))),0)</f>
        <v>2.6824597822007652</v>
      </c>
      <c r="AP12" s="115">
        <f>IFERROR(IF(d_Bv!Q12=0,0,((s_Ir*s_F*s_MLF_peach*(1-EXP(-s_RadSpec!AZ12*s_t_b)))/(s_P*s_RadSpec!AZ12))),0)</f>
        <v>2.6824597822007652</v>
      </c>
      <c r="AQ12" s="115">
        <f>IFERROR(IF(d_Bv!R12=0,0,((s_Ir*s_F*s_MLF_pear*(1-EXP(-s_RadSpec!AZ12*s_t_b)))/(s_P*s_RadSpec!AZ12))),0)</f>
        <v>2.6824597822007652</v>
      </c>
      <c r="AR12" s="115">
        <f>IFERROR(IF(d_Bv!S12=0,0,((s_Ir*s_F*s_MLF_peas*(1-EXP(-s_RadSpec!AZ12*s_t_b)))/(s_P*s_RadSpec!AZ12))),0)</f>
        <v>2.6824597822007652</v>
      </c>
      <c r="AS12" s="115">
        <f>IFERROR(IF(d_Bv!T12=0,0,((s_Ir*s_F*s_MLF_peppers*(1-EXP(-s_RadSpec!AZ12*s_t_b)))/(s_P*s_RadSpec!AZ12))),0)</f>
        <v>2.6824597822007652</v>
      </c>
      <c r="AT12" s="115">
        <f>IFERROR(IF(d_Bv!U12=0,0,((s_Ir*s_F*s_MLF_potato*(1-EXP(-s_RadSpec!AZ12*s_t_b)))/(s_P*s_RadSpec!AZ12))),0)</f>
        <v>2.6824597822007652</v>
      </c>
      <c r="AU12" s="115">
        <f>IFERROR(IF(d_Bv!V12=0,0,((s_Ir*s_F*s_MLF_pumpkin*(1-EXP(-s_RadSpec!AZ12*s_t_b)))/(s_P*s_RadSpec!AZ12))),0)</f>
        <v>2.6824597822007652</v>
      </c>
      <c r="AV12" s="115">
        <f>IFERROR(IF(d_Bv!W12=0,0,((s_Ir*s_F*s_MLF_snap_bean*(1-EXP(-s_RadSpec!AZ12*s_t_b)))/(s_P*s_RadSpec!AZ12))),0)</f>
        <v>2.6824597822007652</v>
      </c>
      <c r="AW12" s="115">
        <f>IFERROR(IF(d_Bv!X12=0,0,((s_Ir*s_F*s_MLF_strawberry*(1-EXP(-s_RadSpec!AZ12*s_t_b)))/(s_P*s_RadSpec!AZ12))),0)</f>
        <v>2.6824597822007652</v>
      </c>
      <c r="AX12" s="115">
        <f>IFERROR(IF(d_Bv!Y12=0,0,((s_Ir*s_F*s_MLF_tomato*(1-EXP(-s_RadSpec!AZ12*s_t_b)))/(s_P*s_RadSpec!AZ12))),0)</f>
        <v>2.6824597822007652</v>
      </c>
      <c r="AY12" s="115">
        <f>IFERROR(IF(d_Bv!Z12=0,0,((s_Ir*s_F*s_MLF_rice*(1-EXP(-s_RadSpec!AZ12*s_t_b)))/(s_P*s_RadSpec!AZ12))),0)</f>
        <v>2.6824597822007652</v>
      </c>
      <c r="AZ12" s="115">
        <f>IFERROR(IF(d_Bv!AA12=0,0,((s_Ir*s_F*s_MLF_cereal*(1-EXP(-s_RadSpec!AZ12*s_t_b)))/(s_P*s_RadSpec!AZ12))),0)</f>
        <v>2.6824597822007652</v>
      </c>
      <c r="BA12" s="115">
        <f>IFERROR(IF(d_Bv!C12=0,0,((s_Ir*s_F*s_I_f*s_T*(1-EXP(-s_RadSpec!BA12*s_t_v)))/(s_Y_v*s_RadSpec!BA12))),0)</f>
        <v>9.0143481925428208</v>
      </c>
      <c r="BB12" s="115">
        <f>IFERROR(IF(d_Bv!D12=0,0,((s_Ir*s_F*s_I_f*s_T*(1-EXP(-s_RadSpec!BA12*s_t_v)))/(s_Y_v*s_RadSpec!BA12))),0)</f>
        <v>9.0143481925428208</v>
      </c>
      <c r="BC12" s="115">
        <f>IFERROR(IF(d_Bv!E12=0,0,((s_Ir*s_F*s_I_f*s_T*(1-EXP(-s_RadSpec!BA12*s_t_v)))/(s_Y_v*s_RadSpec!BA12))),0)</f>
        <v>9.0143481925428208</v>
      </c>
      <c r="BD12" s="115">
        <f>IFERROR(IF(d_Bv!F12=0,0,((s_Ir*s_F*s_I_f*s_T*(1-EXP(-s_RadSpec!BA12*s_t_v)))/(s_Y_v*s_RadSpec!BA12))),0)</f>
        <v>9.0143481925428208</v>
      </c>
      <c r="BE12" s="115">
        <f>IFERROR(IF(d_Bv!G12=0,0,((s_Ir*s_F*s_I_f*s_T*(1-EXP(-s_RadSpec!BA12*s_t_v)))/(s_Y_v*s_RadSpec!BA12))),0)</f>
        <v>9.0143481925428208</v>
      </c>
      <c r="BF12" s="115">
        <f>IFERROR(IF(d_Bv!H12=0,0,((s_Ir*s_F*s_I_f*s_T*(1-EXP(-s_RadSpec!BA12*s_t_v)))/(s_Y_v*s_RadSpec!BA12))),0)</f>
        <v>9.0143481925428208</v>
      </c>
      <c r="BG12" s="115">
        <f>IFERROR(IF(d_Bv!I12=0,0,((s_Ir*s_F*s_I_f*s_T*(1-EXP(-s_RadSpec!BA12*s_t_v)))/(s_Y_v*s_RadSpec!BA12))),0)</f>
        <v>9.0143481925428208</v>
      </c>
      <c r="BH12" s="115">
        <f>IFERROR(IF(d_Bv!J12=0,0,((s_Ir*s_F*s_I_f*s_T*(1-EXP(-s_RadSpec!BA12*s_t_v)))/(s_Y_v*s_RadSpec!BA12))),0)</f>
        <v>9.0143481925428208</v>
      </c>
      <c r="BI12" s="115">
        <f>IFERROR(IF(d_Bv!K12=0,0,((s_Ir*s_F*s_I_f*s_T*(1-EXP(-s_RadSpec!BA12*s_t_v)))/(s_Y_v*s_RadSpec!BA12))),0)</f>
        <v>9.0143481925428208</v>
      </c>
      <c r="BJ12" s="115">
        <f>IFERROR(IF(d_Bv!L12=0,0,((s_Ir*s_F*s_I_f*s_T*(1-EXP(-s_RadSpec!BA12*s_t_v)))/(s_Y_v*s_RadSpec!BA12))),0)</f>
        <v>9.0143481925428208</v>
      </c>
      <c r="BK12" s="115">
        <f>IFERROR(IF(d_Bv!M12=0,0,((s_Ir*s_F*s_I_f*s_T*(1-EXP(-s_RadSpec!BA12*s_t_v)))/(s_Y_v*s_RadSpec!BA12))),0)</f>
        <v>9.0143481925428208</v>
      </c>
      <c r="BL12" s="115">
        <f>IFERROR(IF(d_Bv!N12=0,0,((s_Ir*s_F*s_I_f*s_T*(1-EXP(-s_RadSpec!BA12*s_t_v)))/(s_Y_v*s_RadSpec!BA12))),0)</f>
        <v>9.0143481925428208</v>
      </c>
      <c r="BM12" s="115">
        <f>IFERROR(IF(d_Bv!O12=0,0,((s_Ir*s_F*s_I_f*s_T*(1-EXP(-s_RadSpec!BA12*s_t_v)))/(s_Y_v*s_RadSpec!BA12))),0)</f>
        <v>9.0143481925428208</v>
      </c>
      <c r="BN12" s="115">
        <f>IFERROR(IF(d_Bv!P12=0,0,((s_Ir*s_F*s_I_f*s_T*(1-EXP(-s_RadSpec!BA12*s_t_v)))/(s_Y_v*s_RadSpec!BA12))),0)</f>
        <v>9.0143481925428208</v>
      </c>
      <c r="BO12" s="115">
        <f>IFERROR(IF(d_Bv!Q12=0,0,((s_Ir*s_F*s_I_f*s_T*(1-EXP(-s_RadSpec!BA12*s_t_v)))/(s_Y_v*s_RadSpec!BA12))),0)</f>
        <v>9.0143481925428208</v>
      </c>
      <c r="BP12" s="115">
        <f>IFERROR(IF(d_Bv!R12=0,0,((s_Ir*s_F*s_I_f*s_T*(1-EXP(-s_RadSpec!BA12*s_t_v)))/(s_Y_v*s_RadSpec!BA12))),0)</f>
        <v>9.0143481925428208</v>
      </c>
      <c r="BQ12" s="115">
        <f>IFERROR(IF(d_Bv!S12=0,0,((s_Ir*s_F*s_I_f*s_T*(1-EXP(-s_RadSpec!BA12*s_t_v)))/(s_Y_v*s_RadSpec!BA12))),0)</f>
        <v>9.0143481925428208</v>
      </c>
      <c r="BR12" s="115">
        <f>IFERROR(IF(d_Bv!T12=0,0,((s_Ir*s_F*s_I_f*s_T*(1-EXP(-s_RadSpec!BA12*s_t_v)))/(s_Y_v*s_RadSpec!BA12))),0)</f>
        <v>9.0143481925428208</v>
      </c>
      <c r="BS12" s="115">
        <f>IFERROR(IF(d_Bv!U12=0,0,((s_Ir*s_F*s_I_f*s_T*(1-EXP(-s_RadSpec!BA12*s_t_v)))/(s_Y_v*s_RadSpec!BA12))),0)</f>
        <v>9.0143481925428208</v>
      </c>
      <c r="BT12" s="115">
        <f>IFERROR(IF(d_Bv!V12=0,0,((s_Ir*s_F*s_I_f*s_T*(1-EXP(-s_RadSpec!BA12*s_t_v)))/(s_Y_v*s_RadSpec!BA12))),0)</f>
        <v>9.0143481925428208</v>
      </c>
      <c r="BU12" s="115">
        <f>IFERROR(IF(d_Bv!W12=0,0,((s_Ir*s_F*s_I_f*s_T*(1-EXP(-s_RadSpec!BA12*s_t_v)))/(s_Y_v*s_RadSpec!BA12))),0)</f>
        <v>9.0143481925428208</v>
      </c>
      <c r="BV12" s="115">
        <f>IFERROR(IF(d_Bv!X12=0,0,((s_Ir*s_F*s_I_f*s_T*(1-EXP(-s_RadSpec!BA12*s_t_v)))/(s_Y_v*s_RadSpec!BA12))),0)</f>
        <v>9.0143481925428208</v>
      </c>
      <c r="BW12" s="115">
        <f>IFERROR(IF(d_Bv!Y12=0,0,((s_Ir*s_F*s_I_f*s_T*(1-EXP(-s_RadSpec!BA12*s_t_v)))/(s_Y_v*s_RadSpec!BA12))),0)</f>
        <v>9.0143481925428208</v>
      </c>
      <c r="BX12" s="115">
        <f>IFERROR(IF(d_Bv!Z12=0,0,((s_Ir*s_F*s_I_f*s_T*(1-EXP(-s_RadSpec!BA12*s_t_v)))/(s_Y_v*s_RadSpec!BA12))),0)</f>
        <v>9.0143481925428208</v>
      </c>
      <c r="BY12" s="115">
        <f>IFERROR(IF(d_Bv!AA12=0,0,((s_Ir*s_F*s_I_f*s_T*(1-EXP(-s_RadSpec!BA12*s_t_v)))/(s_Y_v*s_RadSpec!BA12))),0)</f>
        <v>9.0143481925428208</v>
      </c>
    </row>
    <row r="13" spans="1:77" x14ac:dyDescent="0.25">
      <c r="A13" s="44" t="s">
        <v>23</v>
      </c>
      <c r="B13" s="42" t="s">
        <v>1071</v>
      </c>
      <c r="C13" s="115">
        <f>IFERROR(IF(d_Bv!C13=0,0,((s_Ir*s_F*d_Bv!C13*(1-EXP(-s_RadSpec!$AZ13*s_t_b)))/(s_P*s_RadSpec!$AZ13))),0)</f>
        <v>5.961021738223922E-2</v>
      </c>
      <c r="D13" s="115">
        <f>IFERROR(IF(d_Bv!D13=0,0,((s_Ir*s_F*d_Bv!D13*(1-EXP(-s_RadSpec!AZ13*s_t_b)))/(s_P*s_RadSpec!AZ13))),0)</f>
        <v>5.3649195644015304</v>
      </c>
      <c r="E13" s="115">
        <f>IFERROR(IF(d_Bv!E13=0,0,((s_Ir*s_F*d_Bv!E13*(1-EXP(-s_RadSpec!AZ13*s_t_b)))/(s_P*s_RadSpec!AZ13))),0)</f>
        <v>4.3714159413642095</v>
      </c>
      <c r="F13" s="115">
        <f>IFERROR(IF(d_Bv!F13=0,0,((s_Ir*s_F*d_Bv!F13*(1-EXP(-s_RadSpec!AZ13*s_t_b)))/(s_P*s_RadSpec!AZ13))),0)</f>
        <v>5.961021738223922E-2</v>
      </c>
      <c r="G13" s="115">
        <f>IFERROR(IF(d_Bv!G13=0,0,((s_Ir*s_F*d_Bv!G13*(1-EXP(-s_RadSpec!AZ13*s_t_b)))/(s_P*s_RadSpec!AZ13))),0)</f>
        <v>3.576613042934353</v>
      </c>
      <c r="H13" s="115">
        <f>IFERROR(IF(d_Bv!H13=0,0,((s_Ir*s_F*d_Bv!H13*(1-EXP(-s_RadSpec!AZ13*s_t_b)))/(s_P*s_RadSpec!AZ13))),0)</f>
        <v>5.3649195644015304</v>
      </c>
      <c r="I13" s="115">
        <f>IFERROR(IF(d_Bv!I13=0,0,((s_Ir*s_F*d_Bv!I13*(1-EXP(-s_RadSpec!AZ13*s_t_b)))/(s_P*s_RadSpec!AZ13))),0)</f>
        <v>4.3714159413642095</v>
      </c>
      <c r="J13" s="115">
        <f>IFERROR(IF(d_Bv!J13=0,0,((s_Ir*s_F*d_Bv!J13*(1-EXP(-s_RadSpec!AZ13*s_t_b)))/(s_P*s_RadSpec!AZ13))),0)</f>
        <v>5.961021738223922E-2</v>
      </c>
      <c r="K13" s="115">
        <f>IFERROR(IF(d_Bv!K13=0,0,((s_Ir*s_F*d_Bv!K13*(1-EXP(-s_RadSpec!AZ13*s_t_b)))/(s_P*s_RadSpec!AZ13))),0)</f>
        <v>0.95376347811582751</v>
      </c>
      <c r="L13" s="115">
        <f>IFERROR(IF(d_Bv!L13=0,0,((s_Ir*s_F*d_Bv!L13*(1-EXP(-s_RadSpec!AZ13*s_t_b)))/(s_P*s_RadSpec!AZ13))),0)</f>
        <v>3.576613042934353</v>
      </c>
      <c r="M13" s="115">
        <f>IFERROR(IF(d_Bv!M13=0,0,((s_Ir*s_F*d_Bv!M13*(1-EXP(-s_RadSpec!AZ13*s_t_b)))/(s_P*s_RadSpec!AZ13))),0)</f>
        <v>5.3649195644015304</v>
      </c>
      <c r="N13" s="115">
        <f>IFERROR(IF(d_Bv!N13=0,0,((s_Ir*s_F*d_Bv!N13*(1-EXP(-s_RadSpec!AZ13*s_t_b)))/(s_P*s_RadSpec!AZ13))),0)</f>
        <v>3.3779123183268895</v>
      </c>
      <c r="O13" s="115">
        <f>IFERROR(IF(d_Bv!O13=0,0,((s_Ir*s_F*d_Bv!O13*(1-EXP(-s_RadSpec!AZ13*s_t_b)))/(s_P*s_RadSpec!AZ13))),0)</f>
        <v>3.576613042934353</v>
      </c>
      <c r="P13" s="115">
        <f>IFERROR(IF(d_Bv!P13=0,0,((s_Ir*s_F*d_Bv!P13*(1-EXP(-s_RadSpec!AZ13*s_t_b)))/(s_P*s_RadSpec!AZ13))),0)</f>
        <v>4.3714159413642095</v>
      </c>
      <c r="Q13" s="115">
        <f>IFERROR(IF(d_Bv!Q13=0,0,((s_Ir*s_F*d_Bv!Q13*(1-EXP(-s_RadSpec!AZ13*s_t_b)))/(s_P*s_RadSpec!AZ13))),0)</f>
        <v>5.961021738223922E-2</v>
      </c>
      <c r="R13" s="115">
        <f>IFERROR(IF(d_Bv!R13=0,0,((s_Ir*s_F*d_Bv!R13*(1-EXP(-s_RadSpec!AZ13*s_t_b)))/(s_P*s_RadSpec!AZ13))),0)</f>
        <v>5.961021738223922E-2</v>
      </c>
      <c r="S13" s="115">
        <f>IFERROR(IF(d_Bv!S13=0,0,((s_Ir*s_F*d_Bv!S13*(1-EXP(-s_RadSpec!AZ13*s_t_b)))/(s_P*s_RadSpec!AZ13))),0)</f>
        <v>3.3779123183268895</v>
      </c>
      <c r="T13" s="115">
        <f>IFERROR(IF(d_Bv!T13=0,0,((s_Ir*s_F*d_Bv!T13*(1-EXP(-s_RadSpec!AZ13*s_t_b)))/(s_P*s_RadSpec!AZ13))),0)</f>
        <v>3.576613042934353</v>
      </c>
      <c r="U13" s="115">
        <f>IFERROR(IF(d_Bv!U13=0,0,((s_Ir*s_F*d_Bv!U13*(1-EXP(-s_RadSpec!AZ13*s_t_b)))/(s_P*s_RadSpec!AZ13))),0)</f>
        <v>1.1325941302625453</v>
      </c>
      <c r="V13" s="115">
        <f>IFERROR(IF(d_Bv!V13=0,0,((s_Ir*s_F*d_Bv!V13*(1-EXP(-s_RadSpec!AZ13*s_t_b)))/(s_P*s_RadSpec!AZ13))),0)</f>
        <v>3.576613042934353</v>
      </c>
      <c r="W13" s="115">
        <f>IFERROR(IF(d_Bv!W13=0,0,((s_Ir*s_F*d_Bv!W13*(1-EXP(-s_RadSpec!AZ13*s_t_b)))/(s_P*s_RadSpec!AZ13))),0)</f>
        <v>3.3779123183268895</v>
      </c>
      <c r="X13" s="115">
        <f>IFERROR(IF(d_Bv!X13=0,0,((s_Ir*s_F*d_Bv!X13*(1-EXP(-s_RadSpec!AZ13*s_t_b)))/(s_P*s_RadSpec!AZ13))),0)</f>
        <v>5.961021738223922E-2</v>
      </c>
      <c r="Y13" s="115">
        <f>IFERROR(IF(d_Bv!Y13=0,0,((s_Ir*s_F*d_Bv!Y13*(1-EXP(-s_RadSpec!AZ13*s_t_b)))/(s_P*s_RadSpec!AZ13))),0)</f>
        <v>3.576613042934353</v>
      </c>
      <c r="Z13" s="115">
        <f>IFERROR(IF(d_Bv!Z13=0,0,((s_Ir*s_F*d_Bv!Z13*(1-EXP(-s_RadSpec!AZ13*s_t_b)))/(s_P*s_RadSpec!AZ13))),0)</f>
        <v>3.9740144921492817</v>
      </c>
      <c r="AA13" s="115">
        <f>IFERROR(IF(d_Bv!AA13=0,0,((s_Ir*s_F*d_Bv!AA13*(1-EXP(-s_RadSpec!AZ13*s_t_b)))/(s_P*s_RadSpec!AZ13))),0)</f>
        <v>0.57623210136164582</v>
      </c>
      <c r="AB13" s="115">
        <f>IFERROR(IF(d_Bv!C13=0,0,((s_Ir*s_F*s_MLF_apple*(1-EXP(-s_RadSpec!AZ13*s_t_b)))/(s_P*s_RadSpec!AZ13))),0)</f>
        <v>2.6824597822007652</v>
      </c>
      <c r="AC13" s="115">
        <f>IFERROR(IF(d_Bv!D13=0,0,((s_Ir*s_F*s_MLF_asparagus*(1-EXP(-s_RadSpec!AZ13*s_t_b)))/(s_P*s_RadSpec!AZ13))),0)</f>
        <v>2.6824597822007652</v>
      </c>
      <c r="AD13" s="115">
        <f>IFERROR(IF(d_Bv!E13=0,0,((s_Ir*s_F*s_MLF_beet*(1-EXP(-s_RadSpec!AZ13*s_t_b)))/(s_P*s_RadSpec!AZ13))),0)</f>
        <v>2.6824597822007652</v>
      </c>
      <c r="AE13" s="115">
        <f>IFERROR(IF(d_Bv!F13=0,0,((s_Ir*s_F*s_MLF_berries*(1-EXP(-s_RadSpec!AZ13*s_t_b)))/(s_P*s_RadSpec!AZ13))),0)</f>
        <v>2.6824597822007652</v>
      </c>
      <c r="AF13" s="115">
        <f>IFERROR(IF(d_Bv!G13=0,0,((s_Ir*s_F*s_MLF_broccoli*(1-EXP(-s_RadSpec!AZ13*s_t_b)))/(s_P*s_RadSpec!AZ13))),0)</f>
        <v>2.6824597822007652</v>
      </c>
      <c r="AG13" s="115">
        <f>IFERROR(IF(d_Bv!H13=0,0,((s_Ir*s_F*s_MLF_cabbage*(1-EXP(-s_RadSpec!AZ13*s_t_b)))/(s_P*s_RadSpec!AZ13))),0)</f>
        <v>2.6824597822007652</v>
      </c>
      <c r="AH13" s="115">
        <f>IFERROR(IF(d_Bv!I13=0,0,((s_Ir*s_F*s_MLF_carrot*(1-EXP(-s_RadSpec!AZ13*s_t_b)))/(s_P*s_RadSpec!AZ13))),0)</f>
        <v>2.6824597822007652</v>
      </c>
      <c r="AI13" s="115">
        <f>IFERROR(IF(d_Bv!J13=0,0,((s_Ir*s_F*s_MLF_citrus*(1-EXP(-s_RadSpec!AZ13*s_t_b)))/(s_P*s_RadSpec!AZ13))),0)</f>
        <v>2.6824597822007652</v>
      </c>
      <c r="AJ13" s="115">
        <f>IFERROR(IF(d_Bv!K13=0,0,((s_Ir*s_F*s_MLF_corn*(1-EXP(-s_RadSpec!AZ13*s_t_b)))/(s_P*s_RadSpec!AZ13))),0)</f>
        <v>2.6824597822007652</v>
      </c>
      <c r="AK13" s="115">
        <f>IFERROR(IF(d_Bv!L13=0,0,((s_Ir*s_F*s_MLF_cucumber*(1-EXP(-s_RadSpec!AZ13*s_t_b)))/(s_P*s_RadSpec!AZ13))),0)</f>
        <v>2.6824597822007652</v>
      </c>
      <c r="AL13" s="115">
        <f>IFERROR(IF(d_Bv!M13=0,0,((s_Ir*s_F*s_MLF_lettuce*(1-EXP(-s_RadSpec!AZ13*s_t_b)))/(s_P*s_RadSpec!AZ13))),0)</f>
        <v>2.6824597822007652</v>
      </c>
      <c r="AM13" s="115">
        <f>IFERROR(IF(d_Bv!N13=0,0,((s_Ir*s_F*s_MLF_lima_bean*(1-EXP(-s_RadSpec!AZ13*s_t_b)))/(s_P*s_RadSpec!AZ13))),0)</f>
        <v>2.6824597822007652</v>
      </c>
      <c r="AN13" s="115">
        <f>IFERROR(IF(d_Bv!O13=0,0,((s_Ir*s_F*s_MLF_okra*(1-EXP(-s_RadSpec!AZ13*s_t_b)))/(s_P*s_RadSpec!AZ13))),0)</f>
        <v>2.6824597822007652</v>
      </c>
      <c r="AO13" s="115">
        <f>IFERROR(IF(d_Bv!P13=0,0,((s_Ir*s_F*s_MLF_onion*(1-EXP(-s_RadSpec!AZ13*s_t_b)))/(s_P*s_RadSpec!AZ13))),0)</f>
        <v>2.6824597822007652</v>
      </c>
      <c r="AP13" s="115">
        <f>IFERROR(IF(d_Bv!Q13=0,0,((s_Ir*s_F*s_MLF_peach*(1-EXP(-s_RadSpec!AZ13*s_t_b)))/(s_P*s_RadSpec!AZ13))),0)</f>
        <v>2.6824597822007652</v>
      </c>
      <c r="AQ13" s="115">
        <f>IFERROR(IF(d_Bv!R13=0,0,((s_Ir*s_F*s_MLF_pear*(1-EXP(-s_RadSpec!AZ13*s_t_b)))/(s_P*s_RadSpec!AZ13))),0)</f>
        <v>2.6824597822007652</v>
      </c>
      <c r="AR13" s="115">
        <f>IFERROR(IF(d_Bv!S13=0,0,((s_Ir*s_F*s_MLF_peas*(1-EXP(-s_RadSpec!AZ13*s_t_b)))/(s_P*s_RadSpec!AZ13))),0)</f>
        <v>2.6824597822007652</v>
      </c>
      <c r="AS13" s="115">
        <f>IFERROR(IF(d_Bv!T13=0,0,((s_Ir*s_F*s_MLF_peppers*(1-EXP(-s_RadSpec!AZ13*s_t_b)))/(s_P*s_RadSpec!AZ13))),0)</f>
        <v>2.6824597822007652</v>
      </c>
      <c r="AT13" s="115">
        <f>IFERROR(IF(d_Bv!U13=0,0,((s_Ir*s_F*s_MLF_potato*(1-EXP(-s_RadSpec!AZ13*s_t_b)))/(s_P*s_RadSpec!AZ13))),0)</f>
        <v>2.6824597822007652</v>
      </c>
      <c r="AU13" s="115">
        <f>IFERROR(IF(d_Bv!V13=0,0,((s_Ir*s_F*s_MLF_pumpkin*(1-EXP(-s_RadSpec!AZ13*s_t_b)))/(s_P*s_RadSpec!AZ13))),0)</f>
        <v>2.6824597822007652</v>
      </c>
      <c r="AV13" s="115">
        <f>IFERROR(IF(d_Bv!W13=0,0,((s_Ir*s_F*s_MLF_snap_bean*(1-EXP(-s_RadSpec!AZ13*s_t_b)))/(s_P*s_RadSpec!AZ13))),0)</f>
        <v>2.6824597822007652</v>
      </c>
      <c r="AW13" s="115">
        <f>IFERROR(IF(d_Bv!X13=0,0,((s_Ir*s_F*s_MLF_strawberry*(1-EXP(-s_RadSpec!AZ13*s_t_b)))/(s_P*s_RadSpec!AZ13))),0)</f>
        <v>2.6824597822007652</v>
      </c>
      <c r="AX13" s="115">
        <f>IFERROR(IF(d_Bv!Y13=0,0,((s_Ir*s_F*s_MLF_tomato*(1-EXP(-s_RadSpec!AZ13*s_t_b)))/(s_P*s_RadSpec!AZ13))),0)</f>
        <v>2.6824597822007652</v>
      </c>
      <c r="AY13" s="115">
        <f>IFERROR(IF(d_Bv!Z13=0,0,((s_Ir*s_F*s_MLF_rice*(1-EXP(-s_RadSpec!AZ13*s_t_b)))/(s_P*s_RadSpec!AZ13))),0)</f>
        <v>2.6824597822007652</v>
      </c>
      <c r="AZ13" s="115">
        <f>IFERROR(IF(d_Bv!AA13=0,0,((s_Ir*s_F*s_MLF_cereal*(1-EXP(-s_RadSpec!AZ13*s_t_b)))/(s_P*s_RadSpec!AZ13))),0)</f>
        <v>2.6824597822007652</v>
      </c>
      <c r="BA13" s="115">
        <f>IFERROR(IF(d_Bv!C13=0,0,((s_Ir*s_F*s_I_f*s_T*(1-EXP(-s_RadSpec!BA13*s_t_v)))/(s_Y_v*s_RadSpec!BA13))),0)</f>
        <v>9.0143481925428208</v>
      </c>
      <c r="BB13" s="115">
        <f>IFERROR(IF(d_Bv!D13=0,0,((s_Ir*s_F*s_I_f*s_T*(1-EXP(-s_RadSpec!BA13*s_t_v)))/(s_Y_v*s_RadSpec!BA13))),0)</f>
        <v>9.0143481925428208</v>
      </c>
      <c r="BC13" s="115">
        <f>IFERROR(IF(d_Bv!E13=0,0,((s_Ir*s_F*s_I_f*s_T*(1-EXP(-s_RadSpec!BA13*s_t_v)))/(s_Y_v*s_RadSpec!BA13))),0)</f>
        <v>9.0143481925428208</v>
      </c>
      <c r="BD13" s="115">
        <f>IFERROR(IF(d_Bv!F13=0,0,((s_Ir*s_F*s_I_f*s_T*(1-EXP(-s_RadSpec!BA13*s_t_v)))/(s_Y_v*s_RadSpec!BA13))),0)</f>
        <v>9.0143481925428208</v>
      </c>
      <c r="BE13" s="115">
        <f>IFERROR(IF(d_Bv!G13=0,0,((s_Ir*s_F*s_I_f*s_T*(1-EXP(-s_RadSpec!BA13*s_t_v)))/(s_Y_v*s_RadSpec!BA13))),0)</f>
        <v>9.0143481925428208</v>
      </c>
      <c r="BF13" s="115">
        <f>IFERROR(IF(d_Bv!H13=0,0,((s_Ir*s_F*s_I_f*s_T*(1-EXP(-s_RadSpec!BA13*s_t_v)))/(s_Y_v*s_RadSpec!BA13))),0)</f>
        <v>9.0143481925428208</v>
      </c>
      <c r="BG13" s="115">
        <f>IFERROR(IF(d_Bv!I13=0,0,((s_Ir*s_F*s_I_f*s_T*(1-EXP(-s_RadSpec!BA13*s_t_v)))/(s_Y_v*s_RadSpec!BA13))),0)</f>
        <v>9.0143481925428208</v>
      </c>
      <c r="BH13" s="115">
        <f>IFERROR(IF(d_Bv!J13=0,0,((s_Ir*s_F*s_I_f*s_T*(1-EXP(-s_RadSpec!BA13*s_t_v)))/(s_Y_v*s_RadSpec!BA13))),0)</f>
        <v>9.0143481925428208</v>
      </c>
      <c r="BI13" s="115">
        <f>IFERROR(IF(d_Bv!K13=0,0,((s_Ir*s_F*s_I_f*s_T*(1-EXP(-s_RadSpec!BA13*s_t_v)))/(s_Y_v*s_RadSpec!BA13))),0)</f>
        <v>9.0143481925428208</v>
      </c>
      <c r="BJ13" s="115">
        <f>IFERROR(IF(d_Bv!L13=0,0,((s_Ir*s_F*s_I_f*s_T*(1-EXP(-s_RadSpec!BA13*s_t_v)))/(s_Y_v*s_RadSpec!BA13))),0)</f>
        <v>9.0143481925428208</v>
      </c>
      <c r="BK13" s="115">
        <f>IFERROR(IF(d_Bv!M13=0,0,((s_Ir*s_F*s_I_f*s_T*(1-EXP(-s_RadSpec!BA13*s_t_v)))/(s_Y_v*s_RadSpec!BA13))),0)</f>
        <v>9.0143481925428208</v>
      </c>
      <c r="BL13" s="115">
        <f>IFERROR(IF(d_Bv!N13=0,0,((s_Ir*s_F*s_I_f*s_T*(1-EXP(-s_RadSpec!BA13*s_t_v)))/(s_Y_v*s_RadSpec!BA13))),0)</f>
        <v>9.0143481925428208</v>
      </c>
      <c r="BM13" s="115">
        <f>IFERROR(IF(d_Bv!O13=0,0,((s_Ir*s_F*s_I_f*s_T*(1-EXP(-s_RadSpec!BA13*s_t_v)))/(s_Y_v*s_RadSpec!BA13))),0)</f>
        <v>9.0143481925428208</v>
      </c>
      <c r="BN13" s="115">
        <f>IFERROR(IF(d_Bv!P13=0,0,((s_Ir*s_F*s_I_f*s_T*(1-EXP(-s_RadSpec!BA13*s_t_v)))/(s_Y_v*s_RadSpec!BA13))),0)</f>
        <v>9.0143481925428208</v>
      </c>
      <c r="BO13" s="115">
        <f>IFERROR(IF(d_Bv!Q13=0,0,((s_Ir*s_F*s_I_f*s_T*(1-EXP(-s_RadSpec!BA13*s_t_v)))/(s_Y_v*s_RadSpec!BA13))),0)</f>
        <v>9.0143481925428208</v>
      </c>
      <c r="BP13" s="115">
        <f>IFERROR(IF(d_Bv!R13=0,0,((s_Ir*s_F*s_I_f*s_T*(1-EXP(-s_RadSpec!BA13*s_t_v)))/(s_Y_v*s_RadSpec!BA13))),0)</f>
        <v>9.0143481925428208</v>
      </c>
      <c r="BQ13" s="115">
        <f>IFERROR(IF(d_Bv!S13=0,0,((s_Ir*s_F*s_I_f*s_T*(1-EXP(-s_RadSpec!BA13*s_t_v)))/(s_Y_v*s_RadSpec!BA13))),0)</f>
        <v>9.0143481925428208</v>
      </c>
      <c r="BR13" s="115">
        <f>IFERROR(IF(d_Bv!T13=0,0,((s_Ir*s_F*s_I_f*s_T*(1-EXP(-s_RadSpec!BA13*s_t_v)))/(s_Y_v*s_RadSpec!BA13))),0)</f>
        <v>9.0143481925428208</v>
      </c>
      <c r="BS13" s="115">
        <f>IFERROR(IF(d_Bv!U13=0,0,((s_Ir*s_F*s_I_f*s_T*(1-EXP(-s_RadSpec!BA13*s_t_v)))/(s_Y_v*s_RadSpec!BA13))),0)</f>
        <v>9.0143481925428208</v>
      </c>
      <c r="BT13" s="115">
        <f>IFERROR(IF(d_Bv!V13=0,0,((s_Ir*s_F*s_I_f*s_T*(1-EXP(-s_RadSpec!BA13*s_t_v)))/(s_Y_v*s_RadSpec!BA13))),0)</f>
        <v>9.0143481925428208</v>
      </c>
      <c r="BU13" s="115">
        <f>IFERROR(IF(d_Bv!W13=0,0,((s_Ir*s_F*s_I_f*s_T*(1-EXP(-s_RadSpec!BA13*s_t_v)))/(s_Y_v*s_RadSpec!BA13))),0)</f>
        <v>9.0143481925428208</v>
      </c>
      <c r="BV13" s="115">
        <f>IFERROR(IF(d_Bv!X13=0,0,((s_Ir*s_F*s_I_f*s_T*(1-EXP(-s_RadSpec!BA13*s_t_v)))/(s_Y_v*s_RadSpec!BA13))),0)</f>
        <v>9.0143481925428208</v>
      </c>
      <c r="BW13" s="115">
        <f>IFERROR(IF(d_Bv!Y13=0,0,((s_Ir*s_F*s_I_f*s_T*(1-EXP(-s_RadSpec!BA13*s_t_v)))/(s_Y_v*s_RadSpec!BA13))),0)</f>
        <v>9.0143481925428208</v>
      </c>
      <c r="BX13" s="115">
        <f>IFERROR(IF(d_Bv!Z13=0,0,((s_Ir*s_F*s_I_f*s_T*(1-EXP(-s_RadSpec!BA13*s_t_v)))/(s_Y_v*s_RadSpec!BA13))),0)</f>
        <v>9.0143481925428208</v>
      </c>
      <c r="BY13" s="115">
        <f>IFERROR(IF(d_Bv!AA13=0,0,((s_Ir*s_F*s_I_f*s_T*(1-EXP(-s_RadSpec!BA13*s_t_v)))/(s_Y_v*s_RadSpec!BA13))),0)</f>
        <v>9.0143481925428208</v>
      </c>
    </row>
    <row r="14" spans="1:77" x14ac:dyDescent="0.25">
      <c r="A14" s="44" t="s">
        <v>24</v>
      </c>
      <c r="B14" s="42" t="s">
        <v>1071</v>
      </c>
      <c r="C14" s="115">
        <f>IFERROR(IF(d_Bv!C14=0,0,((s_Ir*s_F*d_Bv!C14*(1-EXP(-s_RadSpec!$AZ14*s_t_b)))/(s_P*s_RadSpec!$AZ14))),0)</f>
        <v>1.9870072460746409</v>
      </c>
      <c r="D14" s="115">
        <f>IFERROR(IF(d_Bv!D14=0,0,((s_Ir*s_F*d_Bv!D14*(1-EXP(-s_RadSpec!AZ14*s_t_b)))/(s_P*s_RadSpec!AZ14))),0)</f>
        <v>1.9870072460746409</v>
      </c>
      <c r="E14" s="115">
        <f>IFERROR(IF(d_Bv!E14=0,0,((s_Ir*s_F*d_Bv!E14*(1-EXP(-s_RadSpec!AZ14*s_t_b)))/(s_P*s_RadSpec!AZ14))),0)</f>
        <v>1.9870072460746409</v>
      </c>
      <c r="F14" s="115">
        <f>IFERROR(IF(d_Bv!F14=0,0,((s_Ir*s_F*d_Bv!F14*(1-EXP(-s_RadSpec!AZ14*s_t_b)))/(s_P*s_RadSpec!AZ14))),0)</f>
        <v>1.9870072460746409</v>
      </c>
      <c r="G14" s="115">
        <f>IFERROR(IF(d_Bv!G14=0,0,((s_Ir*s_F*d_Bv!G14*(1-EXP(-s_RadSpec!AZ14*s_t_b)))/(s_P*s_RadSpec!AZ14))),0)</f>
        <v>1.9870072460746409</v>
      </c>
      <c r="H14" s="115">
        <f>IFERROR(IF(d_Bv!H14=0,0,((s_Ir*s_F*d_Bv!H14*(1-EXP(-s_RadSpec!AZ14*s_t_b)))/(s_P*s_RadSpec!AZ14))),0)</f>
        <v>1.9870072460746409</v>
      </c>
      <c r="I14" s="115">
        <f>IFERROR(IF(d_Bv!I14=0,0,((s_Ir*s_F*d_Bv!I14*(1-EXP(-s_RadSpec!AZ14*s_t_b)))/(s_P*s_RadSpec!AZ14))),0)</f>
        <v>1.9870072460746409</v>
      </c>
      <c r="J14" s="115">
        <f>IFERROR(IF(d_Bv!J14=0,0,((s_Ir*s_F*d_Bv!J14*(1-EXP(-s_RadSpec!AZ14*s_t_b)))/(s_P*s_RadSpec!AZ14))),0)</f>
        <v>1.9870072460746409</v>
      </c>
      <c r="K14" s="115">
        <f>IFERROR(IF(d_Bv!K14=0,0,((s_Ir*s_F*d_Bv!K14*(1-EXP(-s_RadSpec!AZ14*s_t_b)))/(s_P*s_RadSpec!AZ14))),0)</f>
        <v>1.9870072460746409</v>
      </c>
      <c r="L14" s="115">
        <f>IFERROR(IF(d_Bv!L14=0,0,((s_Ir*s_F*d_Bv!L14*(1-EXP(-s_RadSpec!AZ14*s_t_b)))/(s_P*s_RadSpec!AZ14))),0)</f>
        <v>1.9870072460746409</v>
      </c>
      <c r="M14" s="115">
        <f>IFERROR(IF(d_Bv!M14=0,0,((s_Ir*s_F*d_Bv!M14*(1-EXP(-s_RadSpec!AZ14*s_t_b)))/(s_P*s_RadSpec!AZ14))),0)</f>
        <v>1.9870072460746409</v>
      </c>
      <c r="N14" s="115">
        <f>IFERROR(IF(d_Bv!N14=0,0,((s_Ir*s_F*d_Bv!N14*(1-EXP(-s_RadSpec!AZ14*s_t_b)))/(s_P*s_RadSpec!AZ14))),0)</f>
        <v>1.9870072460746409</v>
      </c>
      <c r="O14" s="115">
        <f>IFERROR(IF(d_Bv!O14=0,0,((s_Ir*s_F*d_Bv!O14*(1-EXP(-s_RadSpec!AZ14*s_t_b)))/(s_P*s_RadSpec!AZ14))),0)</f>
        <v>1.9870072460746409</v>
      </c>
      <c r="P14" s="115">
        <f>IFERROR(IF(d_Bv!P14=0,0,((s_Ir*s_F*d_Bv!P14*(1-EXP(-s_RadSpec!AZ14*s_t_b)))/(s_P*s_RadSpec!AZ14))),0)</f>
        <v>1.9870072460746409</v>
      </c>
      <c r="Q14" s="115">
        <f>IFERROR(IF(d_Bv!Q14=0,0,((s_Ir*s_F*d_Bv!Q14*(1-EXP(-s_RadSpec!AZ14*s_t_b)))/(s_P*s_RadSpec!AZ14))),0)</f>
        <v>1.9870072460746409</v>
      </c>
      <c r="R14" s="115">
        <f>IFERROR(IF(d_Bv!R14=0,0,((s_Ir*s_F*d_Bv!R14*(1-EXP(-s_RadSpec!AZ14*s_t_b)))/(s_P*s_RadSpec!AZ14))),0)</f>
        <v>1.9870072460746409</v>
      </c>
      <c r="S14" s="115">
        <f>IFERROR(IF(d_Bv!S14=0,0,((s_Ir*s_F*d_Bv!S14*(1-EXP(-s_RadSpec!AZ14*s_t_b)))/(s_P*s_RadSpec!AZ14))),0)</f>
        <v>1.9870072460746409</v>
      </c>
      <c r="T14" s="115">
        <f>IFERROR(IF(d_Bv!T14=0,0,((s_Ir*s_F*d_Bv!T14*(1-EXP(-s_RadSpec!AZ14*s_t_b)))/(s_P*s_RadSpec!AZ14))),0)</f>
        <v>1.9870072460746409</v>
      </c>
      <c r="U14" s="115">
        <f>IFERROR(IF(d_Bv!U14=0,0,((s_Ir*s_F*d_Bv!U14*(1-EXP(-s_RadSpec!AZ14*s_t_b)))/(s_P*s_RadSpec!AZ14))),0)</f>
        <v>1.9870072460746409</v>
      </c>
      <c r="V14" s="115">
        <f>IFERROR(IF(d_Bv!V14=0,0,((s_Ir*s_F*d_Bv!V14*(1-EXP(-s_RadSpec!AZ14*s_t_b)))/(s_P*s_RadSpec!AZ14))),0)</f>
        <v>1.9870072460746409</v>
      </c>
      <c r="W14" s="115">
        <f>IFERROR(IF(d_Bv!W14=0,0,((s_Ir*s_F*d_Bv!W14*(1-EXP(-s_RadSpec!AZ14*s_t_b)))/(s_P*s_RadSpec!AZ14))),0)</f>
        <v>1.9870072460746409</v>
      </c>
      <c r="X14" s="115">
        <f>IFERROR(IF(d_Bv!X14=0,0,((s_Ir*s_F*d_Bv!X14*(1-EXP(-s_RadSpec!AZ14*s_t_b)))/(s_P*s_RadSpec!AZ14))),0)</f>
        <v>1.9870072460746409</v>
      </c>
      <c r="Y14" s="115">
        <f>IFERROR(IF(d_Bv!Y14=0,0,((s_Ir*s_F*d_Bv!Y14*(1-EXP(-s_RadSpec!AZ14*s_t_b)))/(s_P*s_RadSpec!AZ14))),0)</f>
        <v>1.9870072460746409</v>
      </c>
      <c r="Z14" s="115">
        <f>IFERROR(IF(d_Bv!Z14=0,0,((s_Ir*s_F*d_Bv!Z14*(1-EXP(-s_RadSpec!AZ14*s_t_b)))/(s_P*s_RadSpec!AZ14))),0)</f>
        <v>1.9870072460746409</v>
      </c>
      <c r="AA14" s="115">
        <f>IFERROR(IF(d_Bv!AA14=0,0,((s_Ir*s_F*d_Bv!AA14*(1-EXP(-s_RadSpec!AZ14*s_t_b)))/(s_P*s_RadSpec!AZ14))),0)</f>
        <v>1.9870072460746409</v>
      </c>
      <c r="AB14" s="115">
        <f>IFERROR(IF(d_Bv!C14=0,0,((s_Ir*s_F*s_MLF_apple*(1-EXP(-s_RadSpec!AZ14*s_t_b)))/(s_P*s_RadSpec!AZ14))),0)</f>
        <v>2.6824597822007652</v>
      </c>
      <c r="AC14" s="115">
        <f>IFERROR(IF(d_Bv!D14=0,0,((s_Ir*s_F*s_MLF_asparagus*(1-EXP(-s_RadSpec!AZ14*s_t_b)))/(s_P*s_RadSpec!AZ14))),0)</f>
        <v>2.6824597822007652</v>
      </c>
      <c r="AD14" s="115">
        <f>IFERROR(IF(d_Bv!E14=0,0,((s_Ir*s_F*s_MLF_beet*(1-EXP(-s_RadSpec!AZ14*s_t_b)))/(s_P*s_RadSpec!AZ14))),0)</f>
        <v>2.6824597822007652</v>
      </c>
      <c r="AE14" s="115">
        <f>IFERROR(IF(d_Bv!F14=0,0,((s_Ir*s_F*s_MLF_berries*(1-EXP(-s_RadSpec!AZ14*s_t_b)))/(s_P*s_RadSpec!AZ14))),0)</f>
        <v>2.6824597822007652</v>
      </c>
      <c r="AF14" s="115">
        <f>IFERROR(IF(d_Bv!G14=0,0,((s_Ir*s_F*s_MLF_broccoli*(1-EXP(-s_RadSpec!AZ14*s_t_b)))/(s_P*s_RadSpec!AZ14))),0)</f>
        <v>2.6824597822007652</v>
      </c>
      <c r="AG14" s="115">
        <f>IFERROR(IF(d_Bv!H14=0,0,((s_Ir*s_F*s_MLF_cabbage*(1-EXP(-s_RadSpec!AZ14*s_t_b)))/(s_P*s_RadSpec!AZ14))),0)</f>
        <v>2.6824597822007652</v>
      </c>
      <c r="AH14" s="115">
        <f>IFERROR(IF(d_Bv!I14=0,0,((s_Ir*s_F*s_MLF_carrot*(1-EXP(-s_RadSpec!AZ14*s_t_b)))/(s_P*s_RadSpec!AZ14))),0)</f>
        <v>2.6824597822007652</v>
      </c>
      <c r="AI14" s="115">
        <f>IFERROR(IF(d_Bv!J14=0,0,((s_Ir*s_F*s_MLF_citrus*(1-EXP(-s_RadSpec!AZ14*s_t_b)))/(s_P*s_RadSpec!AZ14))),0)</f>
        <v>2.6824597822007652</v>
      </c>
      <c r="AJ14" s="115">
        <f>IFERROR(IF(d_Bv!K14=0,0,((s_Ir*s_F*s_MLF_corn*(1-EXP(-s_RadSpec!AZ14*s_t_b)))/(s_P*s_RadSpec!AZ14))),0)</f>
        <v>2.6824597822007652</v>
      </c>
      <c r="AK14" s="115">
        <f>IFERROR(IF(d_Bv!L14=0,0,((s_Ir*s_F*s_MLF_cucumber*(1-EXP(-s_RadSpec!AZ14*s_t_b)))/(s_P*s_RadSpec!AZ14))),0)</f>
        <v>2.6824597822007652</v>
      </c>
      <c r="AL14" s="115">
        <f>IFERROR(IF(d_Bv!M14=0,0,((s_Ir*s_F*s_MLF_lettuce*(1-EXP(-s_RadSpec!AZ14*s_t_b)))/(s_P*s_RadSpec!AZ14))),0)</f>
        <v>2.6824597822007652</v>
      </c>
      <c r="AM14" s="115">
        <f>IFERROR(IF(d_Bv!N14=0,0,((s_Ir*s_F*s_MLF_lima_bean*(1-EXP(-s_RadSpec!AZ14*s_t_b)))/(s_P*s_RadSpec!AZ14))),0)</f>
        <v>2.6824597822007652</v>
      </c>
      <c r="AN14" s="115">
        <f>IFERROR(IF(d_Bv!O14=0,0,((s_Ir*s_F*s_MLF_okra*(1-EXP(-s_RadSpec!AZ14*s_t_b)))/(s_P*s_RadSpec!AZ14))),0)</f>
        <v>2.6824597822007652</v>
      </c>
      <c r="AO14" s="115">
        <f>IFERROR(IF(d_Bv!P14=0,0,((s_Ir*s_F*s_MLF_onion*(1-EXP(-s_RadSpec!AZ14*s_t_b)))/(s_P*s_RadSpec!AZ14))),0)</f>
        <v>2.6824597822007652</v>
      </c>
      <c r="AP14" s="115">
        <f>IFERROR(IF(d_Bv!Q14=0,0,((s_Ir*s_F*s_MLF_peach*(1-EXP(-s_RadSpec!AZ14*s_t_b)))/(s_P*s_RadSpec!AZ14))),0)</f>
        <v>2.6824597822007652</v>
      </c>
      <c r="AQ14" s="115">
        <f>IFERROR(IF(d_Bv!R14=0,0,((s_Ir*s_F*s_MLF_pear*(1-EXP(-s_RadSpec!AZ14*s_t_b)))/(s_P*s_RadSpec!AZ14))),0)</f>
        <v>2.6824597822007652</v>
      </c>
      <c r="AR14" s="115">
        <f>IFERROR(IF(d_Bv!S14=0,0,((s_Ir*s_F*s_MLF_peas*(1-EXP(-s_RadSpec!AZ14*s_t_b)))/(s_P*s_RadSpec!AZ14))),0)</f>
        <v>2.6824597822007652</v>
      </c>
      <c r="AS14" s="115">
        <f>IFERROR(IF(d_Bv!T14=0,0,((s_Ir*s_F*s_MLF_peppers*(1-EXP(-s_RadSpec!AZ14*s_t_b)))/(s_P*s_RadSpec!AZ14))),0)</f>
        <v>2.6824597822007652</v>
      </c>
      <c r="AT14" s="115">
        <f>IFERROR(IF(d_Bv!U14=0,0,((s_Ir*s_F*s_MLF_potato*(1-EXP(-s_RadSpec!AZ14*s_t_b)))/(s_P*s_RadSpec!AZ14))),0)</f>
        <v>2.6824597822007652</v>
      </c>
      <c r="AU14" s="115">
        <f>IFERROR(IF(d_Bv!V14=0,0,((s_Ir*s_F*s_MLF_pumpkin*(1-EXP(-s_RadSpec!AZ14*s_t_b)))/(s_P*s_RadSpec!AZ14))),0)</f>
        <v>2.6824597822007652</v>
      </c>
      <c r="AV14" s="115">
        <f>IFERROR(IF(d_Bv!W14=0,0,((s_Ir*s_F*s_MLF_snap_bean*(1-EXP(-s_RadSpec!AZ14*s_t_b)))/(s_P*s_RadSpec!AZ14))),0)</f>
        <v>2.6824597822007652</v>
      </c>
      <c r="AW14" s="115">
        <f>IFERROR(IF(d_Bv!X14=0,0,((s_Ir*s_F*s_MLF_strawberry*(1-EXP(-s_RadSpec!AZ14*s_t_b)))/(s_P*s_RadSpec!AZ14))),0)</f>
        <v>2.6824597822007652</v>
      </c>
      <c r="AX14" s="115">
        <f>IFERROR(IF(d_Bv!Y14=0,0,((s_Ir*s_F*s_MLF_tomato*(1-EXP(-s_RadSpec!AZ14*s_t_b)))/(s_P*s_RadSpec!AZ14))),0)</f>
        <v>2.6824597822007652</v>
      </c>
      <c r="AY14" s="115">
        <f>IFERROR(IF(d_Bv!Z14=0,0,((s_Ir*s_F*s_MLF_rice*(1-EXP(-s_RadSpec!AZ14*s_t_b)))/(s_P*s_RadSpec!AZ14))),0)</f>
        <v>2.6824597822007652</v>
      </c>
      <c r="AZ14" s="115">
        <f>IFERROR(IF(d_Bv!AA14=0,0,((s_Ir*s_F*s_MLF_cereal*(1-EXP(-s_RadSpec!AZ14*s_t_b)))/(s_P*s_RadSpec!AZ14))),0)</f>
        <v>2.6824597822007652</v>
      </c>
      <c r="BA14" s="115">
        <f>IFERROR(IF(d_Bv!C14=0,0,((s_Ir*s_F*s_I_f*s_T*(1-EXP(-s_RadSpec!BA14*s_t_v)))/(s_Y_v*s_RadSpec!BA14))),0)</f>
        <v>9.0143481925428208</v>
      </c>
      <c r="BB14" s="115">
        <f>IFERROR(IF(d_Bv!D14=0,0,((s_Ir*s_F*s_I_f*s_T*(1-EXP(-s_RadSpec!BA14*s_t_v)))/(s_Y_v*s_RadSpec!BA14))),0)</f>
        <v>9.0143481925428208</v>
      </c>
      <c r="BC14" s="115">
        <f>IFERROR(IF(d_Bv!E14=0,0,((s_Ir*s_F*s_I_f*s_T*(1-EXP(-s_RadSpec!BA14*s_t_v)))/(s_Y_v*s_RadSpec!BA14))),0)</f>
        <v>9.0143481925428208</v>
      </c>
      <c r="BD14" s="115">
        <f>IFERROR(IF(d_Bv!F14=0,0,((s_Ir*s_F*s_I_f*s_T*(1-EXP(-s_RadSpec!BA14*s_t_v)))/(s_Y_v*s_RadSpec!BA14))),0)</f>
        <v>9.0143481925428208</v>
      </c>
      <c r="BE14" s="115">
        <f>IFERROR(IF(d_Bv!G14=0,0,((s_Ir*s_F*s_I_f*s_T*(1-EXP(-s_RadSpec!BA14*s_t_v)))/(s_Y_v*s_RadSpec!BA14))),0)</f>
        <v>9.0143481925428208</v>
      </c>
      <c r="BF14" s="115">
        <f>IFERROR(IF(d_Bv!H14=0,0,((s_Ir*s_F*s_I_f*s_T*(1-EXP(-s_RadSpec!BA14*s_t_v)))/(s_Y_v*s_RadSpec!BA14))),0)</f>
        <v>9.0143481925428208</v>
      </c>
      <c r="BG14" s="115">
        <f>IFERROR(IF(d_Bv!I14=0,0,((s_Ir*s_F*s_I_f*s_T*(1-EXP(-s_RadSpec!BA14*s_t_v)))/(s_Y_v*s_RadSpec!BA14))),0)</f>
        <v>9.0143481925428208</v>
      </c>
      <c r="BH14" s="115">
        <f>IFERROR(IF(d_Bv!J14=0,0,((s_Ir*s_F*s_I_f*s_T*(1-EXP(-s_RadSpec!BA14*s_t_v)))/(s_Y_v*s_RadSpec!BA14))),0)</f>
        <v>9.0143481925428208</v>
      </c>
      <c r="BI14" s="115">
        <f>IFERROR(IF(d_Bv!K14=0,0,((s_Ir*s_F*s_I_f*s_T*(1-EXP(-s_RadSpec!BA14*s_t_v)))/(s_Y_v*s_RadSpec!BA14))),0)</f>
        <v>9.0143481925428208</v>
      </c>
      <c r="BJ14" s="115">
        <f>IFERROR(IF(d_Bv!L14=0,0,((s_Ir*s_F*s_I_f*s_T*(1-EXP(-s_RadSpec!BA14*s_t_v)))/(s_Y_v*s_RadSpec!BA14))),0)</f>
        <v>9.0143481925428208</v>
      </c>
      <c r="BK14" s="115">
        <f>IFERROR(IF(d_Bv!M14=0,0,((s_Ir*s_F*s_I_f*s_T*(1-EXP(-s_RadSpec!BA14*s_t_v)))/(s_Y_v*s_RadSpec!BA14))),0)</f>
        <v>9.0143481925428208</v>
      </c>
      <c r="BL14" s="115">
        <f>IFERROR(IF(d_Bv!N14=0,0,((s_Ir*s_F*s_I_f*s_T*(1-EXP(-s_RadSpec!BA14*s_t_v)))/(s_Y_v*s_RadSpec!BA14))),0)</f>
        <v>9.0143481925428208</v>
      </c>
      <c r="BM14" s="115">
        <f>IFERROR(IF(d_Bv!O14=0,0,((s_Ir*s_F*s_I_f*s_T*(1-EXP(-s_RadSpec!BA14*s_t_v)))/(s_Y_v*s_RadSpec!BA14))),0)</f>
        <v>9.0143481925428208</v>
      </c>
      <c r="BN14" s="115">
        <f>IFERROR(IF(d_Bv!P14=0,0,((s_Ir*s_F*s_I_f*s_T*(1-EXP(-s_RadSpec!BA14*s_t_v)))/(s_Y_v*s_RadSpec!BA14))),0)</f>
        <v>9.0143481925428208</v>
      </c>
      <c r="BO14" s="115">
        <f>IFERROR(IF(d_Bv!Q14=0,0,((s_Ir*s_F*s_I_f*s_T*(1-EXP(-s_RadSpec!BA14*s_t_v)))/(s_Y_v*s_RadSpec!BA14))),0)</f>
        <v>9.0143481925428208</v>
      </c>
      <c r="BP14" s="115">
        <f>IFERROR(IF(d_Bv!R14=0,0,((s_Ir*s_F*s_I_f*s_T*(1-EXP(-s_RadSpec!BA14*s_t_v)))/(s_Y_v*s_RadSpec!BA14))),0)</f>
        <v>9.0143481925428208</v>
      </c>
      <c r="BQ14" s="115">
        <f>IFERROR(IF(d_Bv!S14=0,0,((s_Ir*s_F*s_I_f*s_T*(1-EXP(-s_RadSpec!BA14*s_t_v)))/(s_Y_v*s_RadSpec!BA14))),0)</f>
        <v>9.0143481925428208</v>
      </c>
      <c r="BR14" s="115">
        <f>IFERROR(IF(d_Bv!T14=0,0,((s_Ir*s_F*s_I_f*s_T*(1-EXP(-s_RadSpec!BA14*s_t_v)))/(s_Y_v*s_RadSpec!BA14))),0)</f>
        <v>9.0143481925428208</v>
      </c>
      <c r="BS14" s="115">
        <f>IFERROR(IF(d_Bv!U14=0,0,((s_Ir*s_F*s_I_f*s_T*(1-EXP(-s_RadSpec!BA14*s_t_v)))/(s_Y_v*s_RadSpec!BA14))),0)</f>
        <v>9.0143481925428208</v>
      </c>
      <c r="BT14" s="115">
        <f>IFERROR(IF(d_Bv!V14=0,0,((s_Ir*s_F*s_I_f*s_T*(1-EXP(-s_RadSpec!BA14*s_t_v)))/(s_Y_v*s_RadSpec!BA14))),0)</f>
        <v>9.0143481925428208</v>
      </c>
      <c r="BU14" s="115">
        <f>IFERROR(IF(d_Bv!W14=0,0,((s_Ir*s_F*s_I_f*s_T*(1-EXP(-s_RadSpec!BA14*s_t_v)))/(s_Y_v*s_RadSpec!BA14))),0)</f>
        <v>9.0143481925428208</v>
      </c>
      <c r="BV14" s="115">
        <f>IFERROR(IF(d_Bv!X14=0,0,((s_Ir*s_F*s_I_f*s_T*(1-EXP(-s_RadSpec!BA14*s_t_v)))/(s_Y_v*s_RadSpec!BA14))),0)</f>
        <v>9.0143481925428208</v>
      </c>
      <c r="BW14" s="115">
        <f>IFERROR(IF(d_Bv!Y14=0,0,((s_Ir*s_F*s_I_f*s_T*(1-EXP(-s_RadSpec!BA14*s_t_v)))/(s_Y_v*s_RadSpec!BA14))),0)</f>
        <v>9.0143481925428208</v>
      </c>
      <c r="BX14" s="115">
        <f>IFERROR(IF(d_Bv!Z14=0,0,((s_Ir*s_F*s_I_f*s_T*(1-EXP(-s_RadSpec!BA14*s_t_v)))/(s_Y_v*s_RadSpec!BA14))),0)</f>
        <v>9.0143481925428208</v>
      </c>
      <c r="BY14" s="115">
        <f>IFERROR(IF(d_Bv!AA14=0,0,((s_Ir*s_F*s_I_f*s_T*(1-EXP(-s_RadSpec!BA14*s_t_v)))/(s_Y_v*s_RadSpec!BA14))),0)</f>
        <v>9.0143481925428208</v>
      </c>
    </row>
    <row r="15" spans="1:77" x14ac:dyDescent="0.25">
      <c r="A15" s="44" t="s">
        <v>25</v>
      </c>
      <c r="B15" s="42" t="s">
        <v>1071</v>
      </c>
      <c r="C15" s="115">
        <f>IFERROR(IF(d_Bv!C15=0,0,((s_Ir*s_F*d_Bv!C15*(1-EXP(-s_RadSpec!$AZ15*s_t_b)))/(s_P*s_RadSpec!$AZ15))),0)</f>
        <v>1.9870072460746409</v>
      </c>
      <c r="D15" s="115">
        <f>IFERROR(IF(d_Bv!D15=0,0,((s_Ir*s_F*d_Bv!D15*(1-EXP(-s_RadSpec!AZ15*s_t_b)))/(s_P*s_RadSpec!AZ15))),0)</f>
        <v>15.896057968597127</v>
      </c>
      <c r="E15" s="115">
        <f>IFERROR(IF(d_Bv!E15=0,0,((s_Ir*s_F*d_Bv!E15*(1-EXP(-s_RadSpec!AZ15*s_t_b)))/(s_P*s_RadSpec!AZ15))),0)</f>
        <v>2.9805108691119608</v>
      </c>
      <c r="F15" s="115">
        <f>IFERROR(IF(d_Bv!F15=0,0,((s_Ir*s_F*d_Bv!F15*(1-EXP(-s_RadSpec!AZ15*s_t_b)))/(s_P*s_RadSpec!AZ15))),0)</f>
        <v>1.9870072460746409</v>
      </c>
      <c r="G15" s="115">
        <f>IFERROR(IF(d_Bv!G15=0,0,((s_Ir*s_F*d_Bv!G15*(1-EXP(-s_RadSpec!AZ15*s_t_b)))/(s_P*s_RadSpec!AZ15))),0)</f>
        <v>2.9805108691119608</v>
      </c>
      <c r="H15" s="115">
        <f>IFERROR(IF(d_Bv!H15=0,0,((s_Ir*s_F*d_Bv!H15*(1-EXP(-s_RadSpec!AZ15*s_t_b)))/(s_P*s_RadSpec!AZ15))),0)</f>
        <v>15.896057968597127</v>
      </c>
      <c r="I15" s="115">
        <f>IFERROR(IF(d_Bv!I15=0,0,((s_Ir*s_F*d_Bv!I15*(1-EXP(-s_RadSpec!AZ15*s_t_b)))/(s_P*s_RadSpec!AZ15))),0)</f>
        <v>2.9805108691119608</v>
      </c>
      <c r="J15" s="115">
        <f>IFERROR(IF(d_Bv!J15=0,0,((s_Ir*s_F*d_Bv!J15*(1-EXP(-s_RadSpec!AZ15*s_t_b)))/(s_P*s_RadSpec!AZ15))),0)</f>
        <v>1.9870072460746409</v>
      </c>
      <c r="K15" s="115">
        <f>IFERROR(IF(d_Bv!K15=0,0,((s_Ir*s_F*d_Bv!K15*(1-EXP(-s_RadSpec!AZ15*s_t_b)))/(s_P*s_RadSpec!AZ15))),0)</f>
        <v>0.23844086952895688</v>
      </c>
      <c r="L15" s="115">
        <f>IFERROR(IF(d_Bv!L15=0,0,((s_Ir*s_F*d_Bv!L15*(1-EXP(-s_RadSpec!AZ15*s_t_b)))/(s_P*s_RadSpec!AZ15))),0)</f>
        <v>2.9805108691119608</v>
      </c>
      <c r="M15" s="115">
        <f>IFERROR(IF(d_Bv!M15=0,0,((s_Ir*s_F*d_Bv!M15*(1-EXP(-s_RadSpec!AZ15*s_t_b)))/(s_P*s_RadSpec!AZ15))),0)</f>
        <v>15.896057968597127</v>
      </c>
      <c r="N15" s="115">
        <f>IFERROR(IF(d_Bv!N15=0,0,((s_Ir*s_F*d_Bv!N15*(1-EXP(-s_RadSpec!AZ15*s_t_b)))/(s_P*s_RadSpec!AZ15))),0)</f>
        <v>1.0531138404195597</v>
      </c>
      <c r="O15" s="115">
        <f>IFERROR(IF(d_Bv!O15=0,0,((s_Ir*s_F*d_Bv!O15*(1-EXP(-s_RadSpec!AZ15*s_t_b)))/(s_P*s_RadSpec!AZ15))),0)</f>
        <v>2.9805108691119608</v>
      </c>
      <c r="P15" s="115">
        <f>IFERROR(IF(d_Bv!P15=0,0,((s_Ir*s_F*d_Bv!P15*(1-EXP(-s_RadSpec!AZ15*s_t_b)))/(s_P*s_RadSpec!AZ15))),0)</f>
        <v>2.9805108691119608</v>
      </c>
      <c r="Q15" s="115">
        <f>IFERROR(IF(d_Bv!Q15=0,0,((s_Ir*s_F*d_Bv!Q15*(1-EXP(-s_RadSpec!AZ15*s_t_b)))/(s_P*s_RadSpec!AZ15))),0)</f>
        <v>1.9870072460746409</v>
      </c>
      <c r="R15" s="115">
        <f>IFERROR(IF(d_Bv!R15=0,0,((s_Ir*s_F*d_Bv!R15*(1-EXP(-s_RadSpec!AZ15*s_t_b)))/(s_P*s_RadSpec!AZ15))),0)</f>
        <v>1.9870072460746409</v>
      </c>
      <c r="S15" s="115">
        <f>IFERROR(IF(d_Bv!S15=0,0,((s_Ir*s_F*d_Bv!S15*(1-EXP(-s_RadSpec!AZ15*s_t_b)))/(s_P*s_RadSpec!AZ15))),0)</f>
        <v>1.0531138404195597</v>
      </c>
      <c r="T15" s="115">
        <f>IFERROR(IF(d_Bv!T15=0,0,((s_Ir*s_F*d_Bv!T15*(1-EXP(-s_RadSpec!AZ15*s_t_b)))/(s_P*s_RadSpec!AZ15))),0)</f>
        <v>2.9805108691119608</v>
      </c>
      <c r="U15" s="115">
        <f>IFERROR(IF(d_Bv!U15=0,0,((s_Ir*s_F*d_Bv!U15*(1-EXP(-s_RadSpec!AZ15*s_t_b)))/(s_P*s_RadSpec!AZ15))),0)</f>
        <v>0.29805108691119608</v>
      </c>
      <c r="V15" s="115">
        <f>IFERROR(IF(d_Bv!V15=0,0,((s_Ir*s_F*d_Bv!V15*(1-EXP(-s_RadSpec!AZ15*s_t_b)))/(s_P*s_RadSpec!AZ15))),0)</f>
        <v>2.9805108691119608</v>
      </c>
      <c r="W15" s="115">
        <f>IFERROR(IF(d_Bv!W15=0,0,((s_Ir*s_F*d_Bv!W15*(1-EXP(-s_RadSpec!AZ15*s_t_b)))/(s_P*s_RadSpec!AZ15))),0)</f>
        <v>1.0531138404195597</v>
      </c>
      <c r="X15" s="115">
        <f>IFERROR(IF(d_Bv!X15=0,0,((s_Ir*s_F*d_Bv!X15*(1-EXP(-s_RadSpec!AZ15*s_t_b)))/(s_P*s_RadSpec!AZ15))),0)</f>
        <v>1.9870072460746409</v>
      </c>
      <c r="Y15" s="115">
        <f>IFERROR(IF(d_Bv!Y15=0,0,((s_Ir*s_F*d_Bv!Y15*(1-EXP(-s_RadSpec!AZ15*s_t_b)))/(s_P*s_RadSpec!AZ15))),0)</f>
        <v>2.9805108691119608</v>
      </c>
      <c r="Z15" s="115">
        <f>IFERROR(IF(d_Bv!Z15=0,0,((s_Ir*s_F*d_Bv!Z15*(1-EXP(-s_RadSpec!AZ15*s_t_b)))/(s_P*s_RadSpec!AZ15))),0)</f>
        <v>5.7623210136164581E-2</v>
      </c>
      <c r="AA15" s="115">
        <f>IFERROR(IF(d_Bv!AA15=0,0,((s_Ir*s_F*d_Bv!AA15*(1-EXP(-s_RadSpec!AZ15*s_t_b)))/(s_P*s_RadSpec!AZ15))),0)</f>
        <v>2.1857079706821048</v>
      </c>
      <c r="AB15" s="115">
        <f>IFERROR(IF(d_Bv!C15=0,0,((s_Ir*s_F*s_MLF_apple*(1-EXP(-s_RadSpec!AZ15*s_t_b)))/(s_P*s_RadSpec!AZ15))),0)</f>
        <v>2.6824597822007652</v>
      </c>
      <c r="AC15" s="115">
        <f>IFERROR(IF(d_Bv!D15=0,0,((s_Ir*s_F*s_MLF_asparagus*(1-EXP(-s_RadSpec!AZ15*s_t_b)))/(s_P*s_RadSpec!AZ15))),0)</f>
        <v>2.6824597822007652</v>
      </c>
      <c r="AD15" s="115">
        <f>IFERROR(IF(d_Bv!E15=0,0,((s_Ir*s_F*s_MLF_beet*(1-EXP(-s_RadSpec!AZ15*s_t_b)))/(s_P*s_RadSpec!AZ15))),0)</f>
        <v>2.6824597822007652</v>
      </c>
      <c r="AE15" s="115">
        <f>IFERROR(IF(d_Bv!F15=0,0,((s_Ir*s_F*s_MLF_berries*(1-EXP(-s_RadSpec!AZ15*s_t_b)))/(s_P*s_RadSpec!AZ15))),0)</f>
        <v>2.6824597822007652</v>
      </c>
      <c r="AF15" s="115">
        <f>IFERROR(IF(d_Bv!G15=0,0,((s_Ir*s_F*s_MLF_broccoli*(1-EXP(-s_RadSpec!AZ15*s_t_b)))/(s_P*s_RadSpec!AZ15))),0)</f>
        <v>2.6824597822007652</v>
      </c>
      <c r="AG15" s="115">
        <f>IFERROR(IF(d_Bv!H15=0,0,((s_Ir*s_F*s_MLF_cabbage*(1-EXP(-s_RadSpec!AZ15*s_t_b)))/(s_P*s_RadSpec!AZ15))),0)</f>
        <v>2.6824597822007652</v>
      </c>
      <c r="AH15" s="115">
        <f>IFERROR(IF(d_Bv!I15=0,0,((s_Ir*s_F*s_MLF_carrot*(1-EXP(-s_RadSpec!AZ15*s_t_b)))/(s_P*s_RadSpec!AZ15))),0)</f>
        <v>2.6824597822007652</v>
      </c>
      <c r="AI15" s="115">
        <f>IFERROR(IF(d_Bv!J15=0,0,((s_Ir*s_F*s_MLF_citrus*(1-EXP(-s_RadSpec!AZ15*s_t_b)))/(s_P*s_RadSpec!AZ15))),0)</f>
        <v>2.6824597822007652</v>
      </c>
      <c r="AJ15" s="115">
        <f>IFERROR(IF(d_Bv!K15=0,0,((s_Ir*s_F*s_MLF_corn*(1-EXP(-s_RadSpec!AZ15*s_t_b)))/(s_P*s_RadSpec!AZ15))),0)</f>
        <v>2.6824597822007652</v>
      </c>
      <c r="AK15" s="115">
        <f>IFERROR(IF(d_Bv!L15=0,0,((s_Ir*s_F*s_MLF_cucumber*(1-EXP(-s_RadSpec!AZ15*s_t_b)))/(s_P*s_RadSpec!AZ15))),0)</f>
        <v>2.6824597822007652</v>
      </c>
      <c r="AL15" s="115">
        <f>IFERROR(IF(d_Bv!M15=0,0,((s_Ir*s_F*s_MLF_lettuce*(1-EXP(-s_RadSpec!AZ15*s_t_b)))/(s_P*s_RadSpec!AZ15))),0)</f>
        <v>2.6824597822007652</v>
      </c>
      <c r="AM15" s="115">
        <f>IFERROR(IF(d_Bv!N15=0,0,((s_Ir*s_F*s_MLF_lima_bean*(1-EXP(-s_RadSpec!AZ15*s_t_b)))/(s_P*s_RadSpec!AZ15))),0)</f>
        <v>2.6824597822007652</v>
      </c>
      <c r="AN15" s="115">
        <f>IFERROR(IF(d_Bv!O15=0,0,((s_Ir*s_F*s_MLF_okra*(1-EXP(-s_RadSpec!AZ15*s_t_b)))/(s_P*s_RadSpec!AZ15))),0)</f>
        <v>2.6824597822007652</v>
      </c>
      <c r="AO15" s="115">
        <f>IFERROR(IF(d_Bv!P15=0,0,((s_Ir*s_F*s_MLF_onion*(1-EXP(-s_RadSpec!AZ15*s_t_b)))/(s_P*s_RadSpec!AZ15))),0)</f>
        <v>2.6824597822007652</v>
      </c>
      <c r="AP15" s="115">
        <f>IFERROR(IF(d_Bv!Q15=0,0,((s_Ir*s_F*s_MLF_peach*(1-EXP(-s_RadSpec!AZ15*s_t_b)))/(s_P*s_RadSpec!AZ15))),0)</f>
        <v>2.6824597822007652</v>
      </c>
      <c r="AQ15" s="115">
        <f>IFERROR(IF(d_Bv!R15=0,0,((s_Ir*s_F*s_MLF_pear*(1-EXP(-s_RadSpec!AZ15*s_t_b)))/(s_P*s_RadSpec!AZ15))),0)</f>
        <v>2.6824597822007652</v>
      </c>
      <c r="AR15" s="115">
        <f>IFERROR(IF(d_Bv!S15=0,0,((s_Ir*s_F*s_MLF_peas*(1-EXP(-s_RadSpec!AZ15*s_t_b)))/(s_P*s_RadSpec!AZ15))),0)</f>
        <v>2.6824597822007652</v>
      </c>
      <c r="AS15" s="115">
        <f>IFERROR(IF(d_Bv!T15=0,0,((s_Ir*s_F*s_MLF_peppers*(1-EXP(-s_RadSpec!AZ15*s_t_b)))/(s_P*s_RadSpec!AZ15))),0)</f>
        <v>2.6824597822007652</v>
      </c>
      <c r="AT15" s="115">
        <f>IFERROR(IF(d_Bv!U15=0,0,((s_Ir*s_F*s_MLF_potato*(1-EXP(-s_RadSpec!AZ15*s_t_b)))/(s_P*s_RadSpec!AZ15))),0)</f>
        <v>2.6824597822007652</v>
      </c>
      <c r="AU15" s="115">
        <f>IFERROR(IF(d_Bv!V15=0,0,((s_Ir*s_F*s_MLF_pumpkin*(1-EXP(-s_RadSpec!AZ15*s_t_b)))/(s_P*s_RadSpec!AZ15))),0)</f>
        <v>2.6824597822007652</v>
      </c>
      <c r="AV15" s="115">
        <f>IFERROR(IF(d_Bv!W15=0,0,((s_Ir*s_F*s_MLF_snap_bean*(1-EXP(-s_RadSpec!AZ15*s_t_b)))/(s_P*s_RadSpec!AZ15))),0)</f>
        <v>2.6824597822007652</v>
      </c>
      <c r="AW15" s="115">
        <f>IFERROR(IF(d_Bv!X15=0,0,((s_Ir*s_F*s_MLF_strawberry*(1-EXP(-s_RadSpec!AZ15*s_t_b)))/(s_P*s_RadSpec!AZ15))),0)</f>
        <v>2.6824597822007652</v>
      </c>
      <c r="AX15" s="115">
        <f>IFERROR(IF(d_Bv!Y15=0,0,((s_Ir*s_F*s_MLF_tomato*(1-EXP(-s_RadSpec!AZ15*s_t_b)))/(s_P*s_RadSpec!AZ15))),0)</f>
        <v>2.6824597822007652</v>
      </c>
      <c r="AY15" s="115">
        <f>IFERROR(IF(d_Bv!Z15=0,0,((s_Ir*s_F*s_MLF_rice*(1-EXP(-s_RadSpec!AZ15*s_t_b)))/(s_P*s_RadSpec!AZ15))),0)</f>
        <v>2.6824597822007652</v>
      </c>
      <c r="AZ15" s="115">
        <f>IFERROR(IF(d_Bv!AA15=0,0,((s_Ir*s_F*s_MLF_cereal*(1-EXP(-s_RadSpec!AZ15*s_t_b)))/(s_P*s_RadSpec!AZ15))),0)</f>
        <v>2.6824597822007652</v>
      </c>
      <c r="BA15" s="115">
        <f>IFERROR(IF(d_Bv!C15=0,0,((s_Ir*s_F*s_I_f*s_T*(1-EXP(-s_RadSpec!BA15*s_t_v)))/(s_Y_v*s_RadSpec!BA15))),0)</f>
        <v>9.0143481925428208</v>
      </c>
      <c r="BB15" s="115">
        <f>IFERROR(IF(d_Bv!D15=0,0,((s_Ir*s_F*s_I_f*s_T*(1-EXP(-s_RadSpec!BA15*s_t_v)))/(s_Y_v*s_RadSpec!BA15))),0)</f>
        <v>9.0143481925428208</v>
      </c>
      <c r="BC15" s="115">
        <f>IFERROR(IF(d_Bv!E15=0,0,((s_Ir*s_F*s_I_f*s_T*(1-EXP(-s_RadSpec!BA15*s_t_v)))/(s_Y_v*s_RadSpec!BA15))),0)</f>
        <v>9.0143481925428208</v>
      </c>
      <c r="BD15" s="115">
        <f>IFERROR(IF(d_Bv!F15=0,0,((s_Ir*s_F*s_I_f*s_T*(1-EXP(-s_RadSpec!BA15*s_t_v)))/(s_Y_v*s_RadSpec!BA15))),0)</f>
        <v>9.0143481925428208</v>
      </c>
      <c r="BE15" s="115">
        <f>IFERROR(IF(d_Bv!G15=0,0,((s_Ir*s_F*s_I_f*s_T*(1-EXP(-s_RadSpec!BA15*s_t_v)))/(s_Y_v*s_RadSpec!BA15))),0)</f>
        <v>9.0143481925428208</v>
      </c>
      <c r="BF15" s="115">
        <f>IFERROR(IF(d_Bv!H15=0,0,((s_Ir*s_F*s_I_f*s_T*(1-EXP(-s_RadSpec!BA15*s_t_v)))/(s_Y_v*s_RadSpec!BA15))),0)</f>
        <v>9.0143481925428208</v>
      </c>
      <c r="BG15" s="115">
        <f>IFERROR(IF(d_Bv!I15=0,0,((s_Ir*s_F*s_I_f*s_T*(1-EXP(-s_RadSpec!BA15*s_t_v)))/(s_Y_v*s_RadSpec!BA15))),0)</f>
        <v>9.0143481925428208</v>
      </c>
      <c r="BH15" s="115">
        <f>IFERROR(IF(d_Bv!J15=0,0,((s_Ir*s_F*s_I_f*s_T*(1-EXP(-s_RadSpec!BA15*s_t_v)))/(s_Y_v*s_RadSpec!BA15))),0)</f>
        <v>9.0143481925428208</v>
      </c>
      <c r="BI15" s="115">
        <f>IFERROR(IF(d_Bv!K15=0,0,((s_Ir*s_F*s_I_f*s_T*(1-EXP(-s_RadSpec!BA15*s_t_v)))/(s_Y_v*s_RadSpec!BA15))),0)</f>
        <v>9.0143481925428208</v>
      </c>
      <c r="BJ15" s="115">
        <f>IFERROR(IF(d_Bv!L15=0,0,((s_Ir*s_F*s_I_f*s_T*(1-EXP(-s_RadSpec!BA15*s_t_v)))/(s_Y_v*s_RadSpec!BA15))),0)</f>
        <v>9.0143481925428208</v>
      </c>
      <c r="BK15" s="115">
        <f>IFERROR(IF(d_Bv!M15=0,0,((s_Ir*s_F*s_I_f*s_T*(1-EXP(-s_RadSpec!BA15*s_t_v)))/(s_Y_v*s_RadSpec!BA15))),0)</f>
        <v>9.0143481925428208</v>
      </c>
      <c r="BL15" s="115">
        <f>IFERROR(IF(d_Bv!N15=0,0,((s_Ir*s_F*s_I_f*s_T*(1-EXP(-s_RadSpec!BA15*s_t_v)))/(s_Y_v*s_RadSpec!BA15))),0)</f>
        <v>9.0143481925428208</v>
      </c>
      <c r="BM15" s="115">
        <f>IFERROR(IF(d_Bv!O15=0,0,((s_Ir*s_F*s_I_f*s_T*(1-EXP(-s_RadSpec!BA15*s_t_v)))/(s_Y_v*s_RadSpec!BA15))),0)</f>
        <v>9.0143481925428208</v>
      </c>
      <c r="BN15" s="115">
        <f>IFERROR(IF(d_Bv!P15=0,0,((s_Ir*s_F*s_I_f*s_T*(1-EXP(-s_RadSpec!BA15*s_t_v)))/(s_Y_v*s_RadSpec!BA15))),0)</f>
        <v>9.0143481925428208</v>
      </c>
      <c r="BO15" s="115">
        <f>IFERROR(IF(d_Bv!Q15=0,0,((s_Ir*s_F*s_I_f*s_T*(1-EXP(-s_RadSpec!BA15*s_t_v)))/(s_Y_v*s_RadSpec!BA15))),0)</f>
        <v>9.0143481925428208</v>
      </c>
      <c r="BP15" s="115">
        <f>IFERROR(IF(d_Bv!R15=0,0,((s_Ir*s_F*s_I_f*s_T*(1-EXP(-s_RadSpec!BA15*s_t_v)))/(s_Y_v*s_RadSpec!BA15))),0)</f>
        <v>9.0143481925428208</v>
      </c>
      <c r="BQ15" s="115">
        <f>IFERROR(IF(d_Bv!S15=0,0,((s_Ir*s_F*s_I_f*s_T*(1-EXP(-s_RadSpec!BA15*s_t_v)))/(s_Y_v*s_RadSpec!BA15))),0)</f>
        <v>9.0143481925428208</v>
      </c>
      <c r="BR15" s="115">
        <f>IFERROR(IF(d_Bv!T15=0,0,((s_Ir*s_F*s_I_f*s_T*(1-EXP(-s_RadSpec!BA15*s_t_v)))/(s_Y_v*s_RadSpec!BA15))),0)</f>
        <v>9.0143481925428208</v>
      </c>
      <c r="BS15" s="115">
        <f>IFERROR(IF(d_Bv!U15=0,0,((s_Ir*s_F*s_I_f*s_T*(1-EXP(-s_RadSpec!BA15*s_t_v)))/(s_Y_v*s_RadSpec!BA15))),0)</f>
        <v>9.0143481925428208</v>
      </c>
      <c r="BT15" s="115">
        <f>IFERROR(IF(d_Bv!V15=0,0,((s_Ir*s_F*s_I_f*s_T*(1-EXP(-s_RadSpec!BA15*s_t_v)))/(s_Y_v*s_RadSpec!BA15))),0)</f>
        <v>9.0143481925428208</v>
      </c>
      <c r="BU15" s="115">
        <f>IFERROR(IF(d_Bv!W15=0,0,((s_Ir*s_F*s_I_f*s_T*(1-EXP(-s_RadSpec!BA15*s_t_v)))/(s_Y_v*s_RadSpec!BA15))),0)</f>
        <v>9.0143481925428208</v>
      </c>
      <c r="BV15" s="115">
        <f>IFERROR(IF(d_Bv!X15=0,0,((s_Ir*s_F*s_I_f*s_T*(1-EXP(-s_RadSpec!BA15*s_t_v)))/(s_Y_v*s_RadSpec!BA15))),0)</f>
        <v>9.0143481925428208</v>
      </c>
      <c r="BW15" s="115">
        <f>IFERROR(IF(d_Bv!Y15=0,0,((s_Ir*s_F*s_I_f*s_T*(1-EXP(-s_RadSpec!BA15*s_t_v)))/(s_Y_v*s_RadSpec!BA15))),0)</f>
        <v>9.0143481925428208</v>
      </c>
      <c r="BX15" s="115">
        <f>IFERROR(IF(d_Bv!Z15=0,0,((s_Ir*s_F*s_I_f*s_T*(1-EXP(-s_RadSpec!BA15*s_t_v)))/(s_Y_v*s_RadSpec!BA15))),0)</f>
        <v>9.0143481925428208</v>
      </c>
      <c r="BY15" s="115">
        <f>IFERROR(IF(d_Bv!AA15=0,0,((s_Ir*s_F*s_I_f*s_T*(1-EXP(-s_RadSpec!BA15*s_t_v)))/(s_Y_v*s_RadSpec!BA15))),0)</f>
        <v>9.0143481925428208</v>
      </c>
    </row>
    <row r="16" spans="1:77" x14ac:dyDescent="0.25">
      <c r="A16" s="44" t="s">
        <v>26</v>
      </c>
      <c r="B16" s="42" t="s">
        <v>1071</v>
      </c>
      <c r="C16" s="115">
        <f>IFERROR(IF(d_Bv!C16=0,0,((s_Ir*s_F*d_Bv!C16*(1-EXP(-s_RadSpec!$AZ16*s_t_b)))/(s_P*s_RadSpec!$AZ16))),0)</f>
        <v>1.9870072460746409</v>
      </c>
      <c r="D16" s="115">
        <f>IFERROR(IF(d_Bv!D16=0,0,((s_Ir*s_F*d_Bv!D16*(1-EXP(-s_RadSpec!AZ16*s_t_b)))/(s_P*s_RadSpec!AZ16))),0)</f>
        <v>15.896057968597127</v>
      </c>
      <c r="E16" s="115">
        <f>IFERROR(IF(d_Bv!E16=0,0,((s_Ir*s_F*d_Bv!E16*(1-EXP(-s_RadSpec!AZ16*s_t_b)))/(s_P*s_RadSpec!AZ16))),0)</f>
        <v>2.9805108691119608</v>
      </c>
      <c r="F16" s="115">
        <f>IFERROR(IF(d_Bv!F16=0,0,((s_Ir*s_F*d_Bv!F16*(1-EXP(-s_RadSpec!AZ16*s_t_b)))/(s_P*s_RadSpec!AZ16))),0)</f>
        <v>1.9870072460746409</v>
      </c>
      <c r="G16" s="115">
        <f>IFERROR(IF(d_Bv!G16=0,0,((s_Ir*s_F*d_Bv!G16*(1-EXP(-s_RadSpec!AZ16*s_t_b)))/(s_P*s_RadSpec!AZ16))),0)</f>
        <v>2.9805108691119608</v>
      </c>
      <c r="H16" s="115">
        <f>IFERROR(IF(d_Bv!H16=0,0,((s_Ir*s_F*d_Bv!H16*(1-EXP(-s_RadSpec!AZ16*s_t_b)))/(s_P*s_RadSpec!AZ16))),0)</f>
        <v>15.896057968597127</v>
      </c>
      <c r="I16" s="115">
        <f>IFERROR(IF(d_Bv!I16=0,0,((s_Ir*s_F*d_Bv!I16*(1-EXP(-s_RadSpec!AZ16*s_t_b)))/(s_P*s_RadSpec!AZ16))),0)</f>
        <v>2.9805108691119608</v>
      </c>
      <c r="J16" s="115">
        <f>IFERROR(IF(d_Bv!J16=0,0,((s_Ir*s_F*d_Bv!J16*(1-EXP(-s_RadSpec!AZ16*s_t_b)))/(s_P*s_RadSpec!AZ16))),0)</f>
        <v>1.9870072460746409</v>
      </c>
      <c r="K16" s="115">
        <f>IFERROR(IF(d_Bv!K16=0,0,((s_Ir*s_F*d_Bv!K16*(1-EXP(-s_RadSpec!AZ16*s_t_b)))/(s_P*s_RadSpec!AZ16))),0)</f>
        <v>0.23844086952895688</v>
      </c>
      <c r="L16" s="115">
        <f>IFERROR(IF(d_Bv!L16=0,0,((s_Ir*s_F*d_Bv!L16*(1-EXP(-s_RadSpec!AZ16*s_t_b)))/(s_P*s_RadSpec!AZ16))),0)</f>
        <v>2.9805108691119608</v>
      </c>
      <c r="M16" s="115">
        <f>IFERROR(IF(d_Bv!M16=0,0,((s_Ir*s_F*d_Bv!M16*(1-EXP(-s_RadSpec!AZ16*s_t_b)))/(s_P*s_RadSpec!AZ16))),0)</f>
        <v>15.896057968597127</v>
      </c>
      <c r="N16" s="115">
        <f>IFERROR(IF(d_Bv!N16=0,0,((s_Ir*s_F*d_Bv!N16*(1-EXP(-s_RadSpec!AZ16*s_t_b)))/(s_P*s_RadSpec!AZ16))),0)</f>
        <v>1.0531138404195597</v>
      </c>
      <c r="O16" s="115">
        <f>IFERROR(IF(d_Bv!O16=0,0,((s_Ir*s_F*d_Bv!O16*(1-EXP(-s_RadSpec!AZ16*s_t_b)))/(s_P*s_RadSpec!AZ16))),0)</f>
        <v>2.9805108691119608</v>
      </c>
      <c r="P16" s="115">
        <f>IFERROR(IF(d_Bv!P16=0,0,((s_Ir*s_F*d_Bv!P16*(1-EXP(-s_RadSpec!AZ16*s_t_b)))/(s_P*s_RadSpec!AZ16))),0)</f>
        <v>2.9805108691119608</v>
      </c>
      <c r="Q16" s="115">
        <f>IFERROR(IF(d_Bv!Q16=0,0,((s_Ir*s_F*d_Bv!Q16*(1-EXP(-s_RadSpec!AZ16*s_t_b)))/(s_P*s_RadSpec!AZ16))),0)</f>
        <v>1.9870072460746409</v>
      </c>
      <c r="R16" s="115">
        <f>IFERROR(IF(d_Bv!R16=0,0,((s_Ir*s_F*d_Bv!R16*(1-EXP(-s_RadSpec!AZ16*s_t_b)))/(s_P*s_RadSpec!AZ16))),0)</f>
        <v>1.9870072460746409</v>
      </c>
      <c r="S16" s="115">
        <f>IFERROR(IF(d_Bv!S16=0,0,((s_Ir*s_F*d_Bv!S16*(1-EXP(-s_RadSpec!AZ16*s_t_b)))/(s_P*s_RadSpec!AZ16))),0)</f>
        <v>1.0531138404195597</v>
      </c>
      <c r="T16" s="115">
        <f>IFERROR(IF(d_Bv!T16=0,0,((s_Ir*s_F*d_Bv!T16*(1-EXP(-s_RadSpec!AZ16*s_t_b)))/(s_P*s_RadSpec!AZ16))),0)</f>
        <v>2.9805108691119608</v>
      </c>
      <c r="U16" s="115">
        <f>IFERROR(IF(d_Bv!U16=0,0,((s_Ir*s_F*d_Bv!U16*(1-EXP(-s_RadSpec!AZ16*s_t_b)))/(s_P*s_RadSpec!AZ16))),0)</f>
        <v>0.29805108691119608</v>
      </c>
      <c r="V16" s="115">
        <f>IFERROR(IF(d_Bv!V16=0,0,((s_Ir*s_F*d_Bv!V16*(1-EXP(-s_RadSpec!AZ16*s_t_b)))/(s_P*s_RadSpec!AZ16))),0)</f>
        <v>2.9805108691119608</v>
      </c>
      <c r="W16" s="115">
        <f>IFERROR(IF(d_Bv!W16=0,0,((s_Ir*s_F*d_Bv!W16*(1-EXP(-s_RadSpec!AZ16*s_t_b)))/(s_P*s_RadSpec!AZ16))),0)</f>
        <v>1.0531138404195597</v>
      </c>
      <c r="X16" s="115">
        <f>IFERROR(IF(d_Bv!X16=0,0,((s_Ir*s_F*d_Bv!X16*(1-EXP(-s_RadSpec!AZ16*s_t_b)))/(s_P*s_RadSpec!AZ16))),0)</f>
        <v>1.9870072460746409</v>
      </c>
      <c r="Y16" s="115">
        <f>IFERROR(IF(d_Bv!Y16=0,0,((s_Ir*s_F*d_Bv!Y16*(1-EXP(-s_RadSpec!AZ16*s_t_b)))/(s_P*s_RadSpec!AZ16))),0)</f>
        <v>2.9805108691119608</v>
      </c>
      <c r="Z16" s="115">
        <f>IFERROR(IF(d_Bv!Z16=0,0,((s_Ir*s_F*d_Bv!Z16*(1-EXP(-s_RadSpec!AZ16*s_t_b)))/(s_P*s_RadSpec!AZ16))),0)</f>
        <v>5.7623210136164581E-2</v>
      </c>
      <c r="AA16" s="115">
        <f>IFERROR(IF(d_Bv!AA16=0,0,((s_Ir*s_F*d_Bv!AA16*(1-EXP(-s_RadSpec!AZ16*s_t_b)))/(s_P*s_RadSpec!AZ16))),0)</f>
        <v>2.1857079706821048</v>
      </c>
      <c r="AB16" s="115">
        <f>IFERROR(IF(d_Bv!C16=0,0,((s_Ir*s_F*s_MLF_apple*(1-EXP(-s_RadSpec!AZ16*s_t_b)))/(s_P*s_RadSpec!AZ16))),0)</f>
        <v>2.6824597822007652</v>
      </c>
      <c r="AC16" s="115">
        <f>IFERROR(IF(d_Bv!D16=0,0,((s_Ir*s_F*s_MLF_asparagus*(1-EXP(-s_RadSpec!AZ16*s_t_b)))/(s_P*s_RadSpec!AZ16))),0)</f>
        <v>2.6824597822007652</v>
      </c>
      <c r="AD16" s="115">
        <f>IFERROR(IF(d_Bv!E16=0,0,((s_Ir*s_F*s_MLF_beet*(1-EXP(-s_RadSpec!AZ16*s_t_b)))/(s_P*s_RadSpec!AZ16))),0)</f>
        <v>2.6824597822007652</v>
      </c>
      <c r="AE16" s="115">
        <f>IFERROR(IF(d_Bv!F16=0,0,((s_Ir*s_F*s_MLF_berries*(1-EXP(-s_RadSpec!AZ16*s_t_b)))/(s_P*s_RadSpec!AZ16))),0)</f>
        <v>2.6824597822007652</v>
      </c>
      <c r="AF16" s="115">
        <f>IFERROR(IF(d_Bv!G16=0,0,((s_Ir*s_F*s_MLF_broccoli*(1-EXP(-s_RadSpec!AZ16*s_t_b)))/(s_P*s_RadSpec!AZ16))),0)</f>
        <v>2.6824597822007652</v>
      </c>
      <c r="AG16" s="115">
        <f>IFERROR(IF(d_Bv!H16=0,0,((s_Ir*s_F*s_MLF_cabbage*(1-EXP(-s_RadSpec!AZ16*s_t_b)))/(s_P*s_RadSpec!AZ16))),0)</f>
        <v>2.6824597822007652</v>
      </c>
      <c r="AH16" s="115">
        <f>IFERROR(IF(d_Bv!I16=0,0,((s_Ir*s_F*s_MLF_carrot*(1-EXP(-s_RadSpec!AZ16*s_t_b)))/(s_P*s_RadSpec!AZ16))),0)</f>
        <v>2.6824597822007652</v>
      </c>
      <c r="AI16" s="115">
        <f>IFERROR(IF(d_Bv!J16=0,0,((s_Ir*s_F*s_MLF_citrus*(1-EXP(-s_RadSpec!AZ16*s_t_b)))/(s_P*s_RadSpec!AZ16))),0)</f>
        <v>2.6824597822007652</v>
      </c>
      <c r="AJ16" s="115">
        <f>IFERROR(IF(d_Bv!K16=0,0,((s_Ir*s_F*s_MLF_corn*(1-EXP(-s_RadSpec!AZ16*s_t_b)))/(s_P*s_RadSpec!AZ16))),0)</f>
        <v>2.6824597822007652</v>
      </c>
      <c r="AK16" s="115">
        <f>IFERROR(IF(d_Bv!L16=0,0,((s_Ir*s_F*s_MLF_cucumber*(1-EXP(-s_RadSpec!AZ16*s_t_b)))/(s_P*s_RadSpec!AZ16))),0)</f>
        <v>2.6824597822007652</v>
      </c>
      <c r="AL16" s="115">
        <f>IFERROR(IF(d_Bv!M16=0,0,((s_Ir*s_F*s_MLF_lettuce*(1-EXP(-s_RadSpec!AZ16*s_t_b)))/(s_P*s_RadSpec!AZ16))),0)</f>
        <v>2.6824597822007652</v>
      </c>
      <c r="AM16" s="115">
        <f>IFERROR(IF(d_Bv!N16=0,0,((s_Ir*s_F*s_MLF_lima_bean*(1-EXP(-s_RadSpec!AZ16*s_t_b)))/(s_P*s_RadSpec!AZ16))),0)</f>
        <v>2.6824597822007652</v>
      </c>
      <c r="AN16" s="115">
        <f>IFERROR(IF(d_Bv!O16=0,0,((s_Ir*s_F*s_MLF_okra*(1-EXP(-s_RadSpec!AZ16*s_t_b)))/(s_P*s_RadSpec!AZ16))),0)</f>
        <v>2.6824597822007652</v>
      </c>
      <c r="AO16" s="115">
        <f>IFERROR(IF(d_Bv!P16=0,0,((s_Ir*s_F*s_MLF_onion*(1-EXP(-s_RadSpec!AZ16*s_t_b)))/(s_P*s_RadSpec!AZ16))),0)</f>
        <v>2.6824597822007652</v>
      </c>
      <c r="AP16" s="115">
        <f>IFERROR(IF(d_Bv!Q16=0,0,((s_Ir*s_F*s_MLF_peach*(1-EXP(-s_RadSpec!AZ16*s_t_b)))/(s_P*s_RadSpec!AZ16))),0)</f>
        <v>2.6824597822007652</v>
      </c>
      <c r="AQ16" s="115">
        <f>IFERROR(IF(d_Bv!R16=0,0,((s_Ir*s_F*s_MLF_pear*(1-EXP(-s_RadSpec!AZ16*s_t_b)))/(s_P*s_RadSpec!AZ16))),0)</f>
        <v>2.6824597822007652</v>
      </c>
      <c r="AR16" s="115">
        <f>IFERROR(IF(d_Bv!S16=0,0,((s_Ir*s_F*s_MLF_peas*(1-EXP(-s_RadSpec!AZ16*s_t_b)))/(s_P*s_RadSpec!AZ16))),0)</f>
        <v>2.6824597822007652</v>
      </c>
      <c r="AS16" s="115">
        <f>IFERROR(IF(d_Bv!T16=0,0,((s_Ir*s_F*s_MLF_peppers*(1-EXP(-s_RadSpec!AZ16*s_t_b)))/(s_P*s_RadSpec!AZ16))),0)</f>
        <v>2.6824597822007652</v>
      </c>
      <c r="AT16" s="115">
        <f>IFERROR(IF(d_Bv!U16=0,0,((s_Ir*s_F*s_MLF_potato*(1-EXP(-s_RadSpec!AZ16*s_t_b)))/(s_P*s_RadSpec!AZ16))),0)</f>
        <v>2.6824597822007652</v>
      </c>
      <c r="AU16" s="115">
        <f>IFERROR(IF(d_Bv!V16=0,0,((s_Ir*s_F*s_MLF_pumpkin*(1-EXP(-s_RadSpec!AZ16*s_t_b)))/(s_P*s_RadSpec!AZ16))),0)</f>
        <v>2.6824597822007652</v>
      </c>
      <c r="AV16" s="115">
        <f>IFERROR(IF(d_Bv!W16=0,0,((s_Ir*s_F*s_MLF_snap_bean*(1-EXP(-s_RadSpec!AZ16*s_t_b)))/(s_P*s_RadSpec!AZ16))),0)</f>
        <v>2.6824597822007652</v>
      </c>
      <c r="AW16" s="115">
        <f>IFERROR(IF(d_Bv!X16=0,0,((s_Ir*s_F*s_MLF_strawberry*(1-EXP(-s_RadSpec!AZ16*s_t_b)))/(s_P*s_RadSpec!AZ16))),0)</f>
        <v>2.6824597822007652</v>
      </c>
      <c r="AX16" s="115">
        <f>IFERROR(IF(d_Bv!Y16=0,0,((s_Ir*s_F*s_MLF_tomato*(1-EXP(-s_RadSpec!AZ16*s_t_b)))/(s_P*s_RadSpec!AZ16))),0)</f>
        <v>2.6824597822007652</v>
      </c>
      <c r="AY16" s="115">
        <f>IFERROR(IF(d_Bv!Z16=0,0,((s_Ir*s_F*s_MLF_rice*(1-EXP(-s_RadSpec!AZ16*s_t_b)))/(s_P*s_RadSpec!AZ16))),0)</f>
        <v>2.6824597822007652</v>
      </c>
      <c r="AZ16" s="115">
        <f>IFERROR(IF(d_Bv!AA16=0,0,((s_Ir*s_F*s_MLF_cereal*(1-EXP(-s_RadSpec!AZ16*s_t_b)))/(s_P*s_RadSpec!AZ16))),0)</f>
        <v>2.6824597822007652</v>
      </c>
      <c r="BA16" s="115">
        <f>IFERROR(IF(d_Bv!C16=0,0,((s_Ir*s_F*s_I_f*s_T*(1-EXP(-s_RadSpec!BA16*s_t_v)))/(s_Y_v*s_RadSpec!BA16))),0)</f>
        <v>9.0143481925428208</v>
      </c>
      <c r="BB16" s="115">
        <f>IFERROR(IF(d_Bv!D16=0,0,((s_Ir*s_F*s_I_f*s_T*(1-EXP(-s_RadSpec!BA16*s_t_v)))/(s_Y_v*s_RadSpec!BA16))),0)</f>
        <v>9.0143481925428208</v>
      </c>
      <c r="BC16" s="115">
        <f>IFERROR(IF(d_Bv!E16=0,0,((s_Ir*s_F*s_I_f*s_T*(1-EXP(-s_RadSpec!BA16*s_t_v)))/(s_Y_v*s_RadSpec!BA16))),0)</f>
        <v>9.0143481925428208</v>
      </c>
      <c r="BD16" s="115">
        <f>IFERROR(IF(d_Bv!F16=0,0,((s_Ir*s_F*s_I_f*s_T*(1-EXP(-s_RadSpec!BA16*s_t_v)))/(s_Y_v*s_RadSpec!BA16))),0)</f>
        <v>9.0143481925428208</v>
      </c>
      <c r="BE16" s="115">
        <f>IFERROR(IF(d_Bv!G16=0,0,((s_Ir*s_F*s_I_f*s_T*(1-EXP(-s_RadSpec!BA16*s_t_v)))/(s_Y_v*s_RadSpec!BA16))),0)</f>
        <v>9.0143481925428208</v>
      </c>
      <c r="BF16" s="115">
        <f>IFERROR(IF(d_Bv!H16=0,0,((s_Ir*s_F*s_I_f*s_T*(1-EXP(-s_RadSpec!BA16*s_t_v)))/(s_Y_v*s_RadSpec!BA16))),0)</f>
        <v>9.0143481925428208</v>
      </c>
      <c r="BG16" s="115">
        <f>IFERROR(IF(d_Bv!I16=0,0,((s_Ir*s_F*s_I_f*s_T*(1-EXP(-s_RadSpec!BA16*s_t_v)))/(s_Y_v*s_RadSpec!BA16))),0)</f>
        <v>9.0143481925428208</v>
      </c>
      <c r="BH16" s="115">
        <f>IFERROR(IF(d_Bv!J16=0,0,((s_Ir*s_F*s_I_f*s_T*(1-EXP(-s_RadSpec!BA16*s_t_v)))/(s_Y_v*s_RadSpec!BA16))),0)</f>
        <v>9.0143481925428208</v>
      </c>
      <c r="BI16" s="115">
        <f>IFERROR(IF(d_Bv!K16=0,0,((s_Ir*s_F*s_I_f*s_T*(1-EXP(-s_RadSpec!BA16*s_t_v)))/(s_Y_v*s_RadSpec!BA16))),0)</f>
        <v>9.0143481925428208</v>
      </c>
      <c r="BJ16" s="115">
        <f>IFERROR(IF(d_Bv!L16=0,0,((s_Ir*s_F*s_I_f*s_T*(1-EXP(-s_RadSpec!BA16*s_t_v)))/(s_Y_v*s_RadSpec!BA16))),0)</f>
        <v>9.0143481925428208</v>
      </c>
      <c r="BK16" s="115">
        <f>IFERROR(IF(d_Bv!M16=0,0,((s_Ir*s_F*s_I_f*s_T*(1-EXP(-s_RadSpec!BA16*s_t_v)))/(s_Y_v*s_RadSpec!BA16))),0)</f>
        <v>9.0143481925428208</v>
      </c>
      <c r="BL16" s="115">
        <f>IFERROR(IF(d_Bv!N16=0,0,((s_Ir*s_F*s_I_f*s_T*(1-EXP(-s_RadSpec!BA16*s_t_v)))/(s_Y_v*s_RadSpec!BA16))),0)</f>
        <v>9.0143481925428208</v>
      </c>
      <c r="BM16" s="115">
        <f>IFERROR(IF(d_Bv!O16=0,0,((s_Ir*s_F*s_I_f*s_T*(1-EXP(-s_RadSpec!BA16*s_t_v)))/(s_Y_v*s_RadSpec!BA16))),0)</f>
        <v>9.0143481925428208</v>
      </c>
      <c r="BN16" s="115">
        <f>IFERROR(IF(d_Bv!P16=0,0,((s_Ir*s_F*s_I_f*s_T*(1-EXP(-s_RadSpec!BA16*s_t_v)))/(s_Y_v*s_RadSpec!BA16))),0)</f>
        <v>9.0143481925428208</v>
      </c>
      <c r="BO16" s="115">
        <f>IFERROR(IF(d_Bv!Q16=0,0,((s_Ir*s_F*s_I_f*s_T*(1-EXP(-s_RadSpec!BA16*s_t_v)))/(s_Y_v*s_RadSpec!BA16))),0)</f>
        <v>9.0143481925428208</v>
      </c>
      <c r="BP16" s="115">
        <f>IFERROR(IF(d_Bv!R16=0,0,((s_Ir*s_F*s_I_f*s_T*(1-EXP(-s_RadSpec!BA16*s_t_v)))/(s_Y_v*s_RadSpec!BA16))),0)</f>
        <v>9.0143481925428208</v>
      </c>
      <c r="BQ16" s="115">
        <f>IFERROR(IF(d_Bv!S16=0,0,((s_Ir*s_F*s_I_f*s_T*(1-EXP(-s_RadSpec!BA16*s_t_v)))/(s_Y_v*s_RadSpec!BA16))),0)</f>
        <v>9.0143481925428208</v>
      </c>
      <c r="BR16" s="115">
        <f>IFERROR(IF(d_Bv!T16=0,0,((s_Ir*s_F*s_I_f*s_T*(1-EXP(-s_RadSpec!BA16*s_t_v)))/(s_Y_v*s_RadSpec!BA16))),0)</f>
        <v>9.0143481925428208</v>
      </c>
      <c r="BS16" s="115">
        <f>IFERROR(IF(d_Bv!U16=0,0,((s_Ir*s_F*s_I_f*s_T*(1-EXP(-s_RadSpec!BA16*s_t_v)))/(s_Y_v*s_RadSpec!BA16))),0)</f>
        <v>9.0143481925428208</v>
      </c>
      <c r="BT16" s="115">
        <f>IFERROR(IF(d_Bv!V16=0,0,((s_Ir*s_F*s_I_f*s_T*(1-EXP(-s_RadSpec!BA16*s_t_v)))/(s_Y_v*s_RadSpec!BA16))),0)</f>
        <v>9.0143481925428208</v>
      </c>
      <c r="BU16" s="115">
        <f>IFERROR(IF(d_Bv!W16=0,0,((s_Ir*s_F*s_I_f*s_T*(1-EXP(-s_RadSpec!BA16*s_t_v)))/(s_Y_v*s_RadSpec!BA16))),0)</f>
        <v>9.0143481925428208</v>
      </c>
      <c r="BV16" s="115">
        <f>IFERROR(IF(d_Bv!X16=0,0,((s_Ir*s_F*s_I_f*s_T*(1-EXP(-s_RadSpec!BA16*s_t_v)))/(s_Y_v*s_RadSpec!BA16))),0)</f>
        <v>9.0143481925428208</v>
      </c>
      <c r="BW16" s="115">
        <f>IFERROR(IF(d_Bv!Y16=0,0,((s_Ir*s_F*s_I_f*s_T*(1-EXP(-s_RadSpec!BA16*s_t_v)))/(s_Y_v*s_RadSpec!BA16))),0)</f>
        <v>9.0143481925428208</v>
      </c>
      <c r="BX16" s="115">
        <f>IFERROR(IF(d_Bv!Z16=0,0,((s_Ir*s_F*s_I_f*s_T*(1-EXP(-s_RadSpec!BA16*s_t_v)))/(s_Y_v*s_RadSpec!BA16))),0)</f>
        <v>9.0143481925428208</v>
      </c>
      <c r="BY16" s="115">
        <f>IFERROR(IF(d_Bv!AA16=0,0,((s_Ir*s_F*s_I_f*s_T*(1-EXP(-s_RadSpec!BA16*s_t_v)))/(s_Y_v*s_RadSpec!BA16))),0)</f>
        <v>9.0143481925428208</v>
      </c>
    </row>
    <row r="17" spans="1:77" x14ac:dyDescent="0.25">
      <c r="A17" s="44" t="s">
        <v>27</v>
      </c>
      <c r="B17" s="42" t="s">
        <v>1071</v>
      </c>
      <c r="C17" s="115">
        <f>IFERROR(IF(d_Bv!C17=0,0,((s_Ir*s_F*d_Bv!C17*(1-EXP(-s_RadSpec!$AZ17*s_t_b)))/(s_P*s_RadSpec!$AZ17))),0)</f>
        <v>1.9870072460746409</v>
      </c>
      <c r="D17" s="115">
        <f>IFERROR(IF(d_Bv!D17=0,0,((s_Ir*s_F*d_Bv!D17*(1-EXP(-s_RadSpec!AZ17*s_t_b)))/(s_P*s_RadSpec!AZ17))),0)</f>
        <v>15.896057968597127</v>
      </c>
      <c r="E17" s="115">
        <f>IFERROR(IF(d_Bv!E17=0,0,((s_Ir*s_F*d_Bv!E17*(1-EXP(-s_RadSpec!AZ17*s_t_b)))/(s_P*s_RadSpec!AZ17))),0)</f>
        <v>2.9805108691119608</v>
      </c>
      <c r="F17" s="115">
        <f>IFERROR(IF(d_Bv!F17=0,0,((s_Ir*s_F*d_Bv!F17*(1-EXP(-s_RadSpec!AZ17*s_t_b)))/(s_P*s_RadSpec!AZ17))),0)</f>
        <v>1.9870072460746409</v>
      </c>
      <c r="G17" s="115">
        <f>IFERROR(IF(d_Bv!G17=0,0,((s_Ir*s_F*d_Bv!G17*(1-EXP(-s_RadSpec!AZ17*s_t_b)))/(s_P*s_RadSpec!AZ17))),0)</f>
        <v>2.9805108691119608</v>
      </c>
      <c r="H17" s="115">
        <f>IFERROR(IF(d_Bv!H17=0,0,((s_Ir*s_F*d_Bv!H17*(1-EXP(-s_RadSpec!AZ17*s_t_b)))/(s_P*s_RadSpec!AZ17))),0)</f>
        <v>15.896057968597127</v>
      </c>
      <c r="I17" s="115">
        <f>IFERROR(IF(d_Bv!I17=0,0,((s_Ir*s_F*d_Bv!I17*(1-EXP(-s_RadSpec!AZ17*s_t_b)))/(s_P*s_RadSpec!AZ17))),0)</f>
        <v>2.9805108691119608</v>
      </c>
      <c r="J17" s="115">
        <f>IFERROR(IF(d_Bv!J17=0,0,((s_Ir*s_F*d_Bv!J17*(1-EXP(-s_RadSpec!AZ17*s_t_b)))/(s_P*s_RadSpec!AZ17))),0)</f>
        <v>1.9870072460746409</v>
      </c>
      <c r="K17" s="115">
        <f>IFERROR(IF(d_Bv!K17=0,0,((s_Ir*s_F*d_Bv!K17*(1-EXP(-s_RadSpec!AZ17*s_t_b)))/(s_P*s_RadSpec!AZ17))),0)</f>
        <v>0.23844086952895688</v>
      </c>
      <c r="L17" s="115">
        <f>IFERROR(IF(d_Bv!L17=0,0,((s_Ir*s_F*d_Bv!L17*(1-EXP(-s_RadSpec!AZ17*s_t_b)))/(s_P*s_RadSpec!AZ17))),0)</f>
        <v>2.9805108691119608</v>
      </c>
      <c r="M17" s="115">
        <f>IFERROR(IF(d_Bv!M17=0,0,((s_Ir*s_F*d_Bv!M17*(1-EXP(-s_RadSpec!AZ17*s_t_b)))/(s_P*s_RadSpec!AZ17))),0)</f>
        <v>15.896057968597127</v>
      </c>
      <c r="N17" s="115">
        <f>IFERROR(IF(d_Bv!N17=0,0,((s_Ir*s_F*d_Bv!N17*(1-EXP(-s_RadSpec!AZ17*s_t_b)))/(s_P*s_RadSpec!AZ17))),0)</f>
        <v>1.0531138404195597</v>
      </c>
      <c r="O17" s="115">
        <f>IFERROR(IF(d_Bv!O17=0,0,((s_Ir*s_F*d_Bv!O17*(1-EXP(-s_RadSpec!AZ17*s_t_b)))/(s_P*s_RadSpec!AZ17))),0)</f>
        <v>2.9805108691119608</v>
      </c>
      <c r="P17" s="115">
        <f>IFERROR(IF(d_Bv!P17=0,0,((s_Ir*s_F*d_Bv!P17*(1-EXP(-s_RadSpec!AZ17*s_t_b)))/(s_P*s_RadSpec!AZ17))),0)</f>
        <v>2.9805108691119608</v>
      </c>
      <c r="Q17" s="115">
        <f>IFERROR(IF(d_Bv!Q17=0,0,((s_Ir*s_F*d_Bv!Q17*(1-EXP(-s_RadSpec!AZ17*s_t_b)))/(s_P*s_RadSpec!AZ17))),0)</f>
        <v>1.9870072460746409</v>
      </c>
      <c r="R17" s="115">
        <f>IFERROR(IF(d_Bv!R17=0,0,((s_Ir*s_F*d_Bv!R17*(1-EXP(-s_RadSpec!AZ17*s_t_b)))/(s_P*s_RadSpec!AZ17))),0)</f>
        <v>1.9870072460746409</v>
      </c>
      <c r="S17" s="115">
        <f>IFERROR(IF(d_Bv!S17=0,0,((s_Ir*s_F*d_Bv!S17*(1-EXP(-s_RadSpec!AZ17*s_t_b)))/(s_P*s_RadSpec!AZ17))),0)</f>
        <v>1.0531138404195597</v>
      </c>
      <c r="T17" s="115">
        <f>IFERROR(IF(d_Bv!T17=0,0,((s_Ir*s_F*d_Bv!T17*(1-EXP(-s_RadSpec!AZ17*s_t_b)))/(s_P*s_RadSpec!AZ17))),0)</f>
        <v>2.9805108691119608</v>
      </c>
      <c r="U17" s="115">
        <f>IFERROR(IF(d_Bv!U17=0,0,((s_Ir*s_F*d_Bv!U17*(1-EXP(-s_RadSpec!AZ17*s_t_b)))/(s_P*s_RadSpec!AZ17))),0)</f>
        <v>0.29805108691119608</v>
      </c>
      <c r="V17" s="115">
        <f>IFERROR(IF(d_Bv!V17=0,0,((s_Ir*s_F*d_Bv!V17*(1-EXP(-s_RadSpec!AZ17*s_t_b)))/(s_P*s_RadSpec!AZ17))),0)</f>
        <v>2.9805108691119608</v>
      </c>
      <c r="W17" s="115">
        <f>IFERROR(IF(d_Bv!W17=0,0,((s_Ir*s_F*d_Bv!W17*(1-EXP(-s_RadSpec!AZ17*s_t_b)))/(s_P*s_RadSpec!AZ17))),0)</f>
        <v>1.0531138404195597</v>
      </c>
      <c r="X17" s="115">
        <f>IFERROR(IF(d_Bv!X17=0,0,((s_Ir*s_F*d_Bv!X17*(1-EXP(-s_RadSpec!AZ17*s_t_b)))/(s_P*s_RadSpec!AZ17))),0)</f>
        <v>1.9870072460746409</v>
      </c>
      <c r="Y17" s="115">
        <f>IFERROR(IF(d_Bv!Y17=0,0,((s_Ir*s_F*d_Bv!Y17*(1-EXP(-s_RadSpec!AZ17*s_t_b)))/(s_P*s_RadSpec!AZ17))),0)</f>
        <v>2.9805108691119608</v>
      </c>
      <c r="Z17" s="115">
        <f>IFERROR(IF(d_Bv!Z17=0,0,((s_Ir*s_F*d_Bv!Z17*(1-EXP(-s_RadSpec!AZ17*s_t_b)))/(s_P*s_RadSpec!AZ17))),0)</f>
        <v>5.7623210136164581E-2</v>
      </c>
      <c r="AA17" s="115">
        <f>IFERROR(IF(d_Bv!AA17=0,0,((s_Ir*s_F*d_Bv!AA17*(1-EXP(-s_RadSpec!AZ17*s_t_b)))/(s_P*s_RadSpec!AZ17))),0)</f>
        <v>2.1857079706821048</v>
      </c>
      <c r="AB17" s="115">
        <f>IFERROR(IF(d_Bv!C17=0,0,((s_Ir*s_F*s_MLF_apple*(1-EXP(-s_RadSpec!AZ17*s_t_b)))/(s_P*s_RadSpec!AZ17))),0)</f>
        <v>2.6824597822007652</v>
      </c>
      <c r="AC17" s="115">
        <f>IFERROR(IF(d_Bv!D17=0,0,((s_Ir*s_F*s_MLF_asparagus*(1-EXP(-s_RadSpec!AZ17*s_t_b)))/(s_P*s_RadSpec!AZ17))),0)</f>
        <v>2.6824597822007652</v>
      </c>
      <c r="AD17" s="115">
        <f>IFERROR(IF(d_Bv!E17=0,0,((s_Ir*s_F*s_MLF_beet*(1-EXP(-s_RadSpec!AZ17*s_t_b)))/(s_P*s_RadSpec!AZ17))),0)</f>
        <v>2.6824597822007652</v>
      </c>
      <c r="AE17" s="115">
        <f>IFERROR(IF(d_Bv!F17=0,0,((s_Ir*s_F*s_MLF_berries*(1-EXP(-s_RadSpec!AZ17*s_t_b)))/(s_P*s_RadSpec!AZ17))),0)</f>
        <v>2.6824597822007652</v>
      </c>
      <c r="AF17" s="115">
        <f>IFERROR(IF(d_Bv!G17=0,0,((s_Ir*s_F*s_MLF_broccoli*(1-EXP(-s_RadSpec!AZ17*s_t_b)))/(s_P*s_RadSpec!AZ17))),0)</f>
        <v>2.6824597822007652</v>
      </c>
      <c r="AG17" s="115">
        <f>IFERROR(IF(d_Bv!H17=0,0,((s_Ir*s_F*s_MLF_cabbage*(1-EXP(-s_RadSpec!AZ17*s_t_b)))/(s_P*s_RadSpec!AZ17))),0)</f>
        <v>2.6824597822007652</v>
      </c>
      <c r="AH17" s="115">
        <f>IFERROR(IF(d_Bv!I17=0,0,((s_Ir*s_F*s_MLF_carrot*(1-EXP(-s_RadSpec!AZ17*s_t_b)))/(s_P*s_RadSpec!AZ17))),0)</f>
        <v>2.6824597822007652</v>
      </c>
      <c r="AI17" s="115">
        <f>IFERROR(IF(d_Bv!J17=0,0,((s_Ir*s_F*s_MLF_citrus*(1-EXP(-s_RadSpec!AZ17*s_t_b)))/(s_P*s_RadSpec!AZ17))),0)</f>
        <v>2.6824597822007652</v>
      </c>
      <c r="AJ17" s="115">
        <f>IFERROR(IF(d_Bv!K17=0,0,((s_Ir*s_F*s_MLF_corn*(1-EXP(-s_RadSpec!AZ17*s_t_b)))/(s_P*s_RadSpec!AZ17))),0)</f>
        <v>2.6824597822007652</v>
      </c>
      <c r="AK17" s="115">
        <f>IFERROR(IF(d_Bv!L17=0,0,((s_Ir*s_F*s_MLF_cucumber*(1-EXP(-s_RadSpec!AZ17*s_t_b)))/(s_P*s_RadSpec!AZ17))),0)</f>
        <v>2.6824597822007652</v>
      </c>
      <c r="AL17" s="115">
        <f>IFERROR(IF(d_Bv!M17=0,0,((s_Ir*s_F*s_MLF_lettuce*(1-EXP(-s_RadSpec!AZ17*s_t_b)))/(s_P*s_RadSpec!AZ17))),0)</f>
        <v>2.6824597822007652</v>
      </c>
      <c r="AM17" s="115">
        <f>IFERROR(IF(d_Bv!N17=0,0,((s_Ir*s_F*s_MLF_lima_bean*(1-EXP(-s_RadSpec!AZ17*s_t_b)))/(s_P*s_RadSpec!AZ17))),0)</f>
        <v>2.6824597822007652</v>
      </c>
      <c r="AN17" s="115">
        <f>IFERROR(IF(d_Bv!O17=0,0,((s_Ir*s_F*s_MLF_okra*(1-EXP(-s_RadSpec!AZ17*s_t_b)))/(s_P*s_RadSpec!AZ17))),0)</f>
        <v>2.6824597822007652</v>
      </c>
      <c r="AO17" s="115">
        <f>IFERROR(IF(d_Bv!P17=0,0,((s_Ir*s_F*s_MLF_onion*(1-EXP(-s_RadSpec!AZ17*s_t_b)))/(s_P*s_RadSpec!AZ17))),0)</f>
        <v>2.6824597822007652</v>
      </c>
      <c r="AP17" s="115">
        <f>IFERROR(IF(d_Bv!Q17=0,0,((s_Ir*s_F*s_MLF_peach*(1-EXP(-s_RadSpec!AZ17*s_t_b)))/(s_P*s_RadSpec!AZ17))),0)</f>
        <v>2.6824597822007652</v>
      </c>
      <c r="AQ17" s="115">
        <f>IFERROR(IF(d_Bv!R17=0,0,((s_Ir*s_F*s_MLF_pear*(1-EXP(-s_RadSpec!AZ17*s_t_b)))/(s_P*s_RadSpec!AZ17))),0)</f>
        <v>2.6824597822007652</v>
      </c>
      <c r="AR17" s="115">
        <f>IFERROR(IF(d_Bv!S17=0,0,((s_Ir*s_F*s_MLF_peas*(1-EXP(-s_RadSpec!AZ17*s_t_b)))/(s_P*s_RadSpec!AZ17))),0)</f>
        <v>2.6824597822007652</v>
      </c>
      <c r="AS17" s="115">
        <f>IFERROR(IF(d_Bv!T17=0,0,((s_Ir*s_F*s_MLF_peppers*(1-EXP(-s_RadSpec!AZ17*s_t_b)))/(s_P*s_RadSpec!AZ17))),0)</f>
        <v>2.6824597822007652</v>
      </c>
      <c r="AT17" s="115">
        <f>IFERROR(IF(d_Bv!U17=0,0,((s_Ir*s_F*s_MLF_potato*(1-EXP(-s_RadSpec!AZ17*s_t_b)))/(s_P*s_RadSpec!AZ17))),0)</f>
        <v>2.6824597822007652</v>
      </c>
      <c r="AU17" s="115">
        <f>IFERROR(IF(d_Bv!V17=0,0,((s_Ir*s_F*s_MLF_pumpkin*(1-EXP(-s_RadSpec!AZ17*s_t_b)))/(s_P*s_RadSpec!AZ17))),0)</f>
        <v>2.6824597822007652</v>
      </c>
      <c r="AV17" s="115">
        <f>IFERROR(IF(d_Bv!W17=0,0,((s_Ir*s_F*s_MLF_snap_bean*(1-EXP(-s_RadSpec!AZ17*s_t_b)))/(s_P*s_RadSpec!AZ17))),0)</f>
        <v>2.6824597822007652</v>
      </c>
      <c r="AW17" s="115">
        <f>IFERROR(IF(d_Bv!X17=0,0,((s_Ir*s_F*s_MLF_strawberry*(1-EXP(-s_RadSpec!AZ17*s_t_b)))/(s_P*s_RadSpec!AZ17))),0)</f>
        <v>2.6824597822007652</v>
      </c>
      <c r="AX17" s="115">
        <f>IFERROR(IF(d_Bv!Y17=0,0,((s_Ir*s_F*s_MLF_tomato*(1-EXP(-s_RadSpec!AZ17*s_t_b)))/(s_P*s_RadSpec!AZ17))),0)</f>
        <v>2.6824597822007652</v>
      </c>
      <c r="AY17" s="115">
        <f>IFERROR(IF(d_Bv!Z17=0,0,((s_Ir*s_F*s_MLF_rice*(1-EXP(-s_RadSpec!AZ17*s_t_b)))/(s_P*s_RadSpec!AZ17))),0)</f>
        <v>2.6824597822007652</v>
      </c>
      <c r="AZ17" s="115">
        <f>IFERROR(IF(d_Bv!AA17=0,0,((s_Ir*s_F*s_MLF_cereal*(1-EXP(-s_RadSpec!AZ17*s_t_b)))/(s_P*s_RadSpec!AZ17))),0)</f>
        <v>2.6824597822007652</v>
      </c>
      <c r="BA17" s="115">
        <f>IFERROR(IF(d_Bv!C17=0,0,((s_Ir*s_F*s_I_f*s_T*(1-EXP(-s_RadSpec!BA17*s_t_v)))/(s_Y_v*s_RadSpec!BA17))),0)</f>
        <v>9.0143481925428208</v>
      </c>
      <c r="BB17" s="115">
        <f>IFERROR(IF(d_Bv!D17=0,0,((s_Ir*s_F*s_I_f*s_T*(1-EXP(-s_RadSpec!BA17*s_t_v)))/(s_Y_v*s_RadSpec!BA17))),0)</f>
        <v>9.0143481925428208</v>
      </c>
      <c r="BC17" s="115">
        <f>IFERROR(IF(d_Bv!E17=0,0,((s_Ir*s_F*s_I_f*s_T*(1-EXP(-s_RadSpec!BA17*s_t_v)))/(s_Y_v*s_RadSpec!BA17))),0)</f>
        <v>9.0143481925428208</v>
      </c>
      <c r="BD17" s="115">
        <f>IFERROR(IF(d_Bv!F17=0,0,((s_Ir*s_F*s_I_f*s_T*(1-EXP(-s_RadSpec!BA17*s_t_v)))/(s_Y_v*s_RadSpec!BA17))),0)</f>
        <v>9.0143481925428208</v>
      </c>
      <c r="BE17" s="115">
        <f>IFERROR(IF(d_Bv!G17=0,0,((s_Ir*s_F*s_I_f*s_T*(1-EXP(-s_RadSpec!BA17*s_t_v)))/(s_Y_v*s_RadSpec!BA17))),0)</f>
        <v>9.0143481925428208</v>
      </c>
      <c r="BF17" s="115">
        <f>IFERROR(IF(d_Bv!H17=0,0,((s_Ir*s_F*s_I_f*s_T*(1-EXP(-s_RadSpec!BA17*s_t_v)))/(s_Y_v*s_RadSpec!BA17))),0)</f>
        <v>9.0143481925428208</v>
      </c>
      <c r="BG17" s="115">
        <f>IFERROR(IF(d_Bv!I17=0,0,((s_Ir*s_F*s_I_f*s_T*(1-EXP(-s_RadSpec!BA17*s_t_v)))/(s_Y_v*s_RadSpec!BA17))),0)</f>
        <v>9.0143481925428208</v>
      </c>
      <c r="BH17" s="115">
        <f>IFERROR(IF(d_Bv!J17=0,0,((s_Ir*s_F*s_I_f*s_T*(1-EXP(-s_RadSpec!BA17*s_t_v)))/(s_Y_v*s_RadSpec!BA17))),0)</f>
        <v>9.0143481925428208</v>
      </c>
      <c r="BI17" s="115">
        <f>IFERROR(IF(d_Bv!K17=0,0,((s_Ir*s_F*s_I_f*s_T*(1-EXP(-s_RadSpec!BA17*s_t_v)))/(s_Y_v*s_RadSpec!BA17))),0)</f>
        <v>9.0143481925428208</v>
      </c>
      <c r="BJ17" s="115">
        <f>IFERROR(IF(d_Bv!L17=0,0,((s_Ir*s_F*s_I_f*s_T*(1-EXP(-s_RadSpec!BA17*s_t_v)))/(s_Y_v*s_RadSpec!BA17))),0)</f>
        <v>9.0143481925428208</v>
      </c>
      <c r="BK17" s="115">
        <f>IFERROR(IF(d_Bv!M17=0,0,((s_Ir*s_F*s_I_f*s_T*(1-EXP(-s_RadSpec!BA17*s_t_v)))/(s_Y_v*s_RadSpec!BA17))),0)</f>
        <v>9.0143481925428208</v>
      </c>
      <c r="BL17" s="115">
        <f>IFERROR(IF(d_Bv!N17=0,0,((s_Ir*s_F*s_I_f*s_T*(1-EXP(-s_RadSpec!BA17*s_t_v)))/(s_Y_v*s_RadSpec!BA17))),0)</f>
        <v>9.0143481925428208</v>
      </c>
      <c r="BM17" s="115">
        <f>IFERROR(IF(d_Bv!O17=0,0,((s_Ir*s_F*s_I_f*s_T*(1-EXP(-s_RadSpec!BA17*s_t_v)))/(s_Y_v*s_RadSpec!BA17))),0)</f>
        <v>9.0143481925428208</v>
      </c>
      <c r="BN17" s="115">
        <f>IFERROR(IF(d_Bv!P17=0,0,((s_Ir*s_F*s_I_f*s_T*(1-EXP(-s_RadSpec!BA17*s_t_v)))/(s_Y_v*s_RadSpec!BA17))),0)</f>
        <v>9.0143481925428208</v>
      </c>
      <c r="BO17" s="115">
        <f>IFERROR(IF(d_Bv!Q17=0,0,((s_Ir*s_F*s_I_f*s_T*(1-EXP(-s_RadSpec!BA17*s_t_v)))/(s_Y_v*s_RadSpec!BA17))),0)</f>
        <v>9.0143481925428208</v>
      </c>
      <c r="BP17" s="115">
        <f>IFERROR(IF(d_Bv!R17=0,0,((s_Ir*s_F*s_I_f*s_T*(1-EXP(-s_RadSpec!BA17*s_t_v)))/(s_Y_v*s_RadSpec!BA17))),0)</f>
        <v>9.0143481925428208</v>
      </c>
      <c r="BQ17" s="115">
        <f>IFERROR(IF(d_Bv!S17=0,0,((s_Ir*s_F*s_I_f*s_T*(1-EXP(-s_RadSpec!BA17*s_t_v)))/(s_Y_v*s_RadSpec!BA17))),0)</f>
        <v>9.0143481925428208</v>
      </c>
      <c r="BR17" s="115">
        <f>IFERROR(IF(d_Bv!T17=0,0,((s_Ir*s_F*s_I_f*s_T*(1-EXP(-s_RadSpec!BA17*s_t_v)))/(s_Y_v*s_RadSpec!BA17))),0)</f>
        <v>9.0143481925428208</v>
      </c>
      <c r="BS17" s="115">
        <f>IFERROR(IF(d_Bv!U17=0,0,((s_Ir*s_F*s_I_f*s_T*(1-EXP(-s_RadSpec!BA17*s_t_v)))/(s_Y_v*s_RadSpec!BA17))),0)</f>
        <v>9.0143481925428208</v>
      </c>
      <c r="BT17" s="115">
        <f>IFERROR(IF(d_Bv!V17=0,0,((s_Ir*s_F*s_I_f*s_T*(1-EXP(-s_RadSpec!BA17*s_t_v)))/(s_Y_v*s_RadSpec!BA17))),0)</f>
        <v>9.0143481925428208</v>
      </c>
      <c r="BU17" s="115">
        <f>IFERROR(IF(d_Bv!W17=0,0,((s_Ir*s_F*s_I_f*s_T*(1-EXP(-s_RadSpec!BA17*s_t_v)))/(s_Y_v*s_RadSpec!BA17))),0)</f>
        <v>9.0143481925428208</v>
      </c>
      <c r="BV17" s="115">
        <f>IFERROR(IF(d_Bv!X17=0,0,((s_Ir*s_F*s_I_f*s_T*(1-EXP(-s_RadSpec!BA17*s_t_v)))/(s_Y_v*s_RadSpec!BA17))),0)</f>
        <v>9.0143481925428208</v>
      </c>
      <c r="BW17" s="115">
        <f>IFERROR(IF(d_Bv!Y17=0,0,((s_Ir*s_F*s_I_f*s_T*(1-EXP(-s_RadSpec!BA17*s_t_v)))/(s_Y_v*s_RadSpec!BA17))),0)</f>
        <v>9.0143481925428208</v>
      </c>
      <c r="BX17" s="115">
        <f>IFERROR(IF(d_Bv!Z17=0,0,((s_Ir*s_F*s_I_f*s_T*(1-EXP(-s_RadSpec!BA17*s_t_v)))/(s_Y_v*s_RadSpec!BA17))),0)</f>
        <v>9.0143481925428208</v>
      </c>
      <c r="BY17" s="115">
        <f>IFERROR(IF(d_Bv!AA17=0,0,((s_Ir*s_F*s_I_f*s_T*(1-EXP(-s_RadSpec!BA17*s_t_v)))/(s_Y_v*s_RadSpec!BA17))),0)</f>
        <v>9.0143481925428208</v>
      </c>
    </row>
    <row r="18" spans="1:77" x14ac:dyDescent="0.25">
      <c r="A18" s="44" t="s">
        <v>28</v>
      </c>
      <c r="B18" s="42" t="s">
        <v>1071</v>
      </c>
      <c r="C18" s="115">
        <f>IFERROR(IF(d_Bv!C18=0,0,((s_Ir*s_F*d_Bv!C18*(1-EXP(-s_RadSpec!$AZ18*s_t_b)))/(s_P*s_RadSpec!$AZ18))),0)</f>
        <v>3.9740144921492811E-2</v>
      </c>
      <c r="D18" s="115">
        <f>IFERROR(IF(d_Bv!D18=0,0,((s_Ir*s_F*d_Bv!D18*(1-EXP(-s_RadSpec!AZ18*s_t_b)))/(s_P*s_RadSpec!AZ18))),0)</f>
        <v>1.4703853620952343</v>
      </c>
      <c r="E18" s="115">
        <f>IFERROR(IF(d_Bv!E18=0,0,((s_Ir*s_F*d_Bv!E18*(1-EXP(-s_RadSpec!AZ18*s_t_b)))/(s_P*s_RadSpec!AZ18))),0)</f>
        <v>1.1524642027232916</v>
      </c>
      <c r="F18" s="115">
        <f>IFERROR(IF(d_Bv!F18=0,0,((s_Ir*s_F*d_Bv!F18*(1-EXP(-s_RadSpec!AZ18*s_t_b)))/(s_P*s_RadSpec!AZ18))),0)</f>
        <v>3.9740144921492811E-2</v>
      </c>
      <c r="G18" s="115">
        <f>IFERROR(IF(d_Bv!G18=0,0,((s_Ir*s_F*d_Bv!G18*(1-EXP(-s_RadSpec!AZ18*s_t_b)))/(s_P*s_RadSpec!AZ18))),0)</f>
        <v>3.9740144921492811E-2</v>
      </c>
      <c r="H18" s="115">
        <f>IFERROR(IF(d_Bv!H18=0,0,((s_Ir*s_F*d_Bv!H18*(1-EXP(-s_RadSpec!AZ18*s_t_b)))/(s_P*s_RadSpec!AZ18))),0)</f>
        <v>1.4703853620952343</v>
      </c>
      <c r="I18" s="115">
        <f>IFERROR(IF(d_Bv!I18=0,0,((s_Ir*s_F*d_Bv!I18*(1-EXP(-s_RadSpec!AZ18*s_t_b)))/(s_P*s_RadSpec!AZ18))),0)</f>
        <v>1.1524642027232916</v>
      </c>
      <c r="J18" s="115">
        <f>IFERROR(IF(d_Bv!J18=0,0,((s_Ir*s_F*d_Bv!J18*(1-EXP(-s_RadSpec!AZ18*s_t_b)))/(s_P*s_RadSpec!AZ18))),0)</f>
        <v>3.9740144921492811E-2</v>
      </c>
      <c r="K18" s="115">
        <f>IFERROR(IF(d_Bv!K18=0,0,((s_Ir*s_F*d_Bv!K18*(1-EXP(-s_RadSpec!AZ18*s_t_b)))/(s_P*s_RadSpec!AZ18))),0)</f>
        <v>4.768817390579138E-2</v>
      </c>
      <c r="L18" s="115">
        <f>IFERROR(IF(d_Bv!L18=0,0,((s_Ir*s_F*d_Bv!L18*(1-EXP(-s_RadSpec!AZ18*s_t_b)))/(s_P*s_RadSpec!AZ18))),0)</f>
        <v>3.9740144921492811E-2</v>
      </c>
      <c r="M18" s="115">
        <f>IFERROR(IF(d_Bv!M18=0,0,((s_Ir*s_F*d_Bv!M18*(1-EXP(-s_RadSpec!AZ18*s_t_b)))/(s_P*s_RadSpec!AZ18))),0)</f>
        <v>1.4703853620952343</v>
      </c>
      <c r="N18" s="115">
        <f>IFERROR(IF(d_Bv!N18=0,0,((s_Ir*s_F*d_Bv!N18*(1-EXP(-s_RadSpec!AZ18*s_t_b)))/(s_P*s_RadSpec!AZ18))),0)</f>
        <v>5.364919564401531E-2</v>
      </c>
      <c r="O18" s="115">
        <f>IFERROR(IF(d_Bv!O18=0,0,((s_Ir*s_F*d_Bv!O18*(1-EXP(-s_RadSpec!AZ18*s_t_b)))/(s_P*s_RadSpec!AZ18))),0)</f>
        <v>3.9740144921492811E-2</v>
      </c>
      <c r="P18" s="115">
        <f>IFERROR(IF(d_Bv!P18=0,0,((s_Ir*s_F*d_Bv!P18*(1-EXP(-s_RadSpec!AZ18*s_t_b)))/(s_P*s_RadSpec!AZ18))),0)</f>
        <v>1.1524642027232916</v>
      </c>
      <c r="Q18" s="115">
        <f>IFERROR(IF(d_Bv!Q18=0,0,((s_Ir*s_F*d_Bv!Q18*(1-EXP(-s_RadSpec!AZ18*s_t_b)))/(s_P*s_RadSpec!AZ18))),0)</f>
        <v>3.9740144921492811E-2</v>
      </c>
      <c r="R18" s="115">
        <f>IFERROR(IF(d_Bv!R18=0,0,((s_Ir*s_F*d_Bv!R18*(1-EXP(-s_RadSpec!AZ18*s_t_b)))/(s_P*s_RadSpec!AZ18))),0)</f>
        <v>3.9740144921492811E-2</v>
      </c>
      <c r="S18" s="115">
        <f>IFERROR(IF(d_Bv!S18=0,0,((s_Ir*s_F*d_Bv!S18*(1-EXP(-s_RadSpec!AZ18*s_t_b)))/(s_P*s_RadSpec!AZ18))),0)</f>
        <v>5.364919564401531E-2</v>
      </c>
      <c r="T18" s="115">
        <f>IFERROR(IF(d_Bv!T18=0,0,((s_Ir*s_F*d_Bv!T18*(1-EXP(-s_RadSpec!AZ18*s_t_b)))/(s_P*s_RadSpec!AZ18))),0)</f>
        <v>3.9740144921492811E-2</v>
      </c>
      <c r="U18" s="115">
        <f>IFERROR(IF(d_Bv!U18=0,0,((s_Ir*s_F*d_Bv!U18*(1-EXP(-s_RadSpec!AZ18*s_t_b)))/(s_P*s_RadSpec!AZ18))),0)</f>
        <v>0.53649195644015302</v>
      </c>
      <c r="V18" s="115">
        <f>IFERROR(IF(d_Bv!V18=0,0,((s_Ir*s_F*d_Bv!V18*(1-EXP(-s_RadSpec!AZ18*s_t_b)))/(s_P*s_RadSpec!AZ18))),0)</f>
        <v>3.9740144921492811E-2</v>
      </c>
      <c r="W18" s="115">
        <f>IFERROR(IF(d_Bv!W18=0,0,((s_Ir*s_F*d_Bv!W18*(1-EXP(-s_RadSpec!AZ18*s_t_b)))/(s_P*s_RadSpec!AZ18))),0)</f>
        <v>5.364919564401531E-2</v>
      </c>
      <c r="X18" s="115">
        <f>IFERROR(IF(d_Bv!X18=0,0,((s_Ir*s_F*d_Bv!X18*(1-EXP(-s_RadSpec!AZ18*s_t_b)))/(s_P*s_RadSpec!AZ18))),0)</f>
        <v>3.9740144921492811E-2</v>
      </c>
      <c r="Y18" s="115">
        <f>IFERROR(IF(d_Bv!Y18=0,0,((s_Ir*s_F*d_Bv!Y18*(1-EXP(-s_RadSpec!AZ18*s_t_b)))/(s_P*s_RadSpec!AZ18))),0)</f>
        <v>3.9740144921492811E-2</v>
      </c>
      <c r="Z18" s="115">
        <f>IFERROR(IF(d_Bv!Z18=0,0,((s_Ir*s_F*d_Bv!Z18*(1-EXP(-s_RadSpec!AZ18*s_t_b)))/(s_P*s_RadSpec!AZ18))),0)</f>
        <v>2.583109419897033</v>
      </c>
      <c r="AA18" s="115">
        <f>IFERROR(IF(d_Bv!AA18=0,0,((s_Ir*s_F*d_Bv!AA18*(1-EXP(-s_RadSpec!AZ18*s_t_b)))/(s_P*s_RadSpec!AZ18))),0)</f>
        <v>4.768817390579138E-2</v>
      </c>
      <c r="AB18" s="115">
        <f>IFERROR(IF(d_Bv!C18=0,0,((s_Ir*s_F*s_MLF_apple*(1-EXP(-s_RadSpec!AZ18*s_t_b)))/(s_P*s_RadSpec!AZ18))),0)</f>
        <v>2.6824597822007652</v>
      </c>
      <c r="AC18" s="115">
        <f>IFERROR(IF(d_Bv!D18=0,0,((s_Ir*s_F*s_MLF_asparagus*(1-EXP(-s_RadSpec!AZ18*s_t_b)))/(s_P*s_RadSpec!AZ18))),0)</f>
        <v>2.6824597822007652</v>
      </c>
      <c r="AD18" s="115">
        <f>IFERROR(IF(d_Bv!E18=0,0,((s_Ir*s_F*s_MLF_beet*(1-EXP(-s_RadSpec!AZ18*s_t_b)))/(s_P*s_RadSpec!AZ18))),0)</f>
        <v>2.6824597822007652</v>
      </c>
      <c r="AE18" s="115">
        <f>IFERROR(IF(d_Bv!F18=0,0,((s_Ir*s_F*s_MLF_berries*(1-EXP(-s_RadSpec!AZ18*s_t_b)))/(s_P*s_RadSpec!AZ18))),0)</f>
        <v>2.6824597822007652</v>
      </c>
      <c r="AF18" s="115">
        <f>IFERROR(IF(d_Bv!G18=0,0,((s_Ir*s_F*s_MLF_broccoli*(1-EXP(-s_RadSpec!AZ18*s_t_b)))/(s_P*s_RadSpec!AZ18))),0)</f>
        <v>2.6824597822007652</v>
      </c>
      <c r="AG18" s="115">
        <f>IFERROR(IF(d_Bv!H18=0,0,((s_Ir*s_F*s_MLF_cabbage*(1-EXP(-s_RadSpec!AZ18*s_t_b)))/(s_P*s_RadSpec!AZ18))),0)</f>
        <v>2.6824597822007652</v>
      </c>
      <c r="AH18" s="115">
        <f>IFERROR(IF(d_Bv!I18=0,0,((s_Ir*s_F*s_MLF_carrot*(1-EXP(-s_RadSpec!AZ18*s_t_b)))/(s_P*s_RadSpec!AZ18))),0)</f>
        <v>2.6824597822007652</v>
      </c>
      <c r="AI18" s="115">
        <f>IFERROR(IF(d_Bv!J18=0,0,((s_Ir*s_F*s_MLF_citrus*(1-EXP(-s_RadSpec!AZ18*s_t_b)))/(s_P*s_RadSpec!AZ18))),0)</f>
        <v>2.6824597822007652</v>
      </c>
      <c r="AJ18" s="115">
        <f>IFERROR(IF(d_Bv!K18=0,0,((s_Ir*s_F*s_MLF_corn*(1-EXP(-s_RadSpec!AZ18*s_t_b)))/(s_P*s_RadSpec!AZ18))),0)</f>
        <v>2.6824597822007652</v>
      </c>
      <c r="AK18" s="115">
        <f>IFERROR(IF(d_Bv!L18=0,0,((s_Ir*s_F*s_MLF_cucumber*(1-EXP(-s_RadSpec!AZ18*s_t_b)))/(s_P*s_RadSpec!AZ18))),0)</f>
        <v>2.6824597822007652</v>
      </c>
      <c r="AL18" s="115">
        <f>IFERROR(IF(d_Bv!M18=0,0,((s_Ir*s_F*s_MLF_lettuce*(1-EXP(-s_RadSpec!AZ18*s_t_b)))/(s_P*s_RadSpec!AZ18))),0)</f>
        <v>2.6824597822007652</v>
      </c>
      <c r="AM18" s="115">
        <f>IFERROR(IF(d_Bv!N18=0,0,((s_Ir*s_F*s_MLF_lima_bean*(1-EXP(-s_RadSpec!AZ18*s_t_b)))/(s_P*s_RadSpec!AZ18))),0)</f>
        <v>2.6824597822007652</v>
      </c>
      <c r="AN18" s="115">
        <f>IFERROR(IF(d_Bv!O18=0,0,((s_Ir*s_F*s_MLF_okra*(1-EXP(-s_RadSpec!AZ18*s_t_b)))/(s_P*s_RadSpec!AZ18))),0)</f>
        <v>2.6824597822007652</v>
      </c>
      <c r="AO18" s="115">
        <f>IFERROR(IF(d_Bv!P18=0,0,((s_Ir*s_F*s_MLF_onion*(1-EXP(-s_RadSpec!AZ18*s_t_b)))/(s_P*s_RadSpec!AZ18))),0)</f>
        <v>2.6824597822007652</v>
      </c>
      <c r="AP18" s="115">
        <f>IFERROR(IF(d_Bv!Q18=0,0,((s_Ir*s_F*s_MLF_peach*(1-EXP(-s_RadSpec!AZ18*s_t_b)))/(s_P*s_RadSpec!AZ18))),0)</f>
        <v>2.6824597822007652</v>
      </c>
      <c r="AQ18" s="115">
        <f>IFERROR(IF(d_Bv!R18=0,0,((s_Ir*s_F*s_MLF_pear*(1-EXP(-s_RadSpec!AZ18*s_t_b)))/(s_P*s_RadSpec!AZ18))),0)</f>
        <v>2.6824597822007652</v>
      </c>
      <c r="AR18" s="115">
        <f>IFERROR(IF(d_Bv!S18=0,0,((s_Ir*s_F*s_MLF_peas*(1-EXP(-s_RadSpec!AZ18*s_t_b)))/(s_P*s_RadSpec!AZ18))),0)</f>
        <v>2.6824597822007652</v>
      </c>
      <c r="AS18" s="115">
        <f>IFERROR(IF(d_Bv!T18=0,0,((s_Ir*s_F*s_MLF_peppers*(1-EXP(-s_RadSpec!AZ18*s_t_b)))/(s_P*s_RadSpec!AZ18))),0)</f>
        <v>2.6824597822007652</v>
      </c>
      <c r="AT18" s="115">
        <f>IFERROR(IF(d_Bv!U18=0,0,((s_Ir*s_F*s_MLF_potato*(1-EXP(-s_RadSpec!AZ18*s_t_b)))/(s_P*s_RadSpec!AZ18))),0)</f>
        <v>2.6824597822007652</v>
      </c>
      <c r="AU18" s="115">
        <f>IFERROR(IF(d_Bv!V18=0,0,((s_Ir*s_F*s_MLF_pumpkin*(1-EXP(-s_RadSpec!AZ18*s_t_b)))/(s_P*s_RadSpec!AZ18))),0)</f>
        <v>2.6824597822007652</v>
      </c>
      <c r="AV18" s="115">
        <f>IFERROR(IF(d_Bv!W18=0,0,((s_Ir*s_F*s_MLF_snap_bean*(1-EXP(-s_RadSpec!AZ18*s_t_b)))/(s_P*s_RadSpec!AZ18))),0)</f>
        <v>2.6824597822007652</v>
      </c>
      <c r="AW18" s="115">
        <f>IFERROR(IF(d_Bv!X18=0,0,((s_Ir*s_F*s_MLF_strawberry*(1-EXP(-s_RadSpec!AZ18*s_t_b)))/(s_P*s_RadSpec!AZ18))),0)</f>
        <v>2.6824597822007652</v>
      </c>
      <c r="AX18" s="115">
        <f>IFERROR(IF(d_Bv!Y18=0,0,((s_Ir*s_F*s_MLF_tomato*(1-EXP(-s_RadSpec!AZ18*s_t_b)))/(s_P*s_RadSpec!AZ18))),0)</f>
        <v>2.6824597822007652</v>
      </c>
      <c r="AY18" s="115">
        <f>IFERROR(IF(d_Bv!Z18=0,0,((s_Ir*s_F*s_MLF_rice*(1-EXP(-s_RadSpec!AZ18*s_t_b)))/(s_P*s_RadSpec!AZ18))),0)</f>
        <v>2.6824597822007652</v>
      </c>
      <c r="AZ18" s="115">
        <f>IFERROR(IF(d_Bv!AA18=0,0,((s_Ir*s_F*s_MLF_cereal*(1-EXP(-s_RadSpec!AZ18*s_t_b)))/(s_P*s_RadSpec!AZ18))),0)</f>
        <v>2.6824597822007652</v>
      </c>
      <c r="BA18" s="115">
        <f>IFERROR(IF(d_Bv!C18=0,0,((s_Ir*s_F*s_I_f*s_T*(1-EXP(-s_RadSpec!BA18*s_t_v)))/(s_Y_v*s_RadSpec!BA18))),0)</f>
        <v>9.0143481925428208</v>
      </c>
      <c r="BB18" s="115">
        <f>IFERROR(IF(d_Bv!D18=0,0,((s_Ir*s_F*s_I_f*s_T*(1-EXP(-s_RadSpec!BA18*s_t_v)))/(s_Y_v*s_RadSpec!BA18))),0)</f>
        <v>9.0143481925428208</v>
      </c>
      <c r="BC18" s="115">
        <f>IFERROR(IF(d_Bv!E18=0,0,((s_Ir*s_F*s_I_f*s_T*(1-EXP(-s_RadSpec!BA18*s_t_v)))/(s_Y_v*s_RadSpec!BA18))),0)</f>
        <v>9.0143481925428208</v>
      </c>
      <c r="BD18" s="115">
        <f>IFERROR(IF(d_Bv!F18=0,0,((s_Ir*s_F*s_I_f*s_T*(1-EXP(-s_RadSpec!BA18*s_t_v)))/(s_Y_v*s_RadSpec!BA18))),0)</f>
        <v>9.0143481925428208</v>
      </c>
      <c r="BE18" s="115">
        <f>IFERROR(IF(d_Bv!G18=0,0,((s_Ir*s_F*s_I_f*s_T*(1-EXP(-s_RadSpec!BA18*s_t_v)))/(s_Y_v*s_RadSpec!BA18))),0)</f>
        <v>9.0143481925428208</v>
      </c>
      <c r="BF18" s="115">
        <f>IFERROR(IF(d_Bv!H18=0,0,((s_Ir*s_F*s_I_f*s_T*(1-EXP(-s_RadSpec!BA18*s_t_v)))/(s_Y_v*s_RadSpec!BA18))),0)</f>
        <v>9.0143481925428208</v>
      </c>
      <c r="BG18" s="115">
        <f>IFERROR(IF(d_Bv!I18=0,0,((s_Ir*s_F*s_I_f*s_T*(1-EXP(-s_RadSpec!BA18*s_t_v)))/(s_Y_v*s_RadSpec!BA18))),0)</f>
        <v>9.0143481925428208</v>
      </c>
      <c r="BH18" s="115">
        <f>IFERROR(IF(d_Bv!J18=0,0,((s_Ir*s_F*s_I_f*s_T*(1-EXP(-s_RadSpec!BA18*s_t_v)))/(s_Y_v*s_RadSpec!BA18))),0)</f>
        <v>9.0143481925428208</v>
      </c>
      <c r="BI18" s="115">
        <f>IFERROR(IF(d_Bv!K18=0,0,((s_Ir*s_F*s_I_f*s_T*(1-EXP(-s_RadSpec!BA18*s_t_v)))/(s_Y_v*s_RadSpec!BA18))),0)</f>
        <v>9.0143481925428208</v>
      </c>
      <c r="BJ18" s="115">
        <f>IFERROR(IF(d_Bv!L18=0,0,((s_Ir*s_F*s_I_f*s_T*(1-EXP(-s_RadSpec!BA18*s_t_v)))/(s_Y_v*s_RadSpec!BA18))),0)</f>
        <v>9.0143481925428208</v>
      </c>
      <c r="BK18" s="115">
        <f>IFERROR(IF(d_Bv!M18=0,0,((s_Ir*s_F*s_I_f*s_T*(1-EXP(-s_RadSpec!BA18*s_t_v)))/(s_Y_v*s_RadSpec!BA18))),0)</f>
        <v>9.0143481925428208</v>
      </c>
      <c r="BL18" s="115">
        <f>IFERROR(IF(d_Bv!N18=0,0,((s_Ir*s_F*s_I_f*s_T*(1-EXP(-s_RadSpec!BA18*s_t_v)))/(s_Y_v*s_RadSpec!BA18))),0)</f>
        <v>9.0143481925428208</v>
      </c>
      <c r="BM18" s="115">
        <f>IFERROR(IF(d_Bv!O18=0,0,((s_Ir*s_F*s_I_f*s_T*(1-EXP(-s_RadSpec!BA18*s_t_v)))/(s_Y_v*s_RadSpec!BA18))),0)</f>
        <v>9.0143481925428208</v>
      </c>
      <c r="BN18" s="115">
        <f>IFERROR(IF(d_Bv!P18=0,0,((s_Ir*s_F*s_I_f*s_T*(1-EXP(-s_RadSpec!BA18*s_t_v)))/(s_Y_v*s_RadSpec!BA18))),0)</f>
        <v>9.0143481925428208</v>
      </c>
      <c r="BO18" s="115">
        <f>IFERROR(IF(d_Bv!Q18=0,0,((s_Ir*s_F*s_I_f*s_T*(1-EXP(-s_RadSpec!BA18*s_t_v)))/(s_Y_v*s_RadSpec!BA18))),0)</f>
        <v>9.0143481925428208</v>
      </c>
      <c r="BP18" s="115">
        <f>IFERROR(IF(d_Bv!R18=0,0,((s_Ir*s_F*s_I_f*s_T*(1-EXP(-s_RadSpec!BA18*s_t_v)))/(s_Y_v*s_RadSpec!BA18))),0)</f>
        <v>9.0143481925428208</v>
      </c>
      <c r="BQ18" s="115">
        <f>IFERROR(IF(d_Bv!S18=0,0,((s_Ir*s_F*s_I_f*s_T*(1-EXP(-s_RadSpec!BA18*s_t_v)))/(s_Y_v*s_RadSpec!BA18))),0)</f>
        <v>9.0143481925428208</v>
      </c>
      <c r="BR18" s="115">
        <f>IFERROR(IF(d_Bv!T18=0,0,((s_Ir*s_F*s_I_f*s_T*(1-EXP(-s_RadSpec!BA18*s_t_v)))/(s_Y_v*s_RadSpec!BA18))),0)</f>
        <v>9.0143481925428208</v>
      </c>
      <c r="BS18" s="115">
        <f>IFERROR(IF(d_Bv!U18=0,0,((s_Ir*s_F*s_I_f*s_T*(1-EXP(-s_RadSpec!BA18*s_t_v)))/(s_Y_v*s_RadSpec!BA18))),0)</f>
        <v>9.0143481925428208</v>
      </c>
      <c r="BT18" s="115">
        <f>IFERROR(IF(d_Bv!V18=0,0,((s_Ir*s_F*s_I_f*s_T*(1-EXP(-s_RadSpec!BA18*s_t_v)))/(s_Y_v*s_RadSpec!BA18))),0)</f>
        <v>9.0143481925428208</v>
      </c>
      <c r="BU18" s="115">
        <f>IFERROR(IF(d_Bv!W18=0,0,((s_Ir*s_F*s_I_f*s_T*(1-EXP(-s_RadSpec!BA18*s_t_v)))/(s_Y_v*s_RadSpec!BA18))),0)</f>
        <v>9.0143481925428208</v>
      </c>
      <c r="BV18" s="115">
        <f>IFERROR(IF(d_Bv!X18=0,0,((s_Ir*s_F*s_I_f*s_T*(1-EXP(-s_RadSpec!BA18*s_t_v)))/(s_Y_v*s_RadSpec!BA18))),0)</f>
        <v>9.0143481925428208</v>
      </c>
      <c r="BW18" s="115">
        <f>IFERROR(IF(d_Bv!Y18=0,0,((s_Ir*s_F*s_I_f*s_T*(1-EXP(-s_RadSpec!BA18*s_t_v)))/(s_Y_v*s_RadSpec!BA18))),0)</f>
        <v>9.0143481925428208</v>
      </c>
      <c r="BX18" s="115">
        <f>IFERROR(IF(d_Bv!Z18=0,0,((s_Ir*s_F*s_I_f*s_T*(1-EXP(-s_RadSpec!BA18*s_t_v)))/(s_Y_v*s_RadSpec!BA18))),0)</f>
        <v>9.0143481925428208</v>
      </c>
      <c r="BY18" s="115">
        <f>IFERROR(IF(d_Bv!AA18=0,0,((s_Ir*s_F*s_I_f*s_T*(1-EXP(-s_RadSpec!BA18*s_t_v)))/(s_Y_v*s_RadSpec!BA18))),0)</f>
        <v>9.0143481925428208</v>
      </c>
    </row>
    <row r="19" spans="1:77" x14ac:dyDescent="0.25">
      <c r="A19" s="44" t="s">
        <v>29</v>
      </c>
      <c r="B19" s="42" t="s">
        <v>1071</v>
      </c>
      <c r="C19" s="115">
        <f>IFERROR(IF(d_Bv!C19=0,0,((s_Ir*s_F*d_Bv!C19*(1-EXP(-s_RadSpec!$AZ19*s_t_b)))/(s_P*s_RadSpec!$AZ19))),0)</f>
        <v>3.9740144921492811E-2</v>
      </c>
      <c r="D19" s="115">
        <f>IFERROR(IF(d_Bv!D19=0,0,((s_Ir*s_F*d_Bv!D19*(1-EXP(-s_RadSpec!AZ19*s_t_b)))/(s_P*s_RadSpec!AZ19))),0)</f>
        <v>1.4703853620952343</v>
      </c>
      <c r="E19" s="115">
        <f>IFERROR(IF(d_Bv!E19=0,0,((s_Ir*s_F*d_Bv!E19*(1-EXP(-s_RadSpec!AZ19*s_t_b)))/(s_P*s_RadSpec!AZ19))),0)</f>
        <v>1.1524642027232916</v>
      </c>
      <c r="F19" s="115">
        <f>IFERROR(IF(d_Bv!F19=0,0,((s_Ir*s_F*d_Bv!F19*(1-EXP(-s_RadSpec!AZ19*s_t_b)))/(s_P*s_RadSpec!AZ19))),0)</f>
        <v>3.9740144921492811E-2</v>
      </c>
      <c r="G19" s="115">
        <f>IFERROR(IF(d_Bv!G19=0,0,((s_Ir*s_F*d_Bv!G19*(1-EXP(-s_RadSpec!AZ19*s_t_b)))/(s_P*s_RadSpec!AZ19))),0)</f>
        <v>3.9740144921492811E-2</v>
      </c>
      <c r="H19" s="115">
        <f>IFERROR(IF(d_Bv!H19=0,0,((s_Ir*s_F*d_Bv!H19*(1-EXP(-s_RadSpec!AZ19*s_t_b)))/(s_P*s_RadSpec!AZ19))),0)</f>
        <v>1.4703853620952343</v>
      </c>
      <c r="I19" s="115">
        <f>IFERROR(IF(d_Bv!I19=0,0,((s_Ir*s_F*d_Bv!I19*(1-EXP(-s_RadSpec!AZ19*s_t_b)))/(s_P*s_RadSpec!AZ19))),0)</f>
        <v>1.1524642027232916</v>
      </c>
      <c r="J19" s="115">
        <f>IFERROR(IF(d_Bv!J19=0,0,((s_Ir*s_F*d_Bv!J19*(1-EXP(-s_RadSpec!AZ19*s_t_b)))/(s_P*s_RadSpec!AZ19))),0)</f>
        <v>3.9740144921492811E-2</v>
      </c>
      <c r="K19" s="115">
        <f>IFERROR(IF(d_Bv!K19=0,0,((s_Ir*s_F*d_Bv!K19*(1-EXP(-s_RadSpec!AZ19*s_t_b)))/(s_P*s_RadSpec!AZ19))),0)</f>
        <v>4.768817390579138E-2</v>
      </c>
      <c r="L19" s="115">
        <f>IFERROR(IF(d_Bv!L19=0,0,((s_Ir*s_F*d_Bv!L19*(1-EXP(-s_RadSpec!AZ19*s_t_b)))/(s_P*s_RadSpec!AZ19))),0)</f>
        <v>3.9740144921492811E-2</v>
      </c>
      <c r="M19" s="115">
        <f>IFERROR(IF(d_Bv!M19=0,0,((s_Ir*s_F*d_Bv!M19*(1-EXP(-s_RadSpec!AZ19*s_t_b)))/(s_P*s_RadSpec!AZ19))),0)</f>
        <v>1.4703853620952343</v>
      </c>
      <c r="N19" s="115">
        <f>IFERROR(IF(d_Bv!N19=0,0,((s_Ir*s_F*d_Bv!N19*(1-EXP(-s_RadSpec!AZ19*s_t_b)))/(s_P*s_RadSpec!AZ19))),0)</f>
        <v>5.364919564401531E-2</v>
      </c>
      <c r="O19" s="115">
        <f>IFERROR(IF(d_Bv!O19=0,0,((s_Ir*s_F*d_Bv!O19*(1-EXP(-s_RadSpec!AZ19*s_t_b)))/(s_P*s_RadSpec!AZ19))),0)</f>
        <v>3.9740144921492811E-2</v>
      </c>
      <c r="P19" s="115">
        <f>IFERROR(IF(d_Bv!P19=0,0,((s_Ir*s_F*d_Bv!P19*(1-EXP(-s_RadSpec!AZ19*s_t_b)))/(s_P*s_RadSpec!AZ19))),0)</f>
        <v>1.1524642027232916</v>
      </c>
      <c r="Q19" s="115">
        <f>IFERROR(IF(d_Bv!Q19=0,0,((s_Ir*s_F*d_Bv!Q19*(1-EXP(-s_RadSpec!AZ19*s_t_b)))/(s_P*s_RadSpec!AZ19))),0)</f>
        <v>3.9740144921492811E-2</v>
      </c>
      <c r="R19" s="115">
        <f>IFERROR(IF(d_Bv!R19=0,0,((s_Ir*s_F*d_Bv!R19*(1-EXP(-s_RadSpec!AZ19*s_t_b)))/(s_P*s_RadSpec!AZ19))),0)</f>
        <v>3.9740144921492811E-2</v>
      </c>
      <c r="S19" s="115">
        <f>IFERROR(IF(d_Bv!S19=0,0,((s_Ir*s_F*d_Bv!S19*(1-EXP(-s_RadSpec!AZ19*s_t_b)))/(s_P*s_RadSpec!AZ19))),0)</f>
        <v>5.364919564401531E-2</v>
      </c>
      <c r="T19" s="115">
        <f>IFERROR(IF(d_Bv!T19=0,0,((s_Ir*s_F*d_Bv!T19*(1-EXP(-s_RadSpec!AZ19*s_t_b)))/(s_P*s_RadSpec!AZ19))),0)</f>
        <v>3.9740144921492811E-2</v>
      </c>
      <c r="U19" s="115">
        <f>IFERROR(IF(d_Bv!U19=0,0,((s_Ir*s_F*d_Bv!U19*(1-EXP(-s_RadSpec!AZ19*s_t_b)))/(s_P*s_RadSpec!AZ19))),0)</f>
        <v>0.53649195644015302</v>
      </c>
      <c r="V19" s="115">
        <f>IFERROR(IF(d_Bv!V19=0,0,((s_Ir*s_F*d_Bv!V19*(1-EXP(-s_RadSpec!AZ19*s_t_b)))/(s_P*s_RadSpec!AZ19))),0)</f>
        <v>3.9740144921492811E-2</v>
      </c>
      <c r="W19" s="115">
        <f>IFERROR(IF(d_Bv!W19=0,0,((s_Ir*s_F*d_Bv!W19*(1-EXP(-s_RadSpec!AZ19*s_t_b)))/(s_P*s_RadSpec!AZ19))),0)</f>
        <v>5.364919564401531E-2</v>
      </c>
      <c r="X19" s="115">
        <f>IFERROR(IF(d_Bv!X19=0,0,((s_Ir*s_F*d_Bv!X19*(1-EXP(-s_RadSpec!AZ19*s_t_b)))/(s_P*s_RadSpec!AZ19))),0)</f>
        <v>3.9740144921492811E-2</v>
      </c>
      <c r="Y19" s="115">
        <f>IFERROR(IF(d_Bv!Y19=0,0,((s_Ir*s_F*d_Bv!Y19*(1-EXP(-s_RadSpec!AZ19*s_t_b)))/(s_P*s_RadSpec!AZ19))),0)</f>
        <v>3.9740144921492811E-2</v>
      </c>
      <c r="Z19" s="115">
        <f>IFERROR(IF(d_Bv!Z19=0,0,((s_Ir*s_F*d_Bv!Z19*(1-EXP(-s_RadSpec!AZ19*s_t_b)))/(s_P*s_RadSpec!AZ19))),0)</f>
        <v>2.583109419897033</v>
      </c>
      <c r="AA19" s="115">
        <f>IFERROR(IF(d_Bv!AA19=0,0,((s_Ir*s_F*d_Bv!AA19*(1-EXP(-s_RadSpec!AZ19*s_t_b)))/(s_P*s_RadSpec!AZ19))),0)</f>
        <v>4.768817390579138E-2</v>
      </c>
      <c r="AB19" s="115">
        <f>IFERROR(IF(d_Bv!C19=0,0,((s_Ir*s_F*s_MLF_apple*(1-EXP(-s_RadSpec!AZ19*s_t_b)))/(s_P*s_RadSpec!AZ19))),0)</f>
        <v>2.6824597822007652</v>
      </c>
      <c r="AC19" s="115">
        <f>IFERROR(IF(d_Bv!D19=0,0,((s_Ir*s_F*s_MLF_asparagus*(1-EXP(-s_RadSpec!AZ19*s_t_b)))/(s_P*s_RadSpec!AZ19))),0)</f>
        <v>2.6824597822007652</v>
      </c>
      <c r="AD19" s="115">
        <f>IFERROR(IF(d_Bv!E19=0,0,((s_Ir*s_F*s_MLF_beet*(1-EXP(-s_RadSpec!AZ19*s_t_b)))/(s_P*s_RadSpec!AZ19))),0)</f>
        <v>2.6824597822007652</v>
      </c>
      <c r="AE19" s="115">
        <f>IFERROR(IF(d_Bv!F19=0,0,((s_Ir*s_F*s_MLF_berries*(1-EXP(-s_RadSpec!AZ19*s_t_b)))/(s_P*s_RadSpec!AZ19))),0)</f>
        <v>2.6824597822007652</v>
      </c>
      <c r="AF19" s="115">
        <f>IFERROR(IF(d_Bv!G19=0,0,((s_Ir*s_F*s_MLF_broccoli*(1-EXP(-s_RadSpec!AZ19*s_t_b)))/(s_P*s_RadSpec!AZ19))),0)</f>
        <v>2.6824597822007652</v>
      </c>
      <c r="AG19" s="115">
        <f>IFERROR(IF(d_Bv!H19=0,0,((s_Ir*s_F*s_MLF_cabbage*(1-EXP(-s_RadSpec!AZ19*s_t_b)))/(s_P*s_RadSpec!AZ19))),0)</f>
        <v>2.6824597822007652</v>
      </c>
      <c r="AH19" s="115">
        <f>IFERROR(IF(d_Bv!I19=0,0,((s_Ir*s_F*s_MLF_carrot*(1-EXP(-s_RadSpec!AZ19*s_t_b)))/(s_P*s_RadSpec!AZ19))),0)</f>
        <v>2.6824597822007652</v>
      </c>
      <c r="AI19" s="115">
        <f>IFERROR(IF(d_Bv!J19=0,0,((s_Ir*s_F*s_MLF_citrus*(1-EXP(-s_RadSpec!AZ19*s_t_b)))/(s_P*s_RadSpec!AZ19))),0)</f>
        <v>2.6824597822007652</v>
      </c>
      <c r="AJ19" s="115">
        <f>IFERROR(IF(d_Bv!K19=0,0,((s_Ir*s_F*s_MLF_corn*(1-EXP(-s_RadSpec!AZ19*s_t_b)))/(s_P*s_RadSpec!AZ19))),0)</f>
        <v>2.6824597822007652</v>
      </c>
      <c r="AK19" s="115">
        <f>IFERROR(IF(d_Bv!L19=0,0,((s_Ir*s_F*s_MLF_cucumber*(1-EXP(-s_RadSpec!AZ19*s_t_b)))/(s_P*s_RadSpec!AZ19))),0)</f>
        <v>2.6824597822007652</v>
      </c>
      <c r="AL19" s="115">
        <f>IFERROR(IF(d_Bv!M19=0,0,((s_Ir*s_F*s_MLF_lettuce*(1-EXP(-s_RadSpec!AZ19*s_t_b)))/(s_P*s_RadSpec!AZ19))),0)</f>
        <v>2.6824597822007652</v>
      </c>
      <c r="AM19" s="115">
        <f>IFERROR(IF(d_Bv!N19=0,0,((s_Ir*s_F*s_MLF_lima_bean*(1-EXP(-s_RadSpec!AZ19*s_t_b)))/(s_P*s_RadSpec!AZ19))),0)</f>
        <v>2.6824597822007652</v>
      </c>
      <c r="AN19" s="115">
        <f>IFERROR(IF(d_Bv!O19=0,0,((s_Ir*s_F*s_MLF_okra*(1-EXP(-s_RadSpec!AZ19*s_t_b)))/(s_P*s_RadSpec!AZ19))),0)</f>
        <v>2.6824597822007652</v>
      </c>
      <c r="AO19" s="115">
        <f>IFERROR(IF(d_Bv!P19=0,0,((s_Ir*s_F*s_MLF_onion*(1-EXP(-s_RadSpec!AZ19*s_t_b)))/(s_P*s_RadSpec!AZ19))),0)</f>
        <v>2.6824597822007652</v>
      </c>
      <c r="AP19" s="115">
        <f>IFERROR(IF(d_Bv!Q19=0,0,((s_Ir*s_F*s_MLF_peach*(1-EXP(-s_RadSpec!AZ19*s_t_b)))/(s_P*s_RadSpec!AZ19))),0)</f>
        <v>2.6824597822007652</v>
      </c>
      <c r="AQ19" s="115">
        <f>IFERROR(IF(d_Bv!R19=0,0,((s_Ir*s_F*s_MLF_pear*(1-EXP(-s_RadSpec!AZ19*s_t_b)))/(s_P*s_RadSpec!AZ19))),0)</f>
        <v>2.6824597822007652</v>
      </c>
      <c r="AR19" s="115">
        <f>IFERROR(IF(d_Bv!S19=0,0,((s_Ir*s_F*s_MLF_peas*(1-EXP(-s_RadSpec!AZ19*s_t_b)))/(s_P*s_RadSpec!AZ19))),0)</f>
        <v>2.6824597822007652</v>
      </c>
      <c r="AS19" s="115">
        <f>IFERROR(IF(d_Bv!T19=0,0,((s_Ir*s_F*s_MLF_peppers*(1-EXP(-s_RadSpec!AZ19*s_t_b)))/(s_P*s_RadSpec!AZ19))),0)</f>
        <v>2.6824597822007652</v>
      </c>
      <c r="AT19" s="115">
        <f>IFERROR(IF(d_Bv!U19=0,0,((s_Ir*s_F*s_MLF_potato*(1-EXP(-s_RadSpec!AZ19*s_t_b)))/(s_P*s_RadSpec!AZ19))),0)</f>
        <v>2.6824597822007652</v>
      </c>
      <c r="AU19" s="115">
        <f>IFERROR(IF(d_Bv!V19=0,0,((s_Ir*s_F*s_MLF_pumpkin*(1-EXP(-s_RadSpec!AZ19*s_t_b)))/(s_P*s_RadSpec!AZ19))),0)</f>
        <v>2.6824597822007652</v>
      </c>
      <c r="AV19" s="115">
        <f>IFERROR(IF(d_Bv!W19=0,0,((s_Ir*s_F*s_MLF_snap_bean*(1-EXP(-s_RadSpec!AZ19*s_t_b)))/(s_P*s_RadSpec!AZ19))),0)</f>
        <v>2.6824597822007652</v>
      </c>
      <c r="AW19" s="115">
        <f>IFERROR(IF(d_Bv!X19=0,0,((s_Ir*s_F*s_MLF_strawberry*(1-EXP(-s_RadSpec!AZ19*s_t_b)))/(s_P*s_RadSpec!AZ19))),0)</f>
        <v>2.6824597822007652</v>
      </c>
      <c r="AX19" s="115">
        <f>IFERROR(IF(d_Bv!Y19=0,0,((s_Ir*s_F*s_MLF_tomato*(1-EXP(-s_RadSpec!AZ19*s_t_b)))/(s_P*s_RadSpec!AZ19))),0)</f>
        <v>2.6824597822007652</v>
      </c>
      <c r="AY19" s="115">
        <f>IFERROR(IF(d_Bv!Z19=0,0,((s_Ir*s_F*s_MLF_rice*(1-EXP(-s_RadSpec!AZ19*s_t_b)))/(s_P*s_RadSpec!AZ19))),0)</f>
        <v>2.6824597822007652</v>
      </c>
      <c r="AZ19" s="115">
        <f>IFERROR(IF(d_Bv!AA19=0,0,((s_Ir*s_F*s_MLF_cereal*(1-EXP(-s_RadSpec!AZ19*s_t_b)))/(s_P*s_RadSpec!AZ19))),0)</f>
        <v>2.6824597822007652</v>
      </c>
      <c r="BA19" s="115">
        <f>IFERROR(IF(d_Bv!C19=0,0,((s_Ir*s_F*s_I_f*s_T*(1-EXP(-s_RadSpec!BA19*s_t_v)))/(s_Y_v*s_RadSpec!BA19))),0)</f>
        <v>9.0143481925428208</v>
      </c>
      <c r="BB19" s="115">
        <f>IFERROR(IF(d_Bv!D19=0,0,((s_Ir*s_F*s_I_f*s_T*(1-EXP(-s_RadSpec!BA19*s_t_v)))/(s_Y_v*s_RadSpec!BA19))),0)</f>
        <v>9.0143481925428208</v>
      </c>
      <c r="BC19" s="115">
        <f>IFERROR(IF(d_Bv!E19=0,0,((s_Ir*s_F*s_I_f*s_T*(1-EXP(-s_RadSpec!BA19*s_t_v)))/(s_Y_v*s_RadSpec!BA19))),0)</f>
        <v>9.0143481925428208</v>
      </c>
      <c r="BD19" s="115">
        <f>IFERROR(IF(d_Bv!F19=0,0,((s_Ir*s_F*s_I_f*s_T*(1-EXP(-s_RadSpec!BA19*s_t_v)))/(s_Y_v*s_RadSpec!BA19))),0)</f>
        <v>9.0143481925428208</v>
      </c>
      <c r="BE19" s="115">
        <f>IFERROR(IF(d_Bv!G19=0,0,((s_Ir*s_F*s_I_f*s_T*(1-EXP(-s_RadSpec!BA19*s_t_v)))/(s_Y_v*s_RadSpec!BA19))),0)</f>
        <v>9.0143481925428208</v>
      </c>
      <c r="BF19" s="115">
        <f>IFERROR(IF(d_Bv!H19=0,0,((s_Ir*s_F*s_I_f*s_T*(1-EXP(-s_RadSpec!BA19*s_t_v)))/(s_Y_v*s_RadSpec!BA19))),0)</f>
        <v>9.0143481925428208</v>
      </c>
      <c r="BG19" s="115">
        <f>IFERROR(IF(d_Bv!I19=0,0,((s_Ir*s_F*s_I_f*s_T*(1-EXP(-s_RadSpec!BA19*s_t_v)))/(s_Y_v*s_RadSpec!BA19))),0)</f>
        <v>9.0143481925428208</v>
      </c>
      <c r="BH19" s="115">
        <f>IFERROR(IF(d_Bv!J19=0,0,((s_Ir*s_F*s_I_f*s_T*(1-EXP(-s_RadSpec!BA19*s_t_v)))/(s_Y_v*s_RadSpec!BA19))),0)</f>
        <v>9.0143481925428208</v>
      </c>
      <c r="BI19" s="115">
        <f>IFERROR(IF(d_Bv!K19=0,0,((s_Ir*s_F*s_I_f*s_T*(1-EXP(-s_RadSpec!BA19*s_t_v)))/(s_Y_v*s_RadSpec!BA19))),0)</f>
        <v>9.0143481925428208</v>
      </c>
      <c r="BJ19" s="115">
        <f>IFERROR(IF(d_Bv!L19=0,0,((s_Ir*s_F*s_I_f*s_T*(1-EXP(-s_RadSpec!BA19*s_t_v)))/(s_Y_v*s_RadSpec!BA19))),0)</f>
        <v>9.0143481925428208</v>
      </c>
      <c r="BK19" s="115">
        <f>IFERROR(IF(d_Bv!M19=0,0,((s_Ir*s_F*s_I_f*s_T*(1-EXP(-s_RadSpec!BA19*s_t_v)))/(s_Y_v*s_RadSpec!BA19))),0)</f>
        <v>9.0143481925428208</v>
      </c>
      <c r="BL19" s="115">
        <f>IFERROR(IF(d_Bv!N19=0,0,((s_Ir*s_F*s_I_f*s_T*(1-EXP(-s_RadSpec!BA19*s_t_v)))/(s_Y_v*s_RadSpec!BA19))),0)</f>
        <v>9.0143481925428208</v>
      </c>
      <c r="BM19" s="115">
        <f>IFERROR(IF(d_Bv!O19=0,0,((s_Ir*s_F*s_I_f*s_T*(1-EXP(-s_RadSpec!BA19*s_t_v)))/(s_Y_v*s_RadSpec!BA19))),0)</f>
        <v>9.0143481925428208</v>
      </c>
      <c r="BN19" s="115">
        <f>IFERROR(IF(d_Bv!P19=0,0,((s_Ir*s_F*s_I_f*s_T*(1-EXP(-s_RadSpec!BA19*s_t_v)))/(s_Y_v*s_RadSpec!BA19))),0)</f>
        <v>9.0143481925428208</v>
      </c>
      <c r="BO19" s="115">
        <f>IFERROR(IF(d_Bv!Q19=0,0,((s_Ir*s_F*s_I_f*s_T*(1-EXP(-s_RadSpec!BA19*s_t_v)))/(s_Y_v*s_RadSpec!BA19))),0)</f>
        <v>9.0143481925428208</v>
      </c>
      <c r="BP19" s="115">
        <f>IFERROR(IF(d_Bv!R19=0,0,((s_Ir*s_F*s_I_f*s_T*(1-EXP(-s_RadSpec!BA19*s_t_v)))/(s_Y_v*s_RadSpec!BA19))),0)</f>
        <v>9.0143481925428208</v>
      </c>
      <c r="BQ19" s="115">
        <f>IFERROR(IF(d_Bv!S19=0,0,((s_Ir*s_F*s_I_f*s_T*(1-EXP(-s_RadSpec!BA19*s_t_v)))/(s_Y_v*s_RadSpec!BA19))),0)</f>
        <v>9.0143481925428208</v>
      </c>
      <c r="BR19" s="115">
        <f>IFERROR(IF(d_Bv!T19=0,0,((s_Ir*s_F*s_I_f*s_T*(1-EXP(-s_RadSpec!BA19*s_t_v)))/(s_Y_v*s_RadSpec!BA19))),0)</f>
        <v>9.0143481925428208</v>
      </c>
      <c r="BS19" s="115">
        <f>IFERROR(IF(d_Bv!U19=0,0,((s_Ir*s_F*s_I_f*s_T*(1-EXP(-s_RadSpec!BA19*s_t_v)))/(s_Y_v*s_RadSpec!BA19))),0)</f>
        <v>9.0143481925428208</v>
      </c>
      <c r="BT19" s="115">
        <f>IFERROR(IF(d_Bv!V19=0,0,((s_Ir*s_F*s_I_f*s_T*(1-EXP(-s_RadSpec!BA19*s_t_v)))/(s_Y_v*s_RadSpec!BA19))),0)</f>
        <v>9.0143481925428208</v>
      </c>
      <c r="BU19" s="115">
        <f>IFERROR(IF(d_Bv!W19=0,0,((s_Ir*s_F*s_I_f*s_T*(1-EXP(-s_RadSpec!BA19*s_t_v)))/(s_Y_v*s_RadSpec!BA19))),0)</f>
        <v>9.0143481925428208</v>
      </c>
      <c r="BV19" s="115">
        <f>IFERROR(IF(d_Bv!X19=0,0,((s_Ir*s_F*s_I_f*s_T*(1-EXP(-s_RadSpec!BA19*s_t_v)))/(s_Y_v*s_RadSpec!BA19))),0)</f>
        <v>9.0143481925428208</v>
      </c>
      <c r="BW19" s="115">
        <f>IFERROR(IF(d_Bv!Y19=0,0,((s_Ir*s_F*s_I_f*s_T*(1-EXP(-s_RadSpec!BA19*s_t_v)))/(s_Y_v*s_RadSpec!BA19))),0)</f>
        <v>9.0143481925428208</v>
      </c>
      <c r="BX19" s="115">
        <f>IFERROR(IF(d_Bv!Z19=0,0,((s_Ir*s_F*s_I_f*s_T*(1-EXP(-s_RadSpec!BA19*s_t_v)))/(s_Y_v*s_RadSpec!BA19))),0)</f>
        <v>9.0143481925428208</v>
      </c>
      <c r="BY19" s="115">
        <f>IFERROR(IF(d_Bv!AA19=0,0,((s_Ir*s_F*s_I_f*s_T*(1-EXP(-s_RadSpec!BA19*s_t_v)))/(s_Y_v*s_RadSpec!BA19))),0)</f>
        <v>9.0143481925428208</v>
      </c>
    </row>
    <row r="20" spans="1:77" x14ac:dyDescent="0.25">
      <c r="A20" s="44" t="s">
        <v>30</v>
      </c>
      <c r="B20" s="42" t="s">
        <v>1071</v>
      </c>
      <c r="C20" s="115">
        <f>IFERROR(IF(d_Bv!C20=0,0,((s_Ir*s_F*d_Bv!C20*(1-EXP(-s_RadSpec!$AZ20*s_t_b)))/(s_P*s_RadSpec!$AZ20))),0)</f>
        <v>3.9740144921492811E-2</v>
      </c>
      <c r="D20" s="115">
        <f>IFERROR(IF(d_Bv!D20=0,0,((s_Ir*s_F*d_Bv!D20*(1-EXP(-s_RadSpec!AZ20*s_t_b)))/(s_P*s_RadSpec!AZ20))),0)</f>
        <v>1.4703853620952343</v>
      </c>
      <c r="E20" s="115">
        <f>IFERROR(IF(d_Bv!E20=0,0,((s_Ir*s_F*d_Bv!E20*(1-EXP(-s_RadSpec!AZ20*s_t_b)))/(s_P*s_RadSpec!AZ20))),0)</f>
        <v>1.1524642027232916</v>
      </c>
      <c r="F20" s="115">
        <f>IFERROR(IF(d_Bv!F20=0,0,((s_Ir*s_F*d_Bv!F20*(1-EXP(-s_RadSpec!AZ20*s_t_b)))/(s_P*s_RadSpec!AZ20))),0)</f>
        <v>3.9740144921492811E-2</v>
      </c>
      <c r="G20" s="115">
        <f>IFERROR(IF(d_Bv!G20=0,0,((s_Ir*s_F*d_Bv!G20*(1-EXP(-s_RadSpec!AZ20*s_t_b)))/(s_P*s_RadSpec!AZ20))),0)</f>
        <v>3.9740144921492811E-2</v>
      </c>
      <c r="H20" s="115">
        <f>IFERROR(IF(d_Bv!H20=0,0,((s_Ir*s_F*d_Bv!H20*(1-EXP(-s_RadSpec!AZ20*s_t_b)))/(s_P*s_RadSpec!AZ20))),0)</f>
        <v>1.4703853620952343</v>
      </c>
      <c r="I20" s="115">
        <f>IFERROR(IF(d_Bv!I20=0,0,((s_Ir*s_F*d_Bv!I20*(1-EXP(-s_RadSpec!AZ20*s_t_b)))/(s_P*s_RadSpec!AZ20))),0)</f>
        <v>1.1524642027232916</v>
      </c>
      <c r="J20" s="115">
        <f>IFERROR(IF(d_Bv!J20=0,0,((s_Ir*s_F*d_Bv!J20*(1-EXP(-s_RadSpec!AZ20*s_t_b)))/(s_P*s_RadSpec!AZ20))),0)</f>
        <v>3.9740144921492811E-2</v>
      </c>
      <c r="K20" s="115">
        <f>IFERROR(IF(d_Bv!K20=0,0,((s_Ir*s_F*d_Bv!K20*(1-EXP(-s_RadSpec!AZ20*s_t_b)))/(s_P*s_RadSpec!AZ20))),0)</f>
        <v>4.768817390579138E-2</v>
      </c>
      <c r="L20" s="115">
        <f>IFERROR(IF(d_Bv!L20=0,0,((s_Ir*s_F*d_Bv!L20*(1-EXP(-s_RadSpec!AZ20*s_t_b)))/(s_P*s_RadSpec!AZ20))),0)</f>
        <v>3.9740144921492811E-2</v>
      </c>
      <c r="M20" s="115">
        <f>IFERROR(IF(d_Bv!M20=0,0,((s_Ir*s_F*d_Bv!M20*(1-EXP(-s_RadSpec!AZ20*s_t_b)))/(s_P*s_RadSpec!AZ20))),0)</f>
        <v>1.4703853620952343</v>
      </c>
      <c r="N20" s="115">
        <f>IFERROR(IF(d_Bv!N20=0,0,((s_Ir*s_F*d_Bv!N20*(1-EXP(-s_RadSpec!AZ20*s_t_b)))/(s_P*s_RadSpec!AZ20))),0)</f>
        <v>5.364919564401531E-2</v>
      </c>
      <c r="O20" s="115">
        <f>IFERROR(IF(d_Bv!O20=0,0,((s_Ir*s_F*d_Bv!O20*(1-EXP(-s_RadSpec!AZ20*s_t_b)))/(s_P*s_RadSpec!AZ20))),0)</f>
        <v>3.9740144921492811E-2</v>
      </c>
      <c r="P20" s="115">
        <f>IFERROR(IF(d_Bv!P20=0,0,((s_Ir*s_F*d_Bv!P20*(1-EXP(-s_RadSpec!AZ20*s_t_b)))/(s_P*s_RadSpec!AZ20))),0)</f>
        <v>1.1524642027232916</v>
      </c>
      <c r="Q20" s="115">
        <f>IFERROR(IF(d_Bv!Q20=0,0,((s_Ir*s_F*d_Bv!Q20*(1-EXP(-s_RadSpec!AZ20*s_t_b)))/(s_P*s_RadSpec!AZ20))),0)</f>
        <v>3.9740144921492811E-2</v>
      </c>
      <c r="R20" s="115">
        <f>IFERROR(IF(d_Bv!R20=0,0,((s_Ir*s_F*d_Bv!R20*(1-EXP(-s_RadSpec!AZ20*s_t_b)))/(s_P*s_RadSpec!AZ20))),0)</f>
        <v>3.9740144921492811E-2</v>
      </c>
      <c r="S20" s="115">
        <f>IFERROR(IF(d_Bv!S20=0,0,((s_Ir*s_F*d_Bv!S20*(1-EXP(-s_RadSpec!AZ20*s_t_b)))/(s_P*s_RadSpec!AZ20))),0)</f>
        <v>5.364919564401531E-2</v>
      </c>
      <c r="T20" s="115">
        <f>IFERROR(IF(d_Bv!T20=0,0,((s_Ir*s_F*d_Bv!T20*(1-EXP(-s_RadSpec!AZ20*s_t_b)))/(s_P*s_RadSpec!AZ20))),0)</f>
        <v>3.9740144921492811E-2</v>
      </c>
      <c r="U20" s="115">
        <f>IFERROR(IF(d_Bv!U20=0,0,((s_Ir*s_F*d_Bv!U20*(1-EXP(-s_RadSpec!AZ20*s_t_b)))/(s_P*s_RadSpec!AZ20))),0)</f>
        <v>0.53649195644015302</v>
      </c>
      <c r="V20" s="115">
        <f>IFERROR(IF(d_Bv!V20=0,0,((s_Ir*s_F*d_Bv!V20*(1-EXP(-s_RadSpec!AZ20*s_t_b)))/(s_P*s_RadSpec!AZ20))),0)</f>
        <v>3.9740144921492811E-2</v>
      </c>
      <c r="W20" s="115">
        <f>IFERROR(IF(d_Bv!W20=0,0,((s_Ir*s_F*d_Bv!W20*(1-EXP(-s_RadSpec!AZ20*s_t_b)))/(s_P*s_RadSpec!AZ20))),0)</f>
        <v>5.364919564401531E-2</v>
      </c>
      <c r="X20" s="115">
        <f>IFERROR(IF(d_Bv!X20=0,0,((s_Ir*s_F*d_Bv!X20*(1-EXP(-s_RadSpec!AZ20*s_t_b)))/(s_P*s_RadSpec!AZ20))),0)</f>
        <v>3.9740144921492811E-2</v>
      </c>
      <c r="Y20" s="115">
        <f>IFERROR(IF(d_Bv!Y20=0,0,((s_Ir*s_F*d_Bv!Y20*(1-EXP(-s_RadSpec!AZ20*s_t_b)))/(s_P*s_RadSpec!AZ20))),0)</f>
        <v>3.9740144921492811E-2</v>
      </c>
      <c r="Z20" s="115">
        <f>IFERROR(IF(d_Bv!Z20=0,0,((s_Ir*s_F*d_Bv!Z20*(1-EXP(-s_RadSpec!AZ20*s_t_b)))/(s_P*s_RadSpec!AZ20))),0)</f>
        <v>2.583109419897033</v>
      </c>
      <c r="AA20" s="115">
        <f>IFERROR(IF(d_Bv!AA20=0,0,((s_Ir*s_F*d_Bv!AA20*(1-EXP(-s_RadSpec!AZ20*s_t_b)))/(s_P*s_RadSpec!AZ20))),0)</f>
        <v>4.768817390579138E-2</v>
      </c>
      <c r="AB20" s="115">
        <f>IFERROR(IF(d_Bv!C20=0,0,((s_Ir*s_F*s_MLF_apple*(1-EXP(-s_RadSpec!AZ20*s_t_b)))/(s_P*s_RadSpec!AZ20))),0)</f>
        <v>2.6824597822007652</v>
      </c>
      <c r="AC20" s="115">
        <f>IFERROR(IF(d_Bv!D20=0,0,((s_Ir*s_F*s_MLF_asparagus*(1-EXP(-s_RadSpec!AZ20*s_t_b)))/(s_P*s_RadSpec!AZ20))),0)</f>
        <v>2.6824597822007652</v>
      </c>
      <c r="AD20" s="115">
        <f>IFERROR(IF(d_Bv!E20=0,0,((s_Ir*s_F*s_MLF_beet*(1-EXP(-s_RadSpec!AZ20*s_t_b)))/(s_P*s_RadSpec!AZ20))),0)</f>
        <v>2.6824597822007652</v>
      </c>
      <c r="AE20" s="115">
        <f>IFERROR(IF(d_Bv!F20=0,0,((s_Ir*s_F*s_MLF_berries*(1-EXP(-s_RadSpec!AZ20*s_t_b)))/(s_P*s_RadSpec!AZ20))),0)</f>
        <v>2.6824597822007652</v>
      </c>
      <c r="AF20" s="115">
        <f>IFERROR(IF(d_Bv!G20=0,0,((s_Ir*s_F*s_MLF_broccoli*(1-EXP(-s_RadSpec!AZ20*s_t_b)))/(s_P*s_RadSpec!AZ20))),0)</f>
        <v>2.6824597822007652</v>
      </c>
      <c r="AG20" s="115">
        <f>IFERROR(IF(d_Bv!H20=0,0,((s_Ir*s_F*s_MLF_cabbage*(1-EXP(-s_RadSpec!AZ20*s_t_b)))/(s_P*s_RadSpec!AZ20))),0)</f>
        <v>2.6824597822007652</v>
      </c>
      <c r="AH20" s="115">
        <f>IFERROR(IF(d_Bv!I20=0,0,((s_Ir*s_F*s_MLF_carrot*(1-EXP(-s_RadSpec!AZ20*s_t_b)))/(s_P*s_RadSpec!AZ20))),0)</f>
        <v>2.6824597822007652</v>
      </c>
      <c r="AI20" s="115">
        <f>IFERROR(IF(d_Bv!J20=0,0,((s_Ir*s_F*s_MLF_citrus*(1-EXP(-s_RadSpec!AZ20*s_t_b)))/(s_P*s_RadSpec!AZ20))),0)</f>
        <v>2.6824597822007652</v>
      </c>
      <c r="AJ20" s="115">
        <f>IFERROR(IF(d_Bv!K20=0,0,((s_Ir*s_F*s_MLF_corn*(1-EXP(-s_RadSpec!AZ20*s_t_b)))/(s_P*s_RadSpec!AZ20))),0)</f>
        <v>2.6824597822007652</v>
      </c>
      <c r="AK20" s="115">
        <f>IFERROR(IF(d_Bv!L20=0,0,((s_Ir*s_F*s_MLF_cucumber*(1-EXP(-s_RadSpec!AZ20*s_t_b)))/(s_P*s_RadSpec!AZ20))),0)</f>
        <v>2.6824597822007652</v>
      </c>
      <c r="AL20" s="115">
        <f>IFERROR(IF(d_Bv!M20=0,0,((s_Ir*s_F*s_MLF_lettuce*(1-EXP(-s_RadSpec!AZ20*s_t_b)))/(s_P*s_RadSpec!AZ20))),0)</f>
        <v>2.6824597822007652</v>
      </c>
      <c r="AM20" s="115">
        <f>IFERROR(IF(d_Bv!N20=0,0,((s_Ir*s_F*s_MLF_lima_bean*(1-EXP(-s_RadSpec!AZ20*s_t_b)))/(s_P*s_RadSpec!AZ20))),0)</f>
        <v>2.6824597822007652</v>
      </c>
      <c r="AN20" s="115">
        <f>IFERROR(IF(d_Bv!O20=0,0,((s_Ir*s_F*s_MLF_okra*(1-EXP(-s_RadSpec!AZ20*s_t_b)))/(s_P*s_RadSpec!AZ20))),0)</f>
        <v>2.6824597822007652</v>
      </c>
      <c r="AO20" s="115">
        <f>IFERROR(IF(d_Bv!P20=0,0,((s_Ir*s_F*s_MLF_onion*(1-EXP(-s_RadSpec!AZ20*s_t_b)))/(s_P*s_RadSpec!AZ20))),0)</f>
        <v>2.6824597822007652</v>
      </c>
      <c r="AP20" s="115">
        <f>IFERROR(IF(d_Bv!Q20=0,0,((s_Ir*s_F*s_MLF_peach*(1-EXP(-s_RadSpec!AZ20*s_t_b)))/(s_P*s_RadSpec!AZ20))),0)</f>
        <v>2.6824597822007652</v>
      </c>
      <c r="AQ20" s="115">
        <f>IFERROR(IF(d_Bv!R20=0,0,((s_Ir*s_F*s_MLF_pear*(1-EXP(-s_RadSpec!AZ20*s_t_b)))/(s_P*s_RadSpec!AZ20))),0)</f>
        <v>2.6824597822007652</v>
      </c>
      <c r="AR20" s="115">
        <f>IFERROR(IF(d_Bv!S20=0,0,((s_Ir*s_F*s_MLF_peas*(1-EXP(-s_RadSpec!AZ20*s_t_b)))/(s_P*s_RadSpec!AZ20))),0)</f>
        <v>2.6824597822007652</v>
      </c>
      <c r="AS20" s="115">
        <f>IFERROR(IF(d_Bv!T20=0,0,((s_Ir*s_F*s_MLF_peppers*(1-EXP(-s_RadSpec!AZ20*s_t_b)))/(s_P*s_RadSpec!AZ20))),0)</f>
        <v>2.6824597822007652</v>
      </c>
      <c r="AT20" s="115">
        <f>IFERROR(IF(d_Bv!U20=0,0,((s_Ir*s_F*s_MLF_potato*(1-EXP(-s_RadSpec!AZ20*s_t_b)))/(s_P*s_RadSpec!AZ20))),0)</f>
        <v>2.6824597822007652</v>
      </c>
      <c r="AU20" s="115">
        <f>IFERROR(IF(d_Bv!V20=0,0,((s_Ir*s_F*s_MLF_pumpkin*(1-EXP(-s_RadSpec!AZ20*s_t_b)))/(s_P*s_RadSpec!AZ20))),0)</f>
        <v>2.6824597822007652</v>
      </c>
      <c r="AV20" s="115">
        <f>IFERROR(IF(d_Bv!W20=0,0,((s_Ir*s_F*s_MLF_snap_bean*(1-EXP(-s_RadSpec!AZ20*s_t_b)))/(s_P*s_RadSpec!AZ20))),0)</f>
        <v>2.6824597822007652</v>
      </c>
      <c r="AW20" s="115">
        <f>IFERROR(IF(d_Bv!X20=0,0,((s_Ir*s_F*s_MLF_strawberry*(1-EXP(-s_RadSpec!AZ20*s_t_b)))/(s_P*s_RadSpec!AZ20))),0)</f>
        <v>2.6824597822007652</v>
      </c>
      <c r="AX20" s="115">
        <f>IFERROR(IF(d_Bv!Y20=0,0,((s_Ir*s_F*s_MLF_tomato*(1-EXP(-s_RadSpec!AZ20*s_t_b)))/(s_P*s_RadSpec!AZ20))),0)</f>
        <v>2.6824597822007652</v>
      </c>
      <c r="AY20" s="115">
        <f>IFERROR(IF(d_Bv!Z20=0,0,((s_Ir*s_F*s_MLF_rice*(1-EXP(-s_RadSpec!AZ20*s_t_b)))/(s_P*s_RadSpec!AZ20))),0)</f>
        <v>2.6824597822007652</v>
      </c>
      <c r="AZ20" s="115">
        <f>IFERROR(IF(d_Bv!AA20=0,0,((s_Ir*s_F*s_MLF_cereal*(1-EXP(-s_RadSpec!AZ20*s_t_b)))/(s_P*s_RadSpec!AZ20))),0)</f>
        <v>2.6824597822007652</v>
      </c>
      <c r="BA20" s="115">
        <f>IFERROR(IF(d_Bv!C20=0,0,((s_Ir*s_F*s_I_f*s_T*(1-EXP(-s_RadSpec!BA20*s_t_v)))/(s_Y_v*s_RadSpec!BA20))),0)</f>
        <v>9.0143481925428208</v>
      </c>
      <c r="BB20" s="115">
        <f>IFERROR(IF(d_Bv!D20=0,0,((s_Ir*s_F*s_I_f*s_T*(1-EXP(-s_RadSpec!BA20*s_t_v)))/(s_Y_v*s_RadSpec!BA20))),0)</f>
        <v>9.0143481925428208</v>
      </c>
      <c r="BC20" s="115">
        <f>IFERROR(IF(d_Bv!E20=0,0,((s_Ir*s_F*s_I_f*s_T*(1-EXP(-s_RadSpec!BA20*s_t_v)))/(s_Y_v*s_RadSpec!BA20))),0)</f>
        <v>9.0143481925428208</v>
      </c>
      <c r="BD20" s="115">
        <f>IFERROR(IF(d_Bv!F20=0,0,((s_Ir*s_F*s_I_f*s_T*(1-EXP(-s_RadSpec!BA20*s_t_v)))/(s_Y_v*s_RadSpec!BA20))),0)</f>
        <v>9.0143481925428208</v>
      </c>
      <c r="BE20" s="115">
        <f>IFERROR(IF(d_Bv!G20=0,0,((s_Ir*s_F*s_I_f*s_T*(1-EXP(-s_RadSpec!BA20*s_t_v)))/(s_Y_v*s_RadSpec!BA20))),0)</f>
        <v>9.0143481925428208</v>
      </c>
      <c r="BF20" s="115">
        <f>IFERROR(IF(d_Bv!H20=0,0,((s_Ir*s_F*s_I_f*s_T*(1-EXP(-s_RadSpec!BA20*s_t_v)))/(s_Y_v*s_RadSpec!BA20))),0)</f>
        <v>9.0143481925428208</v>
      </c>
      <c r="BG20" s="115">
        <f>IFERROR(IF(d_Bv!I20=0,0,((s_Ir*s_F*s_I_f*s_T*(1-EXP(-s_RadSpec!BA20*s_t_v)))/(s_Y_v*s_RadSpec!BA20))),0)</f>
        <v>9.0143481925428208</v>
      </c>
      <c r="BH20" s="115">
        <f>IFERROR(IF(d_Bv!J20=0,0,((s_Ir*s_F*s_I_f*s_T*(1-EXP(-s_RadSpec!BA20*s_t_v)))/(s_Y_v*s_RadSpec!BA20))),0)</f>
        <v>9.0143481925428208</v>
      </c>
      <c r="BI20" s="115">
        <f>IFERROR(IF(d_Bv!K20=0,0,((s_Ir*s_F*s_I_f*s_T*(1-EXP(-s_RadSpec!BA20*s_t_v)))/(s_Y_v*s_RadSpec!BA20))),0)</f>
        <v>9.0143481925428208</v>
      </c>
      <c r="BJ20" s="115">
        <f>IFERROR(IF(d_Bv!L20=0,0,((s_Ir*s_F*s_I_f*s_T*(1-EXP(-s_RadSpec!BA20*s_t_v)))/(s_Y_v*s_RadSpec!BA20))),0)</f>
        <v>9.0143481925428208</v>
      </c>
      <c r="BK20" s="115">
        <f>IFERROR(IF(d_Bv!M20=0,0,((s_Ir*s_F*s_I_f*s_T*(1-EXP(-s_RadSpec!BA20*s_t_v)))/(s_Y_v*s_RadSpec!BA20))),0)</f>
        <v>9.0143481925428208</v>
      </c>
      <c r="BL20" s="115">
        <f>IFERROR(IF(d_Bv!N20=0,0,((s_Ir*s_F*s_I_f*s_T*(1-EXP(-s_RadSpec!BA20*s_t_v)))/(s_Y_v*s_RadSpec!BA20))),0)</f>
        <v>9.0143481925428208</v>
      </c>
      <c r="BM20" s="115">
        <f>IFERROR(IF(d_Bv!O20=0,0,((s_Ir*s_F*s_I_f*s_T*(1-EXP(-s_RadSpec!BA20*s_t_v)))/(s_Y_v*s_RadSpec!BA20))),0)</f>
        <v>9.0143481925428208</v>
      </c>
      <c r="BN20" s="115">
        <f>IFERROR(IF(d_Bv!P20=0,0,((s_Ir*s_F*s_I_f*s_T*(1-EXP(-s_RadSpec!BA20*s_t_v)))/(s_Y_v*s_RadSpec!BA20))),0)</f>
        <v>9.0143481925428208</v>
      </c>
      <c r="BO20" s="115">
        <f>IFERROR(IF(d_Bv!Q20=0,0,((s_Ir*s_F*s_I_f*s_T*(1-EXP(-s_RadSpec!BA20*s_t_v)))/(s_Y_v*s_RadSpec!BA20))),0)</f>
        <v>9.0143481925428208</v>
      </c>
      <c r="BP20" s="115">
        <f>IFERROR(IF(d_Bv!R20=0,0,((s_Ir*s_F*s_I_f*s_T*(1-EXP(-s_RadSpec!BA20*s_t_v)))/(s_Y_v*s_RadSpec!BA20))),0)</f>
        <v>9.0143481925428208</v>
      </c>
      <c r="BQ20" s="115">
        <f>IFERROR(IF(d_Bv!S20=0,0,((s_Ir*s_F*s_I_f*s_T*(1-EXP(-s_RadSpec!BA20*s_t_v)))/(s_Y_v*s_RadSpec!BA20))),0)</f>
        <v>9.0143481925428208</v>
      </c>
      <c r="BR20" s="115">
        <f>IFERROR(IF(d_Bv!T20=0,0,((s_Ir*s_F*s_I_f*s_T*(1-EXP(-s_RadSpec!BA20*s_t_v)))/(s_Y_v*s_RadSpec!BA20))),0)</f>
        <v>9.0143481925428208</v>
      </c>
      <c r="BS20" s="115">
        <f>IFERROR(IF(d_Bv!U20=0,0,((s_Ir*s_F*s_I_f*s_T*(1-EXP(-s_RadSpec!BA20*s_t_v)))/(s_Y_v*s_RadSpec!BA20))),0)</f>
        <v>9.0143481925428208</v>
      </c>
      <c r="BT20" s="115">
        <f>IFERROR(IF(d_Bv!V20=0,0,((s_Ir*s_F*s_I_f*s_T*(1-EXP(-s_RadSpec!BA20*s_t_v)))/(s_Y_v*s_RadSpec!BA20))),0)</f>
        <v>9.0143481925428208</v>
      </c>
      <c r="BU20" s="115">
        <f>IFERROR(IF(d_Bv!W20=0,0,((s_Ir*s_F*s_I_f*s_T*(1-EXP(-s_RadSpec!BA20*s_t_v)))/(s_Y_v*s_RadSpec!BA20))),0)</f>
        <v>9.0143481925428208</v>
      </c>
      <c r="BV20" s="115">
        <f>IFERROR(IF(d_Bv!X20=0,0,((s_Ir*s_F*s_I_f*s_T*(1-EXP(-s_RadSpec!BA20*s_t_v)))/(s_Y_v*s_RadSpec!BA20))),0)</f>
        <v>9.0143481925428208</v>
      </c>
      <c r="BW20" s="115">
        <f>IFERROR(IF(d_Bv!Y20=0,0,((s_Ir*s_F*s_I_f*s_T*(1-EXP(-s_RadSpec!BA20*s_t_v)))/(s_Y_v*s_RadSpec!BA20))),0)</f>
        <v>9.0143481925428208</v>
      </c>
      <c r="BX20" s="115">
        <f>IFERROR(IF(d_Bv!Z20=0,0,((s_Ir*s_F*s_I_f*s_T*(1-EXP(-s_RadSpec!BA20*s_t_v)))/(s_Y_v*s_RadSpec!BA20))),0)</f>
        <v>9.0143481925428208</v>
      </c>
      <c r="BY20" s="115">
        <f>IFERROR(IF(d_Bv!AA20=0,0,((s_Ir*s_F*s_I_f*s_T*(1-EXP(-s_RadSpec!BA20*s_t_v)))/(s_Y_v*s_RadSpec!BA20))),0)</f>
        <v>9.0143481925428208</v>
      </c>
    </row>
    <row r="21" spans="1:77" x14ac:dyDescent="0.25">
      <c r="A21" s="44" t="s">
        <v>31</v>
      </c>
      <c r="B21" s="42" t="s">
        <v>1071</v>
      </c>
      <c r="C21" s="115">
        <f>IFERROR(IF(d_Bv!C21=0,0,((s_Ir*s_F*d_Bv!C21*(1-EXP(-s_RadSpec!$AZ21*s_t_b)))/(s_P*s_RadSpec!$AZ21))),0)</f>
        <v>3.9740144921492811E-2</v>
      </c>
      <c r="D21" s="115">
        <f>IFERROR(IF(d_Bv!D21=0,0,((s_Ir*s_F*d_Bv!D21*(1-EXP(-s_RadSpec!AZ21*s_t_b)))/(s_P*s_RadSpec!AZ21))),0)</f>
        <v>1.4703853620952343</v>
      </c>
      <c r="E21" s="115">
        <f>IFERROR(IF(d_Bv!E21=0,0,((s_Ir*s_F*d_Bv!E21*(1-EXP(-s_RadSpec!AZ21*s_t_b)))/(s_P*s_RadSpec!AZ21))),0)</f>
        <v>1.1524642027232916</v>
      </c>
      <c r="F21" s="115">
        <f>IFERROR(IF(d_Bv!F21=0,0,((s_Ir*s_F*d_Bv!F21*(1-EXP(-s_RadSpec!AZ21*s_t_b)))/(s_P*s_RadSpec!AZ21))),0)</f>
        <v>3.9740144921492811E-2</v>
      </c>
      <c r="G21" s="115">
        <f>IFERROR(IF(d_Bv!G21=0,0,((s_Ir*s_F*d_Bv!G21*(1-EXP(-s_RadSpec!AZ21*s_t_b)))/(s_P*s_RadSpec!AZ21))),0)</f>
        <v>3.9740144921492811E-2</v>
      </c>
      <c r="H21" s="115">
        <f>IFERROR(IF(d_Bv!H21=0,0,((s_Ir*s_F*d_Bv!H21*(1-EXP(-s_RadSpec!AZ21*s_t_b)))/(s_P*s_RadSpec!AZ21))),0)</f>
        <v>1.4703853620952343</v>
      </c>
      <c r="I21" s="115">
        <f>IFERROR(IF(d_Bv!I21=0,0,((s_Ir*s_F*d_Bv!I21*(1-EXP(-s_RadSpec!AZ21*s_t_b)))/(s_P*s_RadSpec!AZ21))),0)</f>
        <v>1.1524642027232916</v>
      </c>
      <c r="J21" s="115">
        <f>IFERROR(IF(d_Bv!J21=0,0,((s_Ir*s_F*d_Bv!J21*(1-EXP(-s_RadSpec!AZ21*s_t_b)))/(s_P*s_RadSpec!AZ21))),0)</f>
        <v>3.9740144921492811E-2</v>
      </c>
      <c r="K21" s="115">
        <f>IFERROR(IF(d_Bv!K21=0,0,((s_Ir*s_F*d_Bv!K21*(1-EXP(-s_RadSpec!AZ21*s_t_b)))/(s_P*s_RadSpec!AZ21))),0)</f>
        <v>4.768817390579138E-2</v>
      </c>
      <c r="L21" s="115">
        <f>IFERROR(IF(d_Bv!L21=0,0,((s_Ir*s_F*d_Bv!L21*(1-EXP(-s_RadSpec!AZ21*s_t_b)))/(s_P*s_RadSpec!AZ21))),0)</f>
        <v>3.9740144921492811E-2</v>
      </c>
      <c r="M21" s="115">
        <f>IFERROR(IF(d_Bv!M21=0,0,((s_Ir*s_F*d_Bv!M21*(1-EXP(-s_RadSpec!AZ21*s_t_b)))/(s_P*s_RadSpec!AZ21))),0)</f>
        <v>1.4703853620952343</v>
      </c>
      <c r="N21" s="115">
        <f>IFERROR(IF(d_Bv!N21=0,0,((s_Ir*s_F*d_Bv!N21*(1-EXP(-s_RadSpec!AZ21*s_t_b)))/(s_P*s_RadSpec!AZ21))),0)</f>
        <v>5.364919564401531E-2</v>
      </c>
      <c r="O21" s="115">
        <f>IFERROR(IF(d_Bv!O21=0,0,((s_Ir*s_F*d_Bv!O21*(1-EXP(-s_RadSpec!AZ21*s_t_b)))/(s_P*s_RadSpec!AZ21))),0)</f>
        <v>3.9740144921492811E-2</v>
      </c>
      <c r="P21" s="115">
        <f>IFERROR(IF(d_Bv!P21=0,0,((s_Ir*s_F*d_Bv!P21*(1-EXP(-s_RadSpec!AZ21*s_t_b)))/(s_P*s_RadSpec!AZ21))),0)</f>
        <v>1.1524642027232916</v>
      </c>
      <c r="Q21" s="115">
        <f>IFERROR(IF(d_Bv!Q21=0,0,((s_Ir*s_F*d_Bv!Q21*(1-EXP(-s_RadSpec!AZ21*s_t_b)))/(s_P*s_RadSpec!AZ21))),0)</f>
        <v>3.9740144921492811E-2</v>
      </c>
      <c r="R21" s="115">
        <f>IFERROR(IF(d_Bv!R21=0,0,((s_Ir*s_F*d_Bv!R21*(1-EXP(-s_RadSpec!AZ21*s_t_b)))/(s_P*s_RadSpec!AZ21))),0)</f>
        <v>3.9740144921492811E-2</v>
      </c>
      <c r="S21" s="115">
        <f>IFERROR(IF(d_Bv!S21=0,0,((s_Ir*s_F*d_Bv!S21*(1-EXP(-s_RadSpec!AZ21*s_t_b)))/(s_P*s_RadSpec!AZ21))),0)</f>
        <v>5.364919564401531E-2</v>
      </c>
      <c r="T21" s="115">
        <f>IFERROR(IF(d_Bv!T21=0,0,((s_Ir*s_F*d_Bv!T21*(1-EXP(-s_RadSpec!AZ21*s_t_b)))/(s_P*s_RadSpec!AZ21))),0)</f>
        <v>3.9740144921492811E-2</v>
      </c>
      <c r="U21" s="115">
        <f>IFERROR(IF(d_Bv!U21=0,0,((s_Ir*s_F*d_Bv!U21*(1-EXP(-s_RadSpec!AZ21*s_t_b)))/(s_P*s_RadSpec!AZ21))),0)</f>
        <v>0.53649195644015302</v>
      </c>
      <c r="V21" s="115">
        <f>IFERROR(IF(d_Bv!V21=0,0,((s_Ir*s_F*d_Bv!V21*(1-EXP(-s_RadSpec!AZ21*s_t_b)))/(s_P*s_RadSpec!AZ21))),0)</f>
        <v>3.9740144921492811E-2</v>
      </c>
      <c r="W21" s="115">
        <f>IFERROR(IF(d_Bv!W21=0,0,((s_Ir*s_F*d_Bv!W21*(1-EXP(-s_RadSpec!AZ21*s_t_b)))/(s_P*s_RadSpec!AZ21))),0)</f>
        <v>5.364919564401531E-2</v>
      </c>
      <c r="X21" s="115">
        <f>IFERROR(IF(d_Bv!X21=0,0,((s_Ir*s_F*d_Bv!X21*(1-EXP(-s_RadSpec!AZ21*s_t_b)))/(s_P*s_RadSpec!AZ21))),0)</f>
        <v>3.9740144921492811E-2</v>
      </c>
      <c r="Y21" s="115">
        <f>IFERROR(IF(d_Bv!Y21=0,0,((s_Ir*s_F*d_Bv!Y21*(1-EXP(-s_RadSpec!AZ21*s_t_b)))/(s_P*s_RadSpec!AZ21))),0)</f>
        <v>3.9740144921492811E-2</v>
      </c>
      <c r="Z21" s="115">
        <f>IFERROR(IF(d_Bv!Z21=0,0,((s_Ir*s_F*d_Bv!Z21*(1-EXP(-s_RadSpec!AZ21*s_t_b)))/(s_P*s_RadSpec!AZ21))),0)</f>
        <v>2.583109419897033</v>
      </c>
      <c r="AA21" s="115">
        <f>IFERROR(IF(d_Bv!AA21=0,0,((s_Ir*s_F*d_Bv!AA21*(1-EXP(-s_RadSpec!AZ21*s_t_b)))/(s_P*s_RadSpec!AZ21))),0)</f>
        <v>4.768817390579138E-2</v>
      </c>
      <c r="AB21" s="115">
        <f>IFERROR(IF(d_Bv!C21=0,0,((s_Ir*s_F*s_MLF_apple*(1-EXP(-s_RadSpec!AZ21*s_t_b)))/(s_P*s_RadSpec!AZ21))),0)</f>
        <v>2.6824597822007652</v>
      </c>
      <c r="AC21" s="115">
        <f>IFERROR(IF(d_Bv!D21=0,0,((s_Ir*s_F*s_MLF_asparagus*(1-EXP(-s_RadSpec!AZ21*s_t_b)))/(s_P*s_RadSpec!AZ21))),0)</f>
        <v>2.6824597822007652</v>
      </c>
      <c r="AD21" s="115">
        <f>IFERROR(IF(d_Bv!E21=0,0,((s_Ir*s_F*s_MLF_beet*(1-EXP(-s_RadSpec!AZ21*s_t_b)))/(s_P*s_RadSpec!AZ21))),0)</f>
        <v>2.6824597822007652</v>
      </c>
      <c r="AE21" s="115">
        <f>IFERROR(IF(d_Bv!F21=0,0,((s_Ir*s_F*s_MLF_berries*(1-EXP(-s_RadSpec!AZ21*s_t_b)))/(s_P*s_RadSpec!AZ21))),0)</f>
        <v>2.6824597822007652</v>
      </c>
      <c r="AF21" s="115">
        <f>IFERROR(IF(d_Bv!G21=0,0,((s_Ir*s_F*s_MLF_broccoli*(1-EXP(-s_RadSpec!AZ21*s_t_b)))/(s_P*s_RadSpec!AZ21))),0)</f>
        <v>2.6824597822007652</v>
      </c>
      <c r="AG21" s="115">
        <f>IFERROR(IF(d_Bv!H21=0,0,((s_Ir*s_F*s_MLF_cabbage*(1-EXP(-s_RadSpec!AZ21*s_t_b)))/(s_P*s_RadSpec!AZ21))),0)</f>
        <v>2.6824597822007652</v>
      </c>
      <c r="AH21" s="115">
        <f>IFERROR(IF(d_Bv!I21=0,0,((s_Ir*s_F*s_MLF_carrot*(1-EXP(-s_RadSpec!AZ21*s_t_b)))/(s_P*s_RadSpec!AZ21))),0)</f>
        <v>2.6824597822007652</v>
      </c>
      <c r="AI21" s="115">
        <f>IFERROR(IF(d_Bv!J21=0,0,((s_Ir*s_F*s_MLF_citrus*(1-EXP(-s_RadSpec!AZ21*s_t_b)))/(s_P*s_RadSpec!AZ21))),0)</f>
        <v>2.6824597822007652</v>
      </c>
      <c r="AJ21" s="115">
        <f>IFERROR(IF(d_Bv!K21=0,0,((s_Ir*s_F*s_MLF_corn*(1-EXP(-s_RadSpec!AZ21*s_t_b)))/(s_P*s_RadSpec!AZ21))),0)</f>
        <v>2.6824597822007652</v>
      </c>
      <c r="AK21" s="115">
        <f>IFERROR(IF(d_Bv!L21=0,0,((s_Ir*s_F*s_MLF_cucumber*(1-EXP(-s_RadSpec!AZ21*s_t_b)))/(s_P*s_RadSpec!AZ21))),0)</f>
        <v>2.6824597822007652</v>
      </c>
      <c r="AL21" s="115">
        <f>IFERROR(IF(d_Bv!M21=0,0,((s_Ir*s_F*s_MLF_lettuce*(1-EXP(-s_RadSpec!AZ21*s_t_b)))/(s_P*s_RadSpec!AZ21))),0)</f>
        <v>2.6824597822007652</v>
      </c>
      <c r="AM21" s="115">
        <f>IFERROR(IF(d_Bv!N21=0,0,((s_Ir*s_F*s_MLF_lima_bean*(1-EXP(-s_RadSpec!AZ21*s_t_b)))/(s_P*s_RadSpec!AZ21))),0)</f>
        <v>2.6824597822007652</v>
      </c>
      <c r="AN21" s="115">
        <f>IFERROR(IF(d_Bv!O21=0,0,((s_Ir*s_F*s_MLF_okra*(1-EXP(-s_RadSpec!AZ21*s_t_b)))/(s_P*s_RadSpec!AZ21))),0)</f>
        <v>2.6824597822007652</v>
      </c>
      <c r="AO21" s="115">
        <f>IFERROR(IF(d_Bv!P21=0,0,((s_Ir*s_F*s_MLF_onion*(1-EXP(-s_RadSpec!AZ21*s_t_b)))/(s_P*s_RadSpec!AZ21))),0)</f>
        <v>2.6824597822007652</v>
      </c>
      <c r="AP21" s="115">
        <f>IFERROR(IF(d_Bv!Q21=0,0,((s_Ir*s_F*s_MLF_peach*(1-EXP(-s_RadSpec!AZ21*s_t_b)))/(s_P*s_RadSpec!AZ21))),0)</f>
        <v>2.6824597822007652</v>
      </c>
      <c r="AQ21" s="115">
        <f>IFERROR(IF(d_Bv!R21=0,0,((s_Ir*s_F*s_MLF_pear*(1-EXP(-s_RadSpec!AZ21*s_t_b)))/(s_P*s_RadSpec!AZ21))),0)</f>
        <v>2.6824597822007652</v>
      </c>
      <c r="AR21" s="115">
        <f>IFERROR(IF(d_Bv!S21=0,0,((s_Ir*s_F*s_MLF_peas*(1-EXP(-s_RadSpec!AZ21*s_t_b)))/(s_P*s_RadSpec!AZ21))),0)</f>
        <v>2.6824597822007652</v>
      </c>
      <c r="AS21" s="115">
        <f>IFERROR(IF(d_Bv!T21=0,0,((s_Ir*s_F*s_MLF_peppers*(1-EXP(-s_RadSpec!AZ21*s_t_b)))/(s_P*s_RadSpec!AZ21))),0)</f>
        <v>2.6824597822007652</v>
      </c>
      <c r="AT21" s="115">
        <f>IFERROR(IF(d_Bv!U21=0,0,((s_Ir*s_F*s_MLF_potato*(1-EXP(-s_RadSpec!AZ21*s_t_b)))/(s_P*s_RadSpec!AZ21))),0)</f>
        <v>2.6824597822007652</v>
      </c>
      <c r="AU21" s="115">
        <f>IFERROR(IF(d_Bv!V21=0,0,((s_Ir*s_F*s_MLF_pumpkin*(1-EXP(-s_RadSpec!AZ21*s_t_b)))/(s_P*s_RadSpec!AZ21))),0)</f>
        <v>2.6824597822007652</v>
      </c>
      <c r="AV21" s="115">
        <f>IFERROR(IF(d_Bv!W21=0,0,((s_Ir*s_F*s_MLF_snap_bean*(1-EXP(-s_RadSpec!AZ21*s_t_b)))/(s_P*s_RadSpec!AZ21))),0)</f>
        <v>2.6824597822007652</v>
      </c>
      <c r="AW21" s="115">
        <f>IFERROR(IF(d_Bv!X21=0,0,((s_Ir*s_F*s_MLF_strawberry*(1-EXP(-s_RadSpec!AZ21*s_t_b)))/(s_P*s_RadSpec!AZ21))),0)</f>
        <v>2.6824597822007652</v>
      </c>
      <c r="AX21" s="115">
        <f>IFERROR(IF(d_Bv!Y21=0,0,((s_Ir*s_F*s_MLF_tomato*(1-EXP(-s_RadSpec!AZ21*s_t_b)))/(s_P*s_RadSpec!AZ21))),0)</f>
        <v>2.6824597822007652</v>
      </c>
      <c r="AY21" s="115">
        <f>IFERROR(IF(d_Bv!Z21=0,0,((s_Ir*s_F*s_MLF_rice*(1-EXP(-s_RadSpec!AZ21*s_t_b)))/(s_P*s_RadSpec!AZ21))),0)</f>
        <v>2.6824597822007652</v>
      </c>
      <c r="AZ21" s="115">
        <f>IFERROR(IF(d_Bv!AA21=0,0,((s_Ir*s_F*s_MLF_cereal*(1-EXP(-s_RadSpec!AZ21*s_t_b)))/(s_P*s_RadSpec!AZ21))),0)</f>
        <v>2.6824597822007652</v>
      </c>
      <c r="BA21" s="115">
        <f>IFERROR(IF(d_Bv!C21=0,0,((s_Ir*s_F*s_I_f*s_T*(1-EXP(-s_RadSpec!BA21*s_t_v)))/(s_Y_v*s_RadSpec!BA21))),0)</f>
        <v>9.0143481925428208</v>
      </c>
      <c r="BB21" s="115">
        <f>IFERROR(IF(d_Bv!D21=0,0,((s_Ir*s_F*s_I_f*s_T*(1-EXP(-s_RadSpec!BA21*s_t_v)))/(s_Y_v*s_RadSpec!BA21))),0)</f>
        <v>9.0143481925428208</v>
      </c>
      <c r="BC21" s="115">
        <f>IFERROR(IF(d_Bv!E21=0,0,((s_Ir*s_F*s_I_f*s_T*(1-EXP(-s_RadSpec!BA21*s_t_v)))/(s_Y_v*s_RadSpec!BA21))),0)</f>
        <v>9.0143481925428208</v>
      </c>
      <c r="BD21" s="115">
        <f>IFERROR(IF(d_Bv!F21=0,0,((s_Ir*s_F*s_I_f*s_T*(1-EXP(-s_RadSpec!BA21*s_t_v)))/(s_Y_v*s_RadSpec!BA21))),0)</f>
        <v>9.0143481925428208</v>
      </c>
      <c r="BE21" s="115">
        <f>IFERROR(IF(d_Bv!G21=0,0,((s_Ir*s_F*s_I_f*s_T*(1-EXP(-s_RadSpec!BA21*s_t_v)))/(s_Y_v*s_RadSpec!BA21))),0)</f>
        <v>9.0143481925428208</v>
      </c>
      <c r="BF21" s="115">
        <f>IFERROR(IF(d_Bv!H21=0,0,((s_Ir*s_F*s_I_f*s_T*(1-EXP(-s_RadSpec!BA21*s_t_v)))/(s_Y_v*s_RadSpec!BA21))),0)</f>
        <v>9.0143481925428208</v>
      </c>
      <c r="BG21" s="115">
        <f>IFERROR(IF(d_Bv!I21=0,0,((s_Ir*s_F*s_I_f*s_T*(1-EXP(-s_RadSpec!BA21*s_t_v)))/(s_Y_v*s_RadSpec!BA21))),0)</f>
        <v>9.0143481925428208</v>
      </c>
      <c r="BH21" s="115">
        <f>IFERROR(IF(d_Bv!J21=0,0,((s_Ir*s_F*s_I_f*s_T*(1-EXP(-s_RadSpec!BA21*s_t_v)))/(s_Y_v*s_RadSpec!BA21))),0)</f>
        <v>9.0143481925428208</v>
      </c>
      <c r="BI21" s="115">
        <f>IFERROR(IF(d_Bv!K21=0,0,((s_Ir*s_F*s_I_f*s_T*(1-EXP(-s_RadSpec!BA21*s_t_v)))/(s_Y_v*s_RadSpec!BA21))),0)</f>
        <v>9.0143481925428208</v>
      </c>
      <c r="BJ21" s="115">
        <f>IFERROR(IF(d_Bv!L21=0,0,((s_Ir*s_F*s_I_f*s_T*(1-EXP(-s_RadSpec!BA21*s_t_v)))/(s_Y_v*s_RadSpec!BA21))),0)</f>
        <v>9.0143481925428208</v>
      </c>
      <c r="BK21" s="115">
        <f>IFERROR(IF(d_Bv!M21=0,0,((s_Ir*s_F*s_I_f*s_T*(1-EXP(-s_RadSpec!BA21*s_t_v)))/(s_Y_v*s_RadSpec!BA21))),0)</f>
        <v>9.0143481925428208</v>
      </c>
      <c r="BL21" s="115">
        <f>IFERROR(IF(d_Bv!N21=0,0,((s_Ir*s_F*s_I_f*s_T*(1-EXP(-s_RadSpec!BA21*s_t_v)))/(s_Y_v*s_RadSpec!BA21))),0)</f>
        <v>9.0143481925428208</v>
      </c>
      <c r="BM21" s="115">
        <f>IFERROR(IF(d_Bv!O21=0,0,((s_Ir*s_F*s_I_f*s_T*(1-EXP(-s_RadSpec!BA21*s_t_v)))/(s_Y_v*s_RadSpec!BA21))),0)</f>
        <v>9.0143481925428208</v>
      </c>
      <c r="BN21" s="115">
        <f>IFERROR(IF(d_Bv!P21=0,0,((s_Ir*s_F*s_I_f*s_T*(1-EXP(-s_RadSpec!BA21*s_t_v)))/(s_Y_v*s_RadSpec!BA21))),0)</f>
        <v>9.0143481925428208</v>
      </c>
      <c r="BO21" s="115">
        <f>IFERROR(IF(d_Bv!Q21=0,0,((s_Ir*s_F*s_I_f*s_T*(1-EXP(-s_RadSpec!BA21*s_t_v)))/(s_Y_v*s_RadSpec!BA21))),0)</f>
        <v>9.0143481925428208</v>
      </c>
      <c r="BP21" s="115">
        <f>IFERROR(IF(d_Bv!R21=0,0,((s_Ir*s_F*s_I_f*s_T*(1-EXP(-s_RadSpec!BA21*s_t_v)))/(s_Y_v*s_RadSpec!BA21))),0)</f>
        <v>9.0143481925428208</v>
      </c>
      <c r="BQ21" s="115">
        <f>IFERROR(IF(d_Bv!S21=0,0,((s_Ir*s_F*s_I_f*s_T*(1-EXP(-s_RadSpec!BA21*s_t_v)))/(s_Y_v*s_RadSpec!BA21))),0)</f>
        <v>9.0143481925428208</v>
      </c>
      <c r="BR21" s="115">
        <f>IFERROR(IF(d_Bv!T21=0,0,((s_Ir*s_F*s_I_f*s_T*(1-EXP(-s_RadSpec!BA21*s_t_v)))/(s_Y_v*s_RadSpec!BA21))),0)</f>
        <v>9.0143481925428208</v>
      </c>
      <c r="BS21" s="115">
        <f>IFERROR(IF(d_Bv!U21=0,0,((s_Ir*s_F*s_I_f*s_T*(1-EXP(-s_RadSpec!BA21*s_t_v)))/(s_Y_v*s_RadSpec!BA21))),0)</f>
        <v>9.0143481925428208</v>
      </c>
      <c r="BT21" s="115">
        <f>IFERROR(IF(d_Bv!V21=0,0,((s_Ir*s_F*s_I_f*s_T*(1-EXP(-s_RadSpec!BA21*s_t_v)))/(s_Y_v*s_RadSpec!BA21))),0)</f>
        <v>9.0143481925428208</v>
      </c>
      <c r="BU21" s="115">
        <f>IFERROR(IF(d_Bv!W21=0,0,((s_Ir*s_F*s_I_f*s_T*(1-EXP(-s_RadSpec!BA21*s_t_v)))/(s_Y_v*s_RadSpec!BA21))),0)</f>
        <v>9.0143481925428208</v>
      </c>
      <c r="BV21" s="115">
        <f>IFERROR(IF(d_Bv!X21=0,0,((s_Ir*s_F*s_I_f*s_T*(1-EXP(-s_RadSpec!BA21*s_t_v)))/(s_Y_v*s_RadSpec!BA21))),0)</f>
        <v>9.0143481925428208</v>
      </c>
      <c r="BW21" s="115">
        <f>IFERROR(IF(d_Bv!Y21=0,0,((s_Ir*s_F*s_I_f*s_T*(1-EXP(-s_RadSpec!BA21*s_t_v)))/(s_Y_v*s_RadSpec!BA21))),0)</f>
        <v>9.0143481925428208</v>
      </c>
      <c r="BX21" s="115">
        <f>IFERROR(IF(d_Bv!Z21=0,0,((s_Ir*s_F*s_I_f*s_T*(1-EXP(-s_RadSpec!BA21*s_t_v)))/(s_Y_v*s_RadSpec!BA21))),0)</f>
        <v>9.0143481925428208</v>
      </c>
      <c r="BY21" s="115">
        <f>IFERROR(IF(d_Bv!AA21=0,0,((s_Ir*s_F*s_I_f*s_T*(1-EXP(-s_RadSpec!BA21*s_t_v)))/(s_Y_v*s_RadSpec!BA21))),0)</f>
        <v>9.0143481925428208</v>
      </c>
    </row>
    <row r="22" spans="1:77" x14ac:dyDescent="0.25">
      <c r="A22" s="44" t="s">
        <v>32</v>
      </c>
      <c r="B22" s="42" t="s">
        <v>1071</v>
      </c>
      <c r="C22" s="115">
        <f>IFERROR(IF(d_Bv!C22=0,0,((s_Ir*s_F*d_Bv!C22*(1-EXP(-s_RadSpec!$AZ22*s_t_b)))/(s_P*s_RadSpec!$AZ22))),0)</f>
        <v>1.9870072460746409</v>
      </c>
      <c r="D22" s="115">
        <f>IFERROR(IF(d_Bv!D22=0,0,((s_Ir*s_F*d_Bv!D22*(1-EXP(-s_RadSpec!AZ22*s_t_b)))/(s_P*s_RadSpec!AZ22))),0)</f>
        <v>18.081765939279229</v>
      </c>
      <c r="E22" s="115">
        <f>IFERROR(IF(d_Bv!E22=0,0,((s_Ir*s_F*d_Bv!E22*(1-EXP(-s_RadSpec!AZ22*s_t_b)))/(s_P*s_RadSpec!AZ22))),0)</f>
        <v>13.909050722522487</v>
      </c>
      <c r="F22" s="115">
        <f>IFERROR(IF(d_Bv!F22=0,0,((s_Ir*s_F*d_Bv!F22*(1-EXP(-s_RadSpec!AZ22*s_t_b)))/(s_P*s_RadSpec!AZ22))),0)</f>
        <v>1.9870072460746409</v>
      </c>
      <c r="G22" s="115">
        <f>IFERROR(IF(d_Bv!G22=0,0,((s_Ir*s_F*d_Bv!G22*(1-EXP(-s_RadSpec!AZ22*s_t_b)))/(s_P*s_RadSpec!AZ22))),0)</f>
        <v>3.3779123183268895</v>
      </c>
      <c r="H22" s="115">
        <f>IFERROR(IF(d_Bv!H22=0,0,((s_Ir*s_F*d_Bv!H22*(1-EXP(-s_RadSpec!AZ22*s_t_b)))/(s_P*s_RadSpec!AZ22))),0)</f>
        <v>18.081765939279229</v>
      </c>
      <c r="I22" s="115">
        <f>IFERROR(IF(d_Bv!I22=0,0,((s_Ir*s_F*d_Bv!I22*(1-EXP(-s_RadSpec!AZ22*s_t_b)))/(s_P*s_RadSpec!AZ22))),0)</f>
        <v>13.909050722522487</v>
      </c>
      <c r="J22" s="115">
        <f>IFERROR(IF(d_Bv!J22=0,0,((s_Ir*s_F*d_Bv!J22*(1-EXP(-s_RadSpec!AZ22*s_t_b)))/(s_P*s_RadSpec!AZ22))),0)</f>
        <v>1.9870072460746409</v>
      </c>
      <c r="K22" s="115">
        <f>IFERROR(IF(d_Bv!K22=0,0,((s_Ir*s_F*d_Bv!K22*(1-EXP(-s_RadSpec!AZ22*s_t_b)))/(s_P*s_RadSpec!AZ22))),0)</f>
        <v>0.47688173905791376</v>
      </c>
      <c r="L22" s="115">
        <f>IFERROR(IF(d_Bv!L22=0,0,((s_Ir*s_F*d_Bv!L22*(1-EXP(-s_RadSpec!AZ22*s_t_b)))/(s_P*s_RadSpec!AZ22))),0)</f>
        <v>3.3779123183268895</v>
      </c>
      <c r="M22" s="115">
        <f>IFERROR(IF(d_Bv!M22=0,0,((s_Ir*s_F*d_Bv!M22*(1-EXP(-s_RadSpec!AZ22*s_t_b)))/(s_P*s_RadSpec!AZ22))),0)</f>
        <v>18.081765939279229</v>
      </c>
      <c r="N22" s="115">
        <f>IFERROR(IF(d_Bv!N22=0,0,((s_Ir*s_F*d_Bv!N22*(1-EXP(-s_RadSpec!AZ22*s_t_b)))/(s_P*s_RadSpec!AZ22))),0)</f>
        <v>2.7818101445044974</v>
      </c>
      <c r="O22" s="115">
        <f>IFERROR(IF(d_Bv!O22=0,0,((s_Ir*s_F*d_Bv!O22*(1-EXP(-s_RadSpec!AZ22*s_t_b)))/(s_P*s_RadSpec!AZ22))),0)</f>
        <v>3.3779123183268895</v>
      </c>
      <c r="P22" s="115">
        <f>IFERROR(IF(d_Bv!P22=0,0,((s_Ir*s_F*d_Bv!P22*(1-EXP(-s_RadSpec!AZ22*s_t_b)))/(s_P*s_RadSpec!AZ22))),0)</f>
        <v>13.909050722522487</v>
      </c>
      <c r="Q22" s="115">
        <f>IFERROR(IF(d_Bv!Q22=0,0,((s_Ir*s_F*d_Bv!Q22*(1-EXP(-s_RadSpec!AZ22*s_t_b)))/(s_P*s_RadSpec!AZ22))),0)</f>
        <v>1.9870072460746409</v>
      </c>
      <c r="R22" s="115">
        <f>IFERROR(IF(d_Bv!R22=0,0,((s_Ir*s_F*d_Bv!R22*(1-EXP(-s_RadSpec!AZ22*s_t_b)))/(s_P*s_RadSpec!AZ22))),0)</f>
        <v>1.9870072460746409</v>
      </c>
      <c r="S22" s="115">
        <f>IFERROR(IF(d_Bv!S22=0,0,((s_Ir*s_F*d_Bv!S22*(1-EXP(-s_RadSpec!AZ22*s_t_b)))/(s_P*s_RadSpec!AZ22))),0)</f>
        <v>2.7818101445044974</v>
      </c>
      <c r="T22" s="115">
        <f>IFERROR(IF(d_Bv!T22=0,0,((s_Ir*s_F*d_Bv!T22*(1-EXP(-s_RadSpec!AZ22*s_t_b)))/(s_P*s_RadSpec!AZ22))),0)</f>
        <v>3.3779123183268895</v>
      </c>
      <c r="U22" s="115">
        <f>IFERROR(IF(d_Bv!U22=0,0,((s_Ir*s_F*d_Bv!U22*(1-EXP(-s_RadSpec!AZ22*s_t_b)))/(s_P*s_RadSpec!AZ22))),0)</f>
        <v>2.1857079706821048</v>
      </c>
      <c r="V22" s="115">
        <f>IFERROR(IF(d_Bv!V22=0,0,((s_Ir*s_F*d_Bv!V22*(1-EXP(-s_RadSpec!AZ22*s_t_b)))/(s_P*s_RadSpec!AZ22))),0)</f>
        <v>3.3779123183268895</v>
      </c>
      <c r="W22" s="115">
        <f>IFERROR(IF(d_Bv!W22=0,0,((s_Ir*s_F*d_Bv!W22*(1-EXP(-s_RadSpec!AZ22*s_t_b)))/(s_P*s_RadSpec!AZ22))),0)</f>
        <v>2.7818101445044974</v>
      </c>
      <c r="X22" s="115">
        <f>IFERROR(IF(d_Bv!X22=0,0,((s_Ir*s_F*d_Bv!X22*(1-EXP(-s_RadSpec!AZ22*s_t_b)))/(s_P*s_RadSpec!AZ22))),0)</f>
        <v>1.9870072460746409</v>
      </c>
      <c r="Y22" s="115">
        <f>IFERROR(IF(d_Bv!Y22=0,0,((s_Ir*s_F*d_Bv!Y22*(1-EXP(-s_RadSpec!AZ22*s_t_b)))/(s_P*s_RadSpec!AZ22))),0)</f>
        <v>3.3779123183268895</v>
      </c>
      <c r="Z22" s="115">
        <f>IFERROR(IF(d_Bv!Z22=0,0,((s_Ir*s_F*d_Bv!Z22*(1-EXP(-s_RadSpec!AZ22*s_t_b)))/(s_P*s_RadSpec!AZ22))),0)</f>
        <v>0.17286963040849374</v>
      </c>
      <c r="AA22" s="115">
        <f>IFERROR(IF(d_Bv!AA22=0,0,((s_Ir*s_F*d_Bv!AA22*(1-EXP(-s_RadSpec!AZ22*s_t_b)))/(s_P*s_RadSpec!AZ22))),0)</f>
        <v>3.3779123183268895</v>
      </c>
      <c r="AB22" s="115">
        <f>IFERROR(IF(d_Bv!C22=0,0,((s_Ir*s_F*s_MLF_apple*(1-EXP(-s_RadSpec!AZ22*s_t_b)))/(s_P*s_RadSpec!AZ22))),0)</f>
        <v>2.6824597822007652</v>
      </c>
      <c r="AC22" s="115">
        <f>IFERROR(IF(d_Bv!D22=0,0,((s_Ir*s_F*s_MLF_asparagus*(1-EXP(-s_RadSpec!AZ22*s_t_b)))/(s_P*s_RadSpec!AZ22))),0)</f>
        <v>2.6824597822007652</v>
      </c>
      <c r="AD22" s="115">
        <f>IFERROR(IF(d_Bv!E22=0,0,((s_Ir*s_F*s_MLF_beet*(1-EXP(-s_RadSpec!AZ22*s_t_b)))/(s_P*s_RadSpec!AZ22))),0)</f>
        <v>2.6824597822007652</v>
      </c>
      <c r="AE22" s="115">
        <f>IFERROR(IF(d_Bv!F22=0,0,((s_Ir*s_F*s_MLF_berries*(1-EXP(-s_RadSpec!AZ22*s_t_b)))/(s_P*s_RadSpec!AZ22))),0)</f>
        <v>2.6824597822007652</v>
      </c>
      <c r="AF22" s="115">
        <f>IFERROR(IF(d_Bv!G22=0,0,((s_Ir*s_F*s_MLF_broccoli*(1-EXP(-s_RadSpec!AZ22*s_t_b)))/(s_P*s_RadSpec!AZ22))),0)</f>
        <v>2.6824597822007652</v>
      </c>
      <c r="AG22" s="115">
        <f>IFERROR(IF(d_Bv!H22=0,0,((s_Ir*s_F*s_MLF_cabbage*(1-EXP(-s_RadSpec!AZ22*s_t_b)))/(s_P*s_RadSpec!AZ22))),0)</f>
        <v>2.6824597822007652</v>
      </c>
      <c r="AH22" s="115">
        <f>IFERROR(IF(d_Bv!I22=0,0,((s_Ir*s_F*s_MLF_carrot*(1-EXP(-s_RadSpec!AZ22*s_t_b)))/(s_P*s_RadSpec!AZ22))),0)</f>
        <v>2.6824597822007652</v>
      </c>
      <c r="AI22" s="115">
        <f>IFERROR(IF(d_Bv!J22=0,0,((s_Ir*s_F*s_MLF_citrus*(1-EXP(-s_RadSpec!AZ22*s_t_b)))/(s_P*s_RadSpec!AZ22))),0)</f>
        <v>2.6824597822007652</v>
      </c>
      <c r="AJ22" s="115">
        <f>IFERROR(IF(d_Bv!K22=0,0,((s_Ir*s_F*s_MLF_corn*(1-EXP(-s_RadSpec!AZ22*s_t_b)))/(s_P*s_RadSpec!AZ22))),0)</f>
        <v>2.6824597822007652</v>
      </c>
      <c r="AK22" s="115">
        <f>IFERROR(IF(d_Bv!L22=0,0,((s_Ir*s_F*s_MLF_cucumber*(1-EXP(-s_RadSpec!AZ22*s_t_b)))/(s_P*s_RadSpec!AZ22))),0)</f>
        <v>2.6824597822007652</v>
      </c>
      <c r="AL22" s="115">
        <f>IFERROR(IF(d_Bv!M22=0,0,((s_Ir*s_F*s_MLF_lettuce*(1-EXP(-s_RadSpec!AZ22*s_t_b)))/(s_P*s_RadSpec!AZ22))),0)</f>
        <v>2.6824597822007652</v>
      </c>
      <c r="AM22" s="115">
        <f>IFERROR(IF(d_Bv!N22=0,0,((s_Ir*s_F*s_MLF_lima_bean*(1-EXP(-s_RadSpec!AZ22*s_t_b)))/(s_P*s_RadSpec!AZ22))),0)</f>
        <v>2.6824597822007652</v>
      </c>
      <c r="AN22" s="115">
        <f>IFERROR(IF(d_Bv!O22=0,0,((s_Ir*s_F*s_MLF_okra*(1-EXP(-s_RadSpec!AZ22*s_t_b)))/(s_P*s_RadSpec!AZ22))),0)</f>
        <v>2.6824597822007652</v>
      </c>
      <c r="AO22" s="115">
        <f>IFERROR(IF(d_Bv!P22=0,0,((s_Ir*s_F*s_MLF_onion*(1-EXP(-s_RadSpec!AZ22*s_t_b)))/(s_P*s_RadSpec!AZ22))),0)</f>
        <v>2.6824597822007652</v>
      </c>
      <c r="AP22" s="115">
        <f>IFERROR(IF(d_Bv!Q22=0,0,((s_Ir*s_F*s_MLF_peach*(1-EXP(-s_RadSpec!AZ22*s_t_b)))/(s_P*s_RadSpec!AZ22))),0)</f>
        <v>2.6824597822007652</v>
      </c>
      <c r="AQ22" s="115">
        <f>IFERROR(IF(d_Bv!R22=0,0,((s_Ir*s_F*s_MLF_pear*(1-EXP(-s_RadSpec!AZ22*s_t_b)))/(s_P*s_RadSpec!AZ22))),0)</f>
        <v>2.6824597822007652</v>
      </c>
      <c r="AR22" s="115">
        <f>IFERROR(IF(d_Bv!S22=0,0,((s_Ir*s_F*s_MLF_peas*(1-EXP(-s_RadSpec!AZ22*s_t_b)))/(s_P*s_RadSpec!AZ22))),0)</f>
        <v>2.6824597822007652</v>
      </c>
      <c r="AS22" s="115">
        <f>IFERROR(IF(d_Bv!T22=0,0,((s_Ir*s_F*s_MLF_peppers*(1-EXP(-s_RadSpec!AZ22*s_t_b)))/(s_P*s_RadSpec!AZ22))),0)</f>
        <v>2.6824597822007652</v>
      </c>
      <c r="AT22" s="115">
        <f>IFERROR(IF(d_Bv!U22=0,0,((s_Ir*s_F*s_MLF_potato*(1-EXP(-s_RadSpec!AZ22*s_t_b)))/(s_P*s_RadSpec!AZ22))),0)</f>
        <v>2.6824597822007652</v>
      </c>
      <c r="AU22" s="115">
        <f>IFERROR(IF(d_Bv!V22=0,0,((s_Ir*s_F*s_MLF_pumpkin*(1-EXP(-s_RadSpec!AZ22*s_t_b)))/(s_P*s_RadSpec!AZ22))),0)</f>
        <v>2.6824597822007652</v>
      </c>
      <c r="AV22" s="115">
        <f>IFERROR(IF(d_Bv!W22=0,0,((s_Ir*s_F*s_MLF_snap_bean*(1-EXP(-s_RadSpec!AZ22*s_t_b)))/(s_P*s_RadSpec!AZ22))),0)</f>
        <v>2.6824597822007652</v>
      </c>
      <c r="AW22" s="115">
        <f>IFERROR(IF(d_Bv!X22=0,0,((s_Ir*s_F*s_MLF_strawberry*(1-EXP(-s_RadSpec!AZ22*s_t_b)))/(s_P*s_RadSpec!AZ22))),0)</f>
        <v>2.6824597822007652</v>
      </c>
      <c r="AX22" s="115">
        <f>IFERROR(IF(d_Bv!Y22=0,0,((s_Ir*s_F*s_MLF_tomato*(1-EXP(-s_RadSpec!AZ22*s_t_b)))/(s_P*s_RadSpec!AZ22))),0)</f>
        <v>2.6824597822007652</v>
      </c>
      <c r="AY22" s="115">
        <f>IFERROR(IF(d_Bv!Z22=0,0,((s_Ir*s_F*s_MLF_rice*(1-EXP(-s_RadSpec!AZ22*s_t_b)))/(s_P*s_RadSpec!AZ22))),0)</f>
        <v>2.6824597822007652</v>
      </c>
      <c r="AZ22" s="115">
        <f>IFERROR(IF(d_Bv!AA22=0,0,((s_Ir*s_F*s_MLF_cereal*(1-EXP(-s_RadSpec!AZ22*s_t_b)))/(s_P*s_RadSpec!AZ22))),0)</f>
        <v>2.6824597822007652</v>
      </c>
      <c r="BA22" s="115">
        <f>IFERROR(IF(d_Bv!C22=0,0,((s_Ir*s_F*s_I_f*s_T*(1-EXP(-s_RadSpec!BA22*s_t_v)))/(s_Y_v*s_RadSpec!BA22))),0)</f>
        <v>9.0143481925428208</v>
      </c>
      <c r="BB22" s="115">
        <f>IFERROR(IF(d_Bv!D22=0,0,((s_Ir*s_F*s_I_f*s_T*(1-EXP(-s_RadSpec!BA22*s_t_v)))/(s_Y_v*s_RadSpec!BA22))),0)</f>
        <v>9.0143481925428208</v>
      </c>
      <c r="BC22" s="115">
        <f>IFERROR(IF(d_Bv!E22=0,0,((s_Ir*s_F*s_I_f*s_T*(1-EXP(-s_RadSpec!BA22*s_t_v)))/(s_Y_v*s_RadSpec!BA22))),0)</f>
        <v>9.0143481925428208</v>
      </c>
      <c r="BD22" s="115">
        <f>IFERROR(IF(d_Bv!F22=0,0,((s_Ir*s_F*s_I_f*s_T*(1-EXP(-s_RadSpec!BA22*s_t_v)))/(s_Y_v*s_RadSpec!BA22))),0)</f>
        <v>9.0143481925428208</v>
      </c>
      <c r="BE22" s="115">
        <f>IFERROR(IF(d_Bv!G22=0,0,((s_Ir*s_F*s_I_f*s_T*(1-EXP(-s_RadSpec!BA22*s_t_v)))/(s_Y_v*s_RadSpec!BA22))),0)</f>
        <v>9.0143481925428208</v>
      </c>
      <c r="BF22" s="115">
        <f>IFERROR(IF(d_Bv!H22=0,0,((s_Ir*s_F*s_I_f*s_T*(1-EXP(-s_RadSpec!BA22*s_t_v)))/(s_Y_v*s_RadSpec!BA22))),0)</f>
        <v>9.0143481925428208</v>
      </c>
      <c r="BG22" s="115">
        <f>IFERROR(IF(d_Bv!I22=0,0,((s_Ir*s_F*s_I_f*s_T*(1-EXP(-s_RadSpec!BA22*s_t_v)))/(s_Y_v*s_RadSpec!BA22))),0)</f>
        <v>9.0143481925428208</v>
      </c>
      <c r="BH22" s="115">
        <f>IFERROR(IF(d_Bv!J22=0,0,((s_Ir*s_F*s_I_f*s_T*(1-EXP(-s_RadSpec!BA22*s_t_v)))/(s_Y_v*s_RadSpec!BA22))),0)</f>
        <v>9.0143481925428208</v>
      </c>
      <c r="BI22" s="115">
        <f>IFERROR(IF(d_Bv!K22=0,0,((s_Ir*s_F*s_I_f*s_T*(1-EXP(-s_RadSpec!BA22*s_t_v)))/(s_Y_v*s_RadSpec!BA22))),0)</f>
        <v>9.0143481925428208</v>
      </c>
      <c r="BJ22" s="115">
        <f>IFERROR(IF(d_Bv!L22=0,0,((s_Ir*s_F*s_I_f*s_T*(1-EXP(-s_RadSpec!BA22*s_t_v)))/(s_Y_v*s_RadSpec!BA22))),0)</f>
        <v>9.0143481925428208</v>
      </c>
      <c r="BK22" s="115">
        <f>IFERROR(IF(d_Bv!M22=0,0,((s_Ir*s_F*s_I_f*s_T*(1-EXP(-s_RadSpec!BA22*s_t_v)))/(s_Y_v*s_RadSpec!BA22))),0)</f>
        <v>9.0143481925428208</v>
      </c>
      <c r="BL22" s="115">
        <f>IFERROR(IF(d_Bv!N22=0,0,((s_Ir*s_F*s_I_f*s_T*(1-EXP(-s_RadSpec!BA22*s_t_v)))/(s_Y_v*s_RadSpec!BA22))),0)</f>
        <v>9.0143481925428208</v>
      </c>
      <c r="BM22" s="115">
        <f>IFERROR(IF(d_Bv!O22=0,0,((s_Ir*s_F*s_I_f*s_T*(1-EXP(-s_RadSpec!BA22*s_t_v)))/(s_Y_v*s_RadSpec!BA22))),0)</f>
        <v>9.0143481925428208</v>
      </c>
      <c r="BN22" s="115">
        <f>IFERROR(IF(d_Bv!P22=0,0,((s_Ir*s_F*s_I_f*s_T*(1-EXP(-s_RadSpec!BA22*s_t_v)))/(s_Y_v*s_RadSpec!BA22))),0)</f>
        <v>9.0143481925428208</v>
      </c>
      <c r="BO22" s="115">
        <f>IFERROR(IF(d_Bv!Q22=0,0,((s_Ir*s_F*s_I_f*s_T*(1-EXP(-s_RadSpec!BA22*s_t_v)))/(s_Y_v*s_RadSpec!BA22))),0)</f>
        <v>9.0143481925428208</v>
      </c>
      <c r="BP22" s="115">
        <f>IFERROR(IF(d_Bv!R22=0,0,((s_Ir*s_F*s_I_f*s_T*(1-EXP(-s_RadSpec!BA22*s_t_v)))/(s_Y_v*s_RadSpec!BA22))),0)</f>
        <v>9.0143481925428208</v>
      </c>
      <c r="BQ22" s="115">
        <f>IFERROR(IF(d_Bv!S22=0,0,((s_Ir*s_F*s_I_f*s_T*(1-EXP(-s_RadSpec!BA22*s_t_v)))/(s_Y_v*s_RadSpec!BA22))),0)</f>
        <v>9.0143481925428208</v>
      </c>
      <c r="BR22" s="115">
        <f>IFERROR(IF(d_Bv!T22=0,0,((s_Ir*s_F*s_I_f*s_T*(1-EXP(-s_RadSpec!BA22*s_t_v)))/(s_Y_v*s_RadSpec!BA22))),0)</f>
        <v>9.0143481925428208</v>
      </c>
      <c r="BS22" s="115">
        <f>IFERROR(IF(d_Bv!U22=0,0,((s_Ir*s_F*s_I_f*s_T*(1-EXP(-s_RadSpec!BA22*s_t_v)))/(s_Y_v*s_RadSpec!BA22))),0)</f>
        <v>9.0143481925428208</v>
      </c>
      <c r="BT22" s="115">
        <f>IFERROR(IF(d_Bv!V22=0,0,((s_Ir*s_F*s_I_f*s_T*(1-EXP(-s_RadSpec!BA22*s_t_v)))/(s_Y_v*s_RadSpec!BA22))),0)</f>
        <v>9.0143481925428208</v>
      </c>
      <c r="BU22" s="115">
        <f>IFERROR(IF(d_Bv!W22=0,0,((s_Ir*s_F*s_I_f*s_T*(1-EXP(-s_RadSpec!BA22*s_t_v)))/(s_Y_v*s_RadSpec!BA22))),0)</f>
        <v>9.0143481925428208</v>
      </c>
      <c r="BV22" s="115">
        <f>IFERROR(IF(d_Bv!X22=0,0,((s_Ir*s_F*s_I_f*s_T*(1-EXP(-s_RadSpec!BA22*s_t_v)))/(s_Y_v*s_RadSpec!BA22))),0)</f>
        <v>9.0143481925428208</v>
      </c>
      <c r="BW22" s="115">
        <f>IFERROR(IF(d_Bv!Y22=0,0,((s_Ir*s_F*s_I_f*s_T*(1-EXP(-s_RadSpec!BA22*s_t_v)))/(s_Y_v*s_RadSpec!BA22))),0)</f>
        <v>9.0143481925428208</v>
      </c>
      <c r="BX22" s="115">
        <f>IFERROR(IF(d_Bv!Z22=0,0,((s_Ir*s_F*s_I_f*s_T*(1-EXP(-s_RadSpec!BA22*s_t_v)))/(s_Y_v*s_RadSpec!BA22))),0)</f>
        <v>9.0143481925428208</v>
      </c>
      <c r="BY22" s="115">
        <f>IFERROR(IF(d_Bv!AA22=0,0,((s_Ir*s_F*s_I_f*s_T*(1-EXP(-s_RadSpec!BA22*s_t_v)))/(s_Y_v*s_RadSpec!BA22))),0)</f>
        <v>9.0143481925428208</v>
      </c>
    </row>
    <row r="23" spans="1:77" x14ac:dyDescent="0.25">
      <c r="A23" s="46" t="s">
        <v>33</v>
      </c>
      <c r="B23" s="42" t="s">
        <v>349</v>
      </c>
      <c r="C23" s="115">
        <f>IFERROR(IF(d_Bv!C23=0,0,((s_Ir*s_F*d_Bv!C23*(1-EXP(-s_RadSpec!$AZ23*s_t_b)))/(s_P*s_RadSpec!$AZ23))),0)</f>
        <v>1.9870072460746409</v>
      </c>
      <c r="D23" s="115">
        <f>IFERROR(IF(d_Bv!D23=0,0,((s_Ir*s_F*d_Bv!D23*(1-EXP(-s_RadSpec!AZ23*s_t_b)))/(s_P*s_RadSpec!AZ23))),0)</f>
        <v>18.081765939279229</v>
      </c>
      <c r="E23" s="115">
        <f>IFERROR(IF(d_Bv!E23=0,0,((s_Ir*s_F*d_Bv!E23*(1-EXP(-s_RadSpec!AZ23*s_t_b)))/(s_P*s_RadSpec!AZ23))),0)</f>
        <v>13.909050722522487</v>
      </c>
      <c r="F23" s="115">
        <f>IFERROR(IF(d_Bv!F23=0,0,((s_Ir*s_F*d_Bv!F23*(1-EXP(-s_RadSpec!AZ23*s_t_b)))/(s_P*s_RadSpec!AZ23))),0)</f>
        <v>1.9870072460746409</v>
      </c>
      <c r="G23" s="115">
        <f>IFERROR(IF(d_Bv!G23=0,0,((s_Ir*s_F*d_Bv!G23*(1-EXP(-s_RadSpec!AZ23*s_t_b)))/(s_P*s_RadSpec!AZ23))),0)</f>
        <v>3.3779123183268895</v>
      </c>
      <c r="H23" s="115">
        <f>IFERROR(IF(d_Bv!H23=0,0,((s_Ir*s_F*d_Bv!H23*(1-EXP(-s_RadSpec!AZ23*s_t_b)))/(s_P*s_RadSpec!AZ23))),0)</f>
        <v>18.081765939279229</v>
      </c>
      <c r="I23" s="115">
        <f>IFERROR(IF(d_Bv!I23=0,0,((s_Ir*s_F*d_Bv!I23*(1-EXP(-s_RadSpec!AZ23*s_t_b)))/(s_P*s_RadSpec!AZ23))),0)</f>
        <v>13.909050722522487</v>
      </c>
      <c r="J23" s="115">
        <f>IFERROR(IF(d_Bv!J23=0,0,((s_Ir*s_F*d_Bv!J23*(1-EXP(-s_RadSpec!AZ23*s_t_b)))/(s_P*s_RadSpec!AZ23))),0)</f>
        <v>1.9870072460746409</v>
      </c>
      <c r="K23" s="115">
        <f>IFERROR(IF(d_Bv!K23=0,0,((s_Ir*s_F*d_Bv!K23*(1-EXP(-s_RadSpec!AZ23*s_t_b)))/(s_P*s_RadSpec!AZ23))),0)</f>
        <v>0.47688173905791376</v>
      </c>
      <c r="L23" s="115">
        <f>IFERROR(IF(d_Bv!L23=0,0,((s_Ir*s_F*d_Bv!L23*(1-EXP(-s_RadSpec!AZ23*s_t_b)))/(s_P*s_RadSpec!AZ23))),0)</f>
        <v>3.3779123183268895</v>
      </c>
      <c r="M23" s="115">
        <f>IFERROR(IF(d_Bv!M23=0,0,((s_Ir*s_F*d_Bv!M23*(1-EXP(-s_RadSpec!AZ23*s_t_b)))/(s_P*s_RadSpec!AZ23))),0)</f>
        <v>18.081765939279229</v>
      </c>
      <c r="N23" s="115">
        <f>IFERROR(IF(d_Bv!N23=0,0,((s_Ir*s_F*d_Bv!N23*(1-EXP(-s_RadSpec!AZ23*s_t_b)))/(s_P*s_RadSpec!AZ23))),0)</f>
        <v>2.7818101445044974</v>
      </c>
      <c r="O23" s="115">
        <f>IFERROR(IF(d_Bv!O23=0,0,((s_Ir*s_F*d_Bv!O23*(1-EXP(-s_RadSpec!AZ23*s_t_b)))/(s_P*s_RadSpec!AZ23))),0)</f>
        <v>3.3779123183268895</v>
      </c>
      <c r="P23" s="115">
        <f>IFERROR(IF(d_Bv!P23=0,0,((s_Ir*s_F*d_Bv!P23*(1-EXP(-s_RadSpec!AZ23*s_t_b)))/(s_P*s_RadSpec!AZ23))),0)</f>
        <v>13.909050722522487</v>
      </c>
      <c r="Q23" s="115">
        <f>IFERROR(IF(d_Bv!Q23=0,0,((s_Ir*s_F*d_Bv!Q23*(1-EXP(-s_RadSpec!AZ23*s_t_b)))/(s_P*s_RadSpec!AZ23))),0)</f>
        <v>1.9870072460746409</v>
      </c>
      <c r="R23" s="115">
        <f>IFERROR(IF(d_Bv!R23=0,0,((s_Ir*s_F*d_Bv!R23*(1-EXP(-s_RadSpec!AZ23*s_t_b)))/(s_P*s_RadSpec!AZ23))),0)</f>
        <v>1.9870072460746409</v>
      </c>
      <c r="S23" s="115">
        <f>IFERROR(IF(d_Bv!S23=0,0,((s_Ir*s_F*d_Bv!S23*(1-EXP(-s_RadSpec!AZ23*s_t_b)))/(s_P*s_RadSpec!AZ23))),0)</f>
        <v>2.7818101445044974</v>
      </c>
      <c r="T23" s="115">
        <f>IFERROR(IF(d_Bv!T23=0,0,((s_Ir*s_F*d_Bv!T23*(1-EXP(-s_RadSpec!AZ23*s_t_b)))/(s_P*s_RadSpec!AZ23))),0)</f>
        <v>3.3779123183268895</v>
      </c>
      <c r="U23" s="115">
        <f>IFERROR(IF(d_Bv!U23=0,0,((s_Ir*s_F*d_Bv!U23*(1-EXP(-s_RadSpec!AZ23*s_t_b)))/(s_P*s_RadSpec!AZ23))),0)</f>
        <v>2.1857079706821048</v>
      </c>
      <c r="V23" s="115">
        <f>IFERROR(IF(d_Bv!V23=0,0,((s_Ir*s_F*d_Bv!V23*(1-EXP(-s_RadSpec!AZ23*s_t_b)))/(s_P*s_RadSpec!AZ23))),0)</f>
        <v>3.3779123183268895</v>
      </c>
      <c r="W23" s="115">
        <f>IFERROR(IF(d_Bv!W23=0,0,((s_Ir*s_F*d_Bv!W23*(1-EXP(-s_RadSpec!AZ23*s_t_b)))/(s_P*s_RadSpec!AZ23))),0)</f>
        <v>2.7818101445044974</v>
      </c>
      <c r="X23" s="115">
        <f>IFERROR(IF(d_Bv!X23=0,0,((s_Ir*s_F*d_Bv!X23*(1-EXP(-s_RadSpec!AZ23*s_t_b)))/(s_P*s_RadSpec!AZ23))),0)</f>
        <v>1.9870072460746409</v>
      </c>
      <c r="Y23" s="115">
        <f>IFERROR(IF(d_Bv!Y23=0,0,((s_Ir*s_F*d_Bv!Y23*(1-EXP(-s_RadSpec!AZ23*s_t_b)))/(s_P*s_RadSpec!AZ23))),0)</f>
        <v>3.3779123183268895</v>
      </c>
      <c r="Z23" s="115">
        <f>IFERROR(IF(d_Bv!Z23=0,0,((s_Ir*s_F*d_Bv!Z23*(1-EXP(-s_RadSpec!AZ23*s_t_b)))/(s_P*s_RadSpec!AZ23))),0)</f>
        <v>0.17286963040849374</v>
      </c>
      <c r="AA23" s="115">
        <f>IFERROR(IF(d_Bv!AA23=0,0,((s_Ir*s_F*d_Bv!AA23*(1-EXP(-s_RadSpec!AZ23*s_t_b)))/(s_P*s_RadSpec!AZ23))),0)</f>
        <v>3.3779123183268895</v>
      </c>
      <c r="AB23" s="115">
        <f>IFERROR(IF(d_Bv!C23=0,0,((s_Ir*s_F*s_MLF_apple*(1-EXP(-s_RadSpec!AZ23*s_t_b)))/(s_P*s_RadSpec!AZ23))),0)</f>
        <v>2.6824597822007652</v>
      </c>
      <c r="AC23" s="115">
        <f>IFERROR(IF(d_Bv!D23=0,0,((s_Ir*s_F*s_MLF_asparagus*(1-EXP(-s_RadSpec!AZ23*s_t_b)))/(s_P*s_RadSpec!AZ23))),0)</f>
        <v>2.6824597822007652</v>
      </c>
      <c r="AD23" s="115">
        <f>IFERROR(IF(d_Bv!E23=0,0,((s_Ir*s_F*s_MLF_beet*(1-EXP(-s_RadSpec!AZ23*s_t_b)))/(s_P*s_RadSpec!AZ23))),0)</f>
        <v>2.6824597822007652</v>
      </c>
      <c r="AE23" s="115">
        <f>IFERROR(IF(d_Bv!F23=0,0,((s_Ir*s_F*s_MLF_berries*(1-EXP(-s_RadSpec!AZ23*s_t_b)))/(s_P*s_RadSpec!AZ23))),0)</f>
        <v>2.6824597822007652</v>
      </c>
      <c r="AF23" s="115">
        <f>IFERROR(IF(d_Bv!G23=0,0,((s_Ir*s_F*s_MLF_broccoli*(1-EXP(-s_RadSpec!AZ23*s_t_b)))/(s_P*s_RadSpec!AZ23))),0)</f>
        <v>2.6824597822007652</v>
      </c>
      <c r="AG23" s="115">
        <f>IFERROR(IF(d_Bv!H23=0,0,((s_Ir*s_F*s_MLF_cabbage*(1-EXP(-s_RadSpec!AZ23*s_t_b)))/(s_P*s_RadSpec!AZ23))),0)</f>
        <v>2.6824597822007652</v>
      </c>
      <c r="AH23" s="115">
        <f>IFERROR(IF(d_Bv!I23=0,0,((s_Ir*s_F*s_MLF_carrot*(1-EXP(-s_RadSpec!AZ23*s_t_b)))/(s_P*s_RadSpec!AZ23))),0)</f>
        <v>2.6824597822007652</v>
      </c>
      <c r="AI23" s="115">
        <f>IFERROR(IF(d_Bv!J23=0,0,((s_Ir*s_F*s_MLF_citrus*(1-EXP(-s_RadSpec!AZ23*s_t_b)))/(s_P*s_RadSpec!AZ23))),0)</f>
        <v>2.6824597822007652</v>
      </c>
      <c r="AJ23" s="115">
        <f>IFERROR(IF(d_Bv!K23=0,0,((s_Ir*s_F*s_MLF_corn*(1-EXP(-s_RadSpec!AZ23*s_t_b)))/(s_P*s_RadSpec!AZ23))),0)</f>
        <v>2.6824597822007652</v>
      </c>
      <c r="AK23" s="115">
        <f>IFERROR(IF(d_Bv!L23=0,0,((s_Ir*s_F*s_MLF_cucumber*(1-EXP(-s_RadSpec!AZ23*s_t_b)))/(s_P*s_RadSpec!AZ23))),0)</f>
        <v>2.6824597822007652</v>
      </c>
      <c r="AL23" s="115">
        <f>IFERROR(IF(d_Bv!M23=0,0,((s_Ir*s_F*s_MLF_lettuce*(1-EXP(-s_RadSpec!AZ23*s_t_b)))/(s_P*s_RadSpec!AZ23))),0)</f>
        <v>2.6824597822007652</v>
      </c>
      <c r="AM23" s="115">
        <f>IFERROR(IF(d_Bv!N23=0,0,((s_Ir*s_F*s_MLF_lima_bean*(1-EXP(-s_RadSpec!AZ23*s_t_b)))/(s_P*s_RadSpec!AZ23))),0)</f>
        <v>2.6824597822007652</v>
      </c>
      <c r="AN23" s="115">
        <f>IFERROR(IF(d_Bv!O23=0,0,((s_Ir*s_F*s_MLF_okra*(1-EXP(-s_RadSpec!AZ23*s_t_b)))/(s_P*s_RadSpec!AZ23))),0)</f>
        <v>2.6824597822007652</v>
      </c>
      <c r="AO23" s="115">
        <f>IFERROR(IF(d_Bv!P23=0,0,((s_Ir*s_F*s_MLF_onion*(1-EXP(-s_RadSpec!AZ23*s_t_b)))/(s_P*s_RadSpec!AZ23))),0)</f>
        <v>2.6824597822007652</v>
      </c>
      <c r="AP23" s="115">
        <f>IFERROR(IF(d_Bv!Q23=0,0,((s_Ir*s_F*s_MLF_peach*(1-EXP(-s_RadSpec!AZ23*s_t_b)))/(s_P*s_RadSpec!AZ23))),0)</f>
        <v>2.6824597822007652</v>
      </c>
      <c r="AQ23" s="115">
        <f>IFERROR(IF(d_Bv!R23=0,0,((s_Ir*s_F*s_MLF_pear*(1-EXP(-s_RadSpec!AZ23*s_t_b)))/(s_P*s_RadSpec!AZ23))),0)</f>
        <v>2.6824597822007652</v>
      </c>
      <c r="AR23" s="115">
        <f>IFERROR(IF(d_Bv!S23=0,0,((s_Ir*s_F*s_MLF_peas*(1-EXP(-s_RadSpec!AZ23*s_t_b)))/(s_P*s_RadSpec!AZ23))),0)</f>
        <v>2.6824597822007652</v>
      </c>
      <c r="AS23" s="115">
        <f>IFERROR(IF(d_Bv!T23=0,0,((s_Ir*s_F*s_MLF_peppers*(1-EXP(-s_RadSpec!AZ23*s_t_b)))/(s_P*s_RadSpec!AZ23))),0)</f>
        <v>2.6824597822007652</v>
      </c>
      <c r="AT23" s="115">
        <f>IFERROR(IF(d_Bv!U23=0,0,((s_Ir*s_F*s_MLF_potato*(1-EXP(-s_RadSpec!AZ23*s_t_b)))/(s_P*s_RadSpec!AZ23))),0)</f>
        <v>2.6824597822007652</v>
      </c>
      <c r="AU23" s="115">
        <f>IFERROR(IF(d_Bv!V23=0,0,((s_Ir*s_F*s_MLF_pumpkin*(1-EXP(-s_RadSpec!AZ23*s_t_b)))/(s_P*s_RadSpec!AZ23))),0)</f>
        <v>2.6824597822007652</v>
      </c>
      <c r="AV23" s="115">
        <f>IFERROR(IF(d_Bv!W23=0,0,((s_Ir*s_F*s_MLF_snap_bean*(1-EXP(-s_RadSpec!AZ23*s_t_b)))/(s_P*s_RadSpec!AZ23))),0)</f>
        <v>2.6824597822007652</v>
      </c>
      <c r="AW23" s="115">
        <f>IFERROR(IF(d_Bv!X23=0,0,((s_Ir*s_F*s_MLF_strawberry*(1-EXP(-s_RadSpec!AZ23*s_t_b)))/(s_P*s_RadSpec!AZ23))),0)</f>
        <v>2.6824597822007652</v>
      </c>
      <c r="AX23" s="115">
        <f>IFERROR(IF(d_Bv!Y23=0,0,((s_Ir*s_F*s_MLF_tomato*(1-EXP(-s_RadSpec!AZ23*s_t_b)))/(s_P*s_RadSpec!AZ23))),0)</f>
        <v>2.6824597822007652</v>
      </c>
      <c r="AY23" s="115">
        <f>IFERROR(IF(d_Bv!Z23=0,0,((s_Ir*s_F*s_MLF_rice*(1-EXP(-s_RadSpec!AZ23*s_t_b)))/(s_P*s_RadSpec!AZ23))),0)</f>
        <v>2.6824597822007652</v>
      </c>
      <c r="AZ23" s="115">
        <f>IFERROR(IF(d_Bv!AA23=0,0,((s_Ir*s_F*s_MLF_cereal*(1-EXP(-s_RadSpec!AZ23*s_t_b)))/(s_P*s_RadSpec!AZ23))),0)</f>
        <v>2.6824597822007652</v>
      </c>
      <c r="BA23" s="115">
        <f>IFERROR(IF(d_Bv!C23=0,0,((s_Ir*s_F*s_I_f*s_T*(1-EXP(-s_RadSpec!BA23*s_t_v)))/(s_Y_v*s_RadSpec!BA23))),0)</f>
        <v>9.0143481925428208</v>
      </c>
      <c r="BB23" s="115">
        <f>IFERROR(IF(d_Bv!D23=0,0,((s_Ir*s_F*s_I_f*s_T*(1-EXP(-s_RadSpec!BA23*s_t_v)))/(s_Y_v*s_RadSpec!BA23))),0)</f>
        <v>9.0143481925428208</v>
      </c>
      <c r="BC23" s="115">
        <f>IFERROR(IF(d_Bv!E23=0,0,((s_Ir*s_F*s_I_f*s_T*(1-EXP(-s_RadSpec!BA23*s_t_v)))/(s_Y_v*s_RadSpec!BA23))),0)</f>
        <v>9.0143481925428208</v>
      </c>
      <c r="BD23" s="115">
        <f>IFERROR(IF(d_Bv!F23=0,0,((s_Ir*s_F*s_I_f*s_T*(1-EXP(-s_RadSpec!BA23*s_t_v)))/(s_Y_v*s_RadSpec!BA23))),0)</f>
        <v>9.0143481925428208</v>
      </c>
      <c r="BE23" s="115">
        <f>IFERROR(IF(d_Bv!G23=0,0,((s_Ir*s_F*s_I_f*s_T*(1-EXP(-s_RadSpec!BA23*s_t_v)))/(s_Y_v*s_RadSpec!BA23))),0)</f>
        <v>9.0143481925428208</v>
      </c>
      <c r="BF23" s="115">
        <f>IFERROR(IF(d_Bv!H23=0,0,((s_Ir*s_F*s_I_f*s_T*(1-EXP(-s_RadSpec!BA23*s_t_v)))/(s_Y_v*s_RadSpec!BA23))),0)</f>
        <v>9.0143481925428208</v>
      </c>
      <c r="BG23" s="115">
        <f>IFERROR(IF(d_Bv!I23=0,0,((s_Ir*s_F*s_I_f*s_T*(1-EXP(-s_RadSpec!BA23*s_t_v)))/(s_Y_v*s_RadSpec!BA23))),0)</f>
        <v>9.0143481925428208</v>
      </c>
      <c r="BH23" s="115">
        <f>IFERROR(IF(d_Bv!J23=0,0,((s_Ir*s_F*s_I_f*s_T*(1-EXP(-s_RadSpec!BA23*s_t_v)))/(s_Y_v*s_RadSpec!BA23))),0)</f>
        <v>9.0143481925428208</v>
      </c>
      <c r="BI23" s="115">
        <f>IFERROR(IF(d_Bv!K23=0,0,((s_Ir*s_F*s_I_f*s_T*(1-EXP(-s_RadSpec!BA23*s_t_v)))/(s_Y_v*s_RadSpec!BA23))),0)</f>
        <v>9.0143481925428208</v>
      </c>
      <c r="BJ23" s="115">
        <f>IFERROR(IF(d_Bv!L23=0,0,((s_Ir*s_F*s_I_f*s_T*(1-EXP(-s_RadSpec!BA23*s_t_v)))/(s_Y_v*s_RadSpec!BA23))),0)</f>
        <v>9.0143481925428208</v>
      </c>
      <c r="BK23" s="115">
        <f>IFERROR(IF(d_Bv!M23=0,0,((s_Ir*s_F*s_I_f*s_T*(1-EXP(-s_RadSpec!BA23*s_t_v)))/(s_Y_v*s_RadSpec!BA23))),0)</f>
        <v>9.0143481925428208</v>
      </c>
      <c r="BL23" s="115">
        <f>IFERROR(IF(d_Bv!N23=0,0,((s_Ir*s_F*s_I_f*s_T*(1-EXP(-s_RadSpec!BA23*s_t_v)))/(s_Y_v*s_RadSpec!BA23))),0)</f>
        <v>9.0143481925428208</v>
      </c>
      <c r="BM23" s="115">
        <f>IFERROR(IF(d_Bv!O23=0,0,((s_Ir*s_F*s_I_f*s_T*(1-EXP(-s_RadSpec!BA23*s_t_v)))/(s_Y_v*s_RadSpec!BA23))),0)</f>
        <v>9.0143481925428208</v>
      </c>
      <c r="BN23" s="115">
        <f>IFERROR(IF(d_Bv!P23=0,0,((s_Ir*s_F*s_I_f*s_T*(1-EXP(-s_RadSpec!BA23*s_t_v)))/(s_Y_v*s_RadSpec!BA23))),0)</f>
        <v>9.0143481925428208</v>
      </c>
      <c r="BO23" s="115">
        <f>IFERROR(IF(d_Bv!Q23=0,0,((s_Ir*s_F*s_I_f*s_T*(1-EXP(-s_RadSpec!BA23*s_t_v)))/(s_Y_v*s_RadSpec!BA23))),0)</f>
        <v>9.0143481925428208</v>
      </c>
      <c r="BP23" s="115">
        <f>IFERROR(IF(d_Bv!R23=0,0,((s_Ir*s_F*s_I_f*s_T*(1-EXP(-s_RadSpec!BA23*s_t_v)))/(s_Y_v*s_RadSpec!BA23))),0)</f>
        <v>9.0143481925428208</v>
      </c>
      <c r="BQ23" s="115">
        <f>IFERROR(IF(d_Bv!S23=0,0,((s_Ir*s_F*s_I_f*s_T*(1-EXP(-s_RadSpec!BA23*s_t_v)))/(s_Y_v*s_RadSpec!BA23))),0)</f>
        <v>9.0143481925428208</v>
      </c>
      <c r="BR23" s="115">
        <f>IFERROR(IF(d_Bv!T23=0,0,((s_Ir*s_F*s_I_f*s_T*(1-EXP(-s_RadSpec!BA23*s_t_v)))/(s_Y_v*s_RadSpec!BA23))),0)</f>
        <v>9.0143481925428208</v>
      </c>
      <c r="BS23" s="115">
        <f>IFERROR(IF(d_Bv!U23=0,0,((s_Ir*s_F*s_I_f*s_T*(1-EXP(-s_RadSpec!BA23*s_t_v)))/(s_Y_v*s_RadSpec!BA23))),0)</f>
        <v>9.0143481925428208</v>
      </c>
      <c r="BT23" s="115">
        <f>IFERROR(IF(d_Bv!V23=0,0,((s_Ir*s_F*s_I_f*s_T*(1-EXP(-s_RadSpec!BA23*s_t_v)))/(s_Y_v*s_RadSpec!BA23))),0)</f>
        <v>9.0143481925428208</v>
      </c>
      <c r="BU23" s="115">
        <f>IFERROR(IF(d_Bv!W23=0,0,((s_Ir*s_F*s_I_f*s_T*(1-EXP(-s_RadSpec!BA23*s_t_v)))/(s_Y_v*s_RadSpec!BA23))),0)</f>
        <v>9.0143481925428208</v>
      </c>
      <c r="BV23" s="115">
        <f>IFERROR(IF(d_Bv!X23=0,0,((s_Ir*s_F*s_I_f*s_T*(1-EXP(-s_RadSpec!BA23*s_t_v)))/(s_Y_v*s_RadSpec!BA23))),0)</f>
        <v>9.0143481925428208</v>
      </c>
      <c r="BW23" s="115">
        <f>IFERROR(IF(d_Bv!Y23=0,0,((s_Ir*s_F*s_I_f*s_T*(1-EXP(-s_RadSpec!BA23*s_t_v)))/(s_Y_v*s_RadSpec!BA23))),0)</f>
        <v>9.0143481925428208</v>
      </c>
      <c r="BX23" s="115">
        <f>IFERROR(IF(d_Bv!Z23=0,0,((s_Ir*s_F*s_I_f*s_T*(1-EXP(-s_RadSpec!BA23*s_t_v)))/(s_Y_v*s_RadSpec!BA23))),0)</f>
        <v>9.0143481925428208</v>
      </c>
      <c r="BY23" s="115">
        <f>IFERROR(IF(d_Bv!AA23=0,0,((s_Ir*s_F*s_I_f*s_T*(1-EXP(-s_RadSpec!BA23*s_t_v)))/(s_Y_v*s_RadSpec!BA23))),0)</f>
        <v>9.0143481925428208</v>
      </c>
    </row>
    <row r="24" spans="1:77" x14ac:dyDescent="0.25">
      <c r="A24" s="44" t="s">
        <v>34</v>
      </c>
      <c r="B24" s="42" t="s">
        <v>1071</v>
      </c>
      <c r="C24" s="115">
        <f>IFERROR(IF(d_Bv!C24=0,0,((s_Ir*s_F*d_Bv!C24*(1-EXP(-s_RadSpec!$AZ24*s_t_b)))/(s_P*s_RadSpec!$AZ24))),0)</f>
        <v>0</v>
      </c>
      <c r="D24" s="115">
        <f>IFERROR(IF(d_Bv!D24=0,0,((s_Ir*s_F*d_Bv!D24*(1-EXP(-s_RadSpec!AZ24*s_t_b)))/(s_P*s_RadSpec!AZ24))),0)</f>
        <v>0</v>
      </c>
      <c r="E24" s="115">
        <f>IFERROR(IF(d_Bv!E24=0,0,((s_Ir*s_F*d_Bv!E24*(1-EXP(-s_RadSpec!AZ24*s_t_b)))/(s_P*s_RadSpec!AZ24))),0)</f>
        <v>0</v>
      </c>
      <c r="F24" s="115">
        <f>IFERROR(IF(d_Bv!F24=0,0,((s_Ir*s_F*d_Bv!F24*(1-EXP(-s_RadSpec!AZ24*s_t_b)))/(s_P*s_RadSpec!AZ24))),0)</f>
        <v>0</v>
      </c>
      <c r="G24" s="115">
        <f>IFERROR(IF(d_Bv!G24=0,0,((s_Ir*s_F*d_Bv!G24*(1-EXP(-s_RadSpec!AZ24*s_t_b)))/(s_P*s_RadSpec!AZ24))),0)</f>
        <v>0</v>
      </c>
      <c r="H24" s="115">
        <f>IFERROR(IF(d_Bv!H24=0,0,((s_Ir*s_F*d_Bv!H24*(1-EXP(-s_RadSpec!AZ24*s_t_b)))/(s_P*s_RadSpec!AZ24))),0)</f>
        <v>0</v>
      </c>
      <c r="I24" s="115">
        <f>IFERROR(IF(d_Bv!I24=0,0,((s_Ir*s_F*d_Bv!I24*(1-EXP(-s_RadSpec!AZ24*s_t_b)))/(s_P*s_RadSpec!AZ24))),0)</f>
        <v>0</v>
      </c>
      <c r="J24" s="115">
        <f>IFERROR(IF(d_Bv!J24=0,0,((s_Ir*s_F*d_Bv!J24*(1-EXP(-s_RadSpec!AZ24*s_t_b)))/(s_P*s_RadSpec!AZ24))),0)</f>
        <v>0</v>
      </c>
      <c r="K24" s="115">
        <f>IFERROR(IF(d_Bv!K24=0,0,((s_Ir*s_F*d_Bv!K24*(1-EXP(-s_RadSpec!AZ24*s_t_b)))/(s_P*s_RadSpec!AZ24))),0)</f>
        <v>0</v>
      </c>
      <c r="L24" s="115">
        <f>IFERROR(IF(d_Bv!L24=0,0,((s_Ir*s_F*d_Bv!L24*(1-EXP(-s_RadSpec!AZ24*s_t_b)))/(s_P*s_RadSpec!AZ24))),0)</f>
        <v>0</v>
      </c>
      <c r="M24" s="115">
        <f>IFERROR(IF(d_Bv!M24=0,0,((s_Ir*s_F*d_Bv!M24*(1-EXP(-s_RadSpec!AZ24*s_t_b)))/(s_P*s_RadSpec!AZ24))),0)</f>
        <v>0</v>
      </c>
      <c r="N24" s="115">
        <f>IFERROR(IF(d_Bv!N24=0,0,((s_Ir*s_F*d_Bv!N24*(1-EXP(-s_RadSpec!AZ24*s_t_b)))/(s_P*s_RadSpec!AZ24))),0)</f>
        <v>0</v>
      </c>
      <c r="O24" s="115">
        <f>IFERROR(IF(d_Bv!O24=0,0,((s_Ir*s_F*d_Bv!O24*(1-EXP(-s_RadSpec!AZ24*s_t_b)))/(s_P*s_RadSpec!AZ24))),0)</f>
        <v>0</v>
      </c>
      <c r="P24" s="115">
        <f>IFERROR(IF(d_Bv!P24=0,0,((s_Ir*s_F*d_Bv!P24*(1-EXP(-s_RadSpec!AZ24*s_t_b)))/(s_P*s_RadSpec!AZ24))),0)</f>
        <v>0</v>
      </c>
      <c r="Q24" s="115">
        <f>IFERROR(IF(d_Bv!Q24=0,0,((s_Ir*s_F*d_Bv!Q24*(1-EXP(-s_RadSpec!AZ24*s_t_b)))/(s_P*s_RadSpec!AZ24))),0)</f>
        <v>0</v>
      </c>
      <c r="R24" s="115">
        <f>IFERROR(IF(d_Bv!R24=0,0,((s_Ir*s_F*d_Bv!R24*(1-EXP(-s_RadSpec!AZ24*s_t_b)))/(s_P*s_RadSpec!AZ24))),0)</f>
        <v>0</v>
      </c>
      <c r="S24" s="115">
        <f>IFERROR(IF(d_Bv!S24=0,0,((s_Ir*s_F*d_Bv!S24*(1-EXP(-s_RadSpec!AZ24*s_t_b)))/(s_P*s_RadSpec!AZ24))),0)</f>
        <v>0</v>
      </c>
      <c r="T24" s="115">
        <f>IFERROR(IF(d_Bv!T24=0,0,((s_Ir*s_F*d_Bv!T24*(1-EXP(-s_RadSpec!AZ24*s_t_b)))/(s_P*s_RadSpec!AZ24))),0)</f>
        <v>0</v>
      </c>
      <c r="U24" s="115">
        <f>IFERROR(IF(d_Bv!U24=0,0,((s_Ir*s_F*d_Bv!U24*(1-EXP(-s_RadSpec!AZ24*s_t_b)))/(s_P*s_RadSpec!AZ24))),0)</f>
        <v>0</v>
      </c>
      <c r="V24" s="115">
        <f>IFERROR(IF(d_Bv!V24=0,0,((s_Ir*s_F*d_Bv!V24*(1-EXP(-s_RadSpec!AZ24*s_t_b)))/(s_P*s_RadSpec!AZ24))),0)</f>
        <v>0</v>
      </c>
      <c r="W24" s="115">
        <f>IFERROR(IF(d_Bv!W24=0,0,((s_Ir*s_F*d_Bv!W24*(1-EXP(-s_RadSpec!AZ24*s_t_b)))/(s_P*s_RadSpec!AZ24))),0)</f>
        <v>0</v>
      </c>
      <c r="X24" s="115">
        <f>IFERROR(IF(d_Bv!X24=0,0,((s_Ir*s_F*d_Bv!X24*(1-EXP(-s_RadSpec!AZ24*s_t_b)))/(s_P*s_RadSpec!AZ24))),0)</f>
        <v>0</v>
      </c>
      <c r="Y24" s="115">
        <f>IFERROR(IF(d_Bv!Y24=0,0,((s_Ir*s_F*d_Bv!Y24*(1-EXP(-s_RadSpec!AZ24*s_t_b)))/(s_P*s_RadSpec!AZ24))),0)</f>
        <v>0</v>
      </c>
      <c r="Z24" s="115">
        <f>IFERROR(IF(d_Bv!Z24=0,0,((s_Ir*s_F*d_Bv!Z24*(1-EXP(-s_RadSpec!AZ24*s_t_b)))/(s_P*s_RadSpec!AZ24))),0)</f>
        <v>0</v>
      </c>
      <c r="AA24" s="115">
        <f>IFERROR(IF(d_Bv!AA24=0,0,((s_Ir*s_F*d_Bv!AA24*(1-EXP(-s_RadSpec!AZ24*s_t_b)))/(s_P*s_RadSpec!AZ24))),0)</f>
        <v>0</v>
      </c>
      <c r="AB24" s="115">
        <f>IFERROR(IF(d_Bv!C24=0,0,((s_Ir*s_F*s_MLF_apple*(1-EXP(-s_RadSpec!AZ24*s_t_b)))/(s_P*s_RadSpec!AZ24))),0)</f>
        <v>0</v>
      </c>
      <c r="AC24" s="115">
        <f>IFERROR(IF(d_Bv!D24=0,0,((s_Ir*s_F*s_MLF_asparagus*(1-EXP(-s_RadSpec!AZ24*s_t_b)))/(s_P*s_RadSpec!AZ24))),0)</f>
        <v>0</v>
      </c>
      <c r="AD24" s="115">
        <f>IFERROR(IF(d_Bv!E24=0,0,((s_Ir*s_F*s_MLF_beet*(1-EXP(-s_RadSpec!AZ24*s_t_b)))/(s_P*s_RadSpec!AZ24))),0)</f>
        <v>0</v>
      </c>
      <c r="AE24" s="115">
        <f>IFERROR(IF(d_Bv!F24=0,0,((s_Ir*s_F*s_MLF_berries*(1-EXP(-s_RadSpec!AZ24*s_t_b)))/(s_P*s_RadSpec!AZ24))),0)</f>
        <v>0</v>
      </c>
      <c r="AF24" s="115">
        <f>IFERROR(IF(d_Bv!G24=0,0,((s_Ir*s_F*s_MLF_broccoli*(1-EXP(-s_RadSpec!AZ24*s_t_b)))/(s_P*s_RadSpec!AZ24))),0)</f>
        <v>0</v>
      </c>
      <c r="AG24" s="115">
        <f>IFERROR(IF(d_Bv!H24=0,0,((s_Ir*s_F*s_MLF_cabbage*(1-EXP(-s_RadSpec!AZ24*s_t_b)))/(s_P*s_RadSpec!AZ24))),0)</f>
        <v>0</v>
      </c>
      <c r="AH24" s="115">
        <f>IFERROR(IF(d_Bv!I24=0,0,((s_Ir*s_F*s_MLF_carrot*(1-EXP(-s_RadSpec!AZ24*s_t_b)))/(s_P*s_RadSpec!AZ24))),0)</f>
        <v>0</v>
      </c>
      <c r="AI24" s="115">
        <f>IFERROR(IF(d_Bv!J24=0,0,((s_Ir*s_F*s_MLF_citrus*(1-EXP(-s_RadSpec!AZ24*s_t_b)))/(s_P*s_RadSpec!AZ24))),0)</f>
        <v>0</v>
      </c>
      <c r="AJ24" s="115">
        <f>IFERROR(IF(d_Bv!K24=0,0,((s_Ir*s_F*s_MLF_corn*(1-EXP(-s_RadSpec!AZ24*s_t_b)))/(s_P*s_RadSpec!AZ24))),0)</f>
        <v>0</v>
      </c>
      <c r="AK24" s="115">
        <f>IFERROR(IF(d_Bv!L24=0,0,((s_Ir*s_F*s_MLF_cucumber*(1-EXP(-s_RadSpec!AZ24*s_t_b)))/(s_P*s_RadSpec!AZ24))),0)</f>
        <v>0</v>
      </c>
      <c r="AL24" s="115">
        <f>IFERROR(IF(d_Bv!M24=0,0,((s_Ir*s_F*s_MLF_lettuce*(1-EXP(-s_RadSpec!AZ24*s_t_b)))/(s_P*s_RadSpec!AZ24))),0)</f>
        <v>0</v>
      </c>
      <c r="AM24" s="115">
        <f>IFERROR(IF(d_Bv!N24=0,0,((s_Ir*s_F*s_MLF_lima_bean*(1-EXP(-s_RadSpec!AZ24*s_t_b)))/(s_P*s_RadSpec!AZ24))),0)</f>
        <v>0</v>
      </c>
      <c r="AN24" s="115">
        <f>IFERROR(IF(d_Bv!O24=0,0,((s_Ir*s_F*s_MLF_okra*(1-EXP(-s_RadSpec!AZ24*s_t_b)))/(s_P*s_RadSpec!AZ24))),0)</f>
        <v>0</v>
      </c>
      <c r="AO24" s="115">
        <f>IFERROR(IF(d_Bv!P24=0,0,((s_Ir*s_F*s_MLF_onion*(1-EXP(-s_RadSpec!AZ24*s_t_b)))/(s_P*s_RadSpec!AZ24))),0)</f>
        <v>0</v>
      </c>
      <c r="AP24" s="115">
        <f>IFERROR(IF(d_Bv!Q24=0,0,((s_Ir*s_F*s_MLF_peach*(1-EXP(-s_RadSpec!AZ24*s_t_b)))/(s_P*s_RadSpec!AZ24))),0)</f>
        <v>0</v>
      </c>
      <c r="AQ24" s="115">
        <f>IFERROR(IF(d_Bv!R24=0,0,((s_Ir*s_F*s_MLF_pear*(1-EXP(-s_RadSpec!AZ24*s_t_b)))/(s_P*s_RadSpec!AZ24))),0)</f>
        <v>0</v>
      </c>
      <c r="AR24" s="115">
        <f>IFERROR(IF(d_Bv!S24=0,0,((s_Ir*s_F*s_MLF_peas*(1-EXP(-s_RadSpec!AZ24*s_t_b)))/(s_P*s_RadSpec!AZ24))),0)</f>
        <v>0</v>
      </c>
      <c r="AS24" s="115">
        <f>IFERROR(IF(d_Bv!T24=0,0,((s_Ir*s_F*s_MLF_peppers*(1-EXP(-s_RadSpec!AZ24*s_t_b)))/(s_P*s_RadSpec!AZ24))),0)</f>
        <v>0</v>
      </c>
      <c r="AT24" s="115">
        <f>IFERROR(IF(d_Bv!U24=0,0,((s_Ir*s_F*s_MLF_potato*(1-EXP(-s_RadSpec!AZ24*s_t_b)))/(s_P*s_RadSpec!AZ24))),0)</f>
        <v>0</v>
      </c>
      <c r="AU24" s="115">
        <f>IFERROR(IF(d_Bv!V24=0,0,((s_Ir*s_F*s_MLF_pumpkin*(1-EXP(-s_RadSpec!AZ24*s_t_b)))/(s_P*s_RadSpec!AZ24))),0)</f>
        <v>0</v>
      </c>
      <c r="AV24" s="115">
        <f>IFERROR(IF(d_Bv!W24=0,0,((s_Ir*s_F*s_MLF_snap_bean*(1-EXP(-s_RadSpec!AZ24*s_t_b)))/(s_P*s_RadSpec!AZ24))),0)</f>
        <v>0</v>
      </c>
      <c r="AW24" s="115">
        <f>IFERROR(IF(d_Bv!X24=0,0,((s_Ir*s_F*s_MLF_strawberry*(1-EXP(-s_RadSpec!AZ24*s_t_b)))/(s_P*s_RadSpec!AZ24))),0)</f>
        <v>0</v>
      </c>
      <c r="AX24" s="115">
        <f>IFERROR(IF(d_Bv!Y24=0,0,((s_Ir*s_F*s_MLF_tomato*(1-EXP(-s_RadSpec!AZ24*s_t_b)))/(s_P*s_RadSpec!AZ24))),0)</f>
        <v>0</v>
      </c>
      <c r="AY24" s="115">
        <f>IFERROR(IF(d_Bv!Z24=0,0,((s_Ir*s_F*s_MLF_rice*(1-EXP(-s_RadSpec!AZ24*s_t_b)))/(s_P*s_RadSpec!AZ24))),0)</f>
        <v>0</v>
      </c>
      <c r="AZ24" s="115">
        <f>IFERROR(IF(d_Bv!AA24=0,0,((s_Ir*s_F*s_MLF_cereal*(1-EXP(-s_RadSpec!AZ24*s_t_b)))/(s_P*s_RadSpec!AZ24))),0)</f>
        <v>0</v>
      </c>
      <c r="BA24" s="115">
        <f>IFERROR(IF(d_Bv!C24=0,0,((s_Ir*s_F*s_I_f*s_T*(1-EXP(-s_RadSpec!BA24*s_t_v)))/(s_Y_v*s_RadSpec!BA24))),0)</f>
        <v>0</v>
      </c>
      <c r="BB24" s="115">
        <f>IFERROR(IF(d_Bv!D24=0,0,((s_Ir*s_F*s_I_f*s_T*(1-EXP(-s_RadSpec!BA24*s_t_v)))/(s_Y_v*s_RadSpec!BA24))),0)</f>
        <v>0</v>
      </c>
      <c r="BC24" s="115">
        <f>IFERROR(IF(d_Bv!E24=0,0,((s_Ir*s_F*s_I_f*s_T*(1-EXP(-s_RadSpec!BA24*s_t_v)))/(s_Y_v*s_RadSpec!BA24))),0)</f>
        <v>0</v>
      </c>
      <c r="BD24" s="115">
        <f>IFERROR(IF(d_Bv!F24=0,0,((s_Ir*s_F*s_I_f*s_T*(1-EXP(-s_RadSpec!BA24*s_t_v)))/(s_Y_v*s_RadSpec!BA24))),0)</f>
        <v>0</v>
      </c>
      <c r="BE24" s="115">
        <f>IFERROR(IF(d_Bv!G24=0,0,((s_Ir*s_F*s_I_f*s_T*(1-EXP(-s_RadSpec!BA24*s_t_v)))/(s_Y_v*s_RadSpec!BA24))),0)</f>
        <v>0</v>
      </c>
      <c r="BF24" s="115">
        <f>IFERROR(IF(d_Bv!H24=0,0,((s_Ir*s_F*s_I_f*s_T*(1-EXP(-s_RadSpec!BA24*s_t_v)))/(s_Y_v*s_RadSpec!BA24))),0)</f>
        <v>0</v>
      </c>
      <c r="BG24" s="115">
        <f>IFERROR(IF(d_Bv!I24=0,0,((s_Ir*s_F*s_I_f*s_T*(1-EXP(-s_RadSpec!BA24*s_t_v)))/(s_Y_v*s_RadSpec!BA24))),0)</f>
        <v>0</v>
      </c>
      <c r="BH24" s="115">
        <f>IFERROR(IF(d_Bv!J24=0,0,((s_Ir*s_F*s_I_f*s_T*(1-EXP(-s_RadSpec!BA24*s_t_v)))/(s_Y_v*s_RadSpec!BA24))),0)</f>
        <v>0</v>
      </c>
      <c r="BI24" s="115">
        <f>IFERROR(IF(d_Bv!K24=0,0,((s_Ir*s_F*s_I_f*s_T*(1-EXP(-s_RadSpec!BA24*s_t_v)))/(s_Y_v*s_RadSpec!BA24))),0)</f>
        <v>0</v>
      </c>
      <c r="BJ24" s="115">
        <f>IFERROR(IF(d_Bv!L24=0,0,((s_Ir*s_F*s_I_f*s_T*(1-EXP(-s_RadSpec!BA24*s_t_v)))/(s_Y_v*s_RadSpec!BA24))),0)</f>
        <v>0</v>
      </c>
      <c r="BK24" s="115">
        <f>IFERROR(IF(d_Bv!M24=0,0,((s_Ir*s_F*s_I_f*s_T*(1-EXP(-s_RadSpec!BA24*s_t_v)))/(s_Y_v*s_RadSpec!BA24))),0)</f>
        <v>0</v>
      </c>
      <c r="BL24" s="115">
        <f>IFERROR(IF(d_Bv!N24=0,0,((s_Ir*s_F*s_I_f*s_T*(1-EXP(-s_RadSpec!BA24*s_t_v)))/(s_Y_v*s_RadSpec!BA24))),0)</f>
        <v>0</v>
      </c>
      <c r="BM24" s="115">
        <f>IFERROR(IF(d_Bv!O24=0,0,((s_Ir*s_F*s_I_f*s_T*(1-EXP(-s_RadSpec!BA24*s_t_v)))/(s_Y_v*s_RadSpec!BA24))),0)</f>
        <v>0</v>
      </c>
      <c r="BN24" s="115">
        <f>IFERROR(IF(d_Bv!P24=0,0,((s_Ir*s_F*s_I_f*s_T*(1-EXP(-s_RadSpec!BA24*s_t_v)))/(s_Y_v*s_RadSpec!BA24))),0)</f>
        <v>0</v>
      </c>
      <c r="BO24" s="115">
        <f>IFERROR(IF(d_Bv!Q24=0,0,((s_Ir*s_F*s_I_f*s_T*(1-EXP(-s_RadSpec!BA24*s_t_v)))/(s_Y_v*s_RadSpec!BA24))),0)</f>
        <v>0</v>
      </c>
      <c r="BP24" s="115">
        <f>IFERROR(IF(d_Bv!R24=0,0,((s_Ir*s_F*s_I_f*s_T*(1-EXP(-s_RadSpec!BA24*s_t_v)))/(s_Y_v*s_RadSpec!BA24))),0)</f>
        <v>0</v>
      </c>
      <c r="BQ24" s="115">
        <f>IFERROR(IF(d_Bv!S24=0,0,((s_Ir*s_F*s_I_f*s_T*(1-EXP(-s_RadSpec!BA24*s_t_v)))/(s_Y_v*s_RadSpec!BA24))),0)</f>
        <v>0</v>
      </c>
      <c r="BR24" s="115">
        <f>IFERROR(IF(d_Bv!T24=0,0,((s_Ir*s_F*s_I_f*s_T*(1-EXP(-s_RadSpec!BA24*s_t_v)))/(s_Y_v*s_RadSpec!BA24))),0)</f>
        <v>0</v>
      </c>
      <c r="BS24" s="115">
        <f>IFERROR(IF(d_Bv!U24=0,0,((s_Ir*s_F*s_I_f*s_T*(1-EXP(-s_RadSpec!BA24*s_t_v)))/(s_Y_v*s_RadSpec!BA24))),0)</f>
        <v>0</v>
      </c>
      <c r="BT24" s="115">
        <f>IFERROR(IF(d_Bv!V24=0,0,((s_Ir*s_F*s_I_f*s_T*(1-EXP(-s_RadSpec!BA24*s_t_v)))/(s_Y_v*s_RadSpec!BA24))),0)</f>
        <v>0</v>
      </c>
      <c r="BU24" s="115">
        <f>IFERROR(IF(d_Bv!W24=0,0,((s_Ir*s_F*s_I_f*s_T*(1-EXP(-s_RadSpec!BA24*s_t_v)))/(s_Y_v*s_RadSpec!BA24))),0)</f>
        <v>0</v>
      </c>
      <c r="BV24" s="115">
        <f>IFERROR(IF(d_Bv!X24=0,0,((s_Ir*s_F*s_I_f*s_T*(1-EXP(-s_RadSpec!BA24*s_t_v)))/(s_Y_v*s_RadSpec!BA24))),0)</f>
        <v>0</v>
      </c>
      <c r="BW24" s="115">
        <f>IFERROR(IF(d_Bv!Y24=0,0,((s_Ir*s_F*s_I_f*s_T*(1-EXP(-s_RadSpec!BA24*s_t_v)))/(s_Y_v*s_RadSpec!BA24))),0)</f>
        <v>0</v>
      </c>
      <c r="BX24" s="115">
        <f>IFERROR(IF(d_Bv!Z24=0,0,((s_Ir*s_F*s_I_f*s_T*(1-EXP(-s_RadSpec!BA24*s_t_v)))/(s_Y_v*s_RadSpec!BA24))),0)</f>
        <v>0</v>
      </c>
      <c r="BY24" s="115">
        <f>IFERROR(IF(d_Bv!AA24=0,0,((s_Ir*s_F*s_I_f*s_T*(1-EXP(-s_RadSpec!BA24*s_t_v)))/(s_Y_v*s_RadSpec!BA24))),0)</f>
        <v>0</v>
      </c>
    </row>
    <row r="25" spans="1:77" x14ac:dyDescent="0.25">
      <c r="A25" s="46" t="s">
        <v>35</v>
      </c>
      <c r="B25" s="42" t="s">
        <v>349</v>
      </c>
      <c r="C25" s="115">
        <f>IFERROR(IF(d_Bv!C25=0,0,((s_Ir*s_F*d_Bv!C25*(1-EXP(-s_RadSpec!$AZ25*s_t_b)))/(s_P*s_RadSpec!$AZ25))),0)</f>
        <v>0</v>
      </c>
      <c r="D25" s="115">
        <f>IFERROR(IF(d_Bv!D25=0,0,((s_Ir*s_F*d_Bv!D25*(1-EXP(-s_RadSpec!AZ25*s_t_b)))/(s_P*s_RadSpec!AZ25))),0)</f>
        <v>0</v>
      </c>
      <c r="E25" s="115">
        <f>IFERROR(IF(d_Bv!E25=0,0,((s_Ir*s_F*d_Bv!E25*(1-EXP(-s_RadSpec!AZ25*s_t_b)))/(s_P*s_RadSpec!AZ25))),0)</f>
        <v>0</v>
      </c>
      <c r="F25" s="115">
        <f>IFERROR(IF(d_Bv!F25=0,0,((s_Ir*s_F*d_Bv!F25*(1-EXP(-s_RadSpec!AZ25*s_t_b)))/(s_P*s_RadSpec!AZ25))),0)</f>
        <v>0</v>
      </c>
      <c r="G25" s="115">
        <f>IFERROR(IF(d_Bv!G25=0,0,((s_Ir*s_F*d_Bv!G25*(1-EXP(-s_RadSpec!AZ25*s_t_b)))/(s_P*s_RadSpec!AZ25))),0)</f>
        <v>0</v>
      </c>
      <c r="H25" s="115">
        <f>IFERROR(IF(d_Bv!H25=0,0,((s_Ir*s_F*d_Bv!H25*(1-EXP(-s_RadSpec!AZ25*s_t_b)))/(s_P*s_RadSpec!AZ25))),0)</f>
        <v>0</v>
      </c>
      <c r="I25" s="115">
        <f>IFERROR(IF(d_Bv!I25=0,0,((s_Ir*s_F*d_Bv!I25*(1-EXP(-s_RadSpec!AZ25*s_t_b)))/(s_P*s_RadSpec!AZ25))),0)</f>
        <v>0</v>
      </c>
      <c r="J25" s="115">
        <f>IFERROR(IF(d_Bv!J25=0,0,((s_Ir*s_F*d_Bv!J25*(1-EXP(-s_RadSpec!AZ25*s_t_b)))/(s_P*s_RadSpec!AZ25))),0)</f>
        <v>0</v>
      </c>
      <c r="K25" s="115">
        <f>IFERROR(IF(d_Bv!K25=0,0,((s_Ir*s_F*d_Bv!K25*(1-EXP(-s_RadSpec!AZ25*s_t_b)))/(s_P*s_RadSpec!AZ25))),0)</f>
        <v>0</v>
      </c>
      <c r="L25" s="115">
        <f>IFERROR(IF(d_Bv!L25=0,0,((s_Ir*s_F*d_Bv!L25*(1-EXP(-s_RadSpec!AZ25*s_t_b)))/(s_P*s_RadSpec!AZ25))),0)</f>
        <v>0</v>
      </c>
      <c r="M25" s="115">
        <f>IFERROR(IF(d_Bv!M25=0,0,((s_Ir*s_F*d_Bv!M25*(1-EXP(-s_RadSpec!AZ25*s_t_b)))/(s_P*s_RadSpec!AZ25))),0)</f>
        <v>0</v>
      </c>
      <c r="N25" s="115">
        <f>IFERROR(IF(d_Bv!N25=0,0,((s_Ir*s_F*d_Bv!N25*(1-EXP(-s_RadSpec!AZ25*s_t_b)))/(s_P*s_RadSpec!AZ25))),0)</f>
        <v>0</v>
      </c>
      <c r="O25" s="115">
        <f>IFERROR(IF(d_Bv!O25=0,0,((s_Ir*s_F*d_Bv!O25*(1-EXP(-s_RadSpec!AZ25*s_t_b)))/(s_P*s_RadSpec!AZ25))),0)</f>
        <v>0</v>
      </c>
      <c r="P25" s="115">
        <f>IFERROR(IF(d_Bv!P25=0,0,((s_Ir*s_F*d_Bv!P25*(1-EXP(-s_RadSpec!AZ25*s_t_b)))/(s_P*s_RadSpec!AZ25))),0)</f>
        <v>0</v>
      </c>
      <c r="Q25" s="115">
        <f>IFERROR(IF(d_Bv!Q25=0,0,((s_Ir*s_F*d_Bv!Q25*(1-EXP(-s_RadSpec!AZ25*s_t_b)))/(s_P*s_RadSpec!AZ25))),0)</f>
        <v>0</v>
      </c>
      <c r="R25" s="115">
        <f>IFERROR(IF(d_Bv!R25=0,0,((s_Ir*s_F*d_Bv!R25*(1-EXP(-s_RadSpec!AZ25*s_t_b)))/(s_P*s_RadSpec!AZ25))),0)</f>
        <v>0</v>
      </c>
      <c r="S25" s="115">
        <f>IFERROR(IF(d_Bv!S25=0,0,((s_Ir*s_F*d_Bv!S25*(1-EXP(-s_RadSpec!AZ25*s_t_b)))/(s_P*s_RadSpec!AZ25))),0)</f>
        <v>0</v>
      </c>
      <c r="T25" s="115">
        <f>IFERROR(IF(d_Bv!T25=0,0,((s_Ir*s_F*d_Bv!T25*(1-EXP(-s_RadSpec!AZ25*s_t_b)))/(s_P*s_RadSpec!AZ25))),0)</f>
        <v>0</v>
      </c>
      <c r="U25" s="115">
        <f>IFERROR(IF(d_Bv!U25=0,0,((s_Ir*s_F*d_Bv!U25*(1-EXP(-s_RadSpec!AZ25*s_t_b)))/(s_P*s_RadSpec!AZ25))),0)</f>
        <v>0</v>
      </c>
      <c r="V25" s="115">
        <f>IFERROR(IF(d_Bv!V25=0,0,((s_Ir*s_F*d_Bv!V25*(1-EXP(-s_RadSpec!AZ25*s_t_b)))/(s_P*s_RadSpec!AZ25))),0)</f>
        <v>0</v>
      </c>
      <c r="W25" s="115">
        <f>IFERROR(IF(d_Bv!W25=0,0,((s_Ir*s_F*d_Bv!W25*(1-EXP(-s_RadSpec!AZ25*s_t_b)))/(s_P*s_RadSpec!AZ25))),0)</f>
        <v>0</v>
      </c>
      <c r="X25" s="115">
        <f>IFERROR(IF(d_Bv!X25=0,0,((s_Ir*s_F*d_Bv!X25*(1-EXP(-s_RadSpec!AZ25*s_t_b)))/(s_P*s_RadSpec!AZ25))),0)</f>
        <v>0</v>
      </c>
      <c r="Y25" s="115">
        <f>IFERROR(IF(d_Bv!Y25=0,0,((s_Ir*s_F*d_Bv!Y25*(1-EXP(-s_RadSpec!AZ25*s_t_b)))/(s_P*s_RadSpec!AZ25))),0)</f>
        <v>0</v>
      </c>
      <c r="Z25" s="115">
        <f>IFERROR(IF(d_Bv!Z25=0,0,((s_Ir*s_F*d_Bv!Z25*(1-EXP(-s_RadSpec!AZ25*s_t_b)))/(s_P*s_RadSpec!AZ25))),0)</f>
        <v>0</v>
      </c>
      <c r="AA25" s="115">
        <f>IFERROR(IF(d_Bv!AA25=0,0,((s_Ir*s_F*d_Bv!AA25*(1-EXP(-s_RadSpec!AZ25*s_t_b)))/(s_P*s_RadSpec!AZ25))),0)</f>
        <v>0</v>
      </c>
      <c r="AB25" s="115">
        <f>IFERROR(IF(d_Bv!C25=0,0,((s_Ir*s_F*s_MLF_apple*(1-EXP(-s_RadSpec!AZ25*s_t_b)))/(s_P*s_RadSpec!AZ25))),0)</f>
        <v>0</v>
      </c>
      <c r="AC25" s="115">
        <f>IFERROR(IF(d_Bv!D25=0,0,((s_Ir*s_F*s_MLF_asparagus*(1-EXP(-s_RadSpec!AZ25*s_t_b)))/(s_P*s_RadSpec!AZ25))),0)</f>
        <v>0</v>
      </c>
      <c r="AD25" s="115">
        <f>IFERROR(IF(d_Bv!E25=0,0,((s_Ir*s_F*s_MLF_beet*(1-EXP(-s_RadSpec!AZ25*s_t_b)))/(s_P*s_RadSpec!AZ25))),0)</f>
        <v>0</v>
      </c>
      <c r="AE25" s="115">
        <f>IFERROR(IF(d_Bv!F25=0,0,((s_Ir*s_F*s_MLF_berries*(1-EXP(-s_RadSpec!AZ25*s_t_b)))/(s_P*s_RadSpec!AZ25))),0)</f>
        <v>0</v>
      </c>
      <c r="AF25" s="115">
        <f>IFERROR(IF(d_Bv!G25=0,0,((s_Ir*s_F*s_MLF_broccoli*(1-EXP(-s_RadSpec!AZ25*s_t_b)))/(s_P*s_RadSpec!AZ25))),0)</f>
        <v>0</v>
      </c>
      <c r="AG25" s="115">
        <f>IFERROR(IF(d_Bv!H25=0,0,((s_Ir*s_F*s_MLF_cabbage*(1-EXP(-s_RadSpec!AZ25*s_t_b)))/(s_P*s_RadSpec!AZ25))),0)</f>
        <v>0</v>
      </c>
      <c r="AH25" s="115">
        <f>IFERROR(IF(d_Bv!I25=0,0,((s_Ir*s_F*s_MLF_carrot*(1-EXP(-s_RadSpec!AZ25*s_t_b)))/(s_P*s_RadSpec!AZ25))),0)</f>
        <v>0</v>
      </c>
      <c r="AI25" s="115">
        <f>IFERROR(IF(d_Bv!J25=0,0,((s_Ir*s_F*s_MLF_citrus*(1-EXP(-s_RadSpec!AZ25*s_t_b)))/(s_P*s_RadSpec!AZ25))),0)</f>
        <v>0</v>
      </c>
      <c r="AJ25" s="115">
        <f>IFERROR(IF(d_Bv!K25=0,0,((s_Ir*s_F*s_MLF_corn*(1-EXP(-s_RadSpec!AZ25*s_t_b)))/(s_P*s_RadSpec!AZ25))),0)</f>
        <v>0</v>
      </c>
      <c r="AK25" s="115">
        <f>IFERROR(IF(d_Bv!L25=0,0,((s_Ir*s_F*s_MLF_cucumber*(1-EXP(-s_RadSpec!AZ25*s_t_b)))/(s_P*s_RadSpec!AZ25))),0)</f>
        <v>0</v>
      </c>
      <c r="AL25" s="115">
        <f>IFERROR(IF(d_Bv!M25=0,0,((s_Ir*s_F*s_MLF_lettuce*(1-EXP(-s_RadSpec!AZ25*s_t_b)))/(s_P*s_RadSpec!AZ25))),0)</f>
        <v>0</v>
      </c>
      <c r="AM25" s="115">
        <f>IFERROR(IF(d_Bv!N25=0,0,((s_Ir*s_F*s_MLF_lima_bean*(1-EXP(-s_RadSpec!AZ25*s_t_b)))/(s_P*s_RadSpec!AZ25))),0)</f>
        <v>0</v>
      </c>
      <c r="AN25" s="115">
        <f>IFERROR(IF(d_Bv!O25=0,0,((s_Ir*s_F*s_MLF_okra*(1-EXP(-s_RadSpec!AZ25*s_t_b)))/(s_P*s_RadSpec!AZ25))),0)</f>
        <v>0</v>
      </c>
      <c r="AO25" s="115">
        <f>IFERROR(IF(d_Bv!P25=0,0,((s_Ir*s_F*s_MLF_onion*(1-EXP(-s_RadSpec!AZ25*s_t_b)))/(s_P*s_RadSpec!AZ25))),0)</f>
        <v>0</v>
      </c>
      <c r="AP25" s="115">
        <f>IFERROR(IF(d_Bv!Q25=0,0,((s_Ir*s_F*s_MLF_peach*(1-EXP(-s_RadSpec!AZ25*s_t_b)))/(s_P*s_RadSpec!AZ25))),0)</f>
        <v>0</v>
      </c>
      <c r="AQ25" s="115">
        <f>IFERROR(IF(d_Bv!R25=0,0,((s_Ir*s_F*s_MLF_pear*(1-EXP(-s_RadSpec!AZ25*s_t_b)))/(s_P*s_RadSpec!AZ25))),0)</f>
        <v>0</v>
      </c>
      <c r="AR25" s="115">
        <f>IFERROR(IF(d_Bv!S25=0,0,((s_Ir*s_F*s_MLF_peas*(1-EXP(-s_RadSpec!AZ25*s_t_b)))/(s_P*s_RadSpec!AZ25))),0)</f>
        <v>0</v>
      </c>
      <c r="AS25" s="115">
        <f>IFERROR(IF(d_Bv!T25=0,0,((s_Ir*s_F*s_MLF_peppers*(1-EXP(-s_RadSpec!AZ25*s_t_b)))/(s_P*s_RadSpec!AZ25))),0)</f>
        <v>0</v>
      </c>
      <c r="AT25" s="115">
        <f>IFERROR(IF(d_Bv!U25=0,0,((s_Ir*s_F*s_MLF_potato*(1-EXP(-s_RadSpec!AZ25*s_t_b)))/(s_P*s_RadSpec!AZ25))),0)</f>
        <v>0</v>
      </c>
      <c r="AU25" s="115">
        <f>IFERROR(IF(d_Bv!V25=0,0,((s_Ir*s_F*s_MLF_pumpkin*(1-EXP(-s_RadSpec!AZ25*s_t_b)))/(s_P*s_RadSpec!AZ25))),0)</f>
        <v>0</v>
      </c>
      <c r="AV25" s="115">
        <f>IFERROR(IF(d_Bv!W25=0,0,((s_Ir*s_F*s_MLF_snap_bean*(1-EXP(-s_RadSpec!AZ25*s_t_b)))/(s_P*s_RadSpec!AZ25))),0)</f>
        <v>0</v>
      </c>
      <c r="AW25" s="115">
        <f>IFERROR(IF(d_Bv!X25=0,0,((s_Ir*s_F*s_MLF_strawberry*(1-EXP(-s_RadSpec!AZ25*s_t_b)))/(s_P*s_RadSpec!AZ25))),0)</f>
        <v>0</v>
      </c>
      <c r="AX25" s="115">
        <f>IFERROR(IF(d_Bv!Y25=0,0,((s_Ir*s_F*s_MLF_tomato*(1-EXP(-s_RadSpec!AZ25*s_t_b)))/(s_P*s_RadSpec!AZ25))),0)</f>
        <v>0</v>
      </c>
      <c r="AY25" s="115">
        <f>IFERROR(IF(d_Bv!Z25=0,0,((s_Ir*s_F*s_MLF_rice*(1-EXP(-s_RadSpec!AZ25*s_t_b)))/(s_P*s_RadSpec!AZ25))),0)</f>
        <v>0</v>
      </c>
      <c r="AZ25" s="115">
        <f>IFERROR(IF(d_Bv!AA25=0,0,((s_Ir*s_F*s_MLF_cereal*(1-EXP(-s_RadSpec!AZ25*s_t_b)))/(s_P*s_RadSpec!AZ25))),0)</f>
        <v>0</v>
      </c>
      <c r="BA25" s="115">
        <f>IFERROR(IF(d_Bv!C25=0,0,((s_Ir*s_F*s_I_f*s_T*(1-EXP(-s_RadSpec!BA25*s_t_v)))/(s_Y_v*s_RadSpec!BA25))),0)</f>
        <v>0</v>
      </c>
      <c r="BB25" s="115">
        <f>IFERROR(IF(d_Bv!D25=0,0,((s_Ir*s_F*s_I_f*s_T*(1-EXP(-s_RadSpec!BA25*s_t_v)))/(s_Y_v*s_RadSpec!BA25))),0)</f>
        <v>0</v>
      </c>
      <c r="BC25" s="115">
        <f>IFERROR(IF(d_Bv!E25=0,0,((s_Ir*s_F*s_I_f*s_T*(1-EXP(-s_RadSpec!BA25*s_t_v)))/(s_Y_v*s_RadSpec!BA25))),0)</f>
        <v>0</v>
      </c>
      <c r="BD25" s="115">
        <f>IFERROR(IF(d_Bv!F25=0,0,((s_Ir*s_F*s_I_f*s_T*(1-EXP(-s_RadSpec!BA25*s_t_v)))/(s_Y_v*s_RadSpec!BA25))),0)</f>
        <v>0</v>
      </c>
      <c r="BE25" s="115">
        <f>IFERROR(IF(d_Bv!G25=0,0,((s_Ir*s_F*s_I_f*s_T*(1-EXP(-s_RadSpec!BA25*s_t_v)))/(s_Y_v*s_RadSpec!BA25))),0)</f>
        <v>0</v>
      </c>
      <c r="BF25" s="115">
        <f>IFERROR(IF(d_Bv!H25=0,0,((s_Ir*s_F*s_I_f*s_T*(1-EXP(-s_RadSpec!BA25*s_t_v)))/(s_Y_v*s_RadSpec!BA25))),0)</f>
        <v>0</v>
      </c>
      <c r="BG25" s="115">
        <f>IFERROR(IF(d_Bv!I25=0,0,((s_Ir*s_F*s_I_f*s_T*(1-EXP(-s_RadSpec!BA25*s_t_v)))/(s_Y_v*s_RadSpec!BA25))),0)</f>
        <v>0</v>
      </c>
      <c r="BH25" s="115">
        <f>IFERROR(IF(d_Bv!J25=0,0,((s_Ir*s_F*s_I_f*s_T*(1-EXP(-s_RadSpec!BA25*s_t_v)))/(s_Y_v*s_RadSpec!BA25))),0)</f>
        <v>0</v>
      </c>
      <c r="BI25" s="115">
        <f>IFERROR(IF(d_Bv!K25=0,0,((s_Ir*s_F*s_I_f*s_T*(1-EXP(-s_RadSpec!BA25*s_t_v)))/(s_Y_v*s_RadSpec!BA25))),0)</f>
        <v>0</v>
      </c>
      <c r="BJ25" s="115">
        <f>IFERROR(IF(d_Bv!L25=0,0,((s_Ir*s_F*s_I_f*s_T*(1-EXP(-s_RadSpec!BA25*s_t_v)))/(s_Y_v*s_RadSpec!BA25))),0)</f>
        <v>0</v>
      </c>
      <c r="BK25" s="115">
        <f>IFERROR(IF(d_Bv!M25=0,0,((s_Ir*s_F*s_I_f*s_T*(1-EXP(-s_RadSpec!BA25*s_t_v)))/(s_Y_v*s_RadSpec!BA25))),0)</f>
        <v>0</v>
      </c>
      <c r="BL25" s="115">
        <f>IFERROR(IF(d_Bv!N25=0,0,((s_Ir*s_F*s_I_f*s_T*(1-EXP(-s_RadSpec!BA25*s_t_v)))/(s_Y_v*s_RadSpec!BA25))),0)</f>
        <v>0</v>
      </c>
      <c r="BM25" s="115">
        <f>IFERROR(IF(d_Bv!O25=0,0,((s_Ir*s_F*s_I_f*s_T*(1-EXP(-s_RadSpec!BA25*s_t_v)))/(s_Y_v*s_RadSpec!BA25))),0)</f>
        <v>0</v>
      </c>
      <c r="BN25" s="115">
        <f>IFERROR(IF(d_Bv!P25=0,0,((s_Ir*s_F*s_I_f*s_T*(1-EXP(-s_RadSpec!BA25*s_t_v)))/(s_Y_v*s_RadSpec!BA25))),0)</f>
        <v>0</v>
      </c>
      <c r="BO25" s="115">
        <f>IFERROR(IF(d_Bv!Q25=0,0,((s_Ir*s_F*s_I_f*s_T*(1-EXP(-s_RadSpec!BA25*s_t_v)))/(s_Y_v*s_RadSpec!BA25))),0)</f>
        <v>0</v>
      </c>
      <c r="BP25" s="115">
        <f>IFERROR(IF(d_Bv!R25=0,0,((s_Ir*s_F*s_I_f*s_T*(1-EXP(-s_RadSpec!BA25*s_t_v)))/(s_Y_v*s_RadSpec!BA25))),0)</f>
        <v>0</v>
      </c>
      <c r="BQ25" s="115">
        <f>IFERROR(IF(d_Bv!S25=0,0,((s_Ir*s_F*s_I_f*s_T*(1-EXP(-s_RadSpec!BA25*s_t_v)))/(s_Y_v*s_RadSpec!BA25))),0)</f>
        <v>0</v>
      </c>
      <c r="BR25" s="115">
        <f>IFERROR(IF(d_Bv!T25=0,0,((s_Ir*s_F*s_I_f*s_T*(1-EXP(-s_RadSpec!BA25*s_t_v)))/(s_Y_v*s_RadSpec!BA25))),0)</f>
        <v>0</v>
      </c>
      <c r="BS25" s="115">
        <f>IFERROR(IF(d_Bv!U25=0,0,((s_Ir*s_F*s_I_f*s_T*(1-EXP(-s_RadSpec!BA25*s_t_v)))/(s_Y_v*s_RadSpec!BA25))),0)</f>
        <v>0</v>
      </c>
      <c r="BT25" s="115">
        <f>IFERROR(IF(d_Bv!V25=0,0,((s_Ir*s_F*s_I_f*s_T*(1-EXP(-s_RadSpec!BA25*s_t_v)))/(s_Y_v*s_RadSpec!BA25))),0)</f>
        <v>0</v>
      </c>
      <c r="BU25" s="115">
        <f>IFERROR(IF(d_Bv!W25=0,0,((s_Ir*s_F*s_I_f*s_T*(1-EXP(-s_RadSpec!BA25*s_t_v)))/(s_Y_v*s_RadSpec!BA25))),0)</f>
        <v>0</v>
      </c>
      <c r="BV25" s="115">
        <f>IFERROR(IF(d_Bv!X25=0,0,((s_Ir*s_F*s_I_f*s_T*(1-EXP(-s_RadSpec!BA25*s_t_v)))/(s_Y_v*s_RadSpec!BA25))),0)</f>
        <v>0</v>
      </c>
      <c r="BW25" s="115">
        <f>IFERROR(IF(d_Bv!Y25=0,0,((s_Ir*s_F*s_I_f*s_T*(1-EXP(-s_RadSpec!BA25*s_t_v)))/(s_Y_v*s_RadSpec!BA25))),0)</f>
        <v>0</v>
      </c>
      <c r="BX25" s="115">
        <f>IFERROR(IF(d_Bv!Z25=0,0,((s_Ir*s_F*s_I_f*s_T*(1-EXP(-s_RadSpec!BA25*s_t_v)))/(s_Y_v*s_RadSpec!BA25))),0)</f>
        <v>0</v>
      </c>
      <c r="BY25" s="115">
        <f>IFERROR(IF(d_Bv!AA25=0,0,((s_Ir*s_F*s_I_f*s_T*(1-EXP(-s_RadSpec!BA25*s_t_v)))/(s_Y_v*s_RadSpec!BA25))),0)</f>
        <v>0</v>
      </c>
    </row>
    <row r="26" spans="1:77" x14ac:dyDescent="0.25">
      <c r="A26" s="44" t="s">
        <v>36</v>
      </c>
      <c r="B26" s="42" t="s">
        <v>1071</v>
      </c>
      <c r="C26" s="115">
        <f>IFERROR(IF(d_Bv!C26=0,0,((s_Ir*s_F*d_Bv!C26*(1-EXP(-s_RadSpec!$AZ26*s_t_b)))/(s_P*s_RadSpec!$AZ26))),0)</f>
        <v>9.9350362303732037E-2</v>
      </c>
      <c r="D26" s="115">
        <f>IFERROR(IF(d_Bv!D26=0,0,((s_Ir*s_F*d_Bv!D26*(1-EXP(-s_RadSpec!AZ26*s_t_b)))/(s_P*s_RadSpec!AZ26))),0)</f>
        <v>0.23844086952895688</v>
      </c>
      <c r="E26" s="115">
        <f>IFERROR(IF(d_Bv!E26=0,0,((s_Ir*s_F*d_Bv!E26*(1-EXP(-s_RadSpec!AZ26*s_t_b)))/(s_P*s_RadSpec!AZ26))),0)</f>
        <v>0.15896057968597124</v>
      </c>
      <c r="F26" s="115">
        <f>IFERROR(IF(d_Bv!F26=0,0,((s_Ir*s_F*d_Bv!F26*(1-EXP(-s_RadSpec!AZ26*s_t_b)))/(s_P*s_RadSpec!AZ26))),0)</f>
        <v>9.9350362303732037E-2</v>
      </c>
      <c r="G26" s="115">
        <f>IFERROR(IF(d_Bv!G26=0,0,((s_Ir*s_F*d_Bv!G26*(1-EXP(-s_RadSpec!AZ26*s_t_b)))/(s_P*s_RadSpec!AZ26))),0)</f>
        <v>0.15498656519382198</v>
      </c>
      <c r="H26" s="115">
        <f>IFERROR(IF(d_Bv!H26=0,0,((s_Ir*s_F*d_Bv!H26*(1-EXP(-s_RadSpec!AZ26*s_t_b)))/(s_P*s_RadSpec!AZ26))),0)</f>
        <v>0.23844086952895688</v>
      </c>
      <c r="I26" s="115">
        <f>IFERROR(IF(d_Bv!I26=0,0,((s_Ir*s_F*d_Bv!I26*(1-EXP(-s_RadSpec!AZ26*s_t_b)))/(s_P*s_RadSpec!AZ26))),0)</f>
        <v>0.15896057968597124</v>
      </c>
      <c r="J26" s="115">
        <f>IFERROR(IF(d_Bv!J26=0,0,((s_Ir*s_F*d_Bv!J26*(1-EXP(-s_RadSpec!AZ26*s_t_b)))/(s_P*s_RadSpec!AZ26))),0)</f>
        <v>9.9350362303732037E-2</v>
      </c>
      <c r="K26" s="115">
        <f>IFERROR(IF(d_Bv!K26=0,0,((s_Ir*s_F*d_Bv!K26*(1-EXP(-s_RadSpec!AZ26*s_t_b)))/(s_P*s_RadSpec!AZ26))),0)</f>
        <v>0.12716846374877702</v>
      </c>
      <c r="L26" s="115">
        <f>IFERROR(IF(d_Bv!L26=0,0,((s_Ir*s_F*d_Bv!L26*(1-EXP(-s_RadSpec!AZ26*s_t_b)))/(s_P*s_RadSpec!AZ26))),0)</f>
        <v>0.15498656519382198</v>
      </c>
      <c r="M26" s="115">
        <f>IFERROR(IF(d_Bv!M26=0,0,((s_Ir*s_F*d_Bv!M26*(1-EXP(-s_RadSpec!AZ26*s_t_b)))/(s_P*s_RadSpec!AZ26))),0)</f>
        <v>0.23844086952895688</v>
      </c>
      <c r="N26" s="115">
        <f>IFERROR(IF(d_Bv!N26=0,0,((s_Ir*s_F*d_Bv!N26*(1-EXP(-s_RadSpec!AZ26*s_t_b)))/(s_P*s_RadSpec!AZ26))),0)</f>
        <v>0.10531138404195596</v>
      </c>
      <c r="O26" s="115">
        <f>IFERROR(IF(d_Bv!O26=0,0,((s_Ir*s_F*d_Bv!O26*(1-EXP(-s_RadSpec!AZ26*s_t_b)))/(s_P*s_RadSpec!AZ26))),0)</f>
        <v>0.15498656519382198</v>
      </c>
      <c r="P26" s="115">
        <f>IFERROR(IF(d_Bv!P26=0,0,((s_Ir*s_F*d_Bv!P26*(1-EXP(-s_RadSpec!AZ26*s_t_b)))/(s_P*s_RadSpec!AZ26))),0)</f>
        <v>0.15896057968597124</v>
      </c>
      <c r="Q26" s="115">
        <f>IFERROR(IF(d_Bv!Q26=0,0,((s_Ir*s_F*d_Bv!Q26*(1-EXP(-s_RadSpec!AZ26*s_t_b)))/(s_P*s_RadSpec!AZ26))),0)</f>
        <v>9.9350362303732037E-2</v>
      </c>
      <c r="R26" s="115">
        <f>IFERROR(IF(d_Bv!R26=0,0,((s_Ir*s_F*d_Bv!R26*(1-EXP(-s_RadSpec!AZ26*s_t_b)))/(s_P*s_RadSpec!AZ26))),0)</f>
        <v>9.9350362303732037E-2</v>
      </c>
      <c r="S26" s="115">
        <f>IFERROR(IF(d_Bv!S26=0,0,((s_Ir*s_F*d_Bv!S26*(1-EXP(-s_RadSpec!AZ26*s_t_b)))/(s_P*s_RadSpec!AZ26))),0)</f>
        <v>0.10531138404195596</v>
      </c>
      <c r="T26" s="115">
        <f>IFERROR(IF(d_Bv!T26=0,0,((s_Ir*s_F*d_Bv!T26*(1-EXP(-s_RadSpec!AZ26*s_t_b)))/(s_P*s_RadSpec!AZ26))),0)</f>
        <v>0.15498656519382198</v>
      </c>
      <c r="U26" s="115">
        <f>IFERROR(IF(d_Bv!U26=0,0,((s_Ir*s_F*d_Bv!U26*(1-EXP(-s_RadSpec!AZ26*s_t_b)))/(s_P*s_RadSpec!AZ26))),0)</f>
        <v>3.9740144921492811E-2</v>
      </c>
      <c r="V26" s="115">
        <f>IFERROR(IF(d_Bv!V26=0,0,((s_Ir*s_F*d_Bv!V26*(1-EXP(-s_RadSpec!AZ26*s_t_b)))/(s_P*s_RadSpec!AZ26))),0)</f>
        <v>0.15498656519382198</v>
      </c>
      <c r="W26" s="115">
        <f>IFERROR(IF(d_Bv!W26=0,0,((s_Ir*s_F*d_Bv!W26*(1-EXP(-s_RadSpec!AZ26*s_t_b)))/(s_P*s_RadSpec!AZ26))),0)</f>
        <v>0.10531138404195596</v>
      </c>
      <c r="X26" s="115">
        <f>IFERROR(IF(d_Bv!X26=0,0,((s_Ir*s_F*d_Bv!X26*(1-EXP(-s_RadSpec!AZ26*s_t_b)))/(s_P*s_RadSpec!AZ26))),0)</f>
        <v>9.9350362303732037E-2</v>
      </c>
      <c r="Y26" s="115">
        <f>IFERROR(IF(d_Bv!Y26=0,0,((s_Ir*s_F*d_Bv!Y26*(1-EXP(-s_RadSpec!AZ26*s_t_b)))/(s_P*s_RadSpec!AZ26))),0)</f>
        <v>0.15498656519382198</v>
      </c>
      <c r="Z26" s="115">
        <f>IFERROR(IF(d_Bv!Z26=0,0,((s_Ir*s_F*d_Bv!Z26*(1-EXP(-s_RadSpec!AZ26*s_t_b)))/(s_P*s_RadSpec!AZ26))),0)</f>
        <v>3.1792115937194255E-2</v>
      </c>
      <c r="AA26" s="115">
        <f>IFERROR(IF(d_Bv!AA26=0,0,((s_Ir*s_F*d_Bv!AA26*(1-EXP(-s_RadSpec!AZ26*s_t_b)))/(s_P*s_RadSpec!AZ26))),0)</f>
        <v>0.41727152167567449</v>
      </c>
      <c r="AB26" s="115">
        <f>IFERROR(IF(d_Bv!C26=0,0,((s_Ir*s_F*s_MLF_apple*(1-EXP(-s_RadSpec!AZ26*s_t_b)))/(s_P*s_RadSpec!AZ26))),0)</f>
        <v>2.6824597822007652</v>
      </c>
      <c r="AC26" s="115">
        <f>IFERROR(IF(d_Bv!D26=0,0,((s_Ir*s_F*s_MLF_asparagus*(1-EXP(-s_RadSpec!AZ26*s_t_b)))/(s_P*s_RadSpec!AZ26))),0)</f>
        <v>2.6824597822007652</v>
      </c>
      <c r="AD26" s="115">
        <f>IFERROR(IF(d_Bv!E26=0,0,((s_Ir*s_F*s_MLF_beet*(1-EXP(-s_RadSpec!AZ26*s_t_b)))/(s_P*s_RadSpec!AZ26))),0)</f>
        <v>2.6824597822007652</v>
      </c>
      <c r="AE26" s="115">
        <f>IFERROR(IF(d_Bv!F26=0,0,((s_Ir*s_F*s_MLF_berries*(1-EXP(-s_RadSpec!AZ26*s_t_b)))/(s_P*s_RadSpec!AZ26))),0)</f>
        <v>2.6824597822007652</v>
      </c>
      <c r="AF26" s="115">
        <f>IFERROR(IF(d_Bv!G26=0,0,((s_Ir*s_F*s_MLF_broccoli*(1-EXP(-s_RadSpec!AZ26*s_t_b)))/(s_P*s_RadSpec!AZ26))),0)</f>
        <v>2.6824597822007652</v>
      </c>
      <c r="AG26" s="115">
        <f>IFERROR(IF(d_Bv!H26=0,0,((s_Ir*s_F*s_MLF_cabbage*(1-EXP(-s_RadSpec!AZ26*s_t_b)))/(s_P*s_RadSpec!AZ26))),0)</f>
        <v>2.6824597822007652</v>
      </c>
      <c r="AH26" s="115">
        <f>IFERROR(IF(d_Bv!I26=0,0,((s_Ir*s_F*s_MLF_carrot*(1-EXP(-s_RadSpec!AZ26*s_t_b)))/(s_P*s_RadSpec!AZ26))),0)</f>
        <v>2.6824597822007652</v>
      </c>
      <c r="AI26" s="115">
        <f>IFERROR(IF(d_Bv!J26=0,0,((s_Ir*s_F*s_MLF_citrus*(1-EXP(-s_RadSpec!AZ26*s_t_b)))/(s_P*s_RadSpec!AZ26))),0)</f>
        <v>2.6824597822007652</v>
      </c>
      <c r="AJ26" s="115">
        <f>IFERROR(IF(d_Bv!K26=0,0,((s_Ir*s_F*s_MLF_corn*(1-EXP(-s_RadSpec!AZ26*s_t_b)))/(s_P*s_RadSpec!AZ26))),0)</f>
        <v>2.6824597822007652</v>
      </c>
      <c r="AK26" s="115">
        <f>IFERROR(IF(d_Bv!L26=0,0,((s_Ir*s_F*s_MLF_cucumber*(1-EXP(-s_RadSpec!AZ26*s_t_b)))/(s_P*s_RadSpec!AZ26))),0)</f>
        <v>2.6824597822007652</v>
      </c>
      <c r="AL26" s="115">
        <f>IFERROR(IF(d_Bv!M26=0,0,((s_Ir*s_F*s_MLF_lettuce*(1-EXP(-s_RadSpec!AZ26*s_t_b)))/(s_P*s_RadSpec!AZ26))),0)</f>
        <v>2.6824597822007652</v>
      </c>
      <c r="AM26" s="115">
        <f>IFERROR(IF(d_Bv!N26=0,0,((s_Ir*s_F*s_MLF_lima_bean*(1-EXP(-s_RadSpec!AZ26*s_t_b)))/(s_P*s_RadSpec!AZ26))),0)</f>
        <v>2.6824597822007652</v>
      </c>
      <c r="AN26" s="115">
        <f>IFERROR(IF(d_Bv!O26=0,0,((s_Ir*s_F*s_MLF_okra*(1-EXP(-s_RadSpec!AZ26*s_t_b)))/(s_P*s_RadSpec!AZ26))),0)</f>
        <v>2.6824597822007652</v>
      </c>
      <c r="AO26" s="115">
        <f>IFERROR(IF(d_Bv!P26=0,0,((s_Ir*s_F*s_MLF_onion*(1-EXP(-s_RadSpec!AZ26*s_t_b)))/(s_P*s_RadSpec!AZ26))),0)</f>
        <v>2.6824597822007652</v>
      </c>
      <c r="AP26" s="115">
        <f>IFERROR(IF(d_Bv!Q26=0,0,((s_Ir*s_F*s_MLF_peach*(1-EXP(-s_RadSpec!AZ26*s_t_b)))/(s_P*s_RadSpec!AZ26))),0)</f>
        <v>2.6824597822007652</v>
      </c>
      <c r="AQ26" s="115">
        <f>IFERROR(IF(d_Bv!R26=0,0,((s_Ir*s_F*s_MLF_pear*(1-EXP(-s_RadSpec!AZ26*s_t_b)))/(s_P*s_RadSpec!AZ26))),0)</f>
        <v>2.6824597822007652</v>
      </c>
      <c r="AR26" s="115">
        <f>IFERROR(IF(d_Bv!S26=0,0,((s_Ir*s_F*s_MLF_peas*(1-EXP(-s_RadSpec!AZ26*s_t_b)))/(s_P*s_RadSpec!AZ26))),0)</f>
        <v>2.6824597822007652</v>
      </c>
      <c r="AS26" s="115">
        <f>IFERROR(IF(d_Bv!T26=0,0,((s_Ir*s_F*s_MLF_peppers*(1-EXP(-s_RadSpec!AZ26*s_t_b)))/(s_P*s_RadSpec!AZ26))),0)</f>
        <v>2.6824597822007652</v>
      </c>
      <c r="AT26" s="115">
        <f>IFERROR(IF(d_Bv!U26=0,0,((s_Ir*s_F*s_MLF_potato*(1-EXP(-s_RadSpec!AZ26*s_t_b)))/(s_P*s_RadSpec!AZ26))),0)</f>
        <v>2.6824597822007652</v>
      </c>
      <c r="AU26" s="115">
        <f>IFERROR(IF(d_Bv!V26=0,0,((s_Ir*s_F*s_MLF_pumpkin*(1-EXP(-s_RadSpec!AZ26*s_t_b)))/(s_P*s_RadSpec!AZ26))),0)</f>
        <v>2.6824597822007652</v>
      </c>
      <c r="AV26" s="115">
        <f>IFERROR(IF(d_Bv!W26=0,0,((s_Ir*s_F*s_MLF_snap_bean*(1-EXP(-s_RadSpec!AZ26*s_t_b)))/(s_P*s_RadSpec!AZ26))),0)</f>
        <v>2.6824597822007652</v>
      </c>
      <c r="AW26" s="115">
        <f>IFERROR(IF(d_Bv!X26=0,0,((s_Ir*s_F*s_MLF_strawberry*(1-EXP(-s_RadSpec!AZ26*s_t_b)))/(s_P*s_RadSpec!AZ26))),0)</f>
        <v>2.6824597822007652</v>
      </c>
      <c r="AX26" s="115">
        <f>IFERROR(IF(d_Bv!Y26=0,0,((s_Ir*s_F*s_MLF_tomato*(1-EXP(-s_RadSpec!AZ26*s_t_b)))/(s_P*s_RadSpec!AZ26))),0)</f>
        <v>2.6824597822007652</v>
      </c>
      <c r="AY26" s="115">
        <f>IFERROR(IF(d_Bv!Z26=0,0,((s_Ir*s_F*s_MLF_rice*(1-EXP(-s_RadSpec!AZ26*s_t_b)))/(s_P*s_RadSpec!AZ26))),0)</f>
        <v>2.6824597822007652</v>
      </c>
      <c r="AZ26" s="115">
        <f>IFERROR(IF(d_Bv!AA26=0,0,((s_Ir*s_F*s_MLF_cereal*(1-EXP(-s_RadSpec!AZ26*s_t_b)))/(s_P*s_RadSpec!AZ26))),0)</f>
        <v>2.6824597822007652</v>
      </c>
      <c r="BA26" s="115">
        <f>IFERROR(IF(d_Bv!C26=0,0,((s_Ir*s_F*s_I_f*s_T*(1-EXP(-s_RadSpec!BA26*s_t_v)))/(s_Y_v*s_RadSpec!BA26))),0)</f>
        <v>9.0143481925428208</v>
      </c>
      <c r="BB26" s="115">
        <f>IFERROR(IF(d_Bv!D26=0,0,((s_Ir*s_F*s_I_f*s_T*(1-EXP(-s_RadSpec!BA26*s_t_v)))/(s_Y_v*s_RadSpec!BA26))),0)</f>
        <v>9.0143481925428208</v>
      </c>
      <c r="BC26" s="115">
        <f>IFERROR(IF(d_Bv!E26=0,0,((s_Ir*s_F*s_I_f*s_T*(1-EXP(-s_RadSpec!BA26*s_t_v)))/(s_Y_v*s_RadSpec!BA26))),0)</f>
        <v>9.0143481925428208</v>
      </c>
      <c r="BD26" s="115">
        <f>IFERROR(IF(d_Bv!F26=0,0,((s_Ir*s_F*s_I_f*s_T*(1-EXP(-s_RadSpec!BA26*s_t_v)))/(s_Y_v*s_RadSpec!BA26))),0)</f>
        <v>9.0143481925428208</v>
      </c>
      <c r="BE26" s="115">
        <f>IFERROR(IF(d_Bv!G26=0,0,((s_Ir*s_F*s_I_f*s_T*(1-EXP(-s_RadSpec!BA26*s_t_v)))/(s_Y_v*s_RadSpec!BA26))),0)</f>
        <v>9.0143481925428208</v>
      </c>
      <c r="BF26" s="115">
        <f>IFERROR(IF(d_Bv!H26=0,0,((s_Ir*s_F*s_I_f*s_T*(1-EXP(-s_RadSpec!BA26*s_t_v)))/(s_Y_v*s_RadSpec!BA26))),0)</f>
        <v>9.0143481925428208</v>
      </c>
      <c r="BG26" s="115">
        <f>IFERROR(IF(d_Bv!I26=0,0,((s_Ir*s_F*s_I_f*s_T*(1-EXP(-s_RadSpec!BA26*s_t_v)))/(s_Y_v*s_RadSpec!BA26))),0)</f>
        <v>9.0143481925428208</v>
      </c>
      <c r="BH26" s="115">
        <f>IFERROR(IF(d_Bv!J26=0,0,((s_Ir*s_F*s_I_f*s_T*(1-EXP(-s_RadSpec!BA26*s_t_v)))/(s_Y_v*s_RadSpec!BA26))),0)</f>
        <v>9.0143481925428208</v>
      </c>
      <c r="BI26" s="115">
        <f>IFERROR(IF(d_Bv!K26=0,0,((s_Ir*s_F*s_I_f*s_T*(1-EXP(-s_RadSpec!BA26*s_t_v)))/(s_Y_v*s_RadSpec!BA26))),0)</f>
        <v>9.0143481925428208</v>
      </c>
      <c r="BJ26" s="115">
        <f>IFERROR(IF(d_Bv!L26=0,0,((s_Ir*s_F*s_I_f*s_T*(1-EXP(-s_RadSpec!BA26*s_t_v)))/(s_Y_v*s_RadSpec!BA26))),0)</f>
        <v>9.0143481925428208</v>
      </c>
      <c r="BK26" s="115">
        <f>IFERROR(IF(d_Bv!M26=0,0,((s_Ir*s_F*s_I_f*s_T*(1-EXP(-s_RadSpec!BA26*s_t_v)))/(s_Y_v*s_RadSpec!BA26))),0)</f>
        <v>9.0143481925428208</v>
      </c>
      <c r="BL26" s="115">
        <f>IFERROR(IF(d_Bv!N26=0,0,((s_Ir*s_F*s_I_f*s_T*(1-EXP(-s_RadSpec!BA26*s_t_v)))/(s_Y_v*s_RadSpec!BA26))),0)</f>
        <v>9.0143481925428208</v>
      </c>
      <c r="BM26" s="115">
        <f>IFERROR(IF(d_Bv!O26=0,0,((s_Ir*s_F*s_I_f*s_T*(1-EXP(-s_RadSpec!BA26*s_t_v)))/(s_Y_v*s_RadSpec!BA26))),0)</f>
        <v>9.0143481925428208</v>
      </c>
      <c r="BN26" s="115">
        <f>IFERROR(IF(d_Bv!P26=0,0,((s_Ir*s_F*s_I_f*s_T*(1-EXP(-s_RadSpec!BA26*s_t_v)))/(s_Y_v*s_RadSpec!BA26))),0)</f>
        <v>9.0143481925428208</v>
      </c>
      <c r="BO26" s="115">
        <f>IFERROR(IF(d_Bv!Q26=0,0,((s_Ir*s_F*s_I_f*s_T*(1-EXP(-s_RadSpec!BA26*s_t_v)))/(s_Y_v*s_RadSpec!BA26))),0)</f>
        <v>9.0143481925428208</v>
      </c>
      <c r="BP26" s="115">
        <f>IFERROR(IF(d_Bv!R26=0,0,((s_Ir*s_F*s_I_f*s_T*(1-EXP(-s_RadSpec!BA26*s_t_v)))/(s_Y_v*s_RadSpec!BA26))),0)</f>
        <v>9.0143481925428208</v>
      </c>
      <c r="BQ26" s="115">
        <f>IFERROR(IF(d_Bv!S26=0,0,((s_Ir*s_F*s_I_f*s_T*(1-EXP(-s_RadSpec!BA26*s_t_v)))/(s_Y_v*s_RadSpec!BA26))),0)</f>
        <v>9.0143481925428208</v>
      </c>
      <c r="BR26" s="115">
        <f>IFERROR(IF(d_Bv!T26=0,0,((s_Ir*s_F*s_I_f*s_T*(1-EXP(-s_RadSpec!BA26*s_t_v)))/(s_Y_v*s_RadSpec!BA26))),0)</f>
        <v>9.0143481925428208</v>
      </c>
      <c r="BS26" s="115">
        <f>IFERROR(IF(d_Bv!U26=0,0,((s_Ir*s_F*s_I_f*s_T*(1-EXP(-s_RadSpec!BA26*s_t_v)))/(s_Y_v*s_RadSpec!BA26))),0)</f>
        <v>9.0143481925428208</v>
      </c>
      <c r="BT26" s="115">
        <f>IFERROR(IF(d_Bv!V26=0,0,((s_Ir*s_F*s_I_f*s_T*(1-EXP(-s_RadSpec!BA26*s_t_v)))/(s_Y_v*s_RadSpec!BA26))),0)</f>
        <v>9.0143481925428208</v>
      </c>
      <c r="BU26" s="115">
        <f>IFERROR(IF(d_Bv!W26=0,0,((s_Ir*s_F*s_I_f*s_T*(1-EXP(-s_RadSpec!BA26*s_t_v)))/(s_Y_v*s_RadSpec!BA26))),0)</f>
        <v>9.0143481925428208</v>
      </c>
      <c r="BV26" s="115">
        <f>IFERROR(IF(d_Bv!X26=0,0,((s_Ir*s_F*s_I_f*s_T*(1-EXP(-s_RadSpec!BA26*s_t_v)))/(s_Y_v*s_RadSpec!BA26))),0)</f>
        <v>9.0143481925428208</v>
      </c>
      <c r="BW26" s="115">
        <f>IFERROR(IF(d_Bv!Y26=0,0,((s_Ir*s_F*s_I_f*s_T*(1-EXP(-s_RadSpec!BA26*s_t_v)))/(s_Y_v*s_RadSpec!BA26))),0)</f>
        <v>9.0143481925428208</v>
      </c>
      <c r="BX26" s="115">
        <f>IFERROR(IF(d_Bv!Z26=0,0,((s_Ir*s_F*s_I_f*s_T*(1-EXP(-s_RadSpec!BA26*s_t_v)))/(s_Y_v*s_RadSpec!BA26))),0)</f>
        <v>9.0143481925428208</v>
      </c>
      <c r="BY26" s="115">
        <f>IFERROR(IF(d_Bv!AA26=0,0,((s_Ir*s_F*s_I_f*s_T*(1-EXP(-s_RadSpec!BA26*s_t_v)))/(s_Y_v*s_RadSpec!BA26))),0)</f>
        <v>9.0143481925428208</v>
      </c>
    </row>
    <row r="27" spans="1:77" x14ac:dyDescent="0.25">
      <c r="A27" s="44" t="s">
        <v>37</v>
      </c>
      <c r="B27" s="42" t="s">
        <v>1071</v>
      </c>
      <c r="C27" s="115">
        <f>IFERROR(IF(d_Bv!C27=0,0,((s_Ir*s_F*d_Bv!C27*(1-EXP(-s_RadSpec!$AZ27*s_t_b)))/(s_P*s_RadSpec!$AZ27))),0)</f>
        <v>1.5896057968597128E-2</v>
      </c>
      <c r="D27" s="115">
        <f>IFERROR(IF(d_Bv!D27=0,0,((s_Ir*s_F*d_Bv!D27*(1-EXP(-s_RadSpec!AZ27*s_t_b)))/(s_P*s_RadSpec!AZ27))),0)</f>
        <v>0.15896057968597124</v>
      </c>
      <c r="E27" s="115">
        <f>IFERROR(IF(d_Bv!E27=0,0,((s_Ir*s_F*d_Bv!E27*(1-EXP(-s_RadSpec!AZ27*s_t_b)))/(s_P*s_RadSpec!AZ27))),0)</f>
        <v>1.5896057968597128E-2</v>
      </c>
      <c r="F27" s="115">
        <f>IFERROR(IF(d_Bv!F27=0,0,((s_Ir*s_F*d_Bv!F27*(1-EXP(-s_RadSpec!AZ27*s_t_b)))/(s_P*s_RadSpec!AZ27))),0)</f>
        <v>1.5896057968597128E-2</v>
      </c>
      <c r="G27" s="115">
        <f>IFERROR(IF(d_Bv!G27=0,0,((s_Ir*s_F*d_Bv!G27*(1-EXP(-s_RadSpec!AZ27*s_t_b)))/(s_P*s_RadSpec!AZ27))),0)</f>
        <v>0.15896057968597124</v>
      </c>
      <c r="H27" s="115">
        <f>IFERROR(IF(d_Bv!H27=0,0,((s_Ir*s_F*d_Bv!H27*(1-EXP(-s_RadSpec!AZ27*s_t_b)))/(s_P*s_RadSpec!AZ27))),0)</f>
        <v>0.15896057968597124</v>
      </c>
      <c r="I27" s="115">
        <f>IFERROR(IF(d_Bv!I27=0,0,((s_Ir*s_F*d_Bv!I27*(1-EXP(-s_RadSpec!AZ27*s_t_b)))/(s_P*s_RadSpec!AZ27))),0)</f>
        <v>1.5896057968597128E-2</v>
      </c>
      <c r="J27" s="115">
        <f>IFERROR(IF(d_Bv!J27=0,0,((s_Ir*s_F*d_Bv!J27*(1-EXP(-s_RadSpec!AZ27*s_t_b)))/(s_P*s_RadSpec!AZ27))),0)</f>
        <v>1.5896057968597128E-2</v>
      </c>
      <c r="K27" s="115">
        <f>IFERROR(IF(d_Bv!K27=0,0,((s_Ir*s_F*d_Bv!K27*(1-EXP(-s_RadSpec!AZ27*s_t_b)))/(s_P*s_RadSpec!AZ27))),0)</f>
        <v>0.15896057968597124</v>
      </c>
      <c r="L27" s="115">
        <f>IFERROR(IF(d_Bv!L27=0,0,((s_Ir*s_F*d_Bv!L27*(1-EXP(-s_RadSpec!AZ27*s_t_b)))/(s_P*s_RadSpec!AZ27))),0)</f>
        <v>0.15896057968597124</v>
      </c>
      <c r="M27" s="115">
        <f>IFERROR(IF(d_Bv!M27=0,0,((s_Ir*s_F*d_Bv!M27*(1-EXP(-s_RadSpec!AZ27*s_t_b)))/(s_P*s_RadSpec!AZ27))),0)</f>
        <v>0.15896057968597124</v>
      </c>
      <c r="N27" s="115">
        <f>IFERROR(IF(d_Bv!N27=0,0,((s_Ir*s_F*d_Bv!N27*(1-EXP(-s_RadSpec!AZ27*s_t_b)))/(s_P*s_RadSpec!AZ27))),0)</f>
        <v>0.15896057968597124</v>
      </c>
      <c r="O27" s="115">
        <f>IFERROR(IF(d_Bv!O27=0,0,((s_Ir*s_F*d_Bv!O27*(1-EXP(-s_RadSpec!AZ27*s_t_b)))/(s_P*s_RadSpec!AZ27))),0)</f>
        <v>0.15896057968597124</v>
      </c>
      <c r="P27" s="115">
        <f>IFERROR(IF(d_Bv!P27=0,0,((s_Ir*s_F*d_Bv!P27*(1-EXP(-s_RadSpec!AZ27*s_t_b)))/(s_P*s_RadSpec!AZ27))),0)</f>
        <v>1.5896057968597128E-2</v>
      </c>
      <c r="Q27" s="115">
        <f>IFERROR(IF(d_Bv!Q27=0,0,((s_Ir*s_F*d_Bv!Q27*(1-EXP(-s_RadSpec!AZ27*s_t_b)))/(s_P*s_RadSpec!AZ27))),0)</f>
        <v>1.5896057968597128E-2</v>
      </c>
      <c r="R27" s="115">
        <f>IFERROR(IF(d_Bv!R27=0,0,((s_Ir*s_F*d_Bv!R27*(1-EXP(-s_RadSpec!AZ27*s_t_b)))/(s_P*s_RadSpec!AZ27))),0)</f>
        <v>1.5896057968597128E-2</v>
      </c>
      <c r="S27" s="115">
        <f>IFERROR(IF(d_Bv!S27=0,0,((s_Ir*s_F*d_Bv!S27*(1-EXP(-s_RadSpec!AZ27*s_t_b)))/(s_P*s_RadSpec!AZ27))),0)</f>
        <v>0.15896057968597124</v>
      </c>
      <c r="T27" s="115">
        <f>IFERROR(IF(d_Bv!T27=0,0,((s_Ir*s_F*d_Bv!T27*(1-EXP(-s_RadSpec!AZ27*s_t_b)))/(s_P*s_RadSpec!AZ27))),0)</f>
        <v>0.15896057968597124</v>
      </c>
      <c r="U27" s="115">
        <f>IFERROR(IF(d_Bv!U27=0,0,((s_Ir*s_F*d_Bv!U27*(1-EXP(-s_RadSpec!AZ27*s_t_b)))/(s_P*s_RadSpec!AZ27))),0)</f>
        <v>1.5896057968597128E-2</v>
      </c>
      <c r="V27" s="115">
        <f>IFERROR(IF(d_Bv!V27=0,0,((s_Ir*s_F*d_Bv!V27*(1-EXP(-s_RadSpec!AZ27*s_t_b)))/(s_P*s_RadSpec!AZ27))),0)</f>
        <v>0.15896057968597124</v>
      </c>
      <c r="W27" s="115">
        <f>IFERROR(IF(d_Bv!W27=0,0,((s_Ir*s_F*d_Bv!W27*(1-EXP(-s_RadSpec!AZ27*s_t_b)))/(s_P*s_RadSpec!AZ27))),0)</f>
        <v>0.15896057968597124</v>
      </c>
      <c r="X27" s="115">
        <f>IFERROR(IF(d_Bv!X27=0,0,((s_Ir*s_F*d_Bv!X27*(1-EXP(-s_RadSpec!AZ27*s_t_b)))/(s_P*s_RadSpec!AZ27))),0)</f>
        <v>1.5896057968597128E-2</v>
      </c>
      <c r="Y27" s="115">
        <f>IFERROR(IF(d_Bv!Y27=0,0,((s_Ir*s_F*d_Bv!Y27*(1-EXP(-s_RadSpec!AZ27*s_t_b)))/(s_P*s_RadSpec!AZ27))),0)</f>
        <v>0.15896057968597124</v>
      </c>
      <c r="Z27" s="115">
        <f>IFERROR(IF(d_Bv!Z27=0,0,((s_Ir*s_F*d_Bv!Z27*(1-EXP(-s_RadSpec!AZ27*s_t_b)))/(s_P*s_RadSpec!AZ27))),0)</f>
        <v>39.740144921492814</v>
      </c>
      <c r="AA27" s="115">
        <f>IFERROR(IF(d_Bv!AA27=0,0,((s_Ir*s_F*d_Bv!AA27*(1-EXP(-s_RadSpec!AZ27*s_t_b)))/(s_P*s_RadSpec!AZ27))),0)</f>
        <v>0.15896057968597124</v>
      </c>
      <c r="AB27" s="115">
        <f>IFERROR(IF(d_Bv!C27=0,0,((s_Ir*s_F*s_MLF_apple*(1-EXP(-s_RadSpec!AZ27*s_t_b)))/(s_P*s_RadSpec!AZ27))),0)</f>
        <v>2.6824597822007652</v>
      </c>
      <c r="AC27" s="115">
        <f>IFERROR(IF(d_Bv!D27=0,0,((s_Ir*s_F*s_MLF_asparagus*(1-EXP(-s_RadSpec!AZ27*s_t_b)))/(s_P*s_RadSpec!AZ27))),0)</f>
        <v>2.6824597822007652</v>
      </c>
      <c r="AD27" s="115">
        <f>IFERROR(IF(d_Bv!E27=0,0,((s_Ir*s_F*s_MLF_beet*(1-EXP(-s_RadSpec!AZ27*s_t_b)))/(s_P*s_RadSpec!AZ27))),0)</f>
        <v>2.6824597822007652</v>
      </c>
      <c r="AE27" s="115">
        <f>IFERROR(IF(d_Bv!F27=0,0,((s_Ir*s_F*s_MLF_berries*(1-EXP(-s_RadSpec!AZ27*s_t_b)))/(s_P*s_RadSpec!AZ27))),0)</f>
        <v>2.6824597822007652</v>
      </c>
      <c r="AF27" s="115">
        <f>IFERROR(IF(d_Bv!G27=0,0,((s_Ir*s_F*s_MLF_broccoli*(1-EXP(-s_RadSpec!AZ27*s_t_b)))/(s_P*s_RadSpec!AZ27))),0)</f>
        <v>2.6824597822007652</v>
      </c>
      <c r="AG27" s="115">
        <f>IFERROR(IF(d_Bv!H27=0,0,((s_Ir*s_F*s_MLF_cabbage*(1-EXP(-s_RadSpec!AZ27*s_t_b)))/(s_P*s_RadSpec!AZ27))),0)</f>
        <v>2.6824597822007652</v>
      </c>
      <c r="AH27" s="115">
        <f>IFERROR(IF(d_Bv!I27=0,0,((s_Ir*s_F*s_MLF_carrot*(1-EXP(-s_RadSpec!AZ27*s_t_b)))/(s_P*s_RadSpec!AZ27))),0)</f>
        <v>2.6824597822007652</v>
      </c>
      <c r="AI27" s="115">
        <f>IFERROR(IF(d_Bv!J27=0,0,((s_Ir*s_F*s_MLF_citrus*(1-EXP(-s_RadSpec!AZ27*s_t_b)))/(s_P*s_RadSpec!AZ27))),0)</f>
        <v>2.6824597822007652</v>
      </c>
      <c r="AJ27" s="115">
        <f>IFERROR(IF(d_Bv!K27=0,0,((s_Ir*s_F*s_MLF_corn*(1-EXP(-s_RadSpec!AZ27*s_t_b)))/(s_P*s_RadSpec!AZ27))),0)</f>
        <v>2.6824597822007652</v>
      </c>
      <c r="AK27" s="115">
        <f>IFERROR(IF(d_Bv!L27=0,0,((s_Ir*s_F*s_MLF_cucumber*(1-EXP(-s_RadSpec!AZ27*s_t_b)))/(s_P*s_RadSpec!AZ27))),0)</f>
        <v>2.6824597822007652</v>
      </c>
      <c r="AL27" s="115">
        <f>IFERROR(IF(d_Bv!M27=0,0,((s_Ir*s_F*s_MLF_lettuce*(1-EXP(-s_RadSpec!AZ27*s_t_b)))/(s_P*s_RadSpec!AZ27))),0)</f>
        <v>2.6824597822007652</v>
      </c>
      <c r="AM27" s="115">
        <f>IFERROR(IF(d_Bv!N27=0,0,((s_Ir*s_F*s_MLF_lima_bean*(1-EXP(-s_RadSpec!AZ27*s_t_b)))/(s_P*s_RadSpec!AZ27))),0)</f>
        <v>2.6824597822007652</v>
      </c>
      <c r="AN27" s="115">
        <f>IFERROR(IF(d_Bv!O27=0,0,((s_Ir*s_F*s_MLF_okra*(1-EXP(-s_RadSpec!AZ27*s_t_b)))/(s_P*s_RadSpec!AZ27))),0)</f>
        <v>2.6824597822007652</v>
      </c>
      <c r="AO27" s="115">
        <f>IFERROR(IF(d_Bv!P27=0,0,((s_Ir*s_F*s_MLF_onion*(1-EXP(-s_RadSpec!AZ27*s_t_b)))/(s_P*s_RadSpec!AZ27))),0)</f>
        <v>2.6824597822007652</v>
      </c>
      <c r="AP27" s="115">
        <f>IFERROR(IF(d_Bv!Q27=0,0,((s_Ir*s_F*s_MLF_peach*(1-EXP(-s_RadSpec!AZ27*s_t_b)))/(s_P*s_RadSpec!AZ27))),0)</f>
        <v>2.6824597822007652</v>
      </c>
      <c r="AQ27" s="115">
        <f>IFERROR(IF(d_Bv!R27=0,0,((s_Ir*s_F*s_MLF_pear*(1-EXP(-s_RadSpec!AZ27*s_t_b)))/(s_P*s_RadSpec!AZ27))),0)</f>
        <v>2.6824597822007652</v>
      </c>
      <c r="AR27" s="115">
        <f>IFERROR(IF(d_Bv!S27=0,0,((s_Ir*s_F*s_MLF_peas*(1-EXP(-s_RadSpec!AZ27*s_t_b)))/(s_P*s_RadSpec!AZ27))),0)</f>
        <v>2.6824597822007652</v>
      </c>
      <c r="AS27" s="115">
        <f>IFERROR(IF(d_Bv!T27=0,0,((s_Ir*s_F*s_MLF_peppers*(1-EXP(-s_RadSpec!AZ27*s_t_b)))/(s_P*s_RadSpec!AZ27))),0)</f>
        <v>2.6824597822007652</v>
      </c>
      <c r="AT27" s="115">
        <f>IFERROR(IF(d_Bv!U27=0,0,((s_Ir*s_F*s_MLF_potato*(1-EXP(-s_RadSpec!AZ27*s_t_b)))/(s_P*s_RadSpec!AZ27))),0)</f>
        <v>2.6824597822007652</v>
      </c>
      <c r="AU27" s="115">
        <f>IFERROR(IF(d_Bv!V27=0,0,((s_Ir*s_F*s_MLF_pumpkin*(1-EXP(-s_RadSpec!AZ27*s_t_b)))/(s_P*s_RadSpec!AZ27))),0)</f>
        <v>2.6824597822007652</v>
      </c>
      <c r="AV27" s="115">
        <f>IFERROR(IF(d_Bv!W27=0,0,((s_Ir*s_F*s_MLF_snap_bean*(1-EXP(-s_RadSpec!AZ27*s_t_b)))/(s_P*s_RadSpec!AZ27))),0)</f>
        <v>2.6824597822007652</v>
      </c>
      <c r="AW27" s="115">
        <f>IFERROR(IF(d_Bv!X27=0,0,((s_Ir*s_F*s_MLF_strawberry*(1-EXP(-s_RadSpec!AZ27*s_t_b)))/(s_P*s_RadSpec!AZ27))),0)</f>
        <v>2.6824597822007652</v>
      </c>
      <c r="AX27" s="115">
        <f>IFERROR(IF(d_Bv!Y27=0,0,((s_Ir*s_F*s_MLF_tomato*(1-EXP(-s_RadSpec!AZ27*s_t_b)))/(s_P*s_RadSpec!AZ27))),0)</f>
        <v>2.6824597822007652</v>
      </c>
      <c r="AY27" s="115">
        <f>IFERROR(IF(d_Bv!Z27=0,0,((s_Ir*s_F*s_MLF_rice*(1-EXP(-s_RadSpec!AZ27*s_t_b)))/(s_P*s_RadSpec!AZ27))),0)</f>
        <v>2.6824597822007652</v>
      </c>
      <c r="AZ27" s="115">
        <f>IFERROR(IF(d_Bv!AA27=0,0,((s_Ir*s_F*s_MLF_cereal*(1-EXP(-s_RadSpec!AZ27*s_t_b)))/(s_P*s_RadSpec!AZ27))),0)</f>
        <v>2.6824597822007652</v>
      </c>
      <c r="BA27" s="115">
        <f>IFERROR(IF(d_Bv!C27=0,0,((s_Ir*s_F*s_I_f*s_T*(1-EXP(-s_RadSpec!BA27*s_t_v)))/(s_Y_v*s_RadSpec!BA27))),0)</f>
        <v>9.0143481925428208</v>
      </c>
      <c r="BB27" s="115">
        <f>IFERROR(IF(d_Bv!D27=0,0,((s_Ir*s_F*s_I_f*s_T*(1-EXP(-s_RadSpec!BA27*s_t_v)))/(s_Y_v*s_RadSpec!BA27))),0)</f>
        <v>9.0143481925428208</v>
      </c>
      <c r="BC27" s="115">
        <f>IFERROR(IF(d_Bv!E27=0,0,((s_Ir*s_F*s_I_f*s_T*(1-EXP(-s_RadSpec!BA27*s_t_v)))/(s_Y_v*s_RadSpec!BA27))),0)</f>
        <v>9.0143481925428208</v>
      </c>
      <c r="BD27" s="115">
        <f>IFERROR(IF(d_Bv!F27=0,0,((s_Ir*s_F*s_I_f*s_T*(1-EXP(-s_RadSpec!BA27*s_t_v)))/(s_Y_v*s_RadSpec!BA27))),0)</f>
        <v>9.0143481925428208</v>
      </c>
      <c r="BE27" s="115">
        <f>IFERROR(IF(d_Bv!G27=0,0,((s_Ir*s_F*s_I_f*s_T*(1-EXP(-s_RadSpec!BA27*s_t_v)))/(s_Y_v*s_RadSpec!BA27))),0)</f>
        <v>9.0143481925428208</v>
      </c>
      <c r="BF27" s="115">
        <f>IFERROR(IF(d_Bv!H27=0,0,((s_Ir*s_F*s_I_f*s_T*(1-EXP(-s_RadSpec!BA27*s_t_v)))/(s_Y_v*s_RadSpec!BA27))),0)</f>
        <v>9.0143481925428208</v>
      </c>
      <c r="BG27" s="115">
        <f>IFERROR(IF(d_Bv!I27=0,0,((s_Ir*s_F*s_I_f*s_T*(1-EXP(-s_RadSpec!BA27*s_t_v)))/(s_Y_v*s_RadSpec!BA27))),0)</f>
        <v>9.0143481925428208</v>
      </c>
      <c r="BH27" s="115">
        <f>IFERROR(IF(d_Bv!J27=0,0,((s_Ir*s_F*s_I_f*s_T*(1-EXP(-s_RadSpec!BA27*s_t_v)))/(s_Y_v*s_RadSpec!BA27))),0)</f>
        <v>9.0143481925428208</v>
      </c>
      <c r="BI27" s="115">
        <f>IFERROR(IF(d_Bv!K27=0,0,((s_Ir*s_F*s_I_f*s_T*(1-EXP(-s_RadSpec!BA27*s_t_v)))/(s_Y_v*s_RadSpec!BA27))),0)</f>
        <v>9.0143481925428208</v>
      </c>
      <c r="BJ27" s="115">
        <f>IFERROR(IF(d_Bv!L27=0,0,((s_Ir*s_F*s_I_f*s_T*(1-EXP(-s_RadSpec!BA27*s_t_v)))/(s_Y_v*s_RadSpec!BA27))),0)</f>
        <v>9.0143481925428208</v>
      </c>
      <c r="BK27" s="115">
        <f>IFERROR(IF(d_Bv!M27=0,0,((s_Ir*s_F*s_I_f*s_T*(1-EXP(-s_RadSpec!BA27*s_t_v)))/(s_Y_v*s_RadSpec!BA27))),0)</f>
        <v>9.0143481925428208</v>
      </c>
      <c r="BL27" s="115">
        <f>IFERROR(IF(d_Bv!N27=0,0,((s_Ir*s_F*s_I_f*s_T*(1-EXP(-s_RadSpec!BA27*s_t_v)))/(s_Y_v*s_RadSpec!BA27))),0)</f>
        <v>9.0143481925428208</v>
      </c>
      <c r="BM27" s="115">
        <f>IFERROR(IF(d_Bv!O27=0,0,((s_Ir*s_F*s_I_f*s_T*(1-EXP(-s_RadSpec!BA27*s_t_v)))/(s_Y_v*s_RadSpec!BA27))),0)</f>
        <v>9.0143481925428208</v>
      </c>
      <c r="BN27" s="115">
        <f>IFERROR(IF(d_Bv!P27=0,0,((s_Ir*s_F*s_I_f*s_T*(1-EXP(-s_RadSpec!BA27*s_t_v)))/(s_Y_v*s_RadSpec!BA27))),0)</f>
        <v>9.0143481925428208</v>
      </c>
      <c r="BO27" s="115">
        <f>IFERROR(IF(d_Bv!Q27=0,0,((s_Ir*s_F*s_I_f*s_T*(1-EXP(-s_RadSpec!BA27*s_t_v)))/(s_Y_v*s_RadSpec!BA27))),0)</f>
        <v>9.0143481925428208</v>
      </c>
      <c r="BP27" s="115">
        <f>IFERROR(IF(d_Bv!R27=0,0,((s_Ir*s_F*s_I_f*s_T*(1-EXP(-s_RadSpec!BA27*s_t_v)))/(s_Y_v*s_RadSpec!BA27))),0)</f>
        <v>9.0143481925428208</v>
      </c>
      <c r="BQ27" s="115">
        <f>IFERROR(IF(d_Bv!S27=0,0,((s_Ir*s_F*s_I_f*s_T*(1-EXP(-s_RadSpec!BA27*s_t_v)))/(s_Y_v*s_RadSpec!BA27))),0)</f>
        <v>9.0143481925428208</v>
      </c>
      <c r="BR27" s="115">
        <f>IFERROR(IF(d_Bv!T27=0,0,((s_Ir*s_F*s_I_f*s_T*(1-EXP(-s_RadSpec!BA27*s_t_v)))/(s_Y_v*s_RadSpec!BA27))),0)</f>
        <v>9.0143481925428208</v>
      </c>
      <c r="BS27" s="115">
        <f>IFERROR(IF(d_Bv!U27=0,0,((s_Ir*s_F*s_I_f*s_T*(1-EXP(-s_RadSpec!BA27*s_t_v)))/(s_Y_v*s_RadSpec!BA27))),0)</f>
        <v>9.0143481925428208</v>
      </c>
      <c r="BT27" s="115">
        <f>IFERROR(IF(d_Bv!V27=0,0,((s_Ir*s_F*s_I_f*s_T*(1-EXP(-s_RadSpec!BA27*s_t_v)))/(s_Y_v*s_RadSpec!BA27))),0)</f>
        <v>9.0143481925428208</v>
      </c>
      <c r="BU27" s="115">
        <f>IFERROR(IF(d_Bv!W27=0,0,((s_Ir*s_F*s_I_f*s_T*(1-EXP(-s_RadSpec!BA27*s_t_v)))/(s_Y_v*s_RadSpec!BA27))),0)</f>
        <v>9.0143481925428208</v>
      </c>
      <c r="BV27" s="115">
        <f>IFERROR(IF(d_Bv!X27=0,0,((s_Ir*s_F*s_I_f*s_T*(1-EXP(-s_RadSpec!BA27*s_t_v)))/(s_Y_v*s_RadSpec!BA27))),0)</f>
        <v>9.0143481925428208</v>
      </c>
      <c r="BW27" s="115">
        <f>IFERROR(IF(d_Bv!Y27=0,0,((s_Ir*s_F*s_I_f*s_T*(1-EXP(-s_RadSpec!BA27*s_t_v)))/(s_Y_v*s_RadSpec!BA27))),0)</f>
        <v>9.0143481925428208</v>
      </c>
      <c r="BX27" s="115">
        <f>IFERROR(IF(d_Bv!Z27=0,0,((s_Ir*s_F*s_I_f*s_T*(1-EXP(-s_RadSpec!BA27*s_t_v)))/(s_Y_v*s_RadSpec!BA27))),0)</f>
        <v>9.0143481925428208</v>
      </c>
      <c r="BY27" s="115">
        <f>IFERROR(IF(d_Bv!AA27=0,0,((s_Ir*s_F*s_I_f*s_T*(1-EXP(-s_RadSpec!BA27*s_t_v)))/(s_Y_v*s_RadSpec!BA27))),0)</f>
        <v>9.0143481925428208</v>
      </c>
    </row>
    <row r="28" spans="1:77" x14ac:dyDescent="0.25">
      <c r="A28" s="44" t="s">
        <v>38</v>
      </c>
      <c r="B28" s="42" t="s">
        <v>1071</v>
      </c>
      <c r="C28" s="115">
        <f>IFERROR(IF(d_Bv!C28=0,0,((s_Ir*s_F*d_Bv!C28*(1-EXP(-s_RadSpec!$AZ28*s_t_b)))/(s_P*s_RadSpec!$AZ28))),0)</f>
        <v>1.5896057968597128E-2</v>
      </c>
      <c r="D28" s="115">
        <f>IFERROR(IF(d_Bv!D28=0,0,((s_Ir*s_F*d_Bv!D28*(1-EXP(-s_RadSpec!AZ28*s_t_b)))/(s_P*s_RadSpec!AZ28))),0)</f>
        <v>0.15896057968597124</v>
      </c>
      <c r="E28" s="115">
        <f>IFERROR(IF(d_Bv!E28=0,0,((s_Ir*s_F*d_Bv!E28*(1-EXP(-s_RadSpec!AZ28*s_t_b)))/(s_P*s_RadSpec!AZ28))),0)</f>
        <v>1.5896057968597128E-2</v>
      </c>
      <c r="F28" s="115">
        <f>IFERROR(IF(d_Bv!F28=0,0,((s_Ir*s_F*d_Bv!F28*(1-EXP(-s_RadSpec!AZ28*s_t_b)))/(s_P*s_RadSpec!AZ28))),0)</f>
        <v>1.5896057968597128E-2</v>
      </c>
      <c r="G28" s="115">
        <f>IFERROR(IF(d_Bv!G28=0,0,((s_Ir*s_F*d_Bv!G28*(1-EXP(-s_RadSpec!AZ28*s_t_b)))/(s_P*s_RadSpec!AZ28))),0)</f>
        <v>0.15896057968597124</v>
      </c>
      <c r="H28" s="115">
        <f>IFERROR(IF(d_Bv!H28=0,0,((s_Ir*s_F*d_Bv!H28*(1-EXP(-s_RadSpec!AZ28*s_t_b)))/(s_P*s_RadSpec!AZ28))),0)</f>
        <v>0.15896057968597124</v>
      </c>
      <c r="I28" s="115">
        <f>IFERROR(IF(d_Bv!I28=0,0,((s_Ir*s_F*d_Bv!I28*(1-EXP(-s_RadSpec!AZ28*s_t_b)))/(s_P*s_RadSpec!AZ28))),0)</f>
        <v>1.5896057968597128E-2</v>
      </c>
      <c r="J28" s="115">
        <f>IFERROR(IF(d_Bv!J28=0,0,((s_Ir*s_F*d_Bv!J28*(1-EXP(-s_RadSpec!AZ28*s_t_b)))/(s_P*s_RadSpec!AZ28))),0)</f>
        <v>1.5896057968597128E-2</v>
      </c>
      <c r="K28" s="115">
        <f>IFERROR(IF(d_Bv!K28=0,0,((s_Ir*s_F*d_Bv!K28*(1-EXP(-s_RadSpec!AZ28*s_t_b)))/(s_P*s_RadSpec!AZ28))),0)</f>
        <v>0.15896057968597124</v>
      </c>
      <c r="L28" s="115">
        <f>IFERROR(IF(d_Bv!L28=0,0,((s_Ir*s_F*d_Bv!L28*(1-EXP(-s_RadSpec!AZ28*s_t_b)))/(s_P*s_RadSpec!AZ28))),0)</f>
        <v>0.15896057968597124</v>
      </c>
      <c r="M28" s="115">
        <f>IFERROR(IF(d_Bv!M28=0,0,((s_Ir*s_F*d_Bv!M28*(1-EXP(-s_RadSpec!AZ28*s_t_b)))/(s_P*s_RadSpec!AZ28))),0)</f>
        <v>0.15896057968597124</v>
      </c>
      <c r="N28" s="115">
        <f>IFERROR(IF(d_Bv!N28=0,0,((s_Ir*s_F*d_Bv!N28*(1-EXP(-s_RadSpec!AZ28*s_t_b)))/(s_P*s_RadSpec!AZ28))),0)</f>
        <v>0.15896057968597124</v>
      </c>
      <c r="O28" s="115">
        <f>IFERROR(IF(d_Bv!O28=0,0,((s_Ir*s_F*d_Bv!O28*(1-EXP(-s_RadSpec!AZ28*s_t_b)))/(s_P*s_RadSpec!AZ28))),0)</f>
        <v>0.15896057968597124</v>
      </c>
      <c r="P28" s="115">
        <f>IFERROR(IF(d_Bv!P28=0,0,((s_Ir*s_F*d_Bv!P28*(1-EXP(-s_RadSpec!AZ28*s_t_b)))/(s_P*s_RadSpec!AZ28))),0)</f>
        <v>1.5896057968597128E-2</v>
      </c>
      <c r="Q28" s="115">
        <f>IFERROR(IF(d_Bv!Q28=0,0,((s_Ir*s_F*d_Bv!Q28*(1-EXP(-s_RadSpec!AZ28*s_t_b)))/(s_P*s_RadSpec!AZ28))),0)</f>
        <v>1.5896057968597128E-2</v>
      </c>
      <c r="R28" s="115">
        <f>IFERROR(IF(d_Bv!R28=0,0,((s_Ir*s_F*d_Bv!R28*(1-EXP(-s_RadSpec!AZ28*s_t_b)))/(s_P*s_RadSpec!AZ28))),0)</f>
        <v>1.5896057968597128E-2</v>
      </c>
      <c r="S28" s="115">
        <f>IFERROR(IF(d_Bv!S28=0,0,((s_Ir*s_F*d_Bv!S28*(1-EXP(-s_RadSpec!AZ28*s_t_b)))/(s_P*s_RadSpec!AZ28))),0)</f>
        <v>0.15896057968597124</v>
      </c>
      <c r="T28" s="115">
        <f>IFERROR(IF(d_Bv!T28=0,0,((s_Ir*s_F*d_Bv!T28*(1-EXP(-s_RadSpec!AZ28*s_t_b)))/(s_P*s_RadSpec!AZ28))),0)</f>
        <v>0.15896057968597124</v>
      </c>
      <c r="U28" s="115">
        <f>IFERROR(IF(d_Bv!U28=0,0,((s_Ir*s_F*d_Bv!U28*(1-EXP(-s_RadSpec!AZ28*s_t_b)))/(s_P*s_RadSpec!AZ28))),0)</f>
        <v>1.5896057968597128E-2</v>
      </c>
      <c r="V28" s="115">
        <f>IFERROR(IF(d_Bv!V28=0,0,((s_Ir*s_F*d_Bv!V28*(1-EXP(-s_RadSpec!AZ28*s_t_b)))/(s_P*s_RadSpec!AZ28))),0)</f>
        <v>0.15896057968597124</v>
      </c>
      <c r="W28" s="115">
        <f>IFERROR(IF(d_Bv!W28=0,0,((s_Ir*s_F*d_Bv!W28*(1-EXP(-s_RadSpec!AZ28*s_t_b)))/(s_P*s_RadSpec!AZ28))),0)</f>
        <v>0.15896057968597124</v>
      </c>
      <c r="X28" s="115">
        <f>IFERROR(IF(d_Bv!X28=0,0,((s_Ir*s_F*d_Bv!X28*(1-EXP(-s_RadSpec!AZ28*s_t_b)))/(s_P*s_RadSpec!AZ28))),0)</f>
        <v>1.5896057968597128E-2</v>
      </c>
      <c r="Y28" s="115">
        <f>IFERROR(IF(d_Bv!Y28=0,0,((s_Ir*s_F*d_Bv!Y28*(1-EXP(-s_RadSpec!AZ28*s_t_b)))/(s_P*s_RadSpec!AZ28))),0)</f>
        <v>0.15896057968597124</v>
      </c>
      <c r="Z28" s="115">
        <f>IFERROR(IF(d_Bv!Z28=0,0,((s_Ir*s_F*d_Bv!Z28*(1-EXP(-s_RadSpec!AZ28*s_t_b)))/(s_P*s_RadSpec!AZ28))),0)</f>
        <v>39.740144921492814</v>
      </c>
      <c r="AA28" s="115">
        <f>IFERROR(IF(d_Bv!AA28=0,0,((s_Ir*s_F*d_Bv!AA28*(1-EXP(-s_RadSpec!AZ28*s_t_b)))/(s_P*s_RadSpec!AZ28))),0)</f>
        <v>0.15896057968597124</v>
      </c>
      <c r="AB28" s="115">
        <f>IFERROR(IF(d_Bv!C28=0,0,((s_Ir*s_F*s_MLF_apple*(1-EXP(-s_RadSpec!AZ28*s_t_b)))/(s_P*s_RadSpec!AZ28))),0)</f>
        <v>2.6824597822007652</v>
      </c>
      <c r="AC28" s="115">
        <f>IFERROR(IF(d_Bv!D28=0,0,((s_Ir*s_F*s_MLF_asparagus*(1-EXP(-s_RadSpec!AZ28*s_t_b)))/(s_P*s_RadSpec!AZ28))),0)</f>
        <v>2.6824597822007652</v>
      </c>
      <c r="AD28" s="115">
        <f>IFERROR(IF(d_Bv!E28=0,0,((s_Ir*s_F*s_MLF_beet*(1-EXP(-s_RadSpec!AZ28*s_t_b)))/(s_P*s_RadSpec!AZ28))),0)</f>
        <v>2.6824597822007652</v>
      </c>
      <c r="AE28" s="115">
        <f>IFERROR(IF(d_Bv!F28=0,0,((s_Ir*s_F*s_MLF_berries*(1-EXP(-s_RadSpec!AZ28*s_t_b)))/(s_P*s_RadSpec!AZ28))),0)</f>
        <v>2.6824597822007652</v>
      </c>
      <c r="AF28" s="115">
        <f>IFERROR(IF(d_Bv!G28=0,0,((s_Ir*s_F*s_MLF_broccoli*(1-EXP(-s_RadSpec!AZ28*s_t_b)))/(s_P*s_RadSpec!AZ28))),0)</f>
        <v>2.6824597822007652</v>
      </c>
      <c r="AG28" s="115">
        <f>IFERROR(IF(d_Bv!H28=0,0,((s_Ir*s_F*s_MLF_cabbage*(1-EXP(-s_RadSpec!AZ28*s_t_b)))/(s_P*s_RadSpec!AZ28))),0)</f>
        <v>2.6824597822007652</v>
      </c>
      <c r="AH28" s="115">
        <f>IFERROR(IF(d_Bv!I28=0,0,((s_Ir*s_F*s_MLF_carrot*(1-EXP(-s_RadSpec!AZ28*s_t_b)))/(s_P*s_RadSpec!AZ28))),0)</f>
        <v>2.6824597822007652</v>
      </c>
      <c r="AI28" s="115">
        <f>IFERROR(IF(d_Bv!J28=0,0,((s_Ir*s_F*s_MLF_citrus*(1-EXP(-s_RadSpec!AZ28*s_t_b)))/(s_P*s_RadSpec!AZ28))),0)</f>
        <v>2.6824597822007652</v>
      </c>
      <c r="AJ28" s="115">
        <f>IFERROR(IF(d_Bv!K28=0,0,((s_Ir*s_F*s_MLF_corn*(1-EXP(-s_RadSpec!AZ28*s_t_b)))/(s_P*s_RadSpec!AZ28))),0)</f>
        <v>2.6824597822007652</v>
      </c>
      <c r="AK28" s="115">
        <f>IFERROR(IF(d_Bv!L28=0,0,((s_Ir*s_F*s_MLF_cucumber*(1-EXP(-s_RadSpec!AZ28*s_t_b)))/(s_P*s_RadSpec!AZ28))),0)</f>
        <v>2.6824597822007652</v>
      </c>
      <c r="AL28" s="115">
        <f>IFERROR(IF(d_Bv!M28=0,0,((s_Ir*s_F*s_MLF_lettuce*(1-EXP(-s_RadSpec!AZ28*s_t_b)))/(s_P*s_RadSpec!AZ28))),0)</f>
        <v>2.6824597822007652</v>
      </c>
      <c r="AM28" s="115">
        <f>IFERROR(IF(d_Bv!N28=0,0,((s_Ir*s_F*s_MLF_lima_bean*(1-EXP(-s_RadSpec!AZ28*s_t_b)))/(s_P*s_RadSpec!AZ28))),0)</f>
        <v>2.6824597822007652</v>
      </c>
      <c r="AN28" s="115">
        <f>IFERROR(IF(d_Bv!O28=0,0,((s_Ir*s_F*s_MLF_okra*(1-EXP(-s_RadSpec!AZ28*s_t_b)))/(s_P*s_RadSpec!AZ28))),0)</f>
        <v>2.6824597822007652</v>
      </c>
      <c r="AO28" s="115">
        <f>IFERROR(IF(d_Bv!P28=0,0,((s_Ir*s_F*s_MLF_onion*(1-EXP(-s_RadSpec!AZ28*s_t_b)))/(s_P*s_RadSpec!AZ28))),0)</f>
        <v>2.6824597822007652</v>
      </c>
      <c r="AP28" s="115">
        <f>IFERROR(IF(d_Bv!Q28=0,0,((s_Ir*s_F*s_MLF_peach*(1-EXP(-s_RadSpec!AZ28*s_t_b)))/(s_P*s_RadSpec!AZ28))),0)</f>
        <v>2.6824597822007652</v>
      </c>
      <c r="AQ28" s="115">
        <f>IFERROR(IF(d_Bv!R28=0,0,((s_Ir*s_F*s_MLF_pear*(1-EXP(-s_RadSpec!AZ28*s_t_b)))/(s_P*s_RadSpec!AZ28))),0)</f>
        <v>2.6824597822007652</v>
      </c>
      <c r="AR28" s="115">
        <f>IFERROR(IF(d_Bv!S28=0,0,((s_Ir*s_F*s_MLF_peas*(1-EXP(-s_RadSpec!AZ28*s_t_b)))/(s_P*s_RadSpec!AZ28))),0)</f>
        <v>2.6824597822007652</v>
      </c>
      <c r="AS28" s="115">
        <f>IFERROR(IF(d_Bv!T28=0,0,((s_Ir*s_F*s_MLF_peppers*(1-EXP(-s_RadSpec!AZ28*s_t_b)))/(s_P*s_RadSpec!AZ28))),0)</f>
        <v>2.6824597822007652</v>
      </c>
      <c r="AT28" s="115">
        <f>IFERROR(IF(d_Bv!U28=0,0,((s_Ir*s_F*s_MLF_potato*(1-EXP(-s_RadSpec!AZ28*s_t_b)))/(s_P*s_RadSpec!AZ28))),0)</f>
        <v>2.6824597822007652</v>
      </c>
      <c r="AU28" s="115">
        <f>IFERROR(IF(d_Bv!V28=0,0,((s_Ir*s_F*s_MLF_pumpkin*(1-EXP(-s_RadSpec!AZ28*s_t_b)))/(s_P*s_RadSpec!AZ28))),0)</f>
        <v>2.6824597822007652</v>
      </c>
      <c r="AV28" s="115">
        <f>IFERROR(IF(d_Bv!W28=0,0,((s_Ir*s_F*s_MLF_snap_bean*(1-EXP(-s_RadSpec!AZ28*s_t_b)))/(s_P*s_RadSpec!AZ28))),0)</f>
        <v>2.6824597822007652</v>
      </c>
      <c r="AW28" s="115">
        <f>IFERROR(IF(d_Bv!X28=0,0,((s_Ir*s_F*s_MLF_strawberry*(1-EXP(-s_RadSpec!AZ28*s_t_b)))/(s_P*s_RadSpec!AZ28))),0)</f>
        <v>2.6824597822007652</v>
      </c>
      <c r="AX28" s="115">
        <f>IFERROR(IF(d_Bv!Y28=0,0,((s_Ir*s_F*s_MLF_tomato*(1-EXP(-s_RadSpec!AZ28*s_t_b)))/(s_P*s_RadSpec!AZ28))),0)</f>
        <v>2.6824597822007652</v>
      </c>
      <c r="AY28" s="115">
        <f>IFERROR(IF(d_Bv!Z28=0,0,((s_Ir*s_F*s_MLF_rice*(1-EXP(-s_RadSpec!AZ28*s_t_b)))/(s_P*s_RadSpec!AZ28))),0)</f>
        <v>2.6824597822007652</v>
      </c>
      <c r="AZ28" s="115">
        <f>IFERROR(IF(d_Bv!AA28=0,0,((s_Ir*s_F*s_MLF_cereal*(1-EXP(-s_RadSpec!AZ28*s_t_b)))/(s_P*s_RadSpec!AZ28))),0)</f>
        <v>2.6824597822007652</v>
      </c>
      <c r="BA28" s="115">
        <f>IFERROR(IF(d_Bv!C28=0,0,((s_Ir*s_F*s_I_f*s_T*(1-EXP(-s_RadSpec!BA28*s_t_v)))/(s_Y_v*s_RadSpec!BA28))),0)</f>
        <v>9.0143481925428208</v>
      </c>
      <c r="BB28" s="115">
        <f>IFERROR(IF(d_Bv!D28=0,0,((s_Ir*s_F*s_I_f*s_T*(1-EXP(-s_RadSpec!BA28*s_t_v)))/(s_Y_v*s_RadSpec!BA28))),0)</f>
        <v>9.0143481925428208</v>
      </c>
      <c r="BC28" s="115">
        <f>IFERROR(IF(d_Bv!E28=0,0,((s_Ir*s_F*s_I_f*s_T*(1-EXP(-s_RadSpec!BA28*s_t_v)))/(s_Y_v*s_RadSpec!BA28))),0)</f>
        <v>9.0143481925428208</v>
      </c>
      <c r="BD28" s="115">
        <f>IFERROR(IF(d_Bv!F28=0,0,((s_Ir*s_F*s_I_f*s_T*(1-EXP(-s_RadSpec!BA28*s_t_v)))/(s_Y_v*s_RadSpec!BA28))),0)</f>
        <v>9.0143481925428208</v>
      </c>
      <c r="BE28" s="115">
        <f>IFERROR(IF(d_Bv!G28=0,0,((s_Ir*s_F*s_I_f*s_T*(1-EXP(-s_RadSpec!BA28*s_t_v)))/(s_Y_v*s_RadSpec!BA28))),0)</f>
        <v>9.0143481925428208</v>
      </c>
      <c r="BF28" s="115">
        <f>IFERROR(IF(d_Bv!H28=0,0,((s_Ir*s_F*s_I_f*s_T*(1-EXP(-s_RadSpec!BA28*s_t_v)))/(s_Y_v*s_RadSpec!BA28))),0)</f>
        <v>9.0143481925428208</v>
      </c>
      <c r="BG28" s="115">
        <f>IFERROR(IF(d_Bv!I28=0,0,((s_Ir*s_F*s_I_f*s_T*(1-EXP(-s_RadSpec!BA28*s_t_v)))/(s_Y_v*s_RadSpec!BA28))),0)</f>
        <v>9.0143481925428208</v>
      </c>
      <c r="BH28" s="115">
        <f>IFERROR(IF(d_Bv!J28=0,0,((s_Ir*s_F*s_I_f*s_T*(1-EXP(-s_RadSpec!BA28*s_t_v)))/(s_Y_v*s_RadSpec!BA28))),0)</f>
        <v>9.0143481925428208</v>
      </c>
      <c r="BI28" s="115">
        <f>IFERROR(IF(d_Bv!K28=0,0,((s_Ir*s_F*s_I_f*s_T*(1-EXP(-s_RadSpec!BA28*s_t_v)))/(s_Y_v*s_RadSpec!BA28))),0)</f>
        <v>9.0143481925428208</v>
      </c>
      <c r="BJ28" s="115">
        <f>IFERROR(IF(d_Bv!L28=0,0,((s_Ir*s_F*s_I_f*s_T*(1-EXP(-s_RadSpec!BA28*s_t_v)))/(s_Y_v*s_RadSpec!BA28))),0)</f>
        <v>9.0143481925428208</v>
      </c>
      <c r="BK28" s="115">
        <f>IFERROR(IF(d_Bv!M28=0,0,((s_Ir*s_F*s_I_f*s_T*(1-EXP(-s_RadSpec!BA28*s_t_v)))/(s_Y_v*s_RadSpec!BA28))),0)</f>
        <v>9.0143481925428208</v>
      </c>
      <c r="BL28" s="115">
        <f>IFERROR(IF(d_Bv!N28=0,0,((s_Ir*s_F*s_I_f*s_T*(1-EXP(-s_RadSpec!BA28*s_t_v)))/(s_Y_v*s_RadSpec!BA28))),0)</f>
        <v>9.0143481925428208</v>
      </c>
      <c r="BM28" s="115">
        <f>IFERROR(IF(d_Bv!O28=0,0,((s_Ir*s_F*s_I_f*s_T*(1-EXP(-s_RadSpec!BA28*s_t_v)))/(s_Y_v*s_RadSpec!BA28))),0)</f>
        <v>9.0143481925428208</v>
      </c>
      <c r="BN28" s="115">
        <f>IFERROR(IF(d_Bv!P28=0,0,((s_Ir*s_F*s_I_f*s_T*(1-EXP(-s_RadSpec!BA28*s_t_v)))/(s_Y_v*s_RadSpec!BA28))),0)</f>
        <v>9.0143481925428208</v>
      </c>
      <c r="BO28" s="115">
        <f>IFERROR(IF(d_Bv!Q28=0,0,((s_Ir*s_F*s_I_f*s_T*(1-EXP(-s_RadSpec!BA28*s_t_v)))/(s_Y_v*s_RadSpec!BA28))),0)</f>
        <v>9.0143481925428208</v>
      </c>
      <c r="BP28" s="115">
        <f>IFERROR(IF(d_Bv!R28=0,0,((s_Ir*s_F*s_I_f*s_T*(1-EXP(-s_RadSpec!BA28*s_t_v)))/(s_Y_v*s_RadSpec!BA28))),0)</f>
        <v>9.0143481925428208</v>
      </c>
      <c r="BQ28" s="115">
        <f>IFERROR(IF(d_Bv!S28=0,0,((s_Ir*s_F*s_I_f*s_T*(1-EXP(-s_RadSpec!BA28*s_t_v)))/(s_Y_v*s_RadSpec!BA28))),0)</f>
        <v>9.0143481925428208</v>
      </c>
      <c r="BR28" s="115">
        <f>IFERROR(IF(d_Bv!T28=0,0,((s_Ir*s_F*s_I_f*s_T*(1-EXP(-s_RadSpec!BA28*s_t_v)))/(s_Y_v*s_RadSpec!BA28))),0)</f>
        <v>9.0143481925428208</v>
      </c>
      <c r="BS28" s="115">
        <f>IFERROR(IF(d_Bv!U28=0,0,((s_Ir*s_F*s_I_f*s_T*(1-EXP(-s_RadSpec!BA28*s_t_v)))/(s_Y_v*s_RadSpec!BA28))),0)</f>
        <v>9.0143481925428208</v>
      </c>
      <c r="BT28" s="115">
        <f>IFERROR(IF(d_Bv!V28=0,0,((s_Ir*s_F*s_I_f*s_T*(1-EXP(-s_RadSpec!BA28*s_t_v)))/(s_Y_v*s_RadSpec!BA28))),0)</f>
        <v>9.0143481925428208</v>
      </c>
      <c r="BU28" s="115">
        <f>IFERROR(IF(d_Bv!W28=0,0,((s_Ir*s_F*s_I_f*s_T*(1-EXP(-s_RadSpec!BA28*s_t_v)))/(s_Y_v*s_RadSpec!BA28))),0)</f>
        <v>9.0143481925428208</v>
      </c>
      <c r="BV28" s="115">
        <f>IFERROR(IF(d_Bv!X28=0,0,((s_Ir*s_F*s_I_f*s_T*(1-EXP(-s_RadSpec!BA28*s_t_v)))/(s_Y_v*s_RadSpec!BA28))),0)</f>
        <v>9.0143481925428208</v>
      </c>
      <c r="BW28" s="115">
        <f>IFERROR(IF(d_Bv!Y28=0,0,((s_Ir*s_F*s_I_f*s_T*(1-EXP(-s_RadSpec!BA28*s_t_v)))/(s_Y_v*s_RadSpec!BA28))),0)</f>
        <v>9.0143481925428208</v>
      </c>
      <c r="BX28" s="115">
        <f>IFERROR(IF(d_Bv!Z28=0,0,((s_Ir*s_F*s_I_f*s_T*(1-EXP(-s_RadSpec!BA28*s_t_v)))/(s_Y_v*s_RadSpec!BA28))),0)</f>
        <v>9.0143481925428208</v>
      </c>
      <c r="BY28" s="115">
        <f>IFERROR(IF(d_Bv!AA28=0,0,((s_Ir*s_F*s_I_f*s_T*(1-EXP(-s_RadSpec!BA28*s_t_v)))/(s_Y_v*s_RadSpec!BA28))),0)</f>
        <v>9.0143481925428208</v>
      </c>
    </row>
    <row r="29" spans="1:77" x14ac:dyDescent="0.25">
      <c r="A29" s="44" t="s">
        <v>39</v>
      </c>
      <c r="B29" s="42" t="s">
        <v>1071</v>
      </c>
      <c r="C29" s="115">
        <f>IFERROR(IF(d_Bv!C29=0,0,((s_Ir*s_F*d_Bv!C29*(1-EXP(-s_RadSpec!$AZ29*s_t_b)))/(s_P*s_RadSpec!$AZ29))),0)</f>
        <v>1.5896057968597128E-2</v>
      </c>
      <c r="D29" s="115">
        <f>IFERROR(IF(d_Bv!D29=0,0,((s_Ir*s_F*d_Bv!D29*(1-EXP(-s_RadSpec!AZ29*s_t_b)))/(s_P*s_RadSpec!AZ29))),0)</f>
        <v>0.15896057968597124</v>
      </c>
      <c r="E29" s="115">
        <f>IFERROR(IF(d_Bv!E29=0,0,((s_Ir*s_F*d_Bv!E29*(1-EXP(-s_RadSpec!AZ29*s_t_b)))/(s_P*s_RadSpec!AZ29))),0)</f>
        <v>1.5896057968597128E-2</v>
      </c>
      <c r="F29" s="115">
        <f>IFERROR(IF(d_Bv!F29=0,0,((s_Ir*s_F*d_Bv!F29*(1-EXP(-s_RadSpec!AZ29*s_t_b)))/(s_P*s_RadSpec!AZ29))),0)</f>
        <v>1.5896057968597128E-2</v>
      </c>
      <c r="G29" s="115">
        <f>IFERROR(IF(d_Bv!G29=0,0,((s_Ir*s_F*d_Bv!G29*(1-EXP(-s_RadSpec!AZ29*s_t_b)))/(s_P*s_RadSpec!AZ29))),0)</f>
        <v>0.15896057968597124</v>
      </c>
      <c r="H29" s="115">
        <f>IFERROR(IF(d_Bv!H29=0,0,((s_Ir*s_F*d_Bv!H29*(1-EXP(-s_RadSpec!AZ29*s_t_b)))/(s_P*s_RadSpec!AZ29))),0)</f>
        <v>0.15896057968597124</v>
      </c>
      <c r="I29" s="115">
        <f>IFERROR(IF(d_Bv!I29=0,0,((s_Ir*s_F*d_Bv!I29*(1-EXP(-s_RadSpec!AZ29*s_t_b)))/(s_P*s_RadSpec!AZ29))),0)</f>
        <v>1.5896057968597128E-2</v>
      </c>
      <c r="J29" s="115">
        <f>IFERROR(IF(d_Bv!J29=0,0,((s_Ir*s_F*d_Bv!J29*(1-EXP(-s_RadSpec!AZ29*s_t_b)))/(s_P*s_RadSpec!AZ29))),0)</f>
        <v>1.5896057968597128E-2</v>
      </c>
      <c r="K29" s="115">
        <f>IFERROR(IF(d_Bv!K29=0,0,((s_Ir*s_F*d_Bv!K29*(1-EXP(-s_RadSpec!AZ29*s_t_b)))/(s_P*s_RadSpec!AZ29))),0)</f>
        <v>0.15896057968597124</v>
      </c>
      <c r="L29" s="115">
        <f>IFERROR(IF(d_Bv!L29=0,0,((s_Ir*s_F*d_Bv!L29*(1-EXP(-s_RadSpec!AZ29*s_t_b)))/(s_P*s_RadSpec!AZ29))),0)</f>
        <v>0.15896057968597124</v>
      </c>
      <c r="M29" s="115">
        <f>IFERROR(IF(d_Bv!M29=0,0,((s_Ir*s_F*d_Bv!M29*(1-EXP(-s_RadSpec!AZ29*s_t_b)))/(s_P*s_RadSpec!AZ29))),0)</f>
        <v>0.15896057968597124</v>
      </c>
      <c r="N29" s="115">
        <f>IFERROR(IF(d_Bv!N29=0,0,((s_Ir*s_F*d_Bv!N29*(1-EXP(-s_RadSpec!AZ29*s_t_b)))/(s_P*s_RadSpec!AZ29))),0)</f>
        <v>0.15896057968597124</v>
      </c>
      <c r="O29" s="115">
        <f>IFERROR(IF(d_Bv!O29=0,0,((s_Ir*s_F*d_Bv!O29*(1-EXP(-s_RadSpec!AZ29*s_t_b)))/(s_P*s_RadSpec!AZ29))),0)</f>
        <v>0.15896057968597124</v>
      </c>
      <c r="P29" s="115">
        <f>IFERROR(IF(d_Bv!P29=0,0,((s_Ir*s_F*d_Bv!P29*(1-EXP(-s_RadSpec!AZ29*s_t_b)))/(s_P*s_RadSpec!AZ29))),0)</f>
        <v>1.5896057968597128E-2</v>
      </c>
      <c r="Q29" s="115">
        <f>IFERROR(IF(d_Bv!Q29=0,0,((s_Ir*s_F*d_Bv!Q29*(1-EXP(-s_RadSpec!AZ29*s_t_b)))/(s_P*s_RadSpec!AZ29))),0)</f>
        <v>1.5896057968597128E-2</v>
      </c>
      <c r="R29" s="115">
        <f>IFERROR(IF(d_Bv!R29=0,0,((s_Ir*s_F*d_Bv!R29*(1-EXP(-s_RadSpec!AZ29*s_t_b)))/(s_P*s_RadSpec!AZ29))),0)</f>
        <v>1.5896057968597128E-2</v>
      </c>
      <c r="S29" s="115">
        <f>IFERROR(IF(d_Bv!S29=0,0,((s_Ir*s_F*d_Bv!S29*(1-EXP(-s_RadSpec!AZ29*s_t_b)))/(s_P*s_RadSpec!AZ29))),0)</f>
        <v>0.15896057968597124</v>
      </c>
      <c r="T29" s="115">
        <f>IFERROR(IF(d_Bv!T29=0,0,((s_Ir*s_F*d_Bv!T29*(1-EXP(-s_RadSpec!AZ29*s_t_b)))/(s_P*s_RadSpec!AZ29))),0)</f>
        <v>0.15896057968597124</v>
      </c>
      <c r="U29" s="115">
        <f>IFERROR(IF(d_Bv!U29=0,0,((s_Ir*s_F*d_Bv!U29*(1-EXP(-s_RadSpec!AZ29*s_t_b)))/(s_P*s_RadSpec!AZ29))),0)</f>
        <v>1.5896057968597128E-2</v>
      </c>
      <c r="V29" s="115">
        <f>IFERROR(IF(d_Bv!V29=0,0,((s_Ir*s_F*d_Bv!V29*(1-EXP(-s_RadSpec!AZ29*s_t_b)))/(s_P*s_RadSpec!AZ29))),0)</f>
        <v>0.15896057968597124</v>
      </c>
      <c r="W29" s="115">
        <f>IFERROR(IF(d_Bv!W29=0,0,((s_Ir*s_F*d_Bv!W29*(1-EXP(-s_RadSpec!AZ29*s_t_b)))/(s_P*s_RadSpec!AZ29))),0)</f>
        <v>0.15896057968597124</v>
      </c>
      <c r="X29" s="115">
        <f>IFERROR(IF(d_Bv!X29=0,0,((s_Ir*s_F*d_Bv!X29*(1-EXP(-s_RadSpec!AZ29*s_t_b)))/(s_P*s_RadSpec!AZ29))),0)</f>
        <v>1.5896057968597128E-2</v>
      </c>
      <c r="Y29" s="115">
        <f>IFERROR(IF(d_Bv!Y29=0,0,((s_Ir*s_F*d_Bv!Y29*(1-EXP(-s_RadSpec!AZ29*s_t_b)))/(s_P*s_RadSpec!AZ29))),0)</f>
        <v>0.15896057968597124</v>
      </c>
      <c r="Z29" s="115">
        <f>IFERROR(IF(d_Bv!Z29=0,0,((s_Ir*s_F*d_Bv!Z29*(1-EXP(-s_RadSpec!AZ29*s_t_b)))/(s_P*s_RadSpec!AZ29))),0)</f>
        <v>39.740144921492814</v>
      </c>
      <c r="AA29" s="115">
        <f>IFERROR(IF(d_Bv!AA29=0,0,((s_Ir*s_F*d_Bv!AA29*(1-EXP(-s_RadSpec!AZ29*s_t_b)))/(s_P*s_RadSpec!AZ29))),0)</f>
        <v>0.15896057968597124</v>
      </c>
      <c r="AB29" s="115">
        <f>IFERROR(IF(d_Bv!C29=0,0,((s_Ir*s_F*s_MLF_apple*(1-EXP(-s_RadSpec!AZ29*s_t_b)))/(s_P*s_RadSpec!AZ29))),0)</f>
        <v>2.6824597822007652</v>
      </c>
      <c r="AC29" s="115">
        <f>IFERROR(IF(d_Bv!D29=0,0,((s_Ir*s_F*s_MLF_asparagus*(1-EXP(-s_RadSpec!AZ29*s_t_b)))/(s_P*s_RadSpec!AZ29))),0)</f>
        <v>2.6824597822007652</v>
      </c>
      <c r="AD29" s="115">
        <f>IFERROR(IF(d_Bv!E29=0,0,((s_Ir*s_F*s_MLF_beet*(1-EXP(-s_RadSpec!AZ29*s_t_b)))/(s_P*s_RadSpec!AZ29))),0)</f>
        <v>2.6824597822007652</v>
      </c>
      <c r="AE29" s="115">
        <f>IFERROR(IF(d_Bv!F29=0,0,((s_Ir*s_F*s_MLF_berries*(1-EXP(-s_RadSpec!AZ29*s_t_b)))/(s_P*s_RadSpec!AZ29))),0)</f>
        <v>2.6824597822007652</v>
      </c>
      <c r="AF29" s="115">
        <f>IFERROR(IF(d_Bv!G29=0,0,((s_Ir*s_F*s_MLF_broccoli*(1-EXP(-s_RadSpec!AZ29*s_t_b)))/(s_P*s_RadSpec!AZ29))),0)</f>
        <v>2.6824597822007652</v>
      </c>
      <c r="AG29" s="115">
        <f>IFERROR(IF(d_Bv!H29=0,0,((s_Ir*s_F*s_MLF_cabbage*(1-EXP(-s_RadSpec!AZ29*s_t_b)))/(s_P*s_RadSpec!AZ29))),0)</f>
        <v>2.6824597822007652</v>
      </c>
      <c r="AH29" s="115">
        <f>IFERROR(IF(d_Bv!I29=0,0,((s_Ir*s_F*s_MLF_carrot*(1-EXP(-s_RadSpec!AZ29*s_t_b)))/(s_P*s_RadSpec!AZ29))),0)</f>
        <v>2.6824597822007652</v>
      </c>
      <c r="AI29" s="115">
        <f>IFERROR(IF(d_Bv!J29=0,0,((s_Ir*s_F*s_MLF_citrus*(1-EXP(-s_RadSpec!AZ29*s_t_b)))/(s_P*s_RadSpec!AZ29))),0)</f>
        <v>2.6824597822007652</v>
      </c>
      <c r="AJ29" s="115">
        <f>IFERROR(IF(d_Bv!K29=0,0,((s_Ir*s_F*s_MLF_corn*(1-EXP(-s_RadSpec!AZ29*s_t_b)))/(s_P*s_RadSpec!AZ29))),0)</f>
        <v>2.6824597822007652</v>
      </c>
      <c r="AK29" s="115">
        <f>IFERROR(IF(d_Bv!L29=0,0,((s_Ir*s_F*s_MLF_cucumber*(1-EXP(-s_RadSpec!AZ29*s_t_b)))/(s_P*s_RadSpec!AZ29))),0)</f>
        <v>2.6824597822007652</v>
      </c>
      <c r="AL29" s="115">
        <f>IFERROR(IF(d_Bv!M29=0,0,((s_Ir*s_F*s_MLF_lettuce*(1-EXP(-s_RadSpec!AZ29*s_t_b)))/(s_P*s_RadSpec!AZ29))),0)</f>
        <v>2.6824597822007652</v>
      </c>
      <c r="AM29" s="115">
        <f>IFERROR(IF(d_Bv!N29=0,0,((s_Ir*s_F*s_MLF_lima_bean*(1-EXP(-s_RadSpec!AZ29*s_t_b)))/(s_P*s_RadSpec!AZ29))),0)</f>
        <v>2.6824597822007652</v>
      </c>
      <c r="AN29" s="115">
        <f>IFERROR(IF(d_Bv!O29=0,0,((s_Ir*s_F*s_MLF_okra*(1-EXP(-s_RadSpec!AZ29*s_t_b)))/(s_P*s_RadSpec!AZ29))),0)</f>
        <v>2.6824597822007652</v>
      </c>
      <c r="AO29" s="115">
        <f>IFERROR(IF(d_Bv!P29=0,0,((s_Ir*s_F*s_MLF_onion*(1-EXP(-s_RadSpec!AZ29*s_t_b)))/(s_P*s_RadSpec!AZ29))),0)</f>
        <v>2.6824597822007652</v>
      </c>
      <c r="AP29" s="115">
        <f>IFERROR(IF(d_Bv!Q29=0,0,((s_Ir*s_F*s_MLF_peach*(1-EXP(-s_RadSpec!AZ29*s_t_b)))/(s_P*s_RadSpec!AZ29))),0)</f>
        <v>2.6824597822007652</v>
      </c>
      <c r="AQ29" s="115">
        <f>IFERROR(IF(d_Bv!R29=0,0,((s_Ir*s_F*s_MLF_pear*(1-EXP(-s_RadSpec!AZ29*s_t_b)))/(s_P*s_RadSpec!AZ29))),0)</f>
        <v>2.6824597822007652</v>
      </c>
      <c r="AR29" s="115">
        <f>IFERROR(IF(d_Bv!S29=0,0,((s_Ir*s_F*s_MLF_peas*(1-EXP(-s_RadSpec!AZ29*s_t_b)))/(s_P*s_RadSpec!AZ29))),0)</f>
        <v>2.6824597822007652</v>
      </c>
      <c r="AS29" s="115">
        <f>IFERROR(IF(d_Bv!T29=0,0,((s_Ir*s_F*s_MLF_peppers*(1-EXP(-s_RadSpec!AZ29*s_t_b)))/(s_P*s_RadSpec!AZ29))),0)</f>
        <v>2.6824597822007652</v>
      </c>
      <c r="AT29" s="115">
        <f>IFERROR(IF(d_Bv!U29=0,0,((s_Ir*s_F*s_MLF_potato*(1-EXP(-s_RadSpec!AZ29*s_t_b)))/(s_P*s_RadSpec!AZ29))),0)</f>
        <v>2.6824597822007652</v>
      </c>
      <c r="AU29" s="115">
        <f>IFERROR(IF(d_Bv!V29=0,0,((s_Ir*s_F*s_MLF_pumpkin*(1-EXP(-s_RadSpec!AZ29*s_t_b)))/(s_P*s_RadSpec!AZ29))),0)</f>
        <v>2.6824597822007652</v>
      </c>
      <c r="AV29" s="115">
        <f>IFERROR(IF(d_Bv!W29=0,0,((s_Ir*s_F*s_MLF_snap_bean*(1-EXP(-s_RadSpec!AZ29*s_t_b)))/(s_P*s_RadSpec!AZ29))),0)</f>
        <v>2.6824597822007652</v>
      </c>
      <c r="AW29" s="115">
        <f>IFERROR(IF(d_Bv!X29=0,0,((s_Ir*s_F*s_MLF_strawberry*(1-EXP(-s_RadSpec!AZ29*s_t_b)))/(s_P*s_RadSpec!AZ29))),0)</f>
        <v>2.6824597822007652</v>
      </c>
      <c r="AX29" s="115">
        <f>IFERROR(IF(d_Bv!Y29=0,0,((s_Ir*s_F*s_MLF_tomato*(1-EXP(-s_RadSpec!AZ29*s_t_b)))/(s_P*s_RadSpec!AZ29))),0)</f>
        <v>2.6824597822007652</v>
      </c>
      <c r="AY29" s="115">
        <f>IFERROR(IF(d_Bv!Z29=0,0,((s_Ir*s_F*s_MLF_rice*(1-EXP(-s_RadSpec!AZ29*s_t_b)))/(s_P*s_RadSpec!AZ29))),0)</f>
        <v>2.6824597822007652</v>
      </c>
      <c r="AZ29" s="115">
        <f>IFERROR(IF(d_Bv!AA29=0,0,((s_Ir*s_F*s_MLF_cereal*(1-EXP(-s_RadSpec!AZ29*s_t_b)))/(s_P*s_RadSpec!AZ29))),0)</f>
        <v>2.6824597822007652</v>
      </c>
      <c r="BA29" s="115">
        <f>IFERROR(IF(d_Bv!C29=0,0,((s_Ir*s_F*s_I_f*s_T*(1-EXP(-s_RadSpec!BA29*s_t_v)))/(s_Y_v*s_RadSpec!BA29))),0)</f>
        <v>9.0143481925428208</v>
      </c>
      <c r="BB29" s="115">
        <f>IFERROR(IF(d_Bv!D29=0,0,((s_Ir*s_F*s_I_f*s_T*(1-EXP(-s_RadSpec!BA29*s_t_v)))/(s_Y_v*s_RadSpec!BA29))),0)</f>
        <v>9.0143481925428208</v>
      </c>
      <c r="BC29" s="115">
        <f>IFERROR(IF(d_Bv!E29=0,0,((s_Ir*s_F*s_I_f*s_T*(1-EXP(-s_RadSpec!BA29*s_t_v)))/(s_Y_v*s_RadSpec!BA29))),0)</f>
        <v>9.0143481925428208</v>
      </c>
      <c r="BD29" s="115">
        <f>IFERROR(IF(d_Bv!F29=0,0,((s_Ir*s_F*s_I_f*s_T*(1-EXP(-s_RadSpec!BA29*s_t_v)))/(s_Y_v*s_RadSpec!BA29))),0)</f>
        <v>9.0143481925428208</v>
      </c>
      <c r="BE29" s="115">
        <f>IFERROR(IF(d_Bv!G29=0,0,((s_Ir*s_F*s_I_f*s_T*(1-EXP(-s_RadSpec!BA29*s_t_v)))/(s_Y_v*s_RadSpec!BA29))),0)</f>
        <v>9.0143481925428208</v>
      </c>
      <c r="BF29" s="115">
        <f>IFERROR(IF(d_Bv!H29=0,0,((s_Ir*s_F*s_I_f*s_T*(1-EXP(-s_RadSpec!BA29*s_t_v)))/(s_Y_v*s_RadSpec!BA29))),0)</f>
        <v>9.0143481925428208</v>
      </c>
      <c r="BG29" s="115">
        <f>IFERROR(IF(d_Bv!I29=0,0,((s_Ir*s_F*s_I_f*s_T*(1-EXP(-s_RadSpec!BA29*s_t_v)))/(s_Y_v*s_RadSpec!BA29))),0)</f>
        <v>9.0143481925428208</v>
      </c>
      <c r="BH29" s="115">
        <f>IFERROR(IF(d_Bv!J29=0,0,((s_Ir*s_F*s_I_f*s_T*(1-EXP(-s_RadSpec!BA29*s_t_v)))/(s_Y_v*s_RadSpec!BA29))),0)</f>
        <v>9.0143481925428208</v>
      </c>
      <c r="BI29" s="115">
        <f>IFERROR(IF(d_Bv!K29=0,0,((s_Ir*s_F*s_I_f*s_T*(1-EXP(-s_RadSpec!BA29*s_t_v)))/(s_Y_v*s_RadSpec!BA29))),0)</f>
        <v>9.0143481925428208</v>
      </c>
      <c r="BJ29" s="115">
        <f>IFERROR(IF(d_Bv!L29=0,0,((s_Ir*s_F*s_I_f*s_T*(1-EXP(-s_RadSpec!BA29*s_t_v)))/(s_Y_v*s_RadSpec!BA29))),0)</f>
        <v>9.0143481925428208</v>
      </c>
      <c r="BK29" s="115">
        <f>IFERROR(IF(d_Bv!M29=0,0,((s_Ir*s_F*s_I_f*s_T*(1-EXP(-s_RadSpec!BA29*s_t_v)))/(s_Y_v*s_RadSpec!BA29))),0)</f>
        <v>9.0143481925428208</v>
      </c>
      <c r="BL29" s="115">
        <f>IFERROR(IF(d_Bv!N29=0,0,((s_Ir*s_F*s_I_f*s_T*(1-EXP(-s_RadSpec!BA29*s_t_v)))/(s_Y_v*s_RadSpec!BA29))),0)</f>
        <v>9.0143481925428208</v>
      </c>
      <c r="BM29" s="115">
        <f>IFERROR(IF(d_Bv!O29=0,0,((s_Ir*s_F*s_I_f*s_T*(1-EXP(-s_RadSpec!BA29*s_t_v)))/(s_Y_v*s_RadSpec!BA29))),0)</f>
        <v>9.0143481925428208</v>
      </c>
      <c r="BN29" s="115">
        <f>IFERROR(IF(d_Bv!P29=0,0,((s_Ir*s_F*s_I_f*s_T*(1-EXP(-s_RadSpec!BA29*s_t_v)))/(s_Y_v*s_RadSpec!BA29))),0)</f>
        <v>9.0143481925428208</v>
      </c>
      <c r="BO29" s="115">
        <f>IFERROR(IF(d_Bv!Q29=0,0,((s_Ir*s_F*s_I_f*s_T*(1-EXP(-s_RadSpec!BA29*s_t_v)))/(s_Y_v*s_RadSpec!BA29))),0)</f>
        <v>9.0143481925428208</v>
      </c>
      <c r="BP29" s="115">
        <f>IFERROR(IF(d_Bv!R29=0,0,((s_Ir*s_F*s_I_f*s_T*(1-EXP(-s_RadSpec!BA29*s_t_v)))/(s_Y_v*s_RadSpec!BA29))),0)</f>
        <v>9.0143481925428208</v>
      </c>
      <c r="BQ29" s="115">
        <f>IFERROR(IF(d_Bv!S29=0,0,((s_Ir*s_F*s_I_f*s_T*(1-EXP(-s_RadSpec!BA29*s_t_v)))/(s_Y_v*s_RadSpec!BA29))),0)</f>
        <v>9.0143481925428208</v>
      </c>
      <c r="BR29" s="115">
        <f>IFERROR(IF(d_Bv!T29=0,0,((s_Ir*s_F*s_I_f*s_T*(1-EXP(-s_RadSpec!BA29*s_t_v)))/(s_Y_v*s_RadSpec!BA29))),0)</f>
        <v>9.0143481925428208</v>
      </c>
      <c r="BS29" s="115">
        <f>IFERROR(IF(d_Bv!U29=0,0,((s_Ir*s_F*s_I_f*s_T*(1-EXP(-s_RadSpec!BA29*s_t_v)))/(s_Y_v*s_RadSpec!BA29))),0)</f>
        <v>9.0143481925428208</v>
      </c>
      <c r="BT29" s="115">
        <f>IFERROR(IF(d_Bv!V29=0,0,((s_Ir*s_F*s_I_f*s_T*(1-EXP(-s_RadSpec!BA29*s_t_v)))/(s_Y_v*s_RadSpec!BA29))),0)</f>
        <v>9.0143481925428208</v>
      </c>
      <c r="BU29" s="115">
        <f>IFERROR(IF(d_Bv!W29=0,0,((s_Ir*s_F*s_I_f*s_T*(1-EXP(-s_RadSpec!BA29*s_t_v)))/(s_Y_v*s_RadSpec!BA29))),0)</f>
        <v>9.0143481925428208</v>
      </c>
      <c r="BV29" s="115">
        <f>IFERROR(IF(d_Bv!X29=0,0,((s_Ir*s_F*s_I_f*s_T*(1-EXP(-s_RadSpec!BA29*s_t_v)))/(s_Y_v*s_RadSpec!BA29))),0)</f>
        <v>9.0143481925428208</v>
      </c>
      <c r="BW29" s="115">
        <f>IFERROR(IF(d_Bv!Y29=0,0,((s_Ir*s_F*s_I_f*s_T*(1-EXP(-s_RadSpec!BA29*s_t_v)))/(s_Y_v*s_RadSpec!BA29))),0)</f>
        <v>9.0143481925428208</v>
      </c>
      <c r="BX29" s="115">
        <f>IFERROR(IF(d_Bv!Z29=0,0,((s_Ir*s_F*s_I_f*s_T*(1-EXP(-s_RadSpec!BA29*s_t_v)))/(s_Y_v*s_RadSpec!BA29))),0)</f>
        <v>9.0143481925428208</v>
      </c>
      <c r="BY29" s="115">
        <f>IFERROR(IF(d_Bv!AA29=0,0,((s_Ir*s_F*s_I_f*s_T*(1-EXP(-s_RadSpec!BA29*s_t_v)))/(s_Y_v*s_RadSpec!BA29))),0)</f>
        <v>9.0143481925428208</v>
      </c>
    </row>
    <row r="30" spans="1:77" x14ac:dyDescent="0.25">
      <c r="A30" s="44" t="s">
        <v>40</v>
      </c>
      <c r="B30" s="42" t="s">
        <v>1071</v>
      </c>
      <c r="C30" s="115">
        <f>IFERROR(IF(d_Bv!C30=0,0,((s_Ir*s_F*d_Bv!C30*(1-EXP(-s_RadSpec!$AZ30*s_t_b)))/(s_P*s_RadSpec!$AZ30))),0)</f>
        <v>0.19870072460746407</v>
      </c>
      <c r="D30" s="115">
        <f>IFERROR(IF(d_Bv!D30=0,0,((s_Ir*s_F*d_Bv!D30*(1-EXP(-s_RadSpec!AZ30*s_t_b)))/(s_P*s_RadSpec!AZ30))),0)</f>
        <v>3.9740144921492817</v>
      </c>
      <c r="E30" s="115">
        <f>IFERROR(IF(d_Bv!E30=0,0,((s_Ir*s_F*d_Bv!E30*(1-EXP(-s_RadSpec!AZ30*s_t_b)))/(s_P*s_RadSpec!AZ30))),0)</f>
        <v>1.669086086702698</v>
      </c>
      <c r="F30" s="115">
        <f>IFERROR(IF(d_Bv!F30=0,0,((s_Ir*s_F*d_Bv!F30*(1-EXP(-s_RadSpec!AZ30*s_t_b)))/(s_P*s_RadSpec!AZ30))),0)</f>
        <v>0.19870072460746407</v>
      </c>
      <c r="G30" s="115">
        <f>IFERROR(IF(d_Bv!G30=0,0,((s_Ir*s_F*d_Bv!G30*(1-EXP(-s_RadSpec!AZ30*s_t_b)))/(s_P*s_RadSpec!AZ30))),0)</f>
        <v>2.9805108691119608</v>
      </c>
      <c r="H30" s="115">
        <f>IFERROR(IF(d_Bv!H30=0,0,((s_Ir*s_F*d_Bv!H30*(1-EXP(-s_RadSpec!AZ30*s_t_b)))/(s_P*s_RadSpec!AZ30))),0)</f>
        <v>3.9740144921492817</v>
      </c>
      <c r="I30" s="115">
        <f>IFERROR(IF(d_Bv!I30=0,0,((s_Ir*s_F*d_Bv!I30*(1-EXP(-s_RadSpec!AZ30*s_t_b)))/(s_P*s_RadSpec!AZ30))),0)</f>
        <v>1.669086086702698</v>
      </c>
      <c r="J30" s="115">
        <f>IFERROR(IF(d_Bv!J30=0,0,((s_Ir*s_F*d_Bv!J30*(1-EXP(-s_RadSpec!AZ30*s_t_b)))/(s_P*s_RadSpec!AZ30))),0)</f>
        <v>0.19870072460746407</v>
      </c>
      <c r="K30" s="115">
        <f>IFERROR(IF(d_Bv!K30=0,0,((s_Ir*s_F*d_Bv!K30*(1-EXP(-s_RadSpec!AZ30*s_t_b)))/(s_P*s_RadSpec!AZ30))),0)</f>
        <v>2.9805108691119608</v>
      </c>
      <c r="L30" s="115">
        <f>IFERROR(IF(d_Bv!L30=0,0,((s_Ir*s_F*d_Bv!L30*(1-EXP(-s_RadSpec!AZ30*s_t_b)))/(s_P*s_RadSpec!AZ30))),0)</f>
        <v>2.9805108691119608</v>
      </c>
      <c r="M30" s="115">
        <f>IFERROR(IF(d_Bv!M30=0,0,((s_Ir*s_F*d_Bv!M30*(1-EXP(-s_RadSpec!AZ30*s_t_b)))/(s_P*s_RadSpec!AZ30))),0)</f>
        <v>3.9740144921492817</v>
      </c>
      <c r="N30" s="115">
        <f>IFERROR(IF(d_Bv!N30=0,0,((s_Ir*s_F*d_Bv!N30*(1-EXP(-s_RadSpec!AZ30*s_t_b)))/(s_P*s_RadSpec!AZ30))),0)</f>
        <v>0.43714159413642101</v>
      </c>
      <c r="O30" s="115">
        <f>IFERROR(IF(d_Bv!O30=0,0,((s_Ir*s_F*d_Bv!O30*(1-EXP(-s_RadSpec!AZ30*s_t_b)))/(s_P*s_RadSpec!AZ30))),0)</f>
        <v>2.9805108691119608</v>
      </c>
      <c r="P30" s="115">
        <f>IFERROR(IF(d_Bv!P30=0,0,((s_Ir*s_F*d_Bv!P30*(1-EXP(-s_RadSpec!AZ30*s_t_b)))/(s_P*s_RadSpec!AZ30))),0)</f>
        <v>1.669086086702698</v>
      </c>
      <c r="Q30" s="115">
        <f>IFERROR(IF(d_Bv!Q30=0,0,((s_Ir*s_F*d_Bv!Q30*(1-EXP(-s_RadSpec!AZ30*s_t_b)))/(s_P*s_RadSpec!AZ30))),0)</f>
        <v>0.19870072460746407</v>
      </c>
      <c r="R30" s="115">
        <f>IFERROR(IF(d_Bv!R30=0,0,((s_Ir*s_F*d_Bv!R30*(1-EXP(-s_RadSpec!AZ30*s_t_b)))/(s_P*s_RadSpec!AZ30))),0)</f>
        <v>0.19870072460746407</v>
      </c>
      <c r="S30" s="115">
        <f>IFERROR(IF(d_Bv!S30=0,0,((s_Ir*s_F*d_Bv!S30*(1-EXP(-s_RadSpec!AZ30*s_t_b)))/(s_P*s_RadSpec!AZ30))),0)</f>
        <v>0.43714159413642101</v>
      </c>
      <c r="T30" s="115">
        <f>IFERROR(IF(d_Bv!T30=0,0,((s_Ir*s_F*d_Bv!T30*(1-EXP(-s_RadSpec!AZ30*s_t_b)))/(s_P*s_RadSpec!AZ30))),0)</f>
        <v>2.9805108691119608</v>
      </c>
      <c r="U30" s="115">
        <f>IFERROR(IF(d_Bv!U30=0,0,((s_Ir*s_F*d_Bv!U30*(1-EXP(-s_RadSpec!AZ30*s_t_b)))/(s_P*s_RadSpec!AZ30))),0)</f>
        <v>0.99350362303732043</v>
      </c>
      <c r="V30" s="115">
        <f>IFERROR(IF(d_Bv!V30=0,0,((s_Ir*s_F*d_Bv!V30*(1-EXP(-s_RadSpec!AZ30*s_t_b)))/(s_P*s_RadSpec!AZ30))),0)</f>
        <v>2.9805108691119608</v>
      </c>
      <c r="W30" s="115">
        <f>IFERROR(IF(d_Bv!W30=0,0,((s_Ir*s_F*d_Bv!W30*(1-EXP(-s_RadSpec!AZ30*s_t_b)))/(s_P*s_RadSpec!AZ30))),0)</f>
        <v>0.43714159413642101</v>
      </c>
      <c r="X30" s="115">
        <f>IFERROR(IF(d_Bv!X30=0,0,((s_Ir*s_F*d_Bv!X30*(1-EXP(-s_RadSpec!AZ30*s_t_b)))/(s_P*s_RadSpec!AZ30))),0)</f>
        <v>0.19870072460746407</v>
      </c>
      <c r="Y30" s="115">
        <f>IFERROR(IF(d_Bv!Y30=0,0,((s_Ir*s_F*d_Bv!Y30*(1-EXP(-s_RadSpec!AZ30*s_t_b)))/(s_P*s_RadSpec!AZ30))),0)</f>
        <v>2.9805108691119608</v>
      </c>
      <c r="Z30" s="115">
        <f>IFERROR(IF(d_Bv!Z30=0,0,((s_Ir*s_F*d_Bv!Z30*(1-EXP(-s_RadSpec!AZ30*s_t_b)))/(s_P*s_RadSpec!AZ30))),0)</f>
        <v>4.8284276079613768E-2</v>
      </c>
      <c r="AA30" s="115">
        <f>IFERROR(IF(d_Bv!AA30=0,0,((s_Ir*s_F*d_Bv!AA30*(1-EXP(-s_RadSpec!AZ30*s_t_b)))/(s_P*s_RadSpec!AZ30))),0)</f>
        <v>1.2319444925662772</v>
      </c>
      <c r="AB30" s="115">
        <f>IFERROR(IF(d_Bv!C30=0,0,((s_Ir*s_F*s_MLF_apple*(1-EXP(-s_RadSpec!AZ30*s_t_b)))/(s_P*s_RadSpec!AZ30))),0)</f>
        <v>2.6824597822007652</v>
      </c>
      <c r="AC30" s="115">
        <f>IFERROR(IF(d_Bv!D30=0,0,((s_Ir*s_F*s_MLF_asparagus*(1-EXP(-s_RadSpec!AZ30*s_t_b)))/(s_P*s_RadSpec!AZ30))),0)</f>
        <v>2.6824597822007652</v>
      </c>
      <c r="AD30" s="115">
        <f>IFERROR(IF(d_Bv!E30=0,0,((s_Ir*s_F*s_MLF_beet*(1-EXP(-s_RadSpec!AZ30*s_t_b)))/(s_P*s_RadSpec!AZ30))),0)</f>
        <v>2.6824597822007652</v>
      </c>
      <c r="AE30" s="115">
        <f>IFERROR(IF(d_Bv!F30=0,0,((s_Ir*s_F*s_MLF_berries*(1-EXP(-s_RadSpec!AZ30*s_t_b)))/(s_P*s_RadSpec!AZ30))),0)</f>
        <v>2.6824597822007652</v>
      </c>
      <c r="AF30" s="115">
        <f>IFERROR(IF(d_Bv!G30=0,0,((s_Ir*s_F*s_MLF_broccoli*(1-EXP(-s_RadSpec!AZ30*s_t_b)))/(s_P*s_RadSpec!AZ30))),0)</f>
        <v>2.6824597822007652</v>
      </c>
      <c r="AG30" s="115">
        <f>IFERROR(IF(d_Bv!H30=0,0,((s_Ir*s_F*s_MLF_cabbage*(1-EXP(-s_RadSpec!AZ30*s_t_b)))/(s_P*s_RadSpec!AZ30))),0)</f>
        <v>2.6824597822007652</v>
      </c>
      <c r="AH30" s="115">
        <f>IFERROR(IF(d_Bv!I30=0,0,((s_Ir*s_F*s_MLF_carrot*(1-EXP(-s_RadSpec!AZ30*s_t_b)))/(s_P*s_RadSpec!AZ30))),0)</f>
        <v>2.6824597822007652</v>
      </c>
      <c r="AI30" s="115">
        <f>IFERROR(IF(d_Bv!J30=0,0,((s_Ir*s_F*s_MLF_citrus*(1-EXP(-s_RadSpec!AZ30*s_t_b)))/(s_P*s_RadSpec!AZ30))),0)</f>
        <v>2.6824597822007652</v>
      </c>
      <c r="AJ30" s="115">
        <f>IFERROR(IF(d_Bv!K30=0,0,((s_Ir*s_F*s_MLF_corn*(1-EXP(-s_RadSpec!AZ30*s_t_b)))/(s_P*s_RadSpec!AZ30))),0)</f>
        <v>2.6824597822007652</v>
      </c>
      <c r="AK30" s="115">
        <f>IFERROR(IF(d_Bv!L30=0,0,((s_Ir*s_F*s_MLF_cucumber*(1-EXP(-s_RadSpec!AZ30*s_t_b)))/(s_P*s_RadSpec!AZ30))),0)</f>
        <v>2.6824597822007652</v>
      </c>
      <c r="AL30" s="115">
        <f>IFERROR(IF(d_Bv!M30=0,0,((s_Ir*s_F*s_MLF_lettuce*(1-EXP(-s_RadSpec!AZ30*s_t_b)))/(s_P*s_RadSpec!AZ30))),0)</f>
        <v>2.6824597822007652</v>
      </c>
      <c r="AM30" s="115">
        <f>IFERROR(IF(d_Bv!N30=0,0,((s_Ir*s_F*s_MLF_lima_bean*(1-EXP(-s_RadSpec!AZ30*s_t_b)))/(s_P*s_RadSpec!AZ30))),0)</f>
        <v>2.6824597822007652</v>
      </c>
      <c r="AN30" s="115">
        <f>IFERROR(IF(d_Bv!O30=0,0,((s_Ir*s_F*s_MLF_okra*(1-EXP(-s_RadSpec!AZ30*s_t_b)))/(s_P*s_RadSpec!AZ30))),0)</f>
        <v>2.6824597822007652</v>
      </c>
      <c r="AO30" s="115">
        <f>IFERROR(IF(d_Bv!P30=0,0,((s_Ir*s_F*s_MLF_onion*(1-EXP(-s_RadSpec!AZ30*s_t_b)))/(s_P*s_RadSpec!AZ30))),0)</f>
        <v>2.6824597822007652</v>
      </c>
      <c r="AP30" s="115">
        <f>IFERROR(IF(d_Bv!Q30=0,0,((s_Ir*s_F*s_MLF_peach*(1-EXP(-s_RadSpec!AZ30*s_t_b)))/(s_P*s_RadSpec!AZ30))),0)</f>
        <v>2.6824597822007652</v>
      </c>
      <c r="AQ30" s="115">
        <f>IFERROR(IF(d_Bv!R30=0,0,((s_Ir*s_F*s_MLF_pear*(1-EXP(-s_RadSpec!AZ30*s_t_b)))/(s_P*s_RadSpec!AZ30))),0)</f>
        <v>2.6824597822007652</v>
      </c>
      <c r="AR30" s="115">
        <f>IFERROR(IF(d_Bv!S30=0,0,((s_Ir*s_F*s_MLF_peas*(1-EXP(-s_RadSpec!AZ30*s_t_b)))/(s_P*s_RadSpec!AZ30))),0)</f>
        <v>2.6824597822007652</v>
      </c>
      <c r="AS30" s="115">
        <f>IFERROR(IF(d_Bv!T30=0,0,((s_Ir*s_F*s_MLF_peppers*(1-EXP(-s_RadSpec!AZ30*s_t_b)))/(s_P*s_RadSpec!AZ30))),0)</f>
        <v>2.6824597822007652</v>
      </c>
      <c r="AT30" s="115">
        <f>IFERROR(IF(d_Bv!U30=0,0,((s_Ir*s_F*s_MLF_potato*(1-EXP(-s_RadSpec!AZ30*s_t_b)))/(s_P*s_RadSpec!AZ30))),0)</f>
        <v>2.6824597822007652</v>
      </c>
      <c r="AU30" s="115">
        <f>IFERROR(IF(d_Bv!V30=0,0,((s_Ir*s_F*s_MLF_pumpkin*(1-EXP(-s_RadSpec!AZ30*s_t_b)))/(s_P*s_RadSpec!AZ30))),0)</f>
        <v>2.6824597822007652</v>
      </c>
      <c r="AV30" s="115">
        <f>IFERROR(IF(d_Bv!W30=0,0,((s_Ir*s_F*s_MLF_snap_bean*(1-EXP(-s_RadSpec!AZ30*s_t_b)))/(s_P*s_RadSpec!AZ30))),0)</f>
        <v>2.6824597822007652</v>
      </c>
      <c r="AW30" s="115">
        <f>IFERROR(IF(d_Bv!X30=0,0,((s_Ir*s_F*s_MLF_strawberry*(1-EXP(-s_RadSpec!AZ30*s_t_b)))/(s_P*s_RadSpec!AZ30))),0)</f>
        <v>2.6824597822007652</v>
      </c>
      <c r="AX30" s="115">
        <f>IFERROR(IF(d_Bv!Y30=0,0,((s_Ir*s_F*s_MLF_tomato*(1-EXP(-s_RadSpec!AZ30*s_t_b)))/(s_P*s_RadSpec!AZ30))),0)</f>
        <v>2.6824597822007652</v>
      </c>
      <c r="AY30" s="115">
        <f>IFERROR(IF(d_Bv!Z30=0,0,((s_Ir*s_F*s_MLF_rice*(1-EXP(-s_RadSpec!AZ30*s_t_b)))/(s_P*s_RadSpec!AZ30))),0)</f>
        <v>2.6824597822007652</v>
      </c>
      <c r="AZ30" s="115">
        <f>IFERROR(IF(d_Bv!AA30=0,0,((s_Ir*s_F*s_MLF_cereal*(1-EXP(-s_RadSpec!AZ30*s_t_b)))/(s_P*s_RadSpec!AZ30))),0)</f>
        <v>2.6824597822007652</v>
      </c>
      <c r="BA30" s="115">
        <f>IFERROR(IF(d_Bv!C30=0,0,((s_Ir*s_F*s_I_f*s_T*(1-EXP(-s_RadSpec!BA30*s_t_v)))/(s_Y_v*s_RadSpec!BA30))),0)</f>
        <v>9.0143481925428208</v>
      </c>
      <c r="BB30" s="115">
        <f>IFERROR(IF(d_Bv!D30=0,0,((s_Ir*s_F*s_I_f*s_T*(1-EXP(-s_RadSpec!BA30*s_t_v)))/(s_Y_v*s_RadSpec!BA30))),0)</f>
        <v>9.0143481925428208</v>
      </c>
      <c r="BC30" s="115">
        <f>IFERROR(IF(d_Bv!E30=0,0,((s_Ir*s_F*s_I_f*s_T*(1-EXP(-s_RadSpec!BA30*s_t_v)))/(s_Y_v*s_RadSpec!BA30))),0)</f>
        <v>9.0143481925428208</v>
      </c>
      <c r="BD30" s="115">
        <f>IFERROR(IF(d_Bv!F30=0,0,((s_Ir*s_F*s_I_f*s_T*(1-EXP(-s_RadSpec!BA30*s_t_v)))/(s_Y_v*s_RadSpec!BA30))),0)</f>
        <v>9.0143481925428208</v>
      </c>
      <c r="BE30" s="115">
        <f>IFERROR(IF(d_Bv!G30=0,0,((s_Ir*s_F*s_I_f*s_T*(1-EXP(-s_RadSpec!BA30*s_t_v)))/(s_Y_v*s_RadSpec!BA30))),0)</f>
        <v>9.0143481925428208</v>
      </c>
      <c r="BF30" s="115">
        <f>IFERROR(IF(d_Bv!H30=0,0,((s_Ir*s_F*s_I_f*s_T*(1-EXP(-s_RadSpec!BA30*s_t_v)))/(s_Y_v*s_RadSpec!BA30))),0)</f>
        <v>9.0143481925428208</v>
      </c>
      <c r="BG30" s="115">
        <f>IFERROR(IF(d_Bv!I30=0,0,((s_Ir*s_F*s_I_f*s_T*(1-EXP(-s_RadSpec!BA30*s_t_v)))/(s_Y_v*s_RadSpec!BA30))),0)</f>
        <v>9.0143481925428208</v>
      </c>
      <c r="BH30" s="115">
        <f>IFERROR(IF(d_Bv!J30=0,0,((s_Ir*s_F*s_I_f*s_T*(1-EXP(-s_RadSpec!BA30*s_t_v)))/(s_Y_v*s_RadSpec!BA30))),0)</f>
        <v>9.0143481925428208</v>
      </c>
      <c r="BI30" s="115">
        <f>IFERROR(IF(d_Bv!K30=0,0,((s_Ir*s_F*s_I_f*s_T*(1-EXP(-s_RadSpec!BA30*s_t_v)))/(s_Y_v*s_RadSpec!BA30))),0)</f>
        <v>9.0143481925428208</v>
      </c>
      <c r="BJ30" s="115">
        <f>IFERROR(IF(d_Bv!L30=0,0,((s_Ir*s_F*s_I_f*s_T*(1-EXP(-s_RadSpec!BA30*s_t_v)))/(s_Y_v*s_RadSpec!BA30))),0)</f>
        <v>9.0143481925428208</v>
      </c>
      <c r="BK30" s="115">
        <f>IFERROR(IF(d_Bv!M30=0,0,((s_Ir*s_F*s_I_f*s_T*(1-EXP(-s_RadSpec!BA30*s_t_v)))/(s_Y_v*s_RadSpec!BA30))),0)</f>
        <v>9.0143481925428208</v>
      </c>
      <c r="BL30" s="115">
        <f>IFERROR(IF(d_Bv!N30=0,0,((s_Ir*s_F*s_I_f*s_T*(1-EXP(-s_RadSpec!BA30*s_t_v)))/(s_Y_v*s_RadSpec!BA30))),0)</f>
        <v>9.0143481925428208</v>
      </c>
      <c r="BM30" s="115">
        <f>IFERROR(IF(d_Bv!O30=0,0,((s_Ir*s_F*s_I_f*s_T*(1-EXP(-s_RadSpec!BA30*s_t_v)))/(s_Y_v*s_RadSpec!BA30))),0)</f>
        <v>9.0143481925428208</v>
      </c>
      <c r="BN30" s="115">
        <f>IFERROR(IF(d_Bv!P30=0,0,((s_Ir*s_F*s_I_f*s_T*(1-EXP(-s_RadSpec!BA30*s_t_v)))/(s_Y_v*s_RadSpec!BA30))),0)</f>
        <v>9.0143481925428208</v>
      </c>
      <c r="BO30" s="115">
        <f>IFERROR(IF(d_Bv!Q30=0,0,((s_Ir*s_F*s_I_f*s_T*(1-EXP(-s_RadSpec!BA30*s_t_v)))/(s_Y_v*s_RadSpec!BA30))),0)</f>
        <v>9.0143481925428208</v>
      </c>
      <c r="BP30" s="115">
        <f>IFERROR(IF(d_Bv!R30=0,0,((s_Ir*s_F*s_I_f*s_T*(1-EXP(-s_RadSpec!BA30*s_t_v)))/(s_Y_v*s_RadSpec!BA30))),0)</f>
        <v>9.0143481925428208</v>
      </c>
      <c r="BQ30" s="115">
        <f>IFERROR(IF(d_Bv!S30=0,0,((s_Ir*s_F*s_I_f*s_T*(1-EXP(-s_RadSpec!BA30*s_t_v)))/(s_Y_v*s_RadSpec!BA30))),0)</f>
        <v>9.0143481925428208</v>
      </c>
      <c r="BR30" s="115">
        <f>IFERROR(IF(d_Bv!T30=0,0,((s_Ir*s_F*s_I_f*s_T*(1-EXP(-s_RadSpec!BA30*s_t_v)))/(s_Y_v*s_RadSpec!BA30))),0)</f>
        <v>9.0143481925428208</v>
      </c>
      <c r="BS30" s="115">
        <f>IFERROR(IF(d_Bv!U30=0,0,((s_Ir*s_F*s_I_f*s_T*(1-EXP(-s_RadSpec!BA30*s_t_v)))/(s_Y_v*s_RadSpec!BA30))),0)</f>
        <v>9.0143481925428208</v>
      </c>
      <c r="BT30" s="115">
        <f>IFERROR(IF(d_Bv!V30=0,0,((s_Ir*s_F*s_I_f*s_T*(1-EXP(-s_RadSpec!BA30*s_t_v)))/(s_Y_v*s_RadSpec!BA30))),0)</f>
        <v>9.0143481925428208</v>
      </c>
      <c r="BU30" s="115">
        <f>IFERROR(IF(d_Bv!W30=0,0,((s_Ir*s_F*s_I_f*s_T*(1-EXP(-s_RadSpec!BA30*s_t_v)))/(s_Y_v*s_RadSpec!BA30))),0)</f>
        <v>9.0143481925428208</v>
      </c>
      <c r="BV30" s="115">
        <f>IFERROR(IF(d_Bv!X30=0,0,((s_Ir*s_F*s_I_f*s_T*(1-EXP(-s_RadSpec!BA30*s_t_v)))/(s_Y_v*s_RadSpec!BA30))),0)</f>
        <v>9.0143481925428208</v>
      </c>
      <c r="BW30" s="115">
        <f>IFERROR(IF(d_Bv!Y30=0,0,((s_Ir*s_F*s_I_f*s_T*(1-EXP(-s_RadSpec!BA30*s_t_v)))/(s_Y_v*s_RadSpec!BA30))),0)</f>
        <v>9.0143481925428208</v>
      </c>
      <c r="BX30" s="115">
        <f>IFERROR(IF(d_Bv!Z30=0,0,((s_Ir*s_F*s_I_f*s_T*(1-EXP(-s_RadSpec!BA30*s_t_v)))/(s_Y_v*s_RadSpec!BA30))),0)</f>
        <v>9.0143481925428208</v>
      </c>
      <c r="BY30" s="115">
        <f>IFERROR(IF(d_Bv!AA30=0,0,((s_Ir*s_F*s_I_f*s_T*(1-EXP(-s_RadSpec!BA30*s_t_v)))/(s_Y_v*s_RadSpec!BA30))),0)</f>
        <v>9.0143481925428208</v>
      </c>
    </row>
  </sheetData>
  <sheetProtection algorithmName="SHA-512" hashValue="1kuKI/J2ZYnlWsq/rw1t+oYbvOoT3qZ3bOKey8x637Pu2xV4Lk5x/ToMo5wULP6FBo1mkczPR8tqfo3r0sBeIA==" saltValue="FiFEF0bTz0MRHiH8SXjsBA==" spinCount="100000" sheet="1" formatColumns="0" formatRows="0" autoFilter="0"/>
  <autoFilter ref="A1:BY30" xr:uid="{C3AB649A-492F-4EA0-A2A7-E9BEDA75EC0D}"/>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C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75" bestFit="1" customWidth="1"/>
    <col min="2" max="2" width="13.28515625" style="75" bestFit="1" customWidth="1"/>
    <col min="3" max="3" width="22.5703125" style="75" bestFit="1" customWidth="1"/>
    <col min="4" max="4" width="16" style="77" bestFit="1" customWidth="1"/>
    <col min="5" max="5" width="16.140625" style="77" bestFit="1" customWidth="1"/>
    <col min="6" max="6" width="15" style="77" bestFit="1" customWidth="1"/>
    <col min="7" max="7" width="15.7109375" style="77" bestFit="1" customWidth="1"/>
    <col min="8" max="8" width="15" style="77" bestFit="1" customWidth="1"/>
    <col min="9" max="9" width="15.42578125" style="77" bestFit="1" customWidth="1"/>
    <col min="10" max="10" width="14.7109375" style="77" bestFit="1" customWidth="1"/>
    <col min="11" max="11" width="16.140625" style="77" bestFit="1" customWidth="1"/>
    <col min="12" max="12" width="15" style="77" bestFit="1" customWidth="1"/>
    <col min="13" max="13" width="16.85546875" style="77" bestFit="1" customWidth="1"/>
    <col min="14" max="14" width="14" style="77" bestFit="1" customWidth="1"/>
    <col min="15" max="16" width="15" style="77" bestFit="1" customWidth="1"/>
    <col min="17" max="17" width="16.140625" style="77" bestFit="1" customWidth="1"/>
    <col min="18" max="18" width="16.28515625" style="77" bestFit="1" customWidth="1"/>
    <col min="19" max="19" width="15" style="77" bestFit="1" customWidth="1"/>
    <col min="20" max="20" width="14.28515625" style="77" bestFit="1" customWidth="1"/>
    <col min="21" max="21" width="15.5703125" style="77" bestFit="1" customWidth="1"/>
    <col min="22" max="22" width="15.7109375" style="77" bestFit="1" customWidth="1"/>
    <col min="23" max="23" width="16.140625" style="77" bestFit="1" customWidth="1"/>
    <col min="24" max="24" width="15.42578125" style="77" bestFit="1" customWidth="1"/>
    <col min="25" max="25" width="16" style="77" bestFit="1" customWidth="1"/>
    <col min="26" max="27" width="14.42578125" style="77" bestFit="1" customWidth="1"/>
    <col min="28" max="28" width="16.42578125" style="77" bestFit="1" customWidth="1"/>
    <col min="29" max="29" width="22.42578125" style="77" bestFit="1" customWidth="1"/>
    <col min="30" max="30" width="15.85546875" style="77" bestFit="1" customWidth="1"/>
    <col min="31" max="31" width="16" style="77" bestFit="1" customWidth="1"/>
    <col min="32" max="32" width="14.7109375" style="77" bestFit="1" customWidth="1"/>
    <col min="33" max="33" width="15.5703125" style="77" bestFit="1" customWidth="1"/>
    <col min="34" max="34" width="14.85546875" style="77" bestFit="1" customWidth="1"/>
    <col min="35" max="35" width="15.28515625" style="77" bestFit="1" customWidth="1"/>
    <col min="36" max="36" width="14.5703125" style="77" bestFit="1" customWidth="1"/>
    <col min="37" max="37" width="16" style="77" bestFit="1" customWidth="1"/>
    <col min="38" max="38" width="14.85546875" style="77" bestFit="1" customWidth="1"/>
    <col min="39" max="39" width="16.7109375" style="77" bestFit="1" customWidth="1"/>
    <col min="40" max="40" width="13.85546875" style="77" bestFit="1" customWidth="1"/>
    <col min="41" max="42" width="14.85546875" style="77" bestFit="1" customWidth="1"/>
    <col min="43" max="43" width="16" style="77" bestFit="1" customWidth="1"/>
    <col min="44" max="44" width="16.140625" style="77" bestFit="1" customWidth="1"/>
    <col min="45" max="45" width="14.85546875" style="77" bestFit="1" customWidth="1"/>
    <col min="46" max="46" width="14.140625" style="77" bestFit="1" customWidth="1"/>
    <col min="47" max="47" width="15.28515625" style="77" bestFit="1" customWidth="1"/>
    <col min="48" max="48" width="15.5703125" style="77" bestFit="1" customWidth="1"/>
    <col min="49" max="49" width="15.85546875" style="77" bestFit="1" customWidth="1"/>
    <col min="50" max="50" width="15.28515625" style="77" bestFit="1" customWidth="1"/>
    <col min="51" max="51" width="15.85546875" style="77" bestFit="1" customWidth="1"/>
    <col min="52" max="53" width="14.28515625" style="77" bestFit="1" customWidth="1"/>
    <col min="54" max="54" width="15.5703125" style="77" bestFit="1" customWidth="1"/>
    <col min="55" max="55" width="22.5703125" style="77" bestFit="1" customWidth="1"/>
    <col min="56" max="56" width="15.85546875" style="77" bestFit="1" customWidth="1"/>
    <col min="57" max="57" width="16" style="77" bestFit="1" customWidth="1"/>
    <col min="58" max="58" width="14.7109375" style="77" bestFit="1" customWidth="1"/>
    <col min="59" max="59" width="15.42578125" style="77" bestFit="1" customWidth="1"/>
    <col min="60" max="60" width="14.7109375" style="77" bestFit="1" customWidth="1"/>
    <col min="61" max="61" width="15.140625" style="77" bestFit="1" customWidth="1"/>
    <col min="62" max="62" width="14.28515625" style="77" bestFit="1" customWidth="1"/>
    <col min="63" max="63" width="15.7109375" style="77" bestFit="1" customWidth="1"/>
    <col min="64" max="64" width="14.7109375" style="77" bestFit="1" customWidth="1"/>
    <col min="65" max="65" width="16.7109375" style="77" bestFit="1" customWidth="1"/>
    <col min="66" max="66" width="13.7109375" style="77" bestFit="1" customWidth="1"/>
    <col min="67" max="67" width="14.5703125" style="77" bestFit="1" customWidth="1"/>
    <col min="68" max="68" width="14.85546875" style="77" bestFit="1" customWidth="1"/>
    <col min="69" max="69" width="16" style="77" bestFit="1" customWidth="1"/>
    <col min="70" max="70" width="16.28515625" style="77" bestFit="1" customWidth="1"/>
    <col min="71" max="71" width="14.85546875" style="77" bestFit="1" customWidth="1"/>
    <col min="72" max="72" width="14.140625" style="77" bestFit="1" customWidth="1"/>
    <col min="73" max="73" width="15.28515625" style="77" bestFit="1" customWidth="1"/>
    <col min="74" max="74" width="15.85546875" style="77" bestFit="1" customWidth="1"/>
    <col min="75" max="75" width="16.140625" style="77" bestFit="1" customWidth="1"/>
    <col min="76" max="76" width="15.140625" style="77" bestFit="1" customWidth="1"/>
    <col min="77" max="77" width="16" style="77" bestFit="1" customWidth="1"/>
    <col min="78" max="78" width="14.42578125" style="77" bestFit="1" customWidth="1"/>
    <col min="79" max="79" width="13.85546875" style="77" bestFit="1" customWidth="1"/>
    <col min="80" max="80" width="15.42578125" style="77" bestFit="1" customWidth="1"/>
    <col min="81" max="16384" width="9.140625" style="77"/>
  </cols>
  <sheetData>
    <row r="1" spans="1:80" x14ac:dyDescent="0.25">
      <c r="A1" s="87" t="s">
        <v>51</v>
      </c>
      <c r="B1" s="88" t="s">
        <v>348</v>
      </c>
      <c r="C1" s="90" t="s">
        <v>1441</v>
      </c>
      <c r="D1" s="90" t="s">
        <v>1442</v>
      </c>
      <c r="E1" s="90" t="s">
        <v>1443</v>
      </c>
      <c r="F1" s="90" t="s">
        <v>1444</v>
      </c>
      <c r="G1" s="90" t="s">
        <v>1445</v>
      </c>
      <c r="H1" s="90" t="s">
        <v>1446</v>
      </c>
      <c r="I1" s="90" t="s">
        <v>1447</v>
      </c>
      <c r="J1" s="90" t="s">
        <v>1448</v>
      </c>
      <c r="K1" s="90" t="s">
        <v>1449</v>
      </c>
      <c r="L1" s="90" t="s">
        <v>1450</v>
      </c>
      <c r="M1" s="90" t="s">
        <v>1451</v>
      </c>
      <c r="N1" s="90" t="s">
        <v>1452</v>
      </c>
      <c r="O1" s="90" t="s">
        <v>1453</v>
      </c>
      <c r="P1" s="90" t="s">
        <v>1454</v>
      </c>
      <c r="Q1" s="90" t="s">
        <v>1455</v>
      </c>
      <c r="R1" s="90" t="s">
        <v>1456</v>
      </c>
      <c r="S1" s="90" t="s">
        <v>1457</v>
      </c>
      <c r="T1" s="90" t="s">
        <v>1458</v>
      </c>
      <c r="U1" s="90" t="s">
        <v>1533</v>
      </c>
      <c r="V1" s="90" t="s">
        <v>1459</v>
      </c>
      <c r="W1" s="90" t="s">
        <v>1460</v>
      </c>
      <c r="X1" s="90" t="s">
        <v>1461</v>
      </c>
      <c r="Y1" s="90" t="s">
        <v>1462</v>
      </c>
      <c r="Z1" s="90" t="s">
        <v>1463</v>
      </c>
      <c r="AA1" s="90" t="s">
        <v>1464</v>
      </c>
      <c r="AB1" s="90" t="s">
        <v>1465</v>
      </c>
      <c r="AC1" s="90" t="s">
        <v>1416</v>
      </c>
      <c r="AD1" s="90" t="s">
        <v>1417</v>
      </c>
      <c r="AE1" s="90" t="s">
        <v>1418</v>
      </c>
      <c r="AF1" s="90" t="s">
        <v>1419</v>
      </c>
      <c r="AG1" s="90" t="s">
        <v>1420</v>
      </c>
      <c r="AH1" s="90" t="s">
        <v>1421</v>
      </c>
      <c r="AI1" s="90" t="s">
        <v>1422</v>
      </c>
      <c r="AJ1" s="90" t="s">
        <v>1423</v>
      </c>
      <c r="AK1" s="90" t="s">
        <v>1424</v>
      </c>
      <c r="AL1" s="90" t="s">
        <v>1425</v>
      </c>
      <c r="AM1" s="90" t="s">
        <v>1426</v>
      </c>
      <c r="AN1" s="90" t="s">
        <v>1427</v>
      </c>
      <c r="AO1" s="90" t="s">
        <v>1428</v>
      </c>
      <c r="AP1" s="90" t="s">
        <v>1429</v>
      </c>
      <c r="AQ1" s="90" t="s">
        <v>1430</v>
      </c>
      <c r="AR1" s="90" t="s">
        <v>1431</v>
      </c>
      <c r="AS1" s="90" t="s">
        <v>1432</v>
      </c>
      <c r="AT1" s="90" t="s">
        <v>1433</v>
      </c>
      <c r="AU1" s="90" t="s">
        <v>1534</v>
      </c>
      <c r="AV1" s="90" t="s">
        <v>1434</v>
      </c>
      <c r="AW1" s="90" t="s">
        <v>1435</v>
      </c>
      <c r="AX1" s="90" t="s">
        <v>1436</v>
      </c>
      <c r="AY1" s="90" t="s">
        <v>1437</v>
      </c>
      <c r="AZ1" s="90" t="s">
        <v>1438</v>
      </c>
      <c r="BA1" s="90" t="s">
        <v>1439</v>
      </c>
      <c r="BB1" s="90" t="s">
        <v>1440</v>
      </c>
      <c r="BC1" s="91" t="s">
        <v>1145</v>
      </c>
      <c r="BD1" s="91" t="s">
        <v>1392</v>
      </c>
      <c r="BE1" s="91" t="s">
        <v>1393</v>
      </c>
      <c r="BF1" s="91" t="s">
        <v>1394</v>
      </c>
      <c r="BG1" s="91" t="s">
        <v>1395</v>
      </c>
      <c r="BH1" s="91" t="s">
        <v>1396</v>
      </c>
      <c r="BI1" s="91" t="s">
        <v>1397</v>
      </c>
      <c r="BJ1" s="91" t="s">
        <v>1398</v>
      </c>
      <c r="BK1" s="91" t="s">
        <v>1399</v>
      </c>
      <c r="BL1" s="91" t="s">
        <v>1400</v>
      </c>
      <c r="BM1" s="91" t="s">
        <v>1401</v>
      </c>
      <c r="BN1" s="91" t="s">
        <v>1402</v>
      </c>
      <c r="BO1" s="91" t="s">
        <v>1403</v>
      </c>
      <c r="BP1" s="91" t="s">
        <v>1404</v>
      </c>
      <c r="BQ1" s="91" t="s">
        <v>1405</v>
      </c>
      <c r="BR1" s="91" t="s">
        <v>1406</v>
      </c>
      <c r="BS1" s="91" t="s">
        <v>1407</v>
      </c>
      <c r="BT1" s="91" t="s">
        <v>1408</v>
      </c>
      <c r="BU1" s="91" t="s">
        <v>1531</v>
      </c>
      <c r="BV1" s="91" t="s">
        <v>1409</v>
      </c>
      <c r="BW1" s="91" t="s">
        <v>1410</v>
      </c>
      <c r="BX1" s="91" t="s">
        <v>1411</v>
      </c>
      <c r="BY1" s="91" t="s">
        <v>1412</v>
      </c>
      <c r="BZ1" s="91" t="s">
        <v>1413</v>
      </c>
      <c r="CA1" s="91" t="s">
        <v>1414</v>
      </c>
      <c r="CB1" s="91" t="s">
        <v>1415</v>
      </c>
    </row>
    <row r="2" spans="1:80" x14ac:dyDescent="0.25">
      <c r="A2" s="92" t="s">
        <v>12</v>
      </c>
      <c r="B2" s="90" t="s">
        <v>1071</v>
      </c>
      <c r="C2" s="76">
        <f>IFERROR(1/SUM(1/D2,1/U2,1/AA2,1/AB2),".")</f>
        <v>0.3043104355960437</v>
      </c>
      <c r="D2" s="76">
        <f>IFERROR(s_TR/(s_RadSpec!$H2*s_IFAP_res_adj*s_CF_apple),".")</f>
        <v>1.2172417423841748</v>
      </c>
      <c r="E2" s="76">
        <f>IFERROR(s_TR/(s_RadSpec!$H2*s_IFAS_res_adj*s_CF_asparagus),".")</f>
        <v>1.2172417423841748</v>
      </c>
      <c r="F2" s="76">
        <f>IFERROR(s_TR/(s_RadSpec!$H2*s_IFBT_res_adj*s_CF_beet),".")</f>
        <v>1.2172417423841748</v>
      </c>
      <c r="G2" s="76">
        <f>IFERROR(s_TR/(s_RadSpec!$H2*s_IFBE_res_adj*s_CF_berries),".")</f>
        <v>1.2172417423841748</v>
      </c>
      <c r="H2" s="76">
        <f>IFERROR(s_TR/(s_RadSpec!$H2*s_IFBR_res_adj*s_CF_broccoli),".")</f>
        <v>1.2172417423841748</v>
      </c>
      <c r="I2" s="76">
        <f>IFERROR(s_TR/(s_RadSpec!$H2*s_IFCB_res_adj*s_CF_cabbage),".")</f>
        <v>1.2172417423841748</v>
      </c>
      <c r="J2" s="76">
        <f>IFERROR(s_TR/(s_RadSpec!$H2*s_IFCR_res_adj*s_CF_carrot),".")</f>
        <v>1.2172417423841748</v>
      </c>
      <c r="K2" s="76">
        <f>IFERROR(s_TR/(s_RadSpec!$H2*s_IFCI_res_adj*s_CF_citrus),".")</f>
        <v>1.2172417423841748</v>
      </c>
      <c r="L2" s="76">
        <f>IFERROR(s_TR/(s_RadSpec!$H2*s_IFCO_res_adj*s_CF_corn),".")</f>
        <v>1.2172417423841748</v>
      </c>
      <c r="M2" s="76">
        <f>IFERROR(s_TR/(s_RadSpec!$H2*s_IFCU_res_adj*s_CF_cucumber),".")</f>
        <v>1.2172417423841748</v>
      </c>
      <c r="N2" s="76">
        <f>IFERROR(s_TR/(s_RadSpec!$H2*s_IFLE_res_adj*s_CF_lettuce),".")</f>
        <v>1.2172417423841748</v>
      </c>
      <c r="O2" s="76">
        <f>IFERROR(s_TR/(s_RadSpec!$H2*s_IFLI_res_adj*s_CF_lima_bean),".")</f>
        <v>1.2172417423841748</v>
      </c>
      <c r="P2" s="76">
        <f>IFERROR(s_TR/(s_RadSpec!$H2*s_IFOK_res_adj*s_CF_okra),".")</f>
        <v>1.2172417423841748</v>
      </c>
      <c r="Q2" s="76">
        <f>IFERROR(s_TR/(s_RadSpec!$H2*s_IFON_res_adj*s_CF_onion),".")</f>
        <v>1.2172417423841748</v>
      </c>
      <c r="R2" s="76">
        <f>IFERROR(s_TR/(s_RadSpec!$H2*s_IFPC_res_adj*s_CF_peach),".")</f>
        <v>1.2172417423841748</v>
      </c>
      <c r="S2" s="76">
        <f>IFERROR(s_TR/(s_RadSpec!$H2*s_IFPR_res_adj*s_CF_pear),".")</f>
        <v>1.2172417423841748</v>
      </c>
      <c r="T2" s="76">
        <f>IFERROR(s_TR/(s_RadSpec!$H2*s_IFPE_res_adj*s_CF_peas),".")</f>
        <v>1.2172417423841748</v>
      </c>
      <c r="U2" s="76">
        <f>IFERROR(s_TR/(s_RadSpec!$H2*s_IFPP_res_adj*s_CF_peppers),".")</f>
        <v>1.2172417423841748</v>
      </c>
      <c r="V2" s="76">
        <f>IFERROR(s_TR/(s_RadSpec!$H2*s_IFPT_res_adj*s_CF_potato),".")</f>
        <v>1.2172417423841748</v>
      </c>
      <c r="W2" s="76">
        <f>IFERROR(s_TR/(s_RadSpec!$H2*s_IFPU_res_adj*s_CF_pumpkin),".")</f>
        <v>1.2172417423841748</v>
      </c>
      <c r="X2" s="76">
        <f>IFERROR(s_TR/(s_RadSpec!$H2*s_IFSN_res_adj*s_CF_snap_bean),".")</f>
        <v>1.2172417423841748</v>
      </c>
      <c r="Y2" s="76">
        <f>IFERROR(s_TR/(s_RadSpec!$H2*s_IFST_res_adj*s_CF_strawberry),".")</f>
        <v>1.2172417423841748</v>
      </c>
      <c r="Z2" s="76">
        <f>IFERROR(s_TR/(s_RadSpec!$H2*s_IFTO_res_adj*s_CF_tomato),".")</f>
        <v>1.2172417423841748</v>
      </c>
      <c r="AA2" s="76">
        <f>IFERROR(s_TR/(s_RadSpec!$H2*s_IFRI_res_adj*s_CF_rice),".")</f>
        <v>1.2172417423841748</v>
      </c>
      <c r="AB2" s="76">
        <f>IFERROR(s_TR/(s_RadSpec!$H2*s_IFCG_res_adj*s_CF_cereal),".")</f>
        <v>1.2172417423841748</v>
      </c>
      <c r="AC2" s="76">
        <f>IFERROR(1/SUM(1/AD2,1/AU2,1/BA2,1/BB2),".")</f>
        <v>0.3043104355960437</v>
      </c>
      <c r="AD2" s="76">
        <f>IFERROR(s_TR/(s_RadSpec!$H2*s_IFAP_far_adj*s_CF_apple),".")</f>
        <v>1.2172417423841748</v>
      </c>
      <c r="AE2" s="76">
        <f>IFERROR(s_TR/(s_RadSpec!$H2*s_IFAS_far_adj*s_CF_asparagus),".")</f>
        <v>1.2172417423841748</v>
      </c>
      <c r="AF2" s="76">
        <f>IFERROR(s_TR/(s_RadSpec!$H2*s_IFBT_far_adj*s_CF_beet),".")</f>
        <v>1.2172417423841748</v>
      </c>
      <c r="AG2" s="76">
        <f>IFERROR(s_TR/(s_RadSpec!$H2*s_IFBE_far_adj*s_CF_berries),".")</f>
        <v>1.2172417423841748</v>
      </c>
      <c r="AH2" s="76">
        <f>IFERROR(s_TR/(s_RadSpec!$H2*s_IFBR_far_adj*s_CF_broccoli),".")</f>
        <v>1.2172417423841748</v>
      </c>
      <c r="AI2" s="76">
        <f>IFERROR(s_TR/(s_RadSpec!$H2*s_IFCB_far_adj*s_CF_cabbage),".")</f>
        <v>1.2172417423841748</v>
      </c>
      <c r="AJ2" s="76">
        <f>IFERROR(s_TR/(s_RadSpec!$H2*s_IFCR_far_adj*s_CF_carrot),".")</f>
        <v>1.2172417423841748</v>
      </c>
      <c r="AK2" s="76">
        <f>IFERROR(s_TR/(s_RadSpec!$H2*s_IFCI_far_adj*s_CF_citrus),".")</f>
        <v>1.2172417423841748</v>
      </c>
      <c r="AL2" s="76">
        <f>IFERROR(s_TR/(s_RadSpec!$H2*s_IFCO_far_adj*s_CF_corn),".")</f>
        <v>1.2172417423841748</v>
      </c>
      <c r="AM2" s="76">
        <f>IFERROR(s_TR/(s_RadSpec!$H2*s_IFCU_far_adj*s_CF_cucumber),".")</f>
        <v>1.2172417423841748</v>
      </c>
      <c r="AN2" s="76">
        <f>IFERROR(s_TR/(s_RadSpec!$H2*s_IFLE_far_adj*s_CF_lettuce),".")</f>
        <v>1.2172417423841748</v>
      </c>
      <c r="AO2" s="76">
        <f>IFERROR(s_TR/(s_RadSpec!$H2*s_IFLI_far_adj*s_CF_lima_bean),".")</f>
        <v>1.2172417423841748</v>
      </c>
      <c r="AP2" s="76">
        <f>IFERROR(s_TR/(s_RadSpec!$H2*s_IFOK_far_adj*s_CF_okra),".")</f>
        <v>1.2172417423841748</v>
      </c>
      <c r="AQ2" s="76">
        <f>IFERROR(s_TR/(s_RadSpec!$H2*s_IFON_far_adj*s_CF_onion),".")</f>
        <v>1.2172417423841748</v>
      </c>
      <c r="AR2" s="76">
        <f>IFERROR(s_TR/(s_RadSpec!$H2*s_IFPC_far_adj*s_CF_peach),".")</f>
        <v>1.2172417423841748</v>
      </c>
      <c r="AS2" s="76">
        <f>IFERROR(s_TR/(s_RadSpec!$H2*s_IFPR_far_adj*s_CF_pear),".")</f>
        <v>1.2172417423841748</v>
      </c>
      <c r="AT2" s="76">
        <f>IFERROR(s_TR/(s_RadSpec!$H2*s_IFPE_far_adj*s_CF_peas),".")</f>
        <v>1.2172417423841748</v>
      </c>
      <c r="AU2" s="76">
        <f>IFERROR(s_TR/(s_RadSpec!$H2*s_IFPP_far_adj*s_CF_peppers),".")</f>
        <v>1.2172417423841748</v>
      </c>
      <c r="AV2" s="76">
        <f>IFERROR(s_TR/(s_RadSpec!$H2*s_IFPT_far_adj*s_CF_potato),".")</f>
        <v>1.2172417423841748</v>
      </c>
      <c r="AW2" s="76">
        <f>IFERROR(s_TR/(s_RadSpec!$H2*s_IFPU_far_adj*s_CF_pumpkin),".")</f>
        <v>1.2172417423841748</v>
      </c>
      <c r="AX2" s="76">
        <f>IFERROR(s_TR/(s_RadSpec!$H2*s_IFSN_far_adj*s_CF_snap_bean),".")</f>
        <v>1.2172417423841748</v>
      </c>
      <c r="AY2" s="76">
        <f>IFERROR(s_TR/(s_RadSpec!$H2*s_IFST_far_adj*s_CF_strawberry),".")</f>
        <v>1.2172417423841748</v>
      </c>
      <c r="AZ2" s="76">
        <f>IFERROR(s_TR/(s_RadSpec!$H2*s_IFTO_far_adj*s_CF_tomato),".")</f>
        <v>1.2172417423841748</v>
      </c>
      <c r="BA2" s="76">
        <f>IFERROR(s_TR/(s_RadSpec!$H2*s_IFRI_far_adj*s_CF_rice),".")</f>
        <v>1.2172417423841748</v>
      </c>
      <c r="BB2" s="76">
        <f>IFERROR(s_TR/(s_RadSpec!$H2*s_IFCG_far_adj*s_CF_cereal),".")</f>
        <v>1.2172417423841748</v>
      </c>
      <c r="BC2" s="93">
        <f>SUM(BD2,BU2,CA2:CB2)</f>
        <v>605000</v>
      </c>
      <c r="BD2" s="93">
        <f t="shared" ref="BD2:BD30" si="0">IFERROR(s_C*s_IFAP_far_adj*s_CF_apple,".")</f>
        <v>151250</v>
      </c>
      <c r="BE2" s="93">
        <f t="shared" ref="BE2:BE30" si="1">IFERROR(s_C*s_IFAS_far_adj*s_CF_asparagus,".")</f>
        <v>151250</v>
      </c>
      <c r="BF2" s="93">
        <f t="shared" ref="BF2:BF30" si="2">IFERROR(s_C*s_IFBT_far_adj*s_CF_beet,".")</f>
        <v>151250</v>
      </c>
      <c r="BG2" s="93">
        <f t="shared" ref="BG2:BG30" si="3">IFERROR(s_C*s_IFBR_far_adj*s_CF_berries,".")</f>
        <v>151250</v>
      </c>
      <c r="BH2" s="93">
        <f t="shared" ref="BH2:BH30" si="4">IFERROR(s_C*s_IFBR_far_adj*s_CF_broccoli,".")</f>
        <v>151250</v>
      </c>
      <c r="BI2" s="93">
        <f t="shared" ref="BI2:BI30" si="5">IFERROR(s_C*s_IFCB_far_adj*s_CF_cabbage,".")</f>
        <v>151250</v>
      </c>
      <c r="BJ2" s="93">
        <f t="shared" ref="BJ2:BJ30" si="6">IFERROR(s_C*s_IFCR_far_adj*s_CF_carrot,".")</f>
        <v>151250</v>
      </c>
      <c r="BK2" s="93">
        <f t="shared" ref="BK2:BK30" si="7">IFERROR(s_C*s_IFCI_far_adj*s_CF_citrus,".")</f>
        <v>151250</v>
      </c>
      <c r="BL2" s="93">
        <f t="shared" ref="BL2:BL30" si="8">IFERROR(s_C*s_IFCO_far_adj*s_CF_corn,".")</f>
        <v>151250</v>
      </c>
      <c r="BM2" s="93">
        <f t="shared" ref="BM2:BM30" si="9">IFERROR(s_C*s_IFCU_far_adj*s_CF_cucumber,".")</f>
        <v>151250</v>
      </c>
      <c r="BN2" s="93">
        <f t="shared" ref="BN2:BN30" si="10">IFERROR(s_C*s_IFLE_far_adj*s_CF_lettuce,".")</f>
        <v>151250</v>
      </c>
      <c r="BO2" s="93">
        <f t="shared" ref="BO2:BO30" si="11">IFERROR(s_C*s_IFLI_far_adj*s_CF_lima_bean,".")</f>
        <v>151250</v>
      </c>
      <c r="BP2" s="93">
        <f t="shared" ref="BP2:BP30" si="12">IFERROR(s_C*s_IFOK_far_adj*s_CF_okra,".")</f>
        <v>151250</v>
      </c>
      <c r="BQ2" s="93">
        <f t="shared" ref="BQ2:BQ30" si="13">IFERROR(s_C*s_IFON_far_adj*s_CF_onion,".")</f>
        <v>151250</v>
      </c>
      <c r="BR2" s="93">
        <f t="shared" ref="BR2:BR30" si="14">IFERROR(s_C*s_IFPC_far_adj*s_CF_peach,".")</f>
        <v>151250</v>
      </c>
      <c r="BS2" s="93">
        <f t="shared" ref="BS2:BS30" si="15">IFERROR(s_C*s_IFPR_far_adj*s_CF_pear,".")</f>
        <v>151250</v>
      </c>
      <c r="BT2" s="93">
        <f>IFERROR(s_C*s_IFPE_far_adj*s_CF_peas,".")</f>
        <v>151250</v>
      </c>
      <c r="BU2" s="93">
        <f t="shared" ref="BU2:BU30" si="16">IFERROR(s_C*s_IFPP_far_adj*s_CF_peppers,".")</f>
        <v>151250</v>
      </c>
      <c r="BV2" s="93">
        <f t="shared" ref="BV2:BV30" si="17">IFERROR(s_C*s_IFPT_far_adj*s_CF_potato,".")</f>
        <v>151250</v>
      </c>
      <c r="BW2" s="93">
        <f t="shared" ref="BW2:BW30" si="18">IFERROR(s_C*s_IFPU_far_adj*s_CF_pumpkin,".")</f>
        <v>151250</v>
      </c>
      <c r="BX2" s="93">
        <f t="shared" ref="BX2:BX30" si="19">IFERROR(s_C*s_IFSN_far_adj*s_CF_snap_bean,".")</f>
        <v>151250</v>
      </c>
      <c r="BY2" s="93">
        <f t="shared" ref="BY2:BY30" si="20">IFERROR(s_C*s_IFST_far_adj*s_CF_strawberry,".")</f>
        <v>151250</v>
      </c>
      <c r="BZ2" s="93">
        <f t="shared" ref="BZ2:BZ30" si="21">IFERROR(s_C*s_IFTO_far_adj*s_CF_tomato,".")</f>
        <v>151250</v>
      </c>
      <c r="CA2" s="93">
        <f t="shared" ref="CA2:CA30" si="22">IFERROR(s_C*s_IFRI_far_adj*s_CF_rice,".")</f>
        <v>151250</v>
      </c>
      <c r="CB2" s="93">
        <f t="shared" ref="CB2:CB30" si="23">IFERROR(s_C*s_IFCG_far_adj*s_CF_cereal,".")</f>
        <v>151250</v>
      </c>
    </row>
    <row r="3" spans="1:80" x14ac:dyDescent="0.25">
      <c r="A3" s="94" t="s">
        <v>13</v>
      </c>
      <c r="B3" s="90" t="s">
        <v>349</v>
      </c>
      <c r="C3" s="76">
        <f t="shared" ref="C3:C30" si="24">IFERROR(1/SUM(1/D3,1/U3,1/AA3,1/AB3),".")</f>
        <v>0.61873645353877038</v>
      </c>
      <c r="D3" s="76">
        <f>IFERROR(s_TR/(s_RadSpec!$H3*s_IFAP_res_adj*s_CF_apple),".")</f>
        <v>2.4749458141550815</v>
      </c>
      <c r="E3" s="76">
        <f>IFERROR(s_TR/(s_RadSpec!$H3*s_IFAS_res_adj*s_CF_asparagus),".")</f>
        <v>2.4749458141550815</v>
      </c>
      <c r="F3" s="76">
        <f>IFERROR(s_TR/(s_RadSpec!$H3*s_IFBT_res_adj*s_CF_beet),".")</f>
        <v>2.4749458141550815</v>
      </c>
      <c r="G3" s="76">
        <f>IFERROR(s_TR/(s_RadSpec!$H3*s_IFBE_res_adj*s_CF_berries),".")</f>
        <v>2.4749458141550815</v>
      </c>
      <c r="H3" s="76">
        <f>IFERROR(s_TR/(s_RadSpec!$H3*s_IFBR_res_adj*s_CF_broccoli),".")</f>
        <v>2.4749458141550815</v>
      </c>
      <c r="I3" s="76">
        <f>IFERROR(s_TR/(s_RadSpec!$H3*s_IFCB_res_adj*s_CF_cabbage),".")</f>
        <v>2.4749458141550815</v>
      </c>
      <c r="J3" s="76">
        <f>IFERROR(s_TR/(s_RadSpec!$H3*s_IFCR_res_adj*s_CF_carrot),".")</f>
        <v>2.4749458141550815</v>
      </c>
      <c r="K3" s="76">
        <f>IFERROR(s_TR/(s_RadSpec!$H3*s_IFCI_res_adj*s_CF_citrus),".")</f>
        <v>2.4749458141550815</v>
      </c>
      <c r="L3" s="76">
        <f>IFERROR(s_TR/(s_RadSpec!$H3*s_IFCO_res_adj*s_CF_corn),".")</f>
        <v>2.4749458141550815</v>
      </c>
      <c r="M3" s="76">
        <f>IFERROR(s_TR/(s_RadSpec!$H3*s_IFCU_res_adj*s_CF_cucumber),".")</f>
        <v>2.4749458141550815</v>
      </c>
      <c r="N3" s="76">
        <f>IFERROR(s_TR/(s_RadSpec!$H3*s_IFLE_res_adj*s_CF_lettuce),".")</f>
        <v>2.4749458141550815</v>
      </c>
      <c r="O3" s="76">
        <f>IFERROR(s_TR/(s_RadSpec!$H3*s_IFLI_res_adj*s_CF_lima_bean),".")</f>
        <v>2.4749458141550815</v>
      </c>
      <c r="P3" s="76">
        <f>IFERROR(s_TR/(s_RadSpec!$H3*s_IFOK_res_adj*s_CF_okra),".")</f>
        <v>2.4749458141550815</v>
      </c>
      <c r="Q3" s="76">
        <f>IFERROR(s_TR/(s_RadSpec!$H3*s_IFON_res_adj*s_CF_onion),".")</f>
        <v>2.4749458141550815</v>
      </c>
      <c r="R3" s="76">
        <f>IFERROR(s_TR/(s_RadSpec!$H3*s_IFPC_res_adj*s_CF_peach),".")</f>
        <v>2.4749458141550815</v>
      </c>
      <c r="S3" s="76">
        <f>IFERROR(s_TR/(s_RadSpec!$H3*s_IFPR_res_adj*s_CF_pear),".")</f>
        <v>2.4749458141550815</v>
      </c>
      <c r="T3" s="76">
        <f>IFERROR(s_TR/(s_RadSpec!$H3*s_IFPE_res_adj*s_CF_peas),".")</f>
        <v>2.4749458141550815</v>
      </c>
      <c r="U3" s="76">
        <f>IFERROR(s_TR/(s_RadSpec!$H3*s_IFPP_res_adj*s_CF_peppers),".")</f>
        <v>2.4749458141550815</v>
      </c>
      <c r="V3" s="76">
        <f>IFERROR(s_TR/(s_RadSpec!$H3*s_IFPT_res_adj*s_CF_potato),".")</f>
        <v>2.4749458141550815</v>
      </c>
      <c r="W3" s="76">
        <f>IFERROR(s_TR/(s_RadSpec!$H3*s_IFPU_res_adj*s_CF_pumpkin),".")</f>
        <v>2.4749458141550815</v>
      </c>
      <c r="X3" s="76">
        <f>IFERROR(s_TR/(s_RadSpec!$H3*s_IFSN_res_adj*s_CF_snap_bean),".")</f>
        <v>2.4749458141550815</v>
      </c>
      <c r="Y3" s="76">
        <f>IFERROR(s_TR/(s_RadSpec!$H3*s_IFST_res_adj*s_CF_strawberry),".")</f>
        <v>2.4749458141550815</v>
      </c>
      <c r="Z3" s="76">
        <f>IFERROR(s_TR/(s_RadSpec!$H3*s_IFTO_res_adj*s_CF_tomato),".")</f>
        <v>2.4749458141550815</v>
      </c>
      <c r="AA3" s="76">
        <f>IFERROR(s_TR/(s_RadSpec!$H3*s_IFRI_res_adj*s_CF_rice),".")</f>
        <v>2.4749458141550815</v>
      </c>
      <c r="AB3" s="76">
        <f>IFERROR(s_TR/(s_RadSpec!$H3*s_IFCG_res_adj*s_CF_cereal),".")</f>
        <v>2.4749458141550815</v>
      </c>
      <c r="AC3" s="76">
        <f t="shared" ref="AC3:AC30" si="25">IFERROR(1/SUM(1/AD3,1/AU3,1/BA3,1/BB3),".")</f>
        <v>0.61873645353877038</v>
      </c>
      <c r="AD3" s="76">
        <f>IFERROR(s_TR/(s_RadSpec!$H3*s_IFAP_far_adj*s_CF_apple),".")</f>
        <v>2.4749458141550815</v>
      </c>
      <c r="AE3" s="76">
        <f>IFERROR(s_TR/(s_RadSpec!$H3*s_IFAS_far_adj*s_CF_asparagus),".")</f>
        <v>2.4749458141550815</v>
      </c>
      <c r="AF3" s="76">
        <f>IFERROR(s_TR/(s_RadSpec!$H3*s_IFBT_far_adj*s_CF_beet),".")</f>
        <v>2.4749458141550815</v>
      </c>
      <c r="AG3" s="76">
        <f>IFERROR(s_TR/(s_RadSpec!$H3*s_IFBE_far_adj*s_CF_berries),".")</f>
        <v>2.4749458141550815</v>
      </c>
      <c r="AH3" s="76">
        <f>IFERROR(s_TR/(s_RadSpec!$H3*s_IFBR_far_adj*s_CF_broccoli),".")</f>
        <v>2.4749458141550815</v>
      </c>
      <c r="AI3" s="76">
        <f>IFERROR(s_TR/(s_RadSpec!$H3*s_IFCB_far_adj*s_CF_cabbage),".")</f>
        <v>2.4749458141550815</v>
      </c>
      <c r="AJ3" s="76">
        <f>IFERROR(s_TR/(s_RadSpec!$H3*s_IFCR_far_adj*s_CF_carrot),".")</f>
        <v>2.4749458141550815</v>
      </c>
      <c r="AK3" s="76">
        <f>IFERROR(s_TR/(s_RadSpec!$H3*s_IFCI_far_adj*s_CF_citrus),".")</f>
        <v>2.4749458141550815</v>
      </c>
      <c r="AL3" s="76">
        <f>IFERROR(s_TR/(s_RadSpec!$H3*s_IFCO_far_adj*s_CF_corn),".")</f>
        <v>2.4749458141550815</v>
      </c>
      <c r="AM3" s="76">
        <f>IFERROR(s_TR/(s_RadSpec!$H3*s_IFCU_far_adj*s_CF_cucumber),".")</f>
        <v>2.4749458141550815</v>
      </c>
      <c r="AN3" s="76">
        <f>IFERROR(s_TR/(s_RadSpec!$H3*s_IFLE_far_adj*s_CF_lettuce),".")</f>
        <v>2.4749458141550815</v>
      </c>
      <c r="AO3" s="76">
        <f>IFERROR(s_TR/(s_RadSpec!$H3*s_IFLI_far_adj*s_CF_lima_bean),".")</f>
        <v>2.4749458141550815</v>
      </c>
      <c r="AP3" s="76">
        <f>IFERROR(s_TR/(s_RadSpec!$H3*s_IFOK_far_adj*s_CF_okra),".")</f>
        <v>2.4749458141550815</v>
      </c>
      <c r="AQ3" s="76">
        <f>IFERROR(s_TR/(s_RadSpec!$H3*s_IFON_far_adj*s_CF_onion),".")</f>
        <v>2.4749458141550815</v>
      </c>
      <c r="AR3" s="76">
        <f>IFERROR(s_TR/(s_RadSpec!$H3*s_IFPC_far_adj*s_CF_peach),".")</f>
        <v>2.4749458141550815</v>
      </c>
      <c r="AS3" s="76">
        <f>IFERROR(s_TR/(s_RadSpec!$H3*s_IFPR_far_adj*s_CF_pear),".")</f>
        <v>2.4749458141550815</v>
      </c>
      <c r="AT3" s="76">
        <f>IFERROR(s_TR/(s_RadSpec!$H3*s_IFPE_far_adj*s_CF_peas),".")</f>
        <v>2.4749458141550815</v>
      </c>
      <c r="AU3" s="76">
        <f>IFERROR(s_TR/(s_RadSpec!$H3*s_IFPP_far_adj*s_CF_peppers),".")</f>
        <v>2.4749458141550815</v>
      </c>
      <c r="AV3" s="76">
        <f>IFERROR(s_TR/(s_RadSpec!$H3*s_IFPT_far_adj*s_CF_potato),".")</f>
        <v>2.4749458141550815</v>
      </c>
      <c r="AW3" s="76">
        <f>IFERROR(s_TR/(s_RadSpec!$H3*s_IFPU_far_adj*s_CF_pumpkin),".")</f>
        <v>2.4749458141550815</v>
      </c>
      <c r="AX3" s="76">
        <f>IFERROR(s_TR/(s_RadSpec!$H3*s_IFSN_far_adj*s_CF_snap_bean),".")</f>
        <v>2.4749458141550815</v>
      </c>
      <c r="AY3" s="76">
        <f>IFERROR(s_TR/(s_RadSpec!$H3*s_IFST_far_adj*s_CF_strawberry),".")</f>
        <v>2.4749458141550815</v>
      </c>
      <c r="AZ3" s="76">
        <f>IFERROR(s_TR/(s_RadSpec!$H3*s_IFTO_far_adj*s_CF_tomato),".")</f>
        <v>2.4749458141550815</v>
      </c>
      <c r="BA3" s="76">
        <f>IFERROR(s_TR/(s_RadSpec!$H3*s_IFRI_far_adj*s_CF_rice),".")</f>
        <v>2.4749458141550815</v>
      </c>
      <c r="BB3" s="76">
        <f>IFERROR(s_TR/(s_RadSpec!$H3*s_IFCG_far_adj*s_CF_cereal),".")</f>
        <v>2.4749458141550815</v>
      </c>
      <c r="BC3" s="93">
        <f t="shared" ref="BC3:BC66" si="26">SUM(BD3,BU3,CA3:CB3)</f>
        <v>605000</v>
      </c>
      <c r="BD3" s="93">
        <f t="shared" si="0"/>
        <v>151250</v>
      </c>
      <c r="BE3" s="93">
        <f t="shared" si="1"/>
        <v>151250</v>
      </c>
      <c r="BF3" s="93">
        <f t="shared" si="2"/>
        <v>151250</v>
      </c>
      <c r="BG3" s="93">
        <f t="shared" si="3"/>
        <v>151250</v>
      </c>
      <c r="BH3" s="93">
        <f t="shared" si="4"/>
        <v>151250</v>
      </c>
      <c r="BI3" s="93">
        <f t="shared" si="5"/>
        <v>151250</v>
      </c>
      <c r="BJ3" s="93">
        <f t="shared" si="6"/>
        <v>151250</v>
      </c>
      <c r="BK3" s="93">
        <f t="shared" si="7"/>
        <v>151250</v>
      </c>
      <c r="BL3" s="93">
        <f t="shared" si="8"/>
        <v>151250</v>
      </c>
      <c r="BM3" s="93">
        <f t="shared" si="9"/>
        <v>151250</v>
      </c>
      <c r="BN3" s="93">
        <f t="shared" si="10"/>
        <v>151250</v>
      </c>
      <c r="BO3" s="93">
        <f t="shared" si="11"/>
        <v>151250</v>
      </c>
      <c r="BP3" s="93">
        <f t="shared" si="12"/>
        <v>151250</v>
      </c>
      <c r="BQ3" s="93">
        <f t="shared" si="13"/>
        <v>151250</v>
      </c>
      <c r="BR3" s="93">
        <f t="shared" si="14"/>
        <v>151250</v>
      </c>
      <c r="BS3" s="93">
        <f t="shared" si="15"/>
        <v>151250</v>
      </c>
      <c r="BT3" s="93">
        <f t="shared" ref="BT3:BT30" si="27">IFERROR(s_C*s_IFPE_far_adj*s_CF_peas,".")</f>
        <v>151250</v>
      </c>
      <c r="BU3" s="93">
        <f t="shared" si="16"/>
        <v>151250</v>
      </c>
      <c r="BV3" s="93">
        <f t="shared" si="17"/>
        <v>151250</v>
      </c>
      <c r="BW3" s="93">
        <f t="shared" si="18"/>
        <v>151250</v>
      </c>
      <c r="BX3" s="93">
        <f t="shared" si="19"/>
        <v>151250</v>
      </c>
      <c r="BY3" s="93">
        <f t="shared" si="20"/>
        <v>151250</v>
      </c>
      <c r="BZ3" s="93">
        <f t="shared" si="21"/>
        <v>151250</v>
      </c>
      <c r="CA3" s="93">
        <f t="shared" si="22"/>
        <v>151250</v>
      </c>
      <c r="CB3" s="93">
        <f t="shared" si="23"/>
        <v>151250</v>
      </c>
    </row>
    <row r="4" spans="1:80" x14ac:dyDescent="0.25">
      <c r="A4" s="92" t="s">
        <v>14</v>
      </c>
      <c r="B4" s="90" t="s">
        <v>1071</v>
      </c>
      <c r="C4" s="76" t="str">
        <f t="shared" si="24"/>
        <v>.</v>
      </c>
      <c r="D4" s="76" t="str">
        <f>IFERROR(s_TR/(s_RadSpec!$H4*s_IFAP_res_adj*s_CF_apple),".")</f>
        <v>.</v>
      </c>
      <c r="E4" s="76" t="str">
        <f>IFERROR(s_TR/(s_RadSpec!$H4*s_IFAS_res_adj*s_CF_asparagus),".")</f>
        <v>.</v>
      </c>
      <c r="F4" s="76" t="str">
        <f>IFERROR(s_TR/(s_RadSpec!$H4*s_IFBT_res_adj*s_CF_beet),".")</f>
        <v>.</v>
      </c>
      <c r="G4" s="76" t="str">
        <f>IFERROR(s_TR/(s_RadSpec!$H4*s_IFBE_res_adj*s_CF_berries),".")</f>
        <v>.</v>
      </c>
      <c r="H4" s="76" t="str">
        <f>IFERROR(s_TR/(s_RadSpec!$H4*s_IFBR_res_adj*s_CF_broccoli),".")</f>
        <v>.</v>
      </c>
      <c r="I4" s="76" t="str">
        <f>IFERROR(s_TR/(s_RadSpec!$H4*s_IFCB_res_adj*s_CF_cabbage),".")</f>
        <v>.</v>
      </c>
      <c r="J4" s="76" t="str">
        <f>IFERROR(s_TR/(s_RadSpec!$H4*s_IFCR_res_adj*s_CF_carrot),".")</f>
        <v>.</v>
      </c>
      <c r="K4" s="76" t="str">
        <f>IFERROR(s_TR/(s_RadSpec!$H4*s_IFCI_res_adj*s_CF_citrus),".")</f>
        <v>.</v>
      </c>
      <c r="L4" s="76" t="str">
        <f>IFERROR(s_TR/(s_RadSpec!$H4*s_IFCO_res_adj*s_CF_corn),".")</f>
        <v>.</v>
      </c>
      <c r="M4" s="76" t="str">
        <f>IFERROR(s_TR/(s_RadSpec!$H4*s_IFCU_res_adj*s_CF_cucumber),".")</f>
        <v>.</v>
      </c>
      <c r="N4" s="76" t="str">
        <f>IFERROR(s_TR/(s_RadSpec!$H4*s_IFLE_res_adj*s_CF_lettuce),".")</f>
        <v>.</v>
      </c>
      <c r="O4" s="76" t="str">
        <f>IFERROR(s_TR/(s_RadSpec!$H4*s_IFLI_res_adj*s_CF_lima_bean),".")</f>
        <v>.</v>
      </c>
      <c r="P4" s="76" t="str">
        <f>IFERROR(s_TR/(s_RadSpec!$H4*s_IFOK_res_adj*s_CF_okra),".")</f>
        <v>.</v>
      </c>
      <c r="Q4" s="76" t="str">
        <f>IFERROR(s_TR/(s_RadSpec!$H4*s_IFON_res_adj*s_CF_onion),".")</f>
        <v>.</v>
      </c>
      <c r="R4" s="76" t="str">
        <f>IFERROR(s_TR/(s_RadSpec!$H4*s_IFPC_res_adj*s_CF_peach),".")</f>
        <v>.</v>
      </c>
      <c r="S4" s="76" t="str">
        <f>IFERROR(s_TR/(s_RadSpec!$H4*s_IFPR_res_adj*s_CF_pear),".")</f>
        <v>.</v>
      </c>
      <c r="T4" s="76" t="str">
        <f>IFERROR(s_TR/(s_RadSpec!$H4*s_IFPE_res_adj*s_CF_peas),".")</f>
        <v>.</v>
      </c>
      <c r="U4" s="76" t="str">
        <f>IFERROR(s_TR/(s_RadSpec!$H4*s_IFPP_res_adj*s_CF_peppers),".")</f>
        <v>.</v>
      </c>
      <c r="V4" s="76" t="str">
        <f>IFERROR(s_TR/(s_RadSpec!$H4*s_IFPT_res_adj*s_CF_potato),".")</f>
        <v>.</v>
      </c>
      <c r="W4" s="76" t="str">
        <f>IFERROR(s_TR/(s_RadSpec!$H4*s_IFPU_res_adj*s_CF_pumpkin),".")</f>
        <v>.</v>
      </c>
      <c r="X4" s="76" t="str">
        <f>IFERROR(s_TR/(s_RadSpec!$H4*s_IFSN_res_adj*s_CF_snap_bean),".")</f>
        <v>.</v>
      </c>
      <c r="Y4" s="76" t="str">
        <f>IFERROR(s_TR/(s_RadSpec!$H4*s_IFST_res_adj*s_CF_strawberry),".")</f>
        <v>.</v>
      </c>
      <c r="Z4" s="76" t="str">
        <f>IFERROR(s_TR/(s_RadSpec!$H4*s_IFTO_res_adj*s_CF_tomato),".")</f>
        <v>.</v>
      </c>
      <c r="AA4" s="76" t="str">
        <f>IFERROR(s_TR/(s_RadSpec!$H4*s_IFRI_res_adj*s_CF_rice),".")</f>
        <v>.</v>
      </c>
      <c r="AB4" s="76" t="str">
        <f>IFERROR(s_TR/(s_RadSpec!$H4*s_IFCG_res_adj*s_CF_cereal),".")</f>
        <v>.</v>
      </c>
      <c r="AC4" s="76" t="str">
        <f t="shared" si="25"/>
        <v>.</v>
      </c>
      <c r="AD4" s="76" t="str">
        <f>IFERROR(s_TR/(s_RadSpec!$H4*s_IFAP_far_adj*s_CF_apple),".")</f>
        <v>.</v>
      </c>
      <c r="AE4" s="76" t="str">
        <f>IFERROR(s_TR/(s_RadSpec!$H4*s_IFAS_far_adj*s_CF_asparagus),".")</f>
        <v>.</v>
      </c>
      <c r="AF4" s="76" t="str">
        <f>IFERROR(s_TR/(s_RadSpec!$H4*s_IFBT_far_adj*s_CF_beet),".")</f>
        <v>.</v>
      </c>
      <c r="AG4" s="76" t="str">
        <f>IFERROR(s_TR/(s_RadSpec!$H4*s_IFBE_far_adj*s_CF_berries),".")</f>
        <v>.</v>
      </c>
      <c r="AH4" s="76" t="str">
        <f>IFERROR(s_TR/(s_RadSpec!$H4*s_IFBR_far_adj*s_CF_broccoli),".")</f>
        <v>.</v>
      </c>
      <c r="AI4" s="76" t="str">
        <f>IFERROR(s_TR/(s_RadSpec!$H4*s_IFCB_far_adj*s_CF_cabbage),".")</f>
        <v>.</v>
      </c>
      <c r="AJ4" s="76" t="str">
        <f>IFERROR(s_TR/(s_RadSpec!$H4*s_IFCR_far_adj*s_CF_carrot),".")</f>
        <v>.</v>
      </c>
      <c r="AK4" s="76" t="str">
        <f>IFERROR(s_TR/(s_RadSpec!$H4*s_IFCI_far_adj*s_CF_citrus),".")</f>
        <v>.</v>
      </c>
      <c r="AL4" s="76" t="str">
        <f>IFERROR(s_TR/(s_RadSpec!$H4*s_IFCO_far_adj*s_CF_corn),".")</f>
        <v>.</v>
      </c>
      <c r="AM4" s="76" t="str">
        <f>IFERROR(s_TR/(s_RadSpec!$H4*s_IFCU_far_adj*s_CF_cucumber),".")</f>
        <v>.</v>
      </c>
      <c r="AN4" s="76" t="str">
        <f>IFERROR(s_TR/(s_RadSpec!$H4*s_IFLE_far_adj*s_CF_lettuce),".")</f>
        <v>.</v>
      </c>
      <c r="AO4" s="76" t="str">
        <f>IFERROR(s_TR/(s_RadSpec!$H4*s_IFLI_far_adj*s_CF_lima_bean),".")</f>
        <v>.</v>
      </c>
      <c r="AP4" s="76" t="str">
        <f>IFERROR(s_TR/(s_RadSpec!$H4*s_IFOK_far_adj*s_CF_okra),".")</f>
        <v>.</v>
      </c>
      <c r="AQ4" s="76" t="str">
        <f>IFERROR(s_TR/(s_RadSpec!$H4*s_IFON_far_adj*s_CF_onion),".")</f>
        <v>.</v>
      </c>
      <c r="AR4" s="76" t="str">
        <f>IFERROR(s_TR/(s_RadSpec!$H4*s_IFPC_far_adj*s_CF_peach),".")</f>
        <v>.</v>
      </c>
      <c r="AS4" s="76" t="str">
        <f>IFERROR(s_TR/(s_RadSpec!$H4*s_IFPR_far_adj*s_CF_pear),".")</f>
        <v>.</v>
      </c>
      <c r="AT4" s="76" t="str">
        <f>IFERROR(s_TR/(s_RadSpec!$H4*s_IFPE_far_adj*s_CF_peas),".")</f>
        <v>.</v>
      </c>
      <c r="AU4" s="76" t="str">
        <f>IFERROR(s_TR/(s_RadSpec!$H4*s_IFPP_far_adj*s_CF_peppers),".")</f>
        <v>.</v>
      </c>
      <c r="AV4" s="76" t="str">
        <f>IFERROR(s_TR/(s_RadSpec!$H4*s_IFPT_far_adj*s_CF_potato),".")</f>
        <v>.</v>
      </c>
      <c r="AW4" s="76" t="str">
        <f>IFERROR(s_TR/(s_RadSpec!$H4*s_IFPU_far_adj*s_CF_pumpkin),".")</f>
        <v>.</v>
      </c>
      <c r="AX4" s="76" t="str">
        <f>IFERROR(s_TR/(s_RadSpec!$H4*s_IFSN_far_adj*s_CF_snap_bean),".")</f>
        <v>.</v>
      </c>
      <c r="AY4" s="76" t="str">
        <f>IFERROR(s_TR/(s_RadSpec!$H4*s_IFST_far_adj*s_CF_strawberry),".")</f>
        <v>.</v>
      </c>
      <c r="AZ4" s="76" t="str">
        <f>IFERROR(s_TR/(s_RadSpec!$H4*s_IFTO_far_adj*s_CF_tomato),".")</f>
        <v>.</v>
      </c>
      <c r="BA4" s="76" t="str">
        <f>IFERROR(s_TR/(s_RadSpec!$H4*s_IFRI_far_adj*s_CF_rice),".")</f>
        <v>.</v>
      </c>
      <c r="BB4" s="76" t="str">
        <f>IFERROR(s_TR/(s_RadSpec!$H4*s_IFCG_far_adj*s_CF_cereal),".")</f>
        <v>.</v>
      </c>
      <c r="BC4" s="93">
        <f t="shared" si="26"/>
        <v>605000</v>
      </c>
      <c r="BD4" s="93">
        <f t="shared" si="0"/>
        <v>151250</v>
      </c>
      <c r="BE4" s="93">
        <f t="shared" si="1"/>
        <v>151250</v>
      </c>
      <c r="BF4" s="93">
        <f t="shared" si="2"/>
        <v>151250</v>
      </c>
      <c r="BG4" s="93">
        <f t="shared" si="3"/>
        <v>151250</v>
      </c>
      <c r="BH4" s="93">
        <f t="shared" si="4"/>
        <v>151250</v>
      </c>
      <c r="BI4" s="93">
        <f t="shared" si="5"/>
        <v>151250</v>
      </c>
      <c r="BJ4" s="93">
        <f t="shared" si="6"/>
        <v>151250</v>
      </c>
      <c r="BK4" s="93">
        <f t="shared" si="7"/>
        <v>151250</v>
      </c>
      <c r="BL4" s="93">
        <f t="shared" si="8"/>
        <v>151250</v>
      </c>
      <c r="BM4" s="93">
        <f t="shared" si="9"/>
        <v>151250</v>
      </c>
      <c r="BN4" s="93">
        <f t="shared" si="10"/>
        <v>151250</v>
      </c>
      <c r="BO4" s="93">
        <f t="shared" si="11"/>
        <v>151250</v>
      </c>
      <c r="BP4" s="93">
        <f t="shared" si="12"/>
        <v>151250</v>
      </c>
      <c r="BQ4" s="93">
        <f t="shared" si="13"/>
        <v>151250</v>
      </c>
      <c r="BR4" s="93">
        <f t="shared" si="14"/>
        <v>151250</v>
      </c>
      <c r="BS4" s="93">
        <f t="shared" si="15"/>
        <v>151250</v>
      </c>
      <c r="BT4" s="93">
        <f t="shared" si="27"/>
        <v>151250</v>
      </c>
      <c r="BU4" s="93">
        <f t="shared" si="16"/>
        <v>151250</v>
      </c>
      <c r="BV4" s="93">
        <f t="shared" si="17"/>
        <v>151250</v>
      </c>
      <c r="BW4" s="93">
        <f t="shared" si="18"/>
        <v>151250</v>
      </c>
      <c r="BX4" s="93">
        <f t="shared" si="19"/>
        <v>151250</v>
      </c>
      <c r="BY4" s="93">
        <f t="shared" si="20"/>
        <v>151250</v>
      </c>
      <c r="BZ4" s="93">
        <f t="shared" si="21"/>
        <v>151250</v>
      </c>
      <c r="CA4" s="93">
        <f t="shared" si="22"/>
        <v>151250</v>
      </c>
      <c r="CB4" s="93">
        <f t="shared" si="23"/>
        <v>151250</v>
      </c>
    </row>
    <row r="5" spans="1:80" x14ac:dyDescent="0.25">
      <c r="A5" s="92" t="s">
        <v>15</v>
      </c>
      <c r="B5" s="90" t="s">
        <v>1071</v>
      </c>
      <c r="C5" s="76" t="str">
        <f t="shared" si="24"/>
        <v>.</v>
      </c>
      <c r="D5" s="76" t="str">
        <f>IFERROR(s_TR/(s_RadSpec!$H5*s_IFAP_res_adj*s_CF_apple),".")</f>
        <v>.</v>
      </c>
      <c r="E5" s="76" t="str">
        <f>IFERROR(s_TR/(s_RadSpec!$H5*s_IFAS_res_adj*s_CF_asparagus),".")</f>
        <v>.</v>
      </c>
      <c r="F5" s="76" t="str">
        <f>IFERROR(s_TR/(s_RadSpec!$H5*s_IFBT_res_adj*s_CF_beet),".")</f>
        <v>.</v>
      </c>
      <c r="G5" s="76" t="str">
        <f>IFERROR(s_TR/(s_RadSpec!$H5*s_IFBE_res_adj*s_CF_berries),".")</f>
        <v>.</v>
      </c>
      <c r="H5" s="76" t="str">
        <f>IFERROR(s_TR/(s_RadSpec!$H5*s_IFBR_res_adj*s_CF_broccoli),".")</f>
        <v>.</v>
      </c>
      <c r="I5" s="76" t="str">
        <f>IFERROR(s_TR/(s_RadSpec!$H5*s_IFCB_res_adj*s_CF_cabbage),".")</f>
        <v>.</v>
      </c>
      <c r="J5" s="76" t="str">
        <f>IFERROR(s_TR/(s_RadSpec!$H5*s_IFCR_res_adj*s_CF_carrot),".")</f>
        <v>.</v>
      </c>
      <c r="K5" s="76" t="str">
        <f>IFERROR(s_TR/(s_RadSpec!$H5*s_IFCI_res_adj*s_CF_citrus),".")</f>
        <v>.</v>
      </c>
      <c r="L5" s="76" t="str">
        <f>IFERROR(s_TR/(s_RadSpec!$H5*s_IFCO_res_adj*s_CF_corn),".")</f>
        <v>.</v>
      </c>
      <c r="M5" s="76" t="str">
        <f>IFERROR(s_TR/(s_RadSpec!$H5*s_IFCU_res_adj*s_CF_cucumber),".")</f>
        <v>.</v>
      </c>
      <c r="N5" s="76" t="str">
        <f>IFERROR(s_TR/(s_RadSpec!$H5*s_IFLE_res_adj*s_CF_lettuce),".")</f>
        <v>.</v>
      </c>
      <c r="O5" s="76" t="str">
        <f>IFERROR(s_TR/(s_RadSpec!$H5*s_IFLI_res_adj*s_CF_lima_bean),".")</f>
        <v>.</v>
      </c>
      <c r="P5" s="76" t="str">
        <f>IFERROR(s_TR/(s_RadSpec!$H5*s_IFOK_res_adj*s_CF_okra),".")</f>
        <v>.</v>
      </c>
      <c r="Q5" s="76" t="str">
        <f>IFERROR(s_TR/(s_RadSpec!$H5*s_IFON_res_adj*s_CF_onion),".")</f>
        <v>.</v>
      </c>
      <c r="R5" s="76" t="str">
        <f>IFERROR(s_TR/(s_RadSpec!$H5*s_IFPC_res_adj*s_CF_peach),".")</f>
        <v>.</v>
      </c>
      <c r="S5" s="76" t="str">
        <f>IFERROR(s_TR/(s_RadSpec!$H5*s_IFPR_res_adj*s_CF_pear),".")</f>
        <v>.</v>
      </c>
      <c r="T5" s="76" t="str">
        <f>IFERROR(s_TR/(s_RadSpec!$H5*s_IFPE_res_adj*s_CF_peas),".")</f>
        <v>.</v>
      </c>
      <c r="U5" s="76" t="str">
        <f>IFERROR(s_TR/(s_RadSpec!$H5*s_IFPP_res_adj*s_CF_peppers),".")</f>
        <v>.</v>
      </c>
      <c r="V5" s="76" t="str">
        <f>IFERROR(s_TR/(s_RadSpec!$H5*s_IFPT_res_adj*s_CF_potato),".")</f>
        <v>.</v>
      </c>
      <c r="W5" s="76" t="str">
        <f>IFERROR(s_TR/(s_RadSpec!$H5*s_IFPU_res_adj*s_CF_pumpkin),".")</f>
        <v>.</v>
      </c>
      <c r="X5" s="76" t="str">
        <f>IFERROR(s_TR/(s_RadSpec!$H5*s_IFSN_res_adj*s_CF_snap_bean),".")</f>
        <v>.</v>
      </c>
      <c r="Y5" s="76" t="str">
        <f>IFERROR(s_TR/(s_RadSpec!$H5*s_IFST_res_adj*s_CF_strawberry),".")</f>
        <v>.</v>
      </c>
      <c r="Z5" s="76" t="str">
        <f>IFERROR(s_TR/(s_RadSpec!$H5*s_IFTO_res_adj*s_CF_tomato),".")</f>
        <v>.</v>
      </c>
      <c r="AA5" s="76" t="str">
        <f>IFERROR(s_TR/(s_RadSpec!$H5*s_IFRI_res_adj*s_CF_rice),".")</f>
        <v>.</v>
      </c>
      <c r="AB5" s="76" t="str">
        <f>IFERROR(s_TR/(s_RadSpec!$H5*s_IFCG_res_adj*s_CF_cereal),".")</f>
        <v>.</v>
      </c>
      <c r="AC5" s="76" t="str">
        <f t="shared" si="25"/>
        <v>.</v>
      </c>
      <c r="AD5" s="76" t="str">
        <f>IFERROR(s_TR/(s_RadSpec!$H5*s_IFAP_far_adj*s_CF_apple),".")</f>
        <v>.</v>
      </c>
      <c r="AE5" s="76" t="str">
        <f>IFERROR(s_TR/(s_RadSpec!$H5*s_IFAS_far_adj*s_CF_asparagus),".")</f>
        <v>.</v>
      </c>
      <c r="AF5" s="76" t="str">
        <f>IFERROR(s_TR/(s_RadSpec!$H5*s_IFBT_far_adj*s_CF_beet),".")</f>
        <v>.</v>
      </c>
      <c r="AG5" s="76" t="str">
        <f>IFERROR(s_TR/(s_RadSpec!$H5*s_IFBE_far_adj*s_CF_berries),".")</f>
        <v>.</v>
      </c>
      <c r="AH5" s="76" t="str">
        <f>IFERROR(s_TR/(s_RadSpec!$H5*s_IFBR_far_adj*s_CF_broccoli),".")</f>
        <v>.</v>
      </c>
      <c r="AI5" s="76" t="str">
        <f>IFERROR(s_TR/(s_RadSpec!$H5*s_IFCB_far_adj*s_CF_cabbage),".")</f>
        <v>.</v>
      </c>
      <c r="AJ5" s="76" t="str">
        <f>IFERROR(s_TR/(s_RadSpec!$H5*s_IFCR_far_adj*s_CF_carrot),".")</f>
        <v>.</v>
      </c>
      <c r="AK5" s="76" t="str">
        <f>IFERROR(s_TR/(s_RadSpec!$H5*s_IFCI_far_adj*s_CF_citrus),".")</f>
        <v>.</v>
      </c>
      <c r="AL5" s="76" t="str">
        <f>IFERROR(s_TR/(s_RadSpec!$H5*s_IFCO_far_adj*s_CF_corn),".")</f>
        <v>.</v>
      </c>
      <c r="AM5" s="76" t="str">
        <f>IFERROR(s_TR/(s_RadSpec!$H5*s_IFCU_far_adj*s_CF_cucumber),".")</f>
        <v>.</v>
      </c>
      <c r="AN5" s="76" t="str">
        <f>IFERROR(s_TR/(s_RadSpec!$H5*s_IFLE_far_adj*s_CF_lettuce),".")</f>
        <v>.</v>
      </c>
      <c r="AO5" s="76" t="str">
        <f>IFERROR(s_TR/(s_RadSpec!$H5*s_IFLI_far_adj*s_CF_lima_bean),".")</f>
        <v>.</v>
      </c>
      <c r="AP5" s="76" t="str">
        <f>IFERROR(s_TR/(s_RadSpec!$H5*s_IFOK_far_adj*s_CF_okra),".")</f>
        <v>.</v>
      </c>
      <c r="AQ5" s="76" t="str">
        <f>IFERROR(s_TR/(s_RadSpec!$H5*s_IFON_far_adj*s_CF_onion),".")</f>
        <v>.</v>
      </c>
      <c r="AR5" s="76" t="str">
        <f>IFERROR(s_TR/(s_RadSpec!$H5*s_IFPC_far_adj*s_CF_peach),".")</f>
        <v>.</v>
      </c>
      <c r="AS5" s="76" t="str">
        <f>IFERROR(s_TR/(s_RadSpec!$H5*s_IFPR_far_adj*s_CF_pear),".")</f>
        <v>.</v>
      </c>
      <c r="AT5" s="76" t="str">
        <f>IFERROR(s_TR/(s_RadSpec!$H5*s_IFPE_far_adj*s_CF_peas),".")</f>
        <v>.</v>
      </c>
      <c r="AU5" s="76" t="str">
        <f>IFERROR(s_TR/(s_RadSpec!$H5*s_IFPP_far_adj*s_CF_peppers),".")</f>
        <v>.</v>
      </c>
      <c r="AV5" s="76" t="str">
        <f>IFERROR(s_TR/(s_RadSpec!$H5*s_IFPT_far_adj*s_CF_potato),".")</f>
        <v>.</v>
      </c>
      <c r="AW5" s="76" t="str">
        <f>IFERROR(s_TR/(s_RadSpec!$H5*s_IFPU_far_adj*s_CF_pumpkin),".")</f>
        <v>.</v>
      </c>
      <c r="AX5" s="76" t="str">
        <f>IFERROR(s_TR/(s_RadSpec!$H5*s_IFSN_far_adj*s_CF_snap_bean),".")</f>
        <v>.</v>
      </c>
      <c r="AY5" s="76" t="str">
        <f>IFERROR(s_TR/(s_RadSpec!$H5*s_IFST_far_adj*s_CF_strawberry),".")</f>
        <v>.</v>
      </c>
      <c r="AZ5" s="76" t="str">
        <f>IFERROR(s_TR/(s_RadSpec!$H5*s_IFTO_far_adj*s_CF_tomato),".")</f>
        <v>.</v>
      </c>
      <c r="BA5" s="76" t="str">
        <f>IFERROR(s_TR/(s_RadSpec!$H5*s_IFRI_far_adj*s_CF_rice),".")</f>
        <v>.</v>
      </c>
      <c r="BB5" s="76" t="str">
        <f>IFERROR(s_TR/(s_RadSpec!$H5*s_IFCG_far_adj*s_CF_cereal),".")</f>
        <v>.</v>
      </c>
      <c r="BC5" s="93">
        <f t="shared" si="26"/>
        <v>605000</v>
      </c>
      <c r="BD5" s="93">
        <f t="shared" si="0"/>
        <v>151250</v>
      </c>
      <c r="BE5" s="93">
        <f t="shared" si="1"/>
        <v>151250</v>
      </c>
      <c r="BF5" s="93">
        <f t="shared" si="2"/>
        <v>151250</v>
      </c>
      <c r="BG5" s="93">
        <f t="shared" si="3"/>
        <v>151250</v>
      </c>
      <c r="BH5" s="93">
        <f t="shared" si="4"/>
        <v>151250</v>
      </c>
      <c r="BI5" s="93">
        <f t="shared" si="5"/>
        <v>151250</v>
      </c>
      <c r="BJ5" s="93">
        <f t="shared" si="6"/>
        <v>151250</v>
      </c>
      <c r="BK5" s="93">
        <f t="shared" si="7"/>
        <v>151250</v>
      </c>
      <c r="BL5" s="93">
        <f t="shared" si="8"/>
        <v>151250</v>
      </c>
      <c r="BM5" s="93">
        <f t="shared" si="9"/>
        <v>151250</v>
      </c>
      <c r="BN5" s="93">
        <f t="shared" si="10"/>
        <v>151250</v>
      </c>
      <c r="BO5" s="93">
        <f t="shared" si="11"/>
        <v>151250</v>
      </c>
      <c r="BP5" s="93">
        <f t="shared" si="12"/>
        <v>151250</v>
      </c>
      <c r="BQ5" s="93">
        <f t="shared" si="13"/>
        <v>151250</v>
      </c>
      <c r="BR5" s="93">
        <f t="shared" si="14"/>
        <v>151250</v>
      </c>
      <c r="BS5" s="93">
        <f t="shared" si="15"/>
        <v>151250</v>
      </c>
      <c r="BT5" s="93">
        <f t="shared" si="27"/>
        <v>151250</v>
      </c>
      <c r="BU5" s="93">
        <f t="shared" si="16"/>
        <v>151250</v>
      </c>
      <c r="BV5" s="93">
        <f t="shared" si="17"/>
        <v>151250</v>
      </c>
      <c r="BW5" s="93">
        <f t="shared" si="18"/>
        <v>151250</v>
      </c>
      <c r="BX5" s="93">
        <f t="shared" si="19"/>
        <v>151250</v>
      </c>
      <c r="BY5" s="93">
        <f t="shared" si="20"/>
        <v>151250</v>
      </c>
      <c r="BZ5" s="93">
        <f t="shared" si="21"/>
        <v>151250</v>
      </c>
      <c r="CA5" s="93">
        <f t="shared" si="22"/>
        <v>151250</v>
      </c>
      <c r="CB5" s="93">
        <f t="shared" si="23"/>
        <v>151250</v>
      </c>
    </row>
    <row r="6" spans="1:80" x14ac:dyDescent="0.25">
      <c r="A6" s="92" t="s">
        <v>16</v>
      </c>
      <c r="B6" s="90" t="s">
        <v>1071</v>
      </c>
      <c r="C6" s="76" t="str">
        <f t="shared" si="24"/>
        <v>.</v>
      </c>
      <c r="D6" s="76" t="str">
        <f>IFERROR(s_TR/(s_RadSpec!$H6*s_IFAP_res_adj*s_CF_apple),".")</f>
        <v>.</v>
      </c>
      <c r="E6" s="76" t="str">
        <f>IFERROR(s_TR/(s_RadSpec!$H6*s_IFAS_res_adj*s_CF_asparagus),".")</f>
        <v>.</v>
      </c>
      <c r="F6" s="76" t="str">
        <f>IFERROR(s_TR/(s_RadSpec!$H6*s_IFBT_res_adj*s_CF_beet),".")</f>
        <v>.</v>
      </c>
      <c r="G6" s="76" t="str">
        <f>IFERROR(s_TR/(s_RadSpec!$H6*s_IFBE_res_adj*s_CF_berries),".")</f>
        <v>.</v>
      </c>
      <c r="H6" s="76" t="str">
        <f>IFERROR(s_TR/(s_RadSpec!$H6*s_IFBR_res_adj*s_CF_broccoli),".")</f>
        <v>.</v>
      </c>
      <c r="I6" s="76" t="str">
        <f>IFERROR(s_TR/(s_RadSpec!$H6*s_IFCB_res_adj*s_CF_cabbage),".")</f>
        <v>.</v>
      </c>
      <c r="J6" s="76" t="str">
        <f>IFERROR(s_TR/(s_RadSpec!$H6*s_IFCR_res_adj*s_CF_carrot),".")</f>
        <v>.</v>
      </c>
      <c r="K6" s="76" t="str">
        <f>IFERROR(s_TR/(s_RadSpec!$H6*s_IFCI_res_adj*s_CF_citrus),".")</f>
        <v>.</v>
      </c>
      <c r="L6" s="76" t="str">
        <f>IFERROR(s_TR/(s_RadSpec!$H6*s_IFCO_res_adj*s_CF_corn),".")</f>
        <v>.</v>
      </c>
      <c r="M6" s="76" t="str">
        <f>IFERROR(s_TR/(s_RadSpec!$H6*s_IFCU_res_adj*s_CF_cucumber),".")</f>
        <v>.</v>
      </c>
      <c r="N6" s="76" t="str">
        <f>IFERROR(s_TR/(s_RadSpec!$H6*s_IFLE_res_adj*s_CF_lettuce),".")</f>
        <v>.</v>
      </c>
      <c r="O6" s="76" t="str">
        <f>IFERROR(s_TR/(s_RadSpec!$H6*s_IFLI_res_adj*s_CF_lima_bean),".")</f>
        <v>.</v>
      </c>
      <c r="P6" s="76" t="str">
        <f>IFERROR(s_TR/(s_RadSpec!$H6*s_IFOK_res_adj*s_CF_okra),".")</f>
        <v>.</v>
      </c>
      <c r="Q6" s="76" t="str">
        <f>IFERROR(s_TR/(s_RadSpec!$H6*s_IFON_res_adj*s_CF_onion),".")</f>
        <v>.</v>
      </c>
      <c r="R6" s="76" t="str">
        <f>IFERROR(s_TR/(s_RadSpec!$H6*s_IFPC_res_adj*s_CF_peach),".")</f>
        <v>.</v>
      </c>
      <c r="S6" s="76" t="str">
        <f>IFERROR(s_TR/(s_RadSpec!$H6*s_IFPR_res_adj*s_CF_pear),".")</f>
        <v>.</v>
      </c>
      <c r="T6" s="76" t="str">
        <f>IFERROR(s_TR/(s_RadSpec!$H6*s_IFPE_res_adj*s_CF_peas),".")</f>
        <v>.</v>
      </c>
      <c r="U6" s="76" t="str">
        <f>IFERROR(s_TR/(s_RadSpec!$H6*s_IFPP_res_adj*s_CF_peppers),".")</f>
        <v>.</v>
      </c>
      <c r="V6" s="76" t="str">
        <f>IFERROR(s_TR/(s_RadSpec!$H6*s_IFPT_res_adj*s_CF_potato),".")</f>
        <v>.</v>
      </c>
      <c r="W6" s="76" t="str">
        <f>IFERROR(s_TR/(s_RadSpec!$H6*s_IFPU_res_adj*s_CF_pumpkin),".")</f>
        <v>.</v>
      </c>
      <c r="X6" s="76" t="str">
        <f>IFERROR(s_TR/(s_RadSpec!$H6*s_IFSN_res_adj*s_CF_snap_bean),".")</f>
        <v>.</v>
      </c>
      <c r="Y6" s="76" t="str">
        <f>IFERROR(s_TR/(s_RadSpec!$H6*s_IFST_res_adj*s_CF_strawberry),".")</f>
        <v>.</v>
      </c>
      <c r="Z6" s="76" t="str">
        <f>IFERROR(s_TR/(s_RadSpec!$H6*s_IFTO_res_adj*s_CF_tomato),".")</f>
        <v>.</v>
      </c>
      <c r="AA6" s="76" t="str">
        <f>IFERROR(s_TR/(s_RadSpec!$H6*s_IFRI_res_adj*s_CF_rice),".")</f>
        <v>.</v>
      </c>
      <c r="AB6" s="76" t="str">
        <f>IFERROR(s_TR/(s_RadSpec!$H6*s_IFCG_res_adj*s_CF_cereal),".")</f>
        <v>.</v>
      </c>
      <c r="AC6" s="76" t="str">
        <f t="shared" si="25"/>
        <v>.</v>
      </c>
      <c r="AD6" s="76" t="str">
        <f>IFERROR(s_TR/(s_RadSpec!$H6*s_IFAP_far_adj*s_CF_apple),".")</f>
        <v>.</v>
      </c>
      <c r="AE6" s="76" t="str">
        <f>IFERROR(s_TR/(s_RadSpec!$H6*s_IFAS_far_adj*s_CF_asparagus),".")</f>
        <v>.</v>
      </c>
      <c r="AF6" s="76" t="str">
        <f>IFERROR(s_TR/(s_RadSpec!$H6*s_IFBT_far_adj*s_CF_beet),".")</f>
        <v>.</v>
      </c>
      <c r="AG6" s="76" t="str">
        <f>IFERROR(s_TR/(s_RadSpec!$H6*s_IFBE_far_adj*s_CF_berries),".")</f>
        <v>.</v>
      </c>
      <c r="AH6" s="76" t="str">
        <f>IFERROR(s_TR/(s_RadSpec!$H6*s_IFBR_far_adj*s_CF_broccoli),".")</f>
        <v>.</v>
      </c>
      <c r="AI6" s="76" t="str">
        <f>IFERROR(s_TR/(s_RadSpec!$H6*s_IFCB_far_adj*s_CF_cabbage),".")</f>
        <v>.</v>
      </c>
      <c r="AJ6" s="76" t="str">
        <f>IFERROR(s_TR/(s_RadSpec!$H6*s_IFCR_far_adj*s_CF_carrot),".")</f>
        <v>.</v>
      </c>
      <c r="AK6" s="76" t="str">
        <f>IFERROR(s_TR/(s_RadSpec!$H6*s_IFCI_far_adj*s_CF_citrus),".")</f>
        <v>.</v>
      </c>
      <c r="AL6" s="76" t="str">
        <f>IFERROR(s_TR/(s_RadSpec!$H6*s_IFCO_far_adj*s_CF_corn),".")</f>
        <v>.</v>
      </c>
      <c r="AM6" s="76" t="str">
        <f>IFERROR(s_TR/(s_RadSpec!$H6*s_IFCU_far_adj*s_CF_cucumber),".")</f>
        <v>.</v>
      </c>
      <c r="AN6" s="76" t="str">
        <f>IFERROR(s_TR/(s_RadSpec!$H6*s_IFLE_far_adj*s_CF_lettuce),".")</f>
        <v>.</v>
      </c>
      <c r="AO6" s="76" t="str">
        <f>IFERROR(s_TR/(s_RadSpec!$H6*s_IFLI_far_adj*s_CF_lima_bean),".")</f>
        <v>.</v>
      </c>
      <c r="AP6" s="76" t="str">
        <f>IFERROR(s_TR/(s_RadSpec!$H6*s_IFOK_far_adj*s_CF_okra),".")</f>
        <v>.</v>
      </c>
      <c r="AQ6" s="76" t="str">
        <f>IFERROR(s_TR/(s_RadSpec!$H6*s_IFON_far_adj*s_CF_onion),".")</f>
        <v>.</v>
      </c>
      <c r="AR6" s="76" t="str">
        <f>IFERROR(s_TR/(s_RadSpec!$H6*s_IFPC_far_adj*s_CF_peach),".")</f>
        <v>.</v>
      </c>
      <c r="AS6" s="76" t="str">
        <f>IFERROR(s_TR/(s_RadSpec!$H6*s_IFPR_far_adj*s_CF_pear),".")</f>
        <v>.</v>
      </c>
      <c r="AT6" s="76" t="str">
        <f>IFERROR(s_TR/(s_RadSpec!$H6*s_IFPE_far_adj*s_CF_peas),".")</f>
        <v>.</v>
      </c>
      <c r="AU6" s="76" t="str">
        <f>IFERROR(s_TR/(s_RadSpec!$H6*s_IFPP_far_adj*s_CF_peppers),".")</f>
        <v>.</v>
      </c>
      <c r="AV6" s="76" t="str">
        <f>IFERROR(s_TR/(s_RadSpec!$H6*s_IFPT_far_adj*s_CF_potato),".")</f>
        <v>.</v>
      </c>
      <c r="AW6" s="76" t="str">
        <f>IFERROR(s_TR/(s_RadSpec!$H6*s_IFPU_far_adj*s_CF_pumpkin),".")</f>
        <v>.</v>
      </c>
      <c r="AX6" s="76" t="str">
        <f>IFERROR(s_TR/(s_RadSpec!$H6*s_IFSN_far_adj*s_CF_snap_bean),".")</f>
        <v>.</v>
      </c>
      <c r="AY6" s="76" t="str">
        <f>IFERROR(s_TR/(s_RadSpec!$H6*s_IFST_far_adj*s_CF_strawberry),".")</f>
        <v>.</v>
      </c>
      <c r="AZ6" s="76" t="str">
        <f>IFERROR(s_TR/(s_RadSpec!$H6*s_IFTO_far_adj*s_CF_tomato),".")</f>
        <v>.</v>
      </c>
      <c r="BA6" s="76" t="str">
        <f>IFERROR(s_TR/(s_RadSpec!$H6*s_IFRI_far_adj*s_CF_rice),".")</f>
        <v>.</v>
      </c>
      <c r="BB6" s="76" t="str">
        <f>IFERROR(s_TR/(s_RadSpec!$H6*s_IFCG_far_adj*s_CF_cereal),".")</f>
        <v>.</v>
      </c>
      <c r="BC6" s="93">
        <f t="shared" si="26"/>
        <v>605000</v>
      </c>
      <c r="BD6" s="93">
        <f t="shared" si="0"/>
        <v>151250</v>
      </c>
      <c r="BE6" s="93">
        <f t="shared" si="1"/>
        <v>151250</v>
      </c>
      <c r="BF6" s="93">
        <f t="shared" si="2"/>
        <v>151250</v>
      </c>
      <c r="BG6" s="93">
        <f t="shared" si="3"/>
        <v>151250</v>
      </c>
      <c r="BH6" s="93">
        <f t="shared" si="4"/>
        <v>151250</v>
      </c>
      <c r="BI6" s="93">
        <f t="shared" si="5"/>
        <v>151250</v>
      </c>
      <c r="BJ6" s="93">
        <f t="shared" si="6"/>
        <v>151250</v>
      </c>
      <c r="BK6" s="93">
        <f t="shared" si="7"/>
        <v>151250</v>
      </c>
      <c r="BL6" s="93">
        <f t="shared" si="8"/>
        <v>151250</v>
      </c>
      <c r="BM6" s="93">
        <f t="shared" si="9"/>
        <v>151250</v>
      </c>
      <c r="BN6" s="93">
        <f t="shared" si="10"/>
        <v>151250</v>
      </c>
      <c r="BO6" s="93">
        <f t="shared" si="11"/>
        <v>151250</v>
      </c>
      <c r="BP6" s="93">
        <f t="shared" si="12"/>
        <v>151250</v>
      </c>
      <c r="BQ6" s="93">
        <f t="shared" si="13"/>
        <v>151250</v>
      </c>
      <c r="BR6" s="93">
        <f t="shared" si="14"/>
        <v>151250</v>
      </c>
      <c r="BS6" s="93">
        <f t="shared" si="15"/>
        <v>151250</v>
      </c>
      <c r="BT6" s="93">
        <f t="shared" si="27"/>
        <v>151250</v>
      </c>
      <c r="BU6" s="93">
        <f t="shared" si="16"/>
        <v>151250</v>
      </c>
      <c r="BV6" s="93">
        <f t="shared" si="17"/>
        <v>151250</v>
      </c>
      <c r="BW6" s="93">
        <f t="shared" si="18"/>
        <v>151250</v>
      </c>
      <c r="BX6" s="93">
        <f t="shared" si="19"/>
        <v>151250</v>
      </c>
      <c r="BY6" s="93">
        <f t="shared" si="20"/>
        <v>151250</v>
      </c>
      <c r="BZ6" s="93">
        <f t="shared" si="21"/>
        <v>151250</v>
      </c>
      <c r="CA6" s="93">
        <f t="shared" si="22"/>
        <v>151250</v>
      </c>
      <c r="CB6" s="93">
        <f t="shared" si="23"/>
        <v>151250</v>
      </c>
    </row>
    <row r="7" spans="1:80" x14ac:dyDescent="0.25">
      <c r="A7" s="92" t="s">
        <v>17</v>
      </c>
      <c r="B7" s="90" t="s">
        <v>1071</v>
      </c>
      <c r="C7" s="76">
        <f t="shared" si="24"/>
        <v>6.345564196803867</v>
      </c>
      <c r="D7" s="76">
        <f>IFERROR(s_TR/(s_RadSpec!$H7*s_IFAP_res_adj*s_CF_apple),".")</f>
        <v>25.382256787215468</v>
      </c>
      <c r="E7" s="76">
        <f>IFERROR(s_TR/(s_RadSpec!$H7*s_IFAS_res_adj*s_CF_asparagus),".")</f>
        <v>25.382256787215468</v>
      </c>
      <c r="F7" s="76">
        <f>IFERROR(s_TR/(s_RadSpec!$H7*s_IFBT_res_adj*s_CF_beet),".")</f>
        <v>25.382256787215468</v>
      </c>
      <c r="G7" s="76">
        <f>IFERROR(s_TR/(s_RadSpec!$H7*s_IFBE_res_adj*s_CF_berries),".")</f>
        <v>25.382256787215468</v>
      </c>
      <c r="H7" s="76">
        <f>IFERROR(s_TR/(s_RadSpec!$H7*s_IFBR_res_adj*s_CF_broccoli),".")</f>
        <v>25.382256787215468</v>
      </c>
      <c r="I7" s="76">
        <f>IFERROR(s_TR/(s_RadSpec!$H7*s_IFCB_res_adj*s_CF_cabbage),".")</f>
        <v>25.382256787215468</v>
      </c>
      <c r="J7" s="76">
        <f>IFERROR(s_TR/(s_RadSpec!$H7*s_IFCR_res_adj*s_CF_carrot),".")</f>
        <v>25.382256787215468</v>
      </c>
      <c r="K7" s="76">
        <f>IFERROR(s_TR/(s_RadSpec!$H7*s_IFCI_res_adj*s_CF_citrus),".")</f>
        <v>25.382256787215468</v>
      </c>
      <c r="L7" s="76">
        <f>IFERROR(s_TR/(s_RadSpec!$H7*s_IFCO_res_adj*s_CF_corn),".")</f>
        <v>25.382256787215468</v>
      </c>
      <c r="M7" s="76">
        <f>IFERROR(s_TR/(s_RadSpec!$H7*s_IFCU_res_adj*s_CF_cucumber),".")</f>
        <v>25.382256787215468</v>
      </c>
      <c r="N7" s="76">
        <f>IFERROR(s_TR/(s_RadSpec!$H7*s_IFLE_res_adj*s_CF_lettuce),".")</f>
        <v>25.382256787215468</v>
      </c>
      <c r="O7" s="76">
        <f>IFERROR(s_TR/(s_RadSpec!$H7*s_IFLI_res_adj*s_CF_lima_bean),".")</f>
        <v>25.382256787215468</v>
      </c>
      <c r="P7" s="76">
        <f>IFERROR(s_TR/(s_RadSpec!$H7*s_IFOK_res_adj*s_CF_okra),".")</f>
        <v>25.382256787215468</v>
      </c>
      <c r="Q7" s="76">
        <f>IFERROR(s_TR/(s_RadSpec!$H7*s_IFON_res_adj*s_CF_onion),".")</f>
        <v>25.382256787215468</v>
      </c>
      <c r="R7" s="76">
        <f>IFERROR(s_TR/(s_RadSpec!$H7*s_IFPC_res_adj*s_CF_peach),".")</f>
        <v>25.382256787215468</v>
      </c>
      <c r="S7" s="76">
        <f>IFERROR(s_TR/(s_RadSpec!$H7*s_IFPR_res_adj*s_CF_pear),".")</f>
        <v>25.382256787215468</v>
      </c>
      <c r="T7" s="76">
        <f>IFERROR(s_TR/(s_RadSpec!$H7*s_IFPE_res_adj*s_CF_peas),".")</f>
        <v>25.382256787215468</v>
      </c>
      <c r="U7" s="76">
        <f>IFERROR(s_TR/(s_RadSpec!$H7*s_IFPP_res_adj*s_CF_peppers),".")</f>
        <v>25.382256787215468</v>
      </c>
      <c r="V7" s="76">
        <f>IFERROR(s_TR/(s_RadSpec!$H7*s_IFPT_res_adj*s_CF_potato),".")</f>
        <v>25.382256787215468</v>
      </c>
      <c r="W7" s="76">
        <f>IFERROR(s_TR/(s_RadSpec!$H7*s_IFPU_res_adj*s_CF_pumpkin),".")</f>
        <v>25.382256787215468</v>
      </c>
      <c r="X7" s="76">
        <f>IFERROR(s_TR/(s_RadSpec!$H7*s_IFSN_res_adj*s_CF_snap_bean),".")</f>
        <v>25.382256787215468</v>
      </c>
      <c r="Y7" s="76">
        <f>IFERROR(s_TR/(s_RadSpec!$H7*s_IFST_res_adj*s_CF_strawberry),".")</f>
        <v>25.382256787215468</v>
      </c>
      <c r="Z7" s="76">
        <f>IFERROR(s_TR/(s_RadSpec!$H7*s_IFTO_res_adj*s_CF_tomato),".")</f>
        <v>25.382256787215468</v>
      </c>
      <c r="AA7" s="76">
        <f>IFERROR(s_TR/(s_RadSpec!$H7*s_IFRI_res_adj*s_CF_rice),".")</f>
        <v>25.382256787215468</v>
      </c>
      <c r="AB7" s="76">
        <f>IFERROR(s_TR/(s_RadSpec!$H7*s_IFCG_res_adj*s_CF_cereal),".")</f>
        <v>25.382256787215468</v>
      </c>
      <c r="AC7" s="76">
        <f t="shared" si="25"/>
        <v>6.345564196803867</v>
      </c>
      <c r="AD7" s="76">
        <f>IFERROR(s_TR/(s_RadSpec!$H7*s_IFAP_far_adj*s_CF_apple),".")</f>
        <v>25.382256787215468</v>
      </c>
      <c r="AE7" s="76">
        <f>IFERROR(s_TR/(s_RadSpec!$H7*s_IFAS_far_adj*s_CF_asparagus),".")</f>
        <v>25.382256787215468</v>
      </c>
      <c r="AF7" s="76">
        <f>IFERROR(s_TR/(s_RadSpec!$H7*s_IFBT_far_adj*s_CF_beet),".")</f>
        <v>25.382256787215468</v>
      </c>
      <c r="AG7" s="76">
        <f>IFERROR(s_TR/(s_RadSpec!$H7*s_IFBE_far_adj*s_CF_berries),".")</f>
        <v>25.382256787215468</v>
      </c>
      <c r="AH7" s="76">
        <f>IFERROR(s_TR/(s_RadSpec!$H7*s_IFBR_far_adj*s_CF_broccoli),".")</f>
        <v>25.382256787215468</v>
      </c>
      <c r="AI7" s="76">
        <f>IFERROR(s_TR/(s_RadSpec!$H7*s_IFCB_far_adj*s_CF_cabbage),".")</f>
        <v>25.382256787215468</v>
      </c>
      <c r="AJ7" s="76">
        <f>IFERROR(s_TR/(s_RadSpec!$H7*s_IFCR_far_adj*s_CF_carrot),".")</f>
        <v>25.382256787215468</v>
      </c>
      <c r="AK7" s="76">
        <f>IFERROR(s_TR/(s_RadSpec!$H7*s_IFCI_far_adj*s_CF_citrus),".")</f>
        <v>25.382256787215468</v>
      </c>
      <c r="AL7" s="76">
        <f>IFERROR(s_TR/(s_RadSpec!$H7*s_IFCO_far_adj*s_CF_corn),".")</f>
        <v>25.382256787215468</v>
      </c>
      <c r="AM7" s="76">
        <f>IFERROR(s_TR/(s_RadSpec!$H7*s_IFCU_far_adj*s_CF_cucumber),".")</f>
        <v>25.382256787215468</v>
      </c>
      <c r="AN7" s="76">
        <f>IFERROR(s_TR/(s_RadSpec!$H7*s_IFLE_far_adj*s_CF_lettuce),".")</f>
        <v>25.382256787215468</v>
      </c>
      <c r="AO7" s="76">
        <f>IFERROR(s_TR/(s_RadSpec!$H7*s_IFLI_far_adj*s_CF_lima_bean),".")</f>
        <v>25.382256787215468</v>
      </c>
      <c r="AP7" s="76">
        <f>IFERROR(s_TR/(s_RadSpec!$H7*s_IFOK_far_adj*s_CF_okra),".")</f>
        <v>25.382256787215468</v>
      </c>
      <c r="AQ7" s="76">
        <f>IFERROR(s_TR/(s_RadSpec!$H7*s_IFON_far_adj*s_CF_onion),".")</f>
        <v>25.382256787215468</v>
      </c>
      <c r="AR7" s="76">
        <f>IFERROR(s_TR/(s_RadSpec!$H7*s_IFPC_far_adj*s_CF_peach),".")</f>
        <v>25.382256787215468</v>
      </c>
      <c r="AS7" s="76">
        <f>IFERROR(s_TR/(s_RadSpec!$H7*s_IFPR_far_adj*s_CF_pear),".")</f>
        <v>25.382256787215468</v>
      </c>
      <c r="AT7" s="76">
        <f>IFERROR(s_TR/(s_RadSpec!$H7*s_IFPE_far_adj*s_CF_peas),".")</f>
        <v>25.382256787215468</v>
      </c>
      <c r="AU7" s="76">
        <f>IFERROR(s_TR/(s_RadSpec!$H7*s_IFPP_far_adj*s_CF_peppers),".")</f>
        <v>25.382256787215468</v>
      </c>
      <c r="AV7" s="76">
        <f>IFERROR(s_TR/(s_RadSpec!$H7*s_IFPT_far_adj*s_CF_potato),".")</f>
        <v>25.382256787215468</v>
      </c>
      <c r="AW7" s="76">
        <f>IFERROR(s_TR/(s_RadSpec!$H7*s_IFPU_far_adj*s_CF_pumpkin),".")</f>
        <v>25.382256787215468</v>
      </c>
      <c r="AX7" s="76">
        <f>IFERROR(s_TR/(s_RadSpec!$H7*s_IFSN_far_adj*s_CF_snap_bean),".")</f>
        <v>25.382256787215468</v>
      </c>
      <c r="AY7" s="76">
        <f>IFERROR(s_TR/(s_RadSpec!$H7*s_IFST_far_adj*s_CF_strawberry),".")</f>
        <v>25.382256787215468</v>
      </c>
      <c r="AZ7" s="76">
        <f>IFERROR(s_TR/(s_RadSpec!$H7*s_IFTO_far_adj*s_CF_tomato),".")</f>
        <v>25.382256787215468</v>
      </c>
      <c r="BA7" s="76">
        <f>IFERROR(s_TR/(s_RadSpec!$H7*s_IFRI_far_adj*s_CF_rice),".")</f>
        <v>25.382256787215468</v>
      </c>
      <c r="BB7" s="76">
        <f>IFERROR(s_TR/(s_RadSpec!$H7*s_IFCG_far_adj*s_CF_cereal),".")</f>
        <v>25.382256787215468</v>
      </c>
      <c r="BC7" s="93">
        <f t="shared" si="26"/>
        <v>605000</v>
      </c>
      <c r="BD7" s="93">
        <f t="shared" si="0"/>
        <v>151250</v>
      </c>
      <c r="BE7" s="93">
        <f t="shared" si="1"/>
        <v>151250</v>
      </c>
      <c r="BF7" s="93">
        <f t="shared" si="2"/>
        <v>151250</v>
      </c>
      <c r="BG7" s="93">
        <f t="shared" si="3"/>
        <v>151250</v>
      </c>
      <c r="BH7" s="93">
        <f t="shared" si="4"/>
        <v>151250</v>
      </c>
      <c r="BI7" s="93">
        <f t="shared" si="5"/>
        <v>151250</v>
      </c>
      <c r="BJ7" s="93">
        <f t="shared" si="6"/>
        <v>151250</v>
      </c>
      <c r="BK7" s="93">
        <f t="shared" si="7"/>
        <v>151250</v>
      </c>
      <c r="BL7" s="93">
        <f t="shared" si="8"/>
        <v>151250</v>
      </c>
      <c r="BM7" s="93">
        <f t="shared" si="9"/>
        <v>151250</v>
      </c>
      <c r="BN7" s="93">
        <f t="shared" si="10"/>
        <v>151250</v>
      </c>
      <c r="BO7" s="93">
        <f t="shared" si="11"/>
        <v>151250</v>
      </c>
      <c r="BP7" s="93">
        <f t="shared" si="12"/>
        <v>151250</v>
      </c>
      <c r="BQ7" s="93">
        <f t="shared" si="13"/>
        <v>151250</v>
      </c>
      <c r="BR7" s="93">
        <f t="shared" si="14"/>
        <v>151250</v>
      </c>
      <c r="BS7" s="93">
        <f t="shared" si="15"/>
        <v>151250</v>
      </c>
      <c r="BT7" s="93">
        <f t="shared" si="27"/>
        <v>151250</v>
      </c>
      <c r="BU7" s="93">
        <f t="shared" si="16"/>
        <v>151250</v>
      </c>
      <c r="BV7" s="93">
        <f t="shared" si="17"/>
        <v>151250</v>
      </c>
      <c r="BW7" s="93">
        <f t="shared" si="18"/>
        <v>151250</v>
      </c>
      <c r="BX7" s="93">
        <f t="shared" si="19"/>
        <v>151250</v>
      </c>
      <c r="BY7" s="93">
        <f t="shared" si="20"/>
        <v>151250</v>
      </c>
      <c r="BZ7" s="93">
        <f t="shared" si="21"/>
        <v>151250</v>
      </c>
      <c r="CA7" s="93">
        <f t="shared" si="22"/>
        <v>151250</v>
      </c>
      <c r="CB7" s="93">
        <f t="shared" si="23"/>
        <v>151250</v>
      </c>
    </row>
    <row r="8" spans="1:80" x14ac:dyDescent="0.25">
      <c r="A8" s="92" t="s">
        <v>18</v>
      </c>
      <c r="B8" s="90" t="s">
        <v>1071</v>
      </c>
      <c r="C8" s="76">
        <f t="shared" si="24"/>
        <v>115.13601016881242</v>
      </c>
      <c r="D8" s="76">
        <f>IFERROR(s_TR/(s_RadSpec!$H8*s_IFAP_res_adj*s_CF_apple),".")</f>
        <v>460.54404067524968</v>
      </c>
      <c r="E8" s="76">
        <f>IFERROR(s_TR/(s_RadSpec!$H8*s_IFAS_res_adj*s_CF_asparagus),".")</f>
        <v>460.54404067524968</v>
      </c>
      <c r="F8" s="76">
        <f>IFERROR(s_TR/(s_RadSpec!$H8*s_IFBT_res_adj*s_CF_beet),".")</f>
        <v>460.54404067524968</v>
      </c>
      <c r="G8" s="76">
        <f>IFERROR(s_TR/(s_RadSpec!$H8*s_IFBE_res_adj*s_CF_berries),".")</f>
        <v>460.54404067524968</v>
      </c>
      <c r="H8" s="76">
        <f>IFERROR(s_TR/(s_RadSpec!$H8*s_IFBR_res_adj*s_CF_broccoli),".")</f>
        <v>460.54404067524968</v>
      </c>
      <c r="I8" s="76">
        <f>IFERROR(s_TR/(s_RadSpec!$H8*s_IFCB_res_adj*s_CF_cabbage),".")</f>
        <v>460.54404067524968</v>
      </c>
      <c r="J8" s="76">
        <f>IFERROR(s_TR/(s_RadSpec!$H8*s_IFCR_res_adj*s_CF_carrot),".")</f>
        <v>460.54404067524968</v>
      </c>
      <c r="K8" s="76">
        <f>IFERROR(s_TR/(s_RadSpec!$H8*s_IFCI_res_adj*s_CF_citrus),".")</f>
        <v>460.54404067524968</v>
      </c>
      <c r="L8" s="76">
        <f>IFERROR(s_TR/(s_RadSpec!$H8*s_IFCO_res_adj*s_CF_corn),".")</f>
        <v>460.54404067524968</v>
      </c>
      <c r="M8" s="76">
        <f>IFERROR(s_TR/(s_RadSpec!$H8*s_IFCU_res_adj*s_CF_cucumber),".")</f>
        <v>460.54404067524968</v>
      </c>
      <c r="N8" s="76">
        <f>IFERROR(s_TR/(s_RadSpec!$H8*s_IFLE_res_adj*s_CF_lettuce),".")</f>
        <v>460.54404067524968</v>
      </c>
      <c r="O8" s="76">
        <f>IFERROR(s_TR/(s_RadSpec!$H8*s_IFLI_res_adj*s_CF_lima_bean),".")</f>
        <v>460.54404067524968</v>
      </c>
      <c r="P8" s="76">
        <f>IFERROR(s_TR/(s_RadSpec!$H8*s_IFOK_res_adj*s_CF_okra),".")</f>
        <v>460.54404067524968</v>
      </c>
      <c r="Q8" s="76">
        <f>IFERROR(s_TR/(s_RadSpec!$H8*s_IFON_res_adj*s_CF_onion),".")</f>
        <v>460.54404067524968</v>
      </c>
      <c r="R8" s="76">
        <f>IFERROR(s_TR/(s_RadSpec!$H8*s_IFPC_res_adj*s_CF_peach),".")</f>
        <v>460.54404067524968</v>
      </c>
      <c r="S8" s="76">
        <f>IFERROR(s_TR/(s_RadSpec!$H8*s_IFPR_res_adj*s_CF_pear),".")</f>
        <v>460.54404067524968</v>
      </c>
      <c r="T8" s="76">
        <f>IFERROR(s_TR/(s_RadSpec!$H8*s_IFPE_res_adj*s_CF_peas),".")</f>
        <v>460.54404067524968</v>
      </c>
      <c r="U8" s="76">
        <f>IFERROR(s_TR/(s_RadSpec!$H8*s_IFPP_res_adj*s_CF_peppers),".")</f>
        <v>460.54404067524968</v>
      </c>
      <c r="V8" s="76">
        <f>IFERROR(s_TR/(s_RadSpec!$H8*s_IFPT_res_adj*s_CF_potato),".")</f>
        <v>460.54404067524968</v>
      </c>
      <c r="W8" s="76">
        <f>IFERROR(s_TR/(s_RadSpec!$H8*s_IFPU_res_adj*s_CF_pumpkin),".")</f>
        <v>460.54404067524968</v>
      </c>
      <c r="X8" s="76">
        <f>IFERROR(s_TR/(s_RadSpec!$H8*s_IFSN_res_adj*s_CF_snap_bean),".")</f>
        <v>460.54404067524968</v>
      </c>
      <c r="Y8" s="76">
        <f>IFERROR(s_TR/(s_RadSpec!$H8*s_IFST_res_adj*s_CF_strawberry),".")</f>
        <v>460.54404067524968</v>
      </c>
      <c r="Z8" s="76">
        <f>IFERROR(s_TR/(s_RadSpec!$H8*s_IFTO_res_adj*s_CF_tomato),".")</f>
        <v>460.54404067524968</v>
      </c>
      <c r="AA8" s="76">
        <f>IFERROR(s_TR/(s_RadSpec!$H8*s_IFRI_res_adj*s_CF_rice),".")</f>
        <v>460.54404067524968</v>
      </c>
      <c r="AB8" s="76">
        <f>IFERROR(s_TR/(s_RadSpec!$H8*s_IFCG_res_adj*s_CF_cereal),".")</f>
        <v>460.54404067524968</v>
      </c>
      <c r="AC8" s="76">
        <f t="shared" si="25"/>
        <v>115.13601016881242</v>
      </c>
      <c r="AD8" s="76">
        <f>IFERROR(s_TR/(s_RadSpec!$H8*s_IFAP_far_adj*s_CF_apple),".")</f>
        <v>460.54404067524968</v>
      </c>
      <c r="AE8" s="76">
        <f>IFERROR(s_TR/(s_RadSpec!$H8*s_IFAS_far_adj*s_CF_asparagus),".")</f>
        <v>460.54404067524968</v>
      </c>
      <c r="AF8" s="76">
        <f>IFERROR(s_TR/(s_RadSpec!$H8*s_IFBT_far_adj*s_CF_beet),".")</f>
        <v>460.54404067524968</v>
      </c>
      <c r="AG8" s="76">
        <f>IFERROR(s_TR/(s_RadSpec!$H8*s_IFBE_far_adj*s_CF_berries),".")</f>
        <v>460.54404067524968</v>
      </c>
      <c r="AH8" s="76">
        <f>IFERROR(s_TR/(s_RadSpec!$H8*s_IFBR_far_adj*s_CF_broccoli),".")</f>
        <v>460.54404067524968</v>
      </c>
      <c r="AI8" s="76">
        <f>IFERROR(s_TR/(s_RadSpec!$H8*s_IFCB_far_adj*s_CF_cabbage),".")</f>
        <v>460.54404067524968</v>
      </c>
      <c r="AJ8" s="76">
        <f>IFERROR(s_TR/(s_RadSpec!$H8*s_IFCR_far_adj*s_CF_carrot),".")</f>
        <v>460.54404067524968</v>
      </c>
      <c r="AK8" s="76">
        <f>IFERROR(s_TR/(s_RadSpec!$H8*s_IFCI_far_adj*s_CF_citrus),".")</f>
        <v>460.54404067524968</v>
      </c>
      <c r="AL8" s="76">
        <f>IFERROR(s_TR/(s_RadSpec!$H8*s_IFCO_far_adj*s_CF_corn),".")</f>
        <v>460.54404067524968</v>
      </c>
      <c r="AM8" s="76">
        <f>IFERROR(s_TR/(s_RadSpec!$H8*s_IFCU_far_adj*s_CF_cucumber),".")</f>
        <v>460.54404067524968</v>
      </c>
      <c r="AN8" s="76">
        <f>IFERROR(s_TR/(s_RadSpec!$H8*s_IFLE_far_adj*s_CF_lettuce),".")</f>
        <v>460.54404067524968</v>
      </c>
      <c r="AO8" s="76">
        <f>IFERROR(s_TR/(s_RadSpec!$H8*s_IFLI_far_adj*s_CF_lima_bean),".")</f>
        <v>460.54404067524968</v>
      </c>
      <c r="AP8" s="76">
        <f>IFERROR(s_TR/(s_RadSpec!$H8*s_IFOK_far_adj*s_CF_okra),".")</f>
        <v>460.54404067524968</v>
      </c>
      <c r="AQ8" s="76">
        <f>IFERROR(s_TR/(s_RadSpec!$H8*s_IFON_far_adj*s_CF_onion),".")</f>
        <v>460.54404067524968</v>
      </c>
      <c r="AR8" s="76">
        <f>IFERROR(s_TR/(s_RadSpec!$H8*s_IFPC_far_adj*s_CF_peach),".")</f>
        <v>460.54404067524968</v>
      </c>
      <c r="AS8" s="76">
        <f>IFERROR(s_TR/(s_RadSpec!$H8*s_IFPR_far_adj*s_CF_pear),".")</f>
        <v>460.54404067524968</v>
      </c>
      <c r="AT8" s="76">
        <f>IFERROR(s_TR/(s_RadSpec!$H8*s_IFPE_far_adj*s_CF_peas),".")</f>
        <v>460.54404067524968</v>
      </c>
      <c r="AU8" s="76">
        <f>IFERROR(s_TR/(s_RadSpec!$H8*s_IFPP_far_adj*s_CF_peppers),".")</f>
        <v>460.54404067524968</v>
      </c>
      <c r="AV8" s="76">
        <f>IFERROR(s_TR/(s_RadSpec!$H8*s_IFPT_far_adj*s_CF_potato),".")</f>
        <v>460.54404067524968</v>
      </c>
      <c r="AW8" s="76">
        <f>IFERROR(s_TR/(s_RadSpec!$H8*s_IFPU_far_adj*s_CF_pumpkin),".")</f>
        <v>460.54404067524968</v>
      </c>
      <c r="AX8" s="76">
        <f>IFERROR(s_TR/(s_RadSpec!$H8*s_IFSN_far_adj*s_CF_snap_bean),".")</f>
        <v>460.54404067524968</v>
      </c>
      <c r="AY8" s="76">
        <f>IFERROR(s_TR/(s_RadSpec!$H8*s_IFST_far_adj*s_CF_strawberry),".")</f>
        <v>460.54404067524968</v>
      </c>
      <c r="AZ8" s="76">
        <f>IFERROR(s_TR/(s_RadSpec!$H8*s_IFTO_far_adj*s_CF_tomato),".")</f>
        <v>460.54404067524968</v>
      </c>
      <c r="BA8" s="76">
        <f>IFERROR(s_TR/(s_RadSpec!$H8*s_IFRI_far_adj*s_CF_rice),".")</f>
        <v>460.54404067524968</v>
      </c>
      <c r="BB8" s="76">
        <f>IFERROR(s_TR/(s_RadSpec!$H8*s_IFCG_far_adj*s_CF_cereal),".")</f>
        <v>460.54404067524968</v>
      </c>
      <c r="BC8" s="93">
        <f t="shared" si="26"/>
        <v>605000</v>
      </c>
      <c r="BD8" s="93">
        <f t="shared" si="0"/>
        <v>151250</v>
      </c>
      <c r="BE8" s="93">
        <f t="shared" si="1"/>
        <v>151250</v>
      </c>
      <c r="BF8" s="93">
        <f t="shared" si="2"/>
        <v>151250</v>
      </c>
      <c r="BG8" s="93">
        <f t="shared" si="3"/>
        <v>151250</v>
      </c>
      <c r="BH8" s="93">
        <f t="shared" si="4"/>
        <v>151250</v>
      </c>
      <c r="BI8" s="93">
        <f t="shared" si="5"/>
        <v>151250</v>
      </c>
      <c r="BJ8" s="93">
        <f t="shared" si="6"/>
        <v>151250</v>
      </c>
      <c r="BK8" s="93">
        <f t="shared" si="7"/>
        <v>151250</v>
      </c>
      <c r="BL8" s="93">
        <f t="shared" si="8"/>
        <v>151250</v>
      </c>
      <c r="BM8" s="93">
        <f t="shared" si="9"/>
        <v>151250</v>
      </c>
      <c r="BN8" s="93">
        <f t="shared" si="10"/>
        <v>151250</v>
      </c>
      <c r="BO8" s="93">
        <f t="shared" si="11"/>
        <v>151250</v>
      </c>
      <c r="BP8" s="93">
        <f t="shared" si="12"/>
        <v>151250</v>
      </c>
      <c r="BQ8" s="93">
        <f t="shared" si="13"/>
        <v>151250</v>
      </c>
      <c r="BR8" s="93">
        <f t="shared" si="14"/>
        <v>151250</v>
      </c>
      <c r="BS8" s="93">
        <f t="shared" si="15"/>
        <v>151250</v>
      </c>
      <c r="BT8" s="93">
        <f t="shared" si="27"/>
        <v>151250</v>
      </c>
      <c r="BU8" s="93">
        <f t="shared" si="16"/>
        <v>151250</v>
      </c>
      <c r="BV8" s="93">
        <f t="shared" si="17"/>
        <v>151250</v>
      </c>
      <c r="BW8" s="93">
        <f t="shared" si="18"/>
        <v>151250</v>
      </c>
      <c r="BX8" s="93">
        <f t="shared" si="19"/>
        <v>151250</v>
      </c>
      <c r="BY8" s="93">
        <f t="shared" si="20"/>
        <v>151250</v>
      </c>
      <c r="BZ8" s="93">
        <f t="shared" si="21"/>
        <v>151250</v>
      </c>
      <c r="CA8" s="93">
        <f t="shared" si="22"/>
        <v>151250</v>
      </c>
      <c r="CB8" s="93">
        <f t="shared" si="23"/>
        <v>151250</v>
      </c>
    </row>
    <row r="9" spans="1:80" x14ac:dyDescent="0.25">
      <c r="A9" s="92" t="s">
        <v>19</v>
      </c>
      <c r="B9" s="90" t="s">
        <v>1071</v>
      </c>
      <c r="C9" s="76">
        <f t="shared" si="24"/>
        <v>311.52560631449938</v>
      </c>
      <c r="D9" s="76">
        <f>IFERROR(s_TR/(s_RadSpec!$H9*s_IFAP_res_adj*s_CF_apple),".")</f>
        <v>1246.1024252579975</v>
      </c>
      <c r="E9" s="76">
        <f>IFERROR(s_TR/(s_RadSpec!$H9*s_IFAS_res_adj*s_CF_asparagus),".")</f>
        <v>1246.1024252579975</v>
      </c>
      <c r="F9" s="76">
        <f>IFERROR(s_TR/(s_RadSpec!$H9*s_IFBT_res_adj*s_CF_beet),".")</f>
        <v>1246.1024252579975</v>
      </c>
      <c r="G9" s="76">
        <f>IFERROR(s_TR/(s_RadSpec!$H9*s_IFBE_res_adj*s_CF_berries),".")</f>
        <v>1246.1024252579975</v>
      </c>
      <c r="H9" s="76">
        <f>IFERROR(s_TR/(s_RadSpec!$H9*s_IFBR_res_adj*s_CF_broccoli),".")</f>
        <v>1246.1024252579975</v>
      </c>
      <c r="I9" s="76">
        <f>IFERROR(s_TR/(s_RadSpec!$H9*s_IFCB_res_adj*s_CF_cabbage),".")</f>
        <v>1246.1024252579975</v>
      </c>
      <c r="J9" s="76">
        <f>IFERROR(s_TR/(s_RadSpec!$H9*s_IFCR_res_adj*s_CF_carrot),".")</f>
        <v>1246.1024252579975</v>
      </c>
      <c r="K9" s="76">
        <f>IFERROR(s_TR/(s_RadSpec!$H9*s_IFCI_res_adj*s_CF_citrus),".")</f>
        <v>1246.1024252579975</v>
      </c>
      <c r="L9" s="76">
        <f>IFERROR(s_TR/(s_RadSpec!$H9*s_IFCO_res_adj*s_CF_corn),".")</f>
        <v>1246.1024252579975</v>
      </c>
      <c r="M9" s="76">
        <f>IFERROR(s_TR/(s_RadSpec!$H9*s_IFCU_res_adj*s_CF_cucumber),".")</f>
        <v>1246.1024252579975</v>
      </c>
      <c r="N9" s="76">
        <f>IFERROR(s_TR/(s_RadSpec!$H9*s_IFLE_res_adj*s_CF_lettuce),".")</f>
        <v>1246.1024252579975</v>
      </c>
      <c r="O9" s="76">
        <f>IFERROR(s_TR/(s_RadSpec!$H9*s_IFLI_res_adj*s_CF_lima_bean),".")</f>
        <v>1246.1024252579975</v>
      </c>
      <c r="P9" s="76">
        <f>IFERROR(s_TR/(s_RadSpec!$H9*s_IFOK_res_adj*s_CF_okra),".")</f>
        <v>1246.1024252579975</v>
      </c>
      <c r="Q9" s="76">
        <f>IFERROR(s_TR/(s_RadSpec!$H9*s_IFON_res_adj*s_CF_onion),".")</f>
        <v>1246.1024252579975</v>
      </c>
      <c r="R9" s="76">
        <f>IFERROR(s_TR/(s_RadSpec!$H9*s_IFPC_res_adj*s_CF_peach),".")</f>
        <v>1246.1024252579975</v>
      </c>
      <c r="S9" s="76">
        <f>IFERROR(s_TR/(s_RadSpec!$H9*s_IFPR_res_adj*s_CF_pear),".")</f>
        <v>1246.1024252579975</v>
      </c>
      <c r="T9" s="76">
        <f>IFERROR(s_TR/(s_RadSpec!$H9*s_IFPE_res_adj*s_CF_peas),".")</f>
        <v>1246.1024252579975</v>
      </c>
      <c r="U9" s="76">
        <f>IFERROR(s_TR/(s_RadSpec!$H9*s_IFPP_res_adj*s_CF_peppers),".")</f>
        <v>1246.1024252579975</v>
      </c>
      <c r="V9" s="76">
        <f>IFERROR(s_TR/(s_RadSpec!$H9*s_IFPT_res_adj*s_CF_potato),".")</f>
        <v>1246.1024252579975</v>
      </c>
      <c r="W9" s="76">
        <f>IFERROR(s_TR/(s_RadSpec!$H9*s_IFPU_res_adj*s_CF_pumpkin),".")</f>
        <v>1246.1024252579975</v>
      </c>
      <c r="X9" s="76">
        <f>IFERROR(s_TR/(s_RadSpec!$H9*s_IFSN_res_adj*s_CF_snap_bean),".")</f>
        <v>1246.1024252579975</v>
      </c>
      <c r="Y9" s="76">
        <f>IFERROR(s_TR/(s_RadSpec!$H9*s_IFST_res_adj*s_CF_strawberry),".")</f>
        <v>1246.1024252579975</v>
      </c>
      <c r="Z9" s="76">
        <f>IFERROR(s_TR/(s_RadSpec!$H9*s_IFTO_res_adj*s_CF_tomato),".")</f>
        <v>1246.1024252579975</v>
      </c>
      <c r="AA9" s="76">
        <f>IFERROR(s_TR/(s_RadSpec!$H9*s_IFRI_res_adj*s_CF_rice),".")</f>
        <v>1246.1024252579975</v>
      </c>
      <c r="AB9" s="76">
        <f>IFERROR(s_TR/(s_RadSpec!$H9*s_IFCG_res_adj*s_CF_cereal),".")</f>
        <v>1246.1024252579975</v>
      </c>
      <c r="AC9" s="76">
        <f t="shared" si="25"/>
        <v>311.52560631449938</v>
      </c>
      <c r="AD9" s="76">
        <f>IFERROR(s_TR/(s_RadSpec!$H9*s_IFAP_far_adj*s_CF_apple),".")</f>
        <v>1246.1024252579975</v>
      </c>
      <c r="AE9" s="76">
        <f>IFERROR(s_TR/(s_RadSpec!$H9*s_IFAS_far_adj*s_CF_asparagus),".")</f>
        <v>1246.1024252579975</v>
      </c>
      <c r="AF9" s="76">
        <f>IFERROR(s_TR/(s_RadSpec!$H9*s_IFBT_far_adj*s_CF_beet),".")</f>
        <v>1246.1024252579975</v>
      </c>
      <c r="AG9" s="76">
        <f>IFERROR(s_TR/(s_RadSpec!$H9*s_IFBE_far_adj*s_CF_berries),".")</f>
        <v>1246.1024252579975</v>
      </c>
      <c r="AH9" s="76">
        <f>IFERROR(s_TR/(s_RadSpec!$H9*s_IFBR_far_adj*s_CF_broccoli),".")</f>
        <v>1246.1024252579975</v>
      </c>
      <c r="AI9" s="76">
        <f>IFERROR(s_TR/(s_RadSpec!$H9*s_IFCB_far_adj*s_CF_cabbage),".")</f>
        <v>1246.1024252579975</v>
      </c>
      <c r="AJ9" s="76">
        <f>IFERROR(s_TR/(s_RadSpec!$H9*s_IFCR_far_adj*s_CF_carrot),".")</f>
        <v>1246.1024252579975</v>
      </c>
      <c r="AK9" s="76">
        <f>IFERROR(s_TR/(s_RadSpec!$H9*s_IFCI_far_adj*s_CF_citrus),".")</f>
        <v>1246.1024252579975</v>
      </c>
      <c r="AL9" s="76">
        <f>IFERROR(s_TR/(s_RadSpec!$H9*s_IFCO_far_adj*s_CF_corn),".")</f>
        <v>1246.1024252579975</v>
      </c>
      <c r="AM9" s="76">
        <f>IFERROR(s_TR/(s_RadSpec!$H9*s_IFCU_far_adj*s_CF_cucumber),".")</f>
        <v>1246.1024252579975</v>
      </c>
      <c r="AN9" s="76">
        <f>IFERROR(s_TR/(s_RadSpec!$H9*s_IFLE_far_adj*s_CF_lettuce),".")</f>
        <v>1246.1024252579975</v>
      </c>
      <c r="AO9" s="76">
        <f>IFERROR(s_TR/(s_RadSpec!$H9*s_IFLI_far_adj*s_CF_lima_bean),".")</f>
        <v>1246.1024252579975</v>
      </c>
      <c r="AP9" s="76">
        <f>IFERROR(s_TR/(s_RadSpec!$H9*s_IFOK_far_adj*s_CF_okra),".")</f>
        <v>1246.1024252579975</v>
      </c>
      <c r="AQ9" s="76">
        <f>IFERROR(s_TR/(s_RadSpec!$H9*s_IFON_far_adj*s_CF_onion),".")</f>
        <v>1246.1024252579975</v>
      </c>
      <c r="AR9" s="76">
        <f>IFERROR(s_TR/(s_RadSpec!$H9*s_IFPC_far_adj*s_CF_peach),".")</f>
        <v>1246.1024252579975</v>
      </c>
      <c r="AS9" s="76">
        <f>IFERROR(s_TR/(s_RadSpec!$H9*s_IFPR_far_adj*s_CF_pear),".")</f>
        <v>1246.1024252579975</v>
      </c>
      <c r="AT9" s="76">
        <f>IFERROR(s_TR/(s_RadSpec!$H9*s_IFPE_far_adj*s_CF_peas),".")</f>
        <v>1246.1024252579975</v>
      </c>
      <c r="AU9" s="76">
        <f>IFERROR(s_TR/(s_RadSpec!$H9*s_IFPP_far_adj*s_CF_peppers),".")</f>
        <v>1246.1024252579975</v>
      </c>
      <c r="AV9" s="76">
        <f>IFERROR(s_TR/(s_RadSpec!$H9*s_IFPT_far_adj*s_CF_potato),".")</f>
        <v>1246.1024252579975</v>
      </c>
      <c r="AW9" s="76">
        <f>IFERROR(s_TR/(s_RadSpec!$H9*s_IFPU_far_adj*s_CF_pumpkin),".")</f>
        <v>1246.1024252579975</v>
      </c>
      <c r="AX9" s="76">
        <f>IFERROR(s_TR/(s_RadSpec!$H9*s_IFSN_far_adj*s_CF_snap_bean),".")</f>
        <v>1246.1024252579975</v>
      </c>
      <c r="AY9" s="76">
        <f>IFERROR(s_TR/(s_RadSpec!$H9*s_IFST_far_adj*s_CF_strawberry),".")</f>
        <v>1246.1024252579975</v>
      </c>
      <c r="AZ9" s="76">
        <f>IFERROR(s_TR/(s_RadSpec!$H9*s_IFTO_far_adj*s_CF_tomato),".")</f>
        <v>1246.1024252579975</v>
      </c>
      <c r="BA9" s="76">
        <f>IFERROR(s_TR/(s_RadSpec!$H9*s_IFRI_far_adj*s_CF_rice),".")</f>
        <v>1246.1024252579975</v>
      </c>
      <c r="BB9" s="76">
        <f>IFERROR(s_TR/(s_RadSpec!$H9*s_IFCG_far_adj*s_CF_cereal),".")</f>
        <v>1246.1024252579975</v>
      </c>
      <c r="BC9" s="93">
        <f t="shared" si="26"/>
        <v>605000</v>
      </c>
      <c r="BD9" s="93">
        <f t="shared" si="0"/>
        <v>151250</v>
      </c>
      <c r="BE9" s="93">
        <f t="shared" si="1"/>
        <v>151250</v>
      </c>
      <c r="BF9" s="93">
        <f t="shared" si="2"/>
        <v>151250</v>
      </c>
      <c r="BG9" s="93">
        <f t="shared" si="3"/>
        <v>151250</v>
      </c>
      <c r="BH9" s="93">
        <f t="shared" si="4"/>
        <v>151250</v>
      </c>
      <c r="BI9" s="93">
        <f t="shared" si="5"/>
        <v>151250</v>
      </c>
      <c r="BJ9" s="93">
        <f t="shared" si="6"/>
        <v>151250</v>
      </c>
      <c r="BK9" s="93">
        <f t="shared" si="7"/>
        <v>151250</v>
      </c>
      <c r="BL9" s="93">
        <f t="shared" si="8"/>
        <v>151250</v>
      </c>
      <c r="BM9" s="93">
        <f t="shared" si="9"/>
        <v>151250</v>
      </c>
      <c r="BN9" s="93">
        <f t="shared" si="10"/>
        <v>151250</v>
      </c>
      <c r="BO9" s="93">
        <f t="shared" si="11"/>
        <v>151250</v>
      </c>
      <c r="BP9" s="93">
        <f t="shared" si="12"/>
        <v>151250</v>
      </c>
      <c r="BQ9" s="93">
        <f t="shared" si="13"/>
        <v>151250</v>
      </c>
      <c r="BR9" s="93">
        <f t="shared" si="14"/>
        <v>151250</v>
      </c>
      <c r="BS9" s="93">
        <f t="shared" si="15"/>
        <v>151250</v>
      </c>
      <c r="BT9" s="93">
        <f t="shared" si="27"/>
        <v>151250</v>
      </c>
      <c r="BU9" s="93">
        <f t="shared" si="16"/>
        <v>151250</v>
      </c>
      <c r="BV9" s="93">
        <f t="shared" si="17"/>
        <v>151250</v>
      </c>
      <c r="BW9" s="93">
        <f t="shared" si="18"/>
        <v>151250</v>
      </c>
      <c r="BX9" s="93">
        <f t="shared" si="19"/>
        <v>151250</v>
      </c>
      <c r="BY9" s="93">
        <f t="shared" si="20"/>
        <v>151250</v>
      </c>
      <c r="BZ9" s="93">
        <f t="shared" si="21"/>
        <v>151250</v>
      </c>
      <c r="CA9" s="93">
        <f t="shared" si="22"/>
        <v>151250</v>
      </c>
      <c r="CB9" s="93">
        <f t="shared" si="23"/>
        <v>151250</v>
      </c>
    </row>
    <row r="10" spans="1:80" x14ac:dyDescent="0.25">
      <c r="A10" s="94" t="s">
        <v>20</v>
      </c>
      <c r="B10" s="90" t="s">
        <v>349</v>
      </c>
      <c r="C10" s="76">
        <f t="shared" si="24"/>
        <v>2.2115233636385754</v>
      </c>
      <c r="D10" s="76">
        <f>IFERROR(s_TR/(s_RadSpec!$H10*s_IFAP_res_adj*s_CF_apple),".")</f>
        <v>8.8460934545543015</v>
      </c>
      <c r="E10" s="76">
        <f>IFERROR(s_TR/(s_RadSpec!$H10*s_IFAS_res_adj*s_CF_asparagus),".")</f>
        <v>8.8460934545543015</v>
      </c>
      <c r="F10" s="76">
        <f>IFERROR(s_TR/(s_RadSpec!$H10*s_IFBT_res_adj*s_CF_beet),".")</f>
        <v>8.8460934545543015</v>
      </c>
      <c r="G10" s="76">
        <f>IFERROR(s_TR/(s_RadSpec!$H10*s_IFBE_res_adj*s_CF_berries),".")</f>
        <v>8.8460934545543015</v>
      </c>
      <c r="H10" s="76">
        <f>IFERROR(s_TR/(s_RadSpec!$H10*s_IFBR_res_adj*s_CF_broccoli),".")</f>
        <v>8.8460934545543015</v>
      </c>
      <c r="I10" s="76">
        <f>IFERROR(s_TR/(s_RadSpec!$H10*s_IFCB_res_adj*s_CF_cabbage),".")</f>
        <v>8.8460934545543015</v>
      </c>
      <c r="J10" s="76">
        <f>IFERROR(s_TR/(s_RadSpec!$H10*s_IFCR_res_adj*s_CF_carrot),".")</f>
        <v>8.8460934545543015</v>
      </c>
      <c r="K10" s="76">
        <f>IFERROR(s_TR/(s_RadSpec!$H10*s_IFCI_res_adj*s_CF_citrus),".")</f>
        <v>8.8460934545543015</v>
      </c>
      <c r="L10" s="76">
        <f>IFERROR(s_TR/(s_RadSpec!$H10*s_IFCO_res_adj*s_CF_corn),".")</f>
        <v>8.8460934545543015</v>
      </c>
      <c r="M10" s="76">
        <f>IFERROR(s_TR/(s_RadSpec!$H10*s_IFCU_res_adj*s_CF_cucumber),".")</f>
        <v>8.8460934545543015</v>
      </c>
      <c r="N10" s="76">
        <f>IFERROR(s_TR/(s_RadSpec!$H10*s_IFLE_res_adj*s_CF_lettuce),".")</f>
        <v>8.8460934545543015</v>
      </c>
      <c r="O10" s="76">
        <f>IFERROR(s_TR/(s_RadSpec!$H10*s_IFLI_res_adj*s_CF_lima_bean),".")</f>
        <v>8.8460934545543015</v>
      </c>
      <c r="P10" s="76">
        <f>IFERROR(s_TR/(s_RadSpec!$H10*s_IFOK_res_adj*s_CF_okra),".")</f>
        <v>8.8460934545543015</v>
      </c>
      <c r="Q10" s="76">
        <f>IFERROR(s_TR/(s_RadSpec!$H10*s_IFON_res_adj*s_CF_onion),".")</f>
        <v>8.8460934545543015</v>
      </c>
      <c r="R10" s="76">
        <f>IFERROR(s_TR/(s_RadSpec!$H10*s_IFPC_res_adj*s_CF_peach),".")</f>
        <v>8.8460934545543015</v>
      </c>
      <c r="S10" s="76">
        <f>IFERROR(s_TR/(s_RadSpec!$H10*s_IFPR_res_adj*s_CF_pear),".")</f>
        <v>8.8460934545543015</v>
      </c>
      <c r="T10" s="76">
        <f>IFERROR(s_TR/(s_RadSpec!$H10*s_IFPE_res_adj*s_CF_peas),".")</f>
        <v>8.8460934545543015</v>
      </c>
      <c r="U10" s="76">
        <f>IFERROR(s_TR/(s_RadSpec!$H10*s_IFPP_res_adj*s_CF_peppers),".")</f>
        <v>8.8460934545543015</v>
      </c>
      <c r="V10" s="76">
        <f>IFERROR(s_TR/(s_RadSpec!$H10*s_IFPT_res_adj*s_CF_potato),".")</f>
        <v>8.8460934545543015</v>
      </c>
      <c r="W10" s="76">
        <f>IFERROR(s_TR/(s_RadSpec!$H10*s_IFPU_res_adj*s_CF_pumpkin),".")</f>
        <v>8.8460934545543015</v>
      </c>
      <c r="X10" s="76">
        <f>IFERROR(s_TR/(s_RadSpec!$H10*s_IFSN_res_adj*s_CF_snap_bean),".")</f>
        <v>8.8460934545543015</v>
      </c>
      <c r="Y10" s="76">
        <f>IFERROR(s_TR/(s_RadSpec!$H10*s_IFST_res_adj*s_CF_strawberry),".")</f>
        <v>8.8460934545543015</v>
      </c>
      <c r="Z10" s="76">
        <f>IFERROR(s_TR/(s_RadSpec!$H10*s_IFTO_res_adj*s_CF_tomato),".")</f>
        <v>8.8460934545543015</v>
      </c>
      <c r="AA10" s="76">
        <f>IFERROR(s_TR/(s_RadSpec!$H10*s_IFRI_res_adj*s_CF_rice),".")</f>
        <v>8.8460934545543015</v>
      </c>
      <c r="AB10" s="76">
        <f>IFERROR(s_TR/(s_RadSpec!$H10*s_IFCG_res_adj*s_CF_cereal),".")</f>
        <v>8.8460934545543015</v>
      </c>
      <c r="AC10" s="76">
        <f t="shared" si="25"/>
        <v>2.2115233636385754</v>
      </c>
      <c r="AD10" s="76">
        <f>IFERROR(s_TR/(s_RadSpec!$H10*s_IFAP_far_adj*s_CF_apple),".")</f>
        <v>8.8460934545543015</v>
      </c>
      <c r="AE10" s="76">
        <f>IFERROR(s_TR/(s_RadSpec!$H10*s_IFAS_far_adj*s_CF_asparagus),".")</f>
        <v>8.8460934545543015</v>
      </c>
      <c r="AF10" s="76">
        <f>IFERROR(s_TR/(s_RadSpec!$H10*s_IFBT_far_adj*s_CF_beet),".")</f>
        <v>8.8460934545543015</v>
      </c>
      <c r="AG10" s="76">
        <f>IFERROR(s_TR/(s_RadSpec!$H10*s_IFBE_far_adj*s_CF_berries),".")</f>
        <v>8.8460934545543015</v>
      </c>
      <c r="AH10" s="76">
        <f>IFERROR(s_TR/(s_RadSpec!$H10*s_IFBR_far_adj*s_CF_broccoli),".")</f>
        <v>8.8460934545543015</v>
      </c>
      <c r="AI10" s="76">
        <f>IFERROR(s_TR/(s_RadSpec!$H10*s_IFCB_far_adj*s_CF_cabbage),".")</f>
        <v>8.8460934545543015</v>
      </c>
      <c r="AJ10" s="76">
        <f>IFERROR(s_TR/(s_RadSpec!$H10*s_IFCR_far_adj*s_CF_carrot),".")</f>
        <v>8.8460934545543015</v>
      </c>
      <c r="AK10" s="76">
        <f>IFERROR(s_TR/(s_RadSpec!$H10*s_IFCI_far_adj*s_CF_citrus),".")</f>
        <v>8.8460934545543015</v>
      </c>
      <c r="AL10" s="76">
        <f>IFERROR(s_TR/(s_RadSpec!$H10*s_IFCO_far_adj*s_CF_corn),".")</f>
        <v>8.8460934545543015</v>
      </c>
      <c r="AM10" s="76">
        <f>IFERROR(s_TR/(s_RadSpec!$H10*s_IFCU_far_adj*s_CF_cucumber),".")</f>
        <v>8.8460934545543015</v>
      </c>
      <c r="AN10" s="76">
        <f>IFERROR(s_TR/(s_RadSpec!$H10*s_IFLE_far_adj*s_CF_lettuce),".")</f>
        <v>8.8460934545543015</v>
      </c>
      <c r="AO10" s="76">
        <f>IFERROR(s_TR/(s_RadSpec!$H10*s_IFLI_far_adj*s_CF_lima_bean),".")</f>
        <v>8.8460934545543015</v>
      </c>
      <c r="AP10" s="76">
        <f>IFERROR(s_TR/(s_RadSpec!$H10*s_IFOK_far_adj*s_CF_okra),".")</f>
        <v>8.8460934545543015</v>
      </c>
      <c r="AQ10" s="76">
        <f>IFERROR(s_TR/(s_RadSpec!$H10*s_IFON_far_adj*s_CF_onion),".")</f>
        <v>8.8460934545543015</v>
      </c>
      <c r="AR10" s="76">
        <f>IFERROR(s_TR/(s_RadSpec!$H10*s_IFPC_far_adj*s_CF_peach),".")</f>
        <v>8.8460934545543015</v>
      </c>
      <c r="AS10" s="76">
        <f>IFERROR(s_TR/(s_RadSpec!$H10*s_IFPR_far_adj*s_CF_pear),".")</f>
        <v>8.8460934545543015</v>
      </c>
      <c r="AT10" s="76">
        <f>IFERROR(s_TR/(s_RadSpec!$H10*s_IFPE_far_adj*s_CF_peas),".")</f>
        <v>8.8460934545543015</v>
      </c>
      <c r="AU10" s="76">
        <f>IFERROR(s_TR/(s_RadSpec!$H10*s_IFPP_far_adj*s_CF_peppers),".")</f>
        <v>8.8460934545543015</v>
      </c>
      <c r="AV10" s="76">
        <f>IFERROR(s_TR/(s_RadSpec!$H10*s_IFPT_far_adj*s_CF_potato),".")</f>
        <v>8.8460934545543015</v>
      </c>
      <c r="AW10" s="76">
        <f>IFERROR(s_TR/(s_RadSpec!$H10*s_IFPU_far_adj*s_CF_pumpkin),".")</f>
        <v>8.8460934545543015</v>
      </c>
      <c r="AX10" s="76">
        <f>IFERROR(s_TR/(s_RadSpec!$H10*s_IFSN_far_adj*s_CF_snap_bean),".")</f>
        <v>8.8460934545543015</v>
      </c>
      <c r="AY10" s="76">
        <f>IFERROR(s_TR/(s_RadSpec!$H10*s_IFST_far_adj*s_CF_strawberry),".")</f>
        <v>8.8460934545543015</v>
      </c>
      <c r="AZ10" s="76">
        <f>IFERROR(s_TR/(s_RadSpec!$H10*s_IFTO_far_adj*s_CF_tomato),".")</f>
        <v>8.8460934545543015</v>
      </c>
      <c r="BA10" s="76">
        <f>IFERROR(s_TR/(s_RadSpec!$H10*s_IFRI_far_adj*s_CF_rice),".")</f>
        <v>8.8460934545543015</v>
      </c>
      <c r="BB10" s="76">
        <f>IFERROR(s_TR/(s_RadSpec!$H10*s_IFCG_far_adj*s_CF_cereal),".")</f>
        <v>8.8460934545543015</v>
      </c>
      <c r="BC10" s="93">
        <f t="shared" si="26"/>
        <v>605000</v>
      </c>
      <c r="BD10" s="93">
        <f t="shared" si="0"/>
        <v>151250</v>
      </c>
      <c r="BE10" s="93">
        <f t="shared" si="1"/>
        <v>151250</v>
      </c>
      <c r="BF10" s="93">
        <f t="shared" si="2"/>
        <v>151250</v>
      </c>
      <c r="BG10" s="93">
        <f t="shared" si="3"/>
        <v>151250</v>
      </c>
      <c r="BH10" s="93">
        <f t="shared" si="4"/>
        <v>151250</v>
      </c>
      <c r="BI10" s="93">
        <f t="shared" si="5"/>
        <v>151250</v>
      </c>
      <c r="BJ10" s="93">
        <f t="shared" si="6"/>
        <v>151250</v>
      </c>
      <c r="BK10" s="93">
        <f t="shared" si="7"/>
        <v>151250</v>
      </c>
      <c r="BL10" s="93">
        <f t="shared" si="8"/>
        <v>151250</v>
      </c>
      <c r="BM10" s="93">
        <f t="shared" si="9"/>
        <v>151250</v>
      </c>
      <c r="BN10" s="93">
        <f t="shared" si="10"/>
        <v>151250</v>
      </c>
      <c r="BO10" s="93">
        <f t="shared" si="11"/>
        <v>151250</v>
      </c>
      <c r="BP10" s="93">
        <f t="shared" si="12"/>
        <v>151250</v>
      </c>
      <c r="BQ10" s="93">
        <f t="shared" si="13"/>
        <v>151250</v>
      </c>
      <c r="BR10" s="93">
        <f t="shared" si="14"/>
        <v>151250</v>
      </c>
      <c r="BS10" s="93">
        <f t="shared" si="15"/>
        <v>151250</v>
      </c>
      <c r="BT10" s="93">
        <f t="shared" si="27"/>
        <v>151250</v>
      </c>
      <c r="BU10" s="93">
        <f t="shared" si="16"/>
        <v>151250</v>
      </c>
      <c r="BV10" s="93">
        <f t="shared" si="17"/>
        <v>151250</v>
      </c>
      <c r="BW10" s="93">
        <f t="shared" si="18"/>
        <v>151250</v>
      </c>
      <c r="BX10" s="93">
        <f t="shared" si="19"/>
        <v>151250</v>
      </c>
      <c r="BY10" s="93">
        <f t="shared" si="20"/>
        <v>151250</v>
      </c>
      <c r="BZ10" s="93">
        <f t="shared" si="21"/>
        <v>151250</v>
      </c>
      <c r="CA10" s="93">
        <f t="shared" si="22"/>
        <v>151250</v>
      </c>
      <c r="CB10" s="93">
        <f t="shared" si="23"/>
        <v>151250</v>
      </c>
    </row>
    <row r="11" spans="1:80" x14ac:dyDescent="0.25">
      <c r="A11" s="92" t="s">
        <v>21</v>
      </c>
      <c r="B11" s="90" t="s">
        <v>1071</v>
      </c>
      <c r="C11" s="76" t="str">
        <f t="shared" si="24"/>
        <v>.</v>
      </c>
      <c r="D11" s="76" t="str">
        <f>IFERROR(s_TR/(s_RadSpec!$H11*s_IFAP_res_adj*s_CF_apple),".")</f>
        <v>.</v>
      </c>
      <c r="E11" s="76" t="str">
        <f>IFERROR(s_TR/(s_RadSpec!$H11*s_IFAS_res_adj*s_CF_asparagus),".")</f>
        <v>.</v>
      </c>
      <c r="F11" s="76" t="str">
        <f>IFERROR(s_TR/(s_RadSpec!$H11*s_IFBT_res_adj*s_CF_beet),".")</f>
        <v>.</v>
      </c>
      <c r="G11" s="76" t="str">
        <f>IFERROR(s_TR/(s_RadSpec!$H11*s_IFBE_res_adj*s_CF_berries),".")</f>
        <v>.</v>
      </c>
      <c r="H11" s="76" t="str">
        <f>IFERROR(s_TR/(s_RadSpec!$H11*s_IFBR_res_adj*s_CF_broccoli),".")</f>
        <v>.</v>
      </c>
      <c r="I11" s="76" t="str">
        <f>IFERROR(s_TR/(s_RadSpec!$H11*s_IFCB_res_adj*s_CF_cabbage),".")</f>
        <v>.</v>
      </c>
      <c r="J11" s="76" t="str">
        <f>IFERROR(s_TR/(s_RadSpec!$H11*s_IFCR_res_adj*s_CF_carrot),".")</f>
        <v>.</v>
      </c>
      <c r="K11" s="76" t="str">
        <f>IFERROR(s_TR/(s_RadSpec!$H11*s_IFCI_res_adj*s_CF_citrus),".")</f>
        <v>.</v>
      </c>
      <c r="L11" s="76" t="str">
        <f>IFERROR(s_TR/(s_RadSpec!$H11*s_IFCO_res_adj*s_CF_corn),".")</f>
        <v>.</v>
      </c>
      <c r="M11" s="76" t="str">
        <f>IFERROR(s_TR/(s_RadSpec!$H11*s_IFCU_res_adj*s_CF_cucumber),".")</f>
        <v>.</v>
      </c>
      <c r="N11" s="76" t="str">
        <f>IFERROR(s_TR/(s_RadSpec!$H11*s_IFLE_res_adj*s_CF_lettuce),".")</f>
        <v>.</v>
      </c>
      <c r="O11" s="76" t="str">
        <f>IFERROR(s_TR/(s_RadSpec!$H11*s_IFLI_res_adj*s_CF_lima_bean),".")</f>
        <v>.</v>
      </c>
      <c r="P11" s="76" t="str">
        <f>IFERROR(s_TR/(s_RadSpec!$H11*s_IFOK_res_adj*s_CF_okra),".")</f>
        <v>.</v>
      </c>
      <c r="Q11" s="76" t="str">
        <f>IFERROR(s_TR/(s_RadSpec!$H11*s_IFON_res_adj*s_CF_onion),".")</f>
        <v>.</v>
      </c>
      <c r="R11" s="76" t="str">
        <f>IFERROR(s_TR/(s_RadSpec!$H11*s_IFPC_res_adj*s_CF_peach),".")</f>
        <v>.</v>
      </c>
      <c r="S11" s="76" t="str">
        <f>IFERROR(s_TR/(s_RadSpec!$H11*s_IFPR_res_adj*s_CF_pear),".")</f>
        <v>.</v>
      </c>
      <c r="T11" s="76" t="str">
        <f>IFERROR(s_TR/(s_RadSpec!$H11*s_IFPE_res_adj*s_CF_peas),".")</f>
        <v>.</v>
      </c>
      <c r="U11" s="76" t="str">
        <f>IFERROR(s_TR/(s_RadSpec!$H11*s_IFPP_res_adj*s_CF_peppers),".")</f>
        <v>.</v>
      </c>
      <c r="V11" s="76" t="str">
        <f>IFERROR(s_TR/(s_RadSpec!$H11*s_IFPT_res_adj*s_CF_potato),".")</f>
        <v>.</v>
      </c>
      <c r="W11" s="76" t="str">
        <f>IFERROR(s_TR/(s_RadSpec!$H11*s_IFPU_res_adj*s_CF_pumpkin),".")</f>
        <v>.</v>
      </c>
      <c r="X11" s="76" t="str">
        <f>IFERROR(s_TR/(s_RadSpec!$H11*s_IFSN_res_adj*s_CF_snap_bean),".")</f>
        <v>.</v>
      </c>
      <c r="Y11" s="76" t="str">
        <f>IFERROR(s_TR/(s_RadSpec!$H11*s_IFST_res_adj*s_CF_strawberry),".")</f>
        <v>.</v>
      </c>
      <c r="Z11" s="76" t="str">
        <f>IFERROR(s_TR/(s_RadSpec!$H11*s_IFTO_res_adj*s_CF_tomato),".")</f>
        <v>.</v>
      </c>
      <c r="AA11" s="76" t="str">
        <f>IFERROR(s_TR/(s_RadSpec!$H11*s_IFRI_res_adj*s_CF_rice),".")</f>
        <v>.</v>
      </c>
      <c r="AB11" s="76" t="str">
        <f>IFERROR(s_TR/(s_RadSpec!$H11*s_IFCG_res_adj*s_CF_cereal),".")</f>
        <v>.</v>
      </c>
      <c r="AC11" s="76" t="str">
        <f t="shared" si="25"/>
        <v>.</v>
      </c>
      <c r="AD11" s="76" t="str">
        <f>IFERROR(s_TR/(s_RadSpec!$H11*s_IFAP_far_adj*s_CF_apple),".")</f>
        <v>.</v>
      </c>
      <c r="AE11" s="76" t="str">
        <f>IFERROR(s_TR/(s_RadSpec!$H11*s_IFAS_far_adj*s_CF_asparagus),".")</f>
        <v>.</v>
      </c>
      <c r="AF11" s="76" t="str">
        <f>IFERROR(s_TR/(s_RadSpec!$H11*s_IFBT_far_adj*s_CF_beet),".")</f>
        <v>.</v>
      </c>
      <c r="AG11" s="76" t="str">
        <f>IFERROR(s_TR/(s_RadSpec!$H11*s_IFBE_far_adj*s_CF_berries),".")</f>
        <v>.</v>
      </c>
      <c r="AH11" s="76" t="str">
        <f>IFERROR(s_TR/(s_RadSpec!$H11*s_IFBR_far_adj*s_CF_broccoli),".")</f>
        <v>.</v>
      </c>
      <c r="AI11" s="76" t="str">
        <f>IFERROR(s_TR/(s_RadSpec!$H11*s_IFCB_far_adj*s_CF_cabbage),".")</f>
        <v>.</v>
      </c>
      <c r="AJ11" s="76" t="str">
        <f>IFERROR(s_TR/(s_RadSpec!$H11*s_IFCR_far_adj*s_CF_carrot),".")</f>
        <v>.</v>
      </c>
      <c r="AK11" s="76" t="str">
        <f>IFERROR(s_TR/(s_RadSpec!$H11*s_IFCI_far_adj*s_CF_citrus),".")</f>
        <v>.</v>
      </c>
      <c r="AL11" s="76" t="str">
        <f>IFERROR(s_TR/(s_RadSpec!$H11*s_IFCO_far_adj*s_CF_corn),".")</f>
        <v>.</v>
      </c>
      <c r="AM11" s="76" t="str">
        <f>IFERROR(s_TR/(s_RadSpec!$H11*s_IFCU_far_adj*s_CF_cucumber),".")</f>
        <v>.</v>
      </c>
      <c r="AN11" s="76" t="str">
        <f>IFERROR(s_TR/(s_RadSpec!$H11*s_IFLE_far_adj*s_CF_lettuce),".")</f>
        <v>.</v>
      </c>
      <c r="AO11" s="76" t="str">
        <f>IFERROR(s_TR/(s_RadSpec!$H11*s_IFLI_far_adj*s_CF_lima_bean),".")</f>
        <v>.</v>
      </c>
      <c r="AP11" s="76" t="str">
        <f>IFERROR(s_TR/(s_RadSpec!$H11*s_IFOK_far_adj*s_CF_okra),".")</f>
        <v>.</v>
      </c>
      <c r="AQ11" s="76" t="str">
        <f>IFERROR(s_TR/(s_RadSpec!$H11*s_IFON_far_adj*s_CF_onion),".")</f>
        <v>.</v>
      </c>
      <c r="AR11" s="76" t="str">
        <f>IFERROR(s_TR/(s_RadSpec!$H11*s_IFPC_far_adj*s_CF_peach),".")</f>
        <v>.</v>
      </c>
      <c r="AS11" s="76" t="str">
        <f>IFERROR(s_TR/(s_RadSpec!$H11*s_IFPR_far_adj*s_CF_pear),".")</f>
        <v>.</v>
      </c>
      <c r="AT11" s="76" t="str">
        <f>IFERROR(s_TR/(s_RadSpec!$H11*s_IFPE_far_adj*s_CF_peas),".")</f>
        <v>.</v>
      </c>
      <c r="AU11" s="76" t="str">
        <f>IFERROR(s_TR/(s_RadSpec!$H11*s_IFPP_far_adj*s_CF_peppers),".")</f>
        <v>.</v>
      </c>
      <c r="AV11" s="76" t="str">
        <f>IFERROR(s_TR/(s_RadSpec!$H11*s_IFPT_far_adj*s_CF_potato),".")</f>
        <v>.</v>
      </c>
      <c r="AW11" s="76" t="str">
        <f>IFERROR(s_TR/(s_RadSpec!$H11*s_IFPU_far_adj*s_CF_pumpkin),".")</f>
        <v>.</v>
      </c>
      <c r="AX11" s="76" t="str">
        <f>IFERROR(s_TR/(s_RadSpec!$H11*s_IFSN_far_adj*s_CF_snap_bean),".")</f>
        <v>.</v>
      </c>
      <c r="AY11" s="76" t="str">
        <f>IFERROR(s_TR/(s_RadSpec!$H11*s_IFST_far_adj*s_CF_strawberry),".")</f>
        <v>.</v>
      </c>
      <c r="AZ11" s="76" t="str">
        <f>IFERROR(s_TR/(s_RadSpec!$H11*s_IFTO_far_adj*s_CF_tomato),".")</f>
        <v>.</v>
      </c>
      <c r="BA11" s="76" t="str">
        <f>IFERROR(s_TR/(s_RadSpec!$H11*s_IFRI_far_adj*s_CF_rice),".")</f>
        <v>.</v>
      </c>
      <c r="BB11" s="76" t="str">
        <f>IFERROR(s_TR/(s_RadSpec!$H11*s_IFCG_far_adj*s_CF_cereal),".")</f>
        <v>.</v>
      </c>
      <c r="BC11" s="93">
        <f t="shared" si="26"/>
        <v>605000</v>
      </c>
      <c r="BD11" s="93">
        <f t="shared" si="0"/>
        <v>151250</v>
      </c>
      <c r="BE11" s="93">
        <f t="shared" si="1"/>
        <v>151250</v>
      </c>
      <c r="BF11" s="93">
        <f t="shared" si="2"/>
        <v>151250</v>
      </c>
      <c r="BG11" s="93">
        <f t="shared" si="3"/>
        <v>151250</v>
      </c>
      <c r="BH11" s="93">
        <f t="shared" si="4"/>
        <v>151250</v>
      </c>
      <c r="BI11" s="93">
        <f t="shared" si="5"/>
        <v>151250</v>
      </c>
      <c r="BJ11" s="93">
        <f t="shared" si="6"/>
        <v>151250</v>
      </c>
      <c r="BK11" s="93">
        <f t="shared" si="7"/>
        <v>151250</v>
      </c>
      <c r="BL11" s="93">
        <f t="shared" si="8"/>
        <v>151250</v>
      </c>
      <c r="BM11" s="93">
        <f t="shared" si="9"/>
        <v>151250</v>
      </c>
      <c r="BN11" s="93">
        <f t="shared" si="10"/>
        <v>151250</v>
      </c>
      <c r="BO11" s="93">
        <f t="shared" si="11"/>
        <v>151250</v>
      </c>
      <c r="BP11" s="93">
        <f t="shared" si="12"/>
        <v>151250</v>
      </c>
      <c r="BQ11" s="93">
        <f t="shared" si="13"/>
        <v>151250</v>
      </c>
      <c r="BR11" s="93">
        <f t="shared" si="14"/>
        <v>151250</v>
      </c>
      <c r="BS11" s="93">
        <f t="shared" si="15"/>
        <v>151250</v>
      </c>
      <c r="BT11" s="93">
        <f t="shared" si="27"/>
        <v>151250</v>
      </c>
      <c r="BU11" s="93">
        <f t="shared" si="16"/>
        <v>151250</v>
      </c>
      <c r="BV11" s="93">
        <f t="shared" si="17"/>
        <v>151250</v>
      </c>
      <c r="BW11" s="93">
        <f t="shared" si="18"/>
        <v>151250</v>
      </c>
      <c r="BX11" s="93">
        <f t="shared" si="19"/>
        <v>151250</v>
      </c>
      <c r="BY11" s="93">
        <f t="shared" si="20"/>
        <v>151250</v>
      </c>
      <c r="BZ11" s="93">
        <f t="shared" si="21"/>
        <v>151250</v>
      </c>
      <c r="CA11" s="93">
        <f t="shared" si="22"/>
        <v>151250</v>
      </c>
      <c r="CB11" s="93">
        <f t="shared" si="23"/>
        <v>151250</v>
      </c>
    </row>
    <row r="12" spans="1:80" x14ac:dyDescent="0.25">
      <c r="A12" s="92" t="s">
        <v>22</v>
      </c>
      <c r="B12" s="90" t="s">
        <v>1071</v>
      </c>
      <c r="C12" s="76" t="str">
        <f t="shared" si="24"/>
        <v>.</v>
      </c>
      <c r="D12" s="76" t="str">
        <f>IFERROR(s_TR/(s_RadSpec!$H12*s_IFAP_res_adj*s_CF_apple),".")</f>
        <v>.</v>
      </c>
      <c r="E12" s="76" t="str">
        <f>IFERROR(s_TR/(s_RadSpec!$H12*s_IFAS_res_adj*s_CF_asparagus),".")</f>
        <v>.</v>
      </c>
      <c r="F12" s="76" t="str">
        <f>IFERROR(s_TR/(s_RadSpec!$H12*s_IFBT_res_adj*s_CF_beet),".")</f>
        <v>.</v>
      </c>
      <c r="G12" s="76" t="str">
        <f>IFERROR(s_TR/(s_RadSpec!$H12*s_IFBE_res_adj*s_CF_berries),".")</f>
        <v>.</v>
      </c>
      <c r="H12" s="76" t="str">
        <f>IFERROR(s_TR/(s_RadSpec!$H12*s_IFBR_res_adj*s_CF_broccoli),".")</f>
        <v>.</v>
      </c>
      <c r="I12" s="76" t="str">
        <f>IFERROR(s_TR/(s_RadSpec!$H12*s_IFCB_res_adj*s_CF_cabbage),".")</f>
        <v>.</v>
      </c>
      <c r="J12" s="76" t="str">
        <f>IFERROR(s_TR/(s_RadSpec!$H12*s_IFCR_res_adj*s_CF_carrot),".")</f>
        <v>.</v>
      </c>
      <c r="K12" s="76" t="str">
        <f>IFERROR(s_TR/(s_RadSpec!$H12*s_IFCI_res_adj*s_CF_citrus),".")</f>
        <v>.</v>
      </c>
      <c r="L12" s="76" t="str">
        <f>IFERROR(s_TR/(s_RadSpec!$H12*s_IFCO_res_adj*s_CF_corn),".")</f>
        <v>.</v>
      </c>
      <c r="M12" s="76" t="str">
        <f>IFERROR(s_TR/(s_RadSpec!$H12*s_IFCU_res_adj*s_CF_cucumber),".")</f>
        <v>.</v>
      </c>
      <c r="N12" s="76" t="str">
        <f>IFERROR(s_TR/(s_RadSpec!$H12*s_IFLE_res_adj*s_CF_lettuce),".")</f>
        <v>.</v>
      </c>
      <c r="O12" s="76" t="str">
        <f>IFERROR(s_TR/(s_RadSpec!$H12*s_IFLI_res_adj*s_CF_lima_bean),".")</f>
        <v>.</v>
      </c>
      <c r="P12" s="76" t="str">
        <f>IFERROR(s_TR/(s_RadSpec!$H12*s_IFOK_res_adj*s_CF_okra),".")</f>
        <v>.</v>
      </c>
      <c r="Q12" s="76" t="str">
        <f>IFERROR(s_TR/(s_RadSpec!$H12*s_IFON_res_adj*s_CF_onion),".")</f>
        <v>.</v>
      </c>
      <c r="R12" s="76" t="str">
        <f>IFERROR(s_TR/(s_RadSpec!$H12*s_IFPC_res_adj*s_CF_peach),".")</f>
        <v>.</v>
      </c>
      <c r="S12" s="76" t="str">
        <f>IFERROR(s_TR/(s_RadSpec!$H12*s_IFPR_res_adj*s_CF_pear),".")</f>
        <v>.</v>
      </c>
      <c r="T12" s="76" t="str">
        <f>IFERROR(s_TR/(s_RadSpec!$H12*s_IFPE_res_adj*s_CF_peas),".")</f>
        <v>.</v>
      </c>
      <c r="U12" s="76" t="str">
        <f>IFERROR(s_TR/(s_RadSpec!$H12*s_IFPP_res_adj*s_CF_peppers),".")</f>
        <v>.</v>
      </c>
      <c r="V12" s="76" t="str">
        <f>IFERROR(s_TR/(s_RadSpec!$H12*s_IFPT_res_adj*s_CF_potato),".")</f>
        <v>.</v>
      </c>
      <c r="W12" s="76" t="str">
        <f>IFERROR(s_TR/(s_RadSpec!$H12*s_IFPU_res_adj*s_CF_pumpkin),".")</f>
        <v>.</v>
      </c>
      <c r="X12" s="76" t="str">
        <f>IFERROR(s_TR/(s_RadSpec!$H12*s_IFSN_res_adj*s_CF_snap_bean),".")</f>
        <v>.</v>
      </c>
      <c r="Y12" s="76" t="str">
        <f>IFERROR(s_TR/(s_RadSpec!$H12*s_IFST_res_adj*s_CF_strawberry),".")</f>
        <v>.</v>
      </c>
      <c r="Z12" s="76" t="str">
        <f>IFERROR(s_TR/(s_RadSpec!$H12*s_IFTO_res_adj*s_CF_tomato),".")</f>
        <v>.</v>
      </c>
      <c r="AA12" s="76" t="str">
        <f>IFERROR(s_TR/(s_RadSpec!$H12*s_IFRI_res_adj*s_CF_rice),".")</f>
        <v>.</v>
      </c>
      <c r="AB12" s="76" t="str">
        <f>IFERROR(s_TR/(s_RadSpec!$H12*s_IFCG_res_adj*s_CF_cereal),".")</f>
        <v>.</v>
      </c>
      <c r="AC12" s="76" t="str">
        <f t="shared" si="25"/>
        <v>.</v>
      </c>
      <c r="AD12" s="76" t="str">
        <f>IFERROR(s_TR/(s_RadSpec!$H12*s_IFAP_far_adj*s_CF_apple),".")</f>
        <v>.</v>
      </c>
      <c r="AE12" s="76" t="str">
        <f>IFERROR(s_TR/(s_RadSpec!$H12*s_IFAS_far_adj*s_CF_asparagus),".")</f>
        <v>.</v>
      </c>
      <c r="AF12" s="76" t="str">
        <f>IFERROR(s_TR/(s_RadSpec!$H12*s_IFBT_far_adj*s_CF_beet),".")</f>
        <v>.</v>
      </c>
      <c r="AG12" s="76" t="str">
        <f>IFERROR(s_TR/(s_RadSpec!$H12*s_IFBE_far_adj*s_CF_berries),".")</f>
        <v>.</v>
      </c>
      <c r="AH12" s="76" t="str">
        <f>IFERROR(s_TR/(s_RadSpec!$H12*s_IFBR_far_adj*s_CF_broccoli),".")</f>
        <v>.</v>
      </c>
      <c r="AI12" s="76" t="str">
        <f>IFERROR(s_TR/(s_RadSpec!$H12*s_IFCB_far_adj*s_CF_cabbage),".")</f>
        <v>.</v>
      </c>
      <c r="AJ12" s="76" t="str">
        <f>IFERROR(s_TR/(s_RadSpec!$H12*s_IFCR_far_adj*s_CF_carrot),".")</f>
        <v>.</v>
      </c>
      <c r="AK12" s="76" t="str">
        <f>IFERROR(s_TR/(s_RadSpec!$H12*s_IFCI_far_adj*s_CF_citrus),".")</f>
        <v>.</v>
      </c>
      <c r="AL12" s="76" t="str">
        <f>IFERROR(s_TR/(s_RadSpec!$H12*s_IFCO_far_adj*s_CF_corn),".")</f>
        <v>.</v>
      </c>
      <c r="AM12" s="76" t="str">
        <f>IFERROR(s_TR/(s_RadSpec!$H12*s_IFCU_far_adj*s_CF_cucumber),".")</f>
        <v>.</v>
      </c>
      <c r="AN12" s="76" t="str">
        <f>IFERROR(s_TR/(s_RadSpec!$H12*s_IFLE_far_adj*s_CF_lettuce),".")</f>
        <v>.</v>
      </c>
      <c r="AO12" s="76" t="str">
        <f>IFERROR(s_TR/(s_RadSpec!$H12*s_IFLI_far_adj*s_CF_lima_bean),".")</f>
        <v>.</v>
      </c>
      <c r="AP12" s="76" t="str">
        <f>IFERROR(s_TR/(s_RadSpec!$H12*s_IFOK_far_adj*s_CF_okra),".")</f>
        <v>.</v>
      </c>
      <c r="AQ12" s="76" t="str">
        <f>IFERROR(s_TR/(s_RadSpec!$H12*s_IFON_far_adj*s_CF_onion),".")</f>
        <v>.</v>
      </c>
      <c r="AR12" s="76" t="str">
        <f>IFERROR(s_TR/(s_RadSpec!$H12*s_IFPC_far_adj*s_CF_peach),".")</f>
        <v>.</v>
      </c>
      <c r="AS12" s="76" t="str">
        <f>IFERROR(s_TR/(s_RadSpec!$H12*s_IFPR_far_adj*s_CF_pear),".")</f>
        <v>.</v>
      </c>
      <c r="AT12" s="76" t="str">
        <f>IFERROR(s_TR/(s_RadSpec!$H12*s_IFPE_far_adj*s_CF_peas),".")</f>
        <v>.</v>
      </c>
      <c r="AU12" s="76" t="str">
        <f>IFERROR(s_TR/(s_RadSpec!$H12*s_IFPP_far_adj*s_CF_peppers),".")</f>
        <v>.</v>
      </c>
      <c r="AV12" s="76" t="str">
        <f>IFERROR(s_TR/(s_RadSpec!$H12*s_IFPT_far_adj*s_CF_potato),".")</f>
        <v>.</v>
      </c>
      <c r="AW12" s="76" t="str">
        <f>IFERROR(s_TR/(s_RadSpec!$H12*s_IFPU_far_adj*s_CF_pumpkin),".")</f>
        <v>.</v>
      </c>
      <c r="AX12" s="76" t="str">
        <f>IFERROR(s_TR/(s_RadSpec!$H12*s_IFSN_far_adj*s_CF_snap_bean),".")</f>
        <v>.</v>
      </c>
      <c r="AY12" s="76" t="str">
        <f>IFERROR(s_TR/(s_RadSpec!$H12*s_IFST_far_adj*s_CF_strawberry),".")</f>
        <v>.</v>
      </c>
      <c r="AZ12" s="76" t="str">
        <f>IFERROR(s_TR/(s_RadSpec!$H12*s_IFTO_far_adj*s_CF_tomato),".")</f>
        <v>.</v>
      </c>
      <c r="BA12" s="76" t="str">
        <f>IFERROR(s_TR/(s_RadSpec!$H12*s_IFRI_far_adj*s_CF_rice),".")</f>
        <v>.</v>
      </c>
      <c r="BB12" s="76" t="str">
        <f>IFERROR(s_TR/(s_RadSpec!$H12*s_IFCG_far_adj*s_CF_cereal),".")</f>
        <v>.</v>
      </c>
      <c r="BC12" s="93">
        <f t="shared" si="26"/>
        <v>605000</v>
      </c>
      <c r="BD12" s="93">
        <f t="shared" si="0"/>
        <v>151250</v>
      </c>
      <c r="BE12" s="93">
        <f t="shared" si="1"/>
        <v>151250</v>
      </c>
      <c r="BF12" s="93">
        <f t="shared" si="2"/>
        <v>151250</v>
      </c>
      <c r="BG12" s="93">
        <f t="shared" si="3"/>
        <v>151250</v>
      </c>
      <c r="BH12" s="93">
        <f t="shared" si="4"/>
        <v>151250</v>
      </c>
      <c r="BI12" s="93">
        <f t="shared" si="5"/>
        <v>151250</v>
      </c>
      <c r="BJ12" s="93">
        <f t="shared" si="6"/>
        <v>151250</v>
      </c>
      <c r="BK12" s="93">
        <f t="shared" si="7"/>
        <v>151250</v>
      </c>
      <c r="BL12" s="93">
        <f t="shared" si="8"/>
        <v>151250</v>
      </c>
      <c r="BM12" s="93">
        <f t="shared" si="9"/>
        <v>151250</v>
      </c>
      <c r="BN12" s="93">
        <f t="shared" si="10"/>
        <v>151250</v>
      </c>
      <c r="BO12" s="93">
        <f t="shared" si="11"/>
        <v>151250</v>
      </c>
      <c r="BP12" s="93">
        <f t="shared" si="12"/>
        <v>151250</v>
      </c>
      <c r="BQ12" s="93">
        <f t="shared" si="13"/>
        <v>151250</v>
      </c>
      <c r="BR12" s="93">
        <f t="shared" si="14"/>
        <v>151250</v>
      </c>
      <c r="BS12" s="93">
        <f t="shared" si="15"/>
        <v>151250</v>
      </c>
      <c r="BT12" s="93">
        <f t="shared" si="27"/>
        <v>151250</v>
      </c>
      <c r="BU12" s="93">
        <f t="shared" si="16"/>
        <v>151250</v>
      </c>
      <c r="BV12" s="93">
        <f t="shared" si="17"/>
        <v>151250</v>
      </c>
      <c r="BW12" s="93">
        <f t="shared" si="18"/>
        <v>151250</v>
      </c>
      <c r="BX12" s="93">
        <f t="shared" si="19"/>
        <v>151250</v>
      </c>
      <c r="BY12" s="93">
        <f t="shared" si="20"/>
        <v>151250</v>
      </c>
      <c r="BZ12" s="93">
        <f t="shared" si="21"/>
        <v>151250</v>
      </c>
      <c r="CA12" s="93">
        <f t="shared" si="22"/>
        <v>151250</v>
      </c>
      <c r="CB12" s="93">
        <f t="shared" si="23"/>
        <v>151250</v>
      </c>
    </row>
    <row r="13" spans="1:80" x14ac:dyDescent="0.25">
      <c r="A13" s="92" t="s">
        <v>23</v>
      </c>
      <c r="B13" s="90" t="s">
        <v>1071</v>
      </c>
      <c r="C13" s="76">
        <f t="shared" si="24"/>
        <v>0.997160088069179</v>
      </c>
      <c r="D13" s="76">
        <f>IFERROR(s_TR/(s_RadSpec!$H13*s_IFAP_res_adj*s_CF_apple),".")</f>
        <v>3.988640352276716</v>
      </c>
      <c r="E13" s="76">
        <f>IFERROR(s_TR/(s_RadSpec!$H13*s_IFAS_res_adj*s_CF_asparagus),".")</f>
        <v>3.988640352276716</v>
      </c>
      <c r="F13" s="76">
        <f>IFERROR(s_TR/(s_RadSpec!$H13*s_IFBT_res_adj*s_CF_beet),".")</f>
        <v>3.988640352276716</v>
      </c>
      <c r="G13" s="76">
        <f>IFERROR(s_TR/(s_RadSpec!$H13*s_IFBE_res_adj*s_CF_berries),".")</f>
        <v>3.988640352276716</v>
      </c>
      <c r="H13" s="76">
        <f>IFERROR(s_TR/(s_RadSpec!$H13*s_IFBR_res_adj*s_CF_broccoli),".")</f>
        <v>3.988640352276716</v>
      </c>
      <c r="I13" s="76">
        <f>IFERROR(s_TR/(s_RadSpec!$H13*s_IFCB_res_adj*s_CF_cabbage),".")</f>
        <v>3.988640352276716</v>
      </c>
      <c r="J13" s="76">
        <f>IFERROR(s_TR/(s_RadSpec!$H13*s_IFCR_res_adj*s_CF_carrot),".")</f>
        <v>3.988640352276716</v>
      </c>
      <c r="K13" s="76">
        <f>IFERROR(s_TR/(s_RadSpec!$H13*s_IFCI_res_adj*s_CF_citrus),".")</f>
        <v>3.988640352276716</v>
      </c>
      <c r="L13" s="76">
        <f>IFERROR(s_TR/(s_RadSpec!$H13*s_IFCO_res_adj*s_CF_corn),".")</f>
        <v>3.988640352276716</v>
      </c>
      <c r="M13" s="76">
        <f>IFERROR(s_TR/(s_RadSpec!$H13*s_IFCU_res_adj*s_CF_cucumber),".")</f>
        <v>3.988640352276716</v>
      </c>
      <c r="N13" s="76">
        <f>IFERROR(s_TR/(s_RadSpec!$H13*s_IFLE_res_adj*s_CF_lettuce),".")</f>
        <v>3.988640352276716</v>
      </c>
      <c r="O13" s="76">
        <f>IFERROR(s_TR/(s_RadSpec!$H13*s_IFLI_res_adj*s_CF_lima_bean),".")</f>
        <v>3.988640352276716</v>
      </c>
      <c r="P13" s="76">
        <f>IFERROR(s_TR/(s_RadSpec!$H13*s_IFOK_res_adj*s_CF_okra),".")</f>
        <v>3.988640352276716</v>
      </c>
      <c r="Q13" s="76">
        <f>IFERROR(s_TR/(s_RadSpec!$H13*s_IFON_res_adj*s_CF_onion),".")</f>
        <v>3.988640352276716</v>
      </c>
      <c r="R13" s="76">
        <f>IFERROR(s_TR/(s_RadSpec!$H13*s_IFPC_res_adj*s_CF_peach),".")</f>
        <v>3.988640352276716</v>
      </c>
      <c r="S13" s="76">
        <f>IFERROR(s_TR/(s_RadSpec!$H13*s_IFPR_res_adj*s_CF_pear),".")</f>
        <v>3.988640352276716</v>
      </c>
      <c r="T13" s="76">
        <f>IFERROR(s_TR/(s_RadSpec!$H13*s_IFPE_res_adj*s_CF_peas),".")</f>
        <v>3.988640352276716</v>
      </c>
      <c r="U13" s="76">
        <f>IFERROR(s_TR/(s_RadSpec!$H13*s_IFPP_res_adj*s_CF_peppers),".")</f>
        <v>3.988640352276716</v>
      </c>
      <c r="V13" s="76">
        <f>IFERROR(s_TR/(s_RadSpec!$H13*s_IFPT_res_adj*s_CF_potato),".")</f>
        <v>3.988640352276716</v>
      </c>
      <c r="W13" s="76">
        <f>IFERROR(s_TR/(s_RadSpec!$H13*s_IFPU_res_adj*s_CF_pumpkin),".")</f>
        <v>3.988640352276716</v>
      </c>
      <c r="X13" s="76">
        <f>IFERROR(s_TR/(s_RadSpec!$H13*s_IFSN_res_adj*s_CF_snap_bean),".")</f>
        <v>3.988640352276716</v>
      </c>
      <c r="Y13" s="76">
        <f>IFERROR(s_TR/(s_RadSpec!$H13*s_IFST_res_adj*s_CF_strawberry),".")</f>
        <v>3.988640352276716</v>
      </c>
      <c r="Z13" s="76">
        <f>IFERROR(s_TR/(s_RadSpec!$H13*s_IFTO_res_adj*s_CF_tomato),".")</f>
        <v>3.988640352276716</v>
      </c>
      <c r="AA13" s="76">
        <f>IFERROR(s_TR/(s_RadSpec!$H13*s_IFRI_res_adj*s_CF_rice),".")</f>
        <v>3.988640352276716</v>
      </c>
      <c r="AB13" s="76">
        <f>IFERROR(s_TR/(s_RadSpec!$H13*s_IFCG_res_adj*s_CF_cereal),".")</f>
        <v>3.988640352276716</v>
      </c>
      <c r="AC13" s="76">
        <f t="shared" si="25"/>
        <v>0.997160088069179</v>
      </c>
      <c r="AD13" s="76">
        <f>IFERROR(s_TR/(s_RadSpec!$H13*s_IFAP_far_adj*s_CF_apple),".")</f>
        <v>3.988640352276716</v>
      </c>
      <c r="AE13" s="76">
        <f>IFERROR(s_TR/(s_RadSpec!$H13*s_IFAS_far_adj*s_CF_asparagus),".")</f>
        <v>3.988640352276716</v>
      </c>
      <c r="AF13" s="76">
        <f>IFERROR(s_TR/(s_RadSpec!$H13*s_IFBT_far_adj*s_CF_beet),".")</f>
        <v>3.988640352276716</v>
      </c>
      <c r="AG13" s="76">
        <f>IFERROR(s_TR/(s_RadSpec!$H13*s_IFBE_far_adj*s_CF_berries),".")</f>
        <v>3.988640352276716</v>
      </c>
      <c r="AH13" s="76">
        <f>IFERROR(s_TR/(s_RadSpec!$H13*s_IFBR_far_adj*s_CF_broccoli),".")</f>
        <v>3.988640352276716</v>
      </c>
      <c r="AI13" s="76">
        <f>IFERROR(s_TR/(s_RadSpec!$H13*s_IFCB_far_adj*s_CF_cabbage),".")</f>
        <v>3.988640352276716</v>
      </c>
      <c r="AJ13" s="76">
        <f>IFERROR(s_TR/(s_RadSpec!$H13*s_IFCR_far_adj*s_CF_carrot),".")</f>
        <v>3.988640352276716</v>
      </c>
      <c r="AK13" s="76">
        <f>IFERROR(s_TR/(s_RadSpec!$H13*s_IFCI_far_adj*s_CF_citrus),".")</f>
        <v>3.988640352276716</v>
      </c>
      <c r="AL13" s="76">
        <f>IFERROR(s_TR/(s_RadSpec!$H13*s_IFCO_far_adj*s_CF_corn),".")</f>
        <v>3.988640352276716</v>
      </c>
      <c r="AM13" s="76">
        <f>IFERROR(s_TR/(s_RadSpec!$H13*s_IFCU_far_adj*s_CF_cucumber),".")</f>
        <v>3.988640352276716</v>
      </c>
      <c r="AN13" s="76">
        <f>IFERROR(s_TR/(s_RadSpec!$H13*s_IFLE_far_adj*s_CF_lettuce),".")</f>
        <v>3.988640352276716</v>
      </c>
      <c r="AO13" s="76">
        <f>IFERROR(s_TR/(s_RadSpec!$H13*s_IFLI_far_adj*s_CF_lima_bean),".")</f>
        <v>3.988640352276716</v>
      </c>
      <c r="AP13" s="76">
        <f>IFERROR(s_TR/(s_RadSpec!$H13*s_IFOK_far_adj*s_CF_okra),".")</f>
        <v>3.988640352276716</v>
      </c>
      <c r="AQ13" s="76">
        <f>IFERROR(s_TR/(s_RadSpec!$H13*s_IFON_far_adj*s_CF_onion),".")</f>
        <v>3.988640352276716</v>
      </c>
      <c r="AR13" s="76">
        <f>IFERROR(s_TR/(s_RadSpec!$H13*s_IFPC_far_adj*s_CF_peach),".")</f>
        <v>3.988640352276716</v>
      </c>
      <c r="AS13" s="76">
        <f>IFERROR(s_TR/(s_RadSpec!$H13*s_IFPR_far_adj*s_CF_pear),".")</f>
        <v>3.988640352276716</v>
      </c>
      <c r="AT13" s="76">
        <f>IFERROR(s_TR/(s_RadSpec!$H13*s_IFPE_far_adj*s_CF_peas),".")</f>
        <v>3.988640352276716</v>
      </c>
      <c r="AU13" s="76">
        <f>IFERROR(s_TR/(s_RadSpec!$H13*s_IFPP_far_adj*s_CF_peppers),".")</f>
        <v>3.988640352276716</v>
      </c>
      <c r="AV13" s="76">
        <f>IFERROR(s_TR/(s_RadSpec!$H13*s_IFPT_far_adj*s_CF_potato),".")</f>
        <v>3.988640352276716</v>
      </c>
      <c r="AW13" s="76">
        <f>IFERROR(s_TR/(s_RadSpec!$H13*s_IFPU_far_adj*s_CF_pumpkin),".")</f>
        <v>3.988640352276716</v>
      </c>
      <c r="AX13" s="76">
        <f>IFERROR(s_TR/(s_RadSpec!$H13*s_IFSN_far_adj*s_CF_snap_bean),".")</f>
        <v>3.988640352276716</v>
      </c>
      <c r="AY13" s="76">
        <f>IFERROR(s_TR/(s_RadSpec!$H13*s_IFST_far_adj*s_CF_strawberry),".")</f>
        <v>3.988640352276716</v>
      </c>
      <c r="AZ13" s="76">
        <f>IFERROR(s_TR/(s_RadSpec!$H13*s_IFTO_far_adj*s_CF_tomato),".")</f>
        <v>3.988640352276716</v>
      </c>
      <c r="BA13" s="76">
        <f>IFERROR(s_TR/(s_RadSpec!$H13*s_IFRI_far_adj*s_CF_rice),".")</f>
        <v>3.988640352276716</v>
      </c>
      <c r="BB13" s="76">
        <f>IFERROR(s_TR/(s_RadSpec!$H13*s_IFCG_far_adj*s_CF_cereal),".")</f>
        <v>3.988640352276716</v>
      </c>
      <c r="BC13" s="93">
        <f t="shared" si="26"/>
        <v>605000</v>
      </c>
      <c r="BD13" s="93">
        <f t="shared" si="0"/>
        <v>151250</v>
      </c>
      <c r="BE13" s="93">
        <f t="shared" si="1"/>
        <v>151250</v>
      </c>
      <c r="BF13" s="93">
        <f t="shared" si="2"/>
        <v>151250</v>
      </c>
      <c r="BG13" s="93">
        <f t="shared" si="3"/>
        <v>151250</v>
      </c>
      <c r="BH13" s="93">
        <f t="shared" si="4"/>
        <v>151250</v>
      </c>
      <c r="BI13" s="93">
        <f t="shared" si="5"/>
        <v>151250</v>
      </c>
      <c r="BJ13" s="93">
        <f t="shared" si="6"/>
        <v>151250</v>
      </c>
      <c r="BK13" s="93">
        <f t="shared" si="7"/>
        <v>151250</v>
      </c>
      <c r="BL13" s="93">
        <f t="shared" si="8"/>
        <v>151250</v>
      </c>
      <c r="BM13" s="93">
        <f t="shared" si="9"/>
        <v>151250</v>
      </c>
      <c r="BN13" s="93">
        <f t="shared" si="10"/>
        <v>151250</v>
      </c>
      <c r="BO13" s="93">
        <f t="shared" si="11"/>
        <v>151250</v>
      </c>
      <c r="BP13" s="93">
        <f t="shared" si="12"/>
        <v>151250</v>
      </c>
      <c r="BQ13" s="93">
        <f t="shared" si="13"/>
        <v>151250</v>
      </c>
      <c r="BR13" s="93">
        <f t="shared" si="14"/>
        <v>151250</v>
      </c>
      <c r="BS13" s="93">
        <f t="shared" si="15"/>
        <v>151250</v>
      </c>
      <c r="BT13" s="93">
        <f t="shared" si="27"/>
        <v>151250</v>
      </c>
      <c r="BU13" s="93">
        <f t="shared" si="16"/>
        <v>151250</v>
      </c>
      <c r="BV13" s="93">
        <f t="shared" si="17"/>
        <v>151250</v>
      </c>
      <c r="BW13" s="93">
        <f t="shared" si="18"/>
        <v>151250</v>
      </c>
      <c r="BX13" s="93">
        <f t="shared" si="19"/>
        <v>151250</v>
      </c>
      <c r="BY13" s="93">
        <f t="shared" si="20"/>
        <v>151250</v>
      </c>
      <c r="BZ13" s="93">
        <f t="shared" si="21"/>
        <v>151250</v>
      </c>
      <c r="CA13" s="93">
        <f t="shared" si="22"/>
        <v>151250</v>
      </c>
      <c r="CB13" s="93">
        <f t="shared" si="23"/>
        <v>151250</v>
      </c>
    </row>
    <row r="14" spans="1:80" x14ac:dyDescent="0.25">
      <c r="A14" s="92" t="s">
        <v>24</v>
      </c>
      <c r="B14" s="90" t="s">
        <v>1071</v>
      </c>
      <c r="C14" s="76">
        <f t="shared" si="24"/>
        <v>9.2299115589874425</v>
      </c>
      <c r="D14" s="76">
        <f>IFERROR(s_TR/(s_RadSpec!$H14*s_IFAP_res_adj*s_CF_apple),".")</f>
        <v>36.91964623594977</v>
      </c>
      <c r="E14" s="76">
        <f>IFERROR(s_TR/(s_RadSpec!$H14*s_IFAS_res_adj*s_CF_asparagus),".")</f>
        <v>36.91964623594977</v>
      </c>
      <c r="F14" s="76">
        <f>IFERROR(s_TR/(s_RadSpec!$H14*s_IFBT_res_adj*s_CF_beet),".")</f>
        <v>36.91964623594977</v>
      </c>
      <c r="G14" s="76">
        <f>IFERROR(s_TR/(s_RadSpec!$H14*s_IFBE_res_adj*s_CF_berries),".")</f>
        <v>36.91964623594977</v>
      </c>
      <c r="H14" s="76">
        <f>IFERROR(s_TR/(s_RadSpec!$H14*s_IFBR_res_adj*s_CF_broccoli),".")</f>
        <v>36.91964623594977</v>
      </c>
      <c r="I14" s="76">
        <f>IFERROR(s_TR/(s_RadSpec!$H14*s_IFCB_res_adj*s_CF_cabbage),".")</f>
        <v>36.91964623594977</v>
      </c>
      <c r="J14" s="76">
        <f>IFERROR(s_TR/(s_RadSpec!$H14*s_IFCR_res_adj*s_CF_carrot),".")</f>
        <v>36.91964623594977</v>
      </c>
      <c r="K14" s="76">
        <f>IFERROR(s_TR/(s_RadSpec!$H14*s_IFCI_res_adj*s_CF_citrus),".")</f>
        <v>36.91964623594977</v>
      </c>
      <c r="L14" s="76">
        <f>IFERROR(s_TR/(s_RadSpec!$H14*s_IFCO_res_adj*s_CF_corn),".")</f>
        <v>36.91964623594977</v>
      </c>
      <c r="M14" s="76">
        <f>IFERROR(s_TR/(s_RadSpec!$H14*s_IFCU_res_adj*s_CF_cucumber),".")</f>
        <v>36.91964623594977</v>
      </c>
      <c r="N14" s="76">
        <f>IFERROR(s_TR/(s_RadSpec!$H14*s_IFLE_res_adj*s_CF_lettuce),".")</f>
        <v>36.91964623594977</v>
      </c>
      <c r="O14" s="76">
        <f>IFERROR(s_TR/(s_RadSpec!$H14*s_IFLI_res_adj*s_CF_lima_bean),".")</f>
        <v>36.91964623594977</v>
      </c>
      <c r="P14" s="76">
        <f>IFERROR(s_TR/(s_RadSpec!$H14*s_IFOK_res_adj*s_CF_okra),".")</f>
        <v>36.91964623594977</v>
      </c>
      <c r="Q14" s="76">
        <f>IFERROR(s_TR/(s_RadSpec!$H14*s_IFON_res_adj*s_CF_onion),".")</f>
        <v>36.91964623594977</v>
      </c>
      <c r="R14" s="76">
        <f>IFERROR(s_TR/(s_RadSpec!$H14*s_IFPC_res_adj*s_CF_peach),".")</f>
        <v>36.91964623594977</v>
      </c>
      <c r="S14" s="76">
        <f>IFERROR(s_TR/(s_RadSpec!$H14*s_IFPR_res_adj*s_CF_pear),".")</f>
        <v>36.91964623594977</v>
      </c>
      <c r="T14" s="76">
        <f>IFERROR(s_TR/(s_RadSpec!$H14*s_IFPE_res_adj*s_CF_peas),".")</f>
        <v>36.91964623594977</v>
      </c>
      <c r="U14" s="76">
        <f>IFERROR(s_TR/(s_RadSpec!$H14*s_IFPP_res_adj*s_CF_peppers),".")</f>
        <v>36.91964623594977</v>
      </c>
      <c r="V14" s="76">
        <f>IFERROR(s_TR/(s_RadSpec!$H14*s_IFPT_res_adj*s_CF_potato),".")</f>
        <v>36.91964623594977</v>
      </c>
      <c r="W14" s="76">
        <f>IFERROR(s_TR/(s_RadSpec!$H14*s_IFPU_res_adj*s_CF_pumpkin),".")</f>
        <v>36.91964623594977</v>
      </c>
      <c r="X14" s="76">
        <f>IFERROR(s_TR/(s_RadSpec!$H14*s_IFSN_res_adj*s_CF_snap_bean),".")</f>
        <v>36.91964623594977</v>
      </c>
      <c r="Y14" s="76">
        <f>IFERROR(s_TR/(s_RadSpec!$H14*s_IFST_res_adj*s_CF_strawberry),".")</f>
        <v>36.91964623594977</v>
      </c>
      <c r="Z14" s="76">
        <f>IFERROR(s_TR/(s_RadSpec!$H14*s_IFTO_res_adj*s_CF_tomato),".")</f>
        <v>36.91964623594977</v>
      </c>
      <c r="AA14" s="76">
        <f>IFERROR(s_TR/(s_RadSpec!$H14*s_IFRI_res_adj*s_CF_rice),".")</f>
        <v>36.91964623594977</v>
      </c>
      <c r="AB14" s="76">
        <f>IFERROR(s_TR/(s_RadSpec!$H14*s_IFCG_res_adj*s_CF_cereal),".")</f>
        <v>36.91964623594977</v>
      </c>
      <c r="AC14" s="76">
        <f t="shared" si="25"/>
        <v>9.2299115589874425</v>
      </c>
      <c r="AD14" s="76">
        <f>IFERROR(s_TR/(s_RadSpec!$H14*s_IFAP_far_adj*s_CF_apple),".")</f>
        <v>36.91964623594977</v>
      </c>
      <c r="AE14" s="76">
        <f>IFERROR(s_TR/(s_RadSpec!$H14*s_IFAS_far_adj*s_CF_asparagus),".")</f>
        <v>36.91964623594977</v>
      </c>
      <c r="AF14" s="76">
        <f>IFERROR(s_TR/(s_RadSpec!$H14*s_IFBT_far_adj*s_CF_beet),".")</f>
        <v>36.91964623594977</v>
      </c>
      <c r="AG14" s="76">
        <f>IFERROR(s_TR/(s_RadSpec!$H14*s_IFBE_far_adj*s_CF_berries),".")</f>
        <v>36.91964623594977</v>
      </c>
      <c r="AH14" s="76">
        <f>IFERROR(s_TR/(s_RadSpec!$H14*s_IFBR_far_adj*s_CF_broccoli),".")</f>
        <v>36.91964623594977</v>
      </c>
      <c r="AI14" s="76">
        <f>IFERROR(s_TR/(s_RadSpec!$H14*s_IFCB_far_adj*s_CF_cabbage),".")</f>
        <v>36.91964623594977</v>
      </c>
      <c r="AJ14" s="76">
        <f>IFERROR(s_TR/(s_RadSpec!$H14*s_IFCR_far_adj*s_CF_carrot),".")</f>
        <v>36.91964623594977</v>
      </c>
      <c r="AK14" s="76">
        <f>IFERROR(s_TR/(s_RadSpec!$H14*s_IFCI_far_adj*s_CF_citrus),".")</f>
        <v>36.91964623594977</v>
      </c>
      <c r="AL14" s="76">
        <f>IFERROR(s_TR/(s_RadSpec!$H14*s_IFCO_far_adj*s_CF_corn),".")</f>
        <v>36.91964623594977</v>
      </c>
      <c r="AM14" s="76">
        <f>IFERROR(s_TR/(s_RadSpec!$H14*s_IFCU_far_adj*s_CF_cucumber),".")</f>
        <v>36.91964623594977</v>
      </c>
      <c r="AN14" s="76">
        <f>IFERROR(s_TR/(s_RadSpec!$H14*s_IFLE_far_adj*s_CF_lettuce),".")</f>
        <v>36.91964623594977</v>
      </c>
      <c r="AO14" s="76">
        <f>IFERROR(s_TR/(s_RadSpec!$H14*s_IFLI_far_adj*s_CF_lima_bean),".")</f>
        <v>36.91964623594977</v>
      </c>
      <c r="AP14" s="76">
        <f>IFERROR(s_TR/(s_RadSpec!$H14*s_IFOK_far_adj*s_CF_okra),".")</f>
        <v>36.91964623594977</v>
      </c>
      <c r="AQ14" s="76">
        <f>IFERROR(s_TR/(s_RadSpec!$H14*s_IFON_far_adj*s_CF_onion),".")</f>
        <v>36.91964623594977</v>
      </c>
      <c r="AR14" s="76">
        <f>IFERROR(s_TR/(s_RadSpec!$H14*s_IFPC_far_adj*s_CF_peach),".")</f>
        <v>36.91964623594977</v>
      </c>
      <c r="AS14" s="76">
        <f>IFERROR(s_TR/(s_RadSpec!$H14*s_IFPR_far_adj*s_CF_pear),".")</f>
        <v>36.91964623594977</v>
      </c>
      <c r="AT14" s="76">
        <f>IFERROR(s_TR/(s_RadSpec!$H14*s_IFPE_far_adj*s_CF_peas),".")</f>
        <v>36.91964623594977</v>
      </c>
      <c r="AU14" s="76">
        <f>IFERROR(s_TR/(s_RadSpec!$H14*s_IFPP_far_adj*s_CF_peppers),".")</f>
        <v>36.91964623594977</v>
      </c>
      <c r="AV14" s="76">
        <f>IFERROR(s_TR/(s_RadSpec!$H14*s_IFPT_far_adj*s_CF_potato),".")</f>
        <v>36.91964623594977</v>
      </c>
      <c r="AW14" s="76">
        <f>IFERROR(s_TR/(s_RadSpec!$H14*s_IFPU_far_adj*s_CF_pumpkin),".")</f>
        <v>36.91964623594977</v>
      </c>
      <c r="AX14" s="76">
        <f>IFERROR(s_TR/(s_RadSpec!$H14*s_IFSN_far_adj*s_CF_snap_bean),".")</f>
        <v>36.91964623594977</v>
      </c>
      <c r="AY14" s="76">
        <f>IFERROR(s_TR/(s_RadSpec!$H14*s_IFST_far_adj*s_CF_strawberry),".")</f>
        <v>36.91964623594977</v>
      </c>
      <c r="AZ14" s="76">
        <f>IFERROR(s_TR/(s_RadSpec!$H14*s_IFTO_far_adj*s_CF_tomato),".")</f>
        <v>36.91964623594977</v>
      </c>
      <c r="BA14" s="76">
        <f>IFERROR(s_TR/(s_RadSpec!$H14*s_IFRI_far_adj*s_CF_rice),".")</f>
        <v>36.91964623594977</v>
      </c>
      <c r="BB14" s="76">
        <f>IFERROR(s_TR/(s_RadSpec!$H14*s_IFCG_far_adj*s_CF_cereal),".")</f>
        <v>36.91964623594977</v>
      </c>
      <c r="BC14" s="93">
        <f t="shared" si="26"/>
        <v>605000</v>
      </c>
      <c r="BD14" s="93">
        <f t="shared" si="0"/>
        <v>151250</v>
      </c>
      <c r="BE14" s="93">
        <f t="shared" si="1"/>
        <v>151250</v>
      </c>
      <c r="BF14" s="93">
        <f t="shared" si="2"/>
        <v>151250</v>
      </c>
      <c r="BG14" s="93">
        <f t="shared" si="3"/>
        <v>151250</v>
      </c>
      <c r="BH14" s="93">
        <f t="shared" si="4"/>
        <v>151250</v>
      </c>
      <c r="BI14" s="93">
        <f t="shared" si="5"/>
        <v>151250</v>
      </c>
      <c r="BJ14" s="93">
        <f t="shared" si="6"/>
        <v>151250</v>
      </c>
      <c r="BK14" s="93">
        <f t="shared" si="7"/>
        <v>151250</v>
      </c>
      <c r="BL14" s="93">
        <f t="shared" si="8"/>
        <v>151250</v>
      </c>
      <c r="BM14" s="93">
        <f t="shared" si="9"/>
        <v>151250</v>
      </c>
      <c r="BN14" s="93">
        <f t="shared" si="10"/>
        <v>151250</v>
      </c>
      <c r="BO14" s="93">
        <f t="shared" si="11"/>
        <v>151250</v>
      </c>
      <c r="BP14" s="93">
        <f t="shared" si="12"/>
        <v>151250</v>
      </c>
      <c r="BQ14" s="93">
        <f t="shared" si="13"/>
        <v>151250</v>
      </c>
      <c r="BR14" s="93">
        <f t="shared" si="14"/>
        <v>151250</v>
      </c>
      <c r="BS14" s="93">
        <f t="shared" si="15"/>
        <v>151250</v>
      </c>
      <c r="BT14" s="93">
        <f t="shared" si="27"/>
        <v>151250</v>
      </c>
      <c r="BU14" s="93">
        <f t="shared" si="16"/>
        <v>151250</v>
      </c>
      <c r="BV14" s="93">
        <f t="shared" si="17"/>
        <v>151250</v>
      </c>
      <c r="BW14" s="93">
        <f t="shared" si="18"/>
        <v>151250</v>
      </c>
      <c r="BX14" s="93">
        <f t="shared" si="19"/>
        <v>151250</v>
      </c>
      <c r="BY14" s="93">
        <f t="shared" si="20"/>
        <v>151250</v>
      </c>
      <c r="BZ14" s="93">
        <f t="shared" si="21"/>
        <v>151250</v>
      </c>
      <c r="CA14" s="93">
        <f t="shared" si="22"/>
        <v>151250</v>
      </c>
      <c r="CB14" s="93">
        <f t="shared" si="23"/>
        <v>151250</v>
      </c>
    </row>
    <row r="15" spans="1:80" x14ac:dyDescent="0.25">
      <c r="A15" s="92" t="s">
        <v>25</v>
      </c>
      <c r="B15" s="90" t="s">
        <v>1071</v>
      </c>
      <c r="C15" s="76">
        <f t="shared" si="24"/>
        <v>237.11662391453939</v>
      </c>
      <c r="D15" s="76">
        <f>IFERROR(s_TR/(s_RadSpec!$H15*s_IFAP_res_adj*s_CF_apple),".")</f>
        <v>948.46649565815756</v>
      </c>
      <c r="E15" s="76">
        <f>IFERROR(s_TR/(s_RadSpec!$H15*s_IFAS_res_adj*s_CF_asparagus),".")</f>
        <v>948.46649565815756</v>
      </c>
      <c r="F15" s="76">
        <f>IFERROR(s_TR/(s_RadSpec!$H15*s_IFBT_res_adj*s_CF_beet),".")</f>
        <v>948.46649565815756</v>
      </c>
      <c r="G15" s="76">
        <f>IFERROR(s_TR/(s_RadSpec!$H15*s_IFBE_res_adj*s_CF_berries),".")</f>
        <v>948.46649565815756</v>
      </c>
      <c r="H15" s="76">
        <f>IFERROR(s_TR/(s_RadSpec!$H15*s_IFBR_res_adj*s_CF_broccoli),".")</f>
        <v>948.46649565815756</v>
      </c>
      <c r="I15" s="76">
        <f>IFERROR(s_TR/(s_RadSpec!$H15*s_IFCB_res_adj*s_CF_cabbage),".")</f>
        <v>948.46649565815756</v>
      </c>
      <c r="J15" s="76">
        <f>IFERROR(s_TR/(s_RadSpec!$H15*s_IFCR_res_adj*s_CF_carrot),".")</f>
        <v>948.46649565815756</v>
      </c>
      <c r="K15" s="76">
        <f>IFERROR(s_TR/(s_RadSpec!$H15*s_IFCI_res_adj*s_CF_citrus),".")</f>
        <v>948.46649565815756</v>
      </c>
      <c r="L15" s="76">
        <f>IFERROR(s_TR/(s_RadSpec!$H15*s_IFCO_res_adj*s_CF_corn),".")</f>
        <v>948.46649565815756</v>
      </c>
      <c r="M15" s="76">
        <f>IFERROR(s_TR/(s_RadSpec!$H15*s_IFCU_res_adj*s_CF_cucumber),".")</f>
        <v>948.46649565815756</v>
      </c>
      <c r="N15" s="76">
        <f>IFERROR(s_TR/(s_RadSpec!$H15*s_IFLE_res_adj*s_CF_lettuce),".")</f>
        <v>948.46649565815756</v>
      </c>
      <c r="O15" s="76">
        <f>IFERROR(s_TR/(s_RadSpec!$H15*s_IFLI_res_adj*s_CF_lima_bean),".")</f>
        <v>948.46649565815756</v>
      </c>
      <c r="P15" s="76">
        <f>IFERROR(s_TR/(s_RadSpec!$H15*s_IFOK_res_adj*s_CF_okra),".")</f>
        <v>948.46649565815756</v>
      </c>
      <c r="Q15" s="76">
        <f>IFERROR(s_TR/(s_RadSpec!$H15*s_IFON_res_adj*s_CF_onion),".")</f>
        <v>948.46649565815756</v>
      </c>
      <c r="R15" s="76">
        <f>IFERROR(s_TR/(s_RadSpec!$H15*s_IFPC_res_adj*s_CF_peach),".")</f>
        <v>948.46649565815756</v>
      </c>
      <c r="S15" s="76">
        <f>IFERROR(s_TR/(s_RadSpec!$H15*s_IFPR_res_adj*s_CF_pear),".")</f>
        <v>948.46649565815756</v>
      </c>
      <c r="T15" s="76">
        <f>IFERROR(s_TR/(s_RadSpec!$H15*s_IFPE_res_adj*s_CF_peas),".")</f>
        <v>948.46649565815756</v>
      </c>
      <c r="U15" s="76">
        <f>IFERROR(s_TR/(s_RadSpec!$H15*s_IFPP_res_adj*s_CF_peppers),".")</f>
        <v>948.46649565815756</v>
      </c>
      <c r="V15" s="76">
        <f>IFERROR(s_TR/(s_RadSpec!$H15*s_IFPT_res_adj*s_CF_potato),".")</f>
        <v>948.46649565815756</v>
      </c>
      <c r="W15" s="76">
        <f>IFERROR(s_TR/(s_RadSpec!$H15*s_IFPU_res_adj*s_CF_pumpkin),".")</f>
        <v>948.46649565815756</v>
      </c>
      <c r="X15" s="76">
        <f>IFERROR(s_TR/(s_RadSpec!$H15*s_IFSN_res_adj*s_CF_snap_bean),".")</f>
        <v>948.46649565815756</v>
      </c>
      <c r="Y15" s="76">
        <f>IFERROR(s_TR/(s_RadSpec!$H15*s_IFST_res_adj*s_CF_strawberry),".")</f>
        <v>948.46649565815756</v>
      </c>
      <c r="Z15" s="76">
        <f>IFERROR(s_TR/(s_RadSpec!$H15*s_IFTO_res_adj*s_CF_tomato),".")</f>
        <v>948.46649565815756</v>
      </c>
      <c r="AA15" s="76">
        <f>IFERROR(s_TR/(s_RadSpec!$H15*s_IFRI_res_adj*s_CF_rice),".")</f>
        <v>948.46649565815756</v>
      </c>
      <c r="AB15" s="76">
        <f>IFERROR(s_TR/(s_RadSpec!$H15*s_IFCG_res_adj*s_CF_cereal),".")</f>
        <v>948.46649565815756</v>
      </c>
      <c r="AC15" s="76">
        <f t="shared" si="25"/>
        <v>237.11662391453939</v>
      </c>
      <c r="AD15" s="76">
        <f>IFERROR(s_TR/(s_RadSpec!$H15*s_IFAP_far_adj*s_CF_apple),".")</f>
        <v>948.46649565815756</v>
      </c>
      <c r="AE15" s="76">
        <f>IFERROR(s_TR/(s_RadSpec!$H15*s_IFAS_far_adj*s_CF_asparagus),".")</f>
        <v>948.46649565815756</v>
      </c>
      <c r="AF15" s="76">
        <f>IFERROR(s_TR/(s_RadSpec!$H15*s_IFBT_far_adj*s_CF_beet),".")</f>
        <v>948.46649565815756</v>
      </c>
      <c r="AG15" s="76">
        <f>IFERROR(s_TR/(s_RadSpec!$H15*s_IFBE_far_adj*s_CF_berries),".")</f>
        <v>948.46649565815756</v>
      </c>
      <c r="AH15" s="76">
        <f>IFERROR(s_TR/(s_RadSpec!$H15*s_IFBR_far_adj*s_CF_broccoli),".")</f>
        <v>948.46649565815756</v>
      </c>
      <c r="AI15" s="76">
        <f>IFERROR(s_TR/(s_RadSpec!$H15*s_IFCB_far_adj*s_CF_cabbage),".")</f>
        <v>948.46649565815756</v>
      </c>
      <c r="AJ15" s="76">
        <f>IFERROR(s_TR/(s_RadSpec!$H15*s_IFCR_far_adj*s_CF_carrot),".")</f>
        <v>948.46649565815756</v>
      </c>
      <c r="AK15" s="76">
        <f>IFERROR(s_TR/(s_RadSpec!$H15*s_IFCI_far_adj*s_CF_citrus),".")</f>
        <v>948.46649565815756</v>
      </c>
      <c r="AL15" s="76">
        <f>IFERROR(s_TR/(s_RadSpec!$H15*s_IFCO_far_adj*s_CF_corn),".")</f>
        <v>948.46649565815756</v>
      </c>
      <c r="AM15" s="76">
        <f>IFERROR(s_TR/(s_RadSpec!$H15*s_IFCU_far_adj*s_CF_cucumber),".")</f>
        <v>948.46649565815756</v>
      </c>
      <c r="AN15" s="76">
        <f>IFERROR(s_TR/(s_RadSpec!$H15*s_IFLE_far_adj*s_CF_lettuce),".")</f>
        <v>948.46649565815756</v>
      </c>
      <c r="AO15" s="76">
        <f>IFERROR(s_TR/(s_RadSpec!$H15*s_IFLI_far_adj*s_CF_lima_bean),".")</f>
        <v>948.46649565815756</v>
      </c>
      <c r="AP15" s="76">
        <f>IFERROR(s_TR/(s_RadSpec!$H15*s_IFOK_far_adj*s_CF_okra),".")</f>
        <v>948.46649565815756</v>
      </c>
      <c r="AQ15" s="76">
        <f>IFERROR(s_TR/(s_RadSpec!$H15*s_IFON_far_adj*s_CF_onion),".")</f>
        <v>948.46649565815756</v>
      </c>
      <c r="AR15" s="76">
        <f>IFERROR(s_TR/(s_RadSpec!$H15*s_IFPC_far_adj*s_CF_peach),".")</f>
        <v>948.46649565815756</v>
      </c>
      <c r="AS15" s="76">
        <f>IFERROR(s_TR/(s_RadSpec!$H15*s_IFPR_far_adj*s_CF_pear),".")</f>
        <v>948.46649565815756</v>
      </c>
      <c r="AT15" s="76">
        <f>IFERROR(s_TR/(s_RadSpec!$H15*s_IFPE_far_adj*s_CF_peas),".")</f>
        <v>948.46649565815756</v>
      </c>
      <c r="AU15" s="76">
        <f>IFERROR(s_TR/(s_RadSpec!$H15*s_IFPP_far_adj*s_CF_peppers),".")</f>
        <v>948.46649565815756</v>
      </c>
      <c r="AV15" s="76">
        <f>IFERROR(s_TR/(s_RadSpec!$H15*s_IFPT_far_adj*s_CF_potato),".")</f>
        <v>948.46649565815756</v>
      </c>
      <c r="AW15" s="76">
        <f>IFERROR(s_TR/(s_RadSpec!$H15*s_IFPU_far_adj*s_CF_pumpkin),".")</f>
        <v>948.46649565815756</v>
      </c>
      <c r="AX15" s="76">
        <f>IFERROR(s_TR/(s_RadSpec!$H15*s_IFSN_far_adj*s_CF_snap_bean),".")</f>
        <v>948.46649565815756</v>
      </c>
      <c r="AY15" s="76">
        <f>IFERROR(s_TR/(s_RadSpec!$H15*s_IFST_far_adj*s_CF_strawberry),".")</f>
        <v>948.46649565815756</v>
      </c>
      <c r="AZ15" s="76">
        <f>IFERROR(s_TR/(s_RadSpec!$H15*s_IFTO_far_adj*s_CF_tomato),".")</f>
        <v>948.46649565815756</v>
      </c>
      <c r="BA15" s="76">
        <f>IFERROR(s_TR/(s_RadSpec!$H15*s_IFRI_far_adj*s_CF_rice),".")</f>
        <v>948.46649565815756</v>
      </c>
      <c r="BB15" s="76">
        <f>IFERROR(s_TR/(s_RadSpec!$H15*s_IFCG_far_adj*s_CF_cereal),".")</f>
        <v>948.46649565815756</v>
      </c>
      <c r="BC15" s="93">
        <f t="shared" si="26"/>
        <v>605000</v>
      </c>
      <c r="BD15" s="93">
        <f t="shared" si="0"/>
        <v>151250</v>
      </c>
      <c r="BE15" s="93">
        <f t="shared" si="1"/>
        <v>151250</v>
      </c>
      <c r="BF15" s="93">
        <f t="shared" si="2"/>
        <v>151250</v>
      </c>
      <c r="BG15" s="93">
        <f t="shared" si="3"/>
        <v>151250</v>
      </c>
      <c r="BH15" s="93">
        <f t="shared" si="4"/>
        <v>151250</v>
      </c>
      <c r="BI15" s="93">
        <f t="shared" si="5"/>
        <v>151250</v>
      </c>
      <c r="BJ15" s="93">
        <f t="shared" si="6"/>
        <v>151250</v>
      </c>
      <c r="BK15" s="93">
        <f t="shared" si="7"/>
        <v>151250</v>
      </c>
      <c r="BL15" s="93">
        <f t="shared" si="8"/>
        <v>151250</v>
      </c>
      <c r="BM15" s="93">
        <f t="shared" si="9"/>
        <v>151250</v>
      </c>
      <c r="BN15" s="93">
        <f t="shared" si="10"/>
        <v>151250</v>
      </c>
      <c r="BO15" s="93">
        <f t="shared" si="11"/>
        <v>151250</v>
      </c>
      <c r="BP15" s="93">
        <f t="shared" si="12"/>
        <v>151250</v>
      </c>
      <c r="BQ15" s="93">
        <f t="shared" si="13"/>
        <v>151250</v>
      </c>
      <c r="BR15" s="93">
        <f t="shared" si="14"/>
        <v>151250</v>
      </c>
      <c r="BS15" s="93">
        <f t="shared" si="15"/>
        <v>151250</v>
      </c>
      <c r="BT15" s="93">
        <f t="shared" si="27"/>
        <v>151250</v>
      </c>
      <c r="BU15" s="93">
        <f t="shared" si="16"/>
        <v>151250</v>
      </c>
      <c r="BV15" s="93">
        <f t="shared" si="17"/>
        <v>151250</v>
      </c>
      <c r="BW15" s="93">
        <f t="shared" si="18"/>
        <v>151250</v>
      </c>
      <c r="BX15" s="93">
        <f t="shared" si="19"/>
        <v>151250</v>
      </c>
      <c r="BY15" s="93">
        <f t="shared" si="20"/>
        <v>151250</v>
      </c>
      <c r="BZ15" s="93">
        <f t="shared" si="21"/>
        <v>151250</v>
      </c>
      <c r="CA15" s="93">
        <f t="shared" si="22"/>
        <v>151250</v>
      </c>
      <c r="CB15" s="93">
        <f t="shared" si="23"/>
        <v>151250</v>
      </c>
    </row>
    <row r="16" spans="1:80" x14ac:dyDescent="0.25">
      <c r="A16" s="92" t="s">
        <v>26</v>
      </c>
      <c r="B16" s="90" t="s">
        <v>1071</v>
      </c>
      <c r="C16" s="76">
        <f t="shared" si="24"/>
        <v>7.0240207461476759E-2</v>
      </c>
      <c r="D16" s="76">
        <f>IFERROR(s_TR/(s_RadSpec!$H16*s_IFAP_res_adj*s_CF_apple),".")</f>
        <v>0.28096082984590703</v>
      </c>
      <c r="E16" s="76">
        <f>IFERROR(s_TR/(s_RadSpec!$H16*s_IFAS_res_adj*s_CF_asparagus),".")</f>
        <v>0.28096082984590703</v>
      </c>
      <c r="F16" s="76">
        <f>IFERROR(s_TR/(s_RadSpec!$H16*s_IFBT_res_adj*s_CF_beet),".")</f>
        <v>0.28096082984590703</v>
      </c>
      <c r="G16" s="76">
        <f>IFERROR(s_TR/(s_RadSpec!$H16*s_IFBE_res_adj*s_CF_berries),".")</f>
        <v>0.28096082984590703</v>
      </c>
      <c r="H16" s="76">
        <f>IFERROR(s_TR/(s_RadSpec!$H16*s_IFBR_res_adj*s_CF_broccoli),".")</f>
        <v>0.28096082984590703</v>
      </c>
      <c r="I16" s="76">
        <f>IFERROR(s_TR/(s_RadSpec!$H16*s_IFCB_res_adj*s_CF_cabbage),".")</f>
        <v>0.28096082984590703</v>
      </c>
      <c r="J16" s="76">
        <f>IFERROR(s_TR/(s_RadSpec!$H16*s_IFCR_res_adj*s_CF_carrot),".")</f>
        <v>0.28096082984590703</v>
      </c>
      <c r="K16" s="76">
        <f>IFERROR(s_TR/(s_RadSpec!$H16*s_IFCI_res_adj*s_CF_citrus),".")</f>
        <v>0.28096082984590703</v>
      </c>
      <c r="L16" s="76">
        <f>IFERROR(s_TR/(s_RadSpec!$H16*s_IFCO_res_adj*s_CF_corn),".")</f>
        <v>0.28096082984590703</v>
      </c>
      <c r="M16" s="76">
        <f>IFERROR(s_TR/(s_RadSpec!$H16*s_IFCU_res_adj*s_CF_cucumber),".")</f>
        <v>0.28096082984590703</v>
      </c>
      <c r="N16" s="76">
        <f>IFERROR(s_TR/(s_RadSpec!$H16*s_IFLE_res_adj*s_CF_lettuce),".")</f>
        <v>0.28096082984590703</v>
      </c>
      <c r="O16" s="76">
        <f>IFERROR(s_TR/(s_RadSpec!$H16*s_IFLI_res_adj*s_CF_lima_bean),".")</f>
        <v>0.28096082984590703</v>
      </c>
      <c r="P16" s="76">
        <f>IFERROR(s_TR/(s_RadSpec!$H16*s_IFOK_res_adj*s_CF_okra),".")</f>
        <v>0.28096082984590703</v>
      </c>
      <c r="Q16" s="76">
        <f>IFERROR(s_TR/(s_RadSpec!$H16*s_IFON_res_adj*s_CF_onion),".")</f>
        <v>0.28096082984590703</v>
      </c>
      <c r="R16" s="76">
        <f>IFERROR(s_TR/(s_RadSpec!$H16*s_IFPC_res_adj*s_CF_peach),".")</f>
        <v>0.28096082984590703</v>
      </c>
      <c r="S16" s="76">
        <f>IFERROR(s_TR/(s_RadSpec!$H16*s_IFPR_res_adj*s_CF_pear),".")</f>
        <v>0.28096082984590703</v>
      </c>
      <c r="T16" s="76">
        <f>IFERROR(s_TR/(s_RadSpec!$H16*s_IFPE_res_adj*s_CF_peas),".")</f>
        <v>0.28096082984590703</v>
      </c>
      <c r="U16" s="76">
        <f>IFERROR(s_TR/(s_RadSpec!$H16*s_IFPP_res_adj*s_CF_peppers),".")</f>
        <v>0.28096082984590703</v>
      </c>
      <c r="V16" s="76">
        <f>IFERROR(s_TR/(s_RadSpec!$H16*s_IFPT_res_adj*s_CF_potato),".")</f>
        <v>0.28096082984590703</v>
      </c>
      <c r="W16" s="76">
        <f>IFERROR(s_TR/(s_RadSpec!$H16*s_IFPU_res_adj*s_CF_pumpkin),".")</f>
        <v>0.28096082984590703</v>
      </c>
      <c r="X16" s="76">
        <f>IFERROR(s_TR/(s_RadSpec!$H16*s_IFSN_res_adj*s_CF_snap_bean),".")</f>
        <v>0.28096082984590703</v>
      </c>
      <c r="Y16" s="76">
        <f>IFERROR(s_TR/(s_RadSpec!$H16*s_IFST_res_adj*s_CF_strawberry),".")</f>
        <v>0.28096082984590703</v>
      </c>
      <c r="Z16" s="76">
        <f>IFERROR(s_TR/(s_RadSpec!$H16*s_IFTO_res_adj*s_CF_tomato),".")</f>
        <v>0.28096082984590703</v>
      </c>
      <c r="AA16" s="76">
        <f>IFERROR(s_TR/(s_RadSpec!$H16*s_IFRI_res_adj*s_CF_rice),".")</f>
        <v>0.28096082984590703</v>
      </c>
      <c r="AB16" s="76">
        <f>IFERROR(s_TR/(s_RadSpec!$H16*s_IFCG_res_adj*s_CF_cereal),".")</f>
        <v>0.28096082984590703</v>
      </c>
      <c r="AC16" s="76">
        <f t="shared" si="25"/>
        <v>7.0240207461476759E-2</v>
      </c>
      <c r="AD16" s="76">
        <f>IFERROR(s_TR/(s_RadSpec!$H16*s_IFAP_far_adj*s_CF_apple),".")</f>
        <v>0.28096082984590703</v>
      </c>
      <c r="AE16" s="76">
        <f>IFERROR(s_TR/(s_RadSpec!$H16*s_IFAS_far_adj*s_CF_asparagus),".")</f>
        <v>0.28096082984590703</v>
      </c>
      <c r="AF16" s="76">
        <f>IFERROR(s_TR/(s_RadSpec!$H16*s_IFBT_far_adj*s_CF_beet),".")</f>
        <v>0.28096082984590703</v>
      </c>
      <c r="AG16" s="76">
        <f>IFERROR(s_TR/(s_RadSpec!$H16*s_IFBE_far_adj*s_CF_berries),".")</f>
        <v>0.28096082984590703</v>
      </c>
      <c r="AH16" s="76">
        <f>IFERROR(s_TR/(s_RadSpec!$H16*s_IFBR_far_adj*s_CF_broccoli),".")</f>
        <v>0.28096082984590703</v>
      </c>
      <c r="AI16" s="76">
        <f>IFERROR(s_TR/(s_RadSpec!$H16*s_IFCB_far_adj*s_CF_cabbage),".")</f>
        <v>0.28096082984590703</v>
      </c>
      <c r="AJ16" s="76">
        <f>IFERROR(s_TR/(s_RadSpec!$H16*s_IFCR_far_adj*s_CF_carrot),".")</f>
        <v>0.28096082984590703</v>
      </c>
      <c r="AK16" s="76">
        <f>IFERROR(s_TR/(s_RadSpec!$H16*s_IFCI_far_adj*s_CF_citrus),".")</f>
        <v>0.28096082984590703</v>
      </c>
      <c r="AL16" s="76">
        <f>IFERROR(s_TR/(s_RadSpec!$H16*s_IFCO_far_adj*s_CF_corn),".")</f>
        <v>0.28096082984590703</v>
      </c>
      <c r="AM16" s="76">
        <f>IFERROR(s_TR/(s_RadSpec!$H16*s_IFCU_far_adj*s_CF_cucumber),".")</f>
        <v>0.28096082984590703</v>
      </c>
      <c r="AN16" s="76">
        <f>IFERROR(s_TR/(s_RadSpec!$H16*s_IFLE_far_adj*s_CF_lettuce),".")</f>
        <v>0.28096082984590703</v>
      </c>
      <c r="AO16" s="76">
        <f>IFERROR(s_TR/(s_RadSpec!$H16*s_IFLI_far_adj*s_CF_lima_bean),".")</f>
        <v>0.28096082984590703</v>
      </c>
      <c r="AP16" s="76">
        <f>IFERROR(s_TR/(s_RadSpec!$H16*s_IFOK_far_adj*s_CF_okra),".")</f>
        <v>0.28096082984590703</v>
      </c>
      <c r="AQ16" s="76">
        <f>IFERROR(s_TR/(s_RadSpec!$H16*s_IFON_far_adj*s_CF_onion),".")</f>
        <v>0.28096082984590703</v>
      </c>
      <c r="AR16" s="76">
        <f>IFERROR(s_TR/(s_RadSpec!$H16*s_IFPC_far_adj*s_CF_peach),".")</f>
        <v>0.28096082984590703</v>
      </c>
      <c r="AS16" s="76">
        <f>IFERROR(s_TR/(s_RadSpec!$H16*s_IFPR_far_adj*s_CF_pear),".")</f>
        <v>0.28096082984590703</v>
      </c>
      <c r="AT16" s="76">
        <f>IFERROR(s_TR/(s_RadSpec!$H16*s_IFPE_far_adj*s_CF_peas),".")</f>
        <v>0.28096082984590703</v>
      </c>
      <c r="AU16" s="76">
        <f>IFERROR(s_TR/(s_RadSpec!$H16*s_IFPP_far_adj*s_CF_peppers),".")</f>
        <v>0.28096082984590703</v>
      </c>
      <c r="AV16" s="76">
        <f>IFERROR(s_TR/(s_RadSpec!$H16*s_IFPT_far_adj*s_CF_potato),".")</f>
        <v>0.28096082984590703</v>
      </c>
      <c r="AW16" s="76">
        <f>IFERROR(s_TR/(s_RadSpec!$H16*s_IFPU_far_adj*s_CF_pumpkin),".")</f>
        <v>0.28096082984590703</v>
      </c>
      <c r="AX16" s="76">
        <f>IFERROR(s_TR/(s_RadSpec!$H16*s_IFSN_far_adj*s_CF_snap_bean),".")</f>
        <v>0.28096082984590703</v>
      </c>
      <c r="AY16" s="76">
        <f>IFERROR(s_TR/(s_RadSpec!$H16*s_IFST_far_adj*s_CF_strawberry),".")</f>
        <v>0.28096082984590703</v>
      </c>
      <c r="AZ16" s="76">
        <f>IFERROR(s_TR/(s_RadSpec!$H16*s_IFTO_far_adj*s_CF_tomato),".")</f>
        <v>0.28096082984590703</v>
      </c>
      <c r="BA16" s="76">
        <f>IFERROR(s_TR/(s_RadSpec!$H16*s_IFRI_far_adj*s_CF_rice),".")</f>
        <v>0.28096082984590703</v>
      </c>
      <c r="BB16" s="76">
        <f>IFERROR(s_TR/(s_RadSpec!$H16*s_IFCG_far_adj*s_CF_cereal),".")</f>
        <v>0.28096082984590703</v>
      </c>
      <c r="BC16" s="93">
        <f t="shared" si="26"/>
        <v>605000</v>
      </c>
      <c r="BD16" s="93">
        <f t="shared" si="0"/>
        <v>151250</v>
      </c>
      <c r="BE16" s="93">
        <f t="shared" si="1"/>
        <v>151250</v>
      </c>
      <c r="BF16" s="93">
        <f t="shared" si="2"/>
        <v>151250</v>
      </c>
      <c r="BG16" s="93">
        <f t="shared" si="3"/>
        <v>151250</v>
      </c>
      <c r="BH16" s="93">
        <f t="shared" si="4"/>
        <v>151250</v>
      </c>
      <c r="BI16" s="93">
        <f t="shared" si="5"/>
        <v>151250</v>
      </c>
      <c r="BJ16" s="93">
        <f t="shared" si="6"/>
        <v>151250</v>
      </c>
      <c r="BK16" s="93">
        <f t="shared" si="7"/>
        <v>151250</v>
      </c>
      <c r="BL16" s="93">
        <f t="shared" si="8"/>
        <v>151250</v>
      </c>
      <c r="BM16" s="93">
        <f t="shared" si="9"/>
        <v>151250</v>
      </c>
      <c r="BN16" s="93">
        <f t="shared" si="10"/>
        <v>151250</v>
      </c>
      <c r="BO16" s="93">
        <f t="shared" si="11"/>
        <v>151250</v>
      </c>
      <c r="BP16" s="93">
        <f t="shared" si="12"/>
        <v>151250</v>
      </c>
      <c r="BQ16" s="93">
        <f t="shared" si="13"/>
        <v>151250</v>
      </c>
      <c r="BR16" s="93">
        <f t="shared" si="14"/>
        <v>151250</v>
      </c>
      <c r="BS16" s="93">
        <f t="shared" si="15"/>
        <v>151250</v>
      </c>
      <c r="BT16" s="93">
        <f t="shared" si="27"/>
        <v>151250</v>
      </c>
      <c r="BU16" s="93">
        <f t="shared" si="16"/>
        <v>151250</v>
      </c>
      <c r="BV16" s="93">
        <f t="shared" si="17"/>
        <v>151250</v>
      </c>
      <c r="BW16" s="93">
        <f t="shared" si="18"/>
        <v>151250</v>
      </c>
      <c r="BX16" s="93">
        <f t="shared" si="19"/>
        <v>151250</v>
      </c>
      <c r="BY16" s="93">
        <f t="shared" si="20"/>
        <v>151250</v>
      </c>
      <c r="BZ16" s="93">
        <f t="shared" si="21"/>
        <v>151250</v>
      </c>
      <c r="CA16" s="93">
        <f t="shared" si="22"/>
        <v>151250</v>
      </c>
      <c r="CB16" s="93">
        <f t="shared" si="23"/>
        <v>151250</v>
      </c>
    </row>
    <row r="17" spans="1:80" x14ac:dyDescent="0.25">
      <c r="A17" s="92" t="s">
        <v>27</v>
      </c>
      <c r="B17" s="90" t="s">
        <v>1071</v>
      </c>
      <c r="C17" s="76">
        <f t="shared" si="24"/>
        <v>170.50676315076038</v>
      </c>
      <c r="D17" s="76">
        <f>IFERROR(s_TR/(s_RadSpec!$H17*s_IFAP_res_adj*s_CF_apple),".")</f>
        <v>682.02705260304151</v>
      </c>
      <c r="E17" s="76">
        <f>IFERROR(s_TR/(s_RadSpec!$H17*s_IFAS_res_adj*s_CF_asparagus),".")</f>
        <v>682.02705260304151</v>
      </c>
      <c r="F17" s="76">
        <f>IFERROR(s_TR/(s_RadSpec!$H17*s_IFBT_res_adj*s_CF_beet),".")</f>
        <v>682.02705260304151</v>
      </c>
      <c r="G17" s="76">
        <f>IFERROR(s_TR/(s_RadSpec!$H17*s_IFBE_res_adj*s_CF_berries),".")</f>
        <v>682.02705260304151</v>
      </c>
      <c r="H17" s="76">
        <f>IFERROR(s_TR/(s_RadSpec!$H17*s_IFBR_res_adj*s_CF_broccoli),".")</f>
        <v>682.02705260304151</v>
      </c>
      <c r="I17" s="76">
        <f>IFERROR(s_TR/(s_RadSpec!$H17*s_IFCB_res_adj*s_CF_cabbage),".")</f>
        <v>682.02705260304151</v>
      </c>
      <c r="J17" s="76">
        <f>IFERROR(s_TR/(s_RadSpec!$H17*s_IFCR_res_adj*s_CF_carrot),".")</f>
        <v>682.02705260304151</v>
      </c>
      <c r="K17" s="76">
        <f>IFERROR(s_TR/(s_RadSpec!$H17*s_IFCI_res_adj*s_CF_citrus),".")</f>
        <v>682.02705260304151</v>
      </c>
      <c r="L17" s="76">
        <f>IFERROR(s_TR/(s_RadSpec!$H17*s_IFCO_res_adj*s_CF_corn),".")</f>
        <v>682.02705260304151</v>
      </c>
      <c r="M17" s="76">
        <f>IFERROR(s_TR/(s_RadSpec!$H17*s_IFCU_res_adj*s_CF_cucumber),".")</f>
        <v>682.02705260304151</v>
      </c>
      <c r="N17" s="76">
        <f>IFERROR(s_TR/(s_RadSpec!$H17*s_IFLE_res_adj*s_CF_lettuce),".")</f>
        <v>682.02705260304151</v>
      </c>
      <c r="O17" s="76">
        <f>IFERROR(s_TR/(s_RadSpec!$H17*s_IFLI_res_adj*s_CF_lima_bean),".")</f>
        <v>682.02705260304151</v>
      </c>
      <c r="P17" s="76">
        <f>IFERROR(s_TR/(s_RadSpec!$H17*s_IFOK_res_adj*s_CF_okra),".")</f>
        <v>682.02705260304151</v>
      </c>
      <c r="Q17" s="76">
        <f>IFERROR(s_TR/(s_RadSpec!$H17*s_IFON_res_adj*s_CF_onion),".")</f>
        <v>682.02705260304151</v>
      </c>
      <c r="R17" s="76">
        <f>IFERROR(s_TR/(s_RadSpec!$H17*s_IFPC_res_adj*s_CF_peach),".")</f>
        <v>682.02705260304151</v>
      </c>
      <c r="S17" s="76">
        <f>IFERROR(s_TR/(s_RadSpec!$H17*s_IFPR_res_adj*s_CF_pear),".")</f>
        <v>682.02705260304151</v>
      </c>
      <c r="T17" s="76">
        <f>IFERROR(s_TR/(s_RadSpec!$H17*s_IFPE_res_adj*s_CF_peas),".")</f>
        <v>682.02705260304151</v>
      </c>
      <c r="U17" s="76">
        <f>IFERROR(s_TR/(s_RadSpec!$H17*s_IFPP_res_adj*s_CF_peppers),".")</f>
        <v>682.02705260304151</v>
      </c>
      <c r="V17" s="76">
        <f>IFERROR(s_TR/(s_RadSpec!$H17*s_IFPT_res_adj*s_CF_potato),".")</f>
        <v>682.02705260304151</v>
      </c>
      <c r="W17" s="76">
        <f>IFERROR(s_TR/(s_RadSpec!$H17*s_IFPU_res_adj*s_CF_pumpkin),".")</f>
        <v>682.02705260304151</v>
      </c>
      <c r="X17" s="76">
        <f>IFERROR(s_TR/(s_RadSpec!$H17*s_IFSN_res_adj*s_CF_snap_bean),".")</f>
        <v>682.02705260304151</v>
      </c>
      <c r="Y17" s="76">
        <f>IFERROR(s_TR/(s_RadSpec!$H17*s_IFST_res_adj*s_CF_strawberry),".")</f>
        <v>682.02705260304151</v>
      </c>
      <c r="Z17" s="76">
        <f>IFERROR(s_TR/(s_RadSpec!$H17*s_IFTO_res_adj*s_CF_tomato),".")</f>
        <v>682.02705260304151</v>
      </c>
      <c r="AA17" s="76">
        <f>IFERROR(s_TR/(s_RadSpec!$H17*s_IFRI_res_adj*s_CF_rice),".")</f>
        <v>682.02705260304151</v>
      </c>
      <c r="AB17" s="76">
        <f>IFERROR(s_TR/(s_RadSpec!$H17*s_IFCG_res_adj*s_CF_cereal),".")</f>
        <v>682.02705260304151</v>
      </c>
      <c r="AC17" s="76">
        <f t="shared" si="25"/>
        <v>170.50676315076038</v>
      </c>
      <c r="AD17" s="76">
        <f>IFERROR(s_TR/(s_RadSpec!$H17*s_IFAP_far_adj*s_CF_apple),".")</f>
        <v>682.02705260304151</v>
      </c>
      <c r="AE17" s="76">
        <f>IFERROR(s_TR/(s_RadSpec!$H17*s_IFAS_far_adj*s_CF_asparagus),".")</f>
        <v>682.02705260304151</v>
      </c>
      <c r="AF17" s="76">
        <f>IFERROR(s_TR/(s_RadSpec!$H17*s_IFBT_far_adj*s_CF_beet),".")</f>
        <v>682.02705260304151</v>
      </c>
      <c r="AG17" s="76">
        <f>IFERROR(s_TR/(s_RadSpec!$H17*s_IFBE_far_adj*s_CF_berries),".")</f>
        <v>682.02705260304151</v>
      </c>
      <c r="AH17" s="76">
        <f>IFERROR(s_TR/(s_RadSpec!$H17*s_IFBR_far_adj*s_CF_broccoli),".")</f>
        <v>682.02705260304151</v>
      </c>
      <c r="AI17" s="76">
        <f>IFERROR(s_TR/(s_RadSpec!$H17*s_IFCB_far_adj*s_CF_cabbage),".")</f>
        <v>682.02705260304151</v>
      </c>
      <c r="AJ17" s="76">
        <f>IFERROR(s_TR/(s_RadSpec!$H17*s_IFCR_far_adj*s_CF_carrot),".")</f>
        <v>682.02705260304151</v>
      </c>
      <c r="AK17" s="76">
        <f>IFERROR(s_TR/(s_RadSpec!$H17*s_IFCI_far_adj*s_CF_citrus),".")</f>
        <v>682.02705260304151</v>
      </c>
      <c r="AL17" s="76">
        <f>IFERROR(s_TR/(s_RadSpec!$H17*s_IFCO_far_adj*s_CF_corn),".")</f>
        <v>682.02705260304151</v>
      </c>
      <c r="AM17" s="76">
        <f>IFERROR(s_TR/(s_RadSpec!$H17*s_IFCU_far_adj*s_CF_cucumber),".")</f>
        <v>682.02705260304151</v>
      </c>
      <c r="AN17" s="76">
        <f>IFERROR(s_TR/(s_RadSpec!$H17*s_IFLE_far_adj*s_CF_lettuce),".")</f>
        <v>682.02705260304151</v>
      </c>
      <c r="AO17" s="76">
        <f>IFERROR(s_TR/(s_RadSpec!$H17*s_IFLI_far_adj*s_CF_lima_bean),".")</f>
        <v>682.02705260304151</v>
      </c>
      <c r="AP17" s="76">
        <f>IFERROR(s_TR/(s_RadSpec!$H17*s_IFOK_far_adj*s_CF_okra),".")</f>
        <v>682.02705260304151</v>
      </c>
      <c r="AQ17" s="76">
        <f>IFERROR(s_TR/(s_RadSpec!$H17*s_IFON_far_adj*s_CF_onion),".")</f>
        <v>682.02705260304151</v>
      </c>
      <c r="AR17" s="76">
        <f>IFERROR(s_TR/(s_RadSpec!$H17*s_IFPC_far_adj*s_CF_peach),".")</f>
        <v>682.02705260304151</v>
      </c>
      <c r="AS17" s="76">
        <f>IFERROR(s_TR/(s_RadSpec!$H17*s_IFPR_far_adj*s_CF_pear),".")</f>
        <v>682.02705260304151</v>
      </c>
      <c r="AT17" s="76">
        <f>IFERROR(s_TR/(s_RadSpec!$H17*s_IFPE_far_adj*s_CF_peas),".")</f>
        <v>682.02705260304151</v>
      </c>
      <c r="AU17" s="76">
        <f>IFERROR(s_TR/(s_RadSpec!$H17*s_IFPP_far_adj*s_CF_peppers),".")</f>
        <v>682.02705260304151</v>
      </c>
      <c r="AV17" s="76">
        <f>IFERROR(s_TR/(s_RadSpec!$H17*s_IFPT_far_adj*s_CF_potato),".")</f>
        <v>682.02705260304151</v>
      </c>
      <c r="AW17" s="76">
        <f>IFERROR(s_TR/(s_RadSpec!$H17*s_IFPU_far_adj*s_CF_pumpkin),".")</f>
        <v>682.02705260304151</v>
      </c>
      <c r="AX17" s="76">
        <f>IFERROR(s_TR/(s_RadSpec!$H17*s_IFSN_far_adj*s_CF_snap_bean),".")</f>
        <v>682.02705260304151</v>
      </c>
      <c r="AY17" s="76">
        <f>IFERROR(s_TR/(s_RadSpec!$H17*s_IFST_far_adj*s_CF_strawberry),".")</f>
        <v>682.02705260304151</v>
      </c>
      <c r="AZ17" s="76">
        <f>IFERROR(s_TR/(s_RadSpec!$H17*s_IFTO_far_adj*s_CF_tomato),".")</f>
        <v>682.02705260304151</v>
      </c>
      <c r="BA17" s="76">
        <f>IFERROR(s_TR/(s_RadSpec!$H17*s_IFRI_far_adj*s_CF_rice),".")</f>
        <v>682.02705260304151</v>
      </c>
      <c r="BB17" s="76">
        <f>IFERROR(s_TR/(s_RadSpec!$H17*s_IFCG_far_adj*s_CF_cereal),".")</f>
        <v>682.02705260304151</v>
      </c>
      <c r="BC17" s="93">
        <f t="shared" si="26"/>
        <v>605000</v>
      </c>
      <c r="BD17" s="93">
        <f t="shared" si="0"/>
        <v>151250</v>
      </c>
      <c r="BE17" s="93">
        <f t="shared" si="1"/>
        <v>151250</v>
      </c>
      <c r="BF17" s="93">
        <f t="shared" si="2"/>
        <v>151250</v>
      </c>
      <c r="BG17" s="93">
        <f t="shared" si="3"/>
        <v>151250</v>
      </c>
      <c r="BH17" s="93">
        <f t="shared" si="4"/>
        <v>151250</v>
      </c>
      <c r="BI17" s="93">
        <f t="shared" si="5"/>
        <v>151250</v>
      </c>
      <c r="BJ17" s="93">
        <f t="shared" si="6"/>
        <v>151250</v>
      </c>
      <c r="BK17" s="93">
        <f t="shared" si="7"/>
        <v>151250</v>
      </c>
      <c r="BL17" s="93">
        <f t="shared" si="8"/>
        <v>151250</v>
      </c>
      <c r="BM17" s="93">
        <f t="shared" si="9"/>
        <v>151250</v>
      </c>
      <c r="BN17" s="93">
        <f t="shared" si="10"/>
        <v>151250</v>
      </c>
      <c r="BO17" s="93">
        <f t="shared" si="11"/>
        <v>151250</v>
      </c>
      <c r="BP17" s="93">
        <f t="shared" si="12"/>
        <v>151250</v>
      </c>
      <c r="BQ17" s="93">
        <f t="shared" si="13"/>
        <v>151250</v>
      </c>
      <c r="BR17" s="93">
        <f t="shared" si="14"/>
        <v>151250</v>
      </c>
      <c r="BS17" s="93">
        <f t="shared" si="15"/>
        <v>151250</v>
      </c>
      <c r="BT17" s="93">
        <f t="shared" si="27"/>
        <v>151250</v>
      </c>
      <c r="BU17" s="93">
        <f t="shared" si="16"/>
        <v>151250</v>
      </c>
      <c r="BV17" s="93">
        <f t="shared" si="17"/>
        <v>151250</v>
      </c>
      <c r="BW17" s="93">
        <f t="shared" si="18"/>
        <v>151250</v>
      </c>
      <c r="BX17" s="93">
        <f t="shared" si="19"/>
        <v>151250</v>
      </c>
      <c r="BY17" s="93">
        <f t="shared" si="20"/>
        <v>151250</v>
      </c>
      <c r="BZ17" s="93">
        <f t="shared" si="21"/>
        <v>151250</v>
      </c>
      <c r="CA17" s="93">
        <f t="shared" si="22"/>
        <v>151250</v>
      </c>
      <c r="CB17" s="93">
        <f t="shared" si="23"/>
        <v>151250</v>
      </c>
    </row>
    <row r="18" spans="1:80" x14ac:dyDescent="0.25">
      <c r="A18" s="92" t="s">
        <v>28</v>
      </c>
      <c r="B18" s="90" t="s">
        <v>1071</v>
      </c>
      <c r="C18" s="76">
        <f t="shared" si="24"/>
        <v>3.667715266461348E-2</v>
      </c>
      <c r="D18" s="76">
        <f>IFERROR(s_TR/(s_RadSpec!$H18*s_IFAP_res_adj*s_CF_apple),".")</f>
        <v>0.14670861065845392</v>
      </c>
      <c r="E18" s="76">
        <f>IFERROR(s_TR/(s_RadSpec!$H18*s_IFAS_res_adj*s_CF_asparagus),".")</f>
        <v>0.14670861065845392</v>
      </c>
      <c r="F18" s="76">
        <f>IFERROR(s_TR/(s_RadSpec!$H18*s_IFBT_res_adj*s_CF_beet),".")</f>
        <v>0.14670861065845392</v>
      </c>
      <c r="G18" s="76">
        <f>IFERROR(s_TR/(s_RadSpec!$H18*s_IFBE_res_adj*s_CF_berries),".")</f>
        <v>0.14670861065845392</v>
      </c>
      <c r="H18" s="76">
        <f>IFERROR(s_TR/(s_RadSpec!$H18*s_IFBR_res_adj*s_CF_broccoli),".")</f>
        <v>0.14670861065845392</v>
      </c>
      <c r="I18" s="76">
        <f>IFERROR(s_TR/(s_RadSpec!$H18*s_IFCB_res_adj*s_CF_cabbage),".")</f>
        <v>0.14670861065845392</v>
      </c>
      <c r="J18" s="76">
        <f>IFERROR(s_TR/(s_RadSpec!$H18*s_IFCR_res_adj*s_CF_carrot),".")</f>
        <v>0.14670861065845392</v>
      </c>
      <c r="K18" s="76">
        <f>IFERROR(s_TR/(s_RadSpec!$H18*s_IFCI_res_adj*s_CF_citrus),".")</f>
        <v>0.14670861065845392</v>
      </c>
      <c r="L18" s="76">
        <f>IFERROR(s_TR/(s_RadSpec!$H18*s_IFCO_res_adj*s_CF_corn),".")</f>
        <v>0.14670861065845392</v>
      </c>
      <c r="M18" s="76">
        <f>IFERROR(s_TR/(s_RadSpec!$H18*s_IFCU_res_adj*s_CF_cucumber),".")</f>
        <v>0.14670861065845392</v>
      </c>
      <c r="N18" s="76">
        <f>IFERROR(s_TR/(s_RadSpec!$H18*s_IFLE_res_adj*s_CF_lettuce),".")</f>
        <v>0.14670861065845392</v>
      </c>
      <c r="O18" s="76">
        <f>IFERROR(s_TR/(s_RadSpec!$H18*s_IFLI_res_adj*s_CF_lima_bean),".")</f>
        <v>0.14670861065845392</v>
      </c>
      <c r="P18" s="76">
        <f>IFERROR(s_TR/(s_RadSpec!$H18*s_IFOK_res_adj*s_CF_okra),".")</f>
        <v>0.14670861065845392</v>
      </c>
      <c r="Q18" s="76">
        <f>IFERROR(s_TR/(s_RadSpec!$H18*s_IFON_res_adj*s_CF_onion),".")</f>
        <v>0.14670861065845392</v>
      </c>
      <c r="R18" s="76">
        <f>IFERROR(s_TR/(s_RadSpec!$H18*s_IFPC_res_adj*s_CF_peach),".")</f>
        <v>0.14670861065845392</v>
      </c>
      <c r="S18" s="76">
        <f>IFERROR(s_TR/(s_RadSpec!$H18*s_IFPR_res_adj*s_CF_pear),".")</f>
        <v>0.14670861065845392</v>
      </c>
      <c r="T18" s="76">
        <f>IFERROR(s_TR/(s_RadSpec!$H18*s_IFPE_res_adj*s_CF_peas),".")</f>
        <v>0.14670861065845392</v>
      </c>
      <c r="U18" s="76">
        <f>IFERROR(s_TR/(s_RadSpec!$H18*s_IFPP_res_adj*s_CF_peppers),".")</f>
        <v>0.14670861065845392</v>
      </c>
      <c r="V18" s="76">
        <f>IFERROR(s_TR/(s_RadSpec!$H18*s_IFPT_res_adj*s_CF_potato),".")</f>
        <v>0.14670861065845392</v>
      </c>
      <c r="W18" s="76">
        <f>IFERROR(s_TR/(s_RadSpec!$H18*s_IFPU_res_adj*s_CF_pumpkin),".")</f>
        <v>0.14670861065845392</v>
      </c>
      <c r="X18" s="76">
        <f>IFERROR(s_TR/(s_RadSpec!$H18*s_IFSN_res_adj*s_CF_snap_bean),".")</f>
        <v>0.14670861065845392</v>
      </c>
      <c r="Y18" s="76">
        <f>IFERROR(s_TR/(s_RadSpec!$H18*s_IFST_res_adj*s_CF_strawberry),".")</f>
        <v>0.14670861065845392</v>
      </c>
      <c r="Z18" s="76">
        <f>IFERROR(s_TR/(s_RadSpec!$H18*s_IFTO_res_adj*s_CF_tomato),".")</f>
        <v>0.14670861065845392</v>
      </c>
      <c r="AA18" s="76">
        <f>IFERROR(s_TR/(s_RadSpec!$H18*s_IFRI_res_adj*s_CF_rice),".")</f>
        <v>0.14670861065845392</v>
      </c>
      <c r="AB18" s="76">
        <f>IFERROR(s_TR/(s_RadSpec!$H18*s_IFCG_res_adj*s_CF_cereal),".")</f>
        <v>0.14670861065845392</v>
      </c>
      <c r="AC18" s="76">
        <f t="shared" si="25"/>
        <v>3.667715266461348E-2</v>
      </c>
      <c r="AD18" s="76">
        <f>IFERROR(s_TR/(s_RadSpec!$H18*s_IFAP_far_adj*s_CF_apple),".")</f>
        <v>0.14670861065845392</v>
      </c>
      <c r="AE18" s="76">
        <f>IFERROR(s_TR/(s_RadSpec!$H18*s_IFAS_far_adj*s_CF_asparagus),".")</f>
        <v>0.14670861065845392</v>
      </c>
      <c r="AF18" s="76">
        <f>IFERROR(s_TR/(s_RadSpec!$H18*s_IFBT_far_adj*s_CF_beet),".")</f>
        <v>0.14670861065845392</v>
      </c>
      <c r="AG18" s="76">
        <f>IFERROR(s_TR/(s_RadSpec!$H18*s_IFBE_far_adj*s_CF_berries),".")</f>
        <v>0.14670861065845392</v>
      </c>
      <c r="AH18" s="76">
        <f>IFERROR(s_TR/(s_RadSpec!$H18*s_IFBR_far_adj*s_CF_broccoli),".")</f>
        <v>0.14670861065845392</v>
      </c>
      <c r="AI18" s="76">
        <f>IFERROR(s_TR/(s_RadSpec!$H18*s_IFCB_far_adj*s_CF_cabbage),".")</f>
        <v>0.14670861065845392</v>
      </c>
      <c r="AJ18" s="76">
        <f>IFERROR(s_TR/(s_RadSpec!$H18*s_IFCR_far_adj*s_CF_carrot),".")</f>
        <v>0.14670861065845392</v>
      </c>
      <c r="AK18" s="76">
        <f>IFERROR(s_TR/(s_RadSpec!$H18*s_IFCI_far_adj*s_CF_citrus),".")</f>
        <v>0.14670861065845392</v>
      </c>
      <c r="AL18" s="76">
        <f>IFERROR(s_TR/(s_RadSpec!$H18*s_IFCO_far_adj*s_CF_corn),".")</f>
        <v>0.14670861065845392</v>
      </c>
      <c r="AM18" s="76">
        <f>IFERROR(s_TR/(s_RadSpec!$H18*s_IFCU_far_adj*s_CF_cucumber),".")</f>
        <v>0.14670861065845392</v>
      </c>
      <c r="AN18" s="76">
        <f>IFERROR(s_TR/(s_RadSpec!$H18*s_IFLE_far_adj*s_CF_lettuce),".")</f>
        <v>0.14670861065845392</v>
      </c>
      <c r="AO18" s="76">
        <f>IFERROR(s_TR/(s_RadSpec!$H18*s_IFLI_far_adj*s_CF_lima_bean),".")</f>
        <v>0.14670861065845392</v>
      </c>
      <c r="AP18" s="76">
        <f>IFERROR(s_TR/(s_RadSpec!$H18*s_IFOK_far_adj*s_CF_okra),".")</f>
        <v>0.14670861065845392</v>
      </c>
      <c r="AQ18" s="76">
        <f>IFERROR(s_TR/(s_RadSpec!$H18*s_IFON_far_adj*s_CF_onion),".")</f>
        <v>0.14670861065845392</v>
      </c>
      <c r="AR18" s="76">
        <f>IFERROR(s_TR/(s_RadSpec!$H18*s_IFPC_far_adj*s_CF_peach),".")</f>
        <v>0.14670861065845392</v>
      </c>
      <c r="AS18" s="76">
        <f>IFERROR(s_TR/(s_RadSpec!$H18*s_IFPR_far_adj*s_CF_pear),".")</f>
        <v>0.14670861065845392</v>
      </c>
      <c r="AT18" s="76">
        <f>IFERROR(s_TR/(s_RadSpec!$H18*s_IFPE_far_adj*s_CF_peas),".")</f>
        <v>0.14670861065845392</v>
      </c>
      <c r="AU18" s="76">
        <f>IFERROR(s_TR/(s_RadSpec!$H18*s_IFPP_far_adj*s_CF_peppers),".")</f>
        <v>0.14670861065845392</v>
      </c>
      <c r="AV18" s="76">
        <f>IFERROR(s_TR/(s_RadSpec!$H18*s_IFPT_far_adj*s_CF_potato),".")</f>
        <v>0.14670861065845392</v>
      </c>
      <c r="AW18" s="76">
        <f>IFERROR(s_TR/(s_RadSpec!$H18*s_IFPU_far_adj*s_CF_pumpkin),".")</f>
        <v>0.14670861065845392</v>
      </c>
      <c r="AX18" s="76">
        <f>IFERROR(s_TR/(s_RadSpec!$H18*s_IFSN_far_adj*s_CF_snap_bean),".")</f>
        <v>0.14670861065845392</v>
      </c>
      <c r="AY18" s="76">
        <f>IFERROR(s_TR/(s_RadSpec!$H18*s_IFST_far_adj*s_CF_strawberry),".")</f>
        <v>0.14670861065845392</v>
      </c>
      <c r="AZ18" s="76">
        <f>IFERROR(s_TR/(s_RadSpec!$H18*s_IFTO_far_adj*s_CF_tomato),".")</f>
        <v>0.14670861065845392</v>
      </c>
      <c r="BA18" s="76">
        <f>IFERROR(s_TR/(s_RadSpec!$H18*s_IFRI_far_adj*s_CF_rice),".")</f>
        <v>0.14670861065845392</v>
      </c>
      <c r="BB18" s="76">
        <f>IFERROR(s_TR/(s_RadSpec!$H18*s_IFCG_far_adj*s_CF_cereal),".")</f>
        <v>0.14670861065845392</v>
      </c>
      <c r="BC18" s="93">
        <f t="shared" si="26"/>
        <v>605000</v>
      </c>
      <c r="BD18" s="93">
        <f t="shared" si="0"/>
        <v>151250</v>
      </c>
      <c r="BE18" s="93">
        <f t="shared" si="1"/>
        <v>151250</v>
      </c>
      <c r="BF18" s="93">
        <f t="shared" si="2"/>
        <v>151250</v>
      </c>
      <c r="BG18" s="93">
        <f t="shared" si="3"/>
        <v>151250</v>
      </c>
      <c r="BH18" s="93">
        <f t="shared" si="4"/>
        <v>151250</v>
      </c>
      <c r="BI18" s="93">
        <f t="shared" si="5"/>
        <v>151250</v>
      </c>
      <c r="BJ18" s="93">
        <f t="shared" si="6"/>
        <v>151250</v>
      </c>
      <c r="BK18" s="93">
        <f t="shared" si="7"/>
        <v>151250</v>
      </c>
      <c r="BL18" s="93">
        <f t="shared" si="8"/>
        <v>151250</v>
      </c>
      <c r="BM18" s="93">
        <f t="shared" si="9"/>
        <v>151250</v>
      </c>
      <c r="BN18" s="93">
        <f t="shared" si="10"/>
        <v>151250</v>
      </c>
      <c r="BO18" s="93">
        <f t="shared" si="11"/>
        <v>151250</v>
      </c>
      <c r="BP18" s="93">
        <f t="shared" si="12"/>
        <v>151250</v>
      </c>
      <c r="BQ18" s="93">
        <f t="shared" si="13"/>
        <v>151250</v>
      </c>
      <c r="BR18" s="93">
        <f t="shared" si="14"/>
        <v>151250</v>
      </c>
      <c r="BS18" s="93">
        <f t="shared" si="15"/>
        <v>151250</v>
      </c>
      <c r="BT18" s="93">
        <f t="shared" si="27"/>
        <v>151250</v>
      </c>
      <c r="BU18" s="93">
        <f t="shared" si="16"/>
        <v>151250</v>
      </c>
      <c r="BV18" s="93">
        <f t="shared" si="17"/>
        <v>151250</v>
      </c>
      <c r="BW18" s="93">
        <f t="shared" si="18"/>
        <v>151250</v>
      </c>
      <c r="BX18" s="93">
        <f t="shared" si="19"/>
        <v>151250</v>
      </c>
      <c r="BY18" s="93">
        <f t="shared" si="20"/>
        <v>151250</v>
      </c>
      <c r="BZ18" s="93">
        <f t="shared" si="21"/>
        <v>151250</v>
      </c>
      <c r="CA18" s="93">
        <f t="shared" si="22"/>
        <v>151250</v>
      </c>
      <c r="CB18" s="93">
        <f t="shared" si="23"/>
        <v>151250</v>
      </c>
    </row>
    <row r="19" spans="1:80" x14ac:dyDescent="0.25">
      <c r="A19" s="92" t="s">
        <v>29</v>
      </c>
      <c r="B19" s="90" t="s">
        <v>1071</v>
      </c>
      <c r="C19" s="76" t="str">
        <f t="shared" si="24"/>
        <v>.</v>
      </c>
      <c r="D19" s="76" t="str">
        <f>IFERROR(s_TR/(s_RadSpec!$H19*s_IFAP_res_adj*s_CF_apple),".")</f>
        <v>.</v>
      </c>
      <c r="E19" s="76" t="str">
        <f>IFERROR(s_TR/(s_RadSpec!$H19*s_IFAS_res_adj*s_CF_asparagus),".")</f>
        <v>.</v>
      </c>
      <c r="F19" s="76" t="str">
        <f>IFERROR(s_TR/(s_RadSpec!$H19*s_IFBT_res_adj*s_CF_beet),".")</f>
        <v>.</v>
      </c>
      <c r="G19" s="76" t="str">
        <f>IFERROR(s_TR/(s_RadSpec!$H19*s_IFBE_res_adj*s_CF_berries),".")</f>
        <v>.</v>
      </c>
      <c r="H19" s="76" t="str">
        <f>IFERROR(s_TR/(s_RadSpec!$H19*s_IFBR_res_adj*s_CF_broccoli),".")</f>
        <v>.</v>
      </c>
      <c r="I19" s="76" t="str">
        <f>IFERROR(s_TR/(s_RadSpec!$H19*s_IFCB_res_adj*s_CF_cabbage),".")</f>
        <v>.</v>
      </c>
      <c r="J19" s="76" t="str">
        <f>IFERROR(s_TR/(s_RadSpec!$H19*s_IFCR_res_adj*s_CF_carrot),".")</f>
        <v>.</v>
      </c>
      <c r="K19" s="76" t="str">
        <f>IFERROR(s_TR/(s_RadSpec!$H19*s_IFCI_res_adj*s_CF_citrus),".")</f>
        <v>.</v>
      </c>
      <c r="L19" s="76" t="str">
        <f>IFERROR(s_TR/(s_RadSpec!$H19*s_IFCO_res_adj*s_CF_corn),".")</f>
        <v>.</v>
      </c>
      <c r="M19" s="76" t="str">
        <f>IFERROR(s_TR/(s_RadSpec!$H19*s_IFCU_res_adj*s_CF_cucumber),".")</f>
        <v>.</v>
      </c>
      <c r="N19" s="76" t="str">
        <f>IFERROR(s_TR/(s_RadSpec!$H19*s_IFLE_res_adj*s_CF_lettuce),".")</f>
        <v>.</v>
      </c>
      <c r="O19" s="76" t="str">
        <f>IFERROR(s_TR/(s_RadSpec!$H19*s_IFLI_res_adj*s_CF_lima_bean),".")</f>
        <v>.</v>
      </c>
      <c r="P19" s="76" t="str">
        <f>IFERROR(s_TR/(s_RadSpec!$H19*s_IFOK_res_adj*s_CF_okra),".")</f>
        <v>.</v>
      </c>
      <c r="Q19" s="76" t="str">
        <f>IFERROR(s_TR/(s_RadSpec!$H19*s_IFON_res_adj*s_CF_onion),".")</f>
        <v>.</v>
      </c>
      <c r="R19" s="76" t="str">
        <f>IFERROR(s_TR/(s_RadSpec!$H19*s_IFPC_res_adj*s_CF_peach),".")</f>
        <v>.</v>
      </c>
      <c r="S19" s="76" t="str">
        <f>IFERROR(s_TR/(s_RadSpec!$H19*s_IFPR_res_adj*s_CF_pear),".")</f>
        <v>.</v>
      </c>
      <c r="T19" s="76" t="str">
        <f>IFERROR(s_TR/(s_RadSpec!$H19*s_IFPE_res_adj*s_CF_peas),".")</f>
        <v>.</v>
      </c>
      <c r="U19" s="76" t="str">
        <f>IFERROR(s_TR/(s_RadSpec!$H19*s_IFPP_res_adj*s_CF_peppers),".")</f>
        <v>.</v>
      </c>
      <c r="V19" s="76" t="str">
        <f>IFERROR(s_TR/(s_RadSpec!$H19*s_IFPT_res_adj*s_CF_potato),".")</f>
        <v>.</v>
      </c>
      <c r="W19" s="76" t="str">
        <f>IFERROR(s_TR/(s_RadSpec!$H19*s_IFPU_res_adj*s_CF_pumpkin),".")</f>
        <v>.</v>
      </c>
      <c r="X19" s="76" t="str">
        <f>IFERROR(s_TR/(s_RadSpec!$H19*s_IFSN_res_adj*s_CF_snap_bean),".")</f>
        <v>.</v>
      </c>
      <c r="Y19" s="76" t="str">
        <f>IFERROR(s_TR/(s_RadSpec!$H19*s_IFST_res_adj*s_CF_strawberry),".")</f>
        <v>.</v>
      </c>
      <c r="Z19" s="76" t="str">
        <f>IFERROR(s_TR/(s_RadSpec!$H19*s_IFTO_res_adj*s_CF_tomato),".")</f>
        <v>.</v>
      </c>
      <c r="AA19" s="76" t="str">
        <f>IFERROR(s_TR/(s_RadSpec!$H19*s_IFRI_res_adj*s_CF_rice),".")</f>
        <v>.</v>
      </c>
      <c r="AB19" s="76" t="str">
        <f>IFERROR(s_TR/(s_RadSpec!$H19*s_IFCG_res_adj*s_CF_cereal),".")</f>
        <v>.</v>
      </c>
      <c r="AC19" s="76" t="str">
        <f t="shared" si="25"/>
        <v>.</v>
      </c>
      <c r="AD19" s="76" t="str">
        <f>IFERROR(s_TR/(s_RadSpec!$H19*s_IFAP_far_adj*s_CF_apple),".")</f>
        <v>.</v>
      </c>
      <c r="AE19" s="76" t="str">
        <f>IFERROR(s_TR/(s_RadSpec!$H19*s_IFAS_far_adj*s_CF_asparagus),".")</f>
        <v>.</v>
      </c>
      <c r="AF19" s="76" t="str">
        <f>IFERROR(s_TR/(s_RadSpec!$H19*s_IFBT_far_adj*s_CF_beet),".")</f>
        <v>.</v>
      </c>
      <c r="AG19" s="76" t="str">
        <f>IFERROR(s_TR/(s_RadSpec!$H19*s_IFBE_far_adj*s_CF_berries),".")</f>
        <v>.</v>
      </c>
      <c r="AH19" s="76" t="str">
        <f>IFERROR(s_TR/(s_RadSpec!$H19*s_IFBR_far_adj*s_CF_broccoli),".")</f>
        <v>.</v>
      </c>
      <c r="AI19" s="76" t="str">
        <f>IFERROR(s_TR/(s_RadSpec!$H19*s_IFCB_far_adj*s_CF_cabbage),".")</f>
        <v>.</v>
      </c>
      <c r="AJ19" s="76" t="str">
        <f>IFERROR(s_TR/(s_RadSpec!$H19*s_IFCR_far_adj*s_CF_carrot),".")</f>
        <v>.</v>
      </c>
      <c r="AK19" s="76" t="str">
        <f>IFERROR(s_TR/(s_RadSpec!$H19*s_IFCI_far_adj*s_CF_citrus),".")</f>
        <v>.</v>
      </c>
      <c r="AL19" s="76" t="str">
        <f>IFERROR(s_TR/(s_RadSpec!$H19*s_IFCO_far_adj*s_CF_corn),".")</f>
        <v>.</v>
      </c>
      <c r="AM19" s="76" t="str">
        <f>IFERROR(s_TR/(s_RadSpec!$H19*s_IFCU_far_adj*s_CF_cucumber),".")</f>
        <v>.</v>
      </c>
      <c r="AN19" s="76" t="str">
        <f>IFERROR(s_TR/(s_RadSpec!$H19*s_IFLE_far_adj*s_CF_lettuce),".")</f>
        <v>.</v>
      </c>
      <c r="AO19" s="76" t="str">
        <f>IFERROR(s_TR/(s_RadSpec!$H19*s_IFLI_far_adj*s_CF_lima_bean),".")</f>
        <v>.</v>
      </c>
      <c r="AP19" s="76" t="str">
        <f>IFERROR(s_TR/(s_RadSpec!$H19*s_IFOK_far_adj*s_CF_okra),".")</f>
        <v>.</v>
      </c>
      <c r="AQ19" s="76" t="str">
        <f>IFERROR(s_TR/(s_RadSpec!$H19*s_IFON_far_adj*s_CF_onion),".")</f>
        <v>.</v>
      </c>
      <c r="AR19" s="76" t="str">
        <f>IFERROR(s_TR/(s_RadSpec!$H19*s_IFPC_far_adj*s_CF_peach),".")</f>
        <v>.</v>
      </c>
      <c r="AS19" s="76" t="str">
        <f>IFERROR(s_TR/(s_RadSpec!$H19*s_IFPR_far_adj*s_CF_pear),".")</f>
        <v>.</v>
      </c>
      <c r="AT19" s="76" t="str">
        <f>IFERROR(s_TR/(s_RadSpec!$H19*s_IFPE_far_adj*s_CF_peas),".")</f>
        <v>.</v>
      </c>
      <c r="AU19" s="76" t="str">
        <f>IFERROR(s_TR/(s_RadSpec!$H19*s_IFPP_far_adj*s_CF_peppers),".")</f>
        <v>.</v>
      </c>
      <c r="AV19" s="76" t="str">
        <f>IFERROR(s_TR/(s_RadSpec!$H19*s_IFPT_far_adj*s_CF_potato),".")</f>
        <v>.</v>
      </c>
      <c r="AW19" s="76" t="str">
        <f>IFERROR(s_TR/(s_RadSpec!$H19*s_IFPU_far_adj*s_CF_pumpkin),".")</f>
        <v>.</v>
      </c>
      <c r="AX19" s="76" t="str">
        <f>IFERROR(s_TR/(s_RadSpec!$H19*s_IFSN_far_adj*s_CF_snap_bean),".")</f>
        <v>.</v>
      </c>
      <c r="AY19" s="76" t="str">
        <f>IFERROR(s_TR/(s_RadSpec!$H19*s_IFST_far_adj*s_CF_strawberry),".")</f>
        <v>.</v>
      </c>
      <c r="AZ19" s="76" t="str">
        <f>IFERROR(s_TR/(s_RadSpec!$H19*s_IFTO_far_adj*s_CF_tomato),".")</f>
        <v>.</v>
      </c>
      <c r="BA19" s="76" t="str">
        <f>IFERROR(s_TR/(s_RadSpec!$H19*s_IFRI_far_adj*s_CF_rice),".")</f>
        <v>.</v>
      </c>
      <c r="BB19" s="76" t="str">
        <f>IFERROR(s_TR/(s_RadSpec!$H19*s_IFCG_far_adj*s_CF_cereal),".")</f>
        <v>.</v>
      </c>
      <c r="BC19" s="93">
        <f t="shared" si="26"/>
        <v>605000</v>
      </c>
      <c r="BD19" s="93">
        <f t="shared" si="0"/>
        <v>151250</v>
      </c>
      <c r="BE19" s="93">
        <f t="shared" si="1"/>
        <v>151250</v>
      </c>
      <c r="BF19" s="93">
        <f t="shared" si="2"/>
        <v>151250</v>
      </c>
      <c r="BG19" s="93">
        <f t="shared" si="3"/>
        <v>151250</v>
      </c>
      <c r="BH19" s="93">
        <f t="shared" si="4"/>
        <v>151250</v>
      </c>
      <c r="BI19" s="93">
        <f t="shared" si="5"/>
        <v>151250</v>
      </c>
      <c r="BJ19" s="93">
        <f t="shared" si="6"/>
        <v>151250</v>
      </c>
      <c r="BK19" s="93">
        <f t="shared" si="7"/>
        <v>151250</v>
      </c>
      <c r="BL19" s="93">
        <f t="shared" si="8"/>
        <v>151250</v>
      </c>
      <c r="BM19" s="93">
        <f t="shared" si="9"/>
        <v>151250</v>
      </c>
      <c r="BN19" s="93">
        <f t="shared" si="10"/>
        <v>151250</v>
      </c>
      <c r="BO19" s="93">
        <f t="shared" si="11"/>
        <v>151250</v>
      </c>
      <c r="BP19" s="93">
        <f t="shared" si="12"/>
        <v>151250</v>
      </c>
      <c r="BQ19" s="93">
        <f t="shared" si="13"/>
        <v>151250</v>
      </c>
      <c r="BR19" s="93">
        <f t="shared" si="14"/>
        <v>151250</v>
      </c>
      <c r="BS19" s="93">
        <f t="shared" si="15"/>
        <v>151250</v>
      </c>
      <c r="BT19" s="93">
        <f t="shared" si="27"/>
        <v>151250</v>
      </c>
      <c r="BU19" s="93">
        <f t="shared" si="16"/>
        <v>151250</v>
      </c>
      <c r="BV19" s="93">
        <f t="shared" si="17"/>
        <v>151250</v>
      </c>
      <c r="BW19" s="93">
        <f t="shared" si="18"/>
        <v>151250</v>
      </c>
      <c r="BX19" s="93">
        <f t="shared" si="19"/>
        <v>151250</v>
      </c>
      <c r="BY19" s="93">
        <f t="shared" si="20"/>
        <v>151250</v>
      </c>
      <c r="BZ19" s="93">
        <f t="shared" si="21"/>
        <v>151250</v>
      </c>
      <c r="CA19" s="93">
        <f t="shared" si="22"/>
        <v>151250</v>
      </c>
      <c r="CB19" s="93">
        <f t="shared" si="23"/>
        <v>151250</v>
      </c>
    </row>
    <row r="20" spans="1:80" x14ac:dyDescent="0.25">
      <c r="A20" s="92" t="s">
        <v>30</v>
      </c>
      <c r="B20" s="90" t="s">
        <v>1071</v>
      </c>
      <c r="C20" s="76" t="str">
        <f t="shared" si="24"/>
        <v>.</v>
      </c>
      <c r="D20" s="76" t="str">
        <f>IFERROR(s_TR/(s_RadSpec!$H20*s_IFAP_res_adj*s_CF_apple),".")</f>
        <v>.</v>
      </c>
      <c r="E20" s="76" t="str">
        <f>IFERROR(s_TR/(s_RadSpec!$H20*s_IFAS_res_adj*s_CF_asparagus),".")</f>
        <v>.</v>
      </c>
      <c r="F20" s="76" t="str">
        <f>IFERROR(s_TR/(s_RadSpec!$H20*s_IFBT_res_adj*s_CF_beet),".")</f>
        <v>.</v>
      </c>
      <c r="G20" s="76" t="str">
        <f>IFERROR(s_TR/(s_RadSpec!$H20*s_IFBE_res_adj*s_CF_berries),".")</f>
        <v>.</v>
      </c>
      <c r="H20" s="76" t="str">
        <f>IFERROR(s_TR/(s_RadSpec!$H20*s_IFBR_res_adj*s_CF_broccoli),".")</f>
        <v>.</v>
      </c>
      <c r="I20" s="76" t="str">
        <f>IFERROR(s_TR/(s_RadSpec!$H20*s_IFCB_res_adj*s_CF_cabbage),".")</f>
        <v>.</v>
      </c>
      <c r="J20" s="76" t="str">
        <f>IFERROR(s_TR/(s_RadSpec!$H20*s_IFCR_res_adj*s_CF_carrot),".")</f>
        <v>.</v>
      </c>
      <c r="K20" s="76" t="str">
        <f>IFERROR(s_TR/(s_RadSpec!$H20*s_IFCI_res_adj*s_CF_citrus),".")</f>
        <v>.</v>
      </c>
      <c r="L20" s="76" t="str">
        <f>IFERROR(s_TR/(s_RadSpec!$H20*s_IFCO_res_adj*s_CF_corn),".")</f>
        <v>.</v>
      </c>
      <c r="M20" s="76" t="str">
        <f>IFERROR(s_TR/(s_RadSpec!$H20*s_IFCU_res_adj*s_CF_cucumber),".")</f>
        <v>.</v>
      </c>
      <c r="N20" s="76" t="str">
        <f>IFERROR(s_TR/(s_RadSpec!$H20*s_IFLE_res_adj*s_CF_lettuce),".")</f>
        <v>.</v>
      </c>
      <c r="O20" s="76" t="str">
        <f>IFERROR(s_TR/(s_RadSpec!$H20*s_IFLI_res_adj*s_CF_lima_bean),".")</f>
        <v>.</v>
      </c>
      <c r="P20" s="76" t="str">
        <f>IFERROR(s_TR/(s_RadSpec!$H20*s_IFOK_res_adj*s_CF_okra),".")</f>
        <v>.</v>
      </c>
      <c r="Q20" s="76" t="str">
        <f>IFERROR(s_TR/(s_RadSpec!$H20*s_IFON_res_adj*s_CF_onion),".")</f>
        <v>.</v>
      </c>
      <c r="R20" s="76" t="str">
        <f>IFERROR(s_TR/(s_RadSpec!$H20*s_IFPC_res_adj*s_CF_peach),".")</f>
        <v>.</v>
      </c>
      <c r="S20" s="76" t="str">
        <f>IFERROR(s_TR/(s_RadSpec!$H20*s_IFPR_res_adj*s_CF_pear),".")</f>
        <v>.</v>
      </c>
      <c r="T20" s="76" t="str">
        <f>IFERROR(s_TR/(s_RadSpec!$H20*s_IFPE_res_adj*s_CF_peas),".")</f>
        <v>.</v>
      </c>
      <c r="U20" s="76" t="str">
        <f>IFERROR(s_TR/(s_RadSpec!$H20*s_IFPP_res_adj*s_CF_peppers),".")</f>
        <v>.</v>
      </c>
      <c r="V20" s="76" t="str">
        <f>IFERROR(s_TR/(s_RadSpec!$H20*s_IFPT_res_adj*s_CF_potato),".")</f>
        <v>.</v>
      </c>
      <c r="W20" s="76" t="str">
        <f>IFERROR(s_TR/(s_RadSpec!$H20*s_IFPU_res_adj*s_CF_pumpkin),".")</f>
        <v>.</v>
      </c>
      <c r="X20" s="76" t="str">
        <f>IFERROR(s_TR/(s_RadSpec!$H20*s_IFSN_res_adj*s_CF_snap_bean),".")</f>
        <v>.</v>
      </c>
      <c r="Y20" s="76" t="str">
        <f>IFERROR(s_TR/(s_RadSpec!$H20*s_IFST_res_adj*s_CF_strawberry),".")</f>
        <v>.</v>
      </c>
      <c r="Z20" s="76" t="str">
        <f>IFERROR(s_TR/(s_RadSpec!$H20*s_IFTO_res_adj*s_CF_tomato),".")</f>
        <v>.</v>
      </c>
      <c r="AA20" s="76" t="str">
        <f>IFERROR(s_TR/(s_RadSpec!$H20*s_IFRI_res_adj*s_CF_rice),".")</f>
        <v>.</v>
      </c>
      <c r="AB20" s="76" t="str">
        <f>IFERROR(s_TR/(s_RadSpec!$H20*s_IFCG_res_adj*s_CF_cereal),".")</f>
        <v>.</v>
      </c>
      <c r="AC20" s="76" t="str">
        <f t="shared" si="25"/>
        <v>.</v>
      </c>
      <c r="AD20" s="76" t="str">
        <f>IFERROR(s_TR/(s_RadSpec!$H20*s_IFAP_far_adj*s_CF_apple),".")</f>
        <v>.</v>
      </c>
      <c r="AE20" s="76" t="str">
        <f>IFERROR(s_TR/(s_RadSpec!$H20*s_IFAS_far_adj*s_CF_asparagus),".")</f>
        <v>.</v>
      </c>
      <c r="AF20" s="76" t="str">
        <f>IFERROR(s_TR/(s_RadSpec!$H20*s_IFBT_far_adj*s_CF_beet),".")</f>
        <v>.</v>
      </c>
      <c r="AG20" s="76" t="str">
        <f>IFERROR(s_TR/(s_RadSpec!$H20*s_IFBE_far_adj*s_CF_berries),".")</f>
        <v>.</v>
      </c>
      <c r="AH20" s="76" t="str">
        <f>IFERROR(s_TR/(s_RadSpec!$H20*s_IFBR_far_adj*s_CF_broccoli),".")</f>
        <v>.</v>
      </c>
      <c r="AI20" s="76" t="str">
        <f>IFERROR(s_TR/(s_RadSpec!$H20*s_IFCB_far_adj*s_CF_cabbage),".")</f>
        <v>.</v>
      </c>
      <c r="AJ20" s="76" t="str">
        <f>IFERROR(s_TR/(s_RadSpec!$H20*s_IFCR_far_adj*s_CF_carrot),".")</f>
        <v>.</v>
      </c>
      <c r="AK20" s="76" t="str">
        <f>IFERROR(s_TR/(s_RadSpec!$H20*s_IFCI_far_adj*s_CF_citrus),".")</f>
        <v>.</v>
      </c>
      <c r="AL20" s="76" t="str">
        <f>IFERROR(s_TR/(s_RadSpec!$H20*s_IFCO_far_adj*s_CF_corn),".")</f>
        <v>.</v>
      </c>
      <c r="AM20" s="76" t="str">
        <f>IFERROR(s_TR/(s_RadSpec!$H20*s_IFCU_far_adj*s_CF_cucumber),".")</f>
        <v>.</v>
      </c>
      <c r="AN20" s="76" t="str">
        <f>IFERROR(s_TR/(s_RadSpec!$H20*s_IFLE_far_adj*s_CF_lettuce),".")</f>
        <v>.</v>
      </c>
      <c r="AO20" s="76" t="str">
        <f>IFERROR(s_TR/(s_RadSpec!$H20*s_IFLI_far_adj*s_CF_lima_bean),".")</f>
        <v>.</v>
      </c>
      <c r="AP20" s="76" t="str">
        <f>IFERROR(s_TR/(s_RadSpec!$H20*s_IFOK_far_adj*s_CF_okra),".")</f>
        <v>.</v>
      </c>
      <c r="AQ20" s="76" t="str">
        <f>IFERROR(s_TR/(s_RadSpec!$H20*s_IFON_far_adj*s_CF_onion),".")</f>
        <v>.</v>
      </c>
      <c r="AR20" s="76" t="str">
        <f>IFERROR(s_TR/(s_RadSpec!$H20*s_IFPC_far_adj*s_CF_peach),".")</f>
        <v>.</v>
      </c>
      <c r="AS20" s="76" t="str">
        <f>IFERROR(s_TR/(s_RadSpec!$H20*s_IFPR_far_adj*s_CF_pear),".")</f>
        <v>.</v>
      </c>
      <c r="AT20" s="76" t="str">
        <f>IFERROR(s_TR/(s_RadSpec!$H20*s_IFPE_far_adj*s_CF_peas),".")</f>
        <v>.</v>
      </c>
      <c r="AU20" s="76" t="str">
        <f>IFERROR(s_TR/(s_RadSpec!$H20*s_IFPP_far_adj*s_CF_peppers),".")</f>
        <v>.</v>
      </c>
      <c r="AV20" s="76" t="str">
        <f>IFERROR(s_TR/(s_RadSpec!$H20*s_IFPT_far_adj*s_CF_potato),".")</f>
        <v>.</v>
      </c>
      <c r="AW20" s="76" t="str">
        <f>IFERROR(s_TR/(s_RadSpec!$H20*s_IFPU_far_adj*s_CF_pumpkin),".")</f>
        <v>.</v>
      </c>
      <c r="AX20" s="76" t="str">
        <f>IFERROR(s_TR/(s_RadSpec!$H20*s_IFSN_far_adj*s_CF_snap_bean),".")</f>
        <v>.</v>
      </c>
      <c r="AY20" s="76" t="str">
        <f>IFERROR(s_TR/(s_RadSpec!$H20*s_IFST_far_adj*s_CF_strawberry),".")</f>
        <v>.</v>
      </c>
      <c r="AZ20" s="76" t="str">
        <f>IFERROR(s_TR/(s_RadSpec!$H20*s_IFTO_far_adj*s_CF_tomato),".")</f>
        <v>.</v>
      </c>
      <c r="BA20" s="76" t="str">
        <f>IFERROR(s_TR/(s_RadSpec!$H20*s_IFRI_far_adj*s_CF_rice),".")</f>
        <v>.</v>
      </c>
      <c r="BB20" s="76" t="str">
        <f>IFERROR(s_TR/(s_RadSpec!$H20*s_IFCG_far_adj*s_CF_cereal),".")</f>
        <v>.</v>
      </c>
      <c r="BC20" s="93">
        <f t="shared" si="26"/>
        <v>605000</v>
      </c>
      <c r="BD20" s="93">
        <f t="shared" si="0"/>
        <v>151250</v>
      </c>
      <c r="BE20" s="93">
        <f t="shared" si="1"/>
        <v>151250</v>
      </c>
      <c r="BF20" s="93">
        <f t="shared" si="2"/>
        <v>151250</v>
      </c>
      <c r="BG20" s="93">
        <f t="shared" si="3"/>
        <v>151250</v>
      </c>
      <c r="BH20" s="93">
        <f t="shared" si="4"/>
        <v>151250</v>
      </c>
      <c r="BI20" s="93">
        <f t="shared" si="5"/>
        <v>151250</v>
      </c>
      <c r="BJ20" s="93">
        <f t="shared" si="6"/>
        <v>151250</v>
      </c>
      <c r="BK20" s="93">
        <f t="shared" si="7"/>
        <v>151250</v>
      </c>
      <c r="BL20" s="93">
        <f t="shared" si="8"/>
        <v>151250</v>
      </c>
      <c r="BM20" s="93">
        <f t="shared" si="9"/>
        <v>151250</v>
      </c>
      <c r="BN20" s="93">
        <f t="shared" si="10"/>
        <v>151250</v>
      </c>
      <c r="BO20" s="93">
        <f t="shared" si="11"/>
        <v>151250</v>
      </c>
      <c r="BP20" s="93">
        <f t="shared" si="12"/>
        <v>151250</v>
      </c>
      <c r="BQ20" s="93">
        <f t="shared" si="13"/>
        <v>151250</v>
      </c>
      <c r="BR20" s="93">
        <f t="shared" si="14"/>
        <v>151250</v>
      </c>
      <c r="BS20" s="93">
        <f t="shared" si="15"/>
        <v>151250</v>
      </c>
      <c r="BT20" s="93">
        <f t="shared" si="27"/>
        <v>151250</v>
      </c>
      <c r="BU20" s="93">
        <f t="shared" si="16"/>
        <v>151250</v>
      </c>
      <c r="BV20" s="93">
        <f t="shared" si="17"/>
        <v>151250</v>
      </c>
      <c r="BW20" s="93">
        <f t="shared" si="18"/>
        <v>151250</v>
      </c>
      <c r="BX20" s="93">
        <f t="shared" si="19"/>
        <v>151250</v>
      </c>
      <c r="BY20" s="93">
        <f t="shared" si="20"/>
        <v>151250</v>
      </c>
      <c r="BZ20" s="93">
        <f t="shared" si="21"/>
        <v>151250</v>
      </c>
      <c r="CA20" s="93">
        <f t="shared" si="22"/>
        <v>151250</v>
      </c>
      <c r="CB20" s="93">
        <f t="shared" si="23"/>
        <v>151250</v>
      </c>
    </row>
    <row r="21" spans="1:80" x14ac:dyDescent="0.25">
      <c r="A21" s="92" t="s">
        <v>31</v>
      </c>
      <c r="B21" s="90" t="s">
        <v>1071</v>
      </c>
      <c r="C21" s="76" t="str">
        <f t="shared" si="24"/>
        <v>.</v>
      </c>
      <c r="D21" s="76" t="str">
        <f>IFERROR(s_TR/(s_RadSpec!$H21*s_IFAP_res_adj*s_CF_apple),".")</f>
        <v>.</v>
      </c>
      <c r="E21" s="76" t="str">
        <f>IFERROR(s_TR/(s_RadSpec!$H21*s_IFAS_res_adj*s_CF_asparagus),".")</f>
        <v>.</v>
      </c>
      <c r="F21" s="76" t="str">
        <f>IFERROR(s_TR/(s_RadSpec!$H21*s_IFBT_res_adj*s_CF_beet),".")</f>
        <v>.</v>
      </c>
      <c r="G21" s="76" t="str">
        <f>IFERROR(s_TR/(s_RadSpec!$H21*s_IFBE_res_adj*s_CF_berries),".")</f>
        <v>.</v>
      </c>
      <c r="H21" s="76" t="str">
        <f>IFERROR(s_TR/(s_RadSpec!$H21*s_IFBR_res_adj*s_CF_broccoli),".")</f>
        <v>.</v>
      </c>
      <c r="I21" s="76" t="str">
        <f>IFERROR(s_TR/(s_RadSpec!$H21*s_IFCB_res_adj*s_CF_cabbage),".")</f>
        <v>.</v>
      </c>
      <c r="J21" s="76" t="str">
        <f>IFERROR(s_TR/(s_RadSpec!$H21*s_IFCR_res_adj*s_CF_carrot),".")</f>
        <v>.</v>
      </c>
      <c r="K21" s="76" t="str">
        <f>IFERROR(s_TR/(s_RadSpec!$H21*s_IFCI_res_adj*s_CF_citrus),".")</f>
        <v>.</v>
      </c>
      <c r="L21" s="76" t="str">
        <f>IFERROR(s_TR/(s_RadSpec!$H21*s_IFCO_res_adj*s_CF_corn),".")</f>
        <v>.</v>
      </c>
      <c r="M21" s="76" t="str">
        <f>IFERROR(s_TR/(s_RadSpec!$H21*s_IFCU_res_adj*s_CF_cucumber),".")</f>
        <v>.</v>
      </c>
      <c r="N21" s="76" t="str">
        <f>IFERROR(s_TR/(s_RadSpec!$H21*s_IFLE_res_adj*s_CF_lettuce),".")</f>
        <v>.</v>
      </c>
      <c r="O21" s="76" t="str">
        <f>IFERROR(s_TR/(s_RadSpec!$H21*s_IFLI_res_adj*s_CF_lima_bean),".")</f>
        <v>.</v>
      </c>
      <c r="P21" s="76" t="str">
        <f>IFERROR(s_TR/(s_RadSpec!$H21*s_IFOK_res_adj*s_CF_okra),".")</f>
        <v>.</v>
      </c>
      <c r="Q21" s="76" t="str">
        <f>IFERROR(s_TR/(s_RadSpec!$H21*s_IFON_res_adj*s_CF_onion),".")</f>
        <v>.</v>
      </c>
      <c r="R21" s="76" t="str">
        <f>IFERROR(s_TR/(s_RadSpec!$H21*s_IFPC_res_adj*s_CF_peach),".")</f>
        <v>.</v>
      </c>
      <c r="S21" s="76" t="str">
        <f>IFERROR(s_TR/(s_RadSpec!$H21*s_IFPR_res_adj*s_CF_pear),".")</f>
        <v>.</v>
      </c>
      <c r="T21" s="76" t="str">
        <f>IFERROR(s_TR/(s_RadSpec!$H21*s_IFPE_res_adj*s_CF_peas),".")</f>
        <v>.</v>
      </c>
      <c r="U21" s="76" t="str">
        <f>IFERROR(s_TR/(s_RadSpec!$H21*s_IFPP_res_adj*s_CF_peppers),".")</f>
        <v>.</v>
      </c>
      <c r="V21" s="76" t="str">
        <f>IFERROR(s_TR/(s_RadSpec!$H21*s_IFPT_res_adj*s_CF_potato),".")</f>
        <v>.</v>
      </c>
      <c r="W21" s="76" t="str">
        <f>IFERROR(s_TR/(s_RadSpec!$H21*s_IFPU_res_adj*s_CF_pumpkin),".")</f>
        <v>.</v>
      </c>
      <c r="X21" s="76" t="str">
        <f>IFERROR(s_TR/(s_RadSpec!$H21*s_IFSN_res_adj*s_CF_snap_bean),".")</f>
        <v>.</v>
      </c>
      <c r="Y21" s="76" t="str">
        <f>IFERROR(s_TR/(s_RadSpec!$H21*s_IFST_res_adj*s_CF_strawberry),".")</f>
        <v>.</v>
      </c>
      <c r="Z21" s="76" t="str">
        <f>IFERROR(s_TR/(s_RadSpec!$H21*s_IFTO_res_adj*s_CF_tomato),".")</f>
        <v>.</v>
      </c>
      <c r="AA21" s="76" t="str">
        <f>IFERROR(s_TR/(s_RadSpec!$H21*s_IFRI_res_adj*s_CF_rice),".")</f>
        <v>.</v>
      </c>
      <c r="AB21" s="76" t="str">
        <f>IFERROR(s_TR/(s_RadSpec!$H21*s_IFCG_res_adj*s_CF_cereal),".")</f>
        <v>.</v>
      </c>
      <c r="AC21" s="76" t="str">
        <f t="shared" si="25"/>
        <v>.</v>
      </c>
      <c r="AD21" s="76" t="str">
        <f>IFERROR(s_TR/(s_RadSpec!$H21*s_IFAP_far_adj*s_CF_apple),".")</f>
        <v>.</v>
      </c>
      <c r="AE21" s="76" t="str">
        <f>IFERROR(s_TR/(s_RadSpec!$H21*s_IFAS_far_adj*s_CF_asparagus),".")</f>
        <v>.</v>
      </c>
      <c r="AF21" s="76" t="str">
        <f>IFERROR(s_TR/(s_RadSpec!$H21*s_IFBT_far_adj*s_CF_beet),".")</f>
        <v>.</v>
      </c>
      <c r="AG21" s="76" t="str">
        <f>IFERROR(s_TR/(s_RadSpec!$H21*s_IFBE_far_adj*s_CF_berries),".")</f>
        <v>.</v>
      </c>
      <c r="AH21" s="76" t="str">
        <f>IFERROR(s_TR/(s_RadSpec!$H21*s_IFBR_far_adj*s_CF_broccoli),".")</f>
        <v>.</v>
      </c>
      <c r="AI21" s="76" t="str">
        <f>IFERROR(s_TR/(s_RadSpec!$H21*s_IFCB_far_adj*s_CF_cabbage),".")</f>
        <v>.</v>
      </c>
      <c r="AJ21" s="76" t="str">
        <f>IFERROR(s_TR/(s_RadSpec!$H21*s_IFCR_far_adj*s_CF_carrot),".")</f>
        <v>.</v>
      </c>
      <c r="AK21" s="76" t="str">
        <f>IFERROR(s_TR/(s_RadSpec!$H21*s_IFCI_far_adj*s_CF_citrus),".")</f>
        <v>.</v>
      </c>
      <c r="AL21" s="76" t="str">
        <f>IFERROR(s_TR/(s_RadSpec!$H21*s_IFCO_far_adj*s_CF_corn),".")</f>
        <v>.</v>
      </c>
      <c r="AM21" s="76" t="str">
        <f>IFERROR(s_TR/(s_RadSpec!$H21*s_IFCU_far_adj*s_CF_cucumber),".")</f>
        <v>.</v>
      </c>
      <c r="AN21" s="76" t="str">
        <f>IFERROR(s_TR/(s_RadSpec!$H21*s_IFLE_far_adj*s_CF_lettuce),".")</f>
        <v>.</v>
      </c>
      <c r="AO21" s="76" t="str">
        <f>IFERROR(s_TR/(s_RadSpec!$H21*s_IFLI_far_adj*s_CF_lima_bean),".")</f>
        <v>.</v>
      </c>
      <c r="AP21" s="76" t="str">
        <f>IFERROR(s_TR/(s_RadSpec!$H21*s_IFOK_far_adj*s_CF_okra),".")</f>
        <v>.</v>
      </c>
      <c r="AQ21" s="76" t="str">
        <f>IFERROR(s_TR/(s_RadSpec!$H21*s_IFON_far_adj*s_CF_onion),".")</f>
        <v>.</v>
      </c>
      <c r="AR21" s="76" t="str">
        <f>IFERROR(s_TR/(s_RadSpec!$H21*s_IFPC_far_adj*s_CF_peach),".")</f>
        <v>.</v>
      </c>
      <c r="AS21" s="76" t="str">
        <f>IFERROR(s_TR/(s_RadSpec!$H21*s_IFPR_far_adj*s_CF_pear),".")</f>
        <v>.</v>
      </c>
      <c r="AT21" s="76" t="str">
        <f>IFERROR(s_TR/(s_RadSpec!$H21*s_IFPE_far_adj*s_CF_peas),".")</f>
        <v>.</v>
      </c>
      <c r="AU21" s="76" t="str">
        <f>IFERROR(s_TR/(s_RadSpec!$H21*s_IFPP_far_adj*s_CF_peppers),".")</f>
        <v>.</v>
      </c>
      <c r="AV21" s="76" t="str">
        <f>IFERROR(s_TR/(s_RadSpec!$H21*s_IFPT_far_adj*s_CF_potato),".")</f>
        <v>.</v>
      </c>
      <c r="AW21" s="76" t="str">
        <f>IFERROR(s_TR/(s_RadSpec!$H21*s_IFPU_far_adj*s_CF_pumpkin),".")</f>
        <v>.</v>
      </c>
      <c r="AX21" s="76" t="str">
        <f>IFERROR(s_TR/(s_RadSpec!$H21*s_IFSN_far_adj*s_CF_snap_bean),".")</f>
        <v>.</v>
      </c>
      <c r="AY21" s="76" t="str">
        <f>IFERROR(s_TR/(s_RadSpec!$H21*s_IFST_far_adj*s_CF_strawberry),".")</f>
        <v>.</v>
      </c>
      <c r="AZ21" s="76" t="str">
        <f>IFERROR(s_TR/(s_RadSpec!$H21*s_IFTO_far_adj*s_CF_tomato),".")</f>
        <v>.</v>
      </c>
      <c r="BA21" s="76" t="str">
        <f>IFERROR(s_TR/(s_RadSpec!$H21*s_IFRI_far_adj*s_CF_rice),".")</f>
        <v>.</v>
      </c>
      <c r="BB21" s="76" t="str">
        <f>IFERROR(s_TR/(s_RadSpec!$H21*s_IFCG_far_adj*s_CF_cereal),".")</f>
        <v>.</v>
      </c>
      <c r="BC21" s="93">
        <f t="shared" si="26"/>
        <v>605000</v>
      </c>
      <c r="BD21" s="93">
        <f t="shared" si="0"/>
        <v>151250</v>
      </c>
      <c r="BE21" s="93">
        <f t="shared" si="1"/>
        <v>151250</v>
      </c>
      <c r="BF21" s="93">
        <f t="shared" si="2"/>
        <v>151250</v>
      </c>
      <c r="BG21" s="93">
        <f t="shared" si="3"/>
        <v>151250</v>
      </c>
      <c r="BH21" s="93">
        <f t="shared" si="4"/>
        <v>151250</v>
      </c>
      <c r="BI21" s="93">
        <f t="shared" si="5"/>
        <v>151250</v>
      </c>
      <c r="BJ21" s="93">
        <f t="shared" si="6"/>
        <v>151250</v>
      </c>
      <c r="BK21" s="93">
        <f t="shared" si="7"/>
        <v>151250</v>
      </c>
      <c r="BL21" s="93">
        <f t="shared" si="8"/>
        <v>151250</v>
      </c>
      <c r="BM21" s="93">
        <f t="shared" si="9"/>
        <v>151250</v>
      </c>
      <c r="BN21" s="93">
        <f t="shared" si="10"/>
        <v>151250</v>
      </c>
      <c r="BO21" s="93">
        <f t="shared" si="11"/>
        <v>151250</v>
      </c>
      <c r="BP21" s="93">
        <f t="shared" si="12"/>
        <v>151250</v>
      </c>
      <c r="BQ21" s="93">
        <f t="shared" si="13"/>
        <v>151250</v>
      </c>
      <c r="BR21" s="93">
        <f t="shared" si="14"/>
        <v>151250</v>
      </c>
      <c r="BS21" s="93">
        <f t="shared" si="15"/>
        <v>151250</v>
      </c>
      <c r="BT21" s="93">
        <f t="shared" si="27"/>
        <v>151250</v>
      </c>
      <c r="BU21" s="93">
        <f t="shared" si="16"/>
        <v>151250</v>
      </c>
      <c r="BV21" s="93">
        <f t="shared" si="17"/>
        <v>151250</v>
      </c>
      <c r="BW21" s="93">
        <f t="shared" si="18"/>
        <v>151250</v>
      </c>
      <c r="BX21" s="93">
        <f t="shared" si="19"/>
        <v>151250</v>
      </c>
      <c r="BY21" s="93">
        <f t="shared" si="20"/>
        <v>151250</v>
      </c>
      <c r="BZ21" s="93">
        <f t="shared" si="21"/>
        <v>151250</v>
      </c>
      <c r="CA21" s="93">
        <f t="shared" si="22"/>
        <v>151250</v>
      </c>
      <c r="CB21" s="93">
        <f t="shared" si="23"/>
        <v>151250</v>
      </c>
    </row>
    <row r="22" spans="1:80" x14ac:dyDescent="0.25">
      <c r="A22" s="92" t="s">
        <v>32</v>
      </c>
      <c r="B22" s="90" t="s">
        <v>1071</v>
      </c>
      <c r="C22" s="76">
        <f t="shared" si="24"/>
        <v>0.53822616801806289</v>
      </c>
      <c r="D22" s="76">
        <f>IFERROR(s_TR/(s_RadSpec!$H22*s_IFAP_res_adj*s_CF_apple),".")</f>
        <v>2.1529046720722516</v>
      </c>
      <c r="E22" s="76">
        <f>IFERROR(s_TR/(s_RadSpec!$H22*s_IFAS_res_adj*s_CF_asparagus),".")</f>
        <v>2.1529046720722516</v>
      </c>
      <c r="F22" s="76">
        <f>IFERROR(s_TR/(s_RadSpec!$H22*s_IFBT_res_adj*s_CF_beet),".")</f>
        <v>2.1529046720722516</v>
      </c>
      <c r="G22" s="76">
        <f>IFERROR(s_TR/(s_RadSpec!$H22*s_IFBE_res_adj*s_CF_berries),".")</f>
        <v>2.1529046720722516</v>
      </c>
      <c r="H22" s="76">
        <f>IFERROR(s_TR/(s_RadSpec!$H22*s_IFBR_res_adj*s_CF_broccoli),".")</f>
        <v>2.1529046720722516</v>
      </c>
      <c r="I22" s="76">
        <f>IFERROR(s_TR/(s_RadSpec!$H22*s_IFCB_res_adj*s_CF_cabbage),".")</f>
        <v>2.1529046720722516</v>
      </c>
      <c r="J22" s="76">
        <f>IFERROR(s_TR/(s_RadSpec!$H22*s_IFCR_res_adj*s_CF_carrot),".")</f>
        <v>2.1529046720722516</v>
      </c>
      <c r="K22" s="76">
        <f>IFERROR(s_TR/(s_RadSpec!$H22*s_IFCI_res_adj*s_CF_citrus),".")</f>
        <v>2.1529046720722516</v>
      </c>
      <c r="L22" s="76">
        <f>IFERROR(s_TR/(s_RadSpec!$H22*s_IFCO_res_adj*s_CF_corn),".")</f>
        <v>2.1529046720722516</v>
      </c>
      <c r="M22" s="76">
        <f>IFERROR(s_TR/(s_RadSpec!$H22*s_IFCU_res_adj*s_CF_cucumber),".")</f>
        <v>2.1529046720722516</v>
      </c>
      <c r="N22" s="76">
        <f>IFERROR(s_TR/(s_RadSpec!$H22*s_IFLE_res_adj*s_CF_lettuce),".")</f>
        <v>2.1529046720722516</v>
      </c>
      <c r="O22" s="76">
        <f>IFERROR(s_TR/(s_RadSpec!$H22*s_IFLI_res_adj*s_CF_lima_bean),".")</f>
        <v>2.1529046720722516</v>
      </c>
      <c r="P22" s="76">
        <f>IFERROR(s_TR/(s_RadSpec!$H22*s_IFOK_res_adj*s_CF_okra),".")</f>
        <v>2.1529046720722516</v>
      </c>
      <c r="Q22" s="76">
        <f>IFERROR(s_TR/(s_RadSpec!$H22*s_IFON_res_adj*s_CF_onion),".")</f>
        <v>2.1529046720722516</v>
      </c>
      <c r="R22" s="76">
        <f>IFERROR(s_TR/(s_RadSpec!$H22*s_IFPC_res_adj*s_CF_peach),".")</f>
        <v>2.1529046720722516</v>
      </c>
      <c r="S22" s="76">
        <f>IFERROR(s_TR/(s_RadSpec!$H22*s_IFPR_res_adj*s_CF_pear),".")</f>
        <v>2.1529046720722516</v>
      </c>
      <c r="T22" s="76">
        <f>IFERROR(s_TR/(s_RadSpec!$H22*s_IFPE_res_adj*s_CF_peas),".")</f>
        <v>2.1529046720722516</v>
      </c>
      <c r="U22" s="76">
        <f>IFERROR(s_TR/(s_RadSpec!$H22*s_IFPP_res_adj*s_CF_peppers),".")</f>
        <v>2.1529046720722516</v>
      </c>
      <c r="V22" s="76">
        <f>IFERROR(s_TR/(s_RadSpec!$H22*s_IFPT_res_adj*s_CF_potato),".")</f>
        <v>2.1529046720722516</v>
      </c>
      <c r="W22" s="76">
        <f>IFERROR(s_TR/(s_RadSpec!$H22*s_IFPU_res_adj*s_CF_pumpkin),".")</f>
        <v>2.1529046720722516</v>
      </c>
      <c r="X22" s="76">
        <f>IFERROR(s_TR/(s_RadSpec!$H22*s_IFSN_res_adj*s_CF_snap_bean),".")</f>
        <v>2.1529046720722516</v>
      </c>
      <c r="Y22" s="76">
        <f>IFERROR(s_TR/(s_RadSpec!$H22*s_IFST_res_adj*s_CF_strawberry),".")</f>
        <v>2.1529046720722516</v>
      </c>
      <c r="Z22" s="76">
        <f>IFERROR(s_TR/(s_RadSpec!$H22*s_IFTO_res_adj*s_CF_tomato),".")</f>
        <v>2.1529046720722516</v>
      </c>
      <c r="AA22" s="76">
        <f>IFERROR(s_TR/(s_RadSpec!$H22*s_IFRI_res_adj*s_CF_rice),".")</f>
        <v>2.1529046720722516</v>
      </c>
      <c r="AB22" s="76">
        <f>IFERROR(s_TR/(s_RadSpec!$H22*s_IFCG_res_adj*s_CF_cereal),".")</f>
        <v>2.1529046720722516</v>
      </c>
      <c r="AC22" s="76">
        <f t="shared" si="25"/>
        <v>0.53822616801806289</v>
      </c>
      <c r="AD22" s="76">
        <f>IFERROR(s_TR/(s_RadSpec!$H22*s_IFAP_far_adj*s_CF_apple),".")</f>
        <v>2.1529046720722516</v>
      </c>
      <c r="AE22" s="76">
        <f>IFERROR(s_TR/(s_RadSpec!$H22*s_IFAS_far_adj*s_CF_asparagus),".")</f>
        <v>2.1529046720722516</v>
      </c>
      <c r="AF22" s="76">
        <f>IFERROR(s_TR/(s_RadSpec!$H22*s_IFBT_far_adj*s_CF_beet),".")</f>
        <v>2.1529046720722516</v>
      </c>
      <c r="AG22" s="76">
        <f>IFERROR(s_TR/(s_RadSpec!$H22*s_IFBE_far_adj*s_CF_berries),".")</f>
        <v>2.1529046720722516</v>
      </c>
      <c r="AH22" s="76">
        <f>IFERROR(s_TR/(s_RadSpec!$H22*s_IFBR_far_adj*s_CF_broccoli),".")</f>
        <v>2.1529046720722516</v>
      </c>
      <c r="AI22" s="76">
        <f>IFERROR(s_TR/(s_RadSpec!$H22*s_IFCB_far_adj*s_CF_cabbage),".")</f>
        <v>2.1529046720722516</v>
      </c>
      <c r="AJ22" s="76">
        <f>IFERROR(s_TR/(s_RadSpec!$H22*s_IFCR_far_adj*s_CF_carrot),".")</f>
        <v>2.1529046720722516</v>
      </c>
      <c r="AK22" s="76">
        <f>IFERROR(s_TR/(s_RadSpec!$H22*s_IFCI_far_adj*s_CF_citrus),".")</f>
        <v>2.1529046720722516</v>
      </c>
      <c r="AL22" s="76">
        <f>IFERROR(s_TR/(s_RadSpec!$H22*s_IFCO_far_adj*s_CF_corn),".")</f>
        <v>2.1529046720722516</v>
      </c>
      <c r="AM22" s="76">
        <f>IFERROR(s_TR/(s_RadSpec!$H22*s_IFCU_far_adj*s_CF_cucumber),".")</f>
        <v>2.1529046720722516</v>
      </c>
      <c r="AN22" s="76">
        <f>IFERROR(s_TR/(s_RadSpec!$H22*s_IFLE_far_adj*s_CF_lettuce),".")</f>
        <v>2.1529046720722516</v>
      </c>
      <c r="AO22" s="76">
        <f>IFERROR(s_TR/(s_RadSpec!$H22*s_IFLI_far_adj*s_CF_lima_bean),".")</f>
        <v>2.1529046720722516</v>
      </c>
      <c r="AP22" s="76">
        <f>IFERROR(s_TR/(s_RadSpec!$H22*s_IFOK_far_adj*s_CF_okra),".")</f>
        <v>2.1529046720722516</v>
      </c>
      <c r="AQ22" s="76">
        <f>IFERROR(s_TR/(s_RadSpec!$H22*s_IFON_far_adj*s_CF_onion),".")</f>
        <v>2.1529046720722516</v>
      </c>
      <c r="AR22" s="76">
        <f>IFERROR(s_TR/(s_RadSpec!$H22*s_IFPC_far_adj*s_CF_peach),".")</f>
        <v>2.1529046720722516</v>
      </c>
      <c r="AS22" s="76">
        <f>IFERROR(s_TR/(s_RadSpec!$H22*s_IFPR_far_adj*s_CF_pear),".")</f>
        <v>2.1529046720722516</v>
      </c>
      <c r="AT22" s="76">
        <f>IFERROR(s_TR/(s_RadSpec!$H22*s_IFPE_far_adj*s_CF_peas),".")</f>
        <v>2.1529046720722516</v>
      </c>
      <c r="AU22" s="76">
        <f>IFERROR(s_TR/(s_RadSpec!$H22*s_IFPP_far_adj*s_CF_peppers),".")</f>
        <v>2.1529046720722516</v>
      </c>
      <c r="AV22" s="76">
        <f>IFERROR(s_TR/(s_RadSpec!$H22*s_IFPT_far_adj*s_CF_potato),".")</f>
        <v>2.1529046720722516</v>
      </c>
      <c r="AW22" s="76">
        <f>IFERROR(s_TR/(s_RadSpec!$H22*s_IFPU_far_adj*s_CF_pumpkin),".")</f>
        <v>2.1529046720722516</v>
      </c>
      <c r="AX22" s="76">
        <f>IFERROR(s_TR/(s_RadSpec!$H22*s_IFSN_far_adj*s_CF_snap_bean),".")</f>
        <v>2.1529046720722516</v>
      </c>
      <c r="AY22" s="76">
        <f>IFERROR(s_TR/(s_RadSpec!$H22*s_IFST_far_adj*s_CF_strawberry),".")</f>
        <v>2.1529046720722516</v>
      </c>
      <c r="AZ22" s="76">
        <f>IFERROR(s_TR/(s_RadSpec!$H22*s_IFTO_far_adj*s_CF_tomato),".")</f>
        <v>2.1529046720722516</v>
      </c>
      <c r="BA22" s="76">
        <f>IFERROR(s_TR/(s_RadSpec!$H22*s_IFRI_far_adj*s_CF_rice),".")</f>
        <v>2.1529046720722516</v>
      </c>
      <c r="BB22" s="76">
        <f>IFERROR(s_TR/(s_RadSpec!$H22*s_IFCG_far_adj*s_CF_cereal),".")</f>
        <v>2.1529046720722516</v>
      </c>
      <c r="BC22" s="93">
        <f t="shared" si="26"/>
        <v>605000</v>
      </c>
      <c r="BD22" s="93">
        <f t="shared" si="0"/>
        <v>151250</v>
      </c>
      <c r="BE22" s="93">
        <f t="shared" si="1"/>
        <v>151250</v>
      </c>
      <c r="BF22" s="93">
        <f t="shared" si="2"/>
        <v>151250</v>
      </c>
      <c r="BG22" s="93">
        <f t="shared" si="3"/>
        <v>151250</v>
      </c>
      <c r="BH22" s="93">
        <f t="shared" si="4"/>
        <v>151250</v>
      </c>
      <c r="BI22" s="93">
        <f t="shared" si="5"/>
        <v>151250</v>
      </c>
      <c r="BJ22" s="93">
        <f t="shared" si="6"/>
        <v>151250</v>
      </c>
      <c r="BK22" s="93">
        <f t="shared" si="7"/>
        <v>151250</v>
      </c>
      <c r="BL22" s="93">
        <f t="shared" si="8"/>
        <v>151250</v>
      </c>
      <c r="BM22" s="93">
        <f t="shared" si="9"/>
        <v>151250</v>
      </c>
      <c r="BN22" s="93">
        <f t="shared" si="10"/>
        <v>151250</v>
      </c>
      <c r="BO22" s="93">
        <f t="shared" si="11"/>
        <v>151250</v>
      </c>
      <c r="BP22" s="93">
        <f t="shared" si="12"/>
        <v>151250</v>
      </c>
      <c r="BQ22" s="93">
        <f t="shared" si="13"/>
        <v>151250</v>
      </c>
      <c r="BR22" s="93">
        <f t="shared" si="14"/>
        <v>151250</v>
      </c>
      <c r="BS22" s="93">
        <f t="shared" si="15"/>
        <v>151250</v>
      </c>
      <c r="BT22" s="93">
        <f t="shared" si="27"/>
        <v>151250</v>
      </c>
      <c r="BU22" s="93">
        <f t="shared" si="16"/>
        <v>151250</v>
      </c>
      <c r="BV22" s="93">
        <f t="shared" si="17"/>
        <v>151250</v>
      </c>
      <c r="BW22" s="93">
        <f t="shared" si="18"/>
        <v>151250</v>
      </c>
      <c r="BX22" s="93">
        <f t="shared" si="19"/>
        <v>151250</v>
      </c>
      <c r="BY22" s="93">
        <f t="shared" si="20"/>
        <v>151250</v>
      </c>
      <c r="BZ22" s="93">
        <f t="shared" si="21"/>
        <v>151250</v>
      </c>
      <c r="CA22" s="93">
        <f t="shared" si="22"/>
        <v>151250</v>
      </c>
      <c r="CB22" s="93">
        <f t="shared" si="23"/>
        <v>151250</v>
      </c>
    </row>
    <row r="23" spans="1:80" x14ac:dyDescent="0.25">
      <c r="A23" s="94" t="s">
        <v>33</v>
      </c>
      <c r="B23" s="90" t="s">
        <v>349</v>
      </c>
      <c r="C23" s="76">
        <f t="shared" si="24"/>
        <v>0.16069342426438568</v>
      </c>
      <c r="D23" s="76">
        <f>IFERROR(s_TR/(s_RadSpec!$H23*s_IFAP_res_adj*s_CF_apple),".")</f>
        <v>0.64277369705754273</v>
      </c>
      <c r="E23" s="76">
        <f>IFERROR(s_TR/(s_RadSpec!$H23*s_IFAS_res_adj*s_CF_asparagus),".")</f>
        <v>0.64277369705754273</v>
      </c>
      <c r="F23" s="76">
        <f>IFERROR(s_TR/(s_RadSpec!$H23*s_IFBT_res_adj*s_CF_beet),".")</f>
        <v>0.64277369705754273</v>
      </c>
      <c r="G23" s="76">
        <f>IFERROR(s_TR/(s_RadSpec!$H23*s_IFBE_res_adj*s_CF_berries),".")</f>
        <v>0.64277369705754273</v>
      </c>
      <c r="H23" s="76">
        <f>IFERROR(s_TR/(s_RadSpec!$H23*s_IFBR_res_adj*s_CF_broccoli),".")</f>
        <v>0.64277369705754273</v>
      </c>
      <c r="I23" s="76">
        <f>IFERROR(s_TR/(s_RadSpec!$H23*s_IFCB_res_adj*s_CF_cabbage),".")</f>
        <v>0.64277369705754273</v>
      </c>
      <c r="J23" s="76">
        <f>IFERROR(s_TR/(s_RadSpec!$H23*s_IFCR_res_adj*s_CF_carrot),".")</f>
        <v>0.64277369705754273</v>
      </c>
      <c r="K23" s="76">
        <f>IFERROR(s_TR/(s_RadSpec!$H23*s_IFCI_res_adj*s_CF_citrus),".")</f>
        <v>0.64277369705754273</v>
      </c>
      <c r="L23" s="76">
        <f>IFERROR(s_TR/(s_RadSpec!$H23*s_IFCO_res_adj*s_CF_corn),".")</f>
        <v>0.64277369705754273</v>
      </c>
      <c r="M23" s="76">
        <f>IFERROR(s_TR/(s_RadSpec!$H23*s_IFCU_res_adj*s_CF_cucumber),".")</f>
        <v>0.64277369705754273</v>
      </c>
      <c r="N23" s="76">
        <f>IFERROR(s_TR/(s_RadSpec!$H23*s_IFLE_res_adj*s_CF_lettuce),".")</f>
        <v>0.64277369705754273</v>
      </c>
      <c r="O23" s="76">
        <f>IFERROR(s_TR/(s_RadSpec!$H23*s_IFLI_res_adj*s_CF_lima_bean),".")</f>
        <v>0.64277369705754273</v>
      </c>
      <c r="P23" s="76">
        <f>IFERROR(s_TR/(s_RadSpec!$H23*s_IFOK_res_adj*s_CF_okra),".")</f>
        <v>0.64277369705754273</v>
      </c>
      <c r="Q23" s="76">
        <f>IFERROR(s_TR/(s_RadSpec!$H23*s_IFON_res_adj*s_CF_onion),".")</f>
        <v>0.64277369705754273</v>
      </c>
      <c r="R23" s="76">
        <f>IFERROR(s_TR/(s_RadSpec!$H23*s_IFPC_res_adj*s_CF_peach),".")</f>
        <v>0.64277369705754273</v>
      </c>
      <c r="S23" s="76">
        <f>IFERROR(s_TR/(s_RadSpec!$H23*s_IFPR_res_adj*s_CF_pear),".")</f>
        <v>0.64277369705754273</v>
      </c>
      <c r="T23" s="76">
        <f>IFERROR(s_TR/(s_RadSpec!$H23*s_IFPE_res_adj*s_CF_peas),".")</f>
        <v>0.64277369705754273</v>
      </c>
      <c r="U23" s="76">
        <f>IFERROR(s_TR/(s_RadSpec!$H23*s_IFPP_res_adj*s_CF_peppers),".")</f>
        <v>0.64277369705754273</v>
      </c>
      <c r="V23" s="76">
        <f>IFERROR(s_TR/(s_RadSpec!$H23*s_IFPT_res_adj*s_CF_potato),".")</f>
        <v>0.64277369705754273</v>
      </c>
      <c r="W23" s="76">
        <f>IFERROR(s_TR/(s_RadSpec!$H23*s_IFPU_res_adj*s_CF_pumpkin),".")</f>
        <v>0.64277369705754273</v>
      </c>
      <c r="X23" s="76">
        <f>IFERROR(s_TR/(s_RadSpec!$H23*s_IFSN_res_adj*s_CF_snap_bean),".")</f>
        <v>0.64277369705754273</v>
      </c>
      <c r="Y23" s="76">
        <f>IFERROR(s_TR/(s_RadSpec!$H23*s_IFST_res_adj*s_CF_strawberry),".")</f>
        <v>0.64277369705754273</v>
      </c>
      <c r="Z23" s="76">
        <f>IFERROR(s_TR/(s_RadSpec!$H23*s_IFTO_res_adj*s_CF_tomato),".")</f>
        <v>0.64277369705754273</v>
      </c>
      <c r="AA23" s="76">
        <f>IFERROR(s_TR/(s_RadSpec!$H23*s_IFRI_res_adj*s_CF_rice),".")</f>
        <v>0.64277369705754273</v>
      </c>
      <c r="AB23" s="76">
        <f>IFERROR(s_TR/(s_RadSpec!$H23*s_IFCG_res_adj*s_CF_cereal),".")</f>
        <v>0.64277369705754273</v>
      </c>
      <c r="AC23" s="76">
        <f t="shared" si="25"/>
        <v>0.16069342426438568</v>
      </c>
      <c r="AD23" s="76">
        <f>IFERROR(s_TR/(s_RadSpec!$H23*s_IFAP_far_adj*s_CF_apple),".")</f>
        <v>0.64277369705754273</v>
      </c>
      <c r="AE23" s="76">
        <f>IFERROR(s_TR/(s_RadSpec!$H23*s_IFAS_far_adj*s_CF_asparagus),".")</f>
        <v>0.64277369705754273</v>
      </c>
      <c r="AF23" s="76">
        <f>IFERROR(s_TR/(s_RadSpec!$H23*s_IFBT_far_adj*s_CF_beet),".")</f>
        <v>0.64277369705754273</v>
      </c>
      <c r="AG23" s="76">
        <f>IFERROR(s_TR/(s_RadSpec!$H23*s_IFBE_far_adj*s_CF_berries),".")</f>
        <v>0.64277369705754273</v>
      </c>
      <c r="AH23" s="76">
        <f>IFERROR(s_TR/(s_RadSpec!$H23*s_IFBR_far_adj*s_CF_broccoli),".")</f>
        <v>0.64277369705754273</v>
      </c>
      <c r="AI23" s="76">
        <f>IFERROR(s_TR/(s_RadSpec!$H23*s_IFCB_far_adj*s_CF_cabbage),".")</f>
        <v>0.64277369705754273</v>
      </c>
      <c r="AJ23" s="76">
        <f>IFERROR(s_TR/(s_RadSpec!$H23*s_IFCR_far_adj*s_CF_carrot),".")</f>
        <v>0.64277369705754273</v>
      </c>
      <c r="AK23" s="76">
        <f>IFERROR(s_TR/(s_RadSpec!$H23*s_IFCI_far_adj*s_CF_citrus),".")</f>
        <v>0.64277369705754273</v>
      </c>
      <c r="AL23" s="76">
        <f>IFERROR(s_TR/(s_RadSpec!$H23*s_IFCO_far_adj*s_CF_corn),".")</f>
        <v>0.64277369705754273</v>
      </c>
      <c r="AM23" s="76">
        <f>IFERROR(s_TR/(s_RadSpec!$H23*s_IFCU_far_adj*s_CF_cucumber),".")</f>
        <v>0.64277369705754273</v>
      </c>
      <c r="AN23" s="76">
        <f>IFERROR(s_TR/(s_RadSpec!$H23*s_IFLE_far_adj*s_CF_lettuce),".")</f>
        <v>0.64277369705754273</v>
      </c>
      <c r="AO23" s="76">
        <f>IFERROR(s_TR/(s_RadSpec!$H23*s_IFLI_far_adj*s_CF_lima_bean),".")</f>
        <v>0.64277369705754273</v>
      </c>
      <c r="AP23" s="76">
        <f>IFERROR(s_TR/(s_RadSpec!$H23*s_IFOK_far_adj*s_CF_okra),".")</f>
        <v>0.64277369705754273</v>
      </c>
      <c r="AQ23" s="76">
        <f>IFERROR(s_TR/(s_RadSpec!$H23*s_IFON_far_adj*s_CF_onion),".")</f>
        <v>0.64277369705754273</v>
      </c>
      <c r="AR23" s="76">
        <f>IFERROR(s_TR/(s_RadSpec!$H23*s_IFPC_far_adj*s_CF_peach),".")</f>
        <v>0.64277369705754273</v>
      </c>
      <c r="AS23" s="76">
        <f>IFERROR(s_TR/(s_RadSpec!$H23*s_IFPR_far_adj*s_CF_pear),".")</f>
        <v>0.64277369705754273</v>
      </c>
      <c r="AT23" s="76">
        <f>IFERROR(s_TR/(s_RadSpec!$H23*s_IFPE_far_adj*s_CF_peas),".")</f>
        <v>0.64277369705754273</v>
      </c>
      <c r="AU23" s="76">
        <f>IFERROR(s_TR/(s_RadSpec!$H23*s_IFPP_far_adj*s_CF_peppers),".")</f>
        <v>0.64277369705754273</v>
      </c>
      <c r="AV23" s="76">
        <f>IFERROR(s_TR/(s_RadSpec!$H23*s_IFPT_far_adj*s_CF_potato),".")</f>
        <v>0.64277369705754273</v>
      </c>
      <c r="AW23" s="76">
        <f>IFERROR(s_TR/(s_RadSpec!$H23*s_IFPU_far_adj*s_CF_pumpkin),".")</f>
        <v>0.64277369705754273</v>
      </c>
      <c r="AX23" s="76">
        <f>IFERROR(s_TR/(s_RadSpec!$H23*s_IFSN_far_adj*s_CF_snap_bean),".")</f>
        <v>0.64277369705754273</v>
      </c>
      <c r="AY23" s="76">
        <f>IFERROR(s_TR/(s_RadSpec!$H23*s_IFST_far_adj*s_CF_strawberry),".")</f>
        <v>0.64277369705754273</v>
      </c>
      <c r="AZ23" s="76">
        <f>IFERROR(s_TR/(s_RadSpec!$H23*s_IFTO_far_adj*s_CF_tomato),".")</f>
        <v>0.64277369705754273</v>
      </c>
      <c r="BA23" s="76">
        <f>IFERROR(s_TR/(s_RadSpec!$H23*s_IFRI_far_adj*s_CF_rice),".")</f>
        <v>0.64277369705754273</v>
      </c>
      <c r="BB23" s="76">
        <f>IFERROR(s_TR/(s_RadSpec!$H23*s_IFCG_far_adj*s_CF_cereal),".")</f>
        <v>0.64277369705754273</v>
      </c>
      <c r="BC23" s="93">
        <f t="shared" si="26"/>
        <v>605000</v>
      </c>
      <c r="BD23" s="93">
        <f t="shared" si="0"/>
        <v>151250</v>
      </c>
      <c r="BE23" s="93">
        <f t="shared" si="1"/>
        <v>151250</v>
      </c>
      <c r="BF23" s="93">
        <f t="shared" si="2"/>
        <v>151250</v>
      </c>
      <c r="BG23" s="93">
        <f t="shared" si="3"/>
        <v>151250</v>
      </c>
      <c r="BH23" s="93">
        <f t="shared" si="4"/>
        <v>151250</v>
      </c>
      <c r="BI23" s="93">
        <f t="shared" si="5"/>
        <v>151250</v>
      </c>
      <c r="BJ23" s="93">
        <f t="shared" si="6"/>
        <v>151250</v>
      </c>
      <c r="BK23" s="93">
        <f t="shared" si="7"/>
        <v>151250</v>
      </c>
      <c r="BL23" s="93">
        <f t="shared" si="8"/>
        <v>151250</v>
      </c>
      <c r="BM23" s="93">
        <f t="shared" si="9"/>
        <v>151250</v>
      </c>
      <c r="BN23" s="93">
        <f t="shared" si="10"/>
        <v>151250</v>
      </c>
      <c r="BO23" s="93">
        <f t="shared" si="11"/>
        <v>151250</v>
      </c>
      <c r="BP23" s="93">
        <f t="shared" si="12"/>
        <v>151250</v>
      </c>
      <c r="BQ23" s="93">
        <f t="shared" si="13"/>
        <v>151250</v>
      </c>
      <c r="BR23" s="93">
        <f t="shared" si="14"/>
        <v>151250</v>
      </c>
      <c r="BS23" s="93">
        <f t="shared" si="15"/>
        <v>151250</v>
      </c>
      <c r="BT23" s="93">
        <f t="shared" si="27"/>
        <v>151250</v>
      </c>
      <c r="BU23" s="93">
        <f t="shared" si="16"/>
        <v>151250</v>
      </c>
      <c r="BV23" s="93">
        <f t="shared" si="17"/>
        <v>151250</v>
      </c>
      <c r="BW23" s="93">
        <f t="shared" si="18"/>
        <v>151250</v>
      </c>
      <c r="BX23" s="93">
        <f t="shared" si="19"/>
        <v>151250</v>
      </c>
      <c r="BY23" s="93">
        <f t="shared" si="20"/>
        <v>151250</v>
      </c>
      <c r="BZ23" s="93">
        <f t="shared" si="21"/>
        <v>151250</v>
      </c>
      <c r="CA23" s="93">
        <f t="shared" si="22"/>
        <v>151250</v>
      </c>
      <c r="CB23" s="93">
        <f t="shared" si="23"/>
        <v>151250</v>
      </c>
    </row>
    <row r="24" spans="1:80" x14ac:dyDescent="0.25">
      <c r="A24" s="92" t="s">
        <v>34</v>
      </c>
      <c r="B24" s="90" t="s">
        <v>1071</v>
      </c>
      <c r="C24" s="76" t="str">
        <f t="shared" si="24"/>
        <v>.</v>
      </c>
      <c r="D24" s="76" t="str">
        <f>IFERROR(s_TR/(s_RadSpec!$H24*s_IFAP_res_adj*s_CF_apple),".")</f>
        <v>.</v>
      </c>
      <c r="E24" s="76" t="str">
        <f>IFERROR(s_TR/(s_RadSpec!$H24*s_IFAS_res_adj*s_CF_asparagus),".")</f>
        <v>.</v>
      </c>
      <c r="F24" s="76" t="str">
        <f>IFERROR(s_TR/(s_RadSpec!$H24*s_IFBT_res_adj*s_CF_beet),".")</f>
        <v>.</v>
      </c>
      <c r="G24" s="76" t="str">
        <f>IFERROR(s_TR/(s_RadSpec!$H24*s_IFBE_res_adj*s_CF_berries),".")</f>
        <v>.</v>
      </c>
      <c r="H24" s="76" t="str">
        <f>IFERROR(s_TR/(s_RadSpec!$H24*s_IFBR_res_adj*s_CF_broccoli),".")</f>
        <v>.</v>
      </c>
      <c r="I24" s="76" t="str">
        <f>IFERROR(s_TR/(s_RadSpec!$H24*s_IFCB_res_adj*s_CF_cabbage),".")</f>
        <v>.</v>
      </c>
      <c r="J24" s="76" t="str">
        <f>IFERROR(s_TR/(s_RadSpec!$H24*s_IFCR_res_adj*s_CF_carrot),".")</f>
        <v>.</v>
      </c>
      <c r="K24" s="76" t="str">
        <f>IFERROR(s_TR/(s_RadSpec!$H24*s_IFCI_res_adj*s_CF_citrus),".")</f>
        <v>.</v>
      </c>
      <c r="L24" s="76" t="str">
        <f>IFERROR(s_TR/(s_RadSpec!$H24*s_IFCO_res_adj*s_CF_corn),".")</f>
        <v>.</v>
      </c>
      <c r="M24" s="76" t="str">
        <f>IFERROR(s_TR/(s_RadSpec!$H24*s_IFCU_res_adj*s_CF_cucumber),".")</f>
        <v>.</v>
      </c>
      <c r="N24" s="76" t="str">
        <f>IFERROR(s_TR/(s_RadSpec!$H24*s_IFLE_res_adj*s_CF_lettuce),".")</f>
        <v>.</v>
      </c>
      <c r="O24" s="76" t="str">
        <f>IFERROR(s_TR/(s_RadSpec!$H24*s_IFLI_res_adj*s_CF_lima_bean),".")</f>
        <v>.</v>
      </c>
      <c r="P24" s="76" t="str">
        <f>IFERROR(s_TR/(s_RadSpec!$H24*s_IFOK_res_adj*s_CF_okra),".")</f>
        <v>.</v>
      </c>
      <c r="Q24" s="76" t="str">
        <f>IFERROR(s_TR/(s_RadSpec!$H24*s_IFON_res_adj*s_CF_onion),".")</f>
        <v>.</v>
      </c>
      <c r="R24" s="76" t="str">
        <f>IFERROR(s_TR/(s_RadSpec!$H24*s_IFPC_res_adj*s_CF_peach),".")</f>
        <v>.</v>
      </c>
      <c r="S24" s="76" t="str">
        <f>IFERROR(s_TR/(s_RadSpec!$H24*s_IFPR_res_adj*s_CF_pear),".")</f>
        <v>.</v>
      </c>
      <c r="T24" s="76" t="str">
        <f>IFERROR(s_TR/(s_RadSpec!$H24*s_IFPE_res_adj*s_CF_peas),".")</f>
        <v>.</v>
      </c>
      <c r="U24" s="76" t="str">
        <f>IFERROR(s_TR/(s_RadSpec!$H24*s_IFPP_res_adj*s_CF_peppers),".")</f>
        <v>.</v>
      </c>
      <c r="V24" s="76" t="str">
        <f>IFERROR(s_TR/(s_RadSpec!$H24*s_IFPT_res_adj*s_CF_potato),".")</f>
        <v>.</v>
      </c>
      <c r="W24" s="76" t="str">
        <f>IFERROR(s_TR/(s_RadSpec!$H24*s_IFPU_res_adj*s_CF_pumpkin),".")</f>
        <v>.</v>
      </c>
      <c r="X24" s="76" t="str">
        <f>IFERROR(s_TR/(s_RadSpec!$H24*s_IFSN_res_adj*s_CF_snap_bean),".")</f>
        <v>.</v>
      </c>
      <c r="Y24" s="76" t="str">
        <f>IFERROR(s_TR/(s_RadSpec!$H24*s_IFST_res_adj*s_CF_strawberry),".")</f>
        <v>.</v>
      </c>
      <c r="Z24" s="76" t="str">
        <f>IFERROR(s_TR/(s_RadSpec!$H24*s_IFTO_res_adj*s_CF_tomato),".")</f>
        <v>.</v>
      </c>
      <c r="AA24" s="76" t="str">
        <f>IFERROR(s_TR/(s_RadSpec!$H24*s_IFRI_res_adj*s_CF_rice),".")</f>
        <v>.</v>
      </c>
      <c r="AB24" s="76" t="str">
        <f>IFERROR(s_TR/(s_RadSpec!$H24*s_IFCG_res_adj*s_CF_cereal),".")</f>
        <v>.</v>
      </c>
      <c r="AC24" s="76" t="str">
        <f t="shared" si="25"/>
        <v>.</v>
      </c>
      <c r="AD24" s="76" t="str">
        <f>IFERROR(s_TR/(s_RadSpec!$H24*s_IFAP_far_adj*s_CF_apple),".")</f>
        <v>.</v>
      </c>
      <c r="AE24" s="76" t="str">
        <f>IFERROR(s_TR/(s_RadSpec!$H24*s_IFAS_far_adj*s_CF_asparagus),".")</f>
        <v>.</v>
      </c>
      <c r="AF24" s="76" t="str">
        <f>IFERROR(s_TR/(s_RadSpec!$H24*s_IFBT_far_adj*s_CF_beet),".")</f>
        <v>.</v>
      </c>
      <c r="AG24" s="76" t="str">
        <f>IFERROR(s_TR/(s_RadSpec!$H24*s_IFBE_far_adj*s_CF_berries),".")</f>
        <v>.</v>
      </c>
      <c r="AH24" s="76" t="str">
        <f>IFERROR(s_TR/(s_RadSpec!$H24*s_IFBR_far_adj*s_CF_broccoli),".")</f>
        <v>.</v>
      </c>
      <c r="AI24" s="76" t="str">
        <f>IFERROR(s_TR/(s_RadSpec!$H24*s_IFCB_far_adj*s_CF_cabbage),".")</f>
        <v>.</v>
      </c>
      <c r="AJ24" s="76" t="str">
        <f>IFERROR(s_TR/(s_RadSpec!$H24*s_IFCR_far_adj*s_CF_carrot),".")</f>
        <v>.</v>
      </c>
      <c r="AK24" s="76" t="str">
        <f>IFERROR(s_TR/(s_RadSpec!$H24*s_IFCI_far_adj*s_CF_citrus),".")</f>
        <v>.</v>
      </c>
      <c r="AL24" s="76" t="str">
        <f>IFERROR(s_TR/(s_RadSpec!$H24*s_IFCO_far_adj*s_CF_corn),".")</f>
        <v>.</v>
      </c>
      <c r="AM24" s="76" t="str">
        <f>IFERROR(s_TR/(s_RadSpec!$H24*s_IFCU_far_adj*s_CF_cucumber),".")</f>
        <v>.</v>
      </c>
      <c r="AN24" s="76" t="str">
        <f>IFERROR(s_TR/(s_RadSpec!$H24*s_IFLE_far_adj*s_CF_lettuce),".")</f>
        <v>.</v>
      </c>
      <c r="AO24" s="76" t="str">
        <f>IFERROR(s_TR/(s_RadSpec!$H24*s_IFLI_far_adj*s_CF_lima_bean),".")</f>
        <v>.</v>
      </c>
      <c r="AP24" s="76" t="str">
        <f>IFERROR(s_TR/(s_RadSpec!$H24*s_IFOK_far_adj*s_CF_okra),".")</f>
        <v>.</v>
      </c>
      <c r="AQ24" s="76" t="str">
        <f>IFERROR(s_TR/(s_RadSpec!$H24*s_IFON_far_adj*s_CF_onion),".")</f>
        <v>.</v>
      </c>
      <c r="AR24" s="76" t="str">
        <f>IFERROR(s_TR/(s_RadSpec!$H24*s_IFPC_far_adj*s_CF_peach),".")</f>
        <v>.</v>
      </c>
      <c r="AS24" s="76" t="str">
        <f>IFERROR(s_TR/(s_RadSpec!$H24*s_IFPR_far_adj*s_CF_pear),".")</f>
        <v>.</v>
      </c>
      <c r="AT24" s="76" t="str">
        <f>IFERROR(s_TR/(s_RadSpec!$H24*s_IFPE_far_adj*s_CF_peas),".")</f>
        <v>.</v>
      </c>
      <c r="AU24" s="76" t="str">
        <f>IFERROR(s_TR/(s_RadSpec!$H24*s_IFPP_far_adj*s_CF_peppers),".")</f>
        <v>.</v>
      </c>
      <c r="AV24" s="76" t="str">
        <f>IFERROR(s_TR/(s_RadSpec!$H24*s_IFPT_far_adj*s_CF_potato),".")</f>
        <v>.</v>
      </c>
      <c r="AW24" s="76" t="str">
        <f>IFERROR(s_TR/(s_RadSpec!$H24*s_IFPU_far_adj*s_CF_pumpkin),".")</f>
        <v>.</v>
      </c>
      <c r="AX24" s="76" t="str">
        <f>IFERROR(s_TR/(s_RadSpec!$H24*s_IFSN_far_adj*s_CF_snap_bean),".")</f>
        <v>.</v>
      </c>
      <c r="AY24" s="76" t="str">
        <f>IFERROR(s_TR/(s_RadSpec!$H24*s_IFST_far_adj*s_CF_strawberry),".")</f>
        <v>.</v>
      </c>
      <c r="AZ24" s="76" t="str">
        <f>IFERROR(s_TR/(s_RadSpec!$H24*s_IFTO_far_adj*s_CF_tomato),".")</f>
        <v>.</v>
      </c>
      <c r="BA24" s="76" t="str">
        <f>IFERROR(s_TR/(s_RadSpec!$H24*s_IFRI_far_adj*s_CF_rice),".")</f>
        <v>.</v>
      </c>
      <c r="BB24" s="76" t="str">
        <f>IFERROR(s_TR/(s_RadSpec!$H24*s_IFCG_far_adj*s_CF_cereal),".")</f>
        <v>.</v>
      </c>
      <c r="BC24" s="93">
        <f t="shared" si="26"/>
        <v>605000</v>
      </c>
      <c r="BD24" s="93">
        <f t="shared" si="0"/>
        <v>151250</v>
      </c>
      <c r="BE24" s="93">
        <f t="shared" si="1"/>
        <v>151250</v>
      </c>
      <c r="BF24" s="93">
        <f t="shared" si="2"/>
        <v>151250</v>
      </c>
      <c r="BG24" s="93">
        <f t="shared" si="3"/>
        <v>151250</v>
      </c>
      <c r="BH24" s="93">
        <f t="shared" si="4"/>
        <v>151250</v>
      </c>
      <c r="BI24" s="93">
        <f t="shared" si="5"/>
        <v>151250</v>
      </c>
      <c r="BJ24" s="93">
        <f t="shared" si="6"/>
        <v>151250</v>
      </c>
      <c r="BK24" s="93">
        <f t="shared" si="7"/>
        <v>151250</v>
      </c>
      <c r="BL24" s="93">
        <f t="shared" si="8"/>
        <v>151250</v>
      </c>
      <c r="BM24" s="93">
        <f t="shared" si="9"/>
        <v>151250</v>
      </c>
      <c r="BN24" s="93">
        <f t="shared" si="10"/>
        <v>151250</v>
      </c>
      <c r="BO24" s="93">
        <f t="shared" si="11"/>
        <v>151250</v>
      </c>
      <c r="BP24" s="93">
        <f t="shared" si="12"/>
        <v>151250</v>
      </c>
      <c r="BQ24" s="93">
        <f t="shared" si="13"/>
        <v>151250</v>
      </c>
      <c r="BR24" s="93">
        <f t="shared" si="14"/>
        <v>151250</v>
      </c>
      <c r="BS24" s="93">
        <f t="shared" si="15"/>
        <v>151250</v>
      </c>
      <c r="BT24" s="93">
        <f t="shared" si="27"/>
        <v>151250</v>
      </c>
      <c r="BU24" s="93">
        <f t="shared" si="16"/>
        <v>151250</v>
      </c>
      <c r="BV24" s="93">
        <f t="shared" si="17"/>
        <v>151250</v>
      </c>
      <c r="BW24" s="93">
        <f t="shared" si="18"/>
        <v>151250</v>
      </c>
      <c r="BX24" s="93">
        <f t="shared" si="19"/>
        <v>151250</v>
      </c>
      <c r="BY24" s="93">
        <f t="shared" si="20"/>
        <v>151250</v>
      </c>
      <c r="BZ24" s="93">
        <f t="shared" si="21"/>
        <v>151250</v>
      </c>
      <c r="CA24" s="93">
        <f t="shared" si="22"/>
        <v>151250</v>
      </c>
      <c r="CB24" s="93">
        <f t="shared" si="23"/>
        <v>151250</v>
      </c>
    </row>
    <row r="25" spans="1:80" x14ac:dyDescent="0.25">
      <c r="A25" s="94" t="s">
        <v>35</v>
      </c>
      <c r="B25" s="90" t="s">
        <v>349</v>
      </c>
      <c r="C25" s="76" t="str">
        <f t="shared" si="24"/>
        <v>.</v>
      </c>
      <c r="D25" s="76" t="str">
        <f>IFERROR(s_TR/(s_RadSpec!$H25*s_IFAP_res_adj*s_CF_apple),".")</f>
        <v>.</v>
      </c>
      <c r="E25" s="76" t="str">
        <f>IFERROR(s_TR/(s_RadSpec!$H25*s_IFAS_res_adj*s_CF_asparagus),".")</f>
        <v>.</v>
      </c>
      <c r="F25" s="76" t="str">
        <f>IFERROR(s_TR/(s_RadSpec!$H25*s_IFBT_res_adj*s_CF_beet),".")</f>
        <v>.</v>
      </c>
      <c r="G25" s="76" t="str">
        <f>IFERROR(s_TR/(s_RadSpec!$H25*s_IFBE_res_adj*s_CF_berries),".")</f>
        <v>.</v>
      </c>
      <c r="H25" s="76" t="str">
        <f>IFERROR(s_TR/(s_RadSpec!$H25*s_IFBR_res_adj*s_CF_broccoli),".")</f>
        <v>.</v>
      </c>
      <c r="I25" s="76" t="str">
        <f>IFERROR(s_TR/(s_RadSpec!$H25*s_IFCB_res_adj*s_CF_cabbage),".")</f>
        <v>.</v>
      </c>
      <c r="J25" s="76" t="str">
        <f>IFERROR(s_TR/(s_RadSpec!$H25*s_IFCR_res_adj*s_CF_carrot),".")</f>
        <v>.</v>
      </c>
      <c r="K25" s="76" t="str">
        <f>IFERROR(s_TR/(s_RadSpec!$H25*s_IFCI_res_adj*s_CF_citrus),".")</f>
        <v>.</v>
      </c>
      <c r="L25" s="76" t="str">
        <f>IFERROR(s_TR/(s_RadSpec!$H25*s_IFCO_res_adj*s_CF_corn),".")</f>
        <v>.</v>
      </c>
      <c r="M25" s="76" t="str">
        <f>IFERROR(s_TR/(s_RadSpec!$H25*s_IFCU_res_adj*s_CF_cucumber),".")</f>
        <v>.</v>
      </c>
      <c r="N25" s="76" t="str">
        <f>IFERROR(s_TR/(s_RadSpec!$H25*s_IFLE_res_adj*s_CF_lettuce),".")</f>
        <v>.</v>
      </c>
      <c r="O25" s="76" t="str">
        <f>IFERROR(s_TR/(s_RadSpec!$H25*s_IFLI_res_adj*s_CF_lima_bean),".")</f>
        <v>.</v>
      </c>
      <c r="P25" s="76" t="str">
        <f>IFERROR(s_TR/(s_RadSpec!$H25*s_IFOK_res_adj*s_CF_okra),".")</f>
        <v>.</v>
      </c>
      <c r="Q25" s="76" t="str">
        <f>IFERROR(s_TR/(s_RadSpec!$H25*s_IFON_res_adj*s_CF_onion),".")</f>
        <v>.</v>
      </c>
      <c r="R25" s="76" t="str">
        <f>IFERROR(s_TR/(s_RadSpec!$H25*s_IFPC_res_adj*s_CF_peach),".")</f>
        <v>.</v>
      </c>
      <c r="S25" s="76" t="str">
        <f>IFERROR(s_TR/(s_RadSpec!$H25*s_IFPR_res_adj*s_CF_pear),".")</f>
        <v>.</v>
      </c>
      <c r="T25" s="76" t="str">
        <f>IFERROR(s_TR/(s_RadSpec!$H25*s_IFPE_res_adj*s_CF_peas),".")</f>
        <v>.</v>
      </c>
      <c r="U25" s="76" t="str">
        <f>IFERROR(s_TR/(s_RadSpec!$H25*s_IFPP_res_adj*s_CF_peppers),".")</f>
        <v>.</v>
      </c>
      <c r="V25" s="76" t="str">
        <f>IFERROR(s_TR/(s_RadSpec!$H25*s_IFPT_res_adj*s_CF_potato),".")</f>
        <v>.</v>
      </c>
      <c r="W25" s="76" t="str">
        <f>IFERROR(s_TR/(s_RadSpec!$H25*s_IFPU_res_adj*s_CF_pumpkin),".")</f>
        <v>.</v>
      </c>
      <c r="X25" s="76" t="str">
        <f>IFERROR(s_TR/(s_RadSpec!$H25*s_IFSN_res_adj*s_CF_snap_bean),".")</f>
        <v>.</v>
      </c>
      <c r="Y25" s="76" t="str">
        <f>IFERROR(s_TR/(s_RadSpec!$H25*s_IFST_res_adj*s_CF_strawberry),".")</f>
        <v>.</v>
      </c>
      <c r="Z25" s="76" t="str">
        <f>IFERROR(s_TR/(s_RadSpec!$H25*s_IFTO_res_adj*s_CF_tomato),".")</f>
        <v>.</v>
      </c>
      <c r="AA25" s="76" t="str">
        <f>IFERROR(s_TR/(s_RadSpec!$H25*s_IFRI_res_adj*s_CF_rice),".")</f>
        <v>.</v>
      </c>
      <c r="AB25" s="76" t="str">
        <f>IFERROR(s_TR/(s_RadSpec!$H25*s_IFCG_res_adj*s_CF_cereal),".")</f>
        <v>.</v>
      </c>
      <c r="AC25" s="76" t="str">
        <f t="shared" si="25"/>
        <v>.</v>
      </c>
      <c r="AD25" s="76" t="str">
        <f>IFERROR(s_TR/(s_RadSpec!$H25*s_IFAP_far_adj*s_CF_apple),".")</f>
        <v>.</v>
      </c>
      <c r="AE25" s="76" t="str">
        <f>IFERROR(s_TR/(s_RadSpec!$H25*s_IFAS_far_adj*s_CF_asparagus),".")</f>
        <v>.</v>
      </c>
      <c r="AF25" s="76" t="str">
        <f>IFERROR(s_TR/(s_RadSpec!$H25*s_IFBT_far_adj*s_CF_beet),".")</f>
        <v>.</v>
      </c>
      <c r="AG25" s="76" t="str">
        <f>IFERROR(s_TR/(s_RadSpec!$H25*s_IFBE_far_adj*s_CF_berries),".")</f>
        <v>.</v>
      </c>
      <c r="AH25" s="76" t="str">
        <f>IFERROR(s_TR/(s_RadSpec!$H25*s_IFBR_far_adj*s_CF_broccoli),".")</f>
        <v>.</v>
      </c>
      <c r="AI25" s="76" t="str">
        <f>IFERROR(s_TR/(s_RadSpec!$H25*s_IFCB_far_adj*s_CF_cabbage),".")</f>
        <v>.</v>
      </c>
      <c r="AJ25" s="76" t="str">
        <f>IFERROR(s_TR/(s_RadSpec!$H25*s_IFCR_far_adj*s_CF_carrot),".")</f>
        <v>.</v>
      </c>
      <c r="AK25" s="76" t="str">
        <f>IFERROR(s_TR/(s_RadSpec!$H25*s_IFCI_far_adj*s_CF_citrus),".")</f>
        <v>.</v>
      </c>
      <c r="AL25" s="76" t="str">
        <f>IFERROR(s_TR/(s_RadSpec!$H25*s_IFCO_far_adj*s_CF_corn),".")</f>
        <v>.</v>
      </c>
      <c r="AM25" s="76" t="str">
        <f>IFERROR(s_TR/(s_RadSpec!$H25*s_IFCU_far_adj*s_CF_cucumber),".")</f>
        <v>.</v>
      </c>
      <c r="AN25" s="76" t="str">
        <f>IFERROR(s_TR/(s_RadSpec!$H25*s_IFLE_far_adj*s_CF_lettuce),".")</f>
        <v>.</v>
      </c>
      <c r="AO25" s="76" t="str">
        <f>IFERROR(s_TR/(s_RadSpec!$H25*s_IFLI_far_adj*s_CF_lima_bean),".")</f>
        <v>.</v>
      </c>
      <c r="AP25" s="76" t="str">
        <f>IFERROR(s_TR/(s_RadSpec!$H25*s_IFOK_far_adj*s_CF_okra),".")</f>
        <v>.</v>
      </c>
      <c r="AQ25" s="76" t="str">
        <f>IFERROR(s_TR/(s_RadSpec!$H25*s_IFON_far_adj*s_CF_onion),".")</f>
        <v>.</v>
      </c>
      <c r="AR25" s="76" t="str">
        <f>IFERROR(s_TR/(s_RadSpec!$H25*s_IFPC_far_adj*s_CF_peach),".")</f>
        <v>.</v>
      </c>
      <c r="AS25" s="76" t="str">
        <f>IFERROR(s_TR/(s_RadSpec!$H25*s_IFPR_far_adj*s_CF_pear),".")</f>
        <v>.</v>
      </c>
      <c r="AT25" s="76" t="str">
        <f>IFERROR(s_TR/(s_RadSpec!$H25*s_IFPE_far_adj*s_CF_peas),".")</f>
        <v>.</v>
      </c>
      <c r="AU25" s="76" t="str">
        <f>IFERROR(s_TR/(s_RadSpec!$H25*s_IFPP_far_adj*s_CF_peppers),".")</f>
        <v>.</v>
      </c>
      <c r="AV25" s="76" t="str">
        <f>IFERROR(s_TR/(s_RadSpec!$H25*s_IFPT_far_adj*s_CF_potato),".")</f>
        <v>.</v>
      </c>
      <c r="AW25" s="76" t="str">
        <f>IFERROR(s_TR/(s_RadSpec!$H25*s_IFPU_far_adj*s_CF_pumpkin),".")</f>
        <v>.</v>
      </c>
      <c r="AX25" s="76" t="str">
        <f>IFERROR(s_TR/(s_RadSpec!$H25*s_IFSN_far_adj*s_CF_snap_bean),".")</f>
        <v>.</v>
      </c>
      <c r="AY25" s="76" t="str">
        <f>IFERROR(s_TR/(s_RadSpec!$H25*s_IFST_far_adj*s_CF_strawberry),".")</f>
        <v>.</v>
      </c>
      <c r="AZ25" s="76" t="str">
        <f>IFERROR(s_TR/(s_RadSpec!$H25*s_IFTO_far_adj*s_CF_tomato),".")</f>
        <v>.</v>
      </c>
      <c r="BA25" s="76" t="str">
        <f>IFERROR(s_TR/(s_RadSpec!$H25*s_IFRI_far_adj*s_CF_rice),".")</f>
        <v>.</v>
      </c>
      <c r="BB25" s="76" t="str">
        <f>IFERROR(s_TR/(s_RadSpec!$H25*s_IFCG_far_adj*s_CF_cereal),".")</f>
        <v>.</v>
      </c>
      <c r="BC25" s="93">
        <f t="shared" si="26"/>
        <v>605000</v>
      </c>
      <c r="BD25" s="93">
        <f t="shared" si="0"/>
        <v>151250</v>
      </c>
      <c r="BE25" s="93">
        <f t="shared" si="1"/>
        <v>151250</v>
      </c>
      <c r="BF25" s="93">
        <f t="shared" si="2"/>
        <v>151250</v>
      </c>
      <c r="BG25" s="93">
        <f t="shared" si="3"/>
        <v>151250</v>
      </c>
      <c r="BH25" s="93">
        <f t="shared" si="4"/>
        <v>151250</v>
      </c>
      <c r="BI25" s="93">
        <f t="shared" si="5"/>
        <v>151250</v>
      </c>
      <c r="BJ25" s="93">
        <f t="shared" si="6"/>
        <v>151250</v>
      </c>
      <c r="BK25" s="93">
        <f t="shared" si="7"/>
        <v>151250</v>
      </c>
      <c r="BL25" s="93">
        <f t="shared" si="8"/>
        <v>151250</v>
      </c>
      <c r="BM25" s="93">
        <f t="shared" si="9"/>
        <v>151250</v>
      </c>
      <c r="BN25" s="93">
        <f t="shared" si="10"/>
        <v>151250</v>
      </c>
      <c r="BO25" s="93">
        <f t="shared" si="11"/>
        <v>151250</v>
      </c>
      <c r="BP25" s="93">
        <f t="shared" si="12"/>
        <v>151250</v>
      </c>
      <c r="BQ25" s="93">
        <f t="shared" si="13"/>
        <v>151250</v>
      </c>
      <c r="BR25" s="93">
        <f t="shared" si="14"/>
        <v>151250</v>
      </c>
      <c r="BS25" s="93">
        <f t="shared" si="15"/>
        <v>151250</v>
      </c>
      <c r="BT25" s="93">
        <f t="shared" si="27"/>
        <v>151250</v>
      </c>
      <c r="BU25" s="93">
        <f t="shared" si="16"/>
        <v>151250</v>
      </c>
      <c r="BV25" s="93">
        <f t="shared" si="17"/>
        <v>151250</v>
      </c>
      <c r="BW25" s="93">
        <f t="shared" si="18"/>
        <v>151250</v>
      </c>
      <c r="BX25" s="93">
        <f t="shared" si="19"/>
        <v>151250</v>
      </c>
      <c r="BY25" s="93">
        <f t="shared" si="20"/>
        <v>151250</v>
      </c>
      <c r="BZ25" s="93">
        <f t="shared" si="21"/>
        <v>151250</v>
      </c>
      <c r="CA25" s="93">
        <f t="shared" si="22"/>
        <v>151250</v>
      </c>
      <c r="CB25" s="93">
        <f t="shared" si="23"/>
        <v>151250</v>
      </c>
    </row>
    <row r="26" spans="1:80" x14ac:dyDescent="0.25">
      <c r="A26" s="92" t="s">
        <v>36</v>
      </c>
      <c r="B26" s="90" t="s">
        <v>1071</v>
      </c>
      <c r="C26" s="76">
        <f t="shared" si="24"/>
        <v>0.28453994869744731</v>
      </c>
      <c r="D26" s="76">
        <f>IFERROR(s_TR/(s_RadSpec!$H26*s_IFAP_res_adj*s_CF_apple),".")</f>
        <v>1.1381597947897892</v>
      </c>
      <c r="E26" s="76">
        <f>IFERROR(s_TR/(s_RadSpec!$H26*s_IFAS_res_adj*s_CF_asparagus),".")</f>
        <v>1.1381597947897892</v>
      </c>
      <c r="F26" s="76">
        <f>IFERROR(s_TR/(s_RadSpec!$H26*s_IFBT_res_adj*s_CF_beet),".")</f>
        <v>1.1381597947897892</v>
      </c>
      <c r="G26" s="76">
        <f>IFERROR(s_TR/(s_RadSpec!$H26*s_IFBE_res_adj*s_CF_berries),".")</f>
        <v>1.1381597947897892</v>
      </c>
      <c r="H26" s="76">
        <f>IFERROR(s_TR/(s_RadSpec!$H26*s_IFBR_res_adj*s_CF_broccoli),".")</f>
        <v>1.1381597947897892</v>
      </c>
      <c r="I26" s="76">
        <f>IFERROR(s_TR/(s_RadSpec!$H26*s_IFCB_res_adj*s_CF_cabbage),".")</f>
        <v>1.1381597947897892</v>
      </c>
      <c r="J26" s="76">
        <f>IFERROR(s_TR/(s_RadSpec!$H26*s_IFCR_res_adj*s_CF_carrot),".")</f>
        <v>1.1381597947897892</v>
      </c>
      <c r="K26" s="76">
        <f>IFERROR(s_TR/(s_RadSpec!$H26*s_IFCI_res_adj*s_CF_citrus),".")</f>
        <v>1.1381597947897892</v>
      </c>
      <c r="L26" s="76">
        <f>IFERROR(s_TR/(s_RadSpec!$H26*s_IFCO_res_adj*s_CF_corn),".")</f>
        <v>1.1381597947897892</v>
      </c>
      <c r="M26" s="76">
        <f>IFERROR(s_TR/(s_RadSpec!$H26*s_IFCU_res_adj*s_CF_cucumber),".")</f>
        <v>1.1381597947897892</v>
      </c>
      <c r="N26" s="76">
        <f>IFERROR(s_TR/(s_RadSpec!$H26*s_IFLE_res_adj*s_CF_lettuce),".")</f>
        <v>1.1381597947897892</v>
      </c>
      <c r="O26" s="76">
        <f>IFERROR(s_TR/(s_RadSpec!$H26*s_IFLI_res_adj*s_CF_lima_bean),".")</f>
        <v>1.1381597947897892</v>
      </c>
      <c r="P26" s="76">
        <f>IFERROR(s_TR/(s_RadSpec!$H26*s_IFOK_res_adj*s_CF_okra),".")</f>
        <v>1.1381597947897892</v>
      </c>
      <c r="Q26" s="76">
        <f>IFERROR(s_TR/(s_RadSpec!$H26*s_IFON_res_adj*s_CF_onion),".")</f>
        <v>1.1381597947897892</v>
      </c>
      <c r="R26" s="76">
        <f>IFERROR(s_TR/(s_RadSpec!$H26*s_IFPC_res_adj*s_CF_peach),".")</f>
        <v>1.1381597947897892</v>
      </c>
      <c r="S26" s="76">
        <f>IFERROR(s_TR/(s_RadSpec!$H26*s_IFPR_res_adj*s_CF_pear),".")</f>
        <v>1.1381597947897892</v>
      </c>
      <c r="T26" s="76">
        <f>IFERROR(s_TR/(s_RadSpec!$H26*s_IFPE_res_adj*s_CF_peas),".")</f>
        <v>1.1381597947897892</v>
      </c>
      <c r="U26" s="76">
        <f>IFERROR(s_TR/(s_RadSpec!$H26*s_IFPP_res_adj*s_CF_peppers),".")</f>
        <v>1.1381597947897892</v>
      </c>
      <c r="V26" s="76">
        <f>IFERROR(s_TR/(s_RadSpec!$H26*s_IFPT_res_adj*s_CF_potato),".")</f>
        <v>1.1381597947897892</v>
      </c>
      <c r="W26" s="76">
        <f>IFERROR(s_TR/(s_RadSpec!$H26*s_IFPU_res_adj*s_CF_pumpkin),".")</f>
        <v>1.1381597947897892</v>
      </c>
      <c r="X26" s="76">
        <f>IFERROR(s_TR/(s_RadSpec!$H26*s_IFSN_res_adj*s_CF_snap_bean),".")</f>
        <v>1.1381597947897892</v>
      </c>
      <c r="Y26" s="76">
        <f>IFERROR(s_TR/(s_RadSpec!$H26*s_IFST_res_adj*s_CF_strawberry),".")</f>
        <v>1.1381597947897892</v>
      </c>
      <c r="Z26" s="76">
        <f>IFERROR(s_TR/(s_RadSpec!$H26*s_IFTO_res_adj*s_CF_tomato),".")</f>
        <v>1.1381597947897892</v>
      </c>
      <c r="AA26" s="76">
        <f>IFERROR(s_TR/(s_RadSpec!$H26*s_IFRI_res_adj*s_CF_rice),".")</f>
        <v>1.1381597947897892</v>
      </c>
      <c r="AB26" s="76">
        <f>IFERROR(s_TR/(s_RadSpec!$H26*s_IFCG_res_adj*s_CF_cereal),".")</f>
        <v>1.1381597947897892</v>
      </c>
      <c r="AC26" s="76">
        <f t="shared" si="25"/>
        <v>0.28453994869744731</v>
      </c>
      <c r="AD26" s="76">
        <f>IFERROR(s_TR/(s_RadSpec!$H26*s_IFAP_far_adj*s_CF_apple),".")</f>
        <v>1.1381597947897892</v>
      </c>
      <c r="AE26" s="76">
        <f>IFERROR(s_TR/(s_RadSpec!$H26*s_IFAS_far_adj*s_CF_asparagus),".")</f>
        <v>1.1381597947897892</v>
      </c>
      <c r="AF26" s="76">
        <f>IFERROR(s_TR/(s_RadSpec!$H26*s_IFBT_far_adj*s_CF_beet),".")</f>
        <v>1.1381597947897892</v>
      </c>
      <c r="AG26" s="76">
        <f>IFERROR(s_TR/(s_RadSpec!$H26*s_IFBE_far_adj*s_CF_berries),".")</f>
        <v>1.1381597947897892</v>
      </c>
      <c r="AH26" s="76">
        <f>IFERROR(s_TR/(s_RadSpec!$H26*s_IFBR_far_adj*s_CF_broccoli),".")</f>
        <v>1.1381597947897892</v>
      </c>
      <c r="AI26" s="76">
        <f>IFERROR(s_TR/(s_RadSpec!$H26*s_IFCB_far_adj*s_CF_cabbage),".")</f>
        <v>1.1381597947897892</v>
      </c>
      <c r="AJ26" s="76">
        <f>IFERROR(s_TR/(s_RadSpec!$H26*s_IFCR_far_adj*s_CF_carrot),".")</f>
        <v>1.1381597947897892</v>
      </c>
      <c r="AK26" s="76">
        <f>IFERROR(s_TR/(s_RadSpec!$H26*s_IFCI_far_adj*s_CF_citrus),".")</f>
        <v>1.1381597947897892</v>
      </c>
      <c r="AL26" s="76">
        <f>IFERROR(s_TR/(s_RadSpec!$H26*s_IFCO_far_adj*s_CF_corn),".")</f>
        <v>1.1381597947897892</v>
      </c>
      <c r="AM26" s="76">
        <f>IFERROR(s_TR/(s_RadSpec!$H26*s_IFCU_far_adj*s_CF_cucumber),".")</f>
        <v>1.1381597947897892</v>
      </c>
      <c r="AN26" s="76">
        <f>IFERROR(s_TR/(s_RadSpec!$H26*s_IFLE_far_adj*s_CF_lettuce),".")</f>
        <v>1.1381597947897892</v>
      </c>
      <c r="AO26" s="76">
        <f>IFERROR(s_TR/(s_RadSpec!$H26*s_IFLI_far_adj*s_CF_lima_bean),".")</f>
        <v>1.1381597947897892</v>
      </c>
      <c r="AP26" s="76">
        <f>IFERROR(s_TR/(s_RadSpec!$H26*s_IFOK_far_adj*s_CF_okra),".")</f>
        <v>1.1381597947897892</v>
      </c>
      <c r="AQ26" s="76">
        <f>IFERROR(s_TR/(s_RadSpec!$H26*s_IFON_far_adj*s_CF_onion),".")</f>
        <v>1.1381597947897892</v>
      </c>
      <c r="AR26" s="76">
        <f>IFERROR(s_TR/(s_RadSpec!$H26*s_IFPC_far_adj*s_CF_peach),".")</f>
        <v>1.1381597947897892</v>
      </c>
      <c r="AS26" s="76">
        <f>IFERROR(s_TR/(s_RadSpec!$H26*s_IFPR_far_adj*s_CF_pear),".")</f>
        <v>1.1381597947897892</v>
      </c>
      <c r="AT26" s="76">
        <f>IFERROR(s_TR/(s_RadSpec!$H26*s_IFPE_far_adj*s_CF_peas),".")</f>
        <v>1.1381597947897892</v>
      </c>
      <c r="AU26" s="76">
        <f>IFERROR(s_TR/(s_RadSpec!$H26*s_IFPP_far_adj*s_CF_peppers),".")</f>
        <v>1.1381597947897892</v>
      </c>
      <c r="AV26" s="76">
        <f>IFERROR(s_TR/(s_RadSpec!$H26*s_IFPT_far_adj*s_CF_potato),".")</f>
        <v>1.1381597947897892</v>
      </c>
      <c r="AW26" s="76">
        <f>IFERROR(s_TR/(s_RadSpec!$H26*s_IFPU_far_adj*s_CF_pumpkin),".")</f>
        <v>1.1381597947897892</v>
      </c>
      <c r="AX26" s="76">
        <f>IFERROR(s_TR/(s_RadSpec!$H26*s_IFSN_far_adj*s_CF_snap_bean),".")</f>
        <v>1.1381597947897892</v>
      </c>
      <c r="AY26" s="76">
        <f>IFERROR(s_TR/(s_RadSpec!$H26*s_IFST_far_adj*s_CF_strawberry),".")</f>
        <v>1.1381597947897892</v>
      </c>
      <c r="AZ26" s="76">
        <f>IFERROR(s_TR/(s_RadSpec!$H26*s_IFTO_far_adj*s_CF_tomato),".")</f>
        <v>1.1381597947897892</v>
      </c>
      <c r="BA26" s="76">
        <f>IFERROR(s_TR/(s_RadSpec!$H26*s_IFRI_far_adj*s_CF_rice),".")</f>
        <v>1.1381597947897892</v>
      </c>
      <c r="BB26" s="76">
        <f>IFERROR(s_TR/(s_RadSpec!$H26*s_IFCG_far_adj*s_CF_cereal),".")</f>
        <v>1.1381597947897892</v>
      </c>
      <c r="BC26" s="93">
        <f t="shared" si="26"/>
        <v>605000</v>
      </c>
      <c r="BD26" s="93">
        <f t="shared" si="0"/>
        <v>151250</v>
      </c>
      <c r="BE26" s="93">
        <f t="shared" si="1"/>
        <v>151250</v>
      </c>
      <c r="BF26" s="93">
        <f t="shared" si="2"/>
        <v>151250</v>
      </c>
      <c r="BG26" s="93">
        <f t="shared" si="3"/>
        <v>151250</v>
      </c>
      <c r="BH26" s="93">
        <f t="shared" si="4"/>
        <v>151250</v>
      </c>
      <c r="BI26" s="93">
        <f t="shared" si="5"/>
        <v>151250</v>
      </c>
      <c r="BJ26" s="93">
        <f t="shared" si="6"/>
        <v>151250</v>
      </c>
      <c r="BK26" s="93">
        <f t="shared" si="7"/>
        <v>151250</v>
      </c>
      <c r="BL26" s="93">
        <f t="shared" si="8"/>
        <v>151250</v>
      </c>
      <c r="BM26" s="93">
        <f t="shared" si="9"/>
        <v>151250</v>
      </c>
      <c r="BN26" s="93">
        <f t="shared" si="10"/>
        <v>151250</v>
      </c>
      <c r="BO26" s="93">
        <f t="shared" si="11"/>
        <v>151250</v>
      </c>
      <c r="BP26" s="93">
        <f t="shared" si="12"/>
        <v>151250</v>
      </c>
      <c r="BQ26" s="93">
        <f t="shared" si="13"/>
        <v>151250</v>
      </c>
      <c r="BR26" s="93">
        <f t="shared" si="14"/>
        <v>151250</v>
      </c>
      <c r="BS26" s="93">
        <f t="shared" si="15"/>
        <v>151250</v>
      </c>
      <c r="BT26" s="93">
        <f t="shared" si="27"/>
        <v>151250</v>
      </c>
      <c r="BU26" s="93">
        <f t="shared" si="16"/>
        <v>151250</v>
      </c>
      <c r="BV26" s="93">
        <f t="shared" si="17"/>
        <v>151250</v>
      </c>
      <c r="BW26" s="93">
        <f t="shared" si="18"/>
        <v>151250</v>
      </c>
      <c r="BX26" s="93">
        <f t="shared" si="19"/>
        <v>151250</v>
      </c>
      <c r="BY26" s="93">
        <f t="shared" si="20"/>
        <v>151250</v>
      </c>
      <c r="BZ26" s="93">
        <f t="shared" si="21"/>
        <v>151250</v>
      </c>
      <c r="CA26" s="93">
        <f t="shared" si="22"/>
        <v>151250</v>
      </c>
      <c r="CB26" s="93">
        <f t="shared" si="23"/>
        <v>151250</v>
      </c>
    </row>
    <row r="27" spans="1:80" x14ac:dyDescent="0.25">
      <c r="A27" s="92" t="s">
        <v>37</v>
      </c>
      <c r="B27" s="90" t="s">
        <v>1071</v>
      </c>
      <c r="C27" s="76" t="str">
        <f t="shared" si="24"/>
        <v>.</v>
      </c>
      <c r="D27" s="76" t="str">
        <f>IFERROR(s_TR/(s_RadSpec!$H27*s_IFAP_res_adj*s_CF_apple),".")</f>
        <v>.</v>
      </c>
      <c r="E27" s="76" t="str">
        <f>IFERROR(s_TR/(s_RadSpec!$H27*s_IFAS_res_adj*s_CF_asparagus),".")</f>
        <v>.</v>
      </c>
      <c r="F27" s="76" t="str">
        <f>IFERROR(s_TR/(s_RadSpec!$H27*s_IFBT_res_adj*s_CF_beet),".")</f>
        <v>.</v>
      </c>
      <c r="G27" s="76" t="str">
        <f>IFERROR(s_TR/(s_RadSpec!$H27*s_IFBE_res_adj*s_CF_berries),".")</f>
        <v>.</v>
      </c>
      <c r="H27" s="76" t="str">
        <f>IFERROR(s_TR/(s_RadSpec!$H27*s_IFBR_res_adj*s_CF_broccoli),".")</f>
        <v>.</v>
      </c>
      <c r="I27" s="76" t="str">
        <f>IFERROR(s_TR/(s_RadSpec!$H27*s_IFCB_res_adj*s_CF_cabbage),".")</f>
        <v>.</v>
      </c>
      <c r="J27" s="76" t="str">
        <f>IFERROR(s_TR/(s_RadSpec!$H27*s_IFCR_res_adj*s_CF_carrot),".")</f>
        <v>.</v>
      </c>
      <c r="K27" s="76" t="str">
        <f>IFERROR(s_TR/(s_RadSpec!$H27*s_IFCI_res_adj*s_CF_citrus),".")</f>
        <v>.</v>
      </c>
      <c r="L27" s="76" t="str">
        <f>IFERROR(s_TR/(s_RadSpec!$H27*s_IFCO_res_adj*s_CF_corn),".")</f>
        <v>.</v>
      </c>
      <c r="M27" s="76" t="str">
        <f>IFERROR(s_TR/(s_RadSpec!$H27*s_IFCU_res_adj*s_CF_cucumber),".")</f>
        <v>.</v>
      </c>
      <c r="N27" s="76" t="str">
        <f>IFERROR(s_TR/(s_RadSpec!$H27*s_IFLE_res_adj*s_CF_lettuce),".")</f>
        <v>.</v>
      </c>
      <c r="O27" s="76" t="str">
        <f>IFERROR(s_TR/(s_RadSpec!$H27*s_IFLI_res_adj*s_CF_lima_bean),".")</f>
        <v>.</v>
      </c>
      <c r="P27" s="76" t="str">
        <f>IFERROR(s_TR/(s_RadSpec!$H27*s_IFOK_res_adj*s_CF_okra),".")</f>
        <v>.</v>
      </c>
      <c r="Q27" s="76" t="str">
        <f>IFERROR(s_TR/(s_RadSpec!$H27*s_IFON_res_adj*s_CF_onion),".")</f>
        <v>.</v>
      </c>
      <c r="R27" s="76" t="str">
        <f>IFERROR(s_TR/(s_RadSpec!$H27*s_IFPC_res_adj*s_CF_peach),".")</f>
        <v>.</v>
      </c>
      <c r="S27" s="76" t="str">
        <f>IFERROR(s_TR/(s_RadSpec!$H27*s_IFPR_res_adj*s_CF_pear),".")</f>
        <v>.</v>
      </c>
      <c r="T27" s="76" t="str">
        <f>IFERROR(s_TR/(s_RadSpec!$H27*s_IFPE_res_adj*s_CF_peas),".")</f>
        <v>.</v>
      </c>
      <c r="U27" s="76" t="str">
        <f>IFERROR(s_TR/(s_RadSpec!$H27*s_IFPP_res_adj*s_CF_peppers),".")</f>
        <v>.</v>
      </c>
      <c r="V27" s="76" t="str">
        <f>IFERROR(s_TR/(s_RadSpec!$H27*s_IFPT_res_adj*s_CF_potato),".")</f>
        <v>.</v>
      </c>
      <c r="W27" s="76" t="str">
        <f>IFERROR(s_TR/(s_RadSpec!$H27*s_IFPU_res_adj*s_CF_pumpkin),".")</f>
        <v>.</v>
      </c>
      <c r="X27" s="76" t="str">
        <f>IFERROR(s_TR/(s_RadSpec!$H27*s_IFSN_res_adj*s_CF_snap_bean),".")</f>
        <v>.</v>
      </c>
      <c r="Y27" s="76" t="str">
        <f>IFERROR(s_TR/(s_RadSpec!$H27*s_IFST_res_adj*s_CF_strawberry),".")</f>
        <v>.</v>
      </c>
      <c r="Z27" s="76" t="str">
        <f>IFERROR(s_TR/(s_RadSpec!$H27*s_IFTO_res_adj*s_CF_tomato),".")</f>
        <v>.</v>
      </c>
      <c r="AA27" s="76" t="str">
        <f>IFERROR(s_TR/(s_RadSpec!$H27*s_IFRI_res_adj*s_CF_rice),".")</f>
        <v>.</v>
      </c>
      <c r="AB27" s="76" t="str">
        <f>IFERROR(s_TR/(s_RadSpec!$H27*s_IFCG_res_adj*s_CF_cereal),".")</f>
        <v>.</v>
      </c>
      <c r="AC27" s="76" t="str">
        <f t="shared" si="25"/>
        <v>.</v>
      </c>
      <c r="AD27" s="76" t="str">
        <f>IFERROR(s_TR/(s_RadSpec!$H27*s_IFAP_far_adj*s_CF_apple),".")</f>
        <v>.</v>
      </c>
      <c r="AE27" s="76" t="str">
        <f>IFERROR(s_TR/(s_RadSpec!$H27*s_IFAS_far_adj*s_CF_asparagus),".")</f>
        <v>.</v>
      </c>
      <c r="AF27" s="76" t="str">
        <f>IFERROR(s_TR/(s_RadSpec!$H27*s_IFBT_far_adj*s_CF_beet),".")</f>
        <v>.</v>
      </c>
      <c r="AG27" s="76" t="str">
        <f>IFERROR(s_TR/(s_RadSpec!$H27*s_IFBE_far_adj*s_CF_berries),".")</f>
        <v>.</v>
      </c>
      <c r="AH27" s="76" t="str">
        <f>IFERROR(s_TR/(s_RadSpec!$H27*s_IFBR_far_adj*s_CF_broccoli),".")</f>
        <v>.</v>
      </c>
      <c r="AI27" s="76" t="str">
        <f>IFERROR(s_TR/(s_RadSpec!$H27*s_IFCB_far_adj*s_CF_cabbage),".")</f>
        <v>.</v>
      </c>
      <c r="AJ27" s="76" t="str">
        <f>IFERROR(s_TR/(s_RadSpec!$H27*s_IFCR_far_adj*s_CF_carrot),".")</f>
        <v>.</v>
      </c>
      <c r="AK27" s="76" t="str">
        <f>IFERROR(s_TR/(s_RadSpec!$H27*s_IFCI_far_adj*s_CF_citrus),".")</f>
        <v>.</v>
      </c>
      <c r="AL27" s="76" t="str">
        <f>IFERROR(s_TR/(s_RadSpec!$H27*s_IFCO_far_adj*s_CF_corn),".")</f>
        <v>.</v>
      </c>
      <c r="AM27" s="76" t="str">
        <f>IFERROR(s_TR/(s_RadSpec!$H27*s_IFCU_far_adj*s_CF_cucumber),".")</f>
        <v>.</v>
      </c>
      <c r="AN27" s="76" t="str">
        <f>IFERROR(s_TR/(s_RadSpec!$H27*s_IFLE_far_adj*s_CF_lettuce),".")</f>
        <v>.</v>
      </c>
      <c r="AO27" s="76" t="str">
        <f>IFERROR(s_TR/(s_RadSpec!$H27*s_IFLI_far_adj*s_CF_lima_bean),".")</f>
        <v>.</v>
      </c>
      <c r="AP27" s="76" t="str">
        <f>IFERROR(s_TR/(s_RadSpec!$H27*s_IFOK_far_adj*s_CF_okra),".")</f>
        <v>.</v>
      </c>
      <c r="AQ27" s="76" t="str">
        <f>IFERROR(s_TR/(s_RadSpec!$H27*s_IFON_far_adj*s_CF_onion),".")</f>
        <v>.</v>
      </c>
      <c r="AR27" s="76" t="str">
        <f>IFERROR(s_TR/(s_RadSpec!$H27*s_IFPC_far_adj*s_CF_peach),".")</f>
        <v>.</v>
      </c>
      <c r="AS27" s="76" t="str">
        <f>IFERROR(s_TR/(s_RadSpec!$H27*s_IFPR_far_adj*s_CF_pear),".")</f>
        <v>.</v>
      </c>
      <c r="AT27" s="76" t="str">
        <f>IFERROR(s_TR/(s_RadSpec!$H27*s_IFPE_far_adj*s_CF_peas),".")</f>
        <v>.</v>
      </c>
      <c r="AU27" s="76" t="str">
        <f>IFERROR(s_TR/(s_RadSpec!$H27*s_IFPP_far_adj*s_CF_peppers),".")</f>
        <v>.</v>
      </c>
      <c r="AV27" s="76" t="str">
        <f>IFERROR(s_TR/(s_RadSpec!$H27*s_IFPT_far_adj*s_CF_potato),".")</f>
        <v>.</v>
      </c>
      <c r="AW27" s="76" t="str">
        <f>IFERROR(s_TR/(s_RadSpec!$H27*s_IFPU_far_adj*s_CF_pumpkin),".")</f>
        <v>.</v>
      </c>
      <c r="AX27" s="76" t="str">
        <f>IFERROR(s_TR/(s_RadSpec!$H27*s_IFSN_far_adj*s_CF_snap_bean),".")</f>
        <v>.</v>
      </c>
      <c r="AY27" s="76" t="str">
        <f>IFERROR(s_TR/(s_RadSpec!$H27*s_IFST_far_adj*s_CF_strawberry),".")</f>
        <v>.</v>
      </c>
      <c r="AZ27" s="76" t="str">
        <f>IFERROR(s_TR/(s_RadSpec!$H27*s_IFTO_far_adj*s_CF_tomato),".")</f>
        <v>.</v>
      </c>
      <c r="BA27" s="76" t="str">
        <f>IFERROR(s_TR/(s_RadSpec!$H27*s_IFRI_far_adj*s_CF_rice),".")</f>
        <v>.</v>
      </c>
      <c r="BB27" s="76" t="str">
        <f>IFERROR(s_TR/(s_RadSpec!$H27*s_IFCG_far_adj*s_CF_cereal),".")</f>
        <v>.</v>
      </c>
      <c r="BC27" s="93">
        <f t="shared" si="26"/>
        <v>605000</v>
      </c>
      <c r="BD27" s="93">
        <f t="shared" si="0"/>
        <v>151250</v>
      </c>
      <c r="BE27" s="93">
        <f t="shared" si="1"/>
        <v>151250</v>
      </c>
      <c r="BF27" s="93">
        <f t="shared" si="2"/>
        <v>151250</v>
      </c>
      <c r="BG27" s="93">
        <f t="shared" si="3"/>
        <v>151250</v>
      </c>
      <c r="BH27" s="93">
        <f t="shared" si="4"/>
        <v>151250</v>
      </c>
      <c r="BI27" s="93">
        <f t="shared" si="5"/>
        <v>151250</v>
      </c>
      <c r="BJ27" s="93">
        <f t="shared" si="6"/>
        <v>151250</v>
      </c>
      <c r="BK27" s="93">
        <f t="shared" si="7"/>
        <v>151250</v>
      </c>
      <c r="BL27" s="93">
        <f t="shared" si="8"/>
        <v>151250</v>
      </c>
      <c r="BM27" s="93">
        <f t="shared" si="9"/>
        <v>151250</v>
      </c>
      <c r="BN27" s="93">
        <f t="shared" si="10"/>
        <v>151250</v>
      </c>
      <c r="BO27" s="93">
        <f t="shared" si="11"/>
        <v>151250</v>
      </c>
      <c r="BP27" s="93">
        <f t="shared" si="12"/>
        <v>151250</v>
      </c>
      <c r="BQ27" s="93">
        <f t="shared" si="13"/>
        <v>151250</v>
      </c>
      <c r="BR27" s="93">
        <f t="shared" si="14"/>
        <v>151250</v>
      </c>
      <c r="BS27" s="93">
        <f t="shared" si="15"/>
        <v>151250</v>
      </c>
      <c r="BT27" s="93">
        <f t="shared" si="27"/>
        <v>151250</v>
      </c>
      <c r="BU27" s="93">
        <f t="shared" si="16"/>
        <v>151250</v>
      </c>
      <c r="BV27" s="93">
        <f t="shared" si="17"/>
        <v>151250</v>
      </c>
      <c r="BW27" s="93">
        <f t="shared" si="18"/>
        <v>151250</v>
      </c>
      <c r="BX27" s="93">
        <f t="shared" si="19"/>
        <v>151250</v>
      </c>
      <c r="BY27" s="93">
        <f t="shared" si="20"/>
        <v>151250</v>
      </c>
      <c r="BZ27" s="93">
        <f t="shared" si="21"/>
        <v>151250</v>
      </c>
      <c r="CA27" s="93">
        <f t="shared" si="22"/>
        <v>151250</v>
      </c>
      <c r="CB27" s="93">
        <f t="shared" si="23"/>
        <v>151250</v>
      </c>
    </row>
    <row r="28" spans="1:80" x14ac:dyDescent="0.25">
      <c r="A28" s="92" t="s">
        <v>38</v>
      </c>
      <c r="B28" s="90" t="s">
        <v>1071</v>
      </c>
      <c r="C28" s="76" t="str">
        <f t="shared" si="24"/>
        <v>.</v>
      </c>
      <c r="D28" s="76" t="str">
        <f>IFERROR(s_TR/(s_RadSpec!$H28*s_IFAP_res_adj*s_CF_apple),".")</f>
        <v>.</v>
      </c>
      <c r="E28" s="76" t="str">
        <f>IFERROR(s_TR/(s_RadSpec!$H28*s_IFAS_res_adj*s_CF_asparagus),".")</f>
        <v>.</v>
      </c>
      <c r="F28" s="76" t="str">
        <f>IFERROR(s_TR/(s_RadSpec!$H28*s_IFBT_res_adj*s_CF_beet),".")</f>
        <v>.</v>
      </c>
      <c r="G28" s="76" t="str">
        <f>IFERROR(s_TR/(s_RadSpec!$H28*s_IFBE_res_adj*s_CF_berries),".")</f>
        <v>.</v>
      </c>
      <c r="H28" s="76" t="str">
        <f>IFERROR(s_TR/(s_RadSpec!$H28*s_IFBR_res_adj*s_CF_broccoli),".")</f>
        <v>.</v>
      </c>
      <c r="I28" s="76" t="str">
        <f>IFERROR(s_TR/(s_RadSpec!$H28*s_IFCB_res_adj*s_CF_cabbage),".")</f>
        <v>.</v>
      </c>
      <c r="J28" s="76" t="str">
        <f>IFERROR(s_TR/(s_RadSpec!$H28*s_IFCR_res_adj*s_CF_carrot),".")</f>
        <v>.</v>
      </c>
      <c r="K28" s="76" t="str">
        <f>IFERROR(s_TR/(s_RadSpec!$H28*s_IFCI_res_adj*s_CF_citrus),".")</f>
        <v>.</v>
      </c>
      <c r="L28" s="76" t="str">
        <f>IFERROR(s_TR/(s_RadSpec!$H28*s_IFCO_res_adj*s_CF_corn),".")</f>
        <v>.</v>
      </c>
      <c r="M28" s="76" t="str">
        <f>IFERROR(s_TR/(s_RadSpec!$H28*s_IFCU_res_adj*s_CF_cucumber),".")</f>
        <v>.</v>
      </c>
      <c r="N28" s="76" t="str">
        <f>IFERROR(s_TR/(s_RadSpec!$H28*s_IFLE_res_adj*s_CF_lettuce),".")</f>
        <v>.</v>
      </c>
      <c r="O28" s="76" t="str">
        <f>IFERROR(s_TR/(s_RadSpec!$H28*s_IFLI_res_adj*s_CF_lima_bean),".")</f>
        <v>.</v>
      </c>
      <c r="P28" s="76" t="str">
        <f>IFERROR(s_TR/(s_RadSpec!$H28*s_IFOK_res_adj*s_CF_okra),".")</f>
        <v>.</v>
      </c>
      <c r="Q28" s="76" t="str">
        <f>IFERROR(s_TR/(s_RadSpec!$H28*s_IFON_res_adj*s_CF_onion),".")</f>
        <v>.</v>
      </c>
      <c r="R28" s="76" t="str">
        <f>IFERROR(s_TR/(s_RadSpec!$H28*s_IFPC_res_adj*s_CF_peach),".")</f>
        <v>.</v>
      </c>
      <c r="S28" s="76" t="str">
        <f>IFERROR(s_TR/(s_RadSpec!$H28*s_IFPR_res_adj*s_CF_pear),".")</f>
        <v>.</v>
      </c>
      <c r="T28" s="76" t="str">
        <f>IFERROR(s_TR/(s_RadSpec!$H28*s_IFPE_res_adj*s_CF_peas),".")</f>
        <v>.</v>
      </c>
      <c r="U28" s="76" t="str">
        <f>IFERROR(s_TR/(s_RadSpec!$H28*s_IFPP_res_adj*s_CF_peppers),".")</f>
        <v>.</v>
      </c>
      <c r="V28" s="76" t="str">
        <f>IFERROR(s_TR/(s_RadSpec!$H28*s_IFPT_res_adj*s_CF_potato),".")</f>
        <v>.</v>
      </c>
      <c r="W28" s="76" t="str">
        <f>IFERROR(s_TR/(s_RadSpec!$H28*s_IFPU_res_adj*s_CF_pumpkin),".")</f>
        <v>.</v>
      </c>
      <c r="X28" s="76" t="str">
        <f>IFERROR(s_TR/(s_RadSpec!$H28*s_IFSN_res_adj*s_CF_snap_bean),".")</f>
        <v>.</v>
      </c>
      <c r="Y28" s="76" t="str">
        <f>IFERROR(s_TR/(s_RadSpec!$H28*s_IFST_res_adj*s_CF_strawberry),".")</f>
        <v>.</v>
      </c>
      <c r="Z28" s="76" t="str">
        <f>IFERROR(s_TR/(s_RadSpec!$H28*s_IFTO_res_adj*s_CF_tomato),".")</f>
        <v>.</v>
      </c>
      <c r="AA28" s="76" t="str">
        <f>IFERROR(s_TR/(s_RadSpec!$H28*s_IFRI_res_adj*s_CF_rice),".")</f>
        <v>.</v>
      </c>
      <c r="AB28" s="76" t="str">
        <f>IFERROR(s_TR/(s_RadSpec!$H28*s_IFCG_res_adj*s_CF_cereal),".")</f>
        <v>.</v>
      </c>
      <c r="AC28" s="76" t="str">
        <f t="shared" si="25"/>
        <v>.</v>
      </c>
      <c r="AD28" s="76" t="str">
        <f>IFERROR(s_TR/(s_RadSpec!$H28*s_IFAP_far_adj*s_CF_apple),".")</f>
        <v>.</v>
      </c>
      <c r="AE28" s="76" t="str">
        <f>IFERROR(s_TR/(s_RadSpec!$H28*s_IFAS_far_adj*s_CF_asparagus),".")</f>
        <v>.</v>
      </c>
      <c r="AF28" s="76" t="str">
        <f>IFERROR(s_TR/(s_RadSpec!$H28*s_IFBT_far_adj*s_CF_beet),".")</f>
        <v>.</v>
      </c>
      <c r="AG28" s="76" t="str">
        <f>IFERROR(s_TR/(s_RadSpec!$H28*s_IFBE_far_adj*s_CF_berries),".")</f>
        <v>.</v>
      </c>
      <c r="AH28" s="76" t="str">
        <f>IFERROR(s_TR/(s_RadSpec!$H28*s_IFBR_far_adj*s_CF_broccoli),".")</f>
        <v>.</v>
      </c>
      <c r="AI28" s="76" t="str">
        <f>IFERROR(s_TR/(s_RadSpec!$H28*s_IFCB_far_adj*s_CF_cabbage),".")</f>
        <v>.</v>
      </c>
      <c r="AJ28" s="76" t="str">
        <f>IFERROR(s_TR/(s_RadSpec!$H28*s_IFCR_far_adj*s_CF_carrot),".")</f>
        <v>.</v>
      </c>
      <c r="AK28" s="76" t="str">
        <f>IFERROR(s_TR/(s_RadSpec!$H28*s_IFCI_far_adj*s_CF_citrus),".")</f>
        <v>.</v>
      </c>
      <c r="AL28" s="76" t="str">
        <f>IFERROR(s_TR/(s_RadSpec!$H28*s_IFCO_far_adj*s_CF_corn),".")</f>
        <v>.</v>
      </c>
      <c r="AM28" s="76" t="str">
        <f>IFERROR(s_TR/(s_RadSpec!$H28*s_IFCU_far_adj*s_CF_cucumber),".")</f>
        <v>.</v>
      </c>
      <c r="AN28" s="76" t="str">
        <f>IFERROR(s_TR/(s_RadSpec!$H28*s_IFLE_far_adj*s_CF_lettuce),".")</f>
        <v>.</v>
      </c>
      <c r="AO28" s="76" t="str">
        <f>IFERROR(s_TR/(s_RadSpec!$H28*s_IFLI_far_adj*s_CF_lima_bean),".")</f>
        <v>.</v>
      </c>
      <c r="AP28" s="76" t="str">
        <f>IFERROR(s_TR/(s_RadSpec!$H28*s_IFOK_far_adj*s_CF_okra),".")</f>
        <v>.</v>
      </c>
      <c r="AQ28" s="76" t="str">
        <f>IFERROR(s_TR/(s_RadSpec!$H28*s_IFON_far_adj*s_CF_onion),".")</f>
        <v>.</v>
      </c>
      <c r="AR28" s="76" t="str">
        <f>IFERROR(s_TR/(s_RadSpec!$H28*s_IFPC_far_adj*s_CF_peach),".")</f>
        <v>.</v>
      </c>
      <c r="AS28" s="76" t="str">
        <f>IFERROR(s_TR/(s_RadSpec!$H28*s_IFPR_far_adj*s_CF_pear),".")</f>
        <v>.</v>
      </c>
      <c r="AT28" s="76" t="str">
        <f>IFERROR(s_TR/(s_RadSpec!$H28*s_IFPE_far_adj*s_CF_peas),".")</f>
        <v>.</v>
      </c>
      <c r="AU28" s="76" t="str">
        <f>IFERROR(s_TR/(s_RadSpec!$H28*s_IFPP_far_adj*s_CF_peppers),".")</f>
        <v>.</v>
      </c>
      <c r="AV28" s="76" t="str">
        <f>IFERROR(s_TR/(s_RadSpec!$H28*s_IFPT_far_adj*s_CF_potato),".")</f>
        <v>.</v>
      </c>
      <c r="AW28" s="76" t="str">
        <f>IFERROR(s_TR/(s_RadSpec!$H28*s_IFPU_far_adj*s_CF_pumpkin),".")</f>
        <v>.</v>
      </c>
      <c r="AX28" s="76" t="str">
        <f>IFERROR(s_TR/(s_RadSpec!$H28*s_IFSN_far_adj*s_CF_snap_bean),".")</f>
        <v>.</v>
      </c>
      <c r="AY28" s="76" t="str">
        <f>IFERROR(s_TR/(s_RadSpec!$H28*s_IFST_far_adj*s_CF_strawberry),".")</f>
        <v>.</v>
      </c>
      <c r="AZ28" s="76" t="str">
        <f>IFERROR(s_TR/(s_RadSpec!$H28*s_IFTO_far_adj*s_CF_tomato),".")</f>
        <v>.</v>
      </c>
      <c r="BA28" s="76" t="str">
        <f>IFERROR(s_TR/(s_RadSpec!$H28*s_IFRI_far_adj*s_CF_rice),".")</f>
        <v>.</v>
      </c>
      <c r="BB28" s="76" t="str">
        <f>IFERROR(s_TR/(s_RadSpec!$H28*s_IFCG_far_adj*s_CF_cereal),".")</f>
        <v>.</v>
      </c>
      <c r="BC28" s="93">
        <f t="shared" si="26"/>
        <v>605000</v>
      </c>
      <c r="BD28" s="93">
        <f t="shared" si="0"/>
        <v>151250</v>
      </c>
      <c r="BE28" s="93">
        <f t="shared" si="1"/>
        <v>151250</v>
      </c>
      <c r="BF28" s="93">
        <f t="shared" si="2"/>
        <v>151250</v>
      </c>
      <c r="BG28" s="93">
        <f t="shared" si="3"/>
        <v>151250</v>
      </c>
      <c r="BH28" s="93">
        <f t="shared" si="4"/>
        <v>151250</v>
      </c>
      <c r="BI28" s="93">
        <f t="shared" si="5"/>
        <v>151250</v>
      </c>
      <c r="BJ28" s="93">
        <f t="shared" si="6"/>
        <v>151250</v>
      </c>
      <c r="BK28" s="93">
        <f t="shared" si="7"/>
        <v>151250</v>
      </c>
      <c r="BL28" s="93">
        <f t="shared" si="8"/>
        <v>151250</v>
      </c>
      <c r="BM28" s="93">
        <f t="shared" si="9"/>
        <v>151250</v>
      </c>
      <c r="BN28" s="93">
        <f t="shared" si="10"/>
        <v>151250</v>
      </c>
      <c r="BO28" s="93">
        <f t="shared" si="11"/>
        <v>151250</v>
      </c>
      <c r="BP28" s="93">
        <f t="shared" si="12"/>
        <v>151250</v>
      </c>
      <c r="BQ28" s="93">
        <f t="shared" si="13"/>
        <v>151250</v>
      </c>
      <c r="BR28" s="93">
        <f t="shared" si="14"/>
        <v>151250</v>
      </c>
      <c r="BS28" s="93">
        <f t="shared" si="15"/>
        <v>151250</v>
      </c>
      <c r="BT28" s="93">
        <f t="shared" si="27"/>
        <v>151250</v>
      </c>
      <c r="BU28" s="93">
        <f t="shared" si="16"/>
        <v>151250</v>
      </c>
      <c r="BV28" s="93">
        <f t="shared" si="17"/>
        <v>151250</v>
      </c>
      <c r="BW28" s="93">
        <f t="shared" si="18"/>
        <v>151250</v>
      </c>
      <c r="BX28" s="93">
        <f t="shared" si="19"/>
        <v>151250</v>
      </c>
      <c r="BY28" s="93">
        <f t="shared" si="20"/>
        <v>151250</v>
      </c>
      <c r="BZ28" s="93">
        <f t="shared" si="21"/>
        <v>151250</v>
      </c>
      <c r="CA28" s="93">
        <f t="shared" si="22"/>
        <v>151250</v>
      </c>
      <c r="CB28" s="93">
        <f t="shared" si="23"/>
        <v>151250</v>
      </c>
    </row>
    <row r="29" spans="1:80" x14ac:dyDescent="0.25">
      <c r="A29" s="92" t="s">
        <v>39</v>
      </c>
      <c r="B29" s="90" t="s">
        <v>1071</v>
      </c>
      <c r="C29" s="76" t="str">
        <f t="shared" si="24"/>
        <v>.</v>
      </c>
      <c r="D29" s="76" t="str">
        <f>IFERROR(s_TR/(s_RadSpec!$H29*s_IFAP_res_adj*s_CF_apple),".")</f>
        <v>.</v>
      </c>
      <c r="E29" s="76" t="str">
        <f>IFERROR(s_TR/(s_RadSpec!$H29*s_IFAS_res_adj*s_CF_asparagus),".")</f>
        <v>.</v>
      </c>
      <c r="F29" s="76" t="str">
        <f>IFERROR(s_TR/(s_RadSpec!$H29*s_IFBT_res_adj*s_CF_beet),".")</f>
        <v>.</v>
      </c>
      <c r="G29" s="76" t="str">
        <f>IFERROR(s_TR/(s_RadSpec!$H29*s_IFBE_res_adj*s_CF_berries),".")</f>
        <v>.</v>
      </c>
      <c r="H29" s="76" t="str">
        <f>IFERROR(s_TR/(s_RadSpec!$H29*s_IFBR_res_adj*s_CF_broccoli),".")</f>
        <v>.</v>
      </c>
      <c r="I29" s="76" t="str">
        <f>IFERROR(s_TR/(s_RadSpec!$H29*s_IFCB_res_adj*s_CF_cabbage),".")</f>
        <v>.</v>
      </c>
      <c r="J29" s="76" t="str">
        <f>IFERROR(s_TR/(s_RadSpec!$H29*s_IFCR_res_adj*s_CF_carrot),".")</f>
        <v>.</v>
      </c>
      <c r="K29" s="76" t="str">
        <f>IFERROR(s_TR/(s_RadSpec!$H29*s_IFCI_res_adj*s_CF_citrus),".")</f>
        <v>.</v>
      </c>
      <c r="L29" s="76" t="str">
        <f>IFERROR(s_TR/(s_RadSpec!$H29*s_IFCO_res_adj*s_CF_corn),".")</f>
        <v>.</v>
      </c>
      <c r="M29" s="76" t="str">
        <f>IFERROR(s_TR/(s_RadSpec!$H29*s_IFCU_res_adj*s_CF_cucumber),".")</f>
        <v>.</v>
      </c>
      <c r="N29" s="76" t="str">
        <f>IFERROR(s_TR/(s_RadSpec!$H29*s_IFLE_res_adj*s_CF_lettuce),".")</f>
        <v>.</v>
      </c>
      <c r="O29" s="76" t="str">
        <f>IFERROR(s_TR/(s_RadSpec!$H29*s_IFLI_res_adj*s_CF_lima_bean),".")</f>
        <v>.</v>
      </c>
      <c r="P29" s="76" t="str">
        <f>IFERROR(s_TR/(s_RadSpec!$H29*s_IFOK_res_adj*s_CF_okra),".")</f>
        <v>.</v>
      </c>
      <c r="Q29" s="76" t="str">
        <f>IFERROR(s_TR/(s_RadSpec!$H29*s_IFON_res_adj*s_CF_onion),".")</f>
        <v>.</v>
      </c>
      <c r="R29" s="76" t="str">
        <f>IFERROR(s_TR/(s_RadSpec!$H29*s_IFPC_res_adj*s_CF_peach),".")</f>
        <v>.</v>
      </c>
      <c r="S29" s="76" t="str">
        <f>IFERROR(s_TR/(s_RadSpec!$H29*s_IFPR_res_adj*s_CF_pear),".")</f>
        <v>.</v>
      </c>
      <c r="T29" s="76" t="str">
        <f>IFERROR(s_TR/(s_RadSpec!$H29*s_IFPE_res_adj*s_CF_peas),".")</f>
        <v>.</v>
      </c>
      <c r="U29" s="76" t="str">
        <f>IFERROR(s_TR/(s_RadSpec!$H29*s_IFPP_res_adj*s_CF_peppers),".")</f>
        <v>.</v>
      </c>
      <c r="V29" s="76" t="str">
        <f>IFERROR(s_TR/(s_RadSpec!$H29*s_IFPT_res_adj*s_CF_potato),".")</f>
        <v>.</v>
      </c>
      <c r="W29" s="76" t="str">
        <f>IFERROR(s_TR/(s_RadSpec!$H29*s_IFPU_res_adj*s_CF_pumpkin),".")</f>
        <v>.</v>
      </c>
      <c r="X29" s="76" t="str">
        <f>IFERROR(s_TR/(s_RadSpec!$H29*s_IFSN_res_adj*s_CF_snap_bean),".")</f>
        <v>.</v>
      </c>
      <c r="Y29" s="76" t="str">
        <f>IFERROR(s_TR/(s_RadSpec!$H29*s_IFST_res_adj*s_CF_strawberry),".")</f>
        <v>.</v>
      </c>
      <c r="Z29" s="76" t="str">
        <f>IFERROR(s_TR/(s_RadSpec!$H29*s_IFTO_res_adj*s_CF_tomato),".")</f>
        <v>.</v>
      </c>
      <c r="AA29" s="76" t="str">
        <f>IFERROR(s_TR/(s_RadSpec!$H29*s_IFRI_res_adj*s_CF_rice),".")</f>
        <v>.</v>
      </c>
      <c r="AB29" s="76" t="str">
        <f>IFERROR(s_TR/(s_RadSpec!$H29*s_IFCG_res_adj*s_CF_cereal),".")</f>
        <v>.</v>
      </c>
      <c r="AC29" s="76" t="str">
        <f t="shared" si="25"/>
        <v>.</v>
      </c>
      <c r="AD29" s="76" t="str">
        <f>IFERROR(s_TR/(s_RadSpec!$H29*s_IFAP_far_adj*s_CF_apple),".")</f>
        <v>.</v>
      </c>
      <c r="AE29" s="76" t="str">
        <f>IFERROR(s_TR/(s_RadSpec!$H29*s_IFAS_far_adj*s_CF_asparagus),".")</f>
        <v>.</v>
      </c>
      <c r="AF29" s="76" t="str">
        <f>IFERROR(s_TR/(s_RadSpec!$H29*s_IFBT_far_adj*s_CF_beet),".")</f>
        <v>.</v>
      </c>
      <c r="AG29" s="76" t="str">
        <f>IFERROR(s_TR/(s_RadSpec!$H29*s_IFBE_far_adj*s_CF_berries),".")</f>
        <v>.</v>
      </c>
      <c r="AH29" s="76" t="str">
        <f>IFERROR(s_TR/(s_RadSpec!$H29*s_IFBR_far_adj*s_CF_broccoli),".")</f>
        <v>.</v>
      </c>
      <c r="AI29" s="76" t="str">
        <f>IFERROR(s_TR/(s_RadSpec!$H29*s_IFCB_far_adj*s_CF_cabbage),".")</f>
        <v>.</v>
      </c>
      <c r="AJ29" s="76" t="str">
        <f>IFERROR(s_TR/(s_RadSpec!$H29*s_IFCR_far_adj*s_CF_carrot),".")</f>
        <v>.</v>
      </c>
      <c r="AK29" s="76" t="str">
        <f>IFERROR(s_TR/(s_RadSpec!$H29*s_IFCI_far_adj*s_CF_citrus),".")</f>
        <v>.</v>
      </c>
      <c r="AL29" s="76" t="str">
        <f>IFERROR(s_TR/(s_RadSpec!$H29*s_IFCO_far_adj*s_CF_corn),".")</f>
        <v>.</v>
      </c>
      <c r="AM29" s="76" t="str">
        <f>IFERROR(s_TR/(s_RadSpec!$H29*s_IFCU_far_adj*s_CF_cucumber),".")</f>
        <v>.</v>
      </c>
      <c r="AN29" s="76" t="str">
        <f>IFERROR(s_TR/(s_RadSpec!$H29*s_IFLE_far_adj*s_CF_lettuce),".")</f>
        <v>.</v>
      </c>
      <c r="AO29" s="76" t="str">
        <f>IFERROR(s_TR/(s_RadSpec!$H29*s_IFLI_far_adj*s_CF_lima_bean),".")</f>
        <v>.</v>
      </c>
      <c r="AP29" s="76" t="str">
        <f>IFERROR(s_TR/(s_RadSpec!$H29*s_IFOK_far_adj*s_CF_okra),".")</f>
        <v>.</v>
      </c>
      <c r="AQ29" s="76" t="str">
        <f>IFERROR(s_TR/(s_RadSpec!$H29*s_IFON_far_adj*s_CF_onion),".")</f>
        <v>.</v>
      </c>
      <c r="AR29" s="76" t="str">
        <f>IFERROR(s_TR/(s_RadSpec!$H29*s_IFPC_far_adj*s_CF_peach),".")</f>
        <v>.</v>
      </c>
      <c r="AS29" s="76" t="str">
        <f>IFERROR(s_TR/(s_RadSpec!$H29*s_IFPR_far_adj*s_CF_pear),".")</f>
        <v>.</v>
      </c>
      <c r="AT29" s="76" t="str">
        <f>IFERROR(s_TR/(s_RadSpec!$H29*s_IFPE_far_adj*s_CF_peas),".")</f>
        <v>.</v>
      </c>
      <c r="AU29" s="76" t="str">
        <f>IFERROR(s_TR/(s_RadSpec!$H29*s_IFPP_far_adj*s_CF_peppers),".")</f>
        <v>.</v>
      </c>
      <c r="AV29" s="76" t="str">
        <f>IFERROR(s_TR/(s_RadSpec!$H29*s_IFPT_far_adj*s_CF_potato),".")</f>
        <v>.</v>
      </c>
      <c r="AW29" s="76" t="str">
        <f>IFERROR(s_TR/(s_RadSpec!$H29*s_IFPU_far_adj*s_CF_pumpkin),".")</f>
        <v>.</v>
      </c>
      <c r="AX29" s="76" t="str">
        <f>IFERROR(s_TR/(s_RadSpec!$H29*s_IFSN_far_adj*s_CF_snap_bean),".")</f>
        <v>.</v>
      </c>
      <c r="AY29" s="76" t="str">
        <f>IFERROR(s_TR/(s_RadSpec!$H29*s_IFST_far_adj*s_CF_strawberry),".")</f>
        <v>.</v>
      </c>
      <c r="AZ29" s="76" t="str">
        <f>IFERROR(s_TR/(s_RadSpec!$H29*s_IFTO_far_adj*s_CF_tomato),".")</f>
        <v>.</v>
      </c>
      <c r="BA29" s="76" t="str">
        <f>IFERROR(s_TR/(s_RadSpec!$H29*s_IFRI_far_adj*s_CF_rice),".")</f>
        <v>.</v>
      </c>
      <c r="BB29" s="76" t="str">
        <f>IFERROR(s_TR/(s_RadSpec!$H29*s_IFCG_far_adj*s_CF_cereal),".")</f>
        <v>.</v>
      </c>
      <c r="BC29" s="93">
        <f t="shared" si="26"/>
        <v>605000</v>
      </c>
      <c r="BD29" s="93">
        <f t="shared" si="0"/>
        <v>151250</v>
      </c>
      <c r="BE29" s="93">
        <f t="shared" si="1"/>
        <v>151250</v>
      </c>
      <c r="BF29" s="93">
        <f t="shared" si="2"/>
        <v>151250</v>
      </c>
      <c r="BG29" s="93">
        <f t="shared" si="3"/>
        <v>151250</v>
      </c>
      <c r="BH29" s="93">
        <f t="shared" si="4"/>
        <v>151250</v>
      </c>
      <c r="BI29" s="93">
        <f t="shared" si="5"/>
        <v>151250</v>
      </c>
      <c r="BJ29" s="93">
        <f t="shared" si="6"/>
        <v>151250</v>
      </c>
      <c r="BK29" s="93">
        <f t="shared" si="7"/>
        <v>151250</v>
      </c>
      <c r="BL29" s="93">
        <f t="shared" si="8"/>
        <v>151250</v>
      </c>
      <c r="BM29" s="93">
        <f t="shared" si="9"/>
        <v>151250</v>
      </c>
      <c r="BN29" s="93">
        <f t="shared" si="10"/>
        <v>151250</v>
      </c>
      <c r="BO29" s="93">
        <f t="shared" si="11"/>
        <v>151250</v>
      </c>
      <c r="BP29" s="93">
        <f t="shared" si="12"/>
        <v>151250</v>
      </c>
      <c r="BQ29" s="93">
        <f t="shared" si="13"/>
        <v>151250</v>
      </c>
      <c r="BR29" s="93">
        <f t="shared" si="14"/>
        <v>151250</v>
      </c>
      <c r="BS29" s="93">
        <f t="shared" si="15"/>
        <v>151250</v>
      </c>
      <c r="BT29" s="93">
        <f t="shared" si="27"/>
        <v>151250</v>
      </c>
      <c r="BU29" s="93">
        <f t="shared" si="16"/>
        <v>151250</v>
      </c>
      <c r="BV29" s="93">
        <f t="shared" si="17"/>
        <v>151250</v>
      </c>
      <c r="BW29" s="93">
        <f t="shared" si="18"/>
        <v>151250</v>
      </c>
      <c r="BX29" s="93">
        <f t="shared" si="19"/>
        <v>151250</v>
      </c>
      <c r="BY29" s="93">
        <f t="shared" si="20"/>
        <v>151250</v>
      </c>
      <c r="BZ29" s="93">
        <f t="shared" si="21"/>
        <v>151250</v>
      </c>
      <c r="CA29" s="93">
        <f t="shared" si="22"/>
        <v>151250</v>
      </c>
      <c r="CB29" s="93">
        <f t="shared" si="23"/>
        <v>151250</v>
      </c>
    </row>
    <row r="30" spans="1:80" x14ac:dyDescent="0.25">
      <c r="A30" s="92" t="s">
        <v>40</v>
      </c>
      <c r="B30" s="90" t="s">
        <v>1071</v>
      </c>
      <c r="C30" s="76">
        <f t="shared" si="24"/>
        <v>0.85253381575380194</v>
      </c>
      <c r="D30" s="76">
        <f>IFERROR(s_TR/(s_RadSpec!$H30*s_IFAP_res_adj*s_CF_apple),".")</f>
        <v>3.4101352630152078</v>
      </c>
      <c r="E30" s="76">
        <f>IFERROR(s_TR/(s_RadSpec!$H30*s_IFAS_res_adj*s_CF_asparagus),".")</f>
        <v>3.4101352630152078</v>
      </c>
      <c r="F30" s="76">
        <f>IFERROR(s_TR/(s_RadSpec!$H30*s_IFBT_res_adj*s_CF_beet),".")</f>
        <v>3.4101352630152078</v>
      </c>
      <c r="G30" s="76">
        <f>IFERROR(s_TR/(s_RadSpec!$H30*s_IFBE_res_adj*s_CF_berries),".")</f>
        <v>3.4101352630152078</v>
      </c>
      <c r="H30" s="76">
        <f>IFERROR(s_TR/(s_RadSpec!$H30*s_IFBR_res_adj*s_CF_broccoli),".")</f>
        <v>3.4101352630152078</v>
      </c>
      <c r="I30" s="76">
        <f>IFERROR(s_TR/(s_RadSpec!$H30*s_IFCB_res_adj*s_CF_cabbage),".")</f>
        <v>3.4101352630152078</v>
      </c>
      <c r="J30" s="76">
        <f>IFERROR(s_TR/(s_RadSpec!$H30*s_IFCR_res_adj*s_CF_carrot),".")</f>
        <v>3.4101352630152078</v>
      </c>
      <c r="K30" s="76">
        <f>IFERROR(s_TR/(s_RadSpec!$H30*s_IFCI_res_adj*s_CF_citrus),".")</f>
        <v>3.4101352630152078</v>
      </c>
      <c r="L30" s="76">
        <f>IFERROR(s_TR/(s_RadSpec!$H30*s_IFCO_res_adj*s_CF_corn),".")</f>
        <v>3.4101352630152078</v>
      </c>
      <c r="M30" s="76">
        <f>IFERROR(s_TR/(s_RadSpec!$H30*s_IFCU_res_adj*s_CF_cucumber),".")</f>
        <v>3.4101352630152078</v>
      </c>
      <c r="N30" s="76">
        <f>IFERROR(s_TR/(s_RadSpec!$H30*s_IFLE_res_adj*s_CF_lettuce),".")</f>
        <v>3.4101352630152078</v>
      </c>
      <c r="O30" s="76">
        <f>IFERROR(s_TR/(s_RadSpec!$H30*s_IFLI_res_adj*s_CF_lima_bean),".")</f>
        <v>3.4101352630152078</v>
      </c>
      <c r="P30" s="76">
        <f>IFERROR(s_TR/(s_RadSpec!$H30*s_IFOK_res_adj*s_CF_okra),".")</f>
        <v>3.4101352630152078</v>
      </c>
      <c r="Q30" s="76">
        <f>IFERROR(s_TR/(s_RadSpec!$H30*s_IFON_res_adj*s_CF_onion),".")</f>
        <v>3.4101352630152078</v>
      </c>
      <c r="R30" s="76">
        <f>IFERROR(s_TR/(s_RadSpec!$H30*s_IFPC_res_adj*s_CF_peach),".")</f>
        <v>3.4101352630152078</v>
      </c>
      <c r="S30" s="76">
        <f>IFERROR(s_TR/(s_RadSpec!$H30*s_IFPR_res_adj*s_CF_pear),".")</f>
        <v>3.4101352630152078</v>
      </c>
      <c r="T30" s="76">
        <f>IFERROR(s_TR/(s_RadSpec!$H30*s_IFPE_res_adj*s_CF_peas),".")</f>
        <v>3.4101352630152078</v>
      </c>
      <c r="U30" s="76">
        <f>IFERROR(s_TR/(s_RadSpec!$H30*s_IFPP_res_adj*s_CF_peppers),".")</f>
        <v>3.4101352630152078</v>
      </c>
      <c r="V30" s="76">
        <f>IFERROR(s_TR/(s_RadSpec!$H30*s_IFPT_res_adj*s_CF_potato),".")</f>
        <v>3.4101352630152078</v>
      </c>
      <c r="W30" s="76">
        <f>IFERROR(s_TR/(s_RadSpec!$H30*s_IFPU_res_adj*s_CF_pumpkin),".")</f>
        <v>3.4101352630152078</v>
      </c>
      <c r="X30" s="76">
        <f>IFERROR(s_TR/(s_RadSpec!$H30*s_IFSN_res_adj*s_CF_snap_bean),".")</f>
        <v>3.4101352630152078</v>
      </c>
      <c r="Y30" s="76">
        <f>IFERROR(s_TR/(s_RadSpec!$H30*s_IFST_res_adj*s_CF_strawberry),".")</f>
        <v>3.4101352630152078</v>
      </c>
      <c r="Z30" s="76">
        <f>IFERROR(s_TR/(s_RadSpec!$H30*s_IFTO_res_adj*s_CF_tomato),".")</f>
        <v>3.4101352630152078</v>
      </c>
      <c r="AA30" s="76">
        <f>IFERROR(s_TR/(s_RadSpec!$H30*s_IFRI_res_adj*s_CF_rice),".")</f>
        <v>3.4101352630152078</v>
      </c>
      <c r="AB30" s="76">
        <f>IFERROR(s_TR/(s_RadSpec!$H30*s_IFCG_res_adj*s_CF_cereal),".")</f>
        <v>3.4101352630152078</v>
      </c>
      <c r="AC30" s="76">
        <f t="shared" si="25"/>
        <v>0.85253381575380194</v>
      </c>
      <c r="AD30" s="76">
        <f>IFERROR(s_TR/(s_RadSpec!$H30*s_IFAP_far_adj*s_CF_apple),".")</f>
        <v>3.4101352630152078</v>
      </c>
      <c r="AE30" s="76">
        <f>IFERROR(s_TR/(s_RadSpec!$H30*s_IFAS_far_adj*s_CF_asparagus),".")</f>
        <v>3.4101352630152078</v>
      </c>
      <c r="AF30" s="76">
        <f>IFERROR(s_TR/(s_RadSpec!$H30*s_IFBT_far_adj*s_CF_beet),".")</f>
        <v>3.4101352630152078</v>
      </c>
      <c r="AG30" s="76">
        <f>IFERROR(s_TR/(s_RadSpec!$H30*s_IFBE_far_adj*s_CF_berries),".")</f>
        <v>3.4101352630152078</v>
      </c>
      <c r="AH30" s="76">
        <f>IFERROR(s_TR/(s_RadSpec!$H30*s_IFBR_far_adj*s_CF_broccoli),".")</f>
        <v>3.4101352630152078</v>
      </c>
      <c r="AI30" s="76">
        <f>IFERROR(s_TR/(s_RadSpec!$H30*s_IFCB_far_adj*s_CF_cabbage),".")</f>
        <v>3.4101352630152078</v>
      </c>
      <c r="AJ30" s="76">
        <f>IFERROR(s_TR/(s_RadSpec!$H30*s_IFCR_far_adj*s_CF_carrot),".")</f>
        <v>3.4101352630152078</v>
      </c>
      <c r="AK30" s="76">
        <f>IFERROR(s_TR/(s_RadSpec!$H30*s_IFCI_far_adj*s_CF_citrus),".")</f>
        <v>3.4101352630152078</v>
      </c>
      <c r="AL30" s="76">
        <f>IFERROR(s_TR/(s_RadSpec!$H30*s_IFCO_far_adj*s_CF_corn),".")</f>
        <v>3.4101352630152078</v>
      </c>
      <c r="AM30" s="76">
        <f>IFERROR(s_TR/(s_RadSpec!$H30*s_IFCU_far_adj*s_CF_cucumber),".")</f>
        <v>3.4101352630152078</v>
      </c>
      <c r="AN30" s="76">
        <f>IFERROR(s_TR/(s_RadSpec!$H30*s_IFLE_far_adj*s_CF_lettuce),".")</f>
        <v>3.4101352630152078</v>
      </c>
      <c r="AO30" s="76">
        <f>IFERROR(s_TR/(s_RadSpec!$H30*s_IFLI_far_adj*s_CF_lima_bean),".")</f>
        <v>3.4101352630152078</v>
      </c>
      <c r="AP30" s="76">
        <f>IFERROR(s_TR/(s_RadSpec!$H30*s_IFOK_far_adj*s_CF_okra),".")</f>
        <v>3.4101352630152078</v>
      </c>
      <c r="AQ30" s="76">
        <f>IFERROR(s_TR/(s_RadSpec!$H30*s_IFON_far_adj*s_CF_onion),".")</f>
        <v>3.4101352630152078</v>
      </c>
      <c r="AR30" s="76">
        <f>IFERROR(s_TR/(s_RadSpec!$H30*s_IFPC_far_adj*s_CF_peach),".")</f>
        <v>3.4101352630152078</v>
      </c>
      <c r="AS30" s="76">
        <f>IFERROR(s_TR/(s_RadSpec!$H30*s_IFPR_far_adj*s_CF_pear),".")</f>
        <v>3.4101352630152078</v>
      </c>
      <c r="AT30" s="76">
        <f>IFERROR(s_TR/(s_RadSpec!$H30*s_IFPE_far_adj*s_CF_peas),".")</f>
        <v>3.4101352630152078</v>
      </c>
      <c r="AU30" s="76">
        <f>IFERROR(s_TR/(s_RadSpec!$H30*s_IFPP_far_adj*s_CF_peppers),".")</f>
        <v>3.4101352630152078</v>
      </c>
      <c r="AV30" s="76">
        <f>IFERROR(s_TR/(s_RadSpec!$H30*s_IFPT_far_adj*s_CF_potato),".")</f>
        <v>3.4101352630152078</v>
      </c>
      <c r="AW30" s="76">
        <f>IFERROR(s_TR/(s_RadSpec!$H30*s_IFPU_far_adj*s_CF_pumpkin),".")</f>
        <v>3.4101352630152078</v>
      </c>
      <c r="AX30" s="76">
        <f>IFERROR(s_TR/(s_RadSpec!$H30*s_IFSN_far_adj*s_CF_snap_bean),".")</f>
        <v>3.4101352630152078</v>
      </c>
      <c r="AY30" s="76">
        <f>IFERROR(s_TR/(s_RadSpec!$H30*s_IFST_far_adj*s_CF_strawberry),".")</f>
        <v>3.4101352630152078</v>
      </c>
      <c r="AZ30" s="76">
        <f>IFERROR(s_TR/(s_RadSpec!$H30*s_IFTO_far_adj*s_CF_tomato),".")</f>
        <v>3.4101352630152078</v>
      </c>
      <c r="BA30" s="76">
        <f>IFERROR(s_TR/(s_RadSpec!$H30*s_IFRI_far_adj*s_CF_rice),".")</f>
        <v>3.4101352630152078</v>
      </c>
      <c r="BB30" s="76">
        <f>IFERROR(s_TR/(s_RadSpec!$H30*s_IFCG_far_adj*s_CF_cereal),".")</f>
        <v>3.4101352630152078</v>
      </c>
      <c r="BC30" s="93">
        <f t="shared" si="26"/>
        <v>605000</v>
      </c>
      <c r="BD30" s="93">
        <f t="shared" si="0"/>
        <v>151250</v>
      </c>
      <c r="BE30" s="93">
        <f t="shared" si="1"/>
        <v>151250</v>
      </c>
      <c r="BF30" s="93">
        <f t="shared" si="2"/>
        <v>151250</v>
      </c>
      <c r="BG30" s="93">
        <f t="shared" si="3"/>
        <v>151250</v>
      </c>
      <c r="BH30" s="93">
        <f t="shared" si="4"/>
        <v>151250</v>
      </c>
      <c r="BI30" s="93">
        <f t="shared" si="5"/>
        <v>151250</v>
      </c>
      <c r="BJ30" s="93">
        <f t="shared" si="6"/>
        <v>151250</v>
      </c>
      <c r="BK30" s="93">
        <f t="shared" si="7"/>
        <v>151250</v>
      </c>
      <c r="BL30" s="93">
        <f t="shared" si="8"/>
        <v>151250</v>
      </c>
      <c r="BM30" s="93">
        <f t="shared" si="9"/>
        <v>151250</v>
      </c>
      <c r="BN30" s="93">
        <f t="shared" si="10"/>
        <v>151250</v>
      </c>
      <c r="BO30" s="93">
        <f t="shared" si="11"/>
        <v>151250</v>
      </c>
      <c r="BP30" s="93">
        <f t="shared" si="12"/>
        <v>151250</v>
      </c>
      <c r="BQ30" s="93">
        <f t="shared" si="13"/>
        <v>151250</v>
      </c>
      <c r="BR30" s="93">
        <f t="shared" si="14"/>
        <v>151250</v>
      </c>
      <c r="BS30" s="93">
        <f t="shared" si="15"/>
        <v>151250</v>
      </c>
      <c r="BT30" s="93">
        <f t="shared" si="27"/>
        <v>151250</v>
      </c>
      <c r="BU30" s="93">
        <f t="shared" si="16"/>
        <v>151250</v>
      </c>
      <c r="BV30" s="93">
        <f t="shared" si="17"/>
        <v>151250</v>
      </c>
      <c r="BW30" s="93">
        <f t="shared" si="18"/>
        <v>151250</v>
      </c>
      <c r="BX30" s="93">
        <f t="shared" si="19"/>
        <v>151250</v>
      </c>
      <c r="BY30" s="93">
        <f t="shared" si="20"/>
        <v>151250</v>
      </c>
      <c r="BZ30" s="93">
        <f t="shared" si="21"/>
        <v>151250</v>
      </c>
      <c r="CA30" s="93">
        <f t="shared" si="22"/>
        <v>151250</v>
      </c>
      <c r="CB30" s="93">
        <f t="shared" si="23"/>
        <v>151250</v>
      </c>
    </row>
    <row r="31" spans="1:80" x14ac:dyDescent="0.25">
      <c r="A31" s="95" t="s">
        <v>13</v>
      </c>
      <c r="B31" s="95" t="s">
        <v>1071</v>
      </c>
      <c r="C31" s="96">
        <f t="shared" ref="C31:AB31" si="28">IFERROR(1/SUM(C32:C44),0)</f>
        <v>7.9543221044372517E-2</v>
      </c>
      <c r="D31" s="96">
        <f t="shared" si="28"/>
        <v>0.31817288417749007</v>
      </c>
      <c r="E31" s="96">
        <f t="shared" si="28"/>
        <v>0.31817288417749007</v>
      </c>
      <c r="F31" s="96">
        <f t="shared" si="28"/>
        <v>0.31817288417749007</v>
      </c>
      <c r="G31" s="96">
        <f t="shared" si="28"/>
        <v>0.31817288417749007</v>
      </c>
      <c r="H31" s="96">
        <f t="shared" si="28"/>
        <v>0.31817288417749007</v>
      </c>
      <c r="I31" s="96">
        <f t="shared" si="28"/>
        <v>0.31817288417749007</v>
      </c>
      <c r="J31" s="96">
        <f t="shared" si="28"/>
        <v>0.31817288417749007</v>
      </c>
      <c r="K31" s="96">
        <f t="shared" si="28"/>
        <v>0.31817288417749007</v>
      </c>
      <c r="L31" s="96">
        <f t="shared" si="28"/>
        <v>0.31817288417749007</v>
      </c>
      <c r="M31" s="96">
        <f t="shared" si="28"/>
        <v>0.31817288417749007</v>
      </c>
      <c r="N31" s="96">
        <f t="shared" si="28"/>
        <v>0.31817288417749007</v>
      </c>
      <c r="O31" s="96">
        <f t="shared" si="28"/>
        <v>0.31817288417749007</v>
      </c>
      <c r="P31" s="96">
        <f t="shared" si="28"/>
        <v>0.31817288417749007</v>
      </c>
      <c r="Q31" s="96">
        <f t="shared" si="28"/>
        <v>0.31817288417749007</v>
      </c>
      <c r="R31" s="96">
        <f t="shared" si="28"/>
        <v>0.31817288417749007</v>
      </c>
      <c r="S31" s="96">
        <f t="shared" si="28"/>
        <v>0.31817288417749007</v>
      </c>
      <c r="T31" s="96">
        <f t="shared" si="28"/>
        <v>0.31817288417749007</v>
      </c>
      <c r="U31" s="96">
        <f t="shared" ref="U31" si="29">IFERROR(1/SUM(U32:U44),0)</f>
        <v>0.31817288417749007</v>
      </c>
      <c r="V31" s="96">
        <f t="shared" si="28"/>
        <v>0.31817288417749007</v>
      </c>
      <c r="W31" s="96">
        <f t="shared" si="28"/>
        <v>0.31817288417749007</v>
      </c>
      <c r="X31" s="96">
        <f t="shared" si="28"/>
        <v>0.31817288417749007</v>
      </c>
      <c r="Y31" s="96">
        <f t="shared" si="28"/>
        <v>0.31817288417749007</v>
      </c>
      <c r="Z31" s="96">
        <f t="shared" si="28"/>
        <v>0.31817288417749007</v>
      </c>
      <c r="AA31" s="96">
        <f t="shared" si="28"/>
        <v>0.31817288417749007</v>
      </c>
      <c r="AB31" s="96">
        <f t="shared" si="28"/>
        <v>0.31817288417749007</v>
      </c>
      <c r="AC31" s="96">
        <f t="shared" ref="AC31" si="30">IFERROR(1/SUM(AC32:AC44),0)</f>
        <v>7.9543221044372517E-2</v>
      </c>
      <c r="AD31" s="96">
        <f t="shared" ref="AD31:BB31" si="31">IFERROR(1/SUM(AD32:AD44),0)</f>
        <v>0.31817288417749007</v>
      </c>
      <c r="AE31" s="96">
        <f t="shared" si="31"/>
        <v>0.31817288417749007</v>
      </c>
      <c r="AF31" s="96">
        <f t="shared" si="31"/>
        <v>0.31817288417749007</v>
      </c>
      <c r="AG31" s="96">
        <f t="shared" si="31"/>
        <v>0.31817288417749007</v>
      </c>
      <c r="AH31" s="96">
        <f t="shared" si="31"/>
        <v>0.31817288417749007</v>
      </c>
      <c r="AI31" s="96">
        <f t="shared" si="31"/>
        <v>0.31817288417749007</v>
      </c>
      <c r="AJ31" s="96">
        <f t="shared" si="31"/>
        <v>0.31817288417749007</v>
      </c>
      <c r="AK31" s="96">
        <f t="shared" si="31"/>
        <v>0.31817288417749007</v>
      </c>
      <c r="AL31" s="96">
        <f t="shared" si="31"/>
        <v>0.31817288417749007</v>
      </c>
      <c r="AM31" s="96">
        <f t="shared" si="31"/>
        <v>0.31817288417749007</v>
      </c>
      <c r="AN31" s="96">
        <f t="shared" si="31"/>
        <v>0.31817288417749007</v>
      </c>
      <c r="AO31" s="96">
        <f t="shared" si="31"/>
        <v>0.31817288417749007</v>
      </c>
      <c r="AP31" s="96">
        <f t="shared" si="31"/>
        <v>0.31817288417749007</v>
      </c>
      <c r="AQ31" s="96">
        <f t="shared" si="31"/>
        <v>0.31817288417749007</v>
      </c>
      <c r="AR31" s="96">
        <f t="shared" si="31"/>
        <v>0.31817288417749007</v>
      </c>
      <c r="AS31" s="96">
        <f t="shared" si="31"/>
        <v>0.31817288417749007</v>
      </c>
      <c r="AT31" s="96">
        <f t="shared" si="31"/>
        <v>0.31817288417749007</v>
      </c>
      <c r="AU31" s="96">
        <f t="shared" ref="AU31" si="32">IFERROR(1/SUM(AU32:AU44),0)</f>
        <v>0.31817288417749007</v>
      </c>
      <c r="AV31" s="96">
        <f t="shared" si="31"/>
        <v>0.31817288417749007</v>
      </c>
      <c r="AW31" s="96">
        <f t="shared" si="31"/>
        <v>0.31817288417749007</v>
      </c>
      <c r="AX31" s="96">
        <f t="shared" si="31"/>
        <v>0.31817288417749007</v>
      </c>
      <c r="AY31" s="96">
        <f t="shared" si="31"/>
        <v>0.31817288417749007</v>
      </c>
      <c r="AZ31" s="96">
        <f t="shared" si="31"/>
        <v>0.31817288417749007</v>
      </c>
      <c r="BA31" s="96">
        <f t="shared" si="31"/>
        <v>0.31817288417749007</v>
      </c>
      <c r="BB31" s="96">
        <f t="shared" si="31"/>
        <v>0.31817288417749007</v>
      </c>
      <c r="BC31" s="97">
        <f t="shared" si="26"/>
        <v>6.2858923312557509E-4</v>
      </c>
      <c r="BD31" s="97">
        <f>IFERROR(IF(SUM(BD32:BD44)&gt;0.01,1-EXP(-(SUM(BD32:BD44))),SUM(BD32:BD44)),".")</f>
        <v>1.5714730828139377E-4</v>
      </c>
      <c r="BE31" s="97">
        <f t="shared" ref="BE31:BZ31" si="33">IFERROR(IF(SUM(BE32:BE44)&gt;0.01,1-EXP(-(SUM(BE32:BE44))),SUM(BE32:BE44)),".")</f>
        <v>1.5714730828139377E-4</v>
      </c>
      <c r="BF31" s="97">
        <f t="shared" si="33"/>
        <v>1.5714730828139377E-4</v>
      </c>
      <c r="BG31" s="97">
        <f t="shared" si="33"/>
        <v>1.5714730828139377E-4</v>
      </c>
      <c r="BH31" s="97">
        <f t="shared" si="33"/>
        <v>1.5714730828139377E-4</v>
      </c>
      <c r="BI31" s="97">
        <f t="shared" si="33"/>
        <v>1.5714730828139377E-4</v>
      </c>
      <c r="BJ31" s="97">
        <f t="shared" si="33"/>
        <v>1.5714730828139377E-4</v>
      </c>
      <c r="BK31" s="97">
        <f t="shared" si="33"/>
        <v>1.5714730828139377E-4</v>
      </c>
      <c r="BL31" s="97">
        <f t="shared" si="33"/>
        <v>1.5714730828139377E-4</v>
      </c>
      <c r="BM31" s="97">
        <f t="shared" si="33"/>
        <v>1.5714730828139377E-4</v>
      </c>
      <c r="BN31" s="97">
        <f t="shared" si="33"/>
        <v>1.5714730828139377E-4</v>
      </c>
      <c r="BO31" s="97">
        <f t="shared" si="33"/>
        <v>1.5714730828139377E-4</v>
      </c>
      <c r="BP31" s="97">
        <f t="shared" si="33"/>
        <v>1.5714730828139377E-4</v>
      </c>
      <c r="BQ31" s="97">
        <f t="shared" si="33"/>
        <v>1.5714730828139377E-4</v>
      </c>
      <c r="BR31" s="97">
        <f t="shared" si="33"/>
        <v>1.5714730828139377E-4</v>
      </c>
      <c r="BS31" s="97">
        <f t="shared" si="33"/>
        <v>1.5714730828139377E-4</v>
      </c>
      <c r="BT31" s="97">
        <f t="shared" si="33"/>
        <v>1.5714730828139377E-4</v>
      </c>
      <c r="BU31" s="97">
        <f t="shared" ref="BU31" si="34">IFERROR(IF(SUM(BU32:BU44)&gt;0.01,1-EXP(-(SUM(BU32:BU44))),SUM(BU32:BU44)),".")</f>
        <v>1.5714730828139377E-4</v>
      </c>
      <c r="BV31" s="97">
        <f t="shared" si="33"/>
        <v>1.5714730828139377E-4</v>
      </c>
      <c r="BW31" s="97">
        <f t="shared" si="33"/>
        <v>1.5714730828139377E-4</v>
      </c>
      <c r="BX31" s="97">
        <f t="shared" si="33"/>
        <v>1.5714730828139377E-4</v>
      </c>
      <c r="BY31" s="97">
        <f t="shared" si="33"/>
        <v>1.5714730828139377E-4</v>
      </c>
      <c r="BZ31" s="97">
        <f t="shared" si="33"/>
        <v>1.5714730828139377E-4</v>
      </c>
      <c r="CA31" s="97">
        <f>IFERROR(IF(SUM(CA32:CA44)&gt;0.01,1-EXP(-(SUM(CA32:CA44))),SUM(CA32:CA44)),".")</f>
        <v>1.5714730828139377E-4</v>
      </c>
      <c r="CB31" s="97">
        <f>IFERROR(IF(SUM(CB32:CB44)&gt;0.01,1-EXP(-(SUM(CB32:CB44))),SUM(CB32:CB44)),".")</f>
        <v>1.5714730828139377E-4</v>
      </c>
    </row>
    <row r="32" spans="1:80" x14ac:dyDescent="0.25">
      <c r="A32" s="99" t="s">
        <v>1099</v>
      </c>
      <c r="B32" s="90">
        <v>1</v>
      </c>
      <c r="C32" s="100">
        <f t="shared" ref="C32" si="35">IFERROR($B32/C3,0)</f>
        <v>1.6161969999999999</v>
      </c>
      <c r="D32" s="100">
        <f t="shared" ref="D32:AC32" si="36">IFERROR($B32/D3,0)</f>
        <v>0.40404924999999997</v>
      </c>
      <c r="E32" s="100">
        <f t="shared" si="36"/>
        <v>0.40404924999999997</v>
      </c>
      <c r="F32" s="100">
        <f t="shared" si="36"/>
        <v>0.40404924999999997</v>
      </c>
      <c r="G32" s="100">
        <f t="shared" si="36"/>
        <v>0.40404924999999997</v>
      </c>
      <c r="H32" s="100">
        <f t="shared" si="36"/>
        <v>0.40404924999999997</v>
      </c>
      <c r="I32" s="100">
        <f t="shared" si="36"/>
        <v>0.40404924999999997</v>
      </c>
      <c r="J32" s="100">
        <f t="shared" si="36"/>
        <v>0.40404924999999997</v>
      </c>
      <c r="K32" s="100">
        <f t="shared" si="36"/>
        <v>0.40404924999999997</v>
      </c>
      <c r="L32" s="100">
        <f t="shared" si="36"/>
        <v>0.40404924999999997</v>
      </c>
      <c r="M32" s="100">
        <f t="shared" si="36"/>
        <v>0.40404924999999997</v>
      </c>
      <c r="N32" s="100">
        <f t="shared" si="36"/>
        <v>0.40404924999999997</v>
      </c>
      <c r="O32" s="100">
        <f t="shared" si="36"/>
        <v>0.40404924999999997</v>
      </c>
      <c r="P32" s="100">
        <f t="shared" si="36"/>
        <v>0.40404924999999997</v>
      </c>
      <c r="Q32" s="100">
        <f t="shared" si="36"/>
        <v>0.40404924999999997</v>
      </c>
      <c r="R32" s="100">
        <f t="shared" si="36"/>
        <v>0.40404924999999997</v>
      </c>
      <c r="S32" s="100">
        <f t="shared" si="36"/>
        <v>0.40404924999999997</v>
      </c>
      <c r="T32" s="100">
        <f t="shared" si="36"/>
        <v>0.40404924999999997</v>
      </c>
      <c r="U32" s="100">
        <f t="shared" ref="U32" si="37">IFERROR($B32/U3,0)</f>
        <v>0.40404924999999997</v>
      </c>
      <c r="V32" s="100">
        <f t="shared" si="36"/>
        <v>0.40404924999999997</v>
      </c>
      <c r="W32" s="100">
        <f t="shared" si="36"/>
        <v>0.40404924999999997</v>
      </c>
      <c r="X32" s="100">
        <f t="shared" si="36"/>
        <v>0.40404924999999997</v>
      </c>
      <c r="Y32" s="100">
        <f t="shared" si="36"/>
        <v>0.40404924999999997</v>
      </c>
      <c r="Z32" s="100">
        <f t="shared" si="36"/>
        <v>0.40404924999999997</v>
      </c>
      <c r="AA32" s="100">
        <f t="shared" si="36"/>
        <v>0.40404924999999997</v>
      </c>
      <c r="AB32" s="100">
        <f t="shared" si="36"/>
        <v>0.40404924999999997</v>
      </c>
      <c r="AC32" s="100">
        <f t="shared" si="36"/>
        <v>1.6161969999999999</v>
      </c>
      <c r="AD32" s="100">
        <f t="shared" ref="AD32:BB32" si="38">IFERROR($B32/AD3,0)</f>
        <v>0.40404924999999997</v>
      </c>
      <c r="AE32" s="100">
        <f t="shared" si="38"/>
        <v>0.40404924999999997</v>
      </c>
      <c r="AF32" s="100">
        <f t="shared" si="38"/>
        <v>0.40404924999999997</v>
      </c>
      <c r="AG32" s="100">
        <f t="shared" si="38"/>
        <v>0.40404924999999997</v>
      </c>
      <c r="AH32" s="100">
        <f t="shared" si="38"/>
        <v>0.40404924999999997</v>
      </c>
      <c r="AI32" s="100">
        <f t="shared" si="38"/>
        <v>0.40404924999999997</v>
      </c>
      <c r="AJ32" s="100">
        <f t="shared" si="38"/>
        <v>0.40404924999999997</v>
      </c>
      <c r="AK32" s="100">
        <f t="shared" si="38"/>
        <v>0.40404924999999997</v>
      </c>
      <c r="AL32" s="100">
        <f t="shared" si="38"/>
        <v>0.40404924999999997</v>
      </c>
      <c r="AM32" s="100">
        <f t="shared" si="38"/>
        <v>0.40404924999999997</v>
      </c>
      <c r="AN32" s="100">
        <f t="shared" si="38"/>
        <v>0.40404924999999997</v>
      </c>
      <c r="AO32" s="100">
        <f t="shared" si="38"/>
        <v>0.40404924999999997</v>
      </c>
      <c r="AP32" s="100">
        <f t="shared" si="38"/>
        <v>0.40404924999999997</v>
      </c>
      <c r="AQ32" s="100">
        <f t="shared" si="38"/>
        <v>0.40404924999999997</v>
      </c>
      <c r="AR32" s="100">
        <f t="shared" si="38"/>
        <v>0.40404924999999997</v>
      </c>
      <c r="AS32" s="100">
        <f t="shared" si="38"/>
        <v>0.40404924999999997</v>
      </c>
      <c r="AT32" s="100">
        <f t="shared" si="38"/>
        <v>0.40404924999999997</v>
      </c>
      <c r="AU32" s="100">
        <f t="shared" ref="AU32" si="39">IFERROR($B32/AU3,0)</f>
        <v>0.40404924999999997</v>
      </c>
      <c r="AV32" s="100">
        <f t="shared" si="38"/>
        <v>0.40404924999999997</v>
      </c>
      <c r="AW32" s="100">
        <f t="shared" si="38"/>
        <v>0.40404924999999997</v>
      </c>
      <c r="AX32" s="100">
        <f t="shared" si="38"/>
        <v>0.40404924999999997</v>
      </c>
      <c r="AY32" s="100">
        <f t="shared" si="38"/>
        <v>0.40404924999999997</v>
      </c>
      <c r="AZ32" s="100">
        <f t="shared" si="38"/>
        <v>0.40404924999999997</v>
      </c>
      <c r="BA32" s="100">
        <f t="shared" si="38"/>
        <v>0.40404924999999997</v>
      </c>
      <c r="BB32" s="100">
        <f t="shared" si="38"/>
        <v>0.40404924999999997</v>
      </c>
      <c r="BC32" s="101">
        <f t="shared" si="26"/>
        <v>8.080985000000001E-5</v>
      </c>
      <c r="BD32" s="101">
        <f>IFERROR(s_RadSpec!$H$3*(BD3/$B32),".")</f>
        <v>2.0202462500000003E-5</v>
      </c>
      <c r="BE32" s="101">
        <f>IFERROR(s_RadSpec!$H$3*(BE3/$B32),".")</f>
        <v>2.0202462500000003E-5</v>
      </c>
      <c r="BF32" s="101">
        <f>IFERROR(s_RadSpec!$H$3*(BF3/$B32),".")</f>
        <v>2.0202462500000003E-5</v>
      </c>
      <c r="BG32" s="101">
        <f>IFERROR(s_RadSpec!$H$3*(BG3/$B32),".")</f>
        <v>2.0202462500000003E-5</v>
      </c>
      <c r="BH32" s="101">
        <f>IFERROR(s_RadSpec!$H$3*(BH3/$B32),".")</f>
        <v>2.0202462500000003E-5</v>
      </c>
      <c r="BI32" s="101">
        <f>IFERROR(s_RadSpec!$H$3*(BI3/$B32),".")</f>
        <v>2.0202462500000003E-5</v>
      </c>
      <c r="BJ32" s="101">
        <f>IFERROR(s_RadSpec!$H$3*(BJ3/$B32),".")</f>
        <v>2.0202462500000003E-5</v>
      </c>
      <c r="BK32" s="101">
        <f>IFERROR(s_RadSpec!$H$3*(BK3/$B32),".")</f>
        <v>2.0202462500000003E-5</v>
      </c>
      <c r="BL32" s="101">
        <f>IFERROR(s_RadSpec!$H$3*(BL3/$B32),".")</f>
        <v>2.0202462500000003E-5</v>
      </c>
      <c r="BM32" s="101">
        <f>IFERROR(s_RadSpec!$H$3*(BM3/$B32),".")</f>
        <v>2.0202462500000003E-5</v>
      </c>
      <c r="BN32" s="101">
        <f>IFERROR(s_RadSpec!$H$3*(BN3/$B32),".")</f>
        <v>2.0202462500000003E-5</v>
      </c>
      <c r="BO32" s="101">
        <f>IFERROR(s_RadSpec!$H$3*(BO3/$B32),".")</f>
        <v>2.0202462500000003E-5</v>
      </c>
      <c r="BP32" s="101">
        <f>IFERROR(s_RadSpec!$H$3*(BP3/$B32),".")</f>
        <v>2.0202462500000003E-5</v>
      </c>
      <c r="BQ32" s="101">
        <f>IFERROR(s_RadSpec!$H$3*(BQ3/$B32),".")</f>
        <v>2.0202462500000003E-5</v>
      </c>
      <c r="BR32" s="101">
        <f>IFERROR(s_RadSpec!$H$3*(BR3/$B32),".")</f>
        <v>2.0202462500000003E-5</v>
      </c>
      <c r="BS32" s="101">
        <f>IFERROR(s_RadSpec!$H$3*(BS3/$B32),".")</f>
        <v>2.0202462500000003E-5</v>
      </c>
      <c r="BT32" s="101">
        <f>IFERROR(s_RadSpec!$H$3*(BT3/$B32),".")</f>
        <v>2.0202462500000003E-5</v>
      </c>
      <c r="BU32" s="101">
        <f>IFERROR(s_RadSpec!$H$3*(BU3/$B32),".")</f>
        <v>2.0202462500000003E-5</v>
      </c>
      <c r="BV32" s="101">
        <f>IFERROR(s_RadSpec!$H$3*(BV3/$B32),".")</f>
        <v>2.0202462500000003E-5</v>
      </c>
      <c r="BW32" s="101">
        <f>IFERROR(s_RadSpec!$H$3*(BW3/$B32),".")</f>
        <v>2.0202462500000003E-5</v>
      </c>
      <c r="BX32" s="101">
        <f>IFERROR(s_RadSpec!$H$3*(BX3/$B32),".")</f>
        <v>2.0202462500000003E-5</v>
      </c>
      <c r="BY32" s="101">
        <f>IFERROR(s_RadSpec!$H$3*(BY3/$B32),".")</f>
        <v>2.0202462500000003E-5</v>
      </c>
      <c r="BZ32" s="101">
        <f>IFERROR(s_RadSpec!$H$3*(BZ3/$B32),".")</f>
        <v>2.0202462500000003E-5</v>
      </c>
      <c r="CA32" s="101">
        <f>IFERROR(s_RadSpec!$H$3*(CA3/$B32),".")</f>
        <v>2.0202462500000003E-5</v>
      </c>
      <c r="CB32" s="101">
        <f>IFERROR(s_RadSpec!$H$3*(CB3/$B32),".")</f>
        <v>2.0202462500000003E-5</v>
      </c>
    </row>
    <row r="33" spans="1:80" x14ac:dyDescent="0.25">
      <c r="A33" s="99" t="s">
        <v>1075</v>
      </c>
      <c r="B33" s="90">
        <v>1</v>
      </c>
      <c r="C33" s="100">
        <f t="shared" ref="C33" si="40">IFERROR($B33/C13,0)</f>
        <v>1.002848</v>
      </c>
      <c r="D33" s="100">
        <f t="shared" ref="D33:AC33" si="41">IFERROR($B33/D13,0)</f>
        <v>0.25071199999999999</v>
      </c>
      <c r="E33" s="100">
        <f t="shared" si="41"/>
        <v>0.25071199999999999</v>
      </c>
      <c r="F33" s="100">
        <f t="shared" si="41"/>
        <v>0.25071199999999999</v>
      </c>
      <c r="G33" s="100">
        <f t="shared" si="41"/>
        <v>0.25071199999999999</v>
      </c>
      <c r="H33" s="100">
        <f t="shared" si="41"/>
        <v>0.25071199999999999</v>
      </c>
      <c r="I33" s="100">
        <f t="shared" si="41"/>
        <v>0.25071199999999999</v>
      </c>
      <c r="J33" s="100">
        <f t="shared" si="41"/>
        <v>0.25071199999999999</v>
      </c>
      <c r="K33" s="100">
        <f t="shared" si="41"/>
        <v>0.25071199999999999</v>
      </c>
      <c r="L33" s="100">
        <f t="shared" si="41"/>
        <v>0.25071199999999999</v>
      </c>
      <c r="M33" s="100">
        <f t="shared" si="41"/>
        <v>0.25071199999999999</v>
      </c>
      <c r="N33" s="100">
        <f t="shared" si="41"/>
        <v>0.25071199999999999</v>
      </c>
      <c r="O33" s="100">
        <f t="shared" si="41"/>
        <v>0.25071199999999999</v>
      </c>
      <c r="P33" s="100">
        <f t="shared" si="41"/>
        <v>0.25071199999999999</v>
      </c>
      <c r="Q33" s="100">
        <f t="shared" si="41"/>
        <v>0.25071199999999999</v>
      </c>
      <c r="R33" s="100">
        <f t="shared" si="41"/>
        <v>0.25071199999999999</v>
      </c>
      <c r="S33" s="100">
        <f t="shared" si="41"/>
        <v>0.25071199999999999</v>
      </c>
      <c r="T33" s="100">
        <f t="shared" si="41"/>
        <v>0.25071199999999999</v>
      </c>
      <c r="U33" s="100">
        <f t="shared" ref="U33" si="42">IFERROR($B33/U13,0)</f>
        <v>0.25071199999999999</v>
      </c>
      <c r="V33" s="100">
        <f t="shared" si="41"/>
        <v>0.25071199999999999</v>
      </c>
      <c r="W33" s="100">
        <f t="shared" si="41"/>
        <v>0.25071199999999999</v>
      </c>
      <c r="X33" s="100">
        <f t="shared" si="41"/>
        <v>0.25071199999999999</v>
      </c>
      <c r="Y33" s="100">
        <f t="shared" si="41"/>
        <v>0.25071199999999999</v>
      </c>
      <c r="Z33" s="100">
        <f t="shared" si="41"/>
        <v>0.25071199999999999</v>
      </c>
      <c r="AA33" s="100">
        <f t="shared" si="41"/>
        <v>0.25071199999999999</v>
      </c>
      <c r="AB33" s="100">
        <f t="shared" si="41"/>
        <v>0.25071199999999999</v>
      </c>
      <c r="AC33" s="100">
        <f t="shared" si="41"/>
        <v>1.002848</v>
      </c>
      <c r="AD33" s="100">
        <f t="shared" ref="AD33:BB33" si="43">IFERROR($B33/AD13,0)</f>
        <v>0.25071199999999999</v>
      </c>
      <c r="AE33" s="100">
        <f t="shared" si="43"/>
        <v>0.25071199999999999</v>
      </c>
      <c r="AF33" s="100">
        <f t="shared" si="43"/>
        <v>0.25071199999999999</v>
      </c>
      <c r="AG33" s="100">
        <f t="shared" si="43"/>
        <v>0.25071199999999999</v>
      </c>
      <c r="AH33" s="100">
        <f t="shared" si="43"/>
        <v>0.25071199999999999</v>
      </c>
      <c r="AI33" s="100">
        <f t="shared" si="43"/>
        <v>0.25071199999999999</v>
      </c>
      <c r="AJ33" s="100">
        <f t="shared" si="43"/>
        <v>0.25071199999999999</v>
      </c>
      <c r="AK33" s="100">
        <f t="shared" si="43"/>
        <v>0.25071199999999999</v>
      </c>
      <c r="AL33" s="100">
        <f t="shared" si="43"/>
        <v>0.25071199999999999</v>
      </c>
      <c r="AM33" s="100">
        <f t="shared" si="43"/>
        <v>0.25071199999999999</v>
      </c>
      <c r="AN33" s="100">
        <f t="shared" si="43"/>
        <v>0.25071199999999999</v>
      </c>
      <c r="AO33" s="100">
        <f t="shared" si="43"/>
        <v>0.25071199999999999</v>
      </c>
      <c r="AP33" s="100">
        <f t="shared" si="43"/>
        <v>0.25071199999999999</v>
      </c>
      <c r="AQ33" s="100">
        <f t="shared" si="43"/>
        <v>0.25071199999999999</v>
      </c>
      <c r="AR33" s="100">
        <f t="shared" si="43"/>
        <v>0.25071199999999999</v>
      </c>
      <c r="AS33" s="100">
        <f t="shared" si="43"/>
        <v>0.25071199999999999</v>
      </c>
      <c r="AT33" s="100">
        <f t="shared" si="43"/>
        <v>0.25071199999999999</v>
      </c>
      <c r="AU33" s="100">
        <f t="shared" ref="AU33" si="44">IFERROR($B33/AU13,0)</f>
        <v>0.25071199999999999</v>
      </c>
      <c r="AV33" s="100">
        <f t="shared" si="43"/>
        <v>0.25071199999999999</v>
      </c>
      <c r="AW33" s="100">
        <f t="shared" si="43"/>
        <v>0.25071199999999999</v>
      </c>
      <c r="AX33" s="100">
        <f t="shared" si="43"/>
        <v>0.25071199999999999</v>
      </c>
      <c r="AY33" s="100">
        <f t="shared" si="43"/>
        <v>0.25071199999999999</v>
      </c>
      <c r="AZ33" s="100">
        <f t="shared" si="43"/>
        <v>0.25071199999999999</v>
      </c>
      <c r="BA33" s="100">
        <f t="shared" si="43"/>
        <v>0.25071199999999999</v>
      </c>
      <c r="BB33" s="100">
        <f t="shared" si="43"/>
        <v>0.25071199999999999</v>
      </c>
      <c r="BC33" s="101">
        <f t="shared" si="26"/>
        <v>5.0142400000000003E-5</v>
      </c>
      <c r="BD33" s="101">
        <f>IFERROR(s_RadSpec!$H$13*(BD13/$B33),".")</f>
        <v>1.2535600000000001E-5</v>
      </c>
      <c r="BE33" s="101">
        <f>IFERROR(s_RadSpec!$H$13*(BE13/$B33),".")</f>
        <v>1.2535600000000001E-5</v>
      </c>
      <c r="BF33" s="101">
        <f>IFERROR(s_RadSpec!$H$13*(BF13/$B33),".")</f>
        <v>1.2535600000000001E-5</v>
      </c>
      <c r="BG33" s="101">
        <f>IFERROR(s_RadSpec!$H$13*(BG13/$B33),".")</f>
        <v>1.2535600000000001E-5</v>
      </c>
      <c r="BH33" s="101">
        <f>IFERROR(s_RadSpec!$H$13*(BH13/$B33),".")</f>
        <v>1.2535600000000001E-5</v>
      </c>
      <c r="BI33" s="101">
        <f>IFERROR(s_RadSpec!$H$13*(BI13/$B33),".")</f>
        <v>1.2535600000000001E-5</v>
      </c>
      <c r="BJ33" s="101">
        <f>IFERROR(s_RadSpec!$H$13*(BJ13/$B33),".")</f>
        <v>1.2535600000000001E-5</v>
      </c>
      <c r="BK33" s="101">
        <f>IFERROR(s_RadSpec!$H$13*(BK13/$B33),".")</f>
        <v>1.2535600000000001E-5</v>
      </c>
      <c r="BL33" s="101">
        <f>IFERROR(s_RadSpec!$H$13*(BL13/$B33),".")</f>
        <v>1.2535600000000001E-5</v>
      </c>
      <c r="BM33" s="101">
        <f>IFERROR(s_RadSpec!$H$13*(BM13/$B33),".")</f>
        <v>1.2535600000000001E-5</v>
      </c>
      <c r="BN33" s="101">
        <f>IFERROR(s_RadSpec!$H$13*(BN13/$B33),".")</f>
        <v>1.2535600000000001E-5</v>
      </c>
      <c r="BO33" s="101">
        <f>IFERROR(s_RadSpec!$H$13*(BO13/$B33),".")</f>
        <v>1.2535600000000001E-5</v>
      </c>
      <c r="BP33" s="101">
        <f>IFERROR(s_RadSpec!$H$13*(BP13/$B33),".")</f>
        <v>1.2535600000000001E-5</v>
      </c>
      <c r="BQ33" s="101">
        <f>IFERROR(s_RadSpec!$H$13*(BQ13/$B33),".")</f>
        <v>1.2535600000000001E-5</v>
      </c>
      <c r="BR33" s="101">
        <f>IFERROR(s_RadSpec!$H$13*(BR13/$B33),".")</f>
        <v>1.2535600000000001E-5</v>
      </c>
      <c r="BS33" s="101">
        <f>IFERROR(s_RadSpec!$H$13*(BS13/$B33),".")</f>
        <v>1.2535600000000001E-5</v>
      </c>
      <c r="BT33" s="101">
        <f>IFERROR(s_RadSpec!$H$13*(BT13/$B33),".")</f>
        <v>1.2535600000000001E-5</v>
      </c>
      <c r="BU33" s="101">
        <f>IFERROR(s_RadSpec!$H$13*(BU13/$B33),".")</f>
        <v>1.2535600000000001E-5</v>
      </c>
      <c r="BV33" s="101">
        <f>IFERROR(s_RadSpec!$H$13*(BV13/$B33),".")</f>
        <v>1.2535600000000001E-5</v>
      </c>
      <c r="BW33" s="101">
        <f>IFERROR(s_RadSpec!$H$13*(BW13/$B33),".")</f>
        <v>1.2535600000000001E-5</v>
      </c>
      <c r="BX33" s="101">
        <f>IFERROR(s_RadSpec!$H$13*(BX13/$B33),".")</f>
        <v>1.2535600000000001E-5</v>
      </c>
      <c r="BY33" s="101">
        <f>IFERROR(s_RadSpec!$H$13*(BY13/$B33),".")</f>
        <v>1.2535600000000001E-5</v>
      </c>
      <c r="BZ33" s="101">
        <f>IFERROR(s_RadSpec!$H$13*(BZ13/$B33),".")</f>
        <v>1.2535600000000001E-5</v>
      </c>
      <c r="CA33" s="101">
        <f>IFERROR(s_RadSpec!$H$13*(CA13/$B33),".")</f>
        <v>1.2535600000000001E-5</v>
      </c>
      <c r="CB33" s="101">
        <f>IFERROR(s_RadSpec!$H$13*(CB13/$B33),".")</f>
        <v>1.2535600000000001E-5</v>
      </c>
    </row>
    <row r="34" spans="1:80" x14ac:dyDescent="0.25">
      <c r="A34" s="99" t="s">
        <v>1076</v>
      </c>
      <c r="B34" s="90">
        <v>1</v>
      </c>
      <c r="C34" s="100">
        <f t="shared" ref="C34" si="45">IFERROR($B34/C14,0)</f>
        <v>0.10834339999999999</v>
      </c>
      <c r="D34" s="100">
        <f t="shared" ref="D34:AC34" si="46">IFERROR($B34/D14,0)</f>
        <v>2.7085849999999998E-2</v>
      </c>
      <c r="E34" s="100">
        <f t="shared" si="46"/>
        <v>2.7085849999999998E-2</v>
      </c>
      <c r="F34" s="100">
        <f t="shared" si="46"/>
        <v>2.7085849999999998E-2</v>
      </c>
      <c r="G34" s="100">
        <f t="shared" si="46"/>
        <v>2.7085849999999998E-2</v>
      </c>
      <c r="H34" s="100">
        <f t="shared" si="46"/>
        <v>2.7085849999999998E-2</v>
      </c>
      <c r="I34" s="100">
        <f t="shared" si="46"/>
        <v>2.7085849999999998E-2</v>
      </c>
      <c r="J34" s="100">
        <f t="shared" si="46"/>
        <v>2.7085849999999998E-2</v>
      </c>
      <c r="K34" s="100">
        <f t="shared" si="46"/>
        <v>2.7085849999999998E-2</v>
      </c>
      <c r="L34" s="100">
        <f t="shared" si="46"/>
        <v>2.7085849999999998E-2</v>
      </c>
      <c r="M34" s="100">
        <f t="shared" si="46"/>
        <v>2.7085849999999998E-2</v>
      </c>
      <c r="N34" s="100">
        <f t="shared" si="46"/>
        <v>2.7085849999999998E-2</v>
      </c>
      <c r="O34" s="100">
        <f t="shared" si="46"/>
        <v>2.7085849999999998E-2</v>
      </c>
      <c r="P34" s="100">
        <f t="shared" si="46"/>
        <v>2.7085849999999998E-2</v>
      </c>
      <c r="Q34" s="100">
        <f t="shared" si="46"/>
        <v>2.7085849999999998E-2</v>
      </c>
      <c r="R34" s="100">
        <f t="shared" si="46"/>
        <v>2.7085849999999998E-2</v>
      </c>
      <c r="S34" s="100">
        <f t="shared" si="46"/>
        <v>2.7085849999999998E-2</v>
      </c>
      <c r="T34" s="100">
        <f t="shared" si="46"/>
        <v>2.7085849999999998E-2</v>
      </c>
      <c r="U34" s="100">
        <f t="shared" ref="U34" si="47">IFERROR($B34/U14,0)</f>
        <v>2.7085849999999998E-2</v>
      </c>
      <c r="V34" s="100">
        <f t="shared" si="46"/>
        <v>2.7085849999999998E-2</v>
      </c>
      <c r="W34" s="100">
        <f t="shared" si="46"/>
        <v>2.7085849999999998E-2</v>
      </c>
      <c r="X34" s="100">
        <f t="shared" si="46"/>
        <v>2.7085849999999998E-2</v>
      </c>
      <c r="Y34" s="100">
        <f t="shared" si="46"/>
        <v>2.7085849999999998E-2</v>
      </c>
      <c r="Z34" s="100">
        <f t="shared" si="46"/>
        <v>2.7085849999999998E-2</v>
      </c>
      <c r="AA34" s="100">
        <f t="shared" si="46"/>
        <v>2.7085849999999998E-2</v>
      </c>
      <c r="AB34" s="100">
        <f t="shared" si="46"/>
        <v>2.7085849999999998E-2</v>
      </c>
      <c r="AC34" s="100">
        <f t="shared" si="46"/>
        <v>0.10834339999999999</v>
      </c>
      <c r="AD34" s="100">
        <f t="shared" ref="AD34:BB34" si="48">IFERROR($B34/AD14,0)</f>
        <v>2.7085849999999998E-2</v>
      </c>
      <c r="AE34" s="100">
        <f t="shared" si="48"/>
        <v>2.7085849999999998E-2</v>
      </c>
      <c r="AF34" s="100">
        <f t="shared" si="48"/>
        <v>2.7085849999999998E-2</v>
      </c>
      <c r="AG34" s="100">
        <f t="shared" si="48"/>
        <v>2.7085849999999998E-2</v>
      </c>
      <c r="AH34" s="100">
        <f t="shared" si="48"/>
        <v>2.7085849999999998E-2</v>
      </c>
      <c r="AI34" s="100">
        <f t="shared" si="48"/>
        <v>2.7085849999999998E-2</v>
      </c>
      <c r="AJ34" s="100">
        <f t="shared" si="48"/>
        <v>2.7085849999999998E-2</v>
      </c>
      <c r="AK34" s="100">
        <f t="shared" si="48"/>
        <v>2.7085849999999998E-2</v>
      </c>
      <c r="AL34" s="100">
        <f t="shared" si="48"/>
        <v>2.7085849999999998E-2</v>
      </c>
      <c r="AM34" s="100">
        <f t="shared" si="48"/>
        <v>2.7085849999999998E-2</v>
      </c>
      <c r="AN34" s="100">
        <f t="shared" si="48"/>
        <v>2.7085849999999998E-2</v>
      </c>
      <c r="AO34" s="100">
        <f t="shared" si="48"/>
        <v>2.7085849999999998E-2</v>
      </c>
      <c r="AP34" s="100">
        <f t="shared" si="48"/>
        <v>2.7085849999999998E-2</v>
      </c>
      <c r="AQ34" s="100">
        <f t="shared" si="48"/>
        <v>2.7085849999999998E-2</v>
      </c>
      <c r="AR34" s="100">
        <f t="shared" si="48"/>
        <v>2.7085849999999998E-2</v>
      </c>
      <c r="AS34" s="100">
        <f t="shared" si="48"/>
        <v>2.7085849999999998E-2</v>
      </c>
      <c r="AT34" s="100">
        <f t="shared" si="48"/>
        <v>2.7085849999999998E-2</v>
      </c>
      <c r="AU34" s="100">
        <f t="shared" ref="AU34" si="49">IFERROR($B34/AU14,0)</f>
        <v>2.7085849999999998E-2</v>
      </c>
      <c r="AV34" s="100">
        <f t="shared" si="48"/>
        <v>2.7085849999999998E-2</v>
      </c>
      <c r="AW34" s="100">
        <f t="shared" si="48"/>
        <v>2.7085849999999998E-2</v>
      </c>
      <c r="AX34" s="100">
        <f t="shared" si="48"/>
        <v>2.7085849999999998E-2</v>
      </c>
      <c r="AY34" s="100">
        <f t="shared" si="48"/>
        <v>2.7085849999999998E-2</v>
      </c>
      <c r="AZ34" s="100">
        <f t="shared" si="48"/>
        <v>2.7085849999999998E-2</v>
      </c>
      <c r="BA34" s="100">
        <f t="shared" si="48"/>
        <v>2.7085849999999998E-2</v>
      </c>
      <c r="BB34" s="100">
        <f t="shared" si="48"/>
        <v>2.7085849999999998E-2</v>
      </c>
      <c r="BC34" s="101">
        <f t="shared" si="26"/>
        <v>5.4171699999999992E-6</v>
      </c>
      <c r="BD34" s="101">
        <f>IFERROR(s_RadSpec!$H$14*(BD14/$B34),".")</f>
        <v>1.3542924999999998E-6</v>
      </c>
      <c r="BE34" s="101">
        <f>IFERROR(s_RadSpec!$H$14*(BE14/$B34),".")</f>
        <v>1.3542924999999998E-6</v>
      </c>
      <c r="BF34" s="101">
        <f>IFERROR(s_RadSpec!$H$14*(BF14/$B34),".")</f>
        <v>1.3542924999999998E-6</v>
      </c>
      <c r="BG34" s="101">
        <f>IFERROR(s_RadSpec!$H$14*(BG14/$B34),".")</f>
        <v>1.3542924999999998E-6</v>
      </c>
      <c r="BH34" s="101">
        <f>IFERROR(s_RadSpec!$H$14*(BH14/$B34),".")</f>
        <v>1.3542924999999998E-6</v>
      </c>
      <c r="BI34" s="101">
        <f>IFERROR(s_RadSpec!$H$14*(BI14/$B34),".")</f>
        <v>1.3542924999999998E-6</v>
      </c>
      <c r="BJ34" s="101">
        <f>IFERROR(s_RadSpec!$H$14*(BJ14/$B34),".")</f>
        <v>1.3542924999999998E-6</v>
      </c>
      <c r="BK34" s="101">
        <f>IFERROR(s_RadSpec!$H$14*(BK14/$B34),".")</f>
        <v>1.3542924999999998E-6</v>
      </c>
      <c r="BL34" s="101">
        <f>IFERROR(s_RadSpec!$H$14*(BL14/$B34),".")</f>
        <v>1.3542924999999998E-6</v>
      </c>
      <c r="BM34" s="101">
        <f>IFERROR(s_RadSpec!$H$14*(BM14/$B34),".")</f>
        <v>1.3542924999999998E-6</v>
      </c>
      <c r="BN34" s="101">
        <f>IFERROR(s_RadSpec!$H$14*(BN14/$B34),".")</f>
        <v>1.3542924999999998E-6</v>
      </c>
      <c r="BO34" s="101">
        <f>IFERROR(s_RadSpec!$H$14*(BO14/$B34),".")</f>
        <v>1.3542924999999998E-6</v>
      </c>
      <c r="BP34" s="101">
        <f>IFERROR(s_RadSpec!$H$14*(BP14/$B34),".")</f>
        <v>1.3542924999999998E-6</v>
      </c>
      <c r="BQ34" s="101">
        <f>IFERROR(s_RadSpec!$H$14*(BQ14/$B34),".")</f>
        <v>1.3542924999999998E-6</v>
      </c>
      <c r="BR34" s="101">
        <f>IFERROR(s_RadSpec!$H$14*(BR14/$B34),".")</f>
        <v>1.3542924999999998E-6</v>
      </c>
      <c r="BS34" s="101">
        <f>IFERROR(s_RadSpec!$H$14*(BS14/$B34),".")</f>
        <v>1.3542924999999998E-6</v>
      </c>
      <c r="BT34" s="101">
        <f>IFERROR(s_RadSpec!$H$14*(BT14/$B34),".")</f>
        <v>1.3542924999999998E-6</v>
      </c>
      <c r="BU34" s="101">
        <f>IFERROR(s_RadSpec!$H$14*(BU14/$B34),".")</f>
        <v>1.3542924999999998E-6</v>
      </c>
      <c r="BV34" s="101">
        <f>IFERROR(s_RadSpec!$H$14*(BV14/$B34),".")</f>
        <v>1.3542924999999998E-6</v>
      </c>
      <c r="BW34" s="101">
        <f>IFERROR(s_RadSpec!$H$14*(BW14/$B34),".")</f>
        <v>1.3542924999999998E-6</v>
      </c>
      <c r="BX34" s="101">
        <f>IFERROR(s_RadSpec!$H$14*(BX14/$B34),".")</f>
        <v>1.3542924999999998E-6</v>
      </c>
      <c r="BY34" s="101">
        <f>IFERROR(s_RadSpec!$H$14*(BY14/$B34),".")</f>
        <v>1.3542924999999998E-6</v>
      </c>
      <c r="BZ34" s="101">
        <f>IFERROR(s_RadSpec!$H$14*(BZ14/$B34),".")</f>
        <v>1.3542924999999998E-6</v>
      </c>
      <c r="CA34" s="101">
        <f>IFERROR(s_RadSpec!$H$14*(CA14/$B34),".")</f>
        <v>1.3542924999999998E-6</v>
      </c>
      <c r="CB34" s="101">
        <f>IFERROR(s_RadSpec!$H$14*(CB14/$B34),".")</f>
        <v>1.3542924999999998E-6</v>
      </c>
    </row>
    <row r="35" spans="1:80" x14ac:dyDescent="0.25">
      <c r="A35" s="99" t="s">
        <v>1077</v>
      </c>
      <c r="B35" s="90">
        <v>1</v>
      </c>
      <c r="C35" s="100">
        <f t="shared" ref="C35" si="50">IFERROR($B35/C30,0)</f>
        <v>1.172974</v>
      </c>
      <c r="D35" s="100">
        <f t="shared" ref="D35:AC35" si="51">IFERROR($B35/D30,0)</f>
        <v>0.29324349999999999</v>
      </c>
      <c r="E35" s="100">
        <f t="shared" si="51"/>
        <v>0.29324349999999999</v>
      </c>
      <c r="F35" s="100">
        <f t="shared" si="51"/>
        <v>0.29324349999999999</v>
      </c>
      <c r="G35" s="100">
        <f t="shared" si="51"/>
        <v>0.29324349999999999</v>
      </c>
      <c r="H35" s="100">
        <f t="shared" si="51"/>
        <v>0.29324349999999999</v>
      </c>
      <c r="I35" s="100">
        <f t="shared" si="51"/>
        <v>0.29324349999999999</v>
      </c>
      <c r="J35" s="100">
        <f t="shared" si="51"/>
        <v>0.29324349999999999</v>
      </c>
      <c r="K35" s="100">
        <f t="shared" si="51"/>
        <v>0.29324349999999999</v>
      </c>
      <c r="L35" s="100">
        <f t="shared" si="51"/>
        <v>0.29324349999999999</v>
      </c>
      <c r="M35" s="100">
        <f t="shared" si="51"/>
        <v>0.29324349999999999</v>
      </c>
      <c r="N35" s="100">
        <f t="shared" si="51"/>
        <v>0.29324349999999999</v>
      </c>
      <c r="O35" s="100">
        <f t="shared" si="51"/>
        <v>0.29324349999999999</v>
      </c>
      <c r="P35" s="100">
        <f t="shared" si="51"/>
        <v>0.29324349999999999</v>
      </c>
      <c r="Q35" s="100">
        <f t="shared" si="51"/>
        <v>0.29324349999999999</v>
      </c>
      <c r="R35" s="100">
        <f t="shared" si="51"/>
        <v>0.29324349999999999</v>
      </c>
      <c r="S35" s="100">
        <f t="shared" si="51"/>
        <v>0.29324349999999999</v>
      </c>
      <c r="T35" s="100">
        <f t="shared" si="51"/>
        <v>0.29324349999999999</v>
      </c>
      <c r="U35" s="100">
        <f t="shared" ref="U35" si="52">IFERROR($B35/U30,0)</f>
        <v>0.29324349999999999</v>
      </c>
      <c r="V35" s="100">
        <f t="shared" si="51"/>
        <v>0.29324349999999999</v>
      </c>
      <c r="W35" s="100">
        <f t="shared" si="51"/>
        <v>0.29324349999999999</v>
      </c>
      <c r="X35" s="100">
        <f t="shared" si="51"/>
        <v>0.29324349999999999</v>
      </c>
      <c r="Y35" s="100">
        <f t="shared" si="51"/>
        <v>0.29324349999999999</v>
      </c>
      <c r="Z35" s="100">
        <f t="shared" si="51"/>
        <v>0.29324349999999999</v>
      </c>
      <c r="AA35" s="100">
        <f t="shared" si="51"/>
        <v>0.29324349999999999</v>
      </c>
      <c r="AB35" s="100">
        <f t="shared" si="51"/>
        <v>0.29324349999999999</v>
      </c>
      <c r="AC35" s="100">
        <f t="shared" si="51"/>
        <v>1.172974</v>
      </c>
      <c r="AD35" s="100">
        <f t="shared" ref="AD35:BB35" si="53">IFERROR($B35/AD30,0)</f>
        <v>0.29324349999999999</v>
      </c>
      <c r="AE35" s="100">
        <f t="shared" si="53"/>
        <v>0.29324349999999999</v>
      </c>
      <c r="AF35" s="100">
        <f t="shared" si="53"/>
        <v>0.29324349999999999</v>
      </c>
      <c r="AG35" s="100">
        <f t="shared" si="53"/>
        <v>0.29324349999999999</v>
      </c>
      <c r="AH35" s="100">
        <f t="shared" si="53"/>
        <v>0.29324349999999999</v>
      </c>
      <c r="AI35" s="100">
        <f t="shared" si="53"/>
        <v>0.29324349999999999</v>
      </c>
      <c r="AJ35" s="100">
        <f t="shared" si="53"/>
        <v>0.29324349999999999</v>
      </c>
      <c r="AK35" s="100">
        <f t="shared" si="53"/>
        <v>0.29324349999999999</v>
      </c>
      <c r="AL35" s="100">
        <f t="shared" si="53"/>
        <v>0.29324349999999999</v>
      </c>
      <c r="AM35" s="100">
        <f t="shared" si="53"/>
        <v>0.29324349999999999</v>
      </c>
      <c r="AN35" s="100">
        <f t="shared" si="53"/>
        <v>0.29324349999999999</v>
      </c>
      <c r="AO35" s="100">
        <f t="shared" si="53"/>
        <v>0.29324349999999999</v>
      </c>
      <c r="AP35" s="100">
        <f t="shared" si="53"/>
        <v>0.29324349999999999</v>
      </c>
      <c r="AQ35" s="100">
        <f t="shared" si="53"/>
        <v>0.29324349999999999</v>
      </c>
      <c r="AR35" s="100">
        <f t="shared" si="53"/>
        <v>0.29324349999999999</v>
      </c>
      <c r="AS35" s="100">
        <f t="shared" si="53"/>
        <v>0.29324349999999999</v>
      </c>
      <c r="AT35" s="100">
        <f t="shared" si="53"/>
        <v>0.29324349999999999</v>
      </c>
      <c r="AU35" s="100">
        <f t="shared" ref="AU35" si="54">IFERROR($B35/AU30,0)</f>
        <v>0.29324349999999999</v>
      </c>
      <c r="AV35" s="100">
        <f t="shared" si="53"/>
        <v>0.29324349999999999</v>
      </c>
      <c r="AW35" s="100">
        <f t="shared" si="53"/>
        <v>0.29324349999999999</v>
      </c>
      <c r="AX35" s="100">
        <f t="shared" si="53"/>
        <v>0.29324349999999999</v>
      </c>
      <c r="AY35" s="100">
        <f t="shared" si="53"/>
        <v>0.29324349999999999</v>
      </c>
      <c r="AZ35" s="100">
        <f t="shared" si="53"/>
        <v>0.29324349999999999</v>
      </c>
      <c r="BA35" s="100">
        <f t="shared" si="53"/>
        <v>0.29324349999999999</v>
      </c>
      <c r="BB35" s="100">
        <f t="shared" si="53"/>
        <v>0.29324349999999999</v>
      </c>
      <c r="BC35" s="101">
        <f t="shared" si="26"/>
        <v>5.86487E-5</v>
      </c>
      <c r="BD35" s="101">
        <f>IFERROR(s_RadSpec!$H$30*(BD30/$B35),".")</f>
        <v>1.4662175E-5</v>
      </c>
      <c r="BE35" s="101">
        <f>IFERROR(s_RadSpec!$H$30*(BE30/$B35),".")</f>
        <v>1.4662175E-5</v>
      </c>
      <c r="BF35" s="101">
        <f>IFERROR(s_RadSpec!$H$30*(BF30/$B35),".")</f>
        <v>1.4662175E-5</v>
      </c>
      <c r="BG35" s="101">
        <f>IFERROR(s_RadSpec!$H$30*(BG30/$B35),".")</f>
        <v>1.4662175E-5</v>
      </c>
      <c r="BH35" s="101">
        <f>IFERROR(s_RadSpec!$H$30*(BH30/$B35),".")</f>
        <v>1.4662175E-5</v>
      </c>
      <c r="BI35" s="101">
        <f>IFERROR(s_RadSpec!$H$30*(BI30/$B35),".")</f>
        <v>1.4662175E-5</v>
      </c>
      <c r="BJ35" s="101">
        <f>IFERROR(s_RadSpec!$H$30*(BJ30/$B35),".")</f>
        <v>1.4662175E-5</v>
      </c>
      <c r="BK35" s="101">
        <f>IFERROR(s_RadSpec!$H$30*(BK30/$B35),".")</f>
        <v>1.4662175E-5</v>
      </c>
      <c r="BL35" s="101">
        <f>IFERROR(s_RadSpec!$H$30*(BL30/$B35),".")</f>
        <v>1.4662175E-5</v>
      </c>
      <c r="BM35" s="101">
        <f>IFERROR(s_RadSpec!$H$30*(BM30/$B35),".")</f>
        <v>1.4662175E-5</v>
      </c>
      <c r="BN35" s="101">
        <f>IFERROR(s_RadSpec!$H$30*(BN30/$B35),".")</f>
        <v>1.4662175E-5</v>
      </c>
      <c r="BO35" s="101">
        <f>IFERROR(s_RadSpec!$H$30*(BO30/$B35),".")</f>
        <v>1.4662175E-5</v>
      </c>
      <c r="BP35" s="101">
        <f>IFERROR(s_RadSpec!$H$30*(BP30/$B35),".")</f>
        <v>1.4662175E-5</v>
      </c>
      <c r="BQ35" s="101">
        <f>IFERROR(s_RadSpec!$H$30*(BQ30/$B35),".")</f>
        <v>1.4662175E-5</v>
      </c>
      <c r="BR35" s="101">
        <f>IFERROR(s_RadSpec!$H$30*(BR30/$B35),".")</f>
        <v>1.4662175E-5</v>
      </c>
      <c r="BS35" s="101">
        <f>IFERROR(s_RadSpec!$H$30*(BS30/$B35),".")</f>
        <v>1.4662175E-5</v>
      </c>
      <c r="BT35" s="101">
        <f>IFERROR(s_RadSpec!$H$30*(BT30/$B35),".")</f>
        <v>1.4662175E-5</v>
      </c>
      <c r="BU35" s="101">
        <f>IFERROR(s_RadSpec!$H$30*(BU30/$B35),".")</f>
        <v>1.4662175E-5</v>
      </c>
      <c r="BV35" s="101">
        <f>IFERROR(s_RadSpec!$H$30*(BV30/$B35),".")</f>
        <v>1.4662175E-5</v>
      </c>
      <c r="BW35" s="101">
        <f>IFERROR(s_RadSpec!$H$30*(BW30/$B35),".")</f>
        <v>1.4662175E-5</v>
      </c>
      <c r="BX35" s="101">
        <f>IFERROR(s_RadSpec!$H$30*(BX30/$B35),".")</f>
        <v>1.4662175E-5</v>
      </c>
      <c r="BY35" s="101">
        <f>IFERROR(s_RadSpec!$H$30*(BY30/$B35),".")</f>
        <v>1.4662175E-5</v>
      </c>
      <c r="BZ35" s="101">
        <f>IFERROR(s_RadSpec!$H$30*(BZ30/$B35),".")</f>
        <v>1.4662175E-5</v>
      </c>
      <c r="CA35" s="101">
        <f>IFERROR(s_RadSpec!$H$30*(CA30/$B35),".")</f>
        <v>1.4662175E-5</v>
      </c>
      <c r="CB35" s="101">
        <f>IFERROR(s_RadSpec!$H$30*(CB30/$B35),".")</f>
        <v>1.4662175E-5</v>
      </c>
    </row>
    <row r="36" spans="1:80" x14ac:dyDescent="0.25">
      <c r="A36" s="99" t="s">
        <v>1078</v>
      </c>
      <c r="B36" s="90">
        <v>1</v>
      </c>
      <c r="C36" s="100">
        <f t="shared" ref="C36" si="55">IFERROR($B36/C26,0)</f>
        <v>3.5144449999999994</v>
      </c>
      <c r="D36" s="100">
        <f t="shared" ref="D36:AC36" si="56">IFERROR($B36/D26,0)</f>
        <v>0.87861124999999984</v>
      </c>
      <c r="E36" s="100">
        <f t="shared" si="56"/>
        <v>0.87861124999999984</v>
      </c>
      <c r="F36" s="100">
        <f t="shared" si="56"/>
        <v>0.87861124999999984</v>
      </c>
      <c r="G36" s="100">
        <f t="shared" si="56"/>
        <v>0.87861124999999984</v>
      </c>
      <c r="H36" s="100">
        <f t="shared" si="56"/>
        <v>0.87861124999999984</v>
      </c>
      <c r="I36" s="100">
        <f t="shared" si="56"/>
        <v>0.87861124999999984</v>
      </c>
      <c r="J36" s="100">
        <f t="shared" si="56"/>
        <v>0.87861124999999984</v>
      </c>
      <c r="K36" s="100">
        <f t="shared" si="56"/>
        <v>0.87861124999999984</v>
      </c>
      <c r="L36" s="100">
        <f t="shared" si="56"/>
        <v>0.87861124999999984</v>
      </c>
      <c r="M36" s="100">
        <f t="shared" si="56"/>
        <v>0.87861124999999984</v>
      </c>
      <c r="N36" s="100">
        <f t="shared" si="56"/>
        <v>0.87861124999999984</v>
      </c>
      <c r="O36" s="100">
        <f t="shared" si="56"/>
        <v>0.87861124999999984</v>
      </c>
      <c r="P36" s="100">
        <f t="shared" si="56"/>
        <v>0.87861124999999984</v>
      </c>
      <c r="Q36" s="100">
        <f t="shared" si="56"/>
        <v>0.87861124999999984</v>
      </c>
      <c r="R36" s="100">
        <f t="shared" si="56"/>
        <v>0.87861124999999984</v>
      </c>
      <c r="S36" s="100">
        <f t="shared" si="56"/>
        <v>0.87861124999999984</v>
      </c>
      <c r="T36" s="100">
        <f t="shared" si="56"/>
        <v>0.87861124999999984</v>
      </c>
      <c r="U36" s="100">
        <f t="shared" ref="U36" si="57">IFERROR($B36/U26,0)</f>
        <v>0.87861124999999984</v>
      </c>
      <c r="V36" s="100">
        <f t="shared" si="56"/>
        <v>0.87861124999999984</v>
      </c>
      <c r="W36" s="100">
        <f t="shared" si="56"/>
        <v>0.87861124999999984</v>
      </c>
      <c r="X36" s="100">
        <f t="shared" si="56"/>
        <v>0.87861124999999984</v>
      </c>
      <c r="Y36" s="100">
        <f t="shared" si="56"/>
        <v>0.87861124999999984</v>
      </c>
      <c r="Z36" s="100">
        <f t="shared" si="56"/>
        <v>0.87861124999999984</v>
      </c>
      <c r="AA36" s="100">
        <f t="shared" si="56"/>
        <v>0.87861124999999984</v>
      </c>
      <c r="AB36" s="100">
        <f t="shared" si="56"/>
        <v>0.87861124999999984</v>
      </c>
      <c r="AC36" s="100">
        <f t="shared" si="56"/>
        <v>3.5144449999999994</v>
      </c>
      <c r="AD36" s="100">
        <f t="shared" ref="AD36:BB36" si="58">IFERROR($B36/AD26,0)</f>
        <v>0.87861124999999984</v>
      </c>
      <c r="AE36" s="100">
        <f t="shared" si="58"/>
        <v>0.87861124999999984</v>
      </c>
      <c r="AF36" s="100">
        <f t="shared" si="58"/>
        <v>0.87861124999999984</v>
      </c>
      <c r="AG36" s="100">
        <f t="shared" si="58"/>
        <v>0.87861124999999984</v>
      </c>
      <c r="AH36" s="100">
        <f t="shared" si="58"/>
        <v>0.87861124999999984</v>
      </c>
      <c r="AI36" s="100">
        <f t="shared" si="58"/>
        <v>0.87861124999999984</v>
      </c>
      <c r="AJ36" s="100">
        <f t="shared" si="58"/>
        <v>0.87861124999999984</v>
      </c>
      <c r="AK36" s="100">
        <f t="shared" si="58"/>
        <v>0.87861124999999984</v>
      </c>
      <c r="AL36" s="100">
        <f t="shared" si="58"/>
        <v>0.87861124999999984</v>
      </c>
      <c r="AM36" s="100">
        <f t="shared" si="58"/>
        <v>0.87861124999999984</v>
      </c>
      <c r="AN36" s="100">
        <f t="shared" si="58"/>
        <v>0.87861124999999984</v>
      </c>
      <c r="AO36" s="100">
        <f t="shared" si="58"/>
        <v>0.87861124999999984</v>
      </c>
      <c r="AP36" s="100">
        <f t="shared" si="58"/>
        <v>0.87861124999999984</v>
      </c>
      <c r="AQ36" s="100">
        <f t="shared" si="58"/>
        <v>0.87861124999999984</v>
      </c>
      <c r="AR36" s="100">
        <f t="shared" si="58"/>
        <v>0.87861124999999984</v>
      </c>
      <c r="AS36" s="100">
        <f t="shared" si="58"/>
        <v>0.87861124999999984</v>
      </c>
      <c r="AT36" s="100">
        <f t="shared" si="58"/>
        <v>0.87861124999999984</v>
      </c>
      <c r="AU36" s="100">
        <f t="shared" ref="AU36" si="59">IFERROR($B36/AU26,0)</f>
        <v>0.87861124999999984</v>
      </c>
      <c r="AV36" s="100">
        <f t="shared" si="58"/>
        <v>0.87861124999999984</v>
      </c>
      <c r="AW36" s="100">
        <f t="shared" si="58"/>
        <v>0.87861124999999984</v>
      </c>
      <c r="AX36" s="100">
        <f t="shared" si="58"/>
        <v>0.87861124999999984</v>
      </c>
      <c r="AY36" s="100">
        <f t="shared" si="58"/>
        <v>0.87861124999999984</v>
      </c>
      <c r="AZ36" s="100">
        <f t="shared" si="58"/>
        <v>0.87861124999999984</v>
      </c>
      <c r="BA36" s="100">
        <f t="shared" si="58"/>
        <v>0.87861124999999984</v>
      </c>
      <c r="BB36" s="100">
        <f t="shared" si="58"/>
        <v>0.87861124999999984</v>
      </c>
      <c r="BC36" s="101">
        <f t="shared" si="26"/>
        <v>1.7572225000000001E-4</v>
      </c>
      <c r="BD36" s="101">
        <f>IFERROR(s_RadSpec!$H$26*(BD26/$B36),".")</f>
        <v>4.3930562500000003E-5</v>
      </c>
      <c r="BE36" s="101">
        <f>IFERROR(s_RadSpec!$H$26*(BE26/$B36),".")</f>
        <v>4.3930562500000003E-5</v>
      </c>
      <c r="BF36" s="101">
        <f>IFERROR(s_RadSpec!$H$26*(BF26/$B36),".")</f>
        <v>4.3930562500000003E-5</v>
      </c>
      <c r="BG36" s="101">
        <f>IFERROR(s_RadSpec!$H$26*(BG26/$B36),".")</f>
        <v>4.3930562500000003E-5</v>
      </c>
      <c r="BH36" s="101">
        <f>IFERROR(s_RadSpec!$H$26*(BH26/$B36),".")</f>
        <v>4.3930562500000003E-5</v>
      </c>
      <c r="BI36" s="101">
        <f>IFERROR(s_RadSpec!$H$26*(BI26/$B36),".")</f>
        <v>4.3930562500000003E-5</v>
      </c>
      <c r="BJ36" s="101">
        <f>IFERROR(s_RadSpec!$H$26*(BJ26/$B36),".")</f>
        <v>4.3930562500000003E-5</v>
      </c>
      <c r="BK36" s="101">
        <f>IFERROR(s_RadSpec!$H$26*(BK26/$B36),".")</f>
        <v>4.3930562500000003E-5</v>
      </c>
      <c r="BL36" s="101">
        <f>IFERROR(s_RadSpec!$H$26*(BL26/$B36),".")</f>
        <v>4.3930562500000003E-5</v>
      </c>
      <c r="BM36" s="101">
        <f>IFERROR(s_RadSpec!$H$26*(BM26/$B36),".")</f>
        <v>4.3930562500000003E-5</v>
      </c>
      <c r="BN36" s="101">
        <f>IFERROR(s_RadSpec!$H$26*(BN26/$B36),".")</f>
        <v>4.3930562500000003E-5</v>
      </c>
      <c r="BO36" s="101">
        <f>IFERROR(s_RadSpec!$H$26*(BO26/$B36),".")</f>
        <v>4.3930562500000003E-5</v>
      </c>
      <c r="BP36" s="101">
        <f>IFERROR(s_RadSpec!$H$26*(BP26/$B36),".")</f>
        <v>4.3930562500000003E-5</v>
      </c>
      <c r="BQ36" s="101">
        <f>IFERROR(s_RadSpec!$H$26*(BQ26/$B36),".")</f>
        <v>4.3930562500000003E-5</v>
      </c>
      <c r="BR36" s="101">
        <f>IFERROR(s_RadSpec!$H$26*(BR26/$B36),".")</f>
        <v>4.3930562500000003E-5</v>
      </c>
      <c r="BS36" s="101">
        <f>IFERROR(s_RadSpec!$H$26*(BS26/$B36),".")</f>
        <v>4.3930562500000003E-5</v>
      </c>
      <c r="BT36" s="101">
        <f>IFERROR(s_RadSpec!$H$26*(BT26/$B36),".")</f>
        <v>4.3930562500000003E-5</v>
      </c>
      <c r="BU36" s="101">
        <f>IFERROR(s_RadSpec!$H$26*(BU26/$B36),".")</f>
        <v>4.3930562500000003E-5</v>
      </c>
      <c r="BV36" s="101">
        <f>IFERROR(s_RadSpec!$H$26*(BV26/$B36),".")</f>
        <v>4.3930562500000003E-5</v>
      </c>
      <c r="BW36" s="101">
        <f>IFERROR(s_RadSpec!$H$26*(BW26/$B36),".")</f>
        <v>4.3930562500000003E-5</v>
      </c>
      <c r="BX36" s="101">
        <f>IFERROR(s_RadSpec!$H$26*(BX26/$B36),".")</f>
        <v>4.3930562500000003E-5</v>
      </c>
      <c r="BY36" s="101">
        <f>IFERROR(s_RadSpec!$H$26*(BY26/$B36),".")</f>
        <v>4.3930562500000003E-5</v>
      </c>
      <c r="BZ36" s="101">
        <f>IFERROR(s_RadSpec!$H$26*(BZ26/$B36),".")</f>
        <v>4.3930562500000003E-5</v>
      </c>
      <c r="CA36" s="101">
        <f>IFERROR(s_RadSpec!$H$26*(CA26/$B36),".")</f>
        <v>4.3930562500000003E-5</v>
      </c>
      <c r="CB36" s="101">
        <f>IFERROR(s_RadSpec!$H$26*(CB26/$B36),".")</f>
        <v>4.3930562500000003E-5</v>
      </c>
    </row>
    <row r="37" spans="1:80" x14ac:dyDescent="0.25">
      <c r="A37" s="99" t="s">
        <v>1079</v>
      </c>
      <c r="B37" s="90">
        <v>1</v>
      </c>
      <c r="C37" s="100">
        <f t="shared" ref="C37" si="60">IFERROR($B37/C22,0)</f>
        <v>1.857955</v>
      </c>
      <c r="D37" s="100">
        <f t="shared" ref="D37:AC37" si="61">IFERROR($B37/D22,0)</f>
        <v>0.46448875000000001</v>
      </c>
      <c r="E37" s="100">
        <f t="shared" si="61"/>
        <v>0.46448875000000001</v>
      </c>
      <c r="F37" s="100">
        <f t="shared" si="61"/>
        <v>0.46448875000000001</v>
      </c>
      <c r="G37" s="100">
        <f t="shared" si="61"/>
        <v>0.46448875000000001</v>
      </c>
      <c r="H37" s="100">
        <f t="shared" si="61"/>
        <v>0.46448875000000001</v>
      </c>
      <c r="I37" s="100">
        <f t="shared" si="61"/>
        <v>0.46448875000000001</v>
      </c>
      <c r="J37" s="100">
        <f t="shared" si="61"/>
        <v>0.46448875000000001</v>
      </c>
      <c r="K37" s="100">
        <f t="shared" si="61"/>
        <v>0.46448875000000001</v>
      </c>
      <c r="L37" s="100">
        <f t="shared" si="61"/>
        <v>0.46448875000000001</v>
      </c>
      <c r="M37" s="100">
        <f t="shared" si="61"/>
        <v>0.46448875000000001</v>
      </c>
      <c r="N37" s="100">
        <f t="shared" si="61"/>
        <v>0.46448875000000001</v>
      </c>
      <c r="O37" s="100">
        <f t="shared" si="61"/>
        <v>0.46448875000000001</v>
      </c>
      <c r="P37" s="100">
        <f t="shared" si="61"/>
        <v>0.46448875000000001</v>
      </c>
      <c r="Q37" s="100">
        <f t="shared" si="61"/>
        <v>0.46448875000000001</v>
      </c>
      <c r="R37" s="100">
        <f t="shared" si="61"/>
        <v>0.46448875000000001</v>
      </c>
      <c r="S37" s="100">
        <f t="shared" si="61"/>
        <v>0.46448875000000001</v>
      </c>
      <c r="T37" s="100">
        <f t="shared" si="61"/>
        <v>0.46448875000000001</v>
      </c>
      <c r="U37" s="100">
        <f t="shared" ref="U37" si="62">IFERROR($B37/U22,0)</f>
        <v>0.46448875000000001</v>
      </c>
      <c r="V37" s="100">
        <f t="shared" si="61"/>
        <v>0.46448875000000001</v>
      </c>
      <c r="W37" s="100">
        <f t="shared" si="61"/>
        <v>0.46448875000000001</v>
      </c>
      <c r="X37" s="100">
        <f t="shared" si="61"/>
        <v>0.46448875000000001</v>
      </c>
      <c r="Y37" s="100">
        <f t="shared" si="61"/>
        <v>0.46448875000000001</v>
      </c>
      <c r="Z37" s="100">
        <f t="shared" si="61"/>
        <v>0.46448875000000001</v>
      </c>
      <c r="AA37" s="100">
        <f t="shared" si="61"/>
        <v>0.46448875000000001</v>
      </c>
      <c r="AB37" s="100">
        <f t="shared" si="61"/>
        <v>0.46448875000000001</v>
      </c>
      <c r="AC37" s="100">
        <f t="shared" si="61"/>
        <v>1.857955</v>
      </c>
      <c r="AD37" s="100">
        <f t="shared" ref="AD37:BB37" si="63">IFERROR($B37/AD22,0)</f>
        <v>0.46448875000000001</v>
      </c>
      <c r="AE37" s="100">
        <f t="shared" si="63"/>
        <v>0.46448875000000001</v>
      </c>
      <c r="AF37" s="100">
        <f t="shared" si="63"/>
        <v>0.46448875000000001</v>
      </c>
      <c r="AG37" s="100">
        <f t="shared" si="63"/>
        <v>0.46448875000000001</v>
      </c>
      <c r="AH37" s="100">
        <f t="shared" si="63"/>
        <v>0.46448875000000001</v>
      </c>
      <c r="AI37" s="100">
        <f t="shared" si="63"/>
        <v>0.46448875000000001</v>
      </c>
      <c r="AJ37" s="100">
        <f t="shared" si="63"/>
        <v>0.46448875000000001</v>
      </c>
      <c r="AK37" s="100">
        <f t="shared" si="63"/>
        <v>0.46448875000000001</v>
      </c>
      <c r="AL37" s="100">
        <f t="shared" si="63"/>
        <v>0.46448875000000001</v>
      </c>
      <c r="AM37" s="100">
        <f t="shared" si="63"/>
        <v>0.46448875000000001</v>
      </c>
      <c r="AN37" s="100">
        <f t="shared" si="63"/>
        <v>0.46448875000000001</v>
      </c>
      <c r="AO37" s="100">
        <f t="shared" si="63"/>
        <v>0.46448875000000001</v>
      </c>
      <c r="AP37" s="100">
        <f t="shared" si="63"/>
        <v>0.46448875000000001</v>
      </c>
      <c r="AQ37" s="100">
        <f t="shared" si="63"/>
        <v>0.46448875000000001</v>
      </c>
      <c r="AR37" s="100">
        <f t="shared" si="63"/>
        <v>0.46448875000000001</v>
      </c>
      <c r="AS37" s="100">
        <f t="shared" si="63"/>
        <v>0.46448875000000001</v>
      </c>
      <c r="AT37" s="100">
        <f t="shared" si="63"/>
        <v>0.46448875000000001</v>
      </c>
      <c r="AU37" s="100">
        <f t="shared" ref="AU37" si="64">IFERROR($B37/AU22,0)</f>
        <v>0.46448875000000001</v>
      </c>
      <c r="AV37" s="100">
        <f t="shared" si="63"/>
        <v>0.46448875000000001</v>
      </c>
      <c r="AW37" s="100">
        <f t="shared" si="63"/>
        <v>0.46448875000000001</v>
      </c>
      <c r="AX37" s="100">
        <f t="shared" si="63"/>
        <v>0.46448875000000001</v>
      </c>
      <c r="AY37" s="100">
        <f t="shared" si="63"/>
        <v>0.46448875000000001</v>
      </c>
      <c r="AZ37" s="100">
        <f t="shared" si="63"/>
        <v>0.46448875000000001</v>
      </c>
      <c r="BA37" s="100">
        <f t="shared" si="63"/>
        <v>0.46448875000000001</v>
      </c>
      <c r="BB37" s="100">
        <f t="shared" si="63"/>
        <v>0.46448875000000001</v>
      </c>
      <c r="BC37" s="101">
        <f t="shared" si="26"/>
        <v>9.289775E-5</v>
      </c>
      <c r="BD37" s="101">
        <f>IFERROR(s_RadSpec!$H$22*(BD22/$B37),".")</f>
        <v>2.32244375E-5</v>
      </c>
      <c r="BE37" s="101">
        <f>IFERROR(s_RadSpec!$H$22*(BE22/$B37),".")</f>
        <v>2.32244375E-5</v>
      </c>
      <c r="BF37" s="101">
        <f>IFERROR(s_RadSpec!$H$22*(BF22/$B37),".")</f>
        <v>2.32244375E-5</v>
      </c>
      <c r="BG37" s="101">
        <f>IFERROR(s_RadSpec!$H$22*(BG22/$B37),".")</f>
        <v>2.32244375E-5</v>
      </c>
      <c r="BH37" s="101">
        <f>IFERROR(s_RadSpec!$H$22*(BH22/$B37),".")</f>
        <v>2.32244375E-5</v>
      </c>
      <c r="BI37" s="101">
        <f>IFERROR(s_RadSpec!$H$22*(BI22/$B37),".")</f>
        <v>2.32244375E-5</v>
      </c>
      <c r="BJ37" s="101">
        <f>IFERROR(s_RadSpec!$H$22*(BJ22/$B37),".")</f>
        <v>2.32244375E-5</v>
      </c>
      <c r="BK37" s="101">
        <f>IFERROR(s_RadSpec!$H$22*(BK22/$B37),".")</f>
        <v>2.32244375E-5</v>
      </c>
      <c r="BL37" s="101">
        <f>IFERROR(s_RadSpec!$H$22*(BL22/$B37),".")</f>
        <v>2.32244375E-5</v>
      </c>
      <c r="BM37" s="101">
        <f>IFERROR(s_RadSpec!$H$22*(BM22/$B37),".")</f>
        <v>2.32244375E-5</v>
      </c>
      <c r="BN37" s="101">
        <f>IFERROR(s_RadSpec!$H$22*(BN22/$B37),".")</f>
        <v>2.32244375E-5</v>
      </c>
      <c r="BO37" s="101">
        <f>IFERROR(s_RadSpec!$H$22*(BO22/$B37),".")</f>
        <v>2.32244375E-5</v>
      </c>
      <c r="BP37" s="101">
        <f>IFERROR(s_RadSpec!$H$22*(BP22/$B37),".")</f>
        <v>2.32244375E-5</v>
      </c>
      <c r="BQ37" s="101">
        <f>IFERROR(s_RadSpec!$H$22*(BQ22/$B37),".")</f>
        <v>2.32244375E-5</v>
      </c>
      <c r="BR37" s="101">
        <f>IFERROR(s_RadSpec!$H$22*(BR22/$B37),".")</f>
        <v>2.32244375E-5</v>
      </c>
      <c r="BS37" s="101">
        <f>IFERROR(s_RadSpec!$H$22*(BS22/$B37),".")</f>
        <v>2.32244375E-5</v>
      </c>
      <c r="BT37" s="101">
        <f>IFERROR(s_RadSpec!$H$22*(BT22/$B37),".")</f>
        <v>2.32244375E-5</v>
      </c>
      <c r="BU37" s="101">
        <f>IFERROR(s_RadSpec!$H$22*(BU22/$B37),".")</f>
        <v>2.32244375E-5</v>
      </c>
      <c r="BV37" s="101">
        <f>IFERROR(s_RadSpec!$H$22*(BV22/$B37),".")</f>
        <v>2.32244375E-5</v>
      </c>
      <c r="BW37" s="101">
        <f>IFERROR(s_RadSpec!$H$22*(BW22/$B37),".")</f>
        <v>2.32244375E-5</v>
      </c>
      <c r="BX37" s="101">
        <f>IFERROR(s_RadSpec!$H$22*(BX22/$B37),".")</f>
        <v>2.32244375E-5</v>
      </c>
      <c r="BY37" s="101">
        <f>IFERROR(s_RadSpec!$H$22*(BY22/$B37),".")</f>
        <v>2.32244375E-5</v>
      </c>
      <c r="BZ37" s="101">
        <f>IFERROR(s_RadSpec!$H$22*(BZ22/$B37),".")</f>
        <v>2.32244375E-5</v>
      </c>
      <c r="CA37" s="101">
        <f>IFERROR(s_RadSpec!$H$22*(CA22/$B37),".")</f>
        <v>2.32244375E-5</v>
      </c>
      <c r="CB37" s="101">
        <f>IFERROR(s_RadSpec!$H$22*(CB22/$B37),".")</f>
        <v>2.32244375E-5</v>
      </c>
    </row>
    <row r="38" spans="1:80" x14ac:dyDescent="0.25">
      <c r="A38" s="99" t="s">
        <v>1080</v>
      </c>
      <c r="B38" s="90">
        <v>1</v>
      </c>
      <c r="C38" s="100">
        <f t="shared" ref="C38" si="65">IFERROR($B38/C2,0)</f>
        <v>3.2861180000000001</v>
      </c>
      <c r="D38" s="100">
        <f t="shared" ref="D38:AC38" si="66">IFERROR($B38/D2,0)</f>
        <v>0.82152950000000002</v>
      </c>
      <c r="E38" s="100">
        <f t="shared" si="66"/>
        <v>0.82152950000000002</v>
      </c>
      <c r="F38" s="100">
        <f t="shared" si="66"/>
        <v>0.82152950000000002</v>
      </c>
      <c r="G38" s="100">
        <f t="shared" si="66"/>
        <v>0.82152950000000002</v>
      </c>
      <c r="H38" s="100">
        <f t="shared" si="66"/>
        <v>0.82152950000000002</v>
      </c>
      <c r="I38" s="100">
        <f t="shared" si="66"/>
        <v>0.82152950000000002</v>
      </c>
      <c r="J38" s="100">
        <f t="shared" si="66"/>
        <v>0.82152950000000002</v>
      </c>
      <c r="K38" s="100">
        <f t="shared" si="66"/>
        <v>0.82152950000000002</v>
      </c>
      <c r="L38" s="100">
        <f t="shared" si="66"/>
        <v>0.82152950000000002</v>
      </c>
      <c r="M38" s="100">
        <f t="shared" si="66"/>
        <v>0.82152950000000002</v>
      </c>
      <c r="N38" s="100">
        <f t="shared" si="66"/>
        <v>0.82152950000000002</v>
      </c>
      <c r="O38" s="100">
        <f t="shared" si="66"/>
        <v>0.82152950000000002</v>
      </c>
      <c r="P38" s="100">
        <f t="shared" si="66"/>
        <v>0.82152950000000002</v>
      </c>
      <c r="Q38" s="100">
        <f t="shared" si="66"/>
        <v>0.82152950000000002</v>
      </c>
      <c r="R38" s="100">
        <f t="shared" si="66"/>
        <v>0.82152950000000002</v>
      </c>
      <c r="S38" s="100">
        <f t="shared" si="66"/>
        <v>0.82152950000000002</v>
      </c>
      <c r="T38" s="100">
        <f t="shared" si="66"/>
        <v>0.82152950000000002</v>
      </c>
      <c r="U38" s="100">
        <f t="shared" ref="U38" si="67">IFERROR($B38/U2,0)</f>
        <v>0.82152950000000002</v>
      </c>
      <c r="V38" s="100">
        <f t="shared" si="66"/>
        <v>0.82152950000000002</v>
      </c>
      <c r="W38" s="100">
        <f t="shared" si="66"/>
        <v>0.82152950000000002</v>
      </c>
      <c r="X38" s="100">
        <f t="shared" si="66"/>
        <v>0.82152950000000002</v>
      </c>
      <c r="Y38" s="100">
        <f t="shared" si="66"/>
        <v>0.82152950000000002</v>
      </c>
      <c r="Z38" s="100">
        <f t="shared" si="66"/>
        <v>0.82152950000000002</v>
      </c>
      <c r="AA38" s="100">
        <f t="shared" si="66"/>
        <v>0.82152950000000002</v>
      </c>
      <c r="AB38" s="100">
        <f t="shared" si="66"/>
        <v>0.82152950000000002</v>
      </c>
      <c r="AC38" s="100">
        <f t="shared" si="66"/>
        <v>3.2861180000000001</v>
      </c>
      <c r="AD38" s="100">
        <f t="shared" ref="AD38:BB38" si="68">IFERROR($B38/AD2,0)</f>
        <v>0.82152950000000002</v>
      </c>
      <c r="AE38" s="100">
        <f t="shared" si="68"/>
        <v>0.82152950000000002</v>
      </c>
      <c r="AF38" s="100">
        <f t="shared" si="68"/>
        <v>0.82152950000000002</v>
      </c>
      <c r="AG38" s="100">
        <f t="shared" si="68"/>
        <v>0.82152950000000002</v>
      </c>
      <c r="AH38" s="100">
        <f t="shared" si="68"/>
        <v>0.82152950000000002</v>
      </c>
      <c r="AI38" s="100">
        <f t="shared" si="68"/>
        <v>0.82152950000000002</v>
      </c>
      <c r="AJ38" s="100">
        <f t="shared" si="68"/>
        <v>0.82152950000000002</v>
      </c>
      <c r="AK38" s="100">
        <f t="shared" si="68"/>
        <v>0.82152950000000002</v>
      </c>
      <c r="AL38" s="100">
        <f t="shared" si="68"/>
        <v>0.82152950000000002</v>
      </c>
      <c r="AM38" s="100">
        <f t="shared" si="68"/>
        <v>0.82152950000000002</v>
      </c>
      <c r="AN38" s="100">
        <f t="shared" si="68"/>
        <v>0.82152950000000002</v>
      </c>
      <c r="AO38" s="100">
        <f t="shared" si="68"/>
        <v>0.82152950000000002</v>
      </c>
      <c r="AP38" s="100">
        <f t="shared" si="68"/>
        <v>0.82152950000000002</v>
      </c>
      <c r="AQ38" s="100">
        <f t="shared" si="68"/>
        <v>0.82152950000000002</v>
      </c>
      <c r="AR38" s="100">
        <f t="shared" si="68"/>
        <v>0.82152950000000002</v>
      </c>
      <c r="AS38" s="100">
        <f t="shared" si="68"/>
        <v>0.82152950000000002</v>
      </c>
      <c r="AT38" s="100">
        <f t="shared" si="68"/>
        <v>0.82152950000000002</v>
      </c>
      <c r="AU38" s="100">
        <f t="shared" ref="AU38" si="69">IFERROR($B38/AU2,0)</f>
        <v>0.82152950000000002</v>
      </c>
      <c r="AV38" s="100">
        <f t="shared" si="68"/>
        <v>0.82152950000000002</v>
      </c>
      <c r="AW38" s="100">
        <f t="shared" si="68"/>
        <v>0.82152950000000002</v>
      </c>
      <c r="AX38" s="100">
        <f t="shared" si="68"/>
        <v>0.82152950000000002</v>
      </c>
      <c r="AY38" s="100">
        <f t="shared" si="68"/>
        <v>0.82152950000000002</v>
      </c>
      <c r="AZ38" s="100">
        <f t="shared" si="68"/>
        <v>0.82152950000000002</v>
      </c>
      <c r="BA38" s="100">
        <f t="shared" si="68"/>
        <v>0.82152950000000002</v>
      </c>
      <c r="BB38" s="100">
        <f t="shared" si="68"/>
        <v>0.82152950000000002</v>
      </c>
      <c r="BC38" s="101">
        <f t="shared" si="26"/>
        <v>1.6430590000000002E-4</v>
      </c>
      <c r="BD38" s="101">
        <f>IFERROR(s_RadSpec!$H$2*(BD2/$B38),".")</f>
        <v>4.1076475000000004E-5</v>
      </c>
      <c r="BE38" s="101">
        <f>IFERROR(s_RadSpec!$H$2*(BE2/$B38),".")</f>
        <v>4.1076475000000004E-5</v>
      </c>
      <c r="BF38" s="101">
        <f>IFERROR(s_RadSpec!$H$2*(BF2/$B38),".")</f>
        <v>4.1076475000000004E-5</v>
      </c>
      <c r="BG38" s="101">
        <f>IFERROR(s_RadSpec!$H$2*(BG2/$B38),".")</f>
        <v>4.1076475000000004E-5</v>
      </c>
      <c r="BH38" s="101">
        <f>IFERROR(s_RadSpec!$H$2*(BH2/$B38),".")</f>
        <v>4.1076475000000004E-5</v>
      </c>
      <c r="BI38" s="101">
        <f>IFERROR(s_RadSpec!$H$2*(BI2/$B38),".")</f>
        <v>4.1076475000000004E-5</v>
      </c>
      <c r="BJ38" s="101">
        <f>IFERROR(s_RadSpec!$H$2*(BJ2/$B38),".")</f>
        <v>4.1076475000000004E-5</v>
      </c>
      <c r="BK38" s="101">
        <f>IFERROR(s_RadSpec!$H$2*(BK2/$B38),".")</f>
        <v>4.1076475000000004E-5</v>
      </c>
      <c r="BL38" s="101">
        <f>IFERROR(s_RadSpec!$H$2*(BL2/$B38),".")</f>
        <v>4.1076475000000004E-5</v>
      </c>
      <c r="BM38" s="101">
        <f>IFERROR(s_RadSpec!$H$2*(BM2/$B38),".")</f>
        <v>4.1076475000000004E-5</v>
      </c>
      <c r="BN38" s="101">
        <f>IFERROR(s_RadSpec!$H$2*(BN2/$B38),".")</f>
        <v>4.1076475000000004E-5</v>
      </c>
      <c r="BO38" s="101">
        <f>IFERROR(s_RadSpec!$H$2*(BO2/$B38),".")</f>
        <v>4.1076475000000004E-5</v>
      </c>
      <c r="BP38" s="101">
        <f>IFERROR(s_RadSpec!$H$2*(BP2/$B38),".")</f>
        <v>4.1076475000000004E-5</v>
      </c>
      <c r="BQ38" s="101">
        <f>IFERROR(s_RadSpec!$H$2*(BQ2/$B38),".")</f>
        <v>4.1076475000000004E-5</v>
      </c>
      <c r="BR38" s="101">
        <f>IFERROR(s_RadSpec!$H$2*(BR2/$B38),".")</f>
        <v>4.1076475000000004E-5</v>
      </c>
      <c r="BS38" s="101">
        <f>IFERROR(s_RadSpec!$H$2*(BS2/$B38),".")</f>
        <v>4.1076475000000004E-5</v>
      </c>
      <c r="BT38" s="101">
        <f>IFERROR(s_RadSpec!$H$2*(BT2/$B38),".")</f>
        <v>4.1076475000000004E-5</v>
      </c>
      <c r="BU38" s="101">
        <f>IFERROR(s_RadSpec!$H$2*(BU2/$B38),".")</f>
        <v>4.1076475000000004E-5</v>
      </c>
      <c r="BV38" s="101">
        <f>IFERROR(s_RadSpec!$H$2*(BV2/$B38),".")</f>
        <v>4.1076475000000004E-5</v>
      </c>
      <c r="BW38" s="101">
        <f>IFERROR(s_RadSpec!$H$2*(BW2/$B38),".")</f>
        <v>4.1076475000000004E-5</v>
      </c>
      <c r="BX38" s="101">
        <f>IFERROR(s_RadSpec!$H$2*(BX2/$B38),".")</f>
        <v>4.1076475000000004E-5</v>
      </c>
      <c r="BY38" s="101">
        <f>IFERROR(s_RadSpec!$H$2*(BY2/$B38),".")</f>
        <v>4.1076475000000004E-5</v>
      </c>
      <c r="BZ38" s="101">
        <f>IFERROR(s_RadSpec!$H$2*(BZ2/$B38),".")</f>
        <v>4.1076475000000004E-5</v>
      </c>
      <c r="CA38" s="101">
        <f>IFERROR(s_RadSpec!$H$2*(CA2/$B38),".")</f>
        <v>4.1076475000000004E-5</v>
      </c>
      <c r="CB38" s="101">
        <f>IFERROR(s_RadSpec!$H$2*(CB2/$B38),".")</f>
        <v>4.1076475000000004E-5</v>
      </c>
    </row>
    <row r="39" spans="1:80" x14ac:dyDescent="0.25">
      <c r="A39" s="99" t="s">
        <v>1081</v>
      </c>
      <c r="B39" s="90">
        <v>1</v>
      </c>
      <c r="C39" s="100">
        <f t="shared" ref="C39" si="70">IFERROR($B39/C11,0)</f>
        <v>0</v>
      </c>
      <c r="D39" s="100">
        <f t="shared" ref="D39:AC39" si="71">IFERROR($B39/D11,0)</f>
        <v>0</v>
      </c>
      <c r="E39" s="100">
        <f t="shared" si="71"/>
        <v>0</v>
      </c>
      <c r="F39" s="100">
        <f t="shared" si="71"/>
        <v>0</v>
      </c>
      <c r="G39" s="100">
        <f t="shared" si="71"/>
        <v>0</v>
      </c>
      <c r="H39" s="100">
        <f t="shared" si="71"/>
        <v>0</v>
      </c>
      <c r="I39" s="100">
        <f t="shared" si="71"/>
        <v>0</v>
      </c>
      <c r="J39" s="100">
        <f t="shared" si="71"/>
        <v>0</v>
      </c>
      <c r="K39" s="100">
        <f t="shared" si="71"/>
        <v>0</v>
      </c>
      <c r="L39" s="100">
        <f t="shared" si="71"/>
        <v>0</v>
      </c>
      <c r="M39" s="100">
        <f t="shared" si="71"/>
        <v>0</v>
      </c>
      <c r="N39" s="100">
        <f t="shared" si="71"/>
        <v>0</v>
      </c>
      <c r="O39" s="100">
        <f t="shared" si="71"/>
        <v>0</v>
      </c>
      <c r="P39" s="100">
        <f t="shared" si="71"/>
        <v>0</v>
      </c>
      <c r="Q39" s="100">
        <f t="shared" si="71"/>
        <v>0</v>
      </c>
      <c r="R39" s="100">
        <f t="shared" si="71"/>
        <v>0</v>
      </c>
      <c r="S39" s="100">
        <f t="shared" si="71"/>
        <v>0</v>
      </c>
      <c r="T39" s="100">
        <f t="shared" si="71"/>
        <v>0</v>
      </c>
      <c r="U39" s="100">
        <f t="shared" ref="U39" si="72">IFERROR($B39/U11,0)</f>
        <v>0</v>
      </c>
      <c r="V39" s="100">
        <f t="shared" si="71"/>
        <v>0</v>
      </c>
      <c r="W39" s="100">
        <f t="shared" si="71"/>
        <v>0</v>
      </c>
      <c r="X39" s="100">
        <f t="shared" si="71"/>
        <v>0</v>
      </c>
      <c r="Y39" s="100">
        <f t="shared" si="71"/>
        <v>0</v>
      </c>
      <c r="Z39" s="100">
        <f t="shared" si="71"/>
        <v>0</v>
      </c>
      <c r="AA39" s="100">
        <f t="shared" si="71"/>
        <v>0</v>
      </c>
      <c r="AB39" s="100">
        <f t="shared" si="71"/>
        <v>0</v>
      </c>
      <c r="AC39" s="100">
        <f t="shared" si="71"/>
        <v>0</v>
      </c>
      <c r="AD39" s="100">
        <f t="shared" ref="AD39:BB39" si="73">IFERROR($B39/AD11,0)</f>
        <v>0</v>
      </c>
      <c r="AE39" s="100">
        <f t="shared" si="73"/>
        <v>0</v>
      </c>
      <c r="AF39" s="100">
        <f t="shared" si="73"/>
        <v>0</v>
      </c>
      <c r="AG39" s="100">
        <f t="shared" si="73"/>
        <v>0</v>
      </c>
      <c r="AH39" s="100">
        <f t="shared" si="73"/>
        <v>0</v>
      </c>
      <c r="AI39" s="100">
        <f t="shared" si="73"/>
        <v>0</v>
      </c>
      <c r="AJ39" s="100">
        <f t="shared" si="73"/>
        <v>0</v>
      </c>
      <c r="AK39" s="100">
        <f t="shared" si="73"/>
        <v>0</v>
      </c>
      <c r="AL39" s="100">
        <f t="shared" si="73"/>
        <v>0</v>
      </c>
      <c r="AM39" s="100">
        <f t="shared" si="73"/>
        <v>0</v>
      </c>
      <c r="AN39" s="100">
        <f t="shared" si="73"/>
        <v>0</v>
      </c>
      <c r="AO39" s="100">
        <f t="shared" si="73"/>
        <v>0</v>
      </c>
      <c r="AP39" s="100">
        <f t="shared" si="73"/>
        <v>0</v>
      </c>
      <c r="AQ39" s="100">
        <f t="shared" si="73"/>
        <v>0</v>
      </c>
      <c r="AR39" s="100">
        <f t="shared" si="73"/>
        <v>0</v>
      </c>
      <c r="AS39" s="100">
        <f t="shared" si="73"/>
        <v>0</v>
      </c>
      <c r="AT39" s="100">
        <f t="shared" si="73"/>
        <v>0</v>
      </c>
      <c r="AU39" s="100">
        <f t="shared" ref="AU39" si="74">IFERROR($B39/AU11,0)</f>
        <v>0</v>
      </c>
      <c r="AV39" s="100">
        <f t="shared" si="73"/>
        <v>0</v>
      </c>
      <c r="AW39" s="100">
        <f t="shared" si="73"/>
        <v>0</v>
      </c>
      <c r="AX39" s="100">
        <f t="shared" si="73"/>
        <v>0</v>
      </c>
      <c r="AY39" s="100">
        <f t="shared" si="73"/>
        <v>0</v>
      </c>
      <c r="AZ39" s="100">
        <f t="shared" si="73"/>
        <v>0</v>
      </c>
      <c r="BA39" s="100">
        <f t="shared" si="73"/>
        <v>0</v>
      </c>
      <c r="BB39" s="100">
        <f t="shared" si="73"/>
        <v>0</v>
      </c>
      <c r="BC39" s="101">
        <f t="shared" si="26"/>
        <v>0</v>
      </c>
      <c r="BD39" s="101">
        <f>IFERROR(s_RadSpec!$H$11*(BD11/$B39),".")</f>
        <v>0</v>
      </c>
      <c r="BE39" s="101">
        <f>IFERROR(s_RadSpec!$H$11*(BE11/$B39),".")</f>
        <v>0</v>
      </c>
      <c r="BF39" s="101">
        <f>IFERROR(s_RadSpec!$H$11*(BF11/$B39),".")</f>
        <v>0</v>
      </c>
      <c r="BG39" s="101">
        <f>IFERROR(s_RadSpec!$H$11*(BG11/$B39),".")</f>
        <v>0</v>
      </c>
      <c r="BH39" s="101">
        <f>IFERROR(s_RadSpec!$H$11*(BH11/$B39),".")</f>
        <v>0</v>
      </c>
      <c r="BI39" s="101">
        <f>IFERROR(s_RadSpec!$H$11*(BI11/$B39),".")</f>
        <v>0</v>
      </c>
      <c r="BJ39" s="101">
        <f>IFERROR(s_RadSpec!$H$11*(BJ11/$B39),".")</f>
        <v>0</v>
      </c>
      <c r="BK39" s="101">
        <f>IFERROR(s_RadSpec!$H$11*(BK11/$B39),".")</f>
        <v>0</v>
      </c>
      <c r="BL39" s="101">
        <f>IFERROR(s_RadSpec!$H$11*(BL11/$B39),".")</f>
        <v>0</v>
      </c>
      <c r="BM39" s="101">
        <f>IFERROR(s_RadSpec!$H$11*(BM11/$B39),".")</f>
        <v>0</v>
      </c>
      <c r="BN39" s="101">
        <f>IFERROR(s_RadSpec!$H$11*(BN11/$B39),".")</f>
        <v>0</v>
      </c>
      <c r="BO39" s="101">
        <f>IFERROR(s_RadSpec!$H$11*(BO11/$B39),".")</f>
        <v>0</v>
      </c>
      <c r="BP39" s="101">
        <f>IFERROR(s_RadSpec!$H$11*(BP11/$B39),".")</f>
        <v>0</v>
      </c>
      <c r="BQ39" s="101">
        <f>IFERROR(s_RadSpec!$H$11*(BQ11/$B39),".")</f>
        <v>0</v>
      </c>
      <c r="BR39" s="101">
        <f>IFERROR(s_RadSpec!$H$11*(BR11/$B39),".")</f>
        <v>0</v>
      </c>
      <c r="BS39" s="101">
        <f>IFERROR(s_RadSpec!$H$11*(BS11/$B39),".")</f>
        <v>0</v>
      </c>
      <c r="BT39" s="101">
        <f>IFERROR(s_RadSpec!$H$11*(BT11/$B39),".")</f>
        <v>0</v>
      </c>
      <c r="BU39" s="101">
        <f>IFERROR(s_RadSpec!$H$11*(BU11/$B39),".")</f>
        <v>0</v>
      </c>
      <c r="BV39" s="101">
        <f>IFERROR(s_RadSpec!$H$11*(BV11/$B39),".")</f>
        <v>0</v>
      </c>
      <c r="BW39" s="101">
        <f>IFERROR(s_RadSpec!$H$11*(BW11/$B39),".")</f>
        <v>0</v>
      </c>
      <c r="BX39" s="101">
        <f>IFERROR(s_RadSpec!$H$11*(BX11/$B39),".")</f>
        <v>0</v>
      </c>
      <c r="BY39" s="101">
        <f>IFERROR(s_RadSpec!$H$11*(BY11/$B39),".")</f>
        <v>0</v>
      </c>
      <c r="BZ39" s="101">
        <f>IFERROR(s_RadSpec!$H$11*(BZ11/$B39),".")</f>
        <v>0</v>
      </c>
      <c r="CA39" s="101">
        <f>IFERROR(s_RadSpec!$H$11*(CA11/$B39),".")</f>
        <v>0</v>
      </c>
      <c r="CB39" s="101">
        <f>IFERROR(s_RadSpec!$H$11*(CB11/$B39),".")</f>
        <v>0</v>
      </c>
    </row>
    <row r="40" spans="1:80" x14ac:dyDescent="0.25">
      <c r="A40" s="99" t="s">
        <v>1082</v>
      </c>
      <c r="B40" s="90">
        <v>1</v>
      </c>
      <c r="C40" s="100">
        <f t="shared" ref="C40" si="75">IFERROR($B40/C4,0)</f>
        <v>0</v>
      </c>
      <c r="D40" s="100">
        <f t="shared" ref="D40:AC40" si="76">IFERROR($B40/D4,0)</f>
        <v>0</v>
      </c>
      <c r="E40" s="100">
        <f t="shared" si="76"/>
        <v>0</v>
      </c>
      <c r="F40" s="100">
        <f t="shared" si="76"/>
        <v>0</v>
      </c>
      <c r="G40" s="100">
        <f t="shared" si="76"/>
        <v>0</v>
      </c>
      <c r="H40" s="100">
        <f t="shared" si="76"/>
        <v>0</v>
      </c>
      <c r="I40" s="100">
        <f t="shared" si="76"/>
        <v>0</v>
      </c>
      <c r="J40" s="100">
        <f t="shared" si="76"/>
        <v>0</v>
      </c>
      <c r="K40" s="100">
        <f t="shared" si="76"/>
        <v>0</v>
      </c>
      <c r="L40" s="100">
        <f t="shared" si="76"/>
        <v>0</v>
      </c>
      <c r="M40" s="100">
        <f t="shared" si="76"/>
        <v>0</v>
      </c>
      <c r="N40" s="100">
        <f t="shared" si="76"/>
        <v>0</v>
      </c>
      <c r="O40" s="100">
        <f t="shared" si="76"/>
        <v>0</v>
      </c>
      <c r="P40" s="100">
        <f t="shared" si="76"/>
        <v>0</v>
      </c>
      <c r="Q40" s="100">
        <f t="shared" si="76"/>
        <v>0</v>
      </c>
      <c r="R40" s="100">
        <f t="shared" si="76"/>
        <v>0</v>
      </c>
      <c r="S40" s="100">
        <f t="shared" si="76"/>
        <v>0</v>
      </c>
      <c r="T40" s="100">
        <f t="shared" si="76"/>
        <v>0</v>
      </c>
      <c r="U40" s="100">
        <f t="shared" ref="U40" si="77">IFERROR($B40/U4,0)</f>
        <v>0</v>
      </c>
      <c r="V40" s="100">
        <f t="shared" si="76"/>
        <v>0</v>
      </c>
      <c r="W40" s="100">
        <f t="shared" si="76"/>
        <v>0</v>
      </c>
      <c r="X40" s="100">
        <f t="shared" si="76"/>
        <v>0</v>
      </c>
      <c r="Y40" s="100">
        <f t="shared" si="76"/>
        <v>0</v>
      </c>
      <c r="Z40" s="100">
        <f t="shared" si="76"/>
        <v>0</v>
      </c>
      <c r="AA40" s="100">
        <f t="shared" si="76"/>
        <v>0</v>
      </c>
      <c r="AB40" s="100">
        <f t="shared" si="76"/>
        <v>0</v>
      </c>
      <c r="AC40" s="100">
        <f t="shared" si="76"/>
        <v>0</v>
      </c>
      <c r="AD40" s="100">
        <f t="shared" ref="AD40:BB40" si="78">IFERROR($B40/AD4,0)</f>
        <v>0</v>
      </c>
      <c r="AE40" s="100">
        <f t="shared" si="78"/>
        <v>0</v>
      </c>
      <c r="AF40" s="100">
        <f t="shared" si="78"/>
        <v>0</v>
      </c>
      <c r="AG40" s="100">
        <f t="shared" si="78"/>
        <v>0</v>
      </c>
      <c r="AH40" s="100">
        <f t="shared" si="78"/>
        <v>0</v>
      </c>
      <c r="AI40" s="100">
        <f t="shared" si="78"/>
        <v>0</v>
      </c>
      <c r="AJ40" s="100">
        <f t="shared" si="78"/>
        <v>0</v>
      </c>
      <c r="AK40" s="100">
        <f t="shared" si="78"/>
        <v>0</v>
      </c>
      <c r="AL40" s="100">
        <f t="shared" si="78"/>
        <v>0</v>
      </c>
      <c r="AM40" s="100">
        <f t="shared" si="78"/>
        <v>0</v>
      </c>
      <c r="AN40" s="100">
        <f t="shared" si="78"/>
        <v>0</v>
      </c>
      <c r="AO40" s="100">
        <f t="shared" si="78"/>
        <v>0</v>
      </c>
      <c r="AP40" s="100">
        <f t="shared" si="78"/>
        <v>0</v>
      </c>
      <c r="AQ40" s="100">
        <f t="shared" si="78"/>
        <v>0</v>
      </c>
      <c r="AR40" s="100">
        <f t="shared" si="78"/>
        <v>0</v>
      </c>
      <c r="AS40" s="100">
        <f t="shared" si="78"/>
        <v>0</v>
      </c>
      <c r="AT40" s="100">
        <f t="shared" si="78"/>
        <v>0</v>
      </c>
      <c r="AU40" s="100">
        <f t="shared" ref="AU40" si="79">IFERROR($B40/AU4,0)</f>
        <v>0</v>
      </c>
      <c r="AV40" s="100">
        <f t="shared" si="78"/>
        <v>0</v>
      </c>
      <c r="AW40" s="100">
        <f t="shared" si="78"/>
        <v>0</v>
      </c>
      <c r="AX40" s="100">
        <f t="shared" si="78"/>
        <v>0</v>
      </c>
      <c r="AY40" s="100">
        <f t="shared" si="78"/>
        <v>0</v>
      </c>
      <c r="AZ40" s="100">
        <f t="shared" si="78"/>
        <v>0</v>
      </c>
      <c r="BA40" s="100">
        <f t="shared" si="78"/>
        <v>0</v>
      </c>
      <c r="BB40" s="100">
        <f t="shared" si="78"/>
        <v>0</v>
      </c>
      <c r="BC40" s="101">
        <f t="shared" si="26"/>
        <v>0</v>
      </c>
      <c r="BD40" s="101">
        <f>IFERROR(s_RadSpec!$H$4*(BD4/$B40),".")</f>
        <v>0</v>
      </c>
      <c r="BE40" s="101">
        <f>IFERROR(s_RadSpec!$H$4*(BE4/$B40),".")</f>
        <v>0</v>
      </c>
      <c r="BF40" s="101">
        <f>IFERROR(s_RadSpec!$H$4*(BF4/$B40),".")</f>
        <v>0</v>
      </c>
      <c r="BG40" s="101">
        <f>IFERROR(s_RadSpec!$H$4*(BG4/$B40),".")</f>
        <v>0</v>
      </c>
      <c r="BH40" s="101">
        <f>IFERROR(s_RadSpec!$H$4*(BH4/$B40),".")</f>
        <v>0</v>
      </c>
      <c r="BI40" s="101">
        <f>IFERROR(s_RadSpec!$H$4*(BI4/$B40),".")</f>
        <v>0</v>
      </c>
      <c r="BJ40" s="101">
        <f>IFERROR(s_RadSpec!$H$4*(BJ4/$B40),".")</f>
        <v>0</v>
      </c>
      <c r="BK40" s="101">
        <f>IFERROR(s_RadSpec!$H$4*(BK4/$B40),".")</f>
        <v>0</v>
      </c>
      <c r="BL40" s="101">
        <f>IFERROR(s_RadSpec!$H$4*(BL4/$B40),".")</f>
        <v>0</v>
      </c>
      <c r="BM40" s="101">
        <f>IFERROR(s_RadSpec!$H$4*(BM4/$B40),".")</f>
        <v>0</v>
      </c>
      <c r="BN40" s="101">
        <f>IFERROR(s_RadSpec!$H$4*(BN4/$B40),".")</f>
        <v>0</v>
      </c>
      <c r="BO40" s="101">
        <f>IFERROR(s_RadSpec!$H$4*(BO4/$B40),".")</f>
        <v>0</v>
      </c>
      <c r="BP40" s="101">
        <f>IFERROR(s_RadSpec!$H$4*(BP4/$B40),".")</f>
        <v>0</v>
      </c>
      <c r="BQ40" s="101">
        <f>IFERROR(s_RadSpec!$H$4*(BQ4/$B40),".")</f>
        <v>0</v>
      </c>
      <c r="BR40" s="101">
        <f>IFERROR(s_RadSpec!$H$4*(BR4/$B40),".")</f>
        <v>0</v>
      </c>
      <c r="BS40" s="101">
        <f>IFERROR(s_RadSpec!$H$4*(BS4/$B40),".")</f>
        <v>0</v>
      </c>
      <c r="BT40" s="101">
        <f>IFERROR(s_RadSpec!$H$4*(BT4/$B40),".")</f>
        <v>0</v>
      </c>
      <c r="BU40" s="101">
        <f>IFERROR(s_RadSpec!$H$4*(BU4/$B40),".")</f>
        <v>0</v>
      </c>
      <c r="BV40" s="101">
        <f>IFERROR(s_RadSpec!$H$4*(BV4/$B40),".")</f>
        <v>0</v>
      </c>
      <c r="BW40" s="101">
        <f>IFERROR(s_RadSpec!$H$4*(BW4/$B40),".")</f>
        <v>0</v>
      </c>
      <c r="BX40" s="101">
        <f>IFERROR(s_RadSpec!$H$4*(BX4/$B40),".")</f>
        <v>0</v>
      </c>
      <c r="BY40" s="101">
        <f>IFERROR(s_RadSpec!$H$4*(BY4/$B40),".")</f>
        <v>0</v>
      </c>
      <c r="BZ40" s="101">
        <f>IFERROR(s_RadSpec!$H$4*(BZ4/$B40),".")</f>
        <v>0</v>
      </c>
      <c r="CA40" s="101">
        <f>IFERROR(s_RadSpec!$H$4*(CA4/$B40),".")</f>
        <v>0</v>
      </c>
      <c r="CB40" s="101">
        <f>IFERROR(s_RadSpec!$H$4*(CB4/$B40),".")</f>
        <v>0</v>
      </c>
    </row>
    <row r="41" spans="1:80" x14ac:dyDescent="0.25">
      <c r="A41" s="99" t="s">
        <v>1083</v>
      </c>
      <c r="B41" s="102">
        <v>0.99987999999999999</v>
      </c>
      <c r="C41" s="100">
        <f t="shared" ref="C41" si="80">IFERROR($B41/C8,0)</f>
        <v>8.6843377543999994E-3</v>
      </c>
      <c r="D41" s="100">
        <f t="shared" ref="D41:AC41" si="81">IFERROR($B41/D8,0)</f>
        <v>2.1710844385999998E-3</v>
      </c>
      <c r="E41" s="100">
        <f t="shared" si="81"/>
        <v>2.1710844385999998E-3</v>
      </c>
      <c r="F41" s="100">
        <f t="shared" si="81"/>
        <v>2.1710844385999998E-3</v>
      </c>
      <c r="G41" s="100">
        <f t="shared" si="81"/>
        <v>2.1710844385999998E-3</v>
      </c>
      <c r="H41" s="100">
        <f t="shared" si="81"/>
        <v>2.1710844385999998E-3</v>
      </c>
      <c r="I41" s="100">
        <f t="shared" si="81"/>
        <v>2.1710844385999998E-3</v>
      </c>
      <c r="J41" s="100">
        <f t="shared" si="81"/>
        <v>2.1710844385999998E-3</v>
      </c>
      <c r="K41" s="100">
        <f t="shared" si="81"/>
        <v>2.1710844385999998E-3</v>
      </c>
      <c r="L41" s="100">
        <f t="shared" si="81"/>
        <v>2.1710844385999998E-3</v>
      </c>
      <c r="M41" s="100">
        <f t="shared" si="81"/>
        <v>2.1710844385999998E-3</v>
      </c>
      <c r="N41" s="100">
        <f t="shared" si="81"/>
        <v>2.1710844385999998E-3</v>
      </c>
      <c r="O41" s="100">
        <f t="shared" si="81"/>
        <v>2.1710844385999998E-3</v>
      </c>
      <c r="P41" s="100">
        <f t="shared" si="81"/>
        <v>2.1710844385999998E-3</v>
      </c>
      <c r="Q41" s="100">
        <f t="shared" si="81"/>
        <v>2.1710844385999998E-3</v>
      </c>
      <c r="R41" s="100">
        <f t="shared" si="81"/>
        <v>2.1710844385999998E-3</v>
      </c>
      <c r="S41" s="100">
        <f t="shared" si="81"/>
        <v>2.1710844385999998E-3</v>
      </c>
      <c r="T41" s="100">
        <f t="shared" si="81"/>
        <v>2.1710844385999998E-3</v>
      </c>
      <c r="U41" s="100">
        <f t="shared" ref="U41" si="82">IFERROR($B41/U8,0)</f>
        <v>2.1710844385999998E-3</v>
      </c>
      <c r="V41" s="100">
        <f t="shared" si="81"/>
        <v>2.1710844385999998E-3</v>
      </c>
      <c r="W41" s="100">
        <f t="shared" si="81"/>
        <v>2.1710844385999998E-3</v>
      </c>
      <c r="X41" s="100">
        <f t="shared" si="81"/>
        <v>2.1710844385999998E-3</v>
      </c>
      <c r="Y41" s="100">
        <f t="shared" si="81"/>
        <v>2.1710844385999998E-3</v>
      </c>
      <c r="Z41" s="100">
        <f t="shared" si="81"/>
        <v>2.1710844385999998E-3</v>
      </c>
      <c r="AA41" s="100">
        <f t="shared" si="81"/>
        <v>2.1710844385999998E-3</v>
      </c>
      <c r="AB41" s="100">
        <f t="shared" si="81"/>
        <v>2.1710844385999998E-3</v>
      </c>
      <c r="AC41" s="100">
        <f t="shared" si="81"/>
        <v>8.6843377543999994E-3</v>
      </c>
      <c r="AD41" s="100">
        <f t="shared" ref="AD41:BB41" si="83">IFERROR($B41/AD8,0)</f>
        <v>2.1710844385999998E-3</v>
      </c>
      <c r="AE41" s="100">
        <f t="shared" si="83"/>
        <v>2.1710844385999998E-3</v>
      </c>
      <c r="AF41" s="100">
        <f t="shared" si="83"/>
        <v>2.1710844385999998E-3</v>
      </c>
      <c r="AG41" s="100">
        <f t="shared" si="83"/>
        <v>2.1710844385999998E-3</v>
      </c>
      <c r="AH41" s="100">
        <f t="shared" si="83"/>
        <v>2.1710844385999998E-3</v>
      </c>
      <c r="AI41" s="100">
        <f t="shared" si="83"/>
        <v>2.1710844385999998E-3</v>
      </c>
      <c r="AJ41" s="100">
        <f t="shared" si="83"/>
        <v>2.1710844385999998E-3</v>
      </c>
      <c r="AK41" s="100">
        <f t="shared" si="83"/>
        <v>2.1710844385999998E-3</v>
      </c>
      <c r="AL41" s="100">
        <f t="shared" si="83"/>
        <v>2.1710844385999998E-3</v>
      </c>
      <c r="AM41" s="100">
        <f t="shared" si="83"/>
        <v>2.1710844385999998E-3</v>
      </c>
      <c r="AN41" s="100">
        <f t="shared" si="83"/>
        <v>2.1710844385999998E-3</v>
      </c>
      <c r="AO41" s="100">
        <f t="shared" si="83"/>
        <v>2.1710844385999998E-3</v>
      </c>
      <c r="AP41" s="100">
        <f t="shared" si="83"/>
        <v>2.1710844385999998E-3</v>
      </c>
      <c r="AQ41" s="100">
        <f t="shared" si="83"/>
        <v>2.1710844385999998E-3</v>
      </c>
      <c r="AR41" s="100">
        <f t="shared" si="83"/>
        <v>2.1710844385999998E-3</v>
      </c>
      <c r="AS41" s="100">
        <f t="shared" si="83"/>
        <v>2.1710844385999998E-3</v>
      </c>
      <c r="AT41" s="100">
        <f t="shared" si="83"/>
        <v>2.1710844385999998E-3</v>
      </c>
      <c r="AU41" s="100">
        <f t="shared" ref="AU41" si="84">IFERROR($B41/AU8,0)</f>
        <v>2.1710844385999998E-3</v>
      </c>
      <c r="AV41" s="100">
        <f t="shared" si="83"/>
        <v>2.1710844385999998E-3</v>
      </c>
      <c r="AW41" s="100">
        <f t="shared" si="83"/>
        <v>2.1710844385999998E-3</v>
      </c>
      <c r="AX41" s="100">
        <f t="shared" si="83"/>
        <v>2.1710844385999998E-3</v>
      </c>
      <c r="AY41" s="100">
        <f t="shared" si="83"/>
        <v>2.1710844385999998E-3</v>
      </c>
      <c r="AZ41" s="100">
        <f t="shared" si="83"/>
        <v>2.1710844385999998E-3</v>
      </c>
      <c r="BA41" s="100">
        <f t="shared" si="83"/>
        <v>2.1710844385999998E-3</v>
      </c>
      <c r="BB41" s="100">
        <f t="shared" si="83"/>
        <v>2.1710844385999998E-3</v>
      </c>
      <c r="BC41" s="101">
        <f t="shared" si="26"/>
        <v>4.3432111853422418E-7</v>
      </c>
      <c r="BD41" s="101">
        <f>IFERROR(s_RadSpec!$H$8*(BD8/$B41),".")</f>
        <v>1.0858027963355604E-7</v>
      </c>
      <c r="BE41" s="101">
        <f>IFERROR(s_RadSpec!$H$8*(BE8/$B41),".")</f>
        <v>1.0858027963355604E-7</v>
      </c>
      <c r="BF41" s="101">
        <f>IFERROR(s_RadSpec!$H$8*(BF8/$B41),".")</f>
        <v>1.0858027963355604E-7</v>
      </c>
      <c r="BG41" s="101">
        <f>IFERROR(s_RadSpec!$H$8*(BG8/$B41),".")</f>
        <v>1.0858027963355604E-7</v>
      </c>
      <c r="BH41" s="101">
        <f>IFERROR(s_RadSpec!$H$8*(BH8/$B41),".")</f>
        <v>1.0858027963355604E-7</v>
      </c>
      <c r="BI41" s="101">
        <f>IFERROR(s_RadSpec!$H$8*(BI8/$B41),".")</f>
        <v>1.0858027963355604E-7</v>
      </c>
      <c r="BJ41" s="101">
        <f>IFERROR(s_RadSpec!$H$8*(BJ8/$B41),".")</f>
        <v>1.0858027963355604E-7</v>
      </c>
      <c r="BK41" s="101">
        <f>IFERROR(s_RadSpec!$H$8*(BK8/$B41),".")</f>
        <v>1.0858027963355604E-7</v>
      </c>
      <c r="BL41" s="101">
        <f>IFERROR(s_RadSpec!$H$8*(BL8/$B41),".")</f>
        <v>1.0858027963355604E-7</v>
      </c>
      <c r="BM41" s="101">
        <f>IFERROR(s_RadSpec!$H$8*(BM8/$B41),".")</f>
        <v>1.0858027963355604E-7</v>
      </c>
      <c r="BN41" s="101">
        <f>IFERROR(s_RadSpec!$H$8*(BN8/$B41),".")</f>
        <v>1.0858027963355604E-7</v>
      </c>
      <c r="BO41" s="101">
        <f>IFERROR(s_RadSpec!$H$8*(BO8/$B41),".")</f>
        <v>1.0858027963355604E-7</v>
      </c>
      <c r="BP41" s="101">
        <f>IFERROR(s_RadSpec!$H$8*(BP8/$B41),".")</f>
        <v>1.0858027963355604E-7</v>
      </c>
      <c r="BQ41" s="101">
        <f>IFERROR(s_RadSpec!$H$8*(BQ8/$B41),".")</f>
        <v>1.0858027963355604E-7</v>
      </c>
      <c r="BR41" s="101">
        <f>IFERROR(s_RadSpec!$H$8*(BR8/$B41),".")</f>
        <v>1.0858027963355604E-7</v>
      </c>
      <c r="BS41" s="101">
        <f>IFERROR(s_RadSpec!$H$8*(BS8/$B41),".")</f>
        <v>1.0858027963355604E-7</v>
      </c>
      <c r="BT41" s="101">
        <f>IFERROR(s_RadSpec!$H$8*(BT8/$B41),".")</f>
        <v>1.0858027963355604E-7</v>
      </c>
      <c r="BU41" s="101">
        <f>IFERROR(s_RadSpec!$H$8*(BU8/$B41),".")</f>
        <v>1.0858027963355604E-7</v>
      </c>
      <c r="BV41" s="101">
        <f>IFERROR(s_RadSpec!$H$8*(BV8/$B41),".")</f>
        <v>1.0858027963355604E-7</v>
      </c>
      <c r="BW41" s="101">
        <f>IFERROR(s_RadSpec!$H$8*(BW8/$B41),".")</f>
        <v>1.0858027963355604E-7</v>
      </c>
      <c r="BX41" s="101">
        <f>IFERROR(s_RadSpec!$H$8*(BX8/$B41),".")</f>
        <v>1.0858027963355604E-7</v>
      </c>
      <c r="BY41" s="101">
        <f>IFERROR(s_RadSpec!$H$8*(BY8/$B41),".")</f>
        <v>1.0858027963355604E-7</v>
      </c>
      <c r="BZ41" s="101">
        <f>IFERROR(s_RadSpec!$H$8*(BZ8/$B41),".")</f>
        <v>1.0858027963355604E-7</v>
      </c>
      <c r="CA41" s="101">
        <f>IFERROR(s_RadSpec!$H$8*(CA8/$B41),".")</f>
        <v>1.0858027963355604E-7</v>
      </c>
      <c r="CB41" s="101">
        <f>IFERROR(s_RadSpec!$H$8*(CB8/$B41),".")</f>
        <v>1.0858027963355604E-7</v>
      </c>
    </row>
    <row r="42" spans="1:80" x14ac:dyDescent="0.25">
      <c r="A42" s="99" t="s">
        <v>1084</v>
      </c>
      <c r="B42" s="90">
        <v>0.97898250799999997</v>
      </c>
      <c r="C42" s="100">
        <f t="shared" ref="C42" si="85">IFERROR($B42/C19,0)</f>
        <v>0</v>
      </c>
      <c r="D42" s="100">
        <f t="shared" ref="D42:AC42" si="86">IFERROR($B42/D19,0)</f>
        <v>0</v>
      </c>
      <c r="E42" s="100">
        <f t="shared" si="86"/>
        <v>0</v>
      </c>
      <c r="F42" s="100">
        <f t="shared" si="86"/>
        <v>0</v>
      </c>
      <c r="G42" s="100">
        <f t="shared" si="86"/>
        <v>0</v>
      </c>
      <c r="H42" s="100">
        <f t="shared" si="86"/>
        <v>0</v>
      </c>
      <c r="I42" s="100">
        <f t="shared" si="86"/>
        <v>0</v>
      </c>
      <c r="J42" s="100">
        <f t="shared" si="86"/>
        <v>0</v>
      </c>
      <c r="K42" s="100">
        <f t="shared" si="86"/>
        <v>0</v>
      </c>
      <c r="L42" s="100">
        <f t="shared" si="86"/>
        <v>0</v>
      </c>
      <c r="M42" s="100">
        <f t="shared" si="86"/>
        <v>0</v>
      </c>
      <c r="N42" s="100">
        <f t="shared" si="86"/>
        <v>0</v>
      </c>
      <c r="O42" s="100">
        <f t="shared" si="86"/>
        <v>0</v>
      </c>
      <c r="P42" s="100">
        <f t="shared" si="86"/>
        <v>0</v>
      </c>
      <c r="Q42" s="100">
        <f t="shared" si="86"/>
        <v>0</v>
      </c>
      <c r="R42" s="100">
        <f t="shared" si="86"/>
        <v>0</v>
      </c>
      <c r="S42" s="100">
        <f t="shared" si="86"/>
        <v>0</v>
      </c>
      <c r="T42" s="100">
        <f t="shared" si="86"/>
        <v>0</v>
      </c>
      <c r="U42" s="100">
        <f t="shared" ref="U42" si="87">IFERROR($B42/U19,0)</f>
        <v>0</v>
      </c>
      <c r="V42" s="100">
        <f t="shared" si="86"/>
        <v>0</v>
      </c>
      <c r="W42" s="100">
        <f t="shared" si="86"/>
        <v>0</v>
      </c>
      <c r="X42" s="100">
        <f t="shared" si="86"/>
        <v>0</v>
      </c>
      <c r="Y42" s="100">
        <f t="shared" si="86"/>
        <v>0</v>
      </c>
      <c r="Z42" s="100">
        <f t="shared" si="86"/>
        <v>0</v>
      </c>
      <c r="AA42" s="100">
        <f t="shared" si="86"/>
        <v>0</v>
      </c>
      <c r="AB42" s="100">
        <f t="shared" si="86"/>
        <v>0</v>
      </c>
      <c r="AC42" s="100">
        <f t="shared" si="86"/>
        <v>0</v>
      </c>
      <c r="AD42" s="100">
        <f t="shared" ref="AD42:BB42" si="88">IFERROR($B42/AD19,0)</f>
        <v>0</v>
      </c>
      <c r="AE42" s="100">
        <f t="shared" si="88"/>
        <v>0</v>
      </c>
      <c r="AF42" s="100">
        <f t="shared" si="88"/>
        <v>0</v>
      </c>
      <c r="AG42" s="100">
        <f t="shared" si="88"/>
        <v>0</v>
      </c>
      <c r="AH42" s="100">
        <f t="shared" si="88"/>
        <v>0</v>
      </c>
      <c r="AI42" s="100">
        <f t="shared" si="88"/>
        <v>0</v>
      </c>
      <c r="AJ42" s="100">
        <f t="shared" si="88"/>
        <v>0</v>
      </c>
      <c r="AK42" s="100">
        <f t="shared" si="88"/>
        <v>0</v>
      </c>
      <c r="AL42" s="100">
        <f t="shared" si="88"/>
        <v>0</v>
      </c>
      <c r="AM42" s="100">
        <f t="shared" si="88"/>
        <v>0</v>
      </c>
      <c r="AN42" s="100">
        <f t="shared" si="88"/>
        <v>0</v>
      </c>
      <c r="AO42" s="100">
        <f t="shared" si="88"/>
        <v>0</v>
      </c>
      <c r="AP42" s="100">
        <f t="shared" si="88"/>
        <v>0</v>
      </c>
      <c r="AQ42" s="100">
        <f t="shared" si="88"/>
        <v>0</v>
      </c>
      <c r="AR42" s="100">
        <f t="shared" si="88"/>
        <v>0</v>
      </c>
      <c r="AS42" s="100">
        <f t="shared" si="88"/>
        <v>0</v>
      </c>
      <c r="AT42" s="100">
        <f t="shared" si="88"/>
        <v>0</v>
      </c>
      <c r="AU42" s="100">
        <f t="shared" ref="AU42" si="89">IFERROR($B42/AU19,0)</f>
        <v>0</v>
      </c>
      <c r="AV42" s="100">
        <f t="shared" si="88"/>
        <v>0</v>
      </c>
      <c r="AW42" s="100">
        <f t="shared" si="88"/>
        <v>0</v>
      </c>
      <c r="AX42" s="100">
        <f t="shared" si="88"/>
        <v>0</v>
      </c>
      <c r="AY42" s="100">
        <f t="shared" si="88"/>
        <v>0</v>
      </c>
      <c r="AZ42" s="100">
        <f t="shared" si="88"/>
        <v>0</v>
      </c>
      <c r="BA42" s="100">
        <f t="shared" si="88"/>
        <v>0</v>
      </c>
      <c r="BB42" s="100">
        <f t="shared" si="88"/>
        <v>0</v>
      </c>
      <c r="BC42" s="101">
        <f t="shared" si="26"/>
        <v>0</v>
      </c>
      <c r="BD42" s="101">
        <f>IFERROR(s_RadSpec!$H$19*(BD19/$B42),".")</f>
        <v>0</v>
      </c>
      <c r="BE42" s="101">
        <f>IFERROR(s_RadSpec!$H$19*(BE19/$B42),".")</f>
        <v>0</v>
      </c>
      <c r="BF42" s="101">
        <f>IFERROR(s_RadSpec!$H$19*(BF19/$B42),".")</f>
        <v>0</v>
      </c>
      <c r="BG42" s="101">
        <f>IFERROR(s_RadSpec!$H$19*(BG19/$B42),".")</f>
        <v>0</v>
      </c>
      <c r="BH42" s="101">
        <f>IFERROR(s_RadSpec!$H$19*(BH19/$B42),".")</f>
        <v>0</v>
      </c>
      <c r="BI42" s="101">
        <f>IFERROR(s_RadSpec!$H$19*(BI19/$B42),".")</f>
        <v>0</v>
      </c>
      <c r="BJ42" s="101">
        <f>IFERROR(s_RadSpec!$H$19*(BJ19/$B42),".")</f>
        <v>0</v>
      </c>
      <c r="BK42" s="101">
        <f>IFERROR(s_RadSpec!$H$19*(BK19/$B42),".")</f>
        <v>0</v>
      </c>
      <c r="BL42" s="101">
        <f>IFERROR(s_RadSpec!$H$19*(BL19/$B42),".")</f>
        <v>0</v>
      </c>
      <c r="BM42" s="101">
        <f>IFERROR(s_RadSpec!$H$19*(BM19/$B42),".")</f>
        <v>0</v>
      </c>
      <c r="BN42" s="101">
        <f>IFERROR(s_RadSpec!$H$19*(BN19/$B42),".")</f>
        <v>0</v>
      </c>
      <c r="BO42" s="101">
        <f>IFERROR(s_RadSpec!$H$19*(BO19/$B42),".")</f>
        <v>0</v>
      </c>
      <c r="BP42" s="101">
        <f>IFERROR(s_RadSpec!$H$19*(BP19/$B42),".")</f>
        <v>0</v>
      </c>
      <c r="BQ42" s="101">
        <f>IFERROR(s_RadSpec!$H$19*(BQ19/$B42),".")</f>
        <v>0</v>
      </c>
      <c r="BR42" s="101">
        <f>IFERROR(s_RadSpec!$H$19*(BR19/$B42),".")</f>
        <v>0</v>
      </c>
      <c r="BS42" s="101">
        <f>IFERROR(s_RadSpec!$H$19*(BS19/$B42),".")</f>
        <v>0</v>
      </c>
      <c r="BT42" s="101">
        <f>IFERROR(s_RadSpec!$H$19*(BT19/$B42),".")</f>
        <v>0</v>
      </c>
      <c r="BU42" s="101">
        <f>IFERROR(s_RadSpec!$H$19*(BU19/$B42),".")</f>
        <v>0</v>
      </c>
      <c r="BV42" s="101">
        <f>IFERROR(s_RadSpec!$H$19*(BV19/$B42),".")</f>
        <v>0</v>
      </c>
      <c r="BW42" s="101">
        <f>IFERROR(s_RadSpec!$H$19*(BW19/$B42),".")</f>
        <v>0</v>
      </c>
      <c r="BX42" s="101">
        <f>IFERROR(s_RadSpec!$H$19*(BX19/$B42),".")</f>
        <v>0</v>
      </c>
      <c r="BY42" s="101">
        <f>IFERROR(s_RadSpec!$H$19*(BY19/$B42),".")</f>
        <v>0</v>
      </c>
      <c r="BZ42" s="101">
        <f>IFERROR(s_RadSpec!$H$19*(BZ19/$B42),".")</f>
        <v>0</v>
      </c>
      <c r="CA42" s="101">
        <f>IFERROR(s_RadSpec!$H$19*(CA19/$B42),".")</f>
        <v>0</v>
      </c>
      <c r="CB42" s="101">
        <f>IFERROR(s_RadSpec!$H$19*(CB19/$B42),".")</f>
        <v>0</v>
      </c>
    </row>
    <row r="43" spans="1:80" x14ac:dyDescent="0.25">
      <c r="A43" s="99" t="s">
        <v>1085</v>
      </c>
      <c r="B43" s="90">
        <v>2.0897492E-2</v>
      </c>
      <c r="C43" s="100">
        <f t="shared" ref="C43" si="90">IFERROR($B43/C28,0)</f>
        <v>0</v>
      </c>
      <c r="D43" s="100">
        <f t="shared" ref="D43:AC43" si="91">IFERROR($B43/D28,0)</f>
        <v>0</v>
      </c>
      <c r="E43" s="100">
        <f t="shared" si="91"/>
        <v>0</v>
      </c>
      <c r="F43" s="100">
        <f t="shared" si="91"/>
        <v>0</v>
      </c>
      <c r="G43" s="100">
        <f t="shared" si="91"/>
        <v>0</v>
      </c>
      <c r="H43" s="100">
        <f t="shared" si="91"/>
        <v>0</v>
      </c>
      <c r="I43" s="100">
        <f t="shared" si="91"/>
        <v>0</v>
      </c>
      <c r="J43" s="100">
        <f t="shared" si="91"/>
        <v>0</v>
      </c>
      <c r="K43" s="100">
        <f t="shared" si="91"/>
        <v>0</v>
      </c>
      <c r="L43" s="100">
        <f t="shared" si="91"/>
        <v>0</v>
      </c>
      <c r="M43" s="100">
        <f t="shared" si="91"/>
        <v>0</v>
      </c>
      <c r="N43" s="100">
        <f t="shared" si="91"/>
        <v>0</v>
      </c>
      <c r="O43" s="100">
        <f t="shared" si="91"/>
        <v>0</v>
      </c>
      <c r="P43" s="100">
        <f t="shared" si="91"/>
        <v>0</v>
      </c>
      <c r="Q43" s="100">
        <f t="shared" si="91"/>
        <v>0</v>
      </c>
      <c r="R43" s="100">
        <f t="shared" si="91"/>
        <v>0</v>
      </c>
      <c r="S43" s="100">
        <f t="shared" si="91"/>
        <v>0</v>
      </c>
      <c r="T43" s="100">
        <f t="shared" si="91"/>
        <v>0</v>
      </c>
      <c r="U43" s="100">
        <f t="shared" ref="U43" si="92">IFERROR($B43/U28,0)</f>
        <v>0</v>
      </c>
      <c r="V43" s="100">
        <f t="shared" si="91"/>
        <v>0</v>
      </c>
      <c r="W43" s="100">
        <f t="shared" si="91"/>
        <v>0</v>
      </c>
      <c r="X43" s="100">
        <f t="shared" si="91"/>
        <v>0</v>
      </c>
      <c r="Y43" s="100">
        <f t="shared" si="91"/>
        <v>0</v>
      </c>
      <c r="Z43" s="100">
        <f t="shared" si="91"/>
        <v>0</v>
      </c>
      <c r="AA43" s="100">
        <f t="shared" si="91"/>
        <v>0</v>
      </c>
      <c r="AB43" s="100">
        <f t="shared" si="91"/>
        <v>0</v>
      </c>
      <c r="AC43" s="100">
        <f t="shared" si="91"/>
        <v>0</v>
      </c>
      <c r="AD43" s="100">
        <f t="shared" ref="AD43:BB43" si="93">IFERROR($B43/AD28,0)</f>
        <v>0</v>
      </c>
      <c r="AE43" s="100">
        <f t="shared" si="93"/>
        <v>0</v>
      </c>
      <c r="AF43" s="100">
        <f t="shared" si="93"/>
        <v>0</v>
      </c>
      <c r="AG43" s="100">
        <f t="shared" si="93"/>
        <v>0</v>
      </c>
      <c r="AH43" s="100">
        <f t="shared" si="93"/>
        <v>0</v>
      </c>
      <c r="AI43" s="100">
        <f t="shared" si="93"/>
        <v>0</v>
      </c>
      <c r="AJ43" s="100">
        <f t="shared" si="93"/>
        <v>0</v>
      </c>
      <c r="AK43" s="100">
        <f t="shared" si="93"/>
        <v>0</v>
      </c>
      <c r="AL43" s="100">
        <f t="shared" si="93"/>
        <v>0</v>
      </c>
      <c r="AM43" s="100">
        <f t="shared" si="93"/>
        <v>0</v>
      </c>
      <c r="AN43" s="100">
        <f t="shared" si="93"/>
        <v>0</v>
      </c>
      <c r="AO43" s="100">
        <f t="shared" si="93"/>
        <v>0</v>
      </c>
      <c r="AP43" s="100">
        <f t="shared" si="93"/>
        <v>0</v>
      </c>
      <c r="AQ43" s="100">
        <f t="shared" si="93"/>
        <v>0</v>
      </c>
      <c r="AR43" s="100">
        <f t="shared" si="93"/>
        <v>0</v>
      </c>
      <c r="AS43" s="100">
        <f t="shared" si="93"/>
        <v>0</v>
      </c>
      <c r="AT43" s="100">
        <f t="shared" si="93"/>
        <v>0</v>
      </c>
      <c r="AU43" s="100">
        <f t="shared" ref="AU43" si="94">IFERROR($B43/AU28,0)</f>
        <v>0</v>
      </c>
      <c r="AV43" s="100">
        <f t="shared" si="93"/>
        <v>0</v>
      </c>
      <c r="AW43" s="100">
        <f t="shared" si="93"/>
        <v>0</v>
      </c>
      <c r="AX43" s="100">
        <f t="shared" si="93"/>
        <v>0</v>
      </c>
      <c r="AY43" s="100">
        <f t="shared" si="93"/>
        <v>0</v>
      </c>
      <c r="AZ43" s="100">
        <f t="shared" si="93"/>
        <v>0</v>
      </c>
      <c r="BA43" s="100">
        <f t="shared" si="93"/>
        <v>0</v>
      </c>
      <c r="BB43" s="100">
        <f t="shared" si="93"/>
        <v>0</v>
      </c>
      <c r="BC43" s="101">
        <f t="shared" si="26"/>
        <v>0</v>
      </c>
      <c r="BD43" s="101">
        <f>IFERROR(s_RadSpec!$H$28*(BD28/$B43),".")</f>
        <v>0</v>
      </c>
      <c r="BE43" s="101">
        <f>IFERROR(s_RadSpec!$H$28*(BE28/$B43),".")</f>
        <v>0</v>
      </c>
      <c r="BF43" s="101">
        <f>IFERROR(s_RadSpec!$H$28*(BF28/$B43),".")</f>
        <v>0</v>
      </c>
      <c r="BG43" s="101">
        <f>IFERROR(s_RadSpec!$H$28*(BG28/$B43),".")</f>
        <v>0</v>
      </c>
      <c r="BH43" s="101">
        <f>IFERROR(s_RadSpec!$H$28*(BH28/$B43),".")</f>
        <v>0</v>
      </c>
      <c r="BI43" s="101">
        <f>IFERROR(s_RadSpec!$H$28*(BI28/$B43),".")</f>
        <v>0</v>
      </c>
      <c r="BJ43" s="101">
        <f>IFERROR(s_RadSpec!$H$28*(BJ28/$B43),".")</f>
        <v>0</v>
      </c>
      <c r="BK43" s="101">
        <f>IFERROR(s_RadSpec!$H$28*(BK28/$B43),".")</f>
        <v>0</v>
      </c>
      <c r="BL43" s="101">
        <f>IFERROR(s_RadSpec!$H$28*(BL28/$B43),".")</f>
        <v>0</v>
      </c>
      <c r="BM43" s="101">
        <f>IFERROR(s_RadSpec!$H$28*(BM28/$B43),".")</f>
        <v>0</v>
      </c>
      <c r="BN43" s="101">
        <f>IFERROR(s_RadSpec!$H$28*(BN28/$B43),".")</f>
        <v>0</v>
      </c>
      <c r="BO43" s="101">
        <f>IFERROR(s_RadSpec!$H$28*(BO28/$B43),".")</f>
        <v>0</v>
      </c>
      <c r="BP43" s="101">
        <f>IFERROR(s_RadSpec!$H$28*(BP28/$B43),".")</f>
        <v>0</v>
      </c>
      <c r="BQ43" s="101">
        <f>IFERROR(s_RadSpec!$H$28*(BQ28/$B43),".")</f>
        <v>0</v>
      </c>
      <c r="BR43" s="101">
        <f>IFERROR(s_RadSpec!$H$28*(BR28/$B43),".")</f>
        <v>0</v>
      </c>
      <c r="BS43" s="101">
        <f>IFERROR(s_RadSpec!$H$28*(BS28/$B43),".")</f>
        <v>0</v>
      </c>
      <c r="BT43" s="101">
        <f>IFERROR(s_RadSpec!$H$28*(BT28/$B43),".")</f>
        <v>0</v>
      </c>
      <c r="BU43" s="101">
        <f>IFERROR(s_RadSpec!$H$28*(BU28/$B43),".")</f>
        <v>0</v>
      </c>
      <c r="BV43" s="101">
        <f>IFERROR(s_RadSpec!$H$28*(BV28/$B43),".")</f>
        <v>0</v>
      </c>
      <c r="BW43" s="101">
        <f>IFERROR(s_RadSpec!$H$28*(BW28/$B43),".")</f>
        <v>0</v>
      </c>
      <c r="BX43" s="101">
        <f>IFERROR(s_RadSpec!$H$28*(BX28/$B43),".")</f>
        <v>0</v>
      </c>
      <c r="BY43" s="101">
        <f>IFERROR(s_RadSpec!$H$28*(BY28/$B43),".")</f>
        <v>0</v>
      </c>
      <c r="BZ43" s="101">
        <f>IFERROR(s_RadSpec!$H$28*(BZ28/$B43),".")</f>
        <v>0</v>
      </c>
      <c r="CA43" s="101">
        <f>IFERROR(s_RadSpec!$H$28*(CA28/$B43),".")</f>
        <v>0</v>
      </c>
      <c r="CB43" s="101">
        <f>IFERROR(s_RadSpec!$H$28*(CB28/$B43),".")</f>
        <v>0</v>
      </c>
    </row>
    <row r="44" spans="1:80" x14ac:dyDescent="0.25">
      <c r="A44" s="99" t="s">
        <v>1086</v>
      </c>
      <c r="B44" s="90">
        <v>0.99987999999999999</v>
      </c>
      <c r="C44" s="100">
        <f t="shared" ref="C44" si="95">IFERROR($B44/C15,0)</f>
        <v>4.2168279199199998E-3</v>
      </c>
      <c r="D44" s="100">
        <f t="shared" ref="D44:AC44" si="96">IFERROR($B44/D15,0)</f>
        <v>1.0542069799799999E-3</v>
      </c>
      <c r="E44" s="100">
        <f t="shared" si="96"/>
        <v>1.0542069799799999E-3</v>
      </c>
      <c r="F44" s="100">
        <f t="shared" si="96"/>
        <v>1.0542069799799999E-3</v>
      </c>
      <c r="G44" s="100">
        <f t="shared" si="96"/>
        <v>1.0542069799799999E-3</v>
      </c>
      <c r="H44" s="100">
        <f t="shared" si="96"/>
        <v>1.0542069799799999E-3</v>
      </c>
      <c r="I44" s="100">
        <f t="shared" si="96"/>
        <v>1.0542069799799999E-3</v>
      </c>
      <c r="J44" s="100">
        <f t="shared" si="96"/>
        <v>1.0542069799799999E-3</v>
      </c>
      <c r="K44" s="100">
        <f t="shared" si="96"/>
        <v>1.0542069799799999E-3</v>
      </c>
      <c r="L44" s="100">
        <f t="shared" si="96"/>
        <v>1.0542069799799999E-3</v>
      </c>
      <c r="M44" s="100">
        <f t="shared" si="96"/>
        <v>1.0542069799799999E-3</v>
      </c>
      <c r="N44" s="100">
        <f t="shared" si="96"/>
        <v>1.0542069799799999E-3</v>
      </c>
      <c r="O44" s="100">
        <f t="shared" si="96"/>
        <v>1.0542069799799999E-3</v>
      </c>
      <c r="P44" s="100">
        <f t="shared" si="96"/>
        <v>1.0542069799799999E-3</v>
      </c>
      <c r="Q44" s="100">
        <f t="shared" si="96"/>
        <v>1.0542069799799999E-3</v>
      </c>
      <c r="R44" s="100">
        <f t="shared" si="96"/>
        <v>1.0542069799799999E-3</v>
      </c>
      <c r="S44" s="100">
        <f t="shared" si="96"/>
        <v>1.0542069799799999E-3</v>
      </c>
      <c r="T44" s="100">
        <f t="shared" si="96"/>
        <v>1.0542069799799999E-3</v>
      </c>
      <c r="U44" s="100">
        <f t="shared" ref="U44" si="97">IFERROR($B44/U15,0)</f>
        <v>1.0542069799799999E-3</v>
      </c>
      <c r="V44" s="100">
        <f t="shared" si="96"/>
        <v>1.0542069799799999E-3</v>
      </c>
      <c r="W44" s="100">
        <f t="shared" si="96"/>
        <v>1.0542069799799999E-3</v>
      </c>
      <c r="X44" s="100">
        <f t="shared" si="96"/>
        <v>1.0542069799799999E-3</v>
      </c>
      <c r="Y44" s="100">
        <f t="shared" si="96"/>
        <v>1.0542069799799999E-3</v>
      </c>
      <c r="Z44" s="100">
        <f t="shared" si="96"/>
        <v>1.0542069799799999E-3</v>
      </c>
      <c r="AA44" s="100">
        <f t="shared" si="96"/>
        <v>1.0542069799799999E-3</v>
      </c>
      <c r="AB44" s="100">
        <f t="shared" si="96"/>
        <v>1.0542069799799999E-3</v>
      </c>
      <c r="AC44" s="100">
        <f t="shared" si="96"/>
        <v>4.2168279199199998E-3</v>
      </c>
      <c r="AD44" s="100">
        <f t="shared" ref="AD44:BB44" si="98">IFERROR($B44/AD15,0)</f>
        <v>1.0542069799799999E-3</v>
      </c>
      <c r="AE44" s="100">
        <f t="shared" si="98"/>
        <v>1.0542069799799999E-3</v>
      </c>
      <c r="AF44" s="100">
        <f t="shared" si="98"/>
        <v>1.0542069799799999E-3</v>
      </c>
      <c r="AG44" s="100">
        <f t="shared" si="98"/>
        <v>1.0542069799799999E-3</v>
      </c>
      <c r="AH44" s="100">
        <f t="shared" si="98"/>
        <v>1.0542069799799999E-3</v>
      </c>
      <c r="AI44" s="100">
        <f t="shared" si="98"/>
        <v>1.0542069799799999E-3</v>
      </c>
      <c r="AJ44" s="100">
        <f t="shared" si="98"/>
        <v>1.0542069799799999E-3</v>
      </c>
      <c r="AK44" s="100">
        <f t="shared" si="98"/>
        <v>1.0542069799799999E-3</v>
      </c>
      <c r="AL44" s="100">
        <f t="shared" si="98"/>
        <v>1.0542069799799999E-3</v>
      </c>
      <c r="AM44" s="100">
        <f t="shared" si="98"/>
        <v>1.0542069799799999E-3</v>
      </c>
      <c r="AN44" s="100">
        <f t="shared" si="98"/>
        <v>1.0542069799799999E-3</v>
      </c>
      <c r="AO44" s="100">
        <f t="shared" si="98"/>
        <v>1.0542069799799999E-3</v>
      </c>
      <c r="AP44" s="100">
        <f t="shared" si="98"/>
        <v>1.0542069799799999E-3</v>
      </c>
      <c r="AQ44" s="100">
        <f t="shared" si="98"/>
        <v>1.0542069799799999E-3</v>
      </c>
      <c r="AR44" s="100">
        <f t="shared" si="98"/>
        <v>1.0542069799799999E-3</v>
      </c>
      <c r="AS44" s="100">
        <f t="shared" si="98"/>
        <v>1.0542069799799999E-3</v>
      </c>
      <c r="AT44" s="100">
        <f t="shared" si="98"/>
        <v>1.0542069799799999E-3</v>
      </c>
      <c r="AU44" s="100">
        <f t="shared" ref="AU44" si="99">IFERROR($B44/AU15,0)</f>
        <v>1.0542069799799999E-3</v>
      </c>
      <c r="AV44" s="100">
        <f t="shared" si="98"/>
        <v>1.0542069799799999E-3</v>
      </c>
      <c r="AW44" s="100">
        <f t="shared" si="98"/>
        <v>1.0542069799799999E-3</v>
      </c>
      <c r="AX44" s="100">
        <f t="shared" si="98"/>
        <v>1.0542069799799999E-3</v>
      </c>
      <c r="AY44" s="100">
        <f t="shared" si="98"/>
        <v>1.0542069799799999E-3</v>
      </c>
      <c r="AZ44" s="100">
        <f t="shared" si="98"/>
        <v>1.0542069799799999E-3</v>
      </c>
      <c r="BA44" s="100">
        <f t="shared" si="98"/>
        <v>1.0542069799799999E-3</v>
      </c>
      <c r="BB44" s="100">
        <f t="shared" si="98"/>
        <v>1.0542069799799999E-3</v>
      </c>
      <c r="BC44" s="101">
        <f t="shared" si="26"/>
        <v>2.1089200704084491E-7</v>
      </c>
      <c r="BD44" s="101">
        <f>IFERROR(s_RadSpec!$H$15*(BD15/$B44),".")</f>
        <v>5.2723001760211228E-8</v>
      </c>
      <c r="BE44" s="101">
        <f>IFERROR(s_RadSpec!$H$15*(BE15/$B44),".")</f>
        <v>5.2723001760211228E-8</v>
      </c>
      <c r="BF44" s="101">
        <f>IFERROR(s_RadSpec!$H$15*(BF15/$B44),".")</f>
        <v>5.2723001760211228E-8</v>
      </c>
      <c r="BG44" s="101">
        <f>IFERROR(s_RadSpec!$H$15*(BG15/$B44),".")</f>
        <v>5.2723001760211228E-8</v>
      </c>
      <c r="BH44" s="101">
        <f>IFERROR(s_RadSpec!$H$15*(BH15/$B44),".")</f>
        <v>5.2723001760211228E-8</v>
      </c>
      <c r="BI44" s="101">
        <f>IFERROR(s_RadSpec!$H$15*(BI15/$B44),".")</f>
        <v>5.2723001760211228E-8</v>
      </c>
      <c r="BJ44" s="101">
        <f>IFERROR(s_RadSpec!$H$15*(BJ15/$B44),".")</f>
        <v>5.2723001760211228E-8</v>
      </c>
      <c r="BK44" s="101">
        <f>IFERROR(s_RadSpec!$H$15*(BK15/$B44),".")</f>
        <v>5.2723001760211228E-8</v>
      </c>
      <c r="BL44" s="101">
        <f>IFERROR(s_RadSpec!$H$15*(BL15/$B44),".")</f>
        <v>5.2723001760211228E-8</v>
      </c>
      <c r="BM44" s="101">
        <f>IFERROR(s_RadSpec!$H$15*(BM15/$B44),".")</f>
        <v>5.2723001760211228E-8</v>
      </c>
      <c r="BN44" s="101">
        <f>IFERROR(s_RadSpec!$H$15*(BN15/$B44),".")</f>
        <v>5.2723001760211228E-8</v>
      </c>
      <c r="BO44" s="101">
        <f>IFERROR(s_RadSpec!$H$15*(BO15/$B44),".")</f>
        <v>5.2723001760211228E-8</v>
      </c>
      <c r="BP44" s="101">
        <f>IFERROR(s_RadSpec!$H$15*(BP15/$B44),".")</f>
        <v>5.2723001760211228E-8</v>
      </c>
      <c r="BQ44" s="101">
        <f>IFERROR(s_RadSpec!$H$15*(BQ15/$B44),".")</f>
        <v>5.2723001760211228E-8</v>
      </c>
      <c r="BR44" s="101">
        <f>IFERROR(s_RadSpec!$H$15*(BR15/$B44),".")</f>
        <v>5.2723001760211228E-8</v>
      </c>
      <c r="BS44" s="101">
        <f>IFERROR(s_RadSpec!$H$15*(BS15/$B44),".")</f>
        <v>5.2723001760211228E-8</v>
      </c>
      <c r="BT44" s="101">
        <f>IFERROR(s_RadSpec!$H$15*(BT15/$B44),".")</f>
        <v>5.2723001760211228E-8</v>
      </c>
      <c r="BU44" s="101">
        <f>IFERROR(s_RadSpec!$H$15*(BU15/$B44),".")</f>
        <v>5.2723001760211228E-8</v>
      </c>
      <c r="BV44" s="101">
        <f>IFERROR(s_RadSpec!$H$15*(BV15/$B44),".")</f>
        <v>5.2723001760211228E-8</v>
      </c>
      <c r="BW44" s="101">
        <f>IFERROR(s_RadSpec!$H$15*(BW15/$B44),".")</f>
        <v>5.2723001760211228E-8</v>
      </c>
      <c r="BX44" s="101">
        <f>IFERROR(s_RadSpec!$H$15*(BX15/$B44),".")</f>
        <v>5.2723001760211228E-8</v>
      </c>
      <c r="BY44" s="101">
        <f>IFERROR(s_RadSpec!$H$15*(BY15/$B44),".")</f>
        <v>5.2723001760211228E-8</v>
      </c>
      <c r="BZ44" s="101">
        <f>IFERROR(s_RadSpec!$H$15*(BZ15/$B44),".")</f>
        <v>5.2723001760211228E-8</v>
      </c>
      <c r="CA44" s="101">
        <f>IFERROR(s_RadSpec!$H$15*(CA15/$B44),".")</f>
        <v>5.2723001760211228E-8</v>
      </c>
      <c r="CB44" s="101">
        <f>IFERROR(s_RadSpec!$H$15*(CB15/$B44),".")</f>
        <v>5.2723001760211228E-8</v>
      </c>
    </row>
    <row r="45" spans="1:80" x14ac:dyDescent="0.25">
      <c r="A45" s="95" t="s">
        <v>20</v>
      </c>
      <c r="B45" s="95" t="s">
        <v>1071</v>
      </c>
      <c r="C45" s="96">
        <f t="shared" ref="C45" si="100">IFERROR(1/SUM(C46:C47),".")</f>
        <v>2.2115233636385754</v>
      </c>
      <c r="D45" s="96">
        <f t="shared" ref="D45:AB45" si="101">IFERROR(1/SUM(D46:D47),".")</f>
        <v>8.8460934545543015</v>
      </c>
      <c r="E45" s="96">
        <f t="shared" si="101"/>
        <v>8.8460934545543015</v>
      </c>
      <c r="F45" s="96">
        <f t="shared" si="101"/>
        <v>8.8460934545543015</v>
      </c>
      <c r="G45" s="96">
        <f t="shared" si="101"/>
        <v>8.8460934545543015</v>
      </c>
      <c r="H45" s="96">
        <f t="shared" si="101"/>
        <v>8.8460934545543015</v>
      </c>
      <c r="I45" s="96">
        <f t="shared" si="101"/>
        <v>8.8460934545543015</v>
      </c>
      <c r="J45" s="96">
        <f t="shared" si="101"/>
        <v>8.8460934545543015</v>
      </c>
      <c r="K45" s="96">
        <f t="shared" si="101"/>
        <v>8.8460934545543015</v>
      </c>
      <c r="L45" s="96">
        <f t="shared" si="101"/>
        <v>8.8460934545543015</v>
      </c>
      <c r="M45" s="96">
        <f t="shared" si="101"/>
        <v>8.8460934545543015</v>
      </c>
      <c r="N45" s="96">
        <f t="shared" si="101"/>
        <v>8.8460934545543015</v>
      </c>
      <c r="O45" s="96">
        <f t="shared" si="101"/>
        <v>8.8460934545543015</v>
      </c>
      <c r="P45" s="96">
        <f t="shared" si="101"/>
        <v>8.8460934545543015</v>
      </c>
      <c r="Q45" s="96">
        <f t="shared" si="101"/>
        <v>8.8460934545543015</v>
      </c>
      <c r="R45" s="96">
        <f t="shared" si="101"/>
        <v>8.8460934545543015</v>
      </c>
      <c r="S45" s="96">
        <f t="shared" si="101"/>
        <v>8.8460934545543015</v>
      </c>
      <c r="T45" s="96">
        <f t="shared" si="101"/>
        <v>8.8460934545543015</v>
      </c>
      <c r="U45" s="96">
        <f t="shared" ref="U45" si="102">IFERROR(1/SUM(U46:U47),".")</f>
        <v>8.8460934545543015</v>
      </c>
      <c r="V45" s="96">
        <f t="shared" si="101"/>
        <v>8.8460934545543015</v>
      </c>
      <c r="W45" s="96">
        <f t="shared" si="101"/>
        <v>8.8460934545543015</v>
      </c>
      <c r="X45" s="96">
        <f t="shared" si="101"/>
        <v>8.8460934545543015</v>
      </c>
      <c r="Y45" s="96">
        <f t="shared" si="101"/>
        <v>8.8460934545543015</v>
      </c>
      <c r="Z45" s="96">
        <f t="shared" si="101"/>
        <v>8.8460934545543015</v>
      </c>
      <c r="AA45" s="96">
        <f t="shared" si="101"/>
        <v>8.8460934545543015</v>
      </c>
      <c r="AB45" s="96">
        <f t="shared" si="101"/>
        <v>8.8460934545543015</v>
      </c>
      <c r="AC45" s="96">
        <f t="shared" ref="AC45" si="103">IFERROR(1/SUM(AC46:AC47),".")</f>
        <v>2.2115233636385754</v>
      </c>
      <c r="AD45" s="96">
        <f t="shared" ref="AD45:BB45" si="104">IFERROR(1/SUM(AD46:AD47),".")</f>
        <v>8.8460934545543015</v>
      </c>
      <c r="AE45" s="96">
        <f t="shared" si="104"/>
        <v>8.8460934545543015</v>
      </c>
      <c r="AF45" s="96">
        <f t="shared" si="104"/>
        <v>8.8460934545543015</v>
      </c>
      <c r="AG45" s="96">
        <f t="shared" si="104"/>
        <v>8.8460934545543015</v>
      </c>
      <c r="AH45" s="96">
        <f t="shared" si="104"/>
        <v>8.8460934545543015</v>
      </c>
      <c r="AI45" s="96">
        <f t="shared" si="104"/>
        <v>8.8460934545543015</v>
      </c>
      <c r="AJ45" s="96">
        <f t="shared" si="104"/>
        <v>8.8460934545543015</v>
      </c>
      <c r="AK45" s="96">
        <f t="shared" si="104"/>
        <v>8.8460934545543015</v>
      </c>
      <c r="AL45" s="96">
        <f t="shared" si="104"/>
        <v>8.8460934545543015</v>
      </c>
      <c r="AM45" s="96">
        <f t="shared" si="104"/>
        <v>8.8460934545543015</v>
      </c>
      <c r="AN45" s="96">
        <f t="shared" si="104"/>
        <v>8.8460934545543015</v>
      </c>
      <c r="AO45" s="96">
        <f t="shared" si="104"/>
        <v>8.8460934545543015</v>
      </c>
      <c r="AP45" s="96">
        <f t="shared" si="104"/>
        <v>8.8460934545543015</v>
      </c>
      <c r="AQ45" s="96">
        <f t="shared" si="104"/>
        <v>8.8460934545543015</v>
      </c>
      <c r="AR45" s="96">
        <f t="shared" si="104"/>
        <v>8.8460934545543015</v>
      </c>
      <c r="AS45" s="96">
        <f t="shared" si="104"/>
        <v>8.8460934545543015</v>
      </c>
      <c r="AT45" s="96">
        <f t="shared" si="104"/>
        <v>8.8460934545543015</v>
      </c>
      <c r="AU45" s="96">
        <f t="shared" ref="AU45" si="105">IFERROR(1/SUM(AU46:AU47),".")</f>
        <v>8.8460934545543015</v>
      </c>
      <c r="AV45" s="96">
        <f t="shared" si="104"/>
        <v>8.8460934545543015</v>
      </c>
      <c r="AW45" s="96">
        <f t="shared" si="104"/>
        <v>8.8460934545543015</v>
      </c>
      <c r="AX45" s="96">
        <f t="shared" si="104"/>
        <v>8.8460934545543015</v>
      </c>
      <c r="AY45" s="96">
        <f t="shared" si="104"/>
        <v>8.8460934545543015</v>
      </c>
      <c r="AZ45" s="96">
        <f t="shared" si="104"/>
        <v>8.8460934545543015</v>
      </c>
      <c r="BA45" s="96">
        <f t="shared" si="104"/>
        <v>8.8460934545543015</v>
      </c>
      <c r="BB45" s="96">
        <f t="shared" si="104"/>
        <v>8.8460934545543015</v>
      </c>
      <c r="BC45" s="97">
        <f t="shared" si="26"/>
        <v>2.2608850000000003E-5</v>
      </c>
      <c r="BD45" s="97">
        <f>IFERROR(IF(SUM(BD46:BD47)&gt;0.01,1-EXP(-(SUM(BD46:BD47))),SUM(BD46:BD47)),".")</f>
        <v>5.6522125000000007E-6</v>
      </c>
      <c r="BE45" s="97">
        <f t="shared" ref="BE45:BZ45" si="106">IFERROR(IF(SUM(BE46:BE47)&gt;0.01,1-EXP(-(SUM(BE46:BE47))),SUM(BE46:BE47)),".")</f>
        <v>5.6522125000000007E-6</v>
      </c>
      <c r="BF45" s="97">
        <f t="shared" si="106"/>
        <v>5.6522125000000007E-6</v>
      </c>
      <c r="BG45" s="97">
        <f t="shared" si="106"/>
        <v>5.6522125000000007E-6</v>
      </c>
      <c r="BH45" s="97">
        <f t="shared" si="106"/>
        <v>5.6522125000000007E-6</v>
      </c>
      <c r="BI45" s="97">
        <f t="shared" si="106"/>
        <v>5.6522125000000007E-6</v>
      </c>
      <c r="BJ45" s="97">
        <f t="shared" si="106"/>
        <v>5.6522125000000007E-6</v>
      </c>
      <c r="BK45" s="97">
        <f t="shared" si="106"/>
        <v>5.6522125000000007E-6</v>
      </c>
      <c r="BL45" s="97">
        <f t="shared" si="106"/>
        <v>5.6522125000000007E-6</v>
      </c>
      <c r="BM45" s="97">
        <f t="shared" si="106"/>
        <v>5.6522125000000007E-6</v>
      </c>
      <c r="BN45" s="97">
        <f t="shared" si="106"/>
        <v>5.6522125000000007E-6</v>
      </c>
      <c r="BO45" s="97">
        <f t="shared" si="106"/>
        <v>5.6522125000000007E-6</v>
      </c>
      <c r="BP45" s="97">
        <f t="shared" si="106"/>
        <v>5.6522125000000007E-6</v>
      </c>
      <c r="BQ45" s="97">
        <f t="shared" si="106"/>
        <v>5.6522125000000007E-6</v>
      </c>
      <c r="BR45" s="97">
        <f t="shared" si="106"/>
        <v>5.6522125000000007E-6</v>
      </c>
      <c r="BS45" s="97">
        <f t="shared" si="106"/>
        <v>5.6522125000000007E-6</v>
      </c>
      <c r="BT45" s="97">
        <f t="shared" si="106"/>
        <v>5.6522125000000007E-6</v>
      </c>
      <c r="BU45" s="97">
        <f t="shared" ref="BU45" si="107">IFERROR(IF(SUM(BU46:BU47)&gt;0.01,1-EXP(-(SUM(BU46:BU47))),SUM(BU46:BU47)),".")</f>
        <v>5.6522125000000007E-6</v>
      </c>
      <c r="BV45" s="97">
        <f t="shared" si="106"/>
        <v>5.6522125000000007E-6</v>
      </c>
      <c r="BW45" s="97">
        <f t="shared" si="106"/>
        <v>5.6522125000000007E-6</v>
      </c>
      <c r="BX45" s="97">
        <f t="shared" si="106"/>
        <v>5.6522125000000007E-6</v>
      </c>
      <c r="BY45" s="97">
        <f t="shared" si="106"/>
        <v>5.6522125000000007E-6</v>
      </c>
      <c r="BZ45" s="97">
        <f t="shared" si="106"/>
        <v>5.6522125000000007E-6</v>
      </c>
      <c r="CA45" s="97">
        <f>IFERROR(IF(SUM(CA46:CA47)&gt;0.01,1-EXP(-(SUM(CA46:CA47))),SUM(CA46:CA47)),".")</f>
        <v>5.6522125000000007E-6</v>
      </c>
      <c r="CB45" s="97">
        <f>IFERROR(IF(SUM(CB46:CB47)&gt;0.01,1-EXP(-(SUM(CB46:CB47))),SUM(CB46:CB47)),".")</f>
        <v>5.6522125000000007E-6</v>
      </c>
    </row>
    <row r="46" spans="1:80" x14ac:dyDescent="0.25">
      <c r="A46" s="99" t="s">
        <v>1098</v>
      </c>
      <c r="B46" s="90">
        <v>1</v>
      </c>
      <c r="C46" s="100">
        <f t="shared" ref="C46" si="108">IFERROR($B46/C10,0)</f>
        <v>0.45217699999999994</v>
      </c>
      <c r="D46" s="100">
        <f t="shared" ref="D46:AC46" si="109">IFERROR($B46/D10,0)</f>
        <v>0.11304424999999999</v>
      </c>
      <c r="E46" s="100">
        <f t="shared" si="109"/>
        <v>0.11304424999999999</v>
      </c>
      <c r="F46" s="100">
        <f t="shared" si="109"/>
        <v>0.11304424999999999</v>
      </c>
      <c r="G46" s="100">
        <f t="shared" si="109"/>
        <v>0.11304424999999999</v>
      </c>
      <c r="H46" s="100">
        <f t="shared" si="109"/>
        <v>0.11304424999999999</v>
      </c>
      <c r="I46" s="100">
        <f t="shared" si="109"/>
        <v>0.11304424999999999</v>
      </c>
      <c r="J46" s="100">
        <f t="shared" si="109"/>
        <v>0.11304424999999999</v>
      </c>
      <c r="K46" s="100">
        <f t="shared" si="109"/>
        <v>0.11304424999999999</v>
      </c>
      <c r="L46" s="100">
        <f t="shared" si="109"/>
        <v>0.11304424999999999</v>
      </c>
      <c r="M46" s="100">
        <f t="shared" si="109"/>
        <v>0.11304424999999999</v>
      </c>
      <c r="N46" s="100">
        <f t="shared" si="109"/>
        <v>0.11304424999999999</v>
      </c>
      <c r="O46" s="100">
        <f t="shared" si="109"/>
        <v>0.11304424999999999</v>
      </c>
      <c r="P46" s="100">
        <f t="shared" si="109"/>
        <v>0.11304424999999999</v>
      </c>
      <c r="Q46" s="100">
        <f t="shared" si="109"/>
        <v>0.11304424999999999</v>
      </c>
      <c r="R46" s="100">
        <f t="shared" si="109"/>
        <v>0.11304424999999999</v>
      </c>
      <c r="S46" s="100">
        <f t="shared" si="109"/>
        <v>0.11304424999999999</v>
      </c>
      <c r="T46" s="100">
        <f t="shared" si="109"/>
        <v>0.11304424999999999</v>
      </c>
      <c r="U46" s="100">
        <f t="shared" ref="U46" si="110">IFERROR($B46/U10,0)</f>
        <v>0.11304424999999999</v>
      </c>
      <c r="V46" s="100">
        <f t="shared" si="109"/>
        <v>0.11304424999999999</v>
      </c>
      <c r="W46" s="100">
        <f t="shared" si="109"/>
        <v>0.11304424999999999</v>
      </c>
      <c r="X46" s="100">
        <f t="shared" si="109"/>
        <v>0.11304424999999999</v>
      </c>
      <c r="Y46" s="100">
        <f t="shared" si="109"/>
        <v>0.11304424999999999</v>
      </c>
      <c r="Z46" s="100">
        <f t="shared" si="109"/>
        <v>0.11304424999999999</v>
      </c>
      <c r="AA46" s="100">
        <f t="shared" si="109"/>
        <v>0.11304424999999999</v>
      </c>
      <c r="AB46" s="100">
        <f t="shared" si="109"/>
        <v>0.11304424999999999</v>
      </c>
      <c r="AC46" s="100">
        <f t="shared" si="109"/>
        <v>0.45217699999999994</v>
      </c>
      <c r="AD46" s="100">
        <f t="shared" ref="AD46:BB46" si="111">IFERROR($B46/AD10,0)</f>
        <v>0.11304424999999999</v>
      </c>
      <c r="AE46" s="100">
        <f t="shared" si="111"/>
        <v>0.11304424999999999</v>
      </c>
      <c r="AF46" s="100">
        <f t="shared" si="111"/>
        <v>0.11304424999999999</v>
      </c>
      <c r="AG46" s="100">
        <f t="shared" si="111"/>
        <v>0.11304424999999999</v>
      </c>
      <c r="AH46" s="100">
        <f t="shared" si="111"/>
        <v>0.11304424999999999</v>
      </c>
      <c r="AI46" s="100">
        <f t="shared" si="111"/>
        <v>0.11304424999999999</v>
      </c>
      <c r="AJ46" s="100">
        <f t="shared" si="111"/>
        <v>0.11304424999999999</v>
      </c>
      <c r="AK46" s="100">
        <f t="shared" si="111"/>
        <v>0.11304424999999999</v>
      </c>
      <c r="AL46" s="100">
        <f t="shared" si="111"/>
        <v>0.11304424999999999</v>
      </c>
      <c r="AM46" s="100">
        <f t="shared" si="111"/>
        <v>0.11304424999999999</v>
      </c>
      <c r="AN46" s="100">
        <f t="shared" si="111"/>
        <v>0.11304424999999999</v>
      </c>
      <c r="AO46" s="100">
        <f t="shared" si="111"/>
        <v>0.11304424999999999</v>
      </c>
      <c r="AP46" s="100">
        <f t="shared" si="111"/>
        <v>0.11304424999999999</v>
      </c>
      <c r="AQ46" s="100">
        <f t="shared" si="111"/>
        <v>0.11304424999999999</v>
      </c>
      <c r="AR46" s="100">
        <f t="shared" si="111"/>
        <v>0.11304424999999999</v>
      </c>
      <c r="AS46" s="100">
        <f t="shared" si="111"/>
        <v>0.11304424999999999</v>
      </c>
      <c r="AT46" s="100">
        <f t="shared" si="111"/>
        <v>0.11304424999999999</v>
      </c>
      <c r="AU46" s="100">
        <f t="shared" ref="AU46" si="112">IFERROR($B46/AU10,0)</f>
        <v>0.11304424999999999</v>
      </c>
      <c r="AV46" s="100">
        <f t="shared" si="111"/>
        <v>0.11304424999999999</v>
      </c>
      <c r="AW46" s="100">
        <f t="shared" si="111"/>
        <v>0.11304424999999999</v>
      </c>
      <c r="AX46" s="100">
        <f t="shared" si="111"/>
        <v>0.11304424999999999</v>
      </c>
      <c r="AY46" s="100">
        <f t="shared" si="111"/>
        <v>0.11304424999999999</v>
      </c>
      <c r="AZ46" s="100">
        <f t="shared" si="111"/>
        <v>0.11304424999999999</v>
      </c>
      <c r="BA46" s="100">
        <f t="shared" si="111"/>
        <v>0.11304424999999999</v>
      </c>
      <c r="BB46" s="100">
        <f t="shared" si="111"/>
        <v>0.11304424999999999</v>
      </c>
      <c r="BC46" s="101">
        <f t="shared" si="26"/>
        <v>2.2608850000000003E-5</v>
      </c>
      <c r="BD46" s="101">
        <f>IFERROR(s_RadSpec!$H$10*(BD10/$B46),".")</f>
        <v>5.6522125000000007E-6</v>
      </c>
      <c r="BE46" s="101">
        <f>IFERROR(s_RadSpec!$H$10*(BE10/$B46),".")</f>
        <v>5.6522125000000007E-6</v>
      </c>
      <c r="BF46" s="101">
        <f>IFERROR(s_RadSpec!$H$10*(BG10/$B46),".")</f>
        <v>5.6522125000000007E-6</v>
      </c>
      <c r="BG46" s="101">
        <f>IFERROR(s_RadSpec!$H$10*(BH10/$B46),".")</f>
        <v>5.6522125000000007E-6</v>
      </c>
      <c r="BH46" s="101">
        <f>IFERROR(s_RadSpec!$H$10*(BI10/$B46),".")</f>
        <v>5.6522125000000007E-6</v>
      </c>
      <c r="BI46" s="101">
        <f>IFERROR(s_RadSpec!$H$10*(BJ10/$B46),".")</f>
        <v>5.6522125000000007E-6</v>
      </c>
      <c r="BJ46" s="101">
        <f>IFERROR(s_RadSpec!$H$10*(BK10/$B46),".")</f>
        <v>5.6522125000000007E-6</v>
      </c>
      <c r="BK46" s="101">
        <f>IFERROR(s_RadSpec!$H$10*(BL10/$B46),".")</f>
        <v>5.6522125000000007E-6</v>
      </c>
      <c r="BL46" s="101">
        <f>IFERROR(s_RadSpec!$H$10*(BM10/$B46),".")</f>
        <v>5.6522125000000007E-6</v>
      </c>
      <c r="BM46" s="101">
        <f>IFERROR(s_RadSpec!$H$10*(BN10/$B46),".")</f>
        <v>5.6522125000000007E-6</v>
      </c>
      <c r="BN46" s="101">
        <f>IFERROR(s_RadSpec!$H$10*(BO10/$B46),".")</f>
        <v>5.6522125000000007E-6</v>
      </c>
      <c r="BO46" s="101">
        <f>IFERROR(s_RadSpec!$H$10*(BP10/$B46),".")</f>
        <v>5.6522125000000007E-6</v>
      </c>
      <c r="BP46" s="101">
        <f>IFERROR(s_RadSpec!$H$10*(BQ10/$B46),".")</f>
        <v>5.6522125000000007E-6</v>
      </c>
      <c r="BQ46" s="101">
        <f>IFERROR(s_RadSpec!$H$10*(BR10/$B46),".")</f>
        <v>5.6522125000000007E-6</v>
      </c>
      <c r="BR46" s="101">
        <f>IFERROR(s_RadSpec!$H$10*(BS10/$B46),".")</f>
        <v>5.6522125000000007E-6</v>
      </c>
      <c r="BS46" s="101">
        <f>IFERROR(s_RadSpec!$H$10*(BT10/$B46),".")</f>
        <v>5.6522125000000007E-6</v>
      </c>
      <c r="BT46" s="101">
        <f>IFERROR(s_RadSpec!$H$10*(BV10/$B46),".")</f>
        <v>5.6522125000000007E-6</v>
      </c>
      <c r="BU46" s="101">
        <f>IFERROR(s_RadSpec!$H$10*(BW10/$B46),".")</f>
        <v>5.6522125000000007E-6</v>
      </c>
      <c r="BV46" s="101">
        <f>IFERROR(s_RadSpec!$H$10*(BW10/$B46),".")</f>
        <v>5.6522125000000007E-6</v>
      </c>
      <c r="BW46" s="101">
        <f>IFERROR(s_RadSpec!$H$10*(BX10/$B46),".")</f>
        <v>5.6522125000000007E-6</v>
      </c>
      <c r="BX46" s="101">
        <f>IFERROR(s_RadSpec!$H$10*(BY10/$B46),".")</f>
        <v>5.6522125000000007E-6</v>
      </c>
      <c r="BY46" s="101">
        <f>IFERROR(s_RadSpec!$H$10*(BZ10/$B46),".")</f>
        <v>5.6522125000000007E-6</v>
      </c>
      <c r="BZ46" s="101">
        <f>IFERROR(s_RadSpec!$H$10*(CA10/$B46),".")</f>
        <v>5.6522125000000007E-6</v>
      </c>
      <c r="CA46" s="101">
        <f>IFERROR(s_RadSpec!$H$10*(CB10/$B46),".")</f>
        <v>5.6522125000000007E-6</v>
      </c>
      <c r="CB46" s="101">
        <f>IFERROR(s_RadSpec!$H$10*(CA10/$B46),".")</f>
        <v>5.6522125000000007E-6</v>
      </c>
    </row>
    <row r="47" spans="1:80" x14ac:dyDescent="0.25">
      <c r="A47" s="99" t="s">
        <v>1072</v>
      </c>
      <c r="B47" s="103">
        <v>0.94399</v>
      </c>
      <c r="C47" s="100">
        <f t="shared" ref="C47" si="113">IFERROR($B47/C6,0)</f>
        <v>0</v>
      </c>
      <c r="D47" s="100">
        <f t="shared" ref="D47:AC47" si="114">IFERROR($B47/D6,0)</f>
        <v>0</v>
      </c>
      <c r="E47" s="100">
        <f t="shared" si="114"/>
        <v>0</v>
      </c>
      <c r="F47" s="100">
        <f t="shared" si="114"/>
        <v>0</v>
      </c>
      <c r="G47" s="100">
        <f t="shared" si="114"/>
        <v>0</v>
      </c>
      <c r="H47" s="100">
        <f t="shared" si="114"/>
        <v>0</v>
      </c>
      <c r="I47" s="100">
        <f t="shared" si="114"/>
        <v>0</v>
      </c>
      <c r="J47" s="100">
        <f t="shared" si="114"/>
        <v>0</v>
      </c>
      <c r="K47" s="100">
        <f t="shared" si="114"/>
        <v>0</v>
      </c>
      <c r="L47" s="100">
        <f t="shared" si="114"/>
        <v>0</v>
      </c>
      <c r="M47" s="100">
        <f t="shared" si="114"/>
        <v>0</v>
      </c>
      <c r="N47" s="100">
        <f t="shared" si="114"/>
        <v>0</v>
      </c>
      <c r="O47" s="100">
        <f t="shared" si="114"/>
        <v>0</v>
      </c>
      <c r="P47" s="100">
        <f t="shared" si="114"/>
        <v>0</v>
      </c>
      <c r="Q47" s="100">
        <f t="shared" si="114"/>
        <v>0</v>
      </c>
      <c r="R47" s="100">
        <f t="shared" si="114"/>
        <v>0</v>
      </c>
      <c r="S47" s="100">
        <f t="shared" si="114"/>
        <v>0</v>
      </c>
      <c r="T47" s="100">
        <f t="shared" si="114"/>
        <v>0</v>
      </c>
      <c r="U47" s="100">
        <f t="shared" ref="U47" si="115">IFERROR($B47/U6,0)</f>
        <v>0</v>
      </c>
      <c r="V47" s="100">
        <f t="shared" si="114"/>
        <v>0</v>
      </c>
      <c r="W47" s="100">
        <f t="shared" si="114"/>
        <v>0</v>
      </c>
      <c r="X47" s="100">
        <f t="shared" si="114"/>
        <v>0</v>
      </c>
      <c r="Y47" s="100">
        <f t="shared" si="114"/>
        <v>0</v>
      </c>
      <c r="Z47" s="100">
        <f t="shared" si="114"/>
        <v>0</v>
      </c>
      <c r="AA47" s="100">
        <f t="shared" si="114"/>
        <v>0</v>
      </c>
      <c r="AB47" s="100">
        <f t="shared" si="114"/>
        <v>0</v>
      </c>
      <c r="AC47" s="100">
        <f t="shared" si="114"/>
        <v>0</v>
      </c>
      <c r="AD47" s="100">
        <f t="shared" ref="AD47:BB47" si="116">IFERROR($B47/AD6,0)</f>
        <v>0</v>
      </c>
      <c r="AE47" s="100">
        <f t="shared" si="116"/>
        <v>0</v>
      </c>
      <c r="AF47" s="100">
        <f t="shared" si="116"/>
        <v>0</v>
      </c>
      <c r="AG47" s="100">
        <f t="shared" si="116"/>
        <v>0</v>
      </c>
      <c r="AH47" s="100">
        <f t="shared" si="116"/>
        <v>0</v>
      </c>
      <c r="AI47" s="100">
        <f t="shared" si="116"/>
        <v>0</v>
      </c>
      <c r="AJ47" s="100">
        <f t="shared" si="116"/>
        <v>0</v>
      </c>
      <c r="AK47" s="100">
        <f t="shared" si="116"/>
        <v>0</v>
      </c>
      <c r="AL47" s="100">
        <f t="shared" si="116"/>
        <v>0</v>
      </c>
      <c r="AM47" s="100">
        <f t="shared" si="116"/>
        <v>0</v>
      </c>
      <c r="AN47" s="100">
        <f t="shared" si="116"/>
        <v>0</v>
      </c>
      <c r="AO47" s="100">
        <f t="shared" si="116"/>
        <v>0</v>
      </c>
      <c r="AP47" s="100">
        <f t="shared" si="116"/>
        <v>0</v>
      </c>
      <c r="AQ47" s="100">
        <f t="shared" si="116"/>
        <v>0</v>
      </c>
      <c r="AR47" s="100">
        <f t="shared" si="116"/>
        <v>0</v>
      </c>
      <c r="AS47" s="100">
        <f t="shared" si="116"/>
        <v>0</v>
      </c>
      <c r="AT47" s="100">
        <f t="shared" si="116"/>
        <v>0</v>
      </c>
      <c r="AU47" s="100">
        <f t="shared" ref="AU47" si="117">IFERROR($B47/AU6,0)</f>
        <v>0</v>
      </c>
      <c r="AV47" s="100">
        <f t="shared" si="116"/>
        <v>0</v>
      </c>
      <c r="AW47" s="100">
        <f t="shared" si="116"/>
        <v>0</v>
      </c>
      <c r="AX47" s="100">
        <f t="shared" si="116"/>
        <v>0</v>
      </c>
      <c r="AY47" s="100">
        <f t="shared" si="116"/>
        <v>0</v>
      </c>
      <c r="AZ47" s="100">
        <f t="shared" si="116"/>
        <v>0</v>
      </c>
      <c r="BA47" s="100">
        <f t="shared" si="116"/>
        <v>0</v>
      </c>
      <c r="BB47" s="100">
        <f t="shared" si="116"/>
        <v>0</v>
      </c>
      <c r="BC47" s="101">
        <f t="shared" si="26"/>
        <v>0</v>
      </c>
      <c r="BD47" s="101">
        <f>IFERROR(s_RadSpec!$H$6*(BD6/$B47),".")</f>
        <v>0</v>
      </c>
      <c r="BE47" s="101">
        <f>IFERROR(s_RadSpec!$H$6*(BE6/$B47),".")</f>
        <v>0</v>
      </c>
      <c r="BF47" s="101">
        <f>IFERROR(s_RadSpec!$H$6*(BG6/$B47),".")</f>
        <v>0</v>
      </c>
      <c r="BG47" s="101">
        <f>IFERROR(s_RadSpec!$H$6*(BH6/$B47),".")</f>
        <v>0</v>
      </c>
      <c r="BH47" s="101">
        <f>IFERROR(s_RadSpec!$H$6*(BI6/$B47),".")</f>
        <v>0</v>
      </c>
      <c r="BI47" s="101">
        <f>IFERROR(s_RadSpec!$H$6*(BJ6/$B47),".")</f>
        <v>0</v>
      </c>
      <c r="BJ47" s="101">
        <f>IFERROR(s_RadSpec!$H$6*(BK6/$B47),".")</f>
        <v>0</v>
      </c>
      <c r="BK47" s="101">
        <f>IFERROR(s_RadSpec!$H$6*(BL6/$B47),".")</f>
        <v>0</v>
      </c>
      <c r="BL47" s="101">
        <f>IFERROR(s_RadSpec!$H$6*(BM6/$B47),".")</f>
        <v>0</v>
      </c>
      <c r="BM47" s="101">
        <f>IFERROR(s_RadSpec!$H$6*(BN6/$B47),".")</f>
        <v>0</v>
      </c>
      <c r="BN47" s="101">
        <f>IFERROR(s_RadSpec!$H$6*(BO6/$B47),".")</f>
        <v>0</v>
      </c>
      <c r="BO47" s="101">
        <f>IFERROR(s_RadSpec!$H$6*(BP6/$B47),".")</f>
        <v>0</v>
      </c>
      <c r="BP47" s="101">
        <f>IFERROR(s_RadSpec!$H$6*(BQ6/$B47),".")</f>
        <v>0</v>
      </c>
      <c r="BQ47" s="101">
        <f>IFERROR(s_RadSpec!$H$6*(BR6/$B47),".")</f>
        <v>0</v>
      </c>
      <c r="BR47" s="101">
        <f>IFERROR(s_RadSpec!$H$6*(BS6/$B47),".")</f>
        <v>0</v>
      </c>
      <c r="BS47" s="101">
        <f>IFERROR(s_RadSpec!$H$6*(BT6/$B47),".")</f>
        <v>0</v>
      </c>
      <c r="BT47" s="101">
        <f>IFERROR(s_RadSpec!$H$6*(BV6/$B47),".")</f>
        <v>0</v>
      </c>
      <c r="BU47" s="101">
        <f>IFERROR(s_RadSpec!$H$6*(BW6/$B47),".")</f>
        <v>0</v>
      </c>
      <c r="BV47" s="101">
        <f>IFERROR(s_RadSpec!$H$6*(BW6/$B47),".")</f>
        <v>0</v>
      </c>
      <c r="BW47" s="101">
        <f>IFERROR(s_RadSpec!$H$6*(BX6/$B47),".")</f>
        <v>0</v>
      </c>
      <c r="BX47" s="101">
        <f>IFERROR(s_RadSpec!$H$6*(BY6/$B47),".")</f>
        <v>0</v>
      </c>
      <c r="BY47" s="101">
        <f>IFERROR(s_RadSpec!$H$6*(BZ6/$B47),".")</f>
        <v>0</v>
      </c>
      <c r="BZ47" s="101">
        <f>IFERROR(s_RadSpec!$H$6*(CA6/$B47),".")</f>
        <v>0</v>
      </c>
      <c r="CA47" s="101">
        <f>IFERROR(s_RadSpec!$H$6*(CB6/$B47),".")</f>
        <v>0</v>
      </c>
      <c r="CB47" s="101">
        <f>IFERROR(s_RadSpec!$H$6*(CA6/$B47),".")</f>
        <v>0</v>
      </c>
    </row>
    <row r="48" spans="1:80" x14ac:dyDescent="0.25">
      <c r="A48" s="95" t="s">
        <v>33</v>
      </c>
      <c r="B48" s="95" t="s">
        <v>1071</v>
      </c>
      <c r="C48" s="96">
        <f t="shared" ref="C48" si="118">IFERROR(1/SUM(C49:C62),0)</f>
        <v>2.0880538965957401E-2</v>
      </c>
      <c r="D48" s="96">
        <f t="shared" ref="D48:AB48" si="119">IFERROR(1/SUM(D49:D62),0)</f>
        <v>8.3522155863829606E-2</v>
      </c>
      <c r="E48" s="96">
        <f t="shared" si="119"/>
        <v>8.3522155863829606E-2</v>
      </c>
      <c r="F48" s="96">
        <f t="shared" si="119"/>
        <v>8.3522155863829606E-2</v>
      </c>
      <c r="G48" s="96">
        <f t="shared" si="119"/>
        <v>8.3522155863829606E-2</v>
      </c>
      <c r="H48" s="96">
        <f t="shared" si="119"/>
        <v>8.3522155863829606E-2</v>
      </c>
      <c r="I48" s="96">
        <f t="shared" si="119"/>
        <v>8.3522155863829606E-2</v>
      </c>
      <c r="J48" s="96">
        <f t="shared" si="119"/>
        <v>8.3522155863829606E-2</v>
      </c>
      <c r="K48" s="96">
        <f t="shared" si="119"/>
        <v>8.3522155863829606E-2</v>
      </c>
      <c r="L48" s="96">
        <f t="shared" si="119"/>
        <v>8.3522155863829606E-2</v>
      </c>
      <c r="M48" s="96">
        <f t="shared" si="119"/>
        <v>8.3522155863829606E-2</v>
      </c>
      <c r="N48" s="96">
        <f t="shared" si="119"/>
        <v>8.3522155863829606E-2</v>
      </c>
      <c r="O48" s="96">
        <f t="shared" si="119"/>
        <v>8.3522155863829606E-2</v>
      </c>
      <c r="P48" s="96">
        <f t="shared" si="119"/>
        <v>8.3522155863829606E-2</v>
      </c>
      <c r="Q48" s="96">
        <f t="shared" si="119"/>
        <v>8.3522155863829606E-2</v>
      </c>
      <c r="R48" s="96">
        <f t="shared" si="119"/>
        <v>8.3522155863829606E-2</v>
      </c>
      <c r="S48" s="96">
        <f t="shared" si="119"/>
        <v>8.3522155863829606E-2</v>
      </c>
      <c r="T48" s="96">
        <f t="shared" si="119"/>
        <v>8.3522155863829606E-2</v>
      </c>
      <c r="U48" s="96">
        <f t="shared" ref="U48" si="120">IFERROR(1/SUM(U49:U62),0)</f>
        <v>8.3522155863829606E-2</v>
      </c>
      <c r="V48" s="96">
        <f t="shared" si="119"/>
        <v>8.3522155863829606E-2</v>
      </c>
      <c r="W48" s="96">
        <f t="shared" si="119"/>
        <v>8.3522155863829606E-2</v>
      </c>
      <c r="X48" s="96">
        <f t="shared" si="119"/>
        <v>8.3522155863829606E-2</v>
      </c>
      <c r="Y48" s="96">
        <f t="shared" si="119"/>
        <v>8.3522155863829606E-2</v>
      </c>
      <c r="Z48" s="96">
        <f t="shared" si="119"/>
        <v>8.3522155863829606E-2</v>
      </c>
      <c r="AA48" s="96">
        <f t="shared" si="119"/>
        <v>8.3522155863829606E-2</v>
      </c>
      <c r="AB48" s="96">
        <f t="shared" si="119"/>
        <v>8.3522155863829606E-2</v>
      </c>
      <c r="AC48" s="96">
        <f t="shared" ref="AC48" si="121">IFERROR(1/SUM(AC49:AC62),0)</f>
        <v>2.0880538965957401E-2</v>
      </c>
      <c r="AD48" s="96">
        <f t="shared" ref="AD48:BB48" si="122">IFERROR(1/SUM(AD49:AD62),0)</f>
        <v>8.3522155863829606E-2</v>
      </c>
      <c r="AE48" s="96">
        <f t="shared" si="122"/>
        <v>8.3522155863829606E-2</v>
      </c>
      <c r="AF48" s="96">
        <f t="shared" si="122"/>
        <v>8.3522155863829606E-2</v>
      </c>
      <c r="AG48" s="96">
        <f t="shared" si="122"/>
        <v>8.3522155863829606E-2</v>
      </c>
      <c r="AH48" s="96">
        <f t="shared" si="122"/>
        <v>8.3522155863829606E-2</v>
      </c>
      <c r="AI48" s="96">
        <f t="shared" si="122"/>
        <v>8.3522155863829606E-2</v>
      </c>
      <c r="AJ48" s="96">
        <f t="shared" si="122"/>
        <v>8.3522155863829606E-2</v>
      </c>
      <c r="AK48" s="96">
        <f t="shared" si="122"/>
        <v>8.3522155863829606E-2</v>
      </c>
      <c r="AL48" s="96">
        <f t="shared" si="122"/>
        <v>8.3522155863829606E-2</v>
      </c>
      <c r="AM48" s="96">
        <f t="shared" si="122"/>
        <v>8.3522155863829606E-2</v>
      </c>
      <c r="AN48" s="96">
        <f t="shared" si="122"/>
        <v>8.3522155863829606E-2</v>
      </c>
      <c r="AO48" s="96">
        <f t="shared" si="122"/>
        <v>8.3522155863829606E-2</v>
      </c>
      <c r="AP48" s="96">
        <f t="shared" si="122"/>
        <v>8.3522155863829606E-2</v>
      </c>
      <c r="AQ48" s="96">
        <f t="shared" si="122"/>
        <v>8.3522155863829606E-2</v>
      </c>
      <c r="AR48" s="96">
        <f t="shared" si="122"/>
        <v>8.3522155863829606E-2</v>
      </c>
      <c r="AS48" s="96">
        <f t="shared" si="122"/>
        <v>8.3522155863829606E-2</v>
      </c>
      <c r="AT48" s="96">
        <f t="shared" si="122"/>
        <v>8.3522155863829606E-2</v>
      </c>
      <c r="AU48" s="96">
        <f t="shared" ref="AU48" si="123">IFERROR(1/SUM(AU49:AU62),0)</f>
        <v>8.3522155863829606E-2</v>
      </c>
      <c r="AV48" s="96">
        <f t="shared" si="122"/>
        <v>8.3522155863829606E-2</v>
      </c>
      <c r="AW48" s="96">
        <f t="shared" si="122"/>
        <v>8.3522155863829606E-2</v>
      </c>
      <c r="AX48" s="96">
        <f t="shared" si="122"/>
        <v>8.3522155863829606E-2</v>
      </c>
      <c r="AY48" s="96">
        <f t="shared" si="122"/>
        <v>8.3522155863829606E-2</v>
      </c>
      <c r="AZ48" s="96">
        <f t="shared" si="122"/>
        <v>8.3522155863829606E-2</v>
      </c>
      <c r="BA48" s="96">
        <f t="shared" si="122"/>
        <v>8.3522155863829606E-2</v>
      </c>
      <c r="BB48" s="96">
        <f t="shared" si="122"/>
        <v>8.3522155863829606E-2</v>
      </c>
      <c r="BC48" s="97">
        <f t="shared" si="26"/>
        <v>2.3945743226425321E-3</v>
      </c>
      <c r="BD48" s="97">
        <f>IFERROR(IF(SUM(BD49:BD62)&gt;0.01,1-EXP(-(SUM(BD49:BD62))),SUM(BD49:BD62)),".")</f>
        <v>5.9864358066063301E-4</v>
      </c>
      <c r="BE48" s="97">
        <f t="shared" ref="BE48:BZ48" si="124">IFERROR(IF(SUM(BE49:BE62)&gt;0.01,1-EXP(-(SUM(BE49:BE62))),SUM(BE49:BE62)),".")</f>
        <v>5.9864358066063301E-4</v>
      </c>
      <c r="BF48" s="97">
        <f t="shared" si="124"/>
        <v>5.9864358066063301E-4</v>
      </c>
      <c r="BG48" s="97">
        <f t="shared" si="124"/>
        <v>5.9864358066063301E-4</v>
      </c>
      <c r="BH48" s="97">
        <f t="shared" si="124"/>
        <v>5.9864358066063301E-4</v>
      </c>
      <c r="BI48" s="97">
        <f t="shared" si="124"/>
        <v>5.9864358066063301E-4</v>
      </c>
      <c r="BJ48" s="97">
        <f t="shared" si="124"/>
        <v>5.9864358066063301E-4</v>
      </c>
      <c r="BK48" s="97">
        <f t="shared" si="124"/>
        <v>5.9864358066063301E-4</v>
      </c>
      <c r="BL48" s="97">
        <f t="shared" si="124"/>
        <v>5.9864358066063301E-4</v>
      </c>
      <c r="BM48" s="97">
        <f t="shared" si="124"/>
        <v>5.9864358066063301E-4</v>
      </c>
      <c r="BN48" s="97">
        <f t="shared" si="124"/>
        <v>5.9864358066063301E-4</v>
      </c>
      <c r="BO48" s="97">
        <f t="shared" si="124"/>
        <v>5.9864358066063301E-4</v>
      </c>
      <c r="BP48" s="97">
        <f t="shared" si="124"/>
        <v>5.9864358066063301E-4</v>
      </c>
      <c r="BQ48" s="97">
        <f t="shared" si="124"/>
        <v>5.9864358066063301E-4</v>
      </c>
      <c r="BR48" s="97">
        <f t="shared" si="124"/>
        <v>5.9864358066063301E-4</v>
      </c>
      <c r="BS48" s="97">
        <f t="shared" si="124"/>
        <v>5.9864358066063301E-4</v>
      </c>
      <c r="BT48" s="97">
        <f t="shared" si="124"/>
        <v>5.9864358066063301E-4</v>
      </c>
      <c r="BU48" s="97">
        <f t="shared" ref="BU48" si="125">IFERROR(IF(SUM(BU49:BU62)&gt;0.01,1-EXP(-(SUM(BU49:BU62))),SUM(BU49:BU62)),".")</f>
        <v>5.9864358066063301E-4</v>
      </c>
      <c r="BV48" s="97">
        <f t="shared" si="124"/>
        <v>5.9864358066063301E-4</v>
      </c>
      <c r="BW48" s="97">
        <f t="shared" si="124"/>
        <v>5.9864358066063301E-4</v>
      </c>
      <c r="BX48" s="97">
        <f t="shared" si="124"/>
        <v>5.9864358066063301E-4</v>
      </c>
      <c r="BY48" s="97">
        <f t="shared" si="124"/>
        <v>5.9864358066063301E-4</v>
      </c>
      <c r="BZ48" s="97">
        <f t="shared" si="124"/>
        <v>5.9864358066063301E-4</v>
      </c>
      <c r="CA48" s="97">
        <f>IFERROR(IF(SUM(CA49:CA62)&gt;0.01,1-EXP(-(SUM(CA49:CA62))),SUM(CA49:CA62)),".")</f>
        <v>5.9864358066063301E-4</v>
      </c>
      <c r="CB48" s="97">
        <f>IFERROR(IF(SUM(CB49:CB62)&gt;0.01,1-EXP(-(SUM(CB49:CB62))),SUM(CB49:CB62)),".")</f>
        <v>5.9864358066063301E-4</v>
      </c>
    </row>
    <row r="49" spans="1:80" x14ac:dyDescent="0.25">
      <c r="A49" s="99" t="s">
        <v>1100</v>
      </c>
      <c r="B49" s="90">
        <v>1</v>
      </c>
      <c r="C49" s="100">
        <f t="shared" ref="C49" si="126">IFERROR($B49/C23,0)</f>
        <v>6.2230299999999996</v>
      </c>
      <c r="D49" s="100">
        <f t="shared" ref="D49:AC49" si="127">IFERROR($B49/D23,0)</f>
        <v>1.5557574999999999</v>
      </c>
      <c r="E49" s="100">
        <f t="shared" si="127"/>
        <v>1.5557574999999999</v>
      </c>
      <c r="F49" s="100">
        <f t="shared" si="127"/>
        <v>1.5557574999999999</v>
      </c>
      <c r="G49" s="100">
        <f t="shared" si="127"/>
        <v>1.5557574999999999</v>
      </c>
      <c r="H49" s="100">
        <f t="shared" si="127"/>
        <v>1.5557574999999999</v>
      </c>
      <c r="I49" s="100">
        <f t="shared" si="127"/>
        <v>1.5557574999999999</v>
      </c>
      <c r="J49" s="100">
        <f t="shared" si="127"/>
        <v>1.5557574999999999</v>
      </c>
      <c r="K49" s="100">
        <f t="shared" si="127"/>
        <v>1.5557574999999999</v>
      </c>
      <c r="L49" s="100">
        <f t="shared" si="127"/>
        <v>1.5557574999999999</v>
      </c>
      <c r="M49" s="100">
        <f t="shared" si="127"/>
        <v>1.5557574999999999</v>
      </c>
      <c r="N49" s="100">
        <f t="shared" si="127"/>
        <v>1.5557574999999999</v>
      </c>
      <c r="O49" s="100">
        <f t="shared" si="127"/>
        <v>1.5557574999999999</v>
      </c>
      <c r="P49" s="100">
        <f t="shared" si="127"/>
        <v>1.5557574999999999</v>
      </c>
      <c r="Q49" s="100">
        <f t="shared" si="127"/>
        <v>1.5557574999999999</v>
      </c>
      <c r="R49" s="100">
        <f t="shared" si="127"/>
        <v>1.5557574999999999</v>
      </c>
      <c r="S49" s="100">
        <f t="shared" si="127"/>
        <v>1.5557574999999999</v>
      </c>
      <c r="T49" s="100">
        <f t="shared" si="127"/>
        <v>1.5557574999999999</v>
      </c>
      <c r="U49" s="100">
        <f t="shared" ref="U49" si="128">IFERROR($B49/U23,0)</f>
        <v>1.5557574999999999</v>
      </c>
      <c r="V49" s="100">
        <f t="shared" si="127"/>
        <v>1.5557574999999999</v>
      </c>
      <c r="W49" s="100">
        <f t="shared" si="127"/>
        <v>1.5557574999999999</v>
      </c>
      <c r="X49" s="100">
        <f t="shared" si="127"/>
        <v>1.5557574999999999</v>
      </c>
      <c r="Y49" s="100">
        <f t="shared" si="127"/>
        <v>1.5557574999999999</v>
      </c>
      <c r="Z49" s="100">
        <f t="shared" si="127"/>
        <v>1.5557574999999999</v>
      </c>
      <c r="AA49" s="100">
        <f t="shared" si="127"/>
        <v>1.5557574999999999</v>
      </c>
      <c r="AB49" s="100">
        <f t="shared" si="127"/>
        <v>1.5557574999999999</v>
      </c>
      <c r="AC49" s="100">
        <f t="shared" si="127"/>
        <v>6.2230299999999996</v>
      </c>
      <c r="AD49" s="100">
        <f t="shared" ref="AD49:BB49" si="129">IFERROR($B49/AD23,0)</f>
        <v>1.5557574999999999</v>
      </c>
      <c r="AE49" s="100">
        <f t="shared" si="129"/>
        <v>1.5557574999999999</v>
      </c>
      <c r="AF49" s="100">
        <f t="shared" si="129"/>
        <v>1.5557574999999999</v>
      </c>
      <c r="AG49" s="100">
        <f t="shared" si="129"/>
        <v>1.5557574999999999</v>
      </c>
      <c r="AH49" s="100">
        <f t="shared" si="129"/>
        <v>1.5557574999999999</v>
      </c>
      <c r="AI49" s="100">
        <f t="shared" si="129"/>
        <v>1.5557574999999999</v>
      </c>
      <c r="AJ49" s="100">
        <f t="shared" si="129"/>
        <v>1.5557574999999999</v>
      </c>
      <c r="AK49" s="100">
        <f t="shared" si="129"/>
        <v>1.5557574999999999</v>
      </c>
      <c r="AL49" s="100">
        <f t="shared" si="129"/>
        <v>1.5557574999999999</v>
      </c>
      <c r="AM49" s="100">
        <f t="shared" si="129"/>
        <v>1.5557574999999999</v>
      </c>
      <c r="AN49" s="100">
        <f t="shared" si="129"/>
        <v>1.5557574999999999</v>
      </c>
      <c r="AO49" s="100">
        <f t="shared" si="129"/>
        <v>1.5557574999999999</v>
      </c>
      <c r="AP49" s="100">
        <f t="shared" si="129"/>
        <v>1.5557574999999999</v>
      </c>
      <c r="AQ49" s="100">
        <f t="shared" si="129"/>
        <v>1.5557574999999999</v>
      </c>
      <c r="AR49" s="100">
        <f t="shared" si="129"/>
        <v>1.5557574999999999</v>
      </c>
      <c r="AS49" s="100">
        <f t="shared" si="129"/>
        <v>1.5557574999999999</v>
      </c>
      <c r="AT49" s="100">
        <f t="shared" si="129"/>
        <v>1.5557574999999999</v>
      </c>
      <c r="AU49" s="100">
        <f t="shared" ref="AU49" si="130">IFERROR($B49/AU23,0)</f>
        <v>1.5557574999999999</v>
      </c>
      <c r="AV49" s="100">
        <f t="shared" si="129"/>
        <v>1.5557574999999999</v>
      </c>
      <c r="AW49" s="100">
        <f t="shared" si="129"/>
        <v>1.5557574999999999</v>
      </c>
      <c r="AX49" s="100">
        <f t="shared" si="129"/>
        <v>1.5557574999999999</v>
      </c>
      <c r="AY49" s="100">
        <f t="shared" si="129"/>
        <v>1.5557574999999999</v>
      </c>
      <c r="AZ49" s="100">
        <f t="shared" si="129"/>
        <v>1.5557574999999999</v>
      </c>
      <c r="BA49" s="100">
        <f t="shared" si="129"/>
        <v>1.5557574999999999</v>
      </c>
      <c r="BB49" s="100">
        <f t="shared" si="129"/>
        <v>1.5557574999999999</v>
      </c>
      <c r="BC49" s="101">
        <f t="shared" si="26"/>
        <v>3.1115149999999997E-4</v>
      </c>
      <c r="BD49" s="101">
        <f>IFERROR(s_RadSpec!$H$23*(BD23/$B49),".")</f>
        <v>7.7787874999999993E-5</v>
      </c>
      <c r="BE49" s="101">
        <f>IFERROR(s_RadSpec!$H$23*(BE23/$B49),".")</f>
        <v>7.7787874999999993E-5</v>
      </c>
      <c r="BF49" s="101">
        <f>IFERROR(s_RadSpec!$H$23*(BF23/$B49),".")</f>
        <v>7.7787874999999993E-5</v>
      </c>
      <c r="BG49" s="101">
        <f>IFERROR(s_RadSpec!$H$23*(BG23/$B49),".")</f>
        <v>7.7787874999999993E-5</v>
      </c>
      <c r="BH49" s="101">
        <f>IFERROR(s_RadSpec!$H$23*(BH23/$B49),".")</f>
        <v>7.7787874999999993E-5</v>
      </c>
      <c r="BI49" s="101">
        <f>IFERROR(s_RadSpec!$H$23*(BI23/$B49),".")</f>
        <v>7.7787874999999993E-5</v>
      </c>
      <c r="BJ49" s="101">
        <f>IFERROR(s_RadSpec!$H$23*(BJ23/$B49),".")</f>
        <v>7.7787874999999993E-5</v>
      </c>
      <c r="BK49" s="101">
        <f>IFERROR(s_RadSpec!$H$23*(BK23/$B49),".")</f>
        <v>7.7787874999999993E-5</v>
      </c>
      <c r="BL49" s="101">
        <f>IFERROR(s_RadSpec!$H$23*(BL23/$B49),".")</f>
        <v>7.7787874999999993E-5</v>
      </c>
      <c r="BM49" s="101">
        <f>IFERROR(s_RadSpec!$H$23*(BM23/$B49),".")</f>
        <v>7.7787874999999993E-5</v>
      </c>
      <c r="BN49" s="101">
        <f>IFERROR(s_RadSpec!$H$23*(BN23/$B49),".")</f>
        <v>7.7787874999999993E-5</v>
      </c>
      <c r="BO49" s="101">
        <f>IFERROR(s_RadSpec!$H$23*(BO23/$B49),".")</f>
        <v>7.7787874999999993E-5</v>
      </c>
      <c r="BP49" s="101">
        <f>IFERROR(s_RadSpec!$H$23*(BP23/$B49),".")</f>
        <v>7.7787874999999993E-5</v>
      </c>
      <c r="BQ49" s="101">
        <f>IFERROR(s_RadSpec!$H$23*(BQ23/$B49),".")</f>
        <v>7.7787874999999993E-5</v>
      </c>
      <c r="BR49" s="101">
        <f>IFERROR(s_RadSpec!$H$23*(BR23/$B49),".")</f>
        <v>7.7787874999999993E-5</v>
      </c>
      <c r="BS49" s="101">
        <f>IFERROR(s_RadSpec!$H$23*(BS23/$B49),".")</f>
        <v>7.7787874999999993E-5</v>
      </c>
      <c r="BT49" s="101">
        <f>IFERROR(s_RadSpec!$H$23*(BT23/$B49),".")</f>
        <v>7.7787874999999993E-5</v>
      </c>
      <c r="BU49" s="101">
        <f>IFERROR(s_RadSpec!$H$23*(BU23/$B49),".")</f>
        <v>7.7787874999999993E-5</v>
      </c>
      <c r="BV49" s="101">
        <f>IFERROR(s_RadSpec!$H$23*(BV23/$B49),".")</f>
        <v>7.7787874999999993E-5</v>
      </c>
      <c r="BW49" s="101">
        <f>IFERROR(s_RadSpec!$H$23*(BW23/$B49),".")</f>
        <v>7.7787874999999993E-5</v>
      </c>
      <c r="BX49" s="101">
        <f>IFERROR(s_RadSpec!$H$23*(BX23/$B49),".")</f>
        <v>7.7787874999999993E-5</v>
      </c>
      <c r="BY49" s="101">
        <f>IFERROR(s_RadSpec!$H$23*(BY23/$B49),".")</f>
        <v>7.7787874999999993E-5</v>
      </c>
      <c r="BZ49" s="101">
        <f>IFERROR(s_RadSpec!$H$23*(BZ23/$B49),".")</f>
        <v>7.7787874999999993E-5</v>
      </c>
      <c r="CA49" s="101">
        <f>IFERROR(s_RadSpec!$H$23*(CA23/$B49),".")</f>
        <v>7.7787874999999993E-5</v>
      </c>
      <c r="CB49" s="101">
        <f>IFERROR(s_RadSpec!$H$23*(CB23/$B49),".")</f>
        <v>7.7787874999999993E-5</v>
      </c>
    </row>
    <row r="50" spans="1:80" x14ac:dyDescent="0.25">
      <c r="A50" s="99" t="s">
        <v>1087</v>
      </c>
      <c r="B50" s="90">
        <v>1</v>
      </c>
      <c r="C50" s="100">
        <f t="shared" ref="C50" si="131">IFERROR($B50/C25,0)</f>
        <v>0</v>
      </c>
      <c r="D50" s="100">
        <f t="shared" ref="D50:AC50" si="132">IFERROR($B50/D25,0)</f>
        <v>0</v>
      </c>
      <c r="E50" s="100">
        <f t="shared" si="132"/>
        <v>0</v>
      </c>
      <c r="F50" s="100">
        <f t="shared" si="132"/>
        <v>0</v>
      </c>
      <c r="G50" s="100">
        <f t="shared" si="132"/>
        <v>0</v>
      </c>
      <c r="H50" s="100">
        <f t="shared" si="132"/>
        <v>0</v>
      </c>
      <c r="I50" s="100">
        <f t="shared" si="132"/>
        <v>0</v>
      </c>
      <c r="J50" s="100">
        <f t="shared" si="132"/>
        <v>0</v>
      </c>
      <c r="K50" s="100">
        <f t="shared" si="132"/>
        <v>0</v>
      </c>
      <c r="L50" s="100">
        <f t="shared" si="132"/>
        <v>0</v>
      </c>
      <c r="M50" s="100">
        <f t="shared" si="132"/>
        <v>0</v>
      </c>
      <c r="N50" s="100">
        <f t="shared" si="132"/>
        <v>0</v>
      </c>
      <c r="O50" s="100">
        <f t="shared" si="132"/>
        <v>0</v>
      </c>
      <c r="P50" s="100">
        <f t="shared" si="132"/>
        <v>0</v>
      </c>
      <c r="Q50" s="100">
        <f t="shared" si="132"/>
        <v>0</v>
      </c>
      <c r="R50" s="100">
        <f t="shared" si="132"/>
        <v>0</v>
      </c>
      <c r="S50" s="100">
        <f t="shared" si="132"/>
        <v>0</v>
      </c>
      <c r="T50" s="100">
        <f t="shared" si="132"/>
        <v>0</v>
      </c>
      <c r="U50" s="100">
        <f t="shared" ref="U50" si="133">IFERROR($B50/U25,0)</f>
        <v>0</v>
      </c>
      <c r="V50" s="100">
        <f t="shared" si="132"/>
        <v>0</v>
      </c>
      <c r="W50" s="100">
        <f t="shared" si="132"/>
        <v>0</v>
      </c>
      <c r="X50" s="100">
        <f t="shared" si="132"/>
        <v>0</v>
      </c>
      <c r="Y50" s="100">
        <f t="shared" si="132"/>
        <v>0</v>
      </c>
      <c r="Z50" s="100">
        <f t="shared" si="132"/>
        <v>0</v>
      </c>
      <c r="AA50" s="100">
        <f t="shared" si="132"/>
        <v>0</v>
      </c>
      <c r="AB50" s="100">
        <f t="shared" si="132"/>
        <v>0</v>
      </c>
      <c r="AC50" s="100">
        <f t="shared" si="132"/>
        <v>0</v>
      </c>
      <c r="AD50" s="100">
        <f t="shared" ref="AD50:BB50" si="134">IFERROR($B50/AD25,0)</f>
        <v>0</v>
      </c>
      <c r="AE50" s="100">
        <f t="shared" si="134"/>
        <v>0</v>
      </c>
      <c r="AF50" s="100">
        <f t="shared" si="134"/>
        <v>0</v>
      </c>
      <c r="AG50" s="100">
        <f t="shared" si="134"/>
        <v>0</v>
      </c>
      <c r="AH50" s="100">
        <f t="shared" si="134"/>
        <v>0</v>
      </c>
      <c r="AI50" s="100">
        <f t="shared" si="134"/>
        <v>0</v>
      </c>
      <c r="AJ50" s="100">
        <f t="shared" si="134"/>
        <v>0</v>
      </c>
      <c r="AK50" s="100">
        <f t="shared" si="134"/>
        <v>0</v>
      </c>
      <c r="AL50" s="100">
        <f t="shared" si="134"/>
        <v>0</v>
      </c>
      <c r="AM50" s="100">
        <f t="shared" si="134"/>
        <v>0</v>
      </c>
      <c r="AN50" s="100">
        <f t="shared" si="134"/>
        <v>0</v>
      </c>
      <c r="AO50" s="100">
        <f t="shared" si="134"/>
        <v>0</v>
      </c>
      <c r="AP50" s="100">
        <f t="shared" si="134"/>
        <v>0</v>
      </c>
      <c r="AQ50" s="100">
        <f t="shared" si="134"/>
        <v>0</v>
      </c>
      <c r="AR50" s="100">
        <f t="shared" si="134"/>
        <v>0</v>
      </c>
      <c r="AS50" s="100">
        <f t="shared" si="134"/>
        <v>0</v>
      </c>
      <c r="AT50" s="100">
        <f t="shared" si="134"/>
        <v>0</v>
      </c>
      <c r="AU50" s="100">
        <f t="shared" ref="AU50" si="135">IFERROR($B50/AU25,0)</f>
        <v>0</v>
      </c>
      <c r="AV50" s="100">
        <f t="shared" si="134"/>
        <v>0</v>
      </c>
      <c r="AW50" s="100">
        <f t="shared" si="134"/>
        <v>0</v>
      </c>
      <c r="AX50" s="100">
        <f t="shared" si="134"/>
        <v>0</v>
      </c>
      <c r="AY50" s="100">
        <f t="shared" si="134"/>
        <v>0</v>
      </c>
      <c r="AZ50" s="100">
        <f t="shared" si="134"/>
        <v>0</v>
      </c>
      <c r="BA50" s="100">
        <f t="shared" si="134"/>
        <v>0</v>
      </c>
      <c r="BB50" s="100">
        <f t="shared" si="134"/>
        <v>0</v>
      </c>
      <c r="BC50" s="101">
        <f t="shared" si="26"/>
        <v>0</v>
      </c>
      <c r="BD50" s="101">
        <f>IFERROR(s_RadSpec!$H$25*(BD25/$B50),".")</f>
        <v>0</v>
      </c>
      <c r="BE50" s="101">
        <f>IFERROR(s_RadSpec!$H$25*(BE25/$B50),".")</f>
        <v>0</v>
      </c>
      <c r="BF50" s="101">
        <f>IFERROR(s_RadSpec!$H$25*(BF25/$B50),".")</f>
        <v>0</v>
      </c>
      <c r="BG50" s="101">
        <f>IFERROR(s_RadSpec!$H$25*(BG25/$B50),".")</f>
        <v>0</v>
      </c>
      <c r="BH50" s="101">
        <f>IFERROR(s_RadSpec!$H$25*(BH25/$B50),".")</f>
        <v>0</v>
      </c>
      <c r="BI50" s="101">
        <f>IFERROR(s_RadSpec!$H$25*(BI25/$B50),".")</f>
        <v>0</v>
      </c>
      <c r="BJ50" s="101">
        <f>IFERROR(s_RadSpec!$H$25*(BJ25/$B50),".")</f>
        <v>0</v>
      </c>
      <c r="BK50" s="101">
        <f>IFERROR(s_RadSpec!$H$25*(BK25/$B50),".")</f>
        <v>0</v>
      </c>
      <c r="BL50" s="101">
        <f>IFERROR(s_RadSpec!$H$25*(BL25/$B50),".")</f>
        <v>0</v>
      </c>
      <c r="BM50" s="101">
        <f>IFERROR(s_RadSpec!$H$25*(BM25/$B50),".")</f>
        <v>0</v>
      </c>
      <c r="BN50" s="101">
        <f>IFERROR(s_RadSpec!$H$25*(BN25/$B50),".")</f>
        <v>0</v>
      </c>
      <c r="BO50" s="101">
        <f>IFERROR(s_RadSpec!$H$25*(BO25/$B50),".")</f>
        <v>0</v>
      </c>
      <c r="BP50" s="101">
        <f>IFERROR(s_RadSpec!$H$25*(BP25/$B50),".")</f>
        <v>0</v>
      </c>
      <c r="BQ50" s="101">
        <f>IFERROR(s_RadSpec!$H$25*(BQ25/$B50),".")</f>
        <v>0</v>
      </c>
      <c r="BR50" s="101">
        <f>IFERROR(s_RadSpec!$H$25*(BR25/$B50),".")</f>
        <v>0</v>
      </c>
      <c r="BS50" s="101">
        <f>IFERROR(s_RadSpec!$H$25*(BS25/$B50),".")</f>
        <v>0</v>
      </c>
      <c r="BT50" s="101">
        <f>IFERROR(s_RadSpec!$H$25*(BT25/$B50),".")</f>
        <v>0</v>
      </c>
      <c r="BU50" s="101">
        <f>IFERROR(s_RadSpec!$H$25*(BU25/$B50),".")</f>
        <v>0</v>
      </c>
      <c r="BV50" s="101">
        <f>IFERROR(s_RadSpec!$H$25*(BV25/$B50),".")</f>
        <v>0</v>
      </c>
      <c r="BW50" s="101">
        <f>IFERROR(s_RadSpec!$H$25*(BW25/$B50),".")</f>
        <v>0</v>
      </c>
      <c r="BX50" s="101">
        <f>IFERROR(s_RadSpec!$H$25*(BX25/$B50),".")</f>
        <v>0</v>
      </c>
      <c r="BY50" s="101">
        <f>IFERROR(s_RadSpec!$H$25*(BY25/$B50),".")</f>
        <v>0</v>
      </c>
      <c r="BZ50" s="101">
        <f>IFERROR(s_RadSpec!$H$25*(BZ25/$B50),".")</f>
        <v>0</v>
      </c>
      <c r="CA50" s="101">
        <f>IFERROR(s_RadSpec!$H$25*(CA25/$B50),".")</f>
        <v>0</v>
      </c>
      <c r="CB50" s="101">
        <f>IFERROR(s_RadSpec!$H$25*(CB25/$B50),".")</f>
        <v>0</v>
      </c>
    </row>
    <row r="51" spans="1:80" x14ac:dyDescent="0.25">
      <c r="A51" s="99" t="s">
        <v>1073</v>
      </c>
      <c r="B51" s="90">
        <v>1</v>
      </c>
      <c r="C51" s="100">
        <f t="shared" ref="C51" si="136">IFERROR($B51/C21,0)</f>
        <v>0</v>
      </c>
      <c r="D51" s="100">
        <f t="shared" ref="D51:AC51" si="137">IFERROR($B51/D21,0)</f>
        <v>0</v>
      </c>
      <c r="E51" s="100">
        <f t="shared" si="137"/>
        <v>0</v>
      </c>
      <c r="F51" s="100">
        <f t="shared" si="137"/>
        <v>0</v>
      </c>
      <c r="G51" s="100">
        <f t="shared" si="137"/>
        <v>0</v>
      </c>
      <c r="H51" s="100">
        <f t="shared" si="137"/>
        <v>0</v>
      </c>
      <c r="I51" s="100">
        <f t="shared" si="137"/>
        <v>0</v>
      </c>
      <c r="J51" s="100">
        <f t="shared" si="137"/>
        <v>0</v>
      </c>
      <c r="K51" s="100">
        <f t="shared" si="137"/>
        <v>0</v>
      </c>
      <c r="L51" s="100">
        <f t="shared" si="137"/>
        <v>0</v>
      </c>
      <c r="M51" s="100">
        <f t="shared" si="137"/>
        <v>0</v>
      </c>
      <c r="N51" s="100">
        <f t="shared" si="137"/>
        <v>0</v>
      </c>
      <c r="O51" s="100">
        <f t="shared" si="137"/>
        <v>0</v>
      </c>
      <c r="P51" s="100">
        <f t="shared" si="137"/>
        <v>0</v>
      </c>
      <c r="Q51" s="100">
        <f t="shared" si="137"/>
        <v>0</v>
      </c>
      <c r="R51" s="100">
        <f t="shared" si="137"/>
        <v>0</v>
      </c>
      <c r="S51" s="100">
        <f t="shared" si="137"/>
        <v>0</v>
      </c>
      <c r="T51" s="100">
        <f t="shared" si="137"/>
        <v>0</v>
      </c>
      <c r="U51" s="100">
        <f t="shared" ref="U51" si="138">IFERROR($B51/U21,0)</f>
        <v>0</v>
      </c>
      <c r="V51" s="100">
        <f t="shared" si="137"/>
        <v>0</v>
      </c>
      <c r="W51" s="100">
        <f t="shared" si="137"/>
        <v>0</v>
      </c>
      <c r="X51" s="100">
        <f t="shared" si="137"/>
        <v>0</v>
      </c>
      <c r="Y51" s="100">
        <f t="shared" si="137"/>
        <v>0</v>
      </c>
      <c r="Z51" s="100">
        <f t="shared" si="137"/>
        <v>0</v>
      </c>
      <c r="AA51" s="100">
        <f t="shared" si="137"/>
        <v>0</v>
      </c>
      <c r="AB51" s="100">
        <f t="shared" si="137"/>
        <v>0</v>
      </c>
      <c r="AC51" s="100">
        <f t="shared" si="137"/>
        <v>0</v>
      </c>
      <c r="AD51" s="100">
        <f t="shared" ref="AD51:BB51" si="139">IFERROR($B51/AD21,0)</f>
        <v>0</v>
      </c>
      <c r="AE51" s="100">
        <f t="shared" si="139"/>
        <v>0</v>
      </c>
      <c r="AF51" s="100">
        <f t="shared" si="139"/>
        <v>0</v>
      </c>
      <c r="AG51" s="100">
        <f t="shared" si="139"/>
        <v>0</v>
      </c>
      <c r="AH51" s="100">
        <f t="shared" si="139"/>
        <v>0</v>
      </c>
      <c r="AI51" s="100">
        <f t="shared" si="139"/>
        <v>0</v>
      </c>
      <c r="AJ51" s="100">
        <f t="shared" si="139"/>
        <v>0</v>
      </c>
      <c r="AK51" s="100">
        <f t="shared" si="139"/>
        <v>0</v>
      </c>
      <c r="AL51" s="100">
        <f t="shared" si="139"/>
        <v>0</v>
      </c>
      <c r="AM51" s="100">
        <f t="shared" si="139"/>
        <v>0</v>
      </c>
      <c r="AN51" s="100">
        <f t="shared" si="139"/>
        <v>0</v>
      </c>
      <c r="AO51" s="100">
        <f t="shared" si="139"/>
        <v>0</v>
      </c>
      <c r="AP51" s="100">
        <f t="shared" si="139"/>
        <v>0</v>
      </c>
      <c r="AQ51" s="100">
        <f t="shared" si="139"/>
        <v>0</v>
      </c>
      <c r="AR51" s="100">
        <f t="shared" si="139"/>
        <v>0</v>
      </c>
      <c r="AS51" s="100">
        <f t="shared" si="139"/>
        <v>0</v>
      </c>
      <c r="AT51" s="100">
        <f t="shared" si="139"/>
        <v>0</v>
      </c>
      <c r="AU51" s="100">
        <f t="shared" ref="AU51" si="140">IFERROR($B51/AU21,0)</f>
        <v>0</v>
      </c>
      <c r="AV51" s="100">
        <f t="shared" si="139"/>
        <v>0</v>
      </c>
      <c r="AW51" s="100">
        <f t="shared" si="139"/>
        <v>0</v>
      </c>
      <c r="AX51" s="100">
        <f t="shared" si="139"/>
        <v>0</v>
      </c>
      <c r="AY51" s="100">
        <f t="shared" si="139"/>
        <v>0</v>
      </c>
      <c r="AZ51" s="100">
        <f t="shared" si="139"/>
        <v>0</v>
      </c>
      <c r="BA51" s="100">
        <f t="shared" si="139"/>
        <v>0</v>
      </c>
      <c r="BB51" s="100">
        <f t="shared" si="139"/>
        <v>0</v>
      </c>
      <c r="BC51" s="101">
        <f t="shared" si="26"/>
        <v>0</v>
      </c>
      <c r="BD51" s="101">
        <f>IFERROR(s_RadSpec!$H$21*(BD21/$B51),".")</f>
        <v>0</v>
      </c>
      <c r="BE51" s="101">
        <f>IFERROR(s_RadSpec!$H$21*(BE21/$B51),".")</f>
        <v>0</v>
      </c>
      <c r="BF51" s="101">
        <f>IFERROR(s_RadSpec!$H$21*(BF21/$B51),".")</f>
        <v>0</v>
      </c>
      <c r="BG51" s="101">
        <f>IFERROR(s_RadSpec!$H$21*(BG21/$B51),".")</f>
        <v>0</v>
      </c>
      <c r="BH51" s="101">
        <f>IFERROR(s_RadSpec!$H$21*(BH21/$B51),".")</f>
        <v>0</v>
      </c>
      <c r="BI51" s="101">
        <f>IFERROR(s_RadSpec!$H$21*(BI21/$B51),".")</f>
        <v>0</v>
      </c>
      <c r="BJ51" s="101">
        <f>IFERROR(s_RadSpec!$H$21*(BJ21/$B51),".")</f>
        <v>0</v>
      </c>
      <c r="BK51" s="101">
        <f>IFERROR(s_RadSpec!$H$21*(BK21/$B51),".")</f>
        <v>0</v>
      </c>
      <c r="BL51" s="101">
        <f>IFERROR(s_RadSpec!$H$21*(BL21/$B51),".")</f>
        <v>0</v>
      </c>
      <c r="BM51" s="101">
        <f>IFERROR(s_RadSpec!$H$21*(BM21/$B51),".")</f>
        <v>0</v>
      </c>
      <c r="BN51" s="101">
        <f>IFERROR(s_RadSpec!$H$21*(BN21/$B51),".")</f>
        <v>0</v>
      </c>
      <c r="BO51" s="101">
        <f>IFERROR(s_RadSpec!$H$21*(BO21/$B51),".")</f>
        <v>0</v>
      </c>
      <c r="BP51" s="101">
        <f>IFERROR(s_RadSpec!$H$21*(BP21/$B51),".")</f>
        <v>0</v>
      </c>
      <c r="BQ51" s="101">
        <f>IFERROR(s_RadSpec!$H$21*(BQ21/$B51),".")</f>
        <v>0</v>
      </c>
      <c r="BR51" s="101">
        <f>IFERROR(s_RadSpec!$H$21*(BR21/$B51),".")</f>
        <v>0</v>
      </c>
      <c r="BS51" s="101">
        <f>IFERROR(s_RadSpec!$H$21*(BS21/$B51),".")</f>
        <v>0</v>
      </c>
      <c r="BT51" s="101">
        <f>IFERROR(s_RadSpec!$H$21*(BT21/$B51),".")</f>
        <v>0</v>
      </c>
      <c r="BU51" s="101">
        <f>IFERROR(s_RadSpec!$H$21*(BU21/$B51),".")</f>
        <v>0</v>
      </c>
      <c r="BV51" s="101">
        <f>IFERROR(s_RadSpec!$H$21*(BV21/$B51),".")</f>
        <v>0</v>
      </c>
      <c r="BW51" s="101">
        <f>IFERROR(s_RadSpec!$H$21*(BW21/$B51),".")</f>
        <v>0</v>
      </c>
      <c r="BX51" s="101">
        <f>IFERROR(s_RadSpec!$H$21*(BX21/$B51),".")</f>
        <v>0</v>
      </c>
      <c r="BY51" s="101">
        <f>IFERROR(s_RadSpec!$H$21*(BY21/$B51),".")</f>
        <v>0</v>
      </c>
      <c r="BZ51" s="101">
        <f>IFERROR(s_RadSpec!$H$21*(BZ21/$B51),".")</f>
        <v>0</v>
      </c>
      <c r="CA51" s="101">
        <f>IFERROR(s_RadSpec!$H$21*(CA21/$B51),".")</f>
        <v>0</v>
      </c>
      <c r="CB51" s="101">
        <f>IFERROR(s_RadSpec!$H$21*(CB21/$B51),".")</f>
        <v>0</v>
      </c>
    </row>
    <row r="52" spans="1:80" x14ac:dyDescent="0.25">
      <c r="A52" s="99" t="s">
        <v>1074</v>
      </c>
      <c r="B52" s="103">
        <v>0.99980000000000002</v>
      </c>
      <c r="C52" s="100">
        <f t="shared" ref="C52" si="141">IFERROR($B52/C17,0)</f>
        <v>5.8636970260000001E-3</v>
      </c>
      <c r="D52" s="100">
        <f t="shared" ref="D52:AC52" si="142">IFERROR($B52/D17,0)</f>
        <v>1.4659242565E-3</v>
      </c>
      <c r="E52" s="100">
        <f t="shared" si="142"/>
        <v>1.4659242565E-3</v>
      </c>
      <c r="F52" s="100">
        <f t="shared" si="142"/>
        <v>1.4659242565E-3</v>
      </c>
      <c r="G52" s="100">
        <f t="shared" si="142"/>
        <v>1.4659242565E-3</v>
      </c>
      <c r="H52" s="100">
        <f t="shared" si="142"/>
        <v>1.4659242565E-3</v>
      </c>
      <c r="I52" s="100">
        <f t="shared" si="142"/>
        <v>1.4659242565E-3</v>
      </c>
      <c r="J52" s="100">
        <f t="shared" si="142"/>
        <v>1.4659242565E-3</v>
      </c>
      <c r="K52" s="100">
        <f t="shared" si="142"/>
        <v>1.4659242565E-3</v>
      </c>
      <c r="L52" s="100">
        <f t="shared" si="142"/>
        <v>1.4659242565E-3</v>
      </c>
      <c r="M52" s="100">
        <f t="shared" si="142"/>
        <v>1.4659242565E-3</v>
      </c>
      <c r="N52" s="100">
        <f t="shared" si="142"/>
        <v>1.4659242565E-3</v>
      </c>
      <c r="O52" s="100">
        <f t="shared" si="142"/>
        <v>1.4659242565E-3</v>
      </c>
      <c r="P52" s="100">
        <f t="shared" si="142"/>
        <v>1.4659242565E-3</v>
      </c>
      <c r="Q52" s="100">
        <f t="shared" si="142"/>
        <v>1.4659242565E-3</v>
      </c>
      <c r="R52" s="100">
        <f t="shared" si="142"/>
        <v>1.4659242565E-3</v>
      </c>
      <c r="S52" s="100">
        <f t="shared" si="142"/>
        <v>1.4659242565E-3</v>
      </c>
      <c r="T52" s="100">
        <f t="shared" si="142"/>
        <v>1.4659242565E-3</v>
      </c>
      <c r="U52" s="100">
        <f t="shared" ref="U52" si="143">IFERROR($B52/U17,0)</f>
        <v>1.4659242565E-3</v>
      </c>
      <c r="V52" s="100">
        <f t="shared" si="142"/>
        <v>1.4659242565E-3</v>
      </c>
      <c r="W52" s="100">
        <f t="shared" si="142"/>
        <v>1.4659242565E-3</v>
      </c>
      <c r="X52" s="100">
        <f t="shared" si="142"/>
        <v>1.4659242565E-3</v>
      </c>
      <c r="Y52" s="100">
        <f t="shared" si="142"/>
        <v>1.4659242565E-3</v>
      </c>
      <c r="Z52" s="100">
        <f t="shared" si="142"/>
        <v>1.4659242565E-3</v>
      </c>
      <c r="AA52" s="100">
        <f t="shared" si="142"/>
        <v>1.4659242565E-3</v>
      </c>
      <c r="AB52" s="100">
        <f t="shared" si="142"/>
        <v>1.4659242565E-3</v>
      </c>
      <c r="AC52" s="100">
        <f t="shared" si="142"/>
        <v>5.8636970260000001E-3</v>
      </c>
      <c r="AD52" s="100">
        <f t="shared" ref="AD52:BB52" si="144">IFERROR($B52/AD17,0)</f>
        <v>1.4659242565E-3</v>
      </c>
      <c r="AE52" s="100">
        <f t="shared" si="144"/>
        <v>1.4659242565E-3</v>
      </c>
      <c r="AF52" s="100">
        <f t="shared" si="144"/>
        <v>1.4659242565E-3</v>
      </c>
      <c r="AG52" s="100">
        <f t="shared" si="144"/>
        <v>1.4659242565E-3</v>
      </c>
      <c r="AH52" s="100">
        <f t="shared" si="144"/>
        <v>1.4659242565E-3</v>
      </c>
      <c r="AI52" s="100">
        <f t="shared" si="144"/>
        <v>1.4659242565E-3</v>
      </c>
      <c r="AJ52" s="100">
        <f t="shared" si="144"/>
        <v>1.4659242565E-3</v>
      </c>
      <c r="AK52" s="100">
        <f t="shared" si="144"/>
        <v>1.4659242565E-3</v>
      </c>
      <c r="AL52" s="100">
        <f t="shared" si="144"/>
        <v>1.4659242565E-3</v>
      </c>
      <c r="AM52" s="100">
        <f t="shared" si="144"/>
        <v>1.4659242565E-3</v>
      </c>
      <c r="AN52" s="100">
        <f t="shared" si="144"/>
        <v>1.4659242565E-3</v>
      </c>
      <c r="AO52" s="100">
        <f t="shared" si="144"/>
        <v>1.4659242565E-3</v>
      </c>
      <c r="AP52" s="100">
        <f t="shared" si="144"/>
        <v>1.4659242565E-3</v>
      </c>
      <c r="AQ52" s="100">
        <f t="shared" si="144"/>
        <v>1.4659242565E-3</v>
      </c>
      <c r="AR52" s="100">
        <f t="shared" si="144"/>
        <v>1.4659242565E-3</v>
      </c>
      <c r="AS52" s="100">
        <f t="shared" si="144"/>
        <v>1.4659242565E-3</v>
      </c>
      <c r="AT52" s="100">
        <f t="shared" si="144"/>
        <v>1.4659242565E-3</v>
      </c>
      <c r="AU52" s="100">
        <f t="shared" ref="AU52" si="145">IFERROR($B52/AU17,0)</f>
        <v>1.4659242565E-3</v>
      </c>
      <c r="AV52" s="100">
        <f t="shared" si="144"/>
        <v>1.4659242565E-3</v>
      </c>
      <c r="AW52" s="100">
        <f t="shared" si="144"/>
        <v>1.4659242565E-3</v>
      </c>
      <c r="AX52" s="100">
        <f t="shared" si="144"/>
        <v>1.4659242565E-3</v>
      </c>
      <c r="AY52" s="100">
        <f t="shared" si="144"/>
        <v>1.4659242565E-3</v>
      </c>
      <c r="AZ52" s="100">
        <f t="shared" si="144"/>
        <v>1.4659242565E-3</v>
      </c>
      <c r="BA52" s="100">
        <f t="shared" si="144"/>
        <v>1.4659242565E-3</v>
      </c>
      <c r="BB52" s="100">
        <f t="shared" si="144"/>
        <v>1.4659242565E-3</v>
      </c>
      <c r="BC52" s="101">
        <f t="shared" si="26"/>
        <v>2.9330216043208645E-7</v>
      </c>
      <c r="BD52" s="101">
        <f>IFERROR(s_RadSpec!$H$17*(BD17/$B52),".")</f>
        <v>7.3325540108021612E-8</v>
      </c>
      <c r="BE52" s="101">
        <f>IFERROR(s_RadSpec!$H$17*(BE17/$B52),".")</f>
        <v>7.3325540108021612E-8</v>
      </c>
      <c r="BF52" s="101">
        <f>IFERROR(s_RadSpec!$H$17*(BF17/$B52),".")</f>
        <v>7.3325540108021612E-8</v>
      </c>
      <c r="BG52" s="101">
        <f>IFERROR(s_RadSpec!$H$17*(BG17/$B52),".")</f>
        <v>7.3325540108021612E-8</v>
      </c>
      <c r="BH52" s="101">
        <f>IFERROR(s_RadSpec!$H$17*(BH17/$B52),".")</f>
        <v>7.3325540108021612E-8</v>
      </c>
      <c r="BI52" s="101">
        <f>IFERROR(s_RadSpec!$H$17*(BI17/$B52),".")</f>
        <v>7.3325540108021612E-8</v>
      </c>
      <c r="BJ52" s="101">
        <f>IFERROR(s_RadSpec!$H$17*(BJ17/$B52),".")</f>
        <v>7.3325540108021612E-8</v>
      </c>
      <c r="BK52" s="101">
        <f>IFERROR(s_RadSpec!$H$17*(BK17/$B52),".")</f>
        <v>7.3325540108021612E-8</v>
      </c>
      <c r="BL52" s="101">
        <f>IFERROR(s_RadSpec!$H$17*(BL17/$B52),".")</f>
        <v>7.3325540108021612E-8</v>
      </c>
      <c r="BM52" s="101">
        <f>IFERROR(s_RadSpec!$H$17*(BM17/$B52),".")</f>
        <v>7.3325540108021612E-8</v>
      </c>
      <c r="BN52" s="101">
        <f>IFERROR(s_RadSpec!$H$17*(BN17/$B52),".")</f>
        <v>7.3325540108021612E-8</v>
      </c>
      <c r="BO52" s="101">
        <f>IFERROR(s_RadSpec!$H$17*(BO17/$B52),".")</f>
        <v>7.3325540108021612E-8</v>
      </c>
      <c r="BP52" s="101">
        <f>IFERROR(s_RadSpec!$H$17*(BP17/$B52),".")</f>
        <v>7.3325540108021612E-8</v>
      </c>
      <c r="BQ52" s="101">
        <f>IFERROR(s_RadSpec!$H$17*(BQ17/$B52),".")</f>
        <v>7.3325540108021612E-8</v>
      </c>
      <c r="BR52" s="101">
        <f>IFERROR(s_RadSpec!$H$17*(BR17/$B52),".")</f>
        <v>7.3325540108021612E-8</v>
      </c>
      <c r="BS52" s="101">
        <f>IFERROR(s_RadSpec!$H$17*(BS17/$B52),".")</f>
        <v>7.3325540108021612E-8</v>
      </c>
      <c r="BT52" s="101">
        <f>IFERROR(s_RadSpec!$H$17*(BT17/$B52),".")</f>
        <v>7.3325540108021612E-8</v>
      </c>
      <c r="BU52" s="101">
        <f>IFERROR(s_RadSpec!$H$17*(BU17/$B52),".")</f>
        <v>7.3325540108021612E-8</v>
      </c>
      <c r="BV52" s="101">
        <f>IFERROR(s_RadSpec!$H$17*(BV17/$B52),".")</f>
        <v>7.3325540108021612E-8</v>
      </c>
      <c r="BW52" s="101">
        <f>IFERROR(s_RadSpec!$H$17*(BW17/$B52),".")</f>
        <v>7.3325540108021612E-8</v>
      </c>
      <c r="BX52" s="101">
        <f>IFERROR(s_RadSpec!$H$17*(BX17/$B52),".")</f>
        <v>7.3325540108021612E-8</v>
      </c>
      <c r="BY52" s="101">
        <f>IFERROR(s_RadSpec!$H$17*(BY17/$B52),".")</f>
        <v>7.3325540108021612E-8</v>
      </c>
      <c r="BZ52" s="101">
        <f>IFERROR(s_RadSpec!$H$17*(BZ17/$B52),".")</f>
        <v>7.3325540108021612E-8</v>
      </c>
      <c r="CA52" s="101">
        <f>IFERROR(s_RadSpec!$H$17*(CA17/$B52),".")</f>
        <v>7.3325540108021612E-8</v>
      </c>
      <c r="CB52" s="101">
        <f>IFERROR(s_RadSpec!$H$17*(CB17/$B52),".")</f>
        <v>7.3325540108021612E-8</v>
      </c>
    </row>
    <row r="53" spans="1:80" x14ac:dyDescent="0.25">
      <c r="A53" s="99" t="s">
        <v>1088</v>
      </c>
      <c r="B53" s="90">
        <v>2.0000000000000001E-4</v>
      </c>
      <c r="C53" s="100">
        <f t="shared" ref="C53" si="146">IFERROR($B53/C5,0)</f>
        <v>0</v>
      </c>
      <c r="D53" s="100">
        <f t="shared" ref="D53:AC53" si="147">IFERROR($B53/D5,0)</f>
        <v>0</v>
      </c>
      <c r="E53" s="100">
        <f t="shared" si="147"/>
        <v>0</v>
      </c>
      <c r="F53" s="100">
        <f t="shared" si="147"/>
        <v>0</v>
      </c>
      <c r="G53" s="100">
        <f t="shared" si="147"/>
        <v>0</v>
      </c>
      <c r="H53" s="100">
        <f t="shared" si="147"/>
        <v>0</v>
      </c>
      <c r="I53" s="100">
        <f t="shared" si="147"/>
        <v>0</v>
      </c>
      <c r="J53" s="100">
        <f t="shared" si="147"/>
        <v>0</v>
      </c>
      <c r="K53" s="100">
        <f t="shared" si="147"/>
        <v>0</v>
      </c>
      <c r="L53" s="100">
        <f t="shared" si="147"/>
        <v>0</v>
      </c>
      <c r="M53" s="100">
        <f t="shared" si="147"/>
        <v>0</v>
      </c>
      <c r="N53" s="100">
        <f t="shared" si="147"/>
        <v>0</v>
      </c>
      <c r="O53" s="100">
        <f t="shared" si="147"/>
        <v>0</v>
      </c>
      <c r="P53" s="100">
        <f t="shared" si="147"/>
        <v>0</v>
      </c>
      <c r="Q53" s="100">
        <f t="shared" si="147"/>
        <v>0</v>
      </c>
      <c r="R53" s="100">
        <f t="shared" si="147"/>
        <v>0</v>
      </c>
      <c r="S53" s="100">
        <f t="shared" si="147"/>
        <v>0</v>
      </c>
      <c r="T53" s="100">
        <f t="shared" si="147"/>
        <v>0</v>
      </c>
      <c r="U53" s="100">
        <f t="shared" ref="U53" si="148">IFERROR($B53/U5,0)</f>
        <v>0</v>
      </c>
      <c r="V53" s="100">
        <f t="shared" si="147"/>
        <v>0</v>
      </c>
      <c r="W53" s="100">
        <f t="shared" si="147"/>
        <v>0</v>
      </c>
      <c r="X53" s="100">
        <f t="shared" si="147"/>
        <v>0</v>
      </c>
      <c r="Y53" s="100">
        <f t="shared" si="147"/>
        <v>0</v>
      </c>
      <c r="Z53" s="100">
        <f t="shared" si="147"/>
        <v>0</v>
      </c>
      <c r="AA53" s="100">
        <f t="shared" si="147"/>
        <v>0</v>
      </c>
      <c r="AB53" s="100">
        <f t="shared" si="147"/>
        <v>0</v>
      </c>
      <c r="AC53" s="100">
        <f t="shared" si="147"/>
        <v>0</v>
      </c>
      <c r="AD53" s="100">
        <f t="shared" ref="AD53:BB53" si="149">IFERROR($B53/AD5,0)</f>
        <v>0</v>
      </c>
      <c r="AE53" s="100">
        <f t="shared" si="149"/>
        <v>0</v>
      </c>
      <c r="AF53" s="100">
        <f t="shared" si="149"/>
        <v>0</v>
      </c>
      <c r="AG53" s="100">
        <f t="shared" si="149"/>
        <v>0</v>
      </c>
      <c r="AH53" s="100">
        <f t="shared" si="149"/>
        <v>0</v>
      </c>
      <c r="AI53" s="100">
        <f t="shared" si="149"/>
        <v>0</v>
      </c>
      <c r="AJ53" s="100">
        <f t="shared" si="149"/>
        <v>0</v>
      </c>
      <c r="AK53" s="100">
        <f t="shared" si="149"/>
        <v>0</v>
      </c>
      <c r="AL53" s="100">
        <f t="shared" si="149"/>
        <v>0</v>
      </c>
      <c r="AM53" s="100">
        <f t="shared" si="149"/>
        <v>0</v>
      </c>
      <c r="AN53" s="100">
        <f t="shared" si="149"/>
        <v>0</v>
      </c>
      <c r="AO53" s="100">
        <f t="shared" si="149"/>
        <v>0</v>
      </c>
      <c r="AP53" s="100">
        <f t="shared" si="149"/>
        <v>0</v>
      </c>
      <c r="AQ53" s="100">
        <f t="shared" si="149"/>
        <v>0</v>
      </c>
      <c r="AR53" s="100">
        <f t="shared" si="149"/>
        <v>0</v>
      </c>
      <c r="AS53" s="100">
        <f t="shared" si="149"/>
        <v>0</v>
      </c>
      <c r="AT53" s="100">
        <f t="shared" si="149"/>
        <v>0</v>
      </c>
      <c r="AU53" s="100">
        <f t="shared" ref="AU53" si="150">IFERROR($B53/AU5,0)</f>
        <v>0</v>
      </c>
      <c r="AV53" s="100">
        <f t="shared" si="149"/>
        <v>0</v>
      </c>
      <c r="AW53" s="100">
        <f t="shared" si="149"/>
        <v>0</v>
      </c>
      <c r="AX53" s="100">
        <f t="shared" si="149"/>
        <v>0</v>
      </c>
      <c r="AY53" s="100">
        <f t="shared" si="149"/>
        <v>0</v>
      </c>
      <c r="AZ53" s="100">
        <f t="shared" si="149"/>
        <v>0</v>
      </c>
      <c r="BA53" s="100">
        <f t="shared" si="149"/>
        <v>0</v>
      </c>
      <c r="BB53" s="100">
        <f t="shared" si="149"/>
        <v>0</v>
      </c>
      <c r="BC53" s="101">
        <f t="shared" si="26"/>
        <v>0</v>
      </c>
      <c r="BD53" s="101">
        <f>IFERROR(s_RadSpec!$H$5*(BD5/$B53),".")</f>
        <v>0</v>
      </c>
      <c r="BE53" s="101">
        <f>IFERROR(s_RadSpec!$H$5*(BE5/$B53),".")</f>
        <v>0</v>
      </c>
      <c r="BF53" s="101">
        <f>IFERROR(s_RadSpec!$H$5*(BF5/$B53),".")</f>
        <v>0</v>
      </c>
      <c r="BG53" s="101">
        <f>IFERROR(s_RadSpec!$H$5*(BG5/$B53),".")</f>
        <v>0</v>
      </c>
      <c r="BH53" s="101">
        <f>IFERROR(s_RadSpec!$H$5*(BH5/$B53),".")</f>
        <v>0</v>
      </c>
      <c r="BI53" s="101">
        <f>IFERROR(s_RadSpec!$H$5*(BI5/$B53),".")</f>
        <v>0</v>
      </c>
      <c r="BJ53" s="101">
        <f>IFERROR(s_RadSpec!$H$5*(BJ5/$B53),".")</f>
        <v>0</v>
      </c>
      <c r="BK53" s="101">
        <f>IFERROR(s_RadSpec!$H$5*(BK5/$B53),".")</f>
        <v>0</v>
      </c>
      <c r="BL53" s="101">
        <f>IFERROR(s_RadSpec!$H$5*(BL5/$B53),".")</f>
        <v>0</v>
      </c>
      <c r="BM53" s="101">
        <f>IFERROR(s_RadSpec!$H$5*(BM5/$B53),".")</f>
        <v>0</v>
      </c>
      <c r="BN53" s="101">
        <f>IFERROR(s_RadSpec!$H$5*(BN5/$B53),".")</f>
        <v>0</v>
      </c>
      <c r="BO53" s="101">
        <f>IFERROR(s_RadSpec!$H$5*(BO5/$B53),".")</f>
        <v>0</v>
      </c>
      <c r="BP53" s="101">
        <f>IFERROR(s_RadSpec!$H$5*(BP5/$B53),".")</f>
        <v>0</v>
      </c>
      <c r="BQ53" s="101">
        <f>IFERROR(s_RadSpec!$H$5*(BQ5/$B53),".")</f>
        <v>0</v>
      </c>
      <c r="BR53" s="101">
        <f>IFERROR(s_RadSpec!$H$5*(BR5/$B53),".")</f>
        <v>0</v>
      </c>
      <c r="BS53" s="101">
        <f>IFERROR(s_RadSpec!$H$5*(BS5/$B53),".")</f>
        <v>0</v>
      </c>
      <c r="BT53" s="101">
        <f>IFERROR(s_RadSpec!$H$5*(BT5/$B53),".")</f>
        <v>0</v>
      </c>
      <c r="BU53" s="101">
        <f>IFERROR(s_RadSpec!$H$5*(BU5/$B53),".")</f>
        <v>0</v>
      </c>
      <c r="BV53" s="101">
        <f>IFERROR(s_RadSpec!$H$5*(BV5/$B53),".")</f>
        <v>0</v>
      </c>
      <c r="BW53" s="101">
        <f>IFERROR(s_RadSpec!$H$5*(BW5/$B53),".")</f>
        <v>0</v>
      </c>
      <c r="BX53" s="101">
        <f>IFERROR(s_RadSpec!$H$5*(BX5/$B53),".")</f>
        <v>0</v>
      </c>
      <c r="BY53" s="101">
        <f>IFERROR(s_RadSpec!$H$5*(BY5/$B53),".")</f>
        <v>0</v>
      </c>
      <c r="BZ53" s="101">
        <f>IFERROR(s_RadSpec!$H$5*(BZ5/$B53),".")</f>
        <v>0</v>
      </c>
      <c r="CA53" s="101">
        <f>IFERROR(s_RadSpec!$H$5*(CA5/$B53),".")</f>
        <v>0</v>
      </c>
      <c r="CB53" s="101">
        <f>IFERROR(s_RadSpec!$H$5*(CB5/$B53),".")</f>
        <v>0</v>
      </c>
    </row>
    <row r="54" spans="1:80" x14ac:dyDescent="0.25">
      <c r="A54" s="99" t="s">
        <v>1089</v>
      </c>
      <c r="B54" s="90">
        <v>0.99999979999999999</v>
      </c>
      <c r="C54" s="100">
        <f t="shared" ref="C54" si="151">IFERROR($B54/C9,0)</f>
        <v>3.2100083579982004E-3</v>
      </c>
      <c r="D54" s="100">
        <f t="shared" ref="D54:AC54" si="152">IFERROR($B54/D9,0)</f>
        <v>8.025020894995501E-4</v>
      </c>
      <c r="E54" s="100">
        <f t="shared" si="152"/>
        <v>8.025020894995501E-4</v>
      </c>
      <c r="F54" s="100">
        <f t="shared" si="152"/>
        <v>8.025020894995501E-4</v>
      </c>
      <c r="G54" s="100">
        <f t="shared" si="152"/>
        <v>8.025020894995501E-4</v>
      </c>
      <c r="H54" s="100">
        <f t="shared" si="152"/>
        <v>8.025020894995501E-4</v>
      </c>
      <c r="I54" s="100">
        <f t="shared" si="152"/>
        <v>8.025020894995501E-4</v>
      </c>
      <c r="J54" s="100">
        <f t="shared" si="152"/>
        <v>8.025020894995501E-4</v>
      </c>
      <c r="K54" s="100">
        <f t="shared" si="152"/>
        <v>8.025020894995501E-4</v>
      </c>
      <c r="L54" s="100">
        <f t="shared" si="152"/>
        <v>8.025020894995501E-4</v>
      </c>
      <c r="M54" s="100">
        <f t="shared" si="152"/>
        <v>8.025020894995501E-4</v>
      </c>
      <c r="N54" s="100">
        <f t="shared" si="152"/>
        <v>8.025020894995501E-4</v>
      </c>
      <c r="O54" s="100">
        <f t="shared" si="152"/>
        <v>8.025020894995501E-4</v>
      </c>
      <c r="P54" s="100">
        <f t="shared" si="152"/>
        <v>8.025020894995501E-4</v>
      </c>
      <c r="Q54" s="100">
        <f t="shared" si="152"/>
        <v>8.025020894995501E-4</v>
      </c>
      <c r="R54" s="100">
        <f t="shared" si="152"/>
        <v>8.025020894995501E-4</v>
      </c>
      <c r="S54" s="100">
        <f t="shared" si="152"/>
        <v>8.025020894995501E-4</v>
      </c>
      <c r="T54" s="100">
        <f t="shared" si="152"/>
        <v>8.025020894995501E-4</v>
      </c>
      <c r="U54" s="100">
        <f t="shared" ref="U54" si="153">IFERROR($B54/U9,0)</f>
        <v>8.025020894995501E-4</v>
      </c>
      <c r="V54" s="100">
        <f t="shared" si="152"/>
        <v>8.025020894995501E-4</v>
      </c>
      <c r="W54" s="100">
        <f t="shared" si="152"/>
        <v>8.025020894995501E-4</v>
      </c>
      <c r="X54" s="100">
        <f t="shared" si="152"/>
        <v>8.025020894995501E-4</v>
      </c>
      <c r="Y54" s="100">
        <f t="shared" si="152"/>
        <v>8.025020894995501E-4</v>
      </c>
      <c r="Z54" s="100">
        <f t="shared" si="152"/>
        <v>8.025020894995501E-4</v>
      </c>
      <c r="AA54" s="100">
        <f t="shared" si="152"/>
        <v>8.025020894995501E-4</v>
      </c>
      <c r="AB54" s="100">
        <f t="shared" si="152"/>
        <v>8.025020894995501E-4</v>
      </c>
      <c r="AC54" s="100">
        <f t="shared" si="152"/>
        <v>3.2100083579982004E-3</v>
      </c>
      <c r="AD54" s="100">
        <f t="shared" ref="AD54:BB54" si="154">IFERROR($B54/AD9,0)</f>
        <v>8.025020894995501E-4</v>
      </c>
      <c r="AE54" s="100">
        <f t="shared" si="154"/>
        <v>8.025020894995501E-4</v>
      </c>
      <c r="AF54" s="100">
        <f t="shared" si="154"/>
        <v>8.025020894995501E-4</v>
      </c>
      <c r="AG54" s="100">
        <f t="shared" si="154"/>
        <v>8.025020894995501E-4</v>
      </c>
      <c r="AH54" s="100">
        <f t="shared" si="154"/>
        <v>8.025020894995501E-4</v>
      </c>
      <c r="AI54" s="100">
        <f t="shared" si="154"/>
        <v>8.025020894995501E-4</v>
      </c>
      <c r="AJ54" s="100">
        <f t="shared" si="154"/>
        <v>8.025020894995501E-4</v>
      </c>
      <c r="AK54" s="100">
        <f t="shared" si="154"/>
        <v>8.025020894995501E-4</v>
      </c>
      <c r="AL54" s="100">
        <f t="shared" si="154"/>
        <v>8.025020894995501E-4</v>
      </c>
      <c r="AM54" s="100">
        <f t="shared" si="154"/>
        <v>8.025020894995501E-4</v>
      </c>
      <c r="AN54" s="100">
        <f t="shared" si="154"/>
        <v>8.025020894995501E-4</v>
      </c>
      <c r="AO54" s="100">
        <f t="shared" si="154"/>
        <v>8.025020894995501E-4</v>
      </c>
      <c r="AP54" s="100">
        <f t="shared" si="154"/>
        <v>8.025020894995501E-4</v>
      </c>
      <c r="AQ54" s="100">
        <f t="shared" si="154"/>
        <v>8.025020894995501E-4</v>
      </c>
      <c r="AR54" s="100">
        <f t="shared" si="154"/>
        <v>8.025020894995501E-4</v>
      </c>
      <c r="AS54" s="100">
        <f t="shared" si="154"/>
        <v>8.025020894995501E-4</v>
      </c>
      <c r="AT54" s="100">
        <f t="shared" si="154"/>
        <v>8.025020894995501E-4</v>
      </c>
      <c r="AU54" s="100">
        <f t="shared" ref="AU54" si="155">IFERROR($B54/AU9,0)</f>
        <v>8.025020894995501E-4</v>
      </c>
      <c r="AV54" s="100">
        <f t="shared" si="154"/>
        <v>8.025020894995501E-4</v>
      </c>
      <c r="AW54" s="100">
        <f t="shared" si="154"/>
        <v>8.025020894995501E-4</v>
      </c>
      <c r="AX54" s="100">
        <f t="shared" si="154"/>
        <v>8.025020894995501E-4</v>
      </c>
      <c r="AY54" s="100">
        <f t="shared" si="154"/>
        <v>8.025020894995501E-4</v>
      </c>
      <c r="AZ54" s="100">
        <f t="shared" si="154"/>
        <v>8.025020894995501E-4</v>
      </c>
      <c r="BA54" s="100">
        <f t="shared" si="154"/>
        <v>8.025020894995501E-4</v>
      </c>
      <c r="BB54" s="100">
        <f t="shared" si="154"/>
        <v>8.025020894995501E-4</v>
      </c>
      <c r="BC54" s="101">
        <f t="shared" si="26"/>
        <v>1.6050048210009644E-7</v>
      </c>
      <c r="BD54" s="101">
        <f>IFERROR(s_RadSpec!$H$9*(BD9/$B54),".")</f>
        <v>4.012512052502411E-8</v>
      </c>
      <c r="BE54" s="101">
        <f>IFERROR(s_RadSpec!$H$9*(BE9/$B54),".")</f>
        <v>4.012512052502411E-8</v>
      </c>
      <c r="BF54" s="101">
        <f>IFERROR(s_RadSpec!$H$9*(BF9/$B54),".")</f>
        <v>4.012512052502411E-8</v>
      </c>
      <c r="BG54" s="101">
        <f>IFERROR(s_RadSpec!$H$9*(BG9/$B54),".")</f>
        <v>4.012512052502411E-8</v>
      </c>
      <c r="BH54" s="101">
        <f>IFERROR(s_RadSpec!$H$9*(BH9/$B54),".")</f>
        <v>4.012512052502411E-8</v>
      </c>
      <c r="BI54" s="101">
        <f>IFERROR(s_RadSpec!$H$9*(BI9/$B54),".")</f>
        <v>4.012512052502411E-8</v>
      </c>
      <c r="BJ54" s="101">
        <f>IFERROR(s_RadSpec!$H$9*(BJ9/$B54),".")</f>
        <v>4.012512052502411E-8</v>
      </c>
      <c r="BK54" s="101">
        <f>IFERROR(s_RadSpec!$H$9*(BK9/$B54),".")</f>
        <v>4.012512052502411E-8</v>
      </c>
      <c r="BL54" s="101">
        <f>IFERROR(s_RadSpec!$H$9*(BL9/$B54),".")</f>
        <v>4.012512052502411E-8</v>
      </c>
      <c r="BM54" s="101">
        <f>IFERROR(s_RadSpec!$H$9*(BM9/$B54),".")</f>
        <v>4.012512052502411E-8</v>
      </c>
      <c r="BN54" s="101">
        <f>IFERROR(s_RadSpec!$H$9*(BN9/$B54),".")</f>
        <v>4.012512052502411E-8</v>
      </c>
      <c r="BO54" s="101">
        <f>IFERROR(s_RadSpec!$H$9*(BO9/$B54),".")</f>
        <v>4.012512052502411E-8</v>
      </c>
      <c r="BP54" s="101">
        <f>IFERROR(s_RadSpec!$H$9*(BP9/$B54),".")</f>
        <v>4.012512052502411E-8</v>
      </c>
      <c r="BQ54" s="101">
        <f>IFERROR(s_RadSpec!$H$9*(BQ9/$B54),".")</f>
        <v>4.012512052502411E-8</v>
      </c>
      <c r="BR54" s="101">
        <f>IFERROR(s_RadSpec!$H$9*(BR9/$B54),".")</f>
        <v>4.012512052502411E-8</v>
      </c>
      <c r="BS54" s="101">
        <f>IFERROR(s_RadSpec!$H$9*(BS9/$B54),".")</f>
        <v>4.012512052502411E-8</v>
      </c>
      <c r="BT54" s="101">
        <f>IFERROR(s_RadSpec!$H$9*(BT9/$B54),".")</f>
        <v>4.012512052502411E-8</v>
      </c>
      <c r="BU54" s="101">
        <f>IFERROR(s_RadSpec!$H$9*(BU9/$B54),".")</f>
        <v>4.012512052502411E-8</v>
      </c>
      <c r="BV54" s="101">
        <f>IFERROR(s_RadSpec!$H$9*(BV9/$B54),".")</f>
        <v>4.012512052502411E-8</v>
      </c>
      <c r="BW54" s="101">
        <f>IFERROR(s_RadSpec!$H$9*(BW9/$B54),".")</f>
        <v>4.012512052502411E-8</v>
      </c>
      <c r="BX54" s="101">
        <f>IFERROR(s_RadSpec!$H$9*(BX9/$B54),".")</f>
        <v>4.012512052502411E-8</v>
      </c>
      <c r="BY54" s="101">
        <f>IFERROR(s_RadSpec!$H$9*(BY9/$B54),".")</f>
        <v>4.012512052502411E-8</v>
      </c>
      <c r="BZ54" s="101">
        <f>IFERROR(s_RadSpec!$H$9*(BZ9/$B54),".")</f>
        <v>4.012512052502411E-8</v>
      </c>
      <c r="CA54" s="101">
        <f>IFERROR(s_RadSpec!$H$9*(CA9/$B54),".")</f>
        <v>4.012512052502411E-8</v>
      </c>
      <c r="CB54" s="101">
        <f>IFERROR(s_RadSpec!$H$9*(CB9/$B54),".")</f>
        <v>4.012512052502411E-8</v>
      </c>
    </row>
    <row r="55" spans="1:80" x14ac:dyDescent="0.25">
      <c r="A55" s="99" t="s">
        <v>1090</v>
      </c>
      <c r="B55" s="90">
        <v>1.9999999999999999E-7</v>
      </c>
      <c r="C55" s="100">
        <f t="shared" ref="C55" si="156">IFERROR($B55/C24,0)</f>
        <v>0</v>
      </c>
      <c r="D55" s="100">
        <f t="shared" ref="D55:AC55" si="157">IFERROR($B55/D24,0)</f>
        <v>0</v>
      </c>
      <c r="E55" s="100">
        <f t="shared" si="157"/>
        <v>0</v>
      </c>
      <c r="F55" s="100">
        <f t="shared" si="157"/>
        <v>0</v>
      </c>
      <c r="G55" s="100">
        <f t="shared" si="157"/>
        <v>0</v>
      </c>
      <c r="H55" s="100">
        <f t="shared" si="157"/>
        <v>0</v>
      </c>
      <c r="I55" s="100">
        <f t="shared" si="157"/>
        <v>0</v>
      </c>
      <c r="J55" s="100">
        <f t="shared" si="157"/>
        <v>0</v>
      </c>
      <c r="K55" s="100">
        <f t="shared" si="157"/>
        <v>0</v>
      </c>
      <c r="L55" s="100">
        <f t="shared" si="157"/>
        <v>0</v>
      </c>
      <c r="M55" s="100">
        <f t="shared" si="157"/>
        <v>0</v>
      </c>
      <c r="N55" s="100">
        <f t="shared" si="157"/>
        <v>0</v>
      </c>
      <c r="O55" s="100">
        <f t="shared" si="157"/>
        <v>0</v>
      </c>
      <c r="P55" s="100">
        <f t="shared" si="157"/>
        <v>0</v>
      </c>
      <c r="Q55" s="100">
        <f t="shared" si="157"/>
        <v>0</v>
      </c>
      <c r="R55" s="100">
        <f t="shared" si="157"/>
        <v>0</v>
      </c>
      <c r="S55" s="100">
        <f t="shared" si="157"/>
        <v>0</v>
      </c>
      <c r="T55" s="100">
        <f t="shared" si="157"/>
        <v>0</v>
      </c>
      <c r="U55" s="100">
        <f t="shared" ref="U55" si="158">IFERROR($B55/U24,0)</f>
        <v>0</v>
      </c>
      <c r="V55" s="100">
        <f t="shared" si="157"/>
        <v>0</v>
      </c>
      <c r="W55" s="100">
        <f t="shared" si="157"/>
        <v>0</v>
      </c>
      <c r="X55" s="100">
        <f t="shared" si="157"/>
        <v>0</v>
      </c>
      <c r="Y55" s="100">
        <f t="shared" si="157"/>
        <v>0</v>
      </c>
      <c r="Z55" s="100">
        <f t="shared" si="157"/>
        <v>0</v>
      </c>
      <c r="AA55" s="100">
        <f t="shared" si="157"/>
        <v>0</v>
      </c>
      <c r="AB55" s="100">
        <f t="shared" si="157"/>
        <v>0</v>
      </c>
      <c r="AC55" s="100">
        <f t="shared" si="157"/>
        <v>0</v>
      </c>
      <c r="AD55" s="100">
        <f t="shared" ref="AD55:BB55" si="159">IFERROR($B55/AD24,0)</f>
        <v>0</v>
      </c>
      <c r="AE55" s="100">
        <f t="shared" si="159"/>
        <v>0</v>
      </c>
      <c r="AF55" s="100">
        <f t="shared" si="159"/>
        <v>0</v>
      </c>
      <c r="AG55" s="100">
        <f t="shared" si="159"/>
        <v>0</v>
      </c>
      <c r="AH55" s="100">
        <f t="shared" si="159"/>
        <v>0</v>
      </c>
      <c r="AI55" s="100">
        <f t="shared" si="159"/>
        <v>0</v>
      </c>
      <c r="AJ55" s="100">
        <f t="shared" si="159"/>
        <v>0</v>
      </c>
      <c r="AK55" s="100">
        <f t="shared" si="159"/>
        <v>0</v>
      </c>
      <c r="AL55" s="100">
        <f t="shared" si="159"/>
        <v>0</v>
      </c>
      <c r="AM55" s="100">
        <f t="shared" si="159"/>
        <v>0</v>
      </c>
      <c r="AN55" s="100">
        <f t="shared" si="159"/>
        <v>0</v>
      </c>
      <c r="AO55" s="100">
        <f t="shared" si="159"/>
        <v>0</v>
      </c>
      <c r="AP55" s="100">
        <f t="shared" si="159"/>
        <v>0</v>
      </c>
      <c r="AQ55" s="100">
        <f t="shared" si="159"/>
        <v>0</v>
      </c>
      <c r="AR55" s="100">
        <f t="shared" si="159"/>
        <v>0</v>
      </c>
      <c r="AS55" s="100">
        <f t="shared" si="159"/>
        <v>0</v>
      </c>
      <c r="AT55" s="100">
        <f t="shared" si="159"/>
        <v>0</v>
      </c>
      <c r="AU55" s="100">
        <f t="shared" ref="AU55" si="160">IFERROR($B55/AU24,0)</f>
        <v>0</v>
      </c>
      <c r="AV55" s="100">
        <f t="shared" si="159"/>
        <v>0</v>
      </c>
      <c r="AW55" s="100">
        <f t="shared" si="159"/>
        <v>0</v>
      </c>
      <c r="AX55" s="100">
        <f t="shared" si="159"/>
        <v>0</v>
      </c>
      <c r="AY55" s="100">
        <f t="shared" si="159"/>
        <v>0</v>
      </c>
      <c r="AZ55" s="100">
        <f t="shared" si="159"/>
        <v>0</v>
      </c>
      <c r="BA55" s="100">
        <f t="shared" si="159"/>
        <v>0</v>
      </c>
      <c r="BB55" s="100">
        <f t="shared" si="159"/>
        <v>0</v>
      </c>
      <c r="BC55" s="101">
        <f t="shared" si="26"/>
        <v>0</v>
      </c>
      <c r="BD55" s="101">
        <f>IFERROR(s_RadSpec!$H$24*(BD24/$B55),".")</f>
        <v>0</v>
      </c>
      <c r="BE55" s="101">
        <f>IFERROR(s_RadSpec!$H$24*(BE24/$B55),".")</f>
        <v>0</v>
      </c>
      <c r="BF55" s="101">
        <f>IFERROR(s_RadSpec!$H$24*(BF24/$B55),".")</f>
        <v>0</v>
      </c>
      <c r="BG55" s="101">
        <f>IFERROR(s_RadSpec!$H$24*(BG24/$B55),".")</f>
        <v>0</v>
      </c>
      <c r="BH55" s="101">
        <f>IFERROR(s_RadSpec!$H$24*(BH24/$B55),".")</f>
        <v>0</v>
      </c>
      <c r="BI55" s="101">
        <f>IFERROR(s_RadSpec!$H$24*(BI24/$B55),".")</f>
        <v>0</v>
      </c>
      <c r="BJ55" s="101">
        <f>IFERROR(s_RadSpec!$H$24*(BJ24/$B55),".")</f>
        <v>0</v>
      </c>
      <c r="BK55" s="101">
        <f>IFERROR(s_RadSpec!$H$24*(BK24/$B55),".")</f>
        <v>0</v>
      </c>
      <c r="BL55" s="101">
        <f>IFERROR(s_RadSpec!$H$24*(BL24/$B55),".")</f>
        <v>0</v>
      </c>
      <c r="BM55" s="101">
        <f>IFERROR(s_RadSpec!$H$24*(BM24/$B55),".")</f>
        <v>0</v>
      </c>
      <c r="BN55" s="101">
        <f>IFERROR(s_RadSpec!$H$24*(BN24/$B55),".")</f>
        <v>0</v>
      </c>
      <c r="BO55" s="101">
        <f>IFERROR(s_RadSpec!$H$24*(BO24/$B55),".")</f>
        <v>0</v>
      </c>
      <c r="BP55" s="101">
        <f>IFERROR(s_RadSpec!$H$24*(BP24/$B55),".")</f>
        <v>0</v>
      </c>
      <c r="BQ55" s="101">
        <f>IFERROR(s_RadSpec!$H$24*(BQ24/$B55),".")</f>
        <v>0</v>
      </c>
      <c r="BR55" s="101">
        <f>IFERROR(s_RadSpec!$H$24*(BR24/$B55),".")</f>
        <v>0</v>
      </c>
      <c r="BS55" s="101">
        <f>IFERROR(s_RadSpec!$H$24*(BS24/$B55),".")</f>
        <v>0</v>
      </c>
      <c r="BT55" s="101">
        <f>IFERROR(s_RadSpec!$H$24*(BT24/$B55),".")</f>
        <v>0</v>
      </c>
      <c r="BU55" s="101">
        <f>IFERROR(s_RadSpec!$H$24*(BU24/$B55),".")</f>
        <v>0</v>
      </c>
      <c r="BV55" s="101">
        <f>IFERROR(s_RadSpec!$H$24*(BV24/$B55),".")</f>
        <v>0</v>
      </c>
      <c r="BW55" s="101">
        <f>IFERROR(s_RadSpec!$H$24*(BW24/$B55),".")</f>
        <v>0</v>
      </c>
      <c r="BX55" s="101">
        <f>IFERROR(s_RadSpec!$H$24*(BX24/$B55),".")</f>
        <v>0</v>
      </c>
      <c r="BY55" s="101">
        <f>IFERROR(s_RadSpec!$H$24*(BY24/$B55),".")</f>
        <v>0</v>
      </c>
      <c r="BZ55" s="101">
        <f>IFERROR(s_RadSpec!$H$24*(BZ24/$B55),".")</f>
        <v>0</v>
      </c>
      <c r="CA55" s="101">
        <f>IFERROR(s_RadSpec!$H$24*(CA24/$B55),".")</f>
        <v>0</v>
      </c>
      <c r="CB55" s="101">
        <f>IFERROR(s_RadSpec!$H$24*(CB24/$B55),".")</f>
        <v>0</v>
      </c>
    </row>
    <row r="56" spans="1:80" x14ac:dyDescent="0.25">
      <c r="A56" s="99" t="s">
        <v>1091</v>
      </c>
      <c r="B56" s="90">
        <v>0.99979000004200003</v>
      </c>
      <c r="C56" s="100">
        <f t="shared" ref="C56" si="161">IFERROR($B56/C20,0)</f>
        <v>0</v>
      </c>
      <c r="D56" s="100">
        <f t="shared" ref="D56:AC56" si="162">IFERROR($B56/D20,0)</f>
        <v>0</v>
      </c>
      <c r="E56" s="100">
        <f t="shared" si="162"/>
        <v>0</v>
      </c>
      <c r="F56" s="100">
        <f t="shared" si="162"/>
        <v>0</v>
      </c>
      <c r="G56" s="100">
        <f t="shared" si="162"/>
        <v>0</v>
      </c>
      <c r="H56" s="100">
        <f t="shared" si="162"/>
        <v>0</v>
      </c>
      <c r="I56" s="100">
        <f t="shared" si="162"/>
        <v>0</v>
      </c>
      <c r="J56" s="100">
        <f t="shared" si="162"/>
        <v>0</v>
      </c>
      <c r="K56" s="100">
        <f t="shared" si="162"/>
        <v>0</v>
      </c>
      <c r="L56" s="100">
        <f t="shared" si="162"/>
        <v>0</v>
      </c>
      <c r="M56" s="100">
        <f t="shared" si="162"/>
        <v>0</v>
      </c>
      <c r="N56" s="100">
        <f t="shared" si="162"/>
        <v>0</v>
      </c>
      <c r="O56" s="100">
        <f t="shared" si="162"/>
        <v>0</v>
      </c>
      <c r="P56" s="100">
        <f t="shared" si="162"/>
        <v>0</v>
      </c>
      <c r="Q56" s="100">
        <f t="shared" si="162"/>
        <v>0</v>
      </c>
      <c r="R56" s="100">
        <f t="shared" si="162"/>
        <v>0</v>
      </c>
      <c r="S56" s="100">
        <f t="shared" si="162"/>
        <v>0</v>
      </c>
      <c r="T56" s="100">
        <f t="shared" si="162"/>
        <v>0</v>
      </c>
      <c r="U56" s="100">
        <f t="shared" ref="U56" si="163">IFERROR($B56/U20,0)</f>
        <v>0</v>
      </c>
      <c r="V56" s="100">
        <f t="shared" si="162"/>
        <v>0</v>
      </c>
      <c r="W56" s="100">
        <f t="shared" si="162"/>
        <v>0</v>
      </c>
      <c r="X56" s="100">
        <f t="shared" si="162"/>
        <v>0</v>
      </c>
      <c r="Y56" s="100">
        <f t="shared" si="162"/>
        <v>0</v>
      </c>
      <c r="Z56" s="100">
        <f t="shared" si="162"/>
        <v>0</v>
      </c>
      <c r="AA56" s="100">
        <f t="shared" si="162"/>
        <v>0</v>
      </c>
      <c r="AB56" s="100">
        <f t="shared" si="162"/>
        <v>0</v>
      </c>
      <c r="AC56" s="100">
        <f t="shared" si="162"/>
        <v>0</v>
      </c>
      <c r="AD56" s="100">
        <f t="shared" ref="AD56:BB56" si="164">IFERROR($B56/AD20,0)</f>
        <v>0</v>
      </c>
      <c r="AE56" s="100">
        <f t="shared" si="164"/>
        <v>0</v>
      </c>
      <c r="AF56" s="100">
        <f t="shared" si="164"/>
        <v>0</v>
      </c>
      <c r="AG56" s="100">
        <f t="shared" si="164"/>
        <v>0</v>
      </c>
      <c r="AH56" s="100">
        <f t="shared" si="164"/>
        <v>0</v>
      </c>
      <c r="AI56" s="100">
        <f t="shared" si="164"/>
        <v>0</v>
      </c>
      <c r="AJ56" s="100">
        <f t="shared" si="164"/>
        <v>0</v>
      </c>
      <c r="AK56" s="100">
        <f t="shared" si="164"/>
        <v>0</v>
      </c>
      <c r="AL56" s="100">
        <f t="shared" si="164"/>
        <v>0</v>
      </c>
      <c r="AM56" s="100">
        <f t="shared" si="164"/>
        <v>0</v>
      </c>
      <c r="AN56" s="100">
        <f t="shared" si="164"/>
        <v>0</v>
      </c>
      <c r="AO56" s="100">
        <f t="shared" si="164"/>
        <v>0</v>
      </c>
      <c r="AP56" s="100">
        <f t="shared" si="164"/>
        <v>0</v>
      </c>
      <c r="AQ56" s="100">
        <f t="shared" si="164"/>
        <v>0</v>
      </c>
      <c r="AR56" s="100">
        <f t="shared" si="164"/>
        <v>0</v>
      </c>
      <c r="AS56" s="100">
        <f t="shared" si="164"/>
        <v>0</v>
      </c>
      <c r="AT56" s="100">
        <f t="shared" si="164"/>
        <v>0</v>
      </c>
      <c r="AU56" s="100">
        <f t="shared" ref="AU56" si="165">IFERROR($B56/AU20,0)</f>
        <v>0</v>
      </c>
      <c r="AV56" s="100">
        <f t="shared" si="164"/>
        <v>0</v>
      </c>
      <c r="AW56" s="100">
        <f t="shared" si="164"/>
        <v>0</v>
      </c>
      <c r="AX56" s="100">
        <f t="shared" si="164"/>
        <v>0</v>
      </c>
      <c r="AY56" s="100">
        <f t="shared" si="164"/>
        <v>0</v>
      </c>
      <c r="AZ56" s="100">
        <f t="shared" si="164"/>
        <v>0</v>
      </c>
      <c r="BA56" s="100">
        <f t="shared" si="164"/>
        <v>0</v>
      </c>
      <c r="BB56" s="100">
        <f t="shared" si="164"/>
        <v>0</v>
      </c>
      <c r="BC56" s="101">
        <f t="shared" si="26"/>
        <v>0</v>
      </c>
      <c r="BD56" s="101">
        <f>IFERROR(s_RadSpec!$H$20*(BD20/$B56),".")</f>
        <v>0</v>
      </c>
      <c r="BE56" s="101">
        <f>IFERROR(s_RadSpec!$H$20*(BE20/$B56),".")</f>
        <v>0</v>
      </c>
      <c r="BF56" s="101">
        <f>IFERROR(s_RadSpec!$H$20*(BF20/$B56),".")</f>
        <v>0</v>
      </c>
      <c r="BG56" s="101">
        <f>IFERROR(s_RadSpec!$H$20*(BG20/$B56),".")</f>
        <v>0</v>
      </c>
      <c r="BH56" s="101">
        <f>IFERROR(s_RadSpec!$H$20*(BH20/$B56),".")</f>
        <v>0</v>
      </c>
      <c r="BI56" s="101">
        <f>IFERROR(s_RadSpec!$H$20*(BI20/$B56),".")</f>
        <v>0</v>
      </c>
      <c r="BJ56" s="101">
        <f>IFERROR(s_RadSpec!$H$20*(BJ20/$B56),".")</f>
        <v>0</v>
      </c>
      <c r="BK56" s="101">
        <f>IFERROR(s_RadSpec!$H$20*(BK20/$B56),".")</f>
        <v>0</v>
      </c>
      <c r="BL56" s="101">
        <f>IFERROR(s_RadSpec!$H$20*(BL20/$B56),".")</f>
        <v>0</v>
      </c>
      <c r="BM56" s="101">
        <f>IFERROR(s_RadSpec!$H$20*(BM20/$B56),".")</f>
        <v>0</v>
      </c>
      <c r="BN56" s="101">
        <f>IFERROR(s_RadSpec!$H$20*(BN20/$B56),".")</f>
        <v>0</v>
      </c>
      <c r="BO56" s="101">
        <f>IFERROR(s_RadSpec!$H$20*(BO20/$B56),".")</f>
        <v>0</v>
      </c>
      <c r="BP56" s="101">
        <f>IFERROR(s_RadSpec!$H$20*(BP20/$B56),".")</f>
        <v>0</v>
      </c>
      <c r="BQ56" s="101">
        <f>IFERROR(s_RadSpec!$H$20*(BQ20/$B56),".")</f>
        <v>0</v>
      </c>
      <c r="BR56" s="101">
        <f>IFERROR(s_RadSpec!$H$20*(BR20/$B56),".")</f>
        <v>0</v>
      </c>
      <c r="BS56" s="101">
        <f>IFERROR(s_RadSpec!$H$20*(BS20/$B56),".")</f>
        <v>0</v>
      </c>
      <c r="BT56" s="101">
        <f>IFERROR(s_RadSpec!$H$20*(BT20/$B56),".")</f>
        <v>0</v>
      </c>
      <c r="BU56" s="101">
        <f>IFERROR(s_RadSpec!$H$20*(BU20/$B56),".")</f>
        <v>0</v>
      </c>
      <c r="BV56" s="101">
        <f>IFERROR(s_RadSpec!$H$20*(BV20/$B56),".")</f>
        <v>0</v>
      </c>
      <c r="BW56" s="101">
        <f>IFERROR(s_RadSpec!$H$20*(BW20/$B56),".")</f>
        <v>0</v>
      </c>
      <c r="BX56" s="101">
        <f>IFERROR(s_RadSpec!$H$20*(BX20/$B56),".")</f>
        <v>0</v>
      </c>
      <c r="BY56" s="101">
        <f>IFERROR(s_RadSpec!$H$20*(BY20/$B56),".")</f>
        <v>0</v>
      </c>
      <c r="BZ56" s="101">
        <f>IFERROR(s_RadSpec!$H$20*(BZ20/$B56),".")</f>
        <v>0</v>
      </c>
      <c r="CA56" s="101">
        <f>IFERROR(s_RadSpec!$H$20*(CA20/$B56),".")</f>
        <v>0</v>
      </c>
      <c r="CB56" s="101">
        <f>IFERROR(s_RadSpec!$H$20*(CB20/$B56),".")</f>
        <v>0</v>
      </c>
    </row>
    <row r="57" spans="1:80" x14ac:dyDescent="0.25">
      <c r="A57" s="99" t="s">
        <v>1092</v>
      </c>
      <c r="B57" s="90">
        <v>2.0999995799999999E-4</v>
      </c>
      <c r="C57" s="100">
        <f t="shared" ref="C57" si="166">IFERROR($B57/C29,0)</f>
        <v>0</v>
      </c>
      <c r="D57" s="100">
        <f t="shared" ref="D57:AC57" si="167">IFERROR($B57/D29,0)</f>
        <v>0</v>
      </c>
      <c r="E57" s="100">
        <f t="shared" si="167"/>
        <v>0</v>
      </c>
      <c r="F57" s="100">
        <f t="shared" si="167"/>
        <v>0</v>
      </c>
      <c r="G57" s="100">
        <f t="shared" si="167"/>
        <v>0</v>
      </c>
      <c r="H57" s="100">
        <f t="shared" si="167"/>
        <v>0</v>
      </c>
      <c r="I57" s="100">
        <f t="shared" si="167"/>
        <v>0</v>
      </c>
      <c r="J57" s="100">
        <f t="shared" si="167"/>
        <v>0</v>
      </c>
      <c r="K57" s="100">
        <f t="shared" si="167"/>
        <v>0</v>
      </c>
      <c r="L57" s="100">
        <f t="shared" si="167"/>
        <v>0</v>
      </c>
      <c r="M57" s="100">
        <f t="shared" si="167"/>
        <v>0</v>
      </c>
      <c r="N57" s="100">
        <f t="shared" si="167"/>
        <v>0</v>
      </c>
      <c r="O57" s="100">
        <f t="shared" si="167"/>
        <v>0</v>
      </c>
      <c r="P57" s="100">
        <f t="shared" si="167"/>
        <v>0</v>
      </c>
      <c r="Q57" s="100">
        <f t="shared" si="167"/>
        <v>0</v>
      </c>
      <c r="R57" s="100">
        <f t="shared" si="167"/>
        <v>0</v>
      </c>
      <c r="S57" s="100">
        <f t="shared" si="167"/>
        <v>0</v>
      </c>
      <c r="T57" s="100">
        <f t="shared" si="167"/>
        <v>0</v>
      </c>
      <c r="U57" s="100">
        <f t="shared" ref="U57" si="168">IFERROR($B57/U29,0)</f>
        <v>0</v>
      </c>
      <c r="V57" s="100">
        <f t="shared" si="167"/>
        <v>0</v>
      </c>
      <c r="W57" s="100">
        <f t="shared" si="167"/>
        <v>0</v>
      </c>
      <c r="X57" s="100">
        <f t="shared" si="167"/>
        <v>0</v>
      </c>
      <c r="Y57" s="100">
        <f t="shared" si="167"/>
        <v>0</v>
      </c>
      <c r="Z57" s="100">
        <f t="shared" si="167"/>
        <v>0</v>
      </c>
      <c r="AA57" s="100">
        <f t="shared" si="167"/>
        <v>0</v>
      </c>
      <c r="AB57" s="100">
        <f t="shared" si="167"/>
        <v>0</v>
      </c>
      <c r="AC57" s="100">
        <f t="shared" si="167"/>
        <v>0</v>
      </c>
      <c r="AD57" s="100">
        <f t="shared" ref="AD57:BB57" si="169">IFERROR($B57/AD29,0)</f>
        <v>0</v>
      </c>
      <c r="AE57" s="100">
        <f t="shared" si="169"/>
        <v>0</v>
      </c>
      <c r="AF57" s="100">
        <f t="shared" si="169"/>
        <v>0</v>
      </c>
      <c r="AG57" s="100">
        <f t="shared" si="169"/>
        <v>0</v>
      </c>
      <c r="AH57" s="100">
        <f t="shared" si="169"/>
        <v>0</v>
      </c>
      <c r="AI57" s="100">
        <f t="shared" si="169"/>
        <v>0</v>
      </c>
      <c r="AJ57" s="100">
        <f t="shared" si="169"/>
        <v>0</v>
      </c>
      <c r="AK57" s="100">
        <f t="shared" si="169"/>
        <v>0</v>
      </c>
      <c r="AL57" s="100">
        <f t="shared" si="169"/>
        <v>0</v>
      </c>
      <c r="AM57" s="100">
        <f t="shared" si="169"/>
        <v>0</v>
      </c>
      <c r="AN57" s="100">
        <f t="shared" si="169"/>
        <v>0</v>
      </c>
      <c r="AO57" s="100">
        <f t="shared" si="169"/>
        <v>0</v>
      </c>
      <c r="AP57" s="100">
        <f t="shared" si="169"/>
        <v>0</v>
      </c>
      <c r="AQ57" s="100">
        <f t="shared" si="169"/>
        <v>0</v>
      </c>
      <c r="AR57" s="100">
        <f t="shared" si="169"/>
        <v>0</v>
      </c>
      <c r="AS57" s="100">
        <f t="shared" si="169"/>
        <v>0</v>
      </c>
      <c r="AT57" s="100">
        <f t="shared" si="169"/>
        <v>0</v>
      </c>
      <c r="AU57" s="100">
        <f t="shared" ref="AU57" si="170">IFERROR($B57/AU29,0)</f>
        <v>0</v>
      </c>
      <c r="AV57" s="100">
        <f t="shared" si="169"/>
        <v>0</v>
      </c>
      <c r="AW57" s="100">
        <f t="shared" si="169"/>
        <v>0</v>
      </c>
      <c r="AX57" s="100">
        <f t="shared" si="169"/>
        <v>0</v>
      </c>
      <c r="AY57" s="100">
        <f t="shared" si="169"/>
        <v>0</v>
      </c>
      <c r="AZ57" s="100">
        <f t="shared" si="169"/>
        <v>0</v>
      </c>
      <c r="BA57" s="100">
        <f t="shared" si="169"/>
        <v>0</v>
      </c>
      <c r="BB57" s="100">
        <f t="shared" si="169"/>
        <v>0</v>
      </c>
      <c r="BC57" s="101">
        <f t="shared" si="26"/>
        <v>0</v>
      </c>
      <c r="BD57" s="101">
        <f>IFERROR(s_RadSpec!$H$29*(BD29/$B57),".")</f>
        <v>0</v>
      </c>
      <c r="BE57" s="101">
        <f>IFERROR(s_RadSpec!$H$29*(BE29/$B57),".")</f>
        <v>0</v>
      </c>
      <c r="BF57" s="101">
        <f>IFERROR(s_RadSpec!$H$29*(BF29/$B57),".")</f>
        <v>0</v>
      </c>
      <c r="BG57" s="101">
        <f>IFERROR(s_RadSpec!$H$29*(BG29/$B57),".")</f>
        <v>0</v>
      </c>
      <c r="BH57" s="101">
        <f>IFERROR(s_RadSpec!$H$29*(BH29/$B57),".")</f>
        <v>0</v>
      </c>
      <c r="BI57" s="101">
        <f>IFERROR(s_RadSpec!$H$29*(BI29/$B57),".")</f>
        <v>0</v>
      </c>
      <c r="BJ57" s="101">
        <f>IFERROR(s_RadSpec!$H$29*(BJ29/$B57),".")</f>
        <v>0</v>
      </c>
      <c r="BK57" s="101">
        <f>IFERROR(s_RadSpec!$H$29*(BK29/$B57),".")</f>
        <v>0</v>
      </c>
      <c r="BL57" s="101">
        <f>IFERROR(s_RadSpec!$H$29*(BL29/$B57),".")</f>
        <v>0</v>
      </c>
      <c r="BM57" s="101">
        <f>IFERROR(s_RadSpec!$H$29*(BM29/$B57),".")</f>
        <v>0</v>
      </c>
      <c r="BN57" s="101">
        <f>IFERROR(s_RadSpec!$H$29*(BN29/$B57),".")</f>
        <v>0</v>
      </c>
      <c r="BO57" s="101">
        <f>IFERROR(s_RadSpec!$H$29*(BO29/$B57),".")</f>
        <v>0</v>
      </c>
      <c r="BP57" s="101">
        <f>IFERROR(s_RadSpec!$H$29*(BP29/$B57),".")</f>
        <v>0</v>
      </c>
      <c r="BQ57" s="101">
        <f>IFERROR(s_RadSpec!$H$29*(BQ29/$B57),".")</f>
        <v>0</v>
      </c>
      <c r="BR57" s="101">
        <f>IFERROR(s_RadSpec!$H$29*(BR29/$B57),".")</f>
        <v>0</v>
      </c>
      <c r="BS57" s="101">
        <f>IFERROR(s_RadSpec!$H$29*(BS29/$B57),".")</f>
        <v>0</v>
      </c>
      <c r="BT57" s="101">
        <f>IFERROR(s_RadSpec!$H$29*(BT29/$B57),".")</f>
        <v>0</v>
      </c>
      <c r="BU57" s="101">
        <f>IFERROR(s_RadSpec!$H$29*(BU29/$B57),".")</f>
        <v>0</v>
      </c>
      <c r="BV57" s="101">
        <f>IFERROR(s_RadSpec!$H$29*(BV29/$B57),".")</f>
        <v>0</v>
      </c>
      <c r="BW57" s="101">
        <f>IFERROR(s_RadSpec!$H$29*(BW29/$B57),".")</f>
        <v>0</v>
      </c>
      <c r="BX57" s="101">
        <f>IFERROR(s_RadSpec!$H$29*(BX29/$B57),".")</f>
        <v>0</v>
      </c>
      <c r="BY57" s="101">
        <f>IFERROR(s_RadSpec!$H$29*(BY29/$B57),".")</f>
        <v>0</v>
      </c>
      <c r="BZ57" s="101">
        <f>IFERROR(s_RadSpec!$H$29*(BZ29/$B57),".")</f>
        <v>0</v>
      </c>
      <c r="CA57" s="101">
        <f>IFERROR(s_RadSpec!$H$29*(CA29/$B57),".")</f>
        <v>0</v>
      </c>
      <c r="CB57" s="101">
        <f>IFERROR(s_RadSpec!$H$29*(CB29/$B57),".")</f>
        <v>0</v>
      </c>
    </row>
    <row r="58" spans="1:80" x14ac:dyDescent="0.25">
      <c r="A58" s="99" t="s">
        <v>1093</v>
      </c>
      <c r="B58" s="90">
        <v>1</v>
      </c>
      <c r="C58" s="100">
        <f t="shared" ref="C58" si="171">IFERROR($B58/C16,0)</f>
        <v>14.23686</v>
      </c>
      <c r="D58" s="100">
        <f t="shared" ref="D58:AC58" si="172">IFERROR($B58/D16,0)</f>
        <v>3.559215</v>
      </c>
      <c r="E58" s="100">
        <f t="shared" si="172"/>
        <v>3.559215</v>
      </c>
      <c r="F58" s="100">
        <f t="shared" si="172"/>
        <v>3.559215</v>
      </c>
      <c r="G58" s="100">
        <f t="shared" si="172"/>
        <v>3.559215</v>
      </c>
      <c r="H58" s="100">
        <f t="shared" si="172"/>
        <v>3.559215</v>
      </c>
      <c r="I58" s="100">
        <f t="shared" si="172"/>
        <v>3.559215</v>
      </c>
      <c r="J58" s="100">
        <f t="shared" si="172"/>
        <v>3.559215</v>
      </c>
      <c r="K58" s="100">
        <f t="shared" si="172"/>
        <v>3.559215</v>
      </c>
      <c r="L58" s="100">
        <f t="shared" si="172"/>
        <v>3.559215</v>
      </c>
      <c r="M58" s="100">
        <f t="shared" si="172"/>
        <v>3.559215</v>
      </c>
      <c r="N58" s="100">
        <f t="shared" si="172"/>
        <v>3.559215</v>
      </c>
      <c r="O58" s="100">
        <f t="shared" si="172"/>
        <v>3.559215</v>
      </c>
      <c r="P58" s="100">
        <f t="shared" si="172"/>
        <v>3.559215</v>
      </c>
      <c r="Q58" s="100">
        <f t="shared" si="172"/>
        <v>3.559215</v>
      </c>
      <c r="R58" s="100">
        <f t="shared" si="172"/>
        <v>3.559215</v>
      </c>
      <c r="S58" s="100">
        <f t="shared" si="172"/>
        <v>3.559215</v>
      </c>
      <c r="T58" s="100">
        <f t="shared" si="172"/>
        <v>3.559215</v>
      </c>
      <c r="U58" s="100">
        <f t="shared" ref="U58" si="173">IFERROR($B58/U16,0)</f>
        <v>3.559215</v>
      </c>
      <c r="V58" s="100">
        <f t="shared" si="172"/>
        <v>3.559215</v>
      </c>
      <c r="W58" s="100">
        <f t="shared" si="172"/>
        <v>3.559215</v>
      </c>
      <c r="X58" s="100">
        <f t="shared" si="172"/>
        <v>3.559215</v>
      </c>
      <c r="Y58" s="100">
        <f t="shared" si="172"/>
        <v>3.559215</v>
      </c>
      <c r="Z58" s="100">
        <f t="shared" si="172"/>
        <v>3.559215</v>
      </c>
      <c r="AA58" s="100">
        <f t="shared" si="172"/>
        <v>3.559215</v>
      </c>
      <c r="AB58" s="100">
        <f t="shared" si="172"/>
        <v>3.559215</v>
      </c>
      <c r="AC58" s="100">
        <f t="shared" si="172"/>
        <v>14.23686</v>
      </c>
      <c r="AD58" s="100">
        <f t="shared" ref="AD58:BB58" si="174">IFERROR($B58/AD16,0)</f>
        <v>3.559215</v>
      </c>
      <c r="AE58" s="100">
        <f t="shared" si="174"/>
        <v>3.559215</v>
      </c>
      <c r="AF58" s="100">
        <f t="shared" si="174"/>
        <v>3.559215</v>
      </c>
      <c r="AG58" s="100">
        <f t="shared" si="174"/>
        <v>3.559215</v>
      </c>
      <c r="AH58" s="100">
        <f t="shared" si="174"/>
        <v>3.559215</v>
      </c>
      <c r="AI58" s="100">
        <f t="shared" si="174"/>
        <v>3.559215</v>
      </c>
      <c r="AJ58" s="100">
        <f t="shared" si="174"/>
        <v>3.559215</v>
      </c>
      <c r="AK58" s="100">
        <f t="shared" si="174"/>
        <v>3.559215</v>
      </c>
      <c r="AL58" s="100">
        <f t="shared" si="174"/>
        <v>3.559215</v>
      </c>
      <c r="AM58" s="100">
        <f t="shared" si="174"/>
        <v>3.559215</v>
      </c>
      <c r="AN58" s="100">
        <f t="shared" si="174"/>
        <v>3.559215</v>
      </c>
      <c r="AO58" s="100">
        <f t="shared" si="174"/>
        <v>3.559215</v>
      </c>
      <c r="AP58" s="100">
        <f t="shared" si="174"/>
        <v>3.559215</v>
      </c>
      <c r="AQ58" s="100">
        <f t="shared" si="174"/>
        <v>3.559215</v>
      </c>
      <c r="AR58" s="100">
        <f t="shared" si="174"/>
        <v>3.559215</v>
      </c>
      <c r="AS58" s="100">
        <f t="shared" si="174"/>
        <v>3.559215</v>
      </c>
      <c r="AT58" s="100">
        <f t="shared" si="174"/>
        <v>3.559215</v>
      </c>
      <c r="AU58" s="100">
        <f t="shared" ref="AU58" si="175">IFERROR($B58/AU16,0)</f>
        <v>3.559215</v>
      </c>
      <c r="AV58" s="100">
        <f t="shared" si="174"/>
        <v>3.559215</v>
      </c>
      <c r="AW58" s="100">
        <f t="shared" si="174"/>
        <v>3.559215</v>
      </c>
      <c r="AX58" s="100">
        <f t="shared" si="174"/>
        <v>3.559215</v>
      </c>
      <c r="AY58" s="100">
        <f t="shared" si="174"/>
        <v>3.559215</v>
      </c>
      <c r="AZ58" s="100">
        <f t="shared" si="174"/>
        <v>3.559215</v>
      </c>
      <c r="BA58" s="100">
        <f t="shared" si="174"/>
        <v>3.559215</v>
      </c>
      <c r="BB58" s="100">
        <f t="shared" si="174"/>
        <v>3.559215</v>
      </c>
      <c r="BC58" s="101">
        <f t="shared" si="26"/>
        <v>7.1184299999999998E-4</v>
      </c>
      <c r="BD58" s="101">
        <f>IFERROR(s_RadSpec!$H$16*(BD16/$B58),".")</f>
        <v>1.7796075E-4</v>
      </c>
      <c r="BE58" s="101">
        <f>IFERROR(s_RadSpec!$H$16*(BE16/$B58),".")</f>
        <v>1.7796075E-4</v>
      </c>
      <c r="BF58" s="101">
        <f>IFERROR(s_RadSpec!$H$16*(BF16/$B58),".")</f>
        <v>1.7796075E-4</v>
      </c>
      <c r="BG58" s="101">
        <f>IFERROR(s_RadSpec!$H$16*(BG16/$B58),".")</f>
        <v>1.7796075E-4</v>
      </c>
      <c r="BH58" s="101">
        <f>IFERROR(s_RadSpec!$H$16*(BH16/$B58),".")</f>
        <v>1.7796075E-4</v>
      </c>
      <c r="BI58" s="101">
        <f>IFERROR(s_RadSpec!$H$16*(BI16/$B58),".")</f>
        <v>1.7796075E-4</v>
      </c>
      <c r="BJ58" s="101">
        <f>IFERROR(s_RadSpec!$H$16*(BJ16/$B58),".")</f>
        <v>1.7796075E-4</v>
      </c>
      <c r="BK58" s="101">
        <f>IFERROR(s_RadSpec!$H$16*(BK16/$B58),".")</f>
        <v>1.7796075E-4</v>
      </c>
      <c r="BL58" s="101">
        <f>IFERROR(s_RadSpec!$H$16*(BL16/$B58),".")</f>
        <v>1.7796075E-4</v>
      </c>
      <c r="BM58" s="101">
        <f>IFERROR(s_RadSpec!$H$16*(BM16/$B58),".")</f>
        <v>1.7796075E-4</v>
      </c>
      <c r="BN58" s="101">
        <f>IFERROR(s_RadSpec!$H$16*(BN16/$B58),".")</f>
        <v>1.7796075E-4</v>
      </c>
      <c r="BO58" s="101">
        <f>IFERROR(s_RadSpec!$H$16*(BO16/$B58),".")</f>
        <v>1.7796075E-4</v>
      </c>
      <c r="BP58" s="101">
        <f>IFERROR(s_RadSpec!$H$16*(BP16/$B58),".")</f>
        <v>1.7796075E-4</v>
      </c>
      <c r="BQ58" s="101">
        <f>IFERROR(s_RadSpec!$H$16*(BQ16/$B58),".")</f>
        <v>1.7796075E-4</v>
      </c>
      <c r="BR58" s="101">
        <f>IFERROR(s_RadSpec!$H$16*(BR16/$B58),".")</f>
        <v>1.7796075E-4</v>
      </c>
      <c r="BS58" s="101">
        <f>IFERROR(s_RadSpec!$H$16*(BS16/$B58),".")</f>
        <v>1.7796075E-4</v>
      </c>
      <c r="BT58" s="101">
        <f>IFERROR(s_RadSpec!$H$16*(BT16/$B58),".")</f>
        <v>1.7796075E-4</v>
      </c>
      <c r="BU58" s="101">
        <f>IFERROR(s_RadSpec!$H$16*(BU16/$B58),".")</f>
        <v>1.7796075E-4</v>
      </c>
      <c r="BV58" s="101">
        <f>IFERROR(s_RadSpec!$H$16*(BV16/$B58),".")</f>
        <v>1.7796075E-4</v>
      </c>
      <c r="BW58" s="101">
        <f>IFERROR(s_RadSpec!$H$16*(BW16/$B58),".")</f>
        <v>1.7796075E-4</v>
      </c>
      <c r="BX58" s="101">
        <f>IFERROR(s_RadSpec!$H$16*(BX16/$B58),".")</f>
        <v>1.7796075E-4</v>
      </c>
      <c r="BY58" s="101">
        <f>IFERROR(s_RadSpec!$H$16*(BY16/$B58),".")</f>
        <v>1.7796075E-4</v>
      </c>
      <c r="BZ58" s="101">
        <f>IFERROR(s_RadSpec!$H$16*(BZ16/$B58),".")</f>
        <v>1.7796075E-4</v>
      </c>
      <c r="CA58" s="101">
        <f>IFERROR(s_RadSpec!$H$16*(CA16/$B58),".")</f>
        <v>1.7796075E-4</v>
      </c>
      <c r="CB58" s="101">
        <f>IFERROR(s_RadSpec!$H$16*(CB16/$B58),".")</f>
        <v>1.7796075E-4</v>
      </c>
    </row>
    <row r="59" spans="1:80" x14ac:dyDescent="0.25">
      <c r="A59" s="99" t="s">
        <v>1094</v>
      </c>
      <c r="B59" s="90">
        <v>1</v>
      </c>
      <c r="C59" s="100">
        <f t="shared" ref="C59" si="176">IFERROR($B59/C7,0)</f>
        <v>0.15759039999999999</v>
      </c>
      <c r="D59" s="100">
        <f t="shared" ref="D59:AC59" si="177">IFERROR($B59/D7,0)</f>
        <v>3.9397599999999998E-2</v>
      </c>
      <c r="E59" s="100">
        <f t="shared" si="177"/>
        <v>3.9397599999999998E-2</v>
      </c>
      <c r="F59" s="100">
        <f t="shared" si="177"/>
        <v>3.9397599999999998E-2</v>
      </c>
      <c r="G59" s="100">
        <f t="shared" si="177"/>
        <v>3.9397599999999998E-2</v>
      </c>
      <c r="H59" s="100">
        <f t="shared" si="177"/>
        <v>3.9397599999999998E-2</v>
      </c>
      <c r="I59" s="100">
        <f t="shared" si="177"/>
        <v>3.9397599999999998E-2</v>
      </c>
      <c r="J59" s="100">
        <f t="shared" si="177"/>
        <v>3.9397599999999998E-2</v>
      </c>
      <c r="K59" s="100">
        <f t="shared" si="177"/>
        <v>3.9397599999999998E-2</v>
      </c>
      <c r="L59" s="100">
        <f t="shared" si="177"/>
        <v>3.9397599999999998E-2</v>
      </c>
      <c r="M59" s="100">
        <f t="shared" si="177"/>
        <v>3.9397599999999998E-2</v>
      </c>
      <c r="N59" s="100">
        <f t="shared" si="177"/>
        <v>3.9397599999999998E-2</v>
      </c>
      <c r="O59" s="100">
        <f t="shared" si="177"/>
        <v>3.9397599999999998E-2</v>
      </c>
      <c r="P59" s="100">
        <f t="shared" si="177"/>
        <v>3.9397599999999998E-2</v>
      </c>
      <c r="Q59" s="100">
        <f t="shared" si="177"/>
        <v>3.9397599999999998E-2</v>
      </c>
      <c r="R59" s="100">
        <f t="shared" si="177"/>
        <v>3.9397599999999998E-2</v>
      </c>
      <c r="S59" s="100">
        <f t="shared" si="177"/>
        <v>3.9397599999999998E-2</v>
      </c>
      <c r="T59" s="100">
        <f t="shared" si="177"/>
        <v>3.9397599999999998E-2</v>
      </c>
      <c r="U59" s="100">
        <f t="shared" ref="U59" si="178">IFERROR($B59/U7,0)</f>
        <v>3.9397599999999998E-2</v>
      </c>
      <c r="V59" s="100">
        <f t="shared" si="177"/>
        <v>3.9397599999999998E-2</v>
      </c>
      <c r="W59" s="100">
        <f t="shared" si="177"/>
        <v>3.9397599999999998E-2</v>
      </c>
      <c r="X59" s="100">
        <f t="shared" si="177"/>
        <v>3.9397599999999998E-2</v>
      </c>
      <c r="Y59" s="100">
        <f t="shared" si="177"/>
        <v>3.9397599999999998E-2</v>
      </c>
      <c r="Z59" s="100">
        <f t="shared" si="177"/>
        <v>3.9397599999999998E-2</v>
      </c>
      <c r="AA59" s="100">
        <f t="shared" si="177"/>
        <v>3.9397599999999998E-2</v>
      </c>
      <c r="AB59" s="100">
        <f t="shared" si="177"/>
        <v>3.9397599999999998E-2</v>
      </c>
      <c r="AC59" s="100">
        <f t="shared" si="177"/>
        <v>0.15759039999999999</v>
      </c>
      <c r="AD59" s="100">
        <f t="shared" ref="AD59:BB59" si="179">IFERROR($B59/AD7,0)</f>
        <v>3.9397599999999998E-2</v>
      </c>
      <c r="AE59" s="100">
        <f t="shared" si="179"/>
        <v>3.9397599999999998E-2</v>
      </c>
      <c r="AF59" s="100">
        <f t="shared" si="179"/>
        <v>3.9397599999999998E-2</v>
      </c>
      <c r="AG59" s="100">
        <f t="shared" si="179"/>
        <v>3.9397599999999998E-2</v>
      </c>
      <c r="AH59" s="100">
        <f t="shared" si="179"/>
        <v>3.9397599999999998E-2</v>
      </c>
      <c r="AI59" s="100">
        <f t="shared" si="179"/>
        <v>3.9397599999999998E-2</v>
      </c>
      <c r="AJ59" s="100">
        <f t="shared" si="179"/>
        <v>3.9397599999999998E-2</v>
      </c>
      <c r="AK59" s="100">
        <f t="shared" si="179"/>
        <v>3.9397599999999998E-2</v>
      </c>
      <c r="AL59" s="100">
        <f t="shared" si="179"/>
        <v>3.9397599999999998E-2</v>
      </c>
      <c r="AM59" s="100">
        <f t="shared" si="179"/>
        <v>3.9397599999999998E-2</v>
      </c>
      <c r="AN59" s="100">
        <f t="shared" si="179"/>
        <v>3.9397599999999998E-2</v>
      </c>
      <c r="AO59" s="100">
        <f t="shared" si="179"/>
        <v>3.9397599999999998E-2</v>
      </c>
      <c r="AP59" s="100">
        <f t="shared" si="179"/>
        <v>3.9397599999999998E-2</v>
      </c>
      <c r="AQ59" s="100">
        <f t="shared" si="179"/>
        <v>3.9397599999999998E-2</v>
      </c>
      <c r="AR59" s="100">
        <f t="shared" si="179"/>
        <v>3.9397599999999998E-2</v>
      </c>
      <c r="AS59" s="100">
        <f t="shared" si="179"/>
        <v>3.9397599999999998E-2</v>
      </c>
      <c r="AT59" s="100">
        <f t="shared" si="179"/>
        <v>3.9397599999999998E-2</v>
      </c>
      <c r="AU59" s="100">
        <f t="shared" ref="AU59" si="180">IFERROR($B59/AU7,0)</f>
        <v>3.9397599999999998E-2</v>
      </c>
      <c r="AV59" s="100">
        <f t="shared" si="179"/>
        <v>3.9397599999999998E-2</v>
      </c>
      <c r="AW59" s="100">
        <f t="shared" si="179"/>
        <v>3.9397599999999998E-2</v>
      </c>
      <c r="AX59" s="100">
        <f t="shared" si="179"/>
        <v>3.9397599999999998E-2</v>
      </c>
      <c r="AY59" s="100">
        <f t="shared" si="179"/>
        <v>3.9397599999999998E-2</v>
      </c>
      <c r="AZ59" s="100">
        <f t="shared" si="179"/>
        <v>3.9397599999999998E-2</v>
      </c>
      <c r="BA59" s="100">
        <f t="shared" si="179"/>
        <v>3.9397599999999998E-2</v>
      </c>
      <c r="BB59" s="100">
        <f t="shared" si="179"/>
        <v>3.9397599999999998E-2</v>
      </c>
      <c r="BC59" s="101">
        <f t="shared" si="26"/>
        <v>7.8795199999999994E-6</v>
      </c>
      <c r="BD59" s="101">
        <f>IFERROR(s_RadSpec!$H$7*(BD7/$B59),".")</f>
        <v>1.9698799999999998E-6</v>
      </c>
      <c r="BE59" s="101">
        <f>IFERROR(s_RadSpec!$H$7*(BE7/$B59),".")</f>
        <v>1.9698799999999998E-6</v>
      </c>
      <c r="BF59" s="101">
        <f>IFERROR(s_RadSpec!$H$7*(BF7/$B59),".")</f>
        <v>1.9698799999999998E-6</v>
      </c>
      <c r="BG59" s="101">
        <f>IFERROR(s_RadSpec!$H$7*(BG7/$B59),".")</f>
        <v>1.9698799999999998E-6</v>
      </c>
      <c r="BH59" s="101">
        <f>IFERROR(s_RadSpec!$H$7*(BH7/$B59),".")</f>
        <v>1.9698799999999998E-6</v>
      </c>
      <c r="BI59" s="101">
        <f>IFERROR(s_RadSpec!$H$7*(BI7/$B59),".")</f>
        <v>1.9698799999999998E-6</v>
      </c>
      <c r="BJ59" s="101">
        <f>IFERROR(s_RadSpec!$H$7*(BJ7/$B59),".")</f>
        <v>1.9698799999999998E-6</v>
      </c>
      <c r="BK59" s="101">
        <f>IFERROR(s_RadSpec!$H$7*(BK7/$B59),".")</f>
        <v>1.9698799999999998E-6</v>
      </c>
      <c r="BL59" s="101">
        <f>IFERROR(s_RadSpec!$H$7*(BL7/$B59),".")</f>
        <v>1.9698799999999998E-6</v>
      </c>
      <c r="BM59" s="101">
        <f>IFERROR(s_RadSpec!$H$7*(BM7/$B59),".")</f>
        <v>1.9698799999999998E-6</v>
      </c>
      <c r="BN59" s="101">
        <f>IFERROR(s_RadSpec!$H$7*(BN7/$B59),".")</f>
        <v>1.9698799999999998E-6</v>
      </c>
      <c r="BO59" s="101">
        <f>IFERROR(s_RadSpec!$H$7*(BO7/$B59),".")</f>
        <v>1.9698799999999998E-6</v>
      </c>
      <c r="BP59" s="101">
        <f>IFERROR(s_RadSpec!$H$7*(BP7/$B59),".")</f>
        <v>1.9698799999999998E-6</v>
      </c>
      <c r="BQ59" s="101">
        <f>IFERROR(s_RadSpec!$H$7*(BQ7/$B59),".")</f>
        <v>1.9698799999999998E-6</v>
      </c>
      <c r="BR59" s="101">
        <f>IFERROR(s_RadSpec!$H$7*(BR7/$B59),".")</f>
        <v>1.9698799999999998E-6</v>
      </c>
      <c r="BS59" s="101">
        <f>IFERROR(s_RadSpec!$H$7*(BS7/$B59),".")</f>
        <v>1.9698799999999998E-6</v>
      </c>
      <c r="BT59" s="101">
        <f>IFERROR(s_RadSpec!$H$7*(BT7/$B59),".")</f>
        <v>1.9698799999999998E-6</v>
      </c>
      <c r="BU59" s="101">
        <f>IFERROR(s_RadSpec!$H$7*(BU7/$B59),".")</f>
        <v>1.9698799999999998E-6</v>
      </c>
      <c r="BV59" s="101">
        <f>IFERROR(s_RadSpec!$H$7*(BV7/$B59),".")</f>
        <v>1.9698799999999998E-6</v>
      </c>
      <c r="BW59" s="101">
        <f>IFERROR(s_RadSpec!$H$7*(BW7/$B59),".")</f>
        <v>1.9698799999999998E-6</v>
      </c>
      <c r="BX59" s="101">
        <f>IFERROR(s_RadSpec!$H$7*(BX7/$B59),".")</f>
        <v>1.9698799999999998E-6</v>
      </c>
      <c r="BY59" s="101">
        <f>IFERROR(s_RadSpec!$H$7*(BY7/$B59),".")</f>
        <v>1.9698799999999998E-6</v>
      </c>
      <c r="BZ59" s="101">
        <f>IFERROR(s_RadSpec!$H$7*(BZ7/$B59),".")</f>
        <v>1.9698799999999998E-6</v>
      </c>
      <c r="CA59" s="101">
        <f>IFERROR(s_RadSpec!$H$7*(CA7/$B59),".")</f>
        <v>1.9698799999999998E-6</v>
      </c>
      <c r="CB59" s="101">
        <f>IFERROR(s_RadSpec!$H$7*(CB7/$B59),".")</f>
        <v>1.9698799999999998E-6</v>
      </c>
    </row>
    <row r="60" spans="1:80" x14ac:dyDescent="0.25">
      <c r="A60" s="99" t="s">
        <v>1095</v>
      </c>
      <c r="B60" s="104">
        <v>1.9000000000000001E-8</v>
      </c>
      <c r="C60" s="100">
        <f t="shared" ref="C60" si="181">IFERROR($B60/C12,0)</f>
        <v>0</v>
      </c>
      <c r="D60" s="100">
        <f t="shared" ref="D60:AC60" si="182">IFERROR($B60/D12,0)</f>
        <v>0</v>
      </c>
      <c r="E60" s="100">
        <f t="shared" si="182"/>
        <v>0</v>
      </c>
      <c r="F60" s="100">
        <f t="shared" si="182"/>
        <v>0</v>
      </c>
      <c r="G60" s="100">
        <f t="shared" si="182"/>
        <v>0</v>
      </c>
      <c r="H60" s="100">
        <f t="shared" si="182"/>
        <v>0</v>
      </c>
      <c r="I60" s="100">
        <f t="shared" si="182"/>
        <v>0</v>
      </c>
      <c r="J60" s="100">
        <f t="shared" si="182"/>
        <v>0</v>
      </c>
      <c r="K60" s="100">
        <f t="shared" si="182"/>
        <v>0</v>
      </c>
      <c r="L60" s="100">
        <f t="shared" si="182"/>
        <v>0</v>
      </c>
      <c r="M60" s="100">
        <f t="shared" si="182"/>
        <v>0</v>
      </c>
      <c r="N60" s="100">
        <f t="shared" si="182"/>
        <v>0</v>
      </c>
      <c r="O60" s="100">
        <f t="shared" si="182"/>
        <v>0</v>
      </c>
      <c r="P60" s="100">
        <f t="shared" si="182"/>
        <v>0</v>
      </c>
      <c r="Q60" s="100">
        <f t="shared" si="182"/>
        <v>0</v>
      </c>
      <c r="R60" s="100">
        <f t="shared" si="182"/>
        <v>0</v>
      </c>
      <c r="S60" s="100">
        <f t="shared" si="182"/>
        <v>0</v>
      </c>
      <c r="T60" s="100">
        <f t="shared" si="182"/>
        <v>0</v>
      </c>
      <c r="U60" s="100">
        <f t="shared" ref="U60" si="183">IFERROR($B60/U12,0)</f>
        <v>0</v>
      </c>
      <c r="V60" s="100">
        <f t="shared" si="182"/>
        <v>0</v>
      </c>
      <c r="W60" s="100">
        <f t="shared" si="182"/>
        <v>0</v>
      </c>
      <c r="X60" s="100">
        <f t="shared" si="182"/>
        <v>0</v>
      </c>
      <c r="Y60" s="100">
        <f t="shared" si="182"/>
        <v>0</v>
      </c>
      <c r="Z60" s="100">
        <f t="shared" si="182"/>
        <v>0</v>
      </c>
      <c r="AA60" s="100">
        <f t="shared" si="182"/>
        <v>0</v>
      </c>
      <c r="AB60" s="100">
        <f t="shared" si="182"/>
        <v>0</v>
      </c>
      <c r="AC60" s="100">
        <f t="shared" si="182"/>
        <v>0</v>
      </c>
      <c r="AD60" s="100">
        <f t="shared" ref="AD60:BB60" si="184">IFERROR($B60/AD12,0)</f>
        <v>0</v>
      </c>
      <c r="AE60" s="100">
        <f t="shared" si="184"/>
        <v>0</v>
      </c>
      <c r="AF60" s="100">
        <f t="shared" si="184"/>
        <v>0</v>
      </c>
      <c r="AG60" s="100">
        <f t="shared" si="184"/>
        <v>0</v>
      </c>
      <c r="AH60" s="100">
        <f t="shared" si="184"/>
        <v>0</v>
      </c>
      <c r="AI60" s="100">
        <f t="shared" si="184"/>
        <v>0</v>
      </c>
      <c r="AJ60" s="100">
        <f t="shared" si="184"/>
        <v>0</v>
      </c>
      <c r="AK60" s="100">
        <f t="shared" si="184"/>
        <v>0</v>
      </c>
      <c r="AL60" s="100">
        <f t="shared" si="184"/>
        <v>0</v>
      </c>
      <c r="AM60" s="100">
        <f t="shared" si="184"/>
        <v>0</v>
      </c>
      <c r="AN60" s="100">
        <f t="shared" si="184"/>
        <v>0</v>
      </c>
      <c r="AO60" s="100">
        <f t="shared" si="184"/>
        <v>0</v>
      </c>
      <c r="AP60" s="100">
        <f t="shared" si="184"/>
        <v>0</v>
      </c>
      <c r="AQ60" s="100">
        <f t="shared" si="184"/>
        <v>0</v>
      </c>
      <c r="AR60" s="100">
        <f t="shared" si="184"/>
        <v>0</v>
      </c>
      <c r="AS60" s="100">
        <f t="shared" si="184"/>
        <v>0</v>
      </c>
      <c r="AT60" s="100">
        <f t="shared" si="184"/>
        <v>0</v>
      </c>
      <c r="AU60" s="100">
        <f t="shared" ref="AU60" si="185">IFERROR($B60/AU12,0)</f>
        <v>0</v>
      </c>
      <c r="AV60" s="100">
        <f t="shared" si="184"/>
        <v>0</v>
      </c>
      <c r="AW60" s="100">
        <f t="shared" si="184"/>
        <v>0</v>
      </c>
      <c r="AX60" s="100">
        <f t="shared" si="184"/>
        <v>0</v>
      </c>
      <c r="AY60" s="100">
        <f t="shared" si="184"/>
        <v>0</v>
      </c>
      <c r="AZ60" s="100">
        <f t="shared" si="184"/>
        <v>0</v>
      </c>
      <c r="BA60" s="100">
        <f t="shared" si="184"/>
        <v>0</v>
      </c>
      <c r="BB60" s="100">
        <f t="shared" si="184"/>
        <v>0</v>
      </c>
      <c r="BC60" s="101">
        <f t="shared" si="26"/>
        <v>0</v>
      </c>
      <c r="BD60" s="101">
        <f>IFERROR(s_RadSpec!$H$12*(BD12/$B60),".")</f>
        <v>0</v>
      </c>
      <c r="BE60" s="101">
        <f>IFERROR(s_RadSpec!$H$12*(BE12/$B60),".")</f>
        <v>0</v>
      </c>
      <c r="BF60" s="101">
        <f>IFERROR(s_RadSpec!$H$12*(BF12/$B60),".")</f>
        <v>0</v>
      </c>
      <c r="BG60" s="101">
        <f>IFERROR(s_RadSpec!$H$12*(BG12/$B60),".")</f>
        <v>0</v>
      </c>
      <c r="BH60" s="101">
        <f>IFERROR(s_RadSpec!$H$12*(BH12/$B60),".")</f>
        <v>0</v>
      </c>
      <c r="BI60" s="101">
        <f>IFERROR(s_RadSpec!$H$12*(BI12/$B60),".")</f>
        <v>0</v>
      </c>
      <c r="BJ60" s="101">
        <f>IFERROR(s_RadSpec!$H$12*(BJ12/$B60),".")</f>
        <v>0</v>
      </c>
      <c r="BK60" s="101">
        <f>IFERROR(s_RadSpec!$H$12*(BK12/$B60),".")</f>
        <v>0</v>
      </c>
      <c r="BL60" s="101">
        <f>IFERROR(s_RadSpec!$H$12*(BL12/$B60),".")</f>
        <v>0</v>
      </c>
      <c r="BM60" s="101">
        <f>IFERROR(s_RadSpec!$H$12*(BM12/$B60),".")</f>
        <v>0</v>
      </c>
      <c r="BN60" s="101">
        <f>IFERROR(s_RadSpec!$H$12*(BN12/$B60),".")</f>
        <v>0</v>
      </c>
      <c r="BO60" s="101">
        <f>IFERROR(s_RadSpec!$H$12*(BO12/$B60),".")</f>
        <v>0</v>
      </c>
      <c r="BP60" s="101">
        <f>IFERROR(s_RadSpec!$H$12*(BP12/$B60),".")</f>
        <v>0</v>
      </c>
      <c r="BQ60" s="101">
        <f>IFERROR(s_RadSpec!$H$12*(BQ12/$B60),".")</f>
        <v>0</v>
      </c>
      <c r="BR60" s="101">
        <f>IFERROR(s_RadSpec!$H$12*(BR12/$B60),".")</f>
        <v>0</v>
      </c>
      <c r="BS60" s="101">
        <f>IFERROR(s_RadSpec!$H$12*(BS12/$B60),".")</f>
        <v>0</v>
      </c>
      <c r="BT60" s="101">
        <f>IFERROR(s_RadSpec!$H$12*(BT12/$B60),".")</f>
        <v>0</v>
      </c>
      <c r="BU60" s="101">
        <f>IFERROR(s_RadSpec!$H$12*(BU12/$B60),".")</f>
        <v>0</v>
      </c>
      <c r="BV60" s="101">
        <f>IFERROR(s_RadSpec!$H$12*(BV12/$B60),".")</f>
        <v>0</v>
      </c>
      <c r="BW60" s="101">
        <f>IFERROR(s_RadSpec!$H$12*(BW12/$B60),".")</f>
        <v>0</v>
      </c>
      <c r="BX60" s="101">
        <f>IFERROR(s_RadSpec!$H$12*(BX12/$B60),".")</f>
        <v>0</v>
      </c>
      <c r="BY60" s="101">
        <f>IFERROR(s_RadSpec!$H$12*(BY12/$B60),".")</f>
        <v>0</v>
      </c>
      <c r="BZ60" s="101">
        <f>IFERROR(s_RadSpec!$H$12*(BZ12/$B60),".")</f>
        <v>0</v>
      </c>
      <c r="CA60" s="101">
        <f>IFERROR(s_RadSpec!$H$12*(CA12/$B60),".")</f>
        <v>0</v>
      </c>
      <c r="CB60" s="101">
        <f>IFERROR(s_RadSpec!$H$12*(CB12/$B60),".")</f>
        <v>0</v>
      </c>
    </row>
    <row r="61" spans="1:80" x14ac:dyDescent="0.25">
      <c r="A61" s="99" t="s">
        <v>1096</v>
      </c>
      <c r="B61" s="90">
        <v>1</v>
      </c>
      <c r="C61" s="100">
        <f t="shared" ref="C61" si="186">IFERROR($B61/C18,0)</f>
        <v>27.26493</v>
      </c>
      <c r="D61" s="100">
        <f t="shared" ref="D61:AC61" si="187">IFERROR($B61/D18,0)</f>
        <v>6.8162324999999999</v>
      </c>
      <c r="E61" s="100">
        <f t="shared" si="187"/>
        <v>6.8162324999999999</v>
      </c>
      <c r="F61" s="100">
        <f t="shared" si="187"/>
        <v>6.8162324999999999</v>
      </c>
      <c r="G61" s="100">
        <f t="shared" si="187"/>
        <v>6.8162324999999999</v>
      </c>
      <c r="H61" s="100">
        <f t="shared" si="187"/>
        <v>6.8162324999999999</v>
      </c>
      <c r="I61" s="100">
        <f t="shared" si="187"/>
        <v>6.8162324999999999</v>
      </c>
      <c r="J61" s="100">
        <f t="shared" si="187"/>
        <v>6.8162324999999999</v>
      </c>
      <c r="K61" s="100">
        <f t="shared" si="187"/>
        <v>6.8162324999999999</v>
      </c>
      <c r="L61" s="100">
        <f t="shared" si="187"/>
        <v>6.8162324999999999</v>
      </c>
      <c r="M61" s="100">
        <f t="shared" si="187"/>
        <v>6.8162324999999999</v>
      </c>
      <c r="N61" s="100">
        <f t="shared" si="187"/>
        <v>6.8162324999999999</v>
      </c>
      <c r="O61" s="100">
        <f t="shared" si="187"/>
        <v>6.8162324999999999</v>
      </c>
      <c r="P61" s="100">
        <f t="shared" si="187"/>
        <v>6.8162324999999999</v>
      </c>
      <c r="Q61" s="100">
        <f t="shared" si="187"/>
        <v>6.8162324999999999</v>
      </c>
      <c r="R61" s="100">
        <f t="shared" si="187"/>
        <v>6.8162324999999999</v>
      </c>
      <c r="S61" s="100">
        <f t="shared" si="187"/>
        <v>6.8162324999999999</v>
      </c>
      <c r="T61" s="100">
        <f t="shared" si="187"/>
        <v>6.8162324999999999</v>
      </c>
      <c r="U61" s="100">
        <f t="shared" ref="U61" si="188">IFERROR($B61/U18,0)</f>
        <v>6.8162324999999999</v>
      </c>
      <c r="V61" s="100">
        <f t="shared" si="187"/>
        <v>6.8162324999999999</v>
      </c>
      <c r="W61" s="100">
        <f t="shared" si="187"/>
        <v>6.8162324999999999</v>
      </c>
      <c r="X61" s="100">
        <f t="shared" si="187"/>
        <v>6.8162324999999999</v>
      </c>
      <c r="Y61" s="100">
        <f t="shared" si="187"/>
        <v>6.8162324999999999</v>
      </c>
      <c r="Z61" s="100">
        <f t="shared" si="187"/>
        <v>6.8162324999999999</v>
      </c>
      <c r="AA61" s="100">
        <f t="shared" si="187"/>
        <v>6.8162324999999999</v>
      </c>
      <c r="AB61" s="100">
        <f t="shared" si="187"/>
        <v>6.8162324999999999</v>
      </c>
      <c r="AC61" s="100">
        <f t="shared" si="187"/>
        <v>27.26493</v>
      </c>
      <c r="AD61" s="100">
        <f t="shared" ref="AD61:BB61" si="189">IFERROR($B61/AD18,0)</f>
        <v>6.8162324999999999</v>
      </c>
      <c r="AE61" s="100">
        <f t="shared" si="189"/>
        <v>6.8162324999999999</v>
      </c>
      <c r="AF61" s="100">
        <f t="shared" si="189"/>
        <v>6.8162324999999999</v>
      </c>
      <c r="AG61" s="100">
        <f t="shared" si="189"/>
        <v>6.8162324999999999</v>
      </c>
      <c r="AH61" s="100">
        <f t="shared" si="189"/>
        <v>6.8162324999999999</v>
      </c>
      <c r="AI61" s="100">
        <f t="shared" si="189"/>
        <v>6.8162324999999999</v>
      </c>
      <c r="AJ61" s="100">
        <f t="shared" si="189"/>
        <v>6.8162324999999999</v>
      </c>
      <c r="AK61" s="100">
        <f t="shared" si="189"/>
        <v>6.8162324999999999</v>
      </c>
      <c r="AL61" s="100">
        <f t="shared" si="189"/>
        <v>6.8162324999999999</v>
      </c>
      <c r="AM61" s="100">
        <f t="shared" si="189"/>
        <v>6.8162324999999999</v>
      </c>
      <c r="AN61" s="100">
        <f t="shared" si="189"/>
        <v>6.8162324999999999</v>
      </c>
      <c r="AO61" s="100">
        <f t="shared" si="189"/>
        <v>6.8162324999999999</v>
      </c>
      <c r="AP61" s="100">
        <f t="shared" si="189"/>
        <v>6.8162324999999999</v>
      </c>
      <c r="AQ61" s="100">
        <f t="shared" si="189"/>
        <v>6.8162324999999999</v>
      </c>
      <c r="AR61" s="100">
        <f t="shared" si="189"/>
        <v>6.8162324999999999</v>
      </c>
      <c r="AS61" s="100">
        <f t="shared" si="189"/>
        <v>6.8162324999999999</v>
      </c>
      <c r="AT61" s="100">
        <f t="shared" si="189"/>
        <v>6.8162324999999999</v>
      </c>
      <c r="AU61" s="100">
        <f t="shared" ref="AU61" si="190">IFERROR($B61/AU18,0)</f>
        <v>6.8162324999999999</v>
      </c>
      <c r="AV61" s="100">
        <f t="shared" si="189"/>
        <v>6.8162324999999999</v>
      </c>
      <c r="AW61" s="100">
        <f t="shared" si="189"/>
        <v>6.8162324999999999</v>
      </c>
      <c r="AX61" s="100">
        <f t="shared" si="189"/>
        <v>6.8162324999999999</v>
      </c>
      <c r="AY61" s="100">
        <f t="shared" si="189"/>
        <v>6.8162324999999999</v>
      </c>
      <c r="AZ61" s="100">
        <f t="shared" si="189"/>
        <v>6.8162324999999999</v>
      </c>
      <c r="BA61" s="100">
        <f t="shared" si="189"/>
        <v>6.8162324999999999</v>
      </c>
      <c r="BB61" s="100">
        <f t="shared" si="189"/>
        <v>6.8162324999999999</v>
      </c>
      <c r="BC61" s="101">
        <f t="shared" si="26"/>
        <v>1.3632465E-3</v>
      </c>
      <c r="BD61" s="101">
        <f>IFERROR(s_RadSpec!$H$18*(BD18/$B61),".")</f>
        <v>3.40811625E-4</v>
      </c>
      <c r="BE61" s="101">
        <f>IFERROR(s_RadSpec!$H$18*(BE18/$B61),".")</f>
        <v>3.40811625E-4</v>
      </c>
      <c r="BF61" s="101">
        <f>IFERROR(s_RadSpec!$H$18*(BF18/$B61),".")</f>
        <v>3.40811625E-4</v>
      </c>
      <c r="BG61" s="101">
        <f>IFERROR(s_RadSpec!$H$18*(BG18/$B61),".")</f>
        <v>3.40811625E-4</v>
      </c>
      <c r="BH61" s="101">
        <f>IFERROR(s_RadSpec!$H$18*(BH18/$B61),".")</f>
        <v>3.40811625E-4</v>
      </c>
      <c r="BI61" s="101">
        <f>IFERROR(s_RadSpec!$H$18*(BI18/$B61),".")</f>
        <v>3.40811625E-4</v>
      </c>
      <c r="BJ61" s="101">
        <f>IFERROR(s_RadSpec!$H$18*(BJ18/$B61),".")</f>
        <v>3.40811625E-4</v>
      </c>
      <c r="BK61" s="101">
        <f>IFERROR(s_RadSpec!$H$18*(BK18/$B61),".")</f>
        <v>3.40811625E-4</v>
      </c>
      <c r="BL61" s="101">
        <f>IFERROR(s_RadSpec!$H$18*(BL18/$B61),".")</f>
        <v>3.40811625E-4</v>
      </c>
      <c r="BM61" s="101">
        <f>IFERROR(s_RadSpec!$H$18*(BM18/$B61),".")</f>
        <v>3.40811625E-4</v>
      </c>
      <c r="BN61" s="101">
        <f>IFERROR(s_RadSpec!$H$18*(BN18/$B61),".")</f>
        <v>3.40811625E-4</v>
      </c>
      <c r="BO61" s="101">
        <f>IFERROR(s_RadSpec!$H$18*(BO18/$B61),".")</f>
        <v>3.40811625E-4</v>
      </c>
      <c r="BP61" s="101">
        <f>IFERROR(s_RadSpec!$H$18*(BP18/$B61),".")</f>
        <v>3.40811625E-4</v>
      </c>
      <c r="BQ61" s="101">
        <f>IFERROR(s_RadSpec!$H$18*(BQ18/$B61),".")</f>
        <v>3.40811625E-4</v>
      </c>
      <c r="BR61" s="101">
        <f>IFERROR(s_RadSpec!$H$18*(BR18/$B61),".")</f>
        <v>3.40811625E-4</v>
      </c>
      <c r="BS61" s="101">
        <f>IFERROR(s_RadSpec!$H$18*(BS18/$B61),".")</f>
        <v>3.40811625E-4</v>
      </c>
      <c r="BT61" s="101">
        <f>IFERROR(s_RadSpec!$H$18*(BT18/$B61),".")</f>
        <v>3.40811625E-4</v>
      </c>
      <c r="BU61" s="101">
        <f>IFERROR(s_RadSpec!$H$18*(BU18/$B61),".")</f>
        <v>3.40811625E-4</v>
      </c>
      <c r="BV61" s="101">
        <f>IFERROR(s_RadSpec!$H$18*(BV18/$B61),".")</f>
        <v>3.40811625E-4</v>
      </c>
      <c r="BW61" s="101">
        <f>IFERROR(s_RadSpec!$H$18*(BW18/$B61),".")</f>
        <v>3.40811625E-4</v>
      </c>
      <c r="BX61" s="101">
        <f>IFERROR(s_RadSpec!$H$18*(BX18/$B61),".")</f>
        <v>3.40811625E-4</v>
      </c>
      <c r="BY61" s="101">
        <f>IFERROR(s_RadSpec!$H$18*(BY18/$B61),".")</f>
        <v>3.40811625E-4</v>
      </c>
      <c r="BZ61" s="101">
        <f>IFERROR(s_RadSpec!$H$18*(BZ18/$B61),".")</f>
        <v>3.40811625E-4</v>
      </c>
      <c r="CA61" s="101">
        <f>IFERROR(s_RadSpec!$H$18*(CA18/$B61),".")</f>
        <v>3.40811625E-4</v>
      </c>
      <c r="CB61" s="101">
        <f>IFERROR(s_RadSpec!$H$18*(CB18/$B61),".")</f>
        <v>3.40811625E-4</v>
      </c>
    </row>
    <row r="62" spans="1:80" x14ac:dyDescent="0.25">
      <c r="A62" s="99" t="s">
        <v>1097</v>
      </c>
      <c r="B62" s="90">
        <v>1.339E-6</v>
      </c>
      <c r="C62" s="100">
        <f t="shared" ref="C62" si="191">IFERROR($B62/C27,0)</f>
        <v>0</v>
      </c>
      <c r="D62" s="100">
        <f t="shared" ref="D62:AC62" si="192">IFERROR($B62/D27,0)</f>
        <v>0</v>
      </c>
      <c r="E62" s="100">
        <f t="shared" si="192"/>
        <v>0</v>
      </c>
      <c r="F62" s="100">
        <f t="shared" si="192"/>
        <v>0</v>
      </c>
      <c r="G62" s="100">
        <f t="shared" si="192"/>
        <v>0</v>
      </c>
      <c r="H62" s="100">
        <f t="shared" si="192"/>
        <v>0</v>
      </c>
      <c r="I62" s="100">
        <f t="shared" si="192"/>
        <v>0</v>
      </c>
      <c r="J62" s="100">
        <f t="shared" si="192"/>
        <v>0</v>
      </c>
      <c r="K62" s="100">
        <f t="shared" si="192"/>
        <v>0</v>
      </c>
      <c r="L62" s="100">
        <f t="shared" si="192"/>
        <v>0</v>
      </c>
      <c r="M62" s="100">
        <f t="shared" si="192"/>
        <v>0</v>
      </c>
      <c r="N62" s="100">
        <f t="shared" si="192"/>
        <v>0</v>
      </c>
      <c r="O62" s="100">
        <f t="shared" si="192"/>
        <v>0</v>
      </c>
      <c r="P62" s="100">
        <f t="shared" si="192"/>
        <v>0</v>
      </c>
      <c r="Q62" s="100">
        <f t="shared" si="192"/>
        <v>0</v>
      </c>
      <c r="R62" s="100">
        <f t="shared" si="192"/>
        <v>0</v>
      </c>
      <c r="S62" s="100">
        <f t="shared" si="192"/>
        <v>0</v>
      </c>
      <c r="T62" s="100">
        <f t="shared" si="192"/>
        <v>0</v>
      </c>
      <c r="U62" s="100">
        <f t="shared" ref="U62" si="193">IFERROR($B62/U27,0)</f>
        <v>0</v>
      </c>
      <c r="V62" s="100">
        <f t="shared" si="192"/>
        <v>0</v>
      </c>
      <c r="W62" s="100">
        <f t="shared" si="192"/>
        <v>0</v>
      </c>
      <c r="X62" s="100">
        <f t="shared" si="192"/>
        <v>0</v>
      </c>
      <c r="Y62" s="100">
        <f t="shared" si="192"/>
        <v>0</v>
      </c>
      <c r="Z62" s="100">
        <f t="shared" si="192"/>
        <v>0</v>
      </c>
      <c r="AA62" s="100">
        <f t="shared" si="192"/>
        <v>0</v>
      </c>
      <c r="AB62" s="100">
        <f t="shared" si="192"/>
        <v>0</v>
      </c>
      <c r="AC62" s="100">
        <f t="shared" si="192"/>
        <v>0</v>
      </c>
      <c r="AD62" s="100">
        <f t="shared" ref="AD62:BB62" si="194">IFERROR($B62/AD27,0)</f>
        <v>0</v>
      </c>
      <c r="AE62" s="100">
        <f t="shared" si="194"/>
        <v>0</v>
      </c>
      <c r="AF62" s="100">
        <f t="shared" si="194"/>
        <v>0</v>
      </c>
      <c r="AG62" s="100">
        <f t="shared" si="194"/>
        <v>0</v>
      </c>
      <c r="AH62" s="100">
        <f t="shared" si="194"/>
        <v>0</v>
      </c>
      <c r="AI62" s="100">
        <f t="shared" si="194"/>
        <v>0</v>
      </c>
      <c r="AJ62" s="100">
        <f t="shared" si="194"/>
        <v>0</v>
      </c>
      <c r="AK62" s="100">
        <f t="shared" si="194"/>
        <v>0</v>
      </c>
      <c r="AL62" s="100">
        <f t="shared" si="194"/>
        <v>0</v>
      </c>
      <c r="AM62" s="100">
        <f t="shared" si="194"/>
        <v>0</v>
      </c>
      <c r="AN62" s="100">
        <f t="shared" si="194"/>
        <v>0</v>
      </c>
      <c r="AO62" s="100">
        <f t="shared" si="194"/>
        <v>0</v>
      </c>
      <c r="AP62" s="100">
        <f t="shared" si="194"/>
        <v>0</v>
      </c>
      <c r="AQ62" s="100">
        <f t="shared" si="194"/>
        <v>0</v>
      </c>
      <c r="AR62" s="100">
        <f t="shared" si="194"/>
        <v>0</v>
      </c>
      <c r="AS62" s="100">
        <f t="shared" si="194"/>
        <v>0</v>
      </c>
      <c r="AT62" s="100">
        <f t="shared" si="194"/>
        <v>0</v>
      </c>
      <c r="AU62" s="100">
        <f t="shared" ref="AU62" si="195">IFERROR($B62/AU27,0)</f>
        <v>0</v>
      </c>
      <c r="AV62" s="100">
        <f t="shared" si="194"/>
        <v>0</v>
      </c>
      <c r="AW62" s="100">
        <f t="shared" si="194"/>
        <v>0</v>
      </c>
      <c r="AX62" s="100">
        <f t="shared" si="194"/>
        <v>0</v>
      </c>
      <c r="AY62" s="100">
        <f t="shared" si="194"/>
        <v>0</v>
      </c>
      <c r="AZ62" s="100">
        <f t="shared" si="194"/>
        <v>0</v>
      </c>
      <c r="BA62" s="100">
        <f t="shared" si="194"/>
        <v>0</v>
      </c>
      <c r="BB62" s="100">
        <f t="shared" si="194"/>
        <v>0</v>
      </c>
      <c r="BC62" s="101">
        <f t="shared" si="26"/>
        <v>0</v>
      </c>
      <c r="BD62" s="101">
        <f>IFERROR(s_RadSpec!$H$27*(BD27/$B62),".")</f>
        <v>0</v>
      </c>
      <c r="BE62" s="101">
        <f>IFERROR(s_RadSpec!$H$27*(BE27/$B62),".")</f>
        <v>0</v>
      </c>
      <c r="BF62" s="101">
        <f>IFERROR(s_RadSpec!$H$27*(BF27/$B62),".")</f>
        <v>0</v>
      </c>
      <c r="BG62" s="101">
        <f>IFERROR(s_RadSpec!$H$27*(BG27/$B62),".")</f>
        <v>0</v>
      </c>
      <c r="BH62" s="101">
        <f>IFERROR(s_RadSpec!$H$27*(BH27/$B62),".")</f>
        <v>0</v>
      </c>
      <c r="BI62" s="101">
        <f>IFERROR(s_RadSpec!$H$27*(BI27/$B62),".")</f>
        <v>0</v>
      </c>
      <c r="BJ62" s="101">
        <f>IFERROR(s_RadSpec!$H$27*(BJ27/$B62),".")</f>
        <v>0</v>
      </c>
      <c r="BK62" s="101">
        <f>IFERROR(s_RadSpec!$H$27*(BK27/$B62),".")</f>
        <v>0</v>
      </c>
      <c r="BL62" s="101">
        <f>IFERROR(s_RadSpec!$H$27*(BL27/$B62),".")</f>
        <v>0</v>
      </c>
      <c r="BM62" s="101">
        <f>IFERROR(s_RadSpec!$H$27*(BM27/$B62),".")</f>
        <v>0</v>
      </c>
      <c r="BN62" s="101">
        <f>IFERROR(s_RadSpec!$H$27*(BN27/$B62),".")</f>
        <v>0</v>
      </c>
      <c r="BO62" s="101">
        <f>IFERROR(s_RadSpec!$H$27*(BO27/$B62),".")</f>
        <v>0</v>
      </c>
      <c r="BP62" s="101">
        <f>IFERROR(s_RadSpec!$H$27*(BP27/$B62),".")</f>
        <v>0</v>
      </c>
      <c r="BQ62" s="101">
        <f>IFERROR(s_RadSpec!$H$27*(BQ27/$B62),".")</f>
        <v>0</v>
      </c>
      <c r="BR62" s="101">
        <f>IFERROR(s_RadSpec!$H$27*(BR27/$B62),".")</f>
        <v>0</v>
      </c>
      <c r="BS62" s="101">
        <f>IFERROR(s_RadSpec!$H$27*(BS27/$B62),".")</f>
        <v>0</v>
      </c>
      <c r="BT62" s="101">
        <f>IFERROR(s_RadSpec!$H$27*(BT27/$B62),".")</f>
        <v>0</v>
      </c>
      <c r="BU62" s="101">
        <f>IFERROR(s_RadSpec!$H$27*(BU27/$B62),".")</f>
        <v>0</v>
      </c>
      <c r="BV62" s="101">
        <f>IFERROR(s_RadSpec!$H$27*(BV27/$B62),".")</f>
        <v>0</v>
      </c>
      <c r="BW62" s="101">
        <f>IFERROR(s_RadSpec!$H$27*(BW27/$B62),".")</f>
        <v>0</v>
      </c>
      <c r="BX62" s="101">
        <f>IFERROR(s_RadSpec!$H$27*(BX27/$B62),".")</f>
        <v>0</v>
      </c>
      <c r="BY62" s="101">
        <f>IFERROR(s_RadSpec!$H$27*(BY27/$B62),".")</f>
        <v>0</v>
      </c>
      <c r="BZ62" s="101">
        <f>IFERROR(s_RadSpec!$H$27*(BZ27/$B62),".")</f>
        <v>0</v>
      </c>
      <c r="CA62" s="101">
        <f>IFERROR(s_RadSpec!$H$27*(CA27/$B62),".")</f>
        <v>0</v>
      </c>
      <c r="CB62" s="101">
        <f>IFERROR(s_RadSpec!$H$27*(CB27/$B62),".")</f>
        <v>0</v>
      </c>
    </row>
    <row r="63" spans="1:80" x14ac:dyDescent="0.25">
      <c r="A63" s="95" t="s">
        <v>35</v>
      </c>
      <c r="B63" s="95" t="s">
        <v>1071</v>
      </c>
      <c r="C63" s="96">
        <f t="shared" ref="C63" si="196">IFERROR(1/SUM(C64:C76),0)</f>
        <v>2.3998970479463734E-2</v>
      </c>
      <c r="D63" s="96">
        <f t="shared" ref="D63:AB63" si="197">IFERROR(1/SUM(D64:D76),0)</f>
        <v>9.5995881917854936E-2</v>
      </c>
      <c r="E63" s="96">
        <f t="shared" si="197"/>
        <v>9.5995881917854936E-2</v>
      </c>
      <c r="F63" s="96">
        <f t="shared" si="197"/>
        <v>9.5995881917854936E-2</v>
      </c>
      <c r="G63" s="96">
        <f t="shared" si="197"/>
        <v>9.5995881917854936E-2</v>
      </c>
      <c r="H63" s="96">
        <f t="shared" si="197"/>
        <v>9.5995881917854936E-2</v>
      </c>
      <c r="I63" s="96">
        <f t="shared" si="197"/>
        <v>9.5995881917854936E-2</v>
      </c>
      <c r="J63" s="96">
        <f t="shared" si="197"/>
        <v>9.5995881917854936E-2</v>
      </c>
      <c r="K63" s="96">
        <f t="shared" si="197"/>
        <v>9.5995881917854936E-2</v>
      </c>
      <c r="L63" s="96">
        <f t="shared" si="197"/>
        <v>9.5995881917854936E-2</v>
      </c>
      <c r="M63" s="96">
        <f t="shared" si="197"/>
        <v>9.5995881917854936E-2</v>
      </c>
      <c r="N63" s="96">
        <f t="shared" si="197"/>
        <v>9.5995881917854936E-2</v>
      </c>
      <c r="O63" s="96">
        <f t="shared" si="197"/>
        <v>9.5995881917854936E-2</v>
      </c>
      <c r="P63" s="96">
        <f t="shared" si="197"/>
        <v>9.5995881917854936E-2</v>
      </c>
      <c r="Q63" s="96">
        <f t="shared" si="197"/>
        <v>9.5995881917854936E-2</v>
      </c>
      <c r="R63" s="96">
        <f t="shared" si="197"/>
        <v>9.5995881917854936E-2</v>
      </c>
      <c r="S63" s="96">
        <f t="shared" si="197"/>
        <v>9.5995881917854936E-2</v>
      </c>
      <c r="T63" s="96">
        <f t="shared" si="197"/>
        <v>9.5995881917854936E-2</v>
      </c>
      <c r="U63" s="96">
        <f t="shared" ref="U63" si="198">IFERROR(1/SUM(U64:U76),0)</f>
        <v>9.5995881917854936E-2</v>
      </c>
      <c r="V63" s="96">
        <f t="shared" si="197"/>
        <v>9.5995881917854936E-2</v>
      </c>
      <c r="W63" s="96">
        <f t="shared" si="197"/>
        <v>9.5995881917854936E-2</v>
      </c>
      <c r="X63" s="96">
        <f t="shared" si="197"/>
        <v>9.5995881917854936E-2</v>
      </c>
      <c r="Y63" s="96">
        <f t="shared" si="197"/>
        <v>9.5995881917854936E-2</v>
      </c>
      <c r="Z63" s="96">
        <f t="shared" si="197"/>
        <v>9.5995881917854936E-2</v>
      </c>
      <c r="AA63" s="96">
        <f t="shared" si="197"/>
        <v>9.5995881917854936E-2</v>
      </c>
      <c r="AB63" s="96">
        <f t="shared" si="197"/>
        <v>9.5995881917854936E-2</v>
      </c>
      <c r="AC63" s="96">
        <f t="shared" ref="AC63" si="199">IFERROR(1/SUM(AC64:AC76),0)</f>
        <v>2.3998970479463734E-2</v>
      </c>
      <c r="AD63" s="96">
        <f t="shared" ref="AD63:BB63" si="200">IFERROR(1/SUM(AD64:AD76),0)</f>
        <v>9.5995881917854936E-2</v>
      </c>
      <c r="AE63" s="96">
        <f t="shared" si="200"/>
        <v>9.5995881917854936E-2</v>
      </c>
      <c r="AF63" s="96">
        <f t="shared" si="200"/>
        <v>9.5995881917854936E-2</v>
      </c>
      <c r="AG63" s="96">
        <f t="shared" si="200"/>
        <v>9.5995881917854936E-2</v>
      </c>
      <c r="AH63" s="96">
        <f t="shared" si="200"/>
        <v>9.5995881917854936E-2</v>
      </c>
      <c r="AI63" s="96">
        <f t="shared" si="200"/>
        <v>9.5995881917854936E-2</v>
      </c>
      <c r="AJ63" s="96">
        <f t="shared" si="200"/>
        <v>9.5995881917854936E-2</v>
      </c>
      <c r="AK63" s="96">
        <f t="shared" si="200"/>
        <v>9.5995881917854936E-2</v>
      </c>
      <c r="AL63" s="96">
        <f t="shared" si="200"/>
        <v>9.5995881917854936E-2</v>
      </c>
      <c r="AM63" s="96">
        <f t="shared" si="200"/>
        <v>9.5995881917854936E-2</v>
      </c>
      <c r="AN63" s="96">
        <f t="shared" si="200"/>
        <v>9.5995881917854936E-2</v>
      </c>
      <c r="AO63" s="96">
        <f t="shared" si="200"/>
        <v>9.5995881917854936E-2</v>
      </c>
      <c r="AP63" s="96">
        <f t="shared" si="200"/>
        <v>9.5995881917854936E-2</v>
      </c>
      <c r="AQ63" s="96">
        <f t="shared" si="200"/>
        <v>9.5995881917854936E-2</v>
      </c>
      <c r="AR63" s="96">
        <f t="shared" si="200"/>
        <v>9.5995881917854936E-2</v>
      </c>
      <c r="AS63" s="96">
        <f t="shared" si="200"/>
        <v>9.5995881917854936E-2</v>
      </c>
      <c r="AT63" s="96">
        <f t="shared" si="200"/>
        <v>9.5995881917854936E-2</v>
      </c>
      <c r="AU63" s="96">
        <f t="shared" ref="AU63" si="201">IFERROR(1/SUM(AU64:AU76),0)</f>
        <v>9.5995881917854936E-2</v>
      </c>
      <c r="AV63" s="96">
        <f t="shared" si="200"/>
        <v>9.5995881917854936E-2</v>
      </c>
      <c r="AW63" s="96">
        <f t="shared" si="200"/>
        <v>9.5995881917854936E-2</v>
      </c>
      <c r="AX63" s="96">
        <f t="shared" si="200"/>
        <v>9.5995881917854936E-2</v>
      </c>
      <c r="AY63" s="96">
        <f t="shared" si="200"/>
        <v>9.5995881917854936E-2</v>
      </c>
      <c r="AZ63" s="96">
        <f t="shared" si="200"/>
        <v>9.5995881917854936E-2</v>
      </c>
      <c r="BA63" s="96">
        <f t="shared" si="200"/>
        <v>9.5995881917854936E-2</v>
      </c>
      <c r="BB63" s="96">
        <f t="shared" si="200"/>
        <v>9.5995881917854936E-2</v>
      </c>
      <c r="BC63" s="97">
        <f t="shared" si="26"/>
        <v>2.0834228226425319E-3</v>
      </c>
      <c r="BD63" s="97">
        <f>IFERROR(IF(SUM(BD64:BD76)&gt;0.01,1-EXP(-(SUM(BD64:BD76))),SUM(BD64:BD76)),".")</f>
        <v>5.2085570566063298E-4</v>
      </c>
      <c r="BE63" s="97">
        <f t="shared" ref="BE63:BZ63" si="202">IFERROR(IF(SUM(BE64:BE76)&gt;0.01,1-EXP(-(SUM(BE64:BE76))),SUM(BE64:BE76)),".")</f>
        <v>5.2085570566063298E-4</v>
      </c>
      <c r="BF63" s="97">
        <f t="shared" si="202"/>
        <v>5.2085570566063298E-4</v>
      </c>
      <c r="BG63" s="97">
        <f t="shared" si="202"/>
        <v>5.2085570566063298E-4</v>
      </c>
      <c r="BH63" s="97">
        <f t="shared" si="202"/>
        <v>5.2085570566063298E-4</v>
      </c>
      <c r="BI63" s="97">
        <f t="shared" si="202"/>
        <v>5.2085570566063298E-4</v>
      </c>
      <c r="BJ63" s="97">
        <f t="shared" si="202"/>
        <v>5.2085570566063298E-4</v>
      </c>
      <c r="BK63" s="97">
        <f t="shared" si="202"/>
        <v>5.2085570566063298E-4</v>
      </c>
      <c r="BL63" s="97">
        <f t="shared" si="202"/>
        <v>5.2085570566063298E-4</v>
      </c>
      <c r="BM63" s="97">
        <f t="shared" si="202"/>
        <v>5.2085570566063298E-4</v>
      </c>
      <c r="BN63" s="97">
        <f t="shared" si="202"/>
        <v>5.2085570566063298E-4</v>
      </c>
      <c r="BO63" s="97">
        <f t="shared" si="202"/>
        <v>5.2085570566063298E-4</v>
      </c>
      <c r="BP63" s="97">
        <f t="shared" si="202"/>
        <v>5.2085570566063298E-4</v>
      </c>
      <c r="BQ63" s="97">
        <f t="shared" si="202"/>
        <v>5.2085570566063298E-4</v>
      </c>
      <c r="BR63" s="97">
        <f t="shared" si="202"/>
        <v>5.2085570566063298E-4</v>
      </c>
      <c r="BS63" s="97">
        <f t="shared" si="202"/>
        <v>5.2085570566063298E-4</v>
      </c>
      <c r="BT63" s="97">
        <f t="shared" si="202"/>
        <v>5.2085570566063298E-4</v>
      </c>
      <c r="BU63" s="97">
        <f t="shared" ref="BU63" si="203">IFERROR(IF(SUM(BU64:BU76)&gt;0.01,1-EXP(-(SUM(BU64:BU76))),SUM(BU64:BU76)),".")</f>
        <v>5.2085570566063298E-4</v>
      </c>
      <c r="BV63" s="97">
        <f t="shared" si="202"/>
        <v>5.2085570566063298E-4</v>
      </c>
      <c r="BW63" s="97">
        <f t="shared" si="202"/>
        <v>5.2085570566063298E-4</v>
      </c>
      <c r="BX63" s="97">
        <f t="shared" si="202"/>
        <v>5.2085570566063298E-4</v>
      </c>
      <c r="BY63" s="97">
        <f t="shared" si="202"/>
        <v>5.2085570566063298E-4</v>
      </c>
      <c r="BZ63" s="97">
        <f t="shared" si="202"/>
        <v>5.2085570566063298E-4</v>
      </c>
      <c r="CA63" s="97">
        <f>IFERROR(IF(SUM(CA64:CA76)&gt;0.01,1-EXP(-(SUM(CA64:CA76))),SUM(CA64:CA76)),".")</f>
        <v>5.2085570566063298E-4</v>
      </c>
      <c r="CB63" s="97">
        <f>IFERROR(IF(SUM(CB64:CB76)&gt;0.01,1-EXP(-(SUM(CB64:CB76))),SUM(CB64:CB76)),".")</f>
        <v>5.2085570566063298E-4</v>
      </c>
    </row>
    <row r="64" spans="1:80" x14ac:dyDescent="0.25">
      <c r="A64" s="99" t="s">
        <v>1087</v>
      </c>
      <c r="B64" s="90">
        <v>1</v>
      </c>
      <c r="C64" s="100">
        <f t="shared" ref="C64" si="204">IFERROR($B64/C25,0)</f>
        <v>0</v>
      </c>
      <c r="D64" s="100">
        <f t="shared" ref="D64:AC64" si="205">IFERROR($B64/D25,0)</f>
        <v>0</v>
      </c>
      <c r="E64" s="100">
        <f t="shared" si="205"/>
        <v>0</v>
      </c>
      <c r="F64" s="100">
        <f t="shared" si="205"/>
        <v>0</v>
      </c>
      <c r="G64" s="100">
        <f t="shared" si="205"/>
        <v>0</v>
      </c>
      <c r="H64" s="100">
        <f t="shared" si="205"/>
        <v>0</v>
      </c>
      <c r="I64" s="100">
        <f t="shared" si="205"/>
        <v>0</v>
      </c>
      <c r="J64" s="100">
        <f t="shared" si="205"/>
        <v>0</v>
      </c>
      <c r="K64" s="100">
        <f t="shared" si="205"/>
        <v>0</v>
      </c>
      <c r="L64" s="100">
        <f t="shared" si="205"/>
        <v>0</v>
      </c>
      <c r="M64" s="100">
        <f t="shared" si="205"/>
        <v>0</v>
      </c>
      <c r="N64" s="100">
        <f t="shared" si="205"/>
        <v>0</v>
      </c>
      <c r="O64" s="100">
        <f t="shared" si="205"/>
        <v>0</v>
      </c>
      <c r="P64" s="100">
        <f t="shared" si="205"/>
        <v>0</v>
      </c>
      <c r="Q64" s="100">
        <f t="shared" si="205"/>
        <v>0</v>
      </c>
      <c r="R64" s="100">
        <f t="shared" si="205"/>
        <v>0</v>
      </c>
      <c r="S64" s="100">
        <f t="shared" si="205"/>
        <v>0</v>
      </c>
      <c r="T64" s="100">
        <f t="shared" si="205"/>
        <v>0</v>
      </c>
      <c r="U64" s="100">
        <f t="shared" ref="U64" si="206">IFERROR($B64/U25,0)</f>
        <v>0</v>
      </c>
      <c r="V64" s="100">
        <f t="shared" si="205"/>
        <v>0</v>
      </c>
      <c r="W64" s="100">
        <f t="shared" si="205"/>
        <v>0</v>
      </c>
      <c r="X64" s="100">
        <f t="shared" si="205"/>
        <v>0</v>
      </c>
      <c r="Y64" s="100">
        <f t="shared" si="205"/>
        <v>0</v>
      </c>
      <c r="Z64" s="100">
        <f t="shared" si="205"/>
        <v>0</v>
      </c>
      <c r="AA64" s="100">
        <f t="shared" si="205"/>
        <v>0</v>
      </c>
      <c r="AB64" s="100">
        <f t="shared" si="205"/>
        <v>0</v>
      </c>
      <c r="AC64" s="100">
        <f t="shared" si="205"/>
        <v>0</v>
      </c>
      <c r="AD64" s="100">
        <f t="shared" ref="AD64:BB64" si="207">IFERROR($B64/AD25,0)</f>
        <v>0</v>
      </c>
      <c r="AE64" s="100">
        <f t="shared" si="207"/>
        <v>0</v>
      </c>
      <c r="AF64" s="100">
        <f t="shared" si="207"/>
        <v>0</v>
      </c>
      <c r="AG64" s="100">
        <f t="shared" si="207"/>
        <v>0</v>
      </c>
      <c r="AH64" s="100">
        <f t="shared" si="207"/>
        <v>0</v>
      </c>
      <c r="AI64" s="100">
        <f t="shared" si="207"/>
        <v>0</v>
      </c>
      <c r="AJ64" s="100">
        <f t="shared" si="207"/>
        <v>0</v>
      </c>
      <c r="AK64" s="100">
        <f t="shared" si="207"/>
        <v>0</v>
      </c>
      <c r="AL64" s="100">
        <f t="shared" si="207"/>
        <v>0</v>
      </c>
      <c r="AM64" s="100">
        <f t="shared" si="207"/>
        <v>0</v>
      </c>
      <c r="AN64" s="100">
        <f t="shared" si="207"/>
        <v>0</v>
      </c>
      <c r="AO64" s="100">
        <f t="shared" si="207"/>
        <v>0</v>
      </c>
      <c r="AP64" s="100">
        <f t="shared" si="207"/>
        <v>0</v>
      </c>
      <c r="AQ64" s="100">
        <f t="shared" si="207"/>
        <v>0</v>
      </c>
      <c r="AR64" s="100">
        <f t="shared" si="207"/>
        <v>0</v>
      </c>
      <c r="AS64" s="100">
        <f t="shared" si="207"/>
        <v>0</v>
      </c>
      <c r="AT64" s="100">
        <f t="shared" si="207"/>
        <v>0</v>
      </c>
      <c r="AU64" s="100">
        <f t="shared" ref="AU64" si="208">IFERROR($B64/AU25,0)</f>
        <v>0</v>
      </c>
      <c r="AV64" s="100">
        <f t="shared" si="207"/>
        <v>0</v>
      </c>
      <c r="AW64" s="100">
        <f t="shared" si="207"/>
        <v>0</v>
      </c>
      <c r="AX64" s="100">
        <f t="shared" si="207"/>
        <v>0</v>
      </c>
      <c r="AY64" s="100">
        <f t="shared" si="207"/>
        <v>0</v>
      </c>
      <c r="AZ64" s="100">
        <f t="shared" si="207"/>
        <v>0</v>
      </c>
      <c r="BA64" s="100">
        <f t="shared" si="207"/>
        <v>0</v>
      </c>
      <c r="BB64" s="100">
        <f t="shared" si="207"/>
        <v>0</v>
      </c>
      <c r="BC64" s="101">
        <f t="shared" si="26"/>
        <v>0</v>
      </c>
      <c r="BD64" s="101">
        <f>IFERROR(s_RadSpec!$H$25*(BD25/$B64),".")</f>
        <v>0</v>
      </c>
      <c r="BE64" s="101">
        <f>IFERROR(s_RadSpec!$H$25*(BE25/$B64),".")</f>
        <v>0</v>
      </c>
      <c r="BF64" s="101">
        <f>IFERROR(s_RadSpec!$H$25*(BF25/$B64),".")</f>
        <v>0</v>
      </c>
      <c r="BG64" s="101">
        <f>IFERROR(s_RadSpec!$H$25*(BG25/$B64),".")</f>
        <v>0</v>
      </c>
      <c r="BH64" s="101">
        <f>IFERROR(s_RadSpec!$H$25*(BH25/$B64),".")</f>
        <v>0</v>
      </c>
      <c r="BI64" s="101">
        <f>IFERROR(s_RadSpec!$H$25*(BI25/$B64),".")</f>
        <v>0</v>
      </c>
      <c r="BJ64" s="101">
        <f>IFERROR(s_RadSpec!$H$25*(BJ25/$B64),".")</f>
        <v>0</v>
      </c>
      <c r="BK64" s="101">
        <f>IFERROR(s_RadSpec!$H$25*(BK25/$B64),".")</f>
        <v>0</v>
      </c>
      <c r="BL64" s="101">
        <f>IFERROR(s_RadSpec!$H$25*(BL25/$B64),".")</f>
        <v>0</v>
      </c>
      <c r="BM64" s="101">
        <f>IFERROR(s_RadSpec!$H$25*(BM25/$B64),".")</f>
        <v>0</v>
      </c>
      <c r="BN64" s="101">
        <f>IFERROR(s_RadSpec!$H$25*(BN25/$B64),".")</f>
        <v>0</v>
      </c>
      <c r="BO64" s="101">
        <f>IFERROR(s_RadSpec!$H$25*(BO25/$B64),".")</f>
        <v>0</v>
      </c>
      <c r="BP64" s="101">
        <f>IFERROR(s_RadSpec!$H$25*(BP25/$B64),".")</f>
        <v>0</v>
      </c>
      <c r="BQ64" s="101">
        <f>IFERROR(s_RadSpec!$H$25*(BQ25/$B64),".")</f>
        <v>0</v>
      </c>
      <c r="BR64" s="101">
        <f>IFERROR(s_RadSpec!$H$25*(BR25/$B64),".")</f>
        <v>0</v>
      </c>
      <c r="BS64" s="101">
        <f>IFERROR(s_RadSpec!$H$25*(BS25/$B64),".")</f>
        <v>0</v>
      </c>
      <c r="BT64" s="101">
        <f>IFERROR(s_RadSpec!$H$25*(BT25/$B64),".")</f>
        <v>0</v>
      </c>
      <c r="BU64" s="101">
        <f>IFERROR(s_RadSpec!$H$25*(BU25/$B64),".")</f>
        <v>0</v>
      </c>
      <c r="BV64" s="101">
        <f>IFERROR(s_RadSpec!$H$25*(BV25/$B64),".")</f>
        <v>0</v>
      </c>
      <c r="BW64" s="101">
        <f>IFERROR(s_RadSpec!$H$25*(BW25/$B64),".")</f>
        <v>0</v>
      </c>
      <c r="BX64" s="101">
        <f>IFERROR(s_RadSpec!$H$25*(BX25/$B64),".")</f>
        <v>0</v>
      </c>
      <c r="BY64" s="101">
        <f>IFERROR(s_RadSpec!$H$25*(BY25/$B64),".")</f>
        <v>0</v>
      </c>
      <c r="BZ64" s="101">
        <f>IFERROR(s_RadSpec!$H$25*(BZ25/$B64),".")</f>
        <v>0</v>
      </c>
      <c r="CA64" s="101">
        <f>IFERROR(s_RadSpec!$H$25*(CA25/$B64),".")</f>
        <v>0</v>
      </c>
      <c r="CB64" s="101">
        <f>IFERROR(s_RadSpec!$H$25*(CB25/$B64),".")</f>
        <v>0</v>
      </c>
    </row>
    <row r="65" spans="1:80" x14ac:dyDescent="0.25">
      <c r="A65" s="99" t="s">
        <v>1073</v>
      </c>
      <c r="B65" s="90">
        <v>1</v>
      </c>
      <c r="C65" s="100">
        <f t="shared" ref="C65" si="209">IFERROR($B65/C21,0)</f>
        <v>0</v>
      </c>
      <c r="D65" s="100">
        <f t="shared" ref="D65:AC65" si="210">IFERROR($B65/D21,0)</f>
        <v>0</v>
      </c>
      <c r="E65" s="100">
        <f t="shared" si="210"/>
        <v>0</v>
      </c>
      <c r="F65" s="100">
        <f t="shared" si="210"/>
        <v>0</v>
      </c>
      <c r="G65" s="100">
        <f t="shared" si="210"/>
        <v>0</v>
      </c>
      <c r="H65" s="100">
        <f t="shared" si="210"/>
        <v>0</v>
      </c>
      <c r="I65" s="100">
        <f t="shared" si="210"/>
        <v>0</v>
      </c>
      <c r="J65" s="100">
        <f t="shared" si="210"/>
        <v>0</v>
      </c>
      <c r="K65" s="100">
        <f t="shared" si="210"/>
        <v>0</v>
      </c>
      <c r="L65" s="100">
        <f t="shared" si="210"/>
        <v>0</v>
      </c>
      <c r="M65" s="100">
        <f t="shared" si="210"/>
        <v>0</v>
      </c>
      <c r="N65" s="100">
        <f t="shared" si="210"/>
        <v>0</v>
      </c>
      <c r="O65" s="100">
        <f t="shared" si="210"/>
        <v>0</v>
      </c>
      <c r="P65" s="100">
        <f t="shared" si="210"/>
        <v>0</v>
      </c>
      <c r="Q65" s="100">
        <f t="shared" si="210"/>
        <v>0</v>
      </c>
      <c r="R65" s="100">
        <f t="shared" si="210"/>
        <v>0</v>
      </c>
      <c r="S65" s="100">
        <f t="shared" si="210"/>
        <v>0</v>
      </c>
      <c r="T65" s="100">
        <f t="shared" si="210"/>
        <v>0</v>
      </c>
      <c r="U65" s="100">
        <f t="shared" ref="U65" si="211">IFERROR($B65/U21,0)</f>
        <v>0</v>
      </c>
      <c r="V65" s="100">
        <f t="shared" si="210"/>
        <v>0</v>
      </c>
      <c r="W65" s="100">
        <f t="shared" si="210"/>
        <v>0</v>
      </c>
      <c r="X65" s="100">
        <f t="shared" si="210"/>
        <v>0</v>
      </c>
      <c r="Y65" s="100">
        <f t="shared" si="210"/>
        <v>0</v>
      </c>
      <c r="Z65" s="100">
        <f t="shared" si="210"/>
        <v>0</v>
      </c>
      <c r="AA65" s="100">
        <f t="shared" si="210"/>
        <v>0</v>
      </c>
      <c r="AB65" s="100">
        <f t="shared" si="210"/>
        <v>0</v>
      </c>
      <c r="AC65" s="100">
        <f t="shared" si="210"/>
        <v>0</v>
      </c>
      <c r="AD65" s="100">
        <f t="shared" ref="AD65:BB65" si="212">IFERROR($B65/AD21,0)</f>
        <v>0</v>
      </c>
      <c r="AE65" s="100">
        <f t="shared" si="212"/>
        <v>0</v>
      </c>
      <c r="AF65" s="100">
        <f t="shared" si="212"/>
        <v>0</v>
      </c>
      <c r="AG65" s="100">
        <f t="shared" si="212"/>
        <v>0</v>
      </c>
      <c r="AH65" s="100">
        <f t="shared" si="212"/>
        <v>0</v>
      </c>
      <c r="AI65" s="100">
        <f t="shared" si="212"/>
        <v>0</v>
      </c>
      <c r="AJ65" s="100">
        <f t="shared" si="212"/>
        <v>0</v>
      </c>
      <c r="AK65" s="100">
        <f t="shared" si="212"/>
        <v>0</v>
      </c>
      <c r="AL65" s="100">
        <f t="shared" si="212"/>
        <v>0</v>
      </c>
      <c r="AM65" s="100">
        <f t="shared" si="212"/>
        <v>0</v>
      </c>
      <c r="AN65" s="100">
        <f t="shared" si="212"/>
        <v>0</v>
      </c>
      <c r="AO65" s="100">
        <f t="shared" si="212"/>
        <v>0</v>
      </c>
      <c r="AP65" s="100">
        <f t="shared" si="212"/>
        <v>0</v>
      </c>
      <c r="AQ65" s="100">
        <f t="shared" si="212"/>
        <v>0</v>
      </c>
      <c r="AR65" s="100">
        <f t="shared" si="212"/>
        <v>0</v>
      </c>
      <c r="AS65" s="100">
        <f t="shared" si="212"/>
        <v>0</v>
      </c>
      <c r="AT65" s="100">
        <f t="shared" si="212"/>
        <v>0</v>
      </c>
      <c r="AU65" s="100">
        <f t="shared" ref="AU65" si="213">IFERROR($B65/AU21,0)</f>
        <v>0</v>
      </c>
      <c r="AV65" s="100">
        <f t="shared" si="212"/>
        <v>0</v>
      </c>
      <c r="AW65" s="100">
        <f t="shared" si="212"/>
        <v>0</v>
      </c>
      <c r="AX65" s="100">
        <f t="shared" si="212"/>
        <v>0</v>
      </c>
      <c r="AY65" s="100">
        <f t="shared" si="212"/>
        <v>0</v>
      </c>
      <c r="AZ65" s="100">
        <f t="shared" si="212"/>
        <v>0</v>
      </c>
      <c r="BA65" s="100">
        <f t="shared" si="212"/>
        <v>0</v>
      </c>
      <c r="BB65" s="100">
        <f t="shared" si="212"/>
        <v>0</v>
      </c>
      <c r="BC65" s="101">
        <f t="shared" si="26"/>
        <v>0</v>
      </c>
      <c r="BD65" s="101">
        <f>IFERROR(s_RadSpec!$H$21*(BD21/$B65),".")</f>
        <v>0</v>
      </c>
      <c r="BE65" s="101">
        <f>IFERROR(s_RadSpec!$H$21*(BE21/$B65),".")</f>
        <v>0</v>
      </c>
      <c r="BF65" s="101">
        <f>IFERROR(s_RadSpec!$H$21*(BF21/$B65),".")</f>
        <v>0</v>
      </c>
      <c r="BG65" s="101">
        <f>IFERROR(s_RadSpec!$H$21*(BG21/$B65),".")</f>
        <v>0</v>
      </c>
      <c r="BH65" s="101">
        <f>IFERROR(s_RadSpec!$H$21*(BH21/$B65),".")</f>
        <v>0</v>
      </c>
      <c r="BI65" s="101">
        <f>IFERROR(s_RadSpec!$H$21*(BI21/$B65),".")</f>
        <v>0</v>
      </c>
      <c r="BJ65" s="101">
        <f>IFERROR(s_RadSpec!$H$21*(BJ21/$B65),".")</f>
        <v>0</v>
      </c>
      <c r="BK65" s="101">
        <f>IFERROR(s_RadSpec!$H$21*(BK21/$B65),".")</f>
        <v>0</v>
      </c>
      <c r="BL65" s="101">
        <f>IFERROR(s_RadSpec!$H$21*(BL21/$B65),".")</f>
        <v>0</v>
      </c>
      <c r="BM65" s="101">
        <f>IFERROR(s_RadSpec!$H$21*(BM21/$B65),".")</f>
        <v>0</v>
      </c>
      <c r="BN65" s="101">
        <f>IFERROR(s_RadSpec!$H$21*(BN21/$B65),".")</f>
        <v>0</v>
      </c>
      <c r="BO65" s="101">
        <f>IFERROR(s_RadSpec!$H$21*(BO21/$B65),".")</f>
        <v>0</v>
      </c>
      <c r="BP65" s="101">
        <f>IFERROR(s_RadSpec!$H$21*(BP21/$B65),".")</f>
        <v>0</v>
      </c>
      <c r="BQ65" s="101">
        <f>IFERROR(s_RadSpec!$H$21*(BQ21/$B65),".")</f>
        <v>0</v>
      </c>
      <c r="BR65" s="101">
        <f>IFERROR(s_RadSpec!$H$21*(BR21/$B65),".")</f>
        <v>0</v>
      </c>
      <c r="BS65" s="101">
        <f>IFERROR(s_RadSpec!$H$21*(BS21/$B65),".")</f>
        <v>0</v>
      </c>
      <c r="BT65" s="101">
        <f>IFERROR(s_RadSpec!$H$21*(BT21/$B65),".")</f>
        <v>0</v>
      </c>
      <c r="BU65" s="101">
        <f>IFERROR(s_RadSpec!$H$21*(BU21/$B65),".")</f>
        <v>0</v>
      </c>
      <c r="BV65" s="101">
        <f>IFERROR(s_RadSpec!$H$21*(BV21/$B65),".")</f>
        <v>0</v>
      </c>
      <c r="BW65" s="101">
        <f>IFERROR(s_RadSpec!$H$21*(BW21/$B65),".")</f>
        <v>0</v>
      </c>
      <c r="BX65" s="101">
        <f>IFERROR(s_RadSpec!$H$21*(BX21/$B65),".")</f>
        <v>0</v>
      </c>
      <c r="BY65" s="101">
        <f>IFERROR(s_RadSpec!$H$21*(BY21/$B65),".")</f>
        <v>0</v>
      </c>
      <c r="BZ65" s="101">
        <f>IFERROR(s_RadSpec!$H$21*(BZ21/$B65),".")</f>
        <v>0</v>
      </c>
      <c r="CA65" s="101">
        <f>IFERROR(s_RadSpec!$H$21*(CA21/$B65),".")</f>
        <v>0</v>
      </c>
      <c r="CB65" s="101">
        <f>IFERROR(s_RadSpec!$H$21*(CB21/$B65),".")</f>
        <v>0</v>
      </c>
    </row>
    <row r="66" spans="1:80" x14ac:dyDescent="0.25">
      <c r="A66" s="99" t="s">
        <v>1074</v>
      </c>
      <c r="B66" s="103">
        <v>0.99980000000000002</v>
      </c>
      <c r="C66" s="100">
        <f t="shared" ref="C66" si="214">IFERROR($B66/C17,0)</f>
        <v>5.8636970260000001E-3</v>
      </c>
      <c r="D66" s="100">
        <f t="shared" ref="D66:AC66" si="215">IFERROR($B66/D17,0)</f>
        <v>1.4659242565E-3</v>
      </c>
      <c r="E66" s="100">
        <f t="shared" si="215"/>
        <v>1.4659242565E-3</v>
      </c>
      <c r="F66" s="100">
        <f t="shared" si="215"/>
        <v>1.4659242565E-3</v>
      </c>
      <c r="G66" s="100">
        <f t="shared" si="215"/>
        <v>1.4659242565E-3</v>
      </c>
      <c r="H66" s="100">
        <f t="shared" si="215"/>
        <v>1.4659242565E-3</v>
      </c>
      <c r="I66" s="100">
        <f t="shared" si="215"/>
        <v>1.4659242565E-3</v>
      </c>
      <c r="J66" s="100">
        <f t="shared" si="215"/>
        <v>1.4659242565E-3</v>
      </c>
      <c r="K66" s="100">
        <f t="shared" si="215"/>
        <v>1.4659242565E-3</v>
      </c>
      <c r="L66" s="100">
        <f t="shared" si="215"/>
        <v>1.4659242565E-3</v>
      </c>
      <c r="M66" s="100">
        <f t="shared" si="215"/>
        <v>1.4659242565E-3</v>
      </c>
      <c r="N66" s="100">
        <f t="shared" si="215"/>
        <v>1.4659242565E-3</v>
      </c>
      <c r="O66" s="100">
        <f t="shared" si="215"/>
        <v>1.4659242565E-3</v>
      </c>
      <c r="P66" s="100">
        <f t="shared" si="215"/>
        <v>1.4659242565E-3</v>
      </c>
      <c r="Q66" s="100">
        <f t="shared" si="215"/>
        <v>1.4659242565E-3</v>
      </c>
      <c r="R66" s="100">
        <f t="shared" si="215"/>
        <v>1.4659242565E-3</v>
      </c>
      <c r="S66" s="100">
        <f t="shared" si="215"/>
        <v>1.4659242565E-3</v>
      </c>
      <c r="T66" s="100">
        <f t="shared" si="215"/>
        <v>1.4659242565E-3</v>
      </c>
      <c r="U66" s="100">
        <f t="shared" ref="U66" si="216">IFERROR($B66/U17,0)</f>
        <v>1.4659242565E-3</v>
      </c>
      <c r="V66" s="100">
        <f t="shared" si="215"/>
        <v>1.4659242565E-3</v>
      </c>
      <c r="W66" s="100">
        <f t="shared" si="215"/>
        <v>1.4659242565E-3</v>
      </c>
      <c r="X66" s="100">
        <f t="shared" si="215"/>
        <v>1.4659242565E-3</v>
      </c>
      <c r="Y66" s="100">
        <f t="shared" si="215"/>
        <v>1.4659242565E-3</v>
      </c>
      <c r="Z66" s="100">
        <f t="shared" si="215"/>
        <v>1.4659242565E-3</v>
      </c>
      <c r="AA66" s="100">
        <f t="shared" si="215"/>
        <v>1.4659242565E-3</v>
      </c>
      <c r="AB66" s="100">
        <f t="shared" si="215"/>
        <v>1.4659242565E-3</v>
      </c>
      <c r="AC66" s="100">
        <f t="shared" si="215"/>
        <v>5.8636970260000001E-3</v>
      </c>
      <c r="AD66" s="100">
        <f t="shared" ref="AD66:BB66" si="217">IFERROR($B66/AD17,0)</f>
        <v>1.4659242565E-3</v>
      </c>
      <c r="AE66" s="100">
        <f t="shared" si="217"/>
        <v>1.4659242565E-3</v>
      </c>
      <c r="AF66" s="100">
        <f t="shared" si="217"/>
        <v>1.4659242565E-3</v>
      </c>
      <c r="AG66" s="100">
        <f t="shared" si="217"/>
        <v>1.4659242565E-3</v>
      </c>
      <c r="AH66" s="100">
        <f t="shared" si="217"/>
        <v>1.4659242565E-3</v>
      </c>
      <c r="AI66" s="100">
        <f t="shared" si="217"/>
        <v>1.4659242565E-3</v>
      </c>
      <c r="AJ66" s="100">
        <f t="shared" si="217"/>
        <v>1.4659242565E-3</v>
      </c>
      <c r="AK66" s="100">
        <f t="shared" si="217"/>
        <v>1.4659242565E-3</v>
      </c>
      <c r="AL66" s="100">
        <f t="shared" si="217"/>
        <v>1.4659242565E-3</v>
      </c>
      <c r="AM66" s="100">
        <f t="shared" si="217"/>
        <v>1.4659242565E-3</v>
      </c>
      <c r="AN66" s="100">
        <f t="shared" si="217"/>
        <v>1.4659242565E-3</v>
      </c>
      <c r="AO66" s="100">
        <f t="shared" si="217"/>
        <v>1.4659242565E-3</v>
      </c>
      <c r="AP66" s="100">
        <f t="shared" si="217"/>
        <v>1.4659242565E-3</v>
      </c>
      <c r="AQ66" s="100">
        <f t="shared" si="217"/>
        <v>1.4659242565E-3</v>
      </c>
      <c r="AR66" s="100">
        <f t="shared" si="217"/>
        <v>1.4659242565E-3</v>
      </c>
      <c r="AS66" s="100">
        <f t="shared" si="217"/>
        <v>1.4659242565E-3</v>
      </c>
      <c r="AT66" s="100">
        <f t="shared" si="217"/>
        <v>1.4659242565E-3</v>
      </c>
      <c r="AU66" s="100">
        <f t="shared" ref="AU66" si="218">IFERROR($B66/AU17,0)</f>
        <v>1.4659242565E-3</v>
      </c>
      <c r="AV66" s="100">
        <f t="shared" si="217"/>
        <v>1.4659242565E-3</v>
      </c>
      <c r="AW66" s="100">
        <f t="shared" si="217"/>
        <v>1.4659242565E-3</v>
      </c>
      <c r="AX66" s="100">
        <f t="shared" si="217"/>
        <v>1.4659242565E-3</v>
      </c>
      <c r="AY66" s="100">
        <f t="shared" si="217"/>
        <v>1.4659242565E-3</v>
      </c>
      <c r="AZ66" s="100">
        <f t="shared" si="217"/>
        <v>1.4659242565E-3</v>
      </c>
      <c r="BA66" s="100">
        <f t="shared" si="217"/>
        <v>1.4659242565E-3</v>
      </c>
      <c r="BB66" s="100">
        <f t="shared" si="217"/>
        <v>1.4659242565E-3</v>
      </c>
      <c r="BC66" s="101">
        <f t="shared" si="26"/>
        <v>2.9330216043208645E-7</v>
      </c>
      <c r="BD66" s="101">
        <f>IFERROR(s_RadSpec!$H$17*(BD17/$B66),".")</f>
        <v>7.3325540108021612E-8</v>
      </c>
      <c r="BE66" s="101">
        <f>IFERROR(s_RadSpec!$H$17*(BE17/$B66),".")</f>
        <v>7.3325540108021612E-8</v>
      </c>
      <c r="BF66" s="101">
        <f>IFERROR(s_RadSpec!$H$17*(BF17/$B66),".")</f>
        <v>7.3325540108021612E-8</v>
      </c>
      <c r="BG66" s="101">
        <f>IFERROR(s_RadSpec!$H$17*(BG17/$B66),".")</f>
        <v>7.3325540108021612E-8</v>
      </c>
      <c r="BH66" s="101">
        <f>IFERROR(s_RadSpec!$H$17*(BH17/$B66),".")</f>
        <v>7.3325540108021612E-8</v>
      </c>
      <c r="BI66" s="101">
        <f>IFERROR(s_RadSpec!$H$17*(BI17/$B66),".")</f>
        <v>7.3325540108021612E-8</v>
      </c>
      <c r="BJ66" s="101">
        <f>IFERROR(s_RadSpec!$H$17*(BJ17/$B66),".")</f>
        <v>7.3325540108021612E-8</v>
      </c>
      <c r="BK66" s="101">
        <f>IFERROR(s_RadSpec!$H$17*(BK17/$B66),".")</f>
        <v>7.3325540108021612E-8</v>
      </c>
      <c r="BL66" s="101">
        <f>IFERROR(s_RadSpec!$H$17*(BL17/$B66),".")</f>
        <v>7.3325540108021612E-8</v>
      </c>
      <c r="BM66" s="101">
        <f>IFERROR(s_RadSpec!$H$17*(BM17/$B66),".")</f>
        <v>7.3325540108021612E-8</v>
      </c>
      <c r="BN66" s="101">
        <f>IFERROR(s_RadSpec!$H$17*(BN17/$B66),".")</f>
        <v>7.3325540108021612E-8</v>
      </c>
      <c r="BO66" s="101">
        <f>IFERROR(s_RadSpec!$H$17*(BO17/$B66),".")</f>
        <v>7.3325540108021612E-8</v>
      </c>
      <c r="BP66" s="101">
        <f>IFERROR(s_RadSpec!$H$17*(BP17/$B66),".")</f>
        <v>7.3325540108021612E-8</v>
      </c>
      <c r="BQ66" s="101">
        <f>IFERROR(s_RadSpec!$H$17*(BQ17/$B66),".")</f>
        <v>7.3325540108021612E-8</v>
      </c>
      <c r="BR66" s="101">
        <f>IFERROR(s_RadSpec!$H$17*(BR17/$B66),".")</f>
        <v>7.3325540108021612E-8</v>
      </c>
      <c r="BS66" s="101">
        <f>IFERROR(s_RadSpec!$H$17*(BS17/$B66),".")</f>
        <v>7.3325540108021612E-8</v>
      </c>
      <c r="BT66" s="101">
        <f>IFERROR(s_RadSpec!$H$17*(BT17/$B66),".")</f>
        <v>7.3325540108021612E-8</v>
      </c>
      <c r="BU66" s="101">
        <f>IFERROR(s_RadSpec!$H$17*(BU17/$B66),".")</f>
        <v>7.3325540108021612E-8</v>
      </c>
      <c r="BV66" s="101">
        <f>IFERROR(s_RadSpec!$H$17*(BV17/$B66),".")</f>
        <v>7.3325540108021612E-8</v>
      </c>
      <c r="BW66" s="101">
        <f>IFERROR(s_RadSpec!$H$17*(BW17/$B66),".")</f>
        <v>7.3325540108021612E-8</v>
      </c>
      <c r="BX66" s="101">
        <f>IFERROR(s_RadSpec!$H$17*(BX17/$B66),".")</f>
        <v>7.3325540108021612E-8</v>
      </c>
      <c r="BY66" s="101">
        <f>IFERROR(s_RadSpec!$H$17*(BY17/$B66),".")</f>
        <v>7.3325540108021612E-8</v>
      </c>
      <c r="BZ66" s="101">
        <f>IFERROR(s_RadSpec!$H$17*(BZ17/$B66),".")</f>
        <v>7.3325540108021612E-8</v>
      </c>
      <c r="CA66" s="101">
        <f>IFERROR(s_RadSpec!$H$17*(CA17/$B66),".")</f>
        <v>7.3325540108021612E-8</v>
      </c>
      <c r="CB66" s="101">
        <f>IFERROR(s_RadSpec!$H$17*(CB17/$B66),".")</f>
        <v>7.3325540108021612E-8</v>
      </c>
    </row>
    <row r="67" spans="1:80" x14ac:dyDescent="0.25">
      <c r="A67" s="99" t="s">
        <v>1088</v>
      </c>
      <c r="B67" s="90">
        <v>2.0000000000000001E-4</v>
      </c>
      <c r="C67" s="100">
        <f t="shared" ref="C67" si="219">IFERROR($B67/C5,0)</f>
        <v>0</v>
      </c>
      <c r="D67" s="100">
        <f t="shared" ref="D67:AC67" si="220">IFERROR($B67/D5,0)</f>
        <v>0</v>
      </c>
      <c r="E67" s="100">
        <f t="shared" si="220"/>
        <v>0</v>
      </c>
      <c r="F67" s="100">
        <f t="shared" si="220"/>
        <v>0</v>
      </c>
      <c r="G67" s="100">
        <f t="shared" si="220"/>
        <v>0</v>
      </c>
      <c r="H67" s="100">
        <f t="shared" si="220"/>
        <v>0</v>
      </c>
      <c r="I67" s="100">
        <f t="shared" si="220"/>
        <v>0</v>
      </c>
      <c r="J67" s="100">
        <f t="shared" si="220"/>
        <v>0</v>
      </c>
      <c r="K67" s="100">
        <f t="shared" si="220"/>
        <v>0</v>
      </c>
      <c r="L67" s="100">
        <f t="shared" si="220"/>
        <v>0</v>
      </c>
      <c r="M67" s="100">
        <f t="shared" si="220"/>
        <v>0</v>
      </c>
      <c r="N67" s="100">
        <f t="shared" si="220"/>
        <v>0</v>
      </c>
      <c r="O67" s="100">
        <f t="shared" si="220"/>
        <v>0</v>
      </c>
      <c r="P67" s="100">
        <f t="shared" si="220"/>
        <v>0</v>
      </c>
      <c r="Q67" s="100">
        <f t="shared" si="220"/>
        <v>0</v>
      </c>
      <c r="R67" s="100">
        <f t="shared" si="220"/>
        <v>0</v>
      </c>
      <c r="S67" s="100">
        <f t="shared" si="220"/>
        <v>0</v>
      </c>
      <c r="T67" s="100">
        <f t="shared" si="220"/>
        <v>0</v>
      </c>
      <c r="U67" s="100">
        <f t="shared" ref="U67" si="221">IFERROR($B67/U5,0)</f>
        <v>0</v>
      </c>
      <c r="V67" s="100">
        <f t="shared" si="220"/>
        <v>0</v>
      </c>
      <c r="W67" s="100">
        <f t="shared" si="220"/>
        <v>0</v>
      </c>
      <c r="X67" s="100">
        <f t="shared" si="220"/>
        <v>0</v>
      </c>
      <c r="Y67" s="100">
        <f t="shared" si="220"/>
        <v>0</v>
      </c>
      <c r="Z67" s="100">
        <f t="shared" si="220"/>
        <v>0</v>
      </c>
      <c r="AA67" s="100">
        <f t="shared" si="220"/>
        <v>0</v>
      </c>
      <c r="AB67" s="100">
        <f t="shared" si="220"/>
        <v>0</v>
      </c>
      <c r="AC67" s="100">
        <f t="shared" si="220"/>
        <v>0</v>
      </c>
      <c r="AD67" s="100">
        <f t="shared" ref="AD67:BB67" si="222">IFERROR($B67/AD5,0)</f>
        <v>0</v>
      </c>
      <c r="AE67" s="100">
        <f t="shared" si="222"/>
        <v>0</v>
      </c>
      <c r="AF67" s="100">
        <f t="shared" si="222"/>
        <v>0</v>
      </c>
      <c r="AG67" s="100">
        <f t="shared" si="222"/>
        <v>0</v>
      </c>
      <c r="AH67" s="100">
        <f t="shared" si="222"/>
        <v>0</v>
      </c>
      <c r="AI67" s="100">
        <f t="shared" si="222"/>
        <v>0</v>
      </c>
      <c r="AJ67" s="100">
        <f t="shared" si="222"/>
        <v>0</v>
      </c>
      <c r="AK67" s="100">
        <f t="shared" si="222"/>
        <v>0</v>
      </c>
      <c r="AL67" s="100">
        <f t="shared" si="222"/>
        <v>0</v>
      </c>
      <c r="AM67" s="100">
        <f t="shared" si="222"/>
        <v>0</v>
      </c>
      <c r="AN67" s="100">
        <f t="shared" si="222"/>
        <v>0</v>
      </c>
      <c r="AO67" s="100">
        <f t="shared" si="222"/>
        <v>0</v>
      </c>
      <c r="AP67" s="100">
        <f t="shared" si="222"/>
        <v>0</v>
      </c>
      <c r="AQ67" s="100">
        <f t="shared" si="222"/>
        <v>0</v>
      </c>
      <c r="AR67" s="100">
        <f t="shared" si="222"/>
        <v>0</v>
      </c>
      <c r="AS67" s="100">
        <f t="shared" si="222"/>
        <v>0</v>
      </c>
      <c r="AT67" s="100">
        <f t="shared" si="222"/>
        <v>0</v>
      </c>
      <c r="AU67" s="100">
        <f t="shared" ref="AU67" si="223">IFERROR($B67/AU5,0)</f>
        <v>0</v>
      </c>
      <c r="AV67" s="100">
        <f t="shared" si="222"/>
        <v>0</v>
      </c>
      <c r="AW67" s="100">
        <f t="shared" si="222"/>
        <v>0</v>
      </c>
      <c r="AX67" s="100">
        <f t="shared" si="222"/>
        <v>0</v>
      </c>
      <c r="AY67" s="100">
        <f t="shared" si="222"/>
        <v>0</v>
      </c>
      <c r="AZ67" s="100">
        <f t="shared" si="222"/>
        <v>0</v>
      </c>
      <c r="BA67" s="100">
        <f t="shared" si="222"/>
        <v>0</v>
      </c>
      <c r="BB67" s="100">
        <f t="shared" si="222"/>
        <v>0</v>
      </c>
      <c r="BC67" s="101">
        <f t="shared" ref="BC67:BC76" si="224">SUM(BD67,BU67,CA67:CB67)</f>
        <v>0</v>
      </c>
      <c r="BD67" s="101">
        <f>IFERROR(s_RadSpec!$H$5*(BD5/$B67),".")</f>
        <v>0</v>
      </c>
      <c r="BE67" s="101">
        <f>IFERROR(s_RadSpec!$H$5*(BE5/$B67),".")</f>
        <v>0</v>
      </c>
      <c r="BF67" s="101">
        <f>IFERROR(s_RadSpec!$H$5*(BF5/$B67),".")</f>
        <v>0</v>
      </c>
      <c r="BG67" s="101">
        <f>IFERROR(s_RadSpec!$H$5*(BG5/$B67),".")</f>
        <v>0</v>
      </c>
      <c r="BH67" s="101">
        <f>IFERROR(s_RadSpec!$H$5*(BH5/$B67),".")</f>
        <v>0</v>
      </c>
      <c r="BI67" s="101">
        <f>IFERROR(s_RadSpec!$H$5*(BI5/$B67),".")</f>
        <v>0</v>
      </c>
      <c r="BJ67" s="101">
        <f>IFERROR(s_RadSpec!$H$5*(BJ5/$B67),".")</f>
        <v>0</v>
      </c>
      <c r="BK67" s="101">
        <f>IFERROR(s_RadSpec!$H$5*(BK5/$B67),".")</f>
        <v>0</v>
      </c>
      <c r="BL67" s="101">
        <f>IFERROR(s_RadSpec!$H$5*(BL5/$B67),".")</f>
        <v>0</v>
      </c>
      <c r="BM67" s="101">
        <f>IFERROR(s_RadSpec!$H$5*(BM5/$B67),".")</f>
        <v>0</v>
      </c>
      <c r="BN67" s="101">
        <f>IFERROR(s_RadSpec!$H$5*(BN5/$B67),".")</f>
        <v>0</v>
      </c>
      <c r="BO67" s="101">
        <f>IFERROR(s_RadSpec!$H$5*(BO5/$B67),".")</f>
        <v>0</v>
      </c>
      <c r="BP67" s="101">
        <f>IFERROR(s_RadSpec!$H$5*(BP5/$B67),".")</f>
        <v>0</v>
      </c>
      <c r="BQ67" s="101">
        <f>IFERROR(s_RadSpec!$H$5*(BQ5/$B67),".")</f>
        <v>0</v>
      </c>
      <c r="BR67" s="101">
        <f>IFERROR(s_RadSpec!$H$5*(BR5/$B67),".")</f>
        <v>0</v>
      </c>
      <c r="BS67" s="101">
        <f>IFERROR(s_RadSpec!$H$5*(BS5/$B67),".")</f>
        <v>0</v>
      </c>
      <c r="BT67" s="101">
        <f>IFERROR(s_RadSpec!$H$5*(BT5/$B67),".")</f>
        <v>0</v>
      </c>
      <c r="BU67" s="101">
        <f>IFERROR(s_RadSpec!$H$5*(BU5/$B67),".")</f>
        <v>0</v>
      </c>
      <c r="BV67" s="101">
        <f>IFERROR(s_RadSpec!$H$5*(BV5/$B67),".")</f>
        <v>0</v>
      </c>
      <c r="BW67" s="101">
        <f>IFERROR(s_RadSpec!$H$5*(BW5/$B67),".")</f>
        <v>0</v>
      </c>
      <c r="BX67" s="101">
        <f>IFERROR(s_RadSpec!$H$5*(BX5/$B67),".")</f>
        <v>0</v>
      </c>
      <c r="BY67" s="101">
        <f>IFERROR(s_RadSpec!$H$5*(BY5/$B67),".")</f>
        <v>0</v>
      </c>
      <c r="BZ67" s="101">
        <f>IFERROR(s_RadSpec!$H$5*(BZ5/$B67),".")</f>
        <v>0</v>
      </c>
      <c r="CA67" s="101">
        <f>IFERROR(s_RadSpec!$H$5*(CA5/$B67),".")</f>
        <v>0</v>
      </c>
      <c r="CB67" s="101">
        <f>IFERROR(s_RadSpec!$H$5*(CB5/$B67),".")</f>
        <v>0</v>
      </c>
    </row>
    <row r="68" spans="1:80" x14ac:dyDescent="0.25">
      <c r="A68" s="99" t="s">
        <v>1089</v>
      </c>
      <c r="B68" s="90">
        <v>0.99999979999999999</v>
      </c>
      <c r="C68" s="100">
        <f t="shared" ref="C68" si="225">IFERROR($B68/C9,0)</f>
        <v>3.2100083579982004E-3</v>
      </c>
      <c r="D68" s="100">
        <f t="shared" ref="D68:AC68" si="226">IFERROR($B68/D9,0)</f>
        <v>8.025020894995501E-4</v>
      </c>
      <c r="E68" s="100">
        <f t="shared" si="226"/>
        <v>8.025020894995501E-4</v>
      </c>
      <c r="F68" s="100">
        <f t="shared" si="226"/>
        <v>8.025020894995501E-4</v>
      </c>
      <c r="G68" s="100">
        <f t="shared" si="226"/>
        <v>8.025020894995501E-4</v>
      </c>
      <c r="H68" s="100">
        <f t="shared" si="226"/>
        <v>8.025020894995501E-4</v>
      </c>
      <c r="I68" s="100">
        <f t="shared" si="226"/>
        <v>8.025020894995501E-4</v>
      </c>
      <c r="J68" s="100">
        <f t="shared" si="226"/>
        <v>8.025020894995501E-4</v>
      </c>
      <c r="K68" s="100">
        <f t="shared" si="226"/>
        <v>8.025020894995501E-4</v>
      </c>
      <c r="L68" s="100">
        <f t="shared" si="226"/>
        <v>8.025020894995501E-4</v>
      </c>
      <c r="M68" s="100">
        <f t="shared" si="226"/>
        <v>8.025020894995501E-4</v>
      </c>
      <c r="N68" s="100">
        <f t="shared" si="226"/>
        <v>8.025020894995501E-4</v>
      </c>
      <c r="O68" s="100">
        <f t="shared" si="226"/>
        <v>8.025020894995501E-4</v>
      </c>
      <c r="P68" s="100">
        <f t="shared" si="226"/>
        <v>8.025020894995501E-4</v>
      </c>
      <c r="Q68" s="100">
        <f t="shared" si="226"/>
        <v>8.025020894995501E-4</v>
      </c>
      <c r="R68" s="100">
        <f t="shared" si="226"/>
        <v>8.025020894995501E-4</v>
      </c>
      <c r="S68" s="100">
        <f t="shared" si="226"/>
        <v>8.025020894995501E-4</v>
      </c>
      <c r="T68" s="100">
        <f t="shared" si="226"/>
        <v>8.025020894995501E-4</v>
      </c>
      <c r="U68" s="100">
        <f t="shared" ref="U68" si="227">IFERROR($B68/U9,0)</f>
        <v>8.025020894995501E-4</v>
      </c>
      <c r="V68" s="100">
        <f t="shared" si="226"/>
        <v>8.025020894995501E-4</v>
      </c>
      <c r="W68" s="100">
        <f t="shared" si="226"/>
        <v>8.025020894995501E-4</v>
      </c>
      <c r="X68" s="100">
        <f t="shared" si="226"/>
        <v>8.025020894995501E-4</v>
      </c>
      <c r="Y68" s="100">
        <f t="shared" si="226"/>
        <v>8.025020894995501E-4</v>
      </c>
      <c r="Z68" s="100">
        <f t="shared" si="226"/>
        <v>8.025020894995501E-4</v>
      </c>
      <c r="AA68" s="100">
        <f t="shared" si="226"/>
        <v>8.025020894995501E-4</v>
      </c>
      <c r="AB68" s="100">
        <f t="shared" si="226"/>
        <v>8.025020894995501E-4</v>
      </c>
      <c r="AC68" s="100">
        <f t="shared" si="226"/>
        <v>3.2100083579982004E-3</v>
      </c>
      <c r="AD68" s="100">
        <f t="shared" ref="AD68:BB68" si="228">IFERROR($B68/AD9,0)</f>
        <v>8.025020894995501E-4</v>
      </c>
      <c r="AE68" s="100">
        <f t="shared" si="228"/>
        <v>8.025020894995501E-4</v>
      </c>
      <c r="AF68" s="100">
        <f t="shared" si="228"/>
        <v>8.025020894995501E-4</v>
      </c>
      <c r="AG68" s="100">
        <f t="shared" si="228"/>
        <v>8.025020894995501E-4</v>
      </c>
      <c r="AH68" s="100">
        <f t="shared" si="228"/>
        <v>8.025020894995501E-4</v>
      </c>
      <c r="AI68" s="100">
        <f t="shared" si="228"/>
        <v>8.025020894995501E-4</v>
      </c>
      <c r="AJ68" s="100">
        <f t="shared" si="228"/>
        <v>8.025020894995501E-4</v>
      </c>
      <c r="AK68" s="100">
        <f t="shared" si="228"/>
        <v>8.025020894995501E-4</v>
      </c>
      <c r="AL68" s="100">
        <f t="shared" si="228"/>
        <v>8.025020894995501E-4</v>
      </c>
      <c r="AM68" s="100">
        <f t="shared" si="228"/>
        <v>8.025020894995501E-4</v>
      </c>
      <c r="AN68" s="100">
        <f t="shared" si="228"/>
        <v>8.025020894995501E-4</v>
      </c>
      <c r="AO68" s="100">
        <f t="shared" si="228"/>
        <v>8.025020894995501E-4</v>
      </c>
      <c r="AP68" s="100">
        <f t="shared" si="228"/>
        <v>8.025020894995501E-4</v>
      </c>
      <c r="AQ68" s="100">
        <f t="shared" si="228"/>
        <v>8.025020894995501E-4</v>
      </c>
      <c r="AR68" s="100">
        <f t="shared" si="228"/>
        <v>8.025020894995501E-4</v>
      </c>
      <c r="AS68" s="100">
        <f t="shared" si="228"/>
        <v>8.025020894995501E-4</v>
      </c>
      <c r="AT68" s="100">
        <f t="shared" si="228"/>
        <v>8.025020894995501E-4</v>
      </c>
      <c r="AU68" s="100">
        <f t="shared" ref="AU68" si="229">IFERROR($B68/AU9,0)</f>
        <v>8.025020894995501E-4</v>
      </c>
      <c r="AV68" s="100">
        <f t="shared" si="228"/>
        <v>8.025020894995501E-4</v>
      </c>
      <c r="AW68" s="100">
        <f t="shared" si="228"/>
        <v>8.025020894995501E-4</v>
      </c>
      <c r="AX68" s="100">
        <f t="shared" si="228"/>
        <v>8.025020894995501E-4</v>
      </c>
      <c r="AY68" s="100">
        <f t="shared" si="228"/>
        <v>8.025020894995501E-4</v>
      </c>
      <c r="AZ68" s="100">
        <f t="shared" si="228"/>
        <v>8.025020894995501E-4</v>
      </c>
      <c r="BA68" s="100">
        <f t="shared" si="228"/>
        <v>8.025020894995501E-4</v>
      </c>
      <c r="BB68" s="100">
        <f t="shared" si="228"/>
        <v>8.025020894995501E-4</v>
      </c>
      <c r="BC68" s="101">
        <f t="shared" si="224"/>
        <v>1.6050048210009644E-7</v>
      </c>
      <c r="BD68" s="101">
        <f>IFERROR(s_RadSpec!$H$9*(BD9/$B68),".")</f>
        <v>4.012512052502411E-8</v>
      </c>
      <c r="BE68" s="101">
        <f>IFERROR(s_RadSpec!$H$9*(BE9/$B68),".")</f>
        <v>4.012512052502411E-8</v>
      </c>
      <c r="BF68" s="101">
        <f>IFERROR(s_RadSpec!$H$9*(BF9/$B68),".")</f>
        <v>4.012512052502411E-8</v>
      </c>
      <c r="BG68" s="101">
        <f>IFERROR(s_RadSpec!$H$9*(BG9/$B68),".")</f>
        <v>4.012512052502411E-8</v>
      </c>
      <c r="BH68" s="101">
        <f>IFERROR(s_RadSpec!$H$9*(BH9/$B68),".")</f>
        <v>4.012512052502411E-8</v>
      </c>
      <c r="BI68" s="101">
        <f>IFERROR(s_RadSpec!$H$9*(BI9/$B68),".")</f>
        <v>4.012512052502411E-8</v>
      </c>
      <c r="BJ68" s="101">
        <f>IFERROR(s_RadSpec!$H$9*(BJ9/$B68),".")</f>
        <v>4.012512052502411E-8</v>
      </c>
      <c r="BK68" s="101">
        <f>IFERROR(s_RadSpec!$H$9*(BK9/$B68),".")</f>
        <v>4.012512052502411E-8</v>
      </c>
      <c r="BL68" s="101">
        <f>IFERROR(s_RadSpec!$H$9*(BL9/$B68),".")</f>
        <v>4.012512052502411E-8</v>
      </c>
      <c r="BM68" s="101">
        <f>IFERROR(s_RadSpec!$H$9*(BM9/$B68),".")</f>
        <v>4.012512052502411E-8</v>
      </c>
      <c r="BN68" s="101">
        <f>IFERROR(s_RadSpec!$H$9*(BN9/$B68),".")</f>
        <v>4.012512052502411E-8</v>
      </c>
      <c r="BO68" s="101">
        <f>IFERROR(s_RadSpec!$H$9*(BO9/$B68),".")</f>
        <v>4.012512052502411E-8</v>
      </c>
      <c r="BP68" s="101">
        <f>IFERROR(s_RadSpec!$H$9*(BP9/$B68),".")</f>
        <v>4.012512052502411E-8</v>
      </c>
      <c r="BQ68" s="101">
        <f>IFERROR(s_RadSpec!$H$9*(BQ9/$B68),".")</f>
        <v>4.012512052502411E-8</v>
      </c>
      <c r="BR68" s="101">
        <f>IFERROR(s_RadSpec!$H$9*(BR9/$B68),".")</f>
        <v>4.012512052502411E-8</v>
      </c>
      <c r="BS68" s="101">
        <f>IFERROR(s_RadSpec!$H$9*(BS9/$B68),".")</f>
        <v>4.012512052502411E-8</v>
      </c>
      <c r="BT68" s="101">
        <f>IFERROR(s_RadSpec!$H$9*(BT9/$B68),".")</f>
        <v>4.012512052502411E-8</v>
      </c>
      <c r="BU68" s="101">
        <f>IFERROR(s_RadSpec!$H$9*(BU9/$B68),".")</f>
        <v>4.012512052502411E-8</v>
      </c>
      <c r="BV68" s="101">
        <f>IFERROR(s_RadSpec!$H$9*(BV9/$B68),".")</f>
        <v>4.012512052502411E-8</v>
      </c>
      <c r="BW68" s="101">
        <f>IFERROR(s_RadSpec!$H$9*(BW9/$B68),".")</f>
        <v>4.012512052502411E-8</v>
      </c>
      <c r="BX68" s="101">
        <f>IFERROR(s_RadSpec!$H$9*(BX9/$B68),".")</f>
        <v>4.012512052502411E-8</v>
      </c>
      <c r="BY68" s="101">
        <f>IFERROR(s_RadSpec!$H$9*(BY9/$B68),".")</f>
        <v>4.012512052502411E-8</v>
      </c>
      <c r="BZ68" s="101">
        <f>IFERROR(s_RadSpec!$H$9*(BZ9/$B68),".")</f>
        <v>4.012512052502411E-8</v>
      </c>
      <c r="CA68" s="101">
        <f>IFERROR(s_RadSpec!$H$9*(CA9/$B68),".")</f>
        <v>4.012512052502411E-8</v>
      </c>
      <c r="CB68" s="101">
        <f>IFERROR(s_RadSpec!$H$9*(CB9/$B68),".")</f>
        <v>4.012512052502411E-8</v>
      </c>
    </row>
    <row r="69" spans="1:80" x14ac:dyDescent="0.25">
      <c r="A69" s="99" t="s">
        <v>1090</v>
      </c>
      <c r="B69" s="90">
        <v>1.9999999999999999E-7</v>
      </c>
      <c r="C69" s="100">
        <f t="shared" ref="C69" si="230">IFERROR($B69/C24,0)</f>
        <v>0</v>
      </c>
      <c r="D69" s="100">
        <f t="shared" ref="D69:AC69" si="231">IFERROR($B69/D24,0)</f>
        <v>0</v>
      </c>
      <c r="E69" s="100">
        <f t="shared" si="231"/>
        <v>0</v>
      </c>
      <c r="F69" s="100">
        <f t="shared" si="231"/>
        <v>0</v>
      </c>
      <c r="G69" s="100">
        <f t="shared" si="231"/>
        <v>0</v>
      </c>
      <c r="H69" s="100">
        <f t="shared" si="231"/>
        <v>0</v>
      </c>
      <c r="I69" s="100">
        <f t="shared" si="231"/>
        <v>0</v>
      </c>
      <c r="J69" s="100">
        <f t="shared" si="231"/>
        <v>0</v>
      </c>
      <c r="K69" s="100">
        <f t="shared" si="231"/>
        <v>0</v>
      </c>
      <c r="L69" s="100">
        <f t="shared" si="231"/>
        <v>0</v>
      </c>
      <c r="M69" s="100">
        <f t="shared" si="231"/>
        <v>0</v>
      </c>
      <c r="N69" s="100">
        <f t="shared" si="231"/>
        <v>0</v>
      </c>
      <c r="O69" s="100">
        <f t="shared" si="231"/>
        <v>0</v>
      </c>
      <c r="P69" s="100">
        <f t="shared" si="231"/>
        <v>0</v>
      </c>
      <c r="Q69" s="100">
        <f t="shared" si="231"/>
        <v>0</v>
      </c>
      <c r="R69" s="100">
        <f t="shared" si="231"/>
        <v>0</v>
      </c>
      <c r="S69" s="100">
        <f t="shared" si="231"/>
        <v>0</v>
      </c>
      <c r="T69" s="100">
        <f t="shared" si="231"/>
        <v>0</v>
      </c>
      <c r="U69" s="100">
        <f t="shared" ref="U69" si="232">IFERROR($B69/U24,0)</f>
        <v>0</v>
      </c>
      <c r="V69" s="100">
        <f t="shared" si="231"/>
        <v>0</v>
      </c>
      <c r="W69" s="100">
        <f t="shared" si="231"/>
        <v>0</v>
      </c>
      <c r="X69" s="100">
        <f t="shared" si="231"/>
        <v>0</v>
      </c>
      <c r="Y69" s="100">
        <f t="shared" si="231"/>
        <v>0</v>
      </c>
      <c r="Z69" s="100">
        <f t="shared" si="231"/>
        <v>0</v>
      </c>
      <c r="AA69" s="100">
        <f t="shared" si="231"/>
        <v>0</v>
      </c>
      <c r="AB69" s="100">
        <f t="shared" si="231"/>
        <v>0</v>
      </c>
      <c r="AC69" s="100">
        <f t="shared" si="231"/>
        <v>0</v>
      </c>
      <c r="AD69" s="100">
        <f t="shared" ref="AD69:BB69" si="233">IFERROR($B69/AD24,0)</f>
        <v>0</v>
      </c>
      <c r="AE69" s="100">
        <f t="shared" si="233"/>
        <v>0</v>
      </c>
      <c r="AF69" s="100">
        <f t="shared" si="233"/>
        <v>0</v>
      </c>
      <c r="AG69" s="100">
        <f t="shared" si="233"/>
        <v>0</v>
      </c>
      <c r="AH69" s="100">
        <f t="shared" si="233"/>
        <v>0</v>
      </c>
      <c r="AI69" s="100">
        <f t="shared" si="233"/>
        <v>0</v>
      </c>
      <c r="AJ69" s="100">
        <f t="shared" si="233"/>
        <v>0</v>
      </c>
      <c r="AK69" s="100">
        <f t="shared" si="233"/>
        <v>0</v>
      </c>
      <c r="AL69" s="100">
        <f t="shared" si="233"/>
        <v>0</v>
      </c>
      <c r="AM69" s="100">
        <f t="shared" si="233"/>
        <v>0</v>
      </c>
      <c r="AN69" s="100">
        <f t="shared" si="233"/>
        <v>0</v>
      </c>
      <c r="AO69" s="100">
        <f t="shared" si="233"/>
        <v>0</v>
      </c>
      <c r="AP69" s="100">
        <f t="shared" si="233"/>
        <v>0</v>
      </c>
      <c r="AQ69" s="100">
        <f t="shared" si="233"/>
        <v>0</v>
      </c>
      <c r="AR69" s="100">
        <f t="shared" si="233"/>
        <v>0</v>
      </c>
      <c r="AS69" s="100">
        <f t="shared" si="233"/>
        <v>0</v>
      </c>
      <c r="AT69" s="100">
        <f t="shared" si="233"/>
        <v>0</v>
      </c>
      <c r="AU69" s="100">
        <f t="shared" ref="AU69" si="234">IFERROR($B69/AU24,0)</f>
        <v>0</v>
      </c>
      <c r="AV69" s="100">
        <f t="shared" si="233"/>
        <v>0</v>
      </c>
      <c r="AW69" s="100">
        <f t="shared" si="233"/>
        <v>0</v>
      </c>
      <c r="AX69" s="100">
        <f t="shared" si="233"/>
        <v>0</v>
      </c>
      <c r="AY69" s="100">
        <f t="shared" si="233"/>
        <v>0</v>
      </c>
      <c r="AZ69" s="100">
        <f t="shared" si="233"/>
        <v>0</v>
      </c>
      <c r="BA69" s="100">
        <f t="shared" si="233"/>
        <v>0</v>
      </c>
      <c r="BB69" s="100">
        <f t="shared" si="233"/>
        <v>0</v>
      </c>
      <c r="BC69" s="101">
        <f t="shared" si="224"/>
        <v>0</v>
      </c>
      <c r="BD69" s="101">
        <f>IFERROR(s_RadSpec!$H$24*(BD24/$B69),".")</f>
        <v>0</v>
      </c>
      <c r="BE69" s="101">
        <f>IFERROR(s_RadSpec!$H$24*(BE24/$B69),".")</f>
        <v>0</v>
      </c>
      <c r="BF69" s="101">
        <f>IFERROR(s_RadSpec!$H$24*(BF24/$B69),".")</f>
        <v>0</v>
      </c>
      <c r="BG69" s="101">
        <f>IFERROR(s_RadSpec!$H$24*(BG24/$B69),".")</f>
        <v>0</v>
      </c>
      <c r="BH69" s="101">
        <f>IFERROR(s_RadSpec!$H$24*(BH24/$B69),".")</f>
        <v>0</v>
      </c>
      <c r="BI69" s="101">
        <f>IFERROR(s_RadSpec!$H$24*(BI24/$B69),".")</f>
        <v>0</v>
      </c>
      <c r="BJ69" s="101">
        <f>IFERROR(s_RadSpec!$H$24*(BJ24/$B69),".")</f>
        <v>0</v>
      </c>
      <c r="BK69" s="101">
        <f>IFERROR(s_RadSpec!$H$24*(BK24/$B69),".")</f>
        <v>0</v>
      </c>
      <c r="BL69" s="101">
        <f>IFERROR(s_RadSpec!$H$24*(BL24/$B69),".")</f>
        <v>0</v>
      </c>
      <c r="BM69" s="101">
        <f>IFERROR(s_RadSpec!$H$24*(BM24/$B69),".")</f>
        <v>0</v>
      </c>
      <c r="BN69" s="101">
        <f>IFERROR(s_RadSpec!$H$24*(BN24/$B69),".")</f>
        <v>0</v>
      </c>
      <c r="BO69" s="101">
        <f>IFERROR(s_RadSpec!$H$24*(BO24/$B69),".")</f>
        <v>0</v>
      </c>
      <c r="BP69" s="101">
        <f>IFERROR(s_RadSpec!$H$24*(BP24/$B69),".")</f>
        <v>0</v>
      </c>
      <c r="BQ69" s="101">
        <f>IFERROR(s_RadSpec!$H$24*(BQ24/$B69),".")</f>
        <v>0</v>
      </c>
      <c r="BR69" s="101">
        <f>IFERROR(s_RadSpec!$H$24*(BR24/$B69),".")</f>
        <v>0</v>
      </c>
      <c r="BS69" s="101">
        <f>IFERROR(s_RadSpec!$H$24*(BS24/$B69),".")</f>
        <v>0</v>
      </c>
      <c r="BT69" s="101">
        <f>IFERROR(s_RadSpec!$H$24*(BT24/$B69),".")</f>
        <v>0</v>
      </c>
      <c r="BU69" s="101">
        <f>IFERROR(s_RadSpec!$H$24*(BU24/$B69),".")</f>
        <v>0</v>
      </c>
      <c r="BV69" s="101">
        <f>IFERROR(s_RadSpec!$H$24*(BV24/$B69),".")</f>
        <v>0</v>
      </c>
      <c r="BW69" s="101">
        <f>IFERROR(s_RadSpec!$H$24*(BW24/$B69),".")</f>
        <v>0</v>
      </c>
      <c r="BX69" s="101">
        <f>IFERROR(s_RadSpec!$H$24*(BX24/$B69),".")</f>
        <v>0</v>
      </c>
      <c r="BY69" s="101">
        <f>IFERROR(s_RadSpec!$H$24*(BY24/$B69),".")</f>
        <v>0</v>
      </c>
      <c r="BZ69" s="101">
        <f>IFERROR(s_RadSpec!$H$24*(BZ24/$B69),".")</f>
        <v>0</v>
      </c>
      <c r="CA69" s="101">
        <f>IFERROR(s_RadSpec!$H$24*(CA24/$B69),".")</f>
        <v>0</v>
      </c>
      <c r="CB69" s="101">
        <f>IFERROR(s_RadSpec!$H$24*(CB24/$B69),".")</f>
        <v>0</v>
      </c>
    </row>
    <row r="70" spans="1:80" x14ac:dyDescent="0.25">
      <c r="A70" s="99" t="s">
        <v>1091</v>
      </c>
      <c r="B70" s="90">
        <v>0.99979000004200003</v>
      </c>
      <c r="C70" s="100">
        <f t="shared" ref="C70" si="235">IFERROR($B70/C20,0)</f>
        <v>0</v>
      </c>
      <c r="D70" s="100">
        <f t="shared" ref="D70:AC70" si="236">IFERROR($B70/D20,0)</f>
        <v>0</v>
      </c>
      <c r="E70" s="100">
        <f t="shared" si="236"/>
        <v>0</v>
      </c>
      <c r="F70" s="100">
        <f t="shared" si="236"/>
        <v>0</v>
      </c>
      <c r="G70" s="100">
        <f t="shared" si="236"/>
        <v>0</v>
      </c>
      <c r="H70" s="100">
        <f t="shared" si="236"/>
        <v>0</v>
      </c>
      <c r="I70" s="100">
        <f t="shared" si="236"/>
        <v>0</v>
      </c>
      <c r="J70" s="100">
        <f t="shared" si="236"/>
        <v>0</v>
      </c>
      <c r="K70" s="100">
        <f t="shared" si="236"/>
        <v>0</v>
      </c>
      <c r="L70" s="100">
        <f t="shared" si="236"/>
        <v>0</v>
      </c>
      <c r="M70" s="100">
        <f t="shared" si="236"/>
        <v>0</v>
      </c>
      <c r="N70" s="100">
        <f t="shared" si="236"/>
        <v>0</v>
      </c>
      <c r="O70" s="100">
        <f t="shared" si="236"/>
        <v>0</v>
      </c>
      <c r="P70" s="100">
        <f t="shared" si="236"/>
        <v>0</v>
      </c>
      <c r="Q70" s="100">
        <f t="shared" si="236"/>
        <v>0</v>
      </c>
      <c r="R70" s="100">
        <f t="shared" si="236"/>
        <v>0</v>
      </c>
      <c r="S70" s="100">
        <f t="shared" si="236"/>
        <v>0</v>
      </c>
      <c r="T70" s="100">
        <f t="shared" si="236"/>
        <v>0</v>
      </c>
      <c r="U70" s="100">
        <f t="shared" ref="U70" si="237">IFERROR($B70/U20,0)</f>
        <v>0</v>
      </c>
      <c r="V70" s="100">
        <f t="shared" si="236"/>
        <v>0</v>
      </c>
      <c r="W70" s="100">
        <f t="shared" si="236"/>
        <v>0</v>
      </c>
      <c r="X70" s="100">
        <f t="shared" si="236"/>
        <v>0</v>
      </c>
      <c r="Y70" s="100">
        <f t="shared" si="236"/>
        <v>0</v>
      </c>
      <c r="Z70" s="100">
        <f t="shared" si="236"/>
        <v>0</v>
      </c>
      <c r="AA70" s="100">
        <f t="shared" si="236"/>
        <v>0</v>
      </c>
      <c r="AB70" s="100">
        <f t="shared" si="236"/>
        <v>0</v>
      </c>
      <c r="AC70" s="100">
        <f t="shared" si="236"/>
        <v>0</v>
      </c>
      <c r="AD70" s="100">
        <f t="shared" ref="AD70:BB70" si="238">IFERROR($B70/AD20,0)</f>
        <v>0</v>
      </c>
      <c r="AE70" s="100">
        <f t="shared" si="238"/>
        <v>0</v>
      </c>
      <c r="AF70" s="100">
        <f t="shared" si="238"/>
        <v>0</v>
      </c>
      <c r="AG70" s="100">
        <f t="shared" si="238"/>
        <v>0</v>
      </c>
      <c r="AH70" s="100">
        <f t="shared" si="238"/>
        <v>0</v>
      </c>
      <c r="AI70" s="100">
        <f t="shared" si="238"/>
        <v>0</v>
      </c>
      <c r="AJ70" s="100">
        <f t="shared" si="238"/>
        <v>0</v>
      </c>
      <c r="AK70" s="100">
        <f t="shared" si="238"/>
        <v>0</v>
      </c>
      <c r="AL70" s="100">
        <f t="shared" si="238"/>
        <v>0</v>
      </c>
      <c r="AM70" s="100">
        <f t="shared" si="238"/>
        <v>0</v>
      </c>
      <c r="AN70" s="100">
        <f t="shared" si="238"/>
        <v>0</v>
      </c>
      <c r="AO70" s="100">
        <f t="shared" si="238"/>
        <v>0</v>
      </c>
      <c r="AP70" s="100">
        <f t="shared" si="238"/>
        <v>0</v>
      </c>
      <c r="AQ70" s="100">
        <f t="shared" si="238"/>
        <v>0</v>
      </c>
      <c r="AR70" s="100">
        <f t="shared" si="238"/>
        <v>0</v>
      </c>
      <c r="AS70" s="100">
        <f t="shared" si="238"/>
        <v>0</v>
      </c>
      <c r="AT70" s="100">
        <f t="shared" si="238"/>
        <v>0</v>
      </c>
      <c r="AU70" s="100">
        <f t="shared" ref="AU70" si="239">IFERROR($B70/AU20,0)</f>
        <v>0</v>
      </c>
      <c r="AV70" s="100">
        <f t="shared" si="238"/>
        <v>0</v>
      </c>
      <c r="AW70" s="100">
        <f t="shared" si="238"/>
        <v>0</v>
      </c>
      <c r="AX70" s="100">
        <f t="shared" si="238"/>
        <v>0</v>
      </c>
      <c r="AY70" s="100">
        <f t="shared" si="238"/>
        <v>0</v>
      </c>
      <c r="AZ70" s="100">
        <f t="shared" si="238"/>
        <v>0</v>
      </c>
      <c r="BA70" s="100">
        <f t="shared" si="238"/>
        <v>0</v>
      </c>
      <c r="BB70" s="100">
        <f t="shared" si="238"/>
        <v>0</v>
      </c>
      <c r="BC70" s="101">
        <f t="shared" si="224"/>
        <v>0</v>
      </c>
      <c r="BD70" s="101">
        <f>IFERROR(s_RadSpec!$H$20*(BD20/$B70),".")</f>
        <v>0</v>
      </c>
      <c r="BE70" s="101">
        <f>IFERROR(s_RadSpec!$H$20*(BE20/$B70),".")</f>
        <v>0</v>
      </c>
      <c r="BF70" s="101">
        <f>IFERROR(s_RadSpec!$H$20*(BF20/$B70),".")</f>
        <v>0</v>
      </c>
      <c r="BG70" s="101">
        <f>IFERROR(s_RadSpec!$H$20*(BG20/$B70),".")</f>
        <v>0</v>
      </c>
      <c r="BH70" s="101">
        <f>IFERROR(s_RadSpec!$H$20*(BH20/$B70),".")</f>
        <v>0</v>
      </c>
      <c r="BI70" s="101">
        <f>IFERROR(s_RadSpec!$H$20*(BI20/$B70),".")</f>
        <v>0</v>
      </c>
      <c r="BJ70" s="101">
        <f>IFERROR(s_RadSpec!$H$20*(BJ20/$B70),".")</f>
        <v>0</v>
      </c>
      <c r="BK70" s="101">
        <f>IFERROR(s_RadSpec!$H$20*(BK20/$B70),".")</f>
        <v>0</v>
      </c>
      <c r="BL70" s="101">
        <f>IFERROR(s_RadSpec!$H$20*(BL20/$B70),".")</f>
        <v>0</v>
      </c>
      <c r="BM70" s="101">
        <f>IFERROR(s_RadSpec!$H$20*(BM20/$B70),".")</f>
        <v>0</v>
      </c>
      <c r="BN70" s="101">
        <f>IFERROR(s_RadSpec!$H$20*(BN20/$B70),".")</f>
        <v>0</v>
      </c>
      <c r="BO70" s="101">
        <f>IFERROR(s_RadSpec!$H$20*(BO20/$B70),".")</f>
        <v>0</v>
      </c>
      <c r="BP70" s="101">
        <f>IFERROR(s_RadSpec!$H$20*(BP20/$B70),".")</f>
        <v>0</v>
      </c>
      <c r="BQ70" s="101">
        <f>IFERROR(s_RadSpec!$H$20*(BQ20/$B70),".")</f>
        <v>0</v>
      </c>
      <c r="BR70" s="101">
        <f>IFERROR(s_RadSpec!$H$20*(BR20/$B70),".")</f>
        <v>0</v>
      </c>
      <c r="BS70" s="101">
        <f>IFERROR(s_RadSpec!$H$20*(BS20/$B70),".")</f>
        <v>0</v>
      </c>
      <c r="BT70" s="101">
        <f>IFERROR(s_RadSpec!$H$20*(BT20/$B70),".")</f>
        <v>0</v>
      </c>
      <c r="BU70" s="101">
        <f>IFERROR(s_RadSpec!$H$20*(BU20/$B70),".")</f>
        <v>0</v>
      </c>
      <c r="BV70" s="101">
        <f>IFERROR(s_RadSpec!$H$20*(BV20/$B70),".")</f>
        <v>0</v>
      </c>
      <c r="BW70" s="101">
        <f>IFERROR(s_RadSpec!$H$20*(BW20/$B70),".")</f>
        <v>0</v>
      </c>
      <c r="BX70" s="101">
        <f>IFERROR(s_RadSpec!$H$20*(BX20/$B70),".")</f>
        <v>0</v>
      </c>
      <c r="BY70" s="101">
        <f>IFERROR(s_RadSpec!$H$20*(BY20/$B70),".")</f>
        <v>0</v>
      </c>
      <c r="BZ70" s="101">
        <f>IFERROR(s_RadSpec!$H$20*(BZ20/$B70),".")</f>
        <v>0</v>
      </c>
      <c r="CA70" s="101">
        <f>IFERROR(s_RadSpec!$H$20*(CA20/$B70),".")</f>
        <v>0</v>
      </c>
      <c r="CB70" s="101">
        <f>IFERROR(s_RadSpec!$H$20*(CB20/$B70),".")</f>
        <v>0</v>
      </c>
    </row>
    <row r="71" spans="1:80" x14ac:dyDescent="0.25">
      <c r="A71" s="99" t="s">
        <v>1092</v>
      </c>
      <c r="B71" s="90">
        <v>2.0999995799999999E-4</v>
      </c>
      <c r="C71" s="100">
        <f t="shared" ref="C71" si="240">IFERROR($B71/C29,0)</f>
        <v>0</v>
      </c>
      <c r="D71" s="100">
        <f t="shared" ref="D71:AC71" si="241">IFERROR($B71/D29,0)</f>
        <v>0</v>
      </c>
      <c r="E71" s="100">
        <f t="shared" si="241"/>
        <v>0</v>
      </c>
      <c r="F71" s="100">
        <f t="shared" si="241"/>
        <v>0</v>
      </c>
      <c r="G71" s="100">
        <f t="shared" si="241"/>
        <v>0</v>
      </c>
      <c r="H71" s="100">
        <f t="shared" si="241"/>
        <v>0</v>
      </c>
      <c r="I71" s="100">
        <f t="shared" si="241"/>
        <v>0</v>
      </c>
      <c r="J71" s="100">
        <f t="shared" si="241"/>
        <v>0</v>
      </c>
      <c r="K71" s="100">
        <f t="shared" si="241"/>
        <v>0</v>
      </c>
      <c r="L71" s="100">
        <f t="shared" si="241"/>
        <v>0</v>
      </c>
      <c r="M71" s="100">
        <f t="shared" si="241"/>
        <v>0</v>
      </c>
      <c r="N71" s="100">
        <f t="shared" si="241"/>
        <v>0</v>
      </c>
      <c r="O71" s="100">
        <f t="shared" si="241"/>
        <v>0</v>
      </c>
      <c r="P71" s="100">
        <f t="shared" si="241"/>
        <v>0</v>
      </c>
      <c r="Q71" s="100">
        <f t="shared" si="241"/>
        <v>0</v>
      </c>
      <c r="R71" s="100">
        <f t="shared" si="241"/>
        <v>0</v>
      </c>
      <c r="S71" s="100">
        <f t="shared" si="241"/>
        <v>0</v>
      </c>
      <c r="T71" s="100">
        <f t="shared" si="241"/>
        <v>0</v>
      </c>
      <c r="U71" s="100">
        <f t="shared" ref="U71" si="242">IFERROR($B71/U29,0)</f>
        <v>0</v>
      </c>
      <c r="V71" s="100">
        <f t="shared" si="241"/>
        <v>0</v>
      </c>
      <c r="W71" s="100">
        <f t="shared" si="241"/>
        <v>0</v>
      </c>
      <c r="X71" s="100">
        <f t="shared" si="241"/>
        <v>0</v>
      </c>
      <c r="Y71" s="100">
        <f t="shared" si="241"/>
        <v>0</v>
      </c>
      <c r="Z71" s="100">
        <f t="shared" si="241"/>
        <v>0</v>
      </c>
      <c r="AA71" s="100">
        <f t="shared" si="241"/>
        <v>0</v>
      </c>
      <c r="AB71" s="100">
        <f t="shared" si="241"/>
        <v>0</v>
      </c>
      <c r="AC71" s="100">
        <f t="shared" si="241"/>
        <v>0</v>
      </c>
      <c r="AD71" s="100">
        <f t="shared" ref="AD71:BB71" si="243">IFERROR($B71/AD29,0)</f>
        <v>0</v>
      </c>
      <c r="AE71" s="100">
        <f t="shared" si="243"/>
        <v>0</v>
      </c>
      <c r="AF71" s="100">
        <f t="shared" si="243"/>
        <v>0</v>
      </c>
      <c r="AG71" s="100">
        <f t="shared" si="243"/>
        <v>0</v>
      </c>
      <c r="AH71" s="100">
        <f t="shared" si="243"/>
        <v>0</v>
      </c>
      <c r="AI71" s="100">
        <f t="shared" si="243"/>
        <v>0</v>
      </c>
      <c r="AJ71" s="100">
        <f t="shared" si="243"/>
        <v>0</v>
      </c>
      <c r="AK71" s="100">
        <f t="shared" si="243"/>
        <v>0</v>
      </c>
      <c r="AL71" s="100">
        <f t="shared" si="243"/>
        <v>0</v>
      </c>
      <c r="AM71" s="100">
        <f t="shared" si="243"/>
        <v>0</v>
      </c>
      <c r="AN71" s="100">
        <f t="shared" si="243"/>
        <v>0</v>
      </c>
      <c r="AO71" s="100">
        <f t="shared" si="243"/>
        <v>0</v>
      </c>
      <c r="AP71" s="100">
        <f t="shared" si="243"/>
        <v>0</v>
      </c>
      <c r="AQ71" s="100">
        <f t="shared" si="243"/>
        <v>0</v>
      </c>
      <c r="AR71" s="100">
        <f t="shared" si="243"/>
        <v>0</v>
      </c>
      <c r="AS71" s="100">
        <f t="shared" si="243"/>
        <v>0</v>
      </c>
      <c r="AT71" s="100">
        <f t="shared" si="243"/>
        <v>0</v>
      </c>
      <c r="AU71" s="100">
        <f t="shared" ref="AU71" si="244">IFERROR($B71/AU29,0)</f>
        <v>0</v>
      </c>
      <c r="AV71" s="100">
        <f t="shared" si="243"/>
        <v>0</v>
      </c>
      <c r="AW71" s="100">
        <f t="shared" si="243"/>
        <v>0</v>
      </c>
      <c r="AX71" s="100">
        <f t="shared" si="243"/>
        <v>0</v>
      </c>
      <c r="AY71" s="100">
        <f t="shared" si="243"/>
        <v>0</v>
      </c>
      <c r="AZ71" s="100">
        <f t="shared" si="243"/>
        <v>0</v>
      </c>
      <c r="BA71" s="100">
        <f t="shared" si="243"/>
        <v>0</v>
      </c>
      <c r="BB71" s="100">
        <f t="shared" si="243"/>
        <v>0</v>
      </c>
      <c r="BC71" s="101">
        <f t="shared" si="224"/>
        <v>0</v>
      </c>
      <c r="BD71" s="101">
        <f>IFERROR(s_RadSpec!$H$29*(BD29/$B71),".")</f>
        <v>0</v>
      </c>
      <c r="BE71" s="101">
        <f>IFERROR(s_RadSpec!$H$29*(BE29/$B71),".")</f>
        <v>0</v>
      </c>
      <c r="BF71" s="101">
        <f>IFERROR(s_RadSpec!$H$29*(BF29/$B71),".")</f>
        <v>0</v>
      </c>
      <c r="BG71" s="101">
        <f>IFERROR(s_RadSpec!$H$29*(BG29/$B71),".")</f>
        <v>0</v>
      </c>
      <c r="BH71" s="101">
        <f>IFERROR(s_RadSpec!$H$29*(BH29/$B71),".")</f>
        <v>0</v>
      </c>
      <c r="BI71" s="101">
        <f>IFERROR(s_RadSpec!$H$29*(BI29/$B71),".")</f>
        <v>0</v>
      </c>
      <c r="BJ71" s="101">
        <f>IFERROR(s_RadSpec!$H$29*(BJ29/$B71),".")</f>
        <v>0</v>
      </c>
      <c r="BK71" s="101">
        <f>IFERROR(s_RadSpec!$H$29*(BK29/$B71),".")</f>
        <v>0</v>
      </c>
      <c r="BL71" s="101">
        <f>IFERROR(s_RadSpec!$H$29*(BL29/$B71),".")</f>
        <v>0</v>
      </c>
      <c r="BM71" s="101">
        <f>IFERROR(s_RadSpec!$H$29*(BM29/$B71),".")</f>
        <v>0</v>
      </c>
      <c r="BN71" s="101">
        <f>IFERROR(s_RadSpec!$H$29*(BN29/$B71),".")</f>
        <v>0</v>
      </c>
      <c r="BO71" s="101">
        <f>IFERROR(s_RadSpec!$H$29*(BO29/$B71),".")</f>
        <v>0</v>
      </c>
      <c r="BP71" s="101">
        <f>IFERROR(s_RadSpec!$H$29*(BP29/$B71),".")</f>
        <v>0</v>
      </c>
      <c r="BQ71" s="101">
        <f>IFERROR(s_RadSpec!$H$29*(BQ29/$B71),".")</f>
        <v>0</v>
      </c>
      <c r="BR71" s="101">
        <f>IFERROR(s_RadSpec!$H$29*(BR29/$B71),".")</f>
        <v>0</v>
      </c>
      <c r="BS71" s="101">
        <f>IFERROR(s_RadSpec!$H$29*(BS29/$B71),".")</f>
        <v>0</v>
      </c>
      <c r="BT71" s="101">
        <f>IFERROR(s_RadSpec!$H$29*(BT29/$B71),".")</f>
        <v>0</v>
      </c>
      <c r="BU71" s="101">
        <f>IFERROR(s_RadSpec!$H$29*(BU29/$B71),".")</f>
        <v>0</v>
      </c>
      <c r="BV71" s="101">
        <f>IFERROR(s_RadSpec!$H$29*(BV29/$B71),".")</f>
        <v>0</v>
      </c>
      <c r="BW71" s="101">
        <f>IFERROR(s_RadSpec!$H$29*(BW29/$B71),".")</f>
        <v>0</v>
      </c>
      <c r="BX71" s="101">
        <f>IFERROR(s_RadSpec!$H$29*(BX29/$B71),".")</f>
        <v>0</v>
      </c>
      <c r="BY71" s="101">
        <f>IFERROR(s_RadSpec!$H$29*(BY29/$B71),".")</f>
        <v>0</v>
      </c>
      <c r="BZ71" s="101">
        <f>IFERROR(s_RadSpec!$H$29*(BZ29/$B71),".")</f>
        <v>0</v>
      </c>
      <c r="CA71" s="101">
        <f>IFERROR(s_RadSpec!$H$29*(CA29/$B71),".")</f>
        <v>0</v>
      </c>
      <c r="CB71" s="101">
        <f>IFERROR(s_RadSpec!$H$29*(CB29/$B71),".")</f>
        <v>0</v>
      </c>
    </row>
    <row r="72" spans="1:80" x14ac:dyDescent="0.25">
      <c r="A72" s="99" t="s">
        <v>1093</v>
      </c>
      <c r="B72" s="90">
        <v>1</v>
      </c>
      <c r="C72" s="100">
        <f t="shared" ref="C72" si="245">IFERROR($B72/C16,0)</f>
        <v>14.23686</v>
      </c>
      <c r="D72" s="100">
        <f t="shared" ref="D72:AC72" si="246">IFERROR($B72/D16,0)</f>
        <v>3.559215</v>
      </c>
      <c r="E72" s="100">
        <f t="shared" si="246"/>
        <v>3.559215</v>
      </c>
      <c r="F72" s="100">
        <f t="shared" si="246"/>
        <v>3.559215</v>
      </c>
      <c r="G72" s="100">
        <f t="shared" si="246"/>
        <v>3.559215</v>
      </c>
      <c r="H72" s="100">
        <f t="shared" si="246"/>
        <v>3.559215</v>
      </c>
      <c r="I72" s="100">
        <f t="shared" si="246"/>
        <v>3.559215</v>
      </c>
      <c r="J72" s="100">
        <f t="shared" si="246"/>
        <v>3.559215</v>
      </c>
      <c r="K72" s="100">
        <f t="shared" si="246"/>
        <v>3.559215</v>
      </c>
      <c r="L72" s="100">
        <f t="shared" si="246"/>
        <v>3.559215</v>
      </c>
      <c r="M72" s="100">
        <f t="shared" si="246"/>
        <v>3.559215</v>
      </c>
      <c r="N72" s="100">
        <f t="shared" si="246"/>
        <v>3.559215</v>
      </c>
      <c r="O72" s="100">
        <f t="shared" si="246"/>
        <v>3.559215</v>
      </c>
      <c r="P72" s="100">
        <f t="shared" si="246"/>
        <v>3.559215</v>
      </c>
      <c r="Q72" s="100">
        <f t="shared" si="246"/>
        <v>3.559215</v>
      </c>
      <c r="R72" s="100">
        <f t="shared" si="246"/>
        <v>3.559215</v>
      </c>
      <c r="S72" s="100">
        <f t="shared" si="246"/>
        <v>3.559215</v>
      </c>
      <c r="T72" s="100">
        <f t="shared" si="246"/>
        <v>3.559215</v>
      </c>
      <c r="U72" s="100">
        <f t="shared" ref="U72" si="247">IFERROR($B72/U16,0)</f>
        <v>3.559215</v>
      </c>
      <c r="V72" s="100">
        <f t="shared" si="246"/>
        <v>3.559215</v>
      </c>
      <c r="W72" s="100">
        <f t="shared" si="246"/>
        <v>3.559215</v>
      </c>
      <c r="X72" s="100">
        <f t="shared" si="246"/>
        <v>3.559215</v>
      </c>
      <c r="Y72" s="100">
        <f t="shared" si="246"/>
        <v>3.559215</v>
      </c>
      <c r="Z72" s="100">
        <f t="shared" si="246"/>
        <v>3.559215</v>
      </c>
      <c r="AA72" s="100">
        <f t="shared" si="246"/>
        <v>3.559215</v>
      </c>
      <c r="AB72" s="100">
        <f t="shared" si="246"/>
        <v>3.559215</v>
      </c>
      <c r="AC72" s="100">
        <f t="shared" si="246"/>
        <v>14.23686</v>
      </c>
      <c r="AD72" s="100">
        <f t="shared" ref="AD72:BB72" si="248">IFERROR($B72/AD16,0)</f>
        <v>3.559215</v>
      </c>
      <c r="AE72" s="100">
        <f t="shared" si="248"/>
        <v>3.559215</v>
      </c>
      <c r="AF72" s="100">
        <f t="shared" si="248"/>
        <v>3.559215</v>
      </c>
      <c r="AG72" s="100">
        <f t="shared" si="248"/>
        <v>3.559215</v>
      </c>
      <c r="AH72" s="100">
        <f t="shared" si="248"/>
        <v>3.559215</v>
      </c>
      <c r="AI72" s="100">
        <f t="shared" si="248"/>
        <v>3.559215</v>
      </c>
      <c r="AJ72" s="100">
        <f t="shared" si="248"/>
        <v>3.559215</v>
      </c>
      <c r="AK72" s="100">
        <f t="shared" si="248"/>
        <v>3.559215</v>
      </c>
      <c r="AL72" s="100">
        <f t="shared" si="248"/>
        <v>3.559215</v>
      </c>
      <c r="AM72" s="100">
        <f t="shared" si="248"/>
        <v>3.559215</v>
      </c>
      <c r="AN72" s="100">
        <f t="shared" si="248"/>
        <v>3.559215</v>
      </c>
      <c r="AO72" s="100">
        <f t="shared" si="248"/>
        <v>3.559215</v>
      </c>
      <c r="AP72" s="100">
        <f t="shared" si="248"/>
        <v>3.559215</v>
      </c>
      <c r="AQ72" s="100">
        <f t="shared" si="248"/>
        <v>3.559215</v>
      </c>
      <c r="AR72" s="100">
        <f t="shared" si="248"/>
        <v>3.559215</v>
      </c>
      <c r="AS72" s="100">
        <f t="shared" si="248"/>
        <v>3.559215</v>
      </c>
      <c r="AT72" s="100">
        <f t="shared" si="248"/>
        <v>3.559215</v>
      </c>
      <c r="AU72" s="100">
        <f t="shared" ref="AU72" si="249">IFERROR($B72/AU16,0)</f>
        <v>3.559215</v>
      </c>
      <c r="AV72" s="100">
        <f t="shared" si="248"/>
        <v>3.559215</v>
      </c>
      <c r="AW72" s="100">
        <f t="shared" si="248"/>
        <v>3.559215</v>
      </c>
      <c r="AX72" s="100">
        <f t="shared" si="248"/>
        <v>3.559215</v>
      </c>
      <c r="AY72" s="100">
        <f t="shared" si="248"/>
        <v>3.559215</v>
      </c>
      <c r="AZ72" s="100">
        <f t="shared" si="248"/>
        <v>3.559215</v>
      </c>
      <c r="BA72" s="100">
        <f t="shared" si="248"/>
        <v>3.559215</v>
      </c>
      <c r="BB72" s="100">
        <f t="shared" si="248"/>
        <v>3.559215</v>
      </c>
      <c r="BC72" s="101">
        <f t="shared" si="224"/>
        <v>7.1184299999999998E-4</v>
      </c>
      <c r="BD72" s="101">
        <f>IFERROR(s_RadSpec!$H$16*(BD16/$B72),".")</f>
        <v>1.7796075E-4</v>
      </c>
      <c r="BE72" s="101">
        <f>IFERROR(s_RadSpec!$H$16*(BE16/$B72),".")</f>
        <v>1.7796075E-4</v>
      </c>
      <c r="BF72" s="101">
        <f>IFERROR(s_RadSpec!$H$16*(BF16/$B72),".")</f>
        <v>1.7796075E-4</v>
      </c>
      <c r="BG72" s="101">
        <f>IFERROR(s_RadSpec!$H$16*(BG16/$B72),".")</f>
        <v>1.7796075E-4</v>
      </c>
      <c r="BH72" s="101">
        <f>IFERROR(s_RadSpec!$H$16*(BH16/$B72),".")</f>
        <v>1.7796075E-4</v>
      </c>
      <c r="BI72" s="101">
        <f>IFERROR(s_RadSpec!$H$16*(BI16/$B72),".")</f>
        <v>1.7796075E-4</v>
      </c>
      <c r="BJ72" s="101">
        <f>IFERROR(s_RadSpec!$H$16*(BJ16/$B72),".")</f>
        <v>1.7796075E-4</v>
      </c>
      <c r="BK72" s="101">
        <f>IFERROR(s_RadSpec!$H$16*(BK16/$B72),".")</f>
        <v>1.7796075E-4</v>
      </c>
      <c r="BL72" s="101">
        <f>IFERROR(s_RadSpec!$H$16*(BL16/$B72),".")</f>
        <v>1.7796075E-4</v>
      </c>
      <c r="BM72" s="101">
        <f>IFERROR(s_RadSpec!$H$16*(BM16/$B72),".")</f>
        <v>1.7796075E-4</v>
      </c>
      <c r="BN72" s="101">
        <f>IFERROR(s_RadSpec!$H$16*(BN16/$B72),".")</f>
        <v>1.7796075E-4</v>
      </c>
      <c r="BO72" s="101">
        <f>IFERROR(s_RadSpec!$H$16*(BO16/$B72),".")</f>
        <v>1.7796075E-4</v>
      </c>
      <c r="BP72" s="101">
        <f>IFERROR(s_RadSpec!$H$16*(BP16/$B72),".")</f>
        <v>1.7796075E-4</v>
      </c>
      <c r="BQ72" s="101">
        <f>IFERROR(s_RadSpec!$H$16*(BQ16/$B72),".")</f>
        <v>1.7796075E-4</v>
      </c>
      <c r="BR72" s="101">
        <f>IFERROR(s_RadSpec!$H$16*(BR16/$B72),".")</f>
        <v>1.7796075E-4</v>
      </c>
      <c r="BS72" s="101">
        <f>IFERROR(s_RadSpec!$H$16*(BS16/$B72),".")</f>
        <v>1.7796075E-4</v>
      </c>
      <c r="BT72" s="101">
        <f>IFERROR(s_RadSpec!$H$16*(BT16/$B72),".")</f>
        <v>1.7796075E-4</v>
      </c>
      <c r="BU72" s="101">
        <f>IFERROR(s_RadSpec!$H$16*(BU16/$B72),".")</f>
        <v>1.7796075E-4</v>
      </c>
      <c r="BV72" s="101">
        <f>IFERROR(s_RadSpec!$H$16*(BV16/$B72),".")</f>
        <v>1.7796075E-4</v>
      </c>
      <c r="BW72" s="101">
        <f>IFERROR(s_RadSpec!$H$16*(BW16/$B72),".")</f>
        <v>1.7796075E-4</v>
      </c>
      <c r="BX72" s="101">
        <f>IFERROR(s_RadSpec!$H$16*(BX16/$B72),".")</f>
        <v>1.7796075E-4</v>
      </c>
      <c r="BY72" s="101">
        <f>IFERROR(s_RadSpec!$H$16*(BY16/$B72),".")</f>
        <v>1.7796075E-4</v>
      </c>
      <c r="BZ72" s="101">
        <f>IFERROR(s_RadSpec!$H$16*(BZ16/$B72),".")</f>
        <v>1.7796075E-4</v>
      </c>
      <c r="CA72" s="101">
        <f>IFERROR(s_RadSpec!$H$16*(CA16/$B72),".")</f>
        <v>1.7796075E-4</v>
      </c>
      <c r="CB72" s="101">
        <f>IFERROR(s_RadSpec!$H$16*(CB16/$B72),".")</f>
        <v>1.7796075E-4</v>
      </c>
    </row>
    <row r="73" spans="1:80" x14ac:dyDescent="0.25">
      <c r="A73" s="99" t="s">
        <v>1094</v>
      </c>
      <c r="B73" s="90">
        <v>1</v>
      </c>
      <c r="C73" s="100">
        <f t="shared" ref="C73" si="250">IFERROR($B73/C7,0)</f>
        <v>0.15759039999999999</v>
      </c>
      <c r="D73" s="100">
        <f t="shared" ref="D73:AC73" si="251">IFERROR($B73/D7,0)</f>
        <v>3.9397599999999998E-2</v>
      </c>
      <c r="E73" s="100">
        <f t="shared" si="251"/>
        <v>3.9397599999999998E-2</v>
      </c>
      <c r="F73" s="100">
        <f t="shared" si="251"/>
        <v>3.9397599999999998E-2</v>
      </c>
      <c r="G73" s="100">
        <f t="shared" si="251"/>
        <v>3.9397599999999998E-2</v>
      </c>
      <c r="H73" s="100">
        <f t="shared" si="251"/>
        <v>3.9397599999999998E-2</v>
      </c>
      <c r="I73" s="100">
        <f t="shared" si="251"/>
        <v>3.9397599999999998E-2</v>
      </c>
      <c r="J73" s="100">
        <f t="shared" si="251"/>
        <v>3.9397599999999998E-2</v>
      </c>
      <c r="K73" s="100">
        <f t="shared" si="251"/>
        <v>3.9397599999999998E-2</v>
      </c>
      <c r="L73" s="100">
        <f t="shared" si="251"/>
        <v>3.9397599999999998E-2</v>
      </c>
      <c r="M73" s="100">
        <f t="shared" si="251"/>
        <v>3.9397599999999998E-2</v>
      </c>
      <c r="N73" s="100">
        <f t="shared" si="251"/>
        <v>3.9397599999999998E-2</v>
      </c>
      <c r="O73" s="100">
        <f t="shared" si="251"/>
        <v>3.9397599999999998E-2</v>
      </c>
      <c r="P73" s="100">
        <f t="shared" si="251"/>
        <v>3.9397599999999998E-2</v>
      </c>
      <c r="Q73" s="100">
        <f t="shared" si="251"/>
        <v>3.9397599999999998E-2</v>
      </c>
      <c r="R73" s="100">
        <f t="shared" si="251"/>
        <v>3.9397599999999998E-2</v>
      </c>
      <c r="S73" s="100">
        <f t="shared" si="251"/>
        <v>3.9397599999999998E-2</v>
      </c>
      <c r="T73" s="100">
        <f t="shared" si="251"/>
        <v>3.9397599999999998E-2</v>
      </c>
      <c r="U73" s="100">
        <f t="shared" ref="U73" si="252">IFERROR($B73/U7,0)</f>
        <v>3.9397599999999998E-2</v>
      </c>
      <c r="V73" s="100">
        <f t="shared" si="251"/>
        <v>3.9397599999999998E-2</v>
      </c>
      <c r="W73" s="100">
        <f t="shared" si="251"/>
        <v>3.9397599999999998E-2</v>
      </c>
      <c r="X73" s="100">
        <f t="shared" si="251"/>
        <v>3.9397599999999998E-2</v>
      </c>
      <c r="Y73" s="100">
        <f t="shared" si="251"/>
        <v>3.9397599999999998E-2</v>
      </c>
      <c r="Z73" s="100">
        <f t="shared" si="251"/>
        <v>3.9397599999999998E-2</v>
      </c>
      <c r="AA73" s="100">
        <f t="shared" si="251"/>
        <v>3.9397599999999998E-2</v>
      </c>
      <c r="AB73" s="100">
        <f t="shared" si="251"/>
        <v>3.9397599999999998E-2</v>
      </c>
      <c r="AC73" s="100">
        <f t="shared" si="251"/>
        <v>0.15759039999999999</v>
      </c>
      <c r="AD73" s="100">
        <f t="shared" ref="AD73:BB73" si="253">IFERROR($B73/AD7,0)</f>
        <v>3.9397599999999998E-2</v>
      </c>
      <c r="AE73" s="100">
        <f t="shared" si="253"/>
        <v>3.9397599999999998E-2</v>
      </c>
      <c r="AF73" s="100">
        <f t="shared" si="253"/>
        <v>3.9397599999999998E-2</v>
      </c>
      <c r="AG73" s="100">
        <f t="shared" si="253"/>
        <v>3.9397599999999998E-2</v>
      </c>
      <c r="AH73" s="100">
        <f t="shared" si="253"/>
        <v>3.9397599999999998E-2</v>
      </c>
      <c r="AI73" s="100">
        <f t="shared" si="253"/>
        <v>3.9397599999999998E-2</v>
      </c>
      <c r="AJ73" s="100">
        <f t="shared" si="253"/>
        <v>3.9397599999999998E-2</v>
      </c>
      <c r="AK73" s="100">
        <f t="shared" si="253"/>
        <v>3.9397599999999998E-2</v>
      </c>
      <c r="AL73" s="100">
        <f t="shared" si="253"/>
        <v>3.9397599999999998E-2</v>
      </c>
      <c r="AM73" s="100">
        <f t="shared" si="253"/>
        <v>3.9397599999999998E-2</v>
      </c>
      <c r="AN73" s="100">
        <f t="shared" si="253"/>
        <v>3.9397599999999998E-2</v>
      </c>
      <c r="AO73" s="100">
        <f t="shared" si="253"/>
        <v>3.9397599999999998E-2</v>
      </c>
      <c r="AP73" s="100">
        <f t="shared" si="253"/>
        <v>3.9397599999999998E-2</v>
      </c>
      <c r="AQ73" s="100">
        <f t="shared" si="253"/>
        <v>3.9397599999999998E-2</v>
      </c>
      <c r="AR73" s="100">
        <f t="shared" si="253"/>
        <v>3.9397599999999998E-2</v>
      </c>
      <c r="AS73" s="100">
        <f t="shared" si="253"/>
        <v>3.9397599999999998E-2</v>
      </c>
      <c r="AT73" s="100">
        <f t="shared" si="253"/>
        <v>3.9397599999999998E-2</v>
      </c>
      <c r="AU73" s="100">
        <f t="shared" ref="AU73" si="254">IFERROR($B73/AU7,0)</f>
        <v>3.9397599999999998E-2</v>
      </c>
      <c r="AV73" s="100">
        <f t="shared" si="253"/>
        <v>3.9397599999999998E-2</v>
      </c>
      <c r="AW73" s="100">
        <f t="shared" si="253"/>
        <v>3.9397599999999998E-2</v>
      </c>
      <c r="AX73" s="100">
        <f t="shared" si="253"/>
        <v>3.9397599999999998E-2</v>
      </c>
      <c r="AY73" s="100">
        <f t="shared" si="253"/>
        <v>3.9397599999999998E-2</v>
      </c>
      <c r="AZ73" s="100">
        <f t="shared" si="253"/>
        <v>3.9397599999999998E-2</v>
      </c>
      <c r="BA73" s="100">
        <f t="shared" si="253"/>
        <v>3.9397599999999998E-2</v>
      </c>
      <c r="BB73" s="100">
        <f t="shared" si="253"/>
        <v>3.9397599999999998E-2</v>
      </c>
      <c r="BC73" s="101">
        <f t="shared" si="224"/>
        <v>7.8795199999999994E-6</v>
      </c>
      <c r="BD73" s="101">
        <f>IFERROR(s_RadSpec!$H$7*(BD7/$B73),".")</f>
        <v>1.9698799999999998E-6</v>
      </c>
      <c r="BE73" s="101">
        <f>IFERROR(s_RadSpec!$H$7*(BE7/$B73),".")</f>
        <v>1.9698799999999998E-6</v>
      </c>
      <c r="BF73" s="101">
        <f>IFERROR(s_RadSpec!$H$7*(BF7/$B73),".")</f>
        <v>1.9698799999999998E-6</v>
      </c>
      <c r="BG73" s="101">
        <f>IFERROR(s_RadSpec!$H$7*(BG7/$B73),".")</f>
        <v>1.9698799999999998E-6</v>
      </c>
      <c r="BH73" s="101">
        <f>IFERROR(s_RadSpec!$H$7*(BH7/$B73),".")</f>
        <v>1.9698799999999998E-6</v>
      </c>
      <c r="BI73" s="101">
        <f>IFERROR(s_RadSpec!$H$7*(BI7/$B73),".")</f>
        <v>1.9698799999999998E-6</v>
      </c>
      <c r="BJ73" s="101">
        <f>IFERROR(s_RadSpec!$H$7*(BJ7/$B73),".")</f>
        <v>1.9698799999999998E-6</v>
      </c>
      <c r="BK73" s="101">
        <f>IFERROR(s_RadSpec!$H$7*(BK7/$B73),".")</f>
        <v>1.9698799999999998E-6</v>
      </c>
      <c r="BL73" s="101">
        <f>IFERROR(s_RadSpec!$H$7*(BL7/$B73),".")</f>
        <v>1.9698799999999998E-6</v>
      </c>
      <c r="BM73" s="101">
        <f>IFERROR(s_RadSpec!$H$7*(BM7/$B73),".")</f>
        <v>1.9698799999999998E-6</v>
      </c>
      <c r="BN73" s="101">
        <f>IFERROR(s_RadSpec!$H$7*(BN7/$B73),".")</f>
        <v>1.9698799999999998E-6</v>
      </c>
      <c r="BO73" s="101">
        <f>IFERROR(s_RadSpec!$H$7*(BO7/$B73),".")</f>
        <v>1.9698799999999998E-6</v>
      </c>
      <c r="BP73" s="101">
        <f>IFERROR(s_RadSpec!$H$7*(BP7/$B73),".")</f>
        <v>1.9698799999999998E-6</v>
      </c>
      <c r="BQ73" s="101">
        <f>IFERROR(s_RadSpec!$H$7*(BQ7/$B73),".")</f>
        <v>1.9698799999999998E-6</v>
      </c>
      <c r="BR73" s="101">
        <f>IFERROR(s_RadSpec!$H$7*(BR7/$B73),".")</f>
        <v>1.9698799999999998E-6</v>
      </c>
      <c r="BS73" s="101">
        <f>IFERROR(s_RadSpec!$H$7*(BS7/$B73),".")</f>
        <v>1.9698799999999998E-6</v>
      </c>
      <c r="BT73" s="101">
        <f>IFERROR(s_RadSpec!$H$7*(BT7/$B73),".")</f>
        <v>1.9698799999999998E-6</v>
      </c>
      <c r="BU73" s="101">
        <f>IFERROR(s_RadSpec!$H$7*(BU7/$B73),".")</f>
        <v>1.9698799999999998E-6</v>
      </c>
      <c r="BV73" s="101">
        <f>IFERROR(s_RadSpec!$H$7*(BV7/$B73),".")</f>
        <v>1.9698799999999998E-6</v>
      </c>
      <c r="BW73" s="101">
        <f>IFERROR(s_RadSpec!$H$7*(BW7/$B73),".")</f>
        <v>1.9698799999999998E-6</v>
      </c>
      <c r="BX73" s="101">
        <f>IFERROR(s_RadSpec!$H$7*(BX7/$B73),".")</f>
        <v>1.9698799999999998E-6</v>
      </c>
      <c r="BY73" s="101">
        <f>IFERROR(s_RadSpec!$H$7*(BY7/$B73),".")</f>
        <v>1.9698799999999998E-6</v>
      </c>
      <c r="BZ73" s="101">
        <f>IFERROR(s_RadSpec!$H$7*(BZ7/$B73),".")</f>
        <v>1.9698799999999998E-6</v>
      </c>
      <c r="CA73" s="101">
        <f>IFERROR(s_RadSpec!$H$7*(CA7/$B73),".")</f>
        <v>1.9698799999999998E-6</v>
      </c>
      <c r="CB73" s="101">
        <f>IFERROR(s_RadSpec!$H$7*(CB7/$B73),".")</f>
        <v>1.9698799999999998E-6</v>
      </c>
    </row>
    <row r="74" spans="1:80" x14ac:dyDescent="0.25">
      <c r="A74" s="99" t="s">
        <v>1095</v>
      </c>
      <c r="B74" s="104">
        <v>1.9000000000000001E-8</v>
      </c>
      <c r="C74" s="100">
        <f t="shared" ref="C74" si="255">IFERROR($B74/C12,0)</f>
        <v>0</v>
      </c>
      <c r="D74" s="100">
        <f t="shared" ref="D74:AC74" si="256">IFERROR($B74/D12,0)</f>
        <v>0</v>
      </c>
      <c r="E74" s="100">
        <f t="shared" si="256"/>
        <v>0</v>
      </c>
      <c r="F74" s="100">
        <f t="shared" si="256"/>
        <v>0</v>
      </c>
      <c r="G74" s="100">
        <f t="shared" si="256"/>
        <v>0</v>
      </c>
      <c r="H74" s="100">
        <f t="shared" si="256"/>
        <v>0</v>
      </c>
      <c r="I74" s="100">
        <f t="shared" si="256"/>
        <v>0</v>
      </c>
      <c r="J74" s="100">
        <f t="shared" si="256"/>
        <v>0</v>
      </c>
      <c r="K74" s="100">
        <f t="shared" si="256"/>
        <v>0</v>
      </c>
      <c r="L74" s="100">
        <f t="shared" si="256"/>
        <v>0</v>
      </c>
      <c r="M74" s="100">
        <f t="shared" si="256"/>
        <v>0</v>
      </c>
      <c r="N74" s="100">
        <f t="shared" si="256"/>
        <v>0</v>
      </c>
      <c r="O74" s="100">
        <f t="shared" si="256"/>
        <v>0</v>
      </c>
      <c r="P74" s="100">
        <f t="shared" si="256"/>
        <v>0</v>
      </c>
      <c r="Q74" s="100">
        <f t="shared" si="256"/>
        <v>0</v>
      </c>
      <c r="R74" s="100">
        <f t="shared" si="256"/>
        <v>0</v>
      </c>
      <c r="S74" s="100">
        <f t="shared" si="256"/>
        <v>0</v>
      </c>
      <c r="T74" s="100">
        <f t="shared" si="256"/>
        <v>0</v>
      </c>
      <c r="U74" s="100">
        <f t="shared" ref="U74" si="257">IFERROR($B74/U12,0)</f>
        <v>0</v>
      </c>
      <c r="V74" s="100">
        <f t="shared" si="256"/>
        <v>0</v>
      </c>
      <c r="W74" s="100">
        <f t="shared" si="256"/>
        <v>0</v>
      </c>
      <c r="X74" s="100">
        <f t="shared" si="256"/>
        <v>0</v>
      </c>
      <c r="Y74" s="100">
        <f t="shared" si="256"/>
        <v>0</v>
      </c>
      <c r="Z74" s="100">
        <f t="shared" si="256"/>
        <v>0</v>
      </c>
      <c r="AA74" s="100">
        <f t="shared" si="256"/>
        <v>0</v>
      </c>
      <c r="AB74" s="100">
        <f t="shared" si="256"/>
        <v>0</v>
      </c>
      <c r="AC74" s="100">
        <f t="shared" si="256"/>
        <v>0</v>
      </c>
      <c r="AD74" s="100">
        <f t="shared" ref="AD74:BB74" si="258">IFERROR($B74/AD12,0)</f>
        <v>0</v>
      </c>
      <c r="AE74" s="100">
        <f t="shared" si="258"/>
        <v>0</v>
      </c>
      <c r="AF74" s="100">
        <f t="shared" si="258"/>
        <v>0</v>
      </c>
      <c r="AG74" s="100">
        <f t="shared" si="258"/>
        <v>0</v>
      </c>
      <c r="AH74" s="100">
        <f t="shared" si="258"/>
        <v>0</v>
      </c>
      <c r="AI74" s="100">
        <f t="shared" si="258"/>
        <v>0</v>
      </c>
      <c r="AJ74" s="100">
        <f t="shared" si="258"/>
        <v>0</v>
      </c>
      <c r="AK74" s="100">
        <f t="shared" si="258"/>
        <v>0</v>
      </c>
      <c r="AL74" s="100">
        <f t="shared" si="258"/>
        <v>0</v>
      </c>
      <c r="AM74" s="100">
        <f t="shared" si="258"/>
        <v>0</v>
      </c>
      <c r="AN74" s="100">
        <f t="shared" si="258"/>
        <v>0</v>
      </c>
      <c r="AO74" s="100">
        <f t="shared" si="258"/>
        <v>0</v>
      </c>
      <c r="AP74" s="100">
        <f t="shared" si="258"/>
        <v>0</v>
      </c>
      <c r="AQ74" s="100">
        <f t="shared" si="258"/>
        <v>0</v>
      </c>
      <c r="AR74" s="100">
        <f t="shared" si="258"/>
        <v>0</v>
      </c>
      <c r="AS74" s="100">
        <f t="shared" si="258"/>
        <v>0</v>
      </c>
      <c r="AT74" s="100">
        <f t="shared" si="258"/>
        <v>0</v>
      </c>
      <c r="AU74" s="100">
        <f t="shared" ref="AU74" si="259">IFERROR($B74/AU12,0)</f>
        <v>0</v>
      </c>
      <c r="AV74" s="100">
        <f t="shared" si="258"/>
        <v>0</v>
      </c>
      <c r="AW74" s="100">
        <f t="shared" si="258"/>
        <v>0</v>
      </c>
      <c r="AX74" s="100">
        <f t="shared" si="258"/>
        <v>0</v>
      </c>
      <c r="AY74" s="100">
        <f t="shared" si="258"/>
        <v>0</v>
      </c>
      <c r="AZ74" s="100">
        <f t="shared" si="258"/>
        <v>0</v>
      </c>
      <c r="BA74" s="100">
        <f t="shared" si="258"/>
        <v>0</v>
      </c>
      <c r="BB74" s="100">
        <f t="shared" si="258"/>
        <v>0</v>
      </c>
      <c r="BC74" s="101">
        <f t="shared" si="224"/>
        <v>0</v>
      </c>
      <c r="BD74" s="101">
        <f>IFERROR(s_RadSpec!$H$12*(BD12/$B74),".")</f>
        <v>0</v>
      </c>
      <c r="BE74" s="101">
        <f>IFERROR(s_RadSpec!$H$12*(BE12/$B74),".")</f>
        <v>0</v>
      </c>
      <c r="BF74" s="101">
        <f>IFERROR(s_RadSpec!$H$12*(BF12/$B74),".")</f>
        <v>0</v>
      </c>
      <c r="BG74" s="101">
        <f>IFERROR(s_RadSpec!$H$12*(BG12/$B74),".")</f>
        <v>0</v>
      </c>
      <c r="BH74" s="101">
        <f>IFERROR(s_RadSpec!$H$12*(BH12/$B74),".")</f>
        <v>0</v>
      </c>
      <c r="BI74" s="101">
        <f>IFERROR(s_RadSpec!$H$12*(BI12/$B74),".")</f>
        <v>0</v>
      </c>
      <c r="BJ74" s="101">
        <f>IFERROR(s_RadSpec!$H$12*(BJ12/$B74),".")</f>
        <v>0</v>
      </c>
      <c r="BK74" s="101">
        <f>IFERROR(s_RadSpec!$H$12*(BK12/$B74),".")</f>
        <v>0</v>
      </c>
      <c r="BL74" s="101">
        <f>IFERROR(s_RadSpec!$H$12*(BL12/$B74),".")</f>
        <v>0</v>
      </c>
      <c r="BM74" s="101">
        <f>IFERROR(s_RadSpec!$H$12*(BM12/$B74),".")</f>
        <v>0</v>
      </c>
      <c r="BN74" s="101">
        <f>IFERROR(s_RadSpec!$H$12*(BN12/$B74),".")</f>
        <v>0</v>
      </c>
      <c r="BO74" s="101">
        <f>IFERROR(s_RadSpec!$H$12*(BO12/$B74),".")</f>
        <v>0</v>
      </c>
      <c r="BP74" s="101">
        <f>IFERROR(s_RadSpec!$H$12*(BP12/$B74),".")</f>
        <v>0</v>
      </c>
      <c r="BQ74" s="101">
        <f>IFERROR(s_RadSpec!$H$12*(BQ12/$B74),".")</f>
        <v>0</v>
      </c>
      <c r="BR74" s="101">
        <f>IFERROR(s_RadSpec!$H$12*(BR12/$B74),".")</f>
        <v>0</v>
      </c>
      <c r="BS74" s="101">
        <f>IFERROR(s_RadSpec!$H$12*(BS12/$B74),".")</f>
        <v>0</v>
      </c>
      <c r="BT74" s="101">
        <f>IFERROR(s_RadSpec!$H$12*(BT12/$B74),".")</f>
        <v>0</v>
      </c>
      <c r="BU74" s="101">
        <f>IFERROR(s_RadSpec!$H$12*(BU12/$B74),".")</f>
        <v>0</v>
      </c>
      <c r="BV74" s="101">
        <f>IFERROR(s_RadSpec!$H$12*(BV12/$B74),".")</f>
        <v>0</v>
      </c>
      <c r="BW74" s="101">
        <f>IFERROR(s_RadSpec!$H$12*(BW12/$B74),".")</f>
        <v>0</v>
      </c>
      <c r="BX74" s="101">
        <f>IFERROR(s_RadSpec!$H$12*(BX12/$B74),".")</f>
        <v>0</v>
      </c>
      <c r="BY74" s="101">
        <f>IFERROR(s_RadSpec!$H$12*(BY12/$B74),".")</f>
        <v>0</v>
      </c>
      <c r="BZ74" s="101">
        <f>IFERROR(s_RadSpec!$H$12*(BZ12/$B74),".")</f>
        <v>0</v>
      </c>
      <c r="CA74" s="101">
        <f>IFERROR(s_RadSpec!$H$12*(CA12/$B74),".")</f>
        <v>0</v>
      </c>
      <c r="CB74" s="101">
        <f>IFERROR(s_RadSpec!$H$12*(CB12/$B74),".")</f>
        <v>0</v>
      </c>
    </row>
    <row r="75" spans="1:80" x14ac:dyDescent="0.25">
      <c r="A75" s="99" t="s">
        <v>1096</v>
      </c>
      <c r="B75" s="90">
        <v>1</v>
      </c>
      <c r="C75" s="100">
        <f t="shared" ref="C75" si="260">IFERROR($B75/C18,0)</f>
        <v>27.26493</v>
      </c>
      <c r="D75" s="100">
        <f t="shared" ref="D75:AC75" si="261">IFERROR($B75/D18,0)</f>
        <v>6.8162324999999999</v>
      </c>
      <c r="E75" s="100">
        <f t="shared" si="261"/>
        <v>6.8162324999999999</v>
      </c>
      <c r="F75" s="100">
        <f t="shared" si="261"/>
        <v>6.8162324999999999</v>
      </c>
      <c r="G75" s="100">
        <f t="shared" si="261"/>
        <v>6.8162324999999999</v>
      </c>
      <c r="H75" s="100">
        <f t="shared" si="261"/>
        <v>6.8162324999999999</v>
      </c>
      <c r="I75" s="100">
        <f t="shared" si="261"/>
        <v>6.8162324999999999</v>
      </c>
      <c r="J75" s="100">
        <f t="shared" si="261"/>
        <v>6.8162324999999999</v>
      </c>
      <c r="K75" s="100">
        <f t="shared" si="261"/>
        <v>6.8162324999999999</v>
      </c>
      <c r="L75" s="100">
        <f t="shared" si="261"/>
        <v>6.8162324999999999</v>
      </c>
      <c r="M75" s="100">
        <f t="shared" si="261"/>
        <v>6.8162324999999999</v>
      </c>
      <c r="N75" s="100">
        <f t="shared" si="261"/>
        <v>6.8162324999999999</v>
      </c>
      <c r="O75" s="100">
        <f t="shared" si="261"/>
        <v>6.8162324999999999</v>
      </c>
      <c r="P75" s="100">
        <f t="shared" si="261"/>
        <v>6.8162324999999999</v>
      </c>
      <c r="Q75" s="100">
        <f t="shared" si="261"/>
        <v>6.8162324999999999</v>
      </c>
      <c r="R75" s="100">
        <f t="shared" si="261"/>
        <v>6.8162324999999999</v>
      </c>
      <c r="S75" s="100">
        <f t="shared" si="261"/>
        <v>6.8162324999999999</v>
      </c>
      <c r="T75" s="100">
        <f t="shared" si="261"/>
        <v>6.8162324999999999</v>
      </c>
      <c r="U75" s="100">
        <f t="shared" ref="U75" si="262">IFERROR($B75/U18,0)</f>
        <v>6.8162324999999999</v>
      </c>
      <c r="V75" s="100">
        <f t="shared" si="261"/>
        <v>6.8162324999999999</v>
      </c>
      <c r="W75" s="100">
        <f t="shared" si="261"/>
        <v>6.8162324999999999</v>
      </c>
      <c r="X75" s="100">
        <f t="shared" si="261"/>
        <v>6.8162324999999999</v>
      </c>
      <c r="Y75" s="100">
        <f t="shared" si="261"/>
        <v>6.8162324999999999</v>
      </c>
      <c r="Z75" s="100">
        <f t="shared" si="261"/>
        <v>6.8162324999999999</v>
      </c>
      <c r="AA75" s="100">
        <f t="shared" si="261"/>
        <v>6.8162324999999999</v>
      </c>
      <c r="AB75" s="100">
        <f t="shared" si="261"/>
        <v>6.8162324999999999</v>
      </c>
      <c r="AC75" s="100">
        <f t="shared" si="261"/>
        <v>27.26493</v>
      </c>
      <c r="AD75" s="100">
        <f t="shared" ref="AD75:BB75" si="263">IFERROR($B75/AD18,0)</f>
        <v>6.8162324999999999</v>
      </c>
      <c r="AE75" s="100">
        <f t="shared" si="263"/>
        <v>6.8162324999999999</v>
      </c>
      <c r="AF75" s="100">
        <f t="shared" si="263"/>
        <v>6.8162324999999999</v>
      </c>
      <c r="AG75" s="100">
        <f t="shared" si="263"/>
        <v>6.8162324999999999</v>
      </c>
      <c r="AH75" s="100">
        <f t="shared" si="263"/>
        <v>6.8162324999999999</v>
      </c>
      <c r="AI75" s="100">
        <f t="shared" si="263"/>
        <v>6.8162324999999999</v>
      </c>
      <c r="AJ75" s="100">
        <f t="shared" si="263"/>
        <v>6.8162324999999999</v>
      </c>
      <c r="AK75" s="100">
        <f t="shared" si="263"/>
        <v>6.8162324999999999</v>
      </c>
      <c r="AL75" s="100">
        <f t="shared" si="263"/>
        <v>6.8162324999999999</v>
      </c>
      <c r="AM75" s="100">
        <f t="shared" si="263"/>
        <v>6.8162324999999999</v>
      </c>
      <c r="AN75" s="100">
        <f t="shared" si="263"/>
        <v>6.8162324999999999</v>
      </c>
      <c r="AO75" s="100">
        <f t="shared" si="263"/>
        <v>6.8162324999999999</v>
      </c>
      <c r="AP75" s="100">
        <f t="shared" si="263"/>
        <v>6.8162324999999999</v>
      </c>
      <c r="AQ75" s="100">
        <f t="shared" si="263"/>
        <v>6.8162324999999999</v>
      </c>
      <c r="AR75" s="100">
        <f t="shared" si="263"/>
        <v>6.8162324999999999</v>
      </c>
      <c r="AS75" s="100">
        <f t="shared" si="263"/>
        <v>6.8162324999999999</v>
      </c>
      <c r="AT75" s="100">
        <f t="shared" si="263"/>
        <v>6.8162324999999999</v>
      </c>
      <c r="AU75" s="100">
        <f t="shared" ref="AU75" si="264">IFERROR($B75/AU18,0)</f>
        <v>6.8162324999999999</v>
      </c>
      <c r="AV75" s="100">
        <f t="shared" si="263"/>
        <v>6.8162324999999999</v>
      </c>
      <c r="AW75" s="100">
        <f t="shared" si="263"/>
        <v>6.8162324999999999</v>
      </c>
      <c r="AX75" s="100">
        <f t="shared" si="263"/>
        <v>6.8162324999999999</v>
      </c>
      <c r="AY75" s="100">
        <f t="shared" si="263"/>
        <v>6.8162324999999999</v>
      </c>
      <c r="AZ75" s="100">
        <f t="shared" si="263"/>
        <v>6.8162324999999999</v>
      </c>
      <c r="BA75" s="100">
        <f t="shared" si="263"/>
        <v>6.8162324999999999</v>
      </c>
      <c r="BB75" s="100">
        <f t="shared" si="263"/>
        <v>6.8162324999999999</v>
      </c>
      <c r="BC75" s="101">
        <f t="shared" si="224"/>
        <v>1.3632465E-3</v>
      </c>
      <c r="BD75" s="101">
        <f>IFERROR(s_RadSpec!$H$18*(BD18/$B75),".")</f>
        <v>3.40811625E-4</v>
      </c>
      <c r="BE75" s="101">
        <f>IFERROR(s_RadSpec!$H$18*(BE18/$B75),".")</f>
        <v>3.40811625E-4</v>
      </c>
      <c r="BF75" s="101">
        <f>IFERROR(s_RadSpec!$H$18*(BF18/$B75),".")</f>
        <v>3.40811625E-4</v>
      </c>
      <c r="BG75" s="101">
        <f>IFERROR(s_RadSpec!$H$18*(BG18/$B75),".")</f>
        <v>3.40811625E-4</v>
      </c>
      <c r="BH75" s="101">
        <f>IFERROR(s_RadSpec!$H$18*(BH18/$B75),".")</f>
        <v>3.40811625E-4</v>
      </c>
      <c r="BI75" s="101">
        <f>IFERROR(s_RadSpec!$H$18*(BI18/$B75),".")</f>
        <v>3.40811625E-4</v>
      </c>
      <c r="BJ75" s="101">
        <f>IFERROR(s_RadSpec!$H$18*(BJ18/$B75),".")</f>
        <v>3.40811625E-4</v>
      </c>
      <c r="BK75" s="101">
        <f>IFERROR(s_RadSpec!$H$18*(BK18/$B75),".")</f>
        <v>3.40811625E-4</v>
      </c>
      <c r="BL75" s="101">
        <f>IFERROR(s_RadSpec!$H$18*(BL18/$B75),".")</f>
        <v>3.40811625E-4</v>
      </c>
      <c r="BM75" s="101">
        <f>IFERROR(s_RadSpec!$H$18*(BM18/$B75),".")</f>
        <v>3.40811625E-4</v>
      </c>
      <c r="BN75" s="101">
        <f>IFERROR(s_RadSpec!$H$18*(BN18/$B75),".")</f>
        <v>3.40811625E-4</v>
      </c>
      <c r="BO75" s="101">
        <f>IFERROR(s_RadSpec!$H$18*(BO18/$B75),".")</f>
        <v>3.40811625E-4</v>
      </c>
      <c r="BP75" s="101">
        <f>IFERROR(s_RadSpec!$H$18*(BP18/$B75),".")</f>
        <v>3.40811625E-4</v>
      </c>
      <c r="BQ75" s="101">
        <f>IFERROR(s_RadSpec!$H$18*(BQ18/$B75),".")</f>
        <v>3.40811625E-4</v>
      </c>
      <c r="BR75" s="101">
        <f>IFERROR(s_RadSpec!$H$18*(BR18/$B75),".")</f>
        <v>3.40811625E-4</v>
      </c>
      <c r="BS75" s="101">
        <f>IFERROR(s_RadSpec!$H$18*(BS18/$B75),".")</f>
        <v>3.40811625E-4</v>
      </c>
      <c r="BT75" s="101">
        <f>IFERROR(s_RadSpec!$H$18*(BT18/$B75),".")</f>
        <v>3.40811625E-4</v>
      </c>
      <c r="BU75" s="101">
        <f>IFERROR(s_RadSpec!$H$18*(BU18/$B75),".")</f>
        <v>3.40811625E-4</v>
      </c>
      <c r="BV75" s="101">
        <f>IFERROR(s_RadSpec!$H$18*(BV18/$B75),".")</f>
        <v>3.40811625E-4</v>
      </c>
      <c r="BW75" s="101">
        <f>IFERROR(s_RadSpec!$H$18*(BW18/$B75),".")</f>
        <v>3.40811625E-4</v>
      </c>
      <c r="BX75" s="101">
        <f>IFERROR(s_RadSpec!$H$18*(BX18/$B75),".")</f>
        <v>3.40811625E-4</v>
      </c>
      <c r="BY75" s="101">
        <f>IFERROR(s_RadSpec!$H$18*(BY18/$B75),".")</f>
        <v>3.40811625E-4</v>
      </c>
      <c r="BZ75" s="101">
        <f>IFERROR(s_RadSpec!$H$18*(BZ18/$B75),".")</f>
        <v>3.40811625E-4</v>
      </c>
      <c r="CA75" s="101">
        <f>IFERROR(s_RadSpec!$H$18*(CA18/$B75),".")</f>
        <v>3.40811625E-4</v>
      </c>
      <c r="CB75" s="101">
        <f>IFERROR(s_RadSpec!$H$18*(CB18/$B75),".")</f>
        <v>3.40811625E-4</v>
      </c>
    </row>
    <row r="76" spans="1:80" x14ac:dyDescent="0.25">
      <c r="A76" s="99" t="s">
        <v>1097</v>
      </c>
      <c r="B76" s="90">
        <v>1.339E-6</v>
      </c>
      <c r="C76" s="100">
        <f t="shared" ref="C76" si="265">IFERROR($B76/C27,0)</f>
        <v>0</v>
      </c>
      <c r="D76" s="100">
        <f t="shared" ref="D76:AC76" si="266">IFERROR($B76/D27,0)</f>
        <v>0</v>
      </c>
      <c r="E76" s="100">
        <f t="shared" si="266"/>
        <v>0</v>
      </c>
      <c r="F76" s="100">
        <f t="shared" si="266"/>
        <v>0</v>
      </c>
      <c r="G76" s="100">
        <f t="shared" si="266"/>
        <v>0</v>
      </c>
      <c r="H76" s="100">
        <f t="shared" si="266"/>
        <v>0</v>
      </c>
      <c r="I76" s="100">
        <f t="shared" si="266"/>
        <v>0</v>
      </c>
      <c r="J76" s="100">
        <f t="shared" si="266"/>
        <v>0</v>
      </c>
      <c r="K76" s="100">
        <f t="shared" si="266"/>
        <v>0</v>
      </c>
      <c r="L76" s="100">
        <f t="shared" si="266"/>
        <v>0</v>
      </c>
      <c r="M76" s="100">
        <f t="shared" si="266"/>
        <v>0</v>
      </c>
      <c r="N76" s="100">
        <f t="shared" si="266"/>
        <v>0</v>
      </c>
      <c r="O76" s="100">
        <f t="shared" si="266"/>
        <v>0</v>
      </c>
      <c r="P76" s="100">
        <f t="shared" si="266"/>
        <v>0</v>
      </c>
      <c r="Q76" s="100">
        <f t="shared" si="266"/>
        <v>0</v>
      </c>
      <c r="R76" s="100">
        <f t="shared" si="266"/>
        <v>0</v>
      </c>
      <c r="S76" s="100">
        <f t="shared" si="266"/>
        <v>0</v>
      </c>
      <c r="T76" s="100">
        <f t="shared" si="266"/>
        <v>0</v>
      </c>
      <c r="U76" s="100">
        <f t="shared" ref="U76" si="267">IFERROR($B76/U27,0)</f>
        <v>0</v>
      </c>
      <c r="V76" s="100">
        <f t="shared" si="266"/>
        <v>0</v>
      </c>
      <c r="W76" s="100">
        <f t="shared" si="266"/>
        <v>0</v>
      </c>
      <c r="X76" s="100">
        <f t="shared" si="266"/>
        <v>0</v>
      </c>
      <c r="Y76" s="100">
        <f t="shared" si="266"/>
        <v>0</v>
      </c>
      <c r="Z76" s="100">
        <f t="shared" si="266"/>
        <v>0</v>
      </c>
      <c r="AA76" s="100">
        <f t="shared" si="266"/>
        <v>0</v>
      </c>
      <c r="AB76" s="100">
        <f t="shared" si="266"/>
        <v>0</v>
      </c>
      <c r="AC76" s="100">
        <f t="shared" si="266"/>
        <v>0</v>
      </c>
      <c r="AD76" s="100">
        <f t="shared" ref="AD76:BB76" si="268">IFERROR($B76/AD27,0)</f>
        <v>0</v>
      </c>
      <c r="AE76" s="100">
        <f t="shared" si="268"/>
        <v>0</v>
      </c>
      <c r="AF76" s="100">
        <f t="shared" si="268"/>
        <v>0</v>
      </c>
      <c r="AG76" s="100">
        <f t="shared" si="268"/>
        <v>0</v>
      </c>
      <c r="AH76" s="100">
        <f t="shared" si="268"/>
        <v>0</v>
      </c>
      <c r="AI76" s="100">
        <f t="shared" si="268"/>
        <v>0</v>
      </c>
      <c r="AJ76" s="100">
        <f t="shared" si="268"/>
        <v>0</v>
      </c>
      <c r="AK76" s="100">
        <f t="shared" si="268"/>
        <v>0</v>
      </c>
      <c r="AL76" s="100">
        <f t="shared" si="268"/>
        <v>0</v>
      </c>
      <c r="AM76" s="100">
        <f t="shared" si="268"/>
        <v>0</v>
      </c>
      <c r="AN76" s="100">
        <f t="shared" si="268"/>
        <v>0</v>
      </c>
      <c r="AO76" s="100">
        <f t="shared" si="268"/>
        <v>0</v>
      </c>
      <c r="AP76" s="100">
        <f t="shared" si="268"/>
        <v>0</v>
      </c>
      <c r="AQ76" s="100">
        <f t="shared" si="268"/>
        <v>0</v>
      </c>
      <c r="AR76" s="100">
        <f t="shared" si="268"/>
        <v>0</v>
      </c>
      <c r="AS76" s="100">
        <f t="shared" si="268"/>
        <v>0</v>
      </c>
      <c r="AT76" s="100">
        <f t="shared" si="268"/>
        <v>0</v>
      </c>
      <c r="AU76" s="100">
        <f t="shared" ref="AU76" si="269">IFERROR($B76/AU27,0)</f>
        <v>0</v>
      </c>
      <c r="AV76" s="100">
        <f t="shared" si="268"/>
        <v>0</v>
      </c>
      <c r="AW76" s="100">
        <f t="shared" si="268"/>
        <v>0</v>
      </c>
      <c r="AX76" s="100">
        <f t="shared" si="268"/>
        <v>0</v>
      </c>
      <c r="AY76" s="100">
        <f t="shared" si="268"/>
        <v>0</v>
      </c>
      <c r="AZ76" s="100">
        <f t="shared" si="268"/>
        <v>0</v>
      </c>
      <c r="BA76" s="100">
        <f t="shared" si="268"/>
        <v>0</v>
      </c>
      <c r="BB76" s="100">
        <f t="shared" si="268"/>
        <v>0</v>
      </c>
      <c r="BC76" s="101">
        <f t="shared" si="224"/>
        <v>0</v>
      </c>
      <c r="BD76" s="101">
        <f>IFERROR(s_RadSpec!$H$27*(BD27/$B76),".")</f>
        <v>0</v>
      </c>
      <c r="BE76" s="101">
        <f>IFERROR(s_RadSpec!$H$27*(BE27/$B76),".")</f>
        <v>0</v>
      </c>
      <c r="BF76" s="101">
        <f>IFERROR(s_RadSpec!$H$27*(BF27/$B76),".")</f>
        <v>0</v>
      </c>
      <c r="BG76" s="101">
        <f>IFERROR(s_RadSpec!$H$27*(BG27/$B76),".")</f>
        <v>0</v>
      </c>
      <c r="BH76" s="101">
        <f>IFERROR(s_RadSpec!$H$27*(BH27/$B76),".")</f>
        <v>0</v>
      </c>
      <c r="BI76" s="101">
        <f>IFERROR(s_RadSpec!$H$27*(BI27/$B76),".")</f>
        <v>0</v>
      </c>
      <c r="BJ76" s="101">
        <f>IFERROR(s_RadSpec!$H$27*(BJ27/$B76),".")</f>
        <v>0</v>
      </c>
      <c r="BK76" s="101">
        <f>IFERROR(s_RadSpec!$H$27*(BK27/$B76),".")</f>
        <v>0</v>
      </c>
      <c r="BL76" s="101">
        <f>IFERROR(s_RadSpec!$H$27*(BL27/$B76),".")</f>
        <v>0</v>
      </c>
      <c r="BM76" s="101">
        <f>IFERROR(s_RadSpec!$H$27*(BM27/$B76),".")</f>
        <v>0</v>
      </c>
      <c r="BN76" s="101">
        <f>IFERROR(s_RadSpec!$H$27*(BN27/$B76),".")</f>
        <v>0</v>
      </c>
      <c r="BO76" s="101">
        <f>IFERROR(s_RadSpec!$H$27*(BO27/$B76),".")</f>
        <v>0</v>
      </c>
      <c r="BP76" s="101">
        <f>IFERROR(s_RadSpec!$H$27*(BP27/$B76),".")</f>
        <v>0</v>
      </c>
      <c r="BQ76" s="101">
        <f>IFERROR(s_RadSpec!$H$27*(BQ27/$B76),".")</f>
        <v>0</v>
      </c>
      <c r="BR76" s="101">
        <f>IFERROR(s_RadSpec!$H$27*(BR27/$B76),".")</f>
        <v>0</v>
      </c>
      <c r="BS76" s="101">
        <f>IFERROR(s_RadSpec!$H$27*(BS27/$B76),".")</f>
        <v>0</v>
      </c>
      <c r="BT76" s="101">
        <f>IFERROR(s_RadSpec!$H$27*(BT27/$B76),".")</f>
        <v>0</v>
      </c>
      <c r="BU76" s="101">
        <f>IFERROR(s_RadSpec!$H$27*(BU27/$B76),".")</f>
        <v>0</v>
      </c>
      <c r="BV76" s="101">
        <f>IFERROR(s_RadSpec!$H$27*(BV27/$B76),".")</f>
        <v>0</v>
      </c>
      <c r="BW76" s="101">
        <f>IFERROR(s_RadSpec!$H$27*(BW27/$B76),".")</f>
        <v>0</v>
      </c>
      <c r="BX76" s="101">
        <f>IFERROR(s_RadSpec!$H$27*(BX27/$B76),".")</f>
        <v>0</v>
      </c>
      <c r="BY76" s="101">
        <f>IFERROR(s_RadSpec!$H$27*(BY27/$B76),".")</f>
        <v>0</v>
      </c>
      <c r="BZ76" s="101">
        <f>IFERROR(s_RadSpec!$H$27*(BZ27/$B76),".")</f>
        <v>0</v>
      </c>
      <c r="CA76" s="101">
        <f>IFERROR(s_RadSpec!$H$27*(CA27/$B76),".")</f>
        <v>0</v>
      </c>
      <c r="CB76" s="101">
        <f>IFERROR(s_RadSpec!$H$27*(CB27/$B76),".")</f>
        <v>0</v>
      </c>
    </row>
  </sheetData>
  <sheetProtection algorithmName="SHA-512" hashValue="G+N3OLda3r4660rzAyln/ZLdtZkrj0LM/tzZ1r7LRGhnBYJzWgG7J+XUFjUX4tTTeZyln1f6G9+KpTS/nCEq9A==" saltValue="HRIYnVnEWFKlvgMlP/ReTw==" spinCount="100000" sheet="1" formatColumns="0" formatRows="0" autoFilter="0"/>
  <autoFilter ref="A1:CB76" xr:uid="{2A51381B-F3AB-4DF7-BCFB-D392214769A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DB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5.42578125" style="42" bestFit="1" customWidth="1"/>
    <col min="2" max="2" width="13.28515625" style="42" bestFit="1" customWidth="1"/>
    <col min="3" max="3" width="27" style="42" bestFit="1" customWidth="1"/>
    <col min="4" max="4" width="16" style="42" bestFit="1" customWidth="1"/>
    <col min="5" max="5" width="16.140625" style="42" bestFit="1" customWidth="1"/>
    <col min="6" max="6" width="15" style="42" bestFit="1" customWidth="1"/>
    <col min="7" max="7" width="15.7109375" style="42" bestFit="1" customWidth="1"/>
    <col min="8" max="8" width="15" style="42" bestFit="1" customWidth="1"/>
    <col min="9" max="9" width="15.42578125" style="42" bestFit="1" customWidth="1"/>
    <col min="10" max="10" width="14.7109375" style="42" bestFit="1" customWidth="1"/>
    <col min="11" max="11" width="16.140625" style="42" bestFit="1" customWidth="1"/>
    <col min="12" max="12" width="15" style="42" bestFit="1" customWidth="1"/>
    <col min="13" max="13" width="16.85546875" style="42" bestFit="1" customWidth="1"/>
    <col min="14" max="14" width="14" style="42" bestFit="1" customWidth="1"/>
    <col min="15" max="16" width="15" style="42" bestFit="1" customWidth="1"/>
    <col min="17" max="17" width="16.140625" style="42" bestFit="1" customWidth="1"/>
    <col min="18" max="18" width="16.28515625" style="42" bestFit="1" customWidth="1"/>
    <col min="19" max="19" width="15" style="42" bestFit="1" customWidth="1"/>
    <col min="20" max="20" width="14.28515625" style="42" bestFit="1" customWidth="1"/>
    <col min="21" max="21" width="14.28515625" style="42" customWidth="1"/>
    <col min="22" max="22" width="15.7109375" style="42" bestFit="1" customWidth="1"/>
    <col min="23" max="23" width="16.140625" style="42" bestFit="1" customWidth="1"/>
    <col min="24" max="24" width="15.42578125" style="42" bestFit="1" customWidth="1"/>
    <col min="25" max="25" width="16" style="42" bestFit="1" customWidth="1"/>
    <col min="26" max="27" width="14.42578125" style="42" bestFit="1" customWidth="1"/>
    <col min="28" max="28" width="16.42578125" style="42" bestFit="1" customWidth="1"/>
    <col min="29" max="29" width="22.5703125" style="42" bestFit="1" customWidth="1"/>
    <col min="30" max="30" width="15.85546875" style="42" bestFit="1" customWidth="1"/>
    <col min="31" max="31" width="16" style="42" bestFit="1" customWidth="1"/>
    <col min="32" max="32" width="14.7109375" style="42" bestFit="1" customWidth="1"/>
    <col min="33" max="33" width="15.42578125" style="42" bestFit="1" customWidth="1"/>
    <col min="34" max="34" width="14.7109375" style="42" bestFit="1" customWidth="1"/>
    <col min="35" max="35" width="15.140625" style="42" bestFit="1" customWidth="1"/>
    <col min="36" max="36" width="14.28515625" style="42" bestFit="1" customWidth="1"/>
    <col min="37" max="37" width="15.7109375" style="42" bestFit="1" customWidth="1"/>
    <col min="38" max="38" width="14.7109375" style="42" bestFit="1" customWidth="1"/>
    <col min="39" max="39" width="16.7109375" style="42" bestFit="1" customWidth="1"/>
    <col min="40" max="40" width="13.7109375" style="42" bestFit="1" customWidth="1"/>
    <col min="41" max="41" width="14.5703125" style="42" bestFit="1" customWidth="1"/>
    <col min="42" max="42" width="14.85546875" style="42" bestFit="1" customWidth="1"/>
    <col min="43" max="43" width="16" style="42" bestFit="1" customWidth="1"/>
    <col min="44" max="44" width="16.28515625" style="42" bestFit="1" customWidth="1"/>
    <col min="45" max="45" width="14.85546875" style="42" bestFit="1" customWidth="1"/>
    <col min="46" max="46" width="14.140625" style="42" bestFit="1" customWidth="1"/>
    <col min="47" max="47" width="14.140625" style="42" customWidth="1"/>
    <col min="48" max="48" width="15.85546875" style="42" bestFit="1" customWidth="1"/>
    <col min="49" max="49" width="16.140625" style="42" bestFit="1" customWidth="1"/>
    <col min="50" max="50" width="15.140625" style="42" bestFit="1" customWidth="1"/>
    <col min="51" max="51" width="16" style="42" bestFit="1" customWidth="1"/>
    <col min="52" max="52" width="14.42578125" style="42" bestFit="1" customWidth="1"/>
    <col min="53" max="53" width="13.85546875" style="42" bestFit="1" customWidth="1"/>
    <col min="54" max="54" width="16.140625" style="42" bestFit="1" customWidth="1"/>
    <col min="55" max="55" width="26.85546875" style="42" bestFit="1" customWidth="1"/>
    <col min="56" max="56" width="15.85546875" style="42" bestFit="1" customWidth="1"/>
    <col min="57" max="57" width="16" style="42" bestFit="1" customWidth="1"/>
    <col min="58" max="58" width="14.7109375" style="42" bestFit="1" customWidth="1"/>
    <col min="59" max="59" width="15.5703125" style="42" bestFit="1" customWidth="1"/>
    <col min="60" max="60" width="14.85546875" style="42" bestFit="1" customWidth="1"/>
    <col min="61" max="61" width="15.28515625" style="42" bestFit="1" customWidth="1"/>
    <col min="62" max="62" width="14.5703125" style="42" bestFit="1" customWidth="1"/>
    <col min="63" max="63" width="16" style="42" bestFit="1" customWidth="1"/>
    <col min="64" max="64" width="14.85546875" style="42" bestFit="1" customWidth="1"/>
    <col min="65" max="65" width="16.7109375" style="42" bestFit="1" customWidth="1"/>
    <col min="66" max="66" width="13.85546875" style="42" bestFit="1" customWidth="1"/>
    <col min="67" max="68" width="14.85546875" style="42" bestFit="1" customWidth="1"/>
    <col min="69" max="69" width="16" style="42" bestFit="1" customWidth="1"/>
    <col min="70" max="70" width="16.140625" style="42" bestFit="1" customWidth="1"/>
    <col min="71" max="71" width="14.85546875" style="42" bestFit="1" customWidth="1"/>
    <col min="72" max="72" width="14.140625" style="42" bestFit="1" customWidth="1"/>
    <col min="73" max="73" width="14.140625" style="42" customWidth="1"/>
    <col min="74" max="74" width="15.5703125" style="42" bestFit="1" customWidth="1"/>
    <col min="75" max="75" width="15.85546875" style="42" bestFit="1" customWidth="1"/>
    <col min="76" max="76" width="15.28515625" style="42" bestFit="1" customWidth="1"/>
    <col min="77" max="77" width="15.85546875" style="42" bestFit="1" customWidth="1"/>
    <col min="78" max="79" width="14.28515625" style="42" bestFit="1" customWidth="1"/>
    <col min="80" max="80" width="15.5703125" style="42" bestFit="1" customWidth="1"/>
    <col min="81" max="81" width="22.5703125" style="42" bestFit="1" customWidth="1"/>
    <col min="82" max="82" width="15.85546875" style="42" bestFit="1" customWidth="1"/>
    <col min="83" max="83" width="16" style="42" bestFit="1" customWidth="1"/>
    <col min="84" max="84" width="14.7109375" style="42" bestFit="1" customWidth="1"/>
    <col min="85" max="85" width="15.42578125" style="42" bestFit="1" customWidth="1"/>
    <col min="86" max="86" width="14.7109375" style="42" bestFit="1" customWidth="1"/>
    <col min="87" max="87" width="15.140625" style="42" bestFit="1" customWidth="1"/>
    <col min="88" max="88" width="14.28515625" style="42" bestFit="1" customWidth="1"/>
    <col min="89" max="89" width="15.7109375" style="42" bestFit="1" customWidth="1"/>
    <col min="90" max="90" width="14.7109375" style="42" bestFit="1" customWidth="1"/>
    <col min="91" max="91" width="16.7109375" style="42" bestFit="1" customWidth="1"/>
    <col min="92" max="92" width="13.7109375" style="42" bestFit="1" customWidth="1"/>
    <col min="93" max="93" width="14.5703125" style="42" bestFit="1" customWidth="1"/>
    <col min="94" max="94" width="14.85546875" style="42" bestFit="1" customWidth="1"/>
    <col min="95" max="95" width="16" style="42" bestFit="1" customWidth="1"/>
    <col min="96" max="96" width="16.28515625" style="42" bestFit="1" customWidth="1"/>
    <col min="97" max="97" width="14.85546875" style="42" bestFit="1" customWidth="1"/>
    <col min="98" max="98" width="14.140625" style="42" bestFit="1" customWidth="1"/>
    <col min="99" max="99" width="14.140625" style="42" customWidth="1"/>
    <col min="100" max="100" width="15.85546875" style="42" bestFit="1" customWidth="1"/>
    <col min="101" max="101" width="16.140625" style="42" bestFit="1" customWidth="1"/>
    <col min="102" max="102" width="15.140625" style="42" bestFit="1" customWidth="1"/>
    <col min="103" max="103" width="16" style="42" bestFit="1" customWidth="1"/>
    <col min="104" max="104" width="14.42578125" style="42" bestFit="1" customWidth="1"/>
    <col min="105" max="105" width="13.85546875" style="42" bestFit="1" customWidth="1"/>
    <col min="106" max="106" width="15.42578125" style="42" bestFit="1" customWidth="1"/>
    <col min="107" max="16384" width="9.140625" style="42"/>
  </cols>
  <sheetData>
    <row r="1" spans="1:106" x14ac:dyDescent="0.25">
      <c r="A1" s="78" t="s">
        <v>51</v>
      </c>
      <c r="B1" s="79" t="s">
        <v>348</v>
      </c>
      <c r="C1" s="80" t="s">
        <v>1468</v>
      </c>
      <c r="D1" s="42" t="s">
        <v>1442</v>
      </c>
      <c r="E1" s="42" t="s">
        <v>1443</v>
      </c>
      <c r="F1" s="42" t="s">
        <v>1444</v>
      </c>
      <c r="G1" s="42" t="s">
        <v>1445</v>
      </c>
      <c r="H1" s="42" t="s">
        <v>1446</v>
      </c>
      <c r="I1" s="42" t="s">
        <v>1447</v>
      </c>
      <c r="J1" s="42" t="s">
        <v>1448</v>
      </c>
      <c r="K1" s="42" t="s">
        <v>1449</v>
      </c>
      <c r="L1" s="42" t="s">
        <v>1450</v>
      </c>
      <c r="M1" s="42" t="s">
        <v>1451</v>
      </c>
      <c r="N1" s="42" t="s">
        <v>1452</v>
      </c>
      <c r="O1" s="42" t="s">
        <v>1453</v>
      </c>
      <c r="P1" s="42" t="s">
        <v>1454</v>
      </c>
      <c r="Q1" s="42" t="s">
        <v>1455</v>
      </c>
      <c r="R1" s="42" t="s">
        <v>1456</v>
      </c>
      <c r="S1" s="42" t="s">
        <v>1457</v>
      </c>
      <c r="T1" s="42" t="s">
        <v>1458</v>
      </c>
      <c r="U1" s="42" t="s">
        <v>1533</v>
      </c>
      <c r="V1" s="42" t="s">
        <v>1459</v>
      </c>
      <c r="W1" s="42" t="s">
        <v>1460</v>
      </c>
      <c r="X1" s="42" t="s">
        <v>1461</v>
      </c>
      <c r="Y1" s="42" t="s">
        <v>1462</v>
      </c>
      <c r="Z1" s="42" t="s">
        <v>1463</v>
      </c>
      <c r="AA1" s="42" t="s">
        <v>1464</v>
      </c>
      <c r="AB1" s="42" t="s">
        <v>1465</v>
      </c>
      <c r="AC1" s="81" t="s">
        <v>1120</v>
      </c>
      <c r="AD1" s="81" t="s">
        <v>1121</v>
      </c>
      <c r="AE1" s="81" t="s">
        <v>1122</v>
      </c>
      <c r="AF1" s="81" t="s">
        <v>1123</v>
      </c>
      <c r="AG1" s="81" t="s">
        <v>1124</v>
      </c>
      <c r="AH1" s="81" t="s">
        <v>1125</v>
      </c>
      <c r="AI1" s="81" t="s">
        <v>1126</v>
      </c>
      <c r="AJ1" s="81" t="s">
        <v>1127</v>
      </c>
      <c r="AK1" s="81" t="s">
        <v>1128</v>
      </c>
      <c r="AL1" s="81" t="s">
        <v>1129</v>
      </c>
      <c r="AM1" s="81" t="s">
        <v>1130</v>
      </c>
      <c r="AN1" s="81" t="s">
        <v>1131</v>
      </c>
      <c r="AO1" s="81" t="s">
        <v>1132</v>
      </c>
      <c r="AP1" s="81" t="s">
        <v>1133</v>
      </c>
      <c r="AQ1" s="81" t="s">
        <v>1134</v>
      </c>
      <c r="AR1" s="81" t="s">
        <v>1135</v>
      </c>
      <c r="AS1" s="81" t="s">
        <v>1136</v>
      </c>
      <c r="AT1" s="81" t="s">
        <v>1137</v>
      </c>
      <c r="AU1" s="81" t="s">
        <v>1535</v>
      </c>
      <c r="AV1" s="81" t="s">
        <v>1138</v>
      </c>
      <c r="AW1" s="81" t="s">
        <v>1139</v>
      </c>
      <c r="AX1" s="81" t="s">
        <v>1140</v>
      </c>
      <c r="AY1" s="81" t="s">
        <v>1141</v>
      </c>
      <c r="AZ1" s="81" t="s">
        <v>1142</v>
      </c>
      <c r="BA1" s="81" t="s">
        <v>1143</v>
      </c>
      <c r="BB1" s="81" t="s">
        <v>1144</v>
      </c>
      <c r="BC1" s="42" t="s">
        <v>1466</v>
      </c>
      <c r="BD1" s="42" t="s">
        <v>1417</v>
      </c>
      <c r="BE1" s="42" t="s">
        <v>1418</v>
      </c>
      <c r="BF1" s="42" t="s">
        <v>1419</v>
      </c>
      <c r="BG1" s="42" t="s">
        <v>1420</v>
      </c>
      <c r="BH1" s="42" t="s">
        <v>1421</v>
      </c>
      <c r="BI1" s="42" t="s">
        <v>1422</v>
      </c>
      <c r="BJ1" s="42" t="s">
        <v>1423</v>
      </c>
      <c r="BK1" s="42" t="s">
        <v>1424</v>
      </c>
      <c r="BL1" s="42" t="s">
        <v>1425</v>
      </c>
      <c r="BM1" s="42" t="s">
        <v>1426</v>
      </c>
      <c r="BN1" s="42" t="s">
        <v>1427</v>
      </c>
      <c r="BO1" s="42" t="s">
        <v>1428</v>
      </c>
      <c r="BP1" s="42" t="s">
        <v>1429</v>
      </c>
      <c r="BQ1" s="42" t="s">
        <v>1430</v>
      </c>
      <c r="BR1" s="42" t="s">
        <v>1431</v>
      </c>
      <c r="BS1" s="42" t="s">
        <v>1432</v>
      </c>
      <c r="BT1" s="42" t="s">
        <v>1433</v>
      </c>
      <c r="BU1" s="42" t="s">
        <v>1534</v>
      </c>
      <c r="BV1" s="42" t="s">
        <v>1434</v>
      </c>
      <c r="BW1" s="42" t="s">
        <v>1435</v>
      </c>
      <c r="BX1" s="42" t="s">
        <v>1436</v>
      </c>
      <c r="BY1" s="42" t="s">
        <v>1437</v>
      </c>
      <c r="BZ1" s="42" t="s">
        <v>1438</v>
      </c>
      <c r="CA1" s="42" t="s">
        <v>1439</v>
      </c>
      <c r="CB1" s="42" t="s">
        <v>1440</v>
      </c>
      <c r="CC1" s="81" t="s">
        <v>1145</v>
      </c>
      <c r="CD1" s="81" t="s">
        <v>1392</v>
      </c>
      <c r="CE1" s="81" t="s">
        <v>1393</v>
      </c>
      <c r="CF1" s="81" t="s">
        <v>1394</v>
      </c>
      <c r="CG1" s="81" t="s">
        <v>1395</v>
      </c>
      <c r="CH1" s="81" t="s">
        <v>1396</v>
      </c>
      <c r="CI1" s="81" t="s">
        <v>1397</v>
      </c>
      <c r="CJ1" s="81" t="s">
        <v>1398</v>
      </c>
      <c r="CK1" s="81" t="s">
        <v>1399</v>
      </c>
      <c r="CL1" s="81" t="s">
        <v>1400</v>
      </c>
      <c r="CM1" s="81" t="s">
        <v>1401</v>
      </c>
      <c r="CN1" s="81" t="s">
        <v>1402</v>
      </c>
      <c r="CO1" s="81" t="s">
        <v>1403</v>
      </c>
      <c r="CP1" s="81" t="s">
        <v>1404</v>
      </c>
      <c r="CQ1" s="81" t="s">
        <v>1405</v>
      </c>
      <c r="CR1" s="81" t="s">
        <v>1406</v>
      </c>
      <c r="CS1" s="81" t="s">
        <v>1407</v>
      </c>
      <c r="CT1" s="81" t="s">
        <v>1408</v>
      </c>
      <c r="CU1" s="81" t="s">
        <v>1531</v>
      </c>
      <c r="CV1" s="81" t="s">
        <v>1409</v>
      </c>
      <c r="CW1" s="81" t="s">
        <v>1410</v>
      </c>
      <c r="CX1" s="81" t="s">
        <v>1411</v>
      </c>
      <c r="CY1" s="81" t="s">
        <v>1412</v>
      </c>
      <c r="CZ1" s="81" t="s">
        <v>1413</v>
      </c>
      <c r="DA1" s="81" t="s">
        <v>1414</v>
      </c>
      <c r="DB1" s="81" t="s">
        <v>1415</v>
      </c>
    </row>
    <row r="2" spans="1:106" ht="15" customHeight="1" x14ac:dyDescent="0.25">
      <c r="A2" s="44" t="s">
        <v>12</v>
      </c>
      <c r="B2" s="42" t="s">
        <v>1071</v>
      </c>
      <c r="C2" s="15">
        <f>IFERROR(1/SUM(1/D2,1/U2,1/AA2,1/AB2),".")</f>
        <v>20.986926592830603</v>
      </c>
      <c r="D2" s="15">
        <f>IFERROR((s_dir!D2/(d_Bv!C2+s_MLF_apple)),".")</f>
        <v>83.947706371322411</v>
      </c>
      <c r="E2" s="15">
        <f>IFERROR((s_dir!E2/(d_Bv!D2+s_MLF_asparagus)),".")</f>
        <v>83.947706371322411</v>
      </c>
      <c r="F2" s="15">
        <f>IFERROR((s_dir!F2/(d_Bv!E2+s_MLF_beet)),".")</f>
        <v>83.947706371322411</v>
      </c>
      <c r="G2" s="15">
        <f>IFERROR((s_dir!G2/(d_Bv!F2+s_MLF_berries)),".")</f>
        <v>83.947706371322411</v>
      </c>
      <c r="H2" s="15">
        <f>IFERROR((s_dir!H2/(d_Bv!G2+s_MLF_broccoli)),".")</f>
        <v>83.947706371322411</v>
      </c>
      <c r="I2" s="15">
        <f>IFERROR((s_dir!I2/(d_Bv!H2+s_MLF_cabbage)),".")</f>
        <v>83.947706371322411</v>
      </c>
      <c r="J2" s="15">
        <f>IFERROR((s_dir!J2/(d_Bv!I2+s_MLF_carrot)),".")</f>
        <v>83.947706371322411</v>
      </c>
      <c r="K2" s="15">
        <f>IFERROR((s_dir!K2/(d_Bv!J2+s_MLF_citrus)),".")</f>
        <v>83.947706371322411</v>
      </c>
      <c r="L2" s="15">
        <f>IFERROR((s_dir!L2/(d_Bv!K2+s_MLF_corn)),".")</f>
        <v>83.947706371322411</v>
      </c>
      <c r="M2" s="15">
        <f>IFERROR((s_dir!M2/(d_Bv!L2+s_MLF_cucumber)),".")</f>
        <v>83.947706371322411</v>
      </c>
      <c r="N2" s="15">
        <f>IFERROR((s_dir!N2/(d_Bv!M2+s_MLF_lettuce)),".")</f>
        <v>83.947706371322411</v>
      </c>
      <c r="O2" s="15">
        <f>IFERROR((s_dir!O2/(d_Bv!N2+s_MLF_lima_bean)),".")</f>
        <v>83.947706371322411</v>
      </c>
      <c r="P2" s="15">
        <f>IFERROR((s_dir!P2/(d_Bv!O2+s_MLF_okra)),".")</f>
        <v>83.947706371322411</v>
      </c>
      <c r="Q2" s="15">
        <f>IFERROR((s_dir!Q2/(d_Bv!P2+s_MLF_onion)),".")</f>
        <v>83.947706371322411</v>
      </c>
      <c r="R2" s="15">
        <f>IFERROR((s_dir!R2/(d_Bv!Q2+s_MLF_peach)),".")</f>
        <v>83.947706371322411</v>
      </c>
      <c r="S2" s="15">
        <f>IFERROR((s_dir!S2/(d_Bv!R2+s_MLF_pear)),".")</f>
        <v>83.947706371322411</v>
      </c>
      <c r="T2" s="15">
        <f>IFERROR((s_dir!T2/(d_Bv!S2+s_MLF_peas)),".")</f>
        <v>83.947706371322411</v>
      </c>
      <c r="U2" s="15">
        <f>IFERROR((s_dir!U2/(d_Bv!T2+s_MLF_peppers)),".")</f>
        <v>83.947706371322411</v>
      </c>
      <c r="V2" s="15">
        <f>IFERROR((s_dir!V2/(d_Bv!U2+s_MLF_potato)),".")</f>
        <v>83.947706371322411</v>
      </c>
      <c r="W2" s="15">
        <f>IFERROR((s_dir!W2/(d_Bv!V2+s_MLF_pumpkin)),".")</f>
        <v>83.947706371322411</v>
      </c>
      <c r="X2" s="15">
        <f>IFERROR((s_dir!X2/(d_Bv!W2+s_MLF_snap_bean)),".")</f>
        <v>83.947706371322411</v>
      </c>
      <c r="Y2" s="15">
        <f>IFERROR((s_dir!Y2/(d_Bv!X2+s_MLF_strawberry)),".")</f>
        <v>83.947706371322411</v>
      </c>
      <c r="Z2" s="15">
        <f>IFERROR((s_dir!Z2/(d_Bv!Y2+s_MLF_tomato)),".")</f>
        <v>83.947706371322411</v>
      </c>
      <c r="AA2" s="15">
        <f>IFERROR((s_dir!AA2/(d_Bv!Z2+s_MLF_rice)),".")</f>
        <v>83.947706371322411</v>
      </c>
      <c r="AB2" s="15">
        <f>IFERROR((s_dir!AB2/(d_Bv!AA2+s_MLF_cereal)),".")</f>
        <v>83.947706371322411</v>
      </c>
      <c r="AC2" s="40">
        <f>SUM(AD2,AU2,BA2:BB2)</f>
        <v>8772.5</v>
      </c>
      <c r="AD2" s="40">
        <f>s_C*(d_Bv!C2+s_MLF_apple)*s_IFAP_res_adj*s_CF_apple</f>
        <v>2193.125</v>
      </c>
      <c r="AE2" s="40">
        <f>s_C*(d_Bv!D2+s_MLF_asparagus)*s_IFAS_res_adj*s_CF_asparagus</f>
        <v>2193.125</v>
      </c>
      <c r="AF2" s="40">
        <f>s_C*(d_Bv!E2+s_MLF_beet)*s_IFBT_res_adj*s_CF_beet</f>
        <v>2193.125</v>
      </c>
      <c r="AG2" s="40">
        <f>s_C*(d_Bv!F2+s_MLF_berries)*s_IFBE_res_adj*s_CF_berries</f>
        <v>2193.125</v>
      </c>
      <c r="AH2" s="40">
        <f>s_C*(d_Bv!G2+s_MLF_broccoli)*s_IFBR_res_adj*s_CF_broccoli</f>
        <v>2193.125</v>
      </c>
      <c r="AI2" s="40">
        <f>s_C*(d_Bv!H2+s_MLF_cabbage)*s_IFCB_res_adj*s_CF_cabbage</f>
        <v>2193.125</v>
      </c>
      <c r="AJ2" s="40">
        <f>s_C*(d_Bv!I2+s_MLF_carrot)*s_IFCR_res_adj*s_CF_carrot</f>
        <v>2193.125</v>
      </c>
      <c r="AK2" s="40">
        <f>s_C*(d_Bv!J2+s_MLF_citrus)*s_IFCI_res_adj*s_CF_citrus</f>
        <v>2193.125</v>
      </c>
      <c r="AL2" s="40">
        <f>s_C*(d_Bv!K2+s_MLF_corn)*s_IFCO_res_adj*s_CF_corn</f>
        <v>2193.125</v>
      </c>
      <c r="AM2" s="40">
        <f>s_C*(d_Bv!L2+s_MLF_cucumber)*s_IFCU_res_adj*s_CF_cucumber</f>
        <v>2193.125</v>
      </c>
      <c r="AN2" s="40">
        <f>s_C*(d_Bv!M2+s_MLF_lettuce)*s_IFLE_res_adj*s_CF_lettuce</f>
        <v>2193.125</v>
      </c>
      <c r="AO2" s="40">
        <f>s_C*(d_Bv!N2+s_MLF_lima_bean)*s_IFLI_res_adj*s_CF_lima_bean</f>
        <v>2193.125</v>
      </c>
      <c r="AP2" s="40">
        <f>s_C*(d_Bv!O2+s_MLF_okra)*s_IFOK_res_adj*s_CF_okra</f>
        <v>2193.125</v>
      </c>
      <c r="AQ2" s="40">
        <f>s_C*(d_Bv!P2+s_MLF_onion)*s_IFON_res_adj*s_CF_onion</f>
        <v>2193.125</v>
      </c>
      <c r="AR2" s="40">
        <f>s_C*(d_Bv!Q2+s_MLF_peach)*s_IFPC_res_adj*s_CF_peach</f>
        <v>2193.125</v>
      </c>
      <c r="AS2" s="40">
        <f>s_C*(d_Bv!R2+s_MLF_pear)*s_IFPR_res_adj*s_CF_pear</f>
        <v>2193.125</v>
      </c>
      <c r="AT2" s="40">
        <f>s_C*(d_Bv!S2+s_MLF_peas)*s_IFPE_res_adj*s_CF_peas</f>
        <v>2193.125</v>
      </c>
      <c r="AU2" s="40">
        <f>s_C*(d_Bv!T2+s_MLF_peppers)*s_IFPP_res_adj*s_CF_peppers</f>
        <v>2193.125</v>
      </c>
      <c r="AV2" s="40">
        <f>s_C*(d_Bv!U2+s_MLF_potato)*s_IFPT_res_adj*s_CF_potato</f>
        <v>2193.125</v>
      </c>
      <c r="AW2" s="40">
        <f>s_C*(d_Bv!V2+s_MLF_pumpkin)*s_IFPU_res_adj*s_CF_pumpkin</f>
        <v>2193.125</v>
      </c>
      <c r="AX2" s="40">
        <f>s_C*(d_Bv!W2+s_MLF_snap_bean)*s_IFSN_res_adj*s_CF_snap_bean</f>
        <v>2193.125</v>
      </c>
      <c r="AY2" s="40">
        <f>s_C*(d_Bv!X2+s_MLF_strawberry)*s_IFST_res_adj*s_CF_strawberry</f>
        <v>2193.125</v>
      </c>
      <c r="AZ2" s="40">
        <f>s_C*(d_Bv!Y2+s_MLF_tomato)*s_IFTO_res_adj*s_CF_tomato</f>
        <v>2193.125</v>
      </c>
      <c r="BA2" s="40">
        <f>s_C*(d_Bv!Z2+s_MLF_rice)*s_IFRI_res_adj*s_CF_rice</f>
        <v>2193.125</v>
      </c>
      <c r="BB2" s="40">
        <f>s_C*(d_Bv!AA2+s_MLF_cereal)*s_IFCG_res_adj*s_CF_cereal</f>
        <v>2193.125</v>
      </c>
      <c r="BC2" s="15">
        <f>IFERROR(1/SUM(1/BD2,1/BU2,1/CA2,1/CB2),".")</f>
        <v>20.986926592830603</v>
      </c>
      <c r="BD2" s="15">
        <f>IFERROR((s_dir!AD2/(d_Bv!C2+s_MLF_apple)),".")</f>
        <v>83.947706371322411</v>
      </c>
      <c r="BE2" s="15">
        <f>IFERROR((s_dir!AE2/(d_Bv!D2+s_MLF_asparagus)),".")</f>
        <v>83.947706371322411</v>
      </c>
      <c r="BF2" s="15">
        <f>IFERROR((s_dir!AF2/(d_Bv!E2+s_MLF_beet)),".")</f>
        <v>83.947706371322411</v>
      </c>
      <c r="BG2" s="15">
        <f>IFERROR((s_dir!AG2/(d_Bv!F2+s_MLF_berries)),".")</f>
        <v>83.947706371322411</v>
      </c>
      <c r="BH2" s="15">
        <f>IFERROR((s_dir!AH2/(d_Bv!G2+s_MLF_broccoli)),".")</f>
        <v>83.947706371322411</v>
      </c>
      <c r="BI2" s="15">
        <f>IFERROR((s_dir!AI2/(d_Bv!H2+s_MLF_cabbage)),".")</f>
        <v>83.947706371322411</v>
      </c>
      <c r="BJ2" s="15">
        <f>IFERROR((s_dir!AJ2/(d_Bv!I2+s_MLF_carrot)),".")</f>
        <v>83.947706371322411</v>
      </c>
      <c r="BK2" s="15">
        <f>IFERROR((s_dir!AK2/(d_Bv!J2+s_MLF_citrus)),".")</f>
        <v>83.947706371322411</v>
      </c>
      <c r="BL2" s="15">
        <f>IFERROR((s_dir!AL2/(d_Bv!K2+s_MLF_corn)),".")</f>
        <v>83.947706371322411</v>
      </c>
      <c r="BM2" s="15">
        <f>IFERROR((s_dir!AM2/(d_Bv!L2+s_MLF_cucumber)),".")</f>
        <v>83.947706371322411</v>
      </c>
      <c r="BN2" s="15">
        <f>IFERROR((s_dir!AN2/(d_Bv!M2+s_MLF_lettuce)),".")</f>
        <v>83.947706371322411</v>
      </c>
      <c r="BO2" s="15">
        <f>IFERROR((s_dir!AO2/(d_Bv!N2+s_MLF_lima_bean)),".")</f>
        <v>83.947706371322411</v>
      </c>
      <c r="BP2" s="15">
        <f>IFERROR((s_dir!AP2/(d_Bv!O2+s_MLF_okra)),".")</f>
        <v>83.947706371322411</v>
      </c>
      <c r="BQ2" s="15">
        <f>IFERROR((s_dir!AQ2/(d_Bv!P2+s_MLF_onion)),".")</f>
        <v>83.947706371322411</v>
      </c>
      <c r="BR2" s="15">
        <f>IFERROR((s_dir!AR2/(d_Bv!Q2+s_MLF_peach)),".")</f>
        <v>83.947706371322411</v>
      </c>
      <c r="BS2" s="15">
        <f>IFERROR((s_dir!AS2/(d_Bv!R2+s_MLF_pear)),".")</f>
        <v>83.947706371322411</v>
      </c>
      <c r="BT2" s="15">
        <f>IFERROR((s_dir!AT2/(d_Bv!S2+s_MLF_peas)),".")</f>
        <v>83.947706371322411</v>
      </c>
      <c r="BU2" s="15">
        <f>IFERROR((s_dir!AU2/(d_Bv!T2+s_MLF_peppers)),".")</f>
        <v>83.947706371322411</v>
      </c>
      <c r="BV2" s="15">
        <f>IFERROR((s_dir!AV2/(d_Bv!U2+s_MLF_potato)),".")</f>
        <v>83.947706371322411</v>
      </c>
      <c r="BW2" s="15">
        <f>IFERROR((s_dir!AW2/(d_Bv!V2+s_MLF_pumpkin)),".")</f>
        <v>83.947706371322411</v>
      </c>
      <c r="BX2" s="15">
        <f>IFERROR((s_dir!AX2/(d_Bv!W2+s_MLF_snap_bean)),".")</f>
        <v>83.947706371322411</v>
      </c>
      <c r="BY2" s="15">
        <f>IFERROR((s_dir!AY2/(d_Bv!X2+s_MLF_strawberry)),".")</f>
        <v>83.947706371322411</v>
      </c>
      <c r="BZ2" s="15">
        <f>IFERROR((s_dir!AZ2/(d_Bv!Y2+s_MLF_tomato)),".")</f>
        <v>83.947706371322411</v>
      </c>
      <c r="CA2" s="15">
        <f>IFERROR((s_dir!BA2/(d_Bv!Z2+s_MLF_rice)),".")</f>
        <v>83.947706371322411</v>
      </c>
      <c r="CB2" s="15">
        <f>IFERROR((s_dir!BB2/(d_Bv!AA2+s_MLF_cereal)),".")</f>
        <v>83.947706371322411</v>
      </c>
      <c r="CC2" s="40">
        <f>SUM(CD2,CU2,DA2:DB2)</f>
        <v>8772.5</v>
      </c>
      <c r="CD2" s="40">
        <f>IFERROR(s_C*(d_Bv!C2+s_MLF_apple)*s_IFAP_far_adj*s_CF_apple,".")</f>
        <v>2193.125</v>
      </c>
      <c r="CE2" s="40">
        <f>IFERROR(s_C*(d_Bv!D2+s_MLF_asparagus)*s_IFAS_far_adj*s_CF_asparagus,".")</f>
        <v>2193.125</v>
      </c>
      <c r="CF2" s="40">
        <f>IFERROR(s_C*(d_Bv!E2+s_MLF_beet)*s_IFBT_far_adj*s_CF_beet,".")</f>
        <v>2193.125</v>
      </c>
      <c r="CG2" s="40">
        <f>IFERROR(s_C*(d_Bv!F2+s_MLF_berries)*s_IFBR_far_adj*s_CF_berries,".")</f>
        <v>2193.125</v>
      </c>
      <c r="CH2" s="40">
        <f>IFERROR(s_C*(d_Bv!G2+s_MLF_broccoli)*s_IFBR_far_adj*s_CF_broccoli,".")</f>
        <v>2193.125</v>
      </c>
      <c r="CI2" s="40">
        <f>IFERROR(s_C*(d_Bv!H2+s_MLF_cabbage)*s_IFCB_far_adj*s_CF_cabbage,".")</f>
        <v>2193.125</v>
      </c>
      <c r="CJ2" s="40">
        <f>IFERROR(s_C*(d_Bv!I2+s_MLF_carrot)*s_IFCR_far_adj*s_CF_carrot,".")</f>
        <v>2193.125</v>
      </c>
      <c r="CK2" s="40">
        <f>IFERROR(s_C*(d_Bv!J2+s_MLF_citrus)*s_IFCI_far_adj*s_CF_citrus,".")</f>
        <v>2193.125</v>
      </c>
      <c r="CL2" s="40">
        <f>IFERROR(s_C*(d_Bv!K2+s_MLF_corn)*s_IFCO_far_adj*s_CF_corn,".")</f>
        <v>2193.125</v>
      </c>
      <c r="CM2" s="40">
        <f>IFERROR(s_C*(d_Bv!L2+s_MLF_cucumber)*s_IFCU_far_adj*s_CF_cucumber,".")</f>
        <v>2193.125</v>
      </c>
      <c r="CN2" s="40">
        <f>IFERROR(s_C*(d_Bv!M2+s_MLF_lettuce)*s_IFLE_far_adj*s_CF_lettuce,".")</f>
        <v>2193.125</v>
      </c>
      <c r="CO2" s="40">
        <f>IFERROR(s_C*(d_Bv!N2+s_MLF_lima_bean)*s_IFLI_far_adj*s_CF_lima_bean,".")</f>
        <v>2193.125</v>
      </c>
      <c r="CP2" s="40">
        <f>IFERROR(s_C*(d_Bv!O2+s_MLF_okra)*s_IFOK_far_adj*s_CF_okra,".")</f>
        <v>2193.125</v>
      </c>
      <c r="CQ2" s="40">
        <f>IFERROR(s_C*(d_Bv!P2+s_MLF_onion)*s_IFON_far_adj*s_CF_onion,".")</f>
        <v>2193.125</v>
      </c>
      <c r="CR2" s="40">
        <f>IFERROR(s_C*(d_Bv!Q2+s_MLF_peach)*s_IFPC_far_adj*s_CF_peach,".")</f>
        <v>2193.125</v>
      </c>
      <c r="CS2" s="40">
        <f>IFERROR(s_C*(d_Bv!R2+s_MLF_pear)*s_IFPR_far_adj*s_CF_pear,".")</f>
        <v>2193.125</v>
      </c>
      <c r="CT2" s="40">
        <f>IFERROR(s_C*(d_Bv!S2+s_MLF_peas)*s_IFPE_far_adj*s_CF_peas,".")</f>
        <v>2193.125</v>
      </c>
      <c r="CU2" s="40">
        <f>IFERROR(s_C*(d_Bv!T2+s_MLF_peppers)*s_IFPP_far_adj*s_CF_peppers,".")</f>
        <v>2193.125</v>
      </c>
      <c r="CV2" s="40">
        <f>IFERROR(s_C*(d_Bv!U2+s_MLF_potato)*s_IFPT_far_adj*s_CF_potato,".")</f>
        <v>2193.125</v>
      </c>
      <c r="CW2" s="40">
        <f>IFERROR(s_C*(d_Bv!V2+s_MLF_pumpkin)*s_IFPU_far_adj*s_CF_pumpkin,".")</f>
        <v>2193.125</v>
      </c>
      <c r="CX2" s="40">
        <f>IFERROR(s_C*(d_Bv!W2+s_MLF_snap_bean)*s_IFSN_far_adj*s_CF_snap_bean,".")</f>
        <v>2193.125</v>
      </c>
      <c r="CY2" s="40">
        <f>IFERROR(s_C*(d_Bv!X2+s_MLF_strawberry)*s_IFST_far_adj*s_CF_strawberry,".")</f>
        <v>2193.125</v>
      </c>
      <c r="CZ2" s="40">
        <f>IFERROR(s_C*(d_Bv!Y2+s_MLF_tomato)*s_IFTO_far_adj*s_CF_tomato,".")</f>
        <v>2193.125</v>
      </c>
      <c r="DA2" s="40">
        <f>IFERROR(s_C*(d_Bv!Z2+s_MLF_rice)*s_IFRI_far_adj*s_CF_rice,".")</f>
        <v>2193.125</v>
      </c>
      <c r="DB2" s="40">
        <f>IFERROR(s_C*(d_Bv!AA2+s_MLF_cereal)*s_IFCG_far_adj*s_CF_cereal,".")</f>
        <v>2193.125</v>
      </c>
    </row>
    <row r="3" spans="1:106" x14ac:dyDescent="0.25">
      <c r="A3" s="46" t="s">
        <v>13</v>
      </c>
      <c r="B3" s="42" t="s">
        <v>349</v>
      </c>
      <c r="C3" s="15">
        <f t="shared" ref="C3:C30" si="0">IFERROR(1/SUM(1/D3,1/U3,1/AA3,1/AB3),".")</f>
        <v>44.663631533305939</v>
      </c>
      <c r="D3" s="15">
        <f>IFERROR((s_dir!D3/(d_Bv!C3+s_MLF_apple)),".")</f>
        <v>182.90930560602183</v>
      </c>
      <c r="E3" s="15">
        <f>IFERROR((s_dir!E3/(d_Bv!D3+s_MLF_asparagus)),".")</f>
        <v>179.73462702651284</v>
      </c>
      <c r="F3" s="15">
        <f>IFERROR((s_dir!F3/(d_Bv!E3+s_MLF_beet)),".")</f>
        <v>174.66096077311795</v>
      </c>
      <c r="G3" s="15">
        <f>IFERROR((s_dir!G3/(d_Bv!F3+s_MLF_berries)),".")</f>
        <v>173.07313385699871</v>
      </c>
      <c r="H3" s="15">
        <f>IFERROR((s_dir!H3/(d_Bv!G3+s_MLF_broccoli)),".")</f>
        <v>178.56751905880822</v>
      </c>
      <c r="I3" s="15">
        <f>IFERROR((s_dir!I3/(d_Bv!H3+s_MLF_cabbage)),".")</f>
        <v>179.73462702651284</v>
      </c>
      <c r="J3" s="15">
        <f>IFERROR((s_dir!J3/(d_Bv!I3+s_MLF_carrot)),".")</f>
        <v>174.66096077311795</v>
      </c>
      <c r="K3" s="15">
        <f>IFERROR((s_dir!K3/(d_Bv!J3+s_MLF_citrus)),".")</f>
        <v>182.90930560602183</v>
      </c>
      <c r="L3" s="15">
        <f>IFERROR((s_dir!L3/(d_Bv!K3+s_MLF_corn)),".")</f>
        <v>182.65282761292116</v>
      </c>
      <c r="M3" s="15">
        <f>IFERROR((s_dir!M3/(d_Bv!L3+s_MLF_cucumber)),".")</f>
        <v>178.56751905880822</v>
      </c>
      <c r="N3" s="15">
        <f>IFERROR((s_dir!N3/(d_Bv!M3+s_MLF_lettuce)),".")</f>
        <v>179.73462702651284</v>
      </c>
      <c r="O3" s="15">
        <f>IFERROR((s_dir!O3/(d_Bv!N3+s_MLF_lima_bean)),".")</f>
        <v>178.31021715814708</v>
      </c>
      <c r="P3" s="15">
        <f>IFERROR((s_dir!P3/(d_Bv!O3+s_MLF_okra)),".")</f>
        <v>178.56751905880822</v>
      </c>
      <c r="Q3" s="15">
        <f>IFERROR((s_dir!Q3/(d_Bv!P3+s_MLF_onion)),".")</f>
        <v>174.66096077311795</v>
      </c>
      <c r="R3" s="15">
        <f>IFERROR((s_dir!R3/(d_Bv!Q3+s_MLF_peach)),".")</f>
        <v>182.90930560602183</v>
      </c>
      <c r="S3" s="15">
        <f>IFERROR((s_dir!S3/(d_Bv!R3+s_MLF_pear)),".")</f>
        <v>182.90930560602183</v>
      </c>
      <c r="T3" s="15">
        <f>IFERROR((s_dir!T3/(d_Bv!S3+s_MLF_peas)),".")</f>
        <v>178.31021715814708</v>
      </c>
      <c r="U3" s="15">
        <f>IFERROR((s_dir!U3/(d_Bv!T3+s_MLF_peppers)),".")</f>
        <v>178.56751905880822</v>
      </c>
      <c r="V3" s="15">
        <f>IFERROR((s_dir!V3/(d_Bv!U3+s_MLF_potato)),".")</f>
        <v>180.52121182750412</v>
      </c>
      <c r="W3" s="15">
        <f>IFERROR((s_dir!W3/(d_Bv!V3+s_MLF_pumpkin)),".")</f>
        <v>178.56751905880822</v>
      </c>
      <c r="X3" s="15">
        <f>IFERROR((s_dir!X3/(d_Bv!W3+s_MLF_snap_bean)),".")</f>
        <v>178.31021715814708</v>
      </c>
      <c r="Y3" s="15">
        <f>IFERROR((s_dir!Y3/(d_Bv!X3+s_MLF_strawberry)),".")</f>
        <v>181.84759839493617</v>
      </c>
      <c r="Z3" s="15">
        <f>IFERROR((s_dir!Z3/(d_Bv!Y3+s_MLF_tomato)),".")</f>
        <v>178.56751905880822</v>
      </c>
      <c r="AA3" s="15">
        <f>IFERROR((s_dir!AA3/(d_Bv!Z3+s_MLF_rice)),".")</f>
        <v>170.68591821759185</v>
      </c>
      <c r="AB3" s="15">
        <f>IFERROR((s_dir!AB3/(d_Bv!AA3+s_MLF_cereal)),".")</f>
        <v>183.03104675011696</v>
      </c>
      <c r="AC3" s="40">
        <f t="shared" ref="AC3:AC66" si="1">SUM(AD3,AU3,BA3:BB3)</f>
        <v>8381.2162499999995</v>
      </c>
      <c r="AD3" s="40">
        <f>s_C*(d_Bv!C3+s_MLF_apple)*s_IFAP_res_adj*s_CF_apple</f>
        <v>2046.5637499999998</v>
      </c>
      <c r="AE3" s="40">
        <f>s_C*(d_Bv!D3+s_MLF_asparagus)*s_IFAS_res_adj*s_CF_asparagus</f>
        <v>2082.7124999999996</v>
      </c>
      <c r="AF3" s="40">
        <f>s_C*(d_Bv!E3+s_MLF_beet)*s_IFBT_res_adj*s_CF_beet</f>
        <v>2143.2125000000001</v>
      </c>
      <c r="AG3" s="40">
        <f>s_C*(d_Bv!F3+s_MLF_berries)*s_IFBE_res_adj*s_CF_berries</f>
        <v>2162.8750000000005</v>
      </c>
      <c r="AH3" s="40">
        <f>s_C*(d_Bv!G3+s_MLF_broccoli)*s_IFBR_res_adj*s_CF_broccoli</f>
        <v>2096.3249999999998</v>
      </c>
      <c r="AI3" s="40">
        <f>s_C*(d_Bv!H3+s_MLF_cabbage)*s_IFCB_res_adj*s_CF_cabbage</f>
        <v>2082.7124999999996</v>
      </c>
      <c r="AJ3" s="40">
        <f>s_C*(d_Bv!I3+s_MLF_carrot)*s_IFCR_res_adj*s_CF_carrot</f>
        <v>2143.2125000000001</v>
      </c>
      <c r="AK3" s="40">
        <f>s_C*(d_Bv!J3+s_MLF_citrus)*s_IFCI_res_adj*s_CF_citrus</f>
        <v>2046.5637499999998</v>
      </c>
      <c r="AL3" s="40">
        <f>s_C*(d_Bv!K3+s_MLF_corn)*s_IFCO_res_adj*s_CF_corn</f>
        <v>2049.4375</v>
      </c>
      <c r="AM3" s="40">
        <f>s_C*(d_Bv!L3+s_MLF_cucumber)*s_IFCU_res_adj*s_CF_cucumber</f>
        <v>2096.3249999999998</v>
      </c>
      <c r="AN3" s="40">
        <f>s_C*(d_Bv!M3+s_MLF_lettuce)*s_IFLE_res_adj*s_CF_lettuce</f>
        <v>2082.7124999999996</v>
      </c>
      <c r="AO3" s="40">
        <f>s_C*(d_Bv!N3+s_MLF_lima_bean)*s_IFLI_res_adj*s_CF_lima_bean</f>
        <v>2099.35</v>
      </c>
      <c r="AP3" s="40">
        <f>s_C*(d_Bv!O3+s_MLF_okra)*s_IFOK_res_adj*s_CF_okra</f>
        <v>2096.3249999999998</v>
      </c>
      <c r="AQ3" s="40">
        <f>s_C*(d_Bv!P3+s_MLF_onion)*s_IFON_res_adj*s_CF_onion</f>
        <v>2143.2125000000001</v>
      </c>
      <c r="AR3" s="40">
        <f>s_C*(d_Bv!Q3+s_MLF_peach)*s_IFPC_res_adj*s_CF_peach</f>
        <v>2046.5637499999998</v>
      </c>
      <c r="AS3" s="40">
        <f>s_C*(d_Bv!R3+s_MLF_pear)*s_IFPR_res_adj*s_CF_pear</f>
        <v>2046.5637499999998</v>
      </c>
      <c r="AT3" s="40">
        <f>s_C*(d_Bv!S3+s_MLF_peas)*s_IFPE_res_adj*s_CF_peas</f>
        <v>2099.35</v>
      </c>
      <c r="AU3" s="40">
        <f>s_C*(d_Bv!T3+s_MLF_peppers)*s_IFPP_res_adj*s_CF_peppers</f>
        <v>2096.3249999999998</v>
      </c>
      <c r="AV3" s="40">
        <f>s_C*(d_Bv!U3+s_MLF_potato)*s_IFPT_res_adj*s_CF_potato</f>
        <v>2073.6374999999998</v>
      </c>
      <c r="AW3" s="40">
        <f>s_C*(d_Bv!V3+s_MLF_pumpkin)*s_IFPU_res_adj*s_CF_pumpkin</f>
        <v>2096.3249999999998</v>
      </c>
      <c r="AX3" s="40">
        <f>s_C*(d_Bv!W3+s_MLF_snap_bean)*s_IFSN_res_adj*s_CF_snap_bean</f>
        <v>2099.35</v>
      </c>
      <c r="AY3" s="40">
        <f>s_C*(d_Bv!X3+s_MLF_strawberry)*s_IFST_res_adj*s_CF_strawberry</f>
        <v>2058.5124999999998</v>
      </c>
      <c r="AZ3" s="40">
        <f>s_C*(d_Bv!Y3+s_MLF_tomato)*s_IFTO_res_adj*s_CF_tomato</f>
        <v>2096.3249999999998</v>
      </c>
      <c r="BA3" s="40">
        <f>s_C*(d_Bv!Z3+s_MLF_rice)*s_IFRI_res_adj*s_CF_rice</f>
        <v>2193.125</v>
      </c>
      <c r="BB3" s="40">
        <f>s_C*(d_Bv!AA3+s_MLF_cereal)*s_IFCG_res_adj*s_CF_cereal</f>
        <v>2045.2025000000001</v>
      </c>
      <c r="BC3" s="15">
        <f t="shared" ref="BC3:BC30" si="2">IFERROR(1/SUM(1/BD3,1/BU3,1/CA3,1/CB3),".")</f>
        <v>44.663631533305939</v>
      </c>
      <c r="BD3" s="15">
        <f>IFERROR((s_dir!AD3/(d_Bv!C3+s_MLF_apple)),".")</f>
        <v>182.90930560602183</v>
      </c>
      <c r="BE3" s="15">
        <f>IFERROR((s_dir!AE3/(d_Bv!D3+s_MLF_asparagus)),".")</f>
        <v>179.73462702651284</v>
      </c>
      <c r="BF3" s="15">
        <f>IFERROR((s_dir!AF3/(d_Bv!E3+s_MLF_beet)),".")</f>
        <v>174.66096077311795</v>
      </c>
      <c r="BG3" s="15">
        <f>IFERROR((s_dir!AG3/(d_Bv!F3+s_MLF_berries)),".")</f>
        <v>173.07313385699871</v>
      </c>
      <c r="BH3" s="15">
        <f>IFERROR((s_dir!AH3/(d_Bv!G3+s_MLF_broccoli)),".")</f>
        <v>178.56751905880822</v>
      </c>
      <c r="BI3" s="15">
        <f>IFERROR((s_dir!AI3/(d_Bv!H3+s_MLF_cabbage)),".")</f>
        <v>179.73462702651284</v>
      </c>
      <c r="BJ3" s="15">
        <f>IFERROR((s_dir!AJ3/(d_Bv!I3+s_MLF_carrot)),".")</f>
        <v>174.66096077311795</v>
      </c>
      <c r="BK3" s="15">
        <f>IFERROR((s_dir!AK3/(d_Bv!J3+s_MLF_citrus)),".")</f>
        <v>182.90930560602183</v>
      </c>
      <c r="BL3" s="15">
        <f>IFERROR((s_dir!AL3/(d_Bv!K3+s_MLF_corn)),".")</f>
        <v>182.65282761292116</v>
      </c>
      <c r="BM3" s="15">
        <f>IFERROR((s_dir!AM3/(d_Bv!L3+s_MLF_cucumber)),".")</f>
        <v>178.56751905880822</v>
      </c>
      <c r="BN3" s="15">
        <f>IFERROR((s_dir!AN3/(d_Bv!M3+s_MLF_lettuce)),".")</f>
        <v>179.73462702651284</v>
      </c>
      <c r="BO3" s="15">
        <f>IFERROR((s_dir!AO3/(d_Bv!N3+s_MLF_lima_bean)),".")</f>
        <v>178.31021715814708</v>
      </c>
      <c r="BP3" s="15">
        <f>IFERROR((s_dir!AP3/(d_Bv!O3+s_MLF_okra)),".")</f>
        <v>178.56751905880822</v>
      </c>
      <c r="BQ3" s="15">
        <f>IFERROR((s_dir!AQ3/(d_Bv!P3+s_MLF_onion)),".")</f>
        <v>174.66096077311795</v>
      </c>
      <c r="BR3" s="15">
        <f>IFERROR((s_dir!AR3/(d_Bv!Q3+s_MLF_peach)),".")</f>
        <v>182.90930560602183</v>
      </c>
      <c r="BS3" s="15">
        <f>IFERROR((s_dir!AS3/(d_Bv!R3+s_MLF_pear)),".")</f>
        <v>182.90930560602183</v>
      </c>
      <c r="BT3" s="15">
        <f>IFERROR((s_dir!AT3/(d_Bv!S3+s_MLF_peas)),".")</f>
        <v>178.31021715814708</v>
      </c>
      <c r="BU3" s="15">
        <f>IFERROR((s_dir!AU3/(d_Bv!T3+s_MLF_peppers)),".")</f>
        <v>178.56751905880822</v>
      </c>
      <c r="BV3" s="15">
        <f>IFERROR((s_dir!AV3/(d_Bv!U3+s_MLF_potato)),".")</f>
        <v>180.52121182750412</v>
      </c>
      <c r="BW3" s="15">
        <f>IFERROR((s_dir!AW3/(d_Bv!V3+s_MLF_pumpkin)),".")</f>
        <v>178.56751905880822</v>
      </c>
      <c r="BX3" s="15">
        <f>IFERROR((s_dir!AX3/(d_Bv!W3+s_MLF_snap_bean)),".")</f>
        <v>178.31021715814708</v>
      </c>
      <c r="BY3" s="15">
        <f>IFERROR((s_dir!AY3/(d_Bv!X3+s_MLF_strawberry)),".")</f>
        <v>181.84759839493617</v>
      </c>
      <c r="BZ3" s="15">
        <f>IFERROR((s_dir!AZ3/(d_Bv!Y3+s_MLF_tomato)),".")</f>
        <v>178.56751905880822</v>
      </c>
      <c r="CA3" s="15">
        <f>IFERROR((s_dir!BA3/(d_Bv!Z3+s_MLF_rice)),".")</f>
        <v>170.68591821759185</v>
      </c>
      <c r="CB3" s="15">
        <f>IFERROR((s_dir!BB3/(d_Bv!AA3+s_MLF_cereal)),".")</f>
        <v>183.03104675011696</v>
      </c>
      <c r="CC3" s="40">
        <f t="shared" ref="CC3:CC66" si="3">SUM(CD3,CU3,DA3:DB3)</f>
        <v>8381.2162499999995</v>
      </c>
      <c r="CD3" s="40">
        <f>IFERROR(s_C*(d_Bv!C3+s_MLF_apple)*s_IFAP_far_adj*s_CF_apple,".")</f>
        <v>2046.5637499999998</v>
      </c>
      <c r="CE3" s="40">
        <f>IFERROR(s_C*(d_Bv!D3+s_MLF_asparagus)*s_IFAS_far_adj*s_CF_asparagus,".")</f>
        <v>2082.7124999999996</v>
      </c>
      <c r="CF3" s="40">
        <f>IFERROR(s_C*(d_Bv!E3+s_MLF_beet)*s_IFBT_far_adj*s_CF_beet,".")</f>
        <v>2143.2125000000001</v>
      </c>
      <c r="CG3" s="40">
        <f>IFERROR(s_C*(d_Bv!F3+s_MLF_berries)*s_IFBR_far_adj*s_CF_berries,".")</f>
        <v>2162.8750000000005</v>
      </c>
      <c r="CH3" s="40">
        <f>IFERROR(s_C*(d_Bv!G3+s_MLF_broccoli)*s_IFBR_far_adj*s_CF_broccoli,".")</f>
        <v>2096.3249999999998</v>
      </c>
      <c r="CI3" s="40">
        <f>IFERROR(s_C*(d_Bv!H3+s_MLF_cabbage)*s_IFCB_far_adj*s_CF_cabbage,".")</f>
        <v>2082.7124999999996</v>
      </c>
      <c r="CJ3" s="40">
        <f>IFERROR(s_C*(d_Bv!I3+s_MLF_carrot)*s_IFCR_far_adj*s_CF_carrot,".")</f>
        <v>2143.2125000000001</v>
      </c>
      <c r="CK3" s="40">
        <f>IFERROR(s_C*(d_Bv!J3+s_MLF_citrus)*s_IFCI_far_adj*s_CF_citrus,".")</f>
        <v>2046.5637499999998</v>
      </c>
      <c r="CL3" s="40">
        <f>IFERROR(s_C*(d_Bv!K3+s_MLF_corn)*s_IFCO_far_adj*s_CF_corn,".")</f>
        <v>2049.4375</v>
      </c>
      <c r="CM3" s="40">
        <f>IFERROR(s_C*(d_Bv!L3+s_MLF_cucumber)*s_IFCU_far_adj*s_CF_cucumber,".")</f>
        <v>2096.3249999999998</v>
      </c>
      <c r="CN3" s="40">
        <f>IFERROR(s_C*(d_Bv!M3+s_MLF_lettuce)*s_IFLE_far_adj*s_CF_lettuce,".")</f>
        <v>2082.7124999999996</v>
      </c>
      <c r="CO3" s="40">
        <f>IFERROR(s_C*(d_Bv!N3+s_MLF_lima_bean)*s_IFLI_far_adj*s_CF_lima_bean,".")</f>
        <v>2099.35</v>
      </c>
      <c r="CP3" s="40">
        <f>IFERROR(s_C*(d_Bv!O3+s_MLF_okra)*s_IFOK_far_adj*s_CF_okra,".")</f>
        <v>2096.3249999999998</v>
      </c>
      <c r="CQ3" s="40">
        <f>IFERROR(s_C*(d_Bv!P3+s_MLF_onion)*s_IFON_far_adj*s_CF_onion,".")</f>
        <v>2143.2125000000001</v>
      </c>
      <c r="CR3" s="40">
        <f>IFERROR(s_C*(d_Bv!Q3+s_MLF_peach)*s_IFPC_far_adj*s_CF_peach,".")</f>
        <v>2046.5637499999998</v>
      </c>
      <c r="CS3" s="40">
        <f>IFERROR(s_C*(d_Bv!R3+s_MLF_pear)*s_IFPR_far_adj*s_CF_pear,".")</f>
        <v>2046.5637499999998</v>
      </c>
      <c r="CT3" s="40">
        <f>IFERROR(s_C*(d_Bv!S3+s_MLF_peas)*s_IFPE_far_adj*s_CF_peas,".")</f>
        <v>2099.35</v>
      </c>
      <c r="CU3" s="40">
        <f>IFERROR(s_C*(d_Bv!T3+s_MLF_peppers)*s_IFPP_far_adj*s_CF_peppers,".")</f>
        <v>2096.3249999999998</v>
      </c>
      <c r="CV3" s="40">
        <f>IFERROR(s_C*(d_Bv!U3+s_MLF_potato)*s_IFPT_far_adj*s_CF_potato,".")</f>
        <v>2073.6374999999998</v>
      </c>
      <c r="CW3" s="40">
        <f>IFERROR(s_C*(d_Bv!V3+s_MLF_pumpkin)*s_IFPU_far_adj*s_CF_pumpkin,".")</f>
        <v>2096.3249999999998</v>
      </c>
      <c r="CX3" s="40">
        <f>IFERROR(s_C*(d_Bv!W3+s_MLF_snap_bean)*s_IFSN_far_adj*s_CF_snap_bean,".")</f>
        <v>2099.35</v>
      </c>
      <c r="CY3" s="40">
        <f>IFERROR(s_C*(d_Bv!X3+s_MLF_strawberry)*s_IFST_far_adj*s_CF_strawberry,".")</f>
        <v>2058.5124999999998</v>
      </c>
      <c r="CZ3" s="40">
        <f>IFERROR(s_C*(d_Bv!Y3+s_MLF_tomato)*s_IFTO_far_adj*s_CF_tomato,".")</f>
        <v>2096.3249999999998</v>
      </c>
      <c r="DA3" s="40">
        <f>IFERROR(s_C*(d_Bv!Z3+s_MLF_rice)*s_IFRI_far_adj*s_CF_rice,".")</f>
        <v>2193.125</v>
      </c>
      <c r="DB3" s="40">
        <f>IFERROR(s_C*(d_Bv!AA3+s_MLF_cereal)*s_IFCG_far_adj*s_CF_cereal,".")</f>
        <v>2045.2025000000001</v>
      </c>
    </row>
    <row r="4" spans="1:106" ht="15" customHeight="1" x14ac:dyDescent="0.25">
      <c r="A4" s="44" t="s">
        <v>14</v>
      </c>
      <c r="B4" s="42" t="s">
        <v>1071</v>
      </c>
      <c r="C4" s="15" t="str">
        <f t="shared" si="0"/>
        <v>.</v>
      </c>
      <c r="D4" s="15" t="str">
        <f>IFERROR((s_dir!D4/(d_Bv!C4+s_MLF_apple)),".")</f>
        <v>.</v>
      </c>
      <c r="E4" s="15" t="str">
        <f>IFERROR((s_dir!E4/(d_Bv!D4+s_MLF_asparagus)),".")</f>
        <v>.</v>
      </c>
      <c r="F4" s="15" t="str">
        <f>IFERROR((s_dir!F4/(d_Bv!E4+s_MLF_beet)),".")</f>
        <v>.</v>
      </c>
      <c r="G4" s="15" t="str">
        <f>IFERROR((s_dir!G4/(d_Bv!F4+s_MLF_berries)),".")</f>
        <v>.</v>
      </c>
      <c r="H4" s="15" t="str">
        <f>IFERROR((s_dir!H4/(d_Bv!G4+s_MLF_broccoli)),".")</f>
        <v>.</v>
      </c>
      <c r="I4" s="15" t="str">
        <f>IFERROR((s_dir!I4/(d_Bv!H4+s_MLF_cabbage)),".")</f>
        <v>.</v>
      </c>
      <c r="J4" s="15" t="str">
        <f>IFERROR((s_dir!J4/(d_Bv!I4+s_MLF_carrot)),".")</f>
        <v>.</v>
      </c>
      <c r="K4" s="15" t="str">
        <f>IFERROR((s_dir!K4/(d_Bv!J4+s_MLF_citrus)),".")</f>
        <v>.</v>
      </c>
      <c r="L4" s="15" t="str">
        <f>IFERROR((s_dir!L4/(d_Bv!K4+s_MLF_corn)),".")</f>
        <v>.</v>
      </c>
      <c r="M4" s="15" t="str">
        <f>IFERROR((s_dir!M4/(d_Bv!L4+s_MLF_cucumber)),".")</f>
        <v>.</v>
      </c>
      <c r="N4" s="15" t="str">
        <f>IFERROR((s_dir!N4/(d_Bv!M4+s_MLF_lettuce)),".")</f>
        <v>.</v>
      </c>
      <c r="O4" s="15" t="str">
        <f>IFERROR((s_dir!O4/(d_Bv!N4+s_MLF_lima_bean)),".")</f>
        <v>.</v>
      </c>
      <c r="P4" s="15" t="str">
        <f>IFERROR((s_dir!P4/(d_Bv!O4+s_MLF_okra)),".")</f>
        <v>.</v>
      </c>
      <c r="Q4" s="15" t="str">
        <f>IFERROR((s_dir!Q4/(d_Bv!P4+s_MLF_onion)),".")</f>
        <v>.</v>
      </c>
      <c r="R4" s="15" t="str">
        <f>IFERROR((s_dir!R4/(d_Bv!Q4+s_MLF_peach)),".")</f>
        <v>.</v>
      </c>
      <c r="S4" s="15" t="str">
        <f>IFERROR((s_dir!S4/(d_Bv!R4+s_MLF_pear)),".")</f>
        <v>.</v>
      </c>
      <c r="T4" s="15" t="str">
        <f>IFERROR((s_dir!T4/(d_Bv!S4+s_MLF_peas)),".")</f>
        <v>.</v>
      </c>
      <c r="U4" s="15" t="str">
        <f>IFERROR((s_dir!U4/(d_Bv!T4+s_MLF_peppers)),".")</f>
        <v>.</v>
      </c>
      <c r="V4" s="15" t="str">
        <f>IFERROR((s_dir!V4/(d_Bv!U4+s_MLF_potato)),".")</f>
        <v>.</v>
      </c>
      <c r="W4" s="15" t="str">
        <f>IFERROR((s_dir!W4/(d_Bv!V4+s_MLF_pumpkin)),".")</f>
        <v>.</v>
      </c>
      <c r="X4" s="15" t="str">
        <f>IFERROR((s_dir!X4/(d_Bv!W4+s_MLF_snap_bean)),".")</f>
        <v>.</v>
      </c>
      <c r="Y4" s="15" t="str">
        <f>IFERROR((s_dir!Y4/(d_Bv!X4+s_MLF_strawberry)),".")</f>
        <v>.</v>
      </c>
      <c r="Z4" s="15" t="str">
        <f>IFERROR((s_dir!Z4/(d_Bv!Y4+s_MLF_tomato)),".")</f>
        <v>.</v>
      </c>
      <c r="AA4" s="15" t="str">
        <f>IFERROR((s_dir!AA4/(d_Bv!Z4+s_MLF_rice)),".")</f>
        <v>.</v>
      </c>
      <c r="AB4" s="15" t="str">
        <f>IFERROR((s_dir!AB4/(d_Bv!AA4+s_MLF_cereal)),".")</f>
        <v>.</v>
      </c>
      <c r="AC4" s="40">
        <f t="shared" si="1"/>
        <v>129167.50000000001</v>
      </c>
      <c r="AD4" s="40">
        <f>s_C*(d_Bv!C4+s_MLF_apple)*s_IFAP_res_adj*s_CF_apple</f>
        <v>32291.875000000004</v>
      </c>
      <c r="AE4" s="40">
        <f>s_C*(d_Bv!D4+s_MLF_asparagus)*s_IFAS_res_adj*s_CF_asparagus</f>
        <v>32291.875000000004</v>
      </c>
      <c r="AF4" s="40">
        <f>s_C*(d_Bv!E4+s_MLF_beet)*s_IFBT_res_adj*s_CF_beet</f>
        <v>32291.875000000004</v>
      </c>
      <c r="AG4" s="40">
        <f>s_C*(d_Bv!F4+s_MLF_berries)*s_IFBE_res_adj*s_CF_berries</f>
        <v>32291.875000000004</v>
      </c>
      <c r="AH4" s="40">
        <f>s_C*(d_Bv!G4+s_MLF_broccoli)*s_IFBR_res_adj*s_CF_broccoli</f>
        <v>32291.875000000004</v>
      </c>
      <c r="AI4" s="40">
        <f>s_C*(d_Bv!H4+s_MLF_cabbage)*s_IFCB_res_adj*s_CF_cabbage</f>
        <v>32291.875000000004</v>
      </c>
      <c r="AJ4" s="40">
        <f>s_C*(d_Bv!I4+s_MLF_carrot)*s_IFCR_res_adj*s_CF_carrot</f>
        <v>32291.875000000004</v>
      </c>
      <c r="AK4" s="40">
        <f>s_C*(d_Bv!J4+s_MLF_citrus)*s_IFCI_res_adj*s_CF_citrus</f>
        <v>32291.875000000004</v>
      </c>
      <c r="AL4" s="40">
        <f>s_C*(d_Bv!K4+s_MLF_corn)*s_IFCO_res_adj*s_CF_corn</f>
        <v>32291.875000000004</v>
      </c>
      <c r="AM4" s="40">
        <f>s_C*(d_Bv!L4+s_MLF_cucumber)*s_IFCU_res_adj*s_CF_cucumber</f>
        <v>32291.875000000004</v>
      </c>
      <c r="AN4" s="40">
        <f>s_C*(d_Bv!M4+s_MLF_lettuce)*s_IFLE_res_adj*s_CF_lettuce</f>
        <v>32291.875000000004</v>
      </c>
      <c r="AO4" s="40">
        <f>s_C*(d_Bv!N4+s_MLF_lima_bean)*s_IFLI_res_adj*s_CF_lima_bean</f>
        <v>32291.875000000004</v>
      </c>
      <c r="AP4" s="40">
        <f>s_C*(d_Bv!O4+s_MLF_okra)*s_IFOK_res_adj*s_CF_okra</f>
        <v>32291.875000000004</v>
      </c>
      <c r="AQ4" s="40">
        <f>s_C*(d_Bv!P4+s_MLF_onion)*s_IFON_res_adj*s_CF_onion</f>
        <v>32291.875000000004</v>
      </c>
      <c r="AR4" s="40">
        <f>s_C*(d_Bv!Q4+s_MLF_peach)*s_IFPC_res_adj*s_CF_peach</f>
        <v>32291.875000000004</v>
      </c>
      <c r="AS4" s="40">
        <f>s_C*(d_Bv!R4+s_MLF_pear)*s_IFPR_res_adj*s_CF_pear</f>
        <v>32291.875000000004</v>
      </c>
      <c r="AT4" s="40">
        <f>s_C*(d_Bv!S4+s_MLF_peas)*s_IFPE_res_adj*s_CF_peas</f>
        <v>32291.875000000004</v>
      </c>
      <c r="AU4" s="40">
        <f>s_C*(d_Bv!T4+s_MLF_peppers)*s_IFPP_res_adj*s_CF_peppers</f>
        <v>32291.875000000004</v>
      </c>
      <c r="AV4" s="40">
        <f>s_C*(d_Bv!U4+s_MLF_potato)*s_IFPT_res_adj*s_CF_potato</f>
        <v>32291.875000000004</v>
      </c>
      <c r="AW4" s="40">
        <f>s_C*(d_Bv!V4+s_MLF_pumpkin)*s_IFPU_res_adj*s_CF_pumpkin</f>
        <v>32291.875000000004</v>
      </c>
      <c r="AX4" s="40">
        <f>s_C*(d_Bv!W4+s_MLF_snap_bean)*s_IFSN_res_adj*s_CF_snap_bean</f>
        <v>32291.875000000004</v>
      </c>
      <c r="AY4" s="40">
        <f>s_C*(d_Bv!X4+s_MLF_strawberry)*s_IFST_res_adj*s_CF_strawberry</f>
        <v>32291.875000000004</v>
      </c>
      <c r="AZ4" s="40">
        <f>s_C*(d_Bv!Y4+s_MLF_tomato)*s_IFTO_res_adj*s_CF_tomato</f>
        <v>32291.875000000004</v>
      </c>
      <c r="BA4" s="40">
        <f>s_C*(d_Bv!Z4+s_MLF_rice)*s_IFRI_res_adj*s_CF_rice</f>
        <v>32291.875000000004</v>
      </c>
      <c r="BB4" s="40">
        <f>s_C*(d_Bv!AA4+s_MLF_cereal)*s_IFCG_res_adj*s_CF_cereal</f>
        <v>32291.875000000004</v>
      </c>
      <c r="BC4" s="15" t="str">
        <f t="shared" si="2"/>
        <v>.</v>
      </c>
      <c r="BD4" s="15" t="str">
        <f>IFERROR((s_dir!AD4/(d_Bv!C4+s_MLF_apple)),".")</f>
        <v>.</v>
      </c>
      <c r="BE4" s="15" t="str">
        <f>IFERROR((s_dir!AE4/(d_Bv!D4+s_MLF_asparagus)),".")</f>
        <v>.</v>
      </c>
      <c r="BF4" s="15" t="str">
        <f>IFERROR((s_dir!AF4/(d_Bv!E4+s_MLF_beet)),".")</f>
        <v>.</v>
      </c>
      <c r="BG4" s="15" t="str">
        <f>IFERROR((s_dir!AG4/(d_Bv!F4+s_MLF_berries)),".")</f>
        <v>.</v>
      </c>
      <c r="BH4" s="15" t="str">
        <f>IFERROR((s_dir!AH4/(d_Bv!G4+s_MLF_broccoli)),".")</f>
        <v>.</v>
      </c>
      <c r="BI4" s="15" t="str">
        <f>IFERROR((s_dir!AI4/(d_Bv!H4+s_MLF_cabbage)),".")</f>
        <v>.</v>
      </c>
      <c r="BJ4" s="15" t="str">
        <f>IFERROR((s_dir!AJ4/(d_Bv!I4+s_MLF_carrot)),".")</f>
        <v>.</v>
      </c>
      <c r="BK4" s="15" t="str">
        <f>IFERROR((s_dir!AK4/(d_Bv!J4+s_MLF_citrus)),".")</f>
        <v>.</v>
      </c>
      <c r="BL4" s="15" t="str">
        <f>IFERROR((s_dir!AL4/(d_Bv!K4+s_MLF_corn)),".")</f>
        <v>.</v>
      </c>
      <c r="BM4" s="15" t="str">
        <f>IFERROR((s_dir!AM4/(d_Bv!L4+s_MLF_cucumber)),".")</f>
        <v>.</v>
      </c>
      <c r="BN4" s="15" t="str">
        <f>IFERROR((s_dir!AN4/(d_Bv!M4+s_MLF_lettuce)),".")</f>
        <v>.</v>
      </c>
      <c r="BO4" s="15" t="str">
        <f>IFERROR((s_dir!AO4/(d_Bv!N4+s_MLF_lima_bean)),".")</f>
        <v>.</v>
      </c>
      <c r="BP4" s="15" t="str">
        <f>IFERROR((s_dir!AP4/(d_Bv!O4+s_MLF_okra)),".")</f>
        <v>.</v>
      </c>
      <c r="BQ4" s="15" t="str">
        <f>IFERROR((s_dir!AQ4/(d_Bv!P4+s_MLF_onion)),".")</f>
        <v>.</v>
      </c>
      <c r="BR4" s="15" t="str">
        <f>IFERROR((s_dir!AR4/(d_Bv!Q4+s_MLF_peach)),".")</f>
        <v>.</v>
      </c>
      <c r="BS4" s="15" t="str">
        <f>IFERROR((s_dir!AS4/(d_Bv!R4+s_MLF_pear)),".")</f>
        <v>.</v>
      </c>
      <c r="BT4" s="15" t="str">
        <f>IFERROR((s_dir!AT4/(d_Bv!S4+s_MLF_peas)),".")</f>
        <v>.</v>
      </c>
      <c r="BU4" s="15" t="str">
        <f>IFERROR((s_dir!AU4/(d_Bv!T4+s_MLF_peppers)),".")</f>
        <v>.</v>
      </c>
      <c r="BV4" s="15" t="str">
        <f>IFERROR((s_dir!AV4/(d_Bv!U4+s_MLF_potato)),".")</f>
        <v>.</v>
      </c>
      <c r="BW4" s="15" t="str">
        <f>IFERROR((s_dir!AW4/(d_Bv!V4+s_MLF_pumpkin)),".")</f>
        <v>.</v>
      </c>
      <c r="BX4" s="15" t="str">
        <f>IFERROR((s_dir!AX4/(d_Bv!W4+s_MLF_snap_bean)),".")</f>
        <v>.</v>
      </c>
      <c r="BY4" s="15" t="str">
        <f>IFERROR((s_dir!AY4/(d_Bv!X4+s_MLF_strawberry)),".")</f>
        <v>.</v>
      </c>
      <c r="BZ4" s="15" t="str">
        <f>IFERROR((s_dir!AZ4/(d_Bv!Y4+s_MLF_tomato)),".")</f>
        <v>.</v>
      </c>
      <c r="CA4" s="15" t="str">
        <f>IFERROR((s_dir!BA4/(d_Bv!Z4+s_MLF_rice)),".")</f>
        <v>.</v>
      </c>
      <c r="CB4" s="15" t="str">
        <f>IFERROR((s_dir!BB4/(d_Bv!AA4+s_MLF_cereal)),".")</f>
        <v>.</v>
      </c>
      <c r="CC4" s="40">
        <f t="shared" si="3"/>
        <v>129167.50000000001</v>
      </c>
      <c r="CD4" s="40">
        <f>IFERROR(s_C*(d_Bv!C4+s_MLF_apple)*s_IFAP_far_adj*s_CF_apple,".")</f>
        <v>32291.875000000004</v>
      </c>
      <c r="CE4" s="40">
        <f>IFERROR(s_C*(d_Bv!D4+s_MLF_asparagus)*s_IFAS_far_adj*s_CF_asparagus,".")</f>
        <v>32291.875000000004</v>
      </c>
      <c r="CF4" s="40">
        <f>IFERROR(s_C*(d_Bv!E4+s_MLF_beet)*s_IFBT_far_adj*s_CF_beet,".")</f>
        <v>32291.875000000004</v>
      </c>
      <c r="CG4" s="40">
        <f>IFERROR(s_C*(d_Bv!F4+s_MLF_berries)*s_IFBR_far_adj*s_CF_berries,".")</f>
        <v>32291.875000000004</v>
      </c>
      <c r="CH4" s="40">
        <f>IFERROR(s_C*(d_Bv!G4+s_MLF_broccoli)*s_IFBR_far_adj*s_CF_broccoli,".")</f>
        <v>32291.875000000004</v>
      </c>
      <c r="CI4" s="40">
        <f>IFERROR(s_C*(d_Bv!H4+s_MLF_cabbage)*s_IFCB_far_adj*s_CF_cabbage,".")</f>
        <v>32291.875000000004</v>
      </c>
      <c r="CJ4" s="40">
        <f>IFERROR(s_C*(d_Bv!I4+s_MLF_carrot)*s_IFCR_far_adj*s_CF_carrot,".")</f>
        <v>32291.875000000004</v>
      </c>
      <c r="CK4" s="40">
        <f>IFERROR(s_C*(d_Bv!J4+s_MLF_citrus)*s_IFCI_far_adj*s_CF_citrus,".")</f>
        <v>32291.875000000004</v>
      </c>
      <c r="CL4" s="40">
        <f>IFERROR(s_C*(d_Bv!K4+s_MLF_corn)*s_IFCO_far_adj*s_CF_corn,".")</f>
        <v>32291.875000000004</v>
      </c>
      <c r="CM4" s="40">
        <f>IFERROR(s_C*(d_Bv!L4+s_MLF_cucumber)*s_IFCU_far_adj*s_CF_cucumber,".")</f>
        <v>32291.875000000004</v>
      </c>
      <c r="CN4" s="40">
        <f>IFERROR(s_C*(d_Bv!M4+s_MLF_lettuce)*s_IFLE_far_adj*s_CF_lettuce,".")</f>
        <v>32291.875000000004</v>
      </c>
      <c r="CO4" s="40">
        <f>IFERROR(s_C*(d_Bv!N4+s_MLF_lima_bean)*s_IFLI_far_adj*s_CF_lima_bean,".")</f>
        <v>32291.875000000004</v>
      </c>
      <c r="CP4" s="40">
        <f>IFERROR(s_C*(d_Bv!O4+s_MLF_okra)*s_IFOK_far_adj*s_CF_okra,".")</f>
        <v>32291.875000000004</v>
      </c>
      <c r="CQ4" s="40">
        <f>IFERROR(s_C*(d_Bv!P4+s_MLF_onion)*s_IFON_far_adj*s_CF_onion,".")</f>
        <v>32291.875000000004</v>
      </c>
      <c r="CR4" s="40">
        <f>IFERROR(s_C*(d_Bv!Q4+s_MLF_peach)*s_IFPC_far_adj*s_CF_peach,".")</f>
        <v>32291.875000000004</v>
      </c>
      <c r="CS4" s="40">
        <f>IFERROR(s_C*(d_Bv!R4+s_MLF_pear)*s_IFPR_far_adj*s_CF_pear,".")</f>
        <v>32291.875000000004</v>
      </c>
      <c r="CT4" s="40">
        <f>IFERROR(s_C*(d_Bv!S4+s_MLF_peas)*s_IFPE_far_adj*s_CF_peas,".")</f>
        <v>32291.875000000004</v>
      </c>
      <c r="CU4" s="40">
        <f>IFERROR(s_C*(d_Bv!T4+s_MLF_peppers)*s_IFPP_far_adj*s_CF_peppers,".")</f>
        <v>32291.875000000004</v>
      </c>
      <c r="CV4" s="40">
        <f>IFERROR(s_C*(d_Bv!U4+s_MLF_potato)*s_IFPT_far_adj*s_CF_potato,".")</f>
        <v>32291.875000000004</v>
      </c>
      <c r="CW4" s="40">
        <f>IFERROR(s_C*(d_Bv!V4+s_MLF_pumpkin)*s_IFPU_far_adj*s_CF_pumpkin,".")</f>
        <v>32291.875000000004</v>
      </c>
      <c r="CX4" s="40">
        <f>IFERROR(s_C*(d_Bv!W4+s_MLF_snap_bean)*s_IFSN_far_adj*s_CF_snap_bean,".")</f>
        <v>32291.875000000004</v>
      </c>
      <c r="CY4" s="40">
        <f>IFERROR(s_C*(d_Bv!X4+s_MLF_strawberry)*s_IFST_far_adj*s_CF_strawberry,".")</f>
        <v>32291.875000000004</v>
      </c>
      <c r="CZ4" s="40">
        <f>IFERROR(s_C*(d_Bv!Y4+s_MLF_tomato)*s_IFTO_far_adj*s_CF_tomato,".")</f>
        <v>32291.875000000004</v>
      </c>
      <c r="DA4" s="40">
        <f>IFERROR(s_C*(d_Bv!Z4+s_MLF_rice)*s_IFRI_far_adj*s_CF_rice,".")</f>
        <v>32291.875000000004</v>
      </c>
      <c r="DB4" s="40">
        <f>IFERROR(s_C*(d_Bv!AA4+s_MLF_cereal)*s_IFCG_far_adj*s_CF_cereal,".")</f>
        <v>32291.875000000004</v>
      </c>
    </row>
    <row r="5" spans="1:106" ht="15" customHeight="1" x14ac:dyDescent="0.25">
      <c r="A5" s="44" t="s">
        <v>15</v>
      </c>
      <c r="B5" s="42" t="s">
        <v>1071</v>
      </c>
      <c r="C5" s="15" t="str">
        <f t="shared" si="0"/>
        <v>.</v>
      </c>
      <c r="D5" s="15" t="str">
        <f>IFERROR((s_dir!D5/(d_Bv!C5+s_MLF_apple)),".")</f>
        <v>.</v>
      </c>
      <c r="E5" s="15" t="str">
        <f>IFERROR((s_dir!E5/(d_Bv!D5+s_MLF_asparagus)),".")</f>
        <v>.</v>
      </c>
      <c r="F5" s="15" t="str">
        <f>IFERROR((s_dir!F5/(d_Bv!E5+s_MLF_beet)),".")</f>
        <v>.</v>
      </c>
      <c r="G5" s="15" t="str">
        <f>IFERROR((s_dir!G5/(d_Bv!F5+s_MLF_berries)),".")</f>
        <v>.</v>
      </c>
      <c r="H5" s="15" t="str">
        <f>IFERROR((s_dir!H5/(d_Bv!G5+s_MLF_broccoli)),".")</f>
        <v>.</v>
      </c>
      <c r="I5" s="15" t="str">
        <f>IFERROR((s_dir!I5/(d_Bv!H5+s_MLF_cabbage)),".")</f>
        <v>.</v>
      </c>
      <c r="J5" s="15" t="str">
        <f>IFERROR((s_dir!J5/(d_Bv!I5+s_MLF_carrot)),".")</f>
        <v>.</v>
      </c>
      <c r="K5" s="15" t="str">
        <f>IFERROR((s_dir!K5/(d_Bv!J5+s_MLF_citrus)),".")</f>
        <v>.</v>
      </c>
      <c r="L5" s="15" t="str">
        <f>IFERROR((s_dir!L5/(d_Bv!K5+s_MLF_corn)),".")</f>
        <v>.</v>
      </c>
      <c r="M5" s="15" t="str">
        <f>IFERROR((s_dir!M5/(d_Bv!L5+s_MLF_cucumber)),".")</f>
        <v>.</v>
      </c>
      <c r="N5" s="15" t="str">
        <f>IFERROR((s_dir!N5/(d_Bv!M5+s_MLF_lettuce)),".")</f>
        <v>.</v>
      </c>
      <c r="O5" s="15" t="str">
        <f>IFERROR((s_dir!O5/(d_Bv!N5+s_MLF_lima_bean)),".")</f>
        <v>.</v>
      </c>
      <c r="P5" s="15" t="str">
        <f>IFERROR((s_dir!P5/(d_Bv!O5+s_MLF_okra)),".")</f>
        <v>.</v>
      </c>
      <c r="Q5" s="15" t="str">
        <f>IFERROR((s_dir!Q5/(d_Bv!P5+s_MLF_onion)),".")</f>
        <v>.</v>
      </c>
      <c r="R5" s="15" t="str">
        <f>IFERROR((s_dir!R5/(d_Bv!Q5+s_MLF_peach)),".")</f>
        <v>.</v>
      </c>
      <c r="S5" s="15" t="str">
        <f>IFERROR((s_dir!S5/(d_Bv!R5+s_MLF_pear)),".")</f>
        <v>.</v>
      </c>
      <c r="T5" s="15" t="str">
        <f>IFERROR((s_dir!T5/(d_Bv!S5+s_MLF_peas)),".")</f>
        <v>.</v>
      </c>
      <c r="U5" s="15" t="str">
        <f>IFERROR((s_dir!U5/(d_Bv!T5+s_MLF_peppers)),".")</f>
        <v>.</v>
      </c>
      <c r="V5" s="15" t="str">
        <f>IFERROR((s_dir!V5/(d_Bv!U5+s_MLF_potato)),".")</f>
        <v>.</v>
      </c>
      <c r="W5" s="15" t="str">
        <f>IFERROR((s_dir!W5/(d_Bv!V5+s_MLF_pumpkin)),".")</f>
        <v>.</v>
      </c>
      <c r="X5" s="15" t="str">
        <f>IFERROR((s_dir!X5/(d_Bv!W5+s_MLF_snap_bean)),".")</f>
        <v>.</v>
      </c>
      <c r="Y5" s="15" t="str">
        <f>IFERROR((s_dir!Y5/(d_Bv!X5+s_MLF_strawberry)),".")</f>
        <v>.</v>
      </c>
      <c r="Z5" s="15" t="str">
        <f>IFERROR((s_dir!Z5/(d_Bv!Y5+s_MLF_tomato)),".")</f>
        <v>.</v>
      </c>
      <c r="AA5" s="15" t="str">
        <f>IFERROR((s_dir!AA5/(d_Bv!Z5+s_MLF_rice)),".")</f>
        <v>.</v>
      </c>
      <c r="AB5" s="15" t="str">
        <f>IFERROR((s_dir!AB5/(d_Bv!AA5+s_MLF_cereal)),".")</f>
        <v>.</v>
      </c>
      <c r="AC5" s="40">
        <f t="shared" si="1"/>
        <v>129167.50000000001</v>
      </c>
      <c r="AD5" s="40">
        <f>s_C*(d_Bv!C5+s_MLF_apple)*s_IFAP_res_adj*s_CF_apple</f>
        <v>32291.875000000004</v>
      </c>
      <c r="AE5" s="40">
        <f>s_C*(d_Bv!D5+s_MLF_asparagus)*s_IFAS_res_adj*s_CF_asparagus</f>
        <v>32291.875000000004</v>
      </c>
      <c r="AF5" s="40">
        <f>s_C*(d_Bv!E5+s_MLF_beet)*s_IFBT_res_adj*s_CF_beet</f>
        <v>32291.875000000004</v>
      </c>
      <c r="AG5" s="40">
        <f>s_C*(d_Bv!F5+s_MLF_berries)*s_IFBE_res_adj*s_CF_berries</f>
        <v>32291.875000000004</v>
      </c>
      <c r="AH5" s="40">
        <f>s_C*(d_Bv!G5+s_MLF_broccoli)*s_IFBR_res_adj*s_CF_broccoli</f>
        <v>32291.875000000004</v>
      </c>
      <c r="AI5" s="40">
        <f>s_C*(d_Bv!H5+s_MLF_cabbage)*s_IFCB_res_adj*s_CF_cabbage</f>
        <v>32291.875000000004</v>
      </c>
      <c r="AJ5" s="40">
        <f>s_C*(d_Bv!I5+s_MLF_carrot)*s_IFCR_res_adj*s_CF_carrot</f>
        <v>32291.875000000004</v>
      </c>
      <c r="AK5" s="40">
        <f>s_C*(d_Bv!J5+s_MLF_citrus)*s_IFCI_res_adj*s_CF_citrus</f>
        <v>32291.875000000004</v>
      </c>
      <c r="AL5" s="40">
        <f>s_C*(d_Bv!K5+s_MLF_corn)*s_IFCO_res_adj*s_CF_corn</f>
        <v>32291.875000000004</v>
      </c>
      <c r="AM5" s="40">
        <f>s_C*(d_Bv!L5+s_MLF_cucumber)*s_IFCU_res_adj*s_CF_cucumber</f>
        <v>32291.875000000004</v>
      </c>
      <c r="AN5" s="40">
        <f>s_C*(d_Bv!M5+s_MLF_lettuce)*s_IFLE_res_adj*s_CF_lettuce</f>
        <v>32291.875000000004</v>
      </c>
      <c r="AO5" s="40">
        <f>s_C*(d_Bv!N5+s_MLF_lima_bean)*s_IFLI_res_adj*s_CF_lima_bean</f>
        <v>32291.875000000004</v>
      </c>
      <c r="AP5" s="40">
        <f>s_C*(d_Bv!O5+s_MLF_okra)*s_IFOK_res_adj*s_CF_okra</f>
        <v>32291.875000000004</v>
      </c>
      <c r="AQ5" s="40">
        <f>s_C*(d_Bv!P5+s_MLF_onion)*s_IFON_res_adj*s_CF_onion</f>
        <v>32291.875000000004</v>
      </c>
      <c r="AR5" s="40">
        <f>s_C*(d_Bv!Q5+s_MLF_peach)*s_IFPC_res_adj*s_CF_peach</f>
        <v>32291.875000000004</v>
      </c>
      <c r="AS5" s="40">
        <f>s_C*(d_Bv!R5+s_MLF_pear)*s_IFPR_res_adj*s_CF_pear</f>
        <v>32291.875000000004</v>
      </c>
      <c r="AT5" s="40">
        <f>s_C*(d_Bv!S5+s_MLF_peas)*s_IFPE_res_adj*s_CF_peas</f>
        <v>32291.875000000004</v>
      </c>
      <c r="AU5" s="40">
        <f>s_C*(d_Bv!T5+s_MLF_peppers)*s_IFPP_res_adj*s_CF_peppers</f>
        <v>32291.875000000004</v>
      </c>
      <c r="AV5" s="40">
        <f>s_C*(d_Bv!U5+s_MLF_potato)*s_IFPT_res_adj*s_CF_potato</f>
        <v>32291.875000000004</v>
      </c>
      <c r="AW5" s="40">
        <f>s_C*(d_Bv!V5+s_MLF_pumpkin)*s_IFPU_res_adj*s_CF_pumpkin</f>
        <v>32291.875000000004</v>
      </c>
      <c r="AX5" s="40">
        <f>s_C*(d_Bv!W5+s_MLF_snap_bean)*s_IFSN_res_adj*s_CF_snap_bean</f>
        <v>32291.875000000004</v>
      </c>
      <c r="AY5" s="40">
        <f>s_C*(d_Bv!X5+s_MLF_strawberry)*s_IFST_res_adj*s_CF_strawberry</f>
        <v>32291.875000000004</v>
      </c>
      <c r="AZ5" s="40">
        <f>s_C*(d_Bv!Y5+s_MLF_tomato)*s_IFTO_res_adj*s_CF_tomato</f>
        <v>32291.875000000004</v>
      </c>
      <c r="BA5" s="40">
        <f>s_C*(d_Bv!Z5+s_MLF_rice)*s_IFRI_res_adj*s_CF_rice</f>
        <v>32291.875000000004</v>
      </c>
      <c r="BB5" s="40">
        <f>s_C*(d_Bv!AA5+s_MLF_cereal)*s_IFCG_res_adj*s_CF_cereal</f>
        <v>32291.875000000004</v>
      </c>
      <c r="BC5" s="15" t="str">
        <f t="shared" si="2"/>
        <v>.</v>
      </c>
      <c r="BD5" s="15" t="str">
        <f>IFERROR((s_dir!AD5/(d_Bv!C5+s_MLF_apple)),".")</f>
        <v>.</v>
      </c>
      <c r="BE5" s="15" t="str">
        <f>IFERROR((s_dir!AE5/(d_Bv!D5+s_MLF_asparagus)),".")</f>
        <v>.</v>
      </c>
      <c r="BF5" s="15" t="str">
        <f>IFERROR((s_dir!AF5/(d_Bv!E5+s_MLF_beet)),".")</f>
        <v>.</v>
      </c>
      <c r="BG5" s="15" t="str">
        <f>IFERROR((s_dir!AG5/(d_Bv!F5+s_MLF_berries)),".")</f>
        <v>.</v>
      </c>
      <c r="BH5" s="15" t="str">
        <f>IFERROR((s_dir!AH5/(d_Bv!G5+s_MLF_broccoli)),".")</f>
        <v>.</v>
      </c>
      <c r="BI5" s="15" t="str">
        <f>IFERROR((s_dir!AI5/(d_Bv!H5+s_MLF_cabbage)),".")</f>
        <v>.</v>
      </c>
      <c r="BJ5" s="15" t="str">
        <f>IFERROR((s_dir!AJ5/(d_Bv!I5+s_MLF_carrot)),".")</f>
        <v>.</v>
      </c>
      <c r="BK5" s="15" t="str">
        <f>IFERROR((s_dir!AK5/(d_Bv!J5+s_MLF_citrus)),".")</f>
        <v>.</v>
      </c>
      <c r="BL5" s="15" t="str">
        <f>IFERROR((s_dir!AL5/(d_Bv!K5+s_MLF_corn)),".")</f>
        <v>.</v>
      </c>
      <c r="BM5" s="15" t="str">
        <f>IFERROR((s_dir!AM5/(d_Bv!L5+s_MLF_cucumber)),".")</f>
        <v>.</v>
      </c>
      <c r="BN5" s="15" t="str">
        <f>IFERROR((s_dir!AN5/(d_Bv!M5+s_MLF_lettuce)),".")</f>
        <v>.</v>
      </c>
      <c r="BO5" s="15" t="str">
        <f>IFERROR((s_dir!AO5/(d_Bv!N5+s_MLF_lima_bean)),".")</f>
        <v>.</v>
      </c>
      <c r="BP5" s="15" t="str">
        <f>IFERROR((s_dir!AP5/(d_Bv!O5+s_MLF_okra)),".")</f>
        <v>.</v>
      </c>
      <c r="BQ5" s="15" t="str">
        <f>IFERROR((s_dir!AQ5/(d_Bv!P5+s_MLF_onion)),".")</f>
        <v>.</v>
      </c>
      <c r="BR5" s="15" t="str">
        <f>IFERROR((s_dir!AR5/(d_Bv!Q5+s_MLF_peach)),".")</f>
        <v>.</v>
      </c>
      <c r="BS5" s="15" t="str">
        <f>IFERROR((s_dir!AS5/(d_Bv!R5+s_MLF_pear)),".")</f>
        <v>.</v>
      </c>
      <c r="BT5" s="15" t="str">
        <f>IFERROR((s_dir!AT5/(d_Bv!S5+s_MLF_peas)),".")</f>
        <v>.</v>
      </c>
      <c r="BU5" s="15" t="str">
        <f>IFERROR((s_dir!AU5/(d_Bv!T5+s_MLF_peppers)),".")</f>
        <v>.</v>
      </c>
      <c r="BV5" s="15" t="str">
        <f>IFERROR((s_dir!AV5/(d_Bv!U5+s_MLF_potato)),".")</f>
        <v>.</v>
      </c>
      <c r="BW5" s="15" t="str">
        <f>IFERROR((s_dir!AW5/(d_Bv!V5+s_MLF_pumpkin)),".")</f>
        <v>.</v>
      </c>
      <c r="BX5" s="15" t="str">
        <f>IFERROR((s_dir!AX5/(d_Bv!W5+s_MLF_snap_bean)),".")</f>
        <v>.</v>
      </c>
      <c r="BY5" s="15" t="str">
        <f>IFERROR((s_dir!AY5/(d_Bv!X5+s_MLF_strawberry)),".")</f>
        <v>.</v>
      </c>
      <c r="BZ5" s="15" t="str">
        <f>IFERROR((s_dir!AZ5/(d_Bv!Y5+s_MLF_tomato)),".")</f>
        <v>.</v>
      </c>
      <c r="CA5" s="15" t="str">
        <f>IFERROR((s_dir!BA5/(d_Bv!Z5+s_MLF_rice)),".")</f>
        <v>.</v>
      </c>
      <c r="CB5" s="15" t="str">
        <f>IFERROR((s_dir!BB5/(d_Bv!AA5+s_MLF_cereal)),".")</f>
        <v>.</v>
      </c>
      <c r="CC5" s="40">
        <f t="shared" si="3"/>
        <v>129167.50000000001</v>
      </c>
      <c r="CD5" s="40">
        <f>IFERROR(s_C*(d_Bv!C5+s_MLF_apple)*s_IFAP_far_adj*s_CF_apple,".")</f>
        <v>32291.875000000004</v>
      </c>
      <c r="CE5" s="40">
        <f>IFERROR(s_C*(d_Bv!D5+s_MLF_asparagus)*s_IFAS_far_adj*s_CF_asparagus,".")</f>
        <v>32291.875000000004</v>
      </c>
      <c r="CF5" s="40">
        <f>IFERROR(s_C*(d_Bv!E5+s_MLF_beet)*s_IFBT_far_adj*s_CF_beet,".")</f>
        <v>32291.875000000004</v>
      </c>
      <c r="CG5" s="40">
        <f>IFERROR(s_C*(d_Bv!F5+s_MLF_berries)*s_IFBR_far_adj*s_CF_berries,".")</f>
        <v>32291.875000000004</v>
      </c>
      <c r="CH5" s="40">
        <f>IFERROR(s_C*(d_Bv!G5+s_MLF_broccoli)*s_IFBR_far_adj*s_CF_broccoli,".")</f>
        <v>32291.875000000004</v>
      </c>
      <c r="CI5" s="40">
        <f>IFERROR(s_C*(d_Bv!H5+s_MLF_cabbage)*s_IFCB_far_adj*s_CF_cabbage,".")</f>
        <v>32291.875000000004</v>
      </c>
      <c r="CJ5" s="40">
        <f>IFERROR(s_C*(d_Bv!I5+s_MLF_carrot)*s_IFCR_far_adj*s_CF_carrot,".")</f>
        <v>32291.875000000004</v>
      </c>
      <c r="CK5" s="40">
        <f>IFERROR(s_C*(d_Bv!J5+s_MLF_citrus)*s_IFCI_far_adj*s_CF_citrus,".")</f>
        <v>32291.875000000004</v>
      </c>
      <c r="CL5" s="40">
        <f>IFERROR(s_C*(d_Bv!K5+s_MLF_corn)*s_IFCO_far_adj*s_CF_corn,".")</f>
        <v>32291.875000000004</v>
      </c>
      <c r="CM5" s="40">
        <f>IFERROR(s_C*(d_Bv!L5+s_MLF_cucumber)*s_IFCU_far_adj*s_CF_cucumber,".")</f>
        <v>32291.875000000004</v>
      </c>
      <c r="CN5" s="40">
        <f>IFERROR(s_C*(d_Bv!M5+s_MLF_lettuce)*s_IFLE_far_adj*s_CF_lettuce,".")</f>
        <v>32291.875000000004</v>
      </c>
      <c r="CO5" s="40">
        <f>IFERROR(s_C*(d_Bv!N5+s_MLF_lima_bean)*s_IFLI_far_adj*s_CF_lima_bean,".")</f>
        <v>32291.875000000004</v>
      </c>
      <c r="CP5" s="40">
        <f>IFERROR(s_C*(d_Bv!O5+s_MLF_okra)*s_IFOK_far_adj*s_CF_okra,".")</f>
        <v>32291.875000000004</v>
      </c>
      <c r="CQ5" s="40">
        <f>IFERROR(s_C*(d_Bv!P5+s_MLF_onion)*s_IFON_far_adj*s_CF_onion,".")</f>
        <v>32291.875000000004</v>
      </c>
      <c r="CR5" s="40">
        <f>IFERROR(s_C*(d_Bv!Q5+s_MLF_peach)*s_IFPC_far_adj*s_CF_peach,".")</f>
        <v>32291.875000000004</v>
      </c>
      <c r="CS5" s="40">
        <f>IFERROR(s_C*(d_Bv!R5+s_MLF_pear)*s_IFPR_far_adj*s_CF_pear,".")</f>
        <v>32291.875000000004</v>
      </c>
      <c r="CT5" s="40">
        <f>IFERROR(s_C*(d_Bv!S5+s_MLF_peas)*s_IFPE_far_adj*s_CF_peas,".")</f>
        <v>32291.875000000004</v>
      </c>
      <c r="CU5" s="40">
        <f>IFERROR(s_C*(d_Bv!T5+s_MLF_peppers)*s_IFPP_far_adj*s_CF_peppers,".")</f>
        <v>32291.875000000004</v>
      </c>
      <c r="CV5" s="40">
        <f>IFERROR(s_C*(d_Bv!U5+s_MLF_potato)*s_IFPT_far_adj*s_CF_potato,".")</f>
        <v>32291.875000000004</v>
      </c>
      <c r="CW5" s="40">
        <f>IFERROR(s_C*(d_Bv!V5+s_MLF_pumpkin)*s_IFPU_far_adj*s_CF_pumpkin,".")</f>
        <v>32291.875000000004</v>
      </c>
      <c r="CX5" s="40">
        <f>IFERROR(s_C*(d_Bv!W5+s_MLF_snap_bean)*s_IFSN_far_adj*s_CF_snap_bean,".")</f>
        <v>32291.875000000004</v>
      </c>
      <c r="CY5" s="40">
        <f>IFERROR(s_C*(d_Bv!X5+s_MLF_strawberry)*s_IFST_far_adj*s_CF_strawberry,".")</f>
        <v>32291.875000000004</v>
      </c>
      <c r="CZ5" s="40">
        <f>IFERROR(s_C*(d_Bv!Y5+s_MLF_tomato)*s_IFTO_far_adj*s_CF_tomato,".")</f>
        <v>32291.875000000004</v>
      </c>
      <c r="DA5" s="40">
        <f>IFERROR(s_C*(d_Bv!Z5+s_MLF_rice)*s_IFRI_far_adj*s_CF_rice,".")</f>
        <v>32291.875000000004</v>
      </c>
      <c r="DB5" s="40">
        <f>IFERROR(s_C*(d_Bv!AA5+s_MLF_cereal)*s_IFCG_far_adj*s_CF_cereal,".")</f>
        <v>32291.875000000004</v>
      </c>
    </row>
    <row r="6" spans="1:106" ht="15" customHeight="1" x14ac:dyDescent="0.25">
      <c r="A6" s="44" t="s">
        <v>16</v>
      </c>
      <c r="B6" s="42" t="s">
        <v>1071</v>
      </c>
      <c r="C6" s="15" t="str">
        <f t="shared" si="0"/>
        <v>.</v>
      </c>
      <c r="D6" s="15" t="str">
        <f>IFERROR((s_dir!D6/(d_Bv!C6+s_MLF_apple)),".")</f>
        <v>.</v>
      </c>
      <c r="E6" s="15" t="str">
        <f>IFERROR((s_dir!E6/(d_Bv!D6+s_MLF_asparagus)),".")</f>
        <v>.</v>
      </c>
      <c r="F6" s="15" t="str">
        <f>IFERROR((s_dir!F6/(d_Bv!E6+s_MLF_beet)),".")</f>
        <v>.</v>
      </c>
      <c r="G6" s="15" t="str">
        <f>IFERROR((s_dir!G6/(d_Bv!F6+s_MLF_berries)),".")</f>
        <v>.</v>
      </c>
      <c r="H6" s="15" t="str">
        <f>IFERROR((s_dir!H6/(d_Bv!G6+s_MLF_broccoli)),".")</f>
        <v>.</v>
      </c>
      <c r="I6" s="15" t="str">
        <f>IFERROR((s_dir!I6/(d_Bv!H6+s_MLF_cabbage)),".")</f>
        <v>.</v>
      </c>
      <c r="J6" s="15" t="str">
        <f>IFERROR((s_dir!J6/(d_Bv!I6+s_MLF_carrot)),".")</f>
        <v>.</v>
      </c>
      <c r="K6" s="15" t="str">
        <f>IFERROR((s_dir!K6/(d_Bv!J6+s_MLF_citrus)),".")</f>
        <v>.</v>
      </c>
      <c r="L6" s="15" t="str">
        <f>IFERROR((s_dir!L6/(d_Bv!K6+s_MLF_corn)),".")</f>
        <v>.</v>
      </c>
      <c r="M6" s="15" t="str">
        <f>IFERROR((s_dir!M6/(d_Bv!L6+s_MLF_cucumber)),".")</f>
        <v>.</v>
      </c>
      <c r="N6" s="15" t="str">
        <f>IFERROR((s_dir!N6/(d_Bv!M6+s_MLF_lettuce)),".")</f>
        <v>.</v>
      </c>
      <c r="O6" s="15" t="str">
        <f>IFERROR((s_dir!O6/(d_Bv!N6+s_MLF_lima_bean)),".")</f>
        <v>.</v>
      </c>
      <c r="P6" s="15" t="str">
        <f>IFERROR((s_dir!P6/(d_Bv!O6+s_MLF_okra)),".")</f>
        <v>.</v>
      </c>
      <c r="Q6" s="15" t="str">
        <f>IFERROR((s_dir!Q6/(d_Bv!P6+s_MLF_onion)),".")</f>
        <v>.</v>
      </c>
      <c r="R6" s="15" t="str">
        <f>IFERROR((s_dir!R6/(d_Bv!Q6+s_MLF_peach)),".")</f>
        <v>.</v>
      </c>
      <c r="S6" s="15" t="str">
        <f>IFERROR((s_dir!S6/(d_Bv!R6+s_MLF_pear)),".")</f>
        <v>.</v>
      </c>
      <c r="T6" s="15" t="str">
        <f>IFERROR((s_dir!T6/(d_Bv!S6+s_MLF_peas)),".")</f>
        <v>.</v>
      </c>
      <c r="U6" s="15" t="str">
        <f>IFERROR((s_dir!U6/(d_Bv!T6+s_MLF_peppers)),".")</f>
        <v>.</v>
      </c>
      <c r="V6" s="15" t="str">
        <f>IFERROR((s_dir!V6/(d_Bv!U6+s_MLF_potato)),".")</f>
        <v>.</v>
      </c>
      <c r="W6" s="15" t="str">
        <f>IFERROR((s_dir!W6/(d_Bv!V6+s_MLF_pumpkin)),".")</f>
        <v>.</v>
      </c>
      <c r="X6" s="15" t="str">
        <f>IFERROR((s_dir!X6/(d_Bv!W6+s_MLF_snap_bean)),".")</f>
        <v>.</v>
      </c>
      <c r="Y6" s="15" t="str">
        <f>IFERROR((s_dir!Y6/(d_Bv!X6+s_MLF_strawberry)),".")</f>
        <v>.</v>
      </c>
      <c r="Z6" s="15" t="str">
        <f>IFERROR((s_dir!Z6/(d_Bv!Y6+s_MLF_tomato)),".")</f>
        <v>.</v>
      </c>
      <c r="AA6" s="15" t="str">
        <f>IFERROR((s_dir!AA6/(d_Bv!Z6+s_MLF_rice)),".")</f>
        <v>.</v>
      </c>
      <c r="AB6" s="15" t="str">
        <f>IFERROR((s_dir!AB6/(d_Bv!AA6+s_MLF_cereal)),".")</f>
        <v>.</v>
      </c>
      <c r="AC6" s="40">
        <f t="shared" si="1"/>
        <v>11485.924999999999</v>
      </c>
      <c r="AD6" s="40">
        <f>s_C*(d_Bv!C6+s_MLF_apple)*s_IFAP_res_adj*s_CF_apple</f>
        <v>3554.375</v>
      </c>
      <c r="AE6" s="40">
        <f>s_C*(d_Bv!D6+s_MLF_asparagus)*s_IFAS_res_adj*s_CF_asparagus</f>
        <v>2798.125</v>
      </c>
      <c r="AF6" s="40">
        <f>s_C*(d_Bv!E6+s_MLF_beet)*s_IFBT_res_adj*s_CF_beet</f>
        <v>2798.125</v>
      </c>
      <c r="AG6" s="40">
        <f>s_C*(d_Bv!F6+s_MLF_berries)*s_IFBE_res_adj*s_CF_berries</f>
        <v>3554.375</v>
      </c>
      <c r="AH6" s="40">
        <f>s_C*(d_Bv!G6+s_MLF_broccoli)*s_IFBR_res_adj*s_CF_broccoli</f>
        <v>3554.375</v>
      </c>
      <c r="AI6" s="40">
        <f>s_C*(d_Bv!H6+s_MLF_cabbage)*s_IFCB_res_adj*s_CF_cabbage</f>
        <v>2798.125</v>
      </c>
      <c r="AJ6" s="40">
        <f>s_C*(d_Bv!I6+s_MLF_carrot)*s_IFCR_res_adj*s_CF_carrot</f>
        <v>2798.125</v>
      </c>
      <c r="AK6" s="40">
        <f>s_C*(d_Bv!J6+s_MLF_citrus)*s_IFCI_res_adj*s_CF_citrus</f>
        <v>3554.375</v>
      </c>
      <c r="AL6" s="40">
        <f>s_C*(d_Bv!K6+s_MLF_corn)*s_IFCO_res_adj*s_CF_corn</f>
        <v>3554.375</v>
      </c>
      <c r="AM6" s="40">
        <f>s_C*(d_Bv!L6+s_MLF_cucumber)*s_IFCU_res_adj*s_CF_cucumber</f>
        <v>3554.375</v>
      </c>
      <c r="AN6" s="40">
        <f>s_C*(d_Bv!M6+s_MLF_lettuce)*s_IFLE_res_adj*s_CF_lettuce</f>
        <v>2798.125</v>
      </c>
      <c r="AO6" s="40">
        <f>s_C*(d_Bv!N6+s_MLF_lima_bean)*s_IFLI_res_adj*s_CF_lima_bean</f>
        <v>3554.375</v>
      </c>
      <c r="AP6" s="40">
        <f>s_C*(d_Bv!O6+s_MLF_okra)*s_IFOK_res_adj*s_CF_okra</f>
        <v>3554.375</v>
      </c>
      <c r="AQ6" s="40">
        <f>s_C*(d_Bv!P6+s_MLF_onion)*s_IFON_res_adj*s_CF_onion</f>
        <v>2798.125</v>
      </c>
      <c r="AR6" s="40">
        <f>s_C*(d_Bv!Q6+s_MLF_peach)*s_IFPC_res_adj*s_CF_peach</f>
        <v>3554.375</v>
      </c>
      <c r="AS6" s="40">
        <f>s_C*(d_Bv!R6+s_MLF_pear)*s_IFPR_res_adj*s_CF_pear</f>
        <v>3554.375</v>
      </c>
      <c r="AT6" s="40">
        <f>s_C*(d_Bv!S6+s_MLF_peas)*s_IFPE_res_adj*s_CF_peas</f>
        <v>3554.375</v>
      </c>
      <c r="AU6" s="40">
        <f>s_C*(d_Bv!T6+s_MLF_peppers)*s_IFPP_res_adj*s_CF_peppers</f>
        <v>3554.375</v>
      </c>
      <c r="AV6" s="40">
        <f>s_C*(d_Bv!U6+s_MLF_potato)*s_IFPT_res_adj*s_CF_potato</f>
        <v>2798.125</v>
      </c>
      <c r="AW6" s="40">
        <f>s_C*(d_Bv!V6+s_MLF_pumpkin)*s_IFPU_res_adj*s_CF_pumpkin</f>
        <v>3554.375</v>
      </c>
      <c r="AX6" s="40">
        <f>s_C*(d_Bv!W6+s_MLF_snap_bean)*s_IFSN_res_adj*s_CF_snap_bean</f>
        <v>3554.375</v>
      </c>
      <c r="AY6" s="40">
        <f>s_C*(d_Bv!X6+s_MLF_strawberry)*s_IFST_res_adj*s_CF_strawberry</f>
        <v>3554.375</v>
      </c>
      <c r="AZ6" s="40">
        <f>s_C*(d_Bv!Y6+s_MLF_tomato)*s_IFTO_res_adj*s_CF_tomato</f>
        <v>3554.375</v>
      </c>
      <c r="BA6" s="40">
        <f>s_C*(d_Bv!Z6+s_MLF_rice)*s_IFRI_res_adj*s_CF_rice</f>
        <v>2184.0500000000002</v>
      </c>
      <c r="BB6" s="40">
        <f>s_C*(d_Bv!AA6+s_MLF_cereal)*s_IFCG_res_adj*s_CF_cereal</f>
        <v>2193.125</v>
      </c>
      <c r="BC6" s="15" t="str">
        <f t="shared" si="2"/>
        <v>.</v>
      </c>
      <c r="BD6" s="15" t="str">
        <f>IFERROR((s_dir!AD6/(d_Bv!C6+s_MLF_apple)),".")</f>
        <v>.</v>
      </c>
      <c r="BE6" s="15" t="str">
        <f>IFERROR((s_dir!AE6/(d_Bv!D6+s_MLF_asparagus)),".")</f>
        <v>.</v>
      </c>
      <c r="BF6" s="15" t="str">
        <f>IFERROR((s_dir!AF6/(d_Bv!E6+s_MLF_beet)),".")</f>
        <v>.</v>
      </c>
      <c r="BG6" s="15" t="str">
        <f>IFERROR((s_dir!AG6/(d_Bv!F6+s_MLF_berries)),".")</f>
        <v>.</v>
      </c>
      <c r="BH6" s="15" t="str">
        <f>IFERROR((s_dir!AH6/(d_Bv!G6+s_MLF_broccoli)),".")</f>
        <v>.</v>
      </c>
      <c r="BI6" s="15" t="str">
        <f>IFERROR((s_dir!AI6/(d_Bv!H6+s_MLF_cabbage)),".")</f>
        <v>.</v>
      </c>
      <c r="BJ6" s="15" t="str">
        <f>IFERROR((s_dir!AJ6/(d_Bv!I6+s_MLF_carrot)),".")</f>
        <v>.</v>
      </c>
      <c r="BK6" s="15" t="str">
        <f>IFERROR((s_dir!AK6/(d_Bv!J6+s_MLF_citrus)),".")</f>
        <v>.</v>
      </c>
      <c r="BL6" s="15" t="str">
        <f>IFERROR((s_dir!AL6/(d_Bv!K6+s_MLF_corn)),".")</f>
        <v>.</v>
      </c>
      <c r="BM6" s="15" t="str">
        <f>IFERROR((s_dir!AM6/(d_Bv!L6+s_MLF_cucumber)),".")</f>
        <v>.</v>
      </c>
      <c r="BN6" s="15" t="str">
        <f>IFERROR((s_dir!AN6/(d_Bv!M6+s_MLF_lettuce)),".")</f>
        <v>.</v>
      </c>
      <c r="BO6" s="15" t="str">
        <f>IFERROR((s_dir!AO6/(d_Bv!N6+s_MLF_lima_bean)),".")</f>
        <v>.</v>
      </c>
      <c r="BP6" s="15" t="str">
        <f>IFERROR((s_dir!AP6/(d_Bv!O6+s_MLF_okra)),".")</f>
        <v>.</v>
      </c>
      <c r="BQ6" s="15" t="str">
        <f>IFERROR((s_dir!AQ6/(d_Bv!P6+s_MLF_onion)),".")</f>
        <v>.</v>
      </c>
      <c r="BR6" s="15" t="str">
        <f>IFERROR((s_dir!AR6/(d_Bv!Q6+s_MLF_peach)),".")</f>
        <v>.</v>
      </c>
      <c r="BS6" s="15" t="str">
        <f>IFERROR((s_dir!AS6/(d_Bv!R6+s_MLF_pear)),".")</f>
        <v>.</v>
      </c>
      <c r="BT6" s="15" t="str">
        <f>IFERROR((s_dir!AT6/(d_Bv!S6+s_MLF_peas)),".")</f>
        <v>.</v>
      </c>
      <c r="BU6" s="15" t="str">
        <f>IFERROR((s_dir!AU6/(d_Bv!T6+s_MLF_peppers)),".")</f>
        <v>.</v>
      </c>
      <c r="BV6" s="15" t="str">
        <f>IFERROR((s_dir!AV6/(d_Bv!U6+s_MLF_potato)),".")</f>
        <v>.</v>
      </c>
      <c r="BW6" s="15" t="str">
        <f>IFERROR((s_dir!AW6/(d_Bv!V6+s_MLF_pumpkin)),".")</f>
        <v>.</v>
      </c>
      <c r="BX6" s="15" t="str">
        <f>IFERROR((s_dir!AX6/(d_Bv!W6+s_MLF_snap_bean)),".")</f>
        <v>.</v>
      </c>
      <c r="BY6" s="15" t="str">
        <f>IFERROR((s_dir!AY6/(d_Bv!X6+s_MLF_strawberry)),".")</f>
        <v>.</v>
      </c>
      <c r="BZ6" s="15" t="str">
        <f>IFERROR((s_dir!AZ6/(d_Bv!Y6+s_MLF_tomato)),".")</f>
        <v>.</v>
      </c>
      <c r="CA6" s="15" t="str">
        <f>IFERROR((s_dir!BA6/(d_Bv!Z6+s_MLF_rice)),".")</f>
        <v>.</v>
      </c>
      <c r="CB6" s="15" t="str">
        <f>IFERROR((s_dir!BB6/(d_Bv!AA6+s_MLF_cereal)),".")</f>
        <v>.</v>
      </c>
      <c r="CC6" s="40">
        <f t="shared" si="3"/>
        <v>11485.924999999999</v>
      </c>
      <c r="CD6" s="40">
        <f>IFERROR(s_C*(d_Bv!C6+s_MLF_apple)*s_IFAP_far_adj*s_CF_apple,".")</f>
        <v>3554.375</v>
      </c>
      <c r="CE6" s="40">
        <f>IFERROR(s_C*(d_Bv!D6+s_MLF_asparagus)*s_IFAS_far_adj*s_CF_asparagus,".")</f>
        <v>2798.125</v>
      </c>
      <c r="CF6" s="40">
        <f>IFERROR(s_C*(d_Bv!E6+s_MLF_beet)*s_IFBT_far_adj*s_CF_beet,".")</f>
        <v>2798.125</v>
      </c>
      <c r="CG6" s="40">
        <f>IFERROR(s_C*(d_Bv!F6+s_MLF_berries)*s_IFBR_far_adj*s_CF_berries,".")</f>
        <v>3554.375</v>
      </c>
      <c r="CH6" s="40">
        <f>IFERROR(s_C*(d_Bv!G6+s_MLF_broccoli)*s_IFBR_far_adj*s_CF_broccoli,".")</f>
        <v>3554.375</v>
      </c>
      <c r="CI6" s="40">
        <f>IFERROR(s_C*(d_Bv!H6+s_MLF_cabbage)*s_IFCB_far_adj*s_CF_cabbage,".")</f>
        <v>2798.125</v>
      </c>
      <c r="CJ6" s="40">
        <f>IFERROR(s_C*(d_Bv!I6+s_MLF_carrot)*s_IFCR_far_adj*s_CF_carrot,".")</f>
        <v>2798.125</v>
      </c>
      <c r="CK6" s="40">
        <f>IFERROR(s_C*(d_Bv!J6+s_MLF_citrus)*s_IFCI_far_adj*s_CF_citrus,".")</f>
        <v>3554.375</v>
      </c>
      <c r="CL6" s="40">
        <f>IFERROR(s_C*(d_Bv!K6+s_MLF_corn)*s_IFCO_far_adj*s_CF_corn,".")</f>
        <v>3554.375</v>
      </c>
      <c r="CM6" s="40">
        <f>IFERROR(s_C*(d_Bv!L6+s_MLF_cucumber)*s_IFCU_far_adj*s_CF_cucumber,".")</f>
        <v>3554.375</v>
      </c>
      <c r="CN6" s="40">
        <f>IFERROR(s_C*(d_Bv!M6+s_MLF_lettuce)*s_IFLE_far_adj*s_CF_lettuce,".")</f>
        <v>2798.125</v>
      </c>
      <c r="CO6" s="40">
        <f>IFERROR(s_C*(d_Bv!N6+s_MLF_lima_bean)*s_IFLI_far_adj*s_CF_lima_bean,".")</f>
        <v>3554.375</v>
      </c>
      <c r="CP6" s="40">
        <f>IFERROR(s_C*(d_Bv!O6+s_MLF_okra)*s_IFOK_far_adj*s_CF_okra,".")</f>
        <v>3554.375</v>
      </c>
      <c r="CQ6" s="40">
        <f>IFERROR(s_C*(d_Bv!P6+s_MLF_onion)*s_IFON_far_adj*s_CF_onion,".")</f>
        <v>2798.125</v>
      </c>
      <c r="CR6" s="40">
        <f>IFERROR(s_C*(d_Bv!Q6+s_MLF_peach)*s_IFPC_far_adj*s_CF_peach,".")</f>
        <v>3554.375</v>
      </c>
      <c r="CS6" s="40">
        <f>IFERROR(s_C*(d_Bv!R6+s_MLF_pear)*s_IFPR_far_adj*s_CF_pear,".")</f>
        <v>3554.375</v>
      </c>
      <c r="CT6" s="40">
        <f>IFERROR(s_C*(d_Bv!S6+s_MLF_peas)*s_IFPE_far_adj*s_CF_peas,".")</f>
        <v>3554.375</v>
      </c>
      <c r="CU6" s="40">
        <f>IFERROR(s_C*(d_Bv!T6+s_MLF_peppers)*s_IFPP_far_adj*s_CF_peppers,".")</f>
        <v>3554.375</v>
      </c>
      <c r="CV6" s="40">
        <f>IFERROR(s_C*(d_Bv!U6+s_MLF_potato)*s_IFPT_far_adj*s_CF_potato,".")</f>
        <v>2798.125</v>
      </c>
      <c r="CW6" s="40">
        <f>IFERROR(s_C*(d_Bv!V6+s_MLF_pumpkin)*s_IFPU_far_adj*s_CF_pumpkin,".")</f>
        <v>3554.375</v>
      </c>
      <c r="CX6" s="40">
        <f>IFERROR(s_C*(d_Bv!W6+s_MLF_snap_bean)*s_IFSN_far_adj*s_CF_snap_bean,".")</f>
        <v>3554.375</v>
      </c>
      <c r="CY6" s="40">
        <f>IFERROR(s_C*(d_Bv!X6+s_MLF_strawberry)*s_IFST_far_adj*s_CF_strawberry,".")</f>
        <v>3554.375</v>
      </c>
      <c r="CZ6" s="40">
        <f>IFERROR(s_C*(d_Bv!Y6+s_MLF_tomato)*s_IFTO_far_adj*s_CF_tomato,".")</f>
        <v>3554.375</v>
      </c>
      <c r="DA6" s="40">
        <f>IFERROR(s_C*(d_Bv!Z6+s_MLF_rice)*s_IFRI_far_adj*s_CF_rice,".")</f>
        <v>2184.0500000000002</v>
      </c>
      <c r="DB6" s="40">
        <f>IFERROR(s_C*(d_Bv!AA6+s_MLF_cereal)*s_IFCG_far_adj*s_CF_cereal,".")</f>
        <v>2193.125</v>
      </c>
    </row>
    <row r="7" spans="1:106" ht="15" customHeight="1" x14ac:dyDescent="0.25">
      <c r="A7" s="44" t="s">
        <v>17</v>
      </c>
      <c r="B7" s="42" t="s">
        <v>1071</v>
      </c>
      <c r="C7" s="15">
        <f t="shared" si="0"/>
        <v>55.908054597390894</v>
      </c>
      <c r="D7" s="15">
        <f>IFERROR((s_dir!D7/(d_Bv!C7+s_MLF_apple)),".")</f>
        <v>223.63221838956358</v>
      </c>
      <c r="E7" s="15">
        <f>IFERROR((s_dir!E7/(d_Bv!D7+s_MLF_asparagus)),".")</f>
        <v>223.63221838956358</v>
      </c>
      <c r="F7" s="15">
        <f>IFERROR((s_dir!F7/(d_Bv!E7+s_MLF_beet)),".")</f>
        <v>223.63221838956358</v>
      </c>
      <c r="G7" s="15">
        <f>IFERROR((s_dir!G7/(d_Bv!F7+s_MLF_berries)),".")</f>
        <v>223.63221838956358</v>
      </c>
      <c r="H7" s="15">
        <f>IFERROR((s_dir!H7/(d_Bv!G7+s_MLF_broccoli)),".")</f>
        <v>223.63221838956358</v>
      </c>
      <c r="I7" s="15">
        <f>IFERROR((s_dir!I7/(d_Bv!H7+s_MLF_cabbage)),".")</f>
        <v>223.63221838956358</v>
      </c>
      <c r="J7" s="15">
        <f>IFERROR((s_dir!J7/(d_Bv!I7+s_MLF_carrot)),".")</f>
        <v>223.63221838956358</v>
      </c>
      <c r="K7" s="15">
        <f>IFERROR((s_dir!K7/(d_Bv!J7+s_MLF_citrus)),".")</f>
        <v>223.63221838956358</v>
      </c>
      <c r="L7" s="15">
        <f>IFERROR((s_dir!L7/(d_Bv!K7+s_MLF_corn)),".")</f>
        <v>223.63221838956358</v>
      </c>
      <c r="M7" s="15">
        <f>IFERROR((s_dir!M7/(d_Bv!L7+s_MLF_cucumber)),".")</f>
        <v>223.63221838956358</v>
      </c>
      <c r="N7" s="15">
        <f>IFERROR((s_dir!N7/(d_Bv!M7+s_MLF_lettuce)),".")</f>
        <v>223.63221838956358</v>
      </c>
      <c r="O7" s="15">
        <f>IFERROR((s_dir!O7/(d_Bv!N7+s_MLF_lima_bean)),".")</f>
        <v>223.63221838956358</v>
      </c>
      <c r="P7" s="15">
        <f>IFERROR((s_dir!P7/(d_Bv!O7+s_MLF_okra)),".")</f>
        <v>223.63221838956358</v>
      </c>
      <c r="Q7" s="15">
        <f>IFERROR((s_dir!Q7/(d_Bv!P7+s_MLF_onion)),".")</f>
        <v>223.63221838956358</v>
      </c>
      <c r="R7" s="15">
        <f>IFERROR((s_dir!R7/(d_Bv!Q7+s_MLF_peach)),".")</f>
        <v>223.63221838956358</v>
      </c>
      <c r="S7" s="15">
        <f>IFERROR((s_dir!S7/(d_Bv!R7+s_MLF_pear)),".")</f>
        <v>223.63221838956358</v>
      </c>
      <c r="T7" s="15">
        <f>IFERROR((s_dir!T7/(d_Bv!S7+s_MLF_peas)),".")</f>
        <v>223.63221838956358</v>
      </c>
      <c r="U7" s="15">
        <f>IFERROR((s_dir!U7/(d_Bv!T7+s_MLF_peppers)),".")</f>
        <v>223.63221838956358</v>
      </c>
      <c r="V7" s="15">
        <f>IFERROR((s_dir!V7/(d_Bv!U7+s_MLF_potato)),".")</f>
        <v>223.63221838956358</v>
      </c>
      <c r="W7" s="15">
        <f>IFERROR((s_dir!W7/(d_Bv!V7+s_MLF_pumpkin)),".")</f>
        <v>223.63221838956358</v>
      </c>
      <c r="X7" s="15">
        <f>IFERROR((s_dir!X7/(d_Bv!W7+s_MLF_snap_bean)),".")</f>
        <v>223.63221838956358</v>
      </c>
      <c r="Y7" s="15">
        <f>IFERROR((s_dir!Y7/(d_Bv!X7+s_MLF_strawberry)),".")</f>
        <v>223.63221838956358</v>
      </c>
      <c r="Z7" s="15">
        <f>IFERROR((s_dir!Z7/(d_Bv!Y7+s_MLF_tomato)),".")</f>
        <v>223.63221838956358</v>
      </c>
      <c r="AA7" s="15">
        <f>IFERROR((s_dir!AA7/(d_Bv!Z7+s_MLF_rice)),".")</f>
        <v>223.63221838956358</v>
      </c>
      <c r="AB7" s="15">
        <f>IFERROR((s_dir!AB7/(d_Bv!AA7+s_MLF_cereal)),".")</f>
        <v>223.63221838956358</v>
      </c>
      <c r="AC7" s="40">
        <f t="shared" si="1"/>
        <v>68667.5</v>
      </c>
      <c r="AD7" s="40">
        <f>s_C*(d_Bv!C7+s_MLF_apple)*s_IFAP_res_adj*s_CF_apple</f>
        <v>17166.875</v>
      </c>
      <c r="AE7" s="40">
        <f>s_C*(d_Bv!D7+s_MLF_asparagus)*s_IFAS_res_adj*s_CF_asparagus</f>
        <v>17166.875</v>
      </c>
      <c r="AF7" s="40">
        <f>s_C*(d_Bv!E7+s_MLF_beet)*s_IFBT_res_adj*s_CF_beet</f>
        <v>17166.875</v>
      </c>
      <c r="AG7" s="40">
        <f>s_C*(d_Bv!F7+s_MLF_berries)*s_IFBE_res_adj*s_CF_berries</f>
        <v>17166.875</v>
      </c>
      <c r="AH7" s="40">
        <f>s_C*(d_Bv!G7+s_MLF_broccoli)*s_IFBR_res_adj*s_CF_broccoli</f>
        <v>17166.875</v>
      </c>
      <c r="AI7" s="40">
        <f>s_C*(d_Bv!H7+s_MLF_cabbage)*s_IFCB_res_adj*s_CF_cabbage</f>
        <v>17166.875</v>
      </c>
      <c r="AJ7" s="40">
        <f>s_C*(d_Bv!I7+s_MLF_carrot)*s_IFCR_res_adj*s_CF_carrot</f>
        <v>17166.875</v>
      </c>
      <c r="AK7" s="40">
        <f>s_C*(d_Bv!J7+s_MLF_citrus)*s_IFCI_res_adj*s_CF_citrus</f>
        <v>17166.875</v>
      </c>
      <c r="AL7" s="40">
        <f>s_C*(d_Bv!K7+s_MLF_corn)*s_IFCO_res_adj*s_CF_corn</f>
        <v>17166.875</v>
      </c>
      <c r="AM7" s="40">
        <f>s_C*(d_Bv!L7+s_MLF_cucumber)*s_IFCU_res_adj*s_CF_cucumber</f>
        <v>17166.875</v>
      </c>
      <c r="AN7" s="40">
        <f>s_C*(d_Bv!M7+s_MLF_lettuce)*s_IFLE_res_adj*s_CF_lettuce</f>
        <v>17166.875</v>
      </c>
      <c r="AO7" s="40">
        <f>s_C*(d_Bv!N7+s_MLF_lima_bean)*s_IFLI_res_adj*s_CF_lima_bean</f>
        <v>17166.875</v>
      </c>
      <c r="AP7" s="40">
        <f>s_C*(d_Bv!O7+s_MLF_okra)*s_IFOK_res_adj*s_CF_okra</f>
        <v>17166.875</v>
      </c>
      <c r="AQ7" s="40">
        <f>s_C*(d_Bv!P7+s_MLF_onion)*s_IFON_res_adj*s_CF_onion</f>
        <v>17166.875</v>
      </c>
      <c r="AR7" s="40">
        <f>s_C*(d_Bv!Q7+s_MLF_peach)*s_IFPC_res_adj*s_CF_peach</f>
        <v>17166.875</v>
      </c>
      <c r="AS7" s="40">
        <f>s_C*(d_Bv!R7+s_MLF_pear)*s_IFPR_res_adj*s_CF_pear</f>
        <v>17166.875</v>
      </c>
      <c r="AT7" s="40">
        <f>s_C*(d_Bv!S7+s_MLF_peas)*s_IFPE_res_adj*s_CF_peas</f>
        <v>17166.875</v>
      </c>
      <c r="AU7" s="40">
        <f>s_C*(d_Bv!T7+s_MLF_peppers)*s_IFPP_res_adj*s_CF_peppers</f>
        <v>17166.875</v>
      </c>
      <c r="AV7" s="40">
        <f>s_C*(d_Bv!U7+s_MLF_potato)*s_IFPT_res_adj*s_CF_potato</f>
        <v>17166.875</v>
      </c>
      <c r="AW7" s="40">
        <f>s_C*(d_Bv!V7+s_MLF_pumpkin)*s_IFPU_res_adj*s_CF_pumpkin</f>
        <v>17166.875</v>
      </c>
      <c r="AX7" s="40">
        <f>s_C*(d_Bv!W7+s_MLF_snap_bean)*s_IFSN_res_adj*s_CF_snap_bean</f>
        <v>17166.875</v>
      </c>
      <c r="AY7" s="40">
        <f>s_C*(d_Bv!X7+s_MLF_strawberry)*s_IFST_res_adj*s_CF_strawberry</f>
        <v>17166.875</v>
      </c>
      <c r="AZ7" s="40">
        <f>s_C*(d_Bv!Y7+s_MLF_tomato)*s_IFTO_res_adj*s_CF_tomato</f>
        <v>17166.875</v>
      </c>
      <c r="BA7" s="40">
        <f>s_C*(d_Bv!Z7+s_MLF_rice)*s_IFRI_res_adj*s_CF_rice</f>
        <v>17166.875</v>
      </c>
      <c r="BB7" s="40">
        <f>s_C*(d_Bv!AA7+s_MLF_cereal)*s_IFCG_res_adj*s_CF_cereal</f>
        <v>17166.875</v>
      </c>
      <c r="BC7" s="15">
        <f t="shared" si="2"/>
        <v>55.908054597390894</v>
      </c>
      <c r="BD7" s="15">
        <f>IFERROR((s_dir!AD7/(d_Bv!C7+s_MLF_apple)),".")</f>
        <v>223.63221838956358</v>
      </c>
      <c r="BE7" s="15">
        <f>IFERROR((s_dir!AE7/(d_Bv!D7+s_MLF_asparagus)),".")</f>
        <v>223.63221838956358</v>
      </c>
      <c r="BF7" s="15">
        <f>IFERROR((s_dir!AF7/(d_Bv!E7+s_MLF_beet)),".")</f>
        <v>223.63221838956358</v>
      </c>
      <c r="BG7" s="15">
        <f>IFERROR((s_dir!AG7/(d_Bv!F7+s_MLF_berries)),".")</f>
        <v>223.63221838956358</v>
      </c>
      <c r="BH7" s="15">
        <f>IFERROR((s_dir!AH7/(d_Bv!G7+s_MLF_broccoli)),".")</f>
        <v>223.63221838956358</v>
      </c>
      <c r="BI7" s="15">
        <f>IFERROR((s_dir!AI7/(d_Bv!H7+s_MLF_cabbage)),".")</f>
        <v>223.63221838956358</v>
      </c>
      <c r="BJ7" s="15">
        <f>IFERROR((s_dir!AJ7/(d_Bv!I7+s_MLF_carrot)),".")</f>
        <v>223.63221838956358</v>
      </c>
      <c r="BK7" s="15">
        <f>IFERROR((s_dir!AK7/(d_Bv!J7+s_MLF_citrus)),".")</f>
        <v>223.63221838956358</v>
      </c>
      <c r="BL7" s="15">
        <f>IFERROR((s_dir!AL7/(d_Bv!K7+s_MLF_corn)),".")</f>
        <v>223.63221838956358</v>
      </c>
      <c r="BM7" s="15">
        <f>IFERROR((s_dir!AM7/(d_Bv!L7+s_MLF_cucumber)),".")</f>
        <v>223.63221838956358</v>
      </c>
      <c r="BN7" s="15">
        <f>IFERROR((s_dir!AN7/(d_Bv!M7+s_MLF_lettuce)),".")</f>
        <v>223.63221838956358</v>
      </c>
      <c r="BO7" s="15">
        <f>IFERROR((s_dir!AO7/(d_Bv!N7+s_MLF_lima_bean)),".")</f>
        <v>223.63221838956358</v>
      </c>
      <c r="BP7" s="15">
        <f>IFERROR((s_dir!AP7/(d_Bv!O7+s_MLF_okra)),".")</f>
        <v>223.63221838956358</v>
      </c>
      <c r="BQ7" s="15">
        <f>IFERROR((s_dir!AQ7/(d_Bv!P7+s_MLF_onion)),".")</f>
        <v>223.63221838956358</v>
      </c>
      <c r="BR7" s="15">
        <f>IFERROR((s_dir!AR7/(d_Bv!Q7+s_MLF_peach)),".")</f>
        <v>223.63221838956358</v>
      </c>
      <c r="BS7" s="15">
        <f>IFERROR((s_dir!AS7/(d_Bv!R7+s_MLF_pear)),".")</f>
        <v>223.63221838956358</v>
      </c>
      <c r="BT7" s="15">
        <f>IFERROR((s_dir!AT7/(d_Bv!S7+s_MLF_peas)),".")</f>
        <v>223.63221838956358</v>
      </c>
      <c r="BU7" s="15">
        <f>IFERROR((s_dir!AU7/(d_Bv!T7+s_MLF_peppers)),".")</f>
        <v>223.63221838956358</v>
      </c>
      <c r="BV7" s="15">
        <f>IFERROR((s_dir!AV7/(d_Bv!U7+s_MLF_potato)),".")</f>
        <v>223.63221838956358</v>
      </c>
      <c r="BW7" s="15">
        <f>IFERROR((s_dir!AW7/(d_Bv!V7+s_MLF_pumpkin)),".")</f>
        <v>223.63221838956358</v>
      </c>
      <c r="BX7" s="15">
        <f>IFERROR((s_dir!AX7/(d_Bv!W7+s_MLF_snap_bean)),".")</f>
        <v>223.63221838956358</v>
      </c>
      <c r="BY7" s="15">
        <f>IFERROR((s_dir!AY7/(d_Bv!X7+s_MLF_strawberry)),".")</f>
        <v>223.63221838956358</v>
      </c>
      <c r="BZ7" s="15">
        <f>IFERROR((s_dir!AZ7/(d_Bv!Y7+s_MLF_tomato)),".")</f>
        <v>223.63221838956358</v>
      </c>
      <c r="CA7" s="15">
        <f>IFERROR((s_dir!BA7/(d_Bv!Z7+s_MLF_rice)),".")</f>
        <v>223.63221838956358</v>
      </c>
      <c r="CB7" s="15">
        <f>IFERROR((s_dir!BB7/(d_Bv!AA7+s_MLF_cereal)),".")</f>
        <v>223.63221838956358</v>
      </c>
      <c r="CC7" s="40">
        <f t="shared" si="3"/>
        <v>68667.5</v>
      </c>
      <c r="CD7" s="40">
        <f>IFERROR(s_C*(d_Bv!C7+s_MLF_apple)*s_IFAP_far_adj*s_CF_apple,".")</f>
        <v>17166.875</v>
      </c>
      <c r="CE7" s="40">
        <f>IFERROR(s_C*(d_Bv!D7+s_MLF_asparagus)*s_IFAS_far_adj*s_CF_asparagus,".")</f>
        <v>17166.875</v>
      </c>
      <c r="CF7" s="40">
        <f>IFERROR(s_C*(d_Bv!E7+s_MLF_beet)*s_IFBT_far_adj*s_CF_beet,".")</f>
        <v>17166.875</v>
      </c>
      <c r="CG7" s="40">
        <f>IFERROR(s_C*(d_Bv!F7+s_MLF_berries)*s_IFBR_far_adj*s_CF_berries,".")</f>
        <v>17166.875</v>
      </c>
      <c r="CH7" s="40">
        <f>IFERROR(s_C*(d_Bv!G7+s_MLF_broccoli)*s_IFBR_far_adj*s_CF_broccoli,".")</f>
        <v>17166.875</v>
      </c>
      <c r="CI7" s="40">
        <f>IFERROR(s_C*(d_Bv!H7+s_MLF_cabbage)*s_IFCB_far_adj*s_CF_cabbage,".")</f>
        <v>17166.875</v>
      </c>
      <c r="CJ7" s="40">
        <f>IFERROR(s_C*(d_Bv!I7+s_MLF_carrot)*s_IFCR_far_adj*s_CF_carrot,".")</f>
        <v>17166.875</v>
      </c>
      <c r="CK7" s="40">
        <f>IFERROR(s_C*(d_Bv!J7+s_MLF_citrus)*s_IFCI_far_adj*s_CF_citrus,".")</f>
        <v>17166.875</v>
      </c>
      <c r="CL7" s="40">
        <f>IFERROR(s_C*(d_Bv!K7+s_MLF_corn)*s_IFCO_far_adj*s_CF_corn,".")</f>
        <v>17166.875</v>
      </c>
      <c r="CM7" s="40">
        <f>IFERROR(s_C*(d_Bv!L7+s_MLF_cucumber)*s_IFCU_far_adj*s_CF_cucumber,".")</f>
        <v>17166.875</v>
      </c>
      <c r="CN7" s="40">
        <f>IFERROR(s_C*(d_Bv!M7+s_MLF_lettuce)*s_IFLE_far_adj*s_CF_lettuce,".")</f>
        <v>17166.875</v>
      </c>
      <c r="CO7" s="40">
        <f>IFERROR(s_C*(d_Bv!N7+s_MLF_lima_bean)*s_IFLI_far_adj*s_CF_lima_bean,".")</f>
        <v>17166.875</v>
      </c>
      <c r="CP7" s="40">
        <f>IFERROR(s_C*(d_Bv!O7+s_MLF_okra)*s_IFOK_far_adj*s_CF_okra,".")</f>
        <v>17166.875</v>
      </c>
      <c r="CQ7" s="40">
        <f>IFERROR(s_C*(d_Bv!P7+s_MLF_onion)*s_IFON_far_adj*s_CF_onion,".")</f>
        <v>17166.875</v>
      </c>
      <c r="CR7" s="40">
        <f>IFERROR(s_C*(d_Bv!Q7+s_MLF_peach)*s_IFPC_far_adj*s_CF_peach,".")</f>
        <v>17166.875</v>
      </c>
      <c r="CS7" s="40">
        <f>IFERROR(s_C*(d_Bv!R7+s_MLF_pear)*s_IFPR_far_adj*s_CF_pear,".")</f>
        <v>17166.875</v>
      </c>
      <c r="CT7" s="40">
        <f>IFERROR(s_C*(d_Bv!S7+s_MLF_peas)*s_IFPE_far_adj*s_CF_peas,".")</f>
        <v>17166.875</v>
      </c>
      <c r="CU7" s="40">
        <f>IFERROR(s_C*(d_Bv!T7+s_MLF_peppers)*s_IFPP_far_adj*s_CF_peppers,".")</f>
        <v>17166.875</v>
      </c>
      <c r="CV7" s="40">
        <f>IFERROR(s_C*(d_Bv!U7+s_MLF_potato)*s_IFPT_far_adj*s_CF_potato,".")</f>
        <v>17166.875</v>
      </c>
      <c r="CW7" s="40">
        <f>IFERROR(s_C*(d_Bv!V7+s_MLF_pumpkin)*s_IFPU_far_adj*s_CF_pumpkin,".")</f>
        <v>17166.875</v>
      </c>
      <c r="CX7" s="40">
        <f>IFERROR(s_C*(d_Bv!W7+s_MLF_snap_bean)*s_IFSN_far_adj*s_CF_snap_bean,".")</f>
        <v>17166.875</v>
      </c>
      <c r="CY7" s="40">
        <f>IFERROR(s_C*(d_Bv!X7+s_MLF_strawberry)*s_IFST_far_adj*s_CF_strawberry,".")</f>
        <v>17166.875</v>
      </c>
      <c r="CZ7" s="40">
        <f>IFERROR(s_C*(d_Bv!Y7+s_MLF_tomato)*s_IFTO_far_adj*s_CF_tomato,".")</f>
        <v>17166.875</v>
      </c>
      <c r="DA7" s="40">
        <f>IFERROR(s_C*(d_Bv!Z7+s_MLF_rice)*s_IFRI_far_adj*s_CF_rice,".")</f>
        <v>17166.875</v>
      </c>
      <c r="DB7" s="40">
        <f>IFERROR(s_C*(d_Bv!AA7+s_MLF_cereal)*s_IFCG_far_adj*s_CF_cereal,".")</f>
        <v>17166.875</v>
      </c>
    </row>
    <row r="8" spans="1:106" ht="15" customHeight="1" x14ac:dyDescent="0.25">
      <c r="A8" s="44" t="s">
        <v>18</v>
      </c>
      <c r="B8" s="42" t="s">
        <v>1071</v>
      </c>
      <c r="C8" s="15">
        <f t="shared" si="0"/>
        <v>1014.4141865093603</v>
      </c>
      <c r="D8" s="15">
        <f>IFERROR((s_dir!D8/(d_Bv!C8+s_MLF_apple)),".")</f>
        <v>4057.6567460374417</v>
      </c>
      <c r="E8" s="15">
        <f>IFERROR((s_dir!E8/(d_Bv!D8+s_MLF_asparagus)),".")</f>
        <v>4057.6567460374417</v>
      </c>
      <c r="F8" s="15">
        <f>IFERROR((s_dir!F8/(d_Bv!E8+s_MLF_beet)),".")</f>
        <v>4057.6567460374417</v>
      </c>
      <c r="G8" s="15">
        <f>IFERROR((s_dir!G8/(d_Bv!F8+s_MLF_berries)),".")</f>
        <v>4057.6567460374417</v>
      </c>
      <c r="H8" s="15">
        <f>IFERROR((s_dir!H8/(d_Bv!G8+s_MLF_broccoli)),".")</f>
        <v>4057.6567460374417</v>
      </c>
      <c r="I8" s="15">
        <f>IFERROR((s_dir!I8/(d_Bv!H8+s_MLF_cabbage)),".")</f>
        <v>4057.6567460374417</v>
      </c>
      <c r="J8" s="15">
        <f>IFERROR((s_dir!J8/(d_Bv!I8+s_MLF_carrot)),".")</f>
        <v>4057.6567460374417</v>
      </c>
      <c r="K8" s="15">
        <f>IFERROR((s_dir!K8/(d_Bv!J8+s_MLF_citrus)),".")</f>
        <v>4057.6567460374417</v>
      </c>
      <c r="L8" s="15">
        <f>IFERROR((s_dir!L8/(d_Bv!K8+s_MLF_corn)),".")</f>
        <v>4057.6567460374417</v>
      </c>
      <c r="M8" s="15">
        <f>IFERROR((s_dir!M8/(d_Bv!L8+s_MLF_cucumber)),".")</f>
        <v>4057.6567460374417</v>
      </c>
      <c r="N8" s="15">
        <f>IFERROR((s_dir!N8/(d_Bv!M8+s_MLF_lettuce)),".")</f>
        <v>4057.6567460374417</v>
      </c>
      <c r="O8" s="15">
        <f>IFERROR((s_dir!O8/(d_Bv!N8+s_MLF_lima_bean)),".")</f>
        <v>4057.6567460374417</v>
      </c>
      <c r="P8" s="15">
        <f>IFERROR((s_dir!P8/(d_Bv!O8+s_MLF_okra)),".")</f>
        <v>4057.6567460374417</v>
      </c>
      <c r="Q8" s="15">
        <f>IFERROR((s_dir!Q8/(d_Bv!P8+s_MLF_onion)),".")</f>
        <v>4057.6567460374417</v>
      </c>
      <c r="R8" s="15">
        <f>IFERROR((s_dir!R8/(d_Bv!Q8+s_MLF_peach)),".")</f>
        <v>4057.6567460374417</v>
      </c>
      <c r="S8" s="15">
        <f>IFERROR((s_dir!S8/(d_Bv!R8+s_MLF_pear)),".")</f>
        <v>4057.6567460374417</v>
      </c>
      <c r="T8" s="15">
        <f>IFERROR((s_dir!T8/(d_Bv!S8+s_MLF_peas)),".")</f>
        <v>4057.6567460374417</v>
      </c>
      <c r="U8" s="15">
        <f>IFERROR((s_dir!U8/(d_Bv!T8+s_MLF_peppers)),".")</f>
        <v>4057.6567460374417</v>
      </c>
      <c r="V8" s="15">
        <f>IFERROR((s_dir!V8/(d_Bv!U8+s_MLF_potato)),".")</f>
        <v>4057.6567460374417</v>
      </c>
      <c r="W8" s="15">
        <f>IFERROR((s_dir!W8/(d_Bv!V8+s_MLF_pumpkin)),".")</f>
        <v>4057.6567460374417</v>
      </c>
      <c r="X8" s="15">
        <f>IFERROR((s_dir!X8/(d_Bv!W8+s_MLF_snap_bean)),".")</f>
        <v>4057.6567460374417</v>
      </c>
      <c r="Y8" s="15">
        <f>IFERROR((s_dir!Y8/(d_Bv!X8+s_MLF_strawberry)),".")</f>
        <v>4057.6567460374417</v>
      </c>
      <c r="Z8" s="15">
        <f>IFERROR((s_dir!Z8/(d_Bv!Y8+s_MLF_tomato)),".")</f>
        <v>4057.6567460374417</v>
      </c>
      <c r="AA8" s="15">
        <f>IFERROR((s_dir!AA8/(d_Bv!Z8+s_MLF_rice)),".")</f>
        <v>4057.6567460374417</v>
      </c>
      <c r="AB8" s="15">
        <f>IFERROR((s_dir!AB8/(d_Bv!AA8+s_MLF_cereal)),".")</f>
        <v>4057.6567460374417</v>
      </c>
      <c r="AC8" s="40">
        <f t="shared" si="1"/>
        <v>68667.5</v>
      </c>
      <c r="AD8" s="40">
        <f>s_C*(d_Bv!C8+s_MLF_apple)*s_IFAP_res_adj*s_CF_apple</f>
        <v>17166.875</v>
      </c>
      <c r="AE8" s="40">
        <f>s_C*(d_Bv!D8+s_MLF_asparagus)*s_IFAS_res_adj*s_CF_asparagus</f>
        <v>17166.875</v>
      </c>
      <c r="AF8" s="40">
        <f>s_C*(d_Bv!E8+s_MLF_beet)*s_IFBT_res_adj*s_CF_beet</f>
        <v>17166.875</v>
      </c>
      <c r="AG8" s="40">
        <f>s_C*(d_Bv!F8+s_MLF_berries)*s_IFBE_res_adj*s_CF_berries</f>
        <v>17166.875</v>
      </c>
      <c r="AH8" s="40">
        <f>s_C*(d_Bv!G8+s_MLF_broccoli)*s_IFBR_res_adj*s_CF_broccoli</f>
        <v>17166.875</v>
      </c>
      <c r="AI8" s="40">
        <f>s_C*(d_Bv!H8+s_MLF_cabbage)*s_IFCB_res_adj*s_CF_cabbage</f>
        <v>17166.875</v>
      </c>
      <c r="AJ8" s="40">
        <f>s_C*(d_Bv!I8+s_MLF_carrot)*s_IFCR_res_adj*s_CF_carrot</f>
        <v>17166.875</v>
      </c>
      <c r="AK8" s="40">
        <f>s_C*(d_Bv!J8+s_MLF_citrus)*s_IFCI_res_adj*s_CF_citrus</f>
        <v>17166.875</v>
      </c>
      <c r="AL8" s="40">
        <f>s_C*(d_Bv!K8+s_MLF_corn)*s_IFCO_res_adj*s_CF_corn</f>
        <v>17166.875</v>
      </c>
      <c r="AM8" s="40">
        <f>s_C*(d_Bv!L8+s_MLF_cucumber)*s_IFCU_res_adj*s_CF_cucumber</f>
        <v>17166.875</v>
      </c>
      <c r="AN8" s="40">
        <f>s_C*(d_Bv!M8+s_MLF_lettuce)*s_IFLE_res_adj*s_CF_lettuce</f>
        <v>17166.875</v>
      </c>
      <c r="AO8" s="40">
        <f>s_C*(d_Bv!N8+s_MLF_lima_bean)*s_IFLI_res_adj*s_CF_lima_bean</f>
        <v>17166.875</v>
      </c>
      <c r="AP8" s="40">
        <f>s_C*(d_Bv!O8+s_MLF_okra)*s_IFOK_res_adj*s_CF_okra</f>
        <v>17166.875</v>
      </c>
      <c r="AQ8" s="40">
        <f>s_C*(d_Bv!P8+s_MLF_onion)*s_IFON_res_adj*s_CF_onion</f>
        <v>17166.875</v>
      </c>
      <c r="AR8" s="40">
        <f>s_C*(d_Bv!Q8+s_MLF_peach)*s_IFPC_res_adj*s_CF_peach</f>
        <v>17166.875</v>
      </c>
      <c r="AS8" s="40">
        <f>s_C*(d_Bv!R8+s_MLF_pear)*s_IFPR_res_adj*s_CF_pear</f>
        <v>17166.875</v>
      </c>
      <c r="AT8" s="40">
        <f>s_C*(d_Bv!S8+s_MLF_peas)*s_IFPE_res_adj*s_CF_peas</f>
        <v>17166.875</v>
      </c>
      <c r="AU8" s="40">
        <f>s_C*(d_Bv!T8+s_MLF_peppers)*s_IFPP_res_adj*s_CF_peppers</f>
        <v>17166.875</v>
      </c>
      <c r="AV8" s="40">
        <f>s_C*(d_Bv!U8+s_MLF_potato)*s_IFPT_res_adj*s_CF_potato</f>
        <v>17166.875</v>
      </c>
      <c r="AW8" s="40">
        <f>s_C*(d_Bv!V8+s_MLF_pumpkin)*s_IFPU_res_adj*s_CF_pumpkin</f>
        <v>17166.875</v>
      </c>
      <c r="AX8" s="40">
        <f>s_C*(d_Bv!W8+s_MLF_snap_bean)*s_IFSN_res_adj*s_CF_snap_bean</f>
        <v>17166.875</v>
      </c>
      <c r="AY8" s="40">
        <f>s_C*(d_Bv!X8+s_MLF_strawberry)*s_IFST_res_adj*s_CF_strawberry</f>
        <v>17166.875</v>
      </c>
      <c r="AZ8" s="40">
        <f>s_C*(d_Bv!Y8+s_MLF_tomato)*s_IFTO_res_adj*s_CF_tomato</f>
        <v>17166.875</v>
      </c>
      <c r="BA8" s="40">
        <f>s_C*(d_Bv!Z8+s_MLF_rice)*s_IFRI_res_adj*s_CF_rice</f>
        <v>17166.875</v>
      </c>
      <c r="BB8" s="40">
        <f>s_C*(d_Bv!AA8+s_MLF_cereal)*s_IFCG_res_adj*s_CF_cereal</f>
        <v>17166.875</v>
      </c>
      <c r="BC8" s="15">
        <f t="shared" si="2"/>
        <v>1014.4141865093603</v>
      </c>
      <c r="BD8" s="15">
        <f>IFERROR((s_dir!AD8/(d_Bv!C8+s_MLF_apple)),".")</f>
        <v>4057.6567460374417</v>
      </c>
      <c r="BE8" s="15">
        <f>IFERROR((s_dir!AE8/(d_Bv!D8+s_MLF_asparagus)),".")</f>
        <v>4057.6567460374417</v>
      </c>
      <c r="BF8" s="15">
        <f>IFERROR((s_dir!AF8/(d_Bv!E8+s_MLF_beet)),".")</f>
        <v>4057.6567460374417</v>
      </c>
      <c r="BG8" s="15">
        <f>IFERROR((s_dir!AG8/(d_Bv!F8+s_MLF_berries)),".")</f>
        <v>4057.6567460374417</v>
      </c>
      <c r="BH8" s="15">
        <f>IFERROR((s_dir!AH8/(d_Bv!G8+s_MLF_broccoli)),".")</f>
        <v>4057.6567460374417</v>
      </c>
      <c r="BI8" s="15">
        <f>IFERROR((s_dir!AI8/(d_Bv!H8+s_MLF_cabbage)),".")</f>
        <v>4057.6567460374417</v>
      </c>
      <c r="BJ8" s="15">
        <f>IFERROR((s_dir!AJ8/(d_Bv!I8+s_MLF_carrot)),".")</f>
        <v>4057.6567460374417</v>
      </c>
      <c r="BK8" s="15">
        <f>IFERROR((s_dir!AK8/(d_Bv!J8+s_MLF_citrus)),".")</f>
        <v>4057.6567460374417</v>
      </c>
      <c r="BL8" s="15">
        <f>IFERROR((s_dir!AL8/(d_Bv!K8+s_MLF_corn)),".")</f>
        <v>4057.6567460374417</v>
      </c>
      <c r="BM8" s="15">
        <f>IFERROR((s_dir!AM8/(d_Bv!L8+s_MLF_cucumber)),".")</f>
        <v>4057.6567460374417</v>
      </c>
      <c r="BN8" s="15">
        <f>IFERROR((s_dir!AN8/(d_Bv!M8+s_MLF_lettuce)),".")</f>
        <v>4057.6567460374417</v>
      </c>
      <c r="BO8" s="15">
        <f>IFERROR((s_dir!AO8/(d_Bv!N8+s_MLF_lima_bean)),".")</f>
        <v>4057.6567460374417</v>
      </c>
      <c r="BP8" s="15">
        <f>IFERROR((s_dir!AP8/(d_Bv!O8+s_MLF_okra)),".")</f>
        <v>4057.6567460374417</v>
      </c>
      <c r="BQ8" s="15">
        <f>IFERROR((s_dir!AQ8/(d_Bv!P8+s_MLF_onion)),".")</f>
        <v>4057.6567460374417</v>
      </c>
      <c r="BR8" s="15">
        <f>IFERROR((s_dir!AR8/(d_Bv!Q8+s_MLF_peach)),".")</f>
        <v>4057.6567460374417</v>
      </c>
      <c r="BS8" s="15">
        <f>IFERROR((s_dir!AS8/(d_Bv!R8+s_MLF_pear)),".")</f>
        <v>4057.6567460374417</v>
      </c>
      <c r="BT8" s="15">
        <f>IFERROR((s_dir!AT8/(d_Bv!S8+s_MLF_peas)),".")</f>
        <v>4057.6567460374417</v>
      </c>
      <c r="BU8" s="15">
        <f>IFERROR((s_dir!AU8/(d_Bv!T8+s_MLF_peppers)),".")</f>
        <v>4057.6567460374417</v>
      </c>
      <c r="BV8" s="15">
        <f>IFERROR((s_dir!AV8/(d_Bv!U8+s_MLF_potato)),".")</f>
        <v>4057.6567460374417</v>
      </c>
      <c r="BW8" s="15">
        <f>IFERROR((s_dir!AW8/(d_Bv!V8+s_MLF_pumpkin)),".")</f>
        <v>4057.6567460374417</v>
      </c>
      <c r="BX8" s="15">
        <f>IFERROR((s_dir!AX8/(d_Bv!W8+s_MLF_snap_bean)),".")</f>
        <v>4057.6567460374417</v>
      </c>
      <c r="BY8" s="15">
        <f>IFERROR((s_dir!AY8/(d_Bv!X8+s_MLF_strawberry)),".")</f>
        <v>4057.6567460374417</v>
      </c>
      <c r="BZ8" s="15">
        <f>IFERROR((s_dir!AZ8/(d_Bv!Y8+s_MLF_tomato)),".")</f>
        <v>4057.6567460374417</v>
      </c>
      <c r="CA8" s="15">
        <f>IFERROR((s_dir!BA8/(d_Bv!Z8+s_MLF_rice)),".")</f>
        <v>4057.6567460374417</v>
      </c>
      <c r="CB8" s="15">
        <f>IFERROR((s_dir!BB8/(d_Bv!AA8+s_MLF_cereal)),".")</f>
        <v>4057.6567460374417</v>
      </c>
      <c r="CC8" s="40">
        <f t="shared" si="3"/>
        <v>68667.5</v>
      </c>
      <c r="CD8" s="40">
        <f>IFERROR(s_C*(d_Bv!C8+s_MLF_apple)*s_IFAP_far_adj*s_CF_apple,".")</f>
        <v>17166.875</v>
      </c>
      <c r="CE8" s="40">
        <f>IFERROR(s_C*(d_Bv!D8+s_MLF_asparagus)*s_IFAS_far_adj*s_CF_asparagus,".")</f>
        <v>17166.875</v>
      </c>
      <c r="CF8" s="40">
        <f>IFERROR(s_C*(d_Bv!E8+s_MLF_beet)*s_IFBT_far_adj*s_CF_beet,".")</f>
        <v>17166.875</v>
      </c>
      <c r="CG8" s="40">
        <f>IFERROR(s_C*(d_Bv!F8+s_MLF_berries)*s_IFBR_far_adj*s_CF_berries,".")</f>
        <v>17166.875</v>
      </c>
      <c r="CH8" s="40">
        <f>IFERROR(s_C*(d_Bv!G8+s_MLF_broccoli)*s_IFBR_far_adj*s_CF_broccoli,".")</f>
        <v>17166.875</v>
      </c>
      <c r="CI8" s="40">
        <f>IFERROR(s_C*(d_Bv!H8+s_MLF_cabbage)*s_IFCB_far_adj*s_CF_cabbage,".")</f>
        <v>17166.875</v>
      </c>
      <c r="CJ8" s="40">
        <f>IFERROR(s_C*(d_Bv!I8+s_MLF_carrot)*s_IFCR_far_adj*s_CF_carrot,".")</f>
        <v>17166.875</v>
      </c>
      <c r="CK8" s="40">
        <f>IFERROR(s_C*(d_Bv!J8+s_MLF_citrus)*s_IFCI_far_adj*s_CF_citrus,".")</f>
        <v>17166.875</v>
      </c>
      <c r="CL8" s="40">
        <f>IFERROR(s_C*(d_Bv!K8+s_MLF_corn)*s_IFCO_far_adj*s_CF_corn,".")</f>
        <v>17166.875</v>
      </c>
      <c r="CM8" s="40">
        <f>IFERROR(s_C*(d_Bv!L8+s_MLF_cucumber)*s_IFCU_far_adj*s_CF_cucumber,".")</f>
        <v>17166.875</v>
      </c>
      <c r="CN8" s="40">
        <f>IFERROR(s_C*(d_Bv!M8+s_MLF_lettuce)*s_IFLE_far_adj*s_CF_lettuce,".")</f>
        <v>17166.875</v>
      </c>
      <c r="CO8" s="40">
        <f>IFERROR(s_C*(d_Bv!N8+s_MLF_lima_bean)*s_IFLI_far_adj*s_CF_lima_bean,".")</f>
        <v>17166.875</v>
      </c>
      <c r="CP8" s="40">
        <f>IFERROR(s_C*(d_Bv!O8+s_MLF_okra)*s_IFOK_far_adj*s_CF_okra,".")</f>
        <v>17166.875</v>
      </c>
      <c r="CQ8" s="40">
        <f>IFERROR(s_C*(d_Bv!P8+s_MLF_onion)*s_IFON_far_adj*s_CF_onion,".")</f>
        <v>17166.875</v>
      </c>
      <c r="CR8" s="40">
        <f>IFERROR(s_C*(d_Bv!Q8+s_MLF_peach)*s_IFPC_far_adj*s_CF_peach,".")</f>
        <v>17166.875</v>
      </c>
      <c r="CS8" s="40">
        <f>IFERROR(s_C*(d_Bv!R8+s_MLF_pear)*s_IFPR_far_adj*s_CF_pear,".")</f>
        <v>17166.875</v>
      </c>
      <c r="CT8" s="40">
        <f>IFERROR(s_C*(d_Bv!S8+s_MLF_peas)*s_IFPE_far_adj*s_CF_peas,".")</f>
        <v>17166.875</v>
      </c>
      <c r="CU8" s="40">
        <f>IFERROR(s_C*(d_Bv!T8+s_MLF_peppers)*s_IFPP_far_adj*s_CF_peppers,".")</f>
        <v>17166.875</v>
      </c>
      <c r="CV8" s="40">
        <f>IFERROR(s_C*(d_Bv!U8+s_MLF_potato)*s_IFPT_far_adj*s_CF_potato,".")</f>
        <v>17166.875</v>
      </c>
      <c r="CW8" s="40">
        <f>IFERROR(s_C*(d_Bv!V8+s_MLF_pumpkin)*s_IFPU_far_adj*s_CF_pumpkin,".")</f>
        <v>17166.875</v>
      </c>
      <c r="CX8" s="40">
        <f>IFERROR(s_C*(d_Bv!W8+s_MLF_snap_bean)*s_IFSN_far_adj*s_CF_snap_bean,".")</f>
        <v>17166.875</v>
      </c>
      <c r="CY8" s="40">
        <f>IFERROR(s_C*(d_Bv!X8+s_MLF_strawberry)*s_IFST_far_adj*s_CF_strawberry,".")</f>
        <v>17166.875</v>
      </c>
      <c r="CZ8" s="40">
        <f>IFERROR(s_C*(d_Bv!Y8+s_MLF_tomato)*s_IFTO_far_adj*s_CF_tomato,".")</f>
        <v>17166.875</v>
      </c>
      <c r="DA8" s="40">
        <f>IFERROR(s_C*(d_Bv!Z8+s_MLF_rice)*s_IFRI_far_adj*s_CF_rice,".")</f>
        <v>17166.875</v>
      </c>
      <c r="DB8" s="40">
        <f>IFERROR(s_C*(d_Bv!AA8+s_MLF_cereal)*s_IFCG_far_adj*s_CF_cereal,".")</f>
        <v>17166.875</v>
      </c>
    </row>
    <row r="9" spans="1:106" ht="15" customHeight="1" x14ac:dyDescent="0.25">
      <c r="A9" s="44" t="s">
        <v>19</v>
      </c>
      <c r="B9" s="42" t="s">
        <v>1071</v>
      </c>
      <c r="C9" s="15">
        <f t="shared" si="0"/>
        <v>2744.7189983656331</v>
      </c>
      <c r="D9" s="15">
        <f>IFERROR((s_dir!D9/(d_Bv!C9+s_MLF_apple)),".")</f>
        <v>10978.875993462532</v>
      </c>
      <c r="E9" s="15">
        <f>IFERROR((s_dir!E9/(d_Bv!D9+s_MLF_asparagus)),".")</f>
        <v>10978.875993462532</v>
      </c>
      <c r="F9" s="15">
        <f>IFERROR((s_dir!F9/(d_Bv!E9+s_MLF_beet)),".")</f>
        <v>10978.875993462532</v>
      </c>
      <c r="G9" s="15">
        <f>IFERROR((s_dir!G9/(d_Bv!F9+s_MLF_berries)),".")</f>
        <v>10978.875993462532</v>
      </c>
      <c r="H9" s="15">
        <f>IFERROR((s_dir!H9/(d_Bv!G9+s_MLF_broccoli)),".")</f>
        <v>10978.875993462532</v>
      </c>
      <c r="I9" s="15">
        <f>IFERROR((s_dir!I9/(d_Bv!H9+s_MLF_cabbage)),".")</f>
        <v>10978.875993462532</v>
      </c>
      <c r="J9" s="15">
        <f>IFERROR((s_dir!J9/(d_Bv!I9+s_MLF_carrot)),".")</f>
        <v>10978.875993462532</v>
      </c>
      <c r="K9" s="15">
        <f>IFERROR((s_dir!K9/(d_Bv!J9+s_MLF_citrus)),".")</f>
        <v>10978.875993462532</v>
      </c>
      <c r="L9" s="15">
        <f>IFERROR((s_dir!L9/(d_Bv!K9+s_MLF_corn)),".")</f>
        <v>10978.875993462532</v>
      </c>
      <c r="M9" s="15">
        <f>IFERROR((s_dir!M9/(d_Bv!L9+s_MLF_cucumber)),".")</f>
        <v>10978.875993462532</v>
      </c>
      <c r="N9" s="15">
        <f>IFERROR((s_dir!N9/(d_Bv!M9+s_MLF_lettuce)),".")</f>
        <v>10978.875993462532</v>
      </c>
      <c r="O9" s="15">
        <f>IFERROR((s_dir!O9/(d_Bv!N9+s_MLF_lima_bean)),".")</f>
        <v>10978.875993462532</v>
      </c>
      <c r="P9" s="15">
        <f>IFERROR((s_dir!P9/(d_Bv!O9+s_MLF_okra)),".")</f>
        <v>10978.875993462532</v>
      </c>
      <c r="Q9" s="15">
        <f>IFERROR((s_dir!Q9/(d_Bv!P9+s_MLF_onion)),".")</f>
        <v>10978.875993462532</v>
      </c>
      <c r="R9" s="15">
        <f>IFERROR((s_dir!R9/(d_Bv!Q9+s_MLF_peach)),".")</f>
        <v>10978.875993462532</v>
      </c>
      <c r="S9" s="15">
        <f>IFERROR((s_dir!S9/(d_Bv!R9+s_MLF_pear)),".")</f>
        <v>10978.875993462532</v>
      </c>
      <c r="T9" s="15">
        <f>IFERROR((s_dir!T9/(d_Bv!S9+s_MLF_peas)),".")</f>
        <v>10978.875993462532</v>
      </c>
      <c r="U9" s="15">
        <f>IFERROR((s_dir!U9/(d_Bv!T9+s_MLF_peppers)),".")</f>
        <v>10978.875993462532</v>
      </c>
      <c r="V9" s="15">
        <f>IFERROR((s_dir!V9/(d_Bv!U9+s_MLF_potato)),".")</f>
        <v>10978.875993462532</v>
      </c>
      <c r="W9" s="15">
        <f>IFERROR((s_dir!W9/(d_Bv!V9+s_MLF_pumpkin)),".")</f>
        <v>10978.875993462532</v>
      </c>
      <c r="X9" s="15">
        <f>IFERROR((s_dir!X9/(d_Bv!W9+s_MLF_snap_bean)),".")</f>
        <v>10978.875993462532</v>
      </c>
      <c r="Y9" s="15">
        <f>IFERROR((s_dir!Y9/(d_Bv!X9+s_MLF_strawberry)),".")</f>
        <v>10978.875993462532</v>
      </c>
      <c r="Z9" s="15">
        <f>IFERROR((s_dir!Z9/(d_Bv!Y9+s_MLF_tomato)),".")</f>
        <v>10978.875993462532</v>
      </c>
      <c r="AA9" s="15">
        <f>IFERROR((s_dir!AA9/(d_Bv!Z9+s_MLF_rice)),".")</f>
        <v>10978.875993462532</v>
      </c>
      <c r="AB9" s="15">
        <f>IFERROR((s_dir!AB9/(d_Bv!AA9+s_MLF_cereal)),".")</f>
        <v>10978.875993462532</v>
      </c>
      <c r="AC9" s="40">
        <f t="shared" si="1"/>
        <v>68667.5</v>
      </c>
      <c r="AD9" s="40">
        <f>s_C*(d_Bv!C9+s_MLF_apple)*s_IFAP_res_adj*s_CF_apple</f>
        <v>17166.875</v>
      </c>
      <c r="AE9" s="40">
        <f>s_C*(d_Bv!D9+s_MLF_asparagus)*s_IFAS_res_adj*s_CF_asparagus</f>
        <v>17166.875</v>
      </c>
      <c r="AF9" s="40">
        <f>s_C*(d_Bv!E9+s_MLF_beet)*s_IFBT_res_adj*s_CF_beet</f>
        <v>17166.875</v>
      </c>
      <c r="AG9" s="40">
        <f>s_C*(d_Bv!F9+s_MLF_berries)*s_IFBE_res_adj*s_CF_berries</f>
        <v>17166.875</v>
      </c>
      <c r="AH9" s="40">
        <f>s_C*(d_Bv!G9+s_MLF_broccoli)*s_IFBR_res_adj*s_CF_broccoli</f>
        <v>17166.875</v>
      </c>
      <c r="AI9" s="40">
        <f>s_C*(d_Bv!H9+s_MLF_cabbage)*s_IFCB_res_adj*s_CF_cabbage</f>
        <v>17166.875</v>
      </c>
      <c r="AJ9" s="40">
        <f>s_C*(d_Bv!I9+s_MLF_carrot)*s_IFCR_res_adj*s_CF_carrot</f>
        <v>17166.875</v>
      </c>
      <c r="AK9" s="40">
        <f>s_C*(d_Bv!J9+s_MLF_citrus)*s_IFCI_res_adj*s_CF_citrus</f>
        <v>17166.875</v>
      </c>
      <c r="AL9" s="40">
        <f>s_C*(d_Bv!K9+s_MLF_corn)*s_IFCO_res_adj*s_CF_corn</f>
        <v>17166.875</v>
      </c>
      <c r="AM9" s="40">
        <f>s_C*(d_Bv!L9+s_MLF_cucumber)*s_IFCU_res_adj*s_CF_cucumber</f>
        <v>17166.875</v>
      </c>
      <c r="AN9" s="40">
        <f>s_C*(d_Bv!M9+s_MLF_lettuce)*s_IFLE_res_adj*s_CF_lettuce</f>
        <v>17166.875</v>
      </c>
      <c r="AO9" s="40">
        <f>s_C*(d_Bv!N9+s_MLF_lima_bean)*s_IFLI_res_adj*s_CF_lima_bean</f>
        <v>17166.875</v>
      </c>
      <c r="AP9" s="40">
        <f>s_C*(d_Bv!O9+s_MLF_okra)*s_IFOK_res_adj*s_CF_okra</f>
        <v>17166.875</v>
      </c>
      <c r="AQ9" s="40">
        <f>s_C*(d_Bv!P9+s_MLF_onion)*s_IFON_res_adj*s_CF_onion</f>
        <v>17166.875</v>
      </c>
      <c r="AR9" s="40">
        <f>s_C*(d_Bv!Q9+s_MLF_peach)*s_IFPC_res_adj*s_CF_peach</f>
        <v>17166.875</v>
      </c>
      <c r="AS9" s="40">
        <f>s_C*(d_Bv!R9+s_MLF_pear)*s_IFPR_res_adj*s_CF_pear</f>
        <v>17166.875</v>
      </c>
      <c r="AT9" s="40">
        <f>s_C*(d_Bv!S9+s_MLF_peas)*s_IFPE_res_adj*s_CF_peas</f>
        <v>17166.875</v>
      </c>
      <c r="AU9" s="40">
        <f>s_C*(d_Bv!T9+s_MLF_peppers)*s_IFPP_res_adj*s_CF_peppers</f>
        <v>17166.875</v>
      </c>
      <c r="AV9" s="40">
        <f>s_C*(d_Bv!U9+s_MLF_potato)*s_IFPT_res_adj*s_CF_potato</f>
        <v>17166.875</v>
      </c>
      <c r="AW9" s="40">
        <f>s_C*(d_Bv!V9+s_MLF_pumpkin)*s_IFPU_res_adj*s_CF_pumpkin</f>
        <v>17166.875</v>
      </c>
      <c r="AX9" s="40">
        <f>s_C*(d_Bv!W9+s_MLF_snap_bean)*s_IFSN_res_adj*s_CF_snap_bean</f>
        <v>17166.875</v>
      </c>
      <c r="AY9" s="40">
        <f>s_C*(d_Bv!X9+s_MLF_strawberry)*s_IFST_res_adj*s_CF_strawberry</f>
        <v>17166.875</v>
      </c>
      <c r="AZ9" s="40">
        <f>s_C*(d_Bv!Y9+s_MLF_tomato)*s_IFTO_res_adj*s_CF_tomato</f>
        <v>17166.875</v>
      </c>
      <c r="BA9" s="40">
        <f>s_C*(d_Bv!Z9+s_MLF_rice)*s_IFRI_res_adj*s_CF_rice</f>
        <v>17166.875</v>
      </c>
      <c r="BB9" s="40">
        <f>s_C*(d_Bv!AA9+s_MLF_cereal)*s_IFCG_res_adj*s_CF_cereal</f>
        <v>17166.875</v>
      </c>
      <c r="BC9" s="15">
        <f t="shared" si="2"/>
        <v>2744.7189983656331</v>
      </c>
      <c r="BD9" s="15">
        <f>IFERROR((s_dir!AD9/(d_Bv!C9+s_MLF_apple)),".")</f>
        <v>10978.875993462532</v>
      </c>
      <c r="BE9" s="15">
        <f>IFERROR((s_dir!AE9/(d_Bv!D9+s_MLF_asparagus)),".")</f>
        <v>10978.875993462532</v>
      </c>
      <c r="BF9" s="15">
        <f>IFERROR((s_dir!AF9/(d_Bv!E9+s_MLF_beet)),".")</f>
        <v>10978.875993462532</v>
      </c>
      <c r="BG9" s="15">
        <f>IFERROR((s_dir!AG9/(d_Bv!F9+s_MLF_berries)),".")</f>
        <v>10978.875993462532</v>
      </c>
      <c r="BH9" s="15">
        <f>IFERROR((s_dir!AH9/(d_Bv!G9+s_MLF_broccoli)),".")</f>
        <v>10978.875993462532</v>
      </c>
      <c r="BI9" s="15">
        <f>IFERROR((s_dir!AI9/(d_Bv!H9+s_MLF_cabbage)),".")</f>
        <v>10978.875993462532</v>
      </c>
      <c r="BJ9" s="15">
        <f>IFERROR((s_dir!AJ9/(d_Bv!I9+s_MLF_carrot)),".")</f>
        <v>10978.875993462532</v>
      </c>
      <c r="BK9" s="15">
        <f>IFERROR((s_dir!AK9/(d_Bv!J9+s_MLF_citrus)),".")</f>
        <v>10978.875993462532</v>
      </c>
      <c r="BL9" s="15">
        <f>IFERROR((s_dir!AL9/(d_Bv!K9+s_MLF_corn)),".")</f>
        <v>10978.875993462532</v>
      </c>
      <c r="BM9" s="15">
        <f>IFERROR((s_dir!AM9/(d_Bv!L9+s_MLF_cucumber)),".")</f>
        <v>10978.875993462532</v>
      </c>
      <c r="BN9" s="15">
        <f>IFERROR((s_dir!AN9/(d_Bv!M9+s_MLF_lettuce)),".")</f>
        <v>10978.875993462532</v>
      </c>
      <c r="BO9" s="15">
        <f>IFERROR((s_dir!AO9/(d_Bv!N9+s_MLF_lima_bean)),".")</f>
        <v>10978.875993462532</v>
      </c>
      <c r="BP9" s="15">
        <f>IFERROR((s_dir!AP9/(d_Bv!O9+s_MLF_okra)),".")</f>
        <v>10978.875993462532</v>
      </c>
      <c r="BQ9" s="15">
        <f>IFERROR((s_dir!AQ9/(d_Bv!P9+s_MLF_onion)),".")</f>
        <v>10978.875993462532</v>
      </c>
      <c r="BR9" s="15">
        <f>IFERROR((s_dir!AR9/(d_Bv!Q9+s_MLF_peach)),".")</f>
        <v>10978.875993462532</v>
      </c>
      <c r="BS9" s="15">
        <f>IFERROR((s_dir!AS9/(d_Bv!R9+s_MLF_pear)),".")</f>
        <v>10978.875993462532</v>
      </c>
      <c r="BT9" s="15">
        <f>IFERROR((s_dir!AT9/(d_Bv!S9+s_MLF_peas)),".")</f>
        <v>10978.875993462532</v>
      </c>
      <c r="BU9" s="15">
        <f>IFERROR((s_dir!AU9/(d_Bv!T9+s_MLF_peppers)),".")</f>
        <v>10978.875993462532</v>
      </c>
      <c r="BV9" s="15">
        <f>IFERROR((s_dir!AV9/(d_Bv!U9+s_MLF_potato)),".")</f>
        <v>10978.875993462532</v>
      </c>
      <c r="BW9" s="15">
        <f>IFERROR((s_dir!AW9/(d_Bv!V9+s_MLF_pumpkin)),".")</f>
        <v>10978.875993462532</v>
      </c>
      <c r="BX9" s="15">
        <f>IFERROR((s_dir!AX9/(d_Bv!W9+s_MLF_snap_bean)),".")</f>
        <v>10978.875993462532</v>
      </c>
      <c r="BY9" s="15">
        <f>IFERROR((s_dir!AY9/(d_Bv!X9+s_MLF_strawberry)),".")</f>
        <v>10978.875993462532</v>
      </c>
      <c r="BZ9" s="15">
        <f>IFERROR((s_dir!AZ9/(d_Bv!Y9+s_MLF_tomato)),".")</f>
        <v>10978.875993462532</v>
      </c>
      <c r="CA9" s="15">
        <f>IFERROR((s_dir!BA9/(d_Bv!Z9+s_MLF_rice)),".")</f>
        <v>10978.875993462532</v>
      </c>
      <c r="CB9" s="15">
        <f>IFERROR((s_dir!BB9/(d_Bv!AA9+s_MLF_cereal)),".")</f>
        <v>10978.875993462532</v>
      </c>
      <c r="CC9" s="40">
        <f t="shared" si="3"/>
        <v>68667.5</v>
      </c>
      <c r="CD9" s="40">
        <f>IFERROR(s_C*(d_Bv!C9+s_MLF_apple)*s_IFAP_far_adj*s_CF_apple,".")</f>
        <v>17166.875</v>
      </c>
      <c r="CE9" s="40">
        <f>IFERROR(s_C*(d_Bv!D9+s_MLF_asparagus)*s_IFAS_far_adj*s_CF_asparagus,".")</f>
        <v>17166.875</v>
      </c>
      <c r="CF9" s="40">
        <f>IFERROR(s_C*(d_Bv!E9+s_MLF_beet)*s_IFBT_far_adj*s_CF_beet,".")</f>
        <v>17166.875</v>
      </c>
      <c r="CG9" s="40">
        <f>IFERROR(s_C*(d_Bv!F9+s_MLF_berries)*s_IFBR_far_adj*s_CF_berries,".")</f>
        <v>17166.875</v>
      </c>
      <c r="CH9" s="40">
        <f>IFERROR(s_C*(d_Bv!G9+s_MLF_broccoli)*s_IFBR_far_adj*s_CF_broccoli,".")</f>
        <v>17166.875</v>
      </c>
      <c r="CI9" s="40">
        <f>IFERROR(s_C*(d_Bv!H9+s_MLF_cabbage)*s_IFCB_far_adj*s_CF_cabbage,".")</f>
        <v>17166.875</v>
      </c>
      <c r="CJ9" s="40">
        <f>IFERROR(s_C*(d_Bv!I9+s_MLF_carrot)*s_IFCR_far_adj*s_CF_carrot,".")</f>
        <v>17166.875</v>
      </c>
      <c r="CK9" s="40">
        <f>IFERROR(s_C*(d_Bv!J9+s_MLF_citrus)*s_IFCI_far_adj*s_CF_citrus,".")</f>
        <v>17166.875</v>
      </c>
      <c r="CL9" s="40">
        <f>IFERROR(s_C*(d_Bv!K9+s_MLF_corn)*s_IFCO_far_adj*s_CF_corn,".")</f>
        <v>17166.875</v>
      </c>
      <c r="CM9" s="40">
        <f>IFERROR(s_C*(d_Bv!L9+s_MLF_cucumber)*s_IFCU_far_adj*s_CF_cucumber,".")</f>
        <v>17166.875</v>
      </c>
      <c r="CN9" s="40">
        <f>IFERROR(s_C*(d_Bv!M9+s_MLF_lettuce)*s_IFLE_far_adj*s_CF_lettuce,".")</f>
        <v>17166.875</v>
      </c>
      <c r="CO9" s="40">
        <f>IFERROR(s_C*(d_Bv!N9+s_MLF_lima_bean)*s_IFLI_far_adj*s_CF_lima_bean,".")</f>
        <v>17166.875</v>
      </c>
      <c r="CP9" s="40">
        <f>IFERROR(s_C*(d_Bv!O9+s_MLF_okra)*s_IFOK_far_adj*s_CF_okra,".")</f>
        <v>17166.875</v>
      </c>
      <c r="CQ9" s="40">
        <f>IFERROR(s_C*(d_Bv!P9+s_MLF_onion)*s_IFON_far_adj*s_CF_onion,".")</f>
        <v>17166.875</v>
      </c>
      <c r="CR9" s="40">
        <f>IFERROR(s_C*(d_Bv!Q9+s_MLF_peach)*s_IFPC_far_adj*s_CF_peach,".")</f>
        <v>17166.875</v>
      </c>
      <c r="CS9" s="40">
        <f>IFERROR(s_C*(d_Bv!R9+s_MLF_pear)*s_IFPR_far_adj*s_CF_pear,".")</f>
        <v>17166.875</v>
      </c>
      <c r="CT9" s="40">
        <f>IFERROR(s_C*(d_Bv!S9+s_MLF_peas)*s_IFPE_far_adj*s_CF_peas,".")</f>
        <v>17166.875</v>
      </c>
      <c r="CU9" s="40">
        <f>IFERROR(s_C*(d_Bv!T9+s_MLF_peppers)*s_IFPP_far_adj*s_CF_peppers,".")</f>
        <v>17166.875</v>
      </c>
      <c r="CV9" s="40">
        <f>IFERROR(s_C*(d_Bv!U9+s_MLF_potato)*s_IFPT_far_adj*s_CF_potato,".")</f>
        <v>17166.875</v>
      </c>
      <c r="CW9" s="40">
        <f>IFERROR(s_C*(d_Bv!V9+s_MLF_pumpkin)*s_IFPU_far_adj*s_CF_pumpkin,".")</f>
        <v>17166.875</v>
      </c>
      <c r="CX9" s="40">
        <f>IFERROR(s_C*(d_Bv!W9+s_MLF_snap_bean)*s_IFSN_far_adj*s_CF_snap_bean,".")</f>
        <v>17166.875</v>
      </c>
      <c r="CY9" s="40">
        <f>IFERROR(s_C*(d_Bv!X9+s_MLF_strawberry)*s_IFST_far_adj*s_CF_strawberry,".")</f>
        <v>17166.875</v>
      </c>
      <c r="CZ9" s="40">
        <f>IFERROR(s_C*(d_Bv!Y9+s_MLF_tomato)*s_IFTO_far_adj*s_CF_tomato,".")</f>
        <v>17166.875</v>
      </c>
      <c r="DA9" s="40">
        <f>IFERROR(s_C*(d_Bv!Z9+s_MLF_rice)*s_IFRI_far_adj*s_CF_rice,".")</f>
        <v>17166.875</v>
      </c>
      <c r="DB9" s="40">
        <f>IFERROR(s_C*(d_Bv!AA9+s_MLF_cereal)*s_IFCG_far_adj*s_CF_cereal,".")</f>
        <v>17166.875</v>
      </c>
    </row>
    <row r="10" spans="1:106" x14ac:dyDescent="0.25">
      <c r="A10" s="46" t="s">
        <v>20</v>
      </c>
      <c r="B10" s="42" t="s">
        <v>349</v>
      </c>
      <c r="C10" s="15">
        <f t="shared" si="0"/>
        <v>80.033415855915152</v>
      </c>
      <c r="D10" s="15">
        <f>IFERROR((s_dir!D10/(d_Bv!C10+s_MLF_apple)),".")</f>
        <v>458.34681111680322</v>
      </c>
      <c r="E10" s="15">
        <f>IFERROR((s_dir!E10/(d_Bv!D10+s_MLF_asparagus)),".")</f>
        <v>120.35501298713336</v>
      </c>
      <c r="F10" s="15">
        <f>IFERROR((s_dir!F10/(d_Bv!E10+s_MLF_beet)),".")</f>
        <v>159.38907125323067</v>
      </c>
      <c r="G10" s="15">
        <f>IFERROR((s_dir!G10/(d_Bv!F10+s_MLF_berries)),".")</f>
        <v>567.05727272783986</v>
      </c>
      <c r="H10" s="15">
        <f>IFERROR((s_dir!H10/(d_Bv!G10+s_MLF_broccoli)),".")</f>
        <v>256.40850592911016</v>
      </c>
      <c r="I10" s="15">
        <f>IFERROR((s_dir!I10/(d_Bv!H10+s_MLF_cabbage)),".")</f>
        <v>120.35501298713336</v>
      </c>
      <c r="J10" s="15">
        <f>IFERROR((s_dir!J10/(d_Bv!I10+s_MLF_carrot)),".")</f>
        <v>159.38907125323067</v>
      </c>
      <c r="K10" s="15">
        <f>IFERROR((s_dir!K10/(d_Bv!J10+s_MLF_citrus)),".")</f>
        <v>458.34681111680322</v>
      </c>
      <c r="L10" s="15">
        <f>IFERROR((s_dir!L10/(d_Bv!K10+s_MLF_corn)),".")</f>
        <v>190.23856891514626</v>
      </c>
      <c r="M10" s="15">
        <f>IFERROR((s_dir!M10/(d_Bv!L10+s_MLF_cucumber)),".")</f>
        <v>256.40850592911016</v>
      </c>
      <c r="N10" s="15">
        <f>IFERROR((s_dir!N10/(d_Bv!M10+s_MLF_lettuce)),".")</f>
        <v>120.35501298713336</v>
      </c>
      <c r="O10" s="15">
        <f>IFERROR((s_dir!O10/(d_Bv!N10+s_MLF_lima_bean)),".")</f>
        <v>165.34754120662245</v>
      </c>
      <c r="P10" s="15">
        <f>IFERROR((s_dir!P10/(d_Bv!O10+s_MLF_okra)),".")</f>
        <v>256.40850592911016</v>
      </c>
      <c r="Q10" s="15">
        <f>IFERROR((s_dir!Q10/(d_Bv!P10+s_MLF_onion)),".")</f>
        <v>159.38907125323067</v>
      </c>
      <c r="R10" s="15">
        <f>IFERROR((s_dir!R10/(d_Bv!Q10+s_MLF_peach)),".")</f>
        <v>458.34681111680322</v>
      </c>
      <c r="S10" s="15">
        <f>IFERROR((s_dir!S10/(d_Bv!R10+s_MLF_pear)),".")</f>
        <v>458.34681111680322</v>
      </c>
      <c r="T10" s="15">
        <f>IFERROR((s_dir!T10/(d_Bv!S10+s_MLF_peas)),".")</f>
        <v>165.34754120662245</v>
      </c>
      <c r="U10" s="15">
        <f>IFERROR((s_dir!U10/(d_Bv!T10+s_MLF_peppers)),".")</f>
        <v>256.40850592911016</v>
      </c>
      <c r="V10" s="15">
        <f>IFERROR((s_dir!V10/(d_Bv!U10+s_MLF_potato)),".")</f>
        <v>127.28192020941439</v>
      </c>
      <c r="W10" s="15">
        <f>IFERROR((s_dir!W10/(d_Bv!V10+s_MLF_pumpkin)),".")</f>
        <v>256.40850592911016</v>
      </c>
      <c r="X10" s="15">
        <f>IFERROR((s_dir!X10/(d_Bv!W10+s_MLF_snap_bean)),".")</f>
        <v>165.34754120662245</v>
      </c>
      <c r="Y10" s="15">
        <f>IFERROR((s_dir!Y10/(d_Bv!X10+s_MLF_strawberry)),".")</f>
        <v>539.39594235087213</v>
      </c>
      <c r="Z10" s="15">
        <f>IFERROR((s_dir!Z10/(d_Bv!Y10+s_MLF_tomato)),".")</f>
        <v>256.40850592911016</v>
      </c>
      <c r="AA10" s="15">
        <f>IFERROR((s_dir!AA10/(d_Bv!Z10+s_MLF_rice)),".")</f>
        <v>621.65098064331005</v>
      </c>
      <c r="AB10" s="15">
        <f>IFERROR((s_dir!AB10/(d_Bv!AA10+s_MLF_cereal)),".")</f>
        <v>208.14337540127767</v>
      </c>
      <c r="AC10" s="40">
        <f t="shared" si="1"/>
        <v>16717.662500000002</v>
      </c>
      <c r="AD10" s="40">
        <f>s_C*(d_Bv!C10+s_MLF_apple)*s_IFAP_res_adj*s_CF_apple</f>
        <v>2919.1249999999995</v>
      </c>
      <c r="AE10" s="40">
        <f>s_C*(d_Bv!D10+s_MLF_asparagus)*s_IFAS_res_adj*s_CF_asparagus</f>
        <v>11116.875</v>
      </c>
      <c r="AF10" s="40">
        <f>s_C*(d_Bv!E10+s_MLF_beet)*s_IFBT_res_adj*s_CF_beet</f>
        <v>8394.375</v>
      </c>
      <c r="AG10" s="40">
        <f>s_C*(d_Bv!F10+s_MLF_berries)*s_IFBE_res_adj*s_CF_berries</f>
        <v>2359.5</v>
      </c>
      <c r="AH10" s="40">
        <f>s_C*(d_Bv!G10+s_MLF_broccoli)*s_IFBR_res_adj*s_CF_broccoli</f>
        <v>5218.125</v>
      </c>
      <c r="AI10" s="40">
        <f>s_C*(d_Bv!H10+s_MLF_cabbage)*s_IFCB_res_adj*s_CF_cabbage</f>
        <v>11116.875</v>
      </c>
      <c r="AJ10" s="40">
        <f>s_C*(d_Bv!I10+s_MLF_carrot)*s_IFCR_res_adj*s_CF_carrot</f>
        <v>8394.375</v>
      </c>
      <c r="AK10" s="40">
        <f>s_C*(d_Bv!J10+s_MLF_citrus)*s_IFCI_res_adj*s_CF_citrus</f>
        <v>2919.1249999999995</v>
      </c>
      <c r="AL10" s="40">
        <f>s_C*(d_Bv!K10+s_MLF_corn)*s_IFCO_res_adj*s_CF_corn</f>
        <v>7033.1249999999991</v>
      </c>
      <c r="AM10" s="40">
        <f>s_C*(d_Bv!L10+s_MLF_cucumber)*s_IFCU_res_adj*s_CF_cucumber</f>
        <v>5218.125</v>
      </c>
      <c r="AN10" s="40">
        <f>s_C*(d_Bv!M10+s_MLF_lettuce)*s_IFLE_res_adj*s_CF_lettuce</f>
        <v>11116.875</v>
      </c>
      <c r="AO10" s="40">
        <f>s_C*(d_Bv!N10+s_MLF_lima_bean)*s_IFLI_res_adj*s_CF_lima_bean</f>
        <v>8091.8750000000009</v>
      </c>
      <c r="AP10" s="40">
        <f>s_C*(d_Bv!O10+s_MLF_okra)*s_IFOK_res_adj*s_CF_okra</f>
        <v>5218.125</v>
      </c>
      <c r="AQ10" s="40">
        <f>s_C*(d_Bv!P10+s_MLF_onion)*s_IFON_res_adj*s_CF_onion</f>
        <v>8394.375</v>
      </c>
      <c r="AR10" s="40">
        <f>s_C*(d_Bv!Q10+s_MLF_peach)*s_IFPC_res_adj*s_CF_peach</f>
        <v>2919.1249999999995</v>
      </c>
      <c r="AS10" s="40">
        <f>s_C*(d_Bv!R10+s_MLF_pear)*s_IFPR_res_adj*s_CF_pear</f>
        <v>2919.1249999999995</v>
      </c>
      <c r="AT10" s="40">
        <f>s_C*(d_Bv!S10+s_MLF_peas)*s_IFPE_res_adj*s_CF_peas</f>
        <v>8091.8750000000009</v>
      </c>
      <c r="AU10" s="40">
        <f>s_C*(d_Bv!T10+s_MLF_peppers)*s_IFPP_res_adj*s_CF_peppers</f>
        <v>5218.125</v>
      </c>
      <c r="AV10" s="40">
        <f>s_C*(d_Bv!U10+s_MLF_potato)*s_IFPT_res_adj*s_CF_potato</f>
        <v>10511.875000000002</v>
      </c>
      <c r="AW10" s="40">
        <f>s_C*(d_Bv!V10+s_MLF_pumpkin)*s_IFPU_res_adj*s_CF_pumpkin</f>
        <v>5218.125</v>
      </c>
      <c r="AX10" s="40">
        <f>s_C*(d_Bv!W10+s_MLF_snap_bean)*s_IFSN_res_adj*s_CF_snap_bean</f>
        <v>8091.8750000000009</v>
      </c>
      <c r="AY10" s="40">
        <f>s_C*(d_Bv!X10+s_MLF_strawberry)*s_IFST_res_adj*s_CF_strawberry</f>
        <v>2480.4999999999995</v>
      </c>
      <c r="AZ10" s="40">
        <f>s_C*(d_Bv!Y10+s_MLF_tomato)*s_IFTO_res_adj*s_CF_tomato</f>
        <v>5218.125</v>
      </c>
      <c r="BA10" s="40">
        <f>s_C*(d_Bv!Z10+s_MLF_rice)*s_IFRI_res_adj*s_CF_rice</f>
        <v>2152.2874999999999</v>
      </c>
      <c r="BB10" s="40">
        <f>s_C*(d_Bv!AA10+s_MLF_cereal)*s_IFCG_res_adj*s_CF_cereal</f>
        <v>6428.1250000000009</v>
      </c>
      <c r="BC10" s="15">
        <f t="shared" si="2"/>
        <v>80.033415855915152</v>
      </c>
      <c r="BD10" s="15">
        <f>IFERROR((s_dir!AD10/(d_Bv!C10+s_MLF_apple)),".")</f>
        <v>458.34681111680322</v>
      </c>
      <c r="BE10" s="15">
        <f>IFERROR((s_dir!AE10/(d_Bv!D10+s_MLF_asparagus)),".")</f>
        <v>120.35501298713336</v>
      </c>
      <c r="BF10" s="15">
        <f>IFERROR((s_dir!AF10/(d_Bv!E10+s_MLF_beet)),".")</f>
        <v>159.38907125323067</v>
      </c>
      <c r="BG10" s="15">
        <f>IFERROR((s_dir!AG10/(d_Bv!F10+s_MLF_berries)),".")</f>
        <v>567.05727272783986</v>
      </c>
      <c r="BH10" s="15">
        <f>IFERROR((s_dir!AH10/(d_Bv!G10+s_MLF_broccoli)),".")</f>
        <v>256.40850592911016</v>
      </c>
      <c r="BI10" s="15">
        <f>IFERROR((s_dir!AI10/(d_Bv!H10+s_MLF_cabbage)),".")</f>
        <v>120.35501298713336</v>
      </c>
      <c r="BJ10" s="15">
        <f>IFERROR((s_dir!AJ10/(d_Bv!I10+s_MLF_carrot)),".")</f>
        <v>159.38907125323067</v>
      </c>
      <c r="BK10" s="15">
        <f>IFERROR((s_dir!AK10/(d_Bv!J10+s_MLF_citrus)),".")</f>
        <v>458.34681111680322</v>
      </c>
      <c r="BL10" s="15">
        <f>IFERROR((s_dir!AL10/(d_Bv!K10+s_MLF_corn)),".")</f>
        <v>190.23856891514626</v>
      </c>
      <c r="BM10" s="15">
        <f>IFERROR((s_dir!AM10/(d_Bv!L10+s_MLF_cucumber)),".")</f>
        <v>256.40850592911016</v>
      </c>
      <c r="BN10" s="15">
        <f>IFERROR((s_dir!AN10/(d_Bv!M10+s_MLF_lettuce)),".")</f>
        <v>120.35501298713336</v>
      </c>
      <c r="BO10" s="15">
        <f>IFERROR((s_dir!AO10/(d_Bv!N10+s_MLF_lima_bean)),".")</f>
        <v>165.34754120662245</v>
      </c>
      <c r="BP10" s="15">
        <f>IFERROR((s_dir!AP10/(d_Bv!O10+s_MLF_okra)),".")</f>
        <v>256.40850592911016</v>
      </c>
      <c r="BQ10" s="15">
        <f>IFERROR((s_dir!AQ10/(d_Bv!P10+s_MLF_onion)),".")</f>
        <v>159.38907125323067</v>
      </c>
      <c r="BR10" s="15">
        <f>IFERROR((s_dir!AR10/(d_Bv!Q10+s_MLF_peach)),".")</f>
        <v>458.34681111680322</v>
      </c>
      <c r="BS10" s="15">
        <f>IFERROR((s_dir!AS10/(d_Bv!R10+s_MLF_pear)),".")</f>
        <v>458.34681111680322</v>
      </c>
      <c r="BT10" s="15">
        <f>IFERROR((s_dir!AT10/(d_Bv!S10+s_MLF_peas)),".")</f>
        <v>165.34754120662245</v>
      </c>
      <c r="BU10" s="15">
        <f>IFERROR((s_dir!AU10/(d_Bv!T10+s_MLF_peppers)),".")</f>
        <v>256.40850592911016</v>
      </c>
      <c r="BV10" s="15">
        <f>IFERROR((s_dir!AV10/(d_Bv!U10+s_MLF_potato)),".")</f>
        <v>127.28192020941439</v>
      </c>
      <c r="BW10" s="15">
        <f>IFERROR((s_dir!AW10/(d_Bv!V10+s_MLF_pumpkin)),".")</f>
        <v>256.40850592911016</v>
      </c>
      <c r="BX10" s="15">
        <f>IFERROR((s_dir!AX10/(d_Bv!W10+s_MLF_snap_bean)),".")</f>
        <v>165.34754120662245</v>
      </c>
      <c r="BY10" s="15">
        <f>IFERROR((s_dir!AY10/(d_Bv!X10+s_MLF_strawberry)),".")</f>
        <v>539.39594235087213</v>
      </c>
      <c r="BZ10" s="15">
        <f>IFERROR((s_dir!AZ10/(d_Bv!Y10+s_MLF_tomato)),".")</f>
        <v>256.40850592911016</v>
      </c>
      <c r="CA10" s="15">
        <f>IFERROR((s_dir!BA10/(d_Bv!Z10+s_MLF_rice)),".")</f>
        <v>621.65098064331005</v>
      </c>
      <c r="CB10" s="15">
        <f>IFERROR((s_dir!BB10/(d_Bv!AA10+s_MLF_cereal)),".")</f>
        <v>208.14337540127767</v>
      </c>
      <c r="CC10" s="40">
        <f t="shared" si="3"/>
        <v>16717.662500000002</v>
      </c>
      <c r="CD10" s="40">
        <f>IFERROR(s_C*(d_Bv!C10+s_MLF_apple)*s_IFAP_far_adj*s_CF_apple,".")</f>
        <v>2919.1249999999995</v>
      </c>
      <c r="CE10" s="40">
        <f>IFERROR(s_C*(d_Bv!D10+s_MLF_asparagus)*s_IFAS_far_adj*s_CF_asparagus,".")</f>
        <v>11116.875</v>
      </c>
      <c r="CF10" s="40">
        <f>IFERROR(s_C*(d_Bv!E10+s_MLF_beet)*s_IFBT_far_adj*s_CF_beet,".")</f>
        <v>8394.375</v>
      </c>
      <c r="CG10" s="40">
        <f>IFERROR(s_C*(d_Bv!F10+s_MLF_berries)*s_IFBR_far_adj*s_CF_berries,".")</f>
        <v>2359.5</v>
      </c>
      <c r="CH10" s="40">
        <f>IFERROR(s_C*(d_Bv!G10+s_MLF_broccoli)*s_IFBR_far_adj*s_CF_broccoli,".")</f>
        <v>5218.125</v>
      </c>
      <c r="CI10" s="40">
        <f>IFERROR(s_C*(d_Bv!H10+s_MLF_cabbage)*s_IFCB_far_adj*s_CF_cabbage,".")</f>
        <v>11116.875</v>
      </c>
      <c r="CJ10" s="40">
        <f>IFERROR(s_C*(d_Bv!I10+s_MLF_carrot)*s_IFCR_far_adj*s_CF_carrot,".")</f>
        <v>8394.375</v>
      </c>
      <c r="CK10" s="40">
        <f>IFERROR(s_C*(d_Bv!J10+s_MLF_citrus)*s_IFCI_far_adj*s_CF_citrus,".")</f>
        <v>2919.1249999999995</v>
      </c>
      <c r="CL10" s="40">
        <f>IFERROR(s_C*(d_Bv!K10+s_MLF_corn)*s_IFCO_far_adj*s_CF_corn,".")</f>
        <v>7033.1249999999991</v>
      </c>
      <c r="CM10" s="40">
        <f>IFERROR(s_C*(d_Bv!L10+s_MLF_cucumber)*s_IFCU_far_adj*s_CF_cucumber,".")</f>
        <v>5218.125</v>
      </c>
      <c r="CN10" s="40">
        <f>IFERROR(s_C*(d_Bv!M10+s_MLF_lettuce)*s_IFLE_far_adj*s_CF_lettuce,".")</f>
        <v>11116.875</v>
      </c>
      <c r="CO10" s="40">
        <f>IFERROR(s_C*(d_Bv!N10+s_MLF_lima_bean)*s_IFLI_far_adj*s_CF_lima_bean,".")</f>
        <v>8091.8750000000009</v>
      </c>
      <c r="CP10" s="40">
        <f>IFERROR(s_C*(d_Bv!O10+s_MLF_okra)*s_IFOK_far_adj*s_CF_okra,".")</f>
        <v>5218.125</v>
      </c>
      <c r="CQ10" s="40">
        <f>IFERROR(s_C*(d_Bv!P10+s_MLF_onion)*s_IFON_far_adj*s_CF_onion,".")</f>
        <v>8394.375</v>
      </c>
      <c r="CR10" s="40">
        <f>IFERROR(s_C*(d_Bv!Q10+s_MLF_peach)*s_IFPC_far_adj*s_CF_peach,".")</f>
        <v>2919.1249999999995</v>
      </c>
      <c r="CS10" s="40">
        <f>IFERROR(s_C*(d_Bv!R10+s_MLF_pear)*s_IFPR_far_adj*s_CF_pear,".")</f>
        <v>2919.1249999999995</v>
      </c>
      <c r="CT10" s="40">
        <f>IFERROR(s_C*(d_Bv!S10+s_MLF_peas)*s_IFPE_far_adj*s_CF_peas,".")</f>
        <v>8091.8750000000009</v>
      </c>
      <c r="CU10" s="40">
        <f>IFERROR(s_C*(d_Bv!T10+s_MLF_peppers)*s_IFPP_far_adj*s_CF_peppers,".")</f>
        <v>5218.125</v>
      </c>
      <c r="CV10" s="40">
        <f>IFERROR(s_C*(d_Bv!U10+s_MLF_potato)*s_IFPT_far_adj*s_CF_potato,".")</f>
        <v>10511.875000000002</v>
      </c>
      <c r="CW10" s="40">
        <f>IFERROR(s_C*(d_Bv!V10+s_MLF_pumpkin)*s_IFPU_far_adj*s_CF_pumpkin,".")</f>
        <v>5218.125</v>
      </c>
      <c r="CX10" s="40">
        <f>IFERROR(s_C*(d_Bv!W10+s_MLF_snap_bean)*s_IFSN_far_adj*s_CF_snap_bean,".")</f>
        <v>8091.8750000000009</v>
      </c>
      <c r="CY10" s="40">
        <f>IFERROR(s_C*(d_Bv!X10+s_MLF_strawberry)*s_IFST_far_adj*s_CF_strawberry,".")</f>
        <v>2480.4999999999995</v>
      </c>
      <c r="CZ10" s="40">
        <f>IFERROR(s_C*(d_Bv!Y10+s_MLF_tomato)*s_IFTO_far_adj*s_CF_tomato,".")</f>
        <v>5218.125</v>
      </c>
      <c r="DA10" s="40">
        <f>IFERROR(s_C*(d_Bv!Z10+s_MLF_rice)*s_IFRI_far_adj*s_CF_rice,".")</f>
        <v>2152.2874999999999</v>
      </c>
      <c r="DB10" s="40">
        <f>IFERROR(s_C*(d_Bv!AA10+s_MLF_cereal)*s_IFCG_far_adj*s_CF_cereal,".")</f>
        <v>6428.1250000000009</v>
      </c>
    </row>
    <row r="11" spans="1:106" ht="15" customHeight="1" x14ac:dyDescent="0.25">
      <c r="A11" s="44" t="s">
        <v>21</v>
      </c>
      <c r="B11" s="42" t="s">
        <v>1071</v>
      </c>
      <c r="C11" s="15" t="str">
        <f t="shared" si="0"/>
        <v>.</v>
      </c>
      <c r="D11" s="15" t="str">
        <f>IFERROR((s_dir!D11/(d_Bv!C11+s_MLF_apple)),".")</f>
        <v>.</v>
      </c>
      <c r="E11" s="15" t="str">
        <f>IFERROR((s_dir!E11/(d_Bv!D11+s_MLF_asparagus)),".")</f>
        <v>.</v>
      </c>
      <c r="F11" s="15" t="str">
        <f>IFERROR((s_dir!F11/(d_Bv!E11+s_MLF_beet)),".")</f>
        <v>.</v>
      </c>
      <c r="G11" s="15" t="str">
        <f>IFERROR((s_dir!G11/(d_Bv!F11+s_MLF_berries)),".")</f>
        <v>.</v>
      </c>
      <c r="H11" s="15" t="str">
        <f>IFERROR((s_dir!H11/(d_Bv!G11+s_MLF_broccoli)),".")</f>
        <v>.</v>
      </c>
      <c r="I11" s="15" t="str">
        <f>IFERROR((s_dir!I11/(d_Bv!H11+s_MLF_cabbage)),".")</f>
        <v>.</v>
      </c>
      <c r="J11" s="15" t="str">
        <f>IFERROR((s_dir!J11/(d_Bv!I11+s_MLF_carrot)),".")</f>
        <v>.</v>
      </c>
      <c r="K11" s="15" t="str">
        <f>IFERROR((s_dir!K11/(d_Bv!J11+s_MLF_citrus)),".")</f>
        <v>.</v>
      </c>
      <c r="L11" s="15" t="str">
        <f>IFERROR((s_dir!L11/(d_Bv!K11+s_MLF_corn)),".")</f>
        <v>.</v>
      </c>
      <c r="M11" s="15" t="str">
        <f>IFERROR((s_dir!M11/(d_Bv!L11+s_MLF_cucumber)),".")</f>
        <v>.</v>
      </c>
      <c r="N11" s="15" t="str">
        <f>IFERROR((s_dir!N11/(d_Bv!M11+s_MLF_lettuce)),".")</f>
        <v>.</v>
      </c>
      <c r="O11" s="15" t="str">
        <f>IFERROR((s_dir!O11/(d_Bv!N11+s_MLF_lima_bean)),".")</f>
        <v>.</v>
      </c>
      <c r="P11" s="15" t="str">
        <f>IFERROR((s_dir!P11/(d_Bv!O11+s_MLF_okra)),".")</f>
        <v>.</v>
      </c>
      <c r="Q11" s="15" t="str">
        <f>IFERROR((s_dir!Q11/(d_Bv!P11+s_MLF_onion)),".")</f>
        <v>.</v>
      </c>
      <c r="R11" s="15" t="str">
        <f>IFERROR((s_dir!R11/(d_Bv!Q11+s_MLF_peach)),".")</f>
        <v>.</v>
      </c>
      <c r="S11" s="15" t="str">
        <f>IFERROR((s_dir!S11/(d_Bv!R11+s_MLF_pear)),".")</f>
        <v>.</v>
      </c>
      <c r="T11" s="15" t="str">
        <f>IFERROR((s_dir!T11/(d_Bv!S11+s_MLF_peas)),".")</f>
        <v>.</v>
      </c>
      <c r="U11" s="15" t="str">
        <f>IFERROR((s_dir!U11/(d_Bv!T11+s_MLF_peppers)),".")</f>
        <v>.</v>
      </c>
      <c r="V11" s="15" t="str">
        <f>IFERROR((s_dir!V11/(d_Bv!U11+s_MLF_potato)),".")</f>
        <v>.</v>
      </c>
      <c r="W11" s="15" t="str">
        <f>IFERROR((s_dir!W11/(d_Bv!V11+s_MLF_pumpkin)),".")</f>
        <v>.</v>
      </c>
      <c r="X11" s="15" t="str">
        <f>IFERROR((s_dir!X11/(d_Bv!W11+s_MLF_snap_bean)),".")</f>
        <v>.</v>
      </c>
      <c r="Y11" s="15" t="str">
        <f>IFERROR((s_dir!Y11/(d_Bv!X11+s_MLF_strawberry)),".")</f>
        <v>.</v>
      </c>
      <c r="Z11" s="15" t="str">
        <f>IFERROR((s_dir!Z11/(d_Bv!Y11+s_MLF_tomato)),".")</f>
        <v>.</v>
      </c>
      <c r="AA11" s="15" t="str">
        <f>IFERROR((s_dir!AA11/(d_Bv!Z11+s_MLF_rice)),".")</f>
        <v>.</v>
      </c>
      <c r="AB11" s="15" t="str">
        <f>IFERROR((s_dir!AB11/(d_Bv!AA11+s_MLF_cereal)),".")</f>
        <v>.</v>
      </c>
      <c r="AC11" s="40">
        <f t="shared" si="1"/>
        <v>26317.499999999996</v>
      </c>
      <c r="AD11" s="40">
        <f>s_C*(d_Bv!C11+s_MLF_apple)*s_IFAP_res_adj*s_CF_apple</f>
        <v>6579.3749999999991</v>
      </c>
      <c r="AE11" s="40">
        <f>s_C*(d_Bv!D11+s_MLF_asparagus)*s_IFAS_res_adj*s_CF_asparagus</f>
        <v>6579.3749999999991</v>
      </c>
      <c r="AF11" s="40">
        <f>s_C*(d_Bv!E11+s_MLF_beet)*s_IFBT_res_adj*s_CF_beet</f>
        <v>6579.3749999999991</v>
      </c>
      <c r="AG11" s="40">
        <f>s_C*(d_Bv!F11+s_MLF_berries)*s_IFBE_res_adj*s_CF_berries</f>
        <v>6579.3749999999991</v>
      </c>
      <c r="AH11" s="40">
        <f>s_C*(d_Bv!G11+s_MLF_broccoli)*s_IFBR_res_adj*s_CF_broccoli</f>
        <v>6579.3749999999991</v>
      </c>
      <c r="AI11" s="40">
        <f>s_C*(d_Bv!H11+s_MLF_cabbage)*s_IFCB_res_adj*s_CF_cabbage</f>
        <v>6579.3749999999991</v>
      </c>
      <c r="AJ11" s="40">
        <f>s_C*(d_Bv!I11+s_MLF_carrot)*s_IFCR_res_adj*s_CF_carrot</f>
        <v>6579.3749999999991</v>
      </c>
      <c r="AK11" s="40">
        <f>s_C*(d_Bv!J11+s_MLF_citrus)*s_IFCI_res_adj*s_CF_citrus</f>
        <v>6579.3749999999991</v>
      </c>
      <c r="AL11" s="40">
        <f>s_C*(d_Bv!K11+s_MLF_corn)*s_IFCO_res_adj*s_CF_corn</f>
        <v>6579.3749999999991</v>
      </c>
      <c r="AM11" s="40">
        <f>s_C*(d_Bv!L11+s_MLF_cucumber)*s_IFCU_res_adj*s_CF_cucumber</f>
        <v>6579.3749999999991</v>
      </c>
      <c r="AN11" s="40">
        <f>s_C*(d_Bv!M11+s_MLF_lettuce)*s_IFLE_res_adj*s_CF_lettuce</f>
        <v>6579.3749999999991</v>
      </c>
      <c r="AO11" s="40">
        <f>s_C*(d_Bv!N11+s_MLF_lima_bean)*s_IFLI_res_adj*s_CF_lima_bean</f>
        <v>6579.3749999999991</v>
      </c>
      <c r="AP11" s="40">
        <f>s_C*(d_Bv!O11+s_MLF_okra)*s_IFOK_res_adj*s_CF_okra</f>
        <v>6579.3749999999991</v>
      </c>
      <c r="AQ11" s="40">
        <f>s_C*(d_Bv!P11+s_MLF_onion)*s_IFON_res_adj*s_CF_onion</f>
        <v>6579.3749999999991</v>
      </c>
      <c r="AR11" s="40">
        <f>s_C*(d_Bv!Q11+s_MLF_peach)*s_IFPC_res_adj*s_CF_peach</f>
        <v>6579.3749999999991</v>
      </c>
      <c r="AS11" s="40">
        <f>s_C*(d_Bv!R11+s_MLF_pear)*s_IFPR_res_adj*s_CF_pear</f>
        <v>6579.3749999999991</v>
      </c>
      <c r="AT11" s="40">
        <f>s_C*(d_Bv!S11+s_MLF_peas)*s_IFPE_res_adj*s_CF_peas</f>
        <v>6579.3749999999991</v>
      </c>
      <c r="AU11" s="40">
        <f>s_C*(d_Bv!T11+s_MLF_peppers)*s_IFPP_res_adj*s_CF_peppers</f>
        <v>6579.3749999999991</v>
      </c>
      <c r="AV11" s="40">
        <f>s_C*(d_Bv!U11+s_MLF_potato)*s_IFPT_res_adj*s_CF_potato</f>
        <v>6579.3749999999991</v>
      </c>
      <c r="AW11" s="40">
        <f>s_C*(d_Bv!V11+s_MLF_pumpkin)*s_IFPU_res_adj*s_CF_pumpkin</f>
        <v>6579.3749999999991</v>
      </c>
      <c r="AX11" s="40">
        <f>s_C*(d_Bv!W11+s_MLF_snap_bean)*s_IFSN_res_adj*s_CF_snap_bean</f>
        <v>6579.3749999999991</v>
      </c>
      <c r="AY11" s="40">
        <f>s_C*(d_Bv!X11+s_MLF_strawberry)*s_IFST_res_adj*s_CF_strawberry</f>
        <v>6579.3749999999991</v>
      </c>
      <c r="AZ11" s="40">
        <f>s_C*(d_Bv!Y11+s_MLF_tomato)*s_IFTO_res_adj*s_CF_tomato</f>
        <v>6579.3749999999991</v>
      </c>
      <c r="BA11" s="40">
        <f>s_C*(d_Bv!Z11+s_MLF_rice)*s_IFRI_res_adj*s_CF_rice</f>
        <v>6579.3749999999991</v>
      </c>
      <c r="BB11" s="40">
        <f>s_C*(d_Bv!AA11+s_MLF_cereal)*s_IFCG_res_adj*s_CF_cereal</f>
        <v>6579.3749999999991</v>
      </c>
      <c r="BC11" s="15" t="str">
        <f t="shared" si="2"/>
        <v>.</v>
      </c>
      <c r="BD11" s="15" t="str">
        <f>IFERROR((s_dir!AD11/(d_Bv!C11+s_MLF_apple)),".")</f>
        <v>.</v>
      </c>
      <c r="BE11" s="15" t="str">
        <f>IFERROR((s_dir!AE11/(d_Bv!D11+s_MLF_asparagus)),".")</f>
        <v>.</v>
      </c>
      <c r="BF11" s="15" t="str">
        <f>IFERROR((s_dir!AF11/(d_Bv!E11+s_MLF_beet)),".")</f>
        <v>.</v>
      </c>
      <c r="BG11" s="15" t="str">
        <f>IFERROR((s_dir!AG11/(d_Bv!F11+s_MLF_berries)),".")</f>
        <v>.</v>
      </c>
      <c r="BH11" s="15" t="str">
        <f>IFERROR((s_dir!AH11/(d_Bv!G11+s_MLF_broccoli)),".")</f>
        <v>.</v>
      </c>
      <c r="BI11" s="15" t="str">
        <f>IFERROR((s_dir!AI11/(d_Bv!H11+s_MLF_cabbage)),".")</f>
        <v>.</v>
      </c>
      <c r="BJ11" s="15" t="str">
        <f>IFERROR((s_dir!AJ11/(d_Bv!I11+s_MLF_carrot)),".")</f>
        <v>.</v>
      </c>
      <c r="BK11" s="15" t="str">
        <f>IFERROR((s_dir!AK11/(d_Bv!J11+s_MLF_citrus)),".")</f>
        <v>.</v>
      </c>
      <c r="BL11" s="15" t="str">
        <f>IFERROR((s_dir!AL11/(d_Bv!K11+s_MLF_corn)),".")</f>
        <v>.</v>
      </c>
      <c r="BM11" s="15" t="str">
        <f>IFERROR((s_dir!AM11/(d_Bv!L11+s_MLF_cucumber)),".")</f>
        <v>.</v>
      </c>
      <c r="BN11" s="15" t="str">
        <f>IFERROR((s_dir!AN11/(d_Bv!M11+s_MLF_lettuce)),".")</f>
        <v>.</v>
      </c>
      <c r="BO11" s="15" t="str">
        <f>IFERROR((s_dir!AO11/(d_Bv!N11+s_MLF_lima_bean)),".")</f>
        <v>.</v>
      </c>
      <c r="BP11" s="15" t="str">
        <f>IFERROR((s_dir!AP11/(d_Bv!O11+s_MLF_okra)),".")</f>
        <v>.</v>
      </c>
      <c r="BQ11" s="15" t="str">
        <f>IFERROR((s_dir!AQ11/(d_Bv!P11+s_MLF_onion)),".")</f>
        <v>.</v>
      </c>
      <c r="BR11" s="15" t="str">
        <f>IFERROR((s_dir!AR11/(d_Bv!Q11+s_MLF_peach)),".")</f>
        <v>.</v>
      </c>
      <c r="BS11" s="15" t="str">
        <f>IFERROR((s_dir!AS11/(d_Bv!R11+s_MLF_pear)),".")</f>
        <v>.</v>
      </c>
      <c r="BT11" s="15" t="str">
        <f>IFERROR((s_dir!AT11/(d_Bv!S11+s_MLF_peas)),".")</f>
        <v>.</v>
      </c>
      <c r="BU11" s="15" t="str">
        <f>IFERROR((s_dir!AU11/(d_Bv!T11+s_MLF_peppers)),".")</f>
        <v>.</v>
      </c>
      <c r="BV11" s="15" t="str">
        <f>IFERROR((s_dir!AV11/(d_Bv!U11+s_MLF_potato)),".")</f>
        <v>.</v>
      </c>
      <c r="BW11" s="15" t="str">
        <f>IFERROR((s_dir!AW11/(d_Bv!V11+s_MLF_pumpkin)),".")</f>
        <v>.</v>
      </c>
      <c r="BX11" s="15" t="str">
        <f>IFERROR((s_dir!AX11/(d_Bv!W11+s_MLF_snap_bean)),".")</f>
        <v>.</v>
      </c>
      <c r="BY11" s="15" t="str">
        <f>IFERROR((s_dir!AY11/(d_Bv!X11+s_MLF_strawberry)),".")</f>
        <v>.</v>
      </c>
      <c r="BZ11" s="15" t="str">
        <f>IFERROR((s_dir!AZ11/(d_Bv!Y11+s_MLF_tomato)),".")</f>
        <v>.</v>
      </c>
      <c r="CA11" s="15" t="str">
        <f>IFERROR((s_dir!BA11/(d_Bv!Z11+s_MLF_rice)),".")</f>
        <v>.</v>
      </c>
      <c r="CB11" s="15" t="str">
        <f>IFERROR((s_dir!BB11/(d_Bv!AA11+s_MLF_cereal)),".")</f>
        <v>.</v>
      </c>
      <c r="CC11" s="40">
        <f t="shared" si="3"/>
        <v>26317.499999999996</v>
      </c>
      <c r="CD11" s="40">
        <f>IFERROR(s_C*(d_Bv!C11+s_MLF_apple)*s_IFAP_far_adj*s_CF_apple,".")</f>
        <v>6579.3749999999991</v>
      </c>
      <c r="CE11" s="40">
        <f>IFERROR(s_C*(d_Bv!D11+s_MLF_asparagus)*s_IFAS_far_adj*s_CF_asparagus,".")</f>
        <v>6579.3749999999991</v>
      </c>
      <c r="CF11" s="40">
        <f>IFERROR(s_C*(d_Bv!E11+s_MLF_beet)*s_IFBT_far_adj*s_CF_beet,".")</f>
        <v>6579.3749999999991</v>
      </c>
      <c r="CG11" s="40">
        <f>IFERROR(s_C*(d_Bv!F11+s_MLF_berries)*s_IFBR_far_adj*s_CF_berries,".")</f>
        <v>6579.3749999999991</v>
      </c>
      <c r="CH11" s="40">
        <f>IFERROR(s_C*(d_Bv!G11+s_MLF_broccoli)*s_IFBR_far_adj*s_CF_broccoli,".")</f>
        <v>6579.3749999999991</v>
      </c>
      <c r="CI11" s="40">
        <f>IFERROR(s_C*(d_Bv!H11+s_MLF_cabbage)*s_IFCB_far_adj*s_CF_cabbage,".")</f>
        <v>6579.3749999999991</v>
      </c>
      <c r="CJ11" s="40">
        <f>IFERROR(s_C*(d_Bv!I11+s_MLF_carrot)*s_IFCR_far_adj*s_CF_carrot,".")</f>
        <v>6579.3749999999991</v>
      </c>
      <c r="CK11" s="40">
        <f>IFERROR(s_C*(d_Bv!J11+s_MLF_citrus)*s_IFCI_far_adj*s_CF_citrus,".")</f>
        <v>6579.3749999999991</v>
      </c>
      <c r="CL11" s="40">
        <f>IFERROR(s_C*(d_Bv!K11+s_MLF_corn)*s_IFCO_far_adj*s_CF_corn,".")</f>
        <v>6579.3749999999991</v>
      </c>
      <c r="CM11" s="40">
        <f>IFERROR(s_C*(d_Bv!L11+s_MLF_cucumber)*s_IFCU_far_adj*s_CF_cucumber,".")</f>
        <v>6579.3749999999991</v>
      </c>
      <c r="CN11" s="40">
        <f>IFERROR(s_C*(d_Bv!M11+s_MLF_lettuce)*s_IFLE_far_adj*s_CF_lettuce,".")</f>
        <v>6579.3749999999991</v>
      </c>
      <c r="CO11" s="40">
        <f>IFERROR(s_C*(d_Bv!N11+s_MLF_lima_bean)*s_IFLI_far_adj*s_CF_lima_bean,".")</f>
        <v>6579.3749999999991</v>
      </c>
      <c r="CP11" s="40">
        <f>IFERROR(s_C*(d_Bv!O11+s_MLF_okra)*s_IFOK_far_adj*s_CF_okra,".")</f>
        <v>6579.3749999999991</v>
      </c>
      <c r="CQ11" s="40">
        <f>IFERROR(s_C*(d_Bv!P11+s_MLF_onion)*s_IFON_far_adj*s_CF_onion,".")</f>
        <v>6579.3749999999991</v>
      </c>
      <c r="CR11" s="40">
        <f>IFERROR(s_C*(d_Bv!Q11+s_MLF_peach)*s_IFPC_far_adj*s_CF_peach,".")</f>
        <v>6579.3749999999991</v>
      </c>
      <c r="CS11" s="40">
        <f>IFERROR(s_C*(d_Bv!R11+s_MLF_pear)*s_IFPR_far_adj*s_CF_pear,".")</f>
        <v>6579.3749999999991</v>
      </c>
      <c r="CT11" s="40">
        <f>IFERROR(s_C*(d_Bv!S11+s_MLF_peas)*s_IFPE_far_adj*s_CF_peas,".")</f>
        <v>6579.3749999999991</v>
      </c>
      <c r="CU11" s="40">
        <f>IFERROR(s_C*(d_Bv!T11+s_MLF_peppers)*s_IFPP_far_adj*s_CF_peppers,".")</f>
        <v>6579.3749999999991</v>
      </c>
      <c r="CV11" s="40">
        <f>IFERROR(s_C*(d_Bv!U11+s_MLF_potato)*s_IFPT_far_adj*s_CF_potato,".")</f>
        <v>6579.3749999999991</v>
      </c>
      <c r="CW11" s="40">
        <f>IFERROR(s_C*(d_Bv!V11+s_MLF_pumpkin)*s_IFPU_far_adj*s_CF_pumpkin,".")</f>
        <v>6579.3749999999991</v>
      </c>
      <c r="CX11" s="40">
        <f>IFERROR(s_C*(d_Bv!W11+s_MLF_snap_bean)*s_IFSN_far_adj*s_CF_snap_bean,".")</f>
        <v>6579.3749999999991</v>
      </c>
      <c r="CY11" s="40">
        <f>IFERROR(s_C*(d_Bv!X11+s_MLF_strawberry)*s_IFST_far_adj*s_CF_strawberry,".")</f>
        <v>6579.3749999999991</v>
      </c>
      <c r="CZ11" s="40">
        <f>IFERROR(s_C*(d_Bv!Y11+s_MLF_tomato)*s_IFTO_far_adj*s_CF_tomato,".")</f>
        <v>6579.3749999999991</v>
      </c>
      <c r="DA11" s="40">
        <f>IFERROR(s_C*(d_Bv!Z11+s_MLF_rice)*s_IFRI_far_adj*s_CF_rice,".")</f>
        <v>6579.3749999999991</v>
      </c>
      <c r="DB11" s="40">
        <f>IFERROR(s_C*(d_Bv!AA11+s_MLF_cereal)*s_IFCG_far_adj*s_CF_cereal,".")</f>
        <v>6579.3749999999991</v>
      </c>
    </row>
    <row r="12" spans="1:106" ht="15" customHeight="1" x14ac:dyDescent="0.25">
      <c r="A12" s="44" t="s">
        <v>22</v>
      </c>
      <c r="B12" s="42" t="s">
        <v>1071</v>
      </c>
      <c r="C12" s="15" t="str">
        <f t="shared" si="0"/>
        <v>.</v>
      </c>
      <c r="D12" s="15" t="str">
        <f>IFERROR((s_dir!D12/(d_Bv!C12+s_MLF_apple)),".")</f>
        <v>.</v>
      </c>
      <c r="E12" s="15" t="str">
        <f>IFERROR((s_dir!E12/(d_Bv!D12+s_MLF_asparagus)),".")</f>
        <v>.</v>
      </c>
      <c r="F12" s="15" t="str">
        <f>IFERROR((s_dir!F12/(d_Bv!E12+s_MLF_beet)),".")</f>
        <v>.</v>
      </c>
      <c r="G12" s="15" t="str">
        <f>IFERROR((s_dir!G12/(d_Bv!F12+s_MLF_berries)),".")</f>
        <v>.</v>
      </c>
      <c r="H12" s="15" t="str">
        <f>IFERROR((s_dir!H12/(d_Bv!G12+s_MLF_broccoli)),".")</f>
        <v>.</v>
      </c>
      <c r="I12" s="15" t="str">
        <f>IFERROR((s_dir!I12/(d_Bv!H12+s_MLF_cabbage)),".")</f>
        <v>.</v>
      </c>
      <c r="J12" s="15" t="str">
        <f>IFERROR((s_dir!J12/(d_Bv!I12+s_MLF_carrot)),".")</f>
        <v>.</v>
      </c>
      <c r="K12" s="15" t="str">
        <f>IFERROR((s_dir!K12/(d_Bv!J12+s_MLF_citrus)),".")</f>
        <v>.</v>
      </c>
      <c r="L12" s="15" t="str">
        <f>IFERROR((s_dir!L12/(d_Bv!K12+s_MLF_corn)),".")</f>
        <v>.</v>
      </c>
      <c r="M12" s="15" t="str">
        <f>IFERROR((s_dir!M12/(d_Bv!L12+s_MLF_cucumber)),".")</f>
        <v>.</v>
      </c>
      <c r="N12" s="15" t="str">
        <f>IFERROR((s_dir!N12/(d_Bv!M12+s_MLF_lettuce)),".")</f>
        <v>.</v>
      </c>
      <c r="O12" s="15" t="str">
        <f>IFERROR((s_dir!O12/(d_Bv!N12+s_MLF_lima_bean)),".")</f>
        <v>.</v>
      </c>
      <c r="P12" s="15" t="str">
        <f>IFERROR((s_dir!P12/(d_Bv!O12+s_MLF_okra)),".")</f>
        <v>.</v>
      </c>
      <c r="Q12" s="15" t="str">
        <f>IFERROR((s_dir!Q12/(d_Bv!P12+s_MLF_onion)),".")</f>
        <v>.</v>
      </c>
      <c r="R12" s="15" t="str">
        <f>IFERROR((s_dir!R12/(d_Bv!Q12+s_MLF_peach)),".")</f>
        <v>.</v>
      </c>
      <c r="S12" s="15" t="str">
        <f>IFERROR((s_dir!S12/(d_Bv!R12+s_MLF_pear)),".")</f>
        <v>.</v>
      </c>
      <c r="T12" s="15" t="str">
        <f>IFERROR((s_dir!T12/(d_Bv!S12+s_MLF_peas)),".")</f>
        <v>.</v>
      </c>
      <c r="U12" s="15" t="str">
        <f>IFERROR((s_dir!U12/(d_Bv!T12+s_MLF_peppers)),".")</f>
        <v>.</v>
      </c>
      <c r="V12" s="15" t="str">
        <f>IFERROR((s_dir!V12/(d_Bv!U12+s_MLF_potato)),".")</f>
        <v>.</v>
      </c>
      <c r="W12" s="15" t="str">
        <f>IFERROR((s_dir!W12/(d_Bv!V12+s_MLF_pumpkin)),".")</f>
        <v>.</v>
      </c>
      <c r="X12" s="15" t="str">
        <f>IFERROR((s_dir!X12/(d_Bv!W12+s_MLF_snap_bean)),".")</f>
        <v>.</v>
      </c>
      <c r="Y12" s="15" t="str">
        <f>IFERROR((s_dir!Y12/(d_Bv!X12+s_MLF_strawberry)),".")</f>
        <v>.</v>
      </c>
      <c r="Z12" s="15" t="str">
        <f>IFERROR((s_dir!Z12/(d_Bv!Y12+s_MLF_tomato)),".")</f>
        <v>.</v>
      </c>
      <c r="AA12" s="15" t="str">
        <f>IFERROR((s_dir!AA12/(d_Bv!Z12+s_MLF_rice)),".")</f>
        <v>.</v>
      </c>
      <c r="AB12" s="15" t="str">
        <f>IFERROR((s_dir!AB12/(d_Bv!AA12+s_MLF_cereal)),".")</f>
        <v>.</v>
      </c>
      <c r="AC12" s="40">
        <f t="shared" si="1"/>
        <v>189667.5</v>
      </c>
      <c r="AD12" s="40">
        <f>s_C*(d_Bv!C12+s_MLF_apple)*s_IFAP_res_adj*s_CF_apple</f>
        <v>47416.875</v>
      </c>
      <c r="AE12" s="40">
        <f>s_C*(d_Bv!D12+s_MLF_asparagus)*s_IFAS_res_adj*s_CF_asparagus</f>
        <v>47416.875</v>
      </c>
      <c r="AF12" s="40">
        <f>s_C*(d_Bv!E12+s_MLF_beet)*s_IFBT_res_adj*s_CF_beet</f>
        <v>47416.875</v>
      </c>
      <c r="AG12" s="40">
        <f>s_C*(d_Bv!F12+s_MLF_berries)*s_IFBE_res_adj*s_CF_berries</f>
        <v>47416.875</v>
      </c>
      <c r="AH12" s="40">
        <f>s_C*(d_Bv!G12+s_MLF_broccoli)*s_IFBR_res_adj*s_CF_broccoli</f>
        <v>47416.875</v>
      </c>
      <c r="AI12" s="40">
        <f>s_C*(d_Bv!H12+s_MLF_cabbage)*s_IFCB_res_adj*s_CF_cabbage</f>
        <v>47416.875</v>
      </c>
      <c r="AJ12" s="40">
        <f>s_C*(d_Bv!I12+s_MLF_carrot)*s_IFCR_res_adj*s_CF_carrot</f>
        <v>47416.875</v>
      </c>
      <c r="AK12" s="40">
        <f>s_C*(d_Bv!J12+s_MLF_citrus)*s_IFCI_res_adj*s_CF_citrus</f>
        <v>47416.875</v>
      </c>
      <c r="AL12" s="40">
        <f>s_C*(d_Bv!K12+s_MLF_corn)*s_IFCO_res_adj*s_CF_corn</f>
        <v>47416.875</v>
      </c>
      <c r="AM12" s="40">
        <f>s_C*(d_Bv!L12+s_MLF_cucumber)*s_IFCU_res_adj*s_CF_cucumber</f>
        <v>47416.875</v>
      </c>
      <c r="AN12" s="40">
        <f>s_C*(d_Bv!M12+s_MLF_lettuce)*s_IFLE_res_adj*s_CF_lettuce</f>
        <v>47416.875</v>
      </c>
      <c r="AO12" s="40">
        <f>s_C*(d_Bv!N12+s_MLF_lima_bean)*s_IFLI_res_adj*s_CF_lima_bean</f>
        <v>47416.875</v>
      </c>
      <c r="AP12" s="40">
        <f>s_C*(d_Bv!O12+s_MLF_okra)*s_IFOK_res_adj*s_CF_okra</f>
        <v>47416.875</v>
      </c>
      <c r="AQ12" s="40">
        <f>s_C*(d_Bv!P12+s_MLF_onion)*s_IFON_res_adj*s_CF_onion</f>
        <v>47416.875</v>
      </c>
      <c r="AR12" s="40">
        <f>s_C*(d_Bv!Q12+s_MLF_peach)*s_IFPC_res_adj*s_CF_peach</f>
        <v>47416.875</v>
      </c>
      <c r="AS12" s="40">
        <f>s_C*(d_Bv!R12+s_MLF_pear)*s_IFPR_res_adj*s_CF_pear</f>
        <v>47416.875</v>
      </c>
      <c r="AT12" s="40">
        <f>s_C*(d_Bv!S12+s_MLF_peas)*s_IFPE_res_adj*s_CF_peas</f>
        <v>47416.875</v>
      </c>
      <c r="AU12" s="40">
        <f>s_C*(d_Bv!T12+s_MLF_peppers)*s_IFPP_res_adj*s_CF_peppers</f>
        <v>47416.875</v>
      </c>
      <c r="AV12" s="40">
        <f>s_C*(d_Bv!U12+s_MLF_potato)*s_IFPT_res_adj*s_CF_potato</f>
        <v>47416.875</v>
      </c>
      <c r="AW12" s="40">
        <f>s_C*(d_Bv!V12+s_MLF_pumpkin)*s_IFPU_res_adj*s_CF_pumpkin</f>
        <v>47416.875</v>
      </c>
      <c r="AX12" s="40">
        <f>s_C*(d_Bv!W12+s_MLF_snap_bean)*s_IFSN_res_adj*s_CF_snap_bean</f>
        <v>47416.875</v>
      </c>
      <c r="AY12" s="40">
        <f>s_C*(d_Bv!X12+s_MLF_strawberry)*s_IFST_res_adj*s_CF_strawberry</f>
        <v>47416.875</v>
      </c>
      <c r="AZ12" s="40">
        <f>s_C*(d_Bv!Y12+s_MLF_tomato)*s_IFTO_res_adj*s_CF_tomato</f>
        <v>47416.875</v>
      </c>
      <c r="BA12" s="40">
        <f>s_C*(d_Bv!Z12+s_MLF_rice)*s_IFRI_res_adj*s_CF_rice</f>
        <v>47416.875</v>
      </c>
      <c r="BB12" s="40">
        <f>s_C*(d_Bv!AA12+s_MLF_cereal)*s_IFCG_res_adj*s_CF_cereal</f>
        <v>47416.875</v>
      </c>
      <c r="BC12" s="15" t="str">
        <f t="shared" si="2"/>
        <v>.</v>
      </c>
      <c r="BD12" s="15" t="str">
        <f>IFERROR((s_dir!AD12/(d_Bv!C12+s_MLF_apple)),".")</f>
        <v>.</v>
      </c>
      <c r="BE12" s="15" t="str">
        <f>IFERROR((s_dir!AE12/(d_Bv!D12+s_MLF_asparagus)),".")</f>
        <v>.</v>
      </c>
      <c r="BF12" s="15" t="str">
        <f>IFERROR((s_dir!AF12/(d_Bv!E12+s_MLF_beet)),".")</f>
        <v>.</v>
      </c>
      <c r="BG12" s="15" t="str">
        <f>IFERROR((s_dir!AG12/(d_Bv!F12+s_MLF_berries)),".")</f>
        <v>.</v>
      </c>
      <c r="BH12" s="15" t="str">
        <f>IFERROR((s_dir!AH12/(d_Bv!G12+s_MLF_broccoli)),".")</f>
        <v>.</v>
      </c>
      <c r="BI12" s="15" t="str">
        <f>IFERROR((s_dir!AI12/(d_Bv!H12+s_MLF_cabbage)),".")</f>
        <v>.</v>
      </c>
      <c r="BJ12" s="15" t="str">
        <f>IFERROR((s_dir!AJ12/(d_Bv!I12+s_MLF_carrot)),".")</f>
        <v>.</v>
      </c>
      <c r="BK12" s="15" t="str">
        <f>IFERROR((s_dir!AK12/(d_Bv!J12+s_MLF_citrus)),".")</f>
        <v>.</v>
      </c>
      <c r="BL12" s="15" t="str">
        <f>IFERROR((s_dir!AL12/(d_Bv!K12+s_MLF_corn)),".")</f>
        <v>.</v>
      </c>
      <c r="BM12" s="15" t="str">
        <f>IFERROR((s_dir!AM12/(d_Bv!L12+s_MLF_cucumber)),".")</f>
        <v>.</v>
      </c>
      <c r="BN12" s="15" t="str">
        <f>IFERROR((s_dir!AN12/(d_Bv!M12+s_MLF_lettuce)),".")</f>
        <v>.</v>
      </c>
      <c r="BO12" s="15" t="str">
        <f>IFERROR((s_dir!AO12/(d_Bv!N12+s_MLF_lima_bean)),".")</f>
        <v>.</v>
      </c>
      <c r="BP12" s="15" t="str">
        <f>IFERROR((s_dir!AP12/(d_Bv!O12+s_MLF_okra)),".")</f>
        <v>.</v>
      </c>
      <c r="BQ12" s="15" t="str">
        <f>IFERROR((s_dir!AQ12/(d_Bv!P12+s_MLF_onion)),".")</f>
        <v>.</v>
      </c>
      <c r="BR12" s="15" t="str">
        <f>IFERROR((s_dir!AR12/(d_Bv!Q12+s_MLF_peach)),".")</f>
        <v>.</v>
      </c>
      <c r="BS12" s="15" t="str">
        <f>IFERROR((s_dir!AS12/(d_Bv!R12+s_MLF_pear)),".")</f>
        <v>.</v>
      </c>
      <c r="BT12" s="15" t="str">
        <f>IFERROR((s_dir!AT12/(d_Bv!S12+s_MLF_peas)),".")</f>
        <v>.</v>
      </c>
      <c r="BU12" s="15" t="str">
        <f>IFERROR((s_dir!AU12/(d_Bv!T12+s_MLF_peppers)),".")</f>
        <v>.</v>
      </c>
      <c r="BV12" s="15" t="str">
        <f>IFERROR((s_dir!AV12/(d_Bv!U12+s_MLF_potato)),".")</f>
        <v>.</v>
      </c>
      <c r="BW12" s="15" t="str">
        <f>IFERROR((s_dir!AW12/(d_Bv!V12+s_MLF_pumpkin)),".")</f>
        <v>.</v>
      </c>
      <c r="BX12" s="15" t="str">
        <f>IFERROR((s_dir!AX12/(d_Bv!W12+s_MLF_snap_bean)),".")</f>
        <v>.</v>
      </c>
      <c r="BY12" s="15" t="str">
        <f>IFERROR((s_dir!AY12/(d_Bv!X12+s_MLF_strawberry)),".")</f>
        <v>.</v>
      </c>
      <c r="BZ12" s="15" t="str">
        <f>IFERROR((s_dir!AZ12/(d_Bv!Y12+s_MLF_tomato)),".")</f>
        <v>.</v>
      </c>
      <c r="CA12" s="15" t="str">
        <f>IFERROR((s_dir!BA12/(d_Bv!Z12+s_MLF_rice)),".")</f>
        <v>.</v>
      </c>
      <c r="CB12" s="15" t="str">
        <f>IFERROR((s_dir!BB12/(d_Bv!AA12+s_MLF_cereal)),".")</f>
        <v>.</v>
      </c>
      <c r="CC12" s="40">
        <f t="shared" si="3"/>
        <v>189667.5</v>
      </c>
      <c r="CD12" s="40">
        <f>IFERROR(s_C*(d_Bv!C12+s_MLF_apple)*s_IFAP_far_adj*s_CF_apple,".")</f>
        <v>47416.875</v>
      </c>
      <c r="CE12" s="40">
        <f>IFERROR(s_C*(d_Bv!D12+s_MLF_asparagus)*s_IFAS_far_adj*s_CF_asparagus,".")</f>
        <v>47416.875</v>
      </c>
      <c r="CF12" s="40">
        <f>IFERROR(s_C*(d_Bv!E12+s_MLF_beet)*s_IFBT_far_adj*s_CF_beet,".")</f>
        <v>47416.875</v>
      </c>
      <c r="CG12" s="40">
        <f>IFERROR(s_C*(d_Bv!F12+s_MLF_berries)*s_IFBR_far_adj*s_CF_berries,".")</f>
        <v>47416.875</v>
      </c>
      <c r="CH12" s="40">
        <f>IFERROR(s_C*(d_Bv!G12+s_MLF_broccoli)*s_IFBR_far_adj*s_CF_broccoli,".")</f>
        <v>47416.875</v>
      </c>
      <c r="CI12" s="40">
        <f>IFERROR(s_C*(d_Bv!H12+s_MLF_cabbage)*s_IFCB_far_adj*s_CF_cabbage,".")</f>
        <v>47416.875</v>
      </c>
      <c r="CJ12" s="40">
        <f>IFERROR(s_C*(d_Bv!I12+s_MLF_carrot)*s_IFCR_far_adj*s_CF_carrot,".")</f>
        <v>47416.875</v>
      </c>
      <c r="CK12" s="40">
        <f>IFERROR(s_C*(d_Bv!J12+s_MLF_citrus)*s_IFCI_far_adj*s_CF_citrus,".")</f>
        <v>47416.875</v>
      </c>
      <c r="CL12" s="40">
        <f>IFERROR(s_C*(d_Bv!K12+s_MLF_corn)*s_IFCO_far_adj*s_CF_corn,".")</f>
        <v>47416.875</v>
      </c>
      <c r="CM12" s="40">
        <f>IFERROR(s_C*(d_Bv!L12+s_MLF_cucumber)*s_IFCU_far_adj*s_CF_cucumber,".")</f>
        <v>47416.875</v>
      </c>
      <c r="CN12" s="40">
        <f>IFERROR(s_C*(d_Bv!M12+s_MLF_lettuce)*s_IFLE_far_adj*s_CF_lettuce,".")</f>
        <v>47416.875</v>
      </c>
      <c r="CO12" s="40">
        <f>IFERROR(s_C*(d_Bv!N12+s_MLF_lima_bean)*s_IFLI_far_adj*s_CF_lima_bean,".")</f>
        <v>47416.875</v>
      </c>
      <c r="CP12" s="40">
        <f>IFERROR(s_C*(d_Bv!O12+s_MLF_okra)*s_IFOK_far_adj*s_CF_okra,".")</f>
        <v>47416.875</v>
      </c>
      <c r="CQ12" s="40">
        <f>IFERROR(s_C*(d_Bv!P12+s_MLF_onion)*s_IFON_far_adj*s_CF_onion,".")</f>
        <v>47416.875</v>
      </c>
      <c r="CR12" s="40">
        <f>IFERROR(s_C*(d_Bv!Q12+s_MLF_peach)*s_IFPC_far_adj*s_CF_peach,".")</f>
        <v>47416.875</v>
      </c>
      <c r="CS12" s="40">
        <f>IFERROR(s_C*(d_Bv!R12+s_MLF_pear)*s_IFPR_far_adj*s_CF_pear,".")</f>
        <v>47416.875</v>
      </c>
      <c r="CT12" s="40">
        <f>IFERROR(s_C*(d_Bv!S12+s_MLF_peas)*s_IFPE_far_adj*s_CF_peas,".")</f>
        <v>47416.875</v>
      </c>
      <c r="CU12" s="40">
        <f>IFERROR(s_C*(d_Bv!T12+s_MLF_peppers)*s_IFPP_far_adj*s_CF_peppers,".")</f>
        <v>47416.875</v>
      </c>
      <c r="CV12" s="40">
        <f>IFERROR(s_C*(d_Bv!U12+s_MLF_potato)*s_IFPT_far_adj*s_CF_potato,".")</f>
        <v>47416.875</v>
      </c>
      <c r="CW12" s="40">
        <f>IFERROR(s_C*(d_Bv!V12+s_MLF_pumpkin)*s_IFPU_far_adj*s_CF_pumpkin,".")</f>
        <v>47416.875</v>
      </c>
      <c r="CX12" s="40">
        <f>IFERROR(s_C*(d_Bv!W12+s_MLF_snap_bean)*s_IFSN_far_adj*s_CF_snap_bean,".")</f>
        <v>47416.875</v>
      </c>
      <c r="CY12" s="40">
        <f>IFERROR(s_C*(d_Bv!X12+s_MLF_strawberry)*s_IFST_far_adj*s_CF_strawberry,".")</f>
        <v>47416.875</v>
      </c>
      <c r="CZ12" s="40">
        <f>IFERROR(s_C*(d_Bv!Y12+s_MLF_tomato)*s_IFTO_far_adj*s_CF_tomato,".")</f>
        <v>47416.875</v>
      </c>
      <c r="DA12" s="40">
        <f>IFERROR(s_C*(d_Bv!Z12+s_MLF_rice)*s_IFRI_far_adj*s_CF_rice,".")</f>
        <v>47416.875</v>
      </c>
      <c r="DB12" s="40">
        <f>IFERROR(s_C*(d_Bv!AA12+s_MLF_cereal)*s_IFCG_far_adj*s_CF_cereal,".")</f>
        <v>47416.875</v>
      </c>
    </row>
    <row r="13" spans="1:106" ht="15" customHeight="1" x14ac:dyDescent="0.25">
      <c r="A13" s="44" t="s">
        <v>23</v>
      </c>
      <c r="B13" s="42" t="s">
        <v>1071</v>
      </c>
      <c r="C13" s="15">
        <f t="shared" si="0"/>
        <v>41.897482691982319</v>
      </c>
      <c r="D13" s="15">
        <f>IFERROR((s_dir!D13/(d_Bv!C13+s_MLF_apple)),".")</f>
        <v>289.03190958526926</v>
      </c>
      <c r="E13" s="15">
        <f>IFERROR((s_dir!E13/(d_Bv!D13+s_MLF_asparagus)),".")</f>
        <v>98.484946969795459</v>
      </c>
      <c r="F13" s="15">
        <f>IFERROR((s_dir!F13/(d_Bv!E13+s_MLF_beet)),".")</f>
        <v>112.35606626131596</v>
      </c>
      <c r="G13" s="15">
        <f>IFERROR((s_dir!G13/(d_Bv!F13+s_MLF_berries)),".")</f>
        <v>289.03190958526926</v>
      </c>
      <c r="H13" s="15">
        <f>IFERROR((s_dir!H13/(d_Bv!G13+s_MLF_broccoli)),".")</f>
        <v>126.62350324687988</v>
      </c>
      <c r="I13" s="15">
        <f>IFERROR((s_dir!I13/(d_Bv!H13+s_MLF_cabbage)),".")</f>
        <v>98.484946969795459</v>
      </c>
      <c r="J13" s="15">
        <f>IFERROR((s_dir!J13/(d_Bv!I13+s_MLF_carrot)),".")</f>
        <v>112.35606626131596</v>
      </c>
      <c r="K13" s="15">
        <f>IFERROR((s_dir!K13/(d_Bv!J13+s_MLF_citrus)),".")</f>
        <v>289.03190958526926</v>
      </c>
      <c r="L13" s="15">
        <f>IFERROR((s_dir!L13/(d_Bv!K13+s_MLF_corn)),".")</f>
        <v>217.95848919544895</v>
      </c>
      <c r="M13" s="15">
        <f>IFERROR((s_dir!M13/(d_Bv!L13+s_MLF_cucumber)),".")</f>
        <v>126.62350324687988</v>
      </c>
      <c r="N13" s="15">
        <f>IFERROR((s_dir!N13/(d_Bv!M13+s_MLF_lettuce)),".")</f>
        <v>98.484946969795459</v>
      </c>
      <c r="O13" s="15">
        <f>IFERROR((s_dir!O13/(d_Bv!N13+s_MLF_lima_bean)),".")</f>
        <v>130.77509351726937</v>
      </c>
      <c r="P13" s="15">
        <f>IFERROR((s_dir!P13/(d_Bv!O13+s_MLF_okra)),".")</f>
        <v>126.62350324687988</v>
      </c>
      <c r="Q13" s="15">
        <f>IFERROR((s_dir!Q13/(d_Bv!P13+s_MLF_onion)),".")</f>
        <v>112.35606626131596</v>
      </c>
      <c r="R13" s="15">
        <f>IFERROR((s_dir!R13/(d_Bv!Q13+s_MLF_peach)),".")</f>
        <v>289.03190958526926</v>
      </c>
      <c r="S13" s="15">
        <f>IFERROR((s_dir!S13/(d_Bv!R13+s_MLF_pear)),".")</f>
        <v>289.03190958526926</v>
      </c>
      <c r="T13" s="15">
        <f>IFERROR((s_dir!T13/(d_Bv!S13+s_MLF_peas)),".")</f>
        <v>130.77509351726937</v>
      </c>
      <c r="U13" s="15">
        <f>IFERROR((s_dir!U13/(d_Bv!T13+s_MLF_peppers)),".")</f>
        <v>126.62350324687988</v>
      </c>
      <c r="V13" s="15">
        <f>IFERROR((s_dir!V13/(d_Bv!U13+s_MLF_potato)),".")</f>
        <v>207.74168501441227</v>
      </c>
      <c r="W13" s="15">
        <f>IFERROR((s_dir!W13/(d_Bv!V13+s_MLF_pumpkin)),".")</f>
        <v>126.62350324687988</v>
      </c>
      <c r="X13" s="15">
        <f>IFERROR((s_dir!X13/(d_Bv!W13+s_MLF_snap_bean)),".")</f>
        <v>130.77509351726937</v>
      </c>
      <c r="Y13" s="15">
        <f>IFERROR((s_dir!Y13/(d_Bv!X13+s_MLF_strawberry)),".")</f>
        <v>289.03190958526926</v>
      </c>
      <c r="Z13" s="15">
        <f>IFERROR((s_dir!Z13/(d_Bv!Y13+s_MLF_tomato)),".")</f>
        <v>126.62350324687988</v>
      </c>
      <c r="AA13" s="15">
        <f>IFERROR((s_dir!AA13/(d_Bv!Z13+s_MLF_rice)),".")</f>
        <v>119.06389111273778</v>
      </c>
      <c r="AB13" s="15">
        <f>IFERROR((s_dir!AB13/(d_Bv!AA13+s_MLF_cereal)),".")</f>
        <v>243.20977757784857</v>
      </c>
      <c r="AC13" s="40">
        <f t="shared" si="1"/>
        <v>14399</v>
      </c>
      <c r="AD13" s="40">
        <f>s_C*(d_Bv!C13+s_MLF_apple)*s_IFAP_res_adj*s_CF_apple</f>
        <v>2087.25</v>
      </c>
      <c r="AE13" s="40">
        <f>s_C*(d_Bv!D13+s_MLF_asparagus)*s_IFAS_res_adj*s_CF_asparagus</f>
        <v>6125.625</v>
      </c>
      <c r="AF13" s="40">
        <f>s_C*(d_Bv!E13+s_MLF_beet)*s_IFBT_res_adj*s_CF_beet</f>
        <v>5369.375</v>
      </c>
      <c r="AG13" s="40">
        <f>s_C*(d_Bv!F13+s_MLF_berries)*s_IFBE_res_adj*s_CF_berries</f>
        <v>2087.25</v>
      </c>
      <c r="AH13" s="40">
        <f>s_C*(d_Bv!G13+s_MLF_broccoli)*s_IFBR_res_adj*s_CF_broccoli</f>
        <v>4764.375</v>
      </c>
      <c r="AI13" s="40">
        <f>s_C*(d_Bv!H13+s_MLF_cabbage)*s_IFCB_res_adj*s_CF_cabbage</f>
        <v>6125.625</v>
      </c>
      <c r="AJ13" s="40">
        <f>s_C*(d_Bv!I13+s_MLF_carrot)*s_IFCR_res_adj*s_CF_carrot</f>
        <v>5369.375</v>
      </c>
      <c r="AK13" s="40">
        <f>s_C*(d_Bv!J13+s_MLF_citrus)*s_IFCI_res_adj*s_CF_citrus</f>
        <v>2087.25</v>
      </c>
      <c r="AL13" s="40">
        <f>s_C*(d_Bv!K13+s_MLF_corn)*s_IFCO_res_adj*s_CF_corn</f>
        <v>2767.875</v>
      </c>
      <c r="AM13" s="40">
        <f>s_C*(d_Bv!L13+s_MLF_cucumber)*s_IFCU_res_adj*s_CF_cucumber</f>
        <v>4764.375</v>
      </c>
      <c r="AN13" s="40">
        <f>s_C*(d_Bv!M13+s_MLF_lettuce)*s_IFLE_res_adj*s_CF_lettuce</f>
        <v>6125.625</v>
      </c>
      <c r="AO13" s="40">
        <f>s_C*(d_Bv!N13+s_MLF_lima_bean)*s_IFLI_res_adj*s_CF_lima_bean</f>
        <v>4613.125</v>
      </c>
      <c r="AP13" s="40">
        <f>s_C*(d_Bv!O13+s_MLF_okra)*s_IFOK_res_adj*s_CF_okra</f>
        <v>4764.375</v>
      </c>
      <c r="AQ13" s="40">
        <f>s_C*(d_Bv!P13+s_MLF_onion)*s_IFON_res_adj*s_CF_onion</f>
        <v>5369.375</v>
      </c>
      <c r="AR13" s="40">
        <f>s_C*(d_Bv!Q13+s_MLF_peach)*s_IFPC_res_adj*s_CF_peach</f>
        <v>2087.25</v>
      </c>
      <c r="AS13" s="40">
        <f>s_C*(d_Bv!R13+s_MLF_pear)*s_IFPR_res_adj*s_CF_pear</f>
        <v>2087.25</v>
      </c>
      <c r="AT13" s="40">
        <f>s_C*(d_Bv!S13+s_MLF_peas)*s_IFPE_res_adj*s_CF_peas</f>
        <v>4613.125</v>
      </c>
      <c r="AU13" s="40">
        <f>s_C*(d_Bv!T13+s_MLF_peppers)*s_IFPP_res_adj*s_CF_peppers</f>
        <v>4764.375</v>
      </c>
      <c r="AV13" s="40">
        <f>s_C*(d_Bv!U13+s_MLF_potato)*s_IFPT_res_adj*s_CF_potato</f>
        <v>2904</v>
      </c>
      <c r="AW13" s="40">
        <f>s_C*(d_Bv!V13+s_MLF_pumpkin)*s_IFPU_res_adj*s_CF_pumpkin</f>
        <v>4764.375</v>
      </c>
      <c r="AX13" s="40">
        <f>s_C*(d_Bv!W13+s_MLF_snap_bean)*s_IFSN_res_adj*s_CF_snap_bean</f>
        <v>4613.125</v>
      </c>
      <c r="AY13" s="40">
        <f>s_C*(d_Bv!X13+s_MLF_strawberry)*s_IFST_res_adj*s_CF_strawberry</f>
        <v>2087.25</v>
      </c>
      <c r="AZ13" s="40">
        <f>s_C*(d_Bv!Y13+s_MLF_tomato)*s_IFTO_res_adj*s_CF_tomato</f>
        <v>4764.375</v>
      </c>
      <c r="BA13" s="40">
        <f>s_C*(d_Bv!Z13+s_MLF_rice)*s_IFRI_res_adj*s_CF_rice</f>
        <v>5066.875</v>
      </c>
      <c r="BB13" s="40">
        <f>s_C*(d_Bv!AA13+s_MLF_cereal)*s_IFCG_res_adj*s_CF_cereal</f>
        <v>2480.4999999999995</v>
      </c>
      <c r="BC13" s="15">
        <f t="shared" si="2"/>
        <v>41.897482691982319</v>
      </c>
      <c r="BD13" s="15">
        <f>IFERROR((s_dir!AD13/(d_Bv!C13+s_MLF_apple)),".")</f>
        <v>289.03190958526926</v>
      </c>
      <c r="BE13" s="15">
        <f>IFERROR((s_dir!AE13/(d_Bv!D13+s_MLF_asparagus)),".")</f>
        <v>98.484946969795459</v>
      </c>
      <c r="BF13" s="15">
        <f>IFERROR((s_dir!AF13/(d_Bv!E13+s_MLF_beet)),".")</f>
        <v>112.35606626131596</v>
      </c>
      <c r="BG13" s="15">
        <f>IFERROR((s_dir!AG13/(d_Bv!F13+s_MLF_berries)),".")</f>
        <v>289.03190958526926</v>
      </c>
      <c r="BH13" s="15">
        <f>IFERROR((s_dir!AH13/(d_Bv!G13+s_MLF_broccoli)),".")</f>
        <v>126.62350324687988</v>
      </c>
      <c r="BI13" s="15">
        <f>IFERROR((s_dir!AI13/(d_Bv!H13+s_MLF_cabbage)),".")</f>
        <v>98.484946969795459</v>
      </c>
      <c r="BJ13" s="15">
        <f>IFERROR((s_dir!AJ13/(d_Bv!I13+s_MLF_carrot)),".")</f>
        <v>112.35606626131596</v>
      </c>
      <c r="BK13" s="15">
        <f>IFERROR((s_dir!AK13/(d_Bv!J13+s_MLF_citrus)),".")</f>
        <v>289.03190958526926</v>
      </c>
      <c r="BL13" s="15">
        <f>IFERROR((s_dir!AL13/(d_Bv!K13+s_MLF_corn)),".")</f>
        <v>217.95848919544895</v>
      </c>
      <c r="BM13" s="15">
        <f>IFERROR((s_dir!AM13/(d_Bv!L13+s_MLF_cucumber)),".")</f>
        <v>126.62350324687988</v>
      </c>
      <c r="BN13" s="15">
        <f>IFERROR((s_dir!AN13/(d_Bv!M13+s_MLF_lettuce)),".")</f>
        <v>98.484946969795459</v>
      </c>
      <c r="BO13" s="15">
        <f>IFERROR((s_dir!AO13/(d_Bv!N13+s_MLF_lima_bean)),".")</f>
        <v>130.77509351726937</v>
      </c>
      <c r="BP13" s="15">
        <f>IFERROR((s_dir!AP13/(d_Bv!O13+s_MLF_okra)),".")</f>
        <v>126.62350324687988</v>
      </c>
      <c r="BQ13" s="15">
        <f>IFERROR((s_dir!AQ13/(d_Bv!P13+s_MLF_onion)),".")</f>
        <v>112.35606626131596</v>
      </c>
      <c r="BR13" s="15">
        <f>IFERROR((s_dir!AR13/(d_Bv!Q13+s_MLF_peach)),".")</f>
        <v>289.03190958526926</v>
      </c>
      <c r="BS13" s="15">
        <f>IFERROR((s_dir!AS13/(d_Bv!R13+s_MLF_pear)),".")</f>
        <v>289.03190958526926</v>
      </c>
      <c r="BT13" s="15">
        <f>IFERROR((s_dir!AT13/(d_Bv!S13+s_MLF_peas)),".")</f>
        <v>130.77509351726937</v>
      </c>
      <c r="BU13" s="15">
        <f>IFERROR((s_dir!AU13/(d_Bv!T13+s_MLF_peppers)),".")</f>
        <v>126.62350324687988</v>
      </c>
      <c r="BV13" s="15">
        <f>IFERROR((s_dir!AV13/(d_Bv!U13+s_MLF_potato)),".")</f>
        <v>207.74168501441227</v>
      </c>
      <c r="BW13" s="15">
        <f>IFERROR((s_dir!AW13/(d_Bv!V13+s_MLF_pumpkin)),".")</f>
        <v>126.62350324687988</v>
      </c>
      <c r="BX13" s="15">
        <f>IFERROR((s_dir!AX13/(d_Bv!W13+s_MLF_snap_bean)),".")</f>
        <v>130.77509351726937</v>
      </c>
      <c r="BY13" s="15">
        <f>IFERROR((s_dir!AY13/(d_Bv!X13+s_MLF_strawberry)),".")</f>
        <v>289.03190958526926</v>
      </c>
      <c r="BZ13" s="15">
        <f>IFERROR((s_dir!AZ13/(d_Bv!Y13+s_MLF_tomato)),".")</f>
        <v>126.62350324687988</v>
      </c>
      <c r="CA13" s="15">
        <f>IFERROR((s_dir!BA13/(d_Bv!Z13+s_MLF_rice)),".")</f>
        <v>119.06389111273778</v>
      </c>
      <c r="CB13" s="15">
        <f>IFERROR((s_dir!BB13/(d_Bv!AA13+s_MLF_cereal)),".")</f>
        <v>243.20977757784857</v>
      </c>
      <c r="CC13" s="40">
        <f t="shared" si="3"/>
        <v>14399</v>
      </c>
      <c r="CD13" s="40">
        <f>IFERROR(s_C*(d_Bv!C13+s_MLF_apple)*s_IFAP_far_adj*s_CF_apple,".")</f>
        <v>2087.25</v>
      </c>
      <c r="CE13" s="40">
        <f>IFERROR(s_C*(d_Bv!D13+s_MLF_asparagus)*s_IFAS_far_adj*s_CF_asparagus,".")</f>
        <v>6125.625</v>
      </c>
      <c r="CF13" s="40">
        <f>IFERROR(s_C*(d_Bv!E13+s_MLF_beet)*s_IFBT_far_adj*s_CF_beet,".")</f>
        <v>5369.375</v>
      </c>
      <c r="CG13" s="40">
        <f>IFERROR(s_C*(d_Bv!F13+s_MLF_berries)*s_IFBR_far_adj*s_CF_berries,".")</f>
        <v>2087.25</v>
      </c>
      <c r="CH13" s="40">
        <f>IFERROR(s_C*(d_Bv!G13+s_MLF_broccoli)*s_IFBR_far_adj*s_CF_broccoli,".")</f>
        <v>4764.375</v>
      </c>
      <c r="CI13" s="40">
        <f>IFERROR(s_C*(d_Bv!H13+s_MLF_cabbage)*s_IFCB_far_adj*s_CF_cabbage,".")</f>
        <v>6125.625</v>
      </c>
      <c r="CJ13" s="40">
        <f>IFERROR(s_C*(d_Bv!I13+s_MLF_carrot)*s_IFCR_far_adj*s_CF_carrot,".")</f>
        <v>5369.375</v>
      </c>
      <c r="CK13" s="40">
        <f>IFERROR(s_C*(d_Bv!J13+s_MLF_citrus)*s_IFCI_far_adj*s_CF_citrus,".")</f>
        <v>2087.25</v>
      </c>
      <c r="CL13" s="40">
        <f>IFERROR(s_C*(d_Bv!K13+s_MLF_corn)*s_IFCO_far_adj*s_CF_corn,".")</f>
        <v>2767.875</v>
      </c>
      <c r="CM13" s="40">
        <f>IFERROR(s_C*(d_Bv!L13+s_MLF_cucumber)*s_IFCU_far_adj*s_CF_cucumber,".")</f>
        <v>4764.375</v>
      </c>
      <c r="CN13" s="40">
        <f>IFERROR(s_C*(d_Bv!M13+s_MLF_lettuce)*s_IFLE_far_adj*s_CF_lettuce,".")</f>
        <v>6125.625</v>
      </c>
      <c r="CO13" s="40">
        <f>IFERROR(s_C*(d_Bv!N13+s_MLF_lima_bean)*s_IFLI_far_adj*s_CF_lima_bean,".")</f>
        <v>4613.125</v>
      </c>
      <c r="CP13" s="40">
        <f>IFERROR(s_C*(d_Bv!O13+s_MLF_okra)*s_IFOK_far_adj*s_CF_okra,".")</f>
        <v>4764.375</v>
      </c>
      <c r="CQ13" s="40">
        <f>IFERROR(s_C*(d_Bv!P13+s_MLF_onion)*s_IFON_far_adj*s_CF_onion,".")</f>
        <v>5369.375</v>
      </c>
      <c r="CR13" s="40">
        <f>IFERROR(s_C*(d_Bv!Q13+s_MLF_peach)*s_IFPC_far_adj*s_CF_peach,".")</f>
        <v>2087.25</v>
      </c>
      <c r="CS13" s="40">
        <f>IFERROR(s_C*(d_Bv!R13+s_MLF_pear)*s_IFPR_far_adj*s_CF_pear,".")</f>
        <v>2087.25</v>
      </c>
      <c r="CT13" s="40">
        <f>IFERROR(s_C*(d_Bv!S13+s_MLF_peas)*s_IFPE_far_adj*s_CF_peas,".")</f>
        <v>4613.125</v>
      </c>
      <c r="CU13" s="40">
        <f>IFERROR(s_C*(d_Bv!T13+s_MLF_peppers)*s_IFPP_far_adj*s_CF_peppers,".")</f>
        <v>4764.375</v>
      </c>
      <c r="CV13" s="40">
        <f>IFERROR(s_C*(d_Bv!U13+s_MLF_potato)*s_IFPT_far_adj*s_CF_potato,".")</f>
        <v>2904</v>
      </c>
      <c r="CW13" s="40">
        <f>IFERROR(s_C*(d_Bv!V13+s_MLF_pumpkin)*s_IFPU_far_adj*s_CF_pumpkin,".")</f>
        <v>4764.375</v>
      </c>
      <c r="CX13" s="40">
        <f>IFERROR(s_C*(d_Bv!W13+s_MLF_snap_bean)*s_IFSN_far_adj*s_CF_snap_bean,".")</f>
        <v>4613.125</v>
      </c>
      <c r="CY13" s="40">
        <f>IFERROR(s_C*(d_Bv!X13+s_MLF_strawberry)*s_IFST_far_adj*s_CF_strawberry,".")</f>
        <v>2087.25</v>
      </c>
      <c r="CZ13" s="40">
        <f>IFERROR(s_C*(d_Bv!Y13+s_MLF_tomato)*s_IFTO_far_adj*s_CF_tomato,".")</f>
        <v>4764.375</v>
      </c>
      <c r="DA13" s="40">
        <f>IFERROR(s_C*(d_Bv!Z13+s_MLF_rice)*s_IFRI_far_adj*s_CF_rice,".")</f>
        <v>5066.875</v>
      </c>
      <c r="DB13" s="40">
        <f>IFERROR(s_C*(d_Bv!AA13+s_MLF_cereal)*s_IFCG_far_adj*s_CF_cereal,".")</f>
        <v>2480.4999999999995</v>
      </c>
    </row>
    <row r="14" spans="1:106" ht="15" customHeight="1" x14ac:dyDescent="0.25">
      <c r="A14" s="44" t="s">
        <v>24</v>
      </c>
      <c r="B14" s="42" t="s">
        <v>1071</v>
      </c>
      <c r="C14" s="15">
        <f t="shared" si="0"/>
        <v>392.76219399946564</v>
      </c>
      <c r="D14" s="15">
        <f>IFERROR((s_dir!D14/(d_Bv!C14+s_MLF_apple)),".")</f>
        <v>1571.0487759978625</v>
      </c>
      <c r="E14" s="15">
        <f>IFERROR((s_dir!E14/(d_Bv!D14+s_MLF_asparagus)),".")</f>
        <v>1571.0487759978625</v>
      </c>
      <c r="F14" s="15">
        <f>IFERROR((s_dir!F14/(d_Bv!E14+s_MLF_beet)),".")</f>
        <v>1571.0487759978625</v>
      </c>
      <c r="G14" s="15">
        <f>IFERROR((s_dir!G14/(d_Bv!F14+s_MLF_berries)),".")</f>
        <v>1571.0487759978625</v>
      </c>
      <c r="H14" s="15">
        <f>IFERROR((s_dir!H14/(d_Bv!G14+s_MLF_broccoli)),".")</f>
        <v>1571.0487759978625</v>
      </c>
      <c r="I14" s="15">
        <f>IFERROR((s_dir!I14/(d_Bv!H14+s_MLF_cabbage)),".")</f>
        <v>1571.0487759978625</v>
      </c>
      <c r="J14" s="15">
        <f>IFERROR((s_dir!J14/(d_Bv!I14+s_MLF_carrot)),".")</f>
        <v>1571.0487759978625</v>
      </c>
      <c r="K14" s="15">
        <f>IFERROR((s_dir!K14/(d_Bv!J14+s_MLF_citrus)),".")</f>
        <v>1571.0487759978625</v>
      </c>
      <c r="L14" s="15">
        <f>IFERROR((s_dir!L14/(d_Bv!K14+s_MLF_corn)),".")</f>
        <v>1571.0487759978625</v>
      </c>
      <c r="M14" s="15">
        <f>IFERROR((s_dir!M14/(d_Bv!L14+s_MLF_cucumber)),".")</f>
        <v>1571.0487759978625</v>
      </c>
      <c r="N14" s="15">
        <f>IFERROR((s_dir!N14/(d_Bv!M14+s_MLF_lettuce)),".")</f>
        <v>1571.0487759978625</v>
      </c>
      <c r="O14" s="15">
        <f>IFERROR((s_dir!O14/(d_Bv!N14+s_MLF_lima_bean)),".")</f>
        <v>1571.0487759978625</v>
      </c>
      <c r="P14" s="15">
        <f>IFERROR((s_dir!P14/(d_Bv!O14+s_MLF_okra)),".")</f>
        <v>1571.0487759978625</v>
      </c>
      <c r="Q14" s="15">
        <f>IFERROR((s_dir!Q14/(d_Bv!P14+s_MLF_onion)),".")</f>
        <v>1571.0487759978625</v>
      </c>
      <c r="R14" s="15">
        <f>IFERROR((s_dir!R14/(d_Bv!Q14+s_MLF_peach)),".")</f>
        <v>1571.0487759978625</v>
      </c>
      <c r="S14" s="15">
        <f>IFERROR((s_dir!S14/(d_Bv!R14+s_MLF_pear)),".")</f>
        <v>1571.0487759978625</v>
      </c>
      <c r="T14" s="15">
        <f>IFERROR((s_dir!T14/(d_Bv!S14+s_MLF_peas)),".")</f>
        <v>1571.0487759978625</v>
      </c>
      <c r="U14" s="15">
        <f>IFERROR((s_dir!U14/(d_Bv!T14+s_MLF_peppers)),".")</f>
        <v>1571.0487759978625</v>
      </c>
      <c r="V14" s="15">
        <f>IFERROR((s_dir!V14/(d_Bv!U14+s_MLF_potato)),".")</f>
        <v>1571.0487759978625</v>
      </c>
      <c r="W14" s="15">
        <f>IFERROR((s_dir!W14/(d_Bv!V14+s_MLF_pumpkin)),".")</f>
        <v>1571.0487759978625</v>
      </c>
      <c r="X14" s="15">
        <f>IFERROR((s_dir!X14/(d_Bv!W14+s_MLF_snap_bean)),".")</f>
        <v>1571.0487759978625</v>
      </c>
      <c r="Y14" s="15">
        <f>IFERROR((s_dir!Y14/(d_Bv!X14+s_MLF_strawberry)),".")</f>
        <v>1571.0487759978625</v>
      </c>
      <c r="Z14" s="15">
        <f>IFERROR((s_dir!Z14/(d_Bv!Y14+s_MLF_tomato)),".")</f>
        <v>1571.0487759978625</v>
      </c>
      <c r="AA14" s="15">
        <f>IFERROR((s_dir!AA14/(d_Bv!Z14+s_MLF_rice)),".")</f>
        <v>1571.0487759978625</v>
      </c>
      <c r="AB14" s="15">
        <f>IFERROR((s_dir!AB14/(d_Bv!AA14+s_MLF_cereal)),".")</f>
        <v>1571.0487759978625</v>
      </c>
      <c r="AC14" s="40">
        <f t="shared" si="1"/>
        <v>14217.5</v>
      </c>
      <c r="AD14" s="40">
        <f>s_C*(d_Bv!C14+s_MLF_apple)*s_IFAP_res_adj*s_CF_apple</f>
        <v>3554.375</v>
      </c>
      <c r="AE14" s="40">
        <f>s_C*(d_Bv!D14+s_MLF_asparagus)*s_IFAS_res_adj*s_CF_asparagus</f>
        <v>3554.375</v>
      </c>
      <c r="AF14" s="40">
        <f>s_C*(d_Bv!E14+s_MLF_beet)*s_IFBT_res_adj*s_CF_beet</f>
        <v>3554.375</v>
      </c>
      <c r="AG14" s="40">
        <f>s_C*(d_Bv!F14+s_MLF_berries)*s_IFBE_res_adj*s_CF_berries</f>
        <v>3554.375</v>
      </c>
      <c r="AH14" s="40">
        <f>s_C*(d_Bv!G14+s_MLF_broccoli)*s_IFBR_res_adj*s_CF_broccoli</f>
        <v>3554.375</v>
      </c>
      <c r="AI14" s="40">
        <f>s_C*(d_Bv!H14+s_MLF_cabbage)*s_IFCB_res_adj*s_CF_cabbage</f>
        <v>3554.375</v>
      </c>
      <c r="AJ14" s="40">
        <f>s_C*(d_Bv!I14+s_MLF_carrot)*s_IFCR_res_adj*s_CF_carrot</f>
        <v>3554.375</v>
      </c>
      <c r="AK14" s="40">
        <f>s_C*(d_Bv!J14+s_MLF_citrus)*s_IFCI_res_adj*s_CF_citrus</f>
        <v>3554.375</v>
      </c>
      <c r="AL14" s="40">
        <f>s_C*(d_Bv!K14+s_MLF_corn)*s_IFCO_res_adj*s_CF_corn</f>
        <v>3554.375</v>
      </c>
      <c r="AM14" s="40">
        <f>s_C*(d_Bv!L14+s_MLF_cucumber)*s_IFCU_res_adj*s_CF_cucumber</f>
        <v>3554.375</v>
      </c>
      <c r="AN14" s="40">
        <f>s_C*(d_Bv!M14+s_MLF_lettuce)*s_IFLE_res_adj*s_CF_lettuce</f>
        <v>3554.375</v>
      </c>
      <c r="AO14" s="40">
        <f>s_C*(d_Bv!N14+s_MLF_lima_bean)*s_IFLI_res_adj*s_CF_lima_bean</f>
        <v>3554.375</v>
      </c>
      <c r="AP14" s="40">
        <f>s_C*(d_Bv!O14+s_MLF_okra)*s_IFOK_res_adj*s_CF_okra</f>
        <v>3554.375</v>
      </c>
      <c r="AQ14" s="40">
        <f>s_C*(d_Bv!P14+s_MLF_onion)*s_IFON_res_adj*s_CF_onion</f>
        <v>3554.375</v>
      </c>
      <c r="AR14" s="40">
        <f>s_C*(d_Bv!Q14+s_MLF_peach)*s_IFPC_res_adj*s_CF_peach</f>
        <v>3554.375</v>
      </c>
      <c r="AS14" s="40">
        <f>s_C*(d_Bv!R14+s_MLF_pear)*s_IFPR_res_adj*s_CF_pear</f>
        <v>3554.375</v>
      </c>
      <c r="AT14" s="40">
        <f>s_C*(d_Bv!S14+s_MLF_peas)*s_IFPE_res_adj*s_CF_peas</f>
        <v>3554.375</v>
      </c>
      <c r="AU14" s="40">
        <f>s_C*(d_Bv!T14+s_MLF_peppers)*s_IFPP_res_adj*s_CF_peppers</f>
        <v>3554.375</v>
      </c>
      <c r="AV14" s="40">
        <f>s_C*(d_Bv!U14+s_MLF_potato)*s_IFPT_res_adj*s_CF_potato</f>
        <v>3554.375</v>
      </c>
      <c r="AW14" s="40">
        <f>s_C*(d_Bv!V14+s_MLF_pumpkin)*s_IFPU_res_adj*s_CF_pumpkin</f>
        <v>3554.375</v>
      </c>
      <c r="AX14" s="40">
        <f>s_C*(d_Bv!W14+s_MLF_snap_bean)*s_IFSN_res_adj*s_CF_snap_bean</f>
        <v>3554.375</v>
      </c>
      <c r="AY14" s="40">
        <f>s_C*(d_Bv!X14+s_MLF_strawberry)*s_IFST_res_adj*s_CF_strawberry</f>
        <v>3554.375</v>
      </c>
      <c r="AZ14" s="40">
        <f>s_C*(d_Bv!Y14+s_MLF_tomato)*s_IFTO_res_adj*s_CF_tomato</f>
        <v>3554.375</v>
      </c>
      <c r="BA14" s="40">
        <f>s_C*(d_Bv!Z14+s_MLF_rice)*s_IFRI_res_adj*s_CF_rice</f>
        <v>3554.375</v>
      </c>
      <c r="BB14" s="40">
        <f>s_C*(d_Bv!AA14+s_MLF_cereal)*s_IFCG_res_adj*s_CF_cereal</f>
        <v>3554.375</v>
      </c>
      <c r="BC14" s="15">
        <f t="shared" si="2"/>
        <v>392.76219399946564</v>
      </c>
      <c r="BD14" s="15">
        <f>IFERROR((s_dir!AD14/(d_Bv!C14+s_MLF_apple)),".")</f>
        <v>1571.0487759978625</v>
      </c>
      <c r="BE14" s="15">
        <f>IFERROR((s_dir!AE14/(d_Bv!D14+s_MLF_asparagus)),".")</f>
        <v>1571.0487759978625</v>
      </c>
      <c r="BF14" s="15">
        <f>IFERROR((s_dir!AF14/(d_Bv!E14+s_MLF_beet)),".")</f>
        <v>1571.0487759978625</v>
      </c>
      <c r="BG14" s="15">
        <f>IFERROR((s_dir!AG14/(d_Bv!F14+s_MLF_berries)),".")</f>
        <v>1571.0487759978625</v>
      </c>
      <c r="BH14" s="15">
        <f>IFERROR((s_dir!AH14/(d_Bv!G14+s_MLF_broccoli)),".")</f>
        <v>1571.0487759978625</v>
      </c>
      <c r="BI14" s="15">
        <f>IFERROR((s_dir!AI14/(d_Bv!H14+s_MLF_cabbage)),".")</f>
        <v>1571.0487759978625</v>
      </c>
      <c r="BJ14" s="15">
        <f>IFERROR((s_dir!AJ14/(d_Bv!I14+s_MLF_carrot)),".")</f>
        <v>1571.0487759978625</v>
      </c>
      <c r="BK14" s="15">
        <f>IFERROR((s_dir!AK14/(d_Bv!J14+s_MLF_citrus)),".")</f>
        <v>1571.0487759978625</v>
      </c>
      <c r="BL14" s="15">
        <f>IFERROR((s_dir!AL14/(d_Bv!K14+s_MLF_corn)),".")</f>
        <v>1571.0487759978625</v>
      </c>
      <c r="BM14" s="15">
        <f>IFERROR((s_dir!AM14/(d_Bv!L14+s_MLF_cucumber)),".")</f>
        <v>1571.0487759978625</v>
      </c>
      <c r="BN14" s="15">
        <f>IFERROR((s_dir!AN14/(d_Bv!M14+s_MLF_lettuce)),".")</f>
        <v>1571.0487759978625</v>
      </c>
      <c r="BO14" s="15">
        <f>IFERROR((s_dir!AO14/(d_Bv!N14+s_MLF_lima_bean)),".")</f>
        <v>1571.0487759978625</v>
      </c>
      <c r="BP14" s="15">
        <f>IFERROR((s_dir!AP14/(d_Bv!O14+s_MLF_okra)),".")</f>
        <v>1571.0487759978625</v>
      </c>
      <c r="BQ14" s="15">
        <f>IFERROR((s_dir!AQ14/(d_Bv!P14+s_MLF_onion)),".")</f>
        <v>1571.0487759978625</v>
      </c>
      <c r="BR14" s="15">
        <f>IFERROR((s_dir!AR14/(d_Bv!Q14+s_MLF_peach)),".")</f>
        <v>1571.0487759978625</v>
      </c>
      <c r="BS14" s="15">
        <f>IFERROR((s_dir!AS14/(d_Bv!R14+s_MLF_pear)),".")</f>
        <v>1571.0487759978625</v>
      </c>
      <c r="BT14" s="15">
        <f>IFERROR((s_dir!AT14/(d_Bv!S14+s_MLF_peas)),".")</f>
        <v>1571.0487759978625</v>
      </c>
      <c r="BU14" s="15">
        <f>IFERROR((s_dir!AU14/(d_Bv!T14+s_MLF_peppers)),".")</f>
        <v>1571.0487759978625</v>
      </c>
      <c r="BV14" s="15">
        <f>IFERROR((s_dir!AV14/(d_Bv!U14+s_MLF_potato)),".")</f>
        <v>1571.0487759978625</v>
      </c>
      <c r="BW14" s="15">
        <f>IFERROR((s_dir!AW14/(d_Bv!V14+s_MLF_pumpkin)),".")</f>
        <v>1571.0487759978625</v>
      </c>
      <c r="BX14" s="15">
        <f>IFERROR((s_dir!AX14/(d_Bv!W14+s_MLF_snap_bean)),".")</f>
        <v>1571.0487759978625</v>
      </c>
      <c r="BY14" s="15">
        <f>IFERROR((s_dir!AY14/(d_Bv!X14+s_MLF_strawberry)),".")</f>
        <v>1571.0487759978625</v>
      </c>
      <c r="BZ14" s="15">
        <f>IFERROR((s_dir!AZ14/(d_Bv!Y14+s_MLF_tomato)),".")</f>
        <v>1571.0487759978625</v>
      </c>
      <c r="CA14" s="15">
        <f>IFERROR((s_dir!BA14/(d_Bv!Z14+s_MLF_rice)),".")</f>
        <v>1571.0487759978625</v>
      </c>
      <c r="CB14" s="15">
        <f>IFERROR((s_dir!BB14/(d_Bv!AA14+s_MLF_cereal)),".")</f>
        <v>1571.0487759978625</v>
      </c>
      <c r="CC14" s="40">
        <f t="shared" si="3"/>
        <v>14217.5</v>
      </c>
      <c r="CD14" s="40">
        <f>IFERROR(s_C*(d_Bv!C14+s_MLF_apple)*s_IFAP_far_adj*s_CF_apple,".")</f>
        <v>3554.375</v>
      </c>
      <c r="CE14" s="40">
        <f>IFERROR(s_C*(d_Bv!D14+s_MLF_asparagus)*s_IFAS_far_adj*s_CF_asparagus,".")</f>
        <v>3554.375</v>
      </c>
      <c r="CF14" s="40">
        <f>IFERROR(s_C*(d_Bv!E14+s_MLF_beet)*s_IFBT_far_adj*s_CF_beet,".")</f>
        <v>3554.375</v>
      </c>
      <c r="CG14" s="40">
        <f>IFERROR(s_C*(d_Bv!F14+s_MLF_berries)*s_IFBR_far_adj*s_CF_berries,".")</f>
        <v>3554.375</v>
      </c>
      <c r="CH14" s="40">
        <f>IFERROR(s_C*(d_Bv!G14+s_MLF_broccoli)*s_IFBR_far_adj*s_CF_broccoli,".")</f>
        <v>3554.375</v>
      </c>
      <c r="CI14" s="40">
        <f>IFERROR(s_C*(d_Bv!H14+s_MLF_cabbage)*s_IFCB_far_adj*s_CF_cabbage,".")</f>
        <v>3554.375</v>
      </c>
      <c r="CJ14" s="40">
        <f>IFERROR(s_C*(d_Bv!I14+s_MLF_carrot)*s_IFCR_far_adj*s_CF_carrot,".")</f>
        <v>3554.375</v>
      </c>
      <c r="CK14" s="40">
        <f>IFERROR(s_C*(d_Bv!J14+s_MLF_citrus)*s_IFCI_far_adj*s_CF_citrus,".")</f>
        <v>3554.375</v>
      </c>
      <c r="CL14" s="40">
        <f>IFERROR(s_C*(d_Bv!K14+s_MLF_corn)*s_IFCO_far_adj*s_CF_corn,".")</f>
        <v>3554.375</v>
      </c>
      <c r="CM14" s="40">
        <f>IFERROR(s_C*(d_Bv!L14+s_MLF_cucumber)*s_IFCU_far_adj*s_CF_cucumber,".")</f>
        <v>3554.375</v>
      </c>
      <c r="CN14" s="40">
        <f>IFERROR(s_C*(d_Bv!M14+s_MLF_lettuce)*s_IFLE_far_adj*s_CF_lettuce,".")</f>
        <v>3554.375</v>
      </c>
      <c r="CO14" s="40">
        <f>IFERROR(s_C*(d_Bv!N14+s_MLF_lima_bean)*s_IFLI_far_adj*s_CF_lima_bean,".")</f>
        <v>3554.375</v>
      </c>
      <c r="CP14" s="40">
        <f>IFERROR(s_C*(d_Bv!O14+s_MLF_okra)*s_IFOK_far_adj*s_CF_okra,".")</f>
        <v>3554.375</v>
      </c>
      <c r="CQ14" s="40">
        <f>IFERROR(s_C*(d_Bv!P14+s_MLF_onion)*s_IFON_far_adj*s_CF_onion,".")</f>
        <v>3554.375</v>
      </c>
      <c r="CR14" s="40">
        <f>IFERROR(s_C*(d_Bv!Q14+s_MLF_peach)*s_IFPC_far_adj*s_CF_peach,".")</f>
        <v>3554.375</v>
      </c>
      <c r="CS14" s="40">
        <f>IFERROR(s_C*(d_Bv!R14+s_MLF_pear)*s_IFPR_far_adj*s_CF_pear,".")</f>
        <v>3554.375</v>
      </c>
      <c r="CT14" s="40">
        <f>IFERROR(s_C*(d_Bv!S14+s_MLF_peas)*s_IFPE_far_adj*s_CF_peas,".")</f>
        <v>3554.375</v>
      </c>
      <c r="CU14" s="40">
        <f>IFERROR(s_C*(d_Bv!T14+s_MLF_peppers)*s_IFPP_far_adj*s_CF_peppers,".")</f>
        <v>3554.375</v>
      </c>
      <c r="CV14" s="40">
        <f>IFERROR(s_C*(d_Bv!U14+s_MLF_potato)*s_IFPT_far_adj*s_CF_potato,".")</f>
        <v>3554.375</v>
      </c>
      <c r="CW14" s="40">
        <f>IFERROR(s_C*(d_Bv!V14+s_MLF_pumpkin)*s_IFPU_far_adj*s_CF_pumpkin,".")</f>
        <v>3554.375</v>
      </c>
      <c r="CX14" s="40">
        <f>IFERROR(s_C*(d_Bv!W14+s_MLF_snap_bean)*s_IFSN_far_adj*s_CF_snap_bean,".")</f>
        <v>3554.375</v>
      </c>
      <c r="CY14" s="40">
        <f>IFERROR(s_C*(d_Bv!X14+s_MLF_strawberry)*s_IFST_far_adj*s_CF_strawberry,".")</f>
        <v>3554.375</v>
      </c>
      <c r="CZ14" s="40">
        <f>IFERROR(s_C*(d_Bv!Y14+s_MLF_tomato)*s_IFTO_far_adj*s_CF_tomato,".")</f>
        <v>3554.375</v>
      </c>
      <c r="DA14" s="40">
        <f>IFERROR(s_C*(d_Bv!Z14+s_MLF_rice)*s_IFRI_far_adj*s_CF_rice,".")</f>
        <v>3554.375</v>
      </c>
      <c r="DB14" s="40">
        <f>IFERROR(s_C*(d_Bv!AA14+s_MLF_cereal)*s_IFCG_far_adj*s_CF_cereal,".")</f>
        <v>3554.375</v>
      </c>
    </row>
    <row r="15" spans="1:106" ht="15" customHeight="1" x14ac:dyDescent="0.25">
      <c r="A15" s="44" t="s">
        <v>25</v>
      </c>
      <c r="B15" s="42" t="s">
        <v>1071</v>
      </c>
      <c r="C15" s="15">
        <f t="shared" si="0"/>
        <v>10504.668242974389</v>
      </c>
      <c r="D15" s="15">
        <f>IFERROR((s_dir!D15/(d_Bv!C15+s_MLF_apple)),".")</f>
        <v>40360.276410985425</v>
      </c>
      <c r="E15" s="15">
        <f>IFERROR((s_dir!E15/(d_Bv!D15+s_MLF_asparagus)),".")</f>
        <v>10144.026691531097</v>
      </c>
      <c r="F15" s="15">
        <f>IFERROR((s_dir!F15/(d_Bv!E15+s_MLF_beet)),".")</f>
        <v>33279.526163444127</v>
      </c>
      <c r="G15" s="15">
        <f>IFERROR((s_dir!G15/(d_Bv!F15+s_MLF_berries)),".")</f>
        <v>40360.276410985425</v>
      </c>
      <c r="H15" s="15">
        <f>IFERROR((s_dir!H15/(d_Bv!G15+s_MLF_broccoli)),".")</f>
        <v>33279.526163444127</v>
      </c>
      <c r="I15" s="15">
        <f>IFERROR((s_dir!I15/(d_Bv!H15+s_MLF_cabbage)),".")</f>
        <v>10144.026691531097</v>
      </c>
      <c r="J15" s="15">
        <f>IFERROR((s_dir!J15/(d_Bv!I15+s_MLF_carrot)),".")</f>
        <v>33279.526163444127</v>
      </c>
      <c r="K15" s="15">
        <f>IFERROR((s_dir!K15/(d_Bv!J15+s_MLF_citrus)),".")</f>
        <v>40360.276410985425</v>
      </c>
      <c r="L15" s="15">
        <f>IFERROR((s_dir!L15/(d_Bv!K15+s_MLF_corn)),".")</f>
        <v>64521.530316881472</v>
      </c>
      <c r="M15" s="15">
        <f>IFERROR((s_dir!M15/(d_Bv!L15+s_MLF_cucumber)),".")</f>
        <v>33279.526163444127</v>
      </c>
      <c r="N15" s="15">
        <f>IFERROR((s_dir!N15/(d_Bv!M15+s_MLF_lettuce)),".")</f>
        <v>10144.026691531097</v>
      </c>
      <c r="O15" s="15">
        <f>IFERROR((s_dir!O15/(d_Bv!N15+s_MLF_lima_bean)),".")</f>
        <v>50450.34551373178</v>
      </c>
      <c r="P15" s="15">
        <f>IFERROR((s_dir!P15/(d_Bv!O15+s_MLF_okra)),".")</f>
        <v>33279.526163444127</v>
      </c>
      <c r="Q15" s="15">
        <f>IFERROR((s_dir!Q15/(d_Bv!P15+s_MLF_onion)),".")</f>
        <v>33279.526163444127</v>
      </c>
      <c r="R15" s="15">
        <f>IFERROR((s_dir!R15/(d_Bv!Q15+s_MLF_peach)),".")</f>
        <v>40360.276410985425</v>
      </c>
      <c r="S15" s="15">
        <f>IFERROR((s_dir!S15/(d_Bv!R15+s_MLF_pear)),".")</f>
        <v>40360.276410985425</v>
      </c>
      <c r="T15" s="15">
        <f>IFERROR((s_dir!T15/(d_Bv!S15+s_MLF_peas)),".")</f>
        <v>50450.34551373178</v>
      </c>
      <c r="U15" s="15">
        <f>IFERROR((s_dir!U15/(d_Bv!T15+s_MLF_peppers)),".")</f>
        <v>33279.526163444127</v>
      </c>
      <c r="V15" s="15">
        <f>IFERROR((s_dir!V15/(d_Bv!U15+s_MLF_potato)),".")</f>
        <v>63231.099710543836</v>
      </c>
      <c r="W15" s="15">
        <f>IFERROR((s_dir!W15/(d_Bv!V15+s_MLF_pumpkin)),".")</f>
        <v>33279.526163444127</v>
      </c>
      <c r="X15" s="15">
        <f>IFERROR((s_dir!X15/(d_Bv!W15+s_MLF_snap_bean)),".")</f>
        <v>50450.34551373178</v>
      </c>
      <c r="Y15" s="15">
        <f>IFERROR((s_dir!Y15/(d_Bv!X15+s_MLF_strawberry)),".")</f>
        <v>40360.276410985425</v>
      </c>
      <c r="Z15" s="15">
        <f>IFERROR((s_dir!Z15/(d_Bv!Y15+s_MLF_tomato)),".")</f>
        <v>33279.526163444127</v>
      </c>
      <c r="AA15" s="15">
        <f>IFERROR((s_dir!AA15/(d_Bv!Z15+s_MLF_rice)),".")</f>
        <v>68779.296276878726</v>
      </c>
      <c r="AB15" s="15">
        <f>IFERROR((s_dir!AB15/(d_Bv!AA15+s_MLF_cereal)),".")</f>
        <v>38712.918190128876</v>
      </c>
      <c r="AC15" s="40">
        <f t="shared" si="1"/>
        <v>13656.362499999999</v>
      </c>
      <c r="AD15" s="40">
        <f>s_C*(d_Bv!C15+s_MLF_apple)*s_IFAP_res_adj*s_CF_apple</f>
        <v>3554.375</v>
      </c>
      <c r="AE15" s="40">
        <f>s_C*(d_Bv!D15+s_MLF_asparagus)*s_IFAS_res_adj*s_CF_asparagus</f>
        <v>14141.875</v>
      </c>
      <c r="AF15" s="40">
        <f>s_C*(d_Bv!E15+s_MLF_beet)*s_IFBT_res_adj*s_CF_beet</f>
        <v>4310.625</v>
      </c>
      <c r="AG15" s="40">
        <f>s_C*(d_Bv!F15+s_MLF_berries)*s_IFBE_res_adj*s_CF_berries</f>
        <v>3554.375</v>
      </c>
      <c r="AH15" s="40">
        <f>s_C*(d_Bv!G15+s_MLF_broccoli)*s_IFBR_res_adj*s_CF_broccoli</f>
        <v>4310.625</v>
      </c>
      <c r="AI15" s="40">
        <f>s_C*(d_Bv!H15+s_MLF_cabbage)*s_IFCB_res_adj*s_CF_cabbage</f>
        <v>14141.875</v>
      </c>
      <c r="AJ15" s="40">
        <f>s_C*(d_Bv!I15+s_MLF_carrot)*s_IFCR_res_adj*s_CF_carrot</f>
        <v>4310.625</v>
      </c>
      <c r="AK15" s="40">
        <f>s_C*(d_Bv!J15+s_MLF_citrus)*s_IFCI_res_adj*s_CF_citrus</f>
        <v>3554.375</v>
      </c>
      <c r="AL15" s="40">
        <f>s_C*(d_Bv!K15+s_MLF_corn)*s_IFCO_res_adj*s_CF_corn</f>
        <v>2223.375</v>
      </c>
      <c r="AM15" s="40">
        <f>s_C*(d_Bv!L15+s_MLF_cucumber)*s_IFCU_res_adj*s_CF_cucumber</f>
        <v>4310.625</v>
      </c>
      <c r="AN15" s="40">
        <f>s_C*(d_Bv!M15+s_MLF_lettuce)*s_IFLE_res_adj*s_CF_lettuce</f>
        <v>14141.875</v>
      </c>
      <c r="AO15" s="40">
        <f>s_C*(d_Bv!N15+s_MLF_lima_bean)*s_IFLI_res_adj*s_CF_lima_bean</f>
        <v>2843.5</v>
      </c>
      <c r="AP15" s="40">
        <f>s_C*(d_Bv!O15+s_MLF_okra)*s_IFOK_res_adj*s_CF_okra</f>
        <v>4310.625</v>
      </c>
      <c r="AQ15" s="40">
        <f>s_C*(d_Bv!P15+s_MLF_onion)*s_IFON_res_adj*s_CF_onion</f>
        <v>4310.625</v>
      </c>
      <c r="AR15" s="40">
        <f>s_C*(d_Bv!Q15+s_MLF_peach)*s_IFPC_res_adj*s_CF_peach</f>
        <v>3554.375</v>
      </c>
      <c r="AS15" s="40">
        <f>s_C*(d_Bv!R15+s_MLF_pear)*s_IFPR_res_adj*s_CF_pear</f>
        <v>3554.375</v>
      </c>
      <c r="AT15" s="40">
        <f>s_C*(d_Bv!S15+s_MLF_peas)*s_IFPE_res_adj*s_CF_peas</f>
        <v>2843.5</v>
      </c>
      <c r="AU15" s="40">
        <f>s_C*(d_Bv!T15+s_MLF_peppers)*s_IFPP_res_adj*s_CF_peppers</f>
        <v>4310.625</v>
      </c>
      <c r="AV15" s="40">
        <f>s_C*(d_Bv!U15+s_MLF_potato)*s_IFPT_res_adj*s_CF_potato</f>
        <v>2268.75</v>
      </c>
      <c r="AW15" s="40">
        <f>s_C*(d_Bv!V15+s_MLF_pumpkin)*s_IFPU_res_adj*s_CF_pumpkin</f>
        <v>4310.625</v>
      </c>
      <c r="AX15" s="40">
        <f>s_C*(d_Bv!W15+s_MLF_snap_bean)*s_IFSN_res_adj*s_CF_snap_bean</f>
        <v>2843.5</v>
      </c>
      <c r="AY15" s="40">
        <f>s_C*(d_Bv!X15+s_MLF_strawberry)*s_IFST_res_adj*s_CF_strawberry</f>
        <v>3554.375</v>
      </c>
      <c r="AZ15" s="40">
        <f>s_C*(d_Bv!Y15+s_MLF_tomato)*s_IFTO_res_adj*s_CF_tomato</f>
        <v>4310.625</v>
      </c>
      <c r="BA15" s="40">
        <f>s_C*(d_Bv!Z15+s_MLF_rice)*s_IFRI_res_adj*s_CF_rice</f>
        <v>2085.7374999999997</v>
      </c>
      <c r="BB15" s="40">
        <f>s_C*(d_Bv!AA15+s_MLF_cereal)*s_IFCG_res_adj*s_CF_cereal</f>
        <v>3705.625</v>
      </c>
      <c r="BC15" s="15">
        <f t="shared" si="2"/>
        <v>10504.668242974389</v>
      </c>
      <c r="BD15" s="15">
        <f>IFERROR((s_dir!AD15/(d_Bv!C15+s_MLF_apple)),".")</f>
        <v>40360.276410985425</v>
      </c>
      <c r="BE15" s="15">
        <f>IFERROR((s_dir!AE15/(d_Bv!D15+s_MLF_asparagus)),".")</f>
        <v>10144.026691531097</v>
      </c>
      <c r="BF15" s="15">
        <f>IFERROR((s_dir!AF15/(d_Bv!E15+s_MLF_beet)),".")</f>
        <v>33279.526163444127</v>
      </c>
      <c r="BG15" s="15">
        <f>IFERROR((s_dir!AG15/(d_Bv!F15+s_MLF_berries)),".")</f>
        <v>40360.276410985425</v>
      </c>
      <c r="BH15" s="15">
        <f>IFERROR((s_dir!AH15/(d_Bv!G15+s_MLF_broccoli)),".")</f>
        <v>33279.526163444127</v>
      </c>
      <c r="BI15" s="15">
        <f>IFERROR((s_dir!AI15/(d_Bv!H15+s_MLF_cabbage)),".")</f>
        <v>10144.026691531097</v>
      </c>
      <c r="BJ15" s="15">
        <f>IFERROR((s_dir!AJ15/(d_Bv!I15+s_MLF_carrot)),".")</f>
        <v>33279.526163444127</v>
      </c>
      <c r="BK15" s="15">
        <f>IFERROR((s_dir!AK15/(d_Bv!J15+s_MLF_citrus)),".")</f>
        <v>40360.276410985425</v>
      </c>
      <c r="BL15" s="15">
        <f>IFERROR((s_dir!AL15/(d_Bv!K15+s_MLF_corn)),".")</f>
        <v>64521.530316881472</v>
      </c>
      <c r="BM15" s="15">
        <f>IFERROR((s_dir!AM15/(d_Bv!L15+s_MLF_cucumber)),".")</f>
        <v>33279.526163444127</v>
      </c>
      <c r="BN15" s="15">
        <f>IFERROR((s_dir!AN15/(d_Bv!M15+s_MLF_lettuce)),".")</f>
        <v>10144.026691531097</v>
      </c>
      <c r="BO15" s="15">
        <f>IFERROR((s_dir!AO15/(d_Bv!N15+s_MLF_lima_bean)),".")</f>
        <v>50450.34551373178</v>
      </c>
      <c r="BP15" s="15">
        <f>IFERROR((s_dir!AP15/(d_Bv!O15+s_MLF_okra)),".")</f>
        <v>33279.526163444127</v>
      </c>
      <c r="BQ15" s="15">
        <f>IFERROR((s_dir!AQ15/(d_Bv!P15+s_MLF_onion)),".")</f>
        <v>33279.526163444127</v>
      </c>
      <c r="BR15" s="15">
        <f>IFERROR((s_dir!AR15/(d_Bv!Q15+s_MLF_peach)),".")</f>
        <v>40360.276410985425</v>
      </c>
      <c r="BS15" s="15">
        <f>IFERROR((s_dir!AS15/(d_Bv!R15+s_MLF_pear)),".")</f>
        <v>40360.276410985425</v>
      </c>
      <c r="BT15" s="15">
        <f>IFERROR((s_dir!AT15/(d_Bv!S15+s_MLF_peas)),".")</f>
        <v>50450.34551373178</v>
      </c>
      <c r="BU15" s="15">
        <f>IFERROR((s_dir!AU15/(d_Bv!T15+s_MLF_peppers)),".")</f>
        <v>33279.526163444127</v>
      </c>
      <c r="BV15" s="15">
        <f>IFERROR((s_dir!AV15/(d_Bv!U15+s_MLF_potato)),".")</f>
        <v>63231.099710543836</v>
      </c>
      <c r="BW15" s="15">
        <f>IFERROR((s_dir!AW15/(d_Bv!V15+s_MLF_pumpkin)),".")</f>
        <v>33279.526163444127</v>
      </c>
      <c r="BX15" s="15">
        <f>IFERROR((s_dir!AX15/(d_Bv!W15+s_MLF_snap_bean)),".")</f>
        <v>50450.34551373178</v>
      </c>
      <c r="BY15" s="15">
        <f>IFERROR((s_dir!AY15/(d_Bv!X15+s_MLF_strawberry)),".")</f>
        <v>40360.276410985425</v>
      </c>
      <c r="BZ15" s="15">
        <f>IFERROR((s_dir!AZ15/(d_Bv!Y15+s_MLF_tomato)),".")</f>
        <v>33279.526163444127</v>
      </c>
      <c r="CA15" s="15">
        <f>IFERROR((s_dir!BA15/(d_Bv!Z15+s_MLF_rice)),".")</f>
        <v>68779.296276878726</v>
      </c>
      <c r="CB15" s="15">
        <f>IFERROR((s_dir!BB15/(d_Bv!AA15+s_MLF_cereal)),".")</f>
        <v>38712.918190128876</v>
      </c>
      <c r="CC15" s="40">
        <f t="shared" si="3"/>
        <v>13656.362499999999</v>
      </c>
      <c r="CD15" s="40">
        <f>IFERROR(s_C*(d_Bv!C15+s_MLF_apple)*s_IFAP_far_adj*s_CF_apple,".")</f>
        <v>3554.375</v>
      </c>
      <c r="CE15" s="40">
        <f>IFERROR(s_C*(d_Bv!D15+s_MLF_asparagus)*s_IFAS_far_adj*s_CF_asparagus,".")</f>
        <v>14141.875</v>
      </c>
      <c r="CF15" s="40">
        <f>IFERROR(s_C*(d_Bv!E15+s_MLF_beet)*s_IFBT_far_adj*s_CF_beet,".")</f>
        <v>4310.625</v>
      </c>
      <c r="CG15" s="40">
        <f>IFERROR(s_C*(d_Bv!F15+s_MLF_berries)*s_IFBR_far_adj*s_CF_berries,".")</f>
        <v>3554.375</v>
      </c>
      <c r="CH15" s="40">
        <f>IFERROR(s_C*(d_Bv!G15+s_MLF_broccoli)*s_IFBR_far_adj*s_CF_broccoli,".")</f>
        <v>4310.625</v>
      </c>
      <c r="CI15" s="40">
        <f>IFERROR(s_C*(d_Bv!H15+s_MLF_cabbage)*s_IFCB_far_adj*s_CF_cabbage,".")</f>
        <v>14141.875</v>
      </c>
      <c r="CJ15" s="40">
        <f>IFERROR(s_C*(d_Bv!I15+s_MLF_carrot)*s_IFCR_far_adj*s_CF_carrot,".")</f>
        <v>4310.625</v>
      </c>
      <c r="CK15" s="40">
        <f>IFERROR(s_C*(d_Bv!J15+s_MLF_citrus)*s_IFCI_far_adj*s_CF_citrus,".")</f>
        <v>3554.375</v>
      </c>
      <c r="CL15" s="40">
        <f>IFERROR(s_C*(d_Bv!K15+s_MLF_corn)*s_IFCO_far_adj*s_CF_corn,".")</f>
        <v>2223.375</v>
      </c>
      <c r="CM15" s="40">
        <f>IFERROR(s_C*(d_Bv!L15+s_MLF_cucumber)*s_IFCU_far_adj*s_CF_cucumber,".")</f>
        <v>4310.625</v>
      </c>
      <c r="CN15" s="40">
        <f>IFERROR(s_C*(d_Bv!M15+s_MLF_lettuce)*s_IFLE_far_adj*s_CF_lettuce,".")</f>
        <v>14141.875</v>
      </c>
      <c r="CO15" s="40">
        <f>IFERROR(s_C*(d_Bv!N15+s_MLF_lima_bean)*s_IFLI_far_adj*s_CF_lima_bean,".")</f>
        <v>2843.5</v>
      </c>
      <c r="CP15" s="40">
        <f>IFERROR(s_C*(d_Bv!O15+s_MLF_okra)*s_IFOK_far_adj*s_CF_okra,".")</f>
        <v>4310.625</v>
      </c>
      <c r="CQ15" s="40">
        <f>IFERROR(s_C*(d_Bv!P15+s_MLF_onion)*s_IFON_far_adj*s_CF_onion,".")</f>
        <v>4310.625</v>
      </c>
      <c r="CR15" s="40">
        <f>IFERROR(s_C*(d_Bv!Q15+s_MLF_peach)*s_IFPC_far_adj*s_CF_peach,".")</f>
        <v>3554.375</v>
      </c>
      <c r="CS15" s="40">
        <f>IFERROR(s_C*(d_Bv!R15+s_MLF_pear)*s_IFPR_far_adj*s_CF_pear,".")</f>
        <v>3554.375</v>
      </c>
      <c r="CT15" s="40">
        <f>IFERROR(s_C*(d_Bv!S15+s_MLF_peas)*s_IFPE_far_adj*s_CF_peas,".")</f>
        <v>2843.5</v>
      </c>
      <c r="CU15" s="40">
        <f>IFERROR(s_C*(d_Bv!T15+s_MLF_peppers)*s_IFPP_far_adj*s_CF_peppers,".")</f>
        <v>4310.625</v>
      </c>
      <c r="CV15" s="40">
        <f>IFERROR(s_C*(d_Bv!U15+s_MLF_potato)*s_IFPT_far_adj*s_CF_potato,".")</f>
        <v>2268.75</v>
      </c>
      <c r="CW15" s="40">
        <f>IFERROR(s_C*(d_Bv!V15+s_MLF_pumpkin)*s_IFPU_far_adj*s_CF_pumpkin,".")</f>
        <v>4310.625</v>
      </c>
      <c r="CX15" s="40">
        <f>IFERROR(s_C*(d_Bv!W15+s_MLF_snap_bean)*s_IFSN_far_adj*s_CF_snap_bean,".")</f>
        <v>2843.5</v>
      </c>
      <c r="CY15" s="40">
        <f>IFERROR(s_C*(d_Bv!X15+s_MLF_strawberry)*s_IFST_far_adj*s_CF_strawberry,".")</f>
        <v>3554.375</v>
      </c>
      <c r="CZ15" s="40">
        <f>IFERROR(s_C*(d_Bv!Y15+s_MLF_tomato)*s_IFTO_far_adj*s_CF_tomato,".")</f>
        <v>4310.625</v>
      </c>
      <c r="DA15" s="40">
        <f>IFERROR(s_C*(d_Bv!Z15+s_MLF_rice)*s_IFRI_far_adj*s_CF_rice,".")</f>
        <v>2085.7374999999997</v>
      </c>
      <c r="DB15" s="40">
        <f>IFERROR(s_C*(d_Bv!AA15+s_MLF_cereal)*s_IFCG_far_adj*s_CF_cereal,".")</f>
        <v>3705.625</v>
      </c>
    </row>
    <row r="16" spans="1:106" ht="15" customHeight="1" x14ac:dyDescent="0.25">
      <c r="A16" s="44" t="s">
        <v>26</v>
      </c>
      <c r="B16" s="42" t="s">
        <v>1071</v>
      </c>
      <c r="C16" s="15">
        <f t="shared" si="0"/>
        <v>3.1117602153716586</v>
      </c>
      <c r="D16" s="15">
        <f>IFERROR((s_dir!D16/(d_Bv!C16+s_MLF_apple)),".")</f>
        <v>11.955779993442853</v>
      </c>
      <c r="E16" s="15">
        <f>IFERROR((s_dir!E16/(d_Bv!D16+s_MLF_asparagus)),".")</f>
        <v>3.0049286614535511</v>
      </c>
      <c r="F16" s="15">
        <f>IFERROR((s_dir!F16/(d_Bv!E16+s_MLF_beet)),".")</f>
        <v>9.8582747314353352</v>
      </c>
      <c r="G16" s="15">
        <f>IFERROR((s_dir!G16/(d_Bv!F16+s_MLF_berries)),".")</f>
        <v>11.955779993442853</v>
      </c>
      <c r="H16" s="15">
        <f>IFERROR((s_dir!H16/(d_Bv!G16+s_MLF_broccoli)),".")</f>
        <v>9.8582747314353352</v>
      </c>
      <c r="I16" s="15">
        <f>IFERROR((s_dir!I16/(d_Bv!H16+s_MLF_cabbage)),".")</f>
        <v>3.0049286614535511</v>
      </c>
      <c r="J16" s="15">
        <f>IFERROR((s_dir!J16/(d_Bv!I16+s_MLF_carrot)),".")</f>
        <v>9.8582747314353352</v>
      </c>
      <c r="K16" s="15">
        <f>IFERROR((s_dir!K16/(d_Bv!J16+s_MLF_citrus)),".")</f>
        <v>11.955779993442853</v>
      </c>
      <c r="L16" s="15">
        <f>IFERROR((s_dir!L16/(d_Bv!K16+s_MLF_corn)),".")</f>
        <v>19.112981622170548</v>
      </c>
      <c r="M16" s="15">
        <f>IFERROR((s_dir!M16/(d_Bv!L16+s_MLF_cucumber)),".")</f>
        <v>9.8582747314353352</v>
      </c>
      <c r="N16" s="15">
        <f>IFERROR((s_dir!N16/(d_Bv!M16+s_MLF_lettuce)),".")</f>
        <v>3.0049286614535511</v>
      </c>
      <c r="O16" s="15">
        <f>IFERROR((s_dir!O16/(d_Bv!N16+s_MLF_lima_bean)),".")</f>
        <v>14.944724991803565</v>
      </c>
      <c r="P16" s="15">
        <f>IFERROR((s_dir!P16/(d_Bv!O16+s_MLF_okra)),".")</f>
        <v>9.8582747314353352</v>
      </c>
      <c r="Q16" s="15">
        <f>IFERROR((s_dir!Q16/(d_Bv!P16+s_MLF_onion)),".")</f>
        <v>9.8582747314353352</v>
      </c>
      <c r="R16" s="15">
        <f>IFERROR((s_dir!R16/(d_Bv!Q16+s_MLF_peach)),".")</f>
        <v>11.955779993442853</v>
      </c>
      <c r="S16" s="15">
        <f>IFERROR((s_dir!S16/(d_Bv!R16+s_MLF_pear)),".")</f>
        <v>11.955779993442853</v>
      </c>
      <c r="T16" s="15">
        <f>IFERROR((s_dir!T16/(d_Bv!S16+s_MLF_peas)),".")</f>
        <v>14.944724991803565</v>
      </c>
      <c r="U16" s="15">
        <f>IFERROR((s_dir!U16/(d_Bv!T16+s_MLF_peppers)),".")</f>
        <v>9.8582747314353352</v>
      </c>
      <c r="V16" s="15">
        <f>IFERROR((s_dir!V16/(d_Bv!U16+s_MLF_potato)),".")</f>
        <v>18.730721989727137</v>
      </c>
      <c r="W16" s="15">
        <f>IFERROR((s_dir!W16/(d_Bv!V16+s_MLF_pumpkin)),".")</f>
        <v>9.8582747314353352</v>
      </c>
      <c r="X16" s="15">
        <f>IFERROR((s_dir!X16/(d_Bv!W16+s_MLF_snap_bean)),".")</f>
        <v>14.944724991803565</v>
      </c>
      <c r="Y16" s="15">
        <f>IFERROR((s_dir!Y16/(d_Bv!X16+s_MLF_strawberry)),".")</f>
        <v>11.955779993442853</v>
      </c>
      <c r="Z16" s="15">
        <f>IFERROR((s_dir!Z16/(d_Bv!Y16+s_MLF_tomato)),".")</f>
        <v>9.8582747314353352</v>
      </c>
      <c r="AA16" s="15">
        <f>IFERROR((s_dir!AA16/(d_Bv!Z16+s_MLF_rice)),".")</f>
        <v>20.374244368811244</v>
      </c>
      <c r="AB16" s="15">
        <f>IFERROR((s_dir!AB16/(d_Bv!AA16+s_MLF_cereal)),".")</f>
        <v>11.467788973302328</v>
      </c>
      <c r="AC16" s="40">
        <f t="shared" si="1"/>
        <v>13656.362499999999</v>
      </c>
      <c r="AD16" s="40">
        <f>s_C*(d_Bv!C16+s_MLF_apple)*s_IFAP_res_adj*s_CF_apple</f>
        <v>3554.375</v>
      </c>
      <c r="AE16" s="40">
        <f>s_C*(d_Bv!D16+s_MLF_asparagus)*s_IFAS_res_adj*s_CF_asparagus</f>
        <v>14141.875</v>
      </c>
      <c r="AF16" s="40">
        <f>s_C*(d_Bv!E16+s_MLF_beet)*s_IFBT_res_adj*s_CF_beet</f>
        <v>4310.625</v>
      </c>
      <c r="AG16" s="40">
        <f>s_C*(d_Bv!F16+s_MLF_berries)*s_IFBE_res_adj*s_CF_berries</f>
        <v>3554.375</v>
      </c>
      <c r="AH16" s="40">
        <f>s_C*(d_Bv!G16+s_MLF_broccoli)*s_IFBR_res_adj*s_CF_broccoli</f>
        <v>4310.625</v>
      </c>
      <c r="AI16" s="40">
        <f>s_C*(d_Bv!H16+s_MLF_cabbage)*s_IFCB_res_adj*s_CF_cabbage</f>
        <v>14141.875</v>
      </c>
      <c r="AJ16" s="40">
        <f>s_C*(d_Bv!I16+s_MLF_carrot)*s_IFCR_res_adj*s_CF_carrot</f>
        <v>4310.625</v>
      </c>
      <c r="AK16" s="40">
        <f>s_C*(d_Bv!J16+s_MLF_citrus)*s_IFCI_res_adj*s_CF_citrus</f>
        <v>3554.375</v>
      </c>
      <c r="AL16" s="40">
        <f>s_C*(d_Bv!K16+s_MLF_corn)*s_IFCO_res_adj*s_CF_corn</f>
        <v>2223.375</v>
      </c>
      <c r="AM16" s="40">
        <f>s_C*(d_Bv!L16+s_MLF_cucumber)*s_IFCU_res_adj*s_CF_cucumber</f>
        <v>4310.625</v>
      </c>
      <c r="AN16" s="40">
        <f>s_C*(d_Bv!M16+s_MLF_lettuce)*s_IFLE_res_adj*s_CF_lettuce</f>
        <v>14141.875</v>
      </c>
      <c r="AO16" s="40">
        <f>s_C*(d_Bv!N16+s_MLF_lima_bean)*s_IFLI_res_adj*s_CF_lima_bean</f>
        <v>2843.5</v>
      </c>
      <c r="AP16" s="40">
        <f>s_C*(d_Bv!O16+s_MLF_okra)*s_IFOK_res_adj*s_CF_okra</f>
        <v>4310.625</v>
      </c>
      <c r="AQ16" s="40">
        <f>s_C*(d_Bv!P16+s_MLF_onion)*s_IFON_res_adj*s_CF_onion</f>
        <v>4310.625</v>
      </c>
      <c r="AR16" s="40">
        <f>s_C*(d_Bv!Q16+s_MLF_peach)*s_IFPC_res_adj*s_CF_peach</f>
        <v>3554.375</v>
      </c>
      <c r="AS16" s="40">
        <f>s_C*(d_Bv!R16+s_MLF_pear)*s_IFPR_res_adj*s_CF_pear</f>
        <v>3554.375</v>
      </c>
      <c r="AT16" s="40">
        <f>s_C*(d_Bv!S16+s_MLF_peas)*s_IFPE_res_adj*s_CF_peas</f>
        <v>2843.5</v>
      </c>
      <c r="AU16" s="40">
        <f>s_C*(d_Bv!T16+s_MLF_peppers)*s_IFPP_res_adj*s_CF_peppers</f>
        <v>4310.625</v>
      </c>
      <c r="AV16" s="40">
        <f>s_C*(d_Bv!U16+s_MLF_potato)*s_IFPT_res_adj*s_CF_potato</f>
        <v>2268.75</v>
      </c>
      <c r="AW16" s="40">
        <f>s_C*(d_Bv!V16+s_MLF_pumpkin)*s_IFPU_res_adj*s_CF_pumpkin</f>
        <v>4310.625</v>
      </c>
      <c r="AX16" s="40">
        <f>s_C*(d_Bv!W16+s_MLF_snap_bean)*s_IFSN_res_adj*s_CF_snap_bean</f>
        <v>2843.5</v>
      </c>
      <c r="AY16" s="40">
        <f>s_C*(d_Bv!X16+s_MLF_strawberry)*s_IFST_res_adj*s_CF_strawberry</f>
        <v>3554.375</v>
      </c>
      <c r="AZ16" s="40">
        <f>s_C*(d_Bv!Y16+s_MLF_tomato)*s_IFTO_res_adj*s_CF_tomato</f>
        <v>4310.625</v>
      </c>
      <c r="BA16" s="40">
        <f>s_C*(d_Bv!Z16+s_MLF_rice)*s_IFRI_res_adj*s_CF_rice</f>
        <v>2085.7374999999997</v>
      </c>
      <c r="BB16" s="40">
        <f>s_C*(d_Bv!AA16+s_MLF_cereal)*s_IFCG_res_adj*s_CF_cereal</f>
        <v>3705.625</v>
      </c>
      <c r="BC16" s="15">
        <f t="shared" si="2"/>
        <v>3.1117602153716586</v>
      </c>
      <c r="BD16" s="15">
        <f>IFERROR((s_dir!AD16/(d_Bv!C16+s_MLF_apple)),".")</f>
        <v>11.955779993442853</v>
      </c>
      <c r="BE16" s="15">
        <f>IFERROR((s_dir!AE16/(d_Bv!D16+s_MLF_asparagus)),".")</f>
        <v>3.0049286614535511</v>
      </c>
      <c r="BF16" s="15">
        <f>IFERROR((s_dir!AF16/(d_Bv!E16+s_MLF_beet)),".")</f>
        <v>9.8582747314353352</v>
      </c>
      <c r="BG16" s="15">
        <f>IFERROR((s_dir!AG16/(d_Bv!F16+s_MLF_berries)),".")</f>
        <v>11.955779993442853</v>
      </c>
      <c r="BH16" s="15">
        <f>IFERROR((s_dir!AH16/(d_Bv!G16+s_MLF_broccoli)),".")</f>
        <v>9.8582747314353352</v>
      </c>
      <c r="BI16" s="15">
        <f>IFERROR((s_dir!AI16/(d_Bv!H16+s_MLF_cabbage)),".")</f>
        <v>3.0049286614535511</v>
      </c>
      <c r="BJ16" s="15">
        <f>IFERROR((s_dir!AJ16/(d_Bv!I16+s_MLF_carrot)),".")</f>
        <v>9.8582747314353352</v>
      </c>
      <c r="BK16" s="15">
        <f>IFERROR((s_dir!AK16/(d_Bv!J16+s_MLF_citrus)),".")</f>
        <v>11.955779993442853</v>
      </c>
      <c r="BL16" s="15">
        <f>IFERROR((s_dir!AL16/(d_Bv!K16+s_MLF_corn)),".")</f>
        <v>19.112981622170548</v>
      </c>
      <c r="BM16" s="15">
        <f>IFERROR((s_dir!AM16/(d_Bv!L16+s_MLF_cucumber)),".")</f>
        <v>9.8582747314353352</v>
      </c>
      <c r="BN16" s="15">
        <f>IFERROR((s_dir!AN16/(d_Bv!M16+s_MLF_lettuce)),".")</f>
        <v>3.0049286614535511</v>
      </c>
      <c r="BO16" s="15">
        <f>IFERROR((s_dir!AO16/(d_Bv!N16+s_MLF_lima_bean)),".")</f>
        <v>14.944724991803565</v>
      </c>
      <c r="BP16" s="15">
        <f>IFERROR((s_dir!AP16/(d_Bv!O16+s_MLF_okra)),".")</f>
        <v>9.8582747314353352</v>
      </c>
      <c r="BQ16" s="15">
        <f>IFERROR((s_dir!AQ16/(d_Bv!P16+s_MLF_onion)),".")</f>
        <v>9.8582747314353352</v>
      </c>
      <c r="BR16" s="15">
        <f>IFERROR((s_dir!AR16/(d_Bv!Q16+s_MLF_peach)),".")</f>
        <v>11.955779993442853</v>
      </c>
      <c r="BS16" s="15">
        <f>IFERROR((s_dir!AS16/(d_Bv!R16+s_MLF_pear)),".")</f>
        <v>11.955779993442853</v>
      </c>
      <c r="BT16" s="15">
        <f>IFERROR((s_dir!AT16/(d_Bv!S16+s_MLF_peas)),".")</f>
        <v>14.944724991803565</v>
      </c>
      <c r="BU16" s="15">
        <f>IFERROR((s_dir!AU16/(d_Bv!T16+s_MLF_peppers)),".")</f>
        <v>9.8582747314353352</v>
      </c>
      <c r="BV16" s="15">
        <f>IFERROR((s_dir!AV16/(d_Bv!U16+s_MLF_potato)),".")</f>
        <v>18.730721989727137</v>
      </c>
      <c r="BW16" s="15">
        <f>IFERROR((s_dir!AW16/(d_Bv!V16+s_MLF_pumpkin)),".")</f>
        <v>9.8582747314353352</v>
      </c>
      <c r="BX16" s="15">
        <f>IFERROR((s_dir!AX16/(d_Bv!W16+s_MLF_snap_bean)),".")</f>
        <v>14.944724991803565</v>
      </c>
      <c r="BY16" s="15">
        <f>IFERROR((s_dir!AY16/(d_Bv!X16+s_MLF_strawberry)),".")</f>
        <v>11.955779993442853</v>
      </c>
      <c r="BZ16" s="15">
        <f>IFERROR((s_dir!AZ16/(d_Bv!Y16+s_MLF_tomato)),".")</f>
        <v>9.8582747314353352</v>
      </c>
      <c r="CA16" s="15">
        <f>IFERROR((s_dir!BA16/(d_Bv!Z16+s_MLF_rice)),".")</f>
        <v>20.374244368811244</v>
      </c>
      <c r="CB16" s="15">
        <f>IFERROR((s_dir!BB16/(d_Bv!AA16+s_MLF_cereal)),".")</f>
        <v>11.467788973302328</v>
      </c>
      <c r="CC16" s="40">
        <f t="shared" si="3"/>
        <v>13656.362499999999</v>
      </c>
      <c r="CD16" s="40">
        <f>IFERROR(s_C*(d_Bv!C16+s_MLF_apple)*s_IFAP_far_adj*s_CF_apple,".")</f>
        <v>3554.375</v>
      </c>
      <c r="CE16" s="40">
        <f>IFERROR(s_C*(d_Bv!D16+s_MLF_asparagus)*s_IFAS_far_adj*s_CF_asparagus,".")</f>
        <v>14141.875</v>
      </c>
      <c r="CF16" s="40">
        <f>IFERROR(s_C*(d_Bv!E16+s_MLF_beet)*s_IFBT_far_adj*s_CF_beet,".")</f>
        <v>4310.625</v>
      </c>
      <c r="CG16" s="40">
        <f>IFERROR(s_C*(d_Bv!F16+s_MLF_berries)*s_IFBR_far_adj*s_CF_berries,".")</f>
        <v>3554.375</v>
      </c>
      <c r="CH16" s="40">
        <f>IFERROR(s_C*(d_Bv!G16+s_MLF_broccoli)*s_IFBR_far_adj*s_CF_broccoli,".")</f>
        <v>4310.625</v>
      </c>
      <c r="CI16" s="40">
        <f>IFERROR(s_C*(d_Bv!H16+s_MLF_cabbage)*s_IFCB_far_adj*s_CF_cabbage,".")</f>
        <v>14141.875</v>
      </c>
      <c r="CJ16" s="40">
        <f>IFERROR(s_C*(d_Bv!I16+s_MLF_carrot)*s_IFCR_far_adj*s_CF_carrot,".")</f>
        <v>4310.625</v>
      </c>
      <c r="CK16" s="40">
        <f>IFERROR(s_C*(d_Bv!J16+s_MLF_citrus)*s_IFCI_far_adj*s_CF_citrus,".")</f>
        <v>3554.375</v>
      </c>
      <c r="CL16" s="40">
        <f>IFERROR(s_C*(d_Bv!K16+s_MLF_corn)*s_IFCO_far_adj*s_CF_corn,".")</f>
        <v>2223.375</v>
      </c>
      <c r="CM16" s="40">
        <f>IFERROR(s_C*(d_Bv!L16+s_MLF_cucumber)*s_IFCU_far_adj*s_CF_cucumber,".")</f>
        <v>4310.625</v>
      </c>
      <c r="CN16" s="40">
        <f>IFERROR(s_C*(d_Bv!M16+s_MLF_lettuce)*s_IFLE_far_adj*s_CF_lettuce,".")</f>
        <v>14141.875</v>
      </c>
      <c r="CO16" s="40">
        <f>IFERROR(s_C*(d_Bv!N16+s_MLF_lima_bean)*s_IFLI_far_adj*s_CF_lima_bean,".")</f>
        <v>2843.5</v>
      </c>
      <c r="CP16" s="40">
        <f>IFERROR(s_C*(d_Bv!O16+s_MLF_okra)*s_IFOK_far_adj*s_CF_okra,".")</f>
        <v>4310.625</v>
      </c>
      <c r="CQ16" s="40">
        <f>IFERROR(s_C*(d_Bv!P16+s_MLF_onion)*s_IFON_far_adj*s_CF_onion,".")</f>
        <v>4310.625</v>
      </c>
      <c r="CR16" s="40">
        <f>IFERROR(s_C*(d_Bv!Q16+s_MLF_peach)*s_IFPC_far_adj*s_CF_peach,".")</f>
        <v>3554.375</v>
      </c>
      <c r="CS16" s="40">
        <f>IFERROR(s_C*(d_Bv!R16+s_MLF_pear)*s_IFPR_far_adj*s_CF_pear,".")</f>
        <v>3554.375</v>
      </c>
      <c r="CT16" s="40">
        <f>IFERROR(s_C*(d_Bv!S16+s_MLF_peas)*s_IFPE_far_adj*s_CF_peas,".")</f>
        <v>2843.5</v>
      </c>
      <c r="CU16" s="40">
        <f>IFERROR(s_C*(d_Bv!T16+s_MLF_peppers)*s_IFPP_far_adj*s_CF_peppers,".")</f>
        <v>4310.625</v>
      </c>
      <c r="CV16" s="40">
        <f>IFERROR(s_C*(d_Bv!U16+s_MLF_potato)*s_IFPT_far_adj*s_CF_potato,".")</f>
        <v>2268.75</v>
      </c>
      <c r="CW16" s="40">
        <f>IFERROR(s_C*(d_Bv!V16+s_MLF_pumpkin)*s_IFPU_far_adj*s_CF_pumpkin,".")</f>
        <v>4310.625</v>
      </c>
      <c r="CX16" s="40">
        <f>IFERROR(s_C*(d_Bv!W16+s_MLF_snap_bean)*s_IFSN_far_adj*s_CF_snap_bean,".")</f>
        <v>2843.5</v>
      </c>
      <c r="CY16" s="40">
        <f>IFERROR(s_C*(d_Bv!X16+s_MLF_strawberry)*s_IFST_far_adj*s_CF_strawberry,".")</f>
        <v>3554.375</v>
      </c>
      <c r="CZ16" s="40">
        <f>IFERROR(s_C*(d_Bv!Y16+s_MLF_tomato)*s_IFTO_far_adj*s_CF_tomato,".")</f>
        <v>4310.625</v>
      </c>
      <c r="DA16" s="40">
        <f>IFERROR(s_C*(d_Bv!Z16+s_MLF_rice)*s_IFRI_far_adj*s_CF_rice,".")</f>
        <v>2085.7374999999997</v>
      </c>
      <c r="DB16" s="40">
        <f>IFERROR(s_C*(d_Bv!AA16+s_MLF_cereal)*s_IFCG_far_adj*s_CF_cereal,".")</f>
        <v>3705.625</v>
      </c>
    </row>
    <row r="17" spans="1:106" ht="15" customHeight="1" x14ac:dyDescent="0.25">
      <c r="A17" s="44" t="s">
        <v>27</v>
      </c>
      <c r="B17" s="42" t="s">
        <v>1071</v>
      </c>
      <c r="C17" s="15">
        <f t="shared" si="0"/>
        <v>7553.7385380777678</v>
      </c>
      <c r="D17" s="15">
        <f>IFERROR((s_dir!D17/(d_Bv!C17+s_MLF_apple)),".")</f>
        <v>29022.42777034219</v>
      </c>
      <c r="E17" s="15">
        <f>IFERROR((s_dir!E17/(d_Bv!D17+s_MLF_asparagus)),".")</f>
        <v>7294.4069797116736</v>
      </c>
      <c r="F17" s="15">
        <f>IFERROR((s_dir!F17/(d_Bv!E17+s_MLF_beet)),".")</f>
        <v>23930.77377554532</v>
      </c>
      <c r="G17" s="15">
        <f>IFERROR((s_dir!G17/(d_Bv!F17+s_MLF_berries)),".")</f>
        <v>29022.42777034219</v>
      </c>
      <c r="H17" s="15">
        <f>IFERROR((s_dir!H17/(d_Bv!G17+s_MLF_broccoli)),".")</f>
        <v>23930.77377554532</v>
      </c>
      <c r="I17" s="15">
        <f>IFERROR((s_dir!I17/(d_Bv!H17+s_MLF_cabbage)),".")</f>
        <v>7294.4069797116736</v>
      </c>
      <c r="J17" s="15">
        <f>IFERROR((s_dir!J17/(d_Bv!I17+s_MLF_carrot)),".")</f>
        <v>23930.77377554532</v>
      </c>
      <c r="K17" s="15">
        <f>IFERROR((s_dir!K17/(d_Bv!J17+s_MLF_citrus)),".")</f>
        <v>29022.42777034219</v>
      </c>
      <c r="L17" s="15">
        <f>IFERROR((s_dir!L17/(d_Bv!K17+s_MLF_corn)),".")</f>
        <v>46396.398136261327</v>
      </c>
      <c r="M17" s="15">
        <f>IFERROR((s_dir!M17/(d_Bv!L17+s_MLF_cucumber)),".")</f>
        <v>23930.77377554532</v>
      </c>
      <c r="N17" s="15">
        <f>IFERROR((s_dir!N17/(d_Bv!M17+s_MLF_lettuce)),".")</f>
        <v>7294.4069797116736</v>
      </c>
      <c r="O17" s="15">
        <f>IFERROR((s_dir!O17/(d_Bv!N17+s_MLF_lima_bean)),".")</f>
        <v>36278.034712927736</v>
      </c>
      <c r="P17" s="15">
        <f>IFERROR((s_dir!P17/(d_Bv!O17+s_MLF_okra)),".")</f>
        <v>23930.77377554532</v>
      </c>
      <c r="Q17" s="15">
        <f>IFERROR((s_dir!Q17/(d_Bv!P17+s_MLF_onion)),".")</f>
        <v>23930.77377554532</v>
      </c>
      <c r="R17" s="15">
        <f>IFERROR((s_dir!R17/(d_Bv!Q17+s_MLF_peach)),".")</f>
        <v>29022.42777034219</v>
      </c>
      <c r="S17" s="15">
        <f>IFERROR((s_dir!S17/(d_Bv!R17+s_MLF_pear)),".")</f>
        <v>29022.42777034219</v>
      </c>
      <c r="T17" s="15">
        <f>IFERROR((s_dir!T17/(d_Bv!S17+s_MLF_peas)),".")</f>
        <v>36278.034712927736</v>
      </c>
      <c r="U17" s="15">
        <f>IFERROR((s_dir!U17/(d_Bv!T17+s_MLF_peppers)),".")</f>
        <v>23930.77377554532</v>
      </c>
      <c r="V17" s="15">
        <f>IFERROR((s_dir!V17/(d_Bv!U17+s_MLF_potato)),".")</f>
        <v>45468.470173536101</v>
      </c>
      <c r="W17" s="15">
        <f>IFERROR((s_dir!W17/(d_Bv!V17+s_MLF_pumpkin)),".")</f>
        <v>23930.77377554532</v>
      </c>
      <c r="X17" s="15">
        <f>IFERROR((s_dir!X17/(d_Bv!W17+s_MLF_snap_bean)),".")</f>
        <v>36278.034712927736</v>
      </c>
      <c r="Y17" s="15">
        <f>IFERROR((s_dir!Y17/(d_Bv!X17+s_MLF_strawberry)),".")</f>
        <v>29022.42777034219</v>
      </c>
      <c r="Z17" s="15">
        <f>IFERROR((s_dir!Z17/(d_Bv!Y17+s_MLF_tomato)),".")</f>
        <v>23930.77377554532</v>
      </c>
      <c r="AA17" s="15">
        <f>IFERROR((s_dir!AA17/(d_Bv!Z17+s_MLF_rice)),".")</f>
        <v>49458.089383831873</v>
      </c>
      <c r="AB17" s="15">
        <f>IFERROR((s_dir!AB17/(d_Bv!AA17+s_MLF_cereal)),".")</f>
        <v>27837.838881756794</v>
      </c>
      <c r="AC17" s="40">
        <f t="shared" si="1"/>
        <v>13656.362499999999</v>
      </c>
      <c r="AD17" s="40">
        <f>s_C*(d_Bv!C17+s_MLF_apple)*s_IFAP_res_adj*s_CF_apple</f>
        <v>3554.375</v>
      </c>
      <c r="AE17" s="40">
        <f>s_C*(d_Bv!D17+s_MLF_asparagus)*s_IFAS_res_adj*s_CF_asparagus</f>
        <v>14141.875</v>
      </c>
      <c r="AF17" s="40">
        <f>s_C*(d_Bv!E17+s_MLF_beet)*s_IFBT_res_adj*s_CF_beet</f>
        <v>4310.625</v>
      </c>
      <c r="AG17" s="40">
        <f>s_C*(d_Bv!F17+s_MLF_berries)*s_IFBE_res_adj*s_CF_berries</f>
        <v>3554.375</v>
      </c>
      <c r="AH17" s="40">
        <f>s_C*(d_Bv!G17+s_MLF_broccoli)*s_IFBR_res_adj*s_CF_broccoli</f>
        <v>4310.625</v>
      </c>
      <c r="AI17" s="40">
        <f>s_C*(d_Bv!H17+s_MLF_cabbage)*s_IFCB_res_adj*s_CF_cabbage</f>
        <v>14141.875</v>
      </c>
      <c r="AJ17" s="40">
        <f>s_C*(d_Bv!I17+s_MLF_carrot)*s_IFCR_res_adj*s_CF_carrot</f>
        <v>4310.625</v>
      </c>
      <c r="AK17" s="40">
        <f>s_C*(d_Bv!J17+s_MLF_citrus)*s_IFCI_res_adj*s_CF_citrus</f>
        <v>3554.375</v>
      </c>
      <c r="AL17" s="40">
        <f>s_C*(d_Bv!K17+s_MLF_corn)*s_IFCO_res_adj*s_CF_corn</f>
        <v>2223.375</v>
      </c>
      <c r="AM17" s="40">
        <f>s_C*(d_Bv!L17+s_MLF_cucumber)*s_IFCU_res_adj*s_CF_cucumber</f>
        <v>4310.625</v>
      </c>
      <c r="AN17" s="40">
        <f>s_C*(d_Bv!M17+s_MLF_lettuce)*s_IFLE_res_adj*s_CF_lettuce</f>
        <v>14141.875</v>
      </c>
      <c r="AO17" s="40">
        <f>s_C*(d_Bv!N17+s_MLF_lima_bean)*s_IFLI_res_adj*s_CF_lima_bean</f>
        <v>2843.5</v>
      </c>
      <c r="AP17" s="40">
        <f>s_C*(d_Bv!O17+s_MLF_okra)*s_IFOK_res_adj*s_CF_okra</f>
        <v>4310.625</v>
      </c>
      <c r="AQ17" s="40">
        <f>s_C*(d_Bv!P17+s_MLF_onion)*s_IFON_res_adj*s_CF_onion</f>
        <v>4310.625</v>
      </c>
      <c r="AR17" s="40">
        <f>s_C*(d_Bv!Q17+s_MLF_peach)*s_IFPC_res_adj*s_CF_peach</f>
        <v>3554.375</v>
      </c>
      <c r="AS17" s="40">
        <f>s_C*(d_Bv!R17+s_MLF_pear)*s_IFPR_res_adj*s_CF_pear</f>
        <v>3554.375</v>
      </c>
      <c r="AT17" s="40">
        <f>s_C*(d_Bv!S17+s_MLF_peas)*s_IFPE_res_adj*s_CF_peas</f>
        <v>2843.5</v>
      </c>
      <c r="AU17" s="40">
        <f>s_C*(d_Bv!T17+s_MLF_peppers)*s_IFPP_res_adj*s_CF_peppers</f>
        <v>4310.625</v>
      </c>
      <c r="AV17" s="40">
        <f>s_C*(d_Bv!U17+s_MLF_potato)*s_IFPT_res_adj*s_CF_potato</f>
        <v>2268.75</v>
      </c>
      <c r="AW17" s="40">
        <f>s_C*(d_Bv!V17+s_MLF_pumpkin)*s_IFPU_res_adj*s_CF_pumpkin</f>
        <v>4310.625</v>
      </c>
      <c r="AX17" s="40">
        <f>s_C*(d_Bv!W17+s_MLF_snap_bean)*s_IFSN_res_adj*s_CF_snap_bean</f>
        <v>2843.5</v>
      </c>
      <c r="AY17" s="40">
        <f>s_C*(d_Bv!X17+s_MLF_strawberry)*s_IFST_res_adj*s_CF_strawberry</f>
        <v>3554.375</v>
      </c>
      <c r="AZ17" s="40">
        <f>s_C*(d_Bv!Y17+s_MLF_tomato)*s_IFTO_res_adj*s_CF_tomato</f>
        <v>4310.625</v>
      </c>
      <c r="BA17" s="40">
        <f>s_C*(d_Bv!Z17+s_MLF_rice)*s_IFRI_res_adj*s_CF_rice</f>
        <v>2085.7374999999997</v>
      </c>
      <c r="BB17" s="40">
        <f>s_C*(d_Bv!AA17+s_MLF_cereal)*s_IFCG_res_adj*s_CF_cereal</f>
        <v>3705.625</v>
      </c>
      <c r="BC17" s="15">
        <f t="shared" si="2"/>
        <v>7553.7385380777678</v>
      </c>
      <c r="BD17" s="15">
        <f>IFERROR((s_dir!AD17/(d_Bv!C17+s_MLF_apple)),".")</f>
        <v>29022.42777034219</v>
      </c>
      <c r="BE17" s="15">
        <f>IFERROR((s_dir!AE17/(d_Bv!D17+s_MLF_asparagus)),".")</f>
        <v>7294.4069797116736</v>
      </c>
      <c r="BF17" s="15">
        <f>IFERROR((s_dir!AF17/(d_Bv!E17+s_MLF_beet)),".")</f>
        <v>23930.77377554532</v>
      </c>
      <c r="BG17" s="15">
        <f>IFERROR((s_dir!AG17/(d_Bv!F17+s_MLF_berries)),".")</f>
        <v>29022.42777034219</v>
      </c>
      <c r="BH17" s="15">
        <f>IFERROR((s_dir!AH17/(d_Bv!G17+s_MLF_broccoli)),".")</f>
        <v>23930.77377554532</v>
      </c>
      <c r="BI17" s="15">
        <f>IFERROR((s_dir!AI17/(d_Bv!H17+s_MLF_cabbage)),".")</f>
        <v>7294.4069797116736</v>
      </c>
      <c r="BJ17" s="15">
        <f>IFERROR((s_dir!AJ17/(d_Bv!I17+s_MLF_carrot)),".")</f>
        <v>23930.77377554532</v>
      </c>
      <c r="BK17" s="15">
        <f>IFERROR((s_dir!AK17/(d_Bv!J17+s_MLF_citrus)),".")</f>
        <v>29022.42777034219</v>
      </c>
      <c r="BL17" s="15">
        <f>IFERROR((s_dir!AL17/(d_Bv!K17+s_MLF_corn)),".")</f>
        <v>46396.398136261327</v>
      </c>
      <c r="BM17" s="15">
        <f>IFERROR((s_dir!AM17/(d_Bv!L17+s_MLF_cucumber)),".")</f>
        <v>23930.77377554532</v>
      </c>
      <c r="BN17" s="15">
        <f>IFERROR((s_dir!AN17/(d_Bv!M17+s_MLF_lettuce)),".")</f>
        <v>7294.4069797116736</v>
      </c>
      <c r="BO17" s="15">
        <f>IFERROR((s_dir!AO17/(d_Bv!N17+s_MLF_lima_bean)),".")</f>
        <v>36278.034712927736</v>
      </c>
      <c r="BP17" s="15">
        <f>IFERROR((s_dir!AP17/(d_Bv!O17+s_MLF_okra)),".")</f>
        <v>23930.77377554532</v>
      </c>
      <c r="BQ17" s="15">
        <f>IFERROR((s_dir!AQ17/(d_Bv!P17+s_MLF_onion)),".")</f>
        <v>23930.77377554532</v>
      </c>
      <c r="BR17" s="15">
        <f>IFERROR((s_dir!AR17/(d_Bv!Q17+s_MLF_peach)),".")</f>
        <v>29022.42777034219</v>
      </c>
      <c r="BS17" s="15">
        <f>IFERROR((s_dir!AS17/(d_Bv!R17+s_MLF_pear)),".")</f>
        <v>29022.42777034219</v>
      </c>
      <c r="BT17" s="15">
        <f>IFERROR((s_dir!AT17/(d_Bv!S17+s_MLF_peas)),".")</f>
        <v>36278.034712927736</v>
      </c>
      <c r="BU17" s="15">
        <f>IFERROR((s_dir!AU17/(d_Bv!T17+s_MLF_peppers)),".")</f>
        <v>23930.77377554532</v>
      </c>
      <c r="BV17" s="15">
        <f>IFERROR((s_dir!AV17/(d_Bv!U17+s_MLF_potato)),".")</f>
        <v>45468.470173536101</v>
      </c>
      <c r="BW17" s="15">
        <f>IFERROR((s_dir!AW17/(d_Bv!V17+s_MLF_pumpkin)),".")</f>
        <v>23930.77377554532</v>
      </c>
      <c r="BX17" s="15">
        <f>IFERROR((s_dir!AX17/(d_Bv!W17+s_MLF_snap_bean)),".")</f>
        <v>36278.034712927736</v>
      </c>
      <c r="BY17" s="15">
        <f>IFERROR((s_dir!AY17/(d_Bv!X17+s_MLF_strawberry)),".")</f>
        <v>29022.42777034219</v>
      </c>
      <c r="BZ17" s="15">
        <f>IFERROR((s_dir!AZ17/(d_Bv!Y17+s_MLF_tomato)),".")</f>
        <v>23930.77377554532</v>
      </c>
      <c r="CA17" s="15">
        <f>IFERROR((s_dir!BA17/(d_Bv!Z17+s_MLF_rice)),".")</f>
        <v>49458.089383831873</v>
      </c>
      <c r="CB17" s="15">
        <f>IFERROR((s_dir!BB17/(d_Bv!AA17+s_MLF_cereal)),".")</f>
        <v>27837.838881756794</v>
      </c>
      <c r="CC17" s="40">
        <f t="shared" si="3"/>
        <v>13656.362499999999</v>
      </c>
      <c r="CD17" s="40">
        <f>IFERROR(s_C*(d_Bv!C17+s_MLF_apple)*s_IFAP_far_adj*s_CF_apple,".")</f>
        <v>3554.375</v>
      </c>
      <c r="CE17" s="40">
        <f>IFERROR(s_C*(d_Bv!D17+s_MLF_asparagus)*s_IFAS_far_adj*s_CF_asparagus,".")</f>
        <v>14141.875</v>
      </c>
      <c r="CF17" s="40">
        <f>IFERROR(s_C*(d_Bv!E17+s_MLF_beet)*s_IFBT_far_adj*s_CF_beet,".")</f>
        <v>4310.625</v>
      </c>
      <c r="CG17" s="40">
        <f>IFERROR(s_C*(d_Bv!F17+s_MLF_berries)*s_IFBR_far_adj*s_CF_berries,".")</f>
        <v>3554.375</v>
      </c>
      <c r="CH17" s="40">
        <f>IFERROR(s_C*(d_Bv!G17+s_MLF_broccoli)*s_IFBR_far_adj*s_CF_broccoli,".")</f>
        <v>4310.625</v>
      </c>
      <c r="CI17" s="40">
        <f>IFERROR(s_C*(d_Bv!H17+s_MLF_cabbage)*s_IFCB_far_adj*s_CF_cabbage,".")</f>
        <v>14141.875</v>
      </c>
      <c r="CJ17" s="40">
        <f>IFERROR(s_C*(d_Bv!I17+s_MLF_carrot)*s_IFCR_far_adj*s_CF_carrot,".")</f>
        <v>4310.625</v>
      </c>
      <c r="CK17" s="40">
        <f>IFERROR(s_C*(d_Bv!J17+s_MLF_citrus)*s_IFCI_far_adj*s_CF_citrus,".")</f>
        <v>3554.375</v>
      </c>
      <c r="CL17" s="40">
        <f>IFERROR(s_C*(d_Bv!K17+s_MLF_corn)*s_IFCO_far_adj*s_CF_corn,".")</f>
        <v>2223.375</v>
      </c>
      <c r="CM17" s="40">
        <f>IFERROR(s_C*(d_Bv!L17+s_MLF_cucumber)*s_IFCU_far_adj*s_CF_cucumber,".")</f>
        <v>4310.625</v>
      </c>
      <c r="CN17" s="40">
        <f>IFERROR(s_C*(d_Bv!M17+s_MLF_lettuce)*s_IFLE_far_adj*s_CF_lettuce,".")</f>
        <v>14141.875</v>
      </c>
      <c r="CO17" s="40">
        <f>IFERROR(s_C*(d_Bv!N17+s_MLF_lima_bean)*s_IFLI_far_adj*s_CF_lima_bean,".")</f>
        <v>2843.5</v>
      </c>
      <c r="CP17" s="40">
        <f>IFERROR(s_C*(d_Bv!O17+s_MLF_okra)*s_IFOK_far_adj*s_CF_okra,".")</f>
        <v>4310.625</v>
      </c>
      <c r="CQ17" s="40">
        <f>IFERROR(s_C*(d_Bv!P17+s_MLF_onion)*s_IFON_far_adj*s_CF_onion,".")</f>
        <v>4310.625</v>
      </c>
      <c r="CR17" s="40">
        <f>IFERROR(s_C*(d_Bv!Q17+s_MLF_peach)*s_IFPC_far_adj*s_CF_peach,".")</f>
        <v>3554.375</v>
      </c>
      <c r="CS17" s="40">
        <f>IFERROR(s_C*(d_Bv!R17+s_MLF_pear)*s_IFPR_far_adj*s_CF_pear,".")</f>
        <v>3554.375</v>
      </c>
      <c r="CT17" s="40">
        <f>IFERROR(s_C*(d_Bv!S17+s_MLF_peas)*s_IFPE_far_adj*s_CF_peas,".")</f>
        <v>2843.5</v>
      </c>
      <c r="CU17" s="40">
        <f>IFERROR(s_C*(d_Bv!T17+s_MLF_peppers)*s_IFPP_far_adj*s_CF_peppers,".")</f>
        <v>4310.625</v>
      </c>
      <c r="CV17" s="40">
        <f>IFERROR(s_C*(d_Bv!U17+s_MLF_potato)*s_IFPT_far_adj*s_CF_potato,".")</f>
        <v>2268.75</v>
      </c>
      <c r="CW17" s="40">
        <f>IFERROR(s_C*(d_Bv!V17+s_MLF_pumpkin)*s_IFPU_far_adj*s_CF_pumpkin,".")</f>
        <v>4310.625</v>
      </c>
      <c r="CX17" s="40">
        <f>IFERROR(s_C*(d_Bv!W17+s_MLF_snap_bean)*s_IFSN_far_adj*s_CF_snap_bean,".")</f>
        <v>2843.5</v>
      </c>
      <c r="CY17" s="40">
        <f>IFERROR(s_C*(d_Bv!X17+s_MLF_strawberry)*s_IFST_far_adj*s_CF_strawberry,".")</f>
        <v>3554.375</v>
      </c>
      <c r="CZ17" s="40">
        <f>IFERROR(s_C*(d_Bv!Y17+s_MLF_tomato)*s_IFTO_far_adj*s_CF_tomato,".")</f>
        <v>4310.625</v>
      </c>
      <c r="DA17" s="40">
        <f>IFERROR(s_C*(d_Bv!Z17+s_MLF_rice)*s_IFRI_far_adj*s_CF_rice,".")</f>
        <v>2085.7374999999997</v>
      </c>
      <c r="DB17" s="40">
        <f>IFERROR(s_C*(d_Bv!AA17+s_MLF_cereal)*s_IFCG_far_adj*s_CF_cereal,".")</f>
        <v>3705.625</v>
      </c>
    </row>
    <row r="18" spans="1:106" ht="15" customHeight="1" x14ac:dyDescent="0.25">
      <c r="A18" s="44" t="s">
        <v>28</v>
      </c>
      <c r="B18" s="42" t="s">
        <v>1071</v>
      </c>
      <c r="C18" s="15">
        <f t="shared" si="0"/>
        <v>2.1689623101486384</v>
      </c>
      <c r="D18" s="15">
        <f>IFERROR((s_dir!D18/(d_Bv!C18+s_MLF_apple)),".")</f>
        <v>10.708657712295906</v>
      </c>
      <c r="E18" s="15">
        <f>IFERROR((s_dir!E18/(d_Bv!D18+s_MLF_asparagus)),".")</f>
        <v>7.0195507492083209</v>
      </c>
      <c r="F18" s="15">
        <f>IFERROR((s_dir!F18/(d_Bv!E18+s_MLF_beet)),".")</f>
        <v>7.6014824175364737</v>
      </c>
      <c r="G18" s="15">
        <f>IFERROR((s_dir!G18/(d_Bv!F18+s_MLF_berries)),".")</f>
        <v>10.708657712295906</v>
      </c>
      <c r="H18" s="15">
        <f>IFERROR((s_dir!H18/(d_Bv!G18+s_MLF_broccoli)),".")</f>
        <v>10.708657712295906</v>
      </c>
      <c r="I18" s="15">
        <f>IFERROR((s_dir!I18/(d_Bv!H18+s_MLF_cabbage)),".")</f>
        <v>7.0195507492083209</v>
      </c>
      <c r="J18" s="15">
        <f>IFERROR((s_dir!J18/(d_Bv!I18+s_MLF_carrot)),".")</f>
        <v>7.6014824175364737</v>
      </c>
      <c r="K18" s="15">
        <f>IFERROR((s_dir!K18/(d_Bv!J18+s_MLF_citrus)),".")</f>
        <v>10.708657712295906</v>
      </c>
      <c r="L18" s="15">
        <f>IFERROR((s_dir!L18/(d_Bv!K18+s_MLF_corn)),".")</f>
        <v>10.677482580673502</v>
      </c>
      <c r="M18" s="15">
        <f>IFERROR((s_dir!M18/(d_Bv!L18+s_MLF_cucumber)),".")</f>
        <v>10.708657712295906</v>
      </c>
      <c r="N18" s="15">
        <f>IFERROR((s_dir!N18/(d_Bv!M18+s_MLF_lettuce)),".")</f>
        <v>7.0195507492083209</v>
      </c>
      <c r="O18" s="15">
        <f>IFERROR((s_dir!O18/(d_Bv!N18+s_MLF_lima_bean)),".")</f>
        <v>10.654220091390989</v>
      </c>
      <c r="P18" s="15">
        <f>IFERROR((s_dir!P18/(d_Bv!O18+s_MLF_okra)),".")</f>
        <v>10.708657712295906</v>
      </c>
      <c r="Q18" s="15">
        <f>IFERROR((s_dir!Q18/(d_Bv!P18+s_MLF_onion)),".")</f>
        <v>7.6014824175364737</v>
      </c>
      <c r="R18" s="15">
        <f>IFERROR((s_dir!R18/(d_Bv!Q18+s_MLF_peach)),".")</f>
        <v>10.708657712295906</v>
      </c>
      <c r="S18" s="15">
        <f>IFERROR((s_dir!S18/(d_Bv!R18+s_MLF_pear)),".")</f>
        <v>10.708657712295906</v>
      </c>
      <c r="T18" s="15">
        <f>IFERROR((s_dir!T18/(d_Bv!S18+s_MLF_peas)),".")</f>
        <v>10.654220091390989</v>
      </c>
      <c r="U18" s="15">
        <f>IFERROR((s_dir!U18/(d_Bv!T18+s_MLF_peppers)),".")</f>
        <v>10.708657712295906</v>
      </c>
      <c r="V18" s="15">
        <f>IFERROR((s_dir!V18/(d_Bv!U18+s_MLF_potato)),".")</f>
        <v>9.0560870776823403</v>
      </c>
      <c r="W18" s="15">
        <f>IFERROR((s_dir!W18/(d_Bv!V18+s_MLF_pumpkin)),".")</f>
        <v>10.708657712295906</v>
      </c>
      <c r="X18" s="15">
        <f>IFERROR((s_dir!X18/(d_Bv!W18+s_MLF_snap_bean)),".")</f>
        <v>10.654220091390989</v>
      </c>
      <c r="Y18" s="15">
        <f>IFERROR((s_dir!Y18/(d_Bv!X18+s_MLF_strawberry)),".")</f>
        <v>10.708657712295906</v>
      </c>
      <c r="Z18" s="15">
        <f>IFERROR((s_dir!Z18/(d_Bv!Y18+s_MLF_tomato)),".")</f>
        <v>10.708657712295906</v>
      </c>
      <c r="AA18" s="15">
        <f>IFERROR((s_dir!AA18/(d_Bv!Z18+s_MLF_rice)),".")</f>
        <v>5.5361739871114688</v>
      </c>
      <c r="AB18" s="15">
        <f>IFERROR((s_dir!AB18/(d_Bv!AA18+s_MLF_cereal)),".")</f>
        <v>10.677482580673502</v>
      </c>
      <c r="AC18" s="40">
        <f t="shared" si="1"/>
        <v>10230.549999999999</v>
      </c>
      <c r="AD18" s="40">
        <f>s_C*(d_Bv!C18+s_MLF_apple)*s_IFAP_res_adj*s_CF_apple</f>
        <v>2072.125</v>
      </c>
      <c r="AE18" s="40">
        <f>s_C*(d_Bv!D18+s_MLF_asparagus)*s_IFAS_res_adj*s_CF_asparagus</f>
        <v>3161.1250000000005</v>
      </c>
      <c r="AF18" s="40">
        <f>s_C*(d_Bv!E18+s_MLF_beet)*s_IFBT_res_adj*s_CF_beet</f>
        <v>2919.1249999999995</v>
      </c>
      <c r="AG18" s="40">
        <f>s_C*(d_Bv!F18+s_MLF_berries)*s_IFBE_res_adj*s_CF_berries</f>
        <v>2072.125</v>
      </c>
      <c r="AH18" s="40">
        <f>s_C*(d_Bv!G18+s_MLF_broccoli)*s_IFBR_res_adj*s_CF_broccoli</f>
        <v>2072.125</v>
      </c>
      <c r="AI18" s="40">
        <f>s_C*(d_Bv!H18+s_MLF_cabbage)*s_IFCB_res_adj*s_CF_cabbage</f>
        <v>3161.1250000000005</v>
      </c>
      <c r="AJ18" s="40">
        <f>s_C*(d_Bv!I18+s_MLF_carrot)*s_IFCR_res_adj*s_CF_carrot</f>
        <v>2919.1249999999995</v>
      </c>
      <c r="AK18" s="40">
        <f>s_C*(d_Bv!J18+s_MLF_citrus)*s_IFCI_res_adj*s_CF_citrus</f>
        <v>2072.125</v>
      </c>
      <c r="AL18" s="40">
        <f>s_C*(d_Bv!K18+s_MLF_corn)*s_IFCO_res_adj*s_CF_corn</f>
        <v>2078.1749999999997</v>
      </c>
      <c r="AM18" s="40">
        <f>s_C*(d_Bv!L18+s_MLF_cucumber)*s_IFCU_res_adj*s_CF_cucumber</f>
        <v>2072.125</v>
      </c>
      <c r="AN18" s="40">
        <f>s_C*(d_Bv!M18+s_MLF_lettuce)*s_IFLE_res_adj*s_CF_lettuce</f>
        <v>3161.1250000000005</v>
      </c>
      <c r="AO18" s="40">
        <f>s_C*(d_Bv!N18+s_MLF_lima_bean)*s_IFLI_res_adj*s_CF_lima_bean</f>
        <v>2082.7124999999996</v>
      </c>
      <c r="AP18" s="40">
        <f>s_C*(d_Bv!O18+s_MLF_okra)*s_IFOK_res_adj*s_CF_okra</f>
        <v>2072.125</v>
      </c>
      <c r="AQ18" s="40">
        <f>s_C*(d_Bv!P18+s_MLF_onion)*s_IFON_res_adj*s_CF_onion</f>
        <v>2919.1249999999995</v>
      </c>
      <c r="AR18" s="40">
        <f>s_C*(d_Bv!Q18+s_MLF_peach)*s_IFPC_res_adj*s_CF_peach</f>
        <v>2072.125</v>
      </c>
      <c r="AS18" s="40">
        <f>s_C*(d_Bv!R18+s_MLF_pear)*s_IFPR_res_adj*s_CF_pear</f>
        <v>2072.125</v>
      </c>
      <c r="AT18" s="40">
        <f>s_C*(d_Bv!S18+s_MLF_peas)*s_IFPE_res_adj*s_CF_peas</f>
        <v>2082.7124999999996</v>
      </c>
      <c r="AU18" s="40">
        <f>s_C*(d_Bv!T18+s_MLF_peppers)*s_IFPP_res_adj*s_CF_peppers</f>
        <v>2072.125</v>
      </c>
      <c r="AV18" s="40">
        <f>s_C*(d_Bv!U18+s_MLF_potato)*s_IFPT_res_adj*s_CF_potato</f>
        <v>2450.2499999999995</v>
      </c>
      <c r="AW18" s="40">
        <f>s_C*(d_Bv!V18+s_MLF_pumpkin)*s_IFPU_res_adj*s_CF_pumpkin</f>
        <v>2072.125</v>
      </c>
      <c r="AX18" s="40">
        <f>s_C*(d_Bv!W18+s_MLF_snap_bean)*s_IFSN_res_adj*s_CF_snap_bean</f>
        <v>2082.7124999999996</v>
      </c>
      <c r="AY18" s="40">
        <f>s_C*(d_Bv!X18+s_MLF_strawberry)*s_IFST_res_adj*s_CF_strawberry</f>
        <v>2072.125</v>
      </c>
      <c r="AZ18" s="40">
        <f>s_C*(d_Bv!Y18+s_MLF_tomato)*s_IFTO_res_adj*s_CF_tomato</f>
        <v>2072.125</v>
      </c>
      <c r="BA18" s="40">
        <f>s_C*(d_Bv!Z18+s_MLF_rice)*s_IFRI_res_adj*s_CF_rice</f>
        <v>4008.125</v>
      </c>
      <c r="BB18" s="40">
        <f>s_C*(d_Bv!AA18+s_MLF_cereal)*s_IFCG_res_adj*s_CF_cereal</f>
        <v>2078.1749999999997</v>
      </c>
      <c r="BC18" s="15">
        <f t="shared" si="2"/>
        <v>2.1689623101486384</v>
      </c>
      <c r="BD18" s="15">
        <f>IFERROR((s_dir!AD18/(d_Bv!C18+s_MLF_apple)),".")</f>
        <v>10.708657712295906</v>
      </c>
      <c r="BE18" s="15">
        <f>IFERROR((s_dir!AE18/(d_Bv!D18+s_MLF_asparagus)),".")</f>
        <v>7.0195507492083209</v>
      </c>
      <c r="BF18" s="15">
        <f>IFERROR((s_dir!AF18/(d_Bv!E18+s_MLF_beet)),".")</f>
        <v>7.6014824175364737</v>
      </c>
      <c r="BG18" s="15">
        <f>IFERROR((s_dir!AG18/(d_Bv!F18+s_MLF_berries)),".")</f>
        <v>10.708657712295906</v>
      </c>
      <c r="BH18" s="15">
        <f>IFERROR((s_dir!AH18/(d_Bv!G18+s_MLF_broccoli)),".")</f>
        <v>10.708657712295906</v>
      </c>
      <c r="BI18" s="15">
        <f>IFERROR((s_dir!AI18/(d_Bv!H18+s_MLF_cabbage)),".")</f>
        <v>7.0195507492083209</v>
      </c>
      <c r="BJ18" s="15">
        <f>IFERROR((s_dir!AJ18/(d_Bv!I18+s_MLF_carrot)),".")</f>
        <v>7.6014824175364737</v>
      </c>
      <c r="BK18" s="15">
        <f>IFERROR((s_dir!AK18/(d_Bv!J18+s_MLF_citrus)),".")</f>
        <v>10.708657712295906</v>
      </c>
      <c r="BL18" s="15">
        <f>IFERROR((s_dir!AL18/(d_Bv!K18+s_MLF_corn)),".")</f>
        <v>10.677482580673502</v>
      </c>
      <c r="BM18" s="15">
        <f>IFERROR((s_dir!AM18/(d_Bv!L18+s_MLF_cucumber)),".")</f>
        <v>10.708657712295906</v>
      </c>
      <c r="BN18" s="15">
        <f>IFERROR((s_dir!AN18/(d_Bv!M18+s_MLF_lettuce)),".")</f>
        <v>7.0195507492083209</v>
      </c>
      <c r="BO18" s="15">
        <f>IFERROR((s_dir!AO18/(d_Bv!N18+s_MLF_lima_bean)),".")</f>
        <v>10.654220091390989</v>
      </c>
      <c r="BP18" s="15">
        <f>IFERROR((s_dir!AP18/(d_Bv!O18+s_MLF_okra)),".")</f>
        <v>10.708657712295906</v>
      </c>
      <c r="BQ18" s="15">
        <f>IFERROR((s_dir!AQ18/(d_Bv!P18+s_MLF_onion)),".")</f>
        <v>7.6014824175364737</v>
      </c>
      <c r="BR18" s="15">
        <f>IFERROR((s_dir!AR18/(d_Bv!Q18+s_MLF_peach)),".")</f>
        <v>10.708657712295906</v>
      </c>
      <c r="BS18" s="15">
        <f>IFERROR((s_dir!AS18/(d_Bv!R18+s_MLF_pear)),".")</f>
        <v>10.708657712295906</v>
      </c>
      <c r="BT18" s="15">
        <f>IFERROR((s_dir!AT18/(d_Bv!S18+s_MLF_peas)),".")</f>
        <v>10.654220091390989</v>
      </c>
      <c r="BU18" s="15">
        <f>IFERROR((s_dir!AU18/(d_Bv!T18+s_MLF_peppers)),".")</f>
        <v>10.708657712295906</v>
      </c>
      <c r="BV18" s="15">
        <f>IFERROR((s_dir!AV18/(d_Bv!U18+s_MLF_potato)),".")</f>
        <v>9.0560870776823403</v>
      </c>
      <c r="BW18" s="15">
        <f>IFERROR((s_dir!AW18/(d_Bv!V18+s_MLF_pumpkin)),".")</f>
        <v>10.708657712295906</v>
      </c>
      <c r="BX18" s="15">
        <f>IFERROR((s_dir!AX18/(d_Bv!W18+s_MLF_snap_bean)),".")</f>
        <v>10.654220091390989</v>
      </c>
      <c r="BY18" s="15">
        <f>IFERROR((s_dir!AY18/(d_Bv!X18+s_MLF_strawberry)),".")</f>
        <v>10.708657712295906</v>
      </c>
      <c r="BZ18" s="15">
        <f>IFERROR((s_dir!AZ18/(d_Bv!Y18+s_MLF_tomato)),".")</f>
        <v>10.708657712295906</v>
      </c>
      <c r="CA18" s="15">
        <f>IFERROR((s_dir!BA18/(d_Bv!Z18+s_MLF_rice)),".")</f>
        <v>5.5361739871114688</v>
      </c>
      <c r="CB18" s="15">
        <f>IFERROR((s_dir!BB18/(d_Bv!AA18+s_MLF_cereal)),".")</f>
        <v>10.677482580673502</v>
      </c>
      <c r="CC18" s="40">
        <f t="shared" si="3"/>
        <v>10230.549999999999</v>
      </c>
      <c r="CD18" s="40">
        <f>IFERROR(s_C*(d_Bv!C18+s_MLF_apple)*s_IFAP_far_adj*s_CF_apple,".")</f>
        <v>2072.125</v>
      </c>
      <c r="CE18" s="40">
        <f>IFERROR(s_C*(d_Bv!D18+s_MLF_asparagus)*s_IFAS_far_adj*s_CF_asparagus,".")</f>
        <v>3161.1250000000005</v>
      </c>
      <c r="CF18" s="40">
        <f>IFERROR(s_C*(d_Bv!E18+s_MLF_beet)*s_IFBT_far_adj*s_CF_beet,".")</f>
        <v>2919.1249999999995</v>
      </c>
      <c r="CG18" s="40">
        <f>IFERROR(s_C*(d_Bv!F18+s_MLF_berries)*s_IFBR_far_adj*s_CF_berries,".")</f>
        <v>2072.125</v>
      </c>
      <c r="CH18" s="40">
        <f>IFERROR(s_C*(d_Bv!G18+s_MLF_broccoli)*s_IFBR_far_adj*s_CF_broccoli,".")</f>
        <v>2072.125</v>
      </c>
      <c r="CI18" s="40">
        <f>IFERROR(s_C*(d_Bv!H18+s_MLF_cabbage)*s_IFCB_far_adj*s_CF_cabbage,".")</f>
        <v>3161.1250000000005</v>
      </c>
      <c r="CJ18" s="40">
        <f>IFERROR(s_C*(d_Bv!I18+s_MLF_carrot)*s_IFCR_far_adj*s_CF_carrot,".")</f>
        <v>2919.1249999999995</v>
      </c>
      <c r="CK18" s="40">
        <f>IFERROR(s_C*(d_Bv!J18+s_MLF_citrus)*s_IFCI_far_adj*s_CF_citrus,".")</f>
        <v>2072.125</v>
      </c>
      <c r="CL18" s="40">
        <f>IFERROR(s_C*(d_Bv!K18+s_MLF_corn)*s_IFCO_far_adj*s_CF_corn,".")</f>
        <v>2078.1749999999997</v>
      </c>
      <c r="CM18" s="40">
        <f>IFERROR(s_C*(d_Bv!L18+s_MLF_cucumber)*s_IFCU_far_adj*s_CF_cucumber,".")</f>
        <v>2072.125</v>
      </c>
      <c r="CN18" s="40">
        <f>IFERROR(s_C*(d_Bv!M18+s_MLF_lettuce)*s_IFLE_far_adj*s_CF_lettuce,".")</f>
        <v>3161.1250000000005</v>
      </c>
      <c r="CO18" s="40">
        <f>IFERROR(s_C*(d_Bv!N18+s_MLF_lima_bean)*s_IFLI_far_adj*s_CF_lima_bean,".")</f>
        <v>2082.7124999999996</v>
      </c>
      <c r="CP18" s="40">
        <f>IFERROR(s_C*(d_Bv!O18+s_MLF_okra)*s_IFOK_far_adj*s_CF_okra,".")</f>
        <v>2072.125</v>
      </c>
      <c r="CQ18" s="40">
        <f>IFERROR(s_C*(d_Bv!P18+s_MLF_onion)*s_IFON_far_adj*s_CF_onion,".")</f>
        <v>2919.1249999999995</v>
      </c>
      <c r="CR18" s="40">
        <f>IFERROR(s_C*(d_Bv!Q18+s_MLF_peach)*s_IFPC_far_adj*s_CF_peach,".")</f>
        <v>2072.125</v>
      </c>
      <c r="CS18" s="40">
        <f>IFERROR(s_C*(d_Bv!R18+s_MLF_pear)*s_IFPR_far_adj*s_CF_pear,".")</f>
        <v>2072.125</v>
      </c>
      <c r="CT18" s="40">
        <f>IFERROR(s_C*(d_Bv!S18+s_MLF_peas)*s_IFPE_far_adj*s_CF_peas,".")</f>
        <v>2082.7124999999996</v>
      </c>
      <c r="CU18" s="40">
        <f>IFERROR(s_C*(d_Bv!T18+s_MLF_peppers)*s_IFPP_far_adj*s_CF_peppers,".")</f>
        <v>2072.125</v>
      </c>
      <c r="CV18" s="40">
        <f>IFERROR(s_C*(d_Bv!U18+s_MLF_potato)*s_IFPT_far_adj*s_CF_potato,".")</f>
        <v>2450.2499999999995</v>
      </c>
      <c r="CW18" s="40">
        <f>IFERROR(s_C*(d_Bv!V18+s_MLF_pumpkin)*s_IFPU_far_adj*s_CF_pumpkin,".")</f>
        <v>2072.125</v>
      </c>
      <c r="CX18" s="40">
        <f>IFERROR(s_C*(d_Bv!W18+s_MLF_snap_bean)*s_IFSN_far_adj*s_CF_snap_bean,".")</f>
        <v>2082.7124999999996</v>
      </c>
      <c r="CY18" s="40">
        <f>IFERROR(s_C*(d_Bv!X18+s_MLF_strawberry)*s_IFST_far_adj*s_CF_strawberry,".")</f>
        <v>2072.125</v>
      </c>
      <c r="CZ18" s="40">
        <f>IFERROR(s_C*(d_Bv!Y18+s_MLF_tomato)*s_IFTO_far_adj*s_CF_tomato,".")</f>
        <v>2072.125</v>
      </c>
      <c r="DA18" s="40">
        <f>IFERROR(s_C*(d_Bv!Z18+s_MLF_rice)*s_IFRI_far_adj*s_CF_rice,".")</f>
        <v>4008.125</v>
      </c>
      <c r="DB18" s="40">
        <f>IFERROR(s_C*(d_Bv!AA18+s_MLF_cereal)*s_IFCG_far_adj*s_CF_cereal,".")</f>
        <v>2078.1749999999997</v>
      </c>
    </row>
    <row r="19" spans="1:106" ht="15" customHeight="1" x14ac:dyDescent="0.25">
      <c r="A19" s="44" t="s">
        <v>29</v>
      </c>
      <c r="B19" s="42" t="s">
        <v>1071</v>
      </c>
      <c r="C19" s="15" t="str">
        <f t="shared" si="0"/>
        <v>.</v>
      </c>
      <c r="D19" s="15" t="str">
        <f>IFERROR((s_dir!D19/(d_Bv!C19+s_MLF_apple)),".")</f>
        <v>.</v>
      </c>
      <c r="E19" s="15" t="str">
        <f>IFERROR((s_dir!E19/(d_Bv!D19+s_MLF_asparagus)),".")</f>
        <v>.</v>
      </c>
      <c r="F19" s="15" t="str">
        <f>IFERROR((s_dir!F19/(d_Bv!E19+s_MLF_beet)),".")</f>
        <v>.</v>
      </c>
      <c r="G19" s="15" t="str">
        <f>IFERROR((s_dir!G19/(d_Bv!F19+s_MLF_berries)),".")</f>
        <v>.</v>
      </c>
      <c r="H19" s="15" t="str">
        <f>IFERROR((s_dir!H19/(d_Bv!G19+s_MLF_broccoli)),".")</f>
        <v>.</v>
      </c>
      <c r="I19" s="15" t="str">
        <f>IFERROR((s_dir!I19/(d_Bv!H19+s_MLF_cabbage)),".")</f>
        <v>.</v>
      </c>
      <c r="J19" s="15" t="str">
        <f>IFERROR((s_dir!J19/(d_Bv!I19+s_MLF_carrot)),".")</f>
        <v>.</v>
      </c>
      <c r="K19" s="15" t="str">
        <f>IFERROR((s_dir!K19/(d_Bv!J19+s_MLF_citrus)),".")</f>
        <v>.</v>
      </c>
      <c r="L19" s="15" t="str">
        <f>IFERROR((s_dir!L19/(d_Bv!K19+s_MLF_corn)),".")</f>
        <v>.</v>
      </c>
      <c r="M19" s="15" t="str">
        <f>IFERROR((s_dir!M19/(d_Bv!L19+s_MLF_cucumber)),".")</f>
        <v>.</v>
      </c>
      <c r="N19" s="15" t="str">
        <f>IFERROR((s_dir!N19/(d_Bv!M19+s_MLF_lettuce)),".")</f>
        <v>.</v>
      </c>
      <c r="O19" s="15" t="str">
        <f>IFERROR((s_dir!O19/(d_Bv!N19+s_MLF_lima_bean)),".")</f>
        <v>.</v>
      </c>
      <c r="P19" s="15" t="str">
        <f>IFERROR((s_dir!P19/(d_Bv!O19+s_MLF_okra)),".")</f>
        <v>.</v>
      </c>
      <c r="Q19" s="15" t="str">
        <f>IFERROR((s_dir!Q19/(d_Bv!P19+s_MLF_onion)),".")</f>
        <v>.</v>
      </c>
      <c r="R19" s="15" t="str">
        <f>IFERROR((s_dir!R19/(d_Bv!Q19+s_MLF_peach)),".")</f>
        <v>.</v>
      </c>
      <c r="S19" s="15" t="str">
        <f>IFERROR((s_dir!S19/(d_Bv!R19+s_MLF_pear)),".")</f>
        <v>.</v>
      </c>
      <c r="T19" s="15" t="str">
        <f>IFERROR((s_dir!T19/(d_Bv!S19+s_MLF_peas)),".")</f>
        <v>.</v>
      </c>
      <c r="U19" s="15" t="str">
        <f>IFERROR((s_dir!U19/(d_Bv!T19+s_MLF_peppers)),".")</f>
        <v>.</v>
      </c>
      <c r="V19" s="15" t="str">
        <f>IFERROR((s_dir!V19/(d_Bv!U19+s_MLF_potato)),".")</f>
        <v>.</v>
      </c>
      <c r="W19" s="15" t="str">
        <f>IFERROR((s_dir!W19/(d_Bv!V19+s_MLF_pumpkin)),".")</f>
        <v>.</v>
      </c>
      <c r="X19" s="15" t="str">
        <f>IFERROR((s_dir!X19/(d_Bv!W19+s_MLF_snap_bean)),".")</f>
        <v>.</v>
      </c>
      <c r="Y19" s="15" t="str">
        <f>IFERROR((s_dir!Y19/(d_Bv!X19+s_MLF_strawberry)),".")</f>
        <v>.</v>
      </c>
      <c r="Z19" s="15" t="str">
        <f>IFERROR((s_dir!Z19/(d_Bv!Y19+s_MLF_tomato)),".")</f>
        <v>.</v>
      </c>
      <c r="AA19" s="15" t="str">
        <f>IFERROR((s_dir!AA19/(d_Bv!Z19+s_MLF_rice)),".")</f>
        <v>.</v>
      </c>
      <c r="AB19" s="15" t="str">
        <f>IFERROR((s_dir!AB19/(d_Bv!AA19+s_MLF_cereal)),".")</f>
        <v>.</v>
      </c>
      <c r="AC19" s="40">
        <f t="shared" si="1"/>
        <v>10230.549999999999</v>
      </c>
      <c r="AD19" s="40">
        <f>s_C*(d_Bv!C19+s_MLF_apple)*s_IFAP_res_adj*s_CF_apple</f>
        <v>2072.125</v>
      </c>
      <c r="AE19" s="40">
        <f>s_C*(d_Bv!D19+s_MLF_asparagus)*s_IFAS_res_adj*s_CF_asparagus</f>
        <v>3161.1250000000005</v>
      </c>
      <c r="AF19" s="40">
        <f>s_C*(d_Bv!E19+s_MLF_beet)*s_IFBT_res_adj*s_CF_beet</f>
        <v>2919.1249999999995</v>
      </c>
      <c r="AG19" s="40">
        <f>s_C*(d_Bv!F19+s_MLF_berries)*s_IFBE_res_adj*s_CF_berries</f>
        <v>2072.125</v>
      </c>
      <c r="AH19" s="40">
        <f>s_C*(d_Bv!G19+s_MLF_broccoli)*s_IFBR_res_adj*s_CF_broccoli</f>
        <v>2072.125</v>
      </c>
      <c r="AI19" s="40">
        <f>s_C*(d_Bv!H19+s_MLF_cabbage)*s_IFCB_res_adj*s_CF_cabbage</f>
        <v>3161.1250000000005</v>
      </c>
      <c r="AJ19" s="40">
        <f>s_C*(d_Bv!I19+s_MLF_carrot)*s_IFCR_res_adj*s_CF_carrot</f>
        <v>2919.1249999999995</v>
      </c>
      <c r="AK19" s="40">
        <f>s_C*(d_Bv!J19+s_MLF_citrus)*s_IFCI_res_adj*s_CF_citrus</f>
        <v>2072.125</v>
      </c>
      <c r="AL19" s="40">
        <f>s_C*(d_Bv!K19+s_MLF_corn)*s_IFCO_res_adj*s_CF_corn</f>
        <v>2078.1749999999997</v>
      </c>
      <c r="AM19" s="40">
        <f>s_C*(d_Bv!L19+s_MLF_cucumber)*s_IFCU_res_adj*s_CF_cucumber</f>
        <v>2072.125</v>
      </c>
      <c r="AN19" s="40">
        <f>s_C*(d_Bv!M19+s_MLF_lettuce)*s_IFLE_res_adj*s_CF_lettuce</f>
        <v>3161.1250000000005</v>
      </c>
      <c r="AO19" s="40">
        <f>s_C*(d_Bv!N19+s_MLF_lima_bean)*s_IFLI_res_adj*s_CF_lima_bean</f>
        <v>2082.7124999999996</v>
      </c>
      <c r="AP19" s="40">
        <f>s_C*(d_Bv!O19+s_MLF_okra)*s_IFOK_res_adj*s_CF_okra</f>
        <v>2072.125</v>
      </c>
      <c r="AQ19" s="40">
        <f>s_C*(d_Bv!P19+s_MLF_onion)*s_IFON_res_adj*s_CF_onion</f>
        <v>2919.1249999999995</v>
      </c>
      <c r="AR19" s="40">
        <f>s_C*(d_Bv!Q19+s_MLF_peach)*s_IFPC_res_adj*s_CF_peach</f>
        <v>2072.125</v>
      </c>
      <c r="AS19" s="40">
        <f>s_C*(d_Bv!R19+s_MLF_pear)*s_IFPR_res_adj*s_CF_pear</f>
        <v>2072.125</v>
      </c>
      <c r="AT19" s="40">
        <f>s_C*(d_Bv!S19+s_MLF_peas)*s_IFPE_res_adj*s_CF_peas</f>
        <v>2082.7124999999996</v>
      </c>
      <c r="AU19" s="40">
        <f>s_C*(d_Bv!T19+s_MLF_peppers)*s_IFPP_res_adj*s_CF_peppers</f>
        <v>2072.125</v>
      </c>
      <c r="AV19" s="40">
        <f>s_C*(d_Bv!U19+s_MLF_potato)*s_IFPT_res_adj*s_CF_potato</f>
        <v>2450.2499999999995</v>
      </c>
      <c r="AW19" s="40">
        <f>s_C*(d_Bv!V19+s_MLF_pumpkin)*s_IFPU_res_adj*s_CF_pumpkin</f>
        <v>2072.125</v>
      </c>
      <c r="AX19" s="40">
        <f>s_C*(d_Bv!W19+s_MLF_snap_bean)*s_IFSN_res_adj*s_CF_snap_bean</f>
        <v>2082.7124999999996</v>
      </c>
      <c r="AY19" s="40">
        <f>s_C*(d_Bv!X19+s_MLF_strawberry)*s_IFST_res_adj*s_CF_strawberry</f>
        <v>2072.125</v>
      </c>
      <c r="AZ19" s="40">
        <f>s_C*(d_Bv!Y19+s_MLF_tomato)*s_IFTO_res_adj*s_CF_tomato</f>
        <v>2072.125</v>
      </c>
      <c r="BA19" s="40">
        <f>s_C*(d_Bv!Z19+s_MLF_rice)*s_IFRI_res_adj*s_CF_rice</f>
        <v>4008.125</v>
      </c>
      <c r="BB19" s="40">
        <f>s_C*(d_Bv!AA19+s_MLF_cereal)*s_IFCG_res_adj*s_CF_cereal</f>
        <v>2078.1749999999997</v>
      </c>
      <c r="BC19" s="15" t="str">
        <f t="shared" si="2"/>
        <v>.</v>
      </c>
      <c r="BD19" s="15" t="str">
        <f>IFERROR((s_dir!AD19/(d_Bv!C19+s_MLF_apple)),".")</f>
        <v>.</v>
      </c>
      <c r="BE19" s="15" t="str">
        <f>IFERROR((s_dir!AE19/(d_Bv!D19+s_MLF_asparagus)),".")</f>
        <v>.</v>
      </c>
      <c r="BF19" s="15" t="str">
        <f>IFERROR((s_dir!AF19/(d_Bv!E19+s_MLF_beet)),".")</f>
        <v>.</v>
      </c>
      <c r="BG19" s="15" t="str">
        <f>IFERROR((s_dir!AG19/(d_Bv!F19+s_MLF_berries)),".")</f>
        <v>.</v>
      </c>
      <c r="BH19" s="15" t="str">
        <f>IFERROR((s_dir!AH19/(d_Bv!G19+s_MLF_broccoli)),".")</f>
        <v>.</v>
      </c>
      <c r="BI19" s="15" t="str">
        <f>IFERROR((s_dir!AI19/(d_Bv!H19+s_MLF_cabbage)),".")</f>
        <v>.</v>
      </c>
      <c r="BJ19" s="15" t="str">
        <f>IFERROR((s_dir!AJ19/(d_Bv!I19+s_MLF_carrot)),".")</f>
        <v>.</v>
      </c>
      <c r="BK19" s="15" t="str">
        <f>IFERROR((s_dir!AK19/(d_Bv!J19+s_MLF_citrus)),".")</f>
        <v>.</v>
      </c>
      <c r="BL19" s="15" t="str">
        <f>IFERROR((s_dir!AL19/(d_Bv!K19+s_MLF_corn)),".")</f>
        <v>.</v>
      </c>
      <c r="BM19" s="15" t="str">
        <f>IFERROR((s_dir!AM19/(d_Bv!L19+s_MLF_cucumber)),".")</f>
        <v>.</v>
      </c>
      <c r="BN19" s="15" t="str">
        <f>IFERROR((s_dir!AN19/(d_Bv!M19+s_MLF_lettuce)),".")</f>
        <v>.</v>
      </c>
      <c r="BO19" s="15" t="str">
        <f>IFERROR((s_dir!AO19/(d_Bv!N19+s_MLF_lima_bean)),".")</f>
        <v>.</v>
      </c>
      <c r="BP19" s="15" t="str">
        <f>IFERROR((s_dir!AP19/(d_Bv!O19+s_MLF_okra)),".")</f>
        <v>.</v>
      </c>
      <c r="BQ19" s="15" t="str">
        <f>IFERROR((s_dir!AQ19/(d_Bv!P19+s_MLF_onion)),".")</f>
        <v>.</v>
      </c>
      <c r="BR19" s="15" t="str">
        <f>IFERROR((s_dir!AR19/(d_Bv!Q19+s_MLF_peach)),".")</f>
        <v>.</v>
      </c>
      <c r="BS19" s="15" t="str">
        <f>IFERROR((s_dir!AS19/(d_Bv!R19+s_MLF_pear)),".")</f>
        <v>.</v>
      </c>
      <c r="BT19" s="15" t="str">
        <f>IFERROR((s_dir!AT19/(d_Bv!S19+s_MLF_peas)),".")</f>
        <v>.</v>
      </c>
      <c r="BU19" s="15" t="str">
        <f>IFERROR((s_dir!AU19/(d_Bv!T19+s_MLF_peppers)),".")</f>
        <v>.</v>
      </c>
      <c r="BV19" s="15" t="str">
        <f>IFERROR((s_dir!AV19/(d_Bv!U19+s_MLF_potato)),".")</f>
        <v>.</v>
      </c>
      <c r="BW19" s="15" t="str">
        <f>IFERROR((s_dir!AW19/(d_Bv!V19+s_MLF_pumpkin)),".")</f>
        <v>.</v>
      </c>
      <c r="BX19" s="15" t="str">
        <f>IFERROR((s_dir!AX19/(d_Bv!W19+s_MLF_snap_bean)),".")</f>
        <v>.</v>
      </c>
      <c r="BY19" s="15" t="str">
        <f>IFERROR((s_dir!AY19/(d_Bv!X19+s_MLF_strawberry)),".")</f>
        <v>.</v>
      </c>
      <c r="BZ19" s="15" t="str">
        <f>IFERROR((s_dir!AZ19/(d_Bv!Y19+s_MLF_tomato)),".")</f>
        <v>.</v>
      </c>
      <c r="CA19" s="15" t="str">
        <f>IFERROR((s_dir!BA19/(d_Bv!Z19+s_MLF_rice)),".")</f>
        <v>.</v>
      </c>
      <c r="CB19" s="15" t="str">
        <f>IFERROR((s_dir!BB19/(d_Bv!AA19+s_MLF_cereal)),".")</f>
        <v>.</v>
      </c>
      <c r="CC19" s="40">
        <f t="shared" si="3"/>
        <v>10230.549999999999</v>
      </c>
      <c r="CD19" s="40">
        <f>IFERROR(s_C*(d_Bv!C19+s_MLF_apple)*s_IFAP_far_adj*s_CF_apple,".")</f>
        <v>2072.125</v>
      </c>
      <c r="CE19" s="40">
        <f>IFERROR(s_C*(d_Bv!D19+s_MLF_asparagus)*s_IFAS_far_adj*s_CF_asparagus,".")</f>
        <v>3161.1250000000005</v>
      </c>
      <c r="CF19" s="40">
        <f>IFERROR(s_C*(d_Bv!E19+s_MLF_beet)*s_IFBT_far_adj*s_CF_beet,".")</f>
        <v>2919.1249999999995</v>
      </c>
      <c r="CG19" s="40">
        <f>IFERROR(s_C*(d_Bv!F19+s_MLF_berries)*s_IFBR_far_adj*s_CF_berries,".")</f>
        <v>2072.125</v>
      </c>
      <c r="CH19" s="40">
        <f>IFERROR(s_C*(d_Bv!G19+s_MLF_broccoli)*s_IFBR_far_adj*s_CF_broccoli,".")</f>
        <v>2072.125</v>
      </c>
      <c r="CI19" s="40">
        <f>IFERROR(s_C*(d_Bv!H19+s_MLF_cabbage)*s_IFCB_far_adj*s_CF_cabbage,".")</f>
        <v>3161.1250000000005</v>
      </c>
      <c r="CJ19" s="40">
        <f>IFERROR(s_C*(d_Bv!I19+s_MLF_carrot)*s_IFCR_far_adj*s_CF_carrot,".")</f>
        <v>2919.1249999999995</v>
      </c>
      <c r="CK19" s="40">
        <f>IFERROR(s_C*(d_Bv!J19+s_MLF_citrus)*s_IFCI_far_adj*s_CF_citrus,".")</f>
        <v>2072.125</v>
      </c>
      <c r="CL19" s="40">
        <f>IFERROR(s_C*(d_Bv!K19+s_MLF_corn)*s_IFCO_far_adj*s_CF_corn,".")</f>
        <v>2078.1749999999997</v>
      </c>
      <c r="CM19" s="40">
        <f>IFERROR(s_C*(d_Bv!L19+s_MLF_cucumber)*s_IFCU_far_adj*s_CF_cucumber,".")</f>
        <v>2072.125</v>
      </c>
      <c r="CN19" s="40">
        <f>IFERROR(s_C*(d_Bv!M19+s_MLF_lettuce)*s_IFLE_far_adj*s_CF_lettuce,".")</f>
        <v>3161.1250000000005</v>
      </c>
      <c r="CO19" s="40">
        <f>IFERROR(s_C*(d_Bv!N19+s_MLF_lima_bean)*s_IFLI_far_adj*s_CF_lima_bean,".")</f>
        <v>2082.7124999999996</v>
      </c>
      <c r="CP19" s="40">
        <f>IFERROR(s_C*(d_Bv!O19+s_MLF_okra)*s_IFOK_far_adj*s_CF_okra,".")</f>
        <v>2072.125</v>
      </c>
      <c r="CQ19" s="40">
        <f>IFERROR(s_C*(d_Bv!P19+s_MLF_onion)*s_IFON_far_adj*s_CF_onion,".")</f>
        <v>2919.1249999999995</v>
      </c>
      <c r="CR19" s="40">
        <f>IFERROR(s_C*(d_Bv!Q19+s_MLF_peach)*s_IFPC_far_adj*s_CF_peach,".")</f>
        <v>2072.125</v>
      </c>
      <c r="CS19" s="40">
        <f>IFERROR(s_C*(d_Bv!R19+s_MLF_pear)*s_IFPR_far_adj*s_CF_pear,".")</f>
        <v>2072.125</v>
      </c>
      <c r="CT19" s="40">
        <f>IFERROR(s_C*(d_Bv!S19+s_MLF_peas)*s_IFPE_far_adj*s_CF_peas,".")</f>
        <v>2082.7124999999996</v>
      </c>
      <c r="CU19" s="40">
        <f>IFERROR(s_C*(d_Bv!T19+s_MLF_peppers)*s_IFPP_far_adj*s_CF_peppers,".")</f>
        <v>2072.125</v>
      </c>
      <c r="CV19" s="40">
        <f>IFERROR(s_C*(d_Bv!U19+s_MLF_potato)*s_IFPT_far_adj*s_CF_potato,".")</f>
        <v>2450.2499999999995</v>
      </c>
      <c r="CW19" s="40">
        <f>IFERROR(s_C*(d_Bv!V19+s_MLF_pumpkin)*s_IFPU_far_adj*s_CF_pumpkin,".")</f>
        <v>2072.125</v>
      </c>
      <c r="CX19" s="40">
        <f>IFERROR(s_C*(d_Bv!W19+s_MLF_snap_bean)*s_IFSN_far_adj*s_CF_snap_bean,".")</f>
        <v>2082.7124999999996</v>
      </c>
      <c r="CY19" s="40">
        <f>IFERROR(s_C*(d_Bv!X19+s_MLF_strawberry)*s_IFST_far_adj*s_CF_strawberry,".")</f>
        <v>2072.125</v>
      </c>
      <c r="CZ19" s="40">
        <f>IFERROR(s_C*(d_Bv!Y19+s_MLF_tomato)*s_IFTO_far_adj*s_CF_tomato,".")</f>
        <v>2072.125</v>
      </c>
      <c r="DA19" s="40">
        <f>IFERROR(s_C*(d_Bv!Z19+s_MLF_rice)*s_IFRI_far_adj*s_CF_rice,".")</f>
        <v>4008.125</v>
      </c>
      <c r="DB19" s="40">
        <f>IFERROR(s_C*(d_Bv!AA19+s_MLF_cereal)*s_IFCG_far_adj*s_CF_cereal,".")</f>
        <v>2078.1749999999997</v>
      </c>
    </row>
    <row r="20" spans="1:106" ht="15" customHeight="1" x14ac:dyDescent="0.25">
      <c r="A20" s="44" t="s">
        <v>30</v>
      </c>
      <c r="B20" s="42" t="s">
        <v>1071</v>
      </c>
      <c r="C20" s="15" t="str">
        <f t="shared" si="0"/>
        <v>.</v>
      </c>
      <c r="D20" s="15" t="str">
        <f>IFERROR((s_dir!D20/(d_Bv!C20+s_MLF_apple)),".")</f>
        <v>.</v>
      </c>
      <c r="E20" s="15" t="str">
        <f>IFERROR((s_dir!E20/(d_Bv!D20+s_MLF_asparagus)),".")</f>
        <v>.</v>
      </c>
      <c r="F20" s="15" t="str">
        <f>IFERROR((s_dir!F20/(d_Bv!E20+s_MLF_beet)),".")</f>
        <v>.</v>
      </c>
      <c r="G20" s="15" t="str">
        <f>IFERROR((s_dir!G20/(d_Bv!F20+s_MLF_berries)),".")</f>
        <v>.</v>
      </c>
      <c r="H20" s="15" t="str">
        <f>IFERROR((s_dir!H20/(d_Bv!G20+s_MLF_broccoli)),".")</f>
        <v>.</v>
      </c>
      <c r="I20" s="15" t="str">
        <f>IFERROR((s_dir!I20/(d_Bv!H20+s_MLF_cabbage)),".")</f>
        <v>.</v>
      </c>
      <c r="J20" s="15" t="str">
        <f>IFERROR((s_dir!J20/(d_Bv!I20+s_MLF_carrot)),".")</f>
        <v>.</v>
      </c>
      <c r="K20" s="15" t="str">
        <f>IFERROR((s_dir!K20/(d_Bv!J20+s_MLF_citrus)),".")</f>
        <v>.</v>
      </c>
      <c r="L20" s="15" t="str">
        <f>IFERROR((s_dir!L20/(d_Bv!K20+s_MLF_corn)),".")</f>
        <v>.</v>
      </c>
      <c r="M20" s="15" t="str">
        <f>IFERROR((s_dir!M20/(d_Bv!L20+s_MLF_cucumber)),".")</f>
        <v>.</v>
      </c>
      <c r="N20" s="15" t="str">
        <f>IFERROR((s_dir!N20/(d_Bv!M20+s_MLF_lettuce)),".")</f>
        <v>.</v>
      </c>
      <c r="O20" s="15" t="str">
        <f>IFERROR((s_dir!O20/(d_Bv!N20+s_MLF_lima_bean)),".")</f>
        <v>.</v>
      </c>
      <c r="P20" s="15" t="str">
        <f>IFERROR((s_dir!P20/(d_Bv!O20+s_MLF_okra)),".")</f>
        <v>.</v>
      </c>
      <c r="Q20" s="15" t="str">
        <f>IFERROR((s_dir!Q20/(d_Bv!P20+s_MLF_onion)),".")</f>
        <v>.</v>
      </c>
      <c r="R20" s="15" t="str">
        <f>IFERROR((s_dir!R20/(d_Bv!Q20+s_MLF_peach)),".")</f>
        <v>.</v>
      </c>
      <c r="S20" s="15" t="str">
        <f>IFERROR((s_dir!S20/(d_Bv!R20+s_MLF_pear)),".")</f>
        <v>.</v>
      </c>
      <c r="T20" s="15" t="str">
        <f>IFERROR((s_dir!T20/(d_Bv!S20+s_MLF_peas)),".")</f>
        <v>.</v>
      </c>
      <c r="U20" s="15" t="str">
        <f>IFERROR((s_dir!U20/(d_Bv!T20+s_MLF_peppers)),".")</f>
        <v>.</v>
      </c>
      <c r="V20" s="15" t="str">
        <f>IFERROR((s_dir!V20/(d_Bv!U20+s_MLF_potato)),".")</f>
        <v>.</v>
      </c>
      <c r="W20" s="15" t="str">
        <f>IFERROR((s_dir!W20/(d_Bv!V20+s_MLF_pumpkin)),".")</f>
        <v>.</v>
      </c>
      <c r="X20" s="15" t="str">
        <f>IFERROR((s_dir!X20/(d_Bv!W20+s_MLF_snap_bean)),".")</f>
        <v>.</v>
      </c>
      <c r="Y20" s="15" t="str">
        <f>IFERROR((s_dir!Y20/(d_Bv!X20+s_MLF_strawberry)),".")</f>
        <v>.</v>
      </c>
      <c r="Z20" s="15" t="str">
        <f>IFERROR((s_dir!Z20/(d_Bv!Y20+s_MLF_tomato)),".")</f>
        <v>.</v>
      </c>
      <c r="AA20" s="15" t="str">
        <f>IFERROR((s_dir!AA20/(d_Bv!Z20+s_MLF_rice)),".")</f>
        <v>.</v>
      </c>
      <c r="AB20" s="15" t="str">
        <f>IFERROR((s_dir!AB20/(d_Bv!AA20+s_MLF_cereal)),".")</f>
        <v>.</v>
      </c>
      <c r="AC20" s="40">
        <f t="shared" si="1"/>
        <v>10230.549999999999</v>
      </c>
      <c r="AD20" s="40">
        <f>s_C*(d_Bv!C20+s_MLF_apple)*s_IFAP_res_adj*s_CF_apple</f>
        <v>2072.125</v>
      </c>
      <c r="AE20" s="40">
        <f>s_C*(d_Bv!D20+s_MLF_asparagus)*s_IFAS_res_adj*s_CF_asparagus</f>
        <v>3161.1250000000005</v>
      </c>
      <c r="AF20" s="40">
        <f>s_C*(d_Bv!E20+s_MLF_beet)*s_IFBT_res_adj*s_CF_beet</f>
        <v>2919.1249999999995</v>
      </c>
      <c r="AG20" s="40">
        <f>s_C*(d_Bv!F20+s_MLF_berries)*s_IFBE_res_adj*s_CF_berries</f>
        <v>2072.125</v>
      </c>
      <c r="AH20" s="40">
        <f>s_C*(d_Bv!G20+s_MLF_broccoli)*s_IFBR_res_adj*s_CF_broccoli</f>
        <v>2072.125</v>
      </c>
      <c r="AI20" s="40">
        <f>s_C*(d_Bv!H20+s_MLF_cabbage)*s_IFCB_res_adj*s_CF_cabbage</f>
        <v>3161.1250000000005</v>
      </c>
      <c r="AJ20" s="40">
        <f>s_C*(d_Bv!I20+s_MLF_carrot)*s_IFCR_res_adj*s_CF_carrot</f>
        <v>2919.1249999999995</v>
      </c>
      <c r="AK20" s="40">
        <f>s_C*(d_Bv!J20+s_MLF_citrus)*s_IFCI_res_adj*s_CF_citrus</f>
        <v>2072.125</v>
      </c>
      <c r="AL20" s="40">
        <f>s_C*(d_Bv!K20+s_MLF_corn)*s_IFCO_res_adj*s_CF_corn</f>
        <v>2078.1749999999997</v>
      </c>
      <c r="AM20" s="40">
        <f>s_C*(d_Bv!L20+s_MLF_cucumber)*s_IFCU_res_adj*s_CF_cucumber</f>
        <v>2072.125</v>
      </c>
      <c r="AN20" s="40">
        <f>s_C*(d_Bv!M20+s_MLF_lettuce)*s_IFLE_res_adj*s_CF_lettuce</f>
        <v>3161.1250000000005</v>
      </c>
      <c r="AO20" s="40">
        <f>s_C*(d_Bv!N20+s_MLF_lima_bean)*s_IFLI_res_adj*s_CF_lima_bean</f>
        <v>2082.7124999999996</v>
      </c>
      <c r="AP20" s="40">
        <f>s_C*(d_Bv!O20+s_MLF_okra)*s_IFOK_res_adj*s_CF_okra</f>
        <v>2072.125</v>
      </c>
      <c r="AQ20" s="40">
        <f>s_C*(d_Bv!P20+s_MLF_onion)*s_IFON_res_adj*s_CF_onion</f>
        <v>2919.1249999999995</v>
      </c>
      <c r="AR20" s="40">
        <f>s_C*(d_Bv!Q20+s_MLF_peach)*s_IFPC_res_adj*s_CF_peach</f>
        <v>2072.125</v>
      </c>
      <c r="AS20" s="40">
        <f>s_C*(d_Bv!R20+s_MLF_pear)*s_IFPR_res_adj*s_CF_pear</f>
        <v>2072.125</v>
      </c>
      <c r="AT20" s="40">
        <f>s_C*(d_Bv!S20+s_MLF_peas)*s_IFPE_res_adj*s_CF_peas</f>
        <v>2082.7124999999996</v>
      </c>
      <c r="AU20" s="40">
        <f>s_C*(d_Bv!T20+s_MLF_peppers)*s_IFPP_res_adj*s_CF_peppers</f>
        <v>2072.125</v>
      </c>
      <c r="AV20" s="40">
        <f>s_C*(d_Bv!U20+s_MLF_potato)*s_IFPT_res_adj*s_CF_potato</f>
        <v>2450.2499999999995</v>
      </c>
      <c r="AW20" s="40">
        <f>s_C*(d_Bv!V20+s_MLF_pumpkin)*s_IFPU_res_adj*s_CF_pumpkin</f>
        <v>2072.125</v>
      </c>
      <c r="AX20" s="40">
        <f>s_C*(d_Bv!W20+s_MLF_snap_bean)*s_IFSN_res_adj*s_CF_snap_bean</f>
        <v>2082.7124999999996</v>
      </c>
      <c r="AY20" s="40">
        <f>s_C*(d_Bv!X20+s_MLF_strawberry)*s_IFST_res_adj*s_CF_strawberry</f>
        <v>2072.125</v>
      </c>
      <c r="AZ20" s="40">
        <f>s_C*(d_Bv!Y20+s_MLF_tomato)*s_IFTO_res_adj*s_CF_tomato</f>
        <v>2072.125</v>
      </c>
      <c r="BA20" s="40">
        <f>s_C*(d_Bv!Z20+s_MLF_rice)*s_IFRI_res_adj*s_CF_rice</f>
        <v>4008.125</v>
      </c>
      <c r="BB20" s="40">
        <f>s_C*(d_Bv!AA20+s_MLF_cereal)*s_IFCG_res_adj*s_CF_cereal</f>
        <v>2078.1749999999997</v>
      </c>
      <c r="BC20" s="15" t="str">
        <f t="shared" si="2"/>
        <v>.</v>
      </c>
      <c r="BD20" s="15" t="str">
        <f>IFERROR((s_dir!AD20/(d_Bv!C20+s_MLF_apple)),".")</f>
        <v>.</v>
      </c>
      <c r="BE20" s="15" t="str">
        <f>IFERROR((s_dir!AE20/(d_Bv!D20+s_MLF_asparagus)),".")</f>
        <v>.</v>
      </c>
      <c r="BF20" s="15" t="str">
        <f>IFERROR((s_dir!AF20/(d_Bv!E20+s_MLF_beet)),".")</f>
        <v>.</v>
      </c>
      <c r="BG20" s="15" t="str">
        <f>IFERROR((s_dir!AG20/(d_Bv!F20+s_MLF_berries)),".")</f>
        <v>.</v>
      </c>
      <c r="BH20" s="15" t="str">
        <f>IFERROR((s_dir!AH20/(d_Bv!G20+s_MLF_broccoli)),".")</f>
        <v>.</v>
      </c>
      <c r="BI20" s="15" t="str">
        <f>IFERROR((s_dir!AI20/(d_Bv!H20+s_MLF_cabbage)),".")</f>
        <v>.</v>
      </c>
      <c r="BJ20" s="15" t="str">
        <f>IFERROR((s_dir!AJ20/(d_Bv!I20+s_MLF_carrot)),".")</f>
        <v>.</v>
      </c>
      <c r="BK20" s="15" t="str">
        <f>IFERROR((s_dir!AK20/(d_Bv!J20+s_MLF_citrus)),".")</f>
        <v>.</v>
      </c>
      <c r="BL20" s="15" t="str">
        <f>IFERROR((s_dir!AL20/(d_Bv!K20+s_MLF_corn)),".")</f>
        <v>.</v>
      </c>
      <c r="BM20" s="15" t="str">
        <f>IFERROR((s_dir!AM20/(d_Bv!L20+s_MLF_cucumber)),".")</f>
        <v>.</v>
      </c>
      <c r="BN20" s="15" t="str">
        <f>IFERROR((s_dir!AN20/(d_Bv!M20+s_MLF_lettuce)),".")</f>
        <v>.</v>
      </c>
      <c r="BO20" s="15" t="str">
        <f>IFERROR((s_dir!AO20/(d_Bv!N20+s_MLF_lima_bean)),".")</f>
        <v>.</v>
      </c>
      <c r="BP20" s="15" t="str">
        <f>IFERROR((s_dir!AP20/(d_Bv!O20+s_MLF_okra)),".")</f>
        <v>.</v>
      </c>
      <c r="BQ20" s="15" t="str">
        <f>IFERROR((s_dir!AQ20/(d_Bv!P20+s_MLF_onion)),".")</f>
        <v>.</v>
      </c>
      <c r="BR20" s="15" t="str">
        <f>IFERROR((s_dir!AR20/(d_Bv!Q20+s_MLF_peach)),".")</f>
        <v>.</v>
      </c>
      <c r="BS20" s="15" t="str">
        <f>IFERROR((s_dir!AS20/(d_Bv!R20+s_MLF_pear)),".")</f>
        <v>.</v>
      </c>
      <c r="BT20" s="15" t="str">
        <f>IFERROR((s_dir!AT20/(d_Bv!S20+s_MLF_peas)),".")</f>
        <v>.</v>
      </c>
      <c r="BU20" s="15" t="str">
        <f>IFERROR((s_dir!AU20/(d_Bv!T20+s_MLF_peppers)),".")</f>
        <v>.</v>
      </c>
      <c r="BV20" s="15" t="str">
        <f>IFERROR((s_dir!AV20/(d_Bv!U20+s_MLF_potato)),".")</f>
        <v>.</v>
      </c>
      <c r="BW20" s="15" t="str">
        <f>IFERROR((s_dir!AW20/(d_Bv!V20+s_MLF_pumpkin)),".")</f>
        <v>.</v>
      </c>
      <c r="BX20" s="15" t="str">
        <f>IFERROR((s_dir!AX20/(d_Bv!W20+s_MLF_snap_bean)),".")</f>
        <v>.</v>
      </c>
      <c r="BY20" s="15" t="str">
        <f>IFERROR((s_dir!AY20/(d_Bv!X20+s_MLF_strawberry)),".")</f>
        <v>.</v>
      </c>
      <c r="BZ20" s="15" t="str">
        <f>IFERROR((s_dir!AZ20/(d_Bv!Y20+s_MLF_tomato)),".")</f>
        <v>.</v>
      </c>
      <c r="CA20" s="15" t="str">
        <f>IFERROR((s_dir!BA20/(d_Bv!Z20+s_MLF_rice)),".")</f>
        <v>.</v>
      </c>
      <c r="CB20" s="15" t="str">
        <f>IFERROR((s_dir!BB20/(d_Bv!AA20+s_MLF_cereal)),".")</f>
        <v>.</v>
      </c>
      <c r="CC20" s="40">
        <f t="shared" si="3"/>
        <v>10230.549999999999</v>
      </c>
      <c r="CD20" s="40">
        <f>IFERROR(s_C*(d_Bv!C20+s_MLF_apple)*s_IFAP_far_adj*s_CF_apple,".")</f>
        <v>2072.125</v>
      </c>
      <c r="CE20" s="40">
        <f>IFERROR(s_C*(d_Bv!D20+s_MLF_asparagus)*s_IFAS_far_adj*s_CF_asparagus,".")</f>
        <v>3161.1250000000005</v>
      </c>
      <c r="CF20" s="40">
        <f>IFERROR(s_C*(d_Bv!E20+s_MLF_beet)*s_IFBT_far_adj*s_CF_beet,".")</f>
        <v>2919.1249999999995</v>
      </c>
      <c r="CG20" s="40">
        <f>IFERROR(s_C*(d_Bv!F20+s_MLF_berries)*s_IFBR_far_adj*s_CF_berries,".")</f>
        <v>2072.125</v>
      </c>
      <c r="CH20" s="40">
        <f>IFERROR(s_C*(d_Bv!G20+s_MLF_broccoli)*s_IFBR_far_adj*s_CF_broccoli,".")</f>
        <v>2072.125</v>
      </c>
      <c r="CI20" s="40">
        <f>IFERROR(s_C*(d_Bv!H20+s_MLF_cabbage)*s_IFCB_far_adj*s_CF_cabbage,".")</f>
        <v>3161.1250000000005</v>
      </c>
      <c r="CJ20" s="40">
        <f>IFERROR(s_C*(d_Bv!I20+s_MLF_carrot)*s_IFCR_far_adj*s_CF_carrot,".")</f>
        <v>2919.1249999999995</v>
      </c>
      <c r="CK20" s="40">
        <f>IFERROR(s_C*(d_Bv!J20+s_MLF_citrus)*s_IFCI_far_adj*s_CF_citrus,".")</f>
        <v>2072.125</v>
      </c>
      <c r="CL20" s="40">
        <f>IFERROR(s_C*(d_Bv!K20+s_MLF_corn)*s_IFCO_far_adj*s_CF_corn,".")</f>
        <v>2078.1749999999997</v>
      </c>
      <c r="CM20" s="40">
        <f>IFERROR(s_C*(d_Bv!L20+s_MLF_cucumber)*s_IFCU_far_adj*s_CF_cucumber,".")</f>
        <v>2072.125</v>
      </c>
      <c r="CN20" s="40">
        <f>IFERROR(s_C*(d_Bv!M20+s_MLF_lettuce)*s_IFLE_far_adj*s_CF_lettuce,".")</f>
        <v>3161.1250000000005</v>
      </c>
      <c r="CO20" s="40">
        <f>IFERROR(s_C*(d_Bv!N20+s_MLF_lima_bean)*s_IFLI_far_adj*s_CF_lima_bean,".")</f>
        <v>2082.7124999999996</v>
      </c>
      <c r="CP20" s="40">
        <f>IFERROR(s_C*(d_Bv!O20+s_MLF_okra)*s_IFOK_far_adj*s_CF_okra,".")</f>
        <v>2072.125</v>
      </c>
      <c r="CQ20" s="40">
        <f>IFERROR(s_C*(d_Bv!P20+s_MLF_onion)*s_IFON_far_adj*s_CF_onion,".")</f>
        <v>2919.1249999999995</v>
      </c>
      <c r="CR20" s="40">
        <f>IFERROR(s_C*(d_Bv!Q20+s_MLF_peach)*s_IFPC_far_adj*s_CF_peach,".")</f>
        <v>2072.125</v>
      </c>
      <c r="CS20" s="40">
        <f>IFERROR(s_C*(d_Bv!R20+s_MLF_pear)*s_IFPR_far_adj*s_CF_pear,".")</f>
        <v>2072.125</v>
      </c>
      <c r="CT20" s="40">
        <f>IFERROR(s_C*(d_Bv!S20+s_MLF_peas)*s_IFPE_far_adj*s_CF_peas,".")</f>
        <v>2082.7124999999996</v>
      </c>
      <c r="CU20" s="40">
        <f>IFERROR(s_C*(d_Bv!T20+s_MLF_peppers)*s_IFPP_far_adj*s_CF_peppers,".")</f>
        <v>2072.125</v>
      </c>
      <c r="CV20" s="40">
        <f>IFERROR(s_C*(d_Bv!U20+s_MLF_potato)*s_IFPT_far_adj*s_CF_potato,".")</f>
        <v>2450.2499999999995</v>
      </c>
      <c r="CW20" s="40">
        <f>IFERROR(s_C*(d_Bv!V20+s_MLF_pumpkin)*s_IFPU_far_adj*s_CF_pumpkin,".")</f>
        <v>2072.125</v>
      </c>
      <c r="CX20" s="40">
        <f>IFERROR(s_C*(d_Bv!W20+s_MLF_snap_bean)*s_IFSN_far_adj*s_CF_snap_bean,".")</f>
        <v>2082.7124999999996</v>
      </c>
      <c r="CY20" s="40">
        <f>IFERROR(s_C*(d_Bv!X20+s_MLF_strawberry)*s_IFST_far_adj*s_CF_strawberry,".")</f>
        <v>2072.125</v>
      </c>
      <c r="CZ20" s="40">
        <f>IFERROR(s_C*(d_Bv!Y20+s_MLF_tomato)*s_IFTO_far_adj*s_CF_tomato,".")</f>
        <v>2072.125</v>
      </c>
      <c r="DA20" s="40">
        <f>IFERROR(s_C*(d_Bv!Z20+s_MLF_rice)*s_IFRI_far_adj*s_CF_rice,".")</f>
        <v>4008.125</v>
      </c>
      <c r="DB20" s="40">
        <f>IFERROR(s_C*(d_Bv!AA20+s_MLF_cereal)*s_IFCG_far_adj*s_CF_cereal,".")</f>
        <v>2078.1749999999997</v>
      </c>
    </row>
    <row r="21" spans="1:106" ht="15" customHeight="1" x14ac:dyDescent="0.25">
      <c r="A21" s="44" t="s">
        <v>31</v>
      </c>
      <c r="B21" s="42" t="s">
        <v>1071</v>
      </c>
      <c r="C21" s="15" t="str">
        <f t="shared" si="0"/>
        <v>.</v>
      </c>
      <c r="D21" s="15" t="str">
        <f>IFERROR((s_dir!D21/(d_Bv!C21+s_MLF_apple)),".")</f>
        <v>.</v>
      </c>
      <c r="E21" s="15" t="str">
        <f>IFERROR((s_dir!E21/(d_Bv!D21+s_MLF_asparagus)),".")</f>
        <v>.</v>
      </c>
      <c r="F21" s="15" t="str">
        <f>IFERROR((s_dir!F21/(d_Bv!E21+s_MLF_beet)),".")</f>
        <v>.</v>
      </c>
      <c r="G21" s="15" t="str">
        <f>IFERROR((s_dir!G21/(d_Bv!F21+s_MLF_berries)),".")</f>
        <v>.</v>
      </c>
      <c r="H21" s="15" t="str">
        <f>IFERROR((s_dir!H21/(d_Bv!G21+s_MLF_broccoli)),".")</f>
        <v>.</v>
      </c>
      <c r="I21" s="15" t="str">
        <f>IFERROR((s_dir!I21/(d_Bv!H21+s_MLF_cabbage)),".")</f>
        <v>.</v>
      </c>
      <c r="J21" s="15" t="str">
        <f>IFERROR((s_dir!J21/(d_Bv!I21+s_MLF_carrot)),".")</f>
        <v>.</v>
      </c>
      <c r="K21" s="15" t="str">
        <f>IFERROR((s_dir!K21/(d_Bv!J21+s_MLF_citrus)),".")</f>
        <v>.</v>
      </c>
      <c r="L21" s="15" t="str">
        <f>IFERROR((s_dir!L21/(d_Bv!K21+s_MLF_corn)),".")</f>
        <v>.</v>
      </c>
      <c r="M21" s="15" t="str">
        <f>IFERROR((s_dir!M21/(d_Bv!L21+s_MLF_cucumber)),".")</f>
        <v>.</v>
      </c>
      <c r="N21" s="15" t="str">
        <f>IFERROR((s_dir!N21/(d_Bv!M21+s_MLF_lettuce)),".")</f>
        <v>.</v>
      </c>
      <c r="O21" s="15" t="str">
        <f>IFERROR((s_dir!O21/(d_Bv!N21+s_MLF_lima_bean)),".")</f>
        <v>.</v>
      </c>
      <c r="P21" s="15" t="str">
        <f>IFERROR((s_dir!P21/(d_Bv!O21+s_MLF_okra)),".")</f>
        <v>.</v>
      </c>
      <c r="Q21" s="15" t="str">
        <f>IFERROR((s_dir!Q21/(d_Bv!P21+s_MLF_onion)),".")</f>
        <v>.</v>
      </c>
      <c r="R21" s="15" t="str">
        <f>IFERROR((s_dir!R21/(d_Bv!Q21+s_MLF_peach)),".")</f>
        <v>.</v>
      </c>
      <c r="S21" s="15" t="str">
        <f>IFERROR((s_dir!S21/(d_Bv!R21+s_MLF_pear)),".")</f>
        <v>.</v>
      </c>
      <c r="T21" s="15" t="str">
        <f>IFERROR((s_dir!T21/(d_Bv!S21+s_MLF_peas)),".")</f>
        <v>.</v>
      </c>
      <c r="U21" s="15" t="str">
        <f>IFERROR((s_dir!U21/(d_Bv!T21+s_MLF_peppers)),".")</f>
        <v>.</v>
      </c>
      <c r="V21" s="15" t="str">
        <f>IFERROR((s_dir!V21/(d_Bv!U21+s_MLF_potato)),".")</f>
        <v>.</v>
      </c>
      <c r="W21" s="15" t="str">
        <f>IFERROR((s_dir!W21/(d_Bv!V21+s_MLF_pumpkin)),".")</f>
        <v>.</v>
      </c>
      <c r="X21" s="15" t="str">
        <f>IFERROR((s_dir!X21/(d_Bv!W21+s_MLF_snap_bean)),".")</f>
        <v>.</v>
      </c>
      <c r="Y21" s="15" t="str">
        <f>IFERROR((s_dir!Y21/(d_Bv!X21+s_MLF_strawberry)),".")</f>
        <v>.</v>
      </c>
      <c r="Z21" s="15" t="str">
        <f>IFERROR((s_dir!Z21/(d_Bv!Y21+s_MLF_tomato)),".")</f>
        <v>.</v>
      </c>
      <c r="AA21" s="15" t="str">
        <f>IFERROR((s_dir!AA21/(d_Bv!Z21+s_MLF_rice)),".")</f>
        <v>.</v>
      </c>
      <c r="AB21" s="15" t="str">
        <f>IFERROR((s_dir!AB21/(d_Bv!AA21+s_MLF_cereal)),".")</f>
        <v>.</v>
      </c>
      <c r="AC21" s="40">
        <f t="shared" si="1"/>
        <v>10230.549999999999</v>
      </c>
      <c r="AD21" s="40">
        <f>s_C*(d_Bv!C21+s_MLF_apple)*s_IFAP_res_adj*s_CF_apple</f>
        <v>2072.125</v>
      </c>
      <c r="AE21" s="40">
        <f>s_C*(d_Bv!D21+s_MLF_asparagus)*s_IFAS_res_adj*s_CF_asparagus</f>
        <v>3161.1250000000005</v>
      </c>
      <c r="AF21" s="40">
        <f>s_C*(d_Bv!E21+s_MLF_beet)*s_IFBT_res_adj*s_CF_beet</f>
        <v>2919.1249999999995</v>
      </c>
      <c r="AG21" s="40">
        <f>s_C*(d_Bv!F21+s_MLF_berries)*s_IFBE_res_adj*s_CF_berries</f>
        <v>2072.125</v>
      </c>
      <c r="AH21" s="40">
        <f>s_C*(d_Bv!G21+s_MLF_broccoli)*s_IFBR_res_adj*s_CF_broccoli</f>
        <v>2072.125</v>
      </c>
      <c r="AI21" s="40">
        <f>s_C*(d_Bv!H21+s_MLF_cabbage)*s_IFCB_res_adj*s_CF_cabbage</f>
        <v>3161.1250000000005</v>
      </c>
      <c r="AJ21" s="40">
        <f>s_C*(d_Bv!I21+s_MLF_carrot)*s_IFCR_res_adj*s_CF_carrot</f>
        <v>2919.1249999999995</v>
      </c>
      <c r="AK21" s="40">
        <f>s_C*(d_Bv!J21+s_MLF_citrus)*s_IFCI_res_adj*s_CF_citrus</f>
        <v>2072.125</v>
      </c>
      <c r="AL21" s="40">
        <f>s_C*(d_Bv!K21+s_MLF_corn)*s_IFCO_res_adj*s_CF_corn</f>
        <v>2078.1749999999997</v>
      </c>
      <c r="AM21" s="40">
        <f>s_C*(d_Bv!L21+s_MLF_cucumber)*s_IFCU_res_adj*s_CF_cucumber</f>
        <v>2072.125</v>
      </c>
      <c r="AN21" s="40">
        <f>s_C*(d_Bv!M21+s_MLF_lettuce)*s_IFLE_res_adj*s_CF_lettuce</f>
        <v>3161.1250000000005</v>
      </c>
      <c r="AO21" s="40">
        <f>s_C*(d_Bv!N21+s_MLF_lima_bean)*s_IFLI_res_adj*s_CF_lima_bean</f>
        <v>2082.7124999999996</v>
      </c>
      <c r="AP21" s="40">
        <f>s_C*(d_Bv!O21+s_MLF_okra)*s_IFOK_res_adj*s_CF_okra</f>
        <v>2072.125</v>
      </c>
      <c r="AQ21" s="40">
        <f>s_C*(d_Bv!P21+s_MLF_onion)*s_IFON_res_adj*s_CF_onion</f>
        <v>2919.1249999999995</v>
      </c>
      <c r="AR21" s="40">
        <f>s_C*(d_Bv!Q21+s_MLF_peach)*s_IFPC_res_adj*s_CF_peach</f>
        <v>2072.125</v>
      </c>
      <c r="AS21" s="40">
        <f>s_C*(d_Bv!R21+s_MLF_pear)*s_IFPR_res_adj*s_CF_pear</f>
        <v>2072.125</v>
      </c>
      <c r="AT21" s="40">
        <f>s_C*(d_Bv!S21+s_MLF_peas)*s_IFPE_res_adj*s_CF_peas</f>
        <v>2082.7124999999996</v>
      </c>
      <c r="AU21" s="40">
        <f>s_C*(d_Bv!T21+s_MLF_peppers)*s_IFPP_res_adj*s_CF_peppers</f>
        <v>2072.125</v>
      </c>
      <c r="AV21" s="40">
        <f>s_C*(d_Bv!U21+s_MLF_potato)*s_IFPT_res_adj*s_CF_potato</f>
        <v>2450.2499999999995</v>
      </c>
      <c r="AW21" s="40">
        <f>s_C*(d_Bv!V21+s_MLF_pumpkin)*s_IFPU_res_adj*s_CF_pumpkin</f>
        <v>2072.125</v>
      </c>
      <c r="AX21" s="40">
        <f>s_C*(d_Bv!W21+s_MLF_snap_bean)*s_IFSN_res_adj*s_CF_snap_bean</f>
        <v>2082.7124999999996</v>
      </c>
      <c r="AY21" s="40">
        <f>s_C*(d_Bv!X21+s_MLF_strawberry)*s_IFST_res_adj*s_CF_strawberry</f>
        <v>2072.125</v>
      </c>
      <c r="AZ21" s="40">
        <f>s_C*(d_Bv!Y21+s_MLF_tomato)*s_IFTO_res_adj*s_CF_tomato</f>
        <v>2072.125</v>
      </c>
      <c r="BA21" s="40">
        <f>s_C*(d_Bv!Z21+s_MLF_rice)*s_IFRI_res_adj*s_CF_rice</f>
        <v>4008.125</v>
      </c>
      <c r="BB21" s="40">
        <f>s_C*(d_Bv!AA21+s_MLF_cereal)*s_IFCG_res_adj*s_CF_cereal</f>
        <v>2078.1749999999997</v>
      </c>
      <c r="BC21" s="15" t="str">
        <f t="shared" si="2"/>
        <v>.</v>
      </c>
      <c r="BD21" s="15" t="str">
        <f>IFERROR((s_dir!AD21/(d_Bv!C21+s_MLF_apple)),".")</f>
        <v>.</v>
      </c>
      <c r="BE21" s="15" t="str">
        <f>IFERROR((s_dir!AE21/(d_Bv!D21+s_MLF_asparagus)),".")</f>
        <v>.</v>
      </c>
      <c r="BF21" s="15" t="str">
        <f>IFERROR((s_dir!AF21/(d_Bv!E21+s_MLF_beet)),".")</f>
        <v>.</v>
      </c>
      <c r="BG21" s="15" t="str">
        <f>IFERROR((s_dir!AG21/(d_Bv!F21+s_MLF_berries)),".")</f>
        <v>.</v>
      </c>
      <c r="BH21" s="15" t="str">
        <f>IFERROR((s_dir!AH21/(d_Bv!G21+s_MLF_broccoli)),".")</f>
        <v>.</v>
      </c>
      <c r="BI21" s="15" t="str">
        <f>IFERROR((s_dir!AI21/(d_Bv!H21+s_MLF_cabbage)),".")</f>
        <v>.</v>
      </c>
      <c r="BJ21" s="15" t="str">
        <f>IFERROR((s_dir!AJ21/(d_Bv!I21+s_MLF_carrot)),".")</f>
        <v>.</v>
      </c>
      <c r="BK21" s="15" t="str">
        <f>IFERROR((s_dir!AK21/(d_Bv!J21+s_MLF_citrus)),".")</f>
        <v>.</v>
      </c>
      <c r="BL21" s="15" t="str">
        <f>IFERROR((s_dir!AL21/(d_Bv!K21+s_MLF_corn)),".")</f>
        <v>.</v>
      </c>
      <c r="BM21" s="15" t="str">
        <f>IFERROR((s_dir!AM21/(d_Bv!L21+s_MLF_cucumber)),".")</f>
        <v>.</v>
      </c>
      <c r="BN21" s="15" t="str">
        <f>IFERROR((s_dir!AN21/(d_Bv!M21+s_MLF_lettuce)),".")</f>
        <v>.</v>
      </c>
      <c r="BO21" s="15" t="str">
        <f>IFERROR((s_dir!AO21/(d_Bv!N21+s_MLF_lima_bean)),".")</f>
        <v>.</v>
      </c>
      <c r="BP21" s="15" t="str">
        <f>IFERROR((s_dir!AP21/(d_Bv!O21+s_MLF_okra)),".")</f>
        <v>.</v>
      </c>
      <c r="BQ21" s="15" t="str">
        <f>IFERROR((s_dir!AQ21/(d_Bv!P21+s_MLF_onion)),".")</f>
        <v>.</v>
      </c>
      <c r="BR21" s="15" t="str">
        <f>IFERROR((s_dir!AR21/(d_Bv!Q21+s_MLF_peach)),".")</f>
        <v>.</v>
      </c>
      <c r="BS21" s="15" t="str">
        <f>IFERROR((s_dir!AS21/(d_Bv!R21+s_MLF_pear)),".")</f>
        <v>.</v>
      </c>
      <c r="BT21" s="15" t="str">
        <f>IFERROR((s_dir!AT21/(d_Bv!S21+s_MLF_peas)),".")</f>
        <v>.</v>
      </c>
      <c r="BU21" s="15" t="str">
        <f>IFERROR((s_dir!AU21/(d_Bv!T21+s_MLF_peppers)),".")</f>
        <v>.</v>
      </c>
      <c r="BV21" s="15" t="str">
        <f>IFERROR((s_dir!AV21/(d_Bv!U21+s_MLF_potato)),".")</f>
        <v>.</v>
      </c>
      <c r="BW21" s="15" t="str">
        <f>IFERROR((s_dir!AW21/(d_Bv!V21+s_MLF_pumpkin)),".")</f>
        <v>.</v>
      </c>
      <c r="BX21" s="15" t="str">
        <f>IFERROR((s_dir!AX21/(d_Bv!W21+s_MLF_snap_bean)),".")</f>
        <v>.</v>
      </c>
      <c r="BY21" s="15" t="str">
        <f>IFERROR((s_dir!AY21/(d_Bv!X21+s_MLF_strawberry)),".")</f>
        <v>.</v>
      </c>
      <c r="BZ21" s="15" t="str">
        <f>IFERROR((s_dir!AZ21/(d_Bv!Y21+s_MLF_tomato)),".")</f>
        <v>.</v>
      </c>
      <c r="CA21" s="15" t="str">
        <f>IFERROR((s_dir!BA21/(d_Bv!Z21+s_MLF_rice)),".")</f>
        <v>.</v>
      </c>
      <c r="CB21" s="15" t="str">
        <f>IFERROR((s_dir!BB21/(d_Bv!AA21+s_MLF_cereal)),".")</f>
        <v>.</v>
      </c>
      <c r="CC21" s="40">
        <f t="shared" si="3"/>
        <v>10230.549999999999</v>
      </c>
      <c r="CD21" s="40">
        <f>IFERROR(s_C*(d_Bv!C21+s_MLF_apple)*s_IFAP_far_adj*s_CF_apple,".")</f>
        <v>2072.125</v>
      </c>
      <c r="CE21" s="40">
        <f>IFERROR(s_C*(d_Bv!D21+s_MLF_asparagus)*s_IFAS_far_adj*s_CF_asparagus,".")</f>
        <v>3161.1250000000005</v>
      </c>
      <c r="CF21" s="40">
        <f>IFERROR(s_C*(d_Bv!E21+s_MLF_beet)*s_IFBT_far_adj*s_CF_beet,".")</f>
        <v>2919.1249999999995</v>
      </c>
      <c r="CG21" s="40">
        <f>IFERROR(s_C*(d_Bv!F21+s_MLF_berries)*s_IFBR_far_adj*s_CF_berries,".")</f>
        <v>2072.125</v>
      </c>
      <c r="CH21" s="40">
        <f>IFERROR(s_C*(d_Bv!G21+s_MLF_broccoli)*s_IFBR_far_adj*s_CF_broccoli,".")</f>
        <v>2072.125</v>
      </c>
      <c r="CI21" s="40">
        <f>IFERROR(s_C*(d_Bv!H21+s_MLF_cabbage)*s_IFCB_far_adj*s_CF_cabbage,".")</f>
        <v>3161.1250000000005</v>
      </c>
      <c r="CJ21" s="40">
        <f>IFERROR(s_C*(d_Bv!I21+s_MLF_carrot)*s_IFCR_far_adj*s_CF_carrot,".")</f>
        <v>2919.1249999999995</v>
      </c>
      <c r="CK21" s="40">
        <f>IFERROR(s_C*(d_Bv!J21+s_MLF_citrus)*s_IFCI_far_adj*s_CF_citrus,".")</f>
        <v>2072.125</v>
      </c>
      <c r="CL21" s="40">
        <f>IFERROR(s_C*(d_Bv!K21+s_MLF_corn)*s_IFCO_far_adj*s_CF_corn,".")</f>
        <v>2078.1749999999997</v>
      </c>
      <c r="CM21" s="40">
        <f>IFERROR(s_C*(d_Bv!L21+s_MLF_cucumber)*s_IFCU_far_adj*s_CF_cucumber,".")</f>
        <v>2072.125</v>
      </c>
      <c r="CN21" s="40">
        <f>IFERROR(s_C*(d_Bv!M21+s_MLF_lettuce)*s_IFLE_far_adj*s_CF_lettuce,".")</f>
        <v>3161.1250000000005</v>
      </c>
      <c r="CO21" s="40">
        <f>IFERROR(s_C*(d_Bv!N21+s_MLF_lima_bean)*s_IFLI_far_adj*s_CF_lima_bean,".")</f>
        <v>2082.7124999999996</v>
      </c>
      <c r="CP21" s="40">
        <f>IFERROR(s_C*(d_Bv!O21+s_MLF_okra)*s_IFOK_far_adj*s_CF_okra,".")</f>
        <v>2072.125</v>
      </c>
      <c r="CQ21" s="40">
        <f>IFERROR(s_C*(d_Bv!P21+s_MLF_onion)*s_IFON_far_adj*s_CF_onion,".")</f>
        <v>2919.1249999999995</v>
      </c>
      <c r="CR21" s="40">
        <f>IFERROR(s_C*(d_Bv!Q21+s_MLF_peach)*s_IFPC_far_adj*s_CF_peach,".")</f>
        <v>2072.125</v>
      </c>
      <c r="CS21" s="40">
        <f>IFERROR(s_C*(d_Bv!R21+s_MLF_pear)*s_IFPR_far_adj*s_CF_pear,".")</f>
        <v>2072.125</v>
      </c>
      <c r="CT21" s="40">
        <f>IFERROR(s_C*(d_Bv!S21+s_MLF_peas)*s_IFPE_far_adj*s_CF_peas,".")</f>
        <v>2082.7124999999996</v>
      </c>
      <c r="CU21" s="40">
        <f>IFERROR(s_C*(d_Bv!T21+s_MLF_peppers)*s_IFPP_far_adj*s_CF_peppers,".")</f>
        <v>2072.125</v>
      </c>
      <c r="CV21" s="40">
        <f>IFERROR(s_C*(d_Bv!U21+s_MLF_potato)*s_IFPT_far_adj*s_CF_potato,".")</f>
        <v>2450.2499999999995</v>
      </c>
      <c r="CW21" s="40">
        <f>IFERROR(s_C*(d_Bv!V21+s_MLF_pumpkin)*s_IFPU_far_adj*s_CF_pumpkin,".")</f>
        <v>2072.125</v>
      </c>
      <c r="CX21" s="40">
        <f>IFERROR(s_C*(d_Bv!W21+s_MLF_snap_bean)*s_IFSN_far_adj*s_CF_snap_bean,".")</f>
        <v>2082.7124999999996</v>
      </c>
      <c r="CY21" s="40">
        <f>IFERROR(s_C*(d_Bv!X21+s_MLF_strawberry)*s_IFST_far_adj*s_CF_strawberry,".")</f>
        <v>2072.125</v>
      </c>
      <c r="CZ21" s="40">
        <f>IFERROR(s_C*(d_Bv!Y21+s_MLF_tomato)*s_IFTO_far_adj*s_CF_tomato,".")</f>
        <v>2072.125</v>
      </c>
      <c r="DA21" s="40">
        <f>IFERROR(s_C*(d_Bv!Z21+s_MLF_rice)*s_IFRI_far_adj*s_CF_rice,".")</f>
        <v>4008.125</v>
      </c>
      <c r="DB21" s="40">
        <f>IFERROR(s_C*(d_Bv!AA21+s_MLF_cereal)*s_IFCG_far_adj*s_CF_cereal,".")</f>
        <v>2078.1749999999997</v>
      </c>
    </row>
    <row r="22" spans="1:106" ht="15" customHeight="1" x14ac:dyDescent="0.25">
      <c r="A22" s="44" t="s">
        <v>32</v>
      </c>
      <c r="B22" s="42" t="s">
        <v>1071</v>
      </c>
      <c r="C22" s="15">
        <f t="shared" si="0"/>
        <v>21.775105411876723</v>
      </c>
      <c r="D22" s="15">
        <f>IFERROR((s_dir!D22/(d_Bv!C22+s_MLF_apple)),".")</f>
        <v>91.612964769031976</v>
      </c>
      <c r="E22" s="15">
        <f>IFERROR((s_dir!E22/(d_Bv!D22+s_MLF_asparagus)),".")</f>
        <v>20.601958584423461</v>
      </c>
      <c r="F22" s="15">
        <f>IFERROR((s_dir!F22/(d_Bv!E22+s_MLF_beet)),".")</f>
        <v>25.783289485895228</v>
      </c>
      <c r="G22" s="15">
        <f>IFERROR((s_dir!G22/(d_Bv!F22+s_MLF_berries)),".")</f>
        <v>91.612964769031976</v>
      </c>
      <c r="H22" s="15">
        <f>IFERROR((s_dir!H22/(d_Bv!G22+s_MLF_broccoli)),".")</f>
        <v>70.587038428598419</v>
      </c>
      <c r="I22" s="15">
        <f>IFERROR((s_dir!I22/(d_Bv!H22+s_MLF_cabbage)),".")</f>
        <v>20.601958584423461</v>
      </c>
      <c r="J22" s="15">
        <f>IFERROR((s_dir!J22/(d_Bv!I22+s_MLF_carrot)),".")</f>
        <v>25.783289485895228</v>
      </c>
      <c r="K22" s="15">
        <f>IFERROR((s_dir!K22/(d_Bv!J22+s_MLF_citrus)),".")</f>
        <v>91.612964769031976</v>
      </c>
      <c r="L22" s="15">
        <f>IFERROR((s_dir!L22/(d_Bv!K22+s_MLF_corn)),".")</f>
        <v>135.40280956429254</v>
      </c>
      <c r="M22" s="15">
        <f>IFERROR((s_dir!M22/(d_Bv!L22+s_MLF_cucumber)),".")</f>
        <v>70.587038428598419</v>
      </c>
      <c r="N22" s="15">
        <f>IFERROR((s_dir!N22/(d_Bv!M22+s_MLF_lettuce)),".")</f>
        <v>20.601958584423461</v>
      </c>
      <c r="O22" s="15">
        <f>IFERROR((s_dir!O22/(d_Bv!N22+s_MLF_lima_bean)),".")</f>
        <v>78.287442620809145</v>
      </c>
      <c r="P22" s="15">
        <f>IFERROR((s_dir!P22/(d_Bv!O22+s_MLF_okra)),".")</f>
        <v>70.587038428598419</v>
      </c>
      <c r="Q22" s="15">
        <f>IFERROR((s_dir!Q22/(d_Bv!P22+s_MLF_onion)),".")</f>
        <v>25.783289485895228</v>
      </c>
      <c r="R22" s="15">
        <f>IFERROR((s_dir!R22/(d_Bv!Q22+s_MLF_peach)),".")</f>
        <v>91.612964769031976</v>
      </c>
      <c r="S22" s="15">
        <f>IFERROR((s_dir!S22/(d_Bv!R22+s_MLF_pear)),".")</f>
        <v>91.612964769031976</v>
      </c>
      <c r="T22" s="15">
        <f>IFERROR((s_dir!T22/(d_Bv!S22+s_MLF_peas)),".")</f>
        <v>78.287442620809145</v>
      </c>
      <c r="U22" s="15">
        <f>IFERROR((s_dir!U22/(d_Bv!T22+s_MLF_peppers)),".")</f>
        <v>70.587038428598419</v>
      </c>
      <c r="V22" s="15">
        <f>IFERROR((s_dir!V22/(d_Bv!U22+s_MLF_potato)),".")</f>
        <v>87.873660084581687</v>
      </c>
      <c r="W22" s="15">
        <f>IFERROR((s_dir!W22/(d_Bv!V22+s_MLF_pumpkin)),".")</f>
        <v>70.587038428598419</v>
      </c>
      <c r="X22" s="15">
        <f>IFERROR((s_dir!X22/(d_Bv!W22+s_MLF_snap_bean)),".")</f>
        <v>78.287442620809145</v>
      </c>
      <c r="Y22" s="15">
        <f>IFERROR((s_dir!Y22/(d_Bv!X22+s_MLF_strawberry)),".")</f>
        <v>91.612964769031976</v>
      </c>
      <c r="Z22" s="15">
        <f>IFERROR((s_dir!Z22/(d_Bv!Y22+s_MLF_tomato)),".")</f>
        <v>70.587038428598419</v>
      </c>
      <c r="AA22" s="15">
        <f>IFERROR((s_dir!AA22/(d_Bv!Z22+s_MLF_rice)),".")</f>
        <v>149.81939262854917</v>
      </c>
      <c r="AB22" s="15">
        <f>IFERROR((s_dir!AB22/(d_Bv!AA22+s_MLF_cereal)),".")</f>
        <v>70.587038428598419</v>
      </c>
      <c r="AC22" s="40">
        <f t="shared" si="1"/>
        <v>14954.0875</v>
      </c>
      <c r="AD22" s="40">
        <f>s_C*(d_Bv!C22+s_MLF_apple)*s_IFAP_res_adj*s_CF_apple</f>
        <v>3554.375</v>
      </c>
      <c r="AE22" s="40">
        <f>s_C*(d_Bv!D22+s_MLF_asparagus)*s_IFAS_res_adj*s_CF_asparagus</f>
        <v>15805.624999999998</v>
      </c>
      <c r="AF22" s="40">
        <f>s_C*(d_Bv!E22+s_MLF_beet)*s_IFBT_res_adj*s_CF_beet</f>
        <v>12629.375000000002</v>
      </c>
      <c r="AG22" s="40">
        <f>s_C*(d_Bv!F22+s_MLF_berries)*s_IFBE_res_adj*s_CF_berries</f>
        <v>3554.375</v>
      </c>
      <c r="AH22" s="40">
        <f>s_C*(d_Bv!G22+s_MLF_broccoli)*s_IFBR_res_adj*s_CF_broccoli</f>
        <v>4613.125</v>
      </c>
      <c r="AI22" s="40">
        <f>s_C*(d_Bv!H22+s_MLF_cabbage)*s_IFCB_res_adj*s_CF_cabbage</f>
        <v>15805.624999999998</v>
      </c>
      <c r="AJ22" s="40">
        <f>s_C*(d_Bv!I22+s_MLF_carrot)*s_IFCR_res_adj*s_CF_carrot</f>
        <v>12629.375000000002</v>
      </c>
      <c r="AK22" s="40">
        <f>s_C*(d_Bv!J22+s_MLF_citrus)*s_IFCI_res_adj*s_CF_citrus</f>
        <v>3554.375</v>
      </c>
      <c r="AL22" s="40">
        <f>s_C*(d_Bv!K22+s_MLF_corn)*s_IFCO_res_adj*s_CF_corn</f>
        <v>2404.875</v>
      </c>
      <c r="AM22" s="40">
        <f>s_C*(d_Bv!L22+s_MLF_cucumber)*s_IFCU_res_adj*s_CF_cucumber</f>
        <v>4613.125</v>
      </c>
      <c r="AN22" s="40">
        <f>s_C*(d_Bv!M22+s_MLF_lettuce)*s_IFLE_res_adj*s_CF_lettuce</f>
        <v>15805.624999999998</v>
      </c>
      <c r="AO22" s="40">
        <f>s_C*(d_Bv!N22+s_MLF_lima_bean)*s_IFLI_res_adj*s_CF_lima_bean</f>
        <v>4159.375</v>
      </c>
      <c r="AP22" s="40">
        <f>s_C*(d_Bv!O22+s_MLF_okra)*s_IFOK_res_adj*s_CF_okra</f>
        <v>4613.125</v>
      </c>
      <c r="AQ22" s="40">
        <f>s_C*(d_Bv!P22+s_MLF_onion)*s_IFON_res_adj*s_CF_onion</f>
        <v>12629.375000000002</v>
      </c>
      <c r="AR22" s="40">
        <f>s_C*(d_Bv!Q22+s_MLF_peach)*s_IFPC_res_adj*s_CF_peach</f>
        <v>3554.375</v>
      </c>
      <c r="AS22" s="40">
        <f>s_C*(d_Bv!R22+s_MLF_pear)*s_IFPR_res_adj*s_CF_pear</f>
        <v>3554.375</v>
      </c>
      <c r="AT22" s="40">
        <f>s_C*(d_Bv!S22+s_MLF_peas)*s_IFPE_res_adj*s_CF_peas</f>
        <v>4159.375</v>
      </c>
      <c r="AU22" s="40">
        <f>s_C*(d_Bv!T22+s_MLF_peppers)*s_IFPP_res_adj*s_CF_peppers</f>
        <v>4613.125</v>
      </c>
      <c r="AV22" s="40">
        <f>s_C*(d_Bv!U22+s_MLF_potato)*s_IFPT_res_adj*s_CF_potato</f>
        <v>3705.625</v>
      </c>
      <c r="AW22" s="40">
        <f>s_C*(d_Bv!V22+s_MLF_pumpkin)*s_IFPU_res_adj*s_CF_pumpkin</f>
        <v>4613.125</v>
      </c>
      <c r="AX22" s="40">
        <f>s_C*(d_Bv!W22+s_MLF_snap_bean)*s_IFSN_res_adj*s_CF_snap_bean</f>
        <v>4159.375</v>
      </c>
      <c r="AY22" s="40">
        <f>s_C*(d_Bv!X22+s_MLF_strawberry)*s_IFST_res_adj*s_CF_strawberry</f>
        <v>3554.375</v>
      </c>
      <c r="AZ22" s="40">
        <f>s_C*(d_Bv!Y22+s_MLF_tomato)*s_IFTO_res_adj*s_CF_tomato</f>
        <v>4613.125</v>
      </c>
      <c r="BA22" s="40">
        <f>s_C*(d_Bv!Z22+s_MLF_rice)*s_IFRI_res_adj*s_CF_rice</f>
        <v>2173.4625000000001</v>
      </c>
      <c r="BB22" s="40">
        <f>s_C*(d_Bv!AA22+s_MLF_cereal)*s_IFCG_res_adj*s_CF_cereal</f>
        <v>4613.125</v>
      </c>
      <c r="BC22" s="15">
        <f t="shared" si="2"/>
        <v>21.775105411876723</v>
      </c>
      <c r="BD22" s="15">
        <f>IFERROR((s_dir!AD22/(d_Bv!C22+s_MLF_apple)),".")</f>
        <v>91.612964769031976</v>
      </c>
      <c r="BE22" s="15">
        <f>IFERROR((s_dir!AE22/(d_Bv!D22+s_MLF_asparagus)),".")</f>
        <v>20.601958584423461</v>
      </c>
      <c r="BF22" s="15">
        <f>IFERROR((s_dir!AF22/(d_Bv!E22+s_MLF_beet)),".")</f>
        <v>25.783289485895228</v>
      </c>
      <c r="BG22" s="15">
        <f>IFERROR((s_dir!AG22/(d_Bv!F22+s_MLF_berries)),".")</f>
        <v>91.612964769031976</v>
      </c>
      <c r="BH22" s="15">
        <f>IFERROR((s_dir!AH22/(d_Bv!G22+s_MLF_broccoli)),".")</f>
        <v>70.587038428598419</v>
      </c>
      <c r="BI22" s="15">
        <f>IFERROR((s_dir!AI22/(d_Bv!H22+s_MLF_cabbage)),".")</f>
        <v>20.601958584423461</v>
      </c>
      <c r="BJ22" s="15">
        <f>IFERROR((s_dir!AJ22/(d_Bv!I22+s_MLF_carrot)),".")</f>
        <v>25.783289485895228</v>
      </c>
      <c r="BK22" s="15">
        <f>IFERROR((s_dir!AK22/(d_Bv!J22+s_MLF_citrus)),".")</f>
        <v>91.612964769031976</v>
      </c>
      <c r="BL22" s="15">
        <f>IFERROR((s_dir!AL22/(d_Bv!K22+s_MLF_corn)),".")</f>
        <v>135.40280956429254</v>
      </c>
      <c r="BM22" s="15">
        <f>IFERROR((s_dir!AM22/(d_Bv!L22+s_MLF_cucumber)),".")</f>
        <v>70.587038428598419</v>
      </c>
      <c r="BN22" s="15">
        <f>IFERROR((s_dir!AN22/(d_Bv!M22+s_MLF_lettuce)),".")</f>
        <v>20.601958584423461</v>
      </c>
      <c r="BO22" s="15">
        <f>IFERROR((s_dir!AO22/(d_Bv!N22+s_MLF_lima_bean)),".")</f>
        <v>78.287442620809145</v>
      </c>
      <c r="BP22" s="15">
        <f>IFERROR((s_dir!AP22/(d_Bv!O22+s_MLF_okra)),".")</f>
        <v>70.587038428598419</v>
      </c>
      <c r="BQ22" s="15">
        <f>IFERROR((s_dir!AQ22/(d_Bv!P22+s_MLF_onion)),".")</f>
        <v>25.783289485895228</v>
      </c>
      <c r="BR22" s="15">
        <f>IFERROR((s_dir!AR22/(d_Bv!Q22+s_MLF_peach)),".")</f>
        <v>91.612964769031976</v>
      </c>
      <c r="BS22" s="15">
        <f>IFERROR((s_dir!AS22/(d_Bv!R22+s_MLF_pear)),".")</f>
        <v>91.612964769031976</v>
      </c>
      <c r="BT22" s="15">
        <f>IFERROR((s_dir!AT22/(d_Bv!S22+s_MLF_peas)),".")</f>
        <v>78.287442620809145</v>
      </c>
      <c r="BU22" s="15">
        <f>IFERROR((s_dir!AU22/(d_Bv!T22+s_MLF_peppers)),".")</f>
        <v>70.587038428598419</v>
      </c>
      <c r="BV22" s="15">
        <f>IFERROR((s_dir!AV22/(d_Bv!U22+s_MLF_potato)),".")</f>
        <v>87.873660084581687</v>
      </c>
      <c r="BW22" s="15">
        <f>IFERROR((s_dir!AW22/(d_Bv!V22+s_MLF_pumpkin)),".")</f>
        <v>70.587038428598419</v>
      </c>
      <c r="BX22" s="15">
        <f>IFERROR((s_dir!AX22/(d_Bv!W22+s_MLF_snap_bean)),".")</f>
        <v>78.287442620809145</v>
      </c>
      <c r="BY22" s="15">
        <f>IFERROR((s_dir!AY22/(d_Bv!X22+s_MLF_strawberry)),".")</f>
        <v>91.612964769031976</v>
      </c>
      <c r="BZ22" s="15">
        <f>IFERROR((s_dir!AZ22/(d_Bv!Y22+s_MLF_tomato)),".")</f>
        <v>70.587038428598419</v>
      </c>
      <c r="CA22" s="15">
        <f>IFERROR((s_dir!BA22/(d_Bv!Z22+s_MLF_rice)),".")</f>
        <v>149.81939262854917</v>
      </c>
      <c r="CB22" s="15">
        <f>IFERROR((s_dir!BB22/(d_Bv!AA22+s_MLF_cereal)),".")</f>
        <v>70.587038428598419</v>
      </c>
      <c r="CC22" s="40">
        <f t="shared" si="3"/>
        <v>14954.0875</v>
      </c>
      <c r="CD22" s="40">
        <f>IFERROR(s_C*(d_Bv!C22+s_MLF_apple)*s_IFAP_far_adj*s_CF_apple,".")</f>
        <v>3554.375</v>
      </c>
      <c r="CE22" s="40">
        <f>IFERROR(s_C*(d_Bv!D22+s_MLF_asparagus)*s_IFAS_far_adj*s_CF_asparagus,".")</f>
        <v>15805.624999999998</v>
      </c>
      <c r="CF22" s="40">
        <f>IFERROR(s_C*(d_Bv!E22+s_MLF_beet)*s_IFBT_far_adj*s_CF_beet,".")</f>
        <v>12629.375000000002</v>
      </c>
      <c r="CG22" s="40">
        <f>IFERROR(s_C*(d_Bv!F22+s_MLF_berries)*s_IFBR_far_adj*s_CF_berries,".")</f>
        <v>3554.375</v>
      </c>
      <c r="CH22" s="40">
        <f>IFERROR(s_C*(d_Bv!G22+s_MLF_broccoli)*s_IFBR_far_adj*s_CF_broccoli,".")</f>
        <v>4613.125</v>
      </c>
      <c r="CI22" s="40">
        <f>IFERROR(s_C*(d_Bv!H22+s_MLF_cabbage)*s_IFCB_far_adj*s_CF_cabbage,".")</f>
        <v>15805.624999999998</v>
      </c>
      <c r="CJ22" s="40">
        <f>IFERROR(s_C*(d_Bv!I22+s_MLF_carrot)*s_IFCR_far_adj*s_CF_carrot,".")</f>
        <v>12629.375000000002</v>
      </c>
      <c r="CK22" s="40">
        <f>IFERROR(s_C*(d_Bv!J22+s_MLF_citrus)*s_IFCI_far_adj*s_CF_citrus,".")</f>
        <v>3554.375</v>
      </c>
      <c r="CL22" s="40">
        <f>IFERROR(s_C*(d_Bv!K22+s_MLF_corn)*s_IFCO_far_adj*s_CF_corn,".")</f>
        <v>2404.875</v>
      </c>
      <c r="CM22" s="40">
        <f>IFERROR(s_C*(d_Bv!L22+s_MLF_cucumber)*s_IFCU_far_adj*s_CF_cucumber,".")</f>
        <v>4613.125</v>
      </c>
      <c r="CN22" s="40">
        <f>IFERROR(s_C*(d_Bv!M22+s_MLF_lettuce)*s_IFLE_far_adj*s_CF_lettuce,".")</f>
        <v>15805.624999999998</v>
      </c>
      <c r="CO22" s="40">
        <f>IFERROR(s_C*(d_Bv!N22+s_MLF_lima_bean)*s_IFLI_far_adj*s_CF_lima_bean,".")</f>
        <v>4159.375</v>
      </c>
      <c r="CP22" s="40">
        <f>IFERROR(s_C*(d_Bv!O22+s_MLF_okra)*s_IFOK_far_adj*s_CF_okra,".")</f>
        <v>4613.125</v>
      </c>
      <c r="CQ22" s="40">
        <f>IFERROR(s_C*(d_Bv!P22+s_MLF_onion)*s_IFON_far_adj*s_CF_onion,".")</f>
        <v>12629.375000000002</v>
      </c>
      <c r="CR22" s="40">
        <f>IFERROR(s_C*(d_Bv!Q22+s_MLF_peach)*s_IFPC_far_adj*s_CF_peach,".")</f>
        <v>3554.375</v>
      </c>
      <c r="CS22" s="40">
        <f>IFERROR(s_C*(d_Bv!R22+s_MLF_pear)*s_IFPR_far_adj*s_CF_pear,".")</f>
        <v>3554.375</v>
      </c>
      <c r="CT22" s="40">
        <f>IFERROR(s_C*(d_Bv!S22+s_MLF_peas)*s_IFPE_far_adj*s_CF_peas,".")</f>
        <v>4159.375</v>
      </c>
      <c r="CU22" s="40">
        <f>IFERROR(s_C*(d_Bv!T22+s_MLF_peppers)*s_IFPP_far_adj*s_CF_peppers,".")</f>
        <v>4613.125</v>
      </c>
      <c r="CV22" s="40">
        <f>IFERROR(s_C*(d_Bv!U22+s_MLF_potato)*s_IFPT_far_adj*s_CF_potato,".")</f>
        <v>3705.625</v>
      </c>
      <c r="CW22" s="40">
        <f>IFERROR(s_C*(d_Bv!V22+s_MLF_pumpkin)*s_IFPU_far_adj*s_CF_pumpkin,".")</f>
        <v>4613.125</v>
      </c>
      <c r="CX22" s="40">
        <f>IFERROR(s_C*(d_Bv!W22+s_MLF_snap_bean)*s_IFSN_far_adj*s_CF_snap_bean,".")</f>
        <v>4159.375</v>
      </c>
      <c r="CY22" s="40">
        <f>IFERROR(s_C*(d_Bv!X22+s_MLF_strawberry)*s_IFST_far_adj*s_CF_strawberry,".")</f>
        <v>3554.375</v>
      </c>
      <c r="CZ22" s="40">
        <f>IFERROR(s_C*(d_Bv!Y22+s_MLF_tomato)*s_IFTO_far_adj*s_CF_tomato,".")</f>
        <v>4613.125</v>
      </c>
      <c r="DA22" s="40">
        <f>IFERROR(s_C*(d_Bv!Z22+s_MLF_rice)*s_IFRI_far_adj*s_CF_rice,".")</f>
        <v>2173.4625000000001</v>
      </c>
      <c r="DB22" s="40">
        <f>IFERROR(s_C*(d_Bv!AA22+s_MLF_cereal)*s_IFCG_far_adj*s_CF_cereal,".")</f>
        <v>4613.125</v>
      </c>
    </row>
    <row r="23" spans="1:106" x14ac:dyDescent="0.25">
      <c r="A23" s="46" t="s">
        <v>33</v>
      </c>
      <c r="B23" s="42" t="s">
        <v>349</v>
      </c>
      <c r="C23" s="15">
        <f t="shared" si="0"/>
        <v>6.5012005366394536</v>
      </c>
      <c r="D23" s="15">
        <f>IFERROR((s_dir!D23/(d_Bv!C23+s_MLF_apple)),".")</f>
        <v>27.352072215214584</v>
      </c>
      <c r="E23" s="15">
        <f>IFERROR((s_dir!E23/(d_Bv!D23+s_MLF_asparagus)),".")</f>
        <v>6.1509444694501703</v>
      </c>
      <c r="F23" s="15">
        <f>IFERROR((s_dir!F23/(d_Bv!E23+s_MLF_beet)),".")</f>
        <v>7.6978885875154814</v>
      </c>
      <c r="G23" s="15">
        <f>IFERROR((s_dir!G23/(d_Bv!F23+s_MLF_berries)),".")</f>
        <v>27.352072215214584</v>
      </c>
      <c r="H23" s="15">
        <f>IFERROR((s_dir!H23/(d_Bv!G23+s_MLF_broccoli)),".")</f>
        <v>21.074547444509598</v>
      </c>
      <c r="I23" s="15">
        <f>IFERROR((s_dir!I23/(d_Bv!H23+s_MLF_cabbage)),".")</f>
        <v>6.1509444694501703</v>
      </c>
      <c r="J23" s="15">
        <f>IFERROR((s_dir!J23/(d_Bv!I23+s_MLF_carrot)),".")</f>
        <v>7.6978885875154814</v>
      </c>
      <c r="K23" s="15">
        <f>IFERROR((s_dir!K23/(d_Bv!J23+s_MLF_citrus)),".")</f>
        <v>27.352072215214584</v>
      </c>
      <c r="L23" s="15">
        <f>IFERROR((s_dir!L23/(d_Bv!K23+s_MLF_corn)),".")</f>
        <v>40.426018682864317</v>
      </c>
      <c r="M23" s="15">
        <f>IFERROR((s_dir!M23/(d_Bv!L23+s_MLF_cucumber)),".")</f>
        <v>21.074547444509598</v>
      </c>
      <c r="N23" s="15">
        <f>IFERROR((s_dir!N23/(d_Bv!M23+s_MLF_lettuce)),".")</f>
        <v>6.1509444694501703</v>
      </c>
      <c r="O23" s="15">
        <f>IFERROR((s_dir!O23/(d_Bv!N23+s_MLF_lima_bean)),".")</f>
        <v>23.373588983910643</v>
      </c>
      <c r="P23" s="15">
        <f>IFERROR((s_dir!P23/(d_Bv!O23+s_MLF_okra)),".")</f>
        <v>21.074547444509598</v>
      </c>
      <c r="Q23" s="15">
        <f>IFERROR((s_dir!Q23/(d_Bv!P23+s_MLF_onion)),".")</f>
        <v>7.6978885875154814</v>
      </c>
      <c r="R23" s="15">
        <f>IFERROR((s_dir!R23/(d_Bv!Q23+s_MLF_peach)),".")</f>
        <v>27.352072215214584</v>
      </c>
      <c r="S23" s="15">
        <f>IFERROR((s_dir!S23/(d_Bv!R23+s_MLF_pear)),".")</f>
        <v>27.352072215214584</v>
      </c>
      <c r="T23" s="15">
        <f>IFERROR((s_dir!T23/(d_Bv!S23+s_MLF_peas)),".")</f>
        <v>23.373588983910643</v>
      </c>
      <c r="U23" s="15">
        <f>IFERROR((s_dir!U23/(d_Bv!T23+s_MLF_peppers)),".")</f>
        <v>21.074547444509598</v>
      </c>
      <c r="V23" s="15">
        <f>IFERROR((s_dir!V23/(d_Bv!U23+s_MLF_potato)),".")</f>
        <v>26.235661104389497</v>
      </c>
      <c r="W23" s="15">
        <f>IFERROR((s_dir!W23/(d_Bv!V23+s_MLF_pumpkin)),".")</f>
        <v>21.074547444509598</v>
      </c>
      <c r="X23" s="15">
        <f>IFERROR((s_dir!X23/(d_Bv!W23+s_MLF_snap_bean)),".")</f>
        <v>23.373588983910643</v>
      </c>
      <c r="Y23" s="15">
        <f>IFERROR((s_dir!Y23/(d_Bv!X23+s_MLF_strawberry)),".")</f>
        <v>27.352072215214584</v>
      </c>
      <c r="Z23" s="15">
        <f>IFERROR((s_dir!Z23/(d_Bv!Y23+s_MLF_tomato)),".")</f>
        <v>21.074547444509598</v>
      </c>
      <c r="AA23" s="15">
        <f>IFERROR((s_dir!AA23/(d_Bv!Z23+s_MLF_rice)),".")</f>
        <v>44.730250317156766</v>
      </c>
      <c r="AB23" s="15">
        <f>IFERROR((s_dir!AB23/(d_Bv!AA23+s_MLF_cereal)),".")</f>
        <v>21.074547444509598</v>
      </c>
      <c r="AC23" s="40">
        <f t="shared" si="1"/>
        <v>14954.0875</v>
      </c>
      <c r="AD23" s="40">
        <f>s_C*(d_Bv!C23+s_MLF_apple)*s_IFAP_res_adj*s_CF_apple</f>
        <v>3554.375</v>
      </c>
      <c r="AE23" s="40">
        <f>s_C*(d_Bv!D23+s_MLF_asparagus)*s_IFAS_res_adj*s_CF_asparagus</f>
        <v>15805.624999999998</v>
      </c>
      <c r="AF23" s="40">
        <f>s_C*(d_Bv!E23+s_MLF_beet)*s_IFBT_res_adj*s_CF_beet</f>
        <v>12629.375000000002</v>
      </c>
      <c r="AG23" s="40">
        <f>s_C*(d_Bv!F23+s_MLF_berries)*s_IFBE_res_adj*s_CF_berries</f>
        <v>3554.375</v>
      </c>
      <c r="AH23" s="40">
        <f>s_C*(d_Bv!G23+s_MLF_broccoli)*s_IFBR_res_adj*s_CF_broccoli</f>
        <v>4613.125</v>
      </c>
      <c r="AI23" s="40">
        <f>s_C*(d_Bv!H23+s_MLF_cabbage)*s_IFCB_res_adj*s_CF_cabbage</f>
        <v>15805.624999999998</v>
      </c>
      <c r="AJ23" s="40">
        <f>s_C*(d_Bv!I23+s_MLF_carrot)*s_IFCR_res_adj*s_CF_carrot</f>
        <v>12629.375000000002</v>
      </c>
      <c r="AK23" s="40">
        <f>s_C*(d_Bv!J23+s_MLF_citrus)*s_IFCI_res_adj*s_CF_citrus</f>
        <v>3554.375</v>
      </c>
      <c r="AL23" s="40">
        <f>s_C*(d_Bv!K23+s_MLF_corn)*s_IFCO_res_adj*s_CF_corn</f>
        <v>2404.875</v>
      </c>
      <c r="AM23" s="40">
        <f>s_C*(d_Bv!L23+s_MLF_cucumber)*s_IFCU_res_adj*s_CF_cucumber</f>
        <v>4613.125</v>
      </c>
      <c r="AN23" s="40">
        <f>s_C*(d_Bv!M23+s_MLF_lettuce)*s_IFLE_res_adj*s_CF_lettuce</f>
        <v>15805.624999999998</v>
      </c>
      <c r="AO23" s="40">
        <f>s_C*(d_Bv!N23+s_MLF_lima_bean)*s_IFLI_res_adj*s_CF_lima_bean</f>
        <v>4159.375</v>
      </c>
      <c r="AP23" s="40">
        <f>s_C*(d_Bv!O23+s_MLF_okra)*s_IFOK_res_adj*s_CF_okra</f>
        <v>4613.125</v>
      </c>
      <c r="AQ23" s="40">
        <f>s_C*(d_Bv!P23+s_MLF_onion)*s_IFON_res_adj*s_CF_onion</f>
        <v>12629.375000000002</v>
      </c>
      <c r="AR23" s="40">
        <f>s_C*(d_Bv!Q23+s_MLF_peach)*s_IFPC_res_adj*s_CF_peach</f>
        <v>3554.375</v>
      </c>
      <c r="AS23" s="40">
        <f>s_C*(d_Bv!R23+s_MLF_pear)*s_IFPR_res_adj*s_CF_pear</f>
        <v>3554.375</v>
      </c>
      <c r="AT23" s="40">
        <f>s_C*(d_Bv!S23+s_MLF_peas)*s_IFPE_res_adj*s_CF_peas</f>
        <v>4159.375</v>
      </c>
      <c r="AU23" s="40">
        <f>s_C*(d_Bv!T23+s_MLF_peppers)*s_IFPP_res_adj*s_CF_peppers</f>
        <v>4613.125</v>
      </c>
      <c r="AV23" s="40">
        <f>s_C*(d_Bv!U23+s_MLF_potato)*s_IFPT_res_adj*s_CF_potato</f>
        <v>3705.625</v>
      </c>
      <c r="AW23" s="40">
        <f>s_C*(d_Bv!V23+s_MLF_pumpkin)*s_IFPU_res_adj*s_CF_pumpkin</f>
        <v>4613.125</v>
      </c>
      <c r="AX23" s="40">
        <f>s_C*(d_Bv!W23+s_MLF_snap_bean)*s_IFSN_res_adj*s_CF_snap_bean</f>
        <v>4159.375</v>
      </c>
      <c r="AY23" s="40">
        <f>s_C*(d_Bv!X23+s_MLF_strawberry)*s_IFST_res_adj*s_CF_strawberry</f>
        <v>3554.375</v>
      </c>
      <c r="AZ23" s="40">
        <f>s_C*(d_Bv!Y23+s_MLF_tomato)*s_IFTO_res_adj*s_CF_tomato</f>
        <v>4613.125</v>
      </c>
      <c r="BA23" s="40">
        <f>s_C*(d_Bv!Z23+s_MLF_rice)*s_IFRI_res_adj*s_CF_rice</f>
        <v>2173.4625000000001</v>
      </c>
      <c r="BB23" s="40">
        <f>s_C*(d_Bv!AA23+s_MLF_cereal)*s_IFCG_res_adj*s_CF_cereal</f>
        <v>4613.125</v>
      </c>
      <c r="BC23" s="15">
        <f t="shared" si="2"/>
        <v>6.5012005366394536</v>
      </c>
      <c r="BD23" s="15">
        <f>IFERROR((s_dir!AD23/(d_Bv!C23+s_MLF_apple)),".")</f>
        <v>27.352072215214584</v>
      </c>
      <c r="BE23" s="15">
        <f>IFERROR((s_dir!AE23/(d_Bv!D23+s_MLF_asparagus)),".")</f>
        <v>6.1509444694501703</v>
      </c>
      <c r="BF23" s="15">
        <f>IFERROR((s_dir!AF23/(d_Bv!E23+s_MLF_beet)),".")</f>
        <v>7.6978885875154814</v>
      </c>
      <c r="BG23" s="15">
        <f>IFERROR((s_dir!AG23/(d_Bv!F23+s_MLF_berries)),".")</f>
        <v>27.352072215214584</v>
      </c>
      <c r="BH23" s="15">
        <f>IFERROR((s_dir!AH23/(d_Bv!G23+s_MLF_broccoli)),".")</f>
        <v>21.074547444509598</v>
      </c>
      <c r="BI23" s="15">
        <f>IFERROR((s_dir!AI23/(d_Bv!H23+s_MLF_cabbage)),".")</f>
        <v>6.1509444694501703</v>
      </c>
      <c r="BJ23" s="15">
        <f>IFERROR((s_dir!AJ23/(d_Bv!I23+s_MLF_carrot)),".")</f>
        <v>7.6978885875154814</v>
      </c>
      <c r="BK23" s="15">
        <f>IFERROR((s_dir!AK23/(d_Bv!J23+s_MLF_citrus)),".")</f>
        <v>27.352072215214584</v>
      </c>
      <c r="BL23" s="15">
        <f>IFERROR((s_dir!AL23/(d_Bv!K23+s_MLF_corn)),".")</f>
        <v>40.426018682864317</v>
      </c>
      <c r="BM23" s="15">
        <f>IFERROR((s_dir!AM23/(d_Bv!L23+s_MLF_cucumber)),".")</f>
        <v>21.074547444509598</v>
      </c>
      <c r="BN23" s="15">
        <f>IFERROR((s_dir!AN23/(d_Bv!M23+s_MLF_lettuce)),".")</f>
        <v>6.1509444694501703</v>
      </c>
      <c r="BO23" s="15">
        <f>IFERROR((s_dir!AO23/(d_Bv!N23+s_MLF_lima_bean)),".")</f>
        <v>23.373588983910643</v>
      </c>
      <c r="BP23" s="15">
        <f>IFERROR((s_dir!AP23/(d_Bv!O23+s_MLF_okra)),".")</f>
        <v>21.074547444509598</v>
      </c>
      <c r="BQ23" s="15">
        <f>IFERROR((s_dir!AQ23/(d_Bv!P23+s_MLF_onion)),".")</f>
        <v>7.6978885875154814</v>
      </c>
      <c r="BR23" s="15">
        <f>IFERROR((s_dir!AR23/(d_Bv!Q23+s_MLF_peach)),".")</f>
        <v>27.352072215214584</v>
      </c>
      <c r="BS23" s="15">
        <f>IFERROR((s_dir!AS23/(d_Bv!R23+s_MLF_pear)),".")</f>
        <v>27.352072215214584</v>
      </c>
      <c r="BT23" s="15">
        <f>IFERROR((s_dir!AT23/(d_Bv!S23+s_MLF_peas)),".")</f>
        <v>23.373588983910643</v>
      </c>
      <c r="BU23" s="15">
        <f>IFERROR((s_dir!AU23/(d_Bv!T23+s_MLF_peppers)),".")</f>
        <v>21.074547444509598</v>
      </c>
      <c r="BV23" s="15">
        <f>IFERROR((s_dir!AV23/(d_Bv!U23+s_MLF_potato)),".")</f>
        <v>26.235661104389497</v>
      </c>
      <c r="BW23" s="15">
        <f>IFERROR((s_dir!AW23/(d_Bv!V23+s_MLF_pumpkin)),".")</f>
        <v>21.074547444509598</v>
      </c>
      <c r="BX23" s="15">
        <f>IFERROR((s_dir!AX23/(d_Bv!W23+s_MLF_snap_bean)),".")</f>
        <v>23.373588983910643</v>
      </c>
      <c r="BY23" s="15">
        <f>IFERROR((s_dir!AY23/(d_Bv!X23+s_MLF_strawberry)),".")</f>
        <v>27.352072215214584</v>
      </c>
      <c r="BZ23" s="15">
        <f>IFERROR((s_dir!AZ23/(d_Bv!Y23+s_MLF_tomato)),".")</f>
        <v>21.074547444509598</v>
      </c>
      <c r="CA23" s="15">
        <f>IFERROR((s_dir!BA23/(d_Bv!Z23+s_MLF_rice)),".")</f>
        <v>44.730250317156766</v>
      </c>
      <c r="CB23" s="15">
        <f>IFERROR((s_dir!BB23/(d_Bv!AA23+s_MLF_cereal)),".")</f>
        <v>21.074547444509598</v>
      </c>
      <c r="CC23" s="40">
        <f t="shared" si="3"/>
        <v>14954.0875</v>
      </c>
      <c r="CD23" s="40">
        <f>IFERROR(s_C*(d_Bv!C23+s_MLF_apple)*s_IFAP_far_adj*s_CF_apple,".")</f>
        <v>3554.375</v>
      </c>
      <c r="CE23" s="40">
        <f>IFERROR(s_C*(d_Bv!D23+s_MLF_asparagus)*s_IFAS_far_adj*s_CF_asparagus,".")</f>
        <v>15805.624999999998</v>
      </c>
      <c r="CF23" s="40">
        <f>IFERROR(s_C*(d_Bv!E23+s_MLF_beet)*s_IFBT_far_adj*s_CF_beet,".")</f>
        <v>12629.375000000002</v>
      </c>
      <c r="CG23" s="40">
        <f>IFERROR(s_C*(d_Bv!F23+s_MLF_berries)*s_IFBR_far_adj*s_CF_berries,".")</f>
        <v>3554.375</v>
      </c>
      <c r="CH23" s="40">
        <f>IFERROR(s_C*(d_Bv!G23+s_MLF_broccoli)*s_IFBR_far_adj*s_CF_broccoli,".")</f>
        <v>4613.125</v>
      </c>
      <c r="CI23" s="40">
        <f>IFERROR(s_C*(d_Bv!H23+s_MLF_cabbage)*s_IFCB_far_adj*s_CF_cabbage,".")</f>
        <v>15805.624999999998</v>
      </c>
      <c r="CJ23" s="40">
        <f>IFERROR(s_C*(d_Bv!I23+s_MLF_carrot)*s_IFCR_far_adj*s_CF_carrot,".")</f>
        <v>12629.375000000002</v>
      </c>
      <c r="CK23" s="40">
        <f>IFERROR(s_C*(d_Bv!J23+s_MLF_citrus)*s_IFCI_far_adj*s_CF_citrus,".")</f>
        <v>3554.375</v>
      </c>
      <c r="CL23" s="40">
        <f>IFERROR(s_C*(d_Bv!K23+s_MLF_corn)*s_IFCO_far_adj*s_CF_corn,".")</f>
        <v>2404.875</v>
      </c>
      <c r="CM23" s="40">
        <f>IFERROR(s_C*(d_Bv!L23+s_MLF_cucumber)*s_IFCU_far_adj*s_CF_cucumber,".")</f>
        <v>4613.125</v>
      </c>
      <c r="CN23" s="40">
        <f>IFERROR(s_C*(d_Bv!M23+s_MLF_lettuce)*s_IFLE_far_adj*s_CF_lettuce,".")</f>
        <v>15805.624999999998</v>
      </c>
      <c r="CO23" s="40">
        <f>IFERROR(s_C*(d_Bv!N23+s_MLF_lima_bean)*s_IFLI_far_adj*s_CF_lima_bean,".")</f>
        <v>4159.375</v>
      </c>
      <c r="CP23" s="40">
        <f>IFERROR(s_C*(d_Bv!O23+s_MLF_okra)*s_IFOK_far_adj*s_CF_okra,".")</f>
        <v>4613.125</v>
      </c>
      <c r="CQ23" s="40">
        <f>IFERROR(s_C*(d_Bv!P23+s_MLF_onion)*s_IFON_far_adj*s_CF_onion,".")</f>
        <v>12629.375000000002</v>
      </c>
      <c r="CR23" s="40">
        <f>IFERROR(s_C*(d_Bv!Q23+s_MLF_peach)*s_IFPC_far_adj*s_CF_peach,".")</f>
        <v>3554.375</v>
      </c>
      <c r="CS23" s="40">
        <f>IFERROR(s_C*(d_Bv!R23+s_MLF_pear)*s_IFPR_far_adj*s_CF_pear,".")</f>
        <v>3554.375</v>
      </c>
      <c r="CT23" s="40">
        <f>IFERROR(s_C*(d_Bv!S23+s_MLF_peas)*s_IFPE_far_adj*s_CF_peas,".")</f>
        <v>4159.375</v>
      </c>
      <c r="CU23" s="40">
        <f>IFERROR(s_C*(d_Bv!T23+s_MLF_peppers)*s_IFPP_far_adj*s_CF_peppers,".")</f>
        <v>4613.125</v>
      </c>
      <c r="CV23" s="40">
        <f>IFERROR(s_C*(d_Bv!U23+s_MLF_potato)*s_IFPT_far_adj*s_CF_potato,".")</f>
        <v>3705.625</v>
      </c>
      <c r="CW23" s="40">
        <f>IFERROR(s_C*(d_Bv!V23+s_MLF_pumpkin)*s_IFPU_far_adj*s_CF_pumpkin,".")</f>
        <v>4613.125</v>
      </c>
      <c r="CX23" s="40">
        <f>IFERROR(s_C*(d_Bv!W23+s_MLF_snap_bean)*s_IFSN_far_adj*s_CF_snap_bean,".")</f>
        <v>4159.375</v>
      </c>
      <c r="CY23" s="40">
        <f>IFERROR(s_C*(d_Bv!X23+s_MLF_strawberry)*s_IFST_far_adj*s_CF_strawberry,".")</f>
        <v>3554.375</v>
      </c>
      <c r="CZ23" s="40">
        <f>IFERROR(s_C*(d_Bv!Y23+s_MLF_tomato)*s_IFTO_far_adj*s_CF_tomato,".")</f>
        <v>4613.125</v>
      </c>
      <c r="DA23" s="40">
        <f>IFERROR(s_C*(d_Bv!Z23+s_MLF_rice)*s_IFRI_far_adj*s_CF_rice,".")</f>
        <v>2173.4625000000001</v>
      </c>
      <c r="DB23" s="40">
        <f>IFERROR(s_C*(d_Bv!AA23+s_MLF_cereal)*s_IFCG_far_adj*s_CF_cereal,".")</f>
        <v>4613.125</v>
      </c>
    </row>
    <row r="24" spans="1:106" ht="15" customHeight="1" x14ac:dyDescent="0.25">
      <c r="A24" s="44" t="s">
        <v>34</v>
      </c>
      <c r="B24" s="42" t="s">
        <v>1071</v>
      </c>
      <c r="C24" s="15" t="str">
        <f t="shared" si="0"/>
        <v>.</v>
      </c>
      <c r="D24" s="15" t="str">
        <f>IFERROR((s_dir!D24/(d_Bv!C24+s_MLF_apple)),".")</f>
        <v>.</v>
      </c>
      <c r="E24" s="15" t="str">
        <f>IFERROR((s_dir!E24/(d_Bv!D24+s_MLF_asparagus)),".")</f>
        <v>.</v>
      </c>
      <c r="F24" s="15" t="str">
        <f>IFERROR((s_dir!F24/(d_Bv!E24+s_MLF_beet)),".")</f>
        <v>.</v>
      </c>
      <c r="G24" s="15" t="str">
        <f>IFERROR((s_dir!G24/(d_Bv!F24+s_MLF_berries)),".")</f>
        <v>.</v>
      </c>
      <c r="H24" s="15" t="str">
        <f>IFERROR((s_dir!H24/(d_Bv!G24+s_MLF_broccoli)),".")</f>
        <v>.</v>
      </c>
      <c r="I24" s="15" t="str">
        <f>IFERROR((s_dir!I24/(d_Bv!H24+s_MLF_cabbage)),".")</f>
        <v>.</v>
      </c>
      <c r="J24" s="15" t="str">
        <f>IFERROR((s_dir!J24/(d_Bv!I24+s_MLF_carrot)),".")</f>
        <v>.</v>
      </c>
      <c r="K24" s="15" t="str">
        <f>IFERROR((s_dir!K24/(d_Bv!J24+s_MLF_citrus)),".")</f>
        <v>.</v>
      </c>
      <c r="L24" s="15" t="str">
        <f>IFERROR((s_dir!L24/(d_Bv!K24+s_MLF_corn)),".")</f>
        <v>.</v>
      </c>
      <c r="M24" s="15" t="str">
        <f>IFERROR((s_dir!M24/(d_Bv!L24+s_MLF_cucumber)),".")</f>
        <v>.</v>
      </c>
      <c r="N24" s="15" t="str">
        <f>IFERROR((s_dir!N24/(d_Bv!M24+s_MLF_lettuce)),".")</f>
        <v>.</v>
      </c>
      <c r="O24" s="15" t="str">
        <f>IFERROR((s_dir!O24/(d_Bv!N24+s_MLF_lima_bean)),".")</f>
        <v>.</v>
      </c>
      <c r="P24" s="15" t="str">
        <f>IFERROR((s_dir!P24/(d_Bv!O24+s_MLF_okra)),".")</f>
        <v>.</v>
      </c>
      <c r="Q24" s="15" t="str">
        <f>IFERROR((s_dir!Q24/(d_Bv!P24+s_MLF_onion)),".")</f>
        <v>.</v>
      </c>
      <c r="R24" s="15" t="str">
        <f>IFERROR((s_dir!R24/(d_Bv!Q24+s_MLF_peach)),".")</f>
        <v>.</v>
      </c>
      <c r="S24" s="15" t="str">
        <f>IFERROR((s_dir!S24/(d_Bv!R24+s_MLF_pear)),".")</f>
        <v>.</v>
      </c>
      <c r="T24" s="15" t="str">
        <f>IFERROR((s_dir!T24/(d_Bv!S24+s_MLF_peas)),".")</f>
        <v>.</v>
      </c>
      <c r="U24" s="15" t="str">
        <f>IFERROR((s_dir!U24/(d_Bv!T24+s_MLF_peppers)),".")</f>
        <v>.</v>
      </c>
      <c r="V24" s="15" t="str">
        <f>IFERROR((s_dir!V24/(d_Bv!U24+s_MLF_potato)),".")</f>
        <v>.</v>
      </c>
      <c r="W24" s="15" t="str">
        <f>IFERROR((s_dir!W24/(d_Bv!V24+s_MLF_pumpkin)),".")</f>
        <v>.</v>
      </c>
      <c r="X24" s="15" t="str">
        <f>IFERROR((s_dir!X24/(d_Bv!W24+s_MLF_snap_bean)),".")</f>
        <v>.</v>
      </c>
      <c r="Y24" s="15" t="str">
        <f>IFERROR((s_dir!Y24/(d_Bv!X24+s_MLF_strawberry)),".")</f>
        <v>.</v>
      </c>
      <c r="Z24" s="15" t="str">
        <f>IFERROR((s_dir!Z24/(d_Bv!Y24+s_MLF_tomato)),".")</f>
        <v>.</v>
      </c>
      <c r="AA24" s="15" t="str">
        <f>IFERROR((s_dir!AA24/(d_Bv!Z24+s_MLF_rice)),".")</f>
        <v>.</v>
      </c>
      <c r="AB24" s="15" t="str">
        <f>IFERROR((s_dir!AB24/(d_Bv!AA24+s_MLF_cereal)),".")</f>
        <v>.</v>
      </c>
      <c r="AC24" s="40">
        <f t="shared" si="1"/>
        <v>8167.5000000000009</v>
      </c>
      <c r="AD24" s="40">
        <f>s_C*(d_Bv!C24+s_MLF_apple)*s_IFAP_res_adj*s_CF_apple</f>
        <v>2041.8750000000002</v>
      </c>
      <c r="AE24" s="40">
        <f>s_C*(d_Bv!D24+s_MLF_asparagus)*s_IFAS_res_adj*s_CF_asparagus</f>
        <v>2041.8750000000002</v>
      </c>
      <c r="AF24" s="40">
        <f>s_C*(d_Bv!E24+s_MLF_beet)*s_IFBT_res_adj*s_CF_beet</f>
        <v>2041.8750000000002</v>
      </c>
      <c r="AG24" s="40">
        <f>s_C*(d_Bv!F24+s_MLF_berries)*s_IFBE_res_adj*s_CF_berries</f>
        <v>2041.8750000000002</v>
      </c>
      <c r="AH24" s="40">
        <f>s_C*(d_Bv!G24+s_MLF_broccoli)*s_IFBR_res_adj*s_CF_broccoli</f>
        <v>2041.8750000000002</v>
      </c>
      <c r="AI24" s="40">
        <f>s_C*(d_Bv!H24+s_MLF_cabbage)*s_IFCB_res_adj*s_CF_cabbage</f>
        <v>2041.8750000000002</v>
      </c>
      <c r="AJ24" s="40">
        <f>s_C*(d_Bv!I24+s_MLF_carrot)*s_IFCR_res_adj*s_CF_carrot</f>
        <v>2041.8750000000002</v>
      </c>
      <c r="AK24" s="40">
        <f>s_C*(d_Bv!J24+s_MLF_citrus)*s_IFCI_res_adj*s_CF_citrus</f>
        <v>2041.8750000000002</v>
      </c>
      <c r="AL24" s="40">
        <f>s_C*(d_Bv!K24+s_MLF_corn)*s_IFCO_res_adj*s_CF_corn</f>
        <v>2041.8750000000002</v>
      </c>
      <c r="AM24" s="40">
        <f>s_C*(d_Bv!L24+s_MLF_cucumber)*s_IFCU_res_adj*s_CF_cucumber</f>
        <v>2041.8750000000002</v>
      </c>
      <c r="AN24" s="40">
        <f>s_C*(d_Bv!M24+s_MLF_lettuce)*s_IFLE_res_adj*s_CF_lettuce</f>
        <v>2041.8750000000002</v>
      </c>
      <c r="AO24" s="40">
        <f>s_C*(d_Bv!N24+s_MLF_lima_bean)*s_IFLI_res_adj*s_CF_lima_bean</f>
        <v>2041.8750000000002</v>
      </c>
      <c r="AP24" s="40">
        <f>s_C*(d_Bv!O24+s_MLF_okra)*s_IFOK_res_adj*s_CF_okra</f>
        <v>2041.8750000000002</v>
      </c>
      <c r="AQ24" s="40">
        <f>s_C*(d_Bv!P24+s_MLF_onion)*s_IFON_res_adj*s_CF_onion</f>
        <v>2041.8750000000002</v>
      </c>
      <c r="AR24" s="40">
        <f>s_C*(d_Bv!Q24+s_MLF_peach)*s_IFPC_res_adj*s_CF_peach</f>
        <v>2041.8750000000002</v>
      </c>
      <c r="AS24" s="40">
        <f>s_C*(d_Bv!R24+s_MLF_pear)*s_IFPR_res_adj*s_CF_pear</f>
        <v>2041.8750000000002</v>
      </c>
      <c r="AT24" s="40">
        <f>s_C*(d_Bv!S24+s_MLF_peas)*s_IFPE_res_adj*s_CF_peas</f>
        <v>2041.8750000000002</v>
      </c>
      <c r="AU24" s="40">
        <f>s_C*(d_Bv!T24+s_MLF_peppers)*s_IFPP_res_adj*s_CF_peppers</f>
        <v>2041.8750000000002</v>
      </c>
      <c r="AV24" s="40">
        <f>s_C*(d_Bv!U24+s_MLF_potato)*s_IFPT_res_adj*s_CF_potato</f>
        <v>2041.8750000000002</v>
      </c>
      <c r="AW24" s="40">
        <f>s_C*(d_Bv!V24+s_MLF_pumpkin)*s_IFPU_res_adj*s_CF_pumpkin</f>
        <v>2041.8750000000002</v>
      </c>
      <c r="AX24" s="40">
        <f>s_C*(d_Bv!W24+s_MLF_snap_bean)*s_IFSN_res_adj*s_CF_snap_bean</f>
        <v>2041.8750000000002</v>
      </c>
      <c r="AY24" s="40">
        <f>s_C*(d_Bv!X24+s_MLF_strawberry)*s_IFST_res_adj*s_CF_strawberry</f>
        <v>2041.8750000000002</v>
      </c>
      <c r="AZ24" s="40">
        <f>s_C*(d_Bv!Y24+s_MLF_tomato)*s_IFTO_res_adj*s_CF_tomato</f>
        <v>2041.8750000000002</v>
      </c>
      <c r="BA24" s="40">
        <f>s_C*(d_Bv!Z24+s_MLF_rice)*s_IFRI_res_adj*s_CF_rice</f>
        <v>2041.8750000000002</v>
      </c>
      <c r="BB24" s="40">
        <f>s_C*(d_Bv!AA24+s_MLF_cereal)*s_IFCG_res_adj*s_CF_cereal</f>
        <v>2041.8750000000002</v>
      </c>
      <c r="BC24" s="15" t="str">
        <f t="shared" si="2"/>
        <v>.</v>
      </c>
      <c r="BD24" s="15" t="str">
        <f>IFERROR((s_dir!AD24/(d_Bv!C24+s_MLF_apple)),".")</f>
        <v>.</v>
      </c>
      <c r="BE24" s="15" t="str">
        <f>IFERROR((s_dir!AE24/(d_Bv!D24+s_MLF_asparagus)),".")</f>
        <v>.</v>
      </c>
      <c r="BF24" s="15" t="str">
        <f>IFERROR((s_dir!AF24/(d_Bv!E24+s_MLF_beet)),".")</f>
        <v>.</v>
      </c>
      <c r="BG24" s="15" t="str">
        <f>IFERROR((s_dir!AG24/(d_Bv!F24+s_MLF_berries)),".")</f>
        <v>.</v>
      </c>
      <c r="BH24" s="15" t="str">
        <f>IFERROR((s_dir!AH24/(d_Bv!G24+s_MLF_broccoli)),".")</f>
        <v>.</v>
      </c>
      <c r="BI24" s="15" t="str">
        <f>IFERROR((s_dir!AI24/(d_Bv!H24+s_MLF_cabbage)),".")</f>
        <v>.</v>
      </c>
      <c r="BJ24" s="15" t="str">
        <f>IFERROR((s_dir!AJ24/(d_Bv!I24+s_MLF_carrot)),".")</f>
        <v>.</v>
      </c>
      <c r="BK24" s="15" t="str">
        <f>IFERROR((s_dir!AK24/(d_Bv!J24+s_MLF_citrus)),".")</f>
        <v>.</v>
      </c>
      <c r="BL24" s="15" t="str">
        <f>IFERROR((s_dir!AL24/(d_Bv!K24+s_MLF_corn)),".")</f>
        <v>.</v>
      </c>
      <c r="BM24" s="15" t="str">
        <f>IFERROR((s_dir!AM24/(d_Bv!L24+s_MLF_cucumber)),".")</f>
        <v>.</v>
      </c>
      <c r="BN24" s="15" t="str">
        <f>IFERROR((s_dir!AN24/(d_Bv!M24+s_MLF_lettuce)),".")</f>
        <v>.</v>
      </c>
      <c r="BO24" s="15" t="str">
        <f>IFERROR((s_dir!AO24/(d_Bv!N24+s_MLF_lima_bean)),".")</f>
        <v>.</v>
      </c>
      <c r="BP24" s="15" t="str">
        <f>IFERROR((s_dir!AP24/(d_Bv!O24+s_MLF_okra)),".")</f>
        <v>.</v>
      </c>
      <c r="BQ24" s="15" t="str">
        <f>IFERROR((s_dir!AQ24/(d_Bv!P24+s_MLF_onion)),".")</f>
        <v>.</v>
      </c>
      <c r="BR24" s="15" t="str">
        <f>IFERROR((s_dir!AR24/(d_Bv!Q24+s_MLF_peach)),".")</f>
        <v>.</v>
      </c>
      <c r="BS24" s="15" t="str">
        <f>IFERROR((s_dir!AS24/(d_Bv!R24+s_MLF_pear)),".")</f>
        <v>.</v>
      </c>
      <c r="BT24" s="15" t="str">
        <f>IFERROR((s_dir!AT24/(d_Bv!S24+s_MLF_peas)),".")</f>
        <v>.</v>
      </c>
      <c r="BU24" s="15" t="str">
        <f>IFERROR((s_dir!AU24/(d_Bv!T24+s_MLF_peppers)),".")</f>
        <v>.</v>
      </c>
      <c r="BV24" s="15" t="str">
        <f>IFERROR((s_dir!AV24/(d_Bv!U24+s_MLF_potato)),".")</f>
        <v>.</v>
      </c>
      <c r="BW24" s="15" t="str">
        <f>IFERROR((s_dir!AW24/(d_Bv!V24+s_MLF_pumpkin)),".")</f>
        <v>.</v>
      </c>
      <c r="BX24" s="15" t="str">
        <f>IFERROR((s_dir!AX24/(d_Bv!W24+s_MLF_snap_bean)),".")</f>
        <v>.</v>
      </c>
      <c r="BY24" s="15" t="str">
        <f>IFERROR((s_dir!AY24/(d_Bv!X24+s_MLF_strawberry)),".")</f>
        <v>.</v>
      </c>
      <c r="BZ24" s="15" t="str">
        <f>IFERROR((s_dir!AZ24/(d_Bv!Y24+s_MLF_tomato)),".")</f>
        <v>.</v>
      </c>
      <c r="CA24" s="15" t="str">
        <f>IFERROR((s_dir!BA24/(d_Bv!Z24+s_MLF_rice)),".")</f>
        <v>.</v>
      </c>
      <c r="CB24" s="15" t="str">
        <f>IFERROR((s_dir!BB24/(d_Bv!AA24+s_MLF_cereal)),".")</f>
        <v>.</v>
      </c>
      <c r="CC24" s="40">
        <f t="shared" si="3"/>
        <v>8167.5000000000009</v>
      </c>
      <c r="CD24" s="40">
        <f>IFERROR(s_C*(d_Bv!C24+s_MLF_apple)*s_IFAP_far_adj*s_CF_apple,".")</f>
        <v>2041.8750000000002</v>
      </c>
      <c r="CE24" s="40">
        <f>IFERROR(s_C*(d_Bv!D24+s_MLF_asparagus)*s_IFAS_far_adj*s_CF_asparagus,".")</f>
        <v>2041.8750000000002</v>
      </c>
      <c r="CF24" s="40">
        <f>IFERROR(s_C*(d_Bv!E24+s_MLF_beet)*s_IFBT_far_adj*s_CF_beet,".")</f>
        <v>2041.8750000000002</v>
      </c>
      <c r="CG24" s="40">
        <f>IFERROR(s_C*(d_Bv!F24+s_MLF_berries)*s_IFBR_far_adj*s_CF_berries,".")</f>
        <v>2041.8750000000002</v>
      </c>
      <c r="CH24" s="40">
        <f>IFERROR(s_C*(d_Bv!G24+s_MLF_broccoli)*s_IFBR_far_adj*s_CF_broccoli,".")</f>
        <v>2041.8750000000002</v>
      </c>
      <c r="CI24" s="40">
        <f>IFERROR(s_C*(d_Bv!H24+s_MLF_cabbage)*s_IFCB_far_adj*s_CF_cabbage,".")</f>
        <v>2041.8750000000002</v>
      </c>
      <c r="CJ24" s="40">
        <f>IFERROR(s_C*(d_Bv!I24+s_MLF_carrot)*s_IFCR_far_adj*s_CF_carrot,".")</f>
        <v>2041.8750000000002</v>
      </c>
      <c r="CK24" s="40">
        <f>IFERROR(s_C*(d_Bv!J24+s_MLF_citrus)*s_IFCI_far_adj*s_CF_citrus,".")</f>
        <v>2041.8750000000002</v>
      </c>
      <c r="CL24" s="40">
        <f>IFERROR(s_C*(d_Bv!K24+s_MLF_corn)*s_IFCO_far_adj*s_CF_corn,".")</f>
        <v>2041.8750000000002</v>
      </c>
      <c r="CM24" s="40">
        <f>IFERROR(s_C*(d_Bv!L24+s_MLF_cucumber)*s_IFCU_far_adj*s_CF_cucumber,".")</f>
        <v>2041.8750000000002</v>
      </c>
      <c r="CN24" s="40">
        <f>IFERROR(s_C*(d_Bv!M24+s_MLF_lettuce)*s_IFLE_far_adj*s_CF_lettuce,".")</f>
        <v>2041.8750000000002</v>
      </c>
      <c r="CO24" s="40">
        <f>IFERROR(s_C*(d_Bv!N24+s_MLF_lima_bean)*s_IFLI_far_adj*s_CF_lima_bean,".")</f>
        <v>2041.8750000000002</v>
      </c>
      <c r="CP24" s="40">
        <f>IFERROR(s_C*(d_Bv!O24+s_MLF_okra)*s_IFOK_far_adj*s_CF_okra,".")</f>
        <v>2041.8750000000002</v>
      </c>
      <c r="CQ24" s="40">
        <f>IFERROR(s_C*(d_Bv!P24+s_MLF_onion)*s_IFON_far_adj*s_CF_onion,".")</f>
        <v>2041.8750000000002</v>
      </c>
      <c r="CR24" s="40">
        <f>IFERROR(s_C*(d_Bv!Q24+s_MLF_peach)*s_IFPC_far_adj*s_CF_peach,".")</f>
        <v>2041.8750000000002</v>
      </c>
      <c r="CS24" s="40">
        <f>IFERROR(s_C*(d_Bv!R24+s_MLF_pear)*s_IFPR_far_adj*s_CF_pear,".")</f>
        <v>2041.8750000000002</v>
      </c>
      <c r="CT24" s="40">
        <f>IFERROR(s_C*(d_Bv!S24+s_MLF_peas)*s_IFPE_far_adj*s_CF_peas,".")</f>
        <v>2041.8750000000002</v>
      </c>
      <c r="CU24" s="40">
        <f>IFERROR(s_C*(d_Bv!T24+s_MLF_peppers)*s_IFPP_far_adj*s_CF_peppers,".")</f>
        <v>2041.8750000000002</v>
      </c>
      <c r="CV24" s="40">
        <f>IFERROR(s_C*(d_Bv!U24+s_MLF_potato)*s_IFPT_far_adj*s_CF_potato,".")</f>
        <v>2041.8750000000002</v>
      </c>
      <c r="CW24" s="40">
        <f>IFERROR(s_C*(d_Bv!V24+s_MLF_pumpkin)*s_IFPU_far_adj*s_CF_pumpkin,".")</f>
        <v>2041.8750000000002</v>
      </c>
      <c r="CX24" s="40">
        <f>IFERROR(s_C*(d_Bv!W24+s_MLF_snap_bean)*s_IFSN_far_adj*s_CF_snap_bean,".")</f>
        <v>2041.8750000000002</v>
      </c>
      <c r="CY24" s="40">
        <f>IFERROR(s_C*(d_Bv!X24+s_MLF_strawberry)*s_IFST_far_adj*s_CF_strawberry,".")</f>
        <v>2041.8750000000002</v>
      </c>
      <c r="CZ24" s="40">
        <f>IFERROR(s_C*(d_Bv!Y24+s_MLF_tomato)*s_IFTO_far_adj*s_CF_tomato,".")</f>
        <v>2041.8750000000002</v>
      </c>
      <c r="DA24" s="40">
        <f>IFERROR(s_C*(d_Bv!Z24+s_MLF_rice)*s_IFRI_far_adj*s_CF_rice,".")</f>
        <v>2041.8750000000002</v>
      </c>
      <c r="DB24" s="40">
        <f>IFERROR(s_C*(d_Bv!AA24+s_MLF_cereal)*s_IFCG_far_adj*s_CF_cereal,".")</f>
        <v>2041.8750000000002</v>
      </c>
    </row>
    <row r="25" spans="1:106" x14ac:dyDescent="0.25">
      <c r="A25" s="46" t="s">
        <v>35</v>
      </c>
      <c r="B25" s="42" t="s">
        <v>349</v>
      </c>
      <c r="C25" s="15" t="str">
        <f t="shared" si="0"/>
        <v>.</v>
      </c>
      <c r="D25" s="15" t="str">
        <f>IFERROR((s_dir!D25/(d_Bv!C25+s_MLF_apple)),".")</f>
        <v>.</v>
      </c>
      <c r="E25" s="15" t="str">
        <f>IFERROR((s_dir!E25/(d_Bv!D25+s_MLF_asparagus)),".")</f>
        <v>.</v>
      </c>
      <c r="F25" s="15" t="str">
        <f>IFERROR((s_dir!F25/(d_Bv!E25+s_MLF_beet)),".")</f>
        <v>.</v>
      </c>
      <c r="G25" s="15" t="str">
        <f>IFERROR((s_dir!G25/(d_Bv!F25+s_MLF_berries)),".")</f>
        <v>.</v>
      </c>
      <c r="H25" s="15" t="str">
        <f>IFERROR((s_dir!H25/(d_Bv!G25+s_MLF_broccoli)),".")</f>
        <v>.</v>
      </c>
      <c r="I25" s="15" t="str">
        <f>IFERROR((s_dir!I25/(d_Bv!H25+s_MLF_cabbage)),".")</f>
        <v>.</v>
      </c>
      <c r="J25" s="15" t="str">
        <f>IFERROR((s_dir!J25/(d_Bv!I25+s_MLF_carrot)),".")</f>
        <v>.</v>
      </c>
      <c r="K25" s="15" t="str">
        <f>IFERROR((s_dir!K25/(d_Bv!J25+s_MLF_citrus)),".")</f>
        <v>.</v>
      </c>
      <c r="L25" s="15" t="str">
        <f>IFERROR((s_dir!L25/(d_Bv!K25+s_MLF_corn)),".")</f>
        <v>.</v>
      </c>
      <c r="M25" s="15" t="str">
        <f>IFERROR((s_dir!M25/(d_Bv!L25+s_MLF_cucumber)),".")</f>
        <v>.</v>
      </c>
      <c r="N25" s="15" t="str">
        <f>IFERROR((s_dir!N25/(d_Bv!M25+s_MLF_lettuce)),".")</f>
        <v>.</v>
      </c>
      <c r="O25" s="15" t="str">
        <f>IFERROR((s_dir!O25/(d_Bv!N25+s_MLF_lima_bean)),".")</f>
        <v>.</v>
      </c>
      <c r="P25" s="15" t="str">
        <f>IFERROR((s_dir!P25/(d_Bv!O25+s_MLF_okra)),".")</f>
        <v>.</v>
      </c>
      <c r="Q25" s="15" t="str">
        <f>IFERROR((s_dir!Q25/(d_Bv!P25+s_MLF_onion)),".")</f>
        <v>.</v>
      </c>
      <c r="R25" s="15" t="str">
        <f>IFERROR((s_dir!R25/(d_Bv!Q25+s_MLF_peach)),".")</f>
        <v>.</v>
      </c>
      <c r="S25" s="15" t="str">
        <f>IFERROR((s_dir!S25/(d_Bv!R25+s_MLF_pear)),".")</f>
        <v>.</v>
      </c>
      <c r="T25" s="15" t="str">
        <f>IFERROR((s_dir!T25/(d_Bv!S25+s_MLF_peas)),".")</f>
        <v>.</v>
      </c>
      <c r="U25" s="15" t="str">
        <f>IFERROR((s_dir!U25/(d_Bv!T25+s_MLF_peppers)),".")</f>
        <v>.</v>
      </c>
      <c r="V25" s="15" t="str">
        <f>IFERROR((s_dir!V25/(d_Bv!U25+s_MLF_potato)),".")</f>
        <v>.</v>
      </c>
      <c r="W25" s="15" t="str">
        <f>IFERROR((s_dir!W25/(d_Bv!V25+s_MLF_pumpkin)),".")</f>
        <v>.</v>
      </c>
      <c r="X25" s="15" t="str">
        <f>IFERROR((s_dir!X25/(d_Bv!W25+s_MLF_snap_bean)),".")</f>
        <v>.</v>
      </c>
      <c r="Y25" s="15" t="str">
        <f>IFERROR((s_dir!Y25/(d_Bv!X25+s_MLF_strawberry)),".")</f>
        <v>.</v>
      </c>
      <c r="Z25" s="15" t="str">
        <f>IFERROR((s_dir!Z25/(d_Bv!Y25+s_MLF_tomato)),".")</f>
        <v>.</v>
      </c>
      <c r="AA25" s="15" t="str">
        <f>IFERROR((s_dir!AA25/(d_Bv!Z25+s_MLF_rice)),".")</f>
        <v>.</v>
      </c>
      <c r="AB25" s="15" t="str">
        <f>IFERROR((s_dir!AB25/(d_Bv!AA25+s_MLF_cereal)),".")</f>
        <v>.</v>
      </c>
      <c r="AC25" s="40">
        <f t="shared" si="1"/>
        <v>8167.5000000000009</v>
      </c>
      <c r="AD25" s="40">
        <f>s_C*(d_Bv!C25+s_MLF_apple)*s_IFAP_res_adj*s_CF_apple</f>
        <v>2041.8750000000002</v>
      </c>
      <c r="AE25" s="40">
        <f>s_C*(d_Bv!D25+s_MLF_asparagus)*s_IFAS_res_adj*s_CF_asparagus</f>
        <v>2041.8750000000002</v>
      </c>
      <c r="AF25" s="40">
        <f>s_C*(d_Bv!E25+s_MLF_beet)*s_IFBT_res_adj*s_CF_beet</f>
        <v>2041.8750000000002</v>
      </c>
      <c r="AG25" s="40">
        <f>s_C*(d_Bv!F25+s_MLF_berries)*s_IFBE_res_adj*s_CF_berries</f>
        <v>2041.8750000000002</v>
      </c>
      <c r="AH25" s="40">
        <f>s_C*(d_Bv!G25+s_MLF_broccoli)*s_IFBR_res_adj*s_CF_broccoli</f>
        <v>2041.8750000000002</v>
      </c>
      <c r="AI25" s="40">
        <f>s_C*(d_Bv!H25+s_MLF_cabbage)*s_IFCB_res_adj*s_CF_cabbage</f>
        <v>2041.8750000000002</v>
      </c>
      <c r="AJ25" s="40">
        <f>s_C*(d_Bv!I25+s_MLF_carrot)*s_IFCR_res_adj*s_CF_carrot</f>
        <v>2041.8750000000002</v>
      </c>
      <c r="AK25" s="40">
        <f>s_C*(d_Bv!J25+s_MLF_citrus)*s_IFCI_res_adj*s_CF_citrus</f>
        <v>2041.8750000000002</v>
      </c>
      <c r="AL25" s="40">
        <f>s_C*(d_Bv!K25+s_MLF_corn)*s_IFCO_res_adj*s_CF_corn</f>
        <v>2041.8750000000002</v>
      </c>
      <c r="AM25" s="40">
        <f>s_C*(d_Bv!L25+s_MLF_cucumber)*s_IFCU_res_adj*s_CF_cucumber</f>
        <v>2041.8750000000002</v>
      </c>
      <c r="AN25" s="40">
        <f>s_C*(d_Bv!M25+s_MLF_lettuce)*s_IFLE_res_adj*s_CF_lettuce</f>
        <v>2041.8750000000002</v>
      </c>
      <c r="AO25" s="40">
        <f>s_C*(d_Bv!N25+s_MLF_lima_bean)*s_IFLI_res_adj*s_CF_lima_bean</f>
        <v>2041.8750000000002</v>
      </c>
      <c r="AP25" s="40">
        <f>s_C*(d_Bv!O25+s_MLF_okra)*s_IFOK_res_adj*s_CF_okra</f>
        <v>2041.8750000000002</v>
      </c>
      <c r="AQ25" s="40">
        <f>s_C*(d_Bv!P25+s_MLF_onion)*s_IFON_res_adj*s_CF_onion</f>
        <v>2041.8750000000002</v>
      </c>
      <c r="AR25" s="40">
        <f>s_C*(d_Bv!Q25+s_MLF_peach)*s_IFPC_res_adj*s_CF_peach</f>
        <v>2041.8750000000002</v>
      </c>
      <c r="AS25" s="40">
        <f>s_C*(d_Bv!R25+s_MLF_pear)*s_IFPR_res_adj*s_CF_pear</f>
        <v>2041.8750000000002</v>
      </c>
      <c r="AT25" s="40">
        <f>s_C*(d_Bv!S25+s_MLF_peas)*s_IFPE_res_adj*s_CF_peas</f>
        <v>2041.8750000000002</v>
      </c>
      <c r="AU25" s="40">
        <f>s_C*(d_Bv!T25+s_MLF_peppers)*s_IFPP_res_adj*s_CF_peppers</f>
        <v>2041.8750000000002</v>
      </c>
      <c r="AV25" s="40">
        <f>s_C*(d_Bv!U25+s_MLF_potato)*s_IFPT_res_adj*s_CF_potato</f>
        <v>2041.8750000000002</v>
      </c>
      <c r="AW25" s="40">
        <f>s_C*(d_Bv!V25+s_MLF_pumpkin)*s_IFPU_res_adj*s_CF_pumpkin</f>
        <v>2041.8750000000002</v>
      </c>
      <c r="AX25" s="40">
        <f>s_C*(d_Bv!W25+s_MLF_snap_bean)*s_IFSN_res_adj*s_CF_snap_bean</f>
        <v>2041.8750000000002</v>
      </c>
      <c r="AY25" s="40">
        <f>s_C*(d_Bv!X25+s_MLF_strawberry)*s_IFST_res_adj*s_CF_strawberry</f>
        <v>2041.8750000000002</v>
      </c>
      <c r="AZ25" s="40">
        <f>s_C*(d_Bv!Y25+s_MLF_tomato)*s_IFTO_res_adj*s_CF_tomato</f>
        <v>2041.8750000000002</v>
      </c>
      <c r="BA25" s="40">
        <f>s_C*(d_Bv!Z25+s_MLF_rice)*s_IFRI_res_adj*s_CF_rice</f>
        <v>2041.8750000000002</v>
      </c>
      <c r="BB25" s="40">
        <f>s_C*(d_Bv!AA25+s_MLF_cereal)*s_IFCG_res_adj*s_CF_cereal</f>
        <v>2041.8750000000002</v>
      </c>
      <c r="BC25" s="15" t="str">
        <f t="shared" si="2"/>
        <v>.</v>
      </c>
      <c r="BD25" s="15" t="str">
        <f>IFERROR((s_dir!AD25/(d_Bv!C25+s_MLF_apple)),".")</f>
        <v>.</v>
      </c>
      <c r="BE25" s="15" t="str">
        <f>IFERROR((s_dir!AE25/(d_Bv!D25+s_MLF_asparagus)),".")</f>
        <v>.</v>
      </c>
      <c r="BF25" s="15" t="str">
        <f>IFERROR((s_dir!AF25/(d_Bv!E25+s_MLF_beet)),".")</f>
        <v>.</v>
      </c>
      <c r="BG25" s="15" t="str">
        <f>IFERROR((s_dir!AG25/(d_Bv!F25+s_MLF_berries)),".")</f>
        <v>.</v>
      </c>
      <c r="BH25" s="15" t="str">
        <f>IFERROR((s_dir!AH25/(d_Bv!G25+s_MLF_broccoli)),".")</f>
        <v>.</v>
      </c>
      <c r="BI25" s="15" t="str">
        <f>IFERROR((s_dir!AI25/(d_Bv!H25+s_MLF_cabbage)),".")</f>
        <v>.</v>
      </c>
      <c r="BJ25" s="15" t="str">
        <f>IFERROR((s_dir!AJ25/(d_Bv!I25+s_MLF_carrot)),".")</f>
        <v>.</v>
      </c>
      <c r="BK25" s="15" t="str">
        <f>IFERROR((s_dir!AK25/(d_Bv!J25+s_MLF_citrus)),".")</f>
        <v>.</v>
      </c>
      <c r="BL25" s="15" t="str">
        <f>IFERROR((s_dir!AL25/(d_Bv!K25+s_MLF_corn)),".")</f>
        <v>.</v>
      </c>
      <c r="BM25" s="15" t="str">
        <f>IFERROR((s_dir!AM25/(d_Bv!L25+s_MLF_cucumber)),".")</f>
        <v>.</v>
      </c>
      <c r="BN25" s="15" t="str">
        <f>IFERROR((s_dir!AN25/(d_Bv!M25+s_MLF_lettuce)),".")</f>
        <v>.</v>
      </c>
      <c r="BO25" s="15" t="str">
        <f>IFERROR((s_dir!AO25/(d_Bv!N25+s_MLF_lima_bean)),".")</f>
        <v>.</v>
      </c>
      <c r="BP25" s="15" t="str">
        <f>IFERROR((s_dir!AP25/(d_Bv!O25+s_MLF_okra)),".")</f>
        <v>.</v>
      </c>
      <c r="BQ25" s="15" t="str">
        <f>IFERROR((s_dir!AQ25/(d_Bv!P25+s_MLF_onion)),".")</f>
        <v>.</v>
      </c>
      <c r="BR25" s="15" t="str">
        <f>IFERROR((s_dir!AR25/(d_Bv!Q25+s_MLF_peach)),".")</f>
        <v>.</v>
      </c>
      <c r="BS25" s="15" t="str">
        <f>IFERROR((s_dir!AS25/(d_Bv!R25+s_MLF_pear)),".")</f>
        <v>.</v>
      </c>
      <c r="BT25" s="15" t="str">
        <f>IFERROR((s_dir!AT25/(d_Bv!S25+s_MLF_peas)),".")</f>
        <v>.</v>
      </c>
      <c r="BU25" s="15" t="str">
        <f>IFERROR((s_dir!AU25/(d_Bv!T25+s_MLF_peppers)),".")</f>
        <v>.</v>
      </c>
      <c r="BV25" s="15" t="str">
        <f>IFERROR((s_dir!AV25/(d_Bv!U25+s_MLF_potato)),".")</f>
        <v>.</v>
      </c>
      <c r="BW25" s="15" t="str">
        <f>IFERROR((s_dir!AW25/(d_Bv!V25+s_MLF_pumpkin)),".")</f>
        <v>.</v>
      </c>
      <c r="BX25" s="15" t="str">
        <f>IFERROR((s_dir!AX25/(d_Bv!W25+s_MLF_snap_bean)),".")</f>
        <v>.</v>
      </c>
      <c r="BY25" s="15" t="str">
        <f>IFERROR((s_dir!AY25/(d_Bv!X25+s_MLF_strawberry)),".")</f>
        <v>.</v>
      </c>
      <c r="BZ25" s="15" t="str">
        <f>IFERROR((s_dir!AZ25/(d_Bv!Y25+s_MLF_tomato)),".")</f>
        <v>.</v>
      </c>
      <c r="CA25" s="15" t="str">
        <f>IFERROR((s_dir!BA25/(d_Bv!Z25+s_MLF_rice)),".")</f>
        <v>.</v>
      </c>
      <c r="CB25" s="15" t="str">
        <f>IFERROR((s_dir!BB25/(d_Bv!AA25+s_MLF_cereal)),".")</f>
        <v>.</v>
      </c>
      <c r="CC25" s="40">
        <f t="shared" si="3"/>
        <v>8167.5000000000009</v>
      </c>
      <c r="CD25" s="40">
        <f>IFERROR(s_C*(d_Bv!C25+s_MLF_apple)*s_IFAP_far_adj*s_CF_apple,".")</f>
        <v>2041.8750000000002</v>
      </c>
      <c r="CE25" s="40">
        <f>IFERROR(s_C*(d_Bv!D25+s_MLF_asparagus)*s_IFAS_far_adj*s_CF_asparagus,".")</f>
        <v>2041.8750000000002</v>
      </c>
      <c r="CF25" s="40">
        <f>IFERROR(s_C*(d_Bv!E25+s_MLF_beet)*s_IFBT_far_adj*s_CF_beet,".")</f>
        <v>2041.8750000000002</v>
      </c>
      <c r="CG25" s="40">
        <f>IFERROR(s_C*(d_Bv!F25+s_MLF_berries)*s_IFBR_far_adj*s_CF_berries,".")</f>
        <v>2041.8750000000002</v>
      </c>
      <c r="CH25" s="40">
        <f>IFERROR(s_C*(d_Bv!G25+s_MLF_broccoli)*s_IFBR_far_adj*s_CF_broccoli,".")</f>
        <v>2041.8750000000002</v>
      </c>
      <c r="CI25" s="40">
        <f>IFERROR(s_C*(d_Bv!H25+s_MLF_cabbage)*s_IFCB_far_adj*s_CF_cabbage,".")</f>
        <v>2041.8750000000002</v>
      </c>
      <c r="CJ25" s="40">
        <f>IFERROR(s_C*(d_Bv!I25+s_MLF_carrot)*s_IFCR_far_adj*s_CF_carrot,".")</f>
        <v>2041.8750000000002</v>
      </c>
      <c r="CK25" s="40">
        <f>IFERROR(s_C*(d_Bv!J25+s_MLF_citrus)*s_IFCI_far_adj*s_CF_citrus,".")</f>
        <v>2041.8750000000002</v>
      </c>
      <c r="CL25" s="40">
        <f>IFERROR(s_C*(d_Bv!K25+s_MLF_corn)*s_IFCO_far_adj*s_CF_corn,".")</f>
        <v>2041.8750000000002</v>
      </c>
      <c r="CM25" s="40">
        <f>IFERROR(s_C*(d_Bv!L25+s_MLF_cucumber)*s_IFCU_far_adj*s_CF_cucumber,".")</f>
        <v>2041.8750000000002</v>
      </c>
      <c r="CN25" s="40">
        <f>IFERROR(s_C*(d_Bv!M25+s_MLF_lettuce)*s_IFLE_far_adj*s_CF_lettuce,".")</f>
        <v>2041.8750000000002</v>
      </c>
      <c r="CO25" s="40">
        <f>IFERROR(s_C*(d_Bv!N25+s_MLF_lima_bean)*s_IFLI_far_adj*s_CF_lima_bean,".")</f>
        <v>2041.8750000000002</v>
      </c>
      <c r="CP25" s="40">
        <f>IFERROR(s_C*(d_Bv!O25+s_MLF_okra)*s_IFOK_far_adj*s_CF_okra,".")</f>
        <v>2041.8750000000002</v>
      </c>
      <c r="CQ25" s="40">
        <f>IFERROR(s_C*(d_Bv!P25+s_MLF_onion)*s_IFON_far_adj*s_CF_onion,".")</f>
        <v>2041.8750000000002</v>
      </c>
      <c r="CR25" s="40">
        <f>IFERROR(s_C*(d_Bv!Q25+s_MLF_peach)*s_IFPC_far_adj*s_CF_peach,".")</f>
        <v>2041.8750000000002</v>
      </c>
      <c r="CS25" s="40">
        <f>IFERROR(s_C*(d_Bv!R25+s_MLF_pear)*s_IFPR_far_adj*s_CF_pear,".")</f>
        <v>2041.8750000000002</v>
      </c>
      <c r="CT25" s="40">
        <f>IFERROR(s_C*(d_Bv!S25+s_MLF_peas)*s_IFPE_far_adj*s_CF_peas,".")</f>
        <v>2041.8750000000002</v>
      </c>
      <c r="CU25" s="40">
        <f>IFERROR(s_C*(d_Bv!T25+s_MLF_peppers)*s_IFPP_far_adj*s_CF_peppers,".")</f>
        <v>2041.8750000000002</v>
      </c>
      <c r="CV25" s="40">
        <f>IFERROR(s_C*(d_Bv!U25+s_MLF_potato)*s_IFPT_far_adj*s_CF_potato,".")</f>
        <v>2041.8750000000002</v>
      </c>
      <c r="CW25" s="40">
        <f>IFERROR(s_C*(d_Bv!V25+s_MLF_pumpkin)*s_IFPU_far_adj*s_CF_pumpkin,".")</f>
        <v>2041.8750000000002</v>
      </c>
      <c r="CX25" s="40">
        <f>IFERROR(s_C*(d_Bv!W25+s_MLF_snap_bean)*s_IFSN_far_adj*s_CF_snap_bean,".")</f>
        <v>2041.8750000000002</v>
      </c>
      <c r="CY25" s="40">
        <f>IFERROR(s_C*(d_Bv!X25+s_MLF_strawberry)*s_IFST_far_adj*s_CF_strawberry,".")</f>
        <v>2041.8750000000002</v>
      </c>
      <c r="CZ25" s="40">
        <f>IFERROR(s_C*(d_Bv!Y25+s_MLF_tomato)*s_IFTO_far_adj*s_CF_tomato,".")</f>
        <v>2041.8750000000002</v>
      </c>
      <c r="DA25" s="40">
        <f>IFERROR(s_C*(d_Bv!Z25+s_MLF_rice)*s_IFRI_far_adj*s_CF_rice,".")</f>
        <v>2041.8750000000002</v>
      </c>
      <c r="DB25" s="40">
        <f>IFERROR(s_C*(d_Bv!AA25+s_MLF_cereal)*s_IFCG_far_adj*s_CF_cereal,".")</f>
        <v>2041.8750000000002</v>
      </c>
    </row>
    <row r="26" spans="1:106" ht="15" customHeight="1" x14ac:dyDescent="0.25">
      <c r="A26" s="44" t="s">
        <v>36</v>
      </c>
      <c r="B26" s="42" t="s">
        <v>1071</v>
      </c>
      <c r="C26" s="15">
        <f t="shared" si="0"/>
        <v>19.780323162839576</v>
      </c>
      <c r="D26" s="15">
        <f>IFERROR((s_dir!D26/(d_Bv!C26+s_MLF_apple)),".")</f>
        <v>81.297128199270659</v>
      </c>
      <c r="E26" s="15">
        <f>IFERROR((s_dir!E26/(d_Bv!D26+s_MLF_asparagus)),".")</f>
        <v>77.425836380257778</v>
      </c>
      <c r="F26" s="15">
        <f>IFERROR((s_dir!F26/(d_Bv!E26+s_MLF_beet)),".")</f>
        <v>79.591594041244008</v>
      </c>
      <c r="G26" s="15">
        <f>IFERROR((s_dir!G26/(d_Bv!F26+s_MLF_berries)),".")</f>
        <v>81.297128199270659</v>
      </c>
      <c r="H26" s="15">
        <f>IFERROR((s_dir!H26/(d_Bv!G26+s_MLF_broccoli)),".")</f>
        <v>79.703066862030056</v>
      </c>
      <c r="I26" s="15">
        <f>IFERROR((s_dir!I26/(d_Bv!H26+s_MLF_cabbage)),".")</f>
        <v>77.425836380257778</v>
      </c>
      <c r="J26" s="15">
        <f>IFERROR((s_dir!J26/(d_Bv!I26+s_MLF_carrot)),".")</f>
        <v>79.591594041244008</v>
      </c>
      <c r="K26" s="15">
        <f>IFERROR((s_dir!K26/(d_Bv!J26+s_MLF_citrus)),".")</f>
        <v>81.297128199270659</v>
      </c>
      <c r="L26" s="15">
        <f>IFERROR((s_dir!L26/(d_Bv!K26+s_MLF_corn)),".")</f>
        <v>80.492206137891742</v>
      </c>
      <c r="M26" s="15">
        <f>IFERROR((s_dir!M26/(d_Bv!L26+s_MLF_cucumber)),".")</f>
        <v>79.703066862030056</v>
      </c>
      <c r="N26" s="15">
        <f>IFERROR((s_dir!N26/(d_Bv!M26+s_MLF_lettuce)),".")</f>
        <v>77.425836380257778</v>
      </c>
      <c r="O26" s="15">
        <f>IFERROR((s_dir!O26/(d_Bv!N26+s_MLF_lima_bean)),".")</f>
        <v>81.123292572329959</v>
      </c>
      <c r="P26" s="15">
        <f>IFERROR((s_dir!P26/(d_Bv!O26+s_MLF_okra)),".")</f>
        <v>79.703066862030056</v>
      </c>
      <c r="Q26" s="15">
        <f>IFERROR((s_dir!Q26/(d_Bv!P26+s_MLF_onion)),".")</f>
        <v>79.591594041244008</v>
      </c>
      <c r="R26" s="15">
        <f>IFERROR((s_dir!R26/(d_Bv!Q26+s_MLF_peach)),".")</f>
        <v>81.297128199270659</v>
      </c>
      <c r="S26" s="15">
        <f>IFERROR((s_dir!S26/(d_Bv!R26+s_MLF_pear)),".")</f>
        <v>81.297128199270659</v>
      </c>
      <c r="T26" s="15">
        <f>IFERROR((s_dir!T26/(d_Bv!S26+s_MLF_peas)),".")</f>
        <v>81.123292572329959</v>
      </c>
      <c r="U26" s="15">
        <f>IFERROR((s_dir!U26/(d_Bv!T26+s_MLF_peppers)),".")</f>
        <v>79.703066862030056</v>
      </c>
      <c r="V26" s="15">
        <f>IFERROR((s_dir!V26/(d_Bv!U26+s_MLF_potato)),".")</f>
        <v>83.077357283926219</v>
      </c>
      <c r="W26" s="15">
        <f>IFERROR((s_dir!W26/(d_Bv!V26+s_MLF_pumpkin)),".")</f>
        <v>79.703066862030056</v>
      </c>
      <c r="X26" s="15">
        <f>IFERROR((s_dir!X26/(d_Bv!W26+s_MLF_snap_bean)),".")</f>
        <v>81.123292572329959</v>
      </c>
      <c r="Y26" s="15">
        <f>IFERROR((s_dir!Y26/(d_Bv!X26+s_MLF_strawberry)),".")</f>
        <v>81.297128199270659</v>
      </c>
      <c r="Z26" s="15">
        <f>IFERROR((s_dir!Z26/(d_Bv!Y26+s_MLF_tomato)),".")</f>
        <v>79.703066862030056</v>
      </c>
      <c r="AA26" s="15">
        <f>IFERROR((s_dir!AA26/(d_Bv!Z26+s_MLF_rice)),".")</f>
        <v>83.320629193981645</v>
      </c>
      <c r="AB26" s="15">
        <f>IFERROR((s_dir!AB26/(d_Bv!AA26+s_MLF_cereal)),".")</f>
        <v>72.958961204473667</v>
      </c>
      <c r="AC26" s="40">
        <f t="shared" si="1"/>
        <v>8702.9249999999993</v>
      </c>
      <c r="AD26" s="40">
        <f>s_C*(d_Bv!C26+s_MLF_apple)*s_IFAP_res_adj*s_CF_apple</f>
        <v>2117.5</v>
      </c>
      <c r="AE26" s="40">
        <f>s_C*(d_Bv!D26+s_MLF_asparagus)*s_IFAS_res_adj*s_CF_asparagus</f>
        <v>2223.375</v>
      </c>
      <c r="AF26" s="40">
        <f>s_C*(d_Bv!E26+s_MLF_beet)*s_IFBT_res_adj*s_CF_beet</f>
        <v>2162.8750000000005</v>
      </c>
      <c r="AG26" s="40">
        <f>s_C*(d_Bv!F26+s_MLF_berries)*s_IFBE_res_adj*s_CF_berries</f>
        <v>2117.5</v>
      </c>
      <c r="AH26" s="40">
        <f>s_C*(d_Bv!G26+s_MLF_broccoli)*s_IFBR_res_adj*s_CF_broccoli</f>
        <v>2159.85</v>
      </c>
      <c r="AI26" s="40">
        <f>s_C*(d_Bv!H26+s_MLF_cabbage)*s_IFCB_res_adj*s_CF_cabbage</f>
        <v>2223.375</v>
      </c>
      <c r="AJ26" s="40">
        <f>s_C*(d_Bv!I26+s_MLF_carrot)*s_IFCR_res_adj*s_CF_carrot</f>
        <v>2162.8750000000005</v>
      </c>
      <c r="AK26" s="40">
        <f>s_C*(d_Bv!J26+s_MLF_citrus)*s_IFCI_res_adj*s_CF_citrus</f>
        <v>2117.5</v>
      </c>
      <c r="AL26" s="40">
        <f>s_C*(d_Bv!K26+s_MLF_corn)*s_IFCO_res_adj*s_CF_corn</f>
        <v>2138.6750000000002</v>
      </c>
      <c r="AM26" s="40">
        <f>s_C*(d_Bv!L26+s_MLF_cucumber)*s_IFCU_res_adj*s_CF_cucumber</f>
        <v>2159.85</v>
      </c>
      <c r="AN26" s="40">
        <f>s_C*(d_Bv!M26+s_MLF_lettuce)*s_IFLE_res_adj*s_CF_lettuce</f>
        <v>2223.375</v>
      </c>
      <c r="AO26" s="40">
        <f>s_C*(d_Bv!N26+s_MLF_lima_bean)*s_IFLI_res_adj*s_CF_lima_bean</f>
        <v>2122.0374999999999</v>
      </c>
      <c r="AP26" s="40">
        <f>s_C*(d_Bv!O26+s_MLF_okra)*s_IFOK_res_adj*s_CF_okra</f>
        <v>2159.85</v>
      </c>
      <c r="AQ26" s="40">
        <f>s_C*(d_Bv!P26+s_MLF_onion)*s_IFON_res_adj*s_CF_onion</f>
        <v>2162.8750000000005</v>
      </c>
      <c r="AR26" s="40">
        <f>s_C*(d_Bv!Q26+s_MLF_peach)*s_IFPC_res_adj*s_CF_peach</f>
        <v>2117.5</v>
      </c>
      <c r="AS26" s="40">
        <f>s_C*(d_Bv!R26+s_MLF_pear)*s_IFPR_res_adj*s_CF_pear</f>
        <v>2117.5</v>
      </c>
      <c r="AT26" s="40">
        <f>s_C*(d_Bv!S26+s_MLF_peas)*s_IFPE_res_adj*s_CF_peas</f>
        <v>2122.0374999999999</v>
      </c>
      <c r="AU26" s="40">
        <f>s_C*(d_Bv!T26+s_MLF_peppers)*s_IFPP_res_adj*s_CF_peppers</f>
        <v>2159.85</v>
      </c>
      <c r="AV26" s="40">
        <f>s_C*(d_Bv!U26+s_MLF_potato)*s_IFPT_res_adj*s_CF_potato</f>
        <v>2072.125</v>
      </c>
      <c r="AW26" s="40">
        <f>s_C*(d_Bv!V26+s_MLF_pumpkin)*s_IFPU_res_adj*s_CF_pumpkin</f>
        <v>2159.85</v>
      </c>
      <c r="AX26" s="40">
        <f>s_C*(d_Bv!W26+s_MLF_snap_bean)*s_IFSN_res_adj*s_CF_snap_bean</f>
        <v>2122.0374999999999</v>
      </c>
      <c r="AY26" s="40">
        <f>s_C*(d_Bv!X26+s_MLF_strawberry)*s_IFST_res_adj*s_CF_strawberry</f>
        <v>2117.5</v>
      </c>
      <c r="AZ26" s="40">
        <f>s_C*(d_Bv!Y26+s_MLF_tomato)*s_IFTO_res_adj*s_CF_tomato</f>
        <v>2159.85</v>
      </c>
      <c r="BA26" s="40">
        <f>s_C*(d_Bv!Z26+s_MLF_rice)*s_IFRI_res_adj*s_CF_rice</f>
        <v>2066.0749999999998</v>
      </c>
      <c r="BB26" s="40">
        <f>s_C*(d_Bv!AA26+s_MLF_cereal)*s_IFCG_res_adj*s_CF_cereal</f>
        <v>2359.5</v>
      </c>
      <c r="BC26" s="15">
        <f t="shared" si="2"/>
        <v>19.780323162839576</v>
      </c>
      <c r="BD26" s="15">
        <f>IFERROR((s_dir!AD26/(d_Bv!C26+s_MLF_apple)),".")</f>
        <v>81.297128199270659</v>
      </c>
      <c r="BE26" s="15">
        <f>IFERROR((s_dir!AE26/(d_Bv!D26+s_MLF_asparagus)),".")</f>
        <v>77.425836380257778</v>
      </c>
      <c r="BF26" s="15">
        <f>IFERROR((s_dir!AF26/(d_Bv!E26+s_MLF_beet)),".")</f>
        <v>79.591594041244008</v>
      </c>
      <c r="BG26" s="15">
        <f>IFERROR((s_dir!AG26/(d_Bv!F26+s_MLF_berries)),".")</f>
        <v>81.297128199270659</v>
      </c>
      <c r="BH26" s="15">
        <f>IFERROR((s_dir!AH26/(d_Bv!G26+s_MLF_broccoli)),".")</f>
        <v>79.703066862030056</v>
      </c>
      <c r="BI26" s="15">
        <f>IFERROR((s_dir!AI26/(d_Bv!H26+s_MLF_cabbage)),".")</f>
        <v>77.425836380257778</v>
      </c>
      <c r="BJ26" s="15">
        <f>IFERROR((s_dir!AJ26/(d_Bv!I26+s_MLF_carrot)),".")</f>
        <v>79.591594041244008</v>
      </c>
      <c r="BK26" s="15">
        <f>IFERROR((s_dir!AK26/(d_Bv!J26+s_MLF_citrus)),".")</f>
        <v>81.297128199270659</v>
      </c>
      <c r="BL26" s="15">
        <f>IFERROR((s_dir!AL26/(d_Bv!K26+s_MLF_corn)),".")</f>
        <v>80.492206137891742</v>
      </c>
      <c r="BM26" s="15">
        <f>IFERROR((s_dir!AM26/(d_Bv!L26+s_MLF_cucumber)),".")</f>
        <v>79.703066862030056</v>
      </c>
      <c r="BN26" s="15">
        <f>IFERROR((s_dir!AN26/(d_Bv!M26+s_MLF_lettuce)),".")</f>
        <v>77.425836380257778</v>
      </c>
      <c r="BO26" s="15">
        <f>IFERROR((s_dir!AO26/(d_Bv!N26+s_MLF_lima_bean)),".")</f>
        <v>81.123292572329959</v>
      </c>
      <c r="BP26" s="15">
        <f>IFERROR((s_dir!AP26/(d_Bv!O26+s_MLF_okra)),".")</f>
        <v>79.703066862030056</v>
      </c>
      <c r="BQ26" s="15">
        <f>IFERROR((s_dir!AQ26/(d_Bv!P26+s_MLF_onion)),".")</f>
        <v>79.591594041244008</v>
      </c>
      <c r="BR26" s="15">
        <f>IFERROR((s_dir!AR26/(d_Bv!Q26+s_MLF_peach)),".")</f>
        <v>81.297128199270659</v>
      </c>
      <c r="BS26" s="15">
        <f>IFERROR((s_dir!AS26/(d_Bv!R26+s_MLF_pear)),".")</f>
        <v>81.297128199270659</v>
      </c>
      <c r="BT26" s="15">
        <f>IFERROR((s_dir!AT26/(d_Bv!S26+s_MLF_peas)),".")</f>
        <v>81.123292572329959</v>
      </c>
      <c r="BU26" s="15">
        <f>IFERROR((s_dir!AU26/(d_Bv!T26+s_MLF_peppers)),".")</f>
        <v>79.703066862030056</v>
      </c>
      <c r="BV26" s="15">
        <f>IFERROR((s_dir!AV26/(d_Bv!U26+s_MLF_potato)),".")</f>
        <v>83.077357283926219</v>
      </c>
      <c r="BW26" s="15">
        <f>IFERROR((s_dir!AW26/(d_Bv!V26+s_MLF_pumpkin)),".")</f>
        <v>79.703066862030056</v>
      </c>
      <c r="BX26" s="15">
        <f>IFERROR((s_dir!AX26/(d_Bv!W26+s_MLF_snap_bean)),".")</f>
        <v>81.123292572329959</v>
      </c>
      <c r="BY26" s="15">
        <f>IFERROR((s_dir!AY26/(d_Bv!X26+s_MLF_strawberry)),".")</f>
        <v>81.297128199270659</v>
      </c>
      <c r="BZ26" s="15">
        <f>IFERROR((s_dir!AZ26/(d_Bv!Y26+s_MLF_tomato)),".")</f>
        <v>79.703066862030056</v>
      </c>
      <c r="CA26" s="15">
        <f>IFERROR((s_dir!BA26/(d_Bv!Z26+s_MLF_rice)),".")</f>
        <v>83.320629193981645</v>
      </c>
      <c r="CB26" s="15">
        <f>IFERROR((s_dir!BB26/(d_Bv!AA26+s_MLF_cereal)),".")</f>
        <v>72.958961204473667</v>
      </c>
      <c r="CC26" s="40">
        <f t="shared" si="3"/>
        <v>8702.9249999999993</v>
      </c>
      <c r="CD26" s="40">
        <f>IFERROR(s_C*(d_Bv!C26+s_MLF_apple)*s_IFAP_far_adj*s_CF_apple,".")</f>
        <v>2117.5</v>
      </c>
      <c r="CE26" s="40">
        <f>IFERROR(s_C*(d_Bv!D26+s_MLF_asparagus)*s_IFAS_far_adj*s_CF_asparagus,".")</f>
        <v>2223.375</v>
      </c>
      <c r="CF26" s="40">
        <f>IFERROR(s_C*(d_Bv!E26+s_MLF_beet)*s_IFBT_far_adj*s_CF_beet,".")</f>
        <v>2162.8750000000005</v>
      </c>
      <c r="CG26" s="40">
        <f>IFERROR(s_C*(d_Bv!F26+s_MLF_berries)*s_IFBR_far_adj*s_CF_berries,".")</f>
        <v>2117.5</v>
      </c>
      <c r="CH26" s="40">
        <f>IFERROR(s_C*(d_Bv!G26+s_MLF_broccoli)*s_IFBR_far_adj*s_CF_broccoli,".")</f>
        <v>2159.85</v>
      </c>
      <c r="CI26" s="40">
        <f>IFERROR(s_C*(d_Bv!H26+s_MLF_cabbage)*s_IFCB_far_adj*s_CF_cabbage,".")</f>
        <v>2223.375</v>
      </c>
      <c r="CJ26" s="40">
        <f>IFERROR(s_C*(d_Bv!I26+s_MLF_carrot)*s_IFCR_far_adj*s_CF_carrot,".")</f>
        <v>2162.8750000000005</v>
      </c>
      <c r="CK26" s="40">
        <f>IFERROR(s_C*(d_Bv!J26+s_MLF_citrus)*s_IFCI_far_adj*s_CF_citrus,".")</f>
        <v>2117.5</v>
      </c>
      <c r="CL26" s="40">
        <f>IFERROR(s_C*(d_Bv!K26+s_MLF_corn)*s_IFCO_far_adj*s_CF_corn,".")</f>
        <v>2138.6750000000002</v>
      </c>
      <c r="CM26" s="40">
        <f>IFERROR(s_C*(d_Bv!L26+s_MLF_cucumber)*s_IFCU_far_adj*s_CF_cucumber,".")</f>
        <v>2159.85</v>
      </c>
      <c r="CN26" s="40">
        <f>IFERROR(s_C*(d_Bv!M26+s_MLF_lettuce)*s_IFLE_far_adj*s_CF_lettuce,".")</f>
        <v>2223.375</v>
      </c>
      <c r="CO26" s="40">
        <f>IFERROR(s_C*(d_Bv!N26+s_MLF_lima_bean)*s_IFLI_far_adj*s_CF_lima_bean,".")</f>
        <v>2122.0374999999999</v>
      </c>
      <c r="CP26" s="40">
        <f>IFERROR(s_C*(d_Bv!O26+s_MLF_okra)*s_IFOK_far_adj*s_CF_okra,".")</f>
        <v>2159.85</v>
      </c>
      <c r="CQ26" s="40">
        <f>IFERROR(s_C*(d_Bv!P26+s_MLF_onion)*s_IFON_far_adj*s_CF_onion,".")</f>
        <v>2162.8750000000005</v>
      </c>
      <c r="CR26" s="40">
        <f>IFERROR(s_C*(d_Bv!Q26+s_MLF_peach)*s_IFPC_far_adj*s_CF_peach,".")</f>
        <v>2117.5</v>
      </c>
      <c r="CS26" s="40">
        <f>IFERROR(s_C*(d_Bv!R26+s_MLF_pear)*s_IFPR_far_adj*s_CF_pear,".")</f>
        <v>2117.5</v>
      </c>
      <c r="CT26" s="40">
        <f>IFERROR(s_C*(d_Bv!S26+s_MLF_peas)*s_IFPE_far_adj*s_CF_peas,".")</f>
        <v>2122.0374999999999</v>
      </c>
      <c r="CU26" s="40">
        <f>IFERROR(s_C*(d_Bv!T26+s_MLF_peppers)*s_IFPP_far_adj*s_CF_peppers,".")</f>
        <v>2159.85</v>
      </c>
      <c r="CV26" s="40">
        <f>IFERROR(s_C*(d_Bv!U26+s_MLF_potato)*s_IFPT_far_adj*s_CF_potato,".")</f>
        <v>2072.125</v>
      </c>
      <c r="CW26" s="40">
        <f>IFERROR(s_C*(d_Bv!V26+s_MLF_pumpkin)*s_IFPU_far_adj*s_CF_pumpkin,".")</f>
        <v>2159.85</v>
      </c>
      <c r="CX26" s="40">
        <f>IFERROR(s_C*(d_Bv!W26+s_MLF_snap_bean)*s_IFSN_far_adj*s_CF_snap_bean,".")</f>
        <v>2122.0374999999999</v>
      </c>
      <c r="CY26" s="40">
        <f>IFERROR(s_C*(d_Bv!X26+s_MLF_strawberry)*s_IFST_far_adj*s_CF_strawberry,".")</f>
        <v>2117.5</v>
      </c>
      <c r="CZ26" s="40">
        <f>IFERROR(s_C*(d_Bv!Y26+s_MLF_tomato)*s_IFTO_far_adj*s_CF_tomato,".")</f>
        <v>2159.85</v>
      </c>
      <c r="DA26" s="40">
        <f>IFERROR(s_C*(d_Bv!Z26+s_MLF_rice)*s_IFRI_far_adj*s_CF_rice,".")</f>
        <v>2066.0749999999998</v>
      </c>
      <c r="DB26" s="40">
        <f>IFERROR(s_C*(d_Bv!AA26+s_MLF_cereal)*s_IFCG_far_adj*s_CF_cereal,".")</f>
        <v>2359.5</v>
      </c>
    </row>
    <row r="27" spans="1:106" ht="15" customHeight="1" x14ac:dyDescent="0.25">
      <c r="A27" s="44" t="s">
        <v>37</v>
      </c>
      <c r="B27" s="42" t="s">
        <v>1071</v>
      </c>
      <c r="C27" s="15" t="str">
        <f t="shared" si="0"/>
        <v>.</v>
      </c>
      <c r="D27" s="15" t="str">
        <f>IFERROR((s_dir!D27/(d_Bv!C27+s_MLF_apple)),".")</f>
        <v>.</v>
      </c>
      <c r="E27" s="15" t="str">
        <f>IFERROR((s_dir!E27/(d_Bv!D27+s_MLF_asparagus)),".")</f>
        <v>.</v>
      </c>
      <c r="F27" s="15" t="str">
        <f>IFERROR((s_dir!F27/(d_Bv!E27+s_MLF_beet)),".")</f>
        <v>.</v>
      </c>
      <c r="G27" s="15" t="str">
        <f>IFERROR((s_dir!G27/(d_Bv!F27+s_MLF_berries)),".")</f>
        <v>.</v>
      </c>
      <c r="H27" s="15" t="str">
        <f>IFERROR((s_dir!H27/(d_Bv!G27+s_MLF_broccoli)),".")</f>
        <v>.</v>
      </c>
      <c r="I27" s="15" t="str">
        <f>IFERROR((s_dir!I27/(d_Bv!H27+s_MLF_cabbage)),".")</f>
        <v>.</v>
      </c>
      <c r="J27" s="15" t="str">
        <f>IFERROR((s_dir!J27/(d_Bv!I27+s_MLF_carrot)),".")</f>
        <v>.</v>
      </c>
      <c r="K27" s="15" t="str">
        <f>IFERROR((s_dir!K27/(d_Bv!J27+s_MLF_citrus)),".")</f>
        <v>.</v>
      </c>
      <c r="L27" s="15" t="str">
        <f>IFERROR((s_dir!L27/(d_Bv!K27+s_MLF_corn)),".")</f>
        <v>.</v>
      </c>
      <c r="M27" s="15" t="str">
        <f>IFERROR((s_dir!M27/(d_Bv!L27+s_MLF_cucumber)),".")</f>
        <v>.</v>
      </c>
      <c r="N27" s="15" t="str">
        <f>IFERROR((s_dir!N27/(d_Bv!M27+s_MLF_lettuce)),".")</f>
        <v>.</v>
      </c>
      <c r="O27" s="15" t="str">
        <f>IFERROR((s_dir!O27/(d_Bv!N27+s_MLF_lima_bean)),".")</f>
        <v>.</v>
      </c>
      <c r="P27" s="15" t="str">
        <f>IFERROR((s_dir!P27/(d_Bv!O27+s_MLF_okra)),".")</f>
        <v>.</v>
      </c>
      <c r="Q27" s="15" t="str">
        <f>IFERROR((s_dir!Q27/(d_Bv!P27+s_MLF_onion)),".")</f>
        <v>.</v>
      </c>
      <c r="R27" s="15" t="str">
        <f>IFERROR((s_dir!R27/(d_Bv!Q27+s_MLF_peach)),".")</f>
        <v>.</v>
      </c>
      <c r="S27" s="15" t="str">
        <f>IFERROR((s_dir!S27/(d_Bv!R27+s_MLF_pear)),".")</f>
        <v>.</v>
      </c>
      <c r="T27" s="15" t="str">
        <f>IFERROR((s_dir!T27/(d_Bv!S27+s_MLF_peas)),".")</f>
        <v>.</v>
      </c>
      <c r="U27" s="15" t="str">
        <f>IFERROR((s_dir!U27/(d_Bv!T27+s_MLF_peppers)),".")</f>
        <v>.</v>
      </c>
      <c r="V27" s="15" t="str">
        <f>IFERROR((s_dir!V27/(d_Bv!U27+s_MLF_potato)),".")</f>
        <v>.</v>
      </c>
      <c r="W27" s="15" t="str">
        <f>IFERROR((s_dir!W27/(d_Bv!V27+s_MLF_pumpkin)),".")</f>
        <v>.</v>
      </c>
      <c r="X27" s="15" t="str">
        <f>IFERROR((s_dir!X27/(d_Bv!W27+s_MLF_snap_bean)),".")</f>
        <v>.</v>
      </c>
      <c r="Y27" s="15" t="str">
        <f>IFERROR((s_dir!Y27/(d_Bv!X27+s_MLF_strawberry)),".")</f>
        <v>.</v>
      </c>
      <c r="Z27" s="15" t="str">
        <f>IFERROR((s_dir!Z27/(d_Bv!Y27+s_MLF_tomato)),".")</f>
        <v>.</v>
      </c>
      <c r="AA27" s="15" t="str">
        <f>IFERROR((s_dir!AA27/(d_Bv!Z27+s_MLF_rice)),".")</f>
        <v>.</v>
      </c>
      <c r="AB27" s="15" t="str">
        <f>IFERROR((s_dir!AB27/(d_Bv!AA27+s_MLF_cereal)),".")</f>
        <v>.</v>
      </c>
      <c r="AC27" s="40">
        <f t="shared" si="1"/>
        <v>38671.600000000006</v>
      </c>
      <c r="AD27" s="40">
        <f>s_C*(d_Bv!C27+s_MLF_apple)*s_IFAP_res_adj*s_CF_apple</f>
        <v>2053.9749999999999</v>
      </c>
      <c r="AE27" s="40">
        <f>s_C*(d_Bv!D27+s_MLF_asparagus)*s_IFAS_res_adj*s_CF_asparagus</f>
        <v>2162.8750000000005</v>
      </c>
      <c r="AF27" s="40">
        <f>s_C*(d_Bv!E27+s_MLF_beet)*s_IFBT_res_adj*s_CF_beet</f>
        <v>2053.9749999999999</v>
      </c>
      <c r="AG27" s="40">
        <f>s_C*(d_Bv!F27+s_MLF_berries)*s_IFBE_res_adj*s_CF_berries</f>
        <v>2053.9749999999999</v>
      </c>
      <c r="AH27" s="40">
        <f>s_C*(d_Bv!G27+s_MLF_broccoli)*s_IFBR_res_adj*s_CF_broccoli</f>
        <v>2162.8750000000005</v>
      </c>
      <c r="AI27" s="40">
        <f>s_C*(d_Bv!H27+s_MLF_cabbage)*s_IFCB_res_adj*s_CF_cabbage</f>
        <v>2162.8750000000005</v>
      </c>
      <c r="AJ27" s="40">
        <f>s_C*(d_Bv!I27+s_MLF_carrot)*s_IFCR_res_adj*s_CF_carrot</f>
        <v>2053.9749999999999</v>
      </c>
      <c r="AK27" s="40">
        <f>s_C*(d_Bv!J27+s_MLF_citrus)*s_IFCI_res_adj*s_CF_citrus</f>
        <v>2053.9749999999999</v>
      </c>
      <c r="AL27" s="40">
        <f>s_C*(d_Bv!K27+s_MLF_corn)*s_IFCO_res_adj*s_CF_corn</f>
        <v>2162.8750000000005</v>
      </c>
      <c r="AM27" s="40">
        <f>s_C*(d_Bv!L27+s_MLF_cucumber)*s_IFCU_res_adj*s_CF_cucumber</f>
        <v>2162.8750000000005</v>
      </c>
      <c r="AN27" s="40">
        <f>s_C*(d_Bv!M27+s_MLF_lettuce)*s_IFLE_res_adj*s_CF_lettuce</f>
        <v>2162.8750000000005</v>
      </c>
      <c r="AO27" s="40">
        <f>s_C*(d_Bv!N27+s_MLF_lima_bean)*s_IFLI_res_adj*s_CF_lima_bean</f>
        <v>2162.8750000000005</v>
      </c>
      <c r="AP27" s="40">
        <f>s_C*(d_Bv!O27+s_MLF_okra)*s_IFOK_res_adj*s_CF_okra</f>
        <v>2162.8750000000005</v>
      </c>
      <c r="AQ27" s="40">
        <f>s_C*(d_Bv!P27+s_MLF_onion)*s_IFON_res_adj*s_CF_onion</f>
        <v>2053.9749999999999</v>
      </c>
      <c r="AR27" s="40">
        <f>s_C*(d_Bv!Q27+s_MLF_peach)*s_IFPC_res_adj*s_CF_peach</f>
        <v>2053.9749999999999</v>
      </c>
      <c r="AS27" s="40">
        <f>s_C*(d_Bv!R27+s_MLF_pear)*s_IFPR_res_adj*s_CF_pear</f>
        <v>2053.9749999999999</v>
      </c>
      <c r="AT27" s="40">
        <f>s_C*(d_Bv!S27+s_MLF_peas)*s_IFPE_res_adj*s_CF_peas</f>
        <v>2162.8750000000005</v>
      </c>
      <c r="AU27" s="40">
        <f>s_C*(d_Bv!T27+s_MLF_peppers)*s_IFPP_res_adj*s_CF_peppers</f>
        <v>2162.8750000000005</v>
      </c>
      <c r="AV27" s="40">
        <f>s_C*(d_Bv!U27+s_MLF_potato)*s_IFPT_res_adj*s_CF_potato</f>
        <v>2053.9749999999999</v>
      </c>
      <c r="AW27" s="40">
        <f>s_C*(d_Bv!V27+s_MLF_pumpkin)*s_IFPU_res_adj*s_CF_pumpkin</f>
        <v>2162.8750000000005</v>
      </c>
      <c r="AX27" s="40">
        <f>s_C*(d_Bv!W27+s_MLF_snap_bean)*s_IFSN_res_adj*s_CF_snap_bean</f>
        <v>2162.8750000000005</v>
      </c>
      <c r="AY27" s="40">
        <f>s_C*(d_Bv!X27+s_MLF_strawberry)*s_IFST_res_adj*s_CF_strawberry</f>
        <v>2053.9749999999999</v>
      </c>
      <c r="AZ27" s="40">
        <f>s_C*(d_Bv!Y27+s_MLF_tomato)*s_IFTO_res_adj*s_CF_tomato</f>
        <v>2162.8750000000005</v>
      </c>
      <c r="BA27" s="40">
        <f>s_C*(d_Bv!Z27+s_MLF_rice)*s_IFRI_res_adj*s_CF_rice</f>
        <v>32291.875000000004</v>
      </c>
      <c r="BB27" s="40">
        <f>s_C*(d_Bv!AA27+s_MLF_cereal)*s_IFCG_res_adj*s_CF_cereal</f>
        <v>2162.8750000000005</v>
      </c>
      <c r="BC27" s="15" t="str">
        <f t="shared" si="2"/>
        <v>.</v>
      </c>
      <c r="BD27" s="15" t="str">
        <f>IFERROR((s_dir!AD27/(d_Bv!C27+s_MLF_apple)),".")</f>
        <v>.</v>
      </c>
      <c r="BE27" s="15" t="str">
        <f>IFERROR((s_dir!AE27/(d_Bv!D27+s_MLF_asparagus)),".")</f>
        <v>.</v>
      </c>
      <c r="BF27" s="15" t="str">
        <f>IFERROR((s_dir!AF27/(d_Bv!E27+s_MLF_beet)),".")</f>
        <v>.</v>
      </c>
      <c r="BG27" s="15" t="str">
        <f>IFERROR((s_dir!AG27/(d_Bv!F27+s_MLF_berries)),".")</f>
        <v>.</v>
      </c>
      <c r="BH27" s="15" t="str">
        <f>IFERROR((s_dir!AH27/(d_Bv!G27+s_MLF_broccoli)),".")</f>
        <v>.</v>
      </c>
      <c r="BI27" s="15" t="str">
        <f>IFERROR((s_dir!AI27/(d_Bv!H27+s_MLF_cabbage)),".")</f>
        <v>.</v>
      </c>
      <c r="BJ27" s="15" t="str">
        <f>IFERROR((s_dir!AJ27/(d_Bv!I27+s_MLF_carrot)),".")</f>
        <v>.</v>
      </c>
      <c r="BK27" s="15" t="str">
        <f>IFERROR((s_dir!AK27/(d_Bv!J27+s_MLF_citrus)),".")</f>
        <v>.</v>
      </c>
      <c r="BL27" s="15" t="str">
        <f>IFERROR((s_dir!AL27/(d_Bv!K27+s_MLF_corn)),".")</f>
        <v>.</v>
      </c>
      <c r="BM27" s="15" t="str">
        <f>IFERROR((s_dir!AM27/(d_Bv!L27+s_MLF_cucumber)),".")</f>
        <v>.</v>
      </c>
      <c r="BN27" s="15" t="str">
        <f>IFERROR((s_dir!AN27/(d_Bv!M27+s_MLF_lettuce)),".")</f>
        <v>.</v>
      </c>
      <c r="BO27" s="15" t="str">
        <f>IFERROR((s_dir!AO27/(d_Bv!N27+s_MLF_lima_bean)),".")</f>
        <v>.</v>
      </c>
      <c r="BP27" s="15" t="str">
        <f>IFERROR((s_dir!AP27/(d_Bv!O27+s_MLF_okra)),".")</f>
        <v>.</v>
      </c>
      <c r="BQ27" s="15" t="str">
        <f>IFERROR((s_dir!AQ27/(d_Bv!P27+s_MLF_onion)),".")</f>
        <v>.</v>
      </c>
      <c r="BR27" s="15" t="str">
        <f>IFERROR((s_dir!AR27/(d_Bv!Q27+s_MLF_peach)),".")</f>
        <v>.</v>
      </c>
      <c r="BS27" s="15" t="str">
        <f>IFERROR((s_dir!AS27/(d_Bv!R27+s_MLF_pear)),".")</f>
        <v>.</v>
      </c>
      <c r="BT27" s="15" t="str">
        <f>IFERROR((s_dir!AT27/(d_Bv!S27+s_MLF_peas)),".")</f>
        <v>.</v>
      </c>
      <c r="BU27" s="15" t="str">
        <f>IFERROR((s_dir!AU27/(d_Bv!T27+s_MLF_peppers)),".")</f>
        <v>.</v>
      </c>
      <c r="BV27" s="15" t="str">
        <f>IFERROR((s_dir!AV27/(d_Bv!U27+s_MLF_potato)),".")</f>
        <v>.</v>
      </c>
      <c r="BW27" s="15" t="str">
        <f>IFERROR((s_dir!AW27/(d_Bv!V27+s_MLF_pumpkin)),".")</f>
        <v>.</v>
      </c>
      <c r="BX27" s="15" t="str">
        <f>IFERROR((s_dir!AX27/(d_Bv!W27+s_MLF_snap_bean)),".")</f>
        <v>.</v>
      </c>
      <c r="BY27" s="15" t="str">
        <f>IFERROR((s_dir!AY27/(d_Bv!X27+s_MLF_strawberry)),".")</f>
        <v>.</v>
      </c>
      <c r="BZ27" s="15" t="str">
        <f>IFERROR((s_dir!AZ27/(d_Bv!Y27+s_MLF_tomato)),".")</f>
        <v>.</v>
      </c>
      <c r="CA27" s="15" t="str">
        <f>IFERROR((s_dir!BA27/(d_Bv!Z27+s_MLF_rice)),".")</f>
        <v>.</v>
      </c>
      <c r="CB27" s="15" t="str">
        <f>IFERROR((s_dir!BB27/(d_Bv!AA27+s_MLF_cereal)),".")</f>
        <v>.</v>
      </c>
      <c r="CC27" s="40">
        <f t="shared" si="3"/>
        <v>38671.600000000006</v>
      </c>
      <c r="CD27" s="40">
        <f>IFERROR(s_C*(d_Bv!C27+s_MLF_apple)*s_IFAP_far_adj*s_CF_apple,".")</f>
        <v>2053.9749999999999</v>
      </c>
      <c r="CE27" s="40">
        <f>IFERROR(s_C*(d_Bv!D27+s_MLF_asparagus)*s_IFAS_far_adj*s_CF_asparagus,".")</f>
        <v>2162.8750000000005</v>
      </c>
      <c r="CF27" s="40">
        <f>IFERROR(s_C*(d_Bv!E27+s_MLF_beet)*s_IFBT_far_adj*s_CF_beet,".")</f>
        <v>2053.9749999999999</v>
      </c>
      <c r="CG27" s="40">
        <f>IFERROR(s_C*(d_Bv!F27+s_MLF_berries)*s_IFBR_far_adj*s_CF_berries,".")</f>
        <v>2053.9749999999999</v>
      </c>
      <c r="CH27" s="40">
        <f>IFERROR(s_C*(d_Bv!G27+s_MLF_broccoli)*s_IFBR_far_adj*s_CF_broccoli,".")</f>
        <v>2162.8750000000005</v>
      </c>
      <c r="CI27" s="40">
        <f>IFERROR(s_C*(d_Bv!H27+s_MLF_cabbage)*s_IFCB_far_adj*s_CF_cabbage,".")</f>
        <v>2162.8750000000005</v>
      </c>
      <c r="CJ27" s="40">
        <f>IFERROR(s_C*(d_Bv!I27+s_MLF_carrot)*s_IFCR_far_adj*s_CF_carrot,".")</f>
        <v>2053.9749999999999</v>
      </c>
      <c r="CK27" s="40">
        <f>IFERROR(s_C*(d_Bv!J27+s_MLF_citrus)*s_IFCI_far_adj*s_CF_citrus,".")</f>
        <v>2053.9749999999999</v>
      </c>
      <c r="CL27" s="40">
        <f>IFERROR(s_C*(d_Bv!K27+s_MLF_corn)*s_IFCO_far_adj*s_CF_corn,".")</f>
        <v>2162.8750000000005</v>
      </c>
      <c r="CM27" s="40">
        <f>IFERROR(s_C*(d_Bv!L27+s_MLF_cucumber)*s_IFCU_far_adj*s_CF_cucumber,".")</f>
        <v>2162.8750000000005</v>
      </c>
      <c r="CN27" s="40">
        <f>IFERROR(s_C*(d_Bv!M27+s_MLF_lettuce)*s_IFLE_far_adj*s_CF_lettuce,".")</f>
        <v>2162.8750000000005</v>
      </c>
      <c r="CO27" s="40">
        <f>IFERROR(s_C*(d_Bv!N27+s_MLF_lima_bean)*s_IFLI_far_adj*s_CF_lima_bean,".")</f>
        <v>2162.8750000000005</v>
      </c>
      <c r="CP27" s="40">
        <f>IFERROR(s_C*(d_Bv!O27+s_MLF_okra)*s_IFOK_far_adj*s_CF_okra,".")</f>
        <v>2162.8750000000005</v>
      </c>
      <c r="CQ27" s="40">
        <f>IFERROR(s_C*(d_Bv!P27+s_MLF_onion)*s_IFON_far_adj*s_CF_onion,".")</f>
        <v>2053.9749999999999</v>
      </c>
      <c r="CR27" s="40">
        <f>IFERROR(s_C*(d_Bv!Q27+s_MLF_peach)*s_IFPC_far_adj*s_CF_peach,".")</f>
        <v>2053.9749999999999</v>
      </c>
      <c r="CS27" s="40">
        <f>IFERROR(s_C*(d_Bv!R27+s_MLF_pear)*s_IFPR_far_adj*s_CF_pear,".")</f>
        <v>2053.9749999999999</v>
      </c>
      <c r="CT27" s="40">
        <f>IFERROR(s_C*(d_Bv!S27+s_MLF_peas)*s_IFPE_far_adj*s_CF_peas,".")</f>
        <v>2162.8750000000005</v>
      </c>
      <c r="CU27" s="40">
        <f>IFERROR(s_C*(d_Bv!T27+s_MLF_peppers)*s_IFPP_far_adj*s_CF_peppers,".")</f>
        <v>2162.8750000000005</v>
      </c>
      <c r="CV27" s="40">
        <f>IFERROR(s_C*(d_Bv!U27+s_MLF_potato)*s_IFPT_far_adj*s_CF_potato,".")</f>
        <v>2053.9749999999999</v>
      </c>
      <c r="CW27" s="40">
        <f>IFERROR(s_C*(d_Bv!V27+s_MLF_pumpkin)*s_IFPU_far_adj*s_CF_pumpkin,".")</f>
        <v>2162.8750000000005</v>
      </c>
      <c r="CX27" s="40">
        <f>IFERROR(s_C*(d_Bv!W27+s_MLF_snap_bean)*s_IFSN_far_adj*s_CF_snap_bean,".")</f>
        <v>2162.8750000000005</v>
      </c>
      <c r="CY27" s="40">
        <f>IFERROR(s_C*(d_Bv!X27+s_MLF_strawberry)*s_IFST_far_adj*s_CF_strawberry,".")</f>
        <v>2053.9749999999999</v>
      </c>
      <c r="CZ27" s="40">
        <f>IFERROR(s_C*(d_Bv!Y27+s_MLF_tomato)*s_IFTO_far_adj*s_CF_tomato,".")</f>
        <v>2162.8750000000005</v>
      </c>
      <c r="DA27" s="40">
        <f>IFERROR(s_C*(d_Bv!Z27+s_MLF_rice)*s_IFRI_far_adj*s_CF_rice,".")</f>
        <v>32291.875000000004</v>
      </c>
      <c r="DB27" s="40">
        <f>IFERROR(s_C*(d_Bv!AA27+s_MLF_cereal)*s_IFCG_far_adj*s_CF_cereal,".")</f>
        <v>2162.8750000000005</v>
      </c>
    </row>
    <row r="28" spans="1:106" ht="15" customHeight="1" x14ac:dyDescent="0.25">
      <c r="A28" s="44" t="s">
        <v>38</v>
      </c>
      <c r="B28" s="42" t="s">
        <v>1071</v>
      </c>
      <c r="C28" s="15" t="str">
        <f t="shared" si="0"/>
        <v>.</v>
      </c>
      <c r="D28" s="15" t="str">
        <f>IFERROR((s_dir!D28/(d_Bv!C28+s_MLF_apple)),".")</f>
        <v>.</v>
      </c>
      <c r="E28" s="15" t="str">
        <f>IFERROR((s_dir!E28/(d_Bv!D28+s_MLF_asparagus)),".")</f>
        <v>.</v>
      </c>
      <c r="F28" s="15" t="str">
        <f>IFERROR((s_dir!F28/(d_Bv!E28+s_MLF_beet)),".")</f>
        <v>.</v>
      </c>
      <c r="G28" s="15" t="str">
        <f>IFERROR((s_dir!G28/(d_Bv!F28+s_MLF_berries)),".")</f>
        <v>.</v>
      </c>
      <c r="H28" s="15" t="str">
        <f>IFERROR((s_dir!H28/(d_Bv!G28+s_MLF_broccoli)),".")</f>
        <v>.</v>
      </c>
      <c r="I28" s="15" t="str">
        <f>IFERROR((s_dir!I28/(d_Bv!H28+s_MLF_cabbage)),".")</f>
        <v>.</v>
      </c>
      <c r="J28" s="15" t="str">
        <f>IFERROR((s_dir!J28/(d_Bv!I28+s_MLF_carrot)),".")</f>
        <v>.</v>
      </c>
      <c r="K28" s="15" t="str">
        <f>IFERROR((s_dir!K28/(d_Bv!J28+s_MLF_citrus)),".")</f>
        <v>.</v>
      </c>
      <c r="L28" s="15" t="str">
        <f>IFERROR((s_dir!L28/(d_Bv!K28+s_MLF_corn)),".")</f>
        <v>.</v>
      </c>
      <c r="M28" s="15" t="str">
        <f>IFERROR((s_dir!M28/(d_Bv!L28+s_MLF_cucumber)),".")</f>
        <v>.</v>
      </c>
      <c r="N28" s="15" t="str">
        <f>IFERROR((s_dir!N28/(d_Bv!M28+s_MLF_lettuce)),".")</f>
        <v>.</v>
      </c>
      <c r="O28" s="15" t="str">
        <f>IFERROR((s_dir!O28/(d_Bv!N28+s_MLF_lima_bean)),".")</f>
        <v>.</v>
      </c>
      <c r="P28" s="15" t="str">
        <f>IFERROR((s_dir!P28/(d_Bv!O28+s_MLF_okra)),".")</f>
        <v>.</v>
      </c>
      <c r="Q28" s="15" t="str">
        <f>IFERROR((s_dir!Q28/(d_Bv!P28+s_MLF_onion)),".")</f>
        <v>.</v>
      </c>
      <c r="R28" s="15" t="str">
        <f>IFERROR((s_dir!R28/(d_Bv!Q28+s_MLF_peach)),".")</f>
        <v>.</v>
      </c>
      <c r="S28" s="15" t="str">
        <f>IFERROR((s_dir!S28/(d_Bv!R28+s_MLF_pear)),".")</f>
        <v>.</v>
      </c>
      <c r="T28" s="15" t="str">
        <f>IFERROR((s_dir!T28/(d_Bv!S28+s_MLF_peas)),".")</f>
        <v>.</v>
      </c>
      <c r="U28" s="15" t="str">
        <f>IFERROR((s_dir!U28/(d_Bv!T28+s_MLF_peppers)),".")</f>
        <v>.</v>
      </c>
      <c r="V28" s="15" t="str">
        <f>IFERROR((s_dir!V28/(d_Bv!U28+s_MLF_potato)),".")</f>
        <v>.</v>
      </c>
      <c r="W28" s="15" t="str">
        <f>IFERROR((s_dir!W28/(d_Bv!V28+s_MLF_pumpkin)),".")</f>
        <v>.</v>
      </c>
      <c r="X28" s="15" t="str">
        <f>IFERROR((s_dir!X28/(d_Bv!W28+s_MLF_snap_bean)),".")</f>
        <v>.</v>
      </c>
      <c r="Y28" s="15" t="str">
        <f>IFERROR((s_dir!Y28/(d_Bv!X28+s_MLF_strawberry)),".")</f>
        <v>.</v>
      </c>
      <c r="Z28" s="15" t="str">
        <f>IFERROR((s_dir!Z28/(d_Bv!Y28+s_MLF_tomato)),".")</f>
        <v>.</v>
      </c>
      <c r="AA28" s="15" t="str">
        <f>IFERROR((s_dir!AA28/(d_Bv!Z28+s_MLF_rice)),".")</f>
        <v>.</v>
      </c>
      <c r="AB28" s="15" t="str">
        <f>IFERROR((s_dir!AB28/(d_Bv!AA28+s_MLF_cereal)),".")</f>
        <v>.</v>
      </c>
      <c r="AC28" s="40">
        <f t="shared" si="1"/>
        <v>38671.600000000006</v>
      </c>
      <c r="AD28" s="40">
        <f>s_C*(d_Bv!C28+s_MLF_apple)*s_IFAP_res_adj*s_CF_apple</f>
        <v>2053.9749999999999</v>
      </c>
      <c r="AE28" s="40">
        <f>s_C*(d_Bv!D28+s_MLF_asparagus)*s_IFAS_res_adj*s_CF_asparagus</f>
        <v>2162.8750000000005</v>
      </c>
      <c r="AF28" s="40">
        <f>s_C*(d_Bv!E28+s_MLF_beet)*s_IFBT_res_adj*s_CF_beet</f>
        <v>2053.9749999999999</v>
      </c>
      <c r="AG28" s="40">
        <f>s_C*(d_Bv!F28+s_MLF_berries)*s_IFBE_res_adj*s_CF_berries</f>
        <v>2053.9749999999999</v>
      </c>
      <c r="AH28" s="40">
        <f>s_C*(d_Bv!G28+s_MLF_broccoli)*s_IFBR_res_adj*s_CF_broccoli</f>
        <v>2162.8750000000005</v>
      </c>
      <c r="AI28" s="40">
        <f>s_C*(d_Bv!H28+s_MLF_cabbage)*s_IFCB_res_adj*s_CF_cabbage</f>
        <v>2162.8750000000005</v>
      </c>
      <c r="AJ28" s="40">
        <f>s_C*(d_Bv!I28+s_MLF_carrot)*s_IFCR_res_adj*s_CF_carrot</f>
        <v>2053.9749999999999</v>
      </c>
      <c r="AK28" s="40">
        <f>s_C*(d_Bv!J28+s_MLF_citrus)*s_IFCI_res_adj*s_CF_citrus</f>
        <v>2053.9749999999999</v>
      </c>
      <c r="AL28" s="40">
        <f>s_C*(d_Bv!K28+s_MLF_corn)*s_IFCO_res_adj*s_CF_corn</f>
        <v>2162.8750000000005</v>
      </c>
      <c r="AM28" s="40">
        <f>s_C*(d_Bv!L28+s_MLF_cucumber)*s_IFCU_res_adj*s_CF_cucumber</f>
        <v>2162.8750000000005</v>
      </c>
      <c r="AN28" s="40">
        <f>s_C*(d_Bv!M28+s_MLF_lettuce)*s_IFLE_res_adj*s_CF_lettuce</f>
        <v>2162.8750000000005</v>
      </c>
      <c r="AO28" s="40">
        <f>s_C*(d_Bv!N28+s_MLF_lima_bean)*s_IFLI_res_adj*s_CF_lima_bean</f>
        <v>2162.8750000000005</v>
      </c>
      <c r="AP28" s="40">
        <f>s_C*(d_Bv!O28+s_MLF_okra)*s_IFOK_res_adj*s_CF_okra</f>
        <v>2162.8750000000005</v>
      </c>
      <c r="AQ28" s="40">
        <f>s_C*(d_Bv!P28+s_MLF_onion)*s_IFON_res_adj*s_CF_onion</f>
        <v>2053.9749999999999</v>
      </c>
      <c r="AR28" s="40">
        <f>s_C*(d_Bv!Q28+s_MLF_peach)*s_IFPC_res_adj*s_CF_peach</f>
        <v>2053.9749999999999</v>
      </c>
      <c r="AS28" s="40">
        <f>s_C*(d_Bv!R28+s_MLF_pear)*s_IFPR_res_adj*s_CF_pear</f>
        <v>2053.9749999999999</v>
      </c>
      <c r="AT28" s="40">
        <f>s_C*(d_Bv!S28+s_MLF_peas)*s_IFPE_res_adj*s_CF_peas</f>
        <v>2162.8750000000005</v>
      </c>
      <c r="AU28" s="40">
        <f>s_C*(d_Bv!T28+s_MLF_peppers)*s_IFPP_res_adj*s_CF_peppers</f>
        <v>2162.8750000000005</v>
      </c>
      <c r="AV28" s="40">
        <f>s_C*(d_Bv!U28+s_MLF_potato)*s_IFPT_res_adj*s_CF_potato</f>
        <v>2053.9749999999999</v>
      </c>
      <c r="AW28" s="40">
        <f>s_C*(d_Bv!V28+s_MLF_pumpkin)*s_IFPU_res_adj*s_CF_pumpkin</f>
        <v>2162.8750000000005</v>
      </c>
      <c r="AX28" s="40">
        <f>s_C*(d_Bv!W28+s_MLF_snap_bean)*s_IFSN_res_adj*s_CF_snap_bean</f>
        <v>2162.8750000000005</v>
      </c>
      <c r="AY28" s="40">
        <f>s_C*(d_Bv!X28+s_MLF_strawberry)*s_IFST_res_adj*s_CF_strawberry</f>
        <v>2053.9749999999999</v>
      </c>
      <c r="AZ28" s="40">
        <f>s_C*(d_Bv!Y28+s_MLF_tomato)*s_IFTO_res_adj*s_CF_tomato</f>
        <v>2162.8750000000005</v>
      </c>
      <c r="BA28" s="40">
        <f>s_C*(d_Bv!Z28+s_MLF_rice)*s_IFRI_res_adj*s_CF_rice</f>
        <v>32291.875000000004</v>
      </c>
      <c r="BB28" s="40">
        <f>s_C*(d_Bv!AA28+s_MLF_cereal)*s_IFCG_res_adj*s_CF_cereal</f>
        <v>2162.8750000000005</v>
      </c>
      <c r="BC28" s="15" t="str">
        <f t="shared" si="2"/>
        <v>.</v>
      </c>
      <c r="BD28" s="15" t="str">
        <f>IFERROR((s_dir!AD28/(d_Bv!C28+s_MLF_apple)),".")</f>
        <v>.</v>
      </c>
      <c r="BE28" s="15" t="str">
        <f>IFERROR((s_dir!AE28/(d_Bv!D28+s_MLF_asparagus)),".")</f>
        <v>.</v>
      </c>
      <c r="BF28" s="15" t="str">
        <f>IFERROR((s_dir!AF28/(d_Bv!E28+s_MLF_beet)),".")</f>
        <v>.</v>
      </c>
      <c r="BG28" s="15" t="str">
        <f>IFERROR((s_dir!AG28/(d_Bv!F28+s_MLF_berries)),".")</f>
        <v>.</v>
      </c>
      <c r="BH28" s="15" t="str">
        <f>IFERROR((s_dir!AH28/(d_Bv!G28+s_MLF_broccoli)),".")</f>
        <v>.</v>
      </c>
      <c r="BI28" s="15" t="str">
        <f>IFERROR((s_dir!AI28/(d_Bv!H28+s_MLF_cabbage)),".")</f>
        <v>.</v>
      </c>
      <c r="BJ28" s="15" t="str">
        <f>IFERROR((s_dir!AJ28/(d_Bv!I28+s_MLF_carrot)),".")</f>
        <v>.</v>
      </c>
      <c r="BK28" s="15" t="str">
        <f>IFERROR((s_dir!AK28/(d_Bv!J28+s_MLF_citrus)),".")</f>
        <v>.</v>
      </c>
      <c r="BL28" s="15" t="str">
        <f>IFERROR((s_dir!AL28/(d_Bv!K28+s_MLF_corn)),".")</f>
        <v>.</v>
      </c>
      <c r="BM28" s="15" t="str">
        <f>IFERROR((s_dir!AM28/(d_Bv!L28+s_MLF_cucumber)),".")</f>
        <v>.</v>
      </c>
      <c r="BN28" s="15" t="str">
        <f>IFERROR((s_dir!AN28/(d_Bv!M28+s_MLF_lettuce)),".")</f>
        <v>.</v>
      </c>
      <c r="BO28" s="15" t="str">
        <f>IFERROR((s_dir!AO28/(d_Bv!N28+s_MLF_lima_bean)),".")</f>
        <v>.</v>
      </c>
      <c r="BP28" s="15" t="str">
        <f>IFERROR((s_dir!AP28/(d_Bv!O28+s_MLF_okra)),".")</f>
        <v>.</v>
      </c>
      <c r="BQ28" s="15" t="str">
        <f>IFERROR((s_dir!AQ28/(d_Bv!P28+s_MLF_onion)),".")</f>
        <v>.</v>
      </c>
      <c r="BR28" s="15" t="str">
        <f>IFERROR((s_dir!AR28/(d_Bv!Q28+s_MLF_peach)),".")</f>
        <v>.</v>
      </c>
      <c r="BS28" s="15" t="str">
        <f>IFERROR((s_dir!AS28/(d_Bv!R28+s_MLF_pear)),".")</f>
        <v>.</v>
      </c>
      <c r="BT28" s="15" t="str">
        <f>IFERROR((s_dir!AT28/(d_Bv!S28+s_MLF_peas)),".")</f>
        <v>.</v>
      </c>
      <c r="BU28" s="15" t="str">
        <f>IFERROR((s_dir!AU28/(d_Bv!T28+s_MLF_peppers)),".")</f>
        <v>.</v>
      </c>
      <c r="BV28" s="15" t="str">
        <f>IFERROR((s_dir!AV28/(d_Bv!U28+s_MLF_potato)),".")</f>
        <v>.</v>
      </c>
      <c r="BW28" s="15" t="str">
        <f>IFERROR((s_dir!AW28/(d_Bv!V28+s_MLF_pumpkin)),".")</f>
        <v>.</v>
      </c>
      <c r="BX28" s="15" t="str">
        <f>IFERROR((s_dir!AX28/(d_Bv!W28+s_MLF_snap_bean)),".")</f>
        <v>.</v>
      </c>
      <c r="BY28" s="15" t="str">
        <f>IFERROR((s_dir!AY28/(d_Bv!X28+s_MLF_strawberry)),".")</f>
        <v>.</v>
      </c>
      <c r="BZ28" s="15" t="str">
        <f>IFERROR((s_dir!AZ28/(d_Bv!Y28+s_MLF_tomato)),".")</f>
        <v>.</v>
      </c>
      <c r="CA28" s="15" t="str">
        <f>IFERROR((s_dir!BA28/(d_Bv!Z28+s_MLF_rice)),".")</f>
        <v>.</v>
      </c>
      <c r="CB28" s="15" t="str">
        <f>IFERROR((s_dir!BB28/(d_Bv!AA28+s_MLF_cereal)),".")</f>
        <v>.</v>
      </c>
      <c r="CC28" s="40">
        <f t="shared" si="3"/>
        <v>38671.600000000006</v>
      </c>
      <c r="CD28" s="40">
        <f>IFERROR(s_C*(d_Bv!C28+s_MLF_apple)*s_IFAP_far_adj*s_CF_apple,".")</f>
        <v>2053.9749999999999</v>
      </c>
      <c r="CE28" s="40">
        <f>IFERROR(s_C*(d_Bv!D28+s_MLF_asparagus)*s_IFAS_far_adj*s_CF_asparagus,".")</f>
        <v>2162.8750000000005</v>
      </c>
      <c r="CF28" s="40">
        <f>IFERROR(s_C*(d_Bv!E28+s_MLF_beet)*s_IFBT_far_adj*s_CF_beet,".")</f>
        <v>2053.9749999999999</v>
      </c>
      <c r="CG28" s="40">
        <f>IFERROR(s_C*(d_Bv!F28+s_MLF_berries)*s_IFBR_far_adj*s_CF_berries,".")</f>
        <v>2053.9749999999999</v>
      </c>
      <c r="CH28" s="40">
        <f>IFERROR(s_C*(d_Bv!G28+s_MLF_broccoli)*s_IFBR_far_adj*s_CF_broccoli,".")</f>
        <v>2162.8750000000005</v>
      </c>
      <c r="CI28" s="40">
        <f>IFERROR(s_C*(d_Bv!H28+s_MLF_cabbage)*s_IFCB_far_adj*s_CF_cabbage,".")</f>
        <v>2162.8750000000005</v>
      </c>
      <c r="CJ28" s="40">
        <f>IFERROR(s_C*(d_Bv!I28+s_MLF_carrot)*s_IFCR_far_adj*s_CF_carrot,".")</f>
        <v>2053.9749999999999</v>
      </c>
      <c r="CK28" s="40">
        <f>IFERROR(s_C*(d_Bv!J28+s_MLF_citrus)*s_IFCI_far_adj*s_CF_citrus,".")</f>
        <v>2053.9749999999999</v>
      </c>
      <c r="CL28" s="40">
        <f>IFERROR(s_C*(d_Bv!K28+s_MLF_corn)*s_IFCO_far_adj*s_CF_corn,".")</f>
        <v>2162.8750000000005</v>
      </c>
      <c r="CM28" s="40">
        <f>IFERROR(s_C*(d_Bv!L28+s_MLF_cucumber)*s_IFCU_far_adj*s_CF_cucumber,".")</f>
        <v>2162.8750000000005</v>
      </c>
      <c r="CN28" s="40">
        <f>IFERROR(s_C*(d_Bv!M28+s_MLF_lettuce)*s_IFLE_far_adj*s_CF_lettuce,".")</f>
        <v>2162.8750000000005</v>
      </c>
      <c r="CO28" s="40">
        <f>IFERROR(s_C*(d_Bv!N28+s_MLF_lima_bean)*s_IFLI_far_adj*s_CF_lima_bean,".")</f>
        <v>2162.8750000000005</v>
      </c>
      <c r="CP28" s="40">
        <f>IFERROR(s_C*(d_Bv!O28+s_MLF_okra)*s_IFOK_far_adj*s_CF_okra,".")</f>
        <v>2162.8750000000005</v>
      </c>
      <c r="CQ28" s="40">
        <f>IFERROR(s_C*(d_Bv!P28+s_MLF_onion)*s_IFON_far_adj*s_CF_onion,".")</f>
        <v>2053.9749999999999</v>
      </c>
      <c r="CR28" s="40">
        <f>IFERROR(s_C*(d_Bv!Q28+s_MLF_peach)*s_IFPC_far_adj*s_CF_peach,".")</f>
        <v>2053.9749999999999</v>
      </c>
      <c r="CS28" s="40">
        <f>IFERROR(s_C*(d_Bv!R28+s_MLF_pear)*s_IFPR_far_adj*s_CF_pear,".")</f>
        <v>2053.9749999999999</v>
      </c>
      <c r="CT28" s="40">
        <f>IFERROR(s_C*(d_Bv!S28+s_MLF_peas)*s_IFPE_far_adj*s_CF_peas,".")</f>
        <v>2162.8750000000005</v>
      </c>
      <c r="CU28" s="40">
        <f>IFERROR(s_C*(d_Bv!T28+s_MLF_peppers)*s_IFPP_far_adj*s_CF_peppers,".")</f>
        <v>2162.8750000000005</v>
      </c>
      <c r="CV28" s="40">
        <f>IFERROR(s_C*(d_Bv!U28+s_MLF_potato)*s_IFPT_far_adj*s_CF_potato,".")</f>
        <v>2053.9749999999999</v>
      </c>
      <c r="CW28" s="40">
        <f>IFERROR(s_C*(d_Bv!V28+s_MLF_pumpkin)*s_IFPU_far_adj*s_CF_pumpkin,".")</f>
        <v>2162.8750000000005</v>
      </c>
      <c r="CX28" s="40">
        <f>IFERROR(s_C*(d_Bv!W28+s_MLF_snap_bean)*s_IFSN_far_adj*s_CF_snap_bean,".")</f>
        <v>2162.8750000000005</v>
      </c>
      <c r="CY28" s="40">
        <f>IFERROR(s_C*(d_Bv!X28+s_MLF_strawberry)*s_IFST_far_adj*s_CF_strawberry,".")</f>
        <v>2053.9749999999999</v>
      </c>
      <c r="CZ28" s="40">
        <f>IFERROR(s_C*(d_Bv!Y28+s_MLF_tomato)*s_IFTO_far_adj*s_CF_tomato,".")</f>
        <v>2162.8750000000005</v>
      </c>
      <c r="DA28" s="40">
        <f>IFERROR(s_C*(d_Bv!Z28+s_MLF_rice)*s_IFRI_far_adj*s_CF_rice,".")</f>
        <v>32291.875000000004</v>
      </c>
      <c r="DB28" s="40">
        <f>IFERROR(s_C*(d_Bv!AA28+s_MLF_cereal)*s_IFCG_far_adj*s_CF_cereal,".")</f>
        <v>2162.8750000000005</v>
      </c>
    </row>
    <row r="29" spans="1:106" ht="15" customHeight="1" x14ac:dyDescent="0.25">
      <c r="A29" s="44" t="s">
        <v>39</v>
      </c>
      <c r="B29" s="42" t="s">
        <v>1071</v>
      </c>
      <c r="C29" s="15" t="str">
        <f t="shared" si="0"/>
        <v>.</v>
      </c>
      <c r="D29" s="15" t="str">
        <f>IFERROR((s_dir!D29/(d_Bv!C29+s_MLF_apple)),".")</f>
        <v>.</v>
      </c>
      <c r="E29" s="15" t="str">
        <f>IFERROR((s_dir!E29/(d_Bv!D29+s_MLF_asparagus)),".")</f>
        <v>.</v>
      </c>
      <c r="F29" s="15" t="str">
        <f>IFERROR((s_dir!F29/(d_Bv!E29+s_MLF_beet)),".")</f>
        <v>.</v>
      </c>
      <c r="G29" s="15" t="str">
        <f>IFERROR((s_dir!G29/(d_Bv!F29+s_MLF_berries)),".")</f>
        <v>.</v>
      </c>
      <c r="H29" s="15" t="str">
        <f>IFERROR((s_dir!H29/(d_Bv!G29+s_MLF_broccoli)),".")</f>
        <v>.</v>
      </c>
      <c r="I29" s="15" t="str">
        <f>IFERROR((s_dir!I29/(d_Bv!H29+s_MLF_cabbage)),".")</f>
        <v>.</v>
      </c>
      <c r="J29" s="15" t="str">
        <f>IFERROR((s_dir!J29/(d_Bv!I29+s_MLF_carrot)),".")</f>
        <v>.</v>
      </c>
      <c r="K29" s="15" t="str">
        <f>IFERROR((s_dir!K29/(d_Bv!J29+s_MLF_citrus)),".")</f>
        <v>.</v>
      </c>
      <c r="L29" s="15" t="str">
        <f>IFERROR((s_dir!L29/(d_Bv!K29+s_MLF_corn)),".")</f>
        <v>.</v>
      </c>
      <c r="M29" s="15" t="str">
        <f>IFERROR((s_dir!M29/(d_Bv!L29+s_MLF_cucumber)),".")</f>
        <v>.</v>
      </c>
      <c r="N29" s="15" t="str">
        <f>IFERROR((s_dir!N29/(d_Bv!M29+s_MLF_lettuce)),".")</f>
        <v>.</v>
      </c>
      <c r="O29" s="15" t="str">
        <f>IFERROR((s_dir!O29/(d_Bv!N29+s_MLF_lima_bean)),".")</f>
        <v>.</v>
      </c>
      <c r="P29" s="15" t="str">
        <f>IFERROR((s_dir!P29/(d_Bv!O29+s_MLF_okra)),".")</f>
        <v>.</v>
      </c>
      <c r="Q29" s="15" t="str">
        <f>IFERROR((s_dir!Q29/(d_Bv!P29+s_MLF_onion)),".")</f>
        <v>.</v>
      </c>
      <c r="R29" s="15" t="str">
        <f>IFERROR((s_dir!R29/(d_Bv!Q29+s_MLF_peach)),".")</f>
        <v>.</v>
      </c>
      <c r="S29" s="15" t="str">
        <f>IFERROR((s_dir!S29/(d_Bv!R29+s_MLF_pear)),".")</f>
        <v>.</v>
      </c>
      <c r="T29" s="15" t="str">
        <f>IFERROR((s_dir!T29/(d_Bv!S29+s_MLF_peas)),".")</f>
        <v>.</v>
      </c>
      <c r="U29" s="15" t="str">
        <f>IFERROR((s_dir!U29/(d_Bv!T29+s_MLF_peppers)),".")</f>
        <v>.</v>
      </c>
      <c r="V29" s="15" t="str">
        <f>IFERROR((s_dir!V29/(d_Bv!U29+s_MLF_potato)),".")</f>
        <v>.</v>
      </c>
      <c r="W29" s="15" t="str">
        <f>IFERROR((s_dir!W29/(d_Bv!V29+s_MLF_pumpkin)),".")</f>
        <v>.</v>
      </c>
      <c r="X29" s="15" t="str">
        <f>IFERROR((s_dir!X29/(d_Bv!W29+s_MLF_snap_bean)),".")</f>
        <v>.</v>
      </c>
      <c r="Y29" s="15" t="str">
        <f>IFERROR((s_dir!Y29/(d_Bv!X29+s_MLF_strawberry)),".")</f>
        <v>.</v>
      </c>
      <c r="Z29" s="15" t="str">
        <f>IFERROR((s_dir!Z29/(d_Bv!Y29+s_MLF_tomato)),".")</f>
        <v>.</v>
      </c>
      <c r="AA29" s="15" t="str">
        <f>IFERROR((s_dir!AA29/(d_Bv!Z29+s_MLF_rice)),".")</f>
        <v>.</v>
      </c>
      <c r="AB29" s="15" t="str">
        <f>IFERROR((s_dir!AB29/(d_Bv!AA29+s_MLF_cereal)),".")</f>
        <v>.</v>
      </c>
      <c r="AC29" s="40">
        <f t="shared" si="1"/>
        <v>38671.600000000006</v>
      </c>
      <c r="AD29" s="40">
        <f>s_C*(d_Bv!C29+s_MLF_apple)*s_IFAP_res_adj*s_CF_apple</f>
        <v>2053.9749999999999</v>
      </c>
      <c r="AE29" s="40">
        <f>s_C*(d_Bv!D29+s_MLF_asparagus)*s_IFAS_res_adj*s_CF_asparagus</f>
        <v>2162.8750000000005</v>
      </c>
      <c r="AF29" s="40">
        <f>s_C*(d_Bv!E29+s_MLF_beet)*s_IFBT_res_adj*s_CF_beet</f>
        <v>2053.9749999999999</v>
      </c>
      <c r="AG29" s="40">
        <f>s_C*(d_Bv!F29+s_MLF_berries)*s_IFBE_res_adj*s_CF_berries</f>
        <v>2053.9749999999999</v>
      </c>
      <c r="AH29" s="40">
        <f>s_C*(d_Bv!G29+s_MLF_broccoli)*s_IFBR_res_adj*s_CF_broccoli</f>
        <v>2162.8750000000005</v>
      </c>
      <c r="AI29" s="40">
        <f>s_C*(d_Bv!H29+s_MLF_cabbage)*s_IFCB_res_adj*s_CF_cabbage</f>
        <v>2162.8750000000005</v>
      </c>
      <c r="AJ29" s="40">
        <f>s_C*(d_Bv!I29+s_MLF_carrot)*s_IFCR_res_adj*s_CF_carrot</f>
        <v>2053.9749999999999</v>
      </c>
      <c r="AK29" s="40">
        <f>s_C*(d_Bv!J29+s_MLF_citrus)*s_IFCI_res_adj*s_CF_citrus</f>
        <v>2053.9749999999999</v>
      </c>
      <c r="AL29" s="40">
        <f>s_C*(d_Bv!K29+s_MLF_corn)*s_IFCO_res_adj*s_CF_corn</f>
        <v>2162.8750000000005</v>
      </c>
      <c r="AM29" s="40">
        <f>s_C*(d_Bv!L29+s_MLF_cucumber)*s_IFCU_res_adj*s_CF_cucumber</f>
        <v>2162.8750000000005</v>
      </c>
      <c r="AN29" s="40">
        <f>s_C*(d_Bv!M29+s_MLF_lettuce)*s_IFLE_res_adj*s_CF_lettuce</f>
        <v>2162.8750000000005</v>
      </c>
      <c r="AO29" s="40">
        <f>s_C*(d_Bv!N29+s_MLF_lima_bean)*s_IFLI_res_adj*s_CF_lima_bean</f>
        <v>2162.8750000000005</v>
      </c>
      <c r="AP29" s="40">
        <f>s_C*(d_Bv!O29+s_MLF_okra)*s_IFOK_res_adj*s_CF_okra</f>
        <v>2162.8750000000005</v>
      </c>
      <c r="AQ29" s="40">
        <f>s_C*(d_Bv!P29+s_MLF_onion)*s_IFON_res_adj*s_CF_onion</f>
        <v>2053.9749999999999</v>
      </c>
      <c r="AR29" s="40">
        <f>s_C*(d_Bv!Q29+s_MLF_peach)*s_IFPC_res_adj*s_CF_peach</f>
        <v>2053.9749999999999</v>
      </c>
      <c r="AS29" s="40">
        <f>s_C*(d_Bv!R29+s_MLF_pear)*s_IFPR_res_adj*s_CF_pear</f>
        <v>2053.9749999999999</v>
      </c>
      <c r="AT29" s="40">
        <f>s_C*(d_Bv!S29+s_MLF_peas)*s_IFPE_res_adj*s_CF_peas</f>
        <v>2162.8750000000005</v>
      </c>
      <c r="AU29" s="40">
        <f>s_C*(d_Bv!T29+s_MLF_peppers)*s_IFPP_res_adj*s_CF_peppers</f>
        <v>2162.8750000000005</v>
      </c>
      <c r="AV29" s="40">
        <f>s_C*(d_Bv!U29+s_MLF_potato)*s_IFPT_res_adj*s_CF_potato</f>
        <v>2053.9749999999999</v>
      </c>
      <c r="AW29" s="40">
        <f>s_C*(d_Bv!V29+s_MLF_pumpkin)*s_IFPU_res_adj*s_CF_pumpkin</f>
        <v>2162.8750000000005</v>
      </c>
      <c r="AX29" s="40">
        <f>s_C*(d_Bv!W29+s_MLF_snap_bean)*s_IFSN_res_adj*s_CF_snap_bean</f>
        <v>2162.8750000000005</v>
      </c>
      <c r="AY29" s="40">
        <f>s_C*(d_Bv!X29+s_MLF_strawberry)*s_IFST_res_adj*s_CF_strawberry</f>
        <v>2053.9749999999999</v>
      </c>
      <c r="AZ29" s="40">
        <f>s_C*(d_Bv!Y29+s_MLF_tomato)*s_IFTO_res_adj*s_CF_tomato</f>
        <v>2162.8750000000005</v>
      </c>
      <c r="BA29" s="40">
        <f>s_C*(d_Bv!Z29+s_MLF_rice)*s_IFRI_res_adj*s_CF_rice</f>
        <v>32291.875000000004</v>
      </c>
      <c r="BB29" s="40">
        <f>s_C*(d_Bv!AA29+s_MLF_cereal)*s_IFCG_res_adj*s_CF_cereal</f>
        <v>2162.8750000000005</v>
      </c>
      <c r="BC29" s="15" t="str">
        <f t="shared" si="2"/>
        <v>.</v>
      </c>
      <c r="BD29" s="15" t="str">
        <f>IFERROR((s_dir!AD29/(d_Bv!C29+s_MLF_apple)),".")</f>
        <v>.</v>
      </c>
      <c r="BE29" s="15" t="str">
        <f>IFERROR((s_dir!AE29/(d_Bv!D29+s_MLF_asparagus)),".")</f>
        <v>.</v>
      </c>
      <c r="BF29" s="15" t="str">
        <f>IFERROR((s_dir!AF29/(d_Bv!E29+s_MLF_beet)),".")</f>
        <v>.</v>
      </c>
      <c r="BG29" s="15" t="str">
        <f>IFERROR((s_dir!AG29/(d_Bv!F29+s_MLF_berries)),".")</f>
        <v>.</v>
      </c>
      <c r="BH29" s="15" t="str">
        <f>IFERROR((s_dir!AH29/(d_Bv!G29+s_MLF_broccoli)),".")</f>
        <v>.</v>
      </c>
      <c r="BI29" s="15" t="str">
        <f>IFERROR((s_dir!AI29/(d_Bv!H29+s_MLF_cabbage)),".")</f>
        <v>.</v>
      </c>
      <c r="BJ29" s="15" t="str">
        <f>IFERROR((s_dir!AJ29/(d_Bv!I29+s_MLF_carrot)),".")</f>
        <v>.</v>
      </c>
      <c r="BK29" s="15" t="str">
        <f>IFERROR((s_dir!AK29/(d_Bv!J29+s_MLF_citrus)),".")</f>
        <v>.</v>
      </c>
      <c r="BL29" s="15" t="str">
        <f>IFERROR((s_dir!AL29/(d_Bv!K29+s_MLF_corn)),".")</f>
        <v>.</v>
      </c>
      <c r="BM29" s="15" t="str">
        <f>IFERROR((s_dir!AM29/(d_Bv!L29+s_MLF_cucumber)),".")</f>
        <v>.</v>
      </c>
      <c r="BN29" s="15" t="str">
        <f>IFERROR((s_dir!AN29/(d_Bv!M29+s_MLF_lettuce)),".")</f>
        <v>.</v>
      </c>
      <c r="BO29" s="15" t="str">
        <f>IFERROR((s_dir!AO29/(d_Bv!N29+s_MLF_lima_bean)),".")</f>
        <v>.</v>
      </c>
      <c r="BP29" s="15" t="str">
        <f>IFERROR((s_dir!AP29/(d_Bv!O29+s_MLF_okra)),".")</f>
        <v>.</v>
      </c>
      <c r="BQ29" s="15" t="str">
        <f>IFERROR((s_dir!AQ29/(d_Bv!P29+s_MLF_onion)),".")</f>
        <v>.</v>
      </c>
      <c r="BR29" s="15" t="str">
        <f>IFERROR((s_dir!AR29/(d_Bv!Q29+s_MLF_peach)),".")</f>
        <v>.</v>
      </c>
      <c r="BS29" s="15" t="str">
        <f>IFERROR((s_dir!AS29/(d_Bv!R29+s_MLF_pear)),".")</f>
        <v>.</v>
      </c>
      <c r="BT29" s="15" t="str">
        <f>IFERROR((s_dir!AT29/(d_Bv!S29+s_MLF_peas)),".")</f>
        <v>.</v>
      </c>
      <c r="BU29" s="15" t="str">
        <f>IFERROR((s_dir!AU29/(d_Bv!T29+s_MLF_peppers)),".")</f>
        <v>.</v>
      </c>
      <c r="BV29" s="15" t="str">
        <f>IFERROR((s_dir!AV29/(d_Bv!U29+s_MLF_potato)),".")</f>
        <v>.</v>
      </c>
      <c r="BW29" s="15" t="str">
        <f>IFERROR((s_dir!AW29/(d_Bv!V29+s_MLF_pumpkin)),".")</f>
        <v>.</v>
      </c>
      <c r="BX29" s="15" t="str">
        <f>IFERROR((s_dir!AX29/(d_Bv!W29+s_MLF_snap_bean)),".")</f>
        <v>.</v>
      </c>
      <c r="BY29" s="15" t="str">
        <f>IFERROR((s_dir!AY29/(d_Bv!X29+s_MLF_strawberry)),".")</f>
        <v>.</v>
      </c>
      <c r="BZ29" s="15" t="str">
        <f>IFERROR((s_dir!AZ29/(d_Bv!Y29+s_MLF_tomato)),".")</f>
        <v>.</v>
      </c>
      <c r="CA29" s="15" t="str">
        <f>IFERROR((s_dir!BA29/(d_Bv!Z29+s_MLF_rice)),".")</f>
        <v>.</v>
      </c>
      <c r="CB29" s="15" t="str">
        <f>IFERROR((s_dir!BB29/(d_Bv!AA29+s_MLF_cereal)),".")</f>
        <v>.</v>
      </c>
      <c r="CC29" s="40">
        <f t="shared" si="3"/>
        <v>38671.600000000006</v>
      </c>
      <c r="CD29" s="40">
        <f>IFERROR(s_C*(d_Bv!C29+s_MLF_apple)*s_IFAP_far_adj*s_CF_apple,".")</f>
        <v>2053.9749999999999</v>
      </c>
      <c r="CE29" s="40">
        <f>IFERROR(s_C*(d_Bv!D29+s_MLF_asparagus)*s_IFAS_far_adj*s_CF_asparagus,".")</f>
        <v>2162.8750000000005</v>
      </c>
      <c r="CF29" s="40">
        <f>IFERROR(s_C*(d_Bv!E29+s_MLF_beet)*s_IFBT_far_adj*s_CF_beet,".")</f>
        <v>2053.9749999999999</v>
      </c>
      <c r="CG29" s="40">
        <f>IFERROR(s_C*(d_Bv!F29+s_MLF_berries)*s_IFBR_far_adj*s_CF_berries,".")</f>
        <v>2053.9749999999999</v>
      </c>
      <c r="CH29" s="40">
        <f>IFERROR(s_C*(d_Bv!G29+s_MLF_broccoli)*s_IFBR_far_adj*s_CF_broccoli,".")</f>
        <v>2162.8750000000005</v>
      </c>
      <c r="CI29" s="40">
        <f>IFERROR(s_C*(d_Bv!H29+s_MLF_cabbage)*s_IFCB_far_adj*s_CF_cabbage,".")</f>
        <v>2162.8750000000005</v>
      </c>
      <c r="CJ29" s="40">
        <f>IFERROR(s_C*(d_Bv!I29+s_MLF_carrot)*s_IFCR_far_adj*s_CF_carrot,".")</f>
        <v>2053.9749999999999</v>
      </c>
      <c r="CK29" s="40">
        <f>IFERROR(s_C*(d_Bv!J29+s_MLF_citrus)*s_IFCI_far_adj*s_CF_citrus,".")</f>
        <v>2053.9749999999999</v>
      </c>
      <c r="CL29" s="40">
        <f>IFERROR(s_C*(d_Bv!K29+s_MLF_corn)*s_IFCO_far_adj*s_CF_corn,".")</f>
        <v>2162.8750000000005</v>
      </c>
      <c r="CM29" s="40">
        <f>IFERROR(s_C*(d_Bv!L29+s_MLF_cucumber)*s_IFCU_far_adj*s_CF_cucumber,".")</f>
        <v>2162.8750000000005</v>
      </c>
      <c r="CN29" s="40">
        <f>IFERROR(s_C*(d_Bv!M29+s_MLF_lettuce)*s_IFLE_far_adj*s_CF_lettuce,".")</f>
        <v>2162.8750000000005</v>
      </c>
      <c r="CO29" s="40">
        <f>IFERROR(s_C*(d_Bv!N29+s_MLF_lima_bean)*s_IFLI_far_adj*s_CF_lima_bean,".")</f>
        <v>2162.8750000000005</v>
      </c>
      <c r="CP29" s="40">
        <f>IFERROR(s_C*(d_Bv!O29+s_MLF_okra)*s_IFOK_far_adj*s_CF_okra,".")</f>
        <v>2162.8750000000005</v>
      </c>
      <c r="CQ29" s="40">
        <f>IFERROR(s_C*(d_Bv!P29+s_MLF_onion)*s_IFON_far_adj*s_CF_onion,".")</f>
        <v>2053.9749999999999</v>
      </c>
      <c r="CR29" s="40">
        <f>IFERROR(s_C*(d_Bv!Q29+s_MLF_peach)*s_IFPC_far_adj*s_CF_peach,".")</f>
        <v>2053.9749999999999</v>
      </c>
      <c r="CS29" s="40">
        <f>IFERROR(s_C*(d_Bv!R29+s_MLF_pear)*s_IFPR_far_adj*s_CF_pear,".")</f>
        <v>2053.9749999999999</v>
      </c>
      <c r="CT29" s="40">
        <f>IFERROR(s_C*(d_Bv!S29+s_MLF_peas)*s_IFPE_far_adj*s_CF_peas,".")</f>
        <v>2162.8750000000005</v>
      </c>
      <c r="CU29" s="40">
        <f>IFERROR(s_C*(d_Bv!T29+s_MLF_peppers)*s_IFPP_far_adj*s_CF_peppers,".")</f>
        <v>2162.8750000000005</v>
      </c>
      <c r="CV29" s="40">
        <f>IFERROR(s_C*(d_Bv!U29+s_MLF_potato)*s_IFPT_far_adj*s_CF_potato,".")</f>
        <v>2053.9749999999999</v>
      </c>
      <c r="CW29" s="40">
        <f>IFERROR(s_C*(d_Bv!V29+s_MLF_pumpkin)*s_IFPU_far_adj*s_CF_pumpkin,".")</f>
        <v>2162.8750000000005</v>
      </c>
      <c r="CX29" s="40">
        <f>IFERROR(s_C*(d_Bv!W29+s_MLF_snap_bean)*s_IFSN_far_adj*s_CF_snap_bean,".")</f>
        <v>2162.8750000000005</v>
      </c>
      <c r="CY29" s="40">
        <f>IFERROR(s_C*(d_Bv!X29+s_MLF_strawberry)*s_IFST_far_adj*s_CF_strawberry,".")</f>
        <v>2053.9749999999999</v>
      </c>
      <c r="CZ29" s="40">
        <f>IFERROR(s_C*(d_Bv!Y29+s_MLF_tomato)*s_IFTO_far_adj*s_CF_tomato,".")</f>
        <v>2162.8750000000005</v>
      </c>
      <c r="DA29" s="40">
        <f>IFERROR(s_C*(d_Bv!Z29+s_MLF_rice)*s_IFRI_far_adj*s_CF_rice,".")</f>
        <v>32291.875000000004</v>
      </c>
      <c r="DB29" s="40">
        <f>IFERROR(s_C*(d_Bv!AA29+s_MLF_cereal)*s_IFCG_far_adj*s_CF_cereal,".")</f>
        <v>2162.8750000000005</v>
      </c>
    </row>
    <row r="30" spans="1:106" ht="15" customHeight="1" x14ac:dyDescent="0.25">
      <c r="A30" s="44" t="s">
        <v>40</v>
      </c>
      <c r="B30" s="42" t="s">
        <v>1071</v>
      </c>
      <c r="C30" s="15">
        <f t="shared" si="0"/>
        <v>44.610170493246052</v>
      </c>
      <c r="D30" s="15">
        <f>IFERROR((s_dir!D30/(d_Bv!C30+s_MLF_apple)),".")</f>
        <v>235.18174227691088</v>
      </c>
      <c r="E30" s="15">
        <f>IFERROR((s_dir!E30/(d_Bv!D30+s_MLF_asparagus)),".")</f>
        <v>101.79508247806589</v>
      </c>
      <c r="F30" s="15">
        <f>IFERROR((s_dir!F30/(d_Bv!E30+s_MLF_beet)),".")</f>
        <v>155.71393895046612</v>
      </c>
      <c r="G30" s="15">
        <f>IFERROR((s_dir!G30/(d_Bv!F30+s_MLF_berries)),".")</f>
        <v>235.18174227691088</v>
      </c>
      <c r="H30" s="15">
        <f>IFERROR((s_dir!H30/(d_Bv!G30+s_MLF_broccoli)),".")</f>
        <v>119.65386887772659</v>
      </c>
      <c r="I30" s="15">
        <f>IFERROR((s_dir!I30/(d_Bv!H30+s_MLF_cabbage)),".")</f>
        <v>101.79508247806589</v>
      </c>
      <c r="J30" s="15">
        <f>IFERROR((s_dir!J30/(d_Bv!I30+s_MLF_carrot)),".")</f>
        <v>155.71393895046612</v>
      </c>
      <c r="K30" s="15">
        <f>IFERROR((s_dir!K30/(d_Bv!J30+s_MLF_citrus)),".")</f>
        <v>235.18174227691088</v>
      </c>
      <c r="L30" s="15">
        <f>IFERROR((s_dir!L30/(d_Bv!K30+s_MLF_corn)),".")</f>
        <v>119.65386887772659</v>
      </c>
      <c r="M30" s="15">
        <f>IFERROR((s_dir!M30/(d_Bv!L30+s_MLF_cucumber)),".")</f>
        <v>119.65386887772659</v>
      </c>
      <c r="N30" s="15">
        <f>IFERROR((s_dir!N30/(d_Bv!M30+s_MLF_lettuce)),".")</f>
        <v>101.79508247806589</v>
      </c>
      <c r="O30" s="15">
        <f>IFERROR((s_dir!O30/(d_Bv!N30+s_MLF_lima_bean)),".")</f>
        <v>217.20606770797502</v>
      </c>
      <c r="P30" s="15">
        <f>IFERROR((s_dir!P30/(d_Bv!O30+s_MLF_okra)),".")</f>
        <v>119.65386887772659</v>
      </c>
      <c r="Q30" s="15">
        <f>IFERROR((s_dir!Q30/(d_Bv!P30+s_MLF_onion)),".")</f>
        <v>155.71393895046612</v>
      </c>
      <c r="R30" s="15">
        <f>IFERROR((s_dir!R30/(d_Bv!Q30+s_MLF_peach)),".")</f>
        <v>235.18174227691088</v>
      </c>
      <c r="S30" s="15">
        <f>IFERROR((s_dir!S30/(d_Bv!R30+s_MLF_pear)),".")</f>
        <v>235.18174227691088</v>
      </c>
      <c r="T30" s="15">
        <f>IFERROR((s_dir!T30/(d_Bv!S30+s_MLF_peas)),".")</f>
        <v>217.20606770797502</v>
      </c>
      <c r="U30" s="15">
        <f>IFERROR((s_dir!U30/(d_Bv!T30+s_MLF_peppers)),".")</f>
        <v>119.65386887772659</v>
      </c>
      <c r="V30" s="15">
        <f>IFERROR((s_dir!V30/(d_Bv!U30+s_MLF_potato)),".")</f>
        <v>184.33163583865988</v>
      </c>
      <c r="W30" s="15">
        <f>IFERROR((s_dir!W30/(d_Bv!V30+s_MLF_pumpkin)),".")</f>
        <v>119.65386887772659</v>
      </c>
      <c r="X30" s="15">
        <f>IFERROR((s_dir!X30/(d_Bv!W30+s_MLF_snap_bean)),".")</f>
        <v>217.20606770797502</v>
      </c>
      <c r="Y30" s="15">
        <f>IFERROR((s_dir!Y30/(d_Bv!X30+s_MLF_strawberry)),".")</f>
        <v>235.18174227691088</v>
      </c>
      <c r="Z30" s="15">
        <f>IFERROR((s_dir!Z30/(d_Bv!Y30+s_MLF_tomato)),".")</f>
        <v>119.65386887772659</v>
      </c>
      <c r="AA30" s="15">
        <f>IFERROR((s_dir!AA30/(d_Bv!Z30+s_MLF_rice)),".")</f>
        <v>248.13616117406735</v>
      </c>
      <c r="AB30" s="15">
        <f>IFERROR((s_dir!AB30/(d_Bv!AA30+s_MLF_cereal)),".")</f>
        <v>173.10331284341157</v>
      </c>
      <c r="AC30" s="40">
        <f t="shared" si="1"/>
        <v>11562.00375</v>
      </c>
      <c r="AD30" s="40">
        <f>s_C*(d_Bv!C30+s_MLF_apple)*s_IFAP_res_adj*s_CF_apple</f>
        <v>2193.125</v>
      </c>
      <c r="AE30" s="40">
        <f>s_C*(d_Bv!D30+s_MLF_asparagus)*s_IFAS_res_adj*s_CF_asparagus</f>
        <v>5066.875</v>
      </c>
      <c r="AF30" s="40">
        <f>s_C*(d_Bv!E30+s_MLF_beet)*s_IFBT_res_adj*s_CF_beet</f>
        <v>3312.375</v>
      </c>
      <c r="AG30" s="40">
        <f>s_C*(d_Bv!F30+s_MLF_berries)*s_IFBE_res_adj*s_CF_berries</f>
        <v>2193.125</v>
      </c>
      <c r="AH30" s="40">
        <f>s_C*(d_Bv!G30+s_MLF_broccoli)*s_IFBR_res_adj*s_CF_broccoli</f>
        <v>4310.625</v>
      </c>
      <c r="AI30" s="40">
        <f>s_C*(d_Bv!H30+s_MLF_cabbage)*s_IFCB_res_adj*s_CF_cabbage</f>
        <v>5066.875</v>
      </c>
      <c r="AJ30" s="40">
        <f>s_C*(d_Bv!I30+s_MLF_carrot)*s_IFCR_res_adj*s_CF_carrot</f>
        <v>3312.375</v>
      </c>
      <c r="AK30" s="40">
        <f>s_C*(d_Bv!J30+s_MLF_citrus)*s_IFCI_res_adj*s_CF_citrus</f>
        <v>2193.125</v>
      </c>
      <c r="AL30" s="40">
        <f>s_C*(d_Bv!K30+s_MLF_corn)*s_IFCO_res_adj*s_CF_corn</f>
        <v>4310.625</v>
      </c>
      <c r="AM30" s="40">
        <f>s_C*(d_Bv!L30+s_MLF_cucumber)*s_IFCU_res_adj*s_CF_cucumber</f>
        <v>4310.625</v>
      </c>
      <c r="AN30" s="40">
        <f>s_C*(d_Bv!M30+s_MLF_lettuce)*s_IFLE_res_adj*s_CF_lettuce</f>
        <v>5066.875</v>
      </c>
      <c r="AO30" s="40">
        <f>s_C*(d_Bv!N30+s_MLF_lima_bean)*s_IFLI_res_adj*s_CF_lima_bean</f>
        <v>2374.6249999999995</v>
      </c>
      <c r="AP30" s="40">
        <f>s_C*(d_Bv!O30+s_MLF_okra)*s_IFOK_res_adj*s_CF_okra</f>
        <v>4310.625</v>
      </c>
      <c r="AQ30" s="40">
        <f>s_C*(d_Bv!P30+s_MLF_onion)*s_IFON_res_adj*s_CF_onion</f>
        <v>3312.375</v>
      </c>
      <c r="AR30" s="40">
        <f>s_C*(d_Bv!Q30+s_MLF_peach)*s_IFPC_res_adj*s_CF_peach</f>
        <v>2193.125</v>
      </c>
      <c r="AS30" s="40">
        <f>s_C*(d_Bv!R30+s_MLF_pear)*s_IFPR_res_adj*s_CF_pear</f>
        <v>2193.125</v>
      </c>
      <c r="AT30" s="40">
        <f>s_C*(d_Bv!S30+s_MLF_peas)*s_IFPE_res_adj*s_CF_peas</f>
        <v>2374.6249999999995</v>
      </c>
      <c r="AU30" s="40">
        <f>s_C*(d_Bv!T30+s_MLF_peppers)*s_IFPP_res_adj*s_CF_peppers</f>
        <v>4310.625</v>
      </c>
      <c r="AV30" s="40">
        <f>s_C*(d_Bv!U30+s_MLF_potato)*s_IFPT_res_adj*s_CF_potato</f>
        <v>2798.125</v>
      </c>
      <c r="AW30" s="40">
        <f>s_C*(d_Bv!V30+s_MLF_pumpkin)*s_IFPU_res_adj*s_CF_pumpkin</f>
        <v>4310.625</v>
      </c>
      <c r="AX30" s="40">
        <f>s_C*(d_Bv!W30+s_MLF_snap_bean)*s_IFSN_res_adj*s_CF_snap_bean</f>
        <v>2374.6249999999995</v>
      </c>
      <c r="AY30" s="40">
        <f>s_C*(d_Bv!X30+s_MLF_strawberry)*s_IFST_res_adj*s_CF_strawberry</f>
        <v>2193.125</v>
      </c>
      <c r="AZ30" s="40">
        <f>s_C*(d_Bv!Y30+s_MLF_tomato)*s_IFTO_res_adj*s_CF_tomato</f>
        <v>4310.625</v>
      </c>
      <c r="BA30" s="40">
        <f>s_C*(d_Bv!Z30+s_MLF_rice)*s_IFRI_res_adj*s_CF_rice</f>
        <v>2078.6287499999999</v>
      </c>
      <c r="BB30" s="40">
        <f>s_C*(d_Bv!AA30+s_MLF_cereal)*s_IFCG_res_adj*s_CF_cereal</f>
        <v>2979.6249999999995</v>
      </c>
      <c r="BC30" s="15">
        <f t="shared" si="2"/>
        <v>44.610170493246052</v>
      </c>
      <c r="BD30" s="15">
        <f>IFERROR((s_dir!AD30/(d_Bv!C30+s_MLF_apple)),".")</f>
        <v>235.18174227691088</v>
      </c>
      <c r="BE30" s="15">
        <f>IFERROR((s_dir!AE30/(d_Bv!D30+s_MLF_asparagus)),".")</f>
        <v>101.79508247806589</v>
      </c>
      <c r="BF30" s="15">
        <f>IFERROR((s_dir!AF30/(d_Bv!E30+s_MLF_beet)),".")</f>
        <v>155.71393895046612</v>
      </c>
      <c r="BG30" s="15">
        <f>IFERROR((s_dir!AG30/(d_Bv!F30+s_MLF_berries)),".")</f>
        <v>235.18174227691088</v>
      </c>
      <c r="BH30" s="15">
        <f>IFERROR((s_dir!AH30/(d_Bv!G30+s_MLF_broccoli)),".")</f>
        <v>119.65386887772659</v>
      </c>
      <c r="BI30" s="15">
        <f>IFERROR((s_dir!AI30/(d_Bv!H30+s_MLF_cabbage)),".")</f>
        <v>101.79508247806589</v>
      </c>
      <c r="BJ30" s="15">
        <f>IFERROR((s_dir!AJ30/(d_Bv!I30+s_MLF_carrot)),".")</f>
        <v>155.71393895046612</v>
      </c>
      <c r="BK30" s="15">
        <f>IFERROR((s_dir!AK30/(d_Bv!J30+s_MLF_citrus)),".")</f>
        <v>235.18174227691088</v>
      </c>
      <c r="BL30" s="15">
        <f>IFERROR((s_dir!AL30/(d_Bv!K30+s_MLF_corn)),".")</f>
        <v>119.65386887772659</v>
      </c>
      <c r="BM30" s="15">
        <f>IFERROR((s_dir!AM30/(d_Bv!L30+s_MLF_cucumber)),".")</f>
        <v>119.65386887772659</v>
      </c>
      <c r="BN30" s="15">
        <f>IFERROR((s_dir!AN30/(d_Bv!M30+s_MLF_lettuce)),".")</f>
        <v>101.79508247806589</v>
      </c>
      <c r="BO30" s="15">
        <f>IFERROR((s_dir!AO30/(d_Bv!N30+s_MLF_lima_bean)),".")</f>
        <v>217.20606770797502</v>
      </c>
      <c r="BP30" s="15">
        <f>IFERROR((s_dir!AP30/(d_Bv!O30+s_MLF_okra)),".")</f>
        <v>119.65386887772659</v>
      </c>
      <c r="BQ30" s="15">
        <f>IFERROR((s_dir!AQ30/(d_Bv!P30+s_MLF_onion)),".")</f>
        <v>155.71393895046612</v>
      </c>
      <c r="BR30" s="15">
        <f>IFERROR((s_dir!AR30/(d_Bv!Q30+s_MLF_peach)),".")</f>
        <v>235.18174227691088</v>
      </c>
      <c r="BS30" s="15">
        <f>IFERROR((s_dir!AS30/(d_Bv!R30+s_MLF_pear)),".")</f>
        <v>235.18174227691088</v>
      </c>
      <c r="BT30" s="15">
        <f>IFERROR((s_dir!AT30/(d_Bv!S30+s_MLF_peas)),".")</f>
        <v>217.20606770797502</v>
      </c>
      <c r="BU30" s="15">
        <f>IFERROR((s_dir!AU30/(d_Bv!T30+s_MLF_peppers)),".")</f>
        <v>119.65386887772659</v>
      </c>
      <c r="BV30" s="15">
        <f>IFERROR((s_dir!AV30/(d_Bv!U30+s_MLF_potato)),".")</f>
        <v>184.33163583865988</v>
      </c>
      <c r="BW30" s="15">
        <f>IFERROR((s_dir!AW30/(d_Bv!V30+s_MLF_pumpkin)),".")</f>
        <v>119.65386887772659</v>
      </c>
      <c r="BX30" s="15">
        <f>IFERROR((s_dir!AX30/(d_Bv!W30+s_MLF_snap_bean)),".")</f>
        <v>217.20606770797502</v>
      </c>
      <c r="BY30" s="15">
        <f>IFERROR((s_dir!AY30/(d_Bv!X30+s_MLF_strawberry)),".")</f>
        <v>235.18174227691088</v>
      </c>
      <c r="BZ30" s="15">
        <f>IFERROR((s_dir!AZ30/(d_Bv!Y30+s_MLF_tomato)),".")</f>
        <v>119.65386887772659</v>
      </c>
      <c r="CA30" s="15">
        <f>IFERROR((s_dir!BA30/(d_Bv!Z30+s_MLF_rice)),".")</f>
        <v>248.13616117406735</v>
      </c>
      <c r="CB30" s="15">
        <f>IFERROR((s_dir!BB30/(d_Bv!AA30+s_MLF_cereal)),".")</f>
        <v>173.10331284341157</v>
      </c>
      <c r="CC30" s="40">
        <f t="shared" si="3"/>
        <v>11562.00375</v>
      </c>
      <c r="CD30" s="40">
        <f>IFERROR(s_C*(d_Bv!C30+s_MLF_apple)*s_IFAP_far_adj*s_CF_apple,".")</f>
        <v>2193.125</v>
      </c>
      <c r="CE30" s="40">
        <f>IFERROR(s_C*(d_Bv!D30+s_MLF_asparagus)*s_IFAS_far_adj*s_CF_asparagus,".")</f>
        <v>5066.875</v>
      </c>
      <c r="CF30" s="40">
        <f>IFERROR(s_C*(d_Bv!E30+s_MLF_beet)*s_IFBT_far_adj*s_CF_beet,".")</f>
        <v>3312.375</v>
      </c>
      <c r="CG30" s="40">
        <f>IFERROR(s_C*(d_Bv!F30+s_MLF_berries)*s_IFBR_far_adj*s_CF_berries,".")</f>
        <v>2193.125</v>
      </c>
      <c r="CH30" s="40">
        <f>IFERROR(s_C*(d_Bv!G30+s_MLF_broccoli)*s_IFBR_far_adj*s_CF_broccoli,".")</f>
        <v>4310.625</v>
      </c>
      <c r="CI30" s="40">
        <f>IFERROR(s_C*(d_Bv!H30+s_MLF_cabbage)*s_IFCB_far_adj*s_CF_cabbage,".")</f>
        <v>5066.875</v>
      </c>
      <c r="CJ30" s="40">
        <f>IFERROR(s_C*(d_Bv!I30+s_MLF_carrot)*s_IFCR_far_adj*s_CF_carrot,".")</f>
        <v>3312.375</v>
      </c>
      <c r="CK30" s="40">
        <f>IFERROR(s_C*(d_Bv!J30+s_MLF_citrus)*s_IFCI_far_adj*s_CF_citrus,".")</f>
        <v>2193.125</v>
      </c>
      <c r="CL30" s="40">
        <f>IFERROR(s_C*(d_Bv!K30+s_MLF_corn)*s_IFCO_far_adj*s_CF_corn,".")</f>
        <v>4310.625</v>
      </c>
      <c r="CM30" s="40">
        <f>IFERROR(s_C*(d_Bv!L30+s_MLF_cucumber)*s_IFCU_far_adj*s_CF_cucumber,".")</f>
        <v>4310.625</v>
      </c>
      <c r="CN30" s="40">
        <f>IFERROR(s_C*(d_Bv!M30+s_MLF_lettuce)*s_IFLE_far_adj*s_CF_lettuce,".")</f>
        <v>5066.875</v>
      </c>
      <c r="CO30" s="40">
        <f>IFERROR(s_C*(d_Bv!N30+s_MLF_lima_bean)*s_IFLI_far_adj*s_CF_lima_bean,".")</f>
        <v>2374.6249999999995</v>
      </c>
      <c r="CP30" s="40">
        <f>IFERROR(s_C*(d_Bv!O30+s_MLF_okra)*s_IFOK_far_adj*s_CF_okra,".")</f>
        <v>4310.625</v>
      </c>
      <c r="CQ30" s="40">
        <f>IFERROR(s_C*(d_Bv!P30+s_MLF_onion)*s_IFON_far_adj*s_CF_onion,".")</f>
        <v>3312.375</v>
      </c>
      <c r="CR30" s="40">
        <f>IFERROR(s_C*(d_Bv!Q30+s_MLF_peach)*s_IFPC_far_adj*s_CF_peach,".")</f>
        <v>2193.125</v>
      </c>
      <c r="CS30" s="40">
        <f>IFERROR(s_C*(d_Bv!R30+s_MLF_pear)*s_IFPR_far_adj*s_CF_pear,".")</f>
        <v>2193.125</v>
      </c>
      <c r="CT30" s="40">
        <f>IFERROR(s_C*(d_Bv!S30+s_MLF_peas)*s_IFPE_far_adj*s_CF_peas,".")</f>
        <v>2374.6249999999995</v>
      </c>
      <c r="CU30" s="40">
        <f>IFERROR(s_C*(d_Bv!T30+s_MLF_peppers)*s_IFPP_far_adj*s_CF_peppers,".")</f>
        <v>4310.625</v>
      </c>
      <c r="CV30" s="40">
        <f>IFERROR(s_C*(d_Bv!U30+s_MLF_potato)*s_IFPT_far_adj*s_CF_potato,".")</f>
        <v>2798.125</v>
      </c>
      <c r="CW30" s="40">
        <f>IFERROR(s_C*(d_Bv!V30+s_MLF_pumpkin)*s_IFPU_far_adj*s_CF_pumpkin,".")</f>
        <v>4310.625</v>
      </c>
      <c r="CX30" s="40">
        <f>IFERROR(s_C*(d_Bv!W30+s_MLF_snap_bean)*s_IFSN_far_adj*s_CF_snap_bean,".")</f>
        <v>2374.6249999999995</v>
      </c>
      <c r="CY30" s="40">
        <f>IFERROR(s_C*(d_Bv!X30+s_MLF_strawberry)*s_IFST_far_adj*s_CF_strawberry,".")</f>
        <v>2193.125</v>
      </c>
      <c r="CZ30" s="40">
        <f>IFERROR(s_C*(d_Bv!Y30+s_MLF_tomato)*s_IFTO_far_adj*s_CF_tomato,".")</f>
        <v>4310.625</v>
      </c>
      <c r="DA30" s="40">
        <f>IFERROR(s_C*(d_Bv!Z30+s_MLF_rice)*s_IFRI_far_adj*s_CF_rice,".")</f>
        <v>2078.6287499999999</v>
      </c>
      <c r="DB30" s="40">
        <f>IFERROR(s_C*(d_Bv!AA30+s_MLF_cereal)*s_IFCG_far_adj*s_CF_cereal,".")</f>
        <v>2979.6249999999995</v>
      </c>
    </row>
    <row r="31" spans="1:106" x14ac:dyDescent="0.25">
      <c r="A31" s="82" t="s">
        <v>13</v>
      </c>
      <c r="B31" s="82" t="s">
        <v>1071</v>
      </c>
      <c r="C31" s="58">
        <f>1/SUM(1/C32,1/C33,1/C34,1/C35,1/C36,1/C37,1/C38,1/C41,1/C44)</f>
        <v>4.6204591309810503</v>
      </c>
      <c r="D31" s="58">
        <f>1/SUM(1/D32,1/D33,1/D34,1/D35,1/D36,1/D37,1/D38,1/D41,1/D44)</f>
        <v>20.319017907759598</v>
      </c>
      <c r="E31" s="58">
        <f t="shared" ref="E31:AA31" si="4">1/SUM(1/E32,1/E33,1/E34,1/E35,1/E36,1/E37,1/E38,1/E41,1/E44)</f>
        <v>10.011052919824627</v>
      </c>
      <c r="F31" s="58">
        <f t="shared" si="4"/>
        <v>11.734087337219336</v>
      </c>
      <c r="G31" s="58">
        <f t="shared" si="4"/>
        <v>20.191540619969796</v>
      </c>
      <c r="H31" s="58">
        <f t="shared" si="4"/>
        <v>16.288336368143725</v>
      </c>
      <c r="I31" s="58">
        <f t="shared" si="4"/>
        <v>10.011052919824627</v>
      </c>
      <c r="J31" s="58">
        <f t="shared" si="4"/>
        <v>11.734087337219336</v>
      </c>
      <c r="K31" s="58">
        <f t="shared" si="4"/>
        <v>20.319017907759598</v>
      </c>
      <c r="L31" s="58">
        <f t="shared" si="4"/>
        <v>19.592522154158424</v>
      </c>
      <c r="M31" s="58">
        <f t="shared" si="4"/>
        <v>16.288336368143725</v>
      </c>
      <c r="N31" s="58">
        <f t="shared" si="4"/>
        <v>10.011052919824627</v>
      </c>
      <c r="O31" s="58">
        <f t="shared" si="4"/>
        <v>17.929458959805366</v>
      </c>
      <c r="P31" s="58">
        <f t="shared" si="4"/>
        <v>16.288336368143725</v>
      </c>
      <c r="Q31" s="58">
        <f t="shared" si="4"/>
        <v>11.734087337219336</v>
      </c>
      <c r="R31" s="58">
        <f t="shared" si="4"/>
        <v>20.319017907759598</v>
      </c>
      <c r="S31" s="58">
        <f t="shared" si="4"/>
        <v>20.319017907759598</v>
      </c>
      <c r="T31" s="58">
        <f t="shared" si="4"/>
        <v>17.929458959805366</v>
      </c>
      <c r="U31" s="58">
        <f t="shared" ref="U31" si="5">1/SUM(1/U32,1/U33,1/U34,1/U35,1/U36,1/U37,1/U38,1/U41,1/U44)</f>
        <v>16.288336368143725</v>
      </c>
      <c r="V31" s="58">
        <f t="shared" si="4"/>
        <v>19.228526415085497</v>
      </c>
      <c r="W31" s="58">
        <f t="shared" si="4"/>
        <v>16.288336368143725</v>
      </c>
      <c r="X31" s="58">
        <f t="shared" si="4"/>
        <v>17.929458959805366</v>
      </c>
      <c r="Y31" s="58">
        <f t="shared" si="4"/>
        <v>20.305847924023386</v>
      </c>
      <c r="Z31" s="58">
        <f t="shared" si="4"/>
        <v>16.288336368143725</v>
      </c>
      <c r="AA31" s="58">
        <f t="shared" si="4"/>
        <v>20.090893056168738</v>
      </c>
      <c r="AB31" s="58">
        <f>1/SUM(1/AB32,1/AB33,1/AB34,1/AB35,1/AB36,1/AB37,1/AB38,1/AB41,1/AB44)</f>
        <v>17.842387373787897</v>
      </c>
      <c r="AC31" s="47">
        <f t="shared" si="1"/>
        <v>1.0821448371695065E-5</v>
      </c>
      <c r="AD31" s="47">
        <f t="shared" ref="AD31:BA31" si="6">IFERROR(IF(SUM(AD32:AD44)&gt;0.01,1-EXP(-(SUM(AD32:AD44))),SUM(AD32:AD44)),".")</f>
        <v>2.4607521073672733E-6</v>
      </c>
      <c r="AE31" s="47">
        <f t="shared" si="6"/>
        <v>4.9944837822779878E-6</v>
      </c>
      <c r="AF31" s="47">
        <f t="shared" si="6"/>
        <v>4.2610931296635746E-6</v>
      </c>
      <c r="AG31" s="47">
        <f t="shared" si="6"/>
        <v>2.4762878010297736E-6</v>
      </c>
      <c r="AH31" s="47">
        <f t="shared" si="6"/>
        <v>3.0696845225385749E-6</v>
      </c>
      <c r="AI31" s="47">
        <f t="shared" si="6"/>
        <v>4.9944837822779878E-6</v>
      </c>
      <c r="AJ31" s="47">
        <f t="shared" si="6"/>
        <v>4.2610931296635746E-6</v>
      </c>
      <c r="AK31" s="47">
        <f t="shared" si="6"/>
        <v>2.4607521073672733E-6</v>
      </c>
      <c r="AL31" s="47">
        <f t="shared" si="6"/>
        <v>2.5519971954892839E-6</v>
      </c>
      <c r="AM31" s="47">
        <f t="shared" si="6"/>
        <v>3.0696845225385749E-6</v>
      </c>
      <c r="AN31" s="47">
        <f t="shared" si="6"/>
        <v>4.9944837822779878E-6</v>
      </c>
      <c r="AO31" s="47">
        <f t="shared" si="6"/>
        <v>2.7887097655465008E-6</v>
      </c>
      <c r="AP31" s="47">
        <f t="shared" si="6"/>
        <v>3.0696845225385749E-6</v>
      </c>
      <c r="AQ31" s="47">
        <f t="shared" si="6"/>
        <v>4.2610931296635746E-6</v>
      </c>
      <c r="AR31" s="47">
        <f t="shared" si="6"/>
        <v>2.4607521073672733E-6</v>
      </c>
      <c r="AS31" s="47">
        <f t="shared" si="6"/>
        <v>2.4607521073672733E-6</v>
      </c>
      <c r="AT31" s="47">
        <f t="shared" si="6"/>
        <v>2.7887097655465008E-6</v>
      </c>
      <c r="AU31" s="47">
        <f t="shared" ref="AU31" si="7">IFERROR(IF(SUM(AU32:AU44)&gt;0.01,1-EXP(-(SUM(AU32:AU44))),SUM(AU32:AU44)),".")</f>
        <v>3.0696845225385749E-6</v>
      </c>
      <c r="AV31" s="47">
        <f t="shared" si="6"/>
        <v>2.6003064113898117E-6</v>
      </c>
      <c r="AW31" s="47">
        <f t="shared" si="6"/>
        <v>3.0696845225385749E-6</v>
      </c>
      <c r="AX31" s="47">
        <f t="shared" si="6"/>
        <v>2.7887097655465008E-6</v>
      </c>
      <c r="AY31" s="47">
        <f t="shared" si="6"/>
        <v>2.4623481019047735E-6</v>
      </c>
      <c r="AZ31" s="47">
        <f t="shared" si="6"/>
        <v>3.0696845225385749E-6</v>
      </c>
      <c r="BA31" s="47">
        <f t="shared" si="6"/>
        <v>2.4886929010826822E-6</v>
      </c>
      <c r="BB31" s="47">
        <f>IFERROR(IF(SUM(BB32:BB44)&gt;0.01,1-EXP(-(SUM(BB32:BB44))),SUM(BB32:BB44)),".")</f>
        <v>2.8023188407065339E-6</v>
      </c>
      <c r="BC31" s="58">
        <f>IFERROR(1/SUM(BC32:BC44),0)</f>
        <v>4.6204591309810503</v>
      </c>
      <c r="BD31" s="58">
        <f>IFERROR(1/SUM(BD32:BD44),0)</f>
        <v>20.319017907759598</v>
      </c>
      <c r="BE31" s="58">
        <f>IFERROR(1/SUM(BE32:BE44),0)</f>
        <v>10.011052919824627</v>
      </c>
      <c r="BF31" s="58">
        <f t="shared" ref="BF31:CB31" si="8">IFERROR(1/SUM(BF32:BF44),0)</f>
        <v>11.734087337219336</v>
      </c>
      <c r="BG31" s="58">
        <f t="shared" si="8"/>
        <v>20.191540619969796</v>
      </c>
      <c r="BH31" s="58">
        <f t="shared" si="8"/>
        <v>16.288336368143725</v>
      </c>
      <c r="BI31" s="58">
        <f t="shared" si="8"/>
        <v>10.011052919824627</v>
      </c>
      <c r="BJ31" s="58">
        <f t="shared" si="8"/>
        <v>11.734087337219336</v>
      </c>
      <c r="BK31" s="58">
        <f t="shared" si="8"/>
        <v>20.319017907759598</v>
      </c>
      <c r="BL31" s="58">
        <f t="shared" si="8"/>
        <v>19.592522154158424</v>
      </c>
      <c r="BM31" s="58">
        <f t="shared" si="8"/>
        <v>16.288336368143725</v>
      </c>
      <c r="BN31" s="58">
        <f t="shared" si="8"/>
        <v>10.011052919824627</v>
      </c>
      <c r="BO31" s="58">
        <f t="shared" si="8"/>
        <v>17.929458959805366</v>
      </c>
      <c r="BP31" s="58">
        <f t="shared" si="8"/>
        <v>16.288336368143725</v>
      </c>
      <c r="BQ31" s="58">
        <f t="shared" si="8"/>
        <v>11.734087337219336</v>
      </c>
      <c r="BR31" s="58">
        <f t="shared" si="8"/>
        <v>20.319017907759598</v>
      </c>
      <c r="BS31" s="58">
        <f t="shared" si="8"/>
        <v>20.319017907759598</v>
      </c>
      <c r="BT31" s="58">
        <f t="shared" si="8"/>
        <v>17.929458959805366</v>
      </c>
      <c r="BU31" s="58">
        <f t="shared" ref="BU31" si="9">IFERROR(1/SUM(BU32:BU44),0)</f>
        <v>16.288336368143725</v>
      </c>
      <c r="BV31" s="58">
        <f t="shared" si="8"/>
        <v>19.228526415085497</v>
      </c>
      <c r="BW31" s="58">
        <f t="shared" si="8"/>
        <v>16.288336368143725</v>
      </c>
      <c r="BX31" s="58">
        <f t="shared" si="8"/>
        <v>17.929458959805366</v>
      </c>
      <c r="BY31" s="58">
        <f t="shared" si="8"/>
        <v>20.305847924023386</v>
      </c>
      <c r="BZ31" s="58">
        <f t="shared" si="8"/>
        <v>16.288336368143725</v>
      </c>
      <c r="CA31" s="58">
        <f t="shared" si="8"/>
        <v>20.090893056168738</v>
      </c>
      <c r="CB31" s="58">
        <f t="shared" si="8"/>
        <v>17.842387373787897</v>
      </c>
      <c r="CC31" s="47">
        <f t="shared" si="3"/>
        <v>1.0821448371695065E-5</v>
      </c>
      <c r="CD31" s="47">
        <f t="shared" ref="CD31:CZ31" si="10">IFERROR(IF(SUM(CD32:CD44)&gt;0.01,1-EXP(-(SUM(CD32:CD44))),SUM(CD32:CD44)),".")</f>
        <v>2.4607521073672733E-6</v>
      </c>
      <c r="CE31" s="47">
        <f t="shared" si="10"/>
        <v>4.9944837822779878E-6</v>
      </c>
      <c r="CF31" s="47">
        <f t="shared" si="10"/>
        <v>4.2610931296635746E-6</v>
      </c>
      <c r="CG31" s="47">
        <f t="shared" si="10"/>
        <v>2.4762878010297736E-6</v>
      </c>
      <c r="CH31" s="47">
        <f t="shared" si="10"/>
        <v>3.0696845225385749E-6</v>
      </c>
      <c r="CI31" s="47">
        <f t="shared" si="10"/>
        <v>4.9944837822779878E-6</v>
      </c>
      <c r="CJ31" s="47">
        <f t="shared" si="10"/>
        <v>4.2610931296635746E-6</v>
      </c>
      <c r="CK31" s="47">
        <f t="shared" si="10"/>
        <v>2.4607521073672733E-6</v>
      </c>
      <c r="CL31" s="47">
        <f t="shared" si="10"/>
        <v>2.5519971954892839E-6</v>
      </c>
      <c r="CM31" s="47">
        <f t="shared" si="10"/>
        <v>3.0696845225385749E-6</v>
      </c>
      <c r="CN31" s="47">
        <f t="shared" si="10"/>
        <v>4.9944837822779878E-6</v>
      </c>
      <c r="CO31" s="47">
        <f t="shared" si="10"/>
        <v>2.7887097655465008E-6</v>
      </c>
      <c r="CP31" s="47">
        <f t="shared" si="10"/>
        <v>3.0696845225385749E-6</v>
      </c>
      <c r="CQ31" s="47">
        <f t="shared" si="10"/>
        <v>4.2610931296635746E-6</v>
      </c>
      <c r="CR31" s="47">
        <f t="shared" si="10"/>
        <v>2.4607521073672733E-6</v>
      </c>
      <c r="CS31" s="47">
        <f t="shared" si="10"/>
        <v>2.4607521073672733E-6</v>
      </c>
      <c r="CT31" s="47">
        <f t="shared" si="10"/>
        <v>2.7887097655465008E-6</v>
      </c>
      <c r="CU31" s="47">
        <f t="shared" ref="CU31" si="11">IFERROR(IF(SUM(CU32:CU44)&gt;0.01,1-EXP(-(SUM(CU32:CU44))),SUM(CU32:CU44)),".")</f>
        <v>3.0696845225385749E-6</v>
      </c>
      <c r="CV31" s="47">
        <f t="shared" si="10"/>
        <v>2.6003064113898117E-6</v>
      </c>
      <c r="CW31" s="47">
        <f t="shared" si="10"/>
        <v>3.0696845225385749E-6</v>
      </c>
      <c r="CX31" s="47">
        <f t="shared" si="10"/>
        <v>2.7887097655465008E-6</v>
      </c>
      <c r="CY31" s="47">
        <f t="shared" si="10"/>
        <v>2.4623481019047735E-6</v>
      </c>
      <c r="CZ31" s="47">
        <f t="shared" si="10"/>
        <v>3.0696845225385749E-6</v>
      </c>
      <c r="DA31" s="47">
        <f>IFERROR(IF(SUM(DA32:DA44)&gt;0.01,1-EXP(-(SUM(DA32:DA44))),SUM(DA32:DA44)),".")</f>
        <v>2.4886929010826822E-6</v>
      </c>
      <c r="DB31" s="47">
        <f>IFERROR(IF(SUM(DB32:DB44)&gt;0.01,1-EXP(-(SUM(DB32:DB44))),SUM(DB32:DB44)),".")</f>
        <v>2.8023188407065339E-6</v>
      </c>
    </row>
    <row r="32" spans="1:106" x14ac:dyDescent="0.25">
      <c r="A32" s="83" t="s">
        <v>1099</v>
      </c>
      <c r="B32" s="42">
        <v>1</v>
      </c>
      <c r="C32" s="60">
        <f t="shared" ref="C32" si="12">IFERROR(C3/$B32,0)</f>
        <v>44.663631533305939</v>
      </c>
      <c r="D32" s="60">
        <f t="shared" ref="D32:AB32" si="13">IFERROR(D3/$B32,0)</f>
        <v>182.90930560602183</v>
      </c>
      <c r="E32" s="60">
        <f t="shared" si="13"/>
        <v>179.73462702651284</v>
      </c>
      <c r="F32" s="60">
        <f t="shared" si="13"/>
        <v>174.66096077311795</v>
      </c>
      <c r="G32" s="60">
        <f t="shared" si="13"/>
        <v>173.07313385699871</v>
      </c>
      <c r="H32" s="60">
        <f t="shared" si="13"/>
        <v>178.56751905880822</v>
      </c>
      <c r="I32" s="60">
        <f t="shared" si="13"/>
        <v>179.73462702651284</v>
      </c>
      <c r="J32" s="60">
        <f t="shared" si="13"/>
        <v>174.66096077311795</v>
      </c>
      <c r="K32" s="60">
        <f t="shared" si="13"/>
        <v>182.90930560602183</v>
      </c>
      <c r="L32" s="60">
        <f t="shared" si="13"/>
        <v>182.65282761292116</v>
      </c>
      <c r="M32" s="60">
        <f t="shared" si="13"/>
        <v>178.56751905880822</v>
      </c>
      <c r="N32" s="60">
        <f t="shared" si="13"/>
        <v>179.73462702651284</v>
      </c>
      <c r="O32" s="60">
        <f t="shared" si="13"/>
        <v>178.31021715814708</v>
      </c>
      <c r="P32" s="60">
        <f t="shared" si="13"/>
        <v>178.56751905880822</v>
      </c>
      <c r="Q32" s="60">
        <f t="shared" si="13"/>
        <v>174.66096077311795</v>
      </c>
      <c r="R32" s="60">
        <f t="shared" si="13"/>
        <v>182.90930560602183</v>
      </c>
      <c r="S32" s="60">
        <f t="shared" si="13"/>
        <v>182.90930560602183</v>
      </c>
      <c r="T32" s="60">
        <f t="shared" si="13"/>
        <v>178.31021715814708</v>
      </c>
      <c r="U32" s="60">
        <f t="shared" ref="U32" si="14">IFERROR(U3/$B32,0)</f>
        <v>178.56751905880822</v>
      </c>
      <c r="V32" s="60">
        <f t="shared" si="13"/>
        <v>180.52121182750412</v>
      </c>
      <c r="W32" s="60">
        <f t="shared" si="13"/>
        <v>178.56751905880822</v>
      </c>
      <c r="X32" s="60">
        <f t="shared" si="13"/>
        <v>178.31021715814708</v>
      </c>
      <c r="Y32" s="60">
        <f t="shared" si="13"/>
        <v>181.84759839493617</v>
      </c>
      <c r="Z32" s="60">
        <f t="shared" si="13"/>
        <v>178.56751905880822</v>
      </c>
      <c r="AA32" s="60">
        <f t="shared" si="13"/>
        <v>170.68591821759185</v>
      </c>
      <c r="AB32" s="60">
        <f t="shared" si="13"/>
        <v>183.03104675011696</v>
      </c>
      <c r="AC32" s="49">
        <f t="shared" si="1"/>
        <v>1.1194790545125001E-6</v>
      </c>
      <c r="AD32" s="49">
        <f>IFERROR(s_RadSpec!$H$3*(AD3/$B32),".")</f>
        <v>2.733595200875E-7</v>
      </c>
      <c r="AE32" s="49">
        <f>IFERROR(s_RadSpec!$H$3*(AE3/$B32),".")</f>
        <v>2.7818790862499995E-7</v>
      </c>
      <c r="AF32" s="49">
        <f>IFERROR(s_RadSpec!$H$3*(AF3/$B32),".")</f>
        <v>2.8626889362500003E-7</v>
      </c>
      <c r="AG32" s="49">
        <f>IFERROR(s_RadSpec!$H$3*(AG3/$B32),".")</f>
        <v>2.8889521375000008E-7</v>
      </c>
      <c r="AH32" s="49">
        <f>IFERROR(s_RadSpec!$H$3*(AH3/$B32),".")</f>
        <v>2.8000613025E-7</v>
      </c>
      <c r="AI32" s="49">
        <f>IFERROR(s_RadSpec!$H$3*(AI3/$B32),".")</f>
        <v>2.7818790862499995E-7</v>
      </c>
      <c r="AJ32" s="49">
        <f>IFERROR(s_RadSpec!$H$3*(AJ3/$B32),".")</f>
        <v>2.8626889362500003E-7</v>
      </c>
      <c r="AK32" s="49">
        <f>IFERROR(s_RadSpec!$H$3*(AK3/$B32),".")</f>
        <v>2.733595200875E-7</v>
      </c>
      <c r="AL32" s="49">
        <f>IFERROR(s_RadSpec!$H$3*(AL3/$B32),".")</f>
        <v>2.7374336687500001E-7</v>
      </c>
      <c r="AM32" s="49">
        <f>IFERROR(s_RadSpec!$H$3*(AM3/$B32),".")</f>
        <v>2.8000613025E-7</v>
      </c>
      <c r="AN32" s="49">
        <f>IFERROR(s_RadSpec!$H$3*(AN3/$B32),".")</f>
        <v>2.7818790862499995E-7</v>
      </c>
      <c r="AO32" s="49">
        <f>IFERROR(s_RadSpec!$H$3*(AO3/$B32),".")</f>
        <v>2.8041017950000002E-7</v>
      </c>
      <c r="AP32" s="49">
        <f>IFERROR(s_RadSpec!$H$3*(AP3/$B32),".")</f>
        <v>2.8000613025E-7</v>
      </c>
      <c r="AQ32" s="49">
        <f>IFERROR(s_RadSpec!$H$3*(AQ3/$B32),".")</f>
        <v>2.8626889362500003E-7</v>
      </c>
      <c r="AR32" s="49">
        <f>IFERROR(s_RadSpec!$H$3*(AR3/$B32),".")</f>
        <v>2.733595200875E-7</v>
      </c>
      <c r="AS32" s="49">
        <f>IFERROR(s_RadSpec!$H$3*(AS3/$B32),".")</f>
        <v>2.733595200875E-7</v>
      </c>
      <c r="AT32" s="49">
        <f>IFERROR(s_RadSpec!$H$3*(AT3/$B32),".")</f>
        <v>2.8041017950000002E-7</v>
      </c>
      <c r="AU32" s="49">
        <f>IFERROR(s_RadSpec!$H$3*(AU3/$B32),".")</f>
        <v>2.8000613025E-7</v>
      </c>
      <c r="AV32" s="49">
        <f>IFERROR(s_RadSpec!$H$3*(AV3/$B32),".")</f>
        <v>2.7697576087499997E-7</v>
      </c>
      <c r="AW32" s="49">
        <f>IFERROR(s_RadSpec!$H$3*(AW3/$B32),".")</f>
        <v>2.8000613025E-7</v>
      </c>
      <c r="AX32" s="49">
        <f>IFERROR(s_RadSpec!$H$3*(AX3/$B32),".")</f>
        <v>2.8041017950000002E-7</v>
      </c>
      <c r="AY32" s="49">
        <f>IFERROR(s_RadSpec!$H$3*(AY3/$B32),".")</f>
        <v>2.7495551462499999E-7</v>
      </c>
      <c r="AZ32" s="49">
        <f>IFERROR(s_RadSpec!$H$3*(AZ3/$B32),".")</f>
        <v>2.8000613025E-7</v>
      </c>
      <c r="BA32" s="49">
        <f>IFERROR(s_RadSpec!$H$3*(BA3/$B32),".")</f>
        <v>2.9293570625000004E-7</v>
      </c>
      <c r="BB32" s="49">
        <f>IFERROR(s_RadSpec!$H$3*(BB3/$B32),".")</f>
        <v>2.7317769792500003E-7</v>
      </c>
      <c r="BC32" s="60">
        <f>IFERROR($B32/BC3,0)</f>
        <v>2.2389581090249994E-2</v>
      </c>
      <c r="BD32" s="60">
        <f>IFERROR($B32/BD3,0)</f>
        <v>5.4671904017499998E-3</v>
      </c>
      <c r="BE32" s="60">
        <f t="shared" ref="BE32:CB32" si="15">IFERROR($B32/BE3,0)</f>
        <v>5.5637581724999989E-3</v>
      </c>
      <c r="BF32" s="60">
        <f t="shared" si="15"/>
        <v>5.7253778724999996E-3</v>
      </c>
      <c r="BG32" s="60">
        <f t="shared" si="15"/>
        <v>5.7779042749999997E-3</v>
      </c>
      <c r="BH32" s="60">
        <f t="shared" si="15"/>
        <v>5.6001226049999988E-3</v>
      </c>
      <c r="BI32" s="60">
        <f t="shared" si="15"/>
        <v>5.5637581724999989E-3</v>
      </c>
      <c r="BJ32" s="60">
        <f t="shared" si="15"/>
        <v>5.7253778724999996E-3</v>
      </c>
      <c r="BK32" s="60">
        <f t="shared" si="15"/>
        <v>5.4671904017499998E-3</v>
      </c>
      <c r="BL32" s="60">
        <f t="shared" si="15"/>
        <v>5.4748673374999989E-3</v>
      </c>
      <c r="BM32" s="60">
        <f t="shared" si="15"/>
        <v>5.6001226049999988E-3</v>
      </c>
      <c r="BN32" s="60">
        <f t="shared" si="15"/>
        <v>5.5637581724999989E-3</v>
      </c>
      <c r="BO32" s="60">
        <f t="shared" si="15"/>
        <v>5.6082035899999994E-3</v>
      </c>
      <c r="BP32" s="60">
        <f t="shared" si="15"/>
        <v>5.6001226049999988E-3</v>
      </c>
      <c r="BQ32" s="60">
        <f t="shared" si="15"/>
        <v>5.7253778724999996E-3</v>
      </c>
      <c r="BR32" s="60">
        <f t="shared" si="15"/>
        <v>5.4671904017499998E-3</v>
      </c>
      <c r="BS32" s="60">
        <f t="shared" si="15"/>
        <v>5.4671904017499998E-3</v>
      </c>
      <c r="BT32" s="60">
        <f t="shared" si="15"/>
        <v>5.6082035899999994E-3</v>
      </c>
      <c r="BU32" s="60">
        <f t="shared" ref="BU32" si="16">IFERROR($B32/BU3,0)</f>
        <v>5.6001226049999988E-3</v>
      </c>
      <c r="BV32" s="60">
        <f t="shared" si="15"/>
        <v>5.5395152174999998E-3</v>
      </c>
      <c r="BW32" s="60">
        <f t="shared" si="15"/>
        <v>5.6001226049999988E-3</v>
      </c>
      <c r="BX32" s="60">
        <f t="shared" si="15"/>
        <v>5.6082035899999994E-3</v>
      </c>
      <c r="BY32" s="60">
        <f t="shared" si="15"/>
        <v>5.4991102925000005E-3</v>
      </c>
      <c r="BZ32" s="60">
        <f t="shared" si="15"/>
        <v>5.6001226049999988E-3</v>
      </c>
      <c r="CA32" s="60">
        <f t="shared" si="15"/>
        <v>5.8587141249999992E-3</v>
      </c>
      <c r="CB32" s="60">
        <f t="shared" si="15"/>
        <v>5.4635539584999993E-3</v>
      </c>
      <c r="CC32" s="49">
        <f t="shared" si="3"/>
        <v>1.1194790545125001E-6</v>
      </c>
      <c r="CD32" s="49">
        <f>IFERROR(s_RadSpec!$H$3*(CD3/$B32),".")</f>
        <v>2.733595200875E-7</v>
      </c>
      <c r="CE32" s="49">
        <f>IFERROR(s_RadSpec!$H$3*(CE3/$B32),".")</f>
        <v>2.7818790862499995E-7</v>
      </c>
      <c r="CF32" s="49">
        <f>IFERROR(s_RadSpec!$H$3*(CF3/$B32),".")</f>
        <v>2.8626889362500003E-7</v>
      </c>
      <c r="CG32" s="49">
        <f>IFERROR(s_RadSpec!$H$3*(CG3/$B32),".")</f>
        <v>2.8889521375000008E-7</v>
      </c>
      <c r="CH32" s="49">
        <f>IFERROR(s_RadSpec!$H$3*(CH3/$B32),".")</f>
        <v>2.8000613025E-7</v>
      </c>
      <c r="CI32" s="49">
        <f>IFERROR(s_RadSpec!$H$3*(CI3/$B32),".")</f>
        <v>2.7818790862499995E-7</v>
      </c>
      <c r="CJ32" s="49">
        <f>IFERROR(s_RadSpec!$H$3*(CJ3/$B32),".")</f>
        <v>2.8626889362500003E-7</v>
      </c>
      <c r="CK32" s="49">
        <f>IFERROR(s_RadSpec!$H$3*(CK3/$B32),".")</f>
        <v>2.733595200875E-7</v>
      </c>
      <c r="CL32" s="49">
        <f>IFERROR(s_RadSpec!$H$3*(CL3/$B32),".")</f>
        <v>2.7374336687500001E-7</v>
      </c>
      <c r="CM32" s="49">
        <f>IFERROR(s_RadSpec!$H$3*(CM3/$B32),".")</f>
        <v>2.8000613025E-7</v>
      </c>
      <c r="CN32" s="49">
        <f>IFERROR(s_RadSpec!$H$3*(CN3/$B32),".")</f>
        <v>2.7818790862499995E-7</v>
      </c>
      <c r="CO32" s="49">
        <f>IFERROR(s_RadSpec!$H$3*(CO3/$B32),".")</f>
        <v>2.8041017950000002E-7</v>
      </c>
      <c r="CP32" s="49">
        <f>IFERROR(s_RadSpec!$H$3*(CP3/$B32),".")</f>
        <v>2.8000613025E-7</v>
      </c>
      <c r="CQ32" s="49">
        <f>IFERROR(s_RadSpec!$H$3*(CQ3/$B32),".")</f>
        <v>2.8626889362500003E-7</v>
      </c>
      <c r="CR32" s="49">
        <f>IFERROR(s_RadSpec!$H$3*(CR3/$B32),".")</f>
        <v>2.733595200875E-7</v>
      </c>
      <c r="CS32" s="49">
        <f>IFERROR(s_RadSpec!$H$3*(CS3/$B32),".")</f>
        <v>2.733595200875E-7</v>
      </c>
      <c r="CT32" s="49">
        <f>IFERROR(s_RadSpec!$H$3*(CT3/$B32),".")</f>
        <v>2.8041017950000002E-7</v>
      </c>
      <c r="CU32" s="49">
        <f>IFERROR(s_RadSpec!$H$3*(CU3/$B32),".")</f>
        <v>2.8000613025E-7</v>
      </c>
      <c r="CV32" s="49">
        <f>IFERROR(s_RadSpec!$H$3*(CV3/$B32),".")</f>
        <v>2.7697576087499997E-7</v>
      </c>
      <c r="CW32" s="49">
        <f>IFERROR(s_RadSpec!$H$3*(CW3/$B32),".")</f>
        <v>2.8000613025E-7</v>
      </c>
      <c r="CX32" s="49">
        <f>IFERROR(s_RadSpec!$H$3*(CX3/$B32),".")</f>
        <v>2.8041017950000002E-7</v>
      </c>
      <c r="CY32" s="49">
        <f>IFERROR(s_RadSpec!$H$3*(CY3/$B32),".")</f>
        <v>2.7495551462499999E-7</v>
      </c>
      <c r="CZ32" s="49">
        <f>IFERROR(s_RadSpec!$H$3*(CZ3/$B32),".")</f>
        <v>2.8000613025E-7</v>
      </c>
      <c r="DA32" s="49">
        <f>IFERROR(s_RadSpec!$H$3*(DA3/$B32),".")</f>
        <v>2.9293570625000004E-7</v>
      </c>
      <c r="DB32" s="49">
        <f>IFERROR(s_RadSpec!$H$3*(DB3/$B32),".")</f>
        <v>2.7317769792500003E-7</v>
      </c>
    </row>
    <row r="33" spans="1:106" x14ac:dyDescent="0.25">
      <c r="A33" s="83" t="s">
        <v>1075</v>
      </c>
      <c r="B33" s="42">
        <v>1</v>
      </c>
      <c r="C33" s="60">
        <f t="shared" ref="C33" si="17">IFERROR(C13/$B33,0)</f>
        <v>41.897482691982319</v>
      </c>
      <c r="D33" s="60">
        <f t="shared" ref="D33:AB33" si="18">IFERROR(D13/$B33,0)</f>
        <v>289.03190958526926</v>
      </c>
      <c r="E33" s="60">
        <f t="shared" si="18"/>
        <v>98.484946969795459</v>
      </c>
      <c r="F33" s="60">
        <f t="shared" si="18"/>
        <v>112.35606626131596</v>
      </c>
      <c r="G33" s="60">
        <f t="shared" si="18"/>
        <v>289.03190958526926</v>
      </c>
      <c r="H33" s="60">
        <f t="shared" si="18"/>
        <v>126.62350324687988</v>
      </c>
      <c r="I33" s="60">
        <f t="shared" si="18"/>
        <v>98.484946969795459</v>
      </c>
      <c r="J33" s="60">
        <f t="shared" si="18"/>
        <v>112.35606626131596</v>
      </c>
      <c r="K33" s="60">
        <f t="shared" si="18"/>
        <v>289.03190958526926</v>
      </c>
      <c r="L33" s="60">
        <f t="shared" si="18"/>
        <v>217.95848919544895</v>
      </c>
      <c r="M33" s="60">
        <f t="shared" si="18"/>
        <v>126.62350324687988</v>
      </c>
      <c r="N33" s="60">
        <f t="shared" si="18"/>
        <v>98.484946969795459</v>
      </c>
      <c r="O33" s="60">
        <f t="shared" si="18"/>
        <v>130.77509351726937</v>
      </c>
      <c r="P33" s="60">
        <f t="shared" si="18"/>
        <v>126.62350324687988</v>
      </c>
      <c r="Q33" s="60">
        <f t="shared" si="18"/>
        <v>112.35606626131596</v>
      </c>
      <c r="R33" s="60">
        <f t="shared" si="18"/>
        <v>289.03190958526926</v>
      </c>
      <c r="S33" s="60">
        <f t="shared" si="18"/>
        <v>289.03190958526926</v>
      </c>
      <c r="T33" s="60">
        <f t="shared" si="18"/>
        <v>130.77509351726937</v>
      </c>
      <c r="U33" s="60">
        <f t="shared" ref="U33" si="19">IFERROR(U13/$B33,0)</f>
        <v>126.62350324687988</v>
      </c>
      <c r="V33" s="60">
        <f t="shared" si="18"/>
        <v>207.74168501441227</v>
      </c>
      <c r="W33" s="60">
        <f t="shared" si="18"/>
        <v>126.62350324687988</v>
      </c>
      <c r="X33" s="60">
        <f t="shared" si="18"/>
        <v>130.77509351726937</v>
      </c>
      <c r="Y33" s="60">
        <f t="shared" si="18"/>
        <v>289.03190958526926</v>
      </c>
      <c r="Z33" s="60">
        <f t="shared" si="18"/>
        <v>126.62350324687988</v>
      </c>
      <c r="AA33" s="60">
        <f t="shared" si="18"/>
        <v>119.06389111273778</v>
      </c>
      <c r="AB33" s="60">
        <f t="shared" si="18"/>
        <v>243.20977757784857</v>
      </c>
      <c r="AC33" s="49">
        <f t="shared" si="1"/>
        <v>1.19338912E-6</v>
      </c>
      <c r="AD33" s="49">
        <f>IFERROR(s_RadSpec!$H$13*(AD13/$B33),".")</f>
        <v>1.7299128E-7</v>
      </c>
      <c r="AE33" s="49">
        <f>IFERROR(s_RadSpec!$H$13*(AE13/$B33),".")</f>
        <v>5.0769180000000003E-7</v>
      </c>
      <c r="AF33" s="49">
        <f>IFERROR(s_RadSpec!$H$13*(AF13/$B33),".")</f>
        <v>4.4501380000000001E-7</v>
      </c>
      <c r="AG33" s="49">
        <f>IFERROR(s_RadSpec!$H$13*(AG13/$B33),".")</f>
        <v>1.7299128E-7</v>
      </c>
      <c r="AH33" s="49">
        <f>IFERROR(s_RadSpec!$H$13*(AH13/$B33),".")</f>
        <v>3.9487139999999998E-7</v>
      </c>
      <c r="AI33" s="49">
        <f>IFERROR(s_RadSpec!$H$13*(AI13/$B33),".")</f>
        <v>5.0769180000000003E-7</v>
      </c>
      <c r="AJ33" s="49">
        <f>IFERROR(s_RadSpec!$H$13*(AJ13/$B33),".")</f>
        <v>4.4501380000000001E-7</v>
      </c>
      <c r="AK33" s="49">
        <f>IFERROR(s_RadSpec!$H$13*(AK13/$B33),".")</f>
        <v>1.7299128E-7</v>
      </c>
      <c r="AL33" s="49">
        <f>IFERROR(s_RadSpec!$H$13*(AL13/$B33),".")</f>
        <v>2.2940148E-7</v>
      </c>
      <c r="AM33" s="49">
        <f>IFERROR(s_RadSpec!$H$13*(AM13/$B33),".")</f>
        <v>3.9487139999999998E-7</v>
      </c>
      <c r="AN33" s="49">
        <f>IFERROR(s_RadSpec!$H$13*(AN13/$B33),".")</f>
        <v>5.0769180000000003E-7</v>
      </c>
      <c r="AO33" s="49">
        <f>IFERROR(s_RadSpec!$H$13*(AO13/$B33),".")</f>
        <v>3.8233580000000003E-7</v>
      </c>
      <c r="AP33" s="49">
        <f>IFERROR(s_RadSpec!$H$13*(AP13/$B33),".")</f>
        <v>3.9487139999999998E-7</v>
      </c>
      <c r="AQ33" s="49">
        <f>IFERROR(s_RadSpec!$H$13*(AQ13/$B33),".")</f>
        <v>4.4501380000000001E-7</v>
      </c>
      <c r="AR33" s="49">
        <f>IFERROR(s_RadSpec!$H$13*(AR13/$B33),".")</f>
        <v>1.7299128E-7</v>
      </c>
      <c r="AS33" s="49">
        <f>IFERROR(s_RadSpec!$H$13*(AS13/$B33),".")</f>
        <v>1.7299128E-7</v>
      </c>
      <c r="AT33" s="49">
        <f>IFERROR(s_RadSpec!$H$13*(AT13/$B33),".")</f>
        <v>3.8233580000000003E-7</v>
      </c>
      <c r="AU33" s="49">
        <f>IFERROR(s_RadSpec!$H$13*(AU13/$B33),".")</f>
        <v>3.9487139999999998E-7</v>
      </c>
      <c r="AV33" s="49">
        <f>IFERROR(s_RadSpec!$H$13*(AV13/$B33),".")</f>
        <v>2.4068352000000002E-7</v>
      </c>
      <c r="AW33" s="49">
        <f>IFERROR(s_RadSpec!$H$13*(AW13/$B33),".")</f>
        <v>3.9487139999999998E-7</v>
      </c>
      <c r="AX33" s="49">
        <f>IFERROR(s_RadSpec!$H$13*(AX13/$B33),".")</f>
        <v>3.8233580000000003E-7</v>
      </c>
      <c r="AY33" s="49">
        <f>IFERROR(s_RadSpec!$H$13*(AY13/$B33),".")</f>
        <v>1.7299128E-7</v>
      </c>
      <c r="AZ33" s="49">
        <f>IFERROR(s_RadSpec!$H$13*(AZ13/$B33),".")</f>
        <v>3.9487139999999998E-7</v>
      </c>
      <c r="BA33" s="49">
        <f>IFERROR(s_RadSpec!$H$13*(BA13/$B33),".")</f>
        <v>4.199426E-7</v>
      </c>
      <c r="BB33" s="49">
        <f>IFERROR(s_RadSpec!$H$13*(BB13/$B33),".")</f>
        <v>2.0558383999999997E-7</v>
      </c>
      <c r="BC33" s="60">
        <f t="shared" ref="BC33" si="20">IFERROR($B33/BC13,0)</f>
        <v>2.3867782399999996E-2</v>
      </c>
      <c r="BD33" s="60">
        <f t="shared" ref="BD33:CB33" si="21">IFERROR($B33/BD13,0)</f>
        <v>3.4598255999999999E-3</v>
      </c>
      <c r="BE33" s="60">
        <f t="shared" si="21"/>
        <v>1.0153835999999999E-2</v>
      </c>
      <c r="BF33" s="60">
        <f t="shared" si="21"/>
        <v>8.9002759999999986E-3</v>
      </c>
      <c r="BG33" s="60">
        <f t="shared" si="21"/>
        <v>3.4598255999999999E-3</v>
      </c>
      <c r="BH33" s="60">
        <f t="shared" si="21"/>
        <v>7.8974279999999997E-3</v>
      </c>
      <c r="BI33" s="60">
        <f t="shared" si="21"/>
        <v>1.0153835999999999E-2</v>
      </c>
      <c r="BJ33" s="60">
        <f t="shared" si="21"/>
        <v>8.9002759999999986E-3</v>
      </c>
      <c r="BK33" s="60">
        <f t="shared" si="21"/>
        <v>3.4598255999999999E-3</v>
      </c>
      <c r="BL33" s="60">
        <f t="shared" si="21"/>
        <v>4.5880296000000006E-3</v>
      </c>
      <c r="BM33" s="60">
        <f t="shared" si="21"/>
        <v>7.8974279999999997E-3</v>
      </c>
      <c r="BN33" s="60">
        <f t="shared" si="21"/>
        <v>1.0153835999999999E-2</v>
      </c>
      <c r="BO33" s="60">
        <f t="shared" si="21"/>
        <v>7.6467160000000005E-3</v>
      </c>
      <c r="BP33" s="60">
        <f t="shared" si="21"/>
        <v>7.8974279999999997E-3</v>
      </c>
      <c r="BQ33" s="60">
        <f t="shared" si="21"/>
        <v>8.9002759999999986E-3</v>
      </c>
      <c r="BR33" s="60">
        <f t="shared" si="21"/>
        <v>3.4598255999999999E-3</v>
      </c>
      <c r="BS33" s="60">
        <f t="shared" si="21"/>
        <v>3.4598255999999999E-3</v>
      </c>
      <c r="BT33" s="60">
        <f t="shared" si="21"/>
        <v>7.6467160000000005E-3</v>
      </c>
      <c r="BU33" s="60">
        <f t="shared" ref="BU33" si="22">IFERROR($B33/BU13,0)</f>
        <v>7.8974279999999997E-3</v>
      </c>
      <c r="BV33" s="60">
        <f t="shared" si="21"/>
        <v>4.8136704000000001E-3</v>
      </c>
      <c r="BW33" s="60">
        <f t="shared" si="21"/>
        <v>7.8974279999999997E-3</v>
      </c>
      <c r="BX33" s="60">
        <f t="shared" si="21"/>
        <v>7.6467160000000005E-3</v>
      </c>
      <c r="BY33" s="60">
        <f t="shared" si="21"/>
        <v>3.4598255999999999E-3</v>
      </c>
      <c r="BZ33" s="60">
        <f t="shared" si="21"/>
        <v>7.8974279999999997E-3</v>
      </c>
      <c r="CA33" s="60">
        <f t="shared" si="21"/>
        <v>8.3988520000000001E-3</v>
      </c>
      <c r="CB33" s="60">
        <f t="shared" si="21"/>
        <v>4.1116767999999993E-3</v>
      </c>
      <c r="CC33" s="49">
        <f t="shared" si="3"/>
        <v>1.19338912E-6</v>
      </c>
      <c r="CD33" s="49">
        <f>IFERROR(s_RadSpec!$H$13*(CD13/$B33),".")</f>
        <v>1.7299128E-7</v>
      </c>
      <c r="CE33" s="49">
        <f>IFERROR(s_RadSpec!$H$13*(CE13/$B33),".")</f>
        <v>5.0769180000000003E-7</v>
      </c>
      <c r="CF33" s="49">
        <f>IFERROR(s_RadSpec!$H$13*(CF13/$B33),".")</f>
        <v>4.4501380000000001E-7</v>
      </c>
      <c r="CG33" s="49">
        <f>IFERROR(s_RadSpec!$H$13*(CG13/$B33),".")</f>
        <v>1.7299128E-7</v>
      </c>
      <c r="CH33" s="49">
        <f>IFERROR(s_RadSpec!$H$13*(CH13/$B33),".")</f>
        <v>3.9487139999999998E-7</v>
      </c>
      <c r="CI33" s="49">
        <f>IFERROR(s_RadSpec!$H$13*(CI13/$B33),".")</f>
        <v>5.0769180000000003E-7</v>
      </c>
      <c r="CJ33" s="49">
        <f>IFERROR(s_RadSpec!$H$13*(CJ13/$B33),".")</f>
        <v>4.4501380000000001E-7</v>
      </c>
      <c r="CK33" s="49">
        <f>IFERROR(s_RadSpec!$H$13*(CK13/$B33),".")</f>
        <v>1.7299128E-7</v>
      </c>
      <c r="CL33" s="49">
        <f>IFERROR(s_RadSpec!$H$13*(CL13/$B33),".")</f>
        <v>2.2940148E-7</v>
      </c>
      <c r="CM33" s="49">
        <f>IFERROR(s_RadSpec!$H$13*(CM13/$B33),".")</f>
        <v>3.9487139999999998E-7</v>
      </c>
      <c r="CN33" s="49">
        <f>IFERROR(s_RadSpec!$H$13*(CN13/$B33),".")</f>
        <v>5.0769180000000003E-7</v>
      </c>
      <c r="CO33" s="49">
        <f>IFERROR(s_RadSpec!$H$13*(CO13/$B33),".")</f>
        <v>3.8233580000000003E-7</v>
      </c>
      <c r="CP33" s="49">
        <f>IFERROR(s_RadSpec!$H$13*(CP13/$B33),".")</f>
        <v>3.9487139999999998E-7</v>
      </c>
      <c r="CQ33" s="49">
        <f>IFERROR(s_RadSpec!$H$13*(CQ13/$B33),".")</f>
        <v>4.4501380000000001E-7</v>
      </c>
      <c r="CR33" s="49">
        <f>IFERROR(s_RadSpec!$H$13*(CR13/$B33),".")</f>
        <v>1.7299128E-7</v>
      </c>
      <c r="CS33" s="49">
        <f>IFERROR(s_RadSpec!$H$13*(CS13/$B33),".")</f>
        <v>1.7299128E-7</v>
      </c>
      <c r="CT33" s="49">
        <f>IFERROR(s_RadSpec!$H$13*(CT13/$B33),".")</f>
        <v>3.8233580000000003E-7</v>
      </c>
      <c r="CU33" s="49">
        <f>IFERROR(s_RadSpec!$H$13*(CU13/$B33),".")</f>
        <v>3.9487139999999998E-7</v>
      </c>
      <c r="CV33" s="49">
        <f>IFERROR(s_RadSpec!$H$13*(CV13/$B33),".")</f>
        <v>2.4068352000000002E-7</v>
      </c>
      <c r="CW33" s="49">
        <f>IFERROR(s_RadSpec!$H$13*(CW13/$B33),".")</f>
        <v>3.9487139999999998E-7</v>
      </c>
      <c r="CX33" s="49">
        <f>IFERROR(s_RadSpec!$H$13*(CX13/$B33),".")</f>
        <v>3.8233580000000003E-7</v>
      </c>
      <c r="CY33" s="49">
        <f>IFERROR(s_RadSpec!$H$13*(CY13/$B33),".")</f>
        <v>1.7299128E-7</v>
      </c>
      <c r="CZ33" s="49">
        <f>IFERROR(s_RadSpec!$H$13*(CZ13/$B33),".")</f>
        <v>3.9487139999999998E-7</v>
      </c>
      <c r="DA33" s="49">
        <f>IFERROR(s_RadSpec!$H$13*(DA13/$B33),".")</f>
        <v>4.199426E-7</v>
      </c>
      <c r="DB33" s="49">
        <f>IFERROR(s_RadSpec!$H$13*(DB13/$B33),".")</f>
        <v>2.0558383999999997E-7</v>
      </c>
    </row>
    <row r="34" spans="1:106" x14ac:dyDescent="0.25">
      <c r="A34" s="83" t="s">
        <v>1076</v>
      </c>
      <c r="B34" s="42">
        <v>1</v>
      </c>
      <c r="C34" s="60">
        <f t="shared" ref="C34" si="23">IFERROR(C14/$B34,0)</f>
        <v>392.76219399946564</v>
      </c>
      <c r="D34" s="60">
        <f t="shared" ref="D34:AB34" si="24">IFERROR(D14/$B34,0)</f>
        <v>1571.0487759978625</v>
      </c>
      <c r="E34" s="60">
        <f t="shared" si="24"/>
        <v>1571.0487759978625</v>
      </c>
      <c r="F34" s="60">
        <f t="shared" si="24"/>
        <v>1571.0487759978625</v>
      </c>
      <c r="G34" s="60">
        <f t="shared" si="24"/>
        <v>1571.0487759978625</v>
      </c>
      <c r="H34" s="60">
        <f t="shared" si="24"/>
        <v>1571.0487759978625</v>
      </c>
      <c r="I34" s="60">
        <f t="shared" si="24"/>
        <v>1571.0487759978625</v>
      </c>
      <c r="J34" s="60">
        <f t="shared" si="24"/>
        <v>1571.0487759978625</v>
      </c>
      <c r="K34" s="60">
        <f t="shared" si="24"/>
        <v>1571.0487759978625</v>
      </c>
      <c r="L34" s="60">
        <f t="shared" si="24"/>
        <v>1571.0487759978625</v>
      </c>
      <c r="M34" s="60">
        <f t="shared" si="24"/>
        <v>1571.0487759978625</v>
      </c>
      <c r="N34" s="60">
        <f t="shared" si="24"/>
        <v>1571.0487759978625</v>
      </c>
      <c r="O34" s="60">
        <f t="shared" si="24"/>
        <v>1571.0487759978625</v>
      </c>
      <c r="P34" s="60">
        <f t="shared" si="24"/>
        <v>1571.0487759978625</v>
      </c>
      <c r="Q34" s="60">
        <f t="shared" si="24"/>
        <v>1571.0487759978625</v>
      </c>
      <c r="R34" s="60">
        <f t="shared" si="24"/>
        <v>1571.0487759978625</v>
      </c>
      <c r="S34" s="60">
        <f t="shared" si="24"/>
        <v>1571.0487759978625</v>
      </c>
      <c r="T34" s="60">
        <f t="shared" si="24"/>
        <v>1571.0487759978625</v>
      </c>
      <c r="U34" s="60">
        <f t="shared" ref="U34" si="25">IFERROR(U14/$B34,0)</f>
        <v>1571.0487759978625</v>
      </c>
      <c r="V34" s="60">
        <f t="shared" si="24"/>
        <v>1571.0487759978625</v>
      </c>
      <c r="W34" s="60">
        <f t="shared" si="24"/>
        <v>1571.0487759978625</v>
      </c>
      <c r="X34" s="60">
        <f t="shared" si="24"/>
        <v>1571.0487759978625</v>
      </c>
      <c r="Y34" s="60">
        <f t="shared" si="24"/>
        <v>1571.0487759978625</v>
      </c>
      <c r="Z34" s="60">
        <f t="shared" si="24"/>
        <v>1571.0487759978625</v>
      </c>
      <c r="AA34" s="60">
        <f t="shared" si="24"/>
        <v>1571.0487759978625</v>
      </c>
      <c r="AB34" s="60">
        <f t="shared" si="24"/>
        <v>1571.0487759978625</v>
      </c>
      <c r="AC34" s="49">
        <f t="shared" si="1"/>
        <v>1.2730349499999998E-7</v>
      </c>
      <c r="AD34" s="49">
        <f>IFERROR(s_RadSpec!$H$14*(AD14/$B34),".")</f>
        <v>3.1825873749999995E-8</v>
      </c>
      <c r="AE34" s="49">
        <f>IFERROR(s_RadSpec!$H$14*(AE14/$B34),".")</f>
        <v>3.1825873749999995E-8</v>
      </c>
      <c r="AF34" s="49">
        <f>IFERROR(s_RadSpec!$H$14*(AF14/$B34),".")</f>
        <v>3.1825873749999995E-8</v>
      </c>
      <c r="AG34" s="49">
        <f>IFERROR(s_RadSpec!$H$14*(AG14/$B34),".")</f>
        <v>3.1825873749999995E-8</v>
      </c>
      <c r="AH34" s="49">
        <f>IFERROR(s_RadSpec!$H$14*(AH14/$B34),".")</f>
        <v>3.1825873749999995E-8</v>
      </c>
      <c r="AI34" s="49">
        <f>IFERROR(s_RadSpec!$H$14*(AI14/$B34),".")</f>
        <v>3.1825873749999995E-8</v>
      </c>
      <c r="AJ34" s="49">
        <f>IFERROR(s_RadSpec!$H$14*(AJ14/$B34),".")</f>
        <v>3.1825873749999995E-8</v>
      </c>
      <c r="AK34" s="49">
        <f>IFERROR(s_RadSpec!$H$14*(AK14/$B34),".")</f>
        <v>3.1825873749999995E-8</v>
      </c>
      <c r="AL34" s="49">
        <f>IFERROR(s_RadSpec!$H$14*(AL14/$B34),".")</f>
        <v>3.1825873749999995E-8</v>
      </c>
      <c r="AM34" s="49">
        <f>IFERROR(s_RadSpec!$H$14*(AM14/$B34),".")</f>
        <v>3.1825873749999995E-8</v>
      </c>
      <c r="AN34" s="49">
        <f>IFERROR(s_RadSpec!$H$14*(AN14/$B34),".")</f>
        <v>3.1825873749999995E-8</v>
      </c>
      <c r="AO34" s="49">
        <f>IFERROR(s_RadSpec!$H$14*(AO14/$B34),".")</f>
        <v>3.1825873749999995E-8</v>
      </c>
      <c r="AP34" s="49">
        <f>IFERROR(s_RadSpec!$H$14*(AP14/$B34),".")</f>
        <v>3.1825873749999995E-8</v>
      </c>
      <c r="AQ34" s="49">
        <f>IFERROR(s_RadSpec!$H$14*(AQ14/$B34),".")</f>
        <v>3.1825873749999995E-8</v>
      </c>
      <c r="AR34" s="49">
        <f>IFERROR(s_RadSpec!$H$14*(AR14/$B34),".")</f>
        <v>3.1825873749999995E-8</v>
      </c>
      <c r="AS34" s="49">
        <f>IFERROR(s_RadSpec!$H$14*(AS14/$B34),".")</f>
        <v>3.1825873749999995E-8</v>
      </c>
      <c r="AT34" s="49">
        <f>IFERROR(s_RadSpec!$H$14*(AT14/$B34),".")</f>
        <v>3.1825873749999995E-8</v>
      </c>
      <c r="AU34" s="49">
        <f>IFERROR(s_RadSpec!$H$14*(AU14/$B34),".")</f>
        <v>3.1825873749999995E-8</v>
      </c>
      <c r="AV34" s="49">
        <f>IFERROR(s_RadSpec!$H$14*(AV14/$B34),".")</f>
        <v>3.1825873749999995E-8</v>
      </c>
      <c r="AW34" s="49">
        <f>IFERROR(s_RadSpec!$H$14*(AW14/$B34),".")</f>
        <v>3.1825873749999995E-8</v>
      </c>
      <c r="AX34" s="49">
        <f>IFERROR(s_RadSpec!$H$14*(AX14/$B34),".")</f>
        <v>3.1825873749999995E-8</v>
      </c>
      <c r="AY34" s="49">
        <f>IFERROR(s_RadSpec!$H$14*(AY14/$B34),".")</f>
        <v>3.1825873749999995E-8</v>
      </c>
      <c r="AZ34" s="49">
        <f>IFERROR(s_RadSpec!$H$14*(AZ14/$B34),".")</f>
        <v>3.1825873749999995E-8</v>
      </c>
      <c r="BA34" s="49">
        <f>IFERROR(s_RadSpec!$H$14*(BA14/$B34),".")</f>
        <v>3.1825873749999995E-8</v>
      </c>
      <c r="BB34" s="49">
        <f>IFERROR(s_RadSpec!$H$14*(BB14/$B34),".")</f>
        <v>3.1825873749999995E-8</v>
      </c>
      <c r="BC34" s="60">
        <f t="shared" ref="BC34" si="26">IFERROR($B34/BC14,0)</f>
        <v>2.5460698999999996E-3</v>
      </c>
      <c r="BD34" s="60">
        <f t="shared" ref="BD34:CB34" si="27">IFERROR($B34/BD14,0)</f>
        <v>6.3651747499999991E-4</v>
      </c>
      <c r="BE34" s="60">
        <f t="shared" si="27"/>
        <v>6.3651747499999991E-4</v>
      </c>
      <c r="BF34" s="60">
        <f t="shared" si="27"/>
        <v>6.3651747499999991E-4</v>
      </c>
      <c r="BG34" s="60">
        <f t="shared" si="27"/>
        <v>6.3651747499999991E-4</v>
      </c>
      <c r="BH34" s="60">
        <f t="shared" si="27"/>
        <v>6.3651747499999991E-4</v>
      </c>
      <c r="BI34" s="60">
        <f t="shared" si="27"/>
        <v>6.3651747499999991E-4</v>
      </c>
      <c r="BJ34" s="60">
        <f t="shared" si="27"/>
        <v>6.3651747499999991E-4</v>
      </c>
      <c r="BK34" s="60">
        <f t="shared" si="27"/>
        <v>6.3651747499999991E-4</v>
      </c>
      <c r="BL34" s="60">
        <f t="shared" si="27"/>
        <v>6.3651747499999991E-4</v>
      </c>
      <c r="BM34" s="60">
        <f t="shared" si="27"/>
        <v>6.3651747499999991E-4</v>
      </c>
      <c r="BN34" s="60">
        <f t="shared" si="27"/>
        <v>6.3651747499999991E-4</v>
      </c>
      <c r="BO34" s="60">
        <f t="shared" si="27"/>
        <v>6.3651747499999991E-4</v>
      </c>
      <c r="BP34" s="60">
        <f t="shared" si="27"/>
        <v>6.3651747499999991E-4</v>
      </c>
      <c r="BQ34" s="60">
        <f t="shared" si="27"/>
        <v>6.3651747499999991E-4</v>
      </c>
      <c r="BR34" s="60">
        <f t="shared" si="27"/>
        <v>6.3651747499999991E-4</v>
      </c>
      <c r="BS34" s="60">
        <f t="shared" si="27"/>
        <v>6.3651747499999991E-4</v>
      </c>
      <c r="BT34" s="60">
        <f t="shared" si="27"/>
        <v>6.3651747499999991E-4</v>
      </c>
      <c r="BU34" s="60">
        <f t="shared" ref="BU34" si="28">IFERROR($B34/BU14,0)</f>
        <v>6.3651747499999991E-4</v>
      </c>
      <c r="BV34" s="60">
        <f t="shared" si="27"/>
        <v>6.3651747499999991E-4</v>
      </c>
      <c r="BW34" s="60">
        <f t="shared" si="27"/>
        <v>6.3651747499999991E-4</v>
      </c>
      <c r="BX34" s="60">
        <f t="shared" si="27"/>
        <v>6.3651747499999991E-4</v>
      </c>
      <c r="BY34" s="60">
        <f t="shared" si="27"/>
        <v>6.3651747499999991E-4</v>
      </c>
      <c r="BZ34" s="60">
        <f t="shared" si="27"/>
        <v>6.3651747499999991E-4</v>
      </c>
      <c r="CA34" s="60">
        <f t="shared" si="27"/>
        <v>6.3651747499999991E-4</v>
      </c>
      <c r="CB34" s="60">
        <f t="shared" si="27"/>
        <v>6.3651747499999991E-4</v>
      </c>
      <c r="CC34" s="49">
        <f t="shared" si="3"/>
        <v>1.2730349499999998E-7</v>
      </c>
      <c r="CD34" s="49">
        <f>IFERROR(s_RadSpec!$H$14*(CD14/$B34),".")</f>
        <v>3.1825873749999995E-8</v>
      </c>
      <c r="CE34" s="49">
        <f>IFERROR(s_RadSpec!$H$14*(CE14/$B34),".")</f>
        <v>3.1825873749999995E-8</v>
      </c>
      <c r="CF34" s="49">
        <f>IFERROR(s_RadSpec!$H$14*(CF14/$B34),".")</f>
        <v>3.1825873749999995E-8</v>
      </c>
      <c r="CG34" s="49">
        <f>IFERROR(s_RadSpec!$H$14*(CG14/$B34),".")</f>
        <v>3.1825873749999995E-8</v>
      </c>
      <c r="CH34" s="49">
        <f>IFERROR(s_RadSpec!$H$14*(CH14/$B34),".")</f>
        <v>3.1825873749999995E-8</v>
      </c>
      <c r="CI34" s="49">
        <f>IFERROR(s_RadSpec!$H$14*(CI14/$B34),".")</f>
        <v>3.1825873749999995E-8</v>
      </c>
      <c r="CJ34" s="49">
        <f>IFERROR(s_RadSpec!$H$14*(CJ14/$B34),".")</f>
        <v>3.1825873749999995E-8</v>
      </c>
      <c r="CK34" s="49">
        <f>IFERROR(s_RadSpec!$H$14*(CK14/$B34),".")</f>
        <v>3.1825873749999995E-8</v>
      </c>
      <c r="CL34" s="49">
        <f>IFERROR(s_RadSpec!$H$14*(CL14/$B34),".")</f>
        <v>3.1825873749999995E-8</v>
      </c>
      <c r="CM34" s="49">
        <f>IFERROR(s_RadSpec!$H$14*(CM14/$B34),".")</f>
        <v>3.1825873749999995E-8</v>
      </c>
      <c r="CN34" s="49">
        <f>IFERROR(s_RadSpec!$H$14*(CN14/$B34),".")</f>
        <v>3.1825873749999995E-8</v>
      </c>
      <c r="CO34" s="49">
        <f>IFERROR(s_RadSpec!$H$14*(CO14/$B34),".")</f>
        <v>3.1825873749999995E-8</v>
      </c>
      <c r="CP34" s="49">
        <f>IFERROR(s_RadSpec!$H$14*(CP14/$B34),".")</f>
        <v>3.1825873749999995E-8</v>
      </c>
      <c r="CQ34" s="49">
        <f>IFERROR(s_RadSpec!$H$14*(CQ14/$B34),".")</f>
        <v>3.1825873749999995E-8</v>
      </c>
      <c r="CR34" s="49">
        <f>IFERROR(s_RadSpec!$H$14*(CR14/$B34),".")</f>
        <v>3.1825873749999995E-8</v>
      </c>
      <c r="CS34" s="49">
        <f>IFERROR(s_RadSpec!$H$14*(CS14/$B34),".")</f>
        <v>3.1825873749999995E-8</v>
      </c>
      <c r="CT34" s="49">
        <f>IFERROR(s_RadSpec!$H$14*(CT14/$B34),".")</f>
        <v>3.1825873749999995E-8</v>
      </c>
      <c r="CU34" s="49">
        <f>IFERROR(s_RadSpec!$H$14*(CU14/$B34),".")</f>
        <v>3.1825873749999995E-8</v>
      </c>
      <c r="CV34" s="49">
        <f>IFERROR(s_RadSpec!$H$14*(CV14/$B34),".")</f>
        <v>3.1825873749999995E-8</v>
      </c>
      <c r="CW34" s="49">
        <f>IFERROR(s_RadSpec!$H$14*(CW14/$B34),".")</f>
        <v>3.1825873749999995E-8</v>
      </c>
      <c r="CX34" s="49">
        <f>IFERROR(s_RadSpec!$H$14*(CX14/$B34),".")</f>
        <v>3.1825873749999995E-8</v>
      </c>
      <c r="CY34" s="49">
        <f>IFERROR(s_RadSpec!$H$14*(CY14/$B34),".")</f>
        <v>3.1825873749999995E-8</v>
      </c>
      <c r="CZ34" s="49">
        <f>IFERROR(s_RadSpec!$H$14*(CZ14/$B34),".")</f>
        <v>3.1825873749999995E-8</v>
      </c>
      <c r="DA34" s="49">
        <f>IFERROR(s_RadSpec!$H$14*(DA14/$B34),".")</f>
        <v>3.1825873749999995E-8</v>
      </c>
      <c r="DB34" s="49">
        <f>IFERROR(s_RadSpec!$H$14*(DB14/$B34),".")</f>
        <v>3.1825873749999995E-8</v>
      </c>
    </row>
    <row r="35" spans="1:106" x14ac:dyDescent="0.25">
      <c r="A35" s="83" t="s">
        <v>1077</v>
      </c>
      <c r="B35" s="42">
        <v>1</v>
      </c>
      <c r="C35" s="60">
        <f t="shared" ref="C35" si="29">IFERROR(C30/$B35,0)</f>
        <v>44.610170493246052</v>
      </c>
      <c r="D35" s="60">
        <f t="shared" ref="D35:AB35" si="30">IFERROR(D30/$B35,0)</f>
        <v>235.18174227691088</v>
      </c>
      <c r="E35" s="60">
        <f t="shared" si="30"/>
        <v>101.79508247806589</v>
      </c>
      <c r="F35" s="60">
        <f t="shared" si="30"/>
        <v>155.71393895046612</v>
      </c>
      <c r="G35" s="60">
        <f t="shared" si="30"/>
        <v>235.18174227691088</v>
      </c>
      <c r="H35" s="60">
        <f t="shared" si="30"/>
        <v>119.65386887772659</v>
      </c>
      <c r="I35" s="60">
        <f t="shared" si="30"/>
        <v>101.79508247806589</v>
      </c>
      <c r="J35" s="60">
        <f t="shared" si="30"/>
        <v>155.71393895046612</v>
      </c>
      <c r="K35" s="60">
        <f t="shared" si="30"/>
        <v>235.18174227691088</v>
      </c>
      <c r="L35" s="60">
        <f t="shared" si="30"/>
        <v>119.65386887772659</v>
      </c>
      <c r="M35" s="60">
        <f t="shared" si="30"/>
        <v>119.65386887772659</v>
      </c>
      <c r="N35" s="60">
        <f t="shared" si="30"/>
        <v>101.79508247806589</v>
      </c>
      <c r="O35" s="60">
        <f t="shared" si="30"/>
        <v>217.20606770797502</v>
      </c>
      <c r="P35" s="60">
        <f t="shared" si="30"/>
        <v>119.65386887772659</v>
      </c>
      <c r="Q35" s="60">
        <f t="shared" si="30"/>
        <v>155.71393895046612</v>
      </c>
      <c r="R35" s="60">
        <f t="shared" si="30"/>
        <v>235.18174227691088</v>
      </c>
      <c r="S35" s="60">
        <f t="shared" si="30"/>
        <v>235.18174227691088</v>
      </c>
      <c r="T35" s="60">
        <f t="shared" si="30"/>
        <v>217.20606770797502</v>
      </c>
      <c r="U35" s="60">
        <f t="shared" ref="U35" si="31">IFERROR(U30/$B35,0)</f>
        <v>119.65386887772659</v>
      </c>
      <c r="V35" s="60">
        <f t="shared" si="30"/>
        <v>184.33163583865988</v>
      </c>
      <c r="W35" s="60">
        <f t="shared" si="30"/>
        <v>119.65386887772659</v>
      </c>
      <c r="X35" s="60">
        <f t="shared" si="30"/>
        <v>217.20606770797502</v>
      </c>
      <c r="Y35" s="60">
        <f t="shared" si="30"/>
        <v>235.18174227691088</v>
      </c>
      <c r="Z35" s="60">
        <f t="shared" si="30"/>
        <v>119.65386887772659</v>
      </c>
      <c r="AA35" s="60">
        <f t="shared" si="30"/>
        <v>248.13616117406735</v>
      </c>
      <c r="AB35" s="60">
        <f t="shared" si="30"/>
        <v>173.10331284341157</v>
      </c>
      <c r="AC35" s="49">
        <f t="shared" si="1"/>
        <v>1.1208206435250001E-6</v>
      </c>
      <c r="AD35" s="49">
        <f>IFERROR(s_RadSpec!$H$30*(AD30/$B35),".")</f>
        <v>2.126015375E-7</v>
      </c>
      <c r="AE35" s="49">
        <f>IFERROR(s_RadSpec!$H$30*(AE30/$B35),".")</f>
        <v>4.9118286249999999E-7</v>
      </c>
      <c r="AF35" s="49">
        <f>IFERROR(s_RadSpec!$H$30*(AF30/$B35),".")</f>
        <v>3.2110163250000003E-7</v>
      </c>
      <c r="AG35" s="49">
        <f>IFERROR(s_RadSpec!$H$30*(AG30/$B35),".")</f>
        <v>2.126015375E-7</v>
      </c>
      <c r="AH35" s="49">
        <f>IFERROR(s_RadSpec!$H$30*(AH30/$B35),".")</f>
        <v>4.1787198750000003E-7</v>
      </c>
      <c r="AI35" s="49">
        <f>IFERROR(s_RadSpec!$H$30*(AI30/$B35),".")</f>
        <v>4.9118286249999999E-7</v>
      </c>
      <c r="AJ35" s="49">
        <f>IFERROR(s_RadSpec!$H$30*(AJ30/$B35),".")</f>
        <v>3.2110163250000003E-7</v>
      </c>
      <c r="AK35" s="49">
        <f>IFERROR(s_RadSpec!$H$30*(AK30/$B35),".")</f>
        <v>2.126015375E-7</v>
      </c>
      <c r="AL35" s="49">
        <f>IFERROR(s_RadSpec!$H$30*(AL30/$B35),".")</f>
        <v>4.1787198750000003E-7</v>
      </c>
      <c r="AM35" s="49">
        <f>IFERROR(s_RadSpec!$H$30*(AM30/$B35),".")</f>
        <v>4.1787198750000003E-7</v>
      </c>
      <c r="AN35" s="49">
        <f>IFERROR(s_RadSpec!$H$30*(AN30/$B35),".")</f>
        <v>4.9118286249999999E-7</v>
      </c>
      <c r="AO35" s="49">
        <f>IFERROR(s_RadSpec!$H$30*(AO30/$B35),".")</f>
        <v>2.3019614749999996E-7</v>
      </c>
      <c r="AP35" s="49">
        <f>IFERROR(s_RadSpec!$H$30*(AP30/$B35),".")</f>
        <v>4.1787198750000003E-7</v>
      </c>
      <c r="AQ35" s="49">
        <f>IFERROR(s_RadSpec!$H$30*(AQ30/$B35),".")</f>
        <v>3.2110163250000003E-7</v>
      </c>
      <c r="AR35" s="49">
        <f>IFERROR(s_RadSpec!$H$30*(AR30/$B35),".")</f>
        <v>2.126015375E-7</v>
      </c>
      <c r="AS35" s="49">
        <f>IFERROR(s_RadSpec!$H$30*(AS30/$B35),".")</f>
        <v>2.126015375E-7</v>
      </c>
      <c r="AT35" s="49">
        <f>IFERROR(s_RadSpec!$H$30*(AT30/$B35),".")</f>
        <v>2.3019614749999996E-7</v>
      </c>
      <c r="AU35" s="49">
        <f>IFERROR(s_RadSpec!$H$30*(AU30/$B35),".")</f>
        <v>4.1787198750000003E-7</v>
      </c>
      <c r="AV35" s="49">
        <f>IFERROR(s_RadSpec!$H$30*(AV30/$B35),".")</f>
        <v>2.7125023750000001E-7</v>
      </c>
      <c r="AW35" s="49">
        <f>IFERROR(s_RadSpec!$H$30*(AW30/$B35),".")</f>
        <v>4.1787198750000003E-7</v>
      </c>
      <c r="AX35" s="49">
        <f>IFERROR(s_RadSpec!$H$30*(AX30/$B35),".")</f>
        <v>2.3019614749999996E-7</v>
      </c>
      <c r="AY35" s="49">
        <f>IFERROR(s_RadSpec!$H$30*(AY30/$B35),".")</f>
        <v>2.126015375E-7</v>
      </c>
      <c r="AZ35" s="49">
        <f>IFERROR(s_RadSpec!$H$30*(AZ30/$B35),".")</f>
        <v>4.1787198750000003E-7</v>
      </c>
      <c r="BA35" s="49">
        <f>IFERROR(s_RadSpec!$H$30*(BA30/$B35),".")</f>
        <v>2.01502271025E-7</v>
      </c>
      <c r="BB35" s="49">
        <f>IFERROR(s_RadSpec!$H$30*(BB30/$B35),".")</f>
        <v>2.8884484749999994E-7</v>
      </c>
      <c r="BC35" s="60">
        <f t="shared" ref="BC35" si="32">IFERROR($B35/BC30,0)</f>
        <v>2.2416412870499999E-2</v>
      </c>
      <c r="BD35" s="60">
        <f t="shared" ref="BD35:CB35" si="33">IFERROR($B35/BD30,0)</f>
        <v>4.25203075E-3</v>
      </c>
      <c r="BE35" s="60">
        <f t="shared" si="33"/>
        <v>9.8236572499999994E-3</v>
      </c>
      <c r="BF35" s="60">
        <f t="shared" si="33"/>
        <v>6.4220326499999994E-3</v>
      </c>
      <c r="BG35" s="60">
        <f t="shared" si="33"/>
        <v>4.25203075E-3</v>
      </c>
      <c r="BH35" s="60">
        <f t="shared" si="33"/>
        <v>8.3574397499999991E-3</v>
      </c>
      <c r="BI35" s="60">
        <f t="shared" si="33"/>
        <v>9.8236572499999994E-3</v>
      </c>
      <c r="BJ35" s="60">
        <f t="shared" si="33"/>
        <v>6.4220326499999994E-3</v>
      </c>
      <c r="BK35" s="60">
        <f t="shared" si="33"/>
        <v>4.25203075E-3</v>
      </c>
      <c r="BL35" s="60">
        <f t="shared" si="33"/>
        <v>8.3574397499999991E-3</v>
      </c>
      <c r="BM35" s="60">
        <f t="shared" si="33"/>
        <v>8.3574397499999991E-3</v>
      </c>
      <c r="BN35" s="60">
        <f t="shared" si="33"/>
        <v>9.8236572499999994E-3</v>
      </c>
      <c r="BO35" s="60">
        <f t="shared" si="33"/>
        <v>4.6039229499999995E-3</v>
      </c>
      <c r="BP35" s="60">
        <f t="shared" si="33"/>
        <v>8.3574397499999991E-3</v>
      </c>
      <c r="BQ35" s="60">
        <f t="shared" si="33"/>
        <v>6.4220326499999994E-3</v>
      </c>
      <c r="BR35" s="60">
        <f t="shared" si="33"/>
        <v>4.25203075E-3</v>
      </c>
      <c r="BS35" s="60">
        <f t="shared" si="33"/>
        <v>4.25203075E-3</v>
      </c>
      <c r="BT35" s="60">
        <f t="shared" si="33"/>
        <v>4.6039229499999995E-3</v>
      </c>
      <c r="BU35" s="60">
        <f t="shared" ref="BU35" si="34">IFERROR($B35/BU30,0)</f>
        <v>8.3574397499999991E-3</v>
      </c>
      <c r="BV35" s="60">
        <f t="shared" si="33"/>
        <v>5.4250047499999994E-3</v>
      </c>
      <c r="BW35" s="60">
        <f t="shared" si="33"/>
        <v>8.3574397499999991E-3</v>
      </c>
      <c r="BX35" s="60">
        <f t="shared" si="33"/>
        <v>4.6039229499999995E-3</v>
      </c>
      <c r="BY35" s="60">
        <f t="shared" si="33"/>
        <v>4.25203075E-3</v>
      </c>
      <c r="BZ35" s="60">
        <f t="shared" si="33"/>
        <v>8.3574397499999991E-3</v>
      </c>
      <c r="CA35" s="60">
        <f t="shared" si="33"/>
        <v>4.0300454204999997E-3</v>
      </c>
      <c r="CB35" s="60">
        <f t="shared" si="33"/>
        <v>5.7768969499999989E-3</v>
      </c>
      <c r="CC35" s="49">
        <f t="shared" si="3"/>
        <v>1.1208206435250001E-6</v>
      </c>
      <c r="CD35" s="49">
        <f>IFERROR(s_RadSpec!$H$30*(CD30/$B35),".")</f>
        <v>2.126015375E-7</v>
      </c>
      <c r="CE35" s="49">
        <f>IFERROR(s_RadSpec!$H$30*(CE30/$B35),".")</f>
        <v>4.9118286249999999E-7</v>
      </c>
      <c r="CF35" s="49">
        <f>IFERROR(s_RadSpec!$H$30*(CF30/$B35),".")</f>
        <v>3.2110163250000003E-7</v>
      </c>
      <c r="CG35" s="49">
        <f>IFERROR(s_RadSpec!$H$30*(CG30/$B35),".")</f>
        <v>2.126015375E-7</v>
      </c>
      <c r="CH35" s="49">
        <f>IFERROR(s_RadSpec!$H$30*(CH30/$B35),".")</f>
        <v>4.1787198750000003E-7</v>
      </c>
      <c r="CI35" s="49">
        <f>IFERROR(s_RadSpec!$H$30*(CI30/$B35),".")</f>
        <v>4.9118286249999999E-7</v>
      </c>
      <c r="CJ35" s="49">
        <f>IFERROR(s_RadSpec!$H$30*(CJ30/$B35),".")</f>
        <v>3.2110163250000003E-7</v>
      </c>
      <c r="CK35" s="49">
        <f>IFERROR(s_RadSpec!$H$30*(CK30/$B35),".")</f>
        <v>2.126015375E-7</v>
      </c>
      <c r="CL35" s="49">
        <f>IFERROR(s_RadSpec!$H$30*(CL30/$B35),".")</f>
        <v>4.1787198750000003E-7</v>
      </c>
      <c r="CM35" s="49">
        <f>IFERROR(s_RadSpec!$H$30*(CM30/$B35),".")</f>
        <v>4.1787198750000003E-7</v>
      </c>
      <c r="CN35" s="49">
        <f>IFERROR(s_RadSpec!$H$30*(CN30/$B35),".")</f>
        <v>4.9118286249999999E-7</v>
      </c>
      <c r="CO35" s="49">
        <f>IFERROR(s_RadSpec!$H$30*(CO30/$B35),".")</f>
        <v>2.3019614749999996E-7</v>
      </c>
      <c r="CP35" s="49">
        <f>IFERROR(s_RadSpec!$H$30*(CP30/$B35),".")</f>
        <v>4.1787198750000003E-7</v>
      </c>
      <c r="CQ35" s="49">
        <f>IFERROR(s_RadSpec!$H$30*(CQ30/$B35),".")</f>
        <v>3.2110163250000003E-7</v>
      </c>
      <c r="CR35" s="49">
        <f>IFERROR(s_RadSpec!$H$30*(CR30/$B35),".")</f>
        <v>2.126015375E-7</v>
      </c>
      <c r="CS35" s="49">
        <f>IFERROR(s_RadSpec!$H$30*(CS30/$B35),".")</f>
        <v>2.126015375E-7</v>
      </c>
      <c r="CT35" s="49">
        <f>IFERROR(s_RadSpec!$H$30*(CT30/$B35),".")</f>
        <v>2.3019614749999996E-7</v>
      </c>
      <c r="CU35" s="49">
        <f>IFERROR(s_RadSpec!$H$30*(CU30/$B35),".")</f>
        <v>4.1787198750000003E-7</v>
      </c>
      <c r="CV35" s="49">
        <f>IFERROR(s_RadSpec!$H$30*(CV30/$B35),".")</f>
        <v>2.7125023750000001E-7</v>
      </c>
      <c r="CW35" s="49">
        <f>IFERROR(s_RadSpec!$H$30*(CW30/$B35),".")</f>
        <v>4.1787198750000003E-7</v>
      </c>
      <c r="CX35" s="49">
        <f>IFERROR(s_RadSpec!$H$30*(CX30/$B35),".")</f>
        <v>2.3019614749999996E-7</v>
      </c>
      <c r="CY35" s="49">
        <f>IFERROR(s_RadSpec!$H$30*(CY30/$B35),".")</f>
        <v>2.126015375E-7</v>
      </c>
      <c r="CZ35" s="49">
        <f>IFERROR(s_RadSpec!$H$30*(CZ30/$B35),".")</f>
        <v>4.1787198750000003E-7</v>
      </c>
      <c r="DA35" s="49">
        <f>IFERROR(s_RadSpec!$H$30*(DA30/$B35),".")</f>
        <v>2.01502271025E-7</v>
      </c>
      <c r="DB35" s="49">
        <f>IFERROR(s_RadSpec!$H$30*(DB30/$B35),".")</f>
        <v>2.8884484749999994E-7</v>
      </c>
    </row>
    <row r="36" spans="1:106" x14ac:dyDescent="0.25">
      <c r="A36" s="83" t="s">
        <v>1078</v>
      </c>
      <c r="B36" s="42">
        <v>1</v>
      </c>
      <c r="C36" s="60">
        <f t="shared" ref="C36" si="35">IFERROR(C26/$B36,0)</f>
        <v>19.780323162839576</v>
      </c>
      <c r="D36" s="60">
        <f t="shared" ref="D36:AB36" si="36">IFERROR(D26/$B36,0)</f>
        <v>81.297128199270659</v>
      </c>
      <c r="E36" s="60">
        <f t="shared" si="36"/>
        <v>77.425836380257778</v>
      </c>
      <c r="F36" s="60">
        <f t="shared" si="36"/>
        <v>79.591594041244008</v>
      </c>
      <c r="G36" s="60">
        <f t="shared" si="36"/>
        <v>81.297128199270659</v>
      </c>
      <c r="H36" s="60">
        <f t="shared" si="36"/>
        <v>79.703066862030056</v>
      </c>
      <c r="I36" s="60">
        <f t="shared" si="36"/>
        <v>77.425836380257778</v>
      </c>
      <c r="J36" s="60">
        <f t="shared" si="36"/>
        <v>79.591594041244008</v>
      </c>
      <c r="K36" s="60">
        <f t="shared" si="36"/>
        <v>81.297128199270659</v>
      </c>
      <c r="L36" s="60">
        <f t="shared" si="36"/>
        <v>80.492206137891742</v>
      </c>
      <c r="M36" s="60">
        <f t="shared" si="36"/>
        <v>79.703066862030056</v>
      </c>
      <c r="N36" s="60">
        <f t="shared" si="36"/>
        <v>77.425836380257778</v>
      </c>
      <c r="O36" s="60">
        <f t="shared" si="36"/>
        <v>81.123292572329959</v>
      </c>
      <c r="P36" s="60">
        <f t="shared" si="36"/>
        <v>79.703066862030056</v>
      </c>
      <c r="Q36" s="60">
        <f t="shared" si="36"/>
        <v>79.591594041244008</v>
      </c>
      <c r="R36" s="60">
        <f t="shared" si="36"/>
        <v>81.297128199270659</v>
      </c>
      <c r="S36" s="60">
        <f t="shared" si="36"/>
        <v>81.297128199270659</v>
      </c>
      <c r="T36" s="60">
        <f t="shared" si="36"/>
        <v>81.123292572329959</v>
      </c>
      <c r="U36" s="60">
        <f t="shared" ref="U36" si="37">IFERROR(U26/$B36,0)</f>
        <v>79.703066862030056</v>
      </c>
      <c r="V36" s="60">
        <f t="shared" si="36"/>
        <v>83.077357283926219</v>
      </c>
      <c r="W36" s="60">
        <f t="shared" si="36"/>
        <v>79.703066862030056</v>
      </c>
      <c r="X36" s="60">
        <f t="shared" si="36"/>
        <v>81.123292572329959</v>
      </c>
      <c r="Y36" s="60">
        <f t="shared" si="36"/>
        <v>81.297128199270659</v>
      </c>
      <c r="Z36" s="60">
        <f t="shared" si="36"/>
        <v>79.703066862030056</v>
      </c>
      <c r="AA36" s="60">
        <f t="shared" si="36"/>
        <v>83.320629193981645</v>
      </c>
      <c r="AB36" s="60">
        <f t="shared" si="36"/>
        <v>72.958961204473667</v>
      </c>
      <c r="AC36" s="49">
        <f t="shared" si="1"/>
        <v>2.5277645662499998E-6</v>
      </c>
      <c r="AD36" s="49">
        <f>IFERROR(s_RadSpec!$H$26*(AD26/$B36),".")</f>
        <v>6.1502787500000004E-7</v>
      </c>
      <c r="AE36" s="49">
        <f>IFERROR(s_RadSpec!$H$26*(AE26/$B36),".")</f>
        <v>6.4577926875000002E-7</v>
      </c>
      <c r="AF36" s="49">
        <f>IFERROR(s_RadSpec!$H$26*(AF26/$B36),".")</f>
        <v>6.2820704375000014E-7</v>
      </c>
      <c r="AG36" s="49">
        <f>IFERROR(s_RadSpec!$H$26*(AG26/$B36),".")</f>
        <v>6.1502787500000004E-7</v>
      </c>
      <c r="AH36" s="49">
        <f>IFERROR(s_RadSpec!$H$26*(AH26/$B36),".")</f>
        <v>6.2732843249999997E-7</v>
      </c>
      <c r="AI36" s="49">
        <f>IFERROR(s_RadSpec!$H$26*(AI26/$B36),".")</f>
        <v>6.4577926875000002E-7</v>
      </c>
      <c r="AJ36" s="49">
        <f>IFERROR(s_RadSpec!$H$26*(AJ26/$B36),".")</f>
        <v>6.2820704375000014E-7</v>
      </c>
      <c r="AK36" s="49">
        <f>IFERROR(s_RadSpec!$H$26*(AK26/$B36),".")</f>
        <v>6.1502787500000004E-7</v>
      </c>
      <c r="AL36" s="49">
        <f>IFERROR(s_RadSpec!$H$26*(AL26/$B36),".")</f>
        <v>6.2117815375000006E-7</v>
      </c>
      <c r="AM36" s="49">
        <f>IFERROR(s_RadSpec!$H$26*(AM26/$B36),".")</f>
        <v>6.2732843249999997E-7</v>
      </c>
      <c r="AN36" s="49">
        <f>IFERROR(s_RadSpec!$H$26*(AN26/$B36),".")</f>
        <v>6.4577926875000002E-7</v>
      </c>
      <c r="AO36" s="49">
        <f>IFERROR(s_RadSpec!$H$26*(AO26/$B36),".")</f>
        <v>6.1634579187499998E-7</v>
      </c>
      <c r="AP36" s="49">
        <f>IFERROR(s_RadSpec!$H$26*(AP26/$B36),".")</f>
        <v>6.2732843249999997E-7</v>
      </c>
      <c r="AQ36" s="49">
        <f>IFERROR(s_RadSpec!$H$26*(AQ26/$B36),".")</f>
        <v>6.2820704375000014E-7</v>
      </c>
      <c r="AR36" s="49">
        <f>IFERROR(s_RadSpec!$H$26*(AR26/$B36),".")</f>
        <v>6.1502787500000004E-7</v>
      </c>
      <c r="AS36" s="49">
        <f>IFERROR(s_RadSpec!$H$26*(AS26/$B36),".")</f>
        <v>6.1502787500000004E-7</v>
      </c>
      <c r="AT36" s="49">
        <f>IFERROR(s_RadSpec!$H$26*(AT26/$B36),".")</f>
        <v>6.1634579187499998E-7</v>
      </c>
      <c r="AU36" s="49">
        <f>IFERROR(s_RadSpec!$H$26*(AU26/$B36),".")</f>
        <v>6.2732843249999997E-7</v>
      </c>
      <c r="AV36" s="49">
        <f>IFERROR(s_RadSpec!$H$26*(AV26/$B36),".")</f>
        <v>6.0184870625000005E-7</v>
      </c>
      <c r="AW36" s="49">
        <f>IFERROR(s_RadSpec!$H$26*(AW26/$B36),".")</f>
        <v>6.2732843249999997E-7</v>
      </c>
      <c r="AX36" s="49">
        <f>IFERROR(s_RadSpec!$H$26*(AX26/$B36),".")</f>
        <v>6.1634579187499998E-7</v>
      </c>
      <c r="AY36" s="49">
        <f>IFERROR(s_RadSpec!$H$26*(AY26/$B36),".")</f>
        <v>6.1502787500000004E-7</v>
      </c>
      <c r="AZ36" s="49">
        <f>IFERROR(s_RadSpec!$H$26*(AZ26/$B36),".")</f>
        <v>6.2732843249999997E-7</v>
      </c>
      <c r="BA36" s="49">
        <f>IFERROR(s_RadSpec!$H$26*(BA26/$B36),".")</f>
        <v>6.0009148375000003E-7</v>
      </c>
      <c r="BB36" s="49">
        <f>IFERROR(s_RadSpec!$H$26*(BB26/$B36),".")</f>
        <v>6.85316775E-7</v>
      </c>
      <c r="BC36" s="60">
        <f t="shared" ref="BC36" si="38">IFERROR($B36/BC26,0)</f>
        <v>5.0555291324999994E-2</v>
      </c>
      <c r="BD36" s="60">
        <f t="shared" ref="BD36:CB36" si="39">IFERROR($B36/BD26,0)</f>
        <v>1.2300557499999998E-2</v>
      </c>
      <c r="BE36" s="60">
        <f t="shared" si="39"/>
        <v>1.2915585374999997E-2</v>
      </c>
      <c r="BF36" s="60">
        <f t="shared" si="39"/>
        <v>1.2564140874999996E-2</v>
      </c>
      <c r="BG36" s="60">
        <f t="shared" si="39"/>
        <v>1.2300557499999998E-2</v>
      </c>
      <c r="BH36" s="60">
        <f t="shared" si="39"/>
        <v>1.2546568649999998E-2</v>
      </c>
      <c r="BI36" s="60">
        <f t="shared" si="39"/>
        <v>1.2915585374999997E-2</v>
      </c>
      <c r="BJ36" s="60">
        <f t="shared" si="39"/>
        <v>1.2564140874999996E-2</v>
      </c>
      <c r="BK36" s="60">
        <f t="shared" si="39"/>
        <v>1.2300557499999998E-2</v>
      </c>
      <c r="BL36" s="60">
        <f t="shared" si="39"/>
        <v>1.2423563074999998E-2</v>
      </c>
      <c r="BM36" s="60">
        <f t="shared" si="39"/>
        <v>1.2546568649999998E-2</v>
      </c>
      <c r="BN36" s="60">
        <f t="shared" si="39"/>
        <v>1.2915585374999997E-2</v>
      </c>
      <c r="BO36" s="60">
        <f t="shared" si="39"/>
        <v>1.2326915837499997E-2</v>
      </c>
      <c r="BP36" s="60">
        <f t="shared" si="39"/>
        <v>1.2546568649999998E-2</v>
      </c>
      <c r="BQ36" s="60">
        <f t="shared" si="39"/>
        <v>1.2564140874999996E-2</v>
      </c>
      <c r="BR36" s="60">
        <f t="shared" si="39"/>
        <v>1.2300557499999998E-2</v>
      </c>
      <c r="BS36" s="60">
        <f t="shared" si="39"/>
        <v>1.2300557499999998E-2</v>
      </c>
      <c r="BT36" s="60">
        <f t="shared" si="39"/>
        <v>1.2326915837499997E-2</v>
      </c>
      <c r="BU36" s="60">
        <f t="shared" ref="BU36" si="40">IFERROR($B36/BU26,0)</f>
        <v>1.2546568649999998E-2</v>
      </c>
      <c r="BV36" s="60">
        <f t="shared" si="39"/>
        <v>1.2036974124999997E-2</v>
      </c>
      <c r="BW36" s="60">
        <f t="shared" si="39"/>
        <v>1.2546568649999998E-2</v>
      </c>
      <c r="BX36" s="60">
        <f t="shared" si="39"/>
        <v>1.2326915837499997E-2</v>
      </c>
      <c r="BY36" s="60">
        <f t="shared" si="39"/>
        <v>1.2300557499999998E-2</v>
      </c>
      <c r="BZ36" s="60">
        <f t="shared" si="39"/>
        <v>1.2546568649999998E-2</v>
      </c>
      <c r="CA36" s="60">
        <f t="shared" si="39"/>
        <v>1.2001829674999997E-2</v>
      </c>
      <c r="CB36" s="60">
        <f t="shared" si="39"/>
        <v>1.3706335499999998E-2</v>
      </c>
      <c r="CC36" s="49">
        <f t="shared" si="3"/>
        <v>2.5277645662499998E-6</v>
      </c>
      <c r="CD36" s="49">
        <f>IFERROR(s_RadSpec!$H$26*(CD26/$B36),".")</f>
        <v>6.1502787500000004E-7</v>
      </c>
      <c r="CE36" s="49">
        <f>IFERROR(s_RadSpec!$H$26*(CE26/$B36),".")</f>
        <v>6.4577926875000002E-7</v>
      </c>
      <c r="CF36" s="49">
        <f>IFERROR(s_RadSpec!$H$26*(CF26/$B36),".")</f>
        <v>6.2820704375000014E-7</v>
      </c>
      <c r="CG36" s="49">
        <f>IFERROR(s_RadSpec!$H$26*(CG26/$B36),".")</f>
        <v>6.1502787500000004E-7</v>
      </c>
      <c r="CH36" s="49">
        <f>IFERROR(s_RadSpec!$H$26*(CH26/$B36),".")</f>
        <v>6.2732843249999997E-7</v>
      </c>
      <c r="CI36" s="49">
        <f>IFERROR(s_RadSpec!$H$26*(CI26/$B36),".")</f>
        <v>6.4577926875000002E-7</v>
      </c>
      <c r="CJ36" s="49">
        <f>IFERROR(s_RadSpec!$H$26*(CJ26/$B36),".")</f>
        <v>6.2820704375000014E-7</v>
      </c>
      <c r="CK36" s="49">
        <f>IFERROR(s_RadSpec!$H$26*(CK26/$B36),".")</f>
        <v>6.1502787500000004E-7</v>
      </c>
      <c r="CL36" s="49">
        <f>IFERROR(s_RadSpec!$H$26*(CL26/$B36),".")</f>
        <v>6.2117815375000006E-7</v>
      </c>
      <c r="CM36" s="49">
        <f>IFERROR(s_RadSpec!$H$26*(CM26/$B36),".")</f>
        <v>6.2732843249999997E-7</v>
      </c>
      <c r="CN36" s="49">
        <f>IFERROR(s_RadSpec!$H$26*(CN26/$B36),".")</f>
        <v>6.4577926875000002E-7</v>
      </c>
      <c r="CO36" s="49">
        <f>IFERROR(s_RadSpec!$H$26*(CO26/$B36),".")</f>
        <v>6.1634579187499998E-7</v>
      </c>
      <c r="CP36" s="49">
        <f>IFERROR(s_RadSpec!$H$26*(CP26/$B36),".")</f>
        <v>6.2732843249999997E-7</v>
      </c>
      <c r="CQ36" s="49">
        <f>IFERROR(s_RadSpec!$H$26*(CQ26/$B36),".")</f>
        <v>6.2820704375000014E-7</v>
      </c>
      <c r="CR36" s="49">
        <f>IFERROR(s_RadSpec!$H$26*(CR26/$B36),".")</f>
        <v>6.1502787500000004E-7</v>
      </c>
      <c r="CS36" s="49">
        <f>IFERROR(s_RadSpec!$H$26*(CS26/$B36),".")</f>
        <v>6.1502787500000004E-7</v>
      </c>
      <c r="CT36" s="49">
        <f>IFERROR(s_RadSpec!$H$26*(CT26/$B36),".")</f>
        <v>6.1634579187499998E-7</v>
      </c>
      <c r="CU36" s="49">
        <f>IFERROR(s_RadSpec!$H$26*(CU26/$B36),".")</f>
        <v>6.2732843249999997E-7</v>
      </c>
      <c r="CV36" s="49">
        <f>IFERROR(s_RadSpec!$H$26*(CV26/$B36),".")</f>
        <v>6.0184870625000005E-7</v>
      </c>
      <c r="CW36" s="49">
        <f>IFERROR(s_RadSpec!$H$26*(CW26/$B36),".")</f>
        <v>6.2732843249999997E-7</v>
      </c>
      <c r="CX36" s="49">
        <f>IFERROR(s_RadSpec!$H$26*(CX26/$B36),".")</f>
        <v>6.1634579187499998E-7</v>
      </c>
      <c r="CY36" s="49">
        <f>IFERROR(s_RadSpec!$H$26*(CY26/$B36),".")</f>
        <v>6.1502787500000004E-7</v>
      </c>
      <c r="CZ36" s="49">
        <f>IFERROR(s_RadSpec!$H$26*(CZ26/$B36),".")</f>
        <v>6.2732843249999997E-7</v>
      </c>
      <c r="DA36" s="49">
        <f>IFERROR(s_RadSpec!$H$26*(DA26/$B36),".")</f>
        <v>6.0009148375000003E-7</v>
      </c>
      <c r="DB36" s="49">
        <f>IFERROR(s_RadSpec!$H$26*(DB26/$B36),".")</f>
        <v>6.85316775E-7</v>
      </c>
    </row>
    <row r="37" spans="1:106" x14ac:dyDescent="0.25">
      <c r="A37" s="83" t="s">
        <v>1079</v>
      </c>
      <c r="B37" s="42">
        <v>1</v>
      </c>
      <c r="C37" s="60">
        <f t="shared" ref="C37" si="41">IFERROR(C22/$B37,0)</f>
        <v>21.775105411876723</v>
      </c>
      <c r="D37" s="60">
        <f t="shared" ref="D37:AB37" si="42">IFERROR(D22/$B37,0)</f>
        <v>91.612964769031976</v>
      </c>
      <c r="E37" s="60">
        <f t="shared" si="42"/>
        <v>20.601958584423461</v>
      </c>
      <c r="F37" s="60">
        <f t="shared" si="42"/>
        <v>25.783289485895228</v>
      </c>
      <c r="G37" s="60">
        <f t="shared" si="42"/>
        <v>91.612964769031976</v>
      </c>
      <c r="H37" s="60">
        <f t="shared" si="42"/>
        <v>70.587038428598419</v>
      </c>
      <c r="I37" s="60">
        <f t="shared" si="42"/>
        <v>20.601958584423461</v>
      </c>
      <c r="J37" s="60">
        <f t="shared" si="42"/>
        <v>25.783289485895228</v>
      </c>
      <c r="K37" s="60">
        <f t="shared" si="42"/>
        <v>91.612964769031976</v>
      </c>
      <c r="L37" s="60">
        <f t="shared" si="42"/>
        <v>135.40280956429254</v>
      </c>
      <c r="M37" s="60">
        <f t="shared" si="42"/>
        <v>70.587038428598419</v>
      </c>
      <c r="N37" s="60">
        <f t="shared" si="42"/>
        <v>20.601958584423461</v>
      </c>
      <c r="O37" s="60">
        <f t="shared" si="42"/>
        <v>78.287442620809145</v>
      </c>
      <c r="P37" s="60">
        <f t="shared" si="42"/>
        <v>70.587038428598419</v>
      </c>
      <c r="Q37" s="60">
        <f t="shared" si="42"/>
        <v>25.783289485895228</v>
      </c>
      <c r="R37" s="60">
        <f t="shared" si="42"/>
        <v>91.612964769031976</v>
      </c>
      <c r="S37" s="60">
        <f t="shared" si="42"/>
        <v>91.612964769031976</v>
      </c>
      <c r="T37" s="60">
        <f t="shared" si="42"/>
        <v>78.287442620809145</v>
      </c>
      <c r="U37" s="60">
        <f t="shared" ref="U37" si="43">IFERROR(U22/$B37,0)</f>
        <v>70.587038428598419</v>
      </c>
      <c r="V37" s="60">
        <f t="shared" si="42"/>
        <v>87.873660084581687</v>
      </c>
      <c r="W37" s="60">
        <f t="shared" si="42"/>
        <v>70.587038428598419</v>
      </c>
      <c r="X37" s="60">
        <f t="shared" si="42"/>
        <v>78.287442620809145</v>
      </c>
      <c r="Y37" s="60">
        <f t="shared" si="42"/>
        <v>91.612964769031976</v>
      </c>
      <c r="Z37" s="60">
        <f t="shared" si="42"/>
        <v>70.587038428598419</v>
      </c>
      <c r="AA37" s="60">
        <f t="shared" si="42"/>
        <v>149.81939262854917</v>
      </c>
      <c r="AB37" s="60">
        <f t="shared" si="42"/>
        <v>70.587038428598419</v>
      </c>
      <c r="AC37" s="49">
        <f t="shared" si="1"/>
        <v>2.2962001356250001E-6</v>
      </c>
      <c r="AD37" s="49">
        <f>IFERROR(s_RadSpec!$H$22*(AD22/$B37),".")</f>
        <v>5.4577428124999999E-7</v>
      </c>
      <c r="AE37" s="49">
        <f>IFERROR(s_RadSpec!$H$22*(AE22/$B37),".")</f>
        <v>2.4269537187499997E-6</v>
      </c>
      <c r="AF37" s="49">
        <f>IFERROR(s_RadSpec!$H$22*(AF22/$B37),".")</f>
        <v>1.9392405312500003E-6</v>
      </c>
      <c r="AG37" s="49">
        <f>IFERROR(s_RadSpec!$H$22*(AG22/$B37),".")</f>
        <v>5.4577428124999999E-7</v>
      </c>
      <c r="AH37" s="49">
        <f>IFERROR(s_RadSpec!$H$22*(AH22/$B37),".")</f>
        <v>7.0834534375000004E-7</v>
      </c>
      <c r="AI37" s="49">
        <f>IFERROR(s_RadSpec!$H$22*(AI22/$B37),".")</f>
        <v>2.4269537187499997E-6</v>
      </c>
      <c r="AJ37" s="49">
        <f>IFERROR(s_RadSpec!$H$22*(AJ22/$B37),".")</f>
        <v>1.9392405312500003E-6</v>
      </c>
      <c r="AK37" s="49">
        <f>IFERROR(s_RadSpec!$H$22*(AK22/$B37),".")</f>
        <v>5.4577428124999999E-7</v>
      </c>
      <c r="AL37" s="49">
        <f>IFERROR(s_RadSpec!$H$22*(AL22/$B37),".")</f>
        <v>3.6926855625E-7</v>
      </c>
      <c r="AM37" s="49">
        <f>IFERROR(s_RadSpec!$H$22*(AM22/$B37),".")</f>
        <v>7.0834534375000004E-7</v>
      </c>
      <c r="AN37" s="49">
        <f>IFERROR(s_RadSpec!$H$22*(AN22/$B37),".")</f>
        <v>2.4269537187499997E-6</v>
      </c>
      <c r="AO37" s="49">
        <f>IFERROR(s_RadSpec!$H$22*(AO22/$B37),".")</f>
        <v>6.3867203124999997E-7</v>
      </c>
      <c r="AP37" s="49">
        <f>IFERROR(s_RadSpec!$H$22*(AP22/$B37),".")</f>
        <v>7.0834534375000004E-7</v>
      </c>
      <c r="AQ37" s="49">
        <f>IFERROR(s_RadSpec!$H$22*(AQ22/$B37),".")</f>
        <v>1.9392405312500003E-6</v>
      </c>
      <c r="AR37" s="49">
        <f>IFERROR(s_RadSpec!$H$22*(AR22/$B37),".")</f>
        <v>5.4577428124999999E-7</v>
      </c>
      <c r="AS37" s="49">
        <f>IFERROR(s_RadSpec!$H$22*(AS22/$B37),".")</f>
        <v>5.4577428124999999E-7</v>
      </c>
      <c r="AT37" s="49">
        <f>IFERROR(s_RadSpec!$H$22*(AT22/$B37),".")</f>
        <v>6.3867203124999997E-7</v>
      </c>
      <c r="AU37" s="49">
        <f>IFERROR(s_RadSpec!$H$22*(AU22/$B37),".")</f>
        <v>7.0834534375000004E-7</v>
      </c>
      <c r="AV37" s="49">
        <f>IFERROR(s_RadSpec!$H$22*(AV22/$B37),".")</f>
        <v>5.6899871875000001E-7</v>
      </c>
      <c r="AW37" s="49">
        <f>IFERROR(s_RadSpec!$H$22*(AW22/$B37),".")</f>
        <v>7.0834534375000004E-7</v>
      </c>
      <c r="AX37" s="49">
        <f>IFERROR(s_RadSpec!$H$22*(AX22/$B37),".")</f>
        <v>6.3867203124999997E-7</v>
      </c>
      <c r="AY37" s="49">
        <f>IFERROR(s_RadSpec!$H$22*(AY22/$B37),".")</f>
        <v>5.4577428124999999E-7</v>
      </c>
      <c r="AZ37" s="49">
        <f>IFERROR(s_RadSpec!$H$22*(AZ22/$B37),".")</f>
        <v>7.0834534375000004E-7</v>
      </c>
      <c r="BA37" s="49">
        <f>IFERROR(s_RadSpec!$H$22*(BA22/$B37),".")</f>
        <v>3.3373516687500003E-7</v>
      </c>
      <c r="BB37" s="49">
        <f>IFERROR(s_RadSpec!$H$22*(BB22/$B37),".")</f>
        <v>7.0834534375000004E-7</v>
      </c>
      <c r="BC37" s="60">
        <f t="shared" ref="BC37" si="44">IFERROR($B37/BC22,0)</f>
        <v>4.5924002712499995E-2</v>
      </c>
      <c r="BD37" s="60">
        <f t="shared" ref="BD37:CB37" si="45">IFERROR($B37/BD22,0)</f>
        <v>1.0915485625E-2</v>
      </c>
      <c r="BE37" s="60">
        <f t="shared" si="45"/>
        <v>4.8539074374999998E-2</v>
      </c>
      <c r="BF37" s="60">
        <f t="shared" si="45"/>
        <v>3.8784810624999999E-2</v>
      </c>
      <c r="BG37" s="60">
        <f t="shared" si="45"/>
        <v>1.0915485625E-2</v>
      </c>
      <c r="BH37" s="60">
        <f t="shared" si="45"/>
        <v>1.4166906874999998E-2</v>
      </c>
      <c r="BI37" s="60">
        <f t="shared" si="45"/>
        <v>4.8539074374999998E-2</v>
      </c>
      <c r="BJ37" s="60">
        <f t="shared" si="45"/>
        <v>3.8784810624999999E-2</v>
      </c>
      <c r="BK37" s="60">
        <f t="shared" si="45"/>
        <v>1.0915485625E-2</v>
      </c>
      <c r="BL37" s="60">
        <f t="shared" si="45"/>
        <v>7.3853711250000008E-3</v>
      </c>
      <c r="BM37" s="60">
        <f t="shared" si="45"/>
        <v>1.4166906874999998E-2</v>
      </c>
      <c r="BN37" s="60">
        <f t="shared" si="45"/>
        <v>4.8539074374999998E-2</v>
      </c>
      <c r="BO37" s="60">
        <f t="shared" si="45"/>
        <v>1.2773440625E-2</v>
      </c>
      <c r="BP37" s="60">
        <f t="shared" si="45"/>
        <v>1.4166906874999998E-2</v>
      </c>
      <c r="BQ37" s="60">
        <f t="shared" si="45"/>
        <v>3.8784810624999999E-2</v>
      </c>
      <c r="BR37" s="60">
        <f t="shared" si="45"/>
        <v>1.0915485625E-2</v>
      </c>
      <c r="BS37" s="60">
        <f t="shared" si="45"/>
        <v>1.0915485625E-2</v>
      </c>
      <c r="BT37" s="60">
        <f t="shared" si="45"/>
        <v>1.2773440625E-2</v>
      </c>
      <c r="BU37" s="60">
        <f t="shared" ref="BU37" si="46">IFERROR($B37/BU22,0)</f>
        <v>1.4166906874999998E-2</v>
      </c>
      <c r="BV37" s="60">
        <f t="shared" si="45"/>
        <v>1.1379974375000001E-2</v>
      </c>
      <c r="BW37" s="60">
        <f t="shared" si="45"/>
        <v>1.4166906874999998E-2</v>
      </c>
      <c r="BX37" s="60">
        <f t="shared" si="45"/>
        <v>1.2773440625E-2</v>
      </c>
      <c r="BY37" s="60">
        <f t="shared" si="45"/>
        <v>1.0915485625E-2</v>
      </c>
      <c r="BZ37" s="60">
        <f t="shared" si="45"/>
        <v>1.4166906874999998E-2</v>
      </c>
      <c r="CA37" s="60">
        <f t="shared" si="45"/>
        <v>6.6747033374999999E-3</v>
      </c>
      <c r="CB37" s="60">
        <f t="shared" si="45"/>
        <v>1.4166906874999998E-2</v>
      </c>
      <c r="CC37" s="49">
        <f t="shared" si="3"/>
        <v>2.2962001356250001E-6</v>
      </c>
      <c r="CD37" s="49">
        <f>IFERROR(s_RadSpec!$H$22*(CD22/$B37),".")</f>
        <v>5.4577428124999999E-7</v>
      </c>
      <c r="CE37" s="49">
        <f>IFERROR(s_RadSpec!$H$22*(CE22/$B37),".")</f>
        <v>2.4269537187499997E-6</v>
      </c>
      <c r="CF37" s="49">
        <f>IFERROR(s_RadSpec!$H$22*(CF22/$B37),".")</f>
        <v>1.9392405312500003E-6</v>
      </c>
      <c r="CG37" s="49">
        <f>IFERROR(s_RadSpec!$H$22*(CG22/$B37),".")</f>
        <v>5.4577428124999999E-7</v>
      </c>
      <c r="CH37" s="49">
        <f>IFERROR(s_RadSpec!$H$22*(CH22/$B37),".")</f>
        <v>7.0834534375000004E-7</v>
      </c>
      <c r="CI37" s="49">
        <f>IFERROR(s_RadSpec!$H$22*(CI22/$B37),".")</f>
        <v>2.4269537187499997E-6</v>
      </c>
      <c r="CJ37" s="49">
        <f>IFERROR(s_RadSpec!$H$22*(CJ22/$B37),".")</f>
        <v>1.9392405312500003E-6</v>
      </c>
      <c r="CK37" s="49">
        <f>IFERROR(s_RadSpec!$H$22*(CK22/$B37),".")</f>
        <v>5.4577428124999999E-7</v>
      </c>
      <c r="CL37" s="49">
        <f>IFERROR(s_RadSpec!$H$22*(CL22/$B37),".")</f>
        <v>3.6926855625E-7</v>
      </c>
      <c r="CM37" s="49">
        <f>IFERROR(s_RadSpec!$H$22*(CM22/$B37),".")</f>
        <v>7.0834534375000004E-7</v>
      </c>
      <c r="CN37" s="49">
        <f>IFERROR(s_RadSpec!$H$22*(CN22/$B37),".")</f>
        <v>2.4269537187499997E-6</v>
      </c>
      <c r="CO37" s="49">
        <f>IFERROR(s_RadSpec!$H$22*(CO22/$B37),".")</f>
        <v>6.3867203124999997E-7</v>
      </c>
      <c r="CP37" s="49">
        <f>IFERROR(s_RadSpec!$H$22*(CP22/$B37),".")</f>
        <v>7.0834534375000004E-7</v>
      </c>
      <c r="CQ37" s="49">
        <f>IFERROR(s_RadSpec!$H$22*(CQ22/$B37),".")</f>
        <v>1.9392405312500003E-6</v>
      </c>
      <c r="CR37" s="49">
        <f>IFERROR(s_RadSpec!$H$22*(CR22/$B37),".")</f>
        <v>5.4577428124999999E-7</v>
      </c>
      <c r="CS37" s="49">
        <f>IFERROR(s_RadSpec!$H$22*(CS22/$B37),".")</f>
        <v>5.4577428124999999E-7</v>
      </c>
      <c r="CT37" s="49">
        <f>IFERROR(s_RadSpec!$H$22*(CT22/$B37),".")</f>
        <v>6.3867203124999997E-7</v>
      </c>
      <c r="CU37" s="49">
        <f>IFERROR(s_RadSpec!$H$22*(CU22/$B37),".")</f>
        <v>7.0834534375000004E-7</v>
      </c>
      <c r="CV37" s="49">
        <f>IFERROR(s_RadSpec!$H$22*(CV22/$B37),".")</f>
        <v>5.6899871875000001E-7</v>
      </c>
      <c r="CW37" s="49">
        <f>IFERROR(s_RadSpec!$H$22*(CW22/$B37),".")</f>
        <v>7.0834534375000004E-7</v>
      </c>
      <c r="CX37" s="49">
        <f>IFERROR(s_RadSpec!$H$22*(CX22/$B37),".")</f>
        <v>6.3867203124999997E-7</v>
      </c>
      <c r="CY37" s="49">
        <f>IFERROR(s_RadSpec!$H$22*(CY22/$B37),".")</f>
        <v>5.4577428124999999E-7</v>
      </c>
      <c r="CZ37" s="49">
        <f>IFERROR(s_RadSpec!$H$22*(CZ22/$B37),".")</f>
        <v>7.0834534375000004E-7</v>
      </c>
      <c r="DA37" s="49">
        <f>IFERROR(s_RadSpec!$H$22*(DA22/$B37),".")</f>
        <v>3.3373516687500003E-7</v>
      </c>
      <c r="DB37" s="49">
        <f>IFERROR(s_RadSpec!$H$22*(DB22/$B37),".")</f>
        <v>7.0834534375000004E-7</v>
      </c>
    </row>
    <row r="38" spans="1:106" x14ac:dyDescent="0.25">
      <c r="A38" s="83" t="s">
        <v>1080</v>
      </c>
      <c r="B38" s="42">
        <v>1</v>
      </c>
      <c r="C38" s="60">
        <f t="shared" ref="C38" si="47">IFERROR(C2/$B38,0)</f>
        <v>20.986926592830603</v>
      </c>
      <c r="D38" s="60">
        <f t="shared" ref="D38:AB38" si="48">IFERROR(D2/$B38,0)</f>
        <v>83.947706371322411</v>
      </c>
      <c r="E38" s="60">
        <f t="shared" si="48"/>
        <v>83.947706371322411</v>
      </c>
      <c r="F38" s="60">
        <f t="shared" si="48"/>
        <v>83.947706371322411</v>
      </c>
      <c r="G38" s="60">
        <f t="shared" si="48"/>
        <v>83.947706371322411</v>
      </c>
      <c r="H38" s="60">
        <f t="shared" si="48"/>
        <v>83.947706371322411</v>
      </c>
      <c r="I38" s="60">
        <f t="shared" si="48"/>
        <v>83.947706371322411</v>
      </c>
      <c r="J38" s="60">
        <f t="shared" si="48"/>
        <v>83.947706371322411</v>
      </c>
      <c r="K38" s="60">
        <f t="shared" si="48"/>
        <v>83.947706371322411</v>
      </c>
      <c r="L38" s="60">
        <f t="shared" si="48"/>
        <v>83.947706371322411</v>
      </c>
      <c r="M38" s="60">
        <f t="shared" si="48"/>
        <v>83.947706371322411</v>
      </c>
      <c r="N38" s="60">
        <f t="shared" si="48"/>
        <v>83.947706371322411</v>
      </c>
      <c r="O38" s="60">
        <f t="shared" si="48"/>
        <v>83.947706371322411</v>
      </c>
      <c r="P38" s="60">
        <f t="shared" si="48"/>
        <v>83.947706371322411</v>
      </c>
      <c r="Q38" s="60">
        <f t="shared" si="48"/>
        <v>83.947706371322411</v>
      </c>
      <c r="R38" s="60">
        <f t="shared" si="48"/>
        <v>83.947706371322411</v>
      </c>
      <c r="S38" s="60">
        <f t="shared" si="48"/>
        <v>83.947706371322411</v>
      </c>
      <c r="T38" s="60">
        <f t="shared" si="48"/>
        <v>83.947706371322411</v>
      </c>
      <c r="U38" s="60">
        <f t="shared" ref="U38" si="49">IFERROR(U2/$B38,0)</f>
        <v>83.947706371322411</v>
      </c>
      <c r="V38" s="60">
        <f t="shared" si="48"/>
        <v>83.947706371322411</v>
      </c>
      <c r="W38" s="60">
        <f t="shared" si="48"/>
        <v>83.947706371322411</v>
      </c>
      <c r="X38" s="60">
        <f t="shared" si="48"/>
        <v>83.947706371322411</v>
      </c>
      <c r="Y38" s="60">
        <f t="shared" si="48"/>
        <v>83.947706371322411</v>
      </c>
      <c r="Z38" s="60">
        <f t="shared" si="48"/>
        <v>83.947706371322411</v>
      </c>
      <c r="AA38" s="60">
        <f t="shared" si="48"/>
        <v>83.947706371322411</v>
      </c>
      <c r="AB38" s="60">
        <f t="shared" si="48"/>
        <v>83.947706371322411</v>
      </c>
      <c r="AC38" s="49">
        <f t="shared" si="1"/>
        <v>2.3824355500000003E-6</v>
      </c>
      <c r="AD38" s="49">
        <f>IFERROR(s_RadSpec!$H$2*(AD2/$B38),".")</f>
        <v>5.9560888750000006E-7</v>
      </c>
      <c r="AE38" s="49">
        <f>IFERROR(s_RadSpec!$H$2*(AE2/$B38),".")</f>
        <v>5.9560888750000006E-7</v>
      </c>
      <c r="AF38" s="49">
        <f>IFERROR(s_RadSpec!$H$2*(AF2/$B38),".")</f>
        <v>5.9560888750000006E-7</v>
      </c>
      <c r="AG38" s="49">
        <f>IFERROR(s_RadSpec!$H$2*(AG2/$B38),".")</f>
        <v>5.9560888750000006E-7</v>
      </c>
      <c r="AH38" s="49">
        <f>IFERROR(s_RadSpec!$H$2*(AH2/$B38),".")</f>
        <v>5.9560888750000006E-7</v>
      </c>
      <c r="AI38" s="49">
        <f>IFERROR(s_RadSpec!$H$2*(AI2/$B38),".")</f>
        <v>5.9560888750000006E-7</v>
      </c>
      <c r="AJ38" s="49">
        <f>IFERROR(s_RadSpec!$H$2*(AJ2/$B38),".")</f>
        <v>5.9560888750000006E-7</v>
      </c>
      <c r="AK38" s="49">
        <f>IFERROR(s_RadSpec!$H$2*(AK2/$B38),".")</f>
        <v>5.9560888750000006E-7</v>
      </c>
      <c r="AL38" s="49">
        <f>IFERROR(s_RadSpec!$H$2*(AL2/$B38),".")</f>
        <v>5.9560888750000006E-7</v>
      </c>
      <c r="AM38" s="49">
        <f>IFERROR(s_RadSpec!$H$2*(AM2/$B38),".")</f>
        <v>5.9560888750000006E-7</v>
      </c>
      <c r="AN38" s="49">
        <f>IFERROR(s_RadSpec!$H$2*(AN2/$B38),".")</f>
        <v>5.9560888750000006E-7</v>
      </c>
      <c r="AO38" s="49">
        <f>IFERROR(s_RadSpec!$H$2*(AO2/$B38),".")</f>
        <v>5.9560888750000006E-7</v>
      </c>
      <c r="AP38" s="49">
        <f>IFERROR(s_RadSpec!$H$2*(AP2/$B38),".")</f>
        <v>5.9560888750000006E-7</v>
      </c>
      <c r="AQ38" s="49">
        <f>IFERROR(s_RadSpec!$H$2*(AQ2/$B38),".")</f>
        <v>5.9560888750000006E-7</v>
      </c>
      <c r="AR38" s="49">
        <f>IFERROR(s_RadSpec!$H$2*(AR2/$B38),".")</f>
        <v>5.9560888750000006E-7</v>
      </c>
      <c r="AS38" s="49">
        <f>IFERROR(s_RadSpec!$H$2*(AS2/$B38),".")</f>
        <v>5.9560888750000006E-7</v>
      </c>
      <c r="AT38" s="49">
        <f>IFERROR(s_RadSpec!$H$2*(AT2/$B38),".")</f>
        <v>5.9560888750000006E-7</v>
      </c>
      <c r="AU38" s="49">
        <f>IFERROR(s_RadSpec!$H$2*(AU2/$B38),".")</f>
        <v>5.9560888750000006E-7</v>
      </c>
      <c r="AV38" s="49">
        <f>IFERROR(s_RadSpec!$H$2*(AV2/$B38),".")</f>
        <v>5.9560888750000006E-7</v>
      </c>
      <c r="AW38" s="49">
        <f>IFERROR(s_RadSpec!$H$2*(AW2/$B38),".")</f>
        <v>5.9560888750000006E-7</v>
      </c>
      <c r="AX38" s="49">
        <f>IFERROR(s_RadSpec!$H$2*(AX2/$B38),".")</f>
        <v>5.9560888750000006E-7</v>
      </c>
      <c r="AY38" s="49">
        <f>IFERROR(s_RadSpec!$H$2*(AY2/$B38),".")</f>
        <v>5.9560888750000006E-7</v>
      </c>
      <c r="AZ38" s="49">
        <f>IFERROR(s_RadSpec!$H$2*(AZ2/$B38),".")</f>
        <v>5.9560888750000006E-7</v>
      </c>
      <c r="BA38" s="49">
        <f>IFERROR(s_RadSpec!$H$2*(BA2/$B38),".")</f>
        <v>5.9560888750000006E-7</v>
      </c>
      <c r="BB38" s="49">
        <f>IFERROR(s_RadSpec!$H$2*(BB2/$B38),".")</f>
        <v>5.9560888750000006E-7</v>
      </c>
      <c r="BC38" s="60">
        <f t="shared" ref="BC38" si="50">IFERROR($B38/BC2,0)</f>
        <v>4.7648710999999996E-2</v>
      </c>
      <c r="BD38" s="60">
        <f t="shared" ref="BD38:CB38" si="51">IFERROR($B38/BD2,0)</f>
        <v>1.1912177749999999E-2</v>
      </c>
      <c r="BE38" s="60">
        <f t="shared" si="51"/>
        <v>1.1912177749999999E-2</v>
      </c>
      <c r="BF38" s="60">
        <f t="shared" si="51"/>
        <v>1.1912177749999999E-2</v>
      </c>
      <c r="BG38" s="60">
        <f t="shared" si="51"/>
        <v>1.1912177749999999E-2</v>
      </c>
      <c r="BH38" s="60">
        <f t="shared" si="51"/>
        <v>1.1912177749999999E-2</v>
      </c>
      <c r="BI38" s="60">
        <f t="shared" si="51"/>
        <v>1.1912177749999999E-2</v>
      </c>
      <c r="BJ38" s="60">
        <f t="shared" si="51"/>
        <v>1.1912177749999999E-2</v>
      </c>
      <c r="BK38" s="60">
        <f t="shared" si="51"/>
        <v>1.1912177749999999E-2</v>
      </c>
      <c r="BL38" s="60">
        <f t="shared" si="51"/>
        <v>1.1912177749999999E-2</v>
      </c>
      <c r="BM38" s="60">
        <f t="shared" si="51"/>
        <v>1.1912177749999999E-2</v>
      </c>
      <c r="BN38" s="60">
        <f t="shared" si="51"/>
        <v>1.1912177749999999E-2</v>
      </c>
      <c r="BO38" s="60">
        <f t="shared" si="51"/>
        <v>1.1912177749999999E-2</v>
      </c>
      <c r="BP38" s="60">
        <f t="shared" si="51"/>
        <v>1.1912177749999999E-2</v>
      </c>
      <c r="BQ38" s="60">
        <f t="shared" si="51"/>
        <v>1.1912177749999999E-2</v>
      </c>
      <c r="BR38" s="60">
        <f t="shared" si="51"/>
        <v>1.1912177749999999E-2</v>
      </c>
      <c r="BS38" s="60">
        <f t="shared" si="51"/>
        <v>1.1912177749999999E-2</v>
      </c>
      <c r="BT38" s="60">
        <f t="shared" si="51"/>
        <v>1.1912177749999999E-2</v>
      </c>
      <c r="BU38" s="60">
        <f t="shared" ref="BU38" si="52">IFERROR($B38/BU2,0)</f>
        <v>1.1912177749999999E-2</v>
      </c>
      <c r="BV38" s="60">
        <f t="shared" si="51"/>
        <v>1.1912177749999999E-2</v>
      </c>
      <c r="BW38" s="60">
        <f t="shared" si="51"/>
        <v>1.1912177749999999E-2</v>
      </c>
      <c r="BX38" s="60">
        <f t="shared" si="51"/>
        <v>1.1912177749999999E-2</v>
      </c>
      <c r="BY38" s="60">
        <f t="shared" si="51"/>
        <v>1.1912177749999999E-2</v>
      </c>
      <c r="BZ38" s="60">
        <f t="shared" si="51"/>
        <v>1.1912177749999999E-2</v>
      </c>
      <c r="CA38" s="60">
        <f t="shared" si="51"/>
        <v>1.1912177749999999E-2</v>
      </c>
      <c r="CB38" s="60">
        <f t="shared" si="51"/>
        <v>1.1912177749999999E-2</v>
      </c>
      <c r="CC38" s="49">
        <f t="shared" si="3"/>
        <v>2.3824355500000003E-6</v>
      </c>
      <c r="CD38" s="49">
        <f>IFERROR(s_RadSpec!$H$2*(CD2/$B38),".")</f>
        <v>5.9560888750000006E-7</v>
      </c>
      <c r="CE38" s="49">
        <f>IFERROR(s_RadSpec!$H$2*(CE2/$B38),".")</f>
        <v>5.9560888750000006E-7</v>
      </c>
      <c r="CF38" s="49">
        <f>IFERROR(s_RadSpec!$H$2*(CF2/$B38),".")</f>
        <v>5.9560888750000006E-7</v>
      </c>
      <c r="CG38" s="49">
        <f>IFERROR(s_RadSpec!$H$2*(CG2/$B38),".")</f>
        <v>5.9560888750000006E-7</v>
      </c>
      <c r="CH38" s="49">
        <f>IFERROR(s_RadSpec!$H$2*(CH2/$B38),".")</f>
        <v>5.9560888750000006E-7</v>
      </c>
      <c r="CI38" s="49">
        <f>IFERROR(s_RadSpec!$H$2*(CI2/$B38),".")</f>
        <v>5.9560888750000006E-7</v>
      </c>
      <c r="CJ38" s="49">
        <f>IFERROR(s_RadSpec!$H$2*(CJ2/$B38),".")</f>
        <v>5.9560888750000006E-7</v>
      </c>
      <c r="CK38" s="49">
        <f>IFERROR(s_RadSpec!$H$2*(CK2/$B38),".")</f>
        <v>5.9560888750000006E-7</v>
      </c>
      <c r="CL38" s="49">
        <f>IFERROR(s_RadSpec!$H$2*(CL2/$B38),".")</f>
        <v>5.9560888750000006E-7</v>
      </c>
      <c r="CM38" s="49">
        <f>IFERROR(s_RadSpec!$H$2*(CM2/$B38),".")</f>
        <v>5.9560888750000006E-7</v>
      </c>
      <c r="CN38" s="49">
        <f>IFERROR(s_RadSpec!$H$2*(CN2/$B38),".")</f>
        <v>5.9560888750000006E-7</v>
      </c>
      <c r="CO38" s="49">
        <f>IFERROR(s_RadSpec!$H$2*(CO2/$B38),".")</f>
        <v>5.9560888750000006E-7</v>
      </c>
      <c r="CP38" s="49">
        <f>IFERROR(s_RadSpec!$H$2*(CP2/$B38),".")</f>
        <v>5.9560888750000006E-7</v>
      </c>
      <c r="CQ38" s="49">
        <f>IFERROR(s_RadSpec!$H$2*(CQ2/$B38),".")</f>
        <v>5.9560888750000006E-7</v>
      </c>
      <c r="CR38" s="49">
        <f>IFERROR(s_RadSpec!$H$2*(CR2/$B38),".")</f>
        <v>5.9560888750000006E-7</v>
      </c>
      <c r="CS38" s="49">
        <f>IFERROR(s_RadSpec!$H$2*(CS2/$B38),".")</f>
        <v>5.9560888750000006E-7</v>
      </c>
      <c r="CT38" s="49">
        <f>IFERROR(s_RadSpec!$H$2*(CT2/$B38),".")</f>
        <v>5.9560888750000006E-7</v>
      </c>
      <c r="CU38" s="49">
        <f>IFERROR(s_RadSpec!$H$2*(CU2/$B38),".")</f>
        <v>5.9560888750000006E-7</v>
      </c>
      <c r="CV38" s="49">
        <f>IFERROR(s_RadSpec!$H$2*(CV2/$B38),".")</f>
        <v>5.9560888750000006E-7</v>
      </c>
      <c r="CW38" s="49">
        <f>IFERROR(s_RadSpec!$H$2*(CW2/$B38),".")</f>
        <v>5.9560888750000006E-7</v>
      </c>
      <c r="CX38" s="49">
        <f>IFERROR(s_RadSpec!$H$2*(CX2/$B38),".")</f>
        <v>5.9560888750000006E-7</v>
      </c>
      <c r="CY38" s="49">
        <f>IFERROR(s_RadSpec!$H$2*(CY2/$B38),".")</f>
        <v>5.9560888750000006E-7</v>
      </c>
      <c r="CZ38" s="49">
        <f>IFERROR(s_RadSpec!$H$2*(CZ2/$B38),".")</f>
        <v>5.9560888750000006E-7</v>
      </c>
      <c r="DA38" s="49">
        <f>IFERROR(s_RadSpec!$H$2*(DA2/$B38),".")</f>
        <v>5.9560888750000006E-7</v>
      </c>
      <c r="DB38" s="49">
        <f>IFERROR(s_RadSpec!$H$2*(DB2/$B38),".")</f>
        <v>5.9560888750000006E-7</v>
      </c>
    </row>
    <row r="39" spans="1:106" x14ac:dyDescent="0.25">
      <c r="A39" s="83" t="s">
        <v>1081</v>
      </c>
      <c r="B39" s="42">
        <v>1</v>
      </c>
      <c r="C39" s="60">
        <f t="shared" ref="C39" si="53">IFERROR(C11/$B39,0)</f>
        <v>0</v>
      </c>
      <c r="D39" s="60">
        <f t="shared" ref="D39:AB39" si="54">IFERROR(D11/$B39,0)</f>
        <v>0</v>
      </c>
      <c r="E39" s="60">
        <f t="shared" si="54"/>
        <v>0</v>
      </c>
      <c r="F39" s="60">
        <f t="shared" si="54"/>
        <v>0</v>
      </c>
      <c r="G39" s="60">
        <f t="shared" si="54"/>
        <v>0</v>
      </c>
      <c r="H39" s="60">
        <f t="shared" si="54"/>
        <v>0</v>
      </c>
      <c r="I39" s="60">
        <f t="shared" si="54"/>
        <v>0</v>
      </c>
      <c r="J39" s="60">
        <f t="shared" si="54"/>
        <v>0</v>
      </c>
      <c r="K39" s="60">
        <f t="shared" si="54"/>
        <v>0</v>
      </c>
      <c r="L39" s="60">
        <f t="shared" si="54"/>
        <v>0</v>
      </c>
      <c r="M39" s="60">
        <f t="shared" si="54"/>
        <v>0</v>
      </c>
      <c r="N39" s="60">
        <f t="shared" si="54"/>
        <v>0</v>
      </c>
      <c r="O39" s="60">
        <f t="shared" si="54"/>
        <v>0</v>
      </c>
      <c r="P39" s="60">
        <f t="shared" si="54"/>
        <v>0</v>
      </c>
      <c r="Q39" s="60">
        <f t="shared" si="54"/>
        <v>0</v>
      </c>
      <c r="R39" s="60">
        <f t="shared" si="54"/>
        <v>0</v>
      </c>
      <c r="S39" s="60">
        <f t="shared" si="54"/>
        <v>0</v>
      </c>
      <c r="T39" s="60">
        <f t="shared" si="54"/>
        <v>0</v>
      </c>
      <c r="U39" s="60">
        <f t="shared" ref="U39" si="55">IFERROR(U11/$B39,0)</f>
        <v>0</v>
      </c>
      <c r="V39" s="60">
        <f t="shared" si="54"/>
        <v>0</v>
      </c>
      <c r="W39" s="60">
        <f t="shared" si="54"/>
        <v>0</v>
      </c>
      <c r="X39" s="60">
        <f t="shared" si="54"/>
        <v>0</v>
      </c>
      <c r="Y39" s="60">
        <f t="shared" si="54"/>
        <v>0</v>
      </c>
      <c r="Z39" s="60">
        <f t="shared" si="54"/>
        <v>0</v>
      </c>
      <c r="AA39" s="60">
        <f t="shared" si="54"/>
        <v>0</v>
      </c>
      <c r="AB39" s="60">
        <f t="shared" si="54"/>
        <v>0</v>
      </c>
      <c r="AC39" s="49">
        <f t="shared" si="1"/>
        <v>0</v>
      </c>
      <c r="AD39" s="49">
        <f>IFERROR(s_RadSpec!$H$11*(AD11/$B39),".")</f>
        <v>0</v>
      </c>
      <c r="AE39" s="49">
        <f>IFERROR(s_RadSpec!$H$11*(AE11/$B39),".")</f>
        <v>0</v>
      </c>
      <c r="AF39" s="49">
        <f>IFERROR(s_RadSpec!$H$11*(AF11/$B39),".")</f>
        <v>0</v>
      </c>
      <c r="AG39" s="49">
        <f>IFERROR(s_RadSpec!$H$11*(AG11/$B39),".")</f>
        <v>0</v>
      </c>
      <c r="AH39" s="49">
        <f>IFERROR(s_RadSpec!$H$11*(AH11/$B39),".")</f>
        <v>0</v>
      </c>
      <c r="AI39" s="49">
        <f>IFERROR(s_RadSpec!$H$11*(AI11/$B39),".")</f>
        <v>0</v>
      </c>
      <c r="AJ39" s="49">
        <f>IFERROR(s_RadSpec!$H$11*(AJ11/$B39),".")</f>
        <v>0</v>
      </c>
      <c r="AK39" s="49">
        <f>IFERROR(s_RadSpec!$H$11*(AK11/$B39),".")</f>
        <v>0</v>
      </c>
      <c r="AL39" s="49">
        <f>IFERROR(s_RadSpec!$H$11*(AL11/$B39),".")</f>
        <v>0</v>
      </c>
      <c r="AM39" s="49">
        <f>IFERROR(s_RadSpec!$H$11*(AM11/$B39),".")</f>
        <v>0</v>
      </c>
      <c r="AN39" s="49">
        <f>IFERROR(s_RadSpec!$H$11*(AN11/$B39),".")</f>
        <v>0</v>
      </c>
      <c r="AO39" s="49">
        <f>IFERROR(s_RadSpec!$H$11*(AO11/$B39),".")</f>
        <v>0</v>
      </c>
      <c r="AP39" s="49">
        <f>IFERROR(s_RadSpec!$H$11*(AP11/$B39),".")</f>
        <v>0</v>
      </c>
      <c r="AQ39" s="49">
        <f>IFERROR(s_RadSpec!$H$11*(AQ11/$B39),".")</f>
        <v>0</v>
      </c>
      <c r="AR39" s="49">
        <f>IFERROR(s_RadSpec!$H$11*(AR11/$B39),".")</f>
        <v>0</v>
      </c>
      <c r="AS39" s="49">
        <f>IFERROR(s_RadSpec!$H$11*(AS11/$B39),".")</f>
        <v>0</v>
      </c>
      <c r="AT39" s="49">
        <f>IFERROR(s_RadSpec!$H$11*(AT11/$B39),".")</f>
        <v>0</v>
      </c>
      <c r="AU39" s="49">
        <f>IFERROR(s_RadSpec!$H$11*(AU11/$B39),".")</f>
        <v>0</v>
      </c>
      <c r="AV39" s="49">
        <f>IFERROR(s_RadSpec!$H$11*(AV11/$B39),".")</f>
        <v>0</v>
      </c>
      <c r="AW39" s="49">
        <f>IFERROR(s_RadSpec!$H$11*(AW11/$B39),".")</f>
        <v>0</v>
      </c>
      <c r="AX39" s="49">
        <f>IFERROR(s_RadSpec!$H$11*(AX11/$B39),".")</f>
        <v>0</v>
      </c>
      <c r="AY39" s="49">
        <f>IFERROR(s_RadSpec!$H$11*(AY11/$B39),".")</f>
        <v>0</v>
      </c>
      <c r="AZ39" s="49">
        <f>IFERROR(s_RadSpec!$H$11*(AZ11/$B39),".")</f>
        <v>0</v>
      </c>
      <c r="BA39" s="49">
        <f>IFERROR(s_RadSpec!$H$11*(BA11/$B39),".")</f>
        <v>0</v>
      </c>
      <c r="BB39" s="49">
        <f>IFERROR(s_RadSpec!$H$11*(BB11/$B39),".")</f>
        <v>0</v>
      </c>
      <c r="BC39" s="60">
        <f t="shared" ref="BC39" si="56">IFERROR($B39/BC11,0)</f>
        <v>0</v>
      </c>
      <c r="BD39" s="60">
        <f t="shared" ref="BD39:CB39" si="57">IFERROR($B39/BD11,0)</f>
        <v>0</v>
      </c>
      <c r="BE39" s="60">
        <f t="shared" si="57"/>
        <v>0</v>
      </c>
      <c r="BF39" s="60">
        <f t="shared" si="57"/>
        <v>0</v>
      </c>
      <c r="BG39" s="60">
        <f t="shared" si="57"/>
        <v>0</v>
      </c>
      <c r="BH39" s="60">
        <f t="shared" si="57"/>
        <v>0</v>
      </c>
      <c r="BI39" s="60">
        <f t="shared" si="57"/>
        <v>0</v>
      </c>
      <c r="BJ39" s="60">
        <f t="shared" si="57"/>
        <v>0</v>
      </c>
      <c r="BK39" s="60">
        <f t="shared" si="57"/>
        <v>0</v>
      </c>
      <c r="BL39" s="60">
        <f t="shared" si="57"/>
        <v>0</v>
      </c>
      <c r="BM39" s="60">
        <f t="shared" si="57"/>
        <v>0</v>
      </c>
      <c r="BN39" s="60">
        <f t="shared" si="57"/>
        <v>0</v>
      </c>
      <c r="BO39" s="60">
        <f t="shared" si="57"/>
        <v>0</v>
      </c>
      <c r="BP39" s="60">
        <f t="shared" si="57"/>
        <v>0</v>
      </c>
      <c r="BQ39" s="60">
        <f t="shared" si="57"/>
        <v>0</v>
      </c>
      <c r="BR39" s="60">
        <f t="shared" si="57"/>
        <v>0</v>
      </c>
      <c r="BS39" s="60">
        <f t="shared" si="57"/>
        <v>0</v>
      </c>
      <c r="BT39" s="60">
        <f t="shared" si="57"/>
        <v>0</v>
      </c>
      <c r="BU39" s="60">
        <f t="shared" ref="BU39" si="58">IFERROR($B39/BU11,0)</f>
        <v>0</v>
      </c>
      <c r="BV39" s="60">
        <f t="shared" si="57"/>
        <v>0</v>
      </c>
      <c r="BW39" s="60">
        <f t="shared" si="57"/>
        <v>0</v>
      </c>
      <c r="BX39" s="60">
        <f t="shared" si="57"/>
        <v>0</v>
      </c>
      <c r="BY39" s="60">
        <f t="shared" si="57"/>
        <v>0</v>
      </c>
      <c r="BZ39" s="60">
        <f t="shared" si="57"/>
        <v>0</v>
      </c>
      <c r="CA39" s="60">
        <f t="shared" si="57"/>
        <v>0</v>
      </c>
      <c r="CB39" s="60">
        <f t="shared" si="57"/>
        <v>0</v>
      </c>
      <c r="CC39" s="49">
        <f t="shared" si="3"/>
        <v>0</v>
      </c>
      <c r="CD39" s="49">
        <f>IFERROR(s_RadSpec!$H$11*(CD11/$B39),".")</f>
        <v>0</v>
      </c>
      <c r="CE39" s="49">
        <f>IFERROR(s_RadSpec!$H$11*(CE11/$B39),".")</f>
        <v>0</v>
      </c>
      <c r="CF39" s="49">
        <f>IFERROR(s_RadSpec!$H$11*(CF11/$B39),".")</f>
        <v>0</v>
      </c>
      <c r="CG39" s="49">
        <f>IFERROR(s_RadSpec!$H$11*(CG11/$B39),".")</f>
        <v>0</v>
      </c>
      <c r="CH39" s="49">
        <f>IFERROR(s_RadSpec!$H$11*(CH11/$B39),".")</f>
        <v>0</v>
      </c>
      <c r="CI39" s="49">
        <f>IFERROR(s_RadSpec!$H$11*(CI11/$B39),".")</f>
        <v>0</v>
      </c>
      <c r="CJ39" s="49">
        <f>IFERROR(s_RadSpec!$H$11*(CJ11/$B39),".")</f>
        <v>0</v>
      </c>
      <c r="CK39" s="49">
        <f>IFERROR(s_RadSpec!$H$11*(CK11/$B39),".")</f>
        <v>0</v>
      </c>
      <c r="CL39" s="49">
        <f>IFERROR(s_RadSpec!$H$11*(CL11/$B39),".")</f>
        <v>0</v>
      </c>
      <c r="CM39" s="49">
        <f>IFERROR(s_RadSpec!$H$11*(CM11/$B39),".")</f>
        <v>0</v>
      </c>
      <c r="CN39" s="49">
        <f>IFERROR(s_RadSpec!$H$11*(CN11/$B39),".")</f>
        <v>0</v>
      </c>
      <c r="CO39" s="49">
        <f>IFERROR(s_RadSpec!$H$11*(CO11/$B39),".")</f>
        <v>0</v>
      </c>
      <c r="CP39" s="49">
        <f>IFERROR(s_RadSpec!$H$11*(CP11/$B39),".")</f>
        <v>0</v>
      </c>
      <c r="CQ39" s="49">
        <f>IFERROR(s_RadSpec!$H$11*(CQ11/$B39),".")</f>
        <v>0</v>
      </c>
      <c r="CR39" s="49">
        <f>IFERROR(s_RadSpec!$H$11*(CR11/$B39),".")</f>
        <v>0</v>
      </c>
      <c r="CS39" s="49">
        <f>IFERROR(s_RadSpec!$H$11*(CS11/$B39),".")</f>
        <v>0</v>
      </c>
      <c r="CT39" s="49">
        <f>IFERROR(s_RadSpec!$H$11*(CT11/$B39),".")</f>
        <v>0</v>
      </c>
      <c r="CU39" s="49">
        <f>IFERROR(s_RadSpec!$H$11*(CU11/$B39),".")</f>
        <v>0</v>
      </c>
      <c r="CV39" s="49">
        <f>IFERROR(s_RadSpec!$H$11*(CV11/$B39),".")</f>
        <v>0</v>
      </c>
      <c r="CW39" s="49">
        <f>IFERROR(s_RadSpec!$H$11*(CW11/$B39),".")</f>
        <v>0</v>
      </c>
      <c r="CX39" s="49">
        <f>IFERROR(s_RadSpec!$H$11*(CX11/$B39),".")</f>
        <v>0</v>
      </c>
      <c r="CY39" s="49">
        <f>IFERROR(s_RadSpec!$H$11*(CY11/$B39),".")</f>
        <v>0</v>
      </c>
      <c r="CZ39" s="49">
        <f>IFERROR(s_RadSpec!$H$11*(CZ11/$B39),".")</f>
        <v>0</v>
      </c>
      <c r="DA39" s="49">
        <f>IFERROR(s_RadSpec!$H$11*(DA11/$B39),".")</f>
        <v>0</v>
      </c>
      <c r="DB39" s="49">
        <f>IFERROR(s_RadSpec!$H$11*(DB11/$B39),".")</f>
        <v>0</v>
      </c>
    </row>
    <row r="40" spans="1:106" x14ac:dyDescent="0.25">
      <c r="A40" s="83" t="s">
        <v>1082</v>
      </c>
      <c r="B40" s="42">
        <v>1</v>
      </c>
      <c r="C40" s="60">
        <f t="shared" ref="C40" si="59">IFERROR(C4/$B40,0)</f>
        <v>0</v>
      </c>
      <c r="D40" s="60">
        <f t="shared" ref="D40:AB40" si="60">IFERROR(D4/$B40,0)</f>
        <v>0</v>
      </c>
      <c r="E40" s="60">
        <f t="shared" si="60"/>
        <v>0</v>
      </c>
      <c r="F40" s="60">
        <f t="shared" si="60"/>
        <v>0</v>
      </c>
      <c r="G40" s="60">
        <f t="shared" si="60"/>
        <v>0</v>
      </c>
      <c r="H40" s="60">
        <f t="shared" si="60"/>
        <v>0</v>
      </c>
      <c r="I40" s="60">
        <f t="shared" si="60"/>
        <v>0</v>
      </c>
      <c r="J40" s="60">
        <f t="shared" si="60"/>
        <v>0</v>
      </c>
      <c r="K40" s="60">
        <f t="shared" si="60"/>
        <v>0</v>
      </c>
      <c r="L40" s="60">
        <f t="shared" si="60"/>
        <v>0</v>
      </c>
      <c r="M40" s="60">
        <f t="shared" si="60"/>
        <v>0</v>
      </c>
      <c r="N40" s="60">
        <f t="shared" si="60"/>
        <v>0</v>
      </c>
      <c r="O40" s="60">
        <f t="shared" si="60"/>
        <v>0</v>
      </c>
      <c r="P40" s="60">
        <f t="shared" si="60"/>
        <v>0</v>
      </c>
      <c r="Q40" s="60">
        <f t="shared" si="60"/>
        <v>0</v>
      </c>
      <c r="R40" s="60">
        <f t="shared" si="60"/>
        <v>0</v>
      </c>
      <c r="S40" s="60">
        <f t="shared" si="60"/>
        <v>0</v>
      </c>
      <c r="T40" s="60">
        <f t="shared" si="60"/>
        <v>0</v>
      </c>
      <c r="U40" s="60">
        <f t="shared" ref="U40" si="61">IFERROR(U4/$B40,0)</f>
        <v>0</v>
      </c>
      <c r="V40" s="60">
        <f t="shared" si="60"/>
        <v>0</v>
      </c>
      <c r="W40" s="60">
        <f t="shared" si="60"/>
        <v>0</v>
      </c>
      <c r="X40" s="60">
        <f t="shared" si="60"/>
        <v>0</v>
      </c>
      <c r="Y40" s="60">
        <f t="shared" si="60"/>
        <v>0</v>
      </c>
      <c r="Z40" s="60">
        <f t="shared" si="60"/>
        <v>0</v>
      </c>
      <c r="AA40" s="60">
        <f t="shared" si="60"/>
        <v>0</v>
      </c>
      <c r="AB40" s="60">
        <f t="shared" si="60"/>
        <v>0</v>
      </c>
      <c r="AC40" s="49">
        <f t="shared" si="1"/>
        <v>0</v>
      </c>
      <c r="AD40" s="49">
        <f>IFERROR(s_RadSpec!$H$4*(AD4/$B40),".")</f>
        <v>0</v>
      </c>
      <c r="AE40" s="49">
        <f>IFERROR(s_RadSpec!$H$4*(AE4/$B40),".")</f>
        <v>0</v>
      </c>
      <c r="AF40" s="49">
        <f>IFERROR(s_RadSpec!$H$4*(AF4/$B40),".")</f>
        <v>0</v>
      </c>
      <c r="AG40" s="49">
        <f>IFERROR(s_RadSpec!$H$4*(AG4/$B40),".")</f>
        <v>0</v>
      </c>
      <c r="AH40" s="49">
        <f>IFERROR(s_RadSpec!$H$4*(AH4/$B40),".")</f>
        <v>0</v>
      </c>
      <c r="AI40" s="49">
        <f>IFERROR(s_RadSpec!$H$4*(AI4/$B40),".")</f>
        <v>0</v>
      </c>
      <c r="AJ40" s="49">
        <f>IFERROR(s_RadSpec!$H$4*(AJ4/$B40),".")</f>
        <v>0</v>
      </c>
      <c r="AK40" s="49">
        <f>IFERROR(s_RadSpec!$H$4*(AK4/$B40),".")</f>
        <v>0</v>
      </c>
      <c r="AL40" s="49">
        <f>IFERROR(s_RadSpec!$H$4*(AL4/$B40),".")</f>
        <v>0</v>
      </c>
      <c r="AM40" s="49">
        <f>IFERROR(s_RadSpec!$H$4*(AM4/$B40),".")</f>
        <v>0</v>
      </c>
      <c r="AN40" s="49">
        <f>IFERROR(s_RadSpec!$H$4*(AN4/$B40),".")</f>
        <v>0</v>
      </c>
      <c r="AO40" s="49">
        <f>IFERROR(s_RadSpec!$H$4*(AO4/$B40),".")</f>
        <v>0</v>
      </c>
      <c r="AP40" s="49">
        <f>IFERROR(s_RadSpec!$H$4*(AP4/$B40),".")</f>
        <v>0</v>
      </c>
      <c r="AQ40" s="49">
        <f>IFERROR(s_RadSpec!$H$4*(AQ4/$B40),".")</f>
        <v>0</v>
      </c>
      <c r="AR40" s="49">
        <f>IFERROR(s_RadSpec!$H$4*(AR4/$B40),".")</f>
        <v>0</v>
      </c>
      <c r="AS40" s="49">
        <f>IFERROR(s_RadSpec!$H$4*(AS4/$B40),".")</f>
        <v>0</v>
      </c>
      <c r="AT40" s="49">
        <f>IFERROR(s_RadSpec!$H$4*(AT4/$B40),".")</f>
        <v>0</v>
      </c>
      <c r="AU40" s="49">
        <f>IFERROR(s_RadSpec!$H$4*(AU4/$B40),".")</f>
        <v>0</v>
      </c>
      <c r="AV40" s="49">
        <f>IFERROR(s_RadSpec!$H$4*(AV4/$B40),".")</f>
        <v>0</v>
      </c>
      <c r="AW40" s="49">
        <f>IFERROR(s_RadSpec!$H$4*(AW4/$B40),".")</f>
        <v>0</v>
      </c>
      <c r="AX40" s="49">
        <f>IFERROR(s_RadSpec!$H$4*(AX4/$B40),".")</f>
        <v>0</v>
      </c>
      <c r="AY40" s="49">
        <f>IFERROR(s_RadSpec!$H$4*(AY4/$B40),".")</f>
        <v>0</v>
      </c>
      <c r="AZ40" s="49">
        <f>IFERROR(s_RadSpec!$H$4*(AZ4/$B40),".")</f>
        <v>0</v>
      </c>
      <c r="BA40" s="49">
        <f>IFERROR(s_RadSpec!$H$4*(BA4/$B40),".")</f>
        <v>0</v>
      </c>
      <c r="BB40" s="49">
        <f>IFERROR(s_RadSpec!$H$4*(BB4/$B40),".")</f>
        <v>0</v>
      </c>
      <c r="BC40" s="60">
        <f t="shared" ref="BC40" si="62">IFERROR($B40/BC4,0)</f>
        <v>0</v>
      </c>
      <c r="BD40" s="60">
        <f t="shared" ref="BD40:CB40" si="63">IFERROR($B40/BD4,0)</f>
        <v>0</v>
      </c>
      <c r="BE40" s="60">
        <f t="shared" si="63"/>
        <v>0</v>
      </c>
      <c r="BF40" s="60">
        <f t="shared" si="63"/>
        <v>0</v>
      </c>
      <c r="BG40" s="60">
        <f t="shared" si="63"/>
        <v>0</v>
      </c>
      <c r="BH40" s="60">
        <f t="shared" si="63"/>
        <v>0</v>
      </c>
      <c r="BI40" s="60">
        <f t="shared" si="63"/>
        <v>0</v>
      </c>
      <c r="BJ40" s="60">
        <f t="shared" si="63"/>
        <v>0</v>
      </c>
      <c r="BK40" s="60">
        <f t="shared" si="63"/>
        <v>0</v>
      </c>
      <c r="BL40" s="60">
        <f t="shared" si="63"/>
        <v>0</v>
      </c>
      <c r="BM40" s="60">
        <f t="shared" si="63"/>
        <v>0</v>
      </c>
      <c r="BN40" s="60">
        <f t="shared" si="63"/>
        <v>0</v>
      </c>
      <c r="BO40" s="60">
        <f t="shared" si="63"/>
        <v>0</v>
      </c>
      <c r="BP40" s="60">
        <f t="shared" si="63"/>
        <v>0</v>
      </c>
      <c r="BQ40" s="60">
        <f t="shared" si="63"/>
        <v>0</v>
      </c>
      <c r="BR40" s="60">
        <f t="shared" si="63"/>
        <v>0</v>
      </c>
      <c r="BS40" s="60">
        <f t="shared" si="63"/>
        <v>0</v>
      </c>
      <c r="BT40" s="60">
        <f t="shared" si="63"/>
        <v>0</v>
      </c>
      <c r="BU40" s="60">
        <f t="shared" ref="BU40" si="64">IFERROR($B40/BU4,0)</f>
        <v>0</v>
      </c>
      <c r="BV40" s="60">
        <f t="shared" si="63"/>
        <v>0</v>
      </c>
      <c r="BW40" s="60">
        <f t="shared" si="63"/>
        <v>0</v>
      </c>
      <c r="BX40" s="60">
        <f t="shared" si="63"/>
        <v>0</v>
      </c>
      <c r="BY40" s="60">
        <f t="shared" si="63"/>
        <v>0</v>
      </c>
      <c r="BZ40" s="60">
        <f t="shared" si="63"/>
        <v>0</v>
      </c>
      <c r="CA40" s="60">
        <f t="shared" si="63"/>
        <v>0</v>
      </c>
      <c r="CB40" s="60">
        <f t="shared" si="63"/>
        <v>0</v>
      </c>
      <c r="CC40" s="49">
        <f t="shared" si="3"/>
        <v>0</v>
      </c>
      <c r="CD40" s="49">
        <f>IFERROR(s_RadSpec!$H$4*(CD4/$B40),".")</f>
        <v>0</v>
      </c>
      <c r="CE40" s="49">
        <f>IFERROR(s_RadSpec!$H$4*(CE4/$B40),".")</f>
        <v>0</v>
      </c>
      <c r="CF40" s="49">
        <f>IFERROR(s_RadSpec!$H$4*(CF4/$B40),".")</f>
        <v>0</v>
      </c>
      <c r="CG40" s="49">
        <f>IFERROR(s_RadSpec!$H$4*(CG4/$B40),".")</f>
        <v>0</v>
      </c>
      <c r="CH40" s="49">
        <f>IFERROR(s_RadSpec!$H$4*(CH4/$B40),".")</f>
        <v>0</v>
      </c>
      <c r="CI40" s="49">
        <f>IFERROR(s_RadSpec!$H$4*(CI4/$B40),".")</f>
        <v>0</v>
      </c>
      <c r="CJ40" s="49">
        <f>IFERROR(s_RadSpec!$H$4*(CJ4/$B40),".")</f>
        <v>0</v>
      </c>
      <c r="CK40" s="49">
        <f>IFERROR(s_RadSpec!$H$4*(CK4/$B40),".")</f>
        <v>0</v>
      </c>
      <c r="CL40" s="49">
        <f>IFERROR(s_RadSpec!$H$4*(CL4/$B40),".")</f>
        <v>0</v>
      </c>
      <c r="CM40" s="49">
        <f>IFERROR(s_RadSpec!$H$4*(CM4/$B40),".")</f>
        <v>0</v>
      </c>
      <c r="CN40" s="49">
        <f>IFERROR(s_RadSpec!$H$4*(CN4/$B40),".")</f>
        <v>0</v>
      </c>
      <c r="CO40" s="49">
        <f>IFERROR(s_RadSpec!$H$4*(CO4/$B40),".")</f>
        <v>0</v>
      </c>
      <c r="CP40" s="49">
        <f>IFERROR(s_RadSpec!$H$4*(CP4/$B40),".")</f>
        <v>0</v>
      </c>
      <c r="CQ40" s="49">
        <f>IFERROR(s_RadSpec!$H$4*(CQ4/$B40),".")</f>
        <v>0</v>
      </c>
      <c r="CR40" s="49">
        <f>IFERROR(s_RadSpec!$H$4*(CR4/$B40),".")</f>
        <v>0</v>
      </c>
      <c r="CS40" s="49">
        <f>IFERROR(s_RadSpec!$H$4*(CS4/$B40),".")</f>
        <v>0</v>
      </c>
      <c r="CT40" s="49">
        <f>IFERROR(s_RadSpec!$H$4*(CT4/$B40),".")</f>
        <v>0</v>
      </c>
      <c r="CU40" s="49">
        <f>IFERROR(s_RadSpec!$H$4*(CU4/$B40),".")</f>
        <v>0</v>
      </c>
      <c r="CV40" s="49">
        <f>IFERROR(s_RadSpec!$H$4*(CV4/$B40),".")</f>
        <v>0</v>
      </c>
      <c r="CW40" s="49">
        <f>IFERROR(s_RadSpec!$H$4*(CW4/$B40),".")</f>
        <v>0</v>
      </c>
      <c r="CX40" s="49">
        <f>IFERROR(s_RadSpec!$H$4*(CX4/$B40),".")</f>
        <v>0</v>
      </c>
      <c r="CY40" s="49">
        <f>IFERROR(s_RadSpec!$H$4*(CY4/$B40),".")</f>
        <v>0</v>
      </c>
      <c r="CZ40" s="49">
        <f>IFERROR(s_RadSpec!$H$4*(CZ4/$B40),".")</f>
        <v>0</v>
      </c>
      <c r="DA40" s="49">
        <f>IFERROR(s_RadSpec!$H$4*(DA4/$B40),".")</f>
        <v>0</v>
      </c>
      <c r="DB40" s="49">
        <f>IFERROR(s_RadSpec!$H$4*(DB4/$B40),".")</f>
        <v>0</v>
      </c>
    </row>
    <row r="41" spans="1:106" x14ac:dyDescent="0.25">
      <c r="A41" s="83" t="s">
        <v>1083</v>
      </c>
      <c r="B41" s="84">
        <v>0.99987999999999999</v>
      </c>
      <c r="C41" s="60">
        <f t="shared" ref="C41" si="65">IFERROR(C8/$B41,0)</f>
        <v>1014.5359308210589</v>
      </c>
      <c r="D41" s="60">
        <f t="shared" ref="D41:AB41" si="66">IFERROR(D8/$B41,0)</f>
        <v>4058.1437232842359</v>
      </c>
      <c r="E41" s="60">
        <f t="shared" si="66"/>
        <v>4058.1437232842359</v>
      </c>
      <c r="F41" s="60">
        <f t="shared" si="66"/>
        <v>4058.1437232842359</v>
      </c>
      <c r="G41" s="60">
        <f t="shared" si="66"/>
        <v>4058.1437232842359</v>
      </c>
      <c r="H41" s="60">
        <f t="shared" si="66"/>
        <v>4058.1437232842359</v>
      </c>
      <c r="I41" s="60">
        <f t="shared" si="66"/>
        <v>4058.1437232842359</v>
      </c>
      <c r="J41" s="60">
        <f t="shared" si="66"/>
        <v>4058.1437232842359</v>
      </c>
      <c r="K41" s="60">
        <f t="shared" si="66"/>
        <v>4058.1437232842359</v>
      </c>
      <c r="L41" s="60">
        <f t="shared" si="66"/>
        <v>4058.1437232842359</v>
      </c>
      <c r="M41" s="60">
        <f t="shared" si="66"/>
        <v>4058.1437232842359</v>
      </c>
      <c r="N41" s="60">
        <f t="shared" si="66"/>
        <v>4058.1437232842359</v>
      </c>
      <c r="O41" s="60">
        <f t="shared" si="66"/>
        <v>4058.1437232842359</v>
      </c>
      <c r="P41" s="60">
        <f t="shared" si="66"/>
        <v>4058.1437232842359</v>
      </c>
      <c r="Q41" s="60">
        <f t="shared" si="66"/>
        <v>4058.1437232842359</v>
      </c>
      <c r="R41" s="60">
        <f t="shared" si="66"/>
        <v>4058.1437232842359</v>
      </c>
      <c r="S41" s="60">
        <f t="shared" si="66"/>
        <v>4058.1437232842359</v>
      </c>
      <c r="T41" s="60">
        <f t="shared" si="66"/>
        <v>4058.1437232842359</v>
      </c>
      <c r="U41" s="60">
        <f t="shared" ref="U41" si="67">IFERROR(U8/$B41,0)</f>
        <v>4058.1437232842359</v>
      </c>
      <c r="V41" s="60">
        <f t="shared" si="66"/>
        <v>4058.1437232842359</v>
      </c>
      <c r="W41" s="60">
        <f t="shared" si="66"/>
        <v>4058.1437232842359</v>
      </c>
      <c r="X41" s="60">
        <f t="shared" si="66"/>
        <v>4058.1437232842359</v>
      </c>
      <c r="Y41" s="60">
        <f t="shared" si="66"/>
        <v>4058.1437232842359</v>
      </c>
      <c r="Z41" s="60">
        <f t="shared" si="66"/>
        <v>4058.1437232842359</v>
      </c>
      <c r="AA41" s="60">
        <f t="shared" si="66"/>
        <v>4058.1437232842359</v>
      </c>
      <c r="AB41" s="60">
        <f t="shared" si="66"/>
        <v>4058.1437232842359</v>
      </c>
      <c r="AC41" s="49">
        <f t="shared" si="1"/>
        <v>4.9295446953634441E-8</v>
      </c>
      <c r="AD41" s="49">
        <f>IFERROR(s_RadSpec!$H$8*(AD8/$B41),".")</f>
        <v>1.232386173840861E-8</v>
      </c>
      <c r="AE41" s="49">
        <f>IFERROR(s_RadSpec!$H$8*(AE8/$B41),".")</f>
        <v>1.232386173840861E-8</v>
      </c>
      <c r="AF41" s="49">
        <f>IFERROR(s_RadSpec!$H$8*(AF8/$B41),".")</f>
        <v>1.232386173840861E-8</v>
      </c>
      <c r="AG41" s="49">
        <f>IFERROR(s_RadSpec!$H$8*(AG8/$B41),".")</f>
        <v>1.232386173840861E-8</v>
      </c>
      <c r="AH41" s="49">
        <f>IFERROR(s_RadSpec!$H$8*(AH8/$B41),".")</f>
        <v>1.232386173840861E-8</v>
      </c>
      <c r="AI41" s="49">
        <f>IFERROR(s_RadSpec!$H$8*(AI8/$B41),".")</f>
        <v>1.232386173840861E-8</v>
      </c>
      <c r="AJ41" s="49">
        <f>IFERROR(s_RadSpec!$H$8*(AJ8/$B41),".")</f>
        <v>1.232386173840861E-8</v>
      </c>
      <c r="AK41" s="49">
        <f>IFERROR(s_RadSpec!$H$8*(AK8/$B41),".")</f>
        <v>1.232386173840861E-8</v>
      </c>
      <c r="AL41" s="49">
        <f>IFERROR(s_RadSpec!$H$8*(AL8/$B41),".")</f>
        <v>1.232386173840861E-8</v>
      </c>
      <c r="AM41" s="49">
        <f>IFERROR(s_RadSpec!$H$8*(AM8/$B41),".")</f>
        <v>1.232386173840861E-8</v>
      </c>
      <c r="AN41" s="49">
        <f>IFERROR(s_RadSpec!$H$8*(AN8/$B41),".")</f>
        <v>1.232386173840861E-8</v>
      </c>
      <c r="AO41" s="49">
        <f>IFERROR(s_RadSpec!$H$8*(AO8/$B41),".")</f>
        <v>1.232386173840861E-8</v>
      </c>
      <c r="AP41" s="49">
        <f>IFERROR(s_RadSpec!$H$8*(AP8/$B41),".")</f>
        <v>1.232386173840861E-8</v>
      </c>
      <c r="AQ41" s="49">
        <f>IFERROR(s_RadSpec!$H$8*(AQ8/$B41),".")</f>
        <v>1.232386173840861E-8</v>
      </c>
      <c r="AR41" s="49">
        <f>IFERROR(s_RadSpec!$H$8*(AR8/$B41),".")</f>
        <v>1.232386173840861E-8</v>
      </c>
      <c r="AS41" s="49">
        <f>IFERROR(s_RadSpec!$H$8*(AS8/$B41),".")</f>
        <v>1.232386173840861E-8</v>
      </c>
      <c r="AT41" s="49">
        <f>IFERROR(s_RadSpec!$H$8*(AT8/$B41),".")</f>
        <v>1.232386173840861E-8</v>
      </c>
      <c r="AU41" s="49">
        <f>IFERROR(s_RadSpec!$H$8*(AU8/$B41),".")</f>
        <v>1.232386173840861E-8</v>
      </c>
      <c r="AV41" s="49">
        <f>IFERROR(s_RadSpec!$H$8*(AV8/$B41),".")</f>
        <v>1.232386173840861E-8</v>
      </c>
      <c r="AW41" s="49">
        <f>IFERROR(s_RadSpec!$H$8*(AW8/$B41),".")</f>
        <v>1.232386173840861E-8</v>
      </c>
      <c r="AX41" s="49">
        <f>IFERROR(s_RadSpec!$H$8*(AX8/$B41),".")</f>
        <v>1.232386173840861E-8</v>
      </c>
      <c r="AY41" s="49">
        <f>IFERROR(s_RadSpec!$H$8*(AY8/$B41),".")</f>
        <v>1.232386173840861E-8</v>
      </c>
      <c r="AZ41" s="49">
        <f>IFERROR(s_RadSpec!$H$8*(AZ8/$B41),".")</f>
        <v>1.232386173840861E-8</v>
      </c>
      <c r="BA41" s="49">
        <f>IFERROR(s_RadSpec!$H$8*(BA8/$B41),".")</f>
        <v>1.232386173840861E-8</v>
      </c>
      <c r="BB41" s="49">
        <f>IFERROR(s_RadSpec!$H$8*(BB8/$B41),".")</f>
        <v>1.232386173840861E-8</v>
      </c>
      <c r="BC41" s="60">
        <f t="shared" ref="BC41" si="68">IFERROR($B41/BC8,0)</f>
        <v>9.8567233512440017E-4</v>
      </c>
      <c r="BD41" s="60">
        <f t="shared" ref="BD41:CB41" si="69">IFERROR($B41/BD8,0)</f>
        <v>2.4641808378110004E-4</v>
      </c>
      <c r="BE41" s="60">
        <f t="shared" si="69"/>
        <v>2.4641808378110004E-4</v>
      </c>
      <c r="BF41" s="60">
        <f t="shared" si="69"/>
        <v>2.4641808378110004E-4</v>
      </c>
      <c r="BG41" s="60">
        <f t="shared" si="69"/>
        <v>2.4641808378110004E-4</v>
      </c>
      <c r="BH41" s="60">
        <f t="shared" si="69"/>
        <v>2.4641808378110004E-4</v>
      </c>
      <c r="BI41" s="60">
        <f t="shared" si="69"/>
        <v>2.4641808378110004E-4</v>
      </c>
      <c r="BJ41" s="60">
        <f t="shared" si="69"/>
        <v>2.4641808378110004E-4</v>
      </c>
      <c r="BK41" s="60">
        <f t="shared" si="69"/>
        <v>2.4641808378110004E-4</v>
      </c>
      <c r="BL41" s="60">
        <f t="shared" si="69"/>
        <v>2.4641808378110004E-4</v>
      </c>
      <c r="BM41" s="60">
        <f t="shared" si="69"/>
        <v>2.4641808378110004E-4</v>
      </c>
      <c r="BN41" s="60">
        <f t="shared" si="69"/>
        <v>2.4641808378110004E-4</v>
      </c>
      <c r="BO41" s="60">
        <f t="shared" si="69"/>
        <v>2.4641808378110004E-4</v>
      </c>
      <c r="BP41" s="60">
        <f t="shared" si="69"/>
        <v>2.4641808378110004E-4</v>
      </c>
      <c r="BQ41" s="60">
        <f t="shared" si="69"/>
        <v>2.4641808378110004E-4</v>
      </c>
      <c r="BR41" s="60">
        <f t="shared" si="69"/>
        <v>2.4641808378110004E-4</v>
      </c>
      <c r="BS41" s="60">
        <f t="shared" si="69"/>
        <v>2.4641808378110004E-4</v>
      </c>
      <c r="BT41" s="60">
        <f t="shared" si="69"/>
        <v>2.4641808378110004E-4</v>
      </c>
      <c r="BU41" s="60">
        <f t="shared" ref="BU41" si="70">IFERROR($B41/BU8,0)</f>
        <v>2.4641808378110004E-4</v>
      </c>
      <c r="BV41" s="60">
        <f t="shared" si="69"/>
        <v>2.4641808378110004E-4</v>
      </c>
      <c r="BW41" s="60">
        <f t="shared" si="69"/>
        <v>2.4641808378110004E-4</v>
      </c>
      <c r="BX41" s="60">
        <f t="shared" si="69"/>
        <v>2.4641808378110004E-4</v>
      </c>
      <c r="BY41" s="60">
        <f t="shared" si="69"/>
        <v>2.4641808378110004E-4</v>
      </c>
      <c r="BZ41" s="60">
        <f t="shared" si="69"/>
        <v>2.4641808378110004E-4</v>
      </c>
      <c r="CA41" s="60">
        <f t="shared" si="69"/>
        <v>2.4641808378110004E-4</v>
      </c>
      <c r="CB41" s="60">
        <f t="shared" si="69"/>
        <v>2.4641808378110004E-4</v>
      </c>
      <c r="CC41" s="49">
        <f t="shared" si="3"/>
        <v>4.9295446953634441E-8</v>
      </c>
      <c r="CD41" s="49">
        <f>IFERROR(s_RadSpec!$H$8*(CD8/$B41),".")</f>
        <v>1.232386173840861E-8</v>
      </c>
      <c r="CE41" s="49">
        <f>IFERROR(s_RadSpec!$H$8*(CE8/$B41),".")</f>
        <v>1.232386173840861E-8</v>
      </c>
      <c r="CF41" s="49">
        <f>IFERROR(s_RadSpec!$H$8*(CF8/$B41),".")</f>
        <v>1.232386173840861E-8</v>
      </c>
      <c r="CG41" s="49">
        <f>IFERROR(s_RadSpec!$H$8*(CG8/$B41),".")</f>
        <v>1.232386173840861E-8</v>
      </c>
      <c r="CH41" s="49">
        <f>IFERROR(s_RadSpec!$H$8*(CH8/$B41),".")</f>
        <v>1.232386173840861E-8</v>
      </c>
      <c r="CI41" s="49">
        <f>IFERROR(s_RadSpec!$H$8*(CI8/$B41),".")</f>
        <v>1.232386173840861E-8</v>
      </c>
      <c r="CJ41" s="49">
        <f>IFERROR(s_RadSpec!$H$8*(CJ8/$B41),".")</f>
        <v>1.232386173840861E-8</v>
      </c>
      <c r="CK41" s="49">
        <f>IFERROR(s_RadSpec!$H$8*(CK8/$B41),".")</f>
        <v>1.232386173840861E-8</v>
      </c>
      <c r="CL41" s="49">
        <f>IFERROR(s_RadSpec!$H$8*(CL8/$B41),".")</f>
        <v>1.232386173840861E-8</v>
      </c>
      <c r="CM41" s="49">
        <f>IFERROR(s_RadSpec!$H$8*(CM8/$B41),".")</f>
        <v>1.232386173840861E-8</v>
      </c>
      <c r="CN41" s="49">
        <f>IFERROR(s_RadSpec!$H$8*(CN8/$B41),".")</f>
        <v>1.232386173840861E-8</v>
      </c>
      <c r="CO41" s="49">
        <f>IFERROR(s_RadSpec!$H$8*(CO8/$B41),".")</f>
        <v>1.232386173840861E-8</v>
      </c>
      <c r="CP41" s="49">
        <f>IFERROR(s_RadSpec!$H$8*(CP8/$B41),".")</f>
        <v>1.232386173840861E-8</v>
      </c>
      <c r="CQ41" s="49">
        <f>IFERROR(s_RadSpec!$H$8*(CQ8/$B41),".")</f>
        <v>1.232386173840861E-8</v>
      </c>
      <c r="CR41" s="49">
        <f>IFERROR(s_RadSpec!$H$8*(CR8/$B41),".")</f>
        <v>1.232386173840861E-8</v>
      </c>
      <c r="CS41" s="49">
        <f>IFERROR(s_RadSpec!$H$8*(CS8/$B41),".")</f>
        <v>1.232386173840861E-8</v>
      </c>
      <c r="CT41" s="49">
        <f>IFERROR(s_RadSpec!$H$8*(CT8/$B41),".")</f>
        <v>1.232386173840861E-8</v>
      </c>
      <c r="CU41" s="49">
        <f>IFERROR(s_RadSpec!$H$8*(CU8/$B41),".")</f>
        <v>1.232386173840861E-8</v>
      </c>
      <c r="CV41" s="49">
        <f>IFERROR(s_RadSpec!$H$8*(CV8/$B41),".")</f>
        <v>1.232386173840861E-8</v>
      </c>
      <c r="CW41" s="49">
        <f>IFERROR(s_RadSpec!$H$8*(CW8/$B41),".")</f>
        <v>1.232386173840861E-8</v>
      </c>
      <c r="CX41" s="49">
        <f>IFERROR(s_RadSpec!$H$8*(CX8/$B41),".")</f>
        <v>1.232386173840861E-8</v>
      </c>
      <c r="CY41" s="49">
        <f>IFERROR(s_RadSpec!$H$8*(CY8/$B41),".")</f>
        <v>1.232386173840861E-8</v>
      </c>
      <c r="CZ41" s="49">
        <f>IFERROR(s_RadSpec!$H$8*(CZ8/$B41),".")</f>
        <v>1.232386173840861E-8</v>
      </c>
      <c r="DA41" s="49">
        <f>IFERROR(s_RadSpec!$H$8*(DA8/$B41),".")</f>
        <v>1.232386173840861E-8</v>
      </c>
      <c r="DB41" s="49">
        <f>IFERROR(s_RadSpec!$H$8*(DB8/$B41),".")</f>
        <v>1.232386173840861E-8</v>
      </c>
    </row>
    <row r="42" spans="1:106" x14ac:dyDescent="0.25">
      <c r="A42" s="83" t="s">
        <v>1084</v>
      </c>
      <c r="B42" s="42">
        <v>0.97898250799999997</v>
      </c>
      <c r="C42" s="60">
        <f t="shared" ref="C42" si="71">IFERROR(C19/$B42,0)</f>
        <v>0</v>
      </c>
      <c r="D42" s="60">
        <f t="shared" ref="D42:AB42" si="72">IFERROR(D19/$B42,0)</f>
        <v>0</v>
      </c>
      <c r="E42" s="60">
        <f t="shared" si="72"/>
        <v>0</v>
      </c>
      <c r="F42" s="60">
        <f t="shared" si="72"/>
        <v>0</v>
      </c>
      <c r="G42" s="60">
        <f t="shared" si="72"/>
        <v>0</v>
      </c>
      <c r="H42" s="60">
        <f t="shared" si="72"/>
        <v>0</v>
      </c>
      <c r="I42" s="60">
        <f t="shared" si="72"/>
        <v>0</v>
      </c>
      <c r="J42" s="60">
        <f t="shared" si="72"/>
        <v>0</v>
      </c>
      <c r="K42" s="60">
        <f t="shared" si="72"/>
        <v>0</v>
      </c>
      <c r="L42" s="60">
        <f t="shared" si="72"/>
        <v>0</v>
      </c>
      <c r="M42" s="60">
        <f t="shared" si="72"/>
        <v>0</v>
      </c>
      <c r="N42" s="60">
        <f t="shared" si="72"/>
        <v>0</v>
      </c>
      <c r="O42" s="60">
        <f t="shared" si="72"/>
        <v>0</v>
      </c>
      <c r="P42" s="60">
        <f t="shared" si="72"/>
        <v>0</v>
      </c>
      <c r="Q42" s="60">
        <f t="shared" si="72"/>
        <v>0</v>
      </c>
      <c r="R42" s="60">
        <f t="shared" si="72"/>
        <v>0</v>
      </c>
      <c r="S42" s="60">
        <f t="shared" si="72"/>
        <v>0</v>
      </c>
      <c r="T42" s="60">
        <f t="shared" si="72"/>
        <v>0</v>
      </c>
      <c r="U42" s="60">
        <f t="shared" ref="U42" si="73">IFERROR(U19/$B42,0)</f>
        <v>0</v>
      </c>
      <c r="V42" s="60">
        <f t="shared" si="72"/>
        <v>0</v>
      </c>
      <c r="W42" s="60">
        <f t="shared" si="72"/>
        <v>0</v>
      </c>
      <c r="X42" s="60">
        <f t="shared" si="72"/>
        <v>0</v>
      </c>
      <c r="Y42" s="60">
        <f t="shared" si="72"/>
        <v>0</v>
      </c>
      <c r="Z42" s="60">
        <f t="shared" si="72"/>
        <v>0</v>
      </c>
      <c r="AA42" s="60">
        <f t="shared" si="72"/>
        <v>0</v>
      </c>
      <c r="AB42" s="60">
        <f t="shared" si="72"/>
        <v>0</v>
      </c>
      <c r="AC42" s="49">
        <f t="shared" si="1"/>
        <v>0</v>
      </c>
      <c r="AD42" s="49">
        <f>IFERROR(s_RadSpec!$H$19*(AD19/$B42),".")</f>
        <v>0</v>
      </c>
      <c r="AE42" s="49">
        <f>IFERROR(s_RadSpec!$H$19*(AE19/$B42),".")</f>
        <v>0</v>
      </c>
      <c r="AF42" s="49">
        <f>IFERROR(s_RadSpec!$H$19*(AF19/$B42),".")</f>
        <v>0</v>
      </c>
      <c r="AG42" s="49">
        <f>IFERROR(s_RadSpec!$H$19*(AG19/$B42),".")</f>
        <v>0</v>
      </c>
      <c r="AH42" s="49">
        <f>IFERROR(s_RadSpec!$H$19*(AH19/$B42),".")</f>
        <v>0</v>
      </c>
      <c r="AI42" s="49">
        <f>IFERROR(s_RadSpec!$H$19*(AI19/$B42),".")</f>
        <v>0</v>
      </c>
      <c r="AJ42" s="49">
        <f>IFERROR(s_RadSpec!$H$19*(AJ19/$B42),".")</f>
        <v>0</v>
      </c>
      <c r="AK42" s="49">
        <f>IFERROR(s_RadSpec!$H$19*(AK19/$B42),".")</f>
        <v>0</v>
      </c>
      <c r="AL42" s="49">
        <f>IFERROR(s_RadSpec!$H$19*(AL19/$B42),".")</f>
        <v>0</v>
      </c>
      <c r="AM42" s="49">
        <f>IFERROR(s_RadSpec!$H$19*(AM19/$B42),".")</f>
        <v>0</v>
      </c>
      <c r="AN42" s="49">
        <f>IFERROR(s_RadSpec!$H$19*(AN19/$B42),".")</f>
        <v>0</v>
      </c>
      <c r="AO42" s="49">
        <f>IFERROR(s_RadSpec!$H$19*(AO19/$B42),".")</f>
        <v>0</v>
      </c>
      <c r="AP42" s="49">
        <f>IFERROR(s_RadSpec!$H$19*(AP19/$B42),".")</f>
        <v>0</v>
      </c>
      <c r="AQ42" s="49">
        <f>IFERROR(s_RadSpec!$H$19*(AQ19/$B42),".")</f>
        <v>0</v>
      </c>
      <c r="AR42" s="49">
        <f>IFERROR(s_RadSpec!$H$19*(AR19/$B42),".")</f>
        <v>0</v>
      </c>
      <c r="AS42" s="49">
        <f>IFERROR(s_RadSpec!$H$19*(AS19/$B42),".")</f>
        <v>0</v>
      </c>
      <c r="AT42" s="49">
        <f>IFERROR(s_RadSpec!$H$19*(AT19/$B42),".")</f>
        <v>0</v>
      </c>
      <c r="AU42" s="49">
        <f>IFERROR(s_RadSpec!$H$19*(AU19/$B42),".")</f>
        <v>0</v>
      </c>
      <c r="AV42" s="49">
        <f>IFERROR(s_RadSpec!$H$19*(AV19/$B42),".")</f>
        <v>0</v>
      </c>
      <c r="AW42" s="49">
        <f>IFERROR(s_RadSpec!$H$19*(AW19/$B42),".")</f>
        <v>0</v>
      </c>
      <c r="AX42" s="49">
        <f>IFERROR(s_RadSpec!$H$19*(AX19/$B42),".")</f>
        <v>0</v>
      </c>
      <c r="AY42" s="49">
        <f>IFERROR(s_RadSpec!$H$19*(AY19/$B42),".")</f>
        <v>0</v>
      </c>
      <c r="AZ42" s="49">
        <f>IFERROR(s_RadSpec!$H$19*(AZ19/$B42),".")</f>
        <v>0</v>
      </c>
      <c r="BA42" s="49">
        <f>IFERROR(s_RadSpec!$H$19*(BA19/$B42),".")</f>
        <v>0</v>
      </c>
      <c r="BB42" s="49">
        <f>IFERROR(s_RadSpec!$H$19*(BB19/$B42),".")</f>
        <v>0</v>
      </c>
      <c r="BC42" s="60">
        <f t="shared" ref="BC42" si="74">IFERROR($B42/BC19,0)</f>
        <v>0</v>
      </c>
      <c r="BD42" s="60">
        <f t="shared" ref="BD42:CB42" si="75">IFERROR($B42/BD19,0)</f>
        <v>0</v>
      </c>
      <c r="BE42" s="60">
        <f t="shared" si="75"/>
        <v>0</v>
      </c>
      <c r="BF42" s="60">
        <f t="shared" si="75"/>
        <v>0</v>
      </c>
      <c r="BG42" s="60">
        <f t="shared" si="75"/>
        <v>0</v>
      </c>
      <c r="BH42" s="60">
        <f t="shared" si="75"/>
        <v>0</v>
      </c>
      <c r="BI42" s="60">
        <f t="shared" si="75"/>
        <v>0</v>
      </c>
      <c r="BJ42" s="60">
        <f t="shared" si="75"/>
        <v>0</v>
      </c>
      <c r="BK42" s="60">
        <f t="shared" si="75"/>
        <v>0</v>
      </c>
      <c r="BL42" s="60">
        <f t="shared" si="75"/>
        <v>0</v>
      </c>
      <c r="BM42" s="60">
        <f t="shared" si="75"/>
        <v>0</v>
      </c>
      <c r="BN42" s="60">
        <f t="shared" si="75"/>
        <v>0</v>
      </c>
      <c r="BO42" s="60">
        <f t="shared" si="75"/>
        <v>0</v>
      </c>
      <c r="BP42" s="60">
        <f t="shared" si="75"/>
        <v>0</v>
      </c>
      <c r="BQ42" s="60">
        <f t="shared" si="75"/>
        <v>0</v>
      </c>
      <c r="BR42" s="60">
        <f t="shared" si="75"/>
        <v>0</v>
      </c>
      <c r="BS42" s="60">
        <f t="shared" si="75"/>
        <v>0</v>
      </c>
      <c r="BT42" s="60">
        <f t="shared" si="75"/>
        <v>0</v>
      </c>
      <c r="BU42" s="60">
        <f t="shared" ref="BU42" si="76">IFERROR($B42/BU19,0)</f>
        <v>0</v>
      </c>
      <c r="BV42" s="60">
        <f t="shared" si="75"/>
        <v>0</v>
      </c>
      <c r="BW42" s="60">
        <f t="shared" si="75"/>
        <v>0</v>
      </c>
      <c r="BX42" s="60">
        <f t="shared" si="75"/>
        <v>0</v>
      </c>
      <c r="BY42" s="60">
        <f t="shared" si="75"/>
        <v>0</v>
      </c>
      <c r="BZ42" s="60">
        <f t="shared" si="75"/>
        <v>0</v>
      </c>
      <c r="CA42" s="60">
        <f t="shared" si="75"/>
        <v>0</v>
      </c>
      <c r="CB42" s="60">
        <f t="shared" si="75"/>
        <v>0</v>
      </c>
      <c r="CC42" s="49">
        <f t="shared" si="3"/>
        <v>0</v>
      </c>
      <c r="CD42" s="49">
        <f>IFERROR(s_RadSpec!$H$19*(CD19/$B42),".")</f>
        <v>0</v>
      </c>
      <c r="CE42" s="49">
        <f>IFERROR(s_RadSpec!$H$19*(CE19/$B42),".")</f>
        <v>0</v>
      </c>
      <c r="CF42" s="49">
        <f>IFERROR(s_RadSpec!$H$19*(CF19/$B42),".")</f>
        <v>0</v>
      </c>
      <c r="CG42" s="49">
        <f>IFERROR(s_RadSpec!$H$19*(CG19/$B42),".")</f>
        <v>0</v>
      </c>
      <c r="CH42" s="49">
        <f>IFERROR(s_RadSpec!$H$19*(CH19/$B42),".")</f>
        <v>0</v>
      </c>
      <c r="CI42" s="49">
        <f>IFERROR(s_RadSpec!$H$19*(CI19/$B42),".")</f>
        <v>0</v>
      </c>
      <c r="CJ42" s="49">
        <f>IFERROR(s_RadSpec!$H$19*(CJ19/$B42),".")</f>
        <v>0</v>
      </c>
      <c r="CK42" s="49">
        <f>IFERROR(s_RadSpec!$H$19*(CK19/$B42),".")</f>
        <v>0</v>
      </c>
      <c r="CL42" s="49">
        <f>IFERROR(s_RadSpec!$H$19*(CL19/$B42),".")</f>
        <v>0</v>
      </c>
      <c r="CM42" s="49">
        <f>IFERROR(s_RadSpec!$H$19*(CM19/$B42),".")</f>
        <v>0</v>
      </c>
      <c r="CN42" s="49">
        <f>IFERROR(s_RadSpec!$H$19*(CN19/$B42),".")</f>
        <v>0</v>
      </c>
      <c r="CO42" s="49">
        <f>IFERROR(s_RadSpec!$H$19*(CO19/$B42),".")</f>
        <v>0</v>
      </c>
      <c r="CP42" s="49">
        <f>IFERROR(s_RadSpec!$H$19*(CP19/$B42),".")</f>
        <v>0</v>
      </c>
      <c r="CQ42" s="49">
        <f>IFERROR(s_RadSpec!$H$19*(CQ19/$B42),".")</f>
        <v>0</v>
      </c>
      <c r="CR42" s="49">
        <f>IFERROR(s_RadSpec!$H$19*(CR19/$B42),".")</f>
        <v>0</v>
      </c>
      <c r="CS42" s="49">
        <f>IFERROR(s_RadSpec!$H$19*(CS19/$B42),".")</f>
        <v>0</v>
      </c>
      <c r="CT42" s="49">
        <f>IFERROR(s_RadSpec!$H$19*(CT19/$B42),".")</f>
        <v>0</v>
      </c>
      <c r="CU42" s="49">
        <f>IFERROR(s_RadSpec!$H$19*(CU19/$B42),".")</f>
        <v>0</v>
      </c>
      <c r="CV42" s="49">
        <f>IFERROR(s_RadSpec!$H$19*(CV19/$B42),".")</f>
        <v>0</v>
      </c>
      <c r="CW42" s="49">
        <f>IFERROR(s_RadSpec!$H$19*(CW19/$B42),".")</f>
        <v>0</v>
      </c>
      <c r="CX42" s="49">
        <f>IFERROR(s_RadSpec!$H$19*(CX19/$B42),".")</f>
        <v>0</v>
      </c>
      <c r="CY42" s="49">
        <f>IFERROR(s_RadSpec!$H$19*(CY19/$B42),".")</f>
        <v>0</v>
      </c>
      <c r="CZ42" s="49">
        <f>IFERROR(s_RadSpec!$H$19*(CZ19/$B42),".")</f>
        <v>0</v>
      </c>
      <c r="DA42" s="49">
        <f>IFERROR(s_RadSpec!$H$19*(DA19/$B42),".")</f>
        <v>0</v>
      </c>
      <c r="DB42" s="49">
        <f>IFERROR(s_RadSpec!$H$19*(DB19/$B42),".")</f>
        <v>0</v>
      </c>
    </row>
    <row r="43" spans="1:106" x14ac:dyDescent="0.25">
      <c r="A43" s="83" t="s">
        <v>1085</v>
      </c>
      <c r="B43" s="42">
        <v>2.0897492E-2</v>
      </c>
      <c r="C43" s="60">
        <f t="shared" ref="C43" si="77">IFERROR(C28/$B43,0)</f>
        <v>0</v>
      </c>
      <c r="D43" s="60">
        <f t="shared" ref="D43:AB43" si="78">IFERROR(D28/$B43,0)</f>
        <v>0</v>
      </c>
      <c r="E43" s="60">
        <f t="shared" si="78"/>
        <v>0</v>
      </c>
      <c r="F43" s="60">
        <f t="shared" si="78"/>
        <v>0</v>
      </c>
      <c r="G43" s="60">
        <f t="shared" si="78"/>
        <v>0</v>
      </c>
      <c r="H43" s="60">
        <f t="shared" si="78"/>
        <v>0</v>
      </c>
      <c r="I43" s="60">
        <f t="shared" si="78"/>
        <v>0</v>
      </c>
      <c r="J43" s="60">
        <f t="shared" si="78"/>
        <v>0</v>
      </c>
      <c r="K43" s="60">
        <f t="shared" si="78"/>
        <v>0</v>
      </c>
      <c r="L43" s="60">
        <f t="shared" si="78"/>
        <v>0</v>
      </c>
      <c r="M43" s="60">
        <f t="shared" si="78"/>
        <v>0</v>
      </c>
      <c r="N43" s="60">
        <f t="shared" si="78"/>
        <v>0</v>
      </c>
      <c r="O43" s="60">
        <f t="shared" si="78"/>
        <v>0</v>
      </c>
      <c r="P43" s="60">
        <f t="shared" si="78"/>
        <v>0</v>
      </c>
      <c r="Q43" s="60">
        <f t="shared" si="78"/>
        <v>0</v>
      </c>
      <c r="R43" s="60">
        <f t="shared" si="78"/>
        <v>0</v>
      </c>
      <c r="S43" s="60">
        <f t="shared" si="78"/>
        <v>0</v>
      </c>
      <c r="T43" s="60">
        <f t="shared" si="78"/>
        <v>0</v>
      </c>
      <c r="U43" s="60">
        <f t="shared" ref="U43" si="79">IFERROR(U28/$B43,0)</f>
        <v>0</v>
      </c>
      <c r="V43" s="60">
        <f t="shared" si="78"/>
        <v>0</v>
      </c>
      <c r="W43" s="60">
        <f t="shared" si="78"/>
        <v>0</v>
      </c>
      <c r="X43" s="60">
        <f t="shared" si="78"/>
        <v>0</v>
      </c>
      <c r="Y43" s="60">
        <f t="shared" si="78"/>
        <v>0</v>
      </c>
      <c r="Z43" s="60">
        <f t="shared" si="78"/>
        <v>0</v>
      </c>
      <c r="AA43" s="60">
        <f t="shared" si="78"/>
        <v>0</v>
      </c>
      <c r="AB43" s="60">
        <f t="shared" si="78"/>
        <v>0</v>
      </c>
      <c r="AC43" s="49">
        <f t="shared" si="1"/>
        <v>0</v>
      </c>
      <c r="AD43" s="49">
        <f>IFERROR(s_RadSpec!$H$28*(AD28/$B43),".")</f>
        <v>0</v>
      </c>
      <c r="AE43" s="49">
        <f>IFERROR(s_RadSpec!$H$28*(AE28/$B43),".")</f>
        <v>0</v>
      </c>
      <c r="AF43" s="49">
        <f>IFERROR(s_RadSpec!$H$28*(AF28/$B43),".")</f>
        <v>0</v>
      </c>
      <c r="AG43" s="49">
        <f>IFERROR(s_RadSpec!$H$28*(AG28/$B43),".")</f>
        <v>0</v>
      </c>
      <c r="AH43" s="49">
        <f>IFERROR(s_RadSpec!$H$28*(AH28/$B43),".")</f>
        <v>0</v>
      </c>
      <c r="AI43" s="49">
        <f>IFERROR(s_RadSpec!$H$28*(AI28/$B43),".")</f>
        <v>0</v>
      </c>
      <c r="AJ43" s="49">
        <f>IFERROR(s_RadSpec!$H$28*(AJ28/$B43),".")</f>
        <v>0</v>
      </c>
      <c r="AK43" s="49">
        <f>IFERROR(s_RadSpec!$H$28*(AK28/$B43),".")</f>
        <v>0</v>
      </c>
      <c r="AL43" s="49">
        <f>IFERROR(s_RadSpec!$H$28*(AL28/$B43),".")</f>
        <v>0</v>
      </c>
      <c r="AM43" s="49">
        <f>IFERROR(s_RadSpec!$H$28*(AM28/$B43),".")</f>
        <v>0</v>
      </c>
      <c r="AN43" s="49">
        <f>IFERROR(s_RadSpec!$H$28*(AN28/$B43),".")</f>
        <v>0</v>
      </c>
      <c r="AO43" s="49">
        <f>IFERROR(s_RadSpec!$H$28*(AO28/$B43),".")</f>
        <v>0</v>
      </c>
      <c r="AP43" s="49">
        <f>IFERROR(s_RadSpec!$H$28*(AP28/$B43),".")</f>
        <v>0</v>
      </c>
      <c r="AQ43" s="49">
        <f>IFERROR(s_RadSpec!$H$28*(AQ28/$B43),".")</f>
        <v>0</v>
      </c>
      <c r="AR43" s="49">
        <f>IFERROR(s_RadSpec!$H$28*(AR28/$B43),".")</f>
        <v>0</v>
      </c>
      <c r="AS43" s="49">
        <f>IFERROR(s_RadSpec!$H$28*(AS28/$B43),".")</f>
        <v>0</v>
      </c>
      <c r="AT43" s="49">
        <f>IFERROR(s_RadSpec!$H$28*(AT28/$B43),".")</f>
        <v>0</v>
      </c>
      <c r="AU43" s="49">
        <f>IFERROR(s_RadSpec!$H$28*(AU28/$B43),".")</f>
        <v>0</v>
      </c>
      <c r="AV43" s="49">
        <f>IFERROR(s_RadSpec!$H$28*(AV28/$B43),".")</f>
        <v>0</v>
      </c>
      <c r="AW43" s="49">
        <f>IFERROR(s_RadSpec!$H$28*(AW28/$B43),".")</f>
        <v>0</v>
      </c>
      <c r="AX43" s="49">
        <f>IFERROR(s_RadSpec!$H$28*(AX28/$B43),".")</f>
        <v>0</v>
      </c>
      <c r="AY43" s="49">
        <f>IFERROR(s_RadSpec!$H$28*(AY28/$B43),".")</f>
        <v>0</v>
      </c>
      <c r="AZ43" s="49">
        <f>IFERROR(s_RadSpec!$H$28*(AZ28/$B43),".")</f>
        <v>0</v>
      </c>
      <c r="BA43" s="49">
        <f>IFERROR(s_RadSpec!$H$28*(BA28/$B43),".")</f>
        <v>0</v>
      </c>
      <c r="BB43" s="49">
        <f>IFERROR(s_RadSpec!$H$28*(BB28/$B43),".")</f>
        <v>0</v>
      </c>
      <c r="BC43" s="60">
        <f t="shared" ref="BC43" si="80">IFERROR($B43/BC28,0)</f>
        <v>0</v>
      </c>
      <c r="BD43" s="60">
        <f t="shared" ref="BD43:CB43" si="81">IFERROR($B43/BD28,0)</f>
        <v>0</v>
      </c>
      <c r="BE43" s="60">
        <f t="shared" si="81"/>
        <v>0</v>
      </c>
      <c r="BF43" s="60">
        <f t="shared" si="81"/>
        <v>0</v>
      </c>
      <c r="BG43" s="60">
        <f t="shared" si="81"/>
        <v>0</v>
      </c>
      <c r="BH43" s="60">
        <f t="shared" si="81"/>
        <v>0</v>
      </c>
      <c r="BI43" s="60">
        <f t="shared" si="81"/>
        <v>0</v>
      </c>
      <c r="BJ43" s="60">
        <f t="shared" si="81"/>
        <v>0</v>
      </c>
      <c r="BK43" s="60">
        <f t="shared" si="81"/>
        <v>0</v>
      </c>
      <c r="BL43" s="60">
        <f t="shared" si="81"/>
        <v>0</v>
      </c>
      <c r="BM43" s="60">
        <f t="shared" si="81"/>
        <v>0</v>
      </c>
      <c r="BN43" s="60">
        <f t="shared" si="81"/>
        <v>0</v>
      </c>
      <c r="BO43" s="60">
        <f t="shared" si="81"/>
        <v>0</v>
      </c>
      <c r="BP43" s="60">
        <f t="shared" si="81"/>
        <v>0</v>
      </c>
      <c r="BQ43" s="60">
        <f t="shared" si="81"/>
        <v>0</v>
      </c>
      <c r="BR43" s="60">
        <f t="shared" si="81"/>
        <v>0</v>
      </c>
      <c r="BS43" s="60">
        <f t="shared" si="81"/>
        <v>0</v>
      </c>
      <c r="BT43" s="60">
        <f t="shared" si="81"/>
        <v>0</v>
      </c>
      <c r="BU43" s="60">
        <f t="shared" ref="BU43" si="82">IFERROR($B43/BU28,0)</f>
        <v>0</v>
      </c>
      <c r="BV43" s="60">
        <f t="shared" si="81"/>
        <v>0</v>
      </c>
      <c r="BW43" s="60">
        <f t="shared" si="81"/>
        <v>0</v>
      </c>
      <c r="BX43" s="60">
        <f t="shared" si="81"/>
        <v>0</v>
      </c>
      <c r="BY43" s="60">
        <f t="shared" si="81"/>
        <v>0</v>
      </c>
      <c r="BZ43" s="60">
        <f t="shared" si="81"/>
        <v>0</v>
      </c>
      <c r="CA43" s="60">
        <f t="shared" si="81"/>
        <v>0</v>
      </c>
      <c r="CB43" s="60">
        <f t="shared" si="81"/>
        <v>0</v>
      </c>
      <c r="CC43" s="49">
        <f t="shared" si="3"/>
        <v>0</v>
      </c>
      <c r="CD43" s="49">
        <f>IFERROR(s_RadSpec!$H$28*(CD28/$B43),".")</f>
        <v>0</v>
      </c>
      <c r="CE43" s="49">
        <f>IFERROR(s_RadSpec!$H$28*(CE28/$B43),".")</f>
        <v>0</v>
      </c>
      <c r="CF43" s="49">
        <f>IFERROR(s_RadSpec!$H$28*(CF28/$B43),".")</f>
        <v>0</v>
      </c>
      <c r="CG43" s="49">
        <f>IFERROR(s_RadSpec!$H$28*(CG28/$B43),".")</f>
        <v>0</v>
      </c>
      <c r="CH43" s="49">
        <f>IFERROR(s_RadSpec!$H$28*(CH28/$B43),".")</f>
        <v>0</v>
      </c>
      <c r="CI43" s="49">
        <f>IFERROR(s_RadSpec!$H$28*(CI28/$B43),".")</f>
        <v>0</v>
      </c>
      <c r="CJ43" s="49">
        <f>IFERROR(s_RadSpec!$H$28*(CJ28/$B43),".")</f>
        <v>0</v>
      </c>
      <c r="CK43" s="49">
        <f>IFERROR(s_RadSpec!$H$28*(CK28/$B43),".")</f>
        <v>0</v>
      </c>
      <c r="CL43" s="49">
        <f>IFERROR(s_RadSpec!$H$28*(CL28/$B43),".")</f>
        <v>0</v>
      </c>
      <c r="CM43" s="49">
        <f>IFERROR(s_RadSpec!$H$28*(CM28/$B43),".")</f>
        <v>0</v>
      </c>
      <c r="CN43" s="49">
        <f>IFERROR(s_RadSpec!$H$28*(CN28/$B43),".")</f>
        <v>0</v>
      </c>
      <c r="CO43" s="49">
        <f>IFERROR(s_RadSpec!$H$28*(CO28/$B43),".")</f>
        <v>0</v>
      </c>
      <c r="CP43" s="49">
        <f>IFERROR(s_RadSpec!$H$28*(CP28/$B43),".")</f>
        <v>0</v>
      </c>
      <c r="CQ43" s="49">
        <f>IFERROR(s_RadSpec!$H$28*(CQ28/$B43),".")</f>
        <v>0</v>
      </c>
      <c r="CR43" s="49">
        <f>IFERROR(s_RadSpec!$H$28*(CR28/$B43),".")</f>
        <v>0</v>
      </c>
      <c r="CS43" s="49">
        <f>IFERROR(s_RadSpec!$H$28*(CS28/$B43),".")</f>
        <v>0</v>
      </c>
      <c r="CT43" s="49">
        <f>IFERROR(s_RadSpec!$H$28*(CT28/$B43),".")</f>
        <v>0</v>
      </c>
      <c r="CU43" s="49">
        <f>IFERROR(s_RadSpec!$H$28*(CU28/$B43),".")</f>
        <v>0</v>
      </c>
      <c r="CV43" s="49">
        <f>IFERROR(s_RadSpec!$H$28*(CV28/$B43),".")</f>
        <v>0</v>
      </c>
      <c r="CW43" s="49">
        <f>IFERROR(s_RadSpec!$H$28*(CW28/$B43),".")</f>
        <v>0</v>
      </c>
      <c r="CX43" s="49">
        <f>IFERROR(s_RadSpec!$H$28*(CX28/$B43),".")</f>
        <v>0</v>
      </c>
      <c r="CY43" s="49">
        <f>IFERROR(s_RadSpec!$H$28*(CY28/$B43),".")</f>
        <v>0</v>
      </c>
      <c r="CZ43" s="49">
        <f>IFERROR(s_RadSpec!$H$28*(CZ28/$B43),".")</f>
        <v>0</v>
      </c>
      <c r="DA43" s="49">
        <f>IFERROR(s_RadSpec!$H$28*(DA28/$B43),".")</f>
        <v>0</v>
      </c>
      <c r="DB43" s="49">
        <f>IFERROR(s_RadSpec!$H$28*(DB28/$B43),".")</f>
        <v>0</v>
      </c>
    </row>
    <row r="44" spans="1:106" x14ac:dyDescent="0.25">
      <c r="A44" s="83" t="s">
        <v>1086</v>
      </c>
      <c r="B44" s="42">
        <v>0.99987999999999999</v>
      </c>
      <c r="C44" s="60">
        <f t="shared" ref="C44" si="83">IFERROR(C15/$B44,0)</f>
        <v>10505.928954448922</v>
      </c>
      <c r="D44" s="60">
        <f t="shared" ref="D44:AB44" si="84">IFERROR(D15/$B44,0)</f>
        <v>40365.120225412473</v>
      </c>
      <c r="E44" s="60">
        <f t="shared" si="84"/>
        <v>10145.244120825595</v>
      </c>
      <c r="F44" s="60">
        <f t="shared" si="84"/>
        <v>33283.52018586643</v>
      </c>
      <c r="G44" s="60">
        <f t="shared" si="84"/>
        <v>40365.120225412473</v>
      </c>
      <c r="H44" s="60">
        <f t="shared" si="84"/>
        <v>33283.52018586643</v>
      </c>
      <c r="I44" s="60">
        <f t="shared" si="84"/>
        <v>10145.244120825595</v>
      </c>
      <c r="J44" s="60">
        <f t="shared" si="84"/>
        <v>33283.52018586643</v>
      </c>
      <c r="K44" s="60">
        <f t="shared" si="84"/>
        <v>40365.120225412473</v>
      </c>
      <c r="L44" s="60">
        <f t="shared" si="84"/>
        <v>64529.27382974104</v>
      </c>
      <c r="M44" s="60">
        <f t="shared" si="84"/>
        <v>33283.52018586643</v>
      </c>
      <c r="N44" s="60">
        <f t="shared" si="84"/>
        <v>10145.244120825595</v>
      </c>
      <c r="O44" s="60">
        <f t="shared" si="84"/>
        <v>50456.400281765593</v>
      </c>
      <c r="P44" s="60">
        <f t="shared" si="84"/>
        <v>33283.52018586643</v>
      </c>
      <c r="Q44" s="60">
        <f t="shared" si="84"/>
        <v>33283.52018586643</v>
      </c>
      <c r="R44" s="60">
        <f t="shared" si="84"/>
        <v>40365.120225412473</v>
      </c>
      <c r="S44" s="60">
        <f t="shared" si="84"/>
        <v>40365.120225412473</v>
      </c>
      <c r="T44" s="60">
        <f t="shared" si="84"/>
        <v>50456.400281765593</v>
      </c>
      <c r="U44" s="60">
        <f t="shared" ref="U44" si="85">IFERROR(U15/$B44,0)</f>
        <v>33283.52018586643</v>
      </c>
      <c r="V44" s="60">
        <f t="shared" si="84"/>
        <v>63238.688353146215</v>
      </c>
      <c r="W44" s="60">
        <f t="shared" si="84"/>
        <v>33283.52018586643</v>
      </c>
      <c r="X44" s="60">
        <f t="shared" si="84"/>
        <v>50456.400281765593</v>
      </c>
      <c r="Y44" s="60">
        <f t="shared" si="84"/>
        <v>40365.120225412473</v>
      </c>
      <c r="Z44" s="60">
        <f t="shared" si="84"/>
        <v>33283.52018586643</v>
      </c>
      <c r="AA44" s="60">
        <f t="shared" si="84"/>
        <v>68787.550782972685</v>
      </c>
      <c r="AB44" s="60">
        <f t="shared" si="84"/>
        <v>38717.564297844619</v>
      </c>
      <c r="AC44" s="49">
        <f t="shared" si="1"/>
        <v>4.7603598289294713E-9</v>
      </c>
      <c r="AD44" s="49">
        <f>IFERROR(s_RadSpec!$H$15*(AD15/$B44),".")</f>
        <v>1.2389905413649638E-9</v>
      </c>
      <c r="AE44" s="49">
        <f>IFERROR(s_RadSpec!$H$15*(AE15/$B44),".")</f>
        <v>4.92960066457975E-9</v>
      </c>
      <c r="AF44" s="49">
        <f>IFERROR(s_RadSpec!$H$15*(AF15/$B44),".")</f>
        <v>1.50260555016602E-9</v>
      </c>
      <c r="AG44" s="49">
        <f>IFERROR(s_RadSpec!$H$15*(AG15/$B44),".")</f>
        <v>1.2389905413649638E-9</v>
      </c>
      <c r="AH44" s="49">
        <f>IFERROR(s_RadSpec!$H$15*(AH15/$B44),".")</f>
        <v>1.50260555016602E-9</v>
      </c>
      <c r="AI44" s="49">
        <f>IFERROR(s_RadSpec!$H$15*(AI15/$B44),".")</f>
        <v>4.92960066457975E-9</v>
      </c>
      <c r="AJ44" s="49">
        <f>IFERROR(s_RadSpec!$H$15*(AJ15/$B44),".")</f>
        <v>1.50260555016602E-9</v>
      </c>
      <c r="AK44" s="49">
        <f>IFERROR(s_RadSpec!$H$15*(AK15/$B44),".")</f>
        <v>1.2389905413649638E-9</v>
      </c>
      <c r="AL44" s="49">
        <f>IFERROR(s_RadSpec!$H$15*(AL15/$B44),".")</f>
        <v>7.7502812587510496E-10</v>
      </c>
      <c r="AM44" s="49">
        <f>IFERROR(s_RadSpec!$H$15*(AM15/$B44),".")</f>
        <v>1.50260555016602E-9</v>
      </c>
      <c r="AN44" s="49">
        <f>IFERROR(s_RadSpec!$H$15*(AN15/$B44),".")</f>
        <v>4.92960066457975E-9</v>
      </c>
      <c r="AO44" s="49">
        <f>IFERROR(s_RadSpec!$H$15*(AO15/$B44),".")</f>
        <v>9.9119243309197118E-10</v>
      </c>
      <c r="AP44" s="49">
        <f>IFERROR(s_RadSpec!$H$15*(AP15/$B44),".")</f>
        <v>1.50260555016602E-9</v>
      </c>
      <c r="AQ44" s="49">
        <f>IFERROR(s_RadSpec!$H$15*(AQ15/$B44),".")</f>
        <v>1.50260555016602E-9</v>
      </c>
      <c r="AR44" s="49">
        <f>IFERROR(s_RadSpec!$H$15*(AR15/$B44),".")</f>
        <v>1.2389905413649638E-9</v>
      </c>
      <c r="AS44" s="49">
        <f>IFERROR(s_RadSpec!$H$15*(AS15/$B44),".")</f>
        <v>1.2389905413649638E-9</v>
      </c>
      <c r="AT44" s="49">
        <f>IFERROR(s_RadSpec!$H$15*(AT15/$B44),".")</f>
        <v>9.9119243309197118E-10</v>
      </c>
      <c r="AU44" s="49">
        <f>IFERROR(s_RadSpec!$H$15*(AU15/$B44),".")</f>
        <v>1.50260555016602E-9</v>
      </c>
      <c r="AV44" s="49">
        <f>IFERROR(s_RadSpec!$H$15*(AV15/$B44),".")</f>
        <v>7.9084502640316837E-10</v>
      </c>
      <c r="AW44" s="49">
        <f>IFERROR(s_RadSpec!$H$15*(AW15/$B44),".")</f>
        <v>1.50260555016602E-9</v>
      </c>
      <c r="AX44" s="49">
        <f>IFERROR(s_RadSpec!$H$15*(AX15/$B44),".")</f>
        <v>9.9119243309197118E-10</v>
      </c>
      <c r="AY44" s="49">
        <f>IFERROR(s_RadSpec!$H$15*(AY15/$B44),".")</f>
        <v>1.2389905413649638E-9</v>
      </c>
      <c r="AZ44" s="49">
        <f>IFERROR(s_RadSpec!$H$15*(AZ15/$B44),".")</f>
        <v>1.50260555016602E-9</v>
      </c>
      <c r="BA44" s="49">
        <f>IFERROR(s_RadSpec!$H$15*(BA15/$B44),".")</f>
        <v>7.2705019427331276E-10</v>
      </c>
      <c r="BB44" s="49">
        <f>IFERROR(s_RadSpec!$H$15*(BB15/$B44),".")</f>
        <v>1.2917135431251749E-9</v>
      </c>
      <c r="BC44" s="60">
        <f t="shared" ref="BC44" si="86">IFERROR($B44/BC15,0)</f>
        <v>9.51843482223942E-5</v>
      </c>
      <c r="BD44" s="60">
        <f t="shared" ref="BD44:CB44" si="87">IFERROR($B44/BD15,0)</f>
        <v>2.4773864029529999E-5</v>
      </c>
      <c r="BE44" s="60">
        <f t="shared" si="87"/>
        <v>9.8568352628129993E-5</v>
      </c>
      <c r="BF44" s="60">
        <f t="shared" si="87"/>
        <v>3.0044898929429997E-5</v>
      </c>
      <c r="BG44" s="60">
        <f t="shared" si="87"/>
        <v>2.4773864029529999E-5</v>
      </c>
      <c r="BH44" s="60">
        <f t="shared" si="87"/>
        <v>3.0044898929429997E-5</v>
      </c>
      <c r="BI44" s="60">
        <f t="shared" si="87"/>
        <v>9.8568352628129993E-5</v>
      </c>
      <c r="BJ44" s="60">
        <f t="shared" si="87"/>
        <v>3.0044898929429997E-5</v>
      </c>
      <c r="BK44" s="60">
        <f t="shared" si="87"/>
        <v>2.4773864029529999E-5</v>
      </c>
      <c r="BL44" s="60">
        <f t="shared" si="87"/>
        <v>1.5496842605705998E-5</v>
      </c>
      <c r="BM44" s="60">
        <f t="shared" si="87"/>
        <v>3.0044898929429997E-5</v>
      </c>
      <c r="BN44" s="60">
        <f t="shared" si="87"/>
        <v>9.8568352628129993E-5</v>
      </c>
      <c r="BO44" s="60">
        <f t="shared" si="87"/>
        <v>1.9819091223624E-5</v>
      </c>
      <c r="BP44" s="60">
        <f t="shared" si="87"/>
        <v>3.0044898929429997E-5</v>
      </c>
      <c r="BQ44" s="60">
        <f t="shared" si="87"/>
        <v>3.0044898929429997E-5</v>
      </c>
      <c r="BR44" s="60">
        <f t="shared" si="87"/>
        <v>2.4773864029529999E-5</v>
      </c>
      <c r="BS44" s="60">
        <f t="shared" si="87"/>
        <v>2.4773864029529999E-5</v>
      </c>
      <c r="BT44" s="60">
        <f t="shared" si="87"/>
        <v>1.9819091223624E-5</v>
      </c>
      <c r="BU44" s="60">
        <f t="shared" ref="BU44" si="88">IFERROR($B44/BU15,0)</f>
        <v>3.0044898929429997E-5</v>
      </c>
      <c r="BV44" s="60">
        <f t="shared" si="87"/>
        <v>1.58131046997E-5</v>
      </c>
      <c r="BW44" s="60">
        <f t="shared" si="87"/>
        <v>3.0044898929429997E-5</v>
      </c>
      <c r="BX44" s="60">
        <f t="shared" si="87"/>
        <v>1.9819091223624E-5</v>
      </c>
      <c r="BY44" s="60">
        <f t="shared" si="87"/>
        <v>2.4773864029529999E-5</v>
      </c>
      <c r="BZ44" s="60">
        <f t="shared" si="87"/>
        <v>3.0044898929429997E-5</v>
      </c>
      <c r="CA44" s="60">
        <f t="shared" si="87"/>
        <v>1.4537514253924199E-5</v>
      </c>
      <c r="CB44" s="60">
        <f t="shared" si="87"/>
        <v>2.582807100951E-5</v>
      </c>
      <c r="CC44" s="49">
        <f t="shared" si="3"/>
        <v>4.7603598289294713E-9</v>
      </c>
      <c r="CD44" s="49">
        <f>IFERROR(s_RadSpec!$H$15*(CD15/$B44),".")</f>
        <v>1.2389905413649638E-9</v>
      </c>
      <c r="CE44" s="49">
        <f>IFERROR(s_RadSpec!$H$15*(CE15/$B44),".")</f>
        <v>4.92960066457975E-9</v>
      </c>
      <c r="CF44" s="49">
        <f>IFERROR(s_RadSpec!$H$15*(CF15/$B44),".")</f>
        <v>1.50260555016602E-9</v>
      </c>
      <c r="CG44" s="49">
        <f>IFERROR(s_RadSpec!$H$15*(CG15/$B44),".")</f>
        <v>1.2389905413649638E-9</v>
      </c>
      <c r="CH44" s="49">
        <f>IFERROR(s_RadSpec!$H$15*(CH15/$B44),".")</f>
        <v>1.50260555016602E-9</v>
      </c>
      <c r="CI44" s="49">
        <f>IFERROR(s_RadSpec!$H$15*(CI15/$B44),".")</f>
        <v>4.92960066457975E-9</v>
      </c>
      <c r="CJ44" s="49">
        <f>IFERROR(s_RadSpec!$H$15*(CJ15/$B44),".")</f>
        <v>1.50260555016602E-9</v>
      </c>
      <c r="CK44" s="49">
        <f>IFERROR(s_RadSpec!$H$15*(CK15/$B44),".")</f>
        <v>1.2389905413649638E-9</v>
      </c>
      <c r="CL44" s="49">
        <f>IFERROR(s_RadSpec!$H$15*(CL15/$B44),".")</f>
        <v>7.7502812587510496E-10</v>
      </c>
      <c r="CM44" s="49">
        <f>IFERROR(s_RadSpec!$H$15*(CM15/$B44),".")</f>
        <v>1.50260555016602E-9</v>
      </c>
      <c r="CN44" s="49">
        <f>IFERROR(s_RadSpec!$H$15*(CN15/$B44),".")</f>
        <v>4.92960066457975E-9</v>
      </c>
      <c r="CO44" s="49">
        <f>IFERROR(s_RadSpec!$H$15*(CO15/$B44),".")</f>
        <v>9.9119243309197118E-10</v>
      </c>
      <c r="CP44" s="49">
        <f>IFERROR(s_RadSpec!$H$15*(CP15/$B44),".")</f>
        <v>1.50260555016602E-9</v>
      </c>
      <c r="CQ44" s="49">
        <f>IFERROR(s_RadSpec!$H$15*(CQ15/$B44),".")</f>
        <v>1.50260555016602E-9</v>
      </c>
      <c r="CR44" s="49">
        <f>IFERROR(s_RadSpec!$H$15*(CR15/$B44),".")</f>
        <v>1.2389905413649638E-9</v>
      </c>
      <c r="CS44" s="49">
        <f>IFERROR(s_RadSpec!$H$15*(CS15/$B44),".")</f>
        <v>1.2389905413649638E-9</v>
      </c>
      <c r="CT44" s="49">
        <f>IFERROR(s_RadSpec!$H$15*(CT15/$B44),".")</f>
        <v>9.9119243309197118E-10</v>
      </c>
      <c r="CU44" s="49">
        <f>IFERROR(s_RadSpec!$H$15*(CU15/$B44),".")</f>
        <v>1.50260555016602E-9</v>
      </c>
      <c r="CV44" s="49">
        <f>IFERROR(s_RadSpec!$H$15*(CV15/$B44),".")</f>
        <v>7.9084502640316837E-10</v>
      </c>
      <c r="CW44" s="49">
        <f>IFERROR(s_RadSpec!$H$15*(CW15/$B44),".")</f>
        <v>1.50260555016602E-9</v>
      </c>
      <c r="CX44" s="49">
        <f>IFERROR(s_RadSpec!$H$15*(CX15/$B44),".")</f>
        <v>9.9119243309197118E-10</v>
      </c>
      <c r="CY44" s="49">
        <f>IFERROR(s_RadSpec!$H$15*(CY15/$B44),".")</f>
        <v>1.2389905413649638E-9</v>
      </c>
      <c r="CZ44" s="49">
        <f>IFERROR(s_RadSpec!$H$15*(CZ15/$B44),".")</f>
        <v>1.50260555016602E-9</v>
      </c>
      <c r="DA44" s="49">
        <f>IFERROR(s_RadSpec!$H$15*(DA15/$B44),".")</f>
        <v>7.2705019427331276E-10</v>
      </c>
      <c r="DB44" s="49">
        <f>IFERROR(s_RadSpec!$H$15*(DB15/$B44),".")</f>
        <v>1.2917135431251749E-9</v>
      </c>
    </row>
    <row r="45" spans="1:106" x14ac:dyDescent="0.25">
      <c r="A45" s="82" t="s">
        <v>20</v>
      </c>
      <c r="B45" s="82" t="s">
        <v>1071</v>
      </c>
      <c r="C45" s="58">
        <f t="shared" ref="C45" si="89">IFERROR(IF(AND(C46&lt;&gt;0,C47&lt;&gt;0),1/SUM(1/C46,1/C47),IF(AND(C46&lt;&gt;0,C47=0),1/(1/C46),IF(AND(C46=0,C47&lt;&gt;0),1/(1/C47),IF(AND(C46=0,C47=0),".")))),".")</f>
        <v>80.033415855915152</v>
      </c>
      <c r="D45" s="58">
        <f t="shared" ref="D45:AB45" si="90">IFERROR(IF(AND(D46&lt;&gt;0,D47&lt;&gt;0),1/SUM(1/D46,1/D47),IF(AND(D46&lt;&gt;0,D47=0),1/(1/D46),IF(AND(D46=0,D47&lt;&gt;0),1/(1/D47),IF(AND(D46=0,D47=0),".")))),".")</f>
        <v>458.34681111680322</v>
      </c>
      <c r="E45" s="58">
        <f t="shared" si="90"/>
        <v>120.35501298713336</v>
      </c>
      <c r="F45" s="58">
        <f t="shared" si="90"/>
        <v>159.38907125323067</v>
      </c>
      <c r="G45" s="58">
        <f t="shared" si="90"/>
        <v>567.05727272783986</v>
      </c>
      <c r="H45" s="58">
        <f t="shared" si="90"/>
        <v>256.40850592911016</v>
      </c>
      <c r="I45" s="58">
        <f t="shared" si="90"/>
        <v>120.35501298713336</v>
      </c>
      <c r="J45" s="58">
        <f t="shared" si="90"/>
        <v>159.38907125323067</v>
      </c>
      <c r="K45" s="58">
        <f t="shared" si="90"/>
        <v>458.34681111680322</v>
      </c>
      <c r="L45" s="58">
        <f t="shared" si="90"/>
        <v>190.23856891514626</v>
      </c>
      <c r="M45" s="58">
        <f t="shared" si="90"/>
        <v>256.40850592911016</v>
      </c>
      <c r="N45" s="58">
        <f t="shared" si="90"/>
        <v>120.35501298713336</v>
      </c>
      <c r="O45" s="58">
        <f t="shared" si="90"/>
        <v>165.34754120662245</v>
      </c>
      <c r="P45" s="58">
        <f t="shared" si="90"/>
        <v>256.40850592911016</v>
      </c>
      <c r="Q45" s="58">
        <f t="shared" si="90"/>
        <v>159.38907125323067</v>
      </c>
      <c r="R45" s="58">
        <f t="shared" si="90"/>
        <v>458.34681111680322</v>
      </c>
      <c r="S45" s="58">
        <f t="shared" si="90"/>
        <v>458.34681111680322</v>
      </c>
      <c r="T45" s="58">
        <f t="shared" si="90"/>
        <v>165.34754120662245</v>
      </c>
      <c r="U45" s="58">
        <f t="shared" ref="U45" si="91">IFERROR(IF(AND(U46&lt;&gt;0,U47&lt;&gt;0),1/SUM(1/U46,1/U47),IF(AND(U46&lt;&gt;0,U47=0),1/(1/U46),IF(AND(U46=0,U47&lt;&gt;0),1/(1/U47),IF(AND(U46=0,U47=0),".")))),".")</f>
        <v>256.40850592911016</v>
      </c>
      <c r="V45" s="58">
        <f t="shared" si="90"/>
        <v>127.28192020941438</v>
      </c>
      <c r="W45" s="58">
        <f t="shared" si="90"/>
        <v>256.40850592911016</v>
      </c>
      <c r="X45" s="58">
        <f t="shared" si="90"/>
        <v>165.34754120662245</v>
      </c>
      <c r="Y45" s="58">
        <f t="shared" si="90"/>
        <v>539.39594235087213</v>
      </c>
      <c r="Z45" s="58">
        <f t="shared" si="90"/>
        <v>256.40850592911016</v>
      </c>
      <c r="AA45" s="58">
        <f t="shared" si="90"/>
        <v>621.65098064331005</v>
      </c>
      <c r="AB45" s="58">
        <f t="shared" si="90"/>
        <v>208.14337540127767</v>
      </c>
      <c r="AC45" s="47">
        <f t="shared" si="1"/>
        <v>6.247390476250001E-7</v>
      </c>
      <c r="AD45" s="47">
        <f t="shared" ref="AD45:BA45" si="92">IFERROR(IF(SUM(AD46:AD47)&gt;0.01,1-EXP(-(SUM(AD46:AD47))),SUM(AD46:AD47)),".")</f>
        <v>1.0908770124999999E-7</v>
      </c>
      <c r="AE45" s="47">
        <f t="shared" si="92"/>
        <v>4.1543761875000004E-7</v>
      </c>
      <c r="AF45" s="47">
        <f t="shared" si="92"/>
        <v>3.1369779375000003E-7</v>
      </c>
      <c r="AG45" s="47">
        <f t="shared" si="92"/>
        <v>8.8174515000000008E-8</v>
      </c>
      <c r="AH45" s="47">
        <f t="shared" si="92"/>
        <v>1.9500133125000002E-7</v>
      </c>
      <c r="AI45" s="47">
        <f t="shared" si="92"/>
        <v>4.1543761875000004E-7</v>
      </c>
      <c r="AJ45" s="47">
        <f t="shared" si="92"/>
        <v>3.1369779375000003E-7</v>
      </c>
      <c r="AK45" s="47">
        <f t="shared" si="92"/>
        <v>1.0908770124999999E-7</v>
      </c>
      <c r="AL45" s="47">
        <f t="shared" si="92"/>
        <v>2.6282788125E-7</v>
      </c>
      <c r="AM45" s="47">
        <f t="shared" si="92"/>
        <v>1.9500133125000002E-7</v>
      </c>
      <c r="AN45" s="47">
        <f t="shared" si="92"/>
        <v>4.1543761875000004E-7</v>
      </c>
      <c r="AO45" s="47">
        <f t="shared" si="92"/>
        <v>3.0239336875000007E-7</v>
      </c>
      <c r="AP45" s="47">
        <f t="shared" si="92"/>
        <v>1.9500133125000002E-7</v>
      </c>
      <c r="AQ45" s="47">
        <f t="shared" si="92"/>
        <v>3.1369779375000003E-7</v>
      </c>
      <c r="AR45" s="47">
        <f t="shared" si="92"/>
        <v>1.0908770124999999E-7</v>
      </c>
      <c r="AS45" s="47">
        <f t="shared" si="92"/>
        <v>1.0908770124999999E-7</v>
      </c>
      <c r="AT45" s="47">
        <f t="shared" si="92"/>
        <v>3.0239336875000007E-7</v>
      </c>
      <c r="AU45" s="47">
        <f t="shared" ref="AU45" si="93">IFERROR(IF(SUM(AU46:AU47)&gt;0.01,1-EXP(-(SUM(AU46:AU47))),SUM(AU46:AU47)),".")</f>
        <v>1.9500133125000002E-7</v>
      </c>
      <c r="AV45" s="47">
        <f t="shared" si="92"/>
        <v>3.9282876875000012E-7</v>
      </c>
      <c r="AW45" s="47">
        <f t="shared" si="92"/>
        <v>1.9500133125000002E-7</v>
      </c>
      <c r="AX45" s="47">
        <f t="shared" si="92"/>
        <v>3.0239336875000007E-7</v>
      </c>
      <c r="AY45" s="47">
        <f t="shared" si="92"/>
        <v>9.2696284999999987E-8</v>
      </c>
      <c r="AZ45" s="47">
        <f t="shared" si="92"/>
        <v>1.9500133125000002E-7</v>
      </c>
      <c r="BA45" s="47">
        <f t="shared" si="92"/>
        <v>8.0430983875000008E-8</v>
      </c>
      <c r="BB45" s="47">
        <f>IFERROR(IF(SUM(BB46:BB47)&gt;0.01,1-EXP(-(SUM(BB46:BB47))),SUM(BB46:BB47)),".")</f>
        <v>2.4021903125000008E-7</v>
      </c>
      <c r="BC45" s="58">
        <f>IFERROR(1/SUM(BC46:BC47),".")</f>
        <v>80.033415855915152</v>
      </c>
      <c r="BD45" s="58">
        <f>IFERROR(1/SUM(BD46:BD47),".")</f>
        <v>458.34681111680322</v>
      </c>
      <c r="BE45" s="58">
        <f t="shared" ref="BE45:CB45" si="94">IFERROR(1/SUM(BE46:BE47),".")</f>
        <v>120.35501298713336</v>
      </c>
      <c r="BF45" s="58">
        <f t="shared" si="94"/>
        <v>159.38907125323067</v>
      </c>
      <c r="BG45" s="58">
        <f t="shared" si="94"/>
        <v>567.05727272783986</v>
      </c>
      <c r="BH45" s="58">
        <f t="shared" si="94"/>
        <v>256.40850592911016</v>
      </c>
      <c r="BI45" s="58">
        <f t="shared" si="94"/>
        <v>120.35501298713336</v>
      </c>
      <c r="BJ45" s="58">
        <f t="shared" si="94"/>
        <v>159.38907125323067</v>
      </c>
      <c r="BK45" s="58">
        <f t="shared" si="94"/>
        <v>458.34681111680322</v>
      </c>
      <c r="BL45" s="58">
        <f t="shared" si="94"/>
        <v>190.23856891514626</v>
      </c>
      <c r="BM45" s="58">
        <f t="shared" si="94"/>
        <v>256.40850592911016</v>
      </c>
      <c r="BN45" s="58">
        <f t="shared" si="94"/>
        <v>120.35501298713336</v>
      </c>
      <c r="BO45" s="58">
        <f t="shared" si="94"/>
        <v>165.34754120662245</v>
      </c>
      <c r="BP45" s="58">
        <f t="shared" si="94"/>
        <v>256.40850592911016</v>
      </c>
      <c r="BQ45" s="58">
        <f t="shared" si="94"/>
        <v>159.38907125323067</v>
      </c>
      <c r="BR45" s="58">
        <f t="shared" si="94"/>
        <v>458.34681111680322</v>
      </c>
      <c r="BS45" s="58">
        <f t="shared" si="94"/>
        <v>458.34681111680322</v>
      </c>
      <c r="BT45" s="58">
        <f t="shared" si="94"/>
        <v>165.34754120662245</v>
      </c>
      <c r="BU45" s="58">
        <f t="shared" ref="BU45" si="95">IFERROR(1/SUM(BU46:BU47),".")</f>
        <v>256.40850592911016</v>
      </c>
      <c r="BV45" s="58">
        <f t="shared" si="94"/>
        <v>127.28192020941438</v>
      </c>
      <c r="BW45" s="58">
        <f t="shared" si="94"/>
        <v>256.40850592911016</v>
      </c>
      <c r="BX45" s="58">
        <f t="shared" si="94"/>
        <v>165.34754120662245</v>
      </c>
      <c r="BY45" s="58">
        <f t="shared" si="94"/>
        <v>539.39594235087213</v>
      </c>
      <c r="BZ45" s="58">
        <f t="shared" si="94"/>
        <v>256.40850592911016</v>
      </c>
      <c r="CA45" s="58">
        <f t="shared" si="94"/>
        <v>621.65098064331005</v>
      </c>
      <c r="CB45" s="58">
        <f t="shared" si="94"/>
        <v>208.14337540127767</v>
      </c>
      <c r="CC45" s="47">
        <f t="shared" si="3"/>
        <v>6.247390476250001E-7</v>
      </c>
      <c r="CD45" s="47">
        <f t="shared" ref="CD45:CZ45" si="96">IFERROR(IF(SUM(CD46:CD47)&gt;0.01,1-EXP(-(SUM(CD46:CD47))),SUM(CD46:CD47)),".")</f>
        <v>1.0908770124999999E-7</v>
      </c>
      <c r="CE45" s="47">
        <f t="shared" si="96"/>
        <v>4.1543761875000004E-7</v>
      </c>
      <c r="CF45" s="47">
        <f t="shared" si="96"/>
        <v>3.1369779375000003E-7</v>
      </c>
      <c r="CG45" s="47">
        <f t="shared" si="96"/>
        <v>8.8174515000000008E-8</v>
      </c>
      <c r="CH45" s="47">
        <f t="shared" si="96"/>
        <v>1.9500133125000002E-7</v>
      </c>
      <c r="CI45" s="47">
        <f t="shared" si="96"/>
        <v>4.1543761875000004E-7</v>
      </c>
      <c r="CJ45" s="47">
        <f t="shared" si="96"/>
        <v>3.1369779375000003E-7</v>
      </c>
      <c r="CK45" s="47">
        <f t="shared" si="96"/>
        <v>1.0908770124999999E-7</v>
      </c>
      <c r="CL45" s="47">
        <f t="shared" si="96"/>
        <v>2.6282788125E-7</v>
      </c>
      <c r="CM45" s="47">
        <f t="shared" si="96"/>
        <v>1.9500133125000002E-7</v>
      </c>
      <c r="CN45" s="47">
        <f t="shared" si="96"/>
        <v>4.1543761875000004E-7</v>
      </c>
      <c r="CO45" s="47">
        <f t="shared" si="96"/>
        <v>3.0239336875000007E-7</v>
      </c>
      <c r="CP45" s="47">
        <f t="shared" si="96"/>
        <v>1.9500133125000002E-7</v>
      </c>
      <c r="CQ45" s="47">
        <f t="shared" si="96"/>
        <v>3.1369779375000003E-7</v>
      </c>
      <c r="CR45" s="47">
        <f t="shared" si="96"/>
        <v>1.0908770124999999E-7</v>
      </c>
      <c r="CS45" s="47">
        <f t="shared" si="96"/>
        <v>1.0908770124999999E-7</v>
      </c>
      <c r="CT45" s="47">
        <f t="shared" si="96"/>
        <v>3.0239336875000007E-7</v>
      </c>
      <c r="CU45" s="47">
        <f t="shared" ref="CU45" si="97">IFERROR(IF(SUM(CU46:CU47)&gt;0.01,1-EXP(-(SUM(CU46:CU47))),SUM(CU46:CU47)),".")</f>
        <v>1.9500133125000002E-7</v>
      </c>
      <c r="CV45" s="47">
        <f t="shared" si="96"/>
        <v>3.9282876875000012E-7</v>
      </c>
      <c r="CW45" s="47">
        <f t="shared" si="96"/>
        <v>1.9500133125000002E-7</v>
      </c>
      <c r="CX45" s="47">
        <f t="shared" si="96"/>
        <v>3.0239336875000007E-7</v>
      </c>
      <c r="CY45" s="47">
        <f t="shared" si="96"/>
        <v>9.2696284999999987E-8</v>
      </c>
      <c r="CZ45" s="47">
        <f t="shared" si="96"/>
        <v>1.9500133125000002E-7</v>
      </c>
      <c r="DA45" s="47">
        <f>IFERROR(IF(SUM(DA46:DA47)&gt;0.01,1-EXP(-(SUM(DA46:DA47))),SUM(DA46:DA47)),".")</f>
        <v>8.0430983875000008E-8</v>
      </c>
      <c r="DB45" s="47">
        <f>IFERROR(IF(SUM(DB46:DB47)&gt;0.01,1-EXP(-(SUM(DB46:DB47))),SUM(DB46:DB47)),".")</f>
        <v>2.4021903125000008E-7</v>
      </c>
    </row>
    <row r="46" spans="1:106" x14ac:dyDescent="0.25">
      <c r="A46" s="83" t="s">
        <v>1098</v>
      </c>
      <c r="B46" s="42">
        <v>1</v>
      </c>
      <c r="C46" s="60">
        <f t="shared" ref="C46" si="98">IFERROR(C10/$B46,0)</f>
        <v>80.033415855915152</v>
      </c>
      <c r="D46" s="60">
        <f t="shared" ref="D46:AB46" si="99">IFERROR(D10/$B46,0)</f>
        <v>458.34681111680322</v>
      </c>
      <c r="E46" s="60">
        <f t="shared" si="99"/>
        <v>120.35501298713336</v>
      </c>
      <c r="F46" s="60">
        <f t="shared" si="99"/>
        <v>159.38907125323067</v>
      </c>
      <c r="G46" s="60">
        <f t="shared" si="99"/>
        <v>567.05727272783986</v>
      </c>
      <c r="H46" s="60">
        <f t="shared" si="99"/>
        <v>256.40850592911016</v>
      </c>
      <c r="I46" s="60">
        <f t="shared" si="99"/>
        <v>120.35501298713336</v>
      </c>
      <c r="J46" s="60">
        <f t="shared" si="99"/>
        <v>159.38907125323067</v>
      </c>
      <c r="K46" s="60">
        <f t="shared" si="99"/>
        <v>458.34681111680322</v>
      </c>
      <c r="L46" s="60">
        <f t="shared" si="99"/>
        <v>190.23856891514626</v>
      </c>
      <c r="M46" s="60">
        <f t="shared" si="99"/>
        <v>256.40850592911016</v>
      </c>
      <c r="N46" s="60">
        <f t="shared" si="99"/>
        <v>120.35501298713336</v>
      </c>
      <c r="O46" s="60">
        <f t="shared" si="99"/>
        <v>165.34754120662245</v>
      </c>
      <c r="P46" s="60">
        <f t="shared" si="99"/>
        <v>256.40850592911016</v>
      </c>
      <c r="Q46" s="60">
        <f t="shared" si="99"/>
        <v>159.38907125323067</v>
      </c>
      <c r="R46" s="60">
        <f t="shared" si="99"/>
        <v>458.34681111680322</v>
      </c>
      <c r="S46" s="60">
        <f t="shared" si="99"/>
        <v>458.34681111680322</v>
      </c>
      <c r="T46" s="60">
        <f t="shared" si="99"/>
        <v>165.34754120662245</v>
      </c>
      <c r="U46" s="60">
        <f t="shared" ref="U46" si="100">IFERROR(U10/$B46,0)</f>
        <v>256.40850592911016</v>
      </c>
      <c r="V46" s="60">
        <f t="shared" si="99"/>
        <v>127.28192020941439</v>
      </c>
      <c r="W46" s="60">
        <f t="shared" si="99"/>
        <v>256.40850592911016</v>
      </c>
      <c r="X46" s="60">
        <f t="shared" si="99"/>
        <v>165.34754120662245</v>
      </c>
      <c r="Y46" s="60">
        <f t="shared" si="99"/>
        <v>539.39594235087213</v>
      </c>
      <c r="Z46" s="60">
        <f t="shared" si="99"/>
        <v>256.40850592911016</v>
      </c>
      <c r="AA46" s="60">
        <f t="shared" si="99"/>
        <v>621.65098064331005</v>
      </c>
      <c r="AB46" s="60">
        <f t="shared" si="99"/>
        <v>208.14337540127767</v>
      </c>
      <c r="AC46" s="49">
        <f t="shared" si="1"/>
        <v>6.247390476250001E-7</v>
      </c>
      <c r="AD46" s="49">
        <f>IFERROR(s_RadSpec!$H$10*(AD10/$B46),".")</f>
        <v>1.0908770124999999E-7</v>
      </c>
      <c r="AE46" s="49">
        <f>IFERROR(s_RadSpec!$H$10*(AE10/$B46),".")</f>
        <v>4.1543761875000004E-7</v>
      </c>
      <c r="AF46" s="49">
        <f>IFERROR(s_RadSpec!$H$10*(AF10/$B46),".")</f>
        <v>3.1369779375000003E-7</v>
      </c>
      <c r="AG46" s="49">
        <f>IFERROR(s_RadSpec!$H$10*(AG10/$B46),".")</f>
        <v>8.8174515000000008E-8</v>
      </c>
      <c r="AH46" s="49">
        <f>IFERROR(s_RadSpec!$H$10*(AH10/$B46),".")</f>
        <v>1.9500133125000002E-7</v>
      </c>
      <c r="AI46" s="49">
        <f>IFERROR(s_RadSpec!$H$10*(AI10/$B46),".")</f>
        <v>4.1543761875000004E-7</v>
      </c>
      <c r="AJ46" s="49">
        <f>IFERROR(s_RadSpec!$H$10*(AJ10/$B46),".")</f>
        <v>3.1369779375000003E-7</v>
      </c>
      <c r="AK46" s="49">
        <f>IFERROR(s_RadSpec!$H$10*(AK10/$B46),".")</f>
        <v>1.0908770124999999E-7</v>
      </c>
      <c r="AL46" s="49">
        <f>IFERROR(s_RadSpec!$H$10*(AL10/$B46),".")</f>
        <v>2.6282788125E-7</v>
      </c>
      <c r="AM46" s="49">
        <f>IFERROR(s_RadSpec!$H$10*(AM10/$B46),".")</f>
        <v>1.9500133125000002E-7</v>
      </c>
      <c r="AN46" s="49">
        <f>IFERROR(s_RadSpec!$H$10*(AN10/$B46),".")</f>
        <v>4.1543761875000004E-7</v>
      </c>
      <c r="AO46" s="49">
        <f>IFERROR(s_RadSpec!$H$10*(AO10/$B46),".")</f>
        <v>3.0239336875000007E-7</v>
      </c>
      <c r="AP46" s="49">
        <f>IFERROR(s_RadSpec!$H$10*(AP10/$B46),".")</f>
        <v>1.9500133125000002E-7</v>
      </c>
      <c r="AQ46" s="49">
        <f>IFERROR(s_RadSpec!$H$10*(AQ10/$B46),".")</f>
        <v>3.1369779375000003E-7</v>
      </c>
      <c r="AR46" s="49">
        <f>IFERROR(s_RadSpec!$H$10*(AR10/$B46),".")</f>
        <v>1.0908770124999999E-7</v>
      </c>
      <c r="AS46" s="49">
        <f>IFERROR(s_RadSpec!$H$10*(AS10/$B46),".")</f>
        <v>1.0908770124999999E-7</v>
      </c>
      <c r="AT46" s="49">
        <f>IFERROR(s_RadSpec!$H$10*(AT10/$B46),".")</f>
        <v>3.0239336875000007E-7</v>
      </c>
      <c r="AU46" s="49">
        <f>IFERROR(s_RadSpec!$H$10*(AU10/$B46),".")</f>
        <v>1.9500133125000002E-7</v>
      </c>
      <c r="AV46" s="49">
        <f>IFERROR(s_RadSpec!$H$10*(AV10/$B46),".")</f>
        <v>3.9282876875000012E-7</v>
      </c>
      <c r="AW46" s="49">
        <f>IFERROR(s_RadSpec!$H$10*(AW10/$B46),".")</f>
        <v>1.9500133125000002E-7</v>
      </c>
      <c r="AX46" s="49">
        <f>IFERROR(s_RadSpec!$H$10*(AX10/$B46),".")</f>
        <v>3.0239336875000007E-7</v>
      </c>
      <c r="AY46" s="49">
        <f>IFERROR(s_RadSpec!$H$10*(AY10/$B46),".")</f>
        <v>9.2696284999999987E-8</v>
      </c>
      <c r="AZ46" s="49">
        <f>IFERROR(s_RadSpec!$H$10*(AZ10/$B46),".")</f>
        <v>1.9500133125000002E-7</v>
      </c>
      <c r="BA46" s="49">
        <f>IFERROR(s_RadSpec!$H$10*(BA10/$B46),".")</f>
        <v>8.0430983875000008E-8</v>
      </c>
      <c r="BB46" s="49">
        <f>IFERROR(s_RadSpec!$H$10*(BB10/$B46),".")</f>
        <v>2.4021903125000008E-7</v>
      </c>
      <c r="BC46" s="60">
        <f t="shared" ref="BC46" si="101">IFERROR($B46/BC10,0)</f>
        <v>1.2494780952499998E-2</v>
      </c>
      <c r="BD46" s="60">
        <f t="shared" ref="BD46:CB46" si="102">IFERROR($B46/BD10,0)</f>
        <v>2.1817540249999996E-3</v>
      </c>
      <c r="BE46" s="60">
        <f t="shared" si="102"/>
        <v>8.3087523749999989E-3</v>
      </c>
      <c r="BF46" s="60">
        <f t="shared" si="102"/>
        <v>6.273955874999999E-3</v>
      </c>
      <c r="BG46" s="60">
        <f t="shared" si="102"/>
        <v>1.7634902999999998E-3</v>
      </c>
      <c r="BH46" s="60">
        <f t="shared" si="102"/>
        <v>3.9000266250000001E-3</v>
      </c>
      <c r="BI46" s="60">
        <f t="shared" si="102"/>
        <v>8.3087523749999989E-3</v>
      </c>
      <c r="BJ46" s="60">
        <f t="shared" si="102"/>
        <v>6.273955874999999E-3</v>
      </c>
      <c r="BK46" s="60">
        <f t="shared" si="102"/>
        <v>2.1817540249999996E-3</v>
      </c>
      <c r="BL46" s="60">
        <f t="shared" si="102"/>
        <v>5.2565576249999999E-3</v>
      </c>
      <c r="BM46" s="60">
        <f t="shared" si="102"/>
        <v>3.9000266250000001E-3</v>
      </c>
      <c r="BN46" s="60">
        <f t="shared" si="102"/>
        <v>8.3087523749999989E-3</v>
      </c>
      <c r="BO46" s="60">
        <f t="shared" si="102"/>
        <v>6.047867375E-3</v>
      </c>
      <c r="BP46" s="60">
        <f t="shared" si="102"/>
        <v>3.9000266250000001E-3</v>
      </c>
      <c r="BQ46" s="60">
        <f t="shared" si="102"/>
        <v>6.273955874999999E-3</v>
      </c>
      <c r="BR46" s="60">
        <f t="shared" si="102"/>
        <v>2.1817540249999996E-3</v>
      </c>
      <c r="BS46" s="60">
        <f t="shared" si="102"/>
        <v>2.1817540249999996E-3</v>
      </c>
      <c r="BT46" s="60">
        <f t="shared" si="102"/>
        <v>6.047867375E-3</v>
      </c>
      <c r="BU46" s="60">
        <f t="shared" ref="BU46" si="103">IFERROR($B46/BU10,0)</f>
        <v>3.9000266250000001E-3</v>
      </c>
      <c r="BV46" s="60">
        <f t="shared" si="102"/>
        <v>7.8565753750000009E-3</v>
      </c>
      <c r="BW46" s="60">
        <f t="shared" si="102"/>
        <v>3.9000266250000001E-3</v>
      </c>
      <c r="BX46" s="60">
        <f t="shared" si="102"/>
        <v>6.047867375E-3</v>
      </c>
      <c r="BY46" s="60">
        <f t="shared" si="102"/>
        <v>1.8539256999999996E-3</v>
      </c>
      <c r="BZ46" s="60">
        <f t="shared" si="102"/>
        <v>3.9000266250000001E-3</v>
      </c>
      <c r="CA46" s="60">
        <f t="shared" si="102"/>
        <v>1.6086196774999998E-3</v>
      </c>
      <c r="CB46" s="60">
        <f t="shared" si="102"/>
        <v>4.8043806250000001E-3</v>
      </c>
      <c r="CC46" s="49">
        <f t="shared" si="3"/>
        <v>6.247390476250001E-7</v>
      </c>
      <c r="CD46" s="49">
        <f>IFERROR(s_RadSpec!$H$10*(CD10/$B46),".")</f>
        <v>1.0908770124999999E-7</v>
      </c>
      <c r="CE46" s="49">
        <f>IFERROR(s_RadSpec!$H$10*(CE10/$B46),".")</f>
        <v>4.1543761875000004E-7</v>
      </c>
      <c r="CF46" s="49">
        <f>IFERROR(s_RadSpec!$H$10*(CF10/$B46),".")</f>
        <v>3.1369779375000003E-7</v>
      </c>
      <c r="CG46" s="49">
        <f>IFERROR(s_RadSpec!$H$10*(CG10/$B46),".")</f>
        <v>8.8174515000000008E-8</v>
      </c>
      <c r="CH46" s="49">
        <f>IFERROR(s_RadSpec!$H$10*(CH10/$B46),".")</f>
        <v>1.9500133125000002E-7</v>
      </c>
      <c r="CI46" s="49">
        <f>IFERROR(s_RadSpec!$H$10*(CI10/$B46),".")</f>
        <v>4.1543761875000004E-7</v>
      </c>
      <c r="CJ46" s="49">
        <f>IFERROR(s_RadSpec!$H$10*(CJ10/$B46),".")</f>
        <v>3.1369779375000003E-7</v>
      </c>
      <c r="CK46" s="49">
        <f>IFERROR(s_RadSpec!$H$10*(CK10/$B46),".")</f>
        <v>1.0908770124999999E-7</v>
      </c>
      <c r="CL46" s="49">
        <f>IFERROR(s_RadSpec!$H$10*(CL10/$B46),".")</f>
        <v>2.6282788125E-7</v>
      </c>
      <c r="CM46" s="49">
        <f>IFERROR(s_RadSpec!$H$10*(CM10/$B46),".")</f>
        <v>1.9500133125000002E-7</v>
      </c>
      <c r="CN46" s="49">
        <f>IFERROR(s_RadSpec!$H$10*(CN10/$B46),".")</f>
        <v>4.1543761875000004E-7</v>
      </c>
      <c r="CO46" s="49">
        <f>IFERROR(s_RadSpec!$H$10*(CO10/$B46),".")</f>
        <v>3.0239336875000007E-7</v>
      </c>
      <c r="CP46" s="49">
        <f>IFERROR(s_RadSpec!$H$10*(CP10/$B46),".")</f>
        <v>1.9500133125000002E-7</v>
      </c>
      <c r="CQ46" s="49">
        <f>IFERROR(s_RadSpec!$H$10*(CQ10/$B46),".")</f>
        <v>3.1369779375000003E-7</v>
      </c>
      <c r="CR46" s="49">
        <f>IFERROR(s_RadSpec!$H$10*(CR10/$B46),".")</f>
        <v>1.0908770124999999E-7</v>
      </c>
      <c r="CS46" s="49">
        <f>IFERROR(s_RadSpec!$H$10*(CS10/$B46),".")</f>
        <v>1.0908770124999999E-7</v>
      </c>
      <c r="CT46" s="49">
        <f>IFERROR(s_RadSpec!$H$10*(CT10/$B46),".")</f>
        <v>3.0239336875000007E-7</v>
      </c>
      <c r="CU46" s="49">
        <f>IFERROR(s_RadSpec!$H$10*(CU10/$B46),".")</f>
        <v>1.9500133125000002E-7</v>
      </c>
      <c r="CV46" s="49">
        <f>IFERROR(s_RadSpec!$H$10*(CV10/$B46),".")</f>
        <v>3.9282876875000012E-7</v>
      </c>
      <c r="CW46" s="49">
        <f>IFERROR(s_RadSpec!$H$10*(CW10/$B46),".")</f>
        <v>1.9500133125000002E-7</v>
      </c>
      <c r="CX46" s="49">
        <f>IFERROR(s_RadSpec!$H$10*(CX10/$B46),".")</f>
        <v>3.0239336875000007E-7</v>
      </c>
      <c r="CY46" s="49">
        <f>IFERROR(s_RadSpec!$H$10*(CY10/$B46),".")</f>
        <v>9.2696284999999987E-8</v>
      </c>
      <c r="CZ46" s="49">
        <f>IFERROR(s_RadSpec!$H$10*(CZ10/$B46),".")</f>
        <v>1.9500133125000002E-7</v>
      </c>
      <c r="DA46" s="49">
        <f>IFERROR(s_RadSpec!$H$10*(DA10/$B46),".")</f>
        <v>8.0430983875000008E-8</v>
      </c>
      <c r="DB46" s="49">
        <f>IFERROR(s_RadSpec!$H$10*(DB10/$B46),".")</f>
        <v>2.4021903125000008E-7</v>
      </c>
    </row>
    <row r="47" spans="1:106" x14ac:dyDescent="0.25">
      <c r="A47" s="83" t="s">
        <v>1072</v>
      </c>
      <c r="B47" s="85">
        <v>0.94399</v>
      </c>
      <c r="C47" s="60">
        <f t="shared" ref="C47" si="104">IFERROR(C6/$B$47,0)</f>
        <v>0</v>
      </c>
      <c r="D47" s="60">
        <f t="shared" ref="D47:AB47" si="105">IFERROR(D6/$B$47,0)</f>
        <v>0</v>
      </c>
      <c r="E47" s="60">
        <f t="shared" si="105"/>
        <v>0</v>
      </c>
      <c r="F47" s="60">
        <f t="shared" si="105"/>
        <v>0</v>
      </c>
      <c r="G47" s="60">
        <f t="shared" si="105"/>
        <v>0</v>
      </c>
      <c r="H47" s="60">
        <f t="shared" si="105"/>
        <v>0</v>
      </c>
      <c r="I47" s="60">
        <f t="shared" si="105"/>
        <v>0</v>
      </c>
      <c r="J47" s="60">
        <f t="shared" si="105"/>
        <v>0</v>
      </c>
      <c r="K47" s="60">
        <f t="shared" si="105"/>
        <v>0</v>
      </c>
      <c r="L47" s="60">
        <f t="shared" si="105"/>
        <v>0</v>
      </c>
      <c r="M47" s="60">
        <f t="shared" si="105"/>
        <v>0</v>
      </c>
      <c r="N47" s="60">
        <f t="shared" si="105"/>
        <v>0</v>
      </c>
      <c r="O47" s="60">
        <f t="shared" si="105"/>
        <v>0</v>
      </c>
      <c r="P47" s="60">
        <f t="shared" si="105"/>
        <v>0</v>
      </c>
      <c r="Q47" s="60">
        <f t="shared" si="105"/>
        <v>0</v>
      </c>
      <c r="R47" s="60">
        <f t="shared" si="105"/>
        <v>0</v>
      </c>
      <c r="S47" s="60">
        <f t="shared" si="105"/>
        <v>0</v>
      </c>
      <c r="T47" s="60">
        <f t="shared" si="105"/>
        <v>0</v>
      </c>
      <c r="U47" s="60">
        <f t="shared" ref="U47" si="106">IFERROR(U6/$B$47,0)</f>
        <v>0</v>
      </c>
      <c r="V47" s="60">
        <f t="shared" si="105"/>
        <v>0</v>
      </c>
      <c r="W47" s="60">
        <f t="shared" si="105"/>
        <v>0</v>
      </c>
      <c r="X47" s="60">
        <f t="shared" si="105"/>
        <v>0</v>
      </c>
      <c r="Y47" s="60">
        <f t="shared" si="105"/>
        <v>0</v>
      </c>
      <c r="Z47" s="60">
        <f t="shared" si="105"/>
        <v>0</v>
      </c>
      <c r="AA47" s="60">
        <f t="shared" si="105"/>
        <v>0</v>
      </c>
      <c r="AB47" s="60">
        <f t="shared" si="105"/>
        <v>0</v>
      </c>
      <c r="AC47" s="49">
        <f t="shared" si="1"/>
        <v>0</v>
      </c>
      <c r="AD47" s="49">
        <f>IFERROR(s_RadSpec!$H$6*(AD6/$B47),".")</f>
        <v>0</v>
      </c>
      <c r="AE47" s="49">
        <f>IFERROR(s_RadSpec!$H$6*(AE6/$B47),".")</f>
        <v>0</v>
      </c>
      <c r="AF47" s="49">
        <f>IFERROR(s_RadSpec!$H$6*(AF6/$B47),".")</f>
        <v>0</v>
      </c>
      <c r="AG47" s="49">
        <f>IFERROR(s_RadSpec!$H$6*(AG6/$B47),".")</f>
        <v>0</v>
      </c>
      <c r="AH47" s="49">
        <f>IFERROR(s_RadSpec!$H$6*(AH6/$B47),".")</f>
        <v>0</v>
      </c>
      <c r="AI47" s="49">
        <f>IFERROR(s_RadSpec!$H$6*(AI6/$B47),".")</f>
        <v>0</v>
      </c>
      <c r="AJ47" s="49">
        <f>IFERROR(s_RadSpec!$H$6*(AJ6/$B47),".")</f>
        <v>0</v>
      </c>
      <c r="AK47" s="49">
        <f>IFERROR(s_RadSpec!$H$6*(AK6/$B47),".")</f>
        <v>0</v>
      </c>
      <c r="AL47" s="49">
        <f>IFERROR(s_RadSpec!$H$6*(AL6/$B47),".")</f>
        <v>0</v>
      </c>
      <c r="AM47" s="49">
        <f>IFERROR(s_RadSpec!$H$6*(AM6/$B47),".")</f>
        <v>0</v>
      </c>
      <c r="AN47" s="49">
        <f>IFERROR(s_RadSpec!$H$6*(AN6/$B47),".")</f>
        <v>0</v>
      </c>
      <c r="AO47" s="49">
        <f>IFERROR(s_RadSpec!$H$6*(AO6/$B47),".")</f>
        <v>0</v>
      </c>
      <c r="AP47" s="49">
        <f>IFERROR(s_RadSpec!$H$6*(AP6/$B47),".")</f>
        <v>0</v>
      </c>
      <c r="AQ47" s="49">
        <f>IFERROR(s_RadSpec!$H$6*(AQ6/$B47),".")</f>
        <v>0</v>
      </c>
      <c r="AR47" s="49">
        <f>IFERROR(s_RadSpec!$H$6*(AR6/$B47),".")</f>
        <v>0</v>
      </c>
      <c r="AS47" s="49">
        <f>IFERROR(s_RadSpec!$H$6*(AS6/$B47),".")</f>
        <v>0</v>
      </c>
      <c r="AT47" s="49">
        <f>IFERROR(s_RadSpec!$H$6*(AT6/$B47),".")</f>
        <v>0</v>
      </c>
      <c r="AU47" s="49">
        <f>IFERROR(s_RadSpec!$H$6*(AU6/$B47),".")</f>
        <v>0</v>
      </c>
      <c r="AV47" s="49">
        <f>IFERROR(s_RadSpec!$H$6*(AV6/$B47),".")</f>
        <v>0</v>
      </c>
      <c r="AW47" s="49">
        <f>IFERROR(s_RadSpec!$H$6*(AW6/$B47),".")</f>
        <v>0</v>
      </c>
      <c r="AX47" s="49">
        <f>IFERROR(s_RadSpec!$H$6*(AX6/$B47),".")</f>
        <v>0</v>
      </c>
      <c r="AY47" s="49">
        <f>IFERROR(s_RadSpec!$H$6*(AY6/$B47),".")</f>
        <v>0</v>
      </c>
      <c r="AZ47" s="49">
        <f>IFERROR(s_RadSpec!$H$6*(AZ6/$B47),".")</f>
        <v>0</v>
      </c>
      <c r="BA47" s="49">
        <f>IFERROR(s_RadSpec!$H$6*(BA6/$B47),".")</f>
        <v>0</v>
      </c>
      <c r="BB47" s="49">
        <f>IFERROR(s_RadSpec!$H$6*(BB6/$B47),".")</f>
        <v>0</v>
      </c>
      <c r="BC47" s="60">
        <f t="shared" ref="BC47" si="107">IFERROR($B47/BC6,0)</f>
        <v>0</v>
      </c>
      <c r="BD47" s="60">
        <f t="shared" ref="BD47:CB47" si="108">IFERROR($B47/BD6,0)</f>
        <v>0</v>
      </c>
      <c r="BE47" s="60">
        <f t="shared" si="108"/>
        <v>0</v>
      </c>
      <c r="BF47" s="60">
        <f t="shared" si="108"/>
        <v>0</v>
      </c>
      <c r="BG47" s="60">
        <f t="shared" si="108"/>
        <v>0</v>
      </c>
      <c r="BH47" s="60">
        <f t="shared" si="108"/>
        <v>0</v>
      </c>
      <c r="BI47" s="60">
        <f t="shared" si="108"/>
        <v>0</v>
      </c>
      <c r="BJ47" s="60">
        <f t="shared" si="108"/>
        <v>0</v>
      </c>
      <c r="BK47" s="60">
        <f t="shared" si="108"/>
        <v>0</v>
      </c>
      <c r="BL47" s="60">
        <f t="shared" si="108"/>
        <v>0</v>
      </c>
      <c r="BM47" s="60">
        <f t="shared" si="108"/>
        <v>0</v>
      </c>
      <c r="BN47" s="60">
        <f t="shared" si="108"/>
        <v>0</v>
      </c>
      <c r="BO47" s="60">
        <f t="shared" si="108"/>
        <v>0</v>
      </c>
      <c r="BP47" s="60">
        <f t="shared" si="108"/>
        <v>0</v>
      </c>
      <c r="BQ47" s="60">
        <f t="shared" si="108"/>
        <v>0</v>
      </c>
      <c r="BR47" s="60">
        <f t="shared" si="108"/>
        <v>0</v>
      </c>
      <c r="BS47" s="60">
        <f t="shared" si="108"/>
        <v>0</v>
      </c>
      <c r="BT47" s="60">
        <f t="shared" si="108"/>
        <v>0</v>
      </c>
      <c r="BU47" s="60">
        <f t="shared" ref="BU47" si="109">IFERROR($B47/BU6,0)</f>
        <v>0</v>
      </c>
      <c r="BV47" s="60">
        <f t="shared" si="108"/>
        <v>0</v>
      </c>
      <c r="BW47" s="60">
        <f t="shared" si="108"/>
        <v>0</v>
      </c>
      <c r="BX47" s="60">
        <f t="shared" si="108"/>
        <v>0</v>
      </c>
      <c r="BY47" s="60">
        <f t="shared" si="108"/>
        <v>0</v>
      </c>
      <c r="BZ47" s="60">
        <f t="shared" si="108"/>
        <v>0</v>
      </c>
      <c r="CA47" s="60">
        <f t="shared" si="108"/>
        <v>0</v>
      </c>
      <c r="CB47" s="60">
        <f t="shared" si="108"/>
        <v>0</v>
      </c>
      <c r="CC47" s="49">
        <f t="shared" si="3"/>
        <v>0</v>
      </c>
      <c r="CD47" s="49">
        <f>IFERROR(s_RadSpec!$H$6*(CD6/$B47),".")</f>
        <v>0</v>
      </c>
      <c r="CE47" s="49">
        <f>IFERROR(s_RadSpec!$H$6*(CE6/$B47),".")</f>
        <v>0</v>
      </c>
      <c r="CF47" s="49">
        <f>IFERROR(s_RadSpec!$H$6*(CF6/$B47),".")</f>
        <v>0</v>
      </c>
      <c r="CG47" s="49">
        <f>IFERROR(s_RadSpec!$H$6*(CG6/$B47),".")</f>
        <v>0</v>
      </c>
      <c r="CH47" s="49">
        <f>IFERROR(s_RadSpec!$H$6*(CH6/$B47),".")</f>
        <v>0</v>
      </c>
      <c r="CI47" s="49">
        <f>IFERROR(s_RadSpec!$H$6*(CI6/$B47),".")</f>
        <v>0</v>
      </c>
      <c r="CJ47" s="49">
        <f>IFERROR(s_RadSpec!$H$6*(CJ6/$B47),".")</f>
        <v>0</v>
      </c>
      <c r="CK47" s="49">
        <f>IFERROR(s_RadSpec!$H$6*(CK6/$B47),".")</f>
        <v>0</v>
      </c>
      <c r="CL47" s="49">
        <f>IFERROR(s_RadSpec!$H$6*(CL6/$B47),".")</f>
        <v>0</v>
      </c>
      <c r="CM47" s="49">
        <f>IFERROR(s_RadSpec!$H$6*(CM6/$B47),".")</f>
        <v>0</v>
      </c>
      <c r="CN47" s="49">
        <f>IFERROR(s_RadSpec!$H$6*(CN6/$B47),".")</f>
        <v>0</v>
      </c>
      <c r="CO47" s="49">
        <f>IFERROR(s_RadSpec!$H$6*(CO6/$B47),".")</f>
        <v>0</v>
      </c>
      <c r="CP47" s="49">
        <f>IFERROR(s_RadSpec!$H$6*(CP6/$B47),".")</f>
        <v>0</v>
      </c>
      <c r="CQ47" s="49">
        <f>IFERROR(s_RadSpec!$H$6*(CQ6/$B47),".")</f>
        <v>0</v>
      </c>
      <c r="CR47" s="49">
        <f>IFERROR(s_RadSpec!$H$6*(CR6/$B47),".")</f>
        <v>0</v>
      </c>
      <c r="CS47" s="49">
        <f>IFERROR(s_RadSpec!$H$6*(CS6/$B47),".")</f>
        <v>0</v>
      </c>
      <c r="CT47" s="49">
        <f>IFERROR(s_RadSpec!$H$6*(CT6/$B47),".")</f>
        <v>0</v>
      </c>
      <c r="CU47" s="49">
        <f>IFERROR(s_RadSpec!$H$6*(CU6/$B47),".")</f>
        <v>0</v>
      </c>
      <c r="CV47" s="49">
        <f>IFERROR(s_RadSpec!$H$6*(CV6/$B47),".")</f>
        <v>0</v>
      </c>
      <c r="CW47" s="49">
        <f>IFERROR(s_RadSpec!$H$6*(CW6/$B47),".")</f>
        <v>0</v>
      </c>
      <c r="CX47" s="49">
        <f>IFERROR(s_RadSpec!$H$6*(CX6/$B47),".")</f>
        <v>0</v>
      </c>
      <c r="CY47" s="49">
        <f>IFERROR(s_RadSpec!$H$6*(CY6/$B47),".")</f>
        <v>0</v>
      </c>
      <c r="CZ47" s="49">
        <f>IFERROR(s_RadSpec!$H$6*(CZ6/$B47),".")</f>
        <v>0</v>
      </c>
      <c r="DA47" s="49">
        <f>IFERROR(s_RadSpec!$H$6*(DA6/$B47),".")</f>
        <v>0</v>
      </c>
      <c r="DB47" s="49">
        <f>IFERROR(s_RadSpec!$H$6*(DB6/$B47),".")</f>
        <v>0</v>
      </c>
    </row>
    <row r="48" spans="1:106" x14ac:dyDescent="0.25">
      <c r="A48" s="82" t="s">
        <v>33</v>
      </c>
      <c r="B48" s="82" t="s">
        <v>1071</v>
      </c>
      <c r="C48" s="58">
        <f t="shared" ref="C48" si="110">1/SUM(1/C49,1/C52,1/C54,1/C58,1/C59,1/C61)</f>
        <v>1.0475455387973405</v>
      </c>
      <c r="D48" s="58">
        <f t="shared" ref="D48:AB48" si="111">1/SUM(1/D49,1/D52,1/D54,1/D58,1/D59,1/D61)</f>
        <v>4.5833421221228425</v>
      </c>
      <c r="E48" s="58">
        <f t="shared" si="111"/>
        <v>1.5563662245146412</v>
      </c>
      <c r="F48" s="58">
        <f t="shared" si="111"/>
        <v>2.7210798728320276</v>
      </c>
      <c r="G48" s="58">
        <f t="shared" si="111"/>
        <v>4.5833421221228425</v>
      </c>
      <c r="H48" s="58">
        <f t="shared" si="111"/>
        <v>4.0506311569507405</v>
      </c>
      <c r="I48" s="58">
        <f t="shared" si="111"/>
        <v>1.5563662245146412</v>
      </c>
      <c r="J48" s="58">
        <f t="shared" si="111"/>
        <v>2.7210798728320276</v>
      </c>
      <c r="K48" s="58">
        <f t="shared" si="111"/>
        <v>4.5833421221228425</v>
      </c>
      <c r="L48" s="58">
        <f t="shared" si="111"/>
        <v>5.7046269667406992</v>
      </c>
      <c r="M48" s="58">
        <f t="shared" si="111"/>
        <v>4.0506311569507405</v>
      </c>
      <c r="N48" s="58">
        <f t="shared" si="111"/>
        <v>1.5563662245146412</v>
      </c>
      <c r="O48" s="58">
        <f t="shared" si="111"/>
        <v>4.8043116028163704</v>
      </c>
      <c r="P48" s="58">
        <f t="shared" si="111"/>
        <v>4.0506311569507405</v>
      </c>
      <c r="Q48" s="58">
        <f t="shared" si="111"/>
        <v>2.7210798728320276</v>
      </c>
      <c r="R48" s="58">
        <f t="shared" si="111"/>
        <v>4.5833421221228425</v>
      </c>
      <c r="S48" s="58">
        <f t="shared" si="111"/>
        <v>4.5833421221228425</v>
      </c>
      <c r="T48" s="58">
        <f t="shared" si="111"/>
        <v>4.8043116028163704</v>
      </c>
      <c r="U48" s="58">
        <f t="shared" ref="U48" si="112">1/SUM(1/U49,1/U52,1/U54,1/U58,1/U59,1/U61)</f>
        <v>4.0506311569507405</v>
      </c>
      <c r="V48" s="58">
        <f t="shared" si="111"/>
        <v>4.8423347733896067</v>
      </c>
      <c r="W48" s="58">
        <f t="shared" si="111"/>
        <v>4.0506311569507405</v>
      </c>
      <c r="X48" s="58">
        <f t="shared" si="111"/>
        <v>4.8043116028163704</v>
      </c>
      <c r="Y48" s="58">
        <f t="shared" si="111"/>
        <v>4.5833421221228425</v>
      </c>
      <c r="Z48" s="58">
        <f t="shared" si="111"/>
        <v>4.0506311569507405</v>
      </c>
      <c r="AA48" s="58">
        <f t="shared" si="111"/>
        <v>3.8963432723907907</v>
      </c>
      <c r="AB48" s="58">
        <f t="shared" si="111"/>
        <v>4.2935955016987402</v>
      </c>
      <c r="AC48" s="47">
        <f t="shared" si="1"/>
        <v>4.7730624521484717E-5</v>
      </c>
      <c r="AD48" s="47">
        <f t="shared" ref="AD48:BA48" si="113">IFERROR(IF(SUM(AD49:AD62)&gt;0.01,1-EXP(-(SUM(AD49:AD62))),SUM(AD49:AD62)),".")</f>
        <v>1.0909070681372129E-5</v>
      </c>
      <c r="AE48" s="47">
        <f t="shared" si="113"/>
        <v>3.2126117544179689E-5</v>
      </c>
      <c r="AF48" s="47">
        <f t="shared" si="113"/>
        <v>1.8375058659072668E-5</v>
      </c>
      <c r="AG48" s="47">
        <f t="shared" si="113"/>
        <v>1.0909070681372129E-5</v>
      </c>
      <c r="AH48" s="47">
        <f t="shared" si="113"/>
        <v>1.2343756184072668E-5</v>
      </c>
      <c r="AI48" s="47">
        <f t="shared" si="113"/>
        <v>3.2126117544179689E-5</v>
      </c>
      <c r="AJ48" s="47">
        <f t="shared" si="113"/>
        <v>1.8375058659072668E-5</v>
      </c>
      <c r="AK48" s="47">
        <f t="shared" si="113"/>
        <v>1.0909070681372129E-5</v>
      </c>
      <c r="AL48" s="47">
        <f t="shared" si="113"/>
        <v>8.7648154316191761E-6</v>
      </c>
      <c r="AM48" s="47">
        <f t="shared" si="113"/>
        <v>1.2343756184072668E-5</v>
      </c>
      <c r="AN48" s="47">
        <f t="shared" si="113"/>
        <v>3.2126117544179689E-5</v>
      </c>
      <c r="AO48" s="47">
        <f t="shared" si="113"/>
        <v>1.040731884008362E-5</v>
      </c>
      <c r="AP48" s="47">
        <f t="shared" si="113"/>
        <v>1.2343756184072668E-5</v>
      </c>
      <c r="AQ48" s="47">
        <f t="shared" si="113"/>
        <v>1.8375058659072668E-5</v>
      </c>
      <c r="AR48" s="47">
        <f t="shared" si="113"/>
        <v>1.0909070681372129E-5</v>
      </c>
      <c r="AS48" s="47">
        <f t="shared" si="113"/>
        <v>1.0909070681372129E-5</v>
      </c>
      <c r="AT48" s="47">
        <f t="shared" si="113"/>
        <v>1.040731884008362E-5</v>
      </c>
      <c r="AU48" s="47">
        <f t="shared" ref="AU48" si="114">IFERROR(IF(SUM(AU49:AU62)&gt;0.01,1-EXP(-(SUM(AU49:AU62))),SUM(AU49:AU62)),".")</f>
        <v>1.2343756184072668E-5</v>
      </c>
      <c r="AV48" s="47">
        <f t="shared" si="113"/>
        <v>1.032559797678121E-5</v>
      </c>
      <c r="AW48" s="47">
        <f t="shared" si="113"/>
        <v>1.2343756184072668E-5</v>
      </c>
      <c r="AX48" s="47">
        <f t="shared" si="113"/>
        <v>1.040731884008362E-5</v>
      </c>
      <c r="AY48" s="47">
        <f t="shared" si="113"/>
        <v>1.0909070681372129E-5</v>
      </c>
      <c r="AZ48" s="47">
        <f t="shared" si="113"/>
        <v>1.2343756184072668E-5</v>
      </c>
      <c r="BA48" s="47">
        <f t="shared" si="113"/>
        <v>1.2832545309127679E-5</v>
      </c>
      <c r="BB48" s="47">
        <f>IFERROR(IF(SUM(BB49:BB62)&gt;0.01,1-EXP(-(SUM(BB49:BB62))),SUM(BB49:BB62)),".")</f>
        <v>1.1645252346912237E-5</v>
      </c>
      <c r="BC48" s="58">
        <f t="shared" ref="BC48" si="115">IFERROR(1/SUM(BC49:BC62),0)</f>
        <v>1.0475455387973405</v>
      </c>
      <c r="BD48" s="58">
        <f t="shared" ref="BD48:CB48" si="116">IFERROR(1/SUM(BD49:BD62),0)</f>
        <v>4.5833421221228425</v>
      </c>
      <c r="BE48" s="58">
        <f t="shared" si="116"/>
        <v>1.5563662245146412</v>
      </c>
      <c r="BF48" s="58">
        <f t="shared" si="116"/>
        <v>2.7210798728320276</v>
      </c>
      <c r="BG48" s="58">
        <f t="shared" si="116"/>
        <v>4.5833421221228425</v>
      </c>
      <c r="BH48" s="58">
        <f t="shared" si="116"/>
        <v>4.0506311569507405</v>
      </c>
      <c r="BI48" s="58">
        <f t="shared" si="116"/>
        <v>1.5563662245146412</v>
      </c>
      <c r="BJ48" s="58">
        <f t="shared" si="116"/>
        <v>2.7210798728320276</v>
      </c>
      <c r="BK48" s="58">
        <f t="shared" si="116"/>
        <v>4.5833421221228425</v>
      </c>
      <c r="BL48" s="58">
        <f t="shared" si="116"/>
        <v>5.7046269667406992</v>
      </c>
      <c r="BM48" s="58">
        <f t="shared" si="116"/>
        <v>4.0506311569507405</v>
      </c>
      <c r="BN48" s="58">
        <f t="shared" si="116"/>
        <v>1.5563662245146412</v>
      </c>
      <c r="BO48" s="58">
        <f t="shared" si="116"/>
        <v>4.8043116028163704</v>
      </c>
      <c r="BP48" s="58">
        <f t="shared" si="116"/>
        <v>4.0506311569507405</v>
      </c>
      <c r="BQ48" s="58">
        <f t="shared" si="116"/>
        <v>2.7210798728320276</v>
      </c>
      <c r="BR48" s="58">
        <f t="shared" si="116"/>
        <v>4.5833421221228425</v>
      </c>
      <c r="BS48" s="58">
        <f t="shared" si="116"/>
        <v>4.5833421221228425</v>
      </c>
      <c r="BT48" s="58">
        <f t="shared" si="116"/>
        <v>4.8043116028163704</v>
      </c>
      <c r="BU48" s="58">
        <f t="shared" ref="BU48" si="117">IFERROR(1/SUM(BU49:BU62),0)</f>
        <v>4.0506311569507405</v>
      </c>
      <c r="BV48" s="58">
        <f t="shared" si="116"/>
        <v>4.8423347733896067</v>
      </c>
      <c r="BW48" s="58">
        <f t="shared" si="116"/>
        <v>4.0506311569507405</v>
      </c>
      <c r="BX48" s="58">
        <f t="shared" si="116"/>
        <v>4.8043116028163704</v>
      </c>
      <c r="BY48" s="58">
        <f t="shared" si="116"/>
        <v>4.5833421221228425</v>
      </c>
      <c r="BZ48" s="58">
        <f t="shared" si="116"/>
        <v>4.0506311569507405</v>
      </c>
      <c r="CA48" s="58">
        <f t="shared" si="116"/>
        <v>3.8963432723907907</v>
      </c>
      <c r="CB48" s="58">
        <f t="shared" si="116"/>
        <v>4.2935955016987402</v>
      </c>
      <c r="CC48" s="47">
        <f t="shared" si="3"/>
        <v>4.7730624521484717E-5</v>
      </c>
      <c r="CD48" s="47">
        <f t="shared" ref="CD48:CZ48" si="118">IFERROR(IF(SUM(CD49:CD62)&gt;0.01,1-EXP(-(SUM(CD49:CD62))),SUM(CD49:CD62)),".")</f>
        <v>1.0909070681372129E-5</v>
      </c>
      <c r="CE48" s="47">
        <f t="shared" si="118"/>
        <v>3.2126117544179689E-5</v>
      </c>
      <c r="CF48" s="47">
        <f t="shared" si="118"/>
        <v>1.8375058659072668E-5</v>
      </c>
      <c r="CG48" s="47">
        <f t="shared" si="118"/>
        <v>1.0909070681372129E-5</v>
      </c>
      <c r="CH48" s="47">
        <f t="shared" si="118"/>
        <v>1.2343756184072668E-5</v>
      </c>
      <c r="CI48" s="47">
        <f t="shared" si="118"/>
        <v>3.2126117544179689E-5</v>
      </c>
      <c r="CJ48" s="47">
        <f t="shared" si="118"/>
        <v>1.8375058659072668E-5</v>
      </c>
      <c r="CK48" s="47">
        <f t="shared" si="118"/>
        <v>1.0909070681372129E-5</v>
      </c>
      <c r="CL48" s="47">
        <f t="shared" si="118"/>
        <v>8.7648154316191761E-6</v>
      </c>
      <c r="CM48" s="47">
        <f t="shared" si="118"/>
        <v>1.2343756184072668E-5</v>
      </c>
      <c r="CN48" s="47">
        <f t="shared" si="118"/>
        <v>3.2126117544179689E-5</v>
      </c>
      <c r="CO48" s="47">
        <f t="shared" si="118"/>
        <v>1.040731884008362E-5</v>
      </c>
      <c r="CP48" s="47">
        <f t="shared" si="118"/>
        <v>1.2343756184072668E-5</v>
      </c>
      <c r="CQ48" s="47">
        <f t="shared" si="118"/>
        <v>1.8375058659072668E-5</v>
      </c>
      <c r="CR48" s="47">
        <f t="shared" si="118"/>
        <v>1.0909070681372129E-5</v>
      </c>
      <c r="CS48" s="47">
        <f t="shared" si="118"/>
        <v>1.0909070681372129E-5</v>
      </c>
      <c r="CT48" s="47">
        <f t="shared" si="118"/>
        <v>1.040731884008362E-5</v>
      </c>
      <c r="CU48" s="47">
        <f t="shared" ref="CU48" si="119">IFERROR(IF(SUM(CU49:CU62)&gt;0.01,1-EXP(-(SUM(CU49:CU62))),SUM(CU49:CU62)),".")</f>
        <v>1.2343756184072668E-5</v>
      </c>
      <c r="CV48" s="47">
        <f t="shared" si="118"/>
        <v>1.032559797678121E-5</v>
      </c>
      <c r="CW48" s="47">
        <f t="shared" si="118"/>
        <v>1.2343756184072668E-5</v>
      </c>
      <c r="CX48" s="47">
        <f t="shared" si="118"/>
        <v>1.040731884008362E-5</v>
      </c>
      <c r="CY48" s="47">
        <f t="shared" si="118"/>
        <v>1.0909070681372129E-5</v>
      </c>
      <c r="CZ48" s="47">
        <f t="shared" si="118"/>
        <v>1.2343756184072668E-5</v>
      </c>
      <c r="DA48" s="47">
        <f>IFERROR(IF(SUM(DA49:DA62)&gt;0.01,1-EXP(-(SUM(DA49:DA62))),SUM(DA49:DA62)),".")</f>
        <v>1.2832545309127679E-5</v>
      </c>
      <c r="DB48" s="47">
        <f>IFERROR(IF(SUM(DB49:DB62)&gt;0.01,1-EXP(-(SUM(DB49:DB62))),SUM(DB49:DB62)),".")</f>
        <v>1.1645252346912237E-5</v>
      </c>
    </row>
    <row r="49" spans="1:106" x14ac:dyDescent="0.25">
      <c r="A49" s="83" t="s">
        <v>1100</v>
      </c>
      <c r="B49" s="42">
        <v>1</v>
      </c>
      <c r="C49" s="60">
        <f t="shared" ref="C49" si="120">IFERROR(C23/$B49,0)</f>
        <v>6.5012005366394536</v>
      </c>
      <c r="D49" s="60">
        <f t="shared" ref="D49:AB49" si="121">IFERROR(D23/$B49,0)</f>
        <v>27.352072215214584</v>
      </c>
      <c r="E49" s="60">
        <f t="shared" si="121"/>
        <v>6.1509444694501703</v>
      </c>
      <c r="F49" s="60">
        <f t="shared" si="121"/>
        <v>7.6978885875154814</v>
      </c>
      <c r="G49" s="60">
        <f t="shared" si="121"/>
        <v>27.352072215214584</v>
      </c>
      <c r="H49" s="60">
        <f t="shared" si="121"/>
        <v>21.074547444509598</v>
      </c>
      <c r="I49" s="60">
        <f t="shared" si="121"/>
        <v>6.1509444694501703</v>
      </c>
      <c r="J49" s="60">
        <f t="shared" si="121"/>
        <v>7.6978885875154814</v>
      </c>
      <c r="K49" s="60">
        <f t="shared" si="121"/>
        <v>27.352072215214584</v>
      </c>
      <c r="L49" s="60">
        <f t="shared" si="121"/>
        <v>40.426018682864317</v>
      </c>
      <c r="M49" s="60">
        <f t="shared" si="121"/>
        <v>21.074547444509598</v>
      </c>
      <c r="N49" s="60">
        <f t="shared" si="121"/>
        <v>6.1509444694501703</v>
      </c>
      <c r="O49" s="60">
        <f t="shared" si="121"/>
        <v>23.373588983910643</v>
      </c>
      <c r="P49" s="60">
        <f t="shared" si="121"/>
        <v>21.074547444509598</v>
      </c>
      <c r="Q49" s="60">
        <f t="shared" si="121"/>
        <v>7.6978885875154814</v>
      </c>
      <c r="R49" s="60">
        <f t="shared" si="121"/>
        <v>27.352072215214584</v>
      </c>
      <c r="S49" s="60">
        <f t="shared" si="121"/>
        <v>27.352072215214584</v>
      </c>
      <c r="T49" s="60">
        <f t="shared" si="121"/>
        <v>23.373588983910643</v>
      </c>
      <c r="U49" s="60">
        <f t="shared" ref="U49" si="122">IFERROR(U23/$B49,0)</f>
        <v>21.074547444509598</v>
      </c>
      <c r="V49" s="60">
        <f t="shared" si="121"/>
        <v>26.235661104389497</v>
      </c>
      <c r="W49" s="60">
        <f t="shared" si="121"/>
        <v>21.074547444509598</v>
      </c>
      <c r="X49" s="60">
        <f t="shared" si="121"/>
        <v>23.373588983910643</v>
      </c>
      <c r="Y49" s="60">
        <f t="shared" si="121"/>
        <v>27.352072215214584</v>
      </c>
      <c r="Z49" s="60">
        <f t="shared" si="121"/>
        <v>21.074547444509598</v>
      </c>
      <c r="AA49" s="60">
        <f t="shared" si="121"/>
        <v>44.730250317156766</v>
      </c>
      <c r="AB49" s="60">
        <f t="shared" si="121"/>
        <v>21.074547444509598</v>
      </c>
      <c r="AC49" s="49">
        <f t="shared" si="1"/>
        <v>7.6908872012499992E-6</v>
      </c>
      <c r="AD49" s="49">
        <f>IFERROR(s_RadSpec!$H$23*(AD23/$B49),".")</f>
        <v>1.8280150624999999E-6</v>
      </c>
      <c r="AE49" s="49">
        <f>IFERROR(s_RadSpec!$H$23*(AE23/$B49),".")</f>
        <v>8.128832937499998E-6</v>
      </c>
      <c r="AF49" s="49">
        <f>IFERROR(s_RadSpec!$H$23*(AF23/$B49),".")</f>
        <v>6.4952875625000009E-6</v>
      </c>
      <c r="AG49" s="49">
        <f>IFERROR(s_RadSpec!$H$23*(AG23/$B49),".")</f>
        <v>1.8280150624999999E-6</v>
      </c>
      <c r="AH49" s="49">
        <f>IFERROR(s_RadSpec!$H$23*(AH23/$B49),".")</f>
        <v>2.3725301874999998E-6</v>
      </c>
      <c r="AI49" s="49">
        <f>IFERROR(s_RadSpec!$H$23*(AI23/$B49),".")</f>
        <v>8.128832937499998E-6</v>
      </c>
      <c r="AJ49" s="49">
        <f>IFERROR(s_RadSpec!$H$23*(AJ23/$B49),".")</f>
        <v>6.4952875625000009E-6</v>
      </c>
      <c r="AK49" s="49">
        <f>IFERROR(s_RadSpec!$H$23*(AK23/$B49),".")</f>
        <v>1.8280150624999999E-6</v>
      </c>
      <c r="AL49" s="49">
        <f>IFERROR(s_RadSpec!$H$23*(AL23/$B49),".")</f>
        <v>1.2368272124999999E-6</v>
      </c>
      <c r="AM49" s="49">
        <f>IFERROR(s_RadSpec!$H$23*(AM23/$B49),".")</f>
        <v>2.3725301874999998E-6</v>
      </c>
      <c r="AN49" s="49">
        <f>IFERROR(s_RadSpec!$H$23*(AN23/$B49),".")</f>
        <v>8.128832937499998E-6</v>
      </c>
      <c r="AO49" s="49">
        <f>IFERROR(s_RadSpec!$H$23*(AO23/$B49),".")</f>
        <v>2.1391665625E-6</v>
      </c>
      <c r="AP49" s="49">
        <f>IFERROR(s_RadSpec!$H$23*(AP23/$B49),".")</f>
        <v>2.3725301874999998E-6</v>
      </c>
      <c r="AQ49" s="49">
        <f>IFERROR(s_RadSpec!$H$23*(AQ23/$B49),".")</f>
        <v>6.4952875625000009E-6</v>
      </c>
      <c r="AR49" s="49">
        <f>IFERROR(s_RadSpec!$H$23*(AR23/$B49),".")</f>
        <v>1.8280150624999999E-6</v>
      </c>
      <c r="AS49" s="49">
        <f>IFERROR(s_RadSpec!$H$23*(AS23/$B49),".")</f>
        <v>1.8280150624999999E-6</v>
      </c>
      <c r="AT49" s="49">
        <f>IFERROR(s_RadSpec!$H$23*(AT23/$B49),".")</f>
        <v>2.1391665625E-6</v>
      </c>
      <c r="AU49" s="49">
        <f>IFERROR(s_RadSpec!$H$23*(AU23/$B49),".")</f>
        <v>2.3725301874999998E-6</v>
      </c>
      <c r="AV49" s="49">
        <f>IFERROR(s_RadSpec!$H$23*(AV23/$B49),".")</f>
        <v>1.9058029374999999E-6</v>
      </c>
      <c r="AW49" s="49">
        <f>IFERROR(s_RadSpec!$H$23*(AW23/$B49),".")</f>
        <v>2.3725301874999998E-6</v>
      </c>
      <c r="AX49" s="49">
        <f>IFERROR(s_RadSpec!$H$23*(AX23/$B49),".")</f>
        <v>2.1391665625E-6</v>
      </c>
      <c r="AY49" s="49">
        <f>IFERROR(s_RadSpec!$H$23*(AY23/$B49),".")</f>
        <v>1.8280150624999999E-6</v>
      </c>
      <c r="AZ49" s="49">
        <f>IFERROR(s_RadSpec!$H$23*(AZ23/$B49),".")</f>
        <v>2.3725301874999998E-6</v>
      </c>
      <c r="BA49" s="49">
        <f>IFERROR(s_RadSpec!$H$23*(BA23/$B49),".")</f>
        <v>1.1178117637499999E-6</v>
      </c>
      <c r="BB49" s="49">
        <f>IFERROR(s_RadSpec!$H$23*(BB23/$B49),".")</f>
        <v>2.3725301874999998E-6</v>
      </c>
      <c r="BC49" s="60">
        <f t="shared" ref="BC49" si="123">IFERROR($B49/BC23,0)</f>
        <v>0.15381774402499998</v>
      </c>
      <c r="BD49" s="60">
        <f t="shared" ref="BD49:CB49" si="124">IFERROR($B49/BD23,0)</f>
        <v>3.6560301249999996E-2</v>
      </c>
      <c r="BE49" s="60">
        <f t="shared" si="124"/>
        <v>0.16257665874999999</v>
      </c>
      <c r="BF49" s="60">
        <f t="shared" si="124"/>
        <v>0.12990575125000001</v>
      </c>
      <c r="BG49" s="60">
        <f t="shared" si="124"/>
        <v>3.6560301249999996E-2</v>
      </c>
      <c r="BH49" s="60">
        <f t="shared" si="124"/>
        <v>4.7450603750000001E-2</v>
      </c>
      <c r="BI49" s="60">
        <f t="shared" si="124"/>
        <v>0.16257665874999999</v>
      </c>
      <c r="BJ49" s="60">
        <f t="shared" si="124"/>
        <v>0.12990575125000001</v>
      </c>
      <c r="BK49" s="60">
        <f t="shared" si="124"/>
        <v>3.6560301249999996E-2</v>
      </c>
      <c r="BL49" s="60">
        <f t="shared" si="124"/>
        <v>2.4736544250000003E-2</v>
      </c>
      <c r="BM49" s="60">
        <f t="shared" si="124"/>
        <v>4.7450603750000001E-2</v>
      </c>
      <c r="BN49" s="60">
        <f t="shared" si="124"/>
        <v>0.16257665874999999</v>
      </c>
      <c r="BO49" s="60">
        <f t="shared" si="124"/>
        <v>4.2783331250000001E-2</v>
      </c>
      <c r="BP49" s="60">
        <f t="shared" si="124"/>
        <v>4.7450603750000001E-2</v>
      </c>
      <c r="BQ49" s="60">
        <f t="shared" si="124"/>
        <v>0.12990575125000001</v>
      </c>
      <c r="BR49" s="60">
        <f t="shared" si="124"/>
        <v>3.6560301249999996E-2</v>
      </c>
      <c r="BS49" s="60">
        <f t="shared" si="124"/>
        <v>3.6560301249999996E-2</v>
      </c>
      <c r="BT49" s="60">
        <f t="shared" si="124"/>
        <v>4.2783331250000001E-2</v>
      </c>
      <c r="BU49" s="60">
        <f t="shared" ref="BU49" si="125">IFERROR($B49/BU23,0)</f>
        <v>4.7450603750000001E-2</v>
      </c>
      <c r="BV49" s="60">
        <f t="shared" si="124"/>
        <v>3.8116058750000001E-2</v>
      </c>
      <c r="BW49" s="60">
        <f t="shared" si="124"/>
        <v>4.7450603750000001E-2</v>
      </c>
      <c r="BX49" s="60">
        <f t="shared" si="124"/>
        <v>4.2783331250000001E-2</v>
      </c>
      <c r="BY49" s="60">
        <f t="shared" si="124"/>
        <v>3.6560301249999996E-2</v>
      </c>
      <c r="BZ49" s="60">
        <f t="shared" si="124"/>
        <v>4.7450603750000001E-2</v>
      </c>
      <c r="CA49" s="60">
        <f t="shared" si="124"/>
        <v>2.2356235275000001E-2</v>
      </c>
      <c r="CB49" s="60">
        <f t="shared" si="124"/>
        <v>4.7450603750000001E-2</v>
      </c>
      <c r="CC49" s="49">
        <f t="shared" si="3"/>
        <v>7.6908872012499992E-6</v>
      </c>
      <c r="CD49" s="49">
        <f>IFERROR(s_RadSpec!$H$23*(CD23/$B49),".")</f>
        <v>1.8280150624999999E-6</v>
      </c>
      <c r="CE49" s="49">
        <f>IFERROR(s_RadSpec!$H$23*(CE23/$B49),".")</f>
        <v>8.128832937499998E-6</v>
      </c>
      <c r="CF49" s="49">
        <f>IFERROR(s_RadSpec!$H$23*(CF23/$B49),".")</f>
        <v>6.4952875625000009E-6</v>
      </c>
      <c r="CG49" s="49">
        <f>IFERROR(s_RadSpec!$H$23*(CG23/$B49),".")</f>
        <v>1.8280150624999999E-6</v>
      </c>
      <c r="CH49" s="49">
        <f>IFERROR(s_RadSpec!$H$23*(CH23/$B49),".")</f>
        <v>2.3725301874999998E-6</v>
      </c>
      <c r="CI49" s="49">
        <f>IFERROR(s_RadSpec!$H$23*(CI23/$B49),".")</f>
        <v>8.128832937499998E-6</v>
      </c>
      <c r="CJ49" s="49">
        <f>IFERROR(s_RadSpec!$H$23*(CJ23/$B49),".")</f>
        <v>6.4952875625000009E-6</v>
      </c>
      <c r="CK49" s="49">
        <f>IFERROR(s_RadSpec!$H$23*(CK23/$B49),".")</f>
        <v>1.8280150624999999E-6</v>
      </c>
      <c r="CL49" s="49">
        <f>IFERROR(s_RadSpec!$H$23*(CL23/$B49),".")</f>
        <v>1.2368272124999999E-6</v>
      </c>
      <c r="CM49" s="49">
        <f>IFERROR(s_RadSpec!$H$23*(CM23/$B49),".")</f>
        <v>2.3725301874999998E-6</v>
      </c>
      <c r="CN49" s="49">
        <f>IFERROR(s_RadSpec!$H$23*(CN23/$B49),".")</f>
        <v>8.128832937499998E-6</v>
      </c>
      <c r="CO49" s="49">
        <f>IFERROR(s_RadSpec!$H$23*(CO23/$B49),".")</f>
        <v>2.1391665625E-6</v>
      </c>
      <c r="CP49" s="49">
        <f>IFERROR(s_RadSpec!$H$23*(CP23/$B49),".")</f>
        <v>2.3725301874999998E-6</v>
      </c>
      <c r="CQ49" s="49">
        <f>IFERROR(s_RadSpec!$H$23*(CQ23/$B49),".")</f>
        <v>6.4952875625000009E-6</v>
      </c>
      <c r="CR49" s="49">
        <f>IFERROR(s_RadSpec!$H$23*(CR23/$B49),".")</f>
        <v>1.8280150624999999E-6</v>
      </c>
      <c r="CS49" s="49">
        <f>IFERROR(s_RadSpec!$H$23*(CS23/$B49),".")</f>
        <v>1.8280150624999999E-6</v>
      </c>
      <c r="CT49" s="49">
        <f>IFERROR(s_RadSpec!$H$23*(CT23/$B49),".")</f>
        <v>2.1391665625E-6</v>
      </c>
      <c r="CU49" s="49">
        <f>IFERROR(s_RadSpec!$H$23*(CU23/$B49),".")</f>
        <v>2.3725301874999998E-6</v>
      </c>
      <c r="CV49" s="49">
        <f>IFERROR(s_RadSpec!$H$23*(CV23/$B49),".")</f>
        <v>1.9058029374999999E-6</v>
      </c>
      <c r="CW49" s="49">
        <f>IFERROR(s_RadSpec!$H$23*(CW23/$B49),".")</f>
        <v>2.3725301874999998E-6</v>
      </c>
      <c r="CX49" s="49">
        <f>IFERROR(s_RadSpec!$H$23*(CX23/$B49),".")</f>
        <v>2.1391665625E-6</v>
      </c>
      <c r="CY49" s="49">
        <f>IFERROR(s_RadSpec!$H$23*(CY23/$B49),".")</f>
        <v>1.8280150624999999E-6</v>
      </c>
      <c r="CZ49" s="49">
        <f>IFERROR(s_RadSpec!$H$23*(CZ23/$B49),".")</f>
        <v>2.3725301874999998E-6</v>
      </c>
      <c r="DA49" s="49">
        <f>IFERROR(s_RadSpec!$H$23*(DA23/$B49),".")</f>
        <v>1.1178117637499999E-6</v>
      </c>
      <c r="DB49" s="49">
        <f>IFERROR(s_RadSpec!$H$23*(DB23/$B49),".")</f>
        <v>2.3725301874999998E-6</v>
      </c>
    </row>
    <row r="50" spans="1:106" x14ac:dyDescent="0.25">
      <c r="A50" s="83" t="s">
        <v>1087</v>
      </c>
      <c r="B50" s="42">
        <v>1</v>
      </c>
      <c r="C50" s="60">
        <f t="shared" ref="C50" si="126">IFERROR(C25/$B50,0)</f>
        <v>0</v>
      </c>
      <c r="D50" s="60">
        <f t="shared" ref="D50:AB50" si="127">IFERROR(D25/$B50,0)</f>
        <v>0</v>
      </c>
      <c r="E50" s="60">
        <f t="shared" si="127"/>
        <v>0</v>
      </c>
      <c r="F50" s="60">
        <f t="shared" si="127"/>
        <v>0</v>
      </c>
      <c r="G50" s="60">
        <f t="shared" si="127"/>
        <v>0</v>
      </c>
      <c r="H50" s="60">
        <f t="shared" si="127"/>
        <v>0</v>
      </c>
      <c r="I50" s="60">
        <f t="shared" si="127"/>
        <v>0</v>
      </c>
      <c r="J50" s="60">
        <f t="shared" si="127"/>
        <v>0</v>
      </c>
      <c r="K50" s="60">
        <f t="shared" si="127"/>
        <v>0</v>
      </c>
      <c r="L50" s="60">
        <f t="shared" si="127"/>
        <v>0</v>
      </c>
      <c r="M50" s="60">
        <f t="shared" si="127"/>
        <v>0</v>
      </c>
      <c r="N50" s="60">
        <f t="shared" si="127"/>
        <v>0</v>
      </c>
      <c r="O50" s="60">
        <f t="shared" si="127"/>
        <v>0</v>
      </c>
      <c r="P50" s="60">
        <f t="shared" si="127"/>
        <v>0</v>
      </c>
      <c r="Q50" s="60">
        <f t="shared" si="127"/>
        <v>0</v>
      </c>
      <c r="R50" s="60">
        <f t="shared" si="127"/>
        <v>0</v>
      </c>
      <c r="S50" s="60">
        <f t="shared" si="127"/>
        <v>0</v>
      </c>
      <c r="T50" s="60">
        <f t="shared" si="127"/>
        <v>0</v>
      </c>
      <c r="U50" s="60">
        <f t="shared" ref="U50" si="128">IFERROR(U25/$B50,0)</f>
        <v>0</v>
      </c>
      <c r="V50" s="60">
        <f t="shared" si="127"/>
        <v>0</v>
      </c>
      <c r="W50" s="60">
        <f t="shared" si="127"/>
        <v>0</v>
      </c>
      <c r="X50" s="60">
        <f t="shared" si="127"/>
        <v>0</v>
      </c>
      <c r="Y50" s="60">
        <f t="shared" si="127"/>
        <v>0</v>
      </c>
      <c r="Z50" s="60">
        <f t="shared" si="127"/>
        <v>0</v>
      </c>
      <c r="AA50" s="60">
        <f t="shared" si="127"/>
        <v>0</v>
      </c>
      <c r="AB50" s="60">
        <f t="shared" si="127"/>
        <v>0</v>
      </c>
      <c r="AC50" s="49">
        <f t="shared" si="1"/>
        <v>0</v>
      </c>
      <c r="AD50" s="49">
        <f>IFERROR(s_RadSpec!$H$25*(AD25/$B50),".")</f>
        <v>0</v>
      </c>
      <c r="AE50" s="49">
        <f>IFERROR(s_RadSpec!$H$25*(AE25/$B50),".")</f>
        <v>0</v>
      </c>
      <c r="AF50" s="49">
        <f>IFERROR(s_RadSpec!$H$25*(AF25/$B50),".")</f>
        <v>0</v>
      </c>
      <c r="AG50" s="49">
        <f>IFERROR(s_RadSpec!$H$25*(AG25/$B50),".")</f>
        <v>0</v>
      </c>
      <c r="AH50" s="49">
        <f>IFERROR(s_RadSpec!$H$25*(AH25/$B50),".")</f>
        <v>0</v>
      </c>
      <c r="AI50" s="49">
        <f>IFERROR(s_RadSpec!$H$25*(AI25/$B50),".")</f>
        <v>0</v>
      </c>
      <c r="AJ50" s="49">
        <f>IFERROR(s_RadSpec!$H$25*(AJ25/$B50),".")</f>
        <v>0</v>
      </c>
      <c r="AK50" s="49">
        <f>IFERROR(s_RadSpec!$H$25*(AK25/$B50),".")</f>
        <v>0</v>
      </c>
      <c r="AL50" s="49">
        <f>IFERROR(s_RadSpec!$H$25*(AL25/$B50),".")</f>
        <v>0</v>
      </c>
      <c r="AM50" s="49">
        <f>IFERROR(s_RadSpec!$H$25*(AM25/$B50),".")</f>
        <v>0</v>
      </c>
      <c r="AN50" s="49">
        <f>IFERROR(s_RadSpec!$H$25*(AN25/$B50),".")</f>
        <v>0</v>
      </c>
      <c r="AO50" s="49">
        <f>IFERROR(s_RadSpec!$H$25*(AO25/$B50),".")</f>
        <v>0</v>
      </c>
      <c r="AP50" s="49">
        <f>IFERROR(s_RadSpec!$H$25*(AP25/$B50),".")</f>
        <v>0</v>
      </c>
      <c r="AQ50" s="49">
        <f>IFERROR(s_RadSpec!$H$25*(AQ25/$B50),".")</f>
        <v>0</v>
      </c>
      <c r="AR50" s="49">
        <f>IFERROR(s_RadSpec!$H$25*(AR25/$B50),".")</f>
        <v>0</v>
      </c>
      <c r="AS50" s="49">
        <f>IFERROR(s_RadSpec!$H$25*(AS25/$B50),".")</f>
        <v>0</v>
      </c>
      <c r="AT50" s="49">
        <f>IFERROR(s_RadSpec!$H$25*(AT25/$B50),".")</f>
        <v>0</v>
      </c>
      <c r="AU50" s="49">
        <f>IFERROR(s_RadSpec!$H$25*(AU25/$B50),".")</f>
        <v>0</v>
      </c>
      <c r="AV50" s="49">
        <f>IFERROR(s_RadSpec!$H$25*(AV25/$B50),".")</f>
        <v>0</v>
      </c>
      <c r="AW50" s="49">
        <f>IFERROR(s_RadSpec!$H$25*(AW25/$B50),".")</f>
        <v>0</v>
      </c>
      <c r="AX50" s="49">
        <f>IFERROR(s_RadSpec!$H$25*(AX25/$B50),".")</f>
        <v>0</v>
      </c>
      <c r="AY50" s="49">
        <f>IFERROR(s_RadSpec!$H$25*(AY25/$B50),".")</f>
        <v>0</v>
      </c>
      <c r="AZ50" s="49">
        <f>IFERROR(s_RadSpec!$H$25*(AZ25/$B50),".")</f>
        <v>0</v>
      </c>
      <c r="BA50" s="49">
        <f>IFERROR(s_RadSpec!$H$25*(BA25/$B50),".")</f>
        <v>0</v>
      </c>
      <c r="BB50" s="49">
        <f>IFERROR(s_RadSpec!$H$25*(BB25/$B50),".")</f>
        <v>0</v>
      </c>
      <c r="BC50" s="60">
        <f t="shared" ref="BC50" si="129">IFERROR($B50/BC25,0)</f>
        <v>0</v>
      </c>
      <c r="BD50" s="60">
        <f t="shared" ref="BD50:CB50" si="130">IFERROR($B50/BD25,0)</f>
        <v>0</v>
      </c>
      <c r="BE50" s="60">
        <f t="shared" si="130"/>
        <v>0</v>
      </c>
      <c r="BF50" s="60">
        <f t="shared" si="130"/>
        <v>0</v>
      </c>
      <c r="BG50" s="60">
        <f t="shared" si="130"/>
        <v>0</v>
      </c>
      <c r="BH50" s="60">
        <f t="shared" si="130"/>
        <v>0</v>
      </c>
      <c r="BI50" s="60">
        <f t="shared" si="130"/>
        <v>0</v>
      </c>
      <c r="BJ50" s="60">
        <f t="shared" si="130"/>
        <v>0</v>
      </c>
      <c r="BK50" s="60">
        <f t="shared" si="130"/>
        <v>0</v>
      </c>
      <c r="BL50" s="60">
        <f t="shared" si="130"/>
        <v>0</v>
      </c>
      <c r="BM50" s="60">
        <f t="shared" si="130"/>
        <v>0</v>
      </c>
      <c r="BN50" s="60">
        <f t="shared" si="130"/>
        <v>0</v>
      </c>
      <c r="BO50" s="60">
        <f t="shared" si="130"/>
        <v>0</v>
      </c>
      <c r="BP50" s="60">
        <f t="shared" si="130"/>
        <v>0</v>
      </c>
      <c r="BQ50" s="60">
        <f t="shared" si="130"/>
        <v>0</v>
      </c>
      <c r="BR50" s="60">
        <f t="shared" si="130"/>
        <v>0</v>
      </c>
      <c r="BS50" s="60">
        <f t="shared" si="130"/>
        <v>0</v>
      </c>
      <c r="BT50" s="60">
        <f t="shared" si="130"/>
        <v>0</v>
      </c>
      <c r="BU50" s="60">
        <f t="shared" ref="BU50" si="131">IFERROR($B50/BU25,0)</f>
        <v>0</v>
      </c>
      <c r="BV50" s="60">
        <f t="shared" si="130"/>
        <v>0</v>
      </c>
      <c r="BW50" s="60">
        <f t="shared" si="130"/>
        <v>0</v>
      </c>
      <c r="BX50" s="60">
        <f t="shared" si="130"/>
        <v>0</v>
      </c>
      <c r="BY50" s="60">
        <f t="shared" si="130"/>
        <v>0</v>
      </c>
      <c r="BZ50" s="60">
        <f t="shared" si="130"/>
        <v>0</v>
      </c>
      <c r="CA50" s="60">
        <f t="shared" si="130"/>
        <v>0</v>
      </c>
      <c r="CB50" s="60">
        <f t="shared" si="130"/>
        <v>0</v>
      </c>
      <c r="CC50" s="49">
        <f t="shared" si="3"/>
        <v>0</v>
      </c>
      <c r="CD50" s="49">
        <f>IFERROR(s_RadSpec!$H$25*(CD25/$B50),".")</f>
        <v>0</v>
      </c>
      <c r="CE50" s="49">
        <f>IFERROR(s_RadSpec!$H$25*(CE25/$B50),".")</f>
        <v>0</v>
      </c>
      <c r="CF50" s="49">
        <f>IFERROR(s_RadSpec!$H$25*(CF25/$B50),".")</f>
        <v>0</v>
      </c>
      <c r="CG50" s="49">
        <f>IFERROR(s_RadSpec!$H$25*(CG25/$B50),".")</f>
        <v>0</v>
      </c>
      <c r="CH50" s="49">
        <f>IFERROR(s_RadSpec!$H$25*(CH25/$B50),".")</f>
        <v>0</v>
      </c>
      <c r="CI50" s="49">
        <f>IFERROR(s_RadSpec!$H$25*(CI25/$B50),".")</f>
        <v>0</v>
      </c>
      <c r="CJ50" s="49">
        <f>IFERROR(s_RadSpec!$H$25*(CJ25/$B50),".")</f>
        <v>0</v>
      </c>
      <c r="CK50" s="49">
        <f>IFERROR(s_RadSpec!$H$25*(CK25/$B50),".")</f>
        <v>0</v>
      </c>
      <c r="CL50" s="49">
        <f>IFERROR(s_RadSpec!$H$25*(CL25/$B50),".")</f>
        <v>0</v>
      </c>
      <c r="CM50" s="49">
        <f>IFERROR(s_RadSpec!$H$25*(CM25/$B50),".")</f>
        <v>0</v>
      </c>
      <c r="CN50" s="49">
        <f>IFERROR(s_RadSpec!$H$25*(CN25/$B50),".")</f>
        <v>0</v>
      </c>
      <c r="CO50" s="49">
        <f>IFERROR(s_RadSpec!$H$25*(CO25/$B50),".")</f>
        <v>0</v>
      </c>
      <c r="CP50" s="49">
        <f>IFERROR(s_RadSpec!$H$25*(CP25/$B50),".")</f>
        <v>0</v>
      </c>
      <c r="CQ50" s="49">
        <f>IFERROR(s_RadSpec!$H$25*(CQ25/$B50),".")</f>
        <v>0</v>
      </c>
      <c r="CR50" s="49">
        <f>IFERROR(s_RadSpec!$H$25*(CR25/$B50),".")</f>
        <v>0</v>
      </c>
      <c r="CS50" s="49">
        <f>IFERROR(s_RadSpec!$H$25*(CS25/$B50),".")</f>
        <v>0</v>
      </c>
      <c r="CT50" s="49">
        <f>IFERROR(s_RadSpec!$H$25*(CT25/$B50),".")</f>
        <v>0</v>
      </c>
      <c r="CU50" s="49">
        <f>IFERROR(s_RadSpec!$H$25*(CU25/$B50),".")</f>
        <v>0</v>
      </c>
      <c r="CV50" s="49">
        <f>IFERROR(s_RadSpec!$H$25*(CV25/$B50),".")</f>
        <v>0</v>
      </c>
      <c r="CW50" s="49">
        <f>IFERROR(s_RadSpec!$H$25*(CW25/$B50),".")</f>
        <v>0</v>
      </c>
      <c r="CX50" s="49">
        <f>IFERROR(s_RadSpec!$H$25*(CX25/$B50),".")</f>
        <v>0</v>
      </c>
      <c r="CY50" s="49">
        <f>IFERROR(s_RadSpec!$H$25*(CY25/$B50),".")</f>
        <v>0</v>
      </c>
      <c r="CZ50" s="49">
        <f>IFERROR(s_RadSpec!$H$25*(CZ25/$B50),".")</f>
        <v>0</v>
      </c>
      <c r="DA50" s="49">
        <f>IFERROR(s_RadSpec!$H$25*(DA25/$B50),".")</f>
        <v>0</v>
      </c>
      <c r="DB50" s="49">
        <f>IFERROR(s_RadSpec!$H$25*(DB25/$B50),".")</f>
        <v>0</v>
      </c>
    </row>
    <row r="51" spans="1:106" x14ac:dyDescent="0.25">
      <c r="A51" s="83" t="s">
        <v>1073</v>
      </c>
      <c r="B51" s="42">
        <v>1</v>
      </c>
      <c r="C51" s="60">
        <f t="shared" ref="C51" si="132">IFERROR(C21/$B51,0)</f>
        <v>0</v>
      </c>
      <c r="D51" s="60">
        <f t="shared" ref="D51:AB51" si="133">IFERROR(D21/$B51,0)</f>
        <v>0</v>
      </c>
      <c r="E51" s="60">
        <f t="shared" si="133"/>
        <v>0</v>
      </c>
      <c r="F51" s="60">
        <f t="shared" si="133"/>
        <v>0</v>
      </c>
      <c r="G51" s="60">
        <f t="shared" si="133"/>
        <v>0</v>
      </c>
      <c r="H51" s="60">
        <f t="shared" si="133"/>
        <v>0</v>
      </c>
      <c r="I51" s="60">
        <f t="shared" si="133"/>
        <v>0</v>
      </c>
      <c r="J51" s="60">
        <f t="shared" si="133"/>
        <v>0</v>
      </c>
      <c r="K51" s="60">
        <f t="shared" si="133"/>
        <v>0</v>
      </c>
      <c r="L51" s="60">
        <f t="shared" si="133"/>
        <v>0</v>
      </c>
      <c r="M51" s="60">
        <f t="shared" si="133"/>
        <v>0</v>
      </c>
      <c r="N51" s="60">
        <f t="shared" si="133"/>
        <v>0</v>
      </c>
      <c r="O51" s="60">
        <f t="shared" si="133"/>
        <v>0</v>
      </c>
      <c r="P51" s="60">
        <f t="shared" si="133"/>
        <v>0</v>
      </c>
      <c r="Q51" s="60">
        <f t="shared" si="133"/>
        <v>0</v>
      </c>
      <c r="R51" s="60">
        <f t="shared" si="133"/>
        <v>0</v>
      </c>
      <c r="S51" s="60">
        <f t="shared" si="133"/>
        <v>0</v>
      </c>
      <c r="T51" s="60">
        <f t="shared" si="133"/>
        <v>0</v>
      </c>
      <c r="U51" s="60">
        <f t="shared" ref="U51" si="134">IFERROR(U21/$B51,0)</f>
        <v>0</v>
      </c>
      <c r="V51" s="60">
        <f t="shared" si="133"/>
        <v>0</v>
      </c>
      <c r="W51" s="60">
        <f t="shared" si="133"/>
        <v>0</v>
      </c>
      <c r="X51" s="60">
        <f t="shared" si="133"/>
        <v>0</v>
      </c>
      <c r="Y51" s="60">
        <f t="shared" si="133"/>
        <v>0</v>
      </c>
      <c r="Z51" s="60">
        <f t="shared" si="133"/>
        <v>0</v>
      </c>
      <c r="AA51" s="60">
        <f t="shared" si="133"/>
        <v>0</v>
      </c>
      <c r="AB51" s="60">
        <f t="shared" si="133"/>
        <v>0</v>
      </c>
      <c r="AC51" s="49">
        <f t="shared" si="1"/>
        <v>0</v>
      </c>
      <c r="AD51" s="49">
        <f>IFERROR(s_RadSpec!$H$21*(AD21/$B51),".")</f>
        <v>0</v>
      </c>
      <c r="AE51" s="49">
        <f>IFERROR(s_RadSpec!$H$21*(AE21/$B51),".")</f>
        <v>0</v>
      </c>
      <c r="AF51" s="49">
        <f>IFERROR(s_RadSpec!$H$21*(AF21/$B51),".")</f>
        <v>0</v>
      </c>
      <c r="AG51" s="49">
        <f>IFERROR(s_RadSpec!$H$21*(AG21/$B51),".")</f>
        <v>0</v>
      </c>
      <c r="AH51" s="49">
        <f>IFERROR(s_RadSpec!$H$21*(AH21/$B51),".")</f>
        <v>0</v>
      </c>
      <c r="AI51" s="49">
        <f>IFERROR(s_RadSpec!$H$21*(AI21/$B51),".")</f>
        <v>0</v>
      </c>
      <c r="AJ51" s="49">
        <f>IFERROR(s_RadSpec!$H$21*(AJ21/$B51),".")</f>
        <v>0</v>
      </c>
      <c r="AK51" s="49">
        <f>IFERROR(s_RadSpec!$H$21*(AK21/$B51),".")</f>
        <v>0</v>
      </c>
      <c r="AL51" s="49">
        <f>IFERROR(s_RadSpec!$H$21*(AL21/$B51),".")</f>
        <v>0</v>
      </c>
      <c r="AM51" s="49">
        <f>IFERROR(s_RadSpec!$H$21*(AM21/$B51),".")</f>
        <v>0</v>
      </c>
      <c r="AN51" s="49">
        <f>IFERROR(s_RadSpec!$H$21*(AN21/$B51),".")</f>
        <v>0</v>
      </c>
      <c r="AO51" s="49">
        <f>IFERROR(s_RadSpec!$H$21*(AO21/$B51),".")</f>
        <v>0</v>
      </c>
      <c r="AP51" s="49">
        <f>IFERROR(s_RadSpec!$H$21*(AP21/$B51),".")</f>
        <v>0</v>
      </c>
      <c r="AQ51" s="49">
        <f>IFERROR(s_RadSpec!$H$21*(AQ21/$B51),".")</f>
        <v>0</v>
      </c>
      <c r="AR51" s="49">
        <f>IFERROR(s_RadSpec!$H$21*(AR21/$B51),".")</f>
        <v>0</v>
      </c>
      <c r="AS51" s="49">
        <f>IFERROR(s_RadSpec!$H$21*(AS21/$B51),".")</f>
        <v>0</v>
      </c>
      <c r="AT51" s="49">
        <f>IFERROR(s_RadSpec!$H$21*(AT21/$B51),".")</f>
        <v>0</v>
      </c>
      <c r="AU51" s="49">
        <f>IFERROR(s_RadSpec!$H$21*(AU21/$B51),".")</f>
        <v>0</v>
      </c>
      <c r="AV51" s="49">
        <f>IFERROR(s_RadSpec!$H$21*(AV21/$B51),".")</f>
        <v>0</v>
      </c>
      <c r="AW51" s="49">
        <f>IFERROR(s_RadSpec!$H$21*(AW21/$B51),".")</f>
        <v>0</v>
      </c>
      <c r="AX51" s="49">
        <f>IFERROR(s_RadSpec!$H$21*(AX21/$B51),".")</f>
        <v>0</v>
      </c>
      <c r="AY51" s="49">
        <f>IFERROR(s_RadSpec!$H$21*(AY21/$B51),".")</f>
        <v>0</v>
      </c>
      <c r="AZ51" s="49">
        <f>IFERROR(s_RadSpec!$H$21*(AZ21/$B51),".")</f>
        <v>0</v>
      </c>
      <c r="BA51" s="49">
        <f>IFERROR(s_RadSpec!$H$21*(BA21/$B51),".")</f>
        <v>0</v>
      </c>
      <c r="BB51" s="49">
        <f>IFERROR(s_RadSpec!$H$21*(BB21/$B51),".")</f>
        <v>0</v>
      </c>
      <c r="BC51" s="60">
        <f t="shared" ref="BC51" si="135">IFERROR($B51/BC21,0)</f>
        <v>0</v>
      </c>
      <c r="BD51" s="60">
        <f t="shared" ref="BD51:CB51" si="136">IFERROR($B51/BD21,0)</f>
        <v>0</v>
      </c>
      <c r="BE51" s="60">
        <f t="shared" si="136"/>
        <v>0</v>
      </c>
      <c r="BF51" s="60">
        <f t="shared" si="136"/>
        <v>0</v>
      </c>
      <c r="BG51" s="60">
        <f t="shared" si="136"/>
        <v>0</v>
      </c>
      <c r="BH51" s="60">
        <f t="shared" si="136"/>
        <v>0</v>
      </c>
      <c r="BI51" s="60">
        <f t="shared" si="136"/>
        <v>0</v>
      </c>
      <c r="BJ51" s="60">
        <f t="shared" si="136"/>
        <v>0</v>
      </c>
      <c r="BK51" s="60">
        <f t="shared" si="136"/>
        <v>0</v>
      </c>
      <c r="BL51" s="60">
        <f t="shared" si="136"/>
        <v>0</v>
      </c>
      <c r="BM51" s="60">
        <f t="shared" si="136"/>
        <v>0</v>
      </c>
      <c r="BN51" s="60">
        <f t="shared" si="136"/>
        <v>0</v>
      </c>
      <c r="BO51" s="60">
        <f t="shared" si="136"/>
        <v>0</v>
      </c>
      <c r="BP51" s="60">
        <f t="shared" si="136"/>
        <v>0</v>
      </c>
      <c r="BQ51" s="60">
        <f t="shared" si="136"/>
        <v>0</v>
      </c>
      <c r="BR51" s="60">
        <f t="shared" si="136"/>
        <v>0</v>
      </c>
      <c r="BS51" s="60">
        <f t="shared" si="136"/>
        <v>0</v>
      </c>
      <c r="BT51" s="60">
        <f t="shared" si="136"/>
        <v>0</v>
      </c>
      <c r="BU51" s="60">
        <f t="shared" ref="BU51" si="137">IFERROR($B51/BU21,0)</f>
        <v>0</v>
      </c>
      <c r="BV51" s="60">
        <f t="shared" si="136"/>
        <v>0</v>
      </c>
      <c r="BW51" s="60">
        <f t="shared" si="136"/>
        <v>0</v>
      </c>
      <c r="BX51" s="60">
        <f t="shared" si="136"/>
        <v>0</v>
      </c>
      <c r="BY51" s="60">
        <f t="shared" si="136"/>
        <v>0</v>
      </c>
      <c r="BZ51" s="60">
        <f t="shared" si="136"/>
        <v>0</v>
      </c>
      <c r="CA51" s="60">
        <f t="shared" si="136"/>
        <v>0</v>
      </c>
      <c r="CB51" s="60">
        <f t="shared" si="136"/>
        <v>0</v>
      </c>
      <c r="CC51" s="49">
        <f t="shared" si="3"/>
        <v>0</v>
      </c>
      <c r="CD51" s="49">
        <f>IFERROR(s_RadSpec!$H$21*(CD21/$B51),".")</f>
        <v>0</v>
      </c>
      <c r="CE51" s="49">
        <f>IFERROR(s_RadSpec!$H$21*(CE21/$B51),".")</f>
        <v>0</v>
      </c>
      <c r="CF51" s="49">
        <f>IFERROR(s_RadSpec!$H$21*(CF21/$B51),".")</f>
        <v>0</v>
      </c>
      <c r="CG51" s="49">
        <f>IFERROR(s_RadSpec!$H$21*(CG21/$B51),".")</f>
        <v>0</v>
      </c>
      <c r="CH51" s="49">
        <f>IFERROR(s_RadSpec!$H$21*(CH21/$B51),".")</f>
        <v>0</v>
      </c>
      <c r="CI51" s="49">
        <f>IFERROR(s_RadSpec!$H$21*(CI21/$B51),".")</f>
        <v>0</v>
      </c>
      <c r="CJ51" s="49">
        <f>IFERROR(s_RadSpec!$H$21*(CJ21/$B51),".")</f>
        <v>0</v>
      </c>
      <c r="CK51" s="49">
        <f>IFERROR(s_RadSpec!$H$21*(CK21/$B51),".")</f>
        <v>0</v>
      </c>
      <c r="CL51" s="49">
        <f>IFERROR(s_RadSpec!$H$21*(CL21/$B51),".")</f>
        <v>0</v>
      </c>
      <c r="CM51" s="49">
        <f>IFERROR(s_RadSpec!$H$21*(CM21/$B51),".")</f>
        <v>0</v>
      </c>
      <c r="CN51" s="49">
        <f>IFERROR(s_RadSpec!$H$21*(CN21/$B51),".")</f>
        <v>0</v>
      </c>
      <c r="CO51" s="49">
        <f>IFERROR(s_RadSpec!$H$21*(CO21/$B51),".")</f>
        <v>0</v>
      </c>
      <c r="CP51" s="49">
        <f>IFERROR(s_RadSpec!$H$21*(CP21/$B51),".")</f>
        <v>0</v>
      </c>
      <c r="CQ51" s="49">
        <f>IFERROR(s_RadSpec!$H$21*(CQ21/$B51),".")</f>
        <v>0</v>
      </c>
      <c r="CR51" s="49">
        <f>IFERROR(s_RadSpec!$H$21*(CR21/$B51),".")</f>
        <v>0</v>
      </c>
      <c r="CS51" s="49">
        <f>IFERROR(s_RadSpec!$H$21*(CS21/$B51),".")</f>
        <v>0</v>
      </c>
      <c r="CT51" s="49">
        <f>IFERROR(s_RadSpec!$H$21*(CT21/$B51),".")</f>
        <v>0</v>
      </c>
      <c r="CU51" s="49">
        <f>IFERROR(s_RadSpec!$H$21*(CU21/$B51),".")</f>
        <v>0</v>
      </c>
      <c r="CV51" s="49">
        <f>IFERROR(s_RadSpec!$H$21*(CV21/$B51),".")</f>
        <v>0</v>
      </c>
      <c r="CW51" s="49">
        <f>IFERROR(s_RadSpec!$H$21*(CW21/$B51),".")</f>
        <v>0</v>
      </c>
      <c r="CX51" s="49">
        <f>IFERROR(s_RadSpec!$H$21*(CX21/$B51),".")</f>
        <v>0</v>
      </c>
      <c r="CY51" s="49">
        <f>IFERROR(s_RadSpec!$H$21*(CY21/$B51),".")</f>
        <v>0</v>
      </c>
      <c r="CZ51" s="49">
        <f>IFERROR(s_RadSpec!$H$21*(CZ21/$B51),".")</f>
        <v>0</v>
      </c>
      <c r="DA51" s="49">
        <f>IFERROR(s_RadSpec!$H$21*(DA21/$B51),".")</f>
        <v>0</v>
      </c>
      <c r="DB51" s="49">
        <f>IFERROR(s_RadSpec!$H$21*(DB21/$B51),".")</f>
        <v>0</v>
      </c>
    </row>
    <row r="52" spans="1:106" x14ac:dyDescent="0.25">
      <c r="A52" s="83" t="s">
        <v>1074</v>
      </c>
      <c r="B52" s="85">
        <v>0.99980000000000002</v>
      </c>
      <c r="C52" s="60">
        <f t="shared" ref="C52" si="138">IFERROR(C17/$B52,0)</f>
        <v>7555.2495879953667</v>
      </c>
      <c r="D52" s="60">
        <f t="shared" ref="D52:AB52" si="139">IFERROR(D17/$B52,0)</f>
        <v>29028.233417025596</v>
      </c>
      <c r="E52" s="60">
        <f t="shared" si="139"/>
        <v>7295.8661529422616</v>
      </c>
      <c r="F52" s="60">
        <f t="shared" si="139"/>
        <v>23935.560887722862</v>
      </c>
      <c r="G52" s="60">
        <f t="shared" si="139"/>
        <v>29028.233417025596</v>
      </c>
      <c r="H52" s="60">
        <f t="shared" si="139"/>
        <v>23935.560887722862</v>
      </c>
      <c r="I52" s="60">
        <f t="shared" si="139"/>
        <v>7295.8661529422616</v>
      </c>
      <c r="J52" s="60">
        <f t="shared" si="139"/>
        <v>23935.560887722862</v>
      </c>
      <c r="K52" s="60">
        <f t="shared" si="139"/>
        <v>29028.233417025596</v>
      </c>
      <c r="L52" s="60">
        <f t="shared" si="139"/>
        <v>46405.679272115747</v>
      </c>
      <c r="M52" s="60">
        <f t="shared" si="139"/>
        <v>23935.560887722862</v>
      </c>
      <c r="N52" s="60">
        <f t="shared" si="139"/>
        <v>7295.8661529422616</v>
      </c>
      <c r="O52" s="60">
        <f t="shared" si="139"/>
        <v>36285.291771281991</v>
      </c>
      <c r="P52" s="60">
        <f t="shared" si="139"/>
        <v>23935.560887722862</v>
      </c>
      <c r="Q52" s="60">
        <f t="shared" si="139"/>
        <v>23935.560887722862</v>
      </c>
      <c r="R52" s="60">
        <f t="shared" si="139"/>
        <v>29028.233417025596</v>
      </c>
      <c r="S52" s="60">
        <f t="shared" si="139"/>
        <v>29028.233417025596</v>
      </c>
      <c r="T52" s="60">
        <f t="shared" si="139"/>
        <v>36285.291771281991</v>
      </c>
      <c r="U52" s="60">
        <f t="shared" ref="U52" si="140">IFERROR(U17/$B52,0)</f>
        <v>23935.560887722862</v>
      </c>
      <c r="V52" s="60">
        <f t="shared" si="139"/>
        <v>45477.565686673435</v>
      </c>
      <c r="W52" s="60">
        <f t="shared" si="139"/>
        <v>23935.560887722862</v>
      </c>
      <c r="X52" s="60">
        <f t="shared" si="139"/>
        <v>36285.291771281991</v>
      </c>
      <c r="Y52" s="60">
        <f t="shared" si="139"/>
        <v>29028.233417025596</v>
      </c>
      <c r="Z52" s="60">
        <f t="shared" si="139"/>
        <v>23935.560887722862</v>
      </c>
      <c r="AA52" s="60">
        <f t="shared" si="139"/>
        <v>49467.982980427958</v>
      </c>
      <c r="AB52" s="60">
        <f t="shared" si="139"/>
        <v>27843.407563269448</v>
      </c>
      <c r="AC52" s="49">
        <f t="shared" si="1"/>
        <v>6.6205630163532704E-9</v>
      </c>
      <c r="AD52" s="49">
        <f>IFERROR(s_RadSpec!$H$17*(AD17/$B52),".")</f>
        <v>1.7231501925385077E-9</v>
      </c>
      <c r="AE52" s="49">
        <f>IFERROR(s_RadSpec!$H$17*(AE17/$B52),".")</f>
        <v>6.8559380001000198E-9</v>
      </c>
      <c r="AF52" s="49">
        <f>IFERROR(s_RadSpec!$H$17*(AF17/$B52),".")</f>
        <v>2.0897778930786158E-9</v>
      </c>
      <c r="AG52" s="49">
        <f>IFERROR(s_RadSpec!$H$17*(AG17/$B52),".")</f>
        <v>1.7231501925385077E-9</v>
      </c>
      <c r="AH52" s="49">
        <f>IFERROR(s_RadSpec!$H$17*(AH17/$B52),".")</f>
        <v>2.0897778930786158E-9</v>
      </c>
      <c r="AI52" s="49">
        <f>IFERROR(s_RadSpec!$H$17*(AI17/$B52),".")</f>
        <v>6.8559380001000198E-9</v>
      </c>
      <c r="AJ52" s="49">
        <f>IFERROR(s_RadSpec!$H$17*(AJ17/$B52),".")</f>
        <v>2.0897778930786158E-9</v>
      </c>
      <c r="AK52" s="49">
        <f>IFERROR(s_RadSpec!$H$17*(AK17/$B52),".")</f>
        <v>1.7231501925385077E-9</v>
      </c>
      <c r="AL52" s="49">
        <f>IFERROR(s_RadSpec!$H$17*(AL17/$B52),".")</f>
        <v>1.0778854395879177E-9</v>
      </c>
      <c r="AM52" s="49">
        <f>IFERROR(s_RadSpec!$H$17*(AM17/$B52),".")</f>
        <v>2.0897778930786158E-9</v>
      </c>
      <c r="AN52" s="49">
        <f>IFERROR(s_RadSpec!$H$17*(AN17/$B52),".")</f>
        <v>6.8559380001000198E-9</v>
      </c>
      <c r="AO52" s="49">
        <f>IFERROR(s_RadSpec!$H$17*(AO17/$B52),".")</f>
        <v>1.3785201540308064E-9</v>
      </c>
      <c r="AP52" s="49">
        <f>IFERROR(s_RadSpec!$H$17*(AP17/$B52),".")</f>
        <v>2.0897778930786158E-9</v>
      </c>
      <c r="AQ52" s="49">
        <f>IFERROR(s_RadSpec!$H$17*(AQ17/$B52),".")</f>
        <v>2.0897778930786158E-9</v>
      </c>
      <c r="AR52" s="49">
        <f>IFERROR(s_RadSpec!$H$17*(AR17/$B52),".")</f>
        <v>1.7231501925385077E-9</v>
      </c>
      <c r="AS52" s="49">
        <f>IFERROR(s_RadSpec!$H$17*(AS17/$B52),".")</f>
        <v>1.7231501925385077E-9</v>
      </c>
      <c r="AT52" s="49">
        <f>IFERROR(s_RadSpec!$H$17*(AT17/$B52),".")</f>
        <v>1.3785201540308064E-9</v>
      </c>
      <c r="AU52" s="49">
        <f>IFERROR(s_RadSpec!$H$17*(AU17/$B52),".")</f>
        <v>2.0897778930786158E-9</v>
      </c>
      <c r="AV52" s="49">
        <f>IFERROR(s_RadSpec!$H$17*(AV17/$B52),".")</f>
        <v>1.0998831016203241E-9</v>
      </c>
      <c r="AW52" s="49">
        <f>IFERROR(s_RadSpec!$H$17*(AW17/$B52),".")</f>
        <v>2.0897778930786158E-9</v>
      </c>
      <c r="AX52" s="49">
        <f>IFERROR(s_RadSpec!$H$17*(AX17/$B52),".")</f>
        <v>1.3785201540308064E-9</v>
      </c>
      <c r="AY52" s="49">
        <f>IFERROR(s_RadSpec!$H$17*(AY17/$B52),".")</f>
        <v>1.7231501925385077E-9</v>
      </c>
      <c r="AZ52" s="49">
        <f>IFERROR(s_RadSpec!$H$17*(AZ17/$B52),".")</f>
        <v>2.0897778930786158E-9</v>
      </c>
      <c r="BA52" s="49">
        <f>IFERROR(s_RadSpec!$H$17*(BA17/$B52),".")</f>
        <v>1.0111591980896179E-9</v>
      </c>
      <c r="BB52" s="49">
        <f>IFERROR(s_RadSpec!$H$17*(BB17/$B52),".")</f>
        <v>1.7964757326465294E-9</v>
      </c>
      <c r="BC52" s="60">
        <f t="shared" ref="BC52" si="141">IFERROR($B52/BC17,0)</f>
        <v>1.3235830111938497E-4</v>
      </c>
      <c r="BD52" s="60">
        <f t="shared" ref="BD52:CB52" si="142">IFERROR($B52/BD17,0)</f>
        <v>3.4449220027750002E-5</v>
      </c>
      <c r="BE52" s="60">
        <f t="shared" si="142"/>
        <v>1.3706391798274999E-4</v>
      </c>
      <c r="BF52" s="60">
        <f t="shared" si="142"/>
        <v>4.1778841310249994E-5</v>
      </c>
      <c r="BG52" s="60">
        <f t="shared" si="142"/>
        <v>3.4449220027750002E-5</v>
      </c>
      <c r="BH52" s="60">
        <f t="shared" si="142"/>
        <v>4.1778841310249994E-5</v>
      </c>
      <c r="BI52" s="60">
        <f t="shared" si="142"/>
        <v>1.3706391798274999E-4</v>
      </c>
      <c r="BJ52" s="60">
        <f t="shared" si="142"/>
        <v>4.1778841310249994E-5</v>
      </c>
      <c r="BK52" s="60">
        <f t="shared" si="142"/>
        <v>3.4449220027750002E-5</v>
      </c>
      <c r="BL52" s="60">
        <f t="shared" si="142"/>
        <v>2.1549086570550001E-5</v>
      </c>
      <c r="BM52" s="60">
        <f t="shared" si="142"/>
        <v>4.1778841310249994E-5</v>
      </c>
      <c r="BN52" s="60">
        <f t="shared" si="142"/>
        <v>1.3706391798274999E-4</v>
      </c>
      <c r="BO52" s="60">
        <f t="shared" si="142"/>
        <v>2.7559376022200002E-5</v>
      </c>
      <c r="BP52" s="60">
        <f t="shared" si="142"/>
        <v>4.1778841310249994E-5</v>
      </c>
      <c r="BQ52" s="60">
        <f t="shared" si="142"/>
        <v>4.1778841310249994E-5</v>
      </c>
      <c r="BR52" s="60">
        <f t="shared" si="142"/>
        <v>3.4449220027750002E-5</v>
      </c>
      <c r="BS52" s="60">
        <f t="shared" si="142"/>
        <v>3.4449220027750002E-5</v>
      </c>
      <c r="BT52" s="60">
        <f t="shared" si="142"/>
        <v>2.7559376022200002E-5</v>
      </c>
      <c r="BU52" s="60">
        <f t="shared" ref="BU52" si="143">IFERROR($B52/BU17,0)</f>
        <v>4.1778841310249994E-5</v>
      </c>
      <c r="BV52" s="60">
        <f t="shared" si="142"/>
        <v>2.1988863847499999E-5</v>
      </c>
      <c r="BW52" s="60">
        <f t="shared" si="142"/>
        <v>4.1778841310249994E-5</v>
      </c>
      <c r="BX52" s="60">
        <f t="shared" si="142"/>
        <v>2.7559376022200002E-5</v>
      </c>
      <c r="BY52" s="60">
        <f t="shared" si="142"/>
        <v>3.4449220027750002E-5</v>
      </c>
      <c r="BZ52" s="60">
        <f t="shared" si="142"/>
        <v>4.1778841310249994E-5</v>
      </c>
      <c r="CA52" s="60">
        <f t="shared" si="142"/>
        <v>2.0215095497134999E-5</v>
      </c>
      <c r="CB52" s="60">
        <f t="shared" si="142"/>
        <v>3.5915144284250005E-5</v>
      </c>
      <c r="CC52" s="49">
        <f t="shared" si="3"/>
        <v>6.6205630163532704E-9</v>
      </c>
      <c r="CD52" s="49">
        <f>IFERROR(s_RadSpec!$H$17*(CD17/$B52),".")</f>
        <v>1.7231501925385077E-9</v>
      </c>
      <c r="CE52" s="49">
        <f>IFERROR(s_RadSpec!$H$17*(CE17/$B52),".")</f>
        <v>6.8559380001000198E-9</v>
      </c>
      <c r="CF52" s="49">
        <f>IFERROR(s_RadSpec!$H$17*(CF17/$B52),".")</f>
        <v>2.0897778930786158E-9</v>
      </c>
      <c r="CG52" s="49">
        <f>IFERROR(s_RadSpec!$H$17*(CG17/$B52),".")</f>
        <v>1.7231501925385077E-9</v>
      </c>
      <c r="CH52" s="49">
        <f>IFERROR(s_RadSpec!$H$17*(CH17/$B52),".")</f>
        <v>2.0897778930786158E-9</v>
      </c>
      <c r="CI52" s="49">
        <f>IFERROR(s_RadSpec!$H$17*(CI17/$B52),".")</f>
        <v>6.8559380001000198E-9</v>
      </c>
      <c r="CJ52" s="49">
        <f>IFERROR(s_RadSpec!$H$17*(CJ17/$B52),".")</f>
        <v>2.0897778930786158E-9</v>
      </c>
      <c r="CK52" s="49">
        <f>IFERROR(s_RadSpec!$H$17*(CK17/$B52),".")</f>
        <v>1.7231501925385077E-9</v>
      </c>
      <c r="CL52" s="49">
        <f>IFERROR(s_RadSpec!$H$17*(CL17/$B52),".")</f>
        <v>1.0778854395879177E-9</v>
      </c>
      <c r="CM52" s="49">
        <f>IFERROR(s_RadSpec!$H$17*(CM17/$B52),".")</f>
        <v>2.0897778930786158E-9</v>
      </c>
      <c r="CN52" s="49">
        <f>IFERROR(s_RadSpec!$H$17*(CN17/$B52),".")</f>
        <v>6.8559380001000198E-9</v>
      </c>
      <c r="CO52" s="49">
        <f>IFERROR(s_RadSpec!$H$17*(CO17/$B52),".")</f>
        <v>1.3785201540308064E-9</v>
      </c>
      <c r="CP52" s="49">
        <f>IFERROR(s_RadSpec!$H$17*(CP17/$B52),".")</f>
        <v>2.0897778930786158E-9</v>
      </c>
      <c r="CQ52" s="49">
        <f>IFERROR(s_RadSpec!$H$17*(CQ17/$B52),".")</f>
        <v>2.0897778930786158E-9</v>
      </c>
      <c r="CR52" s="49">
        <f>IFERROR(s_RadSpec!$H$17*(CR17/$B52),".")</f>
        <v>1.7231501925385077E-9</v>
      </c>
      <c r="CS52" s="49">
        <f>IFERROR(s_RadSpec!$H$17*(CS17/$B52),".")</f>
        <v>1.7231501925385077E-9</v>
      </c>
      <c r="CT52" s="49">
        <f>IFERROR(s_RadSpec!$H$17*(CT17/$B52),".")</f>
        <v>1.3785201540308064E-9</v>
      </c>
      <c r="CU52" s="49">
        <f>IFERROR(s_RadSpec!$H$17*(CU17/$B52),".")</f>
        <v>2.0897778930786158E-9</v>
      </c>
      <c r="CV52" s="49">
        <f>IFERROR(s_RadSpec!$H$17*(CV17/$B52),".")</f>
        <v>1.0998831016203241E-9</v>
      </c>
      <c r="CW52" s="49">
        <f>IFERROR(s_RadSpec!$H$17*(CW17/$B52),".")</f>
        <v>2.0897778930786158E-9</v>
      </c>
      <c r="CX52" s="49">
        <f>IFERROR(s_RadSpec!$H$17*(CX17/$B52),".")</f>
        <v>1.3785201540308064E-9</v>
      </c>
      <c r="CY52" s="49">
        <f>IFERROR(s_RadSpec!$H$17*(CY17/$B52),".")</f>
        <v>1.7231501925385077E-9</v>
      </c>
      <c r="CZ52" s="49">
        <f>IFERROR(s_RadSpec!$H$17*(CZ17/$B52),".")</f>
        <v>2.0897778930786158E-9</v>
      </c>
      <c r="DA52" s="49">
        <f>IFERROR(s_RadSpec!$H$17*(DA17/$B52),".")</f>
        <v>1.0111591980896179E-9</v>
      </c>
      <c r="DB52" s="49">
        <f>IFERROR(s_RadSpec!$H$17*(DB17/$B52),".")</f>
        <v>1.7964757326465294E-9</v>
      </c>
    </row>
    <row r="53" spans="1:106" x14ac:dyDescent="0.25">
      <c r="A53" s="83" t="s">
        <v>1088</v>
      </c>
      <c r="B53" s="42">
        <v>2.0000000000000001E-4</v>
      </c>
      <c r="C53" s="60">
        <f t="shared" ref="C53" si="144">IFERROR(C5/$B53,0)</f>
        <v>0</v>
      </c>
      <c r="D53" s="60">
        <f t="shared" ref="D53:AB53" si="145">IFERROR(D5/$B53,0)</f>
        <v>0</v>
      </c>
      <c r="E53" s="60">
        <f t="shared" si="145"/>
        <v>0</v>
      </c>
      <c r="F53" s="60">
        <f t="shared" si="145"/>
        <v>0</v>
      </c>
      <c r="G53" s="60">
        <f t="shared" si="145"/>
        <v>0</v>
      </c>
      <c r="H53" s="60">
        <f t="shared" si="145"/>
        <v>0</v>
      </c>
      <c r="I53" s="60">
        <f t="shared" si="145"/>
        <v>0</v>
      </c>
      <c r="J53" s="60">
        <f t="shared" si="145"/>
        <v>0</v>
      </c>
      <c r="K53" s="60">
        <f t="shared" si="145"/>
        <v>0</v>
      </c>
      <c r="L53" s="60">
        <f t="shared" si="145"/>
        <v>0</v>
      </c>
      <c r="M53" s="60">
        <f t="shared" si="145"/>
        <v>0</v>
      </c>
      <c r="N53" s="60">
        <f t="shared" si="145"/>
        <v>0</v>
      </c>
      <c r="O53" s="60">
        <f t="shared" si="145"/>
        <v>0</v>
      </c>
      <c r="P53" s="60">
        <f t="shared" si="145"/>
        <v>0</v>
      </c>
      <c r="Q53" s="60">
        <f t="shared" si="145"/>
        <v>0</v>
      </c>
      <c r="R53" s="60">
        <f t="shared" si="145"/>
        <v>0</v>
      </c>
      <c r="S53" s="60">
        <f t="shared" si="145"/>
        <v>0</v>
      </c>
      <c r="T53" s="60">
        <f t="shared" si="145"/>
        <v>0</v>
      </c>
      <c r="U53" s="60">
        <f t="shared" ref="U53" si="146">IFERROR(U5/$B53,0)</f>
        <v>0</v>
      </c>
      <c r="V53" s="60">
        <f t="shared" si="145"/>
        <v>0</v>
      </c>
      <c r="W53" s="60">
        <f t="shared" si="145"/>
        <v>0</v>
      </c>
      <c r="X53" s="60">
        <f t="shared" si="145"/>
        <v>0</v>
      </c>
      <c r="Y53" s="60">
        <f t="shared" si="145"/>
        <v>0</v>
      </c>
      <c r="Z53" s="60">
        <f t="shared" si="145"/>
        <v>0</v>
      </c>
      <c r="AA53" s="60">
        <f t="shared" si="145"/>
        <v>0</v>
      </c>
      <c r="AB53" s="60">
        <f t="shared" si="145"/>
        <v>0</v>
      </c>
      <c r="AC53" s="49">
        <f t="shared" si="1"/>
        <v>0</v>
      </c>
      <c r="AD53" s="49">
        <f>IFERROR(s_RadSpec!$H$5*(AD5/$B53),".")</f>
        <v>0</v>
      </c>
      <c r="AE53" s="49">
        <f>IFERROR(s_RadSpec!$H$5*(AE5/$B53),".")</f>
        <v>0</v>
      </c>
      <c r="AF53" s="49">
        <f>IFERROR(s_RadSpec!$H$5*(AF5/$B53),".")</f>
        <v>0</v>
      </c>
      <c r="AG53" s="49">
        <f>IFERROR(s_RadSpec!$H$5*(AG5/$B53),".")</f>
        <v>0</v>
      </c>
      <c r="AH53" s="49">
        <f>IFERROR(s_RadSpec!$H$5*(AH5/$B53),".")</f>
        <v>0</v>
      </c>
      <c r="AI53" s="49">
        <f>IFERROR(s_RadSpec!$H$5*(AI5/$B53),".")</f>
        <v>0</v>
      </c>
      <c r="AJ53" s="49">
        <f>IFERROR(s_RadSpec!$H$5*(AJ5/$B53),".")</f>
        <v>0</v>
      </c>
      <c r="AK53" s="49">
        <f>IFERROR(s_RadSpec!$H$5*(AK5/$B53),".")</f>
        <v>0</v>
      </c>
      <c r="AL53" s="49">
        <f>IFERROR(s_RadSpec!$H$5*(AL5/$B53),".")</f>
        <v>0</v>
      </c>
      <c r="AM53" s="49">
        <f>IFERROR(s_RadSpec!$H$5*(AM5/$B53),".")</f>
        <v>0</v>
      </c>
      <c r="AN53" s="49">
        <f>IFERROR(s_RadSpec!$H$5*(AN5/$B53),".")</f>
        <v>0</v>
      </c>
      <c r="AO53" s="49">
        <f>IFERROR(s_RadSpec!$H$5*(AO5/$B53),".")</f>
        <v>0</v>
      </c>
      <c r="AP53" s="49">
        <f>IFERROR(s_RadSpec!$H$5*(AP5/$B53),".")</f>
        <v>0</v>
      </c>
      <c r="AQ53" s="49">
        <f>IFERROR(s_RadSpec!$H$5*(AQ5/$B53),".")</f>
        <v>0</v>
      </c>
      <c r="AR53" s="49">
        <f>IFERROR(s_RadSpec!$H$5*(AR5/$B53),".")</f>
        <v>0</v>
      </c>
      <c r="AS53" s="49">
        <f>IFERROR(s_RadSpec!$H$5*(AS5/$B53),".")</f>
        <v>0</v>
      </c>
      <c r="AT53" s="49">
        <f>IFERROR(s_RadSpec!$H$5*(AT5/$B53),".")</f>
        <v>0</v>
      </c>
      <c r="AU53" s="49">
        <f>IFERROR(s_RadSpec!$H$5*(AU5/$B53),".")</f>
        <v>0</v>
      </c>
      <c r="AV53" s="49">
        <f>IFERROR(s_RadSpec!$H$5*(AV5/$B53),".")</f>
        <v>0</v>
      </c>
      <c r="AW53" s="49">
        <f>IFERROR(s_RadSpec!$H$5*(AW5/$B53),".")</f>
        <v>0</v>
      </c>
      <c r="AX53" s="49">
        <f>IFERROR(s_RadSpec!$H$5*(AX5/$B53),".")</f>
        <v>0</v>
      </c>
      <c r="AY53" s="49">
        <f>IFERROR(s_RadSpec!$H$5*(AY5/$B53),".")</f>
        <v>0</v>
      </c>
      <c r="AZ53" s="49">
        <f>IFERROR(s_RadSpec!$H$5*(AZ5/$B53),".")</f>
        <v>0</v>
      </c>
      <c r="BA53" s="49">
        <f>IFERROR(s_RadSpec!$H$5*(BA5/$B53),".")</f>
        <v>0</v>
      </c>
      <c r="BB53" s="49">
        <f>IFERROR(s_RadSpec!$H$5*(BB5/$B53),".")</f>
        <v>0</v>
      </c>
      <c r="BC53" s="60">
        <f t="shared" ref="BC53" si="147">IFERROR($B53/BC5,0)</f>
        <v>0</v>
      </c>
      <c r="BD53" s="60">
        <f t="shared" ref="BD53:CB53" si="148">IFERROR($B53/BD5,0)</f>
        <v>0</v>
      </c>
      <c r="BE53" s="60">
        <f t="shared" si="148"/>
        <v>0</v>
      </c>
      <c r="BF53" s="60">
        <f t="shared" si="148"/>
        <v>0</v>
      </c>
      <c r="BG53" s="60">
        <f t="shared" si="148"/>
        <v>0</v>
      </c>
      <c r="BH53" s="60">
        <f t="shared" si="148"/>
        <v>0</v>
      </c>
      <c r="BI53" s="60">
        <f t="shared" si="148"/>
        <v>0</v>
      </c>
      <c r="BJ53" s="60">
        <f t="shared" si="148"/>
        <v>0</v>
      </c>
      <c r="BK53" s="60">
        <f t="shared" si="148"/>
        <v>0</v>
      </c>
      <c r="BL53" s="60">
        <f t="shared" si="148"/>
        <v>0</v>
      </c>
      <c r="BM53" s="60">
        <f t="shared" si="148"/>
        <v>0</v>
      </c>
      <c r="BN53" s="60">
        <f t="shared" si="148"/>
        <v>0</v>
      </c>
      <c r="BO53" s="60">
        <f t="shared" si="148"/>
        <v>0</v>
      </c>
      <c r="BP53" s="60">
        <f t="shared" si="148"/>
        <v>0</v>
      </c>
      <c r="BQ53" s="60">
        <f t="shared" si="148"/>
        <v>0</v>
      </c>
      <c r="BR53" s="60">
        <f t="shared" si="148"/>
        <v>0</v>
      </c>
      <c r="BS53" s="60">
        <f t="shared" si="148"/>
        <v>0</v>
      </c>
      <c r="BT53" s="60">
        <f t="shared" si="148"/>
        <v>0</v>
      </c>
      <c r="BU53" s="60">
        <f t="shared" ref="BU53" si="149">IFERROR($B53/BU5,0)</f>
        <v>0</v>
      </c>
      <c r="BV53" s="60">
        <f t="shared" si="148"/>
        <v>0</v>
      </c>
      <c r="BW53" s="60">
        <f t="shared" si="148"/>
        <v>0</v>
      </c>
      <c r="BX53" s="60">
        <f t="shared" si="148"/>
        <v>0</v>
      </c>
      <c r="BY53" s="60">
        <f t="shared" si="148"/>
        <v>0</v>
      </c>
      <c r="BZ53" s="60">
        <f t="shared" si="148"/>
        <v>0</v>
      </c>
      <c r="CA53" s="60">
        <f t="shared" si="148"/>
        <v>0</v>
      </c>
      <c r="CB53" s="60">
        <f t="shared" si="148"/>
        <v>0</v>
      </c>
      <c r="CC53" s="49">
        <f t="shared" si="3"/>
        <v>0</v>
      </c>
      <c r="CD53" s="49">
        <f>IFERROR(s_RadSpec!$H$5*(CD5/$B53),".")</f>
        <v>0</v>
      </c>
      <c r="CE53" s="49">
        <f>IFERROR(s_RadSpec!$H$5*(CE5/$B53),".")</f>
        <v>0</v>
      </c>
      <c r="CF53" s="49">
        <f>IFERROR(s_RadSpec!$H$5*(CF5/$B53),".")</f>
        <v>0</v>
      </c>
      <c r="CG53" s="49">
        <f>IFERROR(s_RadSpec!$H$5*(CG5/$B53),".")</f>
        <v>0</v>
      </c>
      <c r="CH53" s="49">
        <f>IFERROR(s_RadSpec!$H$5*(CH5/$B53),".")</f>
        <v>0</v>
      </c>
      <c r="CI53" s="49">
        <f>IFERROR(s_RadSpec!$H$5*(CI5/$B53),".")</f>
        <v>0</v>
      </c>
      <c r="CJ53" s="49">
        <f>IFERROR(s_RadSpec!$H$5*(CJ5/$B53),".")</f>
        <v>0</v>
      </c>
      <c r="CK53" s="49">
        <f>IFERROR(s_RadSpec!$H$5*(CK5/$B53),".")</f>
        <v>0</v>
      </c>
      <c r="CL53" s="49">
        <f>IFERROR(s_RadSpec!$H$5*(CL5/$B53),".")</f>
        <v>0</v>
      </c>
      <c r="CM53" s="49">
        <f>IFERROR(s_RadSpec!$H$5*(CM5/$B53),".")</f>
        <v>0</v>
      </c>
      <c r="CN53" s="49">
        <f>IFERROR(s_RadSpec!$H$5*(CN5/$B53),".")</f>
        <v>0</v>
      </c>
      <c r="CO53" s="49">
        <f>IFERROR(s_RadSpec!$H$5*(CO5/$B53),".")</f>
        <v>0</v>
      </c>
      <c r="CP53" s="49">
        <f>IFERROR(s_RadSpec!$H$5*(CP5/$B53),".")</f>
        <v>0</v>
      </c>
      <c r="CQ53" s="49">
        <f>IFERROR(s_RadSpec!$H$5*(CQ5/$B53),".")</f>
        <v>0</v>
      </c>
      <c r="CR53" s="49">
        <f>IFERROR(s_RadSpec!$H$5*(CR5/$B53),".")</f>
        <v>0</v>
      </c>
      <c r="CS53" s="49">
        <f>IFERROR(s_RadSpec!$H$5*(CS5/$B53),".")</f>
        <v>0</v>
      </c>
      <c r="CT53" s="49">
        <f>IFERROR(s_RadSpec!$H$5*(CT5/$B53),".")</f>
        <v>0</v>
      </c>
      <c r="CU53" s="49">
        <f>IFERROR(s_RadSpec!$H$5*(CU5/$B53),".")</f>
        <v>0</v>
      </c>
      <c r="CV53" s="49">
        <f>IFERROR(s_RadSpec!$H$5*(CV5/$B53),".")</f>
        <v>0</v>
      </c>
      <c r="CW53" s="49">
        <f>IFERROR(s_RadSpec!$H$5*(CW5/$B53),".")</f>
        <v>0</v>
      </c>
      <c r="CX53" s="49">
        <f>IFERROR(s_RadSpec!$H$5*(CX5/$B53),".")</f>
        <v>0</v>
      </c>
      <c r="CY53" s="49">
        <f>IFERROR(s_RadSpec!$H$5*(CY5/$B53),".")</f>
        <v>0</v>
      </c>
      <c r="CZ53" s="49">
        <f>IFERROR(s_RadSpec!$H$5*(CZ5/$B53),".")</f>
        <v>0</v>
      </c>
      <c r="DA53" s="49">
        <f>IFERROR(s_RadSpec!$H$5*(DA5/$B53),".")</f>
        <v>0</v>
      </c>
      <c r="DB53" s="49">
        <f>IFERROR(s_RadSpec!$H$5*(DB5/$B53),".")</f>
        <v>0</v>
      </c>
    </row>
    <row r="54" spans="1:106" x14ac:dyDescent="0.25">
      <c r="A54" s="83" t="s">
        <v>1089</v>
      </c>
      <c r="B54" s="42">
        <v>0.99999979999999999</v>
      </c>
      <c r="C54" s="60">
        <f t="shared" ref="C54" si="150">IFERROR(C9/$B54,0)</f>
        <v>2744.7195473095426</v>
      </c>
      <c r="D54" s="60">
        <f t="shared" ref="D54:AB54" si="151">IFERROR(D9/$B54,0)</f>
        <v>10978.87818923817</v>
      </c>
      <c r="E54" s="60">
        <f t="shared" si="151"/>
        <v>10978.87818923817</v>
      </c>
      <c r="F54" s="60">
        <f t="shared" si="151"/>
        <v>10978.87818923817</v>
      </c>
      <c r="G54" s="60">
        <f t="shared" si="151"/>
        <v>10978.87818923817</v>
      </c>
      <c r="H54" s="60">
        <f t="shared" si="151"/>
        <v>10978.87818923817</v>
      </c>
      <c r="I54" s="60">
        <f t="shared" si="151"/>
        <v>10978.87818923817</v>
      </c>
      <c r="J54" s="60">
        <f t="shared" si="151"/>
        <v>10978.87818923817</v>
      </c>
      <c r="K54" s="60">
        <f t="shared" si="151"/>
        <v>10978.87818923817</v>
      </c>
      <c r="L54" s="60">
        <f t="shared" si="151"/>
        <v>10978.87818923817</v>
      </c>
      <c r="M54" s="60">
        <f t="shared" si="151"/>
        <v>10978.87818923817</v>
      </c>
      <c r="N54" s="60">
        <f t="shared" si="151"/>
        <v>10978.87818923817</v>
      </c>
      <c r="O54" s="60">
        <f t="shared" si="151"/>
        <v>10978.87818923817</v>
      </c>
      <c r="P54" s="60">
        <f t="shared" si="151"/>
        <v>10978.87818923817</v>
      </c>
      <c r="Q54" s="60">
        <f t="shared" si="151"/>
        <v>10978.87818923817</v>
      </c>
      <c r="R54" s="60">
        <f t="shared" si="151"/>
        <v>10978.87818923817</v>
      </c>
      <c r="S54" s="60">
        <f t="shared" si="151"/>
        <v>10978.87818923817</v>
      </c>
      <c r="T54" s="60">
        <f t="shared" si="151"/>
        <v>10978.87818923817</v>
      </c>
      <c r="U54" s="60">
        <f t="shared" ref="U54" si="152">IFERROR(U9/$B54,0)</f>
        <v>10978.87818923817</v>
      </c>
      <c r="V54" s="60">
        <f t="shared" si="151"/>
        <v>10978.87818923817</v>
      </c>
      <c r="W54" s="60">
        <f t="shared" si="151"/>
        <v>10978.87818923817</v>
      </c>
      <c r="X54" s="60">
        <f t="shared" si="151"/>
        <v>10978.87818923817</v>
      </c>
      <c r="Y54" s="60">
        <f t="shared" si="151"/>
        <v>10978.87818923817</v>
      </c>
      <c r="Z54" s="60">
        <f t="shared" si="151"/>
        <v>10978.87818923817</v>
      </c>
      <c r="AA54" s="60">
        <f t="shared" si="151"/>
        <v>10978.87818923817</v>
      </c>
      <c r="AB54" s="60">
        <f t="shared" si="151"/>
        <v>10978.87818923817</v>
      </c>
      <c r="AC54" s="49">
        <f t="shared" si="1"/>
        <v>1.8216804718360947E-8</v>
      </c>
      <c r="AD54" s="49">
        <f>IFERROR(s_RadSpec!$H$9*(AD9/$B54),".")</f>
        <v>4.5542011795902368E-9</v>
      </c>
      <c r="AE54" s="49">
        <f>IFERROR(s_RadSpec!$H$9*(AE9/$B54),".")</f>
        <v>4.5542011795902368E-9</v>
      </c>
      <c r="AF54" s="49">
        <f>IFERROR(s_RadSpec!$H$9*(AF9/$B54),".")</f>
        <v>4.5542011795902368E-9</v>
      </c>
      <c r="AG54" s="49">
        <f>IFERROR(s_RadSpec!$H$9*(AG9/$B54),".")</f>
        <v>4.5542011795902368E-9</v>
      </c>
      <c r="AH54" s="49">
        <f>IFERROR(s_RadSpec!$H$9*(AH9/$B54),".")</f>
        <v>4.5542011795902368E-9</v>
      </c>
      <c r="AI54" s="49">
        <f>IFERROR(s_RadSpec!$H$9*(AI9/$B54),".")</f>
        <v>4.5542011795902368E-9</v>
      </c>
      <c r="AJ54" s="49">
        <f>IFERROR(s_RadSpec!$H$9*(AJ9/$B54),".")</f>
        <v>4.5542011795902368E-9</v>
      </c>
      <c r="AK54" s="49">
        <f>IFERROR(s_RadSpec!$H$9*(AK9/$B54),".")</f>
        <v>4.5542011795902368E-9</v>
      </c>
      <c r="AL54" s="49">
        <f>IFERROR(s_RadSpec!$H$9*(AL9/$B54),".")</f>
        <v>4.5542011795902368E-9</v>
      </c>
      <c r="AM54" s="49">
        <f>IFERROR(s_RadSpec!$H$9*(AM9/$B54),".")</f>
        <v>4.5542011795902368E-9</v>
      </c>
      <c r="AN54" s="49">
        <f>IFERROR(s_RadSpec!$H$9*(AN9/$B54),".")</f>
        <v>4.5542011795902368E-9</v>
      </c>
      <c r="AO54" s="49">
        <f>IFERROR(s_RadSpec!$H$9*(AO9/$B54),".")</f>
        <v>4.5542011795902368E-9</v>
      </c>
      <c r="AP54" s="49">
        <f>IFERROR(s_RadSpec!$H$9*(AP9/$B54),".")</f>
        <v>4.5542011795902368E-9</v>
      </c>
      <c r="AQ54" s="49">
        <f>IFERROR(s_RadSpec!$H$9*(AQ9/$B54),".")</f>
        <v>4.5542011795902368E-9</v>
      </c>
      <c r="AR54" s="49">
        <f>IFERROR(s_RadSpec!$H$9*(AR9/$B54),".")</f>
        <v>4.5542011795902368E-9</v>
      </c>
      <c r="AS54" s="49">
        <f>IFERROR(s_RadSpec!$H$9*(AS9/$B54),".")</f>
        <v>4.5542011795902368E-9</v>
      </c>
      <c r="AT54" s="49">
        <f>IFERROR(s_RadSpec!$H$9*(AT9/$B54),".")</f>
        <v>4.5542011795902368E-9</v>
      </c>
      <c r="AU54" s="49">
        <f>IFERROR(s_RadSpec!$H$9*(AU9/$B54),".")</f>
        <v>4.5542011795902368E-9</v>
      </c>
      <c r="AV54" s="49">
        <f>IFERROR(s_RadSpec!$H$9*(AV9/$B54),".")</f>
        <v>4.5542011795902368E-9</v>
      </c>
      <c r="AW54" s="49">
        <f>IFERROR(s_RadSpec!$H$9*(AW9/$B54),".")</f>
        <v>4.5542011795902368E-9</v>
      </c>
      <c r="AX54" s="49">
        <f>IFERROR(s_RadSpec!$H$9*(AX9/$B54),".")</f>
        <v>4.5542011795902368E-9</v>
      </c>
      <c r="AY54" s="49">
        <f>IFERROR(s_RadSpec!$H$9*(AY9/$B54),".")</f>
        <v>4.5542011795902368E-9</v>
      </c>
      <c r="AZ54" s="49">
        <f>IFERROR(s_RadSpec!$H$9*(AZ9/$B54),".")</f>
        <v>4.5542011795902368E-9</v>
      </c>
      <c r="BA54" s="49">
        <f>IFERROR(s_RadSpec!$H$9*(BA9/$B54),".")</f>
        <v>4.5542011795902368E-9</v>
      </c>
      <c r="BB54" s="49">
        <f>IFERROR(s_RadSpec!$H$9*(BB9/$B54),".")</f>
        <v>4.5542011795902368E-9</v>
      </c>
      <c r="BC54" s="60">
        <f t="shared" ref="BC54" si="153">IFERROR($B54/BC9,0)</f>
        <v>3.6433594863279577E-4</v>
      </c>
      <c r="BD54" s="60">
        <f t="shared" ref="BD54:CB54" si="154">IFERROR($B54/BD9,0)</f>
        <v>9.1083987158198943E-5</v>
      </c>
      <c r="BE54" s="60">
        <f t="shared" si="154"/>
        <v>9.1083987158198943E-5</v>
      </c>
      <c r="BF54" s="60">
        <f t="shared" si="154"/>
        <v>9.1083987158198943E-5</v>
      </c>
      <c r="BG54" s="60">
        <f t="shared" si="154"/>
        <v>9.1083987158198943E-5</v>
      </c>
      <c r="BH54" s="60">
        <f t="shared" si="154"/>
        <v>9.1083987158198943E-5</v>
      </c>
      <c r="BI54" s="60">
        <f t="shared" si="154"/>
        <v>9.1083987158198943E-5</v>
      </c>
      <c r="BJ54" s="60">
        <f t="shared" si="154"/>
        <v>9.1083987158198943E-5</v>
      </c>
      <c r="BK54" s="60">
        <f t="shared" si="154"/>
        <v>9.1083987158198943E-5</v>
      </c>
      <c r="BL54" s="60">
        <f t="shared" si="154"/>
        <v>9.1083987158198943E-5</v>
      </c>
      <c r="BM54" s="60">
        <f t="shared" si="154"/>
        <v>9.1083987158198943E-5</v>
      </c>
      <c r="BN54" s="60">
        <f t="shared" si="154"/>
        <v>9.1083987158198943E-5</v>
      </c>
      <c r="BO54" s="60">
        <f t="shared" si="154"/>
        <v>9.1083987158198943E-5</v>
      </c>
      <c r="BP54" s="60">
        <f t="shared" si="154"/>
        <v>9.1083987158198943E-5</v>
      </c>
      <c r="BQ54" s="60">
        <f t="shared" si="154"/>
        <v>9.1083987158198943E-5</v>
      </c>
      <c r="BR54" s="60">
        <f t="shared" si="154"/>
        <v>9.1083987158198943E-5</v>
      </c>
      <c r="BS54" s="60">
        <f t="shared" si="154"/>
        <v>9.1083987158198943E-5</v>
      </c>
      <c r="BT54" s="60">
        <f t="shared" si="154"/>
        <v>9.1083987158198943E-5</v>
      </c>
      <c r="BU54" s="60">
        <f t="shared" ref="BU54" si="155">IFERROR($B54/BU9,0)</f>
        <v>9.1083987158198943E-5</v>
      </c>
      <c r="BV54" s="60">
        <f t="shared" si="154"/>
        <v>9.1083987158198943E-5</v>
      </c>
      <c r="BW54" s="60">
        <f t="shared" si="154"/>
        <v>9.1083987158198943E-5</v>
      </c>
      <c r="BX54" s="60">
        <f t="shared" si="154"/>
        <v>9.1083987158198943E-5</v>
      </c>
      <c r="BY54" s="60">
        <f t="shared" si="154"/>
        <v>9.1083987158198943E-5</v>
      </c>
      <c r="BZ54" s="60">
        <f t="shared" si="154"/>
        <v>9.1083987158198943E-5</v>
      </c>
      <c r="CA54" s="60">
        <f t="shared" si="154"/>
        <v>9.1083987158198943E-5</v>
      </c>
      <c r="CB54" s="60">
        <f t="shared" si="154"/>
        <v>9.1083987158198943E-5</v>
      </c>
      <c r="CC54" s="49">
        <f t="shared" si="3"/>
        <v>1.8216804718360947E-8</v>
      </c>
      <c r="CD54" s="49">
        <f>IFERROR(s_RadSpec!$H$9*(CD9/$B54),".")</f>
        <v>4.5542011795902368E-9</v>
      </c>
      <c r="CE54" s="49">
        <f>IFERROR(s_RadSpec!$H$9*(CE9/$B54),".")</f>
        <v>4.5542011795902368E-9</v>
      </c>
      <c r="CF54" s="49">
        <f>IFERROR(s_RadSpec!$H$9*(CF9/$B54),".")</f>
        <v>4.5542011795902368E-9</v>
      </c>
      <c r="CG54" s="49">
        <f>IFERROR(s_RadSpec!$H$9*(CG9/$B54),".")</f>
        <v>4.5542011795902368E-9</v>
      </c>
      <c r="CH54" s="49">
        <f>IFERROR(s_RadSpec!$H$9*(CH9/$B54),".")</f>
        <v>4.5542011795902368E-9</v>
      </c>
      <c r="CI54" s="49">
        <f>IFERROR(s_RadSpec!$H$9*(CI9/$B54),".")</f>
        <v>4.5542011795902368E-9</v>
      </c>
      <c r="CJ54" s="49">
        <f>IFERROR(s_RadSpec!$H$9*(CJ9/$B54),".")</f>
        <v>4.5542011795902368E-9</v>
      </c>
      <c r="CK54" s="49">
        <f>IFERROR(s_RadSpec!$H$9*(CK9/$B54),".")</f>
        <v>4.5542011795902368E-9</v>
      </c>
      <c r="CL54" s="49">
        <f>IFERROR(s_RadSpec!$H$9*(CL9/$B54),".")</f>
        <v>4.5542011795902368E-9</v>
      </c>
      <c r="CM54" s="49">
        <f>IFERROR(s_RadSpec!$H$9*(CM9/$B54),".")</f>
        <v>4.5542011795902368E-9</v>
      </c>
      <c r="CN54" s="49">
        <f>IFERROR(s_RadSpec!$H$9*(CN9/$B54),".")</f>
        <v>4.5542011795902368E-9</v>
      </c>
      <c r="CO54" s="49">
        <f>IFERROR(s_RadSpec!$H$9*(CO9/$B54),".")</f>
        <v>4.5542011795902368E-9</v>
      </c>
      <c r="CP54" s="49">
        <f>IFERROR(s_RadSpec!$H$9*(CP9/$B54),".")</f>
        <v>4.5542011795902368E-9</v>
      </c>
      <c r="CQ54" s="49">
        <f>IFERROR(s_RadSpec!$H$9*(CQ9/$B54),".")</f>
        <v>4.5542011795902368E-9</v>
      </c>
      <c r="CR54" s="49">
        <f>IFERROR(s_RadSpec!$H$9*(CR9/$B54),".")</f>
        <v>4.5542011795902368E-9</v>
      </c>
      <c r="CS54" s="49">
        <f>IFERROR(s_RadSpec!$H$9*(CS9/$B54),".")</f>
        <v>4.5542011795902368E-9</v>
      </c>
      <c r="CT54" s="49">
        <f>IFERROR(s_RadSpec!$H$9*(CT9/$B54),".")</f>
        <v>4.5542011795902368E-9</v>
      </c>
      <c r="CU54" s="49">
        <f>IFERROR(s_RadSpec!$H$9*(CU9/$B54),".")</f>
        <v>4.5542011795902368E-9</v>
      </c>
      <c r="CV54" s="49">
        <f>IFERROR(s_RadSpec!$H$9*(CV9/$B54),".")</f>
        <v>4.5542011795902368E-9</v>
      </c>
      <c r="CW54" s="49">
        <f>IFERROR(s_RadSpec!$H$9*(CW9/$B54),".")</f>
        <v>4.5542011795902368E-9</v>
      </c>
      <c r="CX54" s="49">
        <f>IFERROR(s_RadSpec!$H$9*(CX9/$B54),".")</f>
        <v>4.5542011795902368E-9</v>
      </c>
      <c r="CY54" s="49">
        <f>IFERROR(s_RadSpec!$H$9*(CY9/$B54),".")</f>
        <v>4.5542011795902368E-9</v>
      </c>
      <c r="CZ54" s="49">
        <f>IFERROR(s_RadSpec!$H$9*(CZ9/$B54),".")</f>
        <v>4.5542011795902368E-9</v>
      </c>
      <c r="DA54" s="49">
        <f>IFERROR(s_RadSpec!$H$9*(DA9/$B54),".")</f>
        <v>4.5542011795902368E-9</v>
      </c>
      <c r="DB54" s="49">
        <f>IFERROR(s_RadSpec!$H$9*(DB9/$B54),".")</f>
        <v>4.5542011795902368E-9</v>
      </c>
    </row>
    <row r="55" spans="1:106" x14ac:dyDescent="0.25">
      <c r="A55" s="83" t="s">
        <v>1090</v>
      </c>
      <c r="B55" s="42">
        <v>1.9999999999999999E-7</v>
      </c>
      <c r="C55" s="60">
        <f t="shared" ref="C55" si="156">IFERROR(C24/$B55,0)</f>
        <v>0</v>
      </c>
      <c r="D55" s="60">
        <f t="shared" ref="D55:AB55" si="157">IFERROR(D24/$B55,0)</f>
        <v>0</v>
      </c>
      <c r="E55" s="60">
        <f t="shared" si="157"/>
        <v>0</v>
      </c>
      <c r="F55" s="60">
        <f t="shared" si="157"/>
        <v>0</v>
      </c>
      <c r="G55" s="60">
        <f t="shared" si="157"/>
        <v>0</v>
      </c>
      <c r="H55" s="60">
        <f t="shared" si="157"/>
        <v>0</v>
      </c>
      <c r="I55" s="60">
        <f t="shared" si="157"/>
        <v>0</v>
      </c>
      <c r="J55" s="60">
        <f t="shared" si="157"/>
        <v>0</v>
      </c>
      <c r="K55" s="60">
        <f t="shared" si="157"/>
        <v>0</v>
      </c>
      <c r="L55" s="60">
        <f t="shared" si="157"/>
        <v>0</v>
      </c>
      <c r="M55" s="60">
        <f t="shared" si="157"/>
        <v>0</v>
      </c>
      <c r="N55" s="60">
        <f t="shared" si="157"/>
        <v>0</v>
      </c>
      <c r="O55" s="60">
        <f t="shared" si="157"/>
        <v>0</v>
      </c>
      <c r="P55" s="60">
        <f t="shared" si="157"/>
        <v>0</v>
      </c>
      <c r="Q55" s="60">
        <f t="shared" si="157"/>
        <v>0</v>
      </c>
      <c r="R55" s="60">
        <f t="shared" si="157"/>
        <v>0</v>
      </c>
      <c r="S55" s="60">
        <f t="shared" si="157"/>
        <v>0</v>
      </c>
      <c r="T55" s="60">
        <f t="shared" si="157"/>
        <v>0</v>
      </c>
      <c r="U55" s="60">
        <f t="shared" ref="U55" si="158">IFERROR(U24/$B55,0)</f>
        <v>0</v>
      </c>
      <c r="V55" s="60">
        <f t="shared" si="157"/>
        <v>0</v>
      </c>
      <c r="W55" s="60">
        <f t="shared" si="157"/>
        <v>0</v>
      </c>
      <c r="X55" s="60">
        <f t="shared" si="157"/>
        <v>0</v>
      </c>
      <c r="Y55" s="60">
        <f t="shared" si="157"/>
        <v>0</v>
      </c>
      <c r="Z55" s="60">
        <f t="shared" si="157"/>
        <v>0</v>
      </c>
      <c r="AA55" s="60">
        <f t="shared" si="157"/>
        <v>0</v>
      </c>
      <c r="AB55" s="60">
        <f t="shared" si="157"/>
        <v>0</v>
      </c>
      <c r="AC55" s="49">
        <f t="shared" si="1"/>
        <v>0</v>
      </c>
      <c r="AD55" s="49">
        <f>IFERROR(s_RadSpec!$H$24*(AD24/$B55),".")</f>
        <v>0</v>
      </c>
      <c r="AE55" s="49">
        <f>IFERROR(s_RadSpec!$H$24*(AE24/$B55),".")</f>
        <v>0</v>
      </c>
      <c r="AF55" s="49">
        <f>IFERROR(s_RadSpec!$H$24*(AF24/$B55),".")</f>
        <v>0</v>
      </c>
      <c r="AG55" s="49">
        <f>IFERROR(s_RadSpec!$H$24*(AG24/$B55),".")</f>
        <v>0</v>
      </c>
      <c r="AH55" s="49">
        <f>IFERROR(s_RadSpec!$H$24*(AH24/$B55),".")</f>
        <v>0</v>
      </c>
      <c r="AI55" s="49">
        <f>IFERROR(s_RadSpec!$H$24*(AI24/$B55),".")</f>
        <v>0</v>
      </c>
      <c r="AJ55" s="49">
        <f>IFERROR(s_RadSpec!$H$24*(AJ24/$B55),".")</f>
        <v>0</v>
      </c>
      <c r="AK55" s="49">
        <f>IFERROR(s_RadSpec!$H$24*(AK24/$B55),".")</f>
        <v>0</v>
      </c>
      <c r="AL55" s="49">
        <f>IFERROR(s_RadSpec!$H$24*(AL24/$B55),".")</f>
        <v>0</v>
      </c>
      <c r="AM55" s="49">
        <f>IFERROR(s_RadSpec!$H$24*(AM24/$B55),".")</f>
        <v>0</v>
      </c>
      <c r="AN55" s="49">
        <f>IFERROR(s_RadSpec!$H$24*(AN24/$B55),".")</f>
        <v>0</v>
      </c>
      <c r="AO55" s="49">
        <f>IFERROR(s_RadSpec!$H$24*(AO24/$B55),".")</f>
        <v>0</v>
      </c>
      <c r="AP55" s="49">
        <f>IFERROR(s_RadSpec!$H$24*(AP24/$B55),".")</f>
        <v>0</v>
      </c>
      <c r="AQ55" s="49">
        <f>IFERROR(s_RadSpec!$H$24*(AQ24/$B55),".")</f>
        <v>0</v>
      </c>
      <c r="AR55" s="49">
        <f>IFERROR(s_RadSpec!$H$24*(AR24/$B55),".")</f>
        <v>0</v>
      </c>
      <c r="AS55" s="49">
        <f>IFERROR(s_RadSpec!$H$24*(AS24/$B55),".")</f>
        <v>0</v>
      </c>
      <c r="AT55" s="49">
        <f>IFERROR(s_RadSpec!$H$24*(AT24/$B55),".")</f>
        <v>0</v>
      </c>
      <c r="AU55" s="49">
        <f>IFERROR(s_RadSpec!$H$24*(AU24/$B55),".")</f>
        <v>0</v>
      </c>
      <c r="AV55" s="49">
        <f>IFERROR(s_RadSpec!$H$24*(AV24/$B55),".")</f>
        <v>0</v>
      </c>
      <c r="AW55" s="49">
        <f>IFERROR(s_RadSpec!$H$24*(AW24/$B55),".")</f>
        <v>0</v>
      </c>
      <c r="AX55" s="49">
        <f>IFERROR(s_RadSpec!$H$24*(AX24/$B55),".")</f>
        <v>0</v>
      </c>
      <c r="AY55" s="49">
        <f>IFERROR(s_RadSpec!$H$24*(AY24/$B55),".")</f>
        <v>0</v>
      </c>
      <c r="AZ55" s="49">
        <f>IFERROR(s_RadSpec!$H$24*(AZ24/$B55),".")</f>
        <v>0</v>
      </c>
      <c r="BA55" s="49">
        <f>IFERROR(s_RadSpec!$H$24*(BA24/$B55),".")</f>
        <v>0</v>
      </c>
      <c r="BB55" s="49">
        <f>IFERROR(s_RadSpec!$H$24*(BB24/$B55),".")</f>
        <v>0</v>
      </c>
      <c r="BC55" s="60">
        <f t="shared" ref="BC55" si="159">IFERROR($B55/BC24,0)</f>
        <v>0</v>
      </c>
      <c r="BD55" s="60">
        <f t="shared" ref="BD55:CB55" si="160">IFERROR($B55/BD24,0)</f>
        <v>0</v>
      </c>
      <c r="BE55" s="60">
        <f t="shared" si="160"/>
        <v>0</v>
      </c>
      <c r="BF55" s="60">
        <f t="shared" si="160"/>
        <v>0</v>
      </c>
      <c r="BG55" s="60">
        <f t="shared" si="160"/>
        <v>0</v>
      </c>
      <c r="BH55" s="60">
        <f t="shared" si="160"/>
        <v>0</v>
      </c>
      <c r="BI55" s="60">
        <f t="shared" si="160"/>
        <v>0</v>
      </c>
      <c r="BJ55" s="60">
        <f t="shared" si="160"/>
        <v>0</v>
      </c>
      <c r="BK55" s="60">
        <f t="shared" si="160"/>
        <v>0</v>
      </c>
      <c r="BL55" s="60">
        <f t="shared" si="160"/>
        <v>0</v>
      </c>
      <c r="BM55" s="60">
        <f t="shared" si="160"/>
        <v>0</v>
      </c>
      <c r="BN55" s="60">
        <f t="shared" si="160"/>
        <v>0</v>
      </c>
      <c r="BO55" s="60">
        <f t="shared" si="160"/>
        <v>0</v>
      </c>
      <c r="BP55" s="60">
        <f t="shared" si="160"/>
        <v>0</v>
      </c>
      <c r="BQ55" s="60">
        <f t="shared" si="160"/>
        <v>0</v>
      </c>
      <c r="BR55" s="60">
        <f t="shared" si="160"/>
        <v>0</v>
      </c>
      <c r="BS55" s="60">
        <f t="shared" si="160"/>
        <v>0</v>
      </c>
      <c r="BT55" s="60">
        <f t="shared" si="160"/>
        <v>0</v>
      </c>
      <c r="BU55" s="60">
        <f t="shared" ref="BU55" si="161">IFERROR($B55/BU24,0)</f>
        <v>0</v>
      </c>
      <c r="BV55" s="60">
        <f t="shared" si="160"/>
        <v>0</v>
      </c>
      <c r="BW55" s="60">
        <f t="shared" si="160"/>
        <v>0</v>
      </c>
      <c r="BX55" s="60">
        <f t="shared" si="160"/>
        <v>0</v>
      </c>
      <c r="BY55" s="60">
        <f t="shared" si="160"/>
        <v>0</v>
      </c>
      <c r="BZ55" s="60">
        <f t="shared" si="160"/>
        <v>0</v>
      </c>
      <c r="CA55" s="60">
        <f t="shared" si="160"/>
        <v>0</v>
      </c>
      <c r="CB55" s="60">
        <f t="shared" si="160"/>
        <v>0</v>
      </c>
      <c r="CC55" s="49">
        <f t="shared" si="3"/>
        <v>0</v>
      </c>
      <c r="CD55" s="49">
        <f>IFERROR(s_RadSpec!$H$24*(CD24/$B55),".")</f>
        <v>0</v>
      </c>
      <c r="CE55" s="49">
        <f>IFERROR(s_RadSpec!$H$24*(CE24/$B55),".")</f>
        <v>0</v>
      </c>
      <c r="CF55" s="49">
        <f>IFERROR(s_RadSpec!$H$24*(CF24/$B55),".")</f>
        <v>0</v>
      </c>
      <c r="CG55" s="49">
        <f>IFERROR(s_RadSpec!$H$24*(CG24/$B55),".")</f>
        <v>0</v>
      </c>
      <c r="CH55" s="49">
        <f>IFERROR(s_RadSpec!$H$24*(CH24/$B55),".")</f>
        <v>0</v>
      </c>
      <c r="CI55" s="49">
        <f>IFERROR(s_RadSpec!$H$24*(CI24/$B55),".")</f>
        <v>0</v>
      </c>
      <c r="CJ55" s="49">
        <f>IFERROR(s_RadSpec!$H$24*(CJ24/$B55),".")</f>
        <v>0</v>
      </c>
      <c r="CK55" s="49">
        <f>IFERROR(s_RadSpec!$H$24*(CK24/$B55),".")</f>
        <v>0</v>
      </c>
      <c r="CL55" s="49">
        <f>IFERROR(s_RadSpec!$H$24*(CL24/$B55),".")</f>
        <v>0</v>
      </c>
      <c r="CM55" s="49">
        <f>IFERROR(s_RadSpec!$H$24*(CM24/$B55),".")</f>
        <v>0</v>
      </c>
      <c r="CN55" s="49">
        <f>IFERROR(s_RadSpec!$H$24*(CN24/$B55),".")</f>
        <v>0</v>
      </c>
      <c r="CO55" s="49">
        <f>IFERROR(s_RadSpec!$H$24*(CO24/$B55),".")</f>
        <v>0</v>
      </c>
      <c r="CP55" s="49">
        <f>IFERROR(s_RadSpec!$H$24*(CP24/$B55),".")</f>
        <v>0</v>
      </c>
      <c r="CQ55" s="49">
        <f>IFERROR(s_RadSpec!$H$24*(CQ24/$B55),".")</f>
        <v>0</v>
      </c>
      <c r="CR55" s="49">
        <f>IFERROR(s_RadSpec!$H$24*(CR24/$B55),".")</f>
        <v>0</v>
      </c>
      <c r="CS55" s="49">
        <f>IFERROR(s_RadSpec!$H$24*(CS24/$B55),".")</f>
        <v>0</v>
      </c>
      <c r="CT55" s="49">
        <f>IFERROR(s_RadSpec!$H$24*(CT24/$B55),".")</f>
        <v>0</v>
      </c>
      <c r="CU55" s="49">
        <f>IFERROR(s_RadSpec!$H$24*(CU24/$B55),".")</f>
        <v>0</v>
      </c>
      <c r="CV55" s="49">
        <f>IFERROR(s_RadSpec!$H$24*(CV24/$B55),".")</f>
        <v>0</v>
      </c>
      <c r="CW55" s="49">
        <f>IFERROR(s_RadSpec!$H$24*(CW24/$B55),".")</f>
        <v>0</v>
      </c>
      <c r="CX55" s="49">
        <f>IFERROR(s_RadSpec!$H$24*(CX24/$B55),".")</f>
        <v>0</v>
      </c>
      <c r="CY55" s="49">
        <f>IFERROR(s_RadSpec!$H$24*(CY24/$B55),".")</f>
        <v>0</v>
      </c>
      <c r="CZ55" s="49">
        <f>IFERROR(s_RadSpec!$H$24*(CZ24/$B55),".")</f>
        <v>0</v>
      </c>
      <c r="DA55" s="49">
        <f>IFERROR(s_RadSpec!$H$24*(DA24/$B55),".")</f>
        <v>0</v>
      </c>
      <c r="DB55" s="49">
        <f>IFERROR(s_RadSpec!$H$24*(DB24/$B55),".")</f>
        <v>0</v>
      </c>
    </row>
    <row r="56" spans="1:106" x14ac:dyDescent="0.25">
      <c r="A56" s="83" t="s">
        <v>1091</v>
      </c>
      <c r="B56" s="42">
        <v>0.99979000004200003</v>
      </c>
      <c r="C56" s="60">
        <f t="shared" ref="C56" si="162">IFERROR(C20/$B56,0)</f>
        <v>0</v>
      </c>
      <c r="D56" s="60">
        <f t="shared" ref="D56:AB56" si="163">IFERROR(D20/$B56,0)</f>
        <v>0</v>
      </c>
      <c r="E56" s="60">
        <f t="shared" si="163"/>
        <v>0</v>
      </c>
      <c r="F56" s="60">
        <f t="shared" si="163"/>
        <v>0</v>
      </c>
      <c r="G56" s="60">
        <f t="shared" si="163"/>
        <v>0</v>
      </c>
      <c r="H56" s="60">
        <f t="shared" si="163"/>
        <v>0</v>
      </c>
      <c r="I56" s="60">
        <f t="shared" si="163"/>
        <v>0</v>
      </c>
      <c r="J56" s="60">
        <f t="shared" si="163"/>
        <v>0</v>
      </c>
      <c r="K56" s="60">
        <f t="shared" si="163"/>
        <v>0</v>
      </c>
      <c r="L56" s="60">
        <f t="shared" si="163"/>
        <v>0</v>
      </c>
      <c r="M56" s="60">
        <f t="shared" si="163"/>
        <v>0</v>
      </c>
      <c r="N56" s="60">
        <f t="shared" si="163"/>
        <v>0</v>
      </c>
      <c r="O56" s="60">
        <f t="shared" si="163"/>
        <v>0</v>
      </c>
      <c r="P56" s="60">
        <f t="shared" si="163"/>
        <v>0</v>
      </c>
      <c r="Q56" s="60">
        <f t="shared" si="163"/>
        <v>0</v>
      </c>
      <c r="R56" s="60">
        <f t="shared" si="163"/>
        <v>0</v>
      </c>
      <c r="S56" s="60">
        <f t="shared" si="163"/>
        <v>0</v>
      </c>
      <c r="T56" s="60">
        <f t="shared" si="163"/>
        <v>0</v>
      </c>
      <c r="U56" s="60">
        <f t="shared" ref="U56" si="164">IFERROR(U20/$B56,0)</f>
        <v>0</v>
      </c>
      <c r="V56" s="60">
        <f t="shared" si="163"/>
        <v>0</v>
      </c>
      <c r="W56" s="60">
        <f t="shared" si="163"/>
        <v>0</v>
      </c>
      <c r="X56" s="60">
        <f t="shared" si="163"/>
        <v>0</v>
      </c>
      <c r="Y56" s="60">
        <f t="shared" si="163"/>
        <v>0</v>
      </c>
      <c r="Z56" s="60">
        <f t="shared" si="163"/>
        <v>0</v>
      </c>
      <c r="AA56" s="60">
        <f t="shared" si="163"/>
        <v>0</v>
      </c>
      <c r="AB56" s="60">
        <f t="shared" si="163"/>
        <v>0</v>
      </c>
      <c r="AC56" s="49">
        <f t="shared" si="1"/>
        <v>0</v>
      </c>
      <c r="AD56" s="49">
        <f>IFERROR(s_RadSpec!$H$20*(AD20/$B56),".")</f>
        <v>0</v>
      </c>
      <c r="AE56" s="49">
        <f>IFERROR(s_RadSpec!$H$20*(AE20/$B56),".")</f>
        <v>0</v>
      </c>
      <c r="AF56" s="49">
        <f>IFERROR(s_RadSpec!$H$20*(AF20/$B56),".")</f>
        <v>0</v>
      </c>
      <c r="AG56" s="49">
        <f>IFERROR(s_RadSpec!$H$20*(AG20/$B56),".")</f>
        <v>0</v>
      </c>
      <c r="AH56" s="49">
        <f>IFERROR(s_RadSpec!$H$20*(AH20/$B56),".")</f>
        <v>0</v>
      </c>
      <c r="AI56" s="49">
        <f>IFERROR(s_RadSpec!$H$20*(AI20/$B56),".")</f>
        <v>0</v>
      </c>
      <c r="AJ56" s="49">
        <f>IFERROR(s_RadSpec!$H$20*(AJ20/$B56),".")</f>
        <v>0</v>
      </c>
      <c r="AK56" s="49">
        <f>IFERROR(s_RadSpec!$H$20*(AK20/$B56),".")</f>
        <v>0</v>
      </c>
      <c r="AL56" s="49">
        <f>IFERROR(s_RadSpec!$H$20*(AL20/$B56),".")</f>
        <v>0</v>
      </c>
      <c r="AM56" s="49">
        <f>IFERROR(s_RadSpec!$H$20*(AM20/$B56),".")</f>
        <v>0</v>
      </c>
      <c r="AN56" s="49">
        <f>IFERROR(s_RadSpec!$H$20*(AN20/$B56),".")</f>
        <v>0</v>
      </c>
      <c r="AO56" s="49">
        <f>IFERROR(s_RadSpec!$H$20*(AO20/$B56),".")</f>
        <v>0</v>
      </c>
      <c r="AP56" s="49">
        <f>IFERROR(s_RadSpec!$H$20*(AP20/$B56),".")</f>
        <v>0</v>
      </c>
      <c r="AQ56" s="49">
        <f>IFERROR(s_RadSpec!$H$20*(AQ20/$B56),".")</f>
        <v>0</v>
      </c>
      <c r="AR56" s="49">
        <f>IFERROR(s_RadSpec!$H$20*(AR20/$B56),".")</f>
        <v>0</v>
      </c>
      <c r="AS56" s="49">
        <f>IFERROR(s_RadSpec!$H$20*(AS20/$B56),".")</f>
        <v>0</v>
      </c>
      <c r="AT56" s="49">
        <f>IFERROR(s_RadSpec!$H$20*(AT20/$B56),".")</f>
        <v>0</v>
      </c>
      <c r="AU56" s="49">
        <f>IFERROR(s_RadSpec!$H$20*(AU20/$B56),".")</f>
        <v>0</v>
      </c>
      <c r="AV56" s="49">
        <f>IFERROR(s_RadSpec!$H$20*(AV20/$B56),".")</f>
        <v>0</v>
      </c>
      <c r="AW56" s="49">
        <f>IFERROR(s_RadSpec!$H$20*(AW20/$B56),".")</f>
        <v>0</v>
      </c>
      <c r="AX56" s="49">
        <f>IFERROR(s_RadSpec!$H$20*(AX20/$B56),".")</f>
        <v>0</v>
      </c>
      <c r="AY56" s="49">
        <f>IFERROR(s_RadSpec!$H$20*(AY20/$B56),".")</f>
        <v>0</v>
      </c>
      <c r="AZ56" s="49">
        <f>IFERROR(s_RadSpec!$H$20*(AZ20/$B56),".")</f>
        <v>0</v>
      </c>
      <c r="BA56" s="49">
        <f>IFERROR(s_RadSpec!$H$20*(BA20/$B56),".")</f>
        <v>0</v>
      </c>
      <c r="BB56" s="49">
        <f>IFERROR(s_RadSpec!$H$20*(BB20/$B56),".")</f>
        <v>0</v>
      </c>
      <c r="BC56" s="60">
        <f t="shared" ref="BC56" si="165">IFERROR($B56/BC20,0)</f>
        <v>0</v>
      </c>
      <c r="BD56" s="60">
        <f t="shared" ref="BD56:CB56" si="166">IFERROR($B56/BD20,0)</f>
        <v>0</v>
      </c>
      <c r="BE56" s="60">
        <f t="shared" si="166"/>
        <v>0</v>
      </c>
      <c r="BF56" s="60">
        <f t="shared" si="166"/>
        <v>0</v>
      </c>
      <c r="BG56" s="60">
        <f t="shared" si="166"/>
        <v>0</v>
      </c>
      <c r="BH56" s="60">
        <f t="shared" si="166"/>
        <v>0</v>
      </c>
      <c r="BI56" s="60">
        <f t="shared" si="166"/>
        <v>0</v>
      </c>
      <c r="BJ56" s="60">
        <f t="shared" si="166"/>
        <v>0</v>
      </c>
      <c r="BK56" s="60">
        <f t="shared" si="166"/>
        <v>0</v>
      </c>
      <c r="BL56" s="60">
        <f t="shared" si="166"/>
        <v>0</v>
      </c>
      <c r="BM56" s="60">
        <f t="shared" si="166"/>
        <v>0</v>
      </c>
      <c r="BN56" s="60">
        <f t="shared" si="166"/>
        <v>0</v>
      </c>
      <c r="BO56" s="60">
        <f t="shared" si="166"/>
        <v>0</v>
      </c>
      <c r="BP56" s="60">
        <f t="shared" si="166"/>
        <v>0</v>
      </c>
      <c r="BQ56" s="60">
        <f t="shared" si="166"/>
        <v>0</v>
      </c>
      <c r="BR56" s="60">
        <f t="shared" si="166"/>
        <v>0</v>
      </c>
      <c r="BS56" s="60">
        <f t="shared" si="166"/>
        <v>0</v>
      </c>
      <c r="BT56" s="60">
        <f t="shared" si="166"/>
        <v>0</v>
      </c>
      <c r="BU56" s="60">
        <f t="shared" ref="BU56" si="167">IFERROR($B56/BU20,0)</f>
        <v>0</v>
      </c>
      <c r="BV56" s="60">
        <f t="shared" si="166"/>
        <v>0</v>
      </c>
      <c r="BW56" s="60">
        <f t="shared" si="166"/>
        <v>0</v>
      </c>
      <c r="BX56" s="60">
        <f t="shared" si="166"/>
        <v>0</v>
      </c>
      <c r="BY56" s="60">
        <f t="shared" si="166"/>
        <v>0</v>
      </c>
      <c r="BZ56" s="60">
        <f t="shared" si="166"/>
        <v>0</v>
      </c>
      <c r="CA56" s="60">
        <f t="shared" si="166"/>
        <v>0</v>
      </c>
      <c r="CB56" s="60">
        <f t="shared" si="166"/>
        <v>0</v>
      </c>
      <c r="CC56" s="49">
        <f t="shared" si="3"/>
        <v>0</v>
      </c>
      <c r="CD56" s="49">
        <f>IFERROR(s_RadSpec!$H$20*(CD20/$B56),".")</f>
        <v>0</v>
      </c>
      <c r="CE56" s="49">
        <f>IFERROR(s_RadSpec!$H$20*(CE20/$B56),".")</f>
        <v>0</v>
      </c>
      <c r="CF56" s="49">
        <f>IFERROR(s_RadSpec!$H$20*(CF20/$B56),".")</f>
        <v>0</v>
      </c>
      <c r="CG56" s="49">
        <f>IFERROR(s_RadSpec!$H$20*(CG20/$B56),".")</f>
        <v>0</v>
      </c>
      <c r="CH56" s="49">
        <f>IFERROR(s_RadSpec!$H$20*(CH20/$B56),".")</f>
        <v>0</v>
      </c>
      <c r="CI56" s="49">
        <f>IFERROR(s_RadSpec!$H$20*(CI20/$B56),".")</f>
        <v>0</v>
      </c>
      <c r="CJ56" s="49">
        <f>IFERROR(s_RadSpec!$H$20*(CJ20/$B56),".")</f>
        <v>0</v>
      </c>
      <c r="CK56" s="49">
        <f>IFERROR(s_RadSpec!$H$20*(CK20/$B56),".")</f>
        <v>0</v>
      </c>
      <c r="CL56" s="49">
        <f>IFERROR(s_RadSpec!$H$20*(CL20/$B56),".")</f>
        <v>0</v>
      </c>
      <c r="CM56" s="49">
        <f>IFERROR(s_RadSpec!$H$20*(CM20/$B56),".")</f>
        <v>0</v>
      </c>
      <c r="CN56" s="49">
        <f>IFERROR(s_RadSpec!$H$20*(CN20/$B56),".")</f>
        <v>0</v>
      </c>
      <c r="CO56" s="49">
        <f>IFERROR(s_RadSpec!$H$20*(CO20/$B56),".")</f>
        <v>0</v>
      </c>
      <c r="CP56" s="49">
        <f>IFERROR(s_RadSpec!$H$20*(CP20/$B56),".")</f>
        <v>0</v>
      </c>
      <c r="CQ56" s="49">
        <f>IFERROR(s_RadSpec!$H$20*(CQ20/$B56),".")</f>
        <v>0</v>
      </c>
      <c r="CR56" s="49">
        <f>IFERROR(s_RadSpec!$H$20*(CR20/$B56),".")</f>
        <v>0</v>
      </c>
      <c r="CS56" s="49">
        <f>IFERROR(s_RadSpec!$H$20*(CS20/$B56),".")</f>
        <v>0</v>
      </c>
      <c r="CT56" s="49">
        <f>IFERROR(s_RadSpec!$H$20*(CT20/$B56),".")</f>
        <v>0</v>
      </c>
      <c r="CU56" s="49">
        <f>IFERROR(s_RadSpec!$H$20*(CU20/$B56),".")</f>
        <v>0</v>
      </c>
      <c r="CV56" s="49">
        <f>IFERROR(s_RadSpec!$H$20*(CV20/$B56),".")</f>
        <v>0</v>
      </c>
      <c r="CW56" s="49">
        <f>IFERROR(s_RadSpec!$H$20*(CW20/$B56),".")</f>
        <v>0</v>
      </c>
      <c r="CX56" s="49">
        <f>IFERROR(s_RadSpec!$H$20*(CX20/$B56),".")</f>
        <v>0</v>
      </c>
      <c r="CY56" s="49">
        <f>IFERROR(s_RadSpec!$H$20*(CY20/$B56),".")</f>
        <v>0</v>
      </c>
      <c r="CZ56" s="49">
        <f>IFERROR(s_RadSpec!$H$20*(CZ20/$B56),".")</f>
        <v>0</v>
      </c>
      <c r="DA56" s="49">
        <f>IFERROR(s_RadSpec!$H$20*(DA20/$B56),".")</f>
        <v>0</v>
      </c>
      <c r="DB56" s="49">
        <f>IFERROR(s_RadSpec!$H$20*(DB20/$B56),".")</f>
        <v>0</v>
      </c>
    </row>
    <row r="57" spans="1:106" x14ac:dyDescent="0.25">
      <c r="A57" s="83" t="s">
        <v>1092</v>
      </c>
      <c r="B57" s="42">
        <v>2.0999995799999999E-4</v>
      </c>
      <c r="C57" s="60">
        <f t="shared" ref="C57" si="168">IFERROR(C29/$B57,0)</f>
        <v>0</v>
      </c>
      <c r="D57" s="60">
        <f t="shared" ref="D57:AB57" si="169">IFERROR(D29/$B57,0)</f>
        <v>0</v>
      </c>
      <c r="E57" s="60">
        <f t="shared" si="169"/>
        <v>0</v>
      </c>
      <c r="F57" s="60">
        <f t="shared" si="169"/>
        <v>0</v>
      </c>
      <c r="G57" s="60">
        <f t="shared" si="169"/>
        <v>0</v>
      </c>
      <c r="H57" s="60">
        <f t="shared" si="169"/>
        <v>0</v>
      </c>
      <c r="I57" s="60">
        <f t="shared" si="169"/>
        <v>0</v>
      </c>
      <c r="J57" s="60">
        <f t="shared" si="169"/>
        <v>0</v>
      </c>
      <c r="K57" s="60">
        <f t="shared" si="169"/>
        <v>0</v>
      </c>
      <c r="L57" s="60">
        <f t="shared" si="169"/>
        <v>0</v>
      </c>
      <c r="M57" s="60">
        <f t="shared" si="169"/>
        <v>0</v>
      </c>
      <c r="N57" s="60">
        <f t="shared" si="169"/>
        <v>0</v>
      </c>
      <c r="O57" s="60">
        <f t="shared" si="169"/>
        <v>0</v>
      </c>
      <c r="P57" s="60">
        <f t="shared" si="169"/>
        <v>0</v>
      </c>
      <c r="Q57" s="60">
        <f t="shared" si="169"/>
        <v>0</v>
      </c>
      <c r="R57" s="60">
        <f t="shared" si="169"/>
        <v>0</v>
      </c>
      <c r="S57" s="60">
        <f t="shared" si="169"/>
        <v>0</v>
      </c>
      <c r="T57" s="60">
        <f t="shared" si="169"/>
        <v>0</v>
      </c>
      <c r="U57" s="60">
        <f t="shared" ref="U57" si="170">IFERROR(U29/$B57,0)</f>
        <v>0</v>
      </c>
      <c r="V57" s="60">
        <f t="shared" si="169"/>
        <v>0</v>
      </c>
      <c r="W57" s="60">
        <f t="shared" si="169"/>
        <v>0</v>
      </c>
      <c r="X57" s="60">
        <f t="shared" si="169"/>
        <v>0</v>
      </c>
      <c r="Y57" s="60">
        <f t="shared" si="169"/>
        <v>0</v>
      </c>
      <c r="Z57" s="60">
        <f t="shared" si="169"/>
        <v>0</v>
      </c>
      <c r="AA57" s="60">
        <f t="shared" si="169"/>
        <v>0</v>
      </c>
      <c r="AB57" s="60">
        <f t="shared" si="169"/>
        <v>0</v>
      </c>
      <c r="AC57" s="49">
        <f t="shared" si="1"/>
        <v>0</v>
      </c>
      <c r="AD57" s="49">
        <f>IFERROR(s_RadSpec!$H$29*(AD29/$B57),".")</f>
        <v>0</v>
      </c>
      <c r="AE57" s="49">
        <f>IFERROR(s_RadSpec!$H$29*(AE29/$B57),".")</f>
        <v>0</v>
      </c>
      <c r="AF57" s="49">
        <f>IFERROR(s_RadSpec!$H$29*(AF29/$B57),".")</f>
        <v>0</v>
      </c>
      <c r="AG57" s="49">
        <f>IFERROR(s_RadSpec!$H$29*(AG29/$B57),".")</f>
        <v>0</v>
      </c>
      <c r="AH57" s="49">
        <f>IFERROR(s_RadSpec!$H$29*(AH29/$B57),".")</f>
        <v>0</v>
      </c>
      <c r="AI57" s="49">
        <f>IFERROR(s_RadSpec!$H$29*(AI29/$B57),".")</f>
        <v>0</v>
      </c>
      <c r="AJ57" s="49">
        <f>IFERROR(s_RadSpec!$H$29*(AJ29/$B57),".")</f>
        <v>0</v>
      </c>
      <c r="AK57" s="49">
        <f>IFERROR(s_RadSpec!$H$29*(AK29/$B57),".")</f>
        <v>0</v>
      </c>
      <c r="AL57" s="49">
        <f>IFERROR(s_RadSpec!$H$29*(AL29/$B57),".")</f>
        <v>0</v>
      </c>
      <c r="AM57" s="49">
        <f>IFERROR(s_RadSpec!$H$29*(AM29/$B57),".")</f>
        <v>0</v>
      </c>
      <c r="AN57" s="49">
        <f>IFERROR(s_RadSpec!$H$29*(AN29/$B57),".")</f>
        <v>0</v>
      </c>
      <c r="AO57" s="49">
        <f>IFERROR(s_RadSpec!$H$29*(AO29/$B57),".")</f>
        <v>0</v>
      </c>
      <c r="AP57" s="49">
        <f>IFERROR(s_RadSpec!$H$29*(AP29/$B57),".")</f>
        <v>0</v>
      </c>
      <c r="AQ57" s="49">
        <f>IFERROR(s_RadSpec!$H$29*(AQ29/$B57),".")</f>
        <v>0</v>
      </c>
      <c r="AR57" s="49">
        <f>IFERROR(s_RadSpec!$H$29*(AR29/$B57),".")</f>
        <v>0</v>
      </c>
      <c r="AS57" s="49">
        <f>IFERROR(s_RadSpec!$H$29*(AS29/$B57),".")</f>
        <v>0</v>
      </c>
      <c r="AT57" s="49">
        <f>IFERROR(s_RadSpec!$H$29*(AT29/$B57),".")</f>
        <v>0</v>
      </c>
      <c r="AU57" s="49">
        <f>IFERROR(s_RadSpec!$H$29*(AU29/$B57),".")</f>
        <v>0</v>
      </c>
      <c r="AV57" s="49">
        <f>IFERROR(s_RadSpec!$H$29*(AV29/$B57),".")</f>
        <v>0</v>
      </c>
      <c r="AW57" s="49">
        <f>IFERROR(s_RadSpec!$H$29*(AW29/$B57),".")</f>
        <v>0</v>
      </c>
      <c r="AX57" s="49">
        <f>IFERROR(s_RadSpec!$H$29*(AX29/$B57),".")</f>
        <v>0</v>
      </c>
      <c r="AY57" s="49">
        <f>IFERROR(s_RadSpec!$H$29*(AY29/$B57),".")</f>
        <v>0</v>
      </c>
      <c r="AZ57" s="49">
        <f>IFERROR(s_RadSpec!$H$29*(AZ29/$B57),".")</f>
        <v>0</v>
      </c>
      <c r="BA57" s="49">
        <f>IFERROR(s_RadSpec!$H$29*(BA29/$B57),".")</f>
        <v>0</v>
      </c>
      <c r="BB57" s="49">
        <f>IFERROR(s_RadSpec!$H$29*(BB29/$B57),".")</f>
        <v>0</v>
      </c>
      <c r="BC57" s="60">
        <f t="shared" ref="BC57" si="171">IFERROR($B57/BC29,0)</f>
        <v>0</v>
      </c>
      <c r="BD57" s="60">
        <f t="shared" ref="BD57:CB57" si="172">IFERROR($B57/BD29,0)</f>
        <v>0</v>
      </c>
      <c r="BE57" s="60">
        <f t="shared" si="172"/>
        <v>0</v>
      </c>
      <c r="BF57" s="60">
        <f t="shared" si="172"/>
        <v>0</v>
      </c>
      <c r="BG57" s="60">
        <f t="shared" si="172"/>
        <v>0</v>
      </c>
      <c r="BH57" s="60">
        <f t="shared" si="172"/>
        <v>0</v>
      </c>
      <c r="BI57" s="60">
        <f t="shared" si="172"/>
        <v>0</v>
      </c>
      <c r="BJ57" s="60">
        <f t="shared" si="172"/>
        <v>0</v>
      </c>
      <c r="BK57" s="60">
        <f t="shared" si="172"/>
        <v>0</v>
      </c>
      <c r="BL57" s="60">
        <f t="shared" si="172"/>
        <v>0</v>
      </c>
      <c r="BM57" s="60">
        <f t="shared" si="172"/>
        <v>0</v>
      </c>
      <c r="BN57" s="60">
        <f t="shared" si="172"/>
        <v>0</v>
      </c>
      <c r="BO57" s="60">
        <f t="shared" si="172"/>
        <v>0</v>
      </c>
      <c r="BP57" s="60">
        <f t="shared" si="172"/>
        <v>0</v>
      </c>
      <c r="BQ57" s="60">
        <f t="shared" si="172"/>
        <v>0</v>
      </c>
      <c r="BR57" s="60">
        <f t="shared" si="172"/>
        <v>0</v>
      </c>
      <c r="BS57" s="60">
        <f t="shared" si="172"/>
        <v>0</v>
      </c>
      <c r="BT57" s="60">
        <f t="shared" si="172"/>
        <v>0</v>
      </c>
      <c r="BU57" s="60">
        <f t="shared" ref="BU57" si="173">IFERROR($B57/BU29,0)</f>
        <v>0</v>
      </c>
      <c r="BV57" s="60">
        <f t="shared" si="172"/>
        <v>0</v>
      </c>
      <c r="BW57" s="60">
        <f t="shared" si="172"/>
        <v>0</v>
      </c>
      <c r="BX57" s="60">
        <f t="shared" si="172"/>
        <v>0</v>
      </c>
      <c r="BY57" s="60">
        <f t="shared" si="172"/>
        <v>0</v>
      </c>
      <c r="BZ57" s="60">
        <f t="shared" si="172"/>
        <v>0</v>
      </c>
      <c r="CA57" s="60">
        <f t="shared" si="172"/>
        <v>0</v>
      </c>
      <c r="CB57" s="60">
        <f t="shared" si="172"/>
        <v>0</v>
      </c>
      <c r="CC57" s="49">
        <f t="shared" si="3"/>
        <v>0</v>
      </c>
      <c r="CD57" s="49">
        <f>IFERROR(s_RadSpec!$H$29*(CD29/$B57),".")</f>
        <v>0</v>
      </c>
      <c r="CE57" s="49">
        <f>IFERROR(s_RadSpec!$H$29*(CE29/$B57),".")</f>
        <v>0</v>
      </c>
      <c r="CF57" s="49">
        <f>IFERROR(s_RadSpec!$H$29*(CF29/$B57),".")</f>
        <v>0</v>
      </c>
      <c r="CG57" s="49">
        <f>IFERROR(s_RadSpec!$H$29*(CG29/$B57),".")</f>
        <v>0</v>
      </c>
      <c r="CH57" s="49">
        <f>IFERROR(s_RadSpec!$H$29*(CH29/$B57),".")</f>
        <v>0</v>
      </c>
      <c r="CI57" s="49">
        <f>IFERROR(s_RadSpec!$H$29*(CI29/$B57),".")</f>
        <v>0</v>
      </c>
      <c r="CJ57" s="49">
        <f>IFERROR(s_RadSpec!$H$29*(CJ29/$B57),".")</f>
        <v>0</v>
      </c>
      <c r="CK57" s="49">
        <f>IFERROR(s_RadSpec!$H$29*(CK29/$B57),".")</f>
        <v>0</v>
      </c>
      <c r="CL57" s="49">
        <f>IFERROR(s_RadSpec!$H$29*(CL29/$B57),".")</f>
        <v>0</v>
      </c>
      <c r="CM57" s="49">
        <f>IFERROR(s_RadSpec!$H$29*(CM29/$B57),".")</f>
        <v>0</v>
      </c>
      <c r="CN57" s="49">
        <f>IFERROR(s_RadSpec!$H$29*(CN29/$B57),".")</f>
        <v>0</v>
      </c>
      <c r="CO57" s="49">
        <f>IFERROR(s_RadSpec!$H$29*(CO29/$B57),".")</f>
        <v>0</v>
      </c>
      <c r="CP57" s="49">
        <f>IFERROR(s_RadSpec!$H$29*(CP29/$B57),".")</f>
        <v>0</v>
      </c>
      <c r="CQ57" s="49">
        <f>IFERROR(s_RadSpec!$H$29*(CQ29/$B57),".")</f>
        <v>0</v>
      </c>
      <c r="CR57" s="49">
        <f>IFERROR(s_RadSpec!$H$29*(CR29/$B57),".")</f>
        <v>0</v>
      </c>
      <c r="CS57" s="49">
        <f>IFERROR(s_RadSpec!$H$29*(CS29/$B57),".")</f>
        <v>0</v>
      </c>
      <c r="CT57" s="49">
        <f>IFERROR(s_RadSpec!$H$29*(CT29/$B57),".")</f>
        <v>0</v>
      </c>
      <c r="CU57" s="49">
        <f>IFERROR(s_RadSpec!$H$29*(CU29/$B57),".")</f>
        <v>0</v>
      </c>
      <c r="CV57" s="49">
        <f>IFERROR(s_RadSpec!$H$29*(CV29/$B57),".")</f>
        <v>0</v>
      </c>
      <c r="CW57" s="49">
        <f>IFERROR(s_RadSpec!$H$29*(CW29/$B57),".")</f>
        <v>0</v>
      </c>
      <c r="CX57" s="49">
        <f>IFERROR(s_RadSpec!$H$29*(CX29/$B57),".")</f>
        <v>0</v>
      </c>
      <c r="CY57" s="49">
        <f>IFERROR(s_RadSpec!$H$29*(CY29/$B57),".")</f>
        <v>0</v>
      </c>
      <c r="CZ57" s="49">
        <f>IFERROR(s_RadSpec!$H$29*(CZ29/$B57),".")</f>
        <v>0</v>
      </c>
      <c r="DA57" s="49">
        <f>IFERROR(s_RadSpec!$H$29*(DA29/$B57),".")</f>
        <v>0</v>
      </c>
      <c r="DB57" s="49">
        <f>IFERROR(s_RadSpec!$H$29*(DB29/$B57),".")</f>
        <v>0</v>
      </c>
    </row>
    <row r="58" spans="1:106" x14ac:dyDescent="0.25">
      <c r="A58" s="83" t="s">
        <v>1093</v>
      </c>
      <c r="B58" s="42">
        <v>1</v>
      </c>
      <c r="C58" s="60">
        <f t="shared" ref="C58" si="174">IFERROR(C16/$B58,0)</f>
        <v>3.1117602153716586</v>
      </c>
      <c r="D58" s="60">
        <f t="shared" ref="D58:AB58" si="175">IFERROR(D16/$B58,0)</f>
        <v>11.955779993442853</v>
      </c>
      <c r="E58" s="60">
        <f t="shared" si="175"/>
        <v>3.0049286614535511</v>
      </c>
      <c r="F58" s="60">
        <f t="shared" si="175"/>
        <v>9.8582747314353352</v>
      </c>
      <c r="G58" s="60">
        <f t="shared" si="175"/>
        <v>11.955779993442853</v>
      </c>
      <c r="H58" s="60">
        <f t="shared" si="175"/>
        <v>9.8582747314353352</v>
      </c>
      <c r="I58" s="60">
        <f t="shared" si="175"/>
        <v>3.0049286614535511</v>
      </c>
      <c r="J58" s="60">
        <f t="shared" si="175"/>
        <v>9.8582747314353352</v>
      </c>
      <c r="K58" s="60">
        <f t="shared" si="175"/>
        <v>11.955779993442853</v>
      </c>
      <c r="L58" s="60">
        <f t="shared" si="175"/>
        <v>19.112981622170548</v>
      </c>
      <c r="M58" s="60">
        <f t="shared" si="175"/>
        <v>9.8582747314353352</v>
      </c>
      <c r="N58" s="60">
        <f t="shared" si="175"/>
        <v>3.0049286614535511</v>
      </c>
      <c r="O58" s="60">
        <f t="shared" si="175"/>
        <v>14.944724991803565</v>
      </c>
      <c r="P58" s="60">
        <f t="shared" si="175"/>
        <v>9.8582747314353352</v>
      </c>
      <c r="Q58" s="60">
        <f t="shared" si="175"/>
        <v>9.8582747314353352</v>
      </c>
      <c r="R58" s="60">
        <f t="shared" si="175"/>
        <v>11.955779993442853</v>
      </c>
      <c r="S58" s="60">
        <f t="shared" si="175"/>
        <v>11.955779993442853</v>
      </c>
      <c r="T58" s="60">
        <f t="shared" si="175"/>
        <v>14.944724991803565</v>
      </c>
      <c r="U58" s="60">
        <f t="shared" ref="U58" si="176">IFERROR(U16/$B58,0)</f>
        <v>9.8582747314353352</v>
      </c>
      <c r="V58" s="60">
        <f t="shared" si="175"/>
        <v>18.730721989727137</v>
      </c>
      <c r="W58" s="60">
        <f t="shared" si="175"/>
        <v>9.8582747314353352</v>
      </c>
      <c r="X58" s="60">
        <f t="shared" si="175"/>
        <v>14.944724991803565</v>
      </c>
      <c r="Y58" s="60">
        <f t="shared" si="175"/>
        <v>11.955779993442853</v>
      </c>
      <c r="Z58" s="60">
        <f t="shared" si="175"/>
        <v>9.8582747314353352</v>
      </c>
      <c r="AA58" s="60">
        <f t="shared" si="175"/>
        <v>20.374244368811244</v>
      </c>
      <c r="AB58" s="60">
        <f t="shared" si="175"/>
        <v>11.467788973302328</v>
      </c>
      <c r="AC58" s="49">
        <f t="shared" si="1"/>
        <v>1.6068076117500001E-5</v>
      </c>
      <c r="AD58" s="49">
        <f>IFERROR(s_RadSpec!$H$16*(AD16/$B58),".")</f>
        <v>4.1820776249999998E-6</v>
      </c>
      <c r="AE58" s="49">
        <f>IFERROR(s_RadSpec!$H$16*(AE16/$B58),".")</f>
        <v>1.6639330125E-5</v>
      </c>
      <c r="AF58" s="49">
        <f>IFERROR(s_RadSpec!$H$16*(AF16/$B58),".")</f>
        <v>5.0718813750000004E-6</v>
      </c>
      <c r="AG58" s="49">
        <f>IFERROR(s_RadSpec!$H$16*(AG16/$B58),".")</f>
        <v>4.1820776249999998E-6</v>
      </c>
      <c r="AH58" s="49">
        <f>IFERROR(s_RadSpec!$H$16*(AH16/$B58),".")</f>
        <v>5.0718813750000004E-6</v>
      </c>
      <c r="AI58" s="49">
        <f>IFERROR(s_RadSpec!$H$16*(AI16/$B58),".")</f>
        <v>1.6639330125E-5</v>
      </c>
      <c r="AJ58" s="49">
        <f>IFERROR(s_RadSpec!$H$16*(AJ16/$B58),".")</f>
        <v>5.0718813750000004E-6</v>
      </c>
      <c r="AK58" s="49">
        <f>IFERROR(s_RadSpec!$H$16*(AK16/$B58),".")</f>
        <v>4.1820776249999998E-6</v>
      </c>
      <c r="AL58" s="49">
        <f>IFERROR(s_RadSpec!$H$16*(AL16/$B58),".")</f>
        <v>2.616023025E-6</v>
      </c>
      <c r="AM58" s="49">
        <f>IFERROR(s_RadSpec!$H$16*(AM16/$B58),".")</f>
        <v>5.0718813750000004E-6</v>
      </c>
      <c r="AN58" s="49">
        <f>IFERROR(s_RadSpec!$H$16*(AN16/$B58),".")</f>
        <v>1.6639330125E-5</v>
      </c>
      <c r="AO58" s="49">
        <f>IFERROR(s_RadSpec!$H$16*(AO16/$B58),".")</f>
        <v>3.3456621000000002E-6</v>
      </c>
      <c r="AP58" s="49">
        <f>IFERROR(s_RadSpec!$H$16*(AP16/$B58),".")</f>
        <v>5.0718813750000004E-6</v>
      </c>
      <c r="AQ58" s="49">
        <f>IFERROR(s_RadSpec!$H$16*(AQ16/$B58),".")</f>
        <v>5.0718813750000004E-6</v>
      </c>
      <c r="AR58" s="49">
        <f>IFERROR(s_RadSpec!$H$16*(AR16/$B58),".")</f>
        <v>4.1820776249999998E-6</v>
      </c>
      <c r="AS58" s="49">
        <f>IFERROR(s_RadSpec!$H$16*(AS16/$B58),".")</f>
        <v>4.1820776249999998E-6</v>
      </c>
      <c r="AT58" s="49">
        <f>IFERROR(s_RadSpec!$H$16*(AT16/$B58),".")</f>
        <v>3.3456621000000002E-6</v>
      </c>
      <c r="AU58" s="49">
        <f>IFERROR(s_RadSpec!$H$16*(AU16/$B58),".")</f>
        <v>5.0718813750000004E-6</v>
      </c>
      <c r="AV58" s="49">
        <f>IFERROR(s_RadSpec!$H$16*(AV16/$B58),".")</f>
        <v>2.6694112500000002E-6</v>
      </c>
      <c r="AW58" s="49">
        <f>IFERROR(s_RadSpec!$H$16*(AW16/$B58),".")</f>
        <v>5.0718813750000004E-6</v>
      </c>
      <c r="AX58" s="49">
        <f>IFERROR(s_RadSpec!$H$16*(AX16/$B58),".")</f>
        <v>3.3456621000000002E-6</v>
      </c>
      <c r="AY58" s="49">
        <f>IFERROR(s_RadSpec!$H$16*(AY16/$B58),".")</f>
        <v>4.1820776249999998E-6</v>
      </c>
      <c r="AZ58" s="49">
        <f>IFERROR(s_RadSpec!$H$16*(AZ16/$B58),".")</f>
        <v>5.0718813750000004E-6</v>
      </c>
      <c r="BA58" s="49">
        <f>IFERROR(s_RadSpec!$H$16*(BA16/$B58),".")</f>
        <v>2.4540787424999998E-6</v>
      </c>
      <c r="BB58" s="49">
        <f>IFERROR(s_RadSpec!$H$16*(BB16/$B58),".")</f>
        <v>4.3600383750000006E-6</v>
      </c>
      <c r="BC58" s="60">
        <f t="shared" ref="BC58" si="177">IFERROR($B58/BC16,0)</f>
        <v>0.32136152234999998</v>
      </c>
      <c r="BD58" s="60">
        <f t="shared" ref="BD58:CB58" si="178">IFERROR($B58/BD16,0)</f>
        <v>8.3641552499999994E-2</v>
      </c>
      <c r="BE58" s="60">
        <f t="shared" si="178"/>
        <v>0.33278660250000003</v>
      </c>
      <c r="BF58" s="60">
        <f t="shared" si="178"/>
        <v>0.10143762749999999</v>
      </c>
      <c r="BG58" s="60">
        <f t="shared" si="178"/>
        <v>8.3641552499999994E-2</v>
      </c>
      <c r="BH58" s="60">
        <f t="shared" si="178"/>
        <v>0.10143762749999999</v>
      </c>
      <c r="BI58" s="60">
        <f t="shared" si="178"/>
        <v>0.33278660250000003</v>
      </c>
      <c r="BJ58" s="60">
        <f t="shared" si="178"/>
        <v>0.10143762749999999</v>
      </c>
      <c r="BK58" s="60">
        <f t="shared" si="178"/>
        <v>8.3641552499999994E-2</v>
      </c>
      <c r="BL58" s="60">
        <f t="shared" si="178"/>
        <v>5.2320460499999999E-2</v>
      </c>
      <c r="BM58" s="60">
        <f t="shared" si="178"/>
        <v>0.10143762749999999</v>
      </c>
      <c r="BN58" s="60">
        <f t="shared" si="178"/>
        <v>0.33278660250000003</v>
      </c>
      <c r="BO58" s="60">
        <f t="shared" si="178"/>
        <v>6.6913242000000012E-2</v>
      </c>
      <c r="BP58" s="60">
        <f t="shared" si="178"/>
        <v>0.10143762749999999</v>
      </c>
      <c r="BQ58" s="60">
        <f t="shared" si="178"/>
        <v>0.10143762749999999</v>
      </c>
      <c r="BR58" s="60">
        <f t="shared" si="178"/>
        <v>8.3641552499999994E-2</v>
      </c>
      <c r="BS58" s="60">
        <f t="shared" si="178"/>
        <v>8.3641552499999994E-2</v>
      </c>
      <c r="BT58" s="60">
        <f t="shared" si="178"/>
        <v>6.6913242000000012E-2</v>
      </c>
      <c r="BU58" s="60">
        <f t="shared" ref="BU58" si="179">IFERROR($B58/BU16,0)</f>
        <v>0.10143762749999999</v>
      </c>
      <c r="BV58" s="60">
        <f t="shared" si="178"/>
        <v>5.3388224999999997E-2</v>
      </c>
      <c r="BW58" s="60">
        <f t="shared" si="178"/>
        <v>0.10143762749999999</v>
      </c>
      <c r="BX58" s="60">
        <f t="shared" si="178"/>
        <v>6.6913242000000012E-2</v>
      </c>
      <c r="BY58" s="60">
        <f t="shared" si="178"/>
        <v>8.3641552499999994E-2</v>
      </c>
      <c r="BZ58" s="60">
        <f t="shared" si="178"/>
        <v>0.10143762749999999</v>
      </c>
      <c r="CA58" s="60">
        <f t="shared" si="178"/>
        <v>4.9081574849999997E-2</v>
      </c>
      <c r="CB58" s="60">
        <f t="shared" si="178"/>
        <v>8.7200767499999998E-2</v>
      </c>
      <c r="CC58" s="49">
        <f t="shared" si="3"/>
        <v>1.6068076117500001E-5</v>
      </c>
      <c r="CD58" s="49">
        <f>IFERROR(s_RadSpec!$H$16*(CD16/$B58),".")</f>
        <v>4.1820776249999998E-6</v>
      </c>
      <c r="CE58" s="49">
        <f>IFERROR(s_RadSpec!$H$16*(CE16/$B58),".")</f>
        <v>1.6639330125E-5</v>
      </c>
      <c r="CF58" s="49">
        <f>IFERROR(s_RadSpec!$H$16*(CF16/$B58),".")</f>
        <v>5.0718813750000004E-6</v>
      </c>
      <c r="CG58" s="49">
        <f>IFERROR(s_RadSpec!$H$16*(CG16/$B58),".")</f>
        <v>4.1820776249999998E-6</v>
      </c>
      <c r="CH58" s="49">
        <f>IFERROR(s_RadSpec!$H$16*(CH16/$B58),".")</f>
        <v>5.0718813750000004E-6</v>
      </c>
      <c r="CI58" s="49">
        <f>IFERROR(s_RadSpec!$H$16*(CI16/$B58),".")</f>
        <v>1.6639330125E-5</v>
      </c>
      <c r="CJ58" s="49">
        <f>IFERROR(s_RadSpec!$H$16*(CJ16/$B58),".")</f>
        <v>5.0718813750000004E-6</v>
      </c>
      <c r="CK58" s="49">
        <f>IFERROR(s_RadSpec!$H$16*(CK16/$B58),".")</f>
        <v>4.1820776249999998E-6</v>
      </c>
      <c r="CL58" s="49">
        <f>IFERROR(s_RadSpec!$H$16*(CL16/$B58),".")</f>
        <v>2.616023025E-6</v>
      </c>
      <c r="CM58" s="49">
        <f>IFERROR(s_RadSpec!$H$16*(CM16/$B58),".")</f>
        <v>5.0718813750000004E-6</v>
      </c>
      <c r="CN58" s="49">
        <f>IFERROR(s_RadSpec!$H$16*(CN16/$B58),".")</f>
        <v>1.6639330125E-5</v>
      </c>
      <c r="CO58" s="49">
        <f>IFERROR(s_RadSpec!$H$16*(CO16/$B58),".")</f>
        <v>3.3456621000000002E-6</v>
      </c>
      <c r="CP58" s="49">
        <f>IFERROR(s_RadSpec!$H$16*(CP16/$B58),".")</f>
        <v>5.0718813750000004E-6</v>
      </c>
      <c r="CQ58" s="49">
        <f>IFERROR(s_RadSpec!$H$16*(CQ16/$B58),".")</f>
        <v>5.0718813750000004E-6</v>
      </c>
      <c r="CR58" s="49">
        <f>IFERROR(s_RadSpec!$H$16*(CR16/$B58),".")</f>
        <v>4.1820776249999998E-6</v>
      </c>
      <c r="CS58" s="49">
        <f>IFERROR(s_RadSpec!$H$16*(CS16/$B58),".")</f>
        <v>4.1820776249999998E-6</v>
      </c>
      <c r="CT58" s="49">
        <f>IFERROR(s_RadSpec!$H$16*(CT16/$B58),".")</f>
        <v>3.3456621000000002E-6</v>
      </c>
      <c r="CU58" s="49">
        <f>IFERROR(s_RadSpec!$H$16*(CU16/$B58),".")</f>
        <v>5.0718813750000004E-6</v>
      </c>
      <c r="CV58" s="49">
        <f>IFERROR(s_RadSpec!$H$16*(CV16/$B58),".")</f>
        <v>2.6694112500000002E-6</v>
      </c>
      <c r="CW58" s="49">
        <f>IFERROR(s_RadSpec!$H$16*(CW16/$B58),".")</f>
        <v>5.0718813750000004E-6</v>
      </c>
      <c r="CX58" s="49">
        <f>IFERROR(s_RadSpec!$H$16*(CX16/$B58),".")</f>
        <v>3.3456621000000002E-6</v>
      </c>
      <c r="CY58" s="49">
        <f>IFERROR(s_RadSpec!$H$16*(CY16/$B58),".")</f>
        <v>4.1820776249999998E-6</v>
      </c>
      <c r="CZ58" s="49">
        <f>IFERROR(s_RadSpec!$H$16*(CZ16/$B58),".")</f>
        <v>5.0718813750000004E-6</v>
      </c>
      <c r="DA58" s="49">
        <f>IFERROR(s_RadSpec!$H$16*(DA16/$B58),".")</f>
        <v>2.4540787424999998E-6</v>
      </c>
      <c r="DB58" s="49">
        <f>IFERROR(s_RadSpec!$H$16*(DB16/$B58),".")</f>
        <v>4.3600383750000006E-6</v>
      </c>
    </row>
    <row r="59" spans="1:106" x14ac:dyDescent="0.25">
      <c r="A59" s="83" t="s">
        <v>1094</v>
      </c>
      <c r="B59" s="42">
        <v>1</v>
      </c>
      <c r="C59" s="60">
        <f t="shared" ref="C59" si="180">IFERROR(C7/$B59,0)</f>
        <v>55.908054597390894</v>
      </c>
      <c r="D59" s="60">
        <f t="shared" ref="D59:AB59" si="181">IFERROR(D7/$B59,0)</f>
        <v>223.63221838956358</v>
      </c>
      <c r="E59" s="60">
        <f t="shared" si="181"/>
        <v>223.63221838956358</v>
      </c>
      <c r="F59" s="60">
        <f t="shared" si="181"/>
        <v>223.63221838956358</v>
      </c>
      <c r="G59" s="60">
        <f t="shared" si="181"/>
        <v>223.63221838956358</v>
      </c>
      <c r="H59" s="60">
        <f t="shared" si="181"/>
        <v>223.63221838956358</v>
      </c>
      <c r="I59" s="60">
        <f t="shared" si="181"/>
        <v>223.63221838956358</v>
      </c>
      <c r="J59" s="60">
        <f t="shared" si="181"/>
        <v>223.63221838956358</v>
      </c>
      <c r="K59" s="60">
        <f t="shared" si="181"/>
        <v>223.63221838956358</v>
      </c>
      <c r="L59" s="60">
        <f t="shared" si="181"/>
        <v>223.63221838956358</v>
      </c>
      <c r="M59" s="60">
        <f t="shared" si="181"/>
        <v>223.63221838956358</v>
      </c>
      <c r="N59" s="60">
        <f t="shared" si="181"/>
        <v>223.63221838956358</v>
      </c>
      <c r="O59" s="60">
        <f t="shared" si="181"/>
        <v>223.63221838956358</v>
      </c>
      <c r="P59" s="60">
        <f t="shared" si="181"/>
        <v>223.63221838956358</v>
      </c>
      <c r="Q59" s="60">
        <f t="shared" si="181"/>
        <v>223.63221838956358</v>
      </c>
      <c r="R59" s="60">
        <f t="shared" si="181"/>
        <v>223.63221838956358</v>
      </c>
      <c r="S59" s="60">
        <f t="shared" si="181"/>
        <v>223.63221838956358</v>
      </c>
      <c r="T59" s="60">
        <f t="shared" si="181"/>
        <v>223.63221838956358</v>
      </c>
      <c r="U59" s="60">
        <f t="shared" ref="U59" si="182">IFERROR(U7/$B59,0)</f>
        <v>223.63221838956358</v>
      </c>
      <c r="V59" s="60">
        <f t="shared" si="181"/>
        <v>223.63221838956358</v>
      </c>
      <c r="W59" s="60">
        <f t="shared" si="181"/>
        <v>223.63221838956358</v>
      </c>
      <c r="X59" s="60">
        <f t="shared" si="181"/>
        <v>223.63221838956358</v>
      </c>
      <c r="Y59" s="60">
        <f t="shared" si="181"/>
        <v>223.63221838956358</v>
      </c>
      <c r="Z59" s="60">
        <f t="shared" si="181"/>
        <v>223.63221838956358</v>
      </c>
      <c r="AA59" s="60">
        <f t="shared" si="181"/>
        <v>223.63221838956358</v>
      </c>
      <c r="AB59" s="60">
        <f t="shared" si="181"/>
        <v>223.63221838956358</v>
      </c>
      <c r="AC59" s="49">
        <f t="shared" si="1"/>
        <v>8.9432551999999999E-7</v>
      </c>
      <c r="AD59" s="49">
        <f>IFERROR(s_RadSpec!$H$7*(AD7/$B59),".")</f>
        <v>2.2358138E-7</v>
      </c>
      <c r="AE59" s="49">
        <f>IFERROR(s_RadSpec!$H$7*(AE7/$B59),".")</f>
        <v>2.2358138E-7</v>
      </c>
      <c r="AF59" s="49">
        <f>IFERROR(s_RadSpec!$H$7*(AF7/$B59),".")</f>
        <v>2.2358138E-7</v>
      </c>
      <c r="AG59" s="49">
        <f>IFERROR(s_RadSpec!$H$7*(AG7/$B59),".")</f>
        <v>2.2358138E-7</v>
      </c>
      <c r="AH59" s="49">
        <f>IFERROR(s_RadSpec!$H$7*(AH7/$B59),".")</f>
        <v>2.2358138E-7</v>
      </c>
      <c r="AI59" s="49">
        <f>IFERROR(s_RadSpec!$H$7*(AI7/$B59),".")</f>
        <v>2.2358138E-7</v>
      </c>
      <c r="AJ59" s="49">
        <f>IFERROR(s_RadSpec!$H$7*(AJ7/$B59),".")</f>
        <v>2.2358138E-7</v>
      </c>
      <c r="AK59" s="49">
        <f>IFERROR(s_RadSpec!$H$7*(AK7/$B59),".")</f>
        <v>2.2358138E-7</v>
      </c>
      <c r="AL59" s="49">
        <f>IFERROR(s_RadSpec!$H$7*(AL7/$B59),".")</f>
        <v>2.2358138E-7</v>
      </c>
      <c r="AM59" s="49">
        <f>IFERROR(s_RadSpec!$H$7*(AM7/$B59),".")</f>
        <v>2.2358138E-7</v>
      </c>
      <c r="AN59" s="49">
        <f>IFERROR(s_RadSpec!$H$7*(AN7/$B59),".")</f>
        <v>2.2358138E-7</v>
      </c>
      <c r="AO59" s="49">
        <f>IFERROR(s_RadSpec!$H$7*(AO7/$B59),".")</f>
        <v>2.2358138E-7</v>
      </c>
      <c r="AP59" s="49">
        <f>IFERROR(s_RadSpec!$H$7*(AP7/$B59),".")</f>
        <v>2.2358138E-7</v>
      </c>
      <c r="AQ59" s="49">
        <f>IFERROR(s_RadSpec!$H$7*(AQ7/$B59),".")</f>
        <v>2.2358138E-7</v>
      </c>
      <c r="AR59" s="49">
        <f>IFERROR(s_RadSpec!$H$7*(AR7/$B59),".")</f>
        <v>2.2358138E-7</v>
      </c>
      <c r="AS59" s="49">
        <f>IFERROR(s_RadSpec!$H$7*(AS7/$B59),".")</f>
        <v>2.2358138E-7</v>
      </c>
      <c r="AT59" s="49">
        <f>IFERROR(s_RadSpec!$H$7*(AT7/$B59),".")</f>
        <v>2.2358138E-7</v>
      </c>
      <c r="AU59" s="49">
        <f>IFERROR(s_RadSpec!$H$7*(AU7/$B59),".")</f>
        <v>2.2358138E-7</v>
      </c>
      <c r="AV59" s="49">
        <f>IFERROR(s_RadSpec!$H$7*(AV7/$B59),".")</f>
        <v>2.2358138E-7</v>
      </c>
      <c r="AW59" s="49">
        <f>IFERROR(s_RadSpec!$H$7*(AW7/$B59),".")</f>
        <v>2.2358138E-7</v>
      </c>
      <c r="AX59" s="49">
        <f>IFERROR(s_RadSpec!$H$7*(AX7/$B59),".")</f>
        <v>2.2358138E-7</v>
      </c>
      <c r="AY59" s="49">
        <f>IFERROR(s_RadSpec!$H$7*(AY7/$B59),".")</f>
        <v>2.2358138E-7</v>
      </c>
      <c r="AZ59" s="49">
        <f>IFERROR(s_RadSpec!$H$7*(AZ7/$B59),".")</f>
        <v>2.2358138E-7</v>
      </c>
      <c r="BA59" s="49">
        <f>IFERROR(s_RadSpec!$H$7*(BA7/$B59),".")</f>
        <v>2.2358138E-7</v>
      </c>
      <c r="BB59" s="49">
        <f>IFERROR(s_RadSpec!$H$7*(BB7/$B59),".")</f>
        <v>2.2358138E-7</v>
      </c>
      <c r="BC59" s="60">
        <f t="shared" ref="BC59" si="183">IFERROR($B59/BC7,0)</f>
        <v>1.78865104E-2</v>
      </c>
      <c r="BD59" s="60">
        <f t="shared" ref="BD59:CB59" si="184">IFERROR($B59/BD7,0)</f>
        <v>4.4716275999999999E-3</v>
      </c>
      <c r="BE59" s="60">
        <f t="shared" si="184"/>
        <v>4.4716275999999999E-3</v>
      </c>
      <c r="BF59" s="60">
        <f t="shared" si="184"/>
        <v>4.4716275999999999E-3</v>
      </c>
      <c r="BG59" s="60">
        <f t="shared" si="184"/>
        <v>4.4716275999999999E-3</v>
      </c>
      <c r="BH59" s="60">
        <f t="shared" si="184"/>
        <v>4.4716275999999999E-3</v>
      </c>
      <c r="BI59" s="60">
        <f t="shared" si="184"/>
        <v>4.4716275999999999E-3</v>
      </c>
      <c r="BJ59" s="60">
        <f t="shared" si="184"/>
        <v>4.4716275999999999E-3</v>
      </c>
      <c r="BK59" s="60">
        <f t="shared" si="184"/>
        <v>4.4716275999999999E-3</v>
      </c>
      <c r="BL59" s="60">
        <f t="shared" si="184"/>
        <v>4.4716275999999999E-3</v>
      </c>
      <c r="BM59" s="60">
        <f t="shared" si="184"/>
        <v>4.4716275999999999E-3</v>
      </c>
      <c r="BN59" s="60">
        <f t="shared" si="184"/>
        <v>4.4716275999999999E-3</v>
      </c>
      <c r="BO59" s="60">
        <f t="shared" si="184"/>
        <v>4.4716275999999999E-3</v>
      </c>
      <c r="BP59" s="60">
        <f t="shared" si="184"/>
        <v>4.4716275999999999E-3</v>
      </c>
      <c r="BQ59" s="60">
        <f t="shared" si="184"/>
        <v>4.4716275999999999E-3</v>
      </c>
      <c r="BR59" s="60">
        <f t="shared" si="184"/>
        <v>4.4716275999999999E-3</v>
      </c>
      <c r="BS59" s="60">
        <f t="shared" si="184"/>
        <v>4.4716275999999999E-3</v>
      </c>
      <c r="BT59" s="60">
        <f t="shared" si="184"/>
        <v>4.4716275999999999E-3</v>
      </c>
      <c r="BU59" s="60">
        <f t="shared" ref="BU59" si="185">IFERROR($B59/BU7,0)</f>
        <v>4.4716275999999999E-3</v>
      </c>
      <c r="BV59" s="60">
        <f t="shared" si="184"/>
        <v>4.4716275999999999E-3</v>
      </c>
      <c r="BW59" s="60">
        <f t="shared" si="184"/>
        <v>4.4716275999999999E-3</v>
      </c>
      <c r="BX59" s="60">
        <f t="shared" si="184"/>
        <v>4.4716275999999999E-3</v>
      </c>
      <c r="BY59" s="60">
        <f t="shared" si="184"/>
        <v>4.4716275999999999E-3</v>
      </c>
      <c r="BZ59" s="60">
        <f t="shared" si="184"/>
        <v>4.4716275999999999E-3</v>
      </c>
      <c r="CA59" s="60">
        <f t="shared" si="184"/>
        <v>4.4716275999999999E-3</v>
      </c>
      <c r="CB59" s="60">
        <f t="shared" si="184"/>
        <v>4.4716275999999999E-3</v>
      </c>
      <c r="CC59" s="49">
        <f t="shared" si="3"/>
        <v>8.9432551999999999E-7</v>
      </c>
      <c r="CD59" s="49">
        <f>IFERROR(s_RadSpec!$H$7*(CD7/$B59),".")</f>
        <v>2.2358138E-7</v>
      </c>
      <c r="CE59" s="49">
        <f>IFERROR(s_RadSpec!$H$7*(CE7/$B59),".")</f>
        <v>2.2358138E-7</v>
      </c>
      <c r="CF59" s="49">
        <f>IFERROR(s_RadSpec!$H$7*(CF7/$B59),".")</f>
        <v>2.2358138E-7</v>
      </c>
      <c r="CG59" s="49">
        <f>IFERROR(s_RadSpec!$H$7*(CG7/$B59),".")</f>
        <v>2.2358138E-7</v>
      </c>
      <c r="CH59" s="49">
        <f>IFERROR(s_RadSpec!$H$7*(CH7/$B59),".")</f>
        <v>2.2358138E-7</v>
      </c>
      <c r="CI59" s="49">
        <f>IFERROR(s_RadSpec!$H$7*(CI7/$B59),".")</f>
        <v>2.2358138E-7</v>
      </c>
      <c r="CJ59" s="49">
        <f>IFERROR(s_RadSpec!$H$7*(CJ7/$B59),".")</f>
        <v>2.2358138E-7</v>
      </c>
      <c r="CK59" s="49">
        <f>IFERROR(s_RadSpec!$H$7*(CK7/$B59),".")</f>
        <v>2.2358138E-7</v>
      </c>
      <c r="CL59" s="49">
        <f>IFERROR(s_RadSpec!$H$7*(CL7/$B59),".")</f>
        <v>2.2358138E-7</v>
      </c>
      <c r="CM59" s="49">
        <f>IFERROR(s_RadSpec!$H$7*(CM7/$B59),".")</f>
        <v>2.2358138E-7</v>
      </c>
      <c r="CN59" s="49">
        <f>IFERROR(s_RadSpec!$H$7*(CN7/$B59),".")</f>
        <v>2.2358138E-7</v>
      </c>
      <c r="CO59" s="49">
        <f>IFERROR(s_RadSpec!$H$7*(CO7/$B59),".")</f>
        <v>2.2358138E-7</v>
      </c>
      <c r="CP59" s="49">
        <f>IFERROR(s_RadSpec!$H$7*(CP7/$B59),".")</f>
        <v>2.2358138E-7</v>
      </c>
      <c r="CQ59" s="49">
        <f>IFERROR(s_RadSpec!$H$7*(CQ7/$B59),".")</f>
        <v>2.2358138E-7</v>
      </c>
      <c r="CR59" s="49">
        <f>IFERROR(s_RadSpec!$H$7*(CR7/$B59),".")</f>
        <v>2.2358138E-7</v>
      </c>
      <c r="CS59" s="49">
        <f>IFERROR(s_RadSpec!$H$7*(CS7/$B59),".")</f>
        <v>2.2358138E-7</v>
      </c>
      <c r="CT59" s="49">
        <f>IFERROR(s_RadSpec!$H$7*(CT7/$B59),".")</f>
        <v>2.2358138E-7</v>
      </c>
      <c r="CU59" s="49">
        <f>IFERROR(s_RadSpec!$H$7*(CU7/$B59),".")</f>
        <v>2.2358138E-7</v>
      </c>
      <c r="CV59" s="49">
        <f>IFERROR(s_RadSpec!$H$7*(CV7/$B59),".")</f>
        <v>2.2358138E-7</v>
      </c>
      <c r="CW59" s="49">
        <f>IFERROR(s_RadSpec!$H$7*(CW7/$B59),".")</f>
        <v>2.2358138E-7</v>
      </c>
      <c r="CX59" s="49">
        <f>IFERROR(s_RadSpec!$H$7*(CX7/$B59),".")</f>
        <v>2.2358138E-7</v>
      </c>
      <c r="CY59" s="49">
        <f>IFERROR(s_RadSpec!$H$7*(CY7/$B59),".")</f>
        <v>2.2358138E-7</v>
      </c>
      <c r="CZ59" s="49">
        <f>IFERROR(s_RadSpec!$H$7*(CZ7/$B59),".")</f>
        <v>2.2358138E-7</v>
      </c>
      <c r="DA59" s="49">
        <f>IFERROR(s_RadSpec!$H$7*(DA7/$B59),".")</f>
        <v>2.2358138E-7</v>
      </c>
      <c r="DB59" s="49">
        <f>IFERROR(s_RadSpec!$H$7*(DB7/$B59),".")</f>
        <v>2.2358138E-7</v>
      </c>
    </row>
    <row r="60" spans="1:106" x14ac:dyDescent="0.25">
      <c r="A60" s="83" t="s">
        <v>1095</v>
      </c>
      <c r="B60" s="86">
        <v>1.9000000000000001E-8</v>
      </c>
      <c r="C60" s="60">
        <f t="shared" ref="C60" si="186">IFERROR(C12/$B60,0)</f>
        <v>0</v>
      </c>
      <c r="D60" s="60">
        <f t="shared" ref="D60:AB60" si="187">IFERROR(D12/$B60,0)</f>
        <v>0</v>
      </c>
      <c r="E60" s="60">
        <f t="shared" si="187"/>
        <v>0</v>
      </c>
      <c r="F60" s="60">
        <f t="shared" si="187"/>
        <v>0</v>
      </c>
      <c r="G60" s="60">
        <f t="shared" si="187"/>
        <v>0</v>
      </c>
      <c r="H60" s="60">
        <f t="shared" si="187"/>
        <v>0</v>
      </c>
      <c r="I60" s="60">
        <f t="shared" si="187"/>
        <v>0</v>
      </c>
      <c r="J60" s="60">
        <f t="shared" si="187"/>
        <v>0</v>
      </c>
      <c r="K60" s="60">
        <f t="shared" si="187"/>
        <v>0</v>
      </c>
      <c r="L60" s="60">
        <f t="shared" si="187"/>
        <v>0</v>
      </c>
      <c r="M60" s="60">
        <f t="shared" si="187"/>
        <v>0</v>
      </c>
      <c r="N60" s="60">
        <f t="shared" si="187"/>
        <v>0</v>
      </c>
      <c r="O60" s="60">
        <f t="shared" si="187"/>
        <v>0</v>
      </c>
      <c r="P60" s="60">
        <f t="shared" si="187"/>
        <v>0</v>
      </c>
      <c r="Q60" s="60">
        <f t="shared" si="187"/>
        <v>0</v>
      </c>
      <c r="R60" s="60">
        <f t="shared" si="187"/>
        <v>0</v>
      </c>
      <c r="S60" s="60">
        <f t="shared" si="187"/>
        <v>0</v>
      </c>
      <c r="T60" s="60">
        <f t="shared" si="187"/>
        <v>0</v>
      </c>
      <c r="U60" s="60">
        <f t="shared" ref="U60" si="188">IFERROR(U12/$B60,0)</f>
        <v>0</v>
      </c>
      <c r="V60" s="60">
        <f t="shared" si="187"/>
        <v>0</v>
      </c>
      <c r="W60" s="60">
        <f t="shared" si="187"/>
        <v>0</v>
      </c>
      <c r="X60" s="60">
        <f t="shared" si="187"/>
        <v>0</v>
      </c>
      <c r="Y60" s="60">
        <f t="shared" si="187"/>
        <v>0</v>
      </c>
      <c r="Z60" s="60">
        <f t="shared" si="187"/>
        <v>0</v>
      </c>
      <c r="AA60" s="60">
        <f t="shared" si="187"/>
        <v>0</v>
      </c>
      <c r="AB60" s="60">
        <f t="shared" si="187"/>
        <v>0</v>
      </c>
      <c r="AC60" s="49">
        <f t="shared" si="1"/>
        <v>0</v>
      </c>
      <c r="AD60" s="49">
        <f>IFERROR(s_RadSpec!$H$12*(AD12/$B60),".")</f>
        <v>0</v>
      </c>
      <c r="AE60" s="49">
        <f>IFERROR(s_RadSpec!$H$12*(AE12/$B60),".")</f>
        <v>0</v>
      </c>
      <c r="AF60" s="49">
        <f>IFERROR(s_RadSpec!$H$12*(AF12/$B60),".")</f>
        <v>0</v>
      </c>
      <c r="AG60" s="49">
        <f>IFERROR(s_RadSpec!$H$12*(AG12/$B60),".")</f>
        <v>0</v>
      </c>
      <c r="AH60" s="49">
        <f>IFERROR(s_RadSpec!$H$12*(AH12/$B60),".")</f>
        <v>0</v>
      </c>
      <c r="AI60" s="49">
        <f>IFERROR(s_RadSpec!$H$12*(AI12/$B60),".")</f>
        <v>0</v>
      </c>
      <c r="AJ60" s="49">
        <f>IFERROR(s_RadSpec!$H$12*(AJ12/$B60),".")</f>
        <v>0</v>
      </c>
      <c r="AK60" s="49">
        <f>IFERROR(s_RadSpec!$H$12*(AK12/$B60),".")</f>
        <v>0</v>
      </c>
      <c r="AL60" s="49">
        <f>IFERROR(s_RadSpec!$H$12*(AL12/$B60),".")</f>
        <v>0</v>
      </c>
      <c r="AM60" s="49">
        <f>IFERROR(s_RadSpec!$H$12*(AM12/$B60),".")</f>
        <v>0</v>
      </c>
      <c r="AN60" s="49">
        <f>IFERROR(s_RadSpec!$H$12*(AN12/$B60),".")</f>
        <v>0</v>
      </c>
      <c r="AO60" s="49">
        <f>IFERROR(s_RadSpec!$H$12*(AO12/$B60),".")</f>
        <v>0</v>
      </c>
      <c r="AP60" s="49">
        <f>IFERROR(s_RadSpec!$H$12*(AP12/$B60),".")</f>
        <v>0</v>
      </c>
      <c r="AQ60" s="49">
        <f>IFERROR(s_RadSpec!$H$12*(AQ12/$B60),".")</f>
        <v>0</v>
      </c>
      <c r="AR60" s="49">
        <f>IFERROR(s_RadSpec!$H$12*(AR12/$B60),".")</f>
        <v>0</v>
      </c>
      <c r="AS60" s="49">
        <f>IFERROR(s_RadSpec!$H$12*(AS12/$B60),".")</f>
        <v>0</v>
      </c>
      <c r="AT60" s="49">
        <f>IFERROR(s_RadSpec!$H$12*(AT12/$B60),".")</f>
        <v>0</v>
      </c>
      <c r="AU60" s="49">
        <f>IFERROR(s_RadSpec!$H$12*(AU12/$B60),".")</f>
        <v>0</v>
      </c>
      <c r="AV60" s="49">
        <f>IFERROR(s_RadSpec!$H$12*(AV12/$B60),".")</f>
        <v>0</v>
      </c>
      <c r="AW60" s="49">
        <f>IFERROR(s_RadSpec!$H$12*(AW12/$B60),".")</f>
        <v>0</v>
      </c>
      <c r="AX60" s="49">
        <f>IFERROR(s_RadSpec!$H$12*(AX12/$B60),".")</f>
        <v>0</v>
      </c>
      <c r="AY60" s="49">
        <f>IFERROR(s_RadSpec!$H$12*(AY12/$B60),".")</f>
        <v>0</v>
      </c>
      <c r="AZ60" s="49">
        <f>IFERROR(s_RadSpec!$H$12*(AZ12/$B60),".")</f>
        <v>0</v>
      </c>
      <c r="BA60" s="49">
        <f>IFERROR(s_RadSpec!$H$12*(BA12/$B60),".")</f>
        <v>0</v>
      </c>
      <c r="BB60" s="49">
        <f>IFERROR(s_RadSpec!$H$12*(BB12/$B60),".")</f>
        <v>0</v>
      </c>
      <c r="BC60" s="60">
        <f t="shared" ref="BC60" si="189">IFERROR($B60/BC12,0)</f>
        <v>0</v>
      </c>
      <c r="BD60" s="60">
        <f t="shared" ref="BD60:CB60" si="190">IFERROR($B60/BD12,0)</f>
        <v>0</v>
      </c>
      <c r="BE60" s="60">
        <f t="shared" si="190"/>
        <v>0</v>
      </c>
      <c r="BF60" s="60">
        <f t="shared" si="190"/>
        <v>0</v>
      </c>
      <c r="BG60" s="60">
        <f t="shared" si="190"/>
        <v>0</v>
      </c>
      <c r="BH60" s="60">
        <f t="shared" si="190"/>
        <v>0</v>
      </c>
      <c r="BI60" s="60">
        <f t="shared" si="190"/>
        <v>0</v>
      </c>
      <c r="BJ60" s="60">
        <f t="shared" si="190"/>
        <v>0</v>
      </c>
      <c r="BK60" s="60">
        <f t="shared" si="190"/>
        <v>0</v>
      </c>
      <c r="BL60" s="60">
        <f t="shared" si="190"/>
        <v>0</v>
      </c>
      <c r="BM60" s="60">
        <f t="shared" si="190"/>
        <v>0</v>
      </c>
      <c r="BN60" s="60">
        <f t="shared" si="190"/>
        <v>0</v>
      </c>
      <c r="BO60" s="60">
        <f t="shared" si="190"/>
        <v>0</v>
      </c>
      <c r="BP60" s="60">
        <f t="shared" si="190"/>
        <v>0</v>
      </c>
      <c r="BQ60" s="60">
        <f t="shared" si="190"/>
        <v>0</v>
      </c>
      <c r="BR60" s="60">
        <f t="shared" si="190"/>
        <v>0</v>
      </c>
      <c r="BS60" s="60">
        <f t="shared" si="190"/>
        <v>0</v>
      </c>
      <c r="BT60" s="60">
        <f t="shared" si="190"/>
        <v>0</v>
      </c>
      <c r="BU60" s="60">
        <f t="shared" ref="BU60" si="191">IFERROR($B60/BU12,0)</f>
        <v>0</v>
      </c>
      <c r="BV60" s="60">
        <f t="shared" si="190"/>
        <v>0</v>
      </c>
      <c r="BW60" s="60">
        <f t="shared" si="190"/>
        <v>0</v>
      </c>
      <c r="BX60" s="60">
        <f t="shared" si="190"/>
        <v>0</v>
      </c>
      <c r="BY60" s="60">
        <f t="shared" si="190"/>
        <v>0</v>
      </c>
      <c r="BZ60" s="60">
        <f t="shared" si="190"/>
        <v>0</v>
      </c>
      <c r="CA60" s="60">
        <f t="shared" si="190"/>
        <v>0</v>
      </c>
      <c r="CB60" s="60">
        <f t="shared" si="190"/>
        <v>0</v>
      </c>
      <c r="CC60" s="49">
        <f t="shared" si="3"/>
        <v>0</v>
      </c>
      <c r="CD60" s="49">
        <f>IFERROR(s_RadSpec!$H$12*(CD12/$B60),".")</f>
        <v>0</v>
      </c>
      <c r="CE60" s="49">
        <f>IFERROR(s_RadSpec!$H$12*(CE12/$B60),".")</f>
        <v>0</v>
      </c>
      <c r="CF60" s="49">
        <f>IFERROR(s_RadSpec!$H$12*(CF12/$B60),".")</f>
        <v>0</v>
      </c>
      <c r="CG60" s="49">
        <f>IFERROR(s_RadSpec!$H$12*(CG12/$B60),".")</f>
        <v>0</v>
      </c>
      <c r="CH60" s="49">
        <f>IFERROR(s_RadSpec!$H$12*(CH12/$B60),".")</f>
        <v>0</v>
      </c>
      <c r="CI60" s="49">
        <f>IFERROR(s_RadSpec!$H$12*(CI12/$B60),".")</f>
        <v>0</v>
      </c>
      <c r="CJ60" s="49">
        <f>IFERROR(s_RadSpec!$H$12*(CJ12/$B60),".")</f>
        <v>0</v>
      </c>
      <c r="CK60" s="49">
        <f>IFERROR(s_RadSpec!$H$12*(CK12/$B60),".")</f>
        <v>0</v>
      </c>
      <c r="CL60" s="49">
        <f>IFERROR(s_RadSpec!$H$12*(CL12/$B60),".")</f>
        <v>0</v>
      </c>
      <c r="CM60" s="49">
        <f>IFERROR(s_RadSpec!$H$12*(CM12/$B60),".")</f>
        <v>0</v>
      </c>
      <c r="CN60" s="49">
        <f>IFERROR(s_RadSpec!$H$12*(CN12/$B60),".")</f>
        <v>0</v>
      </c>
      <c r="CO60" s="49">
        <f>IFERROR(s_RadSpec!$H$12*(CO12/$B60),".")</f>
        <v>0</v>
      </c>
      <c r="CP60" s="49">
        <f>IFERROR(s_RadSpec!$H$12*(CP12/$B60),".")</f>
        <v>0</v>
      </c>
      <c r="CQ60" s="49">
        <f>IFERROR(s_RadSpec!$H$12*(CQ12/$B60),".")</f>
        <v>0</v>
      </c>
      <c r="CR60" s="49">
        <f>IFERROR(s_RadSpec!$H$12*(CR12/$B60),".")</f>
        <v>0</v>
      </c>
      <c r="CS60" s="49">
        <f>IFERROR(s_RadSpec!$H$12*(CS12/$B60),".")</f>
        <v>0</v>
      </c>
      <c r="CT60" s="49">
        <f>IFERROR(s_RadSpec!$H$12*(CT12/$B60),".")</f>
        <v>0</v>
      </c>
      <c r="CU60" s="49">
        <f>IFERROR(s_RadSpec!$H$12*(CU12/$B60),".")</f>
        <v>0</v>
      </c>
      <c r="CV60" s="49">
        <f>IFERROR(s_RadSpec!$H$12*(CV12/$B60),".")</f>
        <v>0</v>
      </c>
      <c r="CW60" s="49">
        <f>IFERROR(s_RadSpec!$H$12*(CW12/$B60),".")</f>
        <v>0</v>
      </c>
      <c r="CX60" s="49">
        <f>IFERROR(s_RadSpec!$H$12*(CX12/$B60),".")</f>
        <v>0</v>
      </c>
      <c r="CY60" s="49">
        <f>IFERROR(s_RadSpec!$H$12*(CY12/$B60),".")</f>
        <v>0</v>
      </c>
      <c r="CZ60" s="49">
        <f>IFERROR(s_RadSpec!$H$12*(CZ12/$B60),".")</f>
        <v>0</v>
      </c>
      <c r="DA60" s="49">
        <f>IFERROR(s_RadSpec!$H$12*(DA12/$B60),".")</f>
        <v>0</v>
      </c>
      <c r="DB60" s="49">
        <f>IFERROR(s_RadSpec!$H$12*(DB12/$B60),".")</f>
        <v>0</v>
      </c>
    </row>
    <row r="61" spans="1:106" x14ac:dyDescent="0.25">
      <c r="A61" s="83" t="s">
        <v>1096</v>
      </c>
      <c r="B61" s="42">
        <v>1</v>
      </c>
      <c r="C61" s="60">
        <f t="shared" ref="C61" si="192">IFERROR(C18/$B61,0)</f>
        <v>2.1689623101486384</v>
      </c>
      <c r="D61" s="60">
        <f t="shared" ref="D61:AB61" si="193">IFERROR(D18/$B61,0)</f>
        <v>10.708657712295906</v>
      </c>
      <c r="E61" s="60">
        <f t="shared" si="193"/>
        <v>7.0195507492083209</v>
      </c>
      <c r="F61" s="60">
        <f t="shared" si="193"/>
        <v>7.6014824175364737</v>
      </c>
      <c r="G61" s="60">
        <f t="shared" si="193"/>
        <v>10.708657712295906</v>
      </c>
      <c r="H61" s="60">
        <f t="shared" si="193"/>
        <v>10.708657712295906</v>
      </c>
      <c r="I61" s="60">
        <f t="shared" si="193"/>
        <v>7.0195507492083209</v>
      </c>
      <c r="J61" s="60">
        <f t="shared" si="193"/>
        <v>7.6014824175364737</v>
      </c>
      <c r="K61" s="60">
        <f t="shared" si="193"/>
        <v>10.708657712295906</v>
      </c>
      <c r="L61" s="60">
        <f t="shared" si="193"/>
        <v>10.677482580673502</v>
      </c>
      <c r="M61" s="60">
        <f t="shared" si="193"/>
        <v>10.708657712295906</v>
      </c>
      <c r="N61" s="60">
        <f t="shared" si="193"/>
        <v>7.0195507492083209</v>
      </c>
      <c r="O61" s="60">
        <f t="shared" si="193"/>
        <v>10.654220091390989</v>
      </c>
      <c r="P61" s="60">
        <f t="shared" si="193"/>
        <v>10.708657712295906</v>
      </c>
      <c r="Q61" s="60">
        <f t="shared" si="193"/>
        <v>7.6014824175364737</v>
      </c>
      <c r="R61" s="60">
        <f t="shared" si="193"/>
        <v>10.708657712295906</v>
      </c>
      <c r="S61" s="60">
        <f t="shared" si="193"/>
        <v>10.708657712295906</v>
      </c>
      <c r="T61" s="60">
        <f t="shared" si="193"/>
        <v>10.654220091390989</v>
      </c>
      <c r="U61" s="60">
        <f t="shared" ref="U61" si="194">IFERROR(U18/$B61,0)</f>
        <v>10.708657712295906</v>
      </c>
      <c r="V61" s="60">
        <f t="shared" si="193"/>
        <v>9.0560870776823403</v>
      </c>
      <c r="W61" s="60">
        <f t="shared" si="193"/>
        <v>10.708657712295906</v>
      </c>
      <c r="X61" s="60">
        <f t="shared" si="193"/>
        <v>10.654220091390989</v>
      </c>
      <c r="Y61" s="60">
        <f t="shared" si="193"/>
        <v>10.708657712295906</v>
      </c>
      <c r="Z61" s="60">
        <f t="shared" si="193"/>
        <v>10.708657712295906</v>
      </c>
      <c r="AA61" s="60">
        <f t="shared" si="193"/>
        <v>5.5361739871114688</v>
      </c>
      <c r="AB61" s="60">
        <f t="shared" si="193"/>
        <v>10.677482580673502</v>
      </c>
      <c r="AC61" s="49">
        <f t="shared" si="1"/>
        <v>2.3052498314999997E-5</v>
      </c>
      <c r="AD61" s="49">
        <f>IFERROR(s_RadSpec!$H$18*(AD18/$B61),".")</f>
        <v>4.6691192624999998E-6</v>
      </c>
      <c r="AE61" s="49">
        <f>IFERROR(s_RadSpec!$H$18*(AE18/$B61),".")</f>
        <v>7.1229629625000014E-6</v>
      </c>
      <c r="AF61" s="49">
        <f>IFERROR(s_RadSpec!$H$18*(AF18/$B61),".")</f>
        <v>6.5776643624999991E-6</v>
      </c>
      <c r="AG61" s="49">
        <f>IFERROR(s_RadSpec!$H$18*(AG18/$B61),".")</f>
        <v>4.6691192624999998E-6</v>
      </c>
      <c r="AH61" s="49">
        <f>IFERROR(s_RadSpec!$H$18*(AH18/$B61),".")</f>
        <v>4.6691192624999998E-6</v>
      </c>
      <c r="AI61" s="49">
        <f>IFERROR(s_RadSpec!$H$18*(AI18/$B61),".")</f>
        <v>7.1229629625000014E-6</v>
      </c>
      <c r="AJ61" s="49">
        <f>IFERROR(s_RadSpec!$H$18*(AJ18/$B61),".")</f>
        <v>6.5776643624999991E-6</v>
      </c>
      <c r="AK61" s="49">
        <f>IFERROR(s_RadSpec!$H$18*(AK18/$B61),".")</f>
        <v>4.6691192624999998E-6</v>
      </c>
      <c r="AL61" s="49">
        <f>IFERROR(s_RadSpec!$H$18*(AL18/$B61),".")</f>
        <v>4.6827517274999995E-6</v>
      </c>
      <c r="AM61" s="49">
        <f>IFERROR(s_RadSpec!$H$18*(AM18/$B61),".")</f>
        <v>4.6691192624999998E-6</v>
      </c>
      <c r="AN61" s="49">
        <f>IFERROR(s_RadSpec!$H$18*(AN18/$B61),".")</f>
        <v>7.1229629625000014E-6</v>
      </c>
      <c r="AO61" s="49">
        <f>IFERROR(s_RadSpec!$H$18*(AO18/$B61),".")</f>
        <v>4.6929760762499991E-6</v>
      </c>
      <c r="AP61" s="49">
        <f>IFERROR(s_RadSpec!$H$18*(AP18/$B61),".")</f>
        <v>4.6691192624999998E-6</v>
      </c>
      <c r="AQ61" s="49">
        <f>IFERROR(s_RadSpec!$H$18*(AQ18/$B61),".")</f>
        <v>6.5776643624999991E-6</v>
      </c>
      <c r="AR61" s="49">
        <f>IFERROR(s_RadSpec!$H$18*(AR18/$B61),".")</f>
        <v>4.6691192624999998E-6</v>
      </c>
      <c r="AS61" s="49">
        <f>IFERROR(s_RadSpec!$H$18*(AS18/$B61),".")</f>
        <v>4.6691192624999998E-6</v>
      </c>
      <c r="AT61" s="49">
        <f>IFERROR(s_RadSpec!$H$18*(AT18/$B61),".")</f>
        <v>4.6929760762499991E-6</v>
      </c>
      <c r="AU61" s="49">
        <f>IFERROR(s_RadSpec!$H$18*(AU18/$B61),".")</f>
        <v>4.6691192624999998E-6</v>
      </c>
      <c r="AV61" s="49">
        <f>IFERROR(s_RadSpec!$H$18*(AV18/$B61),".")</f>
        <v>5.5211483249999994E-6</v>
      </c>
      <c r="AW61" s="49">
        <f>IFERROR(s_RadSpec!$H$18*(AW18/$B61),".")</f>
        <v>4.6691192624999998E-6</v>
      </c>
      <c r="AX61" s="49">
        <f>IFERROR(s_RadSpec!$H$18*(AX18/$B61),".")</f>
        <v>4.6929760762499991E-6</v>
      </c>
      <c r="AY61" s="49">
        <f>IFERROR(s_RadSpec!$H$18*(AY18/$B61),".")</f>
        <v>4.6691192624999998E-6</v>
      </c>
      <c r="AZ61" s="49">
        <f>IFERROR(s_RadSpec!$H$18*(AZ18/$B61),".")</f>
        <v>4.6691192624999998E-6</v>
      </c>
      <c r="BA61" s="49">
        <f>IFERROR(s_RadSpec!$H$18*(BA18/$B61),".")</f>
        <v>9.0315080624999998E-6</v>
      </c>
      <c r="BB61" s="49">
        <f>IFERROR(s_RadSpec!$H$18*(BB18/$B61),".")</f>
        <v>4.6827517274999995E-6</v>
      </c>
      <c r="BC61" s="60">
        <f t="shared" ref="BC61" si="195">IFERROR($B61/BC18,0)</f>
        <v>0.46104996630000006</v>
      </c>
      <c r="BD61" s="60">
        <f t="shared" ref="BD61:CB61" si="196">IFERROR($B61/BD18,0)</f>
        <v>9.3382385250000005E-2</v>
      </c>
      <c r="BE61" s="60">
        <f t="shared" si="196"/>
        <v>0.14245925925000003</v>
      </c>
      <c r="BF61" s="60">
        <f t="shared" si="196"/>
        <v>0.13155328724999998</v>
      </c>
      <c r="BG61" s="60">
        <f t="shared" si="196"/>
        <v>9.3382385250000005E-2</v>
      </c>
      <c r="BH61" s="60">
        <f t="shared" si="196"/>
        <v>9.3382385250000005E-2</v>
      </c>
      <c r="BI61" s="60">
        <f t="shared" si="196"/>
        <v>0.14245925925000003</v>
      </c>
      <c r="BJ61" s="60">
        <f t="shared" si="196"/>
        <v>0.13155328724999998</v>
      </c>
      <c r="BK61" s="60">
        <f t="shared" si="196"/>
        <v>9.3382385250000005E-2</v>
      </c>
      <c r="BL61" s="60">
        <f t="shared" si="196"/>
        <v>9.3655034550000002E-2</v>
      </c>
      <c r="BM61" s="60">
        <f t="shared" si="196"/>
        <v>9.3382385250000005E-2</v>
      </c>
      <c r="BN61" s="60">
        <f t="shared" si="196"/>
        <v>0.14245925925000003</v>
      </c>
      <c r="BO61" s="60">
        <f t="shared" si="196"/>
        <v>9.3859521524999989E-2</v>
      </c>
      <c r="BP61" s="60">
        <f t="shared" si="196"/>
        <v>9.3382385250000005E-2</v>
      </c>
      <c r="BQ61" s="60">
        <f t="shared" si="196"/>
        <v>0.13155328724999998</v>
      </c>
      <c r="BR61" s="60">
        <f t="shared" si="196"/>
        <v>9.3382385250000005E-2</v>
      </c>
      <c r="BS61" s="60">
        <f t="shared" si="196"/>
        <v>9.3382385250000005E-2</v>
      </c>
      <c r="BT61" s="60">
        <f t="shared" si="196"/>
        <v>9.3859521524999989E-2</v>
      </c>
      <c r="BU61" s="60">
        <f t="shared" ref="BU61" si="197">IFERROR($B61/BU18,0)</f>
        <v>9.3382385250000005E-2</v>
      </c>
      <c r="BV61" s="60">
        <f t="shared" si="196"/>
        <v>0.1104229665</v>
      </c>
      <c r="BW61" s="60">
        <f t="shared" si="196"/>
        <v>9.3382385250000005E-2</v>
      </c>
      <c r="BX61" s="60">
        <f t="shared" si="196"/>
        <v>9.3859521524999989E-2</v>
      </c>
      <c r="BY61" s="60">
        <f t="shared" si="196"/>
        <v>9.3382385250000005E-2</v>
      </c>
      <c r="BZ61" s="60">
        <f t="shared" si="196"/>
        <v>9.3382385250000005E-2</v>
      </c>
      <c r="CA61" s="60">
        <f t="shared" si="196"/>
        <v>0.18063016125</v>
      </c>
      <c r="CB61" s="60">
        <f t="shared" si="196"/>
        <v>9.3655034550000002E-2</v>
      </c>
      <c r="CC61" s="49">
        <f t="shared" si="3"/>
        <v>2.3052498314999997E-5</v>
      </c>
      <c r="CD61" s="49">
        <f>IFERROR(s_RadSpec!$H$18*(CD18/$B61),".")</f>
        <v>4.6691192624999998E-6</v>
      </c>
      <c r="CE61" s="49">
        <f>IFERROR(s_RadSpec!$H$18*(CE18/$B61),".")</f>
        <v>7.1229629625000014E-6</v>
      </c>
      <c r="CF61" s="49">
        <f>IFERROR(s_RadSpec!$H$18*(CF18/$B61),".")</f>
        <v>6.5776643624999991E-6</v>
      </c>
      <c r="CG61" s="49">
        <f>IFERROR(s_RadSpec!$H$18*(CG18/$B61),".")</f>
        <v>4.6691192624999998E-6</v>
      </c>
      <c r="CH61" s="49">
        <f>IFERROR(s_RadSpec!$H$18*(CH18/$B61),".")</f>
        <v>4.6691192624999998E-6</v>
      </c>
      <c r="CI61" s="49">
        <f>IFERROR(s_RadSpec!$H$18*(CI18/$B61),".")</f>
        <v>7.1229629625000014E-6</v>
      </c>
      <c r="CJ61" s="49">
        <f>IFERROR(s_RadSpec!$H$18*(CJ18/$B61),".")</f>
        <v>6.5776643624999991E-6</v>
      </c>
      <c r="CK61" s="49">
        <f>IFERROR(s_RadSpec!$H$18*(CK18/$B61),".")</f>
        <v>4.6691192624999998E-6</v>
      </c>
      <c r="CL61" s="49">
        <f>IFERROR(s_RadSpec!$H$18*(CL18/$B61),".")</f>
        <v>4.6827517274999995E-6</v>
      </c>
      <c r="CM61" s="49">
        <f>IFERROR(s_RadSpec!$H$18*(CM18/$B61),".")</f>
        <v>4.6691192624999998E-6</v>
      </c>
      <c r="CN61" s="49">
        <f>IFERROR(s_RadSpec!$H$18*(CN18/$B61),".")</f>
        <v>7.1229629625000014E-6</v>
      </c>
      <c r="CO61" s="49">
        <f>IFERROR(s_RadSpec!$H$18*(CO18/$B61),".")</f>
        <v>4.6929760762499991E-6</v>
      </c>
      <c r="CP61" s="49">
        <f>IFERROR(s_RadSpec!$H$18*(CP18/$B61),".")</f>
        <v>4.6691192624999998E-6</v>
      </c>
      <c r="CQ61" s="49">
        <f>IFERROR(s_RadSpec!$H$18*(CQ18/$B61),".")</f>
        <v>6.5776643624999991E-6</v>
      </c>
      <c r="CR61" s="49">
        <f>IFERROR(s_RadSpec!$H$18*(CR18/$B61),".")</f>
        <v>4.6691192624999998E-6</v>
      </c>
      <c r="CS61" s="49">
        <f>IFERROR(s_RadSpec!$H$18*(CS18/$B61),".")</f>
        <v>4.6691192624999998E-6</v>
      </c>
      <c r="CT61" s="49">
        <f>IFERROR(s_RadSpec!$H$18*(CT18/$B61),".")</f>
        <v>4.6929760762499991E-6</v>
      </c>
      <c r="CU61" s="49">
        <f>IFERROR(s_RadSpec!$H$18*(CU18/$B61),".")</f>
        <v>4.6691192624999998E-6</v>
      </c>
      <c r="CV61" s="49">
        <f>IFERROR(s_RadSpec!$H$18*(CV18/$B61),".")</f>
        <v>5.5211483249999994E-6</v>
      </c>
      <c r="CW61" s="49">
        <f>IFERROR(s_RadSpec!$H$18*(CW18/$B61),".")</f>
        <v>4.6691192624999998E-6</v>
      </c>
      <c r="CX61" s="49">
        <f>IFERROR(s_RadSpec!$H$18*(CX18/$B61),".")</f>
        <v>4.6929760762499991E-6</v>
      </c>
      <c r="CY61" s="49">
        <f>IFERROR(s_RadSpec!$H$18*(CY18/$B61),".")</f>
        <v>4.6691192624999998E-6</v>
      </c>
      <c r="CZ61" s="49">
        <f>IFERROR(s_RadSpec!$H$18*(CZ18/$B61),".")</f>
        <v>4.6691192624999998E-6</v>
      </c>
      <c r="DA61" s="49">
        <f>IFERROR(s_RadSpec!$H$18*(DA18/$B61),".")</f>
        <v>9.0315080624999998E-6</v>
      </c>
      <c r="DB61" s="49">
        <f>IFERROR(s_RadSpec!$H$18*(DB18/$B61),".")</f>
        <v>4.6827517274999995E-6</v>
      </c>
    </row>
    <row r="62" spans="1:106" x14ac:dyDescent="0.25">
      <c r="A62" s="83" t="s">
        <v>1097</v>
      </c>
      <c r="B62" s="42">
        <v>1.339E-6</v>
      </c>
      <c r="C62" s="60">
        <f t="shared" ref="C62" si="198">IFERROR(C27/$B62,0)</f>
        <v>0</v>
      </c>
      <c r="D62" s="60">
        <f t="shared" ref="D62:AB62" si="199">IFERROR(D27/$B62,0)</f>
        <v>0</v>
      </c>
      <c r="E62" s="60">
        <f t="shared" si="199"/>
        <v>0</v>
      </c>
      <c r="F62" s="60">
        <f t="shared" si="199"/>
        <v>0</v>
      </c>
      <c r="G62" s="60">
        <f t="shared" si="199"/>
        <v>0</v>
      </c>
      <c r="H62" s="60">
        <f t="shared" si="199"/>
        <v>0</v>
      </c>
      <c r="I62" s="60">
        <f t="shared" si="199"/>
        <v>0</v>
      </c>
      <c r="J62" s="60">
        <f t="shared" si="199"/>
        <v>0</v>
      </c>
      <c r="K62" s="60">
        <f t="shared" si="199"/>
        <v>0</v>
      </c>
      <c r="L62" s="60">
        <f t="shared" si="199"/>
        <v>0</v>
      </c>
      <c r="M62" s="60">
        <f t="shared" si="199"/>
        <v>0</v>
      </c>
      <c r="N62" s="60">
        <f t="shared" si="199"/>
        <v>0</v>
      </c>
      <c r="O62" s="60">
        <f t="shared" si="199"/>
        <v>0</v>
      </c>
      <c r="P62" s="60">
        <f t="shared" si="199"/>
        <v>0</v>
      </c>
      <c r="Q62" s="60">
        <f t="shared" si="199"/>
        <v>0</v>
      </c>
      <c r="R62" s="60">
        <f t="shared" si="199"/>
        <v>0</v>
      </c>
      <c r="S62" s="60">
        <f t="shared" si="199"/>
        <v>0</v>
      </c>
      <c r="T62" s="60">
        <f t="shared" si="199"/>
        <v>0</v>
      </c>
      <c r="U62" s="60">
        <f t="shared" ref="U62" si="200">IFERROR(U27/$B62,0)</f>
        <v>0</v>
      </c>
      <c r="V62" s="60">
        <f t="shared" si="199"/>
        <v>0</v>
      </c>
      <c r="W62" s="60">
        <f t="shared" si="199"/>
        <v>0</v>
      </c>
      <c r="X62" s="60">
        <f t="shared" si="199"/>
        <v>0</v>
      </c>
      <c r="Y62" s="60">
        <f t="shared" si="199"/>
        <v>0</v>
      </c>
      <c r="Z62" s="60">
        <f t="shared" si="199"/>
        <v>0</v>
      </c>
      <c r="AA62" s="60">
        <f t="shared" si="199"/>
        <v>0</v>
      </c>
      <c r="AB62" s="60">
        <f t="shared" si="199"/>
        <v>0</v>
      </c>
      <c r="AC62" s="49">
        <f t="shared" si="1"/>
        <v>0</v>
      </c>
      <c r="AD62" s="49">
        <f>IFERROR(s_RadSpec!$H$27*(AD27/$B62),".")</f>
        <v>0</v>
      </c>
      <c r="AE62" s="49">
        <f>IFERROR(s_RadSpec!$H$27*(AE27/$B62),".")</f>
        <v>0</v>
      </c>
      <c r="AF62" s="49">
        <f>IFERROR(s_RadSpec!$H$27*(AF27/$B62),".")</f>
        <v>0</v>
      </c>
      <c r="AG62" s="49">
        <f>IFERROR(s_RadSpec!$H$27*(AG27/$B62),".")</f>
        <v>0</v>
      </c>
      <c r="AH62" s="49">
        <f>IFERROR(s_RadSpec!$H$27*(AH27/$B62),".")</f>
        <v>0</v>
      </c>
      <c r="AI62" s="49">
        <f>IFERROR(s_RadSpec!$H$27*(AI27/$B62),".")</f>
        <v>0</v>
      </c>
      <c r="AJ62" s="49">
        <f>IFERROR(s_RadSpec!$H$27*(AJ27/$B62),".")</f>
        <v>0</v>
      </c>
      <c r="AK62" s="49">
        <f>IFERROR(s_RadSpec!$H$27*(AK27/$B62),".")</f>
        <v>0</v>
      </c>
      <c r="AL62" s="49">
        <f>IFERROR(s_RadSpec!$H$27*(AL27/$B62),".")</f>
        <v>0</v>
      </c>
      <c r="AM62" s="49">
        <f>IFERROR(s_RadSpec!$H$27*(AM27/$B62),".")</f>
        <v>0</v>
      </c>
      <c r="AN62" s="49">
        <f>IFERROR(s_RadSpec!$H$27*(AN27/$B62),".")</f>
        <v>0</v>
      </c>
      <c r="AO62" s="49">
        <f>IFERROR(s_RadSpec!$H$27*(AO27/$B62),".")</f>
        <v>0</v>
      </c>
      <c r="AP62" s="49">
        <f>IFERROR(s_RadSpec!$H$27*(AP27/$B62),".")</f>
        <v>0</v>
      </c>
      <c r="AQ62" s="49">
        <f>IFERROR(s_RadSpec!$H$27*(AQ27/$B62),".")</f>
        <v>0</v>
      </c>
      <c r="AR62" s="49">
        <f>IFERROR(s_RadSpec!$H$27*(AR27/$B62),".")</f>
        <v>0</v>
      </c>
      <c r="AS62" s="49">
        <f>IFERROR(s_RadSpec!$H$27*(AS27/$B62),".")</f>
        <v>0</v>
      </c>
      <c r="AT62" s="49">
        <f>IFERROR(s_RadSpec!$H$27*(AT27/$B62),".")</f>
        <v>0</v>
      </c>
      <c r="AU62" s="49">
        <f>IFERROR(s_RadSpec!$H$27*(AU27/$B62),".")</f>
        <v>0</v>
      </c>
      <c r="AV62" s="49">
        <f>IFERROR(s_RadSpec!$H$27*(AV27/$B62),".")</f>
        <v>0</v>
      </c>
      <c r="AW62" s="49">
        <f>IFERROR(s_RadSpec!$H$27*(AW27/$B62),".")</f>
        <v>0</v>
      </c>
      <c r="AX62" s="49">
        <f>IFERROR(s_RadSpec!$H$27*(AX27/$B62),".")</f>
        <v>0</v>
      </c>
      <c r="AY62" s="49">
        <f>IFERROR(s_RadSpec!$H$27*(AY27/$B62),".")</f>
        <v>0</v>
      </c>
      <c r="AZ62" s="49">
        <f>IFERROR(s_RadSpec!$H$27*(AZ27/$B62),".")</f>
        <v>0</v>
      </c>
      <c r="BA62" s="49">
        <f>IFERROR(s_RadSpec!$H$27*(BA27/$B62),".")</f>
        <v>0</v>
      </c>
      <c r="BB62" s="49">
        <f>IFERROR(s_RadSpec!$H$27*(BB27/$B62),".")</f>
        <v>0</v>
      </c>
      <c r="BC62" s="60">
        <f t="shared" ref="BC62" si="201">IFERROR($B62/BC27,0)</f>
        <v>0</v>
      </c>
      <c r="BD62" s="60">
        <f t="shared" ref="BD62:CB62" si="202">IFERROR($B62/BD27,0)</f>
        <v>0</v>
      </c>
      <c r="BE62" s="60">
        <f t="shared" si="202"/>
        <v>0</v>
      </c>
      <c r="BF62" s="60">
        <f t="shared" si="202"/>
        <v>0</v>
      </c>
      <c r="BG62" s="60">
        <f t="shared" si="202"/>
        <v>0</v>
      </c>
      <c r="BH62" s="60">
        <f t="shared" si="202"/>
        <v>0</v>
      </c>
      <c r="BI62" s="60">
        <f t="shared" si="202"/>
        <v>0</v>
      </c>
      <c r="BJ62" s="60">
        <f t="shared" si="202"/>
        <v>0</v>
      </c>
      <c r="BK62" s="60">
        <f t="shared" si="202"/>
        <v>0</v>
      </c>
      <c r="BL62" s="60">
        <f t="shared" si="202"/>
        <v>0</v>
      </c>
      <c r="BM62" s="60">
        <f t="shared" si="202"/>
        <v>0</v>
      </c>
      <c r="BN62" s="60">
        <f t="shared" si="202"/>
        <v>0</v>
      </c>
      <c r="BO62" s="60">
        <f t="shared" si="202"/>
        <v>0</v>
      </c>
      <c r="BP62" s="60">
        <f t="shared" si="202"/>
        <v>0</v>
      </c>
      <c r="BQ62" s="60">
        <f t="shared" si="202"/>
        <v>0</v>
      </c>
      <c r="BR62" s="60">
        <f t="shared" si="202"/>
        <v>0</v>
      </c>
      <c r="BS62" s="60">
        <f t="shared" si="202"/>
        <v>0</v>
      </c>
      <c r="BT62" s="60">
        <f t="shared" si="202"/>
        <v>0</v>
      </c>
      <c r="BU62" s="60">
        <f t="shared" ref="BU62" si="203">IFERROR($B62/BU27,0)</f>
        <v>0</v>
      </c>
      <c r="BV62" s="60">
        <f t="shared" si="202"/>
        <v>0</v>
      </c>
      <c r="BW62" s="60">
        <f t="shared" si="202"/>
        <v>0</v>
      </c>
      <c r="BX62" s="60">
        <f t="shared" si="202"/>
        <v>0</v>
      </c>
      <c r="BY62" s="60">
        <f t="shared" si="202"/>
        <v>0</v>
      </c>
      <c r="BZ62" s="60">
        <f t="shared" si="202"/>
        <v>0</v>
      </c>
      <c r="CA62" s="60">
        <f t="shared" si="202"/>
        <v>0</v>
      </c>
      <c r="CB62" s="60">
        <f t="shared" si="202"/>
        <v>0</v>
      </c>
      <c r="CC62" s="49">
        <f t="shared" si="3"/>
        <v>0</v>
      </c>
      <c r="CD62" s="49">
        <f>IFERROR(s_RadSpec!$H$27*(CD27/$B62),".")</f>
        <v>0</v>
      </c>
      <c r="CE62" s="49">
        <f>IFERROR(s_RadSpec!$H$27*(CE27/$B62),".")</f>
        <v>0</v>
      </c>
      <c r="CF62" s="49">
        <f>IFERROR(s_RadSpec!$H$27*(CF27/$B62),".")</f>
        <v>0</v>
      </c>
      <c r="CG62" s="49">
        <f>IFERROR(s_RadSpec!$H$27*(CG27/$B62),".")</f>
        <v>0</v>
      </c>
      <c r="CH62" s="49">
        <f>IFERROR(s_RadSpec!$H$27*(CH27/$B62),".")</f>
        <v>0</v>
      </c>
      <c r="CI62" s="49">
        <f>IFERROR(s_RadSpec!$H$27*(CI27/$B62),".")</f>
        <v>0</v>
      </c>
      <c r="CJ62" s="49">
        <f>IFERROR(s_RadSpec!$H$27*(CJ27/$B62),".")</f>
        <v>0</v>
      </c>
      <c r="CK62" s="49">
        <f>IFERROR(s_RadSpec!$H$27*(CK27/$B62),".")</f>
        <v>0</v>
      </c>
      <c r="CL62" s="49">
        <f>IFERROR(s_RadSpec!$H$27*(CL27/$B62),".")</f>
        <v>0</v>
      </c>
      <c r="CM62" s="49">
        <f>IFERROR(s_RadSpec!$H$27*(CM27/$B62),".")</f>
        <v>0</v>
      </c>
      <c r="CN62" s="49">
        <f>IFERROR(s_RadSpec!$H$27*(CN27/$B62),".")</f>
        <v>0</v>
      </c>
      <c r="CO62" s="49">
        <f>IFERROR(s_RadSpec!$H$27*(CO27/$B62),".")</f>
        <v>0</v>
      </c>
      <c r="CP62" s="49">
        <f>IFERROR(s_RadSpec!$H$27*(CP27/$B62),".")</f>
        <v>0</v>
      </c>
      <c r="CQ62" s="49">
        <f>IFERROR(s_RadSpec!$H$27*(CQ27/$B62),".")</f>
        <v>0</v>
      </c>
      <c r="CR62" s="49">
        <f>IFERROR(s_RadSpec!$H$27*(CR27/$B62),".")</f>
        <v>0</v>
      </c>
      <c r="CS62" s="49">
        <f>IFERROR(s_RadSpec!$H$27*(CS27/$B62),".")</f>
        <v>0</v>
      </c>
      <c r="CT62" s="49">
        <f>IFERROR(s_RadSpec!$H$27*(CT27/$B62),".")</f>
        <v>0</v>
      </c>
      <c r="CU62" s="49">
        <f>IFERROR(s_RadSpec!$H$27*(CU27/$B62),".")</f>
        <v>0</v>
      </c>
      <c r="CV62" s="49">
        <f>IFERROR(s_RadSpec!$H$27*(CV27/$B62),".")</f>
        <v>0</v>
      </c>
      <c r="CW62" s="49">
        <f>IFERROR(s_RadSpec!$H$27*(CW27/$B62),".")</f>
        <v>0</v>
      </c>
      <c r="CX62" s="49">
        <f>IFERROR(s_RadSpec!$H$27*(CX27/$B62),".")</f>
        <v>0</v>
      </c>
      <c r="CY62" s="49">
        <f>IFERROR(s_RadSpec!$H$27*(CY27/$B62),".")</f>
        <v>0</v>
      </c>
      <c r="CZ62" s="49">
        <f>IFERROR(s_RadSpec!$H$27*(CZ27/$B62),".")</f>
        <v>0</v>
      </c>
      <c r="DA62" s="49">
        <f>IFERROR(s_RadSpec!$H$27*(DA27/$B62),".")</f>
        <v>0</v>
      </c>
      <c r="DB62" s="49">
        <f>IFERROR(s_RadSpec!$H$27*(DB27/$B62),".")</f>
        <v>0</v>
      </c>
    </row>
    <row r="63" spans="1:106" x14ac:dyDescent="0.25">
      <c r="A63" s="82" t="s">
        <v>35</v>
      </c>
      <c r="B63" s="82" t="s">
        <v>1071</v>
      </c>
      <c r="C63" s="58">
        <f t="shared" ref="C63" si="204">1/SUM(1/C66,1/C68,1/C72,1/C73,1/C75)</f>
        <v>1.2487595239666274</v>
      </c>
      <c r="D63" s="58">
        <f t="shared" ref="D63:AB63" si="205">1/SUM(1/D66,1/D68,1/D72,1/D73,1/D75)</f>
        <v>5.5059682379640273</v>
      </c>
      <c r="E63" s="58">
        <f t="shared" si="205"/>
        <v>2.0835693094724306</v>
      </c>
      <c r="F63" s="58">
        <f t="shared" si="205"/>
        <v>4.2088356012139876</v>
      </c>
      <c r="G63" s="58">
        <f t="shared" si="205"/>
        <v>5.5059682379640273</v>
      </c>
      <c r="H63" s="58">
        <f t="shared" si="205"/>
        <v>5.0144289395826283</v>
      </c>
      <c r="I63" s="58">
        <f t="shared" si="205"/>
        <v>2.0835693094724306</v>
      </c>
      <c r="J63" s="58">
        <f t="shared" si="205"/>
        <v>4.2088356012139876</v>
      </c>
      <c r="K63" s="58">
        <f t="shared" si="205"/>
        <v>5.5059682379640273</v>
      </c>
      <c r="L63" s="58">
        <f t="shared" si="205"/>
        <v>6.6418811268195777</v>
      </c>
      <c r="M63" s="58">
        <f t="shared" si="205"/>
        <v>5.0144289395826283</v>
      </c>
      <c r="N63" s="58">
        <f t="shared" si="205"/>
        <v>2.0835693094724306</v>
      </c>
      <c r="O63" s="58">
        <f t="shared" si="205"/>
        <v>6.0473007349866732</v>
      </c>
      <c r="P63" s="58">
        <f t="shared" si="205"/>
        <v>5.0144289395826283</v>
      </c>
      <c r="Q63" s="58">
        <f t="shared" si="205"/>
        <v>4.2088356012139876</v>
      </c>
      <c r="R63" s="58">
        <f t="shared" si="205"/>
        <v>5.5059682379640273</v>
      </c>
      <c r="S63" s="58">
        <f t="shared" si="205"/>
        <v>5.5059682379640273</v>
      </c>
      <c r="T63" s="58">
        <f t="shared" si="205"/>
        <v>6.0473007349866732</v>
      </c>
      <c r="U63" s="58">
        <f t="shared" ref="U63" si="206">1/SUM(1/U66,1/U68,1/U72,1/U73,1/U75)</f>
        <v>5.0144289395826283</v>
      </c>
      <c r="V63" s="58">
        <f t="shared" si="205"/>
        <v>5.9383871448060459</v>
      </c>
      <c r="W63" s="58">
        <f t="shared" si="205"/>
        <v>5.0144289395826283</v>
      </c>
      <c r="X63" s="58">
        <f t="shared" si="205"/>
        <v>6.0473007349866732</v>
      </c>
      <c r="Y63" s="58">
        <f t="shared" si="205"/>
        <v>5.5059682379640273</v>
      </c>
      <c r="Z63" s="58">
        <f t="shared" si="205"/>
        <v>5.0144289395826283</v>
      </c>
      <c r="AA63" s="58">
        <f t="shared" si="205"/>
        <v>4.2681296625508498</v>
      </c>
      <c r="AB63" s="58">
        <f t="shared" si="205"/>
        <v>5.3921602550591947</v>
      </c>
      <c r="AC63" s="47">
        <f t="shared" si="1"/>
        <v>4.0039737320234714E-5</v>
      </c>
      <c r="AD63" s="47">
        <f t="shared" ref="AD63" si="207">IFERROR(IF(SUM(AD64:AD76)&gt;0.01,1-EXP(-(SUM(AD64:AD76))),SUM(AD64:AD76)),".")</f>
        <v>9.0810556188721279E-6</v>
      </c>
      <c r="AE63" s="47">
        <f t="shared" ref="AE63:BB63" si="208">IFERROR(IF(SUM(AE64:AE76)&gt;0.01,1-EXP(-(SUM(AE64:AE76))),SUM(AE64:AE76)),".")</f>
        <v>2.3997284606679689E-5</v>
      </c>
      <c r="AF63" s="47">
        <f t="shared" si="208"/>
        <v>1.1879771096572667E-5</v>
      </c>
      <c r="AG63" s="47">
        <f t="shared" si="208"/>
        <v>9.0810556188721279E-6</v>
      </c>
      <c r="AH63" s="47">
        <f t="shared" si="208"/>
        <v>9.971225996572669E-6</v>
      </c>
      <c r="AI63" s="47">
        <f t="shared" si="208"/>
        <v>2.3997284606679689E-5</v>
      </c>
      <c r="AJ63" s="47">
        <f t="shared" si="208"/>
        <v>1.1879771096572667E-5</v>
      </c>
      <c r="AK63" s="47">
        <f t="shared" si="208"/>
        <v>9.0810556188721279E-6</v>
      </c>
      <c r="AL63" s="47">
        <f t="shared" si="208"/>
        <v>7.5279882191191779E-6</v>
      </c>
      <c r="AM63" s="47">
        <f t="shared" si="208"/>
        <v>9.971225996572669E-6</v>
      </c>
      <c r="AN63" s="47">
        <f t="shared" si="208"/>
        <v>2.3997284606679689E-5</v>
      </c>
      <c r="AO63" s="47">
        <f t="shared" si="208"/>
        <v>8.2681522775836204E-6</v>
      </c>
      <c r="AP63" s="47">
        <f t="shared" si="208"/>
        <v>9.971225996572669E-6</v>
      </c>
      <c r="AQ63" s="47">
        <f t="shared" si="208"/>
        <v>1.1879771096572667E-5</v>
      </c>
      <c r="AR63" s="47">
        <f t="shared" si="208"/>
        <v>9.0810556188721279E-6</v>
      </c>
      <c r="AS63" s="47">
        <f t="shared" si="208"/>
        <v>9.0810556188721279E-6</v>
      </c>
      <c r="AT63" s="47">
        <f t="shared" si="208"/>
        <v>8.2681522775836204E-6</v>
      </c>
      <c r="AU63" s="47">
        <f t="shared" si="208"/>
        <v>9.971225996572669E-6</v>
      </c>
      <c r="AV63" s="47">
        <f t="shared" si="208"/>
        <v>8.4197950392812104E-6</v>
      </c>
      <c r="AW63" s="47">
        <f t="shared" si="208"/>
        <v>9.971225996572669E-6</v>
      </c>
      <c r="AX63" s="47">
        <f t="shared" si="208"/>
        <v>8.2681522775836204E-6</v>
      </c>
      <c r="AY63" s="47">
        <f t="shared" si="208"/>
        <v>9.0810556188721279E-6</v>
      </c>
      <c r="AZ63" s="47">
        <f t="shared" si="208"/>
        <v>9.971225996572669E-6</v>
      </c>
      <c r="BA63" s="47">
        <f t="shared" si="208"/>
        <v>1.1714733545377679E-5</v>
      </c>
      <c r="BB63" s="47">
        <f t="shared" si="208"/>
        <v>9.2727221594122363E-6</v>
      </c>
      <c r="BC63" s="58">
        <f t="shared" ref="BC63" si="209">IFERROR(1/SUM(BC64:BC76),0)</f>
        <v>1.2487595239666274</v>
      </c>
      <c r="BD63" s="58">
        <f t="shared" ref="BD63:CB63" si="210">IFERROR(1/SUM(BD64:BD76),0)</f>
        <v>5.5059682379640273</v>
      </c>
      <c r="BE63" s="58">
        <f t="shared" si="210"/>
        <v>2.0835693094724306</v>
      </c>
      <c r="BF63" s="58">
        <f t="shared" si="210"/>
        <v>4.2088356012139876</v>
      </c>
      <c r="BG63" s="58">
        <f t="shared" si="210"/>
        <v>5.5059682379640273</v>
      </c>
      <c r="BH63" s="58">
        <f t="shared" si="210"/>
        <v>5.0144289395826283</v>
      </c>
      <c r="BI63" s="58">
        <f t="shared" si="210"/>
        <v>2.0835693094724306</v>
      </c>
      <c r="BJ63" s="58">
        <f t="shared" si="210"/>
        <v>4.2088356012139876</v>
      </c>
      <c r="BK63" s="58">
        <f t="shared" si="210"/>
        <v>5.5059682379640273</v>
      </c>
      <c r="BL63" s="58">
        <f t="shared" si="210"/>
        <v>6.6418811268195777</v>
      </c>
      <c r="BM63" s="58">
        <f t="shared" si="210"/>
        <v>5.0144289395826283</v>
      </c>
      <c r="BN63" s="58">
        <f t="shared" si="210"/>
        <v>2.0835693094724306</v>
      </c>
      <c r="BO63" s="58">
        <f t="shared" si="210"/>
        <v>6.0473007349866732</v>
      </c>
      <c r="BP63" s="58">
        <f t="shared" si="210"/>
        <v>5.0144289395826283</v>
      </c>
      <c r="BQ63" s="58">
        <f t="shared" si="210"/>
        <v>4.2088356012139876</v>
      </c>
      <c r="BR63" s="58">
        <f t="shared" si="210"/>
        <v>5.5059682379640273</v>
      </c>
      <c r="BS63" s="58">
        <f t="shared" si="210"/>
        <v>5.5059682379640273</v>
      </c>
      <c r="BT63" s="58">
        <f t="shared" si="210"/>
        <v>6.0473007349866732</v>
      </c>
      <c r="BU63" s="58">
        <f t="shared" ref="BU63" si="211">IFERROR(1/SUM(BU64:BU76),0)</f>
        <v>5.0144289395826283</v>
      </c>
      <c r="BV63" s="58">
        <f t="shared" si="210"/>
        <v>5.9383871448060459</v>
      </c>
      <c r="BW63" s="58">
        <f t="shared" si="210"/>
        <v>5.0144289395826283</v>
      </c>
      <c r="BX63" s="58">
        <f t="shared" si="210"/>
        <v>6.0473007349866732</v>
      </c>
      <c r="BY63" s="58">
        <f t="shared" si="210"/>
        <v>5.5059682379640273</v>
      </c>
      <c r="BZ63" s="58">
        <f t="shared" si="210"/>
        <v>5.0144289395826283</v>
      </c>
      <c r="CA63" s="58">
        <f t="shared" si="210"/>
        <v>4.2681296625508498</v>
      </c>
      <c r="CB63" s="58">
        <f t="shared" si="210"/>
        <v>5.3921602550591947</v>
      </c>
      <c r="CC63" s="47">
        <f t="shared" si="3"/>
        <v>4.0039737320234714E-5</v>
      </c>
      <c r="CD63" s="47">
        <f t="shared" ref="CD63:CZ63" si="212">IFERROR(IF(SUM(CD64:CD76)&gt;0.01,1-EXP(-(SUM(CD64:CD76))),SUM(CD64:CD76)),".")</f>
        <v>9.0810556188721279E-6</v>
      </c>
      <c r="CE63" s="47">
        <f t="shared" si="212"/>
        <v>2.3997284606679689E-5</v>
      </c>
      <c r="CF63" s="47">
        <f t="shared" si="212"/>
        <v>1.1879771096572667E-5</v>
      </c>
      <c r="CG63" s="47">
        <f t="shared" si="212"/>
        <v>9.0810556188721279E-6</v>
      </c>
      <c r="CH63" s="47">
        <f t="shared" si="212"/>
        <v>9.971225996572669E-6</v>
      </c>
      <c r="CI63" s="47">
        <f t="shared" si="212"/>
        <v>2.3997284606679689E-5</v>
      </c>
      <c r="CJ63" s="47">
        <f t="shared" si="212"/>
        <v>1.1879771096572667E-5</v>
      </c>
      <c r="CK63" s="47">
        <f t="shared" si="212"/>
        <v>9.0810556188721279E-6</v>
      </c>
      <c r="CL63" s="47">
        <f t="shared" si="212"/>
        <v>7.5279882191191779E-6</v>
      </c>
      <c r="CM63" s="47">
        <f t="shared" si="212"/>
        <v>9.971225996572669E-6</v>
      </c>
      <c r="CN63" s="47">
        <f t="shared" si="212"/>
        <v>2.3997284606679689E-5</v>
      </c>
      <c r="CO63" s="47">
        <f t="shared" si="212"/>
        <v>8.2681522775836204E-6</v>
      </c>
      <c r="CP63" s="47">
        <f t="shared" si="212"/>
        <v>9.971225996572669E-6</v>
      </c>
      <c r="CQ63" s="47">
        <f t="shared" si="212"/>
        <v>1.1879771096572667E-5</v>
      </c>
      <c r="CR63" s="47">
        <f t="shared" si="212"/>
        <v>9.0810556188721279E-6</v>
      </c>
      <c r="CS63" s="47">
        <f t="shared" si="212"/>
        <v>9.0810556188721279E-6</v>
      </c>
      <c r="CT63" s="47">
        <f t="shared" si="212"/>
        <v>8.2681522775836204E-6</v>
      </c>
      <c r="CU63" s="47">
        <f t="shared" ref="CU63" si="213">IFERROR(IF(SUM(CU64:CU76)&gt;0.01,1-EXP(-(SUM(CU64:CU76))),SUM(CU64:CU76)),".")</f>
        <v>9.971225996572669E-6</v>
      </c>
      <c r="CV63" s="47">
        <f t="shared" si="212"/>
        <v>8.4197950392812104E-6</v>
      </c>
      <c r="CW63" s="47">
        <f t="shared" si="212"/>
        <v>9.971225996572669E-6</v>
      </c>
      <c r="CX63" s="47">
        <f t="shared" si="212"/>
        <v>8.2681522775836204E-6</v>
      </c>
      <c r="CY63" s="47">
        <f t="shared" si="212"/>
        <v>9.0810556188721279E-6</v>
      </c>
      <c r="CZ63" s="47">
        <f t="shared" si="212"/>
        <v>9.971225996572669E-6</v>
      </c>
      <c r="DA63" s="47">
        <f>IFERROR(IF(SUM(DA64:DA76)&gt;0.01,1-EXP(-(SUM(DA64:DA76))),SUM(DA64:DA76)),".")</f>
        <v>1.1714733545377679E-5</v>
      </c>
      <c r="DB63" s="47">
        <f>IFERROR(IF(SUM(DB64:DB76)&gt;0.01,1-EXP(-(SUM(DB64:DB76))),SUM(DB64:DB76)),".")</f>
        <v>9.2727221594122363E-6</v>
      </c>
    </row>
    <row r="64" spans="1:106" x14ac:dyDescent="0.25">
      <c r="A64" s="83" t="s">
        <v>1087</v>
      </c>
      <c r="B64" s="42">
        <v>1</v>
      </c>
      <c r="C64" s="60">
        <f t="shared" ref="C64" si="214">IFERROR(C25/$B50,0)</f>
        <v>0</v>
      </c>
      <c r="D64" s="60">
        <f t="shared" ref="D64:AB64" si="215">IFERROR(D25/$B50,0)</f>
        <v>0</v>
      </c>
      <c r="E64" s="60">
        <f t="shared" si="215"/>
        <v>0</v>
      </c>
      <c r="F64" s="60">
        <f t="shared" si="215"/>
        <v>0</v>
      </c>
      <c r="G64" s="60">
        <f t="shared" si="215"/>
        <v>0</v>
      </c>
      <c r="H64" s="60">
        <f t="shared" si="215"/>
        <v>0</v>
      </c>
      <c r="I64" s="60">
        <f t="shared" si="215"/>
        <v>0</v>
      </c>
      <c r="J64" s="60">
        <f t="shared" si="215"/>
        <v>0</v>
      </c>
      <c r="K64" s="60">
        <f t="shared" si="215"/>
        <v>0</v>
      </c>
      <c r="L64" s="60">
        <f t="shared" si="215"/>
        <v>0</v>
      </c>
      <c r="M64" s="60">
        <f t="shared" si="215"/>
        <v>0</v>
      </c>
      <c r="N64" s="60">
        <f t="shared" si="215"/>
        <v>0</v>
      </c>
      <c r="O64" s="60">
        <f t="shared" si="215"/>
        <v>0</v>
      </c>
      <c r="P64" s="60">
        <f t="shared" si="215"/>
        <v>0</v>
      </c>
      <c r="Q64" s="60">
        <f t="shared" si="215"/>
        <v>0</v>
      </c>
      <c r="R64" s="60">
        <f t="shared" si="215"/>
        <v>0</v>
      </c>
      <c r="S64" s="60">
        <f t="shared" si="215"/>
        <v>0</v>
      </c>
      <c r="T64" s="60">
        <f t="shared" si="215"/>
        <v>0</v>
      </c>
      <c r="U64" s="60">
        <f t="shared" ref="U64" si="216">IFERROR(U25/$B50,0)</f>
        <v>0</v>
      </c>
      <c r="V64" s="60">
        <f t="shared" si="215"/>
        <v>0</v>
      </c>
      <c r="W64" s="60">
        <f t="shared" si="215"/>
        <v>0</v>
      </c>
      <c r="X64" s="60">
        <f t="shared" si="215"/>
        <v>0</v>
      </c>
      <c r="Y64" s="60">
        <f t="shared" si="215"/>
        <v>0</v>
      </c>
      <c r="Z64" s="60">
        <f t="shared" si="215"/>
        <v>0</v>
      </c>
      <c r="AA64" s="60">
        <f t="shared" si="215"/>
        <v>0</v>
      </c>
      <c r="AB64" s="60">
        <f t="shared" si="215"/>
        <v>0</v>
      </c>
      <c r="AC64" s="49">
        <f t="shared" si="1"/>
        <v>0</v>
      </c>
      <c r="AD64" s="49">
        <f>IFERROR(s_RadSpec!$H$25*(AD25/$B64),".")</f>
        <v>0</v>
      </c>
      <c r="AE64" s="49">
        <f>IFERROR(s_RadSpec!$H$25*(AE25/$B64),".")</f>
        <v>0</v>
      </c>
      <c r="AF64" s="49">
        <f>IFERROR(s_RadSpec!$H$25*(AF25/$B64),".")</f>
        <v>0</v>
      </c>
      <c r="AG64" s="49">
        <f>IFERROR(s_RadSpec!$H$25*(AG25/$B64),".")</f>
        <v>0</v>
      </c>
      <c r="AH64" s="49">
        <f>IFERROR(s_RadSpec!$H$25*(AH25/$B64),".")</f>
        <v>0</v>
      </c>
      <c r="AI64" s="49">
        <f>IFERROR(s_RadSpec!$H$25*(AI25/$B64),".")</f>
        <v>0</v>
      </c>
      <c r="AJ64" s="49">
        <f>IFERROR(s_RadSpec!$H$25*(AJ25/$B64),".")</f>
        <v>0</v>
      </c>
      <c r="AK64" s="49">
        <f>IFERROR(s_RadSpec!$H$25*(AK25/$B64),".")</f>
        <v>0</v>
      </c>
      <c r="AL64" s="49">
        <f>IFERROR(s_RadSpec!$H$25*(AL25/$B64),".")</f>
        <v>0</v>
      </c>
      <c r="AM64" s="49">
        <f>IFERROR(s_RadSpec!$H$25*(AM25/$B64),".")</f>
        <v>0</v>
      </c>
      <c r="AN64" s="49">
        <f>IFERROR(s_RadSpec!$H$25*(AN25/$B64),".")</f>
        <v>0</v>
      </c>
      <c r="AO64" s="49">
        <f>IFERROR(s_RadSpec!$H$25*(AO25/$B64),".")</f>
        <v>0</v>
      </c>
      <c r="AP64" s="49">
        <f>IFERROR(s_RadSpec!$H$25*(AP25/$B64),".")</f>
        <v>0</v>
      </c>
      <c r="AQ64" s="49">
        <f>IFERROR(s_RadSpec!$H$25*(AQ25/$B64),".")</f>
        <v>0</v>
      </c>
      <c r="AR64" s="49">
        <f>IFERROR(s_RadSpec!$H$25*(AR25/$B64),".")</f>
        <v>0</v>
      </c>
      <c r="AS64" s="49">
        <f>IFERROR(s_RadSpec!$H$25*(AS25/$B64),".")</f>
        <v>0</v>
      </c>
      <c r="AT64" s="49">
        <f>IFERROR(s_RadSpec!$H$25*(AT25/$B64),".")</f>
        <v>0</v>
      </c>
      <c r="AU64" s="49">
        <f>IFERROR(s_RadSpec!$H$25*(AU25/$B64),".")</f>
        <v>0</v>
      </c>
      <c r="AV64" s="49">
        <f>IFERROR(s_RadSpec!$H$25*(AV25/$B64),".")</f>
        <v>0</v>
      </c>
      <c r="AW64" s="49">
        <f>IFERROR(s_RadSpec!$H$25*(AW25/$B64),".")</f>
        <v>0</v>
      </c>
      <c r="AX64" s="49">
        <f>IFERROR(s_RadSpec!$H$25*(AX25/$B64),".")</f>
        <v>0</v>
      </c>
      <c r="AY64" s="49">
        <f>IFERROR(s_RadSpec!$H$25*(AY25/$B64),".")</f>
        <v>0</v>
      </c>
      <c r="AZ64" s="49">
        <f>IFERROR(s_RadSpec!$H$25*(AZ25/$B64),".")</f>
        <v>0</v>
      </c>
      <c r="BA64" s="49">
        <f>IFERROR(s_RadSpec!$H$25*(BA25/$B64),".")</f>
        <v>0</v>
      </c>
      <c r="BB64" s="49">
        <f>IFERROR(s_RadSpec!$H$25*(BB25/$B64),".")</f>
        <v>0</v>
      </c>
      <c r="BC64" s="60">
        <f t="shared" ref="BC64" si="217">IFERROR($B64/BC25,0)</f>
        <v>0</v>
      </c>
      <c r="BD64" s="60">
        <f t="shared" ref="BD64:CB64" si="218">IFERROR($B64/BD25,0)</f>
        <v>0</v>
      </c>
      <c r="BE64" s="60">
        <f t="shared" si="218"/>
        <v>0</v>
      </c>
      <c r="BF64" s="60">
        <f t="shared" si="218"/>
        <v>0</v>
      </c>
      <c r="BG64" s="60">
        <f t="shared" si="218"/>
        <v>0</v>
      </c>
      <c r="BH64" s="60">
        <f t="shared" si="218"/>
        <v>0</v>
      </c>
      <c r="BI64" s="60">
        <f t="shared" si="218"/>
        <v>0</v>
      </c>
      <c r="BJ64" s="60">
        <f t="shared" si="218"/>
        <v>0</v>
      </c>
      <c r="BK64" s="60">
        <f t="shared" si="218"/>
        <v>0</v>
      </c>
      <c r="BL64" s="60">
        <f t="shared" si="218"/>
        <v>0</v>
      </c>
      <c r="BM64" s="60">
        <f t="shared" si="218"/>
        <v>0</v>
      </c>
      <c r="BN64" s="60">
        <f t="shared" si="218"/>
        <v>0</v>
      </c>
      <c r="BO64" s="60">
        <f t="shared" si="218"/>
        <v>0</v>
      </c>
      <c r="BP64" s="60">
        <f t="shared" si="218"/>
        <v>0</v>
      </c>
      <c r="BQ64" s="60">
        <f t="shared" si="218"/>
        <v>0</v>
      </c>
      <c r="BR64" s="60">
        <f t="shared" si="218"/>
        <v>0</v>
      </c>
      <c r="BS64" s="60">
        <f t="shared" si="218"/>
        <v>0</v>
      </c>
      <c r="BT64" s="60">
        <f t="shared" si="218"/>
        <v>0</v>
      </c>
      <c r="BU64" s="60">
        <f t="shared" ref="BU64" si="219">IFERROR($B64/BU25,0)</f>
        <v>0</v>
      </c>
      <c r="BV64" s="60">
        <f t="shared" si="218"/>
        <v>0</v>
      </c>
      <c r="BW64" s="60">
        <f t="shared" si="218"/>
        <v>0</v>
      </c>
      <c r="BX64" s="60">
        <f t="shared" si="218"/>
        <v>0</v>
      </c>
      <c r="BY64" s="60">
        <f t="shared" si="218"/>
        <v>0</v>
      </c>
      <c r="BZ64" s="60">
        <f t="shared" si="218"/>
        <v>0</v>
      </c>
      <c r="CA64" s="60">
        <f t="shared" si="218"/>
        <v>0</v>
      </c>
      <c r="CB64" s="60">
        <f t="shared" si="218"/>
        <v>0</v>
      </c>
      <c r="CC64" s="49">
        <f t="shared" si="3"/>
        <v>0</v>
      </c>
      <c r="CD64" s="49">
        <f>IFERROR(s_RadSpec!$H$25*(CD25/$B64),".")</f>
        <v>0</v>
      </c>
      <c r="CE64" s="49">
        <f>IFERROR(s_RadSpec!$H$25*(CE25/$B64),".")</f>
        <v>0</v>
      </c>
      <c r="CF64" s="49">
        <f>IFERROR(s_RadSpec!$H$25*(CF25/$B64),".")</f>
        <v>0</v>
      </c>
      <c r="CG64" s="49">
        <f>IFERROR(s_RadSpec!$H$25*(CG25/$B64),".")</f>
        <v>0</v>
      </c>
      <c r="CH64" s="49">
        <f>IFERROR(s_RadSpec!$H$25*(CH25/$B64),".")</f>
        <v>0</v>
      </c>
      <c r="CI64" s="49">
        <f>IFERROR(s_RadSpec!$H$25*(CI25/$B64),".")</f>
        <v>0</v>
      </c>
      <c r="CJ64" s="49">
        <f>IFERROR(s_RadSpec!$H$25*(CJ25/$B64),".")</f>
        <v>0</v>
      </c>
      <c r="CK64" s="49">
        <f>IFERROR(s_RadSpec!$H$25*(CK25/$B64),".")</f>
        <v>0</v>
      </c>
      <c r="CL64" s="49">
        <f>IFERROR(s_RadSpec!$H$25*(CL25/$B64),".")</f>
        <v>0</v>
      </c>
      <c r="CM64" s="49">
        <f>IFERROR(s_RadSpec!$H$25*(CM25/$B64),".")</f>
        <v>0</v>
      </c>
      <c r="CN64" s="49">
        <f>IFERROR(s_RadSpec!$H$25*(CN25/$B64),".")</f>
        <v>0</v>
      </c>
      <c r="CO64" s="49">
        <f>IFERROR(s_RadSpec!$H$25*(CO25/$B64),".")</f>
        <v>0</v>
      </c>
      <c r="CP64" s="49">
        <f>IFERROR(s_RadSpec!$H$25*(CP25/$B64),".")</f>
        <v>0</v>
      </c>
      <c r="CQ64" s="49">
        <f>IFERROR(s_RadSpec!$H$25*(CQ25/$B64),".")</f>
        <v>0</v>
      </c>
      <c r="CR64" s="49">
        <f>IFERROR(s_RadSpec!$H$25*(CR25/$B64),".")</f>
        <v>0</v>
      </c>
      <c r="CS64" s="49">
        <f>IFERROR(s_RadSpec!$H$25*(CS25/$B64),".")</f>
        <v>0</v>
      </c>
      <c r="CT64" s="49">
        <f>IFERROR(s_RadSpec!$H$25*(CT25/$B64),".")</f>
        <v>0</v>
      </c>
      <c r="CU64" s="49">
        <f>IFERROR(s_RadSpec!$H$25*(CU25/$B64),".")</f>
        <v>0</v>
      </c>
      <c r="CV64" s="49">
        <f>IFERROR(s_RadSpec!$H$25*(CV25/$B64),".")</f>
        <v>0</v>
      </c>
      <c r="CW64" s="49">
        <f>IFERROR(s_RadSpec!$H$25*(CW25/$B64),".")</f>
        <v>0</v>
      </c>
      <c r="CX64" s="49">
        <f>IFERROR(s_RadSpec!$H$25*(CX25/$B64),".")</f>
        <v>0</v>
      </c>
      <c r="CY64" s="49">
        <f>IFERROR(s_RadSpec!$H$25*(CY25/$B64),".")</f>
        <v>0</v>
      </c>
      <c r="CZ64" s="49">
        <f>IFERROR(s_RadSpec!$H$25*(CZ25/$B64),".")</f>
        <v>0</v>
      </c>
      <c r="DA64" s="49">
        <f>IFERROR(s_RadSpec!$H$25*(DA25/$B64),".")</f>
        <v>0</v>
      </c>
      <c r="DB64" s="49">
        <f>IFERROR(s_RadSpec!$H$25*(DB25/$B64),".")</f>
        <v>0</v>
      </c>
    </row>
    <row r="65" spans="1:106" x14ac:dyDescent="0.25">
      <c r="A65" s="83" t="s">
        <v>1073</v>
      </c>
      <c r="B65" s="42">
        <v>1</v>
      </c>
      <c r="C65" s="60">
        <f t="shared" ref="C65" si="220">IFERROR(C21/$B51,0)</f>
        <v>0</v>
      </c>
      <c r="D65" s="60">
        <f t="shared" ref="D65:AB65" si="221">IFERROR(D21/$B51,0)</f>
        <v>0</v>
      </c>
      <c r="E65" s="60">
        <f t="shared" si="221"/>
        <v>0</v>
      </c>
      <c r="F65" s="60">
        <f t="shared" si="221"/>
        <v>0</v>
      </c>
      <c r="G65" s="60">
        <f t="shared" si="221"/>
        <v>0</v>
      </c>
      <c r="H65" s="60">
        <f t="shared" si="221"/>
        <v>0</v>
      </c>
      <c r="I65" s="60">
        <f t="shared" si="221"/>
        <v>0</v>
      </c>
      <c r="J65" s="60">
        <f t="shared" si="221"/>
        <v>0</v>
      </c>
      <c r="K65" s="60">
        <f t="shared" si="221"/>
        <v>0</v>
      </c>
      <c r="L65" s="60">
        <f t="shared" si="221"/>
        <v>0</v>
      </c>
      <c r="M65" s="60">
        <f t="shared" si="221"/>
        <v>0</v>
      </c>
      <c r="N65" s="60">
        <f t="shared" si="221"/>
        <v>0</v>
      </c>
      <c r="O65" s="60">
        <f t="shared" si="221"/>
        <v>0</v>
      </c>
      <c r="P65" s="60">
        <f t="shared" si="221"/>
        <v>0</v>
      </c>
      <c r="Q65" s="60">
        <f t="shared" si="221"/>
        <v>0</v>
      </c>
      <c r="R65" s="60">
        <f t="shared" si="221"/>
        <v>0</v>
      </c>
      <c r="S65" s="60">
        <f t="shared" si="221"/>
        <v>0</v>
      </c>
      <c r="T65" s="60">
        <f t="shared" si="221"/>
        <v>0</v>
      </c>
      <c r="U65" s="60">
        <f t="shared" ref="U65" si="222">IFERROR(U21/$B51,0)</f>
        <v>0</v>
      </c>
      <c r="V65" s="60">
        <f t="shared" si="221"/>
        <v>0</v>
      </c>
      <c r="W65" s="60">
        <f t="shared" si="221"/>
        <v>0</v>
      </c>
      <c r="X65" s="60">
        <f t="shared" si="221"/>
        <v>0</v>
      </c>
      <c r="Y65" s="60">
        <f t="shared" si="221"/>
        <v>0</v>
      </c>
      <c r="Z65" s="60">
        <f t="shared" si="221"/>
        <v>0</v>
      </c>
      <c r="AA65" s="60">
        <f t="shared" si="221"/>
        <v>0</v>
      </c>
      <c r="AB65" s="60">
        <f t="shared" si="221"/>
        <v>0</v>
      </c>
      <c r="AC65" s="49">
        <f t="shared" si="1"/>
        <v>0</v>
      </c>
      <c r="AD65" s="49">
        <f>IFERROR(s_RadSpec!$H$21*(AD21/$B65),".")</f>
        <v>0</v>
      </c>
      <c r="AE65" s="49">
        <f>IFERROR(s_RadSpec!$H$21*(AE21/$B65),".")</f>
        <v>0</v>
      </c>
      <c r="AF65" s="49">
        <f>IFERROR(s_RadSpec!$H$21*(AF21/$B65),".")</f>
        <v>0</v>
      </c>
      <c r="AG65" s="49">
        <f>IFERROR(s_RadSpec!$H$21*(AG21/$B65),".")</f>
        <v>0</v>
      </c>
      <c r="AH65" s="49">
        <f>IFERROR(s_RadSpec!$H$21*(AH21/$B65),".")</f>
        <v>0</v>
      </c>
      <c r="AI65" s="49">
        <f>IFERROR(s_RadSpec!$H$21*(AI21/$B65),".")</f>
        <v>0</v>
      </c>
      <c r="AJ65" s="49">
        <f>IFERROR(s_RadSpec!$H$21*(AJ21/$B65),".")</f>
        <v>0</v>
      </c>
      <c r="AK65" s="49">
        <f>IFERROR(s_RadSpec!$H$21*(AK21/$B65),".")</f>
        <v>0</v>
      </c>
      <c r="AL65" s="49">
        <f>IFERROR(s_RadSpec!$H$21*(AL21/$B65),".")</f>
        <v>0</v>
      </c>
      <c r="AM65" s="49">
        <f>IFERROR(s_RadSpec!$H$21*(AM21/$B65),".")</f>
        <v>0</v>
      </c>
      <c r="AN65" s="49">
        <f>IFERROR(s_RadSpec!$H$21*(AN21/$B65),".")</f>
        <v>0</v>
      </c>
      <c r="AO65" s="49">
        <f>IFERROR(s_RadSpec!$H$21*(AO21/$B65),".")</f>
        <v>0</v>
      </c>
      <c r="AP65" s="49">
        <f>IFERROR(s_RadSpec!$H$21*(AP21/$B65),".")</f>
        <v>0</v>
      </c>
      <c r="AQ65" s="49">
        <f>IFERROR(s_RadSpec!$H$21*(AQ21/$B65),".")</f>
        <v>0</v>
      </c>
      <c r="AR65" s="49">
        <f>IFERROR(s_RadSpec!$H$21*(AR21/$B65),".")</f>
        <v>0</v>
      </c>
      <c r="AS65" s="49">
        <f>IFERROR(s_RadSpec!$H$21*(AS21/$B65),".")</f>
        <v>0</v>
      </c>
      <c r="AT65" s="49">
        <f>IFERROR(s_RadSpec!$H$21*(AT21/$B65),".")</f>
        <v>0</v>
      </c>
      <c r="AU65" s="49">
        <f>IFERROR(s_RadSpec!$H$21*(AU21/$B65),".")</f>
        <v>0</v>
      </c>
      <c r="AV65" s="49">
        <f>IFERROR(s_RadSpec!$H$21*(AV21/$B65),".")</f>
        <v>0</v>
      </c>
      <c r="AW65" s="49">
        <f>IFERROR(s_RadSpec!$H$21*(AW21/$B65),".")</f>
        <v>0</v>
      </c>
      <c r="AX65" s="49">
        <f>IFERROR(s_RadSpec!$H$21*(AX21/$B65),".")</f>
        <v>0</v>
      </c>
      <c r="AY65" s="49">
        <f>IFERROR(s_RadSpec!$H$21*(AY21/$B65),".")</f>
        <v>0</v>
      </c>
      <c r="AZ65" s="49">
        <f>IFERROR(s_RadSpec!$H$21*(AZ21/$B65),".")</f>
        <v>0</v>
      </c>
      <c r="BA65" s="49">
        <f>IFERROR(s_RadSpec!$H$21*(BA21/$B65),".")</f>
        <v>0</v>
      </c>
      <c r="BB65" s="49">
        <f>IFERROR(s_RadSpec!$H$21*(BB21/$B65),".")</f>
        <v>0</v>
      </c>
      <c r="BC65" s="60">
        <f t="shared" ref="BC65" si="223">IFERROR($B65/BC21,0)</f>
        <v>0</v>
      </c>
      <c r="BD65" s="60">
        <f t="shared" ref="BD65:CB65" si="224">IFERROR($B65/BD21,0)</f>
        <v>0</v>
      </c>
      <c r="BE65" s="60">
        <f t="shared" si="224"/>
        <v>0</v>
      </c>
      <c r="BF65" s="60">
        <f t="shared" si="224"/>
        <v>0</v>
      </c>
      <c r="BG65" s="60">
        <f t="shared" si="224"/>
        <v>0</v>
      </c>
      <c r="BH65" s="60">
        <f t="shared" si="224"/>
        <v>0</v>
      </c>
      <c r="BI65" s="60">
        <f t="shared" si="224"/>
        <v>0</v>
      </c>
      <c r="BJ65" s="60">
        <f t="shared" si="224"/>
        <v>0</v>
      </c>
      <c r="BK65" s="60">
        <f t="shared" si="224"/>
        <v>0</v>
      </c>
      <c r="BL65" s="60">
        <f t="shared" si="224"/>
        <v>0</v>
      </c>
      <c r="BM65" s="60">
        <f t="shared" si="224"/>
        <v>0</v>
      </c>
      <c r="BN65" s="60">
        <f t="shared" si="224"/>
        <v>0</v>
      </c>
      <c r="BO65" s="60">
        <f t="shared" si="224"/>
        <v>0</v>
      </c>
      <c r="BP65" s="60">
        <f t="shared" si="224"/>
        <v>0</v>
      </c>
      <c r="BQ65" s="60">
        <f t="shared" si="224"/>
        <v>0</v>
      </c>
      <c r="BR65" s="60">
        <f t="shared" si="224"/>
        <v>0</v>
      </c>
      <c r="BS65" s="60">
        <f t="shared" si="224"/>
        <v>0</v>
      </c>
      <c r="BT65" s="60">
        <f t="shared" si="224"/>
        <v>0</v>
      </c>
      <c r="BU65" s="60">
        <f t="shared" ref="BU65" si="225">IFERROR($B65/BU21,0)</f>
        <v>0</v>
      </c>
      <c r="BV65" s="60">
        <f t="shared" si="224"/>
        <v>0</v>
      </c>
      <c r="BW65" s="60">
        <f t="shared" si="224"/>
        <v>0</v>
      </c>
      <c r="BX65" s="60">
        <f t="shared" si="224"/>
        <v>0</v>
      </c>
      <c r="BY65" s="60">
        <f t="shared" si="224"/>
        <v>0</v>
      </c>
      <c r="BZ65" s="60">
        <f t="shared" si="224"/>
        <v>0</v>
      </c>
      <c r="CA65" s="60">
        <f t="shared" si="224"/>
        <v>0</v>
      </c>
      <c r="CB65" s="60">
        <f t="shared" si="224"/>
        <v>0</v>
      </c>
      <c r="CC65" s="49">
        <f t="shared" si="3"/>
        <v>0</v>
      </c>
      <c r="CD65" s="49">
        <f>IFERROR(s_RadSpec!$H$21*(CD21/$B65),".")</f>
        <v>0</v>
      </c>
      <c r="CE65" s="49">
        <f>IFERROR(s_RadSpec!$H$21*(CE21/$B65),".")</f>
        <v>0</v>
      </c>
      <c r="CF65" s="49">
        <f>IFERROR(s_RadSpec!$H$21*(CF21/$B65),".")</f>
        <v>0</v>
      </c>
      <c r="CG65" s="49">
        <f>IFERROR(s_RadSpec!$H$21*(CG21/$B65),".")</f>
        <v>0</v>
      </c>
      <c r="CH65" s="49">
        <f>IFERROR(s_RadSpec!$H$21*(CH21/$B65),".")</f>
        <v>0</v>
      </c>
      <c r="CI65" s="49">
        <f>IFERROR(s_RadSpec!$H$21*(CI21/$B65),".")</f>
        <v>0</v>
      </c>
      <c r="CJ65" s="49">
        <f>IFERROR(s_RadSpec!$H$21*(CJ21/$B65),".")</f>
        <v>0</v>
      </c>
      <c r="CK65" s="49">
        <f>IFERROR(s_RadSpec!$H$21*(CK21/$B65),".")</f>
        <v>0</v>
      </c>
      <c r="CL65" s="49">
        <f>IFERROR(s_RadSpec!$H$21*(CL21/$B65),".")</f>
        <v>0</v>
      </c>
      <c r="CM65" s="49">
        <f>IFERROR(s_RadSpec!$H$21*(CM21/$B65),".")</f>
        <v>0</v>
      </c>
      <c r="CN65" s="49">
        <f>IFERROR(s_RadSpec!$H$21*(CN21/$B65),".")</f>
        <v>0</v>
      </c>
      <c r="CO65" s="49">
        <f>IFERROR(s_RadSpec!$H$21*(CO21/$B65),".")</f>
        <v>0</v>
      </c>
      <c r="CP65" s="49">
        <f>IFERROR(s_RadSpec!$H$21*(CP21/$B65),".")</f>
        <v>0</v>
      </c>
      <c r="CQ65" s="49">
        <f>IFERROR(s_RadSpec!$H$21*(CQ21/$B65),".")</f>
        <v>0</v>
      </c>
      <c r="CR65" s="49">
        <f>IFERROR(s_RadSpec!$H$21*(CR21/$B65),".")</f>
        <v>0</v>
      </c>
      <c r="CS65" s="49">
        <f>IFERROR(s_RadSpec!$H$21*(CS21/$B65),".")</f>
        <v>0</v>
      </c>
      <c r="CT65" s="49">
        <f>IFERROR(s_RadSpec!$H$21*(CT21/$B65),".")</f>
        <v>0</v>
      </c>
      <c r="CU65" s="49">
        <f>IFERROR(s_RadSpec!$H$21*(CU21/$B65),".")</f>
        <v>0</v>
      </c>
      <c r="CV65" s="49">
        <f>IFERROR(s_RadSpec!$H$21*(CV21/$B65),".")</f>
        <v>0</v>
      </c>
      <c r="CW65" s="49">
        <f>IFERROR(s_RadSpec!$H$21*(CW21/$B65),".")</f>
        <v>0</v>
      </c>
      <c r="CX65" s="49">
        <f>IFERROR(s_RadSpec!$H$21*(CX21/$B65),".")</f>
        <v>0</v>
      </c>
      <c r="CY65" s="49">
        <f>IFERROR(s_RadSpec!$H$21*(CY21/$B65),".")</f>
        <v>0</v>
      </c>
      <c r="CZ65" s="49">
        <f>IFERROR(s_RadSpec!$H$21*(CZ21/$B65),".")</f>
        <v>0</v>
      </c>
      <c r="DA65" s="49">
        <f>IFERROR(s_RadSpec!$H$21*(DA21/$B65),".")</f>
        <v>0</v>
      </c>
      <c r="DB65" s="49">
        <f>IFERROR(s_RadSpec!$H$21*(DB21/$B65),".")</f>
        <v>0</v>
      </c>
    </row>
    <row r="66" spans="1:106" x14ac:dyDescent="0.25">
      <c r="A66" s="83" t="s">
        <v>1074</v>
      </c>
      <c r="B66" s="85">
        <v>0.99980000000000002</v>
      </c>
      <c r="C66" s="60">
        <f t="shared" ref="C66" si="226">IFERROR(C17/$B52,0)</f>
        <v>7555.2495879953667</v>
      </c>
      <c r="D66" s="60">
        <f t="shared" ref="D66:AB66" si="227">IFERROR(D17/$B52,0)</f>
        <v>29028.233417025596</v>
      </c>
      <c r="E66" s="60">
        <f t="shared" si="227"/>
        <v>7295.8661529422616</v>
      </c>
      <c r="F66" s="60">
        <f t="shared" si="227"/>
        <v>23935.560887722862</v>
      </c>
      <c r="G66" s="60">
        <f t="shared" si="227"/>
        <v>29028.233417025596</v>
      </c>
      <c r="H66" s="60">
        <f t="shared" si="227"/>
        <v>23935.560887722862</v>
      </c>
      <c r="I66" s="60">
        <f t="shared" si="227"/>
        <v>7295.8661529422616</v>
      </c>
      <c r="J66" s="60">
        <f t="shared" si="227"/>
        <v>23935.560887722862</v>
      </c>
      <c r="K66" s="60">
        <f t="shared" si="227"/>
        <v>29028.233417025596</v>
      </c>
      <c r="L66" s="60">
        <f t="shared" si="227"/>
        <v>46405.679272115747</v>
      </c>
      <c r="M66" s="60">
        <f t="shared" si="227"/>
        <v>23935.560887722862</v>
      </c>
      <c r="N66" s="60">
        <f t="shared" si="227"/>
        <v>7295.8661529422616</v>
      </c>
      <c r="O66" s="60">
        <f t="shared" si="227"/>
        <v>36285.291771281991</v>
      </c>
      <c r="P66" s="60">
        <f t="shared" si="227"/>
        <v>23935.560887722862</v>
      </c>
      <c r="Q66" s="60">
        <f t="shared" si="227"/>
        <v>23935.560887722862</v>
      </c>
      <c r="R66" s="60">
        <f t="shared" si="227"/>
        <v>29028.233417025596</v>
      </c>
      <c r="S66" s="60">
        <f t="shared" si="227"/>
        <v>29028.233417025596</v>
      </c>
      <c r="T66" s="60">
        <f t="shared" si="227"/>
        <v>36285.291771281991</v>
      </c>
      <c r="U66" s="60">
        <f t="shared" ref="U66" si="228">IFERROR(U17/$B52,0)</f>
        <v>23935.560887722862</v>
      </c>
      <c r="V66" s="60">
        <f t="shared" si="227"/>
        <v>45477.565686673435</v>
      </c>
      <c r="W66" s="60">
        <f t="shared" si="227"/>
        <v>23935.560887722862</v>
      </c>
      <c r="X66" s="60">
        <f t="shared" si="227"/>
        <v>36285.291771281991</v>
      </c>
      <c r="Y66" s="60">
        <f t="shared" si="227"/>
        <v>29028.233417025596</v>
      </c>
      <c r="Z66" s="60">
        <f t="shared" si="227"/>
        <v>23935.560887722862</v>
      </c>
      <c r="AA66" s="60">
        <f t="shared" si="227"/>
        <v>49467.982980427958</v>
      </c>
      <c r="AB66" s="60">
        <f t="shared" si="227"/>
        <v>27843.407563269448</v>
      </c>
      <c r="AC66" s="49">
        <f t="shared" si="1"/>
        <v>6.6205630163532704E-9</v>
      </c>
      <c r="AD66" s="49">
        <f>IFERROR(s_RadSpec!$H$17*(AD17/$B66),".")</f>
        <v>1.7231501925385077E-9</v>
      </c>
      <c r="AE66" s="49">
        <f>IFERROR(s_RadSpec!$H$17*(AE17/$B66),".")</f>
        <v>6.8559380001000198E-9</v>
      </c>
      <c r="AF66" s="49">
        <f>IFERROR(s_RadSpec!$H$17*(AF17/$B66),".")</f>
        <v>2.0897778930786158E-9</v>
      </c>
      <c r="AG66" s="49">
        <f>IFERROR(s_RadSpec!$H$17*(AG17/$B66),".")</f>
        <v>1.7231501925385077E-9</v>
      </c>
      <c r="AH66" s="49">
        <f>IFERROR(s_RadSpec!$H$17*(AH17/$B66),".")</f>
        <v>2.0897778930786158E-9</v>
      </c>
      <c r="AI66" s="49">
        <f>IFERROR(s_RadSpec!$H$17*(AI17/$B66),".")</f>
        <v>6.8559380001000198E-9</v>
      </c>
      <c r="AJ66" s="49">
        <f>IFERROR(s_RadSpec!$H$17*(AJ17/$B66),".")</f>
        <v>2.0897778930786158E-9</v>
      </c>
      <c r="AK66" s="49">
        <f>IFERROR(s_RadSpec!$H$17*(AK17/$B66),".")</f>
        <v>1.7231501925385077E-9</v>
      </c>
      <c r="AL66" s="49">
        <f>IFERROR(s_RadSpec!$H$17*(AL17/$B66),".")</f>
        <v>1.0778854395879177E-9</v>
      </c>
      <c r="AM66" s="49">
        <f>IFERROR(s_RadSpec!$H$17*(AM17/$B66),".")</f>
        <v>2.0897778930786158E-9</v>
      </c>
      <c r="AN66" s="49">
        <f>IFERROR(s_RadSpec!$H$17*(AN17/$B66),".")</f>
        <v>6.8559380001000198E-9</v>
      </c>
      <c r="AO66" s="49">
        <f>IFERROR(s_RadSpec!$H$17*(AO17/$B66),".")</f>
        <v>1.3785201540308064E-9</v>
      </c>
      <c r="AP66" s="49">
        <f>IFERROR(s_RadSpec!$H$17*(AP17/$B66),".")</f>
        <v>2.0897778930786158E-9</v>
      </c>
      <c r="AQ66" s="49">
        <f>IFERROR(s_RadSpec!$H$17*(AQ17/$B66),".")</f>
        <v>2.0897778930786158E-9</v>
      </c>
      <c r="AR66" s="49">
        <f>IFERROR(s_RadSpec!$H$17*(AR17/$B66),".")</f>
        <v>1.7231501925385077E-9</v>
      </c>
      <c r="AS66" s="49">
        <f>IFERROR(s_RadSpec!$H$17*(AS17/$B66),".")</f>
        <v>1.7231501925385077E-9</v>
      </c>
      <c r="AT66" s="49">
        <f>IFERROR(s_RadSpec!$H$17*(AT17/$B66),".")</f>
        <v>1.3785201540308064E-9</v>
      </c>
      <c r="AU66" s="49">
        <f>IFERROR(s_RadSpec!$H$17*(AU17/$B66),".")</f>
        <v>2.0897778930786158E-9</v>
      </c>
      <c r="AV66" s="49">
        <f>IFERROR(s_RadSpec!$H$17*(AV17/$B66),".")</f>
        <v>1.0998831016203241E-9</v>
      </c>
      <c r="AW66" s="49">
        <f>IFERROR(s_RadSpec!$H$17*(AW17/$B66),".")</f>
        <v>2.0897778930786158E-9</v>
      </c>
      <c r="AX66" s="49">
        <f>IFERROR(s_RadSpec!$H$17*(AX17/$B66),".")</f>
        <v>1.3785201540308064E-9</v>
      </c>
      <c r="AY66" s="49">
        <f>IFERROR(s_RadSpec!$H$17*(AY17/$B66),".")</f>
        <v>1.7231501925385077E-9</v>
      </c>
      <c r="AZ66" s="49">
        <f>IFERROR(s_RadSpec!$H$17*(AZ17/$B66),".")</f>
        <v>2.0897778930786158E-9</v>
      </c>
      <c r="BA66" s="49">
        <f>IFERROR(s_RadSpec!$H$17*(BA17/$B66),".")</f>
        <v>1.0111591980896179E-9</v>
      </c>
      <c r="BB66" s="49">
        <f>IFERROR(s_RadSpec!$H$17*(BB17/$B66),".")</f>
        <v>1.7964757326465294E-9</v>
      </c>
      <c r="BC66" s="60">
        <f t="shared" ref="BC66" si="229">IFERROR($B66/BC17,0)</f>
        <v>1.3235830111938497E-4</v>
      </c>
      <c r="BD66" s="60">
        <f t="shared" ref="BD66:CB66" si="230">IFERROR($B66/BD17,0)</f>
        <v>3.4449220027750002E-5</v>
      </c>
      <c r="BE66" s="60">
        <f t="shared" si="230"/>
        <v>1.3706391798274999E-4</v>
      </c>
      <c r="BF66" s="60">
        <f t="shared" si="230"/>
        <v>4.1778841310249994E-5</v>
      </c>
      <c r="BG66" s="60">
        <f t="shared" si="230"/>
        <v>3.4449220027750002E-5</v>
      </c>
      <c r="BH66" s="60">
        <f t="shared" si="230"/>
        <v>4.1778841310249994E-5</v>
      </c>
      <c r="BI66" s="60">
        <f t="shared" si="230"/>
        <v>1.3706391798274999E-4</v>
      </c>
      <c r="BJ66" s="60">
        <f t="shared" si="230"/>
        <v>4.1778841310249994E-5</v>
      </c>
      <c r="BK66" s="60">
        <f t="shared" si="230"/>
        <v>3.4449220027750002E-5</v>
      </c>
      <c r="BL66" s="60">
        <f t="shared" si="230"/>
        <v>2.1549086570550001E-5</v>
      </c>
      <c r="BM66" s="60">
        <f t="shared" si="230"/>
        <v>4.1778841310249994E-5</v>
      </c>
      <c r="BN66" s="60">
        <f t="shared" si="230"/>
        <v>1.3706391798274999E-4</v>
      </c>
      <c r="BO66" s="60">
        <f t="shared" si="230"/>
        <v>2.7559376022200002E-5</v>
      </c>
      <c r="BP66" s="60">
        <f t="shared" si="230"/>
        <v>4.1778841310249994E-5</v>
      </c>
      <c r="BQ66" s="60">
        <f t="shared" si="230"/>
        <v>4.1778841310249994E-5</v>
      </c>
      <c r="BR66" s="60">
        <f t="shared" si="230"/>
        <v>3.4449220027750002E-5</v>
      </c>
      <c r="BS66" s="60">
        <f t="shared" si="230"/>
        <v>3.4449220027750002E-5</v>
      </c>
      <c r="BT66" s="60">
        <f t="shared" si="230"/>
        <v>2.7559376022200002E-5</v>
      </c>
      <c r="BU66" s="60">
        <f t="shared" ref="BU66" si="231">IFERROR($B66/BU17,0)</f>
        <v>4.1778841310249994E-5</v>
      </c>
      <c r="BV66" s="60">
        <f t="shared" si="230"/>
        <v>2.1988863847499999E-5</v>
      </c>
      <c r="BW66" s="60">
        <f t="shared" si="230"/>
        <v>4.1778841310249994E-5</v>
      </c>
      <c r="BX66" s="60">
        <f t="shared" si="230"/>
        <v>2.7559376022200002E-5</v>
      </c>
      <c r="BY66" s="60">
        <f t="shared" si="230"/>
        <v>3.4449220027750002E-5</v>
      </c>
      <c r="BZ66" s="60">
        <f t="shared" si="230"/>
        <v>4.1778841310249994E-5</v>
      </c>
      <c r="CA66" s="60">
        <f t="shared" si="230"/>
        <v>2.0215095497134999E-5</v>
      </c>
      <c r="CB66" s="60">
        <f t="shared" si="230"/>
        <v>3.5915144284250005E-5</v>
      </c>
      <c r="CC66" s="49">
        <f t="shared" si="3"/>
        <v>6.6205630163532704E-9</v>
      </c>
      <c r="CD66" s="49">
        <f>IFERROR(s_RadSpec!$H$17*(CD17/$B66),".")</f>
        <v>1.7231501925385077E-9</v>
      </c>
      <c r="CE66" s="49">
        <f>IFERROR(s_RadSpec!$H$17*(CE17/$B66),".")</f>
        <v>6.8559380001000198E-9</v>
      </c>
      <c r="CF66" s="49">
        <f>IFERROR(s_RadSpec!$H$17*(CF17/$B66),".")</f>
        <v>2.0897778930786158E-9</v>
      </c>
      <c r="CG66" s="49">
        <f>IFERROR(s_RadSpec!$H$17*(CG17/$B66),".")</f>
        <v>1.7231501925385077E-9</v>
      </c>
      <c r="CH66" s="49">
        <f>IFERROR(s_RadSpec!$H$17*(CH17/$B66),".")</f>
        <v>2.0897778930786158E-9</v>
      </c>
      <c r="CI66" s="49">
        <f>IFERROR(s_RadSpec!$H$17*(CI17/$B66),".")</f>
        <v>6.8559380001000198E-9</v>
      </c>
      <c r="CJ66" s="49">
        <f>IFERROR(s_RadSpec!$H$17*(CJ17/$B66),".")</f>
        <v>2.0897778930786158E-9</v>
      </c>
      <c r="CK66" s="49">
        <f>IFERROR(s_RadSpec!$H$17*(CK17/$B66),".")</f>
        <v>1.7231501925385077E-9</v>
      </c>
      <c r="CL66" s="49">
        <f>IFERROR(s_RadSpec!$H$17*(CL17/$B66),".")</f>
        <v>1.0778854395879177E-9</v>
      </c>
      <c r="CM66" s="49">
        <f>IFERROR(s_RadSpec!$H$17*(CM17/$B66),".")</f>
        <v>2.0897778930786158E-9</v>
      </c>
      <c r="CN66" s="49">
        <f>IFERROR(s_RadSpec!$H$17*(CN17/$B66),".")</f>
        <v>6.8559380001000198E-9</v>
      </c>
      <c r="CO66" s="49">
        <f>IFERROR(s_RadSpec!$H$17*(CO17/$B66),".")</f>
        <v>1.3785201540308064E-9</v>
      </c>
      <c r="CP66" s="49">
        <f>IFERROR(s_RadSpec!$H$17*(CP17/$B66),".")</f>
        <v>2.0897778930786158E-9</v>
      </c>
      <c r="CQ66" s="49">
        <f>IFERROR(s_RadSpec!$H$17*(CQ17/$B66),".")</f>
        <v>2.0897778930786158E-9</v>
      </c>
      <c r="CR66" s="49">
        <f>IFERROR(s_RadSpec!$H$17*(CR17/$B66),".")</f>
        <v>1.7231501925385077E-9</v>
      </c>
      <c r="CS66" s="49">
        <f>IFERROR(s_RadSpec!$H$17*(CS17/$B66),".")</f>
        <v>1.7231501925385077E-9</v>
      </c>
      <c r="CT66" s="49">
        <f>IFERROR(s_RadSpec!$H$17*(CT17/$B66),".")</f>
        <v>1.3785201540308064E-9</v>
      </c>
      <c r="CU66" s="49">
        <f>IFERROR(s_RadSpec!$H$17*(CU17/$B66),".")</f>
        <v>2.0897778930786158E-9</v>
      </c>
      <c r="CV66" s="49">
        <f>IFERROR(s_RadSpec!$H$17*(CV17/$B66),".")</f>
        <v>1.0998831016203241E-9</v>
      </c>
      <c r="CW66" s="49">
        <f>IFERROR(s_RadSpec!$H$17*(CW17/$B66),".")</f>
        <v>2.0897778930786158E-9</v>
      </c>
      <c r="CX66" s="49">
        <f>IFERROR(s_RadSpec!$H$17*(CX17/$B66),".")</f>
        <v>1.3785201540308064E-9</v>
      </c>
      <c r="CY66" s="49">
        <f>IFERROR(s_RadSpec!$H$17*(CY17/$B66),".")</f>
        <v>1.7231501925385077E-9</v>
      </c>
      <c r="CZ66" s="49">
        <f>IFERROR(s_RadSpec!$H$17*(CZ17/$B66),".")</f>
        <v>2.0897778930786158E-9</v>
      </c>
      <c r="DA66" s="49">
        <f>IFERROR(s_RadSpec!$H$17*(DA17/$B66),".")</f>
        <v>1.0111591980896179E-9</v>
      </c>
      <c r="DB66" s="49">
        <f>IFERROR(s_RadSpec!$H$17*(DB17/$B66),".")</f>
        <v>1.7964757326465294E-9</v>
      </c>
    </row>
    <row r="67" spans="1:106" x14ac:dyDescent="0.25">
      <c r="A67" s="83" t="s">
        <v>1088</v>
      </c>
      <c r="B67" s="42">
        <v>2.0000000000000001E-4</v>
      </c>
      <c r="C67" s="60">
        <f t="shared" ref="C67" si="232">IFERROR(C5/$B53,0)</f>
        <v>0</v>
      </c>
      <c r="D67" s="60">
        <f t="shared" ref="D67:AB67" si="233">IFERROR(D5/$B53,0)</f>
        <v>0</v>
      </c>
      <c r="E67" s="60">
        <f t="shared" si="233"/>
        <v>0</v>
      </c>
      <c r="F67" s="60">
        <f t="shared" si="233"/>
        <v>0</v>
      </c>
      <c r="G67" s="60">
        <f t="shared" si="233"/>
        <v>0</v>
      </c>
      <c r="H67" s="60">
        <f t="shared" si="233"/>
        <v>0</v>
      </c>
      <c r="I67" s="60">
        <f t="shared" si="233"/>
        <v>0</v>
      </c>
      <c r="J67" s="60">
        <f t="shared" si="233"/>
        <v>0</v>
      </c>
      <c r="K67" s="60">
        <f t="shared" si="233"/>
        <v>0</v>
      </c>
      <c r="L67" s="60">
        <f t="shared" si="233"/>
        <v>0</v>
      </c>
      <c r="M67" s="60">
        <f t="shared" si="233"/>
        <v>0</v>
      </c>
      <c r="N67" s="60">
        <f t="shared" si="233"/>
        <v>0</v>
      </c>
      <c r="O67" s="60">
        <f t="shared" si="233"/>
        <v>0</v>
      </c>
      <c r="P67" s="60">
        <f t="shared" si="233"/>
        <v>0</v>
      </c>
      <c r="Q67" s="60">
        <f t="shared" si="233"/>
        <v>0</v>
      </c>
      <c r="R67" s="60">
        <f t="shared" si="233"/>
        <v>0</v>
      </c>
      <c r="S67" s="60">
        <f t="shared" si="233"/>
        <v>0</v>
      </c>
      <c r="T67" s="60">
        <f t="shared" si="233"/>
        <v>0</v>
      </c>
      <c r="U67" s="60">
        <f t="shared" ref="U67" si="234">IFERROR(U5/$B53,0)</f>
        <v>0</v>
      </c>
      <c r="V67" s="60">
        <f t="shared" si="233"/>
        <v>0</v>
      </c>
      <c r="W67" s="60">
        <f t="shared" si="233"/>
        <v>0</v>
      </c>
      <c r="X67" s="60">
        <f t="shared" si="233"/>
        <v>0</v>
      </c>
      <c r="Y67" s="60">
        <f t="shared" si="233"/>
        <v>0</v>
      </c>
      <c r="Z67" s="60">
        <f t="shared" si="233"/>
        <v>0</v>
      </c>
      <c r="AA67" s="60">
        <f t="shared" si="233"/>
        <v>0</v>
      </c>
      <c r="AB67" s="60">
        <f t="shared" si="233"/>
        <v>0</v>
      </c>
      <c r="AC67" s="49">
        <f t="shared" ref="AC67:AC76" si="235">SUM(AD67,AU67,BA67:BB67)</f>
        <v>0</v>
      </c>
      <c r="AD67" s="49">
        <f>IFERROR(s_RadSpec!$H$5*(AD5/$B67),".")</f>
        <v>0</v>
      </c>
      <c r="AE67" s="49">
        <f>IFERROR(s_RadSpec!$H$5*(AE5/$B67),".")</f>
        <v>0</v>
      </c>
      <c r="AF67" s="49">
        <f>IFERROR(s_RadSpec!$H$5*(AF5/$B67),".")</f>
        <v>0</v>
      </c>
      <c r="AG67" s="49">
        <f>IFERROR(s_RadSpec!$H$5*(AG5/$B67),".")</f>
        <v>0</v>
      </c>
      <c r="AH67" s="49">
        <f>IFERROR(s_RadSpec!$H$5*(AH5/$B67),".")</f>
        <v>0</v>
      </c>
      <c r="AI67" s="49">
        <f>IFERROR(s_RadSpec!$H$5*(AI5/$B67),".")</f>
        <v>0</v>
      </c>
      <c r="AJ67" s="49">
        <f>IFERROR(s_RadSpec!$H$5*(AJ5/$B67),".")</f>
        <v>0</v>
      </c>
      <c r="AK67" s="49">
        <f>IFERROR(s_RadSpec!$H$5*(AK5/$B67),".")</f>
        <v>0</v>
      </c>
      <c r="AL67" s="49">
        <f>IFERROR(s_RadSpec!$H$5*(AL5/$B67),".")</f>
        <v>0</v>
      </c>
      <c r="AM67" s="49">
        <f>IFERROR(s_RadSpec!$H$5*(AM5/$B67),".")</f>
        <v>0</v>
      </c>
      <c r="AN67" s="49">
        <f>IFERROR(s_RadSpec!$H$5*(AN5/$B67),".")</f>
        <v>0</v>
      </c>
      <c r="AO67" s="49">
        <f>IFERROR(s_RadSpec!$H$5*(AO5/$B67),".")</f>
        <v>0</v>
      </c>
      <c r="AP67" s="49">
        <f>IFERROR(s_RadSpec!$H$5*(AP5/$B67),".")</f>
        <v>0</v>
      </c>
      <c r="AQ67" s="49">
        <f>IFERROR(s_RadSpec!$H$5*(AQ5/$B67),".")</f>
        <v>0</v>
      </c>
      <c r="AR67" s="49">
        <f>IFERROR(s_RadSpec!$H$5*(AR5/$B67),".")</f>
        <v>0</v>
      </c>
      <c r="AS67" s="49">
        <f>IFERROR(s_RadSpec!$H$5*(AS5/$B67),".")</f>
        <v>0</v>
      </c>
      <c r="AT67" s="49">
        <f>IFERROR(s_RadSpec!$H$5*(AT5/$B67),".")</f>
        <v>0</v>
      </c>
      <c r="AU67" s="49">
        <f>IFERROR(s_RadSpec!$H$5*(AU5/$B67),".")</f>
        <v>0</v>
      </c>
      <c r="AV67" s="49">
        <f>IFERROR(s_RadSpec!$H$5*(AV5/$B67),".")</f>
        <v>0</v>
      </c>
      <c r="AW67" s="49">
        <f>IFERROR(s_RadSpec!$H$5*(AW5/$B67),".")</f>
        <v>0</v>
      </c>
      <c r="AX67" s="49">
        <f>IFERROR(s_RadSpec!$H$5*(AX5/$B67),".")</f>
        <v>0</v>
      </c>
      <c r="AY67" s="49">
        <f>IFERROR(s_RadSpec!$H$5*(AY5/$B67),".")</f>
        <v>0</v>
      </c>
      <c r="AZ67" s="49">
        <f>IFERROR(s_RadSpec!$H$5*(AZ5/$B67),".")</f>
        <v>0</v>
      </c>
      <c r="BA67" s="49">
        <f>IFERROR(s_RadSpec!$H$5*(BA5/$B67),".")</f>
        <v>0</v>
      </c>
      <c r="BB67" s="49">
        <f>IFERROR(s_RadSpec!$H$5*(BB5/$B67),".")</f>
        <v>0</v>
      </c>
      <c r="BC67" s="60">
        <f t="shared" ref="BC67" si="236">IFERROR($B67/BC5,0)</f>
        <v>0</v>
      </c>
      <c r="BD67" s="60">
        <f t="shared" ref="BD67:CB67" si="237">IFERROR($B67/BD5,0)</f>
        <v>0</v>
      </c>
      <c r="BE67" s="60">
        <f t="shared" si="237"/>
        <v>0</v>
      </c>
      <c r="BF67" s="60">
        <f t="shared" si="237"/>
        <v>0</v>
      </c>
      <c r="BG67" s="60">
        <f t="shared" si="237"/>
        <v>0</v>
      </c>
      <c r="BH67" s="60">
        <f t="shared" si="237"/>
        <v>0</v>
      </c>
      <c r="BI67" s="60">
        <f t="shared" si="237"/>
        <v>0</v>
      </c>
      <c r="BJ67" s="60">
        <f t="shared" si="237"/>
        <v>0</v>
      </c>
      <c r="BK67" s="60">
        <f t="shared" si="237"/>
        <v>0</v>
      </c>
      <c r="BL67" s="60">
        <f t="shared" si="237"/>
        <v>0</v>
      </c>
      <c r="BM67" s="60">
        <f t="shared" si="237"/>
        <v>0</v>
      </c>
      <c r="BN67" s="60">
        <f t="shared" si="237"/>
        <v>0</v>
      </c>
      <c r="BO67" s="60">
        <f t="shared" si="237"/>
        <v>0</v>
      </c>
      <c r="BP67" s="60">
        <f t="shared" si="237"/>
        <v>0</v>
      </c>
      <c r="BQ67" s="60">
        <f t="shared" si="237"/>
        <v>0</v>
      </c>
      <c r="BR67" s="60">
        <f t="shared" si="237"/>
        <v>0</v>
      </c>
      <c r="BS67" s="60">
        <f t="shared" si="237"/>
        <v>0</v>
      </c>
      <c r="BT67" s="60">
        <f t="shared" si="237"/>
        <v>0</v>
      </c>
      <c r="BU67" s="60">
        <f t="shared" ref="BU67" si="238">IFERROR($B67/BU5,0)</f>
        <v>0</v>
      </c>
      <c r="BV67" s="60">
        <f t="shared" si="237"/>
        <v>0</v>
      </c>
      <c r="BW67" s="60">
        <f t="shared" si="237"/>
        <v>0</v>
      </c>
      <c r="BX67" s="60">
        <f t="shared" si="237"/>
        <v>0</v>
      </c>
      <c r="BY67" s="60">
        <f t="shared" si="237"/>
        <v>0</v>
      </c>
      <c r="BZ67" s="60">
        <f t="shared" si="237"/>
        <v>0</v>
      </c>
      <c r="CA67" s="60">
        <f t="shared" si="237"/>
        <v>0</v>
      </c>
      <c r="CB67" s="60">
        <f t="shared" si="237"/>
        <v>0</v>
      </c>
      <c r="CC67" s="49">
        <f t="shared" ref="CC67:CC76" si="239">SUM(CD67,CU67,DA67:DB67)</f>
        <v>0</v>
      </c>
      <c r="CD67" s="49">
        <f>IFERROR(s_RadSpec!$H$5*(CD5/$B67),".")</f>
        <v>0</v>
      </c>
      <c r="CE67" s="49">
        <f>IFERROR(s_RadSpec!$H$5*(CE5/$B67),".")</f>
        <v>0</v>
      </c>
      <c r="CF67" s="49">
        <f>IFERROR(s_RadSpec!$H$5*(CF5/$B67),".")</f>
        <v>0</v>
      </c>
      <c r="CG67" s="49">
        <f>IFERROR(s_RadSpec!$H$5*(CG5/$B67),".")</f>
        <v>0</v>
      </c>
      <c r="CH67" s="49">
        <f>IFERROR(s_RadSpec!$H$5*(CH5/$B67),".")</f>
        <v>0</v>
      </c>
      <c r="CI67" s="49">
        <f>IFERROR(s_RadSpec!$H$5*(CI5/$B67),".")</f>
        <v>0</v>
      </c>
      <c r="CJ67" s="49">
        <f>IFERROR(s_RadSpec!$H$5*(CJ5/$B67),".")</f>
        <v>0</v>
      </c>
      <c r="CK67" s="49">
        <f>IFERROR(s_RadSpec!$H$5*(CK5/$B67),".")</f>
        <v>0</v>
      </c>
      <c r="CL67" s="49">
        <f>IFERROR(s_RadSpec!$H$5*(CL5/$B67),".")</f>
        <v>0</v>
      </c>
      <c r="CM67" s="49">
        <f>IFERROR(s_RadSpec!$H$5*(CM5/$B67),".")</f>
        <v>0</v>
      </c>
      <c r="CN67" s="49">
        <f>IFERROR(s_RadSpec!$H$5*(CN5/$B67),".")</f>
        <v>0</v>
      </c>
      <c r="CO67" s="49">
        <f>IFERROR(s_RadSpec!$H$5*(CO5/$B67),".")</f>
        <v>0</v>
      </c>
      <c r="CP67" s="49">
        <f>IFERROR(s_RadSpec!$H$5*(CP5/$B67),".")</f>
        <v>0</v>
      </c>
      <c r="CQ67" s="49">
        <f>IFERROR(s_RadSpec!$H$5*(CQ5/$B67),".")</f>
        <v>0</v>
      </c>
      <c r="CR67" s="49">
        <f>IFERROR(s_RadSpec!$H$5*(CR5/$B67),".")</f>
        <v>0</v>
      </c>
      <c r="CS67" s="49">
        <f>IFERROR(s_RadSpec!$H$5*(CS5/$B67),".")</f>
        <v>0</v>
      </c>
      <c r="CT67" s="49">
        <f>IFERROR(s_RadSpec!$H$5*(CT5/$B67),".")</f>
        <v>0</v>
      </c>
      <c r="CU67" s="49">
        <f>IFERROR(s_RadSpec!$H$5*(CU5/$B67),".")</f>
        <v>0</v>
      </c>
      <c r="CV67" s="49">
        <f>IFERROR(s_RadSpec!$H$5*(CV5/$B67),".")</f>
        <v>0</v>
      </c>
      <c r="CW67" s="49">
        <f>IFERROR(s_RadSpec!$H$5*(CW5/$B67),".")</f>
        <v>0</v>
      </c>
      <c r="CX67" s="49">
        <f>IFERROR(s_RadSpec!$H$5*(CX5/$B67),".")</f>
        <v>0</v>
      </c>
      <c r="CY67" s="49">
        <f>IFERROR(s_RadSpec!$H$5*(CY5/$B67),".")</f>
        <v>0</v>
      </c>
      <c r="CZ67" s="49">
        <f>IFERROR(s_RadSpec!$H$5*(CZ5/$B67),".")</f>
        <v>0</v>
      </c>
      <c r="DA67" s="49">
        <f>IFERROR(s_RadSpec!$H$5*(DA5/$B67),".")</f>
        <v>0</v>
      </c>
      <c r="DB67" s="49">
        <f>IFERROR(s_RadSpec!$H$5*(DB5/$B67),".")</f>
        <v>0</v>
      </c>
    </row>
    <row r="68" spans="1:106" x14ac:dyDescent="0.25">
      <c r="A68" s="83" t="s">
        <v>1089</v>
      </c>
      <c r="B68" s="42">
        <v>0.99999979999999999</v>
      </c>
      <c r="C68" s="60">
        <f t="shared" ref="C68" si="240">IFERROR(C9/$B54,0)</f>
        <v>2744.7195473095426</v>
      </c>
      <c r="D68" s="60">
        <f t="shared" ref="D68:AB68" si="241">IFERROR(D9/$B54,0)</f>
        <v>10978.87818923817</v>
      </c>
      <c r="E68" s="60">
        <f t="shared" si="241"/>
        <v>10978.87818923817</v>
      </c>
      <c r="F68" s="60">
        <f t="shared" si="241"/>
        <v>10978.87818923817</v>
      </c>
      <c r="G68" s="60">
        <f t="shared" si="241"/>
        <v>10978.87818923817</v>
      </c>
      <c r="H68" s="60">
        <f t="shared" si="241"/>
        <v>10978.87818923817</v>
      </c>
      <c r="I68" s="60">
        <f t="shared" si="241"/>
        <v>10978.87818923817</v>
      </c>
      <c r="J68" s="60">
        <f t="shared" si="241"/>
        <v>10978.87818923817</v>
      </c>
      <c r="K68" s="60">
        <f t="shared" si="241"/>
        <v>10978.87818923817</v>
      </c>
      <c r="L68" s="60">
        <f t="shared" si="241"/>
        <v>10978.87818923817</v>
      </c>
      <c r="M68" s="60">
        <f t="shared" si="241"/>
        <v>10978.87818923817</v>
      </c>
      <c r="N68" s="60">
        <f t="shared" si="241"/>
        <v>10978.87818923817</v>
      </c>
      <c r="O68" s="60">
        <f t="shared" si="241"/>
        <v>10978.87818923817</v>
      </c>
      <c r="P68" s="60">
        <f t="shared" si="241"/>
        <v>10978.87818923817</v>
      </c>
      <c r="Q68" s="60">
        <f t="shared" si="241"/>
        <v>10978.87818923817</v>
      </c>
      <c r="R68" s="60">
        <f t="shared" si="241"/>
        <v>10978.87818923817</v>
      </c>
      <c r="S68" s="60">
        <f t="shared" si="241"/>
        <v>10978.87818923817</v>
      </c>
      <c r="T68" s="60">
        <f t="shared" si="241"/>
        <v>10978.87818923817</v>
      </c>
      <c r="U68" s="60">
        <f t="shared" ref="U68" si="242">IFERROR(U9/$B54,0)</f>
        <v>10978.87818923817</v>
      </c>
      <c r="V68" s="60">
        <f t="shared" si="241"/>
        <v>10978.87818923817</v>
      </c>
      <c r="W68" s="60">
        <f t="shared" si="241"/>
        <v>10978.87818923817</v>
      </c>
      <c r="X68" s="60">
        <f t="shared" si="241"/>
        <v>10978.87818923817</v>
      </c>
      <c r="Y68" s="60">
        <f t="shared" si="241"/>
        <v>10978.87818923817</v>
      </c>
      <c r="Z68" s="60">
        <f t="shared" si="241"/>
        <v>10978.87818923817</v>
      </c>
      <c r="AA68" s="60">
        <f t="shared" si="241"/>
        <v>10978.87818923817</v>
      </c>
      <c r="AB68" s="60">
        <f t="shared" si="241"/>
        <v>10978.87818923817</v>
      </c>
      <c r="AC68" s="49">
        <f t="shared" si="235"/>
        <v>1.8216804718360947E-8</v>
      </c>
      <c r="AD68" s="49">
        <f>IFERROR(s_RadSpec!$H$9*(AD9/$B68),".")</f>
        <v>4.5542011795902368E-9</v>
      </c>
      <c r="AE68" s="49">
        <f>IFERROR(s_RadSpec!$H$9*(AE9/$B68),".")</f>
        <v>4.5542011795902368E-9</v>
      </c>
      <c r="AF68" s="49">
        <f>IFERROR(s_RadSpec!$H$9*(AF9/$B68),".")</f>
        <v>4.5542011795902368E-9</v>
      </c>
      <c r="AG68" s="49">
        <f>IFERROR(s_RadSpec!$H$9*(AG9/$B68),".")</f>
        <v>4.5542011795902368E-9</v>
      </c>
      <c r="AH68" s="49">
        <f>IFERROR(s_RadSpec!$H$9*(AH9/$B68),".")</f>
        <v>4.5542011795902368E-9</v>
      </c>
      <c r="AI68" s="49">
        <f>IFERROR(s_RadSpec!$H$9*(AI9/$B68),".")</f>
        <v>4.5542011795902368E-9</v>
      </c>
      <c r="AJ68" s="49">
        <f>IFERROR(s_RadSpec!$H$9*(AJ9/$B68),".")</f>
        <v>4.5542011795902368E-9</v>
      </c>
      <c r="AK68" s="49">
        <f>IFERROR(s_RadSpec!$H$9*(AK9/$B68),".")</f>
        <v>4.5542011795902368E-9</v>
      </c>
      <c r="AL68" s="49">
        <f>IFERROR(s_RadSpec!$H$9*(AL9/$B68),".")</f>
        <v>4.5542011795902368E-9</v>
      </c>
      <c r="AM68" s="49">
        <f>IFERROR(s_RadSpec!$H$9*(AM9/$B68),".")</f>
        <v>4.5542011795902368E-9</v>
      </c>
      <c r="AN68" s="49">
        <f>IFERROR(s_RadSpec!$H$9*(AN9/$B68),".")</f>
        <v>4.5542011795902368E-9</v>
      </c>
      <c r="AO68" s="49">
        <f>IFERROR(s_RadSpec!$H$9*(AO9/$B68),".")</f>
        <v>4.5542011795902368E-9</v>
      </c>
      <c r="AP68" s="49">
        <f>IFERROR(s_RadSpec!$H$9*(AP9/$B68),".")</f>
        <v>4.5542011795902368E-9</v>
      </c>
      <c r="AQ68" s="49">
        <f>IFERROR(s_RadSpec!$H$9*(AQ9/$B68),".")</f>
        <v>4.5542011795902368E-9</v>
      </c>
      <c r="AR68" s="49">
        <f>IFERROR(s_RadSpec!$H$9*(AR9/$B68),".")</f>
        <v>4.5542011795902368E-9</v>
      </c>
      <c r="AS68" s="49">
        <f>IFERROR(s_RadSpec!$H$9*(AS9/$B68),".")</f>
        <v>4.5542011795902368E-9</v>
      </c>
      <c r="AT68" s="49">
        <f>IFERROR(s_RadSpec!$H$9*(AT9/$B68),".")</f>
        <v>4.5542011795902368E-9</v>
      </c>
      <c r="AU68" s="49">
        <f>IFERROR(s_RadSpec!$H$9*(AU9/$B68),".")</f>
        <v>4.5542011795902368E-9</v>
      </c>
      <c r="AV68" s="49">
        <f>IFERROR(s_RadSpec!$H$9*(AV9/$B68),".")</f>
        <v>4.5542011795902368E-9</v>
      </c>
      <c r="AW68" s="49">
        <f>IFERROR(s_RadSpec!$H$9*(AW9/$B68),".")</f>
        <v>4.5542011795902368E-9</v>
      </c>
      <c r="AX68" s="49">
        <f>IFERROR(s_RadSpec!$H$9*(AX9/$B68),".")</f>
        <v>4.5542011795902368E-9</v>
      </c>
      <c r="AY68" s="49">
        <f>IFERROR(s_RadSpec!$H$9*(AY9/$B68),".")</f>
        <v>4.5542011795902368E-9</v>
      </c>
      <c r="AZ68" s="49">
        <f>IFERROR(s_RadSpec!$H$9*(AZ9/$B68),".")</f>
        <v>4.5542011795902368E-9</v>
      </c>
      <c r="BA68" s="49">
        <f>IFERROR(s_RadSpec!$H$9*(BA9/$B68),".")</f>
        <v>4.5542011795902368E-9</v>
      </c>
      <c r="BB68" s="49">
        <f>IFERROR(s_RadSpec!$H$9*(BB9/$B68),".")</f>
        <v>4.5542011795902368E-9</v>
      </c>
      <c r="BC68" s="60">
        <f t="shared" ref="BC68" si="243">IFERROR($B68/BC9,0)</f>
        <v>3.6433594863279577E-4</v>
      </c>
      <c r="BD68" s="60">
        <f t="shared" ref="BD68:CB68" si="244">IFERROR($B68/BD9,0)</f>
        <v>9.1083987158198943E-5</v>
      </c>
      <c r="BE68" s="60">
        <f t="shared" si="244"/>
        <v>9.1083987158198943E-5</v>
      </c>
      <c r="BF68" s="60">
        <f t="shared" si="244"/>
        <v>9.1083987158198943E-5</v>
      </c>
      <c r="BG68" s="60">
        <f t="shared" si="244"/>
        <v>9.1083987158198943E-5</v>
      </c>
      <c r="BH68" s="60">
        <f t="shared" si="244"/>
        <v>9.1083987158198943E-5</v>
      </c>
      <c r="BI68" s="60">
        <f t="shared" si="244"/>
        <v>9.1083987158198943E-5</v>
      </c>
      <c r="BJ68" s="60">
        <f t="shared" si="244"/>
        <v>9.1083987158198943E-5</v>
      </c>
      <c r="BK68" s="60">
        <f t="shared" si="244"/>
        <v>9.1083987158198943E-5</v>
      </c>
      <c r="BL68" s="60">
        <f t="shared" si="244"/>
        <v>9.1083987158198943E-5</v>
      </c>
      <c r="BM68" s="60">
        <f t="shared" si="244"/>
        <v>9.1083987158198943E-5</v>
      </c>
      <c r="BN68" s="60">
        <f t="shared" si="244"/>
        <v>9.1083987158198943E-5</v>
      </c>
      <c r="BO68" s="60">
        <f t="shared" si="244"/>
        <v>9.1083987158198943E-5</v>
      </c>
      <c r="BP68" s="60">
        <f t="shared" si="244"/>
        <v>9.1083987158198943E-5</v>
      </c>
      <c r="BQ68" s="60">
        <f t="shared" si="244"/>
        <v>9.1083987158198943E-5</v>
      </c>
      <c r="BR68" s="60">
        <f t="shared" si="244"/>
        <v>9.1083987158198943E-5</v>
      </c>
      <c r="BS68" s="60">
        <f t="shared" si="244"/>
        <v>9.1083987158198943E-5</v>
      </c>
      <c r="BT68" s="60">
        <f t="shared" si="244"/>
        <v>9.1083987158198943E-5</v>
      </c>
      <c r="BU68" s="60">
        <f t="shared" ref="BU68" si="245">IFERROR($B68/BU9,0)</f>
        <v>9.1083987158198943E-5</v>
      </c>
      <c r="BV68" s="60">
        <f t="shared" si="244"/>
        <v>9.1083987158198943E-5</v>
      </c>
      <c r="BW68" s="60">
        <f t="shared" si="244"/>
        <v>9.1083987158198943E-5</v>
      </c>
      <c r="BX68" s="60">
        <f t="shared" si="244"/>
        <v>9.1083987158198943E-5</v>
      </c>
      <c r="BY68" s="60">
        <f t="shared" si="244"/>
        <v>9.1083987158198943E-5</v>
      </c>
      <c r="BZ68" s="60">
        <f t="shared" si="244"/>
        <v>9.1083987158198943E-5</v>
      </c>
      <c r="CA68" s="60">
        <f t="shared" si="244"/>
        <v>9.1083987158198943E-5</v>
      </c>
      <c r="CB68" s="60">
        <f t="shared" si="244"/>
        <v>9.1083987158198943E-5</v>
      </c>
      <c r="CC68" s="49">
        <f t="shared" si="239"/>
        <v>1.8216804718360947E-8</v>
      </c>
      <c r="CD68" s="49">
        <f>IFERROR(s_RadSpec!$H$9*(CD9/$B68),".")</f>
        <v>4.5542011795902368E-9</v>
      </c>
      <c r="CE68" s="49">
        <f>IFERROR(s_RadSpec!$H$9*(CE9/$B68),".")</f>
        <v>4.5542011795902368E-9</v>
      </c>
      <c r="CF68" s="49">
        <f>IFERROR(s_RadSpec!$H$9*(CF9/$B68),".")</f>
        <v>4.5542011795902368E-9</v>
      </c>
      <c r="CG68" s="49">
        <f>IFERROR(s_RadSpec!$H$9*(CG9/$B68),".")</f>
        <v>4.5542011795902368E-9</v>
      </c>
      <c r="CH68" s="49">
        <f>IFERROR(s_RadSpec!$H$9*(CH9/$B68),".")</f>
        <v>4.5542011795902368E-9</v>
      </c>
      <c r="CI68" s="49">
        <f>IFERROR(s_RadSpec!$H$9*(CI9/$B68),".")</f>
        <v>4.5542011795902368E-9</v>
      </c>
      <c r="CJ68" s="49">
        <f>IFERROR(s_RadSpec!$H$9*(CJ9/$B68),".")</f>
        <v>4.5542011795902368E-9</v>
      </c>
      <c r="CK68" s="49">
        <f>IFERROR(s_RadSpec!$H$9*(CK9/$B68),".")</f>
        <v>4.5542011795902368E-9</v>
      </c>
      <c r="CL68" s="49">
        <f>IFERROR(s_RadSpec!$H$9*(CL9/$B68),".")</f>
        <v>4.5542011795902368E-9</v>
      </c>
      <c r="CM68" s="49">
        <f>IFERROR(s_RadSpec!$H$9*(CM9/$B68),".")</f>
        <v>4.5542011795902368E-9</v>
      </c>
      <c r="CN68" s="49">
        <f>IFERROR(s_RadSpec!$H$9*(CN9/$B68),".")</f>
        <v>4.5542011795902368E-9</v>
      </c>
      <c r="CO68" s="49">
        <f>IFERROR(s_RadSpec!$H$9*(CO9/$B68),".")</f>
        <v>4.5542011795902368E-9</v>
      </c>
      <c r="CP68" s="49">
        <f>IFERROR(s_RadSpec!$H$9*(CP9/$B68),".")</f>
        <v>4.5542011795902368E-9</v>
      </c>
      <c r="CQ68" s="49">
        <f>IFERROR(s_RadSpec!$H$9*(CQ9/$B68),".")</f>
        <v>4.5542011795902368E-9</v>
      </c>
      <c r="CR68" s="49">
        <f>IFERROR(s_RadSpec!$H$9*(CR9/$B68),".")</f>
        <v>4.5542011795902368E-9</v>
      </c>
      <c r="CS68" s="49">
        <f>IFERROR(s_RadSpec!$H$9*(CS9/$B68),".")</f>
        <v>4.5542011795902368E-9</v>
      </c>
      <c r="CT68" s="49">
        <f>IFERROR(s_RadSpec!$H$9*(CT9/$B68),".")</f>
        <v>4.5542011795902368E-9</v>
      </c>
      <c r="CU68" s="49">
        <f>IFERROR(s_RadSpec!$H$9*(CU9/$B68),".")</f>
        <v>4.5542011795902368E-9</v>
      </c>
      <c r="CV68" s="49">
        <f>IFERROR(s_RadSpec!$H$9*(CV9/$B68),".")</f>
        <v>4.5542011795902368E-9</v>
      </c>
      <c r="CW68" s="49">
        <f>IFERROR(s_RadSpec!$H$9*(CW9/$B68),".")</f>
        <v>4.5542011795902368E-9</v>
      </c>
      <c r="CX68" s="49">
        <f>IFERROR(s_RadSpec!$H$9*(CX9/$B68),".")</f>
        <v>4.5542011795902368E-9</v>
      </c>
      <c r="CY68" s="49">
        <f>IFERROR(s_RadSpec!$H$9*(CY9/$B68),".")</f>
        <v>4.5542011795902368E-9</v>
      </c>
      <c r="CZ68" s="49">
        <f>IFERROR(s_RadSpec!$H$9*(CZ9/$B68),".")</f>
        <v>4.5542011795902368E-9</v>
      </c>
      <c r="DA68" s="49">
        <f>IFERROR(s_RadSpec!$H$9*(DA9/$B68),".")</f>
        <v>4.5542011795902368E-9</v>
      </c>
      <c r="DB68" s="49">
        <f>IFERROR(s_RadSpec!$H$9*(DB9/$B68),".")</f>
        <v>4.5542011795902368E-9</v>
      </c>
    </row>
    <row r="69" spans="1:106" x14ac:dyDescent="0.25">
      <c r="A69" s="83" t="s">
        <v>1090</v>
      </c>
      <c r="B69" s="42">
        <v>1.9999999999999999E-7</v>
      </c>
      <c r="C69" s="60">
        <f t="shared" ref="C69" si="246">IFERROR(C24/$B55,0)</f>
        <v>0</v>
      </c>
      <c r="D69" s="60">
        <f t="shared" ref="D69:AB69" si="247">IFERROR(D24/$B55,0)</f>
        <v>0</v>
      </c>
      <c r="E69" s="60">
        <f t="shared" si="247"/>
        <v>0</v>
      </c>
      <c r="F69" s="60">
        <f t="shared" si="247"/>
        <v>0</v>
      </c>
      <c r="G69" s="60">
        <f t="shared" si="247"/>
        <v>0</v>
      </c>
      <c r="H69" s="60">
        <f t="shared" si="247"/>
        <v>0</v>
      </c>
      <c r="I69" s="60">
        <f t="shared" si="247"/>
        <v>0</v>
      </c>
      <c r="J69" s="60">
        <f t="shared" si="247"/>
        <v>0</v>
      </c>
      <c r="K69" s="60">
        <f t="shared" si="247"/>
        <v>0</v>
      </c>
      <c r="L69" s="60">
        <f t="shared" si="247"/>
        <v>0</v>
      </c>
      <c r="M69" s="60">
        <f t="shared" si="247"/>
        <v>0</v>
      </c>
      <c r="N69" s="60">
        <f t="shared" si="247"/>
        <v>0</v>
      </c>
      <c r="O69" s="60">
        <f t="shared" si="247"/>
        <v>0</v>
      </c>
      <c r="P69" s="60">
        <f t="shared" si="247"/>
        <v>0</v>
      </c>
      <c r="Q69" s="60">
        <f t="shared" si="247"/>
        <v>0</v>
      </c>
      <c r="R69" s="60">
        <f t="shared" si="247"/>
        <v>0</v>
      </c>
      <c r="S69" s="60">
        <f t="shared" si="247"/>
        <v>0</v>
      </c>
      <c r="T69" s="60">
        <f t="shared" si="247"/>
        <v>0</v>
      </c>
      <c r="U69" s="60">
        <f t="shared" ref="U69" si="248">IFERROR(U24/$B55,0)</f>
        <v>0</v>
      </c>
      <c r="V69" s="60">
        <f t="shared" si="247"/>
        <v>0</v>
      </c>
      <c r="W69" s="60">
        <f t="shared" si="247"/>
        <v>0</v>
      </c>
      <c r="X69" s="60">
        <f t="shared" si="247"/>
        <v>0</v>
      </c>
      <c r="Y69" s="60">
        <f t="shared" si="247"/>
        <v>0</v>
      </c>
      <c r="Z69" s="60">
        <f t="shared" si="247"/>
        <v>0</v>
      </c>
      <c r="AA69" s="60">
        <f t="shared" si="247"/>
        <v>0</v>
      </c>
      <c r="AB69" s="60">
        <f t="shared" si="247"/>
        <v>0</v>
      </c>
      <c r="AC69" s="49">
        <f t="shared" si="235"/>
        <v>0</v>
      </c>
      <c r="AD69" s="49">
        <f>IFERROR(s_RadSpec!$H$24*(AD24/$B69),".")</f>
        <v>0</v>
      </c>
      <c r="AE69" s="49">
        <f>IFERROR(s_RadSpec!$H$24*(AE24/$B69),".")</f>
        <v>0</v>
      </c>
      <c r="AF69" s="49">
        <f>IFERROR(s_RadSpec!$H$24*(AF24/$B69),".")</f>
        <v>0</v>
      </c>
      <c r="AG69" s="49">
        <f>IFERROR(s_RadSpec!$H$24*(AG24/$B69),".")</f>
        <v>0</v>
      </c>
      <c r="AH69" s="49">
        <f>IFERROR(s_RadSpec!$H$24*(AH24/$B69),".")</f>
        <v>0</v>
      </c>
      <c r="AI69" s="49">
        <f>IFERROR(s_RadSpec!$H$24*(AI24/$B69),".")</f>
        <v>0</v>
      </c>
      <c r="AJ69" s="49">
        <f>IFERROR(s_RadSpec!$H$24*(AJ24/$B69),".")</f>
        <v>0</v>
      </c>
      <c r="AK69" s="49">
        <f>IFERROR(s_RadSpec!$H$24*(AK24/$B69),".")</f>
        <v>0</v>
      </c>
      <c r="AL69" s="49">
        <f>IFERROR(s_RadSpec!$H$24*(AL24/$B69),".")</f>
        <v>0</v>
      </c>
      <c r="AM69" s="49">
        <f>IFERROR(s_RadSpec!$H$24*(AM24/$B69),".")</f>
        <v>0</v>
      </c>
      <c r="AN69" s="49">
        <f>IFERROR(s_RadSpec!$H$24*(AN24/$B69),".")</f>
        <v>0</v>
      </c>
      <c r="AO69" s="49">
        <f>IFERROR(s_RadSpec!$H$24*(AO24/$B69),".")</f>
        <v>0</v>
      </c>
      <c r="AP69" s="49">
        <f>IFERROR(s_RadSpec!$H$24*(AP24/$B69),".")</f>
        <v>0</v>
      </c>
      <c r="AQ69" s="49">
        <f>IFERROR(s_RadSpec!$H$24*(AQ24/$B69),".")</f>
        <v>0</v>
      </c>
      <c r="AR69" s="49">
        <f>IFERROR(s_RadSpec!$H$24*(AR24/$B69),".")</f>
        <v>0</v>
      </c>
      <c r="AS69" s="49">
        <f>IFERROR(s_RadSpec!$H$24*(AS24/$B69),".")</f>
        <v>0</v>
      </c>
      <c r="AT69" s="49">
        <f>IFERROR(s_RadSpec!$H$24*(AT24/$B69),".")</f>
        <v>0</v>
      </c>
      <c r="AU69" s="49">
        <f>IFERROR(s_RadSpec!$H$24*(AU24/$B69),".")</f>
        <v>0</v>
      </c>
      <c r="AV69" s="49">
        <f>IFERROR(s_RadSpec!$H$24*(AV24/$B69),".")</f>
        <v>0</v>
      </c>
      <c r="AW69" s="49">
        <f>IFERROR(s_RadSpec!$H$24*(AW24/$B69),".")</f>
        <v>0</v>
      </c>
      <c r="AX69" s="49">
        <f>IFERROR(s_RadSpec!$H$24*(AX24/$B69),".")</f>
        <v>0</v>
      </c>
      <c r="AY69" s="49">
        <f>IFERROR(s_RadSpec!$H$24*(AY24/$B69),".")</f>
        <v>0</v>
      </c>
      <c r="AZ69" s="49">
        <f>IFERROR(s_RadSpec!$H$24*(AZ24/$B69),".")</f>
        <v>0</v>
      </c>
      <c r="BA69" s="49">
        <f>IFERROR(s_RadSpec!$H$24*(BA24/$B69),".")</f>
        <v>0</v>
      </c>
      <c r="BB69" s="49">
        <f>IFERROR(s_RadSpec!$H$24*(BB24/$B69),".")</f>
        <v>0</v>
      </c>
      <c r="BC69" s="60">
        <f t="shared" ref="BC69" si="249">IFERROR($B69/BC24,0)</f>
        <v>0</v>
      </c>
      <c r="BD69" s="60">
        <f t="shared" ref="BD69:CB69" si="250">IFERROR($B69/BD24,0)</f>
        <v>0</v>
      </c>
      <c r="BE69" s="60">
        <f t="shared" si="250"/>
        <v>0</v>
      </c>
      <c r="BF69" s="60">
        <f t="shared" si="250"/>
        <v>0</v>
      </c>
      <c r="BG69" s="60">
        <f t="shared" si="250"/>
        <v>0</v>
      </c>
      <c r="BH69" s="60">
        <f t="shared" si="250"/>
        <v>0</v>
      </c>
      <c r="BI69" s="60">
        <f t="shared" si="250"/>
        <v>0</v>
      </c>
      <c r="BJ69" s="60">
        <f t="shared" si="250"/>
        <v>0</v>
      </c>
      <c r="BK69" s="60">
        <f t="shared" si="250"/>
        <v>0</v>
      </c>
      <c r="BL69" s="60">
        <f t="shared" si="250"/>
        <v>0</v>
      </c>
      <c r="BM69" s="60">
        <f t="shared" si="250"/>
        <v>0</v>
      </c>
      <c r="BN69" s="60">
        <f t="shared" si="250"/>
        <v>0</v>
      </c>
      <c r="BO69" s="60">
        <f t="shared" si="250"/>
        <v>0</v>
      </c>
      <c r="BP69" s="60">
        <f t="shared" si="250"/>
        <v>0</v>
      </c>
      <c r="BQ69" s="60">
        <f t="shared" si="250"/>
        <v>0</v>
      </c>
      <c r="BR69" s="60">
        <f t="shared" si="250"/>
        <v>0</v>
      </c>
      <c r="BS69" s="60">
        <f t="shared" si="250"/>
        <v>0</v>
      </c>
      <c r="BT69" s="60">
        <f t="shared" si="250"/>
        <v>0</v>
      </c>
      <c r="BU69" s="60">
        <f t="shared" ref="BU69" si="251">IFERROR($B69/BU24,0)</f>
        <v>0</v>
      </c>
      <c r="BV69" s="60">
        <f t="shared" si="250"/>
        <v>0</v>
      </c>
      <c r="BW69" s="60">
        <f t="shared" si="250"/>
        <v>0</v>
      </c>
      <c r="BX69" s="60">
        <f t="shared" si="250"/>
        <v>0</v>
      </c>
      <c r="BY69" s="60">
        <f t="shared" si="250"/>
        <v>0</v>
      </c>
      <c r="BZ69" s="60">
        <f t="shared" si="250"/>
        <v>0</v>
      </c>
      <c r="CA69" s="60">
        <f t="shared" si="250"/>
        <v>0</v>
      </c>
      <c r="CB69" s="60">
        <f t="shared" si="250"/>
        <v>0</v>
      </c>
      <c r="CC69" s="49">
        <f t="shared" si="239"/>
        <v>0</v>
      </c>
      <c r="CD69" s="49">
        <f>IFERROR(s_RadSpec!$H$24*(CD24/$B69),".")</f>
        <v>0</v>
      </c>
      <c r="CE69" s="49">
        <f>IFERROR(s_RadSpec!$H$24*(CE24/$B69),".")</f>
        <v>0</v>
      </c>
      <c r="CF69" s="49">
        <f>IFERROR(s_RadSpec!$H$24*(CF24/$B69),".")</f>
        <v>0</v>
      </c>
      <c r="CG69" s="49">
        <f>IFERROR(s_RadSpec!$H$24*(CG24/$B69),".")</f>
        <v>0</v>
      </c>
      <c r="CH69" s="49">
        <f>IFERROR(s_RadSpec!$H$24*(CH24/$B69),".")</f>
        <v>0</v>
      </c>
      <c r="CI69" s="49">
        <f>IFERROR(s_RadSpec!$H$24*(CI24/$B69),".")</f>
        <v>0</v>
      </c>
      <c r="CJ69" s="49">
        <f>IFERROR(s_RadSpec!$H$24*(CJ24/$B69),".")</f>
        <v>0</v>
      </c>
      <c r="CK69" s="49">
        <f>IFERROR(s_RadSpec!$H$24*(CK24/$B69),".")</f>
        <v>0</v>
      </c>
      <c r="CL69" s="49">
        <f>IFERROR(s_RadSpec!$H$24*(CL24/$B69),".")</f>
        <v>0</v>
      </c>
      <c r="CM69" s="49">
        <f>IFERROR(s_RadSpec!$H$24*(CM24/$B69),".")</f>
        <v>0</v>
      </c>
      <c r="CN69" s="49">
        <f>IFERROR(s_RadSpec!$H$24*(CN24/$B69),".")</f>
        <v>0</v>
      </c>
      <c r="CO69" s="49">
        <f>IFERROR(s_RadSpec!$H$24*(CO24/$B69),".")</f>
        <v>0</v>
      </c>
      <c r="CP69" s="49">
        <f>IFERROR(s_RadSpec!$H$24*(CP24/$B69),".")</f>
        <v>0</v>
      </c>
      <c r="CQ69" s="49">
        <f>IFERROR(s_RadSpec!$H$24*(CQ24/$B69),".")</f>
        <v>0</v>
      </c>
      <c r="CR69" s="49">
        <f>IFERROR(s_RadSpec!$H$24*(CR24/$B69),".")</f>
        <v>0</v>
      </c>
      <c r="CS69" s="49">
        <f>IFERROR(s_RadSpec!$H$24*(CS24/$B69),".")</f>
        <v>0</v>
      </c>
      <c r="CT69" s="49">
        <f>IFERROR(s_RadSpec!$H$24*(CT24/$B69),".")</f>
        <v>0</v>
      </c>
      <c r="CU69" s="49">
        <f>IFERROR(s_RadSpec!$H$24*(CU24/$B69),".")</f>
        <v>0</v>
      </c>
      <c r="CV69" s="49">
        <f>IFERROR(s_RadSpec!$H$24*(CV24/$B69),".")</f>
        <v>0</v>
      </c>
      <c r="CW69" s="49">
        <f>IFERROR(s_RadSpec!$H$24*(CW24/$B69),".")</f>
        <v>0</v>
      </c>
      <c r="CX69" s="49">
        <f>IFERROR(s_RadSpec!$H$24*(CX24/$B69),".")</f>
        <v>0</v>
      </c>
      <c r="CY69" s="49">
        <f>IFERROR(s_RadSpec!$H$24*(CY24/$B69),".")</f>
        <v>0</v>
      </c>
      <c r="CZ69" s="49">
        <f>IFERROR(s_RadSpec!$H$24*(CZ24/$B69),".")</f>
        <v>0</v>
      </c>
      <c r="DA69" s="49">
        <f>IFERROR(s_RadSpec!$H$24*(DA24/$B69),".")</f>
        <v>0</v>
      </c>
      <c r="DB69" s="49">
        <f>IFERROR(s_RadSpec!$H$24*(DB24/$B69),".")</f>
        <v>0</v>
      </c>
    </row>
    <row r="70" spans="1:106" x14ac:dyDescent="0.25">
      <c r="A70" s="83" t="s">
        <v>1091</v>
      </c>
      <c r="B70" s="42">
        <v>0.99979000004200003</v>
      </c>
      <c r="C70" s="60">
        <f t="shared" ref="C70" si="252">IFERROR(C20/$B56,0)</f>
        <v>0</v>
      </c>
      <c r="D70" s="60">
        <f t="shared" ref="D70:AB70" si="253">IFERROR(D20/$B56,0)</f>
        <v>0</v>
      </c>
      <c r="E70" s="60">
        <f t="shared" si="253"/>
        <v>0</v>
      </c>
      <c r="F70" s="60">
        <f t="shared" si="253"/>
        <v>0</v>
      </c>
      <c r="G70" s="60">
        <f t="shared" si="253"/>
        <v>0</v>
      </c>
      <c r="H70" s="60">
        <f t="shared" si="253"/>
        <v>0</v>
      </c>
      <c r="I70" s="60">
        <f t="shared" si="253"/>
        <v>0</v>
      </c>
      <c r="J70" s="60">
        <f t="shared" si="253"/>
        <v>0</v>
      </c>
      <c r="K70" s="60">
        <f t="shared" si="253"/>
        <v>0</v>
      </c>
      <c r="L70" s="60">
        <f t="shared" si="253"/>
        <v>0</v>
      </c>
      <c r="M70" s="60">
        <f t="shared" si="253"/>
        <v>0</v>
      </c>
      <c r="N70" s="60">
        <f t="shared" si="253"/>
        <v>0</v>
      </c>
      <c r="O70" s="60">
        <f t="shared" si="253"/>
        <v>0</v>
      </c>
      <c r="P70" s="60">
        <f t="shared" si="253"/>
        <v>0</v>
      </c>
      <c r="Q70" s="60">
        <f t="shared" si="253"/>
        <v>0</v>
      </c>
      <c r="R70" s="60">
        <f t="shared" si="253"/>
        <v>0</v>
      </c>
      <c r="S70" s="60">
        <f t="shared" si="253"/>
        <v>0</v>
      </c>
      <c r="T70" s="60">
        <f t="shared" si="253"/>
        <v>0</v>
      </c>
      <c r="U70" s="60">
        <f t="shared" ref="U70" si="254">IFERROR(U20/$B56,0)</f>
        <v>0</v>
      </c>
      <c r="V70" s="60">
        <f t="shared" si="253"/>
        <v>0</v>
      </c>
      <c r="W70" s="60">
        <f t="shared" si="253"/>
        <v>0</v>
      </c>
      <c r="X70" s="60">
        <f t="shared" si="253"/>
        <v>0</v>
      </c>
      <c r="Y70" s="60">
        <f t="shared" si="253"/>
        <v>0</v>
      </c>
      <c r="Z70" s="60">
        <f t="shared" si="253"/>
        <v>0</v>
      </c>
      <c r="AA70" s="60">
        <f t="shared" si="253"/>
        <v>0</v>
      </c>
      <c r="AB70" s="60">
        <f t="shared" si="253"/>
        <v>0</v>
      </c>
      <c r="AC70" s="49">
        <f t="shared" si="235"/>
        <v>0</v>
      </c>
      <c r="AD70" s="49">
        <f>IFERROR(s_RadSpec!$H$20*(AD20/$B70),".")</f>
        <v>0</v>
      </c>
      <c r="AE70" s="49">
        <f>IFERROR(s_RadSpec!$H$20*(AE20/$B70),".")</f>
        <v>0</v>
      </c>
      <c r="AF70" s="49">
        <f>IFERROR(s_RadSpec!$H$20*(AF20/$B70),".")</f>
        <v>0</v>
      </c>
      <c r="AG70" s="49">
        <f>IFERROR(s_RadSpec!$H$20*(AG20/$B70),".")</f>
        <v>0</v>
      </c>
      <c r="AH70" s="49">
        <f>IFERROR(s_RadSpec!$H$20*(AH20/$B70),".")</f>
        <v>0</v>
      </c>
      <c r="AI70" s="49">
        <f>IFERROR(s_RadSpec!$H$20*(AI20/$B70),".")</f>
        <v>0</v>
      </c>
      <c r="AJ70" s="49">
        <f>IFERROR(s_RadSpec!$H$20*(AJ20/$B70),".")</f>
        <v>0</v>
      </c>
      <c r="AK70" s="49">
        <f>IFERROR(s_RadSpec!$H$20*(AK20/$B70),".")</f>
        <v>0</v>
      </c>
      <c r="AL70" s="49">
        <f>IFERROR(s_RadSpec!$H$20*(AL20/$B70),".")</f>
        <v>0</v>
      </c>
      <c r="AM70" s="49">
        <f>IFERROR(s_RadSpec!$H$20*(AM20/$B70),".")</f>
        <v>0</v>
      </c>
      <c r="AN70" s="49">
        <f>IFERROR(s_RadSpec!$H$20*(AN20/$B70),".")</f>
        <v>0</v>
      </c>
      <c r="AO70" s="49">
        <f>IFERROR(s_RadSpec!$H$20*(AO20/$B70),".")</f>
        <v>0</v>
      </c>
      <c r="AP70" s="49">
        <f>IFERROR(s_RadSpec!$H$20*(AP20/$B70),".")</f>
        <v>0</v>
      </c>
      <c r="AQ70" s="49">
        <f>IFERROR(s_RadSpec!$H$20*(AQ20/$B70),".")</f>
        <v>0</v>
      </c>
      <c r="AR70" s="49">
        <f>IFERROR(s_RadSpec!$H$20*(AR20/$B70),".")</f>
        <v>0</v>
      </c>
      <c r="AS70" s="49">
        <f>IFERROR(s_RadSpec!$H$20*(AS20/$B70),".")</f>
        <v>0</v>
      </c>
      <c r="AT70" s="49">
        <f>IFERROR(s_RadSpec!$H$20*(AT20/$B70),".")</f>
        <v>0</v>
      </c>
      <c r="AU70" s="49">
        <f>IFERROR(s_RadSpec!$H$20*(AU20/$B70),".")</f>
        <v>0</v>
      </c>
      <c r="AV70" s="49">
        <f>IFERROR(s_RadSpec!$H$20*(AV20/$B70),".")</f>
        <v>0</v>
      </c>
      <c r="AW70" s="49">
        <f>IFERROR(s_RadSpec!$H$20*(AW20/$B70),".")</f>
        <v>0</v>
      </c>
      <c r="AX70" s="49">
        <f>IFERROR(s_RadSpec!$H$20*(AX20/$B70),".")</f>
        <v>0</v>
      </c>
      <c r="AY70" s="49">
        <f>IFERROR(s_RadSpec!$H$20*(AY20/$B70),".")</f>
        <v>0</v>
      </c>
      <c r="AZ70" s="49">
        <f>IFERROR(s_RadSpec!$H$20*(AZ20/$B70),".")</f>
        <v>0</v>
      </c>
      <c r="BA70" s="49">
        <f>IFERROR(s_RadSpec!$H$20*(BA20/$B70),".")</f>
        <v>0</v>
      </c>
      <c r="BB70" s="49">
        <f>IFERROR(s_RadSpec!$H$20*(BB20/$B70),".")</f>
        <v>0</v>
      </c>
      <c r="BC70" s="60">
        <f t="shared" ref="BC70" si="255">IFERROR($B70/BC20,0)</f>
        <v>0</v>
      </c>
      <c r="BD70" s="60">
        <f t="shared" ref="BD70:CB70" si="256">IFERROR($B70/BD20,0)</f>
        <v>0</v>
      </c>
      <c r="BE70" s="60">
        <f t="shared" si="256"/>
        <v>0</v>
      </c>
      <c r="BF70" s="60">
        <f t="shared" si="256"/>
        <v>0</v>
      </c>
      <c r="BG70" s="60">
        <f t="shared" si="256"/>
        <v>0</v>
      </c>
      <c r="BH70" s="60">
        <f t="shared" si="256"/>
        <v>0</v>
      </c>
      <c r="BI70" s="60">
        <f t="shared" si="256"/>
        <v>0</v>
      </c>
      <c r="BJ70" s="60">
        <f t="shared" si="256"/>
        <v>0</v>
      </c>
      <c r="BK70" s="60">
        <f t="shared" si="256"/>
        <v>0</v>
      </c>
      <c r="BL70" s="60">
        <f t="shared" si="256"/>
        <v>0</v>
      </c>
      <c r="BM70" s="60">
        <f t="shared" si="256"/>
        <v>0</v>
      </c>
      <c r="BN70" s="60">
        <f t="shared" si="256"/>
        <v>0</v>
      </c>
      <c r="BO70" s="60">
        <f t="shared" si="256"/>
        <v>0</v>
      </c>
      <c r="BP70" s="60">
        <f t="shared" si="256"/>
        <v>0</v>
      </c>
      <c r="BQ70" s="60">
        <f t="shared" si="256"/>
        <v>0</v>
      </c>
      <c r="BR70" s="60">
        <f t="shared" si="256"/>
        <v>0</v>
      </c>
      <c r="BS70" s="60">
        <f t="shared" si="256"/>
        <v>0</v>
      </c>
      <c r="BT70" s="60">
        <f t="shared" si="256"/>
        <v>0</v>
      </c>
      <c r="BU70" s="60">
        <f t="shared" ref="BU70" si="257">IFERROR($B70/BU20,0)</f>
        <v>0</v>
      </c>
      <c r="BV70" s="60">
        <f t="shared" si="256"/>
        <v>0</v>
      </c>
      <c r="BW70" s="60">
        <f t="shared" si="256"/>
        <v>0</v>
      </c>
      <c r="BX70" s="60">
        <f t="shared" si="256"/>
        <v>0</v>
      </c>
      <c r="BY70" s="60">
        <f t="shared" si="256"/>
        <v>0</v>
      </c>
      <c r="BZ70" s="60">
        <f t="shared" si="256"/>
        <v>0</v>
      </c>
      <c r="CA70" s="60">
        <f t="shared" si="256"/>
        <v>0</v>
      </c>
      <c r="CB70" s="60">
        <f t="shared" si="256"/>
        <v>0</v>
      </c>
      <c r="CC70" s="49">
        <f t="shared" si="239"/>
        <v>0</v>
      </c>
      <c r="CD70" s="49">
        <f>IFERROR(s_RadSpec!$H$20*(CD20/$B70),".")</f>
        <v>0</v>
      </c>
      <c r="CE70" s="49">
        <f>IFERROR(s_RadSpec!$H$20*(CE20/$B70),".")</f>
        <v>0</v>
      </c>
      <c r="CF70" s="49">
        <f>IFERROR(s_RadSpec!$H$20*(CF20/$B70),".")</f>
        <v>0</v>
      </c>
      <c r="CG70" s="49">
        <f>IFERROR(s_RadSpec!$H$20*(CG20/$B70),".")</f>
        <v>0</v>
      </c>
      <c r="CH70" s="49">
        <f>IFERROR(s_RadSpec!$H$20*(CH20/$B70),".")</f>
        <v>0</v>
      </c>
      <c r="CI70" s="49">
        <f>IFERROR(s_RadSpec!$H$20*(CI20/$B70),".")</f>
        <v>0</v>
      </c>
      <c r="CJ70" s="49">
        <f>IFERROR(s_RadSpec!$H$20*(CJ20/$B70),".")</f>
        <v>0</v>
      </c>
      <c r="CK70" s="49">
        <f>IFERROR(s_RadSpec!$H$20*(CK20/$B70),".")</f>
        <v>0</v>
      </c>
      <c r="CL70" s="49">
        <f>IFERROR(s_RadSpec!$H$20*(CL20/$B70),".")</f>
        <v>0</v>
      </c>
      <c r="CM70" s="49">
        <f>IFERROR(s_RadSpec!$H$20*(CM20/$B70),".")</f>
        <v>0</v>
      </c>
      <c r="CN70" s="49">
        <f>IFERROR(s_RadSpec!$H$20*(CN20/$B70),".")</f>
        <v>0</v>
      </c>
      <c r="CO70" s="49">
        <f>IFERROR(s_RadSpec!$H$20*(CO20/$B70),".")</f>
        <v>0</v>
      </c>
      <c r="CP70" s="49">
        <f>IFERROR(s_RadSpec!$H$20*(CP20/$B70),".")</f>
        <v>0</v>
      </c>
      <c r="CQ70" s="49">
        <f>IFERROR(s_RadSpec!$H$20*(CQ20/$B70),".")</f>
        <v>0</v>
      </c>
      <c r="CR70" s="49">
        <f>IFERROR(s_RadSpec!$H$20*(CR20/$B70),".")</f>
        <v>0</v>
      </c>
      <c r="CS70" s="49">
        <f>IFERROR(s_RadSpec!$H$20*(CS20/$B70),".")</f>
        <v>0</v>
      </c>
      <c r="CT70" s="49">
        <f>IFERROR(s_RadSpec!$H$20*(CT20/$B70),".")</f>
        <v>0</v>
      </c>
      <c r="CU70" s="49">
        <f>IFERROR(s_RadSpec!$H$20*(CU20/$B70),".")</f>
        <v>0</v>
      </c>
      <c r="CV70" s="49">
        <f>IFERROR(s_RadSpec!$H$20*(CV20/$B70),".")</f>
        <v>0</v>
      </c>
      <c r="CW70" s="49">
        <f>IFERROR(s_RadSpec!$H$20*(CW20/$B70),".")</f>
        <v>0</v>
      </c>
      <c r="CX70" s="49">
        <f>IFERROR(s_RadSpec!$H$20*(CX20/$B70),".")</f>
        <v>0</v>
      </c>
      <c r="CY70" s="49">
        <f>IFERROR(s_RadSpec!$H$20*(CY20/$B70),".")</f>
        <v>0</v>
      </c>
      <c r="CZ70" s="49">
        <f>IFERROR(s_RadSpec!$H$20*(CZ20/$B70),".")</f>
        <v>0</v>
      </c>
      <c r="DA70" s="49">
        <f>IFERROR(s_RadSpec!$H$20*(DA20/$B70),".")</f>
        <v>0</v>
      </c>
      <c r="DB70" s="49">
        <f>IFERROR(s_RadSpec!$H$20*(DB20/$B70),".")</f>
        <v>0</v>
      </c>
    </row>
    <row r="71" spans="1:106" x14ac:dyDescent="0.25">
      <c r="A71" s="83" t="s">
        <v>1092</v>
      </c>
      <c r="B71" s="42">
        <v>2.0999995799999999E-4</v>
      </c>
      <c r="C71" s="60">
        <f t="shared" ref="C71" si="258">IFERROR(C29/$B57,0)</f>
        <v>0</v>
      </c>
      <c r="D71" s="60">
        <f t="shared" ref="D71:AB71" si="259">IFERROR(D29/$B57,0)</f>
        <v>0</v>
      </c>
      <c r="E71" s="60">
        <f t="shared" si="259"/>
        <v>0</v>
      </c>
      <c r="F71" s="60">
        <f t="shared" si="259"/>
        <v>0</v>
      </c>
      <c r="G71" s="60">
        <f t="shared" si="259"/>
        <v>0</v>
      </c>
      <c r="H71" s="60">
        <f t="shared" si="259"/>
        <v>0</v>
      </c>
      <c r="I71" s="60">
        <f t="shared" si="259"/>
        <v>0</v>
      </c>
      <c r="J71" s="60">
        <f t="shared" si="259"/>
        <v>0</v>
      </c>
      <c r="K71" s="60">
        <f t="shared" si="259"/>
        <v>0</v>
      </c>
      <c r="L71" s="60">
        <f t="shared" si="259"/>
        <v>0</v>
      </c>
      <c r="M71" s="60">
        <f t="shared" si="259"/>
        <v>0</v>
      </c>
      <c r="N71" s="60">
        <f t="shared" si="259"/>
        <v>0</v>
      </c>
      <c r="O71" s="60">
        <f t="shared" si="259"/>
        <v>0</v>
      </c>
      <c r="P71" s="60">
        <f t="shared" si="259"/>
        <v>0</v>
      </c>
      <c r="Q71" s="60">
        <f t="shared" si="259"/>
        <v>0</v>
      </c>
      <c r="R71" s="60">
        <f t="shared" si="259"/>
        <v>0</v>
      </c>
      <c r="S71" s="60">
        <f t="shared" si="259"/>
        <v>0</v>
      </c>
      <c r="T71" s="60">
        <f t="shared" si="259"/>
        <v>0</v>
      </c>
      <c r="U71" s="60">
        <f t="shared" ref="U71" si="260">IFERROR(U29/$B57,0)</f>
        <v>0</v>
      </c>
      <c r="V71" s="60">
        <f t="shared" si="259"/>
        <v>0</v>
      </c>
      <c r="W71" s="60">
        <f t="shared" si="259"/>
        <v>0</v>
      </c>
      <c r="X71" s="60">
        <f t="shared" si="259"/>
        <v>0</v>
      </c>
      <c r="Y71" s="60">
        <f t="shared" si="259"/>
        <v>0</v>
      </c>
      <c r="Z71" s="60">
        <f t="shared" si="259"/>
        <v>0</v>
      </c>
      <c r="AA71" s="60">
        <f t="shared" si="259"/>
        <v>0</v>
      </c>
      <c r="AB71" s="60">
        <f t="shared" si="259"/>
        <v>0</v>
      </c>
      <c r="AC71" s="49">
        <f t="shared" si="235"/>
        <v>0</v>
      </c>
      <c r="AD71" s="49">
        <f>IFERROR(s_RadSpec!$H$29*(AD29/$B71),".")</f>
        <v>0</v>
      </c>
      <c r="AE71" s="49">
        <f>IFERROR(s_RadSpec!$H$29*(AE29/$B71),".")</f>
        <v>0</v>
      </c>
      <c r="AF71" s="49">
        <f>IFERROR(s_RadSpec!$H$29*(AF29/$B71),".")</f>
        <v>0</v>
      </c>
      <c r="AG71" s="49">
        <f>IFERROR(s_RadSpec!$H$29*(AG29/$B71),".")</f>
        <v>0</v>
      </c>
      <c r="AH71" s="49">
        <f>IFERROR(s_RadSpec!$H$29*(AH29/$B71),".")</f>
        <v>0</v>
      </c>
      <c r="AI71" s="49">
        <f>IFERROR(s_RadSpec!$H$29*(AI29/$B71),".")</f>
        <v>0</v>
      </c>
      <c r="AJ71" s="49">
        <f>IFERROR(s_RadSpec!$H$29*(AJ29/$B71),".")</f>
        <v>0</v>
      </c>
      <c r="AK71" s="49">
        <f>IFERROR(s_RadSpec!$H$29*(AK29/$B71),".")</f>
        <v>0</v>
      </c>
      <c r="AL71" s="49">
        <f>IFERROR(s_RadSpec!$H$29*(AL29/$B71),".")</f>
        <v>0</v>
      </c>
      <c r="AM71" s="49">
        <f>IFERROR(s_RadSpec!$H$29*(AM29/$B71),".")</f>
        <v>0</v>
      </c>
      <c r="AN71" s="49">
        <f>IFERROR(s_RadSpec!$H$29*(AN29/$B71),".")</f>
        <v>0</v>
      </c>
      <c r="AO71" s="49">
        <f>IFERROR(s_RadSpec!$H$29*(AO29/$B71),".")</f>
        <v>0</v>
      </c>
      <c r="AP71" s="49">
        <f>IFERROR(s_RadSpec!$H$29*(AP29/$B71),".")</f>
        <v>0</v>
      </c>
      <c r="AQ71" s="49">
        <f>IFERROR(s_RadSpec!$H$29*(AQ29/$B71),".")</f>
        <v>0</v>
      </c>
      <c r="AR71" s="49">
        <f>IFERROR(s_RadSpec!$H$29*(AR29/$B71),".")</f>
        <v>0</v>
      </c>
      <c r="AS71" s="49">
        <f>IFERROR(s_RadSpec!$H$29*(AS29/$B71),".")</f>
        <v>0</v>
      </c>
      <c r="AT71" s="49">
        <f>IFERROR(s_RadSpec!$H$29*(AT29/$B71),".")</f>
        <v>0</v>
      </c>
      <c r="AU71" s="49">
        <f>IFERROR(s_RadSpec!$H$29*(AU29/$B71),".")</f>
        <v>0</v>
      </c>
      <c r="AV71" s="49">
        <f>IFERROR(s_RadSpec!$H$29*(AV29/$B71),".")</f>
        <v>0</v>
      </c>
      <c r="AW71" s="49">
        <f>IFERROR(s_RadSpec!$H$29*(AW29/$B71),".")</f>
        <v>0</v>
      </c>
      <c r="AX71" s="49">
        <f>IFERROR(s_RadSpec!$H$29*(AX29/$B71),".")</f>
        <v>0</v>
      </c>
      <c r="AY71" s="49">
        <f>IFERROR(s_RadSpec!$H$29*(AY29/$B71),".")</f>
        <v>0</v>
      </c>
      <c r="AZ71" s="49">
        <f>IFERROR(s_RadSpec!$H$29*(AZ29/$B71),".")</f>
        <v>0</v>
      </c>
      <c r="BA71" s="49">
        <f>IFERROR(s_RadSpec!$H$29*(BA29/$B71),".")</f>
        <v>0</v>
      </c>
      <c r="BB71" s="49">
        <f>IFERROR(s_RadSpec!$H$29*(BB29/$B71),".")</f>
        <v>0</v>
      </c>
      <c r="BC71" s="60">
        <f t="shared" ref="BC71" si="261">IFERROR($B71/BC29,0)</f>
        <v>0</v>
      </c>
      <c r="BD71" s="60">
        <f t="shared" ref="BD71:CB71" si="262">IFERROR($B71/BD29,0)</f>
        <v>0</v>
      </c>
      <c r="BE71" s="60">
        <f t="shared" si="262"/>
        <v>0</v>
      </c>
      <c r="BF71" s="60">
        <f t="shared" si="262"/>
        <v>0</v>
      </c>
      <c r="BG71" s="60">
        <f t="shared" si="262"/>
        <v>0</v>
      </c>
      <c r="BH71" s="60">
        <f t="shared" si="262"/>
        <v>0</v>
      </c>
      <c r="BI71" s="60">
        <f t="shared" si="262"/>
        <v>0</v>
      </c>
      <c r="BJ71" s="60">
        <f t="shared" si="262"/>
        <v>0</v>
      </c>
      <c r="BK71" s="60">
        <f t="shared" si="262"/>
        <v>0</v>
      </c>
      <c r="BL71" s="60">
        <f t="shared" si="262"/>
        <v>0</v>
      </c>
      <c r="BM71" s="60">
        <f t="shared" si="262"/>
        <v>0</v>
      </c>
      <c r="BN71" s="60">
        <f t="shared" si="262"/>
        <v>0</v>
      </c>
      <c r="BO71" s="60">
        <f t="shared" si="262"/>
        <v>0</v>
      </c>
      <c r="BP71" s="60">
        <f t="shared" si="262"/>
        <v>0</v>
      </c>
      <c r="BQ71" s="60">
        <f t="shared" si="262"/>
        <v>0</v>
      </c>
      <c r="BR71" s="60">
        <f t="shared" si="262"/>
        <v>0</v>
      </c>
      <c r="BS71" s="60">
        <f t="shared" si="262"/>
        <v>0</v>
      </c>
      <c r="BT71" s="60">
        <f t="shared" si="262"/>
        <v>0</v>
      </c>
      <c r="BU71" s="60">
        <f t="shared" ref="BU71" si="263">IFERROR($B71/BU29,0)</f>
        <v>0</v>
      </c>
      <c r="BV71" s="60">
        <f t="shared" si="262"/>
        <v>0</v>
      </c>
      <c r="BW71" s="60">
        <f t="shared" si="262"/>
        <v>0</v>
      </c>
      <c r="BX71" s="60">
        <f t="shared" si="262"/>
        <v>0</v>
      </c>
      <c r="BY71" s="60">
        <f t="shared" si="262"/>
        <v>0</v>
      </c>
      <c r="BZ71" s="60">
        <f t="shared" si="262"/>
        <v>0</v>
      </c>
      <c r="CA71" s="60">
        <f t="shared" si="262"/>
        <v>0</v>
      </c>
      <c r="CB71" s="60">
        <f t="shared" si="262"/>
        <v>0</v>
      </c>
      <c r="CC71" s="49">
        <f t="shared" si="239"/>
        <v>0</v>
      </c>
      <c r="CD71" s="49">
        <f>IFERROR(s_RadSpec!$H$29*(CD29/$B71),".")</f>
        <v>0</v>
      </c>
      <c r="CE71" s="49">
        <f>IFERROR(s_RadSpec!$H$29*(CE29/$B71),".")</f>
        <v>0</v>
      </c>
      <c r="CF71" s="49">
        <f>IFERROR(s_RadSpec!$H$29*(CF29/$B71),".")</f>
        <v>0</v>
      </c>
      <c r="CG71" s="49">
        <f>IFERROR(s_RadSpec!$H$29*(CG29/$B71),".")</f>
        <v>0</v>
      </c>
      <c r="CH71" s="49">
        <f>IFERROR(s_RadSpec!$H$29*(CH29/$B71),".")</f>
        <v>0</v>
      </c>
      <c r="CI71" s="49">
        <f>IFERROR(s_RadSpec!$H$29*(CI29/$B71),".")</f>
        <v>0</v>
      </c>
      <c r="CJ71" s="49">
        <f>IFERROR(s_RadSpec!$H$29*(CJ29/$B71),".")</f>
        <v>0</v>
      </c>
      <c r="CK71" s="49">
        <f>IFERROR(s_RadSpec!$H$29*(CK29/$B71),".")</f>
        <v>0</v>
      </c>
      <c r="CL71" s="49">
        <f>IFERROR(s_RadSpec!$H$29*(CL29/$B71),".")</f>
        <v>0</v>
      </c>
      <c r="CM71" s="49">
        <f>IFERROR(s_RadSpec!$H$29*(CM29/$B71),".")</f>
        <v>0</v>
      </c>
      <c r="CN71" s="49">
        <f>IFERROR(s_RadSpec!$H$29*(CN29/$B71),".")</f>
        <v>0</v>
      </c>
      <c r="CO71" s="49">
        <f>IFERROR(s_RadSpec!$H$29*(CO29/$B71),".")</f>
        <v>0</v>
      </c>
      <c r="CP71" s="49">
        <f>IFERROR(s_RadSpec!$H$29*(CP29/$B71),".")</f>
        <v>0</v>
      </c>
      <c r="CQ71" s="49">
        <f>IFERROR(s_RadSpec!$H$29*(CQ29/$B71),".")</f>
        <v>0</v>
      </c>
      <c r="CR71" s="49">
        <f>IFERROR(s_RadSpec!$H$29*(CR29/$B71),".")</f>
        <v>0</v>
      </c>
      <c r="CS71" s="49">
        <f>IFERROR(s_RadSpec!$H$29*(CS29/$B71),".")</f>
        <v>0</v>
      </c>
      <c r="CT71" s="49">
        <f>IFERROR(s_RadSpec!$H$29*(CT29/$B71),".")</f>
        <v>0</v>
      </c>
      <c r="CU71" s="49">
        <f>IFERROR(s_RadSpec!$H$29*(CU29/$B71),".")</f>
        <v>0</v>
      </c>
      <c r="CV71" s="49">
        <f>IFERROR(s_RadSpec!$H$29*(CV29/$B71),".")</f>
        <v>0</v>
      </c>
      <c r="CW71" s="49">
        <f>IFERROR(s_RadSpec!$H$29*(CW29/$B71),".")</f>
        <v>0</v>
      </c>
      <c r="CX71" s="49">
        <f>IFERROR(s_RadSpec!$H$29*(CX29/$B71),".")</f>
        <v>0</v>
      </c>
      <c r="CY71" s="49">
        <f>IFERROR(s_RadSpec!$H$29*(CY29/$B71),".")</f>
        <v>0</v>
      </c>
      <c r="CZ71" s="49">
        <f>IFERROR(s_RadSpec!$H$29*(CZ29/$B71),".")</f>
        <v>0</v>
      </c>
      <c r="DA71" s="49">
        <f>IFERROR(s_RadSpec!$H$29*(DA29/$B71),".")</f>
        <v>0</v>
      </c>
      <c r="DB71" s="49">
        <f>IFERROR(s_RadSpec!$H$29*(DB29/$B71),".")</f>
        <v>0</v>
      </c>
    </row>
    <row r="72" spans="1:106" x14ac:dyDescent="0.25">
      <c r="A72" s="83" t="s">
        <v>1093</v>
      </c>
      <c r="B72" s="42">
        <v>1</v>
      </c>
      <c r="C72" s="60">
        <f t="shared" ref="C72" si="264">IFERROR(C16/$B58,0)</f>
        <v>3.1117602153716586</v>
      </c>
      <c r="D72" s="60">
        <f t="shared" ref="D72:AB72" si="265">IFERROR(D16/$B58,0)</f>
        <v>11.955779993442853</v>
      </c>
      <c r="E72" s="60">
        <f t="shared" si="265"/>
        <v>3.0049286614535511</v>
      </c>
      <c r="F72" s="60">
        <f t="shared" si="265"/>
        <v>9.8582747314353352</v>
      </c>
      <c r="G72" s="60">
        <f t="shared" si="265"/>
        <v>11.955779993442853</v>
      </c>
      <c r="H72" s="60">
        <f t="shared" si="265"/>
        <v>9.8582747314353352</v>
      </c>
      <c r="I72" s="60">
        <f t="shared" si="265"/>
        <v>3.0049286614535511</v>
      </c>
      <c r="J72" s="60">
        <f t="shared" si="265"/>
        <v>9.8582747314353352</v>
      </c>
      <c r="K72" s="60">
        <f t="shared" si="265"/>
        <v>11.955779993442853</v>
      </c>
      <c r="L72" s="60">
        <f t="shared" si="265"/>
        <v>19.112981622170548</v>
      </c>
      <c r="M72" s="60">
        <f t="shared" si="265"/>
        <v>9.8582747314353352</v>
      </c>
      <c r="N72" s="60">
        <f t="shared" si="265"/>
        <v>3.0049286614535511</v>
      </c>
      <c r="O72" s="60">
        <f t="shared" si="265"/>
        <v>14.944724991803565</v>
      </c>
      <c r="P72" s="60">
        <f t="shared" si="265"/>
        <v>9.8582747314353352</v>
      </c>
      <c r="Q72" s="60">
        <f t="shared" si="265"/>
        <v>9.8582747314353352</v>
      </c>
      <c r="R72" s="60">
        <f t="shared" si="265"/>
        <v>11.955779993442853</v>
      </c>
      <c r="S72" s="60">
        <f t="shared" si="265"/>
        <v>11.955779993442853</v>
      </c>
      <c r="T72" s="60">
        <f t="shared" si="265"/>
        <v>14.944724991803565</v>
      </c>
      <c r="U72" s="60">
        <f t="shared" ref="U72" si="266">IFERROR(U16/$B58,0)</f>
        <v>9.8582747314353352</v>
      </c>
      <c r="V72" s="60">
        <f t="shared" si="265"/>
        <v>18.730721989727137</v>
      </c>
      <c r="W72" s="60">
        <f t="shared" si="265"/>
        <v>9.8582747314353352</v>
      </c>
      <c r="X72" s="60">
        <f t="shared" si="265"/>
        <v>14.944724991803565</v>
      </c>
      <c r="Y72" s="60">
        <f t="shared" si="265"/>
        <v>11.955779993442853</v>
      </c>
      <c r="Z72" s="60">
        <f t="shared" si="265"/>
        <v>9.8582747314353352</v>
      </c>
      <c r="AA72" s="60">
        <f t="shared" si="265"/>
        <v>20.374244368811244</v>
      </c>
      <c r="AB72" s="60">
        <f t="shared" si="265"/>
        <v>11.467788973302328</v>
      </c>
      <c r="AC72" s="49">
        <f t="shared" si="235"/>
        <v>1.6068076117500001E-5</v>
      </c>
      <c r="AD72" s="49">
        <f>IFERROR(s_RadSpec!$H$16*(AD16/$B72),".")</f>
        <v>4.1820776249999998E-6</v>
      </c>
      <c r="AE72" s="49">
        <f>IFERROR(s_RadSpec!$H$16*(AE16/$B72),".")</f>
        <v>1.6639330125E-5</v>
      </c>
      <c r="AF72" s="49">
        <f>IFERROR(s_RadSpec!$H$16*(AF16/$B72),".")</f>
        <v>5.0718813750000004E-6</v>
      </c>
      <c r="AG72" s="49">
        <f>IFERROR(s_RadSpec!$H$16*(AG16/$B72),".")</f>
        <v>4.1820776249999998E-6</v>
      </c>
      <c r="AH72" s="49">
        <f>IFERROR(s_RadSpec!$H$16*(AH16/$B72),".")</f>
        <v>5.0718813750000004E-6</v>
      </c>
      <c r="AI72" s="49">
        <f>IFERROR(s_RadSpec!$H$16*(AI16/$B72),".")</f>
        <v>1.6639330125E-5</v>
      </c>
      <c r="AJ72" s="49">
        <f>IFERROR(s_RadSpec!$H$16*(AJ16/$B72),".")</f>
        <v>5.0718813750000004E-6</v>
      </c>
      <c r="AK72" s="49">
        <f>IFERROR(s_RadSpec!$H$16*(AK16/$B72),".")</f>
        <v>4.1820776249999998E-6</v>
      </c>
      <c r="AL72" s="49">
        <f>IFERROR(s_RadSpec!$H$16*(AL16/$B72),".")</f>
        <v>2.616023025E-6</v>
      </c>
      <c r="AM72" s="49">
        <f>IFERROR(s_RadSpec!$H$16*(AM16/$B72),".")</f>
        <v>5.0718813750000004E-6</v>
      </c>
      <c r="AN72" s="49">
        <f>IFERROR(s_RadSpec!$H$16*(AN16/$B72),".")</f>
        <v>1.6639330125E-5</v>
      </c>
      <c r="AO72" s="49">
        <f>IFERROR(s_RadSpec!$H$16*(AO16/$B72),".")</f>
        <v>3.3456621000000002E-6</v>
      </c>
      <c r="AP72" s="49">
        <f>IFERROR(s_RadSpec!$H$16*(AP16/$B72),".")</f>
        <v>5.0718813750000004E-6</v>
      </c>
      <c r="AQ72" s="49">
        <f>IFERROR(s_RadSpec!$H$16*(AQ16/$B72),".")</f>
        <v>5.0718813750000004E-6</v>
      </c>
      <c r="AR72" s="49">
        <f>IFERROR(s_RadSpec!$H$16*(AR16/$B72),".")</f>
        <v>4.1820776249999998E-6</v>
      </c>
      <c r="AS72" s="49">
        <f>IFERROR(s_RadSpec!$H$16*(AS16/$B72),".")</f>
        <v>4.1820776249999998E-6</v>
      </c>
      <c r="AT72" s="49">
        <f>IFERROR(s_RadSpec!$H$16*(AT16/$B72),".")</f>
        <v>3.3456621000000002E-6</v>
      </c>
      <c r="AU72" s="49">
        <f>IFERROR(s_RadSpec!$H$16*(AU16/$B72),".")</f>
        <v>5.0718813750000004E-6</v>
      </c>
      <c r="AV72" s="49">
        <f>IFERROR(s_RadSpec!$H$16*(AV16/$B72),".")</f>
        <v>2.6694112500000002E-6</v>
      </c>
      <c r="AW72" s="49">
        <f>IFERROR(s_RadSpec!$H$16*(AW16/$B72),".")</f>
        <v>5.0718813750000004E-6</v>
      </c>
      <c r="AX72" s="49">
        <f>IFERROR(s_RadSpec!$H$16*(AX16/$B72),".")</f>
        <v>3.3456621000000002E-6</v>
      </c>
      <c r="AY72" s="49">
        <f>IFERROR(s_RadSpec!$H$16*(AY16/$B72),".")</f>
        <v>4.1820776249999998E-6</v>
      </c>
      <c r="AZ72" s="49">
        <f>IFERROR(s_RadSpec!$H$16*(AZ16/$B72),".")</f>
        <v>5.0718813750000004E-6</v>
      </c>
      <c r="BA72" s="49">
        <f>IFERROR(s_RadSpec!$H$16*(BA16/$B72),".")</f>
        <v>2.4540787424999998E-6</v>
      </c>
      <c r="BB72" s="49">
        <f>IFERROR(s_RadSpec!$H$16*(BB16/$B72),".")</f>
        <v>4.3600383750000006E-6</v>
      </c>
      <c r="BC72" s="60">
        <f t="shared" ref="BC72" si="267">IFERROR($B72/BC16,0)</f>
        <v>0.32136152234999998</v>
      </c>
      <c r="BD72" s="60">
        <f t="shared" ref="BD72:CB72" si="268">IFERROR($B72/BD16,0)</f>
        <v>8.3641552499999994E-2</v>
      </c>
      <c r="BE72" s="60">
        <f t="shared" si="268"/>
        <v>0.33278660250000003</v>
      </c>
      <c r="BF72" s="60">
        <f t="shared" si="268"/>
        <v>0.10143762749999999</v>
      </c>
      <c r="BG72" s="60">
        <f t="shared" si="268"/>
        <v>8.3641552499999994E-2</v>
      </c>
      <c r="BH72" s="60">
        <f t="shared" si="268"/>
        <v>0.10143762749999999</v>
      </c>
      <c r="BI72" s="60">
        <f t="shared" si="268"/>
        <v>0.33278660250000003</v>
      </c>
      <c r="BJ72" s="60">
        <f t="shared" si="268"/>
        <v>0.10143762749999999</v>
      </c>
      <c r="BK72" s="60">
        <f t="shared" si="268"/>
        <v>8.3641552499999994E-2</v>
      </c>
      <c r="BL72" s="60">
        <f t="shared" si="268"/>
        <v>5.2320460499999999E-2</v>
      </c>
      <c r="BM72" s="60">
        <f t="shared" si="268"/>
        <v>0.10143762749999999</v>
      </c>
      <c r="BN72" s="60">
        <f t="shared" si="268"/>
        <v>0.33278660250000003</v>
      </c>
      <c r="BO72" s="60">
        <f t="shared" si="268"/>
        <v>6.6913242000000012E-2</v>
      </c>
      <c r="BP72" s="60">
        <f t="shared" si="268"/>
        <v>0.10143762749999999</v>
      </c>
      <c r="BQ72" s="60">
        <f t="shared" si="268"/>
        <v>0.10143762749999999</v>
      </c>
      <c r="BR72" s="60">
        <f t="shared" si="268"/>
        <v>8.3641552499999994E-2</v>
      </c>
      <c r="BS72" s="60">
        <f t="shared" si="268"/>
        <v>8.3641552499999994E-2</v>
      </c>
      <c r="BT72" s="60">
        <f t="shared" si="268"/>
        <v>6.6913242000000012E-2</v>
      </c>
      <c r="BU72" s="60">
        <f t="shared" ref="BU72" si="269">IFERROR($B72/BU16,0)</f>
        <v>0.10143762749999999</v>
      </c>
      <c r="BV72" s="60">
        <f t="shared" si="268"/>
        <v>5.3388224999999997E-2</v>
      </c>
      <c r="BW72" s="60">
        <f t="shared" si="268"/>
        <v>0.10143762749999999</v>
      </c>
      <c r="BX72" s="60">
        <f t="shared" si="268"/>
        <v>6.6913242000000012E-2</v>
      </c>
      <c r="BY72" s="60">
        <f t="shared" si="268"/>
        <v>8.3641552499999994E-2</v>
      </c>
      <c r="BZ72" s="60">
        <f t="shared" si="268"/>
        <v>0.10143762749999999</v>
      </c>
      <c r="CA72" s="60">
        <f t="shared" si="268"/>
        <v>4.9081574849999997E-2</v>
      </c>
      <c r="CB72" s="60">
        <f t="shared" si="268"/>
        <v>8.7200767499999998E-2</v>
      </c>
      <c r="CC72" s="49">
        <f t="shared" si="239"/>
        <v>1.6068076117500001E-5</v>
      </c>
      <c r="CD72" s="49">
        <f>IFERROR(s_RadSpec!$H$16*(CD16/$B72),".")</f>
        <v>4.1820776249999998E-6</v>
      </c>
      <c r="CE72" s="49">
        <f>IFERROR(s_RadSpec!$H$16*(CE16/$B72),".")</f>
        <v>1.6639330125E-5</v>
      </c>
      <c r="CF72" s="49">
        <f>IFERROR(s_RadSpec!$H$16*(CF16/$B72),".")</f>
        <v>5.0718813750000004E-6</v>
      </c>
      <c r="CG72" s="49">
        <f>IFERROR(s_RadSpec!$H$16*(CG16/$B72),".")</f>
        <v>4.1820776249999998E-6</v>
      </c>
      <c r="CH72" s="49">
        <f>IFERROR(s_RadSpec!$H$16*(CH16/$B72),".")</f>
        <v>5.0718813750000004E-6</v>
      </c>
      <c r="CI72" s="49">
        <f>IFERROR(s_RadSpec!$H$16*(CI16/$B72),".")</f>
        <v>1.6639330125E-5</v>
      </c>
      <c r="CJ72" s="49">
        <f>IFERROR(s_RadSpec!$H$16*(CJ16/$B72),".")</f>
        <v>5.0718813750000004E-6</v>
      </c>
      <c r="CK72" s="49">
        <f>IFERROR(s_RadSpec!$H$16*(CK16/$B72),".")</f>
        <v>4.1820776249999998E-6</v>
      </c>
      <c r="CL72" s="49">
        <f>IFERROR(s_RadSpec!$H$16*(CL16/$B72),".")</f>
        <v>2.616023025E-6</v>
      </c>
      <c r="CM72" s="49">
        <f>IFERROR(s_RadSpec!$H$16*(CM16/$B72),".")</f>
        <v>5.0718813750000004E-6</v>
      </c>
      <c r="CN72" s="49">
        <f>IFERROR(s_RadSpec!$H$16*(CN16/$B72),".")</f>
        <v>1.6639330125E-5</v>
      </c>
      <c r="CO72" s="49">
        <f>IFERROR(s_RadSpec!$H$16*(CO16/$B72),".")</f>
        <v>3.3456621000000002E-6</v>
      </c>
      <c r="CP72" s="49">
        <f>IFERROR(s_RadSpec!$H$16*(CP16/$B72),".")</f>
        <v>5.0718813750000004E-6</v>
      </c>
      <c r="CQ72" s="49">
        <f>IFERROR(s_RadSpec!$H$16*(CQ16/$B72),".")</f>
        <v>5.0718813750000004E-6</v>
      </c>
      <c r="CR72" s="49">
        <f>IFERROR(s_RadSpec!$H$16*(CR16/$B72),".")</f>
        <v>4.1820776249999998E-6</v>
      </c>
      <c r="CS72" s="49">
        <f>IFERROR(s_RadSpec!$H$16*(CS16/$B72),".")</f>
        <v>4.1820776249999998E-6</v>
      </c>
      <c r="CT72" s="49">
        <f>IFERROR(s_RadSpec!$H$16*(CT16/$B72),".")</f>
        <v>3.3456621000000002E-6</v>
      </c>
      <c r="CU72" s="49">
        <f>IFERROR(s_RadSpec!$H$16*(CU16/$B72),".")</f>
        <v>5.0718813750000004E-6</v>
      </c>
      <c r="CV72" s="49">
        <f>IFERROR(s_RadSpec!$H$16*(CV16/$B72),".")</f>
        <v>2.6694112500000002E-6</v>
      </c>
      <c r="CW72" s="49">
        <f>IFERROR(s_RadSpec!$H$16*(CW16/$B72),".")</f>
        <v>5.0718813750000004E-6</v>
      </c>
      <c r="CX72" s="49">
        <f>IFERROR(s_RadSpec!$H$16*(CX16/$B72),".")</f>
        <v>3.3456621000000002E-6</v>
      </c>
      <c r="CY72" s="49">
        <f>IFERROR(s_RadSpec!$H$16*(CY16/$B72),".")</f>
        <v>4.1820776249999998E-6</v>
      </c>
      <c r="CZ72" s="49">
        <f>IFERROR(s_RadSpec!$H$16*(CZ16/$B72),".")</f>
        <v>5.0718813750000004E-6</v>
      </c>
      <c r="DA72" s="49">
        <f>IFERROR(s_RadSpec!$H$16*(DA16/$B72),".")</f>
        <v>2.4540787424999998E-6</v>
      </c>
      <c r="DB72" s="49">
        <f>IFERROR(s_RadSpec!$H$16*(DB16/$B72),".")</f>
        <v>4.3600383750000006E-6</v>
      </c>
    </row>
    <row r="73" spans="1:106" x14ac:dyDescent="0.25">
      <c r="A73" s="83" t="s">
        <v>1094</v>
      </c>
      <c r="B73" s="42">
        <v>1</v>
      </c>
      <c r="C73" s="60">
        <f t="shared" ref="C73" si="270">IFERROR(C7/$B59,0)</f>
        <v>55.908054597390894</v>
      </c>
      <c r="D73" s="60">
        <f t="shared" ref="D73:AB73" si="271">IFERROR(D7/$B59,0)</f>
        <v>223.63221838956358</v>
      </c>
      <c r="E73" s="60">
        <f t="shared" si="271"/>
        <v>223.63221838956358</v>
      </c>
      <c r="F73" s="60">
        <f t="shared" si="271"/>
        <v>223.63221838956358</v>
      </c>
      <c r="G73" s="60">
        <f t="shared" si="271"/>
        <v>223.63221838956358</v>
      </c>
      <c r="H73" s="60">
        <f t="shared" si="271"/>
        <v>223.63221838956358</v>
      </c>
      <c r="I73" s="60">
        <f t="shared" si="271"/>
        <v>223.63221838956358</v>
      </c>
      <c r="J73" s="60">
        <f t="shared" si="271"/>
        <v>223.63221838956358</v>
      </c>
      <c r="K73" s="60">
        <f t="shared" si="271"/>
        <v>223.63221838956358</v>
      </c>
      <c r="L73" s="60">
        <f t="shared" si="271"/>
        <v>223.63221838956358</v>
      </c>
      <c r="M73" s="60">
        <f t="shared" si="271"/>
        <v>223.63221838956358</v>
      </c>
      <c r="N73" s="60">
        <f t="shared" si="271"/>
        <v>223.63221838956358</v>
      </c>
      <c r="O73" s="60">
        <f t="shared" si="271"/>
        <v>223.63221838956358</v>
      </c>
      <c r="P73" s="60">
        <f t="shared" si="271"/>
        <v>223.63221838956358</v>
      </c>
      <c r="Q73" s="60">
        <f t="shared" si="271"/>
        <v>223.63221838956358</v>
      </c>
      <c r="R73" s="60">
        <f t="shared" si="271"/>
        <v>223.63221838956358</v>
      </c>
      <c r="S73" s="60">
        <f t="shared" si="271"/>
        <v>223.63221838956358</v>
      </c>
      <c r="T73" s="60">
        <f t="shared" si="271"/>
        <v>223.63221838956358</v>
      </c>
      <c r="U73" s="60">
        <f t="shared" ref="U73" si="272">IFERROR(U7/$B59,0)</f>
        <v>223.63221838956358</v>
      </c>
      <c r="V73" s="60">
        <f t="shared" si="271"/>
        <v>223.63221838956358</v>
      </c>
      <c r="W73" s="60">
        <f t="shared" si="271"/>
        <v>223.63221838956358</v>
      </c>
      <c r="X73" s="60">
        <f t="shared" si="271"/>
        <v>223.63221838956358</v>
      </c>
      <c r="Y73" s="60">
        <f t="shared" si="271"/>
        <v>223.63221838956358</v>
      </c>
      <c r="Z73" s="60">
        <f t="shared" si="271"/>
        <v>223.63221838956358</v>
      </c>
      <c r="AA73" s="60">
        <f t="shared" si="271"/>
        <v>223.63221838956358</v>
      </c>
      <c r="AB73" s="60">
        <f t="shared" si="271"/>
        <v>223.63221838956358</v>
      </c>
      <c r="AC73" s="49">
        <f t="shared" si="235"/>
        <v>8.9432551999999999E-7</v>
      </c>
      <c r="AD73" s="49">
        <f>IFERROR(s_RadSpec!$H$7*(AD7/$B73),".")</f>
        <v>2.2358138E-7</v>
      </c>
      <c r="AE73" s="49">
        <f>IFERROR(s_RadSpec!$H$7*(AE7/$B73),".")</f>
        <v>2.2358138E-7</v>
      </c>
      <c r="AF73" s="49">
        <f>IFERROR(s_RadSpec!$H$7*(AF7/$B73),".")</f>
        <v>2.2358138E-7</v>
      </c>
      <c r="AG73" s="49">
        <f>IFERROR(s_RadSpec!$H$7*(AG7/$B73),".")</f>
        <v>2.2358138E-7</v>
      </c>
      <c r="AH73" s="49">
        <f>IFERROR(s_RadSpec!$H$7*(AH7/$B73),".")</f>
        <v>2.2358138E-7</v>
      </c>
      <c r="AI73" s="49">
        <f>IFERROR(s_RadSpec!$H$7*(AI7/$B73),".")</f>
        <v>2.2358138E-7</v>
      </c>
      <c r="AJ73" s="49">
        <f>IFERROR(s_RadSpec!$H$7*(AJ7/$B73),".")</f>
        <v>2.2358138E-7</v>
      </c>
      <c r="AK73" s="49">
        <f>IFERROR(s_RadSpec!$H$7*(AK7/$B73),".")</f>
        <v>2.2358138E-7</v>
      </c>
      <c r="AL73" s="49">
        <f>IFERROR(s_RadSpec!$H$7*(AL7/$B73),".")</f>
        <v>2.2358138E-7</v>
      </c>
      <c r="AM73" s="49">
        <f>IFERROR(s_RadSpec!$H$7*(AM7/$B73),".")</f>
        <v>2.2358138E-7</v>
      </c>
      <c r="AN73" s="49">
        <f>IFERROR(s_RadSpec!$H$7*(AN7/$B73),".")</f>
        <v>2.2358138E-7</v>
      </c>
      <c r="AO73" s="49">
        <f>IFERROR(s_RadSpec!$H$7*(AO7/$B73),".")</f>
        <v>2.2358138E-7</v>
      </c>
      <c r="AP73" s="49">
        <f>IFERROR(s_RadSpec!$H$7*(AP7/$B73),".")</f>
        <v>2.2358138E-7</v>
      </c>
      <c r="AQ73" s="49">
        <f>IFERROR(s_RadSpec!$H$7*(AQ7/$B73),".")</f>
        <v>2.2358138E-7</v>
      </c>
      <c r="AR73" s="49">
        <f>IFERROR(s_RadSpec!$H$7*(AR7/$B73),".")</f>
        <v>2.2358138E-7</v>
      </c>
      <c r="AS73" s="49">
        <f>IFERROR(s_RadSpec!$H$7*(AS7/$B73),".")</f>
        <v>2.2358138E-7</v>
      </c>
      <c r="AT73" s="49">
        <f>IFERROR(s_RadSpec!$H$7*(AT7/$B73),".")</f>
        <v>2.2358138E-7</v>
      </c>
      <c r="AU73" s="49">
        <f>IFERROR(s_RadSpec!$H$7*(AU7/$B73),".")</f>
        <v>2.2358138E-7</v>
      </c>
      <c r="AV73" s="49">
        <f>IFERROR(s_RadSpec!$H$7*(AV7/$B73),".")</f>
        <v>2.2358138E-7</v>
      </c>
      <c r="AW73" s="49">
        <f>IFERROR(s_RadSpec!$H$7*(AW7/$B73),".")</f>
        <v>2.2358138E-7</v>
      </c>
      <c r="AX73" s="49">
        <f>IFERROR(s_RadSpec!$H$7*(AX7/$B73),".")</f>
        <v>2.2358138E-7</v>
      </c>
      <c r="AY73" s="49">
        <f>IFERROR(s_RadSpec!$H$7*(AY7/$B73),".")</f>
        <v>2.2358138E-7</v>
      </c>
      <c r="AZ73" s="49">
        <f>IFERROR(s_RadSpec!$H$7*(AZ7/$B73),".")</f>
        <v>2.2358138E-7</v>
      </c>
      <c r="BA73" s="49">
        <f>IFERROR(s_RadSpec!$H$7*(BA7/$B73),".")</f>
        <v>2.2358138E-7</v>
      </c>
      <c r="BB73" s="49">
        <f>IFERROR(s_RadSpec!$H$7*(BB7/$B73),".")</f>
        <v>2.2358138E-7</v>
      </c>
      <c r="BC73" s="60">
        <f t="shared" ref="BC73" si="273">IFERROR($B73/BC7,0)</f>
        <v>1.78865104E-2</v>
      </c>
      <c r="BD73" s="60">
        <f t="shared" ref="BD73:CB73" si="274">IFERROR($B73/BD7,0)</f>
        <v>4.4716275999999999E-3</v>
      </c>
      <c r="BE73" s="60">
        <f t="shared" si="274"/>
        <v>4.4716275999999999E-3</v>
      </c>
      <c r="BF73" s="60">
        <f t="shared" si="274"/>
        <v>4.4716275999999999E-3</v>
      </c>
      <c r="BG73" s="60">
        <f t="shared" si="274"/>
        <v>4.4716275999999999E-3</v>
      </c>
      <c r="BH73" s="60">
        <f t="shared" si="274"/>
        <v>4.4716275999999999E-3</v>
      </c>
      <c r="BI73" s="60">
        <f t="shared" si="274"/>
        <v>4.4716275999999999E-3</v>
      </c>
      <c r="BJ73" s="60">
        <f t="shared" si="274"/>
        <v>4.4716275999999999E-3</v>
      </c>
      <c r="BK73" s="60">
        <f t="shared" si="274"/>
        <v>4.4716275999999999E-3</v>
      </c>
      <c r="BL73" s="60">
        <f t="shared" si="274"/>
        <v>4.4716275999999999E-3</v>
      </c>
      <c r="BM73" s="60">
        <f t="shared" si="274"/>
        <v>4.4716275999999999E-3</v>
      </c>
      <c r="BN73" s="60">
        <f t="shared" si="274"/>
        <v>4.4716275999999999E-3</v>
      </c>
      <c r="BO73" s="60">
        <f t="shared" si="274"/>
        <v>4.4716275999999999E-3</v>
      </c>
      <c r="BP73" s="60">
        <f t="shared" si="274"/>
        <v>4.4716275999999999E-3</v>
      </c>
      <c r="BQ73" s="60">
        <f t="shared" si="274"/>
        <v>4.4716275999999999E-3</v>
      </c>
      <c r="BR73" s="60">
        <f t="shared" si="274"/>
        <v>4.4716275999999999E-3</v>
      </c>
      <c r="BS73" s="60">
        <f t="shared" si="274"/>
        <v>4.4716275999999999E-3</v>
      </c>
      <c r="BT73" s="60">
        <f t="shared" si="274"/>
        <v>4.4716275999999999E-3</v>
      </c>
      <c r="BU73" s="60">
        <f t="shared" ref="BU73" si="275">IFERROR($B73/BU7,0)</f>
        <v>4.4716275999999999E-3</v>
      </c>
      <c r="BV73" s="60">
        <f t="shared" si="274"/>
        <v>4.4716275999999999E-3</v>
      </c>
      <c r="BW73" s="60">
        <f t="shared" si="274"/>
        <v>4.4716275999999999E-3</v>
      </c>
      <c r="BX73" s="60">
        <f t="shared" si="274"/>
        <v>4.4716275999999999E-3</v>
      </c>
      <c r="BY73" s="60">
        <f t="shared" si="274"/>
        <v>4.4716275999999999E-3</v>
      </c>
      <c r="BZ73" s="60">
        <f t="shared" si="274"/>
        <v>4.4716275999999999E-3</v>
      </c>
      <c r="CA73" s="60">
        <f t="shared" si="274"/>
        <v>4.4716275999999999E-3</v>
      </c>
      <c r="CB73" s="60">
        <f t="shared" si="274"/>
        <v>4.4716275999999999E-3</v>
      </c>
      <c r="CC73" s="49">
        <f t="shared" si="239"/>
        <v>8.9432551999999999E-7</v>
      </c>
      <c r="CD73" s="49">
        <f>IFERROR(s_RadSpec!$H$7*(CD7/$B73),".")</f>
        <v>2.2358138E-7</v>
      </c>
      <c r="CE73" s="49">
        <f>IFERROR(s_RadSpec!$H$7*(CE7/$B73),".")</f>
        <v>2.2358138E-7</v>
      </c>
      <c r="CF73" s="49">
        <f>IFERROR(s_RadSpec!$H$7*(CF7/$B73),".")</f>
        <v>2.2358138E-7</v>
      </c>
      <c r="CG73" s="49">
        <f>IFERROR(s_RadSpec!$H$7*(CG7/$B73),".")</f>
        <v>2.2358138E-7</v>
      </c>
      <c r="CH73" s="49">
        <f>IFERROR(s_RadSpec!$H$7*(CH7/$B73),".")</f>
        <v>2.2358138E-7</v>
      </c>
      <c r="CI73" s="49">
        <f>IFERROR(s_RadSpec!$H$7*(CI7/$B73),".")</f>
        <v>2.2358138E-7</v>
      </c>
      <c r="CJ73" s="49">
        <f>IFERROR(s_RadSpec!$H$7*(CJ7/$B73),".")</f>
        <v>2.2358138E-7</v>
      </c>
      <c r="CK73" s="49">
        <f>IFERROR(s_RadSpec!$H$7*(CK7/$B73),".")</f>
        <v>2.2358138E-7</v>
      </c>
      <c r="CL73" s="49">
        <f>IFERROR(s_RadSpec!$H$7*(CL7/$B73),".")</f>
        <v>2.2358138E-7</v>
      </c>
      <c r="CM73" s="49">
        <f>IFERROR(s_RadSpec!$H$7*(CM7/$B73),".")</f>
        <v>2.2358138E-7</v>
      </c>
      <c r="CN73" s="49">
        <f>IFERROR(s_RadSpec!$H$7*(CN7/$B73),".")</f>
        <v>2.2358138E-7</v>
      </c>
      <c r="CO73" s="49">
        <f>IFERROR(s_RadSpec!$H$7*(CO7/$B73),".")</f>
        <v>2.2358138E-7</v>
      </c>
      <c r="CP73" s="49">
        <f>IFERROR(s_RadSpec!$H$7*(CP7/$B73),".")</f>
        <v>2.2358138E-7</v>
      </c>
      <c r="CQ73" s="49">
        <f>IFERROR(s_RadSpec!$H$7*(CQ7/$B73),".")</f>
        <v>2.2358138E-7</v>
      </c>
      <c r="CR73" s="49">
        <f>IFERROR(s_RadSpec!$H$7*(CR7/$B73),".")</f>
        <v>2.2358138E-7</v>
      </c>
      <c r="CS73" s="49">
        <f>IFERROR(s_RadSpec!$H$7*(CS7/$B73),".")</f>
        <v>2.2358138E-7</v>
      </c>
      <c r="CT73" s="49">
        <f>IFERROR(s_RadSpec!$H$7*(CT7/$B73),".")</f>
        <v>2.2358138E-7</v>
      </c>
      <c r="CU73" s="49">
        <f>IFERROR(s_RadSpec!$H$7*(CU7/$B73),".")</f>
        <v>2.2358138E-7</v>
      </c>
      <c r="CV73" s="49">
        <f>IFERROR(s_RadSpec!$H$7*(CV7/$B73),".")</f>
        <v>2.2358138E-7</v>
      </c>
      <c r="CW73" s="49">
        <f>IFERROR(s_RadSpec!$H$7*(CW7/$B73),".")</f>
        <v>2.2358138E-7</v>
      </c>
      <c r="CX73" s="49">
        <f>IFERROR(s_RadSpec!$H$7*(CX7/$B73),".")</f>
        <v>2.2358138E-7</v>
      </c>
      <c r="CY73" s="49">
        <f>IFERROR(s_RadSpec!$H$7*(CY7/$B73),".")</f>
        <v>2.2358138E-7</v>
      </c>
      <c r="CZ73" s="49">
        <f>IFERROR(s_RadSpec!$H$7*(CZ7/$B73),".")</f>
        <v>2.2358138E-7</v>
      </c>
      <c r="DA73" s="49">
        <f>IFERROR(s_RadSpec!$H$7*(DA7/$B73),".")</f>
        <v>2.2358138E-7</v>
      </c>
      <c r="DB73" s="49">
        <f>IFERROR(s_RadSpec!$H$7*(DB7/$B73),".")</f>
        <v>2.2358138E-7</v>
      </c>
    </row>
    <row r="74" spans="1:106" x14ac:dyDescent="0.25">
      <c r="A74" s="83" t="s">
        <v>1095</v>
      </c>
      <c r="B74" s="86">
        <v>1.9000000000000001E-8</v>
      </c>
      <c r="C74" s="60">
        <f t="shared" ref="C74" si="276">IFERROR(C12/$B60,0)</f>
        <v>0</v>
      </c>
      <c r="D74" s="60">
        <f t="shared" ref="D74:AB74" si="277">IFERROR(D12/$B60,0)</f>
        <v>0</v>
      </c>
      <c r="E74" s="60">
        <f t="shared" si="277"/>
        <v>0</v>
      </c>
      <c r="F74" s="60">
        <f t="shared" si="277"/>
        <v>0</v>
      </c>
      <c r="G74" s="60">
        <f t="shared" si="277"/>
        <v>0</v>
      </c>
      <c r="H74" s="60">
        <f t="shared" si="277"/>
        <v>0</v>
      </c>
      <c r="I74" s="60">
        <f t="shared" si="277"/>
        <v>0</v>
      </c>
      <c r="J74" s="60">
        <f t="shared" si="277"/>
        <v>0</v>
      </c>
      <c r="K74" s="60">
        <f t="shared" si="277"/>
        <v>0</v>
      </c>
      <c r="L74" s="60">
        <f t="shared" si="277"/>
        <v>0</v>
      </c>
      <c r="M74" s="60">
        <f t="shared" si="277"/>
        <v>0</v>
      </c>
      <c r="N74" s="60">
        <f t="shared" si="277"/>
        <v>0</v>
      </c>
      <c r="O74" s="60">
        <f t="shared" si="277"/>
        <v>0</v>
      </c>
      <c r="P74" s="60">
        <f t="shared" si="277"/>
        <v>0</v>
      </c>
      <c r="Q74" s="60">
        <f t="shared" si="277"/>
        <v>0</v>
      </c>
      <c r="R74" s="60">
        <f t="shared" si="277"/>
        <v>0</v>
      </c>
      <c r="S74" s="60">
        <f t="shared" si="277"/>
        <v>0</v>
      </c>
      <c r="T74" s="60">
        <f t="shared" si="277"/>
        <v>0</v>
      </c>
      <c r="U74" s="60">
        <f t="shared" ref="U74" si="278">IFERROR(U12/$B60,0)</f>
        <v>0</v>
      </c>
      <c r="V74" s="60">
        <f t="shared" si="277"/>
        <v>0</v>
      </c>
      <c r="W74" s="60">
        <f t="shared" si="277"/>
        <v>0</v>
      </c>
      <c r="X74" s="60">
        <f t="shared" si="277"/>
        <v>0</v>
      </c>
      <c r="Y74" s="60">
        <f t="shared" si="277"/>
        <v>0</v>
      </c>
      <c r="Z74" s="60">
        <f t="shared" si="277"/>
        <v>0</v>
      </c>
      <c r="AA74" s="60">
        <f t="shared" si="277"/>
        <v>0</v>
      </c>
      <c r="AB74" s="60">
        <f t="shared" si="277"/>
        <v>0</v>
      </c>
      <c r="AC74" s="49">
        <f t="shared" si="235"/>
        <v>0</v>
      </c>
      <c r="AD74" s="49">
        <f>IFERROR(s_RadSpec!$H$12*(AD12/$B74),".")</f>
        <v>0</v>
      </c>
      <c r="AE74" s="49">
        <f>IFERROR(s_RadSpec!$H$12*(AE12/$B74),".")</f>
        <v>0</v>
      </c>
      <c r="AF74" s="49">
        <f>IFERROR(s_RadSpec!$H$12*(AF12/$B74),".")</f>
        <v>0</v>
      </c>
      <c r="AG74" s="49">
        <f>IFERROR(s_RadSpec!$H$12*(AG12/$B74),".")</f>
        <v>0</v>
      </c>
      <c r="AH74" s="49">
        <f>IFERROR(s_RadSpec!$H$12*(AH12/$B74),".")</f>
        <v>0</v>
      </c>
      <c r="AI74" s="49">
        <f>IFERROR(s_RadSpec!$H$12*(AI12/$B74),".")</f>
        <v>0</v>
      </c>
      <c r="AJ74" s="49">
        <f>IFERROR(s_RadSpec!$H$12*(AJ12/$B74),".")</f>
        <v>0</v>
      </c>
      <c r="AK74" s="49">
        <f>IFERROR(s_RadSpec!$H$12*(AK12/$B74),".")</f>
        <v>0</v>
      </c>
      <c r="AL74" s="49">
        <f>IFERROR(s_RadSpec!$H$12*(AL12/$B74),".")</f>
        <v>0</v>
      </c>
      <c r="AM74" s="49">
        <f>IFERROR(s_RadSpec!$H$12*(AM12/$B74),".")</f>
        <v>0</v>
      </c>
      <c r="AN74" s="49">
        <f>IFERROR(s_RadSpec!$H$12*(AN12/$B74),".")</f>
        <v>0</v>
      </c>
      <c r="AO74" s="49">
        <f>IFERROR(s_RadSpec!$H$12*(AO12/$B74),".")</f>
        <v>0</v>
      </c>
      <c r="AP74" s="49">
        <f>IFERROR(s_RadSpec!$H$12*(AP12/$B74),".")</f>
        <v>0</v>
      </c>
      <c r="AQ74" s="49">
        <f>IFERROR(s_RadSpec!$H$12*(AQ12/$B74),".")</f>
        <v>0</v>
      </c>
      <c r="AR74" s="49">
        <f>IFERROR(s_RadSpec!$H$12*(AR12/$B74),".")</f>
        <v>0</v>
      </c>
      <c r="AS74" s="49">
        <f>IFERROR(s_RadSpec!$H$12*(AS12/$B74),".")</f>
        <v>0</v>
      </c>
      <c r="AT74" s="49">
        <f>IFERROR(s_RadSpec!$H$12*(AT12/$B74),".")</f>
        <v>0</v>
      </c>
      <c r="AU74" s="49">
        <f>IFERROR(s_RadSpec!$H$12*(AU12/$B74),".")</f>
        <v>0</v>
      </c>
      <c r="AV74" s="49">
        <f>IFERROR(s_RadSpec!$H$12*(AV12/$B74),".")</f>
        <v>0</v>
      </c>
      <c r="AW74" s="49">
        <f>IFERROR(s_RadSpec!$H$12*(AW12/$B74),".")</f>
        <v>0</v>
      </c>
      <c r="AX74" s="49">
        <f>IFERROR(s_RadSpec!$H$12*(AX12/$B74),".")</f>
        <v>0</v>
      </c>
      <c r="AY74" s="49">
        <f>IFERROR(s_RadSpec!$H$12*(AY12/$B74),".")</f>
        <v>0</v>
      </c>
      <c r="AZ74" s="49">
        <f>IFERROR(s_RadSpec!$H$12*(AZ12/$B74),".")</f>
        <v>0</v>
      </c>
      <c r="BA74" s="49">
        <f>IFERROR(s_RadSpec!$H$12*(BA12/$B74),".")</f>
        <v>0</v>
      </c>
      <c r="BB74" s="49">
        <f>IFERROR(s_RadSpec!$H$12*(BB12/$B74),".")</f>
        <v>0</v>
      </c>
      <c r="BC74" s="60">
        <f t="shared" ref="BC74" si="279">IFERROR($B74/BC12,0)</f>
        <v>0</v>
      </c>
      <c r="BD74" s="60">
        <f t="shared" ref="BD74:CB74" si="280">IFERROR($B74/BD12,0)</f>
        <v>0</v>
      </c>
      <c r="BE74" s="60">
        <f t="shared" si="280"/>
        <v>0</v>
      </c>
      <c r="BF74" s="60">
        <f t="shared" si="280"/>
        <v>0</v>
      </c>
      <c r="BG74" s="60">
        <f t="shared" si="280"/>
        <v>0</v>
      </c>
      <c r="BH74" s="60">
        <f t="shared" si="280"/>
        <v>0</v>
      </c>
      <c r="BI74" s="60">
        <f t="shared" si="280"/>
        <v>0</v>
      </c>
      <c r="BJ74" s="60">
        <f t="shared" si="280"/>
        <v>0</v>
      </c>
      <c r="BK74" s="60">
        <f t="shared" si="280"/>
        <v>0</v>
      </c>
      <c r="BL74" s="60">
        <f t="shared" si="280"/>
        <v>0</v>
      </c>
      <c r="BM74" s="60">
        <f t="shared" si="280"/>
        <v>0</v>
      </c>
      <c r="BN74" s="60">
        <f t="shared" si="280"/>
        <v>0</v>
      </c>
      <c r="BO74" s="60">
        <f t="shared" si="280"/>
        <v>0</v>
      </c>
      <c r="BP74" s="60">
        <f t="shared" si="280"/>
        <v>0</v>
      </c>
      <c r="BQ74" s="60">
        <f t="shared" si="280"/>
        <v>0</v>
      </c>
      <c r="BR74" s="60">
        <f t="shared" si="280"/>
        <v>0</v>
      </c>
      <c r="BS74" s="60">
        <f t="shared" si="280"/>
        <v>0</v>
      </c>
      <c r="BT74" s="60">
        <f t="shared" si="280"/>
        <v>0</v>
      </c>
      <c r="BU74" s="60">
        <f t="shared" ref="BU74" si="281">IFERROR($B74/BU12,0)</f>
        <v>0</v>
      </c>
      <c r="BV74" s="60">
        <f t="shared" si="280"/>
        <v>0</v>
      </c>
      <c r="BW74" s="60">
        <f t="shared" si="280"/>
        <v>0</v>
      </c>
      <c r="BX74" s="60">
        <f t="shared" si="280"/>
        <v>0</v>
      </c>
      <c r="BY74" s="60">
        <f t="shared" si="280"/>
        <v>0</v>
      </c>
      <c r="BZ74" s="60">
        <f t="shared" si="280"/>
        <v>0</v>
      </c>
      <c r="CA74" s="60">
        <f t="shared" si="280"/>
        <v>0</v>
      </c>
      <c r="CB74" s="60">
        <f t="shared" si="280"/>
        <v>0</v>
      </c>
      <c r="CC74" s="49">
        <f t="shared" si="239"/>
        <v>0</v>
      </c>
      <c r="CD74" s="49">
        <f>IFERROR(s_RadSpec!$H$12*(CD12/$B74),".")</f>
        <v>0</v>
      </c>
      <c r="CE74" s="49">
        <f>IFERROR(s_RadSpec!$H$12*(CE12/$B74),".")</f>
        <v>0</v>
      </c>
      <c r="CF74" s="49">
        <f>IFERROR(s_RadSpec!$H$12*(CF12/$B74),".")</f>
        <v>0</v>
      </c>
      <c r="CG74" s="49">
        <f>IFERROR(s_RadSpec!$H$12*(CG12/$B74),".")</f>
        <v>0</v>
      </c>
      <c r="CH74" s="49">
        <f>IFERROR(s_RadSpec!$H$12*(CH12/$B74),".")</f>
        <v>0</v>
      </c>
      <c r="CI74" s="49">
        <f>IFERROR(s_RadSpec!$H$12*(CI12/$B74),".")</f>
        <v>0</v>
      </c>
      <c r="CJ74" s="49">
        <f>IFERROR(s_RadSpec!$H$12*(CJ12/$B74),".")</f>
        <v>0</v>
      </c>
      <c r="CK74" s="49">
        <f>IFERROR(s_RadSpec!$H$12*(CK12/$B74),".")</f>
        <v>0</v>
      </c>
      <c r="CL74" s="49">
        <f>IFERROR(s_RadSpec!$H$12*(CL12/$B74),".")</f>
        <v>0</v>
      </c>
      <c r="CM74" s="49">
        <f>IFERROR(s_RadSpec!$H$12*(CM12/$B74),".")</f>
        <v>0</v>
      </c>
      <c r="CN74" s="49">
        <f>IFERROR(s_RadSpec!$H$12*(CN12/$B74),".")</f>
        <v>0</v>
      </c>
      <c r="CO74" s="49">
        <f>IFERROR(s_RadSpec!$H$12*(CO12/$B74),".")</f>
        <v>0</v>
      </c>
      <c r="CP74" s="49">
        <f>IFERROR(s_RadSpec!$H$12*(CP12/$B74),".")</f>
        <v>0</v>
      </c>
      <c r="CQ74" s="49">
        <f>IFERROR(s_RadSpec!$H$12*(CQ12/$B74),".")</f>
        <v>0</v>
      </c>
      <c r="CR74" s="49">
        <f>IFERROR(s_RadSpec!$H$12*(CR12/$B74),".")</f>
        <v>0</v>
      </c>
      <c r="CS74" s="49">
        <f>IFERROR(s_RadSpec!$H$12*(CS12/$B74),".")</f>
        <v>0</v>
      </c>
      <c r="CT74" s="49">
        <f>IFERROR(s_RadSpec!$H$12*(CT12/$B74),".")</f>
        <v>0</v>
      </c>
      <c r="CU74" s="49">
        <f>IFERROR(s_RadSpec!$H$12*(CU12/$B74),".")</f>
        <v>0</v>
      </c>
      <c r="CV74" s="49">
        <f>IFERROR(s_RadSpec!$H$12*(CV12/$B74),".")</f>
        <v>0</v>
      </c>
      <c r="CW74" s="49">
        <f>IFERROR(s_RadSpec!$H$12*(CW12/$B74),".")</f>
        <v>0</v>
      </c>
      <c r="CX74" s="49">
        <f>IFERROR(s_RadSpec!$H$12*(CX12/$B74),".")</f>
        <v>0</v>
      </c>
      <c r="CY74" s="49">
        <f>IFERROR(s_RadSpec!$H$12*(CY12/$B74),".")</f>
        <v>0</v>
      </c>
      <c r="CZ74" s="49">
        <f>IFERROR(s_RadSpec!$H$12*(CZ12/$B74),".")</f>
        <v>0</v>
      </c>
      <c r="DA74" s="49">
        <f>IFERROR(s_RadSpec!$H$12*(DA12/$B74),".")</f>
        <v>0</v>
      </c>
      <c r="DB74" s="49">
        <f>IFERROR(s_RadSpec!$H$12*(DB12/$B74),".")</f>
        <v>0</v>
      </c>
    </row>
    <row r="75" spans="1:106" x14ac:dyDescent="0.25">
      <c r="A75" s="83" t="s">
        <v>1096</v>
      </c>
      <c r="B75" s="42">
        <v>1</v>
      </c>
      <c r="C75" s="60">
        <f t="shared" ref="C75" si="282">IFERROR(C18/$B61,0)</f>
        <v>2.1689623101486384</v>
      </c>
      <c r="D75" s="60">
        <f t="shared" ref="D75:AB75" si="283">IFERROR(D18/$B61,0)</f>
        <v>10.708657712295906</v>
      </c>
      <c r="E75" s="60">
        <f t="shared" si="283"/>
        <v>7.0195507492083209</v>
      </c>
      <c r="F75" s="60">
        <f t="shared" si="283"/>
        <v>7.6014824175364737</v>
      </c>
      <c r="G75" s="60">
        <f t="shared" si="283"/>
        <v>10.708657712295906</v>
      </c>
      <c r="H75" s="60">
        <f t="shared" si="283"/>
        <v>10.708657712295906</v>
      </c>
      <c r="I75" s="60">
        <f t="shared" si="283"/>
        <v>7.0195507492083209</v>
      </c>
      <c r="J75" s="60">
        <f t="shared" si="283"/>
        <v>7.6014824175364737</v>
      </c>
      <c r="K75" s="60">
        <f t="shared" si="283"/>
        <v>10.708657712295906</v>
      </c>
      <c r="L75" s="60">
        <f t="shared" si="283"/>
        <v>10.677482580673502</v>
      </c>
      <c r="M75" s="60">
        <f t="shared" si="283"/>
        <v>10.708657712295906</v>
      </c>
      <c r="N75" s="60">
        <f t="shared" si="283"/>
        <v>7.0195507492083209</v>
      </c>
      <c r="O75" s="60">
        <f t="shared" si="283"/>
        <v>10.654220091390989</v>
      </c>
      <c r="P75" s="60">
        <f t="shared" si="283"/>
        <v>10.708657712295906</v>
      </c>
      <c r="Q75" s="60">
        <f t="shared" si="283"/>
        <v>7.6014824175364737</v>
      </c>
      <c r="R75" s="60">
        <f t="shared" si="283"/>
        <v>10.708657712295906</v>
      </c>
      <c r="S75" s="60">
        <f t="shared" si="283"/>
        <v>10.708657712295906</v>
      </c>
      <c r="T75" s="60">
        <f t="shared" si="283"/>
        <v>10.654220091390989</v>
      </c>
      <c r="U75" s="60">
        <f t="shared" ref="U75" si="284">IFERROR(U18/$B61,0)</f>
        <v>10.708657712295906</v>
      </c>
      <c r="V75" s="60">
        <f t="shared" si="283"/>
        <v>9.0560870776823403</v>
      </c>
      <c r="W75" s="60">
        <f t="shared" si="283"/>
        <v>10.708657712295906</v>
      </c>
      <c r="X75" s="60">
        <f t="shared" si="283"/>
        <v>10.654220091390989</v>
      </c>
      <c r="Y75" s="60">
        <f t="shared" si="283"/>
        <v>10.708657712295906</v>
      </c>
      <c r="Z75" s="60">
        <f t="shared" si="283"/>
        <v>10.708657712295906</v>
      </c>
      <c r="AA75" s="60">
        <f t="shared" si="283"/>
        <v>5.5361739871114688</v>
      </c>
      <c r="AB75" s="60">
        <f t="shared" si="283"/>
        <v>10.677482580673502</v>
      </c>
      <c r="AC75" s="49">
        <f t="shared" si="235"/>
        <v>2.3052498314999997E-5</v>
      </c>
      <c r="AD75" s="49">
        <f>IFERROR(s_RadSpec!$H$18*(AD18/$B75),".")</f>
        <v>4.6691192624999998E-6</v>
      </c>
      <c r="AE75" s="49">
        <f>IFERROR(s_RadSpec!$H$18*(AE18/$B75),".")</f>
        <v>7.1229629625000014E-6</v>
      </c>
      <c r="AF75" s="49">
        <f>IFERROR(s_RadSpec!$H$18*(AF18/$B75),".")</f>
        <v>6.5776643624999991E-6</v>
      </c>
      <c r="AG75" s="49">
        <f>IFERROR(s_RadSpec!$H$18*(AG18/$B75),".")</f>
        <v>4.6691192624999998E-6</v>
      </c>
      <c r="AH75" s="49">
        <f>IFERROR(s_RadSpec!$H$18*(AH18/$B75),".")</f>
        <v>4.6691192624999998E-6</v>
      </c>
      <c r="AI75" s="49">
        <f>IFERROR(s_RadSpec!$H$18*(AI18/$B75),".")</f>
        <v>7.1229629625000014E-6</v>
      </c>
      <c r="AJ75" s="49">
        <f>IFERROR(s_RadSpec!$H$18*(AJ18/$B75),".")</f>
        <v>6.5776643624999991E-6</v>
      </c>
      <c r="AK75" s="49">
        <f>IFERROR(s_RadSpec!$H$18*(AK18/$B75),".")</f>
        <v>4.6691192624999998E-6</v>
      </c>
      <c r="AL75" s="49">
        <f>IFERROR(s_RadSpec!$H$18*(AL18/$B75),".")</f>
        <v>4.6827517274999995E-6</v>
      </c>
      <c r="AM75" s="49">
        <f>IFERROR(s_RadSpec!$H$18*(AM18/$B75),".")</f>
        <v>4.6691192624999998E-6</v>
      </c>
      <c r="AN75" s="49">
        <f>IFERROR(s_RadSpec!$H$18*(AN18/$B75),".")</f>
        <v>7.1229629625000014E-6</v>
      </c>
      <c r="AO75" s="49">
        <f>IFERROR(s_RadSpec!$H$18*(AO18/$B75),".")</f>
        <v>4.6929760762499991E-6</v>
      </c>
      <c r="AP75" s="49">
        <f>IFERROR(s_RadSpec!$H$18*(AP18/$B75),".")</f>
        <v>4.6691192624999998E-6</v>
      </c>
      <c r="AQ75" s="49">
        <f>IFERROR(s_RadSpec!$H$18*(AQ18/$B75),".")</f>
        <v>6.5776643624999991E-6</v>
      </c>
      <c r="AR75" s="49">
        <f>IFERROR(s_RadSpec!$H$18*(AR18/$B75),".")</f>
        <v>4.6691192624999998E-6</v>
      </c>
      <c r="AS75" s="49">
        <f>IFERROR(s_RadSpec!$H$18*(AS18/$B75),".")</f>
        <v>4.6691192624999998E-6</v>
      </c>
      <c r="AT75" s="49">
        <f>IFERROR(s_RadSpec!$H$18*(AT18/$B75),".")</f>
        <v>4.6929760762499991E-6</v>
      </c>
      <c r="AU75" s="49">
        <f>IFERROR(s_RadSpec!$H$18*(AU18/$B75),".")</f>
        <v>4.6691192624999998E-6</v>
      </c>
      <c r="AV75" s="49">
        <f>IFERROR(s_RadSpec!$H$18*(AV18/$B75),".")</f>
        <v>5.5211483249999994E-6</v>
      </c>
      <c r="AW75" s="49">
        <f>IFERROR(s_RadSpec!$H$18*(AW18/$B75),".")</f>
        <v>4.6691192624999998E-6</v>
      </c>
      <c r="AX75" s="49">
        <f>IFERROR(s_RadSpec!$H$18*(AX18/$B75),".")</f>
        <v>4.6929760762499991E-6</v>
      </c>
      <c r="AY75" s="49">
        <f>IFERROR(s_RadSpec!$H$18*(AY18/$B75),".")</f>
        <v>4.6691192624999998E-6</v>
      </c>
      <c r="AZ75" s="49">
        <f>IFERROR(s_RadSpec!$H$18*(AZ18/$B75),".")</f>
        <v>4.6691192624999998E-6</v>
      </c>
      <c r="BA75" s="49">
        <f>IFERROR(s_RadSpec!$H$18*(BA18/$B75),".")</f>
        <v>9.0315080624999998E-6</v>
      </c>
      <c r="BB75" s="49">
        <f>IFERROR(s_RadSpec!$H$18*(BB18/$B75),".")</f>
        <v>4.6827517274999995E-6</v>
      </c>
      <c r="BC75" s="60">
        <f t="shared" ref="BC75" si="285">IFERROR($B75/BC18,0)</f>
        <v>0.46104996630000006</v>
      </c>
      <c r="BD75" s="60">
        <f t="shared" ref="BD75:CB75" si="286">IFERROR($B75/BD18,0)</f>
        <v>9.3382385250000005E-2</v>
      </c>
      <c r="BE75" s="60">
        <f t="shared" si="286"/>
        <v>0.14245925925000003</v>
      </c>
      <c r="BF75" s="60">
        <f t="shared" si="286"/>
        <v>0.13155328724999998</v>
      </c>
      <c r="BG75" s="60">
        <f t="shared" si="286"/>
        <v>9.3382385250000005E-2</v>
      </c>
      <c r="BH75" s="60">
        <f t="shared" si="286"/>
        <v>9.3382385250000005E-2</v>
      </c>
      <c r="BI75" s="60">
        <f t="shared" si="286"/>
        <v>0.14245925925000003</v>
      </c>
      <c r="BJ75" s="60">
        <f t="shared" si="286"/>
        <v>0.13155328724999998</v>
      </c>
      <c r="BK75" s="60">
        <f t="shared" si="286"/>
        <v>9.3382385250000005E-2</v>
      </c>
      <c r="BL75" s="60">
        <f t="shared" si="286"/>
        <v>9.3655034550000002E-2</v>
      </c>
      <c r="BM75" s="60">
        <f t="shared" si="286"/>
        <v>9.3382385250000005E-2</v>
      </c>
      <c r="BN75" s="60">
        <f t="shared" si="286"/>
        <v>0.14245925925000003</v>
      </c>
      <c r="BO75" s="60">
        <f t="shared" si="286"/>
        <v>9.3859521524999989E-2</v>
      </c>
      <c r="BP75" s="60">
        <f t="shared" si="286"/>
        <v>9.3382385250000005E-2</v>
      </c>
      <c r="BQ75" s="60">
        <f t="shared" si="286"/>
        <v>0.13155328724999998</v>
      </c>
      <c r="BR75" s="60">
        <f t="shared" si="286"/>
        <v>9.3382385250000005E-2</v>
      </c>
      <c r="BS75" s="60">
        <f t="shared" si="286"/>
        <v>9.3382385250000005E-2</v>
      </c>
      <c r="BT75" s="60">
        <f t="shared" si="286"/>
        <v>9.3859521524999989E-2</v>
      </c>
      <c r="BU75" s="60">
        <f t="shared" ref="BU75" si="287">IFERROR($B75/BU18,0)</f>
        <v>9.3382385250000005E-2</v>
      </c>
      <c r="BV75" s="60">
        <f t="shared" si="286"/>
        <v>0.1104229665</v>
      </c>
      <c r="BW75" s="60">
        <f t="shared" si="286"/>
        <v>9.3382385250000005E-2</v>
      </c>
      <c r="BX75" s="60">
        <f t="shared" si="286"/>
        <v>9.3859521524999989E-2</v>
      </c>
      <c r="BY75" s="60">
        <f t="shared" si="286"/>
        <v>9.3382385250000005E-2</v>
      </c>
      <c r="BZ75" s="60">
        <f t="shared" si="286"/>
        <v>9.3382385250000005E-2</v>
      </c>
      <c r="CA75" s="60">
        <f t="shared" si="286"/>
        <v>0.18063016125</v>
      </c>
      <c r="CB75" s="60">
        <f t="shared" si="286"/>
        <v>9.3655034550000002E-2</v>
      </c>
      <c r="CC75" s="49">
        <f t="shared" si="239"/>
        <v>2.3052498314999997E-5</v>
      </c>
      <c r="CD75" s="49">
        <f>IFERROR(s_RadSpec!$H$18*(CD18/$B75),".")</f>
        <v>4.6691192624999998E-6</v>
      </c>
      <c r="CE75" s="49">
        <f>IFERROR(s_RadSpec!$H$18*(CE18/$B75),".")</f>
        <v>7.1229629625000014E-6</v>
      </c>
      <c r="CF75" s="49">
        <f>IFERROR(s_RadSpec!$H$18*(CF18/$B75),".")</f>
        <v>6.5776643624999991E-6</v>
      </c>
      <c r="CG75" s="49">
        <f>IFERROR(s_RadSpec!$H$18*(CG18/$B75),".")</f>
        <v>4.6691192624999998E-6</v>
      </c>
      <c r="CH75" s="49">
        <f>IFERROR(s_RadSpec!$H$18*(CH18/$B75),".")</f>
        <v>4.6691192624999998E-6</v>
      </c>
      <c r="CI75" s="49">
        <f>IFERROR(s_RadSpec!$H$18*(CI18/$B75),".")</f>
        <v>7.1229629625000014E-6</v>
      </c>
      <c r="CJ75" s="49">
        <f>IFERROR(s_RadSpec!$H$18*(CJ18/$B75),".")</f>
        <v>6.5776643624999991E-6</v>
      </c>
      <c r="CK75" s="49">
        <f>IFERROR(s_RadSpec!$H$18*(CK18/$B75),".")</f>
        <v>4.6691192624999998E-6</v>
      </c>
      <c r="CL75" s="49">
        <f>IFERROR(s_RadSpec!$H$18*(CL18/$B75),".")</f>
        <v>4.6827517274999995E-6</v>
      </c>
      <c r="CM75" s="49">
        <f>IFERROR(s_RadSpec!$H$18*(CM18/$B75),".")</f>
        <v>4.6691192624999998E-6</v>
      </c>
      <c r="CN75" s="49">
        <f>IFERROR(s_RadSpec!$H$18*(CN18/$B75),".")</f>
        <v>7.1229629625000014E-6</v>
      </c>
      <c r="CO75" s="49">
        <f>IFERROR(s_RadSpec!$H$18*(CO18/$B75),".")</f>
        <v>4.6929760762499991E-6</v>
      </c>
      <c r="CP75" s="49">
        <f>IFERROR(s_RadSpec!$H$18*(CP18/$B75),".")</f>
        <v>4.6691192624999998E-6</v>
      </c>
      <c r="CQ75" s="49">
        <f>IFERROR(s_RadSpec!$H$18*(CQ18/$B75),".")</f>
        <v>6.5776643624999991E-6</v>
      </c>
      <c r="CR75" s="49">
        <f>IFERROR(s_RadSpec!$H$18*(CR18/$B75),".")</f>
        <v>4.6691192624999998E-6</v>
      </c>
      <c r="CS75" s="49">
        <f>IFERROR(s_RadSpec!$H$18*(CS18/$B75),".")</f>
        <v>4.6691192624999998E-6</v>
      </c>
      <c r="CT75" s="49">
        <f>IFERROR(s_RadSpec!$H$18*(CT18/$B75),".")</f>
        <v>4.6929760762499991E-6</v>
      </c>
      <c r="CU75" s="49">
        <f>IFERROR(s_RadSpec!$H$18*(CU18/$B75),".")</f>
        <v>4.6691192624999998E-6</v>
      </c>
      <c r="CV75" s="49">
        <f>IFERROR(s_RadSpec!$H$18*(CV18/$B75),".")</f>
        <v>5.5211483249999994E-6</v>
      </c>
      <c r="CW75" s="49">
        <f>IFERROR(s_RadSpec!$H$18*(CW18/$B75),".")</f>
        <v>4.6691192624999998E-6</v>
      </c>
      <c r="CX75" s="49">
        <f>IFERROR(s_RadSpec!$H$18*(CX18/$B75),".")</f>
        <v>4.6929760762499991E-6</v>
      </c>
      <c r="CY75" s="49">
        <f>IFERROR(s_RadSpec!$H$18*(CY18/$B75),".")</f>
        <v>4.6691192624999998E-6</v>
      </c>
      <c r="CZ75" s="49">
        <f>IFERROR(s_RadSpec!$H$18*(CZ18/$B75),".")</f>
        <v>4.6691192624999998E-6</v>
      </c>
      <c r="DA75" s="49">
        <f>IFERROR(s_RadSpec!$H$18*(DA18/$B75),".")</f>
        <v>9.0315080624999998E-6</v>
      </c>
      <c r="DB75" s="49">
        <f>IFERROR(s_RadSpec!$H$18*(DB18/$B75),".")</f>
        <v>4.6827517274999995E-6</v>
      </c>
    </row>
    <row r="76" spans="1:106" x14ac:dyDescent="0.25">
      <c r="A76" s="83" t="s">
        <v>1097</v>
      </c>
      <c r="B76" s="42">
        <v>1.339E-6</v>
      </c>
      <c r="C76" s="60">
        <f t="shared" ref="C76" si="288">IFERROR(C27/$B62,0)</f>
        <v>0</v>
      </c>
      <c r="D76" s="60">
        <f t="shared" ref="D76:AB76" si="289">IFERROR(D27/$B62,0)</f>
        <v>0</v>
      </c>
      <c r="E76" s="60">
        <f t="shared" si="289"/>
        <v>0</v>
      </c>
      <c r="F76" s="60">
        <f t="shared" si="289"/>
        <v>0</v>
      </c>
      <c r="G76" s="60">
        <f t="shared" si="289"/>
        <v>0</v>
      </c>
      <c r="H76" s="60">
        <f t="shared" si="289"/>
        <v>0</v>
      </c>
      <c r="I76" s="60">
        <f t="shared" si="289"/>
        <v>0</v>
      </c>
      <c r="J76" s="60">
        <f t="shared" si="289"/>
        <v>0</v>
      </c>
      <c r="K76" s="60">
        <f t="shared" si="289"/>
        <v>0</v>
      </c>
      <c r="L76" s="60">
        <f t="shared" si="289"/>
        <v>0</v>
      </c>
      <c r="M76" s="60">
        <f t="shared" si="289"/>
        <v>0</v>
      </c>
      <c r="N76" s="60">
        <f t="shared" si="289"/>
        <v>0</v>
      </c>
      <c r="O76" s="60">
        <f t="shared" si="289"/>
        <v>0</v>
      </c>
      <c r="P76" s="60">
        <f t="shared" si="289"/>
        <v>0</v>
      </c>
      <c r="Q76" s="60">
        <f t="shared" si="289"/>
        <v>0</v>
      </c>
      <c r="R76" s="60">
        <f t="shared" si="289"/>
        <v>0</v>
      </c>
      <c r="S76" s="60">
        <f t="shared" si="289"/>
        <v>0</v>
      </c>
      <c r="T76" s="60">
        <f t="shared" si="289"/>
        <v>0</v>
      </c>
      <c r="U76" s="60">
        <f t="shared" ref="U76" si="290">IFERROR(U27/$B62,0)</f>
        <v>0</v>
      </c>
      <c r="V76" s="60">
        <f t="shared" si="289"/>
        <v>0</v>
      </c>
      <c r="W76" s="60">
        <f t="shared" si="289"/>
        <v>0</v>
      </c>
      <c r="X76" s="60">
        <f t="shared" si="289"/>
        <v>0</v>
      </c>
      <c r="Y76" s="60">
        <f t="shared" si="289"/>
        <v>0</v>
      </c>
      <c r="Z76" s="60">
        <f t="shared" si="289"/>
        <v>0</v>
      </c>
      <c r="AA76" s="60">
        <f t="shared" si="289"/>
        <v>0</v>
      </c>
      <c r="AB76" s="60">
        <f t="shared" si="289"/>
        <v>0</v>
      </c>
      <c r="AC76" s="49">
        <f t="shared" si="235"/>
        <v>0</v>
      </c>
      <c r="AD76" s="49">
        <f>IFERROR(s_RadSpec!$H$27*(AD27/$B76),".")</f>
        <v>0</v>
      </c>
      <c r="AE76" s="49">
        <f>IFERROR(s_RadSpec!$H$27*(AE27/$B76),".")</f>
        <v>0</v>
      </c>
      <c r="AF76" s="49">
        <f>IFERROR(s_RadSpec!$H$27*(AF27/$B76),".")</f>
        <v>0</v>
      </c>
      <c r="AG76" s="49">
        <f>IFERROR(s_RadSpec!$H$27*(AG27/$B76),".")</f>
        <v>0</v>
      </c>
      <c r="AH76" s="49">
        <f>IFERROR(s_RadSpec!$H$27*(AH27/$B76),".")</f>
        <v>0</v>
      </c>
      <c r="AI76" s="49">
        <f>IFERROR(s_RadSpec!$H$27*(AI27/$B76),".")</f>
        <v>0</v>
      </c>
      <c r="AJ76" s="49">
        <f>IFERROR(s_RadSpec!$H$27*(AJ27/$B76),".")</f>
        <v>0</v>
      </c>
      <c r="AK76" s="49">
        <f>IFERROR(s_RadSpec!$H$27*(AK27/$B76),".")</f>
        <v>0</v>
      </c>
      <c r="AL76" s="49">
        <f>IFERROR(s_RadSpec!$H$27*(AL27/$B76),".")</f>
        <v>0</v>
      </c>
      <c r="AM76" s="49">
        <f>IFERROR(s_RadSpec!$H$27*(AM27/$B76),".")</f>
        <v>0</v>
      </c>
      <c r="AN76" s="49">
        <f>IFERROR(s_RadSpec!$H$27*(AN27/$B76),".")</f>
        <v>0</v>
      </c>
      <c r="AO76" s="49">
        <f>IFERROR(s_RadSpec!$H$27*(AO27/$B76),".")</f>
        <v>0</v>
      </c>
      <c r="AP76" s="49">
        <f>IFERROR(s_RadSpec!$H$27*(AP27/$B76),".")</f>
        <v>0</v>
      </c>
      <c r="AQ76" s="49">
        <f>IFERROR(s_RadSpec!$H$27*(AQ27/$B76),".")</f>
        <v>0</v>
      </c>
      <c r="AR76" s="49">
        <f>IFERROR(s_RadSpec!$H$27*(AR27/$B76),".")</f>
        <v>0</v>
      </c>
      <c r="AS76" s="49">
        <f>IFERROR(s_RadSpec!$H$27*(AS27/$B76),".")</f>
        <v>0</v>
      </c>
      <c r="AT76" s="49">
        <f>IFERROR(s_RadSpec!$H$27*(AT27/$B76),".")</f>
        <v>0</v>
      </c>
      <c r="AU76" s="49">
        <f>IFERROR(s_RadSpec!$H$27*(AU27/$B76),".")</f>
        <v>0</v>
      </c>
      <c r="AV76" s="49">
        <f>IFERROR(s_RadSpec!$H$27*(AV27/$B76),".")</f>
        <v>0</v>
      </c>
      <c r="AW76" s="49">
        <f>IFERROR(s_RadSpec!$H$27*(AW27/$B76),".")</f>
        <v>0</v>
      </c>
      <c r="AX76" s="49">
        <f>IFERROR(s_RadSpec!$H$27*(AX27/$B76),".")</f>
        <v>0</v>
      </c>
      <c r="AY76" s="49">
        <f>IFERROR(s_RadSpec!$H$27*(AY27/$B76),".")</f>
        <v>0</v>
      </c>
      <c r="AZ76" s="49">
        <f>IFERROR(s_RadSpec!$H$27*(AZ27/$B76),".")</f>
        <v>0</v>
      </c>
      <c r="BA76" s="49">
        <f>IFERROR(s_RadSpec!$H$27*(BA27/$B76),".")</f>
        <v>0</v>
      </c>
      <c r="BB76" s="49">
        <f>IFERROR(s_RadSpec!$H$27*(BB27/$B76),".")</f>
        <v>0</v>
      </c>
      <c r="BC76" s="60">
        <f t="shared" ref="BC76" si="291">IFERROR($B76/BC27,0)</f>
        <v>0</v>
      </c>
      <c r="BD76" s="60">
        <f t="shared" ref="BD76:CB76" si="292">IFERROR($B76/BD27,0)</f>
        <v>0</v>
      </c>
      <c r="BE76" s="60">
        <f t="shared" si="292"/>
        <v>0</v>
      </c>
      <c r="BF76" s="60">
        <f t="shared" si="292"/>
        <v>0</v>
      </c>
      <c r="BG76" s="60">
        <f t="shared" si="292"/>
        <v>0</v>
      </c>
      <c r="BH76" s="60">
        <f t="shared" si="292"/>
        <v>0</v>
      </c>
      <c r="BI76" s="60">
        <f t="shared" si="292"/>
        <v>0</v>
      </c>
      <c r="BJ76" s="60">
        <f t="shared" si="292"/>
        <v>0</v>
      </c>
      <c r="BK76" s="60">
        <f t="shared" si="292"/>
        <v>0</v>
      </c>
      <c r="BL76" s="60">
        <f t="shared" si="292"/>
        <v>0</v>
      </c>
      <c r="BM76" s="60">
        <f t="shared" si="292"/>
        <v>0</v>
      </c>
      <c r="BN76" s="60">
        <f t="shared" si="292"/>
        <v>0</v>
      </c>
      <c r="BO76" s="60">
        <f t="shared" si="292"/>
        <v>0</v>
      </c>
      <c r="BP76" s="60">
        <f t="shared" si="292"/>
        <v>0</v>
      </c>
      <c r="BQ76" s="60">
        <f t="shared" si="292"/>
        <v>0</v>
      </c>
      <c r="BR76" s="60">
        <f t="shared" si="292"/>
        <v>0</v>
      </c>
      <c r="BS76" s="60">
        <f t="shared" si="292"/>
        <v>0</v>
      </c>
      <c r="BT76" s="60">
        <f t="shared" si="292"/>
        <v>0</v>
      </c>
      <c r="BU76" s="60">
        <f t="shared" ref="BU76" si="293">IFERROR($B76/BU27,0)</f>
        <v>0</v>
      </c>
      <c r="BV76" s="60">
        <f t="shared" si="292"/>
        <v>0</v>
      </c>
      <c r="BW76" s="60">
        <f t="shared" si="292"/>
        <v>0</v>
      </c>
      <c r="BX76" s="60">
        <f t="shared" si="292"/>
        <v>0</v>
      </c>
      <c r="BY76" s="60">
        <f t="shared" si="292"/>
        <v>0</v>
      </c>
      <c r="BZ76" s="60">
        <f t="shared" si="292"/>
        <v>0</v>
      </c>
      <c r="CA76" s="60">
        <f t="shared" si="292"/>
        <v>0</v>
      </c>
      <c r="CB76" s="60">
        <f t="shared" si="292"/>
        <v>0</v>
      </c>
      <c r="CC76" s="49">
        <f t="shared" si="239"/>
        <v>0</v>
      </c>
      <c r="CD76" s="49">
        <f>IFERROR(s_RadSpec!$H$27*(CD27/$B76),".")</f>
        <v>0</v>
      </c>
      <c r="CE76" s="49">
        <f>IFERROR(s_RadSpec!$H$27*(CE27/$B76),".")</f>
        <v>0</v>
      </c>
      <c r="CF76" s="49">
        <f>IFERROR(s_RadSpec!$H$27*(CF27/$B76),".")</f>
        <v>0</v>
      </c>
      <c r="CG76" s="49">
        <f>IFERROR(s_RadSpec!$H$27*(CG27/$B76),".")</f>
        <v>0</v>
      </c>
      <c r="CH76" s="49">
        <f>IFERROR(s_RadSpec!$H$27*(CH27/$B76),".")</f>
        <v>0</v>
      </c>
      <c r="CI76" s="49">
        <f>IFERROR(s_RadSpec!$H$27*(CI27/$B76),".")</f>
        <v>0</v>
      </c>
      <c r="CJ76" s="49">
        <f>IFERROR(s_RadSpec!$H$27*(CJ27/$B76),".")</f>
        <v>0</v>
      </c>
      <c r="CK76" s="49">
        <f>IFERROR(s_RadSpec!$H$27*(CK27/$B76),".")</f>
        <v>0</v>
      </c>
      <c r="CL76" s="49">
        <f>IFERROR(s_RadSpec!$H$27*(CL27/$B76),".")</f>
        <v>0</v>
      </c>
      <c r="CM76" s="49">
        <f>IFERROR(s_RadSpec!$H$27*(CM27/$B76),".")</f>
        <v>0</v>
      </c>
      <c r="CN76" s="49">
        <f>IFERROR(s_RadSpec!$H$27*(CN27/$B76),".")</f>
        <v>0</v>
      </c>
      <c r="CO76" s="49">
        <f>IFERROR(s_RadSpec!$H$27*(CO27/$B76),".")</f>
        <v>0</v>
      </c>
      <c r="CP76" s="49">
        <f>IFERROR(s_RadSpec!$H$27*(CP27/$B76),".")</f>
        <v>0</v>
      </c>
      <c r="CQ76" s="49">
        <f>IFERROR(s_RadSpec!$H$27*(CQ27/$B76),".")</f>
        <v>0</v>
      </c>
      <c r="CR76" s="49">
        <f>IFERROR(s_RadSpec!$H$27*(CR27/$B76),".")</f>
        <v>0</v>
      </c>
      <c r="CS76" s="49">
        <f>IFERROR(s_RadSpec!$H$27*(CS27/$B76),".")</f>
        <v>0</v>
      </c>
      <c r="CT76" s="49">
        <f>IFERROR(s_RadSpec!$H$27*(CT27/$B76),".")</f>
        <v>0</v>
      </c>
      <c r="CU76" s="49">
        <f>IFERROR(s_RadSpec!$H$27*(CU27/$B76),".")</f>
        <v>0</v>
      </c>
      <c r="CV76" s="49">
        <f>IFERROR(s_RadSpec!$H$27*(CV27/$B76),".")</f>
        <v>0</v>
      </c>
      <c r="CW76" s="49">
        <f>IFERROR(s_RadSpec!$H$27*(CW27/$B76),".")</f>
        <v>0</v>
      </c>
      <c r="CX76" s="49">
        <f>IFERROR(s_RadSpec!$H$27*(CX27/$B76),".")</f>
        <v>0</v>
      </c>
      <c r="CY76" s="49">
        <f>IFERROR(s_RadSpec!$H$27*(CY27/$B76),".")</f>
        <v>0</v>
      </c>
      <c r="CZ76" s="49">
        <f>IFERROR(s_RadSpec!$H$27*(CZ27/$B76),".")</f>
        <v>0</v>
      </c>
      <c r="DA76" s="49">
        <f>IFERROR(s_RadSpec!$H$27*(DA27/$B76),".")</f>
        <v>0</v>
      </c>
      <c r="DB76" s="49">
        <f>IFERROR(s_RadSpec!$H$27*(DB27/$B76),".")</f>
        <v>0</v>
      </c>
    </row>
  </sheetData>
  <sheetProtection algorithmName="SHA-512" hashValue="wM0sURfXT+0tXlITYUiC4NsmVspDrtidM2J4Fuf3e7LvZbX4IWeKhI1jMUfqODGnkiaBsWdKFEy6NzOsQ+UgAw==" saltValue="5CONbQFWND6CISyKjvqfXw==" spinCount="100000" sheet="1" formatColumns="0" formatRows="0" autoFilter="0"/>
  <autoFilter ref="A1:DB76" xr:uid="{3385F858-6C0B-4236-8BDB-64B8C83CBEA4}"/>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DB76"/>
  <sheetViews>
    <sheetView zoomScale="90" zoomScaleNormal="90" workbookViewId="0">
      <pane xSplit="2" ySplit="1" topLeftCell="C2" activePane="bottomRight" state="frozen"/>
      <selection activeCell="AB53" sqref="AB53:AB985"/>
      <selection pane="topRight" activeCell="AB53" sqref="AB53:AB985"/>
      <selection pane="bottomLeft" activeCell="AB53" sqref="AB53:AB985"/>
      <selection pane="bottomRight" activeCell="C2" sqref="C2"/>
    </sheetView>
  </sheetViews>
  <sheetFormatPr defaultColWidth="9.140625" defaultRowHeight="15" x14ac:dyDescent="0.25"/>
  <cols>
    <col min="1" max="1" width="15.42578125" style="90" bestFit="1" customWidth="1"/>
    <col min="2" max="2" width="13.28515625" style="90" bestFit="1" customWidth="1"/>
    <col min="3" max="3" width="25" style="90" bestFit="1" customWidth="1"/>
    <col min="4" max="4" width="16" style="90" bestFit="1" customWidth="1"/>
    <col min="5" max="5" width="16.140625" style="90" bestFit="1" customWidth="1"/>
    <col min="6" max="6" width="15" style="90" bestFit="1" customWidth="1"/>
    <col min="7" max="7" width="15.7109375" style="90" bestFit="1" customWidth="1"/>
    <col min="8" max="8" width="15" style="90" bestFit="1" customWidth="1"/>
    <col min="9" max="9" width="15.42578125" style="90" bestFit="1" customWidth="1"/>
    <col min="10" max="10" width="14.7109375" style="90" bestFit="1" customWidth="1"/>
    <col min="11" max="11" width="16.140625" style="90" bestFit="1" customWidth="1"/>
    <col min="12" max="12" width="15" style="90" bestFit="1" customWidth="1"/>
    <col min="13" max="13" width="16.85546875" style="90" bestFit="1" customWidth="1"/>
    <col min="14" max="14" width="14" style="90" bestFit="1" customWidth="1"/>
    <col min="15" max="16" width="15" style="90" bestFit="1" customWidth="1"/>
    <col min="17" max="17" width="16.140625" style="90" bestFit="1" customWidth="1"/>
    <col min="18" max="18" width="16.28515625" style="90" bestFit="1" customWidth="1"/>
    <col min="19" max="19" width="15" style="90" bestFit="1" customWidth="1"/>
    <col min="20" max="20" width="14.28515625" style="90" bestFit="1" customWidth="1"/>
    <col min="21" max="21" width="15.5703125" style="90" bestFit="1" customWidth="1"/>
    <col min="22" max="22" width="15.7109375" style="90" bestFit="1" customWidth="1"/>
    <col min="23" max="23" width="16.140625" style="90" bestFit="1" customWidth="1"/>
    <col min="24" max="24" width="15.42578125" style="90" bestFit="1" customWidth="1"/>
    <col min="25" max="25" width="16" style="90" bestFit="1" customWidth="1"/>
    <col min="26" max="27" width="14.42578125" style="90" bestFit="1" customWidth="1"/>
    <col min="28" max="28" width="16.42578125" style="90" bestFit="1" customWidth="1"/>
    <col min="29" max="29" width="22.5703125" style="90" bestFit="1" customWidth="1"/>
    <col min="30" max="30" width="15.85546875" style="90" bestFit="1" customWidth="1"/>
    <col min="31" max="31" width="16" style="90" bestFit="1" customWidth="1"/>
    <col min="32" max="32" width="14.7109375" style="90" bestFit="1" customWidth="1"/>
    <col min="33" max="33" width="15.42578125" style="90" bestFit="1" customWidth="1"/>
    <col min="34" max="34" width="14.7109375" style="90" bestFit="1" customWidth="1"/>
    <col min="35" max="35" width="15.140625" style="90" bestFit="1" customWidth="1"/>
    <col min="36" max="36" width="14.28515625" style="90" bestFit="1" customWidth="1"/>
    <col min="37" max="37" width="15.7109375" style="90" bestFit="1" customWidth="1"/>
    <col min="38" max="38" width="14.7109375" style="90" bestFit="1" customWidth="1"/>
    <col min="39" max="39" width="16.7109375" style="90" bestFit="1" customWidth="1"/>
    <col min="40" max="40" width="13.7109375" style="90" bestFit="1" customWidth="1"/>
    <col min="41" max="41" width="14.5703125" style="90" bestFit="1" customWidth="1"/>
    <col min="42" max="42" width="14.85546875" style="90" bestFit="1" customWidth="1"/>
    <col min="43" max="43" width="16" style="90" bestFit="1" customWidth="1"/>
    <col min="44" max="44" width="16.28515625" style="90" bestFit="1" customWidth="1"/>
    <col min="45" max="45" width="14.85546875" style="90" bestFit="1" customWidth="1"/>
    <col min="46" max="46" width="14.140625" style="90" bestFit="1" customWidth="1"/>
    <col min="47" max="47" width="15.28515625" style="90" bestFit="1" customWidth="1"/>
    <col min="48" max="48" width="15.85546875" style="90" bestFit="1" customWidth="1"/>
    <col min="49" max="49" width="16.140625" style="90" bestFit="1" customWidth="1"/>
    <col min="50" max="50" width="15.140625" style="90" bestFit="1" customWidth="1"/>
    <col min="51" max="51" width="16" style="90" bestFit="1" customWidth="1"/>
    <col min="52" max="52" width="14.42578125" style="90" bestFit="1" customWidth="1"/>
    <col min="53" max="53" width="13.85546875" style="90" bestFit="1" customWidth="1"/>
    <col min="54" max="54" width="16.140625" style="90" bestFit="1" customWidth="1"/>
    <col min="55" max="55" width="28.7109375" style="90" bestFit="1" customWidth="1"/>
    <col min="56" max="56" width="15.85546875" style="90" bestFit="1" customWidth="1"/>
    <col min="57" max="57" width="16" style="90" bestFit="1" customWidth="1"/>
    <col min="58" max="58" width="14.7109375" style="90" bestFit="1" customWidth="1"/>
    <col min="59" max="59" width="15.5703125" style="90" bestFit="1" customWidth="1"/>
    <col min="60" max="60" width="14.85546875" style="90" bestFit="1" customWidth="1"/>
    <col min="61" max="61" width="15.28515625" style="90" bestFit="1" customWidth="1"/>
    <col min="62" max="62" width="14.5703125" style="90" bestFit="1" customWidth="1"/>
    <col min="63" max="63" width="16" style="90" bestFit="1" customWidth="1"/>
    <col min="64" max="64" width="14.85546875" style="90" bestFit="1" customWidth="1"/>
    <col min="65" max="65" width="16.7109375" style="90" bestFit="1" customWidth="1"/>
    <col min="66" max="66" width="13.85546875" style="90" bestFit="1" customWidth="1"/>
    <col min="67" max="68" width="14.85546875" style="90" bestFit="1" customWidth="1"/>
    <col min="69" max="69" width="16" style="90" bestFit="1" customWidth="1"/>
    <col min="70" max="70" width="16.140625" style="90" bestFit="1" customWidth="1"/>
    <col min="71" max="71" width="14.85546875" style="90" bestFit="1" customWidth="1"/>
    <col min="72" max="72" width="14.140625" style="90" bestFit="1" customWidth="1"/>
    <col min="73" max="73" width="15.28515625" style="90" bestFit="1" customWidth="1"/>
    <col min="74" max="74" width="15.5703125" style="90" bestFit="1" customWidth="1"/>
    <col min="75" max="75" width="15.85546875" style="90" bestFit="1" customWidth="1"/>
    <col min="76" max="76" width="15.28515625" style="90" bestFit="1" customWidth="1"/>
    <col min="77" max="77" width="15.85546875" style="90" bestFit="1" customWidth="1"/>
    <col min="78" max="79" width="14.28515625" style="90" bestFit="1" customWidth="1"/>
    <col min="80" max="80" width="15.5703125" style="90" bestFit="1" customWidth="1"/>
    <col min="81" max="81" width="22.5703125" style="90" bestFit="1" customWidth="1"/>
    <col min="82" max="82" width="15.85546875" style="90" bestFit="1" customWidth="1"/>
    <col min="83" max="83" width="16" style="90" bestFit="1" customWidth="1"/>
    <col min="84" max="84" width="14.7109375" style="90" bestFit="1" customWidth="1"/>
    <col min="85" max="85" width="15.42578125" style="90" bestFit="1" customWidth="1"/>
    <col min="86" max="86" width="14.7109375" style="90" bestFit="1" customWidth="1"/>
    <col min="87" max="87" width="15.140625" style="90" bestFit="1" customWidth="1"/>
    <col min="88" max="88" width="14.28515625" style="90" bestFit="1" customWidth="1"/>
    <col min="89" max="89" width="15.7109375" style="90" bestFit="1" customWidth="1"/>
    <col min="90" max="90" width="14.7109375" style="90" bestFit="1" customWidth="1"/>
    <col min="91" max="91" width="16.7109375" style="90" bestFit="1" customWidth="1"/>
    <col min="92" max="92" width="13.7109375" style="90" bestFit="1" customWidth="1"/>
    <col min="93" max="93" width="14.5703125" style="90" bestFit="1" customWidth="1"/>
    <col min="94" max="94" width="14.85546875" style="90" bestFit="1" customWidth="1"/>
    <col min="95" max="95" width="16" style="90" bestFit="1" customWidth="1"/>
    <col min="96" max="96" width="16.28515625" style="90" bestFit="1" customWidth="1"/>
    <col min="97" max="97" width="14.85546875" style="90" bestFit="1" customWidth="1"/>
    <col min="98" max="98" width="14.140625" style="90" bestFit="1" customWidth="1"/>
    <col min="99" max="99" width="15.28515625" style="90" bestFit="1" customWidth="1"/>
    <col min="100" max="100" width="15.85546875" style="90" bestFit="1" customWidth="1"/>
    <col min="101" max="101" width="16.140625" style="90" bestFit="1" customWidth="1"/>
    <col min="102" max="102" width="15.140625" style="90" bestFit="1" customWidth="1"/>
    <col min="103" max="103" width="16" style="90" bestFit="1" customWidth="1"/>
    <col min="104" max="104" width="14.42578125" style="90" bestFit="1" customWidth="1"/>
    <col min="105" max="105" width="13.85546875" style="90" bestFit="1" customWidth="1"/>
    <col min="106" max="106" width="15.42578125" style="90" bestFit="1" customWidth="1"/>
    <col min="107" max="16384" width="9.140625" style="90"/>
  </cols>
  <sheetData>
    <row r="1" spans="1:106" x14ac:dyDescent="0.25">
      <c r="A1" s="87" t="s">
        <v>51</v>
      </c>
      <c r="B1" s="88" t="s">
        <v>348</v>
      </c>
      <c r="C1" s="89" t="s">
        <v>1467</v>
      </c>
      <c r="D1" s="90" t="s">
        <v>1442</v>
      </c>
      <c r="E1" s="90" t="s">
        <v>1443</v>
      </c>
      <c r="F1" s="90" t="s">
        <v>1444</v>
      </c>
      <c r="G1" s="90" t="s">
        <v>1445</v>
      </c>
      <c r="H1" s="90" t="s">
        <v>1446</v>
      </c>
      <c r="I1" s="90" t="s">
        <v>1447</v>
      </c>
      <c r="J1" s="90" t="s">
        <v>1448</v>
      </c>
      <c r="K1" s="90" t="s">
        <v>1449</v>
      </c>
      <c r="L1" s="90" t="s">
        <v>1450</v>
      </c>
      <c r="M1" s="90" t="s">
        <v>1451</v>
      </c>
      <c r="N1" s="90" t="s">
        <v>1452</v>
      </c>
      <c r="O1" s="90" t="s">
        <v>1453</v>
      </c>
      <c r="P1" s="90" t="s">
        <v>1454</v>
      </c>
      <c r="Q1" s="90" t="s">
        <v>1455</v>
      </c>
      <c r="R1" s="90" t="s">
        <v>1456</v>
      </c>
      <c r="S1" s="90" t="s">
        <v>1457</v>
      </c>
      <c r="T1" s="90" t="s">
        <v>1458</v>
      </c>
      <c r="U1" s="90" t="s">
        <v>1533</v>
      </c>
      <c r="V1" s="90" t="s">
        <v>1459</v>
      </c>
      <c r="W1" s="90" t="s">
        <v>1460</v>
      </c>
      <c r="X1" s="90" t="s">
        <v>1461</v>
      </c>
      <c r="Y1" s="90" t="s">
        <v>1462</v>
      </c>
      <c r="Z1" s="90" t="s">
        <v>1463</v>
      </c>
      <c r="AA1" s="90" t="s">
        <v>1464</v>
      </c>
      <c r="AB1" s="90" t="s">
        <v>1465</v>
      </c>
      <c r="AC1" s="91" t="s">
        <v>1120</v>
      </c>
      <c r="AD1" s="91" t="s">
        <v>1121</v>
      </c>
      <c r="AE1" s="91" t="s">
        <v>1122</v>
      </c>
      <c r="AF1" s="91" t="s">
        <v>1123</v>
      </c>
      <c r="AG1" s="91" t="s">
        <v>1124</v>
      </c>
      <c r="AH1" s="91" t="s">
        <v>1125</v>
      </c>
      <c r="AI1" s="91" t="s">
        <v>1126</v>
      </c>
      <c r="AJ1" s="91" t="s">
        <v>1127</v>
      </c>
      <c r="AK1" s="91" t="s">
        <v>1128</v>
      </c>
      <c r="AL1" s="91" t="s">
        <v>1129</v>
      </c>
      <c r="AM1" s="91" t="s">
        <v>1130</v>
      </c>
      <c r="AN1" s="91" t="s">
        <v>1131</v>
      </c>
      <c r="AO1" s="91" t="s">
        <v>1132</v>
      </c>
      <c r="AP1" s="91" t="s">
        <v>1133</v>
      </c>
      <c r="AQ1" s="91" t="s">
        <v>1134</v>
      </c>
      <c r="AR1" s="91" t="s">
        <v>1135</v>
      </c>
      <c r="AS1" s="91" t="s">
        <v>1136</v>
      </c>
      <c r="AT1" s="91" t="s">
        <v>1137</v>
      </c>
      <c r="AU1" s="91" t="s">
        <v>1535</v>
      </c>
      <c r="AV1" s="91" t="s">
        <v>1138</v>
      </c>
      <c r="AW1" s="91" t="s">
        <v>1139</v>
      </c>
      <c r="AX1" s="91" t="s">
        <v>1140</v>
      </c>
      <c r="AY1" s="91" t="s">
        <v>1141</v>
      </c>
      <c r="AZ1" s="91" t="s">
        <v>1142</v>
      </c>
      <c r="BA1" s="91" t="s">
        <v>1143</v>
      </c>
      <c r="BB1" s="91" t="s">
        <v>1144</v>
      </c>
      <c r="BC1" s="90" t="s">
        <v>1469</v>
      </c>
      <c r="BD1" s="90" t="s">
        <v>1417</v>
      </c>
      <c r="BE1" s="90" t="s">
        <v>1418</v>
      </c>
      <c r="BF1" s="90" t="s">
        <v>1419</v>
      </c>
      <c r="BG1" s="90" t="s">
        <v>1420</v>
      </c>
      <c r="BH1" s="90" t="s">
        <v>1421</v>
      </c>
      <c r="BI1" s="90" t="s">
        <v>1422</v>
      </c>
      <c r="BJ1" s="90" t="s">
        <v>1423</v>
      </c>
      <c r="BK1" s="90" t="s">
        <v>1424</v>
      </c>
      <c r="BL1" s="90" t="s">
        <v>1425</v>
      </c>
      <c r="BM1" s="90" t="s">
        <v>1426</v>
      </c>
      <c r="BN1" s="90" t="s">
        <v>1427</v>
      </c>
      <c r="BO1" s="90" t="s">
        <v>1428</v>
      </c>
      <c r="BP1" s="90" t="s">
        <v>1429</v>
      </c>
      <c r="BQ1" s="90" t="s">
        <v>1430</v>
      </c>
      <c r="BR1" s="90" t="s">
        <v>1431</v>
      </c>
      <c r="BS1" s="90" t="s">
        <v>1432</v>
      </c>
      <c r="BT1" s="90" t="s">
        <v>1433</v>
      </c>
      <c r="BU1" s="90" t="s">
        <v>1534</v>
      </c>
      <c r="BV1" s="90" t="s">
        <v>1434</v>
      </c>
      <c r="BW1" s="90" t="s">
        <v>1435</v>
      </c>
      <c r="BX1" s="90" t="s">
        <v>1436</v>
      </c>
      <c r="BY1" s="90" t="s">
        <v>1437</v>
      </c>
      <c r="BZ1" s="90" t="s">
        <v>1438</v>
      </c>
      <c r="CA1" s="90" t="s">
        <v>1439</v>
      </c>
      <c r="CB1" s="90" t="s">
        <v>1440</v>
      </c>
      <c r="CC1" s="91" t="s">
        <v>1145</v>
      </c>
      <c r="CD1" s="91" t="s">
        <v>1392</v>
      </c>
      <c r="CE1" s="91" t="s">
        <v>1393</v>
      </c>
      <c r="CF1" s="91" t="s">
        <v>1394</v>
      </c>
      <c r="CG1" s="91" t="s">
        <v>1395</v>
      </c>
      <c r="CH1" s="91" t="s">
        <v>1396</v>
      </c>
      <c r="CI1" s="91" t="s">
        <v>1397</v>
      </c>
      <c r="CJ1" s="91" t="s">
        <v>1398</v>
      </c>
      <c r="CK1" s="91" t="s">
        <v>1399</v>
      </c>
      <c r="CL1" s="91" t="s">
        <v>1400</v>
      </c>
      <c r="CM1" s="91" t="s">
        <v>1401</v>
      </c>
      <c r="CN1" s="91" t="s">
        <v>1402</v>
      </c>
      <c r="CO1" s="91" t="s">
        <v>1403</v>
      </c>
      <c r="CP1" s="91" t="s">
        <v>1404</v>
      </c>
      <c r="CQ1" s="91" t="s">
        <v>1405</v>
      </c>
      <c r="CR1" s="91" t="s">
        <v>1406</v>
      </c>
      <c r="CS1" s="91" t="s">
        <v>1407</v>
      </c>
      <c r="CT1" s="91" t="s">
        <v>1408</v>
      </c>
      <c r="CU1" s="91" t="s">
        <v>1531</v>
      </c>
      <c r="CV1" s="91" t="s">
        <v>1409</v>
      </c>
      <c r="CW1" s="91" t="s">
        <v>1410</v>
      </c>
      <c r="CX1" s="91" t="s">
        <v>1411</v>
      </c>
      <c r="CY1" s="91" t="s">
        <v>1412</v>
      </c>
      <c r="CZ1" s="91" t="s">
        <v>1413</v>
      </c>
      <c r="DA1" s="91" t="s">
        <v>1414</v>
      </c>
      <c r="DB1" s="91" t="s">
        <v>1415</v>
      </c>
    </row>
    <row r="2" spans="1:106" ht="15" customHeight="1" x14ac:dyDescent="0.25">
      <c r="A2" s="92" t="s">
        <v>12</v>
      </c>
      <c r="B2" s="90" t="s">
        <v>1071</v>
      </c>
      <c r="C2" s="15">
        <f>IFERROR(1/SUM(1/D2,1/U2,1/AA2,1/AB2),".")</f>
        <v>25.581960661560032</v>
      </c>
      <c r="D2" s="76">
        <f>IFERROR(IF(AND(s_Irr!C2&lt;&gt;".",s_Irr!AB2&lt;&gt;".",s_Irr!BA2&lt;&gt;"."),s_dir!D2/((1/1000)*(s_Irr!C2+s_Irr!AB2+s_Irr!BA2)),IF(AND(s_Irr!C2&lt;&gt;".",s_Irr!AB2&lt;&gt;".",s_Irr!BA2="."),s_dir!D2/((1/1000)*(s_Irr!C2+s_Irr!AB2)),IF(AND(s_Irr!C2&lt;&gt;".",s_Irr!AB2=".",s_Irr!BA2&lt;&gt;"."),s_dir!D2/((1/1000)*(s_Irr!C2+s_Irr!BA2)),IF(AND(s_Irr!C2=".",s_Irr!AB2&lt;&gt;".",s_Irr!BA2&lt;&gt;"."),s_dir!D2/((1/1000)*(s_Irr!AB2+s_Irr!BA2)),IF(AND(s_Irr!C2=".",s_Irr!AB2=".",s_Irr!BA2&lt;&gt;"."),s_dir!D2/((1/1000)*(s_Irr!BA2)),IF(AND(s_Irr!C2=".",s_Irr!AB2&lt;&gt;".",s_Irr!BA2="."),s_dir!D2/((1/1000)*(s_Irr!AB2)),IF(AND(s_Irr!C2&lt;&gt;".",s_Irr!AB2=".",s_Irr!BA2="."),s_dir!D2/((1/1000)*(s_Irr!C2)),IF(AND(s_Irr!C2=".",s_Irr!AB2=".",s_Irr!BA2="."),s_dir!D2*1000)))))))),".")</f>
        <v>102.32784264624013</v>
      </c>
      <c r="E2" s="76">
        <f>IFERROR(IF(AND(s_Irr!D2&lt;&gt;".",s_Irr!AC2&lt;&gt;".",s_Irr!BB2&lt;&gt;"."),s_dir!E2/((1/1000)*(s_Irr!D2+s_Irr!AC2+s_Irr!BB2)),IF(AND(s_Irr!D2&lt;&gt;".",s_Irr!AC2&lt;&gt;".",s_Irr!BB2="."),s_dir!E2/((1/1000)*(s_Irr!D2+s_Irr!AC2)),IF(AND(s_Irr!D2&lt;&gt;".",s_Irr!AC2=".",s_Irr!BB2&lt;&gt;"."),s_dir!E2/((1/1000)*(s_Irr!D2+s_Irr!BB2)),IF(AND(s_Irr!D2=".",s_Irr!AC2&lt;&gt;".",s_Irr!BB2&lt;&gt;"."),s_dir!E2/((1/1000)*(s_Irr!AC2+s_Irr!BB2)),IF(AND(s_Irr!D2=".",s_Irr!AC2=".",s_Irr!BB2&lt;&gt;"."),s_dir!E2/((1/1000)*(s_Irr!BB2)),IF(AND(s_Irr!D2=".",s_Irr!AC2&lt;&gt;".",s_Irr!BB2="."),s_dir!E2/((1/1000)*(s_Irr!AC2)),IF(AND(s_Irr!D2&lt;&gt;".",s_Irr!AC2=".",s_Irr!BB2="."),s_dir!E2/((1/1000)*(s_Irr!D2)),IF(AND(s_Irr!D2=".",s_Irr!AC2=".",s_Irr!BB2="."),s_dir!E2*1000)))))))),".")</f>
        <v>102.32784264624013</v>
      </c>
      <c r="F2" s="76">
        <f>IFERROR(IF(AND(s_Irr!E2&lt;&gt;".",s_Irr!AD2&lt;&gt;".",s_Irr!BC2&lt;&gt;"."),s_dir!F2/((1/1000)*(s_Irr!E2+s_Irr!AD2+s_Irr!BC2)),IF(AND(s_Irr!E2&lt;&gt;".",s_Irr!AD2&lt;&gt;".",s_Irr!BC2="."),s_dir!F2/((1/1000)*(s_Irr!E2+s_Irr!AD2)),IF(AND(s_Irr!E2&lt;&gt;".",s_Irr!AD2=".",s_Irr!BC2&lt;&gt;"."),s_dir!F2/((1/1000)*(s_Irr!E2+s_Irr!BC2)),IF(AND(s_Irr!E2=".",s_Irr!AD2&lt;&gt;".",s_Irr!BC2&lt;&gt;"."),s_dir!F2/((1/1000)*(s_Irr!AD2+s_Irr!BC2)),IF(AND(s_Irr!E2=".",s_Irr!AD2=".",s_Irr!BC2&lt;&gt;"."),s_dir!F2/((1/1000)*(s_Irr!BC2)),IF(AND(s_Irr!E2=".",s_Irr!AD2&lt;&gt;".",s_Irr!BC2="."),s_dir!F2/((1/1000)*(s_Irr!AD2)),IF(AND(s_Irr!E2&lt;&gt;".",s_Irr!AD2=".",s_Irr!BC2="."),s_dir!F2/((1/1000)*(s_Irr!E2)),IF(AND(s_Irr!E2=".",s_Irr!AD2=".",s_Irr!BC2="."),s_dir!F2*1000)))))))),".")</f>
        <v>102.32784264624013</v>
      </c>
      <c r="G2" s="76">
        <f>IFERROR(IF(AND(s_Irr!F2&lt;&gt;".",s_Irr!AE2&lt;&gt;".",s_Irr!BD2&lt;&gt;"."),s_dir!G2/((1/1000)*(s_Irr!F2+s_Irr!AE2+s_Irr!BD2)),IF(AND(s_Irr!F2&lt;&gt;".",s_Irr!AE2&lt;&gt;".",s_Irr!BD2="."),s_dir!G2/((1/1000)*(s_Irr!F2+s_Irr!AE2)),IF(AND(s_Irr!F2&lt;&gt;".",s_Irr!AE2=".",s_Irr!BD2&lt;&gt;"."),s_dir!G2/((1/1000)*(s_Irr!F2+s_Irr!BD2)),IF(AND(s_Irr!F2=".",s_Irr!AE2&lt;&gt;".",s_Irr!BD2&lt;&gt;"."),s_dir!G2/((1/1000)*(s_Irr!AE2+s_Irr!BD2)),IF(AND(s_Irr!F2=".",s_Irr!AE2=".",s_Irr!BD2&lt;&gt;"."),s_dir!G2/((1/1000)*(s_Irr!BD2)),IF(AND(s_Irr!F2=".",s_Irr!AE2&lt;&gt;".",s_Irr!BD2="."),s_dir!G2/((1/1000)*(s_Irr!AE2)),IF(AND(s_Irr!F2&lt;&gt;".",s_Irr!AE2=".",s_Irr!BD2="."),s_dir!G2/((1/1000)*(s_Irr!F2)),IF(AND(s_Irr!F2=".",s_Irr!AE2=".",s_Irr!BD2="."),s_dir!G2*1000)))))))),".")</f>
        <v>102.32784264624013</v>
      </c>
      <c r="H2" s="76">
        <f>IFERROR(IF(AND(s_Irr!G2&lt;&gt;".",s_Irr!AF2&lt;&gt;".",s_Irr!BE2&lt;&gt;"."),s_dir!H2/((1/1000)*(s_Irr!G2+s_Irr!AF2+s_Irr!BE2)),IF(AND(s_Irr!G2&lt;&gt;".",s_Irr!AF2&lt;&gt;".",s_Irr!BE2="."),s_dir!H2/((1/1000)*(s_Irr!G2+s_Irr!AF2)),IF(AND(s_Irr!G2&lt;&gt;".",s_Irr!AF2=".",s_Irr!BE2&lt;&gt;"."),s_dir!H2/((1/1000)*(s_Irr!G2+s_Irr!BE2)),IF(AND(s_Irr!G2=".",s_Irr!AF2&lt;&gt;".",s_Irr!BE2&lt;&gt;"."),s_dir!H2/((1/1000)*(s_Irr!AF2+s_Irr!BE2)),IF(AND(s_Irr!G2=".",s_Irr!AF2=".",s_Irr!BE2&lt;&gt;"."),s_dir!H2/((1/1000)*(s_Irr!BE2)),IF(AND(s_Irr!G2=".",s_Irr!AF2&lt;&gt;".",s_Irr!BE2="."),s_dir!H2/((1/1000)*(s_Irr!AF2)),IF(AND(s_Irr!G2&lt;&gt;".",s_Irr!AF2=".",s_Irr!BE2="."),s_dir!H2/((1/1000)*(s_Irr!G2)),IF(AND(s_Irr!G2=".",s_Irr!AF2=".",s_Irr!BE2="."),s_dir!H2*1000)))))))),".")</f>
        <v>102.32784264624013</v>
      </c>
      <c r="I2" s="76">
        <f>IFERROR(IF(AND(s_Irr!H2&lt;&gt;".",s_Irr!AG2&lt;&gt;".",s_Irr!BF2&lt;&gt;"."),s_dir!I2/((1/1000)*(s_Irr!H2+s_Irr!AG2+s_Irr!BF2)),IF(AND(s_Irr!H2&lt;&gt;".",s_Irr!AG2&lt;&gt;".",s_Irr!BF2="."),s_dir!I2/((1/1000)*(s_Irr!H2+s_Irr!AG2)),IF(AND(s_Irr!H2&lt;&gt;".",s_Irr!AG2=".",s_Irr!BF2&lt;&gt;"."),s_dir!I2/((1/1000)*(s_Irr!H2+s_Irr!BF2)),IF(AND(s_Irr!H2=".",s_Irr!AG2&lt;&gt;".",s_Irr!BF2&lt;&gt;"."),s_dir!I2/((1/1000)*(s_Irr!AG2+s_Irr!BF2)),IF(AND(s_Irr!H2=".",s_Irr!AG2=".",s_Irr!BF2&lt;&gt;"."),s_dir!I2/((1/1000)*(s_Irr!BF2)),IF(AND(s_Irr!H2=".",s_Irr!AG2&lt;&gt;".",s_Irr!BF2="."),s_dir!I2/((1/1000)*(s_Irr!AG2)),IF(AND(s_Irr!H2&lt;&gt;".",s_Irr!AG2=".",s_Irr!BF2="."),s_dir!I2/((1/1000)*(s_Irr!H2)),IF(AND(s_Irr!H2=".",s_Irr!AG2=".",s_Irr!BF2="."),s_dir!I2*1000)))))))),".")</f>
        <v>102.32784264624013</v>
      </c>
      <c r="J2" s="76">
        <f>IFERROR(IF(AND(s_Irr!I2&lt;&gt;".",s_Irr!AH2&lt;&gt;".",s_Irr!BG2&lt;&gt;"."),s_dir!J2/((1/1000)*(s_Irr!I2+s_Irr!AH2+s_Irr!BG2)),IF(AND(s_Irr!I2&lt;&gt;".",s_Irr!AH2&lt;&gt;".",s_Irr!BG2="."),s_dir!J2/((1/1000)*(s_Irr!I2+s_Irr!AH2)),IF(AND(s_Irr!I2&lt;&gt;".",s_Irr!AH2=".",s_Irr!BG2&lt;&gt;"."),s_dir!J2/((1/1000)*(s_Irr!I2+s_Irr!BG2)),IF(AND(s_Irr!I2=".",s_Irr!AH2&lt;&gt;".",s_Irr!BG2&lt;&gt;"."),s_dir!J2/((1/1000)*(s_Irr!AH2+s_Irr!BG2)),IF(AND(s_Irr!I2=".",s_Irr!AH2=".",s_Irr!BG2&lt;&gt;"."),s_dir!J2/((1/1000)*(s_Irr!BG2)),IF(AND(s_Irr!I2=".",s_Irr!AH2&lt;&gt;".",s_Irr!BG2="."),s_dir!J2/((1/1000)*(s_Irr!AH2)),IF(AND(s_Irr!I2&lt;&gt;".",s_Irr!AH2=".",s_Irr!BG2="."),s_dir!J2/((1/1000)*(s_Irr!I2)),IF(AND(s_Irr!I2=".",s_Irr!AH2=".",s_Irr!BG2="."),s_dir!J2*1000)))))))),".")</f>
        <v>102.32784264624013</v>
      </c>
      <c r="K2" s="76">
        <f>IFERROR(IF(AND(s_Irr!J2&lt;&gt;".",s_Irr!AI2&lt;&gt;".",s_Irr!BH2&lt;&gt;"."),s_dir!K2/((1/1000)*(s_Irr!J2+s_Irr!AI2+s_Irr!BH2)),IF(AND(s_Irr!J2&lt;&gt;".",s_Irr!AI2&lt;&gt;".",s_Irr!BH2="."),s_dir!K2/((1/1000)*(s_Irr!J2+s_Irr!AI2)),IF(AND(s_Irr!J2&lt;&gt;".",s_Irr!AI2=".",s_Irr!BH2&lt;&gt;"."),s_dir!K2/((1/1000)*(s_Irr!J2+s_Irr!BH2)),IF(AND(s_Irr!J2=".",s_Irr!AI2&lt;&gt;".",s_Irr!BH2&lt;&gt;"."),s_dir!K2/((1/1000)*(s_Irr!AI2+s_Irr!BH2)),IF(AND(s_Irr!J2=".",s_Irr!AI2=".",s_Irr!BH2&lt;&gt;"."),s_dir!K2/((1/1000)*(s_Irr!BH2)),IF(AND(s_Irr!J2=".",s_Irr!AI2&lt;&gt;".",s_Irr!BH2="."),s_dir!K2/((1/1000)*(s_Irr!AI2)),IF(AND(s_Irr!J2&lt;&gt;".",s_Irr!AI2=".",s_Irr!BH2="."),s_dir!K2/((1/1000)*(s_Irr!J2)),IF(AND(s_Irr!J2=".",s_Irr!AI2=".",s_Irr!BH2="."),s_dir!K2*1000)))))))),".")</f>
        <v>102.32784264624013</v>
      </c>
      <c r="L2" s="76">
        <f>IFERROR(IF(AND(s_Irr!K2&lt;&gt;".",s_Irr!AJ2&lt;&gt;".",s_Irr!BI2&lt;&gt;"."),s_dir!L2/((1/1000)*(s_Irr!K2+s_Irr!AJ2+s_Irr!BI2)),IF(AND(s_Irr!K2&lt;&gt;".",s_Irr!AJ2&lt;&gt;".",s_Irr!BI2="."),s_dir!L2/((1/1000)*(s_Irr!K2+s_Irr!AJ2)),IF(AND(s_Irr!K2&lt;&gt;".",s_Irr!AJ2=".",s_Irr!BI2&lt;&gt;"."),s_dir!L2/((1/1000)*(s_Irr!K2+s_Irr!BI2)),IF(AND(s_Irr!K2=".",s_Irr!AJ2&lt;&gt;".",s_Irr!BI2&lt;&gt;"."),s_dir!L2/((1/1000)*(s_Irr!AJ2+s_Irr!BI2)),IF(AND(s_Irr!K2=".",s_Irr!AJ2=".",s_Irr!BI2&lt;&gt;"."),s_dir!L2/((1/1000)*(s_Irr!BI2)),IF(AND(s_Irr!K2=".",s_Irr!AJ2&lt;&gt;".",s_Irr!BI2="."),s_dir!L2/((1/1000)*(s_Irr!AJ2)),IF(AND(s_Irr!K2&lt;&gt;".",s_Irr!AJ2=".",s_Irr!BI2="."),s_dir!L2/((1/1000)*(s_Irr!K2)),IF(AND(s_Irr!K2=".",s_Irr!AJ2=".",s_Irr!BI2="."),s_dir!L2*1000)))))))),".")</f>
        <v>102.32784264624013</v>
      </c>
      <c r="M2" s="76">
        <f>IFERROR(IF(AND(s_Irr!L2&lt;&gt;".",s_Irr!AK2&lt;&gt;".",s_Irr!BJ2&lt;&gt;"."),s_dir!M2/((1/1000)*(s_Irr!L2+s_Irr!AK2+s_Irr!BJ2)),IF(AND(s_Irr!L2&lt;&gt;".",s_Irr!AK2&lt;&gt;".",s_Irr!BJ2="."),s_dir!M2/((1/1000)*(s_Irr!L2+s_Irr!AK2)),IF(AND(s_Irr!L2&lt;&gt;".",s_Irr!AK2=".",s_Irr!BJ2&lt;&gt;"."),s_dir!M2/((1/1000)*(s_Irr!L2+s_Irr!BJ2)),IF(AND(s_Irr!L2=".",s_Irr!AK2&lt;&gt;".",s_Irr!BJ2&lt;&gt;"."),s_dir!M2/((1/1000)*(s_Irr!AK2+s_Irr!BJ2)),IF(AND(s_Irr!L2=".",s_Irr!AK2=".",s_Irr!BJ2&lt;&gt;"."),s_dir!M2/((1/1000)*(s_Irr!BJ2)),IF(AND(s_Irr!L2=".",s_Irr!AK2&lt;&gt;".",s_Irr!BJ2="."),s_dir!M2/((1/1000)*(s_Irr!AK2)),IF(AND(s_Irr!L2&lt;&gt;".",s_Irr!AK2=".",s_Irr!BJ2="."),s_dir!M2/((1/1000)*(s_Irr!L2)),IF(AND(s_Irr!L2=".",s_Irr!AK2=".",s_Irr!BJ2="."),s_dir!M2*1000)))))))),".")</f>
        <v>102.32784264624013</v>
      </c>
      <c r="N2" s="76">
        <f>IFERROR(IF(AND(s_Irr!M2&lt;&gt;".",s_Irr!AL2&lt;&gt;".",s_Irr!BK2&lt;&gt;"."),s_dir!N2/((1/1000)*(s_Irr!M2+s_Irr!AL2+s_Irr!BK2)),IF(AND(s_Irr!M2&lt;&gt;".",s_Irr!AL2&lt;&gt;".",s_Irr!BK2="."),s_dir!N2/((1/1000)*(s_Irr!M2+s_Irr!AL2)),IF(AND(s_Irr!M2&lt;&gt;".",s_Irr!AL2=".",s_Irr!BK2&lt;&gt;"."),s_dir!N2/((1/1000)*(s_Irr!M2+s_Irr!BK2)),IF(AND(s_Irr!M2=".",s_Irr!AL2&lt;&gt;".",s_Irr!BK2&lt;&gt;"."),s_dir!N2/((1/1000)*(s_Irr!AL2+s_Irr!BK2)),IF(AND(s_Irr!M2=".",s_Irr!AL2=".",s_Irr!BK2&lt;&gt;"."),s_dir!N2/((1/1000)*(s_Irr!BK2)),IF(AND(s_Irr!M2=".",s_Irr!AL2&lt;&gt;".",s_Irr!BK2="."),s_dir!N2/((1/1000)*(s_Irr!AL2)),IF(AND(s_Irr!M2&lt;&gt;".",s_Irr!AL2=".",s_Irr!BK2="."),s_dir!N2/((1/1000)*(s_Irr!M2)),IF(AND(s_Irr!M2=".",s_Irr!AL2=".",s_Irr!BK2="."),s_dir!N2*1000)))))))),".")</f>
        <v>102.32784264624013</v>
      </c>
      <c r="O2" s="76">
        <f>IFERROR(IF(AND(s_Irr!N2&lt;&gt;".",s_Irr!AM2&lt;&gt;".",s_Irr!BL2&lt;&gt;"."),s_dir!O2/((1/1000)*(s_Irr!N2+s_Irr!AM2+s_Irr!BL2)),IF(AND(s_Irr!N2&lt;&gt;".",s_Irr!AM2&lt;&gt;".",s_Irr!BL2="."),s_dir!O2/((1/1000)*(s_Irr!N2+s_Irr!AM2)),IF(AND(s_Irr!N2&lt;&gt;".",s_Irr!AM2=".",s_Irr!BL2&lt;&gt;"."),s_dir!O2/((1/1000)*(s_Irr!N2+s_Irr!BL2)),IF(AND(s_Irr!N2=".",s_Irr!AM2&lt;&gt;".",s_Irr!BL2&lt;&gt;"."),s_dir!O2/((1/1000)*(s_Irr!AM2+s_Irr!BL2)),IF(AND(s_Irr!N2=".",s_Irr!AM2=".",s_Irr!BL2&lt;&gt;"."),s_dir!O2/((1/1000)*(s_Irr!BL2)),IF(AND(s_Irr!N2=".",s_Irr!AM2&lt;&gt;".",s_Irr!BL2="."),s_dir!O2/((1/1000)*(s_Irr!AM2)),IF(AND(s_Irr!N2&lt;&gt;".",s_Irr!AM2=".",s_Irr!BL2="."),s_dir!O2/((1/1000)*(s_Irr!N2)),IF(AND(s_Irr!N2=".",s_Irr!AM2=".",s_Irr!BL2="."),s_dir!O2*1000)))))))),".")</f>
        <v>102.32784264624013</v>
      </c>
      <c r="P2" s="76">
        <f>IFERROR(IF(AND(s_Irr!O2&lt;&gt;".",s_Irr!AN2&lt;&gt;".",s_Irr!BM2&lt;&gt;"."),s_dir!P2/((1/1000)*(s_Irr!O2+s_Irr!AN2+s_Irr!BM2)),IF(AND(s_Irr!O2&lt;&gt;".",s_Irr!AN2&lt;&gt;".",s_Irr!BM2="."),s_dir!P2/((1/1000)*(s_Irr!O2+s_Irr!AN2)),IF(AND(s_Irr!O2&lt;&gt;".",s_Irr!AN2=".",s_Irr!BM2&lt;&gt;"."),s_dir!P2/((1/1000)*(s_Irr!O2+s_Irr!BM2)),IF(AND(s_Irr!O2=".",s_Irr!AN2&lt;&gt;".",s_Irr!BM2&lt;&gt;"."),s_dir!P2/((1/1000)*(s_Irr!AN2+s_Irr!BM2)),IF(AND(s_Irr!O2=".",s_Irr!AN2=".",s_Irr!BM2&lt;&gt;"."),s_dir!P2/((1/1000)*(s_Irr!BM2)),IF(AND(s_Irr!O2=".",s_Irr!AN2&lt;&gt;".",s_Irr!BM2="."),s_dir!P2/((1/1000)*(s_Irr!AN2)),IF(AND(s_Irr!O2&lt;&gt;".",s_Irr!AN2=".",s_Irr!BM2="."),s_dir!P2/((1/1000)*(s_Irr!O2)),IF(AND(s_Irr!O2=".",s_Irr!AN2=".",s_Irr!BM2="."),s_dir!P2*1000)))))))),".")</f>
        <v>102.32784264624013</v>
      </c>
      <c r="Q2" s="76">
        <f>IFERROR(IF(AND(s_Irr!P2&lt;&gt;".",s_Irr!AO2&lt;&gt;".",s_Irr!BN2&lt;&gt;"."),s_dir!Q2/((1/1000)*(s_Irr!P2+s_Irr!AO2+s_Irr!BN2)),IF(AND(s_Irr!P2&lt;&gt;".",s_Irr!AO2&lt;&gt;".",s_Irr!BN2="."),s_dir!Q2/((1/1000)*(s_Irr!P2+s_Irr!AO2)),IF(AND(s_Irr!P2&lt;&gt;".",s_Irr!AO2=".",s_Irr!BN2&lt;&gt;"."),s_dir!Q2/((1/1000)*(s_Irr!P2+s_Irr!BN2)),IF(AND(s_Irr!P2=".",s_Irr!AO2&lt;&gt;".",s_Irr!BN2&lt;&gt;"."),s_dir!Q2/((1/1000)*(s_Irr!AO2+s_Irr!BN2)),IF(AND(s_Irr!P2=".",s_Irr!AO2=".",s_Irr!BN2&lt;&gt;"."),s_dir!Q2/((1/1000)*(s_Irr!BN2)),IF(AND(s_Irr!P2=".",s_Irr!AO2&lt;&gt;".",s_Irr!BN2="."),s_dir!Q2/((1/1000)*(s_Irr!AO2)),IF(AND(s_Irr!P2&lt;&gt;".",s_Irr!AO2=".",s_Irr!BN2="."),s_dir!Q2/((1/1000)*(s_Irr!P2)),IF(AND(s_Irr!P2=".",s_Irr!AO2=".",s_Irr!BN2="."),s_dir!Q2*1000)))))))),".")</f>
        <v>102.32784264624013</v>
      </c>
      <c r="R2" s="76">
        <f>IFERROR(IF(AND(s_Irr!Q2&lt;&gt;".",s_Irr!AP2&lt;&gt;".",s_Irr!BO2&lt;&gt;"."),s_dir!R2/((1/1000)*(s_Irr!Q2+s_Irr!AP2+s_Irr!BO2)),IF(AND(s_Irr!Q2&lt;&gt;".",s_Irr!AP2&lt;&gt;".",s_Irr!BO2="."),s_dir!R2/((1/1000)*(s_Irr!Q2+s_Irr!AP2)),IF(AND(s_Irr!Q2&lt;&gt;".",s_Irr!AP2=".",s_Irr!BO2&lt;&gt;"."),s_dir!R2/((1/1000)*(s_Irr!Q2+s_Irr!BO2)),IF(AND(s_Irr!Q2=".",s_Irr!AP2&lt;&gt;".",s_Irr!BO2&lt;&gt;"."),s_dir!R2/((1/1000)*(s_Irr!AP2+s_Irr!BO2)),IF(AND(s_Irr!Q2=".",s_Irr!AP2=".",s_Irr!BO2&lt;&gt;"."),s_dir!R2/((1/1000)*(s_Irr!BO2)),IF(AND(s_Irr!Q2=".",s_Irr!AP2&lt;&gt;".",s_Irr!BO2="."),s_dir!R2/((1/1000)*(s_Irr!AP2)),IF(AND(s_Irr!Q2&lt;&gt;".",s_Irr!AP2=".",s_Irr!BO2="."),s_dir!R2/((1/1000)*(s_Irr!Q2)),IF(AND(s_Irr!Q2=".",s_Irr!AP2=".",s_Irr!BO2="."),s_dir!R2*1000)))))))),".")</f>
        <v>102.32784264624013</v>
      </c>
      <c r="S2" s="76">
        <f>IFERROR(IF(AND(s_Irr!R2&lt;&gt;".",s_Irr!AQ2&lt;&gt;".",s_Irr!BP2&lt;&gt;"."),s_dir!S2/((1/1000)*(s_Irr!R2+s_Irr!AQ2+s_Irr!BP2)),IF(AND(s_Irr!R2&lt;&gt;".",s_Irr!AQ2&lt;&gt;".",s_Irr!BP2="."),s_dir!S2/((1/1000)*(s_Irr!R2+s_Irr!AQ2)),IF(AND(s_Irr!R2&lt;&gt;".",s_Irr!AQ2=".",s_Irr!BP2&lt;&gt;"."),s_dir!S2/((1/1000)*(s_Irr!R2+s_Irr!BP2)),IF(AND(s_Irr!R2=".",s_Irr!AQ2&lt;&gt;".",s_Irr!BP2&lt;&gt;"."),s_dir!S2/((1/1000)*(s_Irr!AQ2+s_Irr!BP2)),IF(AND(s_Irr!R2=".",s_Irr!AQ2=".",s_Irr!BP2&lt;&gt;"."),s_dir!S2/((1/1000)*(s_Irr!BP2)),IF(AND(s_Irr!R2=".",s_Irr!AQ2&lt;&gt;".",s_Irr!BP2="."),s_dir!S2/((1/1000)*(s_Irr!AQ2)),IF(AND(s_Irr!R2&lt;&gt;".",s_Irr!AQ2=".",s_Irr!BP2="."),s_dir!S2/((1/1000)*(s_Irr!R2)),IF(AND(s_Irr!R2=".",s_Irr!AQ2=".",s_Irr!BP2="."),s_dir!S2*1000)))))))),".")</f>
        <v>102.32784264624013</v>
      </c>
      <c r="T2" s="76">
        <f>IFERROR(IF(AND(s_Irr!S2&lt;&gt;".",s_Irr!AR2&lt;&gt;".",s_Irr!BQ2&lt;&gt;"."),s_dir!T2/((1/1000)*(s_Irr!S2+s_Irr!AR2+s_Irr!BQ2)),IF(AND(s_Irr!S2&lt;&gt;".",s_Irr!AR2&lt;&gt;".",s_Irr!BQ2="."),s_dir!T2/((1/1000)*(s_Irr!S2+s_Irr!AR2)),IF(AND(s_Irr!S2&lt;&gt;".",s_Irr!AR2=".",s_Irr!BQ2&lt;&gt;"."),s_dir!T2/((1/1000)*(s_Irr!S2+s_Irr!BQ2)),IF(AND(s_Irr!S2=".",s_Irr!AR2&lt;&gt;".",s_Irr!BQ2&lt;&gt;"."),s_dir!T2/((1/1000)*(s_Irr!AR2+s_Irr!BQ2)),IF(AND(s_Irr!S2=".",s_Irr!AR2=".",s_Irr!BQ2&lt;&gt;"."),s_dir!T2/((1/1000)*(s_Irr!BQ2)),IF(AND(s_Irr!S2=".",s_Irr!AR2&lt;&gt;".",s_Irr!BQ2="."),s_dir!T2/((1/1000)*(s_Irr!AR2)),IF(AND(s_Irr!S2&lt;&gt;".",s_Irr!AR2=".",s_Irr!BQ2="."),s_dir!T2/((1/1000)*(s_Irr!S2)),IF(AND(s_Irr!S2=".",s_Irr!AR2=".",s_Irr!BQ2="."),s_dir!T2*1000)))))))),".")</f>
        <v>102.32784264624013</v>
      </c>
      <c r="U2" s="76">
        <f>IFERROR(IF(AND(s_Irr!T2&lt;&gt;".",s_Irr!AS2&lt;&gt;".",s_Irr!BR2&lt;&gt;"."),s_dir!U2/((1/1000)*(s_Irr!T2+s_Irr!AS2+s_Irr!BR2)),IF(AND(s_Irr!T2&lt;&gt;".",s_Irr!AS2&lt;&gt;".",s_Irr!BR2="."),s_dir!U2/((1/1000)*(s_Irr!T2+s_Irr!AS2)),IF(AND(s_Irr!T2&lt;&gt;".",s_Irr!AS2=".",s_Irr!BR2&lt;&gt;"."),s_dir!U2/((1/1000)*(s_Irr!T2+s_Irr!BR2)),IF(AND(s_Irr!T2=".",s_Irr!AS2&lt;&gt;".",s_Irr!BR2&lt;&gt;"."),s_dir!U2/((1/1000)*(s_Irr!AS2+s_Irr!BR2)),IF(AND(s_Irr!T2=".",s_Irr!AS2=".",s_Irr!BR2&lt;&gt;"."),s_dir!U2/((1/1000)*(s_Irr!BR2)),IF(AND(s_Irr!T2=".",s_Irr!AS2&lt;&gt;".",s_Irr!BR2="."),s_dir!U2/((1/1000)*(s_Irr!AS2)),IF(AND(s_Irr!T2&lt;&gt;".",s_Irr!AS2=".",s_Irr!BR2="."),s_dir!U2/((1/1000)*(s_Irr!T2)),IF(AND(s_Irr!T2=".",s_Irr!AS2=".",s_Irr!BR2="."),s_dir!U2*1000)))))))),".")</f>
        <v>102.32784264624013</v>
      </c>
      <c r="V2" s="76">
        <f>IFERROR(IF(AND(s_Irr!U2&lt;&gt;".",s_Irr!AT2&lt;&gt;".",s_Irr!BS2&lt;&gt;"."),s_dir!V2/((1/1000)*(s_Irr!U2+s_Irr!AT2+s_Irr!BS2)),IF(AND(s_Irr!U2&lt;&gt;".",s_Irr!AT2&lt;&gt;".",s_Irr!BS2="."),s_dir!V2/((1/1000)*(s_Irr!U2+s_Irr!AT2)),IF(AND(s_Irr!U2&lt;&gt;".",s_Irr!AT2=".",s_Irr!BS2&lt;&gt;"."),s_dir!V2/((1/1000)*(s_Irr!U2+s_Irr!BS2)),IF(AND(s_Irr!U2=".",s_Irr!AT2&lt;&gt;".",s_Irr!BS2&lt;&gt;"."),s_dir!V2/((1/1000)*(s_Irr!AT2+s_Irr!BS2)),IF(AND(s_Irr!U2=".",s_Irr!AT2=".",s_Irr!BS2&lt;&gt;"."),s_dir!V2/((1/1000)*(s_Irr!BS2)),IF(AND(s_Irr!U2=".",s_Irr!AT2&lt;&gt;".",s_Irr!BS2="."),s_dir!V2/((1/1000)*(s_Irr!AT2)),IF(AND(s_Irr!U2&lt;&gt;".",s_Irr!AT2=".",s_Irr!BS2="."),s_dir!V2/((1/1000)*(s_Irr!U2)),IF(AND(s_Irr!U2=".",s_Irr!AT2=".",s_Irr!BS2="."),s_dir!V2*1000)))))))),".")</f>
        <v>102.32784264624013</v>
      </c>
      <c r="W2" s="76">
        <f>IFERROR(IF(AND(s_Irr!V2&lt;&gt;".",s_Irr!AU2&lt;&gt;".",s_Irr!BT2&lt;&gt;"."),s_dir!W2/((1/1000)*(s_Irr!V2+s_Irr!AU2+s_Irr!BT2)),IF(AND(s_Irr!V2&lt;&gt;".",s_Irr!AU2&lt;&gt;".",s_Irr!BT2="."),s_dir!W2/((1/1000)*(s_Irr!V2+s_Irr!AU2)),IF(AND(s_Irr!V2&lt;&gt;".",s_Irr!AU2=".",s_Irr!BT2&lt;&gt;"."),s_dir!W2/((1/1000)*(s_Irr!V2+s_Irr!BT2)),IF(AND(s_Irr!V2=".",s_Irr!AU2&lt;&gt;".",s_Irr!BT2&lt;&gt;"."),s_dir!W2/((1/1000)*(s_Irr!AU2+s_Irr!BT2)),IF(AND(s_Irr!V2=".",s_Irr!AU2=".",s_Irr!BT2&lt;&gt;"."),s_dir!W2/((1/1000)*(s_Irr!BT2)),IF(AND(s_Irr!V2=".",s_Irr!AU2&lt;&gt;".",s_Irr!BT2="."),s_dir!W2/((1/1000)*(s_Irr!AU2)),IF(AND(s_Irr!V2&lt;&gt;".",s_Irr!AU2=".",s_Irr!BT2="."),s_dir!W2/((1/1000)*(s_Irr!V2)),IF(AND(s_Irr!V2=".",s_Irr!AU2=".",s_Irr!BT2="."),s_dir!W2*1000)))))))),".")</f>
        <v>102.32784264624013</v>
      </c>
      <c r="X2" s="76">
        <f>IFERROR(IF(AND(s_Irr!W2&lt;&gt;".",s_Irr!AV2&lt;&gt;".",s_Irr!BU2&lt;&gt;"."),s_dir!X2/((1/1000)*(s_Irr!W2+s_Irr!AV2+s_Irr!BU2)),IF(AND(s_Irr!W2&lt;&gt;".",s_Irr!AV2&lt;&gt;".",s_Irr!BU2="."),s_dir!X2/((1/1000)*(s_Irr!W2+s_Irr!AV2)),IF(AND(s_Irr!W2&lt;&gt;".",s_Irr!AV2=".",s_Irr!BU2&lt;&gt;"."),s_dir!X2/((1/1000)*(s_Irr!W2+s_Irr!BU2)),IF(AND(s_Irr!W2=".",s_Irr!AV2&lt;&gt;".",s_Irr!BU2&lt;&gt;"."),s_dir!X2/((1/1000)*(s_Irr!AV2+s_Irr!BU2)),IF(AND(s_Irr!W2=".",s_Irr!AV2=".",s_Irr!BU2&lt;&gt;"."),s_dir!X2/((1/1000)*(s_Irr!BU2)),IF(AND(s_Irr!W2=".",s_Irr!AV2&lt;&gt;".",s_Irr!BU2="."),s_dir!X2/((1/1000)*(s_Irr!AV2)),IF(AND(s_Irr!W2&lt;&gt;".",s_Irr!AV2=".",s_Irr!BU2="."),s_dir!X2/((1/1000)*(s_Irr!W2)),IF(AND(s_Irr!W2=".",s_Irr!AV2=".",s_Irr!BU2="."),s_dir!X2*1000)))))))),".")</f>
        <v>102.32784264624013</v>
      </c>
      <c r="Y2" s="76">
        <f>IFERROR(IF(AND(s_Irr!X2&lt;&gt;".",s_Irr!AW2&lt;&gt;".",s_Irr!BV2&lt;&gt;"."),s_dir!Y2/((1/1000)*(s_Irr!X2+s_Irr!AW2+s_Irr!BV2)),IF(AND(s_Irr!X2&lt;&gt;".",s_Irr!AW2&lt;&gt;".",s_Irr!BV2="."),s_dir!Y2/((1/1000)*(s_Irr!X2+s_Irr!AW2)),IF(AND(s_Irr!X2&lt;&gt;".",s_Irr!AW2=".",s_Irr!BV2&lt;&gt;"."),s_dir!Y2/((1/1000)*(s_Irr!X2+s_Irr!BV2)),IF(AND(s_Irr!X2=".",s_Irr!AW2&lt;&gt;".",s_Irr!BV2&lt;&gt;"."),s_dir!Y2/((1/1000)*(s_Irr!AW2+s_Irr!BV2)),IF(AND(s_Irr!X2=".",s_Irr!AW2=".",s_Irr!BV2&lt;&gt;"."),s_dir!Y2/((1/1000)*(s_Irr!BV2)),IF(AND(s_Irr!X2=".",s_Irr!AW2&lt;&gt;".",s_Irr!BV2="."),s_dir!Y2/((1/1000)*(s_Irr!AW2)),IF(AND(s_Irr!X2&lt;&gt;".",s_Irr!AW2=".",s_Irr!BV2="."),s_dir!Y2/((1/1000)*(s_Irr!X2)),IF(AND(s_Irr!X2=".",s_Irr!AW2=".",s_Irr!BV2="."),s_dir!Y2*1000)))))))),".")</f>
        <v>102.32784264624013</v>
      </c>
      <c r="Z2" s="76">
        <f>IFERROR(IF(AND(s_Irr!Y2&lt;&gt;".",s_Irr!AX2&lt;&gt;".",s_Irr!BW2&lt;&gt;"."),s_dir!Z2/((1/1000)*(s_Irr!Y2+s_Irr!AX2+s_Irr!BW2)),IF(AND(s_Irr!Y2&lt;&gt;".",s_Irr!AX2&lt;&gt;".",s_Irr!BW2="."),s_dir!Z2/((1/1000)*(s_Irr!Y2+s_Irr!AX2)),IF(AND(s_Irr!Y2&lt;&gt;".",s_Irr!AX2=".",s_Irr!BW2&lt;&gt;"."),s_dir!Z2/((1/1000)*(s_Irr!Y2+s_Irr!BW2)),IF(AND(s_Irr!Y2=".",s_Irr!AX2&lt;&gt;".",s_Irr!BW2&lt;&gt;"."),s_dir!Z2/((1/1000)*(s_Irr!AX2+s_Irr!BW2)),IF(AND(s_Irr!Y2=".",s_Irr!AX2=".",s_Irr!BW2&lt;&gt;"."),s_dir!Z2/((1/1000)*(s_Irr!BW2)),IF(AND(s_Irr!Y2=".",s_Irr!AX2&lt;&gt;".",s_Irr!BW2="."),s_dir!Z2/((1/1000)*(s_Irr!AX2)),IF(AND(s_Irr!Y2&lt;&gt;".",s_Irr!AX2=".",s_Irr!BW2="."),s_dir!Z2/((1/1000)*(s_Irr!Y2)),IF(AND(s_Irr!Y2=".",s_Irr!AX2=".",s_Irr!BW2="."),s_dir!Z2*1000)))))))),".")</f>
        <v>102.32784264624013</v>
      </c>
      <c r="AA2" s="76">
        <f>IFERROR(IF(AND(s_Irr!Z2&lt;&gt;".",s_Irr!AY2&lt;&gt;".",s_Irr!BX2&lt;&gt;"."),s_dir!AA2/((1/1000)*(s_Irr!Z2+s_Irr!AY2+s_Irr!BX2)),IF(AND(s_Irr!Z2&lt;&gt;".",s_Irr!AY2&lt;&gt;".",s_Irr!BX2="."),s_dir!AA2/((1/1000)*(s_Irr!Z2+s_Irr!AY2)),IF(AND(s_Irr!Z2&lt;&gt;".",s_Irr!AY2=".",s_Irr!BX2&lt;&gt;"."),s_dir!AA2/((1/1000)*(s_Irr!Z2+s_Irr!BX2)),IF(AND(s_Irr!Z2=".",s_Irr!AY2&lt;&gt;".",s_Irr!BX2&lt;&gt;"."),s_dir!AA2/((1/1000)*(s_Irr!AY2+s_Irr!BX2)),IF(AND(s_Irr!Z2=".",s_Irr!AY2=".",s_Irr!BX2&lt;&gt;"."),s_dir!AA2/((1/1000)*(s_Irr!BX2)),IF(AND(s_Irr!Z2=".",s_Irr!AY2&lt;&gt;".",s_Irr!BX2="."),s_dir!AA2/((1/1000)*(s_Irr!AY2)),IF(AND(s_Irr!Z2&lt;&gt;".",s_Irr!AY2=".",s_Irr!BX2="."),s_dir!AA2/((1/1000)*(s_Irr!Z2)),IF(AND(s_Irr!Z2=".",s_Irr!AY2=".",s_Irr!BX2="."),s_dir!AA2*1000)))))))),".")</f>
        <v>102.32784264624013</v>
      </c>
      <c r="AB2" s="76">
        <f>IFERROR(IF(AND(s_Irr!AA2&lt;&gt;".",s_Irr!AZ2&lt;&gt;".",s_Irr!BY2&lt;&gt;"."),s_dir!AB2/((1/1000)*(s_Irr!AA2+s_Irr!AZ2+s_Irr!BY2)),IF(AND(s_Irr!AA2&lt;&gt;".",s_Irr!AZ2&lt;&gt;".",s_Irr!BY2="."),s_dir!AB2/((1/1000)*(s_Irr!AA2+s_Irr!AZ2)),IF(AND(s_Irr!AA2&lt;&gt;".",s_Irr!AZ2=".",s_Irr!BY2&lt;&gt;"."),s_dir!AB2/((1/1000)*(s_Irr!AA2+s_Irr!BY2)),IF(AND(s_Irr!AA2=".",s_Irr!AZ2&lt;&gt;".",s_Irr!BY2&lt;&gt;"."),s_dir!AB2/((1/1000)*(s_Irr!AZ2+s_Irr!BY2)),IF(AND(s_Irr!AA2=".",s_Irr!AZ2=".",s_Irr!BY2&lt;&gt;"."),s_dir!AB2/((1/1000)*(s_Irr!BY2)),IF(AND(s_Irr!AA2=".",s_Irr!AZ2&lt;&gt;".",s_Irr!BY2="."),s_dir!AB2/((1/1000)*(s_Irr!AZ2)),IF(AND(s_Irr!AA2&lt;&gt;".",s_Irr!AZ2=".",s_Irr!BY2="."),s_dir!AB2/((1/1000)*(s_Irr!AA2)),IF(AND(s_Irr!AA2=".",s_Irr!AZ2=".",s_Irr!BY2="."),s_dir!AB2*1000)))))))),".")</f>
        <v>102.32784264624013</v>
      </c>
      <c r="AC2" s="93">
        <f>SUM(AD2:AE2,AU2,BA2:BB2)</f>
        <v>8995.9784538842323</v>
      </c>
      <c r="AD2" s="93">
        <f>IFERROR(s_C*s_IFAP_res_adj*s_CF_apple*0.001*(s_Irr!C2+s_Irr!AB2+s_Irr!BA2),".")</f>
        <v>1799.1956907768463</v>
      </c>
      <c r="AE2" s="93">
        <f>IFERROR(s_C*s_IFAS_res_adj*s_CF_asparagus*0.001*(s_Irr!D2+s_Irr!AC2+s_Irr!BB2),".")</f>
        <v>1799.1956907768463</v>
      </c>
      <c r="AF2" s="93">
        <f>IFERROR(s_C*s_IFBT_res_adj*s_CF_beet*0.001*(s_Irr!E2+s_Irr!AD2+s_Irr!BC2),".")</f>
        <v>1799.1956907768463</v>
      </c>
      <c r="AG2" s="93">
        <f>IFERROR(s_C*s_IFBE_res_adj*s_CF_berries*0.001*(s_Irr!F2+s_Irr!AE2+s_Irr!BD2),".")</f>
        <v>1799.1956907768463</v>
      </c>
      <c r="AH2" s="93">
        <f>IFERROR(s_C*s_IFBR_res_adj*s_CF_broccoli*0.001*(s_Irr!G2+s_Irr!AF2+s_Irr!BE2),".")</f>
        <v>1799.1956907768463</v>
      </c>
      <c r="AI2" s="93">
        <f>IFERROR(s_C*s_IFCB_res_adj*s_CF_cabbage*0.001*(s_Irr!H2+s_Irr!AG2+s_Irr!BF2),".")</f>
        <v>1799.1956907768463</v>
      </c>
      <c r="AJ2" s="93">
        <f>IFERROR(s_C*s_IFCR_res_adj*s_CF_carrot*0.001*(s_Irr!I2+s_Irr!AH2+s_Irr!BG2),".")</f>
        <v>1799.1956907768463</v>
      </c>
      <c r="AK2" s="93">
        <f>IFERROR(s_C*s_IFCI_res_adj*s_CF_citrus*0.001*(s_Irr!J2+s_Irr!AI2+s_Irr!BH2),".")</f>
        <v>1799.1956907768463</v>
      </c>
      <c r="AL2" s="93">
        <f>IFERROR(s_C*s_IFCO_res_adj*s_CF_corn*0.001*(s_Irr!K2+s_Irr!AJ2+s_Irr!BI2),".")</f>
        <v>1799.1956907768463</v>
      </c>
      <c r="AM2" s="93">
        <f>IFERROR(s_C*s_IFCU_res_adj*s_CF_cucumber*0.001*(s_Irr!L2+s_Irr!AK2+s_Irr!BJ2),".")</f>
        <v>1799.1956907768463</v>
      </c>
      <c r="AN2" s="93">
        <f>IFERROR(s_C*s_IFLE_res_adj*s_CF_lettuce*0.001*(s_Irr!M2+s_Irr!AL2+s_Irr!BK2),".")</f>
        <v>1799.1956907768463</v>
      </c>
      <c r="AO2" s="93">
        <f>IFERROR(s_C*s_IFLI_res_adj*s_CF_lima_bean*0.001*(s_Irr!N2+s_Irr!AM2+s_Irr!BL2),".")</f>
        <v>1799.1956907768463</v>
      </c>
      <c r="AP2" s="93">
        <f>IFERROR(s_C*s_IFOK_res_adj*s_CF_okra*0.001*(s_Irr!O2+s_Irr!AN2+s_Irr!BM2),".")</f>
        <v>1799.1956907768463</v>
      </c>
      <c r="AQ2" s="93">
        <f>IFERROR(s_C*s_IFON_res_adj*s_CF_onion*0.001*(s_Irr!P2+s_Irr!AO2+s_Irr!BN2),".")</f>
        <v>1799.1956907768463</v>
      </c>
      <c r="AR2" s="93">
        <f>IFERROR(s_C*s_IFPC_res_adj*s_CF_peach*0.001*(s_Irr!Q2+s_Irr!AP2+s_Irr!BO2),".")</f>
        <v>1799.1956907768463</v>
      </c>
      <c r="AS2" s="93">
        <f>IFERROR(s_C*s_IFPR_res_adj*s_CF_pear*0.001*(s_Irr!R2+s_Irr!AQ2+s_Irr!BP2),".")</f>
        <v>1799.1956907768463</v>
      </c>
      <c r="AT2" s="93">
        <f>IFERROR(s_C*s_IFPE_res_adj*s_CF_peas*0.001*(s_Irr!S2+s_Irr!AR2+s_Irr!BQ2),".")</f>
        <v>1799.1956907768463</v>
      </c>
      <c r="AU2" s="93">
        <f>IFERROR(s_C*s_IFPP_res_adj*s_CF_peppers*0.001*(s_Irr!T2+s_Irr!AS2+s_Irr!BR2),".")</f>
        <v>1799.1956907768463</v>
      </c>
      <c r="AV2" s="93">
        <f>IFERROR(s_C*s_IFPT_res_adj*s_CF_potato*0.001*(s_Irr!U2+s_Irr!AT2+s_Irr!BS2),".")</f>
        <v>1799.1956907768463</v>
      </c>
      <c r="AW2" s="93">
        <f>IFERROR(s_C*s_IFPU_res_adj*s_CF_pumpkin*0.001*(s_Irr!V2+s_Irr!AU2+s_Irr!BT2),".")</f>
        <v>1799.1956907768463</v>
      </c>
      <c r="AX2" s="93">
        <f>IFERROR(s_C*s_IFSN_res_adj*s_CF_snap_bean*0.001*(s_Irr!W2+s_Irr!AV2+s_Irr!BU2),".")</f>
        <v>1799.1956907768463</v>
      </c>
      <c r="AY2" s="93">
        <f>IFERROR(s_C*s_IFST_res_adj*s_CF_strawberry*0.001*(s_Irr!X2+s_Irr!AW2+s_Irr!BV2),".")</f>
        <v>1799.1956907768463</v>
      </c>
      <c r="AZ2" s="93">
        <f>IFERROR(s_C*s_IFTO_res_adj*s_CF_tomato*0.001*(s_Irr!Y2+s_Irr!AX2+s_Irr!BW2),".")</f>
        <v>1799.1956907768463</v>
      </c>
      <c r="BA2" s="93">
        <f>IFERROR(s_C*s_IFRI_res_adj*s_CF_rice*0.001*(s_Irr!Z2+s_Irr!AY2+s_Irr!BX2),".")</f>
        <v>1799.1956907768463</v>
      </c>
      <c r="BB2" s="93">
        <f>IFERROR(s_C*s_IFCG_res_adj*s_CF_cereal*0.001*(s_Irr!AA2+s_Irr!AZ2+s_Irr!BY2),".")</f>
        <v>1799.1956907768463</v>
      </c>
      <c r="BC2" s="76">
        <f>IFERROR(1/SUM(1/BD2,1/BU2,1/CA2,1/CB2),".")</f>
        <v>25.581960661560032</v>
      </c>
      <c r="BD2" s="76">
        <f>IFERROR(IF(AND(s_Irr!C2&lt;&gt;".",s_Irr!AB2&lt;&gt;".",s_Irr!BA2&lt;&gt;"."),s_dir!AD2/((1/1000)*(s_Irr!C2+s_Irr!AB2+s_Irr!BA2)),IF(AND(s_Irr!C2&lt;&gt;".",s_Irr!AB2&lt;&gt;".",s_Irr!BA2="."),s_dir!AD2/((1/1000)*(s_Irr!C2+s_Irr!AB2)),IF(AND(s_Irr!C2&lt;&gt;".",s_Irr!AB2=".",s_Irr!BA2&lt;&gt;"."),s_dir!AD2/((1/1000)*(s_Irr!C2+s_Irr!BA2)),IF(AND(s_Irr!C2=".",s_Irr!AB2&lt;&gt;".",s_Irr!BA2&lt;&gt;"."),s_dir!AD2/((1/1000)*(s_Irr!AB2+s_Irr!BA2)),IF(AND(s_Irr!C2=".",s_Irr!AB2=".",s_Irr!BA2&lt;&gt;"."),s_dir!AD2/((1/1000)*(s_Irr!BA2)),IF(AND(s_Irr!C2=".",s_Irr!AB2&lt;&gt;".",s_Irr!BA2="."),s_dir!AD2/((1/1000)*(s_Irr!AB2)),IF(AND(s_Irr!C2&lt;&gt;".",s_Irr!AB2=".",s_Irr!BA2="."),s_dir!AD2/((1/1000)*(s_Irr!C2)),IF(AND(s_Irr!C2=".",s_Irr!AB2=".",s_Irr!BA2="."),s_dir!AD2*1000)))))))),".")</f>
        <v>102.32784264624013</v>
      </c>
      <c r="BE2" s="76">
        <f>IFERROR(IF(AND(s_Irr!D2&lt;&gt;".",s_Irr!AC2&lt;&gt;".",s_Irr!BB2&lt;&gt;"."),s_dir!AE2/((1/1000)*(s_Irr!D2+s_Irr!AC2+s_Irr!BB2)),IF(AND(s_Irr!D2&lt;&gt;".",s_Irr!AC2&lt;&gt;".",s_Irr!BB2="."),s_dir!AE2/((1/1000)*(s_Irr!D2+s_Irr!AC2)),IF(AND(s_Irr!D2&lt;&gt;".",s_Irr!AC2=".",s_Irr!BB2&lt;&gt;"."),s_dir!AE2/((1/1000)*(s_Irr!D2+s_Irr!BB2)),IF(AND(s_Irr!D2=".",s_Irr!AC2&lt;&gt;".",s_Irr!BB2&lt;&gt;"."),s_dir!AE2/((1/1000)*(s_Irr!AC2+s_Irr!BB2)),IF(AND(s_Irr!D2=".",s_Irr!AC2=".",s_Irr!BB2&lt;&gt;"."),s_dir!AE2/((1/1000)*(s_Irr!BB2)),IF(AND(s_Irr!D2=".",s_Irr!AC2&lt;&gt;".",s_Irr!BB2="."),s_dir!AE2/((1/1000)*(s_Irr!AC2)),IF(AND(s_Irr!D2&lt;&gt;".",s_Irr!AC2=".",s_Irr!BB2="."),s_dir!AE2/((1/1000)*(s_Irr!D2)),IF(AND(s_Irr!D2=".",s_Irr!AC2=".",s_Irr!BB2="."),s_dir!AE2*1000)))))))),".")</f>
        <v>102.32784264624013</v>
      </c>
      <c r="BF2" s="76">
        <f>IFERROR(IF(AND(s_Irr!E2&lt;&gt;".",s_Irr!AD2&lt;&gt;".",s_Irr!BC2&lt;&gt;"."),s_dir!AF2/((1/1000)*(s_Irr!E2+s_Irr!AD2+s_Irr!BC2)),IF(AND(s_Irr!E2&lt;&gt;".",s_Irr!AD2&lt;&gt;".",s_Irr!BC2="."),s_dir!AF2/((1/1000)*(s_Irr!E2+s_Irr!AD2)),IF(AND(s_Irr!E2&lt;&gt;".",s_Irr!AD2=".",s_Irr!BC2&lt;&gt;"."),s_dir!AF2/((1/1000)*(s_Irr!E2+s_Irr!BC2)),IF(AND(s_Irr!E2=".",s_Irr!AD2&lt;&gt;".",s_Irr!BC2&lt;&gt;"."),s_dir!AF2/((1/1000)*(s_Irr!AD2+s_Irr!BC2)),IF(AND(s_Irr!E2=".",s_Irr!AD2=".",s_Irr!BC2&lt;&gt;"."),s_dir!AF2/((1/1000)*(s_Irr!BC2)),IF(AND(s_Irr!E2=".",s_Irr!AD2&lt;&gt;".",s_Irr!BC2="."),s_dir!AF2/((1/1000)*(s_Irr!AD2)),IF(AND(s_Irr!E2&lt;&gt;".",s_Irr!AD2=".",s_Irr!BC2="."),s_dir!AF2/((1/1000)*(s_Irr!E2)),IF(AND(s_Irr!E2=".",s_Irr!AD2=".",s_Irr!BC2="."),s_dir!AF2*1000)))))))),".")</f>
        <v>102.32784264624013</v>
      </c>
      <c r="BG2" s="76">
        <f>IFERROR(IF(AND(s_Irr!F2&lt;&gt;".",s_Irr!AE2&lt;&gt;".",s_Irr!BD2&lt;&gt;"."),s_dir!AG2/((1/1000)*(s_Irr!F2+s_Irr!AE2+s_Irr!BD2)),IF(AND(s_Irr!F2&lt;&gt;".",s_Irr!AE2&lt;&gt;".",s_Irr!BD2="."),s_dir!AG2/((1/1000)*(s_Irr!F2+s_Irr!AE2)),IF(AND(s_Irr!F2&lt;&gt;".",s_Irr!AE2=".",s_Irr!BD2&lt;&gt;"."),s_dir!AG2/((1/1000)*(s_Irr!F2+s_Irr!BD2)),IF(AND(s_Irr!F2=".",s_Irr!AE2&lt;&gt;".",s_Irr!BD2&lt;&gt;"."),s_dir!AG2/((1/1000)*(s_Irr!AE2+s_Irr!BD2)),IF(AND(s_Irr!F2=".",s_Irr!AE2=".",s_Irr!BD2&lt;&gt;"."),s_dir!AG2/((1/1000)*(s_Irr!BD2)),IF(AND(s_Irr!F2=".",s_Irr!AE2&lt;&gt;".",s_Irr!BD2="."),s_dir!AG2/((1/1000)*(s_Irr!AE2)),IF(AND(s_Irr!F2&lt;&gt;".",s_Irr!AE2=".",s_Irr!BD2="."),s_dir!AG2/((1/1000)*(s_Irr!F2)),IF(AND(s_Irr!F2=".",s_Irr!AE2=".",s_Irr!BD2="."),s_dir!AG2*1000)))))))),".")</f>
        <v>102.32784264624013</v>
      </c>
      <c r="BH2" s="76">
        <f>IFERROR(IF(AND(s_Irr!G2&lt;&gt;".",s_Irr!AF2&lt;&gt;".",s_Irr!BE2&lt;&gt;"."),s_dir!AH2/((1/1000)*(s_Irr!G2+s_Irr!AF2+s_Irr!BE2)),IF(AND(s_Irr!G2&lt;&gt;".",s_Irr!AF2&lt;&gt;".",s_Irr!BE2="."),s_dir!AH2/((1/1000)*(s_Irr!G2+s_Irr!AF2)),IF(AND(s_Irr!G2&lt;&gt;".",s_Irr!AF2=".",s_Irr!BE2&lt;&gt;"."),s_dir!AH2/((1/1000)*(s_Irr!G2+s_Irr!BE2)),IF(AND(s_Irr!G2=".",s_Irr!AF2&lt;&gt;".",s_Irr!BE2&lt;&gt;"."),s_dir!AH2/((1/1000)*(s_Irr!AF2+s_Irr!BE2)),IF(AND(s_Irr!G2=".",s_Irr!AF2=".",s_Irr!BE2&lt;&gt;"."),s_dir!AH2/((1/1000)*(s_Irr!BE2)),IF(AND(s_Irr!G2=".",s_Irr!AF2&lt;&gt;".",s_Irr!BE2="."),s_dir!AH2/((1/1000)*(s_Irr!AF2)),IF(AND(s_Irr!G2&lt;&gt;".",s_Irr!AF2=".",s_Irr!BE2="."),s_dir!AH2/((1/1000)*(s_Irr!G2)),IF(AND(s_Irr!G2=".",s_Irr!AF2=".",s_Irr!BE2="."),s_dir!AH2*1000)))))))),".")</f>
        <v>102.32784264624013</v>
      </c>
      <c r="BI2" s="76">
        <f>IFERROR(IF(AND(s_Irr!H2&lt;&gt;".",s_Irr!AG2&lt;&gt;".",s_Irr!BF2&lt;&gt;"."),s_dir!AI2/((1/1000)*(s_Irr!H2+s_Irr!AG2+s_Irr!BF2)),IF(AND(s_Irr!H2&lt;&gt;".",s_Irr!AG2&lt;&gt;".",s_Irr!BF2="."),s_dir!AI2/((1/1000)*(s_Irr!H2+s_Irr!AG2)),IF(AND(s_Irr!H2&lt;&gt;".",s_Irr!AG2=".",s_Irr!BF2&lt;&gt;"."),s_dir!AI2/((1/1000)*(s_Irr!H2+s_Irr!BF2)),IF(AND(s_Irr!H2=".",s_Irr!AG2&lt;&gt;".",s_Irr!BF2&lt;&gt;"."),s_dir!AI2/((1/1000)*(s_Irr!AG2+s_Irr!BF2)),IF(AND(s_Irr!H2=".",s_Irr!AG2=".",s_Irr!BF2&lt;&gt;"."),s_dir!AI2/((1/1000)*(s_Irr!BF2)),IF(AND(s_Irr!H2=".",s_Irr!AG2&lt;&gt;".",s_Irr!BF2="."),s_dir!AI2/((1/1000)*(s_Irr!AG2)),IF(AND(s_Irr!H2&lt;&gt;".",s_Irr!AG2=".",s_Irr!BF2="."),s_dir!AI2/((1/1000)*(s_Irr!H2)),IF(AND(s_Irr!H2=".",s_Irr!AG2=".",s_Irr!BF2="."),s_dir!AI2*1000)))))))),".")</f>
        <v>102.32784264624013</v>
      </c>
      <c r="BJ2" s="76">
        <f>IFERROR(IF(AND(s_Irr!I2&lt;&gt;".",s_Irr!AH2&lt;&gt;".",s_Irr!BG2&lt;&gt;"."),s_dir!AJ2/((1/1000)*(s_Irr!I2+s_Irr!AH2+s_Irr!BG2)),IF(AND(s_Irr!I2&lt;&gt;".",s_Irr!AH2&lt;&gt;".",s_Irr!BG2="."),s_dir!AJ2/((1/1000)*(s_Irr!I2+s_Irr!AH2)),IF(AND(s_Irr!I2&lt;&gt;".",s_Irr!AH2=".",s_Irr!BG2&lt;&gt;"."),s_dir!AJ2/((1/1000)*(s_Irr!I2+s_Irr!BG2)),IF(AND(s_Irr!I2=".",s_Irr!AH2&lt;&gt;".",s_Irr!BG2&lt;&gt;"."),s_dir!AJ2/((1/1000)*(s_Irr!AH2+s_Irr!BG2)),IF(AND(s_Irr!I2=".",s_Irr!AH2=".",s_Irr!BG2&lt;&gt;"."),s_dir!AJ2/((1/1000)*(s_Irr!BG2)),IF(AND(s_Irr!I2=".",s_Irr!AH2&lt;&gt;".",s_Irr!BG2="."),s_dir!AJ2/((1/1000)*(s_Irr!AH2)),IF(AND(s_Irr!I2&lt;&gt;".",s_Irr!AH2=".",s_Irr!BG2="."),s_dir!AJ2/((1/1000)*(s_Irr!I2)),IF(AND(s_Irr!I2=".",s_Irr!AH2=".",s_Irr!BG2="."),s_dir!AJ2*1000)))))))),".")</f>
        <v>102.32784264624013</v>
      </c>
      <c r="BK2" s="76">
        <f>IFERROR(IF(AND(s_Irr!J2&lt;&gt;".",s_Irr!AI2&lt;&gt;".",s_Irr!BH2&lt;&gt;"."),s_dir!AK2/((1/1000)*(s_Irr!J2+s_Irr!AI2+s_Irr!BH2)),IF(AND(s_Irr!J2&lt;&gt;".",s_Irr!AI2&lt;&gt;".",s_Irr!BH2="."),s_dir!AK2/((1/1000)*(s_Irr!J2+s_Irr!AI2)),IF(AND(s_Irr!J2&lt;&gt;".",s_Irr!AI2=".",s_Irr!BH2&lt;&gt;"."),s_dir!AK2/((1/1000)*(s_Irr!J2+s_Irr!BH2)),IF(AND(s_Irr!J2=".",s_Irr!AI2&lt;&gt;".",s_Irr!BH2&lt;&gt;"."),s_dir!AK2/((1/1000)*(s_Irr!AI2+s_Irr!BH2)),IF(AND(s_Irr!J2=".",s_Irr!AI2=".",s_Irr!BH2&lt;&gt;"."),s_dir!AK2/((1/1000)*(s_Irr!BH2)),IF(AND(s_Irr!J2=".",s_Irr!AI2&lt;&gt;".",s_Irr!BH2="."),s_dir!AK2/((1/1000)*(s_Irr!AI2)),IF(AND(s_Irr!J2&lt;&gt;".",s_Irr!AI2=".",s_Irr!BH2="."),s_dir!AK2/((1/1000)*(s_Irr!J2)),IF(AND(s_Irr!J2=".",s_Irr!AI2=".",s_Irr!BH2="."),s_dir!AK2*1000)))))))),".")</f>
        <v>102.32784264624013</v>
      </c>
      <c r="BL2" s="76">
        <f>IFERROR(IF(AND(s_Irr!K2&lt;&gt;".",s_Irr!AJ2&lt;&gt;".",s_Irr!BI2&lt;&gt;"."),s_dir!AL2/((1/1000)*(s_Irr!K2+s_Irr!AJ2+s_Irr!BI2)),IF(AND(s_Irr!K2&lt;&gt;".",s_Irr!AJ2&lt;&gt;".",s_Irr!BI2="."),s_dir!AL2/((1/1000)*(s_Irr!K2+s_Irr!AJ2)),IF(AND(s_Irr!K2&lt;&gt;".",s_Irr!AJ2=".",s_Irr!BI2&lt;&gt;"."),s_dir!AL2/((1/1000)*(s_Irr!K2+s_Irr!BI2)),IF(AND(s_Irr!K2=".",s_Irr!AJ2&lt;&gt;".",s_Irr!BI2&lt;&gt;"."),s_dir!AL2/((1/1000)*(s_Irr!AJ2+s_Irr!BI2)),IF(AND(s_Irr!K2=".",s_Irr!AJ2=".",s_Irr!BI2&lt;&gt;"."),s_dir!AL2/((1/1000)*(s_Irr!BI2)),IF(AND(s_Irr!K2=".",s_Irr!AJ2&lt;&gt;".",s_Irr!BI2="."),s_dir!AL2/((1/1000)*(s_Irr!AJ2)),IF(AND(s_Irr!K2&lt;&gt;".",s_Irr!AJ2=".",s_Irr!BI2="."),s_dir!AL2/((1/1000)*(s_Irr!K2)),IF(AND(s_Irr!K2=".",s_Irr!AJ2=".",s_Irr!BI2="."),s_dir!AL2*1000)))))))),".")</f>
        <v>102.32784264624013</v>
      </c>
      <c r="BM2" s="76">
        <f>IFERROR(IF(AND(s_Irr!L2&lt;&gt;".",s_Irr!AK2&lt;&gt;".",s_Irr!BJ2&lt;&gt;"."),s_dir!AM2/((1/1000)*(s_Irr!L2+s_Irr!AK2+s_Irr!BJ2)),IF(AND(s_Irr!L2&lt;&gt;".",s_Irr!AK2&lt;&gt;".",s_Irr!BJ2="."),s_dir!AM2/((1/1000)*(s_Irr!L2+s_Irr!AK2)),IF(AND(s_Irr!L2&lt;&gt;".",s_Irr!AK2=".",s_Irr!BJ2&lt;&gt;"."),s_dir!AM2/((1/1000)*(s_Irr!L2+s_Irr!BJ2)),IF(AND(s_Irr!L2=".",s_Irr!AK2&lt;&gt;".",s_Irr!BJ2&lt;&gt;"."),s_dir!AM2/((1/1000)*(s_Irr!AK2+s_Irr!BJ2)),IF(AND(s_Irr!L2=".",s_Irr!AK2=".",s_Irr!BJ2&lt;&gt;"."),s_dir!AM2/((1/1000)*(s_Irr!BJ2)),IF(AND(s_Irr!L2=".",s_Irr!AK2&lt;&gt;".",s_Irr!BJ2="."),s_dir!AM2/((1/1000)*(s_Irr!AK2)),IF(AND(s_Irr!L2&lt;&gt;".",s_Irr!AK2=".",s_Irr!BJ2="."),s_dir!AM2/((1/1000)*(s_Irr!L2)),IF(AND(s_Irr!L2=".",s_Irr!AK2=".",s_Irr!BJ2="."),s_dir!AM2*1000)))))))),".")</f>
        <v>102.32784264624013</v>
      </c>
      <c r="BN2" s="76">
        <f>IFERROR(IF(AND(s_Irr!M2&lt;&gt;".",s_Irr!AL2&lt;&gt;".",s_Irr!BK2&lt;&gt;"."),s_dir!AN2/((1/1000)*(s_Irr!M2+s_Irr!AL2+s_Irr!BK2)),IF(AND(s_Irr!M2&lt;&gt;".",s_Irr!AL2&lt;&gt;".",s_Irr!BK2="."),s_dir!AN2/((1/1000)*(s_Irr!M2+s_Irr!AL2)),IF(AND(s_Irr!M2&lt;&gt;".",s_Irr!AL2=".",s_Irr!BK2&lt;&gt;"."),s_dir!AN2/((1/1000)*(s_Irr!M2+s_Irr!BK2)),IF(AND(s_Irr!M2=".",s_Irr!AL2&lt;&gt;".",s_Irr!BK2&lt;&gt;"."),s_dir!AN2/((1/1000)*(s_Irr!AL2+s_Irr!BK2)),IF(AND(s_Irr!M2=".",s_Irr!AL2=".",s_Irr!BK2&lt;&gt;"."),s_dir!AN2/((1/1000)*(s_Irr!BK2)),IF(AND(s_Irr!M2=".",s_Irr!AL2&lt;&gt;".",s_Irr!BK2="."),s_dir!AN2/((1/1000)*(s_Irr!AL2)),IF(AND(s_Irr!M2&lt;&gt;".",s_Irr!AL2=".",s_Irr!BK2="."),s_dir!AN2/((1/1000)*(s_Irr!M2)),IF(AND(s_Irr!M2=".",s_Irr!AL2=".",s_Irr!BK2="."),s_dir!AN2*1000)))))))),".")</f>
        <v>102.32784264624013</v>
      </c>
      <c r="BO2" s="76">
        <f>IFERROR(IF(AND(s_Irr!N2&lt;&gt;".",s_Irr!AM2&lt;&gt;".",s_Irr!BL2&lt;&gt;"."),s_dir!AO2/((1/1000)*(s_Irr!N2+s_Irr!AM2+s_Irr!BL2)),IF(AND(s_Irr!N2&lt;&gt;".",s_Irr!AM2&lt;&gt;".",s_Irr!BL2="."),s_dir!AO2/((1/1000)*(s_Irr!N2+s_Irr!AM2)),IF(AND(s_Irr!N2&lt;&gt;".",s_Irr!AM2=".",s_Irr!BL2&lt;&gt;"."),s_dir!AO2/((1/1000)*(s_Irr!N2+s_Irr!BL2)),IF(AND(s_Irr!N2=".",s_Irr!AM2&lt;&gt;".",s_Irr!BL2&lt;&gt;"."),s_dir!AO2/((1/1000)*(s_Irr!AM2+s_Irr!BL2)),IF(AND(s_Irr!N2=".",s_Irr!AM2=".",s_Irr!BL2&lt;&gt;"."),s_dir!AO2/((1/1000)*(s_Irr!BL2)),IF(AND(s_Irr!N2=".",s_Irr!AM2&lt;&gt;".",s_Irr!BL2="."),s_dir!AO2/((1/1000)*(s_Irr!AM2)),IF(AND(s_Irr!N2&lt;&gt;".",s_Irr!AM2=".",s_Irr!BL2="."),s_dir!AO2/((1/1000)*(s_Irr!N2)),IF(AND(s_Irr!N2=".",s_Irr!AM2=".",s_Irr!BL2="."),s_dir!AO2*1000)))))))),".")</f>
        <v>102.32784264624013</v>
      </c>
      <c r="BP2" s="76">
        <f>IFERROR(IF(AND(s_Irr!O2&lt;&gt;".",s_Irr!AN2&lt;&gt;".",s_Irr!BM2&lt;&gt;"."),s_dir!AP2/((1/1000)*(s_Irr!O2+s_Irr!AN2+s_Irr!BM2)),IF(AND(s_Irr!O2&lt;&gt;".",s_Irr!AN2&lt;&gt;".",s_Irr!BM2="."),s_dir!AP2/((1/1000)*(s_Irr!O2+s_Irr!AN2)),IF(AND(s_Irr!O2&lt;&gt;".",s_Irr!AN2=".",s_Irr!BM2&lt;&gt;"."),s_dir!AP2/((1/1000)*(s_Irr!O2+s_Irr!BM2)),IF(AND(s_Irr!O2=".",s_Irr!AN2&lt;&gt;".",s_Irr!BM2&lt;&gt;"."),s_dir!AP2/((1/1000)*(s_Irr!AN2+s_Irr!BM2)),IF(AND(s_Irr!O2=".",s_Irr!AN2=".",s_Irr!BM2&lt;&gt;"."),s_dir!AP2/((1/1000)*(s_Irr!BM2)),IF(AND(s_Irr!O2=".",s_Irr!AN2&lt;&gt;".",s_Irr!BM2="."),s_dir!AP2/((1/1000)*(s_Irr!AN2)),IF(AND(s_Irr!O2&lt;&gt;".",s_Irr!AN2=".",s_Irr!BM2="."),s_dir!AP2/((1/1000)*(s_Irr!O2)),IF(AND(s_Irr!O2=".",s_Irr!AN2=".",s_Irr!BM2="."),s_dir!AP2*1000)))))))),".")</f>
        <v>102.32784264624013</v>
      </c>
      <c r="BQ2" s="76">
        <f>IFERROR(IF(AND(s_Irr!P2&lt;&gt;".",s_Irr!AO2&lt;&gt;".",s_Irr!BN2&lt;&gt;"."),s_dir!AQ2/((1/1000)*(s_Irr!P2+s_Irr!AO2+s_Irr!BN2)),IF(AND(s_Irr!P2&lt;&gt;".",s_Irr!AO2&lt;&gt;".",s_Irr!BN2="."),s_dir!AQ2/((1/1000)*(s_Irr!P2+s_Irr!AO2)),IF(AND(s_Irr!P2&lt;&gt;".",s_Irr!AO2=".",s_Irr!BN2&lt;&gt;"."),s_dir!AQ2/((1/1000)*(s_Irr!P2+s_Irr!BN2)),IF(AND(s_Irr!P2=".",s_Irr!AO2&lt;&gt;".",s_Irr!BN2&lt;&gt;"."),s_dir!AQ2/((1/1000)*(s_Irr!AO2+s_Irr!BN2)),IF(AND(s_Irr!P2=".",s_Irr!AO2=".",s_Irr!BN2&lt;&gt;"."),s_dir!AQ2/((1/1000)*(s_Irr!BN2)),IF(AND(s_Irr!P2=".",s_Irr!AO2&lt;&gt;".",s_Irr!BN2="."),s_dir!AQ2/((1/1000)*(s_Irr!AO2)),IF(AND(s_Irr!P2&lt;&gt;".",s_Irr!AO2=".",s_Irr!BN2="."),s_dir!AQ2/((1/1000)*(s_Irr!P2)),IF(AND(s_Irr!P2=".",s_Irr!AO2=".",s_Irr!BN2="."),s_dir!AQ2*1000)))))))),".")</f>
        <v>102.32784264624013</v>
      </c>
      <c r="BR2" s="76">
        <f>IFERROR(IF(AND(s_Irr!Q2&lt;&gt;".",s_Irr!AP2&lt;&gt;".",s_Irr!BO2&lt;&gt;"."),s_dir!AR2/((1/1000)*(s_Irr!Q2+s_Irr!AP2+s_Irr!BO2)),IF(AND(s_Irr!Q2&lt;&gt;".",s_Irr!AP2&lt;&gt;".",s_Irr!BO2="."),s_dir!AR2/((1/1000)*(s_Irr!Q2+s_Irr!AP2)),IF(AND(s_Irr!Q2&lt;&gt;".",s_Irr!AP2=".",s_Irr!BO2&lt;&gt;"."),s_dir!AR2/((1/1000)*(s_Irr!Q2+s_Irr!BO2)),IF(AND(s_Irr!Q2=".",s_Irr!AP2&lt;&gt;".",s_Irr!BO2&lt;&gt;"."),s_dir!AR2/((1/1000)*(s_Irr!AP2+s_Irr!BO2)),IF(AND(s_Irr!Q2=".",s_Irr!AP2=".",s_Irr!BO2&lt;&gt;"."),s_dir!AR2/((1/1000)*(s_Irr!BO2)),IF(AND(s_Irr!Q2=".",s_Irr!AP2&lt;&gt;".",s_Irr!BO2="."),s_dir!AR2/((1/1000)*(s_Irr!AP2)),IF(AND(s_Irr!Q2&lt;&gt;".",s_Irr!AP2=".",s_Irr!BO2="."),s_dir!AR2/((1/1000)*(s_Irr!Q2)),IF(AND(s_Irr!Q2=".",s_Irr!AP2=".",s_Irr!BO2="."),s_dir!AR2*1000)))))))),".")</f>
        <v>102.32784264624013</v>
      </c>
      <c r="BS2" s="76">
        <f>IFERROR(IF(AND(s_Irr!R2&lt;&gt;".",s_Irr!AQ2&lt;&gt;".",s_Irr!BP2&lt;&gt;"."),s_dir!AS2/((1/1000)*(s_Irr!R2+s_Irr!AQ2+s_Irr!BP2)),IF(AND(s_Irr!R2&lt;&gt;".",s_Irr!AQ2&lt;&gt;".",s_Irr!BP2="."),s_dir!AS2/((1/1000)*(s_Irr!R2+s_Irr!AQ2)),IF(AND(s_Irr!R2&lt;&gt;".",s_Irr!AQ2=".",s_Irr!BP2&lt;&gt;"."),s_dir!AS2/((1/1000)*(s_Irr!R2+s_Irr!BP2)),IF(AND(s_Irr!R2=".",s_Irr!AQ2&lt;&gt;".",s_Irr!BP2&lt;&gt;"."),s_dir!AS2/((1/1000)*(s_Irr!AQ2+s_Irr!BP2)),IF(AND(s_Irr!R2=".",s_Irr!AQ2=".",s_Irr!BP2&lt;&gt;"."),s_dir!AS2/((1/1000)*(s_Irr!BP2)),IF(AND(s_Irr!R2=".",s_Irr!AQ2&lt;&gt;".",s_Irr!BP2="."),s_dir!AS2/((1/1000)*(s_Irr!AQ2)),IF(AND(s_Irr!R2&lt;&gt;".",s_Irr!AQ2=".",s_Irr!BP2="."),s_dir!AS2/((1/1000)*(s_Irr!R2)),IF(AND(s_Irr!R2=".",s_Irr!AQ2=".",s_Irr!BP2="."),s_dir!AS2*1000)))))))),".")</f>
        <v>102.32784264624013</v>
      </c>
      <c r="BT2" s="76">
        <f>IFERROR(IF(AND(s_Irr!S2&lt;&gt;".",s_Irr!AR2&lt;&gt;".",s_Irr!BQ2&lt;&gt;"."),s_dir!AT2/((1/1000)*(s_Irr!S2+s_Irr!AR2+s_Irr!BQ2)),IF(AND(s_Irr!S2&lt;&gt;".",s_Irr!AR2&lt;&gt;".",s_Irr!BQ2="."),s_dir!AT2/((1/1000)*(s_Irr!S2+s_Irr!AR2)),IF(AND(s_Irr!S2&lt;&gt;".",s_Irr!AR2=".",s_Irr!BQ2&lt;&gt;"."),s_dir!AT2/((1/1000)*(s_Irr!S2+s_Irr!BQ2)),IF(AND(s_Irr!S2=".",s_Irr!AR2&lt;&gt;".",s_Irr!BQ2&lt;&gt;"."),s_dir!AT2/((1/1000)*(s_Irr!AR2+s_Irr!BQ2)),IF(AND(s_Irr!S2=".",s_Irr!AR2=".",s_Irr!BQ2&lt;&gt;"."),s_dir!AT2/((1/1000)*(s_Irr!BQ2)),IF(AND(s_Irr!S2=".",s_Irr!AR2&lt;&gt;".",s_Irr!BQ2="."),s_dir!AT2/((1/1000)*(s_Irr!AR2)),IF(AND(s_Irr!S2&lt;&gt;".",s_Irr!AR2=".",s_Irr!BQ2="."),s_dir!AT2/((1/1000)*(s_Irr!S2)),IF(AND(s_Irr!S2=".",s_Irr!AR2=".",s_Irr!BQ2="."),s_dir!AT2*1000)))))))),".")</f>
        <v>102.32784264624013</v>
      </c>
      <c r="BU2" s="76">
        <f>IFERROR(IF(AND(s_Irr!T2&lt;&gt;".",s_Irr!AS2&lt;&gt;".",s_Irr!BR2&lt;&gt;"."),s_dir!AU2/((1/1000)*(s_Irr!T2+s_Irr!AS2+s_Irr!BR2)),IF(AND(s_Irr!T2&lt;&gt;".",s_Irr!AS2&lt;&gt;".",s_Irr!BR2="."),s_dir!AU2/((1/1000)*(s_Irr!T2+s_Irr!AS2)),IF(AND(s_Irr!T2&lt;&gt;".",s_Irr!AS2=".",s_Irr!BR2&lt;&gt;"."),s_dir!AU2/((1/1000)*(s_Irr!T2+s_Irr!BR2)),IF(AND(s_Irr!T2=".",s_Irr!AS2&lt;&gt;".",s_Irr!BR2&lt;&gt;"."),s_dir!AU2/((1/1000)*(s_Irr!AS2+s_Irr!BR2)),IF(AND(s_Irr!T2=".",s_Irr!AS2=".",s_Irr!BR2&lt;&gt;"."),s_dir!AU2/((1/1000)*(s_Irr!BR2)),IF(AND(s_Irr!T2=".",s_Irr!AS2&lt;&gt;".",s_Irr!BR2="."),s_dir!AU2/((1/1000)*(s_Irr!AS2)),IF(AND(s_Irr!T2&lt;&gt;".",s_Irr!AS2=".",s_Irr!BR2="."),s_dir!AU2/((1/1000)*(s_Irr!T2)),IF(AND(s_Irr!T2=".",s_Irr!AS2=".",s_Irr!BR2="."),s_dir!AU2*1000)))))))),".")</f>
        <v>102.32784264624013</v>
      </c>
      <c r="BV2" s="76">
        <f>IFERROR(IF(AND(s_Irr!U2&lt;&gt;".",s_Irr!AT2&lt;&gt;".",s_Irr!BS2&lt;&gt;"."),s_dir!AV2/((1/1000)*(s_Irr!U2+s_Irr!AT2+s_Irr!BS2)),IF(AND(s_Irr!U2&lt;&gt;".",s_Irr!AT2&lt;&gt;".",s_Irr!BS2="."),s_dir!AV2/((1/1000)*(s_Irr!U2+s_Irr!AT2)),IF(AND(s_Irr!U2&lt;&gt;".",s_Irr!AT2=".",s_Irr!BS2&lt;&gt;"."),s_dir!AV2/((1/1000)*(s_Irr!U2+s_Irr!BS2)),IF(AND(s_Irr!U2=".",s_Irr!AT2&lt;&gt;".",s_Irr!BS2&lt;&gt;"."),s_dir!AV2/((1/1000)*(s_Irr!AT2+s_Irr!BS2)),IF(AND(s_Irr!U2=".",s_Irr!AT2=".",s_Irr!BS2&lt;&gt;"."),s_dir!AV2/((1/1000)*(s_Irr!BS2)),IF(AND(s_Irr!U2=".",s_Irr!AT2&lt;&gt;".",s_Irr!BS2="."),s_dir!AV2/((1/1000)*(s_Irr!AT2)),IF(AND(s_Irr!U2&lt;&gt;".",s_Irr!AT2=".",s_Irr!BS2="."),s_dir!AV2/((1/1000)*(s_Irr!U2)),IF(AND(s_Irr!U2=".",s_Irr!AT2=".",s_Irr!BS2="."),s_dir!AV2*1000)))))))),".")</f>
        <v>102.32784264624013</v>
      </c>
      <c r="BW2" s="76">
        <f>IFERROR(IF(AND(s_Irr!V2&lt;&gt;".",s_Irr!AU2&lt;&gt;".",s_Irr!BT2&lt;&gt;"."),s_dir!AW2/((1/1000)*(s_Irr!V2+s_Irr!AU2+s_Irr!BT2)),IF(AND(s_Irr!V2&lt;&gt;".",s_Irr!AU2&lt;&gt;".",s_Irr!BT2="."),s_dir!AW2/((1/1000)*(s_Irr!V2+s_Irr!AU2)),IF(AND(s_Irr!V2&lt;&gt;".",s_Irr!AU2=".",s_Irr!BT2&lt;&gt;"."),s_dir!AW2/((1/1000)*(s_Irr!V2+s_Irr!BT2)),IF(AND(s_Irr!V2=".",s_Irr!AU2&lt;&gt;".",s_Irr!BT2&lt;&gt;"."),s_dir!AW2/((1/1000)*(s_Irr!AU2+s_Irr!BT2)),IF(AND(s_Irr!V2=".",s_Irr!AU2=".",s_Irr!BT2&lt;&gt;"."),s_dir!AW2/((1/1000)*(s_Irr!BT2)),IF(AND(s_Irr!V2=".",s_Irr!AU2&lt;&gt;".",s_Irr!BT2="."),s_dir!AW2/((1/1000)*(s_Irr!AU2)),IF(AND(s_Irr!V2&lt;&gt;".",s_Irr!AU2=".",s_Irr!BT2="."),s_dir!AW2/((1/1000)*(s_Irr!V2)),IF(AND(s_Irr!V2=".",s_Irr!AU2=".",s_Irr!BT2="."),s_dir!AW2*1000)))))))),".")</f>
        <v>102.32784264624013</v>
      </c>
      <c r="BX2" s="76">
        <f>IFERROR(IF(AND(s_Irr!W2&lt;&gt;".",s_Irr!AV2&lt;&gt;".",s_Irr!BU2&lt;&gt;"."),s_dir!AX2/((1/1000)*(s_Irr!W2+s_Irr!AV2+s_Irr!BU2)),IF(AND(s_Irr!W2&lt;&gt;".",s_Irr!AV2&lt;&gt;".",s_Irr!BU2="."),s_dir!AX2/((1/1000)*(s_Irr!W2+s_Irr!AV2)),IF(AND(s_Irr!W2&lt;&gt;".",s_Irr!AV2=".",s_Irr!BU2&lt;&gt;"."),s_dir!AX2/((1/1000)*(s_Irr!W2+s_Irr!BU2)),IF(AND(s_Irr!W2=".",s_Irr!AV2&lt;&gt;".",s_Irr!BU2&lt;&gt;"."),s_dir!AX2/((1/1000)*(s_Irr!AV2+s_Irr!BU2)),IF(AND(s_Irr!W2=".",s_Irr!AV2=".",s_Irr!BU2&lt;&gt;"."),s_dir!AX2/((1/1000)*(s_Irr!BU2)),IF(AND(s_Irr!W2=".",s_Irr!AV2&lt;&gt;".",s_Irr!BU2="."),s_dir!AX2/((1/1000)*(s_Irr!AV2)),IF(AND(s_Irr!W2&lt;&gt;".",s_Irr!AV2=".",s_Irr!BU2="."),s_dir!AX2/((1/1000)*(s_Irr!W2)),IF(AND(s_Irr!W2=".",s_Irr!AV2=".",s_Irr!BU2="."),s_dir!AX2*1000)))))))),".")</f>
        <v>102.32784264624013</v>
      </c>
      <c r="BY2" s="76">
        <f>IFERROR(IF(AND(s_Irr!X2&lt;&gt;".",s_Irr!AW2&lt;&gt;".",s_Irr!BV2&lt;&gt;"."),s_dir!AY2/((1/1000)*(s_Irr!X2+s_Irr!AW2+s_Irr!BV2)),IF(AND(s_Irr!X2&lt;&gt;".",s_Irr!AW2&lt;&gt;".",s_Irr!BV2="."),s_dir!AY2/((1/1000)*(s_Irr!X2+s_Irr!AW2)),IF(AND(s_Irr!X2&lt;&gt;".",s_Irr!AW2=".",s_Irr!BV2&lt;&gt;"."),s_dir!AY2/((1/1000)*(s_Irr!X2+s_Irr!BV2)),IF(AND(s_Irr!X2=".",s_Irr!AW2&lt;&gt;".",s_Irr!BV2&lt;&gt;"."),s_dir!AY2/((1/1000)*(s_Irr!AW2+s_Irr!BV2)),IF(AND(s_Irr!X2=".",s_Irr!AW2=".",s_Irr!BV2&lt;&gt;"."),s_dir!AY2/((1/1000)*(s_Irr!BV2)),IF(AND(s_Irr!X2=".",s_Irr!AW2&lt;&gt;".",s_Irr!BV2="."),s_dir!AY2/((1/1000)*(s_Irr!AW2)),IF(AND(s_Irr!X2&lt;&gt;".",s_Irr!AW2=".",s_Irr!BV2="."),s_dir!AY2/((1/1000)*(s_Irr!X2)),IF(AND(s_Irr!X2=".",s_Irr!AW2=".",s_Irr!BV2="."),s_dir!AY2*1000)))))))),".")</f>
        <v>102.32784264624013</v>
      </c>
      <c r="BZ2" s="76">
        <f>IFERROR(IF(AND(s_Irr!Y2&lt;&gt;".",s_Irr!AX2&lt;&gt;".",s_Irr!BW2&lt;&gt;"."),s_dir!AZ2/((1/1000)*(s_Irr!Y2+s_Irr!AX2+s_Irr!BW2)),IF(AND(s_Irr!Y2&lt;&gt;".",s_Irr!AX2&lt;&gt;".",s_Irr!BW2="."),s_dir!AZ2/((1/1000)*(s_Irr!Y2+s_Irr!AX2)),IF(AND(s_Irr!Y2&lt;&gt;".",s_Irr!AX2=".",s_Irr!BW2&lt;&gt;"."),s_dir!AZ2/((1/1000)*(s_Irr!Y2+s_Irr!BW2)),IF(AND(s_Irr!Y2=".",s_Irr!AX2&lt;&gt;".",s_Irr!BW2&lt;&gt;"."),s_dir!AZ2/((1/1000)*(s_Irr!AX2+s_Irr!BW2)),IF(AND(s_Irr!Y2=".",s_Irr!AX2=".",s_Irr!BW2&lt;&gt;"."),s_dir!AZ2/((1/1000)*(s_Irr!BW2)),IF(AND(s_Irr!Y2=".",s_Irr!AX2&lt;&gt;".",s_Irr!BW2="."),s_dir!AZ2/((1/1000)*(s_Irr!AX2)),IF(AND(s_Irr!Y2&lt;&gt;".",s_Irr!AX2=".",s_Irr!BW2="."),s_dir!AZ2/((1/1000)*(s_Irr!Y2)),IF(AND(s_Irr!Y2=".",s_Irr!AX2=".",s_Irr!BW2="."),s_dir!AZ2*1000)))))))),".")</f>
        <v>102.32784264624013</v>
      </c>
      <c r="CA2" s="76">
        <f>IFERROR(IF(AND(s_Irr!Z2&lt;&gt;".",s_Irr!AY2&lt;&gt;".",s_Irr!BX2&lt;&gt;"."),s_dir!BA2/((1/1000)*(s_Irr!Z2+s_Irr!AY2+s_Irr!BX2)),IF(AND(s_Irr!Z2&lt;&gt;".",s_Irr!AY2&lt;&gt;".",s_Irr!BX2="."),s_dir!BA2/((1/1000)*(s_Irr!Z2+s_Irr!AY2)),IF(AND(s_Irr!Z2&lt;&gt;".",s_Irr!AY2=".",s_Irr!BX2&lt;&gt;"."),s_dir!BA2/((1/1000)*(s_Irr!Z2+s_Irr!BX2)),IF(AND(s_Irr!Z2=".",s_Irr!AY2&lt;&gt;".",s_Irr!BX2&lt;&gt;"."),s_dir!BA2/((1/1000)*(s_Irr!AY2+s_Irr!BX2)),IF(AND(s_Irr!Z2=".",s_Irr!AY2=".",s_Irr!BX2&lt;&gt;"."),s_dir!BA2/((1/1000)*(s_Irr!BX2)),IF(AND(s_Irr!Z2=".",s_Irr!AY2&lt;&gt;".",s_Irr!BX2="."),s_dir!BA2/((1/1000)*(s_Irr!AY2)),IF(AND(s_Irr!Z2&lt;&gt;".",s_Irr!AY2=".",s_Irr!BX2="."),s_dir!BA2/((1/1000)*(s_Irr!Z2)),IF(AND(s_Irr!Z2=".",s_Irr!AY2=".",s_Irr!BX2="."),s_dir!BA2*1000)))))))),".")</f>
        <v>102.32784264624013</v>
      </c>
      <c r="CB2" s="76">
        <f>IFERROR(IF(AND(s_Irr!AA2&lt;&gt;".",s_Irr!AZ2&lt;&gt;".",s_Irr!BY2&lt;&gt;"."),s_dir!BB2/((1/1000)*(s_Irr!AA2+s_Irr!AZ2+s_Irr!BY2)),IF(AND(s_Irr!AA2&lt;&gt;".",s_Irr!AZ2&lt;&gt;".",s_Irr!BY2="."),s_dir!BB2/((1/1000)*(s_Irr!AA2+s_Irr!AZ2)),IF(AND(s_Irr!AA2&lt;&gt;".",s_Irr!AZ2=".",s_Irr!BY2&lt;&gt;"."),s_dir!BB2/((1/1000)*(s_Irr!AA2+s_Irr!BY2)),IF(AND(s_Irr!AA2=".",s_Irr!AZ2&lt;&gt;".",s_Irr!BY2&lt;&gt;"."),s_dir!BB2/((1/1000)*(s_Irr!AZ2+s_Irr!BY2)),IF(AND(s_Irr!AA2=".",s_Irr!AZ2=".",s_Irr!BY2&lt;&gt;"."),s_dir!BB2/((1/1000)*(s_Irr!BY2)),IF(AND(s_Irr!AA2=".",s_Irr!AZ2&lt;&gt;".",s_Irr!BY2="."),s_dir!BB2/((1/1000)*(s_Irr!AZ2)),IF(AND(s_Irr!AA2&lt;&gt;".",s_Irr!AZ2=".",s_Irr!BY2="."),s_dir!BB2/((1/1000)*(s_Irr!AA2)),IF(AND(s_Irr!AA2=".",s_Irr!AZ2=".",s_Irr!BY2="."),s_dir!BB2*1000)))))))),".")</f>
        <v>102.32784264624013</v>
      </c>
      <c r="CC2" s="93">
        <f>SUM(CD2,CU2,DA2:DB2)</f>
        <v>7196.7827631073851</v>
      </c>
      <c r="CD2" s="93">
        <f>IFERROR(s_C*s_IFAP_far_adj*s_CF_apple*(1/1000)*(s_Irr!C2+s_Irr!AB2+s_Irr!BA2),".")</f>
        <v>1799.1956907768463</v>
      </c>
      <c r="CE2" s="93">
        <f>IFERROR(s_C*s_IFAS_far_adj*s_CF_asparagus*(1/1000)*(s_Irr!D2+s_Irr!AC2+s_Irr!BB2),".")</f>
        <v>1799.1956907768463</v>
      </c>
      <c r="CF2" s="93">
        <f>IFERROR(s_C*s_IFBT_far_adj*s_CF_beet*(1/1000)*(s_Irr!E2+s_Irr!AD2+s_Irr!BC2),".")</f>
        <v>1799.1956907768463</v>
      </c>
      <c r="CG2" s="93">
        <f>IFERROR(s_C*s_IFBE_far_adj*s_CF_berries*(1/1000)*(s_Irr!F2+s_Irr!AE2+s_Irr!BD2),".")</f>
        <v>1799.1956907768463</v>
      </c>
      <c r="CH2" s="93">
        <f>IFERROR(s_C*s_IFBR_far_adj*s_CF_broccoli*(1/1000)*(s_Irr!G2+s_Irr!AF2+s_Irr!BE2),".")</f>
        <v>1799.1956907768463</v>
      </c>
      <c r="CI2" s="93">
        <f>IFERROR(s_C*s_IFCB_far_adj*s_CF_cabbage*(1/1000)*(s_Irr!H2+s_Irr!AG2+s_Irr!BF2),".")</f>
        <v>1799.1956907768463</v>
      </c>
      <c r="CJ2" s="93">
        <f>IFERROR(s_C*s_IFCR_far_adj*s_CF_carrot*(1/1000)*(s_Irr!I2+s_Irr!AH2+s_Irr!BG2),".")</f>
        <v>1799.1956907768463</v>
      </c>
      <c r="CK2" s="93">
        <f>IFERROR(s_C*s_IFCI_far_adj*s_CF_citrus*(1/1000)*(s_Irr!J2+s_Irr!AI2+s_Irr!BH2),".")</f>
        <v>1799.1956907768463</v>
      </c>
      <c r="CL2" s="93">
        <f>IFERROR(s_C*s_IFCO_far_adj*s_CF_corn*(1/1000)*(s_Irr!K2+s_Irr!AJ2+s_Irr!BI2),".")</f>
        <v>1799.1956907768463</v>
      </c>
      <c r="CM2" s="93">
        <f>IFERROR(s_C*s_IFCU_far_adj*s_CF_cucumber*(1/1000)*(s_Irr!L2+s_Irr!AK2+s_Irr!BJ2),".")</f>
        <v>1799.1956907768463</v>
      </c>
      <c r="CN2" s="93">
        <f>IFERROR(s_C*s_IFLE_far_adj*s_CF_lettuce*(1/1000)*(s_Irr!M2+s_Irr!AL2+s_Irr!BK2),".")</f>
        <v>1799.1956907768463</v>
      </c>
      <c r="CO2" s="93">
        <f>IFERROR(s_C*s_IFLI_far_adj*s_CF_lima_bean*(1/1000)*(s_Irr!N2+s_Irr!AM2+s_Irr!BL2),".")</f>
        <v>1799.1956907768463</v>
      </c>
      <c r="CP2" s="93">
        <f>IFERROR(s_C*s_IFOK_far_adj*s_CF_okra*(1/1000)*(s_Irr!O2+s_Irr!AN2+s_Irr!BM2),".")</f>
        <v>1799.1956907768463</v>
      </c>
      <c r="CQ2" s="93">
        <f>IFERROR(s_C*s_IFON_far_adj*s_CF_onion*(1/1000)*(s_Irr!P2+s_Irr!AO2+s_Irr!BN2),".")</f>
        <v>1799.1956907768463</v>
      </c>
      <c r="CR2" s="93">
        <f>IFERROR(s_C*s_IFPC_far_adj*s_CF_peach*(1/1000)*(s_Irr!Q2+s_Irr!AP2+s_Irr!BO2),".")</f>
        <v>1799.1956907768463</v>
      </c>
      <c r="CS2" s="93">
        <f>IFERROR(s_C*s_IFPR_far_adj*s_CF_pear*(1/1000)*(s_Irr!R2+s_Irr!AQ2+s_Irr!BP2),".")</f>
        <v>1799.1956907768463</v>
      </c>
      <c r="CT2" s="93">
        <f>IFERROR(s_C*s_IFPE_far_adj*s_CF_peas*(1/1000)*(s_Irr!S2+s_Irr!AR2+s_Irr!BQ2),".")</f>
        <v>1799.1956907768463</v>
      </c>
      <c r="CU2" s="93">
        <f>IFERROR(s_C*s_IFPP_far_adj*s_CF_peppers*(1/1000)*(s_Irr!T2+s_Irr!AS2+s_Irr!BR2),".")</f>
        <v>1799.1956907768463</v>
      </c>
      <c r="CV2" s="93">
        <f>IFERROR(s_C*s_IFPT_far_adj*s_CF_potato*(1/1000)*(s_Irr!U2+s_Irr!AT2+s_Irr!BS2),".")</f>
        <v>1799.1956907768463</v>
      </c>
      <c r="CW2" s="93">
        <f>IFERROR(s_C*s_IFPU_far_adj*s_CF_pumpkin*(1/1000)*(s_Irr!V2+s_Irr!AU2+s_Irr!BT2),".")</f>
        <v>1799.1956907768463</v>
      </c>
      <c r="CX2" s="93">
        <f>IFERROR(s_C*s_IFSN_far_adj*s_CF_snap_bean*(1/1000)*(s_Irr!W2+s_Irr!AV2+s_Irr!BU2),".")</f>
        <v>1799.1956907768463</v>
      </c>
      <c r="CY2" s="93">
        <f>IFERROR(s_C*s_IFST_far_adj*s_CF_strawberry*(1/1000)*(s_Irr!X2+s_Irr!AW2+s_Irr!BV2),".")</f>
        <v>1799.1956907768463</v>
      </c>
      <c r="CZ2" s="93">
        <f>IFERROR(s_C*s_IFTO_far_adj*s_CF_tomato*(1/1000)*(s_Irr!Y2+s_Irr!AX2+s_Irr!BW2),".")</f>
        <v>1799.1956907768463</v>
      </c>
      <c r="DA2" s="93">
        <f>IFERROR(s_C*s_IFRI_far_adj*s_CF_rice*(1/1000)*(s_Irr!Z2+s_Irr!AY2+s_Irr!BX2),".")</f>
        <v>1799.1956907768463</v>
      </c>
      <c r="DB2" s="93">
        <f>IFERROR(s_C*s_IFCG_far_adj*s_CF_cereal*(1/1000)*(s_Irr!AA2+s_Irr!AZ2+s_Irr!BY2),".")</f>
        <v>1799.1956907768463</v>
      </c>
    </row>
    <row r="3" spans="1:106" x14ac:dyDescent="0.25">
      <c r="A3" s="94" t="s">
        <v>13</v>
      </c>
      <c r="B3" s="90" t="s">
        <v>349</v>
      </c>
      <c r="C3" s="15">
        <f>IFERROR(1/SUM(1/D3,1/U3,1/AA3,1/AB3),".")</f>
        <v>52.582349436628952</v>
      </c>
      <c r="D3" s="76">
        <f>IFERROR(IF(AND(s_Irr!C3&lt;&gt;".",s_Irr!AB3&lt;&gt;".",s_Irr!BA3&lt;&gt;"."),s_dir!D3/((1/1000)*(s_Irr!C3+s_Irr!AB3+s_Irr!BA3)),IF(AND(s_Irr!C3&lt;&gt;".",s_Irr!AB3&lt;&gt;".",s_Irr!BA3="."),s_dir!D3/((1/1000)*(s_Irr!C3+s_Irr!AB3)),IF(AND(s_Irr!C3&lt;&gt;".",s_Irr!AB3=".",s_Irr!BA3&lt;&gt;"."),s_dir!D3/((1/1000)*(s_Irr!C3+s_Irr!BA3)),IF(AND(s_Irr!C3=".",s_Irr!AB3&lt;&gt;".",s_Irr!BA3&lt;&gt;"."),s_dir!D3/((1/1000)*(s_Irr!AB3+s_Irr!BA3)),IF(AND(s_Irr!C3=".",s_Irr!AB3=".",s_Irr!BA3&lt;&gt;"."),s_dir!D3/((1/1000)*(s_Irr!BA3)),IF(AND(s_Irr!C3=".",s_Irr!AB3&lt;&gt;".",s_Irr!BA3="."),s_dir!D3/((1/1000)*(s_Irr!AB3)),IF(AND(s_Irr!C3&lt;&gt;".",s_Irr!AB3=".",s_Irr!BA3="."),s_dir!D3/((1/1000)*(s_Irr!C3)),IF(AND(s_Irr!C3=".",s_Irr!AB3=".",s_Irr!BA3="."),s_dir!D3*1000)))))))),".")</f>
        <v>211.48018846073282</v>
      </c>
      <c r="E3" s="76">
        <f>IFERROR(IF(AND(s_Irr!D3&lt;&gt;".",s_Irr!AC3&lt;&gt;".",s_Irr!BB3&lt;&gt;"."),s_dir!E3/((1/1000)*(s_Irr!D3+s_Irr!AC3+s_Irr!BB3)),IF(AND(s_Irr!D3&lt;&gt;".",s_Irr!AC3&lt;&gt;".",s_Irr!BB3="."),s_dir!E3/((1/1000)*(s_Irr!D3+s_Irr!AC3)),IF(AND(s_Irr!D3&lt;&gt;".",s_Irr!AC3=".",s_Irr!BB3&lt;&gt;"."),s_dir!E3/((1/1000)*(s_Irr!D3+s_Irr!BB3)),IF(AND(s_Irr!D3=".",s_Irr!AC3&lt;&gt;".",s_Irr!BB3&lt;&gt;"."),s_dir!E3/((1/1000)*(s_Irr!AC3+s_Irr!BB3)),IF(AND(s_Irr!D3=".",s_Irr!AC3=".",s_Irr!BB3&lt;&gt;"."),s_dir!E3/((1/1000)*(s_Irr!BB3)),IF(AND(s_Irr!D3=".",s_Irr!AC3&lt;&gt;".",s_Irr!BB3="."),s_dir!E3/((1/1000)*(s_Irr!AC3)),IF(AND(s_Irr!D3&lt;&gt;".",s_Irr!AC3=".",s_Irr!BB3="."),s_dir!E3/((1/1000)*(s_Irr!D3)),IF(AND(s_Irr!D3=".",s_Irr!AC3=".",s_Irr!BB3="."),s_dir!E3*1000)))))))),".")</f>
        <v>210.62549126958288</v>
      </c>
      <c r="F3" s="76">
        <f>IFERROR(IF(AND(s_Irr!E3&lt;&gt;".",s_Irr!AD3&lt;&gt;".",s_Irr!BC3&lt;&gt;"."),s_dir!F3/((1/1000)*(s_Irr!E3+s_Irr!AD3+s_Irr!BC3)),IF(AND(s_Irr!E3&lt;&gt;".",s_Irr!AD3&lt;&gt;".",s_Irr!BC3="."),s_dir!F3/((1/1000)*(s_Irr!E3+s_Irr!AD3)),IF(AND(s_Irr!E3&lt;&gt;".",s_Irr!AD3=".",s_Irr!BC3&lt;&gt;"."),s_dir!F3/((1/1000)*(s_Irr!E3+s_Irr!BC3)),IF(AND(s_Irr!E3=".",s_Irr!AD3&lt;&gt;".",s_Irr!BC3&lt;&gt;"."),s_dir!F3/((1/1000)*(s_Irr!AD3+s_Irr!BC3)),IF(AND(s_Irr!E3=".",s_Irr!AD3=".",s_Irr!BC3&lt;&gt;"."),s_dir!F3/((1/1000)*(s_Irr!BC3)),IF(AND(s_Irr!E3=".",s_Irr!AD3&lt;&gt;".",s_Irr!BC3="."),s_dir!F3/((1/1000)*(s_Irr!AD3)),IF(AND(s_Irr!E3&lt;&gt;".",s_Irr!AD3=".",s_Irr!BC3="."),s_dir!F3/((1/1000)*(s_Irr!E3)),IF(AND(s_Irr!E3=".",s_Irr!AD3=".",s_Irr!BC3="."),s_dir!F3*1000)))))))),".")</f>
        <v>209.2103886833938</v>
      </c>
      <c r="G3" s="76">
        <f>IFERROR(IF(AND(s_Irr!F3&lt;&gt;".",s_Irr!AE3&lt;&gt;".",s_Irr!BD3&lt;&gt;"."),s_dir!G3/((1/1000)*(s_Irr!F3+s_Irr!AE3+s_Irr!BD3)),IF(AND(s_Irr!F3&lt;&gt;".",s_Irr!AE3&lt;&gt;".",s_Irr!BD3="."),s_dir!G3/((1/1000)*(s_Irr!F3+s_Irr!AE3)),IF(AND(s_Irr!F3&lt;&gt;".",s_Irr!AE3=".",s_Irr!BD3&lt;&gt;"."),s_dir!G3/((1/1000)*(s_Irr!F3+s_Irr!BD3)),IF(AND(s_Irr!F3=".",s_Irr!AE3&lt;&gt;".",s_Irr!BD3&lt;&gt;"."),s_dir!G3/((1/1000)*(s_Irr!AE3+s_Irr!BD3)),IF(AND(s_Irr!F3=".",s_Irr!AE3=".",s_Irr!BD3&lt;&gt;"."),s_dir!G3/((1/1000)*(s_Irr!BD3)),IF(AND(s_Irr!F3=".",s_Irr!AE3&lt;&gt;".",s_Irr!BD3="."),s_dir!G3/((1/1000)*(s_Irr!AE3)),IF(AND(s_Irr!F3&lt;&gt;".",s_Irr!AE3=".",s_Irr!BD3="."),s_dir!G3/((1/1000)*(s_Irr!F3)),IF(AND(s_Irr!F3=".",s_Irr!AE3=".",s_Irr!BD3="."),s_dir!G3*1000)))))))),".")</f>
        <v>208.75456557646706</v>
      </c>
      <c r="H3" s="76">
        <f>IFERROR(IF(AND(s_Irr!G3&lt;&gt;".",s_Irr!AF3&lt;&gt;".",s_Irr!BE3&lt;&gt;"."),s_dir!H3/((1/1000)*(s_Irr!G3+s_Irr!AF3+s_Irr!BE3)),IF(AND(s_Irr!G3&lt;&gt;".",s_Irr!AF3&lt;&gt;".",s_Irr!BE3="."),s_dir!H3/((1/1000)*(s_Irr!G3+s_Irr!AF3)),IF(AND(s_Irr!G3&lt;&gt;".",s_Irr!AF3=".",s_Irr!BE3&lt;&gt;"."),s_dir!H3/((1/1000)*(s_Irr!G3+s_Irr!BE3)),IF(AND(s_Irr!G3=".",s_Irr!AF3&lt;&gt;".",s_Irr!BE3&lt;&gt;"."),s_dir!H3/((1/1000)*(s_Irr!AF3+s_Irr!BE3)),IF(AND(s_Irr!G3=".",s_Irr!AF3=".",s_Irr!BE3&lt;&gt;"."),s_dir!H3/((1/1000)*(s_Irr!BE3)),IF(AND(s_Irr!G3=".",s_Irr!AF3&lt;&gt;".",s_Irr!BE3="."),s_dir!H3/((1/1000)*(s_Irr!AF3)),IF(AND(s_Irr!G3&lt;&gt;".",s_Irr!AF3=".",s_Irr!BE3="."),s_dir!H3/((1/1000)*(s_Irr!G3)),IF(AND(s_Irr!G3=".",s_Irr!AF3=".",s_Irr!BE3="."),s_dir!H3*1000)))))))),".")</f>
        <v>210.30542664527408</v>
      </c>
      <c r="I3" s="76">
        <f>IFERROR(IF(AND(s_Irr!H3&lt;&gt;".",s_Irr!AG3&lt;&gt;".",s_Irr!BF3&lt;&gt;"."),s_dir!I3/((1/1000)*(s_Irr!H3+s_Irr!AG3+s_Irr!BF3)),IF(AND(s_Irr!H3&lt;&gt;".",s_Irr!AG3&lt;&gt;".",s_Irr!BF3="."),s_dir!I3/((1/1000)*(s_Irr!H3+s_Irr!AG3)),IF(AND(s_Irr!H3&lt;&gt;".",s_Irr!AG3=".",s_Irr!BF3&lt;&gt;"."),s_dir!I3/((1/1000)*(s_Irr!H3+s_Irr!BF3)),IF(AND(s_Irr!H3=".",s_Irr!AG3&lt;&gt;".",s_Irr!BF3&lt;&gt;"."),s_dir!I3/((1/1000)*(s_Irr!AG3+s_Irr!BF3)),IF(AND(s_Irr!H3=".",s_Irr!AG3=".",s_Irr!BF3&lt;&gt;"."),s_dir!I3/((1/1000)*(s_Irr!BF3)),IF(AND(s_Irr!H3=".",s_Irr!AG3&lt;&gt;".",s_Irr!BF3="."),s_dir!I3/((1/1000)*(s_Irr!AG3)),IF(AND(s_Irr!H3&lt;&gt;".",s_Irr!AG3=".",s_Irr!BF3="."),s_dir!I3/((1/1000)*(s_Irr!H3)),IF(AND(s_Irr!H3=".",s_Irr!AG3=".",s_Irr!BF3="."),s_dir!I3*1000)))))))),".")</f>
        <v>210.62549126958288</v>
      </c>
      <c r="J3" s="76">
        <f>IFERROR(IF(AND(s_Irr!I3&lt;&gt;".",s_Irr!AH3&lt;&gt;".",s_Irr!BG3&lt;&gt;"."),s_dir!J3/((1/1000)*(s_Irr!I3+s_Irr!AH3+s_Irr!BG3)),IF(AND(s_Irr!I3&lt;&gt;".",s_Irr!AH3&lt;&gt;".",s_Irr!BG3="."),s_dir!J3/((1/1000)*(s_Irr!I3+s_Irr!AH3)),IF(AND(s_Irr!I3&lt;&gt;".",s_Irr!AH3=".",s_Irr!BG3&lt;&gt;"."),s_dir!J3/((1/1000)*(s_Irr!I3+s_Irr!BG3)),IF(AND(s_Irr!I3=".",s_Irr!AH3&lt;&gt;".",s_Irr!BG3&lt;&gt;"."),s_dir!J3/((1/1000)*(s_Irr!AH3+s_Irr!BG3)),IF(AND(s_Irr!I3=".",s_Irr!AH3=".",s_Irr!BG3&lt;&gt;"."),s_dir!J3/((1/1000)*(s_Irr!BG3)),IF(AND(s_Irr!I3=".",s_Irr!AH3&lt;&gt;".",s_Irr!BG3="."),s_dir!J3/((1/1000)*(s_Irr!AH3)),IF(AND(s_Irr!I3&lt;&gt;".",s_Irr!AH3=".",s_Irr!BG3="."),s_dir!J3/((1/1000)*(s_Irr!I3)),IF(AND(s_Irr!I3=".",s_Irr!AH3=".",s_Irr!BG3="."),s_dir!J3*1000)))))))),".")</f>
        <v>209.2103886833938</v>
      </c>
      <c r="K3" s="76">
        <f>IFERROR(IF(AND(s_Irr!J3&lt;&gt;".",s_Irr!AI3&lt;&gt;".",s_Irr!BH3&lt;&gt;"."),s_dir!K3/((1/1000)*(s_Irr!J3+s_Irr!AI3+s_Irr!BH3)),IF(AND(s_Irr!J3&lt;&gt;".",s_Irr!AI3&lt;&gt;".",s_Irr!BH3="."),s_dir!K3/((1/1000)*(s_Irr!J3+s_Irr!AI3)),IF(AND(s_Irr!J3&lt;&gt;".",s_Irr!AI3=".",s_Irr!BH3&lt;&gt;"."),s_dir!K3/((1/1000)*(s_Irr!J3+s_Irr!BH3)),IF(AND(s_Irr!J3=".",s_Irr!AI3&lt;&gt;".",s_Irr!BH3&lt;&gt;"."),s_dir!K3/((1/1000)*(s_Irr!AI3+s_Irr!BH3)),IF(AND(s_Irr!J3=".",s_Irr!AI3=".",s_Irr!BH3&lt;&gt;"."),s_dir!K3/((1/1000)*(s_Irr!BH3)),IF(AND(s_Irr!J3=".",s_Irr!AI3&lt;&gt;".",s_Irr!BH3="."),s_dir!K3/((1/1000)*(s_Irr!AI3)),IF(AND(s_Irr!J3&lt;&gt;".",s_Irr!AI3=".",s_Irr!BH3="."),s_dir!K3/((1/1000)*(s_Irr!J3)),IF(AND(s_Irr!J3=".",s_Irr!AI3=".",s_Irr!BH3="."),s_dir!K3*1000)))))))),".")</f>
        <v>211.48018846073282</v>
      </c>
      <c r="L3" s="76">
        <f>IFERROR(IF(AND(s_Irr!K3&lt;&gt;".",s_Irr!AJ3&lt;&gt;".",s_Irr!BI3&lt;&gt;"."),s_dir!L3/((1/1000)*(s_Irr!K3+s_Irr!AJ3+s_Irr!BI3)),IF(AND(s_Irr!K3&lt;&gt;".",s_Irr!AJ3&lt;&gt;".",s_Irr!BI3="."),s_dir!L3/((1/1000)*(s_Irr!K3+s_Irr!AJ3)),IF(AND(s_Irr!K3&lt;&gt;".",s_Irr!AJ3=".",s_Irr!BI3&lt;&gt;"."),s_dir!L3/((1/1000)*(s_Irr!K3+s_Irr!BI3)),IF(AND(s_Irr!K3=".",s_Irr!AJ3&lt;&gt;".",s_Irr!BI3&lt;&gt;"."),s_dir!L3/((1/1000)*(s_Irr!AJ3+s_Irr!BI3)),IF(AND(s_Irr!K3=".",s_Irr!AJ3=".",s_Irr!BI3&lt;&gt;"."),s_dir!L3/((1/1000)*(s_Irr!BI3)),IF(AND(s_Irr!K3=".",s_Irr!AJ3&lt;&gt;".",s_Irr!BI3="."),s_dir!L3/((1/1000)*(s_Irr!AJ3)),IF(AND(s_Irr!K3&lt;&gt;".",s_Irr!AJ3=".",s_Irr!BI3="."),s_dir!L3/((1/1000)*(s_Irr!K3)),IF(AND(s_Irr!K3=".",s_Irr!AJ3=".",s_Irr!BI3="."),s_dir!L3*1000)))))))),".")</f>
        <v>211.41198810250253</v>
      </c>
      <c r="M3" s="76">
        <f>IFERROR(IF(AND(s_Irr!L3&lt;&gt;".",s_Irr!AK3&lt;&gt;".",s_Irr!BJ3&lt;&gt;"."),s_dir!M3/((1/1000)*(s_Irr!L3+s_Irr!AK3+s_Irr!BJ3)),IF(AND(s_Irr!L3&lt;&gt;".",s_Irr!AK3&lt;&gt;".",s_Irr!BJ3="."),s_dir!M3/((1/1000)*(s_Irr!L3+s_Irr!AK3)),IF(AND(s_Irr!L3&lt;&gt;".",s_Irr!AK3=".",s_Irr!BJ3&lt;&gt;"."),s_dir!M3/((1/1000)*(s_Irr!L3+s_Irr!BJ3)),IF(AND(s_Irr!L3=".",s_Irr!AK3&lt;&gt;".",s_Irr!BJ3&lt;&gt;"."),s_dir!M3/((1/1000)*(s_Irr!AK3+s_Irr!BJ3)),IF(AND(s_Irr!L3=".",s_Irr!AK3=".",s_Irr!BJ3&lt;&gt;"."),s_dir!M3/((1/1000)*(s_Irr!BJ3)),IF(AND(s_Irr!L3=".",s_Irr!AK3&lt;&gt;".",s_Irr!BJ3="."),s_dir!M3/((1/1000)*(s_Irr!AK3)),IF(AND(s_Irr!L3&lt;&gt;".",s_Irr!AK3=".",s_Irr!BJ3="."),s_dir!M3/((1/1000)*(s_Irr!L3)),IF(AND(s_Irr!L3=".",s_Irr!AK3=".",s_Irr!BJ3="."),s_dir!M3*1000)))))))),".")</f>
        <v>210.30542664527408</v>
      </c>
      <c r="N3" s="76">
        <f>IFERROR(IF(AND(s_Irr!M3&lt;&gt;".",s_Irr!AL3&lt;&gt;".",s_Irr!BK3&lt;&gt;"."),s_dir!N3/((1/1000)*(s_Irr!M3+s_Irr!AL3+s_Irr!BK3)),IF(AND(s_Irr!M3&lt;&gt;".",s_Irr!AL3&lt;&gt;".",s_Irr!BK3="."),s_dir!N3/((1/1000)*(s_Irr!M3+s_Irr!AL3)),IF(AND(s_Irr!M3&lt;&gt;".",s_Irr!AL3=".",s_Irr!BK3&lt;&gt;"."),s_dir!N3/((1/1000)*(s_Irr!M3+s_Irr!BK3)),IF(AND(s_Irr!M3=".",s_Irr!AL3&lt;&gt;".",s_Irr!BK3&lt;&gt;"."),s_dir!N3/((1/1000)*(s_Irr!AL3+s_Irr!BK3)),IF(AND(s_Irr!M3=".",s_Irr!AL3=".",s_Irr!BK3&lt;&gt;"."),s_dir!N3/((1/1000)*(s_Irr!BK3)),IF(AND(s_Irr!M3=".",s_Irr!AL3&lt;&gt;".",s_Irr!BK3="."),s_dir!N3/((1/1000)*(s_Irr!AL3)),IF(AND(s_Irr!M3&lt;&gt;".",s_Irr!AL3=".",s_Irr!BK3="."),s_dir!N3/((1/1000)*(s_Irr!M3)),IF(AND(s_Irr!M3=".",s_Irr!AL3=".",s_Irr!BK3="."),s_dir!N3*1000)))))))),".")</f>
        <v>210.62549126958288</v>
      </c>
      <c r="O3" s="76">
        <f>IFERROR(IF(AND(s_Irr!N3&lt;&gt;".",s_Irr!AM3&lt;&gt;".",s_Irr!BL3&lt;&gt;"."),s_dir!O3/((1/1000)*(s_Irr!N3+s_Irr!AM3+s_Irr!BL3)),IF(AND(s_Irr!N3&lt;&gt;".",s_Irr!AM3&lt;&gt;".",s_Irr!BL3="."),s_dir!O3/((1/1000)*(s_Irr!N3+s_Irr!AM3)),IF(AND(s_Irr!N3&lt;&gt;".",s_Irr!AM3=".",s_Irr!BL3&lt;&gt;"."),s_dir!O3/((1/1000)*(s_Irr!N3+s_Irr!BL3)),IF(AND(s_Irr!N3=".",s_Irr!AM3&lt;&gt;".",s_Irr!BL3&lt;&gt;"."),s_dir!O3/((1/1000)*(s_Irr!AM3+s_Irr!BL3)),IF(AND(s_Irr!N3=".",s_Irr!AM3=".",s_Irr!BL3&lt;&gt;"."),s_dir!O3/((1/1000)*(s_Irr!BL3)),IF(AND(s_Irr!N3=".",s_Irr!AM3&lt;&gt;".",s_Irr!BL3="."),s_dir!O3/((1/1000)*(s_Irr!AM3)),IF(AND(s_Irr!N3&lt;&gt;".",s_Irr!AM3=".",s_Irr!BL3="."),s_dir!O3/((1/1000)*(s_Irr!N3)),IF(AND(s_Irr!N3=".",s_Irr!AM3=".",s_Irr!BL3="."),s_dir!O3*1000)))))))),".")</f>
        <v>210.23443322838844</v>
      </c>
      <c r="P3" s="76">
        <f>IFERROR(IF(AND(s_Irr!O3&lt;&gt;".",s_Irr!AN3&lt;&gt;".",s_Irr!BM3&lt;&gt;"."),s_dir!P3/((1/1000)*(s_Irr!O3+s_Irr!AN3+s_Irr!BM3)),IF(AND(s_Irr!O3&lt;&gt;".",s_Irr!AN3&lt;&gt;".",s_Irr!BM3="."),s_dir!P3/((1/1000)*(s_Irr!O3+s_Irr!AN3)),IF(AND(s_Irr!O3&lt;&gt;".",s_Irr!AN3=".",s_Irr!BM3&lt;&gt;"."),s_dir!P3/((1/1000)*(s_Irr!O3+s_Irr!BM3)),IF(AND(s_Irr!O3=".",s_Irr!AN3&lt;&gt;".",s_Irr!BM3&lt;&gt;"."),s_dir!P3/((1/1000)*(s_Irr!AN3+s_Irr!BM3)),IF(AND(s_Irr!O3=".",s_Irr!AN3=".",s_Irr!BM3&lt;&gt;"."),s_dir!P3/((1/1000)*(s_Irr!BM3)),IF(AND(s_Irr!O3=".",s_Irr!AN3&lt;&gt;".",s_Irr!BM3="."),s_dir!P3/((1/1000)*(s_Irr!AN3)),IF(AND(s_Irr!O3&lt;&gt;".",s_Irr!AN3=".",s_Irr!BM3="."),s_dir!P3/((1/1000)*(s_Irr!O3)),IF(AND(s_Irr!O3=".",s_Irr!AN3=".",s_Irr!BM3="."),s_dir!P3*1000)))))))),".")</f>
        <v>210.30542664527408</v>
      </c>
      <c r="Q3" s="76">
        <f>IFERROR(IF(AND(s_Irr!P3&lt;&gt;".",s_Irr!AO3&lt;&gt;".",s_Irr!BN3&lt;&gt;"."),s_dir!Q3/((1/1000)*(s_Irr!P3+s_Irr!AO3+s_Irr!BN3)),IF(AND(s_Irr!P3&lt;&gt;".",s_Irr!AO3&lt;&gt;".",s_Irr!BN3="."),s_dir!Q3/((1/1000)*(s_Irr!P3+s_Irr!AO3)),IF(AND(s_Irr!P3&lt;&gt;".",s_Irr!AO3=".",s_Irr!BN3&lt;&gt;"."),s_dir!Q3/((1/1000)*(s_Irr!P3+s_Irr!BN3)),IF(AND(s_Irr!P3=".",s_Irr!AO3&lt;&gt;".",s_Irr!BN3&lt;&gt;"."),s_dir!Q3/((1/1000)*(s_Irr!AO3+s_Irr!BN3)),IF(AND(s_Irr!P3=".",s_Irr!AO3=".",s_Irr!BN3&lt;&gt;"."),s_dir!Q3/((1/1000)*(s_Irr!BN3)),IF(AND(s_Irr!P3=".",s_Irr!AO3&lt;&gt;".",s_Irr!BN3="."),s_dir!Q3/((1/1000)*(s_Irr!AO3)),IF(AND(s_Irr!P3&lt;&gt;".",s_Irr!AO3=".",s_Irr!BN3="."),s_dir!Q3/((1/1000)*(s_Irr!P3)),IF(AND(s_Irr!P3=".",s_Irr!AO3=".",s_Irr!BN3="."),s_dir!Q3*1000)))))))),".")</f>
        <v>209.2103886833938</v>
      </c>
      <c r="R3" s="76">
        <f>IFERROR(IF(AND(s_Irr!Q3&lt;&gt;".",s_Irr!AP3&lt;&gt;".",s_Irr!BO3&lt;&gt;"."),s_dir!R3/((1/1000)*(s_Irr!Q3+s_Irr!AP3+s_Irr!BO3)),IF(AND(s_Irr!Q3&lt;&gt;".",s_Irr!AP3&lt;&gt;".",s_Irr!BO3="."),s_dir!R3/((1/1000)*(s_Irr!Q3+s_Irr!AP3)),IF(AND(s_Irr!Q3&lt;&gt;".",s_Irr!AP3=".",s_Irr!BO3&lt;&gt;"."),s_dir!R3/((1/1000)*(s_Irr!Q3+s_Irr!BO3)),IF(AND(s_Irr!Q3=".",s_Irr!AP3&lt;&gt;".",s_Irr!BO3&lt;&gt;"."),s_dir!R3/((1/1000)*(s_Irr!AP3+s_Irr!BO3)),IF(AND(s_Irr!Q3=".",s_Irr!AP3=".",s_Irr!BO3&lt;&gt;"."),s_dir!R3/((1/1000)*(s_Irr!BO3)),IF(AND(s_Irr!Q3=".",s_Irr!AP3&lt;&gt;".",s_Irr!BO3="."),s_dir!R3/((1/1000)*(s_Irr!AP3)),IF(AND(s_Irr!Q3&lt;&gt;".",s_Irr!AP3=".",s_Irr!BO3="."),s_dir!R3/((1/1000)*(s_Irr!Q3)),IF(AND(s_Irr!Q3=".",s_Irr!AP3=".",s_Irr!BO3="."),s_dir!R3*1000)))))))),".")</f>
        <v>211.48018846073282</v>
      </c>
      <c r="S3" s="76">
        <f>IFERROR(IF(AND(s_Irr!R3&lt;&gt;".",s_Irr!AQ3&lt;&gt;".",s_Irr!BP3&lt;&gt;"."),s_dir!S3/((1/1000)*(s_Irr!R3+s_Irr!AQ3+s_Irr!BP3)),IF(AND(s_Irr!R3&lt;&gt;".",s_Irr!AQ3&lt;&gt;".",s_Irr!BP3="."),s_dir!S3/((1/1000)*(s_Irr!R3+s_Irr!AQ3)),IF(AND(s_Irr!R3&lt;&gt;".",s_Irr!AQ3=".",s_Irr!BP3&lt;&gt;"."),s_dir!S3/((1/1000)*(s_Irr!R3+s_Irr!BP3)),IF(AND(s_Irr!R3=".",s_Irr!AQ3&lt;&gt;".",s_Irr!BP3&lt;&gt;"."),s_dir!S3/((1/1000)*(s_Irr!AQ3+s_Irr!BP3)),IF(AND(s_Irr!R3=".",s_Irr!AQ3=".",s_Irr!BP3&lt;&gt;"."),s_dir!S3/((1/1000)*(s_Irr!BP3)),IF(AND(s_Irr!R3=".",s_Irr!AQ3&lt;&gt;".",s_Irr!BP3="."),s_dir!S3/((1/1000)*(s_Irr!AQ3)),IF(AND(s_Irr!R3&lt;&gt;".",s_Irr!AQ3=".",s_Irr!BP3="."),s_dir!S3/((1/1000)*(s_Irr!R3)),IF(AND(s_Irr!R3=".",s_Irr!AQ3=".",s_Irr!BP3="."),s_dir!S3*1000)))))))),".")</f>
        <v>211.48018846073282</v>
      </c>
      <c r="T3" s="76">
        <f>IFERROR(IF(AND(s_Irr!S3&lt;&gt;".",s_Irr!AR3&lt;&gt;".",s_Irr!BQ3&lt;&gt;"."),s_dir!T3/((1/1000)*(s_Irr!S3+s_Irr!AR3+s_Irr!BQ3)),IF(AND(s_Irr!S3&lt;&gt;".",s_Irr!AR3&lt;&gt;".",s_Irr!BQ3="."),s_dir!T3/((1/1000)*(s_Irr!S3+s_Irr!AR3)),IF(AND(s_Irr!S3&lt;&gt;".",s_Irr!AR3=".",s_Irr!BQ3&lt;&gt;"."),s_dir!T3/((1/1000)*(s_Irr!S3+s_Irr!BQ3)),IF(AND(s_Irr!S3=".",s_Irr!AR3&lt;&gt;".",s_Irr!BQ3&lt;&gt;"."),s_dir!T3/((1/1000)*(s_Irr!AR3+s_Irr!BQ3)),IF(AND(s_Irr!S3=".",s_Irr!AR3=".",s_Irr!BQ3&lt;&gt;"."),s_dir!T3/((1/1000)*(s_Irr!BQ3)),IF(AND(s_Irr!S3=".",s_Irr!AR3&lt;&gt;".",s_Irr!BQ3="."),s_dir!T3/((1/1000)*(s_Irr!AR3)),IF(AND(s_Irr!S3&lt;&gt;".",s_Irr!AR3=".",s_Irr!BQ3="."),s_dir!T3/((1/1000)*(s_Irr!S3)),IF(AND(s_Irr!S3=".",s_Irr!AR3=".",s_Irr!BQ3="."),s_dir!T3*1000)))))))),".")</f>
        <v>210.23443322838844</v>
      </c>
      <c r="U3" s="76">
        <f>IFERROR(IF(AND(s_Irr!T3&lt;&gt;".",s_Irr!AS3&lt;&gt;".",s_Irr!BR3&lt;&gt;"."),s_dir!U3/((1/1000)*(s_Irr!T3+s_Irr!AS3+s_Irr!BR3)),IF(AND(s_Irr!T3&lt;&gt;".",s_Irr!AS3&lt;&gt;".",s_Irr!BR3="."),s_dir!U3/((1/1000)*(s_Irr!T3+s_Irr!AS3)),IF(AND(s_Irr!T3&lt;&gt;".",s_Irr!AS3=".",s_Irr!BR3&lt;&gt;"."),s_dir!U3/((1/1000)*(s_Irr!T3+s_Irr!BR3)),IF(AND(s_Irr!T3=".",s_Irr!AS3&lt;&gt;".",s_Irr!BR3&lt;&gt;"."),s_dir!U3/((1/1000)*(s_Irr!AS3+s_Irr!BR3)),IF(AND(s_Irr!T3=".",s_Irr!AS3=".",s_Irr!BR3&lt;&gt;"."),s_dir!U3/((1/1000)*(s_Irr!BR3)),IF(AND(s_Irr!T3=".",s_Irr!AS3&lt;&gt;".",s_Irr!BR3="."),s_dir!U3/((1/1000)*(s_Irr!AS3)),IF(AND(s_Irr!T3&lt;&gt;".",s_Irr!AS3=".",s_Irr!BR3="."),s_dir!U3/((1/1000)*(s_Irr!T3)),IF(AND(s_Irr!T3=".",s_Irr!AS3=".",s_Irr!BR3="."),s_dir!U3*1000)))))))),".")</f>
        <v>210.30542664527408</v>
      </c>
      <c r="V3" s="76">
        <f>IFERROR(IF(AND(s_Irr!U3&lt;&gt;".",s_Irr!AT3&lt;&gt;".",s_Irr!BS3&lt;&gt;"."),s_dir!V3/((1/1000)*(s_Irr!U3+s_Irr!AT3+s_Irr!BS3)),IF(AND(s_Irr!U3&lt;&gt;".",s_Irr!AT3&lt;&gt;".",s_Irr!BS3="."),s_dir!V3/((1/1000)*(s_Irr!U3+s_Irr!AT3)),IF(AND(s_Irr!U3&lt;&gt;".",s_Irr!AT3=".",s_Irr!BS3&lt;&gt;"."),s_dir!V3/((1/1000)*(s_Irr!U3+s_Irr!BS3)),IF(AND(s_Irr!U3=".",s_Irr!AT3&lt;&gt;".",s_Irr!BS3&lt;&gt;"."),s_dir!V3/((1/1000)*(s_Irr!AT3+s_Irr!BS3)),IF(AND(s_Irr!U3=".",s_Irr!AT3=".",s_Irr!BS3&lt;&gt;"."),s_dir!V3/((1/1000)*(s_Irr!BS3)),IF(AND(s_Irr!U3=".",s_Irr!AT3&lt;&gt;".",s_Irr!BS3="."),s_dir!V3/((1/1000)*(s_Irr!AT3)),IF(AND(s_Irr!U3&lt;&gt;".",s_Irr!AT3=".",s_Irr!BS3="."),s_dir!V3/((1/1000)*(s_Irr!U3)),IF(AND(s_Irr!U3=".",s_Irr!AT3=".",s_Irr!BS3="."),s_dir!V3*1000)))))))),".")</f>
        <v>210.83940946610534</v>
      </c>
      <c r="W3" s="76">
        <f>IFERROR(IF(AND(s_Irr!V3&lt;&gt;".",s_Irr!AU3&lt;&gt;".",s_Irr!BT3&lt;&gt;"."),s_dir!W3/((1/1000)*(s_Irr!V3+s_Irr!AU3+s_Irr!BT3)),IF(AND(s_Irr!V3&lt;&gt;".",s_Irr!AU3&lt;&gt;".",s_Irr!BT3="."),s_dir!W3/((1/1000)*(s_Irr!V3+s_Irr!AU3)),IF(AND(s_Irr!V3&lt;&gt;".",s_Irr!AU3=".",s_Irr!BT3&lt;&gt;"."),s_dir!W3/((1/1000)*(s_Irr!V3+s_Irr!BT3)),IF(AND(s_Irr!V3=".",s_Irr!AU3&lt;&gt;".",s_Irr!BT3&lt;&gt;"."),s_dir!W3/((1/1000)*(s_Irr!AU3+s_Irr!BT3)),IF(AND(s_Irr!V3=".",s_Irr!AU3=".",s_Irr!BT3&lt;&gt;"."),s_dir!W3/((1/1000)*(s_Irr!BT3)),IF(AND(s_Irr!V3=".",s_Irr!AU3&lt;&gt;".",s_Irr!BT3="."),s_dir!W3/((1/1000)*(s_Irr!AU3)),IF(AND(s_Irr!V3&lt;&gt;".",s_Irr!AU3=".",s_Irr!BT3="."),s_dir!W3/((1/1000)*(s_Irr!V3)),IF(AND(s_Irr!V3=".",s_Irr!AU3=".",s_Irr!BT3="."),s_dir!W3*1000)))))))),".")</f>
        <v>210.30542664527408</v>
      </c>
      <c r="X3" s="76">
        <f>IFERROR(IF(AND(s_Irr!W3&lt;&gt;".",s_Irr!AV3&lt;&gt;".",s_Irr!BU3&lt;&gt;"."),s_dir!X3/((1/1000)*(s_Irr!W3+s_Irr!AV3+s_Irr!BU3)),IF(AND(s_Irr!W3&lt;&gt;".",s_Irr!AV3&lt;&gt;".",s_Irr!BU3="."),s_dir!X3/((1/1000)*(s_Irr!W3+s_Irr!AV3)),IF(AND(s_Irr!W3&lt;&gt;".",s_Irr!AV3=".",s_Irr!BU3&lt;&gt;"."),s_dir!X3/((1/1000)*(s_Irr!W3+s_Irr!BU3)),IF(AND(s_Irr!W3=".",s_Irr!AV3&lt;&gt;".",s_Irr!BU3&lt;&gt;"."),s_dir!X3/((1/1000)*(s_Irr!AV3+s_Irr!BU3)),IF(AND(s_Irr!W3=".",s_Irr!AV3=".",s_Irr!BU3&lt;&gt;"."),s_dir!X3/((1/1000)*(s_Irr!BU3)),IF(AND(s_Irr!W3=".",s_Irr!AV3&lt;&gt;".",s_Irr!BU3="."),s_dir!X3/((1/1000)*(s_Irr!AV3)),IF(AND(s_Irr!W3&lt;&gt;".",s_Irr!AV3=".",s_Irr!BU3="."),s_dir!X3/((1/1000)*(s_Irr!W3)),IF(AND(s_Irr!W3=".",s_Irr!AV3=".",s_Irr!BU3="."),s_dir!X3*1000)))))))),".")</f>
        <v>210.23443322838844</v>
      </c>
      <c r="Y3" s="76">
        <f>IFERROR(IF(AND(s_Irr!X3&lt;&gt;".",s_Irr!AW3&lt;&gt;".",s_Irr!BV3&lt;&gt;"."),s_dir!Y3/((1/1000)*(s_Irr!X3+s_Irr!AW3+s_Irr!BV3)),IF(AND(s_Irr!X3&lt;&gt;".",s_Irr!AW3&lt;&gt;".",s_Irr!BV3="."),s_dir!Y3/((1/1000)*(s_Irr!X3+s_Irr!AW3)),IF(AND(s_Irr!X3&lt;&gt;".",s_Irr!AW3=".",s_Irr!BV3&lt;&gt;"."),s_dir!Y3/((1/1000)*(s_Irr!X3+s_Irr!BV3)),IF(AND(s_Irr!X3=".",s_Irr!AW3&lt;&gt;".",s_Irr!BV3&lt;&gt;"."),s_dir!Y3/((1/1000)*(s_Irr!AW3+s_Irr!BV3)),IF(AND(s_Irr!X3=".",s_Irr!AW3=".",s_Irr!BV3&lt;&gt;"."),s_dir!Y3/((1/1000)*(s_Irr!BV3)),IF(AND(s_Irr!X3=".",s_Irr!AW3&lt;&gt;".",s_Irr!BV3="."),s_dir!Y3/((1/1000)*(s_Irr!AW3)),IF(AND(s_Irr!X3&lt;&gt;".",s_Irr!AW3=".",s_Irr!BV3="."),s_dir!Y3/((1/1000)*(s_Irr!X3)),IF(AND(s_Irr!X3=".",s_Irr!AW3=".",s_Irr!BV3="."),s_dir!Y3*1000)))))))),".")</f>
        <v>211.19690704148672</v>
      </c>
      <c r="Z3" s="76">
        <f>IFERROR(IF(AND(s_Irr!Y3&lt;&gt;".",s_Irr!AX3&lt;&gt;".",s_Irr!BW3&lt;&gt;"."),s_dir!Z3/((1/1000)*(s_Irr!Y3+s_Irr!AX3+s_Irr!BW3)),IF(AND(s_Irr!Y3&lt;&gt;".",s_Irr!AX3&lt;&gt;".",s_Irr!BW3="."),s_dir!Z3/((1/1000)*(s_Irr!Y3+s_Irr!AX3)),IF(AND(s_Irr!Y3&lt;&gt;".",s_Irr!AX3=".",s_Irr!BW3&lt;&gt;"."),s_dir!Z3/((1/1000)*(s_Irr!Y3+s_Irr!BW3)),IF(AND(s_Irr!Y3=".",s_Irr!AX3&lt;&gt;".",s_Irr!BW3&lt;&gt;"."),s_dir!Z3/((1/1000)*(s_Irr!AX3+s_Irr!BW3)),IF(AND(s_Irr!Y3=".",s_Irr!AX3=".",s_Irr!BW3&lt;&gt;"."),s_dir!Z3/((1/1000)*(s_Irr!BW3)),IF(AND(s_Irr!Y3=".",s_Irr!AX3&lt;&gt;".",s_Irr!BW3="."),s_dir!Z3/((1/1000)*(s_Irr!AX3)),IF(AND(s_Irr!Y3&lt;&gt;".",s_Irr!AX3=".",s_Irr!BW3="."),s_dir!Z3/((1/1000)*(s_Irr!Y3)),IF(AND(s_Irr!Y3=".",s_Irr!AX3=".",s_Irr!BW3="."),s_dir!Z3*1000)))))))),".")</f>
        <v>210.30542664527408</v>
      </c>
      <c r="AA3" s="76">
        <f>IFERROR(IF(AND(s_Irr!Z3&lt;&gt;".",s_Irr!AY3&lt;&gt;".",s_Irr!BX3&lt;&gt;"."),s_dir!AA3/((1/1000)*(s_Irr!Z3+s_Irr!AY3+s_Irr!BX3)),IF(AND(s_Irr!Z3&lt;&gt;".",s_Irr!AY3&lt;&gt;".",s_Irr!BX3="."),s_dir!AA3/((1/1000)*(s_Irr!Z3+s_Irr!AY3)),IF(AND(s_Irr!Z3&lt;&gt;".",s_Irr!AY3=".",s_Irr!BX3&lt;&gt;"."),s_dir!AA3/((1/1000)*(s_Irr!Z3+s_Irr!BX3)),IF(AND(s_Irr!Z3=".",s_Irr!AY3&lt;&gt;".",s_Irr!BX3&lt;&gt;"."),s_dir!AA3/((1/1000)*(s_Irr!AY3+s_Irr!BX3)),IF(AND(s_Irr!Z3=".",s_Irr!AY3=".",s_Irr!BX3&lt;&gt;"."),s_dir!AA3/((1/1000)*(s_Irr!BX3)),IF(AND(s_Irr!Z3=".",s_Irr!AY3&lt;&gt;".",s_Irr!BX3="."),s_dir!AA3/((1/1000)*(s_Irr!AY3)),IF(AND(s_Irr!Z3&lt;&gt;".",s_Irr!AY3=".",s_Irr!BX3="."),s_dir!AA3/((1/1000)*(s_Irr!Z3)),IF(AND(s_Irr!Z3=".",s_Irr!AY3=".",s_Irr!BX3="."),s_dir!AA3*1000)))))))),".")</f>
        <v>208.05716482642731</v>
      </c>
      <c r="AB3" s="76">
        <f>IFERROR(IF(AND(s_Irr!AA3&lt;&gt;".",s_Irr!AZ3&lt;&gt;".",s_Irr!BY3&lt;&gt;"."),s_dir!AB3/((1/1000)*(s_Irr!AA3+s_Irr!AZ3+s_Irr!BY3)),IF(AND(s_Irr!AA3&lt;&gt;".",s_Irr!AZ3&lt;&gt;".",s_Irr!BY3="."),s_dir!AB3/((1/1000)*(s_Irr!AA3+s_Irr!AZ3)),IF(AND(s_Irr!AA3&lt;&gt;".",s_Irr!AZ3=".",s_Irr!BY3&lt;&gt;"."),s_dir!AB3/((1/1000)*(s_Irr!AA3+s_Irr!BY3)),IF(AND(s_Irr!AA3=".",s_Irr!AZ3&lt;&gt;".",s_Irr!BY3&lt;&gt;"."),s_dir!AB3/((1/1000)*(s_Irr!AZ3+s_Irr!BY3)),IF(AND(s_Irr!AA3=".",s_Irr!AZ3=".",s_Irr!BY3&lt;&gt;"."),s_dir!AB3/((1/1000)*(s_Irr!BY3)),IF(AND(s_Irr!AA3=".",s_Irr!AZ3&lt;&gt;".",s_Irr!BY3="."),s_dir!AB3/((1/1000)*(s_Irr!AZ3)),IF(AND(s_Irr!AA3&lt;&gt;".",s_Irr!AZ3=".",s_Irr!BY3="."),s_dir!AB3/((1/1000)*(s_Irr!AA3)),IF(AND(s_Irr!AA3=".",s_Irr!AZ3=".",s_Irr!BY3="."),s_dir!AB3*1000)))))))),".")</f>
        <v>211.51250925400998</v>
      </c>
      <c r="AC3" s="93">
        <f t="shared" ref="AC3" si="0">SUM(AD3:AE3,AU3,BA3:BB3)</f>
        <v>8896.2910454763842</v>
      </c>
      <c r="AD3" s="93">
        <f>IFERROR(s_C*s_IFAP_res_adj*s_CF_apple*0.001*(s_Irr!C3+s_Irr!AB3+s_Irr!BA3),".")</f>
        <v>1770.0738642024708</v>
      </c>
      <c r="AE3" s="93">
        <f>IFERROR(s_C*s_IFAS_res_adj*s_CF_asparagus*0.001*(s_Irr!D3+s_Irr!AC3+s_Irr!BB3),".")</f>
        <v>1777.2566470211248</v>
      </c>
      <c r="AF3" s="93">
        <f>IFERROR(s_C*s_IFBT_res_adj*s_CF_beet*0.001*(s_Irr!E3+s_Irr!AD3+s_Irr!BC3),".")</f>
        <v>1789.2780408598762</v>
      </c>
      <c r="AG3" s="93">
        <f>IFERROR(s_C*s_IFBE_res_adj*s_CF_berries*0.001*(s_Irr!F3+s_Irr!AE3+s_Irr!BD3),".")</f>
        <v>1793.1849938574705</v>
      </c>
      <c r="AH3" s="93">
        <f>IFERROR(s_C*s_IFBR_res_adj*s_CF_broccoli*0.001*(s_Irr!G3+s_Irr!AF3+s_Irr!BE3),".")</f>
        <v>1779.9614606348439</v>
      </c>
      <c r="AI3" s="93">
        <f>IFERROR(s_C*s_IFCB_res_adj*s_CF_cabbage*0.001*(s_Irr!H3+s_Irr!AG3+s_Irr!BF3),".")</f>
        <v>1777.2566470211248</v>
      </c>
      <c r="AJ3" s="93">
        <f>IFERROR(s_C*s_IFCR_res_adj*s_CF_carrot*0.001*(s_Irr!I3+s_Irr!AH3+s_Irr!BG3),".")</f>
        <v>1789.2780408598762</v>
      </c>
      <c r="AK3" s="93">
        <f>IFERROR(s_C*s_IFCI_res_adj*s_CF_citrus*0.001*(s_Irr!J3+s_Irr!AI3+s_Irr!BH3),".")</f>
        <v>1770.0738642024708</v>
      </c>
      <c r="AL3" s="93">
        <f>IFERROR(s_C*s_IFCO_res_adj*s_CF_corn*0.001*(s_Irr!K3+s_Irr!AJ3+s_Irr!BI3),".")</f>
        <v>1770.6448804098113</v>
      </c>
      <c r="AM3" s="93">
        <f>IFERROR(s_C*s_IFCU_res_adj*s_CF_cucumber*0.001*(s_Irr!L3+s_Irr!AK3+s_Irr!BJ3),".")</f>
        <v>1779.9614606348439</v>
      </c>
      <c r="AN3" s="93">
        <f>IFERROR(s_C*s_IFLE_res_adj*s_CF_lettuce*0.001*(s_Irr!M3+s_Irr!AL3+s_Irr!BK3),".")</f>
        <v>1777.2566470211248</v>
      </c>
      <c r="AO3" s="93">
        <f>IFERROR(s_C*s_IFLI_res_adj*s_CF_lima_bean*0.001*(s_Irr!N3+s_Irr!AM3+s_Irr!BL3),".")</f>
        <v>1780.5625303267811</v>
      </c>
      <c r="AP3" s="93">
        <f>IFERROR(s_C*s_IFOK_res_adj*s_CF_okra*0.001*(s_Irr!O3+s_Irr!AN3+s_Irr!BM3),".")</f>
        <v>1779.9614606348439</v>
      </c>
      <c r="AQ3" s="93">
        <f>IFERROR(s_C*s_IFON_res_adj*s_CF_onion*0.001*(s_Irr!P3+s_Irr!AO3+s_Irr!BN3),".")</f>
        <v>1789.2780408598762</v>
      </c>
      <c r="AR3" s="93">
        <f>IFERROR(s_C*s_IFPC_res_adj*s_CF_peach*0.001*(s_Irr!Q3+s_Irr!AP3+s_Irr!BO3),".")</f>
        <v>1770.0738642024708</v>
      </c>
      <c r="AS3" s="93">
        <f>IFERROR(s_C*s_IFPR_res_adj*s_CF_pear*0.001*(s_Irr!R3+s_Irr!AQ3+s_Irr!BP3),".")</f>
        <v>1770.0738642024708</v>
      </c>
      <c r="AT3" s="93">
        <f>IFERROR(s_C*s_IFPE_res_adj*s_CF_peas*0.001*(s_Irr!S3+s_Irr!AR3+s_Irr!BQ3),".")</f>
        <v>1780.5625303267811</v>
      </c>
      <c r="AU3" s="93">
        <f>IFERROR(s_C*s_IFPP_res_adj*s_CF_peppers*0.001*(s_Irr!T3+s_Irr!AS3+s_Irr!BR3),".")</f>
        <v>1779.9614606348439</v>
      </c>
      <c r="AV3" s="93">
        <f>IFERROR(s_C*s_IFPT_res_adj*s_CF_potato*0.001*(s_Irr!U3+s_Irr!AT3+s_Irr!BS3),".")</f>
        <v>1775.4534379453119</v>
      </c>
      <c r="AW3" s="93">
        <f>IFERROR(s_C*s_IFPU_res_adj*s_CF_pumpkin*0.001*(s_Irr!V3+s_Irr!AU3+s_Irr!BT3),".")</f>
        <v>1779.9614606348439</v>
      </c>
      <c r="AX3" s="93">
        <f>IFERROR(s_C*s_IFSN_res_adj*s_CF_snap_bean*0.001*(s_Irr!W3+s_Irr!AV3+s_Irr!BU3),".")</f>
        <v>1780.5625303267811</v>
      </c>
      <c r="AY3" s="93">
        <f>IFERROR(s_C*s_IFST_res_adj*s_CF_strawberry*0.001*(s_Irr!X3+s_Irr!AW3+s_Irr!BV3),".")</f>
        <v>1772.448089485624</v>
      </c>
      <c r="AZ3" s="93">
        <f>IFERROR(s_C*s_IFTO_res_adj*s_CF_tomato*0.001*(s_Irr!Y3+s_Irr!AX3+s_Irr!BW3),".")</f>
        <v>1779.9614606348439</v>
      </c>
      <c r="BA3" s="93">
        <f>IFERROR(s_C*s_IFRI_res_adj*s_CF_rice*0.001*(s_Irr!Z3+s_Irr!AY3+s_Irr!BX3),".")</f>
        <v>1799.1956907768463</v>
      </c>
      <c r="BB3" s="93">
        <f>IFERROR(s_C*s_IFCG_res_adj*s_CF_cereal*0.001*(s_Irr!AA3+s_Irr!AZ3+s_Irr!BY3),".")</f>
        <v>1769.8033828410987</v>
      </c>
      <c r="BC3" s="76">
        <f t="shared" ref="BC3:BC30" si="1">IFERROR(1/SUM(1/BD3,1/BU3,1/CA3,1/CB3),".")</f>
        <v>52.582349436628952</v>
      </c>
      <c r="BD3" s="76">
        <f>IFERROR(IF(AND(s_Irr!C3&lt;&gt;".",s_Irr!AB3&lt;&gt;".",s_Irr!BA3&lt;&gt;"."),s_dir!AD3/((1/1000)*(s_Irr!C3+s_Irr!AB3+s_Irr!BA3)),IF(AND(s_Irr!C3&lt;&gt;".",s_Irr!AB3&lt;&gt;".",s_Irr!BA3="."),s_dir!AD3/((1/1000)*(s_Irr!C3+s_Irr!AB3)),IF(AND(s_Irr!C3&lt;&gt;".",s_Irr!AB3=".",s_Irr!BA3&lt;&gt;"."),s_dir!AD3/((1/1000)*(s_Irr!C3+s_Irr!BA3)),IF(AND(s_Irr!C3=".",s_Irr!AB3&lt;&gt;".",s_Irr!BA3&lt;&gt;"."),s_dir!AD3/((1/1000)*(s_Irr!AB3+s_Irr!BA3)),IF(AND(s_Irr!C3=".",s_Irr!AB3=".",s_Irr!BA3&lt;&gt;"."),s_dir!AD3/((1/1000)*(s_Irr!BA3)),IF(AND(s_Irr!C3=".",s_Irr!AB3&lt;&gt;".",s_Irr!BA3="."),s_dir!AD3/((1/1000)*(s_Irr!AB3)),IF(AND(s_Irr!C3&lt;&gt;".",s_Irr!AB3=".",s_Irr!BA3="."),s_dir!AD3/((1/1000)*(s_Irr!C3)),IF(AND(s_Irr!C3=".",s_Irr!AB3=".",s_Irr!BA3="."),s_dir!AD3*1000)))))))),".")</f>
        <v>211.48018846073282</v>
      </c>
      <c r="BE3" s="76">
        <f>IFERROR(IF(AND(s_Irr!D3&lt;&gt;".",s_Irr!AC3&lt;&gt;".",s_Irr!BB3&lt;&gt;"."),s_dir!AE3/((1/1000)*(s_Irr!D3+s_Irr!AC3+s_Irr!BB3)),IF(AND(s_Irr!D3&lt;&gt;".",s_Irr!AC3&lt;&gt;".",s_Irr!BB3="."),s_dir!AE3/((1/1000)*(s_Irr!D3+s_Irr!AC3)),IF(AND(s_Irr!D3&lt;&gt;".",s_Irr!AC3=".",s_Irr!BB3&lt;&gt;"."),s_dir!AE3/((1/1000)*(s_Irr!D3+s_Irr!BB3)),IF(AND(s_Irr!D3=".",s_Irr!AC3&lt;&gt;".",s_Irr!BB3&lt;&gt;"."),s_dir!AE3/((1/1000)*(s_Irr!AC3+s_Irr!BB3)),IF(AND(s_Irr!D3=".",s_Irr!AC3=".",s_Irr!BB3&lt;&gt;"."),s_dir!AE3/((1/1000)*(s_Irr!BB3)),IF(AND(s_Irr!D3=".",s_Irr!AC3&lt;&gt;".",s_Irr!BB3="."),s_dir!AE3/((1/1000)*(s_Irr!AC3)),IF(AND(s_Irr!D3&lt;&gt;".",s_Irr!AC3=".",s_Irr!BB3="."),s_dir!AE3/((1/1000)*(s_Irr!D3)),IF(AND(s_Irr!D3=".",s_Irr!AC3=".",s_Irr!BB3="."),s_dir!AE3*1000)))))))),".")</f>
        <v>210.62549126958288</v>
      </c>
      <c r="BF3" s="76">
        <f>IFERROR(IF(AND(s_Irr!E3&lt;&gt;".",s_Irr!AD3&lt;&gt;".",s_Irr!BC3&lt;&gt;"."),s_dir!AF3/((1/1000)*(s_Irr!E3+s_Irr!AD3+s_Irr!BC3)),IF(AND(s_Irr!E3&lt;&gt;".",s_Irr!AD3&lt;&gt;".",s_Irr!BC3="."),s_dir!AF3/((1/1000)*(s_Irr!E3+s_Irr!AD3)),IF(AND(s_Irr!E3&lt;&gt;".",s_Irr!AD3=".",s_Irr!BC3&lt;&gt;"."),s_dir!AF3/((1/1000)*(s_Irr!E3+s_Irr!BC3)),IF(AND(s_Irr!E3=".",s_Irr!AD3&lt;&gt;".",s_Irr!BC3&lt;&gt;"."),s_dir!AF3/((1/1000)*(s_Irr!AD3+s_Irr!BC3)),IF(AND(s_Irr!E3=".",s_Irr!AD3=".",s_Irr!BC3&lt;&gt;"."),s_dir!AF3/((1/1000)*(s_Irr!BC3)),IF(AND(s_Irr!E3=".",s_Irr!AD3&lt;&gt;".",s_Irr!BC3="."),s_dir!AF3/((1/1000)*(s_Irr!AD3)),IF(AND(s_Irr!E3&lt;&gt;".",s_Irr!AD3=".",s_Irr!BC3="."),s_dir!AF3/((1/1000)*(s_Irr!E3)),IF(AND(s_Irr!E3=".",s_Irr!AD3=".",s_Irr!BC3="."),s_dir!AF3*1000)))))))),".")</f>
        <v>209.2103886833938</v>
      </c>
      <c r="BG3" s="76">
        <f>IFERROR(IF(AND(s_Irr!F3&lt;&gt;".",s_Irr!AE3&lt;&gt;".",s_Irr!BD3&lt;&gt;"."),s_dir!AG3/((1/1000)*(s_Irr!F3+s_Irr!AE3+s_Irr!BD3)),IF(AND(s_Irr!F3&lt;&gt;".",s_Irr!AE3&lt;&gt;".",s_Irr!BD3="."),s_dir!AG3/((1/1000)*(s_Irr!F3+s_Irr!AE3)),IF(AND(s_Irr!F3&lt;&gt;".",s_Irr!AE3=".",s_Irr!BD3&lt;&gt;"."),s_dir!AG3/((1/1000)*(s_Irr!F3+s_Irr!BD3)),IF(AND(s_Irr!F3=".",s_Irr!AE3&lt;&gt;".",s_Irr!BD3&lt;&gt;"."),s_dir!AG3/((1/1000)*(s_Irr!AE3+s_Irr!BD3)),IF(AND(s_Irr!F3=".",s_Irr!AE3=".",s_Irr!BD3&lt;&gt;"."),s_dir!AG3/((1/1000)*(s_Irr!BD3)),IF(AND(s_Irr!F3=".",s_Irr!AE3&lt;&gt;".",s_Irr!BD3="."),s_dir!AG3/((1/1000)*(s_Irr!AE3)),IF(AND(s_Irr!F3&lt;&gt;".",s_Irr!AE3=".",s_Irr!BD3="."),s_dir!AG3/((1/1000)*(s_Irr!F3)),IF(AND(s_Irr!F3=".",s_Irr!AE3=".",s_Irr!BD3="."),s_dir!AG3*1000)))))))),".")</f>
        <v>208.75456557646706</v>
      </c>
      <c r="BH3" s="76">
        <f>IFERROR(IF(AND(s_Irr!G3&lt;&gt;".",s_Irr!AF3&lt;&gt;".",s_Irr!BE3&lt;&gt;"."),s_dir!AH3/((1/1000)*(s_Irr!G3+s_Irr!AF3+s_Irr!BE3)),IF(AND(s_Irr!G3&lt;&gt;".",s_Irr!AF3&lt;&gt;".",s_Irr!BE3="."),s_dir!AH3/((1/1000)*(s_Irr!G3+s_Irr!AF3)),IF(AND(s_Irr!G3&lt;&gt;".",s_Irr!AF3=".",s_Irr!BE3&lt;&gt;"."),s_dir!AH3/((1/1000)*(s_Irr!G3+s_Irr!BE3)),IF(AND(s_Irr!G3=".",s_Irr!AF3&lt;&gt;".",s_Irr!BE3&lt;&gt;"."),s_dir!AH3/((1/1000)*(s_Irr!AF3+s_Irr!BE3)),IF(AND(s_Irr!G3=".",s_Irr!AF3=".",s_Irr!BE3&lt;&gt;"."),s_dir!AH3/((1/1000)*(s_Irr!BE3)),IF(AND(s_Irr!G3=".",s_Irr!AF3&lt;&gt;".",s_Irr!BE3="."),s_dir!AH3/((1/1000)*(s_Irr!AF3)),IF(AND(s_Irr!G3&lt;&gt;".",s_Irr!AF3=".",s_Irr!BE3="."),s_dir!AH3/((1/1000)*(s_Irr!G3)),IF(AND(s_Irr!G3=".",s_Irr!AF3=".",s_Irr!BE3="."),s_dir!AH3*1000)))))))),".")</f>
        <v>210.30542664527408</v>
      </c>
      <c r="BI3" s="76">
        <f>IFERROR(IF(AND(s_Irr!H3&lt;&gt;".",s_Irr!AG3&lt;&gt;".",s_Irr!BF3&lt;&gt;"."),s_dir!AI3/((1/1000)*(s_Irr!H3+s_Irr!AG3+s_Irr!BF3)),IF(AND(s_Irr!H3&lt;&gt;".",s_Irr!AG3&lt;&gt;".",s_Irr!BF3="."),s_dir!AI3/((1/1000)*(s_Irr!H3+s_Irr!AG3)),IF(AND(s_Irr!H3&lt;&gt;".",s_Irr!AG3=".",s_Irr!BF3&lt;&gt;"."),s_dir!AI3/((1/1000)*(s_Irr!H3+s_Irr!BF3)),IF(AND(s_Irr!H3=".",s_Irr!AG3&lt;&gt;".",s_Irr!BF3&lt;&gt;"."),s_dir!AI3/((1/1000)*(s_Irr!AG3+s_Irr!BF3)),IF(AND(s_Irr!H3=".",s_Irr!AG3=".",s_Irr!BF3&lt;&gt;"."),s_dir!AI3/((1/1000)*(s_Irr!BF3)),IF(AND(s_Irr!H3=".",s_Irr!AG3&lt;&gt;".",s_Irr!BF3="."),s_dir!AI3/((1/1000)*(s_Irr!AG3)),IF(AND(s_Irr!H3&lt;&gt;".",s_Irr!AG3=".",s_Irr!BF3="."),s_dir!AI3/((1/1000)*(s_Irr!H3)),IF(AND(s_Irr!H3=".",s_Irr!AG3=".",s_Irr!BF3="."),s_dir!AI3*1000)))))))),".")</f>
        <v>210.62549126958288</v>
      </c>
      <c r="BJ3" s="76">
        <f>IFERROR(IF(AND(s_Irr!I3&lt;&gt;".",s_Irr!AH3&lt;&gt;".",s_Irr!BG3&lt;&gt;"."),s_dir!AJ3/((1/1000)*(s_Irr!I3+s_Irr!AH3+s_Irr!BG3)),IF(AND(s_Irr!I3&lt;&gt;".",s_Irr!AH3&lt;&gt;".",s_Irr!BG3="."),s_dir!AJ3/((1/1000)*(s_Irr!I3+s_Irr!AH3)),IF(AND(s_Irr!I3&lt;&gt;".",s_Irr!AH3=".",s_Irr!BG3&lt;&gt;"."),s_dir!AJ3/((1/1000)*(s_Irr!I3+s_Irr!BG3)),IF(AND(s_Irr!I3=".",s_Irr!AH3&lt;&gt;".",s_Irr!BG3&lt;&gt;"."),s_dir!AJ3/((1/1000)*(s_Irr!AH3+s_Irr!BG3)),IF(AND(s_Irr!I3=".",s_Irr!AH3=".",s_Irr!BG3&lt;&gt;"."),s_dir!AJ3/((1/1000)*(s_Irr!BG3)),IF(AND(s_Irr!I3=".",s_Irr!AH3&lt;&gt;".",s_Irr!BG3="."),s_dir!AJ3/((1/1000)*(s_Irr!AH3)),IF(AND(s_Irr!I3&lt;&gt;".",s_Irr!AH3=".",s_Irr!BG3="."),s_dir!AJ3/((1/1000)*(s_Irr!I3)),IF(AND(s_Irr!I3=".",s_Irr!AH3=".",s_Irr!BG3="."),s_dir!AJ3*1000)))))))),".")</f>
        <v>209.2103886833938</v>
      </c>
      <c r="BK3" s="76">
        <f>IFERROR(IF(AND(s_Irr!J3&lt;&gt;".",s_Irr!AI3&lt;&gt;".",s_Irr!BH3&lt;&gt;"."),s_dir!AK3/((1/1000)*(s_Irr!J3+s_Irr!AI3+s_Irr!BH3)),IF(AND(s_Irr!J3&lt;&gt;".",s_Irr!AI3&lt;&gt;".",s_Irr!BH3="."),s_dir!AK3/((1/1000)*(s_Irr!J3+s_Irr!AI3)),IF(AND(s_Irr!J3&lt;&gt;".",s_Irr!AI3=".",s_Irr!BH3&lt;&gt;"."),s_dir!AK3/((1/1000)*(s_Irr!J3+s_Irr!BH3)),IF(AND(s_Irr!J3=".",s_Irr!AI3&lt;&gt;".",s_Irr!BH3&lt;&gt;"."),s_dir!AK3/((1/1000)*(s_Irr!AI3+s_Irr!BH3)),IF(AND(s_Irr!J3=".",s_Irr!AI3=".",s_Irr!BH3&lt;&gt;"."),s_dir!AK3/((1/1000)*(s_Irr!BH3)),IF(AND(s_Irr!J3=".",s_Irr!AI3&lt;&gt;".",s_Irr!BH3="."),s_dir!AK3/((1/1000)*(s_Irr!AI3)),IF(AND(s_Irr!J3&lt;&gt;".",s_Irr!AI3=".",s_Irr!BH3="."),s_dir!AK3/((1/1000)*(s_Irr!J3)),IF(AND(s_Irr!J3=".",s_Irr!AI3=".",s_Irr!BH3="."),s_dir!AK3*1000)))))))),".")</f>
        <v>211.48018846073282</v>
      </c>
      <c r="BL3" s="76">
        <f>IFERROR(IF(AND(s_Irr!K3&lt;&gt;".",s_Irr!AJ3&lt;&gt;".",s_Irr!BI3&lt;&gt;"."),s_dir!AL3/((1/1000)*(s_Irr!K3+s_Irr!AJ3+s_Irr!BI3)),IF(AND(s_Irr!K3&lt;&gt;".",s_Irr!AJ3&lt;&gt;".",s_Irr!BI3="."),s_dir!AL3/((1/1000)*(s_Irr!K3+s_Irr!AJ3)),IF(AND(s_Irr!K3&lt;&gt;".",s_Irr!AJ3=".",s_Irr!BI3&lt;&gt;"."),s_dir!AL3/((1/1000)*(s_Irr!K3+s_Irr!BI3)),IF(AND(s_Irr!K3=".",s_Irr!AJ3&lt;&gt;".",s_Irr!BI3&lt;&gt;"."),s_dir!AL3/((1/1000)*(s_Irr!AJ3+s_Irr!BI3)),IF(AND(s_Irr!K3=".",s_Irr!AJ3=".",s_Irr!BI3&lt;&gt;"."),s_dir!AL3/((1/1000)*(s_Irr!BI3)),IF(AND(s_Irr!K3=".",s_Irr!AJ3&lt;&gt;".",s_Irr!BI3="."),s_dir!AL3/((1/1000)*(s_Irr!AJ3)),IF(AND(s_Irr!K3&lt;&gt;".",s_Irr!AJ3=".",s_Irr!BI3="."),s_dir!AL3/((1/1000)*(s_Irr!K3)),IF(AND(s_Irr!K3=".",s_Irr!AJ3=".",s_Irr!BI3="."),s_dir!AL3*1000)))))))),".")</f>
        <v>211.41198810250253</v>
      </c>
      <c r="BM3" s="76">
        <f>IFERROR(IF(AND(s_Irr!L3&lt;&gt;".",s_Irr!AK3&lt;&gt;".",s_Irr!BJ3&lt;&gt;"."),s_dir!AM3/((1/1000)*(s_Irr!L3+s_Irr!AK3+s_Irr!BJ3)),IF(AND(s_Irr!L3&lt;&gt;".",s_Irr!AK3&lt;&gt;".",s_Irr!BJ3="."),s_dir!AM3/((1/1000)*(s_Irr!L3+s_Irr!AK3)),IF(AND(s_Irr!L3&lt;&gt;".",s_Irr!AK3=".",s_Irr!BJ3&lt;&gt;"."),s_dir!AM3/((1/1000)*(s_Irr!L3+s_Irr!BJ3)),IF(AND(s_Irr!L3=".",s_Irr!AK3&lt;&gt;".",s_Irr!BJ3&lt;&gt;"."),s_dir!AM3/((1/1000)*(s_Irr!AK3+s_Irr!BJ3)),IF(AND(s_Irr!L3=".",s_Irr!AK3=".",s_Irr!BJ3&lt;&gt;"."),s_dir!AM3/((1/1000)*(s_Irr!BJ3)),IF(AND(s_Irr!L3=".",s_Irr!AK3&lt;&gt;".",s_Irr!BJ3="."),s_dir!AM3/((1/1000)*(s_Irr!AK3)),IF(AND(s_Irr!L3&lt;&gt;".",s_Irr!AK3=".",s_Irr!BJ3="."),s_dir!AM3/((1/1000)*(s_Irr!L3)),IF(AND(s_Irr!L3=".",s_Irr!AK3=".",s_Irr!BJ3="."),s_dir!AM3*1000)))))))),".")</f>
        <v>210.30542664527408</v>
      </c>
      <c r="BN3" s="76">
        <f>IFERROR(IF(AND(s_Irr!M3&lt;&gt;".",s_Irr!AL3&lt;&gt;".",s_Irr!BK3&lt;&gt;"."),s_dir!AN3/((1/1000)*(s_Irr!M3+s_Irr!AL3+s_Irr!BK3)),IF(AND(s_Irr!M3&lt;&gt;".",s_Irr!AL3&lt;&gt;".",s_Irr!BK3="."),s_dir!AN3/((1/1000)*(s_Irr!M3+s_Irr!AL3)),IF(AND(s_Irr!M3&lt;&gt;".",s_Irr!AL3=".",s_Irr!BK3&lt;&gt;"."),s_dir!AN3/((1/1000)*(s_Irr!M3+s_Irr!BK3)),IF(AND(s_Irr!M3=".",s_Irr!AL3&lt;&gt;".",s_Irr!BK3&lt;&gt;"."),s_dir!AN3/((1/1000)*(s_Irr!AL3+s_Irr!BK3)),IF(AND(s_Irr!M3=".",s_Irr!AL3=".",s_Irr!BK3&lt;&gt;"."),s_dir!AN3/((1/1000)*(s_Irr!BK3)),IF(AND(s_Irr!M3=".",s_Irr!AL3&lt;&gt;".",s_Irr!BK3="."),s_dir!AN3/((1/1000)*(s_Irr!AL3)),IF(AND(s_Irr!M3&lt;&gt;".",s_Irr!AL3=".",s_Irr!BK3="."),s_dir!AN3/((1/1000)*(s_Irr!M3)),IF(AND(s_Irr!M3=".",s_Irr!AL3=".",s_Irr!BK3="."),s_dir!AN3*1000)))))))),".")</f>
        <v>210.62549126958288</v>
      </c>
      <c r="BO3" s="76">
        <f>IFERROR(IF(AND(s_Irr!N3&lt;&gt;".",s_Irr!AM3&lt;&gt;".",s_Irr!BL3&lt;&gt;"."),s_dir!AO3/((1/1000)*(s_Irr!N3+s_Irr!AM3+s_Irr!BL3)),IF(AND(s_Irr!N3&lt;&gt;".",s_Irr!AM3&lt;&gt;".",s_Irr!BL3="."),s_dir!AO3/((1/1000)*(s_Irr!N3+s_Irr!AM3)),IF(AND(s_Irr!N3&lt;&gt;".",s_Irr!AM3=".",s_Irr!BL3&lt;&gt;"."),s_dir!AO3/((1/1000)*(s_Irr!N3+s_Irr!BL3)),IF(AND(s_Irr!N3=".",s_Irr!AM3&lt;&gt;".",s_Irr!BL3&lt;&gt;"."),s_dir!AO3/((1/1000)*(s_Irr!AM3+s_Irr!BL3)),IF(AND(s_Irr!N3=".",s_Irr!AM3=".",s_Irr!BL3&lt;&gt;"."),s_dir!AO3/((1/1000)*(s_Irr!BL3)),IF(AND(s_Irr!N3=".",s_Irr!AM3&lt;&gt;".",s_Irr!BL3="."),s_dir!AO3/((1/1000)*(s_Irr!AM3)),IF(AND(s_Irr!N3&lt;&gt;".",s_Irr!AM3=".",s_Irr!BL3="."),s_dir!AO3/((1/1000)*(s_Irr!N3)),IF(AND(s_Irr!N3=".",s_Irr!AM3=".",s_Irr!BL3="."),s_dir!AO3*1000)))))))),".")</f>
        <v>210.23443322838844</v>
      </c>
      <c r="BP3" s="76">
        <f>IFERROR(IF(AND(s_Irr!O3&lt;&gt;".",s_Irr!AN3&lt;&gt;".",s_Irr!BM3&lt;&gt;"."),s_dir!AP3/((1/1000)*(s_Irr!O3+s_Irr!AN3+s_Irr!BM3)),IF(AND(s_Irr!O3&lt;&gt;".",s_Irr!AN3&lt;&gt;".",s_Irr!BM3="."),s_dir!AP3/((1/1000)*(s_Irr!O3+s_Irr!AN3)),IF(AND(s_Irr!O3&lt;&gt;".",s_Irr!AN3=".",s_Irr!BM3&lt;&gt;"."),s_dir!AP3/((1/1000)*(s_Irr!O3+s_Irr!BM3)),IF(AND(s_Irr!O3=".",s_Irr!AN3&lt;&gt;".",s_Irr!BM3&lt;&gt;"."),s_dir!AP3/((1/1000)*(s_Irr!AN3+s_Irr!BM3)),IF(AND(s_Irr!O3=".",s_Irr!AN3=".",s_Irr!BM3&lt;&gt;"."),s_dir!AP3/((1/1000)*(s_Irr!BM3)),IF(AND(s_Irr!O3=".",s_Irr!AN3&lt;&gt;".",s_Irr!BM3="."),s_dir!AP3/((1/1000)*(s_Irr!AN3)),IF(AND(s_Irr!O3&lt;&gt;".",s_Irr!AN3=".",s_Irr!BM3="."),s_dir!AP3/((1/1000)*(s_Irr!O3)),IF(AND(s_Irr!O3=".",s_Irr!AN3=".",s_Irr!BM3="."),s_dir!AP3*1000)))))))),".")</f>
        <v>210.30542664527408</v>
      </c>
      <c r="BQ3" s="76">
        <f>IFERROR(IF(AND(s_Irr!P3&lt;&gt;".",s_Irr!AO3&lt;&gt;".",s_Irr!BN3&lt;&gt;"."),s_dir!AQ3/((1/1000)*(s_Irr!P3+s_Irr!AO3+s_Irr!BN3)),IF(AND(s_Irr!P3&lt;&gt;".",s_Irr!AO3&lt;&gt;".",s_Irr!BN3="."),s_dir!AQ3/((1/1000)*(s_Irr!P3+s_Irr!AO3)),IF(AND(s_Irr!P3&lt;&gt;".",s_Irr!AO3=".",s_Irr!BN3&lt;&gt;"."),s_dir!AQ3/((1/1000)*(s_Irr!P3+s_Irr!BN3)),IF(AND(s_Irr!P3=".",s_Irr!AO3&lt;&gt;".",s_Irr!BN3&lt;&gt;"."),s_dir!AQ3/((1/1000)*(s_Irr!AO3+s_Irr!BN3)),IF(AND(s_Irr!P3=".",s_Irr!AO3=".",s_Irr!BN3&lt;&gt;"."),s_dir!AQ3/((1/1000)*(s_Irr!BN3)),IF(AND(s_Irr!P3=".",s_Irr!AO3&lt;&gt;".",s_Irr!BN3="."),s_dir!AQ3/((1/1000)*(s_Irr!AO3)),IF(AND(s_Irr!P3&lt;&gt;".",s_Irr!AO3=".",s_Irr!BN3="."),s_dir!AQ3/((1/1000)*(s_Irr!P3)),IF(AND(s_Irr!P3=".",s_Irr!AO3=".",s_Irr!BN3="."),s_dir!AQ3*1000)))))))),".")</f>
        <v>209.2103886833938</v>
      </c>
      <c r="BR3" s="76">
        <f>IFERROR(IF(AND(s_Irr!Q3&lt;&gt;".",s_Irr!AP3&lt;&gt;".",s_Irr!BO3&lt;&gt;"."),s_dir!AR3/((1/1000)*(s_Irr!Q3+s_Irr!AP3+s_Irr!BO3)),IF(AND(s_Irr!Q3&lt;&gt;".",s_Irr!AP3&lt;&gt;".",s_Irr!BO3="."),s_dir!AR3/((1/1000)*(s_Irr!Q3+s_Irr!AP3)),IF(AND(s_Irr!Q3&lt;&gt;".",s_Irr!AP3=".",s_Irr!BO3&lt;&gt;"."),s_dir!AR3/((1/1000)*(s_Irr!Q3+s_Irr!BO3)),IF(AND(s_Irr!Q3=".",s_Irr!AP3&lt;&gt;".",s_Irr!BO3&lt;&gt;"."),s_dir!AR3/((1/1000)*(s_Irr!AP3+s_Irr!BO3)),IF(AND(s_Irr!Q3=".",s_Irr!AP3=".",s_Irr!BO3&lt;&gt;"."),s_dir!AR3/((1/1000)*(s_Irr!BO3)),IF(AND(s_Irr!Q3=".",s_Irr!AP3&lt;&gt;".",s_Irr!BO3="."),s_dir!AR3/((1/1000)*(s_Irr!AP3)),IF(AND(s_Irr!Q3&lt;&gt;".",s_Irr!AP3=".",s_Irr!BO3="."),s_dir!AR3/((1/1000)*(s_Irr!Q3)),IF(AND(s_Irr!Q3=".",s_Irr!AP3=".",s_Irr!BO3="."),s_dir!AR3*1000)))))))),".")</f>
        <v>211.48018846073282</v>
      </c>
      <c r="BS3" s="76">
        <f>IFERROR(IF(AND(s_Irr!R3&lt;&gt;".",s_Irr!AQ3&lt;&gt;".",s_Irr!BP3&lt;&gt;"."),s_dir!AS3/((1/1000)*(s_Irr!R3+s_Irr!AQ3+s_Irr!BP3)),IF(AND(s_Irr!R3&lt;&gt;".",s_Irr!AQ3&lt;&gt;".",s_Irr!BP3="."),s_dir!AS3/((1/1000)*(s_Irr!R3+s_Irr!AQ3)),IF(AND(s_Irr!R3&lt;&gt;".",s_Irr!AQ3=".",s_Irr!BP3&lt;&gt;"."),s_dir!AS3/((1/1000)*(s_Irr!R3+s_Irr!BP3)),IF(AND(s_Irr!R3=".",s_Irr!AQ3&lt;&gt;".",s_Irr!BP3&lt;&gt;"."),s_dir!AS3/((1/1000)*(s_Irr!AQ3+s_Irr!BP3)),IF(AND(s_Irr!R3=".",s_Irr!AQ3=".",s_Irr!BP3&lt;&gt;"."),s_dir!AS3/((1/1000)*(s_Irr!BP3)),IF(AND(s_Irr!R3=".",s_Irr!AQ3&lt;&gt;".",s_Irr!BP3="."),s_dir!AS3/((1/1000)*(s_Irr!AQ3)),IF(AND(s_Irr!R3&lt;&gt;".",s_Irr!AQ3=".",s_Irr!BP3="."),s_dir!AS3/((1/1000)*(s_Irr!R3)),IF(AND(s_Irr!R3=".",s_Irr!AQ3=".",s_Irr!BP3="."),s_dir!AS3*1000)))))))),".")</f>
        <v>211.48018846073282</v>
      </c>
      <c r="BT3" s="76">
        <f>IFERROR(IF(AND(s_Irr!S3&lt;&gt;".",s_Irr!AR3&lt;&gt;".",s_Irr!BQ3&lt;&gt;"."),s_dir!AT3/((1/1000)*(s_Irr!S3+s_Irr!AR3+s_Irr!BQ3)),IF(AND(s_Irr!S3&lt;&gt;".",s_Irr!AR3&lt;&gt;".",s_Irr!BQ3="."),s_dir!AT3/((1/1000)*(s_Irr!S3+s_Irr!AR3)),IF(AND(s_Irr!S3&lt;&gt;".",s_Irr!AR3=".",s_Irr!BQ3&lt;&gt;"."),s_dir!AT3/((1/1000)*(s_Irr!S3+s_Irr!BQ3)),IF(AND(s_Irr!S3=".",s_Irr!AR3&lt;&gt;".",s_Irr!BQ3&lt;&gt;"."),s_dir!AT3/((1/1000)*(s_Irr!AR3+s_Irr!BQ3)),IF(AND(s_Irr!S3=".",s_Irr!AR3=".",s_Irr!BQ3&lt;&gt;"."),s_dir!AT3/((1/1000)*(s_Irr!BQ3)),IF(AND(s_Irr!S3=".",s_Irr!AR3&lt;&gt;".",s_Irr!BQ3="."),s_dir!AT3/((1/1000)*(s_Irr!AR3)),IF(AND(s_Irr!S3&lt;&gt;".",s_Irr!AR3=".",s_Irr!BQ3="."),s_dir!AT3/((1/1000)*(s_Irr!S3)),IF(AND(s_Irr!S3=".",s_Irr!AR3=".",s_Irr!BQ3="."),s_dir!AT3*1000)))))))),".")</f>
        <v>210.23443322838844</v>
      </c>
      <c r="BU3" s="76">
        <f>IFERROR(IF(AND(s_Irr!T3&lt;&gt;".",s_Irr!AS3&lt;&gt;".",s_Irr!BR3&lt;&gt;"."),s_dir!AU3/((1/1000)*(s_Irr!T3+s_Irr!AS3+s_Irr!BR3)),IF(AND(s_Irr!T3&lt;&gt;".",s_Irr!AS3&lt;&gt;".",s_Irr!BR3="."),s_dir!AU3/((1/1000)*(s_Irr!T3+s_Irr!AS3)),IF(AND(s_Irr!T3&lt;&gt;".",s_Irr!AS3=".",s_Irr!BR3&lt;&gt;"."),s_dir!AU3/((1/1000)*(s_Irr!T3+s_Irr!BR3)),IF(AND(s_Irr!T3=".",s_Irr!AS3&lt;&gt;".",s_Irr!BR3&lt;&gt;"."),s_dir!AU3/((1/1000)*(s_Irr!AS3+s_Irr!BR3)),IF(AND(s_Irr!T3=".",s_Irr!AS3=".",s_Irr!BR3&lt;&gt;"."),s_dir!AU3/((1/1000)*(s_Irr!BR3)),IF(AND(s_Irr!T3=".",s_Irr!AS3&lt;&gt;".",s_Irr!BR3="."),s_dir!AU3/((1/1000)*(s_Irr!AS3)),IF(AND(s_Irr!T3&lt;&gt;".",s_Irr!AS3=".",s_Irr!BR3="."),s_dir!AU3/((1/1000)*(s_Irr!T3)),IF(AND(s_Irr!T3=".",s_Irr!AS3=".",s_Irr!BR3="."),s_dir!AU3*1000)))))))),".")</f>
        <v>210.30542664527408</v>
      </c>
      <c r="BV3" s="76">
        <f>IFERROR(IF(AND(s_Irr!U3&lt;&gt;".",s_Irr!AT3&lt;&gt;".",s_Irr!BS3&lt;&gt;"."),s_dir!AV3/((1/1000)*(s_Irr!U3+s_Irr!AT3+s_Irr!BS3)),IF(AND(s_Irr!U3&lt;&gt;".",s_Irr!AT3&lt;&gt;".",s_Irr!BS3="."),s_dir!AV3/((1/1000)*(s_Irr!U3+s_Irr!AT3)),IF(AND(s_Irr!U3&lt;&gt;".",s_Irr!AT3=".",s_Irr!BS3&lt;&gt;"."),s_dir!AV3/((1/1000)*(s_Irr!U3+s_Irr!BS3)),IF(AND(s_Irr!U3=".",s_Irr!AT3&lt;&gt;".",s_Irr!BS3&lt;&gt;"."),s_dir!AV3/((1/1000)*(s_Irr!AT3+s_Irr!BS3)),IF(AND(s_Irr!U3=".",s_Irr!AT3=".",s_Irr!BS3&lt;&gt;"."),s_dir!AV3/((1/1000)*(s_Irr!BS3)),IF(AND(s_Irr!U3=".",s_Irr!AT3&lt;&gt;".",s_Irr!BS3="."),s_dir!AV3/((1/1000)*(s_Irr!AT3)),IF(AND(s_Irr!U3&lt;&gt;".",s_Irr!AT3=".",s_Irr!BS3="."),s_dir!AV3/((1/1000)*(s_Irr!U3)),IF(AND(s_Irr!U3=".",s_Irr!AT3=".",s_Irr!BS3="."),s_dir!AV3*1000)))))))),".")</f>
        <v>210.83940946610534</v>
      </c>
      <c r="BW3" s="76">
        <f>IFERROR(IF(AND(s_Irr!V3&lt;&gt;".",s_Irr!AU3&lt;&gt;".",s_Irr!BT3&lt;&gt;"."),s_dir!AW3/((1/1000)*(s_Irr!V3+s_Irr!AU3+s_Irr!BT3)),IF(AND(s_Irr!V3&lt;&gt;".",s_Irr!AU3&lt;&gt;".",s_Irr!BT3="."),s_dir!AW3/((1/1000)*(s_Irr!V3+s_Irr!AU3)),IF(AND(s_Irr!V3&lt;&gt;".",s_Irr!AU3=".",s_Irr!BT3&lt;&gt;"."),s_dir!AW3/((1/1000)*(s_Irr!V3+s_Irr!BT3)),IF(AND(s_Irr!V3=".",s_Irr!AU3&lt;&gt;".",s_Irr!BT3&lt;&gt;"."),s_dir!AW3/((1/1000)*(s_Irr!AU3+s_Irr!BT3)),IF(AND(s_Irr!V3=".",s_Irr!AU3=".",s_Irr!BT3&lt;&gt;"."),s_dir!AW3/((1/1000)*(s_Irr!BT3)),IF(AND(s_Irr!V3=".",s_Irr!AU3&lt;&gt;".",s_Irr!BT3="."),s_dir!AW3/((1/1000)*(s_Irr!AU3)),IF(AND(s_Irr!V3&lt;&gt;".",s_Irr!AU3=".",s_Irr!BT3="."),s_dir!AW3/((1/1000)*(s_Irr!V3)),IF(AND(s_Irr!V3=".",s_Irr!AU3=".",s_Irr!BT3="."),s_dir!AW3*1000)))))))),".")</f>
        <v>210.30542664527408</v>
      </c>
      <c r="BX3" s="76">
        <f>IFERROR(IF(AND(s_Irr!W3&lt;&gt;".",s_Irr!AV3&lt;&gt;".",s_Irr!BU3&lt;&gt;"."),s_dir!AX3/((1/1000)*(s_Irr!W3+s_Irr!AV3+s_Irr!BU3)),IF(AND(s_Irr!W3&lt;&gt;".",s_Irr!AV3&lt;&gt;".",s_Irr!BU3="."),s_dir!AX3/((1/1000)*(s_Irr!W3+s_Irr!AV3)),IF(AND(s_Irr!W3&lt;&gt;".",s_Irr!AV3=".",s_Irr!BU3&lt;&gt;"."),s_dir!AX3/((1/1000)*(s_Irr!W3+s_Irr!BU3)),IF(AND(s_Irr!W3=".",s_Irr!AV3&lt;&gt;".",s_Irr!BU3&lt;&gt;"."),s_dir!AX3/((1/1000)*(s_Irr!AV3+s_Irr!BU3)),IF(AND(s_Irr!W3=".",s_Irr!AV3=".",s_Irr!BU3&lt;&gt;"."),s_dir!AX3/((1/1000)*(s_Irr!BU3)),IF(AND(s_Irr!W3=".",s_Irr!AV3&lt;&gt;".",s_Irr!BU3="."),s_dir!AX3/((1/1000)*(s_Irr!AV3)),IF(AND(s_Irr!W3&lt;&gt;".",s_Irr!AV3=".",s_Irr!BU3="."),s_dir!AX3/((1/1000)*(s_Irr!W3)),IF(AND(s_Irr!W3=".",s_Irr!AV3=".",s_Irr!BU3="."),s_dir!AX3*1000)))))))),".")</f>
        <v>210.23443322838844</v>
      </c>
      <c r="BY3" s="76">
        <f>IFERROR(IF(AND(s_Irr!X3&lt;&gt;".",s_Irr!AW3&lt;&gt;".",s_Irr!BV3&lt;&gt;"."),s_dir!AY3/((1/1000)*(s_Irr!X3+s_Irr!AW3+s_Irr!BV3)),IF(AND(s_Irr!X3&lt;&gt;".",s_Irr!AW3&lt;&gt;".",s_Irr!BV3="."),s_dir!AY3/((1/1000)*(s_Irr!X3+s_Irr!AW3)),IF(AND(s_Irr!X3&lt;&gt;".",s_Irr!AW3=".",s_Irr!BV3&lt;&gt;"."),s_dir!AY3/((1/1000)*(s_Irr!X3+s_Irr!BV3)),IF(AND(s_Irr!X3=".",s_Irr!AW3&lt;&gt;".",s_Irr!BV3&lt;&gt;"."),s_dir!AY3/((1/1000)*(s_Irr!AW3+s_Irr!BV3)),IF(AND(s_Irr!X3=".",s_Irr!AW3=".",s_Irr!BV3&lt;&gt;"."),s_dir!AY3/((1/1000)*(s_Irr!BV3)),IF(AND(s_Irr!X3=".",s_Irr!AW3&lt;&gt;".",s_Irr!BV3="."),s_dir!AY3/((1/1000)*(s_Irr!AW3)),IF(AND(s_Irr!X3&lt;&gt;".",s_Irr!AW3=".",s_Irr!BV3="."),s_dir!AY3/((1/1000)*(s_Irr!X3)),IF(AND(s_Irr!X3=".",s_Irr!AW3=".",s_Irr!BV3="."),s_dir!AY3*1000)))))))),".")</f>
        <v>211.19690704148672</v>
      </c>
      <c r="BZ3" s="76">
        <f>IFERROR(IF(AND(s_Irr!Y3&lt;&gt;".",s_Irr!AX3&lt;&gt;".",s_Irr!BW3&lt;&gt;"."),s_dir!AZ3/((1/1000)*(s_Irr!Y3+s_Irr!AX3+s_Irr!BW3)),IF(AND(s_Irr!Y3&lt;&gt;".",s_Irr!AX3&lt;&gt;".",s_Irr!BW3="."),s_dir!AZ3/((1/1000)*(s_Irr!Y3+s_Irr!AX3)),IF(AND(s_Irr!Y3&lt;&gt;".",s_Irr!AX3=".",s_Irr!BW3&lt;&gt;"."),s_dir!AZ3/((1/1000)*(s_Irr!Y3+s_Irr!BW3)),IF(AND(s_Irr!Y3=".",s_Irr!AX3&lt;&gt;".",s_Irr!BW3&lt;&gt;"."),s_dir!AZ3/((1/1000)*(s_Irr!AX3+s_Irr!BW3)),IF(AND(s_Irr!Y3=".",s_Irr!AX3=".",s_Irr!BW3&lt;&gt;"."),s_dir!AZ3/((1/1000)*(s_Irr!BW3)),IF(AND(s_Irr!Y3=".",s_Irr!AX3&lt;&gt;".",s_Irr!BW3="."),s_dir!AZ3/((1/1000)*(s_Irr!AX3)),IF(AND(s_Irr!Y3&lt;&gt;".",s_Irr!AX3=".",s_Irr!BW3="."),s_dir!AZ3/((1/1000)*(s_Irr!Y3)),IF(AND(s_Irr!Y3=".",s_Irr!AX3=".",s_Irr!BW3="."),s_dir!AZ3*1000)))))))),".")</f>
        <v>210.30542664527408</v>
      </c>
      <c r="CA3" s="76">
        <f>IFERROR(IF(AND(s_Irr!Z3&lt;&gt;".",s_Irr!AY3&lt;&gt;".",s_Irr!BX3&lt;&gt;"."),s_dir!BA3/((1/1000)*(s_Irr!Z3+s_Irr!AY3+s_Irr!BX3)),IF(AND(s_Irr!Z3&lt;&gt;".",s_Irr!AY3&lt;&gt;".",s_Irr!BX3="."),s_dir!BA3/((1/1000)*(s_Irr!Z3+s_Irr!AY3)),IF(AND(s_Irr!Z3&lt;&gt;".",s_Irr!AY3=".",s_Irr!BX3&lt;&gt;"."),s_dir!BA3/((1/1000)*(s_Irr!Z3+s_Irr!BX3)),IF(AND(s_Irr!Z3=".",s_Irr!AY3&lt;&gt;".",s_Irr!BX3&lt;&gt;"."),s_dir!BA3/((1/1000)*(s_Irr!AY3+s_Irr!BX3)),IF(AND(s_Irr!Z3=".",s_Irr!AY3=".",s_Irr!BX3&lt;&gt;"."),s_dir!BA3/((1/1000)*(s_Irr!BX3)),IF(AND(s_Irr!Z3=".",s_Irr!AY3&lt;&gt;".",s_Irr!BX3="."),s_dir!BA3/((1/1000)*(s_Irr!AY3)),IF(AND(s_Irr!Z3&lt;&gt;".",s_Irr!AY3=".",s_Irr!BX3="."),s_dir!BA3/((1/1000)*(s_Irr!Z3)),IF(AND(s_Irr!Z3=".",s_Irr!AY3=".",s_Irr!BX3="."),s_dir!BA3*1000)))))))),".")</f>
        <v>208.05716482642731</v>
      </c>
      <c r="CB3" s="76">
        <f>IFERROR(IF(AND(s_Irr!AA3&lt;&gt;".",s_Irr!AZ3&lt;&gt;".",s_Irr!BY3&lt;&gt;"."),s_dir!BB3/((1/1000)*(s_Irr!AA3+s_Irr!AZ3+s_Irr!BY3)),IF(AND(s_Irr!AA3&lt;&gt;".",s_Irr!AZ3&lt;&gt;".",s_Irr!BY3="."),s_dir!BB3/((1/1000)*(s_Irr!AA3+s_Irr!AZ3)),IF(AND(s_Irr!AA3&lt;&gt;".",s_Irr!AZ3=".",s_Irr!BY3&lt;&gt;"."),s_dir!BB3/((1/1000)*(s_Irr!AA3+s_Irr!BY3)),IF(AND(s_Irr!AA3=".",s_Irr!AZ3&lt;&gt;".",s_Irr!BY3&lt;&gt;"."),s_dir!BB3/((1/1000)*(s_Irr!AZ3+s_Irr!BY3)),IF(AND(s_Irr!AA3=".",s_Irr!AZ3=".",s_Irr!BY3&lt;&gt;"."),s_dir!BB3/((1/1000)*(s_Irr!BY3)),IF(AND(s_Irr!AA3=".",s_Irr!AZ3&lt;&gt;".",s_Irr!BY3="."),s_dir!BB3/((1/1000)*(s_Irr!AZ3)),IF(AND(s_Irr!AA3&lt;&gt;".",s_Irr!AZ3=".",s_Irr!BY3="."),s_dir!BB3/((1/1000)*(s_Irr!AA3)),IF(AND(s_Irr!AA3=".",s_Irr!AZ3=".",s_Irr!BY3="."),s_dir!BB3*1000)))))))),".")</f>
        <v>211.51250925400998</v>
      </c>
      <c r="CC3" s="93">
        <f t="shared" ref="CC3:CC66" si="2">SUM(CD3,CU3,DA3:DB3)</f>
        <v>7119.0343984552601</v>
      </c>
      <c r="CD3" s="93">
        <f>IFERROR(s_C*s_IFAP_far_adj*s_CF_apple*(1/1000)*(s_Irr!C3+s_Irr!AB3+s_Irr!BA3),".")</f>
        <v>1770.0738642024708</v>
      </c>
      <c r="CE3" s="93">
        <f>IFERROR(s_C*s_IFAS_far_adj*s_CF_asparagus*(1/1000)*(s_Irr!D3+s_Irr!AC3+s_Irr!BB3),".")</f>
        <v>1777.2566470211248</v>
      </c>
      <c r="CF3" s="93">
        <f>IFERROR(s_C*s_IFBT_far_adj*s_CF_beet*(1/1000)*(s_Irr!E3+s_Irr!AD3+s_Irr!BC3),".")</f>
        <v>1789.2780408598762</v>
      </c>
      <c r="CG3" s="93">
        <f>IFERROR(s_C*s_IFBE_far_adj*s_CF_berries*(1/1000)*(s_Irr!F3+s_Irr!AE3+s_Irr!BD3),".")</f>
        <v>1793.1849938574705</v>
      </c>
      <c r="CH3" s="93">
        <f>IFERROR(s_C*s_IFBR_far_adj*s_CF_broccoli*(1/1000)*(s_Irr!G3+s_Irr!AF3+s_Irr!BE3),".")</f>
        <v>1779.9614606348439</v>
      </c>
      <c r="CI3" s="93">
        <f>IFERROR(s_C*s_IFCB_far_adj*s_CF_cabbage*(1/1000)*(s_Irr!H3+s_Irr!AG3+s_Irr!BF3),".")</f>
        <v>1777.2566470211248</v>
      </c>
      <c r="CJ3" s="93">
        <f>IFERROR(s_C*s_IFCR_far_adj*s_CF_carrot*(1/1000)*(s_Irr!I3+s_Irr!AH3+s_Irr!BG3),".")</f>
        <v>1789.2780408598762</v>
      </c>
      <c r="CK3" s="93">
        <f>IFERROR(s_C*s_IFCI_far_adj*s_CF_citrus*(1/1000)*(s_Irr!J3+s_Irr!AI3+s_Irr!BH3),".")</f>
        <v>1770.0738642024708</v>
      </c>
      <c r="CL3" s="93">
        <f>IFERROR(s_C*s_IFCO_far_adj*s_CF_corn*(1/1000)*(s_Irr!K3+s_Irr!AJ3+s_Irr!BI3),".")</f>
        <v>1770.6448804098113</v>
      </c>
      <c r="CM3" s="93">
        <f>IFERROR(s_C*s_IFCU_far_adj*s_CF_cucumber*(1/1000)*(s_Irr!L3+s_Irr!AK3+s_Irr!BJ3),".")</f>
        <v>1779.9614606348439</v>
      </c>
      <c r="CN3" s="93">
        <f>IFERROR(s_C*s_IFLE_far_adj*s_CF_lettuce*(1/1000)*(s_Irr!M3+s_Irr!AL3+s_Irr!BK3),".")</f>
        <v>1777.2566470211248</v>
      </c>
      <c r="CO3" s="93">
        <f>IFERROR(s_C*s_IFLI_far_adj*s_CF_lima_bean*(1/1000)*(s_Irr!N3+s_Irr!AM3+s_Irr!BL3),".")</f>
        <v>1780.5625303267811</v>
      </c>
      <c r="CP3" s="93">
        <f>IFERROR(s_C*s_IFOK_far_adj*s_CF_okra*(1/1000)*(s_Irr!O3+s_Irr!AN3+s_Irr!BM3),".")</f>
        <v>1779.9614606348439</v>
      </c>
      <c r="CQ3" s="93">
        <f>IFERROR(s_C*s_IFON_far_adj*s_CF_onion*(1/1000)*(s_Irr!P3+s_Irr!AO3+s_Irr!BN3),".")</f>
        <v>1789.2780408598762</v>
      </c>
      <c r="CR3" s="93">
        <f>IFERROR(s_C*s_IFPC_far_adj*s_CF_peach*(1/1000)*(s_Irr!Q3+s_Irr!AP3+s_Irr!BO3),".")</f>
        <v>1770.0738642024708</v>
      </c>
      <c r="CS3" s="93">
        <f>IFERROR(s_C*s_IFPR_far_adj*s_CF_pear*(1/1000)*(s_Irr!R3+s_Irr!AQ3+s_Irr!BP3),".")</f>
        <v>1770.0738642024708</v>
      </c>
      <c r="CT3" s="93">
        <f>IFERROR(s_C*s_IFPE_far_adj*s_CF_peas*(1/1000)*(s_Irr!S3+s_Irr!AR3+s_Irr!BQ3),".")</f>
        <v>1780.5625303267811</v>
      </c>
      <c r="CU3" s="93">
        <f>IFERROR(s_C*s_IFPP_far_adj*s_CF_peppers*(1/1000)*(s_Irr!T3+s_Irr!AS3+s_Irr!BR3),".")</f>
        <v>1779.9614606348439</v>
      </c>
      <c r="CV3" s="93">
        <f>IFERROR(s_C*s_IFPT_far_adj*s_CF_potato*(1/1000)*(s_Irr!U3+s_Irr!AT3+s_Irr!BS3),".")</f>
        <v>1775.4534379453119</v>
      </c>
      <c r="CW3" s="93">
        <f>IFERROR(s_C*s_IFPU_far_adj*s_CF_pumpkin*(1/1000)*(s_Irr!V3+s_Irr!AU3+s_Irr!BT3),".")</f>
        <v>1779.9614606348439</v>
      </c>
      <c r="CX3" s="93">
        <f>IFERROR(s_C*s_IFSN_far_adj*s_CF_snap_bean*(1/1000)*(s_Irr!W3+s_Irr!AV3+s_Irr!BU3),".")</f>
        <v>1780.5625303267811</v>
      </c>
      <c r="CY3" s="93">
        <f>IFERROR(s_C*s_IFST_far_adj*s_CF_strawberry*(1/1000)*(s_Irr!X3+s_Irr!AW3+s_Irr!BV3),".")</f>
        <v>1772.448089485624</v>
      </c>
      <c r="CZ3" s="93">
        <f>IFERROR(s_C*s_IFTO_far_adj*s_CF_tomato*(1/1000)*(s_Irr!Y3+s_Irr!AX3+s_Irr!BW3),".")</f>
        <v>1779.9614606348439</v>
      </c>
      <c r="DA3" s="93">
        <f>IFERROR(s_C*s_IFRI_far_adj*s_CF_rice*(1/1000)*(s_Irr!Z3+s_Irr!AY3+s_Irr!BX3),".")</f>
        <v>1799.1956907768463</v>
      </c>
      <c r="DB3" s="93">
        <f>IFERROR(s_C*s_IFCG_far_adj*s_CF_cereal*(1/1000)*(s_Irr!AA3+s_Irr!AZ3+s_Irr!BY3),".")</f>
        <v>1769.8033828410987</v>
      </c>
    </row>
    <row r="4" spans="1:106" ht="15" customHeight="1" x14ac:dyDescent="0.25">
      <c r="A4" s="92" t="s">
        <v>14</v>
      </c>
      <c r="B4" s="90" t="s">
        <v>1071</v>
      </c>
      <c r="C4" s="15" t="str">
        <f t="shared" ref="C4:C30" si="3">IFERROR(1/SUM(1/D4,1/U4,1/AA4,1/AB4),".")</f>
        <v>.</v>
      </c>
      <c r="D4" s="76" t="str">
        <f>IFERROR(IF(AND(s_Irr!C4&lt;&gt;".",s_Irr!AB4&lt;&gt;".",s_Irr!BA4&lt;&gt;"."),s_dir!D4/((1/1000)*(s_Irr!C4+s_Irr!AB4+s_Irr!BA4)),IF(AND(s_Irr!C4&lt;&gt;".",s_Irr!AB4&lt;&gt;".",s_Irr!BA4="."),s_dir!D4/((1/1000)*(s_Irr!C4+s_Irr!AB4)),IF(AND(s_Irr!C4&lt;&gt;".",s_Irr!AB4=".",s_Irr!BA4&lt;&gt;"."),s_dir!D4/((1/1000)*(s_Irr!C4+s_Irr!BA4)),IF(AND(s_Irr!C4=".",s_Irr!AB4&lt;&gt;".",s_Irr!BA4&lt;&gt;"."),s_dir!D4/((1/1000)*(s_Irr!AB4+s_Irr!BA4)),IF(AND(s_Irr!C4=".",s_Irr!AB4=".",s_Irr!BA4&lt;&gt;"."),s_dir!D4/((1/1000)*(s_Irr!BA4)),IF(AND(s_Irr!C4=".",s_Irr!AB4&lt;&gt;".",s_Irr!BA4="."),s_dir!D4/((1/1000)*(s_Irr!AB4)),IF(AND(s_Irr!C4&lt;&gt;".",s_Irr!AB4=".",s_Irr!BA4="."),s_dir!D4/((1/1000)*(s_Irr!C4)),IF(AND(s_Irr!C4=".",s_Irr!AB4=".",s_Irr!BA4="."),s_dir!D4*1000)))))))),".")</f>
        <v>.</v>
      </c>
      <c r="E4" s="76" t="str">
        <f>IFERROR(IF(AND(s_Irr!D4&lt;&gt;".",s_Irr!AC4&lt;&gt;".",s_Irr!BB4&lt;&gt;"."),s_dir!E4/((1/1000)*(s_Irr!D4+s_Irr!AC4+s_Irr!BB4)),IF(AND(s_Irr!D4&lt;&gt;".",s_Irr!AC4&lt;&gt;".",s_Irr!BB4="."),s_dir!E4/((1/1000)*(s_Irr!D4+s_Irr!AC4)),IF(AND(s_Irr!D4&lt;&gt;".",s_Irr!AC4=".",s_Irr!BB4&lt;&gt;"."),s_dir!E4/((1/1000)*(s_Irr!D4+s_Irr!BB4)),IF(AND(s_Irr!D4=".",s_Irr!AC4&lt;&gt;".",s_Irr!BB4&lt;&gt;"."),s_dir!E4/((1/1000)*(s_Irr!AC4+s_Irr!BB4)),IF(AND(s_Irr!D4=".",s_Irr!AC4=".",s_Irr!BB4&lt;&gt;"."),s_dir!E4/((1/1000)*(s_Irr!BB4)),IF(AND(s_Irr!D4=".",s_Irr!AC4&lt;&gt;".",s_Irr!BB4="."),s_dir!E4/((1/1000)*(s_Irr!AC4)),IF(AND(s_Irr!D4&lt;&gt;".",s_Irr!AC4=".",s_Irr!BB4="."),s_dir!E4/((1/1000)*(s_Irr!D4)),IF(AND(s_Irr!D4=".",s_Irr!AC4=".",s_Irr!BB4="."),s_dir!E4*1000)))))))),".")</f>
        <v>.</v>
      </c>
      <c r="F4" s="76" t="str">
        <f>IFERROR(IF(AND(s_Irr!E4&lt;&gt;".",s_Irr!AD4&lt;&gt;".",s_Irr!BC4&lt;&gt;"."),s_dir!F4/((1/1000)*(s_Irr!E4+s_Irr!AD4+s_Irr!BC4)),IF(AND(s_Irr!E4&lt;&gt;".",s_Irr!AD4&lt;&gt;".",s_Irr!BC4="."),s_dir!F4/((1/1000)*(s_Irr!E4+s_Irr!AD4)),IF(AND(s_Irr!E4&lt;&gt;".",s_Irr!AD4=".",s_Irr!BC4&lt;&gt;"."),s_dir!F4/((1/1000)*(s_Irr!E4+s_Irr!BC4)),IF(AND(s_Irr!E4=".",s_Irr!AD4&lt;&gt;".",s_Irr!BC4&lt;&gt;"."),s_dir!F4/((1/1000)*(s_Irr!AD4+s_Irr!BC4)),IF(AND(s_Irr!E4=".",s_Irr!AD4=".",s_Irr!BC4&lt;&gt;"."),s_dir!F4/((1/1000)*(s_Irr!BC4)),IF(AND(s_Irr!E4=".",s_Irr!AD4&lt;&gt;".",s_Irr!BC4="."),s_dir!F4/((1/1000)*(s_Irr!AD4)),IF(AND(s_Irr!E4&lt;&gt;".",s_Irr!AD4=".",s_Irr!BC4="."),s_dir!F4/((1/1000)*(s_Irr!E4)),IF(AND(s_Irr!E4=".",s_Irr!AD4=".",s_Irr!BC4="."),s_dir!F4*1000)))))))),".")</f>
        <v>.</v>
      </c>
      <c r="G4" s="76" t="str">
        <f>IFERROR(IF(AND(s_Irr!F4&lt;&gt;".",s_Irr!AE4&lt;&gt;".",s_Irr!BD4&lt;&gt;"."),s_dir!G4/((1/1000)*(s_Irr!F4+s_Irr!AE4+s_Irr!BD4)),IF(AND(s_Irr!F4&lt;&gt;".",s_Irr!AE4&lt;&gt;".",s_Irr!BD4="."),s_dir!G4/((1/1000)*(s_Irr!F4+s_Irr!AE4)),IF(AND(s_Irr!F4&lt;&gt;".",s_Irr!AE4=".",s_Irr!BD4&lt;&gt;"."),s_dir!G4/((1/1000)*(s_Irr!F4+s_Irr!BD4)),IF(AND(s_Irr!F4=".",s_Irr!AE4&lt;&gt;".",s_Irr!BD4&lt;&gt;"."),s_dir!G4/((1/1000)*(s_Irr!AE4+s_Irr!BD4)),IF(AND(s_Irr!F4=".",s_Irr!AE4=".",s_Irr!BD4&lt;&gt;"."),s_dir!G4/((1/1000)*(s_Irr!BD4)),IF(AND(s_Irr!F4=".",s_Irr!AE4&lt;&gt;".",s_Irr!BD4="."),s_dir!G4/((1/1000)*(s_Irr!AE4)),IF(AND(s_Irr!F4&lt;&gt;".",s_Irr!AE4=".",s_Irr!BD4="."),s_dir!G4/((1/1000)*(s_Irr!F4)),IF(AND(s_Irr!F4=".",s_Irr!AE4=".",s_Irr!BD4="."),s_dir!G4*1000)))))))),".")</f>
        <v>.</v>
      </c>
      <c r="H4" s="76" t="str">
        <f>IFERROR(IF(AND(s_Irr!G4&lt;&gt;".",s_Irr!AF4&lt;&gt;".",s_Irr!BE4&lt;&gt;"."),s_dir!H4/((1/1000)*(s_Irr!G4+s_Irr!AF4+s_Irr!BE4)),IF(AND(s_Irr!G4&lt;&gt;".",s_Irr!AF4&lt;&gt;".",s_Irr!BE4="."),s_dir!H4/((1/1000)*(s_Irr!G4+s_Irr!AF4)),IF(AND(s_Irr!G4&lt;&gt;".",s_Irr!AF4=".",s_Irr!BE4&lt;&gt;"."),s_dir!H4/((1/1000)*(s_Irr!G4+s_Irr!BE4)),IF(AND(s_Irr!G4=".",s_Irr!AF4&lt;&gt;".",s_Irr!BE4&lt;&gt;"."),s_dir!H4/((1/1000)*(s_Irr!AF4+s_Irr!BE4)),IF(AND(s_Irr!G4=".",s_Irr!AF4=".",s_Irr!BE4&lt;&gt;"."),s_dir!H4/((1/1000)*(s_Irr!BE4)),IF(AND(s_Irr!G4=".",s_Irr!AF4&lt;&gt;".",s_Irr!BE4="."),s_dir!H4/((1/1000)*(s_Irr!AF4)),IF(AND(s_Irr!G4&lt;&gt;".",s_Irr!AF4=".",s_Irr!BE4="."),s_dir!H4/((1/1000)*(s_Irr!G4)),IF(AND(s_Irr!G4=".",s_Irr!AF4=".",s_Irr!BE4="."),s_dir!H4*1000)))))))),".")</f>
        <v>.</v>
      </c>
      <c r="I4" s="76" t="str">
        <f>IFERROR(IF(AND(s_Irr!H4&lt;&gt;".",s_Irr!AG4&lt;&gt;".",s_Irr!BF4&lt;&gt;"."),s_dir!I4/((1/1000)*(s_Irr!H4+s_Irr!AG4+s_Irr!BF4)),IF(AND(s_Irr!H4&lt;&gt;".",s_Irr!AG4&lt;&gt;".",s_Irr!BF4="."),s_dir!I4/((1/1000)*(s_Irr!H4+s_Irr!AG4)),IF(AND(s_Irr!H4&lt;&gt;".",s_Irr!AG4=".",s_Irr!BF4&lt;&gt;"."),s_dir!I4/((1/1000)*(s_Irr!H4+s_Irr!BF4)),IF(AND(s_Irr!H4=".",s_Irr!AG4&lt;&gt;".",s_Irr!BF4&lt;&gt;"."),s_dir!I4/((1/1000)*(s_Irr!AG4+s_Irr!BF4)),IF(AND(s_Irr!H4=".",s_Irr!AG4=".",s_Irr!BF4&lt;&gt;"."),s_dir!I4/((1/1000)*(s_Irr!BF4)),IF(AND(s_Irr!H4=".",s_Irr!AG4&lt;&gt;".",s_Irr!BF4="."),s_dir!I4/((1/1000)*(s_Irr!AG4)),IF(AND(s_Irr!H4&lt;&gt;".",s_Irr!AG4=".",s_Irr!BF4="."),s_dir!I4/((1/1000)*(s_Irr!H4)),IF(AND(s_Irr!H4=".",s_Irr!AG4=".",s_Irr!BF4="."),s_dir!I4*1000)))))))),".")</f>
        <v>.</v>
      </c>
      <c r="J4" s="76" t="str">
        <f>IFERROR(IF(AND(s_Irr!I4&lt;&gt;".",s_Irr!AH4&lt;&gt;".",s_Irr!BG4&lt;&gt;"."),s_dir!J4/((1/1000)*(s_Irr!I4+s_Irr!AH4+s_Irr!BG4)),IF(AND(s_Irr!I4&lt;&gt;".",s_Irr!AH4&lt;&gt;".",s_Irr!BG4="."),s_dir!J4/((1/1000)*(s_Irr!I4+s_Irr!AH4)),IF(AND(s_Irr!I4&lt;&gt;".",s_Irr!AH4=".",s_Irr!BG4&lt;&gt;"."),s_dir!J4/((1/1000)*(s_Irr!I4+s_Irr!BG4)),IF(AND(s_Irr!I4=".",s_Irr!AH4&lt;&gt;".",s_Irr!BG4&lt;&gt;"."),s_dir!J4/((1/1000)*(s_Irr!AH4+s_Irr!BG4)),IF(AND(s_Irr!I4=".",s_Irr!AH4=".",s_Irr!BG4&lt;&gt;"."),s_dir!J4/((1/1000)*(s_Irr!BG4)),IF(AND(s_Irr!I4=".",s_Irr!AH4&lt;&gt;".",s_Irr!BG4="."),s_dir!J4/((1/1000)*(s_Irr!AH4)),IF(AND(s_Irr!I4&lt;&gt;".",s_Irr!AH4=".",s_Irr!BG4="."),s_dir!J4/((1/1000)*(s_Irr!I4)),IF(AND(s_Irr!I4=".",s_Irr!AH4=".",s_Irr!BG4="."),s_dir!J4*1000)))))))),".")</f>
        <v>.</v>
      </c>
      <c r="K4" s="76" t="str">
        <f>IFERROR(IF(AND(s_Irr!J4&lt;&gt;".",s_Irr!AI4&lt;&gt;".",s_Irr!BH4&lt;&gt;"."),s_dir!K4/((1/1000)*(s_Irr!J4+s_Irr!AI4+s_Irr!BH4)),IF(AND(s_Irr!J4&lt;&gt;".",s_Irr!AI4&lt;&gt;".",s_Irr!BH4="."),s_dir!K4/((1/1000)*(s_Irr!J4+s_Irr!AI4)),IF(AND(s_Irr!J4&lt;&gt;".",s_Irr!AI4=".",s_Irr!BH4&lt;&gt;"."),s_dir!K4/((1/1000)*(s_Irr!J4+s_Irr!BH4)),IF(AND(s_Irr!J4=".",s_Irr!AI4&lt;&gt;".",s_Irr!BH4&lt;&gt;"."),s_dir!K4/((1/1000)*(s_Irr!AI4+s_Irr!BH4)),IF(AND(s_Irr!J4=".",s_Irr!AI4=".",s_Irr!BH4&lt;&gt;"."),s_dir!K4/((1/1000)*(s_Irr!BH4)),IF(AND(s_Irr!J4=".",s_Irr!AI4&lt;&gt;".",s_Irr!BH4="."),s_dir!K4/((1/1000)*(s_Irr!AI4)),IF(AND(s_Irr!J4&lt;&gt;".",s_Irr!AI4=".",s_Irr!BH4="."),s_dir!K4/((1/1000)*(s_Irr!J4)),IF(AND(s_Irr!J4=".",s_Irr!AI4=".",s_Irr!BH4="."),s_dir!K4*1000)))))))),".")</f>
        <v>.</v>
      </c>
      <c r="L4" s="76" t="str">
        <f>IFERROR(IF(AND(s_Irr!K4&lt;&gt;".",s_Irr!AJ4&lt;&gt;".",s_Irr!BI4&lt;&gt;"."),s_dir!L4/((1/1000)*(s_Irr!K4+s_Irr!AJ4+s_Irr!BI4)),IF(AND(s_Irr!K4&lt;&gt;".",s_Irr!AJ4&lt;&gt;".",s_Irr!BI4="."),s_dir!L4/((1/1000)*(s_Irr!K4+s_Irr!AJ4)),IF(AND(s_Irr!K4&lt;&gt;".",s_Irr!AJ4=".",s_Irr!BI4&lt;&gt;"."),s_dir!L4/((1/1000)*(s_Irr!K4+s_Irr!BI4)),IF(AND(s_Irr!K4=".",s_Irr!AJ4&lt;&gt;".",s_Irr!BI4&lt;&gt;"."),s_dir!L4/((1/1000)*(s_Irr!AJ4+s_Irr!BI4)),IF(AND(s_Irr!K4=".",s_Irr!AJ4=".",s_Irr!BI4&lt;&gt;"."),s_dir!L4/((1/1000)*(s_Irr!BI4)),IF(AND(s_Irr!K4=".",s_Irr!AJ4&lt;&gt;".",s_Irr!BI4="."),s_dir!L4/((1/1000)*(s_Irr!AJ4)),IF(AND(s_Irr!K4&lt;&gt;".",s_Irr!AJ4=".",s_Irr!BI4="."),s_dir!L4/((1/1000)*(s_Irr!K4)),IF(AND(s_Irr!K4=".",s_Irr!AJ4=".",s_Irr!BI4="."),s_dir!L4*1000)))))))),".")</f>
        <v>.</v>
      </c>
      <c r="M4" s="76" t="str">
        <f>IFERROR(IF(AND(s_Irr!L4&lt;&gt;".",s_Irr!AK4&lt;&gt;".",s_Irr!BJ4&lt;&gt;"."),s_dir!M4/((1/1000)*(s_Irr!L4+s_Irr!AK4+s_Irr!BJ4)),IF(AND(s_Irr!L4&lt;&gt;".",s_Irr!AK4&lt;&gt;".",s_Irr!BJ4="."),s_dir!M4/((1/1000)*(s_Irr!L4+s_Irr!AK4)),IF(AND(s_Irr!L4&lt;&gt;".",s_Irr!AK4=".",s_Irr!BJ4&lt;&gt;"."),s_dir!M4/((1/1000)*(s_Irr!L4+s_Irr!BJ4)),IF(AND(s_Irr!L4=".",s_Irr!AK4&lt;&gt;".",s_Irr!BJ4&lt;&gt;"."),s_dir!M4/((1/1000)*(s_Irr!AK4+s_Irr!BJ4)),IF(AND(s_Irr!L4=".",s_Irr!AK4=".",s_Irr!BJ4&lt;&gt;"."),s_dir!M4/((1/1000)*(s_Irr!BJ4)),IF(AND(s_Irr!L4=".",s_Irr!AK4&lt;&gt;".",s_Irr!BJ4="."),s_dir!M4/((1/1000)*(s_Irr!AK4)),IF(AND(s_Irr!L4&lt;&gt;".",s_Irr!AK4=".",s_Irr!BJ4="."),s_dir!M4/((1/1000)*(s_Irr!L4)),IF(AND(s_Irr!L4=".",s_Irr!AK4=".",s_Irr!BJ4="."),s_dir!M4*1000)))))))),".")</f>
        <v>.</v>
      </c>
      <c r="N4" s="76" t="str">
        <f>IFERROR(IF(AND(s_Irr!M4&lt;&gt;".",s_Irr!AL4&lt;&gt;".",s_Irr!BK4&lt;&gt;"."),s_dir!N4/((1/1000)*(s_Irr!M4+s_Irr!AL4+s_Irr!BK4)),IF(AND(s_Irr!M4&lt;&gt;".",s_Irr!AL4&lt;&gt;".",s_Irr!BK4="."),s_dir!N4/((1/1000)*(s_Irr!M4+s_Irr!AL4)),IF(AND(s_Irr!M4&lt;&gt;".",s_Irr!AL4=".",s_Irr!BK4&lt;&gt;"."),s_dir!N4/((1/1000)*(s_Irr!M4+s_Irr!BK4)),IF(AND(s_Irr!M4=".",s_Irr!AL4&lt;&gt;".",s_Irr!BK4&lt;&gt;"."),s_dir!N4/((1/1000)*(s_Irr!AL4+s_Irr!BK4)),IF(AND(s_Irr!M4=".",s_Irr!AL4=".",s_Irr!BK4&lt;&gt;"."),s_dir!N4/((1/1000)*(s_Irr!BK4)),IF(AND(s_Irr!M4=".",s_Irr!AL4&lt;&gt;".",s_Irr!BK4="."),s_dir!N4/((1/1000)*(s_Irr!AL4)),IF(AND(s_Irr!M4&lt;&gt;".",s_Irr!AL4=".",s_Irr!BK4="."),s_dir!N4/((1/1000)*(s_Irr!M4)),IF(AND(s_Irr!M4=".",s_Irr!AL4=".",s_Irr!BK4="."),s_dir!N4*1000)))))))),".")</f>
        <v>.</v>
      </c>
      <c r="O4" s="76" t="str">
        <f>IFERROR(IF(AND(s_Irr!N4&lt;&gt;".",s_Irr!AM4&lt;&gt;".",s_Irr!BL4&lt;&gt;"."),s_dir!O4/((1/1000)*(s_Irr!N4+s_Irr!AM4+s_Irr!BL4)),IF(AND(s_Irr!N4&lt;&gt;".",s_Irr!AM4&lt;&gt;".",s_Irr!BL4="."),s_dir!O4/((1/1000)*(s_Irr!N4+s_Irr!AM4)),IF(AND(s_Irr!N4&lt;&gt;".",s_Irr!AM4=".",s_Irr!BL4&lt;&gt;"."),s_dir!O4/((1/1000)*(s_Irr!N4+s_Irr!BL4)),IF(AND(s_Irr!N4=".",s_Irr!AM4&lt;&gt;".",s_Irr!BL4&lt;&gt;"."),s_dir!O4/((1/1000)*(s_Irr!AM4+s_Irr!BL4)),IF(AND(s_Irr!N4=".",s_Irr!AM4=".",s_Irr!BL4&lt;&gt;"."),s_dir!O4/((1/1000)*(s_Irr!BL4)),IF(AND(s_Irr!N4=".",s_Irr!AM4&lt;&gt;".",s_Irr!BL4="."),s_dir!O4/((1/1000)*(s_Irr!AM4)),IF(AND(s_Irr!N4&lt;&gt;".",s_Irr!AM4=".",s_Irr!BL4="."),s_dir!O4/((1/1000)*(s_Irr!N4)),IF(AND(s_Irr!N4=".",s_Irr!AM4=".",s_Irr!BL4="."),s_dir!O4*1000)))))))),".")</f>
        <v>.</v>
      </c>
      <c r="P4" s="76" t="str">
        <f>IFERROR(IF(AND(s_Irr!O4&lt;&gt;".",s_Irr!AN4&lt;&gt;".",s_Irr!BM4&lt;&gt;"."),s_dir!P4/((1/1000)*(s_Irr!O4+s_Irr!AN4+s_Irr!BM4)),IF(AND(s_Irr!O4&lt;&gt;".",s_Irr!AN4&lt;&gt;".",s_Irr!BM4="."),s_dir!P4/((1/1000)*(s_Irr!O4+s_Irr!AN4)),IF(AND(s_Irr!O4&lt;&gt;".",s_Irr!AN4=".",s_Irr!BM4&lt;&gt;"."),s_dir!P4/((1/1000)*(s_Irr!O4+s_Irr!BM4)),IF(AND(s_Irr!O4=".",s_Irr!AN4&lt;&gt;".",s_Irr!BM4&lt;&gt;"."),s_dir!P4/((1/1000)*(s_Irr!AN4+s_Irr!BM4)),IF(AND(s_Irr!O4=".",s_Irr!AN4=".",s_Irr!BM4&lt;&gt;"."),s_dir!P4/((1/1000)*(s_Irr!BM4)),IF(AND(s_Irr!O4=".",s_Irr!AN4&lt;&gt;".",s_Irr!BM4="."),s_dir!P4/((1/1000)*(s_Irr!AN4)),IF(AND(s_Irr!O4&lt;&gt;".",s_Irr!AN4=".",s_Irr!BM4="."),s_dir!P4/((1/1000)*(s_Irr!O4)),IF(AND(s_Irr!O4=".",s_Irr!AN4=".",s_Irr!BM4="."),s_dir!P4*1000)))))))),".")</f>
        <v>.</v>
      </c>
      <c r="Q4" s="76" t="str">
        <f>IFERROR(IF(AND(s_Irr!P4&lt;&gt;".",s_Irr!AO4&lt;&gt;".",s_Irr!BN4&lt;&gt;"."),s_dir!Q4/((1/1000)*(s_Irr!P4+s_Irr!AO4+s_Irr!BN4)),IF(AND(s_Irr!P4&lt;&gt;".",s_Irr!AO4&lt;&gt;".",s_Irr!BN4="."),s_dir!Q4/((1/1000)*(s_Irr!P4+s_Irr!AO4)),IF(AND(s_Irr!P4&lt;&gt;".",s_Irr!AO4=".",s_Irr!BN4&lt;&gt;"."),s_dir!Q4/((1/1000)*(s_Irr!P4+s_Irr!BN4)),IF(AND(s_Irr!P4=".",s_Irr!AO4&lt;&gt;".",s_Irr!BN4&lt;&gt;"."),s_dir!Q4/((1/1000)*(s_Irr!AO4+s_Irr!BN4)),IF(AND(s_Irr!P4=".",s_Irr!AO4=".",s_Irr!BN4&lt;&gt;"."),s_dir!Q4/((1/1000)*(s_Irr!BN4)),IF(AND(s_Irr!P4=".",s_Irr!AO4&lt;&gt;".",s_Irr!BN4="."),s_dir!Q4/((1/1000)*(s_Irr!AO4)),IF(AND(s_Irr!P4&lt;&gt;".",s_Irr!AO4=".",s_Irr!BN4="."),s_dir!Q4/((1/1000)*(s_Irr!P4)),IF(AND(s_Irr!P4=".",s_Irr!AO4=".",s_Irr!BN4="."),s_dir!Q4*1000)))))))),".")</f>
        <v>.</v>
      </c>
      <c r="R4" s="76" t="str">
        <f>IFERROR(IF(AND(s_Irr!Q4&lt;&gt;".",s_Irr!AP4&lt;&gt;".",s_Irr!BO4&lt;&gt;"."),s_dir!R4/((1/1000)*(s_Irr!Q4+s_Irr!AP4+s_Irr!BO4)),IF(AND(s_Irr!Q4&lt;&gt;".",s_Irr!AP4&lt;&gt;".",s_Irr!BO4="."),s_dir!R4/((1/1000)*(s_Irr!Q4+s_Irr!AP4)),IF(AND(s_Irr!Q4&lt;&gt;".",s_Irr!AP4=".",s_Irr!BO4&lt;&gt;"."),s_dir!R4/((1/1000)*(s_Irr!Q4+s_Irr!BO4)),IF(AND(s_Irr!Q4=".",s_Irr!AP4&lt;&gt;".",s_Irr!BO4&lt;&gt;"."),s_dir!R4/((1/1000)*(s_Irr!AP4+s_Irr!BO4)),IF(AND(s_Irr!Q4=".",s_Irr!AP4=".",s_Irr!BO4&lt;&gt;"."),s_dir!R4/((1/1000)*(s_Irr!BO4)),IF(AND(s_Irr!Q4=".",s_Irr!AP4&lt;&gt;".",s_Irr!BO4="."),s_dir!R4/((1/1000)*(s_Irr!AP4)),IF(AND(s_Irr!Q4&lt;&gt;".",s_Irr!AP4=".",s_Irr!BO4="."),s_dir!R4/((1/1000)*(s_Irr!Q4)),IF(AND(s_Irr!Q4=".",s_Irr!AP4=".",s_Irr!BO4="."),s_dir!R4*1000)))))))),".")</f>
        <v>.</v>
      </c>
      <c r="S4" s="76" t="str">
        <f>IFERROR(IF(AND(s_Irr!R4&lt;&gt;".",s_Irr!AQ4&lt;&gt;".",s_Irr!BP4&lt;&gt;"."),s_dir!S4/((1/1000)*(s_Irr!R4+s_Irr!AQ4+s_Irr!BP4)),IF(AND(s_Irr!R4&lt;&gt;".",s_Irr!AQ4&lt;&gt;".",s_Irr!BP4="."),s_dir!S4/((1/1000)*(s_Irr!R4+s_Irr!AQ4)),IF(AND(s_Irr!R4&lt;&gt;".",s_Irr!AQ4=".",s_Irr!BP4&lt;&gt;"."),s_dir!S4/((1/1000)*(s_Irr!R4+s_Irr!BP4)),IF(AND(s_Irr!R4=".",s_Irr!AQ4&lt;&gt;".",s_Irr!BP4&lt;&gt;"."),s_dir!S4/((1/1000)*(s_Irr!AQ4+s_Irr!BP4)),IF(AND(s_Irr!R4=".",s_Irr!AQ4=".",s_Irr!BP4&lt;&gt;"."),s_dir!S4/((1/1000)*(s_Irr!BP4)),IF(AND(s_Irr!R4=".",s_Irr!AQ4&lt;&gt;".",s_Irr!BP4="."),s_dir!S4/((1/1000)*(s_Irr!AQ4)),IF(AND(s_Irr!R4&lt;&gt;".",s_Irr!AQ4=".",s_Irr!BP4="."),s_dir!S4/((1/1000)*(s_Irr!R4)),IF(AND(s_Irr!R4=".",s_Irr!AQ4=".",s_Irr!BP4="."),s_dir!S4*1000)))))))),".")</f>
        <v>.</v>
      </c>
      <c r="T4" s="76" t="str">
        <f>IFERROR(IF(AND(s_Irr!S4&lt;&gt;".",s_Irr!AR4&lt;&gt;".",s_Irr!BQ4&lt;&gt;"."),s_dir!T4/((1/1000)*(s_Irr!S4+s_Irr!AR4+s_Irr!BQ4)),IF(AND(s_Irr!S4&lt;&gt;".",s_Irr!AR4&lt;&gt;".",s_Irr!BQ4="."),s_dir!T4/((1/1000)*(s_Irr!S4+s_Irr!AR4)),IF(AND(s_Irr!S4&lt;&gt;".",s_Irr!AR4=".",s_Irr!BQ4&lt;&gt;"."),s_dir!T4/((1/1000)*(s_Irr!S4+s_Irr!BQ4)),IF(AND(s_Irr!S4=".",s_Irr!AR4&lt;&gt;".",s_Irr!BQ4&lt;&gt;"."),s_dir!T4/((1/1000)*(s_Irr!AR4+s_Irr!BQ4)),IF(AND(s_Irr!S4=".",s_Irr!AR4=".",s_Irr!BQ4&lt;&gt;"."),s_dir!T4/((1/1000)*(s_Irr!BQ4)),IF(AND(s_Irr!S4=".",s_Irr!AR4&lt;&gt;".",s_Irr!BQ4="."),s_dir!T4/((1/1000)*(s_Irr!AR4)),IF(AND(s_Irr!S4&lt;&gt;".",s_Irr!AR4=".",s_Irr!BQ4="."),s_dir!T4/((1/1000)*(s_Irr!S4)),IF(AND(s_Irr!S4=".",s_Irr!AR4=".",s_Irr!BQ4="."),s_dir!T4*1000)))))))),".")</f>
        <v>.</v>
      </c>
      <c r="U4" s="76" t="str">
        <f>IFERROR(IF(AND(s_Irr!T4&lt;&gt;".",s_Irr!AS4&lt;&gt;".",s_Irr!BR4&lt;&gt;"."),s_dir!U4/((1/1000)*(s_Irr!T4+s_Irr!AS4+s_Irr!BR4)),IF(AND(s_Irr!T4&lt;&gt;".",s_Irr!AS4&lt;&gt;".",s_Irr!BR4="."),s_dir!U4/((1/1000)*(s_Irr!T4+s_Irr!AS4)),IF(AND(s_Irr!T4&lt;&gt;".",s_Irr!AS4=".",s_Irr!BR4&lt;&gt;"."),s_dir!U4/((1/1000)*(s_Irr!T4+s_Irr!BR4)),IF(AND(s_Irr!T4=".",s_Irr!AS4&lt;&gt;".",s_Irr!BR4&lt;&gt;"."),s_dir!U4/((1/1000)*(s_Irr!AS4+s_Irr!BR4)),IF(AND(s_Irr!T4=".",s_Irr!AS4=".",s_Irr!BR4&lt;&gt;"."),s_dir!U4/((1/1000)*(s_Irr!BR4)),IF(AND(s_Irr!T4=".",s_Irr!AS4&lt;&gt;".",s_Irr!BR4="."),s_dir!U4/((1/1000)*(s_Irr!AS4)),IF(AND(s_Irr!T4&lt;&gt;".",s_Irr!AS4=".",s_Irr!BR4="."),s_dir!U4/((1/1000)*(s_Irr!T4)),IF(AND(s_Irr!T4=".",s_Irr!AS4=".",s_Irr!BR4="."),s_dir!U4*1000)))))))),".")</f>
        <v>.</v>
      </c>
      <c r="V4" s="76" t="str">
        <f>IFERROR(IF(AND(s_Irr!U4&lt;&gt;".",s_Irr!AT4&lt;&gt;".",s_Irr!BS4&lt;&gt;"."),s_dir!V4/((1/1000)*(s_Irr!U4+s_Irr!AT4+s_Irr!BS4)),IF(AND(s_Irr!U4&lt;&gt;".",s_Irr!AT4&lt;&gt;".",s_Irr!BS4="."),s_dir!V4/((1/1000)*(s_Irr!U4+s_Irr!AT4)),IF(AND(s_Irr!U4&lt;&gt;".",s_Irr!AT4=".",s_Irr!BS4&lt;&gt;"."),s_dir!V4/((1/1000)*(s_Irr!U4+s_Irr!BS4)),IF(AND(s_Irr!U4=".",s_Irr!AT4&lt;&gt;".",s_Irr!BS4&lt;&gt;"."),s_dir!V4/((1/1000)*(s_Irr!AT4+s_Irr!BS4)),IF(AND(s_Irr!U4=".",s_Irr!AT4=".",s_Irr!BS4&lt;&gt;"."),s_dir!V4/((1/1000)*(s_Irr!BS4)),IF(AND(s_Irr!U4=".",s_Irr!AT4&lt;&gt;".",s_Irr!BS4="."),s_dir!V4/((1/1000)*(s_Irr!AT4)),IF(AND(s_Irr!U4&lt;&gt;".",s_Irr!AT4=".",s_Irr!BS4="."),s_dir!V4/((1/1000)*(s_Irr!U4)),IF(AND(s_Irr!U4=".",s_Irr!AT4=".",s_Irr!BS4="."),s_dir!V4*1000)))))))),".")</f>
        <v>.</v>
      </c>
      <c r="W4" s="76" t="str">
        <f>IFERROR(IF(AND(s_Irr!V4&lt;&gt;".",s_Irr!AU4&lt;&gt;".",s_Irr!BT4&lt;&gt;"."),s_dir!W4/((1/1000)*(s_Irr!V4+s_Irr!AU4+s_Irr!BT4)),IF(AND(s_Irr!V4&lt;&gt;".",s_Irr!AU4&lt;&gt;".",s_Irr!BT4="."),s_dir!W4/((1/1000)*(s_Irr!V4+s_Irr!AU4)),IF(AND(s_Irr!V4&lt;&gt;".",s_Irr!AU4=".",s_Irr!BT4&lt;&gt;"."),s_dir!W4/((1/1000)*(s_Irr!V4+s_Irr!BT4)),IF(AND(s_Irr!V4=".",s_Irr!AU4&lt;&gt;".",s_Irr!BT4&lt;&gt;"."),s_dir!W4/((1/1000)*(s_Irr!AU4+s_Irr!BT4)),IF(AND(s_Irr!V4=".",s_Irr!AU4=".",s_Irr!BT4&lt;&gt;"."),s_dir!W4/((1/1000)*(s_Irr!BT4)),IF(AND(s_Irr!V4=".",s_Irr!AU4&lt;&gt;".",s_Irr!BT4="."),s_dir!W4/((1/1000)*(s_Irr!AU4)),IF(AND(s_Irr!V4&lt;&gt;".",s_Irr!AU4=".",s_Irr!BT4="."),s_dir!W4/((1/1000)*(s_Irr!V4)),IF(AND(s_Irr!V4=".",s_Irr!AU4=".",s_Irr!BT4="."),s_dir!W4*1000)))))))),".")</f>
        <v>.</v>
      </c>
      <c r="X4" s="76" t="str">
        <f>IFERROR(IF(AND(s_Irr!W4&lt;&gt;".",s_Irr!AV4&lt;&gt;".",s_Irr!BU4&lt;&gt;"."),s_dir!X4/((1/1000)*(s_Irr!W4+s_Irr!AV4+s_Irr!BU4)),IF(AND(s_Irr!W4&lt;&gt;".",s_Irr!AV4&lt;&gt;".",s_Irr!BU4="."),s_dir!X4/((1/1000)*(s_Irr!W4+s_Irr!AV4)),IF(AND(s_Irr!W4&lt;&gt;".",s_Irr!AV4=".",s_Irr!BU4&lt;&gt;"."),s_dir!X4/((1/1000)*(s_Irr!W4+s_Irr!BU4)),IF(AND(s_Irr!W4=".",s_Irr!AV4&lt;&gt;".",s_Irr!BU4&lt;&gt;"."),s_dir!X4/((1/1000)*(s_Irr!AV4+s_Irr!BU4)),IF(AND(s_Irr!W4=".",s_Irr!AV4=".",s_Irr!BU4&lt;&gt;"."),s_dir!X4/((1/1000)*(s_Irr!BU4)),IF(AND(s_Irr!W4=".",s_Irr!AV4&lt;&gt;".",s_Irr!BU4="."),s_dir!X4/((1/1000)*(s_Irr!AV4)),IF(AND(s_Irr!W4&lt;&gt;".",s_Irr!AV4=".",s_Irr!BU4="."),s_dir!X4/((1/1000)*(s_Irr!W4)),IF(AND(s_Irr!W4=".",s_Irr!AV4=".",s_Irr!BU4="."),s_dir!X4*1000)))))))),".")</f>
        <v>.</v>
      </c>
      <c r="Y4" s="76" t="str">
        <f>IFERROR(IF(AND(s_Irr!X4&lt;&gt;".",s_Irr!AW4&lt;&gt;".",s_Irr!BV4&lt;&gt;"."),s_dir!Y4/((1/1000)*(s_Irr!X4+s_Irr!AW4+s_Irr!BV4)),IF(AND(s_Irr!X4&lt;&gt;".",s_Irr!AW4&lt;&gt;".",s_Irr!BV4="."),s_dir!Y4/((1/1000)*(s_Irr!X4+s_Irr!AW4)),IF(AND(s_Irr!X4&lt;&gt;".",s_Irr!AW4=".",s_Irr!BV4&lt;&gt;"."),s_dir!Y4/((1/1000)*(s_Irr!X4+s_Irr!BV4)),IF(AND(s_Irr!X4=".",s_Irr!AW4&lt;&gt;".",s_Irr!BV4&lt;&gt;"."),s_dir!Y4/((1/1000)*(s_Irr!AW4+s_Irr!BV4)),IF(AND(s_Irr!X4=".",s_Irr!AW4=".",s_Irr!BV4&lt;&gt;"."),s_dir!Y4/((1/1000)*(s_Irr!BV4)),IF(AND(s_Irr!X4=".",s_Irr!AW4&lt;&gt;".",s_Irr!BV4="."),s_dir!Y4/((1/1000)*(s_Irr!AW4)),IF(AND(s_Irr!X4&lt;&gt;".",s_Irr!AW4=".",s_Irr!BV4="."),s_dir!Y4/((1/1000)*(s_Irr!X4)),IF(AND(s_Irr!X4=".",s_Irr!AW4=".",s_Irr!BV4="."),s_dir!Y4*1000)))))))),".")</f>
        <v>.</v>
      </c>
      <c r="Z4" s="76" t="str">
        <f>IFERROR(IF(AND(s_Irr!Y4&lt;&gt;".",s_Irr!AX4&lt;&gt;".",s_Irr!BW4&lt;&gt;"."),s_dir!Z4/((1/1000)*(s_Irr!Y4+s_Irr!AX4+s_Irr!BW4)),IF(AND(s_Irr!Y4&lt;&gt;".",s_Irr!AX4&lt;&gt;".",s_Irr!BW4="."),s_dir!Z4/((1/1000)*(s_Irr!Y4+s_Irr!AX4)),IF(AND(s_Irr!Y4&lt;&gt;".",s_Irr!AX4=".",s_Irr!BW4&lt;&gt;"."),s_dir!Z4/((1/1000)*(s_Irr!Y4+s_Irr!BW4)),IF(AND(s_Irr!Y4=".",s_Irr!AX4&lt;&gt;".",s_Irr!BW4&lt;&gt;"."),s_dir!Z4/((1/1000)*(s_Irr!AX4+s_Irr!BW4)),IF(AND(s_Irr!Y4=".",s_Irr!AX4=".",s_Irr!BW4&lt;&gt;"."),s_dir!Z4/((1/1000)*(s_Irr!BW4)),IF(AND(s_Irr!Y4=".",s_Irr!AX4&lt;&gt;".",s_Irr!BW4="."),s_dir!Z4/((1/1000)*(s_Irr!AX4)),IF(AND(s_Irr!Y4&lt;&gt;".",s_Irr!AX4=".",s_Irr!BW4="."),s_dir!Z4/((1/1000)*(s_Irr!Y4)),IF(AND(s_Irr!Y4=".",s_Irr!AX4=".",s_Irr!BW4="."),s_dir!Z4*1000)))))))),".")</f>
        <v>.</v>
      </c>
      <c r="AA4" s="76" t="str">
        <f>IFERROR(IF(AND(s_Irr!Z4&lt;&gt;".",s_Irr!AY4&lt;&gt;".",s_Irr!BX4&lt;&gt;"."),s_dir!AA4/((1/1000)*(s_Irr!Z4+s_Irr!AY4+s_Irr!BX4)),IF(AND(s_Irr!Z4&lt;&gt;".",s_Irr!AY4&lt;&gt;".",s_Irr!BX4="."),s_dir!AA4/((1/1000)*(s_Irr!Z4+s_Irr!AY4)),IF(AND(s_Irr!Z4&lt;&gt;".",s_Irr!AY4=".",s_Irr!BX4&lt;&gt;"."),s_dir!AA4/((1/1000)*(s_Irr!Z4+s_Irr!BX4)),IF(AND(s_Irr!Z4=".",s_Irr!AY4&lt;&gt;".",s_Irr!BX4&lt;&gt;"."),s_dir!AA4/((1/1000)*(s_Irr!AY4+s_Irr!BX4)),IF(AND(s_Irr!Z4=".",s_Irr!AY4=".",s_Irr!BX4&lt;&gt;"."),s_dir!AA4/((1/1000)*(s_Irr!BX4)),IF(AND(s_Irr!Z4=".",s_Irr!AY4&lt;&gt;".",s_Irr!BX4="."),s_dir!AA4/((1/1000)*(s_Irr!AY4)),IF(AND(s_Irr!Z4&lt;&gt;".",s_Irr!AY4=".",s_Irr!BX4="."),s_dir!AA4/((1/1000)*(s_Irr!Z4)),IF(AND(s_Irr!Z4=".",s_Irr!AY4=".",s_Irr!BX4="."),s_dir!AA4*1000)))))))),".")</f>
        <v>.</v>
      </c>
      <c r="AB4" s="76" t="str">
        <f>IFERROR(IF(AND(s_Irr!AA4&lt;&gt;".",s_Irr!AZ4&lt;&gt;".",s_Irr!BY4&lt;&gt;"."),s_dir!AB4/((1/1000)*(s_Irr!AA4+s_Irr!AZ4+s_Irr!BY4)),IF(AND(s_Irr!AA4&lt;&gt;".",s_Irr!AZ4&lt;&gt;".",s_Irr!BY4="."),s_dir!AB4/((1/1000)*(s_Irr!AA4+s_Irr!AZ4)),IF(AND(s_Irr!AA4&lt;&gt;".",s_Irr!AZ4=".",s_Irr!BY4&lt;&gt;"."),s_dir!AB4/((1/1000)*(s_Irr!AA4+s_Irr!BY4)),IF(AND(s_Irr!AA4=".",s_Irr!AZ4&lt;&gt;".",s_Irr!BY4&lt;&gt;"."),s_dir!AB4/((1/1000)*(s_Irr!AZ4+s_Irr!BY4)),IF(AND(s_Irr!AA4=".",s_Irr!AZ4=".",s_Irr!BY4&lt;&gt;"."),s_dir!AB4/((1/1000)*(s_Irr!BY4)),IF(AND(s_Irr!AA4=".",s_Irr!AZ4&lt;&gt;".",s_Irr!BY4="."),s_dir!AB4/((1/1000)*(s_Irr!AZ4)),IF(AND(s_Irr!AA4&lt;&gt;".",s_Irr!AZ4=".",s_Irr!BY4="."),s_dir!AB4/((1/1000)*(s_Irr!AA4)),IF(AND(s_Irr!AA4=".",s_Irr!AZ4=".",s_Irr!BY4="."),s_dir!AB4*1000)))))))),".")</f>
        <v>.</v>
      </c>
      <c r="AC4" s="93">
        <f t="shared" ref="AC4:AC22" si="4">SUM(AD4,AU4,BA4:BB4)</f>
        <v>31119.356502223021</v>
      </c>
      <c r="AD4" s="93">
        <f>IFERROR(s_C*s_IFAP_res_adj*s_CF_apple*0.001*(s_Irr!C4+s_Irr!AB4+s_Irr!BA4),".")</f>
        <v>7779.8391255557553</v>
      </c>
      <c r="AE4" s="93">
        <f>IFERROR(s_C*s_IFAS_res_adj*s_CF_asparagus*0.001*(s_Irr!D4+s_Irr!AC4+s_Irr!BB4),".")</f>
        <v>7779.8391255557553</v>
      </c>
      <c r="AF4" s="93">
        <f>IFERROR(s_C*s_IFBT_res_adj*s_CF_beet*0.001*(s_Irr!E4+s_Irr!AD4+s_Irr!BC4),".")</f>
        <v>7779.8391255557553</v>
      </c>
      <c r="AG4" s="93">
        <f>IFERROR(s_C*s_IFBE_res_adj*s_CF_berries*0.001*(s_Irr!F4+s_Irr!AE4+s_Irr!BD4),".")</f>
        <v>7779.8391255557553</v>
      </c>
      <c r="AH4" s="93">
        <f>IFERROR(s_C*s_IFBR_res_adj*s_CF_broccoli*0.001*(s_Irr!G4+s_Irr!AF4+s_Irr!BE4),".")</f>
        <v>7779.8391255557553</v>
      </c>
      <c r="AI4" s="93">
        <f>IFERROR(s_C*s_IFCB_res_adj*s_CF_cabbage*0.001*(s_Irr!H4+s_Irr!AG4+s_Irr!BF4),".")</f>
        <v>7779.8391255557553</v>
      </c>
      <c r="AJ4" s="93">
        <f>IFERROR(s_C*s_IFCR_res_adj*s_CF_carrot*0.001*(s_Irr!I4+s_Irr!AH4+s_Irr!BG4),".")</f>
        <v>7779.8391255557553</v>
      </c>
      <c r="AK4" s="93">
        <f>IFERROR(s_C*s_IFCI_res_adj*s_CF_citrus*0.001*(s_Irr!J4+s_Irr!AI4+s_Irr!BH4),".")</f>
        <v>7779.8391255557553</v>
      </c>
      <c r="AL4" s="93">
        <f>IFERROR(s_C*s_IFCO_res_adj*s_CF_corn*0.001*(s_Irr!K4+s_Irr!AJ4+s_Irr!BI4),".")</f>
        <v>7779.8391255557553</v>
      </c>
      <c r="AM4" s="93">
        <f>IFERROR(s_C*s_IFCU_res_adj*s_CF_cucumber*0.001*(s_Irr!L4+s_Irr!AK4+s_Irr!BJ4),".")</f>
        <v>7779.8391255557553</v>
      </c>
      <c r="AN4" s="93">
        <f>IFERROR(s_C*s_IFLE_res_adj*s_CF_lettuce*0.001*(s_Irr!M4+s_Irr!AL4+s_Irr!BK4),".")</f>
        <v>7779.8391255557553</v>
      </c>
      <c r="AO4" s="93">
        <f>IFERROR(s_C*s_IFLI_res_adj*s_CF_lima_bean*0.001*(s_Irr!N4+s_Irr!AM4+s_Irr!BL4),".")</f>
        <v>7779.8391255557553</v>
      </c>
      <c r="AP4" s="93">
        <f>IFERROR(s_C*s_IFOK_res_adj*s_CF_okra*0.001*(s_Irr!O4+s_Irr!AN4+s_Irr!BM4),".")</f>
        <v>7779.8391255557553</v>
      </c>
      <c r="AQ4" s="93">
        <f>IFERROR(s_C*s_IFON_res_adj*s_CF_onion*0.001*(s_Irr!P4+s_Irr!AO4+s_Irr!BN4),".")</f>
        <v>7779.8391255557553</v>
      </c>
      <c r="AR4" s="93">
        <f>IFERROR(s_C*s_IFPC_res_adj*s_CF_peach*0.001*(s_Irr!Q4+s_Irr!AP4+s_Irr!BO4),".")</f>
        <v>7779.8391255557553</v>
      </c>
      <c r="AS4" s="93">
        <f>IFERROR(s_C*s_IFPR_res_adj*s_CF_pear*0.001*(s_Irr!R4+s_Irr!AQ4+s_Irr!BP4),".")</f>
        <v>7779.8391255557553</v>
      </c>
      <c r="AT4" s="93">
        <f>IFERROR(s_C*s_IFPE_res_adj*s_CF_peas*0.001*(s_Irr!S4+s_Irr!AR4+s_Irr!BQ4),".")</f>
        <v>7779.8391255557553</v>
      </c>
      <c r="AU4" s="93">
        <f>IFERROR(s_C*s_IFPP_res_adj*s_CF_peppers*0.001*(s_Irr!T4+s_Irr!AS4+s_Irr!BR4),".")</f>
        <v>7779.8391255557553</v>
      </c>
      <c r="AV4" s="93">
        <f>IFERROR(s_C*s_IFPT_res_adj*s_CF_potato*0.001*(s_Irr!U4+s_Irr!AT4+s_Irr!BS4),".")</f>
        <v>7779.8391255557553</v>
      </c>
      <c r="AW4" s="93">
        <f>IFERROR(s_C*s_IFPU_res_adj*s_CF_pumpkin*0.001*(s_Irr!V4+s_Irr!AU4+s_Irr!BT4),".")</f>
        <v>7779.8391255557553</v>
      </c>
      <c r="AX4" s="93">
        <f>IFERROR(s_C*s_IFSN_res_adj*s_CF_snap_bean*0.001*(s_Irr!W4+s_Irr!AV4+s_Irr!BU4),".")</f>
        <v>7779.8391255557553</v>
      </c>
      <c r="AY4" s="93">
        <f>IFERROR(s_C*s_IFST_res_adj*s_CF_strawberry*0.001*(s_Irr!X4+s_Irr!AW4+s_Irr!BV4),".")</f>
        <v>7779.8391255557553</v>
      </c>
      <c r="AZ4" s="93">
        <f>IFERROR(s_C*s_IFTO_res_adj*s_CF_tomato*0.001*(s_Irr!Y4+s_Irr!AX4+s_Irr!BW4),".")</f>
        <v>7779.8391255557553</v>
      </c>
      <c r="BA4" s="93">
        <f>IFERROR(s_C*s_IFRI_res_adj*s_CF_rice*0.001*(s_Irr!Z4+s_Irr!AY4+s_Irr!BX4),".")</f>
        <v>7779.8391255557553</v>
      </c>
      <c r="BB4" s="93">
        <f>IFERROR(s_C*s_IFCG_res_adj*s_CF_cereal*0.001*(s_Irr!AA4+s_Irr!AZ4+s_Irr!BY4),".")</f>
        <v>7779.8391255557553</v>
      </c>
      <c r="BC4" s="76" t="str">
        <f t="shared" si="1"/>
        <v>.</v>
      </c>
      <c r="BD4" s="76" t="str">
        <f>IFERROR(IF(AND(s_Irr!C4&lt;&gt;".",s_Irr!AB4&lt;&gt;".",s_Irr!BA4&lt;&gt;"."),s_dir!AD4/((1/1000)*(s_Irr!C4+s_Irr!AB4+s_Irr!BA4)),IF(AND(s_Irr!C4&lt;&gt;".",s_Irr!AB4&lt;&gt;".",s_Irr!BA4="."),s_dir!AD4/((1/1000)*(s_Irr!C4+s_Irr!AB4)),IF(AND(s_Irr!C4&lt;&gt;".",s_Irr!AB4=".",s_Irr!BA4&lt;&gt;"."),s_dir!AD4/((1/1000)*(s_Irr!C4+s_Irr!BA4)),IF(AND(s_Irr!C4=".",s_Irr!AB4&lt;&gt;".",s_Irr!BA4&lt;&gt;"."),s_dir!AD4/((1/1000)*(s_Irr!AB4+s_Irr!BA4)),IF(AND(s_Irr!C4=".",s_Irr!AB4=".",s_Irr!BA4&lt;&gt;"."),s_dir!AD4/((1/1000)*(s_Irr!BA4)),IF(AND(s_Irr!C4=".",s_Irr!AB4&lt;&gt;".",s_Irr!BA4="."),s_dir!AD4/((1/1000)*(s_Irr!AB4)),IF(AND(s_Irr!C4&lt;&gt;".",s_Irr!AB4=".",s_Irr!BA4="."),s_dir!AD4/((1/1000)*(s_Irr!C4)),IF(AND(s_Irr!C4=".",s_Irr!AB4=".",s_Irr!BA4="."),s_dir!AD4*1000)))))))),".")</f>
        <v>.</v>
      </c>
      <c r="BE4" s="76" t="str">
        <f>IFERROR(IF(AND(s_Irr!D4&lt;&gt;".",s_Irr!AC4&lt;&gt;".",s_Irr!BB4&lt;&gt;"."),s_dir!AE4/((1/1000)*(s_Irr!D4+s_Irr!AC4+s_Irr!BB4)),IF(AND(s_Irr!D4&lt;&gt;".",s_Irr!AC4&lt;&gt;".",s_Irr!BB4="."),s_dir!AE4/((1/1000)*(s_Irr!D4+s_Irr!AC4)),IF(AND(s_Irr!D4&lt;&gt;".",s_Irr!AC4=".",s_Irr!BB4&lt;&gt;"."),s_dir!AE4/((1/1000)*(s_Irr!D4+s_Irr!BB4)),IF(AND(s_Irr!D4=".",s_Irr!AC4&lt;&gt;".",s_Irr!BB4&lt;&gt;"."),s_dir!AE4/((1/1000)*(s_Irr!AC4+s_Irr!BB4)),IF(AND(s_Irr!D4=".",s_Irr!AC4=".",s_Irr!BB4&lt;&gt;"."),s_dir!AE4/((1/1000)*(s_Irr!BB4)),IF(AND(s_Irr!D4=".",s_Irr!AC4&lt;&gt;".",s_Irr!BB4="."),s_dir!AE4/((1/1000)*(s_Irr!AC4)),IF(AND(s_Irr!D4&lt;&gt;".",s_Irr!AC4=".",s_Irr!BB4="."),s_dir!AE4/((1/1000)*(s_Irr!D4)),IF(AND(s_Irr!D4=".",s_Irr!AC4=".",s_Irr!BB4="."),s_dir!AE4*1000)))))))),".")</f>
        <v>.</v>
      </c>
      <c r="BF4" s="76" t="str">
        <f>IFERROR(IF(AND(s_Irr!E4&lt;&gt;".",s_Irr!AD4&lt;&gt;".",s_Irr!BC4&lt;&gt;"."),s_dir!AF4/((1/1000)*(s_Irr!E4+s_Irr!AD4+s_Irr!BC4)),IF(AND(s_Irr!E4&lt;&gt;".",s_Irr!AD4&lt;&gt;".",s_Irr!BC4="."),s_dir!AF4/((1/1000)*(s_Irr!E4+s_Irr!AD4)),IF(AND(s_Irr!E4&lt;&gt;".",s_Irr!AD4=".",s_Irr!BC4&lt;&gt;"."),s_dir!AF4/((1/1000)*(s_Irr!E4+s_Irr!BC4)),IF(AND(s_Irr!E4=".",s_Irr!AD4&lt;&gt;".",s_Irr!BC4&lt;&gt;"."),s_dir!AF4/((1/1000)*(s_Irr!AD4+s_Irr!BC4)),IF(AND(s_Irr!E4=".",s_Irr!AD4=".",s_Irr!BC4&lt;&gt;"."),s_dir!AF4/((1/1000)*(s_Irr!BC4)),IF(AND(s_Irr!E4=".",s_Irr!AD4&lt;&gt;".",s_Irr!BC4="."),s_dir!AF4/((1/1000)*(s_Irr!AD4)),IF(AND(s_Irr!E4&lt;&gt;".",s_Irr!AD4=".",s_Irr!BC4="."),s_dir!AF4/((1/1000)*(s_Irr!E4)),IF(AND(s_Irr!E4=".",s_Irr!AD4=".",s_Irr!BC4="."),s_dir!AF4*1000)))))))),".")</f>
        <v>.</v>
      </c>
      <c r="BG4" s="76" t="str">
        <f>IFERROR(IF(AND(s_Irr!F4&lt;&gt;".",s_Irr!AE4&lt;&gt;".",s_Irr!BD4&lt;&gt;"."),s_dir!AG4/((1/1000)*(s_Irr!F4+s_Irr!AE4+s_Irr!BD4)),IF(AND(s_Irr!F4&lt;&gt;".",s_Irr!AE4&lt;&gt;".",s_Irr!BD4="."),s_dir!AG4/((1/1000)*(s_Irr!F4+s_Irr!AE4)),IF(AND(s_Irr!F4&lt;&gt;".",s_Irr!AE4=".",s_Irr!BD4&lt;&gt;"."),s_dir!AG4/((1/1000)*(s_Irr!F4+s_Irr!BD4)),IF(AND(s_Irr!F4=".",s_Irr!AE4&lt;&gt;".",s_Irr!BD4&lt;&gt;"."),s_dir!AG4/((1/1000)*(s_Irr!AE4+s_Irr!BD4)),IF(AND(s_Irr!F4=".",s_Irr!AE4=".",s_Irr!BD4&lt;&gt;"."),s_dir!AG4/((1/1000)*(s_Irr!BD4)),IF(AND(s_Irr!F4=".",s_Irr!AE4&lt;&gt;".",s_Irr!BD4="."),s_dir!AG4/((1/1000)*(s_Irr!AE4)),IF(AND(s_Irr!F4&lt;&gt;".",s_Irr!AE4=".",s_Irr!BD4="."),s_dir!AG4/((1/1000)*(s_Irr!F4)),IF(AND(s_Irr!F4=".",s_Irr!AE4=".",s_Irr!BD4="."),s_dir!AG4*1000)))))))),".")</f>
        <v>.</v>
      </c>
      <c r="BH4" s="76" t="str">
        <f>IFERROR(IF(AND(s_Irr!G4&lt;&gt;".",s_Irr!AF4&lt;&gt;".",s_Irr!BE4&lt;&gt;"."),s_dir!AH4/((1/1000)*(s_Irr!G4+s_Irr!AF4+s_Irr!BE4)),IF(AND(s_Irr!G4&lt;&gt;".",s_Irr!AF4&lt;&gt;".",s_Irr!BE4="."),s_dir!AH4/((1/1000)*(s_Irr!G4+s_Irr!AF4)),IF(AND(s_Irr!G4&lt;&gt;".",s_Irr!AF4=".",s_Irr!BE4&lt;&gt;"."),s_dir!AH4/((1/1000)*(s_Irr!G4+s_Irr!BE4)),IF(AND(s_Irr!G4=".",s_Irr!AF4&lt;&gt;".",s_Irr!BE4&lt;&gt;"."),s_dir!AH4/((1/1000)*(s_Irr!AF4+s_Irr!BE4)),IF(AND(s_Irr!G4=".",s_Irr!AF4=".",s_Irr!BE4&lt;&gt;"."),s_dir!AH4/((1/1000)*(s_Irr!BE4)),IF(AND(s_Irr!G4=".",s_Irr!AF4&lt;&gt;".",s_Irr!BE4="."),s_dir!AH4/((1/1000)*(s_Irr!AF4)),IF(AND(s_Irr!G4&lt;&gt;".",s_Irr!AF4=".",s_Irr!BE4="."),s_dir!AH4/((1/1000)*(s_Irr!G4)),IF(AND(s_Irr!G4=".",s_Irr!AF4=".",s_Irr!BE4="."),s_dir!AH4*1000)))))))),".")</f>
        <v>.</v>
      </c>
      <c r="BI4" s="76" t="str">
        <f>IFERROR(IF(AND(s_Irr!H4&lt;&gt;".",s_Irr!AG4&lt;&gt;".",s_Irr!BF4&lt;&gt;"."),s_dir!AI4/((1/1000)*(s_Irr!H4+s_Irr!AG4+s_Irr!BF4)),IF(AND(s_Irr!H4&lt;&gt;".",s_Irr!AG4&lt;&gt;".",s_Irr!BF4="."),s_dir!AI4/((1/1000)*(s_Irr!H4+s_Irr!AG4)),IF(AND(s_Irr!H4&lt;&gt;".",s_Irr!AG4=".",s_Irr!BF4&lt;&gt;"."),s_dir!AI4/((1/1000)*(s_Irr!H4+s_Irr!BF4)),IF(AND(s_Irr!H4=".",s_Irr!AG4&lt;&gt;".",s_Irr!BF4&lt;&gt;"."),s_dir!AI4/((1/1000)*(s_Irr!AG4+s_Irr!BF4)),IF(AND(s_Irr!H4=".",s_Irr!AG4=".",s_Irr!BF4&lt;&gt;"."),s_dir!AI4/((1/1000)*(s_Irr!BF4)),IF(AND(s_Irr!H4=".",s_Irr!AG4&lt;&gt;".",s_Irr!BF4="."),s_dir!AI4/((1/1000)*(s_Irr!AG4)),IF(AND(s_Irr!H4&lt;&gt;".",s_Irr!AG4=".",s_Irr!BF4="."),s_dir!AI4/((1/1000)*(s_Irr!H4)),IF(AND(s_Irr!H4=".",s_Irr!AG4=".",s_Irr!BF4="."),s_dir!AI4*1000)))))))),".")</f>
        <v>.</v>
      </c>
      <c r="BJ4" s="76" t="str">
        <f>IFERROR(IF(AND(s_Irr!I4&lt;&gt;".",s_Irr!AH4&lt;&gt;".",s_Irr!BG4&lt;&gt;"."),s_dir!AJ4/((1/1000)*(s_Irr!I4+s_Irr!AH4+s_Irr!BG4)),IF(AND(s_Irr!I4&lt;&gt;".",s_Irr!AH4&lt;&gt;".",s_Irr!BG4="."),s_dir!AJ4/((1/1000)*(s_Irr!I4+s_Irr!AH4)),IF(AND(s_Irr!I4&lt;&gt;".",s_Irr!AH4=".",s_Irr!BG4&lt;&gt;"."),s_dir!AJ4/((1/1000)*(s_Irr!I4+s_Irr!BG4)),IF(AND(s_Irr!I4=".",s_Irr!AH4&lt;&gt;".",s_Irr!BG4&lt;&gt;"."),s_dir!AJ4/((1/1000)*(s_Irr!AH4+s_Irr!BG4)),IF(AND(s_Irr!I4=".",s_Irr!AH4=".",s_Irr!BG4&lt;&gt;"."),s_dir!AJ4/((1/1000)*(s_Irr!BG4)),IF(AND(s_Irr!I4=".",s_Irr!AH4&lt;&gt;".",s_Irr!BG4="."),s_dir!AJ4/((1/1000)*(s_Irr!AH4)),IF(AND(s_Irr!I4&lt;&gt;".",s_Irr!AH4=".",s_Irr!BG4="."),s_dir!AJ4/((1/1000)*(s_Irr!I4)),IF(AND(s_Irr!I4=".",s_Irr!AH4=".",s_Irr!BG4="."),s_dir!AJ4*1000)))))))),".")</f>
        <v>.</v>
      </c>
      <c r="BK4" s="76" t="str">
        <f>IFERROR(IF(AND(s_Irr!J4&lt;&gt;".",s_Irr!AI4&lt;&gt;".",s_Irr!BH4&lt;&gt;"."),s_dir!AK4/((1/1000)*(s_Irr!J4+s_Irr!AI4+s_Irr!BH4)),IF(AND(s_Irr!J4&lt;&gt;".",s_Irr!AI4&lt;&gt;".",s_Irr!BH4="."),s_dir!AK4/((1/1000)*(s_Irr!J4+s_Irr!AI4)),IF(AND(s_Irr!J4&lt;&gt;".",s_Irr!AI4=".",s_Irr!BH4&lt;&gt;"."),s_dir!AK4/((1/1000)*(s_Irr!J4+s_Irr!BH4)),IF(AND(s_Irr!J4=".",s_Irr!AI4&lt;&gt;".",s_Irr!BH4&lt;&gt;"."),s_dir!AK4/((1/1000)*(s_Irr!AI4+s_Irr!BH4)),IF(AND(s_Irr!J4=".",s_Irr!AI4=".",s_Irr!BH4&lt;&gt;"."),s_dir!AK4/((1/1000)*(s_Irr!BH4)),IF(AND(s_Irr!J4=".",s_Irr!AI4&lt;&gt;".",s_Irr!BH4="."),s_dir!AK4/((1/1000)*(s_Irr!AI4)),IF(AND(s_Irr!J4&lt;&gt;".",s_Irr!AI4=".",s_Irr!BH4="."),s_dir!AK4/((1/1000)*(s_Irr!J4)),IF(AND(s_Irr!J4=".",s_Irr!AI4=".",s_Irr!BH4="."),s_dir!AK4*1000)))))))),".")</f>
        <v>.</v>
      </c>
      <c r="BL4" s="76" t="str">
        <f>IFERROR(IF(AND(s_Irr!K4&lt;&gt;".",s_Irr!AJ4&lt;&gt;".",s_Irr!BI4&lt;&gt;"."),s_dir!AL4/((1/1000)*(s_Irr!K4+s_Irr!AJ4+s_Irr!BI4)),IF(AND(s_Irr!K4&lt;&gt;".",s_Irr!AJ4&lt;&gt;".",s_Irr!BI4="."),s_dir!AL4/((1/1000)*(s_Irr!K4+s_Irr!AJ4)),IF(AND(s_Irr!K4&lt;&gt;".",s_Irr!AJ4=".",s_Irr!BI4&lt;&gt;"."),s_dir!AL4/((1/1000)*(s_Irr!K4+s_Irr!BI4)),IF(AND(s_Irr!K4=".",s_Irr!AJ4&lt;&gt;".",s_Irr!BI4&lt;&gt;"."),s_dir!AL4/((1/1000)*(s_Irr!AJ4+s_Irr!BI4)),IF(AND(s_Irr!K4=".",s_Irr!AJ4=".",s_Irr!BI4&lt;&gt;"."),s_dir!AL4/((1/1000)*(s_Irr!BI4)),IF(AND(s_Irr!K4=".",s_Irr!AJ4&lt;&gt;".",s_Irr!BI4="."),s_dir!AL4/((1/1000)*(s_Irr!AJ4)),IF(AND(s_Irr!K4&lt;&gt;".",s_Irr!AJ4=".",s_Irr!BI4="."),s_dir!AL4/((1/1000)*(s_Irr!K4)),IF(AND(s_Irr!K4=".",s_Irr!AJ4=".",s_Irr!BI4="."),s_dir!AL4*1000)))))))),".")</f>
        <v>.</v>
      </c>
      <c r="BM4" s="76" t="str">
        <f>IFERROR(IF(AND(s_Irr!L4&lt;&gt;".",s_Irr!AK4&lt;&gt;".",s_Irr!BJ4&lt;&gt;"."),s_dir!AM4/((1/1000)*(s_Irr!L4+s_Irr!AK4+s_Irr!BJ4)),IF(AND(s_Irr!L4&lt;&gt;".",s_Irr!AK4&lt;&gt;".",s_Irr!BJ4="."),s_dir!AM4/((1/1000)*(s_Irr!L4+s_Irr!AK4)),IF(AND(s_Irr!L4&lt;&gt;".",s_Irr!AK4=".",s_Irr!BJ4&lt;&gt;"."),s_dir!AM4/((1/1000)*(s_Irr!L4+s_Irr!BJ4)),IF(AND(s_Irr!L4=".",s_Irr!AK4&lt;&gt;".",s_Irr!BJ4&lt;&gt;"."),s_dir!AM4/((1/1000)*(s_Irr!AK4+s_Irr!BJ4)),IF(AND(s_Irr!L4=".",s_Irr!AK4=".",s_Irr!BJ4&lt;&gt;"."),s_dir!AM4/((1/1000)*(s_Irr!BJ4)),IF(AND(s_Irr!L4=".",s_Irr!AK4&lt;&gt;".",s_Irr!BJ4="."),s_dir!AM4/((1/1000)*(s_Irr!AK4)),IF(AND(s_Irr!L4&lt;&gt;".",s_Irr!AK4=".",s_Irr!BJ4="."),s_dir!AM4/((1/1000)*(s_Irr!L4)),IF(AND(s_Irr!L4=".",s_Irr!AK4=".",s_Irr!BJ4="."),s_dir!AM4*1000)))))))),".")</f>
        <v>.</v>
      </c>
      <c r="BN4" s="76" t="str">
        <f>IFERROR(IF(AND(s_Irr!M4&lt;&gt;".",s_Irr!AL4&lt;&gt;".",s_Irr!BK4&lt;&gt;"."),s_dir!AN4/((1/1000)*(s_Irr!M4+s_Irr!AL4+s_Irr!BK4)),IF(AND(s_Irr!M4&lt;&gt;".",s_Irr!AL4&lt;&gt;".",s_Irr!BK4="."),s_dir!AN4/((1/1000)*(s_Irr!M4+s_Irr!AL4)),IF(AND(s_Irr!M4&lt;&gt;".",s_Irr!AL4=".",s_Irr!BK4&lt;&gt;"."),s_dir!AN4/((1/1000)*(s_Irr!M4+s_Irr!BK4)),IF(AND(s_Irr!M4=".",s_Irr!AL4&lt;&gt;".",s_Irr!BK4&lt;&gt;"."),s_dir!AN4/((1/1000)*(s_Irr!AL4+s_Irr!BK4)),IF(AND(s_Irr!M4=".",s_Irr!AL4=".",s_Irr!BK4&lt;&gt;"."),s_dir!AN4/((1/1000)*(s_Irr!BK4)),IF(AND(s_Irr!M4=".",s_Irr!AL4&lt;&gt;".",s_Irr!BK4="."),s_dir!AN4/((1/1000)*(s_Irr!AL4)),IF(AND(s_Irr!M4&lt;&gt;".",s_Irr!AL4=".",s_Irr!BK4="."),s_dir!AN4/((1/1000)*(s_Irr!M4)),IF(AND(s_Irr!M4=".",s_Irr!AL4=".",s_Irr!BK4="."),s_dir!AN4*1000)))))))),".")</f>
        <v>.</v>
      </c>
      <c r="BO4" s="76" t="str">
        <f>IFERROR(IF(AND(s_Irr!N4&lt;&gt;".",s_Irr!AM4&lt;&gt;".",s_Irr!BL4&lt;&gt;"."),s_dir!AO4/((1/1000)*(s_Irr!N4+s_Irr!AM4+s_Irr!BL4)),IF(AND(s_Irr!N4&lt;&gt;".",s_Irr!AM4&lt;&gt;".",s_Irr!BL4="."),s_dir!AO4/((1/1000)*(s_Irr!N4+s_Irr!AM4)),IF(AND(s_Irr!N4&lt;&gt;".",s_Irr!AM4=".",s_Irr!BL4&lt;&gt;"."),s_dir!AO4/((1/1000)*(s_Irr!N4+s_Irr!BL4)),IF(AND(s_Irr!N4=".",s_Irr!AM4&lt;&gt;".",s_Irr!BL4&lt;&gt;"."),s_dir!AO4/((1/1000)*(s_Irr!AM4+s_Irr!BL4)),IF(AND(s_Irr!N4=".",s_Irr!AM4=".",s_Irr!BL4&lt;&gt;"."),s_dir!AO4/((1/1000)*(s_Irr!BL4)),IF(AND(s_Irr!N4=".",s_Irr!AM4&lt;&gt;".",s_Irr!BL4="."),s_dir!AO4/((1/1000)*(s_Irr!AM4)),IF(AND(s_Irr!N4&lt;&gt;".",s_Irr!AM4=".",s_Irr!BL4="."),s_dir!AO4/((1/1000)*(s_Irr!N4)),IF(AND(s_Irr!N4=".",s_Irr!AM4=".",s_Irr!BL4="."),s_dir!AO4*1000)))))))),".")</f>
        <v>.</v>
      </c>
      <c r="BP4" s="76" t="str">
        <f>IFERROR(IF(AND(s_Irr!O4&lt;&gt;".",s_Irr!AN4&lt;&gt;".",s_Irr!BM4&lt;&gt;"."),s_dir!AP4/((1/1000)*(s_Irr!O4+s_Irr!AN4+s_Irr!BM4)),IF(AND(s_Irr!O4&lt;&gt;".",s_Irr!AN4&lt;&gt;".",s_Irr!BM4="."),s_dir!AP4/((1/1000)*(s_Irr!O4+s_Irr!AN4)),IF(AND(s_Irr!O4&lt;&gt;".",s_Irr!AN4=".",s_Irr!BM4&lt;&gt;"."),s_dir!AP4/((1/1000)*(s_Irr!O4+s_Irr!BM4)),IF(AND(s_Irr!O4=".",s_Irr!AN4&lt;&gt;".",s_Irr!BM4&lt;&gt;"."),s_dir!AP4/((1/1000)*(s_Irr!AN4+s_Irr!BM4)),IF(AND(s_Irr!O4=".",s_Irr!AN4=".",s_Irr!BM4&lt;&gt;"."),s_dir!AP4/((1/1000)*(s_Irr!BM4)),IF(AND(s_Irr!O4=".",s_Irr!AN4&lt;&gt;".",s_Irr!BM4="."),s_dir!AP4/((1/1000)*(s_Irr!AN4)),IF(AND(s_Irr!O4&lt;&gt;".",s_Irr!AN4=".",s_Irr!BM4="."),s_dir!AP4/((1/1000)*(s_Irr!O4)),IF(AND(s_Irr!O4=".",s_Irr!AN4=".",s_Irr!BM4="."),s_dir!AP4*1000)))))))),".")</f>
        <v>.</v>
      </c>
      <c r="BQ4" s="76" t="str">
        <f>IFERROR(IF(AND(s_Irr!P4&lt;&gt;".",s_Irr!AO4&lt;&gt;".",s_Irr!BN4&lt;&gt;"."),s_dir!AQ4/((1/1000)*(s_Irr!P4+s_Irr!AO4+s_Irr!BN4)),IF(AND(s_Irr!P4&lt;&gt;".",s_Irr!AO4&lt;&gt;".",s_Irr!BN4="."),s_dir!AQ4/((1/1000)*(s_Irr!P4+s_Irr!AO4)),IF(AND(s_Irr!P4&lt;&gt;".",s_Irr!AO4=".",s_Irr!BN4&lt;&gt;"."),s_dir!AQ4/((1/1000)*(s_Irr!P4+s_Irr!BN4)),IF(AND(s_Irr!P4=".",s_Irr!AO4&lt;&gt;".",s_Irr!BN4&lt;&gt;"."),s_dir!AQ4/((1/1000)*(s_Irr!AO4+s_Irr!BN4)),IF(AND(s_Irr!P4=".",s_Irr!AO4=".",s_Irr!BN4&lt;&gt;"."),s_dir!AQ4/((1/1000)*(s_Irr!BN4)),IF(AND(s_Irr!P4=".",s_Irr!AO4&lt;&gt;".",s_Irr!BN4="."),s_dir!AQ4/((1/1000)*(s_Irr!AO4)),IF(AND(s_Irr!P4&lt;&gt;".",s_Irr!AO4=".",s_Irr!BN4="."),s_dir!AQ4/((1/1000)*(s_Irr!P4)),IF(AND(s_Irr!P4=".",s_Irr!AO4=".",s_Irr!BN4="."),s_dir!AQ4*1000)))))))),".")</f>
        <v>.</v>
      </c>
      <c r="BR4" s="76" t="str">
        <f>IFERROR(IF(AND(s_Irr!Q4&lt;&gt;".",s_Irr!AP4&lt;&gt;".",s_Irr!BO4&lt;&gt;"."),s_dir!AR4/((1/1000)*(s_Irr!Q4+s_Irr!AP4+s_Irr!BO4)),IF(AND(s_Irr!Q4&lt;&gt;".",s_Irr!AP4&lt;&gt;".",s_Irr!BO4="."),s_dir!AR4/((1/1000)*(s_Irr!Q4+s_Irr!AP4)),IF(AND(s_Irr!Q4&lt;&gt;".",s_Irr!AP4=".",s_Irr!BO4&lt;&gt;"."),s_dir!AR4/((1/1000)*(s_Irr!Q4+s_Irr!BO4)),IF(AND(s_Irr!Q4=".",s_Irr!AP4&lt;&gt;".",s_Irr!BO4&lt;&gt;"."),s_dir!AR4/((1/1000)*(s_Irr!AP4+s_Irr!BO4)),IF(AND(s_Irr!Q4=".",s_Irr!AP4=".",s_Irr!BO4&lt;&gt;"."),s_dir!AR4/((1/1000)*(s_Irr!BO4)),IF(AND(s_Irr!Q4=".",s_Irr!AP4&lt;&gt;".",s_Irr!BO4="."),s_dir!AR4/((1/1000)*(s_Irr!AP4)),IF(AND(s_Irr!Q4&lt;&gt;".",s_Irr!AP4=".",s_Irr!BO4="."),s_dir!AR4/((1/1000)*(s_Irr!Q4)),IF(AND(s_Irr!Q4=".",s_Irr!AP4=".",s_Irr!BO4="."),s_dir!AR4*1000)))))))),".")</f>
        <v>.</v>
      </c>
      <c r="BS4" s="76" t="str">
        <f>IFERROR(IF(AND(s_Irr!R4&lt;&gt;".",s_Irr!AQ4&lt;&gt;".",s_Irr!BP4&lt;&gt;"."),s_dir!AS4/((1/1000)*(s_Irr!R4+s_Irr!AQ4+s_Irr!BP4)),IF(AND(s_Irr!R4&lt;&gt;".",s_Irr!AQ4&lt;&gt;".",s_Irr!BP4="."),s_dir!AS4/((1/1000)*(s_Irr!R4+s_Irr!AQ4)),IF(AND(s_Irr!R4&lt;&gt;".",s_Irr!AQ4=".",s_Irr!BP4&lt;&gt;"."),s_dir!AS4/((1/1000)*(s_Irr!R4+s_Irr!BP4)),IF(AND(s_Irr!R4=".",s_Irr!AQ4&lt;&gt;".",s_Irr!BP4&lt;&gt;"."),s_dir!AS4/((1/1000)*(s_Irr!AQ4+s_Irr!BP4)),IF(AND(s_Irr!R4=".",s_Irr!AQ4=".",s_Irr!BP4&lt;&gt;"."),s_dir!AS4/((1/1000)*(s_Irr!BP4)),IF(AND(s_Irr!R4=".",s_Irr!AQ4&lt;&gt;".",s_Irr!BP4="."),s_dir!AS4/((1/1000)*(s_Irr!AQ4)),IF(AND(s_Irr!R4&lt;&gt;".",s_Irr!AQ4=".",s_Irr!BP4="."),s_dir!AS4/((1/1000)*(s_Irr!R4)),IF(AND(s_Irr!R4=".",s_Irr!AQ4=".",s_Irr!BP4="."),s_dir!AS4*1000)))))))),".")</f>
        <v>.</v>
      </c>
      <c r="BT4" s="76" t="str">
        <f>IFERROR(IF(AND(s_Irr!S4&lt;&gt;".",s_Irr!AR4&lt;&gt;".",s_Irr!BQ4&lt;&gt;"."),s_dir!AT4/((1/1000)*(s_Irr!S4+s_Irr!AR4+s_Irr!BQ4)),IF(AND(s_Irr!S4&lt;&gt;".",s_Irr!AR4&lt;&gt;".",s_Irr!BQ4="."),s_dir!AT4/((1/1000)*(s_Irr!S4+s_Irr!AR4)),IF(AND(s_Irr!S4&lt;&gt;".",s_Irr!AR4=".",s_Irr!BQ4&lt;&gt;"."),s_dir!AT4/((1/1000)*(s_Irr!S4+s_Irr!BQ4)),IF(AND(s_Irr!S4=".",s_Irr!AR4&lt;&gt;".",s_Irr!BQ4&lt;&gt;"."),s_dir!AT4/((1/1000)*(s_Irr!AR4+s_Irr!BQ4)),IF(AND(s_Irr!S4=".",s_Irr!AR4=".",s_Irr!BQ4&lt;&gt;"."),s_dir!AT4/((1/1000)*(s_Irr!BQ4)),IF(AND(s_Irr!S4=".",s_Irr!AR4&lt;&gt;".",s_Irr!BQ4="."),s_dir!AT4/((1/1000)*(s_Irr!AR4)),IF(AND(s_Irr!S4&lt;&gt;".",s_Irr!AR4=".",s_Irr!BQ4="."),s_dir!AT4/((1/1000)*(s_Irr!S4)),IF(AND(s_Irr!S4=".",s_Irr!AR4=".",s_Irr!BQ4="."),s_dir!AT4*1000)))))))),".")</f>
        <v>.</v>
      </c>
      <c r="BU4" s="76" t="str">
        <f>IFERROR(IF(AND(s_Irr!T4&lt;&gt;".",s_Irr!AS4&lt;&gt;".",s_Irr!BR4&lt;&gt;"."),s_dir!AU4/((1/1000)*(s_Irr!T4+s_Irr!AS4+s_Irr!BR4)),IF(AND(s_Irr!T4&lt;&gt;".",s_Irr!AS4&lt;&gt;".",s_Irr!BR4="."),s_dir!AU4/((1/1000)*(s_Irr!T4+s_Irr!AS4)),IF(AND(s_Irr!T4&lt;&gt;".",s_Irr!AS4=".",s_Irr!BR4&lt;&gt;"."),s_dir!AU4/((1/1000)*(s_Irr!T4+s_Irr!BR4)),IF(AND(s_Irr!T4=".",s_Irr!AS4&lt;&gt;".",s_Irr!BR4&lt;&gt;"."),s_dir!AU4/((1/1000)*(s_Irr!AS4+s_Irr!BR4)),IF(AND(s_Irr!T4=".",s_Irr!AS4=".",s_Irr!BR4&lt;&gt;"."),s_dir!AU4/((1/1000)*(s_Irr!BR4)),IF(AND(s_Irr!T4=".",s_Irr!AS4&lt;&gt;".",s_Irr!BR4="."),s_dir!AU4/((1/1000)*(s_Irr!AS4)),IF(AND(s_Irr!T4&lt;&gt;".",s_Irr!AS4=".",s_Irr!BR4="."),s_dir!AU4/((1/1000)*(s_Irr!T4)),IF(AND(s_Irr!T4=".",s_Irr!AS4=".",s_Irr!BR4="."),s_dir!AU4*1000)))))))),".")</f>
        <v>.</v>
      </c>
      <c r="BV4" s="76" t="str">
        <f>IFERROR(IF(AND(s_Irr!U4&lt;&gt;".",s_Irr!AT4&lt;&gt;".",s_Irr!BS4&lt;&gt;"."),s_dir!AV4/((1/1000)*(s_Irr!U4+s_Irr!AT4+s_Irr!BS4)),IF(AND(s_Irr!U4&lt;&gt;".",s_Irr!AT4&lt;&gt;".",s_Irr!BS4="."),s_dir!AV4/((1/1000)*(s_Irr!U4+s_Irr!AT4)),IF(AND(s_Irr!U4&lt;&gt;".",s_Irr!AT4=".",s_Irr!BS4&lt;&gt;"."),s_dir!AV4/((1/1000)*(s_Irr!U4+s_Irr!BS4)),IF(AND(s_Irr!U4=".",s_Irr!AT4&lt;&gt;".",s_Irr!BS4&lt;&gt;"."),s_dir!AV4/((1/1000)*(s_Irr!AT4+s_Irr!BS4)),IF(AND(s_Irr!U4=".",s_Irr!AT4=".",s_Irr!BS4&lt;&gt;"."),s_dir!AV4/((1/1000)*(s_Irr!BS4)),IF(AND(s_Irr!U4=".",s_Irr!AT4&lt;&gt;".",s_Irr!BS4="."),s_dir!AV4/((1/1000)*(s_Irr!AT4)),IF(AND(s_Irr!U4&lt;&gt;".",s_Irr!AT4=".",s_Irr!BS4="."),s_dir!AV4/((1/1000)*(s_Irr!U4)),IF(AND(s_Irr!U4=".",s_Irr!AT4=".",s_Irr!BS4="."),s_dir!AV4*1000)))))))),".")</f>
        <v>.</v>
      </c>
      <c r="BW4" s="76" t="str">
        <f>IFERROR(IF(AND(s_Irr!V4&lt;&gt;".",s_Irr!AU4&lt;&gt;".",s_Irr!BT4&lt;&gt;"."),s_dir!AW4/((1/1000)*(s_Irr!V4+s_Irr!AU4+s_Irr!BT4)),IF(AND(s_Irr!V4&lt;&gt;".",s_Irr!AU4&lt;&gt;".",s_Irr!BT4="."),s_dir!AW4/((1/1000)*(s_Irr!V4+s_Irr!AU4)),IF(AND(s_Irr!V4&lt;&gt;".",s_Irr!AU4=".",s_Irr!BT4&lt;&gt;"."),s_dir!AW4/((1/1000)*(s_Irr!V4+s_Irr!BT4)),IF(AND(s_Irr!V4=".",s_Irr!AU4&lt;&gt;".",s_Irr!BT4&lt;&gt;"."),s_dir!AW4/((1/1000)*(s_Irr!AU4+s_Irr!BT4)),IF(AND(s_Irr!V4=".",s_Irr!AU4=".",s_Irr!BT4&lt;&gt;"."),s_dir!AW4/((1/1000)*(s_Irr!BT4)),IF(AND(s_Irr!V4=".",s_Irr!AU4&lt;&gt;".",s_Irr!BT4="."),s_dir!AW4/((1/1000)*(s_Irr!AU4)),IF(AND(s_Irr!V4&lt;&gt;".",s_Irr!AU4=".",s_Irr!BT4="."),s_dir!AW4/((1/1000)*(s_Irr!V4)),IF(AND(s_Irr!V4=".",s_Irr!AU4=".",s_Irr!BT4="."),s_dir!AW4*1000)))))))),".")</f>
        <v>.</v>
      </c>
      <c r="BX4" s="76" t="str">
        <f>IFERROR(IF(AND(s_Irr!W4&lt;&gt;".",s_Irr!AV4&lt;&gt;".",s_Irr!BU4&lt;&gt;"."),s_dir!AX4/((1/1000)*(s_Irr!W4+s_Irr!AV4+s_Irr!BU4)),IF(AND(s_Irr!W4&lt;&gt;".",s_Irr!AV4&lt;&gt;".",s_Irr!BU4="."),s_dir!AX4/((1/1000)*(s_Irr!W4+s_Irr!AV4)),IF(AND(s_Irr!W4&lt;&gt;".",s_Irr!AV4=".",s_Irr!BU4&lt;&gt;"."),s_dir!AX4/((1/1000)*(s_Irr!W4+s_Irr!BU4)),IF(AND(s_Irr!W4=".",s_Irr!AV4&lt;&gt;".",s_Irr!BU4&lt;&gt;"."),s_dir!AX4/((1/1000)*(s_Irr!AV4+s_Irr!BU4)),IF(AND(s_Irr!W4=".",s_Irr!AV4=".",s_Irr!BU4&lt;&gt;"."),s_dir!AX4/((1/1000)*(s_Irr!BU4)),IF(AND(s_Irr!W4=".",s_Irr!AV4&lt;&gt;".",s_Irr!BU4="."),s_dir!AX4/((1/1000)*(s_Irr!AV4)),IF(AND(s_Irr!W4&lt;&gt;".",s_Irr!AV4=".",s_Irr!BU4="."),s_dir!AX4/((1/1000)*(s_Irr!W4)),IF(AND(s_Irr!W4=".",s_Irr!AV4=".",s_Irr!BU4="."),s_dir!AX4*1000)))))))),".")</f>
        <v>.</v>
      </c>
      <c r="BY4" s="76" t="str">
        <f>IFERROR(IF(AND(s_Irr!X4&lt;&gt;".",s_Irr!AW4&lt;&gt;".",s_Irr!BV4&lt;&gt;"."),s_dir!AY4/((1/1000)*(s_Irr!X4+s_Irr!AW4+s_Irr!BV4)),IF(AND(s_Irr!X4&lt;&gt;".",s_Irr!AW4&lt;&gt;".",s_Irr!BV4="."),s_dir!AY4/((1/1000)*(s_Irr!X4+s_Irr!AW4)),IF(AND(s_Irr!X4&lt;&gt;".",s_Irr!AW4=".",s_Irr!BV4&lt;&gt;"."),s_dir!AY4/((1/1000)*(s_Irr!X4+s_Irr!BV4)),IF(AND(s_Irr!X4=".",s_Irr!AW4&lt;&gt;".",s_Irr!BV4&lt;&gt;"."),s_dir!AY4/((1/1000)*(s_Irr!AW4+s_Irr!BV4)),IF(AND(s_Irr!X4=".",s_Irr!AW4=".",s_Irr!BV4&lt;&gt;"."),s_dir!AY4/((1/1000)*(s_Irr!BV4)),IF(AND(s_Irr!X4=".",s_Irr!AW4&lt;&gt;".",s_Irr!BV4="."),s_dir!AY4/((1/1000)*(s_Irr!AW4)),IF(AND(s_Irr!X4&lt;&gt;".",s_Irr!AW4=".",s_Irr!BV4="."),s_dir!AY4/((1/1000)*(s_Irr!X4)),IF(AND(s_Irr!X4=".",s_Irr!AW4=".",s_Irr!BV4="."),s_dir!AY4*1000)))))))),".")</f>
        <v>.</v>
      </c>
      <c r="BZ4" s="76" t="str">
        <f>IFERROR(IF(AND(s_Irr!Y4&lt;&gt;".",s_Irr!AX4&lt;&gt;".",s_Irr!BW4&lt;&gt;"."),s_dir!AZ4/((1/1000)*(s_Irr!Y4+s_Irr!AX4+s_Irr!BW4)),IF(AND(s_Irr!Y4&lt;&gt;".",s_Irr!AX4&lt;&gt;".",s_Irr!BW4="."),s_dir!AZ4/((1/1000)*(s_Irr!Y4+s_Irr!AX4)),IF(AND(s_Irr!Y4&lt;&gt;".",s_Irr!AX4=".",s_Irr!BW4&lt;&gt;"."),s_dir!AZ4/((1/1000)*(s_Irr!Y4+s_Irr!BW4)),IF(AND(s_Irr!Y4=".",s_Irr!AX4&lt;&gt;".",s_Irr!BW4&lt;&gt;"."),s_dir!AZ4/((1/1000)*(s_Irr!AX4+s_Irr!BW4)),IF(AND(s_Irr!Y4=".",s_Irr!AX4=".",s_Irr!BW4&lt;&gt;"."),s_dir!AZ4/((1/1000)*(s_Irr!BW4)),IF(AND(s_Irr!Y4=".",s_Irr!AX4&lt;&gt;".",s_Irr!BW4="."),s_dir!AZ4/((1/1000)*(s_Irr!AX4)),IF(AND(s_Irr!Y4&lt;&gt;".",s_Irr!AX4=".",s_Irr!BW4="."),s_dir!AZ4/((1/1000)*(s_Irr!Y4)),IF(AND(s_Irr!Y4=".",s_Irr!AX4=".",s_Irr!BW4="."),s_dir!AZ4*1000)))))))),".")</f>
        <v>.</v>
      </c>
      <c r="CA4" s="76" t="str">
        <f>IFERROR(IF(AND(s_Irr!Z4&lt;&gt;".",s_Irr!AY4&lt;&gt;".",s_Irr!BX4&lt;&gt;"."),s_dir!BA4/((1/1000)*(s_Irr!Z4+s_Irr!AY4+s_Irr!BX4)),IF(AND(s_Irr!Z4&lt;&gt;".",s_Irr!AY4&lt;&gt;".",s_Irr!BX4="."),s_dir!BA4/((1/1000)*(s_Irr!Z4+s_Irr!AY4)),IF(AND(s_Irr!Z4&lt;&gt;".",s_Irr!AY4=".",s_Irr!BX4&lt;&gt;"."),s_dir!BA4/((1/1000)*(s_Irr!Z4+s_Irr!BX4)),IF(AND(s_Irr!Z4=".",s_Irr!AY4&lt;&gt;".",s_Irr!BX4&lt;&gt;"."),s_dir!BA4/((1/1000)*(s_Irr!AY4+s_Irr!BX4)),IF(AND(s_Irr!Z4=".",s_Irr!AY4=".",s_Irr!BX4&lt;&gt;"."),s_dir!BA4/((1/1000)*(s_Irr!BX4)),IF(AND(s_Irr!Z4=".",s_Irr!AY4&lt;&gt;".",s_Irr!BX4="."),s_dir!BA4/((1/1000)*(s_Irr!AY4)),IF(AND(s_Irr!Z4&lt;&gt;".",s_Irr!AY4=".",s_Irr!BX4="."),s_dir!BA4/((1/1000)*(s_Irr!Z4)),IF(AND(s_Irr!Z4=".",s_Irr!AY4=".",s_Irr!BX4="."),s_dir!BA4*1000)))))))),".")</f>
        <v>.</v>
      </c>
      <c r="CB4" s="76" t="str">
        <f>IFERROR(IF(AND(s_Irr!AA4&lt;&gt;".",s_Irr!AZ4&lt;&gt;".",s_Irr!BY4&lt;&gt;"."),s_dir!BB4/((1/1000)*(s_Irr!AA4+s_Irr!AZ4+s_Irr!BY4)),IF(AND(s_Irr!AA4&lt;&gt;".",s_Irr!AZ4&lt;&gt;".",s_Irr!BY4="."),s_dir!BB4/((1/1000)*(s_Irr!AA4+s_Irr!AZ4)),IF(AND(s_Irr!AA4&lt;&gt;".",s_Irr!AZ4=".",s_Irr!BY4&lt;&gt;"."),s_dir!BB4/((1/1000)*(s_Irr!AA4+s_Irr!BY4)),IF(AND(s_Irr!AA4=".",s_Irr!AZ4&lt;&gt;".",s_Irr!BY4&lt;&gt;"."),s_dir!BB4/((1/1000)*(s_Irr!AZ4+s_Irr!BY4)),IF(AND(s_Irr!AA4=".",s_Irr!AZ4=".",s_Irr!BY4&lt;&gt;"."),s_dir!BB4/((1/1000)*(s_Irr!BY4)),IF(AND(s_Irr!AA4=".",s_Irr!AZ4&lt;&gt;".",s_Irr!BY4="."),s_dir!BB4/((1/1000)*(s_Irr!AZ4)),IF(AND(s_Irr!AA4&lt;&gt;".",s_Irr!AZ4=".",s_Irr!BY4="."),s_dir!BB4/((1/1000)*(s_Irr!AA4)),IF(AND(s_Irr!AA4=".",s_Irr!AZ4=".",s_Irr!BY4="."),s_dir!BB4*1000)))))))),".")</f>
        <v>.</v>
      </c>
      <c r="CC4" s="93">
        <f t="shared" si="2"/>
        <v>31119.356502223021</v>
      </c>
      <c r="CD4" s="93">
        <f>IFERROR(s_C*s_IFAP_far_adj*s_CF_apple*(1/1000)*(s_Irr!C4+s_Irr!AB4+s_Irr!BA4),".")</f>
        <v>7779.8391255557553</v>
      </c>
      <c r="CE4" s="93">
        <f>IFERROR(s_C*s_IFAS_far_adj*s_CF_asparagus*(1/1000)*(s_Irr!D4+s_Irr!AC4+s_Irr!BB4),".")</f>
        <v>7779.8391255557553</v>
      </c>
      <c r="CF4" s="93">
        <f>IFERROR(s_C*s_IFBT_far_adj*s_CF_beet*(1/1000)*(s_Irr!E4+s_Irr!AD4+s_Irr!BC4),".")</f>
        <v>7779.8391255557553</v>
      </c>
      <c r="CG4" s="93">
        <f>IFERROR(s_C*s_IFBE_far_adj*s_CF_berries*(1/1000)*(s_Irr!F4+s_Irr!AE4+s_Irr!BD4),".")</f>
        <v>7779.8391255557553</v>
      </c>
      <c r="CH4" s="93">
        <f>IFERROR(s_C*s_IFBR_far_adj*s_CF_broccoli*(1/1000)*(s_Irr!G4+s_Irr!AF4+s_Irr!BE4),".")</f>
        <v>7779.8391255557553</v>
      </c>
      <c r="CI4" s="93">
        <f>IFERROR(s_C*s_IFCB_far_adj*s_CF_cabbage*(1/1000)*(s_Irr!H4+s_Irr!AG4+s_Irr!BF4),".")</f>
        <v>7779.8391255557553</v>
      </c>
      <c r="CJ4" s="93">
        <f>IFERROR(s_C*s_IFCR_far_adj*s_CF_carrot*(1/1000)*(s_Irr!I4+s_Irr!AH4+s_Irr!BG4),".")</f>
        <v>7779.8391255557553</v>
      </c>
      <c r="CK4" s="93">
        <f>IFERROR(s_C*s_IFCI_far_adj*s_CF_citrus*(1/1000)*(s_Irr!J4+s_Irr!AI4+s_Irr!BH4),".")</f>
        <v>7779.8391255557553</v>
      </c>
      <c r="CL4" s="93">
        <f>IFERROR(s_C*s_IFCO_far_adj*s_CF_corn*(1/1000)*(s_Irr!K4+s_Irr!AJ4+s_Irr!BI4),".")</f>
        <v>7779.8391255557553</v>
      </c>
      <c r="CM4" s="93">
        <f>IFERROR(s_C*s_IFCU_far_adj*s_CF_cucumber*(1/1000)*(s_Irr!L4+s_Irr!AK4+s_Irr!BJ4),".")</f>
        <v>7779.8391255557553</v>
      </c>
      <c r="CN4" s="93">
        <f>IFERROR(s_C*s_IFLE_far_adj*s_CF_lettuce*(1/1000)*(s_Irr!M4+s_Irr!AL4+s_Irr!BK4),".")</f>
        <v>7779.8391255557553</v>
      </c>
      <c r="CO4" s="93">
        <f>IFERROR(s_C*s_IFLI_far_adj*s_CF_lima_bean*(1/1000)*(s_Irr!N4+s_Irr!AM4+s_Irr!BL4),".")</f>
        <v>7779.8391255557553</v>
      </c>
      <c r="CP4" s="93">
        <f>IFERROR(s_C*s_IFOK_far_adj*s_CF_okra*(1/1000)*(s_Irr!O4+s_Irr!AN4+s_Irr!BM4),".")</f>
        <v>7779.8391255557553</v>
      </c>
      <c r="CQ4" s="93">
        <f>IFERROR(s_C*s_IFON_far_adj*s_CF_onion*(1/1000)*(s_Irr!P4+s_Irr!AO4+s_Irr!BN4),".")</f>
        <v>7779.8391255557553</v>
      </c>
      <c r="CR4" s="93">
        <f>IFERROR(s_C*s_IFPC_far_adj*s_CF_peach*(1/1000)*(s_Irr!Q4+s_Irr!AP4+s_Irr!BO4),".")</f>
        <v>7779.8391255557553</v>
      </c>
      <c r="CS4" s="93">
        <f>IFERROR(s_C*s_IFPR_far_adj*s_CF_pear*(1/1000)*(s_Irr!R4+s_Irr!AQ4+s_Irr!BP4),".")</f>
        <v>7779.8391255557553</v>
      </c>
      <c r="CT4" s="93">
        <f>IFERROR(s_C*s_IFPE_far_adj*s_CF_peas*(1/1000)*(s_Irr!S4+s_Irr!AR4+s_Irr!BQ4),".")</f>
        <v>7779.8391255557553</v>
      </c>
      <c r="CU4" s="93">
        <f>IFERROR(s_C*s_IFPP_far_adj*s_CF_peppers*(1/1000)*(s_Irr!T4+s_Irr!AS4+s_Irr!BR4),".")</f>
        <v>7779.8391255557553</v>
      </c>
      <c r="CV4" s="93">
        <f>IFERROR(s_C*s_IFPT_far_adj*s_CF_potato*(1/1000)*(s_Irr!U4+s_Irr!AT4+s_Irr!BS4),".")</f>
        <v>7779.8391255557553</v>
      </c>
      <c r="CW4" s="93">
        <f>IFERROR(s_C*s_IFPU_far_adj*s_CF_pumpkin*(1/1000)*(s_Irr!V4+s_Irr!AU4+s_Irr!BT4),".")</f>
        <v>7779.8391255557553</v>
      </c>
      <c r="CX4" s="93">
        <f>IFERROR(s_C*s_IFSN_far_adj*s_CF_snap_bean*(1/1000)*(s_Irr!W4+s_Irr!AV4+s_Irr!BU4),".")</f>
        <v>7779.8391255557553</v>
      </c>
      <c r="CY4" s="93">
        <f>IFERROR(s_C*s_IFST_far_adj*s_CF_strawberry*(1/1000)*(s_Irr!X4+s_Irr!AW4+s_Irr!BV4),".")</f>
        <v>7779.8391255557553</v>
      </c>
      <c r="CZ4" s="93">
        <f>IFERROR(s_C*s_IFTO_far_adj*s_CF_tomato*(1/1000)*(s_Irr!Y4+s_Irr!AX4+s_Irr!BW4),".")</f>
        <v>7779.8391255557553</v>
      </c>
      <c r="DA4" s="93">
        <f>IFERROR(s_C*s_IFRI_far_adj*s_CF_rice*(1/1000)*(s_Irr!Z4+s_Irr!AY4+s_Irr!BX4),".")</f>
        <v>7779.8391255557553</v>
      </c>
      <c r="DB4" s="93">
        <f>IFERROR(s_C*s_IFCG_far_adj*s_CF_cereal*(1/1000)*(s_Irr!AA4+s_Irr!AZ4+s_Irr!BY4),".")</f>
        <v>7779.8391255557553</v>
      </c>
    </row>
    <row r="5" spans="1:106" ht="15" customHeight="1" x14ac:dyDescent="0.25">
      <c r="A5" s="92" t="s">
        <v>15</v>
      </c>
      <c r="B5" s="90" t="s">
        <v>1071</v>
      </c>
      <c r="C5" s="15" t="str">
        <f t="shared" si="3"/>
        <v>.</v>
      </c>
      <c r="D5" s="76" t="str">
        <f>IFERROR(IF(AND(s_Irr!C5&lt;&gt;".",s_Irr!AB5&lt;&gt;".",s_Irr!BA5&lt;&gt;"."),s_dir!D5/((1/1000)*(s_Irr!C5+s_Irr!AB5+s_Irr!BA5)),IF(AND(s_Irr!C5&lt;&gt;".",s_Irr!AB5&lt;&gt;".",s_Irr!BA5="."),s_dir!D5/((1/1000)*(s_Irr!C5+s_Irr!AB5)),IF(AND(s_Irr!C5&lt;&gt;".",s_Irr!AB5=".",s_Irr!BA5&lt;&gt;"."),s_dir!D5/((1/1000)*(s_Irr!C5+s_Irr!BA5)),IF(AND(s_Irr!C5=".",s_Irr!AB5&lt;&gt;".",s_Irr!BA5&lt;&gt;"."),s_dir!D5/((1/1000)*(s_Irr!AB5+s_Irr!BA5)),IF(AND(s_Irr!C5=".",s_Irr!AB5=".",s_Irr!BA5&lt;&gt;"."),s_dir!D5/((1/1000)*(s_Irr!BA5)),IF(AND(s_Irr!C5=".",s_Irr!AB5&lt;&gt;".",s_Irr!BA5="."),s_dir!D5/((1/1000)*(s_Irr!AB5)),IF(AND(s_Irr!C5&lt;&gt;".",s_Irr!AB5=".",s_Irr!BA5="."),s_dir!D5/((1/1000)*(s_Irr!C5)),IF(AND(s_Irr!C5=".",s_Irr!AB5=".",s_Irr!BA5="."),s_dir!D5*1000)))))))),".")</f>
        <v>.</v>
      </c>
      <c r="E5" s="76" t="str">
        <f>IFERROR(IF(AND(s_Irr!D5&lt;&gt;".",s_Irr!AC5&lt;&gt;".",s_Irr!BB5&lt;&gt;"."),s_dir!E5/((1/1000)*(s_Irr!D5+s_Irr!AC5+s_Irr!BB5)),IF(AND(s_Irr!D5&lt;&gt;".",s_Irr!AC5&lt;&gt;".",s_Irr!BB5="."),s_dir!E5/((1/1000)*(s_Irr!D5+s_Irr!AC5)),IF(AND(s_Irr!D5&lt;&gt;".",s_Irr!AC5=".",s_Irr!BB5&lt;&gt;"."),s_dir!E5/((1/1000)*(s_Irr!D5+s_Irr!BB5)),IF(AND(s_Irr!D5=".",s_Irr!AC5&lt;&gt;".",s_Irr!BB5&lt;&gt;"."),s_dir!E5/((1/1000)*(s_Irr!AC5+s_Irr!BB5)),IF(AND(s_Irr!D5=".",s_Irr!AC5=".",s_Irr!BB5&lt;&gt;"."),s_dir!E5/((1/1000)*(s_Irr!BB5)),IF(AND(s_Irr!D5=".",s_Irr!AC5&lt;&gt;".",s_Irr!BB5="."),s_dir!E5/((1/1000)*(s_Irr!AC5)),IF(AND(s_Irr!D5&lt;&gt;".",s_Irr!AC5=".",s_Irr!BB5="."),s_dir!E5/((1/1000)*(s_Irr!D5)),IF(AND(s_Irr!D5=".",s_Irr!AC5=".",s_Irr!BB5="."),s_dir!E5*1000)))))))),".")</f>
        <v>.</v>
      </c>
      <c r="F5" s="76" t="str">
        <f>IFERROR(IF(AND(s_Irr!E5&lt;&gt;".",s_Irr!AD5&lt;&gt;".",s_Irr!BC5&lt;&gt;"."),s_dir!F5/((1/1000)*(s_Irr!E5+s_Irr!AD5+s_Irr!BC5)),IF(AND(s_Irr!E5&lt;&gt;".",s_Irr!AD5&lt;&gt;".",s_Irr!BC5="."),s_dir!F5/((1/1000)*(s_Irr!E5+s_Irr!AD5)),IF(AND(s_Irr!E5&lt;&gt;".",s_Irr!AD5=".",s_Irr!BC5&lt;&gt;"."),s_dir!F5/((1/1000)*(s_Irr!E5+s_Irr!BC5)),IF(AND(s_Irr!E5=".",s_Irr!AD5&lt;&gt;".",s_Irr!BC5&lt;&gt;"."),s_dir!F5/((1/1000)*(s_Irr!AD5+s_Irr!BC5)),IF(AND(s_Irr!E5=".",s_Irr!AD5=".",s_Irr!BC5&lt;&gt;"."),s_dir!F5/((1/1000)*(s_Irr!BC5)),IF(AND(s_Irr!E5=".",s_Irr!AD5&lt;&gt;".",s_Irr!BC5="."),s_dir!F5/((1/1000)*(s_Irr!AD5)),IF(AND(s_Irr!E5&lt;&gt;".",s_Irr!AD5=".",s_Irr!BC5="."),s_dir!F5/((1/1000)*(s_Irr!E5)),IF(AND(s_Irr!E5=".",s_Irr!AD5=".",s_Irr!BC5="."),s_dir!F5*1000)))))))),".")</f>
        <v>.</v>
      </c>
      <c r="G5" s="76" t="str">
        <f>IFERROR(IF(AND(s_Irr!F5&lt;&gt;".",s_Irr!AE5&lt;&gt;".",s_Irr!BD5&lt;&gt;"."),s_dir!G5/((1/1000)*(s_Irr!F5+s_Irr!AE5+s_Irr!BD5)),IF(AND(s_Irr!F5&lt;&gt;".",s_Irr!AE5&lt;&gt;".",s_Irr!BD5="."),s_dir!G5/((1/1000)*(s_Irr!F5+s_Irr!AE5)),IF(AND(s_Irr!F5&lt;&gt;".",s_Irr!AE5=".",s_Irr!BD5&lt;&gt;"."),s_dir!G5/((1/1000)*(s_Irr!F5+s_Irr!BD5)),IF(AND(s_Irr!F5=".",s_Irr!AE5&lt;&gt;".",s_Irr!BD5&lt;&gt;"."),s_dir!G5/((1/1000)*(s_Irr!AE5+s_Irr!BD5)),IF(AND(s_Irr!F5=".",s_Irr!AE5=".",s_Irr!BD5&lt;&gt;"."),s_dir!G5/((1/1000)*(s_Irr!BD5)),IF(AND(s_Irr!F5=".",s_Irr!AE5&lt;&gt;".",s_Irr!BD5="."),s_dir!G5/((1/1000)*(s_Irr!AE5)),IF(AND(s_Irr!F5&lt;&gt;".",s_Irr!AE5=".",s_Irr!BD5="."),s_dir!G5/((1/1000)*(s_Irr!F5)),IF(AND(s_Irr!F5=".",s_Irr!AE5=".",s_Irr!BD5="."),s_dir!G5*1000)))))))),".")</f>
        <v>.</v>
      </c>
      <c r="H5" s="76" t="str">
        <f>IFERROR(IF(AND(s_Irr!G5&lt;&gt;".",s_Irr!AF5&lt;&gt;".",s_Irr!BE5&lt;&gt;"."),s_dir!H5/((1/1000)*(s_Irr!G5+s_Irr!AF5+s_Irr!BE5)),IF(AND(s_Irr!G5&lt;&gt;".",s_Irr!AF5&lt;&gt;".",s_Irr!BE5="."),s_dir!H5/((1/1000)*(s_Irr!G5+s_Irr!AF5)),IF(AND(s_Irr!G5&lt;&gt;".",s_Irr!AF5=".",s_Irr!BE5&lt;&gt;"."),s_dir!H5/((1/1000)*(s_Irr!G5+s_Irr!BE5)),IF(AND(s_Irr!G5=".",s_Irr!AF5&lt;&gt;".",s_Irr!BE5&lt;&gt;"."),s_dir!H5/((1/1000)*(s_Irr!AF5+s_Irr!BE5)),IF(AND(s_Irr!G5=".",s_Irr!AF5=".",s_Irr!BE5&lt;&gt;"."),s_dir!H5/((1/1000)*(s_Irr!BE5)),IF(AND(s_Irr!G5=".",s_Irr!AF5&lt;&gt;".",s_Irr!BE5="."),s_dir!H5/((1/1000)*(s_Irr!AF5)),IF(AND(s_Irr!G5&lt;&gt;".",s_Irr!AF5=".",s_Irr!BE5="."),s_dir!H5/((1/1000)*(s_Irr!G5)),IF(AND(s_Irr!G5=".",s_Irr!AF5=".",s_Irr!BE5="."),s_dir!H5*1000)))))))),".")</f>
        <v>.</v>
      </c>
      <c r="I5" s="76" t="str">
        <f>IFERROR(IF(AND(s_Irr!H5&lt;&gt;".",s_Irr!AG5&lt;&gt;".",s_Irr!BF5&lt;&gt;"."),s_dir!I5/((1/1000)*(s_Irr!H5+s_Irr!AG5+s_Irr!BF5)),IF(AND(s_Irr!H5&lt;&gt;".",s_Irr!AG5&lt;&gt;".",s_Irr!BF5="."),s_dir!I5/((1/1000)*(s_Irr!H5+s_Irr!AG5)),IF(AND(s_Irr!H5&lt;&gt;".",s_Irr!AG5=".",s_Irr!BF5&lt;&gt;"."),s_dir!I5/((1/1000)*(s_Irr!H5+s_Irr!BF5)),IF(AND(s_Irr!H5=".",s_Irr!AG5&lt;&gt;".",s_Irr!BF5&lt;&gt;"."),s_dir!I5/((1/1000)*(s_Irr!AG5+s_Irr!BF5)),IF(AND(s_Irr!H5=".",s_Irr!AG5=".",s_Irr!BF5&lt;&gt;"."),s_dir!I5/((1/1000)*(s_Irr!BF5)),IF(AND(s_Irr!H5=".",s_Irr!AG5&lt;&gt;".",s_Irr!BF5="."),s_dir!I5/((1/1000)*(s_Irr!AG5)),IF(AND(s_Irr!H5&lt;&gt;".",s_Irr!AG5=".",s_Irr!BF5="."),s_dir!I5/((1/1000)*(s_Irr!H5)),IF(AND(s_Irr!H5=".",s_Irr!AG5=".",s_Irr!BF5="."),s_dir!I5*1000)))))))),".")</f>
        <v>.</v>
      </c>
      <c r="J5" s="76" t="str">
        <f>IFERROR(IF(AND(s_Irr!I5&lt;&gt;".",s_Irr!AH5&lt;&gt;".",s_Irr!BG5&lt;&gt;"."),s_dir!J5/((1/1000)*(s_Irr!I5+s_Irr!AH5+s_Irr!BG5)),IF(AND(s_Irr!I5&lt;&gt;".",s_Irr!AH5&lt;&gt;".",s_Irr!BG5="."),s_dir!J5/((1/1000)*(s_Irr!I5+s_Irr!AH5)),IF(AND(s_Irr!I5&lt;&gt;".",s_Irr!AH5=".",s_Irr!BG5&lt;&gt;"."),s_dir!J5/((1/1000)*(s_Irr!I5+s_Irr!BG5)),IF(AND(s_Irr!I5=".",s_Irr!AH5&lt;&gt;".",s_Irr!BG5&lt;&gt;"."),s_dir!J5/((1/1000)*(s_Irr!AH5+s_Irr!BG5)),IF(AND(s_Irr!I5=".",s_Irr!AH5=".",s_Irr!BG5&lt;&gt;"."),s_dir!J5/((1/1000)*(s_Irr!BG5)),IF(AND(s_Irr!I5=".",s_Irr!AH5&lt;&gt;".",s_Irr!BG5="."),s_dir!J5/((1/1000)*(s_Irr!AH5)),IF(AND(s_Irr!I5&lt;&gt;".",s_Irr!AH5=".",s_Irr!BG5="."),s_dir!J5/((1/1000)*(s_Irr!I5)),IF(AND(s_Irr!I5=".",s_Irr!AH5=".",s_Irr!BG5="."),s_dir!J5*1000)))))))),".")</f>
        <v>.</v>
      </c>
      <c r="K5" s="76" t="str">
        <f>IFERROR(IF(AND(s_Irr!J5&lt;&gt;".",s_Irr!AI5&lt;&gt;".",s_Irr!BH5&lt;&gt;"."),s_dir!K5/((1/1000)*(s_Irr!J5+s_Irr!AI5+s_Irr!BH5)),IF(AND(s_Irr!J5&lt;&gt;".",s_Irr!AI5&lt;&gt;".",s_Irr!BH5="."),s_dir!K5/((1/1000)*(s_Irr!J5+s_Irr!AI5)),IF(AND(s_Irr!J5&lt;&gt;".",s_Irr!AI5=".",s_Irr!BH5&lt;&gt;"."),s_dir!K5/((1/1000)*(s_Irr!J5+s_Irr!BH5)),IF(AND(s_Irr!J5=".",s_Irr!AI5&lt;&gt;".",s_Irr!BH5&lt;&gt;"."),s_dir!K5/((1/1000)*(s_Irr!AI5+s_Irr!BH5)),IF(AND(s_Irr!J5=".",s_Irr!AI5=".",s_Irr!BH5&lt;&gt;"."),s_dir!K5/((1/1000)*(s_Irr!BH5)),IF(AND(s_Irr!J5=".",s_Irr!AI5&lt;&gt;".",s_Irr!BH5="."),s_dir!K5/((1/1000)*(s_Irr!AI5)),IF(AND(s_Irr!J5&lt;&gt;".",s_Irr!AI5=".",s_Irr!BH5="."),s_dir!K5/((1/1000)*(s_Irr!J5)),IF(AND(s_Irr!J5=".",s_Irr!AI5=".",s_Irr!BH5="."),s_dir!K5*1000)))))))),".")</f>
        <v>.</v>
      </c>
      <c r="L5" s="76" t="str">
        <f>IFERROR(IF(AND(s_Irr!K5&lt;&gt;".",s_Irr!AJ5&lt;&gt;".",s_Irr!BI5&lt;&gt;"."),s_dir!L5/((1/1000)*(s_Irr!K5+s_Irr!AJ5+s_Irr!BI5)),IF(AND(s_Irr!K5&lt;&gt;".",s_Irr!AJ5&lt;&gt;".",s_Irr!BI5="."),s_dir!L5/((1/1000)*(s_Irr!K5+s_Irr!AJ5)),IF(AND(s_Irr!K5&lt;&gt;".",s_Irr!AJ5=".",s_Irr!BI5&lt;&gt;"."),s_dir!L5/((1/1000)*(s_Irr!K5+s_Irr!BI5)),IF(AND(s_Irr!K5=".",s_Irr!AJ5&lt;&gt;".",s_Irr!BI5&lt;&gt;"."),s_dir!L5/((1/1000)*(s_Irr!AJ5+s_Irr!BI5)),IF(AND(s_Irr!K5=".",s_Irr!AJ5=".",s_Irr!BI5&lt;&gt;"."),s_dir!L5/((1/1000)*(s_Irr!BI5)),IF(AND(s_Irr!K5=".",s_Irr!AJ5&lt;&gt;".",s_Irr!BI5="."),s_dir!L5/((1/1000)*(s_Irr!AJ5)),IF(AND(s_Irr!K5&lt;&gt;".",s_Irr!AJ5=".",s_Irr!BI5="."),s_dir!L5/((1/1000)*(s_Irr!K5)),IF(AND(s_Irr!K5=".",s_Irr!AJ5=".",s_Irr!BI5="."),s_dir!L5*1000)))))))),".")</f>
        <v>.</v>
      </c>
      <c r="M5" s="76" t="str">
        <f>IFERROR(IF(AND(s_Irr!L5&lt;&gt;".",s_Irr!AK5&lt;&gt;".",s_Irr!BJ5&lt;&gt;"."),s_dir!M5/((1/1000)*(s_Irr!L5+s_Irr!AK5+s_Irr!BJ5)),IF(AND(s_Irr!L5&lt;&gt;".",s_Irr!AK5&lt;&gt;".",s_Irr!BJ5="."),s_dir!M5/((1/1000)*(s_Irr!L5+s_Irr!AK5)),IF(AND(s_Irr!L5&lt;&gt;".",s_Irr!AK5=".",s_Irr!BJ5&lt;&gt;"."),s_dir!M5/((1/1000)*(s_Irr!L5+s_Irr!BJ5)),IF(AND(s_Irr!L5=".",s_Irr!AK5&lt;&gt;".",s_Irr!BJ5&lt;&gt;"."),s_dir!M5/((1/1000)*(s_Irr!AK5+s_Irr!BJ5)),IF(AND(s_Irr!L5=".",s_Irr!AK5=".",s_Irr!BJ5&lt;&gt;"."),s_dir!M5/((1/1000)*(s_Irr!BJ5)),IF(AND(s_Irr!L5=".",s_Irr!AK5&lt;&gt;".",s_Irr!BJ5="."),s_dir!M5/((1/1000)*(s_Irr!AK5)),IF(AND(s_Irr!L5&lt;&gt;".",s_Irr!AK5=".",s_Irr!BJ5="."),s_dir!M5/((1/1000)*(s_Irr!L5)),IF(AND(s_Irr!L5=".",s_Irr!AK5=".",s_Irr!BJ5="."),s_dir!M5*1000)))))))),".")</f>
        <v>.</v>
      </c>
      <c r="N5" s="76" t="str">
        <f>IFERROR(IF(AND(s_Irr!M5&lt;&gt;".",s_Irr!AL5&lt;&gt;".",s_Irr!BK5&lt;&gt;"."),s_dir!N5/((1/1000)*(s_Irr!M5+s_Irr!AL5+s_Irr!BK5)),IF(AND(s_Irr!M5&lt;&gt;".",s_Irr!AL5&lt;&gt;".",s_Irr!BK5="."),s_dir!N5/((1/1000)*(s_Irr!M5+s_Irr!AL5)),IF(AND(s_Irr!M5&lt;&gt;".",s_Irr!AL5=".",s_Irr!BK5&lt;&gt;"."),s_dir!N5/((1/1000)*(s_Irr!M5+s_Irr!BK5)),IF(AND(s_Irr!M5=".",s_Irr!AL5&lt;&gt;".",s_Irr!BK5&lt;&gt;"."),s_dir!N5/((1/1000)*(s_Irr!AL5+s_Irr!BK5)),IF(AND(s_Irr!M5=".",s_Irr!AL5=".",s_Irr!BK5&lt;&gt;"."),s_dir!N5/((1/1000)*(s_Irr!BK5)),IF(AND(s_Irr!M5=".",s_Irr!AL5&lt;&gt;".",s_Irr!BK5="."),s_dir!N5/((1/1000)*(s_Irr!AL5)),IF(AND(s_Irr!M5&lt;&gt;".",s_Irr!AL5=".",s_Irr!BK5="."),s_dir!N5/((1/1000)*(s_Irr!M5)),IF(AND(s_Irr!M5=".",s_Irr!AL5=".",s_Irr!BK5="."),s_dir!N5*1000)))))))),".")</f>
        <v>.</v>
      </c>
      <c r="O5" s="76" t="str">
        <f>IFERROR(IF(AND(s_Irr!N5&lt;&gt;".",s_Irr!AM5&lt;&gt;".",s_Irr!BL5&lt;&gt;"."),s_dir!O5/((1/1000)*(s_Irr!N5+s_Irr!AM5+s_Irr!BL5)),IF(AND(s_Irr!N5&lt;&gt;".",s_Irr!AM5&lt;&gt;".",s_Irr!BL5="."),s_dir!O5/((1/1000)*(s_Irr!N5+s_Irr!AM5)),IF(AND(s_Irr!N5&lt;&gt;".",s_Irr!AM5=".",s_Irr!BL5&lt;&gt;"."),s_dir!O5/((1/1000)*(s_Irr!N5+s_Irr!BL5)),IF(AND(s_Irr!N5=".",s_Irr!AM5&lt;&gt;".",s_Irr!BL5&lt;&gt;"."),s_dir!O5/((1/1000)*(s_Irr!AM5+s_Irr!BL5)),IF(AND(s_Irr!N5=".",s_Irr!AM5=".",s_Irr!BL5&lt;&gt;"."),s_dir!O5/((1/1000)*(s_Irr!BL5)),IF(AND(s_Irr!N5=".",s_Irr!AM5&lt;&gt;".",s_Irr!BL5="."),s_dir!O5/((1/1000)*(s_Irr!AM5)),IF(AND(s_Irr!N5&lt;&gt;".",s_Irr!AM5=".",s_Irr!BL5="."),s_dir!O5/((1/1000)*(s_Irr!N5)),IF(AND(s_Irr!N5=".",s_Irr!AM5=".",s_Irr!BL5="."),s_dir!O5*1000)))))))),".")</f>
        <v>.</v>
      </c>
      <c r="P5" s="76" t="str">
        <f>IFERROR(IF(AND(s_Irr!O5&lt;&gt;".",s_Irr!AN5&lt;&gt;".",s_Irr!BM5&lt;&gt;"."),s_dir!P5/((1/1000)*(s_Irr!O5+s_Irr!AN5+s_Irr!BM5)),IF(AND(s_Irr!O5&lt;&gt;".",s_Irr!AN5&lt;&gt;".",s_Irr!BM5="."),s_dir!P5/((1/1000)*(s_Irr!O5+s_Irr!AN5)),IF(AND(s_Irr!O5&lt;&gt;".",s_Irr!AN5=".",s_Irr!BM5&lt;&gt;"."),s_dir!P5/((1/1000)*(s_Irr!O5+s_Irr!BM5)),IF(AND(s_Irr!O5=".",s_Irr!AN5&lt;&gt;".",s_Irr!BM5&lt;&gt;"."),s_dir!P5/((1/1000)*(s_Irr!AN5+s_Irr!BM5)),IF(AND(s_Irr!O5=".",s_Irr!AN5=".",s_Irr!BM5&lt;&gt;"."),s_dir!P5/((1/1000)*(s_Irr!BM5)),IF(AND(s_Irr!O5=".",s_Irr!AN5&lt;&gt;".",s_Irr!BM5="."),s_dir!P5/((1/1000)*(s_Irr!AN5)),IF(AND(s_Irr!O5&lt;&gt;".",s_Irr!AN5=".",s_Irr!BM5="."),s_dir!P5/((1/1000)*(s_Irr!O5)),IF(AND(s_Irr!O5=".",s_Irr!AN5=".",s_Irr!BM5="."),s_dir!P5*1000)))))))),".")</f>
        <v>.</v>
      </c>
      <c r="Q5" s="76" t="str">
        <f>IFERROR(IF(AND(s_Irr!P5&lt;&gt;".",s_Irr!AO5&lt;&gt;".",s_Irr!BN5&lt;&gt;"."),s_dir!Q5/((1/1000)*(s_Irr!P5+s_Irr!AO5+s_Irr!BN5)),IF(AND(s_Irr!P5&lt;&gt;".",s_Irr!AO5&lt;&gt;".",s_Irr!BN5="."),s_dir!Q5/((1/1000)*(s_Irr!P5+s_Irr!AO5)),IF(AND(s_Irr!P5&lt;&gt;".",s_Irr!AO5=".",s_Irr!BN5&lt;&gt;"."),s_dir!Q5/((1/1000)*(s_Irr!P5+s_Irr!BN5)),IF(AND(s_Irr!P5=".",s_Irr!AO5&lt;&gt;".",s_Irr!BN5&lt;&gt;"."),s_dir!Q5/((1/1000)*(s_Irr!AO5+s_Irr!BN5)),IF(AND(s_Irr!P5=".",s_Irr!AO5=".",s_Irr!BN5&lt;&gt;"."),s_dir!Q5/((1/1000)*(s_Irr!BN5)),IF(AND(s_Irr!P5=".",s_Irr!AO5&lt;&gt;".",s_Irr!BN5="."),s_dir!Q5/((1/1000)*(s_Irr!AO5)),IF(AND(s_Irr!P5&lt;&gt;".",s_Irr!AO5=".",s_Irr!BN5="."),s_dir!Q5/((1/1000)*(s_Irr!P5)),IF(AND(s_Irr!P5=".",s_Irr!AO5=".",s_Irr!BN5="."),s_dir!Q5*1000)))))))),".")</f>
        <v>.</v>
      </c>
      <c r="R5" s="76" t="str">
        <f>IFERROR(IF(AND(s_Irr!Q5&lt;&gt;".",s_Irr!AP5&lt;&gt;".",s_Irr!BO5&lt;&gt;"."),s_dir!R5/((1/1000)*(s_Irr!Q5+s_Irr!AP5+s_Irr!BO5)),IF(AND(s_Irr!Q5&lt;&gt;".",s_Irr!AP5&lt;&gt;".",s_Irr!BO5="."),s_dir!R5/((1/1000)*(s_Irr!Q5+s_Irr!AP5)),IF(AND(s_Irr!Q5&lt;&gt;".",s_Irr!AP5=".",s_Irr!BO5&lt;&gt;"."),s_dir!R5/((1/1000)*(s_Irr!Q5+s_Irr!BO5)),IF(AND(s_Irr!Q5=".",s_Irr!AP5&lt;&gt;".",s_Irr!BO5&lt;&gt;"."),s_dir!R5/((1/1000)*(s_Irr!AP5+s_Irr!BO5)),IF(AND(s_Irr!Q5=".",s_Irr!AP5=".",s_Irr!BO5&lt;&gt;"."),s_dir!R5/((1/1000)*(s_Irr!BO5)),IF(AND(s_Irr!Q5=".",s_Irr!AP5&lt;&gt;".",s_Irr!BO5="."),s_dir!R5/((1/1000)*(s_Irr!AP5)),IF(AND(s_Irr!Q5&lt;&gt;".",s_Irr!AP5=".",s_Irr!BO5="."),s_dir!R5/((1/1000)*(s_Irr!Q5)),IF(AND(s_Irr!Q5=".",s_Irr!AP5=".",s_Irr!BO5="."),s_dir!R5*1000)))))))),".")</f>
        <v>.</v>
      </c>
      <c r="S5" s="76" t="str">
        <f>IFERROR(IF(AND(s_Irr!R5&lt;&gt;".",s_Irr!AQ5&lt;&gt;".",s_Irr!BP5&lt;&gt;"."),s_dir!S5/((1/1000)*(s_Irr!R5+s_Irr!AQ5+s_Irr!BP5)),IF(AND(s_Irr!R5&lt;&gt;".",s_Irr!AQ5&lt;&gt;".",s_Irr!BP5="."),s_dir!S5/((1/1000)*(s_Irr!R5+s_Irr!AQ5)),IF(AND(s_Irr!R5&lt;&gt;".",s_Irr!AQ5=".",s_Irr!BP5&lt;&gt;"."),s_dir!S5/((1/1000)*(s_Irr!R5+s_Irr!BP5)),IF(AND(s_Irr!R5=".",s_Irr!AQ5&lt;&gt;".",s_Irr!BP5&lt;&gt;"."),s_dir!S5/((1/1000)*(s_Irr!AQ5+s_Irr!BP5)),IF(AND(s_Irr!R5=".",s_Irr!AQ5=".",s_Irr!BP5&lt;&gt;"."),s_dir!S5/((1/1000)*(s_Irr!BP5)),IF(AND(s_Irr!R5=".",s_Irr!AQ5&lt;&gt;".",s_Irr!BP5="."),s_dir!S5/((1/1000)*(s_Irr!AQ5)),IF(AND(s_Irr!R5&lt;&gt;".",s_Irr!AQ5=".",s_Irr!BP5="."),s_dir!S5/((1/1000)*(s_Irr!R5)),IF(AND(s_Irr!R5=".",s_Irr!AQ5=".",s_Irr!BP5="."),s_dir!S5*1000)))))))),".")</f>
        <v>.</v>
      </c>
      <c r="T5" s="76" t="str">
        <f>IFERROR(IF(AND(s_Irr!S5&lt;&gt;".",s_Irr!AR5&lt;&gt;".",s_Irr!BQ5&lt;&gt;"."),s_dir!T5/((1/1000)*(s_Irr!S5+s_Irr!AR5+s_Irr!BQ5)),IF(AND(s_Irr!S5&lt;&gt;".",s_Irr!AR5&lt;&gt;".",s_Irr!BQ5="."),s_dir!T5/((1/1000)*(s_Irr!S5+s_Irr!AR5)),IF(AND(s_Irr!S5&lt;&gt;".",s_Irr!AR5=".",s_Irr!BQ5&lt;&gt;"."),s_dir!T5/((1/1000)*(s_Irr!S5+s_Irr!BQ5)),IF(AND(s_Irr!S5=".",s_Irr!AR5&lt;&gt;".",s_Irr!BQ5&lt;&gt;"."),s_dir!T5/((1/1000)*(s_Irr!AR5+s_Irr!BQ5)),IF(AND(s_Irr!S5=".",s_Irr!AR5=".",s_Irr!BQ5&lt;&gt;"."),s_dir!T5/((1/1000)*(s_Irr!BQ5)),IF(AND(s_Irr!S5=".",s_Irr!AR5&lt;&gt;".",s_Irr!BQ5="."),s_dir!T5/((1/1000)*(s_Irr!AR5)),IF(AND(s_Irr!S5&lt;&gt;".",s_Irr!AR5=".",s_Irr!BQ5="."),s_dir!T5/((1/1000)*(s_Irr!S5)),IF(AND(s_Irr!S5=".",s_Irr!AR5=".",s_Irr!BQ5="."),s_dir!T5*1000)))))))),".")</f>
        <v>.</v>
      </c>
      <c r="U5" s="76" t="str">
        <f>IFERROR(IF(AND(s_Irr!T5&lt;&gt;".",s_Irr!AS5&lt;&gt;".",s_Irr!BR5&lt;&gt;"."),s_dir!U5/((1/1000)*(s_Irr!T5+s_Irr!AS5+s_Irr!BR5)),IF(AND(s_Irr!T5&lt;&gt;".",s_Irr!AS5&lt;&gt;".",s_Irr!BR5="."),s_dir!U5/((1/1000)*(s_Irr!T5+s_Irr!AS5)),IF(AND(s_Irr!T5&lt;&gt;".",s_Irr!AS5=".",s_Irr!BR5&lt;&gt;"."),s_dir!U5/((1/1000)*(s_Irr!T5+s_Irr!BR5)),IF(AND(s_Irr!T5=".",s_Irr!AS5&lt;&gt;".",s_Irr!BR5&lt;&gt;"."),s_dir!U5/((1/1000)*(s_Irr!AS5+s_Irr!BR5)),IF(AND(s_Irr!T5=".",s_Irr!AS5=".",s_Irr!BR5&lt;&gt;"."),s_dir!U5/((1/1000)*(s_Irr!BR5)),IF(AND(s_Irr!T5=".",s_Irr!AS5&lt;&gt;".",s_Irr!BR5="."),s_dir!U5/((1/1000)*(s_Irr!AS5)),IF(AND(s_Irr!T5&lt;&gt;".",s_Irr!AS5=".",s_Irr!BR5="."),s_dir!U5/((1/1000)*(s_Irr!T5)),IF(AND(s_Irr!T5=".",s_Irr!AS5=".",s_Irr!BR5="."),s_dir!U5*1000)))))))),".")</f>
        <v>.</v>
      </c>
      <c r="V5" s="76" t="str">
        <f>IFERROR(IF(AND(s_Irr!U5&lt;&gt;".",s_Irr!AT5&lt;&gt;".",s_Irr!BS5&lt;&gt;"."),s_dir!V5/((1/1000)*(s_Irr!U5+s_Irr!AT5+s_Irr!BS5)),IF(AND(s_Irr!U5&lt;&gt;".",s_Irr!AT5&lt;&gt;".",s_Irr!BS5="."),s_dir!V5/((1/1000)*(s_Irr!U5+s_Irr!AT5)),IF(AND(s_Irr!U5&lt;&gt;".",s_Irr!AT5=".",s_Irr!BS5&lt;&gt;"."),s_dir!V5/((1/1000)*(s_Irr!U5+s_Irr!BS5)),IF(AND(s_Irr!U5=".",s_Irr!AT5&lt;&gt;".",s_Irr!BS5&lt;&gt;"."),s_dir!V5/((1/1000)*(s_Irr!AT5+s_Irr!BS5)),IF(AND(s_Irr!U5=".",s_Irr!AT5=".",s_Irr!BS5&lt;&gt;"."),s_dir!V5/((1/1000)*(s_Irr!BS5)),IF(AND(s_Irr!U5=".",s_Irr!AT5&lt;&gt;".",s_Irr!BS5="."),s_dir!V5/((1/1000)*(s_Irr!AT5)),IF(AND(s_Irr!U5&lt;&gt;".",s_Irr!AT5=".",s_Irr!BS5="."),s_dir!V5/((1/1000)*(s_Irr!U5)),IF(AND(s_Irr!U5=".",s_Irr!AT5=".",s_Irr!BS5="."),s_dir!V5*1000)))))))),".")</f>
        <v>.</v>
      </c>
      <c r="W5" s="76" t="str">
        <f>IFERROR(IF(AND(s_Irr!V5&lt;&gt;".",s_Irr!AU5&lt;&gt;".",s_Irr!BT5&lt;&gt;"."),s_dir!W5/((1/1000)*(s_Irr!V5+s_Irr!AU5+s_Irr!BT5)),IF(AND(s_Irr!V5&lt;&gt;".",s_Irr!AU5&lt;&gt;".",s_Irr!BT5="."),s_dir!W5/((1/1000)*(s_Irr!V5+s_Irr!AU5)),IF(AND(s_Irr!V5&lt;&gt;".",s_Irr!AU5=".",s_Irr!BT5&lt;&gt;"."),s_dir!W5/((1/1000)*(s_Irr!V5+s_Irr!BT5)),IF(AND(s_Irr!V5=".",s_Irr!AU5&lt;&gt;".",s_Irr!BT5&lt;&gt;"."),s_dir!W5/((1/1000)*(s_Irr!AU5+s_Irr!BT5)),IF(AND(s_Irr!V5=".",s_Irr!AU5=".",s_Irr!BT5&lt;&gt;"."),s_dir!W5/((1/1000)*(s_Irr!BT5)),IF(AND(s_Irr!V5=".",s_Irr!AU5&lt;&gt;".",s_Irr!BT5="."),s_dir!W5/((1/1000)*(s_Irr!AU5)),IF(AND(s_Irr!V5&lt;&gt;".",s_Irr!AU5=".",s_Irr!BT5="."),s_dir!W5/((1/1000)*(s_Irr!V5)),IF(AND(s_Irr!V5=".",s_Irr!AU5=".",s_Irr!BT5="."),s_dir!W5*1000)))))))),".")</f>
        <v>.</v>
      </c>
      <c r="X5" s="76" t="str">
        <f>IFERROR(IF(AND(s_Irr!W5&lt;&gt;".",s_Irr!AV5&lt;&gt;".",s_Irr!BU5&lt;&gt;"."),s_dir!X5/((1/1000)*(s_Irr!W5+s_Irr!AV5+s_Irr!BU5)),IF(AND(s_Irr!W5&lt;&gt;".",s_Irr!AV5&lt;&gt;".",s_Irr!BU5="."),s_dir!X5/((1/1000)*(s_Irr!W5+s_Irr!AV5)),IF(AND(s_Irr!W5&lt;&gt;".",s_Irr!AV5=".",s_Irr!BU5&lt;&gt;"."),s_dir!X5/((1/1000)*(s_Irr!W5+s_Irr!BU5)),IF(AND(s_Irr!W5=".",s_Irr!AV5&lt;&gt;".",s_Irr!BU5&lt;&gt;"."),s_dir!X5/((1/1000)*(s_Irr!AV5+s_Irr!BU5)),IF(AND(s_Irr!W5=".",s_Irr!AV5=".",s_Irr!BU5&lt;&gt;"."),s_dir!X5/((1/1000)*(s_Irr!BU5)),IF(AND(s_Irr!W5=".",s_Irr!AV5&lt;&gt;".",s_Irr!BU5="."),s_dir!X5/((1/1000)*(s_Irr!AV5)),IF(AND(s_Irr!W5&lt;&gt;".",s_Irr!AV5=".",s_Irr!BU5="."),s_dir!X5/((1/1000)*(s_Irr!W5)),IF(AND(s_Irr!W5=".",s_Irr!AV5=".",s_Irr!BU5="."),s_dir!X5*1000)))))))),".")</f>
        <v>.</v>
      </c>
      <c r="Y5" s="76" t="str">
        <f>IFERROR(IF(AND(s_Irr!X5&lt;&gt;".",s_Irr!AW5&lt;&gt;".",s_Irr!BV5&lt;&gt;"."),s_dir!Y5/((1/1000)*(s_Irr!X5+s_Irr!AW5+s_Irr!BV5)),IF(AND(s_Irr!X5&lt;&gt;".",s_Irr!AW5&lt;&gt;".",s_Irr!BV5="."),s_dir!Y5/((1/1000)*(s_Irr!X5+s_Irr!AW5)),IF(AND(s_Irr!X5&lt;&gt;".",s_Irr!AW5=".",s_Irr!BV5&lt;&gt;"."),s_dir!Y5/((1/1000)*(s_Irr!X5+s_Irr!BV5)),IF(AND(s_Irr!X5=".",s_Irr!AW5&lt;&gt;".",s_Irr!BV5&lt;&gt;"."),s_dir!Y5/((1/1000)*(s_Irr!AW5+s_Irr!BV5)),IF(AND(s_Irr!X5=".",s_Irr!AW5=".",s_Irr!BV5&lt;&gt;"."),s_dir!Y5/((1/1000)*(s_Irr!BV5)),IF(AND(s_Irr!X5=".",s_Irr!AW5&lt;&gt;".",s_Irr!BV5="."),s_dir!Y5/((1/1000)*(s_Irr!AW5)),IF(AND(s_Irr!X5&lt;&gt;".",s_Irr!AW5=".",s_Irr!BV5="."),s_dir!Y5/((1/1000)*(s_Irr!X5)),IF(AND(s_Irr!X5=".",s_Irr!AW5=".",s_Irr!BV5="."),s_dir!Y5*1000)))))))),".")</f>
        <v>.</v>
      </c>
      <c r="Z5" s="76" t="str">
        <f>IFERROR(IF(AND(s_Irr!Y5&lt;&gt;".",s_Irr!AX5&lt;&gt;".",s_Irr!BW5&lt;&gt;"."),s_dir!Z5/((1/1000)*(s_Irr!Y5+s_Irr!AX5+s_Irr!BW5)),IF(AND(s_Irr!Y5&lt;&gt;".",s_Irr!AX5&lt;&gt;".",s_Irr!BW5="."),s_dir!Z5/((1/1000)*(s_Irr!Y5+s_Irr!AX5)),IF(AND(s_Irr!Y5&lt;&gt;".",s_Irr!AX5=".",s_Irr!BW5&lt;&gt;"."),s_dir!Z5/((1/1000)*(s_Irr!Y5+s_Irr!BW5)),IF(AND(s_Irr!Y5=".",s_Irr!AX5&lt;&gt;".",s_Irr!BW5&lt;&gt;"."),s_dir!Z5/((1/1000)*(s_Irr!AX5+s_Irr!BW5)),IF(AND(s_Irr!Y5=".",s_Irr!AX5=".",s_Irr!BW5&lt;&gt;"."),s_dir!Z5/((1/1000)*(s_Irr!BW5)),IF(AND(s_Irr!Y5=".",s_Irr!AX5&lt;&gt;".",s_Irr!BW5="."),s_dir!Z5/((1/1000)*(s_Irr!AX5)),IF(AND(s_Irr!Y5&lt;&gt;".",s_Irr!AX5=".",s_Irr!BW5="."),s_dir!Z5/((1/1000)*(s_Irr!Y5)),IF(AND(s_Irr!Y5=".",s_Irr!AX5=".",s_Irr!BW5="."),s_dir!Z5*1000)))))))),".")</f>
        <v>.</v>
      </c>
      <c r="AA5" s="76" t="str">
        <f>IFERROR(IF(AND(s_Irr!Z5&lt;&gt;".",s_Irr!AY5&lt;&gt;".",s_Irr!BX5&lt;&gt;"."),s_dir!AA5/((1/1000)*(s_Irr!Z5+s_Irr!AY5+s_Irr!BX5)),IF(AND(s_Irr!Z5&lt;&gt;".",s_Irr!AY5&lt;&gt;".",s_Irr!BX5="."),s_dir!AA5/((1/1000)*(s_Irr!Z5+s_Irr!AY5)),IF(AND(s_Irr!Z5&lt;&gt;".",s_Irr!AY5=".",s_Irr!BX5&lt;&gt;"."),s_dir!AA5/((1/1000)*(s_Irr!Z5+s_Irr!BX5)),IF(AND(s_Irr!Z5=".",s_Irr!AY5&lt;&gt;".",s_Irr!BX5&lt;&gt;"."),s_dir!AA5/((1/1000)*(s_Irr!AY5+s_Irr!BX5)),IF(AND(s_Irr!Z5=".",s_Irr!AY5=".",s_Irr!BX5&lt;&gt;"."),s_dir!AA5/((1/1000)*(s_Irr!BX5)),IF(AND(s_Irr!Z5=".",s_Irr!AY5&lt;&gt;".",s_Irr!BX5="."),s_dir!AA5/((1/1000)*(s_Irr!AY5)),IF(AND(s_Irr!Z5&lt;&gt;".",s_Irr!AY5=".",s_Irr!BX5="."),s_dir!AA5/((1/1000)*(s_Irr!Z5)),IF(AND(s_Irr!Z5=".",s_Irr!AY5=".",s_Irr!BX5="."),s_dir!AA5*1000)))))))),".")</f>
        <v>.</v>
      </c>
      <c r="AB5" s="76" t="str">
        <f>IFERROR(IF(AND(s_Irr!AA5&lt;&gt;".",s_Irr!AZ5&lt;&gt;".",s_Irr!BY5&lt;&gt;"."),s_dir!AB5/((1/1000)*(s_Irr!AA5+s_Irr!AZ5+s_Irr!BY5)),IF(AND(s_Irr!AA5&lt;&gt;".",s_Irr!AZ5&lt;&gt;".",s_Irr!BY5="."),s_dir!AB5/((1/1000)*(s_Irr!AA5+s_Irr!AZ5)),IF(AND(s_Irr!AA5&lt;&gt;".",s_Irr!AZ5=".",s_Irr!BY5&lt;&gt;"."),s_dir!AB5/((1/1000)*(s_Irr!AA5+s_Irr!BY5)),IF(AND(s_Irr!AA5=".",s_Irr!AZ5&lt;&gt;".",s_Irr!BY5&lt;&gt;"."),s_dir!AB5/((1/1000)*(s_Irr!AZ5+s_Irr!BY5)),IF(AND(s_Irr!AA5=".",s_Irr!AZ5=".",s_Irr!BY5&lt;&gt;"."),s_dir!AB5/((1/1000)*(s_Irr!BY5)),IF(AND(s_Irr!AA5=".",s_Irr!AZ5&lt;&gt;".",s_Irr!BY5="."),s_dir!AB5/((1/1000)*(s_Irr!AZ5)),IF(AND(s_Irr!AA5&lt;&gt;".",s_Irr!AZ5=".",s_Irr!BY5="."),s_dir!AB5/((1/1000)*(s_Irr!AA5)),IF(AND(s_Irr!AA5=".",s_Irr!AZ5=".",s_Irr!BY5="."),s_dir!AB5*1000)))))))),".")</f>
        <v>.</v>
      </c>
      <c r="AC5" s="93">
        <f t="shared" si="4"/>
        <v>31119.356502223021</v>
      </c>
      <c r="AD5" s="93">
        <f>IFERROR(s_C*s_IFAP_res_adj*s_CF_apple*0.001*(s_Irr!C5+s_Irr!AB5+s_Irr!BA5),".")</f>
        <v>7779.8391255557553</v>
      </c>
      <c r="AE5" s="93">
        <f>IFERROR(s_C*s_IFAS_res_adj*s_CF_asparagus*0.001*(s_Irr!D5+s_Irr!AC5+s_Irr!BB5),".")</f>
        <v>7779.8391255557553</v>
      </c>
      <c r="AF5" s="93">
        <f>IFERROR(s_C*s_IFBT_res_adj*s_CF_beet*0.001*(s_Irr!E5+s_Irr!AD5+s_Irr!BC5),".")</f>
        <v>7779.8391255557553</v>
      </c>
      <c r="AG5" s="93">
        <f>IFERROR(s_C*s_IFBE_res_adj*s_CF_berries*0.001*(s_Irr!F5+s_Irr!AE5+s_Irr!BD5),".")</f>
        <v>7779.8391255557553</v>
      </c>
      <c r="AH5" s="93">
        <f>IFERROR(s_C*s_IFBR_res_adj*s_CF_broccoli*0.001*(s_Irr!G5+s_Irr!AF5+s_Irr!BE5),".")</f>
        <v>7779.8391255557553</v>
      </c>
      <c r="AI5" s="93">
        <f>IFERROR(s_C*s_IFCB_res_adj*s_CF_cabbage*0.001*(s_Irr!H5+s_Irr!AG5+s_Irr!BF5),".")</f>
        <v>7779.8391255557553</v>
      </c>
      <c r="AJ5" s="93">
        <f>IFERROR(s_C*s_IFCR_res_adj*s_CF_carrot*0.001*(s_Irr!I5+s_Irr!AH5+s_Irr!BG5),".")</f>
        <v>7779.8391255557553</v>
      </c>
      <c r="AK5" s="93">
        <f>IFERROR(s_C*s_IFCI_res_adj*s_CF_citrus*0.001*(s_Irr!J5+s_Irr!AI5+s_Irr!BH5),".")</f>
        <v>7779.8391255557553</v>
      </c>
      <c r="AL5" s="93">
        <f>IFERROR(s_C*s_IFCO_res_adj*s_CF_corn*0.001*(s_Irr!K5+s_Irr!AJ5+s_Irr!BI5),".")</f>
        <v>7779.8391255557553</v>
      </c>
      <c r="AM5" s="93">
        <f>IFERROR(s_C*s_IFCU_res_adj*s_CF_cucumber*0.001*(s_Irr!L5+s_Irr!AK5+s_Irr!BJ5),".")</f>
        <v>7779.8391255557553</v>
      </c>
      <c r="AN5" s="93">
        <f>IFERROR(s_C*s_IFLE_res_adj*s_CF_lettuce*0.001*(s_Irr!M5+s_Irr!AL5+s_Irr!BK5),".")</f>
        <v>7779.8391255557553</v>
      </c>
      <c r="AO5" s="93">
        <f>IFERROR(s_C*s_IFLI_res_adj*s_CF_lima_bean*0.001*(s_Irr!N5+s_Irr!AM5+s_Irr!BL5),".")</f>
        <v>7779.8391255557553</v>
      </c>
      <c r="AP5" s="93">
        <f>IFERROR(s_C*s_IFOK_res_adj*s_CF_okra*0.001*(s_Irr!O5+s_Irr!AN5+s_Irr!BM5),".")</f>
        <v>7779.8391255557553</v>
      </c>
      <c r="AQ5" s="93">
        <f>IFERROR(s_C*s_IFON_res_adj*s_CF_onion*0.001*(s_Irr!P5+s_Irr!AO5+s_Irr!BN5),".")</f>
        <v>7779.8391255557553</v>
      </c>
      <c r="AR5" s="93">
        <f>IFERROR(s_C*s_IFPC_res_adj*s_CF_peach*0.001*(s_Irr!Q5+s_Irr!AP5+s_Irr!BO5),".")</f>
        <v>7779.8391255557553</v>
      </c>
      <c r="AS5" s="93">
        <f>IFERROR(s_C*s_IFPR_res_adj*s_CF_pear*0.001*(s_Irr!R5+s_Irr!AQ5+s_Irr!BP5),".")</f>
        <v>7779.8391255557553</v>
      </c>
      <c r="AT5" s="93">
        <f>IFERROR(s_C*s_IFPE_res_adj*s_CF_peas*0.001*(s_Irr!S5+s_Irr!AR5+s_Irr!BQ5),".")</f>
        <v>7779.8391255557553</v>
      </c>
      <c r="AU5" s="93">
        <f>IFERROR(s_C*s_IFPP_res_adj*s_CF_peppers*0.001*(s_Irr!T5+s_Irr!AS5+s_Irr!BR5),".")</f>
        <v>7779.8391255557553</v>
      </c>
      <c r="AV5" s="93">
        <f>IFERROR(s_C*s_IFPT_res_adj*s_CF_potato*0.001*(s_Irr!U5+s_Irr!AT5+s_Irr!BS5),".")</f>
        <v>7779.8391255557553</v>
      </c>
      <c r="AW5" s="93">
        <f>IFERROR(s_C*s_IFPU_res_adj*s_CF_pumpkin*0.001*(s_Irr!V5+s_Irr!AU5+s_Irr!BT5),".")</f>
        <v>7779.8391255557553</v>
      </c>
      <c r="AX5" s="93">
        <f>IFERROR(s_C*s_IFSN_res_adj*s_CF_snap_bean*0.001*(s_Irr!W5+s_Irr!AV5+s_Irr!BU5),".")</f>
        <v>7779.8391255557553</v>
      </c>
      <c r="AY5" s="93">
        <f>IFERROR(s_C*s_IFST_res_adj*s_CF_strawberry*0.001*(s_Irr!X5+s_Irr!AW5+s_Irr!BV5),".")</f>
        <v>7779.8391255557553</v>
      </c>
      <c r="AZ5" s="93">
        <f>IFERROR(s_C*s_IFTO_res_adj*s_CF_tomato*0.001*(s_Irr!Y5+s_Irr!AX5+s_Irr!BW5),".")</f>
        <v>7779.8391255557553</v>
      </c>
      <c r="BA5" s="93">
        <f>IFERROR(s_C*s_IFRI_res_adj*s_CF_rice*0.001*(s_Irr!Z5+s_Irr!AY5+s_Irr!BX5),".")</f>
        <v>7779.8391255557553</v>
      </c>
      <c r="BB5" s="93">
        <f>IFERROR(s_C*s_IFCG_res_adj*s_CF_cereal*0.001*(s_Irr!AA5+s_Irr!AZ5+s_Irr!BY5),".")</f>
        <v>7779.8391255557553</v>
      </c>
      <c r="BC5" s="76" t="str">
        <f t="shared" si="1"/>
        <v>.</v>
      </c>
      <c r="BD5" s="76" t="str">
        <f>IFERROR(IF(AND(s_Irr!C5&lt;&gt;".",s_Irr!AB5&lt;&gt;".",s_Irr!BA5&lt;&gt;"."),s_dir!AD5/((1/1000)*(s_Irr!C5+s_Irr!AB5+s_Irr!BA5)),IF(AND(s_Irr!C5&lt;&gt;".",s_Irr!AB5&lt;&gt;".",s_Irr!BA5="."),s_dir!AD5/((1/1000)*(s_Irr!C5+s_Irr!AB5)),IF(AND(s_Irr!C5&lt;&gt;".",s_Irr!AB5=".",s_Irr!BA5&lt;&gt;"."),s_dir!AD5/((1/1000)*(s_Irr!C5+s_Irr!BA5)),IF(AND(s_Irr!C5=".",s_Irr!AB5&lt;&gt;".",s_Irr!BA5&lt;&gt;"."),s_dir!AD5/((1/1000)*(s_Irr!AB5+s_Irr!BA5)),IF(AND(s_Irr!C5=".",s_Irr!AB5=".",s_Irr!BA5&lt;&gt;"."),s_dir!AD5/((1/1000)*(s_Irr!BA5)),IF(AND(s_Irr!C5=".",s_Irr!AB5&lt;&gt;".",s_Irr!BA5="."),s_dir!AD5/((1/1000)*(s_Irr!AB5)),IF(AND(s_Irr!C5&lt;&gt;".",s_Irr!AB5=".",s_Irr!BA5="."),s_dir!AD5/((1/1000)*(s_Irr!C5)),IF(AND(s_Irr!C5=".",s_Irr!AB5=".",s_Irr!BA5="."),s_dir!AD5*1000)))))))),".")</f>
        <v>.</v>
      </c>
      <c r="BE5" s="76" t="str">
        <f>IFERROR(IF(AND(s_Irr!D5&lt;&gt;".",s_Irr!AC5&lt;&gt;".",s_Irr!BB5&lt;&gt;"."),s_dir!AE5/((1/1000)*(s_Irr!D5+s_Irr!AC5+s_Irr!BB5)),IF(AND(s_Irr!D5&lt;&gt;".",s_Irr!AC5&lt;&gt;".",s_Irr!BB5="."),s_dir!AE5/((1/1000)*(s_Irr!D5+s_Irr!AC5)),IF(AND(s_Irr!D5&lt;&gt;".",s_Irr!AC5=".",s_Irr!BB5&lt;&gt;"."),s_dir!AE5/((1/1000)*(s_Irr!D5+s_Irr!BB5)),IF(AND(s_Irr!D5=".",s_Irr!AC5&lt;&gt;".",s_Irr!BB5&lt;&gt;"."),s_dir!AE5/((1/1000)*(s_Irr!AC5+s_Irr!BB5)),IF(AND(s_Irr!D5=".",s_Irr!AC5=".",s_Irr!BB5&lt;&gt;"."),s_dir!AE5/((1/1000)*(s_Irr!BB5)),IF(AND(s_Irr!D5=".",s_Irr!AC5&lt;&gt;".",s_Irr!BB5="."),s_dir!AE5/((1/1000)*(s_Irr!AC5)),IF(AND(s_Irr!D5&lt;&gt;".",s_Irr!AC5=".",s_Irr!BB5="."),s_dir!AE5/((1/1000)*(s_Irr!D5)),IF(AND(s_Irr!D5=".",s_Irr!AC5=".",s_Irr!BB5="."),s_dir!AE5*1000)))))))),".")</f>
        <v>.</v>
      </c>
      <c r="BF5" s="76" t="str">
        <f>IFERROR(IF(AND(s_Irr!E5&lt;&gt;".",s_Irr!AD5&lt;&gt;".",s_Irr!BC5&lt;&gt;"."),s_dir!AF5/((1/1000)*(s_Irr!E5+s_Irr!AD5+s_Irr!BC5)),IF(AND(s_Irr!E5&lt;&gt;".",s_Irr!AD5&lt;&gt;".",s_Irr!BC5="."),s_dir!AF5/((1/1000)*(s_Irr!E5+s_Irr!AD5)),IF(AND(s_Irr!E5&lt;&gt;".",s_Irr!AD5=".",s_Irr!BC5&lt;&gt;"."),s_dir!AF5/((1/1000)*(s_Irr!E5+s_Irr!BC5)),IF(AND(s_Irr!E5=".",s_Irr!AD5&lt;&gt;".",s_Irr!BC5&lt;&gt;"."),s_dir!AF5/((1/1000)*(s_Irr!AD5+s_Irr!BC5)),IF(AND(s_Irr!E5=".",s_Irr!AD5=".",s_Irr!BC5&lt;&gt;"."),s_dir!AF5/((1/1000)*(s_Irr!BC5)),IF(AND(s_Irr!E5=".",s_Irr!AD5&lt;&gt;".",s_Irr!BC5="."),s_dir!AF5/((1/1000)*(s_Irr!AD5)),IF(AND(s_Irr!E5&lt;&gt;".",s_Irr!AD5=".",s_Irr!BC5="."),s_dir!AF5/((1/1000)*(s_Irr!E5)),IF(AND(s_Irr!E5=".",s_Irr!AD5=".",s_Irr!BC5="."),s_dir!AF5*1000)))))))),".")</f>
        <v>.</v>
      </c>
      <c r="BG5" s="76" t="str">
        <f>IFERROR(IF(AND(s_Irr!F5&lt;&gt;".",s_Irr!AE5&lt;&gt;".",s_Irr!BD5&lt;&gt;"."),s_dir!AG5/((1/1000)*(s_Irr!F5+s_Irr!AE5+s_Irr!BD5)),IF(AND(s_Irr!F5&lt;&gt;".",s_Irr!AE5&lt;&gt;".",s_Irr!BD5="."),s_dir!AG5/((1/1000)*(s_Irr!F5+s_Irr!AE5)),IF(AND(s_Irr!F5&lt;&gt;".",s_Irr!AE5=".",s_Irr!BD5&lt;&gt;"."),s_dir!AG5/((1/1000)*(s_Irr!F5+s_Irr!BD5)),IF(AND(s_Irr!F5=".",s_Irr!AE5&lt;&gt;".",s_Irr!BD5&lt;&gt;"."),s_dir!AG5/((1/1000)*(s_Irr!AE5+s_Irr!BD5)),IF(AND(s_Irr!F5=".",s_Irr!AE5=".",s_Irr!BD5&lt;&gt;"."),s_dir!AG5/((1/1000)*(s_Irr!BD5)),IF(AND(s_Irr!F5=".",s_Irr!AE5&lt;&gt;".",s_Irr!BD5="."),s_dir!AG5/((1/1000)*(s_Irr!AE5)),IF(AND(s_Irr!F5&lt;&gt;".",s_Irr!AE5=".",s_Irr!BD5="."),s_dir!AG5/((1/1000)*(s_Irr!F5)),IF(AND(s_Irr!F5=".",s_Irr!AE5=".",s_Irr!BD5="."),s_dir!AG5*1000)))))))),".")</f>
        <v>.</v>
      </c>
      <c r="BH5" s="76" t="str">
        <f>IFERROR(IF(AND(s_Irr!G5&lt;&gt;".",s_Irr!AF5&lt;&gt;".",s_Irr!BE5&lt;&gt;"."),s_dir!AH5/((1/1000)*(s_Irr!G5+s_Irr!AF5+s_Irr!BE5)),IF(AND(s_Irr!G5&lt;&gt;".",s_Irr!AF5&lt;&gt;".",s_Irr!BE5="."),s_dir!AH5/((1/1000)*(s_Irr!G5+s_Irr!AF5)),IF(AND(s_Irr!G5&lt;&gt;".",s_Irr!AF5=".",s_Irr!BE5&lt;&gt;"."),s_dir!AH5/((1/1000)*(s_Irr!G5+s_Irr!BE5)),IF(AND(s_Irr!G5=".",s_Irr!AF5&lt;&gt;".",s_Irr!BE5&lt;&gt;"."),s_dir!AH5/((1/1000)*(s_Irr!AF5+s_Irr!BE5)),IF(AND(s_Irr!G5=".",s_Irr!AF5=".",s_Irr!BE5&lt;&gt;"."),s_dir!AH5/((1/1000)*(s_Irr!BE5)),IF(AND(s_Irr!G5=".",s_Irr!AF5&lt;&gt;".",s_Irr!BE5="."),s_dir!AH5/((1/1000)*(s_Irr!AF5)),IF(AND(s_Irr!G5&lt;&gt;".",s_Irr!AF5=".",s_Irr!BE5="."),s_dir!AH5/((1/1000)*(s_Irr!G5)),IF(AND(s_Irr!G5=".",s_Irr!AF5=".",s_Irr!BE5="."),s_dir!AH5*1000)))))))),".")</f>
        <v>.</v>
      </c>
      <c r="BI5" s="76" t="str">
        <f>IFERROR(IF(AND(s_Irr!H5&lt;&gt;".",s_Irr!AG5&lt;&gt;".",s_Irr!BF5&lt;&gt;"."),s_dir!AI5/((1/1000)*(s_Irr!H5+s_Irr!AG5+s_Irr!BF5)),IF(AND(s_Irr!H5&lt;&gt;".",s_Irr!AG5&lt;&gt;".",s_Irr!BF5="."),s_dir!AI5/((1/1000)*(s_Irr!H5+s_Irr!AG5)),IF(AND(s_Irr!H5&lt;&gt;".",s_Irr!AG5=".",s_Irr!BF5&lt;&gt;"."),s_dir!AI5/((1/1000)*(s_Irr!H5+s_Irr!BF5)),IF(AND(s_Irr!H5=".",s_Irr!AG5&lt;&gt;".",s_Irr!BF5&lt;&gt;"."),s_dir!AI5/((1/1000)*(s_Irr!AG5+s_Irr!BF5)),IF(AND(s_Irr!H5=".",s_Irr!AG5=".",s_Irr!BF5&lt;&gt;"."),s_dir!AI5/((1/1000)*(s_Irr!BF5)),IF(AND(s_Irr!H5=".",s_Irr!AG5&lt;&gt;".",s_Irr!BF5="."),s_dir!AI5/((1/1000)*(s_Irr!AG5)),IF(AND(s_Irr!H5&lt;&gt;".",s_Irr!AG5=".",s_Irr!BF5="."),s_dir!AI5/((1/1000)*(s_Irr!H5)),IF(AND(s_Irr!H5=".",s_Irr!AG5=".",s_Irr!BF5="."),s_dir!AI5*1000)))))))),".")</f>
        <v>.</v>
      </c>
      <c r="BJ5" s="76" t="str">
        <f>IFERROR(IF(AND(s_Irr!I5&lt;&gt;".",s_Irr!AH5&lt;&gt;".",s_Irr!BG5&lt;&gt;"."),s_dir!AJ5/((1/1000)*(s_Irr!I5+s_Irr!AH5+s_Irr!BG5)),IF(AND(s_Irr!I5&lt;&gt;".",s_Irr!AH5&lt;&gt;".",s_Irr!BG5="."),s_dir!AJ5/((1/1000)*(s_Irr!I5+s_Irr!AH5)),IF(AND(s_Irr!I5&lt;&gt;".",s_Irr!AH5=".",s_Irr!BG5&lt;&gt;"."),s_dir!AJ5/((1/1000)*(s_Irr!I5+s_Irr!BG5)),IF(AND(s_Irr!I5=".",s_Irr!AH5&lt;&gt;".",s_Irr!BG5&lt;&gt;"."),s_dir!AJ5/((1/1000)*(s_Irr!AH5+s_Irr!BG5)),IF(AND(s_Irr!I5=".",s_Irr!AH5=".",s_Irr!BG5&lt;&gt;"."),s_dir!AJ5/((1/1000)*(s_Irr!BG5)),IF(AND(s_Irr!I5=".",s_Irr!AH5&lt;&gt;".",s_Irr!BG5="."),s_dir!AJ5/((1/1000)*(s_Irr!AH5)),IF(AND(s_Irr!I5&lt;&gt;".",s_Irr!AH5=".",s_Irr!BG5="."),s_dir!AJ5/((1/1000)*(s_Irr!I5)),IF(AND(s_Irr!I5=".",s_Irr!AH5=".",s_Irr!BG5="."),s_dir!AJ5*1000)))))))),".")</f>
        <v>.</v>
      </c>
      <c r="BK5" s="76" t="str">
        <f>IFERROR(IF(AND(s_Irr!J5&lt;&gt;".",s_Irr!AI5&lt;&gt;".",s_Irr!BH5&lt;&gt;"."),s_dir!AK5/((1/1000)*(s_Irr!J5+s_Irr!AI5+s_Irr!BH5)),IF(AND(s_Irr!J5&lt;&gt;".",s_Irr!AI5&lt;&gt;".",s_Irr!BH5="."),s_dir!AK5/((1/1000)*(s_Irr!J5+s_Irr!AI5)),IF(AND(s_Irr!J5&lt;&gt;".",s_Irr!AI5=".",s_Irr!BH5&lt;&gt;"."),s_dir!AK5/((1/1000)*(s_Irr!J5+s_Irr!BH5)),IF(AND(s_Irr!J5=".",s_Irr!AI5&lt;&gt;".",s_Irr!BH5&lt;&gt;"."),s_dir!AK5/((1/1000)*(s_Irr!AI5+s_Irr!BH5)),IF(AND(s_Irr!J5=".",s_Irr!AI5=".",s_Irr!BH5&lt;&gt;"."),s_dir!AK5/((1/1000)*(s_Irr!BH5)),IF(AND(s_Irr!J5=".",s_Irr!AI5&lt;&gt;".",s_Irr!BH5="."),s_dir!AK5/((1/1000)*(s_Irr!AI5)),IF(AND(s_Irr!J5&lt;&gt;".",s_Irr!AI5=".",s_Irr!BH5="."),s_dir!AK5/((1/1000)*(s_Irr!J5)),IF(AND(s_Irr!J5=".",s_Irr!AI5=".",s_Irr!BH5="."),s_dir!AK5*1000)))))))),".")</f>
        <v>.</v>
      </c>
      <c r="BL5" s="76" t="str">
        <f>IFERROR(IF(AND(s_Irr!K5&lt;&gt;".",s_Irr!AJ5&lt;&gt;".",s_Irr!BI5&lt;&gt;"."),s_dir!AL5/((1/1000)*(s_Irr!K5+s_Irr!AJ5+s_Irr!BI5)),IF(AND(s_Irr!K5&lt;&gt;".",s_Irr!AJ5&lt;&gt;".",s_Irr!BI5="."),s_dir!AL5/((1/1000)*(s_Irr!K5+s_Irr!AJ5)),IF(AND(s_Irr!K5&lt;&gt;".",s_Irr!AJ5=".",s_Irr!BI5&lt;&gt;"."),s_dir!AL5/((1/1000)*(s_Irr!K5+s_Irr!BI5)),IF(AND(s_Irr!K5=".",s_Irr!AJ5&lt;&gt;".",s_Irr!BI5&lt;&gt;"."),s_dir!AL5/((1/1000)*(s_Irr!AJ5+s_Irr!BI5)),IF(AND(s_Irr!K5=".",s_Irr!AJ5=".",s_Irr!BI5&lt;&gt;"."),s_dir!AL5/((1/1000)*(s_Irr!BI5)),IF(AND(s_Irr!K5=".",s_Irr!AJ5&lt;&gt;".",s_Irr!BI5="."),s_dir!AL5/((1/1000)*(s_Irr!AJ5)),IF(AND(s_Irr!K5&lt;&gt;".",s_Irr!AJ5=".",s_Irr!BI5="."),s_dir!AL5/((1/1000)*(s_Irr!K5)),IF(AND(s_Irr!K5=".",s_Irr!AJ5=".",s_Irr!BI5="."),s_dir!AL5*1000)))))))),".")</f>
        <v>.</v>
      </c>
      <c r="BM5" s="76" t="str">
        <f>IFERROR(IF(AND(s_Irr!L5&lt;&gt;".",s_Irr!AK5&lt;&gt;".",s_Irr!BJ5&lt;&gt;"."),s_dir!AM5/((1/1000)*(s_Irr!L5+s_Irr!AK5+s_Irr!BJ5)),IF(AND(s_Irr!L5&lt;&gt;".",s_Irr!AK5&lt;&gt;".",s_Irr!BJ5="."),s_dir!AM5/((1/1000)*(s_Irr!L5+s_Irr!AK5)),IF(AND(s_Irr!L5&lt;&gt;".",s_Irr!AK5=".",s_Irr!BJ5&lt;&gt;"."),s_dir!AM5/((1/1000)*(s_Irr!L5+s_Irr!BJ5)),IF(AND(s_Irr!L5=".",s_Irr!AK5&lt;&gt;".",s_Irr!BJ5&lt;&gt;"."),s_dir!AM5/((1/1000)*(s_Irr!AK5+s_Irr!BJ5)),IF(AND(s_Irr!L5=".",s_Irr!AK5=".",s_Irr!BJ5&lt;&gt;"."),s_dir!AM5/((1/1000)*(s_Irr!BJ5)),IF(AND(s_Irr!L5=".",s_Irr!AK5&lt;&gt;".",s_Irr!BJ5="."),s_dir!AM5/((1/1000)*(s_Irr!AK5)),IF(AND(s_Irr!L5&lt;&gt;".",s_Irr!AK5=".",s_Irr!BJ5="."),s_dir!AM5/((1/1000)*(s_Irr!L5)),IF(AND(s_Irr!L5=".",s_Irr!AK5=".",s_Irr!BJ5="."),s_dir!AM5*1000)))))))),".")</f>
        <v>.</v>
      </c>
      <c r="BN5" s="76" t="str">
        <f>IFERROR(IF(AND(s_Irr!M5&lt;&gt;".",s_Irr!AL5&lt;&gt;".",s_Irr!BK5&lt;&gt;"."),s_dir!AN5/((1/1000)*(s_Irr!M5+s_Irr!AL5+s_Irr!BK5)),IF(AND(s_Irr!M5&lt;&gt;".",s_Irr!AL5&lt;&gt;".",s_Irr!BK5="."),s_dir!AN5/((1/1000)*(s_Irr!M5+s_Irr!AL5)),IF(AND(s_Irr!M5&lt;&gt;".",s_Irr!AL5=".",s_Irr!BK5&lt;&gt;"."),s_dir!AN5/((1/1000)*(s_Irr!M5+s_Irr!BK5)),IF(AND(s_Irr!M5=".",s_Irr!AL5&lt;&gt;".",s_Irr!BK5&lt;&gt;"."),s_dir!AN5/((1/1000)*(s_Irr!AL5+s_Irr!BK5)),IF(AND(s_Irr!M5=".",s_Irr!AL5=".",s_Irr!BK5&lt;&gt;"."),s_dir!AN5/((1/1000)*(s_Irr!BK5)),IF(AND(s_Irr!M5=".",s_Irr!AL5&lt;&gt;".",s_Irr!BK5="."),s_dir!AN5/((1/1000)*(s_Irr!AL5)),IF(AND(s_Irr!M5&lt;&gt;".",s_Irr!AL5=".",s_Irr!BK5="."),s_dir!AN5/((1/1000)*(s_Irr!M5)),IF(AND(s_Irr!M5=".",s_Irr!AL5=".",s_Irr!BK5="."),s_dir!AN5*1000)))))))),".")</f>
        <v>.</v>
      </c>
      <c r="BO5" s="76" t="str">
        <f>IFERROR(IF(AND(s_Irr!N5&lt;&gt;".",s_Irr!AM5&lt;&gt;".",s_Irr!BL5&lt;&gt;"."),s_dir!AO5/((1/1000)*(s_Irr!N5+s_Irr!AM5+s_Irr!BL5)),IF(AND(s_Irr!N5&lt;&gt;".",s_Irr!AM5&lt;&gt;".",s_Irr!BL5="."),s_dir!AO5/((1/1000)*(s_Irr!N5+s_Irr!AM5)),IF(AND(s_Irr!N5&lt;&gt;".",s_Irr!AM5=".",s_Irr!BL5&lt;&gt;"."),s_dir!AO5/((1/1000)*(s_Irr!N5+s_Irr!BL5)),IF(AND(s_Irr!N5=".",s_Irr!AM5&lt;&gt;".",s_Irr!BL5&lt;&gt;"."),s_dir!AO5/((1/1000)*(s_Irr!AM5+s_Irr!BL5)),IF(AND(s_Irr!N5=".",s_Irr!AM5=".",s_Irr!BL5&lt;&gt;"."),s_dir!AO5/((1/1000)*(s_Irr!BL5)),IF(AND(s_Irr!N5=".",s_Irr!AM5&lt;&gt;".",s_Irr!BL5="."),s_dir!AO5/((1/1000)*(s_Irr!AM5)),IF(AND(s_Irr!N5&lt;&gt;".",s_Irr!AM5=".",s_Irr!BL5="."),s_dir!AO5/((1/1000)*(s_Irr!N5)),IF(AND(s_Irr!N5=".",s_Irr!AM5=".",s_Irr!BL5="."),s_dir!AO5*1000)))))))),".")</f>
        <v>.</v>
      </c>
      <c r="BP5" s="76" t="str">
        <f>IFERROR(IF(AND(s_Irr!O5&lt;&gt;".",s_Irr!AN5&lt;&gt;".",s_Irr!BM5&lt;&gt;"."),s_dir!AP5/((1/1000)*(s_Irr!O5+s_Irr!AN5+s_Irr!BM5)),IF(AND(s_Irr!O5&lt;&gt;".",s_Irr!AN5&lt;&gt;".",s_Irr!BM5="."),s_dir!AP5/((1/1000)*(s_Irr!O5+s_Irr!AN5)),IF(AND(s_Irr!O5&lt;&gt;".",s_Irr!AN5=".",s_Irr!BM5&lt;&gt;"."),s_dir!AP5/((1/1000)*(s_Irr!O5+s_Irr!BM5)),IF(AND(s_Irr!O5=".",s_Irr!AN5&lt;&gt;".",s_Irr!BM5&lt;&gt;"."),s_dir!AP5/((1/1000)*(s_Irr!AN5+s_Irr!BM5)),IF(AND(s_Irr!O5=".",s_Irr!AN5=".",s_Irr!BM5&lt;&gt;"."),s_dir!AP5/((1/1000)*(s_Irr!BM5)),IF(AND(s_Irr!O5=".",s_Irr!AN5&lt;&gt;".",s_Irr!BM5="."),s_dir!AP5/((1/1000)*(s_Irr!AN5)),IF(AND(s_Irr!O5&lt;&gt;".",s_Irr!AN5=".",s_Irr!BM5="."),s_dir!AP5/((1/1000)*(s_Irr!O5)),IF(AND(s_Irr!O5=".",s_Irr!AN5=".",s_Irr!BM5="."),s_dir!AP5*1000)))))))),".")</f>
        <v>.</v>
      </c>
      <c r="BQ5" s="76" t="str">
        <f>IFERROR(IF(AND(s_Irr!P5&lt;&gt;".",s_Irr!AO5&lt;&gt;".",s_Irr!BN5&lt;&gt;"."),s_dir!AQ5/((1/1000)*(s_Irr!P5+s_Irr!AO5+s_Irr!BN5)),IF(AND(s_Irr!P5&lt;&gt;".",s_Irr!AO5&lt;&gt;".",s_Irr!BN5="."),s_dir!AQ5/((1/1000)*(s_Irr!P5+s_Irr!AO5)),IF(AND(s_Irr!P5&lt;&gt;".",s_Irr!AO5=".",s_Irr!BN5&lt;&gt;"."),s_dir!AQ5/((1/1000)*(s_Irr!P5+s_Irr!BN5)),IF(AND(s_Irr!P5=".",s_Irr!AO5&lt;&gt;".",s_Irr!BN5&lt;&gt;"."),s_dir!AQ5/((1/1000)*(s_Irr!AO5+s_Irr!BN5)),IF(AND(s_Irr!P5=".",s_Irr!AO5=".",s_Irr!BN5&lt;&gt;"."),s_dir!AQ5/((1/1000)*(s_Irr!BN5)),IF(AND(s_Irr!P5=".",s_Irr!AO5&lt;&gt;".",s_Irr!BN5="."),s_dir!AQ5/((1/1000)*(s_Irr!AO5)),IF(AND(s_Irr!P5&lt;&gt;".",s_Irr!AO5=".",s_Irr!BN5="."),s_dir!AQ5/((1/1000)*(s_Irr!P5)),IF(AND(s_Irr!P5=".",s_Irr!AO5=".",s_Irr!BN5="."),s_dir!AQ5*1000)))))))),".")</f>
        <v>.</v>
      </c>
      <c r="BR5" s="76" t="str">
        <f>IFERROR(IF(AND(s_Irr!Q5&lt;&gt;".",s_Irr!AP5&lt;&gt;".",s_Irr!BO5&lt;&gt;"."),s_dir!AR5/((1/1000)*(s_Irr!Q5+s_Irr!AP5+s_Irr!BO5)),IF(AND(s_Irr!Q5&lt;&gt;".",s_Irr!AP5&lt;&gt;".",s_Irr!BO5="."),s_dir!AR5/((1/1000)*(s_Irr!Q5+s_Irr!AP5)),IF(AND(s_Irr!Q5&lt;&gt;".",s_Irr!AP5=".",s_Irr!BO5&lt;&gt;"."),s_dir!AR5/((1/1000)*(s_Irr!Q5+s_Irr!BO5)),IF(AND(s_Irr!Q5=".",s_Irr!AP5&lt;&gt;".",s_Irr!BO5&lt;&gt;"."),s_dir!AR5/((1/1000)*(s_Irr!AP5+s_Irr!BO5)),IF(AND(s_Irr!Q5=".",s_Irr!AP5=".",s_Irr!BO5&lt;&gt;"."),s_dir!AR5/((1/1000)*(s_Irr!BO5)),IF(AND(s_Irr!Q5=".",s_Irr!AP5&lt;&gt;".",s_Irr!BO5="."),s_dir!AR5/((1/1000)*(s_Irr!AP5)),IF(AND(s_Irr!Q5&lt;&gt;".",s_Irr!AP5=".",s_Irr!BO5="."),s_dir!AR5/((1/1000)*(s_Irr!Q5)),IF(AND(s_Irr!Q5=".",s_Irr!AP5=".",s_Irr!BO5="."),s_dir!AR5*1000)))))))),".")</f>
        <v>.</v>
      </c>
      <c r="BS5" s="76" t="str">
        <f>IFERROR(IF(AND(s_Irr!R5&lt;&gt;".",s_Irr!AQ5&lt;&gt;".",s_Irr!BP5&lt;&gt;"."),s_dir!AS5/((1/1000)*(s_Irr!R5+s_Irr!AQ5+s_Irr!BP5)),IF(AND(s_Irr!R5&lt;&gt;".",s_Irr!AQ5&lt;&gt;".",s_Irr!BP5="."),s_dir!AS5/((1/1000)*(s_Irr!R5+s_Irr!AQ5)),IF(AND(s_Irr!R5&lt;&gt;".",s_Irr!AQ5=".",s_Irr!BP5&lt;&gt;"."),s_dir!AS5/((1/1000)*(s_Irr!R5+s_Irr!BP5)),IF(AND(s_Irr!R5=".",s_Irr!AQ5&lt;&gt;".",s_Irr!BP5&lt;&gt;"."),s_dir!AS5/((1/1000)*(s_Irr!AQ5+s_Irr!BP5)),IF(AND(s_Irr!R5=".",s_Irr!AQ5=".",s_Irr!BP5&lt;&gt;"."),s_dir!AS5/((1/1000)*(s_Irr!BP5)),IF(AND(s_Irr!R5=".",s_Irr!AQ5&lt;&gt;".",s_Irr!BP5="."),s_dir!AS5/((1/1000)*(s_Irr!AQ5)),IF(AND(s_Irr!R5&lt;&gt;".",s_Irr!AQ5=".",s_Irr!BP5="."),s_dir!AS5/((1/1000)*(s_Irr!R5)),IF(AND(s_Irr!R5=".",s_Irr!AQ5=".",s_Irr!BP5="."),s_dir!AS5*1000)))))))),".")</f>
        <v>.</v>
      </c>
      <c r="BT5" s="76" t="str">
        <f>IFERROR(IF(AND(s_Irr!S5&lt;&gt;".",s_Irr!AR5&lt;&gt;".",s_Irr!BQ5&lt;&gt;"."),s_dir!AT5/((1/1000)*(s_Irr!S5+s_Irr!AR5+s_Irr!BQ5)),IF(AND(s_Irr!S5&lt;&gt;".",s_Irr!AR5&lt;&gt;".",s_Irr!BQ5="."),s_dir!AT5/((1/1000)*(s_Irr!S5+s_Irr!AR5)),IF(AND(s_Irr!S5&lt;&gt;".",s_Irr!AR5=".",s_Irr!BQ5&lt;&gt;"."),s_dir!AT5/((1/1000)*(s_Irr!S5+s_Irr!BQ5)),IF(AND(s_Irr!S5=".",s_Irr!AR5&lt;&gt;".",s_Irr!BQ5&lt;&gt;"."),s_dir!AT5/((1/1000)*(s_Irr!AR5+s_Irr!BQ5)),IF(AND(s_Irr!S5=".",s_Irr!AR5=".",s_Irr!BQ5&lt;&gt;"."),s_dir!AT5/((1/1000)*(s_Irr!BQ5)),IF(AND(s_Irr!S5=".",s_Irr!AR5&lt;&gt;".",s_Irr!BQ5="."),s_dir!AT5/((1/1000)*(s_Irr!AR5)),IF(AND(s_Irr!S5&lt;&gt;".",s_Irr!AR5=".",s_Irr!BQ5="."),s_dir!AT5/((1/1000)*(s_Irr!S5)),IF(AND(s_Irr!S5=".",s_Irr!AR5=".",s_Irr!BQ5="."),s_dir!AT5*1000)))))))),".")</f>
        <v>.</v>
      </c>
      <c r="BU5" s="76" t="str">
        <f>IFERROR(IF(AND(s_Irr!T5&lt;&gt;".",s_Irr!AS5&lt;&gt;".",s_Irr!BR5&lt;&gt;"."),s_dir!AU5/((1/1000)*(s_Irr!T5+s_Irr!AS5+s_Irr!BR5)),IF(AND(s_Irr!T5&lt;&gt;".",s_Irr!AS5&lt;&gt;".",s_Irr!BR5="."),s_dir!AU5/((1/1000)*(s_Irr!T5+s_Irr!AS5)),IF(AND(s_Irr!T5&lt;&gt;".",s_Irr!AS5=".",s_Irr!BR5&lt;&gt;"."),s_dir!AU5/((1/1000)*(s_Irr!T5+s_Irr!BR5)),IF(AND(s_Irr!T5=".",s_Irr!AS5&lt;&gt;".",s_Irr!BR5&lt;&gt;"."),s_dir!AU5/((1/1000)*(s_Irr!AS5+s_Irr!BR5)),IF(AND(s_Irr!T5=".",s_Irr!AS5=".",s_Irr!BR5&lt;&gt;"."),s_dir!AU5/((1/1000)*(s_Irr!BR5)),IF(AND(s_Irr!T5=".",s_Irr!AS5&lt;&gt;".",s_Irr!BR5="."),s_dir!AU5/((1/1000)*(s_Irr!AS5)),IF(AND(s_Irr!T5&lt;&gt;".",s_Irr!AS5=".",s_Irr!BR5="."),s_dir!AU5/((1/1000)*(s_Irr!T5)),IF(AND(s_Irr!T5=".",s_Irr!AS5=".",s_Irr!BR5="."),s_dir!AU5*1000)))))))),".")</f>
        <v>.</v>
      </c>
      <c r="BV5" s="76" t="str">
        <f>IFERROR(IF(AND(s_Irr!U5&lt;&gt;".",s_Irr!AT5&lt;&gt;".",s_Irr!BS5&lt;&gt;"."),s_dir!AV5/((1/1000)*(s_Irr!U5+s_Irr!AT5+s_Irr!BS5)),IF(AND(s_Irr!U5&lt;&gt;".",s_Irr!AT5&lt;&gt;".",s_Irr!BS5="."),s_dir!AV5/((1/1000)*(s_Irr!U5+s_Irr!AT5)),IF(AND(s_Irr!U5&lt;&gt;".",s_Irr!AT5=".",s_Irr!BS5&lt;&gt;"."),s_dir!AV5/((1/1000)*(s_Irr!U5+s_Irr!BS5)),IF(AND(s_Irr!U5=".",s_Irr!AT5&lt;&gt;".",s_Irr!BS5&lt;&gt;"."),s_dir!AV5/((1/1000)*(s_Irr!AT5+s_Irr!BS5)),IF(AND(s_Irr!U5=".",s_Irr!AT5=".",s_Irr!BS5&lt;&gt;"."),s_dir!AV5/((1/1000)*(s_Irr!BS5)),IF(AND(s_Irr!U5=".",s_Irr!AT5&lt;&gt;".",s_Irr!BS5="."),s_dir!AV5/((1/1000)*(s_Irr!AT5)),IF(AND(s_Irr!U5&lt;&gt;".",s_Irr!AT5=".",s_Irr!BS5="."),s_dir!AV5/((1/1000)*(s_Irr!U5)),IF(AND(s_Irr!U5=".",s_Irr!AT5=".",s_Irr!BS5="."),s_dir!AV5*1000)))))))),".")</f>
        <v>.</v>
      </c>
      <c r="BW5" s="76" t="str">
        <f>IFERROR(IF(AND(s_Irr!V5&lt;&gt;".",s_Irr!AU5&lt;&gt;".",s_Irr!BT5&lt;&gt;"."),s_dir!AW5/((1/1000)*(s_Irr!V5+s_Irr!AU5+s_Irr!BT5)),IF(AND(s_Irr!V5&lt;&gt;".",s_Irr!AU5&lt;&gt;".",s_Irr!BT5="."),s_dir!AW5/((1/1000)*(s_Irr!V5+s_Irr!AU5)),IF(AND(s_Irr!V5&lt;&gt;".",s_Irr!AU5=".",s_Irr!BT5&lt;&gt;"."),s_dir!AW5/((1/1000)*(s_Irr!V5+s_Irr!BT5)),IF(AND(s_Irr!V5=".",s_Irr!AU5&lt;&gt;".",s_Irr!BT5&lt;&gt;"."),s_dir!AW5/((1/1000)*(s_Irr!AU5+s_Irr!BT5)),IF(AND(s_Irr!V5=".",s_Irr!AU5=".",s_Irr!BT5&lt;&gt;"."),s_dir!AW5/((1/1000)*(s_Irr!BT5)),IF(AND(s_Irr!V5=".",s_Irr!AU5&lt;&gt;".",s_Irr!BT5="."),s_dir!AW5/((1/1000)*(s_Irr!AU5)),IF(AND(s_Irr!V5&lt;&gt;".",s_Irr!AU5=".",s_Irr!BT5="."),s_dir!AW5/((1/1000)*(s_Irr!V5)),IF(AND(s_Irr!V5=".",s_Irr!AU5=".",s_Irr!BT5="."),s_dir!AW5*1000)))))))),".")</f>
        <v>.</v>
      </c>
      <c r="BX5" s="76" t="str">
        <f>IFERROR(IF(AND(s_Irr!W5&lt;&gt;".",s_Irr!AV5&lt;&gt;".",s_Irr!BU5&lt;&gt;"."),s_dir!AX5/((1/1000)*(s_Irr!W5+s_Irr!AV5+s_Irr!BU5)),IF(AND(s_Irr!W5&lt;&gt;".",s_Irr!AV5&lt;&gt;".",s_Irr!BU5="."),s_dir!AX5/((1/1000)*(s_Irr!W5+s_Irr!AV5)),IF(AND(s_Irr!W5&lt;&gt;".",s_Irr!AV5=".",s_Irr!BU5&lt;&gt;"."),s_dir!AX5/((1/1000)*(s_Irr!W5+s_Irr!BU5)),IF(AND(s_Irr!W5=".",s_Irr!AV5&lt;&gt;".",s_Irr!BU5&lt;&gt;"."),s_dir!AX5/((1/1000)*(s_Irr!AV5+s_Irr!BU5)),IF(AND(s_Irr!W5=".",s_Irr!AV5=".",s_Irr!BU5&lt;&gt;"."),s_dir!AX5/((1/1000)*(s_Irr!BU5)),IF(AND(s_Irr!W5=".",s_Irr!AV5&lt;&gt;".",s_Irr!BU5="."),s_dir!AX5/((1/1000)*(s_Irr!AV5)),IF(AND(s_Irr!W5&lt;&gt;".",s_Irr!AV5=".",s_Irr!BU5="."),s_dir!AX5/((1/1000)*(s_Irr!W5)),IF(AND(s_Irr!W5=".",s_Irr!AV5=".",s_Irr!BU5="."),s_dir!AX5*1000)))))))),".")</f>
        <v>.</v>
      </c>
      <c r="BY5" s="76" t="str">
        <f>IFERROR(IF(AND(s_Irr!X5&lt;&gt;".",s_Irr!AW5&lt;&gt;".",s_Irr!BV5&lt;&gt;"."),s_dir!AY5/((1/1000)*(s_Irr!X5+s_Irr!AW5+s_Irr!BV5)),IF(AND(s_Irr!X5&lt;&gt;".",s_Irr!AW5&lt;&gt;".",s_Irr!BV5="."),s_dir!AY5/((1/1000)*(s_Irr!X5+s_Irr!AW5)),IF(AND(s_Irr!X5&lt;&gt;".",s_Irr!AW5=".",s_Irr!BV5&lt;&gt;"."),s_dir!AY5/((1/1000)*(s_Irr!X5+s_Irr!BV5)),IF(AND(s_Irr!X5=".",s_Irr!AW5&lt;&gt;".",s_Irr!BV5&lt;&gt;"."),s_dir!AY5/((1/1000)*(s_Irr!AW5+s_Irr!BV5)),IF(AND(s_Irr!X5=".",s_Irr!AW5=".",s_Irr!BV5&lt;&gt;"."),s_dir!AY5/((1/1000)*(s_Irr!BV5)),IF(AND(s_Irr!X5=".",s_Irr!AW5&lt;&gt;".",s_Irr!BV5="."),s_dir!AY5/((1/1000)*(s_Irr!AW5)),IF(AND(s_Irr!X5&lt;&gt;".",s_Irr!AW5=".",s_Irr!BV5="."),s_dir!AY5/((1/1000)*(s_Irr!X5)),IF(AND(s_Irr!X5=".",s_Irr!AW5=".",s_Irr!BV5="."),s_dir!AY5*1000)))))))),".")</f>
        <v>.</v>
      </c>
      <c r="BZ5" s="76" t="str">
        <f>IFERROR(IF(AND(s_Irr!Y5&lt;&gt;".",s_Irr!AX5&lt;&gt;".",s_Irr!BW5&lt;&gt;"."),s_dir!AZ5/((1/1000)*(s_Irr!Y5+s_Irr!AX5+s_Irr!BW5)),IF(AND(s_Irr!Y5&lt;&gt;".",s_Irr!AX5&lt;&gt;".",s_Irr!BW5="."),s_dir!AZ5/((1/1000)*(s_Irr!Y5+s_Irr!AX5)),IF(AND(s_Irr!Y5&lt;&gt;".",s_Irr!AX5=".",s_Irr!BW5&lt;&gt;"."),s_dir!AZ5/((1/1000)*(s_Irr!Y5+s_Irr!BW5)),IF(AND(s_Irr!Y5=".",s_Irr!AX5&lt;&gt;".",s_Irr!BW5&lt;&gt;"."),s_dir!AZ5/((1/1000)*(s_Irr!AX5+s_Irr!BW5)),IF(AND(s_Irr!Y5=".",s_Irr!AX5=".",s_Irr!BW5&lt;&gt;"."),s_dir!AZ5/((1/1000)*(s_Irr!BW5)),IF(AND(s_Irr!Y5=".",s_Irr!AX5&lt;&gt;".",s_Irr!BW5="."),s_dir!AZ5/((1/1000)*(s_Irr!AX5)),IF(AND(s_Irr!Y5&lt;&gt;".",s_Irr!AX5=".",s_Irr!BW5="."),s_dir!AZ5/((1/1000)*(s_Irr!Y5)),IF(AND(s_Irr!Y5=".",s_Irr!AX5=".",s_Irr!BW5="."),s_dir!AZ5*1000)))))))),".")</f>
        <v>.</v>
      </c>
      <c r="CA5" s="76" t="str">
        <f>IFERROR(IF(AND(s_Irr!Z5&lt;&gt;".",s_Irr!AY5&lt;&gt;".",s_Irr!BX5&lt;&gt;"."),s_dir!BA5/((1/1000)*(s_Irr!Z5+s_Irr!AY5+s_Irr!BX5)),IF(AND(s_Irr!Z5&lt;&gt;".",s_Irr!AY5&lt;&gt;".",s_Irr!BX5="."),s_dir!BA5/((1/1000)*(s_Irr!Z5+s_Irr!AY5)),IF(AND(s_Irr!Z5&lt;&gt;".",s_Irr!AY5=".",s_Irr!BX5&lt;&gt;"."),s_dir!BA5/((1/1000)*(s_Irr!Z5+s_Irr!BX5)),IF(AND(s_Irr!Z5=".",s_Irr!AY5&lt;&gt;".",s_Irr!BX5&lt;&gt;"."),s_dir!BA5/((1/1000)*(s_Irr!AY5+s_Irr!BX5)),IF(AND(s_Irr!Z5=".",s_Irr!AY5=".",s_Irr!BX5&lt;&gt;"."),s_dir!BA5/((1/1000)*(s_Irr!BX5)),IF(AND(s_Irr!Z5=".",s_Irr!AY5&lt;&gt;".",s_Irr!BX5="."),s_dir!BA5/((1/1000)*(s_Irr!AY5)),IF(AND(s_Irr!Z5&lt;&gt;".",s_Irr!AY5=".",s_Irr!BX5="."),s_dir!BA5/((1/1000)*(s_Irr!Z5)),IF(AND(s_Irr!Z5=".",s_Irr!AY5=".",s_Irr!BX5="."),s_dir!BA5*1000)))))))),".")</f>
        <v>.</v>
      </c>
      <c r="CB5" s="76" t="str">
        <f>IFERROR(IF(AND(s_Irr!AA5&lt;&gt;".",s_Irr!AZ5&lt;&gt;".",s_Irr!BY5&lt;&gt;"."),s_dir!BB5/((1/1000)*(s_Irr!AA5+s_Irr!AZ5+s_Irr!BY5)),IF(AND(s_Irr!AA5&lt;&gt;".",s_Irr!AZ5&lt;&gt;".",s_Irr!BY5="."),s_dir!BB5/((1/1000)*(s_Irr!AA5+s_Irr!AZ5)),IF(AND(s_Irr!AA5&lt;&gt;".",s_Irr!AZ5=".",s_Irr!BY5&lt;&gt;"."),s_dir!BB5/((1/1000)*(s_Irr!AA5+s_Irr!BY5)),IF(AND(s_Irr!AA5=".",s_Irr!AZ5&lt;&gt;".",s_Irr!BY5&lt;&gt;"."),s_dir!BB5/((1/1000)*(s_Irr!AZ5+s_Irr!BY5)),IF(AND(s_Irr!AA5=".",s_Irr!AZ5=".",s_Irr!BY5&lt;&gt;"."),s_dir!BB5/((1/1000)*(s_Irr!BY5)),IF(AND(s_Irr!AA5=".",s_Irr!AZ5&lt;&gt;".",s_Irr!BY5="."),s_dir!BB5/((1/1000)*(s_Irr!AZ5)),IF(AND(s_Irr!AA5&lt;&gt;".",s_Irr!AZ5=".",s_Irr!BY5="."),s_dir!BB5/((1/1000)*(s_Irr!AA5)),IF(AND(s_Irr!AA5=".",s_Irr!AZ5=".",s_Irr!BY5="."),s_dir!BB5*1000)))))))),".")</f>
        <v>.</v>
      </c>
      <c r="CC5" s="93">
        <f t="shared" si="2"/>
        <v>31119.356502223021</v>
      </c>
      <c r="CD5" s="93">
        <f>IFERROR(s_C*s_IFAP_far_adj*s_CF_apple*(1/1000)*(s_Irr!C5+s_Irr!AB5+s_Irr!BA5),".")</f>
        <v>7779.8391255557553</v>
      </c>
      <c r="CE5" s="93">
        <f>IFERROR(s_C*s_IFAS_far_adj*s_CF_asparagus*(1/1000)*(s_Irr!D5+s_Irr!AC5+s_Irr!BB5),".")</f>
        <v>7779.8391255557553</v>
      </c>
      <c r="CF5" s="93">
        <f>IFERROR(s_C*s_IFBT_far_adj*s_CF_beet*(1/1000)*(s_Irr!E5+s_Irr!AD5+s_Irr!BC5),".")</f>
        <v>7779.8391255557553</v>
      </c>
      <c r="CG5" s="93">
        <f>IFERROR(s_C*s_IFBE_far_adj*s_CF_berries*(1/1000)*(s_Irr!F5+s_Irr!AE5+s_Irr!BD5),".")</f>
        <v>7779.8391255557553</v>
      </c>
      <c r="CH5" s="93">
        <f>IFERROR(s_C*s_IFBR_far_adj*s_CF_broccoli*(1/1000)*(s_Irr!G5+s_Irr!AF5+s_Irr!BE5),".")</f>
        <v>7779.8391255557553</v>
      </c>
      <c r="CI5" s="93">
        <f>IFERROR(s_C*s_IFCB_far_adj*s_CF_cabbage*(1/1000)*(s_Irr!H5+s_Irr!AG5+s_Irr!BF5),".")</f>
        <v>7779.8391255557553</v>
      </c>
      <c r="CJ5" s="93">
        <f>IFERROR(s_C*s_IFCR_far_adj*s_CF_carrot*(1/1000)*(s_Irr!I5+s_Irr!AH5+s_Irr!BG5),".")</f>
        <v>7779.8391255557553</v>
      </c>
      <c r="CK5" s="93">
        <f>IFERROR(s_C*s_IFCI_far_adj*s_CF_citrus*(1/1000)*(s_Irr!J5+s_Irr!AI5+s_Irr!BH5),".")</f>
        <v>7779.8391255557553</v>
      </c>
      <c r="CL5" s="93">
        <f>IFERROR(s_C*s_IFCO_far_adj*s_CF_corn*(1/1000)*(s_Irr!K5+s_Irr!AJ5+s_Irr!BI5),".")</f>
        <v>7779.8391255557553</v>
      </c>
      <c r="CM5" s="93">
        <f>IFERROR(s_C*s_IFCU_far_adj*s_CF_cucumber*(1/1000)*(s_Irr!L5+s_Irr!AK5+s_Irr!BJ5),".")</f>
        <v>7779.8391255557553</v>
      </c>
      <c r="CN5" s="93">
        <f>IFERROR(s_C*s_IFLE_far_adj*s_CF_lettuce*(1/1000)*(s_Irr!M5+s_Irr!AL5+s_Irr!BK5),".")</f>
        <v>7779.8391255557553</v>
      </c>
      <c r="CO5" s="93">
        <f>IFERROR(s_C*s_IFLI_far_adj*s_CF_lima_bean*(1/1000)*(s_Irr!N5+s_Irr!AM5+s_Irr!BL5),".")</f>
        <v>7779.8391255557553</v>
      </c>
      <c r="CP5" s="93">
        <f>IFERROR(s_C*s_IFOK_far_adj*s_CF_okra*(1/1000)*(s_Irr!O5+s_Irr!AN5+s_Irr!BM5),".")</f>
        <v>7779.8391255557553</v>
      </c>
      <c r="CQ5" s="93">
        <f>IFERROR(s_C*s_IFON_far_adj*s_CF_onion*(1/1000)*(s_Irr!P5+s_Irr!AO5+s_Irr!BN5),".")</f>
        <v>7779.8391255557553</v>
      </c>
      <c r="CR5" s="93">
        <f>IFERROR(s_C*s_IFPC_far_adj*s_CF_peach*(1/1000)*(s_Irr!Q5+s_Irr!AP5+s_Irr!BO5),".")</f>
        <v>7779.8391255557553</v>
      </c>
      <c r="CS5" s="93">
        <f>IFERROR(s_C*s_IFPR_far_adj*s_CF_pear*(1/1000)*(s_Irr!R5+s_Irr!AQ5+s_Irr!BP5),".")</f>
        <v>7779.8391255557553</v>
      </c>
      <c r="CT5" s="93">
        <f>IFERROR(s_C*s_IFPE_far_adj*s_CF_peas*(1/1000)*(s_Irr!S5+s_Irr!AR5+s_Irr!BQ5),".")</f>
        <v>7779.8391255557553</v>
      </c>
      <c r="CU5" s="93">
        <f>IFERROR(s_C*s_IFPP_far_adj*s_CF_peppers*(1/1000)*(s_Irr!T5+s_Irr!AS5+s_Irr!BR5),".")</f>
        <v>7779.8391255557553</v>
      </c>
      <c r="CV5" s="93">
        <f>IFERROR(s_C*s_IFPT_far_adj*s_CF_potato*(1/1000)*(s_Irr!U5+s_Irr!AT5+s_Irr!BS5),".")</f>
        <v>7779.8391255557553</v>
      </c>
      <c r="CW5" s="93">
        <f>IFERROR(s_C*s_IFPU_far_adj*s_CF_pumpkin*(1/1000)*(s_Irr!V5+s_Irr!AU5+s_Irr!BT5),".")</f>
        <v>7779.8391255557553</v>
      </c>
      <c r="CX5" s="93">
        <f>IFERROR(s_C*s_IFSN_far_adj*s_CF_snap_bean*(1/1000)*(s_Irr!W5+s_Irr!AV5+s_Irr!BU5),".")</f>
        <v>7779.8391255557553</v>
      </c>
      <c r="CY5" s="93">
        <f>IFERROR(s_C*s_IFST_far_adj*s_CF_strawberry*(1/1000)*(s_Irr!X5+s_Irr!AW5+s_Irr!BV5),".")</f>
        <v>7779.8391255557553</v>
      </c>
      <c r="CZ5" s="93">
        <f>IFERROR(s_C*s_IFTO_far_adj*s_CF_tomato*(1/1000)*(s_Irr!Y5+s_Irr!AX5+s_Irr!BW5),".")</f>
        <v>7779.8391255557553</v>
      </c>
      <c r="DA5" s="93">
        <f>IFERROR(s_C*s_IFRI_far_adj*s_CF_rice*(1/1000)*(s_Irr!Z5+s_Irr!AY5+s_Irr!BX5),".")</f>
        <v>7779.8391255557553</v>
      </c>
      <c r="DB5" s="93">
        <f>IFERROR(s_C*s_IFCG_far_adj*s_CF_cereal*(1/1000)*(s_Irr!AA5+s_Irr!AZ5+s_Irr!BY5),".")</f>
        <v>7779.8391255557553</v>
      </c>
    </row>
    <row r="6" spans="1:106" ht="15" customHeight="1" x14ac:dyDescent="0.25">
      <c r="A6" s="92" t="s">
        <v>16</v>
      </c>
      <c r="B6" s="90" t="s">
        <v>1071</v>
      </c>
      <c r="C6" s="15" t="str">
        <f t="shared" si="3"/>
        <v>.</v>
      </c>
      <c r="D6" s="76" t="str">
        <f>IFERROR(IF(AND(s_Irr!C6&lt;&gt;".",s_Irr!AB6&lt;&gt;".",s_Irr!BA6&lt;&gt;"."),s_dir!D6/((1/1000)*(s_Irr!C6+s_Irr!AB6+s_Irr!BA6)),IF(AND(s_Irr!C6&lt;&gt;".",s_Irr!AB6&lt;&gt;".",s_Irr!BA6="."),s_dir!D6/((1/1000)*(s_Irr!C6+s_Irr!AB6)),IF(AND(s_Irr!C6&lt;&gt;".",s_Irr!AB6=".",s_Irr!BA6&lt;&gt;"."),s_dir!D6/((1/1000)*(s_Irr!C6+s_Irr!BA6)),IF(AND(s_Irr!C6=".",s_Irr!AB6&lt;&gt;".",s_Irr!BA6&lt;&gt;"."),s_dir!D6/((1/1000)*(s_Irr!AB6+s_Irr!BA6)),IF(AND(s_Irr!C6=".",s_Irr!AB6=".",s_Irr!BA6&lt;&gt;"."),s_dir!D6/((1/1000)*(s_Irr!BA6)),IF(AND(s_Irr!C6=".",s_Irr!AB6&lt;&gt;".",s_Irr!BA6="."),s_dir!D6/((1/1000)*(s_Irr!AB6)),IF(AND(s_Irr!C6&lt;&gt;".",s_Irr!AB6=".",s_Irr!BA6="."),s_dir!D6/((1/1000)*(s_Irr!C6)),IF(AND(s_Irr!C6=".",s_Irr!AB6=".",s_Irr!BA6="."),s_dir!D6*1000)))))))),".")</f>
        <v>.</v>
      </c>
      <c r="E6" s="76" t="str">
        <f>IFERROR(IF(AND(s_Irr!D6&lt;&gt;".",s_Irr!AC6&lt;&gt;".",s_Irr!BB6&lt;&gt;"."),s_dir!E6/((1/1000)*(s_Irr!D6+s_Irr!AC6+s_Irr!BB6)),IF(AND(s_Irr!D6&lt;&gt;".",s_Irr!AC6&lt;&gt;".",s_Irr!BB6="."),s_dir!E6/((1/1000)*(s_Irr!D6+s_Irr!AC6)),IF(AND(s_Irr!D6&lt;&gt;".",s_Irr!AC6=".",s_Irr!BB6&lt;&gt;"."),s_dir!E6/((1/1000)*(s_Irr!D6+s_Irr!BB6)),IF(AND(s_Irr!D6=".",s_Irr!AC6&lt;&gt;".",s_Irr!BB6&lt;&gt;"."),s_dir!E6/((1/1000)*(s_Irr!AC6+s_Irr!BB6)),IF(AND(s_Irr!D6=".",s_Irr!AC6=".",s_Irr!BB6&lt;&gt;"."),s_dir!E6/((1/1000)*(s_Irr!BB6)),IF(AND(s_Irr!D6=".",s_Irr!AC6&lt;&gt;".",s_Irr!BB6="."),s_dir!E6/((1/1000)*(s_Irr!AC6)),IF(AND(s_Irr!D6&lt;&gt;".",s_Irr!AC6=".",s_Irr!BB6="."),s_dir!E6/((1/1000)*(s_Irr!D6)),IF(AND(s_Irr!D6=".",s_Irr!AC6=".",s_Irr!BB6="."),s_dir!E6*1000)))))))),".")</f>
        <v>.</v>
      </c>
      <c r="F6" s="76" t="str">
        <f>IFERROR(IF(AND(s_Irr!E6&lt;&gt;".",s_Irr!AD6&lt;&gt;".",s_Irr!BC6&lt;&gt;"."),s_dir!F6/((1/1000)*(s_Irr!E6+s_Irr!AD6+s_Irr!BC6)),IF(AND(s_Irr!E6&lt;&gt;".",s_Irr!AD6&lt;&gt;".",s_Irr!BC6="."),s_dir!F6/((1/1000)*(s_Irr!E6+s_Irr!AD6)),IF(AND(s_Irr!E6&lt;&gt;".",s_Irr!AD6=".",s_Irr!BC6&lt;&gt;"."),s_dir!F6/((1/1000)*(s_Irr!E6+s_Irr!BC6)),IF(AND(s_Irr!E6=".",s_Irr!AD6&lt;&gt;".",s_Irr!BC6&lt;&gt;"."),s_dir!F6/((1/1000)*(s_Irr!AD6+s_Irr!BC6)),IF(AND(s_Irr!E6=".",s_Irr!AD6=".",s_Irr!BC6&lt;&gt;"."),s_dir!F6/((1/1000)*(s_Irr!BC6)),IF(AND(s_Irr!E6=".",s_Irr!AD6&lt;&gt;".",s_Irr!BC6="."),s_dir!F6/((1/1000)*(s_Irr!AD6)),IF(AND(s_Irr!E6&lt;&gt;".",s_Irr!AD6=".",s_Irr!BC6="."),s_dir!F6/((1/1000)*(s_Irr!E6)),IF(AND(s_Irr!E6=".",s_Irr!AD6=".",s_Irr!BC6="."),s_dir!F6*1000)))))))),".")</f>
        <v>.</v>
      </c>
      <c r="G6" s="76" t="str">
        <f>IFERROR(IF(AND(s_Irr!F6&lt;&gt;".",s_Irr!AE6&lt;&gt;".",s_Irr!BD6&lt;&gt;"."),s_dir!G6/((1/1000)*(s_Irr!F6+s_Irr!AE6+s_Irr!BD6)),IF(AND(s_Irr!F6&lt;&gt;".",s_Irr!AE6&lt;&gt;".",s_Irr!BD6="."),s_dir!G6/((1/1000)*(s_Irr!F6+s_Irr!AE6)),IF(AND(s_Irr!F6&lt;&gt;".",s_Irr!AE6=".",s_Irr!BD6&lt;&gt;"."),s_dir!G6/((1/1000)*(s_Irr!F6+s_Irr!BD6)),IF(AND(s_Irr!F6=".",s_Irr!AE6&lt;&gt;".",s_Irr!BD6&lt;&gt;"."),s_dir!G6/((1/1000)*(s_Irr!AE6+s_Irr!BD6)),IF(AND(s_Irr!F6=".",s_Irr!AE6=".",s_Irr!BD6&lt;&gt;"."),s_dir!G6/((1/1000)*(s_Irr!BD6)),IF(AND(s_Irr!F6=".",s_Irr!AE6&lt;&gt;".",s_Irr!BD6="."),s_dir!G6/((1/1000)*(s_Irr!AE6)),IF(AND(s_Irr!F6&lt;&gt;".",s_Irr!AE6=".",s_Irr!BD6="."),s_dir!G6/((1/1000)*(s_Irr!F6)),IF(AND(s_Irr!F6=".",s_Irr!AE6=".",s_Irr!BD6="."),s_dir!G6*1000)))))))),".")</f>
        <v>.</v>
      </c>
      <c r="H6" s="76" t="str">
        <f>IFERROR(IF(AND(s_Irr!G6&lt;&gt;".",s_Irr!AF6&lt;&gt;".",s_Irr!BE6&lt;&gt;"."),s_dir!H6/((1/1000)*(s_Irr!G6+s_Irr!AF6+s_Irr!BE6)),IF(AND(s_Irr!G6&lt;&gt;".",s_Irr!AF6&lt;&gt;".",s_Irr!BE6="."),s_dir!H6/((1/1000)*(s_Irr!G6+s_Irr!AF6)),IF(AND(s_Irr!G6&lt;&gt;".",s_Irr!AF6=".",s_Irr!BE6&lt;&gt;"."),s_dir!H6/((1/1000)*(s_Irr!G6+s_Irr!BE6)),IF(AND(s_Irr!G6=".",s_Irr!AF6&lt;&gt;".",s_Irr!BE6&lt;&gt;"."),s_dir!H6/((1/1000)*(s_Irr!AF6+s_Irr!BE6)),IF(AND(s_Irr!G6=".",s_Irr!AF6=".",s_Irr!BE6&lt;&gt;"."),s_dir!H6/((1/1000)*(s_Irr!BE6)),IF(AND(s_Irr!G6=".",s_Irr!AF6&lt;&gt;".",s_Irr!BE6="."),s_dir!H6/((1/1000)*(s_Irr!AF6)),IF(AND(s_Irr!G6&lt;&gt;".",s_Irr!AF6=".",s_Irr!BE6="."),s_dir!H6/((1/1000)*(s_Irr!G6)),IF(AND(s_Irr!G6=".",s_Irr!AF6=".",s_Irr!BE6="."),s_dir!H6*1000)))))))),".")</f>
        <v>.</v>
      </c>
      <c r="I6" s="76" t="str">
        <f>IFERROR(IF(AND(s_Irr!H6&lt;&gt;".",s_Irr!AG6&lt;&gt;".",s_Irr!BF6&lt;&gt;"."),s_dir!I6/((1/1000)*(s_Irr!H6+s_Irr!AG6+s_Irr!BF6)),IF(AND(s_Irr!H6&lt;&gt;".",s_Irr!AG6&lt;&gt;".",s_Irr!BF6="."),s_dir!I6/((1/1000)*(s_Irr!H6+s_Irr!AG6)),IF(AND(s_Irr!H6&lt;&gt;".",s_Irr!AG6=".",s_Irr!BF6&lt;&gt;"."),s_dir!I6/((1/1000)*(s_Irr!H6+s_Irr!BF6)),IF(AND(s_Irr!H6=".",s_Irr!AG6&lt;&gt;".",s_Irr!BF6&lt;&gt;"."),s_dir!I6/((1/1000)*(s_Irr!AG6+s_Irr!BF6)),IF(AND(s_Irr!H6=".",s_Irr!AG6=".",s_Irr!BF6&lt;&gt;"."),s_dir!I6/((1/1000)*(s_Irr!BF6)),IF(AND(s_Irr!H6=".",s_Irr!AG6&lt;&gt;".",s_Irr!BF6="."),s_dir!I6/((1/1000)*(s_Irr!AG6)),IF(AND(s_Irr!H6&lt;&gt;".",s_Irr!AG6=".",s_Irr!BF6="."),s_dir!I6/((1/1000)*(s_Irr!H6)),IF(AND(s_Irr!H6=".",s_Irr!AG6=".",s_Irr!BF6="."),s_dir!I6*1000)))))))),".")</f>
        <v>.</v>
      </c>
      <c r="J6" s="76" t="str">
        <f>IFERROR(IF(AND(s_Irr!I6&lt;&gt;".",s_Irr!AH6&lt;&gt;".",s_Irr!BG6&lt;&gt;"."),s_dir!J6/((1/1000)*(s_Irr!I6+s_Irr!AH6+s_Irr!BG6)),IF(AND(s_Irr!I6&lt;&gt;".",s_Irr!AH6&lt;&gt;".",s_Irr!BG6="."),s_dir!J6/((1/1000)*(s_Irr!I6+s_Irr!AH6)),IF(AND(s_Irr!I6&lt;&gt;".",s_Irr!AH6=".",s_Irr!BG6&lt;&gt;"."),s_dir!J6/((1/1000)*(s_Irr!I6+s_Irr!BG6)),IF(AND(s_Irr!I6=".",s_Irr!AH6&lt;&gt;".",s_Irr!BG6&lt;&gt;"."),s_dir!J6/((1/1000)*(s_Irr!AH6+s_Irr!BG6)),IF(AND(s_Irr!I6=".",s_Irr!AH6=".",s_Irr!BG6&lt;&gt;"."),s_dir!J6/((1/1000)*(s_Irr!BG6)),IF(AND(s_Irr!I6=".",s_Irr!AH6&lt;&gt;".",s_Irr!BG6="."),s_dir!J6/((1/1000)*(s_Irr!AH6)),IF(AND(s_Irr!I6&lt;&gt;".",s_Irr!AH6=".",s_Irr!BG6="."),s_dir!J6/((1/1000)*(s_Irr!I6)),IF(AND(s_Irr!I6=".",s_Irr!AH6=".",s_Irr!BG6="."),s_dir!J6*1000)))))))),".")</f>
        <v>.</v>
      </c>
      <c r="K6" s="76" t="str">
        <f>IFERROR(IF(AND(s_Irr!J6&lt;&gt;".",s_Irr!AI6&lt;&gt;".",s_Irr!BH6&lt;&gt;"."),s_dir!K6/((1/1000)*(s_Irr!J6+s_Irr!AI6+s_Irr!BH6)),IF(AND(s_Irr!J6&lt;&gt;".",s_Irr!AI6&lt;&gt;".",s_Irr!BH6="."),s_dir!K6/((1/1000)*(s_Irr!J6+s_Irr!AI6)),IF(AND(s_Irr!J6&lt;&gt;".",s_Irr!AI6=".",s_Irr!BH6&lt;&gt;"."),s_dir!K6/((1/1000)*(s_Irr!J6+s_Irr!BH6)),IF(AND(s_Irr!J6=".",s_Irr!AI6&lt;&gt;".",s_Irr!BH6&lt;&gt;"."),s_dir!K6/((1/1000)*(s_Irr!AI6+s_Irr!BH6)),IF(AND(s_Irr!J6=".",s_Irr!AI6=".",s_Irr!BH6&lt;&gt;"."),s_dir!K6/((1/1000)*(s_Irr!BH6)),IF(AND(s_Irr!J6=".",s_Irr!AI6&lt;&gt;".",s_Irr!BH6="."),s_dir!K6/((1/1000)*(s_Irr!AI6)),IF(AND(s_Irr!J6&lt;&gt;".",s_Irr!AI6=".",s_Irr!BH6="."),s_dir!K6/((1/1000)*(s_Irr!J6)),IF(AND(s_Irr!J6=".",s_Irr!AI6=".",s_Irr!BH6="."),s_dir!K6*1000)))))))),".")</f>
        <v>.</v>
      </c>
      <c r="L6" s="76" t="str">
        <f>IFERROR(IF(AND(s_Irr!K6&lt;&gt;".",s_Irr!AJ6&lt;&gt;".",s_Irr!BI6&lt;&gt;"."),s_dir!L6/((1/1000)*(s_Irr!K6+s_Irr!AJ6+s_Irr!BI6)),IF(AND(s_Irr!K6&lt;&gt;".",s_Irr!AJ6&lt;&gt;".",s_Irr!BI6="."),s_dir!L6/((1/1000)*(s_Irr!K6+s_Irr!AJ6)),IF(AND(s_Irr!K6&lt;&gt;".",s_Irr!AJ6=".",s_Irr!BI6&lt;&gt;"."),s_dir!L6/((1/1000)*(s_Irr!K6+s_Irr!BI6)),IF(AND(s_Irr!K6=".",s_Irr!AJ6&lt;&gt;".",s_Irr!BI6&lt;&gt;"."),s_dir!L6/((1/1000)*(s_Irr!AJ6+s_Irr!BI6)),IF(AND(s_Irr!K6=".",s_Irr!AJ6=".",s_Irr!BI6&lt;&gt;"."),s_dir!L6/((1/1000)*(s_Irr!BI6)),IF(AND(s_Irr!K6=".",s_Irr!AJ6&lt;&gt;".",s_Irr!BI6="."),s_dir!L6/((1/1000)*(s_Irr!AJ6)),IF(AND(s_Irr!K6&lt;&gt;".",s_Irr!AJ6=".",s_Irr!BI6="."),s_dir!L6/((1/1000)*(s_Irr!K6)),IF(AND(s_Irr!K6=".",s_Irr!AJ6=".",s_Irr!BI6="."),s_dir!L6*1000)))))))),".")</f>
        <v>.</v>
      </c>
      <c r="M6" s="76" t="str">
        <f>IFERROR(IF(AND(s_Irr!L6&lt;&gt;".",s_Irr!AK6&lt;&gt;".",s_Irr!BJ6&lt;&gt;"."),s_dir!M6/((1/1000)*(s_Irr!L6+s_Irr!AK6+s_Irr!BJ6)),IF(AND(s_Irr!L6&lt;&gt;".",s_Irr!AK6&lt;&gt;".",s_Irr!BJ6="."),s_dir!M6/((1/1000)*(s_Irr!L6+s_Irr!AK6)),IF(AND(s_Irr!L6&lt;&gt;".",s_Irr!AK6=".",s_Irr!BJ6&lt;&gt;"."),s_dir!M6/((1/1000)*(s_Irr!L6+s_Irr!BJ6)),IF(AND(s_Irr!L6=".",s_Irr!AK6&lt;&gt;".",s_Irr!BJ6&lt;&gt;"."),s_dir!M6/((1/1000)*(s_Irr!AK6+s_Irr!BJ6)),IF(AND(s_Irr!L6=".",s_Irr!AK6=".",s_Irr!BJ6&lt;&gt;"."),s_dir!M6/((1/1000)*(s_Irr!BJ6)),IF(AND(s_Irr!L6=".",s_Irr!AK6&lt;&gt;".",s_Irr!BJ6="."),s_dir!M6/((1/1000)*(s_Irr!AK6)),IF(AND(s_Irr!L6&lt;&gt;".",s_Irr!AK6=".",s_Irr!BJ6="."),s_dir!M6/((1/1000)*(s_Irr!L6)),IF(AND(s_Irr!L6=".",s_Irr!AK6=".",s_Irr!BJ6="."),s_dir!M6*1000)))))))),".")</f>
        <v>.</v>
      </c>
      <c r="N6" s="76" t="str">
        <f>IFERROR(IF(AND(s_Irr!M6&lt;&gt;".",s_Irr!AL6&lt;&gt;".",s_Irr!BK6&lt;&gt;"."),s_dir!N6/((1/1000)*(s_Irr!M6+s_Irr!AL6+s_Irr!BK6)),IF(AND(s_Irr!M6&lt;&gt;".",s_Irr!AL6&lt;&gt;".",s_Irr!BK6="."),s_dir!N6/((1/1000)*(s_Irr!M6+s_Irr!AL6)),IF(AND(s_Irr!M6&lt;&gt;".",s_Irr!AL6=".",s_Irr!BK6&lt;&gt;"."),s_dir!N6/((1/1000)*(s_Irr!M6+s_Irr!BK6)),IF(AND(s_Irr!M6=".",s_Irr!AL6&lt;&gt;".",s_Irr!BK6&lt;&gt;"."),s_dir!N6/((1/1000)*(s_Irr!AL6+s_Irr!BK6)),IF(AND(s_Irr!M6=".",s_Irr!AL6=".",s_Irr!BK6&lt;&gt;"."),s_dir!N6/((1/1000)*(s_Irr!BK6)),IF(AND(s_Irr!M6=".",s_Irr!AL6&lt;&gt;".",s_Irr!BK6="."),s_dir!N6/((1/1000)*(s_Irr!AL6)),IF(AND(s_Irr!M6&lt;&gt;".",s_Irr!AL6=".",s_Irr!BK6="."),s_dir!N6/((1/1000)*(s_Irr!M6)),IF(AND(s_Irr!M6=".",s_Irr!AL6=".",s_Irr!BK6="."),s_dir!N6*1000)))))))),".")</f>
        <v>.</v>
      </c>
      <c r="O6" s="76" t="str">
        <f>IFERROR(IF(AND(s_Irr!N6&lt;&gt;".",s_Irr!AM6&lt;&gt;".",s_Irr!BL6&lt;&gt;"."),s_dir!O6/((1/1000)*(s_Irr!N6+s_Irr!AM6+s_Irr!BL6)),IF(AND(s_Irr!N6&lt;&gt;".",s_Irr!AM6&lt;&gt;".",s_Irr!BL6="."),s_dir!O6/((1/1000)*(s_Irr!N6+s_Irr!AM6)),IF(AND(s_Irr!N6&lt;&gt;".",s_Irr!AM6=".",s_Irr!BL6&lt;&gt;"."),s_dir!O6/((1/1000)*(s_Irr!N6+s_Irr!BL6)),IF(AND(s_Irr!N6=".",s_Irr!AM6&lt;&gt;".",s_Irr!BL6&lt;&gt;"."),s_dir!O6/((1/1000)*(s_Irr!AM6+s_Irr!BL6)),IF(AND(s_Irr!N6=".",s_Irr!AM6=".",s_Irr!BL6&lt;&gt;"."),s_dir!O6/((1/1000)*(s_Irr!BL6)),IF(AND(s_Irr!N6=".",s_Irr!AM6&lt;&gt;".",s_Irr!BL6="."),s_dir!O6/((1/1000)*(s_Irr!AM6)),IF(AND(s_Irr!N6&lt;&gt;".",s_Irr!AM6=".",s_Irr!BL6="."),s_dir!O6/((1/1000)*(s_Irr!N6)),IF(AND(s_Irr!N6=".",s_Irr!AM6=".",s_Irr!BL6="."),s_dir!O6*1000)))))))),".")</f>
        <v>.</v>
      </c>
      <c r="P6" s="76" t="str">
        <f>IFERROR(IF(AND(s_Irr!O6&lt;&gt;".",s_Irr!AN6&lt;&gt;".",s_Irr!BM6&lt;&gt;"."),s_dir!P6/((1/1000)*(s_Irr!O6+s_Irr!AN6+s_Irr!BM6)),IF(AND(s_Irr!O6&lt;&gt;".",s_Irr!AN6&lt;&gt;".",s_Irr!BM6="."),s_dir!P6/((1/1000)*(s_Irr!O6+s_Irr!AN6)),IF(AND(s_Irr!O6&lt;&gt;".",s_Irr!AN6=".",s_Irr!BM6&lt;&gt;"."),s_dir!P6/((1/1000)*(s_Irr!O6+s_Irr!BM6)),IF(AND(s_Irr!O6=".",s_Irr!AN6&lt;&gt;".",s_Irr!BM6&lt;&gt;"."),s_dir!P6/((1/1000)*(s_Irr!AN6+s_Irr!BM6)),IF(AND(s_Irr!O6=".",s_Irr!AN6=".",s_Irr!BM6&lt;&gt;"."),s_dir!P6/((1/1000)*(s_Irr!BM6)),IF(AND(s_Irr!O6=".",s_Irr!AN6&lt;&gt;".",s_Irr!BM6="."),s_dir!P6/((1/1000)*(s_Irr!AN6)),IF(AND(s_Irr!O6&lt;&gt;".",s_Irr!AN6=".",s_Irr!BM6="."),s_dir!P6/((1/1000)*(s_Irr!O6)),IF(AND(s_Irr!O6=".",s_Irr!AN6=".",s_Irr!BM6="."),s_dir!P6*1000)))))))),".")</f>
        <v>.</v>
      </c>
      <c r="Q6" s="76" t="str">
        <f>IFERROR(IF(AND(s_Irr!P6&lt;&gt;".",s_Irr!AO6&lt;&gt;".",s_Irr!BN6&lt;&gt;"."),s_dir!Q6/((1/1000)*(s_Irr!P6+s_Irr!AO6+s_Irr!BN6)),IF(AND(s_Irr!P6&lt;&gt;".",s_Irr!AO6&lt;&gt;".",s_Irr!BN6="."),s_dir!Q6/((1/1000)*(s_Irr!P6+s_Irr!AO6)),IF(AND(s_Irr!P6&lt;&gt;".",s_Irr!AO6=".",s_Irr!BN6&lt;&gt;"."),s_dir!Q6/((1/1000)*(s_Irr!P6+s_Irr!BN6)),IF(AND(s_Irr!P6=".",s_Irr!AO6&lt;&gt;".",s_Irr!BN6&lt;&gt;"."),s_dir!Q6/((1/1000)*(s_Irr!AO6+s_Irr!BN6)),IF(AND(s_Irr!P6=".",s_Irr!AO6=".",s_Irr!BN6&lt;&gt;"."),s_dir!Q6/((1/1000)*(s_Irr!BN6)),IF(AND(s_Irr!P6=".",s_Irr!AO6&lt;&gt;".",s_Irr!BN6="."),s_dir!Q6/((1/1000)*(s_Irr!AO6)),IF(AND(s_Irr!P6&lt;&gt;".",s_Irr!AO6=".",s_Irr!BN6="."),s_dir!Q6/((1/1000)*(s_Irr!P6)),IF(AND(s_Irr!P6=".",s_Irr!AO6=".",s_Irr!BN6="."),s_dir!Q6*1000)))))))),".")</f>
        <v>.</v>
      </c>
      <c r="R6" s="76" t="str">
        <f>IFERROR(IF(AND(s_Irr!Q6&lt;&gt;".",s_Irr!AP6&lt;&gt;".",s_Irr!BO6&lt;&gt;"."),s_dir!R6/((1/1000)*(s_Irr!Q6+s_Irr!AP6+s_Irr!BO6)),IF(AND(s_Irr!Q6&lt;&gt;".",s_Irr!AP6&lt;&gt;".",s_Irr!BO6="."),s_dir!R6/((1/1000)*(s_Irr!Q6+s_Irr!AP6)),IF(AND(s_Irr!Q6&lt;&gt;".",s_Irr!AP6=".",s_Irr!BO6&lt;&gt;"."),s_dir!R6/((1/1000)*(s_Irr!Q6+s_Irr!BO6)),IF(AND(s_Irr!Q6=".",s_Irr!AP6&lt;&gt;".",s_Irr!BO6&lt;&gt;"."),s_dir!R6/((1/1000)*(s_Irr!AP6+s_Irr!BO6)),IF(AND(s_Irr!Q6=".",s_Irr!AP6=".",s_Irr!BO6&lt;&gt;"."),s_dir!R6/((1/1000)*(s_Irr!BO6)),IF(AND(s_Irr!Q6=".",s_Irr!AP6&lt;&gt;".",s_Irr!BO6="."),s_dir!R6/((1/1000)*(s_Irr!AP6)),IF(AND(s_Irr!Q6&lt;&gt;".",s_Irr!AP6=".",s_Irr!BO6="."),s_dir!R6/((1/1000)*(s_Irr!Q6)),IF(AND(s_Irr!Q6=".",s_Irr!AP6=".",s_Irr!BO6="."),s_dir!R6*1000)))))))),".")</f>
        <v>.</v>
      </c>
      <c r="S6" s="76" t="str">
        <f>IFERROR(IF(AND(s_Irr!R6&lt;&gt;".",s_Irr!AQ6&lt;&gt;".",s_Irr!BP6&lt;&gt;"."),s_dir!S6/((1/1000)*(s_Irr!R6+s_Irr!AQ6+s_Irr!BP6)),IF(AND(s_Irr!R6&lt;&gt;".",s_Irr!AQ6&lt;&gt;".",s_Irr!BP6="."),s_dir!S6/((1/1000)*(s_Irr!R6+s_Irr!AQ6)),IF(AND(s_Irr!R6&lt;&gt;".",s_Irr!AQ6=".",s_Irr!BP6&lt;&gt;"."),s_dir!S6/((1/1000)*(s_Irr!R6+s_Irr!BP6)),IF(AND(s_Irr!R6=".",s_Irr!AQ6&lt;&gt;".",s_Irr!BP6&lt;&gt;"."),s_dir!S6/((1/1000)*(s_Irr!AQ6+s_Irr!BP6)),IF(AND(s_Irr!R6=".",s_Irr!AQ6=".",s_Irr!BP6&lt;&gt;"."),s_dir!S6/((1/1000)*(s_Irr!BP6)),IF(AND(s_Irr!R6=".",s_Irr!AQ6&lt;&gt;".",s_Irr!BP6="."),s_dir!S6/((1/1000)*(s_Irr!AQ6)),IF(AND(s_Irr!R6&lt;&gt;".",s_Irr!AQ6=".",s_Irr!BP6="."),s_dir!S6/((1/1000)*(s_Irr!R6)),IF(AND(s_Irr!R6=".",s_Irr!AQ6=".",s_Irr!BP6="."),s_dir!S6*1000)))))))),".")</f>
        <v>.</v>
      </c>
      <c r="T6" s="76" t="str">
        <f>IFERROR(IF(AND(s_Irr!S6&lt;&gt;".",s_Irr!AR6&lt;&gt;".",s_Irr!BQ6&lt;&gt;"."),s_dir!T6/((1/1000)*(s_Irr!S6+s_Irr!AR6+s_Irr!BQ6)),IF(AND(s_Irr!S6&lt;&gt;".",s_Irr!AR6&lt;&gt;".",s_Irr!BQ6="."),s_dir!T6/((1/1000)*(s_Irr!S6+s_Irr!AR6)),IF(AND(s_Irr!S6&lt;&gt;".",s_Irr!AR6=".",s_Irr!BQ6&lt;&gt;"."),s_dir!T6/((1/1000)*(s_Irr!S6+s_Irr!BQ6)),IF(AND(s_Irr!S6=".",s_Irr!AR6&lt;&gt;".",s_Irr!BQ6&lt;&gt;"."),s_dir!T6/((1/1000)*(s_Irr!AR6+s_Irr!BQ6)),IF(AND(s_Irr!S6=".",s_Irr!AR6=".",s_Irr!BQ6&lt;&gt;"."),s_dir!T6/((1/1000)*(s_Irr!BQ6)),IF(AND(s_Irr!S6=".",s_Irr!AR6&lt;&gt;".",s_Irr!BQ6="."),s_dir!T6/((1/1000)*(s_Irr!AR6)),IF(AND(s_Irr!S6&lt;&gt;".",s_Irr!AR6=".",s_Irr!BQ6="."),s_dir!T6/((1/1000)*(s_Irr!S6)),IF(AND(s_Irr!S6=".",s_Irr!AR6=".",s_Irr!BQ6="."),s_dir!T6*1000)))))))),".")</f>
        <v>.</v>
      </c>
      <c r="U6" s="76" t="str">
        <f>IFERROR(IF(AND(s_Irr!T6&lt;&gt;".",s_Irr!AS6&lt;&gt;".",s_Irr!BR6&lt;&gt;"."),s_dir!U6/((1/1000)*(s_Irr!T6+s_Irr!AS6+s_Irr!BR6)),IF(AND(s_Irr!T6&lt;&gt;".",s_Irr!AS6&lt;&gt;".",s_Irr!BR6="."),s_dir!U6/((1/1000)*(s_Irr!T6+s_Irr!AS6)),IF(AND(s_Irr!T6&lt;&gt;".",s_Irr!AS6=".",s_Irr!BR6&lt;&gt;"."),s_dir!U6/((1/1000)*(s_Irr!T6+s_Irr!BR6)),IF(AND(s_Irr!T6=".",s_Irr!AS6&lt;&gt;".",s_Irr!BR6&lt;&gt;"."),s_dir!U6/((1/1000)*(s_Irr!AS6+s_Irr!BR6)),IF(AND(s_Irr!T6=".",s_Irr!AS6=".",s_Irr!BR6&lt;&gt;"."),s_dir!U6/((1/1000)*(s_Irr!BR6)),IF(AND(s_Irr!T6=".",s_Irr!AS6&lt;&gt;".",s_Irr!BR6="."),s_dir!U6/((1/1000)*(s_Irr!AS6)),IF(AND(s_Irr!T6&lt;&gt;".",s_Irr!AS6=".",s_Irr!BR6="."),s_dir!U6/((1/1000)*(s_Irr!T6)),IF(AND(s_Irr!T6=".",s_Irr!AS6=".",s_Irr!BR6="."),s_dir!U6*1000)))))))),".")</f>
        <v>.</v>
      </c>
      <c r="V6" s="76" t="str">
        <f>IFERROR(IF(AND(s_Irr!U6&lt;&gt;".",s_Irr!AT6&lt;&gt;".",s_Irr!BS6&lt;&gt;"."),s_dir!V6/((1/1000)*(s_Irr!U6+s_Irr!AT6+s_Irr!BS6)),IF(AND(s_Irr!U6&lt;&gt;".",s_Irr!AT6&lt;&gt;".",s_Irr!BS6="."),s_dir!V6/((1/1000)*(s_Irr!U6+s_Irr!AT6)),IF(AND(s_Irr!U6&lt;&gt;".",s_Irr!AT6=".",s_Irr!BS6&lt;&gt;"."),s_dir!V6/((1/1000)*(s_Irr!U6+s_Irr!BS6)),IF(AND(s_Irr!U6=".",s_Irr!AT6&lt;&gt;".",s_Irr!BS6&lt;&gt;"."),s_dir!V6/((1/1000)*(s_Irr!AT6+s_Irr!BS6)),IF(AND(s_Irr!U6=".",s_Irr!AT6=".",s_Irr!BS6&lt;&gt;"."),s_dir!V6/((1/1000)*(s_Irr!BS6)),IF(AND(s_Irr!U6=".",s_Irr!AT6&lt;&gt;".",s_Irr!BS6="."),s_dir!V6/((1/1000)*(s_Irr!AT6)),IF(AND(s_Irr!U6&lt;&gt;".",s_Irr!AT6=".",s_Irr!BS6="."),s_dir!V6/((1/1000)*(s_Irr!U6)),IF(AND(s_Irr!U6=".",s_Irr!AT6=".",s_Irr!BS6="."),s_dir!V6*1000)))))))),".")</f>
        <v>.</v>
      </c>
      <c r="W6" s="76" t="str">
        <f>IFERROR(IF(AND(s_Irr!V6&lt;&gt;".",s_Irr!AU6&lt;&gt;".",s_Irr!BT6&lt;&gt;"."),s_dir!W6/((1/1000)*(s_Irr!V6+s_Irr!AU6+s_Irr!BT6)),IF(AND(s_Irr!V6&lt;&gt;".",s_Irr!AU6&lt;&gt;".",s_Irr!BT6="."),s_dir!W6/((1/1000)*(s_Irr!V6+s_Irr!AU6)),IF(AND(s_Irr!V6&lt;&gt;".",s_Irr!AU6=".",s_Irr!BT6&lt;&gt;"."),s_dir!W6/((1/1000)*(s_Irr!V6+s_Irr!BT6)),IF(AND(s_Irr!V6=".",s_Irr!AU6&lt;&gt;".",s_Irr!BT6&lt;&gt;"."),s_dir!W6/((1/1000)*(s_Irr!AU6+s_Irr!BT6)),IF(AND(s_Irr!V6=".",s_Irr!AU6=".",s_Irr!BT6&lt;&gt;"."),s_dir!W6/((1/1000)*(s_Irr!BT6)),IF(AND(s_Irr!V6=".",s_Irr!AU6&lt;&gt;".",s_Irr!BT6="."),s_dir!W6/((1/1000)*(s_Irr!AU6)),IF(AND(s_Irr!V6&lt;&gt;".",s_Irr!AU6=".",s_Irr!BT6="."),s_dir!W6/((1/1000)*(s_Irr!V6)),IF(AND(s_Irr!V6=".",s_Irr!AU6=".",s_Irr!BT6="."),s_dir!W6*1000)))))))),".")</f>
        <v>.</v>
      </c>
      <c r="X6" s="76" t="str">
        <f>IFERROR(IF(AND(s_Irr!W6&lt;&gt;".",s_Irr!AV6&lt;&gt;".",s_Irr!BU6&lt;&gt;"."),s_dir!X6/((1/1000)*(s_Irr!W6+s_Irr!AV6+s_Irr!BU6)),IF(AND(s_Irr!W6&lt;&gt;".",s_Irr!AV6&lt;&gt;".",s_Irr!BU6="."),s_dir!X6/((1/1000)*(s_Irr!W6+s_Irr!AV6)),IF(AND(s_Irr!W6&lt;&gt;".",s_Irr!AV6=".",s_Irr!BU6&lt;&gt;"."),s_dir!X6/((1/1000)*(s_Irr!W6+s_Irr!BU6)),IF(AND(s_Irr!W6=".",s_Irr!AV6&lt;&gt;".",s_Irr!BU6&lt;&gt;"."),s_dir!X6/((1/1000)*(s_Irr!AV6+s_Irr!BU6)),IF(AND(s_Irr!W6=".",s_Irr!AV6=".",s_Irr!BU6&lt;&gt;"."),s_dir!X6/((1/1000)*(s_Irr!BU6)),IF(AND(s_Irr!W6=".",s_Irr!AV6&lt;&gt;".",s_Irr!BU6="."),s_dir!X6/((1/1000)*(s_Irr!AV6)),IF(AND(s_Irr!W6&lt;&gt;".",s_Irr!AV6=".",s_Irr!BU6="."),s_dir!X6/((1/1000)*(s_Irr!W6)),IF(AND(s_Irr!W6=".",s_Irr!AV6=".",s_Irr!BU6="."),s_dir!X6*1000)))))))),".")</f>
        <v>.</v>
      </c>
      <c r="Y6" s="76" t="str">
        <f>IFERROR(IF(AND(s_Irr!X6&lt;&gt;".",s_Irr!AW6&lt;&gt;".",s_Irr!BV6&lt;&gt;"."),s_dir!Y6/((1/1000)*(s_Irr!X6+s_Irr!AW6+s_Irr!BV6)),IF(AND(s_Irr!X6&lt;&gt;".",s_Irr!AW6&lt;&gt;".",s_Irr!BV6="."),s_dir!Y6/((1/1000)*(s_Irr!X6+s_Irr!AW6)),IF(AND(s_Irr!X6&lt;&gt;".",s_Irr!AW6=".",s_Irr!BV6&lt;&gt;"."),s_dir!Y6/((1/1000)*(s_Irr!X6+s_Irr!BV6)),IF(AND(s_Irr!X6=".",s_Irr!AW6&lt;&gt;".",s_Irr!BV6&lt;&gt;"."),s_dir!Y6/((1/1000)*(s_Irr!AW6+s_Irr!BV6)),IF(AND(s_Irr!X6=".",s_Irr!AW6=".",s_Irr!BV6&lt;&gt;"."),s_dir!Y6/((1/1000)*(s_Irr!BV6)),IF(AND(s_Irr!X6=".",s_Irr!AW6&lt;&gt;".",s_Irr!BV6="."),s_dir!Y6/((1/1000)*(s_Irr!AW6)),IF(AND(s_Irr!X6&lt;&gt;".",s_Irr!AW6=".",s_Irr!BV6="."),s_dir!Y6/((1/1000)*(s_Irr!X6)),IF(AND(s_Irr!X6=".",s_Irr!AW6=".",s_Irr!BV6="."),s_dir!Y6*1000)))))))),".")</f>
        <v>.</v>
      </c>
      <c r="Z6" s="76" t="str">
        <f>IFERROR(IF(AND(s_Irr!Y6&lt;&gt;".",s_Irr!AX6&lt;&gt;".",s_Irr!BW6&lt;&gt;"."),s_dir!Z6/((1/1000)*(s_Irr!Y6+s_Irr!AX6+s_Irr!BW6)),IF(AND(s_Irr!Y6&lt;&gt;".",s_Irr!AX6&lt;&gt;".",s_Irr!BW6="."),s_dir!Z6/((1/1000)*(s_Irr!Y6+s_Irr!AX6)),IF(AND(s_Irr!Y6&lt;&gt;".",s_Irr!AX6=".",s_Irr!BW6&lt;&gt;"."),s_dir!Z6/((1/1000)*(s_Irr!Y6+s_Irr!BW6)),IF(AND(s_Irr!Y6=".",s_Irr!AX6&lt;&gt;".",s_Irr!BW6&lt;&gt;"."),s_dir!Z6/((1/1000)*(s_Irr!AX6+s_Irr!BW6)),IF(AND(s_Irr!Y6=".",s_Irr!AX6=".",s_Irr!BW6&lt;&gt;"."),s_dir!Z6/((1/1000)*(s_Irr!BW6)),IF(AND(s_Irr!Y6=".",s_Irr!AX6&lt;&gt;".",s_Irr!BW6="."),s_dir!Z6/((1/1000)*(s_Irr!AX6)),IF(AND(s_Irr!Y6&lt;&gt;".",s_Irr!AX6=".",s_Irr!BW6="."),s_dir!Z6/((1/1000)*(s_Irr!Y6)),IF(AND(s_Irr!Y6=".",s_Irr!AX6=".",s_Irr!BW6="."),s_dir!Z6*1000)))))))),".")</f>
        <v>.</v>
      </c>
      <c r="AA6" s="76" t="str">
        <f>IFERROR(IF(AND(s_Irr!Z6&lt;&gt;".",s_Irr!AY6&lt;&gt;".",s_Irr!BX6&lt;&gt;"."),s_dir!AA6/((1/1000)*(s_Irr!Z6+s_Irr!AY6+s_Irr!BX6)),IF(AND(s_Irr!Z6&lt;&gt;".",s_Irr!AY6&lt;&gt;".",s_Irr!BX6="."),s_dir!AA6/((1/1000)*(s_Irr!Z6+s_Irr!AY6)),IF(AND(s_Irr!Z6&lt;&gt;".",s_Irr!AY6=".",s_Irr!BX6&lt;&gt;"."),s_dir!AA6/((1/1000)*(s_Irr!Z6+s_Irr!BX6)),IF(AND(s_Irr!Z6=".",s_Irr!AY6&lt;&gt;".",s_Irr!BX6&lt;&gt;"."),s_dir!AA6/((1/1000)*(s_Irr!AY6+s_Irr!BX6)),IF(AND(s_Irr!Z6=".",s_Irr!AY6=".",s_Irr!BX6&lt;&gt;"."),s_dir!AA6/((1/1000)*(s_Irr!BX6)),IF(AND(s_Irr!Z6=".",s_Irr!AY6&lt;&gt;".",s_Irr!BX6="."),s_dir!AA6/((1/1000)*(s_Irr!AY6)),IF(AND(s_Irr!Z6&lt;&gt;".",s_Irr!AY6=".",s_Irr!BX6="."),s_dir!AA6/((1/1000)*(s_Irr!Z6)),IF(AND(s_Irr!Z6=".",s_Irr!AY6=".",s_Irr!BX6="."),s_dir!AA6*1000)))))))),".")</f>
        <v>.</v>
      </c>
      <c r="AB6" s="76" t="str">
        <f>IFERROR(IF(AND(s_Irr!AA6&lt;&gt;".",s_Irr!AZ6&lt;&gt;".",s_Irr!BY6&lt;&gt;"."),s_dir!AB6/((1/1000)*(s_Irr!AA6+s_Irr!AZ6+s_Irr!BY6)),IF(AND(s_Irr!AA6&lt;&gt;".",s_Irr!AZ6&lt;&gt;".",s_Irr!BY6="."),s_dir!AB6/((1/1000)*(s_Irr!AA6+s_Irr!AZ6)),IF(AND(s_Irr!AA6&lt;&gt;".",s_Irr!AZ6=".",s_Irr!BY6&lt;&gt;"."),s_dir!AB6/((1/1000)*(s_Irr!AA6+s_Irr!BY6)),IF(AND(s_Irr!AA6=".",s_Irr!AZ6&lt;&gt;".",s_Irr!BY6&lt;&gt;"."),s_dir!AB6/((1/1000)*(s_Irr!AZ6+s_Irr!BY6)),IF(AND(s_Irr!AA6=".",s_Irr!AZ6=".",s_Irr!BY6&lt;&gt;"."),s_dir!AB6/((1/1000)*(s_Irr!BY6)),IF(AND(s_Irr!AA6=".",s_Irr!AZ6&lt;&gt;".",s_Irr!BY6="."),s_dir!AB6/((1/1000)*(s_Irr!AZ6)),IF(AND(s_Irr!AA6&lt;&gt;".",s_Irr!AZ6=".",s_Irr!BY6="."),s_dir!AB6/((1/1000)*(s_Irr!AA6)),IF(AND(s_Irr!AA6=".",s_Irr!AZ6=".",s_Irr!BY6="."),s_dir!AB6*1000)))))))),".")</f>
        <v>.</v>
      </c>
      <c r="AC6" s="93">
        <f t="shared" si="4"/>
        <v>7735.942276775394</v>
      </c>
      <c r="AD6" s="93">
        <f>IFERROR(s_C*s_IFAP_res_adj*s_CF_apple*0.001*(s_Irr!C6+s_Irr!AB6+s_Irr!BA6),".")</f>
        <v>2069.677052148757</v>
      </c>
      <c r="AE6" s="93">
        <f>IFERROR(s_C*s_IFAS_res_adj*s_CF_asparagus*0.001*(s_Irr!D6+s_Irr!AC6+s_Irr!BB6),".")</f>
        <v>1919.4096291643621</v>
      </c>
      <c r="AF6" s="93">
        <f>IFERROR(s_C*s_IFBT_res_adj*s_CF_beet*0.001*(s_Irr!E6+s_Irr!AD6+s_Irr!BC6),".")</f>
        <v>1919.4096291643621</v>
      </c>
      <c r="AG6" s="93">
        <f>IFERROR(s_C*s_IFBE_res_adj*s_CF_berries*0.001*(s_Irr!F6+s_Irr!AE6+s_Irr!BD6),".")</f>
        <v>2069.677052148757</v>
      </c>
      <c r="AH6" s="93">
        <f>IFERROR(s_C*s_IFBR_res_adj*s_CF_broccoli*0.001*(s_Irr!G6+s_Irr!AF6+s_Irr!BE6),".")</f>
        <v>2069.677052148757</v>
      </c>
      <c r="AI6" s="93">
        <f>IFERROR(s_C*s_IFCB_res_adj*s_CF_cabbage*0.001*(s_Irr!H6+s_Irr!AG6+s_Irr!BF6),".")</f>
        <v>1919.4096291643621</v>
      </c>
      <c r="AJ6" s="93">
        <f>IFERROR(s_C*s_IFCR_res_adj*s_CF_carrot*0.001*(s_Irr!I6+s_Irr!AH6+s_Irr!BG6),".")</f>
        <v>1919.4096291643621</v>
      </c>
      <c r="AK6" s="93">
        <f>IFERROR(s_C*s_IFCI_res_adj*s_CF_citrus*0.001*(s_Irr!J6+s_Irr!AI6+s_Irr!BH6),".")</f>
        <v>2069.677052148757</v>
      </c>
      <c r="AL6" s="93">
        <f>IFERROR(s_C*s_IFCO_res_adj*s_CF_corn*0.001*(s_Irr!K6+s_Irr!AJ6+s_Irr!BI6),".")</f>
        <v>2069.677052148757</v>
      </c>
      <c r="AM6" s="93">
        <f>IFERROR(s_C*s_IFCU_res_adj*s_CF_cucumber*0.001*(s_Irr!L6+s_Irr!AK6+s_Irr!BJ6),".")</f>
        <v>2069.677052148757</v>
      </c>
      <c r="AN6" s="93">
        <f>IFERROR(s_C*s_IFLE_res_adj*s_CF_lettuce*0.001*(s_Irr!M6+s_Irr!AL6+s_Irr!BK6),".")</f>
        <v>1919.4096291643621</v>
      </c>
      <c r="AO6" s="93">
        <f>IFERROR(s_C*s_IFLI_res_adj*s_CF_lima_bean*0.001*(s_Irr!N6+s_Irr!AM6+s_Irr!BL6),".")</f>
        <v>2069.677052148757</v>
      </c>
      <c r="AP6" s="93">
        <f>IFERROR(s_C*s_IFOK_res_adj*s_CF_okra*0.001*(s_Irr!O6+s_Irr!AN6+s_Irr!BM6),".")</f>
        <v>2069.677052148757</v>
      </c>
      <c r="AQ6" s="93">
        <f>IFERROR(s_C*s_IFON_res_adj*s_CF_onion*0.001*(s_Irr!P6+s_Irr!AO6+s_Irr!BN6),".")</f>
        <v>1919.4096291643621</v>
      </c>
      <c r="AR6" s="93">
        <f>IFERROR(s_C*s_IFPC_res_adj*s_CF_peach*0.001*(s_Irr!Q6+s_Irr!AP6+s_Irr!BO6),".")</f>
        <v>2069.677052148757</v>
      </c>
      <c r="AS6" s="93">
        <f>IFERROR(s_C*s_IFPR_res_adj*s_CF_pear*0.001*(s_Irr!R6+s_Irr!AQ6+s_Irr!BP6),".")</f>
        <v>2069.677052148757</v>
      </c>
      <c r="AT6" s="93">
        <f>IFERROR(s_C*s_IFPE_res_adj*s_CF_peas*0.001*(s_Irr!S6+s_Irr!AR6+s_Irr!BQ6),".")</f>
        <v>2069.677052148757</v>
      </c>
      <c r="AU6" s="93">
        <f>IFERROR(s_C*s_IFPP_res_adj*s_CF_peppers*0.001*(s_Irr!T6+s_Irr!AS6+s_Irr!BR6),".")</f>
        <v>2069.677052148757</v>
      </c>
      <c r="AV6" s="93">
        <f>IFERROR(s_C*s_IFPT_res_adj*s_CF_potato*0.001*(s_Irr!U6+s_Irr!AT6+s_Irr!BS6),".")</f>
        <v>1919.4096291643621</v>
      </c>
      <c r="AW6" s="93">
        <f>IFERROR(s_C*s_IFPU_res_adj*s_CF_pumpkin*0.001*(s_Irr!V6+s_Irr!AU6+s_Irr!BT6),".")</f>
        <v>2069.677052148757</v>
      </c>
      <c r="AX6" s="93">
        <f>IFERROR(s_C*s_IFSN_res_adj*s_CF_snap_bean*0.001*(s_Irr!W6+s_Irr!AV6+s_Irr!BU6),".")</f>
        <v>2069.677052148757</v>
      </c>
      <c r="AY6" s="93">
        <f>IFERROR(s_C*s_IFST_res_adj*s_CF_strawberry*0.001*(s_Irr!X6+s_Irr!AW6+s_Irr!BV6),".")</f>
        <v>2069.677052148757</v>
      </c>
      <c r="AZ6" s="93">
        <f>IFERROR(s_C*s_IFTO_res_adj*s_CF_tomato*0.001*(s_Irr!Y6+s_Irr!AX6+s_Irr!BW6),".")</f>
        <v>2069.677052148757</v>
      </c>
      <c r="BA6" s="93">
        <f>IFERROR(s_C*s_IFRI_res_adj*s_CF_rice*0.001*(s_Irr!Z6+s_Irr!AY6+s_Irr!BX6),".")</f>
        <v>1797.3924817010336</v>
      </c>
      <c r="BB6" s="93">
        <f>IFERROR(s_C*s_IFCG_res_adj*s_CF_cereal*0.001*(s_Irr!AA6+s_Irr!AZ6+s_Irr!BY6),".")</f>
        <v>1799.1956907768463</v>
      </c>
      <c r="BC6" s="76" t="str">
        <f t="shared" si="1"/>
        <v>.</v>
      </c>
      <c r="BD6" s="76" t="str">
        <f>IFERROR(IF(AND(s_Irr!C6&lt;&gt;".",s_Irr!AB6&lt;&gt;".",s_Irr!BA6&lt;&gt;"."),s_dir!AD6/((1/1000)*(s_Irr!C6+s_Irr!AB6+s_Irr!BA6)),IF(AND(s_Irr!C6&lt;&gt;".",s_Irr!AB6&lt;&gt;".",s_Irr!BA6="."),s_dir!AD6/((1/1000)*(s_Irr!C6+s_Irr!AB6)),IF(AND(s_Irr!C6&lt;&gt;".",s_Irr!AB6=".",s_Irr!BA6&lt;&gt;"."),s_dir!AD6/((1/1000)*(s_Irr!C6+s_Irr!BA6)),IF(AND(s_Irr!C6=".",s_Irr!AB6&lt;&gt;".",s_Irr!BA6&lt;&gt;"."),s_dir!AD6/((1/1000)*(s_Irr!AB6+s_Irr!BA6)),IF(AND(s_Irr!C6=".",s_Irr!AB6=".",s_Irr!BA6&lt;&gt;"."),s_dir!AD6/((1/1000)*(s_Irr!BA6)),IF(AND(s_Irr!C6=".",s_Irr!AB6&lt;&gt;".",s_Irr!BA6="."),s_dir!AD6/((1/1000)*(s_Irr!AB6)),IF(AND(s_Irr!C6&lt;&gt;".",s_Irr!AB6=".",s_Irr!BA6="."),s_dir!AD6/((1/1000)*(s_Irr!C6)),IF(AND(s_Irr!C6=".",s_Irr!AB6=".",s_Irr!BA6="."),s_dir!AD6*1000)))))))),".")</f>
        <v>.</v>
      </c>
      <c r="BE6" s="76" t="str">
        <f>IFERROR(IF(AND(s_Irr!D6&lt;&gt;".",s_Irr!AC6&lt;&gt;".",s_Irr!BB6&lt;&gt;"."),s_dir!AE6/((1/1000)*(s_Irr!D6+s_Irr!AC6+s_Irr!BB6)),IF(AND(s_Irr!D6&lt;&gt;".",s_Irr!AC6&lt;&gt;".",s_Irr!BB6="."),s_dir!AE6/((1/1000)*(s_Irr!D6+s_Irr!AC6)),IF(AND(s_Irr!D6&lt;&gt;".",s_Irr!AC6=".",s_Irr!BB6&lt;&gt;"."),s_dir!AE6/((1/1000)*(s_Irr!D6+s_Irr!BB6)),IF(AND(s_Irr!D6=".",s_Irr!AC6&lt;&gt;".",s_Irr!BB6&lt;&gt;"."),s_dir!AE6/((1/1000)*(s_Irr!AC6+s_Irr!BB6)),IF(AND(s_Irr!D6=".",s_Irr!AC6=".",s_Irr!BB6&lt;&gt;"."),s_dir!AE6/((1/1000)*(s_Irr!BB6)),IF(AND(s_Irr!D6=".",s_Irr!AC6&lt;&gt;".",s_Irr!BB6="."),s_dir!AE6/((1/1000)*(s_Irr!AC6)),IF(AND(s_Irr!D6&lt;&gt;".",s_Irr!AC6=".",s_Irr!BB6="."),s_dir!AE6/((1/1000)*(s_Irr!D6)),IF(AND(s_Irr!D6=".",s_Irr!AC6=".",s_Irr!BB6="."),s_dir!AE6*1000)))))))),".")</f>
        <v>.</v>
      </c>
      <c r="BF6" s="76" t="str">
        <f>IFERROR(IF(AND(s_Irr!E6&lt;&gt;".",s_Irr!AD6&lt;&gt;".",s_Irr!BC6&lt;&gt;"."),s_dir!AF6/((1/1000)*(s_Irr!E6+s_Irr!AD6+s_Irr!BC6)),IF(AND(s_Irr!E6&lt;&gt;".",s_Irr!AD6&lt;&gt;".",s_Irr!BC6="."),s_dir!AF6/((1/1000)*(s_Irr!E6+s_Irr!AD6)),IF(AND(s_Irr!E6&lt;&gt;".",s_Irr!AD6=".",s_Irr!BC6&lt;&gt;"."),s_dir!AF6/((1/1000)*(s_Irr!E6+s_Irr!BC6)),IF(AND(s_Irr!E6=".",s_Irr!AD6&lt;&gt;".",s_Irr!BC6&lt;&gt;"."),s_dir!AF6/((1/1000)*(s_Irr!AD6+s_Irr!BC6)),IF(AND(s_Irr!E6=".",s_Irr!AD6=".",s_Irr!BC6&lt;&gt;"."),s_dir!AF6/((1/1000)*(s_Irr!BC6)),IF(AND(s_Irr!E6=".",s_Irr!AD6&lt;&gt;".",s_Irr!BC6="."),s_dir!AF6/((1/1000)*(s_Irr!AD6)),IF(AND(s_Irr!E6&lt;&gt;".",s_Irr!AD6=".",s_Irr!BC6="."),s_dir!AF6/((1/1000)*(s_Irr!E6)),IF(AND(s_Irr!E6=".",s_Irr!AD6=".",s_Irr!BC6="."),s_dir!AF6*1000)))))))),".")</f>
        <v>.</v>
      </c>
      <c r="BG6" s="76" t="str">
        <f>IFERROR(IF(AND(s_Irr!F6&lt;&gt;".",s_Irr!AE6&lt;&gt;".",s_Irr!BD6&lt;&gt;"."),s_dir!AG6/((1/1000)*(s_Irr!F6+s_Irr!AE6+s_Irr!BD6)),IF(AND(s_Irr!F6&lt;&gt;".",s_Irr!AE6&lt;&gt;".",s_Irr!BD6="."),s_dir!AG6/((1/1000)*(s_Irr!F6+s_Irr!AE6)),IF(AND(s_Irr!F6&lt;&gt;".",s_Irr!AE6=".",s_Irr!BD6&lt;&gt;"."),s_dir!AG6/((1/1000)*(s_Irr!F6+s_Irr!BD6)),IF(AND(s_Irr!F6=".",s_Irr!AE6&lt;&gt;".",s_Irr!BD6&lt;&gt;"."),s_dir!AG6/((1/1000)*(s_Irr!AE6+s_Irr!BD6)),IF(AND(s_Irr!F6=".",s_Irr!AE6=".",s_Irr!BD6&lt;&gt;"."),s_dir!AG6/((1/1000)*(s_Irr!BD6)),IF(AND(s_Irr!F6=".",s_Irr!AE6&lt;&gt;".",s_Irr!BD6="."),s_dir!AG6/((1/1000)*(s_Irr!AE6)),IF(AND(s_Irr!F6&lt;&gt;".",s_Irr!AE6=".",s_Irr!BD6="."),s_dir!AG6/((1/1000)*(s_Irr!F6)),IF(AND(s_Irr!F6=".",s_Irr!AE6=".",s_Irr!BD6="."),s_dir!AG6*1000)))))))),".")</f>
        <v>.</v>
      </c>
      <c r="BH6" s="76" t="str">
        <f>IFERROR(IF(AND(s_Irr!G6&lt;&gt;".",s_Irr!AF6&lt;&gt;".",s_Irr!BE6&lt;&gt;"."),s_dir!AH6/((1/1000)*(s_Irr!G6+s_Irr!AF6+s_Irr!BE6)),IF(AND(s_Irr!G6&lt;&gt;".",s_Irr!AF6&lt;&gt;".",s_Irr!BE6="."),s_dir!AH6/((1/1000)*(s_Irr!G6+s_Irr!AF6)),IF(AND(s_Irr!G6&lt;&gt;".",s_Irr!AF6=".",s_Irr!BE6&lt;&gt;"."),s_dir!AH6/((1/1000)*(s_Irr!G6+s_Irr!BE6)),IF(AND(s_Irr!G6=".",s_Irr!AF6&lt;&gt;".",s_Irr!BE6&lt;&gt;"."),s_dir!AH6/((1/1000)*(s_Irr!AF6+s_Irr!BE6)),IF(AND(s_Irr!G6=".",s_Irr!AF6=".",s_Irr!BE6&lt;&gt;"."),s_dir!AH6/((1/1000)*(s_Irr!BE6)),IF(AND(s_Irr!G6=".",s_Irr!AF6&lt;&gt;".",s_Irr!BE6="."),s_dir!AH6/((1/1000)*(s_Irr!AF6)),IF(AND(s_Irr!G6&lt;&gt;".",s_Irr!AF6=".",s_Irr!BE6="."),s_dir!AH6/((1/1000)*(s_Irr!G6)),IF(AND(s_Irr!G6=".",s_Irr!AF6=".",s_Irr!BE6="."),s_dir!AH6*1000)))))))),".")</f>
        <v>.</v>
      </c>
      <c r="BI6" s="76" t="str">
        <f>IFERROR(IF(AND(s_Irr!H6&lt;&gt;".",s_Irr!AG6&lt;&gt;".",s_Irr!BF6&lt;&gt;"."),s_dir!AI6/((1/1000)*(s_Irr!H6+s_Irr!AG6+s_Irr!BF6)),IF(AND(s_Irr!H6&lt;&gt;".",s_Irr!AG6&lt;&gt;".",s_Irr!BF6="."),s_dir!AI6/((1/1000)*(s_Irr!H6+s_Irr!AG6)),IF(AND(s_Irr!H6&lt;&gt;".",s_Irr!AG6=".",s_Irr!BF6&lt;&gt;"."),s_dir!AI6/((1/1000)*(s_Irr!H6+s_Irr!BF6)),IF(AND(s_Irr!H6=".",s_Irr!AG6&lt;&gt;".",s_Irr!BF6&lt;&gt;"."),s_dir!AI6/((1/1000)*(s_Irr!AG6+s_Irr!BF6)),IF(AND(s_Irr!H6=".",s_Irr!AG6=".",s_Irr!BF6&lt;&gt;"."),s_dir!AI6/((1/1000)*(s_Irr!BF6)),IF(AND(s_Irr!H6=".",s_Irr!AG6&lt;&gt;".",s_Irr!BF6="."),s_dir!AI6/((1/1000)*(s_Irr!AG6)),IF(AND(s_Irr!H6&lt;&gt;".",s_Irr!AG6=".",s_Irr!BF6="."),s_dir!AI6/((1/1000)*(s_Irr!H6)),IF(AND(s_Irr!H6=".",s_Irr!AG6=".",s_Irr!BF6="."),s_dir!AI6*1000)))))))),".")</f>
        <v>.</v>
      </c>
      <c r="BJ6" s="76" t="str">
        <f>IFERROR(IF(AND(s_Irr!I6&lt;&gt;".",s_Irr!AH6&lt;&gt;".",s_Irr!BG6&lt;&gt;"."),s_dir!AJ6/((1/1000)*(s_Irr!I6+s_Irr!AH6+s_Irr!BG6)),IF(AND(s_Irr!I6&lt;&gt;".",s_Irr!AH6&lt;&gt;".",s_Irr!BG6="."),s_dir!AJ6/((1/1000)*(s_Irr!I6+s_Irr!AH6)),IF(AND(s_Irr!I6&lt;&gt;".",s_Irr!AH6=".",s_Irr!BG6&lt;&gt;"."),s_dir!AJ6/((1/1000)*(s_Irr!I6+s_Irr!BG6)),IF(AND(s_Irr!I6=".",s_Irr!AH6&lt;&gt;".",s_Irr!BG6&lt;&gt;"."),s_dir!AJ6/((1/1000)*(s_Irr!AH6+s_Irr!BG6)),IF(AND(s_Irr!I6=".",s_Irr!AH6=".",s_Irr!BG6&lt;&gt;"."),s_dir!AJ6/((1/1000)*(s_Irr!BG6)),IF(AND(s_Irr!I6=".",s_Irr!AH6&lt;&gt;".",s_Irr!BG6="."),s_dir!AJ6/((1/1000)*(s_Irr!AH6)),IF(AND(s_Irr!I6&lt;&gt;".",s_Irr!AH6=".",s_Irr!BG6="."),s_dir!AJ6/((1/1000)*(s_Irr!I6)),IF(AND(s_Irr!I6=".",s_Irr!AH6=".",s_Irr!BG6="."),s_dir!AJ6*1000)))))))),".")</f>
        <v>.</v>
      </c>
      <c r="BK6" s="76" t="str">
        <f>IFERROR(IF(AND(s_Irr!J6&lt;&gt;".",s_Irr!AI6&lt;&gt;".",s_Irr!BH6&lt;&gt;"."),s_dir!AK6/((1/1000)*(s_Irr!J6+s_Irr!AI6+s_Irr!BH6)),IF(AND(s_Irr!J6&lt;&gt;".",s_Irr!AI6&lt;&gt;".",s_Irr!BH6="."),s_dir!AK6/((1/1000)*(s_Irr!J6+s_Irr!AI6)),IF(AND(s_Irr!J6&lt;&gt;".",s_Irr!AI6=".",s_Irr!BH6&lt;&gt;"."),s_dir!AK6/((1/1000)*(s_Irr!J6+s_Irr!BH6)),IF(AND(s_Irr!J6=".",s_Irr!AI6&lt;&gt;".",s_Irr!BH6&lt;&gt;"."),s_dir!AK6/((1/1000)*(s_Irr!AI6+s_Irr!BH6)),IF(AND(s_Irr!J6=".",s_Irr!AI6=".",s_Irr!BH6&lt;&gt;"."),s_dir!AK6/((1/1000)*(s_Irr!BH6)),IF(AND(s_Irr!J6=".",s_Irr!AI6&lt;&gt;".",s_Irr!BH6="."),s_dir!AK6/((1/1000)*(s_Irr!AI6)),IF(AND(s_Irr!J6&lt;&gt;".",s_Irr!AI6=".",s_Irr!BH6="."),s_dir!AK6/((1/1000)*(s_Irr!J6)),IF(AND(s_Irr!J6=".",s_Irr!AI6=".",s_Irr!BH6="."),s_dir!AK6*1000)))))))),".")</f>
        <v>.</v>
      </c>
      <c r="BL6" s="76" t="str">
        <f>IFERROR(IF(AND(s_Irr!K6&lt;&gt;".",s_Irr!AJ6&lt;&gt;".",s_Irr!BI6&lt;&gt;"."),s_dir!AL6/((1/1000)*(s_Irr!K6+s_Irr!AJ6+s_Irr!BI6)),IF(AND(s_Irr!K6&lt;&gt;".",s_Irr!AJ6&lt;&gt;".",s_Irr!BI6="."),s_dir!AL6/((1/1000)*(s_Irr!K6+s_Irr!AJ6)),IF(AND(s_Irr!K6&lt;&gt;".",s_Irr!AJ6=".",s_Irr!BI6&lt;&gt;"."),s_dir!AL6/((1/1000)*(s_Irr!K6+s_Irr!BI6)),IF(AND(s_Irr!K6=".",s_Irr!AJ6&lt;&gt;".",s_Irr!BI6&lt;&gt;"."),s_dir!AL6/((1/1000)*(s_Irr!AJ6+s_Irr!BI6)),IF(AND(s_Irr!K6=".",s_Irr!AJ6=".",s_Irr!BI6&lt;&gt;"."),s_dir!AL6/((1/1000)*(s_Irr!BI6)),IF(AND(s_Irr!K6=".",s_Irr!AJ6&lt;&gt;".",s_Irr!BI6="."),s_dir!AL6/((1/1000)*(s_Irr!AJ6)),IF(AND(s_Irr!K6&lt;&gt;".",s_Irr!AJ6=".",s_Irr!BI6="."),s_dir!AL6/((1/1000)*(s_Irr!K6)),IF(AND(s_Irr!K6=".",s_Irr!AJ6=".",s_Irr!BI6="."),s_dir!AL6*1000)))))))),".")</f>
        <v>.</v>
      </c>
      <c r="BM6" s="76" t="str">
        <f>IFERROR(IF(AND(s_Irr!L6&lt;&gt;".",s_Irr!AK6&lt;&gt;".",s_Irr!BJ6&lt;&gt;"."),s_dir!AM6/((1/1000)*(s_Irr!L6+s_Irr!AK6+s_Irr!BJ6)),IF(AND(s_Irr!L6&lt;&gt;".",s_Irr!AK6&lt;&gt;".",s_Irr!BJ6="."),s_dir!AM6/((1/1000)*(s_Irr!L6+s_Irr!AK6)),IF(AND(s_Irr!L6&lt;&gt;".",s_Irr!AK6=".",s_Irr!BJ6&lt;&gt;"."),s_dir!AM6/((1/1000)*(s_Irr!L6+s_Irr!BJ6)),IF(AND(s_Irr!L6=".",s_Irr!AK6&lt;&gt;".",s_Irr!BJ6&lt;&gt;"."),s_dir!AM6/((1/1000)*(s_Irr!AK6+s_Irr!BJ6)),IF(AND(s_Irr!L6=".",s_Irr!AK6=".",s_Irr!BJ6&lt;&gt;"."),s_dir!AM6/((1/1000)*(s_Irr!BJ6)),IF(AND(s_Irr!L6=".",s_Irr!AK6&lt;&gt;".",s_Irr!BJ6="."),s_dir!AM6/((1/1000)*(s_Irr!AK6)),IF(AND(s_Irr!L6&lt;&gt;".",s_Irr!AK6=".",s_Irr!BJ6="."),s_dir!AM6/((1/1000)*(s_Irr!L6)),IF(AND(s_Irr!L6=".",s_Irr!AK6=".",s_Irr!BJ6="."),s_dir!AM6*1000)))))))),".")</f>
        <v>.</v>
      </c>
      <c r="BN6" s="76" t="str">
        <f>IFERROR(IF(AND(s_Irr!M6&lt;&gt;".",s_Irr!AL6&lt;&gt;".",s_Irr!BK6&lt;&gt;"."),s_dir!AN6/((1/1000)*(s_Irr!M6+s_Irr!AL6+s_Irr!BK6)),IF(AND(s_Irr!M6&lt;&gt;".",s_Irr!AL6&lt;&gt;".",s_Irr!BK6="."),s_dir!AN6/((1/1000)*(s_Irr!M6+s_Irr!AL6)),IF(AND(s_Irr!M6&lt;&gt;".",s_Irr!AL6=".",s_Irr!BK6&lt;&gt;"."),s_dir!AN6/((1/1000)*(s_Irr!M6+s_Irr!BK6)),IF(AND(s_Irr!M6=".",s_Irr!AL6&lt;&gt;".",s_Irr!BK6&lt;&gt;"."),s_dir!AN6/((1/1000)*(s_Irr!AL6+s_Irr!BK6)),IF(AND(s_Irr!M6=".",s_Irr!AL6=".",s_Irr!BK6&lt;&gt;"."),s_dir!AN6/((1/1000)*(s_Irr!BK6)),IF(AND(s_Irr!M6=".",s_Irr!AL6&lt;&gt;".",s_Irr!BK6="."),s_dir!AN6/((1/1000)*(s_Irr!AL6)),IF(AND(s_Irr!M6&lt;&gt;".",s_Irr!AL6=".",s_Irr!BK6="."),s_dir!AN6/((1/1000)*(s_Irr!M6)),IF(AND(s_Irr!M6=".",s_Irr!AL6=".",s_Irr!BK6="."),s_dir!AN6*1000)))))))),".")</f>
        <v>.</v>
      </c>
      <c r="BO6" s="76" t="str">
        <f>IFERROR(IF(AND(s_Irr!N6&lt;&gt;".",s_Irr!AM6&lt;&gt;".",s_Irr!BL6&lt;&gt;"."),s_dir!AO6/((1/1000)*(s_Irr!N6+s_Irr!AM6+s_Irr!BL6)),IF(AND(s_Irr!N6&lt;&gt;".",s_Irr!AM6&lt;&gt;".",s_Irr!BL6="."),s_dir!AO6/((1/1000)*(s_Irr!N6+s_Irr!AM6)),IF(AND(s_Irr!N6&lt;&gt;".",s_Irr!AM6=".",s_Irr!BL6&lt;&gt;"."),s_dir!AO6/((1/1000)*(s_Irr!N6+s_Irr!BL6)),IF(AND(s_Irr!N6=".",s_Irr!AM6&lt;&gt;".",s_Irr!BL6&lt;&gt;"."),s_dir!AO6/((1/1000)*(s_Irr!AM6+s_Irr!BL6)),IF(AND(s_Irr!N6=".",s_Irr!AM6=".",s_Irr!BL6&lt;&gt;"."),s_dir!AO6/((1/1000)*(s_Irr!BL6)),IF(AND(s_Irr!N6=".",s_Irr!AM6&lt;&gt;".",s_Irr!BL6="."),s_dir!AO6/((1/1000)*(s_Irr!AM6)),IF(AND(s_Irr!N6&lt;&gt;".",s_Irr!AM6=".",s_Irr!BL6="."),s_dir!AO6/((1/1000)*(s_Irr!N6)),IF(AND(s_Irr!N6=".",s_Irr!AM6=".",s_Irr!BL6="."),s_dir!AO6*1000)))))))),".")</f>
        <v>.</v>
      </c>
      <c r="BP6" s="76" t="str">
        <f>IFERROR(IF(AND(s_Irr!O6&lt;&gt;".",s_Irr!AN6&lt;&gt;".",s_Irr!BM6&lt;&gt;"."),s_dir!AP6/((1/1000)*(s_Irr!O6+s_Irr!AN6+s_Irr!BM6)),IF(AND(s_Irr!O6&lt;&gt;".",s_Irr!AN6&lt;&gt;".",s_Irr!BM6="."),s_dir!AP6/((1/1000)*(s_Irr!O6+s_Irr!AN6)),IF(AND(s_Irr!O6&lt;&gt;".",s_Irr!AN6=".",s_Irr!BM6&lt;&gt;"."),s_dir!AP6/((1/1000)*(s_Irr!O6+s_Irr!BM6)),IF(AND(s_Irr!O6=".",s_Irr!AN6&lt;&gt;".",s_Irr!BM6&lt;&gt;"."),s_dir!AP6/((1/1000)*(s_Irr!AN6+s_Irr!BM6)),IF(AND(s_Irr!O6=".",s_Irr!AN6=".",s_Irr!BM6&lt;&gt;"."),s_dir!AP6/((1/1000)*(s_Irr!BM6)),IF(AND(s_Irr!O6=".",s_Irr!AN6&lt;&gt;".",s_Irr!BM6="."),s_dir!AP6/((1/1000)*(s_Irr!AN6)),IF(AND(s_Irr!O6&lt;&gt;".",s_Irr!AN6=".",s_Irr!BM6="."),s_dir!AP6/((1/1000)*(s_Irr!O6)),IF(AND(s_Irr!O6=".",s_Irr!AN6=".",s_Irr!BM6="."),s_dir!AP6*1000)))))))),".")</f>
        <v>.</v>
      </c>
      <c r="BQ6" s="76" t="str">
        <f>IFERROR(IF(AND(s_Irr!P6&lt;&gt;".",s_Irr!AO6&lt;&gt;".",s_Irr!BN6&lt;&gt;"."),s_dir!AQ6/((1/1000)*(s_Irr!P6+s_Irr!AO6+s_Irr!BN6)),IF(AND(s_Irr!P6&lt;&gt;".",s_Irr!AO6&lt;&gt;".",s_Irr!BN6="."),s_dir!AQ6/((1/1000)*(s_Irr!P6+s_Irr!AO6)),IF(AND(s_Irr!P6&lt;&gt;".",s_Irr!AO6=".",s_Irr!BN6&lt;&gt;"."),s_dir!AQ6/((1/1000)*(s_Irr!P6+s_Irr!BN6)),IF(AND(s_Irr!P6=".",s_Irr!AO6&lt;&gt;".",s_Irr!BN6&lt;&gt;"."),s_dir!AQ6/((1/1000)*(s_Irr!AO6+s_Irr!BN6)),IF(AND(s_Irr!P6=".",s_Irr!AO6=".",s_Irr!BN6&lt;&gt;"."),s_dir!AQ6/((1/1000)*(s_Irr!BN6)),IF(AND(s_Irr!P6=".",s_Irr!AO6&lt;&gt;".",s_Irr!BN6="."),s_dir!AQ6/((1/1000)*(s_Irr!AO6)),IF(AND(s_Irr!P6&lt;&gt;".",s_Irr!AO6=".",s_Irr!BN6="."),s_dir!AQ6/((1/1000)*(s_Irr!P6)),IF(AND(s_Irr!P6=".",s_Irr!AO6=".",s_Irr!BN6="."),s_dir!AQ6*1000)))))))),".")</f>
        <v>.</v>
      </c>
      <c r="BR6" s="76" t="str">
        <f>IFERROR(IF(AND(s_Irr!Q6&lt;&gt;".",s_Irr!AP6&lt;&gt;".",s_Irr!BO6&lt;&gt;"."),s_dir!AR6/((1/1000)*(s_Irr!Q6+s_Irr!AP6+s_Irr!BO6)),IF(AND(s_Irr!Q6&lt;&gt;".",s_Irr!AP6&lt;&gt;".",s_Irr!BO6="."),s_dir!AR6/((1/1000)*(s_Irr!Q6+s_Irr!AP6)),IF(AND(s_Irr!Q6&lt;&gt;".",s_Irr!AP6=".",s_Irr!BO6&lt;&gt;"."),s_dir!AR6/((1/1000)*(s_Irr!Q6+s_Irr!BO6)),IF(AND(s_Irr!Q6=".",s_Irr!AP6&lt;&gt;".",s_Irr!BO6&lt;&gt;"."),s_dir!AR6/((1/1000)*(s_Irr!AP6+s_Irr!BO6)),IF(AND(s_Irr!Q6=".",s_Irr!AP6=".",s_Irr!BO6&lt;&gt;"."),s_dir!AR6/((1/1000)*(s_Irr!BO6)),IF(AND(s_Irr!Q6=".",s_Irr!AP6&lt;&gt;".",s_Irr!BO6="."),s_dir!AR6/((1/1000)*(s_Irr!AP6)),IF(AND(s_Irr!Q6&lt;&gt;".",s_Irr!AP6=".",s_Irr!BO6="."),s_dir!AR6/((1/1000)*(s_Irr!Q6)),IF(AND(s_Irr!Q6=".",s_Irr!AP6=".",s_Irr!BO6="."),s_dir!AR6*1000)))))))),".")</f>
        <v>.</v>
      </c>
      <c r="BS6" s="76" t="str">
        <f>IFERROR(IF(AND(s_Irr!R6&lt;&gt;".",s_Irr!AQ6&lt;&gt;".",s_Irr!BP6&lt;&gt;"."),s_dir!AS6/((1/1000)*(s_Irr!R6+s_Irr!AQ6+s_Irr!BP6)),IF(AND(s_Irr!R6&lt;&gt;".",s_Irr!AQ6&lt;&gt;".",s_Irr!BP6="."),s_dir!AS6/((1/1000)*(s_Irr!R6+s_Irr!AQ6)),IF(AND(s_Irr!R6&lt;&gt;".",s_Irr!AQ6=".",s_Irr!BP6&lt;&gt;"."),s_dir!AS6/((1/1000)*(s_Irr!R6+s_Irr!BP6)),IF(AND(s_Irr!R6=".",s_Irr!AQ6&lt;&gt;".",s_Irr!BP6&lt;&gt;"."),s_dir!AS6/((1/1000)*(s_Irr!AQ6+s_Irr!BP6)),IF(AND(s_Irr!R6=".",s_Irr!AQ6=".",s_Irr!BP6&lt;&gt;"."),s_dir!AS6/((1/1000)*(s_Irr!BP6)),IF(AND(s_Irr!R6=".",s_Irr!AQ6&lt;&gt;".",s_Irr!BP6="."),s_dir!AS6/((1/1000)*(s_Irr!AQ6)),IF(AND(s_Irr!R6&lt;&gt;".",s_Irr!AQ6=".",s_Irr!BP6="."),s_dir!AS6/((1/1000)*(s_Irr!R6)),IF(AND(s_Irr!R6=".",s_Irr!AQ6=".",s_Irr!BP6="."),s_dir!AS6*1000)))))))),".")</f>
        <v>.</v>
      </c>
      <c r="BT6" s="76" t="str">
        <f>IFERROR(IF(AND(s_Irr!S6&lt;&gt;".",s_Irr!AR6&lt;&gt;".",s_Irr!BQ6&lt;&gt;"."),s_dir!AT6/((1/1000)*(s_Irr!S6+s_Irr!AR6+s_Irr!BQ6)),IF(AND(s_Irr!S6&lt;&gt;".",s_Irr!AR6&lt;&gt;".",s_Irr!BQ6="."),s_dir!AT6/((1/1000)*(s_Irr!S6+s_Irr!AR6)),IF(AND(s_Irr!S6&lt;&gt;".",s_Irr!AR6=".",s_Irr!BQ6&lt;&gt;"."),s_dir!AT6/((1/1000)*(s_Irr!S6+s_Irr!BQ6)),IF(AND(s_Irr!S6=".",s_Irr!AR6&lt;&gt;".",s_Irr!BQ6&lt;&gt;"."),s_dir!AT6/((1/1000)*(s_Irr!AR6+s_Irr!BQ6)),IF(AND(s_Irr!S6=".",s_Irr!AR6=".",s_Irr!BQ6&lt;&gt;"."),s_dir!AT6/((1/1000)*(s_Irr!BQ6)),IF(AND(s_Irr!S6=".",s_Irr!AR6&lt;&gt;".",s_Irr!BQ6="."),s_dir!AT6/((1/1000)*(s_Irr!AR6)),IF(AND(s_Irr!S6&lt;&gt;".",s_Irr!AR6=".",s_Irr!BQ6="."),s_dir!AT6/((1/1000)*(s_Irr!S6)),IF(AND(s_Irr!S6=".",s_Irr!AR6=".",s_Irr!BQ6="."),s_dir!AT6*1000)))))))),".")</f>
        <v>.</v>
      </c>
      <c r="BU6" s="76" t="str">
        <f>IFERROR(IF(AND(s_Irr!T6&lt;&gt;".",s_Irr!AS6&lt;&gt;".",s_Irr!BR6&lt;&gt;"."),s_dir!AU6/((1/1000)*(s_Irr!T6+s_Irr!AS6+s_Irr!BR6)),IF(AND(s_Irr!T6&lt;&gt;".",s_Irr!AS6&lt;&gt;".",s_Irr!BR6="."),s_dir!AU6/((1/1000)*(s_Irr!T6+s_Irr!AS6)),IF(AND(s_Irr!T6&lt;&gt;".",s_Irr!AS6=".",s_Irr!BR6&lt;&gt;"."),s_dir!AU6/((1/1000)*(s_Irr!T6+s_Irr!BR6)),IF(AND(s_Irr!T6=".",s_Irr!AS6&lt;&gt;".",s_Irr!BR6&lt;&gt;"."),s_dir!AU6/((1/1000)*(s_Irr!AS6+s_Irr!BR6)),IF(AND(s_Irr!T6=".",s_Irr!AS6=".",s_Irr!BR6&lt;&gt;"."),s_dir!AU6/((1/1000)*(s_Irr!BR6)),IF(AND(s_Irr!T6=".",s_Irr!AS6&lt;&gt;".",s_Irr!BR6="."),s_dir!AU6/((1/1000)*(s_Irr!AS6)),IF(AND(s_Irr!T6&lt;&gt;".",s_Irr!AS6=".",s_Irr!BR6="."),s_dir!AU6/((1/1000)*(s_Irr!T6)),IF(AND(s_Irr!T6=".",s_Irr!AS6=".",s_Irr!BR6="."),s_dir!AU6*1000)))))))),".")</f>
        <v>.</v>
      </c>
      <c r="BV6" s="76" t="str">
        <f>IFERROR(IF(AND(s_Irr!U6&lt;&gt;".",s_Irr!AT6&lt;&gt;".",s_Irr!BS6&lt;&gt;"."),s_dir!AV6/((1/1000)*(s_Irr!U6+s_Irr!AT6+s_Irr!BS6)),IF(AND(s_Irr!U6&lt;&gt;".",s_Irr!AT6&lt;&gt;".",s_Irr!BS6="."),s_dir!AV6/((1/1000)*(s_Irr!U6+s_Irr!AT6)),IF(AND(s_Irr!U6&lt;&gt;".",s_Irr!AT6=".",s_Irr!BS6&lt;&gt;"."),s_dir!AV6/((1/1000)*(s_Irr!U6+s_Irr!BS6)),IF(AND(s_Irr!U6=".",s_Irr!AT6&lt;&gt;".",s_Irr!BS6&lt;&gt;"."),s_dir!AV6/((1/1000)*(s_Irr!AT6+s_Irr!BS6)),IF(AND(s_Irr!U6=".",s_Irr!AT6=".",s_Irr!BS6&lt;&gt;"."),s_dir!AV6/((1/1000)*(s_Irr!BS6)),IF(AND(s_Irr!U6=".",s_Irr!AT6&lt;&gt;".",s_Irr!BS6="."),s_dir!AV6/((1/1000)*(s_Irr!AT6)),IF(AND(s_Irr!U6&lt;&gt;".",s_Irr!AT6=".",s_Irr!BS6="."),s_dir!AV6/((1/1000)*(s_Irr!U6)),IF(AND(s_Irr!U6=".",s_Irr!AT6=".",s_Irr!BS6="."),s_dir!AV6*1000)))))))),".")</f>
        <v>.</v>
      </c>
      <c r="BW6" s="76" t="str">
        <f>IFERROR(IF(AND(s_Irr!V6&lt;&gt;".",s_Irr!AU6&lt;&gt;".",s_Irr!BT6&lt;&gt;"."),s_dir!AW6/((1/1000)*(s_Irr!V6+s_Irr!AU6+s_Irr!BT6)),IF(AND(s_Irr!V6&lt;&gt;".",s_Irr!AU6&lt;&gt;".",s_Irr!BT6="."),s_dir!AW6/((1/1000)*(s_Irr!V6+s_Irr!AU6)),IF(AND(s_Irr!V6&lt;&gt;".",s_Irr!AU6=".",s_Irr!BT6&lt;&gt;"."),s_dir!AW6/((1/1000)*(s_Irr!V6+s_Irr!BT6)),IF(AND(s_Irr!V6=".",s_Irr!AU6&lt;&gt;".",s_Irr!BT6&lt;&gt;"."),s_dir!AW6/((1/1000)*(s_Irr!AU6+s_Irr!BT6)),IF(AND(s_Irr!V6=".",s_Irr!AU6=".",s_Irr!BT6&lt;&gt;"."),s_dir!AW6/((1/1000)*(s_Irr!BT6)),IF(AND(s_Irr!V6=".",s_Irr!AU6&lt;&gt;".",s_Irr!BT6="."),s_dir!AW6/((1/1000)*(s_Irr!AU6)),IF(AND(s_Irr!V6&lt;&gt;".",s_Irr!AU6=".",s_Irr!BT6="."),s_dir!AW6/((1/1000)*(s_Irr!V6)),IF(AND(s_Irr!V6=".",s_Irr!AU6=".",s_Irr!BT6="."),s_dir!AW6*1000)))))))),".")</f>
        <v>.</v>
      </c>
      <c r="BX6" s="76" t="str">
        <f>IFERROR(IF(AND(s_Irr!W6&lt;&gt;".",s_Irr!AV6&lt;&gt;".",s_Irr!BU6&lt;&gt;"."),s_dir!AX6/((1/1000)*(s_Irr!W6+s_Irr!AV6+s_Irr!BU6)),IF(AND(s_Irr!W6&lt;&gt;".",s_Irr!AV6&lt;&gt;".",s_Irr!BU6="."),s_dir!AX6/((1/1000)*(s_Irr!W6+s_Irr!AV6)),IF(AND(s_Irr!W6&lt;&gt;".",s_Irr!AV6=".",s_Irr!BU6&lt;&gt;"."),s_dir!AX6/((1/1000)*(s_Irr!W6+s_Irr!BU6)),IF(AND(s_Irr!W6=".",s_Irr!AV6&lt;&gt;".",s_Irr!BU6&lt;&gt;"."),s_dir!AX6/((1/1000)*(s_Irr!AV6+s_Irr!BU6)),IF(AND(s_Irr!W6=".",s_Irr!AV6=".",s_Irr!BU6&lt;&gt;"."),s_dir!AX6/((1/1000)*(s_Irr!BU6)),IF(AND(s_Irr!W6=".",s_Irr!AV6&lt;&gt;".",s_Irr!BU6="."),s_dir!AX6/((1/1000)*(s_Irr!AV6)),IF(AND(s_Irr!W6&lt;&gt;".",s_Irr!AV6=".",s_Irr!BU6="."),s_dir!AX6/((1/1000)*(s_Irr!W6)),IF(AND(s_Irr!W6=".",s_Irr!AV6=".",s_Irr!BU6="."),s_dir!AX6*1000)))))))),".")</f>
        <v>.</v>
      </c>
      <c r="BY6" s="76" t="str">
        <f>IFERROR(IF(AND(s_Irr!X6&lt;&gt;".",s_Irr!AW6&lt;&gt;".",s_Irr!BV6&lt;&gt;"."),s_dir!AY6/((1/1000)*(s_Irr!X6+s_Irr!AW6+s_Irr!BV6)),IF(AND(s_Irr!X6&lt;&gt;".",s_Irr!AW6&lt;&gt;".",s_Irr!BV6="."),s_dir!AY6/((1/1000)*(s_Irr!X6+s_Irr!AW6)),IF(AND(s_Irr!X6&lt;&gt;".",s_Irr!AW6=".",s_Irr!BV6&lt;&gt;"."),s_dir!AY6/((1/1000)*(s_Irr!X6+s_Irr!BV6)),IF(AND(s_Irr!X6=".",s_Irr!AW6&lt;&gt;".",s_Irr!BV6&lt;&gt;"."),s_dir!AY6/((1/1000)*(s_Irr!AW6+s_Irr!BV6)),IF(AND(s_Irr!X6=".",s_Irr!AW6=".",s_Irr!BV6&lt;&gt;"."),s_dir!AY6/((1/1000)*(s_Irr!BV6)),IF(AND(s_Irr!X6=".",s_Irr!AW6&lt;&gt;".",s_Irr!BV6="."),s_dir!AY6/((1/1000)*(s_Irr!AW6)),IF(AND(s_Irr!X6&lt;&gt;".",s_Irr!AW6=".",s_Irr!BV6="."),s_dir!AY6/((1/1000)*(s_Irr!X6)),IF(AND(s_Irr!X6=".",s_Irr!AW6=".",s_Irr!BV6="."),s_dir!AY6*1000)))))))),".")</f>
        <v>.</v>
      </c>
      <c r="BZ6" s="76" t="str">
        <f>IFERROR(IF(AND(s_Irr!Y6&lt;&gt;".",s_Irr!AX6&lt;&gt;".",s_Irr!BW6&lt;&gt;"."),s_dir!AZ6/((1/1000)*(s_Irr!Y6+s_Irr!AX6+s_Irr!BW6)),IF(AND(s_Irr!Y6&lt;&gt;".",s_Irr!AX6&lt;&gt;".",s_Irr!BW6="."),s_dir!AZ6/((1/1000)*(s_Irr!Y6+s_Irr!AX6)),IF(AND(s_Irr!Y6&lt;&gt;".",s_Irr!AX6=".",s_Irr!BW6&lt;&gt;"."),s_dir!AZ6/((1/1000)*(s_Irr!Y6+s_Irr!BW6)),IF(AND(s_Irr!Y6=".",s_Irr!AX6&lt;&gt;".",s_Irr!BW6&lt;&gt;"."),s_dir!AZ6/((1/1000)*(s_Irr!AX6+s_Irr!BW6)),IF(AND(s_Irr!Y6=".",s_Irr!AX6=".",s_Irr!BW6&lt;&gt;"."),s_dir!AZ6/((1/1000)*(s_Irr!BW6)),IF(AND(s_Irr!Y6=".",s_Irr!AX6&lt;&gt;".",s_Irr!BW6="."),s_dir!AZ6/((1/1000)*(s_Irr!AX6)),IF(AND(s_Irr!Y6&lt;&gt;".",s_Irr!AX6=".",s_Irr!BW6="."),s_dir!AZ6/((1/1000)*(s_Irr!Y6)),IF(AND(s_Irr!Y6=".",s_Irr!AX6=".",s_Irr!BW6="."),s_dir!AZ6*1000)))))))),".")</f>
        <v>.</v>
      </c>
      <c r="CA6" s="76" t="str">
        <f>IFERROR(IF(AND(s_Irr!Z6&lt;&gt;".",s_Irr!AY6&lt;&gt;".",s_Irr!BX6&lt;&gt;"."),s_dir!BA6/((1/1000)*(s_Irr!Z6+s_Irr!AY6+s_Irr!BX6)),IF(AND(s_Irr!Z6&lt;&gt;".",s_Irr!AY6&lt;&gt;".",s_Irr!BX6="."),s_dir!BA6/((1/1000)*(s_Irr!Z6+s_Irr!AY6)),IF(AND(s_Irr!Z6&lt;&gt;".",s_Irr!AY6=".",s_Irr!BX6&lt;&gt;"."),s_dir!BA6/((1/1000)*(s_Irr!Z6+s_Irr!BX6)),IF(AND(s_Irr!Z6=".",s_Irr!AY6&lt;&gt;".",s_Irr!BX6&lt;&gt;"."),s_dir!BA6/((1/1000)*(s_Irr!AY6+s_Irr!BX6)),IF(AND(s_Irr!Z6=".",s_Irr!AY6=".",s_Irr!BX6&lt;&gt;"."),s_dir!BA6/((1/1000)*(s_Irr!BX6)),IF(AND(s_Irr!Z6=".",s_Irr!AY6&lt;&gt;".",s_Irr!BX6="."),s_dir!BA6/((1/1000)*(s_Irr!AY6)),IF(AND(s_Irr!Z6&lt;&gt;".",s_Irr!AY6=".",s_Irr!BX6="."),s_dir!BA6/((1/1000)*(s_Irr!Z6)),IF(AND(s_Irr!Z6=".",s_Irr!AY6=".",s_Irr!BX6="."),s_dir!BA6*1000)))))))),".")</f>
        <v>.</v>
      </c>
      <c r="CB6" s="76" t="str">
        <f>IFERROR(IF(AND(s_Irr!AA6&lt;&gt;".",s_Irr!AZ6&lt;&gt;".",s_Irr!BY6&lt;&gt;"."),s_dir!BB6/((1/1000)*(s_Irr!AA6+s_Irr!AZ6+s_Irr!BY6)),IF(AND(s_Irr!AA6&lt;&gt;".",s_Irr!AZ6&lt;&gt;".",s_Irr!BY6="."),s_dir!BB6/((1/1000)*(s_Irr!AA6+s_Irr!AZ6)),IF(AND(s_Irr!AA6&lt;&gt;".",s_Irr!AZ6=".",s_Irr!BY6&lt;&gt;"."),s_dir!BB6/((1/1000)*(s_Irr!AA6+s_Irr!BY6)),IF(AND(s_Irr!AA6=".",s_Irr!AZ6&lt;&gt;".",s_Irr!BY6&lt;&gt;"."),s_dir!BB6/((1/1000)*(s_Irr!AZ6+s_Irr!BY6)),IF(AND(s_Irr!AA6=".",s_Irr!AZ6=".",s_Irr!BY6&lt;&gt;"."),s_dir!BB6/((1/1000)*(s_Irr!BY6)),IF(AND(s_Irr!AA6=".",s_Irr!AZ6&lt;&gt;".",s_Irr!BY6="."),s_dir!BB6/((1/1000)*(s_Irr!AZ6)),IF(AND(s_Irr!AA6&lt;&gt;".",s_Irr!AZ6=".",s_Irr!BY6="."),s_dir!BB6/((1/1000)*(s_Irr!AA6)),IF(AND(s_Irr!AA6=".",s_Irr!AZ6=".",s_Irr!BY6="."),s_dir!BB6*1000)))))))),".")</f>
        <v>.</v>
      </c>
      <c r="CC6" s="93">
        <f t="shared" si="2"/>
        <v>7735.942276775394</v>
      </c>
      <c r="CD6" s="93">
        <f>IFERROR(s_C*s_IFAP_far_adj*s_CF_apple*(1/1000)*(s_Irr!C6+s_Irr!AB6+s_Irr!BA6),".")</f>
        <v>2069.677052148757</v>
      </c>
      <c r="CE6" s="93">
        <f>IFERROR(s_C*s_IFAS_far_adj*s_CF_asparagus*(1/1000)*(s_Irr!D6+s_Irr!AC6+s_Irr!BB6),".")</f>
        <v>1919.4096291643621</v>
      </c>
      <c r="CF6" s="93">
        <f>IFERROR(s_C*s_IFBT_far_adj*s_CF_beet*(1/1000)*(s_Irr!E6+s_Irr!AD6+s_Irr!BC6),".")</f>
        <v>1919.4096291643621</v>
      </c>
      <c r="CG6" s="93">
        <f>IFERROR(s_C*s_IFBE_far_adj*s_CF_berries*(1/1000)*(s_Irr!F6+s_Irr!AE6+s_Irr!BD6),".")</f>
        <v>2069.677052148757</v>
      </c>
      <c r="CH6" s="93">
        <f>IFERROR(s_C*s_IFBR_far_adj*s_CF_broccoli*(1/1000)*(s_Irr!G6+s_Irr!AF6+s_Irr!BE6),".")</f>
        <v>2069.677052148757</v>
      </c>
      <c r="CI6" s="93">
        <f>IFERROR(s_C*s_IFCB_far_adj*s_CF_cabbage*(1/1000)*(s_Irr!H6+s_Irr!AG6+s_Irr!BF6),".")</f>
        <v>1919.4096291643621</v>
      </c>
      <c r="CJ6" s="93">
        <f>IFERROR(s_C*s_IFCR_far_adj*s_CF_carrot*(1/1000)*(s_Irr!I6+s_Irr!AH6+s_Irr!BG6),".")</f>
        <v>1919.4096291643621</v>
      </c>
      <c r="CK6" s="93">
        <f>IFERROR(s_C*s_IFCI_far_adj*s_CF_citrus*(1/1000)*(s_Irr!J6+s_Irr!AI6+s_Irr!BH6),".")</f>
        <v>2069.677052148757</v>
      </c>
      <c r="CL6" s="93">
        <f>IFERROR(s_C*s_IFCO_far_adj*s_CF_corn*(1/1000)*(s_Irr!K6+s_Irr!AJ6+s_Irr!BI6),".")</f>
        <v>2069.677052148757</v>
      </c>
      <c r="CM6" s="93">
        <f>IFERROR(s_C*s_IFCU_far_adj*s_CF_cucumber*(1/1000)*(s_Irr!L6+s_Irr!AK6+s_Irr!BJ6),".")</f>
        <v>2069.677052148757</v>
      </c>
      <c r="CN6" s="93">
        <f>IFERROR(s_C*s_IFLE_far_adj*s_CF_lettuce*(1/1000)*(s_Irr!M6+s_Irr!AL6+s_Irr!BK6),".")</f>
        <v>1919.4096291643621</v>
      </c>
      <c r="CO6" s="93">
        <f>IFERROR(s_C*s_IFLI_far_adj*s_CF_lima_bean*(1/1000)*(s_Irr!N6+s_Irr!AM6+s_Irr!BL6),".")</f>
        <v>2069.677052148757</v>
      </c>
      <c r="CP6" s="93">
        <f>IFERROR(s_C*s_IFOK_far_adj*s_CF_okra*(1/1000)*(s_Irr!O6+s_Irr!AN6+s_Irr!BM6),".")</f>
        <v>2069.677052148757</v>
      </c>
      <c r="CQ6" s="93">
        <f>IFERROR(s_C*s_IFON_far_adj*s_CF_onion*(1/1000)*(s_Irr!P6+s_Irr!AO6+s_Irr!BN6),".")</f>
        <v>1919.4096291643621</v>
      </c>
      <c r="CR6" s="93">
        <f>IFERROR(s_C*s_IFPC_far_adj*s_CF_peach*(1/1000)*(s_Irr!Q6+s_Irr!AP6+s_Irr!BO6),".")</f>
        <v>2069.677052148757</v>
      </c>
      <c r="CS6" s="93">
        <f>IFERROR(s_C*s_IFPR_far_adj*s_CF_pear*(1/1000)*(s_Irr!R6+s_Irr!AQ6+s_Irr!BP6),".")</f>
        <v>2069.677052148757</v>
      </c>
      <c r="CT6" s="93">
        <f>IFERROR(s_C*s_IFPE_far_adj*s_CF_peas*(1/1000)*(s_Irr!S6+s_Irr!AR6+s_Irr!BQ6),".")</f>
        <v>2069.677052148757</v>
      </c>
      <c r="CU6" s="93">
        <f>IFERROR(s_C*s_IFPP_far_adj*s_CF_peppers*(1/1000)*(s_Irr!T6+s_Irr!AS6+s_Irr!BR6),".")</f>
        <v>2069.677052148757</v>
      </c>
      <c r="CV6" s="93">
        <f>IFERROR(s_C*s_IFPT_far_adj*s_CF_potato*(1/1000)*(s_Irr!U6+s_Irr!AT6+s_Irr!BS6),".")</f>
        <v>1919.4096291643621</v>
      </c>
      <c r="CW6" s="93">
        <f>IFERROR(s_C*s_IFPU_far_adj*s_CF_pumpkin*(1/1000)*(s_Irr!V6+s_Irr!AU6+s_Irr!BT6),".")</f>
        <v>2069.677052148757</v>
      </c>
      <c r="CX6" s="93">
        <f>IFERROR(s_C*s_IFSN_far_adj*s_CF_snap_bean*(1/1000)*(s_Irr!W6+s_Irr!AV6+s_Irr!BU6),".")</f>
        <v>2069.677052148757</v>
      </c>
      <c r="CY6" s="93">
        <f>IFERROR(s_C*s_IFST_far_adj*s_CF_strawberry*(1/1000)*(s_Irr!X6+s_Irr!AW6+s_Irr!BV6),".")</f>
        <v>2069.677052148757</v>
      </c>
      <c r="CZ6" s="93">
        <f>IFERROR(s_C*s_IFTO_far_adj*s_CF_tomato*(1/1000)*(s_Irr!Y6+s_Irr!AX6+s_Irr!BW6),".")</f>
        <v>2069.677052148757</v>
      </c>
      <c r="DA6" s="93">
        <f>IFERROR(s_C*s_IFRI_far_adj*s_CF_rice*(1/1000)*(s_Irr!Z6+s_Irr!AY6+s_Irr!BX6),".")</f>
        <v>1797.3924817010336</v>
      </c>
      <c r="DB6" s="93">
        <f>IFERROR(s_C*s_IFCG_far_adj*s_CF_cereal*(1/1000)*(s_Irr!AA6+s_Irr!AZ6+s_Irr!BY6),".")</f>
        <v>1799.1956907768463</v>
      </c>
    </row>
    <row r="7" spans="1:106" ht="15" customHeight="1" x14ac:dyDescent="0.25">
      <c r="A7" s="92" t="s">
        <v>17</v>
      </c>
      <c r="B7" s="90" t="s">
        <v>1071</v>
      </c>
      <c r="C7" s="15">
        <f t="shared" si="3"/>
        <v>201.01967978025729</v>
      </c>
      <c r="D7" s="76">
        <f>IFERROR(IF(AND(s_Irr!C7&lt;&gt;".",s_Irr!AB7&lt;&gt;".",s_Irr!BA7&lt;&gt;"."),s_dir!D7/((1/1000)*(s_Irr!C7+s_Irr!AB7+s_Irr!BA7)),IF(AND(s_Irr!C7&lt;&gt;".",s_Irr!AB7&lt;&gt;".",s_Irr!BA7="."),s_dir!D7/((1/1000)*(s_Irr!C7+s_Irr!AB7)),IF(AND(s_Irr!C7&lt;&gt;".",s_Irr!AB7=".",s_Irr!BA7&lt;&gt;"."),s_dir!D7/((1/1000)*(s_Irr!C7+s_Irr!BA7)),IF(AND(s_Irr!C7=".",s_Irr!AB7&lt;&gt;".",s_Irr!BA7&lt;&gt;"."),s_dir!D7/((1/1000)*(s_Irr!AB7+s_Irr!BA7)),IF(AND(s_Irr!C7=".",s_Irr!AB7=".",s_Irr!BA7&lt;&gt;"."),s_dir!D7/((1/1000)*(s_Irr!BA7)),IF(AND(s_Irr!C7=".",s_Irr!AB7&lt;&gt;".",s_Irr!BA7="."),s_dir!D7/((1/1000)*(s_Irr!AB7)),IF(AND(s_Irr!C7&lt;&gt;".",s_Irr!AB7=".",s_Irr!BA7="."),s_dir!D7/((1/1000)*(s_Irr!C7)),IF(AND(s_Irr!C7=".",s_Irr!AB7=".",s_Irr!BA7="."),s_dir!D7*1000)))))))),".")</f>
        <v>804.07871912102917</v>
      </c>
      <c r="E7" s="76">
        <f>IFERROR(IF(AND(s_Irr!D7&lt;&gt;".",s_Irr!AC7&lt;&gt;".",s_Irr!BB7&lt;&gt;"."),s_dir!E7/((1/1000)*(s_Irr!D7+s_Irr!AC7+s_Irr!BB7)),IF(AND(s_Irr!D7&lt;&gt;".",s_Irr!AC7&lt;&gt;".",s_Irr!BB7="."),s_dir!E7/((1/1000)*(s_Irr!D7+s_Irr!AC7)),IF(AND(s_Irr!D7&lt;&gt;".",s_Irr!AC7=".",s_Irr!BB7&lt;&gt;"."),s_dir!E7/((1/1000)*(s_Irr!D7+s_Irr!BB7)),IF(AND(s_Irr!D7=".",s_Irr!AC7&lt;&gt;".",s_Irr!BB7&lt;&gt;"."),s_dir!E7/((1/1000)*(s_Irr!AC7+s_Irr!BB7)),IF(AND(s_Irr!D7=".",s_Irr!AC7=".",s_Irr!BB7&lt;&gt;"."),s_dir!E7/((1/1000)*(s_Irr!BB7)),IF(AND(s_Irr!D7=".",s_Irr!AC7&lt;&gt;".",s_Irr!BB7="."),s_dir!E7/((1/1000)*(s_Irr!AC7)),IF(AND(s_Irr!D7&lt;&gt;".",s_Irr!AC7=".",s_Irr!BB7="."),s_dir!E7/((1/1000)*(s_Irr!D7)),IF(AND(s_Irr!D7=".",s_Irr!AC7=".",s_Irr!BB7="."),s_dir!E7*1000)))))))),".")</f>
        <v>804.07871912102917</v>
      </c>
      <c r="F7" s="76">
        <f>IFERROR(IF(AND(s_Irr!E7&lt;&gt;".",s_Irr!AD7&lt;&gt;".",s_Irr!BC7&lt;&gt;"."),s_dir!F7/((1/1000)*(s_Irr!E7+s_Irr!AD7+s_Irr!BC7)),IF(AND(s_Irr!E7&lt;&gt;".",s_Irr!AD7&lt;&gt;".",s_Irr!BC7="."),s_dir!F7/((1/1000)*(s_Irr!E7+s_Irr!AD7)),IF(AND(s_Irr!E7&lt;&gt;".",s_Irr!AD7=".",s_Irr!BC7&lt;&gt;"."),s_dir!F7/((1/1000)*(s_Irr!E7+s_Irr!BC7)),IF(AND(s_Irr!E7=".",s_Irr!AD7&lt;&gt;".",s_Irr!BC7&lt;&gt;"."),s_dir!F7/((1/1000)*(s_Irr!AD7+s_Irr!BC7)),IF(AND(s_Irr!E7=".",s_Irr!AD7=".",s_Irr!BC7&lt;&gt;"."),s_dir!F7/((1/1000)*(s_Irr!BC7)),IF(AND(s_Irr!E7=".",s_Irr!AD7&lt;&gt;".",s_Irr!BC7="."),s_dir!F7/((1/1000)*(s_Irr!AD7)),IF(AND(s_Irr!E7&lt;&gt;".",s_Irr!AD7=".",s_Irr!BC7="."),s_dir!F7/((1/1000)*(s_Irr!E7)),IF(AND(s_Irr!E7=".",s_Irr!AD7=".",s_Irr!BC7="."),s_dir!F7*1000)))))))),".")</f>
        <v>804.07871912102917</v>
      </c>
      <c r="G7" s="76">
        <f>IFERROR(IF(AND(s_Irr!F7&lt;&gt;".",s_Irr!AE7&lt;&gt;".",s_Irr!BD7&lt;&gt;"."),s_dir!G7/((1/1000)*(s_Irr!F7+s_Irr!AE7+s_Irr!BD7)),IF(AND(s_Irr!F7&lt;&gt;".",s_Irr!AE7&lt;&gt;".",s_Irr!BD7="."),s_dir!G7/((1/1000)*(s_Irr!F7+s_Irr!AE7)),IF(AND(s_Irr!F7&lt;&gt;".",s_Irr!AE7=".",s_Irr!BD7&lt;&gt;"."),s_dir!G7/((1/1000)*(s_Irr!F7+s_Irr!BD7)),IF(AND(s_Irr!F7=".",s_Irr!AE7&lt;&gt;".",s_Irr!BD7&lt;&gt;"."),s_dir!G7/((1/1000)*(s_Irr!AE7+s_Irr!BD7)),IF(AND(s_Irr!F7=".",s_Irr!AE7=".",s_Irr!BD7&lt;&gt;"."),s_dir!G7/((1/1000)*(s_Irr!BD7)),IF(AND(s_Irr!F7=".",s_Irr!AE7&lt;&gt;".",s_Irr!BD7="."),s_dir!G7/((1/1000)*(s_Irr!AE7)),IF(AND(s_Irr!F7&lt;&gt;".",s_Irr!AE7=".",s_Irr!BD7="."),s_dir!G7/((1/1000)*(s_Irr!F7)),IF(AND(s_Irr!F7=".",s_Irr!AE7=".",s_Irr!BD7="."),s_dir!G7*1000)))))))),".")</f>
        <v>804.07871912102917</v>
      </c>
      <c r="H7" s="76">
        <f>IFERROR(IF(AND(s_Irr!G7&lt;&gt;".",s_Irr!AF7&lt;&gt;".",s_Irr!BE7&lt;&gt;"."),s_dir!H7/((1/1000)*(s_Irr!G7+s_Irr!AF7+s_Irr!BE7)),IF(AND(s_Irr!G7&lt;&gt;".",s_Irr!AF7&lt;&gt;".",s_Irr!BE7="."),s_dir!H7/((1/1000)*(s_Irr!G7+s_Irr!AF7)),IF(AND(s_Irr!G7&lt;&gt;".",s_Irr!AF7=".",s_Irr!BE7&lt;&gt;"."),s_dir!H7/((1/1000)*(s_Irr!G7+s_Irr!BE7)),IF(AND(s_Irr!G7=".",s_Irr!AF7&lt;&gt;".",s_Irr!BE7&lt;&gt;"."),s_dir!H7/((1/1000)*(s_Irr!AF7+s_Irr!BE7)),IF(AND(s_Irr!G7=".",s_Irr!AF7=".",s_Irr!BE7&lt;&gt;"."),s_dir!H7/((1/1000)*(s_Irr!BE7)),IF(AND(s_Irr!G7=".",s_Irr!AF7&lt;&gt;".",s_Irr!BE7="."),s_dir!H7/((1/1000)*(s_Irr!AF7)),IF(AND(s_Irr!G7&lt;&gt;".",s_Irr!AF7=".",s_Irr!BE7="."),s_dir!H7/((1/1000)*(s_Irr!G7)),IF(AND(s_Irr!G7=".",s_Irr!AF7=".",s_Irr!BE7="."),s_dir!H7*1000)))))))),".")</f>
        <v>804.07871912102917</v>
      </c>
      <c r="I7" s="76">
        <f>IFERROR(IF(AND(s_Irr!H7&lt;&gt;".",s_Irr!AG7&lt;&gt;".",s_Irr!BF7&lt;&gt;"."),s_dir!I7/((1/1000)*(s_Irr!H7+s_Irr!AG7+s_Irr!BF7)),IF(AND(s_Irr!H7&lt;&gt;".",s_Irr!AG7&lt;&gt;".",s_Irr!BF7="."),s_dir!I7/((1/1000)*(s_Irr!H7+s_Irr!AG7)),IF(AND(s_Irr!H7&lt;&gt;".",s_Irr!AG7=".",s_Irr!BF7&lt;&gt;"."),s_dir!I7/((1/1000)*(s_Irr!H7+s_Irr!BF7)),IF(AND(s_Irr!H7=".",s_Irr!AG7&lt;&gt;".",s_Irr!BF7&lt;&gt;"."),s_dir!I7/((1/1000)*(s_Irr!AG7+s_Irr!BF7)),IF(AND(s_Irr!H7=".",s_Irr!AG7=".",s_Irr!BF7&lt;&gt;"."),s_dir!I7/((1/1000)*(s_Irr!BF7)),IF(AND(s_Irr!H7=".",s_Irr!AG7&lt;&gt;".",s_Irr!BF7="."),s_dir!I7/((1/1000)*(s_Irr!AG7)),IF(AND(s_Irr!H7&lt;&gt;".",s_Irr!AG7=".",s_Irr!BF7="."),s_dir!I7/((1/1000)*(s_Irr!H7)),IF(AND(s_Irr!H7=".",s_Irr!AG7=".",s_Irr!BF7="."),s_dir!I7*1000)))))))),".")</f>
        <v>804.07871912102917</v>
      </c>
      <c r="J7" s="76">
        <f>IFERROR(IF(AND(s_Irr!I7&lt;&gt;".",s_Irr!AH7&lt;&gt;".",s_Irr!BG7&lt;&gt;"."),s_dir!J7/((1/1000)*(s_Irr!I7+s_Irr!AH7+s_Irr!BG7)),IF(AND(s_Irr!I7&lt;&gt;".",s_Irr!AH7&lt;&gt;".",s_Irr!BG7="."),s_dir!J7/((1/1000)*(s_Irr!I7+s_Irr!AH7)),IF(AND(s_Irr!I7&lt;&gt;".",s_Irr!AH7=".",s_Irr!BG7&lt;&gt;"."),s_dir!J7/((1/1000)*(s_Irr!I7+s_Irr!BG7)),IF(AND(s_Irr!I7=".",s_Irr!AH7&lt;&gt;".",s_Irr!BG7&lt;&gt;"."),s_dir!J7/((1/1000)*(s_Irr!AH7+s_Irr!BG7)),IF(AND(s_Irr!I7=".",s_Irr!AH7=".",s_Irr!BG7&lt;&gt;"."),s_dir!J7/((1/1000)*(s_Irr!BG7)),IF(AND(s_Irr!I7=".",s_Irr!AH7&lt;&gt;".",s_Irr!BG7="."),s_dir!J7/((1/1000)*(s_Irr!AH7)),IF(AND(s_Irr!I7&lt;&gt;".",s_Irr!AH7=".",s_Irr!BG7="."),s_dir!J7/((1/1000)*(s_Irr!I7)),IF(AND(s_Irr!I7=".",s_Irr!AH7=".",s_Irr!BG7="."),s_dir!J7*1000)))))))),".")</f>
        <v>804.07871912102917</v>
      </c>
      <c r="K7" s="76">
        <f>IFERROR(IF(AND(s_Irr!J7&lt;&gt;".",s_Irr!AI7&lt;&gt;".",s_Irr!BH7&lt;&gt;"."),s_dir!K7/((1/1000)*(s_Irr!J7+s_Irr!AI7+s_Irr!BH7)),IF(AND(s_Irr!J7&lt;&gt;".",s_Irr!AI7&lt;&gt;".",s_Irr!BH7="."),s_dir!K7/((1/1000)*(s_Irr!J7+s_Irr!AI7)),IF(AND(s_Irr!J7&lt;&gt;".",s_Irr!AI7=".",s_Irr!BH7&lt;&gt;"."),s_dir!K7/((1/1000)*(s_Irr!J7+s_Irr!BH7)),IF(AND(s_Irr!J7=".",s_Irr!AI7&lt;&gt;".",s_Irr!BH7&lt;&gt;"."),s_dir!K7/((1/1000)*(s_Irr!AI7+s_Irr!BH7)),IF(AND(s_Irr!J7=".",s_Irr!AI7=".",s_Irr!BH7&lt;&gt;"."),s_dir!K7/((1/1000)*(s_Irr!BH7)),IF(AND(s_Irr!J7=".",s_Irr!AI7&lt;&gt;".",s_Irr!BH7="."),s_dir!K7/((1/1000)*(s_Irr!AI7)),IF(AND(s_Irr!J7&lt;&gt;".",s_Irr!AI7=".",s_Irr!BH7="."),s_dir!K7/((1/1000)*(s_Irr!J7)),IF(AND(s_Irr!J7=".",s_Irr!AI7=".",s_Irr!BH7="."),s_dir!K7*1000)))))))),".")</f>
        <v>804.07871912102917</v>
      </c>
      <c r="L7" s="76">
        <f>IFERROR(IF(AND(s_Irr!K7&lt;&gt;".",s_Irr!AJ7&lt;&gt;".",s_Irr!BI7&lt;&gt;"."),s_dir!L7/((1/1000)*(s_Irr!K7+s_Irr!AJ7+s_Irr!BI7)),IF(AND(s_Irr!K7&lt;&gt;".",s_Irr!AJ7&lt;&gt;".",s_Irr!BI7="."),s_dir!L7/((1/1000)*(s_Irr!K7+s_Irr!AJ7)),IF(AND(s_Irr!K7&lt;&gt;".",s_Irr!AJ7=".",s_Irr!BI7&lt;&gt;"."),s_dir!L7/((1/1000)*(s_Irr!K7+s_Irr!BI7)),IF(AND(s_Irr!K7=".",s_Irr!AJ7&lt;&gt;".",s_Irr!BI7&lt;&gt;"."),s_dir!L7/((1/1000)*(s_Irr!AJ7+s_Irr!BI7)),IF(AND(s_Irr!K7=".",s_Irr!AJ7=".",s_Irr!BI7&lt;&gt;"."),s_dir!L7/((1/1000)*(s_Irr!BI7)),IF(AND(s_Irr!K7=".",s_Irr!AJ7&lt;&gt;".",s_Irr!BI7="."),s_dir!L7/((1/1000)*(s_Irr!AJ7)),IF(AND(s_Irr!K7&lt;&gt;".",s_Irr!AJ7=".",s_Irr!BI7="."),s_dir!L7/((1/1000)*(s_Irr!K7)),IF(AND(s_Irr!K7=".",s_Irr!AJ7=".",s_Irr!BI7="."),s_dir!L7*1000)))))))),".")</f>
        <v>804.07871912102917</v>
      </c>
      <c r="M7" s="76">
        <f>IFERROR(IF(AND(s_Irr!L7&lt;&gt;".",s_Irr!AK7&lt;&gt;".",s_Irr!BJ7&lt;&gt;"."),s_dir!M7/((1/1000)*(s_Irr!L7+s_Irr!AK7+s_Irr!BJ7)),IF(AND(s_Irr!L7&lt;&gt;".",s_Irr!AK7&lt;&gt;".",s_Irr!BJ7="."),s_dir!M7/((1/1000)*(s_Irr!L7+s_Irr!AK7)),IF(AND(s_Irr!L7&lt;&gt;".",s_Irr!AK7=".",s_Irr!BJ7&lt;&gt;"."),s_dir!M7/((1/1000)*(s_Irr!L7+s_Irr!BJ7)),IF(AND(s_Irr!L7=".",s_Irr!AK7&lt;&gt;".",s_Irr!BJ7&lt;&gt;"."),s_dir!M7/((1/1000)*(s_Irr!AK7+s_Irr!BJ7)),IF(AND(s_Irr!L7=".",s_Irr!AK7=".",s_Irr!BJ7&lt;&gt;"."),s_dir!M7/((1/1000)*(s_Irr!BJ7)),IF(AND(s_Irr!L7=".",s_Irr!AK7&lt;&gt;".",s_Irr!BJ7="."),s_dir!M7/((1/1000)*(s_Irr!AK7)),IF(AND(s_Irr!L7&lt;&gt;".",s_Irr!AK7=".",s_Irr!BJ7="."),s_dir!M7/((1/1000)*(s_Irr!L7)),IF(AND(s_Irr!L7=".",s_Irr!AK7=".",s_Irr!BJ7="."),s_dir!M7*1000)))))))),".")</f>
        <v>804.07871912102917</v>
      </c>
      <c r="N7" s="76">
        <f>IFERROR(IF(AND(s_Irr!M7&lt;&gt;".",s_Irr!AL7&lt;&gt;".",s_Irr!BK7&lt;&gt;"."),s_dir!N7/((1/1000)*(s_Irr!M7+s_Irr!AL7+s_Irr!BK7)),IF(AND(s_Irr!M7&lt;&gt;".",s_Irr!AL7&lt;&gt;".",s_Irr!BK7="."),s_dir!N7/((1/1000)*(s_Irr!M7+s_Irr!AL7)),IF(AND(s_Irr!M7&lt;&gt;".",s_Irr!AL7=".",s_Irr!BK7&lt;&gt;"."),s_dir!N7/((1/1000)*(s_Irr!M7+s_Irr!BK7)),IF(AND(s_Irr!M7=".",s_Irr!AL7&lt;&gt;".",s_Irr!BK7&lt;&gt;"."),s_dir!N7/((1/1000)*(s_Irr!AL7+s_Irr!BK7)),IF(AND(s_Irr!M7=".",s_Irr!AL7=".",s_Irr!BK7&lt;&gt;"."),s_dir!N7/((1/1000)*(s_Irr!BK7)),IF(AND(s_Irr!M7=".",s_Irr!AL7&lt;&gt;".",s_Irr!BK7="."),s_dir!N7/((1/1000)*(s_Irr!AL7)),IF(AND(s_Irr!M7&lt;&gt;".",s_Irr!AL7=".",s_Irr!BK7="."),s_dir!N7/((1/1000)*(s_Irr!M7)),IF(AND(s_Irr!M7=".",s_Irr!AL7=".",s_Irr!BK7="."),s_dir!N7*1000)))))))),".")</f>
        <v>804.07871912102917</v>
      </c>
      <c r="O7" s="76">
        <f>IFERROR(IF(AND(s_Irr!N7&lt;&gt;".",s_Irr!AM7&lt;&gt;".",s_Irr!BL7&lt;&gt;"."),s_dir!O7/((1/1000)*(s_Irr!N7+s_Irr!AM7+s_Irr!BL7)),IF(AND(s_Irr!N7&lt;&gt;".",s_Irr!AM7&lt;&gt;".",s_Irr!BL7="."),s_dir!O7/((1/1000)*(s_Irr!N7+s_Irr!AM7)),IF(AND(s_Irr!N7&lt;&gt;".",s_Irr!AM7=".",s_Irr!BL7&lt;&gt;"."),s_dir!O7/((1/1000)*(s_Irr!N7+s_Irr!BL7)),IF(AND(s_Irr!N7=".",s_Irr!AM7&lt;&gt;".",s_Irr!BL7&lt;&gt;"."),s_dir!O7/((1/1000)*(s_Irr!AM7+s_Irr!BL7)),IF(AND(s_Irr!N7=".",s_Irr!AM7=".",s_Irr!BL7&lt;&gt;"."),s_dir!O7/((1/1000)*(s_Irr!BL7)),IF(AND(s_Irr!N7=".",s_Irr!AM7&lt;&gt;".",s_Irr!BL7="."),s_dir!O7/((1/1000)*(s_Irr!AM7)),IF(AND(s_Irr!N7&lt;&gt;".",s_Irr!AM7=".",s_Irr!BL7="."),s_dir!O7/((1/1000)*(s_Irr!N7)),IF(AND(s_Irr!N7=".",s_Irr!AM7=".",s_Irr!BL7="."),s_dir!O7*1000)))))))),".")</f>
        <v>804.07871912102917</v>
      </c>
      <c r="P7" s="76">
        <f>IFERROR(IF(AND(s_Irr!O7&lt;&gt;".",s_Irr!AN7&lt;&gt;".",s_Irr!BM7&lt;&gt;"."),s_dir!P7/((1/1000)*(s_Irr!O7+s_Irr!AN7+s_Irr!BM7)),IF(AND(s_Irr!O7&lt;&gt;".",s_Irr!AN7&lt;&gt;".",s_Irr!BM7="."),s_dir!P7/((1/1000)*(s_Irr!O7+s_Irr!AN7)),IF(AND(s_Irr!O7&lt;&gt;".",s_Irr!AN7=".",s_Irr!BM7&lt;&gt;"."),s_dir!P7/((1/1000)*(s_Irr!O7+s_Irr!BM7)),IF(AND(s_Irr!O7=".",s_Irr!AN7&lt;&gt;".",s_Irr!BM7&lt;&gt;"."),s_dir!P7/((1/1000)*(s_Irr!AN7+s_Irr!BM7)),IF(AND(s_Irr!O7=".",s_Irr!AN7=".",s_Irr!BM7&lt;&gt;"."),s_dir!P7/((1/1000)*(s_Irr!BM7)),IF(AND(s_Irr!O7=".",s_Irr!AN7&lt;&gt;".",s_Irr!BM7="."),s_dir!P7/((1/1000)*(s_Irr!AN7)),IF(AND(s_Irr!O7&lt;&gt;".",s_Irr!AN7=".",s_Irr!BM7="."),s_dir!P7/((1/1000)*(s_Irr!O7)),IF(AND(s_Irr!O7=".",s_Irr!AN7=".",s_Irr!BM7="."),s_dir!P7*1000)))))))),".")</f>
        <v>804.07871912102917</v>
      </c>
      <c r="Q7" s="76">
        <f>IFERROR(IF(AND(s_Irr!P7&lt;&gt;".",s_Irr!AO7&lt;&gt;".",s_Irr!BN7&lt;&gt;"."),s_dir!Q7/((1/1000)*(s_Irr!P7+s_Irr!AO7+s_Irr!BN7)),IF(AND(s_Irr!P7&lt;&gt;".",s_Irr!AO7&lt;&gt;".",s_Irr!BN7="."),s_dir!Q7/((1/1000)*(s_Irr!P7+s_Irr!AO7)),IF(AND(s_Irr!P7&lt;&gt;".",s_Irr!AO7=".",s_Irr!BN7&lt;&gt;"."),s_dir!Q7/((1/1000)*(s_Irr!P7+s_Irr!BN7)),IF(AND(s_Irr!P7=".",s_Irr!AO7&lt;&gt;".",s_Irr!BN7&lt;&gt;"."),s_dir!Q7/((1/1000)*(s_Irr!AO7+s_Irr!BN7)),IF(AND(s_Irr!P7=".",s_Irr!AO7=".",s_Irr!BN7&lt;&gt;"."),s_dir!Q7/((1/1000)*(s_Irr!BN7)),IF(AND(s_Irr!P7=".",s_Irr!AO7&lt;&gt;".",s_Irr!BN7="."),s_dir!Q7/((1/1000)*(s_Irr!AO7)),IF(AND(s_Irr!P7&lt;&gt;".",s_Irr!AO7=".",s_Irr!BN7="."),s_dir!Q7/((1/1000)*(s_Irr!P7)),IF(AND(s_Irr!P7=".",s_Irr!AO7=".",s_Irr!BN7="."),s_dir!Q7*1000)))))))),".")</f>
        <v>804.07871912102917</v>
      </c>
      <c r="R7" s="76">
        <f>IFERROR(IF(AND(s_Irr!Q7&lt;&gt;".",s_Irr!AP7&lt;&gt;".",s_Irr!BO7&lt;&gt;"."),s_dir!R7/((1/1000)*(s_Irr!Q7+s_Irr!AP7+s_Irr!BO7)),IF(AND(s_Irr!Q7&lt;&gt;".",s_Irr!AP7&lt;&gt;".",s_Irr!BO7="."),s_dir!R7/((1/1000)*(s_Irr!Q7+s_Irr!AP7)),IF(AND(s_Irr!Q7&lt;&gt;".",s_Irr!AP7=".",s_Irr!BO7&lt;&gt;"."),s_dir!R7/((1/1000)*(s_Irr!Q7+s_Irr!BO7)),IF(AND(s_Irr!Q7=".",s_Irr!AP7&lt;&gt;".",s_Irr!BO7&lt;&gt;"."),s_dir!R7/((1/1000)*(s_Irr!AP7+s_Irr!BO7)),IF(AND(s_Irr!Q7=".",s_Irr!AP7=".",s_Irr!BO7&lt;&gt;"."),s_dir!R7/((1/1000)*(s_Irr!BO7)),IF(AND(s_Irr!Q7=".",s_Irr!AP7&lt;&gt;".",s_Irr!BO7="."),s_dir!R7/((1/1000)*(s_Irr!AP7)),IF(AND(s_Irr!Q7&lt;&gt;".",s_Irr!AP7=".",s_Irr!BO7="."),s_dir!R7/((1/1000)*(s_Irr!Q7)),IF(AND(s_Irr!Q7=".",s_Irr!AP7=".",s_Irr!BO7="."),s_dir!R7*1000)))))))),".")</f>
        <v>804.07871912102917</v>
      </c>
      <c r="S7" s="76">
        <f>IFERROR(IF(AND(s_Irr!R7&lt;&gt;".",s_Irr!AQ7&lt;&gt;".",s_Irr!BP7&lt;&gt;"."),s_dir!S7/((1/1000)*(s_Irr!R7+s_Irr!AQ7+s_Irr!BP7)),IF(AND(s_Irr!R7&lt;&gt;".",s_Irr!AQ7&lt;&gt;".",s_Irr!BP7="."),s_dir!S7/((1/1000)*(s_Irr!R7+s_Irr!AQ7)),IF(AND(s_Irr!R7&lt;&gt;".",s_Irr!AQ7=".",s_Irr!BP7&lt;&gt;"."),s_dir!S7/((1/1000)*(s_Irr!R7+s_Irr!BP7)),IF(AND(s_Irr!R7=".",s_Irr!AQ7&lt;&gt;".",s_Irr!BP7&lt;&gt;"."),s_dir!S7/((1/1000)*(s_Irr!AQ7+s_Irr!BP7)),IF(AND(s_Irr!R7=".",s_Irr!AQ7=".",s_Irr!BP7&lt;&gt;"."),s_dir!S7/((1/1000)*(s_Irr!BP7)),IF(AND(s_Irr!R7=".",s_Irr!AQ7&lt;&gt;".",s_Irr!BP7="."),s_dir!S7/((1/1000)*(s_Irr!AQ7)),IF(AND(s_Irr!R7&lt;&gt;".",s_Irr!AQ7=".",s_Irr!BP7="."),s_dir!S7/((1/1000)*(s_Irr!R7)),IF(AND(s_Irr!R7=".",s_Irr!AQ7=".",s_Irr!BP7="."),s_dir!S7*1000)))))))),".")</f>
        <v>804.07871912102917</v>
      </c>
      <c r="T7" s="76">
        <f>IFERROR(IF(AND(s_Irr!S7&lt;&gt;".",s_Irr!AR7&lt;&gt;".",s_Irr!BQ7&lt;&gt;"."),s_dir!T7/((1/1000)*(s_Irr!S7+s_Irr!AR7+s_Irr!BQ7)),IF(AND(s_Irr!S7&lt;&gt;".",s_Irr!AR7&lt;&gt;".",s_Irr!BQ7="."),s_dir!T7/((1/1000)*(s_Irr!S7+s_Irr!AR7)),IF(AND(s_Irr!S7&lt;&gt;".",s_Irr!AR7=".",s_Irr!BQ7&lt;&gt;"."),s_dir!T7/((1/1000)*(s_Irr!S7+s_Irr!BQ7)),IF(AND(s_Irr!S7=".",s_Irr!AR7&lt;&gt;".",s_Irr!BQ7&lt;&gt;"."),s_dir!T7/((1/1000)*(s_Irr!AR7+s_Irr!BQ7)),IF(AND(s_Irr!S7=".",s_Irr!AR7=".",s_Irr!BQ7&lt;&gt;"."),s_dir!T7/((1/1000)*(s_Irr!BQ7)),IF(AND(s_Irr!S7=".",s_Irr!AR7&lt;&gt;".",s_Irr!BQ7="."),s_dir!T7/((1/1000)*(s_Irr!AR7)),IF(AND(s_Irr!S7&lt;&gt;".",s_Irr!AR7=".",s_Irr!BQ7="."),s_dir!T7/((1/1000)*(s_Irr!S7)),IF(AND(s_Irr!S7=".",s_Irr!AR7=".",s_Irr!BQ7="."),s_dir!T7*1000)))))))),".")</f>
        <v>804.07871912102917</v>
      </c>
      <c r="U7" s="76">
        <f>IFERROR(IF(AND(s_Irr!T7&lt;&gt;".",s_Irr!AS7&lt;&gt;".",s_Irr!BR7&lt;&gt;"."),s_dir!U7/((1/1000)*(s_Irr!T7+s_Irr!AS7+s_Irr!BR7)),IF(AND(s_Irr!T7&lt;&gt;".",s_Irr!AS7&lt;&gt;".",s_Irr!BR7="."),s_dir!U7/((1/1000)*(s_Irr!T7+s_Irr!AS7)),IF(AND(s_Irr!T7&lt;&gt;".",s_Irr!AS7=".",s_Irr!BR7&lt;&gt;"."),s_dir!U7/((1/1000)*(s_Irr!T7+s_Irr!BR7)),IF(AND(s_Irr!T7=".",s_Irr!AS7&lt;&gt;".",s_Irr!BR7&lt;&gt;"."),s_dir!U7/((1/1000)*(s_Irr!AS7+s_Irr!BR7)),IF(AND(s_Irr!T7=".",s_Irr!AS7=".",s_Irr!BR7&lt;&gt;"."),s_dir!U7/((1/1000)*(s_Irr!BR7)),IF(AND(s_Irr!T7=".",s_Irr!AS7&lt;&gt;".",s_Irr!BR7="."),s_dir!U7/((1/1000)*(s_Irr!AS7)),IF(AND(s_Irr!T7&lt;&gt;".",s_Irr!AS7=".",s_Irr!BR7="."),s_dir!U7/((1/1000)*(s_Irr!T7)),IF(AND(s_Irr!T7=".",s_Irr!AS7=".",s_Irr!BR7="."),s_dir!U7*1000)))))))),".")</f>
        <v>804.07871912102917</v>
      </c>
      <c r="V7" s="76">
        <f>IFERROR(IF(AND(s_Irr!U7&lt;&gt;".",s_Irr!AT7&lt;&gt;".",s_Irr!BS7&lt;&gt;"."),s_dir!V7/((1/1000)*(s_Irr!U7+s_Irr!AT7+s_Irr!BS7)),IF(AND(s_Irr!U7&lt;&gt;".",s_Irr!AT7&lt;&gt;".",s_Irr!BS7="."),s_dir!V7/((1/1000)*(s_Irr!U7+s_Irr!AT7)),IF(AND(s_Irr!U7&lt;&gt;".",s_Irr!AT7=".",s_Irr!BS7&lt;&gt;"."),s_dir!V7/((1/1000)*(s_Irr!U7+s_Irr!BS7)),IF(AND(s_Irr!U7=".",s_Irr!AT7&lt;&gt;".",s_Irr!BS7&lt;&gt;"."),s_dir!V7/((1/1000)*(s_Irr!AT7+s_Irr!BS7)),IF(AND(s_Irr!U7=".",s_Irr!AT7=".",s_Irr!BS7&lt;&gt;"."),s_dir!V7/((1/1000)*(s_Irr!BS7)),IF(AND(s_Irr!U7=".",s_Irr!AT7&lt;&gt;".",s_Irr!BS7="."),s_dir!V7/((1/1000)*(s_Irr!AT7)),IF(AND(s_Irr!U7&lt;&gt;".",s_Irr!AT7=".",s_Irr!BS7="."),s_dir!V7/((1/1000)*(s_Irr!U7)),IF(AND(s_Irr!U7=".",s_Irr!AT7=".",s_Irr!BS7="."),s_dir!V7*1000)))))))),".")</f>
        <v>804.07871912102917</v>
      </c>
      <c r="W7" s="76">
        <f>IFERROR(IF(AND(s_Irr!V7&lt;&gt;".",s_Irr!AU7&lt;&gt;".",s_Irr!BT7&lt;&gt;"."),s_dir!W7/((1/1000)*(s_Irr!V7+s_Irr!AU7+s_Irr!BT7)),IF(AND(s_Irr!V7&lt;&gt;".",s_Irr!AU7&lt;&gt;".",s_Irr!BT7="."),s_dir!W7/((1/1000)*(s_Irr!V7+s_Irr!AU7)),IF(AND(s_Irr!V7&lt;&gt;".",s_Irr!AU7=".",s_Irr!BT7&lt;&gt;"."),s_dir!W7/((1/1000)*(s_Irr!V7+s_Irr!BT7)),IF(AND(s_Irr!V7=".",s_Irr!AU7&lt;&gt;".",s_Irr!BT7&lt;&gt;"."),s_dir!W7/((1/1000)*(s_Irr!AU7+s_Irr!BT7)),IF(AND(s_Irr!V7=".",s_Irr!AU7=".",s_Irr!BT7&lt;&gt;"."),s_dir!W7/((1/1000)*(s_Irr!BT7)),IF(AND(s_Irr!V7=".",s_Irr!AU7&lt;&gt;".",s_Irr!BT7="."),s_dir!W7/((1/1000)*(s_Irr!AU7)),IF(AND(s_Irr!V7&lt;&gt;".",s_Irr!AU7=".",s_Irr!BT7="."),s_dir!W7/((1/1000)*(s_Irr!V7)),IF(AND(s_Irr!V7=".",s_Irr!AU7=".",s_Irr!BT7="."),s_dir!W7*1000)))))))),".")</f>
        <v>804.07871912102917</v>
      </c>
      <c r="X7" s="76">
        <f>IFERROR(IF(AND(s_Irr!W7&lt;&gt;".",s_Irr!AV7&lt;&gt;".",s_Irr!BU7&lt;&gt;"."),s_dir!X7/((1/1000)*(s_Irr!W7+s_Irr!AV7+s_Irr!BU7)),IF(AND(s_Irr!W7&lt;&gt;".",s_Irr!AV7&lt;&gt;".",s_Irr!BU7="."),s_dir!X7/((1/1000)*(s_Irr!W7+s_Irr!AV7)),IF(AND(s_Irr!W7&lt;&gt;".",s_Irr!AV7=".",s_Irr!BU7&lt;&gt;"."),s_dir!X7/((1/1000)*(s_Irr!W7+s_Irr!BU7)),IF(AND(s_Irr!W7=".",s_Irr!AV7&lt;&gt;".",s_Irr!BU7&lt;&gt;"."),s_dir!X7/((1/1000)*(s_Irr!AV7+s_Irr!BU7)),IF(AND(s_Irr!W7=".",s_Irr!AV7=".",s_Irr!BU7&lt;&gt;"."),s_dir!X7/((1/1000)*(s_Irr!BU7)),IF(AND(s_Irr!W7=".",s_Irr!AV7&lt;&gt;".",s_Irr!BU7="."),s_dir!X7/((1/1000)*(s_Irr!AV7)),IF(AND(s_Irr!W7&lt;&gt;".",s_Irr!AV7=".",s_Irr!BU7="."),s_dir!X7/((1/1000)*(s_Irr!W7)),IF(AND(s_Irr!W7=".",s_Irr!AV7=".",s_Irr!BU7="."),s_dir!X7*1000)))))))),".")</f>
        <v>804.07871912102917</v>
      </c>
      <c r="Y7" s="76">
        <f>IFERROR(IF(AND(s_Irr!X7&lt;&gt;".",s_Irr!AW7&lt;&gt;".",s_Irr!BV7&lt;&gt;"."),s_dir!Y7/((1/1000)*(s_Irr!X7+s_Irr!AW7+s_Irr!BV7)),IF(AND(s_Irr!X7&lt;&gt;".",s_Irr!AW7&lt;&gt;".",s_Irr!BV7="."),s_dir!Y7/((1/1000)*(s_Irr!X7+s_Irr!AW7)),IF(AND(s_Irr!X7&lt;&gt;".",s_Irr!AW7=".",s_Irr!BV7&lt;&gt;"."),s_dir!Y7/((1/1000)*(s_Irr!X7+s_Irr!BV7)),IF(AND(s_Irr!X7=".",s_Irr!AW7&lt;&gt;".",s_Irr!BV7&lt;&gt;"."),s_dir!Y7/((1/1000)*(s_Irr!AW7+s_Irr!BV7)),IF(AND(s_Irr!X7=".",s_Irr!AW7=".",s_Irr!BV7&lt;&gt;"."),s_dir!Y7/((1/1000)*(s_Irr!BV7)),IF(AND(s_Irr!X7=".",s_Irr!AW7&lt;&gt;".",s_Irr!BV7="."),s_dir!Y7/((1/1000)*(s_Irr!AW7)),IF(AND(s_Irr!X7&lt;&gt;".",s_Irr!AW7=".",s_Irr!BV7="."),s_dir!Y7/((1/1000)*(s_Irr!X7)),IF(AND(s_Irr!X7=".",s_Irr!AW7=".",s_Irr!BV7="."),s_dir!Y7*1000)))))))),".")</f>
        <v>804.07871912102917</v>
      </c>
      <c r="Z7" s="76">
        <f>IFERROR(IF(AND(s_Irr!Y7&lt;&gt;".",s_Irr!AX7&lt;&gt;".",s_Irr!BW7&lt;&gt;"."),s_dir!Z7/((1/1000)*(s_Irr!Y7+s_Irr!AX7+s_Irr!BW7)),IF(AND(s_Irr!Y7&lt;&gt;".",s_Irr!AX7&lt;&gt;".",s_Irr!BW7="."),s_dir!Z7/((1/1000)*(s_Irr!Y7+s_Irr!AX7)),IF(AND(s_Irr!Y7&lt;&gt;".",s_Irr!AX7=".",s_Irr!BW7&lt;&gt;"."),s_dir!Z7/((1/1000)*(s_Irr!Y7+s_Irr!BW7)),IF(AND(s_Irr!Y7=".",s_Irr!AX7&lt;&gt;".",s_Irr!BW7&lt;&gt;"."),s_dir!Z7/((1/1000)*(s_Irr!AX7+s_Irr!BW7)),IF(AND(s_Irr!Y7=".",s_Irr!AX7=".",s_Irr!BW7&lt;&gt;"."),s_dir!Z7/((1/1000)*(s_Irr!BW7)),IF(AND(s_Irr!Y7=".",s_Irr!AX7&lt;&gt;".",s_Irr!BW7="."),s_dir!Z7/((1/1000)*(s_Irr!AX7)),IF(AND(s_Irr!Y7&lt;&gt;".",s_Irr!AX7=".",s_Irr!BW7="."),s_dir!Z7/((1/1000)*(s_Irr!Y7)),IF(AND(s_Irr!Y7=".",s_Irr!AX7=".",s_Irr!BW7="."),s_dir!Z7*1000)))))))),".")</f>
        <v>804.07871912102917</v>
      </c>
      <c r="AA7" s="76">
        <f>IFERROR(IF(AND(s_Irr!Z7&lt;&gt;".",s_Irr!AY7&lt;&gt;".",s_Irr!BX7&lt;&gt;"."),s_dir!AA7/((1/1000)*(s_Irr!Z7+s_Irr!AY7+s_Irr!BX7)),IF(AND(s_Irr!Z7&lt;&gt;".",s_Irr!AY7&lt;&gt;".",s_Irr!BX7="."),s_dir!AA7/((1/1000)*(s_Irr!Z7+s_Irr!AY7)),IF(AND(s_Irr!Z7&lt;&gt;".",s_Irr!AY7=".",s_Irr!BX7&lt;&gt;"."),s_dir!AA7/((1/1000)*(s_Irr!Z7+s_Irr!BX7)),IF(AND(s_Irr!Z7=".",s_Irr!AY7&lt;&gt;".",s_Irr!BX7&lt;&gt;"."),s_dir!AA7/((1/1000)*(s_Irr!AY7+s_Irr!BX7)),IF(AND(s_Irr!Z7=".",s_Irr!AY7=".",s_Irr!BX7&lt;&gt;"."),s_dir!AA7/((1/1000)*(s_Irr!BX7)),IF(AND(s_Irr!Z7=".",s_Irr!AY7&lt;&gt;".",s_Irr!BX7="."),s_dir!AA7/((1/1000)*(s_Irr!AY7)),IF(AND(s_Irr!Z7&lt;&gt;".",s_Irr!AY7=".",s_Irr!BX7="."),s_dir!AA7/((1/1000)*(s_Irr!Z7)),IF(AND(s_Irr!Z7=".",s_Irr!AY7=".",s_Irr!BX7="."),s_dir!AA7*1000)))))))),".")</f>
        <v>804.07871912102917</v>
      </c>
      <c r="AB7" s="76">
        <f>IFERROR(IF(AND(s_Irr!AA7&lt;&gt;".",s_Irr!AZ7&lt;&gt;".",s_Irr!BY7&lt;&gt;"."),s_dir!AB7/((1/1000)*(s_Irr!AA7+s_Irr!AZ7+s_Irr!BY7)),IF(AND(s_Irr!AA7&lt;&gt;".",s_Irr!AZ7&lt;&gt;".",s_Irr!BY7="."),s_dir!AB7/((1/1000)*(s_Irr!AA7+s_Irr!AZ7)),IF(AND(s_Irr!AA7&lt;&gt;".",s_Irr!AZ7=".",s_Irr!BY7&lt;&gt;"."),s_dir!AB7/((1/1000)*(s_Irr!AA7+s_Irr!BY7)),IF(AND(s_Irr!AA7=".",s_Irr!AZ7&lt;&gt;".",s_Irr!BY7&lt;&gt;"."),s_dir!AB7/((1/1000)*(s_Irr!AZ7+s_Irr!BY7)),IF(AND(s_Irr!AA7=".",s_Irr!AZ7=".",s_Irr!BY7&lt;&gt;"."),s_dir!AB7/((1/1000)*(s_Irr!BY7)),IF(AND(s_Irr!AA7=".",s_Irr!AZ7&lt;&gt;".",s_Irr!BY7="."),s_dir!AB7/((1/1000)*(s_Irr!AZ7)),IF(AND(s_Irr!AA7&lt;&gt;".",s_Irr!AZ7=".",s_Irr!BY7="."),s_dir!AB7/((1/1000)*(s_Irr!AA7)),IF(AND(s_Irr!AA7=".",s_Irr!AZ7=".",s_Irr!BY7="."),s_dir!AB7*1000)))))))),".")</f>
        <v>804.07871912102917</v>
      </c>
      <c r="AC7" s="93">
        <f t="shared" si="4"/>
        <v>19097.962663471444</v>
      </c>
      <c r="AD7" s="93">
        <f>IFERROR(s_C*s_IFAP_res_adj*s_CF_apple*0.001*(s_Irr!C7+s_Irr!AB7+s_Irr!BA7),".")</f>
        <v>4774.490665867861</v>
      </c>
      <c r="AE7" s="93">
        <f>IFERROR(s_C*s_IFAS_res_adj*s_CF_asparagus*0.001*(s_Irr!D7+s_Irr!AC7+s_Irr!BB7),".")</f>
        <v>4774.490665867861</v>
      </c>
      <c r="AF7" s="93">
        <f>IFERROR(s_C*s_IFBT_res_adj*s_CF_beet*0.001*(s_Irr!E7+s_Irr!AD7+s_Irr!BC7),".")</f>
        <v>4774.490665867861</v>
      </c>
      <c r="AG7" s="93">
        <f>IFERROR(s_C*s_IFBE_res_adj*s_CF_berries*0.001*(s_Irr!F7+s_Irr!AE7+s_Irr!BD7),".")</f>
        <v>4774.490665867861</v>
      </c>
      <c r="AH7" s="93">
        <f>IFERROR(s_C*s_IFBR_res_adj*s_CF_broccoli*0.001*(s_Irr!G7+s_Irr!AF7+s_Irr!BE7),".")</f>
        <v>4774.490665867861</v>
      </c>
      <c r="AI7" s="93">
        <f>IFERROR(s_C*s_IFCB_res_adj*s_CF_cabbage*0.001*(s_Irr!H7+s_Irr!AG7+s_Irr!BF7),".")</f>
        <v>4774.490665867861</v>
      </c>
      <c r="AJ7" s="93">
        <f>IFERROR(s_C*s_IFCR_res_adj*s_CF_carrot*0.001*(s_Irr!I7+s_Irr!AH7+s_Irr!BG7),".")</f>
        <v>4774.490665867861</v>
      </c>
      <c r="AK7" s="93">
        <f>IFERROR(s_C*s_IFCI_res_adj*s_CF_citrus*0.001*(s_Irr!J7+s_Irr!AI7+s_Irr!BH7),".")</f>
        <v>4774.490665867861</v>
      </c>
      <c r="AL7" s="93">
        <f>IFERROR(s_C*s_IFCO_res_adj*s_CF_corn*0.001*(s_Irr!K7+s_Irr!AJ7+s_Irr!BI7),".")</f>
        <v>4774.490665867861</v>
      </c>
      <c r="AM7" s="93">
        <f>IFERROR(s_C*s_IFCU_res_adj*s_CF_cucumber*0.001*(s_Irr!L7+s_Irr!AK7+s_Irr!BJ7),".")</f>
        <v>4774.490665867861</v>
      </c>
      <c r="AN7" s="93">
        <f>IFERROR(s_C*s_IFLE_res_adj*s_CF_lettuce*0.001*(s_Irr!M7+s_Irr!AL7+s_Irr!BK7),".")</f>
        <v>4774.490665867861</v>
      </c>
      <c r="AO7" s="93">
        <f>IFERROR(s_C*s_IFLI_res_adj*s_CF_lima_bean*0.001*(s_Irr!N7+s_Irr!AM7+s_Irr!BL7),".")</f>
        <v>4774.490665867861</v>
      </c>
      <c r="AP7" s="93">
        <f>IFERROR(s_C*s_IFOK_res_adj*s_CF_okra*0.001*(s_Irr!O7+s_Irr!AN7+s_Irr!BM7),".")</f>
        <v>4774.490665867861</v>
      </c>
      <c r="AQ7" s="93">
        <f>IFERROR(s_C*s_IFON_res_adj*s_CF_onion*0.001*(s_Irr!P7+s_Irr!AO7+s_Irr!BN7),".")</f>
        <v>4774.490665867861</v>
      </c>
      <c r="AR7" s="93">
        <f>IFERROR(s_C*s_IFPC_res_adj*s_CF_peach*0.001*(s_Irr!Q7+s_Irr!AP7+s_Irr!BO7),".")</f>
        <v>4774.490665867861</v>
      </c>
      <c r="AS7" s="93">
        <f>IFERROR(s_C*s_IFPR_res_adj*s_CF_pear*0.001*(s_Irr!R7+s_Irr!AQ7+s_Irr!BP7),".")</f>
        <v>4774.490665867861</v>
      </c>
      <c r="AT7" s="93">
        <f>IFERROR(s_C*s_IFPE_res_adj*s_CF_peas*0.001*(s_Irr!S7+s_Irr!AR7+s_Irr!BQ7),".")</f>
        <v>4774.490665867861</v>
      </c>
      <c r="AU7" s="93">
        <f>IFERROR(s_C*s_IFPP_res_adj*s_CF_peppers*0.001*(s_Irr!T7+s_Irr!AS7+s_Irr!BR7),".")</f>
        <v>4774.490665867861</v>
      </c>
      <c r="AV7" s="93">
        <f>IFERROR(s_C*s_IFPT_res_adj*s_CF_potato*0.001*(s_Irr!U7+s_Irr!AT7+s_Irr!BS7),".")</f>
        <v>4774.490665867861</v>
      </c>
      <c r="AW7" s="93">
        <f>IFERROR(s_C*s_IFPU_res_adj*s_CF_pumpkin*0.001*(s_Irr!V7+s_Irr!AU7+s_Irr!BT7),".")</f>
        <v>4774.490665867861</v>
      </c>
      <c r="AX7" s="93">
        <f>IFERROR(s_C*s_IFSN_res_adj*s_CF_snap_bean*0.001*(s_Irr!W7+s_Irr!AV7+s_Irr!BU7),".")</f>
        <v>4774.490665867861</v>
      </c>
      <c r="AY7" s="93">
        <f>IFERROR(s_C*s_IFST_res_adj*s_CF_strawberry*0.001*(s_Irr!X7+s_Irr!AW7+s_Irr!BV7),".")</f>
        <v>4774.490665867861</v>
      </c>
      <c r="AZ7" s="93">
        <f>IFERROR(s_C*s_IFTO_res_adj*s_CF_tomato*0.001*(s_Irr!Y7+s_Irr!AX7+s_Irr!BW7),".")</f>
        <v>4774.490665867861</v>
      </c>
      <c r="BA7" s="93">
        <f>IFERROR(s_C*s_IFRI_res_adj*s_CF_rice*0.001*(s_Irr!Z7+s_Irr!AY7+s_Irr!BX7),".")</f>
        <v>4774.490665867861</v>
      </c>
      <c r="BB7" s="93">
        <f>IFERROR(s_C*s_IFCG_res_adj*s_CF_cereal*0.001*(s_Irr!AA7+s_Irr!AZ7+s_Irr!BY7),".")</f>
        <v>4774.490665867861</v>
      </c>
      <c r="BC7" s="76">
        <f t="shared" si="1"/>
        <v>201.01967978025729</v>
      </c>
      <c r="BD7" s="76">
        <f>IFERROR(IF(AND(s_Irr!C7&lt;&gt;".",s_Irr!AB7&lt;&gt;".",s_Irr!BA7&lt;&gt;"."),s_dir!AD7/((1/1000)*(s_Irr!C7+s_Irr!AB7+s_Irr!BA7)),IF(AND(s_Irr!C7&lt;&gt;".",s_Irr!AB7&lt;&gt;".",s_Irr!BA7="."),s_dir!AD7/((1/1000)*(s_Irr!C7+s_Irr!AB7)),IF(AND(s_Irr!C7&lt;&gt;".",s_Irr!AB7=".",s_Irr!BA7&lt;&gt;"."),s_dir!AD7/((1/1000)*(s_Irr!C7+s_Irr!BA7)),IF(AND(s_Irr!C7=".",s_Irr!AB7&lt;&gt;".",s_Irr!BA7&lt;&gt;"."),s_dir!AD7/((1/1000)*(s_Irr!AB7+s_Irr!BA7)),IF(AND(s_Irr!C7=".",s_Irr!AB7=".",s_Irr!BA7&lt;&gt;"."),s_dir!AD7/((1/1000)*(s_Irr!BA7)),IF(AND(s_Irr!C7=".",s_Irr!AB7&lt;&gt;".",s_Irr!BA7="."),s_dir!AD7/((1/1000)*(s_Irr!AB7)),IF(AND(s_Irr!C7&lt;&gt;".",s_Irr!AB7=".",s_Irr!BA7="."),s_dir!AD7/((1/1000)*(s_Irr!C7)),IF(AND(s_Irr!C7=".",s_Irr!AB7=".",s_Irr!BA7="."),s_dir!AD7*1000)))))))),".")</f>
        <v>804.07871912102917</v>
      </c>
      <c r="BE7" s="76">
        <f>IFERROR(IF(AND(s_Irr!D7&lt;&gt;".",s_Irr!AC7&lt;&gt;".",s_Irr!BB7&lt;&gt;"."),s_dir!AE7/((1/1000)*(s_Irr!D7+s_Irr!AC7+s_Irr!BB7)),IF(AND(s_Irr!D7&lt;&gt;".",s_Irr!AC7&lt;&gt;".",s_Irr!BB7="."),s_dir!AE7/((1/1000)*(s_Irr!D7+s_Irr!AC7)),IF(AND(s_Irr!D7&lt;&gt;".",s_Irr!AC7=".",s_Irr!BB7&lt;&gt;"."),s_dir!AE7/((1/1000)*(s_Irr!D7+s_Irr!BB7)),IF(AND(s_Irr!D7=".",s_Irr!AC7&lt;&gt;".",s_Irr!BB7&lt;&gt;"."),s_dir!AE7/((1/1000)*(s_Irr!AC7+s_Irr!BB7)),IF(AND(s_Irr!D7=".",s_Irr!AC7=".",s_Irr!BB7&lt;&gt;"."),s_dir!AE7/((1/1000)*(s_Irr!BB7)),IF(AND(s_Irr!D7=".",s_Irr!AC7&lt;&gt;".",s_Irr!BB7="."),s_dir!AE7/((1/1000)*(s_Irr!AC7)),IF(AND(s_Irr!D7&lt;&gt;".",s_Irr!AC7=".",s_Irr!BB7="."),s_dir!AE7/((1/1000)*(s_Irr!D7)),IF(AND(s_Irr!D7=".",s_Irr!AC7=".",s_Irr!BB7="."),s_dir!AE7*1000)))))))),".")</f>
        <v>804.07871912102917</v>
      </c>
      <c r="BF7" s="76">
        <f>IFERROR(IF(AND(s_Irr!E7&lt;&gt;".",s_Irr!AD7&lt;&gt;".",s_Irr!BC7&lt;&gt;"."),s_dir!AF7/((1/1000)*(s_Irr!E7+s_Irr!AD7+s_Irr!BC7)),IF(AND(s_Irr!E7&lt;&gt;".",s_Irr!AD7&lt;&gt;".",s_Irr!BC7="."),s_dir!AF7/((1/1000)*(s_Irr!E7+s_Irr!AD7)),IF(AND(s_Irr!E7&lt;&gt;".",s_Irr!AD7=".",s_Irr!BC7&lt;&gt;"."),s_dir!AF7/((1/1000)*(s_Irr!E7+s_Irr!BC7)),IF(AND(s_Irr!E7=".",s_Irr!AD7&lt;&gt;".",s_Irr!BC7&lt;&gt;"."),s_dir!AF7/((1/1000)*(s_Irr!AD7+s_Irr!BC7)),IF(AND(s_Irr!E7=".",s_Irr!AD7=".",s_Irr!BC7&lt;&gt;"."),s_dir!AF7/((1/1000)*(s_Irr!BC7)),IF(AND(s_Irr!E7=".",s_Irr!AD7&lt;&gt;".",s_Irr!BC7="."),s_dir!AF7/((1/1000)*(s_Irr!AD7)),IF(AND(s_Irr!E7&lt;&gt;".",s_Irr!AD7=".",s_Irr!BC7="."),s_dir!AF7/((1/1000)*(s_Irr!E7)),IF(AND(s_Irr!E7=".",s_Irr!AD7=".",s_Irr!BC7="."),s_dir!AF7*1000)))))))),".")</f>
        <v>804.07871912102917</v>
      </c>
      <c r="BG7" s="76">
        <f>IFERROR(IF(AND(s_Irr!F7&lt;&gt;".",s_Irr!AE7&lt;&gt;".",s_Irr!BD7&lt;&gt;"."),s_dir!AG7/((1/1000)*(s_Irr!F7+s_Irr!AE7+s_Irr!BD7)),IF(AND(s_Irr!F7&lt;&gt;".",s_Irr!AE7&lt;&gt;".",s_Irr!BD7="."),s_dir!AG7/((1/1000)*(s_Irr!F7+s_Irr!AE7)),IF(AND(s_Irr!F7&lt;&gt;".",s_Irr!AE7=".",s_Irr!BD7&lt;&gt;"."),s_dir!AG7/((1/1000)*(s_Irr!F7+s_Irr!BD7)),IF(AND(s_Irr!F7=".",s_Irr!AE7&lt;&gt;".",s_Irr!BD7&lt;&gt;"."),s_dir!AG7/((1/1000)*(s_Irr!AE7+s_Irr!BD7)),IF(AND(s_Irr!F7=".",s_Irr!AE7=".",s_Irr!BD7&lt;&gt;"."),s_dir!AG7/((1/1000)*(s_Irr!BD7)),IF(AND(s_Irr!F7=".",s_Irr!AE7&lt;&gt;".",s_Irr!BD7="."),s_dir!AG7/((1/1000)*(s_Irr!AE7)),IF(AND(s_Irr!F7&lt;&gt;".",s_Irr!AE7=".",s_Irr!BD7="."),s_dir!AG7/((1/1000)*(s_Irr!F7)),IF(AND(s_Irr!F7=".",s_Irr!AE7=".",s_Irr!BD7="."),s_dir!AG7*1000)))))))),".")</f>
        <v>804.07871912102917</v>
      </c>
      <c r="BH7" s="76">
        <f>IFERROR(IF(AND(s_Irr!G7&lt;&gt;".",s_Irr!AF7&lt;&gt;".",s_Irr!BE7&lt;&gt;"."),s_dir!AH7/((1/1000)*(s_Irr!G7+s_Irr!AF7+s_Irr!BE7)),IF(AND(s_Irr!G7&lt;&gt;".",s_Irr!AF7&lt;&gt;".",s_Irr!BE7="."),s_dir!AH7/((1/1000)*(s_Irr!G7+s_Irr!AF7)),IF(AND(s_Irr!G7&lt;&gt;".",s_Irr!AF7=".",s_Irr!BE7&lt;&gt;"."),s_dir!AH7/((1/1000)*(s_Irr!G7+s_Irr!BE7)),IF(AND(s_Irr!G7=".",s_Irr!AF7&lt;&gt;".",s_Irr!BE7&lt;&gt;"."),s_dir!AH7/((1/1000)*(s_Irr!AF7+s_Irr!BE7)),IF(AND(s_Irr!G7=".",s_Irr!AF7=".",s_Irr!BE7&lt;&gt;"."),s_dir!AH7/((1/1000)*(s_Irr!BE7)),IF(AND(s_Irr!G7=".",s_Irr!AF7&lt;&gt;".",s_Irr!BE7="."),s_dir!AH7/((1/1000)*(s_Irr!AF7)),IF(AND(s_Irr!G7&lt;&gt;".",s_Irr!AF7=".",s_Irr!BE7="."),s_dir!AH7/((1/1000)*(s_Irr!G7)),IF(AND(s_Irr!G7=".",s_Irr!AF7=".",s_Irr!BE7="."),s_dir!AH7*1000)))))))),".")</f>
        <v>804.07871912102917</v>
      </c>
      <c r="BI7" s="76">
        <f>IFERROR(IF(AND(s_Irr!H7&lt;&gt;".",s_Irr!AG7&lt;&gt;".",s_Irr!BF7&lt;&gt;"."),s_dir!AI7/((1/1000)*(s_Irr!H7+s_Irr!AG7+s_Irr!BF7)),IF(AND(s_Irr!H7&lt;&gt;".",s_Irr!AG7&lt;&gt;".",s_Irr!BF7="."),s_dir!AI7/((1/1000)*(s_Irr!H7+s_Irr!AG7)),IF(AND(s_Irr!H7&lt;&gt;".",s_Irr!AG7=".",s_Irr!BF7&lt;&gt;"."),s_dir!AI7/((1/1000)*(s_Irr!H7+s_Irr!BF7)),IF(AND(s_Irr!H7=".",s_Irr!AG7&lt;&gt;".",s_Irr!BF7&lt;&gt;"."),s_dir!AI7/((1/1000)*(s_Irr!AG7+s_Irr!BF7)),IF(AND(s_Irr!H7=".",s_Irr!AG7=".",s_Irr!BF7&lt;&gt;"."),s_dir!AI7/((1/1000)*(s_Irr!BF7)),IF(AND(s_Irr!H7=".",s_Irr!AG7&lt;&gt;".",s_Irr!BF7="."),s_dir!AI7/((1/1000)*(s_Irr!AG7)),IF(AND(s_Irr!H7&lt;&gt;".",s_Irr!AG7=".",s_Irr!BF7="."),s_dir!AI7/((1/1000)*(s_Irr!H7)),IF(AND(s_Irr!H7=".",s_Irr!AG7=".",s_Irr!BF7="."),s_dir!AI7*1000)))))))),".")</f>
        <v>804.07871912102917</v>
      </c>
      <c r="BJ7" s="76">
        <f>IFERROR(IF(AND(s_Irr!I7&lt;&gt;".",s_Irr!AH7&lt;&gt;".",s_Irr!BG7&lt;&gt;"."),s_dir!AJ7/((1/1000)*(s_Irr!I7+s_Irr!AH7+s_Irr!BG7)),IF(AND(s_Irr!I7&lt;&gt;".",s_Irr!AH7&lt;&gt;".",s_Irr!BG7="."),s_dir!AJ7/((1/1000)*(s_Irr!I7+s_Irr!AH7)),IF(AND(s_Irr!I7&lt;&gt;".",s_Irr!AH7=".",s_Irr!BG7&lt;&gt;"."),s_dir!AJ7/((1/1000)*(s_Irr!I7+s_Irr!BG7)),IF(AND(s_Irr!I7=".",s_Irr!AH7&lt;&gt;".",s_Irr!BG7&lt;&gt;"."),s_dir!AJ7/((1/1000)*(s_Irr!AH7+s_Irr!BG7)),IF(AND(s_Irr!I7=".",s_Irr!AH7=".",s_Irr!BG7&lt;&gt;"."),s_dir!AJ7/((1/1000)*(s_Irr!BG7)),IF(AND(s_Irr!I7=".",s_Irr!AH7&lt;&gt;".",s_Irr!BG7="."),s_dir!AJ7/((1/1000)*(s_Irr!AH7)),IF(AND(s_Irr!I7&lt;&gt;".",s_Irr!AH7=".",s_Irr!BG7="."),s_dir!AJ7/((1/1000)*(s_Irr!I7)),IF(AND(s_Irr!I7=".",s_Irr!AH7=".",s_Irr!BG7="."),s_dir!AJ7*1000)))))))),".")</f>
        <v>804.07871912102917</v>
      </c>
      <c r="BK7" s="76">
        <f>IFERROR(IF(AND(s_Irr!J7&lt;&gt;".",s_Irr!AI7&lt;&gt;".",s_Irr!BH7&lt;&gt;"."),s_dir!AK7/((1/1000)*(s_Irr!J7+s_Irr!AI7+s_Irr!BH7)),IF(AND(s_Irr!J7&lt;&gt;".",s_Irr!AI7&lt;&gt;".",s_Irr!BH7="."),s_dir!AK7/((1/1000)*(s_Irr!J7+s_Irr!AI7)),IF(AND(s_Irr!J7&lt;&gt;".",s_Irr!AI7=".",s_Irr!BH7&lt;&gt;"."),s_dir!AK7/((1/1000)*(s_Irr!J7+s_Irr!BH7)),IF(AND(s_Irr!J7=".",s_Irr!AI7&lt;&gt;".",s_Irr!BH7&lt;&gt;"."),s_dir!AK7/((1/1000)*(s_Irr!AI7+s_Irr!BH7)),IF(AND(s_Irr!J7=".",s_Irr!AI7=".",s_Irr!BH7&lt;&gt;"."),s_dir!AK7/((1/1000)*(s_Irr!BH7)),IF(AND(s_Irr!J7=".",s_Irr!AI7&lt;&gt;".",s_Irr!BH7="."),s_dir!AK7/((1/1000)*(s_Irr!AI7)),IF(AND(s_Irr!J7&lt;&gt;".",s_Irr!AI7=".",s_Irr!BH7="."),s_dir!AK7/((1/1000)*(s_Irr!J7)),IF(AND(s_Irr!J7=".",s_Irr!AI7=".",s_Irr!BH7="."),s_dir!AK7*1000)))))))),".")</f>
        <v>804.07871912102917</v>
      </c>
      <c r="BL7" s="76">
        <f>IFERROR(IF(AND(s_Irr!K7&lt;&gt;".",s_Irr!AJ7&lt;&gt;".",s_Irr!BI7&lt;&gt;"."),s_dir!AL7/((1/1000)*(s_Irr!K7+s_Irr!AJ7+s_Irr!BI7)),IF(AND(s_Irr!K7&lt;&gt;".",s_Irr!AJ7&lt;&gt;".",s_Irr!BI7="."),s_dir!AL7/((1/1000)*(s_Irr!K7+s_Irr!AJ7)),IF(AND(s_Irr!K7&lt;&gt;".",s_Irr!AJ7=".",s_Irr!BI7&lt;&gt;"."),s_dir!AL7/((1/1000)*(s_Irr!K7+s_Irr!BI7)),IF(AND(s_Irr!K7=".",s_Irr!AJ7&lt;&gt;".",s_Irr!BI7&lt;&gt;"."),s_dir!AL7/((1/1000)*(s_Irr!AJ7+s_Irr!BI7)),IF(AND(s_Irr!K7=".",s_Irr!AJ7=".",s_Irr!BI7&lt;&gt;"."),s_dir!AL7/((1/1000)*(s_Irr!BI7)),IF(AND(s_Irr!K7=".",s_Irr!AJ7&lt;&gt;".",s_Irr!BI7="."),s_dir!AL7/((1/1000)*(s_Irr!AJ7)),IF(AND(s_Irr!K7&lt;&gt;".",s_Irr!AJ7=".",s_Irr!BI7="."),s_dir!AL7/((1/1000)*(s_Irr!K7)),IF(AND(s_Irr!K7=".",s_Irr!AJ7=".",s_Irr!BI7="."),s_dir!AL7*1000)))))))),".")</f>
        <v>804.07871912102917</v>
      </c>
      <c r="BM7" s="76">
        <f>IFERROR(IF(AND(s_Irr!L7&lt;&gt;".",s_Irr!AK7&lt;&gt;".",s_Irr!BJ7&lt;&gt;"."),s_dir!AM7/((1/1000)*(s_Irr!L7+s_Irr!AK7+s_Irr!BJ7)),IF(AND(s_Irr!L7&lt;&gt;".",s_Irr!AK7&lt;&gt;".",s_Irr!BJ7="."),s_dir!AM7/((1/1000)*(s_Irr!L7+s_Irr!AK7)),IF(AND(s_Irr!L7&lt;&gt;".",s_Irr!AK7=".",s_Irr!BJ7&lt;&gt;"."),s_dir!AM7/((1/1000)*(s_Irr!L7+s_Irr!BJ7)),IF(AND(s_Irr!L7=".",s_Irr!AK7&lt;&gt;".",s_Irr!BJ7&lt;&gt;"."),s_dir!AM7/((1/1000)*(s_Irr!AK7+s_Irr!BJ7)),IF(AND(s_Irr!L7=".",s_Irr!AK7=".",s_Irr!BJ7&lt;&gt;"."),s_dir!AM7/((1/1000)*(s_Irr!BJ7)),IF(AND(s_Irr!L7=".",s_Irr!AK7&lt;&gt;".",s_Irr!BJ7="."),s_dir!AM7/((1/1000)*(s_Irr!AK7)),IF(AND(s_Irr!L7&lt;&gt;".",s_Irr!AK7=".",s_Irr!BJ7="."),s_dir!AM7/((1/1000)*(s_Irr!L7)),IF(AND(s_Irr!L7=".",s_Irr!AK7=".",s_Irr!BJ7="."),s_dir!AM7*1000)))))))),".")</f>
        <v>804.07871912102917</v>
      </c>
      <c r="BN7" s="76">
        <f>IFERROR(IF(AND(s_Irr!M7&lt;&gt;".",s_Irr!AL7&lt;&gt;".",s_Irr!BK7&lt;&gt;"."),s_dir!AN7/((1/1000)*(s_Irr!M7+s_Irr!AL7+s_Irr!BK7)),IF(AND(s_Irr!M7&lt;&gt;".",s_Irr!AL7&lt;&gt;".",s_Irr!BK7="."),s_dir!AN7/((1/1000)*(s_Irr!M7+s_Irr!AL7)),IF(AND(s_Irr!M7&lt;&gt;".",s_Irr!AL7=".",s_Irr!BK7&lt;&gt;"."),s_dir!AN7/((1/1000)*(s_Irr!M7+s_Irr!BK7)),IF(AND(s_Irr!M7=".",s_Irr!AL7&lt;&gt;".",s_Irr!BK7&lt;&gt;"."),s_dir!AN7/((1/1000)*(s_Irr!AL7+s_Irr!BK7)),IF(AND(s_Irr!M7=".",s_Irr!AL7=".",s_Irr!BK7&lt;&gt;"."),s_dir!AN7/((1/1000)*(s_Irr!BK7)),IF(AND(s_Irr!M7=".",s_Irr!AL7&lt;&gt;".",s_Irr!BK7="."),s_dir!AN7/((1/1000)*(s_Irr!AL7)),IF(AND(s_Irr!M7&lt;&gt;".",s_Irr!AL7=".",s_Irr!BK7="."),s_dir!AN7/((1/1000)*(s_Irr!M7)),IF(AND(s_Irr!M7=".",s_Irr!AL7=".",s_Irr!BK7="."),s_dir!AN7*1000)))))))),".")</f>
        <v>804.07871912102917</v>
      </c>
      <c r="BO7" s="76">
        <f>IFERROR(IF(AND(s_Irr!N7&lt;&gt;".",s_Irr!AM7&lt;&gt;".",s_Irr!BL7&lt;&gt;"."),s_dir!AO7/((1/1000)*(s_Irr!N7+s_Irr!AM7+s_Irr!BL7)),IF(AND(s_Irr!N7&lt;&gt;".",s_Irr!AM7&lt;&gt;".",s_Irr!BL7="."),s_dir!AO7/((1/1000)*(s_Irr!N7+s_Irr!AM7)),IF(AND(s_Irr!N7&lt;&gt;".",s_Irr!AM7=".",s_Irr!BL7&lt;&gt;"."),s_dir!AO7/((1/1000)*(s_Irr!N7+s_Irr!BL7)),IF(AND(s_Irr!N7=".",s_Irr!AM7&lt;&gt;".",s_Irr!BL7&lt;&gt;"."),s_dir!AO7/((1/1000)*(s_Irr!AM7+s_Irr!BL7)),IF(AND(s_Irr!N7=".",s_Irr!AM7=".",s_Irr!BL7&lt;&gt;"."),s_dir!AO7/((1/1000)*(s_Irr!BL7)),IF(AND(s_Irr!N7=".",s_Irr!AM7&lt;&gt;".",s_Irr!BL7="."),s_dir!AO7/((1/1000)*(s_Irr!AM7)),IF(AND(s_Irr!N7&lt;&gt;".",s_Irr!AM7=".",s_Irr!BL7="."),s_dir!AO7/((1/1000)*(s_Irr!N7)),IF(AND(s_Irr!N7=".",s_Irr!AM7=".",s_Irr!BL7="."),s_dir!AO7*1000)))))))),".")</f>
        <v>804.07871912102917</v>
      </c>
      <c r="BP7" s="76">
        <f>IFERROR(IF(AND(s_Irr!O7&lt;&gt;".",s_Irr!AN7&lt;&gt;".",s_Irr!BM7&lt;&gt;"."),s_dir!AP7/((1/1000)*(s_Irr!O7+s_Irr!AN7+s_Irr!BM7)),IF(AND(s_Irr!O7&lt;&gt;".",s_Irr!AN7&lt;&gt;".",s_Irr!BM7="."),s_dir!AP7/((1/1000)*(s_Irr!O7+s_Irr!AN7)),IF(AND(s_Irr!O7&lt;&gt;".",s_Irr!AN7=".",s_Irr!BM7&lt;&gt;"."),s_dir!AP7/((1/1000)*(s_Irr!O7+s_Irr!BM7)),IF(AND(s_Irr!O7=".",s_Irr!AN7&lt;&gt;".",s_Irr!BM7&lt;&gt;"."),s_dir!AP7/((1/1000)*(s_Irr!AN7+s_Irr!BM7)),IF(AND(s_Irr!O7=".",s_Irr!AN7=".",s_Irr!BM7&lt;&gt;"."),s_dir!AP7/((1/1000)*(s_Irr!BM7)),IF(AND(s_Irr!O7=".",s_Irr!AN7&lt;&gt;".",s_Irr!BM7="."),s_dir!AP7/((1/1000)*(s_Irr!AN7)),IF(AND(s_Irr!O7&lt;&gt;".",s_Irr!AN7=".",s_Irr!BM7="."),s_dir!AP7/((1/1000)*(s_Irr!O7)),IF(AND(s_Irr!O7=".",s_Irr!AN7=".",s_Irr!BM7="."),s_dir!AP7*1000)))))))),".")</f>
        <v>804.07871912102917</v>
      </c>
      <c r="BQ7" s="76">
        <f>IFERROR(IF(AND(s_Irr!P7&lt;&gt;".",s_Irr!AO7&lt;&gt;".",s_Irr!BN7&lt;&gt;"."),s_dir!AQ7/((1/1000)*(s_Irr!P7+s_Irr!AO7+s_Irr!BN7)),IF(AND(s_Irr!P7&lt;&gt;".",s_Irr!AO7&lt;&gt;".",s_Irr!BN7="."),s_dir!AQ7/((1/1000)*(s_Irr!P7+s_Irr!AO7)),IF(AND(s_Irr!P7&lt;&gt;".",s_Irr!AO7=".",s_Irr!BN7&lt;&gt;"."),s_dir!AQ7/((1/1000)*(s_Irr!P7+s_Irr!BN7)),IF(AND(s_Irr!P7=".",s_Irr!AO7&lt;&gt;".",s_Irr!BN7&lt;&gt;"."),s_dir!AQ7/((1/1000)*(s_Irr!AO7+s_Irr!BN7)),IF(AND(s_Irr!P7=".",s_Irr!AO7=".",s_Irr!BN7&lt;&gt;"."),s_dir!AQ7/((1/1000)*(s_Irr!BN7)),IF(AND(s_Irr!P7=".",s_Irr!AO7&lt;&gt;".",s_Irr!BN7="."),s_dir!AQ7/((1/1000)*(s_Irr!AO7)),IF(AND(s_Irr!P7&lt;&gt;".",s_Irr!AO7=".",s_Irr!BN7="."),s_dir!AQ7/((1/1000)*(s_Irr!P7)),IF(AND(s_Irr!P7=".",s_Irr!AO7=".",s_Irr!BN7="."),s_dir!AQ7*1000)))))))),".")</f>
        <v>804.07871912102917</v>
      </c>
      <c r="BR7" s="76">
        <f>IFERROR(IF(AND(s_Irr!Q7&lt;&gt;".",s_Irr!AP7&lt;&gt;".",s_Irr!BO7&lt;&gt;"."),s_dir!AR7/((1/1000)*(s_Irr!Q7+s_Irr!AP7+s_Irr!BO7)),IF(AND(s_Irr!Q7&lt;&gt;".",s_Irr!AP7&lt;&gt;".",s_Irr!BO7="."),s_dir!AR7/((1/1000)*(s_Irr!Q7+s_Irr!AP7)),IF(AND(s_Irr!Q7&lt;&gt;".",s_Irr!AP7=".",s_Irr!BO7&lt;&gt;"."),s_dir!AR7/((1/1000)*(s_Irr!Q7+s_Irr!BO7)),IF(AND(s_Irr!Q7=".",s_Irr!AP7&lt;&gt;".",s_Irr!BO7&lt;&gt;"."),s_dir!AR7/((1/1000)*(s_Irr!AP7+s_Irr!BO7)),IF(AND(s_Irr!Q7=".",s_Irr!AP7=".",s_Irr!BO7&lt;&gt;"."),s_dir!AR7/((1/1000)*(s_Irr!BO7)),IF(AND(s_Irr!Q7=".",s_Irr!AP7&lt;&gt;".",s_Irr!BO7="."),s_dir!AR7/((1/1000)*(s_Irr!AP7)),IF(AND(s_Irr!Q7&lt;&gt;".",s_Irr!AP7=".",s_Irr!BO7="."),s_dir!AR7/((1/1000)*(s_Irr!Q7)),IF(AND(s_Irr!Q7=".",s_Irr!AP7=".",s_Irr!BO7="."),s_dir!AR7*1000)))))))),".")</f>
        <v>804.07871912102917</v>
      </c>
      <c r="BS7" s="76">
        <f>IFERROR(IF(AND(s_Irr!R7&lt;&gt;".",s_Irr!AQ7&lt;&gt;".",s_Irr!BP7&lt;&gt;"."),s_dir!AS7/((1/1000)*(s_Irr!R7+s_Irr!AQ7+s_Irr!BP7)),IF(AND(s_Irr!R7&lt;&gt;".",s_Irr!AQ7&lt;&gt;".",s_Irr!BP7="."),s_dir!AS7/((1/1000)*(s_Irr!R7+s_Irr!AQ7)),IF(AND(s_Irr!R7&lt;&gt;".",s_Irr!AQ7=".",s_Irr!BP7&lt;&gt;"."),s_dir!AS7/((1/1000)*(s_Irr!R7+s_Irr!BP7)),IF(AND(s_Irr!R7=".",s_Irr!AQ7&lt;&gt;".",s_Irr!BP7&lt;&gt;"."),s_dir!AS7/((1/1000)*(s_Irr!AQ7+s_Irr!BP7)),IF(AND(s_Irr!R7=".",s_Irr!AQ7=".",s_Irr!BP7&lt;&gt;"."),s_dir!AS7/((1/1000)*(s_Irr!BP7)),IF(AND(s_Irr!R7=".",s_Irr!AQ7&lt;&gt;".",s_Irr!BP7="."),s_dir!AS7/((1/1000)*(s_Irr!AQ7)),IF(AND(s_Irr!R7&lt;&gt;".",s_Irr!AQ7=".",s_Irr!BP7="."),s_dir!AS7/((1/1000)*(s_Irr!R7)),IF(AND(s_Irr!R7=".",s_Irr!AQ7=".",s_Irr!BP7="."),s_dir!AS7*1000)))))))),".")</f>
        <v>804.07871912102917</v>
      </c>
      <c r="BT7" s="76">
        <f>IFERROR(IF(AND(s_Irr!S7&lt;&gt;".",s_Irr!AR7&lt;&gt;".",s_Irr!BQ7&lt;&gt;"."),s_dir!AT7/((1/1000)*(s_Irr!S7+s_Irr!AR7+s_Irr!BQ7)),IF(AND(s_Irr!S7&lt;&gt;".",s_Irr!AR7&lt;&gt;".",s_Irr!BQ7="."),s_dir!AT7/((1/1000)*(s_Irr!S7+s_Irr!AR7)),IF(AND(s_Irr!S7&lt;&gt;".",s_Irr!AR7=".",s_Irr!BQ7&lt;&gt;"."),s_dir!AT7/((1/1000)*(s_Irr!S7+s_Irr!BQ7)),IF(AND(s_Irr!S7=".",s_Irr!AR7&lt;&gt;".",s_Irr!BQ7&lt;&gt;"."),s_dir!AT7/((1/1000)*(s_Irr!AR7+s_Irr!BQ7)),IF(AND(s_Irr!S7=".",s_Irr!AR7=".",s_Irr!BQ7&lt;&gt;"."),s_dir!AT7/((1/1000)*(s_Irr!BQ7)),IF(AND(s_Irr!S7=".",s_Irr!AR7&lt;&gt;".",s_Irr!BQ7="."),s_dir!AT7/((1/1000)*(s_Irr!AR7)),IF(AND(s_Irr!S7&lt;&gt;".",s_Irr!AR7=".",s_Irr!BQ7="."),s_dir!AT7/((1/1000)*(s_Irr!S7)),IF(AND(s_Irr!S7=".",s_Irr!AR7=".",s_Irr!BQ7="."),s_dir!AT7*1000)))))))),".")</f>
        <v>804.07871912102917</v>
      </c>
      <c r="BU7" s="76">
        <f>IFERROR(IF(AND(s_Irr!T7&lt;&gt;".",s_Irr!AS7&lt;&gt;".",s_Irr!BR7&lt;&gt;"."),s_dir!AU7/((1/1000)*(s_Irr!T7+s_Irr!AS7+s_Irr!BR7)),IF(AND(s_Irr!T7&lt;&gt;".",s_Irr!AS7&lt;&gt;".",s_Irr!BR7="."),s_dir!AU7/((1/1000)*(s_Irr!T7+s_Irr!AS7)),IF(AND(s_Irr!T7&lt;&gt;".",s_Irr!AS7=".",s_Irr!BR7&lt;&gt;"."),s_dir!AU7/((1/1000)*(s_Irr!T7+s_Irr!BR7)),IF(AND(s_Irr!T7=".",s_Irr!AS7&lt;&gt;".",s_Irr!BR7&lt;&gt;"."),s_dir!AU7/((1/1000)*(s_Irr!AS7+s_Irr!BR7)),IF(AND(s_Irr!T7=".",s_Irr!AS7=".",s_Irr!BR7&lt;&gt;"."),s_dir!AU7/((1/1000)*(s_Irr!BR7)),IF(AND(s_Irr!T7=".",s_Irr!AS7&lt;&gt;".",s_Irr!BR7="."),s_dir!AU7/((1/1000)*(s_Irr!AS7)),IF(AND(s_Irr!T7&lt;&gt;".",s_Irr!AS7=".",s_Irr!BR7="."),s_dir!AU7/((1/1000)*(s_Irr!T7)),IF(AND(s_Irr!T7=".",s_Irr!AS7=".",s_Irr!BR7="."),s_dir!AU7*1000)))))))),".")</f>
        <v>804.07871912102917</v>
      </c>
      <c r="BV7" s="76">
        <f>IFERROR(IF(AND(s_Irr!U7&lt;&gt;".",s_Irr!AT7&lt;&gt;".",s_Irr!BS7&lt;&gt;"."),s_dir!AV7/((1/1000)*(s_Irr!U7+s_Irr!AT7+s_Irr!BS7)),IF(AND(s_Irr!U7&lt;&gt;".",s_Irr!AT7&lt;&gt;".",s_Irr!BS7="."),s_dir!AV7/((1/1000)*(s_Irr!U7+s_Irr!AT7)),IF(AND(s_Irr!U7&lt;&gt;".",s_Irr!AT7=".",s_Irr!BS7&lt;&gt;"."),s_dir!AV7/((1/1000)*(s_Irr!U7+s_Irr!BS7)),IF(AND(s_Irr!U7=".",s_Irr!AT7&lt;&gt;".",s_Irr!BS7&lt;&gt;"."),s_dir!AV7/((1/1000)*(s_Irr!AT7+s_Irr!BS7)),IF(AND(s_Irr!U7=".",s_Irr!AT7=".",s_Irr!BS7&lt;&gt;"."),s_dir!AV7/((1/1000)*(s_Irr!BS7)),IF(AND(s_Irr!U7=".",s_Irr!AT7&lt;&gt;".",s_Irr!BS7="."),s_dir!AV7/((1/1000)*(s_Irr!AT7)),IF(AND(s_Irr!U7&lt;&gt;".",s_Irr!AT7=".",s_Irr!BS7="."),s_dir!AV7/((1/1000)*(s_Irr!U7)),IF(AND(s_Irr!U7=".",s_Irr!AT7=".",s_Irr!BS7="."),s_dir!AV7*1000)))))))),".")</f>
        <v>804.07871912102917</v>
      </c>
      <c r="BW7" s="76">
        <f>IFERROR(IF(AND(s_Irr!V7&lt;&gt;".",s_Irr!AU7&lt;&gt;".",s_Irr!BT7&lt;&gt;"."),s_dir!AW7/((1/1000)*(s_Irr!V7+s_Irr!AU7+s_Irr!BT7)),IF(AND(s_Irr!V7&lt;&gt;".",s_Irr!AU7&lt;&gt;".",s_Irr!BT7="."),s_dir!AW7/((1/1000)*(s_Irr!V7+s_Irr!AU7)),IF(AND(s_Irr!V7&lt;&gt;".",s_Irr!AU7=".",s_Irr!BT7&lt;&gt;"."),s_dir!AW7/((1/1000)*(s_Irr!V7+s_Irr!BT7)),IF(AND(s_Irr!V7=".",s_Irr!AU7&lt;&gt;".",s_Irr!BT7&lt;&gt;"."),s_dir!AW7/((1/1000)*(s_Irr!AU7+s_Irr!BT7)),IF(AND(s_Irr!V7=".",s_Irr!AU7=".",s_Irr!BT7&lt;&gt;"."),s_dir!AW7/((1/1000)*(s_Irr!BT7)),IF(AND(s_Irr!V7=".",s_Irr!AU7&lt;&gt;".",s_Irr!BT7="."),s_dir!AW7/((1/1000)*(s_Irr!AU7)),IF(AND(s_Irr!V7&lt;&gt;".",s_Irr!AU7=".",s_Irr!BT7="."),s_dir!AW7/((1/1000)*(s_Irr!V7)),IF(AND(s_Irr!V7=".",s_Irr!AU7=".",s_Irr!BT7="."),s_dir!AW7*1000)))))))),".")</f>
        <v>804.07871912102917</v>
      </c>
      <c r="BX7" s="76">
        <f>IFERROR(IF(AND(s_Irr!W7&lt;&gt;".",s_Irr!AV7&lt;&gt;".",s_Irr!BU7&lt;&gt;"."),s_dir!AX7/((1/1000)*(s_Irr!W7+s_Irr!AV7+s_Irr!BU7)),IF(AND(s_Irr!W7&lt;&gt;".",s_Irr!AV7&lt;&gt;".",s_Irr!BU7="."),s_dir!AX7/((1/1000)*(s_Irr!W7+s_Irr!AV7)),IF(AND(s_Irr!W7&lt;&gt;".",s_Irr!AV7=".",s_Irr!BU7&lt;&gt;"."),s_dir!AX7/((1/1000)*(s_Irr!W7+s_Irr!BU7)),IF(AND(s_Irr!W7=".",s_Irr!AV7&lt;&gt;".",s_Irr!BU7&lt;&gt;"."),s_dir!AX7/((1/1000)*(s_Irr!AV7+s_Irr!BU7)),IF(AND(s_Irr!W7=".",s_Irr!AV7=".",s_Irr!BU7&lt;&gt;"."),s_dir!AX7/((1/1000)*(s_Irr!BU7)),IF(AND(s_Irr!W7=".",s_Irr!AV7&lt;&gt;".",s_Irr!BU7="."),s_dir!AX7/((1/1000)*(s_Irr!AV7)),IF(AND(s_Irr!W7&lt;&gt;".",s_Irr!AV7=".",s_Irr!BU7="."),s_dir!AX7/((1/1000)*(s_Irr!W7)),IF(AND(s_Irr!W7=".",s_Irr!AV7=".",s_Irr!BU7="."),s_dir!AX7*1000)))))))),".")</f>
        <v>804.07871912102917</v>
      </c>
      <c r="BY7" s="76">
        <f>IFERROR(IF(AND(s_Irr!X7&lt;&gt;".",s_Irr!AW7&lt;&gt;".",s_Irr!BV7&lt;&gt;"."),s_dir!AY7/((1/1000)*(s_Irr!X7+s_Irr!AW7+s_Irr!BV7)),IF(AND(s_Irr!X7&lt;&gt;".",s_Irr!AW7&lt;&gt;".",s_Irr!BV7="."),s_dir!AY7/((1/1000)*(s_Irr!X7+s_Irr!AW7)),IF(AND(s_Irr!X7&lt;&gt;".",s_Irr!AW7=".",s_Irr!BV7&lt;&gt;"."),s_dir!AY7/((1/1000)*(s_Irr!X7+s_Irr!BV7)),IF(AND(s_Irr!X7=".",s_Irr!AW7&lt;&gt;".",s_Irr!BV7&lt;&gt;"."),s_dir!AY7/((1/1000)*(s_Irr!AW7+s_Irr!BV7)),IF(AND(s_Irr!X7=".",s_Irr!AW7=".",s_Irr!BV7&lt;&gt;"."),s_dir!AY7/((1/1000)*(s_Irr!BV7)),IF(AND(s_Irr!X7=".",s_Irr!AW7&lt;&gt;".",s_Irr!BV7="."),s_dir!AY7/((1/1000)*(s_Irr!AW7)),IF(AND(s_Irr!X7&lt;&gt;".",s_Irr!AW7=".",s_Irr!BV7="."),s_dir!AY7/((1/1000)*(s_Irr!X7)),IF(AND(s_Irr!X7=".",s_Irr!AW7=".",s_Irr!BV7="."),s_dir!AY7*1000)))))))),".")</f>
        <v>804.07871912102917</v>
      </c>
      <c r="BZ7" s="76">
        <f>IFERROR(IF(AND(s_Irr!Y7&lt;&gt;".",s_Irr!AX7&lt;&gt;".",s_Irr!BW7&lt;&gt;"."),s_dir!AZ7/((1/1000)*(s_Irr!Y7+s_Irr!AX7+s_Irr!BW7)),IF(AND(s_Irr!Y7&lt;&gt;".",s_Irr!AX7&lt;&gt;".",s_Irr!BW7="."),s_dir!AZ7/((1/1000)*(s_Irr!Y7+s_Irr!AX7)),IF(AND(s_Irr!Y7&lt;&gt;".",s_Irr!AX7=".",s_Irr!BW7&lt;&gt;"."),s_dir!AZ7/((1/1000)*(s_Irr!Y7+s_Irr!BW7)),IF(AND(s_Irr!Y7=".",s_Irr!AX7&lt;&gt;".",s_Irr!BW7&lt;&gt;"."),s_dir!AZ7/((1/1000)*(s_Irr!AX7+s_Irr!BW7)),IF(AND(s_Irr!Y7=".",s_Irr!AX7=".",s_Irr!BW7&lt;&gt;"."),s_dir!AZ7/((1/1000)*(s_Irr!BW7)),IF(AND(s_Irr!Y7=".",s_Irr!AX7&lt;&gt;".",s_Irr!BW7="."),s_dir!AZ7/((1/1000)*(s_Irr!AX7)),IF(AND(s_Irr!Y7&lt;&gt;".",s_Irr!AX7=".",s_Irr!BW7="."),s_dir!AZ7/((1/1000)*(s_Irr!Y7)),IF(AND(s_Irr!Y7=".",s_Irr!AX7=".",s_Irr!BW7="."),s_dir!AZ7*1000)))))))),".")</f>
        <v>804.07871912102917</v>
      </c>
      <c r="CA7" s="76">
        <f>IFERROR(IF(AND(s_Irr!Z7&lt;&gt;".",s_Irr!AY7&lt;&gt;".",s_Irr!BX7&lt;&gt;"."),s_dir!BA7/((1/1000)*(s_Irr!Z7+s_Irr!AY7+s_Irr!BX7)),IF(AND(s_Irr!Z7&lt;&gt;".",s_Irr!AY7&lt;&gt;".",s_Irr!BX7="."),s_dir!BA7/((1/1000)*(s_Irr!Z7+s_Irr!AY7)),IF(AND(s_Irr!Z7&lt;&gt;".",s_Irr!AY7=".",s_Irr!BX7&lt;&gt;"."),s_dir!BA7/((1/1000)*(s_Irr!Z7+s_Irr!BX7)),IF(AND(s_Irr!Z7=".",s_Irr!AY7&lt;&gt;".",s_Irr!BX7&lt;&gt;"."),s_dir!BA7/((1/1000)*(s_Irr!AY7+s_Irr!BX7)),IF(AND(s_Irr!Z7=".",s_Irr!AY7=".",s_Irr!BX7&lt;&gt;"."),s_dir!BA7/((1/1000)*(s_Irr!BX7)),IF(AND(s_Irr!Z7=".",s_Irr!AY7&lt;&gt;".",s_Irr!BX7="."),s_dir!BA7/((1/1000)*(s_Irr!AY7)),IF(AND(s_Irr!Z7&lt;&gt;".",s_Irr!AY7=".",s_Irr!BX7="."),s_dir!BA7/((1/1000)*(s_Irr!Z7)),IF(AND(s_Irr!Z7=".",s_Irr!AY7=".",s_Irr!BX7="."),s_dir!BA7*1000)))))))),".")</f>
        <v>804.07871912102917</v>
      </c>
      <c r="CB7" s="76">
        <f>IFERROR(IF(AND(s_Irr!AA7&lt;&gt;".",s_Irr!AZ7&lt;&gt;".",s_Irr!BY7&lt;&gt;"."),s_dir!BB7/((1/1000)*(s_Irr!AA7+s_Irr!AZ7+s_Irr!BY7)),IF(AND(s_Irr!AA7&lt;&gt;".",s_Irr!AZ7&lt;&gt;".",s_Irr!BY7="."),s_dir!BB7/((1/1000)*(s_Irr!AA7+s_Irr!AZ7)),IF(AND(s_Irr!AA7&lt;&gt;".",s_Irr!AZ7=".",s_Irr!BY7&lt;&gt;"."),s_dir!BB7/((1/1000)*(s_Irr!AA7+s_Irr!BY7)),IF(AND(s_Irr!AA7=".",s_Irr!AZ7&lt;&gt;".",s_Irr!BY7&lt;&gt;"."),s_dir!BB7/((1/1000)*(s_Irr!AZ7+s_Irr!BY7)),IF(AND(s_Irr!AA7=".",s_Irr!AZ7=".",s_Irr!BY7&lt;&gt;"."),s_dir!BB7/((1/1000)*(s_Irr!BY7)),IF(AND(s_Irr!AA7=".",s_Irr!AZ7&lt;&gt;".",s_Irr!BY7="."),s_dir!BB7/((1/1000)*(s_Irr!AZ7)),IF(AND(s_Irr!AA7&lt;&gt;".",s_Irr!AZ7=".",s_Irr!BY7="."),s_dir!BB7/((1/1000)*(s_Irr!AA7)),IF(AND(s_Irr!AA7=".",s_Irr!AZ7=".",s_Irr!BY7="."),s_dir!BB7*1000)))))))),".")</f>
        <v>804.07871912102917</v>
      </c>
      <c r="CC7" s="93">
        <f t="shared" si="2"/>
        <v>19097.962663471444</v>
      </c>
      <c r="CD7" s="93">
        <f>IFERROR(s_C*s_IFAP_far_adj*s_CF_apple*(1/1000)*(s_Irr!C7+s_Irr!AB7+s_Irr!BA7),".")</f>
        <v>4774.490665867861</v>
      </c>
      <c r="CE7" s="93">
        <f>IFERROR(s_C*s_IFAS_far_adj*s_CF_asparagus*(1/1000)*(s_Irr!D7+s_Irr!AC7+s_Irr!BB7),".")</f>
        <v>4774.490665867861</v>
      </c>
      <c r="CF7" s="93">
        <f>IFERROR(s_C*s_IFBT_far_adj*s_CF_beet*(1/1000)*(s_Irr!E7+s_Irr!AD7+s_Irr!BC7),".")</f>
        <v>4774.490665867861</v>
      </c>
      <c r="CG7" s="93">
        <f>IFERROR(s_C*s_IFBE_far_adj*s_CF_berries*(1/1000)*(s_Irr!F7+s_Irr!AE7+s_Irr!BD7),".")</f>
        <v>4774.490665867861</v>
      </c>
      <c r="CH7" s="93">
        <f>IFERROR(s_C*s_IFBR_far_adj*s_CF_broccoli*(1/1000)*(s_Irr!G7+s_Irr!AF7+s_Irr!BE7),".")</f>
        <v>4774.490665867861</v>
      </c>
      <c r="CI7" s="93">
        <f>IFERROR(s_C*s_IFCB_far_adj*s_CF_cabbage*(1/1000)*(s_Irr!H7+s_Irr!AG7+s_Irr!BF7),".")</f>
        <v>4774.490665867861</v>
      </c>
      <c r="CJ7" s="93">
        <f>IFERROR(s_C*s_IFCR_far_adj*s_CF_carrot*(1/1000)*(s_Irr!I7+s_Irr!AH7+s_Irr!BG7),".")</f>
        <v>4774.490665867861</v>
      </c>
      <c r="CK7" s="93">
        <f>IFERROR(s_C*s_IFCI_far_adj*s_CF_citrus*(1/1000)*(s_Irr!J7+s_Irr!AI7+s_Irr!BH7),".")</f>
        <v>4774.490665867861</v>
      </c>
      <c r="CL7" s="93">
        <f>IFERROR(s_C*s_IFCO_far_adj*s_CF_corn*(1/1000)*(s_Irr!K7+s_Irr!AJ7+s_Irr!BI7),".")</f>
        <v>4774.490665867861</v>
      </c>
      <c r="CM7" s="93">
        <f>IFERROR(s_C*s_IFCU_far_adj*s_CF_cucumber*(1/1000)*(s_Irr!L7+s_Irr!AK7+s_Irr!BJ7),".")</f>
        <v>4774.490665867861</v>
      </c>
      <c r="CN7" s="93">
        <f>IFERROR(s_C*s_IFLE_far_adj*s_CF_lettuce*(1/1000)*(s_Irr!M7+s_Irr!AL7+s_Irr!BK7),".")</f>
        <v>4774.490665867861</v>
      </c>
      <c r="CO7" s="93">
        <f>IFERROR(s_C*s_IFLI_far_adj*s_CF_lima_bean*(1/1000)*(s_Irr!N7+s_Irr!AM7+s_Irr!BL7),".")</f>
        <v>4774.490665867861</v>
      </c>
      <c r="CP7" s="93">
        <f>IFERROR(s_C*s_IFOK_far_adj*s_CF_okra*(1/1000)*(s_Irr!O7+s_Irr!AN7+s_Irr!BM7),".")</f>
        <v>4774.490665867861</v>
      </c>
      <c r="CQ7" s="93">
        <f>IFERROR(s_C*s_IFON_far_adj*s_CF_onion*(1/1000)*(s_Irr!P7+s_Irr!AO7+s_Irr!BN7),".")</f>
        <v>4774.490665867861</v>
      </c>
      <c r="CR7" s="93">
        <f>IFERROR(s_C*s_IFPC_far_adj*s_CF_peach*(1/1000)*(s_Irr!Q7+s_Irr!AP7+s_Irr!BO7),".")</f>
        <v>4774.490665867861</v>
      </c>
      <c r="CS7" s="93">
        <f>IFERROR(s_C*s_IFPR_far_adj*s_CF_pear*(1/1000)*(s_Irr!R7+s_Irr!AQ7+s_Irr!BP7),".")</f>
        <v>4774.490665867861</v>
      </c>
      <c r="CT7" s="93">
        <f>IFERROR(s_C*s_IFPE_far_adj*s_CF_peas*(1/1000)*(s_Irr!S7+s_Irr!AR7+s_Irr!BQ7),".")</f>
        <v>4774.490665867861</v>
      </c>
      <c r="CU7" s="93">
        <f>IFERROR(s_C*s_IFPP_far_adj*s_CF_peppers*(1/1000)*(s_Irr!T7+s_Irr!AS7+s_Irr!BR7),".")</f>
        <v>4774.490665867861</v>
      </c>
      <c r="CV7" s="93">
        <f>IFERROR(s_C*s_IFPT_far_adj*s_CF_potato*(1/1000)*(s_Irr!U7+s_Irr!AT7+s_Irr!BS7),".")</f>
        <v>4774.490665867861</v>
      </c>
      <c r="CW7" s="93">
        <f>IFERROR(s_C*s_IFPU_far_adj*s_CF_pumpkin*(1/1000)*(s_Irr!V7+s_Irr!AU7+s_Irr!BT7),".")</f>
        <v>4774.490665867861</v>
      </c>
      <c r="CX7" s="93">
        <f>IFERROR(s_C*s_IFSN_far_adj*s_CF_snap_bean*(1/1000)*(s_Irr!W7+s_Irr!AV7+s_Irr!BU7),".")</f>
        <v>4774.490665867861</v>
      </c>
      <c r="CY7" s="93">
        <f>IFERROR(s_C*s_IFST_far_adj*s_CF_strawberry*(1/1000)*(s_Irr!X7+s_Irr!AW7+s_Irr!BV7),".")</f>
        <v>4774.490665867861</v>
      </c>
      <c r="CZ7" s="93">
        <f>IFERROR(s_C*s_IFTO_far_adj*s_CF_tomato*(1/1000)*(s_Irr!Y7+s_Irr!AX7+s_Irr!BW7),".")</f>
        <v>4774.490665867861</v>
      </c>
      <c r="DA7" s="93">
        <f>IFERROR(s_C*s_IFRI_far_adj*s_CF_rice*(1/1000)*(s_Irr!Z7+s_Irr!AY7+s_Irr!BX7),".")</f>
        <v>4774.490665867861</v>
      </c>
      <c r="DB7" s="93">
        <f>IFERROR(s_C*s_IFCG_far_adj*s_CF_cereal*(1/1000)*(s_Irr!AA7+s_Irr!AZ7+s_Irr!BY7),".")</f>
        <v>4774.490665867861</v>
      </c>
    </row>
    <row r="8" spans="1:106" ht="15" customHeight="1" x14ac:dyDescent="0.25">
      <c r="A8" s="92" t="s">
        <v>18</v>
      </c>
      <c r="B8" s="90" t="s">
        <v>1071</v>
      </c>
      <c r="C8" s="15">
        <f t="shared" si="3"/>
        <v>3647.3673857036374</v>
      </c>
      <c r="D8" s="76">
        <f>IFERROR(IF(AND(s_Irr!C8&lt;&gt;".",s_Irr!AB8&lt;&gt;".",s_Irr!BA8&lt;&gt;"."),s_dir!D8/((1/1000)*(s_Irr!C8+s_Irr!AB8+s_Irr!BA8)),IF(AND(s_Irr!C8&lt;&gt;".",s_Irr!AB8&lt;&gt;".",s_Irr!BA8="."),s_dir!D8/((1/1000)*(s_Irr!C8+s_Irr!AB8)),IF(AND(s_Irr!C8&lt;&gt;".",s_Irr!AB8=".",s_Irr!BA8&lt;&gt;"."),s_dir!D8/((1/1000)*(s_Irr!C8+s_Irr!BA8)),IF(AND(s_Irr!C8=".",s_Irr!AB8&lt;&gt;".",s_Irr!BA8&lt;&gt;"."),s_dir!D8/((1/1000)*(s_Irr!AB8+s_Irr!BA8)),IF(AND(s_Irr!C8=".",s_Irr!AB8=".",s_Irr!BA8&lt;&gt;"."),s_dir!D8/((1/1000)*(s_Irr!BA8)),IF(AND(s_Irr!C8=".",s_Irr!AB8&lt;&gt;".",s_Irr!BA8="."),s_dir!D8/((1/1000)*(s_Irr!AB8)),IF(AND(s_Irr!C8&lt;&gt;".",s_Irr!AB8=".",s_Irr!BA8="."),s_dir!D8/((1/1000)*(s_Irr!C8)),IF(AND(s_Irr!C8=".",s_Irr!AB8=".",s_Irr!BA8="."),s_dir!D8*1000)))))))),".")</f>
        <v>14589.46954281455</v>
      </c>
      <c r="E8" s="76">
        <f>IFERROR(IF(AND(s_Irr!D8&lt;&gt;".",s_Irr!AC8&lt;&gt;".",s_Irr!BB8&lt;&gt;"."),s_dir!E8/((1/1000)*(s_Irr!D8+s_Irr!AC8+s_Irr!BB8)),IF(AND(s_Irr!D8&lt;&gt;".",s_Irr!AC8&lt;&gt;".",s_Irr!BB8="."),s_dir!E8/((1/1000)*(s_Irr!D8+s_Irr!AC8)),IF(AND(s_Irr!D8&lt;&gt;".",s_Irr!AC8=".",s_Irr!BB8&lt;&gt;"."),s_dir!E8/((1/1000)*(s_Irr!D8+s_Irr!BB8)),IF(AND(s_Irr!D8=".",s_Irr!AC8&lt;&gt;".",s_Irr!BB8&lt;&gt;"."),s_dir!E8/((1/1000)*(s_Irr!AC8+s_Irr!BB8)),IF(AND(s_Irr!D8=".",s_Irr!AC8=".",s_Irr!BB8&lt;&gt;"."),s_dir!E8/((1/1000)*(s_Irr!BB8)),IF(AND(s_Irr!D8=".",s_Irr!AC8&lt;&gt;".",s_Irr!BB8="."),s_dir!E8/((1/1000)*(s_Irr!AC8)),IF(AND(s_Irr!D8&lt;&gt;".",s_Irr!AC8=".",s_Irr!BB8="."),s_dir!E8/((1/1000)*(s_Irr!D8)),IF(AND(s_Irr!D8=".",s_Irr!AC8=".",s_Irr!BB8="."),s_dir!E8*1000)))))))),".")</f>
        <v>14589.46954281455</v>
      </c>
      <c r="F8" s="76">
        <f>IFERROR(IF(AND(s_Irr!E8&lt;&gt;".",s_Irr!AD8&lt;&gt;".",s_Irr!BC8&lt;&gt;"."),s_dir!F8/((1/1000)*(s_Irr!E8+s_Irr!AD8+s_Irr!BC8)),IF(AND(s_Irr!E8&lt;&gt;".",s_Irr!AD8&lt;&gt;".",s_Irr!BC8="."),s_dir!F8/((1/1000)*(s_Irr!E8+s_Irr!AD8)),IF(AND(s_Irr!E8&lt;&gt;".",s_Irr!AD8=".",s_Irr!BC8&lt;&gt;"."),s_dir!F8/((1/1000)*(s_Irr!E8+s_Irr!BC8)),IF(AND(s_Irr!E8=".",s_Irr!AD8&lt;&gt;".",s_Irr!BC8&lt;&gt;"."),s_dir!F8/((1/1000)*(s_Irr!AD8+s_Irr!BC8)),IF(AND(s_Irr!E8=".",s_Irr!AD8=".",s_Irr!BC8&lt;&gt;"."),s_dir!F8/((1/1000)*(s_Irr!BC8)),IF(AND(s_Irr!E8=".",s_Irr!AD8&lt;&gt;".",s_Irr!BC8="."),s_dir!F8/((1/1000)*(s_Irr!AD8)),IF(AND(s_Irr!E8&lt;&gt;".",s_Irr!AD8=".",s_Irr!BC8="."),s_dir!F8/((1/1000)*(s_Irr!E8)),IF(AND(s_Irr!E8=".",s_Irr!AD8=".",s_Irr!BC8="."),s_dir!F8*1000)))))))),".")</f>
        <v>14589.46954281455</v>
      </c>
      <c r="G8" s="76">
        <f>IFERROR(IF(AND(s_Irr!F8&lt;&gt;".",s_Irr!AE8&lt;&gt;".",s_Irr!BD8&lt;&gt;"."),s_dir!G8/((1/1000)*(s_Irr!F8+s_Irr!AE8+s_Irr!BD8)),IF(AND(s_Irr!F8&lt;&gt;".",s_Irr!AE8&lt;&gt;".",s_Irr!BD8="."),s_dir!G8/((1/1000)*(s_Irr!F8+s_Irr!AE8)),IF(AND(s_Irr!F8&lt;&gt;".",s_Irr!AE8=".",s_Irr!BD8&lt;&gt;"."),s_dir!G8/((1/1000)*(s_Irr!F8+s_Irr!BD8)),IF(AND(s_Irr!F8=".",s_Irr!AE8&lt;&gt;".",s_Irr!BD8&lt;&gt;"."),s_dir!G8/((1/1000)*(s_Irr!AE8+s_Irr!BD8)),IF(AND(s_Irr!F8=".",s_Irr!AE8=".",s_Irr!BD8&lt;&gt;"."),s_dir!G8/((1/1000)*(s_Irr!BD8)),IF(AND(s_Irr!F8=".",s_Irr!AE8&lt;&gt;".",s_Irr!BD8="."),s_dir!G8/((1/1000)*(s_Irr!AE8)),IF(AND(s_Irr!F8&lt;&gt;".",s_Irr!AE8=".",s_Irr!BD8="."),s_dir!G8/((1/1000)*(s_Irr!F8)),IF(AND(s_Irr!F8=".",s_Irr!AE8=".",s_Irr!BD8="."),s_dir!G8*1000)))))))),".")</f>
        <v>14589.46954281455</v>
      </c>
      <c r="H8" s="76">
        <f>IFERROR(IF(AND(s_Irr!G8&lt;&gt;".",s_Irr!AF8&lt;&gt;".",s_Irr!BE8&lt;&gt;"."),s_dir!H8/((1/1000)*(s_Irr!G8+s_Irr!AF8+s_Irr!BE8)),IF(AND(s_Irr!G8&lt;&gt;".",s_Irr!AF8&lt;&gt;".",s_Irr!BE8="."),s_dir!H8/((1/1000)*(s_Irr!G8+s_Irr!AF8)),IF(AND(s_Irr!G8&lt;&gt;".",s_Irr!AF8=".",s_Irr!BE8&lt;&gt;"."),s_dir!H8/((1/1000)*(s_Irr!G8+s_Irr!BE8)),IF(AND(s_Irr!G8=".",s_Irr!AF8&lt;&gt;".",s_Irr!BE8&lt;&gt;"."),s_dir!H8/((1/1000)*(s_Irr!AF8+s_Irr!BE8)),IF(AND(s_Irr!G8=".",s_Irr!AF8=".",s_Irr!BE8&lt;&gt;"."),s_dir!H8/((1/1000)*(s_Irr!BE8)),IF(AND(s_Irr!G8=".",s_Irr!AF8&lt;&gt;".",s_Irr!BE8="."),s_dir!H8/((1/1000)*(s_Irr!AF8)),IF(AND(s_Irr!G8&lt;&gt;".",s_Irr!AF8=".",s_Irr!BE8="."),s_dir!H8/((1/1000)*(s_Irr!G8)),IF(AND(s_Irr!G8=".",s_Irr!AF8=".",s_Irr!BE8="."),s_dir!H8*1000)))))))),".")</f>
        <v>14589.46954281455</v>
      </c>
      <c r="I8" s="76">
        <f>IFERROR(IF(AND(s_Irr!H8&lt;&gt;".",s_Irr!AG8&lt;&gt;".",s_Irr!BF8&lt;&gt;"."),s_dir!I8/((1/1000)*(s_Irr!H8+s_Irr!AG8+s_Irr!BF8)),IF(AND(s_Irr!H8&lt;&gt;".",s_Irr!AG8&lt;&gt;".",s_Irr!BF8="."),s_dir!I8/((1/1000)*(s_Irr!H8+s_Irr!AG8)),IF(AND(s_Irr!H8&lt;&gt;".",s_Irr!AG8=".",s_Irr!BF8&lt;&gt;"."),s_dir!I8/((1/1000)*(s_Irr!H8+s_Irr!BF8)),IF(AND(s_Irr!H8=".",s_Irr!AG8&lt;&gt;".",s_Irr!BF8&lt;&gt;"."),s_dir!I8/((1/1000)*(s_Irr!AG8+s_Irr!BF8)),IF(AND(s_Irr!H8=".",s_Irr!AG8=".",s_Irr!BF8&lt;&gt;"."),s_dir!I8/((1/1000)*(s_Irr!BF8)),IF(AND(s_Irr!H8=".",s_Irr!AG8&lt;&gt;".",s_Irr!BF8="."),s_dir!I8/((1/1000)*(s_Irr!AG8)),IF(AND(s_Irr!H8&lt;&gt;".",s_Irr!AG8=".",s_Irr!BF8="."),s_dir!I8/((1/1000)*(s_Irr!H8)),IF(AND(s_Irr!H8=".",s_Irr!AG8=".",s_Irr!BF8="."),s_dir!I8*1000)))))))),".")</f>
        <v>14589.46954281455</v>
      </c>
      <c r="J8" s="76">
        <f>IFERROR(IF(AND(s_Irr!I8&lt;&gt;".",s_Irr!AH8&lt;&gt;".",s_Irr!BG8&lt;&gt;"."),s_dir!J8/((1/1000)*(s_Irr!I8+s_Irr!AH8+s_Irr!BG8)),IF(AND(s_Irr!I8&lt;&gt;".",s_Irr!AH8&lt;&gt;".",s_Irr!BG8="."),s_dir!J8/((1/1000)*(s_Irr!I8+s_Irr!AH8)),IF(AND(s_Irr!I8&lt;&gt;".",s_Irr!AH8=".",s_Irr!BG8&lt;&gt;"."),s_dir!J8/((1/1000)*(s_Irr!I8+s_Irr!BG8)),IF(AND(s_Irr!I8=".",s_Irr!AH8&lt;&gt;".",s_Irr!BG8&lt;&gt;"."),s_dir!J8/((1/1000)*(s_Irr!AH8+s_Irr!BG8)),IF(AND(s_Irr!I8=".",s_Irr!AH8=".",s_Irr!BG8&lt;&gt;"."),s_dir!J8/((1/1000)*(s_Irr!BG8)),IF(AND(s_Irr!I8=".",s_Irr!AH8&lt;&gt;".",s_Irr!BG8="."),s_dir!J8/((1/1000)*(s_Irr!AH8)),IF(AND(s_Irr!I8&lt;&gt;".",s_Irr!AH8=".",s_Irr!BG8="."),s_dir!J8/((1/1000)*(s_Irr!I8)),IF(AND(s_Irr!I8=".",s_Irr!AH8=".",s_Irr!BG8="."),s_dir!J8*1000)))))))),".")</f>
        <v>14589.46954281455</v>
      </c>
      <c r="K8" s="76">
        <f>IFERROR(IF(AND(s_Irr!J8&lt;&gt;".",s_Irr!AI8&lt;&gt;".",s_Irr!BH8&lt;&gt;"."),s_dir!K8/((1/1000)*(s_Irr!J8+s_Irr!AI8+s_Irr!BH8)),IF(AND(s_Irr!J8&lt;&gt;".",s_Irr!AI8&lt;&gt;".",s_Irr!BH8="."),s_dir!K8/((1/1000)*(s_Irr!J8+s_Irr!AI8)),IF(AND(s_Irr!J8&lt;&gt;".",s_Irr!AI8=".",s_Irr!BH8&lt;&gt;"."),s_dir!K8/((1/1000)*(s_Irr!J8+s_Irr!BH8)),IF(AND(s_Irr!J8=".",s_Irr!AI8&lt;&gt;".",s_Irr!BH8&lt;&gt;"."),s_dir!K8/((1/1000)*(s_Irr!AI8+s_Irr!BH8)),IF(AND(s_Irr!J8=".",s_Irr!AI8=".",s_Irr!BH8&lt;&gt;"."),s_dir!K8/((1/1000)*(s_Irr!BH8)),IF(AND(s_Irr!J8=".",s_Irr!AI8&lt;&gt;".",s_Irr!BH8="."),s_dir!K8/((1/1000)*(s_Irr!AI8)),IF(AND(s_Irr!J8&lt;&gt;".",s_Irr!AI8=".",s_Irr!BH8="."),s_dir!K8/((1/1000)*(s_Irr!J8)),IF(AND(s_Irr!J8=".",s_Irr!AI8=".",s_Irr!BH8="."),s_dir!K8*1000)))))))),".")</f>
        <v>14589.46954281455</v>
      </c>
      <c r="L8" s="76">
        <f>IFERROR(IF(AND(s_Irr!K8&lt;&gt;".",s_Irr!AJ8&lt;&gt;".",s_Irr!BI8&lt;&gt;"."),s_dir!L8/((1/1000)*(s_Irr!K8+s_Irr!AJ8+s_Irr!BI8)),IF(AND(s_Irr!K8&lt;&gt;".",s_Irr!AJ8&lt;&gt;".",s_Irr!BI8="."),s_dir!L8/((1/1000)*(s_Irr!K8+s_Irr!AJ8)),IF(AND(s_Irr!K8&lt;&gt;".",s_Irr!AJ8=".",s_Irr!BI8&lt;&gt;"."),s_dir!L8/((1/1000)*(s_Irr!K8+s_Irr!BI8)),IF(AND(s_Irr!K8=".",s_Irr!AJ8&lt;&gt;".",s_Irr!BI8&lt;&gt;"."),s_dir!L8/((1/1000)*(s_Irr!AJ8+s_Irr!BI8)),IF(AND(s_Irr!K8=".",s_Irr!AJ8=".",s_Irr!BI8&lt;&gt;"."),s_dir!L8/((1/1000)*(s_Irr!BI8)),IF(AND(s_Irr!K8=".",s_Irr!AJ8&lt;&gt;".",s_Irr!BI8="."),s_dir!L8/((1/1000)*(s_Irr!AJ8)),IF(AND(s_Irr!K8&lt;&gt;".",s_Irr!AJ8=".",s_Irr!BI8="."),s_dir!L8/((1/1000)*(s_Irr!K8)),IF(AND(s_Irr!K8=".",s_Irr!AJ8=".",s_Irr!BI8="."),s_dir!L8*1000)))))))),".")</f>
        <v>14589.46954281455</v>
      </c>
      <c r="M8" s="76">
        <f>IFERROR(IF(AND(s_Irr!L8&lt;&gt;".",s_Irr!AK8&lt;&gt;".",s_Irr!BJ8&lt;&gt;"."),s_dir!M8/((1/1000)*(s_Irr!L8+s_Irr!AK8+s_Irr!BJ8)),IF(AND(s_Irr!L8&lt;&gt;".",s_Irr!AK8&lt;&gt;".",s_Irr!BJ8="."),s_dir!M8/((1/1000)*(s_Irr!L8+s_Irr!AK8)),IF(AND(s_Irr!L8&lt;&gt;".",s_Irr!AK8=".",s_Irr!BJ8&lt;&gt;"."),s_dir!M8/((1/1000)*(s_Irr!L8+s_Irr!BJ8)),IF(AND(s_Irr!L8=".",s_Irr!AK8&lt;&gt;".",s_Irr!BJ8&lt;&gt;"."),s_dir!M8/((1/1000)*(s_Irr!AK8+s_Irr!BJ8)),IF(AND(s_Irr!L8=".",s_Irr!AK8=".",s_Irr!BJ8&lt;&gt;"."),s_dir!M8/((1/1000)*(s_Irr!BJ8)),IF(AND(s_Irr!L8=".",s_Irr!AK8&lt;&gt;".",s_Irr!BJ8="."),s_dir!M8/((1/1000)*(s_Irr!AK8)),IF(AND(s_Irr!L8&lt;&gt;".",s_Irr!AK8=".",s_Irr!BJ8="."),s_dir!M8/((1/1000)*(s_Irr!L8)),IF(AND(s_Irr!L8=".",s_Irr!AK8=".",s_Irr!BJ8="."),s_dir!M8*1000)))))))),".")</f>
        <v>14589.46954281455</v>
      </c>
      <c r="N8" s="76">
        <f>IFERROR(IF(AND(s_Irr!M8&lt;&gt;".",s_Irr!AL8&lt;&gt;".",s_Irr!BK8&lt;&gt;"."),s_dir!N8/((1/1000)*(s_Irr!M8+s_Irr!AL8+s_Irr!BK8)),IF(AND(s_Irr!M8&lt;&gt;".",s_Irr!AL8&lt;&gt;".",s_Irr!BK8="."),s_dir!N8/((1/1000)*(s_Irr!M8+s_Irr!AL8)),IF(AND(s_Irr!M8&lt;&gt;".",s_Irr!AL8=".",s_Irr!BK8&lt;&gt;"."),s_dir!N8/((1/1000)*(s_Irr!M8+s_Irr!BK8)),IF(AND(s_Irr!M8=".",s_Irr!AL8&lt;&gt;".",s_Irr!BK8&lt;&gt;"."),s_dir!N8/((1/1000)*(s_Irr!AL8+s_Irr!BK8)),IF(AND(s_Irr!M8=".",s_Irr!AL8=".",s_Irr!BK8&lt;&gt;"."),s_dir!N8/((1/1000)*(s_Irr!BK8)),IF(AND(s_Irr!M8=".",s_Irr!AL8&lt;&gt;".",s_Irr!BK8="."),s_dir!N8/((1/1000)*(s_Irr!AL8)),IF(AND(s_Irr!M8&lt;&gt;".",s_Irr!AL8=".",s_Irr!BK8="."),s_dir!N8/((1/1000)*(s_Irr!M8)),IF(AND(s_Irr!M8=".",s_Irr!AL8=".",s_Irr!BK8="."),s_dir!N8*1000)))))))),".")</f>
        <v>14589.46954281455</v>
      </c>
      <c r="O8" s="76">
        <f>IFERROR(IF(AND(s_Irr!N8&lt;&gt;".",s_Irr!AM8&lt;&gt;".",s_Irr!BL8&lt;&gt;"."),s_dir!O8/((1/1000)*(s_Irr!N8+s_Irr!AM8+s_Irr!BL8)),IF(AND(s_Irr!N8&lt;&gt;".",s_Irr!AM8&lt;&gt;".",s_Irr!BL8="."),s_dir!O8/((1/1000)*(s_Irr!N8+s_Irr!AM8)),IF(AND(s_Irr!N8&lt;&gt;".",s_Irr!AM8=".",s_Irr!BL8&lt;&gt;"."),s_dir!O8/((1/1000)*(s_Irr!N8+s_Irr!BL8)),IF(AND(s_Irr!N8=".",s_Irr!AM8&lt;&gt;".",s_Irr!BL8&lt;&gt;"."),s_dir!O8/((1/1000)*(s_Irr!AM8+s_Irr!BL8)),IF(AND(s_Irr!N8=".",s_Irr!AM8=".",s_Irr!BL8&lt;&gt;"."),s_dir!O8/((1/1000)*(s_Irr!BL8)),IF(AND(s_Irr!N8=".",s_Irr!AM8&lt;&gt;".",s_Irr!BL8="."),s_dir!O8/((1/1000)*(s_Irr!AM8)),IF(AND(s_Irr!N8&lt;&gt;".",s_Irr!AM8=".",s_Irr!BL8="."),s_dir!O8/((1/1000)*(s_Irr!N8)),IF(AND(s_Irr!N8=".",s_Irr!AM8=".",s_Irr!BL8="."),s_dir!O8*1000)))))))),".")</f>
        <v>14589.46954281455</v>
      </c>
      <c r="P8" s="76">
        <f>IFERROR(IF(AND(s_Irr!O8&lt;&gt;".",s_Irr!AN8&lt;&gt;".",s_Irr!BM8&lt;&gt;"."),s_dir!P8/((1/1000)*(s_Irr!O8+s_Irr!AN8+s_Irr!BM8)),IF(AND(s_Irr!O8&lt;&gt;".",s_Irr!AN8&lt;&gt;".",s_Irr!BM8="."),s_dir!P8/((1/1000)*(s_Irr!O8+s_Irr!AN8)),IF(AND(s_Irr!O8&lt;&gt;".",s_Irr!AN8=".",s_Irr!BM8&lt;&gt;"."),s_dir!P8/((1/1000)*(s_Irr!O8+s_Irr!BM8)),IF(AND(s_Irr!O8=".",s_Irr!AN8&lt;&gt;".",s_Irr!BM8&lt;&gt;"."),s_dir!P8/((1/1000)*(s_Irr!AN8+s_Irr!BM8)),IF(AND(s_Irr!O8=".",s_Irr!AN8=".",s_Irr!BM8&lt;&gt;"."),s_dir!P8/((1/1000)*(s_Irr!BM8)),IF(AND(s_Irr!O8=".",s_Irr!AN8&lt;&gt;".",s_Irr!BM8="."),s_dir!P8/((1/1000)*(s_Irr!AN8)),IF(AND(s_Irr!O8&lt;&gt;".",s_Irr!AN8=".",s_Irr!BM8="."),s_dir!P8/((1/1000)*(s_Irr!O8)),IF(AND(s_Irr!O8=".",s_Irr!AN8=".",s_Irr!BM8="."),s_dir!P8*1000)))))))),".")</f>
        <v>14589.46954281455</v>
      </c>
      <c r="Q8" s="76">
        <f>IFERROR(IF(AND(s_Irr!P8&lt;&gt;".",s_Irr!AO8&lt;&gt;".",s_Irr!BN8&lt;&gt;"."),s_dir!Q8/((1/1000)*(s_Irr!P8+s_Irr!AO8+s_Irr!BN8)),IF(AND(s_Irr!P8&lt;&gt;".",s_Irr!AO8&lt;&gt;".",s_Irr!BN8="."),s_dir!Q8/((1/1000)*(s_Irr!P8+s_Irr!AO8)),IF(AND(s_Irr!P8&lt;&gt;".",s_Irr!AO8=".",s_Irr!BN8&lt;&gt;"."),s_dir!Q8/((1/1000)*(s_Irr!P8+s_Irr!BN8)),IF(AND(s_Irr!P8=".",s_Irr!AO8&lt;&gt;".",s_Irr!BN8&lt;&gt;"."),s_dir!Q8/((1/1000)*(s_Irr!AO8+s_Irr!BN8)),IF(AND(s_Irr!P8=".",s_Irr!AO8=".",s_Irr!BN8&lt;&gt;"."),s_dir!Q8/((1/1000)*(s_Irr!BN8)),IF(AND(s_Irr!P8=".",s_Irr!AO8&lt;&gt;".",s_Irr!BN8="."),s_dir!Q8/((1/1000)*(s_Irr!AO8)),IF(AND(s_Irr!P8&lt;&gt;".",s_Irr!AO8=".",s_Irr!BN8="."),s_dir!Q8/((1/1000)*(s_Irr!P8)),IF(AND(s_Irr!P8=".",s_Irr!AO8=".",s_Irr!BN8="."),s_dir!Q8*1000)))))))),".")</f>
        <v>14589.46954281455</v>
      </c>
      <c r="R8" s="76">
        <f>IFERROR(IF(AND(s_Irr!Q8&lt;&gt;".",s_Irr!AP8&lt;&gt;".",s_Irr!BO8&lt;&gt;"."),s_dir!R8/((1/1000)*(s_Irr!Q8+s_Irr!AP8+s_Irr!BO8)),IF(AND(s_Irr!Q8&lt;&gt;".",s_Irr!AP8&lt;&gt;".",s_Irr!BO8="."),s_dir!R8/((1/1000)*(s_Irr!Q8+s_Irr!AP8)),IF(AND(s_Irr!Q8&lt;&gt;".",s_Irr!AP8=".",s_Irr!BO8&lt;&gt;"."),s_dir!R8/((1/1000)*(s_Irr!Q8+s_Irr!BO8)),IF(AND(s_Irr!Q8=".",s_Irr!AP8&lt;&gt;".",s_Irr!BO8&lt;&gt;"."),s_dir!R8/((1/1000)*(s_Irr!AP8+s_Irr!BO8)),IF(AND(s_Irr!Q8=".",s_Irr!AP8=".",s_Irr!BO8&lt;&gt;"."),s_dir!R8/((1/1000)*(s_Irr!BO8)),IF(AND(s_Irr!Q8=".",s_Irr!AP8&lt;&gt;".",s_Irr!BO8="."),s_dir!R8/((1/1000)*(s_Irr!AP8)),IF(AND(s_Irr!Q8&lt;&gt;".",s_Irr!AP8=".",s_Irr!BO8="."),s_dir!R8/((1/1000)*(s_Irr!Q8)),IF(AND(s_Irr!Q8=".",s_Irr!AP8=".",s_Irr!BO8="."),s_dir!R8*1000)))))))),".")</f>
        <v>14589.46954281455</v>
      </c>
      <c r="S8" s="76">
        <f>IFERROR(IF(AND(s_Irr!R8&lt;&gt;".",s_Irr!AQ8&lt;&gt;".",s_Irr!BP8&lt;&gt;"."),s_dir!S8/((1/1000)*(s_Irr!R8+s_Irr!AQ8+s_Irr!BP8)),IF(AND(s_Irr!R8&lt;&gt;".",s_Irr!AQ8&lt;&gt;".",s_Irr!BP8="."),s_dir!S8/((1/1000)*(s_Irr!R8+s_Irr!AQ8)),IF(AND(s_Irr!R8&lt;&gt;".",s_Irr!AQ8=".",s_Irr!BP8&lt;&gt;"."),s_dir!S8/((1/1000)*(s_Irr!R8+s_Irr!BP8)),IF(AND(s_Irr!R8=".",s_Irr!AQ8&lt;&gt;".",s_Irr!BP8&lt;&gt;"."),s_dir!S8/((1/1000)*(s_Irr!AQ8+s_Irr!BP8)),IF(AND(s_Irr!R8=".",s_Irr!AQ8=".",s_Irr!BP8&lt;&gt;"."),s_dir!S8/((1/1000)*(s_Irr!BP8)),IF(AND(s_Irr!R8=".",s_Irr!AQ8&lt;&gt;".",s_Irr!BP8="."),s_dir!S8/((1/1000)*(s_Irr!AQ8)),IF(AND(s_Irr!R8&lt;&gt;".",s_Irr!AQ8=".",s_Irr!BP8="."),s_dir!S8/((1/1000)*(s_Irr!R8)),IF(AND(s_Irr!R8=".",s_Irr!AQ8=".",s_Irr!BP8="."),s_dir!S8*1000)))))))),".")</f>
        <v>14589.46954281455</v>
      </c>
      <c r="T8" s="76">
        <f>IFERROR(IF(AND(s_Irr!S8&lt;&gt;".",s_Irr!AR8&lt;&gt;".",s_Irr!BQ8&lt;&gt;"."),s_dir!T8/((1/1000)*(s_Irr!S8+s_Irr!AR8+s_Irr!BQ8)),IF(AND(s_Irr!S8&lt;&gt;".",s_Irr!AR8&lt;&gt;".",s_Irr!BQ8="."),s_dir!T8/((1/1000)*(s_Irr!S8+s_Irr!AR8)),IF(AND(s_Irr!S8&lt;&gt;".",s_Irr!AR8=".",s_Irr!BQ8&lt;&gt;"."),s_dir!T8/((1/1000)*(s_Irr!S8+s_Irr!BQ8)),IF(AND(s_Irr!S8=".",s_Irr!AR8&lt;&gt;".",s_Irr!BQ8&lt;&gt;"."),s_dir!T8/((1/1000)*(s_Irr!AR8+s_Irr!BQ8)),IF(AND(s_Irr!S8=".",s_Irr!AR8=".",s_Irr!BQ8&lt;&gt;"."),s_dir!T8/((1/1000)*(s_Irr!BQ8)),IF(AND(s_Irr!S8=".",s_Irr!AR8&lt;&gt;".",s_Irr!BQ8="."),s_dir!T8/((1/1000)*(s_Irr!AR8)),IF(AND(s_Irr!S8&lt;&gt;".",s_Irr!AR8=".",s_Irr!BQ8="."),s_dir!T8/((1/1000)*(s_Irr!S8)),IF(AND(s_Irr!S8=".",s_Irr!AR8=".",s_Irr!BQ8="."),s_dir!T8*1000)))))))),".")</f>
        <v>14589.46954281455</v>
      </c>
      <c r="U8" s="76">
        <f>IFERROR(IF(AND(s_Irr!T8&lt;&gt;".",s_Irr!AS8&lt;&gt;".",s_Irr!BR8&lt;&gt;"."),s_dir!U8/((1/1000)*(s_Irr!T8+s_Irr!AS8+s_Irr!BR8)),IF(AND(s_Irr!T8&lt;&gt;".",s_Irr!AS8&lt;&gt;".",s_Irr!BR8="."),s_dir!U8/((1/1000)*(s_Irr!T8+s_Irr!AS8)),IF(AND(s_Irr!T8&lt;&gt;".",s_Irr!AS8=".",s_Irr!BR8&lt;&gt;"."),s_dir!U8/((1/1000)*(s_Irr!T8+s_Irr!BR8)),IF(AND(s_Irr!T8=".",s_Irr!AS8&lt;&gt;".",s_Irr!BR8&lt;&gt;"."),s_dir!U8/((1/1000)*(s_Irr!AS8+s_Irr!BR8)),IF(AND(s_Irr!T8=".",s_Irr!AS8=".",s_Irr!BR8&lt;&gt;"."),s_dir!U8/((1/1000)*(s_Irr!BR8)),IF(AND(s_Irr!T8=".",s_Irr!AS8&lt;&gt;".",s_Irr!BR8="."),s_dir!U8/((1/1000)*(s_Irr!AS8)),IF(AND(s_Irr!T8&lt;&gt;".",s_Irr!AS8=".",s_Irr!BR8="."),s_dir!U8/((1/1000)*(s_Irr!T8)),IF(AND(s_Irr!T8=".",s_Irr!AS8=".",s_Irr!BR8="."),s_dir!U8*1000)))))))),".")</f>
        <v>14589.46954281455</v>
      </c>
      <c r="V8" s="76">
        <f>IFERROR(IF(AND(s_Irr!U8&lt;&gt;".",s_Irr!AT8&lt;&gt;".",s_Irr!BS8&lt;&gt;"."),s_dir!V8/((1/1000)*(s_Irr!U8+s_Irr!AT8+s_Irr!BS8)),IF(AND(s_Irr!U8&lt;&gt;".",s_Irr!AT8&lt;&gt;".",s_Irr!BS8="."),s_dir!V8/((1/1000)*(s_Irr!U8+s_Irr!AT8)),IF(AND(s_Irr!U8&lt;&gt;".",s_Irr!AT8=".",s_Irr!BS8&lt;&gt;"."),s_dir!V8/((1/1000)*(s_Irr!U8+s_Irr!BS8)),IF(AND(s_Irr!U8=".",s_Irr!AT8&lt;&gt;".",s_Irr!BS8&lt;&gt;"."),s_dir!V8/((1/1000)*(s_Irr!AT8+s_Irr!BS8)),IF(AND(s_Irr!U8=".",s_Irr!AT8=".",s_Irr!BS8&lt;&gt;"."),s_dir!V8/((1/1000)*(s_Irr!BS8)),IF(AND(s_Irr!U8=".",s_Irr!AT8&lt;&gt;".",s_Irr!BS8="."),s_dir!V8/((1/1000)*(s_Irr!AT8)),IF(AND(s_Irr!U8&lt;&gt;".",s_Irr!AT8=".",s_Irr!BS8="."),s_dir!V8/((1/1000)*(s_Irr!U8)),IF(AND(s_Irr!U8=".",s_Irr!AT8=".",s_Irr!BS8="."),s_dir!V8*1000)))))))),".")</f>
        <v>14589.46954281455</v>
      </c>
      <c r="W8" s="76">
        <f>IFERROR(IF(AND(s_Irr!V8&lt;&gt;".",s_Irr!AU8&lt;&gt;".",s_Irr!BT8&lt;&gt;"."),s_dir!W8/((1/1000)*(s_Irr!V8+s_Irr!AU8+s_Irr!BT8)),IF(AND(s_Irr!V8&lt;&gt;".",s_Irr!AU8&lt;&gt;".",s_Irr!BT8="."),s_dir!W8/((1/1000)*(s_Irr!V8+s_Irr!AU8)),IF(AND(s_Irr!V8&lt;&gt;".",s_Irr!AU8=".",s_Irr!BT8&lt;&gt;"."),s_dir!W8/((1/1000)*(s_Irr!V8+s_Irr!BT8)),IF(AND(s_Irr!V8=".",s_Irr!AU8&lt;&gt;".",s_Irr!BT8&lt;&gt;"."),s_dir!W8/((1/1000)*(s_Irr!AU8+s_Irr!BT8)),IF(AND(s_Irr!V8=".",s_Irr!AU8=".",s_Irr!BT8&lt;&gt;"."),s_dir!W8/((1/1000)*(s_Irr!BT8)),IF(AND(s_Irr!V8=".",s_Irr!AU8&lt;&gt;".",s_Irr!BT8="."),s_dir!W8/((1/1000)*(s_Irr!AU8)),IF(AND(s_Irr!V8&lt;&gt;".",s_Irr!AU8=".",s_Irr!BT8="."),s_dir!W8/((1/1000)*(s_Irr!V8)),IF(AND(s_Irr!V8=".",s_Irr!AU8=".",s_Irr!BT8="."),s_dir!W8*1000)))))))),".")</f>
        <v>14589.46954281455</v>
      </c>
      <c r="X8" s="76">
        <f>IFERROR(IF(AND(s_Irr!W8&lt;&gt;".",s_Irr!AV8&lt;&gt;".",s_Irr!BU8&lt;&gt;"."),s_dir!X8/((1/1000)*(s_Irr!W8+s_Irr!AV8+s_Irr!BU8)),IF(AND(s_Irr!W8&lt;&gt;".",s_Irr!AV8&lt;&gt;".",s_Irr!BU8="."),s_dir!X8/((1/1000)*(s_Irr!W8+s_Irr!AV8)),IF(AND(s_Irr!W8&lt;&gt;".",s_Irr!AV8=".",s_Irr!BU8&lt;&gt;"."),s_dir!X8/((1/1000)*(s_Irr!W8+s_Irr!BU8)),IF(AND(s_Irr!W8=".",s_Irr!AV8&lt;&gt;".",s_Irr!BU8&lt;&gt;"."),s_dir!X8/((1/1000)*(s_Irr!AV8+s_Irr!BU8)),IF(AND(s_Irr!W8=".",s_Irr!AV8=".",s_Irr!BU8&lt;&gt;"."),s_dir!X8/((1/1000)*(s_Irr!BU8)),IF(AND(s_Irr!W8=".",s_Irr!AV8&lt;&gt;".",s_Irr!BU8="."),s_dir!X8/((1/1000)*(s_Irr!AV8)),IF(AND(s_Irr!W8&lt;&gt;".",s_Irr!AV8=".",s_Irr!BU8="."),s_dir!X8/((1/1000)*(s_Irr!W8)),IF(AND(s_Irr!W8=".",s_Irr!AV8=".",s_Irr!BU8="."),s_dir!X8*1000)))))))),".")</f>
        <v>14589.46954281455</v>
      </c>
      <c r="Y8" s="76">
        <f>IFERROR(IF(AND(s_Irr!X8&lt;&gt;".",s_Irr!AW8&lt;&gt;".",s_Irr!BV8&lt;&gt;"."),s_dir!Y8/((1/1000)*(s_Irr!X8+s_Irr!AW8+s_Irr!BV8)),IF(AND(s_Irr!X8&lt;&gt;".",s_Irr!AW8&lt;&gt;".",s_Irr!BV8="."),s_dir!Y8/((1/1000)*(s_Irr!X8+s_Irr!AW8)),IF(AND(s_Irr!X8&lt;&gt;".",s_Irr!AW8=".",s_Irr!BV8&lt;&gt;"."),s_dir!Y8/((1/1000)*(s_Irr!X8+s_Irr!BV8)),IF(AND(s_Irr!X8=".",s_Irr!AW8&lt;&gt;".",s_Irr!BV8&lt;&gt;"."),s_dir!Y8/((1/1000)*(s_Irr!AW8+s_Irr!BV8)),IF(AND(s_Irr!X8=".",s_Irr!AW8=".",s_Irr!BV8&lt;&gt;"."),s_dir!Y8/((1/1000)*(s_Irr!BV8)),IF(AND(s_Irr!X8=".",s_Irr!AW8&lt;&gt;".",s_Irr!BV8="."),s_dir!Y8/((1/1000)*(s_Irr!AW8)),IF(AND(s_Irr!X8&lt;&gt;".",s_Irr!AW8=".",s_Irr!BV8="."),s_dir!Y8/((1/1000)*(s_Irr!X8)),IF(AND(s_Irr!X8=".",s_Irr!AW8=".",s_Irr!BV8="."),s_dir!Y8*1000)))))))),".")</f>
        <v>14589.46954281455</v>
      </c>
      <c r="Z8" s="76">
        <f>IFERROR(IF(AND(s_Irr!Y8&lt;&gt;".",s_Irr!AX8&lt;&gt;".",s_Irr!BW8&lt;&gt;"."),s_dir!Z8/((1/1000)*(s_Irr!Y8+s_Irr!AX8+s_Irr!BW8)),IF(AND(s_Irr!Y8&lt;&gt;".",s_Irr!AX8&lt;&gt;".",s_Irr!BW8="."),s_dir!Z8/((1/1000)*(s_Irr!Y8+s_Irr!AX8)),IF(AND(s_Irr!Y8&lt;&gt;".",s_Irr!AX8=".",s_Irr!BW8&lt;&gt;"."),s_dir!Z8/((1/1000)*(s_Irr!Y8+s_Irr!BW8)),IF(AND(s_Irr!Y8=".",s_Irr!AX8&lt;&gt;".",s_Irr!BW8&lt;&gt;"."),s_dir!Z8/((1/1000)*(s_Irr!AX8+s_Irr!BW8)),IF(AND(s_Irr!Y8=".",s_Irr!AX8=".",s_Irr!BW8&lt;&gt;"."),s_dir!Z8/((1/1000)*(s_Irr!BW8)),IF(AND(s_Irr!Y8=".",s_Irr!AX8&lt;&gt;".",s_Irr!BW8="."),s_dir!Z8/((1/1000)*(s_Irr!AX8)),IF(AND(s_Irr!Y8&lt;&gt;".",s_Irr!AX8=".",s_Irr!BW8="."),s_dir!Z8/((1/1000)*(s_Irr!Y8)),IF(AND(s_Irr!Y8=".",s_Irr!AX8=".",s_Irr!BW8="."),s_dir!Z8*1000)))))))),".")</f>
        <v>14589.46954281455</v>
      </c>
      <c r="AA8" s="76">
        <f>IFERROR(IF(AND(s_Irr!Z8&lt;&gt;".",s_Irr!AY8&lt;&gt;".",s_Irr!BX8&lt;&gt;"."),s_dir!AA8/((1/1000)*(s_Irr!Z8+s_Irr!AY8+s_Irr!BX8)),IF(AND(s_Irr!Z8&lt;&gt;".",s_Irr!AY8&lt;&gt;".",s_Irr!BX8="."),s_dir!AA8/((1/1000)*(s_Irr!Z8+s_Irr!AY8)),IF(AND(s_Irr!Z8&lt;&gt;".",s_Irr!AY8=".",s_Irr!BX8&lt;&gt;"."),s_dir!AA8/((1/1000)*(s_Irr!Z8+s_Irr!BX8)),IF(AND(s_Irr!Z8=".",s_Irr!AY8&lt;&gt;".",s_Irr!BX8&lt;&gt;"."),s_dir!AA8/((1/1000)*(s_Irr!AY8+s_Irr!BX8)),IF(AND(s_Irr!Z8=".",s_Irr!AY8=".",s_Irr!BX8&lt;&gt;"."),s_dir!AA8/((1/1000)*(s_Irr!BX8)),IF(AND(s_Irr!Z8=".",s_Irr!AY8&lt;&gt;".",s_Irr!BX8="."),s_dir!AA8/((1/1000)*(s_Irr!AY8)),IF(AND(s_Irr!Z8&lt;&gt;".",s_Irr!AY8=".",s_Irr!BX8="."),s_dir!AA8/((1/1000)*(s_Irr!Z8)),IF(AND(s_Irr!Z8=".",s_Irr!AY8=".",s_Irr!BX8="."),s_dir!AA8*1000)))))))),".")</f>
        <v>14589.46954281455</v>
      </c>
      <c r="AB8" s="76">
        <f>IFERROR(IF(AND(s_Irr!AA8&lt;&gt;".",s_Irr!AZ8&lt;&gt;".",s_Irr!BY8&lt;&gt;"."),s_dir!AB8/((1/1000)*(s_Irr!AA8+s_Irr!AZ8+s_Irr!BY8)),IF(AND(s_Irr!AA8&lt;&gt;".",s_Irr!AZ8&lt;&gt;".",s_Irr!BY8="."),s_dir!AB8/((1/1000)*(s_Irr!AA8+s_Irr!AZ8)),IF(AND(s_Irr!AA8&lt;&gt;".",s_Irr!AZ8=".",s_Irr!BY8&lt;&gt;"."),s_dir!AB8/((1/1000)*(s_Irr!AA8+s_Irr!BY8)),IF(AND(s_Irr!AA8=".",s_Irr!AZ8&lt;&gt;".",s_Irr!BY8&lt;&gt;"."),s_dir!AB8/((1/1000)*(s_Irr!AZ8+s_Irr!BY8)),IF(AND(s_Irr!AA8=".",s_Irr!AZ8=".",s_Irr!BY8&lt;&gt;"."),s_dir!AB8/((1/1000)*(s_Irr!BY8)),IF(AND(s_Irr!AA8=".",s_Irr!AZ8&lt;&gt;".",s_Irr!BY8="."),s_dir!AB8/((1/1000)*(s_Irr!AZ8)),IF(AND(s_Irr!AA8&lt;&gt;".",s_Irr!AZ8=".",s_Irr!BY8="."),s_dir!AB8/((1/1000)*(s_Irr!AA8)),IF(AND(s_Irr!AA8=".",s_Irr!AZ8=".",s_Irr!BY8="."),s_dir!AB8*1000)))))))),".")</f>
        <v>14589.46954281455</v>
      </c>
      <c r="AC8" s="93">
        <f t="shared" si="4"/>
        <v>19097.962663471444</v>
      </c>
      <c r="AD8" s="93">
        <f>IFERROR(s_C*s_IFAP_res_adj*s_CF_apple*0.001*(s_Irr!C8+s_Irr!AB8+s_Irr!BA8),".")</f>
        <v>4774.490665867861</v>
      </c>
      <c r="AE8" s="93">
        <f>IFERROR(s_C*s_IFAS_res_adj*s_CF_asparagus*0.001*(s_Irr!D8+s_Irr!AC8+s_Irr!BB8),".")</f>
        <v>4774.490665867861</v>
      </c>
      <c r="AF8" s="93">
        <f>IFERROR(s_C*s_IFBT_res_adj*s_CF_beet*0.001*(s_Irr!E8+s_Irr!AD8+s_Irr!BC8),".")</f>
        <v>4774.490665867861</v>
      </c>
      <c r="AG8" s="93">
        <f>IFERROR(s_C*s_IFBE_res_adj*s_CF_berries*0.001*(s_Irr!F8+s_Irr!AE8+s_Irr!BD8),".")</f>
        <v>4774.490665867861</v>
      </c>
      <c r="AH8" s="93">
        <f>IFERROR(s_C*s_IFBR_res_adj*s_CF_broccoli*0.001*(s_Irr!G8+s_Irr!AF8+s_Irr!BE8),".")</f>
        <v>4774.490665867861</v>
      </c>
      <c r="AI8" s="93">
        <f>IFERROR(s_C*s_IFCB_res_adj*s_CF_cabbage*0.001*(s_Irr!H8+s_Irr!AG8+s_Irr!BF8),".")</f>
        <v>4774.490665867861</v>
      </c>
      <c r="AJ8" s="93">
        <f>IFERROR(s_C*s_IFCR_res_adj*s_CF_carrot*0.001*(s_Irr!I8+s_Irr!AH8+s_Irr!BG8),".")</f>
        <v>4774.490665867861</v>
      </c>
      <c r="AK8" s="93">
        <f>IFERROR(s_C*s_IFCI_res_adj*s_CF_citrus*0.001*(s_Irr!J8+s_Irr!AI8+s_Irr!BH8),".")</f>
        <v>4774.490665867861</v>
      </c>
      <c r="AL8" s="93">
        <f>IFERROR(s_C*s_IFCO_res_adj*s_CF_corn*0.001*(s_Irr!K8+s_Irr!AJ8+s_Irr!BI8),".")</f>
        <v>4774.490665867861</v>
      </c>
      <c r="AM8" s="93">
        <f>IFERROR(s_C*s_IFCU_res_adj*s_CF_cucumber*0.001*(s_Irr!L8+s_Irr!AK8+s_Irr!BJ8),".")</f>
        <v>4774.490665867861</v>
      </c>
      <c r="AN8" s="93">
        <f>IFERROR(s_C*s_IFLE_res_adj*s_CF_lettuce*0.001*(s_Irr!M8+s_Irr!AL8+s_Irr!BK8),".")</f>
        <v>4774.490665867861</v>
      </c>
      <c r="AO8" s="93">
        <f>IFERROR(s_C*s_IFLI_res_adj*s_CF_lima_bean*0.001*(s_Irr!N8+s_Irr!AM8+s_Irr!BL8),".")</f>
        <v>4774.490665867861</v>
      </c>
      <c r="AP8" s="93">
        <f>IFERROR(s_C*s_IFOK_res_adj*s_CF_okra*0.001*(s_Irr!O8+s_Irr!AN8+s_Irr!BM8),".")</f>
        <v>4774.490665867861</v>
      </c>
      <c r="AQ8" s="93">
        <f>IFERROR(s_C*s_IFON_res_adj*s_CF_onion*0.001*(s_Irr!P8+s_Irr!AO8+s_Irr!BN8),".")</f>
        <v>4774.490665867861</v>
      </c>
      <c r="AR8" s="93">
        <f>IFERROR(s_C*s_IFPC_res_adj*s_CF_peach*0.001*(s_Irr!Q8+s_Irr!AP8+s_Irr!BO8),".")</f>
        <v>4774.490665867861</v>
      </c>
      <c r="AS8" s="93">
        <f>IFERROR(s_C*s_IFPR_res_adj*s_CF_pear*0.001*(s_Irr!R8+s_Irr!AQ8+s_Irr!BP8),".")</f>
        <v>4774.490665867861</v>
      </c>
      <c r="AT8" s="93">
        <f>IFERROR(s_C*s_IFPE_res_adj*s_CF_peas*0.001*(s_Irr!S8+s_Irr!AR8+s_Irr!BQ8),".")</f>
        <v>4774.490665867861</v>
      </c>
      <c r="AU8" s="93">
        <f>IFERROR(s_C*s_IFPP_res_adj*s_CF_peppers*0.001*(s_Irr!T8+s_Irr!AS8+s_Irr!BR8),".")</f>
        <v>4774.490665867861</v>
      </c>
      <c r="AV8" s="93">
        <f>IFERROR(s_C*s_IFPT_res_adj*s_CF_potato*0.001*(s_Irr!U8+s_Irr!AT8+s_Irr!BS8),".")</f>
        <v>4774.490665867861</v>
      </c>
      <c r="AW8" s="93">
        <f>IFERROR(s_C*s_IFPU_res_adj*s_CF_pumpkin*0.001*(s_Irr!V8+s_Irr!AU8+s_Irr!BT8),".")</f>
        <v>4774.490665867861</v>
      </c>
      <c r="AX8" s="93">
        <f>IFERROR(s_C*s_IFSN_res_adj*s_CF_snap_bean*0.001*(s_Irr!W8+s_Irr!AV8+s_Irr!BU8),".")</f>
        <v>4774.490665867861</v>
      </c>
      <c r="AY8" s="93">
        <f>IFERROR(s_C*s_IFST_res_adj*s_CF_strawberry*0.001*(s_Irr!X8+s_Irr!AW8+s_Irr!BV8),".")</f>
        <v>4774.490665867861</v>
      </c>
      <c r="AZ8" s="93">
        <f>IFERROR(s_C*s_IFTO_res_adj*s_CF_tomato*0.001*(s_Irr!Y8+s_Irr!AX8+s_Irr!BW8),".")</f>
        <v>4774.490665867861</v>
      </c>
      <c r="BA8" s="93">
        <f>IFERROR(s_C*s_IFRI_res_adj*s_CF_rice*0.001*(s_Irr!Z8+s_Irr!AY8+s_Irr!BX8),".")</f>
        <v>4774.490665867861</v>
      </c>
      <c r="BB8" s="93">
        <f>IFERROR(s_C*s_IFCG_res_adj*s_CF_cereal*0.001*(s_Irr!AA8+s_Irr!AZ8+s_Irr!BY8),".")</f>
        <v>4774.490665867861</v>
      </c>
      <c r="BC8" s="76">
        <f t="shared" si="1"/>
        <v>3647.3673857036374</v>
      </c>
      <c r="BD8" s="76">
        <f>IFERROR(IF(AND(s_Irr!C8&lt;&gt;".",s_Irr!AB8&lt;&gt;".",s_Irr!BA8&lt;&gt;"."),s_dir!AD8/((1/1000)*(s_Irr!C8+s_Irr!AB8+s_Irr!BA8)),IF(AND(s_Irr!C8&lt;&gt;".",s_Irr!AB8&lt;&gt;".",s_Irr!BA8="."),s_dir!AD8/((1/1000)*(s_Irr!C8+s_Irr!AB8)),IF(AND(s_Irr!C8&lt;&gt;".",s_Irr!AB8=".",s_Irr!BA8&lt;&gt;"."),s_dir!AD8/((1/1000)*(s_Irr!C8+s_Irr!BA8)),IF(AND(s_Irr!C8=".",s_Irr!AB8&lt;&gt;".",s_Irr!BA8&lt;&gt;"."),s_dir!AD8/((1/1000)*(s_Irr!AB8+s_Irr!BA8)),IF(AND(s_Irr!C8=".",s_Irr!AB8=".",s_Irr!BA8&lt;&gt;"."),s_dir!AD8/((1/1000)*(s_Irr!BA8)),IF(AND(s_Irr!C8=".",s_Irr!AB8&lt;&gt;".",s_Irr!BA8="."),s_dir!AD8/((1/1000)*(s_Irr!AB8)),IF(AND(s_Irr!C8&lt;&gt;".",s_Irr!AB8=".",s_Irr!BA8="."),s_dir!AD8/((1/1000)*(s_Irr!C8)),IF(AND(s_Irr!C8=".",s_Irr!AB8=".",s_Irr!BA8="."),s_dir!AD8*1000)))))))),".")</f>
        <v>14589.46954281455</v>
      </c>
      <c r="BE8" s="76">
        <f>IFERROR(IF(AND(s_Irr!D8&lt;&gt;".",s_Irr!AC8&lt;&gt;".",s_Irr!BB8&lt;&gt;"."),s_dir!AE8/((1/1000)*(s_Irr!D8+s_Irr!AC8+s_Irr!BB8)),IF(AND(s_Irr!D8&lt;&gt;".",s_Irr!AC8&lt;&gt;".",s_Irr!BB8="."),s_dir!AE8/((1/1000)*(s_Irr!D8+s_Irr!AC8)),IF(AND(s_Irr!D8&lt;&gt;".",s_Irr!AC8=".",s_Irr!BB8&lt;&gt;"."),s_dir!AE8/((1/1000)*(s_Irr!D8+s_Irr!BB8)),IF(AND(s_Irr!D8=".",s_Irr!AC8&lt;&gt;".",s_Irr!BB8&lt;&gt;"."),s_dir!AE8/((1/1000)*(s_Irr!AC8+s_Irr!BB8)),IF(AND(s_Irr!D8=".",s_Irr!AC8=".",s_Irr!BB8&lt;&gt;"."),s_dir!AE8/((1/1000)*(s_Irr!BB8)),IF(AND(s_Irr!D8=".",s_Irr!AC8&lt;&gt;".",s_Irr!BB8="."),s_dir!AE8/((1/1000)*(s_Irr!AC8)),IF(AND(s_Irr!D8&lt;&gt;".",s_Irr!AC8=".",s_Irr!BB8="."),s_dir!AE8/((1/1000)*(s_Irr!D8)),IF(AND(s_Irr!D8=".",s_Irr!AC8=".",s_Irr!BB8="."),s_dir!AE8*1000)))))))),".")</f>
        <v>14589.46954281455</v>
      </c>
      <c r="BF8" s="76">
        <f>IFERROR(IF(AND(s_Irr!E8&lt;&gt;".",s_Irr!AD8&lt;&gt;".",s_Irr!BC8&lt;&gt;"."),s_dir!AF8/((1/1000)*(s_Irr!E8+s_Irr!AD8+s_Irr!BC8)),IF(AND(s_Irr!E8&lt;&gt;".",s_Irr!AD8&lt;&gt;".",s_Irr!BC8="."),s_dir!AF8/((1/1000)*(s_Irr!E8+s_Irr!AD8)),IF(AND(s_Irr!E8&lt;&gt;".",s_Irr!AD8=".",s_Irr!BC8&lt;&gt;"."),s_dir!AF8/((1/1000)*(s_Irr!E8+s_Irr!BC8)),IF(AND(s_Irr!E8=".",s_Irr!AD8&lt;&gt;".",s_Irr!BC8&lt;&gt;"."),s_dir!AF8/((1/1000)*(s_Irr!AD8+s_Irr!BC8)),IF(AND(s_Irr!E8=".",s_Irr!AD8=".",s_Irr!BC8&lt;&gt;"."),s_dir!AF8/((1/1000)*(s_Irr!BC8)),IF(AND(s_Irr!E8=".",s_Irr!AD8&lt;&gt;".",s_Irr!BC8="."),s_dir!AF8/((1/1000)*(s_Irr!AD8)),IF(AND(s_Irr!E8&lt;&gt;".",s_Irr!AD8=".",s_Irr!BC8="."),s_dir!AF8/((1/1000)*(s_Irr!E8)),IF(AND(s_Irr!E8=".",s_Irr!AD8=".",s_Irr!BC8="."),s_dir!AF8*1000)))))))),".")</f>
        <v>14589.46954281455</v>
      </c>
      <c r="BG8" s="76">
        <f>IFERROR(IF(AND(s_Irr!F8&lt;&gt;".",s_Irr!AE8&lt;&gt;".",s_Irr!BD8&lt;&gt;"."),s_dir!AG8/((1/1000)*(s_Irr!F8+s_Irr!AE8+s_Irr!BD8)),IF(AND(s_Irr!F8&lt;&gt;".",s_Irr!AE8&lt;&gt;".",s_Irr!BD8="."),s_dir!AG8/((1/1000)*(s_Irr!F8+s_Irr!AE8)),IF(AND(s_Irr!F8&lt;&gt;".",s_Irr!AE8=".",s_Irr!BD8&lt;&gt;"."),s_dir!AG8/((1/1000)*(s_Irr!F8+s_Irr!BD8)),IF(AND(s_Irr!F8=".",s_Irr!AE8&lt;&gt;".",s_Irr!BD8&lt;&gt;"."),s_dir!AG8/((1/1000)*(s_Irr!AE8+s_Irr!BD8)),IF(AND(s_Irr!F8=".",s_Irr!AE8=".",s_Irr!BD8&lt;&gt;"."),s_dir!AG8/((1/1000)*(s_Irr!BD8)),IF(AND(s_Irr!F8=".",s_Irr!AE8&lt;&gt;".",s_Irr!BD8="."),s_dir!AG8/((1/1000)*(s_Irr!AE8)),IF(AND(s_Irr!F8&lt;&gt;".",s_Irr!AE8=".",s_Irr!BD8="."),s_dir!AG8/((1/1000)*(s_Irr!F8)),IF(AND(s_Irr!F8=".",s_Irr!AE8=".",s_Irr!BD8="."),s_dir!AG8*1000)))))))),".")</f>
        <v>14589.46954281455</v>
      </c>
      <c r="BH8" s="76">
        <f>IFERROR(IF(AND(s_Irr!G8&lt;&gt;".",s_Irr!AF8&lt;&gt;".",s_Irr!BE8&lt;&gt;"."),s_dir!AH8/((1/1000)*(s_Irr!G8+s_Irr!AF8+s_Irr!BE8)),IF(AND(s_Irr!G8&lt;&gt;".",s_Irr!AF8&lt;&gt;".",s_Irr!BE8="."),s_dir!AH8/((1/1000)*(s_Irr!G8+s_Irr!AF8)),IF(AND(s_Irr!G8&lt;&gt;".",s_Irr!AF8=".",s_Irr!BE8&lt;&gt;"."),s_dir!AH8/((1/1000)*(s_Irr!G8+s_Irr!BE8)),IF(AND(s_Irr!G8=".",s_Irr!AF8&lt;&gt;".",s_Irr!BE8&lt;&gt;"."),s_dir!AH8/((1/1000)*(s_Irr!AF8+s_Irr!BE8)),IF(AND(s_Irr!G8=".",s_Irr!AF8=".",s_Irr!BE8&lt;&gt;"."),s_dir!AH8/((1/1000)*(s_Irr!BE8)),IF(AND(s_Irr!G8=".",s_Irr!AF8&lt;&gt;".",s_Irr!BE8="."),s_dir!AH8/((1/1000)*(s_Irr!AF8)),IF(AND(s_Irr!G8&lt;&gt;".",s_Irr!AF8=".",s_Irr!BE8="."),s_dir!AH8/((1/1000)*(s_Irr!G8)),IF(AND(s_Irr!G8=".",s_Irr!AF8=".",s_Irr!BE8="."),s_dir!AH8*1000)))))))),".")</f>
        <v>14589.46954281455</v>
      </c>
      <c r="BI8" s="76">
        <f>IFERROR(IF(AND(s_Irr!H8&lt;&gt;".",s_Irr!AG8&lt;&gt;".",s_Irr!BF8&lt;&gt;"."),s_dir!AI8/((1/1000)*(s_Irr!H8+s_Irr!AG8+s_Irr!BF8)),IF(AND(s_Irr!H8&lt;&gt;".",s_Irr!AG8&lt;&gt;".",s_Irr!BF8="."),s_dir!AI8/((1/1000)*(s_Irr!H8+s_Irr!AG8)),IF(AND(s_Irr!H8&lt;&gt;".",s_Irr!AG8=".",s_Irr!BF8&lt;&gt;"."),s_dir!AI8/((1/1000)*(s_Irr!H8+s_Irr!BF8)),IF(AND(s_Irr!H8=".",s_Irr!AG8&lt;&gt;".",s_Irr!BF8&lt;&gt;"."),s_dir!AI8/((1/1000)*(s_Irr!AG8+s_Irr!BF8)),IF(AND(s_Irr!H8=".",s_Irr!AG8=".",s_Irr!BF8&lt;&gt;"."),s_dir!AI8/((1/1000)*(s_Irr!BF8)),IF(AND(s_Irr!H8=".",s_Irr!AG8&lt;&gt;".",s_Irr!BF8="."),s_dir!AI8/((1/1000)*(s_Irr!AG8)),IF(AND(s_Irr!H8&lt;&gt;".",s_Irr!AG8=".",s_Irr!BF8="."),s_dir!AI8/((1/1000)*(s_Irr!H8)),IF(AND(s_Irr!H8=".",s_Irr!AG8=".",s_Irr!BF8="."),s_dir!AI8*1000)))))))),".")</f>
        <v>14589.46954281455</v>
      </c>
      <c r="BJ8" s="76">
        <f>IFERROR(IF(AND(s_Irr!I8&lt;&gt;".",s_Irr!AH8&lt;&gt;".",s_Irr!BG8&lt;&gt;"."),s_dir!AJ8/((1/1000)*(s_Irr!I8+s_Irr!AH8+s_Irr!BG8)),IF(AND(s_Irr!I8&lt;&gt;".",s_Irr!AH8&lt;&gt;".",s_Irr!BG8="."),s_dir!AJ8/((1/1000)*(s_Irr!I8+s_Irr!AH8)),IF(AND(s_Irr!I8&lt;&gt;".",s_Irr!AH8=".",s_Irr!BG8&lt;&gt;"."),s_dir!AJ8/((1/1000)*(s_Irr!I8+s_Irr!BG8)),IF(AND(s_Irr!I8=".",s_Irr!AH8&lt;&gt;".",s_Irr!BG8&lt;&gt;"."),s_dir!AJ8/((1/1000)*(s_Irr!AH8+s_Irr!BG8)),IF(AND(s_Irr!I8=".",s_Irr!AH8=".",s_Irr!BG8&lt;&gt;"."),s_dir!AJ8/((1/1000)*(s_Irr!BG8)),IF(AND(s_Irr!I8=".",s_Irr!AH8&lt;&gt;".",s_Irr!BG8="."),s_dir!AJ8/((1/1000)*(s_Irr!AH8)),IF(AND(s_Irr!I8&lt;&gt;".",s_Irr!AH8=".",s_Irr!BG8="."),s_dir!AJ8/((1/1000)*(s_Irr!I8)),IF(AND(s_Irr!I8=".",s_Irr!AH8=".",s_Irr!BG8="."),s_dir!AJ8*1000)))))))),".")</f>
        <v>14589.46954281455</v>
      </c>
      <c r="BK8" s="76">
        <f>IFERROR(IF(AND(s_Irr!J8&lt;&gt;".",s_Irr!AI8&lt;&gt;".",s_Irr!BH8&lt;&gt;"."),s_dir!AK8/((1/1000)*(s_Irr!J8+s_Irr!AI8+s_Irr!BH8)),IF(AND(s_Irr!J8&lt;&gt;".",s_Irr!AI8&lt;&gt;".",s_Irr!BH8="."),s_dir!AK8/((1/1000)*(s_Irr!J8+s_Irr!AI8)),IF(AND(s_Irr!J8&lt;&gt;".",s_Irr!AI8=".",s_Irr!BH8&lt;&gt;"."),s_dir!AK8/((1/1000)*(s_Irr!J8+s_Irr!BH8)),IF(AND(s_Irr!J8=".",s_Irr!AI8&lt;&gt;".",s_Irr!BH8&lt;&gt;"."),s_dir!AK8/((1/1000)*(s_Irr!AI8+s_Irr!BH8)),IF(AND(s_Irr!J8=".",s_Irr!AI8=".",s_Irr!BH8&lt;&gt;"."),s_dir!AK8/((1/1000)*(s_Irr!BH8)),IF(AND(s_Irr!J8=".",s_Irr!AI8&lt;&gt;".",s_Irr!BH8="."),s_dir!AK8/((1/1000)*(s_Irr!AI8)),IF(AND(s_Irr!J8&lt;&gt;".",s_Irr!AI8=".",s_Irr!BH8="."),s_dir!AK8/((1/1000)*(s_Irr!J8)),IF(AND(s_Irr!J8=".",s_Irr!AI8=".",s_Irr!BH8="."),s_dir!AK8*1000)))))))),".")</f>
        <v>14589.46954281455</v>
      </c>
      <c r="BL8" s="76">
        <f>IFERROR(IF(AND(s_Irr!K8&lt;&gt;".",s_Irr!AJ8&lt;&gt;".",s_Irr!BI8&lt;&gt;"."),s_dir!AL8/((1/1000)*(s_Irr!K8+s_Irr!AJ8+s_Irr!BI8)),IF(AND(s_Irr!K8&lt;&gt;".",s_Irr!AJ8&lt;&gt;".",s_Irr!BI8="."),s_dir!AL8/((1/1000)*(s_Irr!K8+s_Irr!AJ8)),IF(AND(s_Irr!K8&lt;&gt;".",s_Irr!AJ8=".",s_Irr!BI8&lt;&gt;"."),s_dir!AL8/((1/1000)*(s_Irr!K8+s_Irr!BI8)),IF(AND(s_Irr!K8=".",s_Irr!AJ8&lt;&gt;".",s_Irr!BI8&lt;&gt;"."),s_dir!AL8/((1/1000)*(s_Irr!AJ8+s_Irr!BI8)),IF(AND(s_Irr!K8=".",s_Irr!AJ8=".",s_Irr!BI8&lt;&gt;"."),s_dir!AL8/((1/1000)*(s_Irr!BI8)),IF(AND(s_Irr!K8=".",s_Irr!AJ8&lt;&gt;".",s_Irr!BI8="."),s_dir!AL8/((1/1000)*(s_Irr!AJ8)),IF(AND(s_Irr!K8&lt;&gt;".",s_Irr!AJ8=".",s_Irr!BI8="."),s_dir!AL8/((1/1000)*(s_Irr!K8)),IF(AND(s_Irr!K8=".",s_Irr!AJ8=".",s_Irr!BI8="."),s_dir!AL8*1000)))))))),".")</f>
        <v>14589.46954281455</v>
      </c>
      <c r="BM8" s="76">
        <f>IFERROR(IF(AND(s_Irr!L8&lt;&gt;".",s_Irr!AK8&lt;&gt;".",s_Irr!BJ8&lt;&gt;"."),s_dir!AM8/((1/1000)*(s_Irr!L8+s_Irr!AK8+s_Irr!BJ8)),IF(AND(s_Irr!L8&lt;&gt;".",s_Irr!AK8&lt;&gt;".",s_Irr!BJ8="."),s_dir!AM8/((1/1000)*(s_Irr!L8+s_Irr!AK8)),IF(AND(s_Irr!L8&lt;&gt;".",s_Irr!AK8=".",s_Irr!BJ8&lt;&gt;"."),s_dir!AM8/((1/1000)*(s_Irr!L8+s_Irr!BJ8)),IF(AND(s_Irr!L8=".",s_Irr!AK8&lt;&gt;".",s_Irr!BJ8&lt;&gt;"."),s_dir!AM8/((1/1000)*(s_Irr!AK8+s_Irr!BJ8)),IF(AND(s_Irr!L8=".",s_Irr!AK8=".",s_Irr!BJ8&lt;&gt;"."),s_dir!AM8/((1/1000)*(s_Irr!BJ8)),IF(AND(s_Irr!L8=".",s_Irr!AK8&lt;&gt;".",s_Irr!BJ8="."),s_dir!AM8/((1/1000)*(s_Irr!AK8)),IF(AND(s_Irr!L8&lt;&gt;".",s_Irr!AK8=".",s_Irr!BJ8="."),s_dir!AM8/((1/1000)*(s_Irr!L8)),IF(AND(s_Irr!L8=".",s_Irr!AK8=".",s_Irr!BJ8="."),s_dir!AM8*1000)))))))),".")</f>
        <v>14589.46954281455</v>
      </c>
      <c r="BN8" s="76">
        <f>IFERROR(IF(AND(s_Irr!M8&lt;&gt;".",s_Irr!AL8&lt;&gt;".",s_Irr!BK8&lt;&gt;"."),s_dir!AN8/((1/1000)*(s_Irr!M8+s_Irr!AL8+s_Irr!BK8)),IF(AND(s_Irr!M8&lt;&gt;".",s_Irr!AL8&lt;&gt;".",s_Irr!BK8="."),s_dir!AN8/((1/1000)*(s_Irr!M8+s_Irr!AL8)),IF(AND(s_Irr!M8&lt;&gt;".",s_Irr!AL8=".",s_Irr!BK8&lt;&gt;"."),s_dir!AN8/((1/1000)*(s_Irr!M8+s_Irr!BK8)),IF(AND(s_Irr!M8=".",s_Irr!AL8&lt;&gt;".",s_Irr!BK8&lt;&gt;"."),s_dir!AN8/((1/1000)*(s_Irr!AL8+s_Irr!BK8)),IF(AND(s_Irr!M8=".",s_Irr!AL8=".",s_Irr!BK8&lt;&gt;"."),s_dir!AN8/((1/1000)*(s_Irr!BK8)),IF(AND(s_Irr!M8=".",s_Irr!AL8&lt;&gt;".",s_Irr!BK8="."),s_dir!AN8/((1/1000)*(s_Irr!AL8)),IF(AND(s_Irr!M8&lt;&gt;".",s_Irr!AL8=".",s_Irr!BK8="."),s_dir!AN8/((1/1000)*(s_Irr!M8)),IF(AND(s_Irr!M8=".",s_Irr!AL8=".",s_Irr!BK8="."),s_dir!AN8*1000)))))))),".")</f>
        <v>14589.46954281455</v>
      </c>
      <c r="BO8" s="76">
        <f>IFERROR(IF(AND(s_Irr!N8&lt;&gt;".",s_Irr!AM8&lt;&gt;".",s_Irr!BL8&lt;&gt;"."),s_dir!AO8/((1/1000)*(s_Irr!N8+s_Irr!AM8+s_Irr!BL8)),IF(AND(s_Irr!N8&lt;&gt;".",s_Irr!AM8&lt;&gt;".",s_Irr!BL8="."),s_dir!AO8/((1/1000)*(s_Irr!N8+s_Irr!AM8)),IF(AND(s_Irr!N8&lt;&gt;".",s_Irr!AM8=".",s_Irr!BL8&lt;&gt;"."),s_dir!AO8/((1/1000)*(s_Irr!N8+s_Irr!BL8)),IF(AND(s_Irr!N8=".",s_Irr!AM8&lt;&gt;".",s_Irr!BL8&lt;&gt;"."),s_dir!AO8/((1/1000)*(s_Irr!AM8+s_Irr!BL8)),IF(AND(s_Irr!N8=".",s_Irr!AM8=".",s_Irr!BL8&lt;&gt;"."),s_dir!AO8/((1/1000)*(s_Irr!BL8)),IF(AND(s_Irr!N8=".",s_Irr!AM8&lt;&gt;".",s_Irr!BL8="."),s_dir!AO8/((1/1000)*(s_Irr!AM8)),IF(AND(s_Irr!N8&lt;&gt;".",s_Irr!AM8=".",s_Irr!BL8="."),s_dir!AO8/((1/1000)*(s_Irr!N8)),IF(AND(s_Irr!N8=".",s_Irr!AM8=".",s_Irr!BL8="."),s_dir!AO8*1000)))))))),".")</f>
        <v>14589.46954281455</v>
      </c>
      <c r="BP8" s="76">
        <f>IFERROR(IF(AND(s_Irr!O8&lt;&gt;".",s_Irr!AN8&lt;&gt;".",s_Irr!BM8&lt;&gt;"."),s_dir!AP8/((1/1000)*(s_Irr!O8+s_Irr!AN8+s_Irr!BM8)),IF(AND(s_Irr!O8&lt;&gt;".",s_Irr!AN8&lt;&gt;".",s_Irr!BM8="."),s_dir!AP8/((1/1000)*(s_Irr!O8+s_Irr!AN8)),IF(AND(s_Irr!O8&lt;&gt;".",s_Irr!AN8=".",s_Irr!BM8&lt;&gt;"."),s_dir!AP8/((1/1000)*(s_Irr!O8+s_Irr!BM8)),IF(AND(s_Irr!O8=".",s_Irr!AN8&lt;&gt;".",s_Irr!BM8&lt;&gt;"."),s_dir!AP8/((1/1000)*(s_Irr!AN8+s_Irr!BM8)),IF(AND(s_Irr!O8=".",s_Irr!AN8=".",s_Irr!BM8&lt;&gt;"."),s_dir!AP8/((1/1000)*(s_Irr!BM8)),IF(AND(s_Irr!O8=".",s_Irr!AN8&lt;&gt;".",s_Irr!BM8="."),s_dir!AP8/((1/1000)*(s_Irr!AN8)),IF(AND(s_Irr!O8&lt;&gt;".",s_Irr!AN8=".",s_Irr!BM8="."),s_dir!AP8/((1/1000)*(s_Irr!O8)),IF(AND(s_Irr!O8=".",s_Irr!AN8=".",s_Irr!BM8="."),s_dir!AP8*1000)))))))),".")</f>
        <v>14589.46954281455</v>
      </c>
      <c r="BQ8" s="76">
        <f>IFERROR(IF(AND(s_Irr!P8&lt;&gt;".",s_Irr!AO8&lt;&gt;".",s_Irr!BN8&lt;&gt;"."),s_dir!AQ8/((1/1000)*(s_Irr!P8+s_Irr!AO8+s_Irr!BN8)),IF(AND(s_Irr!P8&lt;&gt;".",s_Irr!AO8&lt;&gt;".",s_Irr!BN8="."),s_dir!AQ8/((1/1000)*(s_Irr!P8+s_Irr!AO8)),IF(AND(s_Irr!P8&lt;&gt;".",s_Irr!AO8=".",s_Irr!BN8&lt;&gt;"."),s_dir!AQ8/((1/1000)*(s_Irr!P8+s_Irr!BN8)),IF(AND(s_Irr!P8=".",s_Irr!AO8&lt;&gt;".",s_Irr!BN8&lt;&gt;"."),s_dir!AQ8/((1/1000)*(s_Irr!AO8+s_Irr!BN8)),IF(AND(s_Irr!P8=".",s_Irr!AO8=".",s_Irr!BN8&lt;&gt;"."),s_dir!AQ8/((1/1000)*(s_Irr!BN8)),IF(AND(s_Irr!P8=".",s_Irr!AO8&lt;&gt;".",s_Irr!BN8="."),s_dir!AQ8/((1/1000)*(s_Irr!AO8)),IF(AND(s_Irr!P8&lt;&gt;".",s_Irr!AO8=".",s_Irr!BN8="."),s_dir!AQ8/((1/1000)*(s_Irr!P8)),IF(AND(s_Irr!P8=".",s_Irr!AO8=".",s_Irr!BN8="."),s_dir!AQ8*1000)))))))),".")</f>
        <v>14589.46954281455</v>
      </c>
      <c r="BR8" s="76">
        <f>IFERROR(IF(AND(s_Irr!Q8&lt;&gt;".",s_Irr!AP8&lt;&gt;".",s_Irr!BO8&lt;&gt;"."),s_dir!AR8/((1/1000)*(s_Irr!Q8+s_Irr!AP8+s_Irr!BO8)),IF(AND(s_Irr!Q8&lt;&gt;".",s_Irr!AP8&lt;&gt;".",s_Irr!BO8="."),s_dir!AR8/((1/1000)*(s_Irr!Q8+s_Irr!AP8)),IF(AND(s_Irr!Q8&lt;&gt;".",s_Irr!AP8=".",s_Irr!BO8&lt;&gt;"."),s_dir!AR8/((1/1000)*(s_Irr!Q8+s_Irr!BO8)),IF(AND(s_Irr!Q8=".",s_Irr!AP8&lt;&gt;".",s_Irr!BO8&lt;&gt;"."),s_dir!AR8/((1/1000)*(s_Irr!AP8+s_Irr!BO8)),IF(AND(s_Irr!Q8=".",s_Irr!AP8=".",s_Irr!BO8&lt;&gt;"."),s_dir!AR8/((1/1000)*(s_Irr!BO8)),IF(AND(s_Irr!Q8=".",s_Irr!AP8&lt;&gt;".",s_Irr!BO8="."),s_dir!AR8/((1/1000)*(s_Irr!AP8)),IF(AND(s_Irr!Q8&lt;&gt;".",s_Irr!AP8=".",s_Irr!BO8="."),s_dir!AR8/((1/1000)*(s_Irr!Q8)),IF(AND(s_Irr!Q8=".",s_Irr!AP8=".",s_Irr!BO8="."),s_dir!AR8*1000)))))))),".")</f>
        <v>14589.46954281455</v>
      </c>
      <c r="BS8" s="76">
        <f>IFERROR(IF(AND(s_Irr!R8&lt;&gt;".",s_Irr!AQ8&lt;&gt;".",s_Irr!BP8&lt;&gt;"."),s_dir!AS8/((1/1000)*(s_Irr!R8+s_Irr!AQ8+s_Irr!BP8)),IF(AND(s_Irr!R8&lt;&gt;".",s_Irr!AQ8&lt;&gt;".",s_Irr!BP8="."),s_dir!AS8/((1/1000)*(s_Irr!R8+s_Irr!AQ8)),IF(AND(s_Irr!R8&lt;&gt;".",s_Irr!AQ8=".",s_Irr!BP8&lt;&gt;"."),s_dir!AS8/((1/1000)*(s_Irr!R8+s_Irr!BP8)),IF(AND(s_Irr!R8=".",s_Irr!AQ8&lt;&gt;".",s_Irr!BP8&lt;&gt;"."),s_dir!AS8/((1/1000)*(s_Irr!AQ8+s_Irr!BP8)),IF(AND(s_Irr!R8=".",s_Irr!AQ8=".",s_Irr!BP8&lt;&gt;"."),s_dir!AS8/((1/1000)*(s_Irr!BP8)),IF(AND(s_Irr!R8=".",s_Irr!AQ8&lt;&gt;".",s_Irr!BP8="."),s_dir!AS8/((1/1000)*(s_Irr!AQ8)),IF(AND(s_Irr!R8&lt;&gt;".",s_Irr!AQ8=".",s_Irr!BP8="."),s_dir!AS8/((1/1000)*(s_Irr!R8)),IF(AND(s_Irr!R8=".",s_Irr!AQ8=".",s_Irr!BP8="."),s_dir!AS8*1000)))))))),".")</f>
        <v>14589.46954281455</v>
      </c>
      <c r="BT8" s="76">
        <f>IFERROR(IF(AND(s_Irr!S8&lt;&gt;".",s_Irr!AR8&lt;&gt;".",s_Irr!BQ8&lt;&gt;"."),s_dir!AT8/((1/1000)*(s_Irr!S8+s_Irr!AR8+s_Irr!BQ8)),IF(AND(s_Irr!S8&lt;&gt;".",s_Irr!AR8&lt;&gt;".",s_Irr!BQ8="."),s_dir!AT8/((1/1000)*(s_Irr!S8+s_Irr!AR8)),IF(AND(s_Irr!S8&lt;&gt;".",s_Irr!AR8=".",s_Irr!BQ8&lt;&gt;"."),s_dir!AT8/((1/1000)*(s_Irr!S8+s_Irr!BQ8)),IF(AND(s_Irr!S8=".",s_Irr!AR8&lt;&gt;".",s_Irr!BQ8&lt;&gt;"."),s_dir!AT8/((1/1000)*(s_Irr!AR8+s_Irr!BQ8)),IF(AND(s_Irr!S8=".",s_Irr!AR8=".",s_Irr!BQ8&lt;&gt;"."),s_dir!AT8/((1/1000)*(s_Irr!BQ8)),IF(AND(s_Irr!S8=".",s_Irr!AR8&lt;&gt;".",s_Irr!BQ8="."),s_dir!AT8/((1/1000)*(s_Irr!AR8)),IF(AND(s_Irr!S8&lt;&gt;".",s_Irr!AR8=".",s_Irr!BQ8="."),s_dir!AT8/((1/1000)*(s_Irr!S8)),IF(AND(s_Irr!S8=".",s_Irr!AR8=".",s_Irr!BQ8="."),s_dir!AT8*1000)))))))),".")</f>
        <v>14589.46954281455</v>
      </c>
      <c r="BU8" s="76">
        <f>IFERROR(IF(AND(s_Irr!T8&lt;&gt;".",s_Irr!AS8&lt;&gt;".",s_Irr!BR8&lt;&gt;"."),s_dir!AU8/((1/1000)*(s_Irr!T8+s_Irr!AS8+s_Irr!BR8)),IF(AND(s_Irr!T8&lt;&gt;".",s_Irr!AS8&lt;&gt;".",s_Irr!BR8="."),s_dir!AU8/((1/1000)*(s_Irr!T8+s_Irr!AS8)),IF(AND(s_Irr!T8&lt;&gt;".",s_Irr!AS8=".",s_Irr!BR8&lt;&gt;"."),s_dir!AU8/((1/1000)*(s_Irr!T8+s_Irr!BR8)),IF(AND(s_Irr!T8=".",s_Irr!AS8&lt;&gt;".",s_Irr!BR8&lt;&gt;"."),s_dir!AU8/((1/1000)*(s_Irr!AS8+s_Irr!BR8)),IF(AND(s_Irr!T8=".",s_Irr!AS8=".",s_Irr!BR8&lt;&gt;"."),s_dir!AU8/((1/1000)*(s_Irr!BR8)),IF(AND(s_Irr!T8=".",s_Irr!AS8&lt;&gt;".",s_Irr!BR8="."),s_dir!AU8/((1/1000)*(s_Irr!AS8)),IF(AND(s_Irr!T8&lt;&gt;".",s_Irr!AS8=".",s_Irr!BR8="."),s_dir!AU8/((1/1000)*(s_Irr!T8)),IF(AND(s_Irr!T8=".",s_Irr!AS8=".",s_Irr!BR8="."),s_dir!AU8*1000)))))))),".")</f>
        <v>14589.46954281455</v>
      </c>
      <c r="BV8" s="76">
        <f>IFERROR(IF(AND(s_Irr!U8&lt;&gt;".",s_Irr!AT8&lt;&gt;".",s_Irr!BS8&lt;&gt;"."),s_dir!AV8/((1/1000)*(s_Irr!U8+s_Irr!AT8+s_Irr!BS8)),IF(AND(s_Irr!U8&lt;&gt;".",s_Irr!AT8&lt;&gt;".",s_Irr!BS8="."),s_dir!AV8/((1/1000)*(s_Irr!U8+s_Irr!AT8)),IF(AND(s_Irr!U8&lt;&gt;".",s_Irr!AT8=".",s_Irr!BS8&lt;&gt;"."),s_dir!AV8/((1/1000)*(s_Irr!U8+s_Irr!BS8)),IF(AND(s_Irr!U8=".",s_Irr!AT8&lt;&gt;".",s_Irr!BS8&lt;&gt;"."),s_dir!AV8/((1/1000)*(s_Irr!AT8+s_Irr!BS8)),IF(AND(s_Irr!U8=".",s_Irr!AT8=".",s_Irr!BS8&lt;&gt;"."),s_dir!AV8/((1/1000)*(s_Irr!BS8)),IF(AND(s_Irr!U8=".",s_Irr!AT8&lt;&gt;".",s_Irr!BS8="."),s_dir!AV8/((1/1000)*(s_Irr!AT8)),IF(AND(s_Irr!U8&lt;&gt;".",s_Irr!AT8=".",s_Irr!BS8="."),s_dir!AV8/((1/1000)*(s_Irr!U8)),IF(AND(s_Irr!U8=".",s_Irr!AT8=".",s_Irr!BS8="."),s_dir!AV8*1000)))))))),".")</f>
        <v>14589.46954281455</v>
      </c>
      <c r="BW8" s="76">
        <f>IFERROR(IF(AND(s_Irr!V8&lt;&gt;".",s_Irr!AU8&lt;&gt;".",s_Irr!BT8&lt;&gt;"."),s_dir!AW8/((1/1000)*(s_Irr!V8+s_Irr!AU8+s_Irr!BT8)),IF(AND(s_Irr!V8&lt;&gt;".",s_Irr!AU8&lt;&gt;".",s_Irr!BT8="."),s_dir!AW8/((1/1000)*(s_Irr!V8+s_Irr!AU8)),IF(AND(s_Irr!V8&lt;&gt;".",s_Irr!AU8=".",s_Irr!BT8&lt;&gt;"."),s_dir!AW8/((1/1000)*(s_Irr!V8+s_Irr!BT8)),IF(AND(s_Irr!V8=".",s_Irr!AU8&lt;&gt;".",s_Irr!BT8&lt;&gt;"."),s_dir!AW8/((1/1000)*(s_Irr!AU8+s_Irr!BT8)),IF(AND(s_Irr!V8=".",s_Irr!AU8=".",s_Irr!BT8&lt;&gt;"."),s_dir!AW8/((1/1000)*(s_Irr!BT8)),IF(AND(s_Irr!V8=".",s_Irr!AU8&lt;&gt;".",s_Irr!BT8="."),s_dir!AW8/((1/1000)*(s_Irr!AU8)),IF(AND(s_Irr!V8&lt;&gt;".",s_Irr!AU8=".",s_Irr!BT8="."),s_dir!AW8/((1/1000)*(s_Irr!V8)),IF(AND(s_Irr!V8=".",s_Irr!AU8=".",s_Irr!BT8="."),s_dir!AW8*1000)))))))),".")</f>
        <v>14589.46954281455</v>
      </c>
      <c r="BX8" s="76">
        <f>IFERROR(IF(AND(s_Irr!W8&lt;&gt;".",s_Irr!AV8&lt;&gt;".",s_Irr!BU8&lt;&gt;"."),s_dir!AX8/((1/1000)*(s_Irr!W8+s_Irr!AV8+s_Irr!BU8)),IF(AND(s_Irr!W8&lt;&gt;".",s_Irr!AV8&lt;&gt;".",s_Irr!BU8="."),s_dir!AX8/((1/1000)*(s_Irr!W8+s_Irr!AV8)),IF(AND(s_Irr!W8&lt;&gt;".",s_Irr!AV8=".",s_Irr!BU8&lt;&gt;"."),s_dir!AX8/((1/1000)*(s_Irr!W8+s_Irr!BU8)),IF(AND(s_Irr!W8=".",s_Irr!AV8&lt;&gt;".",s_Irr!BU8&lt;&gt;"."),s_dir!AX8/((1/1000)*(s_Irr!AV8+s_Irr!BU8)),IF(AND(s_Irr!W8=".",s_Irr!AV8=".",s_Irr!BU8&lt;&gt;"."),s_dir!AX8/((1/1000)*(s_Irr!BU8)),IF(AND(s_Irr!W8=".",s_Irr!AV8&lt;&gt;".",s_Irr!BU8="."),s_dir!AX8/((1/1000)*(s_Irr!AV8)),IF(AND(s_Irr!W8&lt;&gt;".",s_Irr!AV8=".",s_Irr!BU8="."),s_dir!AX8/((1/1000)*(s_Irr!W8)),IF(AND(s_Irr!W8=".",s_Irr!AV8=".",s_Irr!BU8="."),s_dir!AX8*1000)))))))),".")</f>
        <v>14589.46954281455</v>
      </c>
      <c r="BY8" s="76">
        <f>IFERROR(IF(AND(s_Irr!X8&lt;&gt;".",s_Irr!AW8&lt;&gt;".",s_Irr!BV8&lt;&gt;"."),s_dir!AY8/((1/1000)*(s_Irr!X8+s_Irr!AW8+s_Irr!BV8)),IF(AND(s_Irr!X8&lt;&gt;".",s_Irr!AW8&lt;&gt;".",s_Irr!BV8="."),s_dir!AY8/((1/1000)*(s_Irr!X8+s_Irr!AW8)),IF(AND(s_Irr!X8&lt;&gt;".",s_Irr!AW8=".",s_Irr!BV8&lt;&gt;"."),s_dir!AY8/((1/1000)*(s_Irr!X8+s_Irr!BV8)),IF(AND(s_Irr!X8=".",s_Irr!AW8&lt;&gt;".",s_Irr!BV8&lt;&gt;"."),s_dir!AY8/((1/1000)*(s_Irr!AW8+s_Irr!BV8)),IF(AND(s_Irr!X8=".",s_Irr!AW8=".",s_Irr!BV8&lt;&gt;"."),s_dir!AY8/((1/1000)*(s_Irr!BV8)),IF(AND(s_Irr!X8=".",s_Irr!AW8&lt;&gt;".",s_Irr!BV8="."),s_dir!AY8/((1/1000)*(s_Irr!AW8)),IF(AND(s_Irr!X8&lt;&gt;".",s_Irr!AW8=".",s_Irr!BV8="."),s_dir!AY8/((1/1000)*(s_Irr!X8)),IF(AND(s_Irr!X8=".",s_Irr!AW8=".",s_Irr!BV8="."),s_dir!AY8*1000)))))))),".")</f>
        <v>14589.46954281455</v>
      </c>
      <c r="BZ8" s="76">
        <f>IFERROR(IF(AND(s_Irr!Y8&lt;&gt;".",s_Irr!AX8&lt;&gt;".",s_Irr!BW8&lt;&gt;"."),s_dir!AZ8/((1/1000)*(s_Irr!Y8+s_Irr!AX8+s_Irr!BW8)),IF(AND(s_Irr!Y8&lt;&gt;".",s_Irr!AX8&lt;&gt;".",s_Irr!BW8="."),s_dir!AZ8/((1/1000)*(s_Irr!Y8+s_Irr!AX8)),IF(AND(s_Irr!Y8&lt;&gt;".",s_Irr!AX8=".",s_Irr!BW8&lt;&gt;"."),s_dir!AZ8/((1/1000)*(s_Irr!Y8+s_Irr!BW8)),IF(AND(s_Irr!Y8=".",s_Irr!AX8&lt;&gt;".",s_Irr!BW8&lt;&gt;"."),s_dir!AZ8/((1/1000)*(s_Irr!AX8+s_Irr!BW8)),IF(AND(s_Irr!Y8=".",s_Irr!AX8=".",s_Irr!BW8&lt;&gt;"."),s_dir!AZ8/((1/1000)*(s_Irr!BW8)),IF(AND(s_Irr!Y8=".",s_Irr!AX8&lt;&gt;".",s_Irr!BW8="."),s_dir!AZ8/((1/1000)*(s_Irr!AX8)),IF(AND(s_Irr!Y8&lt;&gt;".",s_Irr!AX8=".",s_Irr!BW8="."),s_dir!AZ8/((1/1000)*(s_Irr!Y8)),IF(AND(s_Irr!Y8=".",s_Irr!AX8=".",s_Irr!BW8="."),s_dir!AZ8*1000)))))))),".")</f>
        <v>14589.46954281455</v>
      </c>
      <c r="CA8" s="76">
        <f>IFERROR(IF(AND(s_Irr!Z8&lt;&gt;".",s_Irr!AY8&lt;&gt;".",s_Irr!BX8&lt;&gt;"."),s_dir!BA8/((1/1000)*(s_Irr!Z8+s_Irr!AY8+s_Irr!BX8)),IF(AND(s_Irr!Z8&lt;&gt;".",s_Irr!AY8&lt;&gt;".",s_Irr!BX8="."),s_dir!BA8/((1/1000)*(s_Irr!Z8+s_Irr!AY8)),IF(AND(s_Irr!Z8&lt;&gt;".",s_Irr!AY8=".",s_Irr!BX8&lt;&gt;"."),s_dir!BA8/((1/1000)*(s_Irr!Z8+s_Irr!BX8)),IF(AND(s_Irr!Z8=".",s_Irr!AY8&lt;&gt;".",s_Irr!BX8&lt;&gt;"."),s_dir!BA8/((1/1000)*(s_Irr!AY8+s_Irr!BX8)),IF(AND(s_Irr!Z8=".",s_Irr!AY8=".",s_Irr!BX8&lt;&gt;"."),s_dir!BA8/((1/1000)*(s_Irr!BX8)),IF(AND(s_Irr!Z8=".",s_Irr!AY8&lt;&gt;".",s_Irr!BX8="."),s_dir!BA8/((1/1000)*(s_Irr!AY8)),IF(AND(s_Irr!Z8&lt;&gt;".",s_Irr!AY8=".",s_Irr!BX8="."),s_dir!BA8/((1/1000)*(s_Irr!Z8)),IF(AND(s_Irr!Z8=".",s_Irr!AY8=".",s_Irr!BX8="."),s_dir!BA8*1000)))))))),".")</f>
        <v>14589.46954281455</v>
      </c>
      <c r="CB8" s="76">
        <f>IFERROR(IF(AND(s_Irr!AA8&lt;&gt;".",s_Irr!AZ8&lt;&gt;".",s_Irr!BY8&lt;&gt;"."),s_dir!BB8/((1/1000)*(s_Irr!AA8+s_Irr!AZ8+s_Irr!BY8)),IF(AND(s_Irr!AA8&lt;&gt;".",s_Irr!AZ8&lt;&gt;".",s_Irr!BY8="."),s_dir!BB8/((1/1000)*(s_Irr!AA8+s_Irr!AZ8)),IF(AND(s_Irr!AA8&lt;&gt;".",s_Irr!AZ8=".",s_Irr!BY8&lt;&gt;"."),s_dir!BB8/((1/1000)*(s_Irr!AA8+s_Irr!BY8)),IF(AND(s_Irr!AA8=".",s_Irr!AZ8&lt;&gt;".",s_Irr!BY8&lt;&gt;"."),s_dir!BB8/((1/1000)*(s_Irr!AZ8+s_Irr!BY8)),IF(AND(s_Irr!AA8=".",s_Irr!AZ8=".",s_Irr!BY8&lt;&gt;"."),s_dir!BB8/((1/1000)*(s_Irr!BY8)),IF(AND(s_Irr!AA8=".",s_Irr!AZ8&lt;&gt;".",s_Irr!BY8="."),s_dir!BB8/((1/1000)*(s_Irr!AZ8)),IF(AND(s_Irr!AA8&lt;&gt;".",s_Irr!AZ8=".",s_Irr!BY8="."),s_dir!BB8/((1/1000)*(s_Irr!AA8)),IF(AND(s_Irr!AA8=".",s_Irr!AZ8=".",s_Irr!BY8="."),s_dir!BB8*1000)))))))),".")</f>
        <v>14589.46954281455</v>
      </c>
      <c r="CC8" s="93">
        <f t="shared" si="2"/>
        <v>19097.962663471444</v>
      </c>
      <c r="CD8" s="93">
        <f>IFERROR(s_C*s_IFAP_far_adj*s_CF_apple*(1/1000)*(s_Irr!C8+s_Irr!AB8+s_Irr!BA8),".")</f>
        <v>4774.490665867861</v>
      </c>
      <c r="CE8" s="93">
        <f>IFERROR(s_C*s_IFAS_far_adj*s_CF_asparagus*(1/1000)*(s_Irr!D8+s_Irr!AC8+s_Irr!BB8),".")</f>
        <v>4774.490665867861</v>
      </c>
      <c r="CF8" s="93">
        <f>IFERROR(s_C*s_IFBT_far_adj*s_CF_beet*(1/1000)*(s_Irr!E8+s_Irr!AD8+s_Irr!BC8),".")</f>
        <v>4774.490665867861</v>
      </c>
      <c r="CG8" s="93">
        <f>IFERROR(s_C*s_IFBE_far_adj*s_CF_berries*(1/1000)*(s_Irr!F8+s_Irr!AE8+s_Irr!BD8),".")</f>
        <v>4774.490665867861</v>
      </c>
      <c r="CH8" s="93">
        <f>IFERROR(s_C*s_IFBR_far_adj*s_CF_broccoli*(1/1000)*(s_Irr!G8+s_Irr!AF8+s_Irr!BE8),".")</f>
        <v>4774.490665867861</v>
      </c>
      <c r="CI8" s="93">
        <f>IFERROR(s_C*s_IFCB_far_adj*s_CF_cabbage*(1/1000)*(s_Irr!H8+s_Irr!AG8+s_Irr!BF8),".")</f>
        <v>4774.490665867861</v>
      </c>
      <c r="CJ8" s="93">
        <f>IFERROR(s_C*s_IFCR_far_adj*s_CF_carrot*(1/1000)*(s_Irr!I8+s_Irr!AH8+s_Irr!BG8),".")</f>
        <v>4774.490665867861</v>
      </c>
      <c r="CK8" s="93">
        <f>IFERROR(s_C*s_IFCI_far_adj*s_CF_citrus*(1/1000)*(s_Irr!J8+s_Irr!AI8+s_Irr!BH8),".")</f>
        <v>4774.490665867861</v>
      </c>
      <c r="CL8" s="93">
        <f>IFERROR(s_C*s_IFCO_far_adj*s_CF_corn*(1/1000)*(s_Irr!K8+s_Irr!AJ8+s_Irr!BI8),".")</f>
        <v>4774.490665867861</v>
      </c>
      <c r="CM8" s="93">
        <f>IFERROR(s_C*s_IFCU_far_adj*s_CF_cucumber*(1/1000)*(s_Irr!L8+s_Irr!AK8+s_Irr!BJ8),".")</f>
        <v>4774.490665867861</v>
      </c>
      <c r="CN8" s="93">
        <f>IFERROR(s_C*s_IFLE_far_adj*s_CF_lettuce*(1/1000)*(s_Irr!M8+s_Irr!AL8+s_Irr!BK8),".")</f>
        <v>4774.490665867861</v>
      </c>
      <c r="CO8" s="93">
        <f>IFERROR(s_C*s_IFLI_far_adj*s_CF_lima_bean*(1/1000)*(s_Irr!N8+s_Irr!AM8+s_Irr!BL8),".")</f>
        <v>4774.490665867861</v>
      </c>
      <c r="CP8" s="93">
        <f>IFERROR(s_C*s_IFOK_far_adj*s_CF_okra*(1/1000)*(s_Irr!O8+s_Irr!AN8+s_Irr!BM8),".")</f>
        <v>4774.490665867861</v>
      </c>
      <c r="CQ8" s="93">
        <f>IFERROR(s_C*s_IFON_far_adj*s_CF_onion*(1/1000)*(s_Irr!P8+s_Irr!AO8+s_Irr!BN8),".")</f>
        <v>4774.490665867861</v>
      </c>
      <c r="CR8" s="93">
        <f>IFERROR(s_C*s_IFPC_far_adj*s_CF_peach*(1/1000)*(s_Irr!Q8+s_Irr!AP8+s_Irr!BO8),".")</f>
        <v>4774.490665867861</v>
      </c>
      <c r="CS8" s="93">
        <f>IFERROR(s_C*s_IFPR_far_adj*s_CF_pear*(1/1000)*(s_Irr!R8+s_Irr!AQ8+s_Irr!BP8),".")</f>
        <v>4774.490665867861</v>
      </c>
      <c r="CT8" s="93">
        <f>IFERROR(s_C*s_IFPE_far_adj*s_CF_peas*(1/1000)*(s_Irr!S8+s_Irr!AR8+s_Irr!BQ8),".")</f>
        <v>4774.490665867861</v>
      </c>
      <c r="CU8" s="93">
        <f>IFERROR(s_C*s_IFPP_far_adj*s_CF_peppers*(1/1000)*(s_Irr!T8+s_Irr!AS8+s_Irr!BR8),".")</f>
        <v>4774.490665867861</v>
      </c>
      <c r="CV8" s="93">
        <f>IFERROR(s_C*s_IFPT_far_adj*s_CF_potato*(1/1000)*(s_Irr!U8+s_Irr!AT8+s_Irr!BS8),".")</f>
        <v>4774.490665867861</v>
      </c>
      <c r="CW8" s="93">
        <f>IFERROR(s_C*s_IFPU_far_adj*s_CF_pumpkin*(1/1000)*(s_Irr!V8+s_Irr!AU8+s_Irr!BT8),".")</f>
        <v>4774.490665867861</v>
      </c>
      <c r="CX8" s="93">
        <f>IFERROR(s_C*s_IFSN_far_adj*s_CF_snap_bean*(1/1000)*(s_Irr!W8+s_Irr!AV8+s_Irr!BU8),".")</f>
        <v>4774.490665867861</v>
      </c>
      <c r="CY8" s="93">
        <f>IFERROR(s_C*s_IFST_far_adj*s_CF_strawberry*(1/1000)*(s_Irr!X8+s_Irr!AW8+s_Irr!BV8),".")</f>
        <v>4774.490665867861</v>
      </c>
      <c r="CZ8" s="93">
        <f>IFERROR(s_C*s_IFTO_far_adj*s_CF_tomato*(1/1000)*(s_Irr!Y8+s_Irr!AX8+s_Irr!BW8),".")</f>
        <v>4774.490665867861</v>
      </c>
      <c r="DA8" s="93">
        <f>IFERROR(s_C*s_IFRI_far_adj*s_CF_rice*(1/1000)*(s_Irr!Z8+s_Irr!AY8+s_Irr!BX8),".")</f>
        <v>4774.490665867861</v>
      </c>
      <c r="DB8" s="93">
        <f>IFERROR(s_C*s_IFCG_far_adj*s_CF_cereal*(1/1000)*(s_Irr!AA8+s_Irr!AZ8+s_Irr!BY8),".")</f>
        <v>4774.490665867861</v>
      </c>
    </row>
    <row r="9" spans="1:106" ht="15" customHeight="1" x14ac:dyDescent="0.25">
      <c r="A9" s="92" t="s">
        <v>19</v>
      </c>
      <c r="B9" s="90" t="s">
        <v>1071</v>
      </c>
      <c r="C9" s="15">
        <f t="shared" si="3"/>
        <v>9868.7485749861298</v>
      </c>
      <c r="D9" s="76">
        <f>IFERROR(IF(AND(s_Irr!C9&lt;&gt;".",s_Irr!AB9&lt;&gt;".",s_Irr!BA9&lt;&gt;"."),s_dir!D9/((1/1000)*(s_Irr!C9+s_Irr!AB9+s_Irr!BA9)),IF(AND(s_Irr!C9&lt;&gt;".",s_Irr!AB9&lt;&gt;".",s_Irr!BA9="."),s_dir!D9/((1/1000)*(s_Irr!C9+s_Irr!AB9)),IF(AND(s_Irr!C9&lt;&gt;".",s_Irr!AB9=".",s_Irr!BA9&lt;&gt;"."),s_dir!D9/((1/1000)*(s_Irr!C9+s_Irr!BA9)),IF(AND(s_Irr!C9=".",s_Irr!AB9&lt;&gt;".",s_Irr!BA9&lt;&gt;"."),s_dir!D9/((1/1000)*(s_Irr!AB9+s_Irr!BA9)),IF(AND(s_Irr!C9=".",s_Irr!AB9=".",s_Irr!BA9&lt;&gt;"."),s_dir!D9/((1/1000)*(s_Irr!BA9)),IF(AND(s_Irr!C9=".",s_Irr!AB9&lt;&gt;".",s_Irr!BA9="."),s_dir!D9/((1/1000)*(s_Irr!AB9)),IF(AND(s_Irr!C9&lt;&gt;".",s_Irr!AB9=".",s_Irr!BA9="."),s_dir!D9/((1/1000)*(s_Irr!C9)),IF(AND(s_Irr!C9=".",s_Irr!AB9=".",s_Irr!BA9="."),s_dir!D9*1000)))))))),".")</f>
        <v>39474.994299944519</v>
      </c>
      <c r="E9" s="76">
        <f>IFERROR(IF(AND(s_Irr!D9&lt;&gt;".",s_Irr!AC9&lt;&gt;".",s_Irr!BB9&lt;&gt;"."),s_dir!E9/((1/1000)*(s_Irr!D9+s_Irr!AC9+s_Irr!BB9)),IF(AND(s_Irr!D9&lt;&gt;".",s_Irr!AC9&lt;&gt;".",s_Irr!BB9="."),s_dir!E9/((1/1000)*(s_Irr!D9+s_Irr!AC9)),IF(AND(s_Irr!D9&lt;&gt;".",s_Irr!AC9=".",s_Irr!BB9&lt;&gt;"."),s_dir!E9/((1/1000)*(s_Irr!D9+s_Irr!BB9)),IF(AND(s_Irr!D9=".",s_Irr!AC9&lt;&gt;".",s_Irr!BB9&lt;&gt;"."),s_dir!E9/((1/1000)*(s_Irr!AC9+s_Irr!BB9)),IF(AND(s_Irr!D9=".",s_Irr!AC9=".",s_Irr!BB9&lt;&gt;"."),s_dir!E9/((1/1000)*(s_Irr!BB9)),IF(AND(s_Irr!D9=".",s_Irr!AC9&lt;&gt;".",s_Irr!BB9="."),s_dir!E9/((1/1000)*(s_Irr!AC9)),IF(AND(s_Irr!D9&lt;&gt;".",s_Irr!AC9=".",s_Irr!BB9="."),s_dir!E9/((1/1000)*(s_Irr!D9)),IF(AND(s_Irr!D9=".",s_Irr!AC9=".",s_Irr!BB9="."),s_dir!E9*1000)))))))),".")</f>
        <v>39474.994299944519</v>
      </c>
      <c r="F9" s="76">
        <f>IFERROR(IF(AND(s_Irr!E9&lt;&gt;".",s_Irr!AD9&lt;&gt;".",s_Irr!BC9&lt;&gt;"."),s_dir!F9/((1/1000)*(s_Irr!E9+s_Irr!AD9+s_Irr!BC9)),IF(AND(s_Irr!E9&lt;&gt;".",s_Irr!AD9&lt;&gt;".",s_Irr!BC9="."),s_dir!F9/((1/1000)*(s_Irr!E9+s_Irr!AD9)),IF(AND(s_Irr!E9&lt;&gt;".",s_Irr!AD9=".",s_Irr!BC9&lt;&gt;"."),s_dir!F9/((1/1000)*(s_Irr!E9+s_Irr!BC9)),IF(AND(s_Irr!E9=".",s_Irr!AD9&lt;&gt;".",s_Irr!BC9&lt;&gt;"."),s_dir!F9/((1/1000)*(s_Irr!AD9+s_Irr!BC9)),IF(AND(s_Irr!E9=".",s_Irr!AD9=".",s_Irr!BC9&lt;&gt;"."),s_dir!F9/((1/1000)*(s_Irr!BC9)),IF(AND(s_Irr!E9=".",s_Irr!AD9&lt;&gt;".",s_Irr!BC9="."),s_dir!F9/((1/1000)*(s_Irr!AD9)),IF(AND(s_Irr!E9&lt;&gt;".",s_Irr!AD9=".",s_Irr!BC9="."),s_dir!F9/((1/1000)*(s_Irr!E9)),IF(AND(s_Irr!E9=".",s_Irr!AD9=".",s_Irr!BC9="."),s_dir!F9*1000)))))))),".")</f>
        <v>39474.994299944519</v>
      </c>
      <c r="G9" s="76">
        <f>IFERROR(IF(AND(s_Irr!F9&lt;&gt;".",s_Irr!AE9&lt;&gt;".",s_Irr!BD9&lt;&gt;"."),s_dir!G9/((1/1000)*(s_Irr!F9+s_Irr!AE9+s_Irr!BD9)),IF(AND(s_Irr!F9&lt;&gt;".",s_Irr!AE9&lt;&gt;".",s_Irr!BD9="."),s_dir!G9/((1/1000)*(s_Irr!F9+s_Irr!AE9)),IF(AND(s_Irr!F9&lt;&gt;".",s_Irr!AE9=".",s_Irr!BD9&lt;&gt;"."),s_dir!G9/((1/1000)*(s_Irr!F9+s_Irr!BD9)),IF(AND(s_Irr!F9=".",s_Irr!AE9&lt;&gt;".",s_Irr!BD9&lt;&gt;"."),s_dir!G9/((1/1000)*(s_Irr!AE9+s_Irr!BD9)),IF(AND(s_Irr!F9=".",s_Irr!AE9=".",s_Irr!BD9&lt;&gt;"."),s_dir!G9/((1/1000)*(s_Irr!BD9)),IF(AND(s_Irr!F9=".",s_Irr!AE9&lt;&gt;".",s_Irr!BD9="."),s_dir!G9/((1/1000)*(s_Irr!AE9)),IF(AND(s_Irr!F9&lt;&gt;".",s_Irr!AE9=".",s_Irr!BD9="."),s_dir!G9/((1/1000)*(s_Irr!F9)),IF(AND(s_Irr!F9=".",s_Irr!AE9=".",s_Irr!BD9="."),s_dir!G9*1000)))))))),".")</f>
        <v>39474.994299944519</v>
      </c>
      <c r="H9" s="76">
        <f>IFERROR(IF(AND(s_Irr!G9&lt;&gt;".",s_Irr!AF9&lt;&gt;".",s_Irr!BE9&lt;&gt;"."),s_dir!H9/((1/1000)*(s_Irr!G9+s_Irr!AF9+s_Irr!BE9)),IF(AND(s_Irr!G9&lt;&gt;".",s_Irr!AF9&lt;&gt;".",s_Irr!BE9="."),s_dir!H9/((1/1000)*(s_Irr!G9+s_Irr!AF9)),IF(AND(s_Irr!G9&lt;&gt;".",s_Irr!AF9=".",s_Irr!BE9&lt;&gt;"."),s_dir!H9/((1/1000)*(s_Irr!G9+s_Irr!BE9)),IF(AND(s_Irr!G9=".",s_Irr!AF9&lt;&gt;".",s_Irr!BE9&lt;&gt;"."),s_dir!H9/((1/1000)*(s_Irr!AF9+s_Irr!BE9)),IF(AND(s_Irr!G9=".",s_Irr!AF9=".",s_Irr!BE9&lt;&gt;"."),s_dir!H9/((1/1000)*(s_Irr!BE9)),IF(AND(s_Irr!G9=".",s_Irr!AF9&lt;&gt;".",s_Irr!BE9="."),s_dir!H9/((1/1000)*(s_Irr!AF9)),IF(AND(s_Irr!G9&lt;&gt;".",s_Irr!AF9=".",s_Irr!BE9="."),s_dir!H9/((1/1000)*(s_Irr!G9)),IF(AND(s_Irr!G9=".",s_Irr!AF9=".",s_Irr!BE9="."),s_dir!H9*1000)))))))),".")</f>
        <v>39474.994299944519</v>
      </c>
      <c r="I9" s="76">
        <f>IFERROR(IF(AND(s_Irr!H9&lt;&gt;".",s_Irr!AG9&lt;&gt;".",s_Irr!BF9&lt;&gt;"."),s_dir!I9/((1/1000)*(s_Irr!H9+s_Irr!AG9+s_Irr!BF9)),IF(AND(s_Irr!H9&lt;&gt;".",s_Irr!AG9&lt;&gt;".",s_Irr!BF9="."),s_dir!I9/((1/1000)*(s_Irr!H9+s_Irr!AG9)),IF(AND(s_Irr!H9&lt;&gt;".",s_Irr!AG9=".",s_Irr!BF9&lt;&gt;"."),s_dir!I9/((1/1000)*(s_Irr!H9+s_Irr!BF9)),IF(AND(s_Irr!H9=".",s_Irr!AG9&lt;&gt;".",s_Irr!BF9&lt;&gt;"."),s_dir!I9/((1/1000)*(s_Irr!AG9+s_Irr!BF9)),IF(AND(s_Irr!H9=".",s_Irr!AG9=".",s_Irr!BF9&lt;&gt;"."),s_dir!I9/((1/1000)*(s_Irr!BF9)),IF(AND(s_Irr!H9=".",s_Irr!AG9&lt;&gt;".",s_Irr!BF9="."),s_dir!I9/((1/1000)*(s_Irr!AG9)),IF(AND(s_Irr!H9&lt;&gt;".",s_Irr!AG9=".",s_Irr!BF9="."),s_dir!I9/((1/1000)*(s_Irr!H9)),IF(AND(s_Irr!H9=".",s_Irr!AG9=".",s_Irr!BF9="."),s_dir!I9*1000)))))))),".")</f>
        <v>39474.994299944519</v>
      </c>
      <c r="J9" s="76">
        <f>IFERROR(IF(AND(s_Irr!I9&lt;&gt;".",s_Irr!AH9&lt;&gt;".",s_Irr!BG9&lt;&gt;"."),s_dir!J9/((1/1000)*(s_Irr!I9+s_Irr!AH9+s_Irr!BG9)),IF(AND(s_Irr!I9&lt;&gt;".",s_Irr!AH9&lt;&gt;".",s_Irr!BG9="."),s_dir!J9/((1/1000)*(s_Irr!I9+s_Irr!AH9)),IF(AND(s_Irr!I9&lt;&gt;".",s_Irr!AH9=".",s_Irr!BG9&lt;&gt;"."),s_dir!J9/((1/1000)*(s_Irr!I9+s_Irr!BG9)),IF(AND(s_Irr!I9=".",s_Irr!AH9&lt;&gt;".",s_Irr!BG9&lt;&gt;"."),s_dir!J9/((1/1000)*(s_Irr!AH9+s_Irr!BG9)),IF(AND(s_Irr!I9=".",s_Irr!AH9=".",s_Irr!BG9&lt;&gt;"."),s_dir!J9/((1/1000)*(s_Irr!BG9)),IF(AND(s_Irr!I9=".",s_Irr!AH9&lt;&gt;".",s_Irr!BG9="."),s_dir!J9/((1/1000)*(s_Irr!AH9)),IF(AND(s_Irr!I9&lt;&gt;".",s_Irr!AH9=".",s_Irr!BG9="."),s_dir!J9/((1/1000)*(s_Irr!I9)),IF(AND(s_Irr!I9=".",s_Irr!AH9=".",s_Irr!BG9="."),s_dir!J9*1000)))))))),".")</f>
        <v>39474.994299944519</v>
      </c>
      <c r="K9" s="76">
        <f>IFERROR(IF(AND(s_Irr!J9&lt;&gt;".",s_Irr!AI9&lt;&gt;".",s_Irr!BH9&lt;&gt;"."),s_dir!K9/((1/1000)*(s_Irr!J9+s_Irr!AI9+s_Irr!BH9)),IF(AND(s_Irr!J9&lt;&gt;".",s_Irr!AI9&lt;&gt;".",s_Irr!BH9="."),s_dir!K9/((1/1000)*(s_Irr!J9+s_Irr!AI9)),IF(AND(s_Irr!J9&lt;&gt;".",s_Irr!AI9=".",s_Irr!BH9&lt;&gt;"."),s_dir!K9/((1/1000)*(s_Irr!J9+s_Irr!BH9)),IF(AND(s_Irr!J9=".",s_Irr!AI9&lt;&gt;".",s_Irr!BH9&lt;&gt;"."),s_dir!K9/((1/1000)*(s_Irr!AI9+s_Irr!BH9)),IF(AND(s_Irr!J9=".",s_Irr!AI9=".",s_Irr!BH9&lt;&gt;"."),s_dir!K9/((1/1000)*(s_Irr!BH9)),IF(AND(s_Irr!J9=".",s_Irr!AI9&lt;&gt;".",s_Irr!BH9="."),s_dir!K9/((1/1000)*(s_Irr!AI9)),IF(AND(s_Irr!J9&lt;&gt;".",s_Irr!AI9=".",s_Irr!BH9="."),s_dir!K9/((1/1000)*(s_Irr!J9)),IF(AND(s_Irr!J9=".",s_Irr!AI9=".",s_Irr!BH9="."),s_dir!K9*1000)))))))),".")</f>
        <v>39474.994299944519</v>
      </c>
      <c r="L9" s="76">
        <f>IFERROR(IF(AND(s_Irr!K9&lt;&gt;".",s_Irr!AJ9&lt;&gt;".",s_Irr!BI9&lt;&gt;"."),s_dir!L9/((1/1000)*(s_Irr!K9+s_Irr!AJ9+s_Irr!BI9)),IF(AND(s_Irr!K9&lt;&gt;".",s_Irr!AJ9&lt;&gt;".",s_Irr!BI9="."),s_dir!L9/((1/1000)*(s_Irr!K9+s_Irr!AJ9)),IF(AND(s_Irr!K9&lt;&gt;".",s_Irr!AJ9=".",s_Irr!BI9&lt;&gt;"."),s_dir!L9/((1/1000)*(s_Irr!K9+s_Irr!BI9)),IF(AND(s_Irr!K9=".",s_Irr!AJ9&lt;&gt;".",s_Irr!BI9&lt;&gt;"."),s_dir!L9/((1/1000)*(s_Irr!AJ9+s_Irr!BI9)),IF(AND(s_Irr!K9=".",s_Irr!AJ9=".",s_Irr!BI9&lt;&gt;"."),s_dir!L9/((1/1000)*(s_Irr!BI9)),IF(AND(s_Irr!K9=".",s_Irr!AJ9&lt;&gt;".",s_Irr!BI9="."),s_dir!L9/((1/1000)*(s_Irr!AJ9)),IF(AND(s_Irr!K9&lt;&gt;".",s_Irr!AJ9=".",s_Irr!BI9="."),s_dir!L9/((1/1000)*(s_Irr!K9)),IF(AND(s_Irr!K9=".",s_Irr!AJ9=".",s_Irr!BI9="."),s_dir!L9*1000)))))))),".")</f>
        <v>39474.994299944519</v>
      </c>
      <c r="M9" s="76">
        <f>IFERROR(IF(AND(s_Irr!L9&lt;&gt;".",s_Irr!AK9&lt;&gt;".",s_Irr!BJ9&lt;&gt;"."),s_dir!M9/((1/1000)*(s_Irr!L9+s_Irr!AK9+s_Irr!BJ9)),IF(AND(s_Irr!L9&lt;&gt;".",s_Irr!AK9&lt;&gt;".",s_Irr!BJ9="."),s_dir!M9/((1/1000)*(s_Irr!L9+s_Irr!AK9)),IF(AND(s_Irr!L9&lt;&gt;".",s_Irr!AK9=".",s_Irr!BJ9&lt;&gt;"."),s_dir!M9/((1/1000)*(s_Irr!L9+s_Irr!BJ9)),IF(AND(s_Irr!L9=".",s_Irr!AK9&lt;&gt;".",s_Irr!BJ9&lt;&gt;"."),s_dir!M9/((1/1000)*(s_Irr!AK9+s_Irr!BJ9)),IF(AND(s_Irr!L9=".",s_Irr!AK9=".",s_Irr!BJ9&lt;&gt;"."),s_dir!M9/((1/1000)*(s_Irr!BJ9)),IF(AND(s_Irr!L9=".",s_Irr!AK9&lt;&gt;".",s_Irr!BJ9="."),s_dir!M9/((1/1000)*(s_Irr!AK9)),IF(AND(s_Irr!L9&lt;&gt;".",s_Irr!AK9=".",s_Irr!BJ9="."),s_dir!M9/((1/1000)*(s_Irr!L9)),IF(AND(s_Irr!L9=".",s_Irr!AK9=".",s_Irr!BJ9="."),s_dir!M9*1000)))))))),".")</f>
        <v>39474.994299944519</v>
      </c>
      <c r="N9" s="76">
        <f>IFERROR(IF(AND(s_Irr!M9&lt;&gt;".",s_Irr!AL9&lt;&gt;".",s_Irr!BK9&lt;&gt;"."),s_dir!N9/((1/1000)*(s_Irr!M9+s_Irr!AL9+s_Irr!BK9)),IF(AND(s_Irr!M9&lt;&gt;".",s_Irr!AL9&lt;&gt;".",s_Irr!BK9="."),s_dir!N9/((1/1000)*(s_Irr!M9+s_Irr!AL9)),IF(AND(s_Irr!M9&lt;&gt;".",s_Irr!AL9=".",s_Irr!BK9&lt;&gt;"."),s_dir!N9/((1/1000)*(s_Irr!M9+s_Irr!BK9)),IF(AND(s_Irr!M9=".",s_Irr!AL9&lt;&gt;".",s_Irr!BK9&lt;&gt;"."),s_dir!N9/((1/1000)*(s_Irr!AL9+s_Irr!BK9)),IF(AND(s_Irr!M9=".",s_Irr!AL9=".",s_Irr!BK9&lt;&gt;"."),s_dir!N9/((1/1000)*(s_Irr!BK9)),IF(AND(s_Irr!M9=".",s_Irr!AL9&lt;&gt;".",s_Irr!BK9="."),s_dir!N9/((1/1000)*(s_Irr!AL9)),IF(AND(s_Irr!M9&lt;&gt;".",s_Irr!AL9=".",s_Irr!BK9="."),s_dir!N9/((1/1000)*(s_Irr!M9)),IF(AND(s_Irr!M9=".",s_Irr!AL9=".",s_Irr!BK9="."),s_dir!N9*1000)))))))),".")</f>
        <v>39474.994299944519</v>
      </c>
      <c r="O9" s="76">
        <f>IFERROR(IF(AND(s_Irr!N9&lt;&gt;".",s_Irr!AM9&lt;&gt;".",s_Irr!BL9&lt;&gt;"."),s_dir!O9/((1/1000)*(s_Irr!N9+s_Irr!AM9+s_Irr!BL9)),IF(AND(s_Irr!N9&lt;&gt;".",s_Irr!AM9&lt;&gt;".",s_Irr!BL9="."),s_dir!O9/((1/1000)*(s_Irr!N9+s_Irr!AM9)),IF(AND(s_Irr!N9&lt;&gt;".",s_Irr!AM9=".",s_Irr!BL9&lt;&gt;"."),s_dir!O9/((1/1000)*(s_Irr!N9+s_Irr!BL9)),IF(AND(s_Irr!N9=".",s_Irr!AM9&lt;&gt;".",s_Irr!BL9&lt;&gt;"."),s_dir!O9/((1/1000)*(s_Irr!AM9+s_Irr!BL9)),IF(AND(s_Irr!N9=".",s_Irr!AM9=".",s_Irr!BL9&lt;&gt;"."),s_dir!O9/((1/1000)*(s_Irr!BL9)),IF(AND(s_Irr!N9=".",s_Irr!AM9&lt;&gt;".",s_Irr!BL9="."),s_dir!O9/((1/1000)*(s_Irr!AM9)),IF(AND(s_Irr!N9&lt;&gt;".",s_Irr!AM9=".",s_Irr!BL9="."),s_dir!O9/((1/1000)*(s_Irr!N9)),IF(AND(s_Irr!N9=".",s_Irr!AM9=".",s_Irr!BL9="."),s_dir!O9*1000)))))))),".")</f>
        <v>39474.994299944519</v>
      </c>
      <c r="P9" s="76">
        <f>IFERROR(IF(AND(s_Irr!O9&lt;&gt;".",s_Irr!AN9&lt;&gt;".",s_Irr!BM9&lt;&gt;"."),s_dir!P9/((1/1000)*(s_Irr!O9+s_Irr!AN9+s_Irr!BM9)),IF(AND(s_Irr!O9&lt;&gt;".",s_Irr!AN9&lt;&gt;".",s_Irr!BM9="."),s_dir!P9/((1/1000)*(s_Irr!O9+s_Irr!AN9)),IF(AND(s_Irr!O9&lt;&gt;".",s_Irr!AN9=".",s_Irr!BM9&lt;&gt;"."),s_dir!P9/((1/1000)*(s_Irr!O9+s_Irr!BM9)),IF(AND(s_Irr!O9=".",s_Irr!AN9&lt;&gt;".",s_Irr!BM9&lt;&gt;"."),s_dir!P9/((1/1000)*(s_Irr!AN9+s_Irr!BM9)),IF(AND(s_Irr!O9=".",s_Irr!AN9=".",s_Irr!BM9&lt;&gt;"."),s_dir!P9/((1/1000)*(s_Irr!BM9)),IF(AND(s_Irr!O9=".",s_Irr!AN9&lt;&gt;".",s_Irr!BM9="."),s_dir!P9/((1/1000)*(s_Irr!AN9)),IF(AND(s_Irr!O9&lt;&gt;".",s_Irr!AN9=".",s_Irr!BM9="."),s_dir!P9/((1/1000)*(s_Irr!O9)),IF(AND(s_Irr!O9=".",s_Irr!AN9=".",s_Irr!BM9="."),s_dir!P9*1000)))))))),".")</f>
        <v>39474.994299944519</v>
      </c>
      <c r="Q9" s="76">
        <f>IFERROR(IF(AND(s_Irr!P9&lt;&gt;".",s_Irr!AO9&lt;&gt;".",s_Irr!BN9&lt;&gt;"."),s_dir!Q9/((1/1000)*(s_Irr!P9+s_Irr!AO9+s_Irr!BN9)),IF(AND(s_Irr!P9&lt;&gt;".",s_Irr!AO9&lt;&gt;".",s_Irr!BN9="."),s_dir!Q9/((1/1000)*(s_Irr!P9+s_Irr!AO9)),IF(AND(s_Irr!P9&lt;&gt;".",s_Irr!AO9=".",s_Irr!BN9&lt;&gt;"."),s_dir!Q9/((1/1000)*(s_Irr!P9+s_Irr!BN9)),IF(AND(s_Irr!P9=".",s_Irr!AO9&lt;&gt;".",s_Irr!BN9&lt;&gt;"."),s_dir!Q9/((1/1000)*(s_Irr!AO9+s_Irr!BN9)),IF(AND(s_Irr!P9=".",s_Irr!AO9=".",s_Irr!BN9&lt;&gt;"."),s_dir!Q9/((1/1000)*(s_Irr!BN9)),IF(AND(s_Irr!P9=".",s_Irr!AO9&lt;&gt;".",s_Irr!BN9="."),s_dir!Q9/((1/1000)*(s_Irr!AO9)),IF(AND(s_Irr!P9&lt;&gt;".",s_Irr!AO9=".",s_Irr!BN9="."),s_dir!Q9/((1/1000)*(s_Irr!P9)),IF(AND(s_Irr!P9=".",s_Irr!AO9=".",s_Irr!BN9="."),s_dir!Q9*1000)))))))),".")</f>
        <v>39474.994299944519</v>
      </c>
      <c r="R9" s="76">
        <f>IFERROR(IF(AND(s_Irr!Q9&lt;&gt;".",s_Irr!AP9&lt;&gt;".",s_Irr!BO9&lt;&gt;"."),s_dir!R9/((1/1000)*(s_Irr!Q9+s_Irr!AP9+s_Irr!BO9)),IF(AND(s_Irr!Q9&lt;&gt;".",s_Irr!AP9&lt;&gt;".",s_Irr!BO9="."),s_dir!R9/((1/1000)*(s_Irr!Q9+s_Irr!AP9)),IF(AND(s_Irr!Q9&lt;&gt;".",s_Irr!AP9=".",s_Irr!BO9&lt;&gt;"."),s_dir!R9/((1/1000)*(s_Irr!Q9+s_Irr!BO9)),IF(AND(s_Irr!Q9=".",s_Irr!AP9&lt;&gt;".",s_Irr!BO9&lt;&gt;"."),s_dir!R9/((1/1000)*(s_Irr!AP9+s_Irr!BO9)),IF(AND(s_Irr!Q9=".",s_Irr!AP9=".",s_Irr!BO9&lt;&gt;"."),s_dir!R9/((1/1000)*(s_Irr!BO9)),IF(AND(s_Irr!Q9=".",s_Irr!AP9&lt;&gt;".",s_Irr!BO9="."),s_dir!R9/((1/1000)*(s_Irr!AP9)),IF(AND(s_Irr!Q9&lt;&gt;".",s_Irr!AP9=".",s_Irr!BO9="."),s_dir!R9/((1/1000)*(s_Irr!Q9)),IF(AND(s_Irr!Q9=".",s_Irr!AP9=".",s_Irr!BO9="."),s_dir!R9*1000)))))))),".")</f>
        <v>39474.994299944519</v>
      </c>
      <c r="S9" s="76">
        <f>IFERROR(IF(AND(s_Irr!R9&lt;&gt;".",s_Irr!AQ9&lt;&gt;".",s_Irr!BP9&lt;&gt;"."),s_dir!S9/((1/1000)*(s_Irr!R9+s_Irr!AQ9+s_Irr!BP9)),IF(AND(s_Irr!R9&lt;&gt;".",s_Irr!AQ9&lt;&gt;".",s_Irr!BP9="."),s_dir!S9/((1/1000)*(s_Irr!R9+s_Irr!AQ9)),IF(AND(s_Irr!R9&lt;&gt;".",s_Irr!AQ9=".",s_Irr!BP9&lt;&gt;"."),s_dir!S9/((1/1000)*(s_Irr!R9+s_Irr!BP9)),IF(AND(s_Irr!R9=".",s_Irr!AQ9&lt;&gt;".",s_Irr!BP9&lt;&gt;"."),s_dir!S9/((1/1000)*(s_Irr!AQ9+s_Irr!BP9)),IF(AND(s_Irr!R9=".",s_Irr!AQ9=".",s_Irr!BP9&lt;&gt;"."),s_dir!S9/((1/1000)*(s_Irr!BP9)),IF(AND(s_Irr!R9=".",s_Irr!AQ9&lt;&gt;".",s_Irr!BP9="."),s_dir!S9/((1/1000)*(s_Irr!AQ9)),IF(AND(s_Irr!R9&lt;&gt;".",s_Irr!AQ9=".",s_Irr!BP9="."),s_dir!S9/((1/1000)*(s_Irr!R9)),IF(AND(s_Irr!R9=".",s_Irr!AQ9=".",s_Irr!BP9="."),s_dir!S9*1000)))))))),".")</f>
        <v>39474.994299944519</v>
      </c>
      <c r="T9" s="76">
        <f>IFERROR(IF(AND(s_Irr!S9&lt;&gt;".",s_Irr!AR9&lt;&gt;".",s_Irr!BQ9&lt;&gt;"."),s_dir!T9/((1/1000)*(s_Irr!S9+s_Irr!AR9+s_Irr!BQ9)),IF(AND(s_Irr!S9&lt;&gt;".",s_Irr!AR9&lt;&gt;".",s_Irr!BQ9="."),s_dir!T9/((1/1000)*(s_Irr!S9+s_Irr!AR9)),IF(AND(s_Irr!S9&lt;&gt;".",s_Irr!AR9=".",s_Irr!BQ9&lt;&gt;"."),s_dir!T9/((1/1000)*(s_Irr!S9+s_Irr!BQ9)),IF(AND(s_Irr!S9=".",s_Irr!AR9&lt;&gt;".",s_Irr!BQ9&lt;&gt;"."),s_dir!T9/((1/1000)*(s_Irr!AR9+s_Irr!BQ9)),IF(AND(s_Irr!S9=".",s_Irr!AR9=".",s_Irr!BQ9&lt;&gt;"."),s_dir!T9/((1/1000)*(s_Irr!BQ9)),IF(AND(s_Irr!S9=".",s_Irr!AR9&lt;&gt;".",s_Irr!BQ9="."),s_dir!T9/((1/1000)*(s_Irr!AR9)),IF(AND(s_Irr!S9&lt;&gt;".",s_Irr!AR9=".",s_Irr!BQ9="."),s_dir!T9/((1/1000)*(s_Irr!S9)),IF(AND(s_Irr!S9=".",s_Irr!AR9=".",s_Irr!BQ9="."),s_dir!T9*1000)))))))),".")</f>
        <v>39474.994299944519</v>
      </c>
      <c r="U9" s="76">
        <f>IFERROR(IF(AND(s_Irr!T9&lt;&gt;".",s_Irr!AS9&lt;&gt;".",s_Irr!BR9&lt;&gt;"."),s_dir!U9/((1/1000)*(s_Irr!T9+s_Irr!AS9+s_Irr!BR9)),IF(AND(s_Irr!T9&lt;&gt;".",s_Irr!AS9&lt;&gt;".",s_Irr!BR9="."),s_dir!U9/((1/1000)*(s_Irr!T9+s_Irr!AS9)),IF(AND(s_Irr!T9&lt;&gt;".",s_Irr!AS9=".",s_Irr!BR9&lt;&gt;"."),s_dir!U9/((1/1000)*(s_Irr!T9+s_Irr!BR9)),IF(AND(s_Irr!T9=".",s_Irr!AS9&lt;&gt;".",s_Irr!BR9&lt;&gt;"."),s_dir!U9/((1/1000)*(s_Irr!AS9+s_Irr!BR9)),IF(AND(s_Irr!T9=".",s_Irr!AS9=".",s_Irr!BR9&lt;&gt;"."),s_dir!U9/((1/1000)*(s_Irr!BR9)),IF(AND(s_Irr!T9=".",s_Irr!AS9&lt;&gt;".",s_Irr!BR9="."),s_dir!U9/((1/1000)*(s_Irr!AS9)),IF(AND(s_Irr!T9&lt;&gt;".",s_Irr!AS9=".",s_Irr!BR9="."),s_dir!U9/((1/1000)*(s_Irr!T9)),IF(AND(s_Irr!T9=".",s_Irr!AS9=".",s_Irr!BR9="."),s_dir!U9*1000)))))))),".")</f>
        <v>39474.994299944519</v>
      </c>
      <c r="V9" s="76">
        <f>IFERROR(IF(AND(s_Irr!U9&lt;&gt;".",s_Irr!AT9&lt;&gt;".",s_Irr!BS9&lt;&gt;"."),s_dir!V9/((1/1000)*(s_Irr!U9+s_Irr!AT9+s_Irr!BS9)),IF(AND(s_Irr!U9&lt;&gt;".",s_Irr!AT9&lt;&gt;".",s_Irr!BS9="."),s_dir!V9/((1/1000)*(s_Irr!U9+s_Irr!AT9)),IF(AND(s_Irr!U9&lt;&gt;".",s_Irr!AT9=".",s_Irr!BS9&lt;&gt;"."),s_dir!V9/((1/1000)*(s_Irr!U9+s_Irr!BS9)),IF(AND(s_Irr!U9=".",s_Irr!AT9&lt;&gt;".",s_Irr!BS9&lt;&gt;"."),s_dir!V9/((1/1000)*(s_Irr!AT9+s_Irr!BS9)),IF(AND(s_Irr!U9=".",s_Irr!AT9=".",s_Irr!BS9&lt;&gt;"."),s_dir!V9/((1/1000)*(s_Irr!BS9)),IF(AND(s_Irr!U9=".",s_Irr!AT9&lt;&gt;".",s_Irr!BS9="."),s_dir!V9/((1/1000)*(s_Irr!AT9)),IF(AND(s_Irr!U9&lt;&gt;".",s_Irr!AT9=".",s_Irr!BS9="."),s_dir!V9/((1/1000)*(s_Irr!U9)),IF(AND(s_Irr!U9=".",s_Irr!AT9=".",s_Irr!BS9="."),s_dir!V9*1000)))))))),".")</f>
        <v>39474.994299944519</v>
      </c>
      <c r="W9" s="76">
        <f>IFERROR(IF(AND(s_Irr!V9&lt;&gt;".",s_Irr!AU9&lt;&gt;".",s_Irr!BT9&lt;&gt;"."),s_dir!W9/((1/1000)*(s_Irr!V9+s_Irr!AU9+s_Irr!BT9)),IF(AND(s_Irr!V9&lt;&gt;".",s_Irr!AU9&lt;&gt;".",s_Irr!BT9="."),s_dir!W9/((1/1000)*(s_Irr!V9+s_Irr!AU9)),IF(AND(s_Irr!V9&lt;&gt;".",s_Irr!AU9=".",s_Irr!BT9&lt;&gt;"."),s_dir!W9/((1/1000)*(s_Irr!V9+s_Irr!BT9)),IF(AND(s_Irr!V9=".",s_Irr!AU9&lt;&gt;".",s_Irr!BT9&lt;&gt;"."),s_dir!W9/((1/1000)*(s_Irr!AU9+s_Irr!BT9)),IF(AND(s_Irr!V9=".",s_Irr!AU9=".",s_Irr!BT9&lt;&gt;"."),s_dir!W9/((1/1000)*(s_Irr!BT9)),IF(AND(s_Irr!V9=".",s_Irr!AU9&lt;&gt;".",s_Irr!BT9="."),s_dir!W9/((1/1000)*(s_Irr!AU9)),IF(AND(s_Irr!V9&lt;&gt;".",s_Irr!AU9=".",s_Irr!BT9="."),s_dir!W9/((1/1000)*(s_Irr!V9)),IF(AND(s_Irr!V9=".",s_Irr!AU9=".",s_Irr!BT9="."),s_dir!W9*1000)))))))),".")</f>
        <v>39474.994299944519</v>
      </c>
      <c r="X9" s="76">
        <f>IFERROR(IF(AND(s_Irr!W9&lt;&gt;".",s_Irr!AV9&lt;&gt;".",s_Irr!BU9&lt;&gt;"."),s_dir!X9/((1/1000)*(s_Irr!W9+s_Irr!AV9+s_Irr!BU9)),IF(AND(s_Irr!W9&lt;&gt;".",s_Irr!AV9&lt;&gt;".",s_Irr!BU9="."),s_dir!X9/((1/1000)*(s_Irr!W9+s_Irr!AV9)),IF(AND(s_Irr!W9&lt;&gt;".",s_Irr!AV9=".",s_Irr!BU9&lt;&gt;"."),s_dir!X9/((1/1000)*(s_Irr!W9+s_Irr!BU9)),IF(AND(s_Irr!W9=".",s_Irr!AV9&lt;&gt;".",s_Irr!BU9&lt;&gt;"."),s_dir!X9/((1/1000)*(s_Irr!AV9+s_Irr!BU9)),IF(AND(s_Irr!W9=".",s_Irr!AV9=".",s_Irr!BU9&lt;&gt;"."),s_dir!X9/((1/1000)*(s_Irr!BU9)),IF(AND(s_Irr!W9=".",s_Irr!AV9&lt;&gt;".",s_Irr!BU9="."),s_dir!X9/((1/1000)*(s_Irr!AV9)),IF(AND(s_Irr!W9&lt;&gt;".",s_Irr!AV9=".",s_Irr!BU9="."),s_dir!X9/((1/1000)*(s_Irr!W9)),IF(AND(s_Irr!W9=".",s_Irr!AV9=".",s_Irr!BU9="."),s_dir!X9*1000)))))))),".")</f>
        <v>39474.994299944519</v>
      </c>
      <c r="Y9" s="76">
        <f>IFERROR(IF(AND(s_Irr!X9&lt;&gt;".",s_Irr!AW9&lt;&gt;".",s_Irr!BV9&lt;&gt;"."),s_dir!Y9/((1/1000)*(s_Irr!X9+s_Irr!AW9+s_Irr!BV9)),IF(AND(s_Irr!X9&lt;&gt;".",s_Irr!AW9&lt;&gt;".",s_Irr!BV9="."),s_dir!Y9/((1/1000)*(s_Irr!X9+s_Irr!AW9)),IF(AND(s_Irr!X9&lt;&gt;".",s_Irr!AW9=".",s_Irr!BV9&lt;&gt;"."),s_dir!Y9/((1/1000)*(s_Irr!X9+s_Irr!BV9)),IF(AND(s_Irr!X9=".",s_Irr!AW9&lt;&gt;".",s_Irr!BV9&lt;&gt;"."),s_dir!Y9/((1/1000)*(s_Irr!AW9+s_Irr!BV9)),IF(AND(s_Irr!X9=".",s_Irr!AW9=".",s_Irr!BV9&lt;&gt;"."),s_dir!Y9/((1/1000)*(s_Irr!BV9)),IF(AND(s_Irr!X9=".",s_Irr!AW9&lt;&gt;".",s_Irr!BV9="."),s_dir!Y9/((1/1000)*(s_Irr!AW9)),IF(AND(s_Irr!X9&lt;&gt;".",s_Irr!AW9=".",s_Irr!BV9="."),s_dir!Y9/((1/1000)*(s_Irr!X9)),IF(AND(s_Irr!X9=".",s_Irr!AW9=".",s_Irr!BV9="."),s_dir!Y9*1000)))))))),".")</f>
        <v>39474.994299944519</v>
      </c>
      <c r="Z9" s="76">
        <f>IFERROR(IF(AND(s_Irr!Y9&lt;&gt;".",s_Irr!AX9&lt;&gt;".",s_Irr!BW9&lt;&gt;"."),s_dir!Z9/((1/1000)*(s_Irr!Y9+s_Irr!AX9+s_Irr!BW9)),IF(AND(s_Irr!Y9&lt;&gt;".",s_Irr!AX9&lt;&gt;".",s_Irr!BW9="."),s_dir!Z9/((1/1000)*(s_Irr!Y9+s_Irr!AX9)),IF(AND(s_Irr!Y9&lt;&gt;".",s_Irr!AX9=".",s_Irr!BW9&lt;&gt;"."),s_dir!Z9/((1/1000)*(s_Irr!Y9+s_Irr!BW9)),IF(AND(s_Irr!Y9=".",s_Irr!AX9&lt;&gt;".",s_Irr!BW9&lt;&gt;"."),s_dir!Z9/((1/1000)*(s_Irr!AX9+s_Irr!BW9)),IF(AND(s_Irr!Y9=".",s_Irr!AX9=".",s_Irr!BW9&lt;&gt;"."),s_dir!Z9/((1/1000)*(s_Irr!BW9)),IF(AND(s_Irr!Y9=".",s_Irr!AX9&lt;&gt;".",s_Irr!BW9="."),s_dir!Z9/((1/1000)*(s_Irr!AX9)),IF(AND(s_Irr!Y9&lt;&gt;".",s_Irr!AX9=".",s_Irr!BW9="."),s_dir!Z9/((1/1000)*(s_Irr!Y9)),IF(AND(s_Irr!Y9=".",s_Irr!AX9=".",s_Irr!BW9="."),s_dir!Z9*1000)))))))),".")</f>
        <v>39474.994299944519</v>
      </c>
      <c r="AA9" s="76">
        <f>IFERROR(IF(AND(s_Irr!Z9&lt;&gt;".",s_Irr!AY9&lt;&gt;".",s_Irr!BX9&lt;&gt;"."),s_dir!AA9/((1/1000)*(s_Irr!Z9+s_Irr!AY9+s_Irr!BX9)),IF(AND(s_Irr!Z9&lt;&gt;".",s_Irr!AY9&lt;&gt;".",s_Irr!BX9="."),s_dir!AA9/((1/1000)*(s_Irr!Z9+s_Irr!AY9)),IF(AND(s_Irr!Z9&lt;&gt;".",s_Irr!AY9=".",s_Irr!BX9&lt;&gt;"."),s_dir!AA9/((1/1000)*(s_Irr!Z9+s_Irr!BX9)),IF(AND(s_Irr!Z9=".",s_Irr!AY9&lt;&gt;".",s_Irr!BX9&lt;&gt;"."),s_dir!AA9/((1/1000)*(s_Irr!AY9+s_Irr!BX9)),IF(AND(s_Irr!Z9=".",s_Irr!AY9=".",s_Irr!BX9&lt;&gt;"."),s_dir!AA9/((1/1000)*(s_Irr!BX9)),IF(AND(s_Irr!Z9=".",s_Irr!AY9&lt;&gt;".",s_Irr!BX9="."),s_dir!AA9/((1/1000)*(s_Irr!AY9)),IF(AND(s_Irr!Z9&lt;&gt;".",s_Irr!AY9=".",s_Irr!BX9="."),s_dir!AA9/((1/1000)*(s_Irr!Z9)),IF(AND(s_Irr!Z9=".",s_Irr!AY9=".",s_Irr!BX9="."),s_dir!AA9*1000)))))))),".")</f>
        <v>39474.994299944519</v>
      </c>
      <c r="AB9" s="76">
        <f>IFERROR(IF(AND(s_Irr!AA9&lt;&gt;".",s_Irr!AZ9&lt;&gt;".",s_Irr!BY9&lt;&gt;"."),s_dir!AB9/((1/1000)*(s_Irr!AA9+s_Irr!AZ9+s_Irr!BY9)),IF(AND(s_Irr!AA9&lt;&gt;".",s_Irr!AZ9&lt;&gt;".",s_Irr!BY9="."),s_dir!AB9/((1/1000)*(s_Irr!AA9+s_Irr!AZ9)),IF(AND(s_Irr!AA9&lt;&gt;".",s_Irr!AZ9=".",s_Irr!BY9&lt;&gt;"."),s_dir!AB9/((1/1000)*(s_Irr!AA9+s_Irr!BY9)),IF(AND(s_Irr!AA9=".",s_Irr!AZ9&lt;&gt;".",s_Irr!BY9&lt;&gt;"."),s_dir!AB9/((1/1000)*(s_Irr!AZ9+s_Irr!BY9)),IF(AND(s_Irr!AA9=".",s_Irr!AZ9=".",s_Irr!BY9&lt;&gt;"."),s_dir!AB9/((1/1000)*(s_Irr!BY9)),IF(AND(s_Irr!AA9=".",s_Irr!AZ9&lt;&gt;".",s_Irr!BY9="."),s_dir!AB9/((1/1000)*(s_Irr!AZ9)),IF(AND(s_Irr!AA9&lt;&gt;".",s_Irr!AZ9=".",s_Irr!BY9="."),s_dir!AB9/((1/1000)*(s_Irr!AA9)),IF(AND(s_Irr!AA9=".",s_Irr!AZ9=".",s_Irr!BY9="."),s_dir!AB9*1000)))))))),".")</f>
        <v>39474.994299944519</v>
      </c>
      <c r="AC9" s="93">
        <f t="shared" si="4"/>
        <v>19097.962663471444</v>
      </c>
      <c r="AD9" s="93">
        <f>IFERROR(s_C*s_IFAP_res_adj*s_CF_apple*0.001*(s_Irr!C9+s_Irr!AB9+s_Irr!BA9),".")</f>
        <v>4774.490665867861</v>
      </c>
      <c r="AE9" s="93">
        <f>IFERROR(s_C*s_IFAS_res_adj*s_CF_asparagus*0.001*(s_Irr!D9+s_Irr!AC9+s_Irr!BB9),".")</f>
        <v>4774.490665867861</v>
      </c>
      <c r="AF9" s="93">
        <f>IFERROR(s_C*s_IFBT_res_adj*s_CF_beet*0.001*(s_Irr!E9+s_Irr!AD9+s_Irr!BC9),".")</f>
        <v>4774.490665867861</v>
      </c>
      <c r="AG9" s="93">
        <f>IFERROR(s_C*s_IFBE_res_adj*s_CF_berries*0.001*(s_Irr!F9+s_Irr!AE9+s_Irr!BD9),".")</f>
        <v>4774.490665867861</v>
      </c>
      <c r="AH9" s="93">
        <f>IFERROR(s_C*s_IFBR_res_adj*s_CF_broccoli*0.001*(s_Irr!G9+s_Irr!AF9+s_Irr!BE9),".")</f>
        <v>4774.490665867861</v>
      </c>
      <c r="AI9" s="93">
        <f>IFERROR(s_C*s_IFCB_res_adj*s_CF_cabbage*0.001*(s_Irr!H9+s_Irr!AG9+s_Irr!BF9),".")</f>
        <v>4774.490665867861</v>
      </c>
      <c r="AJ9" s="93">
        <f>IFERROR(s_C*s_IFCR_res_adj*s_CF_carrot*0.001*(s_Irr!I9+s_Irr!AH9+s_Irr!BG9),".")</f>
        <v>4774.490665867861</v>
      </c>
      <c r="AK9" s="93">
        <f>IFERROR(s_C*s_IFCI_res_adj*s_CF_citrus*0.001*(s_Irr!J9+s_Irr!AI9+s_Irr!BH9),".")</f>
        <v>4774.490665867861</v>
      </c>
      <c r="AL9" s="93">
        <f>IFERROR(s_C*s_IFCO_res_adj*s_CF_corn*0.001*(s_Irr!K9+s_Irr!AJ9+s_Irr!BI9),".")</f>
        <v>4774.490665867861</v>
      </c>
      <c r="AM9" s="93">
        <f>IFERROR(s_C*s_IFCU_res_adj*s_CF_cucumber*0.001*(s_Irr!L9+s_Irr!AK9+s_Irr!BJ9),".")</f>
        <v>4774.490665867861</v>
      </c>
      <c r="AN9" s="93">
        <f>IFERROR(s_C*s_IFLE_res_adj*s_CF_lettuce*0.001*(s_Irr!M9+s_Irr!AL9+s_Irr!BK9),".")</f>
        <v>4774.490665867861</v>
      </c>
      <c r="AO9" s="93">
        <f>IFERROR(s_C*s_IFLI_res_adj*s_CF_lima_bean*0.001*(s_Irr!N9+s_Irr!AM9+s_Irr!BL9),".")</f>
        <v>4774.490665867861</v>
      </c>
      <c r="AP9" s="93">
        <f>IFERROR(s_C*s_IFOK_res_adj*s_CF_okra*0.001*(s_Irr!O9+s_Irr!AN9+s_Irr!BM9),".")</f>
        <v>4774.490665867861</v>
      </c>
      <c r="AQ9" s="93">
        <f>IFERROR(s_C*s_IFON_res_adj*s_CF_onion*0.001*(s_Irr!P9+s_Irr!AO9+s_Irr!BN9),".")</f>
        <v>4774.490665867861</v>
      </c>
      <c r="AR9" s="93">
        <f>IFERROR(s_C*s_IFPC_res_adj*s_CF_peach*0.001*(s_Irr!Q9+s_Irr!AP9+s_Irr!BO9),".")</f>
        <v>4774.490665867861</v>
      </c>
      <c r="AS9" s="93">
        <f>IFERROR(s_C*s_IFPR_res_adj*s_CF_pear*0.001*(s_Irr!R9+s_Irr!AQ9+s_Irr!BP9),".")</f>
        <v>4774.490665867861</v>
      </c>
      <c r="AT9" s="93">
        <f>IFERROR(s_C*s_IFPE_res_adj*s_CF_peas*0.001*(s_Irr!S9+s_Irr!AR9+s_Irr!BQ9),".")</f>
        <v>4774.490665867861</v>
      </c>
      <c r="AU9" s="93">
        <f>IFERROR(s_C*s_IFPP_res_adj*s_CF_peppers*0.001*(s_Irr!T9+s_Irr!AS9+s_Irr!BR9),".")</f>
        <v>4774.490665867861</v>
      </c>
      <c r="AV9" s="93">
        <f>IFERROR(s_C*s_IFPT_res_adj*s_CF_potato*0.001*(s_Irr!U9+s_Irr!AT9+s_Irr!BS9),".")</f>
        <v>4774.490665867861</v>
      </c>
      <c r="AW9" s="93">
        <f>IFERROR(s_C*s_IFPU_res_adj*s_CF_pumpkin*0.001*(s_Irr!V9+s_Irr!AU9+s_Irr!BT9),".")</f>
        <v>4774.490665867861</v>
      </c>
      <c r="AX9" s="93">
        <f>IFERROR(s_C*s_IFSN_res_adj*s_CF_snap_bean*0.001*(s_Irr!W9+s_Irr!AV9+s_Irr!BU9),".")</f>
        <v>4774.490665867861</v>
      </c>
      <c r="AY9" s="93">
        <f>IFERROR(s_C*s_IFST_res_adj*s_CF_strawberry*0.001*(s_Irr!X9+s_Irr!AW9+s_Irr!BV9),".")</f>
        <v>4774.490665867861</v>
      </c>
      <c r="AZ9" s="93">
        <f>IFERROR(s_C*s_IFTO_res_adj*s_CF_tomato*0.001*(s_Irr!Y9+s_Irr!AX9+s_Irr!BW9),".")</f>
        <v>4774.490665867861</v>
      </c>
      <c r="BA9" s="93">
        <f>IFERROR(s_C*s_IFRI_res_adj*s_CF_rice*0.001*(s_Irr!Z9+s_Irr!AY9+s_Irr!BX9),".")</f>
        <v>4774.490665867861</v>
      </c>
      <c r="BB9" s="93">
        <f>IFERROR(s_C*s_IFCG_res_adj*s_CF_cereal*0.001*(s_Irr!AA9+s_Irr!AZ9+s_Irr!BY9),".")</f>
        <v>4774.490665867861</v>
      </c>
      <c r="BC9" s="76">
        <f t="shared" si="1"/>
        <v>9868.7485749861298</v>
      </c>
      <c r="BD9" s="76">
        <f>IFERROR(IF(AND(s_Irr!C9&lt;&gt;".",s_Irr!AB9&lt;&gt;".",s_Irr!BA9&lt;&gt;"."),s_dir!AD9/((1/1000)*(s_Irr!C9+s_Irr!AB9+s_Irr!BA9)),IF(AND(s_Irr!C9&lt;&gt;".",s_Irr!AB9&lt;&gt;".",s_Irr!BA9="."),s_dir!AD9/((1/1000)*(s_Irr!C9+s_Irr!AB9)),IF(AND(s_Irr!C9&lt;&gt;".",s_Irr!AB9=".",s_Irr!BA9&lt;&gt;"."),s_dir!AD9/((1/1000)*(s_Irr!C9+s_Irr!BA9)),IF(AND(s_Irr!C9=".",s_Irr!AB9&lt;&gt;".",s_Irr!BA9&lt;&gt;"."),s_dir!AD9/((1/1000)*(s_Irr!AB9+s_Irr!BA9)),IF(AND(s_Irr!C9=".",s_Irr!AB9=".",s_Irr!BA9&lt;&gt;"."),s_dir!AD9/((1/1000)*(s_Irr!BA9)),IF(AND(s_Irr!C9=".",s_Irr!AB9&lt;&gt;".",s_Irr!BA9="."),s_dir!AD9/((1/1000)*(s_Irr!AB9)),IF(AND(s_Irr!C9&lt;&gt;".",s_Irr!AB9=".",s_Irr!BA9="."),s_dir!AD9/((1/1000)*(s_Irr!C9)),IF(AND(s_Irr!C9=".",s_Irr!AB9=".",s_Irr!BA9="."),s_dir!AD9*1000)))))))),".")</f>
        <v>39474.994299944519</v>
      </c>
      <c r="BE9" s="76">
        <f>IFERROR(IF(AND(s_Irr!D9&lt;&gt;".",s_Irr!AC9&lt;&gt;".",s_Irr!BB9&lt;&gt;"."),s_dir!AE9/((1/1000)*(s_Irr!D9+s_Irr!AC9+s_Irr!BB9)),IF(AND(s_Irr!D9&lt;&gt;".",s_Irr!AC9&lt;&gt;".",s_Irr!BB9="."),s_dir!AE9/((1/1000)*(s_Irr!D9+s_Irr!AC9)),IF(AND(s_Irr!D9&lt;&gt;".",s_Irr!AC9=".",s_Irr!BB9&lt;&gt;"."),s_dir!AE9/((1/1000)*(s_Irr!D9+s_Irr!BB9)),IF(AND(s_Irr!D9=".",s_Irr!AC9&lt;&gt;".",s_Irr!BB9&lt;&gt;"."),s_dir!AE9/((1/1000)*(s_Irr!AC9+s_Irr!BB9)),IF(AND(s_Irr!D9=".",s_Irr!AC9=".",s_Irr!BB9&lt;&gt;"."),s_dir!AE9/((1/1000)*(s_Irr!BB9)),IF(AND(s_Irr!D9=".",s_Irr!AC9&lt;&gt;".",s_Irr!BB9="."),s_dir!AE9/((1/1000)*(s_Irr!AC9)),IF(AND(s_Irr!D9&lt;&gt;".",s_Irr!AC9=".",s_Irr!BB9="."),s_dir!AE9/((1/1000)*(s_Irr!D9)),IF(AND(s_Irr!D9=".",s_Irr!AC9=".",s_Irr!BB9="."),s_dir!AE9*1000)))))))),".")</f>
        <v>39474.994299944519</v>
      </c>
      <c r="BF9" s="76">
        <f>IFERROR(IF(AND(s_Irr!E9&lt;&gt;".",s_Irr!AD9&lt;&gt;".",s_Irr!BC9&lt;&gt;"."),s_dir!AF9/((1/1000)*(s_Irr!E9+s_Irr!AD9+s_Irr!BC9)),IF(AND(s_Irr!E9&lt;&gt;".",s_Irr!AD9&lt;&gt;".",s_Irr!BC9="."),s_dir!AF9/((1/1000)*(s_Irr!E9+s_Irr!AD9)),IF(AND(s_Irr!E9&lt;&gt;".",s_Irr!AD9=".",s_Irr!BC9&lt;&gt;"."),s_dir!AF9/((1/1000)*(s_Irr!E9+s_Irr!BC9)),IF(AND(s_Irr!E9=".",s_Irr!AD9&lt;&gt;".",s_Irr!BC9&lt;&gt;"."),s_dir!AF9/((1/1000)*(s_Irr!AD9+s_Irr!BC9)),IF(AND(s_Irr!E9=".",s_Irr!AD9=".",s_Irr!BC9&lt;&gt;"."),s_dir!AF9/((1/1000)*(s_Irr!BC9)),IF(AND(s_Irr!E9=".",s_Irr!AD9&lt;&gt;".",s_Irr!BC9="."),s_dir!AF9/((1/1000)*(s_Irr!AD9)),IF(AND(s_Irr!E9&lt;&gt;".",s_Irr!AD9=".",s_Irr!BC9="."),s_dir!AF9/((1/1000)*(s_Irr!E9)),IF(AND(s_Irr!E9=".",s_Irr!AD9=".",s_Irr!BC9="."),s_dir!AF9*1000)))))))),".")</f>
        <v>39474.994299944519</v>
      </c>
      <c r="BG9" s="76">
        <f>IFERROR(IF(AND(s_Irr!F9&lt;&gt;".",s_Irr!AE9&lt;&gt;".",s_Irr!BD9&lt;&gt;"."),s_dir!AG9/((1/1000)*(s_Irr!F9+s_Irr!AE9+s_Irr!BD9)),IF(AND(s_Irr!F9&lt;&gt;".",s_Irr!AE9&lt;&gt;".",s_Irr!BD9="."),s_dir!AG9/((1/1000)*(s_Irr!F9+s_Irr!AE9)),IF(AND(s_Irr!F9&lt;&gt;".",s_Irr!AE9=".",s_Irr!BD9&lt;&gt;"."),s_dir!AG9/((1/1000)*(s_Irr!F9+s_Irr!BD9)),IF(AND(s_Irr!F9=".",s_Irr!AE9&lt;&gt;".",s_Irr!BD9&lt;&gt;"."),s_dir!AG9/((1/1000)*(s_Irr!AE9+s_Irr!BD9)),IF(AND(s_Irr!F9=".",s_Irr!AE9=".",s_Irr!BD9&lt;&gt;"."),s_dir!AG9/((1/1000)*(s_Irr!BD9)),IF(AND(s_Irr!F9=".",s_Irr!AE9&lt;&gt;".",s_Irr!BD9="."),s_dir!AG9/((1/1000)*(s_Irr!AE9)),IF(AND(s_Irr!F9&lt;&gt;".",s_Irr!AE9=".",s_Irr!BD9="."),s_dir!AG9/((1/1000)*(s_Irr!F9)),IF(AND(s_Irr!F9=".",s_Irr!AE9=".",s_Irr!BD9="."),s_dir!AG9*1000)))))))),".")</f>
        <v>39474.994299944519</v>
      </c>
      <c r="BH9" s="76">
        <f>IFERROR(IF(AND(s_Irr!G9&lt;&gt;".",s_Irr!AF9&lt;&gt;".",s_Irr!BE9&lt;&gt;"."),s_dir!AH9/((1/1000)*(s_Irr!G9+s_Irr!AF9+s_Irr!BE9)),IF(AND(s_Irr!G9&lt;&gt;".",s_Irr!AF9&lt;&gt;".",s_Irr!BE9="."),s_dir!AH9/((1/1000)*(s_Irr!G9+s_Irr!AF9)),IF(AND(s_Irr!G9&lt;&gt;".",s_Irr!AF9=".",s_Irr!BE9&lt;&gt;"."),s_dir!AH9/((1/1000)*(s_Irr!G9+s_Irr!BE9)),IF(AND(s_Irr!G9=".",s_Irr!AF9&lt;&gt;".",s_Irr!BE9&lt;&gt;"."),s_dir!AH9/((1/1000)*(s_Irr!AF9+s_Irr!BE9)),IF(AND(s_Irr!G9=".",s_Irr!AF9=".",s_Irr!BE9&lt;&gt;"."),s_dir!AH9/((1/1000)*(s_Irr!BE9)),IF(AND(s_Irr!G9=".",s_Irr!AF9&lt;&gt;".",s_Irr!BE9="."),s_dir!AH9/((1/1000)*(s_Irr!AF9)),IF(AND(s_Irr!G9&lt;&gt;".",s_Irr!AF9=".",s_Irr!BE9="."),s_dir!AH9/((1/1000)*(s_Irr!G9)),IF(AND(s_Irr!G9=".",s_Irr!AF9=".",s_Irr!BE9="."),s_dir!AH9*1000)))))))),".")</f>
        <v>39474.994299944519</v>
      </c>
      <c r="BI9" s="76">
        <f>IFERROR(IF(AND(s_Irr!H9&lt;&gt;".",s_Irr!AG9&lt;&gt;".",s_Irr!BF9&lt;&gt;"."),s_dir!AI9/((1/1000)*(s_Irr!H9+s_Irr!AG9+s_Irr!BF9)),IF(AND(s_Irr!H9&lt;&gt;".",s_Irr!AG9&lt;&gt;".",s_Irr!BF9="."),s_dir!AI9/((1/1000)*(s_Irr!H9+s_Irr!AG9)),IF(AND(s_Irr!H9&lt;&gt;".",s_Irr!AG9=".",s_Irr!BF9&lt;&gt;"."),s_dir!AI9/((1/1000)*(s_Irr!H9+s_Irr!BF9)),IF(AND(s_Irr!H9=".",s_Irr!AG9&lt;&gt;".",s_Irr!BF9&lt;&gt;"."),s_dir!AI9/((1/1000)*(s_Irr!AG9+s_Irr!BF9)),IF(AND(s_Irr!H9=".",s_Irr!AG9=".",s_Irr!BF9&lt;&gt;"."),s_dir!AI9/((1/1000)*(s_Irr!BF9)),IF(AND(s_Irr!H9=".",s_Irr!AG9&lt;&gt;".",s_Irr!BF9="."),s_dir!AI9/((1/1000)*(s_Irr!AG9)),IF(AND(s_Irr!H9&lt;&gt;".",s_Irr!AG9=".",s_Irr!BF9="."),s_dir!AI9/((1/1000)*(s_Irr!H9)),IF(AND(s_Irr!H9=".",s_Irr!AG9=".",s_Irr!BF9="."),s_dir!AI9*1000)))))))),".")</f>
        <v>39474.994299944519</v>
      </c>
      <c r="BJ9" s="76">
        <f>IFERROR(IF(AND(s_Irr!I9&lt;&gt;".",s_Irr!AH9&lt;&gt;".",s_Irr!BG9&lt;&gt;"."),s_dir!AJ9/((1/1000)*(s_Irr!I9+s_Irr!AH9+s_Irr!BG9)),IF(AND(s_Irr!I9&lt;&gt;".",s_Irr!AH9&lt;&gt;".",s_Irr!BG9="."),s_dir!AJ9/((1/1000)*(s_Irr!I9+s_Irr!AH9)),IF(AND(s_Irr!I9&lt;&gt;".",s_Irr!AH9=".",s_Irr!BG9&lt;&gt;"."),s_dir!AJ9/((1/1000)*(s_Irr!I9+s_Irr!BG9)),IF(AND(s_Irr!I9=".",s_Irr!AH9&lt;&gt;".",s_Irr!BG9&lt;&gt;"."),s_dir!AJ9/((1/1000)*(s_Irr!AH9+s_Irr!BG9)),IF(AND(s_Irr!I9=".",s_Irr!AH9=".",s_Irr!BG9&lt;&gt;"."),s_dir!AJ9/((1/1000)*(s_Irr!BG9)),IF(AND(s_Irr!I9=".",s_Irr!AH9&lt;&gt;".",s_Irr!BG9="."),s_dir!AJ9/((1/1000)*(s_Irr!AH9)),IF(AND(s_Irr!I9&lt;&gt;".",s_Irr!AH9=".",s_Irr!BG9="."),s_dir!AJ9/((1/1000)*(s_Irr!I9)),IF(AND(s_Irr!I9=".",s_Irr!AH9=".",s_Irr!BG9="."),s_dir!AJ9*1000)))))))),".")</f>
        <v>39474.994299944519</v>
      </c>
      <c r="BK9" s="76">
        <f>IFERROR(IF(AND(s_Irr!J9&lt;&gt;".",s_Irr!AI9&lt;&gt;".",s_Irr!BH9&lt;&gt;"."),s_dir!AK9/((1/1000)*(s_Irr!J9+s_Irr!AI9+s_Irr!BH9)),IF(AND(s_Irr!J9&lt;&gt;".",s_Irr!AI9&lt;&gt;".",s_Irr!BH9="."),s_dir!AK9/((1/1000)*(s_Irr!J9+s_Irr!AI9)),IF(AND(s_Irr!J9&lt;&gt;".",s_Irr!AI9=".",s_Irr!BH9&lt;&gt;"."),s_dir!AK9/((1/1000)*(s_Irr!J9+s_Irr!BH9)),IF(AND(s_Irr!J9=".",s_Irr!AI9&lt;&gt;".",s_Irr!BH9&lt;&gt;"."),s_dir!AK9/((1/1000)*(s_Irr!AI9+s_Irr!BH9)),IF(AND(s_Irr!J9=".",s_Irr!AI9=".",s_Irr!BH9&lt;&gt;"."),s_dir!AK9/((1/1000)*(s_Irr!BH9)),IF(AND(s_Irr!J9=".",s_Irr!AI9&lt;&gt;".",s_Irr!BH9="."),s_dir!AK9/((1/1000)*(s_Irr!AI9)),IF(AND(s_Irr!J9&lt;&gt;".",s_Irr!AI9=".",s_Irr!BH9="."),s_dir!AK9/((1/1000)*(s_Irr!J9)),IF(AND(s_Irr!J9=".",s_Irr!AI9=".",s_Irr!BH9="."),s_dir!AK9*1000)))))))),".")</f>
        <v>39474.994299944519</v>
      </c>
      <c r="BL9" s="76">
        <f>IFERROR(IF(AND(s_Irr!K9&lt;&gt;".",s_Irr!AJ9&lt;&gt;".",s_Irr!BI9&lt;&gt;"."),s_dir!AL9/((1/1000)*(s_Irr!K9+s_Irr!AJ9+s_Irr!BI9)),IF(AND(s_Irr!K9&lt;&gt;".",s_Irr!AJ9&lt;&gt;".",s_Irr!BI9="."),s_dir!AL9/((1/1000)*(s_Irr!K9+s_Irr!AJ9)),IF(AND(s_Irr!K9&lt;&gt;".",s_Irr!AJ9=".",s_Irr!BI9&lt;&gt;"."),s_dir!AL9/((1/1000)*(s_Irr!K9+s_Irr!BI9)),IF(AND(s_Irr!K9=".",s_Irr!AJ9&lt;&gt;".",s_Irr!BI9&lt;&gt;"."),s_dir!AL9/((1/1000)*(s_Irr!AJ9+s_Irr!BI9)),IF(AND(s_Irr!K9=".",s_Irr!AJ9=".",s_Irr!BI9&lt;&gt;"."),s_dir!AL9/((1/1000)*(s_Irr!BI9)),IF(AND(s_Irr!K9=".",s_Irr!AJ9&lt;&gt;".",s_Irr!BI9="."),s_dir!AL9/((1/1000)*(s_Irr!AJ9)),IF(AND(s_Irr!K9&lt;&gt;".",s_Irr!AJ9=".",s_Irr!BI9="."),s_dir!AL9/((1/1000)*(s_Irr!K9)),IF(AND(s_Irr!K9=".",s_Irr!AJ9=".",s_Irr!BI9="."),s_dir!AL9*1000)))))))),".")</f>
        <v>39474.994299944519</v>
      </c>
      <c r="BM9" s="76">
        <f>IFERROR(IF(AND(s_Irr!L9&lt;&gt;".",s_Irr!AK9&lt;&gt;".",s_Irr!BJ9&lt;&gt;"."),s_dir!AM9/((1/1000)*(s_Irr!L9+s_Irr!AK9+s_Irr!BJ9)),IF(AND(s_Irr!L9&lt;&gt;".",s_Irr!AK9&lt;&gt;".",s_Irr!BJ9="."),s_dir!AM9/((1/1000)*(s_Irr!L9+s_Irr!AK9)),IF(AND(s_Irr!L9&lt;&gt;".",s_Irr!AK9=".",s_Irr!BJ9&lt;&gt;"."),s_dir!AM9/((1/1000)*(s_Irr!L9+s_Irr!BJ9)),IF(AND(s_Irr!L9=".",s_Irr!AK9&lt;&gt;".",s_Irr!BJ9&lt;&gt;"."),s_dir!AM9/((1/1000)*(s_Irr!AK9+s_Irr!BJ9)),IF(AND(s_Irr!L9=".",s_Irr!AK9=".",s_Irr!BJ9&lt;&gt;"."),s_dir!AM9/((1/1000)*(s_Irr!BJ9)),IF(AND(s_Irr!L9=".",s_Irr!AK9&lt;&gt;".",s_Irr!BJ9="."),s_dir!AM9/((1/1000)*(s_Irr!AK9)),IF(AND(s_Irr!L9&lt;&gt;".",s_Irr!AK9=".",s_Irr!BJ9="."),s_dir!AM9/((1/1000)*(s_Irr!L9)),IF(AND(s_Irr!L9=".",s_Irr!AK9=".",s_Irr!BJ9="."),s_dir!AM9*1000)))))))),".")</f>
        <v>39474.994299944519</v>
      </c>
      <c r="BN9" s="76">
        <f>IFERROR(IF(AND(s_Irr!M9&lt;&gt;".",s_Irr!AL9&lt;&gt;".",s_Irr!BK9&lt;&gt;"."),s_dir!AN9/((1/1000)*(s_Irr!M9+s_Irr!AL9+s_Irr!BK9)),IF(AND(s_Irr!M9&lt;&gt;".",s_Irr!AL9&lt;&gt;".",s_Irr!BK9="."),s_dir!AN9/((1/1000)*(s_Irr!M9+s_Irr!AL9)),IF(AND(s_Irr!M9&lt;&gt;".",s_Irr!AL9=".",s_Irr!BK9&lt;&gt;"."),s_dir!AN9/((1/1000)*(s_Irr!M9+s_Irr!BK9)),IF(AND(s_Irr!M9=".",s_Irr!AL9&lt;&gt;".",s_Irr!BK9&lt;&gt;"."),s_dir!AN9/((1/1000)*(s_Irr!AL9+s_Irr!BK9)),IF(AND(s_Irr!M9=".",s_Irr!AL9=".",s_Irr!BK9&lt;&gt;"."),s_dir!AN9/((1/1000)*(s_Irr!BK9)),IF(AND(s_Irr!M9=".",s_Irr!AL9&lt;&gt;".",s_Irr!BK9="."),s_dir!AN9/((1/1000)*(s_Irr!AL9)),IF(AND(s_Irr!M9&lt;&gt;".",s_Irr!AL9=".",s_Irr!BK9="."),s_dir!AN9/((1/1000)*(s_Irr!M9)),IF(AND(s_Irr!M9=".",s_Irr!AL9=".",s_Irr!BK9="."),s_dir!AN9*1000)))))))),".")</f>
        <v>39474.994299944519</v>
      </c>
      <c r="BO9" s="76">
        <f>IFERROR(IF(AND(s_Irr!N9&lt;&gt;".",s_Irr!AM9&lt;&gt;".",s_Irr!BL9&lt;&gt;"."),s_dir!AO9/((1/1000)*(s_Irr!N9+s_Irr!AM9+s_Irr!BL9)),IF(AND(s_Irr!N9&lt;&gt;".",s_Irr!AM9&lt;&gt;".",s_Irr!BL9="."),s_dir!AO9/((1/1000)*(s_Irr!N9+s_Irr!AM9)),IF(AND(s_Irr!N9&lt;&gt;".",s_Irr!AM9=".",s_Irr!BL9&lt;&gt;"."),s_dir!AO9/((1/1000)*(s_Irr!N9+s_Irr!BL9)),IF(AND(s_Irr!N9=".",s_Irr!AM9&lt;&gt;".",s_Irr!BL9&lt;&gt;"."),s_dir!AO9/((1/1000)*(s_Irr!AM9+s_Irr!BL9)),IF(AND(s_Irr!N9=".",s_Irr!AM9=".",s_Irr!BL9&lt;&gt;"."),s_dir!AO9/((1/1000)*(s_Irr!BL9)),IF(AND(s_Irr!N9=".",s_Irr!AM9&lt;&gt;".",s_Irr!BL9="."),s_dir!AO9/((1/1000)*(s_Irr!AM9)),IF(AND(s_Irr!N9&lt;&gt;".",s_Irr!AM9=".",s_Irr!BL9="."),s_dir!AO9/((1/1000)*(s_Irr!N9)),IF(AND(s_Irr!N9=".",s_Irr!AM9=".",s_Irr!BL9="."),s_dir!AO9*1000)))))))),".")</f>
        <v>39474.994299944519</v>
      </c>
      <c r="BP9" s="76">
        <f>IFERROR(IF(AND(s_Irr!O9&lt;&gt;".",s_Irr!AN9&lt;&gt;".",s_Irr!BM9&lt;&gt;"."),s_dir!AP9/((1/1000)*(s_Irr!O9+s_Irr!AN9+s_Irr!BM9)),IF(AND(s_Irr!O9&lt;&gt;".",s_Irr!AN9&lt;&gt;".",s_Irr!BM9="."),s_dir!AP9/((1/1000)*(s_Irr!O9+s_Irr!AN9)),IF(AND(s_Irr!O9&lt;&gt;".",s_Irr!AN9=".",s_Irr!BM9&lt;&gt;"."),s_dir!AP9/((1/1000)*(s_Irr!O9+s_Irr!BM9)),IF(AND(s_Irr!O9=".",s_Irr!AN9&lt;&gt;".",s_Irr!BM9&lt;&gt;"."),s_dir!AP9/((1/1000)*(s_Irr!AN9+s_Irr!BM9)),IF(AND(s_Irr!O9=".",s_Irr!AN9=".",s_Irr!BM9&lt;&gt;"."),s_dir!AP9/((1/1000)*(s_Irr!BM9)),IF(AND(s_Irr!O9=".",s_Irr!AN9&lt;&gt;".",s_Irr!BM9="."),s_dir!AP9/((1/1000)*(s_Irr!AN9)),IF(AND(s_Irr!O9&lt;&gt;".",s_Irr!AN9=".",s_Irr!BM9="."),s_dir!AP9/((1/1000)*(s_Irr!O9)),IF(AND(s_Irr!O9=".",s_Irr!AN9=".",s_Irr!BM9="."),s_dir!AP9*1000)))))))),".")</f>
        <v>39474.994299944519</v>
      </c>
      <c r="BQ9" s="76">
        <f>IFERROR(IF(AND(s_Irr!P9&lt;&gt;".",s_Irr!AO9&lt;&gt;".",s_Irr!BN9&lt;&gt;"."),s_dir!AQ9/((1/1000)*(s_Irr!P9+s_Irr!AO9+s_Irr!BN9)),IF(AND(s_Irr!P9&lt;&gt;".",s_Irr!AO9&lt;&gt;".",s_Irr!BN9="."),s_dir!AQ9/((1/1000)*(s_Irr!P9+s_Irr!AO9)),IF(AND(s_Irr!P9&lt;&gt;".",s_Irr!AO9=".",s_Irr!BN9&lt;&gt;"."),s_dir!AQ9/((1/1000)*(s_Irr!P9+s_Irr!BN9)),IF(AND(s_Irr!P9=".",s_Irr!AO9&lt;&gt;".",s_Irr!BN9&lt;&gt;"."),s_dir!AQ9/((1/1000)*(s_Irr!AO9+s_Irr!BN9)),IF(AND(s_Irr!P9=".",s_Irr!AO9=".",s_Irr!BN9&lt;&gt;"."),s_dir!AQ9/((1/1000)*(s_Irr!BN9)),IF(AND(s_Irr!P9=".",s_Irr!AO9&lt;&gt;".",s_Irr!BN9="."),s_dir!AQ9/((1/1000)*(s_Irr!AO9)),IF(AND(s_Irr!P9&lt;&gt;".",s_Irr!AO9=".",s_Irr!BN9="."),s_dir!AQ9/((1/1000)*(s_Irr!P9)),IF(AND(s_Irr!P9=".",s_Irr!AO9=".",s_Irr!BN9="."),s_dir!AQ9*1000)))))))),".")</f>
        <v>39474.994299944519</v>
      </c>
      <c r="BR9" s="76">
        <f>IFERROR(IF(AND(s_Irr!Q9&lt;&gt;".",s_Irr!AP9&lt;&gt;".",s_Irr!BO9&lt;&gt;"."),s_dir!AR9/((1/1000)*(s_Irr!Q9+s_Irr!AP9+s_Irr!BO9)),IF(AND(s_Irr!Q9&lt;&gt;".",s_Irr!AP9&lt;&gt;".",s_Irr!BO9="."),s_dir!AR9/((1/1000)*(s_Irr!Q9+s_Irr!AP9)),IF(AND(s_Irr!Q9&lt;&gt;".",s_Irr!AP9=".",s_Irr!BO9&lt;&gt;"."),s_dir!AR9/((1/1000)*(s_Irr!Q9+s_Irr!BO9)),IF(AND(s_Irr!Q9=".",s_Irr!AP9&lt;&gt;".",s_Irr!BO9&lt;&gt;"."),s_dir!AR9/((1/1000)*(s_Irr!AP9+s_Irr!BO9)),IF(AND(s_Irr!Q9=".",s_Irr!AP9=".",s_Irr!BO9&lt;&gt;"."),s_dir!AR9/((1/1000)*(s_Irr!BO9)),IF(AND(s_Irr!Q9=".",s_Irr!AP9&lt;&gt;".",s_Irr!BO9="."),s_dir!AR9/((1/1000)*(s_Irr!AP9)),IF(AND(s_Irr!Q9&lt;&gt;".",s_Irr!AP9=".",s_Irr!BO9="."),s_dir!AR9/((1/1000)*(s_Irr!Q9)),IF(AND(s_Irr!Q9=".",s_Irr!AP9=".",s_Irr!BO9="."),s_dir!AR9*1000)))))))),".")</f>
        <v>39474.994299944519</v>
      </c>
      <c r="BS9" s="76">
        <f>IFERROR(IF(AND(s_Irr!R9&lt;&gt;".",s_Irr!AQ9&lt;&gt;".",s_Irr!BP9&lt;&gt;"."),s_dir!AS9/((1/1000)*(s_Irr!R9+s_Irr!AQ9+s_Irr!BP9)),IF(AND(s_Irr!R9&lt;&gt;".",s_Irr!AQ9&lt;&gt;".",s_Irr!BP9="."),s_dir!AS9/((1/1000)*(s_Irr!R9+s_Irr!AQ9)),IF(AND(s_Irr!R9&lt;&gt;".",s_Irr!AQ9=".",s_Irr!BP9&lt;&gt;"."),s_dir!AS9/((1/1000)*(s_Irr!R9+s_Irr!BP9)),IF(AND(s_Irr!R9=".",s_Irr!AQ9&lt;&gt;".",s_Irr!BP9&lt;&gt;"."),s_dir!AS9/((1/1000)*(s_Irr!AQ9+s_Irr!BP9)),IF(AND(s_Irr!R9=".",s_Irr!AQ9=".",s_Irr!BP9&lt;&gt;"."),s_dir!AS9/((1/1000)*(s_Irr!BP9)),IF(AND(s_Irr!R9=".",s_Irr!AQ9&lt;&gt;".",s_Irr!BP9="."),s_dir!AS9/((1/1000)*(s_Irr!AQ9)),IF(AND(s_Irr!R9&lt;&gt;".",s_Irr!AQ9=".",s_Irr!BP9="."),s_dir!AS9/((1/1000)*(s_Irr!R9)),IF(AND(s_Irr!R9=".",s_Irr!AQ9=".",s_Irr!BP9="."),s_dir!AS9*1000)))))))),".")</f>
        <v>39474.994299944519</v>
      </c>
      <c r="BT9" s="76">
        <f>IFERROR(IF(AND(s_Irr!S9&lt;&gt;".",s_Irr!AR9&lt;&gt;".",s_Irr!BQ9&lt;&gt;"."),s_dir!AT9/((1/1000)*(s_Irr!S9+s_Irr!AR9+s_Irr!BQ9)),IF(AND(s_Irr!S9&lt;&gt;".",s_Irr!AR9&lt;&gt;".",s_Irr!BQ9="."),s_dir!AT9/((1/1000)*(s_Irr!S9+s_Irr!AR9)),IF(AND(s_Irr!S9&lt;&gt;".",s_Irr!AR9=".",s_Irr!BQ9&lt;&gt;"."),s_dir!AT9/((1/1000)*(s_Irr!S9+s_Irr!BQ9)),IF(AND(s_Irr!S9=".",s_Irr!AR9&lt;&gt;".",s_Irr!BQ9&lt;&gt;"."),s_dir!AT9/((1/1000)*(s_Irr!AR9+s_Irr!BQ9)),IF(AND(s_Irr!S9=".",s_Irr!AR9=".",s_Irr!BQ9&lt;&gt;"."),s_dir!AT9/((1/1000)*(s_Irr!BQ9)),IF(AND(s_Irr!S9=".",s_Irr!AR9&lt;&gt;".",s_Irr!BQ9="."),s_dir!AT9/((1/1000)*(s_Irr!AR9)),IF(AND(s_Irr!S9&lt;&gt;".",s_Irr!AR9=".",s_Irr!BQ9="."),s_dir!AT9/((1/1000)*(s_Irr!S9)),IF(AND(s_Irr!S9=".",s_Irr!AR9=".",s_Irr!BQ9="."),s_dir!AT9*1000)))))))),".")</f>
        <v>39474.994299944519</v>
      </c>
      <c r="BU9" s="76">
        <f>IFERROR(IF(AND(s_Irr!T9&lt;&gt;".",s_Irr!AS9&lt;&gt;".",s_Irr!BR9&lt;&gt;"."),s_dir!AU9/((1/1000)*(s_Irr!T9+s_Irr!AS9+s_Irr!BR9)),IF(AND(s_Irr!T9&lt;&gt;".",s_Irr!AS9&lt;&gt;".",s_Irr!BR9="."),s_dir!AU9/((1/1000)*(s_Irr!T9+s_Irr!AS9)),IF(AND(s_Irr!T9&lt;&gt;".",s_Irr!AS9=".",s_Irr!BR9&lt;&gt;"."),s_dir!AU9/((1/1000)*(s_Irr!T9+s_Irr!BR9)),IF(AND(s_Irr!T9=".",s_Irr!AS9&lt;&gt;".",s_Irr!BR9&lt;&gt;"."),s_dir!AU9/((1/1000)*(s_Irr!AS9+s_Irr!BR9)),IF(AND(s_Irr!T9=".",s_Irr!AS9=".",s_Irr!BR9&lt;&gt;"."),s_dir!AU9/((1/1000)*(s_Irr!BR9)),IF(AND(s_Irr!T9=".",s_Irr!AS9&lt;&gt;".",s_Irr!BR9="."),s_dir!AU9/((1/1000)*(s_Irr!AS9)),IF(AND(s_Irr!T9&lt;&gt;".",s_Irr!AS9=".",s_Irr!BR9="."),s_dir!AU9/((1/1000)*(s_Irr!T9)),IF(AND(s_Irr!T9=".",s_Irr!AS9=".",s_Irr!BR9="."),s_dir!AU9*1000)))))))),".")</f>
        <v>39474.994299944519</v>
      </c>
      <c r="BV9" s="76">
        <f>IFERROR(IF(AND(s_Irr!U9&lt;&gt;".",s_Irr!AT9&lt;&gt;".",s_Irr!BS9&lt;&gt;"."),s_dir!AV9/((1/1000)*(s_Irr!U9+s_Irr!AT9+s_Irr!BS9)),IF(AND(s_Irr!U9&lt;&gt;".",s_Irr!AT9&lt;&gt;".",s_Irr!BS9="."),s_dir!AV9/((1/1000)*(s_Irr!U9+s_Irr!AT9)),IF(AND(s_Irr!U9&lt;&gt;".",s_Irr!AT9=".",s_Irr!BS9&lt;&gt;"."),s_dir!AV9/((1/1000)*(s_Irr!U9+s_Irr!BS9)),IF(AND(s_Irr!U9=".",s_Irr!AT9&lt;&gt;".",s_Irr!BS9&lt;&gt;"."),s_dir!AV9/((1/1000)*(s_Irr!AT9+s_Irr!BS9)),IF(AND(s_Irr!U9=".",s_Irr!AT9=".",s_Irr!BS9&lt;&gt;"."),s_dir!AV9/((1/1000)*(s_Irr!BS9)),IF(AND(s_Irr!U9=".",s_Irr!AT9&lt;&gt;".",s_Irr!BS9="."),s_dir!AV9/((1/1000)*(s_Irr!AT9)),IF(AND(s_Irr!U9&lt;&gt;".",s_Irr!AT9=".",s_Irr!BS9="."),s_dir!AV9/((1/1000)*(s_Irr!U9)),IF(AND(s_Irr!U9=".",s_Irr!AT9=".",s_Irr!BS9="."),s_dir!AV9*1000)))))))),".")</f>
        <v>39474.994299944519</v>
      </c>
      <c r="BW9" s="76">
        <f>IFERROR(IF(AND(s_Irr!V9&lt;&gt;".",s_Irr!AU9&lt;&gt;".",s_Irr!BT9&lt;&gt;"."),s_dir!AW9/((1/1000)*(s_Irr!V9+s_Irr!AU9+s_Irr!BT9)),IF(AND(s_Irr!V9&lt;&gt;".",s_Irr!AU9&lt;&gt;".",s_Irr!BT9="."),s_dir!AW9/((1/1000)*(s_Irr!V9+s_Irr!AU9)),IF(AND(s_Irr!V9&lt;&gt;".",s_Irr!AU9=".",s_Irr!BT9&lt;&gt;"."),s_dir!AW9/((1/1000)*(s_Irr!V9+s_Irr!BT9)),IF(AND(s_Irr!V9=".",s_Irr!AU9&lt;&gt;".",s_Irr!BT9&lt;&gt;"."),s_dir!AW9/((1/1000)*(s_Irr!AU9+s_Irr!BT9)),IF(AND(s_Irr!V9=".",s_Irr!AU9=".",s_Irr!BT9&lt;&gt;"."),s_dir!AW9/((1/1000)*(s_Irr!BT9)),IF(AND(s_Irr!V9=".",s_Irr!AU9&lt;&gt;".",s_Irr!BT9="."),s_dir!AW9/((1/1000)*(s_Irr!AU9)),IF(AND(s_Irr!V9&lt;&gt;".",s_Irr!AU9=".",s_Irr!BT9="."),s_dir!AW9/((1/1000)*(s_Irr!V9)),IF(AND(s_Irr!V9=".",s_Irr!AU9=".",s_Irr!BT9="."),s_dir!AW9*1000)))))))),".")</f>
        <v>39474.994299944519</v>
      </c>
      <c r="BX9" s="76">
        <f>IFERROR(IF(AND(s_Irr!W9&lt;&gt;".",s_Irr!AV9&lt;&gt;".",s_Irr!BU9&lt;&gt;"."),s_dir!AX9/((1/1000)*(s_Irr!W9+s_Irr!AV9+s_Irr!BU9)),IF(AND(s_Irr!W9&lt;&gt;".",s_Irr!AV9&lt;&gt;".",s_Irr!BU9="."),s_dir!AX9/((1/1000)*(s_Irr!W9+s_Irr!AV9)),IF(AND(s_Irr!W9&lt;&gt;".",s_Irr!AV9=".",s_Irr!BU9&lt;&gt;"."),s_dir!AX9/((1/1000)*(s_Irr!W9+s_Irr!BU9)),IF(AND(s_Irr!W9=".",s_Irr!AV9&lt;&gt;".",s_Irr!BU9&lt;&gt;"."),s_dir!AX9/((1/1000)*(s_Irr!AV9+s_Irr!BU9)),IF(AND(s_Irr!W9=".",s_Irr!AV9=".",s_Irr!BU9&lt;&gt;"."),s_dir!AX9/((1/1000)*(s_Irr!BU9)),IF(AND(s_Irr!W9=".",s_Irr!AV9&lt;&gt;".",s_Irr!BU9="."),s_dir!AX9/((1/1000)*(s_Irr!AV9)),IF(AND(s_Irr!W9&lt;&gt;".",s_Irr!AV9=".",s_Irr!BU9="."),s_dir!AX9/((1/1000)*(s_Irr!W9)),IF(AND(s_Irr!W9=".",s_Irr!AV9=".",s_Irr!BU9="."),s_dir!AX9*1000)))))))),".")</f>
        <v>39474.994299944519</v>
      </c>
      <c r="BY9" s="76">
        <f>IFERROR(IF(AND(s_Irr!X9&lt;&gt;".",s_Irr!AW9&lt;&gt;".",s_Irr!BV9&lt;&gt;"."),s_dir!AY9/((1/1000)*(s_Irr!X9+s_Irr!AW9+s_Irr!BV9)),IF(AND(s_Irr!X9&lt;&gt;".",s_Irr!AW9&lt;&gt;".",s_Irr!BV9="."),s_dir!AY9/((1/1000)*(s_Irr!X9+s_Irr!AW9)),IF(AND(s_Irr!X9&lt;&gt;".",s_Irr!AW9=".",s_Irr!BV9&lt;&gt;"."),s_dir!AY9/((1/1000)*(s_Irr!X9+s_Irr!BV9)),IF(AND(s_Irr!X9=".",s_Irr!AW9&lt;&gt;".",s_Irr!BV9&lt;&gt;"."),s_dir!AY9/((1/1000)*(s_Irr!AW9+s_Irr!BV9)),IF(AND(s_Irr!X9=".",s_Irr!AW9=".",s_Irr!BV9&lt;&gt;"."),s_dir!AY9/((1/1000)*(s_Irr!BV9)),IF(AND(s_Irr!X9=".",s_Irr!AW9&lt;&gt;".",s_Irr!BV9="."),s_dir!AY9/((1/1000)*(s_Irr!AW9)),IF(AND(s_Irr!X9&lt;&gt;".",s_Irr!AW9=".",s_Irr!BV9="."),s_dir!AY9/((1/1000)*(s_Irr!X9)),IF(AND(s_Irr!X9=".",s_Irr!AW9=".",s_Irr!BV9="."),s_dir!AY9*1000)))))))),".")</f>
        <v>39474.994299944519</v>
      </c>
      <c r="BZ9" s="76">
        <f>IFERROR(IF(AND(s_Irr!Y9&lt;&gt;".",s_Irr!AX9&lt;&gt;".",s_Irr!BW9&lt;&gt;"."),s_dir!AZ9/((1/1000)*(s_Irr!Y9+s_Irr!AX9+s_Irr!BW9)),IF(AND(s_Irr!Y9&lt;&gt;".",s_Irr!AX9&lt;&gt;".",s_Irr!BW9="."),s_dir!AZ9/((1/1000)*(s_Irr!Y9+s_Irr!AX9)),IF(AND(s_Irr!Y9&lt;&gt;".",s_Irr!AX9=".",s_Irr!BW9&lt;&gt;"."),s_dir!AZ9/((1/1000)*(s_Irr!Y9+s_Irr!BW9)),IF(AND(s_Irr!Y9=".",s_Irr!AX9&lt;&gt;".",s_Irr!BW9&lt;&gt;"."),s_dir!AZ9/((1/1000)*(s_Irr!AX9+s_Irr!BW9)),IF(AND(s_Irr!Y9=".",s_Irr!AX9=".",s_Irr!BW9&lt;&gt;"."),s_dir!AZ9/((1/1000)*(s_Irr!BW9)),IF(AND(s_Irr!Y9=".",s_Irr!AX9&lt;&gt;".",s_Irr!BW9="."),s_dir!AZ9/((1/1000)*(s_Irr!AX9)),IF(AND(s_Irr!Y9&lt;&gt;".",s_Irr!AX9=".",s_Irr!BW9="."),s_dir!AZ9/((1/1000)*(s_Irr!Y9)),IF(AND(s_Irr!Y9=".",s_Irr!AX9=".",s_Irr!BW9="."),s_dir!AZ9*1000)))))))),".")</f>
        <v>39474.994299944519</v>
      </c>
      <c r="CA9" s="76">
        <f>IFERROR(IF(AND(s_Irr!Z9&lt;&gt;".",s_Irr!AY9&lt;&gt;".",s_Irr!BX9&lt;&gt;"."),s_dir!BA9/((1/1000)*(s_Irr!Z9+s_Irr!AY9+s_Irr!BX9)),IF(AND(s_Irr!Z9&lt;&gt;".",s_Irr!AY9&lt;&gt;".",s_Irr!BX9="."),s_dir!BA9/((1/1000)*(s_Irr!Z9+s_Irr!AY9)),IF(AND(s_Irr!Z9&lt;&gt;".",s_Irr!AY9=".",s_Irr!BX9&lt;&gt;"."),s_dir!BA9/((1/1000)*(s_Irr!Z9+s_Irr!BX9)),IF(AND(s_Irr!Z9=".",s_Irr!AY9&lt;&gt;".",s_Irr!BX9&lt;&gt;"."),s_dir!BA9/((1/1000)*(s_Irr!AY9+s_Irr!BX9)),IF(AND(s_Irr!Z9=".",s_Irr!AY9=".",s_Irr!BX9&lt;&gt;"."),s_dir!BA9/((1/1000)*(s_Irr!BX9)),IF(AND(s_Irr!Z9=".",s_Irr!AY9&lt;&gt;".",s_Irr!BX9="."),s_dir!BA9/((1/1000)*(s_Irr!AY9)),IF(AND(s_Irr!Z9&lt;&gt;".",s_Irr!AY9=".",s_Irr!BX9="."),s_dir!BA9/((1/1000)*(s_Irr!Z9)),IF(AND(s_Irr!Z9=".",s_Irr!AY9=".",s_Irr!BX9="."),s_dir!BA9*1000)))))))),".")</f>
        <v>39474.994299944519</v>
      </c>
      <c r="CB9" s="76">
        <f>IFERROR(IF(AND(s_Irr!AA9&lt;&gt;".",s_Irr!AZ9&lt;&gt;".",s_Irr!BY9&lt;&gt;"."),s_dir!BB9/((1/1000)*(s_Irr!AA9+s_Irr!AZ9+s_Irr!BY9)),IF(AND(s_Irr!AA9&lt;&gt;".",s_Irr!AZ9&lt;&gt;".",s_Irr!BY9="."),s_dir!BB9/((1/1000)*(s_Irr!AA9+s_Irr!AZ9)),IF(AND(s_Irr!AA9&lt;&gt;".",s_Irr!AZ9=".",s_Irr!BY9&lt;&gt;"."),s_dir!BB9/((1/1000)*(s_Irr!AA9+s_Irr!BY9)),IF(AND(s_Irr!AA9=".",s_Irr!AZ9&lt;&gt;".",s_Irr!BY9&lt;&gt;"."),s_dir!BB9/((1/1000)*(s_Irr!AZ9+s_Irr!BY9)),IF(AND(s_Irr!AA9=".",s_Irr!AZ9=".",s_Irr!BY9&lt;&gt;"."),s_dir!BB9/((1/1000)*(s_Irr!BY9)),IF(AND(s_Irr!AA9=".",s_Irr!AZ9&lt;&gt;".",s_Irr!BY9="."),s_dir!BB9/((1/1000)*(s_Irr!AZ9)),IF(AND(s_Irr!AA9&lt;&gt;".",s_Irr!AZ9=".",s_Irr!BY9="."),s_dir!BB9/((1/1000)*(s_Irr!AA9)),IF(AND(s_Irr!AA9=".",s_Irr!AZ9=".",s_Irr!BY9="."),s_dir!BB9*1000)))))))),".")</f>
        <v>39474.994299944519</v>
      </c>
      <c r="CC9" s="93">
        <f t="shared" si="2"/>
        <v>19097.962663471444</v>
      </c>
      <c r="CD9" s="93">
        <f>IFERROR(s_C*s_IFAP_far_adj*s_CF_apple*(1/1000)*(s_Irr!C9+s_Irr!AB9+s_Irr!BA9),".")</f>
        <v>4774.490665867861</v>
      </c>
      <c r="CE9" s="93">
        <f>IFERROR(s_C*s_IFAS_far_adj*s_CF_asparagus*(1/1000)*(s_Irr!D9+s_Irr!AC9+s_Irr!BB9),".")</f>
        <v>4774.490665867861</v>
      </c>
      <c r="CF9" s="93">
        <f>IFERROR(s_C*s_IFBT_far_adj*s_CF_beet*(1/1000)*(s_Irr!E9+s_Irr!AD9+s_Irr!BC9),".")</f>
        <v>4774.490665867861</v>
      </c>
      <c r="CG9" s="93">
        <f>IFERROR(s_C*s_IFBE_far_adj*s_CF_berries*(1/1000)*(s_Irr!F9+s_Irr!AE9+s_Irr!BD9),".")</f>
        <v>4774.490665867861</v>
      </c>
      <c r="CH9" s="93">
        <f>IFERROR(s_C*s_IFBR_far_adj*s_CF_broccoli*(1/1000)*(s_Irr!G9+s_Irr!AF9+s_Irr!BE9),".")</f>
        <v>4774.490665867861</v>
      </c>
      <c r="CI9" s="93">
        <f>IFERROR(s_C*s_IFCB_far_adj*s_CF_cabbage*(1/1000)*(s_Irr!H9+s_Irr!AG9+s_Irr!BF9),".")</f>
        <v>4774.490665867861</v>
      </c>
      <c r="CJ9" s="93">
        <f>IFERROR(s_C*s_IFCR_far_adj*s_CF_carrot*(1/1000)*(s_Irr!I9+s_Irr!AH9+s_Irr!BG9),".")</f>
        <v>4774.490665867861</v>
      </c>
      <c r="CK9" s="93">
        <f>IFERROR(s_C*s_IFCI_far_adj*s_CF_citrus*(1/1000)*(s_Irr!J9+s_Irr!AI9+s_Irr!BH9),".")</f>
        <v>4774.490665867861</v>
      </c>
      <c r="CL9" s="93">
        <f>IFERROR(s_C*s_IFCO_far_adj*s_CF_corn*(1/1000)*(s_Irr!K9+s_Irr!AJ9+s_Irr!BI9),".")</f>
        <v>4774.490665867861</v>
      </c>
      <c r="CM9" s="93">
        <f>IFERROR(s_C*s_IFCU_far_adj*s_CF_cucumber*(1/1000)*(s_Irr!L9+s_Irr!AK9+s_Irr!BJ9),".")</f>
        <v>4774.490665867861</v>
      </c>
      <c r="CN9" s="93">
        <f>IFERROR(s_C*s_IFLE_far_adj*s_CF_lettuce*(1/1000)*(s_Irr!M9+s_Irr!AL9+s_Irr!BK9),".")</f>
        <v>4774.490665867861</v>
      </c>
      <c r="CO9" s="93">
        <f>IFERROR(s_C*s_IFLI_far_adj*s_CF_lima_bean*(1/1000)*(s_Irr!N9+s_Irr!AM9+s_Irr!BL9),".")</f>
        <v>4774.490665867861</v>
      </c>
      <c r="CP9" s="93">
        <f>IFERROR(s_C*s_IFOK_far_adj*s_CF_okra*(1/1000)*(s_Irr!O9+s_Irr!AN9+s_Irr!BM9),".")</f>
        <v>4774.490665867861</v>
      </c>
      <c r="CQ9" s="93">
        <f>IFERROR(s_C*s_IFON_far_adj*s_CF_onion*(1/1000)*(s_Irr!P9+s_Irr!AO9+s_Irr!BN9),".")</f>
        <v>4774.490665867861</v>
      </c>
      <c r="CR9" s="93">
        <f>IFERROR(s_C*s_IFPC_far_adj*s_CF_peach*(1/1000)*(s_Irr!Q9+s_Irr!AP9+s_Irr!BO9),".")</f>
        <v>4774.490665867861</v>
      </c>
      <c r="CS9" s="93">
        <f>IFERROR(s_C*s_IFPR_far_adj*s_CF_pear*(1/1000)*(s_Irr!R9+s_Irr!AQ9+s_Irr!BP9),".")</f>
        <v>4774.490665867861</v>
      </c>
      <c r="CT9" s="93">
        <f>IFERROR(s_C*s_IFPE_far_adj*s_CF_peas*(1/1000)*(s_Irr!S9+s_Irr!AR9+s_Irr!BQ9),".")</f>
        <v>4774.490665867861</v>
      </c>
      <c r="CU9" s="93">
        <f>IFERROR(s_C*s_IFPP_far_adj*s_CF_peppers*(1/1000)*(s_Irr!T9+s_Irr!AS9+s_Irr!BR9),".")</f>
        <v>4774.490665867861</v>
      </c>
      <c r="CV9" s="93">
        <f>IFERROR(s_C*s_IFPT_far_adj*s_CF_potato*(1/1000)*(s_Irr!U9+s_Irr!AT9+s_Irr!BS9),".")</f>
        <v>4774.490665867861</v>
      </c>
      <c r="CW9" s="93">
        <f>IFERROR(s_C*s_IFPU_far_adj*s_CF_pumpkin*(1/1000)*(s_Irr!V9+s_Irr!AU9+s_Irr!BT9),".")</f>
        <v>4774.490665867861</v>
      </c>
      <c r="CX9" s="93">
        <f>IFERROR(s_C*s_IFSN_far_adj*s_CF_snap_bean*(1/1000)*(s_Irr!W9+s_Irr!AV9+s_Irr!BU9),".")</f>
        <v>4774.490665867861</v>
      </c>
      <c r="CY9" s="93">
        <f>IFERROR(s_C*s_IFST_far_adj*s_CF_strawberry*(1/1000)*(s_Irr!X9+s_Irr!AW9+s_Irr!BV9),".")</f>
        <v>4774.490665867861</v>
      </c>
      <c r="CZ9" s="93">
        <f>IFERROR(s_C*s_IFTO_far_adj*s_CF_tomato*(1/1000)*(s_Irr!Y9+s_Irr!AX9+s_Irr!BW9),".")</f>
        <v>4774.490665867861</v>
      </c>
      <c r="DA9" s="93">
        <f>IFERROR(s_C*s_IFRI_far_adj*s_CF_rice*(1/1000)*(s_Irr!Z9+s_Irr!AY9+s_Irr!BX9),".")</f>
        <v>4774.490665867861</v>
      </c>
      <c r="DB9" s="93">
        <f>IFERROR(s_C*s_IFCG_far_adj*s_CF_cereal*(1/1000)*(s_Irr!AA9+s_Irr!AZ9+s_Irr!BY9),".")</f>
        <v>4774.490665867861</v>
      </c>
    </row>
    <row r="10" spans="1:106" x14ac:dyDescent="0.25">
      <c r="A10" s="94" t="s">
        <v>20</v>
      </c>
      <c r="B10" s="90" t="s">
        <v>349</v>
      </c>
      <c r="C10" s="15">
        <f t="shared" si="3"/>
        <v>152.46684606309401</v>
      </c>
      <c r="D10" s="76">
        <f>IFERROR(IF(AND(s_Irr!C10&lt;&gt;".",s_Irr!AB10&lt;&gt;".",s_Irr!BA10&lt;&gt;"."),s_dir!D10/((1/1000)*(s_Irr!C10+s_Irr!AB10+s_Irr!BA10)),IF(AND(s_Irr!C10&lt;&gt;".",s_Irr!AB10&lt;&gt;".",s_Irr!BA10="."),s_dir!D10/((1/1000)*(s_Irr!C10+s_Irr!AB10)),IF(AND(s_Irr!C10&lt;&gt;".",s_Irr!AB10=".",s_Irr!BA10&lt;&gt;"."),s_dir!D10/((1/1000)*(s_Irr!C10+s_Irr!BA10)),IF(AND(s_Irr!C10=".",s_Irr!AB10&lt;&gt;".",s_Irr!BA10&lt;&gt;"."),s_dir!D10/((1/1000)*(s_Irr!AB10+s_Irr!BA10)),IF(AND(s_Irr!C10=".",s_Irr!AB10=".",s_Irr!BA10&lt;&gt;"."),s_dir!D10/((1/1000)*(s_Irr!BA10)),IF(AND(s_Irr!C10=".",s_Irr!AB10&lt;&gt;".",s_Irr!BA10="."),s_dir!D10/((1/1000)*(s_Irr!AB10)),IF(AND(s_Irr!C10&lt;&gt;".",s_Irr!AB10=".",s_Irr!BA10="."),s_dir!D10/((1/1000)*(s_Irr!C10)),IF(AND(s_Irr!C10=".",s_Irr!AB10=".",s_Irr!BA10="."),s_dir!D10*1000)))))))),".")</f>
        <v>688.45093577107423</v>
      </c>
      <c r="E10" s="76">
        <f>IFERROR(IF(AND(s_Irr!D10&lt;&gt;".",s_Irr!AC10&lt;&gt;".",s_Irr!BB10&lt;&gt;"."),s_dir!E10/((1/1000)*(s_Irr!D10+s_Irr!AC10+s_Irr!BB10)),IF(AND(s_Irr!D10&lt;&gt;".",s_Irr!AC10&lt;&gt;".",s_Irr!BB10="."),s_dir!E10/((1/1000)*(s_Irr!D10+s_Irr!AC10)),IF(AND(s_Irr!D10&lt;&gt;".",s_Irr!AC10=".",s_Irr!BB10&lt;&gt;"."),s_dir!E10/((1/1000)*(s_Irr!D10+s_Irr!BB10)),IF(AND(s_Irr!D10=".",s_Irr!AC10&lt;&gt;".",s_Irr!BB10&lt;&gt;"."),s_dir!E10/((1/1000)*(s_Irr!AC10+s_Irr!BB10)),IF(AND(s_Irr!D10=".",s_Irr!AC10=".",s_Irr!BB10&lt;&gt;"."),s_dir!E10/((1/1000)*(s_Irr!BB10)),IF(AND(s_Irr!D10=".",s_Irr!AC10&lt;&gt;".",s_Irr!BB10="."),s_dir!E10/((1/1000)*(s_Irr!AC10)),IF(AND(s_Irr!D10&lt;&gt;".",s_Irr!AC10=".",s_Irr!BB10="."),s_dir!E10/((1/1000)*(s_Irr!D10)),IF(AND(s_Irr!D10=".",s_Irr!AC10=".",s_Irr!BB10="."),s_dir!E10*1000)))))))),".")</f>
        <v>374.53529325229186</v>
      </c>
      <c r="F10" s="76">
        <f>IFERROR(IF(AND(s_Irr!E10&lt;&gt;".",s_Irr!AD10&lt;&gt;".",s_Irr!BC10&lt;&gt;"."),s_dir!F10/((1/1000)*(s_Irr!E10+s_Irr!AD10+s_Irr!BC10)),IF(AND(s_Irr!E10&lt;&gt;".",s_Irr!AD10&lt;&gt;".",s_Irr!BC10="."),s_dir!F10/((1/1000)*(s_Irr!E10+s_Irr!AD10)),IF(AND(s_Irr!E10&lt;&gt;".",s_Irr!AD10=".",s_Irr!BC10&lt;&gt;"."),s_dir!F10/((1/1000)*(s_Irr!E10+s_Irr!BC10)),IF(AND(s_Irr!E10=".",s_Irr!AD10&lt;&gt;".",s_Irr!BC10&lt;&gt;"."),s_dir!F10/((1/1000)*(s_Irr!AD10+s_Irr!BC10)),IF(AND(s_Irr!E10=".",s_Irr!AD10=".",s_Irr!BC10&lt;&gt;"."),s_dir!F10/((1/1000)*(s_Irr!BC10)),IF(AND(s_Irr!E10=".",s_Irr!AD10&lt;&gt;".",s_Irr!BC10="."),s_dir!F10/((1/1000)*(s_Irr!AD10)),IF(AND(s_Irr!E10&lt;&gt;".",s_Irr!AD10=".",s_Irr!BC10="."),s_dir!F10/((1/1000)*(s_Irr!E10)),IF(AND(s_Irr!E10=".",s_Irr!AD10=".",s_Irr!BC10="."),s_dir!F10*1000)))))))),".")</f>
        <v>441.37252907389097</v>
      </c>
      <c r="G10" s="76">
        <f>IFERROR(IF(AND(s_Irr!F10&lt;&gt;".",s_Irr!AE10&lt;&gt;".",s_Irr!BD10&lt;&gt;"."),s_dir!G10/((1/1000)*(s_Irr!F10+s_Irr!AE10+s_Irr!BD10)),IF(AND(s_Irr!F10&lt;&gt;".",s_Irr!AE10&lt;&gt;".",s_Irr!BD10="."),s_dir!G10/((1/1000)*(s_Irr!F10+s_Irr!AE10)),IF(AND(s_Irr!F10&lt;&gt;".",s_Irr!AE10=".",s_Irr!BD10&lt;&gt;"."),s_dir!G10/((1/1000)*(s_Irr!F10+s_Irr!BD10)),IF(AND(s_Irr!F10=".",s_Irr!AE10&lt;&gt;".",s_Irr!BD10&lt;&gt;"."),s_dir!G10/((1/1000)*(s_Irr!AE10+s_Irr!BD10)),IF(AND(s_Irr!F10=".",s_Irr!AE10=".",s_Irr!BD10&lt;&gt;"."),s_dir!G10/((1/1000)*(s_Irr!BD10)),IF(AND(s_Irr!F10=".",s_Irr!AE10&lt;&gt;".",s_Irr!BD10="."),s_dir!G10/((1/1000)*(s_Irr!AE10)),IF(AND(s_Irr!F10&lt;&gt;".",s_Irr!AE10=".",s_Irr!BD10="."),s_dir!G10/((1/1000)*(s_Irr!F10)),IF(AND(s_Irr!F10=".",s_Irr!AE10=".",s_Irr!BD10="."),s_dir!G10*1000)))))))),".")</f>
        <v>730.2324090880428</v>
      </c>
      <c r="H10" s="76">
        <f>IFERROR(IF(AND(s_Irr!G10&lt;&gt;".",s_Irr!AF10&lt;&gt;".",s_Irr!BE10&lt;&gt;"."),s_dir!H10/((1/1000)*(s_Irr!G10+s_Irr!AF10+s_Irr!BE10)),IF(AND(s_Irr!G10&lt;&gt;".",s_Irr!AF10&lt;&gt;".",s_Irr!BE10="."),s_dir!H10/((1/1000)*(s_Irr!G10+s_Irr!AF10)),IF(AND(s_Irr!G10&lt;&gt;".",s_Irr!AF10=".",s_Irr!BE10&lt;&gt;"."),s_dir!H10/((1/1000)*(s_Irr!G10+s_Irr!BE10)),IF(AND(s_Irr!G10=".",s_Irr!AF10&lt;&gt;".",s_Irr!BE10&lt;&gt;"."),s_dir!H10/((1/1000)*(s_Irr!AF10+s_Irr!BE10)),IF(AND(s_Irr!G10=".",s_Irr!AF10=".",s_Irr!BE10&lt;&gt;"."),s_dir!H10/((1/1000)*(s_Irr!BE10)),IF(AND(s_Irr!G10=".",s_Irr!AF10&lt;&gt;".",s_Irr!BE10="."),s_dir!H10/((1/1000)*(s_Irr!AF10)),IF(AND(s_Irr!G10&lt;&gt;".",s_Irr!AF10=".",s_Irr!BE10="."),s_dir!H10/((1/1000)*(s_Irr!G10)),IF(AND(s_Irr!G10=".",s_Irr!AF10=".",s_Irr!BE10="."),s_dir!H10*1000)))))))),".")</f>
        <v>557.42654318009011</v>
      </c>
      <c r="I10" s="76">
        <f>IFERROR(IF(AND(s_Irr!H10&lt;&gt;".",s_Irr!AG10&lt;&gt;".",s_Irr!BF10&lt;&gt;"."),s_dir!I10/((1/1000)*(s_Irr!H10+s_Irr!AG10+s_Irr!BF10)),IF(AND(s_Irr!H10&lt;&gt;".",s_Irr!AG10&lt;&gt;".",s_Irr!BF10="."),s_dir!I10/((1/1000)*(s_Irr!H10+s_Irr!AG10)),IF(AND(s_Irr!H10&lt;&gt;".",s_Irr!AG10=".",s_Irr!BF10&lt;&gt;"."),s_dir!I10/((1/1000)*(s_Irr!H10+s_Irr!BF10)),IF(AND(s_Irr!H10=".",s_Irr!AG10&lt;&gt;".",s_Irr!BF10&lt;&gt;"."),s_dir!I10/((1/1000)*(s_Irr!AG10+s_Irr!BF10)),IF(AND(s_Irr!H10=".",s_Irr!AG10=".",s_Irr!BF10&lt;&gt;"."),s_dir!I10/((1/1000)*(s_Irr!BF10)),IF(AND(s_Irr!H10=".",s_Irr!AG10&lt;&gt;".",s_Irr!BF10="."),s_dir!I10/((1/1000)*(s_Irr!AG10)),IF(AND(s_Irr!H10&lt;&gt;".",s_Irr!AG10=".",s_Irr!BF10="."),s_dir!I10/((1/1000)*(s_Irr!H10)),IF(AND(s_Irr!H10=".",s_Irr!AG10=".",s_Irr!BF10="."),s_dir!I10*1000)))))))),".")</f>
        <v>374.53529325229186</v>
      </c>
      <c r="J10" s="76">
        <f>IFERROR(IF(AND(s_Irr!I10&lt;&gt;".",s_Irr!AH10&lt;&gt;".",s_Irr!BG10&lt;&gt;"."),s_dir!J10/((1/1000)*(s_Irr!I10+s_Irr!AH10+s_Irr!BG10)),IF(AND(s_Irr!I10&lt;&gt;".",s_Irr!AH10&lt;&gt;".",s_Irr!BG10="."),s_dir!J10/((1/1000)*(s_Irr!I10+s_Irr!AH10)),IF(AND(s_Irr!I10&lt;&gt;".",s_Irr!AH10=".",s_Irr!BG10&lt;&gt;"."),s_dir!J10/((1/1000)*(s_Irr!I10+s_Irr!BG10)),IF(AND(s_Irr!I10=".",s_Irr!AH10&lt;&gt;".",s_Irr!BG10&lt;&gt;"."),s_dir!J10/((1/1000)*(s_Irr!AH10+s_Irr!BG10)),IF(AND(s_Irr!I10=".",s_Irr!AH10=".",s_Irr!BG10&lt;&gt;"."),s_dir!J10/((1/1000)*(s_Irr!BG10)),IF(AND(s_Irr!I10=".",s_Irr!AH10&lt;&gt;".",s_Irr!BG10="."),s_dir!J10/((1/1000)*(s_Irr!AH10)),IF(AND(s_Irr!I10&lt;&gt;".",s_Irr!AH10=".",s_Irr!BG10="."),s_dir!J10/((1/1000)*(s_Irr!I10)),IF(AND(s_Irr!I10=".",s_Irr!AH10=".",s_Irr!BG10="."),s_dir!J10*1000)))))))),".")</f>
        <v>441.37252907389097</v>
      </c>
      <c r="K10" s="76">
        <f>IFERROR(IF(AND(s_Irr!J10&lt;&gt;".",s_Irr!AI10&lt;&gt;".",s_Irr!BH10&lt;&gt;"."),s_dir!K10/((1/1000)*(s_Irr!J10+s_Irr!AI10+s_Irr!BH10)),IF(AND(s_Irr!J10&lt;&gt;".",s_Irr!AI10&lt;&gt;".",s_Irr!BH10="."),s_dir!K10/((1/1000)*(s_Irr!J10+s_Irr!AI10)),IF(AND(s_Irr!J10&lt;&gt;".",s_Irr!AI10=".",s_Irr!BH10&lt;&gt;"."),s_dir!K10/((1/1000)*(s_Irr!J10+s_Irr!BH10)),IF(AND(s_Irr!J10=".",s_Irr!AI10&lt;&gt;".",s_Irr!BH10&lt;&gt;"."),s_dir!K10/((1/1000)*(s_Irr!AI10+s_Irr!BH10)),IF(AND(s_Irr!J10=".",s_Irr!AI10=".",s_Irr!BH10&lt;&gt;"."),s_dir!K10/((1/1000)*(s_Irr!BH10)),IF(AND(s_Irr!J10=".",s_Irr!AI10&lt;&gt;".",s_Irr!BH10="."),s_dir!K10/((1/1000)*(s_Irr!AI10)),IF(AND(s_Irr!J10&lt;&gt;".",s_Irr!AI10=".",s_Irr!BH10="."),s_dir!K10/((1/1000)*(s_Irr!J10)),IF(AND(s_Irr!J10=".",s_Irr!AI10=".",s_Irr!BH10="."),s_dir!K10*1000)))))))),".")</f>
        <v>688.45093577107423</v>
      </c>
      <c r="L10" s="76">
        <f>IFERROR(IF(AND(s_Irr!K10&lt;&gt;".",s_Irr!AJ10&lt;&gt;".",s_Irr!BI10&lt;&gt;"."),s_dir!L10/((1/1000)*(s_Irr!K10+s_Irr!AJ10+s_Irr!BI10)),IF(AND(s_Irr!K10&lt;&gt;".",s_Irr!AJ10&lt;&gt;".",s_Irr!BI10="."),s_dir!L10/((1/1000)*(s_Irr!K10+s_Irr!AJ10)),IF(AND(s_Irr!K10&lt;&gt;".",s_Irr!AJ10=".",s_Irr!BI10&lt;&gt;"."),s_dir!L10/((1/1000)*(s_Irr!K10+s_Irr!BI10)),IF(AND(s_Irr!K10=".",s_Irr!AJ10&lt;&gt;".",s_Irr!BI10&lt;&gt;"."),s_dir!L10/((1/1000)*(s_Irr!AJ10+s_Irr!BI10)),IF(AND(s_Irr!K10=".",s_Irr!AJ10=".",s_Irr!BI10&lt;&gt;"."),s_dir!L10/((1/1000)*(s_Irr!BI10)),IF(AND(s_Irr!K10=".",s_Irr!AJ10&lt;&gt;".",s_Irr!BI10="."),s_dir!L10/((1/1000)*(s_Irr!AJ10)),IF(AND(s_Irr!K10&lt;&gt;".",s_Irr!AJ10=".",s_Irr!BI10="."),s_dir!L10/((1/1000)*(s_Irr!K10)),IF(AND(s_Irr!K10=".",s_Irr!AJ10=".",s_Irr!BI10="."),s_dir!L10*1000)))))))),".")</f>
        <v>484.61304169520258</v>
      </c>
      <c r="M10" s="76">
        <f>IFERROR(IF(AND(s_Irr!L10&lt;&gt;".",s_Irr!AK10&lt;&gt;".",s_Irr!BJ10&lt;&gt;"."),s_dir!M10/((1/1000)*(s_Irr!L10+s_Irr!AK10+s_Irr!BJ10)),IF(AND(s_Irr!L10&lt;&gt;".",s_Irr!AK10&lt;&gt;".",s_Irr!BJ10="."),s_dir!M10/((1/1000)*(s_Irr!L10+s_Irr!AK10)),IF(AND(s_Irr!L10&lt;&gt;".",s_Irr!AK10=".",s_Irr!BJ10&lt;&gt;"."),s_dir!M10/((1/1000)*(s_Irr!L10+s_Irr!BJ10)),IF(AND(s_Irr!L10=".",s_Irr!AK10&lt;&gt;".",s_Irr!BJ10&lt;&gt;"."),s_dir!M10/((1/1000)*(s_Irr!AK10+s_Irr!BJ10)),IF(AND(s_Irr!L10=".",s_Irr!AK10=".",s_Irr!BJ10&lt;&gt;"."),s_dir!M10/((1/1000)*(s_Irr!BJ10)),IF(AND(s_Irr!L10=".",s_Irr!AK10&lt;&gt;".",s_Irr!BJ10="."),s_dir!M10/((1/1000)*(s_Irr!AK10)),IF(AND(s_Irr!L10&lt;&gt;".",s_Irr!AK10=".",s_Irr!BJ10="."),s_dir!M10/((1/1000)*(s_Irr!L10)),IF(AND(s_Irr!L10=".",s_Irr!AK10=".",s_Irr!BJ10="."),s_dir!M10*1000)))))))),".")</f>
        <v>557.42654318009011</v>
      </c>
      <c r="N10" s="76">
        <f>IFERROR(IF(AND(s_Irr!M10&lt;&gt;".",s_Irr!AL10&lt;&gt;".",s_Irr!BK10&lt;&gt;"."),s_dir!N10/((1/1000)*(s_Irr!M10+s_Irr!AL10+s_Irr!BK10)),IF(AND(s_Irr!M10&lt;&gt;".",s_Irr!AL10&lt;&gt;".",s_Irr!BK10="."),s_dir!N10/((1/1000)*(s_Irr!M10+s_Irr!AL10)),IF(AND(s_Irr!M10&lt;&gt;".",s_Irr!AL10=".",s_Irr!BK10&lt;&gt;"."),s_dir!N10/((1/1000)*(s_Irr!M10+s_Irr!BK10)),IF(AND(s_Irr!M10=".",s_Irr!AL10&lt;&gt;".",s_Irr!BK10&lt;&gt;"."),s_dir!N10/((1/1000)*(s_Irr!AL10+s_Irr!BK10)),IF(AND(s_Irr!M10=".",s_Irr!AL10=".",s_Irr!BK10&lt;&gt;"."),s_dir!N10/((1/1000)*(s_Irr!BK10)),IF(AND(s_Irr!M10=".",s_Irr!AL10&lt;&gt;".",s_Irr!BK10="."),s_dir!N10/((1/1000)*(s_Irr!AL10)),IF(AND(s_Irr!M10&lt;&gt;".",s_Irr!AL10=".",s_Irr!BK10="."),s_dir!N10/((1/1000)*(s_Irr!M10)),IF(AND(s_Irr!M10=".",s_Irr!AL10=".",s_Irr!BK10="."),s_dir!N10*1000)))))))),".")</f>
        <v>374.53529325229186</v>
      </c>
      <c r="O10" s="76">
        <f>IFERROR(IF(AND(s_Irr!N10&lt;&gt;".",s_Irr!AM10&lt;&gt;".",s_Irr!BL10&lt;&gt;"."),s_dir!O10/((1/1000)*(s_Irr!N10+s_Irr!AM10+s_Irr!BL10)),IF(AND(s_Irr!N10&lt;&gt;".",s_Irr!AM10&lt;&gt;".",s_Irr!BL10="."),s_dir!O10/((1/1000)*(s_Irr!N10+s_Irr!AM10)),IF(AND(s_Irr!N10&lt;&gt;".",s_Irr!AM10=".",s_Irr!BL10&lt;&gt;"."),s_dir!O10/((1/1000)*(s_Irr!N10+s_Irr!BL10)),IF(AND(s_Irr!N10=".",s_Irr!AM10&lt;&gt;".",s_Irr!BL10&lt;&gt;"."),s_dir!O10/((1/1000)*(s_Irr!AM10+s_Irr!BL10)),IF(AND(s_Irr!N10=".",s_Irr!AM10=".",s_Irr!BL10&lt;&gt;"."),s_dir!O10/((1/1000)*(s_Irr!BL10)),IF(AND(s_Irr!N10=".",s_Irr!AM10&lt;&gt;".",s_Irr!BL10="."),s_dir!O10/((1/1000)*(s_Irr!AM10)),IF(AND(s_Irr!N10&lt;&gt;".",s_Irr!AM10=".",s_Irr!BL10="."),s_dir!O10/((1/1000)*(s_Irr!N10)),IF(AND(s_Irr!N10=".",s_Irr!AM10=".",s_Irr!BL10="."),s_dir!O10*1000)))))))),".")</f>
        <v>450.3011897221478</v>
      </c>
      <c r="P10" s="76">
        <f>IFERROR(IF(AND(s_Irr!O10&lt;&gt;".",s_Irr!AN10&lt;&gt;".",s_Irr!BM10&lt;&gt;"."),s_dir!P10/((1/1000)*(s_Irr!O10+s_Irr!AN10+s_Irr!BM10)),IF(AND(s_Irr!O10&lt;&gt;".",s_Irr!AN10&lt;&gt;".",s_Irr!BM10="."),s_dir!P10/((1/1000)*(s_Irr!O10+s_Irr!AN10)),IF(AND(s_Irr!O10&lt;&gt;".",s_Irr!AN10=".",s_Irr!BM10&lt;&gt;"."),s_dir!P10/((1/1000)*(s_Irr!O10+s_Irr!BM10)),IF(AND(s_Irr!O10=".",s_Irr!AN10&lt;&gt;".",s_Irr!BM10&lt;&gt;"."),s_dir!P10/((1/1000)*(s_Irr!AN10+s_Irr!BM10)),IF(AND(s_Irr!O10=".",s_Irr!AN10=".",s_Irr!BM10&lt;&gt;"."),s_dir!P10/((1/1000)*(s_Irr!BM10)),IF(AND(s_Irr!O10=".",s_Irr!AN10&lt;&gt;".",s_Irr!BM10="."),s_dir!P10/((1/1000)*(s_Irr!AN10)),IF(AND(s_Irr!O10&lt;&gt;".",s_Irr!AN10=".",s_Irr!BM10="."),s_dir!P10/((1/1000)*(s_Irr!O10)),IF(AND(s_Irr!O10=".",s_Irr!AN10=".",s_Irr!BM10="."),s_dir!P10*1000)))))))),".")</f>
        <v>557.42654318009011</v>
      </c>
      <c r="Q10" s="76">
        <f>IFERROR(IF(AND(s_Irr!P10&lt;&gt;".",s_Irr!AO10&lt;&gt;".",s_Irr!BN10&lt;&gt;"."),s_dir!Q10/((1/1000)*(s_Irr!P10+s_Irr!AO10+s_Irr!BN10)),IF(AND(s_Irr!P10&lt;&gt;".",s_Irr!AO10&lt;&gt;".",s_Irr!BN10="."),s_dir!Q10/((1/1000)*(s_Irr!P10+s_Irr!AO10)),IF(AND(s_Irr!P10&lt;&gt;".",s_Irr!AO10=".",s_Irr!BN10&lt;&gt;"."),s_dir!Q10/((1/1000)*(s_Irr!P10+s_Irr!BN10)),IF(AND(s_Irr!P10=".",s_Irr!AO10&lt;&gt;".",s_Irr!BN10&lt;&gt;"."),s_dir!Q10/((1/1000)*(s_Irr!AO10+s_Irr!BN10)),IF(AND(s_Irr!P10=".",s_Irr!AO10=".",s_Irr!BN10&lt;&gt;"."),s_dir!Q10/((1/1000)*(s_Irr!BN10)),IF(AND(s_Irr!P10=".",s_Irr!AO10&lt;&gt;".",s_Irr!BN10="."),s_dir!Q10/((1/1000)*(s_Irr!AO10)),IF(AND(s_Irr!P10&lt;&gt;".",s_Irr!AO10=".",s_Irr!BN10="."),s_dir!Q10/((1/1000)*(s_Irr!P10)),IF(AND(s_Irr!P10=".",s_Irr!AO10=".",s_Irr!BN10="."),s_dir!Q10*1000)))))))),".")</f>
        <v>441.37252907389097</v>
      </c>
      <c r="R10" s="76">
        <f>IFERROR(IF(AND(s_Irr!Q10&lt;&gt;".",s_Irr!AP10&lt;&gt;".",s_Irr!BO10&lt;&gt;"."),s_dir!R10/((1/1000)*(s_Irr!Q10+s_Irr!AP10+s_Irr!BO10)),IF(AND(s_Irr!Q10&lt;&gt;".",s_Irr!AP10&lt;&gt;".",s_Irr!BO10="."),s_dir!R10/((1/1000)*(s_Irr!Q10+s_Irr!AP10)),IF(AND(s_Irr!Q10&lt;&gt;".",s_Irr!AP10=".",s_Irr!BO10&lt;&gt;"."),s_dir!R10/((1/1000)*(s_Irr!Q10+s_Irr!BO10)),IF(AND(s_Irr!Q10=".",s_Irr!AP10&lt;&gt;".",s_Irr!BO10&lt;&gt;"."),s_dir!R10/((1/1000)*(s_Irr!AP10+s_Irr!BO10)),IF(AND(s_Irr!Q10=".",s_Irr!AP10=".",s_Irr!BO10&lt;&gt;"."),s_dir!R10/((1/1000)*(s_Irr!BO10)),IF(AND(s_Irr!Q10=".",s_Irr!AP10&lt;&gt;".",s_Irr!BO10="."),s_dir!R10/((1/1000)*(s_Irr!AP10)),IF(AND(s_Irr!Q10&lt;&gt;".",s_Irr!AP10=".",s_Irr!BO10="."),s_dir!R10/((1/1000)*(s_Irr!Q10)),IF(AND(s_Irr!Q10=".",s_Irr!AP10=".",s_Irr!BO10="."),s_dir!R10*1000)))))))),".")</f>
        <v>688.45093577107423</v>
      </c>
      <c r="S10" s="76">
        <f>IFERROR(IF(AND(s_Irr!R10&lt;&gt;".",s_Irr!AQ10&lt;&gt;".",s_Irr!BP10&lt;&gt;"."),s_dir!S10/((1/1000)*(s_Irr!R10+s_Irr!AQ10+s_Irr!BP10)),IF(AND(s_Irr!R10&lt;&gt;".",s_Irr!AQ10&lt;&gt;".",s_Irr!BP10="."),s_dir!S10/((1/1000)*(s_Irr!R10+s_Irr!AQ10)),IF(AND(s_Irr!R10&lt;&gt;".",s_Irr!AQ10=".",s_Irr!BP10&lt;&gt;"."),s_dir!S10/((1/1000)*(s_Irr!R10+s_Irr!BP10)),IF(AND(s_Irr!R10=".",s_Irr!AQ10&lt;&gt;".",s_Irr!BP10&lt;&gt;"."),s_dir!S10/((1/1000)*(s_Irr!AQ10+s_Irr!BP10)),IF(AND(s_Irr!R10=".",s_Irr!AQ10=".",s_Irr!BP10&lt;&gt;"."),s_dir!S10/((1/1000)*(s_Irr!BP10)),IF(AND(s_Irr!R10=".",s_Irr!AQ10&lt;&gt;".",s_Irr!BP10="."),s_dir!S10/((1/1000)*(s_Irr!AQ10)),IF(AND(s_Irr!R10&lt;&gt;".",s_Irr!AQ10=".",s_Irr!BP10="."),s_dir!S10/((1/1000)*(s_Irr!R10)),IF(AND(s_Irr!R10=".",s_Irr!AQ10=".",s_Irr!BP10="."),s_dir!S10*1000)))))))),".")</f>
        <v>688.45093577107423</v>
      </c>
      <c r="T10" s="76">
        <f>IFERROR(IF(AND(s_Irr!S10&lt;&gt;".",s_Irr!AR10&lt;&gt;".",s_Irr!BQ10&lt;&gt;"."),s_dir!T10/((1/1000)*(s_Irr!S10+s_Irr!AR10+s_Irr!BQ10)),IF(AND(s_Irr!S10&lt;&gt;".",s_Irr!AR10&lt;&gt;".",s_Irr!BQ10="."),s_dir!T10/((1/1000)*(s_Irr!S10+s_Irr!AR10)),IF(AND(s_Irr!S10&lt;&gt;".",s_Irr!AR10=".",s_Irr!BQ10&lt;&gt;"."),s_dir!T10/((1/1000)*(s_Irr!S10+s_Irr!BQ10)),IF(AND(s_Irr!S10=".",s_Irr!AR10&lt;&gt;".",s_Irr!BQ10&lt;&gt;"."),s_dir!T10/((1/1000)*(s_Irr!AR10+s_Irr!BQ10)),IF(AND(s_Irr!S10=".",s_Irr!AR10=".",s_Irr!BQ10&lt;&gt;"."),s_dir!T10/((1/1000)*(s_Irr!BQ10)),IF(AND(s_Irr!S10=".",s_Irr!AR10&lt;&gt;".",s_Irr!BQ10="."),s_dir!T10/((1/1000)*(s_Irr!AR10)),IF(AND(s_Irr!S10&lt;&gt;".",s_Irr!AR10=".",s_Irr!BQ10="."),s_dir!T10/((1/1000)*(s_Irr!S10)),IF(AND(s_Irr!S10=".",s_Irr!AR10=".",s_Irr!BQ10="."),s_dir!T10*1000)))))))),".")</f>
        <v>450.3011897221478</v>
      </c>
      <c r="U10" s="76">
        <f>IFERROR(IF(AND(s_Irr!T10&lt;&gt;".",s_Irr!AS10&lt;&gt;".",s_Irr!BR10&lt;&gt;"."),s_dir!U10/((1/1000)*(s_Irr!T10+s_Irr!AS10+s_Irr!BR10)),IF(AND(s_Irr!T10&lt;&gt;".",s_Irr!AS10&lt;&gt;".",s_Irr!BR10="."),s_dir!U10/((1/1000)*(s_Irr!T10+s_Irr!AS10)),IF(AND(s_Irr!T10&lt;&gt;".",s_Irr!AS10=".",s_Irr!BR10&lt;&gt;"."),s_dir!U10/((1/1000)*(s_Irr!T10+s_Irr!BR10)),IF(AND(s_Irr!T10=".",s_Irr!AS10&lt;&gt;".",s_Irr!BR10&lt;&gt;"."),s_dir!U10/((1/1000)*(s_Irr!AS10+s_Irr!BR10)),IF(AND(s_Irr!T10=".",s_Irr!AS10=".",s_Irr!BR10&lt;&gt;"."),s_dir!U10/((1/1000)*(s_Irr!BR10)),IF(AND(s_Irr!T10=".",s_Irr!AS10&lt;&gt;".",s_Irr!BR10="."),s_dir!U10/((1/1000)*(s_Irr!AS10)),IF(AND(s_Irr!T10&lt;&gt;".",s_Irr!AS10=".",s_Irr!BR10="."),s_dir!U10/((1/1000)*(s_Irr!T10)),IF(AND(s_Irr!T10=".",s_Irr!AS10=".",s_Irr!BR10="."),s_dir!U10*1000)))))))),".")</f>
        <v>557.42654318009011</v>
      </c>
      <c r="V10" s="76">
        <f>IFERROR(IF(AND(s_Irr!U10&lt;&gt;".",s_Irr!AT10&lt;&gt;".",s_Irr!BS10&lt;&gt;"."),s_dir!V10/((1/1000)*(s_Irr!U10+s_Irr!AT10+s_Irr!BS10)),IF(AND(s_Irr!U10&lt;&gt;".",s_Irr!AT10&lt;&gt;".",s_Irr!BS10="."),s_dir!V10/((1/1000)*(s_Irr!U10+s_Irr!AT10)),IF(AND(s_Irr!U10&lt;&gt;".",s_Irr!AT10=".",s_Irr!BS10&lt;&gt;"."),s_dir!V10/((1/1000)*(s_Irr!U10+s_Irr!BS10)),IF(AND(s_Irr!U10=".",s_Irr!AT10&lt;&gt;".",s_Irr!BS10&lt;&gt;"."),s_dir!V10/((1/1000)*(s_Irr!AT10+s_Irr!BS10)),IF(AND(s_Irr!U10=".",s_Irr!AT10=".",s_Irr!BS10&lt;&gt;"."),s_dir!V10/((1/1000)*(s_Irr!BS10)),IF(AND(s_Irr!U10=".",s_Irr!AT10&lt;&gt;".",s_Irr!BS10="."),s_dir!V10/((1/1000)*(s_Irr!AT10)),IF(AND(s_Irr!U10&lt;&gt;".",s_Irr!AT10=".",s_Irr!BS10="."),s_dir!V10/((1/1000)*(s_Irr!U10)),IF(AND(s_Irr!U10=".",s_Irr!AT10=".",s_Irr!BS10="."),s_dir!V10*1000)))))))),".")</f>
        <v>387.57775309253697</v>
      </c>
      <c r="W10" s="76">
        <f>IFERROR(IF(AND(s_Irr!V10&lt;&gt;".",s_Irr!AU10&lt;&gt;".",s_Irr!BT10&lt;&gt;"."),s_dir!W10/((1/1000)*(s_Irr!V10+s_Irr!AU10+s_Irr!BT10)),IF(AND(s_Irr!V10&lt;&gt;".",s_Irr!AU10&lt;&gt;".",s_Irr!BT10="."),s_dir!W10/((1/1000)*(s_Irr!V10+s_Irr!AU10)),IF(AND(s_Irr!V10&lt;&gt;".",s_Irr!AU10=".",s_Irr!BT10&lt;&gt;"."),s_dir!W10/((1/1000)*(s_Irr!V10+s_Irr!BT10)),IF(AND(s_Irr!V10=".",s_Irr!AU10&lt;&gt;".",s_Irr!BT10&lt;&gt;"."),s_dir!W10/((1/1000)*(s_Irr!AU10+s_Irr!BT10)),IF(AND(s_Irr!V10=".",s_Irr!AU10=".",s_Irr!BT10&lt;&gt;"."),s_dir!W10/((1/1000)*(s_Irr!BT10)),IF(AND(s_Irr!V10=".",s_Irr!AU10&lt;&gt;".",s_Irr!BT10="."),s_dir!W10/((1/1000)*(s_Irr!AU10)),IF(AND(s_Irr!V10&lt;&gt;".",s_Irr!AU10=".",s_Irr!BT10="."),s_dir!W10/((1/1000)*(s_Irr!V10)),IF(AND(s_Irr!V10=".",s_Irr!AU10=".",s_Irr!BT10="."),s_dir!W10*1000)))))))),".")</f>
        <v>557.42654318009011</v>
      </c>
      <c r="X10" s="76">
        <f>IFERROR(IF(AND(s_Irr!W10&lt;&gt;".",s_Irr!AV10&lt;&gt;".",s_Irr!BU10&lt;&gt;"."),s_dir!X10/((1/1000)*(s_Irr!W10+s_Irr!AV10+s_Irr!BU10)),IF(AND(s_Irr!W10&lt;&gt;".",s_Irr!AV10&lt;&gt;".",s_Irr!BU10="."),s_dir!X10/((1/1000)*(s_Irr!W10+s_Irr!AV10)),IF(AND(s_Irr!W10&lt;&gt;".",s_Irr!AV10=".",s_Irr!BU10&lt;&gt;"."),s_dir!X10/((1/1000)*(s_Irr!W10+s_Irr!BU10)),IF(AND(s_Irr!W10=".",s_Irr!AV10&lt;&gt;".",s_Irr!BU10&lt;&gt;"."),s_dir!X10/((1/1000)*(s_Irr!AV10+s_Irr!BU10)),IF(AND(s_Irr!W10=".",s_Irr!AV10=".",s_Irr!BU10&lt;&gt;"."),s_dir!X10/((1/1000)*(s_Irr!BU10)),IF(AND(s_Irr!W10=".",s_Irr!AV10&lt;&gt;".",s_Irr!BU10="."),s_dir!X10/((1/1000)*(s_Irr!AV10)),IF(AND(s_Irr!W10&lt;&gt;".",s_Irr!AV10=".",s_Irr!BU10="."),s_dir!X10/((1/1000)*(s_Irr!W10)),IF(AND(s_Irr!W10=".",s_Irr!AV10=".",s_Irr!BU10="."),s_dir!X10*1000)))))))),".")</f>
        <v>450.3011897221478</v>
      </c>
      <c r="Y10" s="76">
        <f>IFERROR(IF(AND(s_Irr!X10&lt;&gt;".",s_Irr!AW10&lt;&gt;".",s_Irr!BV10&lt;&gt;"."),s_dir!Y10/((1/1000)*(s_Irr!X10+s_Irr!AW10+s_Irr!BV10)),IF(AND(s_Irr!X10&lt;&gt;".",s_Irr!AW10&lt;&gt;".",s_Irr!BV10="."),s_dir!Y10/((1/1000)*(s_Irr!X10+s_Irr!AW10)),IF(AND(s_Irr!X10&lt;&gt;".",s_Irr!AW10=".",s_Irr!BV10&lt;&gt;"."),s_dir!Y10/((1/1000)*(s_Irr!X10+s_Irr!BV10)),IF(AND(s_Irr!X10=".",s_Irr!AW10&lt;&gt;".",s_Irr!BV10&lt;&gt;"."),s_dir!Y10/((1/1000)*(s_Irr!AW10+s_Irr!BV10)),IF(AND(s_Irr!X10=".",s_Irr!AW10=".",s_Irr!BV10&lt;&gt;"."),s_dir!Y10/((1/1000)*(s_Irr!BV10)),IF(AND(s_Irr!X10=".",s_Irr!AW10&lt;&gt;".",s_Irr!BV10="."),s_dir!Y10/((1/1000)*(s_Irr!AW10)),IF(AND(s_Irr!X10&lt;&gt;".",s_Irr!AW10=".",s_Irr!BV10="."),s_dir!Y10/((1/1000)*(s_Irr!X10)),IF(AND(s_Irr!X10=".",s_Irr!AW10=".",s_Irr!BV10="."),s_dir!Y10*1000)))))))),".")</f>
        <v>720.77442913080995</v>
      </c>
      <c r="Z10" s="76">
        <f>IFERROR(IF(AND(s_Irr!Y10&lt;&gt;".",s_Irr!AX10&lt;&gt;".",s_Irr!BW10&lt;&gt;"."),s_dir!Z10/((1/1000)*(s_Irr!Y10+s_Irr!AX10+s_Irr!BW10)),IF(AND(s_Irr!Y10&lt;&gt;".",s_Irr!AX10&lt;&gt;".",s_Irr!BW10="."),s_dir!Z10/((1/1000)*(s_Irr!Y10+s_Irr!AX10)),IF(AND(s_Irr!Y10&lt;&gt;".",s_Irr!AX10=".",s_Irr!BW10&lt;&gt;"."),s_dir!Z10/((1/1000)*(s_Irr!Y10+s_Irr!BW10)),IF(AND(s_Irr!Y10=".",s_Irr!AX10&lt;&gt;".",s_Irr!BW10&lt;&gt;"."),s_dir!Z10/((1/1000)*(s_Irr!AX10+s_Irr!BW10)),IF(AND(s_Irr!Y10=".",s_Irr!AX10=".",s_Irr!BW10&lt;&gt;"."),s_dir!Z10/((1/1000)*(s_Irr!BW10)),IF(AND(s_Irr!Y10=".",s_Irr!AX10&lt;&gt;".",s_Irr!BW10="."),s_dir!Z10/((1/1000)*(s_Irr!AX10)),IF(AND(s_Irr!Y10&lt;&gt;".",s_Irr!AX10=".",s_Irr!BW10="."),s_dir!Z10/((1/1000)*(s_Irr!Y10)),IF(AND(s_Irr!Y10=".",s_Irr!AX10=".",s_Irr!BW10="."),s_dir!Z10*1000)))))))),".")</f>
        <v>557.42654318009011</v>
      </c>
      <c r="AA10" s="76">
        <f>IFERROR(IF(AND(s_Irr!Z10&lt;&gt;".",s_Irr!AY10&lt;&gt;".",s_Irr!BX10&lt;&gt;"."),s_dir!AA10/((1/1000)*(s_Irr!Z10+s_Irr!AY10+s_Irr!BX10)),IF(AND(s_Irr!Z10&lt;&gt;".",s_Irr!AY10&lt;&gt;".",s_Irr!BX10="."),s_dir!AA10/((1/1000)*(s_Irr!Z10+s_Irr!AY10)),IF(AND(s_Irr!Z10&lt;&gt;".",s_Irr!AY10=".",s_Irr!BX10&lt;&gt;"."),s_dir!AA10/((1/1000)*(s_Irr!Z10+s_Irr!BX10)),IF(AND(s_Irr!Z10=".",s_Irr!AY10&lt;&gt;".",s_Irr!BX10&lt;&gt;"."),s_dir!AA10/((1/1000)*(s_Irr!AY10+s_Irr!BX10)),IF(AND(s_Irr!Z10=".",s_Irr!AY10=".",s_Irr!BX10&lt;&gt;"."),s_dir!AA10/((1/1000)*(s_Irr!BX10)),IF(AND(s_Irr!Z10=".",s_Irr!AY10&lt;&gt;".",s_Irr!BX10="."),s_dir!AA10/((1/1000)*(s_Irr!AY10)),IF(AND(s_Irr!Z10&lt;&gt;".",s_Irr!AY10=".",s_Irr!BX10="."),s_dir!AA10/((1/1000)*(s_Irr!Z10)),IF(AND(s_Irr!Z10=".",s_Irr!AY10=".",s_Irr!BX10="."),s_dir!AA10*1000)))))))),".")</f>
        <v>747.01895017290792</v>
      </c>
      <c r="AB10" s="76">
        <f>IFERROR(IF(AND(s_Irr!AA10&lt;&gt;".",s_Irr!AZ10&lt;&gt;".",s_Irr!BY10&lt;&gt;"."),s_dir!AB10/((1/1000)*(s_Irr!AA10+s_Irr!AZ10+s_Irr!BY10)),IF(AND(s_Irr!AA10&lt;&gt;".",s_Irr!AZ10&lt;&gt;".",s_Irr!BY10="."),s_dir!AB10/((1/1000)*(s_Irr!AA10+s_Irr!AZ10)),IF(AND(s_Irr!AA10&lt;&gt;".",s_Irr!AZ10=".",s_Irr!BY10&lt;&gt;"."),s_dir!AB10/((1/1000)*(s_Irr!AA10+s_Irr!BY10)),IF(AND(s_Irr!AA10=".",s_Irr!AZ10&lt;&gt;".",s_Irr!BY10&lt;&gt;"."),s_dir!AB10/((1/1000)*(s_Irr!AZ10+s_Irr!BY10)),IF(AND(s_Irr!AA10=".",s_Irr!AZ10=".",s_Irr!BY10&lt;&gt;"."),s_dir!AB10/((1/1000)*(s_Irr!BY10)),IF(AND(s_Irr!AA10=".",s_Irr!AZ10&lt;&gt;".",s_Irr!BY10="."),s_dir!AB10/((1/1000)*(s_Irr!AZ10)),IF(AND(s_Irr!AA10&lt;&gt;".",s_Irr!AZ10=".",s_Irr!BY10="."),s_dir!AB10/((1/1000)*(s_Irr!AA10)),IF(AND(s_Irr!AA10=".",s_Irr!AZ10=".",s_Irr!BY10="."),s_dir!AB10*1000)))))))),".")</f>
        <v>506.6743856725023</v>
      </c>
      <c r="AC10" s="93">
        <f t="shared" si="4"/>
        <v>8775.4923089814365</v>
      </c>
      <c r="AD10" s="93">
        <f>IFERROR(s_C*s_IFAP_res_adj*s_CF_apple*0.001*(s_Irr!C10+s_Irr!AB10+s_Irr!BA10),".")</f>
        <v>1943.4524168418652</v>
      </c>
      <c r="AE10" s="93">
        <f>IFERROR(s_C*s_IFAS_res_adj*s_CF_asparagus*0.001*(s_Irr!D10+s_Irr!AC10+s_Irr!BB10),".")</f>
        <v>3572.3512819927041</v>
      </c>
      <c r="AF10" s="93">
        <f>IFERROR(s_C*s_IFBT_res_adj*s_CF_beet*0.001*(s_Irr!E10+s_Irr!AD10+s_Irr!BC10),".")</f>
        <v>3031.3885592488828</v>
      </c>
      <c r="AG10" s="93">
        <f>IFERROR(s_C*s_IFBE_res_adj*s_CF_berries*0.001*(s_Irr!F10+s_Irr!AE10+s_Irr!BD10),".")</f>
        <v>1832.2545238334133</v>
      </c>
      <c r="AH10" s="93">
        <f>IFERROR(s_C*s_IFBR_res_adj*s_CF_broccoli*0.001*(s_Irr!G10+s_Irr!AF10+s_Irr!BE10),".")</f>
        <v>2400.265382714425</v>
      </c>
      <c r="AI10" s="93">
        <f>IFERROR(s_C*s_IFCB_res_adj*s_CF_cabbage*0.001*(s_Irr!H10+s_Irr!AG10+s_Irr!BF10),".")</f>
        <v>3572.3512819927041</v>
      </c>
      <c r="AJ10" s="93">
        <f>IFERROR(s_C*s_IFCR_res_adj*s_CF_carrot*0.001*(s_Irr!I10+s_Irr!AH10+s_Irr!BG10),".")</f>
        <v>3031.3885592488828</v>
      </c>
      <c r="AK10" s="93">
        <f>IFERROR(s_C*s_IFCI_res_adj*s_CF_citrus*0.001*(s_Irr!J10+s_Irr!AI10+s_Irr!BH10),".")</f>
        <v>1943.4524168418652</v>
      </c>
      <c r="AL10" s="93">
        <f>IFERROR(s_C*s_IFCO_res_adj*s_CF_corn*0.001*(s_Irr!K10+s_Irr!AJ10+s_Irr!BI10),".")</f>
        <v>2760.9071978769725</v>
      </c>
      <c r="AM10" s="93">
        <f>IFERROR(s_C*s_IFCU_res_adj*s_CF_cucumber*0.001*(s_Irr!L10+s_Irr!AK10+s_Irr!BJ10),".")</f>
        <v>2400.265382714425</v>
      </c>
      <c r="AN10" s="93">
        <f>IFERROR(s_C*s_IFLE_res_adj*s_CF_lettuce*0.001*(s_Irr!M10+s_Irr!AL10+s_Irr!BK10),".")</f>
        <v>3572.3512819927041</v>
      </c>
      <c r="AO10" s="93">
        <f>IFERROR(s_C*s_IFLI_res_adj*s_CF_lima_bean*0.001*(s_Irr!N10+s_Irr!AM10+s_Irr!BL10),".")</f>
        <v>2971.2815900551254</v>
      </c>
      <c r="AP10" s="93">
        <f>IFERROR(s_C*s_IFOK_res_adj*s_CF_okra*0.001*(s_Irr!O10+s_Irr!AN10+s_Irr!BM10),".")</f>
        <v>2400.265382714425</v>
      </c>
      <c r="AQ10" s="93">
        <f>IFERROR(s_C*s_IFON_res_adj*s_CF_onion*0.001*(s_Irr!P10+s_Irr!AO10+s_Irr!BN10),".")</f>
        <v>3031.3885592488828</v>
      </c>
      <c r="AR10" s="93">
        <f>IFERROR(s_C*s_IFPC_res_adj*s_CF_peach*0.001*(s_Irr!Q10+s_Irr!AP10+s_Irr!BO10),".")</f>
        <v>1943.4524168418652</v>
      </c>
      <c r="AS10" s="93">
        <f>IFERROR(s_C*s_IFPR_res_adj*s_CF_pear*0.001*(s_Irr!R10+s_Irr!AQ10+s_Irr!BP10),".")</f>
        <v>1943.4524168418652</v>
      </c>
      <c r="AT10" s="93">
        <f>IFERROR(s_C*s_IFPE_res_adj*s_CF_peas*0.001*(s_Irr!S10+s_Irr!AR10+s_Irr!BQ10),".")</f>
        <v>2971.2815900551254</v>
      </c>
      <c r="AU10" s="93">
        <f>IFERROR(s_C*s_IFPP_res_adj*s_CF_peppers*0.001*(s_Irr!T10+s_Irr!AS10+s_Irr!BR10),".")</f>
        <v>2400.265382714425</v>
      </c>
      <c r="AV10" s="93">
        <f>IFERROR(s_C*s_IFPT_res_adj*s_CF_potato*0.001*(s_Irr!U10+s_Irr!AT10+s_Irr!BS10),".")</f>
        <v>3452.1373436051881</v>
      </c>
      <c r="AW10" s="93">
        <f>IFERROR(s_C*s_IFPU_res_adj*s_CF_pumpkin*0.001*(s_Irr!V10+s_Irr!AU10+s_Irr!BT10),".")</f>
        <v>2400.265382714425</v>
      </c>
      <c r="AX10" s="93">
        <f>IFERROR(s_C*s_IFSN_res_adj*s_CF_snap_bean*0.001*(s_Irr!W10+s_Irr!AV10+s_Irr!BU10),".")</f>
        <v>2971.2815900551254</v>
      </c>
      <c r="AY10" s="93">
        <f>IFERROR(s_C*s_IFST_res_adj*s_CF_strawberry*0.001*(s_Irr!X10+s_Irr!AW10+s_Irr!BV10),".")</f>
        <v>1856.2973115109164</v>
      </c>
      <c r="AZ10" s="93">
        <f>IFERROR(s_C*s_IFTO_res_adj*s_CF_tomato*0.001*(s_Irr!Y10+s_Irr!AX10+s_Irr!BW10),".")</f>
        <v>2400.265382714425</v>
      </c>
      <c r="BA10" s="93">
        <f>IFERROR(s_C*s_IFRI_res_adj*s_CF_rice*0.001*(s_Irr!Z10+s_Irr!AY10+s_Irr!BX10),".")</f>
        <v>1791.0812499356889</v>
      </c>
      <c r="BB10" s="93">
        <f>IFERROR(s_C*s_IFCG_res_adj*s_CF_cereal*0.001*(s_Irr!AA10+s_Irr!AZ10+s_Irr!BY10),".")</f>
        <v>2640.6932594894565</v>
      </c>
      <c r="BC10" s="76">
        <f t="shared" si="1"/>
        <v>152.46684606309401</v>
      </c>
      <c r="BD10" s="76">
        <f>IFERROR(IF(AND(s_Irr!C10&lt;&gt;".",s_Irr!AB10&lt;&gt;".",s_Irr!BA10&lt;&gt;"."),s_dir!AD10/((1/1000)*(s_Irr!C10+s_Irr!AB10+s_Irr!BA10)),IF(AND(s_Irr!C10&lt;&gt;".",s_Irr!AB10&lt;&gt;".",s_Irr!BA10="."),s_dir!AD10/((1/1000)*(s_Irr!C10+s_Irr!AB10)),IF(AND(s_Irr!C10&lt;&gt;".",s_Irr!AB10=".",s_Irr!BA10&lt;&gt;"."),s_dir!AD10/((1/1000)*(s_Irr!C10+s_Irr!BA10)),IF(AND(s_Irr!C10=".",s_Irr!AB10&lt;&gt;".",s_Irr!BA10&lt;&gt;"."),s_dir!AD10/((1/1000)*(s_Irr!AB10+s_Irr!BA10)),IF(AND(s_Irr!C10=".",s_Irr!AB10=".",s_Irr!BA10&lt;&gt;"."),s_dir!AD10/((1/1000)*(s_Irr!BA10)),IF(AND(s_Irr!C10=".",s_Irr!AB10&lt;&gt;".",s_Irr!BA10="."),s_dir!AD10/((1/1000)*(s_Irr!AB10)),IF(AND(s_Irr!C10&lt;&gt;".",s_Irr!AB10=".",s_Irr!BA10="."),s_dir!AD10/((1/1000)*(s_Irr!C10)),IF(AND(s_Irr!C10=".",s_Irr!AB10=".",s_Irr!BA10="."),s_dir!AD10*1000)))))))),".")</f>
        <v>688.45093577107423</v>
      </c>
      <c r="BE10" s="76">
        <f>IFERROR(IF(AND(s_Irr!D10&lt;&gt;".",s_Irr!AC10&lt;&gt;".",s_Irr!BB10&lt;&gt;"."),s_dir!AE10/((1/1000)*(s_Irr!D10+s_Irr!AC10+s_Irr!BB10)),IF(AND(s_Irr!D10&lt;&gt;".",s_Irr!AC10&lt;&gt;".",s_Irr!BB10="."),s_dir!AE10/((1/1000)*(s_Irr!D10+s_Irr!AC10)),IF(AND(s_Irr!D10&lt;&gt;".",s_Irr!AC10=".",s_Irr!BB10&lt;&gt;"."),s_dir!AE10/((1/1000)*(s_Irr!D10+s_Irr!BB10)),IF(AND(s_Irr!D10=".",s_Irr!AC10&lt;&gt;".",s_Irr!BB10&lt;&gt;"."),s_dir!AE10/((1/1000)*(s_Irr!AC10+s_Irr!BB10)),IF(AND(s_Irr!D10=".",s_Irr!AC10=".",s_Irr!BB10&lt;&gt;"."),s_dir!AE10/((1/1000)*(s_Irr!BB10)),IF(AND(s_Irr!D10=".",s_Irr!AC10&lt;&gt;".",s_Irr!BB10="."),s_dir!AE10/((1/1000)*(s_Irr!AC10)),IF(AND(s_Irr!D10&lt;&gt;".",s_Irr!AC10=".",s_Irr!BB10="."),s_dir!AE10/((1/1000)*(s_Irr!D10)),IF(AND(s_Irr!D10=".",s_Irr!AC10=".",s_Irr!BB10="."),s_dir!AE10*1000)))))))),".")</f>
        <v>374.53529325229186</v>
      </c>
      <c r="BF10" s="76">
        <f>IFERROR(IF(AND(s_Irr!E10&lt;&gt;".",s_Irr!AD10&lt;&gt;".",s_Irr!BC10&lt;&gt;"."),s_dir!AF10/((1/1000)*(s_Irr!E10+s_Irr!AD10+s_Irr!BC10)),IF(AND(s_Irr!E10&lt;&gt;".",s_Irr!AD10&lt;&gt;".",s_Irr!BC10="."),s_dir!AF10/((1/1000)*(s_Irr!E10+s_Irr!AD10)),IF(AND(s_Irr!E10&lt;&gt;".",s_Irr!AD10=".",s_Irr!BC10&lt;&gt;"."),s_dir!AF10/((1/1000)*(s_Irr!E10+s_Irr!BC10)),IF(AND(s_Irr!E10=".",s_Irr!AD10&lt;&gt;".",s_Irr!BC10&lt;&gt;"."),s_dir!AF10/((1/1000)*(s_Irr!AD10+s_Irr!BC10)),IF(AND(s_Irr!E10=".",s_Irr!AD10=".",s_Irr!BC10&lt;&gt;"."),s_dir!AF10/((1/1000)*(s_Irr!BC10)),IF(AND(s_Irr!E10=".",s_Irr!AD10&lt;&gt;".",s_Irr!BC10="."),s_dir!AF10/((1/1000)*(s_Irr!AD10)),IF(AND(s_Irr!E10&lt;&gt;".",s_Irr!AD10=".",s_Irr!BC10="."),s_dir!AF10/((1/1000)*(s_Irr!E10)),IF(AND(s_Irr!E10=".",s_Irr!AD10=".",s_Irr!BC10="."),s_dir!AF10*1000)))))))),".")</f>
        <v>441.37252907389097</v>
      </c>
      <c r="BG10" s="76">
        <f>IFERROR(IF(AND(s_Irr!F10&lt;&gt;".",s_Irr!AE10&lt;&gt;".",s_Irr!BD10&lt;&gt;"."),s_dir!AG10/((1/1000)*(s_Irr!F10+s_Irr!AE10+s_Irr!BD10)),IF(AND(s_Irr!F10&lt;&gt;".",s_Irr!AE10&lt;&gt;".",s_Irr!BD10="."),s_dir!AG10/((1/1000)*(s_Irr!F10+s_Irr!AE10)),IF(AND(s_Irr!F10&lt;&gt;".",s_Irr!AE10=".",s_Irr!BD10&lt;&gt;"."),s_dir!AG10/((1/1000)*(s_Irr!F10+s_Irr!BD10)),IF(AND(s_Irr!F10=".",s_Irr!AE10&lt;&gt;".",s_Irr!BD10&lt;&gt;"."),s_dir!AG10/((1/1000)*(s_Irr!AE10+s_Irr!BD10)),IF(AND(s_Irr!F10=".",s_Irr!AE10=".",s_Irr!BD10&lt;&gt;"."),s_dir!AG10/((1/1000)*(s_Irr!BD10)),IF(AND(s_Irr!F10=".",s_Irr!AE10&lt;&gt;".",s_Irr!BD10="."),s_dir!AG10/((1/1000)*(s_Irr!AE10)),IF(AND(s_Irr!F10&lt;&gt;".",s_Irr!AE10=".",s_Irr!BD10="."),s_dir!AG10/((1/1000)*(s_Irr!F10)),IF(AND(s_Irr!F10=".",s_Irr!AE10=".",s_Irr!BD10="."),s_dir!AG10*1000)))))))),".")</f>
        <v>730.2324090880428</v>
      </c>
      <c r="BH10" s="76">
        <f>IFERROR(IF(AND(s_Irr!G10&lt;&gt;".",s_Irr!AF10&lt;&gt;".",s_Irr!BE10&lt;&gt;"."),s_dir!AH10/((1/1000)*(s_Irr!G10+s_Irr!AF10+s_Irr!BE10)),IF(AND(s_Irr!G10&lt;&gt;".",s_Irr!AF10&lt;&gt;".",s_Irr!BE10="."),s_dir!AH10/((1/1000)*(s_Irr!G10+s_Irr!AF10)),IF(AND(s_Irr!G10&lt;&gt;".",s_Irr!AF10=".",s_Irr!BE10&lt;&gt;"."),s_dir!AH10/((1/1000)*(s_Irr!G10+s_Irr!BE10)),IF(AND(s_Irr!G10=".",s_Irr!AF10&lt;&gt;".",s_Irr!BE10&lt;&gt;"."),s_dir!AH10/((1/1000)*(s_Irr!AF10+s_Irr!BE10)),IF(AND(s_Irr!G10=".",s_Irr!AF10=".",s_Irr!BE10&lt;&gt;"."),s_dir!AH10/((1/1000)*(s_Irr!BE10)),IF(AND(s_Irr!G10=".",s_Irr!AF10&lt;&gt;".",s_Irr!BE10="."),s_dir!AH10/((1/1000)*(s_Irr!AF10)),IF(AND(s_Irr!G10&lt;&gt;".",s_Irr!AF10=".",s_Irr!BE10="."),s_dir!AH10/((1/1000)*(s_Irr!G10)),IF(AND(s_Irr!G10=".",s_Irr!AF10=".",s_Irr!BE10="."),s_dir!AH10*1000)))))))),".")</f>
        <v>557.42654318009011</v>
      </c>
      <c r="BI10" s="76">
        <f>IFERROR(IF(AND(s_Irr!H10&lt;&gt;".",s_Irr!AG10&lt;&gt;".",s_Irr!BF10&lt;&gt;"."),s_dir!AI10/((1/1000)*(s_Irr!H10+s_Irr!AG10+s_Irr!BF10)),IF(AND(s_Irr!H10&lt;&gt;".",s_Irr!AG10&lt;&gt;".",s_Irr!BF10="."),s_dir!AI10/((1/1000)*(s_Irr!H10+s_Irr!AG10)),IF(AND(s_Irr!H10&lt;&gt;".",s_Irr!AG10=".",s_Irr!BF10&lt;&gt;"."),s_dir!AI10/((1/1000)*(s_Irr!H10+s_Irr!BF10)),IF(AND(s_Irr!H10=".",s_Irr!AG10&lt;&gt;".",s_Irr!BF10&lt;&gt;"."),s_dir!AI10/((1/1000)*(s_Irr!AG10+s_Irr!BF10)),IF(AND(s_Irr!H10=".",s_Irr!AG10=".",s_Irr!BF10&lt;&gt;"."),s_dir!AI10/((1/1000)*(s_Irr!BF10)),IF(AND(s_Irr!H10=".",s_Irr!AG10&lt;&gt;".",s_Irr!BF10="."),s_dir!AI10/((1/1000)*(s_Irr!AG10)),IF(AND(s_Irr!H10&lt;&gt;".",s_Irr!AG10=".",s_Irr!BF10="."),s_dir!AI10/((1/1000)*(s_Irr!H10)),IF(AND(s_Irr!H10=".",s_Irr!AG10=".",s_Irr!BF10="."),s_dir!AI10*1000)))))))),".")</f>
        <v>374.53529325229186</v>
      </c>
      <c r="BJ10" s="76">
        <f>IFERROR(IF(AND(s_Irr!I10&lt;&gt;".",s_Irr!AH10&lt;&gt;".",s_Irr!BG10&lt;&gt;"."),s_dir!AJ10/((1/1000)*(s_Irr!I10+s_Irr!AH10+s_Irr!BG10)),IF(AND(s_Irr!I10&lt;&gt;".",s_Irr!AH10&lt;&gt;".",s_Irr!BG10="."),s_dir!AJ10/((1/1000)*(s_Irr!I10+s_Irr!AH10)),IF(AND(s_Irr!I10&lt;&gt;".",s_Irr!AH10=".",s_Irr!BG10&lt;&gt;"."),s_dir!AJ10/((1/1000)*(s_Irr!I10+s_Irr!BG10)),IF(AND(s_Irr!I10=".",s_Irr!AH10&lt;&gt;".",s_Irr!BG10&lt;&gt;"."),s_dir!AJ10/((1/1000)*(s_Irr!AH10+s_Irr!BG10)),IF(AND(s_Irr!I10=".",s_Irr!AH10=".",s_Irr!BG10&lt;&gt;"."),s_dir!AJ10/((1/1000)*(s_Irr!BG10)),IF(AND(s_Irr!I10=".",s_Irr!AH10&lt;&gt;".",s_Irr!BG10="."),s_dir!AJ10/((1/1000)*(s_Irr!AH10)),IF(AND(s_Irr!I10&lt;&gt;".",s_Irr!AH10=".",s_Irr!BG10="."),s_dir!AJ10/((1/1000)*(s_Irr!I10)),IF(AND(s_Irr!I10=".",s_Irr!AH10=".",s_Irr!BG10="."),s_dir!AJ10*1000)))))))),".")</f>
        <v>441.37252907389097</v>
      </c>
      <c r="BK10" s="76">
        <f>IFERROR(IF(AND(s_Irr!J10&lt;&gt;".",s_Irr!AI10&lt;&gt;".",s_Irr!BH10&lt;&gt;"."),s_dir!AK10/((1/1000)*(s_Irr!J10+s_Irr!AI10+s_Irr!BH10)),IF(AND(s_Irr!J10&lt;&gt;".",s_Irr!AI10&lt;&gt;".",s_Irr!BH10="."),s_dir!AK10/((1/1000)*(s_Irr!J10+s_Irr!AI10)),IF(AND(s_Irr!J10&lt;&gt;".",s_Irr!AI10=".",s_Irr!BH10&lt;&gt;"."),s_dir!AK10/((1/1000)*(s_Irr!J10+s_Irr!BH10)),IF(AND(s_Irr!J10=".",s_Irr!AI10&lt;&gt;".",s_Irr!BH10&lt;&gt;"."),s_dir!AK10/((1/1000)*(s_Irr!AI10+s_Irr!BH10)),IF(AND(s_Irr!J10=".",s_Irr!AI10=".",s_Irr!BH10&lt;&gt;"."),s_dir!AK10/((1/1000)*(s_Irr!BH10)),IF(AND(s_Irr!J10=".",s_Irr!AI10&lt;&gt;".",s_Irr!BH10="."),s_dir!AK10/((1/1000)*(s_Irr!AI10)),IF(AND(s_Irr!J10&lt;&gt;".",s_Irr!AI10=".",s_Irr!BH10="."),s_dir!AK10/((1/1000)*(s_Irr!J10)),IF(AND(s_Irr!J10=".",s_Irr!AI10=".",s_Irr!BH10="."),s_dir!AK10*1000)))))))),".")</f>
        <v>688.45093577107423</v>
      </c>
      <c r="BL10" s="76">
        <f>IFERROR(IF(AND(s_Irr!K10&lt;&gt;".",s_Irr!AJ10&lt;&gt;".",s_Irr!BI10&lt;&gt;"."),s_dir!AL10/((1/1000)*(s_Irr!K10+s_Irr!AJ10+s_Irr!BI10)),IF(AND(s_Irr!K10&lt;&gt;".",s_Irr!AJ10&lt;&gt;".",s_Irr!BI10="."),s_dir!AL10/((1/1000)*(s_Irr!K10+s_Irr!AJ10)),IF(AND(s_Irr!K10&lt;&gt;".",s_Irr!AJ10=".",s_Irr!BI10&lt;&gt;"."),s_dir!AL10/((1/1000)*(s_Irr!K10+s_Irr!BI10)),IF(AND(s_Irr!K10=".",s_Irr!AJ10&lt;&gt;".",s_Irr!BI10&lt;&gt;"."),s_dir!AL10/((1/1000)*(s_Irr!AJ10+s_Irr!BI10)),IF(AND(s_Irr!K10=".",s_Irr!AJ10=".",s_Irr!BI10&lt;&gt;"."),s_dir!AL10/((1/1000)*(s_Irr!BI10)),IF(AND(s_Irr!K10=".",s_Irr!AJ10&lt;&gt;".",s_Irr!BI10="."),s_dir!AL10/((1/1000)*(s_Irr!AJ10)),IF(AND(s_Irr!K10&lt;&gt;".",s_Irr!AJ10=".",s_Irr!BI10="."),s_dir!AL10/((1/1000)*(s_Irr!K10)),IF(AND(s_Irr!K10=".",s_Irr!AJ10=".",s_Irr!BI10="."),s_dir!AL10*1000)))))))),".")</f>
        <v>484.61304169520258</v>
      </c>
      <c r="BM10" s="76">
        <f>IFERROR(IF(AND(s_Irr!L10&lt;&gt;".",s_Irr!AK10&lt;&gt;".",s_Irr!BJ10&lt;&gt;"."),s_dir!AM10/((1/1000)*(s_Irr!L10+s_Irr!AK10+s_Irr!BJ10)),IF(AND(s_Irr!L10&lt;&gt;".",s_Irr!AK10&lt;&gt;".",s_Irr!BJ10="."),s_dir!AM10/((1/1000)*(s_Irr!L10+s_Irr!AK10)),IF(AND(s_Irr!L10&lt;&gt;".",s_Irr!AK10=".",s_Irr!BJ10&lt;&gt;"."),s_dir!AM10/((1/1000)*(s_Irr!L10+s_Irr!BJ10)),IF(AND(s_Irr!L10=".",s_Irr!AK10&lt;&gt;".",s_Irr!BJ10&lt;&gt;"."),s_dir!AM10/((1/1000)*(s_Irr!AK10+s_Irr!BJ10)),IF(AND(s_Irr!L10=".",s_Irr!AK10=".",s_Irr!BJ10&lt;&gt;"."),s_dir!AM10/((1/1000)*(s_Irr!BJ10)),IF(AND(s_Irr!L10=".",s_Irr!AK10&lt;&gt;".",s_Irr!BJ10="."),s_dir!AM10/((1/1000)*(s_Irr!AK10)),IF(AND(s_Irr!L10&lt;&gt;".",s_Irr!AK10=".",s_Irr!BJ10="."),s_dir!AM10/((1/1000)*(s_Irr!L10)),IF(AND(s_Irr!L10=".",s_Irr!AK10=".",s_Irr!BJ10="."),s_dir!AM10*1000)))))))),".")</f>
        <v>557.42654318009011</v>
      </c>
      <c r="BN10" s="76">
        <f>IFERROR(IF(AND(s_Irr!M10&lt;&gt;".",s_Irr!AL10&lt;&gt;".",s_Irr!BK10&lt;&gt;"."),s_dir!AN10/((1/1000)*(s_Irr!M10+s_Irr!AL10+s_Irr!BK10)),IF(AND(s_Irr!M10&lt;&gt;".",s_Irr!AL10&lt;&gt;".",s_Irr!BK10="."),s_dir!AN10/((1/1000)*(s_Irr!M10+s_Irr!AL10)),IF(AND(s_Irr!M10&lt;&gt;".",s_Irr!AL10=".",s_Irr!BK10&lt;&gt;"."),s_dir!AN10/((1/1000)*(s_Irr!M10+s_Irr!BK10)),IF(AND(s_Irr!M10=".",s_Irr!AL10&lt;&gt;".",s_Irr!BK10&lt;&gt;"."),s_dir!AN10/((1/1000)*(s_Irr!AL10+s_Irr!BK10)),IF(AND(s_Irr!M10=".",s_Irr!AL10=".",s_Irr!BK10&lt;&gt;"."),s_dir!AN10/((1/1000)*(s_Irr!BK10)),IF(AND(s_Irr!M10=".",s_Irr!AL10&lt;&gt;".",s_Irr!BK10="."),s_dir!AN10/((1/1000)*(s_Irr!AL10)),IF(AND(s_Irr!M10&lt;&gt;".",s_Irr!AL10=".",s_Irr!BK10="."),s_dir!AN10/((1/1000)*(s_Irr!M10)),IF(AND(s_Irr!M10=".",s_Irr!AL10=".",s_Irr!BK10="."),s_dir!AN10*1000)))))))),".")</f>
        <v>374.53529325229186</v>
      </c>
      <c r="BO10" s="76">
        <f>IFERROR(IF(AND(s_Irr!N10&lt;&gt;".",s_Irr!AM10&lt;&gt;".",s_Irr!BL10&lt;&gt;"."),s_dir!AO10/((1/1000)*(s_Irr!N10+s_Irr!AM10+s_Irr!BL10)),IF(AND(s_Irr!N10&lt;&gt;".",s_Irr!AM10&lt;&gt;".",s_Irr!BL10="."),s_dir!AO10/((1/1000)*(s_Irr!N10+s_Irr!AM10)),IF(AND(s_Irr!N10&lt;&gt;".",s_Irr!AM10=".",s_Irr!BL10&lt;&gt;"."),s_dir!AO10/((1/1000)*(s_Irr!N10+s_Irr!BL10)),IF(AND(s_Irr!N10=".",s_Irr!AM10&lt;&gt;".",s_Irr!BL10&lt;&gt;"."),s_dir!AO10/((1/1000)*(s_Irr!AM10+s_Irr!BL10)),IF(AND(s_Irr!N10=".",s_Irr!AM10=".",s_Irr!BL10&lt;&gt;"."),s_dir!AO10/((1/1000)*(s_Irr!BL10)),IF(AND(s_Irr!N10=".",s_Irr!AM10&lt;&gt;".",s_Irr!BL10="."),s_dir!AO10/((1/1000)*(s_Irr!AM10)),IF(AND(s_Irr!N10&lt;&gt;".",s_Irr!AM10=".",s_Irr!BL10="."),s_dir!AO10/((1/1000)*(s_Irr!N10)),IF(AND(s_Irr!N10=".",s_Irr!AM10=".",s_Irr!BL10="."),s_dir!AO10*1000)))))))),".")</f>
        <v>450.3011897221478</v>
      </c>
      <c r="BP10" s="76">
        <f>IFERROR(IF(AND(s_Irr!O10&lt;&gt;".",s_Irr!AN10&lt;&gt;".",s_Irr!BM10&lt;&gt;"."),s_dir!AP10/((1/1000)*(s_Irr!O10+s_Irr!AN10+s_Irr!BM10)),IF(AND(s_Irr!O10&lt;&gt;".",s_Irr!AN10&lt;&gt;".",s_Irr!BM10="."),s_dir!AP10/((1/1000)*(s_Irr!O10+s_Irr!AN10)),IF(AND(s_Irr!O10&lt;&gt;".",s_Irr!AN10=".",s_Irr!BM10&lt;&gt;"."),s_dir!AP10/((1/1000)*(s_Irr!O10+s_Irr!BM10)),IF(AND(s_Irr!O10=".",s_Irr!AN10&lt;&gt;".",s_Irr!BM10&lt;&gt;"."),s_dir!AP10/((1/1000)*(s_Irr!AN10+s_Irr!BM10)),IF(AND(s_Irr!O10=".",s_Irr!AN10=".",s_Irr!BM10&lt;&gt;"."),s_dir!AP10/((1/1000)*(s_Irr!BM10)),IF(AND(s_Irr!O10=".",s_Irr!AN10&lt;&gt;".",s_Irr!BM10="."),s_dir!AP10/((1/1000)*(s_Irr!AN10)),IF(AND(s_Irr!O10&lt;&gt;".",s_Irr!AN10=".",s_Irr!BM10="."),s_dir!AP10/((1/1000)*(s_Irr!O10)),IF(AND(s_Irr!O10=".",s_Irr!AN10=".",s_Irr!BM10="."),s_dir!AP10*1000)))))))),".")</f>
        <v>557.42654318009011</v>
      </c>
      <c r="BQ10" s="76">
        <f>IFERROR(IF(AND(s_Irr!P10&lt;&gt;".",s_Irr!AO10&lt;&gt;".",s_Irr!BN10&lt;&gt;"."),s_dir!AQ10/((1/1000)*(s_Irr!P10+s_Irr!AO10+s_Irr!BN10)),IF(AND(s_Irr!P10&lt;&gt;".",s_Irr!AO10&lt;&gt;".",s_Irr!BN10="."),s_dir!AQ10/((1/1000)*(s_Irr!P10+s_Irr!AO10)),IF(AND(s_Irr!P10&lt;&gt;".",s_Irr!AO10=".",s_Irr!BN10&lt;&gt;"."),s_dir!AQ10/((1/1000)*(s_Irr!P10+s_Irr!BN10)),IF(AND(s_Irr!P10=".",s_Irr!AO10&lt;&gt;".",s_Irr!BN10&lt;&gt;"."),s_dir!AQ10/((1/1000)*(s_Irr!AO10+s_Irr!BN10)),IF(AND(s_Irr!P10=".",s_Irr!AO10=".",s_Irr!BN10&lt;&gt;"."),s_dir!AQ10/((1/1000)*(s_Irr!BN10)),IF(AND(s_Irr!P10=".",s_Irr!AO10&lt;&gt;".",s_Irr!BN10="."),s_dir!AQ10/((1/1000)*(s_Irr!AO10)),IF(AND(s_Irr!P10&lt;&gt;".",s_Irr!AO10=".",s_Irr!BN10="."),s_dir!AQ10/((1/1000)*(s_Irr!P10)),IF(AND(s_Irr!P10=".",s_Irr!AO10=".",s_Irr!BN10="."),s_dir!AQ10*1000)))))))),".")</f>
        <v>441.37252907389097</v>
      </c>
      <c r="BR10" s="76">
        <f>IFERROR(IF(AND(s_Irr!Q10&lt;&gt;".",s_Irr!AP10&lt;&gt;".",s_Irr!BO10&lt;&gt;"."),s_dir!AR10/((1/1000)*(s_Irr!Q10+s_Irr!AP10+s_Irr!BO10)),IF(AND(s_Irr!Q10&lt;&gt;".",s_Irr!AP10&lt;&gt;".",s_Irr!BO10="."),s_dir!AR10/((1/1000)*(s_Irr!Q10+s_Irr!AP10)),IF(AND(s_Irr!Q10&lt;&gt;".",s_Irr!AP10=".",s_Irr!BO10&lt;&gt;"."),s_dir!AR10/((1/1000)*(s_Irr!Q10+s_Irr!BO10)),IF(AND(s_Irr!Q10=".",s_Irr!AP10&lt;&gt;".",s_Irr!BO10&lt;&gt;"."),s_dir!AR10/((1/1000)*(s_Irr!AP10+s_Irr!BO10)),IF(AND(s_Irr!Q10=".",s_Irr!AP10=".",s_Irr!BO10&lt;&gt;"."),s_dir!AR10/((1/1000)*(s_Irr!BO10)),IF(AND(s_Irr!Q10=".",s_Irr!AP10&lt;&gt;".",s_Irr!BO10="."),s_dir!AR10/((1/1000)*(s_Irr!AP10)),IF(AND(s_Irr!Q10&lt;&gt;".",s_Irr!AP10=".",s_Irr!BO10="."),s_dir!AR10/((1/1000)*(s_Irr!Q10)),IF(AND(s_Irr!Q10=".",s_Irr!AP10=".",s_Irr!BO10="."),s_dir!AR10*1000)))))))),".")</f>
        <v>688.45093577107423</v>
      </c>
      <c r="BS10" s="76">
        <f>IFERROR(IF(AND(s_Irr!R10&lt;&gt;".",s_Irr!AQ10&lt;&gt;".",s_Irr!BP10&lt;&gt;"."),s_dir!AS10/((1/1000)*(s_Irr!R10+s_Irr!AQ10+s_Irr!BP10)),IF(AND(s_Irr!R10&lt;&gt;".",s_Irr!AQ10&lt;&gt;".",s_Irr!BP10="."),s_dir!AS10/((1/1000)*(s_Irr!R10+s_Irr!AQ10)),IF(AND(s_Irr!R10&lt;&gt;".",s_Irr!AQ10=".",s_Irr!BP10&lt;&gt;"."),s_dir!AS10/((1/1000)*(s_Irr!R10+s_Irr!BP10)),IF(AND(s_Irr!R10=".",s_Irr!AQ10&lt;&gt;".",s_Irr!BP10&lt;&gt;"."),s_dir!AS10/((1/1000)*(s_Irr!AQ10+s_Irr!BP10)),IF(AND(s_Irr!R10=".",s_Irr!AQ10=".",s_Irr!BP10&lt;&gt;"."),s_dir!AS10/((1/1000)*(s_Irr!BP10)),IF(AND(s_Irr!R10=".",s_Irr!AQ10&lt;&gt;".",s_Irr!BP10="."),s_dir!AS10/((1/1000)*(s_Irr!AQ10)),IF(AND(s_Irr!R10&lt;&gt;".",s_Irr!AQ10=".",s_Irr!BP10="."),s_dir!AS10/((1/1000)*(s_Irr!R10)),IF(AND(s_Irr!R10=".",s_Irr!AQ10=".",s_Irr!BP10="."),s_dir!AS10*1000)))))))),".")</f>
        <v>688.45093577107423</v>
      </c>
      <c r="BT10" s="76">
        <f>IFERROR(IF(AND(s_Irr!S10&lt;&gt;".",s_Irr!AR10&lt;&gt;".",s_Irr!BQ10&lt;&gt;"."),s_dir!AT10/((1/1000)*(s_Irr!S10+s_Irr!AR10+s_Irr!BQ10)),IF(AND(s_Irr!S10&lt;&gt;".",s_Irr!AR10&lt;&gt;".",s_Irr!BQ10="."),s_dir!AT10/((1/1000)*(s_Irr!S10+s_Irr!AR10)),IF(AND(s_Irr!S10&lt;&gt;".",s_Irr!AR10=".",s_Irr!BQ10&lt;&gt;"."),s_dir!AT10/((1/1000)*(s_Irr!S10+s_Irr!BQ10)),IF(AND(s_Irr!S10=".",s_Irr!AR10&lt;&gt;".",s_Irr!BQ10&lt;&gt;"."),s_dir!AT10/((1/1000)*(s_Irr!AR10+s_Irr!BQ10)),IF(AND(s_Irr!S10=".",s_Irr!AR10=".",s_Irr!BQ10&lt;&gt;"."),s_dir!AT10/((1/1000)*(s_Irr!BQ10)),IF(AND(s_Irr!S10=".",s_Irr!AR10&lt;&gt;".",s_Irr!BQ10="."),s_dir!AT10/((1/1000)*(s_Irr!AR10)),IF(AND(s_Irr!S10&lt;&gt;".",s_Irr!AR10=".",s_Irr!BQ10="."),s_dir!AT10/((1/1000)*(s_Irr!S10)),IF(AND(s_Irr!S10=".",s_Irr!AR10=".",s_Irr!BQ10="."),s_dir!AT10*1000)))))))),".")</f>
        <v>450.3011897221478</v>
      </c>
      <c r="BU10" s="76">
        <f>IFERROR(IF(AND(s_Irr!T10&lt;&gt;".",s_Irr!AS10&lt;&gt;".",s_Irr!BR10&lt;&gt;"."),s_dir!AU10/((1/1000)*(s_Irr!T10+s_Irr!AS10+s_Irr!BR10)),IF(AND(s_Irr!T10&lt;&gt;".",s_Irr!AS10&lt;&gt;".",s_Irr!BR10="."),s_dir!AU10/((1/1000)*(s_Irr!T10+s_Irr!AS10)),IF(AND(s_Irr!T10&lt;&gt;".",s_Irr!AS10=".",s_Irr!BR10&lt;&gt;"."),s_dir!AU10/((1/1000)*(s_Irr!T10+s_Irr!BR10)),IF(AND(s_Irr!T10=".",s_Irr!AS10&lt;&gt;".",s_Irr!BR10&lt;&gt;"."),s_dir!AU10/((1/1000)*(s_Irr!AS10+s_Irr!BR10)),IF(AND(s_Irr!T10=".",s_Irr!AS10=".",s_Irr!BR10&lt;&gt;"."),s_dir!AU10/((1/1000)*(s_Irr!BR10)),IF(AND(s_Irr!T10=".",s_Irr!AS10&lt;&gt;".",s_Irr!BR10="."),s_dir!AU10/((1/1000)*(s_Irr!AS10)),IF(AND(s_Irr!T10&lt;&gt;".",s_Irr!AS10=".",s_Irr!BR10="."),s_dir!AU10/((1/1000)*(s_Irr!T10)),IF(AND(s_Irr!T10=".",s_Irr!AS10=".",s_Irr!BR10="."),s_dir!AU10*1000)))))))),".")</f>
        <v>557.42654318009011</v>
      </c>
      <c r="BV10" s="76">
        <f>IFERROR(IF(AND(s_Irr!U10&lt;&gt;".",s_Irr!AT10&lt;&gt;".",s_Irr!BS10&lt;&gt;"."),s_dir!AV10/((1/1000)*(s_Irr!U10+s_Irr!AT10+s_Irr!BS10)),IF(AND(s_Irr!U10&lt;&gt;".",s_Irr!AT10&lt;&gt;".",s_Irr!BS10="."),s_dir!AV10/((1/1000)*(s_Irr!U10+s_Irr!AT10)),IF(AND(s_Irr!U10&lt;&gt;".",s_Irr!AT10=".",s_Irr!BS10&lt;&gt;"."),s_dir!AV10/((1/1000)*(s_Irr!U10+s_Irr!BS10)),IF(AND(s_Irr!U10=".",s_Irr!AT10&lt;&gt;".",s_Irr!BS10&lt;&gt;"."),s_dir!AV10/((1/1000)*(s_Irr!AT10+s_Irr!BS10)),IF(AND(s_Irr!U10=".",s_Irr!AT10=".",s_Irr!BS10&lt;&gt;"."),s_dir!AV10/((1/1000)*(s_Irr!BS10)),IF(AND(s_Irr!U10=".",s_Irr!AT10&lt;&gt;".",s_Irr!BS10="."),s_dir!AV10/((1/1000)*(s_Irr!AT10)),IF(AND(s_Irr!U10&lt;&gt;".",s_Irr!AT10=".",s_Irr!BS10="."),s_dir!AV10/((1/1000)*(s_Irr!U10)),IF(AND(s_Irr!U10=".",s_Irr!AT10=".",s_Irr!BS10="."),s_dir!AV10*1000)))))))),".")</f>
        <v>387.57775309253697</v>
      </c>
      <c r="BW10" s="76">
        <f>IFERROR(IF(AND(s_Irr!V10&lt;&gt;".",s_Irr!AU10&lt;&gt;".",s_Irr!BT10&lt;&gt;"."),s_dir!AW10/((1/1000)*(s_Irr!V10+s_Irr!AU10+s_Irr!BT10)),IF(AND(s_Irr!V10&lt;&gt;".",s_Irr!AU10&lt;&gt;".",s_Irr!BT10="."),s_dir!AW10/((1/1000)*(s_Irr!V10+s_Irr!AU10)),IF(AND(s_Irr!V10&lt;&gt;".",s_Irr!AU10=".",s_Irr!BT10&lt;&gt;"."),s_dir!AW10/((1/1000)*(s_Irr!V10+s_Irr!BT10)),IF(AND(s_Irr!V10=".",s_Irr!AU10&lt;&gt;".",s_Irr!BT10&lt;&gt;"."),s_dir!AW10/((1/1000)*(s_Irr!AU10+s_Irr!BT10)),IF(AND(s_Irr!V10=".",s_Irr!AU10=".",s_Irr!BT10&lt;&gt;"."),s_dir!AW10/((1/1000)*(s_Irr!BT10)),IF(AND(s_Irr!V10=".",s_Irr!AU10&lt;&gt;".",s_Irr!BT10="."),s_dir!AW10/((1/1000)*(s_Irr!AU10)),IF(AND(s_Irr!V10&lt;&gt;".",s_Irr!AU10=".",s_Irr!BT10="."),s_dir!AW10/((1/1000)*(s_Irr!V10)),IF(AND(s_Irr!V10=".",s_Irr!AU10=".",s_Irr!BT10="."),s_dir!AW10*1000)))))))),".")</f>
        <v>557.42654318009011</v>
      </c>
      <c r="BX10" s="76">
        <f>IFERROR(IF(AND(s_Irr!W10&lt;&gt;".",s_Irr!AV10&lt;&gt;".",s_Irr!BU10&lt;&gt;"."),s_dir!AX10/((1/1000)*(s_Irr!W10+s_Irr!AV10+s_Irr!BU10)),IF(AND(s_Irr!W10&lt;&gt;".",s_Irr!AV10&lt;&gt;".",s_Irr!BU10="."),s_dir!AX10/((1/1000)*(s_Irr!W10+s_Irr!AV10)),IF(AND(s_Irr!W10&lt;&gt;".",s_Irr!AV10=".",s_Irr!BU10&lt;&gt;"."),s_dir!AX10/((1/1000)*(s_Irr!W10+s_Irr!BU10)),IF(AND(s_Irr!W10=".",s_Irr!AV10&lt;&gt;".",s_Irr!BU10&lt;&gt;"."),s_dir!AX10/((1/1000)*(s_Irr!AV10+s_Irr!BU10)),IF(AND(s_Irr!W10=".",s_Irr!AV10=".",s_Irr!BU10&lt;&gt;"."),s_dir!AX10/((1/1000)*(s_Irr!BU10)),IF(AND(s_Irr!W10=".",s_Irr!AV10&lt;&gt;".",s_Irr!BU10="."),s_dir!AX10/((1/1000)*(s_Irr!AV10)),IF(AND(s_Irr!W10&lt;&gt;".",s_Irr!AV10=".",s_Irr!BU10="."),s_dir!AX10/((1/1000)*(s_Irr!W10)),IF(AND(s_Irr!W10=".",s_Irr!AV10=".",s_Irr!BU10="."),s_dir!AX10*1000)))))))),".")</f>
        <v>450.3011897221478</v>
      </c>
      <c r="BY10" s="76">
        <f>IFERROR(IF(AND(s_Irr!X10&lt;&gt;".",s_Irr!AW10&lt;&gt;".",s_Irr!BV10&lt;&gt;"."),s_dir!AY10/((1/1000)*(s_Irr!X10+s_Irr!AW10+s_Irr!BV10)),IF(AND(s_Irr!X10&lt;&gt;".",s_Irr!AW10&lt;&gt;".",s_Irr!BV10="."),s_dir!AY10/((1/1000)*(s_Irr!X10+s_Irr!AW10)),IF(AND(s_Irr!X10&lt;&gt;".",s_Irr!AW10=".",s_Irr!BV10&lt;&gt;"."),s_dir!AY10/((1/1000)*(s_Irr!X10+s_Irr!BV10)),IF(AND(s_Irr!X10=".",s_Irr!AW10&lt;&gt;".",s_Irr!BV10&lt;&gt;"."),s_dir!AY10/((1/1000)*(s_Irr!AW10+s_Irr!BV10)),IF(AND(s_Irr!X10=".",s_Irr!AW10=".",s_Irr!BV10&lt;&gt;"."),s_dir!AY10/((1/1000)*(s_Irr!BV10)),IF(AND(s_Irr!X10=".",s_Irr!AW10&lt;&gt;".",s_Irr!BV10="."),s_dir!AY10/((1/1000)*(s_Irr!AW10)),IF(AND(s_Irr!X10&lt;&gt;".",s_Irr!AW10=".",s_Irr!BV10="."),s_dir!AY10/((1/1000)*(s_Irr!X10)),IF(AND(s_Irr!X10=".",s_Irr!AW10=".",s_Irr!BV10="."),s_dir!AY10*1000)))))))),".")</f>
        <v>720.77442913080995</v>
      </c>
      <c r="BZ10" s="76">
        <f>IFERROR(IF(AND(s_Irr!Y10&lt;&gt;".",s_Irr!AX10&lt;&gt;".",s_Irr!BW10&lt;&gt;"."),s_dir!AZ10/((1/1000)*(s_Irr!Y10+s_Irr!AX10+s_Irr!BW10)),IF(AND(s_Irr!Y10&lt;&gt;".",s_Irr!AX10&lt;&gt;".",s_Irr!BW10="."),s_dir!AZ10/((1/1000)*(s_Irr!Y10+s_Irr!AX10)),IF(AND(s_Irr!Y10&lt;&gt;".",s_Irr!AX10=".",s_Irr!BW10&lt;&gt;"."),s_dir!AZ10/((1/1000)*(s_Irr!Y10+s_Irr!BW10)),IF(AND(s_Irr!Y10=".",s_Irr!AX10&lt;&gt;".",s_Irr!BW10&lt;&gt;"."),s_dir!AZ10/((1/1000)*(s_Irr!AX10+s_Irr!BW10)),IF(AND(s_Irr!Y10=".",s_Irr!AX10=".",s_Irr!BW10&lt;&gt;"."),s_dir!AZ10/((1/1000)*(s_Irr!BW10)),IF(AND(s_Irr!Y10=".",s_Irr!AX10&lt;&gt;".",s_Irr!BW10="."),s_dir!AZ10/((1/1000)*(s_Irr!AX10)),IF(AND(s_Irr!Y10&lt;&gt;".",s_Irr!AX10=".",s_Irr!BW10="."),s_dir!AZ10/((1/1000)*(s_Irr!Y10)),IF(AND(s_Irr!Y10=".",s_Irr!AX10=".",s_Irr!BW10="."),s_dir!AZ10*1000)))))))),".")</f>
        <v>557.42654318009011</v>
      </c>
      <c r="CA10" s="76">
        <f>IFERROR(IF(AND(s_Irr!Z10&lt;&gt;".",s_Irr!AY10&lt;&gt;".",s_Irr!BX10&lt;&gt;"."),s_dir!BA10/((1/1000)*(s_Irr!Z10+s_Irr!AY10+s_Irr!BX10)),IF(AND(s_Irr!Z10&lt;&gt;".",s_Irr!AY10&lt;&gt;".",s_Irr!BX10="."),s_dir!BA10/((1/1000)*(s_Irr!Z10+s_Irr!AY10)),IF(AND(s_Irr!Z10&lt;&gt;".",s_Irr!AY10=".",s_Irr!BX10&lt;&gt;"."),s_dir!BA10/((1/1000)*(s_Irr!Z10+s_Irr!BX10)),IF(AND(s_Irr!Z10=".",s_Irr!AY10&lt;&gt;".",s_Irr!BX10&lt;&gt;"."),s_dir!BA10/((1/1000)*(s_Irr!AY10+s_Irr!BX10)),IF(AND(s_Irr!Z10=".",s_Irr!AY10=".",s_Irr!BX10&lt;&gt;"."),s_dir!BA10/((1/1000)*(s_Irr!BX10)),IF(AND(s_Irr!Z10=".",s_Irr!AY10&lt;&gt;".",s_Irr!BX10="."),s_dir!BA10/((1/1000)*(s_Irr!AY10)),IF(AND(s_Irr!Z10&lt;&gt;".",s_Irr!AY10=".",s_Irr!BX10="."),s_dir!BA10/((1/1000)*(s_Irr!Z10)),IF(AND(s_Irr!Z10=".",s_Irr!AY10=".",s_Irr!BX10="."),s_dir!BA10*1000)))))))),".")</f>
        <v>747.01895017290792</v>
      </c>
      <c r="CB10" s="76">
        <f>IFERROR(IF(AND(s_Irr!AA10&lt;&gt;".",s_Irr!AZ10&lt;&gt;".",s_Irr!BY10&lt;&gt;"."),s_dir!BB10/((1/1000)*(s_Irr!AA10+s_Irr!AZ10+s_Irr!BY10)),IF(AND(s_Irr!AA10&lt;&gt;".",s_Irr!AZ10&lt;&gt;".",s_Irr!BY10="."),s_dir!BB10/((1/1000)*(s_Irr!AA10+s_Irr!AZ10)),IF(AND(s_Irr!AA10&lt;&gt;".",s_Irr!AZ10=".",s_Irr!BY10&lt;&gt;"."),s_dir!BB10/((1/1000)*(s_Irr!AA10+s_Irr!BY10)),IF(AND(s_Irr!AA10=".",s_Irr!AZ10&lt;&gt;".",s_Irr!BY10&lt;&gt;"."),s_dir!BB10/((1/1000)*(s_Irr!AZ10+s_Irr!BY10)),IF(AND(s_Irr!AA10=".",s_Irr!AZ10=".",s_Irr!BY10&lt;&gt;"."),s_dir!BB10/((1/1000)*(s_Irr!BY10)),IF(AND(s_Irr!AA10=".",s_Irr!AZ10&lt;&gt;".",s_Irr!BY10="."),s_dir!BB10/((1/1000)*(s_Irr!AZ10)),IF(AND(s_Irr!AA10&lt;&gt;".",s_Irr!AZ10=".",s_Irr!BY10="."),s_dir!BB10/((1/1000)*(s_Irr!AA10)),IF(AND(s_Irr!AA10=".",s_Irr!AZ10=".",s_Irr!BY10="."),s_dir!BB10*1000)))))))),".")</f>
        <v>506.6743856725023</v>
      </c>
      <c r="CC10" s="93">
        <f t="shared" si="2"/>
        <v>8775.4923089814365</v>
      </c>
      <c r="CD10" s="93">
        <f>IFERROR(s_C*s_IFAP_far_adj*s_CF_apple*(1/1000)*(s_Irr!C10+s_Irr!AB10+s_Irr!BA10),".")</f>
        <v>1943.4524168418652</v>
      </c>
      <c r="CE10" s="93">
        <f>IFERROR(s_C*s_IFAS_far_adj*s_CF_asparagus*(1/1000)*(s_Irr!D10+s_Irr!AC10+s_Irr!BB10),".")</f>
        <v>3572.3512819927041</v>
      </c>
      <c r="CF10" s="93">
        <f>IFERROR(s_C*s_IFBT_far_adj*s_CF_beet*(1/1000)*(s_Irr!E10+s_Irr!AD10+s_Irr!BC10),".")</f>
        <v>3031.3885592488828</v>
      </c>
      <c r="CG10" s="93">
        <f>IFERROR(s_C*s_IFBE_far_adj*s_CF_berries*(1/1000)*(s_Irr!F10+s_Irr!AE10+s_Irr!BD10),".")</f>
        <v>1832.2545238334133</v>
      </c>
      <c r="CH10" s="93">
        <f>IFERROR(s_C*s_IFBR_far_adj*s_CF_broccoli*(1/1000)*(s_Irr!G10+s_Irr!AF10+s_Irr!BE10),".")</f>
        <v>2400.265382714425</v>
      </c>
      <c r="CI10" s="93">
        <f>IFERROR(s_C*s_IFCB_far_adj*s_CF_cabbage*(1/1000)*(s_Irr!H10+s_Irr!AG10+s_Irr!BF10),".")</f>
        <v>3572.3512819927041</v>
      </c>
      <c r="CJ10" s="93">
        <f>IFERROR(s_C*s_IFCR_far_adj*s_CF_carrot*(1/1000)*(s_Irr!I10+s_Irr!AH10+s_Irr!BG10),".")</f>
        <v>3031.3885592488828</v>
      </c>
      <c r="CK10" s="93">
        <f>IFERROR(s_C*s_IFCI_far_adj*s_CF_citrus*(1/1000)*(s_Irr!J10+s_Irr!AI10+s_Irr!BH10),".")</f>
        <v>1943.4524168418652</v>
      </c>
      <c r="CL10" s="93">
        <f>IFERROR(s_C*s_IFCO_far_adj*s_CF_corn*(1/1000)*(s_Irr!K10+s_Irr!AJ10+s_Irr!BI10),".")</f>
        <v>2760.9071978769725</v>
      </c>
      <c r="CM10" s="93">
        <f>IFERROR(s_C*s_IFCU_far_adj*s_CF_cucumber*(1/1000)*(s_Irr!L10+s_Irr!AK10+s_Irr!BJ10),".")</f>
        <v>2400.265382714425</v>
      </c>
      <c r="CN10" s="93">
        <f>IFERROR(s_C*s_IFLE_far_adj*s_CF_lettuce*(1/1000)*(s_Irr!M10+s_Irr!AL10+s_Irr!BK10),".")</f>
        <v>3572.3512819927041</v>
      </c>
      <c r="CO10" s="93">
        <f>IFERROR(s_C*s_IFLI_far_adj*s_CF_lima_bean*(1/1000)*(s_Irr!N10+s_Irr!AM10+s_Irr!BL10),".")</f>
        <v>2971.2815900551254</v>
      </c>
      <c r="CP10" s="93">
        <f>IFERROR(s_C*s_IFOK_far_adj*s_CF_okra*(1/1000)*(s_Irr!O10+s_Irr!AN10+s_Irr!BM10),".")</f>
        <v>2400.265382714425</v>
      </c>
      <c r="CQ10" s="93">
        <f>IFERROR(s_C*s_IFON_far_adj*s_CF_onion*(1/1000)*(s_Irr!P10+s_Irr!AO10+s_Irr!BN10),".")</f>
        <v>3031.3885592488828</v>
      </c>
      <c r="CR10" s="93">
        <f>IFERROR(s_C*s_IFPC_far_adj*s_CF_peach*(1/1000)*(s_Irr!Q10+s_Irr!AP10+s_Irr!BO10),".")</f>
        <v>1943.4524168418652</v>
      </c>
      <c r="CS10" s="93">
        <f>IFERROR(s_C*s_IFPR_far_adj*s_CF_pear*(1/1000)*(s_Irr!R10+s_Irr!AQ10+s_Irr!BP10),".")</f>
        <v>1943.4524168418652</v>
      </c>
      <c r="CT10" s="93">
        <f>IFERROR(s_C*s_IFPE_far_adj*s_CF_peas*(1/1000)*(s_Irr!S10+s_Irr!AR10+s_Irr!BQ10),".")</f>
        <v>2971.2815900551254</v>
      </c>
      <c r="CU10" s="93">
        <f>IFERROR(s_C*s_IFPP_far_adj*s_CF_peppers*(1/1000)*(s_Irr!T10+s_Irr!AS10+s_Irr!BR10),".")</f>
        <v>2400.265382714425</v>
      </c>
      <c r="CV10" s="93">
        <f>IFERROR(s_C*s_IFPT_far_adj*s_CF_potato*(1/1000)*(s_Irr!U10+s_Irr!AT10+s_Irr!BS10),".")</f>
        <v>3452.1373436051881</v>
      </c>
      <c r="CW10" s="93">
        <f>IFERROR(s_C*s_IFPU_far_adj*s_CF_pumpkin*(1/1000)*(s_Irr!V10+s_Irr!AU10+s_Irr!BT10),".")</f>
        <v>2400.265382714425</v>
      </c>
      <c r="CX10" s="93">
        <f>IFERROR(s_C*s_IFSN_far_adj*s_CF_snap_bean*(1/1000)*(s_Irr!W10+s_Irr!AV10+s_Irr!BU10),".")</f>
        <v>2971.2815900551254</v>
      </c>
      <c r="CY10" s="93">
        <f>IFERROR(s_C*s_IFST_far_adj*s_CF_strawberry*(1/1000)*(s_Irr!X10+s_Irr!AW10+s_Irr!BV10),".")</f>
        <v>1856.2973115109164</v>
      </c>
      <c r="CZ10" s="93">
        <f>IFERROR(s_C*s_IFTO_far_adj*s_CF_tomato*(1/1000)*(s_Irr!Y10+s_Irr!AX10+s_Irr!BW10),".")</f>
        <v>2400.265382714425</v>
      </c>
      <c r="DA10" s="93">
        <f>IFERROR(s_C*s_IFRI_far_adj*s_CF_rice*(1/1000)*(s_Irr!Z10+s_Irr!AY10+s_Irr!BX10),".")</f>
        <v>1791.0812499356889</v>
      </c>
      <c r="DB10" s="93">
        <f>IFERROR(s_C*s_IFCG_far_adj*s_CF_cereal*(1/1000)*(s_Irr!AA10+s_Irr!AZ10+s_Irr!BY10),".")</f>
        <v>2640.6932594894565</v>
      </c>
    </row>
    <row r="11" spans="1:106" ht="15" customHeight="1" x14ac:dyDescent="0.25">
      <c r="A11" s="92" t="s">
        <v>21</v>
      </c>
      <c r="B11" s="90" t="s">
        <v>1071</v>
      </c>
      <c r="C11" s="15" t="str">
        <f t="shared" si="3"/>
        <v>.</v>
      </c>
      <c r="D11" s="76" t="str">
        <f>IFERROR(IF(AND(s_Irr!C11&lt;&gt;".",s_Irr!AB11&lt;&gt;".",s_Irr!BA11&lt;&gt;"."),s_dir!D11/((1/1000)*(s_Irr!C11+s_Irr!AB11+s_Irr!BA11)),IF(AND(s_Irr!C11&lt;&gt;".",s_Irr!AB11&lt;&gt;".",s_Irr!BA11="."),s_dir!D11/((1/1000)*(s_Irr!C11+s_Irr!AB11)),IF(AND(s_Irr!C11&lt;&gt;".",s_Irr!AB11=".",s_Irr!BA11&lt;&gt;"."),s_dir!D11/((1/1000)*(s_Irr!C11+s_Irr!BA11)),IF(AND(s_Irr!C11=".",s_Irr!AB11&lt;&gt;".",s_Irr!BA11&lt;&gt;"."),s_dir!D11/((1/1000)*(s_Irr!AB11+s_Irr!BA11)),IF(AND(s_Irr!C11=".",s_Irr!AB11=".",s_Irr!BA11&lt;&gt;"."),s_dir!D11/((1/1000)*(s_Irr!BA11)),IF(AND(s_Irr!C11=".",s_Irr!AB11&lt;&gt;".",s_Irr!BA11="."),s_dir!D11/((1/1000)*(s_Irr!AB11)),IF(AND(s_Irr!C11&lt;&gt;".",s_Irr!AB11=".",s_Irr!BA11="."),s_dir!D11/((1/1000)*(s_Irr!C11)),IF(AND(s_Irr!C11=".",s_Irr!AB11=".",s_Irr!BA11="."),s_dir!D11*1000)))))))),".")</f>
        <v>.</v>
      </c>
      <c r="E11" s="76" t="str">
        <f>IFERROR(IF(AND(s_Irr!D11&lt;&gt;".",s_Irr!AC11&lt;&gt;".",s_Irr!BB11&lt;&gt;"."),s_dir!E11/((1/1000)*(s_Irr!D11+s_Irr!AC11+s_Irr!BB11)),IF(AND(s_Irr!D11&lt;&gt;".",s_Irr!AC11&lt;&gt;".",s_Irr!BB11="."),s_dir!E11/((1/1000)*(s_Irr!D11+s_Irr!AC11)),IF(AND(s_Irr!D11&lt;&gt;".",s_Irr!AC11=".",s_Irr!BB11&lt;&gt;"."),s_dir!E11/((1/1000)*(s_Irr!D11+s_Irr!BB11)),IF(AND(s_Irr!D11=".",s_Irr!AC11&lt;&gt;".",s_Irr!BB11&lt;&gt;"."),s_dir!E11/((1/1000)*(s_Irr!AC11+s_Irr!BB11)),IF(AND(s_Irr!D11=".",s_Irr!AC11=".",s_Irr!BB11&lt;&gt;"."),s_dir!E11/((1/1000)*(s_Irr!BB11)),IF(AND(s_Irr!D11=".",s_Irr!AC11&lt;&gt;".",s_Irr!BB11="."),s_dir!E11/((1/1000)*(s_Irr!AC11)),IF(AND(s_Irr!D11&lt;&gt;".",s_Irr!AC11=".",s_Irr!BB11="."),s_dir!E11/((1/1000)*(s_Irr!D11)),IF(AND(s_Irr!D11=".",s_Irr!AC11=".",s_Irr!BB11="."),s_dir!E11*1000)))))))),".")</f>
        <v>.</v>
      </c>
      <c r="F11" s="76" t="str">
        <f>IFERROR(IF(AND(s_Irr!E11&lt;&gt;".",s_Irr!AD11&lt;&gt;".",s_Irr!BC11&lt;&gt;"."),s_dir!F11/((1/1000)*(s_Irr!E11+s_Irr!AD11+s_Irr!BC11)),IF(AND(s_Irr!E11&lt;&gt;".",s_Irr!AD11&lt;&gt;".",s_Irr!BC11="."),s_dir!F11/((1/1000)*(s_Irr!E11+s_Irr!AD11)),IF(AND(s_Irr!E11&lt;&gt;".",s_Irr!AD11=".",s_Irr!BC11&lt;&gt;"."),s_dir!F11/((1/1000)*(s_Irr!E11+s_Irr!BC11)),IF(AND(s_Irr!E11=".",s_Irr!AD11&lt;&gt;".",s_Irr!BC11&lt;&gt;"."),s_dir!F11/((1/1000)*(s_Irr!AD11+s_Irr!BC11)),IF(AND(s_Irr!E11=".",s_Irr!AD11=".",s_Irr!BC11&lt;&gt;"."),s_dir!F11/((1/1000)*(s_Irr!BC11)),IF(AND(s_Irr!E11=".",s_Irr!AD11&lt;&gt;".",s_Irr!BC11="."),s_dir!F11/((1/1000)*(s_Irr!AD11)),IF(AND(s_Irr!E11&lt;&gt;".",s_Irr!AD11=".",s_Irr!BC11="."),s_dir!F11/((1/1000)*(s_Irr!E11)),IF(AND(s_Irr!E11=".",s_Irr!AD11=".",s_Irr!BC11="."),s_dir!F11*1000)))))))),".")</f>
        <v>.</v>
      </c>
      <c r="G11" s="76" t="str">
        <f>IFERROR(IF(AND(s_Irr!F11&lt;&gt;".",s_Irr!AE11&lt;&gt;".",s_Irr!BD11&lt;&gt;"."),s_dir!G11/((1/1000)*(s_Irr!F11+s_Irr!AE11+s_Irr!BD11)),IF(AND(s_Irr!F11&lt;&gt;".",s_Irr!AE11&lt;&gt;".",s_Irr!BD11="."),s_dir!G11/((1/1000)*(s_Irr!F11+s_Irr!AE11)),IF(AND(s_Irr!F11&lt;&gt;".",s_Irr!AE11=".",s_Irr!BD11&lt;&gt;"."),s_dir!G11/((1/1000)*(s_Irr!F11+s_Irr!BD11)),IF(AND(s_Irr!F11=".",s_Irr!AE11&lt;&gt;".",s_Irr!BD11&lt;&gt;"."),s_dir!G11/((1/1000)*(s_Irr!AE11+s_Irr!BD11)),IF(AND(s_Irr!F11=".",s_Irr!AE11=".",s_Irr!BD11&lt;&gt;"."),s_dir!G11/((1/1000)*(s_Irr!BD11)),IF(AND(s_Irr!F11=".",s_Irr!AE11&lt;&gt;".",s_Irr!BD11="."),s_dir!G11/((1/1000)*(s_Irr!AE11)),IF(AND(s_Irr!F11&lt;&gt;".",s_Irr!AE11=".",s_Irr!BD11="."),s_dir!G11/((1/1000)*(s_Irr!F11)),IF(AND(s_Irr!F11=".",s_Irr!AE11=".",s_Irr!BD11="."),s_dir!G11*1000)))))))),".")</f>
        <v>.</v>
      </c>
      <c r="H11" s="76" t="str">
        <f>IFERROR(IF(AND(s_Irr!G11&lt;&gt;".",s_Irr!AF11&lt;&gt;".",s_Irr!BE11&lt;&gt;"."),s_dir!H11/((1/1000)*(s_Irr!G11+s_Irr!AF11+s_Irr!BE11)),IF(AND(s_Irr!G11&lt;&gt;".",s_Irr!AF11&lt;&gt;".",s_Irr!BE11="."),s_dir!H11/((1/1000)*(s_Irr!G11+s_Irr!AF11)),IF(AND(s_Irr!G11&lt;&gt;".",s_Irr!AF11=".",s_Irr!BE11&lt;&gt;"."),s_dir!H11/((1/1000)*(s_Irr!G11+s_Irr!BE11)),IF(AND(s_Irr!G11=".",s_Irr!AF11&lt;&gt;".",s_Irr!BE11&lt;&gt;"."),s_dir!H11/((1/1000)*(s_Irr!AF11+s_Irr!BE11)),IF(AND(s_Irr!G11=".",s_Irr!AF11=".",s_Irr!BE11&lt;&gt;"."),s_dir!H11/((1/1000)*(s_Irr!BE11)),IF(AND(s_Irr!G11=".",s_Irr!AF11&lt;&gt;".",s_Irr!BE11="."),s_dir!H11/((1/1000)*(s_Irr!AF11)),IF(AND(s_Irr!G11&lt;&gt;".",s_Irr!AF11=".",s_Irr!BE11="."),s_dir!H11/((1/1000)*(s_Irr!G11)),IF(AND(s_Irr!G11=".",s_Irr!AF11=".",s_Irr!BE11="."),s_dir!H11*1000)))))))),".")</f>
        <v>.</v>
      </c>
      <c r="I11" s="76" t="str">
        <f>IFERROR(IF(AND(s_Irr!H11&lt;&gt;".",s_Irr!AG11&lt;&gt;".",s_Irr!BF11&lt;&gt;"."),s_dir!I11/((1/1000)*(s_Irr!H11+s_Irr!AG11+s_Irr!BF11)),IF(AND(s_Irr!H11&lt;&gt;".",s_Irr!AG11&lt;&gt;".",s_Irr!BF11="."),s_dir!I11/((1/1000)*(s_Irr!H11+s_Irr!AG11)),IF(AND(s_Irr!H11&lt;&gt;".",s_Irr!AG11=".",s_Irr!BF11&lt;&gt;"."),s_dir!I11/((1/1000)*(s_Irr!H11+s_Irr!BF11)),IF(AND(s_Irr!H11=".",s_Irr!AG11&lt;&gt;".",s_Irr!BF11&lt;&gt;"."),s_dir!I11/((1/1000)*(s_Irr!AG11+s_Irr!BF11)),IF(AND(s_Irr!H11=".",s_Irr!AG11=".",s_Irr!BF11&lt;&gt;"."),s_dir!I11/((1/1000)*(s_Irr!BF11)),IF(AND(s_Irr!H11=".",s_Irr!AG11&lt;&gt;".",s_Irr!BF11="."),s_dir!I11/((1/1000)*(s_Irr!AG11)),IF(AND(s_Irr!H11&lt;&gt;".",s_Irr!AG11=".",s_Irr!BF11="."),s_dir!I11/((1/1000)*(s_Irr!H11)),IF(AND(s_Irr!H11=".",s_Irr!AG11=".",s_Irr!BF11="."),s_dir!I11*1000)))))))),".")</f>
        <v>.</v>
      </c>
      <c r="J11" s="76" t="str">
        <f>IFERROR(IF(AND(s_Irr!I11&lt;&gt;".",s_Irr!AH11&lt;&gt;".",s_Irr!BG11&lt;&gt;"."),s_dir!J11/((1/1000)*(s_Irr!I11+s_Irr!AH11+s_Irr!BG11)),IF(AND(s_Irr!I11&lt;&gt;".",s_Irr!AH11&lt;&gt;".",s_Irr!BG11="."),s_dir!J11/((1/1000)*(s_Irr!I11+s_Irr!AH11)),IF(AND(s_Irr!I11&lt;&gt;".",s_Irr!AH11=".",s_Irr!BG11&lt;&gt;"."),s_dir!J11/((1/1000)*(s_Irr!I11+s_Irr!BG11)),IF(AND(s_Irr!I11=".",s_Irr!AH11&lt;&gt;".",s_Irr!BG11&lt;&gt;"."),s_dir!J11/((1/1000)*(s_Irr!AH11+s_Irr!BG11)),IF(AND(s_Irr!I11=".",s_Irr!AH11=".",s_Irr!BG11&lt;&gt;"."),s_dir!J11/((1/1000)*(s_Irr!BG11)),IF(AND(s_Irr!I11=".",s_Irr!AH11&lt;&gt;".",s_Irr!BG11="."),s_dir!J11/((1/1000)*(s_Irr!AH11)),IF(AND(s_Irr!I11&lt;&gt;".",s_Irr!AH11=".",s_Irr!BG11="."),s_dir!J11/((1/1000)*(s_Irr!I11)),IF(AND(s_Irr!I11=".",s_Irr!AH11=".",s_Irr!BG11="."),s_dir!J11*1000)))))))),".")</f>
        <v>.</v>
      </c>
      <c r="K11" s="76" t="str">
        <f>IFERROR(IF(AND(s_Irr!J11&lt;&gt;".",s_Irr!AI11&lt;&gt;".",s_Irr!BH11&lt;&gt;"."),s_dir!K11/((1/1000)*(s_Irr!J11+s_Irr!AI11+s_Irr!BH11)),IF(AND(s_Irr!J11&lt;&gt;".",s_Irr!AI11&lt;&gt;".",s_Irr!BH11="."),s_dir!K11/((1/1000)*(s_Irr!J11+s_Irr!AI11)),IF(AND(s_Irr!J11&lt;&gt;".",s_Irr!AI11=".",s_Irr!BH11&lt;&gt;"."),s_dir!K11/((1/1000)*(s_Irr!J11+s_Irr!BH11)),IF(AND(s_Irr!J11=".",s_Irr!AI11&lt;&gt;".",s_Irr!BH11&lt;&gt;"."),s_dir!K11/((1/1000)*(s_Irr!AI11+s_Irr!BH11)),IF(AND(s_Irr!J11=".",s_Irr!AI11=".",s_Irr!BH11&lt;&gt;"."),s_dir!K11/((1/1000)*(s_Irr!BH11)),IF(AND(s_Irr!J11=".",s_Irr!AI11&lt;&gt;".",s_Irr!BH11="."),s_dir!K11/((1/1000)*(s_Irr!AI11)),IF(AND(s_Irr!J11&lt;&gt;".",s_Irr!AI11=".",s_Irr!BH11="."),s_dir!K11/((1/1000)*(s_Irr!J11)),IF(AND(s_Irr!J11=".",s_Irr!AI11=".",s_Irr!BH11="."),s_dir!K11*1000)))))))),".")</f>
        <v>.</v>
      </c>
      <c r="L11" s="76" t="str">
        <f>IFERROR(IF(AND(s_Irr!K11&lt;&gt;".",s_Irr!AJ11&lt;&gt;".",s_Irr!BI11&lt;&gt;"."),s_dir!L11/((1/1000)*(s_Irr!K11+s_Irr!AJ11+s_Irr!BI11)),IF(AND(s_Irr!K11&lt;&gt;".",s_Irr!AJ11&lt;&gt;".",s_Irr!BI11="."),s_dir!L11/((1/1000)*(s_Irr!K11+s_Irr!AJ11)),IF(AND(s_Irr!K11&lt;&gt;".",s_Irr!AJ11=".",s_Irr!BI11&lt;&gt;"."),s_dir!L11/((1/1000)*(s_Irr!K11+s_Irr!BI11)),IF(AND(s_Irr!K11=".",s_Irr!AJ11&lt;&gt;".",s_Irr!BI11&lt;&gt;"."),s_dir!L11/((1/1000)*(s_Irr!AJ11+s_Irr!BI11)),IF(AND(s_Irr!K11=".",s_Irr!AJ11=".",s_Irr!BI11&lt;&gt;"."),s_dir!L11/((1/1000)*(s_Irr!BI11)),IF(AND(s_Irr!K11=".",s_Irr!AJ11&lt;&gt;".",s_Irr!BI11="."),s_dir!L11/((1/1000)*(s_Irr!AJ11)),IF(AND(s_Irr!K11&lt;&gt;".",s_Irr!AJ11=".",s_Irr!BI11="."),s_dir!L11/((1/1000)*(s_Irr!K11)),IF(AND(s_Irr!K11=".",s_Irr!AJ11=".",s_Irr!BI11="."),s_dir!L11*1000)))))))),".")</f>
        <v>.</v>
      </c>
      <c r="M11" s="76" t="str">
        <f>IFERROR(IF(AND(s_Irr!L11&lt;&gt;".",s_Irr!AK11&lt;&gt;".",s_Irr!BJ11&lt;&gt;"."),s_dir!M11/((1/1000)*(s_Irr!L11+s_Irr!AK11+s_Irr!BJ11)),IF(AND(s_Irr!L11&lt;&gt;".",s_Irr!AK11&lt;&gt;".",s_Irr!BJ11="."),s_dir!M11/((1/1000)*(s_Irr!L11+s_Irr!AK11)),IF(AND(s_Irr!L11&lt;&gt;".",s_Irr!AK11=".",s_Irr!BJ11&lt;&gt;"."),s_dir!M11/((1/1000)*(s_Irr!L11+s_Irr!BJ11)),IF(AND(s_Irr!L11=".",s_Irr!AK11&lt;&gt;".",s_Irr!BJ11&lt;&gt;"."),s_dir!M11/((1/1000)*(s_Irr!AK11+s_Irr!BJ11)),IF(AND(s_Irr!L11=".",s_Irr!AK11=".",s_Irr!BJ11&lt;&gt;"."),s_dir!M11/((1/1000)*(s_Irr!BJ11)),IF(AND(s_Irr!L11=".",s_Irr!AK11&lt;&gt;".",s_Irr!BJ11="."),s_dir!M11/((1/1000)*(s_Irr!AK11)),IF(AND(s_Irr!L11&lt;&gt;".",s_Irr!AK11=".",s_Irr!BJ11="."),s_dir!M11/((1/1000)*(s_Irr!L11)),IF(AND(s_Irr!L11=".",s_Irr!AK11=".",s_Irr!BJ11="."),s_dir!M11*1000)))))))),".")</f>
        <v>.</v>
      </c>
      <c r="N11" s="76" t="str">
        <f>IFERROR(IF(AND(s_Irr!M11&lt;&gt;".",s_Irr!AL11&lt;&gt;".",s_Irr!BK11&lt;&gt;"."),s_dir!N11/((1/1000)*(s_Irr!M11+s_Irr!AL11+s_Irr!BK11)),IF(AND(s_Irr!M11&lt;&gt;".",s_Irr!AL11&lt;&gt;".",s_Irr!BK11="."),s_dir!N11/((1/1000)*(s_Irr!M11+s_Irr!AL11)),IF(AND(s_Irr!M11&lt;&gt;".",s_Irr!AL11=".",s_Irr!BK11&lt;&gt;"."),s_dir!N11/((1/1000)*(s_Irr!M11+s_Irr!BK11)),IF(AND(s_Irr!M11=".",s_Irr!AL11&lt;&gt;".",s_Irr!BK11&lt;&gt;"."),s_dir!N11/((1/1000)*(s_Irr!AL11+s_Irr!BK11)),IF(AND(s_Irr!M11=".",s_Irr!AL11=".",s_Irr!BK11&lt;&gt;"."),s_dir!N11/((1/1000)*(s_Irr!BK11)),IF(AND(s_Irr!M11=".",s_Irr!AL11&lt;&gt;".",s_Irr!BK11="."),s_dir!N11/((1/1000)*(s_Irr!AL11)),IF(AND(s_Irr!M11&lt;&gt;".",s_Irr!AL11=".",s_Irr!BK11="."),s_dir!N11/((1/1000)*(s_Irr!M11)),IF(AND(s_Irr!M11=".",s_Irr!AL11=".",s_Irr!BK11="."),s_dir!N11*1000)))))))),".")</f>
        <v>.</v>
      </c>
      <c r="O11" s="76" t="str">
        <f>IFERROR(IF(AND(s_Irr!N11&lt;&gt;".",s_Irr!AM11&lt;&gt;".",s_Irr!BL11&lt;&gt;"."),s_dir!O11/((1/1000)*(s_Irr!N11+s_Irr!AM11+s_Irr!BL11)),IF(AND(s_Irr!N11&lt;&gt;".",s_Irr!AM11&lt;&gt;".",s_Irr!BL11="."),s_dir!O11/((1/1000)*(s_Irr!N11+s_Irr!AM11)),IF(AND(s_Irr!N11&lt;&gt;".",s_Irr!AM11=".",s_Irr!BL11&lt;&gt;"."),s_dir!O11/((1/1000)*(s_Irr!N11+s_Irr!BL11)),IF(AND(s_Irr!N11=".",s_Irr!AM11&lt;&gt;".",s_Irr!BL11&lt;&gt;"."),s_dir!O11/((1/1000)*(s_Irr!AM11+s_Irr!BL11)),IF(AND(s_Irr!N11=".",s_Irr!AM11=".",s_Irr!BL11&lt;&gt;"."),s_dir!O11/((1/1000)*(s_Irr!BL11)),IF(AND(s_Irr!N11=".",s_Irr!AM11&lt;&gt;".",s_Irr!BL11="."),s_dir!O11/((1/1000)*(s_Irr!AM11)),IF(AND(s_Irr!N11&lt;&gt;".",s_Irr!AM11=".",s_Irr!BL11="."),s_dir!O11/((1/1000)*(s_Irr!N11)),IF(AND(s_Irr!N11=".",s_Irr!AM11=".",s_Irr!BL11="."),s_dir!O11*1000)))))))),".")</f>
        <v>.</v>
      </c>
      <c r="P11" s="76" t="str">
        <f>IFERROR(IF(AND(s_Irr!O11&lt;&gt;".",s_Irr!AN11&lt;&gt;".",s_Irr!BM11&lt;&gt;"."),s_dir!P11/((1/1000)*(s_Irr!O11+s_Irr!AN11+s_Irr!BM11)),IF(AND(s_Irr!O11&lt;&gt;".",s_Irr!AN11&lt;&gt;".",s_Irr!BM11="."),s_dir!P11/((1/1000)*(s_Irr!O11+s_Irr!AN11)),IF(AND(s_Irr!O11&lt;&gt;".",s_Irr!AN11=".",s_Irr!BM11&lt;&gt;"."),s_dir!P11/((1/1000)*(s_Irr!O11+s_Irr!BM11)),IF(AND(s_Irr!O11=".",s_Irr!AN11&lt;&gt;".",s_Irr!BM11&lt;&gt;"."),s_dir!P11/((1/1000)*(s_Irr!AN11+s_Irr!BM11)),IF(AND(s_Irr!O11=".",s_Irr!AN11=".",s_Irr!BM11&lt;&gt;"."),s_dir!P11/((1/1000)*(s_Irr!BM11)),IF(AND(s_Irr!O11=".",s_Irr!AN11&lt;&gt;".",s_Irr!BM11="."),s_dir!P11/((1/1000)*(s_Irr!AN11)),IF(AND(s_Irr!O11&lt;&gt;".",s_Irr!AN11=".",s_Irr!BM11="."),s_dir!P11/((1/1000)*(s_Irr!O11)),IF(AND(s_Irr!O11=".",s_Irr!AN11=".",s_Irr!BM11="."),s_dir!P11*1000)))))))),".")</f>
        <v>.</v>
      </c>
      <c r="Q11" s="76" t="str">
        <f>IFERROR(IF(AND(s_Irr!P11&lt;&gt;".",s_Irr!AO11&lt;&gt;".",s_Irr!BN11&lt;&gt;"."),s_dir!Q11/((1/1000)*(s_Irr!P11+s_Irr!AO11+s_Irr!BN11)),IF(AND(s_Irr!P11&lt;&gt;".",s_Irr!AO11&lt;&gt;".",s_Irr!BN11="."),s_dir!Q11/((1/1000)*(s_Irr!P11+s_Irr!AO11)),IF(AND(s_Irr!P11&lt;&gt;".",s_Irr!AO11=".",s_Irr!BN11&lt;&gt;"."),s_dir!Q11/((1/1000)*(s_Irr!P11+s_Irr!BN11)),IF(AND(s_Irr!P11=".",s_Irr!AO11&lt;&gt;".",s_Irr!BN11&lt;&gt;"."),s_dir!Q11/((1/1000)*(s_Irr!AO11+s_Irr!BN11)),IF(AND(s_Irr!P11=".",s_Irr!AO11=".",s_Irr!BN11&lt;&gt;"."),s_dir!Q11/((1/1000)*(s_Irr!BN11)),IF(AND(s_Irr!P11=".",s_Irr!AO11&lt;&gt;".",s_Irr!BN11="."),s_dir!Q11/((1/1000)*(s_Irr!AO11)),IF(AND(s_Irr!P11&lt;&gt;".",s_Irr!AO11=".",s_Irr!BN11="."),s_dir!Q11/((1/1000)*(s_Irr!P11)),IF(AND(s_Irr!P11=".",s_Irr!AO11=".",s_Irr!BN11="."),s_dir!Q11*1000)))))))),".")</f>
        <v>.</v>
      </c>
      <c r="R11" s="76" t="str">
        <f>IFERROR(IF(AND(s_Irr!Q11&lt;&gt;".",s_Irr!AP11&lt;&gt;".",s_Irr!BO11&lt;&gt;"."),s_dir!R11/((1/1000)*(s_Irr!Q11+s_Irr!AP11+s_Irr!BO11)),IF(AND(s_Irr!Q11&lt;&gt;".",s_Irr!AP11&lt;&gt;".",s_Irr!BO11="."),s_dir!R11/((1/1000)*(s_Irr!Q11+s_Irr!AP11)),IF(AND(s_Irr!Q11&lt;&gt;".",s_Irr!AP11=".",s_Irr!BO11&lt;&gt;"."),s_dir!R11/((1/1000)*(s_Irr!Q11+s_Irr!BO11)),IF(AND(s_Irr!Q11=".",s_Irr!AP11&lt;&gt;".",s_Irr!BO11&lt;&gt;"."),s_dir!R11/((1/1000)*(s_Irr!AP11+s_Irr!BO11)),IF(AND(s_Irr!Q11=".",s_Irr!AP11=".",s_Irr!BO11&lt;&gt;"."),s_dir!R11/((1/1000)*(s_Irr!BO11)),IF(AND(s_Irr!Q11=".",s_Irr!AP11&lt;&gt;".",s_Irr!BO11="."),s_dir!R11/((1/1000)*(s_Irr!AP11)),IF(AND(s_Irr!Q11&lt;&gt;".",s_Irr!AP11=".",s_Irr!BO11="."),s_dir!R11/((1/1000)*(s_Irr!Q11)),IF(AND(s_Irr!Q11=".",s_Irr!AP11=".",s_Irr!BO11="."),s_dir!R11*1000)))))))),".")</f>
        <v>.</v>
      </c>
      <c r="S11" s="76" t="str">
        <f>IFERROR(IF(AND(s_Irr!R11&lt;&gt;".",s_Irr!AQ11&lt;&gt;".",s_Irr!BP11&lt;&gt;"."),s_dir!S11/((1/1000)*(s_Irr!R11+s_Irr!AQ11+s_Irr!BP11)),IF(AND(s_Irr!R11&lt;&gt;".",s_Irr!AQ11&lt;&gt;".",s_Irr!BP11="."),s_dir!S11/((1/1000)*(s_Irr!R11+s_Irr!AQ11)),IF(AND(s_Irr!R11&lt;&gt;".",s_Irr!AQ11=".",s_Irr!BP11&lt;&gt;"."),s_dir!S11/((1/1000)*(s_Irr!R11+s_Irr!BP11)),IF(AND(s_Irr!R11=".",s_Irr!AQ11&lt;&gt;".",s_Irr!BP11&lt;&gt;"."),s_dir!S11/((1/1000)*(s_Irr!AQ11+s_Irr!BP11)),IF(AND(s_Irr!R11=".",s_Irr!AQ11=".",s_Irr!BP11&lt;&gt;"."),s_dir!S11/((1/1000)*(s_Irr!BP11)),IF(AND(s_Irr!R11=".",s_Irr!AQ11&lt;&gt;".",s_Irr!BP11="."),s_dir!S11/((1/1000)*(s_Irr!AQ11)),IF(AND(s_Irr!R11&lt;&gt;".",s_Irr!AQ11=".",s_Irr!BP11="."),s_dir!S11/((1/1000)*(s_Irr!R11)),IF(AND(s_Irr!R11=".",s_Irr!AQ11=".",s_Irr!BP11="."),s_dir!S11*1000)))))))),".")</f>
        <v>.</v>
      </c>
      <c r="T11" s="76" t="str">
        <f>IFERROR(IF(AND(s_Irr!S11&lt;&gt;".",s_Irr!AR11&lt;&gt;".",s_Irr!BQ11&lt;&gt;"."),s_dir!T11/((1/1000)*(s_Irr!S11+s_Irr!AR11+s_Irr!BQ11)),IF(AND(s_Irr!S11&lt;&gt;".",s_Irr!AR11&lt;&gt;".",s_Irr!BQ11="."),s_dir!T11/((1/1000)*(s_Irr!S11+s_Irr!AR11)),IF(AND(s_Irr!S11&lt;&gt;".",s_Irr!AR11=".",s_Irr!BQ11&lt;&gt;"."),s_dir!T11/((1/1000)*(s_Irr!S11+s_Irr!BQ11)),IF(AND(s_Irr!S11=".",s_Irr!AR11&lt;&gt;".",s_Irr!BQ11&lt;&gt;"."),s_dir!T11/((1/1000)*(s_Irr!AR11+s_Irr!BQ11)),IF(AND(s_Irr!S11=".",s_Irr!AR11=".",s_Irr!BQ11&lt;&gt;"."),s_dir!T11/((1/1000)*(s_Irr!BQ11)),IF(AND(s_Irr!S11=".",s_Irr!AR11&lt;&gt;".",s_Irr!BQ11="."),s_dir!T11/((1/1000)*(s_Irr!AR11)),IF(AND(s_Irr!S11&lt;&gt;".",s_Irr!AR11=".",s_Irr!BQ11="."),s_dir!T11/((1/1000)*(s_Irr!S11)),IF(AND(s_Irr!S11=".",s_Irr!AR11=".",s_Irr!BQ11="."),s_dir!T11*1000)))))))),".")</f>
        <v>.</v>
      </c>
      <c r="U11" s="76" t="str">
        <f>IFERROR(IF(AND(s_Irr!T11&lt;&gt;".",s_Irr!AS11&lt;&gt;".",s_Irr!BR11&lt;&gt;"."),s_dir!U11/((1/1000)*(s_Irr!T11+s_Irr!AS11+s_Irr!BR11)),IF(AND(s_Irr!T11&lt;&gt;".",s_Irr!AS11&lt;&gt;".",s_Irr!BR11="."),s_dir!U11/((1/1000)*(s_Irr!T11+s_Irr!AS11)),IF(AND(s_Irr!T11&lt;&gt;".",s_Irr!AS11=".",s_Irr!BR11&lt;&gt;"."),s_dir!U11/((1/1000)*(s_Irr!T11+s_Irr!BR11)),IF(AND(s_Irr!T11=".",s_Irr!AS11&lt;&gt;".",s_Irr!BR11&lt;&gt;"."),s_dir!U11/((1/1000)*(s_Irr!AS11+s_Irr!BR11)),IF(AND(s_Irr!T11=".",s_Irr!AS11=".",s_Irr!BR11&lt;&gt;"."),s_dir!U11/((1/1000)*(s_Irr!BR11)),IF(AND(s_Irr!T11=".",s_Irr!AS11&lt;&gt;".",s_Irr!BR11="."),s_dir!U11/((1/1000)*(s_Irr!AS11)),IF(AND(s_Irr!T11&lt;&gt;".",s_Irr!AS11=".",s_Irr!BR11="."),s_dir!U11/((1/1000)*(s_Irr!T11)),IF(AND(s_Irr!T11=".",s_Irr!AS11=".",s_Irr!BR11="."),s_dir!U11*1000)))))))),".")</f>
        <v>.</v>
      </c>
      <c r="V11" s="76" t="str">
        <f>IFERROR(IF(AND(s_Irr!U11&lt;&gt;".",s_Irr!AT11&lt;&gt;".",s_Irr!BS11&lt;&gt;"."),s_dir!V11/((1/1000)*(s_Irr!U11+s_Irr!AT11+s_Irr!BS11)),IF(AND(s_Irr!U11&lt;&gt;".",s_Irr!AT11&lt;&gt;".",s_Irr!BS11="."),s_dir!V11/((1/1000)*(s_Irr!U11+s_Irr!AT11)),IF(AND(s_Irr!U11&lt;&gt;".",s_Irr!AT11=".",s_Irr!BS11&lt;&gt;"."),s_dir!V11/((1/1000)*(s_Irr!U11+s_Irr!BS11)),IF(AND(s_Irr!U11=".",s_Irr!AT11&lt;&gt;".",s_Irr!BS11&lt;&gt;"."),s_dir!V11/((1/1000)*(s_Irr!AT11+s_Irr!BS11)),IF(AND(s_Irr!U11=".",s_Irr!AT11=".",s_Irr!BS11&lt;&gt;"."),s_dir!V11/((1/1000)*(s_Irr!BS11)),IF(AND(s_Irr!U11=".",s_Irr!AT11&lt;&gt;".",s_Irr!BS11="."),s_dir!V11/((1/1000)*(s_Irr!AT11)),IF(AND(s_Irr!U11&lt;&gt;".",s_Irr!AT11=".",s_Irr!BS11="."),s_dir!V11/((1/1000)*(s_Irr!U11)),IF(AND(s_Irr!U11=".",s_Irr!AT11=".",s_Irr!BS11="."),s_dir!V11*1000)))))))),".")</f>
        <v>.</v>
      </c>
      <c r="W11" s="76" t="str">
        <f>IFERROR(IF(AND(s_Irr!V11&lt;&gt;".",s_Irr!AU11&lt;&gt;".",s_Irr!BT11&lt;&gt;"."),s_dir!W11/((1/1000)*(s_Irr!V11+s_Irr!AU11+s_Irr!BT11)),IF(AND(s_Irr!V11&lt;&gt;".",s_Irr!AU11&lt;&gt;".",s_Irr!BT11="."),s_dir!W11/((1/1000)*(s_Irr!V11+s_Irr!AU11)),IF(AND(s_Irr!V11&lt;&gt;".",s_Irr!AU11=".",s_Irr!BT11&lt;&gt;"."),s_dir!W11/((1/1000)*(s_Irr!V11+s_Irr!BT11)),IF(AND(s_Irr!V11=".",s_Irr!AU11&lt;&gt;".",s_Irr!BT11&lt;&gt;"."),s_dir!W11/((1/1000)*(s_Irr!AU11+s_Irr!BT11)),IF(AND(s_Irr!V11=".",s_Irr!AU11=".",s_Irr!BT11&lt;&gt;"."),s_dir!W11/((1/1000)*(s_Irr!BT11)),IF(AND(s_Irr!V11=".",s_Irr!AU11&lt;&gt;".",s_Irr!BT11="."),s_dir!W11/((1/1000)*(s_Irr!AU11)),IF(AND(s_Irr!V11&lt;&gt;".",s_Irr!AU11=".",s_Irr!BT11="."),s_dir!W11/((1/1000)*(s_Irr!V11)),IF(AND(s_Irr!V11=".",s_Irr!AU11=".",s_Irr!BT11="."),s_dir!W11*1000)))))))),".")</f>
        <v>.</v>
      </c>
      <c r="X11" s="76" t="str">
        <f>IFERROR(IF(AND(s_Irr!W11&lt;&gt;".",s_Irr!AV11&lt;&gt;".",s_Irr!BU11&lt;&gt;"."),s_dir!X11/((1/1000)*(s_Irr!W11+s_Irr!AV11+s_Irr!BU11)),IF(AND(s_Irr!W11&lt;&gt;".",s_Irr!AV11&lt;&gt;".",s_Irr!BU11="."),s_dir!X11/((1/1000)*(s_Irr!W11+s_Irr!AV11)),IF(AND(s_Irr!W11&lt;&gt;".",s_Irr!AV11=".",s_Irr!BU11&lt;&gt;"."),s_dir!X11/((1/1000)*(s_Irr!W11+s_Irr!BU11)),IF(AND(s_Irr!W11=".",s_Irr!AV11&lt;&gt;".",s_Irr!BU11&lt;&gt;"."),s_dir!X11/((1/1000)*(s_Irr!AV11+s_Irr!BU11)),IF(AND(s_Irr!W11=".",s_Irr!AV11=".",s_Irr!BU11&lt;&gt;"."),s_dir!X11/((1/1000)*(s_Irr!BU11)),IF(AND(s_Irr!W11=".",s_Irr!AV11&lt;&gt;".",s_Irr!BU11="."),s_dir!X11/((1/1000)*(s_Irr!AV11)),IF(AND(s_Irr!W11&lt;&gt;".",s_Irr!AV11=".",s_Irr!BU11="."),s_dir!X11/((1/1000)*(s_Irr!W11)),IF(AND(s_Irr!W11=".",s_Irr!AV11=".",s_Irr!BU11="."),s_dir!X11*1000)))))))),".")</f>
        <v>.</v>
      </c>
      <c r="Y11" s="76" t="str">
        <f>IFERROR(IF(AND(s_Irr!X11&lt;&gt;".",s_Irr!AW11&lt;&gt;".",s_Irr!BV11&lt;&gt;"."),s_dir!Y11/((1/1000)*(s_Irr!X11+s_Irr!AW11+s_Irr!BV11)),IF(AND(s_Irr!X11&lt;&gt;".",s_Irr!AW11&lt;&gt;".",s_Irr!BV11="."),s_dir!Y11/((1/1000)*(s_Irr!X11+s_Irr!AW11)),IF(AND(s_Irr!X11&lt;&gt;".",s_Irr!AW11=".",s_Irr!BV11&lt;&gt;"."),s_dir!Y11/((1/1000)*(s_Irr!X11+s_Irr!BV11)),IF(AND(s_Irr!X11=".",s_Irr!AW11&lt;&gt;".",s_Irr!BV11&lt;&gt;"."),s_dir!Y11/((1/1000)*(s_Irr!AW11+s_Irr!BV11)),IF(AND(s_Irr!X11=".",s_Irr!AW11=".",s_Irr!BV11&lt;&gt;"."),s_dir!Y11/((1/1000)*(s_Irr!BV11)),IF(AND(s_Irr!X11=".",s_Irr!AW11&lt;&gt;".",s_Irr!BV11="."),s_dir!Y11/((1/1000)*(s_Irr!AW11)),IF(AND(s_Irr!X11&lt;&gt;".",s_Irr!AW11=".",s_Irr!BV11="."),s_dir!Y11/((1/1000)*(s_Irr!X11)),IF(AND(s_Irr!X11=".",s_Irr!AW11=".",s_Irr!BV11="."),s_dir!Y11*1000)))))))),".")</f>
        <v>.</v>
      </c>
      <c r="Z11" s="76" t="str">
        <f>IFERROR(IF(AND(s_Irr!Y11&lt;&gt;".",s_Irr!AX11&lt;&gt;".",s_Irr!BW11&lt;&gt;"."),s_dir!Z11/((1/1000)*(s_Irr!Y11+s_Irr!AX11+s_Irr!BW11)),IF(AND(s_Irr!Y11&lt;&gt;".",s_Irr!AX11&lt;&gt;".",s_Irr!BW11="."),s_dir!Z11/((1/1000)*(s_Irr!Y11+s_Irr!AX11)),IF(AND(s_Irr!Y11&lt;&gt;".",s_Irr!AX11=".",s_Irr!BW11&lt;&gt;"."),s_dir!Z11/((1/1000)*(s_Irr!Y11+s_Irr!BW11)),IF(AND(s_Irr!Y11=".",s_Irr!AX11&lt;&gt;".",s_Irr!BW11&lt;&gt;"."),s_dir!Z11/((1/1000)*(s_Irr!AX11+s_Irr!BW11)),IF(AND(s_Irr!Y11=".",s_Irr!AX11=".",s_Irr!BW11&lt;&gt;"."),s_dir!Z11/((1/1000)*(s_Irr!BW11)),IF(AND(s_Irr!Y11=".",s_Irr!AX11&lt;&gt;".",s_Irr!BW11="."),s_dir!Z11/((1/1000)*(s_Irr!AX11)),IF(AND(s_Irr!Y11&lt;&gt;".",s_Irr!AX11=".",s_Irr!BW11="."),s_dir!Z11/((1/1000)*(s_Irr!Y11)),IF(AND(s_Irr!Y11=".",s_Irr!AX11=".",s_Irr!BW11="."),s_dir!Z11*1000)))))))),".")</f>
        <v>.</v>
      </c>
      <c r="AA11" s="76" t="str">
        <f>IFERROR(IF(AND(s_Irr!Z11&lt;&gt;".",s_Irr!AY11&lt;&gt;".",s_Irr!BX11&lt;&gt;"."),s_dir!AA11/((1/1000)*(s_Irr!Z11+s_Irr!AY11+s_Irr!BX11)),IF(AND(s_Irr!Z11&lt;&gt;".",s_Irr!AY11&lt;&gt;".",s_Irr!BX11="."),s_dir!AA11/((1/1000)*(s_Irr!Z11+s_Irr!AY11)),IF(AND(s_Irr!Z11&lt;&gt;".",s_Irr!AY11=".",s_Irr!BX11&lt;&gt;"."),s_dir!AA11/((1/1000)*(s_Irr!Z11+s_Irr!BX11)),IF(AND(s_Irr!Z11=".",s_Irr!AY11&lt;&gt;".",s_Irr!BX11&lt;&gt;"."),s_dir!AA11/((1/1000)*(s_Irr!AY11+s_Irr!BX11)),IF(AND(s_Irr!Z11=".",s_Irr!AY11=".",s_Irr!BX11&lt;&gt;"."),s_dir!AA11/((1/1000)*(s_Irr!BX11)),IF(AND(s_Irr!Z11=".",s_Irr!AY11&lt;&gt;".",s_Irr!BX11="."),s_dir!AA11/((1/1000)*(s_Irr!AY11)),IF(AND(s_Irr!Z11&lt;&gt;".",s_Irr!AY11=".",s_Irr!BX11="."),s_dir!AA11/((1/1000)*(s_Irr!Z11)),IF(AND(s_Irr!Z11=".",s_Irr!AY11=".",s_Irr!BX11="."),s_dir!AA11*1000)))))))),".")</f>
        <v>.</v>
      </c>
      <c r="AB11" s="76" t="str">
        <f>IFERROR(IF(AND(s_Irr!AA11&lt;&gt;".",s_Irr!AZ11&lt;&gt;".",s_Irr!BY11&lt;&gt;"."),s_dir!AB11/((1/1000)*(s_Irr!AA11+s_Irr!AZ11+s_Irr!BY11)),IF(AND(s_Irr!AA11&lt;&gt;".",s_Irr!AZ11&lt;&gt;".",s_Irr!BY11="."),s_dir!AB11/((1/1000)*(s_Irr!AA11+s_Irr!AZ11)),IF(AND(s_Irr!AA11&lt;&gt;".",s_Irr!AZ11=".",s_Irr!BY11&lt;&gt;"."),s_dir!AB11/((1/1000)*(s_Irr!AA11+s_Irr!BY11)),IF(AND(s_Irr!AA11=".",s_Irr!AZ11&lt;&gt;".",s_Irr!BY11&lt;&gt;"."),s_dir!AB11/((1/1000)*(s_Irr!AZ11+s_Irr!BY11)),IF(AND(s_Irr!AA11=".",s_Irr!AZ11=".",s_Irr!BY11&lt;&gt;"."),s_dir!AB11/((1/1000)*(s_Irr!BY11)),IF(AND(s_Irr!AA11=".",s_Irr!AZ11&lt;&gt;".",s_Irr!BY11="."),s_dir!AB11/((1/1000)*(s_Irr!AZ11)),IF(AND(s_Irr!AA11&lt;&gt;".",s_Irr!AZ11=".",s_Irr!BY11="."),s_dir!AB11/((1/1000)*(s_Irr!AA11)),IF(AND(s_Irr!AA11=".",s_Irr!AZ11=".",s_Irr!BY11="."),s_dir!AB11*1000)))))))),".")</f>
        <v>.</v>
      </c>
      <c r="AC11" s="93">
        <f t="shared" si="4"/>
        <v>10682.986976345341</v>
      </c>
      <c r="AD11" s="93">
        <f>IFERROR(s_C*s_IFAP_res_adj*s_CF_apple*0.001*(s_Irr!C11+s_Irr!AB11+s_Irr!BA11),".")</f>
        <v>2670.7467440863352</v>
      </c>
      <c r="AE11" s="93">
        <f>IFERROR(s_C*s_IFAS_res_adj*s_CF_asparagus*0.001*(s_Irr!D11+s_Irr!AC11+s_Irr!BB11),".")</f>
        <v>2670.7467440863352</v>
      </c>
      <c r="AF11" s="93">
        <f>IFERROR(s_C*s_IFBT_res_adj*s_CF_beet*0.001*(s_Irr!E11+s_Irr!AD11+s_Irr!BC11),".")</f>
        <v>2670.7467440863352</v>
      </c>
      <c r="AG11" s="93">
        <f>IFERROR(s_C*s_IFBE_res_adj*s_CF_berries*0.001*(s_Irr!F11+s_Irr!AE11+s_Irr!BD11),".")</f>
        <v>2670.7467440863352</v>
      </c>
      <c r="AH11" s="93">
        <f>IFERROR(s_C*s_IFBR_res_adj*s_CF_broccoli*0.001*(s_Irr!G11+s_Irr!AF11+s_Irr!BE11),".")</f>
        <v>2670.7467440863352</v>
      </c>
      <c r="AI11" s="93">
        <f>IFERROR(s_C*s_IFCB_res_adj*s_CF_cabbage*0.001*(s_Irr!H11+s_Irr!AG11+s_Irr!BF11),".")</f>
        <v>2670.7467440863352</v>
      </c>
      <c r="AJ11" s="93">
        <f>IFERROR(s_C*s_IFCR_res_adj*s_CF_carrot*0.001*(s_Irr!I11+s_Irr!AH11+s_Irr!BG11),".")</f>
        <v>2670.7467440863352</v>
      </c>
      <c r="AK11" s="93">
        <f>IFERROR(s_C*s_IFCI_res_adj*s_CF_citrus*0.001*(s_Irr!J11+s_Irr!AI11+s_Irr!BH11),".")</f>
        <v>2670.7467440863352</v>
      </c>
      <c r="AL11" s="93">
        <f>IFERROR(s_C*s_IFCO_res_adj*s_CF_corn*0.001*(s_Irr!K11+s_Irr!AJ11+s_Irr!BI11),".")</f>
        <v>2670.7467440863352</v>
      </c>
      <c r="AM11" s="93">
        <f>IFERROR(s_C*s_IFCU_res_adj*s_CF_cucumber*0.001*(s_Irr!L11+s_Irr!AK11+s_Irr!BJ11),".")</f>
        <v>2670.7467440863352</v>
      </c>
      <c r="AN11" s="93">
        <f>IFERROR(s_C*s_IFLE_res_adj*s_CF_lettuce*0.001*(s_Irr!M11+s_Irr!AL11+s_Irr!BK11),".")</f>
        <v>2670.7467440863352</v>
      </c>
      <c r="AO11" s="93">
        <f>IFERROR(s_C*s_IFLI_res_adj*s_CF_lima_bean*0.001*(s_Irr!N11+s_Irr!AM11+s_Irr!BL11),".")</f>
        <v>2670.7467440863352</v>
      </c>
      <c r="AP11" s="93">
        <f>IFERROR(s_C*s_IFOK_res_adj*s_CF_okra*0.001*(s_Irr!O11+s_Irr!AN11+s_Irr!BM11),".")</f>
        <v>2670.7467440863352</v>
      </c>
      <c r="AQ11" s="93">
        <f>IFERROR(s_C*s_IFON_res_adj*s_CF_onion*0.001*(s_Irr!P11+s_Irr!AO11+s_Irr!BN11),".")</f>
        <v>2670.7467440863352</v>
      </c>
      <c r="AR11" s="93">
        <f>IFERROR(s_C*s_IFPC_res_adj*s_CF_peach*0.001*(s_Irr!Q11+s_Irr!AP11+s_Irr!BO11),".")</f>
        <v>2670.7467440863352</v>
      </c>
      <c r="AS11" s="93">
        <f>IFERROR(s_C*s_IFPR_res_adj*s_CF_pear*0.001*(s_Irr!R11+s_Irr!AQ11+s_Irr!BP11),".")</f>
        <v>2670.7467440863352</v>
      </c>
      <c r="AT11" s="93">
        <f>IFERROR(s_C*s_IFPE_res_adj*s_CF_peas*0.001*(s_Irr!S11+s_Irr!AR11+s_Irr!BQ11),".")</f>
        <v>2670.7467440863352</v>
      </c>
      <c r="AU11" s="93">
        <f>IFERROR(s_C*s_IFPP_res_adj*s_CF_peppers*0.001*(s_Irr!T11+s_Irr!AS11+s_Irr!BR11),".")</f>
        <v>2670.7467440863352</v>
      </c>
      <c r="AV11" s="93">
        <f>IFERROR(s_C*s_IFPT_res_adj*s_CF_potato*0.001*(s_Irr!U11+s_Irr!AT11+s_Irr!BS11),".")</f>
        <v>2670.7467440863352</v>
      </c>
      <c r="AW11" s="93">
        <f>IFERROR(s_C*s_IFPU_res_adj*s_CF_pumpkin*0.001*(s_Irr!V11+s_Irr!AU11+s_Irr!BT11),".")</f>
        <v>2670.7467440863352</v>
      </c>
      <c r="AX11" s="93">
        <f>IFERROR(s_C*s_IFSN_res_adj*s_CF_snap_bean*0.001*(s_Irr!W11+s_Irr!AV11+s_Irr!BU11),".")</f>
        <v>2670.7467440863352</v>
      </c>
      <c r="AY11" s="93">
        <f>IFERROR(s_C*s_IFST_res_adj*s_CF_strawberry*0.001*(s_Irr!X11+s_Irr!AW11+s_Irr!BV11),".")</f>
        <v>2670.7467440863352</v>
      </c>
      <c r="AZ11" s="93">
        <f>IFERROR(s_C*s_IFTO_res_adj*s_CF_tomato*0.001*(s_Irr!Y11+s_Irr!AX11+s_Irr!BW11),".")</f>
        <v>2670.7467440863352</v>
      </c>
      <c r="BA11" s="93">
        <f>IFERROR(s_C*s_IFRI_res_adj*s_CF_rice*0.001*(s_Irr!Z11+s_Irr!AY11+s_Irr!BX11),".")</f>
        <v>2670.7467440863352</v>
      </c>
      <c r="BB11" s="93">
        <f>IFERROR(s_C*s_IFCG_res_adj*s_CF_cereal*0.001*(s_Irr!AA11+s_Irr!AZ11+s_Irr!BY11),".")</f>
        <v>2670.7467440863352</v>
      </c>
      <c r="BC11" s="76" t="str">
        <f t="shared" si="1"/>
        <v>.</v>
      </c>
      <c r="BD11" s="76" t="str">
        <f>IFERROR(IF(AND(s_Irr!C11&lt;&gt;".",s_Irr!AB11&lt;&gt;".",s_Irr!BA11&lt;&gt;"."),s_dir!AD11/((1/1000)*(s_Irr!C11+s_Irr!AB11+s_Irr!BA11)),IF(AND(s_Irr!C11&lt;&gt;".",s_Irr!AB11&lt;&gt;".",s_Irr!BA11="."),s_dir!AD11/((1/1000)*(s_Irr!C11+s_Irr!AB11)),IF(AND(s_Irr!C11&lt;&gt;".",s_Irr!AB11=".",s_Irr!BA11&lt;&gt;"."),s_dir!AD11/((1/1000)*(s_Irr!C11+s_Irr!BA11)),IF(AND(s_Irr!C11=".",s_Irr!AB11&lt;&gt;".",s_Irr!BA11&lt;&gt;"."),s_dir!AD11/((1/1000)*(s_Irr!AB11+s_Irr!BA11)),IF(AND(s_Irr!C11=".",s_Irr!AB11=".",s_Irr!BA11&lt;&gt;"."),s_dir!AD11/((1/1000)*(s_Irr!BA11)),IF(AND(s_Irr!C11=".",s_Irr!AB11&lt;&gt;".",s_Irr!BA11="."),s_dir!AD11/((1/1000)*(s_Irr!AB11)),IF(AND(s_Irr!C11&lt;&gt;".",s_Irr!AB11=".",s_Irr!BA11="."),s_dir!AD11/((1/1000)*(s_Irr!C11)),IF(AND(s_Irr!C11=".",s_Irr!AB11=".",s_Irr!BA11="."),s_dir!AD11*1000)))))))),".")</f>
        <v>.</v>
      </c>
      <c r="BE11" s="76" t="str">
        <f>IFERROR(IF(AND(s_Irr!D11&lt;&gt;".",s_Irr!AC11&lt;&gt;".",s_Irr!BB11&lt;&gt;"."),s_dir!AE11/((1/1000)*(s_Irr!D11+s_Irr!AC11+s_Irr!BB11)),IF(AND(s_Irr!D11&lt;&gt;".",s_Irr!AC11&lt;&gt;".",s_Irr!BB11="."),s_dir!AE11/((1/1000)*(s_Irr!D11+s_Irr!AC11)),IF(AND(s_Irr!D11&lt;&gt;".",s_Irr!AC11=".",s_Irr!BB11&lt;&gt;"."),s_dir!AE11/((1/1000)*(s_Irr!D11+s_Irr!BB11)),IF(AND(s_Irr!D11=".",s_Irr!AC11&lt;&gt;".",s_Irr!BB11&lt;&gt;"."),s_dir!AE11/((1/1000)*(s_Irr!AC11+s_Irr!BB11)),IF(AND(s_Irr!D11=".",s_Irr!AC11=".",s_Irr!BB11&lt;&gt;"."),s_dir!AE11/((1/1000)*(s_Irr!BB11)),IF(AND(s_Irr!D11=".",s_Irr!AC11&lt;&gt;".",s_Irr!BB11="."),s_dir!AE11/((1/1000)*(s_Irr!AC11)),IF(AND(s_Irr!D11&lt;&gt;".",s_Irr!AC11=".",s_Irr!BB11="."),s_dir!AE11/((1/1000)*(s_Irr!D11)),IF(AND(s_Irr!D11=".",s_Irr!AC11=".",s_Irr!BB11="."),s_dir!AE11*1000)))))))),".")</f>
        <v>.</v>
      </c>
      <c r="BF11" s="76" t="str">
        <f>IFERROR(IF(AND(s_Irr!E11&lt;&gt;".",s_Irr!AD11&lt;&gt;".",s_Irr!BC11&lt;&gt;"."),s_dir!AF11/((1/1000)*(s_Irr!E11+s_Irr!AD11+s_Irr!BC11)),IF(AND(s_Irr!E11&lt;&gt;".",s_Irr!AD11&lt;&gt;".",s_Irr!BC11="."),s_dir!AF11/((1/1000)*(s_Irr!E11+s_Irr!AD11)),IF(AND(s_Irr!E11&lt;&gt;".",s_Irr!AD11=".",s_Irr!BC11&lt;&gt;"."),s_dir!AF11/((1/1000)*(s_Irr!E11+s_Irr!BC11)),IF(AND(s_Irr!E11=".",s_Irr!AD11&lt;&gt;".",s_Irr!BC11&lt;&gt;"."),s_dir!AF11/((1/1000)*(s_Irr!AD11+s_Irr!BC11)),IF(AND(s_Irr!E11=".",s_Irr!AD11=".",s_Irr!BC11&lt;&gt;"."),s_dir!AF11/((1/1000)*(s_Irr!BC11)),IF(AND(s_Irr!E11=".",s_Irr!AD11&lt;&gt;".",s_Irr!BC11="."),s_dir!AF11/((1/1000)*(s_Irr!AD11)),IF(AND(s_Irr!E11&lt;&gt;".",s_Irr!AD11=".",s_Irr!BC11="."),s_dir!AF11/((1/1000)*(s_Irr!E11)),IF(AND(s_Irr!E11=".",s_Irr!AD11=".",s_Irr!BC11="."),s_dir!AF11*1000)))))))),".")</f>
        <v>.</v>
      </c>
      <c r="BG11" s="76" t="str">
        <f>IFERROR(IF(AND(s_Irr!F11&lt;&gt;".",s_Irr!AE11&lt;&gt;".",s_Irr!BD11&lt;&gt;"."),s_dir!AG11/((1/1000)*(s_Irr!F11+s_Irr!AE11+s_Irr!BD11)),IF(AND(s_Irr!F11&lt;&gt;".",s_Irr!AE11&lt;&gt;".",s_Irr!BD11="."),s_dir!AG11/((1/1000)*(s_Irr!F11+s_Irr!AE11)),IF(AND(s_Irr!F11&lt;&gt;".",s_Irr!AE11=".",s_Irr!BD11&lt;&gt;"."),s_dir!AG11/((1/1000)*(s_Irr!F11+s_Irr!BD11)),IF(AND(s_Irr!F11=".",s_Irr!AE11&lt;&gt;".",s_Irr!BD11&lt;&gt;"."),s_dir!AG11/((1/1000)*(s_Irr!AE11+s_Irr!BD11)),IF(AND(s_Irr!F11=".",s_Irr!AE11=".",s_Irr!BD11&lt;&gt;"."),s_dir!AG11/((1/1000)*(s_Irr!BD11)),IF(AND(s_Irr!F11=".",s_Irr!AE11&lt;&gt;".",s_Irr!BD11="."),s_dir!AG11/((1/1000)*(s_Irr!AE11)),IF(AND(s_Irr!F11&lt;&gt;".",s_Irr!AE11=".",s_Irr!BD11="."),s_dir!AG11/((1/1000)*(s_Irr!F11)),IF(AND(s_Irr!F11=".",s_Irr!AE11=".",s_Irr!BD11="."),s_dir!AG11*1000)))))))),".")</f>
        <v>.</v>
      </c>
      <c r="BH11" s="76" t="str">
        <f>IFERROR(IF(AND(s_Irr!G11&lt;&gt;".",s_Irr!AF11&lt;&gt;".",s_Irr!BE11&lt;&gt;"."),s_dir!AH11/((1/1000)*(s_Irr!G11+s_Irr!AF11+s_Irr!BE11)),IF(AND(s_Irr!G11&lt;&gt;".",s_Irr!AF11&lt;&gt;".",s_Irr!BE11="."),s_dir!AH11/((1/1000)*(s_Irr!G11+s_Irr!AF11)),IF(AND(s_Irr!G11&lt;&gt;".",s_Irr!AF11=".",s_Irr!BE11&lt;&gt;"."),s_dir!AH11/((1/1000)*(s_Irr!G11+s_Irr!BE11)),IF(AND(s_Irr!G11=".",s_Irr!AF11&lt;&gt;".",s_Irr!BE11&lt;&gt;"."),s_dir!AH11/((1/1000)*(s_Irr!AF11+s_Irr!BE11)),IF(AND(s_Irr!G11=".",s_Irr!AF11=".",s_Irr!BE11&lt;&gt;"."),s_dir!AH11/((1/1000)*(s_Irr!BE11)),IF(AND(s_Irr!G11=".",s_Irr!AF11&lt;&gt;".",s_Irr!BE11="."),s_dir!AH11/((1/1000)*(s_Irr!AF11)),IF(AND(s_Irr!G11&lt;&gt;".",s_Irr!AF11=".",s_Irr!BE11="."),s_dir!AH11/((1/1000)*(s_Irr!G11)),IF(AND(s_Irr!G11=".",s_Irr!AF11=".",s_Irr!BE11="."),s_dir!AH11*1000)))))))),".")</f>
        <v>.</v>
      </c>
      <c r="BI11" s="76" t="str">
        <f>IFERROR(IF(AND(s_Irr!H11&lt;&gt;".",s_Irr!AG11&lt;&gt;".",s_Irr!BF11&lt;&gt;"."),s_dir!AI11/((1/1000)*(s_Irr!H11+s_Irr!AG11+s_Irr!BF11)),IF(AND(s_Irr!H11&lt;&gt;".",s_Irr!AG11&lt;&gt;".",s_Irr!BF11="."),s_dir!AI11/((1/1000)*(s_Irr!H11+s_Irr!AG11)),IF(AND(s_Irr!H11&lt;&gt;".",s_Irr!AG11=".",s_Irr!BF11&lt;&gt;"."),s_dir!AI11/((1/1000)*(s_Irr!H11+s_Irr!BF11)),IF(AND(s_Irr!H11=".",s_Irr!AG11&lt;&gt;".",s_Irr!BF11&lt;&gt;"."),s_dir!AI11/((1/1000)*(s_Irr!AG11+s_Irr!BF11)),IF(AND(s_Irr!H11=".",s_Irr!AG11=".",s_Irr!BF11&lt;&gt;"."),s_dir!AI11/((1/1000)*(s_Irr!BF11)),IF(AND(s_Irr!H11=".",s_Irr!AG11&lt;&gt;".",s_Irr!BF11="."),s_dir!AI11/((1/1000)*(s_Irr!AG11)),IF(AND(s_Irr!H11&lt;&gt;".",s_Irr!AG11=".",s_Irr!BF11="."),s_dir!AI11/((1/1000)*(s_Irr!H11)),IF(AND(s_Irr!H11=".",s_Irr!AG11=".",s_Irr!BF11="."),s_dir!AI11*1000)))))))),".")</f>
        <v>.</v>
      </c>
      <c r="BJ11" s="76" t="str">
        <f>IFERROR(IF(AND(s_Irr!I11&lt;&gt;".",s_Irr!AH11&lt;&gt;".",s_Irr!BG11&lt;&gt;"."),s_dir!AJ11/((1/1000)*(s_Irr!I11+s_Irr!AH11+s_Irr!BG11)),IF(AND(s_Irr!I11&lt;&gt;".",s_Irr!AH11&lt;&gt;".",s_Irr!BG11="."),s_dir!AJ11/((1/1000)*(s_Irr!I11+s_Irr!AH11)),IF(AND(s_Irr!I11&lt;&gt;".",s_Irr!AH11=".",s_Irr!BG11&lt;&gt;"."),s_dir!AJ11/((1/1000)*(s_Irr!I11+s_Irr!BG11)),IF(AND(s_Irr!I11=".",s_Irr!AH11&lt;&gt;".",s_Irr!BG11&lt;&gt;"."),s_dir!AJ11/((1/1000)*(s_Irr!AH11+s_Irr!BG11)),IF(AND(s_Irr!I11=".",s_Irr!AH11=".",s_Irr!BG11&lt;&gt;"."),s_dir!AJ11/((1/1000)*(s_Irr!BG11)),IF(AND(s_Irr!I11=".",s_Irr!AH11&lt;&gt;".",s_Irr!BG11="."),s_dir!AJ11/((1/1000)*(s_Irr!AH11)),IF(AND(s_Irr!I11&lt;&gt;".",s_Irr!AH11=".",s_Irr!BG11="."),s_dir!AJ11/((1/1000)*(s_Irr!I11)),IF(AND(s_Irr!I11=".",s_Irr!AH11=".",s_Irr!BG11="."),s_dir!AJ11*1000)))))))),".")</f>
        <v>.</v>
      </c>
      <c r="BK11" s="76" t="str">
        <f>IFERROR(IF(AND(s_Irr!J11&lt;&gt;".",s_Irr!AI11&lt;&gt;".",s_Irr!BH11&lt;&gt;"."),s_dir!AK11/((1/1000)*(s_Irr!J11+s_Irr!AI11+s_Irr!BH11)),IF(AND(s_Irr!J11&lt;&gt;".",s_Irr!AI11&lt;&gt;".",s_Irr!BH11="."),s_dir!AK11/((1/1000)*(s_Irr!J11+s_Irr!AI11)),IF(AND(s_Irr!J11&lt;&gt;".",s_Irr!AI11=".",s_Irr!BH11&lt;&gt;"."),s_dir!AK11/((1/1000)*(s_Irr!J11+s_Irr!BH11)),IF(AND(s_Irr!J11=".",s_Irr!AI11&lt;&gt;".",s_Irr!BH11&lt;&gt;"."),s_dir!AK11/((1/1000)*(s_Irr!AI11+s_Irr!BH11)),IF(AND(s_Irr!J11=".",s_Irr!AI11=".",s_Irr!BH11&lt;&gt;"."),s_dir!AK11/((1/1000)*(s_Irr!BH11)),IF(AND(s_Irr!J11=".",s_Irr!AI11&lt;&gt;".",s_Irr!BH11="."),s_dir!AK11/((1/1000)*(s_Irr!AI11)),IF(AND(s_Irr!J11&lt;&gt;".",s_Irr!AI11=".",s_Irr!BH11="."),s_dir!AK11/((1/1000)*(s_Irr!J11)),IF(AND(s_Irr!J11=".",s_Irr!AI11=".",s_Irr!BH11="."),s_dir!AK11*1000)))))))),".")</f>
        <v>.</v>
      </c>
      <c r="BL11" s="76" t="str">
        <f>IFERROR(IF(AND(s_Irr!K11&lt;&gt;".",s_Irr!AJ11&lt;&gt;".",s_Irr!BI11&lt;&gt;"."),s_dir!AL11/((1/1000)*(s_Irr!K11+s_Irr!AJ11+s_Irr!BI11)),IF(AND(s_Irr!K11&lt;&gt;".",s_Irr!AJ11&lt;&gt;".",s_Irr!BI11="."),s_dir!AL11/((1/1000)*(s_Irr!K11+s_Irr!AJ11)),IF(AND(s_Irr!K11&lt;&gt;".",s_Irr!AJ11=".",s_Irr!BI11&lt;&gt;"."),s_dir!AL11/((1/1000)*(s_Irr!K11+s_Irr!BI11)),IF(AND(s_Irr!K11=".",s_Irr!AJ11&lt;&gt;".",s_Irr!BI11&lt;&gt;"."),s_dir!AL11/((1/1000)*(s_Irr!AJ11+s_Irr!BI11)),IF(AND(s_Irr!K11=".",s_Irr!AJ11=".",s_Irr!BI11&lt;&gt;"."),s_dir!AL11/((1/1000)*(s_Irr!BI11)),IF(AND(s_Irr!K11=".",s_Irr!AJ11&lt;&gt;".",s_Irr!BI11="."),s_dir!AL11/((1/1000)*(s_Irr!AJ11)),IF(AND(s_Irr!K11&lt;&gt;".",s_Irr!AJ11=".",s_Irr!BI11="."),s_dir!AL11/((1/1000)*(s_Irr!K11)),IF(AND(s_Irr!K11=".",s_Irr!AJ11=".",s_Irr!BI11="."),s_dir!AL11*1000)))))))),".")</f>
        <v>.</v>
      </c>
      <c r="BM11" s="76" t="str">
        <f>IFERROR(IF(AND(s_Irr!L11&lt;&gt;".",s_Irr!AK11&lt;&gt;".",s_Irr!BJ11&lt;&gt;"."),s_dir!AM11/((1/1000)*(s_Irr!L11+s_Irr!AK11+s_Irr!BJ11)),IF(AND(s_Irr!L11&lt;&gt;".",s_Irr!AK11&lt;&gt;".",s_Irr!BJ11="."),s_dir!AM11/((1/1000)*(s_Irr!L11+s_Irr!AK11)),IF(AND(s_Irr!L11&lt;&gt;".",s_Irr!AK11=".",s_Irr!BJ11&lt;&gt;"."),s_dir!AM11/((1/1000)*(s_Irr!L11+s_Irr!BJ11)),IF(AND(s_Irr!L11=".",s_Irr!AK11&lt;&gt;".",s_Irr!BJ11&lt;&gt;"."),s_dir!AM11/((1/1000)*(s_Irr!AK11+s_Irr!BJ11)),IF(AND(s_Irr!L11=".",s_Irr!AK11=".",s_Irr!BJ11&lt;&gt;"."),s_dir!AM11/((1/1000)*(s_Irr!BJ11)),IF(AND(s_Irr!L11=".",s_Irr!AK11&lt;&gt;".",s_Irr!BJ11="."),s_dir!AM11/((1/1000)*(s_Irr!AK11)),IF(AND(s_Irr!L11&lt;&gt;".",s_Irr!AK11=".",s_Irr!BJ11="."),s_dir!AM11/((1/1000)*(s_Irr!L11)),IF(AND(s_Irr!L11=".",s_Irr!AK11=".",s_Irr!BJ11="."),s_dir!AM11*1000)))))))),".")</f>
        <v>.</v>
      </c>
      <c r="BN11" s="76" t="str">
        <f>IFERROR(IF(AND(s_Irr!M11&lt;&gt;".",s_Irr!AL11&lt;&gt;".",s_Irr!BK11&lt;&gt;"."),s_dir!AN11/((1/1000)*(s_Irr!M11+s_Irr!AL11+s_Irr!BK11)),IF(AND(s_Irr!M11&lt;&gt;".",s_Irr!AL11&lt;&gt;".",s_Irr!BK11="."),s_dir!AN11/((1/1000)*(s_Irr!M11+s_Irr!AL11)),IF(AND(s_Irr!M11&lt;&gt;".",s_Irr!AL11=".",s_Irr!BK11&lt;&gt;"."),s_dir!AN11/((1/1000)*(s_Irr!M11+s_Irr!BK11)),IF(AND(s_Irr!M11=".",s_Irr!AL11&lt;&gt;".",s_Irr!BK11&lt;&gt;"."),s_dir!AN11/((1/1000)*(s_Irr!AL11+s_Irr!BK11)),IF(AND(s_Irr!M11=".",s_Irr!AL11=".",s_Irr!BK11&lt;&gt;"."),s_dir!AN11/((1/1000)*(s_Irr!BK11)),IF(AND(s_Irr!M11=".",s_Irr!AL11&lt;&gt;".",s_Irr!BK11="."),s_dir!AN11/((1/1000)*(s_Irr!AL11)),IF(AND(s_Irr!M11&lt;&gt;".",s_Irr!AL11=".",s_Irr!BK11="."),s_dir!AN11/((1/1000)*(s_Irr!M11)),IF(AND(s_Irr!M11=".",s_Irr!AL11=".",s_Irr!BK11="."),s_dir!AN11*1000)))))))),".")</f>
        <v>.</v>
      </c>
      <c r="BO11" s="76" t="str">
        <f>IFERROR(IF(AND(s_Irr!N11&lt;&gt;".",s_Irr!AM11&lt;&gt;".",s_Irr!BL11&lt;&gt;"."),s_dir!AO11/((1/1000)*(s_Irr!N11+s_Irr!AM11+s_Irr!BL11)),IF(AND(s_Irr!N11&lt;&gt;".",s_Irr!AM11&lt;&gt;".",s_Irr!BL11="."),s_dir!AO11/((1/1000)*(s_Irr!N11+s_Irr!AM11)),IF(AND(s_Irr!N11&lt;&gt;".",s_Irr!AM11=".",s_Irr!BL11&lt;&gt;"."),s_dir!AO11/((1/1000)*(s_Irr!N11+s_Irr!BL11)),IF(AND(s_Irr!N11=".",s_Irr!AM11&lt;&gt;".",s_Irr!BL11&lt;&gt;"."),s_dir!AO11/((1/1000)*(s_Irr!AM11+s_Irr!BL11)),IF(AND(s_Irr!N11=".",s_Irr!AM11=".",s_Irr!BL11&lt;&gt;"."),s_dir!AO11/((1/1000)*(s_Irr!BL11)),IF(AND(s_Irr!N11=".",s_Irr!AM11&lt;&gt;".",s_Irr!BL11="."),s_dir!AO11/((1/1000)*(s_Irr!AM11)),IF(AND(s_Irr!N11&lt;&gt;".",s_Irr!AM11=".",s_Irr!BL11="."),s_dir!AO11/((1/1000)*(s_Irr!N11)),IF(AND(s_Irr!N11=".",s_Irr!AM11=".",s_Irr!BL11="."),s_dir!AO11*1000)))))))),".")</f>
        <v>.</v>
      </c>
      <c r="BP11" s="76" t="str">
        <f>IFERROR(IF(AND(s_Irr!O11&lt;&gt;".",s_Irr!AN11&lt;&gt;".",s_Irr!BM11&lt;&gt;"."),s_dir!AP11/((1/1000)*(s_Irr!O11+s_Irr!AN11+s_Irr!BM11)),IF(AND(s_Irr!O11&lt;&gt;".",s_Irr!AN11&lt;&gt;".",s_Irr!BM11="."),s_dir!AP11/((1/1000)*(s_Irr!O11+s_Irr!AN11)),IF(AND(s_Irr!O11&lt;&gt;".",s_Irr!AN11=".",s_Irr!BM11&lt;&gt;"."),s_dir!AP11/((1/1000)*(s_Irr!O11+s_Irr!BM11)),IF(AND(s_Irr!O11=".",s_Irr!AN11&lt;&gt;".",s_Irr!BM11&lt;&gt;"."),s_dir!AP11/((1/1000)*(s_Irr!AN11+s_Irr!BM11)),IF(AND(s_Irr!O11=".",s_Irr!AN11=".",s_Irr!BM11&lt;&gt;"."),s_dir!AP11/((1/1000)*(s_Irr!BM11)),IF(AND(s_Irr!O11=".",s_Irr!AN11&lt;&gt;".",s_Irr!BM11="."),s_dir!AP11/((1/1000)*(s_Irr!AN11)),IF(AND(s_Irr!O11&lt;&gt;".",s_Irr!AN11=".",s_Irr!BM11="."),s_dir!AP11/((1/1000)*(s_Irr!O11)),IF(AND(s_Irr!O11=".",s_Irr!AN11=".",s_Irr!BM11="."),s_dir!AP11*1000)))))))),".")</f>
        <v>.</v>
      </c>
      <c r="BQ11" s="76" t="str">
        <f>IFERROR(IF(AND(s_Irr!P11&lt;&gt;".",s_Irr!AO11&lt;&gt;".",s_Irr!BN11&lt;&gt;"."),s_dir!AQ11/((1/1000)*(s_Irr!P11+s_Irr!AO11+s_Irr!BN11)),IF(AND(s_Irr!P11&lt;&gt;".",s_Irr!AO11&lt;&gt;".",s_Irr!BN11="."),s_dir!AQ11/((1/1000)*(s_Irr!P11+s_Irr!AO11)),IF(AND(s_Irr!P11&lt;&gt;".",s_Irr!AO11=".",s_Irr!BN11&lt;&gt;"."),s_dir!AQ11/((1/1000)*(s_Irr!P11+s_Irr!BN11)),IF(AND(s_Irr!P11=".",s_Irr!AO11&lt;&gt;".",s_Irr!BN11&lt;&gt;"."),s_dir!AQ11/((1/1000)*(s_Irr!AO11+s_Irr!BN11)),IF(AND(s_Irr!P11=".",s_Irr!AO11=".",s_Irr!BN11&lt;&gt;"."),s_dir!AQ11/((1/1000)*(s_Irr!BN11)),IF(AND(s_Irr!P11=".",s_Irr!AO11&lt;&gt;".",s_Irr!BN11="."),s_dir!AQ11/((1/1000)*(s_Irr!AO11)),IF(AND(s_Irr!P11&lt;&gt;".",s_Irr!AO11=".",s_Irr!BN11="."),s_dir!AQ11/((1/1000)*(s_Irr!P11)),IF(AND(s_Irr!P11=".",s_Irr!AO11=".",s_Irr!BN11="."),s_dir!AQ11*1000)))))))),".")</f>
        <v>.</v>
      </c>
      <c r="BR11" s="76" t="str">
        <f>IFERROR(IF(AND(s_Irr!Q11&lt;&gt;".",s_Irr!AP11&lt;&gt;".",s_Irr!BO11&lt;&gt;"."),s_dir!AR11/((1/1000)*(s_Irr!Q11+s_Irr!AP11+s_Irr!BO11)),IF(AND(s_Irr!Q11&lt;&gt;".",s_Irr!AP11&lt;&gt;".",s_Irr!BO11="."),s_dir!AR11/((1/1000)*(s_Irr!Q11+s_Irr!AP11)),IF(AND(s_Irr!Q11&lt;&gt;".",s_Irr!AP11=".",s_Irr!BO11&lt;&gt;"."),s_dir!AR11/((1/1000)*(s_Irr!Q11+s_Irr!BO11)),IF(AND(s_Irr!Q11=".",s_Irr!AP11&lt;&gt;".",s_Irr!BO11&lt;&gt;"."),s_dir!AR11/((1/1000)*(s_Irr!AP11+s_Irr!BO11)),IF(AND(s_Irr!Q11=".",s_Irr!AP11=".",s_Irr!BO11&lt;&gt;"."),s_dir!AR11/((1/1000)*(s_Irr!BO11)),IF(AND(s_Irr!Q11=".",s_Irr!AP11&lt;&gt;".",s_Irr!BO11="."),s_dir!AR11/((1/1000)*(s_Irr!AP11)),IF(AND(s_Irr!Q11&lt;&gt;".",s_Irr!AP11=".",s_Irr!BO11="."),s_dir!AR11/((1/1000)*(s_Irr!Q11)),IF(AND(s_Irr!Q11=".",s_Irr!AP11=".",s_Irr!BO11="."),s_dir!AR11*1000)))))))),".")</f>
        <v>.</v>
      </c>
      <c r="BS11" s="76" t="str">
        <f>IFERROR(IF(AND(s_Irr!R11&lt;&gt;".",s_Irr!AQ11&lt;&gt;".",s_Irr!BP11&lt;&gt;"."),s_dir!AS11/((1/1000)*(s_Irr!R11+s_Irr!AQ11+s_Irr!BP11)),IF(AND(s_Irr!R11&lt;&gt;".",s_Irr!AQ11&lt;&gt;".",s_Irr!BP11="."),s_dir!AS11/((1/1000)*(s_Irr!R11+s_Irr!AQ11)),IF(AND(s_Irr!R11&lt;&gt;".",s_Irr!AQ11=".",s_Irr!BP11&lt;&gt;"."),s_dir!AS11/((1/1000)*(s_Irr!R11+s_Irr!BP11)),IF(AND(s_Irr!R11=".",s_Irr!AQ11&lt;&gt;".",s_Irr!BP11&lt;&gt;"."),s_dir!AS11/((1/1000)*(s_Irr!AQ11+s_Irr!BP11)),IF(AND(s_Irr!R11=".",s_Irr!AQ11=".",s_Irr!BP11&lt;&gt;"."),s_dir!AS11/((1/1000)*(s_Irr!BP11)),IF(AND(s_Irr!R11=".",s_Irr!AQ11&lt;&gt;".",s_Irr!BP11="."),s_dir!AS11/((1/1000)*(s_Irr!AQ11)),IF(AND(s_Irr!R11&lt;&gt;".",s_Irr!AQ11=".",s_Irr!BP11="."),s_dir!AS11/((1/1000)*(s_Irr!R11)),IF(AND(s_Irr!R11=".",s_Irr!AQ11=".",s_Irr!BP11="."),s_dir!AS11*1000)))))))),".")</f>
        <v>.</v>
      </c>
      <c r="BT11" s="76" t="str">
        <f>IFERROR(IF(AND(s_Irr!S11&lt;&gt;".",s_Irr!AR11&lt;&gt;".",s_Irr!BQ11&lt;&gt;"."),s_dir!AT11/((1/1000)*(s_Irr!S11+s_Irr!AR11+s_Irr!BQ11)),IF(AND(s_Irr!S11&lt;&gt;".",s_Irr!AR11&lt;&gt;".",s_Irr!BQ11="."),s_dir!AT11/((1/1000)*(s_Irr!S11+s_Irr!AR11)),IF(AND(s_Irr!S11&lt;&gt;".",s_Irr!AR11=".",s_Irr!BQ11&lt;&gt;"."),s_dir!AT11/((1/1000)*(s_Irr!S11+s_Irr!BQ11)),IF(AND(s_Irr!S11=".",s_Irr!AR11&lt;&gt;".",s_Irr!BQ11&lt;&gt;"."),s_dir!AT11/((1/1000)*(s_Irr!AR11+s_Irr!BQ11)),IF(AND(s_Irr!S11=".",s_Irr!AR11=".",s_Irr!BQ11&lt;&gt;"."),s_dir!AT11/((1/1000)*(s_Irr!BQ11)),IF(AND(s_Irr!S11=".",s_Irr!AR11&lt;&gt;".",s_Irr!BQ11="."),s_dir!AT11/((1/1000)*(s_Irr!AR11)),IF(AND(s_Irr!S11&lt;&gt;".",s_Irr!AR11=".",s_Irr!BQ11="."),s_dir!AT11/((1/1000)*(s_Irr!S11)),IF(AND(s_Irr!S11=".",s_Irr!AR11=".",s_Irr!BQ11="."),s_dir!AT11*1000)))))))),".")</f>
        <v>.</v>
      </c>
      <c r="BU11" s="76" t="str">
        <f>IFERROR(IF(AND(s_Irr!T11&lt;&gt;".",s_Irr!AS11&lt;&gt;".",s_Irr!BR11&lt;&gt;"."),s_dir!AU11/((1/1000)*(s_Irr!T11+s_Irr!AS11+s_Irr!BR11)),IF(AND(s_Irr!T11&lt;&gt;".",s_Irr!AS11&lt;&gt;".",s_Irr!BR11="."),s_dir!AU11/((1/1000)*(s_Irr!T11+s_Irr!AS11)),IF(AND(s_Irr!T11&lt;&gt;".",s_Irr!AS11=".",s_Irr!BR11&lt;&gt;"."),s_dir!AU11/((1/1000)*(s_Irr!T11+s_Irr!BR11)),IF(AND(s_Irr!T11=".",s_Irr!AS11&lt;&gt;".",s_Irr!BR11&lt;&gt;"."),s_dir!AU11/((1/1000)*(s_Irr!AS11+s_Irr!BR11)),IF(AND(s_Irr!T11=".",s_Irr!AS11=".",s_Irr!BR11&lt;&gt;"."),s_dir!AU11/((1/1000)*(s_Irr!BR11)),IF(AND(s_Irr!T11=".",s_Irr!AS11&lt;&gt;".",s_Irr!BR11="."),s_dir!AU11/((1/1000)*(s_Irr!AS11)),IF(AND(s_Irr!T11&lt;&gt;".",s_Irr!AS11=".",s_Irr!BR11="."),s_dir!AU11/((1/1000)*(s_Irr!T11)),IF(AND(s_Irr!T11=".",s_Irr!AS11=".",s_Irr!BR11="."),s_dir!AU11*1000)))))))),".")</f>
        <v>.</v>
      </c>
      <c r="BV11" s="76" t="str">
        <f>IFERROR(IF(AND(s_Irr!U11&lt;&gt;".",s_Irr!AT11&lt;&gt;".",s_Irr!BS11&lt;&gt;"."),s_dir!AV11/((1/1000)*(s_Irr!U11+s_Irr!AT11+s_Irr!BS11)),IF(AND(s_Irr!U11&lt;&gt;".",s_Irr!AT11&lt;&gt;".",s_Irr!BS11="."),s_dir!AV11/((1/1000)*(s_Irr!U11+s_Irr!AT11)),IF(AND(s_Irr!U11&lt;&gt;".",s_Irr!AT11=".",s_Irr!BS11&lt;&gt;"."),s_dir!AV11/((1/1000)*(s_Irr!U11+s_Irr!BS11)),IF(AND(s_Irr!U11=".",s_Irr!AT11&lt;&gt;".",s_Irr!BS11&lt;&gt;"."),s_dir!AV11/((1/1000)*(s_Irr!AT11+s_Irr!BS11)),IF(AND(s_Irr!U11=".",s_Irr!AT11=".",s_Irr!BS11&lt;&gt;"."),s_dir!AV11/((1/1000)*(s_Irr!BS11)),IF(AND(s_Irr!U11=".",s_Irr!AT11&lt;&gt;".",s_Irr!BS11="."),s_dir!AV11/((1/1000)*(s_Irr!AT11)),IF(AND(s_Irr!U11&lt;&gt;".",s_Irr!AT11=".",s_Irr!BS11="."),s_dir!AV11/((1/1000)*(s_Irr!U11)),IF(AND(s_Irr!U11=".",s_Irr!AT11=".",s_Irr!BS11="."),s_dir!AV11*1000)))))))),".")</f>
        <v>.</v>
      </c>
      <c r="BW11" s="76" t="str">
        <f>IFERROR(IF(AND(s_Irr!V11&lt;&gt;".",s_Irr!AU11&lt;&gt;".",s_Irr!BT11&lt;&gt;"."),s_dir!AW11/((1/1000)*(s_Irr!V11+s_Irr!AU11+s_Irr!BT11)),IF(AND(s_Irr!V11&lt;&gt;".",s_Irr!AU11&lt;&gt;".",s_Irr!BT11="."),s_dir!AW11/((1/1000)*(s_Irr!V11+s_Irr!AU11)),IF(AND(s_Irr!V11&lt;&gt;".",s_Irr!AU11=".",s_Irr!BT11&lt;&gt;"."),s_dir!AW11/((1/1000)*(s_Irr!V11+s_Irr!BT11)),IF(AND(s_Irr!V11=".",s_Irr!AU11&lt;&gt;".",s_Irr!BT11&lt;&gt;"."),s_dir!AW11/((1/1000)*(s_Irr!AU11+s_Irr!BT11)),IF(AND(s_Irr!V11=".",s_Irr!AU11=".",s_Irr!BT11&lt;&gt;"."),s_dir!AW11/((1/1000)*(s_Irr!BT11)),IF(AND(s_Irr!V11=".",s_Irr!AU11&lt;&gt;".",s_Irr!BT11="."),s_dir!AW11/((1/1000)*(s_Irr!AU11)),IF(AND(s_Irr!V11&lt;&gt;".",s_Irr!AU11=".",s_Irr!BT11="."),s_dir!AW11/((1/1000)*(s_Irr!V11)),IF(AND(s_Irr!V11=".",s_Irr!AU11=".",s_Irr!BT11="."),s_dir!AW11*1000)))))))),".")</f>
        <v>.</v>
      </c>
      <c r="BX11" s="76" t="str">
        <f>IFERROR(IF(AND(s_Irr!W11&lt;&gt;".",s_Irr!AV11&lt;&gt;".",s_Irr!BU11&lt;&gt;"."),s_dir!AX11/((1/1000)*(s_Irr!W11+s_Irr!AV11+s_Irr!BU11)),IF(AND(s_Irr!W11&lt;&gt;".",s_Irr!AV11&lt;&gt;".",s_Irr!BU11="."),s_dir!AX11/((1/1000)*(s_Irr!W11+s_Irr!AV11)),IF(AND(s_Irr!W11&lt;&gt;".",s_Irr!AV11=".",s_Irr!BU11&lt;&gt;"."),s_dir!AX11/((1/1000)*(s_Irr!W11+s_Irr!BU11)),IF(AND(s_Irr!W11=".",s_Irr!AV11&lt;&gt;".",s_Irr!BU11&lt;&gt;"."),s_dir!AX11/((1/1000)*(s_Irr!AV11+s_Irr!BU11)),IF(AND(s_Irr!W11=".",s_Irr!AV11=".",s_Irr!BU11&lt;&gt;"."),s_dir!AX11/((1/1000)*(s_Irr!BU11)),IF(AND(s_Irr!W11=".",s_Irr!AV11&lt;&gt;".",s_Irr!BU11="."),s_dir!AX11/((1/1000)*(s_Irr!AV11)),IF(AND(s_Irr!W11&lt;&gt;".",s_Irr!AV11=".",s_Irr!BU11="."),s_dir!AX11/((1/1000)*(s_Irr!W11)),IF(AND(s_Irr!W11=".",s_Irr!AV11=".",s_Irr!BU11="."),s_dir!AX11*1000)))))))),".")</f>
        <v>.</v>
      </c>
      <c r="BY11" s="76" t="str">
        <f>IFERROR(IF(AND(s_Irr!X11&lt;&gt;".",s_Irr!AW11&lt;&gt;".",s_Irr!BV11&lt;&gt;"."),s_dir!AY11/((1/1000)*(s_Irr!X11+s_Irr!AW11+s_Irr!BV11)),IF(AND(s_Irr!X11&lt;&gt;".",s_Irr!AW11&lt;&gt;".",s_Irr!BV11="."),s_dir!AY11/((1/1000)*(s_Irr!X11+s_Irr!AW11)),IF(AND(s_Irr!X11&lt;&gt;".",s_Irr!AW11=".",s_Irr!BV11&lt;&gt;"."),s_dir!AY11/((1/1000)*(s_Irr!X11+s_Irr!BV11)),IF(AND(s_Irr!X11=".",s_Irr!AW11&lt;&gt;".",s_Irr!BV11&lt;&gt;"."),s_dir!AY11/((1/1000)*(s_Irr!AW11+s_Irr!BV11)),IF(AND(s_Irr!X11=".",s_Irr!AW11=".",s_Irr!BV11&lt;&gt;"."),s_dir!AY11/((1/1000)*(s_Irr!BV11)),IF(AND(s_Irr!X11=".",s_Irr!AW11&lt;&gt;".",s_Irr!BV11="."),s_dir!AY11/((1/1000)*(s_Irr!AW11)),IF(AND(s_Irr!X11&lt;&gt;".",s_Irr!AW11=".",s_Irr!BV11="."),s_dir!AY11/((1/1000)*(s_Irr!X11)),IF(AND(s_Irr!X11=".",s_Irr!AW11=".",s_Irr!BV11="."),s_dir!AY11*1000)))))))),".")</f>
        <v>.</v>
      </c>
      <c r="BZ11" s="76" t="str">
        <f>IFERROR(IF(AND(s_Irr!Y11&lt;&gt;".",s_Irr!AX11&lt;&gt;".",s_Irr!BW11&lt;&gt;"."),s_dir!AZ11/((1/1000)*(s_Irr!Y11+s_Irr!AX11+s_Irr!BW11)),IF(AND(s_Irr!Y11&lt;&gt;".",s_Irr!AX11&lt;&gt;".",s_Irr!BW11="."),s_dir!AZ11/((1/1000)*(s_Irr!Y11+s_Irr!AX11)),IF(AND(s_Irr!Y11&lt;&gt;".",s_Irr!AX11=".",s_Irr!BW11&lt;&gt;"."),s_dir!AZ11/((1/1000)*(s_Irr!Y11+s_Irr!BW11)),IF(AND(s_Irr!Y11=".",s_Irr!AX11&lt;&gt;".",s_Irr!BW11&lt;&gt;"."),s_dir!AZ11/((1/1000)*(s_Irr!AX11+s_Irr!BW11)),IF(AND(s_Irr!Y11=".",s_Irr!AX11=".",s_Irr!BW11&lt;&gt;"."),s_dir!AZ11/((1/1000)*(s_Irr!BW11)),IF(AND(s_Irr!Y11=".",s_Irr!AX11&lt;&gt;".",s_Irr!BW11="."),s_dir!AZ11/((1/1000)*(s_Irr!AX11)),IF(AND(s_Irr!Y11&lt;&gt;".",s_Irr!AX11=".",s_Irr!BW11="."),s_dir!AZ11/((1/1000)*(s_Irr!Y11)),IF(AND(s_Irr!Y11=".",s_Irr!AX11=".",s_Irr!BW11="."),s_dir!AZ11*1000)))))))),".")</f>
        <v>.</v>
      </c>
      <c r="CA11" s="76" t="str">
        <f>IFERROR(IF(AND(s_Irr!Z11&lt;&gt;".",s_Irr!AY11&lt;&gt;".",s_Irr!BX11&lt;&gt;"."),s_dir!BA11/((1/1000)*(s_Irr!Z11+s_Irr!AY11+s_Irr!BX11)),IF(AND(s_Irr!Z11&lt;&gt;".",s_Irr!AY11&lt;&gt;".",s_Irr!BX11="."),s_dir!BA11/((1/1000)*(s_Irr!Z11+s_Irr!AY11)),IF(AND(s_Irr!Z11&lt;&gt;".",s_Irr!AY11=".",s_Irr!BX11&lt;&gt;"."),s_dir!BA11/((1/1000)*(s_Irr!Z11+s_Irr!BX11)),IF(AND(s_Irr!Z11=".",s_Irr!AY11&lt;&gt;".",s_Irr!BX11&lt;&gt;"."),s_dir!BA11/((1/1000)*(s_Irr!AY11+s_Irr!BX11)),IF(AND(s_Irr!Z11=".",s_Irr!AY11=".",s_Irr!BX11&lt;&gt;"."),s_dir!BA11/((1/1000)*(s_Irr!BX11)),IF(AND(s_Irr!Z11=".",s_Irr!AY11&lt;&gt;".",s_Irr!BX11="."),s_dir!BA11/((1/1000)*(s_Irr!AY11)),IF(AND(s_Irr!Z11&lt;&gt;".",s_Irr!AY11=".",s_Irr!BX11="."),s_dir!BA11/((1/1000)*(s_Irr!Z11)),IF(AND(s_Irr!Z11=".",s_Irr!AY11=".",s_Irr!BX11="."),s_dir!BA11*1000)))))))),".")</f>
        <v>.</v>
      </c>
      <c r="CB11" s="76" t="str">
        <f>IFERROR(IF(AND(s_Irr!AA11&lt;&gt;".",s_Irr!AZ11&lt;&gt;".",s_Irr!BY11&lt;&gt;"."),s_dir!BB11/((1/1000)*(s_Irr!AA11+s_Irr!AZ11+s_Irr!BY11)),IF(AND(s_Irr!AA11&lt;&gt;".",s_Irr!AZ11&lt;&gt;".",s_Irr!BY11="."),s_dir!BB11/((1/1000)*(s_Irr!AA11+s_Irr!AZ11)),IF(AND(s_Irr!AA11&lt;&gt;".",s_Irr!AZ11=".",s_Irr!BY11&lt;&gt;"."),s_dir!BB11/((1/1000)*(s_Irr!AA11+s_Irr!BY11)),IF(AND(s_Irr!AA11=".",s_Irr!AZ11&lt;&gt;".",s_Irr!BY11&lt;&gt;"."),s_dir!BB11/((1/1000)*(s_Irr!AZ11+s_Irr!BY11)),IF(AND(s_Irr!AA11=".",s_Irr!AZ11=".",s_Irr!BY11&lt;&gt;"."),s_dir!BB11/((1/1000)*(s_Irr!BY11)),IF(AND(s_Irr!AA11=".",s_Irr!AZ11&lt;&gt;".",s_Irr!BY11="."),s_dir!BB11/((1/1000)*(s_Irr!AZ11)),IF(AND(s_Irr!AA11&lt;&gt;".",s_Irr!AZ11=".",s_Irr!BY11="."),s_dir!BB11/((1/1000)*(s_Irr!AA11)),IF(AND(s_Irr!AA11=".",s_Irr!AZ11=".",s_Irr!BY11="."),s_dir!BB11*1000)))))))),".")</f>
        <v>.</v>
      </c>
      <c r="CC11" s="93">
        <f t="shared" si="2"/>
        <v>10682.986976345341</v>
      </c>
      <c r="CD11" s="93">
        <f>IFERROR(s_C*s_IFAP_far_adj*s_CF_apple*(1/1000)*(s_Irr!C11+s_Irr!AB11+s_Irr!BA11),".")</f>
        <v>2670.7467440863352</v>
      </c>
      <c r="CE11" s="93">
        <f>IFERROR(s_C*s_IFAS_far_adj*s_CF_asparagus*(1/1000)*(s_Irr!D11+s_Irr!AC11+s_Irr!BB11),".")</f>
        <v>2670.7467440863352</v>
      </c>
      <c r="CF11" s="93">
        <f>IFERROR(s_C*s_IFBT_far_adj*s_CF_beet*(1/1000)*(s_Irr!E11+s_Irr!AD11+s_Irr!BC11),".")</f>
        <v>2670.7467440863352</v>
      </c>
      <c r="CG11" s="93">
        <f>IFERROR(s_C*s_IFBE_far_adj*s_CF_berries*(1/1000)*(s_Irr!F11+s_Irr!AE11+s_Irr!BD11),".")</f>
        <v>2670.7467440863352</v>
      </c>
      <c r="CH11" s="93">
        <f>IFERROR(s_C*s_IFBR_far_adj*s_CF_broccoli*(1/1000)*(s_Irr!G11+s_Irr!AF11+s_Irr!BE11),".")</f>
        <v>2670.7467440863352</v>
      </c>
      <c r="CI11" s="93">
        <f>IFERROR(s_C*s_IFCB_far_adj*s_CF_cabbage*(1/1000)*(s_Irr!H11+s_Irr!AG11+s_Irr!BF11),".")</f>
        <v>2670.7467440863352</v>
      </c>
      <c r="CJ11" s="93">
        <f>IFERROR(s_C*s_IFCR_far_adj*s_CF_carrot*(1/1000)*(s_Irr!I11+s_Irr!AH11+s_Irr!BG11),".")</f>
        <v>2670.7467440863352</v>
      </c>
      <c r="CK11" s="93">
        <f>IFERROR(s_C*s_IFCI_far_adj*s_CF_citrus*(1/1000)*(s_Irr!J11+s_Irr!AI11+s_Irr!BH11),".")</f>
        <v>2670.7467440863352</v>
      </c>
      <c r="CL11" s="93">
        <f>IFERROR(s_C*s_IFCO_far_adj*s_CF_corn*(1/1000)*(s_Irr!K11+s_Irr!AJ11+s_Irr!BI11),".")</f>
        <v>2670.7467440863352</v>
      </c>
      <c r="CM11" s="93">
        <f>IFERROR(s_C*s_IFCU_far_adj*s_CF_cucumber*(1/1000)*(s_Irr!L11+s_Irr!AK11+s_Irr!BJ11),".")</f>
        <v>2670.7467440863352</v>
      </c>
      <c r="CN11" s="93">
        <f>IFERROR(s_C*s_IFLE_far_adj*s_CF_lettuce*(1/1000)*(s_Irr!M11+s_Irr!AL11+s_Irr!BK11),".")</f>
        <v>2670.7467440863352</v>
      </c>
      <c r="CO11" s="93">
        <f>IFERROR(s_C*s_IFLI_far_adj*s_CF_lima_bean*(1/1000)*(s_Irr!N11+s_Irr!AM11+s_Irr!BL11),".")</f>
        <v>2670.7467440863352</v>
      </c>
      <c r="CP11" s="93">
        <f>IFERROR(s_C*s_IFOK_far_adj*s_CF_okra*(1/1000)*(s_Irr!O11+s_Irr!AN11+s_Irr!BM11),".")</f>
        <v>2670.7467440863352</v>
      </c>
      <c r="CQ11" s="93">
        <f>IFERROR(s_C*s_IFON_far_adj*s_CF_onion*(1/1000)*(s_Irr!P11+s_Irr!AO11+s_Irr!BN11),".")</f>
        <v>2670.7467440863352</v>
      </c>
      <c r="CR11" s="93">
        <f>IFERROR(s_C*s_IFPC_far_adj*s_CF_peach*(1/1000)*(s_Irr!Q11+s_Irr!AP11+s_Irr!BO11),".")</f>
        <v>2670.7467440863352</v>
      </c>
      <c r="CS11" s="93">
        <f>IFERROR(s_C*s_IFPR_far_adj*s_CF_pear*(1/1000)*(s_Irr!R11+s_Irr!AQ11+s_Irr!BP11),".")</f>
        <v>2670.7467440863352</v>
      </c>
      <c r="CT11" s="93">
        <f>IFERROR(s_C*s_IFPE_far_adj*s_CF_peas*(1/1000)*(s_Irr!S11+s_Irr!AR11+s_Irr!BQ11),".")</f>
        <v>2670.7467440863352</v>
      </c>
      <c r="CU11" s="93">
        <f>IFERROR(s_C*s_IFPP_far_adj*s_CF_peppers*(1/1000)*(s_Irr!T11+s_Irr!AS11+s_Irr!BR11),".")</f>
        <v>2670.7467440863352</v>
      </c>
      <c r="CV11" s="93">
        <f>IFERROR(s_C*s_IFPT_far_adj*s_CF_potato*(1/1000)*(s_Irr!U11+s_Irr!AT11+s_Irr!BS11),".")</f>
        <v>2670.7467440863352</v>
      </c>
      <c r="CW11" s="93">
        <f>IFERROR(s_C*s_IFPU_far_adj*s_CF_pumpkin*(1/1000)*(s_Irr!V11+s_Irr!AU11+s_Irr!BT11),".")</f>
        <v>2670.7467440863352</v>
      </c>
      <c r="CX11" s="93">
        <f>IFERROR(s_C*s_IFSN_far_adj*s_CF_snap_bean*(1/1000)*(s_Irr!W11+s_Irr!AV11+s_Irr!BU11),".")</f>
        <v>2670.7467440863352</v>
      </c>
      <c r="CY11" s="93">
        <f>IFERROR(s_C*s_IFST_far_adj*s_CF_strawberry*(1/1000)*(s_Irr!X11+s_Irr!AW11+s_Irr!BV11),".")</f>
        <v>2670.7467440863352</v>
      </c>
      <c r="CZ11" s="93">
        <f>IFERROR(s_C*s_IFTO_far_adj*s_CF_tomato*(1/1000)*(s_Irr!Y11+s_Irr!AX11+s_Irr!BW11),".")</f>
        <v>2670.7467440863352</v>
      </c>
      <c r="DA11" s="93">
        <f>IFERROR(s_C*s_IFRI_far_adj*s_CF_rice*(1/1000)*(s_Irr!Z11+s_Irr!AY11+s_Irr!BX11),".")</f>
        <v>2670.7467440863352</v>
      </c>
      <c r="DB11" s="93">
        <f>IFERROR(s_C*s_IFCG_far_adj*s_CF_cereal*(1/1000)*(s_Irr!AA11+s_Irr!AZ11+s_Irr!BY11),".")</f>
        <v>2670.7467440863352</v>
      </c>
    </row>
    <row r="12" spans="1:106" ht="15" customHeight="1" x14ac:dyDescent="0.25">
      <c r="A12" s="92" t="s">
        <v>22</v>
      </c>
      <c r="B12" s="90" t="s">
        <v>1071</v>
      </c>
      <c r="C12" s="15" t="str">
        <f t="shared" si="3"/>
        <v>.</v>
      </c>
      <c r="D12" s="76" t="str">
        <f>IFERROR(IF(AND(s_Irr!C12&lt;&gt;".",s_Irr!AB12&lt;&gt;".",s_Irr!BA12&lt;&gt;"."),s_dir!D12/((1/1000)*(s_Irr!C12+s_Irr!AB12+s_Irr!BA12)),IF(AND(s_Irr!C12&lt;&gt;".",s_Irr!AB12&lt;&gt;".",s_Irr!BA12="."),s_dir!D12/((1/1000)*(s_Irr!C12+s_Irr!AB12)),IF(AND(s_Irr!C12&lt;&gt;".",s_Irr!AB12=".",s_Irr!BA12&lt;&gt;"."),s_dir!D12/((1/1000)*(s_Irr!C12+s_Irr!BA12)),IF(AND(s_Irr!C12=".",s_Irr!AB12&lt;&gt;".",s_Irr!BA12&lt;&gt;"."),s_dir!D12/((1/1000)*(s_Irr!AB12+s_Irr!BA12)),IF(AND(s_Irr!C12=".",s_Irr!AB12=".",s_Irr!BA12&lt;&gt;"."),s_dir!D12/((1/1000)*(s_Irr!BA12)),IF(AND(s_Irr!C12=".",s_Irr!AB12&lt;&gt;".",s_Irr!BA12="."),s_dir!D12/((1/1000)*(s_Irr!AB12)),IF(AND(s_Irr!C12&lt;&gt;".",s_Irr!AB12=".",s_Irr!BA12="."),s_dir!D12/((1/1000)*(s_Irr!C12)),IF(AND(s_Irr!C12=".",s_Irr!AB12=".",s_Irr!BA12="."),s_dir!D12*1000)))))))),".")</f>
        <v>.</v>
      </c>
      <c r="E12" s="76" t="str">
        <f>IFERROR(IF(AND(s_Irr!D12&lt;&gt;".",s_Irr!AC12&lt;&gt;".",s_Irr!BB12&lt;&gt;"."),s_dir!E12/((1/1000)*(s_Irr!D12+s_Irr!AC12+s_Irr!BB12)),IF(AND(s_Irr!D12&lt;&gt;".",s_Irr!AC12&lt;&gt;".",s_Irr!BB12="."),s_dir!E12/((1/1000)*(s_Irr!D12+s_Irr!AC12)),IF(AND(s_Irr!D12&lt;&gt;".",s_Irr!AC12=".",s_Irr!BB12&lt;&gt;"."),s_dir!E12/((1/1000)*(s_Irr!D12+s_Irr!BB12)),IF(AND(s_Irr!D12=".",s_Irr!AC12&lt;&gt;".",s_Irr!BB12&lt;&gt;"."),s_dir!E12/((1/1000)*(s_Irr!AC12+s_Irr!BB12)),IF(AND(s_Irr!D12=".",s_Irr!AC12=".",s_Irr!BB12&lt;&gt;"."),s_dir!E12/((1/1000)*(s_Irr!BB12)),IF(AND(s_Irr!D12=".",s_Irr!AC12&lt;&gt;".",s_Irr!BB12="."),s_dir!E12/((1/1000)*(s_Irr!AC12)),IF(AND(s_Irr!D12&lt;&gt;".",s_Irr!AC12=".",s_Irr!BB12="."),s_dir!E12/((1/1000)*(s_Irr!D12)),IF(AND(s_Irr!D12=".",s_Irr!AC12=".",s_Irr!BB12="."),s_dir!E12*1000)))))))),".")</f>
        <v>.</v>
      </c>
      <c r="F12" s="76" t="str">
        <f>IFERROR(IF(AND(s_Irr!E12&lt;&gt;".",s_Irr!AD12&lt;&gt;".",s_Irr!BC12&lt;&gt;"."),s_dir!F12/((1/1000)*(s_Irr!E12+s_Irr!AD12+s_Irr!BC12)),IF(AND(s_Irr!E12&lt;&gt;".",s_Irr!AD12&lt;&gt;".",s_Irr!BC12="."),s_dir!F12/((1/1000)*(s_Irr!E12+s_Irr!AD12)),IF(AND(s_Irr!E12&lt;&gt;".",s_Irr!AD12=".",s_Irr!BC12&lt;&gt;"."),s_dir!F12/((1/1000)*(s_Irr!E12+s_Irr!BC12)),IF(AND(s_Irr!E12=".",s_Irr!AD12&lt;&gt;".",s_Irr!BC12&lt;&gt;"."),s_dir!F12/((1/1000)*(s_Irr!AD12+s_Irr!BC12)),IF(AND(s_Irr!E12=".",s_Irr!AD12=".",s_Irr!BC12&lt;&gt;"."),s_dir!F12/((1/1000)*(s_Irr!BC12)),IF(AND(s_Irr!E12=".",s_Irr!AD12&lt;&gt;".",s_Irr!BC12="."),s_dir!F12/((1/1000)*(s_Irr!AD12)),IF(AND(s_Irr!E12&lt;&gt;".",s_Irr!AD12=".",s_Irr!BC12="."),s_dir!F12/((1/1000)*(s_Irr!E12)),IF(AND(s_Irr!E12=".",s_Irr!AD12=".",s_Irr!BC12="."),s_dir!F12*1000)))))))),".")</f>
        <v>.</v>
      </c>
      <c r="G12" s="76" t="str">
        <f>IFERROR(IF(AND(s_Irr!F12&lt;&gt;".",s_Irr!AE12&lt;&gt;".",s_Irr!BD12&lt;&gt;"."),s_dir!G12/((1/1000)*(s_Irr!F12+s_Irr!AE12+s_Irr!BD12)),IF(AND(s_Irr!F12&lt;&gt;".",s_Irr!AE12&lt;&gt;".",s_Irr!BD12="."),s_dir!G12/((1/1000)*(s_Irr!F12+s_Irr!AE12)),IF(AND(s_Irr!F12&lt;&gt;".",s_Irr!AE12=".",s_Irr!BD12&lt;&gt;"."),s_dir!G12/((1/1000)*(s_Irr!F12+s_Irr!BD12)),IF(AND(s_Irr!F12=".",s_Irr!AE12&lt;&gt;".",s_Irr!BD12&lt;&gt;"."),s_dir!G12/((1/1000)*(s_Irr!AE12+s_Irr!BD12)),IF(AND(s_Irr!F12=".",s_Irr!AE12=".",s_Irr!BD12&lt;&gt;"."),s_dir!G12/((1/1000)*(s_Irr!BD12)),IF(AND(s_Irr!F12=".",s_Irr!AE12&lt;&gt;".",s_Irr!BD12="."),s_dir!G12/((1/1000)*(s_Irr!AE12)),IF(AND(s_Irr!F12&lt;&gt;".",s_Irr!AE12=".",s_Irr!BD12="."),s_dir!G12/((1/1000)*(s_Irr!F12)),IF(AND(s_Irr!F12=".",s_Irr!AE12=".",s_Irr!BD12="."),s_dir!G12*1000)))))))),".")</f>
        <v>.</v>
      </c>
      <c r="H12" s="76" t="str">
        <f>IFERROR(IF(AND(s_Irr!G12&lt;&gt;".",s_Irr!AF12&lt;&gt;".",s_Irr!BE12&lt;&gt;"."),s_dir!H12/((1/1000)*(s_Irr!G12+s_Irr!AF12+s_Irr!BE12)),IF(AND(s_Irr!G12&lt;&gt;".",s_Irr!AF12&lt;&gt;".",s_Irr!BE12="."),s_dir!H12/((1/1000)*(s_Irr!G12+s_Irr!AF12)),IF(AND(s_Irr!G12&lt;&gt;".",s_Irr!AF12=".",s_Irr!BE12&lt;&gt;"."),s_dir!H12/((1/1000)*(s_Irr!G12+s_Irr!BE12)),IF(AND(s_Irr!G12=".",s_Irr!AF12&lt;&gt;".",s_Irr!BE12&lt;&gt;"."),s_dir!H12/((1/1000)*(s_Irr!AF12+s_Irr!BE12)),IF(AND(s_Irr!G12=".",s_Irr!AF12=".",s_Irr!BE12&lt;&gt;"."),s_dir!H12/((1/1000)*(s_Irr!BE12)),IF(AND(s_Irr!G12=".",s_Irr!AF12&lt;&gt;".",s_Irr!BE12="."),s_dir!H12/((1/1000)*(s_Irr!AF12)),IF(AND(s_Irr!G12&lt;&gt;".",s_Irr!AF12=".",s_Irr!BE12="."),s_dir!H12/((1/1000)*(s_Irr!G12)),IF(AND(s_Irr!G12=".",s_Irr!AF12=".",s_Irr!BE12="."),s_dir!H12*1000)))))))),".")</f>
        <v>.</v>
      </c>
      <c r="I12" s="76" t="str">
        <f>IFERROR(IF(AND(s_Irr!H12&lt;&gt;".",s_Irr!AG12&lt;&gt;".",s_Irr!BF12&lt;&gt;"."),s_dir!I12/((1/1000)*(s_Irr!H12+s_Irr!AG12+s_Irr!BF12)),IF(AND(s_Irr!H12&lt;&gt;".",s_Irr!AG12&lt;&gt;".",s_Irr!BF12="."),s_dir!I12/((1/1000)*(s_Irr!H12+s_Irr!AG12)),IF(AND(s_Irr!H12&lt;&gt;".",s_Irr!AG12=".",s_Irr!BF12&lt;&gt;"."),s_dir!I12/((1/1000)*(s_Irr!H12+s_Irr!BF12)),IF(AND(s_Irr!H12=".",s_Irr!AG12&lt;&gt;".",s_Irr!BF12&lt;&gt;"."),s_dir!I12/((1/1000)*(s_Irr!AG12+s_Irr!BF12)),IF(AND(s_Irr!H12=".",s_Irr!AG12=".",s_Irr!BF12&lt;&gt;"."),s_dir!I12/((1/1000)*(s_Irr!BF12)),IF(AND(s_Irr!H12=".",s_Irr!AG12&lt;&gt;".",s_Irr!BF12="."),s_dir!I12/((1/1000)*(s_Irr!AG12)),IF(AND(s_Irr!H12&lt;&gt;".",s_Irr!AG12=".",s_Irr!BF12="."),s_dir!I12/((1/1000)*(s_Irr!H12)),IF(AND(s_Irr!H12=".",s_Irr!AG12=".",s_Irr!BF12="."),s_dir!I12*1000)))))))),".")</f>
        <v>.</v>
      </c>
      <c r="J12" s="76" t="str">
        <f>IFERROR(IF(AND(s_Irr!I12&lt;&gt;".",s_Irr!AH12&lt;&gt;".",s_Irr!BG12&lt;&gt;"."),s_dir!J12/((1/1000)*(s_Irr!I12+s_Irr!AH12+s_Irr!BG12)),IF(AND(s_Irr!I12&lt;&gt;".",s_Irr!AH12&lt;&gt;".",s_Irr!BG12="."),s_dir!J12/((1/1000)*(s_Irr!I12+s_Irr!AH12)),IF(AND(s_Irr!I12&lt;&gt;".",s_Irr!AH12=".",s_Irr!BG12&lt;&gt;"."),s_dir!J12/((1/1000)*(s_Irr!I12+s_Irr!BG12)),IF(AND(s_Irr!I12=".",s_Irr!AH12&lt;&gt;".",s_Irr!BG12&lt;&gt;"."),s_dir!J12/((1/1000)*(s_Irr!AH12+s_Irr!BG12)),IF(AND(s_Irr!I12=".",s_Irr!AH12=".",s_Irr!BG12&lt;&gt;"."),s_dir!J12/((1/1000)*(s_Irr!BG12)),IF(AND(s_Irr!I12=".",s_Irr!AH12&lt;&gt;".",s_Irr!BG12="."),s_dir!J12/((1/1000)*(s_Irr!AH12)),IF(AND(s_Irr!I12&lt;&gt;".",s_Irr!AH12=".",s_Irr!BG12="."),s_dir!J12/((1/1000)*(s_Irr!I12)),IF(AND(s_Irr!I12=".",s_Irr!AH12=".",s_Irr!BG12="."),s_dir!J12*1000)))))))),".")</f>
        <v>.</v>
      </c>
      <c r="K12" s="76" t="str">
        <f>IFERROR(IF(AND(s_Irr!J12&lt;&gt;".",s_Irr!AI12&lt;&gt;".",s_Irr!BH12&lt;&gt;"."),s_dir!K12/((1/1000)*(s_Irr!J12+s_Irr!AI12+s_Irr!BH12)),IF(AND(s_Irr!J12&lt;&gt;".",s_Irr!AI12&lt;&gt;".",s_Irr!BH12="."),s_dir!K12/((1/1000)*(s_Irr!J12+s_Irr!AI12)),IF(AND(s_Irr!J12&lt;&gt;".",s_Irr!AI12=".",s_Irr!BH12&lt;&gt;"."),s_dir!K12/((1/1000)*(s_Irr!J12+s_Irr!BH12)),IF(AND(s_Irr!J12=".",s_Irr!AI12&lt;&gt;".",s_Irr!BH12&lt;&gt;"."),s_dir!K12/((1/1000)*(s_Irr!AI12+s_Irr!BH12)),IF(AND(s_Irr!J12=".",s_Irr!AI12=".",s_Irr!BH12&lt;&gt;"."),s_dir!K12/((1/1000)*(s_Irr!BH12)),IF(AND(s_Irr!J12=".",s_Irr!AI12&lt;&gt;".",s_Irr!BH12="."),s_dir!K12/((1/1000)*(s_Irr!AI12)),IF(AND(s_Irr!J12&lt;&gt;".",s_Irr!AI12=".",s_Irr!BH12="."),s_dir!K12/((1/1000)*(s_Irr!J12)),IF(AND(s_Irr!J12=".",s_Irr!AI12=".",s_Irr!BH12="."),s_dir!K12*1000)))))))),".")</f>
        <v>.</v>
      </c>
      <c r="L12" s="76" t="str">
        <f>IFERROR(IF(AND(s_Irr!K12&lt;&gt;".",s_Irr!AJ12&lt;&gt;".",s_Irr!BI12&lt;&gt;"."),s_dir!L12/((1/1000)*(s_Irr!K12+s_Irr!AJ12+s_Irr!BI12)),IF(AND(s_Irr!K12&lt;&gt;".",s_Irr!AJ12&lt;&gt;".",s_Irr!BI12="."),s_dir!L12/((1/1000)*(s_Irr!K12+s_Irr!AJ12)),IF(AND(s_Irr!K12&lt;&gt;".",s_Irr!AJ12=".",s_Irr!BI12&lt;&gt;"."),s_dir!L12/((1/1000)*(s_Irr!K12+s_Irr!BI12)),IF(AND(s_Irr!K12=".",s_Irr!AJ12&lt;&gt;".",s_Irr!BI12&lt;&gt;"."),s_dir!L12/((1/1000)*(s_Irr!AJ12+s_Irr!BI12)),IF(AND(s_Irr!K12=".",s_Irr!AJ12=".",s_Irr!BI12&lt;&gt;"."),s_dir!L12/((1/1000)*(s_Irr!BI12)),IF(AND(s_Irr!K12=".",s_Irr!AJ12&lt;&gt;".",s_Irr!BI12="."),s_dir!L12/((1/1000)*(s_Irr!AJ12)),IF(AND(s_Irr!K12&lt;&gt;".",s_Irr!AJ12=".",s_Irr!BI12="."),s_dir!L12/((1/1000)*(s_Irr!K12)),IF(AND(s_Irr!K12=".",s_Irr!AJ12=".",s_Irr!BI12="."),s_dir!L12*1000)))))))),".")</f>
        <v>.</v>
      </c>
      <c r="M12" s="76" t="str">
        <f>IFERROR(IF(AND(s_Irr!L12&lt;&gt;".",s_Irr!AK12&lt;&gt;".",s_Irr!BJ12&lt;&gt;"."),s_dir!M12/((1/1000)*(s_Irr!L12+s_Irr!AK12+s_Irr!BJ12)),IF(AND(s_Irr!L12&lt;&gt;".",s_Irr!AK12&lt;&gt;".",s_Irr!BJ12="."),s_dir!M12/((1/1000)*(s_Irr!L12+s_Irr!AK12)),IF(AND(s_Irr!L12&lt;&gt;".",s_Irr!AK12=".",s_Irr!BJ12&lt;&gt;"."),s_dir!M12/((1/1000)*(s_Irr!L12+s_Irr!BJ12)),IF(AND(s_Irr!L12=".",s_Irr!AK12&lt;&gt;".",s_Irr!BJ12&lt;&gt;"."),s_dir!M12/((1/1000)*(s_Irr!AK12+s_Irr!BJ12)),IF(AND(s_Irr!L12=".",s_Irr!AK12=".",s_Irr!BJ12&lt;&gt;"."),s_dir!M12/((1/1000)*(s_Irr!BJ12)),IF(AND(s_Irr!L12=".",s_Irr!AK12&lt;&gt;".",s_Irr!BJ12="."),s_dir!M12/((1/1000)*(s_Irr!AK12)),IF(AND(s_Irr!L12&lt;&gt;".",s_Irr!AK12=".",s_Irr!BJ12="."),s_dir!M12/((1/1000)*(s_Irr!L12)),IF(AND(s_Irr!L12=".",s_Irr!AK12=".",s_Irr!BJ12="."),s_dir!M12*1000)))))))),".")</f>
        <v>.</v>
      </c>
      <c r="N12" s="76" t="str">
        <f>IFERROR(IF(AND(s_Irr!M12&lt;&gt;".",s_Irr!AL12&lt;&gt;".",s_Irr!BK12&lt;&gt;"."),s_dir!N12/((1/1000)*(s_Irr!M12+s_Irr!AL12+s_Irr!BK12)),IF(AND(s_Irr!M12&lt;&gt;".",s_Irr!AL12&lt;&gt;".",s_Irr!BK12="."),s_dir!N12/((1/1000)*(s_Irr!M12+s_Irr!AL12)),IF(AND(s_Irr!M12&lt;&gt;".",s_Irr!AL12=".",s_Irr!BK12&lt;&gt;"."),s_dir!N12/((1/1000)*(s_Irr!M12+s_Irr!BK12)),IF(AND(s_Irr!M12=".",s_Irr!AL12&lt;&gt;".",s_Irr!BK12&lt;&gt;"."),s_dir!N12/((1/1000)*(s_Irr!AL12+s_Irr!BK12)),IF(AND(s_Irr!M12=".",s_Irr!AL12=".",s_Irr!BK12&lt;&gt;"."),s_dir!N12/((1/1000)*(s_Irr!BK12)),IF(AND(s_Irr!M12=".",s_Irr!AL12&lt;&gt;".",s_Irr!BK12="."),s_dir!N12/((1/1000)*(s_Irr!AL12)),IF(AND(s_Irr!M12&lt;&gt;".",s_Irr!AL12=".",s_Irr!BK12="."),s_dir!N12/((1/1000)*(s_Irr!M12)),IF(AND(s_Irr!M12=".",s_Irr!AL12=".",s_Irr!BK12="."),s_dir!N12*1000)))))))),".")</f>
        <v>.</v>
      </c>
      <c r="O12" s="76" t="str">
        <f>IFERROR(IF(AND(s_Irr!N12&lt;&gt;".",s_Irr!AM12&lt;&gt;".",s_Irr!BL12&lt;&gt;"."),s_dir!O12/((1/1000)*(s_Irr!N12+s_Irr!AM12+s_Irr!BL12)),IF(AND(s_Irr!N12&lt;&gt;".",s_Irr!AM12&lt;&gt;".",s_Irr!BL12="."),s_dir!O12/((1/1000)*(s_Irr!N12+s_Irr!AM12)),IF(AND(s_Irr!N12&lt;&gt;".",s_Irr!AM12=".",s_Irr!BL12&lt;&gt;"."),s_dir!O12/((1/1000)*(s_Irr!N12+s_Irr!BL12)),IF(AND(s_Irr!N12=".",s_Irr!AM12&lt;&gt;".",s_Irr!BL12&lt;&gt;"."),s_dir!O12/((1/1000)*(s_Irr!AM12+s_Irr!BL12)),IF(AND(s_Irr!N12=".",s_Irr!AM12=".",s_Irr!BL12&lt;&gt;"."),s_dir!O12/((1/1000)*(s_Irr!BL12)),IF(AND(s_Irr!N12=".",s_Irr!AM12&lt;&gt;".",s_Irr!BL12="."),s_dir!O12/((1/1000)*(s_Irr!AM12)),IF(AND(s_Irr!N12&lt;&gt;".",s_Irr!AM12=".",s_Irr!BL12="."),s_dir!O12/((1/1000)*(s_Irr!N12)),IF(AND(s_Irr!N12=".",s_Irr!AM12=".",s_Irr!BL12="."),s_dir!O12*1000)))))))),".")</f>
        <v>.</v>
      </c>
      <c r="P12" s="76" t="str">
        <f>IFERROR(IF(AND(s_Irr!O12&lt;&gt;".",s_Irr!AN12&lt;&gt;".",s_Irr!BM12&lt;&gt;"."),s_dir!P12/((1/1000)*(s_Irr!O12+s_Irr!AN12+s_Irr!BM12)),IF(AND(s_Irr!O12&lt;&gt;".",s_Irr!AN12&lt;&gt;".",s_Irr!BM12="."),s_dir!P12/((1/1000)*(s_Irr!O12+s_Irr!AN12)),IF(AND(s_Irr!O12&lt;&gt;".",s_Irr!AN12=".",s_Irr!BM12&lt;&gt;"."),s_dir!P12/((1/1000)*(s_Irr!O12+s_Irr!BM12)),IF(AND(s_Irr!O12=".",s_Irr!AN12&lt;&gt;".",s_Irr!BM12&lt;&gt;"."),s_dir!P12/((1/1000)*(s_Irr!AN12+s_Irr!BM12)),IF(AND(s_Irr!O12=".",s_Irr!AN12=".",s_Irr!BM12&lt;&gt;"."),s_dir!P12/((1/1000)*(s_Irr!BM12)),IF(AND(s_Irr!O12=".",s_Irr!AN12&lt;&gt;".",s_Irr!BM12="."),s_dir!P12/((1/1000)*(s_Irr!AN12)),IF(AND(s_Irr!O12&lt;&gt;".",s_Irr!AN12=".",s_Irr!BM12="."),s_dir!P12/((1/1000)*(s_Irr!O12)),IF(AND(s_Irr!O12=".",s_Irr!AN12=".",s_Irr!BM12="."),s_dir!P12*1000)))))))),".")</f>
        <v>.</v>
      </c>
      <c r="Q12" s="76" t="str">
        <f>IFERROR(IF(AND(s_Irr!P12&lt;&gt;".",s_Irr!AO12&lt;&gt;".",s_Irr!BN12&lt;&gt;"."),s_dir!Q12/((1/1000)*(s_Irr!P12+s_Irr!AO12+s_Irr!BN12)),IF(AND(s_Irr!P12&lt;&gt;".",s_Irr!AO12&lt;&gt;".",s_Irr!BN12="."),s_dir!Q12/((1/1000)*(s_Irr!P12+s_Irr!AO12)),IF(AND(s_Irr!P12&lt;&gt;".",s_Irr!AO12=".",s_Irr!BN12&lt;&gt;"."),s_dir!Q12/((1/1000)*(s_Irr!P12+s_Irr!BN12)),IF(AND(s_Irr!P12=".",s_Irr!AO12&lt;&gt;".",s_Irr!BN12&lt;&gt;"."),s_dir!Q12/((1/1000)*(s_Irr!AO12+s_Irr!BN12)),IF(AND(s_Irr!P12=".",s_Irr!AO12=".",s_Irr!BN12&lt;&gt;"."),s_dir!Q12/((1/1000)*(s_Irr!BN12)),IF(AND(s_Irr!P12=".",s_Irr!AO12&lt;&gt;".",s_Irr!BN12="."),s_dir!Q12/((1/1000)*(s_Irr!AO12)),IF(AND(s_Irr!P12&lt;&gt;".",s_Irr!AO12=".",s_Irr!BN12="."),s_dir!Q12/((1/1000)*(s_Irr!P12)),IF(AND(s_Irr!P12=".",s_Irr!AO12=".",s_Irr!BN12="."),s_dir!Q12*1000)))))))),".")</f>
        <v>.</v>
      </c>
      <c r="R12" s="76" t="str">
        <f>IFERROR(IF(AND(s_Irr!Q12&lt;&gt;".",s_Irr!AP12&lt;&gt;".",s_Irr!BO12&lt;&gt;"."),s_dir!R12/((1/1000)*(s_Irr!Q12+s_Irr!AP12+s_Irr!BO12)),IF(AND(s_Irr!Q12&lt;&gt;".",s_Irr!AP12&lt;&gt;".",s_Irr!BO12="."),s_dir!R12/((1/1000)*(s_Irr!Q12+s_Irr!AP12)),IF(AND(s_Irr!Q12&lt;&gt;".",s_Irr!AP12=".",s_Irr!BO12&lt;&gt;"."),s_dir!R12/((1/1000)*(s_Irr!Q12+s_Irr!BO12)),IF(AND(s_Irr!Q12=".",s_Irr!AP12&lt;&gt;".",s_Irr!BO12&lt;&gt;"."),s_dir!R12/((1/1000)*(s_Irr!AP12+s_Irr!BO12)),IF(AND(s_Irr!Q12=".",s_Irr!AP12=".",s_Irr!BO12&lt;&gt;"."),s_dir!R12/((1/1000)*(s_Irr!BO12)),IF(AND(s_Irr!Q12=".",s_Irr!AP12&lt;&gt;".",s_Irr!BO12="."),s_dir!R12/((1/1000)*(s_Irr!AP12)),IF(AND(s_Irr!Q12&lt;&gt;".",s_Irr!AP12=".",s_Irr!BO12="."),s_dir!R12/((1/1000)*(s_Irr!Q12)),IF(AND(s_Irr!Q12=".",s_Irr!AP12=".",s_Irr!BO12="."),s_dir!R12*1000)))))))),".")</f>
        <v>.</v>
      </c>
      <c r="S12" s="76" t="str">
        <f>IFERROR(IF(AND(s_Irr!R12&lt;&gt;".",s_Irr!AQ12&lt;&gt;".",s_Irr!BP12&lt;&gt;"."),s_dir!S12/((1/1000)*(s_Irr!R12+s_Irr!AQ12+s_Irr!BP12)),IF(AND(s_Irr!R12&lt;&gt;".",s_Irr!AQ12&lt;&gt;".",s_Irr!BP12="."),s_dir!S12/((1/1000)*(s_Irr!R12+s_Irr!AQ12)),IF(AND(s_Irr!R12&lt;&gt;".",s_Irr!AQ12=".",s_Irr!BP12&lt;&gt;"."),s_dir!S12/((1/1000)*(s_Irr!R12+s_Irr!BP12)),IF(AND(s_Irr!R12=".",s_Irr!AQ12&lt;&gt;".",s_Irr!BP12&lt;&gt;"."),s_dir!S12/((1/1000)*(s_Irr!AQ12+s_Irr!BP12)),IF(AND(s_Irr!R12=".",s_Irr!AQ12=".",s_Irr!BP12&lt;&gt;"."),s_dir!S12/((1/1000)*(s_Irr!BP12)),IF(AND(s_Irr!R12=".",s_Irr!AQ12&lt;&gt;".",s_Irr!BP12="."),s_dir!S12/((1/1000)*(s_Irr!AQ12)),IF(AND(s_Irr!R12&lt;&gt;".",s_Irr!AQ12=".",s_Irr!BP12="."),s_dir!S12/((1/1000)*(s_Irr!R12)),IF(AND(s_Irr!R12=".",s_Irr!AQ12=".",s_Irr!BP12="."),s_dir!S12*1000)))))))),".")</f>
        <v>.</v>
      </c>
      <c r="T12" s="76" t="str">
        <f>IFERROR(IF(AND(s_Irr!S12&lt;&gt;".",s_Irr!AR12&lt;&gt;".",s_Irr!BQ12&lt;&gt;"."),s_dir!T12/((1/1000)*(s_Irr!S12+s_Irr!AR12+s_Irr!BQ12)),IF(AND(s_Irr!S12&lt;&gt;".",s_Irr!AR12&lt;&gt;".",s_Irr!BQ12="."),s_dir!T12/((1/1000)*(s_Irr!S12+s_Irr!AR12)),IF(AND(s_Irr!S12&lt;&gt;".",s_Irr!AR12=".",s_Irr!BQ12&lt;&gt;"."),s_dir!T12/((1/1000)*(s_Irr!S12+s_Irr!BQ12)),IF(AND(s_Irr!S12=".",s_Irr!AR12&lt;&gt;".",s_Irr!BQ12&lt;&gt;"."),s_dir!T12/((1/1000)*(s_Irr!AR12+s_Irr!BQ12)),IF(AND(s_Irr!S12=".",s_Irr!AR12=".",s_Irr!BQ12&lt;&gt;"."),s_dir!T12/((1/1000)*(s_Irr!BQ12)),IF(AND(s_Irr!S12=".",s_Irr!AR12&lt;&gt;".",s_Irr!BQ12="."),s_dir!T12/((1/1000)*(s_Irr!AR12)),IF(AND(s_Irr!S12&lt;&gt;".",s_Irr!AR12=".",s_Irr!BQ12="."),s_dir!T12/((1/1000)*(s_Irr!S12)),IF(AND(s_Irr!S12=".",s_Irr!AR12=".",s_Irr!BQ12="."),s_dir!T12*1000)))))))),".")</f>
        <v>.</v>
      </c>
      <c r="U12" s="76" t="str">
        <f>IFERROR(IF(AND(s_Irr!T12&lt;&gt;".",s_Irr!AS12&lt;&gt;".",s_Irr!BR12&lt;&gt;"."),s_dir!U12/((1/1000)*(s_Irr!T12+s_Irr!AS12+s_Irr!BR12)),IF(AND(s_Irr!T12&lt;&gt;".",s_Irr!AS12&lt;&gt;".",s_Irr!BR12="."),s_dir!U12/((1/1000)*(s_Irr!T12+s_Irr!AS12)),IF(AND(s_Irr!T12&lt;&gt;".",s_Irr!AS12=".",s_Irr!BR12&lt;&gt;"."),s_dir!U12/((1/1000)*(s_Irr!T12+s_Irr!BR12)),IF(AND(s_Irr!T12=".",s_Irr!AS12&lt;&gt;".",s_Irr!BR12&lt;&gt;"."),s_dir!U12/((1/1000)*(s_Irr!AS12+s_Irr!BR12)),IF(AND(s_Irr!T12=".",s_Irr!AS12=".",s_Irr!BR12&lt;&gt;"."),s_dir!U12/((1/1000)*(s_Irr!BR12)),IF(AND(s_Irr!T12=".",s_Irr!AS12&lt;&gt;".",s_Irr!BR12="."),s_dir!U12/((1/1000)*(s_Irr!AS12)),IF(AND(s_Irr!T12&lt;&gt;".",s_Irr!AS12=".",s_Irr!BR12="."),s_dir!U12/((1/1000)*(s_Irr!T12)),IF(AND(s_Irr!T12=".",s_Irr!AS12=".",s_Irr!BR12="."),s_dir!U12*1000)))))))),".")</f>
        <v>.</v>
      </c>
      <c r="V12" s="76" t="str">
        <f>IFERROR(IF(AND(s_Irr!U12&lt;&gt;".",s_Irr!AT12&lt;&gt;".",s_Irr!BS12&lt;&gt;"."),s_dir!V12/((1/1000)*(s_Irr!U12+s_Irr!AT12+s_Irr!BS12)),IF(AND(s_Irr!U12&lt;&gt;".",s_Irr!AT12&lt;&gt;".",s_Irr!BS12="."),s_dir!V12/((1/1000)*(s_Irr!U12+s_Irr!AT12)),IF(AND(s_Irr!U12&lt;&gt;".",s_Irr!AT12=".",s_Irr!BS12&lt;&gt;"."),s_dir!V12/((1/1000)*(s_Irr!U12+s_Irr!BS12)),IF(AND(s_Irr!U12=".",s_Irr!AT12&lt;&gt;".",s_Irr!BS12&lt;&gt;"."),s_dir!V12/((1/1000)*(s_Irr!AT12+s_Irr!BS12)),IF(AND(s_Irr!U12=".",s_Irr!AT12=".",s_Irr!BS12&lt;&gt;"."),s_dir!V12/((1/1000)*(s_Irr!BS12)),IF(AND(s_Irr!U12=".",s_Irr!AT12&lt;&gt;".",s_Irr!BS12="."),s_dir!V12/((1/1000)*(s_Irr!AT12)),IF(AND(s_Irr!U12&lt;&gt;".",s_Irr!AT12=".",s_Irr!BS12="."),s_dir!V12/((1/1000)*(s_Irr!U12)),IF(AND(s_Irr!U12=".",s_Irr!AT12=".",s_Irr!BS12="."),s_dir!V12*1000)))))))),".")</f>
        <v>.</v>
      </c>
      <c r="W12" s="76" t="str">
        <f>IFERROR(IF(AND(s_Irr!V12&lt;&gt;".",s_Irr!AU12&lt;&gt;".",s_Irr!BT12&lt;&gt;"."),s_dir!W12/((1/1000)*(s_Irr!V12+s_Irr!AU12+s_Irr!BT12)),IF(AND(s_Irr!V12&lt;&gt;".",s_Irr!AU12&lt;&gt;".",s_Irr!BT12="."),s_dir!W12/((1/1000)*(s_Irr!V12+s_Irr!AU12)),IF(AND(s_Irr!V12&lt;&gt;".",s_Irr!AU12=".",s_Irr!BT12&lt;&gt;"."),s_dir!W12/((1/1000)*(s_Irr!V12+s_Irr!BT12)),IF(AND(s_Irr!V12=".",s_Irr!AU12&lt;&gt;".",s_Irr!BT12&lt;&gt;"."),s_dir!W12/((1/1000)*(s_Irr!AU12+s_Irr!BT12)),IF(AND(s_Irr!V12=".",s_Irr!AU12=".",s_Irr!BT12&lt;&gt;"."),s_dir!W12/((1/1000)*(s_Irr!BT12)),IF(AND(s_Irr!V12=".",s_Irr!AU12&lt;&gt;".",s_Irr!BT12="."),s_dir!W12/((1/1000)*(s_Irr!AU12)),IF(AND(s_Irr!V12&lt;&gt;".",s_Irr!AU12=".",s_Irr!BT12="."),s_dir!W12/((1/1000)*(s_Irr!V12)),IF(AND(s_Irr!V12=".",s_Irr!AU12=".",s_Irr!BT12="."),s_dir!W12*1000)))))))),".")</f>
        <v>.</v>
      </c>
      <c r="X12" s="76" t="str">
        <f>IFERROR(IF(AND(s_Irr!W12&lt;&gt;".",s_Irr!AV12&lt;&gt;".",s_Irr!BU12&lt;&gt;"."),s_dir!X12/((1/1000)*(s_Irr!W12+s_Irr!AV12+s_Irr!BU12)),IF(AND(s_Irr!W12&lt;&gt;".",s_Irr!AV12&lt;&gt;".",s_Irr!BU12="."),s_dir!X12/((1/1000)*(s_Irr!W12+s_Irr!AV12)),IF(AND(s_Irr!W12&lt;&gt;".",s_Irr!AV12=".",s_Irr!BU12&lt;&gt;"."),s_dir!X12/((1/1000)*(s_Irr!W12+s_Irr!BU12)),IF(AND(s_Irr!W12=".",s_Irr!AV12&lt;&gt;".",s_Irr!BU12&lt;&gt;"."),s_dir!X12/((1/1000)*(s_Irr!AV12+s_Irr!BU12)),IF(AND(s_Irr!W12=".",s_Irr!AV12=".",s_Irr!BU12&lt;&gt;"."),s_dir!X12/((1/1000)*(s_Irr!BU12)),IF(AND(s_Irr!W12=".",s_Irr!AV12&lt;&gt;".",s_Irr!BU12="."),s_dir!X12/((1/1000)*(s_Irr!AV12)),IF(AND(s_Irr!W12&lt;&gt;".",s_Irr!AV12=".",s_Irr!BU12="."),s_dir!X12/((1/1000)*(s_Irr!W12)),IF(AND(s_Irr!W12=".",s_Irr!AV12=".",s_Irr!BU12="."),s_dir!X12*1000)))))))),".")</f>
        <v>.</v>
      </c>
      <c r="Y12" s="76" t="str">
        <f>IFERROR(IF(AND(s_Irr!X12&lt;&gt;".",s_Irr!AW12&lt;&gt;".",s_Irr!BV12&lt;&gt;"."),s_dir!Y12/((1/1000)*(s_Irr!X12+s_Irr!AW12+s_Irr!BV12)),IF(AND(s_Irr!X12&lt;&gt;".",s_Irr!AW12&lt;&gt;".",s_Irr!BV12="."),s_dir!Y12/((1/1000)*(s_Irr!X12+s_Irr!AW12)),IF(AND(s_Irr!X12&lt;&gt;".",s_Irr!AW12=".",s_Irr!BV12&lt;&gt;"."),s_dir!Y12/((1/1000)*(s_Irr!X12+s_Irr!BV12)),IF(AND(s_Irr!X12=".",s_Irr!AW12&lt;&gt;".",s_Irr!BV12&lt;&gt;"."),s_dir!Y12/((1/1000)*(s_Irr!AW12+s_Irr!BV12)),IF(AND(s_Irr!X12=".",s_Irr!AW12=".",s_Irr!BV12&lt;&gt;"."),s_dir!Y12/((1/1000)*(s_Irr!BV12)),IF(AND(s_Irr!X12=".",s_Irr!AW12&lt;&gt;".",s_Irr!BV12="."),s_dir!Y12/((1/1000)*(s_Irr!AW12)),IF(AND(s_Irr!X12&lt;&gt;".",s_Irr!AW12=".",s_Irr!BV12="."),s_dir!Y12/((1/1000)*(s_Irr!X12)),IF(AND(s_Irr!X12=".",s_Irr!AW12=".",s_Irr!BV12="."),s_dir!Y12*1000)))))))),".")</f>
        <v>.</v>
      </c>
      <c r="Z12" s="76" t="str">
        <f>IFERROR(IF(AND(s_Irr!Y12&lt;&gt;".",s_Irr!AX12&lt;&gt;".",s_Irr!BW12&lt;&gt;"."),s_dir!Z12/((1/1000)*(s_Irr!Y12+s_Irr!AX12+s_Irr!BW12)),IF(AND(s_Irr!Y12&lt;&gt;".",s_Irr!AX12&lt;&gt;".",s_Irr!BW12="."),s_dir!Z12/((1/1000)*(s_Irr!Y12+s_Irr!AX12)),IF(AND(s_Irr!Y12&lt;&gt;".",s_Irr!AX12=".",s_Irr!BW12&lt;&gt;"."),s_dir!Z12/((1/1000)*(s_Irr!Y12+s_Irr!BW12)),IF(AND(s_Irr!Y12=".",s_Irr!AX12&lt;&gt;".",s_Irr!BW12&lt;&gt;"."),s_dir!Z12/((1/1000)*(s_Irr!AX12+s_Irr!BW12)),IF(AND(s_Irr!Y12=".",s_Irr!AX12=".",s_Irr!BW12&lt;&gt;"."),s_dir!Z12/((1/1000)*(s_Irr!BW12)),IF(AND(s_Irr!Y12=".",s_Irr!AX12&lt;&gt;".",s_Irr!BW12="."),s_dir!Z12/((1/1000)*(s_Irr!AX12)),IF(AND(s_Irr!Y12&lt;&gt;".",s_Irr!AX12=".",s_Irr!BW12="."),s_dir!Z12/((1/1000)*(s_Irr!Y12)),IF(AND(s_Irr!Y12=".",s_Irr!AX12=".",s_Irr!BW12="."),s_dir!Z12*1000)))))))),".")</f>
        <v>.</v>
      </c>
      <c r="AA12" s="76" t="str">
        <f>IFERROR(IF(AND(s_Irr!Z12&lt;&gt;".",s_Irr!AY12&lt;&gt;".",s_Irr!BX12&lt;&gt;"."),s_dir!AA12/((1/1000)*(s_Irr!Z12+s_Irr!AY12+s_Irr!BX12)),IF(AND(s_Irr!Z12&lt;&gt;".",s_Irr!AY12&lt;&gt;".",s_Irr!BX12="."),s_dir!AA12/((1/1000)*(s_Irr!Z12+s_Irr!AY12)),IF(AND(s_Irr!Z12&lt;&gt;".",s_Irr!AY12=".",s_Irr!BX12&lt;&gt;"."),s_dir!AA12/((1/1000)*(s_Irr!Z12+s_Irr!BX12)),IF(AND(s_Irr!Z12=".",s_Irr!AY12&lt;&gt;".",s_Irr!BX12&lt;&gt;"."),s_dir!AA12/((1/1000)*(s_Irr!AY12+s_Irr!BX12)),IF(AND(s_Irr!Z12=".",s_Irr!AY12=".",s_Irr!BX12&lt;&gt;"."),s_dir!AA12/((1/1000)*(s_Irr!BX12)),IF(AND(s_Irr!Z12=".",s_Irr!AY12&lt;&gt;".",s_Irr!BX12="."),s_dir!AA12/((1/1000)*(s_Irr!AY12)),IF(AND(s_Irr!Z12&lt;&gt;".",s_Irr!AY12=".",s_Irr!BX12="."),s_dir!AA12/((1/1000)*(s_Irr!Z12)),IF(AND(s_Irr!Z12=".",s_Irr!AY12=".",s_Irr!BX12="."),s_dir!AA12*1000)))))))),".")</f>
        <v>.</v>
      </c>
      <c r="AB12" s="76" t="str">
        <f>IFERROR(IF(AND(s_Irr!AA12&lt;&gt;".",s_Irr!AZ12&lt;&gt;".",s_Irr!BY12&lt;&gt;"."),s_dir!AB12/((1/1000)*(s_Irr!AA12+s_Irr!AZ12+s_Irr!BY12)),IF(AND(s_Irr!AA12&lt;&gt;".",s_Irr!AZ12&lt;&gt;".",s_Irr!BY12="."),s_dir!AB12/((1/1000)*(s_Irr!AA12+s_Irr!AZ12)),IF(AND(s_Irr!AA12&lt;&gt;".",s_Irr!AZ12=".",s_Irr!BY12&lt;&gt;"."),s_dir!AB12/((1/1000)*(s_Irr!AA12+s_Irr!BY12)),IF(AND(s_Irr!AA12=".",s_Irr!AZ12&lt;&gt;".",s_Irr!BY12&lt;&gt;"."),s_dir!AB12/((1/1000)*(s_Irr!AZ12+s_Irr!BY12)),IF(AND(s_Irr!AA12=".",s_Irr!AZ12=".",s_Irr!BY12&lt;&gt;"."),s_dir!AB12/((1/1000)*(s_Irr!BY12)),IF(AND(s_Irr!AA12=".",s_Irr!AZ12&lt;&gt;".",s_Irr!BY12="."),s_dir!AB12/((1/1000)*(s_Irr!AZ12)),IF(AND(s_Irr!AA12&lt;&gt;".",s_Irr!AZ12=".",s_Irr!BY12="."),s_dir!AB12/((1/1000)*(s_Irr!AA12)),IF(AND(s_Irr!AA12=".",s_Irr!AZ12=".",s_Irr!BY12="."),s_dir!AB12*1000)))))))),".")</f>
        <v>.</v>
      </c>
      <c r="AC12" s="93">
        <f t="shared" si="4"/>
        <v>43140.750340974599</v>
      </c>
      <c r="AD12" s="93">
        <f>IFERROR(s_C*s_IFAP_res_adj*s_CF_apple*0.001*(s_Irr!C12+s_Irr!AB12+s_Irr!BA12),".")</f>
        <v>10785.18758524365</v>
      </c>
      <c r="AE12" s="93">
        <f>IFERROR(s_C*s_IFAS_res_adj*s_CF_asparagus*0.001*(s_Irr!D12+s_Irr!AC12+s_Irr!BB12),".")</f>
        <v>10785.18758524365</v>
      </c>
      <c r="AF12" s="93">
        <f>IFERROR(s_C*s_IFBT_res_adj*s_CF_beet*0.001*(s_Irr!E12+s_Irr!AD12+s_Irr!BC12),".")</f>
        <v>10785.18758524365</v>
      </c>
      <c r="AG12" s="93">
        <f>IFERROR(s_C*s_IFBE_res_adj*s_CF_berries*0.001*(s_Irr!F12+s_Irr!AE12+s_Irr!BD12),".")</f>
        <v>10785.18758524365</v>
      </c>
      <c r="AH12" s="93">
        <f>IFERROR(s_C*s_IFBR_res_adj*s_CF_broccoli*0.001*(s_Irr!G12+s_Irr!AF12+s_Irr!BE12),".")</f>
        <v>10785.18758524365</v>
      </c>
      <c r="AI12" s="93">
        <f>IFERROR(s_C*s_IFCB_res_adj*s_CF_cabbage*0.001*(s_Irr!H12+s_Irr!AG12+s_Irr!BF12),".")</f>
        <v>10785.18758524365</v>
      </c>
      <c r="AJ12" s="93">
        <f>IFERROR(s_C*s_IFCR_res_adj*s_CF_carrot*0.001*(s_Irr!I12+s_Irr!AH12+s_Irr!BG12),".")</f>
        <v>10785.18758524365</v>
      </c>
      <c r="AK12" s="93">
        <f>IFERROR(s_C*s_IFCI_res_adj*s_CF_citrus*0.001*(s_Irr!J12+s_Irr!AI12+s_Irr!BH12),".")</f>
        <v>10785.18758524365</v>
      </c>
      <c r="AL12" s="93">
        <f>IFERROR(s_C*s_IFCO_res_adj*s_CF_corn*0.001*(s_Irr!K12+s_Irr!AJ12+s_Irr!BI12),".")</f>
        <v>10785.18758524365</v>
      </c>
      <c r="AM12" s="93">
        <f>IFERROR(s_C*s_IFCU_res_adj*s_CF_cucumber*0.001*(s_Irr!L12+s_Irr!AK12+s_Irr!BJ12),".")</f>
        <v>10785.18758524365</v>
      </c>
      <c r="AN12" s="93">
        <f>IFERROR(s_C*s_IFLE_res_adj*s_CF_lettuce*0.001*(s_Irr!M12+s_Irr!AL12+s_Irr!BK12),".")</f>
        <v>10785.18758524365</v>
      </c>
      <c r="AO12" s="93">
        <f>IFERROR(s_C*s_IFLI_res_adj*s_CF_lima_bean*0.001*(s_Irr!N12+s_Irr!AM12+s_Irr!BL12),".")</f>
        <v>10785.18758524365</v>
      </c>
      <c r="AP12" s="93">
        <f>IFERROR(s_C*s_IFOK_res_adj*s_CF_okra*0.001*(s_Irr!O12+s_Irr!AN12+s_Irr!BM12),".")</f>
        <v>10785.18758524365</v>
      </c>
      <c r="AQ12" s="93">
        <f>IFERROR(s_C*s_IFON_res_adj*s_CF_onion*0.001*(s_Irr!P12+s_Irr!AO12+s_Irr!BN12),".")</f>
        <v>10785.18758524365</v>
      </c>
      <c r="AR12" s="93">
        <f>IFERROR(s_C*s_IFPC_res_adj*s_CF_peach*0.001*(s_Irr!Q12+s_Irr!AP12+s_Irr!BO12),".")</f>
        <v>10785.18758524365</v>
      </c>
      <c r="AS12" s="93">
        <f>IFERROR(s_C*s_IFPR_res_adj*s_CF_pear*0.001*(s_Irr!R12+s_Irr!AQ12+s_Irr!BP12),".")</f>
        <v>10785.18758524365</v>
      </c>
      <c r="AT12" s="93">
        <f>IFERROR(s_C*s_IFPE_res_adj*s_CF_peas*0.001*(s_Irr!S12+s_Irr!AR12+s_Irr!BQ12),".")</f>
        <v>10785.18758524365</v>
      </c>
      <c r="AU12" s="93">
        <f>IFERROR(s_C*s_IFPP_res_adj*s_CF_peppers*0.001*(s_Irr!T12+s_Irr!AS12+s_Irr!BR12),".")</f>
        <v>10785.18758524365</v>
      </c>
      <c r="AV12" s="93">
        <f>IFERROR(s_C*s_IFPT_res_adj*s_CF_potato*0.001*(s_Irr!U12+s_Irr!AT12+s_Irr!BS12),".")</f>
        <v>10785.18758524365</v>
      </c>
      <c r="AW12" s="93">
        <f>IFERROR(s_C*s_IFPU_res_adj*s_CF_pumpkin*0.001*(s_Irr!V12+s_Irr!AU12+s_Irr!BT12),".")</f>
        <v>10785.18758524365</v>
      </c>
      <c r="AX12" s="93">
        <f>IFERROR(s_C*s_IFSN_res_adj*s_CF_snap_bean*0.001*(s_Irr!W12+s_Irr!AV12+s_Irr!BU12),".")</f>
        <v>10785.18758524365</v>
      </c>
      <c r="AY12" s="93">
        <f>IFERROR(s_C*s_IFST_res_adj*s_CF_strawberry*0.001*(s_Irr!X12+s_Irr!AW12+s_Irr!BV12),".")</f>
        <v>10785.18758524365</v>
      </c>
      <c r="AZ12" s="93">
        <f>IFERROR(s_C*s_IFTO_res_adj*s_CF_tomato*0.001*(s_Irr!Y12+s_Irr!AX12+s_Irr!BW12),".")</f>
        <v>10785.18758524365</v>
      </c>
      <c r="BA12" s="93">
        <f>IFERROR(s_C*s_IFRI_res_adj*s_CF_rice*0.001*(s_Irr!Z12+s_Irr!AY12+s_Irr!BX12),".")</f>
        <v>10785.18758524365</v>
      </c>
      <c r="BB12" s="93">
        <f>IFERROR(s_C*s_IFCG_res_adj*s_CF_cereal*0.001*(s_Irr!AA12+s_Irr!AZ12+s_Irr!BY12),".")</f>
        <v>10785.18758524365</v>
      </c>
      <c r="BC12" s="76" t="str">
        <f t="shared" si="1"/>
        <v>.</v>
      </c>
      <c r="BD12" s="76" t="str">
        <f>IFERROR(IF(AND(s_Irr!C12&lt;&gt;".",s_Irr!AB12&lt;&gt;".",s_Irr!BA12&lt;&gt;"."),s_dir!AD12/((1/1000)*(s_Irr!C12+s_Irr!AB12+s_Irr!BA12)),IF(AND(s_Irr!C12&lt;&gt;".",s_Irr!AB12&lt;&gt;".",s_Irr!BA12="."),s_dir!AD12/((1/1000)*(s_Irr!C12+s_Irr!AB12)),IF(AND(s_Irr!C12&lt;&gt;".",s_Irr!AB12=".",s_Irr!BA12&lt;&gt;"."),s_dir!AD12/((1/1000)*(s_Irr!C12+s_Irr!BA12)),IF(AND(s_Irr!C12=".",s_Irr!AB12&lt;&gt;".",s_Irr!BA12&lt;&gt;"."),s_dir!AD12/((1/1000)*(s_Irr!AB12+s_Irr!BA12)),IF(AND(s_Irr!C12=".",s_Irr!AB12=".",s_Irr!BA12&lt;&gt;"."),s_dir!AD12/((1/1000)*(s_Irr!BA12)),IF(AND(s_Irr!C12=".",s_Irr!AB12&lt;&gt;".",s_Irr!BA12="."),s_dir!AD12/((1/1000)*(s_Irr!AB12)),IF(AND(s_Irr!C12&lt;&gt;".",s_Irr!AB12=".",s_Irr!BA12="."),s_dir!AD12/((1/1000)*(s_Irr!C12)),IF(AND(s_Irr!C12=".",s_Irr!AB12=".",s_Irr!BA12="."),s_dir!AD12*1000)))))))),".")</f>
        <v>.</v>
      </c>
      <c r="BE12" s="76" t="str">
        <f>IFERROR(IF(AND(s_Irr!D12&lt;&gt;".",s_Irr!AC12&lt;&gt;".",s_Irr!BB12&lt;&gt;"."),s_dir!AE12/((1/1000)*(s_Irr!D12+s_Irr!AC12+s_Irr!BB12)),IF(AND(s_Irr!D12&lt;&gt;".",s_Irr!AC12&lt;&gt;".",s_Irr!BB12="."),s_dir!AE12/((1/1000)*(s_Irr!D12+s_Irr!AC12)),IF(AND(s_Irr!D12&lt;&gt;".",s_Irr!AC12=".",s_Irr!BB12&lt;&gt;"."),s_dir!AE12/((1/1000)*(s_Irr!D12+s_Irr!BB12)),IF(AND(s_Irr!D12=".",s_Irr!AC12&lt;&gt;".",s_Irr!BB12&lt;&gt;"."),s_dir!AE12/((1/1000)*(s_Irr!AC12+s_Irr!BB12)),IF(AND(s_Irr!D12=".",s_Irr!AC12=".",s_Irr!BB12&lt;&gt;"."),s_dir!AE12/((1/1000)*(s_Irr!BB12)),IF(AND(s_Irr!D12=".",s_Irr!AC12&lt;&gt;".",s_Irr!BB12="."),s_dir!AE12/((1/1000)*(s_Irr!AC12)),IF(AND(s_Irr!D12&lt;&gt;".",s_Irr!AC12=".",s_Irr!BB12="."),s_dir!AE12/((1/1000)*(s_Irr!D12)),IF(AND(s_Irr!D12=".",s_Irr!AC12=".",s_Irr!BB12="."),s_dir!AE12*1000)))))))),".")</f>
        <v>.</v>
      </c>
      <c r="BF12" s="76" t="str">
        <f>IFERROR(IF(AND(s_Irr!E12&lt;&gt;".",s_Irr!AD12&lt;&gt;".",s_Irr!BC12&lt;&gt;"."),s_dir!AF12/((1/1000)*(s_Irr!E12+s_Irr!AD12+s_Irr!BC12)),IF(AND(s_Irr!E12&lt;&gt;".",s_Irr!AD12&lt;&gt;".",s_Irr!BC12="."),s_dir!AF12/((1/1000)*(s_Irr!E12+s_Irr!AD12)),IF(AND(s_Irr!E12&lt;&gt;".",s_Irr!AD12=".",s_Irr!BC12&lt;&gt;"."),s_dir!AF12/((1/1000)*(s_Irr!E12+s_Irr!BC12)),IF(AND(s_Irr!E12=".",s_Irr!AD12&lt;&gt;".",s_Irr!BC12&lt;&gt;"."),s_dir!AF12/((1/1000)*(s_Irr!AD12+s_Irr!BC12)),IF(AND(s_Irr!E12=".",s_Irr!AD12=".",s_Irr!BC12&lt;&gt;"."),s_dir!AF12/((1/1000)*(s_Irr!BC12)),IF(AND(s_Irr!E12=".",s_Irr!AD12&lt;&gt;".",s_Irr!BC12="."),s_dir!AF12/((1/1000)*(s_Irr!AD12)),IF(AND(s_Irr!E12&lt;&gt;".",s_Irr!AD12=".",s_Irr!BC12="."),s_dir!AF12/((1/1000)*(s_Irr!E12)),IF(AND(s_Irr!E12=".",s_Irr!AD12=".",s_Irr!BC12="."),s_dir!AF12*1000)))))))),".")</f>
        <v>.</v>
      </c>
      <c r="BG12" s="76" t="str">
        <f>IFERROR(IF(AND(s_Irr!F12&lt;&gt;".",s_Irr!AE12&lt;&gt;".",s_Irr!BD12&lt;&gt;"."),s_dir!AG12/((1/1000)*(s_Irr!F12+s_Irr!AE12+s_Irr!BD12)),IF(AND(s_Irr!F12&lt;&gt;".",s_Irr!AE12&lt;&gt;".",s_Irr!BD12="."),s_dir!AG12/((1/1000)*(s_Irr!F12+s_Irr!AE12)),IF(AND(s_Irr!F12&lt;&gt;".",s_Irr!AE12=".",s_Irr!BD12&lt;&gt;"."),s_dir!AG12/((1/1000)*(s_Irr!F12+s_Irr!BD12)),IF(AND(s_Irr!F12=".",s_Irr!AE12&lt;&gt;".",s_Irr!BD12&lt;&gt;"."),s_dir!AG12/((1/1000)*(s_Irr!AE12+s_Irr!BD12)),IF(AND(s_Irr!F12=".",s_Irr!AE12=".",s_Irr!BD12&lt;&gt;"."),s_dir!AG12/((1/1000)*(s_Irr!BD12)),IF(AND(s_Irr!F12=".",s_Irr!AE12&lt;&gt;".",s_Irr!BD12="."),s_dir!AG12/((1/1000)*(s_Irr!AE12)),IF(AND(s_Irr!F12&lt;&gt;".",s_Irr!AE12=".",s_Irr!BD12="."),s_dir!AG12/((1/1000)*(s_Irr!F12)),IF(AND(s_Irr!F12=".",s_Irr!AE12=".",s_Irr!BD12="."),s_dir!AG12*1000)))))))),".")</f>
        <v>.</v>
      </c>
      <c r="BH12" s="76" t="str">
        <f>IFERROR(IF(AND(s_Irr!G12&lt;&gt;".",s_Irr!AF12&lt;&gt;".",s_Irr!BE12&lt;&gt;"."),s_dir!AH12/((1/1000)*(s_Irr!G12+s_Irr!AF12+s_Irr!BE12)),IF(AND(s_Irr!G12&lt;&gt;".",s_Irr!AF12&lt;&gt;".",s_Irr!BE12="."),s_dir!AH12/((1/1000)*(s_Irr!G12+s_Irr!AF12)),IF(AND(s_Irr!G12&lt;&gt;".",s_Irr!AF12=".",s_Irr!BE12&lt;&gt;"."),s_dir!AH12/((1/1000)*(s_Irr!G12+s_Irr!BE12)),IF(AND(s_Irr!G12=".",s_Irr!AF12&lt;&gt;".",s_Irr!BE12&lt;&gt;"."),s_dir!AH12/((1/1000)*(s_Irr!AF12+s_Irr!BE12)),IF(AND(s_Irr!G12=".",s_Irr!AF12=".",s_Irr!BE12&lt;&gt;"."),s_dir!AH12/((1/1000)*(s_Irr!BE12)),IF(AND(s_Irr!G12=".",s_Irr!AF12&lt;&gt;".",s_Irr!BE12="."),s_dir!AH12/((1/1000)*(s_Irr!AF12)),IF(AND(s_Irr!G12&lt;&gt;".",s_Irr!AF12=".",s_Irr!BE12="."),s_dir!AH12/((1/1000)*(s_Irr!G12)),IF(AND(s_Irr!G12=".",s_Irr!AF12=".",s_Irr!BE12="."),s_dir!AH12*1000)))))))),".")</f>
        <v>.</v>
      </c>
      <c r="BI12" s="76" t="str">
        <f>IFERROR(IF(AND(s_Irr!H12&lt;&gt;".",s_Irr!AG12&lt;&gt;".",s_Irr!BF12&lt;&gt;"."),s_dir!AI12/((1/1000)*(s_Irr!H12+s_Irr!AG12+s_Irr!BF12)),IF(AND(s_Irr!H12&lt;&gt;".",s_Irr!AG12&lt;&gt;".",s_Irr!BF12="."),s_dir!AI12/((1/1000)*(s_Irr!H12+s_Irr!AG12)),IF(AND(s_Irr!H12&lt;&gt;".",s_Irr!AG12=".",s_Irr!BF12&lt;&gt;"."),s_dir!AI12/((1/1000)*(s_Irr!H12+s_Irr!BF12)),IF(AND(s_Irr!H12=".",s_Irr!AG12&lt;&gt;".",s_Irr!BF12&lt;&gt;"."),s_dir!AI12/((1/1000)*(s_Irr!AG12+s_Irr!BF12)),IF(AND(s_Irr!H12=".",s_Irr!AG12=".",s_Irr!BF12&lt;&gt;"."),s_dir!AI12/((1/1000)*(s_Irr!BF12)),IF(AND(s_Irr!H12=".",s_Irr!AG12&lt;&gt;".",s_Irr!BF12="."),s_dir!AI12/((1/1000)*(s_Irr!AG12)),IF(AND(s_Irr!H12&lt;&gt;".",s_Irr!AG12=".",s_Irr!BF12="."),s_dir!AI12/((1/1000)*(s_Irr!H12)),IF(AND(s_Irr!H12=".",s_Irr!AG12=".",s_Irr!BF12="."),s_dir!AI12*1000)))))))),".")</f>
        <v>.</v>
      </c>
      <c r="BJ12" s="76" t="str">
        <f>IFERROR(IF(AND(s_Irr!I12&lt;&gt;".",s_Irr!AH12&lt;&gt;".",s_Irr!BG12&lt;&gt;"."),s_dir!AJ12/((1/1000)*(s_Irr!I12+s_Irr!AH12+s_Irr!BG12)),IF(AND(s_Irr!I12&lt;&gt;".",s_Irr!AH12&lt;&gt;".",s_Irr!BG12="."),s_dir!AJ12/((1/1000)*(s_Irr!I12+s_Irr!AH12)),IF(AND(s_Irr!I12&lt;&gt;".",s_Irr!AH12=".",s_Irr!BG12&lt;&gt;"."),s_dir!AJ12/((1/1000)*(s_Irr!I12+s_Irr!BG12)),IF(AND(s_Irr!I12=".",s_Irr!AH12&lt;&gt;".",s_Irr!BG12&lt;&gt;"."),s_dir!AJ12/((1/1000)*(s_Irr!AH12+s_Irr!BG12)),IF(AND(s_Irr!I12=".",s_Irr!AH12=".",s_Irr!BG12&lt;&gt;"."),s_dir!AJ12/((1/1000)*(s_Irr!BG12)),IF(AND(s_Irr!I12=".",s_Irr!AH12&lt;&gt;".",s_Irr!BG12="."),s_dir!AJ12/((1/1000)*(s_Irr!AH12)),IF(AND(s_Irr!I12&lt;&gt;".",s_Irr!AH12=".",s_Irr!BG12="."),s_dir!AJ12/((1/1000)*(s_Irr!I12)),IF(AND(s_Irr!I12=".",s_Irr!AH12=".",s_Irr!BG12="."),s_dir!AJ12*1000)))))))),".")</f>
        <v>.</v>
      </c>
      <c r="BK12" s="76" t="str">
        <f>IFERROR(IF(AND(s_Irr!J12&lt;&gt;".",s_Irr!AI12&lt;&gt;".",s_Irr!BH12&lt;&gt;"."),s_dir!AK12/((1/1000)*(s_Irr!J12+s_Irr!AI12+s_Irr!BH12)),IF(AND(s_Irr!J12&lt;&gt;".",s_Irr!AI12&lt;&gt;".",s_Irr!BH12="."),s_dir!AK12/((1/1000)*(s_Irr!J12+s_Irr!AI12)),IF(AND(s_Irr!J12&lt;&gt;".",s_Irr!AI12=".",s_Irr!BH12&lt;&gt;"."),s_dir!AK12/((1/1000)*(s_Irr!J12+s_Irr!BH12)),IF(AND(s_Irr!J12=".",s_Irr!AI12&lt;&gt;".",s_Irr!BH12&lt;&gt;"."),s_dir!AK12/((1/1000)*(s_Irr!AI12+s_Irr!BH12)),IF(AND(s_Irr!J12=".",s_Irr!AI12=".",s_Irr!BH12&lt;&gt;"."),s_dir!AK12/((1/1000)*(s_Irr!BH12)),IF(AND(s_Irr!J12=".",s_Irr!AI12&lt;&gt;".",s_Irr!BH12="."),s_dir!AK12/((1/1000)*(s_Irr!AI12)),IF(AND(s_Irr!J12&lt;&gt;".",s_Irr!AI12=".",s_Irr!BH12="."),s_dir!AK12/((1/1000)*(s_Irr!J12)),IF(AND(s_Irr!J12=".",s_Irr!AI12=".",s_Irr!BH12="."),s_dir!AK12*1000)))))))),".")</f>
        <v>.</v>
      </c>
      <c r="BL12" s="76" t="str">
        <f>IFERROR(IF(AND(s_Irr!K12&lt;&gt;".",s_Irr!AJ12&lt;&gt;".",s_Irr!BI12&lt;&gt;"."),s_dir!AL12/((1/1000)*(s_Irr!K12+s_Irr!AJ12+s_Irr!BI12)),IF(AND(s_Irr!K12&lt;&gt;".",s_Irr!AJ12&lt;&gt;".",s_Irr!BI12="."),s_dir!AL12/((1/1000)*(s_Irr!K12+s_Irr!AJ12)),IF(AND(s_Irr!K12&lt;&gt;".",s_Irr!AJ12=".",s_Irr!BI12&lt;&gt;"."),s_dir!AL12/((1/1000)*(s_Irr!K12+s_Irr!BI12)),IF(AND(s_Irr!K12=".",s_Irr!AJ12&lt;&gt;".",s_Irr!BI12&lt;&gt;"."),s_dir!AL12/((1/1000)*(s_Irr!AJ12+s_Irr!BI12)),IF(AND(s_Irr!K12=".",s_Irr!AJ12=".",s_Irr!BI12&lt;&gt;"."),s_dir!AL12/((1/1000)*(s_Irr!BI12)),IF(AND(s_Irr!K12=".",s_Irr!AJ12&lt;&gt;".",s_Irr!BI12="."),s_dir!AL12/((1/1000)*(s_Irr!AJ12)),IF(AND(s_Irr!K12&lt;&gt;".",s_Irr!AJ12=".",s_Irr!BI12="."),s_dir!AL12/((1/1000)*(s_Irr!K12)),IF(AND(s_Irr!K12=".",s_Irr!AJ12=".",s_Irr!BI12="."),s_dir!AL12*1000)))))))),".")</f>
        <v>.</v>
      </c>
      <c r="BM12" s="76" t="str">
        <f>IFERROR(IF(AND(s_Irr!L12&lt;&gt;".",s_Irr!AK12&lt;&gt;".",s_Irr!BJ12&lt;&gt;"."),s_dir!AM12/((1/1000)*(s_Irr!L12+s_Irr!AK12+s_Irr!BJ12)),IF(AND(s_Irr!L12&lt;&gt;".",s_Irr!AK12&lt;&gt;".",s_Irr!BJ12="."),s_dir!AM12/((1/1000)*(s_Irr!L12+s_Irr!AK12)),IF(AND(s_Irr!L12&lt;&gt;".",s_Irr!AK12=".",s_Irr!BJ12&lt;&gt;"."),s_dir!AM12/((1/1000)*(s_Irr!L12+s_Irr!BJ12)),IF(AND(s_Irr!L12=".",s_Irr!AK12&lt;&gt;".",s_Irr!BJ12&lt;&gt;"."),s_dir!AM12/((1/1000)*(s_Irr!AK12+s_Irr!BJ12)),IF(AND(s_Irr!L12=".",s_Irr!AK12=".",s_Irr!BJ12&lt;&gt;"."),s_dir!AM12/((1/1000)*(s_Irr!BJ12)),IF(AND(s_Irr!L12=".",s_Irr!AK12&lt;&gt;".",s_Irr!BJ12="."),s_dir!AM12/((1/1000)*(s_Irr!AK12)),IF(AND(s_Irr!L12&lt;&gt;".",s_Irr!AK12=".",s_Irr!BJ12="."),s_dir!AM12/((1/1000)*(s_Irr!L12)),IF(AND(s_Irr!L12=".",s_Irr!AK12=".",s_Irr!BJ12="."),s_dir!AM12*1000)))))))),".")</f>
        <v>.</v>
      </c>
      <c r="BN12" s="76" t="str">
        <f>IFERROR(IF(AND(s_Irr!M12&lt;&gt;".",s_Irr!AL12&lt;&gt;".",s_Irr!BK12&lt;&gt;"."),s_dir!AN12/((1/1000)*(s_Irr!M12+s_Irr!AL12+s_Irr!BK12)),IF(AND(s_Irr!M12&lt;&gt;".",s_Irr!AL12&lt;&gt;".",s_Irr!BK12="."),s_dir!AN12/((1/1000)*(s_Irr!M12+s_Irr!AL12)),IF(AND(s_Irr!M12&lt;&gt;".",s_Irr!AL12=".",s_Irr!BK12&lt;&gt;"."),s_dir!AN12/((1/1000)*(s_Irr!M12+s_Irr!BK12)),IF(AND(s_Irr!M12=".",s_Irr!AL12&lt;&gt;".",s_Irr!BK12&lt;&gt;"."),s_dir!AN12/((1/1000)*(s_Irr!AL12+s_Irr!BK12)),IF(AND(s_Irr!M12=".",s_Irr!AL12=".",s_Irr!BK12&lt;&gt;"."),s_dir!AN12/((1/1000)*(s_Irr!BK12)),IF(AND(s_Irr!M12=".",s_Irr!AL12&lt;&gt;".",s_Irr!BK12="."),s_dir!AN12/((1/1000)*(s_Irr!AL12)),IF(AND(s_Irr!M12&lt;&gt;".",s_Irr!AL12=".",s_Irr!BK12="."),s_dir!AN12/((1/1000)*(s_Irr!M12)),IF(AND(s_Irr!M12=".",s_Irr!AL12=".",s_Irr!BK12="."),s_dir!AN12*1000)))))))),".")</f>
        <v>.</v>
      </c>
      <c r="BO12" s="76" t="str">
        <f>IFERROR(IF(AND(s_Irr!N12&lt;&gt;".",s_Irr!AM12&lt;&gt;".",s_Irr!BL12&lt;&gt;"."),s_dir!AO12/((1/1000)*(s_Irr!N12+s_Irr!AM12+s_Irr!BL12)),IF(AND(s_Irr!N12&lt;&gt;".",s_Irr!AM12&lt;&gt;".",s_Irr!BL12="."),s_dir!AO12/((1/1000)*(s_Irr!N12+s_Irr!AM12)),IF(AND(s_Irr!N12&lt;&gt;".",s_Irr!AM12=".",s_Irr!BL12&lt;&gt;"."),s_dir!AO12/((1/1000)*(s_Irr!N12+s_Irr!BL12)),IF(AND(s_Irr!N12=".",s_Irr!AM12&lt;&gt;".",s_Irr!BL12&lt;&gt;"."),s_dir!AO12/((1/1000)*(s_Irr!AM12+s_Irr!BL12)),IF(AND(s_Irr!N12=".",s_Irr!AM12=".",s_Irr!BL12&lt;&gt;"."),s_dir!AO12/((1/1000)*(s_Irr!BL12)),IF(AND(s_Irr!N12=".",s_Irr!AM12&lt;&gt;".",s_Irr!BL12="."),s_dir!AO12/((1/1000)*(s_Irr!AM12)),IF(AND(s_Irr!N12&lt;&gt;".",s_Irr!AM12=".",s_Irr!BL12="."),s_dir!AO12/((1/1000)*(s_Irr!N12)),IF(AND(s_Irr!N12=".",s_Irr!AM12=".",s_Irr!BL12="."),s_dir!AO12*1000)))))))),".")</f>
        <v>.</v>
      </c>
      <c r="BP12" s="76" t="str">
        <f>IFERROR(IF(AND(s_Irr!O12&lt;&gt;".",s_Irr!AN12&lt;&gt;".",s_Irr!BM12&lt;&gt;"."),s_dir!AP12/((1/1000)*(s_Irr!O12+s_Irr!AN12+s_Irr!BM12)),IF(AND(s_Irr!O12&lt;&gt;".",s_Irr!AN12&lt;&gt;".",s_Irr!BM12="."),s_dir!AP12/((1/1000)*(s_Irr!O12+s_Irr!AN12)),IF(AND(s_Irr!O12&lt;&gt;".",s_Irr!AN12=".",s_Irr!BM12&lt;&gt;"."),s_dir!AP12/((1/1000)*(s_Irr!O12+s_Irr!BM12)),IF(AND(s_Irr!O12=".",s_Irr!AN12&lt;&gt;".",s_Irr!BM12&lt;&gt;"."),s_dir!AP12/((1/1000)*(s_Irr!AN12+s_Irr!BM12)),IF(AND(s_Irr!O12=".",s_Irr!AN12=".",s_Irr!BM12&lt;&gt;"."),s_dir!AP12/((1/1000)*(s_Irr!BM12)),IF(AND(s_Irr!O12=".",s_Irr!AN12&lt;&gt;".",s_Irr!BM12="."),s_dir!AP12/((1/1000)*(s_Irr!AN12)),IF(AND(s_Irr!O12&lt;&gt;".",s_Irr!AN12=".",s_Irr!BM12="."),s_dir!AP12/((1/1000)*(s_Irr!O12)),IF(AND(s_Irr!O12=".",s_Irr!AN12=".",s_Irr!BM12="."),s_dir!AP12*1000)))))))),".")</f>
        <v>.</v>
      </c>
      <c r="BQ12" s="76" t="str">
        <f>IFERROR(IF(AND(s_Irr!P12&lt;&gt;".",s_Irr!AO12&lt;&gt;".",s_Irr!BN12&lt;&gt;"."),s_dir!AQ12/((1/1000)*(s_Irr!P12+s_Irr!AO12+s_Irr!BN12)),IF(AND(s_Irr!P12&lt;&gt;".",s_Irr!AO12&lt;&gt;".",s_Irr!BN12="."),s_dir!AQ12/((1/1000)*(s_Irr!P12+s_Irr!AO12)),IF(AND(s_Irr!P12&lt;&gt;".",s_Irr!AO12=".",s_Irr!BN12&lt;&gt;"."),s_dir!AQ12/((1/1000)*(s_Irr!P12+s_Irr!BN12)),IF(AND(s_Irr!P12=".",s_Irr!AO12&lt;&gt;".",s_Irr!BN12&lt;&gt;"."),s_dir!AQ12/((1/1000)*(s_Irr!AO12+s_Irr!BN12)),IF(AND(s_Irr!P12=".",s_Irr!AO12=".",s_Irr!BN12&lt;&gt;"."),s_dir!AQ12/((1/1000)*(s_Irr!BN12)),IF(AND(s_Irr!P12=".",s_Irr!AO12&lt;&gt;".",s_Irr!BN12="."),s_dir!AQ12/((1/1000)*(s_Irr!AO12)),IF(AND(s_Irr!P12&lt;&gt;".",s_Irr!AO12=".",s_Irr!BN12="."),s_dir!AQ12/((1/1000)*(s_Irr!P12)),IF(AND(s_Irr!P12=".",s_Irr!AO12=".",s_Irr!BN12="."),s_dir!AQ12*1000)))))))),".")</f>
        <v>.</v>
      </c>
      <c r="BR12" s="76" t="str">
        <f>IFERROR(IF(AND(s_Irr!Q12&lt;&gt;".",s_Irr!AP12&lt;&gt;".",s_Irr!BO12&lt;&gt;"."),s_dir!AR12/((1/1000)*(s_Irr!Q12+s_Irr!AP12+s_Irr!BO12)),IF(AND(s_Irr!Q12&lt;&gt;".",s_Irr!AP12&lt;&gt;".",s_Irr!BO12="."),s_dir!AR12/((1/1000)*(s_Irr!Q12+s_Irr!AP12)),IF(AND(s_Irr!Q12&lt;&gt;".",s_Irr!AP12=".",s_Irr!BO12&lt;&gt;"."),s_dir!AR12/((1/1000)*(s_Irr!Q12+s_Irr!BO12)),IF(AND(s_Irr!Q12=".",s_Irr!AP12&lt;&gt;".",s_Irr!BO12&lt;&gt;"."),s_dir!AR12/((1/1000)*(s_Irr!AP12+s_Irr!BO12)),IF(AND(s_Irr!Q12=".",s_Irr!AP12=".",s_Irr!BO12&lt;&gt;"."),s_dir!AR12/((1/1000)*(s_Irr!BO12)),IF(AND(s_Irr!Q12=".",s_Irr!AP12&lt;&gt;".",s_Irr!BO12="."),s_dir!AR12/((1/1000)*(s_Irr!AP12)),IF(AND(s_Irr!Q12&lt;&gt;".",s_Irr!AP12=".",s_Irr!BO12="."),s_dir!AR12/((1/1000)*(s_Irr!Q12)),IF(AND(s_Irr!Q12=".",s_Irr!AP12=".",s_Irr!BO12="."),s_dir!AR12*1000)))))))),".")</f>
        <v>.</v>
      </c>
      <c r="BS12" s="76" t="str">
        <f>IFERROR(IF(AND(s_Irr!R12&lt;&gt;".",s_Irr!AQ12&lt;&gt;".",s_Irr!BP12&lt;&gt;"."),s_dir!AS12/((1/1000)*(s_Irr!R12+s_Irr!AQ12+s_Irr!BP12)),IF(AND(s_Irr!R12&lt;&gt;".",s_Irr!AQ12&lt;&gt;".",s_Irr!BP12="."),s_dir!AS12/((1/1000)*(s_Irr!R12+s_Irr!AQ12)),IF(AND(s_Irr!R12&lt;&gt;".",s_Irr!AQ12=".",s_Irr!BP12&lt;&gt;"."),s_dir!AS12/((1/1000)*(s_Irr!R12+s_Irr!BP12)),IF(AND(s_Irr!R12=".",s_Irr!AQ12&lt;&gt;".",s_Irr!BP12&lt;&gt;"."),s_dir!AS12/((1/1000)*(s_Irr!AQ12+s_Irr!BP12)),IF(AND(s_Irr!R12=".",s_Irr!AQ12=".",s_Irr!BP12&lt;&gt;"."),s_dir!AS12/((1/1000)*(s_Irr!BP12)),IF(AND(s_Irr!R12=".",s_Irr!AQ12&lt;&gt;".",s_Irr!BP12="."),s_dir!AS12/((1/1000)*(s_Irr!AQ12)),IF(AND(s_Irr!R12&lt;&gt;".",s_Irr!AQ12=".",s_Irr!BP12="."),s_dir!AS12/((1/1000)*(s_Irr!R12)),IF(AND(s_Irr!R12=".",s_Irr!AQ12=".",s_Irr!BP12="."),s_dir!AS12*1000)))))))),".")</f>
        <v>.</v>
      </c>
      <c r="BT12" s="76" t="str">
        <f>IFERROR(IF(AND(s_Irr!S12&lt;&gt;".",s_Irr!AR12&lt;&gt;".",s_Irr!BQ12&lt;&gt;"."),s_dir!AT12/((1/1000)*(s_Irr!S12+s_Irr!AR12+s_Irr!BQ12)),IF(AND(s_Irr!S12&lt;&gt;".",s_Irr!AR12&lt;&gt;".",s_Irr!BQ12="."),s_dir!AT12/((1/1000)*(s_Irr!S12+s_Irr!AR12)),IF(AND(s_Irr!S12&lt;&gt;".",s_Irr!AR12=".",s_Irr!BQ12&lt;&gt;"."),s_dir!AT12/((1/1000)*(s_Irr!S12+s_Irr!BQ12)),IF(AND(s_Irr!S12=".",s_Irr!AR12&lt;&gt;".",s_Irr!BQ12&lt;&gt;"."),s_dir!AT12/((1/1000)*(s_Irr!AR12+s_Irr!BQ12)),IF(AND(s_Irr!S12=".",s_Irr!AR12=".",s_Irr!BQ12&lt;&gt;"."),s_dir!AT12/((1/1000)*(s_Irr!BQ12)),IF(AND(s_Irr!S12=".",s_Irr!AR12&lt;&gt;".",s_Irr!BQ12="."),s_dir!AT12/((1/1000)*(s_Irr!AR12)),IF(AND(s_Irr!S12&lt;&gt;".",s_Irr!AR12=".",s_Irr!BQ12="."),s_dir!AT12/((1/1000)*(s_Irr!S12)),IF(AND(s_Irr!S12=".",s_Irr!AR12=".",s_Irr!BQ12="."),s_dir!AT12*1000)))))))),".")</f>
        <v>.</v>
      </c>
      <c r="BU12" s="76" t="str">
        <f>IFERROR(IF(AND(s_Irr!T12&lt;&gt;".",s_Irr!AS12&lt;&gt;".",s_Irr!BR12&lt;&gt;"."),s_dir!AU12/((1/1000)*(s_Irr!T12+s_Irr!AS12+s_Irr!BR12)),IF(AND(s_Irr!T12&lt;&gt;".",s_Irr!AS12&lt;&gt;".",s_Irr!BR12="."),s_dir!AU12/((1/1000)*(s_Irr!T12+s_Irr!AS12)),IF(AND(s_Irr!T12&lt;&gt;".",s_Irr!AS12=".",s_Irr!BR12&lt;&gt;"."),s_dir!AU12/((1/1000)*(s_Irr!T12+s_Irr!BR12)),IF(AND(s_Irr!T12=".",s_Irr!AS12&lt;&gt;".",s_Irr!BR12&lt;&gt;"."),s_dir!AU12/((1/1000)*(s_Irr!AS12+s_Irr!BR12)),IF(AND(s_Irr!T12=".",s_Irr!AS12=".",s_Irr!BR12&lt;&gt;"."),s_dir!AU12/((1/1000)*(s_Irr!BR12)),IF(AND(s_Irr!T12=".",s_Irr!AS12&lt;&gt;".",s_Irr!BR12="."),s_dir!AU12/((1/1000)*(s_Irr!AS12)),IF(AND(s_Irr!T12&lt;&gt;".",s_Irr!AS12=".",s_Irr!BR12="."),s_dir!AU12/((1/1000)*(s_Irr!T12)),IF(AND(s_Irr!T12=".",s_Irr!AS12=".",s_Irr!BR12="."),s_dir!AU12*1000)))))))),".")</f>
        <v>.</v>
      </c>
      <c r="BV12" s="76" t="str">
        <f>IFERROR(IF(AND(s_Irr!U12&lt;&gt;".",s_Irr!AT12&lt;&gt;".",s_Irr!BS12&lt;&gt;"."),s_dir!AV12/((1/1000)*(s_Irr!U12+s_Irr!AT12+s_Irr!BS12)),IF(AND(s_Irr!U12&lt;&gt;".",s_Irr!AT12&lt;&gt;".",s_Irr!BS12="."),s_dir!AV12/((1/1000)*(s_Irr!U12+s_Irr!AT12)),IF(AND(s_Irr!U12&lt;&gt;".",s_Irr!AT12=".",s_Irr!BS12&lt;&gt;"."),s_dir!AV12/((1/1000)*(s_Irr!U12+s_Irr!BS12)),IF(AND(s_Irr!U12=".",s_Irr!AT12&lt;&gt;".",s_Irr!BS12&lt;&gt;"."),s_dir!AV12/((1/1000)*(s_Irr!AT12+s_Irr!BS12)),IF(AND(s_Irr!U12=".",s_Irr!AT12=".",s_Irr!BS12&lt;&gt;"."),s_dir!AV12/((1/1000)*(s_Irr!BS12)),IF(AND(s_Irr!U12=".",s_Irr!AT12&lt;&gt;".",s_Irr!BS12="."),s_dir!AV12/((1/1000)*(s_Irr!AT12)),IF(AND(s_Irr!U12&lt;&gt;".",s_Irr!AT12=".",s_Irr!BS12="."),s_dir!AV12/((1/1000)*(s_Irr!U12)),IF(AND(s_Irr!U12=".",s_Irr!AT12=".",s_Irr!BS12="."),s_dir!AV12*1000)))))))),".")</f>
        <v>.</v>
      </c>
      <c r="BW12" s="76" t="str">
        <f>IFERROR(IF(AND(s_Irr!V12&lt;&gt;".",s_Irr!AU12&lt;&gt;".",s_Irr!BT12&lt;&gt;"."),s_dir!AW12/((1/1000)*(s_Irr!V12+s_Irr!AU12+s_Irr!BT12)),IF(AND(s_Irr!V12&lt;&gt;".",s_Irr!AU12&lt;&gt;".",s_Irr!BT12="."),s_dir!AW12/((1/1000)*(s_Irr!V12+s_Irr!AU12)),IF(AND(s_Irr!V12&lt;&gt;".",s_Irr!AU12=".",s_Irr!BT12&lt;&gt;"."),s_dir!AW12/((1/1000)*(s_Irr!V12+s_Irr!BT12)),IF(AND(s_Irr!V12=".",s_Irr!AU12&lt;&gt;".",s_Irr!BT12&lt;&gt;"."),s_dir!AW12/((1/1000)*(s_Irr!AU12+s_Irr!BT12)),IF(AND(s_Irr!V12=".",s_Irr!AU12=".",s_Irr!BT12&lt;&gt;"."),s_dir!AW12/((1/1000)*(s_Irr!BT12)),IF(AND(s_Irr!V12=".",s_Irr!AU12&lt;&gt;".",s_Irr!BT12="."),s_dir!AW12/((1/1000)*(s_Irr!AU12)),IF(AND(s_Irr!V12&lt;&gt;".",s_Irr!AU12=".",s_Irr!BT12="."),s_dir!AW12/((1/1000)*(s_Irr!V12)),IF(AND(s_Irr!V12=".",s_Irr!AU12=".",s_Irr!BT12="."),s_dir!AW12*1000)))))))),".")</f>
        <v>.</v>
      </c>
      <c r="BX12" s="76" t="str">
        <f>IFERROR(IF(AND(s_Irr!W12&lt;&gt;".",s_Irr!AV12&lt;&gt;".",s_Irr!BU12&lt;&gt;"."),s_dir!AX12/((1/1000)*(s_Irr!W12+s_Irr!AV12+s_Irr!BU12)),IF(AND(s_Irr!W12&lt;&gt;".",s_Irr!AV12&lt;&gt;".",s_Irr!BU12="."),s_dir!AX12/((1/1000)*(s_Irr!W12+s_Irr!AV12)),IF(AND(s_Irr!W12&lt;&gt;".",s_Irr!AV12=".",s_Irr!BU12&lt;&gt;"."),s_dir!AX12/((1/1000)*(s_Irr!W12+s_Irr!BU12)),IF(AND(s_Irr!W12=".",s_Irr!AV12&lt;&gt;".",s_Irr!BU12&lt;&gt;"."),s_dir!AX12/((1/1000)*(s_Irr!AV12+s_Irr!BU12)),IF(AND(s_Irr!W12=".",s_Irr!AV12=".",s_Irr!BU12&lt;&gt;"."),s_dir!AX12/((1/1000)*(s_Irr!BU12)),IF(AND(s_Irr!W12=".",s_Irr!AV12&lt;&gt;".",s_Irr!BU12="."),s_dir!AX12/((1/1000)*(s_Irr!AV12)),IF(AND(s_Irr!W12&lt;&gt;".",s_Irr!AV12=".",s_Irr!BU12="."),s_dir!AX12/((1/1000)*(s_Irr!W12)),IF(AND(s_Irr!W12=".",s_Irr!AV12=".",s_Irr!BU12="."),s_dir!AX12*1000)))))))),".")</f>
        <v>.</v>
      </c>
      <c r="BY12" s="76" t="str">
        <f>IFERROR(IF(AND(s_Irr!X12&lt;&gt;".",s_Irr!AW12&lt;&gt;".",s_Irr!BV12&lt;&gt;"."),s_dir!AY12/((1/1000)*(s_Irr!X12+s_Irr!AW12+s_Irr!BV12)),IF(AND(s_Irr!X12&lt;&gt;".",s_Irr!AW12&lt;&gt;".",s_Irr!BV12="."),s_dir!AY12/((1/1000)*(s_Irr!X12+s_Irr!AW12)),IF(AND(s_Irr!X12&lt;&gt;".",s_Irr!AW12=".",s_Irr!BV12&lt;&gt;"."),s_dir!AY12/((1/1000)*(s_Irr!X12+s_Irr!BV12)),IF(AND(s_Irr!X12=".",s_Irr!AW12&lt;&gt;".",s_Irr!BV12&lt;&gt;"."),s_dir!AY12/((1/1000)*(s_Irr!AW12+s_Irr!BV12)),IF(AND(s_Irr!X12=".",s_Irr!AW12=".",s_Irr!BV12&lt;&gt;"."),s_dir!AY12/((1/1000)*(s_Irr!BV12)),IF(AND(s_Irr!X12=".",s_Irr!AW12&lt;&gt;".",s_Irr!BV12="."),s_dir!AY12/((1/1000)*(s_Irr!AW12)),IF(AND(s_Irr!X12&lt;&gt;".",s_Irr!AW12=".",s_Irr!BV12="."),s_dir!AY12/((1/1000)*(s_Irr!X12)),IF(AND(s_Irr!X12=".",s_Irr!AW12=".",s_Irr!BV12="."),s_dir!AY12*1000)))))))),".")</f>
        <v>.</v>
      </c>
      <c r="BZ12" s="76" t="str">
        <f>IFERROR(IF(AND(s_Irr!Y12&lt;&gt;".",s_Irr!AX12&lt;&gt;".",s_Irr!BW12&lt;&gt;"."),s_dir!AZ12/((1/1000)*(s_Irr!Y12+s_Irr!AX12+s_Irr!BW12)),IF(AND(s_Irr!Y12&lt;&gt;".",s_Irr!AX12&lt;&gt;".",s_Irr!BW12="."),s_dir!AZ12/((1/1000)*(s_Irr!Y12+s_Irr!AX12)),IF(AND(s_Irr!Y12&lt;&gt;".",s_Irr!AX12=".",s_Irr!BW12&lt;&gt;"."),s_dir!AZ12/((1/1000)*(s_Irr!Y12+s_Irr!BW12)),IF(AND(s_Irr!Y12=".",s_Irr!AX12&lt;&gt;".",s_Irr!BW12&lt;&gt;"."),s_dir!AZ12/((1/1000)*(s_Irr!AX12+s_Irr!BW12)),IF(AND(s_Irr!Y12=".",s_Irr!AX12=".",s_Irr!BW12&lt;&gt;"."),s_dir!AZ12/((1/1000)*(s_Irr!BW12)),IF(AND(s_Irr!Y12=".",s_Irr!AX12&lt;&gt;".",s_Irr!BW12="."),s_dir!AZ12/((1/1000)*(s_Irr!AX12)),IF(AND(s_Irr!Y12&lt;&gt;".",s_Irr!AX12=".",s_Irr!BW12="."),s_dir!AZ12/((1/1000)*(s_Irr!Y12)),IF(AND(s_Irr!Y12=".",s_Irr!AX12=".",s_Irr!BW12="."),s_dir!AZ12*1000)))))))),".")</f>
        <v>.</v>
      </c>
      <c r="CA12" s="76" t="str">
        <f>IFERROR(IF(AND(s_Irr!Z12&lt;&gt;".",s_Irr!AY12&lt;&gt;".",s_Irr!BX12&lt;&gt;"."),s_dir!BA12/((1/1000)*(s_Irr!Z12+s_Irr!AY12+s_Irr!BX12)),IF(AND(s_Irr!Z12&lt;&gt;".",s_Irr!AY12&lt;&gt;".",s_Irr!BX12="."),s_dir!BA12/((1/1000)*(s_Irr!Z12+s_Irr!AY12)),IF(AND(s_Irr!Z12&lt;&gt;".",s_Irr!AY12=".",s_Irr!BX12&lt;&gt;"."),s_dir!BA12/((1/1000)*(s_Irr!Z12+s_Irr!BX12)),IF(AND(s_Irr!Z12=".",s_Irr!AY12&lt;&gt;".",s_Irr!BX12&lt;&gt;"."),s_dir!BA12/((1/1000)*(s_Irr!AY12+s_Irr!BX12)),IF(AND(s_Irr!Z12=".",s_Irr!AY12=".",s_Irr!BX12&lt;&gt;"."),s_dir!BA12/((1/1000)*(s_Irr!BX12)),IF(AND(s_Irr!Z12=".",s_Irr!AY12&lt;&gt;".",s_Irr!BX12="."),s_dir!BA12/((1/1000)*(s_Irr!AY12)),IF(AND(s_Irr!Z12&lt;&gt;".",s_Irr!AY12=".",s_Irr!BX12="."),s_dir!BA12/((1/1000)*(s_Irr!Z12)),IF(AND(s_Irr!Z12=".",s_Irr!AY12=".",s_Irr!BX12="."),s_dir!BA12*1000)))))))),".")</f>
        <v>.</v>
      </c>
      <c r="CB12" s="76" t="str">
        <f>IFERROR(IF(AND(s_Irr!AA12&lt;&gt;".",s_Irr!AZ12&lt;&gt;".",s_Irr!BY12&lt;&gt;"."),s_dir!BB12/((1/1000)*(s_Irr!AA12+s_Irr!AZ12+s_Irr!BY12)),IF(AND(s_Irr!AA12&lt;&gt;".",s_Irr!AZ12&lt;&gt;".",s_Irr!BY12="."),s_dir!BB12/((1/1000)*(s_Irr!AA12+s_Irr!AZ12)),IF(AND(s_Irr!AA12&lt;&gt;".",s_Irr!AZ12=".",s_Irr!BY12&lt;&gt;"."),s_dir!BB12/((1/1000)*(s_Irr!AA12+s_Irr!BY12)),IF(AND(s_Irr!AA12=".",s_Irr!AZ12&lt;&gt;".",s_Irr!BY12&lt;&gt;"."),s_dir!BB12/((1/1000)*(s_Irr!AZ12+s_Irr!BY12)),IF(AND(s_Irr!AA12=".",s_Irr!AZ12=".",s_Irr!BY12&lt;&gt;"."),s_dir!BB12/((1/1000)*(s_Irr!BY12)),IF(AND(s_Irr!AA12=".",s_Irr!AZ12&lt;&gt;".",s_Irr!BY12="."),s_dir!BB12/((1/1000)*(s_Irr!AZ12)),IF(AND(s_Irr!AA12&lt;&gt;".",s_Irr!AZ12=".",s_Irr!BY12="."),s_dir!BB12/((1/1000)*(s_Irr!AA12)),IF(AND(s_Irr!AA12=".",s_Irr!AZ12=".",s_Irr!BY12="."),s_dir!BB12*1000)))))))),".")</f>
        <v>.</v>
      </c>
      <c r="CC12" s="93">
        <f t="shared" si="2"/>
        <v>43140.750340974599</v>
      </c>
      <c r="CD12" s="93">
        <f>IFERROR(s_C*s_IFAP_far_adj*s_CF_apple*(1/1000)*(s_Irr!C12+s_Irr!AB12+s_Irr!BA12),".")</f>
        <v>10785.18758524365</v>
      </c>
      <c r="CE12" s="93">
        <f>IFERROR(s_C*s_IFAS_far_adj*s_CF_asparagus*(1/1000)*(s_Irr!D12+s_Irr!AC12+s_Irr!BB12),".")</f>
        <v>10785.18758524365</v>
      </c>
      <c r="CF12" s="93">
        <f>IFERROR(s_C*s_IFBT_far_adj*s_CF_beet*(1/1000)*(s_Irr!E12+s_Irr!AD12+s_Irr!BC12),".")</f>
        <v>10785.18758524365</v>
      </c>
      <c r="CG12" s="93">
        <f>IFERROR(s_C*s_IFBE_far_adj*s_CF_berries*(1/1000)*(s_Irr!F12+s_Irr!AE12+s_Irr!BD12),".")</f>
        <v>10785.18758524365</v>
      </c>
      <c r="CH12" s="93">
        <f>IFERROR(s_C*s_IFBR_far_adj*s_CF_broccoli*(1/1000)*(s_Irr!G12+s_Irr!AF12+s_Irr!BE12),".")</f>
        <v>10785.18758524365</v>
      </c>
      <c r="CI12" s="93">
        <f>IFERROR(s_C*s_IFCB_far_adj*s_CF_cabbage*(1/1000)*(s_Irr!H12+s_Irr!AG12+s_Irr!BF12),".")</f>
        <v>10785.18758524365</v>
      </c>
      <c r="CJ12" s="93">
        <f>IFERROR(s_C*s_IFCR_far_adj*s_CF_carrot*(1/1000)*(s_Irr!I12+s_Irr!AH12+s_Irr!BG12),".")</f>
        <v>10785.18758524365</v>
      </c>
      <c r="CK12" s="93">
        <f>IFERROR(s_C*s_IFCI_far_adj*s_CF_citrus*(1/1000)*(s_Irr!J12+s_Irr!AI12+s_Irr!BH12),".")</f>
        <v>10785.18758524365</v>
      </c>
      <c r="CL12" s="93">
        <f>IFERROR(s_C*s_IFCO_far_adj*s_CF_corn*(1/1000)*(s_Irr!K12+s_Irr!AJ12+s_Irr!BI12),".")</f>
        <v>10785.18758524365</v>
      </c>
      <c r="CM12" s="93">
        <f>IFERROR(s_C*s_IFCU_far_adj*s_CF_cucumber*(1/1000)*(s_Irr!L12+s_Irr!AK12+s_Irr!BJ12),".")</f>
        <v>10785.18758524365</v>
      </c>
      <c r="CN12" s="93">
        <f>IFERROR(s_C*s_IFLE_far_adj*s_CF_lettuce*(1/1000)*(s_Irr!M12+s_Irr!AL12+s_Irr!BK12),".")</f>
        <v>10785.18758524365</v>
      </c>
      <c r="CO12" s="93">
        <f>IFERROR(s_C*s_IFLI_far_adj*s_CF_lima_bean*(1/1000)*(s_Irr!N12+s_Irr!AM12+s_Irr!BL12),".")</f>
        <v>10785.18758524365</v>
      </c>
      <c r="CP12" s="93">
        <f>IFERROR(s_C*s_IFOK_far_adj*s_CF_okra*(1/1000)*(s_Irr!O12+s_Irr!AN12+s_Irr!BM12),".")</f>
        <v>10785.18758524365</v>
      </c>
      <c r="CQ12" s="93">
        <f>IFERROR(s_C*s_IFON_far_adj*s_CF_onion*(1/1000)*(s_Irr!P12+s_Irr!AO12+s_Irr!BN12),".")</f>
        <v>10785.18758524365</v>
      </c>
      <c r="CR12" s="93">
        <f>IFERROR(s_C*s_IFPC_far_adj*s_CF_peach*(1/1000)*(s_Irr!Q12+s_Irr!AP12+s_Irr!BO12),".")</f>
        <v>10785.18758524365</v>
      </c>
      <c r="CS12" s="93">
        <f>IFERROR(s_C*s_IFPR_far_adj*s_CF_pear*(1/1000)*(s_Irr!R12+s_Irr!AQ12+s_Irr!BP12),".")</f>
        <v>10785.18758524365</v>
      </c>
      <c r="CT12" s="93">
        <f>IFERROR(s_C*s_IFPE_far_adj*s_CF_peas*(1/1000)*(s_Irr!S12+s_Irr!AR12+s_Irr!BQ12),".")</f>
        <v>10785.18758524365</v>
      </c>
      <c r="CU12" s="93">
        <f>IFERROR(s_C*s_IFPP_far_adj*s_CF_peppers*(1/1000)*(s_Irr!T12+s_Irr!AS12+s_Irr!BR12),".")</f>
        <v>10785.18758524365</v>
      </c>
      <c r="CV12" s="93">
        <f>IFERROR(s_C*s_IFPT_far_adj*s_CF_potato*(1/1000)*(s_Irr!U12+s_Irr!AT12+s_Irr!BS12),".")</f>
        <v>10785.18758524365</v>
      </c>
      <c r="CW12" s="93">
        <f>IFERROR(s_C*s_IFPU_far_adj*s_CF_pumpkin*(1/1000)*(s_Irr!V12+s_Irr!AU12+s_Irr!BT12),".")</f>
        <v>10785.18758524365</v>
      </c>
      <c r="CX12" s="93">
        <f>IFERROR(s_C*s_IFSN_far_adj*s_CF_snap_bean*(1/1000)*(s_Irr!W12+s_Irr!AV12+s_Irr!BU12),".")</f>
        <v>10785.18758524365</v>
      </c>
      <c r="CY12" s="93">
        <f>IFERROR(s_C*s_IFST_far_adj*s_CF_strawberry*(1/1000)*(s_Irr!X12+s_Irr!AW12+s_Irr!BV12),".")</f>
        <v>10785.18758524365</v>
      </c>
      <c r="CZ12" s="93">
        <f>IFERROR(s_C*s_IFTO_far_adj*s_CF_tomato*(1/1000)*(s_Irr!Y12+s_Irr!AX12+s_Irr!BW12),".")</f>
        <v>10785.18758524365</v>
      </c>
      <c r="DA12" s="93">
        <f>IFERROR(s_C*s_IFRI_far_adj*s_CF_rice*(1/1000)*(s_Irr!Z12+s_Irr!AY12+s_Irr!BX12),".")</f>
        <v>10785.18758524365</v>
      </c>
      <c r="DB12" s="93">
        <f>IFERROR(s_C*s_IFCG_far_adj*s_CF_cereal*(1/1000)*(s_Irr!AA12+s_Irr!AZ12+s_Irr!BY12),".")</f>
        <v>10785.18758524365</v>
      </c>
    </row>
    <row r="13" spans="1:106" ht="15" customHeight="1" x14ac:dyDescent="0.25">
      <c r="A13" s="92" t="s">
        <v>23</v>
      </c>
      <c r="B13" s="90" t="s">
        <v>1071</v>
      </c>
      <c r="C13" s="15">
        <f t="shared" si="3"/>
        <v>72.555426051028576</v>
      </c>
      <c r="D13" s="76">
        <f>IFERROR(IF(AND(s_Irr!C13&lt;&gt;".",s_Irr!AB13&lt;&gt;".",s_Irr!BA13&lt;&gt;"."),s_dir!D13/((1/1000)*(s_Irr!C13+s_Irr!AB13+s_Irr!BA13)),IF(AND(s_Irr!C13&lt;&gt;".",s_Irr!AB13&lt;&gt;".",s_Irr!BA13="."),s_dir!D13/((1/1000)*(s_Irr!C13+s_Irr!AB13)),IF(AND(s_Irr!C13&lt;&gt;".",s_Irr!AB13=".",s_Irr!BA13&lt;&gt;"."),s_dir!D13/((1/1000)*(s_Irr!C13+s_Irr!BA13)),IF(AND(s_Irr!C13=".",s_Irr!AB13&lt;&gt;".",s_Irr!BA13&lt;&gt;"."),s_dir!D13/((1/1000)*(s_Irr!AB13+s_Irr!BA13)),IF(AND(s_Irr!C13=".",s_Irr!AB13=".",s_Irr!BA13&lt;&gt;"."),s_dir!D13/((1/1000)*(s_Irr!BA13)),IF(AND(s_Irr!C13=".",s_Irr!AB13&lt;&gt;".",s_Irr!BA13="."),s_dir!D13/((1/1000)*(s_Irr!AB13)),IF(AND(s_Irr!C13&lt;&gt;".",s_Irr!AB13=".",s_Irr!BA13="."),s_dir!D13/((1/1000)*(s_Irr!C13)),IF(AND(s_Irr!C13=".",s_Irr!AB13=".",s_Irr!BA13="."),s_dir!D13*1000)))))))),".")</f>
        <v>339.27343235784298</v>
      </c>
      <c r="E13" s="76">
        <f>IFERROR(IF(AND(s_Irr!D13&lt;&gt;".",s_Irr!AC13&lt;&gt;".",s_Irr!BB13&lt;&gt;"."),s_dir!E13/((1/1000)*(s_Irr!D13+s_Irr!AC13+s_Irr!BB13)),IF(AND(s_Irr!D13&lt;&gt;".",s_Irr!AC13&lt;&gt;".",s_Irr!BB13="."),s_dir!E13/((1/1000)*(s_Irr!D13+s_Irr!AC13)),IF(AND(s_Irr!D13&lt;&gt;".",s_Irr!AC13=".",s_Irr!BB13&lt;&gt;"."),s_dir!E13/((1/1000)*(s_Irr!D13+s_Irr!BB13)),IF(AND(s_Irr!D13=".",s_Irr!AC13&lt;&gt;".",s_Irr!BB13&lt;&gt;"."),s_dir!E13/((1/1000)*(s_Irr!AC13+s_Irr!BB13)),IF(AND(s_Irr!D13=".",s_Irr!AC13=".",s_Irr!BB13&lt;&gt;"."),s_dir!E13/((1/1000)*(s_Irr!BB13)),IF(AND(s_Irr!D13=".",s_Irr!AC13&lt;&gt;".",s_Irr!BB13="."),s_dir!E13/((1/1000)*(s_Irr!AC13)),IF(AND(s_Irr!D13&lt;&gt;".",s_Irr!AC13=".",s_Irr!BB13="."),s_dir!E13/((1/1000)*(s_Irr!D13)),IF(AND(s_Irr!D13=".",s_Irr!AC13=".",s_Irr!BB13="."),s_dir!E13*1000)))))))),".")</f>
        <v>233.77705118813356</v>
      </c>
      <c r="F13" s="76">
        <f>IFERROR(IF(AND(s_Irr!E13&lt;&gt;".",s_Irr!AD13&lt;&gt;".",s_Irr!BC13&lt;&gt;"."),s_dir!F13/((1/1000)*(s_Irr!E13+s_Irr!AD13+s_Irr!BC13)),IF(AND(s_Irr!E13&lt;&gt;".",s_Irr!AD13&lt;&gt;".",s_Irr!BC13="."),s_dir!F13/((1/1000)*(s_Irr!E13+s_Irr!AD13)),IF(AND(s_Irr!E13&lt;&gt;".",s_Irr!AD13=".",s_Irr!BC13&lt;&gt;"."),s_dir!F13/((1/1000)*(s_Irr!E13+s_Irr!BC13)),IF(AND(s_Irr!E13=".",s_Irr!AD13&lt;&gt;".",s_Irr!BC13&lt;&gt;"."),s_dir!F13/((1/1000)*(s_Irr!AD13+s_Irr!BC13)),IF(AND(s_Irr!E13=".",s_Irr!AD13=".",s_Irr!BC13&lt;&gt;"."),s_dir!F13/((1/1000)*(s_Irr!BC13)),IF(AND(s_Irr!E13=".",s_Irr!AD13&lt;&gt;".",s_Irr!BC13="."),s_dir!F13/((1/1000)*(s_Irr!AD13)),IF(AND(s_Irr!E13&lt;&gt;".",s_Irr!AD13=".",s_Irr!BC13="."),s_dir!F13/((1/1000)*(s_Irr!E13)),IF(AND(s_Irr!E13=".",s_Irr!AD13=".",s_Irr!BC13="."),s_dir!F13*1000)))))))),".")</f>
        <v>248.2315639302395</v>
      </c>
      <c r="G13" s="76">
        <f>IFERROR(IF(AND(s_Irr!F13&lt;&gt;".",s_Irr!AE13&lt;&gt;".",s_Irr!BD13&lt;&gt;"."),s_dir!G13/((1/1000)*(s_Irr!F13+s_Irr!AE13+s_Irr!BD13)),IF(AND(s_Irr!F13&lt;&gt;".",s_Irr!AE13&lt;&gt;".",s_Irr!BD13="."),s_dir!G13/((1/1000)*(s_Irr!F13+s_Irr!AE13)),IF(AND(s_Irr!F13&lt;&gt;".",s_Irr!AE13=".",s_Irr!BD13&lt;&gt;"."),s_dir!G13/((1/1000)*(s_Irr!F13+s_Irr!BD13)),IF(AND(s_Irr!F13=".",s_Irr!AE13&lt;&gt;".",s_Irr!BD13&lt;&gt;"."),s_dir!G13/((1/1000)*(s_Irr!AE13+s_Irr!BD13)),IF(AND(s_Irr!F13=".",s_Irr!AE13=".",s_Irr!BD13&lt;&gt;"."),s_dir!G13/((1/1000)*(s_Irr!BD13)),IF(AND(s_Irr!F13=".",s_Irr!AE13&lt;&gt;".",s_Irr!BD13="."),s_dir!G13/((1/1000)*(s_Irr!AE13)),IF(AND(s_Irr!F13&lt;&gt;".",s_Irr!AE13=".",s_Irr!BD13="."),s_dir!G13/((1/1000)*(s_Irr!F13)),IF(AND(s_Irr!F13=".",s_Irr!AE13=".",s_Irr!BD13="."),s_dir!G13*1000)))))))),".")</f>
        <v>339.27343235784298</v>
      </c>
      <c r="H13" s="76">
        <f>IFERROR(IF(AND(s_Irr!G13&lt;&gt;".",s_Irr!AF13&lt;&gt;".",s_Irr!BE13&lt;&gt;"."),s_dir!H13/((1/1000)*(s_Irr!G13+s_Irr!AF13+s_Irr!BE13)),IF(AND(s_Irr!G13&lt;&gt;".",s_Irr!AF13&lt;&gt;".",s_Irr!BE13="."),s_dir!H13/((1/1000)*(s_Irr!G13+s_Irr!AF13)),IF(AND(s_Irr!G13&lt;&gt;".",s_Irr!AF13=".",s_Irr!BE13&lt;&gt;"."),s_dir!H13/((1/1000)*(s_Irr!G13+s_Irr!BE13)),IF(AND(s_Irr!G13=".",s_Irr!AF13&lt;&gt;".",s_Irr!BE13&lt;&gt;"."),s_dir!H13/((1/1000)*(s_Irr!AF13+s_Irr!BE13)),IF(AND(s_Irr!G13=".",s_Irr!AF13=".",s_Irr!BE13&lt;&gt;"."),s_dir!H13/((1/1000)*(s_Irr!BE13)),IF(AND(s_Irr!G13=".",s_Irr!AF13&lt;&gt;".",s_Irr!BE13="."),s_dir!H13/((1/1000)*(s_Irr!AF13)),IF(AND(s_Irr!G13&lt;&gt;".",s_Irr!AF13=".",s_Irr!BE13="."),s_dir!H13/((1/1000)*(s_Irr!G13)),IF(AND(s_Irr!G13=".",s_Irr!AF13=".",s_Irr!BE13="."),s_dir!H13*1000)))))))),".")</f>
        <v>261.14911306773627</v>
      </c>
      <c r="I13" s="76">
        <f>IFERROR(IF(AND(s_Irr!H13&lt;&gt;".",s_Irr!AG13&lt;&gt;".",s_Irr!BF13&lt;&gt;"."),s_dir!I13/((1/1000)*(s_Irr!H13+s_Irr!AG13+s_Irr!BF13)),IF(AND(s_Irr!H13&lt;&gt;".",s_Irr!AG13&lt;&gt;".",s_Irr!BF13="."),s_dir!I13/((1/1000)*(s_Irr!H13+s_Irr!AG13)),IF(AND(s_Irr!H13&lt;&gt;".",s_Irr!AG13=".",s_Irr!BF13&lt;&gt;"."),s_dir!I13/((1/1000)*(s_Irr!H13+s_Irr!BF13)),IF(AND(s_Irr!H13=".",s_Irr!AG13&lt;&gt;".",s_Irr!BF13&lt;&gt;"."),s_dir!I13/((1/1000)*(s_Irr!AG13+s_Irr!BF13)),IF(AND(s_Irr!H13=".",s_Irr!AG13=".",s_Irr!BF13&lt;&gt;"."),s_dir!I13/((1/1000)*(s_Irr!BF13)),IF(AND(s_Irr!H13=".",s_Irr!AG13&lt;&gt;".",s_Irr!BF13="."),s_dir!I13/((1/1000)*(s_Irr!AG13)),IF(AND(s_Irr!H13&lt;&gt;".",s_Irr!AG13=".",s_Irr!BF13="."),s_dir!I13/((1/1000)*(s_Irr!H13)),IF(AND(s_Irr!H13=".",s_Irr!AG13=".",s_Irr!BF13="."),s_dir!I13*1000)))))))),".")</f>
        <v>233.77705118813356</v>
      </c>
      <c r="J13" s="76">
        <f>IFERROR(IF(AND(s_Irr!I13&lt;&gt;".",s_Irr!AH13&lt;&gt;".",s_Irr!BG13&lt;&gt;"."),s_dir!J13/((1/1000)*(s_Irr!I13+s_Irr!AH13+s_Irr!BG13)),IF(AND(s_Irr!I13&lt;&gt;".",s_Irr!AH13&lt;&gt;".",s_Irr!BG13="."),s_dir!J13/((1/1000)*(s_Irr!I13+s_Irr!AH13)),IF(AND(s_Irr!I13&lt;&gt;".",s_Irr!AH13=".",s_Irr!BG13&lt;&gt;"."),s_dir!J13/((1/1000)*(s_Irr!I13+s_Irr!BG13)),IF(AND(s_Irr!I13=".",s_Irr!AH13&lt;&gt;".",s_Irr!BG13&lt;&gt;"."),s_dir!J13/((1/1000)*(s_Irr!AH13+s_Irr!BG13)),IF(AND(s_Irr!I13=".",s_Irr!AH13=".",s_Irr!BG13&lt;&gt;"."),s_dir!J13/((1/1000)*(s_Irr!BG13)),IF(AND(s_Irr!I13=".",s_Irr!AH13&lt;&gt;".",s_Irr!BG13="."),s_dir!J13/((1/1000)*(s_Irr!AH13)),IF(AND(s_Irr!I13&lt;&gt;".",s_Irr!AH13=".",s_Irr!BG13="."),s_dir!J13/((1/1000)*(s_Irr!I13)),IF(AND(s_Irr!I13=".",s_Irr!AH13=".",s_Irr!BG13="."),s_dir!J13*1000)))))))),".")</f>
        <v>248.2315639302395</v>
      </c>
      <c r="K13" s="76">
        <f>IFERROR(IF(AND(s_Irr!J13&lt;&gt;".",s_Irr!AI13&lt;&gt;".",s_Irr!BH13&lt;&gt;"."),s_dir!K13/((1/1000)*(s_Irr!J13+s_Irr!AI13+s_Irr!BH13)),IF(AND(s_Irr!J13&lt;&gt;".",s_Irr!AI13&lt;&gt;".",s_Irr!BH13="."),s_dir!K13/((1/1000)*(s_Irr!J13+s_Irr!AI13)),IF(AND(s_Irr!J13&lt;&gt;".",s_Irr!AI13=".",s_Irr!BH13&lt;&gt;"."),s_dir!K13/((1/1000)*(s_Irr!J13+s_Irr!BH13)),IF(AND(s_Irr!J13=".",s_Irr!AI13&lt;&gt;".",s_Irr!BH13&lt;&gt;"."),s_dir!K13/((1/1000)*(s_Irr!AI13+s_Irr!BH13)),IF(AND(s_Irr!J13=".",s_Irr!AI13=".",s_Irr!BH13&lt;&gt;"."),s_dir!K13/((1/1000)*(s_Irr!BH13)),IF(AND(s_Irr!J13=".",s_Irr!AI13&lt;&gt;".",s_Irr!BH13="."),s_dir!K13/((1/1000)*(s_Irr!AI13)),IF(AND(s_Irr!J13&lt;&gt;".",s_Irr!AI13=".",s_Irr!BH13="."),s_dir!K13/((1/1000)*(s_Irr!J13)),IF(AND(s_Irr!J13=".",s_Irr!AI13=".",s_Irr!BH13="."),s_dir!K13*1000)))))))),".")</f>
        <v>339.27343235784298</v>
      </c>
      <c r="L13" s="76">
        <f>IFERROR(IF(AND(s_Irr!K13&lt;&gt;".",s_Irr!AJ13&lt;&gt;".",s_Irr!BI13&lt;&gt;"."),s_dir!L13/((1/1000)*(s_Irr!K13+s_Irr!AJ13+s_Irr!BI13)),IF(AND(s_Irr!K13&lt;&gt;".",s_Irr!AJ13&lt;&gt;".",s_Irr!BI13="."),s_dir!L13/((1/1000)*(s_Irr!K13+s_Irr!AJ13)),IF(AND(s_Irr!K13&lt;&gt;".",s_Irr!AJ13=".",s_Irr!BI13&lt;&gt;"."),s_dir!L13/((1/1000)*(s_Irr!K13+s_Irr!BI13)),IF(AND(s_Irr!K13=".",s_Irr!AJ13&lt;&gt;".",s_Irr!BI13&lt;&gt;"."),s_dir!L13/((1/1000)*(s_Irr!AJ13+s_Irr!BI13)),IF(AND(s_Irr!K13=".",s_Irr!AJ13=".",s_Irr!BI13&lt;&gt;"."),s_dir!L13/((1/1000)*(s_Irr!BI13)),IF(AND(s_Irr!K13=".",s_Irr!AJ13&lt;&gt;".",s_Irr!BI13="."),s_dir!L13/((1/1000)*(s_Irr!AJ13)),IF(AND(s_Irr!K13&lt;&gt;".",s_Irr!AJ13=".",s_Irr!BI13="."),s_dir!L13/((1/1000)*(s_Irr!K13)),IF(AND(s_Irr!K13=".",s_Irr!AJ13=".",s_Irr!BI13="."),s_dir!L13*1000)))))))),".")</f>
        <v>315.29329462624094</v>
      </c>
      <c r="M13" s="76">
        <f>IFERROR(IF(AND(s_Irr!L13&lt;&gt;".",s_Irr!AK13&lt;&gt;".",s_Irr!BJ13&lt;&gt;"."),s_dir!M13/((1/1000)*(s_Irr!L13+s_Irr!AK13+s_Irr!BJ13)),IF(AND(s_Irr!L13&lt;&gt;".",s_Irr!AK13&lt;&gt;".",s_Irr!BJ13="."),s_dir!M13/((1/1000)*(s_Irr!L13+s_Irr!AK13)),IF(AND(s_Irr!L13&lt;&gt;".",s_Irr!AK13=".",s_Irr!BJ13&lt;&gt;"."),s_dir!M13/((1/1000)*(s_Irr!L13+s_Irr!BJ13)),IF(AND(s_Irr!L13=".",s_Irr!AK13&lt;&gt;".",s_Irr!BJ13&lt;&gt;"."),s_dir!M13/((1/1000)*(s_Irr!AK13+s_Irr!BJ13)),IF(AND(s_Irr!L13=".",s_Irr!AK13=".",s_Irr!BJ13&lt;&gt;"."),s_dir!M13/((1/1000)*(s_Irr!BJ13)),IF(AND(s_Irr!L13=".",s_Irr!AK13&lt;&gt;".",s_Irr!BJ13="."),s_dir!M13/((1/1000)*(s_Irr!AK13)),IF(AND(s_Irr!L13&lt;&gt;".",s_Irr!AK13=".",s_Irr!BJ13="."),s_dir!M13/((1/1000)*(s_Irr!L13)),IF(AND(s_Irr!L13=".",s_Irr!AK13=".",s_Irr!BJ13="."),s_dir!M13*1000)))))))),".")</f>
        <v>261.14911306773627</v>
      </c>
      <c r="N13" s="76">
        <f>IFERROR(IF(AND(s_Irr!M13&lt;&gt;".",s_Irr!AL13&lt;&gt;".",s_Irr!BK13&lt;&gt;"."),s_dir!N13/((1/1000)*(s_Irr!M13+s_Irr!AL13+s_Irr!BK13)),IF(AND(s_Irr!M13&lt;&gt;".",s_Irr!AL13&lt;&gt;".",s_Irr!BK13="."),s_dir!N13/((1/1000)*(s_Irr!M13+s_Irr!AL13)),IF(AND(s_Irr!M13&lt;&gt;".",s_Irr!AL13=".",s_Irr!BK13&lt;&gt;"."),s_dir!N13/((1/1000)*(s_Irr!M13+s_Irr!BK13)),IF(AND(s_Irr!M13=".",s_Irr!AL13&lt;&gt;".",s_Irr!BK13&lt;&gt;"."),s_dir!N13/((1/1000)*(s_Irr!AL13+s_Irr!BK13)),IF(AND(s_Irr!M13=".",s_Irr!AL13=".",s_Irr!BK13&lt;&gt;"."),s_dir!N13/((1/1000)*(s_Irr!BK13)),IF(AND(s_Irr!M13=".",s_Irr!AL13&lt;&gt;".",s_Irr!BK13="."),s_dir!N13/((1/1000)*(s_Irr!AL13)),IF(AND(s_Irr!M13&lt;&gt;".",s_Irr!AL13=".",s_Irr!BK13="."),s_dir!N13/((1/1000)*(s_Irr!M13)),IF(AND(s_Irr!M13=".",s_Irr!AL13=".",s_Irr!BK13="."),s_dir!N13*1000)))))))),".")</f>
        <v>233.77705118813356</v>
      </c>
      <c r="O13" s="76">
        <f>IFERROR(IF(AND(s_Irr!N13&lt;&gt;".",s_Irr!AM13&lt;&gt;".",s_Irr!BL13&lt;&gt;"."),s_dir!O13/((1/1000)*(s_Irr!N13+s_Irr!AM13+s_Irr!BL13)),IF(AND(s_Irr!N13&lt;&gt;".",s_Irr!AM13&lt;&gt;".",s_Irr!BL13="."),s_dir!O13/((1/1000)*(s_Irr!N13+s_Irr!AM13)),IF(AND(s_Irr!N13&lt;&gt;".",s_Irr!AM13=".",s_Irr!BL13&lt;&gt;"."),s_dir!O13/((1/1000)*(s_Irr!N13+s_Irr!BL13)),IF(AND(s_Irr!N13=".",s_Irr!AM13&lt;&gt;".",s_Irr!BL13&lt;&gt;"."),s_dir!O13/((1/1000)*(s_Irr!AM13+s_Irr!BL13)),IF(AND(s_Irr!N13=".",s_Irr!AM13=".",s_Irr!BL13&lt;&gt;"."),s_dir!O13/((1/1000)*(s_Irr!BL13)),IF(AND(s_Irr!N13=".",s_Irr!AM13&lt;&gt;".",s_Irr!BL13="."),s_dir!O13/((1/1000)*(s_Irr!AM13)),IF(AND(s_Irr!N13&lt;&gt;".",s_Irr!AM13=".",s_Irr!BL13="."),s_dir!O13/((1/1000)*(s_Irr!N13)),IF(AND(s_Irr!N13=".",s_Irr!AM13=".",s_Irr!BL13="."),s_dir!O13*1000)))))))),".")</f>
        <v>264.59133401700382</v>
      </c>
      <c r="P13" s="76">
        <f>IFERROR(IF(AND(s_Irr!O13&lt;&gt;".",s_Irr!AN13&lt;&gt;".",s_Irr!BM13&lt;&gt;"."),s_dir!P13/((1/1000)*(s_Irr!O13+s_Irr!AN13+s_Irr!BM13)),IF(AND(s_Irr!O13&lt;&gt;".",s_Irr!AN13&lt;&gt;".",s_Irr!BM13="."),s_dir!P13/((1/1000)*(s_Irr!O13+s_Irr!AN13)),IF(AND(s_Irr!O13&lt;&gt;".",s_Irr!AN13=".",s_Irr!BM13&lt;&gt;"."),s_dir!P13/((1/1000)*(s_Irr!O13+s_Irr!BM13)),IF(AND(s_Irr!O13=".",s_Irr!AN13&lt;&gt;".",s_Irr!BM13&lt;&gt;"."),s_dir!P13/((1/1000)*(s_Irr!AN13+s_Irr!BM13)),IF(AND(s_Irr!O13=".",s_Irr!AN13=".",s_Irr!BM13&lt;&gt;"."),s_dir!P13/((1/1000)*(s_Irr!BM13)),IF(AND(s_Irr!O13=".",s_Irr!AN13&lt;&gt;".",s_Irr!BM13="."),s_dir!P13/((1/1000)*(s_Irr!AN13)),IF(AND(s_Irr!O13&lt;&gt;".",s_Irr!AN13=".",s_Irr!BM13="."),s_dir!P13/((1/1000)*(s_Irr!O13)),IF(AND(s_Irr!O13=".",s_Irr!AN13=".",s_Irr!BM13="."),s_dir!P13*1000)))))))),".")</f>
        <v>261.14911306773627</v>
      </c>
      <c r="Q13" s="76">
        <f>IFERROR(IF(AND(s_Irr!P13&lt;&gt;".",s_Irr!AO13&lt;&gt;".",s_Irr!BN13&lt;&gt;"."),s_dir!Q13/((1/1000)*(s_Irr!P13+s_Irr!AO13+s_Irr!BN13)),IF(AND(s_Irr!P13&lt;&gt;".",s_Irr!AO13&lt;&gt;".",s_Irr!BN13="."),s_dir!Q13/((1/1000)*(s_Irr!P13+s_Irr!AO13)),IF(AND(s_Irr!P13&lt;&gt;".",s_Irr!AO13=".",s_Irr!BN13&lt;&gt;"."),s_dir!Q13/((1/1000)*(s_Irr!P13+s_Irr!BN13)),IF(AND(s_Irr!P13=".",s_Irr!AO13&lt;&gt;".",s_Irr!BN13&lt;&gt;"."),s_dir!Q13/((1/1000)*(s_Irr!AO13+s_Irr!BN13)),IF(AND(s_Irr!P13=".",s_Irr!AO13=".",s_Irr!BN13&lt;&gt;"."),s_dir!Q13/((1/1000)*(s_Irr!BN13)),IF(AND(s_Irr!P13=".",s_Irr!AO13&lt;&gt;".",s_Irr!BN13="."),s_dir!Q13/((1/1000)*(s_Irr!AO13)),IF(AND(s_Irr!P13&lt;&gt;".",s_Irr!AO13=".",s_Irr!BN13="."),s_dir!Q13/((1/1000)*(s_Irr!P13)),IF(AND(s_Irr!P13=".",s_Irr!AO13=".",s_Irr!BN13="."),s_dir!Q13*1000)))))))),".")</f>
        <v>248.2315639302395</v>
      </c>
      <c r="R13" s="76">
        <f>IFERROR(IF(AND(s_Irr!Q13&lt;&gt;".",s_Irr!AP13&lt;&gt;".",s_Irr!BO13&lt;&gt;"."),s_dir!R13/((1/1000)*(s_Irr!Q13+s_Irr!AP13+s_Irr!BO13)),IF(AND(s_Irr!Q13&lt;&gt;".",s_Irr!AP13&lt;&gt;".",s_Irr!BO13="."),s_dir!R13/((1/1000)*(s_Irr!Q13+s_Irr!AP13)),IF(AND(s_Irr!Q13&lt;&gt;".",s_Irr!AP13=".",s_Irr!BO13&lt;&gt;"."),s_dir!R13/((1/1000)*(s_Irr!Q13+s_Irr!BO13)),IF(AND(s_Irr!Q13=".",s_Irr!AP13&lt;&gt;".",s_Irr!BO13&lt;&gt;"."),s_dir!R13/((1/1000)*(s_Irr!AP13+s_Irr!BO13)),IF(AND(s_Irr!Q13=".",s_Irr!AP13=".",s_Irr!BO13&lt;&gt;"."),s_dir!R13/((1/1000)*(s_Irr!BO13)),IF(AND(s_Irr!Q13=".",s_Irr!AP13&lt;&gt;".",s_Irr!BO13="."),s_dir!R13/((1/1000)*(s_Irr!AP13)),IF(AND(s_Irr!Q13&lt;&gt;".",s_Irr!AP13=".",s_Irr!BO13="."),s_dir!R13/((1/1000)*(s_Irr!Q13)),IF(AND(s_Irr!Q13=".",s_Irr!AP13=".",s_Irr!BO13="."),s_dir!R13*1000)))))))),".")</f>
        <v>339.27343235784298</v>
      </c>
      <c r="S13" s="76">
        <f>IFERROR(IF(AND(s_Irr!R13&lt;&gt;".",s_Irr!AQ13&lt;&gt;".",s_Irr!BP13&lt;&gt;"."),s_dir!S13/((1/1000)*(s_Irr!R13+s_Irr!AQ13+s_Irr!BP13)),IF(AND(s_Irr!R13&lt;&gt;".",s_Irr!AQ13&lt;&gt;".",s_Irr!BP13="."),s_dir!S13/((1/1000)*(s_Irr!R13+s_Irr!AQ13)),IF(AND(s_Irr!R13&lt;&gt;".",s_Irr!AQ13=".",s_Irr!BP13&lt;&gt;"."),s_dir!S13/((1/1000)*(s_Irr!R13+s_Irr!BP13)),IF(AND(s_Irr!R13=".",s_Irr!AQ13&lt;&gt;".",s_Irr!BP13&lt;&gt;"."),s_dir!S13/((1/1000)*(s_Irr!AQ13+s_Irr!BP13)),IF(AND(s_Irr!R13=".",s_Irr!AQ13=".",s_Irr!BP13&lt;&gt;"."),s_dir!S13/((1/1000)*(s_Irr!BP13)),IF(AND(s_Irr!R13=".",s_Irr!AQ13&lt;&gt;".",s_Irr!BP13="."),s_dir!S13/((1/1000)*(s_Irr!AQ13)),IF(AND(s_Irr!R13&lt;&gt;".",s_Irr!AQ13=".",s_Irr!BP13="."),s_dir!S13/((1/1000)*(s_Irr!R13)),IF(AND(s_Irr!R13=".",s_Irr!AQ13=".",s_Irr!BP13="."),s_dir!S13*1000)))))))),".")</f>
        <v>339.27343235784298</v>
      </c>
      <c r="T13" s="76">
        <f>IFERROR(IF(AND(s_Irr!S13&lt;&gt;".",s_Irr!AR13&lt;&gt;".",s_Irr!BQ13&lt;&gt;"."),s_dir!T13/((1/1000)*(s_Irr!S13+s_Irr!AR13+s_Irr!BQ13)),IF(AND(s_Irr!S13&lt;&gt;".",s_Irr!AR13&lt;&gt;".",s_Irr!BQ13="."),s_dir!T13/((1/1000)*(s_Irr!S13+s_Irr!AR13)),IF(AND(s_Irr!S13&lt;&gt;".",s_Irr!AR13=".",s_Irr!BQ13&lt;&gt;"."),s_dir!T13/((1/1000)*(s_Irr!S13+s_Irr!BQ13)),IF(AND(s_Irr!S13=".",s_Irr!AR13&lt;&gt;".",s_Irr!BQ13&lt;&gt;"."),s_dir!T13/((1/1000)*(s_Irr!AR13+s_Irr!BQ13)),IF(AND(s_Irr!S13=".",s_Irr!AR13=".",s_Irr!BQ13&lt;&gt;"."),s_dir!T13/((1/1000)*(s_Irr!BQ13)),IF(AND(s_Irr!S13=".",s_Irr!AR13&lt;&gt;".",s_Irr!BQ13="."),s_dir!T13/((1/1000)*(s_Irr!AR13)),IF(AND(s_Irr!S13&lt;&gt;".",s_Irr!AR13=".",s_Irr!BQ13="."),s_dir!T13/((1/1000)*(s_Irr!S13)),IF(AND(s_Irr!S13=".",s_Irr!AR13=".",s_Irr!BQ13="."),s_dir!T13*1000)))))))),".")</f>
        <v>264.59133401700382</v>
      </c>
      <c r="U13" s="76">
        <f>IFERROR(IF(AND(s_Irr!T13&lt;&gt;".",s_Irr!AS13&lt;&gt;".",s_Irr!BR13&lt;&gt;"."),s_dir!U13/((1/1000)*(s_Irr!T13+s_Irr!AS13+s_Irr!BR13)),IF(AND(s_Irr!T13&lt;&gt;".",s_Irr!AS13&lt;&gt;".",s_Irr!BR13="."),s_dir!U13/((1/1000)*(s_Irr!T13+s_Irr!AS13)),IF(AND(s_Irr!T13&lt;&gt;".",s_Irr!AS13=".",s_Irr!BR13&lt;&gt;"."),s_dir!U13/((1/1000)*(s_Irr!T13+s_Irr!BR13)),IF(AND(s_Irr!T13=".",s_Irr!AS13&lt;&gt;".",s_Irr!BR13&lt;&gt;"."),s_dir!U13/((1/1000)*(s_Irr!AS13+s_Irr!BR13)),IF(AND(s_Irr!T13=".",s_Irr!AS13=".",s_Irr!BR13&lt;&gt;"."),s_dir!U13/((1/1000)*(s_Irr!BR13)),IF(AND(s_Irr!T13=".",s_Irr!AS13&lt;&gt;".",s_Irr!BR13="."),s_dir!U13/((1/1000)*(s_Irr!AS13)),IF(AND(s_Irr!T13&lt;&gt;".",s_Irr!AS13=".",s_Irr!BR13="."),s_dir!U13/((1/1000)*(s_Irr!T13)),IF(AND(s_Irr!T13=".",s_Irr!AS13=".",s_Irr!BR13="."),s_dir!U13*1000)))))))),".")</f>
        <v>261.14911306773627</v>
      </c>
      <c r="V13" s="76">
        <f>IFERROR(IF(AND(s_Irr!U13&lt;&gt;".",s_Irr!AT13&lt;&gt;".",s_Irr!BS13&lt;&gt;"."),s_dir!V13/((1/1000)*(s_Irr!U13+s_Irr!AT13+s_Irr!BS13)),IF(AND(s_Irr!U13&lt;&gt;".",s_Irr!AT13&lt;&gt;".",s_Irr!BS13="."),s_dir!V13/((1/1000)*(s_Irr!U13+s_Irr!AT13)),IF(AND(s_Irr!U13&lt;&gt;".",s_Irr!AT13=".",s_Irr!BS13&lt;&gt;"."),s_dir!V13/((1/1000)*(s_Irr!U13+s_Irr!BS13)),IF(AND(s_Irr!U13=".",s_Irr!AT13&lt;&gt;".",s_Irr!BS13&lt;&gt;"."),s_dir!V13/((1/1000)*(s_Irr!AT13+s_Irr!BS13)),IF(AND(s_Irr!U13=".",s_Irr!AT13=".",s_Irr!BS13&lt;&gt;"."),s_dir!V13/((1/1000)*(s_Irr!BS13)),IF(AND(s_Irr!U13=".",s_Irr!AT13&lt;&gt;".",s_Irr!BS13="."),s_dir!V13/((1/1000)*(s_Irr!AT13)),IF(AND(s_Irr!U13&lt;&gt;".",s_Irr!AT13=".",s_Irr!BS13="."),s_dir!V13/((1/1000)*(s_Irr!U13)),IF(AND(s_Irr!U13=".",s_Irr!AT13=".",s_Irr!BS13="."),s_dir!V13*1000)))))))),".")</f>
        <v>310.89838167285421</v>
      </c>
      <c r="W13" s="76">
        <f>IFERROR(IF(AND(s_Irr!V13&lt;&gt;".",s_Irr!AU13&lt;&gt;".",s_Irr!BT13&lt;&gt;"."),s_dir!W13/((1/1000)*(s_Irr!V13+s_Irr!AU13+s_Irr!BT13)),IF(AND(s_Irr!V13&lt;&gt;".",s_Irr!AU13&lt;&gt;".",s_Irr!BT13="."),s_dir!W13/((1/1000)*(s_Irr!V13+s_Irr!AU13)),IF(AND(s_Irr!V13&lt;&gt;".",s_Irr!AU13=".",s_Irr!BT13&lt;&gt;"."),s_dir!W13/((1/1000)*(s_Irr!V13+s_Irr!BT13)),IF(AND(s_Irr!V13=".",s_Irr!AU13&lt;&gt;".",s_Irr!BT13&lt;&gt;"."),s_dir!W13/((1/1000)*(s_Irr!AU13+s_Irr!BT13)),IF(AND(s_Irr!V13=".",s_Irr!AU13=".",s_Irr!BT13&lt;&gt;"."),s_dir!W13/((1/1000)*(s_Irr!BT13)),IF(AND(s_Irr!V13=".",s_Irr!AU13&lt;&gt;".",s_Irr!BT13="."),s_dir!W13/((1/1000)*(s_Irr!AU13)),IF(AND(s_Irr!V13&lt;&gt;".",s_Irr!AU13=".",s_Irr!BT13="."),s_dir!W13/((1/1000)*(s_Irr!V13)),IF(AND(s_Irr!V13=".",s_Irr!AU13=".",s_Irr!BT13="."),s_dir!W13*1000)))))))),".")</f>
        <v>261.14911306773627</v>
      </c>
      <c r="X13" s="76">
        <f>IFERROR(IF(AND(s_Irr!W13&lt;&gt;".",s_Irr!AV13&lt;&gt;".",s_Irr!BU13&lt;&gt;"."),s_dir!X13/((1/1000)*(s_Irr!W13+s_Irr!AV13+s_Irr!BU13)),IF(AND(s_Irr!W13&lt;&gt;".",s_Irr!AV13&lt;&gt;".",s_Irr!BU13="."),s_dir!X13/((1/1000)*(s_Irr!W13+s_Irr!AV13)),IF(AND(s_Irr!W13&lt;&gt;".",s_Irr!AV13=".",s_Irr!BU13&lt;&gt;"."),s_dir!X13/((1/1000)*(s_Irr!W13+s_Irr!BU13)),IF(AND(s_Irr!W13=".",s_Irr!AV13&lt;&gt;".",s_Irr!BU13&lt;&gt;"."),s_dir!X13/((1/1000)*(s_Irr!AV13+s_Irr!BU13)),IF(AND(s_Irr!W13=".",s_Irr!AV13=".",s_Irr!BU13&lt;&gt;"."),s_dir!X13/((1/1000)*(s_Irr!BU13)),IF(AND(s_Irr!W13=".",s_Irr!AV13&lt;&gt;".",s_Irr!BU13="."),s_dir!X13/((1/1000)*(s_Irr!AV13)),IF(AND(s_Irr!W13&lt;&gt;".",s_Irr!AV13=".",s_Irr!BU13="."),s_dir!X13/((1/1000)*(s_Irr!W13)),IF(AND(s_Irr!W13=".",s_Irr!AV13=".",s_Irr!BU13="."),s_dir!X13*1000)))))))),".")</f>
        <v>264.59133401700382</v>
      </c>
      <c r="Y13" s="76">
        <f>IFERROR(IF(AND(s_Irr!X13&lt;&gt;".",s_Irr!AW13&lt;&gt;".",s_Irr!BV13&lt;&gt;"."),s_dir!Y13/((1/1000)*(s_Irr!X13+s_Irr!AW13+s_Irr!BV13)),IF(AND(s_Irr!X13&lt;&gt;".",s_Irr!AW13&lt;&gt;".",s_Irr!BV13="."),s_dir!Y13/((1/1000)*(s_Irr!X13+s_Irr!AW13)),IF(AND(s_Irr!X13&lt;&gt;".",s_Irr!AW13=".",s_Irr!BV13&lt;&gt;"."),s_dir!Y13/((1/1000)*(s_Irr!X13+s_Irr!BV13)),IF(AND(s_Irr!X13=".",s_Irr!AW13&lt;&gt;".",s_Irr!BV13&lt;&gt;"."),s_dir!Y13/((1/1000)*(s_Irr!AW13+s_Irr!BV13)),IF(AND(s_Irr!X13=".",s_Irr!AW13=".",s_Irr!BV13&lt;&gt;"."),s_dir!Y13/((1/1000)*(s_Irr!BV13)),IF(AND(s_Irr!X13=".",s_Irr!AW13&lt;&gt;".",s_Irr!BV13="."),s_dir!Y13/((1/1000)*(s_Irr!AW13)),IF(AND(s_Irr!X13&lt;&gt;".",s_Irr!AW13=".",s_Irr!BV13="."),s_dir!Y13/((1/1000)*(s_Irr!X13)),IF(AND(s_Irr!X13=".",s_Irr!AW13=".",s_Irr!BV13="."),s_dir!Y13*1000)))))))),".")</f>
        <v>339.27343235784298</v>
      </c>
      <c r="Z13" s="76">
        <f>IFERROR(IF(AND(s_Irr!Y13&lt;&gt;".",s_Irr!AX13&lt;&gt;".",s_Irr!BW13&lt;&gt;"."),s_dir!Z13/((1/1000)*(s_Irr!Y13+s_Irr!AX13+s_Irr!BW13)),IF(AND(s_Irr!Y13&lt;&gt;".",s_Irr!AX13&lt;&gt;".",s_Irr!BW13="."),s_dir!Z13/((1/1000)*(s_Irr!Y13+s_Irr!AX13)),IF(AND(s_Irr!Y13&lt;&gt;".",s_Irr!AX13=".",s_Irr!BW13&lt;&gt;"."),s_dir!Z13/((1/1000)*(s_Irr!Y13+s_Irr!BW13)),IF(AND(s_Irr!Y13=".",s_Irr!AX13&lt;&gt;".",s_Irr!BW13&lt;&gt;"."),s_dir!Z13/((1/1000)*(s_Irr!AX13+s_Irr!BW13)),IF(AND(s_Irr!Y13=".",s_Irr!AX13=".",s_Irr!BW13&lt;&gt;"."),s_dir!Z13/((1/1000)*(s_Irr!BW13)),IF(AND(s_Irr!Y13=".",s_Irr!AX13&lt;&gt;".",s_Irr!BW13="."),s_dir!Z13/((1/1000)*(s_Irr!AX13)),IF(AND(s_Irr!Y13&lt;&gt;".",s_Irr!AX13=".",s_Irr!BW13="."),s_dir!Z13/((1/1000)*(s_Irr!Y13)),IF(AND(s_Irr!Y13=".",s_Irr!AX13=".",s_Irr!BW13="."),s_dir!Z13*1000)))))))),".")</f>
        <v>261.14911306773627</v>
      </c>
      <c r="AA13" s="76">
        <f>IFERROR(IF(AND(s_Irr!Z13&lt;&gt;".",s_Irr!AY13&lt;&gt;".",s_Irr!BX13&lt;&gt;"."),s_dir!AA13/((1/1000)*(s_Irr!Z13+s_Irr!AY13+s_Irr!BX13)),IF(AND(s_Irr!Z13&lt;&gt;".",s_Irr!AY13&lt;&gt;".",s_Irr!BX13="."),s_dir!AA13/((1/1000)*(s_Irr!Z13+s_Irr!AY13)),IF(AND(s_Irr!Z13&lt;&gt;".",s_Irr!AY13=".",s_Irr!BX13&lt;&gt;"."),s_dir!AA13/((1/1000)*(s_Irr!Z13+s_Irr!BX13)),IF(AND(s_Irr!Z13=".",s_Irr!AY13&lt;&gt;".",s_Irr!BX13&lt;&gt;"."),s_dir!AA13/((1/1000)*(s_Irr!AY13+s_Irr!BX13)),IF(AND(s_Irr!Z13=".",s_Irr!AY13=".",s_Irr!BX13&lt;&gt;"."),s_dir!AA13/((1/1000)*(s_Irr!BX13)),IF(AND(s_Irr!Z13=".",s_Irr!AY13&lt;&gt;".",s_Irr!BX13="."),s_dir!AA13/((1/1000)*(s_Irr!AY13)),IF(AND(s_Irr!Z13&lt;&gt;".",s_Irr!AY13=".",s_Irr!BX13="."),s_dir!AA13/((1/1000)*(s_Irr!Z13)),IF(AND(s_Irr!Z13=".",s_Irr!AY13=".",s_Irr!BX13="."),s_dir!AA13*1000)))))))),".")</f>
        <v>254.52654834826697</v>
      </c>
      <c r="AB13" s="76">
        <f>IFERROR(IF(AND(s_Irr!AA13&lt;&gt;".",s_Irr!AZ13&lt;&gt;".",s_Irr!BY13&lt;&gt;"."),s_dir!AB13/((1/1000)*(s_Irr!AA13+s_Irr!AZ13+s_Irr!BY13)),IF(AND(s_Irr!AA13&lt;&gt;".",s_Irr!AZ13&lt;&gt;".",s_Irr!BY13="."),s_dir!AB13/((1/1000)*(s_Irr!AA13+s_Irr!AZ13)),IF(AND(s_Irr!AA13&lt;&gt;".",s_Irr!AZ13=".",s_Irr!BY13&lt;&gt;"."),s_dir!AB13/((1/1000)*(s_Irr!AA13+s_Irr!BY13)),IF(AND(s_Irr!AA13=".",s_Irr!AZ13&lt;&gt;".",s_Irr!BY13&lt;&gt;"."),s_dir!AB13/((1/1000)*(s_Irr!AZ13+s_Irr!BY13)),IF(AND(s_Irr!AA13=".",s_Irr!AZ13=".",s_Irr!BY13&lt;&gt;"."),s_dir!AB13/((1/1000)*(s_Irr!BY13)),IF(AND(s_Irr!AA13=".",s_Irr!AZ13&lt;&gt;".",s_Irr!BY13="."),s_dir!AB13/((1/1000)*(s_Irr!AZ13)),IF(AND(s_Irr!AA13&lt;&gt;".",s_Irr!AZ13=".",s_Irr!BY13="."),s_dir!AB13/((1/1000)*(s_Irr!AA13)),IF(AND(s_Irr!AA13=".",s_Irr!AZ13=".",s_Irr!BY13="."),s_dir!AB13*1000)))))))),".")</f>
        <v>324.9920417063027</v>
      </c>
      <c r="AC13" s="93">
        <f t="shared" si="4"/>
        <v>8314.7723901112822</v>
      </c>
      <c r="AD13" s="93">
        <f>IFERROR(s_C*s_IFAP_res_adj*s_CF_apple*0.001*(s_Irr!C13+s_Irr!AB13+s_Irr!BA13),".")</f>
        <v>1778.158251559031</v>
      </c>
      <c r="AE13" s="93">
        <f>IFERROR(s_C*s_IFAS_res_adj*s_CF_asparagus*0.001*(s_Irr!D13+s_Irr!AC13+s_Irr!BB13),".")</f>
        <v>2580.5862902956992</v>
      </c>
      <c r="AF13" s="93">
        <f>IFERROR(s_C*s_IFBT_res_adj*s_CF_beet*0.001*(s_Irr!E13+s_Irr!AD13+s_Irr!BC13),".")</f>
        <v>2430.3188673113045</v>
      </c>
      <c r="AG13" s="93">
        <f>IFERROR(s_C*s_IFBE_res_adj*s_CF_berries*0.001*(s_Irr!F13+s_Irr!AE13+s_Irr!BD13),".")</f>
        <v>1778.158251559031</v>
      </c>
      <c r="AH13" s="93">
        <f>IFERROR(s_C*s_IFBR_res_adj*s_CF_broccoli*0.001*(s_Irr!G13+s_Irr!AF13+s_Irr!BE13),".")</f>
        <v>2310.1049289237885</v>
      </c>
      <c r="AI13" s="93">
        <f>IFERROR(s_C*s_IFCB_res_adj*s_CF_cabbage*0.001*(s_Irr!H13+s_Irr!AG13+s_Irr!BF13),".")</f>
        <v>2580.5862902956992</v>
      </c>
      <c r="AJ13" s="93">
        <f>IFERROR(s_C*s_IFCR_res_adj*s_CF_carrot*0.001*(s_Irr!I13+s_Irr!AH13+s_Irr!BG13),".")</f>
        <v>2430.3188673113045</v>
      </c>
      <c r="AK13" s="93">
        <f>IFERROR(s_C*s_IFCI_res_adj*s_CF_citrus*0.001*(s_Irr!J13+s_Irr!AI13+s_Irr!BH13),".")</f>
        <v>1778.158251559031</v>
      </c>
      <c r="AL13" s="93">
        <f>IFERROR(s_C*s_IFCO_res_adj*s_CF_corn*0.001*(s_Irr!K13+s_Irr!AJ13+s_Irr!BI13),".")</f>
        <v>1913.3989322449863</v>
      </c>
      <c r="AM13" s="93">
        <f>IFERROR(s_C*s_IFCU_res_adj*s_CF_cucumber*0.001*(s_Irr!L13+s_Irr!AK13+s_Irr!BJ13),".")</f>
        <v>2310.1049289237885</v>
      </c>
      <c r="AN13" s="93">
        <f>IFERROR(s_C*s_IFLE_res_adj*s_CF_lettuce*0.001*(s_Irr!M13+s_Irr!AL13+s_Irr!BK13),".")</f>
        <v>2580.5862902956992</v>
      </c>
      <c r="AO13" s="93">
        <f>IFERROR(s_C*s_IFLI_res_adj*s_CF_lima_bean*0.001*(s_Irr!N13+s_Irr!AM13+s_Irr!BL13),".")</f>
        <v>2280.0514443269094</v>
      </c>
      <c r="AP13" s="93">
        <f>IFERROR(s_C*s_IFOK_res_adj*s_CF_okra*0.001*(s_Irr!O13+s_Irr!AN13+s_Irr!BM13),".")</f>
        <v>2310.1049289237885</v>
      </c>
      <c r="AQ13" s="93">
        <f>IFERROR(s_C*s_IFON_res_adj*s_CF_onion*0.001*(s_Irr!P13+s_Irr!AO13+s_Irr!BN13),".")</f>
        <v>2430.3188673113045</v>
      </c>
      <c r="AR13" s="93">
        <f>IFERROR(s_C*s_IFPC_res_adj*s_CF_peach*0.001*(s_Irr!Q13+s_Irr!AP13+s_Irr!BO13),".")</f>
        <v>1778.158251559031</v>
      </c>
      <c r="AS13" s="93">
        <f>IFERROR(s_C*s_IFPR_res_adj*s_CF_pear*0.001*(s_Irr!R13+s_Irr!AQ13+s_Irr!BP13),".")</f>
        <v>1778.158251559031</v>
      </c>
      <c r="AT13" s="93">
        <f>IFERROR(s_C*s_IFPE_res_adj*s_CF_peas*0.001*(s_Irr!S13+s_Irr!AR13+s_Irr!BQ13),".")</f>
        <v>2280.0514443269094</v>
      </c>
      <c r="AU13" s="93">
        <f>IFERROR(s_C*s_IFPP_res_adj*s_CF_peppers*0.001*(s_Irr!T13+s_Irr!AS13+s_Irr!BR13),".")</f>
        <v>2310.1049289237885</v>
      </c>
      <c r="AV13" s="93">
        <f>IFERROR(s_C*s_IFPT_res_adj*s_CF_potato*0.001*(s_Irr!U13+s_Irr!AT13+s_Irr!BS13),".")</f>
        <v>1940.4470683821773</v>
      </c>
      <c r="AW13" s="93">
        <f>IFERROR(s_C*s_IFPU_res_adj*s_CF_pumpkin*0.001*(s_Irr!V13+s_Irr!AU13+s_Irr!BT13),".")</f>
        <v>2310.1049289237885</v>
      </c>
      <c r="AX13" s="93">
        <f>IFERROR(s_C*s_IFSN_res_adj*s_CF_snap_bean*0.001*(s_Irr!W13+s_Irr!AV13+s_Irr!BU13),".")</f>
        <v>2280.0514443269094</v>
      </c>
      <c r="AY13" s="93">
        <f>IFERROR(s_C*s_IFST_res_adj*s_CF_strawberry*0.001*(s_Irr!X13+s_Irr!AW13+s_Irr!BV13),".")</f>
        <v>1778.158251559031</v>
      </c>
      <c r="AZ13" s="93">
        <f>IFERROR(s_C*s_IFTO_res_adj*s_CF_tomato*0.001*(s_Irr!Y13+s_Irr!AX13+s_Irr!BW13),".")</f>
        <v>2310.1049289237885</v>
      </c>
      <c r="BA13" s="93">
        <f>IFERROR(s_C*s_IFRI_res_adj*s_CF_rice*0.001*(s_Irr!Z13+s_Irr!AY13+s_Irr!BX13),".")</f>
        <v>2370.2118981175463</v>
      </c>
      <c r="BB13" s="93">
        <f>IFERROR(s_C*s_IFCG_res_adj*s_CF_cereal*0.001*(s_Irr!AA13+s_Irr!AZ13+s_Irr!BY13),".")</f>
        <v>1856.2973115109164</v>
      </c>
      <c r="BC13" s="76">
        <f t="shared" si="1"/>
        <v>72.555426051028576</v>
      </c>
      <c r="BD13" s="76">
        <f>IFERROR(IF(AND(s_Irr!C13&lt;&gt;".",s_Irr!AB13&lt;&gt;".",s_Irr!BA13&lt;&gt;"."),s_dir!AD13/((1/1000)*(s_Irr!C13+s_Irr!AB13+s_Irr!BA13)),IF(AND(s_Irr!C13&lt;&gt;".",s_Irr!AB13&lt;&gt;".",s_Irr!BA13="."),s_dir!AD13/((1/1000)*(s_Irr!C13+s_Irr!AB13)),IF(AND(s_Irr!C13&lt;&gt;".",s_Irr!AB13=".",s_Irr!BA13&lt;&gt;"."),s_dir!AD13/((1/1000)*(s_Irr!C13+s_Irr!BA13)),IF(AND(s_Irr!C13=".",s_Irr!AB13&lt;&gt;".",s_Irr!BA13&lt;&gt;"."),s_dir!AD13/((1/1000)*(s_Irr!AB13+s_Irr!BA13)),IF(AND(s_Irr!C13=".",s_Irr!AB13=".",s_Irr!BA13&lt;&gt;"."),s_dir!AD13/((1/1000)*(s_Irr!BA13)),IF(AND(s_Irr!C13=".",s_Irr!AB13&lt;&gt;".",s_Irr!BA13="."),s_dir!AD13/((1/1000)*(s_Irr!AB13)),IF(AND(s_Irr!C13&lt;&gt;".",s_Irr!AB13=".",s_Irr!BA13="."),s_dir!AD13/((1/1000)*(s_Irr!C13)),IF(AND(s_Irr!C13=".",s_Irr!AB13=".",s_Irr!BA13="."),s_dir!AD13*1000)))))))),".")</f>
        <v>339.27343235784298</v>
      </c>
      <c r="BE13" s="76">
        <f>IFERROR(IF(AND(s_Irr!D13&lt;&gt;".",s_Irr!AC13&lt;&gt;".",s_Irr!BB13&lt;&gt;"."),s_dir!AE13/((1/1000)*(s_Irr!D13+s_Irr!AC13+s_Irr!BB13)),IF(AND(s_Irr!D13&lt;&gt;".",s_Irr!AC13&lt;&gt;".",s_Irr!BB13="."),s_dir!AE13/((1/1000)*(s_Irr!D13+s_Irr!AC13)),IF(AND(s_Irr!D13&lt;&gt;".",s_Irr!AC13=".",s_Irr!BB13&lt;&gt;"."),s_dir!AE13/((1/1000)*(s_Irr!D13+s_Irr!BB13)),IF(AND(s_Irr!D13=".",s_Irr!AC13&lt;&gt;".",s_Irr!BB13&lt;&gt;"."),s_dir!AE13/((1/1000)*(s_Irr!AC13+s_Irr!BB13)),IF(AND(s_Irr!D13=".",s_Irr!AC13=".",s_Irr!BB13&lt;&gt;"."),s_dir!AE13/((1/1000)*(s_Irr!BB13)),IF(AND(s_Irr!D13=".",s_Irr!AC13&lt;&gt;".",s_Irr!BB13="."),s_dir!AE13/((1/1000)*(s_Irr!AC13)),IF(AND(s_Irr!D13&lt;&gt;".",s_Irr!AC13=".",s_Irr!BB13="."),s_dir!AE13/((1/1000)*(s_Irr!D13)),IF(AND(s_Irr!D13=".",s_Irr!AC13=".",s_Irr!BB13="."),s_dir!AE13*1000)))))))),".")</f>
        <v>233.77705118813356</v>
      </c>
      <c r="BF13" s="76">
        <f>IFERROR(IF(AND(s_Irr!E13&lt;&gt;".",s_Irr!AD13&lt;&gt;".",s_Irr!BC13&lt;&gt;"."),s_dir!AF13/((1/1000)*(s_Irr!E13+s_Irr!AD13+s_Irr!BC13)),IF(AND(s_Irr!E13&lt;&gt;".",s_Irr!AD13&lt;&gt;".",s_Irr!BC13="."),s_dir!AF13/((1/1000)*(s_Irr!E13+s_Irr!AD13)),IF(AND(s_Irr!E13&lt;&gt;".",s_Irr!AD13=".",s_Irr!BC13&lt;&gt;"."),s_dir!AF13/((1/1000)*(s_Irr!E13+s_Irr!BC13)),IF(AND(s_Irr!E13=".",s_Irr!AD13&lt;&gt;".",s_Irr!BC13&lt;&gt;"."),s_dir!AF13/((1/1000)*(s_Irr!AD13+s_Irr!BC13)),IF(AND(s_Irr!E13=".",s_Irr!AD13=".",s_Irr!BC13&lt;&gt;"."),s_dir!AF13/((1/1000)*(s_Irr!BC13)),IF(AND(s_Irr!E13=".",s_Irr!AD13&lt;&gt;".",s_Irr!BC13="."),s_dir!AF13/((1/1000)*(s_Irr!AD13)),IF(AND(s_Irr!E13&lt;&gt;".",s_Irr!AD13=".",s_Irr!BC13="."),s_dir!AF13/((1/1000)*(s_Irr!E13)),IF(AND(s_Irr!E13=".",s_Irr!AD13=".",s_Irr!BC13="."),s_dir!AF13*1000)))))))),".")</f>
        <v>248.2315639302395</v>
      </c>
      <c r="BG13" s="76">
        <f>IFERROR(IF(AND(s_Irr!F13&lt;&gt;".",s_Irr!AE13&lt;&gt;".",s_Irr!BD13&lt;&gt;"."),s_dir!AG13/((1/1000)*(s_Irr!F13+s_Irr!AE13+s_Irr!BD13)),IF(AND(s_Irr!F13&lt;&gt;".",s_Irr!AE13&lt;&gt;".",s_Irr!BD13="."),s_dir!AG13/((1/1000)*(s_Irr!F13+s_Irr!AE13)),IF(AND(s_Irr!F13&lt;&gt;".",s_Irr!AE13=".",s_Irr!BD13&lt;&gt;"."),s_dir!AG13/((1/1000)*(s_Irr!F13+s_Irr!BD13)),IF(AND(s_Irr!F13=".",s_Irr!AE13&lt;&gt;".",s_Irr!BD13&lt;&gt;"."),s_dir!AG13/((1/1000)*(s_Irr!AE13+s_Irr!BD13)),IF(AND(s_Irr!F13=".",s_Irr!AE13=".",s_Irr!BD13&lt;&gt;"."),s_dir!AG13/((1/1000)*(s_Irr!BD13)),IF(AND(s_Irr!F13=".",s_Irr!AE13&lt;&gt;".",s_Irr!BD13="."),s_dir!AG13/((1/1000)*(s_Irr!AE13)),IF(AND(s_Irr!F13&lt;&gt;".",s_Irr!AE13=".",s_Irr!BD13="."),s_dir!AG13/((1/1000)*(s_Irr!F13)),IF(AND(s_Irr!F13=".",s_Irr!AE13=".",s_Irr!BD13="."),s_dir!AG13*1000)))))))),".")</f>
        <v>339.27343235784298</v>
      </c>
      <c r="BH13" s="76">
        <f>IFERROR(IF(AND(s_Irr!G13&lt;&gt;".",s_Irr!AF13&lt;&gt;".",s_Irr!BE13&lt;&gt;"."),s_dir!AH13/((1/1000)*(s_Irr!G13+s_Irr!AF13+s_Irr!BE13)),IF(AND(s_Irr!G13&lt;&gt;".",s_Irr!AF13&lt;&gt;".",s_Irr!BE13="."),s_dir!AH13/((1/1000)*(s_Irr!G13+s_Irr!AF13)),IF(AND(s_Irr!G13&lt;&gt;".",s_Irr!AF13=".",s_Irr!BE13&lt;&gt;"."),s_dir!AH13/((1/1000)*(s_Irr!G13+s_Irr!BE13)),IF(AND(s_Irr!G13=".",s_Irr!AF13&lt;&gt;".",s_Irr!BE13&lt;&gt;"."),s_dir!AH13/((1/1000)*(s_Irr!AF13+s_Irr!BE13)),IF(AND(s_Irr!G13=".",s_Irr!AF13=".",s_Irr!BE13&lt;&gt;"."),s_dir!AH13/((1/1000)*(s_Irr!BE13)),IF(AND(s_Irr!G13=".",s_Irr!AF13&lt;&gt;".",s_Irr!BE13="."),s_dir!AH13/((1/1000)*(s_Irr!AF13)),IF(AND(s_Irr!G13&lt;&gt;".",s_Irr!AF13=".",s_Irr!BE13="."),s_dir!AH13/((1/1000)*(s_Irr!G13)),IF(AND(s_Irr!G13=".",s_Irr!AF13=".",s_Irr!BE13="."),s_dir!AH13*1000)))))))),".")</f>
        <v>261.14911306773627</v>
      </c>
      <c r="BI13" s="76">
        <f>IFERROR(IF(AND(s_Irr!H13&lt;&gt;".",s_Irr!AG13&lt;&gt;".",s_Irr!BF13&lt;&gt;"."),s_dir!AI13/((1/1000)*(s_Irr!H13+s_Irr!AG13+s_Irr!BF13)),IF(AND(s_Irr!H13&lt;&gt;".",s_Irr!AG13&lt;&gt;".",s_Irr!BF13="."),s_dir!AI13/((1/1000)*(s_Irr!H13+s_Irr!AG13)),IF(AND(s_Irr!H13&lt;&gt;".",s_Irr!AG13=".",s_Irr!BF13&lt;&gt;"."),s_dir!AI13/((1/1000)*(s_Irr!H13+s_Irr!BF13)),IF(AND(s_Irr!H13=".",s_Irr!AG13&lt;&gt;".",s_Irr!BF13&lt;&gt;"."),s_dir!AI13/((1/1000)*(s_Irr!AG13+s_Irr!BF13)),IF(AND(s_Irr!H13=".",s_Irr!AG13=".",s_Irr!BF13&lt;&gt;"."),s_dir!AI13/((1/1000)*(s_Irr!BF13)),IF(AND(s_Irr!H13=".",s_Irr!AG13&lt;&gt;".",s_Irr!BF13="."),s_dir!AI13/((1/1000)*(s_Irr!AG13)),IF(AND(s_Irr!H13&lt;&gt;".",s_Irr!AG13=".",s_Irr!BF13="."),s_dir!AI13/((1/1000)*(s_Irr!H13)),IF(AND(s_Irr!H13=".",s_Irr!AG13=".",s_Irr!BF13="."),s_dir!AI13*1000)))))))),".")</f>
        <v>233.77705118813356</v>
      </c>
      <c r="BJ13" s="76">
        <f>IFERROR(IF(AND(s_Irr!I13&lt;&gt;".",s_Irr!AH13&lt;&gt;".",s_Irr!BG13&lt;&gt;"."),s_dir!AJ13/((1/1000)*(s_Irr!I13+s_Irr!AH13+s_Irr!BG13)),IF(AND(s_Irr!I13&lt;&gt;".",s_Irr!AH13&lt;&gt;".",s_Irr!BG13="."),s_dir!AJ13/((1/1000)*(s_Irr!I13+s_Irr!AH13)),IF(AND(s_Irr!I13&lt;&gt;".",s_Irr!AH13=".",s_Irr!BG13&lt;&gt;"."),s_dir!AJ13/((1/1000)*(s_Irr!I13+s_Irr!BG13)),IF(AND(s_Irr!I13=".",s_Irr!AH13&lt;&gt;".",s_Irr!BG13&lt;&gt;"."),s_dir!AJ13/((1/1000)*(s_Irr!AH13+s_Irr!BG13)),IF(AND(s_Irr!I13=".",s_Irr!AH13=".",s_Irr!BG13&lt;&gt;"."),s_dir!AJ13/((1/1000)*(s_Irr!BG13)),IF(AND(s_Irr!I13=".",s_Irr!AH13&lt;&gt;".",s_Irr!BG13="."),s_dir!AJ13/((1/1000)*(s_Irr!AH13)),IF(AND(s_Irr!I13&lt;&gt;".",s_Irr!AH13=".",s_Irr!BG13="."),s_dir!AJ13/((1/1000)*(s_Irr!I13)),IF(AND(s_Irr!I13=".",s_Irr!AH13=".",s_Irr!BG13="."),s_dir!AJ13*1000)))))))),".")</f>
        <v>248.2315639302395</v>
      </c>
      <c r="BK13" s="76">
        <f>IFERROR(IF(AND(s_Irr!J13&lt;&gt;".",s_Irr!AI13&lt;&gt;".",s_Irr!BH13&lt;&gt;"."),s_dir!AK13/((1/1000)*(s_Irr!J13+s_Irr!AI13+s_Irr!BH13)),IF(AND(s_Irr!J13&lt;&gt;".",s_Irr!AI13&lt;&gt;".",s_Irr!BH13="."),s_dir!AK13/((1/1000)*(s_Irr!J13+s_Irr!AI13)),IF(AND(s_Irr!J13&lt;&gt;".",s_Irr!AI13=".",s_Irr!BH13&lt;&gt;"."),s_dir!AK13/((1/1000)*(s_Irr!J13+s_Irr!BH13)),IF(AND(s_Irr!J13=".",s_Irr!AI13&lt;&gt;".",s_Irr!BH13&lt;&gt;"."),s_dir!AK13/((1/1000)*(s_Irr!AI13+s_Irr!BH13)),IF(AND(s_Irr!J13=".",s_Irr!AI13=".",s_Irr!BH13&lt;&gt;"."),s_dir!AK13/((1/1000)*(s_Irr!BH13)),IF(AND(s_Irr!J13=".",s_Irr!AI13&lt;&gt;".",s_Irr!BH13="."),s_dir!AK13/((1/1000)*(s_Irr!AI13)),IF(AND(s_Irr!J13&lt;&gt;".",s_Irr!AI13=".",s_Irr!BH13="."),s_dir!AK13/((1/1000)*(s_Irr!J13)),IF(AND(s_Irr!J13=".",s_Irr!AI13=".",s_Irr!BH13="."),s_dir!AK13*1000)))))))),".")</f>
        <v>339.27343235784298</v>
      </c>
      <c r="BL13" s="76">
        <f>IFERROR(IF(AND(s_Irr!K13&lt;&gt;".",s_Irr!AJ13&lt;&gt;".",s_Irr!BI13&lt;&gt;"."),s_dir!AL13/((1/1000)*(s_Irr!K13+s_Irr!AJ13+s_Irr!BI13)),IF(AND(s_Irr!K13&lt;&gt;".",s_Irr!AJ13&lt;&gt;".",s_Irr!BI13="."),s_dir!AL13/((1/1000)*(s_Irr!K13+s_Irr!AJ13)),IF(AND(s_Irr!K13&lt;&gt;".",s_Irr!AJ13=".",s_Irr!BI13&lt;&gt;"."),s_dir!AL13/((1/1000)*(s_Irr!K13+s_Irr!BI13)),IF(AND(s_Irr!K13=".",s_Irr!AJ13&lt;&gt;".",s_Irr!BI13&lt;&gt;"."),s_dir!AL13/((1/1000)*(s_Irr!AJ13+s_Irr!BI13)),IF(AND(s_Irr!K13=".",s_Irr!AJ13=".",s_Irr!BI13&lt;&gt;"."),s_dir!AL13/((1/1000)*(s_Irr!BI13)),IF(AND(s_Irr!K13=".",s_Irr!AJ13&lt;&gt;".",s_Irr!BI13="."),s_dir!AL13/((1/1000)*(s_Irr!AJ13)),IF(AND(s_Irr!K13&lt;&gt;".",s_Irr!AJ13=".",s_Irr!BI13="."),s_dir!AL13/((1/1000)*(s_Irr!K13)),IF(AND(s_Irr!K13=".",s_Irr!AJ13=".",s_Irr!BI13="."),s_dir!AL13*1000)))))))),".")</f>
        <v>315.29329462624094</v>
      </c>
      <c r="BM13" s="76">
        <f>IFERROR(IF(AND(s_Irr!L13&lt;&gt;".",s_Irr!AK13&lt;&gt;".",s_Irr!BJ13&lt;&gt;"."),s_dir!AM13/((1/1000)*(s_Irr!L13+s_Irr!AK13+s_Irr!BJ13)),IF(AND(s_Irr!L13&lt;&gt;".",s_Irr!AK13&lt;&gt;".",s_Irr!BJ13="."),s_dir!AM13/((1/1000)*(s_Irr!L13+s_Irr!AK13)),IF(AND(s_Irr!L13&lt;&gt;".",s_Irr!AK13=".",s_Irr!BJ13&lt;&gt;"."),s_dir!AM13/((1/1000)*(s_Irr!L13+s_Irr!BJ13)),IF(AND(s_Irr!L13=".",s_Irr!AK13&lt;&gt;".",s_Irr!BJ13&lt;&gt;"."),s_dir!AM13/((1/1000)*(s_Irr!AK13+s_Irr!BJ13)),IF(AND(s_Irr!L13=".",s_Irr!AK13=".",s_Irr!BJ13&lt;&gt;"."),s_dir!AM13/((1/1000)*(s_Irr!BJ13)),IF(AND(s_Irr!L13=".",s_Irr!AK13&lt;&gt;".",s_Irr!BJ13="."),s_dir!AM13/((1/1000)*(s_Irr!AK13)),IF(AND(s_Irr!L13&lt;&gt;".",s_Irr!AK13=".",s_Irr!BJ13="."),s_dir!AM13/((1/1000)*(s_Irr!L13)),IF(AND(s_Irr!L13=".",s_Irr!AK13=".",s_Irr!BJ13="."),s_dir!AM13*1000)))))))),".")</f>
        <v>261.14911306773627</v>
      </c>
      <c r="BN13" s="76">
        <f>IFERROR(IF(AND(s_Irr!M13&lt;&gt;".",s_Irr!AL13&lt;&gt;".",s_Irr!BK13&lt;&gt;"."),s_dir!AN13/((1/1000)*(s_Irr!M13+s_Irr!AL13+s_Irr!BK13)),IF(AND(s_Irr!M13&lt;&gt;".",s_Irr!AL13&lt;&gt;".",s_Irr!BK13="."),s_dir!AN13/((1/1000)*(s_Irr!M13+s_Irr!AL13)),IF(AND(s_Irr!M13&lt;&gt;".",s_Irr!AL13=".",s_Irr!BK13&lt;&gt;"."),s_dir!AN13/((1/1000)*(s_Irr!M13+s_Irr!BK13)),IF(AND(s_Irr!M13=".",s_Irr!AL13&lt;&gt;".",s_Irr!BK13&lt;&gt;"."),s_dir!AN13/((1/1000)*(s_Irr!AL13+s_Irr!BK13)),IF(AND(s_Irr!M13=".",s_Irr!AL13=".",s_Irr!BK13&lt;&gt;"."),s_dir!AN13/((1/1000)*(s_Irr!BK13)),IF(AND(s_Irr!M13=".",s_Irr!AL13&lt;&gt;".",s_Irr!BK13="."),s_dir!AN13/((1/1000)*(s_Irr!AL13)),IF(AND(s_Irr!M13&lt;&gt;".",s_Irr!AL13=".",s_Irr!BK13="."),s_dir!AN13/((1/1000)*(s_Irr!M13)),IF(AND(s_Irr!M13=".",s_Irr!AL13=".",s_Irr!BK13="."),s_dir!AN13*1000)))))))),".")</f>
        <v>233.77705118813356</v>
      </c>
      <c r="BO13" s="76">
        <f>IFERROR(IF(AND(s_Irr!N13&lt;&gt;".",s_Irr!AM13&lt;&gt;".",s_Irr!BL13&lt;&gt;"."),s_dir!AO13/((1/1000)*(s_Irr!N13+s_Irr!AM13+s_Irr!BL13)),IF(AND(s_Irr!N13&lt;&gt;".",s_Irr!AM13&lt;&gt;".",s_Irr!BL13="."),s_dir!AO13/((1/1000)*(s_Irr!N13+s_Irr!AM13)),IF(AND(s_Irr!N13&lt;&gt;".",s_Irr!AM13=".",s_Irr!BL13&lt;&gt;"."),s_dir!AO13/((1/1000)*(s_Irr!N13+s_Irr!BL13)),IF(AND(s_Irr!N13=".",s_Irr!AM13&lt;&gt;".",s_Irr!BL13&lt;&gt;"."),s_dir!AO13/((1/1000)*(s_Irr!AM13+s_Irr!BL13)),IF(AND(s_Irr!N13=".",s_Irr!AM13=".",s_Irr!BL13&lt;&gt;"."),s_dir!AO13/((1/1000)*(s_Irr!BL13)),IF(AND(s_Irr!N13=".",s_Irr!AM13&lt;&gt;".",s_Irr!BL13="."),s_dir!AO13/((1/1000)*(s_Irr!AM13)),IF(AND(s_Irr!N13&lt;&gt;".",s_Irr!AM13=".",s_Irr!BL13="."),s_dir!AO13/((1/1000)*(s_Irr!N13)),IF(AND(s_Irr!N13=".",s_Irr!AM13=".",s_Irr!BL13="."),s_dir!AO13*1000)))))))),".")</f>
        <v>264.59133401700382</v>
      </c>
      <c r="BP13" s="76">
        <f>IFERROR(IF(AND(s_Irr!O13&lt;&gt;".",s_Irr!AN13&lt;&gt;".",s_Irr!BM13&lt;&gt;"."),s_dir!AP13/((1/1000)*(s_Irr!O13+s_Irr!AN13+s_Irr!BM13)),IF(AND(s_Irr!O13&lt;&gt;".",s_Irr!AN13&lt;&gt;".",s_Irr!BM13="."),s_dir!AP13/((1/1000)*(s_Irr!O13+s_Irr!AN13)),IF(AND(s_Irr!O13&lt;&gt;".",s_Irr!AN13=".",s_Irr!BM13&lt;&gt;"."),s_dir!AP13/((1/1000)*(s_Irr!O13+s_Irr!BM13)),IF(AND(s_Irr!O13=".",s_Irr!AN13&lt;&gt;".",s_Irr!BM13&lt;&gt;"."),s_dir!AP13/((1/1000)*(s_Irr!AN13+s_Irr!BM13)),IF(AND(s_Irr!O13=".",s_Irr!AN13=".",s_Irr!BM13&lt;&gt;"."),s_dir!AP13/((1/1000)*(s_Irr!BM13)),IF(AND(s_Irr!O13=".",s_Irr!AN13&lt;&gt;".",s_Irr!BM13="."),s_dir!AP13/((1/1000)*(s_Irr!AN13)),IF(AND(s_Irr!O13&lt;&gt;".",s_Irr!AN13=".",s_Irr!BM13="."),s_dir!AP13/((1/1000)*(s_Irr!O13)),IF(AND(s_Irr!O13=".",s_Irr!AN13=".",s_Irr!BM13="."),s_dir!AP13*1000)))))))),".")</f>
        <v>261.14911306773627</v>
      </c>
      <c r="BQ13" s="76">
        <f>IFERROR(IF(AND(s_Irr!P13&lt;&gt;".",s_Irr!AO13&lt;&gt;".",s_Irr!BN13&lt;&gt;"."),s_dir!AQ13/((1/1000)*(s_Irr!P13+s_Irr!AO13+s_Irr!BN13)),IF(AND(s_Irr!P13&lt;&gt;".",s_Irr!AO13&lt;&gt;".",s_Irr!BN13="."),s_dir!AQ13/((1/1000)*(s_Irr!P13+s_Irr!AO13)),IF(AND(s_Irr!P13&lt;&gt;".",s_Irr!AO13=".",s_Irr!BN13&lt;&gt;"."),s_dir!AQ13/((1/1000)*(s_Irr!P13+s_Irr!BN13)),IF(AND(s_Irr!P13=".",s_Irr!AO13&lt;&gt;".",s_Irr!BN13&lt;&gt;"."),s_dir!AQ13/((1/1000)*(s_Irr!AO13+s_Irr!BN13)),IF(AND(s_Irr!P13=".",s_Irr!AO13=".",s_Irr!BN13&lt;&gt;"."),s_dir!AQ13/((1/1000)*(s_Irr!BN13)),IF(AND(s_Irr!P13=".",s_Irr!AO13&lt;&gt;".",s_Irr!BN13="."),s_dir!AQ13/((1/1000)*(s_Irr!AO13)),IF(AND(s_Irr!P13&lt;&gt;".",s_Irr!AO13=".",s_Irr!BN13="."),s_dir!AQ13/((1/1000)*(s_Irr!P13)),IF(AND(s_Irr!P13=".",s_Irr!AO13=".",s_Irr!BN13="."),s_dir!AQ13*1000)))))))),".")</f>
        <v>248.2315639302395</v>
      </c>
      <c r="BR13" s="76">
        <f>IFERROR(IF(AND(s_Irr!Q13&lt;&gt;".",s_Irr!AP13&lt;&gt;".",s_Irr!BO13&lt;&gt;"."),s_dir!AR13/((1/1000)*(s_Irr!Q13+s_Irr!AP13+s_Irr!BO13)),IF(AND(s_Irr!Q13&lt;&gt;".",s_Irr!AP13&lt;&gt;".",s_Irr!BO13="."),s_dir!AR13/((1/1000)*(s_Irr!Q13+s_Irr!AP13)),IF(AND(s_Irr!Q13&lt;&gt;".",s_Irr!AP13=".",s_Irr!BO13&lt;&gt;"."),s_dir!AR13/((1/1000)*(s_Irr!Q13+s_Irr!BO13)),IF(AND(s_Irr!Q13=".",s_Irr!AP13&lt;&gt;".",s_Irr!BO13&lt;&gt;"."),s_dir!AR13/((1/1000)*(s_Irr!AP13+s_Irr!BO13)),IF(AND(s_Irr!Q13=".",s_Irr!AP13=".",s_Irr!BO13&lt;&gt;"."),s_dir!AR13/((1/1000)*(s_Irr!BO13)),IF(AND(s_Irr!Q13=".",s_Irr!AP13&lt;&gt;".",s_Irr!BO13="."),s_dir!AR13/((1/1000)*(s_Irr!AP13)),IF(AND(s_Irr!Q13&lt;&gt;".",s_Irr!AP13=".",s_Irr!BO13="."),s_dir!AR13/((1/1000)*(s_Irr!Q13)),IF(AND(s_Irr!Q13=".",s_Irr!AP13=".",s_Irr!BO13="."),s_dir!AR13*1000)))))))),".")</f>
        <v>339.27343235784298</v>
      </c>
      <c r="BS13" s="76">
        <f>IFERROR(IF(AND(s_Irr!R13&lt;&gt;".",s_Irr!AQ13&lt;&gt;".",s_Irr!BP13&lt;&gt;"."),s_dir!AS13/((1/1000)*(s_Irr!R13+s_Irr!AQ13+s_Irr!BP13)),IF(AND(s_Irr!R13&lt;&gt;".",s_Irr!AQ13&lt;&gt;".",s_Irr!BP13="."),s_dir!AS13/((1/1000)*(s_Irr!R13+s_Irr!AQ13)),IF(AND(s_Irr!R13&lt;&gt;".",s_Irr!AQ13=".",s_Irr!BP13&lt;&gt;"."),s_dir!AS13/((1/1000)*(s_Irr!R13+s_Irr!BP13)),IF(AND(s_Irr!R13=".",s_Irr!AQ13&lt;&gt;".",s_Irr!BP13&lt;&gt;"."),s_dir!AS13/((1/1000)*(s_Irr!AQ13+s_Irr!BP13)),IF(AND(s_Irr!R13=".",s_Irr!AQ13=".",s_Irr!BP13&lt;&gt;"."),s_dir!AS13/((1/1000)*(s_Irr!BP13)),IF(AND(s_Irr!R13=".",s_Irr!AQ13&lt;&gt;".",s_Irr!BP13="."),s_dir!AS13/((1/1000)*(s_Irr!AQ13)),IF(AND(s_Irr!R13&lt;&gt;".",s_Irr!AQ13=".",s_Irr!BP13="."),s_dir!AS13/((1/1000)*(s_Irr!R13)),IF(AND(s_Irr!R13=".",s_Irr!AQ13=".",s_Irr!BP13="."),s_dir!AS13*1000)))))))),".")</f>
        <v>339.27343235784298</v>
      </c>
      <c r="BT13" s="76">
        <f>IFERROR(IF(AND(s_Irr!S13&lt;&gt;".",s_Irr!AR13&lt;&gt;".",s_Irr!BQ13&lt;&gt;"."),s_dir!AT13/((1/1000)*(s_Irr!S13+s_Irr!AR13+s_Irr!BQ13)),IF(AND(s_Irr!S13&lt;&gt;".",s_Irr!AR13&lt;&gt;".",s_Irr!BQ13="."),s_dir!AT13/((1/1000)*(s_Irr!S13+s_Irr!AR13)),IF(AND(s_Irr!S13&lt;&gt;".",s_Irr!AR13=".",s_Irr!BQ13&lt;&gt;"."),s_dir!AT13/((1/1000)*(s_Irr!S13+s_Irr!BQ13)),IF(AND(s_Irr!S13=".",s_Irr!AR13&lt;&gt;".",s_Irr!BQ13&lt;&gt;"."),s_dir!AT13/((1/1000)*(s_Irr!AR13+s_Irr!BQ13)),IF(AND(s_Irr!S13=".",s_Irr!AR13=".",s_Irr!BQ13&lt;&gt;"."),s_dir!AT13/((1/1000)*(s_Irr!BQ13)),IF(AND(s_Irr!S13=".",s_Irr!AR13&lt;&gt;".",s_Irr!BQ13="."),s_dir!AT13/((1/1000)*(s_Irr!AR13)),IF(AND(s_Irr!S13&lt;&gt;".",s_Irr!AR13=".",s_Irr!BQ13="."),s_dir!AT13/((1/1000)*(s_Irr!S13)),IF(AND(s_Irr!S13=".",s_Irr!AR13=".",s_Irr!BQ13="."),s_dir!AT13*1000)))))))),".")</f>
        <v>264.59133401700382</v>
      </c>
      <c r="BU13" s="76">
        <f>IFERROR(IF(AND(s_Irr!T13&lt;&gt;".",s_Irr!AS13&lt;&gt;".",s_Irr!BR13&lt;&gt;"."),s_dir!AU13/((1/1000)*(s_Irr!T13+s_Irr!AS13+s_Irr!BR13)),IF(AND(s_Irr!T13&lt;&gt;".",s_Irr!AS13&lt;&gt;".",s_Irr!BR13="."),s_dir!AU13/((1/1000)*(s_Irr!T13+s_Irr!AS13)),IF(AND(s_Irr!T13&lt;&gt;".",s_Irr!AS13=".",s_Irr!BR13&lt;&gt;"."),s_dir!AU13/((1/1000)*(s_Irr!T13+s_Irr!BR13)),IF(AND(s_Irr!T13=".",s_Irr!AS13&lt;&gt;".",s_Irr!BR13&lt;&gt;"."),s_dir!AU13/((1/1000)*(s_Irr!AS13+s_Irr!BR13)),IF(AND(s_Irr!T13=".",s_Irr!AS13=".",s_Irr!BR13&lt;&gt;"."),s_dir!AU13/((1/1000)*(s_Irr!BR13)),IF(AND(s_Irr!T13=".",s_Irr!AS13&lt;&gt;".",s_Irr!BR13="."),s_dir!AU13/((1/1000)*(s_Irr!AS13)),IF(AND(s_Irr!T13&lt;&gt;".",s_Irr!AS13=".",s_Irr!BR13="."),s_dir!AU13/((1/1000)*(s_Irr!T13)),IF(AND(s_Irr!T13=".",s_Irr!AS13=".",s_Irr!BR13="."),s_dir!AU13*1000)))))))),".")</f>
        <v>261.14911306773627</v>
      </c>
      <c r="BV13" s="76">
        <f>IFERROR(IF(AND(s_Irr!U13&lt;&gt;".",s_Irr!AT13&lt;&gt;".",s_Irr!BS13&lt;&gt;"."),s_dir!AV13/((1/1000)*(s_Irr!U13+s_Irr!AT13+s_Irr!BS13)),IF(AND(s_Irr!U13&lt;&gt;".",s_Irr!AT13&lt;&gt;".",s_Irr!BS13="."),s_dir!AV13/((1/1000)*(s_Irr!U13+s_Irr!AT13)),IF(AND(s_Irr!U13&lt;&gt;".",s_Irr!AT13=".",s_Irr!BS13&lt;&gt;"."),s_dir!AV13/((1/1000)*(s_Irr!U13+s_Irr!BS13)),IF(AND(s_Irr!U13=".",s_Irr!AT13&lt;&gt;".",s_Irr!BS13&lt;&gt;"."),s_dir!AV13/((1/1000)*(s_Irr!AT13+s_Irr!BS13)),IF(AND(s_Irr!U13=".",s_Irr!AT13=".",s_Irr!BS13&lt;&gt;"."),s_dir!AV13/((1/1000)*(s_Irr!BS13)),IF(AND(s_Irr!U13=".",s_Irr!AT13&lt;&gt;".",s_Irr!BS13="."),s_dir!AV13/((1/1000)*(s_Irr!AT13)),IF(AND(s_Irr!U13&lt;&gt;".",s_Irr!AT13=".",s_Irr!BS13="."),s_dir!AV13/((1/1000)*(s_Irr!U13)),IF(AND(s_Irr!U13=".",s_Irr!AT13=".",s_Irr!BS13="."),s_dir!AV13*1000)))))))),".")</f>
        <v>310.89838167285421</v>
      </c>
      <c r="BW13" s="76">
        <f>IFERROR(IF(AND(s_Irr!V13&lt;&gt;".",s_Irr!AU13&lt;&gt;".",s_Irr!BT13&lt;&gt;"."),s_dir!AW13/((1/1000)*(s_Irr!V13+s_Irr!AU13+s_Irr!BT13)),IF(AND(s_Irr!V13&lt;&gt;".",s_Irr!AU13&lt;&gt;".",s_Irr!BT13="."),s_dir!AW13/((1/1000)*(s_Irr!V13+s_Irr!AU13)),IF(AND(s_Irr!V13&lt;&gt;".",s_Irr!AU13=".",s_Irr!BT13&lt;&gt;"."),s_dir!AW13/((1/1000)*(s_Irr!V13+s_Irr!BT13)),IF(AND(s_Irr!V13=".",s_Irr!AU13&lt;&gt;".",s_Irr!BT13&lt;&gt;"."),s_dir!AW13/((1/1000)*(s_Irr!AU13+s_Irr!BT13)),IF(AND(s_Irr!V13=".",s_Irr!AU13=".",s_Irr!BT13&lt;&gt;"."),s_dir!AW13/((1/1000)*(s_Irr!BT13)),IF(AND(s_Irr!V13=".",s_Irr!AU13&lt;&gt;".",s_Irr!BT13="."),s_dir!AW13/((1/1000)*(s_Irr!AU13)),IF(AND(s_Irr!V13&lt;&gt;".",s_Irr!AU13=".",s_Irr!BT13="."),s_dir!AW13/((1/1000)*(s_Irr!V13)),IF(AND(s_Irr!V13=".",s_Irr!AU13=".",s_Irr!BT13="."),s_dir!AW13*1000)))))))),".")</f>
        <v>261.14911306773627</v>
      </c>
      <c r="BX13" s="76">
        <f>IFERROR(IF(AND(s_Irr!W13&lt;&gt;".",s_Irr!AV13&lt;&gt;".",s_Irr!BU13&lt;&gt;"."),s_dir!AX13/((1/1000)*(s_Irr!W13+s_Irr!AV13+s_Irr!BU13)),IF(AND(s_Irr!W13&lt;&gt;".",s_Irr!AV13&lt;&gt;".",s_Irr!BU13="."),s_dir!AX13/((1/1000)*(s_Irr!W13+s_Irr!AV13)),IF(AND(s_Irr!W13&lt;&gt;".",s_Irr!AV13=".",s_Irr!BU13&lt;&gt;"."),s_dir!AX13/((1/1000)*(s_Irr!W13+s_Irr!BU13)),IF(AND(s_Irr!W13=".",s_Irr!AV13&lt;&gt;".",s_Irr!BU13&lt;&gt;"."),s_dir!AX13/((1/1000)*(s_Irr!AV13+s_Irr!BU13)),IF(AND(s_Irr!W13=".",s_Irr!AV13=".",s_Irr!BU13&lt;&gt;"."),s_dir!AX13/((1/1000)*(s_Irr!BU13)),IF(AND(s_Irr!W13=".",s_Irr!AV13&lt;&gt;".",s_Irr!BU13="."),s_dir!AX13/((1/1000)*(s_Irr!AV13)),IF(AND(s_Irr!W13&lt;&gt;".",s_Irr!AV13=".",s_Irr!BU13="."),s_dir!AX13/((1/1000)*(s_Irr!W13)),IF(AND(s_Irr!W13=".",s_Irr!AV13=".",s_Irr!BU13="."),s_dir!AX13*1000)))))))),".")</f>
        <v>264.59133401700382</v>
      </c>
      <c r="BY13" s="76">
        <f>IFERROR(IF(AND(s_Irr!X13&lt;&gt;".",s_Irr!AW13&lt;&gt;".",s_Irr!BV13&lt;&gt;"."),s_dir!AY13/((1/1000)*(s_Irr!X13+s_Irr!AW13+s_Irr!BV13)),IF(AND(s_Irr!X13&lt;&gt;".",s_Irr!AW13&lt;&gt;".",s_Irr!BV13="."),s_dir!AY13/((1/1000)*(s_Irr!X13+s_Irr!AW13)),IF(AND(s_Irr!X13&lt;&gt;".",s_Irr!AW13=".",s_Irr!BV13&lt;&gt;"."),s_dir!AY13/((1/1000)*(s_Irr!X13+s_Irr!BV13)),IF(AND(s_Irr!X13=".",s_Irr!AW13&lt;&gt;".",s_Irr!BV13&lt;&gt;"."),s_dir!AY13/((1/1000)*(s_Irr!AW13+s_Irr!BV13)),IF(AND(s_Irr!X13=".",s_Irr!AW13=".",s_Irr!BV13&lt;&gt;"."),s_dir!AY13/((1/1000)*(s_Irr!BV13)),IF(AND(s_Irr!X13=".",s_Irr!AW13&lt;&gt;".",s_Irr!BV13="."),s_dir!AY13/((1/1000)*(s_Irr!AW13)),IF(AND(s_Irr!X13&lt;&gt;".",s_Irr!AW13=".",s_Irr!BV13="."),s_dir!AY13/((1/1000)*(s_Irr!X13)),IF(AND(s_Irr!X13=".",s_Irr!AW13=".",s_Irr!BV13="."),s_dir!AY13*1000)))))))),".")</f>
        <v>339.27343235784298</v>
      </c>
      <c r="BZ13" s="76">
        <f>IFERROR(IF(AND(s_Irr!Y13&lt;&gt;".",s_Irr!AX13&lt;&gt;".",s_Irr!BW13&lt;&gt;"."),s_dir!AZ13/((1/1000)*(s_Irr!Y13+s_Irr!AX13+s_Irr!BW13)),IF(AND(s_Irr!Y13&lt;&gt;".",s_Irr!AX13&lt;&gt;".",s_Irr!BW13="."),s_dir!AZ13/((1/1000)*(s_Irr!Y13+s_Irr!AX13)),IF(AND(s_Irr!Y13&lt;&gt;".",s_Irr!AX13=".",s_Irr!BW13&lt;&gt;"."),s_dir!AZ13/((1/1000)*(s_Irr!Y13+s_Irr!BW13)),IF(AND(s_Irr!Y13=".",s_Irr!AX13&lt;&gt;".",s_Irr!BW13&lt;&gt;"."),s_dir!AZ13/((1/1000)*(s_Irr!AX13+s_Irr!BW13)),IF(AND(s_Irr!Y13=".",s_Irr!AX13=".",s_Irr!BW13&lt;&gt;"."),s_dir!AZ13/((1/1000)*(s_Irr!BW13)),IF(AND(s_Irr!Y13=".",s_Irr!AX13&lt;&gt;".",s_Irr!BW13="."),s_dir!AZ13/((1/1000)*(s_Irr!AX13)),IF(AND(s_Irr!Y13&lt;&gt;".",s_Irr!AX13=".",s_Irr!BW13="."),s_dir!AZ13/((1/1000)*(s_Irr!Y13)),IF(AND(s_Irr!Y13=".",s_Irr!AX13=".",s_Irr!BW13="."),s_dir!AZ13*1000)))))))),".")</f>
        <v>261.14911306773627</v>
      </c>
      <c r="CA13" s="76">
        <f>IFERROR(IF(AND(s_Irr!Z13&lt;&gt;".",s_Irr!AY13&lt;&gt;".",s_Irr!BX13&lt;&gt;"."),s_dir!BA13/((1/1000)*(s_Irr!Z13+s_Irr!AY13+s_Irr!BX13)),IF(AND(s_Irr!Z13&lt;&gt;".",s_Irr!AY13&lt;&gt;".",s_Irr!BX13="."),s_dir!BA13/((1/1000)*(s_Irr!Z13+s_Irr!AY13)),IF(AND(s_Irr!Z13&lt;&gt;".",s_Irr!AY13=".",s_Irr!BX13&lt;&gt;"."),s_dir!BA13/((1/1000)*(s_Irr!Z13+s_Irr!BX13)),IF(AND(s_Irr!Z13=".",s_Irr!AY13&lt;&gt;".",s_Irr!BX13&lt;&gt;"."),s_dir!BA13/((1/1000)*(s_Irr!AY13+s_Irr!BX13)),IF(AND(s_Irr!Z13=".",s_Irr!AY13=".",s_Irr!BX13&lt;&gt;"."),s_dir!BA13/((1/1000)*(s_Irr!BX13)),IF(AND(s_Irr!Z13=".",s_Irr!AY13&lt;&gt;".",s_Irr!BX13="."),s_dir!BA13/((1/1000)*(s_Irr!AY13)),IF(AND(s_Irr!Z13&lt;&gt;".",s_Irr!AY13=".",s_Irr!BX13="."),s_dir!BA13/((1/1000)*(s_Irr!Z13)),IF(AND(s_Irr!Z13=".",s_Irr!AY13=".",s_Irr!BX13="."),s_dir!BA13*1000)))))))),".")</f>
        <v>254.52654834826697</v>
      </c>
      <c r="CB13" s="76">
        <f>IFERROR(IF(AND(s_Irr!AA13&lt;&gt;".",s_Irr!AZ13&lt;&gt;".",s_Irr!BY13&lt;&gt;"."),s_dir!BB13/((1/1000)*(s_Irr!AA13+s_Irr!AZ13+s_Irr!BY13)),IF(AND(s_Irr!AA13&lt;&gt;".",s_Irr!AZ13&lt;&gt;".",s_Irr!BY13="."),s_dir!BB13/((1/1000)*(s_Irr!AA13+s_Irr!AZ13)),IF(AND(s_Irr!AA13&lt;&gt;".",s_Irr!AZ13=".",s_Irr!BY13&lt;&gt;"."),s_dir!BB13/((1/1000)*(s_Irr!AA13+s_Irr!BY13)),IF(AND(s_Irr!AA13=".",s_Irr!AZ13&lt;&gt;".",s_Irr!BY13&lt;&gt;"."),s_dir!BB13/((1/1000)*(s_Irr!AZ13+s_Irr!BY13)),IF(AND(s_Irr!AA13=".",s_Irr!AZ13=".",s_Irr!BY13&lt;&gt;"."),s_dir!BB13/((1/1000)*(s_Irr!BY13)),IF(AND(s_Irr!AA13=".",s_Irr!AZ13&lt;&gt;".",s_Irr!BY13="."),s_dir!BB13/((1/1000)*(s_Irr!AZ13)),IF(AND(s_Irr!AA13&lt;&gt;".",s_Irr!AZ13=".",s_Irr!BY13="."),s_dir!BB13/((1/1000)*(s_Irr!AA13)),IF(AND(s_Irr!AA13=".",s_Irr!AZ13=".",s_Irr!BY13="."),s_dir!BB13*1000)))))))),".")</f>
        <v>324.9920417063027</v>
      </c>
      <c r="CC13" s="93">
        <f t="shared" si="2"/>
        <v>8314.7723901112822</v>
      </c>
      <c r="CD13" s="93">
        <f>IFERROR(s_C*s_IFAP_far_adj*s_CF_apple*(1/1000)*(s_Irr!C13+s_Irr!AB13+s_Irr!BA13),".")</f>
        <v>1778.158251559031</v>
      </c>
      <c r="CE13" s="93">
        <f>IFERROR(s_C*s_IFAS_far_adj*s_CF_asparagus*(1/1000)*(s_Irr!D13+s_Irr!AC13+s_Irr!BB13),".")</f>
        <v>2580.5862902956992</v>
      </c>
      <c r="CF13" s="93">
        <f>IFERROR(s_C*s_IFBT_far_adj*s_CF_beet*(1/1000)*(s_Irr!E13+s_Irr!AD13+s_Irr!BC13),".")</f>
        <v>2430.3188673113045</v>
      </c>
      <c r="CG13" s="93">
        <f>IFERROR(s_C*s_IFBE_far_adj*s_CF_berries*(1/1000)*(s_Irr!F13+s_Irr!AE13+s_Irr!BD13),".")</f>
        <v>1778.158251559031</v>
      </c>
      <c r="CH13" s="93">
        <f>IFERROR(s_C*s_IFBR_far_adj*s_CF_broccoli*(1/1000)*(s_Irr!G13+s_Irr!AF13+s_Irr!BE13),".")</f>
        <v>2310.1049289237885</v>
      </c>
      <c r="CI13" s="93">
        <f>IFERROR(s_C*s_IFCB_far_adj*s_CF_cabbage*(1/1000)*(s_Irr!H13+s_Irr!AG13+s_Irr!BF13),".")</f>
        <v>2580.5862902956992</v>
      </c>
      <c r="CJ13" s="93">
        <f>IFERROR(s_C*s_IFCR_far_adj*s_CF_carrot*(1/1000)*(s_Irr!I13+s_Irr!AH13+s_Irr!BG13),".")</f>
        <v>2430.3188673113045</v>
      </c>
      <c r="CK13" s="93">
        <f>IFERROR(s_C*s_IFCI_far_adj*s_CF_citrus*(1/1000)*(s_Irr!J13+s_Irr!AI13+s_Irr!BH13),".")</f>
        <v>1778.158251559031</v>
      </c>
      <c r="CL13" s="93">
        <f>IFERROR(s_C*s_IFCO_far_adj*s_CF_corn*(1/1000)*(s_Irr!K13+s_Irr!AJ13+s_Irr!BI13),".")</f>
        <v>1913.3989322449863</v>
      </c>
      <c r="CM13" s="93">
        <f>IFERROR(s_C*s_IFCU_far_adj*s_CF_cucumber*(1/1000)*(s_Irr!L13+s_Irr!AK13+s_Irr!BJ13),".")</f>
        <v>2310.1049289237885</v>
      </c>
      <c r="CN13" s="93">
        <f>IFERROR(s_C*s_IFLE_far_adj*s_CF_lettuce*(1/1000)*(s_Irr!M13+s_Irr!AL13+s_Irr!BK13),".")</f>
        <v>2580.5862902956992</v>
      </c>
      <c r="CO13" s="93">
        <f>IFERROR(s_C*s_IFLI_far_adj*s_CF_lima_bean*(1/1000)*(s_Irr!N13+s_Irr!AM13+s_Irr!BL13),".")</f>
        <v>2280.0514443269094</v>
      </c>
      <c r="CP13" s="93">
        <f>IFERROR(s_C*s_IFOK_far_adj*s_CF_okra*(1/1000)*(s_Irr!O13+s_Irr!AN13+s_Irr!BM13),".")</f>
        <v>2310.1049289237885</v>
      </c>
      <c r="CQ13" s="93">
        <f>IFERROR(s_C*s_IFON_far_adj*s_CF_onion*(1/1000)*(s_Irr!P13+s_Irr!AO13+s_Irr!BN13),".")</f>
        <v>2430.3188673113045</v>
      </c>
      <c r="CR13" s="93">
        <f>IFERROR(s_C*s_IFPC_far_adj*s_CF_peach*(1/1000)*(s_Irr!Q13+s_Irr!AP13+s_Irr!BO13),".")</f>
        <v>1778.158251559031</v>
      </c>
      <c r="CS13" s="93">
        <f>IFERROR(s_C*s_IFPR_far_adj*s_CF_pear*(1/1000)*(s_Irr!R13+s_Irr!AQ13+s_Irr!BP13),".")</f>
        <v>1778.158251559031</v>
      </c>
      <c r="CT13" s="93">
        <f>IFERROR(s_C*s_IFPE_far_adj*s_CF_peas*(1/1000)*(s_Irr!S13+s_Irr!AR13+s_Irr!BQ13),".")</f>
        <v>2280.0514443269094</v>
      </c>
      <c r="CU13" s="93">
        <f>IFERROR(s_C*s_IFPP_far_adj*s_CF_peppers*(1/1000)*(s_Irr!T13+s_Irr!AS13+s_Irr!BR13),".")</f>
        <v>2310.1049289237885</v>
      </c>
      <c r="CV13" s="93">
        <f>IFERROR(s_C*s_IFPT_far_adj*s_CF_potato*(1/1000)*(s_Irr!U13+s_Irr!AT13+s_Irr!BS13),".")</f>
        <v>1940.4470683821773</v>
      </c>
      <c r="CW13" s="93">
        <f>IFERROR(s_C*s_IFPU_far_adj*s_CF_pumpkin*(1/1000)*(s_Irr!V13+s_Irr!AU13+s_Irr!BT13),".")</f>
        <v>2310.1049289237885</v>
      </c>
      <c r="CX13" s="93">
        <f>IFERROR(s_C*s_IFSN_far_adj*s_CF_snap_bean*(1/1000)*(s_Irr!W13+s_Irr!AV13+s_Irr!BU13),".")</f>
        <v>2280.0514443269094</v>
      </c>
      <c r="CY13" s="93">
        <f>IFERROR(s_C*s_IFST_far_adj*s_CF_strawberry*(1/1000)*(s_Irr!X13+s_Irr!AW13+s_Irr!BV13),".")</f>
        <v>1778.158251559031</v>
      </c>
      <c r="CZ13" s="93">
        <f>IFERROR(s_C*s_IFTO_far_adj*s_CF_tomato*(1/1000)*(s_Irr!Y13+s_Irr!AX13+s_Irr!BW13),".")</f>
        <v>2310.1049289237885</v>
      </c>
      <c r="DA13" s="93">
        <f>IFERROR(s_C*s_IFRI_far_adj*s_CF_rice*(1/1000)*(s_Irr!Z13+s_Irr!AY13+s_Irr!BX13),".")</f>
        <v>2370.2118981175463</v>
      </c>
      <c r="DB13" s="93">
        <f>IFERROR(s_C*s_IFCG_far_adj*s_CF_cereal*(1/1000)*(s_Irr!AA13+s_Irr!AZ13+s_Irr!BY13),".")</f>
        <v>1856.2973115109164</v>
      </c>
    </row>
    <row r="14" spans="1:106" ht="15" customHeight="1" x14ac:dyDescent="0.25">
      <c r="A14" s="92" t="s">
        <v>24</v>
      </c>
      <c r="B14" s="90" t="s">
        <v>1071</v>
      </c>
      <c r="C14" s="15">
        <f t="shared" si="3"/>
        <v>674.51302213912368</v>
      </c>
      <c r="D14" s="76">
        <f>IFERROR(IF(AND(s_Irr!C14&lt;&gt;".",s_Irr!AB14&lt;&gt;".",s_Irr!BA14&lt;&gt;"."),s_dir!D14/((1/1000)*(s_Irr!C14+s_Irr!AB14+s_Irr!BA14)),IF(AND(s_Irr!C14&lt;&gt;".",s_Irr!AB14&lt;&gt;".",s_Irr!BA14="."),s_dir!D14/((1/1000)*(s_Irr!C14+s_Irr!AB14)),IF(AND(s_Irr!C14&lt;&gt;".",s_Irr!AB14=".",s_Irr!BA14&lt;&gt;"."),s_dir!D14/((1/1000)*(s_Irr!C14+s_Irr!BA14)),IF(AND(s_Irr!C14=".",s_Irr!AB14&lt;&gt;".",s_Irr!BA14&lt;&gt;"."),s_dir!D14/((1/1000)*(s_Irr!AB14+s_Irr!BA14)),IF(AND(s_Irr!C14=".",s_Irr!AB14=".",s_Irr!BA14&lt;&gt;"."),s_dir!D14/((1/1000)*(s_Irr!BA14)),IF(AND(s_Irr!C14=".",s_Irr!AB14&lt;&gt;".",s_Irr!BA14="."),s_dir!D14/((1/1000)*(s_Irr!AB14)),IF(AND(s_Irr!C14&lt;&gt;".",s_Irr!AB14=".",s_Irr!BA14="."),s_dir!D14/((1/1000)*(s_Irr!C14)),IF(AND(s_Irr!C14=".",s_Irr!AB14=".",s_Irr!BA14="."),s_dir!D14*1000)))))))),".")</f>
        <v>2698.0520885564947</v>
      </c>
      <c r="E14" s="76">
        <f>IFERROR(IF(AND(s_Irr!D14&lt;&gt;".",s_Irr!AC14&lt;&gt;".",s_Irr!BB14&lt;&gt;"."),s_dir!E14/((1/1000)*(s_Irr!D14+s_Irr!AC14+s_Irr!BB14)),IF(AND(s_Irr!D14&lt;&gt;".",s_Irr!AC14&lt;&gt;".",s_Irr!BB14="."),s_dir!E14/((1/1000)*(s_Irr!D14+s_Irr!AC14)),IF(AND(s_Irr!D14&lt;&gt;".",s_Irr!AC14=".",s_Irr!BB14&lt;&gt;"."),s_dir!E14/((1/1000)*(s_Irr!D14+s_Irr!BB14)),IF(AND(s_Irr!D14=".",s_Irr!AC14&lt;&gt;".",s_Irr!BB14&lt;&gt;"."),s_dir!E14/((1/1000)*(s_Irr!AC14+s_Irr!BB14)),IF(AND(s_Irr!D14=".",s_Irr!AC14=".",s_Irr!BB14&lt;&gt;"."),s_dir!E14/((1/1000)*(s_Irr!BB14)),IF(AND(s_Irr!D14=".",s_Irr!AC14&lt;&gt;".",s_Irr!BB14="."),s_dir!E14/((1/1000)*(s_Irr!AC14)),IF(AND(s_Irr!D14&lt;&gt;".",s_Irr!AC14=".",s_Irr!BB14="."),s_dir!E14/((1/1000)*(s_Irr!D14)),IF(AND(s_Irr!D14=".",s_Irr!AC14=".",s_Irr!BB14="."),s_dir!E14*1000)))))))),".")</f>
        <v>2698.0520885564947</v>
      </c>
      <c r="F14" s="76">
        <f>IFERROR(IF(AND(s_Irr!E14&lt;&gt;".",s_Irr!AD14&lt;&gt;".",s_Irr!BC14&lt;&gt;"."),s_dir!F14/((1/1000)*(s_Irr!E14+s_Irr!AD14+s_Irr!BC14)),IF(AND(s_Irr!E14&lt;&gt;".",s_Irr!AD14&lt;&gt;".",s_Irr!BC14="."),s_dir!F14/((1/1000)*(s_Irr!E14+s_Irr!AD14)),IF(AND(s_Irr!E14&lt;&gt;".",s_Irr!AD14=".",s_Irr!BC14&lt;&gt;"."),s_dir!F14/((1/1000)*(s_Irr!E14+s_Irr!BC14)),IF(AND(s_Irr!E14=".",s_Irr!AD14&lt;&gt;".",s_Irr!BC14&lt;&gt;"."),s_dir!F14/((1/1000)*(s_Irr!AD14+s_Irr!BC14)),IF(AND(s_Irr!E14=".",s_Irr!AD14=".",s_Irr!BC14&lt;&gt;"."),s_dir!F14/((1/1000)*(s_Irr!BC14)),IF(AND(s_Irr!E14=".",s_Irr!AD14&lt;&gt;".",s_Irr!BC14="."),s_dir!F14/((1/1000)*(s_Irr!AD14)),IF(AND(s_Irr!E14&lt;&gt;".",s_Irr!AD14=".",s_Irr!BC14="."),s_dir!F14/((1/1000)*(s_Irr!E14)),IF(AND(s_Irr!E14=".",s_Irr!AD14=".",s_Irr!BC14="."),s_dir!F14*1000)))))))),".")</f>
        <v>2698.0520885564947</v>
      </c>
      <c r="G14" s="76">
        <f>IFERROR(IF(AND(s_Irr!F14&lt;&gt;".",s_Irr!AE14&lt;&gt;".",s_Irr!BD14&lt;&gt;"."),s_dir!G14/((1/1000)*(s_Irr!F14+s_Irr!AE14+s_Irr!BD14)),IF(AND(s_Irr!F14&lt;&gt;".",s_Irr!AE14&lt;&gt;".",s_Irr!BD14="."),s_dir!G14/((1/1000)*(s_Irr!F14+s_Irr!AE14)),IF(AND(s_Irr!F14&lt;&gt;".",s_Irr!AE14=".",s_Irr!BD14&lt;&gt;"."),s_dir!G14/((1/1000)*(s_Irr!F14+s_Irr!BD14)),IF(AND(s_Irr!F14=".",s_Irr!AE14&lt;&gt;".",s_Irr!BD14&lt;&gt;"."),s_dir!G14/((1/1000)*(s_Irr!AE14+s_Irr!BD14)),IF(AND(s_Irr!F14=".",s_Irr!AE14=".",s_Irr!BD14&lt;&gt;"."),s_dir!G14/((1/1000)*(s_Irr!BD14)),IF(AND(s_Irr!F14=".",s_Irr!AE14&lt;&gt;".",s_Irr!BD14="."),s_dir!G14/((1/1000)*(s_Irr!AE14)),IF(AND(s_Irr!F14&lt;&gt;".",s_Irr!AE14=".",s_Irr!BD14="."),s_dir!G14/((1/1000)*(s_Irr!F14)),IF(AND(s_Irr!F14=".",s_Irr!AE14=".",s_Irr!BD14="."),s_dir!G14*1000)))))))),".")</f>
        <v>2698.0520885564947</v>
      </c>
      <c r="H14" s="76">
        <f>IFERROR(IF(AND(s_Irr!G14&lt;&gt;".",s_Irr!AF14&lt;&gt;".",s_Irr!BE14&lt;&gt;"."),s_dir!H14/((1/1000)*(s_Irr!G14+s_Irr!AF14+s_Irr!BE14)),IF(AND(s_Irr!G14&lt;&gt;".",s_Irr!AF14&lt;&gt;".",s_Irr!BE14="."),s_dir!H14/((1/1000)*(s_Irr!G14+s_Irr!AF14)),IF(AND(s_Irr!G14&lt;&gt;".",s_Irr!AF14=".",s_Irr!BE14&lt;&gt;"."),s_dir!H14/((1/1000)*(s_Irr!G14+s_Irr!BE14)),IF(AND(s_Irr!G14=".",s_Irr!AF14&lt;&gt;".",s_Irr!BE14&lt;&gt;"."),s_dir!H14/((1/1000)*(s_Irr!AF14+s_Irr!BE14)),IF(AND(s_Irr!G14=".",s_Irr!AF14=".",s_Irr!BE14&lt;&gt;"."),s_dir!H14/((1/1000)*(s_Irr!BE14)),IF(AND(s_Irr!G14=".",s_Irr!AF14&lt;&gt;".",s_Irr!BE14="."),s_dir!H14/((1/1000)*(s_Irr!AF14)),IF(AND(s_Irr!G14&lt;&gt;".",s_Irr!AF14=".",s_Irr!BE14="."),s_dir!H14/((1/1000)*(s_Irr!G14)),IF(AND(s_Irr!G14=".",s_Irr!AF14=".",s_Irr!BE14="."),s_dir!H14*1000)))))))),".")</f>
        <v>2698.0520885564947</v>
      </c>
      <c r="I14" s="76">
        <f>IFERROR(IF(AND(s_Irr!H14&lt;&gt;".",s_Irr!AG14&lt;&gt;".",s_Irr!BF14&lt;&gt;"."),s_dir!I14/((1/1000)*(s_Irr!H14+s_Irr!AG14+s_Irr!BF14)),IF(AND(s_Irr!H14&lt;&gt;".",s_Irr!AG14&lt;&gt;".",s_Irr!BF14="."),s_dir!I14/((1/1000)*(s_Irr!H14+s_Irr!AG14)),IF(AND(s_Irr!H14&lt;&gt;".",s_Irr!AG14=".",s_Irr!BF14&lt;&gt;"."),s_dir!I14/((1/1000)*(s_Irr!H14+s_Irr!BF14)),IF(AND(s_Irr!H14=".",s_Irr!AG14&lt;&gt;".",s_Irr!BF14&lt;&gt;"."),s_dir!I14/((1/1000)*(s_Irr!AG14+s_Irr!BF14)),IF(AND(s_Irr!H14=".",s_Irr!AG14=".",s_Irr!BF14&lt;&gt;"."),s_dir!I14/((1/1000)*(s_Irr!BF14)),IF(AND(s_Irr!H14=".",s_Irr!AG14&lt;&gt;".",s_Irr!BF14="."),s_dir!I14/((1/1000)*(s_Irr!AG14)),IF(AND(s_Irr!H14&lt;&gt;".",s_Irr!AG14=".",s_Irr!BF14="."),s_dir!I14/((1/1000)*(s_Irr!H14)),IF(AND(s_Irr!H14=".",s_Irr!AG14=".",s_Irr!BF14="."),s_dir!I14*1000)))))))),".")</f>
        <v>2698.0520885564947</v>
      </c>
      <c r="J14" s="76">
        <f>IFERROR(IF(AND(s_Irr!I14&lt;&gt;".",s_Irr!AH14&lt;&gt;".",s_Irr!BG14&lt;&gt;"."),s_dir!J14/((1/1000)*(s_Irr!I14+s_Irr!AH14+s_Irr!BG14)),IF(AND(s_Irr!I14&lt;&gt;".",s_Irr!AH14&lt;&gt;".",s_Irr!BG14="."),s_dir!J14/((1/1000)*(s_Irr!I14+s_Irr!AH14)),IF(AND(s_Irr!I14&lt;&gt;".",s_Irr!AH14=".",s_Irr!BG14&lt;&gt;"."),s_dir!J14/((1/1000)*(s_Irr!I14+s_Irr!BG14)),IF(AND(s_Irr!I14=".",s_Irr!AH14&lt;&gt;".",s_Irr!BG14&lt;&gt;"."),s_dir!J14/((1/1000)*(s_Irr!AH14+s_Irr!BG14)),IF(AND(s_Irr!I14=".",s_Irr!AH14=".",s_Irr!BG14&lt;&gt;"."),s_dir!J14/((1/1000)*(s_Irr!BG14)),IF(AND(s_Irr!I14=".",s_Irr!AH14&lt;&gt;".",s_Irr!BG14="."),s_dir!J14/((1/1000)*(s_Irr!AH14)),IF(AND(s_Irr!I14&lt;&gt;".",s_Irr!AH14=".",s_Irr!BG14="."),s_dir!J14/((1/1000)*(s_Irr!I14)),IF(AND(s_Irr!I14=".",s_Irr!AH14=".",s_Irr!BG14="."),s_dir!J14*1000)))))))),".")</f>
        <v>2698.0520885564947</v>
      </c>
      <c r="K14" s="76">
        <f>IFERROR(IF(AND(s_Irr!J14&lt;&gt;".",s_Irr!AI14&lt;&gt;".",s_Irr!BH14&lt;&gt;"."),s_dir!K14/((1/1000)*(s_Irr!J14+s_Irr!AI14+s_Irr!BH14)),IF(AND(s_Irr!J14&lt;&gt;".",s_Irr!AI14&lt;&gt;".",s_Irr!BH14="."),s_dir!K14/((1/1000)*(s_Irr!J14+s_Irr!AI14)),IF(AND(s_Irr!J14&lt;&gt;".",s_Irr!AI14=".",s_Irr!BH14&lt;&gt;"."),s_dir!K14/((1/1000)*(s_Irr!J14+s_Irr!BH14)),IF(AND(s_Irr!J14=".",s_Irr!AI14&lt;&gt;".",s_Irr!BH14&lt;&gt;"."),s_dir!K14/((1/1000)*(s_Irr!AI14+s_Irr!BH14)),IF(AND(s_Irr!J14=".",s_Irr!AI14=".",s_Irr!BH14&lt;&gt;"."),s_dir!K14/((1/1000)*(s_Irr!BH14)),IF(AND(s_Irr!J14=".",s_Irr!AI14&lt;&gt;".",s_Irr!BH14="."),s_dir!K14/((1/1000)*(s_Irr!AI14)),IF(AND(s_Irr!J14&lt;&gt;".",s_Irr!AI14=".",s_Irr!BH14="."),s_dir!K14/((1/1000)*(s_Irr!J14)),IF(AND(s_Irr!J14=".",s_Irr!AI14=".",s_Irr!BH14="."),s_dir!K14*1000)))))))),".")</f>
        <v>2698.0520885564947</v>
      </c>
      <c r="L14" s="76">
        <f>IFERROR(IF(AND(s_Irr!K14&lt;&gt;".",s_Irr!AJ14&lt;&gt;".",s_Irr!BI14&lt;&gt;"."),s_dir!L14/((1/1000)*(s_Irr!K14+s_Irr!AJ14+s_Irr!BI14)),IF(AND(s_Irr!K14&lt;&gt;".",s_Irr!AJ14&lt;&gt;".",s_Irr!BI14="."),s_dir!L14/((1/1000)*(s_Irr!K14+s_Irr!AJ14)),IF(AND(s_Irr!K14&lt;&gt;".",s_Irr!AJ14=".",s_Irr!BI14&lt;&gt;"."),s_dir!L14/((1/1000)*(s_Irr!K14+s_Irr!BI14)),IF(AND(s_Irr!K14=".",s_Irr!AJ14&lt;&gt;".",s_Irr!BI14&lt;&gt;"."),s_dir!L14/((1/1000)*(s_Irr!AJ14+s_Irr!BI14)),IF(AND(s_Irr!K14=".",s_Irr!AJ14=".",s_Irr!BI14&lt;&gt;"."),s_dir!L14/((1/1000)*(s_Irr!BI14)),IF(AND(s_Irr!K14=".",s_Irr!AJ14&lt;&gt;".",s_Irr!BI14="."),s_dir!L14/((1/1000)*(s_Irr!AJ14)),IF(AND(s_Irr!K14&lt;&gt;".",s_Irr!AJ14=".",s_Irr!BI14="."),s_dir!L14/((1/1000)*(s_Irr!K14)),IF(AND(s_Irr!K14=".",s_Irr!AJ14=".",s_Irr!BI14="."),s_dir!L14*1000)))))))),".")</f>
        <v>2698.0520885564947</v>
      </c>
      <c r="M14" s="76">
        <f>IFERROR(IF(AND(s_Irr!L14&lt;&gt;".",s_Irr!AK14&lt;&gt;".",s_Irr!BJ14&lt;&gt;"."),s_dir!M14/((1/1000)*(s_Irr!L14+s_Irr!AK14+s_Irr!BJ14)),IF(AND(s_Irr!L14&lt;&gt;".",s_Irr!AK14&lt;&gt;".",s_Irr!BJ14="."),s_dir!M14/((1/1000)*(s_Irr!L14+s_Irr!AK14)),IF(AND(s_Irr!L14&lt;&gt;".",s_Irr!AK14=".",s_Irr!BJ14&lt;&gt;"."),s_dir!M14/((1/1000)*(s_Irr!L14+s_Irr!BJ14)),IF(AND(s_Irr!L14=".",s_Irr!AK14&lt;&gt;".",s_Irr!BJ14&lt;&gt;"."),s_dir!M14/((1/1000)*(s_Irr!AK14+s_Irr!BJ14)),IF(AND(s_Irr!L14=".",s_Irr!AK14=".",s_Irr!BJ14&lt;&gt;"."),s_dir!M14/((1/1000)*(s_Irr!BJ14)),IF(AND(s_Irr!L14=".",s_Irr!AK14&lt;&gt;".",s_Irr!BJ14="."),s_dir!M14/((1/1000)*(s_Irr!AK14)),IF(AND(s_Irr!L14&lt;&gt;".",s_Irr!AK14=".",s_Irr!BJ14="."),s_dir!M14/((1/1000)*(s_Irr!L14)),IF(AND(s_Irr!L14=".",s_Irr!AK14=".",s_Irr!BJ14="."),s_dir!M14*1000)))))))),".")</f>
        <v>2698.0520885564947</v>
      </c>
      <c r="N14" s="76">
        <f>IFERROR(IF(AND(s_Irr!M14&lt;&gt;".",s_Irr!AL14&lt;&gt;".",s_Irr!BK14&lt;&gt;"."),s_dir!N14/((1/1000)*(s_Irr!M14+s_Irr!AL14+s_Irr!BK14)),IF(AND(s_Irr!M14&lt;&gt;".",s_Irr!AL14&lt;&gt;".",s_Irr!BK14="."),s_dir!N14/((1/1000)*(s_Irr!M14+s_Irr!AL14)),IF(AND(s_Irr!M14&lt;&gt;".",s_Irr!AL14=".",s_Irr!BK14&lt;&gt;"."),s_dir!N14/((1/1000)*(s_Irr!M14+s_Irr!BK14)),IF(AND(s_Irr!M14=".",s_Irr!AL14&lt;&gt;".",s_Irr!BK14&lt;&gt;"."),s_dir!N14/((1/1000)*(s_Irr!AL14+s_Irr!BK14)),IF(AND(s_Irr!M14=".",s_Irr!AL14=".",s_Irr!BK14&lt;&gt;"."),s_dir!N14/((1/1000)*(s_Irr!BK14)),IF(AND(s_Irr!M14=".",s_Irr!AL14&lt;&gt;".",s_Irr!BK14="."),s_dir!N14/((1/1000)*(s_Irr!AL14)),IF(AND(s_Irr!M14&lt;&gt;".",s_Irr!AL14=".",s_Irr!BK14="."),s_dir!N14/((1/1000)*(s_Irr!M14)),IF(AND(s_Irr!M14=".",s_Irr!AL14=".",s_Irr!BK14="."),s_dir!N14*1000)))))))),".")</f>
        <v>2698.0520885564947</v>
      </c>
      <c r="O14" s="76">
        <f>IFERROR(IF(AND(s_Irr!N14&lt;&gt;".",s_Irr!AM14&lt;&gt;".",s_Irr!BL14&lt;&gt;"."),s_dir!O14/((1/1000)*(s_Irr!N14+s_Irr!AM14+s_Irr!BL14)),IF(AND(s_Irr!N14&lt;&gt;".",s_Irr!AM14&lt;&gt;".",s_Irr!BL14="."),s_dir!O14/((1/1000)*(s_Irr!N14+s_Irr!AM14)),IF(AND(s_Irr!N14&lt;&gt;".",s_Irr!AM14=".",s_Irr!BL14&lt;&gt;"."),s_dir!O14/((1/1000)*(s_Irr!N14+s_Irr!BL14)),IF(AND(s_Irr!N14=".",s_Irr!AM14&lt;&gt;".",s_Irr!BL14&lt;&gt;"."),s_dir!O14/((1/1000)*(s_Irr!AM14+s_Irr!BL14)),IF(AND(s_Irr!N14=".",s_Irr!AM14=".",s_Irr!BL14&lt;&gt;"."),s_dir!O14/((1/1000)*(s_Irr!BL14)),IF(AND(s_Irr!N14=".",s_Irr!AM14&lt;&gt;".",s_Irr!BL14="."),s_dir!O14/((1/1000)*(s_Irr!AM14)),IF(AND(s_Irr!N14&lt;&gt;".",s_Irr!AM14=".",s_Irr!BL14="."),s_dir!O14/((1/1000)*(s_Irr!N14)),IF(AND(s_Irr!N14=".",s_Irr!AM14=".",s_Irr!BL14="."),s_dir!O14*1000)))))))),".")</f>
        <v>2698.0520885564947</v>
      </c>
      <c r="P14" s="76">
        <f>IFERROR(IF(AND(s_Irr!O14&lt;&gt;".",s_Irr!AN14&lt;&gt;".",s_Irr!BM14&lt;&gt;"."),s_dir!P14/((1/1000)*(s_Irr!O14+s_Irr!AN14+s_Irr!BM14)),IF(AND(s_Irr!O14&lt;&gt;".",s_Irr!AN14&lt;&gt;".",s_Irr!BM14="."),s_dir!P14/((1/1000)*(s_Irr!O14+s_Irr!AN14)),IF(AND(s_Irr!O14&lt;&gt;".",s_Irr!AN14=".",s_Irr!BM14&lt;&gt;"."),s_dir!P14/((1/1000)*(s_Irr!O14+s_Irr!BM14)),IF(AND(s_Irr!O14=".",s_Irr!AN14&lt;&gt;".",s_Irr!BM14&lt;&gt;"."),s_dir!P14/((1/1000)*(s_Irr!AN14+s_Irr!BM14)),IF(AND(s_Irr!O14=".",s_Irr!AN14=".",s_Irr!BM14&lt;&gt;"."),s_dir!P14/((1/1000)*(s_Irr!BM14)),IF(AND(s_Irr!O14=".",s_Irr!AN14&lt;&gt;".",s_Irr!BM14="."),s_dir!P14/((1/1000)*(s_Irr!AN14)),IF(AND(s_Irr!O14&lt;&gt;".",s_Irr!AN14=".",s_Irr!BM14="."),s_dir!P14/((1/1000)*(s_Irr!O14)),IF(AND(s_Irr!O14=".",s_Irr!AN14=".",s_Irr!BM14="."),s_dir!P14*1000)))))))),".")</f>
        <v>2698.0520885564947</v>
      </c>
      <c r="Q14" s="76">
        <f>IFERROR(IF(AND(s_Irr!P14&lt;&gt;".",s_Irr!AO14&lt;&gt;".",s_Irr!BN14&lt;&gt;"."),s_dir!Q14/((1/1000)*(s_Irr!P14+s_Irr!AO14+s_Irr!BN14)),IF(AND(s_Irr!P14&lt;&gt;".",s_Irr!AO14&lt;&gt;".",s_Irr!BN14="."),s_dir!Q14/((1/1000)*(s_Irr!P14+s_Irr!AO14)),IF(AND(s_Irr!P14&lt;&gt;".",s_Irr!AO14=".",s_Irr!BN14&lt;&gt;"."),s_dir!Q14/((1/1000)*(s_Irr!P14+s_Irr!BN14)),IF(AND(s_Irr!P14=".",s_Irr!AO14&lt;&gt;".",s_Irr!BN14&lt;&gt;"."),s_dir!Q14/((1/1000)*(s_Irr!AO14+s_Irr!BN14)),IF(AND(s_Irr!P14=".",s_Irr!AO14=".",s_Irr!BN14&lt;&gt;"."),s_dir!Q14/((1/1000)*(s_Irr!BN14)),IF(AND(s_Irr!P14=".",s_Irr!AO14&lt;&gt;".",s_Irr!BN14="."),s_dir!Q14/((1/1000)*(s_Irr!AO14)),IF(AND(s_Irr!P14&lt;&gt;".",s_Irr!AO14=".",s_Irr!BN14="."),s_dir!Q14/((1/1000)*(s_Irr!P14)),IF(AND(s_Irr!P14=".",s_Irr!AO14=".",s_Irr!BN14="."),s_dir!Q14*1000)))))))),".")</f>
        <v>2698.0520885564947</v>
      </c>
      <c r="R14" s="76">
        <f>IFERROR(IF(AND(s_Irr!Q14&lt;&gt;".",s_Irr!AP14&lt;&gt;".",s_Irr!BO14&lt;&gt;"."),s_dir!R14/((1/1000)*(s_Irr!Q14+s_Irr!AP14+s_Irr!BO14)),IF(AND(s_Irr!Q14&lt;&gt;".",s_Irr!AP14&lt;&gt;".",s_Irr!BO14="."),s_dir!R14/((1/1000)*(s_Irr!Q14+s_Irr!AP14)),IF(AND(s_Irr!Q14&lt;&gt;".",s_Irr!AP14=".",s_Irr!BO14&lt;&gt;"."),s_dir!R14/((1/1000)*(s_Irr!Q14+s_Irr!BO14)),IF(AND(s_Irr!Q14=".",s_Irr!AP14&lt;&gt;".",s_Irr!BO14&lt;&gt;"."),s_dir!R14/((1/1000)*(s_Irr!AP14+s_Irr!BO14)),IF(AND(s_Irr!Q14=".",s_Irr!AP14=".",s_Irr!BO14&lt;&gt;"."),s_dir!R14/((1/1000)*(s_Irr!BO14)),IF(AND(s_Irr!Q14=".",s_Irr!AP14&lt;&gt;".",s_Irr!BO14="."),s_dir!R14/((1/1000)*(s_Irr!AP14)),IF(AND(s_Irr!Q14&lt;&gt;".",s_Irr!AP14=".",s_Irr!BO14="."),s_dir!R14/((1/1000)*(s_Irr!Q14)),IF(AND(s_Irr!Q14=".",s_Irr!AP14=".",s_Irr!BO14="."),s_dir!R14*1000)))))))),".")</f>
        <v>2698.0520885564947</v>
      </c>
      <c r="S14" s="76">
        <f>IFERROR(IF(AND(s_Irr!R14&lt;&gt;".",s_Irr!AQ14&lt;&gt;".",s_Irr!BP14&lt;&gt;"."),s_dir!S14/((1/1000)*(s_Irr!R14+s_Irr!AQ14+s_Irr!BP14)),IF(AND(s_Irr!R14&lt;&gt;".",s_Irr!AQ14&lt;&gt;".",s_Irr!BP14="."),s_dir!S14/((1/1000)*(s_Irr!R14+s_Irr!AQ14)),IF(AND(s_Irr!R14&lt;&gt;".",s_Irr!AQ14=".",s_Irr!BP14&lt;&gt;"."),s_dir!S14/((1/1000)*(s_Irr!R14+s_Irr!BP14)),IF(AND(s_Irr!R14=".",s_Irr!AQ14&lt;&gt;".",s_Irr!BP14&lt;&gt;"."),s_dir!S14/((1/1000)*(s_Irr!AQ14+s_Irr!BP14)),IF(AND(s_Irr!R14=".",s_Irr!AQ14=".",s_Irr!BP14&lt;&gt;"."),s_dir!S14/((1/1000)*(s_Irr!BP14)),IF(AND(s_Irr!R14=".",s_Irr!AQ14&lt;&gt;".",s_Irr!BP14="."),s_dir!S14/((1/1000)*(s_Irr!AQ14)),IF(AND(s_Irr!R14&lt;&gt;".",s_Irr!AQ14=".",s_Irr!BP14="."),s_dir!S14/((1/1000)*(s_Irr!R14)),IF(AND(s_Irr!R14=".",s_Irr!AQ14=".",s_Irr!BP14="."),s_dir!S14*1000)))))))),".")</f>
        <v>2698.0520885564947</v>
      </c>
      <c r="T14" s="76">
        <f>IFERROR(IF(AND(s_Irr!S14&lt;&gt;".",s_Irr!AR14&lt;&gt;".",s_Irr!BQ14&lt;&gt;"."),s_dir!T14/((1/1000)*(s_Irr!S14+s_Irr!AR14+s_Irr!BQ14)),IF(AND(s_Irr!S14&lt;&gt;".",s_Irr!AR14&lt;&gt;".",s_Irr!BQ14="."),s_dir!T14/((1/1000)*(s_Irr!S14+s_Irr!AR14)),IF(AND(s_Irr!S14&lt;&gt;".",s_Irr!AR14=".",s_Irr!BQ14&lt;&gt;"."),s_dir!T14/((1/1000)*(s_Irr!S14+s_Irr!BQ14)),IF(AND(s_Irr!S14=".",s_Irr!AR14&lt;&gt;".",s_Irr!BQ14&lt;&gt;"."),s_dir!T14/((1/1000)*(s_Irr!AR14+s_Irr!BQ14)),IF(AND(s_Irr!S14=".",s_Irr!AR14=".",s_Irr!BQ14&lt;&gt;"."),s_dir!T14/((1/1000)*(s_Irr!BQ14)),IF(AND(s_Irr!S14=".",s_Irr!AR14&lt;&gt;".",s_Irr!BQ14="."),s_dir!T14/((1/1000)*(s_Irr!AR14)),IF(AND(s_Irr!S14&lt;&gt;".",s_Irr!AR14=".",s_Irr!BQ14="."),s_dir!T14/((1/1000)*(s_Irr!S14)),IF(AND(s_Irr!S14=".",s_Irr!AR14=".",s_Irr!BQ14="."),s_dir!T14*1000)))))))),".")</f>
        <v>2698.0520885564947</v>
      </c>
      <c r="U14" s="76">
        <f>IFERROR(IF(AND(s_Irr!T14&lt;&gt;".",s_Irr!AS14&lt;&gt;".",s_Irr!BR14&lt;&gt;"."),s_dir!U14/((1/1000)*(s_Irr!T14+s_Irr!AS14+s_Irr!BR14)),IF(AND(s_Irr!T14&lt;&gt;".",s_Irr!AS14&lt;&gt;".",s_Irr!BR14="."),s_dir!U14/((1/1000)*(s_Irr!T14+s_Irr!AS14)),IF(AND(s_Irr!T14&lt;&gt;".",s_Irr!AS14=".",s_Irr!BR14&lt;&gt;"."),s_dir!U14/((1/1000)*(s_Irr!T14+s_Irr!BR14)),IF(AND(s_Irr!T14=".",s_Irr!AS14&lt;&gt;".",s_Irr!BR14&lt;&gt;"."),s_dir!U14/((1/1000)*(s_Irr!AS14+s_Irr!BR14)),IF(AND(s_Irr!T14=".",s_Irr!AS14=".",s_Irr!BR14&lt;&gt;"."),s_dir!U14/((1/1000)*(s_Irr!BR14)),IF(AND(s_Irr!T14=".",s_Irr!AS14&lt;&gt;".",s_Irr!BR14="."),s_dir!U14/((1/1000)*(s_Irr!AS14)),IF(AND(s_Irr!T14&lt;&gt;".",s_Irr!AS14=".",s_Irr!BR14="."),s_dir!U14/((1/1000)*(s_Irr!T14)),IF(AND(s_Irr!T14=".",s_Irr!AS14=".",s_Irr!BR14="."),s_dir!U14*1000)))))))),".")</f>
        <v>2698.0520885564947</v>
      </c>
      <c r="V14" s="76">
        <f>IFERROR(IF(AND(s_Irr!U14&lt;&gt;".",s_Irr!AT14&lt;&gt;".",s_Irr!BS14&lt;&gt;"."),s_dir!V14/((1/1000)*(s_Irr!U14+s_Irr!AT14+s_Irr!BS14)),IF(AND(s_Irr!U14&lt;&gt;".",s_Irr!AT14&lt;&gt;".",s_Irr!BS14="."),s_dir!V14/((1/1000)*(s_Irr!U14+s_Irr!AT14)),IF(AND(s_Irr!U14&lt;&gt;".",s_Irr!AT14=".",s_Irr!BS14&lt;&gt;"."),s_dir!V14/((1/1000)*(s_Irr!U14+s_Irr!BS14)),IF(AND(s_Irr!U14=".",s_Irr!AT14&lt;&gt;".",s_Irr!BS14&lt;&gt;"."),s_dir!V14/((1/1000)*(s_Irr!AT14+s_Irr!BS14)),IF(AND(s_Irr!U14=".",s_Irr!AT14=".",s_Irr!BS14&lt;&gt;"."),s_dir!V14/((1/1000)*(s_Irr!BS14)),IF(AND(s_Irr!U14=".",s_Irr!AT14&lt;&gt;".",s_Irr!BS14="."),s_dir!V14/((1/1000)*(s_Irr!AT14)),IF(AND(s_Irr!U14&lt;&gt;".",s_Irr!AT14=".",s_Irr!BS14="."),s_dir!V14/((1/1000)*(s_Irr!U14)),IF(AND(s_Irr!U14=".",s_Irr!AT14=".",s_Irr!BS14="."),s_dir!V14*1000)))))))),".")</f>
        <v>2698.0520885564947</v>
      </c>
      <c r="W14" s="76">
        <f>IFERROR(IF(AND(s_Irr!V14&lt;&gt;".",s_Irr!AU14&lt;&gt;".",s_Irr!BT14&lt;&gt;"."),s_dir!W14/((1/1000)*(s_Irr!V14+s_Irr!AU14+s_Irr!BT14)),IF(AND(s_Irr!V14&lt;&gt;".",s_Irr!AU14&lt;&gt;".",s_Irr!BT14="."),s_dir!W14/((1/1000)*(s_Irr!V14+s_Irr!AU14)),IF(AND(s_Irr!V14&lt;&gt;".",s_Irr!AU14=".",s_Irr!BT14&lt;&gt;"."),s_dir!W14/((1/1000)*(s_Irr!V14+s_Irr!BT14)),IF(AND(s_Irr!V14=".",s_Irr!AU14&lt;&gt;".",s_Irr!BT14&lt;&gt;"."),s_dir!W14/((1/1000)*(s_Irr!AU14+s_Irr!BT14)),IF(AND(s_Irr!V14=".",s_Irr!AU14=".",s_Irr!BT14&lt;&gt;"."),s_dir!W14/((1/1000)*(s_Irr!BT14)),IF(AND(s_Irr!V14=".",s_Irr!AU14&lt;&gt;".",s_Irr!BT14="."),s_dir!W14/((1/1000)*(s_Irr!AU14)),IF(AND(s_Irr!V14&lt;&gt;".",s_Irr!AU14=".",s_Irr!BT14="."),s_dir!W14/((1/1000)*(s_Irr!V14)),IF(AND(s_Irr!V14=".",s_Irr!AU14=".",s_Irr!BT14="."),s_dir!W14*1000)))))))),".")</f>
        <v>2698.0520885564947</v>
      </c>
      <c r="X14" s="76">
        <f>IFERROR(IF(AND(s_Irr!W14&lt;&gt;".",s_Irr!AV14&lt;&gt;".",s_Irr!BU14&lt;&gt;"."),s_dir!X14/((1/1000)*(s_Irr!W14+s_Irr!AV14+s_Irr!BU14)),IF(AND(s_Irr!W14&lt;&gt;".",s_Irr!AV14&lt;&gt;".",s_Irr!BU14="."),s_dir!X14/((1/1000)*(s_Irr!W14+s_Irr!AV14)),IF(AND(s_Irr!W14&lt;&gt;".",s_Irr!AV14=".",s_Irr!BU14&lt;&gt;"."),s_dir!X14/((1/1000)*(s_Irr!W14+s_Irr!BU14)),IF(AND(s_Irr!W14=".",s_Irr!AV14&lt;&gt;".",s_Irr!BU14&lt;&gt;"."),s_dir!X14/((1/1000)*(s_Irr!AV14+s_Irr!BU14)),IF(AND(s_Irr!W14=".",s_Irr!AV14=".",s_Irr!BU14&lt;&gt;"."),s_dir!X14/((1/1000)*(s_Irr!BU14)),IF(AND(s_Irr!W14=".",s_Irr!AV14&lt;&gt;".",s_Irr!BU14="."),s_dir!X14/((1/1000)*(s_Irr!AV14)),IF(AND(s_Irr!W14&lt;&gt;".",s_Irr!AV14=".",s_Irr!BU14="."),s_dir!X14/((1/1000)*(s_Irr!W14)),IF(AND(s_Irr!W14=".",s_Irr!AV14=".",s_Irr!BU14="."),s_dir!X14*1000)))))))),".")</f>
        <v>2698.0520885564947</v>
      </c>
      <c r="Y14" s="76">
        <f>IFERROR(IF(AND(s_Irr!X14&lt;&gt;".",s_Irr!AW14&lt;&gt;".",s_Irr!BV14&lt;&gt;"."),s_dir!Y14/((1/1000)*(s_Irr!X14+s_Irr!AW14+s_Irr!BV14)),IF(AND(s_Irr!X14&lt;&gt;".",s_Irr!AW14&lt;&gt;".",s_Irr!BV14="."),s_dir!Y14/((1/1000)*(s_Irr!X14+s_Irr!AW14)),IF(AND(s_Irr!X14&lt;&gt;".",s_Irr!AW14=".",s_Irr!BV14&lt;&gt;"."),s_dir!Y14/((1/1000)*(s_Irr!X14+s_Irr!BV14)),IF(AND(s_Irr!X14=".",s_Irr!AW14&lt;&gt;".",s_Irr!BV14&lt;&gt;"."),s_dir!Y14/((1/1000)*(s_Irr!AW14+s_Irr!BV14)),IF(AND(s_Irr!X14=".",s_Irr!AW14=".",s_Irr!BV14&lt;&gt;"."),s_dir!Y14/((1/1000)*(s_Irr!BV14)),IF(AND(s_Irr!X14=".",s_Irr!AW14&lt;&gt;".",s_Irr!BV14="."),s_dir!Y14/((1/1000)*(s_Irr!AW14)),IF(AND(s_Irr!X14&lt;&gt;".",s_Irr!AW14=".",s_Irr!BV14="."),s_dir!Y14/((1/1000)*(s_Irr!X14)),IF(AND(s_Irr!X14=".",s_Irr!AW14=".",s_Irr!BV14="."),s_dir!Y14*1000)))))))),".")</f>
        <v>2698.0520885564947</v>
      </c>
      <c r="Z14" s="76">
        <f>IFERROR(IF(AND(s_Irr!Y14&lt;&gt;".",s_Irr!AX14&lt;&gt;".",s_Irr!BW14&lt;&gt;"."),s_dir!Z14/((1/1000)*(s_Irr!Y14+s_Irr!AX14+s_Irr!BW14)),IF(AND(s_Irr!Y14&lt;&gt;".",s_Irr!AX14&lt;&gt;".",s_Irr!BW14="."),s_dir!Z14/((1/1000)*(s_Irr!Y14+s_Irr!AX14)),IF(AND(s_Irr!Y14&lt;&gt;".",s_Irr!AX14=".",s_Irr!BW14&lt;&gt;"."),s_dir!Z14/((1/1000)*(s_Irr!Y14+s_Irr!BW14)),IF(AND(s_Irr!Y14=".",s_Irr!AX14&lt;&gt;".",s_Irr!BW14&lt;&gt;"."),s_dir!Z14/((1/1000)*(s_Irr!AX14+s_Irr!BW14)),IF(AND(s_Irr!Y14=".",s_Irr!AX14=".",s_Irr!BW14&lt;&gt;"."),s_dir!Z14/((1/1000)*(s_Irr!BW14)),IF(AND(s_Irr!Y14=".",s_Irr!AX14&lt;&gt;".",s_Irr!BW14="."),s_dir!Z14/((1/1000)*(s_Irr!AX14)),IF(AND(s_Irr!Y14&lt;&gt;".",s_Irr!AX14=".",s_Irr!BW14="."),s_dir!Z14/((1/1000)*(s_Irr!Y14)),IF(AND(s_Irr!Y14=".",s_Irr!AX14=".",s_Irr!BW14="."),s_dir!Z14*1000)))))))),".")</f>
        <v>2698.0520885564947</v>
      </c>
      <c r="AA14" s="76">
        <f>IFERROR(IF(AND(s_Irr!Z14&lt;&gt;".",s_Irr!AY14&lt;&gt;".",s_Irr!BX14&lt;&gt;"."),s_dir!AA14/((1/1000)*(s_Irr!Z14+s_Irr!AY14+s_Irr!BX14)),IF(AND(s_Irr!Z14&lt;&gt;".",s_Irr!AY14&lt;&gt;".",s_Irr!BX14="."),s_dir!AA14/((1/1000)*(s_Irr!Z14+s_Irr!AY14)),IF(AND(s_Irr!Z14&lt;&gt;".",s_Irr!AY14=".",s_Irr!BX14&lt;&gt;"."),s_dir!AA14/((1/1000)*(s_Irr!Z14+s_Irr!BX14)),IF(AND(s_Irr!Z14=".",s_Irr!AY14&lt;&gt;".",s_Irr!BX14&lt;&gt;"."),s_dir!AA14/((1/1000)*(s_Irr!AY14+s_Irr!BX14)),IF(AND(s_Irr!Z14=".",s_Irr!AY14=".",s_Irr!BX14&lt;&gt;"."),s_dir!AA14/((1/1000)*(s_Irr!BX14)),IF(AND(s_Irr!Z14=".",s_Irr!AY14&lt;&gt;".",s_Irr!BX14="."),s_dir!AA14/((1/1000)*(s_Irr!AY14)),IF(AND(s_Irr!Z14&lt;&gt;".",s_Irr!AY14=".",s_Irr!BX14="."),s_dir!AA14/((1/1000)*(s_Irr!Z14)),IF(AND(s_Irr!Z14=".",s_Irr!AY14=".",s_Irr!BX14="."),s_dir!AA14*1000)))))))),".")</f>
        <v>2698.0520885564947</v>
      </c>
      <c r="AB14" s="76">
        <f>IFERROR(IF(AND(s_Irr!AA14&lt;&gt;".",s_Irr!AZ14&lt;&gt;".",s_Irr!BY14&lt;&gt;"."),s_dir!AB14/((1/1000)*(s_Irr!AA14+s_Irr!AZ14+s_Irr!BY14)),IF(AND(s_Irr!AA14&lt;&gt;".",s_Irr!AZ14&lt;&gt;".",s_Irr!BY14="."),s_dir!AB14/((1/1000)*(s_Irr!AA14+s_Irr!AZ14)),IF(AND(s_Irr!AA14&lt;&gt;".",s_Irr!AZ14=".",s_Irr!BY14&lt;&gt;"."),s_dir!AB14/((1/1000)*(s_Irr!AA14+s_Irr!BY14)),IF(AND(s_Irr!AA14=".",s_Irr!AZ14&lt;&gt;".",s_Irr!BY14&lt;&gt;"."),s_dir!AB14/((1/1000)*(s_Irr!AZ14+s_Irr!BY14)),IF(AND(s_Irr!AA14=".",s_Irr!AZ14=".",s_Irr!BY14&lt;&gt;"."),s_dir!AB14/((1/1000)*(s_Irr!BY14)),IF(AND(s_Irr!AA14=".",s_Irr!AZ14&lt;&gt;".",s_Irr!BY14="."),s_dir!AB14/((1/1000)*(s_Irr!AZ14)),IF(AND(s_Irr!AA14&lt;&gt;".",s_Irr!AZ14=".",s_Irr!BY14="."),s_dir!AB14/((1/1000)*(s_Irr!AA14)),IF(AND(s_Irr!AA14=".",s_Irr!AZ14=".",s_Irr!BY14="."),s_dir!AB14*1000)))))))),".")</f>
        <v>2698.0520885564947</v>
      </c>
      <c r="AC14" s="93">
        <f t="shared" si="4"/>
        <v>8278.7082085950278</v>
      </c>
      <c r="AD14" s="93">
        <f>IFERROR(s_C*s_IFAP_res_adj*s_CF_apple*0.001*(s_Irr!C14+s_Irr!AB14+s_Irr!BA14),".")</f>
        <v>2069.677052148757</v>
      </c>
      <c r="AE14" s="93">
        <f>IFERROR(s_C*s_IFAS_res_adj*s_CF_asparagus*0.001*(s_Irr!D14+s_Irr!AC14+s_Irr!BB14),".")</f>
        <v>2069.677052148757</v>
      </c>
      <c r="AF14" s="93">
        <f>IFERROR(s_C*s_IFBT_res_adj*s_CF_beet*0.001*(s_Irr!E14+s_Irr!AD14+s_Irr!BC14),".")</f>
        <v>2069.677052148757</v>
      </c>
      <c r="AG14" s="93">
        <f>IFERROR(s_C*s_IFBE_res_adj*s_CF_berries*0.001*(s_Irr!F14+s_Irr!AE14+s_Irr!BD14),".")</f>
        <v>2069.677052148757</v>
      </c>
      <c r="AH14" s="93">
        <f>IFERROR(s_C*s_IFBR_res_adj*s_CF_broccoli*0.001*(s_Irr!G14+s_Irr!AF14+s_Irr!BE14),".")</f>
        <v>2069.677052148757</v>
      </c>
      <c r="AI14" s="93">
        <f>IFERROR(s_C*s_IFCB_res_adj*s_CF_cabbage*0.001*(s_Irr!H14+s_Irr!AG14+s_Irr!BF14),".")</f>
        <v>2069.677052148757</v>
      </c>
      <c r="AJ14" s="93">
        <f>IFERROR(s_C*s_IFCR_res_adj*s_CF_carrot*0.001*(s_Irr!I14+s_Irr!AH14+s_Irr!BG14),".")</f>
        <v>2069.677052148757</v>
      </c>
      <c r="AK14" s="93">
        <f>IFERROR(s_C*s_IFCI_res_adj*s_CF_citrus*0.001*(s_Irr!J14+s_Irr!AI14+s_Irr!BH14),".")</f>
        <v>2069.677052148757</v>
      </c>
      <c r="AL14" s="93">
        <f>IFERROR(s_C*s_IFCO_res_adj*s_CF_corn*0.001*(s_Irr!K14+s_Irr!AJ14+s_Irr!BI14),".")</f>
        <v>2069.677052148757</v>
      </c>
      <c r="AM14" s="93">
        <f>IFERROR(s_C*s_IFCU_res_adj*s_CF_cucumber*0.001*(s_Irr!L14+s_Irr!AK14+s_Irr!BJ14),".")</f>
        <v>2069.677052148757</v>
      </c>
      <c r="AN14" s="93">
        <f>IFERROR(s_C*s_IFLE_res_adj*s_CF_lettuce*0.001*(s_Irr!M14+s_Irr!AL14+s_Irr!BK14),".")</f>
        <v>2069.677052148757</v>
      </c>
      <c r="AO14" s="93">
        <f>IFERROR(s_C*s_IFLI_res_adj*s_CF_lima_bean*0.001*(s_Irr!N14+s_Irr!AM14+s_Irr!BL14),".")</f>
        <v>2069.677052148757</v>
      </c>
      <c r="AP14" s="93">
        <f>IFERROR(s_C*s_IFOK_res_adj*s_CF_okra*0.001*(s_Irr!O14+s_Irr!AN14+s_Irr!BM14),".")</f>
        <v>2069.677052148757</v>
      </c>
      <c r="AQ14" s="93">
        <f>IFERROR(s_C*s_IFON_res_adj*s_CF_onion*0.001*(s_Irr!P14+s_Irr!AO14+s_Irr!BN14),".")</f>
        <v>2069.677052148757</v>
      </c>
      <c r="AR14" s="93">
        <f>IFERROR(s_C*s_IFPC_res_adj*s_CF_peach*0.001*(s_Irr!Q14+s_Irr!AP14+s_Irr!BO14),".")</f>
        <v>2069.677052148757</v>
      </c>
      <c r="AS14" s="93">
        <f>IFERROR(s_C*s_IFPR_res_adj*s_CF_pear*0.001*(s_Irr!R14+s_Irr!AQ14+s_Irr!BP14),".")</f>
        <v>2069.677052148757</v>
      </c>
      <c r="AT14" s="93">
        <f>IFERROR(s_C*s_IFPE_res_adj*s_CF_peas*0.001*(s_Irr!S14+s_Irr!AR14+s_Irr!BQ14),".")</f>
        <v>2069.677052148757</v>
      </c>
      <c r="AU14" s="93">
        <f>IFERROR(s_C*s_IFPP_res_adj*s_CF_peppers*0.001*(s_Irr!T14+s_Irr!AS14+s_Irr!BR14),".")</f>
        <v>2069.677052148757</v>
      </c>
      <c r="AV14" s="93">
        <f>IFERROR(s_C*s_IFPT_res_adj*s_CF_potato*0.001*(s_Irr!U14+s_Irr!AT14+s_Irr!BS14),".")</f>
        <v>2069.677052148757</v>
      </c>
      <c r="AW14" s="93">
        <f>IFERROR(s_C*s_IFPU_res_adj*s_CF_pumpkin*0.001*(s_Irr!V14+s_Irr!AU14+s_Irr!BT14),".")</f>
        <v>2069.677052148757</v>
      </c>
      <c r="AX14" s="93">
        <f>IFERROR(s_C*s_IFSN_res_adj*s_CF_snap_bean*0.001*(s_Irr!W14+s_Irr!AV14+s_Irr!BU14),".")</f>
        <v>2069.677052148757</v>
      </c>
      <c r="AY14" s="93">
        <f>IFERROR(s_C*s_IFST_res_adj*s_CF_strawberry*0.001*(s_Irr!X14+s_Irr!AW14+s_Irr!BV14),".")</f>
        <v>2069.677052148757</v>
      </c>
      <c r="AZ14" s="93">
        <f>IFERROR(s_C*s_IFTO_res_adj*s_CF_tomato*0.001*(s_Irr!Y14+s_Irr!AX14+s_Irr!BW14),".")</f>
        <v>2069.677052148757</v>
      </c>
      <c r="BA14" s="93">
        <f>IFERROR(s_C*s_IFRI_res_adj*s_CF_rice*0.001*(s_Irr!Z14+s_Irr!AY14+s_Irr!BX14),".")</f>
        <v>2069.677052148757</v>
      </c>
      <c r="BB14" s="93">
        <f>IFERROR(s_C*s_IFCG_res_adj*s_CF_cereal*0.001*(s_Irr!AA14+s_Irr!AZ14+s_Irr!BY14),".")</f>
        <v>2069.677052148757</v>
      </c>
      <c r="BC14" s="76">
        <f t="shared" si="1"/>
        <v>674.51302213912368</v>
      </c>
      <c r="BD14" s="76">
        <f>IFERROR(IF(AND(s_Irr!C14&lt;&gt;".",s_Irr!AB14&lt;&gt;".",s_Irr!BA14&lt;&gt;"."),s_dir!AD14/((1/1000)*(s_Irr!C14+s_Irr!AB14+s_Irr!BA14)),IF(AND(s_Irr!C14&lt;&gt;".",s_Irr!AB14&lt;&gt;".",s_Irr!BA14="."),s_dir!AD14/((1/1000)*(s_Irr!C14+s_Irr!AB14)),IF(AND(s_Irr!C14&lt;&gt;".",s_Irr!AB14=".",s_Irr!BA14&lt;&gt;"."),s_dir!AD14/((1/1000)*(s_Irr!C14+s_Irr!BA14)),IF(AND(s_Irr!C14=".",s_Irr!AB14&lt;&gt;".",s_Irr!BA14&lt;&gt;"."),s_dir!AD14/((1/1000)*(s_Irr!AB14+s_Irr!BA14)),IF(AND(s_Irr!C14=".",s_Irr!AB14=".",s_Irr!BA14&lt;&gt;"."),s_dir!AD14/((1/1000)*(s_Irr!BA14)),IF(AND(s_Irr!C14=".",s_Irr!AB14&lt;&gt;".",s_Irr!BA14="."),s_dir!AD14/((1/1000)*(s_Irr!AB14)),IF(AND(s_Irr!C14&lt;&gt;".",s_Irr!AB14=".",s_Irr!BA14="."),s_dir!AD14/((1/1000)*(s_Irr!C14)),IF(AND(s_Irr!C14=".",s_Irr!AB14=".",s_Irr!BA14="."),s_dir!AD14*1000)))))))),".")</f>
        <v>2698.0520885564947</v>
      </c>
      <c r="BE14" s="76">
        <f>IFERROR(IF(AND(s_Irr!D14&lt;&gt;".",s_Irr!AC14&lt;&gt;".",s_Irr!BB14&lt;&gt;"."),s_dir!AE14/((1/1000)*(s_Irr!D14+s_Irr!AC14+s_Irr!BB14)),IF(AND(s_Irr!D14&lt;&gt;".",s_Irr!AC14&lt;&gt;".",s_Irr!BB14="."),s_dir!AE14/((1/1000)*(s_Irr!D14+s_Irr!AC14)),IF(AND(s_Irr!D14&lt;&gt;".",s_Irr!AC14=".",s_Irr!BB14&lt;&gt;"."),s_dir!AE14/((1/1000)*(s_Irr!D14+s_Irr!BB14)),IF(AND(s_Irr!D14=".",s_Irr!AC14&lt;&gt;".",s_Irr!BB14&lt;&gt;"."),s_dir!AE14/((1/1000)*(s_Irr!AC14+s_Irr!BB14)),IF(AND(s_Irr!D14=".",s_Irr!AC14=".",s_Irr!BB14&lt;&gt;"."),s_dir!AE14/((1/1000)*(s_Irr!BB14)),IF(AND(s_Irr!D14=".",s_Irr!AC14&lt;&gt;".",s_Irr!BB14="."),s_dir!AE14/((1/1000)*(s_Irr!AC14)),IF(AND(s_Irr!D14&lt;&gt;".",s_Irr!AC14=".",s_Irr!BB14="."),s_dir!AE14/((1/1000)*(s_Irr!D14)),IF(AND(s_Irr!D14=".",s_Irr!AC14=".",s_Irr!BB14="."),s_dir!AE14*1000)))))))),".")</f>
        <v>2698.0520885564947</v>
      </c>
      <c r="BF14" s="76">
        <f>IFERROR(IF(AND(s_Irr!E14&lt;&gt;".",s_Irr!AD14&lt;&gt;".",s_Irr!BC14&lt;&gt;"."),s_dir!AF14/((1/1000)*(s_Irr!E14+s_Irr!AD14+s_Irr!BC14)),IF(AND(s_Irr!E14&lt;&gt;".",s_Irr!AD14&lt;&gt;".",s_Irr!BC14="."),s_dir!AF14/((1/1000)*(s_Irr!E14+s_Irr!AD14)),IF(AND(s_Irr!E14&lt;&gt;".",s_Irr!AD14=".",s_Irr!BC14&lt;&gt;"."),s_dir!AF14/((1/1000)*(s_Irr!E14+s_Irr!BC14)),IF(AND(s_Irr!E14=".",s_Irr!AD14&lt;&gt;".",s_Irr!BC14&lt;&gt;"."),s_dir!AF14/((1/1000)*(s_Irr!AD14+s_Irr!BC14)),IF(AND(s_Irr!E14=".",s_Irr!AD14=".",s_Irr!BC14&lt;&gt;"."),s_dir!AF14/((1/1000)*(s_Irr!BC14)),IF(AND(s_Irr!E14=".",s_Irr!AD14&lt;&gt;".",s_Irr!BC14="."),s_dir!AF14/((1/1000)*(s_Irr!AD14)),IF(AND(s_Irr!E14&lt;&gt;".",s_Irr!AD14=".",s_Irr!BC14="."),s_dir!AF14/((1/1000)*(s_Irr!E14)),IF(AND(s_Irr!E14=".",s_Irr!AD14=".",s_Irr!BC14="."),s_dir!AF14*1000)))))))),".")</f>
        <v>2698.0520885564947</v>
      </c>
      <c r="BG14" s="76">
        <f>IFERROR(IF(AND(s_Irr!F14&lt;&gt;".",s_Irr!AE14&lt;&gt;".",s_Irr!BD14&lt;&gt;"."),s_dir!AG14/((1/1000)*(s_Irr!F14+s_Irr!AE14+s_Irr!BD14)),IF(AND(s_Irr!F14&lt;&gt;".",s_Irr!AE14&lt;&gt;".",s_Irr!BD14="."),s_dir!AG14/((1/1000)*(s_Irr!F14+s_Irr!AE14)),IF(AND(s_Irr!F14&lt;&gt;".",s_Irr!AE14=".",s_Irr!BD14&lt;&gt;"."),s_dir!AG14/((1/1000)*(s_Irr!F14+s_Irr!BD14)),IF(AND(s_Irr!F14=".",s_Irr!AE14&lt;&gt;".",s_Irr!BD14&lt;&gt;"."),s_dir!AG14/((1/1000)*(s_Irr!AE14+s_Irr!BD14)),IF(AND(s_Irr!F14=".",s_Irr!AE14=".",s_Irr!BD14&lt;&gt;"."),s_dir!AG14/((1/1000)*(s_Irr!BD14)),IF(AND(s_Irr!F14=".",s_Irr!AE14&lt;&gt;".",s_Irr!BD14="."),s_dir!AG14/((1/1000)*(s_Irr!AE14)),IF(AND(s_Irr!F14&lt;&gt;".",s_Irr!AE14=".",s_Irr!BD14="."),s_dir!AG14/((1/1000)*(s_Irr!F14)),IF(AND(s_Irr!F14=".",s_Irr!AE14=".",s_Irr!BD14="."),s_dir!AG14*1000)))))))),".")</f>
        <v>2698.0520885564947</v>
      </c>
      <c r="BH14" s="76">
        <f>IFERROR(IF(AND(s_Irr!G14&lt;&gt;".",s_Irr!AF14&lt;&gt;".",s_Irr!BE14&lt;&gt;"."),s_dir!AH14/((1/1000)*(s_Irr!G14+s_Irr!AF14+s_Irr!BE14)),IF(AND(s_Irr!G14&lt;&gt;".",s_Irr!AF14&lt;&gt;".",s_Irr!BE14="."),s_dir!AH14/((1/1000)*(s_Irr!G14+s_Irr!AF14)),IF(AND(s_Irr!G14&lt;&gt;".",s_Irr!AF14=".",s_Irr!BE14&lt;&gt;"."),s_dir!AH14/((1/1000)*(s_Irr!G14+s_Irr!BE14)),IF(AND(s_Irr!G14=".",s_Irr!AF14&lt;&gt;".",s_Irr!BE14&lt;&gt;"."),s_dir!AH14/((1/1000)*(s_Irr!AF14+s_Irr!BE14)),IF(AND(s_Irr!G14=".",s_Irr!AF14=".",s_Irr!BE14&lt;&gt;"."),s_dir!AH14/((1/1000)*(s_Irr!BE14)),IF(AND(s_Irr!G14=".",s_Irr!AF14&lt;&gt;".",s_Irr!BE14="."),s_dir!AH14/((1/1000)*(s_Irr!AF14)),IF(AND(s_Irr!G14&lt;&gt;".",s_Irr!AF14=".",s_Irr!BE14="."),s_dir!AH14/((1/1000)*(s_Irr!G14)),IF(AND(s_Irr!G14=".",s_Irr!AF14=".",s_Irr!BE14="."),s_dir!AH14*1000)))))))),".")</f>
        <v>2698.0520885564947</v>
      </c>
      <c r="BI14" s="76">
        <f>IFERROR(IF(AND(s_Irr!H14&lt;&gt;".",s_Irr!AG14&lt;&gt;".",s_Irr!BF14&lt;&gt;"."),s_dir!AI14/((1/1000)*(s_Irr!H14+s_Irr!AG14+s_Irr!BF14)),IF(AND(s_Irr!H14&lt;&gt;".",s_Irr!AG14&lt;&gt;".",s_Irr!BF14="."),s_dir!AI14/((1/1000)*(s_Irr!H14+s_Irr!AG14)),IF(AND(s_Irr!H14&lt;&gt;".",s_Irr!AG14=".",s_Irr!BF14&lt;&gt;"."),s_dir!AI14/((1/1000)*(s_Irr!H14+s_Irr!BF14)),IF(AND(s_Irr!H14=".",s_Irr!AG14&lt;&gt;".",s_Irr!BF14&lt;&gt;"."),s_dir!AI14/((1/1000)*(s_Irr!AG14+s_Irr!BF14)),IF(AND(s_Irr!H14=".",s_Irr!AG14=".",s_Irr!BF14&lt;&gt;"."),s_dir!AI14/((1/1000)*(s_Irr!BF14)),IF(AND(s_Irr!H14=".",s_Irr!AG14&lt;&gt;".",s_Irr!BF14="."),s_dir!AI14/((1/1000)*(s_Irr!AG14)),IF(AND(s_Irr!H14&lt;&gt;".",s_Irr!AG14=".",s_Irr!BF14="."),s_dir!AI14/((1/1000)*(s_Irr!H14)),IF(AND(s_Irr!H14=".",s_Irr!AG14=".",s_Irr!BF14="."),s_dir!AI14*1000)))))))),".")</f>
        <v>2698.0520885564947</v>
      </c>
      <c r="BJ14" s="76">
        <f>IFERROR(IF(AND(s_Irr!I14&lt;&gt;".",s_Irr!AH14&lt;&gt;".",s_Irr!BG14&lt;&gt;"."),s_dir!AJ14/((1/1000)*(s_Irr!I14+s_Irr!AH14+s_Irr!BG14)),IF(AND(s_Irr!I14&lt;&gt;".",s_Irr!AH14&lt;&gt;".",s_Irr!BG14="."),s_dir!AJ14/((1/1000)*(s_Irr!I14+s_Irr!AH14)),IF(AND(s_Irr!I14&lt;&gt;".",s_Irr!AH14=".",s_Irr!BG14&lt;&gt;"."),s_dir!AJ14/((1/1000)*(s_Irr!I14+s_Irr!BG14)),IF(AND(s_Irr!I14=".",s_Irr!AH14&lt;&gt;".",s_Irr!BG14&lt;&gt;"."),s_dir!AJ14/((1/1000)*(s_Irr!AH14+s_Irr!BG14)),IF(AND(s_Irr!I14=".",s_Irr!AH14=".",s_Irr!BG14&lt;&gt;"."),s_dir!AJ14/((1/1000)*(s_Irr!BG14)),IF(AND(s_Irr!I14=".",s_Irr!AH14&lt;&gt;".",s_Irr!BG14="."),s_dir!AJ14/((1/1000)*(s_Irr!AH14)),IF(AND(s_Irr!I14&lt;&gt;".",s_Irr!AH14=".",s_Irr!BG14="."),s_dir!AJ14/((1/1000)*(s_Irr!I14)),IF(AND(s_Irr!I14=".",s_Irr!AH14=".",s_Irr!BG14="."),s_dir!AJ14*1000)))))))),".")</f>
        <v>2698.0520885564947</v>
      </c>
      <c r="BK14" s="76">
        <f>IFERROR(IF(AND(s_Irr!J14&lt;&gt;".",s_Irr!AI14&lt;&gt;".",s_Irr!BH14&lt;&gt;"."),s_dir!AK14/((1/1000)*(s_Irr!J14+s_Irr!AI14+s_Irr!BH14)),IF(AND(s_Irr!J14&lt;&gt;".",s_Irr!AI14&lt;&gt;".",s_Irr!BH14="."),s_dir!AK14/((1/1000)*(s_Irr!J14+s_Irr!AI14)),IF(AND(s_Irr!J14&lt;&gt;".",s_Irr!AI14=".",s_Irr!BH14&lt;&gt;"."),s_dir!AK14/((1/1000)*(s_Irr!J14+s_Irr!BH14)),IF(AND(s_Irr!J14=".",s_Irr!AI14&lt;&gt;".",s_Irr!BH14&lt;&gt;"."),s_dir!AK14/((1/1000)*(s_Irr!AI14+s_Irr!BH14)),IF(AND(s_Irr!J14=".",s_Irr!AI14=".",s_Irr!BH14&lt;&gt;"."),s_dir!AK14/((1/1000)*(s_Irr!BH14)),IF(AND(s_Irr!J14=".",s_Irr!AI14&lt;&gt;".",s_Irr!BH14="."),s_dir!AK14/((1/1000)*(s_Irr!AI14)),IF(AND(s_Irr!J14&lt;&gt;".",s_Irr!AI14=".",s_Irr!BH14="."),s_dir!AK14/((1/1000)*(s_Irr!J14)),IF(AND(s_Irr!J14=".",s_Irr!AI14=".",s_Irr!BH14="."),s_dir!AK14*1000)))))))),".")</f>
        <v>2698.0520885564947</v>
      </c>
      <c r="BL14" s="76">
        <f>IFERROR(IF(AND(s_Irr!K14&lt;&gt;".",s_Irr!AJ14&lt;&gt;".",s_Irr!BI14&lt;&gt;"."),s_dir!AL14/((1/1000)*(s_Irr!K14+s_Irr!AJ14+s_Irr!BI14)),IF(AND(s_Irr!K14&lt;&gt;".",s_Irr!AJ14&lt;&gt;".",s_Irr!BI14="."),s_dir!AL14/((1/1000)*(s_Irr!K14+s_Irr!AJ14)),IF(AND(s_Irr!K14&lt;&gt;".",s_Irr!AJ14=".",s_Irr!BI14&lt;&gt;"."),s_dir!AL14/((1/1000)*(s_Irr!K14+s_Irr!BI14)),IF(AND(s_Irr!K14=".",s_Irr!AJ14&lt;&gt;".",s_Irr!BI14&lt;&gt;"."),s_dir!AL14/((1/1000)*(s_Irr!AJ14+s_Irr!BI14)),IF(AND(s_Irr!K14=".",s_Irr!AJ14=".",s_Irr!BI14&lt;&gt;"."),s_dir!AL14/((1/1000)*(s_Irr!BI14)),IF(AND(s_Irr!K14=".",s_Irr!AJ14&lt;&gt;".",s_Irr!BI14="."),s_dir!AL14/((1/1000)*(s_Irr!AJ14)),IF(AND(s_Irr!K14&lt;&gt;".",s_Irr!AJ14=".",s_Irr!BI14="."),s_dir!AL14/((1/1000)*(s_Irr!K14)),IF(AND(s_Irr!K14=".",s_Irr!AJ14=".",s_Irr!BI14="."),s_dir!AL14*1000)))))))),".")</f>
        <v>2698.0520885564947</v>
      </c>
      <c r="BM14" s="76">
        <f>IFERROR(IF(AND(s_Irr!L14&lt;&gt;".",s_Irr!AK14&lt;&gt;".",s_Irr!BJ14&lt;&gt;"."),s_dir!AM14/((1/1000)*(s_Irr!L14+s_Irr!AK14+s_Irr!BJ14)),IF(AND(s_Irr!L14&lt;&gt;".",s_Irr!AK14&lt;&gt;".",s_Irr!BJ14="."),s_dir!AM14/((1/1000)*(s_Irr!L14+s_Irr!AK14)),IF(AND(s_Irr!L14&lt;&gt;".",s_Irr!AK14=".",s_Irr!BJ14&lt;&gt;"."),s_dir!AM14/((1/1000)*(s_Irr!L14+s_Irr!BJ14)),IF(AND(s_Irr!L14=".",s_Irr!AK14&lt;&gt;".",s_Irr!BJ14&lt;&gt;"."),s_dir!AM14/((1/1000)*(s_Irr!AK14+s_Irr!BJ14)),IF(AND(s_Irr!L14=".",s_Irr!AK14=".",s_Irr!BJ14&lt;&gt;"."),s_dir!AM14/((1/1000)*(s_Irr!BJ14)),IF(AND(s_Irr!L14=".",s_Irr!AK14&lt;&gt;".",s_Irr!BJ14="."),s_dir!AM14/((1/1000)*(s_Irr!AK14)),IF(AND(s_Irr!L14&lt;&gt;".",s_Irr!AK14=".",s_Irr!BJ14="."),s_dir!AM14/((1/1000)*(s_Irr!L14)),IF(AND(s_Irr!L14=".",s_Irr!AK14=".",s_Irr!BJ14="."),s_dir!AM14*1000)))))))),".")</f>
        <v>2698.0520885564947</v>
      </c>
      <c r="BN14" s="76">
        <f>IFERROR(IF(AND(s_Irr!M14&lt;&gt;".",s_Irr!AL14&lt;&gt;".",s_Irr!BK14&lt;&gt;"."),s_dir!AN14/((1/1000)*(s_Irr!M14+s_Irr!AL14+s_Irr!BK14)),IF(AND(s_Irr!M14&lt;&gt;".",s_Irr!AL14&lt;&gt;".",s_Irr!BK14="."),s_dir!AN14/((1/1000)*(s_Irr!M14+s_Irr!AL14)),IF(AND(s_Irr!M14&lt;&gt;".",s_Irr!AL14=".",s_Irr!BK14&lt;&gt;"."),s_dir!AN14/((1/1000)*(s_Irr!M14+s_Irr!BK14)),IF(AND(s_Irr!M14=".",s_Irr!AL14&lt;&gt;".",s_Irr!BK14&lt;&gt;"."),s_dir!AN14/((1/1000)*(s_Irr!AL14+s_Irr!BK14)),IF(AND(s_Irr!M14=".",s_Irr!AL14=".",s_Irr!BK14&lt;&gt;"."),s_dir!AN14/((1/1000)*(s_Irr!BK14)),IF(AND(s_Irr!M14=".",s_Irr!AL14&lt;&gt;".",s_Irr!BK14="."),s_dir!AN14/((1/1000)*(s_Irr!AL14)),IF(AND(s_Irr!M14&lt;&gt;".",s_Irr!AL14=".",s_Irr!BK14="."),s_dir!AN14/((1/1000)*(s_Irr!M14)),IF(AND(s_Irr!M14=".",s_Irr!AL14=".",s_Irr!BK14="."),s_dir!AN14*1000)))))))),".")</f>
        <v>2698.0520885564947</v>
      </c>
      <c r="BO14" s="76">
        <f>IFERROR(IF(AND(s_Irr!N14&lt;&gt;".",s_Irr!AM14&lt;&gt;".",s_Irr!BL14&lt;&gt;"."),s_dir!AO14/((1/1000)*(s_Irr!N14+s_Irr!AM14+s_Irr!BL14)),IF(AND(s_Irr!N14&lt;&gt;".",s_Irr!AM14&lt;&gt;".",s_Irr!BL14="."),s_dir!AO14/((1/1000)*(s_Irr!N14+s_Irr!AM14)),IF(AND(s_Irr!N14&lt;&gt;".",s_Irr!AM14=".",s_Irr!BL14&lt;&gt;"."),s_dir!AO14/((1/1000)*(s_Irr!N14+s_Irr!BL14)),IF(AND(s_Irr!N14=".",s_Irr!AM14&lt;&gt;".",s_Irr!BL14&lt;&gt;"."),s_dir!AO14/((1/1000)*(s_Irr!AM14+s_Irr!BL14)),IF(AND(s_Irr!N14=".",s_Irr!AM14=".",s_Irr!BL14&lt;&gt;"."),s_dir!AO14/((1/1000)*(s_Irr!BL14)),IF(AND(s_Irr!N14=".",s_Irr!AM14&lt;&gt;".",s_Irr!BL14="."),s_dir!AO14/((1/1000)*(s_Irr!AM14)),IF(AND(s_Irr!N14&lt;&gt;".",s_Irr!AM14=".",s_Irr!BL14="."),s_dir!AO14/((1/1000)*(s_Irr!N14)),IF(AND(s_Irr!N14=".",s_Irr!AM14=".",s_Irr!BL14="."),s_dir!AO14*1000)))))))),".")</f>
        <v>2698.0520885564947</v>
      </c>
      <c r="BP14" s="76">
        <f>IFERROR(IF(AND(s_Irr!O14&lt;&gt;".",s_Irr!AN14&lt;&gt;".",s_Irr!BM14&lt;&gt;"."),s_dir!AP14/((1/1000)*(s_Irr!O14+s_Irr!AN14+s_Irr!BM14)),IF(AND(s_Irr!O14&lt;&gt;".",s_Irr!AN14&lt;&gt;".",s_Irr!BM14="."),s_dir!AP14/((1/1000)*(s_Irr!O14+s_Irr!AN14)),IF(AND(s_Irr!O14&lt;&gt;".",s_Irr!AN14=".",s_Irr!BM14&lt;&gt;"."),s_dir!AP14/((1/1000)*(s_Irr!O14+s_Irr!BM14)),IF(AND(s_Irr!O14=".",s_Irr!AN14&lt;&gt;".",s_Irr!BM14&lt;&gt;"."),s_dir!AP14/((1/1000)*(s_Irr!AN14+s_Irr!BM14)),IF(AND(s_Irr!O14=".",s_Irr!AN14=".",s_Irr!BM14&lt;&gt;"."),s_dir!AP14/((1/1000)*(s_Irr!BM14)),IF(AND(s_Irr!O14=".",s_Irr!AN14&lt;&gt;".",s_Irr!BM14="."),s_dir!AP14/((1/1000)*(s_Irr!AN14)),IF(AND(s_Irr!O14&lt;&gt;".",s_Irr!AN14=".",s_Irr!BM14="."),s_dir!AP14/((1/1000)*(s_Irr!O14)),IF(AND(s_Irr!O14=".",s_Irr!AN14=".",s_Irr!BM14="."),s_dir!AP14*1000)))))))),".")</f>
        <v>2698.0520885564947</v>
      </c>
      <c r="BQ14" s="76">
        <f>IFERROR(IF(AND(s_Irr!P14&lt;&gt;".",s_Irr!AO14&lt;&gt;".",s_Irr!BN14&lt;&gt;"."),s_dir!AQ14/((1/1000)*(s_Irr!P14+s_Irr!AO14+s_Irr!BN14)),IF(AND(s_Irr!P14&lt;&gt;".",s_Irr!AO14&lt;&gt;".",s_Irr!BN14="."),s_dir!AQ14/((1/1000)*(s_Irr!P14+s_Irr!AO14)),IF(AND(s_Irr!P14&lt;&gt;".",s_Irr!AO14=".",s_Irr!BN14&lt;&gt;"."),s_dir!AQ14/((1/1000)*(s_Irr!P14+s_Irr!BN14)),IF(AND(s_Irr!P14=".",s_Irr!AO14&lt;&gt;".",s_Irr!BN14&lt;&gt;"."),s_dir!AQ14/((1/1000)*(s_Irr!AO14+s_Irr!BN14)),IF(AND(s_Irr!P14=".",s_Irr!AO14=".",s_Irr!BN14&lt;&gt;"."),s_dir!AQ14/((1/1000)*(s_Irr!BN14)),IF(AND(s_Irr!P14=".",s_Irr!AO14&lt;&gt;".",s_Irr!BN14="."),s_dir!AQ14/((1/1000)*(s_Irr!AO14)),IF(AND(s_Irr!P14&lt;&gt;".",s_Irr!AO14=".",s_Irr!BN14="."),s_dir!AQ14/((1/1000)*(s_Irr!P14)),IF(AND(s_Irr!P14=".",s_Irr!AO14=".",s_Irr!BN14="."),s_dir!AQ14*1000)))))))),".")</f>
        <v>2698.0520885564947</v>
      </c>
      <c r="BR14" s="76">
        <f>IFERROR(IF(AND(s_Irr!Q14&lt;&gt;".",s_Irr!AP14&lt;&gt;".",s_Irr!BO14&lt;&gt;"."),s_dir!AR14/((1/1000)*(s_Irr!Q14+s_Irr!AP14+s_Irr!BO14)),IF(AND(s_Irr!Q14&lt;&gt;".",s_Irr!AP14&lt;&gt;".",s_Irr!BO14="."),s_dir!AR14/((1/1000)*(s_Irr!Q14+s_Irr!AP14)),IF(AND(s_Irr!Q14&lt;&gt;".",s_Irr!AP14=".",s_Irr!BO14&lt;&gt;"."),s_dir!AR14/((1/1000)*(s_Irr!Q14+s_Irr!BO14)),IF(AND(s_Irr!Q14=".",s_Irr!AP14&lt;&gt;".",s_Irr!BO14&lt;&gt;"."),s_dir!AR14/((1/1000)*(s_Irr!AP14+s_Irr!BO14)),IF(AND(s_Irr!Q14=".",s_Irr!AP14=".",s_Irr!BO14&lt;&gt;"."),s_dir!AR14/((1/1000)*(s_Irr!BO14)),IF(AND(s_Irr!Q14=".",s_Irr!AP14&lt;&gt;".",s_Irr!BO14="."),s_dir!AR14/((1/1000)*(s_Irr!AP14)),IF(AND(s_Irr!Q14&lt;&gt;".",s_Irr!AP14=".",s_Irr!BO14="."),s_dir!AR14/((1/1000)*(s_Irr!Q14)),IF(AND(s_Irr!Q14=".",s_Irr!AP14=".",s_Irr!BO14="."),s_dir!AR14*1000)))))))),".")</f>
        <v>2698.0520885564947</v>
      </c>
      <c r="BS14" s="76">
        <f>IFERROR(IF(AND(s_Irr!R14&lt;&gt;".",s_Irr!AQ14&lt;&gt;".",s_Irr!BP14&lt;&gt;"."),s_dir!AS14/((1/1000)*(s_Irr!R14+s_Irr!AQ14+s_Irr!BP14)),IF(AND(s_Irr!R14&lt;&gt;".",s_Irr!AQ14&lt;&gt;".",s_Irr!BP14="."),s_dir!AS14/((1/1000)*(s_Irr!R14+s_Irr!AQ14)),IF(AND(s_Irr!R14&lt;&gt;".",s_Irr!AQ14=".",s_Irr!BP14&lt;&gt;"."),s_dir!AS14/((1/1000)*(s_Irr!R14+s_Irr!BP14)),IF(AND(s_Irr!R14=".",s_Irr!AQ14&lt;&gt;".",s_Irr!BP14&lt;&gt;"."),s_dir!AS14/((1/1000)*(s_Irr!AQ14+s_Irr!BP14)),IF(AND(s_Irr!R14=".",s_Irr!AQ14=".",s_Irr!BP14&lt;&gt;"."),s_dir!AS14/((1/1000)*(s_Irr!BP14)),IF(AND(s_Irr!R14=".",s_Irr!AQ14&lt;&gt;".",s_Irr!BP14="."),s_dir!AS14/((1/1000)*(s_Irr!AQ14)),IF(AND(s_Irr!R14&lt;&gt;".",s_Irr!AQ14=".",s_Irr!BP14="."),s_dir!AS14/((1/1000)*(s_Irr!R14)),IF(AND(s_Irr!R14=".",s_Irr!AQ14=".",s_Irr!BP14="."),s_dir!AS14*1000)))))))),".")</f>
        <v>2698.0520885564947</v>
      </c>
      <c r="BT14" s="76">
        <f>IFERROR(IF(AND(s_Irr!S14&lt;&gt;".",s_Irr!AR14&lt;&gt;".",s_Irr!BQ14&lt;&gt;"."),s_dir!AT14/((1/1000)*(s_Irr!S14+s_Irr!AR14+s_Irr!BQ14)),IF(AND(s_Irr!S14&lt;&gt;".",s_Irr!AR14&lt;&gt;".",s_Irr!BQ14="."),s_dir!AT14/((1/1000)*(s_Irr!S14+s_Irr!AR14)),IF(AND(s_Irr!S14&lt;&gt;".",s_Irr!AR14=".",s_Irr!BQ14&lt;&gt;"."),s_dir!AT14/((1/1000)*(s_Irr!S14+s_Irr!BQ14)),IF(AND(s_Irr!S14=".",s_Irr!AR14&lt;&gt;".",s_Irr!BQ14&lt;&gt;"."),s_dir!AT14/((1/1000)*(s_Irr!AR14+s_Irr!BQ14)),IF(AND(s_Irr!S14=".",s_Irr!AR14=".",s_Irr!BQ14&lt;&gt;"."),s_dir!AT14/((1/1000)*(s_Irr!BQ14)),IF(AND(s_Irr!S14=".",s_Irr!AR14&lt;&gt;".",s_Irr!BQ14="."),s_dir!AT14/((1/1000)*(s_Irr!AR14)),IF(AND(s_Irr!S14&lt;&gt;".",s_Irr!AR14=".",s_Irr!BQ14="."),s_dir!AT14/((1/1000)*(s_Irr!S14)),IF(AND(s_Irr!S14=".",s_Irr!AR14=".",s_Irr!BQ14="."),s_dir!AT14*1000)))))))),".")</f>
        <v>2698.0520885564947</v>
      </c>
      <c r="BU14" s="76">
        <f>IFERROR(IF(AND(s_Irr!T14&lt;&gt;".",s_Irr!AS14&lt;&gt;".",s_Irr!BR14&lt;&gt;"."),s_dir!AU14/((1/1000)*(s_Irr!T14+s_Irr!AS14+s_Irr!BR14)),IF(AND(s_Irr!T14&lt;&gt;".",s_Irr!AS14&lt;&gt;".",s_Irr!BR14="."),s_dir!AU14/((1/1000)*(s_Irr!T14+s_Irr!AS14)),IF(AND(s_Irr!T14&lt;&gt;".",s_Irr!AS14=".",s_Irr!BR14&lt;&gt;"."),s_dir!AU14/((1/1000)*(s_Irr!T14+s_Irr!BR14)),IF(AND(s_Irr!T14=".",s_Irr!AS14&lt;&gt;".",s_Irr!BR14&lt;&gt;"."),s_dir!AU14/((1/1000)*(s_Irr!AS14+s_Irr!BR14)),IF(AND(s_Irr!T14=".",s_Irr!AS14=".",s_Irr!BR14&lt;&gt;"."),s_dir!AU14/((1/1000)*(s_Irr!BR14)),IF(AND(s_Irr!T14=".",s_Irr!AS14&lt;&gt;".",s_Irr!BR14="."),s_dir!AU14/((1/1000)*(s_Irr!AS14)),IF(AND(s_Irr!T14&lt;&gt;".",s_Irr!AS14=".",s_Irr!BR14="."),s_dir!AU14/((1/1000)*(s_Irr!T14)),IF(AND(s_Irr!T14=".",s_Irr!AS14=".",s_Irr!BR14="."),s_dir!AU14*1000)))))))),".")</f>
        <v>2698.0520885564947</v>
      </c>
      <c r="BV14" s="76">
        <f>IFERROR(IF(AND(s_Irr!U14&lt;&gt;".",s_Irr!AT14&lt;&gt;".",s_Irr!BS14&lt;&gt;"."),s_dir!AV14/((1/1000)*(s_Irr!U14+s_Irr!AT14+s_Irr!BS14)),IF(AND(s_Irr!U14&lt;&gt;".",s_Irr!AT14&lt;&gt;".",s_Irr!BS14="."),s_dir!AV14/((1/1000)*(s_Irr!U14+s_Irr!AT14)),IF(AND(s_Irr!U14&lt;&gt;".",s_Irr!AT14=".",s_Irr!BS14&lt;&gt;"."),s_dir!AV14/((1/1000)*(s_Irr!U14+s_Irr!BS14)),IF(AND(s_Irr!U14=".",s_Irr!AT14&lt;&gt;".",s_Irr!BS14&lt;&gt;"."),s_dir!AV14/((1/1000)*(s_Irr!AT14+s_Irr!BS14)),IF(AND(s_Irr!U14=".",s_Irr!AT14=".",s_Irr!BS14&lt;&gt;"."),s_dir!AV14/((1/1000)*(s_Irr!BS14)),IF(AND(s_Irr!U14=".",s_Irr!AT14&lt;&gt;".",s_Irr!BS14="."),s_dir!AV14/((1/1000)*(s_Irr!AT14)),IF(AND(s_Irr!U14&lt;&gt;".",s_Irr!AT14=".",s_Irr!BS14="."),s_dir!AV14/((1/1000)*(s_Irr!U14)),IF(AND(s_Irr!U14=".",s_Irr!AT14=".",s_Irr!BS14="."),s_dir!AV14*1000)))))))),".")</f>
        <v>2698.0520885564947</v>
      </c>
      <c r="BW14" s="76">
        <f>IFERROR(IF(AND(s_Irr!V14&lt;&gt;".",s_Irr!AU14&lt;&gt;".",s_Irr!BT14&lt;&gt;"."),s_dir!AW14/((1/1000)*(s_Irr!V14+s_Irr!AU14+s_Irr!BT14)),IF(AND(s_Irr!V14&lt;&gt;".",s_Irr!AU14&lt;&gt;".",s_Irr!BT14="."),s_dir!AW14/((1/1000)*(s_Irr!V14+s_Irr!AU14)),IF(AND(s_Irr!V14&lt;&gt;".",s_Irr!AU14=".",s_Irr!BT14&lt;&gt;"."),s_dir!AW14/((1/1000)*(s_Irr!V14+s_Irr!BT14)),IF(AND(s_Irr!V14=".",s_Irr!AU14&lt;&gt;".",s_Irr!BT14&lt;&gt;"."),s_dir!AW14/((1/1000)*(s_Irr!AU14+s_Irr!BT14)),IF(AND(s_Irr!V14=".",s_Irr!AU14=".",s_Irr!BT14&lt;&gt;"."),s_dir!AW14/((1/1000)*(s_Irr!BT14)),IF(AND(s_Irr!V14=".",s_Irr!AU14&lt;&gt;".",s_Irr!BT14="."),s_dir!AW14/((1/1000)*(s_Irr!AU14)),IF(AND(s_Irr!V14&lt;&gt;".",s_Irr!AU14=".",s_Irr!BT14="."),s_dir!AW14/((1/1000)*(s_Irr!V14)),IF(AND(s_Irr!V14=".",s_Irr!AU14=".",s_Irr!BT14="."),s_dir!AW14*1000)))))))),".")</f>
        <v>2698.0520885564947</v>
      </c>
      <c r="BX14" s="76">
        <f>IFERROR(IF(AND(s_Irr!W14&lt;&gt;".",s_Irr!AV14&lt;&gt;".",s_Irr!BU14&lt;&gt;"."),s_dir!AX14/((1/1000)*(s_Irr!W14+s_Irr!AV14+s_Irr!BU14)),IF(AND(s_Irr!W14&lt;&gt;".",s_Irr!AV14&lt;&gt;".",s_Irr!BU14="."),s_dir!AX14/((1/1000)*(s_Irr!W14+s_Irr!AV14)),IF(AND(s_Irr!W14&lt;&gt;".",s_Irr!AV14=".",s_Irr!BU14&lt;&gt;"."),s_dir!AX14/((1/1000)*(s_Irr!W14+s_Irr!BU14)),IF(AND(s_Irr!W14=".",s_Irr!AV14&lt;&gt;".",s_Irr!BU14&lt;&gt;"."),s_dir!AX14/((1/1000)*(s_Irr!AV14+s_Irr!BU14)),IF(AND(s_Irr!W14=".",s_Irr!AV14=".",s_Irr!BU14&lt;&gt;"."),s_dir!AX14/((1/1000)*(s_Irr!BU14)),IF(AND(s_Irr!W14=".",s_Irr!AV14&lt;&gt;".",s_Irr!BU14="."),s_dir!AX14/((1/1000)*(s_Irr!AV14)),IF(AND(s_Irr!W14&lt;&gt;".",s_Irr!AV14=".",s_Irr!BU14="."),s_dir!AX14/((1/1000)*(s_Irr!W14)),IF(AND(s_Irr!W14=".",s_Irr!AV14=".",s_Irr!BU14="."),s_dir!AX14*1000)))))))),".")</f>
        <v>2698.0520885564947</v>
      </c>
      <c r="BY14" s="76">
        <f>IFERROR(IF(AND(s_Irr!X14&lt;&gt;".",s_Irr!AW14&lt;&gt;".",s_Irr!BV14&lt;&gt;"."),s_dir!AY14/((1/1000)*(s_Irr!X14+s_Irr!AW14+s_Irr!BV14)),IF(AND(s_Irr!X14&lt;&gt;".",s_Irr!AW14&lt;&gt;".",s_Irr!BV14="."),s_dir!AY14/((1/1000)*(s_Irr!X14+s_Irr!AW14)),IF(AND(s_Irr!X14&lt;&gt;".",s_Irr!AW14=".",s_Irr!BV14&lt;&gt;"."),s_dir!AY14/((1/1000)*(s_Irr!X14+s_Irr!BV14)),IF(AND(s_Irr!X14=".",s_Irr!AW14&lt;&gt;".",s_Irr!BV14&lt;&gt;"."),s_dir!AY14/((1/1000)*(s_Irr!AW14+s_Irr!BV14)),IF(AND(s_Irr!X14=".",s_Irr!AW14=".",s_Irr!BV14&lt;&gt;"."),s_dir!AY14/((1/1000)*(s_Irr!BV14)),IF(AND(s_Irr!X14=".",s_Irr!AW14&lt;&gt;".",s_Irr!BV14="."),s_dir!AY14/((1/1000)*(s_Irr!AW14)),IF(AND(s_Irr!X14&lt;&gt;".",s_Irr!AW14=".",s_Irr!BV14="."),s_dir!AY14/((1/1000)*(s_Irr!X14)),IF(AND(s_Irr!X14=".",s_Irr!AW14=".",s_Irr!BV14="."),s_dir!AY14*1000)))))))),".")</f>
        <v>2698.0520885564947</v>
      </c>
      <c r="BZ14" s="76">
        <f>IFERROR(IF(AND(s_Irr!Y14&lt;&gt;".",s_Irr!AX14&lt;&gt;".",s_Irr!BW14&lt;&gt;"."),s_dir!AZ14/((1/1000)*(s_Irr!Y14+s_Irr!AX14+s_Irr!BW14)),IF(AND(s_Irr!Y14&lt;&gt;".",s_Irr!AX14&lt;&gt;".",s_Irr!BW14="."),s_dir!AZ14/((1/1000)*(s_Irr!Y14+s_Irr!AX14)),IF(AND(s_Irr!Y14&lt;&gt;".",s_Irr!AX14=".",s_Irr!BW14&lt;&gt;"."),s_dir!AZ14/((1/1000)*(s_Irr!Y14+s_Irr!BW14)),IF(AND(s_Irr!Y14=".",s_Irr!AX14&lt;&gt;".",s_Irr!BW14&lt;&gt;"."),s_dir!AZ14/((1/1000)*(s_Irr!AX14+s_Irr!BW14)),IF(AND(s_Irr!Y14=".",s_Irr!AX14=".",s_Irr!BW14&lt;&gt;"."),s_dir!AZ14/((1/1000)*(s_Irr!BW14)),IF(AND(s_Irr!Y14=".",s_Irr!AX14&lt;&gt;".",s_Irr!BW14="."),s_dir!AZ14/((1/1000)*(s_Irr!AX14)),IF(AND(s_Irr!Y14&lt;&gt;".",s_Irr!AX14=".",s_Irr!BW14="."),s_dir!AZ14/((1/1000)*(s_Irr!Y14)),IF(AND(s_Irr!Y14=".",s_Irr!AX14=".",s_Irr!BW14="."),s_dir!AZ14*1000)))))))),".")</f>
        <v>2698.0520885564947</v>
      </c>
      <c r="CA14" s="76">
        <f>IFERROR(IF(AND(s_Irr!Z14&lt;&gt;".",s_Irr!AY14&lt;&gt;".",s_Irr!BX14&lt;&gt;"."),s_dir!BA14/((1/1000)*(s_Irr!Z14+s_Irr!AY14+s_Irr!BX14)),IF(AND(s_Irr!Z14&lt;&gt;".",s_Irr!AY14&lt;&gt;".",s_Irr!BX14="."),s_dir!BA14/((1/1000)*(s_Irr!Z14+s_Irr!AY14)),IF(AND(s_Irr!Z14&lt;&gt;".",s_Irr!AY14=".",s_Irr!BX14&lt;&gt;"."),s_dir!BA14/((1/1000)*(s_Irr!Z14+s_Irr!BX14)),IF(AND(s_Irr!Z14=".",s_Irr!AY14&lt;&gt;".",s_Irr!BX14&lt;&gt;"."),s_dir!BA14/((1/1000)*(s_Irr!AY14+s_Irr!BX14)),IF(AND(s_Irr!Z14=".",s_Irr!AY14=".",s_Irr!BX14&lt;&gt;"."),s_dir!BA14/((1/1000)*(s_Irr!BX14)),IF(AND(s_Irr!Z14=".",s_Irr!AY14&lt;&gt;".",s_Irr!BX14="."),s_dir!BA14/((1/1000)*(s_Irr!AY14)),IF(AND(s_Irr!Z14&lt;&gt;".",s_Irr!AY14=".",s_Irr!BX14="."),s_dir!BA14/((1/1000)*(s_Irr!Z14)),IF(AND(s_Irr!Z14=".",s_Irr!AY14=".",s_Irr!BX14="."),s_dir!BA14*1000)))))))),".")</f>
        <v>2698.0520885564947</v>
      </c>
      <c r="CB14" s="76">
        <f>IFERROR(IF(AND(s_Irr!AA14&lt;&gt;".",s_Irr!AZ14&lt;&gt;".",s_Irr!BY14&lt;&gt;"."),s_dir!BB14/((1/1000)*(s_Irr!AA14+s_Irr!AZ14+s_Irr!BY14)),IF(AND(s_Irr!AA14&lt;&gt;".",s_Irr!AZ14&lt;&gt;".",s_Irr!BY14="."),s_dir!BB14/((1/1000)*(s_Irr!AA14+s_Irr!AZ14)),IF(AND(s_Irr!AA14&lt;&gt;".",s_Irr!AZ14=".",s_Irr!BY14&lt;&gt;"."),s_dir!BB14/((1/1000)*(s_Irr!AA14+s_Irr!BY14)),IF(AND(s_Irr!AA14=".",s_Irr!AZ14&lt;&gt;".",s_Irr!BY14&lt;&gt;"."),s_dir!BB14/((1/1000)*(s_Irr!AZ14+s_Irr!BY14)),IF(AND(s_Irr!AA14=".",s_Irr!AZ14=".",s_Irr!BY14&lt;&gt;"."),s_dir!BB14/((1/1000)*(s_Irr!BY14)),IF(AND(s_Irr!AA14=".",s_Irr!AZ14&lt;&gt;".",s_Irr!BY14="."),s_dir!BB14/((1/1000)*(s_Irr!AZ14)),IF(AND(s_Irr!AA14&lt;&gt;".",s_Irr!AZ14=".",s_Irr!BY14="."),s_dir!BB14/((1/1000)*(s_Irr!AA14)),IF(AND(s_Irr!AA14=".",s_Irr!AZ14=".",s_Irr!BY14="."),s_dir!BB14*1000)))))))),".")</f>
        <v>2698.0520885564947</v>
      </c>
      <c r="CC14" s="93">
        <f t="shared" si="2"/>
        <v>8278.7082085950278</v>
      </c>
      <c r="CD14" s="93">
        <f>IFERROR(s_C*s_IFAP_far_adj*s_CF_apple*(1/1000)*(s_Irr!C14+s_Irr!AB14+s_Irr!BA14),".")</f>
        <v>2069.677052148757</v>
      </c>
      <c r="CE14" s="93">
        <f>IFERROR(s_C*s_IFAS_far_adj*s_CF_asparagus*(1/1000)*(s_Irr!D14+s_Irr!AC14+s_Irr!BB14),".")</f>
        <v>2069.677052148757</v>
      </c>
      <c r="CF14" s="93">
        <f>IFERROR(s_C*s_IFBT_far_adj*s_CF_beet*(1/1000)*(s_Irr!E14+s_Irr!AD14+s_Irr!BC14),".")</f>
        <v>2069.677052148757</v>
      </c>
      <c r="CG14" s="93">
        <f>IFERROR(s_C*s_IFBE_far_adj*s_CF_berries*(1/1000)*(s_Irr!F14+s_Irr!AE14+s_Irr!BD14),".")</f>
        <v>2069.677052148757</v>
      </c>
      <c r="CH14" s="93">
        <f>IFERROR(s_C*s_IFBR_far_adj*s_CF_broccoli*(1/1000)*(s_Irr!G14+s_Irr!AF14+s_Irr!BE14),".")</f>
        <v>2069.677052148757</v>
      </c>
      <c r="CI14" s="93">
        <f>IFERROR(s_C*s_IFCB_far_adj*s_CF_cabbage*(1/1000)*(s_Irr!H14+s_Irr!AG14+s_Irr!BF14),".")</f>
        <v>2069.677052148757</v>
      </c>
      <c r="CJ14" s="93">
        <f>IFERROR(s_C*s_IFCR_far_adj*s_CF_carrot*(1/1000)*(s_Irr!I14+s_Irr!AH14+s_Irr!BG14),".")</f>
        <v>2069.677052148757</v>
      </c>
      <c r="CK14" s="93">
        <f>IFERROR(s_C*s_IFCI_far_adj*s_CF_citrus*(1/1000)*(s_Irr!J14+s_Irr!AI14+s_Irr!BH14),".")</f>
        <v>2069.677052148757</v>
      </c>
      <c r="CL14" s="93">
        <f>IFERROR(s_C*s_IFCO_far_adj*s_CF_corn*(1/1000)*(s_Irr!K14+s_Irr!AJ14+s_Irr!BI14),".")</f>
        <v>2069.677052148757</v>
      </c>
      <c r="CM14" s="93">
        <f>IFERROR(s_C*s_IFCU_far_adj*s_CF_cucumber*(1/1000)*(s_Irr!L14+s_Irr!AK14+s_Irr!BJ14),".")</f>
        <v>2069.677052148757</v>
      </c>
      <c r="CN14" s="93">
        <f>IFERROR(s_C*s_IFLE_far_adj*s_CF_lettuce*(1/1000)*(s_Irr!M14+s_Irr!AL14+s_Irr!BK14),".")</f>
        <v>2069.677052148757</v>
      </c>
      <c r="CO14" s="93">
        <f>IFERROR(s_C*s_IFLI_far_adj*s_CF_lima_bean*(1/1000)*(s_Irr!N14+s_Irr!AM14+s_Irr!BL14),".")</f>
        <v>2069.677052148757</v>
      </c>
      <c r="CP14" s="93">
        <f>IFERROR(s_C*s_IFOK_far_adj*s_CF_okra*(1/1000)*(s_Irr!O14+s_Irr!AN14+s_Irr!BM14),".")</f>
        <v>2069.677052148757</v>
      </c>
      <c r="CQ14" s="93">
        <f>IFERROR(s_C*s_IFON_far_adj*s_CF_onion*(1/1000)*(s_Irr!P14+s_Irr!AO14+s_Irr!BN14),".")</f>
        <v>2069.677052148757</v>
      </c>
      <c r="CR14" s="93">
        <f>IFERROR(s_C*s_IFPC_far_adj*s_CF_peach*(1/1000)*(s_Irr!Q14+s_Irr!AP14+s_Irr!BO14),".")</f>
        <v>2069.677052148757</v>
      </c>
      <c r="CS14" s="93">
        <f>IFERROR(s_C*s_IFPR_far_adj*s_CF_pear*(1/1000)*(s_Irr!R14+s_Irr!AQ14+s_Irr!BP14),".")</f>
        <v>2069.677052148757</v>
      </c>
      <c r="CT14" s="93">
        <f>IFERROR(s_C*s_IFPE_far_adj*s_CF_peas*(1/1000)*(s_Irr!S14+s_Irr!AR14+s_Irr!BQ14),".")</f>
        <v>2069.677052148757</v>
      </c>
      <c r="CU14" s="93">
        <f>IFERROR(s_C*s_IFPP_far_adj*s_CF_peppers*(1/1000)*(s_Irr!T14+s_Irr!AS14+s_Irr!BR14),".")</f>
        <v>2069.677052148757</v>
      </c>
      <c r="CV14" s="93">
        <f>IFERROR(s_C*s_IFPT_far_adj*s_CF_potato*(1/1000)*(s_Irr!U14+s_Irr!AT14+s_Irr!BS14),".")</f>
        <v>2069.677052148757</v>
      </c>
      <c r="CW14" s="93">
        <f>IFERROR(s_C*s_IFPU_far_adj*s_CF_pumpkin*(1/1000)*(s_Irr!V14+s_Irr!AU14+s_Irr!BT14),".")</f>
        <v>2069.677052148757</v>
      </c>
      <c r="CX14" s="93">
        <f>IFERROR(s_C*s_IFSN_far_adj*s_CF_snap_bean*(1/1000)*(s_Irr!W14+s_Irr!AV14+s_Irr!BU14),".")</f>
        <v>2069.677052148757</v>
      </c>
      <c r="CY14" s="93">
        <f>IFERROR(s_C*s_IFST_far_adj*s_CF_strawberry*(1/1000)*(s_Irr!X14+s_Irr!AW14+s_Irr!BV14),".")</f>
        <v>2069.677052148757</v>
      </c>
      <c r="CZ14" s="93">
        <f>IFERROR(s_C*s_IFTO_far_adj*s_CF_tomato*(1/1000)*(s_Irr!Y14+s_Irr!AX14+s_Irr!BW14),".")</f>
        <v>2069.677052148757</v>
      </c>
      <c r="DA14" s="93">
        <f>IFERROR(s_C*s_IFRI_far_adj*s_CF_rice*(1/1000)*(s_Irr!Z14+s_Irr!AY14+s_Irr!BX14),".")</f>
        <v>2069.677052148757</v>
      </c>
      <c r="DB14" s="93">
        <f>IFERROR(s_C*s_IFCG_far_adj*s_CF_cereal*(1/1000)*(s_Irr!AA14+s_Irr!AZ14+s_Irr!BY14),".")</f>
        <v>2069.677052148757</v>
      </c>
    </row>
    <row r="15" spans="1:106" ht="15" customHeight="1" x14ac:dyDescent="0.25">
      <c r="A15" s="92" t="s">
        <v>25</v>
      </c>
      <c r="B15" s="90" t="s">
        <v>1071</v>
      </c>
      <c r="C15" s="15">
        <f t="shared" si="3"/>
        <v>17564.818502223865</v>
      </c>
      <c r="D15" s="76">
        <f>IFERROR(IF(AND(s_Irr!C15&lt;&gt;".",s_Irr!AB15&lt;&gt;".",s_Irr!BA15&lt;&gt;"."),s_dir!D15/((1/1000)*(s_Irr!C15+s_Irr!AB15+s_Irr!BA15)),IF(AND(s_Irr!C15&lt;&gt;".",s_Irr!AB15&lt;&gt;".",s_Irr!BA15="."),s_dir!D15/((1/1000)*(s_Irr!C15+s_Irr!AB15)),IF(AND(s_Irr!C15&lt;&gt;".",s_Irr!AB15=".",s_Irr!BA15&lt;&gt;"."),s_dir!D15/((1/1000)*(s_Irr!C15+s_Irr!BA15)),IF(AND(s_Irr!C15=".",s_Irr!AB15&lt;&gt;".",s_Irr!BA15&lt;&gt;"."),s_dir!D15/((1/1000)*(s_Irr!AB15+s_Irr!BA15)),IF(AND(s_Irr!C15=".",s_Irr!AB15=".",s_Irr!BA15&lt;&gt;"."),s_dir!D15/((1/1000)*(s_Irr!BA15)),IF(AND(s_Irr!C15=".",s_Irr!AB15&lt;&gt;".",s_Irr!BA15="."),s_dir!D15/((1/1000)*(s_Irr!AB15)),IF(AND(s_Irr!C15&lt;&gt;".",s_Irr!AB15=".",s_Irr!BA15="."),s_dir!D15/((1/1000)*(s_Irr!C15)),IF(AND(s_Irr!C15=".",s_Irr!AB15=".",s_Irr!BA15="."),s_dir!D15*1000)))))))),".")</f>
        <v>69313.015438500181</v>
      </c>
      <c r="E15" s="76">
        <f>IFERROR(IF(AND(s_Irr!D15&lt;&gt;".",s_Irr!AC15&lt;&gt;".",s_Irr!BB15&lt;&gt;"."),s_dir!E15/((1/1000)*(s_Irr!D15+s_Irr!AC15+s_Irr!BB15)),IF(AND(s_Irr!D15&lt;&gt;".",s_Irr!AC15&lt;&gt;".",s_Irr!BB15="."),s_dir!E15/((1/1000)*(s_Irr!D15+s_Irr!AC15)),IF(AND(s_Irr!D15&lt;&gt;".",s_Irr!AC15=".",s_Irr!BB15&lt;&gt;"."),s_dir!E15/((1/1000)*(s_Irr!D15+s_Irr!BB15)),IF(AND(s_Irr!D15=".",s_Irr!AC15&lt;&gt;".",s_Irr!BB15&lt;&gt;"."),s_dir!E15/((1/1000)*(s_Irr!AC15+s_Irr!BB15)),IF(AND(s_Irr!D15=".",s_Irr!AC15=".",s_Irr!BB15&lt;&gt;"."),s_dir!E15/((1/1000)*(s_Irr!BB15)),IF(AND(s_Irr!D15=".",s_Irr!AC15&lt;&gt;".",s_Irr!BB15="."),s_dir!E15/((1/1000)*(s_Irr!AC15)),IF(AND(s_Irr!D15&lt;&gt;".",s_Irr!AC15=".",s_Irr!BB15="."),s_dir!E15/((1/1000)*(s_Irr!D15)),IF(AND(s_Irr!D15=".",s_Irr!AC15=".",s_Irr!BB15="."),s_dir!E15*1000)))))))),".")</f>
        <v>34373.613005830637</v>
      </c>
      <c r="F15" s="76">
        <f>IFERROR(IF(AND(s_Irr!E15&lt;&gt;".",s_Irr!AD15&lt;&gt;".",s_Irr!BC15&lt;&gt;"."),s_dir!F15/((1/1000)*(s_Irr!E15+s_Irr!AD15+s_Irr!BC15)),IF(AND(s_Irr!E15&lt;&gt;".",s_Irr!AD15&lt;&gt;".",s_Irr!BC15="."),s_dir!F15/((1/1000)*(s_Irr!E15+s_Irr!AD15)),IF(AND(s_Irr!E15&lt;&gt;".",s_Irr!AD15=".",s_Irr!BC15&lt;&gt;"."),s_dir!F15/((1/1000)*(s_Irr!E15+s_Irr!BC15)),IF(AND(s_Irr!E15=".",s_Irr!AD15&lt;&gt;".",s_Irr!BC15&lt;&gt;"."),s_dir!F15/((1/1000)*(s_Irr!AD15+s_Irr!BC15)),IF(AND(s_Irr!E15=".",s_Irr!AD15=".",s_Irr!BC15&lt;&gt;"."),s_dir!F15/((1/1000)*(s_Irr!BC15)),IF(AND(s_Irr!E15=".",s_Irr!AD15&lt;&gt;".",s_Irr!BC15="."),s_dir!F15/((1/1000)*(s_Irr!AD15)),IF(AND(s_Irr!E15&lt;&gt;".",s_Irr!AD15=".",s_Irr!BC15="."),s_dir!F15/((1/1000)*(s_Irr!E15)),IF(AND(s_Irr!E15=".",s_Irr!AD15=".",s_Irr!BC15="."),s_dir!F15*1000)))))))),".")</f>
        <v>64621.236735973725</v>
      </c>
      <c r="G15" s="76">
        <f>IFERROR(IF(AND(s_Irr!F15&lt;&gt;".",s_Irr!AE15&lt;&gt;".",s_Irr!BD15&lt;&gt;"."),s_dir!G15/((1/1000)*(s_Irr!F15+s_Irr!AE15+s_Irr!BD15)),IF(AND(s_Irr!F15&lt;&gt;".",s_Irr!AE15&lt;&gt;".",s_Irr!BD15="."),s_dir!G15/((1/1000)*(s_Irr!F15+s_Irr!AE15)),IF(AND(s_Irr!F15&lt;&gt;".",s_Irr!AE15=".",s_Irr!BD15&lt;&gt;"."),s_dir!G15/((1/1000)*(s_Irr!F15+s_Irr!BD15)),IF(AND(s_Irr!F15=".",s_Irr!AE15&lt;&gt;".",s_Irr!BD15&lt;&gt;"."),s_dir!G15/((1/1000)*(s_Irr!AE15+s_Irr!BD15)),IF(AND(s_Irr!F15=".",s_Irr!AE15=".",s_Irr!BD15&lt;&gt;"."),s_dir!G15/((1/1000)*(s_Irr!BD15)),IF(AND(s_Irr!F15=".",s_Irr!AE15&lt;&gt;".",s_Irr!BD15="."),s_dir!G15/((1/1000)*(s_Irr!AE15)),IF(AND(s_Irr!F15&lt;&gt;".",s_Irr!AE15=".",s_Irr!BD15="."),s_dir!G15/((1/1000)*(s_Irr!F15)),IF(AND(s_Irr!F15=".",s_Irr!AE15=".",s_Irr!BD15="."),s_dir!G15*1000)))))))),".")</f>
        <v>69313.015438500181</v>
      </c>
      <c r="H15" s="76">
        <f>IFERROR(IF(AND(s_Irr!G15&lt;&gt;".",s_Irr!AF15&lt;&gt;".",s_Irr!BE15&lt;&gt;"."),s_dir!H15/((1/1000)*(s_Irr!G15+s_Irr!AF15+s_Irr!BE15)),IF(AND(s_Irr!G15&lt;&gt;".",s_Irr!AF15&lt;&gt;".",s_Irr!BE15="."),s_dir!H15/((1/1000)*(s_Irr!G15+s_Irr!AF15)),IF(AND(s_Irr!G15&lt;&gt;".",s_Irr!AF15=".",s_Irr!BE15&lt;&gt;"."),s_dir!H15/((1/1000)*(s_Irr!G15+s_Irr!BE15)),IF(AND(s_Irr!G15=".",s_Irr!AF15&lt;&gt;".",s_Irr!BE15&lt;&gt;"."),s_dir!H15/((1/1000)*(s_Irr!AF15+s_Irr!BE15)),IF(AND(s_Irr!G15=".",s_Irr!AF15=".",s_Irr!BE15&lt;&gt;"."),s_dir!H15/((1/1000)*(s_Irr!BE15)),IF(AND(s_Irr!G15=".",s_Irr!AF15&lt;&gt;".",s_Irr!BE15="."),s_dir!H15/((1/1000)*(s_Irr!AF15)),IF(AND(s_Irr!G15&lt;&gt;".",s_Irr!AF15=".",s_Irr!BE15="."),s_dir!H15/((1/1000)*(s_Irr!G15)),IF(AND(s_Irr!G15=".",s_Irr!AF15=".",s_Irr!BE15="."),s_dir!H15*1000)))))))),".")</f>
        <v>64621.236735973725</v>
      </c>
      <c r="I15" s="76">
        <f>IFERROR(IF(AND(s_Irr!H15&lt;&gt;".",s_Irr!AG15&lt;&gt;".",s_Irr!BF15&lt;&gt;"."),s_dir!I15/((1/1000)*(s_Irr!H15+s_Irr!AG15+s_Irr!BF15)),IF(AND(s_Irr!H15&lt;&gt;".",s_Irr!AG15&lt;&gt;".",s_Irr!BF15="."),s_dir!I15/((1/1000)*(s_Irr!H15+s_Irr!AG15)),IF(AND(s_Irr!H15&lt;&gt;".",s_Irr!AG15=".",s_Irr!BF15&lt;&gt;"."),s_dir!I15/((1/1000)*(s_Irr!H15+s_Irr!BF15)),IF(AND(s_Irr!H15=".",s_Irr!AG15&lt;&gt;".",s_Irr!BF15&lt;&gt;"."),s_dir!I15/((1/1000)*(s_Irr!AG15+s_Irr!BF15)),IF(AND(s_Irr!H15=".",s_Irr!AG15=".",s_Irr!BF15&lt;&gt;"."),s_dir!I15/((1/1000)*(s_Irr!BF15)),IF(AND(s_Irr!H15=".",s_Irr!AG15&lt;&gt;".",s_Irr!BF15="."),s_dir!I15/((1/1000)*(s_Irr!AG15)),IF(AND(s_Irr!H15&lt;&gt;".",s_Irr!AG15=".",s_Irr!BF15="."),s_dir!I15/((1/1000)*(s_Irr!H15)),IF(AND(s_Irr!H15=".",s_Irr!AG15=".",s_Irr!BF15="."),s_dir!I15*1000)))))))),".")</f>
        <v>34373.613005830637</v>
      </c>
      <c r="J15" s="76">
        <f>IFERROR(IF(AND(s_Irr!I15&lt;&gt;".",s_Irr!AH15&lt;&gt;".",s_Irr!BG15&lt;&gt;"."),s_dir!J15/((1/1000)*(s_Irr!I15+s_Irr!AH15+s_Irr!BG15)),IF(AND(s_Irr!I15&lt;&gt;".",s_Irr!AH15&lt;&gt;".",s_Irr!BG15="."),s_dir!J15/((1/1000)*(s_Irr!I15+s_Irr!AH15)),IF(AND(s_Irr!I15&lt;&gt;".",s_Irr!AH15=".",s_Irr!BG15&lt;&gt;"."),s_dir!J15/((1/1000)*(s_Irr!I15+s_Irr!BG15)),IF(AND(s_Irr!I15=".",s_Irr!AH15&lt;&gt;".",s_Irr!BG15&lt;&gt;"."),s_dir!J15/((1/1000)*(s_Irr!AH15+s_Irr!BG15)),IF(AND(s_Irr!I15=".",s_Irr!AH15=".",s_Irr!BG15&lt;&gt;"."),s_dir!J15/((1/1000)*(s_Irr!BG15)),IF(AND(s_Irr!I15=".",s_Irr!AH15&lt;&gt;".",s_Irr!BG15="."),s_dir!J15/((1/1000)*(s_Irr!AH15)),IF(AND(s_Irr!I15&lt;&gt;".",s_Irr!AH15=".",s_Irr!BG15="."),s_dir!J15/((1/1000)*(s_Irr!I15)),IF(AND(s_Irr!I15=".",s_Irr!AH15=".",s_Irr!BG15="."),s_dir!J15*1000)))))))),".")</f>
        <v>64621.236735973725</v>
      </c>
      <c r="K15" s="76">
        <f>IFERROR(IF(AND(s_Irr!J15&lt;&gt;".",s_Irr!AI15&lt;&gt;".",s_Irr!BH15&lt;&gt;"."),s_dir!K15/((1/1000)*(s_Irr!J15+s_Irr!AI15+s_Irr!BH15)),IF(AND(s_Irr!J15&lt;&gt;".",s_Irr!AI15&lt;&gt;".",s_Irr!BH15="."),s_dir!K15/((1/1000)*(s_Irr!J15+s_Irr!AI15)),IF(AND(s_Irr!J15&lt;&gt;".",s_Irr!AI15=".",s_Irr!BH15&lt;&gt;"."),s_dir!K15/((1/1000)*(s_Irr!J15+s_Irr!BH15)),IF(AND(s_Irr!J15=".",s_Irr!AI15&lt;&gt;".",s_Irr!BH15&lt;&gt;"."),s_dir!K15/((1/1000)*(s_Irr!AI15+s_Irr!BH15)),IF(AND(s_Irr!J15=".",s_Irr!AI15=".",s_Irr!BH15&lt;&gt;"."),s_dir!K15/((1/1000)*(s_Irr!BH15)),IF(AND(s_Irr!J15=".",s_Irr!AI15&lt;&gt;".",s_Irr!BH15="."),s_dir!K15/((1/1000)*(s_Irr!AI15)),IF(AND(s_Irr!J15&lt;&gt;".",s_Irr!AI15=".",s_Irr!BH15="."),s_dir!K15/((1/1000)*(s_Irr!J15)),IF(AND(s_Irr!J15=".",s_Irr!AI15=".",s_Irr!BH15="."),s_dir!K15*1000)))))))),".")</f>
        <v>69313.015438500181</v>
      </c>
      <c r="L15" s="76">
        <f>IFERROR(IF(AND(s_Irr!K15&lt;&gt;".",s_Irr!AJ15&lt;&gt;".",s_Irr!BI15&lt;&gt;"."),s_dir!L15/((1/1000)*(s_Irr!K15+s_Irr!AJ15+s_Irr!BI15)),IF(AND(s_Irr!K15&lt;&gt;".",s_Irr!AJ15&lt;&gt;".",s_Irr!BI15="."),s_dir!L15/((1/1000)*(s_Irr!K15+s_Irr!AJ15)),IF(AND(s_Irr!K15&lt;&gt;".",s_Irr!AJ15=".",s_Irr!BI15&lt;&gt;"."),s_dir!L15/((1/1000)*(s_Irr!K15+s_Irr!BI15)),IF(AND(s_Irr!K15=".",s_Irr!AJ15&lt;&gt;".",s_Irr!BI15&lt;&gt;"."),s_dir!L15/((1/1000)*(s_Irr!AJ15+s_Irr!BI15)),IF(AND(s_Irr!K15=".",s_Irr!AJ15=".",s_Irr!BI15&lt;&gt;"."),s_dir!L15/((1/1000)*(s_Irr!BI15)),IF(AND(s_Irr!K15=".",s_Irr!AJ15&lt;&gt;".",s_Irr!BI15="."),s_dir!L15/((1/1000)*(s_Irr!AJ15)),IF(AND(s_Irr!K15&lt;&gt;".",s_Irr!AJ15=".",s_Irr!BI15="."),s_dir!L15/((1/1000)*(s_Irr!K15)),IF(AND(s_Irr!K15=".",s_Irr!AJ15=".",s_Irr!BI15="."),s_dir!L15*1000)))))))),".")</f>
        <v>79467.676630245143</v>
      </c>
      <c r="M15" s="76">
        <f>IFERROR(IF(AND(s_Irr!L15&lt;&gt;".",s_Irr!AK15&lt;&gt;".",s_Irr!BJ15&lt;&gt;"."),s_dir!M15/((1/1000)*(s_Irr!L15+s_Irr!AK15+s_Irr!BJ15)),IF(AND(s_Irr!L15&lt;&gt;".",s_Irr!AK15&lt;&gt;".",s_Irr!BJ15="."),s_dir!M15/((1/1000)*(s_Irr!L15+s_Irr!AK15)),IF(AND(s_Irr!L15&lt;&gt;".",s_Irr!AK15=".",s_Irr!BJ15&lt;&gt;"."),s_dir!M15/((1/1000)*(s_Irr!L15+s_Irr!BJ15)),IF(AND(s_Irr!L15=".",s_Irr!AK15&lt;&gt;".",s_Irr!BJ15&lt;&gt;"."),s_dir!M15/((1/1000)*(s_Irr!AK15+s_Irr!BJ15)),IF(AND(s_Irr!L15=".",s_Irr!AK15=".",s_Irr!BJ15&lt;&gt;"."),s_dir!M15/((1/1000)*(s_Irr!BJ15)),IF(AND(s_Irr!L15=".",s_Irr!AK15&lt;&gt;".",s_Irr!BJ15="."),s_dir!M15/((1/1000)*(s_Irr!AK15)),IF(AND(s_Irr!L15&lt;&gt;".",s_Irr!AK15=".",s_Irr!BJ15="."),s_dir!M15/((1/1000)*(s_Irr!L15)),IF(AND(s_Irr!L15=".",s_Irr!AK15=".",s_Irr!BJ15="."),s_dir!M15*1000)))))))),".")</f>
        <v>64621.236735973725</v>
      </c>
      <c r="N15" s="76">
        <f>IFERROR(IF(AND(s_Irr!M15&lt;&gt;".",s_Irr!AL15&lt;&gt;".",s_Irr!BK15&lt;&gt;"."),s_dir!N15/((1/1000)*(s_Irr!M15+s_Irr!AL15+s_Irr!BK15)),IF(AND(s_Irr!M15&lt;&gt;".",s_Irr!AL15&lt;&gt;".",s_Irr!BK15="."),s_dir!N15/((1/1000)*(s_Irr!M15+s_Irr!AL15)),IF(AND(s_Irr!M15&lt;&gt;".",s_Irr!AL15=".",s_Irr!BK15&lt;&gt;"."),s_dir!N15/((1/1000)*(s_Irr!M15+s_Irr!BK15)),IF(AND(s_Irr!M15=".",s_Irr!AL15&lt;&gt;".",s_Irr!BK15&lt;&gt;"."),s_dir!N15/((1/1000)*(s_Irr!AL15+s_Irr!BK15)),IF(AND(s_Irr!M15=".",s_Irr!AL15=".",s_Irr!BK15&lt;&gt;"."),s_dir!N15/((1/1000)*(s_Irr!BK15)),IF(AND(s_Irr!M15=".",s_Irr!AL15&lt;&gt;".",s_Irr!BK15="."),s_dir!N15/((1/1000)*(s_Irr!AL15)),IF(AND(s_Irr!M15&lt;&gt;".",s_Irr!AL15=".",s_Irr!BK15="."),s_dir!N15/((1/1000)*(s_Irr!M15)),IF(AND(s_Irr!M15=".",s_Irr!AL15=".",s_Irr!BK15="."),s_dir!N15*1000)))))))),".")</f>
        <v>34373.613005830637</v>
      </c>
      <c r="O15" s="76">
        <f>IFERROR(IF(AND(s_Irr!N15&lt;&gt;".",s_Irr!AM15&lt;&gt;".",s_Irr!BL15&lt;&gt;"."),s_dir!O15/((1/1000)*(s_Irr!N15+s_Irr!AM15+s_Irr!BL15)),IF(AND(s_Irr!N15&lt;&gt;".",s_Irr!AM15&lt;&gt;".",s_Irr!BL15="."),s_dir!O15/((1/1000)*(s_Irr!N15+s_Irr!AM15)),IF(AND(s_Irr!N15&lt;&gt;".",s_Irr!AM15=".",s_Irr!BL15&lt;&gt;"."),s_dir!O15/((1/1000)*(s_Irr!N15+s_Irr!BL15)),IF(AND(s_Irr!N15=".",s_Irr!AM15&lt;&gt;".",s_Irr!BL15&lt;&gt;"."),s_dir!O15/((1/1000)*(s_Irr!AM15+s_Irr!BL15)),IF(AND(s_Irr!N15=".",s_Irr!AM15=".",s_Irr!BL15&lt;&gt;"."),s_dir!O15/((1/1000)*(s_Irr!BL15)),IF(AND(s_Irr!N15=".",s_Irr!AM15&lt;&gt;".",s_Irr!BL15="."),s_dir!O15/((1/1000)*(s_Irr!AM15)),IF(AND(s_Irr!N15&lt;&gt;".",s_Irr!AM15=".",s_Irr!BL15="."),s_dir!O15/((1/1000)*(s_Irr!N15)),IF(AND(s_Irr!N15=".",s_Irr!AM15=".",s_Irr!BL15="."),s_dir!O15*1000)))))))),".")</f>
        <v>74389.985241334696</v>
      </c>
      <c r="P15" s="76">
        <f>IFERROR(IF(AND(s_Irr!O15&lt;&gt;".",s_Irr!AN15&lt;&gt;".",s_Irr!BM15&lt;&gt;"."),s_dir!P15/((1/1000)*(s_Irr!O15+s_Irr!AN15+s_Irr!BM15)),IF(AND(s_Irr!O15&lt;&gt;".",s_Irr!AN15&lt;&gt;".",s_Irr!BM15="."),s_dir!P15/((1/1000)*(s_Irr!O15+s_Irr!AN15)),IF(AND(s_Irr!O15&lt;&gt;".",s_Irr!AN15=".",s_Irr!BM15&lt;&gt;"."),s_dir!P15/((1/1000)*(s_Irr!O15+s_Irr!BM15)),IF(AND(s_Irr!O15=".",s_Irr!AN15&lt;&gt;".",s_Irr!BM15&lt;&gt;"."),s_dir!P15/((1/1000)*(s_Irr!AN15+s_Irr!BM15)),IF(AND(s_Irr!O15=".",s_Irr!AN15=".",s_Irr!BM15&lt;&gt;"."),s_dir!P15/((1/1000)*(s_Irr!BM15)),IF(AND(s_Irr!O15=".",s_Irr!AN15&lt;&gt;".",s_Irr!BM15="."),s_dir!P15/((1/1000)*(s_Irr!AN15)),IF(AND(s_Irr!O15&lt;&gt;".",s_Irr!AN15=".",s_Irr!BM15="."),s_dir!P15/((1/1000)*(s_Irr!O15)),IF(AND(s_Irr!O15=".",s_Irr!AN15=".",s_Irr!BM15="."),s_dir!P15*1000)))))))),".")</f>
        <v>64621.236735973725</v>
      </c>
      <c r="Q15" s="76">
        <f>IFERROR(IF(AND(s_Irr!P15&lt;&gt;".",s_Irr!AO15&lt;&gt;".",s_Irr!BN15&lt;&gt;"."),s_dir!Q15/((1/1000)*(s_Irr!P15+s_Irr!AO15+s_Irr!BN15)),IF(AND(s_Irr!P15&lt;&gt;".",s_Irr!AO15&lt;&gt;".",s_Irr!BN15="."),s_dir!Q15/((1/1000)*(s_Irr!P15+s_Irr!AO15)),IF(AND(s_Irr!P15&lt;&gt;".",s_Irr!AO15=".",s_Irr!BN15&lt;&gt;"."),s_dir!Q15/((1/1000)*(s_Irr!P15+s_Irr!BN15)),IF(AND(s_Irr!P15=".",s_Irr!AO15&lt;&gt;".",s_Irr!BN15&lt;&gt;"."),s_dir!Q15/((1/1000)*(s_Irr!AO15+s_Irr!BN15)),IF(AND(s_Irr!P15=".",s_Irr!AO15=".",s_Irr!BN15&lt;&gt;"."),s_dir!Q15/((1/1000)*(s_Irr!BN15)),IF(AND(s_Irr!P15=".",s_Irr!AO15&lt;&gt;".",s_Irr!BN15="."),s_dir!Q15/((1/1000)*(s_Irr!AO15)),IF(AND(s_Irr!P15&lt;&gt;".",s_Irr!AO15=".",s_Irr!BN15="."),s_dir!Q15/((1/1000)*(s_Irr!P15)),IF(AND(s_Irr!P15=".",s_Irr!AO15=".",s_Irr!BN15="."),s_dir!Q15*1000)))))))),".")</f>
        <v>64621.236735973725</v>
      </c>
      <c r="R15" s="76">
        <f>IFERROR(IF(AND(s_Irr!Q15&lt;&gt;".",s_Irr!AP15&lt;&gt;".",s_Irr!BO15&lt;&gt;"."),s_dir!R15/((1/1000)*(s_Irr!Q15+s_Irr!AP15+s_Irr!BO15)),IF(AND(s_Irr!Q15&lt;&gt;".",s_Irr!AP15&lt;&gt;".",s_Irr!BO15="."),s_dir!R15/((1/1000)*(s_Irr!Q15+s_Irr!AP15)),IF(AND(s_Irr!Q15&lt;&gt;".",s_Irr!AP15=".",s_Irr!BO15&lt;&gt;"."),s_dir!R15/((1/1000)*(s_Irr!Q15+s_Irr!BO15)),IF(AND(s_Irr!Q15=".",s_Irr!AP15&lt;&gt;".",s_Irr!BO15&lt;&gt;"."),s_dir!R15/((1/1000)*(s_Irr!AP15+s_Irr!BO15)),IF(AND(s_Irr!Q15=".",s_Irr!AP15=".",s_Irr!BO15&lt;&gt;"."),s_dir!R15/((1/1000)*(s_Irr!BO15)),IF(AND(s_Irr!Q15=".",s_Irr!AP15&lt;&gt;".",s_Irr!BO15="."),s_dir!R15/((1/1000)*(s_Irr!AP15)),IF(AND(s_Irr!Q15&lt;&gt;".",s_Irr!AP15=".",s_Irr!BO15="."),s_dir!R15/((1/1000)*(s_Irr!Q15)),IF(AND(s_Irr!Q15=".",s_Irr!AP15=".",s_Irr!BO15="."),s_dir!R15*1000)))))))),".")</f>
        <v>69313.015438500181</v>
      </c>
      <c r="S15" s="76">
        <f>IFERROR(IF(AND(s_Irr!R15&lt;&gt;".",s_Irr!AQ15&lt;&gt;".",s_Irr!BP15&lt;&gt;"."),s_dir!S15/((1/1000)*(s_Irr!R15+s_Irr!AQ15+s_Irr!BP15)),IF(AND(s_Irr!R15&lt;&gt;".",s_Irr!AQ15&lt;&gt;".",s_Irr!BP15="."),s_dir!S15/((1/1000)*(s_Irr!R15+s_Irr!AQ15)),IF(AND(s_Irr!R15&lt;&gt;".",s_Irr!AQ15=".",s_Irr!BP15&lt;&gt;"."),s_dir!S15/((1/1000)*(s_Irr!R15+s_Irr!BP15)),IF(AND(s_Irr!R15=".",s_Irr!AQ15&lt;&gt;".",s_Irr!BP15&lt;&gt;"."),s_dir!S15/((1/1000)*(s_Irr!AQ15+s_Irr!BP15)),IF(AND(s_Irr!R15=".",s_Irr!AQ15=".",s_Irr!BP15&lt;&gt;"."),s_dir!S15/((1/1000)*(s_Irr!BP15)),IF(AND(s_Irr!R15=".",s_Irr!AQ15&lt;&gt;".",s_Irr!BP15="."),s_dir!S15/((1/1000)*(s_Irr!AQ15)),IF(AND(s_Irr!R15&lt;&gt;".",s_Irr!AQ15=".",s_Irr!BP15="."),s_dir!S15/((1/1000)*(s_Irr!R15)),IF(AND(s_Irr!R15=".",s_Irr!AQ15=".",s_Irr!BP15="."),s_dir!S15*1000)))))))),".")</f>
        <v>69313.015438500181</v>
      </c>
      <c r="T15" s="76">
        <f>IFERROR(IF(AND(s_Irr!S15&lt;&gt;".",s_Irr!AR15&lt;&gt;".",s_Irr!BQ15&lt;&gt;"."),s_dir!T15/((1/1000)*(s_Irr!S15+s_Irr!AR15+s_Irr!BQ15)),IF(AND(s_Irr!S15&lt;&gt;".",s_Irr!AR15&lt;&gt;".",s_Irr!BQ15="."),s_dir!T15/((1/1000)*(s_Irr!S15+s_Irr!AR15)),IF(AND(s_Irr!S15&lt;&gt;".",s_Irr!AR15=".",s_Irr!BQ15&lt;&gt;"."),s_dir!T15/((1/1000)*(s_Irr!S15+s_Irr!BQ15)),IF(AND(s_Irr!S15=".",s_Irr!AR15&lt;&gt;".",s_Irr!BQ15&lt;&gt;"."),s_dir!T15/((1/1000)*(s_Irr!AR15+s_Irr!BQ15)),IF(AND(s_Irr!S15=".",s_Irr!AR15=".",s_Irr!BQ15&lt;&gt;"."),s_dir!T15/((1/1000)*(s_Irr!BQ15)),IF(AND(s_Irr!S15=".",s_Irr!AR15&lt;&gt;".",s_Irr!BQ15="."),s_dir!T15/((1/1000)*(s_Irr!AR15)),IF(AND(s_Irr!S15&lt;&gt;".",s_Irr!AR15=".",s_Irr!BQ15="."),s_dir!T15/((1/1000)*(s_Irr!S15)),IF(AND(s_Irr!S15=".",s_Irr!AR15=".",s_Irr!BQ15="."),s_dir!T15*1000)))))))),".")</f>
        <v>74389.985241334696</v>
      </c>
      <c r="U15" s="76">
        <f>IFERROR(IF(AND(s_Irr!T15&lt;&gt;".",s_Irr!AS15&lt;&gt;".",s_Irr!BR15&lt;&gt;"."),s_dir!U15/((1/1000)*(s_Irr!T15+s_Irr!AS15+s_Irr!BR15)),IF(AND(s_Irr!T15&lt;&gt;".",s_Irr!AS15&lt;&gt;".",s_Irr!BR15="."),s_dir!U15/((1/1000)*(s_Irr!T15+s_Irr!AS15)),IF(AND(s_Irr!T15&lt;&gt;".",s_Irr!AS15=".",s_Irr!BR15&lt;&gt;"."),s_dir!U15/((1/1000)*(s_Irr!T15+s_Irr!BR15)),IF(AND(s_Irr!T15=".",s_Irr!AS15&lt;&gt;".",s_Irr!BR15&lt;&gt;"."),s_dir!U15/((1/1000)*(s_Irr!AS15+s_Irr!BR15)),IF(AND(s_Irr!T15=".",s_Irr!AS15=".",s_Irr!BR15&lt;&gt;"."),s_dir!U15/((1/1000)*(s_Irr!BR15)),IF(AND(s_Irr!T15=".",s_Irr!AS15&lt;&gt;".",s_Irr!BR15="."),s_dir!U15/((1/1000)*(s_Irr!AS15)),IF(AND(s_Irr!T15&lt;&gt;".",s_Irr!AS15=".",s_Irr!BR15="."),s_dir!U15/((1/1000)*(s_Irr!T15)),IF(AND(s_Irr!T15=".",s_Irr!AS15=".",s_Irr!BR15="."),s_dir!U15*1000)))))))),".")</f>
        <v>64621.236735973725</v>
      </c>
      <c r="V15" s="76">
        <f>IFERROR(IF(AND(s_Irr!U15&lt;&gt;".",s_Irr!AT15&lt;&gt;".",s_Irr!BS15&lt;&gt;"."),s_dir!V15/((1/1000)*(s_Irr!U15+s_Irr!AT15+s_Irr!BS15)),IF(AND(s_Irr!U15&lt;&gt;".",s_Irr!AT15&lt;&gt;".",s_Irr!BS15="."),s_dir!V15/((1/1000)*(s_Irr!U15+s_Irr!AT15)),IF(AND(s_Irr!U15&lt;&gt;".",s_Irr!AT15=".",s_Irr!BS15&lt;&gt;"."),s_dir!V15/((1/1000)*(s_Irr!U15+s_Irr!BS15)),IF(AND(s_Irr!U15=".",s_Irr!AT15&lt;&gt;".",s_Irr!BS15&lt;&gt;"."),s_dir!V15/((1/1000)*(s_Irr!AT15+s_Irr!BS15)),IF(AND(s_Irr!U15=".",s_Irr!AT15=".",s_Irr!BS15&lt;&gt;"."),s_dir!V15/((1/1000)*(s_Irr!BS15)),IF(AND(s_Irr!U15=".",s_Irr!AT15&lt;&gt;".",s_Irr!BS15="."),s_dir!V15/((1/1000)*(s_Irr!AT15)),IF(AND(s_Irr!U15&lt;&gt;".",s_Irr!AT15=".",s_Irr!BS15="."),s_dir!V15/((1/1000)*(s_Irr!U15)),IF(AND(s_Irr!U15=".",s_Irr!AT15=".",s_Irr!BS15="."),s_dir!V15*1000)))))))),".")</f>
        <v>79072.750316026591</v>
      </c>
      <c r="W15" s="76">
        <f>IFERROR(IF(AND(s_Irr!V15&lt;&gt;".",s_Irr!AU15&lt;&gt;".",s_Irr!BT15&lt;&gt;"."),s_dir!W15/((1/1000)*(s_Irr!V15+s_Irr!AU15+s_Irr!BT15)),IF(AND(s_Irr!V15&lt;&gt;".",s_Irr!AU15&lt;&gt;".",s_Irr!BT15="."),s_dir!W15/((1/1000)*(s_Irr!V15+s_Irr!AU15)),IF(AND(s_Irr!V15&lt;&gt;".",s_Irr!AU15=".",s_Irr!BT15&lt;&gt;"."),s_dir!W15/((1/1000)*(s_Irr!V15+s_Irr!BT15)),IF(AND(s_Irr!V15=".",s_Irr!AU15&lt;&gt;".",s_Irr!BT15&lt;&gt;"."),s_dir!W15/((1/1000)*(s_Irr!AU15+s_Irr!BT15)),IF(AND(s_Irr!V15=".",s_Irr!AU15=".",s_Irr!BT15&lt;&gt;"."),s_dir!W15/((1/1000)*(s_Irr!BT15)),IF(AND(s_Irr!V15=".",s_Irr!AU15&lt;&gt;".",s_Irr!BT15="."),s_dir!W15/((1/1000)*(s_Irr!AU15)),IF(AND(s_Irr!V15&lt;&gt;".",s_Irr!AU15=".",s_Irr!BT15="."),s_dir!W15/((1/1000)*(s_Irr!V15)),IF(AND(s_Irr!V15=".",s_Irr!AU15=".",s_Irr!BT15="."),s_dir!W15*1000)))))))),".")</f>
        <v>64621.236735973725</v>
      </c>
      <c r="X15" s="76">
        <f>IFERROR(IF(AND(s_Irr!W15&lt;&gt;".",s_Irr!AV15&lt;&gt;".",s_Irr!BU15&lt;&gt;"."),s_dir!X15/((1/1000)*(s_Irr!W15+s_Irr!AV15+s_Irr!BU15)),IF(AND(s_Irr!W15&lt;&gt;".",s_Irr!AV15&lt;&gt;".",s_Irr!BU15="."),s_dir!X15/((1/1000)*(s_Irr!W15+s_Irr!AV15)),IF(AND(s_Irr!W15&lt;&gt;".",s_Irr!AV15=".",s_Irr!BU15&lt;&gt;"."),s_dir!X15/((1/1000)*(s_Irr!W15+s_Irr!BU15)),IF(AND(s_Irr!W15=".",s_Irr!AV15&lt;&gt;".",s_Irr!BU15&lt;&gt;"."),s_dir!X15/((1/1000)*(s_Irr!AV15+s_Irr!BU15)),IF(AND(s_Irr!W15=".",s_Irr!AV15=".",s_Irr!BU15&lt;&gt;"."),s_dir!X15/((1/1000)*(s_Irr!BU15)),IF(AND(s_Irr!W15=".",s_Irr!AV15&lt;&gt;".",s_Irr!BU15="."),s_dir!X15/((1/1000)*(s_Irr!AV15)),IF(AND(s_Irr!W15&lt;&gt;".",s_Irr!AV15=".",s_Irr!BU15="."),s_dir!X15/((1/1000)*(s_Irr!W15)),IF(AND(s_Irr!W15=".",s_Irr!AV15=".",s_Irr!BU15="."),s_dir!X15*1000)))))))),".")</f>
        <v>74389.985241334696</v>
      </c>
      <c r="Y15" s="76">
        <f>IFERROR(IF(AND(s_Irr!X15&lt;&gt;".",s_Irr!AW15&lt;&gt;".",s_Irr!BV15&lt;&gt;"."),s_dir!Y15/((1/1000)*(s_Irr!X15+s_Irr!AW15+s_Irr!BV15)),IF(AND(s_Irr!X15&lt;&gt;".",s_Irr!AW15&lt;&gt;".",s_Irr!BV15="."),s_dir!Y15/((1/1000)*(s_Irr!X15+s_Irr!AW15)),IF(AND(s_Irr!X15&lt;&gt;".",s_Irr!AW15=".",s_Irr!BV15&lt;&gt;"."),s_dir!Y15/((1/1000)*(s_Irr!X15+s_Irr!BV15)),IF(AND(s_Irr!X15=".",s_Irr!AW15&lt;&gt;".",s_Irr!BV15&lt;&gt;"."),s_dir!Y15/((1/1000)*(s_Irr!AW15+s_Irr!BV15)),IF(AND(s_Irr!X15=".",s_Irr!AW15=".",s_Irr!BV15&lt;&gt;"."),s_dir!Y15/((1/1000)*(s_Irr!BV15)),IF(AND(s_Irr!X15=".",s_Irr!AW15&lt;&gt;".",s_Irr!BV15="."),s_dir!Y15/((1/1000)*(s_Irr!AW15)),IF(AND(s_Irr!X15&lt;&gt;".",s_Irr!AW15=".",s_Irr!BV15="."),s_dir!Y15/((1/1000)*(s_Irr!X15)),IF(AND(s_Irr!X15=".",s_Irr!AW15=".",s_Irr!BV15="."),s_dir!Y15*1000)))))))),".")</f>
        <v>69313.015438500181</v>
      </c>
      <c r="Z15" s="76">
        <f>IFERROR(IF(AND(s_Irr!Y15&lt;&gt;".",s_Irr!AX15&lt;&gt;".",s_Irr!BW15&lt;&gt;"."),s_dir!Z15/((1/1000)*(s_Irr!Y15+s_Irr!AX15+s_Irr!BW15)),IF(AND(s_Irr!Y15&lt;&gt;".",s_Irr!AX15&lt;&gt;".",s_Irr!BW15="."),s_dir!Z15/((1/1000)*(s_Irr!Y15+s_Irr!AX15)),IF(AND(s_Irr!Y15&lt;&gt;".",s_Irr!AX15=".",s_Irr!BW15&lt;&gt;"."),s_dir!Z15/((1/1000)*(s_Irr!Y15+s_Irr!BW15)),IF(AND(s_Irr!Y15=".",s_Irr!AX15&lt;&gt;".",s_Irr!BW15&lt;&gt;"."),s_dir!Z15/((1/1000)*(s_Irr!AX15+s_Irr!BW15)),IF(AND(s_Irr!Y15=".",s_Irr!AX15=".",s_Irr!BW15&lt;&gt;"."),s_dir!Z15/((1/1000)*(s_Irr!BW15)),IF(AND(s_Irr!Y15=".",s_Irr!AX15&lt;&gt;".",s_Irr!BW15="."),s_dir!Z15/((1/1000)*(s_Irr!AX15)),IF(AND(s_Irr!Y15&lt;&gt;".",s_Irr!AX15=".",s_Irr!BW15="."),s_dir!Z15/((1/1000)*(s_Irr!Y15)),IF(AND(s_Irr!Y15=".",s_Irr!AX15=".",s_Irr!BW15="."),s_dir!Z15*1000)))))))),".")</f>
        <v>64621.236735973725</v>
      </c>
      <c r="AA15" s="76">
        <f>IFERROR(IF(AND(s_Irr!Z15&lt;&gt;".",s_Irr!AY15&lt;&gt;".",s_Irr!BX15&lt;&gt;"."),s_dir!AA15/((1/1000)*(s_Irr!Z15+s_Irr!AY15+s_Irr!BX15)),IF(AND(s_Irr!Z15&lt;&gt;".",s_Irr!AY15&lt;&gt;".",s_Irr!BX15="."),s_dir!AA15/((1/1000)*(s_Irr!Z15+s_Irr!AY15)),IF(AND(s_Irr!Z15&lt;&gt;".",s_Irr!AY15=".",s_Irr!BX15&lt;&gt;"."),s_dir!AA15/((1/1000)*(s_Irr!Z15+s_Irr!BX15)),IF(AND(s_Irr!Z15=".",s_Irr!AY15&lt;&gt;".",s_Irr!BX15&lt;&gt;"."),s_dir!AA15/((1/1000)*(s_Irr!AY15+s_Irr!BX15)),IF(AND(s_Irr!Z15=".",s_Irr!AY15=".",s_Irr!BX15&lt;&gt;"."),s_dir!AA15/((1/1000)*(s_Irr!BX15)),IF(AND(s_Irr!Z15=".",s_Irr!AY15&lt;&gt;".",s_Irr!BX15="."),s_dir!AA15/((1/1000)*(s_Irr!AY15)),IF(AND(s_Irr!Z15&lt;&gt;".",s_Irr!AY15=".",s_Irr!BX15="."),s_dir!AA15/((1/1000)*(s_Irr!Z15)),IF(AND(s_Irr!Z15=".",s_Irr!AY15=".",s_Irr!BX15="."),s_dir!AA15*1000)))))))),".")</f>
        <v>80690.122792008202</v>
      </c>
      <c r="AB15" s="76">
        <f>IFERROR(IF(AND(s_Irr!AA15&lt;&gt;".",s_Irr!AZ15&lt;&gt;".",s_Irr!BY15&lt;&gt;"."),s_dir!AB15/((1/1000)*(s_Irr!AA15+s_Irr!AZ15+s_Irr!BY15)),IF(AND(s_Irr!AA15&lt;&gt;".",s_Irr!AZ15&lt;&gt;".",s_Irr!BY15="."),s_dir!AB15/((1/1000)*(s_Irr!AA15+s_Irr!AZ15)),IF(AND(s_Irr!AA15&lt;&gt;".",s_Irr!AZ15=".",s_Irr!BY15&lt;&gt;"."),s_dir!AB15/((1/1000)*(s_Irr!AA15+s_Irr!BY15)),IF(AND(s_Irr!AA15=".",s_Irr!AZ15&lt;&gt;".",s_Irr!BY15&lt;&gt;"."),s_dir!AB15/((1/1000)*(s_Irr!AZ15+s_Irr!BY15)),IF(AND(s_Irr!AA15=".",s_Irr!AZ15=".",s_Irr!BY15&lt;&gt;"."),s_dir!AB15/((1/1000)*(s_Irr!BY15)),IF(AND(s_Irr!AA15=".",s_Irr!AZ15&lt;&gt;".",s_Irr!BY15="."),s_dir!AB15/((1/1000)*(s_Irr!AZ15)),IF(AND(s_Irr!AA15&lt;&gt;".",s_Irr!AZ15=".",s_Irr!BY15="."),s_dir!AB15/((1/1000)*(s_Irr!AA15)),IF(AND(s_Irr!AA15=".",s_Irr!AZ15=".",s_Irr!BY15="."),s_dir!AB15*1000)))))))),".")</f>
        <v>68320.936881090238</v>
      </c>
      <c r="AC15" s="93">
        <f t="shared" si="4"/>
        <v>8167.2097807406062</v>
      </c>
      <c r="AD15" s="93">
        <f>IFERROR(s_C*s_IFAP_res_adj*s_CF_apple*0.001*(s_Irr!C15+s_Irr!AB15+s_Irr!BA15),".")</f>
        <v>2069.677052148757</v>
      </c>
      <c r="AE15" s="93">
        <f>IFERROR(s_C*s_IFAS_res_adj*s_CF_asparagus*0.001*(s_Irr!D15+s_Irr!AC15+s_Irr!BB15),".")</f>
        <v>4173.4209739302823</v>
      </c>
      <c r="AF15" s="93">
        <f>IFERROR(s_C*s_IFBT_res_adj*s_CF_beet*0.001*(s_Irr!E15+s_Irr!AD15+s_Irr!BC15),".")</f>
        <v>2219.9444751331516</v>
      </c>
      <c r="AG15" s="93">
        <f>IFERROR(s_C*s_IFBE_res_adj*s_CF_berries*0.001*(s_Irr!F15+s_Irr!AE15+s_Irr!BD15),".")</f>
        <v>2069.677052148757</v>
      </c>
      <c r="AH15" s="93">
        <f>IFERROR(s_C*s_IFBR_res_adj*s_CF_broccoli*0.001*(s_Irr!G15+s_Irr!AF15+s_Irr!BE15),".")</f>
        <v>2219.9444751331516</v>
      </c>
      <c r="AI15" s="93">
        <f>IFERROR(s_C*s_IFCB_res_adj*s_CF_cabbage*0.001*(s_Irr!H15+s_Irr!AG15+s_Irr!BF15),".")</f>
        <v>4173.4209739302823</v>
      </c>
      <c r="AJ15" s="93">
        <f>IFERROR(s_C*s_IFCR_res_adj*s_CF_carrot*0.001*(s_Irr!I15+s_Irr!AH15+s_Irr!BG15),".")</f>
        <v>2219.9444751331516</v>
      </c>
      <c r="AK15" s="93">
        <f>IFERROR(s_C*s_IFCI_res_adj*s_CF_citrus*0.001*(s_Irr!J15+s_Irr!AI15+s_Irr!BH15),".")</f>
        <v>2069.677052148757</v>
      </c>
      <c r="AL15" s="93">
        <f>IFERROR(s_C*s_IFCO_res_adj*s_CF_corn*0.001*(s_Irr!K15+s_Irr!AJ15+s_Irr!BI15),".")</f>
        <v>1805.2063876962222</v>
      </c>
      <c r="AM15" s="93">
        <f>IFERROR(s_C*s_IFCU_res_adj*s_CF_cucumber*0.001*(s_Irr!L15+s_Irr!AK15+s_Irr!BJ15),".")</f>
        <v>2219.9444751331516</v>
      </c>
      <c r="AN15" s="93">
        <f>IFERROR(s_C*s_IFLE_res_adj*s_CF_lettuce*0.001*(s_Irr!M15+s_Irr!AL15+s_Irr!BK15),".")</f>
        <v>4173.4209739302823</v>
      </c>
      <c r="AO15" s="93">
        <f>IFERROR(s_C*s_IFLI_res_adj*s_CF_lima_bean*0.001*(s_Irr!N15+s_Irr!AM15+s_Irr!BL15),".")</f>
        <v>1928.4256745434257</v>
      </c>
      <c r="AP15" s="93">
        <f>IFERROR(s_C*s_IFOK_res_adj*s_CF_okra*0.001*(s_Irr!O15+s_Irr!AN15+s_Irr!BM15),".")</f>
        <v>2219.9444751331516</v>
      </c>
      <c r="AQ15" s="93">
        <f>IFERROR(s_C*s_IFON_res_adj*s_CF_onion*0.001*(s_Irr!P15+s_Irr!AO15+s_Irr!BN15),".")</f>
        <v>2219.9444751331516</v>
      </c>
      <c r="AR15" s="93">
        <f>IFERROR(s_C*s_IFPC_res_adj*s_CF_peach*0.001*(s_Irr!Q15+s_Irr!AP15+s_Irr!BO15),".")</f>
        <v>2069.677052148757</v>
      </c>
      <c r="AS15" s="93">
        <f>IFERROR(s_C*s_IFPR_res_adj*s_CF_pear*0.001*(s_Irr!R15+s_Irr!AQ15+s_Irr!BP15),".")</f>
        <v>2069.677052148757</v>
      </c>
      <c r="AT15" s="93">
        <f>IFERROR(s_C*s_IFPE_res_adj*s_CF_peas*0.001*(s_Irr!S15+s_Irr!AR15+s_Irr!BQ15),".")</f>
        <v>1928.4256745434257</v>
      </c>
      <c r="AU15" s="93">
        <f>IFERROR(s_C*s_IFPP_res_adj*s_CF_peppers*0.001*(s_Irr!T15+s_Irr!AS15+s_Irr!BR15),".")</f>
        <v>2219.9444751331516</v>
      </c>
      <c r="AV15" s="93">
        <f>IFERROR(s_C*s_IFPT_res_adj*s_CF_potato*0.001*(s_Irr!U15+s_Irr!AT15+s_Irr!BS15),".")</f>
        <v>1814.2224330752858</v>
      </c>
      <c r="AW15" s="93">
        <f>IFERROR(s_C*s_IFPU_res_adj*s_CF_pumpkin*0.001*(s_Irr!V15+s_Irr!AU15+s_Irr!BT15),".")</f>
        <v>2219.9444751331516</v>
      </c>
      <c r="AX15" s="93">
        <f>IFERROR(s_C*s_IFSN_res_adj*s_CF_snap_bean*0.001*(s_Irr!W15+s_Irr!AV15+s_Irr!BU15),".")</f>
        <v>1928.4256745434257</v>
      </c>
      <c r="AY15" s="93">
        <f>IFERROR(s_C*s_IFST_res_adj*s_CF_strawberry*0.001*(s_Irr!X15+s_Irr!AW15+s_Irr!BV15),".")</f>
        <v>2069.677052148757</v>
      </c>
      <c r="AZ15" s="93">
        <f>IFERROR(s_C*s_IFTO_res_adj*s_CF_tomato*0.001*(s_Irr!Y15+s_Irr!AX15+s_Irr!BW15),".")</f>
        <v>2219.9444751331516</v>
      </c>
      <c r="BA15" s="93">
        <f>IFERROR(s_C*s_IFRI_res_adj*s_CF_rice*0.001*(s_Irr!Z15+s_Irr!AY15+s_Irr!BX15),".")</f>
        <v>1777.8577167130622</v>
      </c>
      <c r="BB15" s="93">
        <f>IFERROR(s_C*s_IFCG_res_adj*s_CF_cereal*0.001*(s_Irr!AA15+s_Irr!AZ15+s_Irr!BY15),".")</f>
        <v>2099.7305367456356</v>
      </c>
      <c r="BC15" s="76">
        <f t="shared" si="1"/>
        <v>17564.818502223865</v>
      </c>
      <c r="BD15" s="76">
        <f>IFERROR(IF(AND(s_Irr!C15&lt;&gt;".",s_Irr!AB15&lt;&gt;".",s_Irr!BA15&lt;&gt;"."),s_dir!AD15/((1/1000)*(s_Irr!C15+s_Irr!AB15+s_Irr!BA15)),IF(AND(s_Irr!C15&lt;&gt;".",s_Irr!AB15&lt;&gt;".",s_Irr!BA15="."),s_dir!AD15/((1/1000)*(s_Irr!C15+s_Irr!AB15)),IF(AND(s_Irr!C15&lt;&gt;".",s_Irr!AB15=".",s_Irr!BA15&lt;&gt;"."),s_dir!AD15/((1/1000)*(s_Irr!C15+s_Irr!BA15)),IF(AND(s_Irr!C15=".",s_Irr!AB15&lt;&gt;".",s_Irr!BA15&lt;&gt;"."),s_dir!AD15/((1/1000)*(s_Irr!AB15+s_Irr!BA15)),IF(AND(s_Irr!C15=".",s_Irr!AB15=".",s_Irr!BA15&lt;&gt;"."),s_dir!AD15/((1/1000)*(s_Irr!BA15)),IF(AND(s_Irr!C15=".",s_Irr!AB15&lt;&gt;".",s_Irr!BA15="."),s_dir!AD15/((1/1000)*(s_Irr!AB15)),IF(AND(s_Irr!C15&lt;&gt;".",s_Irr!AB15=".",s_Irr!BA15="."),s_dir!AD15/((1/1000)*(s_Irr!C15)),IF(AND(s_Irr!C15=".",s_Irr!AB15=".",s_Irr!BA15="."),s_dir!AD15*1000)))))))),".")</f>
        <v>69313.015438500181</v>
      </c>
      <c r="BE15" s="76">
        <f>IFERROR(IF(AND(s_Irr!D15&lt;&gt;".",s_Irr!AC15&lt;&gt;".",s_Irr!BB15&lt;&gt;"."),s_dir!AE15/((1/1000)*(s_Irr!D15+s_Irr!AC15+s_Irr!BB15)),IF(AND(s_Irr!D15&lt;&gt;".",s_Irr!AC15&lt;&gt;".",s_Irr!BB15="."),s_dir!AE15/((1/1000)*(s_Irr!D15+s_Irr!AC15)),IF(AND(s_Irr!D15&lt;&gt;".",s_Irr!AC15=".",s_Irr!BB15&lt;&gt;"."),s_dir!AE15/((1/1000)*(s_Irr!D15+s_Irr!BB15)),IF(AND(s_Irr!D15=".",s_Irr!AC15&lt;&gt;".",s_Irr!BB15&lt;&gt;"."),s_dir!AE15/((1/1000)*(s_Irr!AC15+s_Irr!BB15)),IF(AND(s_Irr!D15=".",s_Irr!AC15=".",s_Irr!BB15&lt;&gt;"."),s_dir!AE15/((1/1000)*(s_Irr!BB15)),IF(AND(s_Irr!D15=".",s_Irr!AC15&lt;&gt;".",s_Irr!BB15="."),s_dir!AE15/((1/1000)*(s_Irr!AC15)),IF(AND(s_Irr!D15&lt;&gt;".",s_Irr!AC15=".",s_Irr!BB15="."),s_dir!AE15/((1/1000)*(s_Irr!D15)),IF(AND(s_Irr!D15=".",s_Irr!AC15=".",s_Irr!BB15="."),s_dir!AE15*1000)))))))),".")</f>
        <v>34373.613005830637</v>
      </c>
      <c r="BF15" s="76">
        <f>IFERROR(IF(AND(s_Irr!E15&lt;&gt;".",s_Irr!AD15&lt;&gt;".",s_Irr!BC15&lt;&gt;"."),s_dir!AF15/((1/1000)*(s_Irr!E15+s_Irr!AD15+s_Irr!BC15)),IF(AND(s_Irr!E15&lt;&gt;".",s_Irr!AD15&lt;&gt;".",s_Irr!BC15="."),s_dir!AF15/((1/1000)*(s_Irr!E15+s_Irr!AD15)),IF(AND(s_Irr!E15&lt;&gt;".",s_Irr!AD15=".",s_Irr!BC15&lt;&gt;"."),s_dir!AF15/((1/1000)*(s_Irr!E15+s_Irr!BC15)),IF(AND(s_Irr!E15=".",s_Irr!AD15&lt;&gt;".",s_Irr!BC15&lt;&gt;"."),s_dir!AF15/((1/1000)*(s_Irr!AD15+s_Irr!BC15)),IF(AND(s_Irr!E15=".",s_Irr!AD15=".",s_Irr!BC15&lt;&gt;"."),s_dir!AF15/((1/1000)*(s_Irr!BC15)),IF(AND(s_Irr!E15=".",s_Irr!AD15&lt;&gt;".",s_Irr!BC15="."),s_dir!AF15/((1/1000)*(s_Irr!AD15)),IF(AND(s_Irr!E15&lt;&gt;".",s_Irr!AD15=".",s_Irr!BC15="."),s_dir!AF15/((1/1000)*(s_Irr!E15)),IF(AND(s_Irr!E15=".",s_Irr!AD15=".",s_Irr!BC15="."),s_dir!AF15*1000)))))))),".")</f>
        <v>64621.236735973725</v>
      </c>
      <c r="BG15" s="76">
        <f>IFERROR(IF(AND(s_Irr!F15&lt;&gt;".",s_Irr!AE15&lt;&gt;".",s_Irr!BD15&lt;&gt;"."),s_dir!AG15/((1/1000)*(s_Irr!F15+s_Irr!AE15+s_Irr!BD15)),IF(AND(s_Irr!F15&lt;&gt;".",s_Irr!AE15&lt;&gt;".",s_Irr!BD15="."),s_dir!AG15/((1/1000)*(s_Irr!F15+s_Irr!AE15)),IF(AND(s_Irr!F15&lt;&gt;".",s_Irr!AE15=".",s_Irr!BD15&lt;&gt;"."),s_dir!AG15/((1/1000)*(s_Irr!F15+s_Irr!BD15)),IF(AND(s_Irr!F15=".",s_Irr!AE15&lt;&gt;".",s_Irr!BD15&lt;&gt;"."),s_dir!AG15/((1/1000)*(s_Irr!AE15+s_Irr!BD15)),IF(AND(s_Irr!F15=".",s_Irr!AE15=".",s_Irr!BD15&lt;&gt;"."),s_dir!AG15/((1/1000)*(s_Irr!BD15)),IF(AND(s_Irr!F15=".",s_Irr!AE15&lt;&gt;".",s_Irr!BD15="."),s_dir!AG15/((1/1000)*(s_Irr!AE15)),IF(AND(s_Irr!F15&lt;&gt;".",s_Irr!AE15=".",s_Irr!BD15="."),s_dir!AG15/((1/1000)*(s_Irr!F15)),IF(AND(s_Irr!F15=".",s_Irr!AE15=".",s_Irr!BD15="."),s_dir!AG15*1000)))))))),".")</f>
        <v>69313.015438500181</v>
      </c>
      <c r="BH15" s="76">
        <f>IFERROR(IF(AND(s_Irr!G15&lt;&gt;".",s_Irr!AF15&lt;&gt;".",s_Irr!BE15&lt;&gt;"."),s_dir!AH15/((1/1000)*(s_Irr!G15+s_Irr!AF15+s_Irr!BE15)),IF(AND(s_Irr!G15&lt;&gt;".",s_Irr!AF15&lt;&gt;".",s_Irr!BE15="."),s_dir!AH15/((1/1000)*(s_Irr!G15+s_Irr!AF15)),IF(AND(s_Irr!G15&lt;&gt;".",s_Irr!AF15=".",s_Irr!BE15&lt;&gt;"."),s_dir!AH15/((1/1000)*(s_Irr!G15+s_Irr!BE15)),IF(AND(s_Irr!G15=".",s_Irr!AF15&lt;&gt;".",s_Irr!BE15&lt;&gt;"."),s_dir!AH15/((1/1000)*(s_Irr!AF15+s_Irr!BE15)),IF(AND(s_Irr!G15=".",s_Irr!AF15=".",s_Irr!BE15&lt;&gt;"."),s_dir!AH15/((1/1000)*(s_Irr!BE15)),IF(AND(s_Irr!G15=".",s_Irr!AF15&lt;&gt;".",s_Irr!BE15="."),s_dir!AH15/((1/1000)*(s_Irr!AF15)),IF(AND(s_Irr!G15&lt;&gt;".",s_Irr!AF15=".",s_Irr!BE15="."),s_dir!AH15/((1/1000)*(s_Irr!G15)),IF(AND(s_Irr!G15=".",s_Irr!AF15=".",s_Irr!BE15="."),s_dir!AH15*1000)))))))),".")</f>
        <v>64621.236735973725</v>
      </c>
      <c r="BI15" s="76">
        <f>IFERROR(IF(AND(s_Irr!H15&lt;&gt;".",s_Irr!AG15&lt;&gt;".",s_Irr!BF15&lt;&gt;"."),s_dir!AI15/((1/1000)*(s_Irr!H15+s_Irr!AG15+s_Irr!BF15)),IF(AND(s_Irr!H15&lt;&gt;".",s_Irr!AG15&lt;&gt;".",s_Irr!BF15="."),s_dir!AI15/((1/1000)*(s_Irr!H15+s_Irr!AG15)),IF(AND(s_Irr!H15&lt;&gt;".",s_Irr!AG15=".",s_Irr!BF15&lt;&gt;"."),s_dir!AI15/((1/1000)*(s_Irr!H15+s_Irr!BF15)),IF(AND(s_Irr!H15=".",s_Irr!AG15&lt;&gt;".",s_Irr!BF15&lt;&gt;"."),s_dir!AI15/((1/1000)*(s_Irr!AG15+s_Irr!BF15)),IF(AND(s_Irr!H15=".",s_Irr!AG15=".",s_Irr!BF15&lt;&gt;"."),s_dir!AI15/((1/1000)*(s_Irr!BF15)),IF(AND(s_Irr!H15=".",s_Irr!AG15&lt;&gt;".",s_Irr!BF15="."),s_dir!AI15/((1/1000)*(s_Irr!AG15)),IF(AND(s_Irr!H15&lt;&gt;".",s_Irr!AG15=".",s_Irr!BF15="."),s_dir!AI15/((1/1000)*(s_Irr!H15)),IF(AND(s_Irr!H15=".",s_Irr!AG15=".",s_Irr!BF15="."),s_dir!AI15*1000)))))))),".")</f>
        <v>34373.613005830637</v>
      </c>
      <c r="BJ15" s="76">
        <f>IFERROR(IF(AND(s_Irr!I15&lt;&gt;".",s_Irr!AH15&lt;&gt;".",s_Irr!BG15&lt;&gt;"."),s_dir!AJ15/((1/1000)*(s_Irr!I15+s_Irr!AH15+s_Irr!BG15)),IF(AND(s_Irr!I15&lt;&gt;".",s_Irr!AH15&lt;&gt;".",s_Irr!BG15="."),s_dir!AJ15/((1/1000)*(s_Irr!I15+s_Irr!AH15)),IF(AND(s_Irr!I15&lt;&gt;".",s_Irr!AH15=".",s_Irr!BG15&lt;&gt;"."),s_dir!AJ15/((1/1000)*(s_Irr!I15+s_Irr!BG15)),IF(AND(s_Irr!I15=".",s_Irr!AH15&lt;&gt;".",s_Irr!BG15&lt;&gt;"."),s_dir!AJ15/((1/1000)*(s_Irr!AH15+s_Irr!BG15)),IF(AND(s_Irr!I15=".",s_Irr!AH15=".",s_Irr!BG15&lt;&gt;"."),s_dir!AJ15/((1/1000)*(s_Irr!BG15)),IF(AND(s_Irr!I15=".",s_Irr!AH15&lt;&gt;".",s_Irr!BG15="."),s_dir!AJ15/((1/1000)*(s_Irr!AH15)),IF(AND(s_Irr!I15&lt;&gt;".",s_Irr!AH15=".",s_Irr!BG15="."),s_dir!AJ15/((1/1000)*(s_Irr!I15)),IF(AND(s_Irr!I15=".",s_Irr!AH15=".",s_Irr!BG15="."),s_dir!AJ15*1000)))))))),".")</f>
        <v>64621.236735973725</v>
      </c>
      <c r="BK15" s="76">
        <f>IFERROR(IF(AND(s_Irr!J15&lt;&gt;".",s_Irr!AI15&lt;&gt;".",s_Irr!BH15&lt;&gt;"."),s_dir!AK15/((1/1000)*(s_Irr!J15+s_Irr!AI15+s_Irr!BH15)),IF(AND(s_Irr!J15&lt;&gt;".",s_Irr!AI15&lt;&gt;".",s_Irr!BH15="."),s_dir!AK15/((1/1000)*(s_Irr!J15+s_Irr!AI15)),IF(AND(s_Irr!J15&lt;&gt;".",s_Irr!AI15=".",s_Irr!BH15&lt;&gt;"."),s_dir!AK15/((1/1000)*(s_Irr!J15+s_Irr!BH15)),IF(AND(s_Irr!J15=".",s_Irr!AI15&lt;&gt;".",s_Irr!BH15&lt;&gt;"."),s_dir!AK15/((1/1000)*(s_Irr!AI15+s_Irr!BH15)),IF(AND(s_Irr!J15=".",s_Irr!AI15=".",s_Irr!BH15&lt;&gt;"."),s_dir!AK15/((1/1000)*(s_Irr!BH15)),IF(AND(s_Irr!J15=".",s_Irr!AI15&lt;&gt;".",s_Irr!BH15="."),s_dir!AK15/((1/1000)*(s_Irr!AI15)),IF(AND(s_Irr!J15&lt;&gt;".",s_Irr!AI15=".",s_Irr!BH15="."),s_dir!AK15/((1/1000)*(s_Irr!J15)),IF(AND(s_Irr!J15=".",s_Irr!AI15=".",s_Irr!BH15="."),s_dir!AK15*1000)))))))),".")</f>
        <v>69313.015438500181</v>
      </c>
      <c r="BL15" s="76">
        <f>IFERROR(IF(AND(s_Irr!K15&lt;&gt;".",s_Irr!AJ15&lt;&gt;".",s_Irr!BI15&lt;&gt;"."),s_dir!AL15/((1/1000)*(s_Irr!K15+s_Irr!AJ15+s_Irr!BI15)),IF(AND(s_Irr!K15&lt;&gt;".",s_Irr!AJ15&lt;&gt;".",s_Irr!BI15="."),s_dir!AL15/((1/1000)*(s_Irr!K15+s_Irr!AJ15)),IF(AND(s_Irr!K15&lt;&gt;".",s_Irr!AJ15=".",s_Irr!BI15&lt;&gt;"."),s_dir!AL15/((1/1000)*(s_Irr!K15+s_Irr!BI15)),IF(AND(s_Irr!K15=".",s_Irr!AJ15&lt;&gt;".",s_Irr!BI15&lt;&gt;"."),s_dir!AL15/((1/1000)*(s_Irr!AJ15+s_Irr!BI15)),IF(AND(s_Irr!K15=".",s_Irr!AJ15=".",s_Irr!BI15&lt;&gt;"."),s_dir!AL15/((1/1000)*(s_Irr!BI15)),IF(AND(s_Irr!K15=".",s_Irr!AJ15&lt;&gt;".",s_Irr!BI15="."),s_dir!AL15/((1/1000)*(s_Irr!AJ15)),IF(AND(s_Irr!K15&lt;&gt;".",s_Irr!AJ15=".",s_Irr!BI15="."),s_dir!AL15/((1/1000)*(s_Irr!K15)),IF(AND(s_Irr!K15=".",s_Irr!AJ15=".",s_Irr!BI15="."),s_dir!AL15*1000)))))))),".")</f>
        <v>79467.676630245143</v>
      </c>
      <c r="BM15" s="76">
        <f>IFERROR(IF(AND(s_Irr!L15&lt;&gt;".",s_Irr!AK15&lt;&gt;".",s_Irr!BJ15&lt;&gt;"."),s_dir!AM15/((1/1000)*(s_Irr!L15+s_Irr!AK15+s_Irr!BJ15)),IF(AND(s_Irr!L15&lt;&gt;".",s_Irr!AK15&lt;&gt;".",s_Irr!BJ15="."),s_dir!AM15/((1/1000)*(s_Irr!L15+s_Irr!AK15)),IF(AND(s_Irr!L15&lt;&gt;".",s_Irr!AK15=".",s_Irr!BJ15&lt;&gt;"."),s_dir!AM15/((1/1000)*(s_Irr!L15+s_Irr!BJ15)),IF(AND(s_Irr!L15=".",s_Irr!AK15&lt;&gt;".",s_Irr!BJ15&lt;&gt;"."),s_dir!AM15/((1/1000)*(s_Irr!AK15+s_Irr!BJ15)),IF(AND(s_Irr!L15=".",s_Irr!AK15=".",s_Irr!BJ15&lt;&gt;"."),s_dir!AM15/((1/1000)*(s_Irr!BJ15)),IF(AND(s_Irr!L15=".",s_Irr!AK15&lt;&gt;".",s_Irr!BJ15="."),s_dir!AM15/((1/1000)*(s_Irr!AK15)),IF(AND(s_Irr!L15&lt;&gt;".",s_Irr!AK15=".",s_Irr!BJ15="."),s_dir!AM15/((1/1000)*(s_Irr!L15)),IF(AND(s_Irr!L15=".",s_Irr!AK15=".",s_Irr!BJ15="."),s_dir!AM15*1000)))))))),".")</f>
        <v>64621.236735973725</v>
      </c>
      <c r="BN15" s="76">
        <f>IFERROR(IF(AND(s_Irr!M15&lt;&gt;".",s_Irr!AL15&lt;&gt;".",s_Irr!BK15&lt;&gt;"."),s_dir!AN15/((1/1000)*(s_Irr!M15+s_Irr!AL15+s_Irr!BK15)),IF(AND(s_Irr!M15&lt;&gt;".",s_Irr!AL15&lt;&gt;".",s_Irr!BK15="."),s_dir!AN15/((1/1000)*(s_Irr!M15+s_Irr!AL15)),IF(AND(s_Irr!M15&lt;&gt;".",s_Irr!AL15=".",s_Irr!BK15&lt;&gt;"."),s_dir!AN15/((1/1000)*(s_Irr!M15+s_Irr!BK15)),IF(AND(s_Irr!M15=".",s_Irr!AL15&lt;&gt;".",s_Irr!BK15&lt;&gt;"."),s_dir!AN15/((1/1000)*(s_Irr!AL15+s_Irr!BK15)),IF(AND(s_Irr!M15=".",s_Irr!AL15=".",s_Irr!BK15&lt;&gt;"."),s_dir!AN15/((1/1000)*(s_Irr!BK15)),IF(AND(s_Irr!M15=".",s_Irr!AL15&lt;&gt;".",s_Irr!BK15="."),s_dir!AN15/((1/1000)*(s_Irr!AL15)),IF(AND(s_Irr!M15&lt;&gt;".",s_Irr!AL15=".",s_Irr!BK15="."),s_dir!AN15/((1/1000)*(s_Irr!M15)),IF(AND(s_Irr!M15=".",s_Irr!AL15=".",s_Irr!BK15="."),s_dir!AN15*1000)))))))),".")</f>
        <v>34373.613005830637</v>
      </c>
      <c r="BO15" s="76">
        <f>IFERROR(IF(AND(s_Irr!N15&lt;&gt;".",s_Irr!AM15&lt;&gt;".",s_Irr!BL15&lt;&gt;"."),s_dir!AO15/((1/1000)*(s_Irr!N15+s_Irr!AM15+s_Irr!BL15)),IF(AND(s_Irr!N15&lt;&gt;".",s_Irr!AM15&lt;&gt;".",s_Irr!BL15="."),s_dir!AO15/((1/1000)*(s_Irr!N15+s_Irr!AM15)),IF(AND(s_Irr!N15&lt;&gt;".",s_Irr!AM15=".",s_Irr!BL15&lt;&gt;"."),s_dir!AO15/((1/1000)*(s_Irr!N15+s_Irr!BL15)),IF(AND(s_Irr!N15=".",s_Irr!AM15&lt;&gt;".",s_Irr!BL15&lt;&gt;"."),s_dir!AO15/((1/1000)*(s_Irr!AM15+s_Irr!BL15)),IF(AND(s_Irr!N15=".",s_Irr!AM15=".",s_Irr!BL15&lt;&gt;"."),s_dir!AO15/((1/1000)*(s_Irr!BL15)),IF(AND(s_Irr!N15=".",s_Irr!AM15&lt;&gt;".",s_Irr!BL15="."),s_dir!AO15/((1/1000)*(s_Irr!AM15)),IF(AND(s_Irr!N15&lt;&gt;".",s_Irr!AM15=".",s_Irr!BL15="."),s_dir!AO15/((1/1000)*(s_Irr!N15)),IF(AND(s_Irr!N15=".",s_Irr!AM15=".",s_Irr!BL15="."),s_dir!AO15*1000)))))))),".")</f>
        <v>74389.985241334696</v>
      </c>
      <c r="BP15" s="76">
        <f>IFERROR(IF(AND(s_Irr!O15&lt;&gt;".",s_Irr!AN15&lt;&gt;".",s_Irr!BM15&lt;&gt;"."),s_dir!AP15/((1/1000)*(s_Irr!O15+s_Irr!AN15+s_Irr!BM15)),IF(AND(s_Irr!O15&lt;&gt;".",s_Irr!AN15&lt;&gt;".",s_Irr!BM15="."),s_dir!AP15/((1/1000)*(s_Irr!O15+s_Irr!AN15)),IF(AND(s_Irr!O15&lt;&gt;".",s_Irr!AN15=".",s_Irr!BM15&lt;&gt;"."),s_dir!AP15/((1/1000)*(s_Irr!O15+s_Irr!BM15)),IF(AND(s_Irr!O15=".",s_Irr!AN15&lt;&gt;".",s_Irr!BM15&lt;&gt;"."),s_dir!AP15/((1/1000)*(s_Irr!AN15+s_Irr!BM15)),IF(AND(s_Irr!O15=".",s_Irr!AN15=".",s_Irr!BM15&lt;&gt;"."),s_dir!AP15/((1/1000)*(s_Irr!BM15)),IF(AND(s_Irr!O15=".",s_Irr!AN15&lt;&gt;".",s_Irr!BM15="."),s_dir!AP15/((1/1000)*(s_Irr!AN15)),IF(AND(s_Irr!O15&lt;&gt;".",s_Irr!AN15=".",s_Irr!BM15="."),s_dir!AP15/((1/1000)*(s_Irr!O15)),IF(AND(s_Irr!O15=".",s_Irr!AN15=".",s_Irr!BM15="."),s_dir!AP15*1000)))))))),".")</f>
        <v>64621.236735973725</v>
      </c>
      <c r="BQ15" s="76">
        <f>IFERROR(IF(AND(s_Irr!P15&lt;&gt;".",s_Irr!AO15&lt;&gt;".",s_Irr!BN15&lt;&gt;"."),s_dir!AQ15/((1/1000)*(s_Irr!P15+s_Irr!AO15+s_Irr!BN15)),IF(AND(s_Irr!P15&lt;&gt;".",s_Irr!AO15&lt;&gt;".",s_Irr!BN15="."),s_dir!AQ15/((1/1000)*(s_Irr!P15+s_Irr!AO15)),IF(AND(s_Irr!P15&lt;&gt;".",s_Irr!AO15=".",s_Irr!BN15&lt;&gt;"."),s_dir!AQ15/((1/1000)*(s_Irr!P15+s_Irr!BN15)),IF(AND(s_Irr!P15=".",s_Irr!AO15&lt;&gt;".",s_Irr!BN15&lt;&gt;"."),s_dir!AQ15/((1/1000)*(s_Irr!AO15+s_Irr!BN15)),IF(AND(s_Irr!P15=".",s_Irr!AO15=".",s_Irr!BN15&lt;&gt;"."),s_dir!AQ15/((1/1000)*(s_Irr!BN15)),IF(AND(s_Irr!P15=".",s_Irr!AO15&lt;&gt;".",s_Irr!BN15="."),s_dir!AQ15/((1/1000)*(s_Irr!AO15)),IF(AND(s_Irr!P15&lt;&gt;".",s_Irr!AO15=".",s_Irr!BN15="."),s_dir!AQ15/((1/1000)*(s_Irr!P15)),IF(AND(s_Irr!P15=".",s_Irr!AO15=".",s_Irr!BN15="."),s_dir!AQ15*1000)))))))),".")</f>
        <v>64621.236735973725</v>
      </c>
      <c r="BR15" s="76">
        <f>IFERROR(IF(AND(s_Irr!Q15&lt;&gt;".",s_Irr!AP15&lt;&gt;".",s_Irr!BO15&lt;&gt;"."),s_dir!AR15/((1/1000)*(s_Irr!Q15+s_Irr!AP15+s_Irr!BO15)),IF(AND(s_Irr!Q15&lt;&gt;".",s_Irr!AP15&lt;&gt;".",s_Irr!BO15="."),s_dir!AR15/((1/1000)*(s_Irr!Q15+s_Irr!AP15)),IF(AND(s_Irr!Q15&lt;&gt;".",s_Irr!AP15=".",s_Irr!BO15&lt;&gt;"."),s_dir!AR15/((1/1000)*(s_Irr!Q15+s_Irr!BO15)),IF(AND(s_Irr!Q15=".",s_Irr!AP15&lt;&gt;".",s_Irr!BO15&lt;&gt;"."),s_dir!AR15/((1/1000)*(s_Irr!AP15+s_Irr!BO15)),IF(AND(s_Irr!Q15=".",s_Irr!AP15=".",s_Irr!BO15&lt;&gt;"."),s_dir!AR15/((1/1000)*(s_Irr!BO15)),IF(AND(s_Irr!Q15=".",s_Irr!AP15&lt;&gt;".",s_Irr!BO15="."),s_dir!AR15/((1/1000)*(s_Irr!AP15)),IF(AND(s_Irr!Q15&lt;&gt;".",s_Irr!AP15=".",s_Irr!BO15="."),s_dir!AR15/((1/1000)*(s_Irr!Q15)),IF(AND(s_Irr!Q15=".",s_Irr!AP15=".",s_Irr!BO15="."),s_dir!AR15*1000)))))))),".")</f>
        <v>69313.015438500181</v>
      </c>
      <c r="BS15" s="76">
        <f>IFERROR(IF(AND(s_Irr!R15&lt;&gt;".",s_Irr!AQ15&lt;&gt;".",s_Irr!BP15&lt;&gt;"."),s_dir!AS15/((1/1000)*(s_Irr!R15+s_Irr!AQ15+s_Irr!BP15)),IF(AND(s_Irr!R15&lt;&gt;".",s_Irr!AQ15&lt;&gt;".",s_Irr!BP15="."),s_dir!AS15/((1/1000)*(s_Irr!R15+s_Irr!AQ15)),IF(AND(s_Irr!R15&lt;&gt;".",s_Irr!AQ15=".",s_Irr!BP15&lt;&gt;"."),s_dir!AS15/((1/1000)*(s_Irr!R15+s_Irr!BP15)),IF(AND(s_Irr!R15=".",s_Irr!AQ15&lt;&gt;".",s_Irr!BP15&lt;&gt;"."),s_dir!AS15/((1/1000)*(s_Irr!AQ15+s_Irr!BP15)),IF(AND(s_Irr!R15=".",s_Irr!AQ15=".",s_Irr!BP15&lt;&gt;"."),s_dir!AS15/((1/1000)*(s_Irr!BP15)),IF(AND(s_Irr!R15=".",s_Irr!AQ15&lt;&gt;".",s_Irr!BP15="."),s_dir!AS15/((1/1000)*(s_Irr!AQ15)),IF(AND(s_Irr!R15&lt;&gt;".",s_Irr!AQ15=".",s_Irr!BP15="."),s_dir!AS15/((1/1000)*(s_Irr!R15)),IF(AND(s_Irr!R15=".",s_Irr!AQ15=".",s_Irr!BP15="."),s_dir!AS15*1000)))))))),".")</f>
        <v>69313.015438500181</v>
      </c>
      <c r="BT15" s="76">
        <f>IFERROR(IF(AND(s_Irr!S15&lt;&gt;".",s_Irr!AR15&lt;&gt;".",s_Irr!BQ15&lt;&gt;"."),s_dir!AT15/((1/1000)*(s_Irr!S15+s_Irr!AR15+s_Irr!BQ15)),IF(AND(s_Irr!S15&lt;&gt;".",s_Irr!AR15&lt;&gt;".",s_Irr!BQ15="."),s_dir!AT15/((1/1000)*(s_Irr!S15+s_Irr!AR15)),IF(AND(s_Irr!S15&lt;&gt;".",s_Irr!AR15=".",s_Irr!BQ15&lt;&gt;"."),s_dir!AT15/((1/1000)*(s_Irr!S15+s_Irr!BQ15)),IF(AND(s_Irr!S15=".",s_Irr!AR15&lt;&gt;".",s_Irr!BQ15&lt;&gt;"."),s_dir!AT15/((1/1000)*(s_Irr!AR15+s_Irr!BQ15)),IF(AND(s_Irr!S15=".",s_Irr!AR15=".",s_Irr!BQ15&lt;&gt;"."),s_dir!AT15/((1/1000)*(s_Irr!BQ15)),IF(AND(s_Irr!S15=".",s_Irr!AR15&lt;&gt;".",s_Irr!BQ15="."),s_dir!AT15/((1/1000)*(s_Irr!AR15)),IF(AND(s_Irr!S15&lt;&gt;".",s_Irr!AR15=".",s_Irr!BQ15="."),s_dir!AT15/((1/1000)*(s_Irr!S15)),IF(AND(s_Irr!S15=".",s_Irr!AR15=".",s_Irr!BQ15="."),s_dir!AT15*1000)))))))),".")</f>
        <v>74389.985241334696</v>
      </c>
      <c r="BU15" s="76">
        <f>IFERROR(IF(AND(s_Irr!T15&lt;&gt;".",s_Irr!AS15&lt;&gt;".",s_Irr!BR15&lt;&gt;"."),s_dir!AU15/((1/1000)*(s_Irr!T15+s_Irr!AS15+s_Irr!BR15)),IF(AND(s_Irr!T15&lt;&gt;".",s_Irr!AS15&lt;&gt;".",s_Irr!BR15="."),s_dir!AU15/((1/1000)*(s_Irr!T15+s_Irr!AS15)),IF(AND(s_Irr!T15&lt;&gt;".",s_Irr!AS15=".",s_Irr!BR15&lt;&gt;"."),s_dir!AU15/((1/1000)*(s_Irr!T15+s_Irr!BR15)),IF(AND(s_Irr!T15=".",s_Irr!AS15&lt;&gt;".",s_Irr!BR15&lt;&gt;"."),s_dir!AU15/((1/1000)*(s_Irr!AS15+s_Irr!BR15)),IF(AND(s_Irr!T15=".",s_Irr!AS15=".",s_Irr!BR15&lt;&gt;"."),s_dir!AU15/((1/1000)*(s_Irr!BR15)),IF(AND(s_Irr!T15=".",s_Irr!AS15&lt;&gt;".",s_Irr!BR15="."),s_dir!AU15/((1/1000)*(s_Irr!AS15)),IF(AND(s_Irr!T15&lt;&gt;".",s_Irr!AS15=".",s_Irr!BR15="."),s_dir!AU15/((1/1000)*(s_Irr!T15)),IF(AND(s_Irr!T15=".",s_Irr!AS15=".",s_Irr!BR15="."),s_dir!AU15*1000)))))))),".")</f>
        <v>64621.236735973725</v>
      </c>
      <c r="BV15" s="76">
        <f>IFERROR(IF(AND(s_Irr!U15&lt;&gt;".",s_Irr!AT15&lt;&gt;".",s_Irr!BS15&lt;&gt;"."),s_dir!AV15/((1/1000)*(s_Irr!U15+s_Irr!AT15+s_Irr!BS15)),IF(AND(s_Irr!U15&lt;&gt;".",s_Irr!AT15&lt;&gt;".",s_Irr!BS15="."),s_dir!AV15/((1/1000)*(s_Irr!U15+s_Irr!AT15)),IF(AND(s_Irr!U15&lt;&gt;".",s_Irr!AT15=".",s_Irr!BS15&lt;&gt;"."),s_dir!AV15/((1/1000)*(s_Irr!U15+s_Irr!BS15)),IF(AND(s_Irr!U15=".",s_Irr!AT15&lt;&gt;".",s_Irr!BS15&lt;&gt;"."),s_dir!AV15/((1/1000)*(s_Irr!AT15+s_Irr!BS15)),IF(AND(s_Irr!U15=".",s_Irr!AT15=".",s_Irr!BS15&lt;&gt;"."),s_dir!AV15/((1/1000)*(s_Irr!BS15)),IF(AND(s_Irr!U15=".",s_Irr!AT15&lt;&gt;".",s_Irr!BS15="."),s_dir!AV15/((1/1000)*(s_Irr!AT15)),IF(AND(s_Irr!U15&lt;&gt;".",s_Irr!AT15=".",s_Irr!BS15="."),s_dir!AV15/((1/1000)*(s_Irr!U15)),IF(AND(s_Irr!U15=".",s_Irr!AT15=".",s_Irr!BS15="."),s_dir!AV15*1000)))))))),".")</f>
        <v>79072.750316026591</v>
      </c>
      <c r="BW15" s="76">
        <f>IFERROR(IF(AND(s_Irr!V15&lt;&gt;".",s_Irr!AU15&lt;&gt;".",s_Irr!BT15&lt;&gt;"."),s_dir!AW15/((1/1000)*(s_Irr!V15+s_Irr!AU15+s_Irr!BT15)),IF(AND(s_Irr!V15&lt;&gt;".",s_Irr!AU15&lt;&gt;".",s_Irr!BT15="."),s_dir!AW15/((1/1000)*(s_Irr!V15+s_Irr!AU15)),IF(AND(s_Irr!V15&lt;&gt;".",s_Irr!AU15=".",s_Irr!BT15&lt;&gt;"."),s_dir!AW15/((1/1000)*(s_Irr!V15+s_Irr!BT15)),IF(AND(s_Irr!V15=".",s_Irr!AU15&lt;&gt;".",s_Irr!BT15&lt;&gt;"."),s_dir!AW15/((1/1000)*(s_Irr!AU15+s_Irr!BT15)),IF(AND(s_Irr!V15=".",s_Irr!AU15=".",s_Irr!BT15&lt;&gt;"."),s_dir!AW15/((1/1000)*(s_Irr!BT15)),IF(AND(s_Irr!V15=".",s_Irr!AU15&lt;&gt;".",s_Irr!BT15="."),s_dir!AW15/((1/1000)*(s_Irr!AU15)),IF(AND(s_Irr!V15&lt;&gt;".",s_Irr!AU15=".",s_Irr!BT15="."),s_dir!AW15/((1/1000)*(s_Irr!V15)),IF(AND(s_Irr!V15=".",s_Irr!AU15=".",s_Irr!BT15="."),s_dir!AW15*1000)))))))),".")</f>
        <v>64621.236735973725</v>
      </c>
      <c r="BX15" s="76">
        <f>IFERROR(IF(AND(s_Irr!W15&lt;&gt;".",s_Irr!AV15&lt;&gt;".",s_Irr!BU15&lt;&gt;"."),s_dir!AX15/((1/1000)*(s_Irr!W15+s_Irr!AV15+s_Irr!BU15)),IF(AND(s_Irr!W15&lt;&gt;".",s_Irr!AV15&lt;&gt;".",s_Irr!BU15="."),s_dir!AX15/((1/1000)*(s_Irr!W15+s_Irr!AV15)),IF(AND(s_Irr!W15&lt;&gt;".",s_Irr!AV15=".",s_Irr!BU15&lt;&gt;"."),s_dir!AX15/((1/1000)*(s_Irr!W15+s_Irr!BU15)),IF(AND(s_Irr!W15=".",s_Irr!AV15&lt;&gt;".",s_Irr!BU15&lt;&gt;"."),s_dir!AX15/((1/1000)*(s_Irr!AV15+s_Irr!BU15)),IF(AND(s_Irr!W15=".",s_Irr!AV15=".",s_Irr!BU15&lt;&gt;"."),s_dir!AX15/((1/1000)*(s_Irr!BU15)),IF(AND(s_Irr!W15=".",s_Irr!AV15&lt;&gt;".",s_Irr!BU15="."),s_dir!AX15/((1/1000)*(s_Irr!AV15)),IF(AND(s_Irr!W15&lt;&gt;".",s_Irr!AV15=".",s_Irr!BU15="."),s_dir!AX15/((1/1000)*(s_Irr!W15)),IF(AND(s_Irr!W15=".",s_Irr!AV15=".",s_Irr!BU15="."),s_dir!AX15*1000)))))))),".")</f>
        <v>74389.985241334696</v>
      </c>
      <c r="BY15" s="76">
        <f>IFERROR(IF(AND(s_Irr!X15&lt;&gt;".",s_Irr!AW15&lt;&gt;".",s_Irr!BV15&lt;&gt;"."),s_dir!AY15/((1/1000)*(s_Irr!X15+s_Irr!AW15+s_Irr!BV15)),IF(AND(s_Irr!X15&lt;&gt;".",s_Irr!AW15&lt;&gt;".",s_Irr!BV15="."),s_dir!AY15/((1/1000)*(s_Irr!X15+s_Irr!AW15)),IF(AND(s_Irr!X15&lt;&gt;".",s_Irr!AW15=".",s_Irr!BV15&lt;&gt;"."),s_dir!AY15/((1/1000)*(s_Irr!X15+s_Irr!BV15)),IF(AND(s_Irr!X15=".",s_Irr!AW15&lt;&gt;".",s_Irr!BV15&lt;&gt;"."),s_dir!AY15/((1/1000)*(s_Irr!AW15+s_Irr!BV15)),IF(AND(s_Irr!X15=".",s_Irr!AW15=".",s_Irr!BV15&lt;&gt;"."),s_dir!AY15/((1/1000)*(s_Irr!BV15)),IF(AND(s_Irr!X15=".",s_Irr!AW15&lt;&gt;".",s_Irr!BV15="."),s_dir!AY15/((1/1000)*(s_Irr!AW15)),IF(AND(s_Irr!X15&lt;&gt;".",s_Irr!AW15=".",s_Irr!BV15="."),s_dir!AY15/((1/1000)*(s_Irr!X15)),IF(AND(s_Irr!X15=".",s_Irr!AW15=".",s_Irr!BV15="."),s_dir!AY15*1000)))))))),".")</f>
        <v>69313.015438500181</v>
      </c>
      <c r="BZ15" s="76">
        <f>IFERROR(IF(AND(s_Irr!Y15&lt;&gt;".",s_Irr!AX15&lt;&gt;".",s_Irr!BW15&lt;&gt;"."),s_dir!AZ15/((1/1000)*(s_Irr!Y15+s_Irr!AX15+s_Irr!BW15)),IF(AND(s_Irr!Y15&lt;&gt;".",s_Irr!AX15&lt;&gt;".",s_Irr!BW15="."),s_dir!AZ15/((1/1000)*(s_Irr!Y15+s_Irr!AX15)),IF(AND(s_Irr!Y15&lt;&gt;".",s_Irr!AX15=".",s_Irr!BW15&lt;&gt;"."),s_dir!AZ15/((1/1000)*(s_Irr!Y15+s_Irr!BW15)),IF(AND(s_Irr!Y15=".",s_Irr!AX15&lt;&gt;".",s_Irr!BW15&lt;&gt;"."),s_dir!AZ15/((1/1000)*(s_Irr!AX15+s_Irr!BW15)),IF(AND(s_Irr!Y15=".",s_Irr!AX15=".",s_Irr!BW15&lt;&gt;"."),s_dir!AZ15/((1/1000)*(s_Irr!BW15)),IF(AND(s_Irr!Y15=".",s_Irr!AX15&lt;&gt;".",s_Irr!BW15="."),s_dir!AZ15/((1/1000)*(s_Irr!AX15)),IF(AND(s_Irr!Y15&lt;&gt;".",s_Irr!AX15=".",s_Irr!BW15="."),s_dir!AZ15/((1/1000)*(s_Irr!Y15)),IF(AND(s_Irr!Y15=".",s_Irr!AX15=".",s_Irr!BW15="."),s_dir!AZ15*1000)))))))),".")</f>
        <v>64621.236735973725</v>
      </c>
      <c r="CA15" s="76">
        <f>IFERROR(IF(AND(s_Irr!Z15&lt;&gt;".",s_Irr!AY15&lt;&gt;".",s_Irr!BX15&lt;&gt;"."),s_dir!BA15/((1/1000)*(s_Irr!Z15+s_Irr!AY15+s_Irr!BX15)),IF(AND(s_Irr!Z15&lt;&gt;".",s_Irr!AY15&lt;&gt;".",s_Irr!BX15="."),s_dir!BA15/((1/1000)*(s_Irr!Z15+s_Irr!AY15)),IF(AND(s_Irr!Z15&lt;&gt;".",s_Irr!AY15=".",s_Irr!BX15&lt;&gt;"."),s_dir!BA15/((1/1000)*(s_Irr!Z15+s_Irr!BX15)),IF(AND(s_Irr!Z15=".",s_Irr!AY15&lt;&gt;".",s_Irr!BX15&lt;&gt;"."),s_dir!BA15/((1/1000)*(s_Irr!AY15+s_Irr!BX15)),IF(AND(s_Irr!Z15=".",s_Irr!AY15=".",s_Irr!BX15&lt;&gt;"."),s_dir!BA15/((1/1000)*(s_Irr!BX15)),IF(AND(s_Irr!Z15=".",s_Irr!AY15&lt;&gt;".",s_Irr!BX15="."),s_dir!BA15/((1/1000)*(s_Irr!AY15)),IF(AND(s_Irr!Z15&lt;&gt;".",s_Irr!AY15=".",s_Irr!BX15="."),s_dir!BA15/((1/1000)*(s_Irr!Z15)),IF(AND(s_Irr!Z15=".",s_Irr!AY15=".",s_Irr!BX15="."),s_dir!BA15*1000)))))))),".")</f>
        <v>80690.122792008202</v>
      </c>
      <c r="CB15" s="76">
        <f>IFERROR(IF(AND(s_Irr!AA15&lt;&gt;".",s_Irr!AZ15&lt;&gt;".",s_Irr!BY15&lt;&gt;"."),s_dir!BB15/((1/1000)*(s_Irr!AA15+s_Irr!AZ15+s_Irr!BY15)),IF(AND(s_Irr!AA15&lt;&gt;".",s_Irr!AZ15&lt;&gt;".",s_Irr!BY15="."),s_dir!BB15/((1/1000)*(s_Irr!AA15+s_Irr!AZ15)),IF(AND(s_Irr!AA15&lt;&gt;".",s_Irr!AZ15=".",s_Irr!BY15&lt;&gt;"."),s_dir!BB15/((1/1000)*(s_Irr!AA15+s_Irr!BY15)),IF(AND(s_Irr!AA15=".",s_Irr!AZ15&lt;&gt;".",s_Irr!BY15&lt;&gt;"."),s_dir!BB15/((1/1000)*(s_Irr!AZ15+s_Irr!BY15)),IF(AND(s_Irr!AA15=".",s_Irr!AZ15=".",s_Irr!BY15&lt;&gt;"."),s_dir!BB15/((1/1000)*(s_Irr!BY15)),IF(AND(s_Irr!AA15=".",s_Irr!AZ15&lt;&gt;".",s_Irr!BY15="."),s_dir!BB15/((1/1000)*(s_Irr!AZ15)),IF(AND(s_Irr!AA15&lt;&gt;".",s_Irr!AZ15=".",s_Irr!BY15="."),s_dir!BB15/((1/1000)*(s_Irr!AA15)),IF(AND(s_Irr!AA15=".",s_Irr!AZ15=".",s_Irr!BY15="."),s_dir!BB15*1000)))))))),".")</f>
        <v>68320.936881090238</v>
      </c>
      <c r="CC15" s="93">
        <f t="shared" si="2"/>
        <v>8167.2097807406062</v>
      </c>
      <c r="CD15" s="93">
        <f>IFERROR(s_C*s_IFAP_far_adj*s_CF_apple*(1/1000)*(s_Irr!C15+s_Irr!AB15+s_Irr!BA15),".")</f>
        <v>2069.677052148757</v>
      </c>
      <c r="CE15" s="93">
        <f>IFERROR(s_C*s_IFAS_far_adj*s_CF_asparagus*(1/1000)*(s_Irr!D15+s_Irr!AC15+s_Irr!BB15),".")</f>
        <v>4173.4209739302823</v>
      </c>
      <c r="CF15" s="93">
        <f>IFERROR(s_C*s_IFBT_far_adj*s_CF_beet*(1/1000)*(s_Irr!E15+s_Irr!AD15+s_Irr!BC15),".")</f>
        <v>2219.9444751331516</v>
      </c>
      <c r="CG15" s="93">
        <f>IFERROR(s_C*s_IFBE_far_adj*s_CF_berries*(1/1000)*(s_Irr!F15+s_Irr!AE15+s_Irr!BD15),".")</f>
        <v>2069.677052148757</v>
      </c>
      <c r="CH15" s="93">
        <f>IFERROR(s_C*s_IFBR_far_adj*s_CF_broccoli*(1/1000)*(s_Irr!G15+s_Irr!AF15+s_Irr!BE15),".")</f>
        <v>2219.9444751331516</v>
      </c>
      <c r="CI15" s="93">
        <f>IFERROR(s_C*s_IFCB_far_adj*s_CF_cabbage*(1/1000)*(s_Irr!H15+s_Irr!AG15+s_Irr!BF15),".")</f>
        <v>4173.4209739302823</v>
      </c>
      <c r="CJ15" s="93">
        <f>IFERROR(s_C*s_IFCR_far_adj*s_CF_carrot*(1/1000)*(s_Irr!I15+s_Irr!AH15+s_Irr!BG15),".")</f>
        <v>2219.9444751331516</v>
      </c>
      <c r="CK15" s="93">
        <f>IFERROR(s_C*s_IFCI_far_adj*s_CF_citrus*(1/1000)*(s_Irr!J15+s_Irr!AI15+s_Irr!BH15),".")</f>
        <v>2069.677052148757</v>
      </c>
      <c r="CL15" s="93">
        <f>IFERROR(s_C*s_IFCO_far_adj*s_CF_corn*(1/1000)*(s_Irr!K15+s_Irr!AJ15+s_Irr!BI15),".")</f>
        <v>1805.2063876962222</v>
      </c>
      <c r="CM15" s="93">
        <f>IFERROR(s_C*s_IFCU_far_adj*s_CF_cucumber*(1/1000)*(s_Irr!L15+s_Irr!AK15+s_Irr!BJ15),".")</f>
        <v>2219.9444751331516</v>
      </c>
      <c r="CN15" s="93">
        <f>IFERROR(s_C*s_IFLE_far_adj*s_CF_lettuce*(1/1000)*(s_Irr!M15+s_Irr!AL15+s_Irr!BK15),".")</f>
        <v>4173.4209739302823</v>
      </c>
      <c r="CO15" s="93">
        <f>IFERROR(s_C*s_IFLI_far_adj*s_CF_lima_bean*(1/1000)*(s_Irr!N15+s_Irr!AM15+s_Irr!BL15),".")</f>
        <v>1928.4256745434257</v>
      </c>
      <c r="CP15" s="93">
        <f>IFERROR(s_C*s_IFOK_far_adj*s_CF_okra*(1/1000)*(s_Irr!O15+s_Irr!AN15+s_Irr!BM15),".")</f>
        <v>2219.9444751331516</v>
      </c>
      <c r="CQ15" s="93">
        <f>IFERROR(s_C*s_IFON_far_adj*s_CF_onion*(1/1000)*(s_Irr!P15+s_Irr!AO15+s_Irr!BN15),".")</f>
        <v>2219.9444751331516</v>
      </c>
      <c r="CR15" s="93">
        <f>IFERROR(s_C*s_IFPC_far_adj*s_CF_peach*(1/1000)*(s_Irr!Q15+s_Irr!AP15+s_Irr!BO15),".")</f>
        <v>2069.677052148757</v>
      </c>
      <c r="CS15" s="93">
        <f>IFERROR(s_C*s_IFPR_far_adj*s_CF_pear*(1/1000)*(s_Irr!R15+s_Irr!AQ15+s_Irr!BP15),".")</f>
        <v>2069.677052148757</v>
      </c>
      <c r="CT15" s="93">
        <f>IFERROR(s_C*s_IFPE_far_adj*s_CF_peas*(1/1000)*(s_Irr!S15+s_Irr!AR15+s_Irr!BQ15),".")</f>
        <v>1928.4256745434257</v>
      </c>
      <c r="CU15" s="93">
        <f>IFERROR(s_C*s_IFPP_far_adj*s_CF_peppers*(1/1000)*(s_Irr!T15+s_Irr!AS15+s_Irr!BR15),".")</f>
        <v>2219.9444751331516</v>
      </c>
      <c r="CV15" s="93">
        <f>IFERROR(s_C*s_IFPT_far_adj*s_CF_potato*(1/1000)*(s_Irr!U15+s_Irr!AT15+s_Irr!BS15),".")</f>
        <v>1814.2224330752858</v>
      </c>
      <c r="CW15" s="93">
        <f>IFERROR(s_C*s_IFPU_far_adj*s_CF_pumpkin*(1/1000)*(s_Irr!V15+s_Irr!AU15+s_Irr!BT15),".")</f>
        <v>2219.9444751331516</v>
      </c>
      <c r="CX15" s="93">
        <f>IFERROR(s_C*s_IFSN_far_adj*s_CF_snap_bean*(1/1000)*(s_Irr!W15+s_Irr!AV15+s_Irr!BU15),".")</f>
        <v>1928.4256745434257</v>
      </c>
      <c r="CY15" s="93">
        <f>IFERROR(s_C*s_IFST_far_adj*s_CF_strawberry*(1/1000)*(s_Irr!X15+s_Irr!AW15+s_Irr!BV15),".")</f>
        <v>2069.677052148757</v>
      </c>
      <c r="CZ15" s="93">
        <f>IFERROR(s_C*s_IFTO_far_adj*s_CF_tomato*(1/1000)*(s_Irr!Y15+s_Irr!AX15+s_Irr!BW15),".")</f>
        <v>2219.9444751331516</v>
      </c>
      <c r="DA15" s="93">
        <f>IFERROR(s_C*s_IFRI_far_adj*s_CF_rice*(1/1000)*(s_Irr!Z15+s_Irr!AY15+s_Irr!BX15),".")</f>
        <v>1777.8577167130622</v>
      </c>
      <c r="DB15" s="93">
        <f>IFERROR(s_C*s_IFCG_far_adj*s_CF_cereal*(1/1000)*(s_Irr!AA15+s_Irr!AZ15+s_Irr!BY15),".")</f>
        <v>2099.7305367456356</v>
      </c>
    </row>
    <row r="16" spans="1:106" ht="15" customHeight="1" x14ac:dyDescent="0.25">
      <c r="A16" s="92" t="s">
        <v>26</v>
      </c>
      <c r="B16" s="90" t="s">
        <v>1071</v>
      </c>
      <c r="C16" s="15">
        <f t="shared" si="3"/>
        <v>5.2031632166965034</v>
      </c>
      <c r="D16" s="76">
        <f>IFERROR(IF(AND(s_Irr!C16&lt;&gt;".",s_Irr!AB16&lt;&gt;".",s_Irr!BA16&lt;&gt;"."),s_dir!D16/((1/1000)*(s_Irr!C16+s_Irr!AB16+s_Irr!BA16)),IF(AND(s_Irr!C16&lt;&gt;".",s_Irr!AB16&lt;&gt;".",s_Irr!BA16="."),s_dir!D16/((1/1000)*(s_Irr!C16+s_Irr!AB16)),IF(AND(s_Irr!C16&lt;&gt;".",s_Irr!AB16=".",s_Irr!BA16&lt;&gt;"."),s_dir!D16/((1/1000)*(s_Irr!C16+s_Irr!BA16)),IF(AND(s_Irr!C16=".",s_Irr!AB16&lt;&gt;".",s_Irr!BA16&lt;&gt;"."),s_dir!D16/((1/1000)*(s_Irr!AB16+s_Irr!BA16)),IF(AND(s_Irr!C16=".",s_Irr!AB16=".",s_Irr!BA16&lt;&gt;"."),s_dir!D16/((1/1000)*(s_Irr!BA16)),IF(AND(s_Irr!C16=".",s_Irr!AB16&lt;&gt;".",s_Irr!BA16="."),s_dir!D16/((1/1000)*(s_Irr!AB16)),IF(AND(s_Irr!C16&lt;&gt;".",s_Irr!AB16=".",s_Irr!BA16="."),s_dir!D16/((1/1000)*(s_Irr!C16)),IF(AND(s_Irr!C16=".",s_Irr!AB16=".",s_Irr!BA16="."),s_dir!D16*1000)))))))),".")</f>
        <v>20.532346082725525</v>
      </c>
      <c r="E16" s="76">
        <f>IFERROR(IF(AND(s_Irr!D16&lt;&gt;".",s_Irr!AC16&lt;&gt;".",s_Irr!BB16&lt;&gt;"."),s_dir!E16/((1/1000)*(s_Irr!D16+s_Irr!AC16+s_Irr!BB16)),IF(AND(s_Irr!D16&lt;&gt;".",s_Irr!AC16&lt;&gt;".",s_Irr!BB16="."),s_dir!E16/((1/1000)*(s_Irr!D16+s_Irr!AC16)),IF(AND(s_Irr!D16&lt;&gt;".",s_Irr!AC16=".",s_Irr!BB16&lt;&gt;"."),s_dir!E16/((1/1000)*(s_Irr!D16+s_Irr!BB16)),IF(AND(s_Irr!D16=".",s_Irr!AC16&lt;&gt;".",s_Irr!BB16&lt;&gt;"."),s_dir!E16/((1/1000)*(s_Irr!AC16+s_Irr!BB16)),IF(AND(s_Irr!D16=".",s_Irr!AC16=".",s_Irr!BB16&lt;&gt;"."),s_dir!E16/((1/1000)*(s_Irr!BB16)),IF(AND(s_Irr!D16=".",s_Irr!AC16&lt;&gt;".",s_Irr!BB16="."),s_dir!E16/((1/1000)*(s_Irr!AC16)),IF(AND(s_Irr!D16&lt;&gt;".",s_Irr!AC16=".",s_Irr!BB16="."),s_dir!E16/((1/1000)*(s_Irr!D16)),IF(AND(s_Irr!D16=".",s_Irr!AC16=".",s_Irr!BB16="."),s_dir!E16*1000)))))))),".")</f>
        <v>10.182372154557378</v>
      </c>
      <c r="F16" s="76">
        <f>IFERROR(IF(AND(s_Irr!E16&lt;&gt;".",s_Irr!AD16&lt;&gt;".",s_Irr!BC16&lt;&gt;"."),s_dir!F16/((1/1000)*(s_Irr!E16+s_Irr!AD16+s_Irr!BC16)),IF(AND(s_Irr!E16&lt;&gt;".",s_Irr!AD16&lt;&gt;".",s_Irr!BC16="."),s_dir!F16/((1/1000)*(s_Irr!E16+s_Irr!AD16)),IF(AND(s_Irr!E16&lt;&gt;".",s_Irr!AD16=".",s_Irr!BC16&lt;&gt;"."),s_dir!F16/((1/1000)*(s_Irr!E16+s_Irr!BC16)),IF(AND(s_Irr!E16=".",s_Irr!AD16&lt;&gt;".",s_Irr!BC16&lt;&gt;"."),s_dir!F16/((1/1000)*(s_Irr!AD16+s_Irr!BC16)),IF(AND(s_Irr!E16=".",s_Irr!AD16=".",s_Irr!BC16&lt;&gt;"."),s_dir!F16/((1/1000)*(s_Irr!BC16)),IF(AND(s_Irr!E16=".",s_Irr!AD16&lt;&gt;".",s_Irr!BC16="."),s_dir!F16/((1/1000)*(s_Irr!AD16)),IF(AND(s_Irr!E16&lt;&gt;".",s_Irr!AD16=".",s_Irr!BC16="."),s_dir!F16/((1/1000)*(s_Irr!E16)),IF(AND(s_Irr!E16=".",s_Irr!AD16=".",s_Irr!BC16="."),s_dir!F16*1000)))))))),".")</f>
        <v>19.142517297260142</v>
      </c>
      <c r="G16" s="76">
        <f>IFERROR(IF(AND(s_Irr!F16&lt;&gt;".",s_Irr!AE16&lt;&gt;".",s_Irr!BD16&lt;&gt;"."),s_dir!G16/((1/1000)*(s_Irr!F16+s_Irr!AE16+s_Irr!BD16)),IF(AND(s_Irr!F16&lt;&gt;".",s_Irr!AE16&lt;&gt;".",s_Irr!BD16="."),s_dir!G16/((1/1000)*(s_Irr!F16+s_Irr!AE16)),IF(AND(s_Irr!F16&lt;&gt;".",s_Irr!AE16=".",s_Irr!BD16&lt;&gt;"."),s_dir!G16/((1/1000)*(s_Irr!F16+s_Irr!BD16)),IF(AND(s_Irr!F16=".",s_Irr!AE16&lt;&gt;".",s_Irr!BD16&lt;&gt;"."),s_dir!G16/((1/1000)*(s_Irr!AE16+s_Irr!BD16)),IF(AND(s_Irr!F16=".",s_Irr!AE16=".",s_Irr!BD16&lt;&gt;"."),s_dir!G16/((1/1000)*(s_Irr!BD16)),IF(AND(s_Irr!F16=".",s_Irr!AE16&lt;&gt;".",s_Irr!BD16="."),s_dir!G16/((1/1000)*(s_Irr!AE16)),IF(AND(s_Irr!F16&lt;&gt;".",s_Irr!AE16=".",s_Irr!BD16="."),s_dir!G16/((1/1000)*(s_Irr!F16)),IF(AND(s_Irr!F16=".",s_Irr!AE16=".",s_Irr!BD16="."),s_dir!G16*1000)))))))),".")</f>
        <v>20.532346082725525</v>
      </c>
      <c r="H16" s="76">
        <f>IFERROR(IF(AND(s_Irr!G16&lt;&gt;".",s_Irr!AF16&lt;&gt;".",s_Irr!BE16&lt;&gt;"."),s_dir!H16/((1/1000)*(s_Irr!G16+s_Irr!AF16+s_Irr!BE16)),IF(AND(s_Irr!G16&lt;&gt;".",s_Irr!AF16&lt;&gt;".",s_Irr!BE16="."),s_dir!H16/((1/1000)*(s_Irr!G16+s_Irr!AF16)),IF(AND(s_Irr!G16&lt;&gt;".",s_Irr!AF16=".",s_Irr!BE16&lt;&gt;"."),s_dir!H16/((1/1000)*(s_Irr!G16+s_Irr!BE16)),IF(AND(s_Irr!G16=".",s_Irr!AF16&lt;&gt;".",s_Irr!BE16&lt;&gt;"."),s_dir!H16/((1/1000)*(s_Irr!AF16+s_Irr!BE16)),IF(AND(s_Irr!G16=".",s_Irr!AF16=".",s_Irr!BE16&lt;&gt;"."),s_dir!H16/((1/1000)*(s_Irr!BE16)),IF(AND(s_Irr!G16=".",s_Irr!AF16&lt;&gt;".",s_Irr!BE16="."),s_dir!H16/((1/1000)*(s_Irr!AF16)),IF(AND(s_Irr!G16&lt;&gt;".",s_Irr!AF16=".",s_Irr!BE16="."),s_dir!H16/((1/1000)*(s_Irr!G16)),IF(AND(s_Irr!G16=".",s_Irr!AF16=".",s_Irr!BE16="."),s_dir!H16*1000)))))))),".")</f>
        <v>19.142517297260142</v>
      </c>
      <c r="I16" s="76">
        <f>IFERROR(IF(AND(s_Irr!H16&lt;&gt;".",s_Irr!AG16&lt;&gt;".",s_Irr!BF16&lt;&gt;"."),s_dir!I16/((1/1000)*(s_Irr!H16+s_Irr!AG16+s_Irr!BF16)),IF(AND(s_Irr!H16&lt;&gt;".",s_Irr!AG16&lt;&gt;".",s_Irr!BF16="."),s_dir!I16/((1/1000)*(s_Irr!H16+s_Irr!AG16)),IF(AND(s_Irr!H16&lt;&gt;".",s_Irr!AG16=".",s_Irr!BF16&lt;&gt;"."),s_dir!I16/((1/1000)*(s_Irr!H16+s_Irr!BF16)),IF(AND(s_Irr!H16=".",s_Irr!AG16&lt;&gt;".",s_Irr!BF16&lt;&gt;"."),s_dir!I16/((1/1000)*(s_Irr!AG16+s_Irr!BF16)),IF(AND(s_Irr!H16=".",s_Irr!AG16=".",s_Irr!BF16&lt;&gt;"."),s_dir!I16/((1/1000)*(s_Irr!BF16)),IF(AND(s_Irr!H16=".",s_Irr!AG16&lt;&gt;".",s_Irr!BF16="."),s_dir!I16/((1/1000)*(s_Irr!AG16)),IF(AND(s_Irr!H16&lt;&gt;".",s_Irr!AG16=".",s_Irr!BF16="."),s_dir!I16/((1/1000)*(s_Irr!H16)),IF(AND(s_Irr!H16=".",s_Irr!AG16=".",s_Irr!BF16="."),s_dir!I16*1000)))))))),".")</f>
        <v>10.182372154557378</v>
      </c>
      <c r="J16" s="76">
        <f>IFERROR(IF(AND(s_Irr!I16&lt;&gt;".",s_Irr!AH16&lt;&gt;".",s_Irr!BG16&lt;&gt;"."),s_dir!J16/((1/1000)*(s_Irr!I16+s_Irr!AH16+s_Irr!BG16)),IF(AND(s_Irr!I16&lt;&gt;".",s_Irr!AH16&lt;&gt;".",s_Irr!BG16="."),s_dir!J16/((1/1000)*(s_Irr!I16+s_Irr!AH16)),IF(AND(s_Irr!I16&lt;&gt;".",s_Irr!AH16=".",s_Irr!BG16&lt;&gt;"."),s_dir!J16/((1/1000)*(s_Irr!I16+s_Irr!BG16)),IF(AND(s_Irr!I16=".",s_Irr!AH16&lt;&gt;".",s_Irr!BG16&lt;&gt;"."),s_dir!J16/((1/1000)*(s_Irr!AH16+s_Irr!BG16)),IF(AND(s_Irr!I16=".",s_Irr!AH16=".",s_Irr!BG16&lt;&gt;"."),s_dir!J16/((1/1000)*(s_Irr!BG16)),IF(AND(s_Irr!I16=".",s_Irr!AH16&lt;&gt;".",s_Irr!BG16="."),s_dir!J16/((1/1000)*(s_Irr!AH16)),IF(AND(s_Irr!I16&lt;&gt;".",s_Irr!AH16=".",s_Irr!BG16="."),s_dir!J16/((1/1000)*(s_Irr!I16)),IF(AND(s_Irr!I16=".",s_Irr!AH16=".",s_Irr!BG16="."),s_dir!J16*1000)))))))),".")</f>
        <v>19.142517297260142</v>
      </c>
      <c r="K16" s="76">
        <f>IFERROR(IF(AND(s_Irr!J16&lt;&gt;".",s_Irr!AI16&lt;&gt;".",s_Irr!BH16&lt;&gt;"."),s_dir!K16/((1/1000)*(s_Irr!J16+s_Irr!AI16+s_Irr!BH16)),IF(AND(s_Irr!J16&lt;&gt;".",s_Irr!AI16&lt;&gt;".",s_Irr!BH16="."),s_dir!K16/((1/1000)*(s_Irr!J16+s_Irr!AI16)),IF(AND(s_Irr!J16&lt;&gt;".",s_Irr!AI16=".",s_Irr!BH16&lt;&gt;"."),s_dir!K16/((1/1000)*(s_Irr!J16+s_Irr!BH16)),IF(AND(s_Irr!J16=".",s_Irr!AI16&lt;&gt;".",s_Irr!BH16&lt;&gt;"."),s_dir!K16/((1/1000)*(s_Irr!AI16+s_Irr!BH16)),IF(AND(s_Irr!J16=".",s_Irr!AI16=".",s_Irr!BH16&lt;&gt;"."),s_dir!K16/((1/1000)*(s_Irr!BH16)),IF(AND(s_Irr!J16=".",s_Irr!AI16&lt;&gt;".",s_Irr!BH16="."),s_dir!K16/((1/1000)*(s_Irr!AI16)),IF(AND(s_Irr!J16&lt;&gt;".",s_Irr!AI16=".",s_Irr!BH16="."),s_dir!K16/((1/1000)*(s_Irr!J16)),IF(AND(s_Irr!J16=".",s_Irr!AI16=".",s_Irr!BH16="."),s_dir!K16*1000)))))))),".")</f>
        <v>20.532346082725525</v>
      </c>
      <c r="L16" s="76">
        <f>IFERROR(IF(AND(s_Irr!K16&lt;&gt;".",s_Irr!AJ16&lt;&gt;".",s_Irr!BI16&lt;&gt;"."),s_dir!L16/((1/1000)*(s_Irr!K16+s_Irr!AJ16+s_Irr!BI16)),IF(AND(s_Irr!K16&lt;&gt;".",s_Irr!AJ16&lt;&gt;".",s_Irr!BI16="."),s_dir!L16/((1/1000)*(s_Irr!K16+s_Irr!AJ16)),IF(AND(s_Irr!K16&lt;&gt;".",s_Irr!AJ16=".",s_Irr!BI16&lt;&gt;"."),s_dir!L16/((1/1000)*(s_Irr!K16+s_Irr!BI16)),IF(AND(s_Irr!K16=".",s_Irr!AJ16&lt;&gt;".",s_Irr!BI16&lt;&gt;"."),s_dir!L16/((1/1000)*(s_Irr!AJ16+s_Irr!BI16)),IF(AND(s_Irr!K16=".",s_Irr!AJ16=".",s_Irr!BI16&lt;&gt;"."),s_dir!L16/((1/1000)*(s_Irr!BI16)),IF(AND(s_Irr!K16=".",s_Irr!AJ16&lt;&gt;".",s_Irr!BI16="."),s_dir!L16/((1/1000)*(s_Irr!AJ16)),IF(AND(s_Irr!K16&lt;&gt;".",s_Irr!AJ16=".",s_Irr!BI16="."),s_dir!L16/((1/1000)*(s_Irr!K16)),IF(AND(s_Irr!K16=".",s_Irr!AJ16=".",s_Irr!BI16="."),s_dir!L16*1000)))))))),".")</f>
        <v>23.540424964053749</v>
      </c>
      <c r="M16" s="76">
        <f>IFERROR(IF(AND(s_Irr!L16&lt;&gt;".",s_Irr!AK16&lt;&gt;".",s_Irr!BJ16&lt;&gt;"."),s_dir!M16/((1/1000)*(s_Irr!L16+s_Irr!AK16+s_Irr!BJ16)),IF(AND(s_Irr!L16&lt;&gt;".",s_Irr!AK16&lt;&gt;".",s_Irr!BJ16="."),s_dir!M16/((1/1000)*(s_Irr!L16+s_Irr!AK16)),IF(AND(s_Irr!L16&lt;&gt;".",s_Irr!AK16=".",s_Irr!BJ16&lt;&gt;"."),s_dir!M16/((1/1000)*(s_Irr!L16+s_Irr!BJ16)),IF(AND(s_Irr!L16=".",s_Irr!AK16&lt;&gt;".",s_Irr!BJ16&lt;&gt;"."),s_dir!M16/((1/1000)*(s_Irr!AK16+s_Irr!BJ16)),IF(AND(s_Irr!L16=".",s_Irr!AK16=".",s_Irr!BJ16&lt;&gt;"."),s_dir!M16/((1/1000)*(s_Irr!BJ16)),IF(AND(s_Irr!L16=".",s_Irr!AK16&lt;&gt;".",s_Irr!BJ16="."),s_dir!M16/((1/1000)*(s_Irr!AK16)),IF(AND(s_Irr!L16&lt;&gt;".",s_Irr!AK16=".",s_Irr!BJ16="."),s_dir!M16/((1/1000)*(s_Irr!L16)),IF(AND(s_Irr!L16=".",s_Irr!AK16=".",s_Irr!BJ16="."),s_dir!M16*1000)))))))),".")</f>
        <v>19.142517297260142</v>
      </c>
      <c r="N16" s="76">
        <f>IFERROR(IF(AND(s_Irr!M16&lt;&gt;".",s_Irr!AL16&lt;&gt;".",s_Irr!BK16&lt;&gt;"."),s_dir!N16/((1/1000)*(s_Irr!M16+s_Irr!AL16+s_Irr!BK16)),IF(AND(s_Irr!M16&lt;&gt;".",s_Irr!AL16&lt;&gt;".",s_Irr!BK16="."),s_dir!N16/((1/1000)*(s_Irr!M16+s_Irr!AL16)),IF(AND(s_Irr!M16&lt;&gt;".",s_Irr!AL16=".",s_Irr!BK16&lt;&gt;"."),s_dir!N16/((1/1000)*(s_Irr!M16+s_Irr!BK16)),IF(AND(s_Irr!M16=".",s_Irr!AL16&lt;&gt;".",s_Irr!BK16&lt;&gt;"."),s_dir!N16/((1/1000)*(s_Irr!AL16+s_Irr!BK16)),IF(AND(s_Irr!M16=".",s_Irr!AL16=".",s_Irr!BK16&lt;&gt;"."),s_dir!N16/((1/1000)*(s_Irr!BK16)),IF(AND(s_Irr!M16=".",s_Irr!AL16&lt;&gt;".",s_Irr!BK16="."),s_dir!N16/((1/1000)*(s_Irr!AL16)),IF(AND(s_Irr!M16&lt;&gt;".",s_Irr!AL16=".",s_Irr!BK16="."),s_dir!N16/((1/1000)*(s_Irr!M16)),IF(AND(s_Irr!M16=".",s_Irr!AL16=".",s_Irr!BK16="."),s_dir!N16*1000)))))))),".")</f>
        <v>10.182372154557378</v>
      </c>
      <c r="O16" s="76">
        <f>IFERROR(IF(AND(s_Irr!N16&lt;&gt;".",s_Irr!AM16&lt;&gt;".",s_Irr!BL16&lt;&gt;"."),s_dir!O16/((1/1000)*(s_Irr!N16+s_Irr!AM16+s_Irr!BL16)),IF(AND(s_Irr!N16&lt;&gt;".",s_Irr!AM16&lt;&gt;".",s_Irr!BL16="."),s_dir!O16/((1/1000)*(s_Irr!N16+s_Irr!AM16)),IF(AND(s_Irr!N16&lt;&gt;".",s_Irr!AM16=".",s_Irr!BL16&lt;&gt;"."),s_dir!O16/((1/1000)*(s_Irr!N16+s_Irr!BL16)),IF(AND(s_Irr!N16=".",s_Irr!AM16&lt;&gt;".",s_Irr!BL16&lt;&gt;"."),s_dir!O16/((1/1000)*(s_Irr!AM16+s_Irr!BL16)),IF(AND(s_Irr!N16=".",s_Irr!AM16=".",s_Irr!BL16&lt;&gt;"."),s_dir!O16/((1/1000)*(s_Irr!BL16)),IF(AND(s_Irr!N16=".",s_Irr!AM16&lt;&gt;".",s_Irr!BL16="."),s_dir!O16/((1/1000)*(s_Irr!AM16)),IF(AND(s_Irr!N16&lt;&gt;".",s_Irr!AM16=".",s_Irr!BL16="."),s_dir!O16/((1/1000)*(s_Irr!N16)),IF(AND(s_Irr!N16=".",s_Irr!AM16=".",s_Irr!BL16="."),s_dir!O16*1000)))))))),".")</f>
        <v>22.036278646961406</v>
      </c>
      <c r="P16" s="76">
        <f>IFERROR(IF(AND(s_Irr!O16&lt;&gt;".",s_Irr!AN16&lt;&gt;".",s_Irr!BM16&lt;&gt;"."),s_dir!P16/((1/1000)*(s_Irr!O16+s_Irr!AN16+s_Irr!BM16)),IF(AND(s_Irr!O16&lt;&gt;".",s_Irr!AN16&lt;&gt;".",s_Irr!BM16="."),s_dir!P16/((1/1000)*(s_Irr!O16+s_Irr!AN16)),IF(AND(s_Irr!O16&lt;&gt;".",s_Irr!AN16=".",s_Irr!BM16&lt;&gt;"."),s_dir!P16/((1/1000)*(s_Irr!O16+s_Irr!BM16)),IF(AND(s_Irr!O16=".",s_Irr!AN16&lt;&gt;".",s_Irr!BM16&lt;&gt;"."),s_dir!P16/((1/1000)*(s_Irr!AN16+s_Irr!BM16)),IF(AND(s_Irr!O16=".",s_Irr!AN16=".",s_Irr!BM16&lt;&gt;"."),s_dir!P16/((1/1000)*(s_Irr!BM16)),IF(AND(s_Irr!O16=".",s_Irr!AN16&lt;&gt;".",s_Irr!BM16="."),s_dir!P16/((1/1000)*(s_Irr!AN16)),IF(AND(s_Irr!O16&lt;&gt;".",s_Irr!AN16=".",s_Irr!BM16="."),s_dir!P16/((1/1000)*(s_Irr!O16)),IF(AND(s_Irr!O16=".",s_Irr!AN16=".",s_Irr!BM16="."),s_dir!P16*1000)))))))),".")</f>
        <v>19.142517297260142</v>
      </c>
      <c r="Q16" s="76">
        <f>IFERROR(IF(AND(s_Irr!P16&lt;&gt;".",s_Irr!AO16&lt;&gt;".",s_Irr!BN16&lt;&gt;"."),s_dir!Q16/((1/1000)*(s_Irr!P16+s_Irr!AO16+s_Irr!BN16)),IF(AND(s_Irr!P16&lt;&gt;".",s_Irr!AO16&lt;&gt;".",s_Irr!BN16="."),s_dir!Q16/((1/1000)*(s_Irr!P16+s_Irr!AO16)),IF(AND(s_Irr!P16&lt;&gt;".",s_Irr!AO16=".",s_Irr!BN16&lt;&gt;"."),s_dir!Q16/((1/1000)*(s_Irr!P16+s_Irr!BN16)),IF(AND(s_Irr!P16=".",s_Irr!AO16&lt;&gt;".",s_Irr!BN16&lt;&gt;"."),s_dir!Q16/((1/1000)*(s_Irr!AO16+s_Irr!BN16)),IF(AND(s_Irr!P16=".",s_Irr!AO16=".",s_Irr!BN16&lt;&gt;"."),s_dir!Q16/((1/1000)*(s_Irr!BN16)),IF(AND(s_Irr!P16=".",s_Irr!AO16&lt;&gt;".",s_Irr!BN16="."),s_dir!Q16/((1/1000)*(s_Irr!AO16)),IF(AND(s_Irr!P16&lt;&gt;".",s_Irr!AO16=".",s_Irr!BN16="."),s_dir!Q16/((1/1000)*(s_Irr!P16)),IF(AND(s_Irr!P16=".",s_Irr!AO16=".",s_Irr!BN16="."),s_dir!Q16*1000)))))))),".")</f>
        <v>19.142517297260142</v>
      </c>
      <c r="R16" s="76">
        <f>IFERROR(IF(AND(s_Irr!Q16&lt;&gt;".",s_Irr!AP16&lt;&gt;".",s_Irr!BO16&lt;&gt;"."),s_dir!R16/((1/1000)*(s_Irr!Q16+s_Irr!AP16+s_Irr!BO16)),IF(AND(s_Irr!Q16&lt;&gt;".",s_Irr!AP16&lt;&gt;".",s_Irr!BO16="."),s_dir!R16/((1/1000)*(s_Irr!Q16+s_Irr!AP16)),IF(AND(s_Irr!Q16&lt;&gt;".",s_Irr!AP16=".",s_Irr!BO16&lt;&gt;"."),s_dir!R16/((1/1000)*(s_Irr!Q16+s_Irr!BO16)),IF(AND(s_Irr!Q16=".",s_Irr!AP16&lt;&gt;".",s_Irr!BO16&lt;&gt;"."),s_dir!R16/((1/1000)*(s_Irr!AP16+s_Irr!BO16)),IF(AND(s_Irr!Q16=".",s_Irr!AP16=".",s_Irr!BO16&lt;&gt;"."),s_dir!R16/((1/1000)*(s_Irr!BO16)),IF(AND(s_Irr!Q16=".",s_Irr!AP16&lt;&gt;".",s_Irr!BO16="."),s_dir!R16/((1/1000)*(s_Irr!AP16)),IF(AND(s_Irr!Q16&lt;&gt;".",s_Irr!AP16=".",s_Irr!BO16="."),s_dir!R16/((1/1000)*(s_Irr!Q16)),IF(AND(s_Irr!Q16=".",s_Irr!AP16=".",s_Irr!BO16="."),s_dir!R16*1000)))))))),".")</f>
        <v>20.532346082725525</v>
      </c>
      <c r="S16" s="76">
        <f>IFERROR(IF(AND(s_Irr!R16&lt;&gt;".",s_Irr!AQ16&lt;&gt;".",s_Irr!BP16&lt;&gt;"."),s_dir!S16/((1/1000)*(s_Irr!R16+s_Irr!AQ16+s_Irr!BP16)),IF(AND(s_Irr!R16&lt;&gt;".",s_Irr!AQ16&lt;&gt;".",s_Irr!BP16="."),s_dir!S16/((1/1000)*(s_Irr!R16+s_Irr!AQ16)),IF(AND(s_Irr!R16&lt;&gt;".",s_Irr!AQ16=".",s_Irr!BP16&lt;&gt;"."),s_dir!S16/((1/1000)*(s_Irr!R16+s_Irr!BP16)),IF(AND(s_Irr!R16=".",s_Irr!AQ16&lt;&gt;".",s_Irr!BP16&lt;&gt;"."),s_dir!S16/((1/1000)*(s_Irr!AQ16+s_Irr!BP16)),IF(AND(s_Irr!R16=".",s_Irr!AQ16=".",s_Irr!BP16&lt;&gt;"."),s_dir!S16/((1/1000)*(s_Irr!BP16)),IF(AND(s_Irr!R16=".",s_Irr!AQ16&lt;&gt;".",s_Irr!BP16="."),s_dir!S16/((1/1000)*(s_Irr!AQ16)),IF(AND(s_Irr!R16&lt;&gt;".",s_Irr!AQ16=".",s_Irr!BP16="."),s_dir!S16/((1/1000)*(s_Irr!R16)),IF(AND(s_Irr!R16=".",s_Irr!AQ16=".",s_Irr!BP16="."),s_dir!S16*1000)))))))),".")</f>
        <v>20.532346082725525</v>
      </c>
      <c r="T16" s="76">
        <f>IFERROR(IF(AND(s_Irr!S16&lt;&gt;".",s_Irr!AR16&lt;&gt;".",s_Irr!BQ16&lt;&gt;"."),s_dir!T16/((1/1000)*(s_Irr!S16+s_Irr!AR16+s_Irr!BQ16)),IF(AND(s_Irr!S16&lt;&gt;".",s_Irr!AR16&lt;&gt;".",s_Irr!BQ16="."),s_dir!T16/((1/1000)*(s_Irr!S16+s_Irr!AR16)),IF(AND(s_Irr!S16&lt;&gt;".",s_Irr!AR16=".",s_Irr!BQ16&lt;&gt;"."),s_dir!T16/((1/1000)*(s_Irr!S16+s_Irr!BQ16)),IF(AND(s_Irr!S16=".",s_Irr!AR16&lt;&gt;".",s_Irr!BQ16&lt;&gt;"."),s_dir!T16/((1/1000)*(s_Irr!AR16+s_Irr!BQ16)),IF(AND(s_Irr!S16=".",s_Irr!AR16=".",s_Irr!BQ16&lt;&gt;"."),s_dir!T16/((1/1000)*(s_Irr!BQ16)),IF(AND(s_Irr!S16=".",s_Irr!AR16&lt;&gt;".",s_Irr!BQ16="."),s_dir!T16/((1/1000)*(s_Irr!AR16)),IF(AND(s_Irr!S16&lt;&gt;".",s_Irr!AR16=".",s_Irr!BQ16="."),s_dir!T16/((1/1000)*(s_Irr!S16)),IF(AND(s_Irr!S16=".",s_Irr!AR16=".",s_Irr!BQ16="."),s_dir!T16*1000)))))))),".")</f>
        <v>22.036278646961406</v>
      </c>
      <c r="U16" s="76">
        <f>IFERROR(IF(AND(s_Irr!T16&lt;&gt;".",s_Irr!AS16&lt;&gt;".",s_Irr!BR16&lt;&gt;"."),s_dir!U16/((1/1000)*(s_Irr!T16+s_Irr!AS16+s_Irr!BR16)),IF(AND(s_Irr!T16&lt;&gt;".",s_Irr!AS16&lt;&gt;".",s_Irr!BR16="."),s_dir!U16/((1/1000)*(s_Irr!T16+s_Irr!AS16)),IF(AND(s_Irr!T16&lt;&gt;".",s_Irr!AS16=".",s_Irr!BR16&lt;&gt;"."),s_dir!U16/((1/1000)*(s_Irr!T16+s_Irr!BR16)),IF(AND(s_Irr!T16=".",s_Irr!AS16&lt;&gt;".",s_Irr!BR16&lt;&gt;"."),s_dir!U16/((1/1000)*(s_Irr!AS16+s_Irr!BR16)),IF(AND(s_Irr!T16=".",s_Irr!AS16=".",s_Irr!BR16&lt;&gt;"."),s_dir!U16/((1/1000)*(s_Irr!BR16)),IF(AND(s_Irr!T16=".",s_Irr!AS16&lt;&gt;".",s_Irr!BR16="."),s_dir!U16/((1/1000)*(s_Irr!AS16)),IF(AND(s_Irr!T16&lt;&gt;".",s_Irr!AS16=".",s_Irr!BR16="."),s_dir!U16/((1/1000)*(s_Irr!T16)),IF(AND(s_Irr!T16=".",s_Irr!AS16=".",s_Irr!BR16="."),s_dir!U16*1000)))))))),".")</f>
        <v>19.142517297260142</v>
      </c>
      <c r="V16" s="76">
        <f>IFERROR(IF(AND(s_Irr!U16&lt;&gt;".",s_Irr!AT16&lt;&gt;".",s_Irr!BS16&lt;&gt;"."),s_dir!V16/((1/1000)*(s_Irr!U16+s_Irr!AT16+s_Irr!BS16)),IF(AND(s_Irr!U16&lt;&gt;".",s_Irr!AT16&lt;&gt;".",s_Irr!BS16="."),s_dir!V16/((1/1000)*(s_Irr!U16+s_Irr!AT16)),IF(AND(s_Irr!U16&lt;&gt;".",s_Irr!AT16=".",s_Irr!BS16&lt;&gt;"."),s_dir!V16/((1/1000)*(s_Irr!U16+s_Irr!BS16)),IF(AND(s_Irr!U16=".",s_Irr!AT16&lt;&gt;".",s_Irr!BS16&lt;&gt;"."),s_dir!V16/((1/1000)*(s_Irr!AT16+s_Irr!BS16)),IF(AND(s_Irr!U16=".",s_Irr!AT16=".",s_Irr!BS16&lt;&gt;"."),s_dir!V16/((1/1000)*(s_Irr!BS16)),IF(AND(s_Irr!U16=".",s_Irr!AT16&lt;&gt;".",s_Irr!BS16="."),s_dir!V16/((1/1000)*(s_Irr!AT16)),IF(AND(s_Irr!U16&lt;&gt;".",s_Irr!AT16=".",s_Irr!BS16="."),s_dir!V16/((1/1000)*(s_Irr!U16)),IF(AND(s_Irr!U16=".",s_Irr!AT16=".",s_Irr!BS16="."),s_dir!V16*1000)))))))),".")</f>
        <v>23.423437357766364</v>
      </c>
      <c r="W16" s="76">
        <f>IFERROR(IF(AND(s_Irr!V16&lt;&gt;".",s_Irr!AU16&lt;&gt;".",s_Irr!BT16&lt;&gt;"."),s_dir!W16/((1/1000)*(s_Irr!V16+s_Irr!AU16+s_Irr!BT16)),IF(AND(s_Irr!V16&lt;&gt;".",s_Irr!AU16&lt;&gt;".",s_Irr!BT16="."),s_dir!W16/((1/1000)*(s_Irr!V16+s_Irr!AU16)),IF(AND(s_Irr!V16&lt;&gt;".",s_Irr!AU16=".",s_Irr!BT16&lt;&gt;"."),s_dir!W16/((1/1000)*(s_Irr!V16+s_Irr!BT16)),IF(AND(s_Irr!V16=".",s_Irr!AU16&lt;&gt;".",s_Irr!BT16&lt;&gt;"."),s_dir!W16/((1/1000)*(s_Irr!AU16+s_Irr!BT16)),IF(AND(s_Irr!V16=".",s_Irr!AU16=".",s_Irr!BT16&lt;&gt;"."),s_dir!W16/((1/1000)*(s_Irr!BT16)),IF(AND(s_Irr!V16=".",s_Irr!AU16&lt;&gt;".",s_Irr!BT16="."),s_dir!W16/((1/1000)*(s_Irr!AU16)),IF(AND(s_Irr!V16&lt;&gt;".",s_Irr!AU16=".",s_Irr!BT16="."),s_dir!W16/((1/1000)*(s_Irr!V16)),IF(AND(s_Irr!V16=".",s_Irr!AU16=".",s_Irr!BT16="."),s_dir!W16*1000)))))))),".")</f>
        <v>19.142517297260142</v>
      </c>
      <c r="X16" s="76">
        <f>IFERROR(IF(AND(s_Irr!W16&lt;&gt;".",s_Irr!AV16&lt;&gt;".",s_Irr!BU16&lt;&gt;"."),s_dir!X16/((1/1000)*(s_Irr!W16+s_Irr!AV16+s_Irr!BU16)),IF(AND(s_Irr!W16&lt;&gt;".",s_Irr!AV16&lt;&gt;".",s_Irr!BU16="."),s_dir!X16/((1/1000)*(s_Irr!W16+s_Irr!AV16)),IF(AND(s_Irr!W16&lt;&gt;".",s_Irr!AV16=".",s_Irr!BU16&lt;&gt;"."),s_dir!X16/((1/1000)*(s_Irr!W16+s_Irr!BU16)),IF(AND(s_Irr!W16=".",s_Irr!AV16&lt;&gt;".",s_Irr!BU16&lt;&gt;"."),s_dir!X16/((1/1000)*(s_Irr!AV16+s_Irr!BU16)),IF(AND(s_Irr!W16=".",s_Irr!AV16=".",s_Irr!BU16&lt;&gt;"."),s_dir!X16/((1/1000)*(s_Irr!BU16)),IF(AND(s_Irr!W16=".",s_Irr!AV16&lt;&gt;".",s_Irr!BU16="."),s_dir!X16/((1/1000)*(s_Irr!AV16)),IF(AND(s_Irr!W16&lt;&gt;".",s_Irr!AV16=".",s_Irr!BU16="."),s_dir!X16/((1/1000)*(s_Irr!W16)),IF(AND(s_Irr!W16=".",s_Irr!AV16=".",s_Irr!BU16="."),s_dir!X16*1000)))))))),".")</f>
        <v>22.036278646961406</v>
      </c>
      <c r="Y16" s="76">
        <f>IFERROR(IF(AND(s_Irr!X16&lt;&gt;".",s_Irr!AW16&lt;&gt;".",s_Irr!BV16&lt;&gt;"."),s_dir!Y16/((1/1000)*(s_Irr!X16+s_Irr!AW16+s_Irr!BV16)),IF(AND(s_Irr!X16&lt;&gt;".",s_Irr!AW16&lt;&gt;".",s_Irr!BV16="."),s_dir!Y16/((1/1000)*(s_Irr!X16+s_Irr!AW16)),IF(AND(s_Irr!X16&lt;&gt;".",s_Irr!AW16=".",s_Irr!BV16&lt;&gt;"."),s_dir!Y16/((1/1000)*(s_Irr!X16+s_Irr!BV16)),IF(AND(s_Irr!X16=".",s_Irr!AW16&lt;&gt;".",s_Irr!BV16&lt;&gt;"."),s_dir!Y16/((1/1000)*(s_Irr!AW16+s_Irr!BV16)),IF(AND(s_Irr!X16=".",s_Irr!AW16=".",s_Irr!BV16&lt;&gt;"."),s_dir!Y16/((1/1000)*(s_Irr!BV16)),IF(AND(s_Irr!X16=".",s_Irr!AW16&lt;&gt;".",s_Irr!BV16="."),s_dir!Y16/((1/1000)*(s_Irr!AW16)),IF(AND(s_Irr!X16&lt;&gt;".",s_Irr!AW16=".",s_Irr!BV16="."),s_dir!Y16/((1/1000)*(s_Irr!X16)),IF(AND(s_Irr!X16=".",s_Irr!AW16=".",s_Irr!BV16="."),s_dir!Y16*1000)))))))),".")</f>
        <v>20.532346082725525</v>
      </c>
      <c r="Z16" s="76">
        <f>IFERROR(IF(AND(s_Irr!Y16&lt;&gt;".",s_Irr!AX16&lt;&gt;".",s_Irr!BW16&lt;&gt;"."),s_dir!Z16/((1/1000)*(s_Irr!Y16+s_Irr!AX16+s_Irr!BW16)),IF(AND(s_Irr!Y16&lt;&gt;".",s_Irr!AX16&lt;&gt;".",s_Irr!BW16="."),s_dir!Z16/((1/1000)*(s_Irr!Y16+s_Irr!AX16)),IF(AND(s_Irr!Y16&lt;&gt;".",s_Irr!AX16=".",s_Irr!BW16&lt;&gt;"."),s_dir!Z16/((1/1000)*(s_Irr!Y16+s_Irr!BW16)),IF(AND(s_Irr!Y16=".",s_Irr!AX16&lt;&gt;".",s_Irr!BW16&lt;&gt;"."),s_dir!Z16/((1/1000)*(s_Irr!AX16+s_Irr!BW16)),IF(AND(s_Irr!Y16=".",s_Irr!AX16=".",s_Irr!BW16&lt;&gt;"."),s_dir!Z16/((1/1000)*(s_Irr!BW16)),IF(AND(s_Irr!Y16=".",s_Irr!AX16&lt;&gt;".",s_Irr!BW16="."),s_dir!Z16/((1/1000)*(s_Irr!AX16)),IF(AND(s_Irr!Y16&lt;&gt;".",s_Irr!AX16=".",s_Irr!BW16="."),s_dir!Z16/((1/1000)*(s_Irr!Y16)),IF(AND(s_Irr!Y16=".",s_Irr!AX16=".",s_Irr!BW16="."),s_dir!Z16*1000)))))))),".")</f>
        <v>19.142517297260142</v>
      </c>
      <c r="AA16" s="76">
        <f>IFERROR(IF(AND(s_Irr!Z16&lt;&gt;".",s_Irr!AY16&lt;&gt;".",s_Irr!BX16&lt;&gt;"."),s_dir!AA16/((1/1000)*(s_Irr!Z16+s_Irr!AY16+s_Irr!BX16)),IF(AND(s_Irr!Z16&lt;&gt;".",s_Irr!AY16&lt;&gt;".",s_Irr!BX16="."),s_dir!AA16/((1/1000)*(s_Irr!Z16+s_Irr!AY16)),IF(AND(s_Irr!Z16&lt;&gt;".",s_Irr!AY16=".",s_Irr!BX16&lt;&gt;"."),s_dir!AA16/((1/1000)*(s_Irr!Z16+s_Irr!BX16)),IF(AND(s_Irr!Z16=".",s_Irr!AY16&lt;&gt;".",s_Irr!BX16&lt;&gt;"."),s_dir!AA16/((1/1000)*(s_Irr!AY16+s_Irr!BX16)),IF(AND(s_Irr!Z16=".",s_Irr!AY16=".",s_Irr!BX16&lt;&gt;"."),s_dir!AA16/((1/1000)*(s_Irr!BX16)),IF(AND(s_Irr!Z16=".",s_Irr!AY16&lt;&gt;".",s_Irr!BX16="."),s_dir!AA16/((1/1000)*(s_Irr!AY16)),IF(AND(s_Irr!Z16&lt;&gt;".",s_Irr!AY16=".",s_Irr!BX16="."),s_dir!AA16/((1/1000)*(s_Irr!Z16)),IF(AND(s_Irr!Z16=".",s_Irr!AY16=".",s_Irr!BX16="."),s_dir!AA16*1000)))))))),".")</f>
        <v>23.902545808198653</v>
      </c>
      <c r="AB16" s="76">
        <f>IFERROR(IF(AND(s_Irr!AA16&lt;&gt;".",s_Irr!AZ16&lt;&gt;".",s_Irr!BY16&lt;&gt;"."),s_dir!AB16/((1/1000)*(s_Irr!AA16+s_Irr!AZ16+s_Irr!BY16)),IF(AND(s_Irr!AA16&lt;&gt;".",s_Irr!AZ16&lt;&gt;".",s_Irr!BY16="."),s_dir!AB16/((1/1000)*(s_Irr!AA16+s_Irr!AZ16)),IF(AND(s_Irr!AA16&lt;&gt;".",s_Irr!AZ16=".",s_Irr!BY16&lt;&gt;"."),s_dir!AB16/((1/1000)*(s_Irr!AA16+s_Irr!BY16)),IF(AND(s_Irr!AA16=".",s_Irr!AZ16&lt;&gt;".",s_Irr!BY16&lt;&gt;"."),s_dir!AB16/((1/1000)*(s_Irr!AZ16+s_Irr!BY16)),IF(AND(s_Irr!AA16=".",s_Irr!AZ16=".",s_Irr!BY16&lt;&gt;"."),s_dir!AB16/((1/1000)*(s_Irr!BY16)),IF(AND(s_Irr!AA16=".",s_Irr!AZ16&lt;&gt;".",s_Irr!BY16="."),s_dir!AB16/((1/1000)*(s_Irr!AZ16)),IF(AND(s_Irr!AA16&lt;&gt;".",s_Irr!AZ16=".",s_Irr!BY16="."),s_dir!AB16/((1/1000)*(s_Irr!AA16)),IF(AND(s_Irr!AA16=".",s_Irr!AZ16=".",s_Irr!BY16="."),s_dir!AB16*1000)))))))),".")</f>
        <v>20.238466208172014</v>
      </c>
      <c r="AC16" s="93">
        <f t="shared" si="4"/>
        <v>8167.2097807406062</v>
      </c>
      <c r="AD16" s="93">
        <f>IFERROR(s_C*s_IFAP_res_adj*s_CF_apple*0.001*(s_Irr!C16+s_Irr!AB16+s_Irr!BA16),".")</f>
        <v>2069.677052148757</v>
      </c>
      <c r="AE16" s="93">
        <f>IFERROR(s_C*s_IFAS_res_adj*s_CF_asparagus*0.001*(s_Irr!D16+s_Irr!AC16+s_Irr!BB16),".")</f>
        <v>4173.4209739302823</v>
      </c>
      <c r="AF16" s="93">
        <f>IFERROR(s_C*s_IFBT_res_adj*s_CF_beet*0.001*(s_Irr!E16+s_Irr!AD16+s_Irr!BC16),".")</f>
        <v>2219.9444751331516</v>
      </c>
      <c r="AG16" s="93">
        <f>IFERROR(s_C*s_IFBE_res_adj*s_CF_berries*0.001*(s_Irr!F16+s_Irr!AE16+s_Irr!BD16),".")</f>
        <v>2069.677052148757</v>
      </c>
      <c r="AH16" s="93">
        <f>IFERROR(s_C*s_IFBR_res_adj*s_CF_broccoli*0.001*(s_Irr!G16+s_Irr!AF16+s_Irr!BE16),".")</f>
        <v>2219.9444751331516</v>
      </c>
      <c r="AI16" s="93">
        <f>IFERROR(s_C*s_IFCB_res_adj*s_CF_cabbage*0.001*(s_Irr!H16+s_Irr!AG16+s_Irr!BF16),".")</f>
        <v>4173.4209739302823</v>
      </c>
      <c r="AJ16" s="93">
        <f>IFERROR(s_C*s_IFCR_res_adj*s_CF_carrot*0.001*(s_Irr!I16+s_Irr!AH16+s_Irr!BG16),".")</f>
        <v>2219.9444751331516</v>
      </c>
      <c r="AK16" s="93">
        <f>IFERROR(s_C*s_IFCI_res_adj*s_CF_citrus*0.001*(s_Irr!J16+s_Irr!AI16+s_Irr!BH16),".")</f>
        <v>2069.677052148757</v>
      </c>
      <c r="AL16" s="93">
        <f>IFERROR(s_C*s_IFCO_res_adj*s_CF_corn*0.001*(s_Irr!K16+s_Irr!AJ16+s_Irr!BI16),".")</f>
        <v>1805.2063876962222</v>
      </c>
      <c r="AM16" s="93">
        <f>IFERROR(s_C*s_IFCU_res_adj*s_CF_cucumber*0.001*(s_Irr!L16+s_Irr!AK16+s_Irr!BJ16),".")</f>
        <v>2219.9444751331516</v>
      </c>
      <c r="AN16" s="93">
        <f>IFERROR(s_C*s_IFLE_res_adj*s_CF_lettuce*0.001*(s_Irr!M16+s_Irr!AL16+s_Irr!BK16),".")</f>
        <v>4173.4209739302823</v>
      </c>
      <c r="AO16" s="93">
        <f>IFERROR(s_C*s_IFLI_res_adj*s_CF_lima_bean*0.001*(s_Irr!N16+s_Irr!AM16+s_Irr!BL16),".")</f>
        <v>1928.4256745434257</v>
      </c>
      <c r="AP16" s="93">
        <f>IFERROR(s_C*s_IFOK_res_adj*s_CF_okra*0.001*(s_Irr!O16+s_Irr!AN16+s_Irr!BM16),".")</f>
        <v>2219.9444751331516</v>
      </c>
      <c r="AQ16" s="93">
        <f>IFERROR(s_C*s_IFON_res_adj*s_CF_onion*0.001*(s_Irr!P16+s_Irr!AO16+s_Irr!BN16),".")</f>
        <v>2219.9444751331516</v>
      </c>
      <c r="AR16" s="93">
        <f>IFERROR(s_C*s_IFPC_res_adj*s_CF_peach*0.001*(s_Irr!Q16+s_Irr!AP16+s_Irr!BO16),".")</f>
        <v>2069.677052148757</v>
      </c>
      <c r="AS16" s="93">
        <f>IFERROR(s_C*s_IFPR_res_adj*s_CF_pear*0.001*(s_Irr!R16+s_Irr!AQ16+s_Irr!BP16),".")</f>
        <v>2069.677052148757</v>
      </c>
      <c r="AT16" s="93">
        <f>IFERROR(s_C*s_IFPE_res_adj*s_CF_peas*0.001*(s_Irr!S16+s_Irr!AR16+s_Irr!BQ16),".")</f>
        <v>1928.4256745434257</v>
      </c>
      <c r="AU16" s="93">
        <f>IFERROR(s_C*s_IFPP_res_adj*s_CF_peppers*0.001*(s_Irr!T16+s_Irr!AS16+s_Irr!BR16),".")</f>
        <v>2219.9444751331516</v>
      </c>
      <c r="AV16" s="93">
        <f>IFERROR(s_C*s_IFPT_res_adj*s_CF_potato*0.001*(s_Irr!U16+s_Irr!AT16+s_Irr!BS16),".")</f>
        <v>1814.2224330752858</v>
      </c>
      <c r="AW16" s="93">
        <f>IFERROR(s_C*s_IFPU_res_adj*s_CF_pumpkin*0.001*(s_Irr!V16+s_Irr!AU16+s_Irr!BT16),".")</f>
        <v>2219.9444751331516</v>
      </c>
      <c r="AX16" s="93">
        <f>IFERROR(s_C*s_IFSN_res_adj*s_CF_snap_bean*0.001*(s_Irr!W16+s_Irr!AV16+s_Irr!BU16),".")</f>
        <v>1928.4256745434257</v>
      </c>
      <c r="AY16" s="93">
        <f>IFERROR(s_C*s_IFST_res_adj*s_CF_strawberry*0.001*(s_Irr!X16+s_Irr!AW16+s_Irr!BV16),".")</f>
        <v>2069.677052148757</v>
      </c>
      <c r="AZ16" s="93">
        <f>IFERROR(s_C*s_IFTO_res_adj*s_CF_tomato*0.001*(s_Irr!Y16+s_Irr!AX16+s_Irr!BW16),".")</f>
        <v>2219.9444751331516</v>
      </c>
      <c r="BA16" s="93">
        <f>IFERROR(s_C*s_IFRI_res_adj*s_CF_rice*0.001*(s_Irr!Z16+s_Irr!AY16+s_Irr!BX16),".")</f>
        <v>1777.8577167130622</v>
      </c>
      <c r="BB16" s="93">
        <f>IFERROR(s_C*s_IFCG_res_adj*s_CF_cereal*0.001*(s_Irr!AA16+s_Irr!AZ16+s_Irr!BY16),".")</f>
        <v>2099.7305367456356</v>
      </c>
      <c r="BC16" s="76">
        <f t="shared" si="1"/>
        <v>5.2031632166965034</v>
      </c>
      <c r="BD16" s="76">
        <f>IFERROR(IF(AND(s_Irr!C16&lt;&gt;".",s_Irr!AB16&lt;&gt;".",s_Irr!BA16&lt;&gt;"."),s_dir!AD16/((1/1000)*(s_Irr!C16+s_Irr!AB16+s_Irr!BA16)),IF(AND(s_Irr!C16&lt;&gt;".",s_Irr!AB16&lt;&gt;".",s_Irr!BA16="."),s_dir!AD16/((1/1000)*(s_Irr!C16+s_Irr!AB16)),IF(AND(s_Irr!C16&lt;&gt;".",s_Irr!AB16=".",s_Irr!BA16&lt;&gt;"."),s_dir!AD16/((1/1000)*(s_Irr!C16+s_Irr!BA16)),IF(AND(s_Irr!C16=".",s_Irr!AB16&lt;&gt;".",s_Irr!BA16&lt;&gt;"."),s_dir!AD16/((1/1000)*(s_Irr!AB16+s_Irr!BA16)),IF(AND(s_Irr!C16=".",s_Irr!AB16=".",s_Irr!BA16&lt;&gt;"."),s_dir!AD16/((1/1000)*(s_Irr!BA16)),IF(AND(s_Irr!C16=".",s_Irr!AB16&lt;&gt;".",s_Irr!BA16="."),s_dir!AD16/((1/1000)*(s_Irr!AB16)),IF(AND(s_Irr!C16&lt;&gt;".",s_Irr!AB16=".",s_Irr!BA16="."),s_dir!AD16/((1/1000)*(s_Irr!C16)),IF(AND(s_Irr!C16=".",s_Irr!AB16=".",s_Irr!BA16="."),s_dir!AD16*1000)))))))),".")</f>
        <v>20.532346082725525</v>
      </c>
      <c r="BE16" s="76">
        <f>IFERROR(IF(AND(s_Irr!D16&lt;&gt;".",s_Irr!AC16&lt;&gt;".",s_Irr!BB16&lt;&gt;"."),s_dir!AE16/((1/1000)*(s_Irr!D16+s_Irr!AC16+s_Irr!BB16)),IF(AND(s_Irr!D16&lt;&gt;".",s_Irr!AC16&lt;&gt;".",s_Irr!BB16="."),s_dir!AE16/((1/1000)*(s_Irr!D16+s_Irr!AC16)),IF(AND(s_Irr!D16&lt;&gt;".",s_Irr!AC16=".",s_Irr!BB16&lt;&gt;"."),s_dir!AE16/((1/1000)*(s_Irr!D16+s_Irr!BB16)),IF(AND(s_Irr!D16=".",s_Irr!AC16&lt;&gt;".",s_Irr!BB16&lt;&gt;"."),s_dir!AE16/((1/1000)*(s_Irr!AC16+s_Irr!BB16)),IF(AND(s_Irr!D16=".",s_Irr!AC16=".",s_Irr!BB16&lt;&gt;"."),s_dir!AE16/((1/1000)*(s_Irr!BB16)),IF(AND(s_Irr!D16=".",s_Irr!AC16&lt;&gt;".",s_Irr!BB16="."),s_dir!AE16/((1/1000)*(s_Irr!AC16)),IF(AND(s_Irr!D16&lt;&gt;".",s_Irr!AC16=".",s_Irr!BB16="."),s_dir!AE16/((1/1000)*(s_Irr!D16)),IF(AND(s_Irr!D16=".",s_Irr!AC16=".",s_Irr!BB16="."),s_dir!AE16*1000)))))))),".")</f>
        <v>10.182372154557378</v>
      </c>
      <c r="BF16" s="76">
        <f>IFERROR(IF(AND(s_Irr!E16&lt;&gt;".",s_Irr!AD16&lt;&gt;".",s_Irr!BC16&lt;&gt;"."),s_dir!AF16/((1/1000)*(s_Irr!E16+s_Irr!AD16+s_Irr!BC16)),IF(AND(s_Irr!E16&lt;&gt;".",s_Irr!AD16&lt;&gt;".",s_Irr!BC16="."),s_dir!AF16/((1/1000)*(s_Irr!E16+s_Irr!AD16)),IF(AND(s_Irr!E16&lt;&gt;".",s_Irr!AD16=".",s_Irr!BC16&lt;&gt;"."),s_dir!AF16/((1/1000)*(s_Irr!E16+s_Irr!BC16)),IF(AND(s_Irr!E16=".",s_Irr!AD16&lt;&gt;".",s_Irr!BC16&lt;&gt;"."),s_dir!AF16/((1/1000)*(s_Irr!AD16+s_Irr!BC16)),IF(AND(s_Irr!E16=".",s_Irr!AD16=".",s_Irr!BC16&lt;&gt;"."),s_dir!AF16/((1/1000)*(s_Irr!BC16)),IF(AND(s_Irr!E16=".",s_Irr!AD16&lt;&gt;".",s_Irr!BC16="."),s_dir!AF16/((1/1000)*(s_Irr!AD16)),IF(AND(s_Irr!E16&lt;&gt;".",s_Irr!AD16=".",s_Irr!BC16="."),s_dir!AF16/((1/1000)*(s_Irr!E16)),IF(AND(s_Irr!E16=".",s_Irr!AD16=".",s_Irr!BC16="."),s_dir!AF16*1000)))))))),".")</f>
        <v>19.142517297260142</v>
      </c>
      <c r="BG16" s="76">
        <f>IFERROR(IF(AND(s_Irr!F16&lt;&gt;".",s_Irr!AE16&lt;&gt;".",s_Irr!BD16&lt;&gt;"."),s_dir!AG16/((1/1000)*(s_Irr!F16+s_Irr!AE16+s_Irr!BD16)),IF(AND(s_Irr!F16&lt;&gt;".",s_Irr!AE16&lt;&gt;".",s_Irr!BD16="."),s_dir!AG16/((1/1000)*(s_Irr!F16+s_Irr!AE16)),IF(AND(s_Irr!F16&lt;&gt;".",s_Irr!AE16=".",s_Irr!BD16&lt;&gt;"."),s_dir!AG16/((1/1000)*(s_Irr!F16+s_Irr!BD16)),IF(AND(s_Irr!F16=".",s_Irr!AE16&lt;&gt;".",s_Irr!BD16&lt;&gt;"."),s_dir!AG16/((1/1000)*(s_Irr!AE16+s_Irr!BD16)),IF(AND(s_Irr!F16=".",s_Irr!AE16=".",s_Irr!BD16&lt;&gt;"."),s_dir!AG16/((1/1000)*(s_Irr!BD16)),IF(AND(s_Irr!F16=".",s_Irr!AE16&lt;&gt;".",s_Irr!BD16="."),s_dir!AG16/((1/1000)*(s_Irr!AE16)),IF(AND(s_Irr!F16&lt;&gt;".",s_Irr!AE16=".",s_Irr!BD16="."),s_dir!AG16/((1/1000)*(s_Irr!F16)),IF(AND(s_Irr!F16=".",s_Irr!AE16=".",s_Irr!BD16="."),s_dir!AG16*1000)))))))),".")</f>
        <v>20.532346082725525</v>
      </c>
      <c r="BH16" s="76">
        <f>IFERROR(IF(AND(s_Irr!G16&lt;&gt;".",s_Irr!AF16&lt;&gt;".",s_Irr!BE16&lt;&gt;"."),s_dir!AH16/((1/1000)*(s_Irr!G16+s_Irr!AF16+s_Irr!BE16)),IF(AND(s_Irr!G16&lt;&gt;".",s_Irr!AF16&lt;&gt;".",s_Irr!BE16="."),s_dir!AH16/((1/1000)*(s_Irr!G16+s_Irr!AF16)),IF(AND(s_Irr!G16&lt;&gt;".",s_Irr!AF16=".",s_Irr!BE16&lt;&gt;"."),s_dir!AH16/((1/1000)*(s_Irr!G16+s_Irr!BE16)),IF(AND(s_Irr!G16=".",s_Irr!AF16&lt;&gt;".",s_Irr!BE16&lt;&gt;"."),s_dir!AH16/((1/1000)*(s_Irr!AF16+s_Irr!BE16)),IF(AND(s_Irr!G16=".",s_Irr!AF16=".",s_Irr!BE16&lt;&gt;"."),s_dir!AH16/((1/1000)*(s_Irr!BE16)),IF(AND(s_Irr!G16=".",s_Irr!AF16&lt;&gt;".",s_Irr!BE16="."),s_dir!AH16/((1/1000)*(s_Irr!AF16)),IF(AND(s_Irr!G16&lt;&gt;".",s_Irr!AF16=".",s_Irr!BE16="."),s_dir!AH16/((1/1000)*(s_Irr!G16)),IF(AND(s_Irr!G16=".",s_Irr!AF16=".",s_Irr!BE16="."),s_dir!AH16*1000)))))))),".")</f>
        <v>19.142517297260142</v>
      </c>
      <c r="BI16" s="76">
        <f>IFERROR(IF(AND(s_Irr!H16&lt;&gt;".",s_Irr!AG16&lt;&gt;".",s_Irr!BF16&lt;&gt;"."),s_dir!AI16/((1/1000)*(s_Irr!H16+s_Irr!AG16+s_Irr!BF16)),IF(AND(s_Irr!H16&lt;&gt;".",s_Irr!AG16&lt;&gt;".",s_Irr!BF16="."),s_dir!AI16/((1/1000)*(s_Irr!H16+s_Irr!AG16)),IF(AND(s_Irr!H16&lt;&gt;".",s_Irr!AG16=".",s_Irr!BF16&lt;&gt;"."),s_dir!AI16/((1/1000)*(s_Irr!H16+s_Irr!BF16)),IF(AND(s_Irr!H16=".",s_Irr!AG16&lt;&gt;".",s_Irr!BF16&lt;&gt;"."),s_dir!AI16/((1/1000)*(s_Irr!AG16+s_Irr!BF16)),IF(AND(s_Irr!H16=".",s_Irr!AG16=".",s_Irr!BF16&lt;&gt;"."),s_dir!AI16/((1/1000)*(s_Irr!BF16)),IF(AND(s_Irr!H16=".",s_Irr!AG16&lt;&gt;".",s_Irr!BF16="."),s_dir!AI16/((1/1000)*(s_Irr!AG16)),IF(AND(s_Irr!H16&lt;&gt;".",s_Irr!AG16=".",s_Irr!BF16="."),s_dir!AI16/((1/1000)*(s_Irr!H16)),IF(AND(s_Irr!H16=".",s_Irr!AG16=".",s_Irr!BF16="."),s_dir!AI16*1000)))))))),".")</f>
        <v>10.182372154557378</v>
      </c>
      <c r="BJ16" s="76">
        <f>IFERROR(IF(AND(s_Irr!I16&lt;&gt;".",s_Irr!AH16&lt;&gt;".",s_Irr!BG16&lt;&gt;"."),s_dir!AJ16/((1/1000)*(s_Irr!I16+s_Irr!AH16+s_Irr!BG16)),IF(AND(s_Irr!I16&lt;&gt;".",s_Irr!AH16&lt;&gt;".",s_Irr!BG16="."),s_dir!AJ16/((1/1000)*(s_Irr!I16+s_Irr!AH16)),IF(AND(s_Irr!I16&lt;&gt;".",s_Irr!AH16=".",s_Irr!BG16&lt;&gt;"."),s_dir!AJ16/((1/1000)*(s_Irr!I16+s_Irr!BG16)),IF(AND(s_Irr!I16=".",s_Irr!AH16&lt;&gt;".",s_Irr!BG16&lt;&gt;"."),s_dir!AJ16/((1/1000)*(s_Irr!AH16+s_Irr!BG16)),IF(AND(s_Irr!I16=".",s_Irr!AH16=".",s_Irr!BG16&lt;&gt;"."),s_dir!AJ16/((1/1000)*(s_Irr!BG16)),IF(AND(s_Irr!I16=".",s_Irr!AH16&lt;&gt;".",s_Irr!BG16="."),s_dir!AJ16/((1/1000)*(s_Irr!AH16)),IF(AND(s_Irr!I16&lt;&gt;".",s_Irr!AH16=".",s_Irr!BG16="."),s_dir!AJ16/((1/1000)*(s_Irr!I16)),IF(AND(s_Irr!I16=".",s_Irr!AH16=".",s_Irr!BG16="."),s_dir!AJ16*1000)))))))),".")</f>
        <v>19.142517297260142</v>
      </c>
      <c r="BK16" s="76">
        <f>IFERROR(IF(AND(s_Irr!J16&lt;&gt;".",s_Irr!AI16&lt;&gt;".",s_Irr!BH16&lt;&gt;"."),s_dir!AK16/((1/1000)*(s_Irr!J16+s_Irr!AI16+s_Irr!BH16)),IF(AND(s_Irr!J16&lt;&gt;".",s_Irr!AI16&lt;&gt;".",s_Irr!BH16="."),s_dir!AK16/((1/1000)*(s_Irr!J16+s_Irr!AI16)),IF(AND(s_Irr!J16&lt;&gt;".",s_Irr!AI16=".",s_Irr!BH16&lt;&gt;"."),s_dir!AK16/((1/1000)*(s_Irr!J16+s_Irr!BH16)),IF(AND(s_Irr!J16=".",s_Irr!AI16&lt;&gt;".",s_Irr!BH16&lt;&gt;"."),s_dir!AK16/((1/1000)*(s_Irr!AI16+s_Irr!BH16)),IF(AND(s_Irr!J16=".",s_Irr!AI16=".",s_Irr!BH16&lt;&gt;"."),s_dir!AK16/((1/1000)*(s_Irr!BH16)),IF(AND(s_Irr!J16=".",s_Irr!AI16&lt;&gt;".",s_Irr!BH16="."),s_dir!AK16/((1/1000)*(s_Irr!AI16)),IF(AND(s_Irr!J16&lt;&gt;".",s_Irr!AI16=".",s_Irr!BH16="."),s_dir!AK16/((1/1000)*(s_Irr!J16)),IF(AND(s_Irr!J16=".",s_Irr!AI16=".",s_Irr!BH16="."),s_dir!AK16*1000)))))))),".")</f>
        <v>20.532346082725525</v>
      </c>
      <c r="BL16" s="76">
        <f>IFERROR(IF(AND(s_Irr!K16&lt;&gt;".",s_Irr!AJ16&lt;&gt;".",s_Irr!BI16&lt;&gt;"."),s_dir!AL16/((1/1000)*(s_Irr!K16+s_Irr!AJ16+s_Irr!BI16)),IF(AND(s_Irr!K16&lt;&gt;".",s_Irr!AJ16&lt;&gt;".",s_Irr!BI16="."),s_dir!AL16/((1/1000)*(s_Irr!K16+s_Irr!AJ16)),IF(AND(s_Irr!K16&lt;&gt;".",s_Irr!AJ16=".",s_Irr!BI16&lt;&gt;"."),s_dir!AL16/((1/1000)*(s_Irr!K16+s_Irr!BI16)),IF(AND(s_Irr!K16=".",s_Irr!AJ16&lt;&gt;".",s_Irr!BI16&lt;&gt;"."),s_dir!AL16/((1/1000)*(s_Irr!AJ16+s_Irr!BI16)),IF(AND(s_Irr!K16=".",s_Irr!AJ16=".",s_Irr!BI16&lt;&gt;"."),s_dir!AL16/((1/1000)*(s_Irr!BI16)),IF(AND(s_Irr!K16=".",s_Irr!AJ16&lt;&gt;".",s_Irr!BI16="."),s_dir!AL16/((1/1000)*(s_Irr!AJ16)),IF(AND(s_Irr!K16&lt;&gt;".",s_Irr!AJ16=".",s_Irr!BI16="."),s_dir!AL16/((1/1000)*(s_Irr!K16)),IF(AND(s_Irr!K16=".",s_Irr!AJ16=".",s_Irr!BI16="."),s_dir!AL16*1000)))))))),".")</f>
        <v>23.540424964053749</v>
      </c>
      <c r="BM16" s="76">
        <f>IFERROR(IF(AND(s_Irr!L16&lt;&gt;".",s_Irr!AK16&lt;&gt;".",s_Irr!BJ16&lt;&gt;"."),s_dir!AM16/((1/1000)*(s_Irr!L16+s_Irr!AK16+s_Irr!BJ16)),IF(AND(s_Irr!L16&lt;&gt;".",s_Irr!AK16&lt;&gt;".",s_Irr!BJ16="."),s_dir!AM16/((1/1000)*(s_Irr!L16+s_Irr!AK16)),IF(AND(s_Irr!L16&lt;&gt;".",s_Irr!AK16=".",s_Irr!BJ16&lt;&gt;"."),s_dir!AM16/((1/1000)*(s_Irr!L16+s_Irr!BJ16)),IF(AND(s_Irr!L16=".",s_Irr!AK16&lt;&gt;".",s_Irr!BJ16&lt;&gt;"."),s_dir!AM16/((1/1000)*(s_Irr!AK16+s_Irr!BJ16)),IF(AND(s_Irr!L16=".",s_Irr!AK16=".",s_Irr!BJ16&lt;&gt;"."),s_dir!AM16/((1/1000)*(s_Irr!BJ16)),IF(AND(s_Irr!L16=".",s_Irr!AK16&lt;&gt;".",s_Irr!BJ16="."),s_dir!AM16/((1/1000)*(s_Irr!AK16)),IF(AND(s_Irr!L16&lt;&gt;".",s_Irr!AK16=".",s_Irr!BJ16="."),s_dir!AM16/((1/1000)*(s_Irr!L16)),IF(AND(s_Irr!L16=".",s_Irr!AK16=".",s_Irr!BJ16="."),s_dir!AM16*1000)))))))),".")</f>
        <v>19.142517297260142</v>
      </c>
      <c r="BN16" s="76">
        <f>IFERROR(IF(AND(s_Irr!M16&lt;&gt;".",s_Irr!AL16&lt;&gt;".",s_Irr!BK16&lt;&gt;"."),s_dir!AN16/((1/1000)*(s_Irr!M16+s_Irr!AL16+s_Irr!BK16)),IF(AND(s_Irr!M16&lt;&gt;".",s_Irr!AL16&lt;&gt;".",s_Irr!BK16="."),s_dir!AN16/((1/1000)*(s_Irr!M16+s_Irr!AL16)),IF(AND(s_Irr!M16&lt;&gt;".",s_Irr!AL16=".",s_Irr!BK16&lt;&gt;"."),s_dir!AN16/((1/1000)*(s_Irr!M16+s_Irr!BK16)),IF(AND(s_Irr!M16=".",s_Irr!AL16&lt;&gt;".",s_Irr!BK16&lt;&gt;"."),s_dir!AN16/((1/1000)*(s_Irr!AL16+s_Irr!BK16)),IF(AND(s_Irr!M16=".",s_Irr!AL16=".",s_Irr!BK16&lt;&gt;"."),s_dir!AN16/((1/1000)*(s_Irr!BK16)),IF(AND(s_Irr!M16=".",s_Irr!AL16&lt;&gt;".",s_Irr!BK16="."),s_dir!AN16/((1/1000)*(s_Irr!AL16)),IF(AND(s_Irr!M16&lt;&gt;".",s_Irr!AL16=".",s_Irr!BK16="."),s_dir!AN16/((1/1000)*(s_Irr!M16)),IF(AND(s_Irr!M16=".",s_Irr!AL16=".",s_Irr!BK16="."),s_dir!AN16*1000)))))))),".")</f>
        <v>10.182372154557378</v>
      </c>
      <c r="BO16" s="76">
        <f>IFERROR(IF(AND(s_Irr!N16&lt;&gt;".",s_Irr!AM16&lt;&gt;".",s_Irr!BL16&lt;&gt;"."),s_dir!AO16/((1/1000)*(s_Irr!N16+s_Irr!AM16+s_Irr!BL16)),IF(AND(s_Irr!N16&lt;&gt;".",s_Irr!AM16&lt;&gt;".",s_Irr!BL16="."),s_dir!AO16/((1/1000)*(s_Irr!N16+s_Irr!AM16)),IF(AND(s_Irr!N16&lt;&gt;".",s_Irr!AM16=".",s_Irr!BL16&lt;&gt;"."),s_dir!AO16/((1/1000)*(s_Irr!N16+s_Irr!BL16)),IF(AND(s_Irr!N16=".",s_Irr!AM16&lt;&gt;".",s_Irr!BL16&lt;&gt;"."),s_dir!AO16/((1/1000)*(s_Irr!AM16+s_Irr!BL16)),IF(AND(s_Irr!N16=".",s_Irr!AM16=".",s_Irr!BL16&lt;&gt;"."),s_dir!AO16/((1/1000)*(s_Irr!BL16)),IF(AND(s_Irr!N16=".",s_Irr!AM16&lt;&gt;".",s_Irr!BL16="."),s_dir!AO16/((1/1000)*(s_Irr!AM16)),IF(AND(s_Irr!N16&lt;&gt;".",s_Irr!AM16=".",s_Irr!BL16="."),s_dir!AO16/((1/1000)*(s_Irr!N16)),IF(AND(s_Irr!N16=".",s_Irr!AM16=".",s_Irr!BL16="."),s_dir!AO16*1000)))))))),".")</f>
        <v>22.036278646961406</v>
      </c>
      <c r="BP16" s="76">
        <f>IFERROR(IF(AND(s_Irr!O16&lt;&gt;".",s_Irr!AN16&lt;&gt;".",s_Irr!BM16&lt;&gt;"."),s_dir!AP16/((1/1000)*(s_Irr!O16+s_Irr!AN16+s_Irr!BM16)),IF(AND(s_Irr!O16&lt;&gt;".",s_Irr!AN16&lt;&gt;".",s_Irr!BM16="."),s_dir!AP16/((1/1000)*(s_Irr!O16+s_Irr!AN16)),IF(AND(s_Irr!O16&lt;&gt;".",s_Irr!AN16=".",s_Irr!BM16&lt;&gt;"."),s_dir!AP16/((1/1000)*(s_Irr!O16+s_Irr!BM16)),IF(AND(s_Irr!O16=".",s_Irr!AN16&lt;&gt;".",s_Irr!BM16&lt;&gt;"."),s_dir!AP16/((1/1000)*(s_Irr!AN16+s_Irr!BM16)),IF(AND(s_Irr!O16=".",s_Irr!AN16=".",s_Irr!BM16&lt;&gt;"."),s_dir!AP16/((1/1000)*(s_Irr!BM16)),IF(AND(s_Irr!O16=".",s_Irr!AN16&lt;&gt;".",s_Irr!BM16="."),s_dir!AP16/((1/1000)*(s_Irr!AN16)),IF(AND(s_Irr!O16&lt;&gt;".",s_Irr!AN16=".",s_Irr!BM16="."),s_dir!AP16/((1/1000)*(s_Irr!O16)),IF(AND(s_Irr!O16=".",s_Irr!AN16=".",s_Irr!BM16="."),s_dir!AP16*1000)))))))),".")</f>
        <v>19.142517297260142</v>
      </c>
      <c r="BQ16" s="76">
        <f>IFERROR(IF(AND(s_Irr!P16&lt;&gt;".",s_Irr!AO16&lt;&gt;".",s_Irr!BN16&lt;&gt;"."),s_dir!AQ16/((1/1000)*(s_Irr!P16+s_Irr!AO16+s_Irr!BN16)),IF(AND(s_Irr!P16&lt;&gt;".",s_Irr!AO16&lt;&gt;".",s_Irr!BN16="."),s_dir!AQ16/((1/1000)*(s_Irr!P16+s_Irr!AO16)),IF(AND(s_Irr!P16&lt;&gt;".",s_Irr!AO16=".",s_Irr!BN16&lt;&gt;"."),s_dir!AQ16/((1/1000)*(s_Irr!P16+s_Irr!BN16)),IF(AND(s_Irr!P16=".",s_Irr!AO16&lt;&gt;".",s_Irr!BN16&lt;&gt;"."),s_dir!AQ16/((1/1000)*(s_Irr!AO16+s_Irr!BN16)),IF(AND(s_Irr!P16=".",s_Irr!AO16=".",s_Irr!BN16&lt;&gt;"."),s_dir!AQ16/((1/1000)*(s_Irr!BN16)),IF(AND(s_Irr!P16=".",s_Irr!AO16&lt;&gt;".",s_Irr!BN16="."),s_dir!AQ16/((1/1000)*(s_Irr!AO16)),IF(AND(s_Irr!P16&lt;&gt;".",s_Irr!AO16=".",s_Irr!BN16="."),s_dir!AQ16/((1/1000)*(s_Irr!P16)),IF(AND(s_Irr!P16=".",s_Irr!AO16=".",s_Irr!BN16="."),s_dir!AQ16*1000)))))))),".")</f>
        <v>19.142517297260142</v>
      </c>
      <c r="BR16" s="76">
        <f>IFERROR(IF(AND(s_Irr!Q16&lt;&gt;".",s_Irr!AP16&lt;&gt;".",s_Irr!BO16&lt;&gt;"."),s_dir!AR16/((1/1000)*(s_Irr!Q16+s_Irr!AP16+s_Irr!BO16)),IF(AND(s_Irr!Q16&lt;&gt;".",s_Irr!AP16&lt;&gt;".",s_Irr!BO16="."),s_dir!AR16/((1/1000)*(s_Irr!Q16+s_Irr!AP16)),IF(AND(s_Irr!Q16&lt;&gt;".",s_Irr!AP16=".",s_Irr!BO16&lt;&gt;"."),s_dir!AR16/((1/1000)*(s_Irr!Q16+s_Irr!BO16)),IF(AND(s_Irr!Q16=".",s_Irr!AP16&lt;&gt;".",s_Irr!BO16&lt;&gt;"."),s_dir!AR16/((1/1000)*(s_Irr!AP16+s_Irr!BO16)),IF(AND(s_Irr!Q16=".",s_Irr!AP16=".",s_Irr!BO16&lt;&gt;"."),s_dir!AR16/((1/1000)*(s_Irr!BO16)),IF(AND(s_Irr!Q16=".",s_Irr!AP16&lt;&gt;".",s_Irr!BO16="."),s_dir!AR16/((1/1000)*(s_Irr!AP16)),IF(AND(s_Irr!Q16&lt;&gt;".",s_Irr!AP16=".",s_Irr!BO16="."),s_dir!AR16/((1/1000)*(s_Irr!Q16)),IF(AND(s_Irr!Q16=".",s_Irr!AP16=".",s_Irr!BO16="."),s_dir!AR16*1000)))))))),".")</f>
        <v>20.532346082725525</v>
      </c>
      <c r="BS16" s="76">
        <f>IFERROR(IF(AND(s_Irr!R16&lt;&gt;".",s_Irr!AQ16&lt;&gt;".",s_Irr!BP16&lt;&gt;"."),s_dir!AS16/((1/1000)*(s_Irr!R16+s_Irr!AQ16+s_Irr!BP16)),IF(AND(s_Irr!R16&lt;&gt;".",s_Irr!AQ16&lt;&gt;".",s_Irr!BP16="."),s_dir!AS16/((1/1000)*(s_Irr!R16+s_Irr!AQ16)),IF(AND(s_Irr!R16&lt;&gt;".",s_Irr!AQ16=".",s_Irr!BP16&lt;&gt;"."),s_dir!AS16/((1/1000)*(s_Irr!R16+s_Irr!BP16)),IF(AND(s_Irr!R16=".",s_Irr!AQ16&lt;&gt;".",s_Irr!BP16&lt;&gt;"."),s_dir!AS16/((1/1000)*(s_Irr!AQ16+s_Irr!BP16)),IF(AND(s_Irr!R16=".",s_Irr!AQ16=".",s_Irr!BP16&lt;&gt;"."),s_dir!AS16/((1/1000)*(s_Irr!BP16)),IF(AND(s_Irr!R16=".",s_Irr!AQ16&lt;&gt;".",s_Irr!BP16="."),s_dir!AS16/((1/1000)*(s_Irr!AQ16)),IF(AND(s_Irr!R16&lt;&gt;".",s_Irr!AQ16=".",s_Irr!BP16="."),s_dir!AS16/((1/1000)*(s_Irr!R16)),IF(AND(s_Irr!R16=".",s_Irr!AQ16=".",s_Irr!BP16="."),s_dir!AS16*1000)))))))),".")</f>
        <v>20.532346082725525</v>
      </c>
      <c r="BT16" s="76">
        <f>IFERROR(IF(AND(s_Irr!S16&lt;&gt;".",s_Irr!AR16&lt;&gt;".",s_Irr!BQ16&lt;&gt;"."),s_dir!AT16/((1/1000)*(s_Irr!S16+s_Irr!AR16+s_Irr!BQ16)),IF(AND(s_Irr!S16&lt;&gt;".",s_Irr!AR16&lt;&gt;".",s_Irr!BQ16="."),s_dir!AT16/((1/1000)*(s_Irr!S16+s_Irr!AR16)),IF(AND(s_Irr!S16&lt;&gt;".",s_Irr!AR16=".",s_Irr!BQ16&lt;&gt;"."),s_dir!AT16/((1/1000)*(s_Irr!S16+s_Irr!BQ16)),IF(AND(s_Irr!S16=".",s_Irr!AR16&lt;&gt;".",s_Irr!BQ16&lt;&gt;"."),s_dir!AT16/((1/1000)*(s_Irr!AR16+s_Irr!BQ16)),IF(AND(s_Irr!S16=".",s_Irr!AR16=".",s_Irr!BQ16&lt;&gt;"."),s_dir!AT16/((1/1000)*(s_Irr!BQ16)),IF(AND(s_Irr!S16=".",s_Irr!AR16&lt;&gt;".",s_Irr!BQ16="."),s_dir!AT16/((1/1000)*(s_Irr!AR16)),IF(AND(s_Irr!S16&lt;&gt;".",s_Irr!AR16=".",s_Irr!BQ16="."),s_dir!AT16/((1/1000)*(s_Irr!S16)),IF(AND(s_Irr!S16=".",s_Irr!AR16=".",s_Irr!BQ16="."),s_dir!AT16*1000)))))))),".")</f>
        <v>22.036278646961406</v>
      </c>
      <c r="BU16" s="76">
        <f>IFERROR(IF(AND(s_Irr!T16&lt;&gt;".",s_Irr!AS16&lt;&gt;".",s_Irr!BR16&lt;&gt;"."),s_dir!AU16/((1/1000)*(s_Irr!T16+s_Irr!AS16+s_Irr!BR16)),IF(AND(s_Irr!T16&lt;&gt;".",s_Irr!AS16&lt;&gt;".",s_Irr!BR16="."),s_dir!AU16/((1/1000)*(s_Irr!T16+s_Irr!AS16)),IF(AND(s_Irr!T16&lt;&gt;".",s_Irr!AS16=".",s_Irr!BR16&lt;&gt;"."),s_dir!AU16/((1/1000)*(s_Irr!T16+s_Irr!BR16)),IF(AND(s_Irr!T16=".",s_Irr!AS16&lt;&gt;".",s_Irr!BR16&lt;&gt;"."),s_dir!AU16/((1/1000)*(s_Irr!AS16+s_Irr!BR16)),IF(AND(s_Irr!T16=".",s_Irr!AS16=".",s_Irr!BR16&lt;&gt;"."),s_dir!AU16/((1/1000)*(s_Irr!BR16)),IF(AND(s_Irr!T16=".",s_Irr!AS16&lt;&gt;".",s_Irr!BR16="."),s_dir!AU16/((1/1000)*(s_Irr!AS16)),IF(AND(s_Irr!T16&lt;&gt;".",s_Irr!AS16=".",s_Irr!BR16="."),s_dir!AU16/((1/1000)*(s_Irr!T16)),IF(AND(s_Irr!T16=".",s_Irr!AS16=".",s_Irr!BR16="."),s_dir!AU16*1000)))))))),".")</f>
        <v>19.142517297260142</v>
      </c>
      <c r="BV16" s="76">
        <f>IFERROR(IF(AND(s_Irr!U16&lt;&gt;".",s_Irr!AT16&lt;&gt;".",s_Irr!BS16&lt;&gt;"."),s_dir!AV16/((1/1000)*(s_Irr!U16+s_Irr!AT16+s_Irr!BS16)),IF(AND(s_Irr!U16&lt;&gt;".",s_Irr!AT16&lt;&gt;".",s_Irr!BS16="."),s_dir!AV16/((1/1000)*(s_Irr!U16+s_Irr!AT16)),IF(AND(s_Irr!U16&lt;&gt;".",s_Irr!AT16=".",s_Irr!BS16&lt;&gt;"."),s_dir!AV16/((1/1000)*(s_Irr!U16+s_Irr!BS16)),IF(AND(s_Irr!U16=".",s_Irr!AT16&lt;&gt;".",s_Irr!BS16&lt;&gt;"."),s_dir!AV16/((1/1000)*(s_Irr!AT16+s_Irr!BS16)),IF(AND(s_Irr!U16=".",s_Irr!AT16=".",s_Irr!BS16&lt;&gt;"."),s_dir!AV16/((1/1000)*(s_Irr!BS16)),IF(AND(s_Irr!U16=".",s_Irr!AT16&lt;&gt;".",s_Irr!BS16="."),s_dir!AV16/((1/1000)*(s_Irr!AT16)),IF(AND(s_Irr!U16&lt;&gt;".",s_Irr!AT16=".",s_Irr!BS16="."),s_dir!AV16/((1/1000)*(s_Irr!U16)),IF(AND(s_Irr!U16=".",s_Irr!AT16=".",s_Irr!BS16="."),s_dir!AV16*1000)))))))),".")</f>
        <v>23.423437357766364</v>
      </c>
      <c r="BW16" s="76">
        <f>IFERROR(IF(AND(s_Irr!V16&lt;&gt;".",s_Irr!AU16&lt;&gt;".",s_Irr!BT16&lt;&gt;"."),s_dir!AW16/((1/1000)*(s_Irr!V16+s_Irr!AU16+s_Irr!BT16)),IF(AND(s_Irr!V16&lt;&gt;".",s_Irr!AU16&lt;&gt;".",s_Irr!BT16="."),s_dir!AW16/((1/1000)*(s_Irr!V16+s_Irr!AU16)),IF(AND(s_Irr!V16&lt;&gt;".",s_Irr!AU16=".",s_Irr!BT16&lt;&gt;"."),s_dir!AW16/((1/1000)*(s_Irr!V16+s_Irr!BT16)),IF(AND(s_Irr!V16=".",s_Irr!AU16&lt;&gt;".",s_Irr!BT16&lt;&gt;"."),s_dir!AW16/((1/1000)*(s_Irr!AU16+s_Irr!BT16)),IF(AND(s_Irr!V16=".",s_Irr!AU16=".",s_Irr!BT16&lt;&gt;"."),s_dir!AW16/((1/1000)*(s_Irr!BT16)),IF(AND(s_Irr!V16=".",s_Irr!AU16&lt;&gt;".",s_Irr!BT16="."),s_dir!AW16/((1/1000)*(s_Irr!AU16)),IF(AND(s_Irr!V16&lt;&gt;".",s_Irr!AU16=".",s_Irr!BT16="."),s_dir!AW16/((1/1000)*(s_Irr!V16)),IF(AND(s_Irr!V16=".",s_Irr!AU16=".",s_Irr!BT16="."),s_dir!AW16*1000)))))))),".")</f>
        <v>19.142517297260142</v>
      </c>
      <c r="BX16" s="76">
        <f>IFERROR(IF(AND(s_Irr!W16&lt;&gt;".",s_Irr!AV16&lt;&gt;".",s_Irr!BU16&lt;&gt;"."),s_dir!AX16/((1/1000)*(s_Irr!W16+s_Irr!AV16+s_Irr!BU16)),IF(AND(s_Irr!W16&lt;&gt;".",s_Irr!AV16&lt;&gt;".",s_Irr!BU16="."),s_dir!AX16/((1/1000)*(s_Irr!W16+s_Irr!AV16)),IF(AND(s_Irr!W16&lt;&gt;".",s_Irr!AV16=".",s_Irr!BU16&lt;&gt;"."),s_dir!AX16/((1/1000)*(s_Irr!W16+s_Irr!BU16)),IF(AND(s_Irr!W16=".",s_Irr!AV16&lt;&gt;".",s_Irr!BU16&lt;&gt;"."),s_dir!AX16/((1/1000)*(s_Irr!AV16+s_Irr!BU16)),IF(AND(s_Irr!W16=".",s_Irr!AV16=".",s_Irr!BU16&lt;&gt;"."),s_dir!AX16/((1/1000)*(s_Irr!BU16)),IF(AND(s_Irr!W16=".",s_Irr!AV16&lt;&gt;".",s_Irr!BU16="."),s_dir!AX16/((1/1000)*(s_Irr!AV16)),IF(AND(s_Irr!W16&lt;&gt;".",s_Irr!AV16=".",s_Irr!BU16="."),s_dir!AX16/((1/1000)*(s_Irr!W16)),IF(AND(s_Irr!W16=".",s_Irr!AV16=".",s_Irr!BU16="."),s_dir!AX16*1000)))))))),".")</f>
        <v>22.036278646961406</v>
      </c>
      <c r="BY16" s="76">
        <f>IFERROR(IF(AND(s_Irr!X16&lt;&gt;".",s_Irr!AW16&lt;&gt;".",s_Irr!BV16&lt;&gt;"."),s_dir!AY16/((1/1000)*(s_Irr!X16+s_Irr!AW16+s_Irr!BV16)),IF(AND(s_Irr!X16&lt;&gt;".",s_Irr!AW16&lt;&gt;".",s_Irr!BV16="."),s_dir!AY16/((1/1000)*(s_Irr!X16+s_Irr!AW16)),IF(AND(s_Irr!X16&lt;&gt;".",s_Irr!AW16=".",s_Irr!BV16&lt;&gt;"."),s_dir!AY16/((1/1000)*(s_Irr!X16+s_Irr!BV16)),IF(AND(s_Irr!X16=".",s_Irr!AW16&lt;&gt;".",s_Irr!BV16&lt;&gt;"."),s_dir!AY16/((1/1000)*(s_Irr!AW16+s_Irr!BV16)),IF(AND(s_Irr!X16=".",s_Irr!AW16=".",s_Irr!BV16&lt;&gt;"."),s_dir!AY16/((1/1000)*(s_Irr!BV16)),IF(AND(s_Irr!X16=".",s_Irr!AW16&lt;&gt;".",s_Irr!BV16="."),s_dir!AY16/((1/1000)*(s_Irr!AW16)),IF(AND(s_Irr!X16&lt;&gt;".",s_Irr!AW16=".",s_Irr!BV16="."),s_dir!AY16/((1/1000)*(s_Irr!X16)),IF(AND(s_Irr!X16=".",s_Irr!AW16=".",s_Irr!BV16="."),s_dir!AY16*1000)))))))),".")</f>
        <v>20.532346082725525</v>
      </c>
      <c r="BZ16" s="76">
        <f>IFERROR(IF(AND(s_Irr!Y16&lt;&gt;".",s_Irr!AX16&lt;&gt;".",s_Irr!BW16&lt;&gt;"."),s_dir!AZ16/((1/1000)*(s_Irr!Y16+s_Irr!AX16+s_Irr!BW16)),IF(AND(s_Irr!Y16&lt;&gt;".",s_Irr!AX16&lt;&gt;".",s_Irr!BW16="."),s_dir!AZ16/((1/1000)*(s_Irr!Y16+s_Irr!AX16)),IF(AND(s_Irr!Y16&lt;&gt;".",s_Irr!AX16=".",s_Irr!BW16&lt;&gt;"."),s_dir!AZ16/((1/1000)*(s_Irr!Y16+s_Irr!BW16)),IF(AND(s_Irr!Y16=".",s_Irr!AX16&lt;&gt;".",s_Irr!BW16&lt;&gt;"."),s_dir!AZ16/((1/1000)*(s_Irr!AX16+s_Irr!BW16)),IF(AND(s_Irr!Y16=".",s_Irr!AX16=".",s_Irr!BW16&lt;&gt;"."),s_dir!AZ16/((1/1000)*(s_Irr!BW16)),IF(AND(s_Irr!Y16=".",s_Irr!AX16&lt;&gt;".",s_Irr!BW16="."),s_dir!AZ16/((1/1000)*(s_Irr!AX16)),IF(AND(s_Irr!Y16&lt;&gt;".",s_Irr!AX16=".",s_Irr!BW16="."),s_dir!AZ16/((1/1000)*(s_Irr!Y16)),IF(AND(s_Irr!Y16=".",s_Irr!AX16=".",s_Irr!BW16="."),s_dir!AZ16*1000)))))))),".")</f>
        <v>19.142517297260142</v>
      </c>
      <c r="CA16" s="76">
        <f>IFERROR(IF(AND(s_Irr!Z16&lt;&gt;".",s_Irr!AY16&lt;&gt;".",s_Irr!BX16&lt;&gt;"."),s_dir!BA16/((1/1000)*(s_Irr!Z16+s_Irr!AY16+s_Irr!BX16)),IF(AND(s_Irr!Z16&lt;&gt;".",s_Irr!AY16&lt;&gt;".",s_Irr!BX16="."),s_dir!BA16/((1/1000)*(s_Irr!Z16+s_Irr!AY16)),IF(AND(s_Irr!Z16&lt;&gt;".",s_Irr!AY16=".",s_Irr!BX16&lt;&gt;"."),s_dir!BA16/((1/1000)*(s_Irr!Z16+s_Irr!BX16)),IF(AND(s_Irr!Z16=".",s_Irr!AY16&lt;&gt;".",s_Irr!BX16&lt;&gt;"."),s_dir!BA16/((1/1000)*(s_Irr!AY16+s_Irr!BX16)),IF(AND(s_Irr!Z16=".",s_Irr!AY16=".",s_Irr!BX16&lt;&gt;"."),s_dir!BA16/((1/1000)*(s_Irr!BX16)),IF(AND(s_Irr!Z16=".",s_Irr!AY16&lt;&gt;".",s_Irr!BX16="."),s_dir!BA16/((1/1000)*(s_Irr!AY16)),IF(AND(s_Irr!Z16&lt;&gt;".",s_Irr!AY16=".",s_Irr!BX16="."),s_dir!BA16/((1/1000)*(s_Irr!Z16)),IF(AND(s_Irr!Z16=".",s_Irr!AY16=".",s_Irr!BX16="."),s_dir!BA16*1000)))))))),".")</f>
        <v>23.902545808198653</v>
      </c>
      <c r="CB16" s="76">
        <f>IFERROR(IF(AND(s_Irr!AA16&lt;&gt;".",s_Irr!AZ16&lt;&gt;".",s_Irr!BY16&lt;&gt;"."),s_dir!BB16/((1/1000)*(s_Irr!AA16+s_Irr!AZ16+s_Irr!BY16)),IF(AND(s_Irr!AA16&lt;&gt;".",s_Irr!AZ16&lt;&gt;".",s_Irr!BY16="."),s_dir!BB16/((1/1000)*(s_Irr!AA16+s_Irr!AZ16)),IF(AND(s_Irr!AA16&lt;&gt;".",s_Irr!AZ16=".",s_Irr!BY16&lt;&gt;"."),s_dir!BB16/((1/1000)*(s_Irr!AA16+s_Irr!BY16)),IF(AND(s_Irr!AA16=".",s_Irr!AZ16&lt;&gt;".",s_Irr!BY16&lt;&gt;"."),s_dir!BB16/((1/1000)*(s_Irr!AZ16+s_Irr!BY16)),IF(AND(s_Irr!AA16=".",s_Irr!AZ16=".",s_Irr!BY16&lt;&gt;"."),s_dir!BB16/((1/1000)*(s_Irr!BY16)),IF(AND(s_Irr!AA16=".",s_Irr!AZ16&lt;&gt;".",s_Irr!BY16="."),s_dir!BB16/((1/1000)*(s_Irr!AZ16)),IF(AND(s_Irr!AA16&lt;&gt;".",s_Irr!AZ16=".",s_Irr!BY16="."),s_dir!BB16/((1/1000)*(s_Irr!AA16)),IF(AND(s_Irr!AA16=".",s_Irr!AZ16=".",s_Irr!BY16="."),s_dir!BB16*1000)))))))),".")</f>
        <v>20.238466208172014</v>
      </c>
      <c r="CC16" s="93">
        <f t="shared" si="2"/>
        <v>8167.2097807406062</v>
      </c>
      <c r="CD16" s="93">
        <f>IFERROR(s_C*s_IFAP_far_adj*s_CF_apple*(1/1000)*(s_Irr!C16+s_Irr!AB16+s_Irr!BA16),".")</f>
        <v>2069.677052148757</v>
      </c>
      <c r="CE16" s="93">
        <f>IFERROR(s_C*s_IFAS_far_adj*s_CF_asparagus*(1/1000)*(s_Irr!D16+s_Irr!AC16+s_Irr!BB16),".")</f>
        <v>4173.4209739302823</v>
      </c>
      <c r="CF16" s="93">
        <f>IFERROR(s_C*s_IFBT_far_adj*s_CF_beet*(1/1000)*(s_Irr!E16+s_Irr!AD16+s_Irr!BC16),".")</f>
        <v>2219.9444751331516</v>
      </c>
      <c r="CG16" s="93">
        <f>IFERROR(s_C*s_IFBE_far_adj*s_CF_berries*(1/1000)*(s_Irr!F16+s_Irr!AE16+s_Irr!BD16),".")</f>
        <v>2069.677052148757</v>
      </c>
      <c r="CH16" s="93">
        <f>IFERROR(s_C*s_IFBR_far_adj*s_CF_broccoli*(1/1000)*(s_Irr!G16+s_Irr!AF16+s_Irr!BE16),".")</f>
        <v>2219.9444751331516</v>
      </c>
      <c r="CI16" s="93">
        <f>IFERROR(s_C*s_IFCB_far_adj*s_CF_cabbage*(1/1000)*(s_Irr!H16+s_Irr!AG16+s_Irr!BF16),".")</f>
        <v>4173.4209739302823</v>
      </c>
      <c r="CJ16" s="93">
        <f>IFERROR(s_C*s_IFCR_far_adj*s_CF_carrot*(1/1000)*(s_Irr!I16+s_Irr!AH16+s_Irr!BG16),".")</f>
        <v>2219.9444751331516</v>
      </c>
      <c r="CK16" s="93">
        <f>IFERROR(s_C*s_IFCI_far_adj*s_CF_citrus*(1/1000)*(s_Irr!J16+s_Irr!AI16+s_Irr!BH16),".")</f>
        <v>2069.677052148757</v>
      </c>
      <c r="CL16" s="93">
        <f>IFERROR(s_C*s_IFCO_far_adj*s_CF_corn*(1/1000)*(s_Irr!K16+s_Irr!AJ16+s_Irr!BI16),".")</f>
        <v>1805.2063876962222</v>
      </c>
      <c r="CM16" s="93">
        <f>IFERROR(s_C*s_IFCU_far_adj*s_CF_cucumber*(1/1000)*(s_Irr!L16+s_Irr!AK16+s_Irr!BJ16),".")</f>
        <v>2219.9444751331516</v>
      </c>
      <c r="CN16" s="93">
        <f>IFERROR(s_C*s_IFLE_far_adj*s_CF_lettuce*(1/1000)*(s_Irr!M16+s_Irr!AL16+s_Irr!BK16),".")</f>
        <v>4173.4209739302823</v>
      </c>
      <c r="CO16" s="93">
        <f>IFERROR(s_C*s_IFLI_far_adj*s_CF_lima_bean*(1/1000)*(s_Irr!N16+s_Irr!AM16+s_Irr!BL16),".")</f>
        <v>1928.4256745434257</v>
      </c>
      <c r="CP16" s="93">
        <f>IFERROR(s_C*s_IFOK_far_adj*s_CF_okra*(1/1000)*(s_Irr!O16+s_Irr!AN16+s_Irr!BM16),".")</f>
        <v>2219.9444751331516</v>
      </c>
      <c r="CQ16" s="93">
        <f>IFERROR(s_C*s_IFON_far_adj*s_CF_onion*(1/1000)*(s_Irr!P16+s_Irr!AO16+s_Irr!BN16),".")</f>
        <v>2219.9444751331516</v>
      </c>
      <c r="CR16" s="93">
        <f>IFERROR(s_C*s_IFPC_far_adj*s_CF_peach*(1/1000)*(s_Irr!Q16+s_Irr!AP16+s_Irr!BO16),".")</f>
        <v>2069.677052148757</v>
      </c>
      <c r="CS16" s="93">
        <f>IFERROR(s_C*s_IFPR_far_adj*s_CF_pear*(1/1000)*(s_Irr!R16+s_Irr!AQ16+s_Irr!BP16),".")</f>
        <v>2069.677052148757</v>
      </c>
      <c r="CT16" s="93">
        <f>IFERROR(s_C*s_IFPE_far_adj*s_CF_peas*(1/1000)*(s_Irr!S16+s_Irr!AR16+s_Irr!BQ16),".")</f>
        <v>1928.4256745434257</v>
      </c>
      <c r="CU16" s="93">
        <f>IFERROR(s_C*s_IFPP_far_adj*s_CF_peppers*(1/1000)*(s_Irr!T16+s_Irr!AS16+s_Irr!BR16),".")</f>
        <v>2219.9444751331516</v>
      </c>
      <c r="CV16" s="93">
        <f>IFERROR(s_C*s_IFPT_far_adj*s_CF_potato*(1/1000)*(s_Irr!U16+s_Irr!AT16+s_Irr!BS16),".")</f>
        <v>1814.2224330752858</v>
      </c>
      <c r="CW16" s="93">
        <f>IFERROR(s_C*s_IFPU_far_adj*s_CF_pumpkin*(1/1000)*(s_Irr!V16+s_Irr!AU16+s_Irr!BT16),".")</f>
        <v>2219.9444751331516</v>
      </c>
      <c r="CX16" s="93">
        <f>IFERROR(s_C*s_IFSN_far_adj*s_CF_snap_bean*(1/1000)*(s_Irr!W16+s_Irr!AV16+s_Irr!BU16),".")</f>
        <v>1928.4256745434257</v>
      </c>
      <c r="CY16" s="93">
        <f>IFERROR(s_C*s_IFST_far_adj*s_CF_strawberry*(1/1000)*(s_Irr!X16+s_Irr!AW16+s_Irr!BV16),".")</f>
        <v>2069.677052148757</v>
      </c>
      <c r="CZ16" s="93">
        <f>IFERROR(s_C*s_IFTO_far_adj*s_CF_tomato*(1/1000)*(s_Irr!Y16+s_Irr!AX16+s_Irr!BW16),".")</f>
        <v>2219.9444751331516</v>
      </c>
      <c r="DA16" s="93">
        <f>IFERROR(s_C*s_IFRI_far_adj*s_CF_rice*(1/1000)*(s_Irr!Z16+s_Irr!AY16+s_Irr!BX16),".")</f>
        <v>1777.8577167130622</v>
      </c>
      <c r="DB16" s="93">
        <f>IFERROR(s_C*s_IFCG_far_adj*s_CF_cereal*(1/1000)*(s_Irr!AA16+s_Irr!AZ16+s_Irr!BY16),".")</f>
        <v>2099.7305367456356</v>
      </c>
    </row>
    <row r="17" spans="1:106" ht="15" customHeight="1" x14ac:dyDescent="0.25">
      <c r="A17" s="92" t="s">
        <v>27</v>
      </c>
      <c r="B17" s="90" t="s">
        <v>1071</v>
      </c>
      <c r="C17" s="15">
        <f t="shared" si="3"/>
        <v>12630.579411522811</v>
      </c>
      <c r="D17" s="76">
        <f>IFERROR(IF(AND(s_Irr!C17&lt;&gt;".",s_Irr!AB17&lt;&gt;".",s_Irr!BA17&lt;&gt;"."),s_dir!D17/((1/1000)*(s_Irr!C17+s_Irr!AB17+s_Irr!BA17)),IF(AND(s_Irr!C17&lt;&gt;".",s_Irr!AB17&lt;&gt;".",s_Irr!BA17="."),s_dir!D17/((1/1000)*(s_Irr!C17+s_Irr!AB17)),IF(AND(s_Irr!C17&lt;&gt;".",s_Irr!AB17=".",s_Irr!BA17&lt;&gt;"."),s_dir!D17/((1/1000)*(s_Irr!C17+s_Irr!BA17)),IF(AND(s_Irr!C17=".",s_Irr!AB17&lt;&gt;".",s_Irr!BA17&lt;&gt;"."),s_dir!D17/((1/1000)*(s_Irr!AB17+s_Irr!BA17)),IF(AND(s_Irr!C17=".",s_Irr!AB17=".",s_Irr!BA17&lt;&gt;"."),s_dir!D17/((1/1000)*(s_Irr!BA17)),IF(AND(s_Irr!C17=".",s_Irr!AB17&lt;&gt;".",s_Irr!BA17="."),s_dir!D17/((1/1000)*(s_Irr!AB17)),IF(AND(s_Irr!C17&lt;&gt;".",s_Irr!AB17=".",s_Irr!BA17="."),s_dir!D17/((1/1000)*(s_Irr!C17)),IF(AND(s_Irr!C17=".",s_Irr!AB17=".",s_Irr!BA17="."),s_dir!D17*1000)))))))),".")</f>
        <v>49841.878277150514</v>
      </c>
      <c r="E17" s="76">
        <f>IFERROR(IF(AND(s_Irr!D17&lt;&gt;".",s_Irr!AC17&lt;&gt;".",s_Irr!BB17&lt;&gt;"."),s_dir!E17/((1/1000)*(s_Irr!D17+s_Irr!AC17+s_Irr!BB17)),IF(AND(s_Irr!D17&lt;&gt;".",s_Irr!AC17&lt;&gt;".",s_Irr!BB17="."),s_dir!E17/((1/1000)*(s_Irr!D17+s_Irr!AC17)),IF(AND(s_Irr!D17&lt;&gt;".",s_Irr!AC17=".",s_Irr!BB17&lt;&gt;"."),s_dir!E17/((1/1000)*(s_Irr!D17+s_Irr!BB17)),IF(AND(s_Irr!D17=".",s_Irr!AC17&lt;&gt;".",s_Irr!BB17&lt;&gt;"."),s_dir!E17/((1/1000)*(s_Irr!AC17+s_Irr!BB17)),IF(AND(s_Irr!D17=".",s_Irr!AC17=".",s_Irr!BB17&lt;&gt;"."),s_dir!E17/((1/1000)*(s_Irr!BB17)),IF(AND(s_Irr!D17=".",s_Irr!AC17&lt;&gt;".",s_Irr!BB17="."),s_dir!E17/((1/1000)*(s_Irr!AC17)),IF(AND(s_Irr!D17&lt;&gt;".",s_Irr!AC17=".",s_Irr!BB17="."),s_dir!E17/((1/1000)*(s_Irr!D17)),IF(AND(s_Irr!D17=".",s_Irr!AC17=".",s_Irr!BB17="."),s_dir!E17*1000)))))))),".")</f>
        <v>24717.514085108745</v>
      </c>
      <c r="F17" s="76">
        <f>IFERROR(IF(AND(s_Irr!E17&lt;&gt;".",s_Irr!AD17&lt;&gt;".",s_Irr!BC17&lt;&gt;"."),s_dir!F17/((1/1000)*(s_Irr!E17+s_Irr!AD17+s_Irr!BC17)),IF(AND(s_Irr!E17&lt;&gt;".",s_Irr!AD17&lt;&gt;".",s_Irr!BC17="."),s_dir!F17/((1/1000)*(s_Irr!E17+s_Irr!AD17)),IF(AND(s_Irr!E17&lt;&gt;".",s_Irr!AD17=".",s_Irr!BC17&lt;&gt;"."),s_dir!F17/((1/1000)*(s_Irr!E17+s_Irr!BC17)),IF(AND(s_Irr!E17=".",s_Irr!AD17&lt;&gt;".",s_Irr!BC17&lt;&gt;"."),s_dir!F17/((1/1000)*(s_Irr!AD17+s_Irr!BC17)),IF(AND(s_Irr!E17=".",s_Irr!AD17=".",s_Irr!BC17&lt;&gt;"."),s_dir!F17/((1/1000)*(s_Irr!BC17)),IF(AND(s_Irr!E17=".",s_Irr!AD17&lt;&gt;".",s_Irr!BC17="."),s_dir!F17/((1/1000)*(s_Irr!AD17)),IF(AND(s_Irr!E17&lt;&gt;".",s_Irr!AD17=".",s_Irr!BC17="."),s_dir!F17/((1/1000)*(s_Irr!E17)),IF(AND(s_Irr!E17=".",s_Irr!AD17=".",s_Irr!BC17="."),s_dir!F17*1000)))))))),".")</f>
        <v>46468.095423883395</v>
      </c>
      <c r="G17" s="76">
        <f>IFERROR(IF(AND(s_Irr!F17&lt;&gt;".",s_Irr!AE17&lt;&gt;".",s_Irr!BD17&lt;&gt;"."),s_dir!G17/((1/1000)*(s_Irr!F17+s_Irr!AE17+s_Irr!BD17)),IF(AND(s_Irr!F17&lt;&gt;".",s_Irr!AE17&lt;&gt;".",s_Irr!BD17="."),s_dir!G17/((1/1000)*(s_Irr!F17+s_Irr!AE17)),IF(AND(s_Irr!F17&lt;&gt;".",s_Irr!AE17=".",s_Irr!BD17&lt;&gt;"."),s_dir!G17/((1/1000)*(s_Irr!F17+s_Irr!BD17)),IF(AND(s_Irr!F17=".",s_Irr!AE17&lt;&gt;".",s_Irr!BD17&lt;&gt;"."),s_dir!G17/((1/1000)*(s_Irr!AE17+s_Irr!BD17)),IF(AND(s_Irr!F17=".",s_Irr!AE17=".",s_Irr!BD17&lt;&gt;"."),s_dir!G17/((1/1000)*(s_Irr!BD17)),IF(AND(s_Irr!F17=".",s_Irr!AE17&lt;&gt;".",s_Irr!BD17="."),s_dir!G17/((1/1000)*(s_Irr!AE17)),IF(AND(s_Irr!F17&lt;&gt;".",s_Irr!AE17=".",s_Irr!BD17="."),s_dir!G17/((1/1000)*(s_Irr!F17)),IF(AND(s_Irr!F17=".",s_Irr!AE17=".",s_Irr!BD17="."),s_dir!G17*1000)))))))),".")</f>
        <v>49841.878277150514</v>
      </c>
      <c r="H17" s="76">
        <f>IFERROR(IF(AND(s_Irr!G17&lt;&gt;".",s_Irr!AF17&lt;&gt;".",s_Irr!BE17&lt;&gt;"."),s_dir!H17/((1/1000)*(s_Irr!G17+s_Irr!AF17+s_Irr!BE17)),IF(AND(s_Irr!G17&lt;&gt;".",s_Irr!AF17&lt;&gt;".",s_Irr!BE17="."),s_dir!H17/((1/1000)*(s_Irr!G17+s_Irr!AF17)),IF(AND(s_Irr!G17&lt;&gt;".",s_Irr!AF17=".",s_Irr!BE17&lt;&gt;"."),s_dir!H17/((1/1000)*(s_Irr!G17+s_Irr!BE17)),IF(AND(s_Irr!G17=".",s_Irr!AF17&lt;&gt;".",s_Irr!BE17&lt;&gt;"."),s_dir!H17/((1/1000)*(s_Irr!AF17+s_Irr!BE17)),IF(AND(s_Irr!G17=".",s_Irr!AF17=".",s_Irr!BE17&lt;&gt;"."),s_dir!H17/((1/1000)*(s_Irr!BE17)),IF(AND(s_Irr!G17=".",s_Irr!AF17&lt;&gt;".",s_Irr!BE17="."),s_dir!H17/((1/1000)*(s_Irr!AF17)),IF(AND(s_Irr!G17&lt;&gt;".",s_Irr!AF17=".",s_Irr!BE17="."),s_dir!H17/((1/1000)*(s_Irr!G17)),IF(AND(s_Irr!G17=".",s_Irr!AF17=".",s_Irr!BE17="."),s_dir!H17*1000)))))))),".")</f>
        <v>46468.095423883395</v>
      </c>
      <c r="I17" s="76">
        <f>IFERROR(IF(AND(s_Irr!H17&lt;&gt;".",s_Irr!AG17&lt;&gt;".",s_Irr!BF17&lt;&gt;"."),s_dir!I17/((1/1000)*(s_Irr!H17+s_Irr!AG17+s_Irr!BF17)),IF(AND(s_Irr!H17&lt;&gt;".",s_Irr!AG17&lt;&gt;".",s_Irr!BF17="."),s_dir!I17/((1/1000)*(s_Irr!H17+s_Irr!AG17)),IF(AND(s_Irr!H17&lt;&gt;".",s_Irr!AG17=".",s_Irr!BF17&lt;&gt;"."),s_dir!I17/((1/1000)*(s_Irr!H17+s_Irr!BF17)),IF(AND(s_Irr!H17=".",s_Irr!AG17&lt;&gt;".",s_Irr!BF17&lt;&gt;"."),s_dir!I17/((1/1000)*(s_Irr!AG17+s_Irr!BF17)),IF(AND(s_Irr!H17=".",s_Irr!AG17=".",s_Irr!BF17&lt;&gt;"."),s_dir!I17/((1/1000)*(s_Irr!BF17)),IF(AND(s_Irr!H17=".",s_Irr!AG17&lt;&gt;".",s_Irr!BF17="."),s_dir!I17/((1/1000)*(s_Irr!AG17)),IF(AND(s_Irr!H17&lt;&gt;".",s_Irr!AG17=".",s_Irr!BF17="."),s_dir!I17/((1/1000)*(s_Irr!H17)),IF(AND(s_Irr!H17=".",s_Irr!AG17=".",s_Irr!BF17="."),s_dir!I17*1000)))))))),".")</f>
        <v>24717.514085108745</v>
      </c>
      <c r="J17" s="76">
        <f>IFERROR(IF(AND(s_Irr!I17&lt;&gt;".",s_Irr!AH17&lt;&gt;".",s_Irr!BG17&lt;&gt;"."),s_dir!J17/((1/1000)*(s_Irr!I17+s_Irr!AH17+s_Irr!BG17)),IF(AND(s_Irr!I17&lt;&gt;".",s_Irr!AH17&lt;&gt;".",s_Irr!BG17="."),s_dir!J17/((1/1000)*(s_Irr!I17+s_Irr!AH17)),IF(AND(s_Irr!I17&lt;&gt;".",s_Irr!AH17=".",s_Irr!BG17&lt;&gt;"."),s_dir!J17/((1/1000)*(s_Irr!I17+s_Irr!BG17)),IF(AND(s_Irr!I17=".",s_Irr!AH17&lt;&gt;".",s_Irr!BG17&lt;&gt;"."),s_dir!J17/((1/1000)*(s_Irr!AH17+s_Irr!BG17)),IF(AND(s_Irr!I17=".",s_Irr!AH17=".",s_Irr!BG17&lt;&gt;"."),s_dir!J17/((1/1000)*(s_Irr!BG17)),IF(AND(s_Irr!I17=".",s_Irr!AH17&lt;&gt;".",s_Irr!BG17="."),s_dir!J17/((1/1000)*(s_Irr!AH17)),IF(AND(s_Irr!I17&lt;&gt;".",s_Irr!AH17=".",s_Irr!BG17="."),s_dir!J17/((1/1000)*(s_Irr!I17)),IF(AND(s_Irr!I17=".",s_Irr!AH17=".",s_Irr!BG17="."),s_dir!J17*1000)))))))),".")</f>
        <v>46468.095423883395</v>
      </c>
      <c r="K17" s="76">
        <f>IFERROR(IF(AND(s_Irr!J17&lt;&gt;".",s_Irr!AI17&lt;&gt;".",s_Irr!BH17&lt;&gt;"."),s_dir!K17/((1/1000)*(s_Irr!J17+s_Irr!AI17+s_Irr!BH17)),IF(AND(s_Irr!J17&lt;&gt;".",s_Irr!AI17&lt;&gt;".",s_Irr!BH17="."),s_dir!K17/((1/1000)*(s_Irr!J17+s_Irr!AI17)),IF(AND(s_Irr!J17&lt;&gt;".",s_Irr!AI17=".",s_Irr!BH17&lt;&gt;"."),s_dir!K17/((1/1000)*(s_Irr!J17+s_Irr!BH17)),IF(AND(s_Irr!J17=".",s_Irr!AI17&lt;&gt;".",s_Irr!BH17&lt;&gt;"."),s_dir!K17/((1/1000)*(s_Irr!AI17+s_Irr!BH17)),IF(AND(s_Irr!J17=".",s_Irr!AI17=".",s_Irr!BH17&lt;&gt;"."),s_dir!K17/((1/1000)*(s_Irr!BH17)),IF(AND(s_Irr!J17=".",s_Irr!AI17&lt;&gt;".",s_Irr!BH17="."),s_dir!K17/((1/1000)*(s_Irr!AI17)),IF(AND(s_Irr!J17&lt;&gt;".",s_Irr!AI17=".",s_Irr!BH17="."),s_dir!K17/((1/1000)*(s_Irr!J17)),IF(AND(s_Irr!J17=".",s_Irr!AI17=".",s_Irr!BH17="."),s_dir!K17*1000)))))))),".")</f>
        <v>49841.878277150514</v>
      </c>
      <c r="L17" s="76">
        <f>IFERROR(IF(AND(s_Irr!K17&lt;&gt;".",s_Irr!AJ17&lt;&gt;".",s_Irr!BI17&lt;&gt;"."),s_dir!L17/((1/1000)*(s_Irr!K17+s_Irr!AJ17+s_Irr!BI17)),IF(AND(s_Irr!K17&lt;&gt;".",s_Irr!AJ17&lt;&gt;".",s_Irr!BI17="."),s_dir!L17/((1/1000)*(s_Irr!K17+s_Irr!AJ17)),IF(AND(s_Irr!K17&lt;&gt;".",s_Irr!AJ17=".",s_Irr!BI17&lt;&gt;"."),s_dir!L17/((1/1000)*(s_Irr!K17+s_Irr!BI17)),IF(AND(s_Irr!K17=".",s_Irr!AJ17&lt;&gt;".",s_Irr!BI17&lt;&gt;"."),s_dir!L17/((1/1000)*(s_Irr!AJ17+s_Irr!BI17)),IF(AND(s_Irr!K17=".",s_Irr!AJ17=".",s_Irr!BI17&lt;&gt;"."),s_dir!L17/((1/1000)*(s_Irr!BI17)),IF(AND(s_Irr!K17=".",s_Irr!AJ17&lt;&gt;".",s_Irr!BI17="."),s_dir!L17/((1/1000)*(s_Irr!AJ17)),IF(AND(s_Irr!K17&lt;&gt;".",s_Irr!AJ17=".",s_Irr!BI17="."),s_dir!L17/((1/1000)*(s_Irr!K17)),IF(AND(s_Irr!K17=".",s_Irr!AJ17=".",s_Irr!BI17="."),s_dir!L17*1000)))))))),".")</f>
        <v>57143.932355489254</v>
      </c>
      <c r="M17" s="76">
        <f>IFERROR(IF(AND(s_Irr!L17&lt;&gt;".",s_Irr!AK17&lt;&gt;".",s_Irr!BJ17&lt;&gt;"."),s_dir!M17/((1/1000)*(s_Irr!L17+s_Irr!AK17+s_Irr!BJ17)),IF(AND(s_Irr!L17&lt;&gt;".",s_Irr!AK17&lt;&gt;".",s_Irr!BJ17="."),s_dir!M17/((1/1000)*(s_Irr!L17+s_Irr!AK17)),IF(AND(s_Irr!L17&lt;&gt;".",s_Irr!AK17=".",s_Irr!BJ17&lt;&gt;"."),s_dir!M17/((1/1000)*(s_Irr!L17+s_Irr!BJ17)),IF(AND(s_Irr!L17=".",s_Irr!AK17&lt;&gt;".",s_Irr!BJ17&lt;&gt;"."),s_dir!M17/((1/1000)*(s_Irr!AK17+s_Irr!BJ17)),IF(AND(s_Irr!L17=".",s_Irr!AK17=".",s_Irr!BJ17&lt;&gt;"."),s_dir!M17/((1/1000)*(s_Irr!BJ17)),IF(AND(s_Irr!L17=".",s_Irr!AK17&lt;&gt;".",s_Irr!BJ17="."),s_dir!M17/((1/1000)*(s_Irr!AK17)),IF(AND(s_Irr!L17&lt;&gt;".",s_Irr!AK17=".",s_Irr!BJ17="."),s_dir!M17/((1/1000)*(s_Irr!L17)),IF(AND(s_Irr!L17=".",s_Irr!AK17=".",s_Irr!BJ17="."),s_dir!M17*1000)))))))),".")</f>
        <v>46468.095423883395</v>
      </c>
      <c r="N17" s="76">
        <f>IFERROR(IF(AND(s_Irr!M17&lt;&gt;".",s_Irr!AL17&lt;&gt;".",s_Irr!BK17&lt;&gt;"."),s_dir!N17/((1/1000)*(s_Irr!M17+s_Irr!AL17+s_Irr!BK17)),IF(AND(s_Irr!M17&lt;&gt;".",s_Irr!AL17&lt;&gt;".",s_Irr!BK17="."),s_dir!N17/((1/1000)*(s_Irr!M17+s_Irr!AL17)),IF(AND(s_Irr!M17&lt;&gt;".",s_Irr!AL17=".",s_Irr!BK17&lt;&gt;"."),s_dir!N17/((1/1000)*(s_Irr!M17+s_Irr!BK17)),IF(AND(s_Irr!M17=".",s_Irr!AL17&lt;&gt;".",s_Irr!BK17&lt;&gt;"."),s_dir!N17/((1/1000)*(s_Irr!AL17+s_Irr!BK17)),IF(AND(s_Irr!M17=".",s_Irr!AL17=".",s_Irr!BK17&lt;&gt;"."),s_dir!N17/((1/1000)*(s_Irr!BK17)),IF(AND(s_Irr!M17=".",s_Irr!AL17&lt;&gt;".",s_Irr!BK17="."),s_dir!N17/((1/1000)*(s_Irr!AL17)),IF(AND(s_Irr!M17&lt;&gt;".",s_Irr!AL17=".",s_Irr!BK17="."),s_dir!N17/((1/1000)*(s_Irr!M17)),IF(AND(s_Irr!M17=".",s_Irr!AL17=".",s_Irr!BK17="."),s_dir!N17*1000)))))))),".")</f>
        <v>24717.514085108745</v>
      </c>
      <c r="O17" s="76">
        <f>IFERROR(IF(AND(s_Irr!N17&lt;&gt;".",s_Irr!AM17&lt;&gt;".",s_Irr!BL17&lt;&gt;"."),s_dir!O17/((1/1000)*(s_Irr!N17+s_Irr!AM17+s_Irr!BL17)),IF(AND(s_Irr!N17&lt;&gt;".",s_Irr!AM17&lt;&gt;".",s_Irr!BL17="."),s_dir!O17/((1/1000)*(s_Irr!N17+s_Irr!AM17)),IF(AND(s_Irr!N17&lt;&gt;".",s_Irr!AM17=".",s_Irr!BL17&lt;&gt;"."),s_dir!O17/((1/1000)*(s_Irr!N17+s_Irr!BL17)),IF(AND(s_Irr!N17=".",s_Irr!AM17&lt;&gt;".",s_Irr!BL17&lt;&gt;"."),s_dir!O17/((1/1000)*(s_Irr!AM17+s_Irr!BL17)),IF(AND(s_Irr!N17=".",s_Irr!AM17=".",s_Irr!BL17&lt;&gt;"."),s_dir!O17/((1/1000)*(s_Irr!BL17)),IF(AND(s_Irr!N17=".",s_Irr!AM17&lt;&gt;".",s_Irr!BL17="."),s_dir!O17/((1/1000)*(s_Irr!AM17)),IF(AND(s_Irr!N17&lt;&gt;".",s_Irr!AM17=".",s_Irr!BL17="."),s_dir!O17/((1/1000)*(s_Irr!N17)),IF(AND(s_Irr!N17=".",s_Irr!AM17=".",s_Irr!BL17="."),s_dir!O17*1000)))))))),".")</f>
        <v>53492.645875829985</v>
      </c>
      <c r="P17" s="76">
        <f>IFERROR(IF(AND(s_Irr!O17&lt;&gt;".",s_Irr!AN17&lt;&gt;".",s_Irr!BM17&lt;&gt;"."),s_dir!P17/((1/1000)*(s_Irr!O17+s_Irr!AN17+s_Irr!BM17)),IF(AND(s_Irr!O17&lt;&gt;".",s_Irr!AN17&lt;&gt;".",s_Irr!BM17="."),s_dir!P17/((1/1000)*(s_Irr!O17+s_Irr!AN17)),IF(AND(s_Irr!O17&lt;&gt;".",s_Irr!AN17=".",s_Irr!BM17&lt;&gt;"."),s_dir!P17/((1/1000)*(s_Irr!O17+s_Irr!BM17)),IF(AND(s_Irr!O17=".",s_Irr!AN17&lt;&gt;".",s_Irr!BM17&lt;&gt;"."),s_dir!P17/((1/1000)*(s_Irr!AN17+s_Irr!BM17)),IF(AND(s_Irr!O17=".",s_Irr!AN17=".",s_Irr!BM17&lt;&gt;"."),s_dir!P17/((1/1000)*(s_Irr!BM17)),IF(AND(s_Irr!O17=".",s_Irr!AN17&lt;&gt;".",s_Irr!BM17="."),s_dir!P17/((1/1000)*(s_Irr!AN17)),IF(AND(s_Irr!O17&lt;&gt;".",s_Irr!AN17=".",s_Irr!BM17="."),s_dir!P17/((1/1000)*(s_Irr!O17)),IF(AND(s_Irr!O17=".",s_Irr!AN17=".",s_Irr!BM17="."),s_dir!P17*1000)))))))),".")</f>
        <v>46468.095423883395</v>
      </c>
      <c r="Q17" s="76">
        <f>IFERROR(IF(AND(s_Irr!P17&lt;&gt;".",s_Irr!AO17&lt;&gt;".",s_Irr!BN17&lt;&gt;"."),s_dir!Q17/((1/1000)*(s_Irr!P17+s_Irr!AO17+s_Irr!BN17)),IF(AND(s_Irr!P17&lt;&gt;".",s_Irr!AO17&lt;&gt;".",s_Irr!BN17="."),s_dir!Q17/((1/1000)*(s_Irr!P17+s_Irr!AO17)),IF(AND(s_Irr!P17&lt;&gt;".",s_Irr!AO17=".",s_Irr!BN17&lt;&gt;"."),s_dir!Q17/((1/1000)*(s_Irr!P17+s_Irr!BN17)),IF(AND(s_Irr!P17=".",s_Irr!AO17&lt;&gt;".",s_Irr!BN17&lt;&gt;"."),s_dir!Q17/((1/1000)*(s_Irr!AO17+s_Irr!BN17)),IF(AND(s_Irr!P17=".",s_Irr!AO17=".",s_Irr!BN17&lt;&gt;"."),s_dir!Q17/((1/1000)*(s_Irr!BN17)),IF(AND(s_Irr!P17=".",s_Irr!AO17&lt;&gt;".",s_Irr!BN17="."),s_dir!Q17/((1/1000)*(s_Irr!AO17)),IF(AND(s_Irr!P17&lt;&gt;".",s_Irr!AO17=".",s_Irr!BN17="."),s_dir!Q17/((1/1000)*(s_Irr!P17)),IF(AND(s_Irr!P17=".",s_Irr!AO17=".",s_Irr!BN17="."),s_dir!Q17*1000)))))))),".")</f>
        <v>46468.095423883395</v>
      </c>
      <c r="R17" s="76">
        <f>IFERROR(IF(AND(s_Irr!Q17&lt;&gt;".",s_Irr!AP17&lt;&gt;".",s_Irr!BO17&lt;&gt;"."),s_dir!R17/((1/1000)*(s_Irr!Q17+s_Irr!AP17+s_Irr!BO17)),IF(AND(s_Irr!Q17&lt;&gt;".",s_Irr!AP17&lt;&gt;".",s_Irr!BO17="."),s_dir!R17/((1/1000)*(s_Irr!Q17+s_Irr!AP17)),IF(AND(s_Irr!Q17&lt;&gt;".",s_Irr!AP17=".",s_Irr!BO17&lt;&gt;"."),s_dir!R17/((1/1000)*(s_Irr!Q17+s_Irr!BO17)),IF(AND(s_Irr!Q17=".",s_Irr!AP17&lt;&gt;".",s_Irr!BO17&lt;&gt;"."),s_dir!R17/((1/1000)*(s_Irr!AP17+s_Irr!BO17)),IF(AND(s_Irr!Q17=".",s_Irr!AP17=".",s_Irr!BO17&lt;&gt;"."),s_dir!R17/((1/1000)*(s_Irr!BO17)),IF(AND(s_Irr!Q17=".",s_Irr!AP17&lt;&gt;".",s_Irr!BO17="."),s_dir!R17/((1/1000)*(s_Irr!AP17)),IF(AND(s_Irr!Q17&lt;&gt;".",s_Irr!AP17=".",s_Irr!BO17="."),s_dir!R17/((1/1000)*(s_Irr!Q17)),IF(AND(s_Irr!Q17=".",s_Irr!AP17=".",s_Irr!BO17="."),s_dir!R17*1000)))))))),".")</f>
        <v>49841.878277150514</v>
      </c>
      <c r="S17" s="76">
        <f>IFERROR(IF(AND(s_Irr!R17&lt;&gt;".",s_Irr!AQ17&lt;&gt;".",s_Irr!BP17&lt;&gt;"."),s_dir!S17/((1/1000)*(s_Irr!R17+s_Irr!AQ17+s_Irr!BP17)),IF(AND(s_Irr!R17&lt;&gt;".",s_Irr!AQ17&lt;&gt;".",s_Irr!BP17="."),s_dir!S17/((1/1000)*(s_Irr!R17+s_Irr!AQ17)),IF(AND(s_Irr!R17&lt;&gt;".",s_Irr!AQ17=".",s_Irr!BP17&lt;&gt;"."),s_dir!S17/((1/1000)*(s_Irr!R17+s_Irr!BP17)),IF(AND(s_Irr!R17=".",s_Irr!AQ17&lt;&gt;".",s_Irr!BP17&lt;&gt;"."),s_dir!S17/((1/1000)*(s_Irr!AQ17+s_Irr!BP17)),IF(AND(s_Irr!R17=".",s_Irr!AQ17=".",s_Irr!BP17&lt;&gt;"."),s_dir!S17/((1/1000)*(s_Irr!BP17)),IF(AND(s_Irr!R17=".",s_Irr!AQ17&lt;&gt;".",s_Irr!BP17="."),s_dir!S17/((1/1000)*(s_Irr!AQ17)),IF(AND(s_Irr!R17&lt;&gt;".",s_Irr!AQ17=".",s_Irr!BP17="."),s_dir!S17/((1/1000)*(s_Irr!R17)),IF(AND(s_Irr!R17=".",s_Irr!AQ17=".",s_Irr!BP17="."),s_dir!S17*1000)))))))),".")</f>
        <v>49841.878277150514</v>
      </c>
      <c r="T17" s="76">
        <f>IFERROR(IF(AND(s_Irr!S17&lt;&gt;".",s_Irr!AR17&lt;&gt;".",s_Irr!BQ17&lt;&gt;"."),s_dir!T17/((1/1000)*(s_Irr!S17+s_Irr!AR17+s_Irr!BQ17)),IF(AND(s_Irr!S17&lt;&gt;".",s_Irr!AR17&lt;&gt;".",s_Irr!BQ17="."),s_dir!T17/((1/1000)*(s_Irr!S17+s_Irr!AR17)),IF(AND(s_Irr!S17&lt;&gt;".",s_Irr!AR17=".",s_Irr!BQ17&lt;&gt;"."),s_dir!T17/((1/1000)*(s_Irr!S17+s_Irr!BQ17)),IF(AND(s_Irr!S17=".",s_Irr!AR17&lt;&gt;".",s_Irr!BQ17&lt;&gt;"."),s_dir!T17/((1/1000)*(s_Irr!AR17+s_Irr!BQ17)),IF(AND(s_Irr!S17=".",s_Irr!AR17=".",s_Irr!BQ17&lt;&gt;"."),s_dir!T17/((1/1000)*(s_Irr!BQ17)),IF(AND(s_Irr!S17=".",s_Irr!AR17&lt;&gt;".",s_Irr!BQ17="."),s_dir!T17/((1/1000)*(s_Irr!AR17)),IF(AND(s_Irr!S17&lt;&gt;".",s_Irr!AR17=".",s_Irr!BQ17="."),s_dir!T17/((1/1000)*(s_Irr!S17)),IF(AND(s_Irr!S17=".",s_Irr!AR17=".",s_Irr!BQ17="."),s_dir!T17*1000)))))))),".")</f>
        <v>53492.645875829985</v>
      </c>
      <c r="U17" s="76">
        <f>IFERROR(IF(AND(s_Irr!T17&lt;&gt;".",s_Irr!AS17&lt;&gt;".",s_Irr!BR17&lt;&gt;"."),s_dir!U17/((1/1000)*(s_Irr!T17+s_Irr!AS17+s_Irr!BR17)),IF(AND(s_Irr!T17&lt;&gt;".",s_Irr!AS17&lt;&gt;".",s_Irr!BR17="."),s_dir!U17/((1/1000)*(s_Irr!T17+s_Irr!AS17)),IF(AND(s_Irr!T17&lt;&gt;".",s_Irr!AS17=".",s_Irr!BR17&lt;&gt;"."),s_dir!U17/((1/1000)*(s_Irr!T17+s_Irr!BR17)),IF(AND(s_Irr!T17=".",s_Irr!AS17&lt;&gt;".",s_Irr!BR17&lt;&gt;"."),s_dir!U17/((1/1000)*(s_Irr!AS17+s_Irr!BR17)),IF(AND(s_Irr!T17=".",s_Irr!AS17=".",s_Irr!BR17&lt;&gt;"."),s_dir!U17/((1/1000)*(s_Irr!BR17)),IF(AND(s_Irr!T17=".",s_Irr!AS17&lt;&gt;".",s_Irr!BR17="."),s_dir!U17/((1/1000)*(s_Irr!AS17)),IF(AND(s_Irr!T17&lt;&gt;".",s_Irr!AS17=".",s_Irr!BR17="."),s_dir!U17/((1/1000)*(s_Irr!T17)),IF(AND(s_Irr!T17=".",s_Irr!AS17=".",s_Irr!BR17="."),s_dir!U17*1000)))))))),".")</f>
        <v>46468.095423883395</v>
      </c>
      <c r="V17" s="76">
        <f>IFERROR(IF(AND(s_Irr!U17&lt;&gt;".",s_Irr!AT17&lt;&gt;".",s_Irr!BS17&lt;&gt;"."),s_dir!V17/((1/1000)*(s_Irr!U17+s_Irr!AT17+s_Irr!BS17)),IF(AND(s_Irr!U17&lt;&gt;".",s_Irr!AT17&lt;&gt;".",s_Irr!BS17="."),s_dir!V17/((1/1000)*(s_Irr!U17+s_Irr!AT17)),IF(AND(s_Irr!U17&lt;&gt;".",s_Irr!AT17=".",s_Irr!BS17&lt;&gt;"."),s_dir!V17/((1/1000)*(s_Irr!U17+s_Irr!BS17)),IF(AND(s_Irr!U17=".",s_Irr!AT17&lt;&gt;".",s_Irr!BS17&lt;&gt;"."),s_dir!V17/((1/1000)*(s_Irr!AT17+s_Irr!BS17)),IF(AND(s_Irr!U17=".",s_Irr!AT17=".",s_Irr!BS17&lt;&gt;"."),s_dir!V17/((1/1000)*(s_Irr!BS17)),IF(AND(s_Irr!U17=".",s_Irr!AT17&lt;&gt;".",s_Irr!BS17="."),s_dir!V17/((1/1000)*(s_Irr!AT17)),IF(AND(s_Irr!U17&lt;&gt;".",s_Irr!AT17=".",s_Irr!BS17="."),s_dir!V17/((1/1000)*(s_Irr!U17)),IF(AND(s_Irr!U17=".",s_Irr!AT17=".",s_Irr!BS17="."),s_dir!V17*1000)))))))),".")</f>
        <v>56859.947173814537</v>
      </c>
      <c r="W17" s="76">
        <f>IFERROR(IF(AND(s_Irr!V17&lt;&gt;".",s_Irr!AU17&lt;&gt;".",s_Irr!BT17&lt;&gt;"."),s_dir!W17/((1/1000)*(s_Irr!V17+s_Irr!AU17+s_Irr!BT17)),IF(AND(s_Irr!V17&lt;&gt;".",s_Irr!AU17&lt;&gt;".",s_Irr!BT17="."),s_dir!W17/((1/1000)*(s_Irr!V17+s_Irr!AU17)),IF(AND(s_Irr!V17&lt;&gt;".",s_Irr!AU17=".",s_Irr!BT17&lt;&gt;"."),s_dir!W17/((1/1000)*(s_Irr!V17+s_Irr!BT17)),IF(AND(s_Irr!V17=".",s_Irr!AU17&lt;&gt;".",s_Irr!BT17&lt;&gt;"."),s_dir!W17/((1/1000)*(s_Irr!AU17+s_Irr!BT17)),IF(AND(s_Irr!V17=".",s_Irr!AU17=".",s_Irr!BT17&lt;&gt;"."),s_dir!W17/((1/1000)*(s_Irr!BT17)),IF(AND(s_Irr!V17=".",s_Irr!AU17&lt;&gt;".",s_Irr!BT17="."),s_dir!W17/((1/1000)*(s_Irr!AU17)),IF(AND(s_Irr!V17&lt;&gt;".",s_Irr!AU17=".",s_Irr!BT17="."),s_dir!W17/((1/1000)*(s_Irr!V17)),IF(AND(s_Irr!V17=".",s_Irr!AU17=".",s_Irr!BT17="."),s_dir!W17*1000)))))))),".")</f>
        <v>46468.095423883395</v>
      </c>
      <c r="X17" s="76">
        <f>IFERROR(IF(AND(s_Irr!W17&lt;&gt;".",s_Irr!AV17&lt;&gt;".",s_Irr!BU17&lt;&gt;"."),s_dir!X17/((1/1000)*(s_Irr!W17+s_Irr!AV17+s_Irr!BU17)),IF(AND(s_Irr!W17&lt;&gt;".",s_Irr!AV17&lt;&gt;".",s_Irr!BU17="."),s_dir!X17/((1/1000)*(s_Irr!W17+s_Irr!AV17)),IF(AND(s_Irr!W17&lt;&gt;".",s_Irr!AV17=".",s_Irr!BU17&lt;&gt;"."),s_dir!X17/((1/1000)*(s_Irr!W17+s_Irr!BU17)),IF(AND(s_Irr!W17=".",s_Irr!AV17&lt;&gt;".",s_Irr!BU17&lt;&gt;"."),s_dir!X17/((1/1000)*(s_Irr!AV17+s_Irr!BU17)),IF(AND(s_Irr!W17=".",s_Irr!AV17=".",s_Irr!BU17&lt;&gt;"."),s_dir!X17/((1/1000)*(s_Irr!BU17)),IF(AND(s_Irr!W17=".",s_Irr!AV17&lt;&gt;".",s_Irr!BU17="."),s_dir!X17/((1/1000)*(s_Irr!AV17)),IF(AND(s_Irr!W17&lt;&gt;".",s_Irr!AV17=".",s_Irr!BU17="."),s_dir!X17/((1/1000)*(s_Irr!W17)),IF(AND(s_Irr!W17=".",s_Irr!AV17=".",s_Irr!BU17="."),s_dir!X17*1000)))))))),".")</f>
        <v>53492.645875829985</v>
      </c>
      <c r="Y17" s="76">
        <f>IFERROR(IF(AND(s_Irr!X17&lt;&gt;".",s_Irr!AW17&lt;&gt;".",s_Irr!BV17&lt;&gt;"."),s_dir!Y17/((1/1000)*(s_Irr!X17+s_Irr!AW17+s_Irr!BV17)),IF(AND(s_Irr!X17&lt;&gt;".",s_Irr!AW17&lt;&gt;".",s_Irr!BV17="."),s_dir!Y17/((1/1000)*(s_Irr!X17+s_Irr!AW17)),IF(AND(s_Irr!X17&lt;&gt;".",s_Irr!AW17=".",s_Irr!BV17&lt;&gt;"."),s_dir!Y17/((1/1000)*(s_Irr!X17+s_Irr!BV17)),IF(AND(s_Irr!X17=".",s_Irr!AW17&lt;&gt;".",s_Irr!BV17&lt;&gt;"."),s_dir!Y17/((1/1000)*(s_Irr!AW17+s_Irr!BV17)),IF(AND(s_Irr!X17=".",s_Irr!AW17=".",s_Irr!BV17&lt;&gt;"."),s_dir!Y17/((1/1000)*(s_Irr!BV17)),IF(AND(s_Irr!X17=".",s_Irr!AW17&lt;&gt;".",s_Irr!BV17="."),s_dir!Y17/((1/1000)*(s_Irr!AW17)),IF(AND(s_Irr!X17&lt;&gt;".",s_Irr!AW17=".",s_Irr!BV17="."),s_dir!Y17/((1/1000)*(s_Irr!X17)),IF(AND(s_Irr!X17=".",s_Irr!AW17=".",s_Irr!BV17="."),s_dir!Y17*1000)))))))),".")</f>
        <v>49841.878277150514</v>
      </c>
      <c r="Z17" s="76">
        <f>IFERROR(IF(AND(s_Irr!Y17&lt;&gt;".",s_Irr!AX17&lt;&gt;".",s_Irr!BW17&lt;&gt;"."),s_dir!Z17/((1/1000)*(s_Irr!Y17+s_Irr!AX17+s_Irr!BW17)),IF(AND(s_Irr!Y17&lt;&gt;".",s_Irr!AX17&lt;&gt;".",s_Irr!BW17="."),s_dir!Z17/((1/1000)*(s_Irr!Y17+s_Irr!AX17)),IF(AND(s_Irr!Y17&lt;&gt;".",s_Irr!AX17=".",s_Irr!BW17&lt;&gt;"."),s_dir!Z17/((1/1000)*(s_Irr!Y17+s_Irr!BW17)),IF(AND(s_Irr!Y17=".",s_Irr!AX17&lt;&gt;".",s_Irr!BW17&lt;&gt;"."),s_dir!Z17/((1/1000)*(s_Irr!AX17+s_Irr!BW17)),IF(AND(s_Irr!Y17=".",s_Irr!AX17=".",s_Irr!BW17&lt;&gt;"."),s_dir!Z17/((1/1000)*(s_Irr!BW17)),IF(AND(s_Irr!Y17=".",s_Irr!AX17&lt;&gt;".",s_Irr!BW17="."),s_dir!Z17/((1/1000)*(s_Irr!AX17)),IF(AND(s_Irr!Y17&lt;&gt;".",s_Irr!AX17=".",s_Irr!BW17="."),s_dir!Z17/((1/1000)*(s_Irr!Y17)),IF(AND(s_Irr!Y17=".",s_Irr!AX17=".",s_Irr!BW17="."),s_dir!Z17*1000)))))))),".")</f>
        <v>46468.095423883395</v>
      </c>
      <c r="AA17" s="76">
        <f>IFERROR(IF(AND(s_Irr!Z17&lt;&gt;".",s_Irr!AY17&lt;&gt;".",s_Irr!BX17&lt;&gt;"."),s_dir!AA17/((1/1000)*(s_Irr!Z17+s_Irr!AY17+s_Irr!BX17)),IF(AND(s_Irr!Z17&lt;&gt;".",s_Irr!AY17&lt;&gt;".",s_Irr!BX17="."),s_dir!AA17/((1/1000)*(s_Irr!Z17+s_Irr!AY17)),IF(AND(s_Irr!Z17&lt;&gt;".",s_Irr!AY17=".",s_Irr!BX17&lt;&gt;"."),s_dir!AA17/((1/1000)*(s_Irr!Z17+s_Irr!BX17)),IF(AND(s_Irr!Z17=".",s_Irr!AY17&lt;&gt;".",s_Irr!BX17&lt;&gt;"."),s_dir!AA17/((1/1000)*(s_Irr!AY17+s_Irr!BX17)),IF(AND(s_Irr!Z17=".",s_Irr!AY17=".",s_Irr!BX17&lt;&gt;"."),s_dir!AA17/((1/1000)*(s_Irr!BX17)),IF(AND(s_Irr!Z17=".",s_Irr!AY17&lt;&gt;".",s_Irr!BX17="."),s_dir!AA17/((1/1000)*(s_Irr!AY17)),IF(AND(s_Irr!Z17&lt;&gt;".",s_Irr!AY17=".",s_Irr!BX17="."),s_dir!AA17/((1/1000)*(s_Irr!Z17)),IF(AND(s_Irr!Z17=".",s_Irr!AY17=".",s_Irr!BX17="."),s_dir!AA17*1000)))))))),".")</f>
        <v>58022.97379394788</v>
      </c>
      <c r="AB17" s="76">
        <f>IFERROR(IF(AND(s_Irr!AA17&lt;&gt;".",s_Irr!AZ17&lt;&gt;".",s_Irr!BY17&lt;&gt;"."),s_dir!AB17/((1/1000)*(s_Irr!AA17+s_Irr!AZ17+s_Irr!BY17)),IF(AND(s_Irr!AA17&lt;&gt;".",s_Irr!AZ17&lt;&gt;".",s_Irr!BY17="."),s_dir!AB17/((1/1000)*(s_Irr!AA17+s_Irr!AZ17)),IF(AND(s_Irr!AA17&lt;&gt;".",s_Irr!AZ17=".",s_Irr!BY17&lt;&gt;"."),s_dir!AB17/((1/1000)*(s_Irr!AA17+s_Irr!BY17)),IF(AND(s_Irr!AA17=".",s_Irr!AZ17&lt;&gt;".",s_Irr!BY17&lt;&gt;"."),s_dir!AB17/((1/1000)*(s_Irr!AZ17+s_Irr!BY17)),IF(AND(s_Irr!AA17=".",s_Irr!AZ17=".",s_Irr!BY17&lt;&gt;"."),s_dir!AB17/((1/1000)*(s_Irr!BY17)),IF(AND(s_Irr!AA17=".",s_Irr!AZ17&lt;&gt;".",s_Irr!BY17="."),s_dir!AB17/((1/1000)*(s_Irr!AZ17)),IF(AND(s_Irr!AA17&lt;&gt;".",s_Irr!AZ17=".",s_Irr!BY17="."),s_dir!AB17/((1/1000)*(s_Irr!AA17)),IF(AND(s_Irr!AA17=".",s_Irr!AZ17=".",s_Irr!BY17="."),s_dir!AB17*1000)))))))),".")</f>
        <v>49128.490490066419</v>
      </c>
      <c r="AC17" s="93">
        <f t="shared" si="4"/>
        <v>8167.2097807406062</v>
      </c>
      <c r="AD17" s="93">
        <f>IFERROR(s_C*s_IFAP_res_adj*s_CF_apple*0.001*(s_Irr!C17+s_Irr!AB17+s_Irr!BA17),".")</f>
        <v>2069.677052148757</v>
      </c>
      <c r="AE17" s="93">
        <f>IFERROR(s_C*s_IFAS_res_adj*s_CF_asparagus*0.001*(s_Irr!D17+s_Irr!AC17+s_Irr!BB17),".")</f>
        <v>4173.4209739302823</v>
      </c>
      <c r="AF17" s="93">
        <f>IFERROR(s_C*s_IFBT_res_adj*s_CF_beet*0.001*(s_Irr!E17+s_Irr!AD17+s_Irr!BC17),".")</f>
        <v>2219.9444751331516</v>
      </c>
      <c r="AG17" s="93">
        <f>IFERROR(s_C*s_IFBE_res_adj*s_CF_berries*0.001*(s_Irr!F17+s_Irr!AE17+s_Irr!BD17),".")</f>
        <v>2069.677052148757</v>
      </c>
      <c r="AH17" s="93">
        <f>IFERROR(s_C*s_IFBR_res_adj*s_CF_broccoli*0.001*(s_Irr!G17+s_Irr!AF17+s_Irr!BE17),".")</f>
        <v>2219.9444751331516</v>
      </c>
      <c r="AI17" s="93">
        <f>IFERROR(s_C*s_IFCB_res_adj*s_CF_cabbage*0.001*(s_Irr!H17+s_Irr!AG17+s_Irr!BF17),".")</f>
        <v>4173.4209739302823</v>
      </c>
      <c r="AJ17" s="93">
        <f>IFERROR(s_C*s_IFCR_res_adj*s_CF_carrot*0.001*(s_Irr!I17+s_Irr!AH17+s_Irr!BG17),".")</f>
        <v>2219.9444751331516</v>
      </c>
      <c r="AK17" s="93">
        <f>IFERROR(s_C*s_IFCI_res_adj*s_CF_citrus*0.001*(s_Irr!J17+s_Irr!AI17+s_Irr!BH17),".")</f>
        <v>2069.677052148757</v>
      </c>
      <c r="AL17" s="93">
        <f>IFERROR(s_C*s_IFCO_res_adj*s_CF_corn*0.001*(s_Irr!K17+s_Irr!AJ17+s_Irr!BI17),".")</f>
        <v>1805.2063876962222</v>
      </c>
      <c r="AM17" s="93">
        <f>IFERROR(s_C*s_IFCU_res_adj*s_CF_cucumber*0.001*(s_Irr!L17+s_Irr!AK17+s_Irr!BJ17),".")</f>
        <v>2219.9444751331516</v>
      </c>
      <c r="AN17" s="93">
        <f>IFERROR(s_C*s_IFLE_res_adj*s_CF_lettuce*0.001*(s_Irr!M17+s_Irr!AL17+s_Irr!BK17),".")</f>
        <v>4173.4209739302823</v>
      </c>
      <c r="AO17" s="93">
        <f>IFERROR(s_C*s_IFLI_res_adj*s_CF_lima_bean*0.001*(s_Irr!N17+s_Irr!AM17+s_Irr!BL17),".")</f>
        <v>1928.4256745434257</v>
      </c>
      <c r="AP17" s="93">
        <f>IFERROR(s_C*s_IFOK_res_adj*s_CF_okra*0.001*(s_Irr!O17+s_Irr!AN17+s_Irr!BM17),".")</f>
        <v>2219.9444751331516</v>
      </c>
      <c r="AQ17" s="93">
        <f>IFERROR(s_C*s_IFON_res_adj*s_CF_onion*0.001*(s_Irr!P17+s_Irr!AO17+s_Irr!BN17),".")</f>
        <v>2219.9444751331516</v>
      </c>
      <c r="AR17" s="93">
        <f>IFERROR(s_C*s_IFPC_res_adj*s_CF_peach*0.001*(s_Irr!Q17+s_Irr!AP17+s_Irr!BO17),".")</f>
        <v>2069.677052148757</v>
      </c>
      <c r="AS17" s="93">
        <f>IFERROR(s_C*s_IFPR_res_adj*s_CF_pear*0.001*(s_Irr!R17+s_Irr!AQ17+s_Irr!BP17),".")</f>
        <v>2069.677052148757</v>
      </c>
      <c r="AT17" s="93">
        <f>IFERROR(s_C*s_IFPE_res_adj*s_CF_peas*0.001*(s_Irr!S17+s_Irr!AR17+s_Irr!BQ17),".")</f>
        <v>1928.4256745434257</v>
      </c>
      <c r="AU17" s="93">
        <f>IFERROR(s_C*s_IFPP_res_adj*s_CF_peppers*0.001*(s_Irr!T17+s_Irr!AS17+s_Irr!BR17),".")</f>
        <v>2219.9444751331516</v>
      </c>
      <c r="AV17" s="93">
        <f>IFERROR(s_C*s_IFPT_res_adj*s_CF_potato*0.001*(s_Irr!U17+s_Irr!AT17+s_Irr!BS17),".")</f>
        <v>1814.2224330752858</v>
      </c>
      <c r="AW17" s="93">
        <f>IFERROR(s_C*s_IFPU_res_adj*s_CF_pumpkin*0.001*(s_Irr!V17+s_Irr!AU17+s_Irr!BT17),".")</f>
        <v>2219.9444751331516</v>
      </c>
      <c r="AX17" s="93">
        <f>IFERROR(s_C*s_IFSN_res_adj*s_CF_snap_bean*0.001*(s_Irr!W17+s_Irr!AV17+s_Irr!BU17),".")</f>
        <v>1928.4256745434257</v>
      </c>
      <c r="AY17" s="93">
        <f>IFERROR(s_C*s_IFST_res_adj*s_CF_strawberry*0.001*(s_Irr!X17+s_Irr!AW17+s_Irr!BV17),".")</f>
        <v>2069.677052148757</v>
      </c>
      <c r="AZ17" s="93">
        <f>IFERROR(s_C*s_IFTO_res_adj*s_CF_tomato*0.001*(s_Irr!Y17+s_Irr!AX17+s_Irr!BW17),".")</f>
        <v>2219.9444751331516</v>
      </c>
      <c r="BA17" s="93">
        <f>IFERROR(s_C*s_IFRI_res_adj*s_CF_rice*0.001*(s_Irr!Z17+s_Irr!AY17+s_Irr!BX17),".")</f>
        <v>1777.8577167130622</v>
      </c>
      <c r="BB17" s="93">
        <f>IFERROR(s_C*s_IFCG_res_adj*s_CF_cereal*0.001*(s_Irr!AA17+s_Irr!AZ17+s_Irr!BY17),".")</f>
        <v>2099.7305367456356</v>
      </c>
      <c r="BC17" s="76">
        <f t="shared" si="1"/>
        <v>12630.579411522811</v>
      </c>
      <c r="BD17" s="76">
        <f>IFERROR(IF(AND(s_Irr!C17&lt;&gt;".",s_Irr!AB17&lt;&gt;".",s_Irr!BA17&lt;&gt;"."),s_dir!AD17/((1/1000)*(s_Irr!C17+s_Irr!AB17+s_Irr!BA17)),IF(AND(s_Irr!C17&lt;&gt;".",s_Irr!AB17&lt;&gt;".",s_Irr!BA17="."),s_dir!AD17/((1/1000)*(s_Irr!C17+s_Irr!AB17)),IF(AND(s_Irr!C17&lt;&gt;".",s_Irr!AB17=".",s_Irr!BA17&lt;&gt;"."),s_dir!AD17/((1/1000)*(s_Irr!C17+s_Irr!BA17)),IF(AND(s_Irr!C17=".",s_Irr!AB17&lt;&gt;".",s_Irr!BA17&lt;&gt;"."),s_dir!AD17/((1/1000)*(s_Irr!AB17+s_Irr!BA17)),IF(AND(s_Irr!C17=".",s_Irr!AB17=".",s_Irr!BA17&lt;&gt;"."),s_dir!AD17/((1/1000)*(s_Irr!BA17)),IF(AND(s_Irr!C17=".",s_Irr!AB17&lt;&gt;".",s_Irr!BA17="."),s_dir!AD17/((1/1000)*(s_Irr!AB17)),IF(AND(s_Irr!C17&lt;&gt;".",s_Irr!AB17=".",s_Irr!BA17="."),s_dir!AD17/((1/1000)*(s_Irr!C17)),IF(AND(s_Irr!C17=".",s_Irr!AB17=".",s_Irr!BA17="."),s_dir!AD17*1000)))))))),".")</f>
        <v>49841.878277150514</v>
      </c>
      <c r="BE17" s="76">
        <f>IFERROR(IF(AND(s_Irr!D17&lt;&gt;".",s_Irr!AC17&lt;&gt;".",s_Irr!BB17&lt;&gt;"."),s_dir!AE17/((1/1000)*(s_Irr!D17+s_Irr!AC17+s_Irr!BB17)),IF(AND(s_Irr!D17&lt;&gt;".",s_Irr!AC17&lt;&gt;".",s_Irr!BB17="."),s_dir!AE17/((1/1000)*(s_Irr!D17+s_Irr!AC17)),IF(AND(s_Irr!D17&lt;&gt;".",s_Irr!AC17=".",s_Irr!BB17&lt;&gt;"."),s_dir!AE17/((1/1000)*(s_Irr!D17+s_Irr!BB17)),IF(AND(s_Irr!D17=".",s_Irr!AC17&lt;&gt;".",s_Irr!BB17&lt;&gt;"."),s_dir!AE17/((1/1000)*(s_Irr!AC17+s_Irr!BB17)),IF(AND(s_Irr!D17=".",s_Irr!AC17=".",s_Irr!BB17&lt;&gt;"."),s_dir!AE17/((1/1000)*(s_Irr!BB17)),IF(AND(s_Irr!D17=".",s_Irr!AC17&lt;&gt;".",s_Irr!BB17="."),s_dir!AE17/((1/1000)*(s_Irr!AC17)),IF(AND(s_Irr!D17&lt;&gt;".",s_Irr!AC17=".",s_Irr!BB17="."),s_dir!AE17/((1/1000)*(s_Irr!D17)),IF(AND(s_Irr!D17=".",s_Irr!AC17=".",s_Irr!BB17="."),s_dir!AE17*1000)))))))),".")</f>
        <v>24717.514085108745</v>
      </c>
      <c r="BF17" s="76">
        <f>IFERROR(IF(AND(s_Irr!E17&lt;&gt;".",s_Irr!AD17&lt;&gt;".",s_Irr!BC17&lt;&gt;"."),s_dir!AF17/((1/1000)*(s_Irr!E17+s_Irr!AD17+s_Irr!BC17)),IF(AND(s_Irr!E17&lt;&gt;".",s_Irr!AD17&lt;&gt;".",s_Irr!BC17="."),s_dir!AF17/((1/1000)*(s_Irr!E17+s_Irr!AD17)),IF(AND(s_Irr!E17&lt;&gt;".",s_Irr!AD17=".",s_Irr!BC17&lt;&gt;"."),s_dir!AF17/((1/1000)*(s_Irr!E17+s_Irr!BC17)),IF(AND(s_Irr!E17=".",s_Irr!AD17&lt;&gt;".",s_Irr!BC17&lt;&gt;"."),s_dir!AF17/((1/1000)*(s_Irr!AD17+s_Irr!BC17)),IF(AND(s_Irr!E17=".",s_Irr!AD17=".",s_Irr!BC17&lt;&gt;"."),s_dir!AF17/((1/1000)*(s_Irr!BC17)),IF(AND(s_Irr!E17=".",s_Irr!AD17&lt;&gt;".",s_Irr!BC17="."),s_dir!AF17/((1/1000)*(s_Irr!AD17)),IF(AND(s_Irr!E17&lt;&gt;".",s_Irr!AD17=".",s_Irr!BC17="."),s_dir!AF17/((1/1000)*(s_Irr!E17)),IF(AND(s_Irr!E17=".",s_Irr!AD17=".",s_Irr!BC17="."),s_dir!AF17*1000)))))))),".")</f>
        <v>46468.095423883395</v>
      </c>
      <c r="BG17" s="76">
        <f>IFERROR(IF(AND(s_Irr!F17&lt;&gt;".",s_Irr!AE17&lt;&gt;".",s_Irr!BD17&lt;&gt;"."),s_dir!AG17/((1/1000)*(s_Irr!F17+s_Irr!AE17+s_Irr!BD17)),IF(AND(s_Irr!F17&lt;&gt;".",s_Irr!AE17&lt;&gt;".",s_Irr!BD17="."),s_dir!AG17/((1/1000)*(s_Irr!F17+s_Irr!AE17)),IF(AND(s_Irr!F17&lt;&gt;".",s_Irr!AE17=".",s_Irr!BD17&lt;&gt;"."),s_dir!AG17/((1/1000)*(s_Irr!F17+s_Irr!BD17)),IF(AND(s_Irr!F17=".",s_Irr!AE17&lt;&gt;".",s_Irr!BD17&lt;&gt;"."),s_dir!AG17/((1/1000)*(s_Irr!AE17+s_Irr!BD17)),IF(AND(s_Irr!F17=".",s_Irr!AE17=".",s_Irr!BD17&lt;&gt;"."),s_dir!AG17/((1/1000)*(s_Irr!BD17)),IF(AND(s_Irr!F17=".",s_Irr!AE17&lt;&gt;".",s_Irr!BD17="."),s_dir!AG17/((1/1000)*(s_Irr!AE17)),IF(AND(s_Irr!F17&lt;&gt;".",s_Irr!AE17=".",s_Irr!BD17="."),s_dir!AG17/((1/1000)*(s_Irr!F17)),IF(AND(s_Irr!F17=".",s_Irr!AE17=".",s_Irr!BD17="."),s_dir!AG17*1000)))))))),".")</f>
        <v>49841.878277150514</v>
      </c>
      <c r="BH17" s="76">
        <f>IFERROR(IF(AND(s_Irr!G17&lt;&gt;".",s_Irr!AF17&lt;&gt;".",s_Irr!BE17&lt;&gt;"."),s_dir!AH17/((1/1000)*(s_Irr!G17+s_Irr!AF17+s_Irr!BE17)),IF(AND(s_Irr!G17&lt;&gt;".",s_Irr!AF17&lt;&gt;".",s_Irr!BE17="."),s_dir!AH17/((1/1000)*(s_Irr!G17+s_Irr!AF17)),IF(AND(s_Irr!G17&lt;&gt;".",s_Irr!AF17=".",s_Irr!BE17&lt;&gt;"."),s_dir!AH17/((1/1000)*(s_Irr!G17+s_Irr!BE17)),IF(AND(s_Irr!G17=".",s_Irr!AF17&lt;&gt;".",s_Irr!BE17&lt;&gt;"."),s_dir!AH17/((1/1000)*(s_Irr!AF17+s_Irr!BE17)),IF(AND(s_Irr!G17=".",s_Irr!AF17=".",s_Irr!BE17&lt;&gt;"."),s_dir!AH17/((1/1000)*(s_Irr!BE17)),IF(AND(s_Irr!G17=".",s_Irr!AF17&lt;&gt;".",s_Irr!BE17="."),s_dir!AH17/((1/1000)*(s_Irr!AF17)),IF(AND(s_Irr!G17&lt;&gt;".",s_Irr!AF17=".",s_Irr!BE17="."),s_dir!AH17/((1/1000)*(s_Irr!G17)),IF(AND(s_Irr!G17=".",s_Irr!AF17=".",s_Irr!BE17="."),s_dir!AH17*1000)))))))),".")</f>
        <v>46468.095423883395</v>
      </c>
      <c r="BI17" s="76">
        <f>IFERROR(IF(AND(s_Irr!H17&lt;&gt;".",s_Irr!AG17&lt;&gt;".",s_Irr!BF17&lt;&gt;"."),s_dir!AI17/((1/1000)*(s_Irr!H17+s_Irr!AG17+s_Irr!BF17)),IF(AND(s_Irr!H17&lt;&gt;".",s_Irr!AG17&lt;&gt;".",s_Irr!BF17="."),s_dir!AI17/((1/1000)*(s_Irr!H17+s_Irr!AG17)),IF(AND(s_Irr!H17&lt;&gt;".",s_Irr!AG17=".",s_Irr!BF17&lt;&gt;"."),s_dir!AI17/((1/1000)*(s_Irr!H17+s_Irr!BF17)),IF(AND(s_Irr!H17=".",s_Irr!AG17&lt;&gt;".",s_Irr!BF17&lt;&gt;"."),s_dir!AI17/((1/1000)*(s_Irr!AG17+s_Irr!BF17)),IF(AND(s_Irr!H17=".",s_Irr!AG17=".",s_Irr!BF17&lt;&gt;"."),s_dir!AI17/((1/1000)*(s_Irr!BF17)),IF(AND(s_Irr!H17=".",s_Irr!AG17&lt;&gt;".",s_Irr!BF17="."),s_dir!AI17/((1/1000)*(s_Irr!AG17)),IF(AND(s_Irr!H17&lt;&gt;".",s_Irr!AG17=".",s_Irr!BF17="."),s_dir!AI17/((1/1000)*(s_Irr!H17)),IF(AND(s_Irr!H17=".",s_Irr!AG17=".",s_Irr!BF17="."),s_dir!AI17*1000)))))))),".")</f>
        <v>24717.514085108745</v>
      </c>
      <c r="BJ17" s="76">
        <f>IFERROR(IF(AND(s_Irr!I17&lt;&gt;".",s_Irr!AH17&lt;&gt;".",s_Irr!BG17&lt;&gt;"."),s_dir!AJ17/((1/1000)*(s_Irr!I17+s_Irr!AH17+s_Irr!BG17)),IF(AND(s_Irr!I17&lt;&gt;".",s_Irr!AH17&lt;&gt;".",s_Irr!BG17="."),s_dir!AJ17/((1/1000)*(s_Irr!I17+s_Irr!AH17)),IF(AND(s_Irr!I17&lt;&gt;".",s_Irr!AH17=".",s_Irr!BG17&lt;&gt;"."),s_dir!AJ17/((1/1000)*(s_Irr!I17+s_Irr!BG17)),IF(AND(s_Irr!I17=".",s_Irr!AH17&lt;&gt;".",s_Irr!BG17&lt;&gt;"."),s_dir!AJ17/((1/1000)*(s_Irr!AH17+s_Irr!BG17)),IF(AND(s_Irr!I17=".",s_Irr!AH17=".",s_Irr!BG17&lt;&gt;"."),s_dir!AJ17/((1/1000)*(s_Irr!BG17)),IF(AND(s_Irr!I17=".",s_Irr!AH17&lt;&gt;".",s_Irr!BG17="."),s_dir!AJ17/((1/1000)*(s_Irr!AH17)),IF(AND(s_Irr!I17&lt;&gt;".",s_Irr!AH17=".",s_Irr!BG17="."),s_dir!AJ17/((1/1000)*(s_Irr!I17)),IF(AND(s_Irr!I17=".",s_Irr!AH17=".",s_Irr!BG17="."),s_dir!AJ17*1000)))))))),".")</f>
        <v>46468.095423883395</v>
      </c>
      <c r="BK17" s="76">
        <f>IFERROR(IF(AND(s_Irr!J17&lt;&gt;".",s_Irr!AI17&lt;&gt;".",s_Irr!BH17&lt;&gt;"."),s_dir!AK17/((1/1000)*(s_Irr!J17+s_Irr!AI17+s_Irr!BH17)),IF(AND(s_Irr!J17&lt;&gt;".",s_Irr!AI17&lt;&gt;".",s_Irr!BH17="."),s_dir!AK17/((1/1000)*(s_Irr!J17+s_Irr!AI17)),IF(AND(s_Irr!J17&lt;&gt;".",s_Irr!AI17=".",s_Irr!BH17&lt;&gt;"."),s_dir!AK17/((1/1000)*(s_Irr!J17+s_Irr!BH17)),IF(AND(s_Irr!J17=".",s_Irr!AI17&lt;&gt;".",s_Irr!BH17&lt;&gt;"."),s_dir!AK17/((1/1000)*(s_Irr!AI17+s_Irr!BH17)),IF(AND(s_Irr!J17=".",s_Irr!AI17=".",s_Irr!BH17&lt;&gt;"."),s_dir!AK17/((1/1000)*(s_Irr!BH17)),IF(AND(s_Irr!J17=".",s_Irr!AI17&lt;&gt;".",s_Irr!BH17="."),s_dir!AK17/((1/1000)*(s_Irr!AI17)),IF(AND(s_Irr!J17&lt;&gt;".",s_Irr!AI17=".",s_Irr!BH17="."),s_dir!AK17/((1/1000)*(s_Irr!J17)),IF(AND(s_Irr!J17=".",s_Irr!AI17=".",s_Irr!BH17="."),s_dir!AK17*1000)))))))),".")</f>
        <v>49841.878277150514</v>
      </c>
      <c r="BL17" s="76">
        <f>IFERROR(IF(AND(s_Irr!K17&lt;&gt;".",s_Irr!AJ17&lt;&gt;".",s_Irr!BI17&lt;&gt;"."),s_dir!AL17/((1/1000)*(s_Irr!K17+s_Irr!AJ17+s_Irr!BI17)),IF(AND(s_Irr!K17&lt;&gt;".",s_Irr!AJ17&lt;&gt;".",s_Irr!BI17="."),s_dir!AL17/((1/1000)*(s_Irr!K17+s_Irr!AJ17)),IF(AND(s_Irr!K17&lt;&gt;".",s_Irr!AJ17=".",s_Irr!BI17&lt;&gt;"."),s_dir!AL17/((1/1000)*(s_Irr!K17+s_Irr!BI17)),IF(AND(s_Irr!K17=".",s_Irr!AJ17&lt;&gt;".",s_Irr!BI17&lt;&gt;"."),s_dir!AL17/((1/1000)*(s_Irr!AJ17+s_Irr!BI17)),IF(AND(s_Irr!K17=".",s_Irr!AJ17=".",s_Irr!BI17&lt;&gt;"."),s_dir!AL17/((1/1000)*(s_Irr!BI17)),IF(AND(s_Irr!K17=".",s_Irr!AJ17&lt;&gt;".",s_Irr!BI17="."),s_dir!AL17/((1/1000)*(s_Irr!AJ17)),IF(AND(s_Irr!K17&lt;&gt;".",s_Irr!AJ17=".",s_Irr!BI17="."),s_dir!AL17/((1/1000)*(s_Irr!K17)),IF(AND(s_Irr!K17=".",s_Irr!AJ17=".",s_Irr!BI17="."),s_dir!AL17*1000)))))))),".")</f>
        <v>57143.932355489254</v>
      </c>
      <c r="BM17" s="76">
        <f>IFERROR(IF(AND(s_Irr!L17&lt;&gt;".",s_Irr!AK17&lt;&gt;".",s_Irr!BJ17&lt;&gt;"."),s_dir!AM17/((1/1000)*(s_Irr!L17+s_Irr!AK17+s_Irr!BJ17)),IF(AND(s_Irr!L17&lt;&gt;".",s_Irr!AK17&lt;&gt;".",s_Irr!BJ17="."),s_dir!AM17/((1/1000)*(s_Irr!L17+s_Irr!AK17)),IF(AND(s_Irr!L17&lt;&gt;".",s_Irr!AK17=".",s_Irr!BJ17&lt;&gt;"."),s_dir!AM17/((1/1000)*(s_Irr!L17+s_Irr!BJ17)),IF(AND(s_Irr!L17=".",s_Irr!AK17&lt;&gt;".",s_Irr!BJ17&lt;&gt;"."),s_dir!AM17/((1/1000)*(s_Irr!AK17+s_Irr!BJ17)),IF(AND(s_Irr!L17=".",s_Irr!AK17=".",s_Irr!BJ17&lt;&gt;"."),s_dir!AM17/((1/1000)*(s_Irr!BJ17)),IF(AND(s_Irr!L17=".",s_Irr!AK17&lt;&gt;".",s_Irr!BJ17="."),s_dir!AM17/((1/1000)*(s_Irr!AK17)),IF(AND(s_Irr!L17&lt;&gt;".",s_Irr!AK17=".",s_Irr!BJ17="."),s_dir!AM17/((1/1000)*(s_Irr!L17)),IF(AND(s_Irr!L17=".",s_Irr!AK17=".",s_Irr!BJ17="."),s_dir!AM17*1000)))))))),".")</f>
        <v>46468.095423883395</v>
      </c>
      <c r="BN17" s="76">
        <f>IFERROR(IF(AND(s_Irr!M17&lt;&gt;".",s_Irr!AL17&lt;&gt;".",s_Irr!BK17&lt;&gt;"."),s_dir!AN17/((1/1000)*(s_Irr!M17+s_Irr!AL17+s_Irr!BK17)),IF(AND(s_Irr!M17&lt;&gt;".",s_Irr!AL17&lt;&gt;".",s_Irr!BK17="."),s_dir!AN17/((1/1000)*(s_Irr!M17+s_Irr!AL17)),IF(AND(s_Irr!M17&lt;&gt;".",s_Irr!AL17=".",s_Irr!BK17&lt;&gt;"."),s_dir!AN17/((1/1000)*(s_Irr!M17+s_Irr!BK17)),IF(AND(s_Irr!M17=".",s_Irr!AL17&lt;&gt;".",s_Irr!BK17&lt;&gt;"."),s_dir!AN17/((1/1000)*(s_Irr!AL17+s_Irr!BK17)),IF(AND(s_Irr!M17=".",s_Irr!AL17=".",s_Irr!BK17&lt;&gt;"."),s_dir!AN17/((1/1000)*(s_Irr!BK17)),IF(AND(s_Irr!M17=".",s_Irr!AL17&lt;&gt;".",s_Irr!BK17="."),s_dir!AN17/((1/1000)*(s_Irr!AL17)),IF(AND(s_Irr!M17&lt;&gt;".",s_Irr!AL17=".",s_Irr!BK17="."),s_dir!AN17/((1/1000)*(s_Irr!M17)),IF(AND(s_Irr!M17=".",s_Irr!AL17=".",s_Irr!BK17="."),s_dir!AN17*1000)))))))),".")</f>
        <v>24717.514085108745</v>
      </c>
      <c r="BO17" s="76">
        <f>IFERROR(IF(AND(s_Irr!N17&lt;&gt;".",s_Irr!AM17&lt;&gt;".",s_Irr!BL17&lt;&gt;"."),s_dir!AO17/((1/1000)*(s_Irr!N17+s_Irr!AM17+s_Irr!BL17)),IF(AND(s_Irr!N17&lt;&gt;".",s_Irr!AM17&lt;&gt;".",s_Irr!BL17="."),s_dir!AO17/((1/1000)*(s_Irr!N17+s_Irr!AM17)),IF(AND(s_Irr!N17&lt;&gt;".",s_Irr!AM17=".",s_Irr!BL17&lt;&gt;"."),s_dir!AO17/((1/1000)*(s_Irr!N17+s_Irr!BL17)),IF(AND(s_Irr!N17=".",s_Irr!AM17&lt;&gt;".",s_Irr!BL17&lt;&gt;"."),s_dir!AO17/((1/1000)*(s_Irr!AM17+s_Irr!BL17)),IF(AND(s_Irr!N17=".",s_Irr!AM17=".",s_Irr!BL17&lt;&gt;"."),s_dir!AO17/((1/1000)*(s_Irr!BL17)),IF(AND(s_Irr!N17=".",s_Irr!AM17&lt;&gt;".",s_Irr!BL17="."),s_dir!AO17/((1/1000)*(s_Irr!AM17)),IF(AND(s_Irr!N17&lt;&gt;".",s_Irr!AM17=".",s_Irr!BL17="."),s_dir!AO17/((1/1000)*(s_Irr!N17)),IF(AND(s_Irr!N17=".",s_Irr!AM17=".",s_Irr!BL17="."),s_dir!AO17*1000)))))))),".")</f>
        <v>53492.645875829985</v>
      </c>
      <c r="BP17" s="76">
        <f>IFERROR(IF(AND(s_Irr!O17&lt;&gt;".",s_Irr!AN17&lt;&gt;".",s_Irr!BM17&lt;&gt;"."),s_dir!AP17/((1/1000)*(s_Irr!O17+s_Irr!AN17+s_Irr!BM17)),IF(AND(s_Irr!O17&lt;&gt;".",s_Irr!AN17&lt;&gt;".",s_Irr!BM17="."),s_dir!AP17/((1/1000)*(s_Irr!O17+s_Irr!AN17)),IF(AND(s_Irr!O17&lt;&gt;".",s_Irr!AN17=".",s_Irr!BM17&lt;&gt;"."),s_dir!AP17/((1/1000)*(s_Irr!O17+s_Irr!BM17)),IF(AND(s_Irr!O17=".",s_Irr!AN17&lt;&gt;".",s_Irr!BM17&lt;&gt;"."),s_dir!AP17/((1/1000)*(s_Irr!AN17+s_Irr!BM17)),IF(AND(s_Irr!O17=".",s_Irr!AN17=".",s_Irr!BM17&lt;&gt;"."),s_dir!AP17/((1/1000)*(s_Irr!BM17)),IF(AND(s_Irr!O17=".",s_Irr!AN17&lt;&gt;".",s_Irr!BM17="."),s_dir!AP17/((1/1000)*(s_Irr!AN17)),IF(AND(s_Irr!O17&lt;&gt;".",s_Irr!AN17=".",s_Irr!BM17="."),s_dir!AP17/((1/1000)*(s_Irr!O17)),IF(AND(s_Irr!O17=".",s_Irr!AN17=".",s_Irr!BM17="."),s_dir!AP17*1000)))))))),".")</f>
        <v>46468.095423883395</v>
      </c>
      <c r="BQ17" s="76">
        <f>IFERROR(IF(AND(s_Irr!P17&lt;&gt;".",s_Irr!AO17&lt;&gt;".",s_Irr!BN17&lt;&gt;"."),s_dir!AQ17/((1/1000)*(s_Irr!P17+s_Irr!AO17+s_Irr!BN17)),IF(AND(s_Irr!P17&lt;&gt;".",s_Irr!AO17&lt;&gt;".",s_Irr!BN17="."),s_dir!AQ17/((1/1000)*(s_Irr!P17+s_Irr!AO17)),IF(AND(s_Irr!P17&lt;&gt;".",s_Irr!AO17=".",s_Irr!BN17&lt;&gt;"."),s_dir!AQ17/((1/1000)*(s_Irr!P17+s_Irr!BN17)),IF(AND(s_Irr!P17=".",s_Irr!AO17&lt;&gt;".",s_Irr!BN17&lt;&gt;"."),s_dir!AQ17/((1/1000)*(s_Irr!AO17+s_Irr!BN17)),IF(AND(s_Irr!P17=".",s_Irr!AO17=".",s_Irr!BN17&lt;&gt;"."),s_dir!AQ17/((1/1000)*(s_Irr!BN17)),IF(AND(s_Irr!P17=".",s_Irr!AO17&lt;&gt;".",s_Irr!BN17="."),s_dir!AQ17/((1/1000)*(s_Irr!AO17)),IF(AND(s_Irr!P17&lt;&gt;".",s_Irr!AO17=".",s_Irr!BN17="."),s_dir!AQ17/((1/1000)*(s_Irr!P17)),IF(AND(s_Irr!P17=".",s_Irr!AO17=".",s_Irr!BN17="."),s_dir!AQ17*1000)))))))),".")</f>
        <v>46468.095423883395</v>
      </c>
      <c r="BR17" s="76">
        <f>IFERROR(IF(AND(s_Irr!Q17&lt;&gt;".",s_Irr!AP17&lt;&gt;".",s_Irr!BO17&lt;&gt;"."),s_dir!AR17/((1/1000)*(s_Irr!Q17+s_Irr!AP17+s_Irr!BO17)),IF(AND(s_Irr!Q17&lt;&gt;".",s_Irr!AP17&lt;&gt;".",s_Irr!BO17="."),s_dir!AR17/((1/1000)*(s_Irr!Q17+s_Irr!AP17)),IF(AND(s_Irr!Q17&lt;&gt;".",s_Irr!AP17=".",s_Irr!BO17&lt;&gt;"."),s_dir!AR17/((1/1000)*(s_Irr!Q17+s_Irr!BO17)),IF(AND(s_Irr!Q17=".",s_Irr!AP17&lt;&gt;".",s_Irr!BO17&lt;&gt;"."),s_dir!AR17/((1/1000)*(s_Irr!AP17+s_Irr!BO17)),IF(AND(s_Irr!Q17=".",s_Irr!AP17=".",s_Irr!BO17&lt;&gt;"."),s_dir!AR17/((1/1000)*(s_Irr!BO17)),IF(AND(s_Irr!Q17=".",s_Irr!AP17&lt;&gt;".",s_Irr!BO17="."),s_dir!AR17/((1/1000)*(s_Irr!AP17)),IF(AND(s_Irr!Q17&lt;&gt;".",s_Irr!AP17=".",s_Irr!BO17="."),s_dir!AR17/((1/1000)*(s_Irr!Q17)),IF(AND(s_Irr!Q17=".",s_Irr!AP17=".",s_Irr!BO17="."),s_dir!AR17*1000)))))))),".")</f>
        <v>49841.878277150514</v>
      </c>
      <c r="BS17" s="76">
        <f>IFERROR(IF(AND(s_Irr!R17&lt;&gt;".",s_Irr!AQ17&lt;&gt;".",s_Irr!BP17&lt;&gt;"."),s_dir!AS17/((1/1000)*(s_Irr!R17+s_Irr!AQ17+s_Irr!BP17)),IF(AND(s_Irr!R17&lt;&gt;".",s_Irr!AQ17&lt;&gt;".",s_Irr!BP17="."),s_dir!AS17/((1/1000)*(s_Irr!R17+s_Irr!AQ17)),IF(AND(s_Irr!R17&lt;&gt;".",s_Irr!AQ17=".",s_Irr!BP17&lt;&gt;"."),s_dir!AS17/((1/1000)*(s_Irr!R17+s_Irr!BP17)),IF(AND(s_Irr!R17=".",s_Irr!AQ17&lt;&gt;".",s_Irr!BP17&lt;&gt;"."),s_dir!AS17/((1/1000)*(s_Irr!AQ17+s_Irr!BP17)),IF(AND(s_Irr!R17=".",s_Irr!AQ17=".",s_Irr!BP17&lt;&gt;"."),s_dir!AS17/((1/1000)*(s_Irr!BP17)),IF(AND(s_Irr!R17=".",s_Irr!AQ17&lt;&gt;".",s_Irr!BP17="."),s_dir!AS17/((1/1000)*(s_Irr!AQ17)),IF(AND(s_Irr!R17&lt;&gt;".",s_Irr!AQ17=".",s_Irr!BP17="."),s_dir!AS17/((1/1000)*(s_Irr!R17)),IF(AND(s_Irr!R17=".",s_Irr!AQ17=".",s_Irr!BP17="."),s_dir!AS17*1000)))))))),".")</f>
        <v>49841.878277150514</v>
      </c>
      <c r="BT17" s="76">
        <f>IFERROR(IF(AND(s_Irr!S17&lt;&gt;".",s_Irr!AR17&lt;&gt;".",s_Irr!BQ17&lt;&gt;"."),s_dir!AT17/((1/1000)*(s_Irr!S17+s_Irr!AR17+s_Irr!BQ17)),IF(AND(s_Irr!S17&lt;&gt;".",s_Irr!AR17&lt;&gt;".",s_Irr!BQ17="."),s_dir!AT17/((1/1000)*(s_Irr!S17+s_Irr!AR17)),IF(AND(s_Irr!S17&lt;&gt;".",s_Irr!AR17=".",s_Irr!BQ17&lt;&gt;"."),s_dir!AT17/((1/1000)*(s_Irr!S17+s_Irr!BQ17)),IF(AND(s_Irr!S17=".",s_Irr!AR17&lt;&gt;".",s_Irr!BQ17&lt;&gt;"."),s_dir!AT17/((1/1000)*(s_Irr!AR17+s_Irr!BQ17)),IF(AND(s_Irr!S17=".",s_Irr!AR17=".",s_Irr!BQ17&lt;&gt;"."),s_dir!AT17/((1/1000)*(s_Irr!BQ17)),IF(AND(s_Irr!S17=".",s_Irr!AR17&lt;&gt;".",s_Irr!BQ17="."),s_dir!AT17/((1/1000)*(s_Irr!AR17)),IF(AND(s_Irr!S17&lt;&gt;".",s_Irr!AR17=".",s_Irr!BQ17="."),s_dir!AT17/((1/1000)*(s_Irr!S17)),IF(AND(s_Irr!S17=".",s_Irr!AR17=".",s_Irr!BQ17="."),s_dir!AT17*1000)))))))),".")</f>
        <v>53492.645875829985</v>
      </c>
      <c r="BU17" s="76">
        <f>IFERROR(IF(AND(s_Irr!T17&lt;&gt;".",s_Irr!AS17&lt;&gt;".",s_Irr!BR17&lt;&gt;"."),s_dir!AU17/((1/1000)*(s_Irr!T17+s_Irr!AS17+s_Irr!BR17)),IF(AND(s_Irr!T17&lt;&gt;".",s_Irr!AS17&lt;&gt;".",s_Irr!BR17="."),s_dir!AU17/((1/1000)*(s_Irr!T17+s_Irr!AS17)),IF(AND(s_Irr!T17&lt;&gt;".",s_Irr!AS17=".",s_Irr!BR17&lt;&gt;"."),s_dir!AU17/((1/1000)*(s_Irr!T17+s_Irr!BR17)),IF(AND(s_Irr!T17=".",s_Irr!AS17&lt;&gt;".",s_Irr!BR17&lt;&gt;"."),s_dir!AU17/((1/1000)*(s_Irr!AS17+s_Irr!BR17)),IF(AND(s_Irr!T17=".",s_Irr!AS17=".",s_Irr!BR17&lt;&gt;"."),s_dir!AU17/((1/1000)*(s_Irr!BR17)),IF(AND(s_Irr!T17=".",s_Irr!AS17&lt;&gt;".",s_Irr!BR17="."),s_dir!AU17/((1/1000)*(s_Irr!AS17)),IF(AND(s_Irr!T17&lt;&gt;".",s_Irr!AS17=".",s_Irr!BR17="."),s_dir!AU17/((1/1000)*(s_Irr!T17)),IF(AND(s_Irr!T17=".",s_Irr!AS17=".",s_Irr!BR17="."),s_dir!AU17*1000)))))))),".")</f>
        <v>46468.095423883395</v>
      </c>
      <c r="BV17" s="76">
        <f>IFERROR(IF(AND(s_Irr!U17&lt;&gt;".",s_Irr!AT17&lt;&gt;".",s_Irr!BS17&lt;&gt;"."),s_dir!AV17/((1/1000)*(s_Irr!U17+s_Irr!AT17+s_Irr!BS17)),IF(AND(s_Irr!U17&lt;&gt;".",s_Irr!AT17&lt;&gt;".",s_Irr!BS17="."),s_dir!AV17/((1/1000)*(s_Irr!U17+s_Irr!AT17)),IF(AND(s_Irr!U17&lt;&gt;".",s_Irr!AT17=".",s_Irr!BS17&lt;&gt;"."),s_dir!AV17/((1/1000)*(s_Irr!U17+s_Irr!BS17)),IF(AND(s_Irr!U17=".",s_Irr!AT17&lt;&gt;".",s_Irr!BS17&lt;&gt;"."),s_dir!AV17/((1/1000)*(s_Irr!AT17+s_Irr!BS17)),IF(AND(s_Irr!U17=".",s_Irr!AT17=".",s_Irr!BS17&lt;&gt;"."),s_dir!AV17/((1/1000)*(s_Irr!BS17)),IF(AND(s_Irr!U17=".",s_Irr!AT17&lt;&gt;".",s_Irr!BS17="."),s_dir!AV17/((1/1000)*(s_Irr!AT17)),IF(AND(s_Irr!U17&lt;&gt;".",s_Irr!AT17=".",s_Irr!BS17="."),s_dir!AV17/((1/1000)*(s_Irr!U17)),IF(AND(s_Irr!U17=".",s_Irr!AT17=".",s_Irr!BS17="."),s_dir!AV17*1000)))))))),".")</f>
        <v>56859.947173814537</v>
      </c>
      <c r="BW17" s="76">
        <f>IFERROR(IF(AND(s_Irr!V17&lt;&gt;".",s_Irr!AU17&lt;&gt;".",s_Irr!BT17&lt;&gt;"."),s_dir!AW17/((1/1000)*(s_Irr!V17+s_Irr!AU17+s_Irr!BT17)),IF(AND(s_Irr!V17&lt;&gt;".",s_Irr!AU17&lt;&gt;".",s_Irr!BT17="."),s_dir!AW17/((1/1000)*(s_Irr!V17+s_Irr!AU17)),IF(AND(s_Irr!V17&lt;&gt;".",s_Irr!AU17=".",s_Irr!BT17&lt;&gt;"."),s_dir!AW17/((1/1000)*(s_Irr!V17+s_Irr!BT17)),IF(AND(s_Irr!V17=".",s_Irr!AU17&lt;&gt;".",s_Irr!BT17&lt;&gt;"."),s_dir!AW17/((1/1000)*(s_Irr!AU17+s_Irr!BT17)),IF(AND(s_Irr!V17=".",s_Irr!AU17=".",s_Irr!BT17&lt;&gt;"."),s_dir!AW17/((1/1000)*(s_Irr!BT17)),IF(AND(s_Irr!V17=".",s_Irr!AU17&lt;&gt;".",s_Irr!BT17="."),s_dir!AW17/((1/1000)*(s_Irr!AU17)),IF(AND(s_Irr!V17&lt;&gt;".",s_Irr!AU17=".",s_Irr!BT17="."),s_dir!AW17/((1/1000)*(s_Irr!V17)),IF(AND(s_Irr!V17=".",s_Irr!AU17=".",s_Irr!BT17="."),s_dir!AW17*1000)))))))),".")</f>
        <v>46468.095423883395</v>
      </c>
      <c r="BX17" s="76">
        <f>IFERROR(IF(AND(s_Irr!W17&lt;&gt;".",s_Irr!AV17&lt;&gt;".",s_Irr!BU17&lt;&gt;"."),s_dir!AX17/((1/1000)*(s_Irr!W17+s_Irr!AV17+s_Irr!BU17)),IF(AND(s_Irr!W17&lt;&gt;".",s_Irr!AV17&lt;&gt;".",s_Irr!BU17="."),s_dir!AX17/((1/1000)*(s_Irr!W17+s_Irr!AV17)),IF(AND(s_Irr!W17&lt;&gt;".",s_Irr!AV17=".",s_Irr!BU17&lt;&gt;"."),s_dir!AX17/((1/1000)*(s_Irr!W17+s_Irr!BU17)),IF(AND(s_Irr!W17=".",s_Irr!AV17&lt;&gt;".",s_Irr!BU17&lt;&gt;"."),s_dir!AX17/((1/1000)*(s_Irr!AV17+s_Irr!BU17)),IF(AND(s_Irr!W17=".",s_Irr!AV17=".",s_Irr!BU17&lt;&gt;"."),s_dir!AX17/((1/1000)*(s_Irr!BU17)),IF(AND(s_Irr!W17=".",s_Irr!AV17&lt;&gt;".",s_Irr!BU17="."),s_dir!AX17/((1/1000)*(s_Irr!AV17)),IF(AND(s_Irr!W17&lt;&gt;".",s_Irr!AV17=".",s_Irr!BU17="."),s_dir!AX17/((1/1000)*(s_Irr!W17)),IF(AND(s_Irr!W17=".",s_Irr!AV17=".",s_Irr!BU17="."),s_dir!AX17*1000)))))))),".")</f>
        <v>53492.645875829985</v>
      </c>
      <c r="BY17" s="76">
        <f>IFERROR(IF(AND(s_Irr!X17&lt;&gt;".",s_Irr!AW17&lt;&gt;".",s_Irr!BV17&lt;&gt;"."),s_dir!AY17/((1/1000)*(s_Irr!X17+s_Irr!AW17+s_Irr!BV17)),IF(AND(s_Irr!X17&lt;&gt;".",s_Irr!AW17&lt;&gt;".",s_Irr!BV17="."),s_dir!AY17/((1/1000)*(s_Irr!X17+s_Irr!AW17)),IF(AND(s_Irr!X17&lt;&gt;".",s_Irr!AW17=".",s_Irr!BV17&lt;&gt;"."),s_dir!AY17/((1/1000)*(s_Irr!X17+s_Irr!BV17)),IF(AND(s_Irr!X17=".",s_Irr!AW17&lt;&gt;".",s_Irr!BV17&lt;&gt;"."),s_dir!AY17/((1/1000)*(s_Irr!AW17+s_Irr!BV17)),IF(AND(s_Irr!X17=".",s_Irr!AW17=".",s_Irr!BV17&lt;&gt;"."),s_dir!AY17/((1/1000)*(s_Irr!BV17)),IF(AND(s_Irr!X17=".",s_Irr!AW17&lt;&gt;".",s_Irr!BV17="."),s_dir!AY17/((1/1000)*(s_Irr!AW17)),IF(AND(s_Irr!X17&lt;&gt;".",s_Irr!AW17=".",s_Irr!BV17="."),s_dir!AY17/((1/1000)*(s_Irr!X17)),IF(AND(s_Irr!X17=".",s_Irr!AW17=".",s_Irr!BV17="."),s_dir!AY17*1000)))))))),".")</f>
        <v>49841.878277150514</v>
      </c>
      <c r="BZ17" s="76">
        <f>IFERROR(IF(AND(s_Irr!Y17&lt;&gt;".",s_Irr!AX17&lt;&gt;".",s_Irr!BW17&lt;&gt;"."),s_dir!AZ17/((1/1000)*(s_Irr!Y17+s_Irr!AX17+s_Irr!BW17)),IF(AND(s_Irr!Y17&lt;&gt;".",s_Irr!AX17&lt;&gt;".",s_Irr!BW17="."),s_dir!AZ17/((1/1000)*(s_Irr!Y17+s_Irr!AX17)),IF(AND(s_Irr!Y17&lt;&gt;".",s_Irr!AX17=".",s_Irr!BW17&lt;&gt;"."),s_dir!AZ17/((1/1000)*(s_Irr!Y17+s_Irr!BW17)),IF(AND(s_Irr!Y17=".",s_Irr!AX17&lt;&gt;".",s_Irr!BW17&lt;&gt;"."),s_dir!AZ17/((1/1000)*(s_Irr!AX17+s_Irr!BW17)),IF(AND(s_Irr!Y17=".",s_Irr!AX17=".",s_Irr!BW17&lt;&gt;"."),s_dir!AZ17/((1/1000)*(s_Irr!BW17)),IF(AND(s_Irr!Y17=".",s_Irr!AX17&lt;&gt;".",s_Irr!BW17="."),s_dir!AZ17/((1/1000)*(s_Irr!AX17)),IF(AND(s_Irr!Y17&lt;&gt;".",s_Irr!AX17=".",s_Irr!BW17="."),s_dir!AZ17/((1/1000)*(s_Irr!Y17)),IF(AND(s_Irr!Y17=".",s_Irr!AX17=".",s_Irr!BW17="."),s_dir!AZ17*1000)))))))),".")</f>
        <v>46468.095423883395</v>
      </c>
      <c r="CA17" s="76">
        <f>IFERROR(IF(AND(s_Irr!Z17&lt;&gt;".",s_Irr!AY17&lt;&gt;".",s_Irr!BX17&lt;&gt;"."),s_dir!BA17/((1/1000)*(s_Irr!Z17+s_Irr!AY17+s_Irr!BX17)),IF(AND(s_Irr!Z17&lt;&gt;".",s_Irr!AY17&lt;&gt;".",s_Irr!BX17="."),s_dir!BA17/((1/1000)*(s_Irr!Z17+s_Irr!AY17)),IF(AND(s_Irr!Z17&lt;&gt;".",s_Irr!AY17=".",s_Irr!BX17&lt;&gt;"."),s_dir!BA17/((1/1000)*(s_Irr!Z17+s_Irr!BX17)),IF(AND(s_Irr!Z17=".",s_Irr!AY17&lt;&gt;".",s_Irr!BX17&lt;&gt;"."),s_dir!BA17/((1/1000)*(s_Irr!AY17+s_Irr!BX17)),IF(AND(s_Irr!Z17=".",s_Irr!AY17=".",s_Irr!BX17&lt;&gt;"."),s_dir!BA17/((1/1000)*(s_Irr!BX17)),IF(AND(s_Irr!Z17=".",s_Irr!AY17&lt;&gt;".",s_Irr!BX17="."),s_dir!BA17/((1/1000)*(s_Irr!AY17)),IF(AND(s_Irr!Z17&lt;&gt;".",s_Irr!AY17=".",s_Irr!BX17="."),s_dir!BA17/((1/1000)*(s_Irr!Z17)),IF(AND(s_Irr!Z17=".",s_Irr!AY17=".",s_Irr!BX17="."),s_dir!BA17*1000)))))))),".")</f>
        <v>58022.97379394788</v>
      </c>
      <c r="CB17" s="76">
        <f>IFERROR(IF(AND(s_Irr!AA17&lt;&gt;".",s_Irr!AZ17&lt;&gt;".",s_Irr!BY17&lt;&gt;"."),s_dir!BB17/((1/1000)*(s_Irr!AA17+s_Irr!AZ17+s_Irr!BY17)),IF(AND(s_Irr!AA17&lt;&gt;".",s_Irr!AZ17&lt;&gt;".",s_Irr!BY17="."),s_dir!BB17/((1/1000)*(s_Irr!AA17+s_Irr!AZ17)),IF(AND(s_Irr!AA17&lt;&gt;".",s_Irr!AZ17=".",s_Irr!BY17&lt;&gt;"."),s_dir!BB17/((1/1000)*(s_Irr!AA17+s_Irr!BY17)),IF(AND(s_Irr!AA17=".",s_Irr!AZ17&lt;&gt;".",s_Irr!BY17&lt;&gt;"."),s_dir!BB17/((1/1000)*(s_Irr!AZ17+s_Irr!BY17)),IF(AND(s_Irr!AA17=".",s_Irr!AZ17=".",s_Irr!BY17&lt;&gt;"."),s_dir!BB17/((1/1000)*(s_Irr!BY17)),IF(AND(s_Irr!AA17=".",s_Irr!AZ17&lt;&gt;".",s_Irr!BY17="."),s_dir!BB17/((1/1000)*(s_Irr!AZ17)),IF(AND(s_Irr!AA17&lt;&gt;".",s_Irr!AZ17=".",s_Irr!BY17="."),s_dir!BB17/((1/1000)*(s_Irr!AA17)),IF(AND(s_Irr!AA17=".",s_Irr!AZ17=".",s_Irr!BY17="."),s_dir!BB17*1000)))))))),".")</f>
        <v>49128.490490066419</v>
      </c>
      <c r="CC17" s="93">
        <f t="shared" si="2"/>
        <v>8167.2097807406062</v>
      </c>
      <c r="CD17" s="93">
        <f>IFERROR(s_C*s_IFAP_far_adj*s_CF_apple*(1/1000)*(s_Irr!C17+s_Irr!AB17+s_Irr!BA17),".")</f>
        <v>2069.677052148757</v>
      </c>
      <c r="CE17" s="93">
        <f>IFERROR(s_C*s_IFAS_far_adj*s_CF_asparagus*(1/1000)*(s_Irr!D17+s_Irr!AC17+s_Irr!BB17),".")</f>
        <v>4173.4209739302823</v>
      </c>
      <c r="CF17" s="93">
        <f>IFERROR(s_C*s_IFBT_far_adj*s_CF_beet*(1/1000)*(s_Irr!E17+s_Irr!AD17+s_Irr!BC17),".")</f>
        <v>2219.9444751331516</v>
      </c>
      <c r="CG17" s="93">
        <f>IFERROR(s_C*s_IFBE_far_adj*s_CF_berries*(1/1000)*(s_Irr!F17+s_Irr!AE17+s_Irr!BD17),".")</f>
        <v>2069.677052148757</v>
      </c>
      <c r="CH17" s="93">
        <f>IFERROR(s_C*s_IFBR_far_adj*s_CF_broccoli*(1/1000)*(s_Irr!G17+s_Irr!AF17+s_Irr!BE17),".")</f>
        <v>2219.9444751331516</v>
      </c>
      <c r="CI17" s="93">
        <f>IFERROR(s_C*s_IFCB_far_adj*s_CF_cabbage*(1/1000)*(s_Irr!H17+s_Irr!AG17+s_Irr!BF17),".")</f>
        <v>4173.4209739302823</v>
      </c>
      <c r="CJ17" s="93">
        <f>IFERROR(s_C*s_IFCR_far_adj*s_CF_carrot*(1/1000)*(s_Irr!I17+s_Irr!AH17+s_Irr!BG17),".")</f>
        <v>2219.9444751331516</v>
      </c>
      <c r="CK17" s="93">
        <f>IFERROR(s_C*s_IFCI_far_adj*s_CF_citrus*(1/1000)*(s_Irr!J17+s_Irr!AI17+s_Irr!BH17),".")</f>
        <v>2069.677052148757</v>
      </c>
      <c r="CL17" s="93">
        <f>IFERROR(s_C*s_IFCO_far_adj*s_CF_corn*(1/1000)*(s_Irr!K17+s_Irr!AJ17+s_Irr!BI17),".")</f>
        <v>1805.2063876962222</v>
      </c>
      <c r="CM17" s="93">
        <f>IFERROR(s_C*s_IFCU_far_adj*s_CF_cucumber*(1/1000)*(s_Irr!L17+s_Irr!AK17+s_Irr!BJ17),".")</f>
        <v>2219.9444751331516</v>
      </c>
      <c r="CN17" s="93">
        <f>IFERROR(s_C*s_IFLE_far_adj*s_CF_lettuce*(1/1000)*(s_Irr!M17+s_Irr!AL17+s_Irr!BK17),".")</f>
        <v>4173.4209739302823</v>
      </c>
      <c r="CO17" s="93">
        <f>IFERROR(s_C*s_IFLI_far_adj*s_CF_lima_bean*(1/1000)*(s_Irr!N17+s_Irr!AM17+s_Irr!BL17),".")</f>
        <v>1928.4256745434257</v>
      </c>
      <c r="CP17" s="93">
        <f>IFERROR(s_C*s_IFOK_far_adj*s_CF_okra*(1/1000)*(s_Irr!O17+s_Irr!AN17+s_Irr!BM17),".")</f>
        <v>2219.9444751331516</v>
      </c>
      <c r="CQ17" s="93">
        <f>IFERROR(s_C*s_IFON_far_adj*s_CF_onion*(1/1000)*(s_Irr!P17+s_Irr!AO17+s_Irr!BN17),".")</f>
        <v>2219.9444751331516</v>
      </c>
      <c r="CR17" s="93">
        <f>IFERROR(s_C*s_IFPC_far_adj*s_CF_peach*(1/1000)*(s_Irr!Q17+s_Irr!AP17+s_Irr!BO17),".")</f>
        <v>2069.677052148757</v>
      </c>
      <c r="CS17" s="93">
        <f>IFERROR(s_C*s_IFPR_far_adj*s_CF_pear*(1/1000)*(s_Irr!R17+s_Irr!AQ17+s_Irr!BP17),".")</f>
        <v>2069.677052148757</v>
      </c>
      <c r="CT17" s="93">
        <f>IFERROR(s_C*s_IFPE_far_adj*s_CF_peas*(1/1000)*(s_Irr!S17+s_Irr!AR17+s_Irr!BQ17),".")</f>
        <v>1928.4256745434257</v>
      </c>
      <c r="CU17" s="93">
        <f>IFERROR(s_C*s_IFPP_far_adj*s_CF_peppers*(1/1000)*(s_Irr!T17+s_Irr!AS17+s_Irr!BR17),".")</f>
        <v>2219.9444751331516</v>
      </c>
      <c r="CV17" s="93">
        <f>IFERROR(s_C*s_IFPT_far_adj*s_CF_potato*(1/1000)*(s_Irr!U17+s_Irr!AT17+s_Irr!BS17),".")</f>
        <v>1814.2224330752858</v>
      </c>
      <c r="CW17" s="93">
        <f>IFERROR(s_C*s_IFPU_far_adj*s_CF_pumpkin*(1/1000)*(s_Irr!V17+s_Irr!AU17+s_Irr!BT17),".")</f>
        <v>2219.9444751331516</v>
      </c>
      <c r="CX17" s="93">
        <f>IFERROR(s_C*s_IFSN_far_adj*s_CF_snap_bean*(1/1000)*(s_Irr!W17+s_Irr!AV17+s_Irr!BU17),".")</f>
        <v>1928.4256745434257</v>
      </c>
      <c r="CY17" s="93">
        <f>IFERROR(s_C*s_IFST_far_adj*s_CF_strawberry*(1/1000)*(s_Irr!X17+s_Irr!AW17+s_Irr!BV17),".")</f>
        <v>2069.677052148757</v>
      </c>
      <c r="CZ17" s="93">
        <f>IFERROR(s_C*s_IFTO_far_adj*s_CF_tomato*(1/1000)*(s_Irr!Y17+s_Irr!AX17+s_Irr!BW17),".")</f>
        <v>2219.9444751331516</v>
      </c>
      <c r="DA17" s="93">
        <f>IFERROR(s_C*s_IFRI_far_adj*s_CF_rice*(1/1000)*(s_Irr!Z17+s_Irr!AY17+s_Irr!BX17),".")</f>
        <v>1777.8577167130622</v>
      </c>
      <c r="DB17" s="93">
        <f>IFERROR(s_C*s_IFCG_far_adj*s_CF_cereal*(1/1000)*(s_Irr!AA17+s_Irr!AZ17+s_Irr!BY17),".")</f>
        <v>2099.7305367456356</v>
      </c>
    </row>
    <row r="18" spans="1:106" ht="15" customHeight="1" x14ac:dyDescent="0.25">
      <c r="A18" s="92" t="s">
        <v>28</v>
      </c>
      <c r="B18" s="90" t="s">
        <v>1071</v>
      </c>
      <c r="C18" s="15">
        <f t="shared" si="3"/>
        <v>2.9639594254894632</v>
      </c>
      <c r="D18" s="76">
        <f>IFERROR(IF(AND(s_Irr!C18&lt;&gt;".",s_Irr!AB18&lt;&gt;".",s_Irr!BA18&lt;&gt;"."),s_dir!D18/((1/1000)*(s_Irr!C18+s_Irr!AB18+s_Irr!BA18)),IF(AND(s_Irr!C18&lt;&gt;".",s_Irr!AB18&lt;&gt;".",s_Irr!BA18="."),s_dir!D18/((1/1000)*(s_Irr!C18+s_Irr!AB18)),IF(AND(s_Irr!C18&lt;&gt;".",s_Irr!AB18=".",s_Irr!BA18&lt;&gt;"."),s_dir!D18/((1/1000)*(s_Irr!C18+s_Irr!BA18)),IF(AND(s_Irr!C18=".",s_Irr!AB18&lt;&gt;".",s_Irr!BA18&lt;&gt;"."),s_dir!D18/((1/1000)*(s_Irr!AB18+s_Irr!BA18)),IF(AND(s_Irr!C18=".",s_Irr!AB18=".",s_Irr!BA18&lt;&gt;"."),s_dir!D18/((1/1000)*(s_Irr!BA18)),IF(AND(s_Irr!C18=".",s_Irr!AB18&lt;&gt;".",s_Irr!BA18="."),s_dir!D18/((1/1000)*(s_Irr!AB18)),IF(AND(s_Irr!C18&lt;&gt;".",s_Irr!AB18=".",s_Irr!BA18="."),s_dir!D18/((1/1000)*(s_Irr!C18)),IF(AND(s_Irr!C18=".",s_Irr!AB18=".",s_Irr!BA18="."),s_dir!D18*1000)))))))),".")</f>
        <v>12.500149887566812</v>
      </c>
      <c r="E18" s="76">
        <f>IFERROR(IF(AND(s_Irr!D18&lt;&gt;".",s_Irr!AC18&lt;&gt;".",s_Irr!BB18&lt;&gt;"."),s_dir!E18/((1/1000)*(s_Irr!D18+s_Irr!AC18+s_Irr!BB18)),IF(AND(s_Irr!D18&lt;&gt;".",s_Irr!AC18&lt;&gt;".",s_Irr!BB18="."),s_dir!E18/((1/1000)*(s_Irr!D18+s_Irr!AC18)),IF(AND(s_Irr!D18&lt;&gt;".",s_Irr!AC18=".",s_Irr!BB18&lt;&gt;"."),s_dir!E18/((1/1000)*(s_Irr!D18+s_Irr!BB18)),IF(AND(s_Irr!D18=".",s_Irr!AC18&lt;&gt;".",s_Irr!BB18&lt;&gt;"."),s_dir!E18/((1/1000)*(s_Irr!AC18+s_Irr!BB18)),IF(AND(s_Irr!D18=".",s_Irr!AC18=".",s_Irr!BB18&lt;&gt;"."),s_dir!E18/((1/1000)*(s_Irr!BB18)),IF(AND(s_Irr!D18=".",s_Irr!AC18&lt;&gt;".",s_Irr!BB18="."),s_dir!E18/((1/1000)*(s_Irr!AC18)),IF(AND(s_Irr!D18&lt;&gt;".",s_Irr!AC18=".",s_Irr!BB18="."),s_dir!E18/((1/1000)*(s_Irr!D18)),IF(AND(s_Irr!D18=".",s_Irr!AC18=".",s_Irr!BB18="."),s_dir!E18*1000)))))))),".")</f>
        <v>11.141980443774338</v>
      </c>
      <c r="F18" s="76">
        <f>IFERROR(IF(AND(s_Irr!E18&lt;&gt;".",s_Irr!AD18&lt;&gt;".",s_Irr!BC18&lt;&gt;"."),s_dir!F18/((1/1000)*(s_Irr!E18+s_Irr!AD18+s_Irr!BC18)),IF(AND(s_Irr!E18&lt;&gt;".",s_Irr!AD18&lt;&gt;".",s_Irr!BC18="."),s_dir!F18/((1/1000)*(s_Irr!E18+s_Irr!AD18)),IF(AND(s_Irr!E18&lt;&gt;".",s_Irr!AD18=".",s_Irr!BC18&lt;&gt;"."),s_dir!F18/((1/1000)*(s_Irr!E18+s_Irr!BC18)),IF(AND(s_Irr!E18=".",s_Irr!AD18&lt;&gt;".",s_Irr!BC18&lt;&gt;"."),s_dir!F18/((1/1000)*(s_Irr!AD18+s_Irr!BC18)),IF(AND(s_Irr!E18=".",s_Irr!AD18=".",s_Irr!BC18&lt;&gt;"."),s_dir!F18/((1/1000)*(s_Irr!BC18)),IF(AND(s_Irr!E18=".",s_Irr!AD18&lt;&gt;".",s_Irr!BC18="."),s_dir!F18/((1/1000)*(s_Irr!AD18)),IF(AND(s_Irr!E18&lt;&gt;".",s_Irr!AD18=".",s_Irr!BC18="."),s_dir!F18/((1/1000)*(s_Irr!E18)),IF(AND(s_Irr!E18=".",s_Irr!AD18=".",s_Irr!BC18="."),s_dir!F18*1000)))))))),".")</f>
        <v>11.417659197516995</v>
      </c>
      <c r="G18" s="76">
        <f>IFERROR(IF(AND(s_Irr!F18&lt;&gt;".",s_Irr!AE18&lt;&gt;".",s_Irr!BD18&lt;&gt;"."),s_dir!G18/((1/1000)*(s_Irr!F18+s_Irr!AE18+s_Irr!BD18)),IF(AND(s_Irr!F18&lt;&gt;".",s_Irr!AE18&lt;&gt;".",s_Irr!BD18="."),s_dir!G18/((1/1000)*(s_Irr!F18+s_Irr!AE18)),IF(AND(s_Irr!F18&lt;&gt;".",s_Irr!AE18=".",s_Irr!BD18&lt;&gt;"."),s_dir!G18/((1/1000)*(s_Irr!F18+s_Irr!BD18)),IF(AND(s_Irr!F18=".",s_Irr!AE18&lt;&gt;".",s_Irr!BD18&lt;&gt;"."),s_dir!G18/((1/1000)*(s_Irr!AE18+s_Irr!BD18)),IF(AND(s_Irr!F18=".",s_Irr!AE18=".",s_Irr!BD18&lt;&gt;"."),s_dir!G18/((1/1000)*(s_Irr!BD18)),IF(AND(s_Irr!F18=".",s_Irr!AE18&lt;&gt;".",s_Irr!BD18="."),s_dir!G18/((1/1000)*(s_Irr!AE18)),IF(AND(s_Irr!F18&lt;&gt;".",s_Irr!AE18=".",s_Irr!BD18="."),s_dir!G18/((1/1000)*(s_Irr!F18)),IF(AND(s_Irr!F18=".",s_Irr!AE18=".",s_Irr!BD18="."),s_dir!G18*1000)))))))),".")</f>
        <v>12.500149887566812</v>
      </c>
      <c r="H18" s="76">
        <f>IFERROR(IF(AND(s_Irr!G18&lt;&gt;".",s_Irr!AF18&lt;&gt;".",s_Irr!BE18&lt;&gt;"."),s_dir!H18/((1/1000)*(s_Irr!G18+s_Irr!AF18+s_Irr!BE18)),IF(AND(s_Irr!G18&lt;&gt;".",s_Irr!AF18&lt;&gt;".",s_Irr!BE18="."),s_dir!H18/((1/1000)*(s_Irr!G18+s_Irr!AF18)),IF(AND(s_Irr!G18&lt;&gt;".",s_Irr!AF18=".",s_Irr!BE18&lt;&gt;"."),s_dir!H18/((1/1000)*(s_Irr!G18+s_Irr!BE18)),IF(AND(s_Irr!G18=".",s_Irr!AF18&lt;&gt;".",s_Irr!BE18&lt;&gt;"."),s_dir!H18/((1/1000)*(s_Irr!AF18+s_Irr!BE18)),IF(AND(s_Irr!G18=".",s_Irr!AF18=".",s_Irr!BE18&lt;&gt;"."),s_dir!H18/((1/1000)*(s_Irr!BE18)),IF(AND(s_Irr!G18=".",s_Irr!AF18&lt;&gt;".",s_Irr!BE18="."),s_dir!H18/((1/1000)*(s_Irr!AF18)),IF(AND(s_Irr!G18&lt;&gt;".",s_Irr!AF18=".",s_Irr!BE18="."),s_dir!H18/((1/1000)*(s_Irr!G18)),IF(AND(s_Irr!G18=".",s_Irr!AF18=".",s_Irr!BE18="."),s_dir!H18*1000)))))))),".")</f>
        <v>12.500149887566812</v>
      </c>
      <c r="I18" s="76">
        <f>IFERROR(IF(AND(s_Irr!H18&lt;&gt;".",s_Irr!AG18&lt;&gt;".",s_Irr!BF18&lt;&gt;"."),s_dir!I18/((1/1000)*(s_Irr!H18+s_Irr!AG18+s_Irr!BF18)),IF(AND(s_Irr!H18&lt;&gt;".",s_Irr!AG18&lt;&gt;".",s_Irr!BF18="."),s_dir!I18/((1/1000)*(s_Irr!H18+s_Irr!AG18)),IF(AND(s_Irr!H18&lt;&gt;".",s_Irr!AG18=".",s_Irr!BF18&lt;&gt;"."),s_dir!I18/((1/1000)*(s_Irr!H18+s_Irr!BF18)),IF(AND(s_Irr!H18=".",s_Irr!AG18&lt;&gt;".",s_Irr!BF18&lt;&gt;"."),s_dir!I18/((1/1000)*(s_Irr!AG18+s_Irr!BF18)),IF(AND(s_Irr!H18=".",s_Irr!AG18=".",s_Irr!BF18&lt;&gt;"."),s_dir!I18/((1/1000)*(s_Irr!BF18)),IF(AND(s_Irr!H18=".",s_Irr!AG18&lt;&gt;".",s_Irr!BF18="."),s_dir!I18/((1/1000)*(s_Irr!AG18)),IF(AND(s_Irr!H18&lt;&gt;".",s_Irr!AG18=".",s_Irr!BF18="."),s_dir!I18/((1/1000)*(s_Irr!H18)),IF(AND(s_Irr!H18=".",s_Irr!AG18=".",s_Irr!BF18="."),s_dir!I18*1000)))))))),".")</f>
        <v>11.141980443774338</v>
      </c>
      <c r="J18" s="76">
        <f>IFERROR(IF(AND(s_Irr!I18&lt;&gt;".",s_Irr!AH18&lt;&gt;".",s_Irr!BG18&lt;&gt;"."),s_dir!J18/((1/1000)*(s_Irr!I18+s_Irr!AH18+s_Irr!BG18)),IF(AND(s_Irr!I18&lt;&gt;".",s_Irr!AH18&lt;&gt;".",s_Irr!BG18="."),s_dir!J18/((1/1000)*(s_Irr!I18+s_Irr!AH18)),IF(AND(s_Irr!I18&lt;&gt;".",s_Irr!AH18=".",s_Irr!BG18&lt;&gt;"."),s_dir!J18/((1/1000)*(s_Irr!I18+s_Irr!BG18)),IF(AND(s_Irr!I18=".",s_Irr!AH18&lt;&gt;".",s_Irr!BG18&lt;&gt;"."),s_dir!J18/((1/1000)*(s_Irr!AH18+s_Irr!BG18)),IF(AND(s_Irr!I18=".",s_Irr!AH18=".",s_Irr!BG18&lt;&gt;"."),s_dir!J18/((1/1000)*(s_Irr!BG18)),IF(AND(s_Irr!I18=".",s_Irr!AH18&lt;&gt;".",s_Irr!BG18="."),s_dir!J18/((1/1000)*(s_Irr!AH18)),IF(AND(s_Irr!I18&lt;&gt;".",s_Irr!AH18=".",s_Irr!BG18="."),s_dir!J18/((1/1000)*(s_Irr!I18)),IF(AND(s_Irr!I18=".",s_Irr!AH18=".",s_Irr!BG18="."),s_dir!J18*1000)))))))),".")</f>
        <v>11.417659197516995</v>
      </c>
      <c r="K18" s="76">
        <f>IFERROR(IF(AND(s_Irr!J18&lt;&gt;".",s_Irr!AI18&lt;&gt;".",s_Irr!BH18&lt;&gt;"."),s_dir!K18/((1/1000)*(s_Irr!J18+s_Irr!AI18+s_Irr!BH18)),IF(AND(s_Irr!J18&lt;&gt;".",s_Irr!AI18&lt;&gt;".",s_Irr!BH18="."),s_dir!K18/((1/1000)*(s_Irr!J18+s_Irr!AI18)),IF(AND(s_Irr!J18&lt;&gt;".",s_Irr!AI18=".",s_Irr!BH18&lt;&gt;"."),s_dir!K18/((1/1000)*(s_Irr!J18+s_Irr!BH18)),IF(AND(s_Irr!J18=".",s_Irr!AI18&lt;&gt;".",s_Irr!BH18&lt;&gt;"."),s_dir!K18/((1/1000)*(s_Irr!AI18+s_Irr!BH18)),IF(AND(s_Irr!J18=".",s_Irr!AI18=".",s_Irr!BH18&lt;&gt;"."),s_dir!K18/((1/1000)*(s_Irr!BH18)),IF(AND(s_Irr!J18=".",s_Irr!AI18&lt;&gt;".",s_Irr!BH18="."),s_dir!K18/((1/1000)*(s_Irr!AI18)),IF(AND(s_Irr!J18&lt;&gt;".",s_Irr!AI18=".",s_Irr!BH18="."),s_dir!K18/((1/1000)*(s_Irr!J18)),IF(AND(s_Irr!J18=".",s_Irr!AI18=".",s_Irr!BH18="."),s_dir!K18*1000)))))))),".")</f>
        <v>12.500149887566812</v>
      </c>
      <c r="L18" s="76">
        <f>IFERROR(IF(AND(s_Irr!K18&lt;&gt;".",s_Irr!AJ18&lt;&gt;".",s_Irr!BI18&lt;&gt;"."),s_dir!L18/((1/1000)*(s_Irr!K18+s_Irr!AJ18+s_Irr!BI18)),IF(AND(s_Irr!K18&lt;&gt;".",s_Irr!AJ18&lt;&gt;".",s_Irr!BI18="."),s_dir!L18/((1/1000)*(s_Irr!K18+s_Irr!AJ18)),IF(AND(s_Irr!K18&lt;&gt;".",s_Irr!AJ18=".",s_Irr!BI18&lt;&gt;"."),s_dir!L18/((1/1000)*(s_Irr!K18+s_Irr!BI18)),IF(AND(s_Irr!K18=".",s_Irr!AJ18&lt;&gt;".",s_Irr!BI18&lt;&gt;"."),s_dir!L18/((1/1000)*(s_Irr!AJ18+s_Irr!BI18)),IF(AND(s_Irr!K18=".",s_Irr!AJ18=".",s_Irr!BI18&lt;&gt;"."),s_dir!L18/((1/1000)*(s_Irr!BI18)),IF(AND(s_Irr!K18=".",s_Irr!AJ18&lt;&gt;".",s_Irr!BI18="."),s_dir!L18/((1/1000)*(s_Irr!AJ18)),IF(AND(s_Irr!K18&lt;&gt;".",s_Irr!AJ18=".",s_Irr!BI18="."),s_dir!L18/((1/1000)*(s_Irr!K18)),IF(AND(s_Irr!K18=".",s_Irr!AJ18=".",s_Irr!BI18="."),s_dir!L18*1000)))))))),".")</f>
        <v>12.491690473696947</v>
      </c>
      <c r="M18" s="76">
        <f>IFERROR(IF(AND(s_Irr!L18&lt;&gt;".",s_Irr!AK18&lt;&gt;".",s_Irr!BJ18&lt;&gt;"."),s_dir!M18/((1/1000)*(s_Irr!L18+s_Irr!AK18+s_Irr!BJ18)),IF(AND(s_Irr!L18&lt;&gt;".",s_Irr!AK18&lt;&gt;".",s_Irr!BJ18="."),s_dir!M18/((1/1000)*(s_Irr!L18+s_Irr!AK18)),IF(AND(s_Irr!L18&lt;&gt;".",s_Irr!AK18=".",s_Irr!BJ18&lt;&gt;"."),s_dir!M18/((1/1000)*(s_Irr!L18+s_Irr!BJ18)),IF(AND(s_Irr!L18=".",s_Irr!AK18&lt;&gt;".",s_Irr!BJ18&lt;&gt;"."),s_dir!M18/((1/1000)*(s_Irr!AK18+s_Irr!BJ18)),IF(AND(s_Irr!L18=".",s_Irr!AK18=".",s_Irr!BJ18&lt;&gt;"."),s_dir!M18/((1/1000)*(s_Irr!BJ18)),IF(AND(s_Irr!L18=".",s_Irr!AK18&lt;&gt;".",s_Irr!BJ18="."),s_dir!M18/((1/1000)*(s_Irr!AK18)),IF(AND(s_Irr!L18&lt;&gt;".",s_Irr!AK18=".",s_Irr!BJ18="."),s_dir!M18/((1/1000)*(s_Irr!L18)),IF(AND(s_Irr!L18=".",s_Irr!AK18=".",s_Irr!BJ18="."),s_dir!M18*1000)))))))),".")</f>
        <v>12.500149887566812</v>
      </c>
      <c r="N18" s="76">
        <f>IFERROR(IF(AND(s_Irr!M18&lt;&gt;".",s_Irr!AL18&lt;&gt;".",s_Irr!BK18&lt;&gt;"."),s_dir!N18/((1/1000)*(s_Irr!M18+s_Irr!AL18+s_Irr!BK18)),IF(AND(s_Irr!M18&lt;&gt;".",s_Irr!AL18&lt;&gt;".",s_Irr!BK18="."),s_dir!N18/((1/1000)*(s_Irr!M18+s_Irr!AL18)),IF(AND(s_Irr!M18&lt;&gt;".",s_Irr!AL18=".",s_Irr!BK18&lt;&gt;"."),s_dir!N18/((1/1000)*(s_Irr!M18+s_Irr!BK18)),IF(AND(s_Irr!M18=".",s_Irr!AL18&lt;&gt;".",s_Irr!BK18&lt;&gt;"."),s_dir!N18/((1/1000)*(s_Irr!AL18+s_Irr!BK18)),IF(AND(s_Irr!M18=".",s_Irr!AL18=".",s_Irr!BK18&lt;&gt;"."),s_dir!N18/((1/1000)*(s_Irr!BK18)),IF(AND(s_Irr!M18=".",s_Irr!AL18&lt;&gt;".",s_Irr!BK18="."),s_dir!N18/((1/1000)*(s_Irr!AL18)),IF(AND(s_Irr!M18&lt;&gt;".",s_Irr!AL18=".",s_Irr!BK18="."),s_dir!N18/((1/1000)*(s_Irr!M18)),IF(AND(s_Irr!M18=".",s_Irr!AL18=".",s_Irr!BK18="."),s_dir!N18*1000)))))))),".")</f>
        <v>11.141980443774338</v>
      </c>
      <c r="O18" s="76">
        <f>IFERROR(IF(AND(s_Irr!N18&lt;&gt;".",s_Irr!AM18&lt;&gt;".",s_Irr!BL18&lt;&gt;"."),s_dir!O18/((1/1000)*(s_Irr!N18+s_Irr!AM18+s_Irr!BL18)),IF(AND(s_Irr!N18&lt;&gt;".",s_Irr!AM18&lt;&gt;".",s_Irr!BL18="."),s_dir!O18/((1/1000)*(s_Irr!N18+s_Irr!AM18)),IF(AND(s_Irr!N18&lt;&gt;".",s_Irr!AM18=".",s_Irr!BL18&lt;&gt;"."),s_dir!O18/((1/1000)*(s_Irr!N18+s_Irr!BL18)),IF(AND(s_Irr!N18=".",s_Irr!AM18&lt;&gt;".",s_Irr!BL18&lt;&gt;"."),s_dir!O18/((1/1000)*(s_Irr!AM18+s_Irr!BL18)),IF(AND(s_Irr!N18=".",s_Irr!AM18=".",s_Irr!BL18&lt;&gt;"."),s_dir!O18/((1/1000)*(s_Irr!BL18)),IF(AND(s_Irr!N18=".",s_Irr!AM18&lt;&gt;".",s_Irr!BL18="."),s_dir!O18/((1/1000)*(s_Irr!AM18)),IF(AND(s_Irr!N18&lt;&gt;".",s_Irr!AM18=".",s_Irr!BL18="."),s_dir!O18/((1/1000)*(s_Irr!N18)),IF(AND(s_Irr!N18=".",s_Irr!AM18=".",s_Irr!BL18="."),s_dir!O18*1000)))))))),".")</f>
        <v>12.485353423369363</v>
      </c>
      <c r="P18" s="76">
        <f>IFERROR(IF(AND(s_Irr!O18&lt;&gt;".",s_Irr!AN18&lt;&gt;".",s_Irr!BM18&lt;&gt;"."),s_dir!P18/((1/1000)*(s_Irr!O18+s_Irr!AN18+s_Irr!BM18)),IF(AND(s_Irr!O18&lt;&gt;".",s_Irr!AN18&lt;&gt;".",s_Irr!BM18="."),s_dir!P18/((1/1000)*(s_Irr!O18+s_Irr!AN18)),IF(AND(s_Irr!O18&lt;&gt;".",s_Irr!AN18=".",s_Irr!BM18&lt;&gt;"."),s_dir!P18/((1/1000)*(s_Irr!O18+s_Irr!BM18)),IF(AND(s_Irr!O18=".",s_Irr!AN18&lt;&gt;".",s_Irr!BM18&lt;&gt;"."),s_dir!P18/((1/1000)*(s_Irr!AN18+s_Irr!BM18)),IF(AND(s_Irr!O18=".",s_Irr!AN18=".",s_Irr!BM18&lt;&gt;"."),s_dir!P18/((1/1000)*(s_Irr!BM18)),IF(AND(s_Irr!O18=".",s_Irr!AN18&lt;&gt;".",s_Irr!BM18="."),s_dir!P18/((1/1000)*(s_Irr!AN18)),IF(AND(s_Irr!O18&lt;&gt;".",s_Irr!AN18=".",s_Irr!BM18="."),s_dir!P18/((1/1000)*(s_Irr!O18)),IF(AND(s_Irr!O18=".",s_Irr!AN18=".",s_Irr!BM18="."),s_dir!P18*1000)))))))),".")</f>
        <v>12.500149887566812</v>
      </c>
      <c r="Q18" s="76">
        <f>IFERROR(IF(AND(s_Irr!P18&lt;&gt;".",s_Irr!AO18&lt;&gt;".",s_Irr!BN18&lt;&gt;"."),s_dir!Q18/((1/1000)*(s_Irr!P18+s_Irr!AO18+s_Irr!BN18)),IF(AND(s_Irr!P18&lt;&gt;".",s_Irr!AO18&lt;&gt;".",s_Irr!BN18="."),s_dir!Q18/((1/1000)*(s_Irr!P18+s_Irr!AO18)),IF(AND(s_Irr!P18&lt;&gt;".",s_Irr!AO18=".",s_Irr!BN18&lt;&gt;"."),s_dir!Q18/((1/1000)*(s_Irr!P18+s_Irr!BN18)),IF(AND(s_Irr!P18=".",s_Irr!AO18&lt;&gt;".",s_Irr!BN18&lt;&gt;"."),s_dir!Q18/((1/1000)*(s_Irr!AO18+s_Irr!BN18)),IF(AND(s_Irr!P18=".",s_Irr!AO18=".",s_Irr!BN18&lt;&gt;"."),s_dir!Q18/((1/1000)*(s_Irr!BN18)),IF(AND(s_Irr!P18=".",s_Irr!AO18&lt;&gt;".",s_Irr!BN18="."),s_dir!Q18/((1/1000)*(s_Irr!AO18)),IF(AND(s_Irr!P18&lt;&gt;".",s_Irr!AO18=".",s_Irr!BN18="."),s_dir!Q18/((1/1000)*(s_Irr!P18)),IF(AND(s_Irr!P18=".",s_Irr!AO18=".",s_Irr!BN18="."),s_dir!Q18*1000)))))))),".")</f>
        <v>11.417659197516995</v>
      </c>
      <c r="R18" s="76">
        <f>IFERROR(IF(AND(s_Irr!Q18&lt;&gt;".",s_Irr!AP18&lt;&gt;".",s_Irr!BO18&lt;&gt;"."),s_dir!R18/((1/1000)*(s_Irr!Q18+s_Irr!AP18+s_Irr!BO18)),IF(AND(s_Irr!Q18&lt;&gt;".",s_Irr!AP18&lt;&gt;".",s_Irr!BO18="."),s_dir!R18/((1/1000)*(s_Irr!Q18+s_Irr!AP18)),IF(AND(s_Irr!Q18&lt;&gt;".",s_Irr!AP18=".",s_Irr!BO18&lt;&gt;"."),s_dir!R18/((1/1000)*(s_Irr!Q18+s_Irr!BO18)),IF(AND(s_Irr!Q18=".",s_Irr!AP18&lt;&gt;".",s_Irr!BO18&lt;&gt;"."),s_dir!R18/((1/1000)*(s_Irr!AP18+s_Irr!BO18)),IF(AND(s_Irr!Q18=".",s_Irr!AP18=".",s_Irr!BO18&lt;&gt;"."),s_dir!R18/((1/1000)*(s_Irr!BO18)),IF(AND(s_Irr!Q18=".",s_Irr!AP18&lt;&gt;".",s_Irr!BO18="."),s_dir!R18/((1/1000)*(s_Irr!AP18)),IF(AND(s_Irr!Q18&lt;&gt;".",s_Irr!AP18=".",s_Irr!BO18="."),s_dir!R18/((1/1000)*(s_Irr!Q18)),IF(AND(s_Irr!Q18=".",s_Irr!AP18=".",s_Irr!BO18="."),s_dir!R18*1000)))))))),".")</f>
        <v>12.500149887566812</v>
      </c>
      <c r="S18" s="76">
        <f>IFERROR(IF(AND(s_Irr!R18&lt;&gt;".",s_Irr!AQ18&lt;&gt;".",s_Irr!BP18&lt;&gt;"."),s_dir!S18/((1/1000)*(s_Irr!R18+s_Irr!AQ18+s_Irr!BP18)),IF(AND(s_Irr!R18&lt;&gt;".",s_Irr!AQ18&lt;&gt;".",s_Irr!BP18="."),s_dir!S18/((1/1000)*(s_Irr!R18+s_Irr!AQ18)),IF(AND(s_Irr!R18&lt;&gt;".",s_Irr!AQ18=".",s_Irr!BP18&lt;&gt;"."),s_dir!S18/((1/1000)*(s_Irr!R18+s_Irr!BP18)),IF(AND(s_Irr!R18=".",s_Irr!AQ18&lt;&gt;".",s_Irr!BP18&lt;&gt;"."),s_dir!S18/((1/1000)*(s_Irr!AQ18+s_Irr!BP18)),IF(AND(s_Irr!R18=".",s_Irr!AQ18=".",s_Irr!BP18&lt;&gt;"."),s_dir!S18/((1/1000)*(s_Irr!BP18)),IF(AND(s_Irr!R18=".",s_Irr!AQ18&lt;&gt;".",s_Irr!BP18="."),s_dir!S18/((1/1000)*(s_Irr!AQ18)),IF(AND(s_Irr!R18&lt;&gt;".",s_Irr!AQ18=".",s_Irr!BP18="."),s_dir!S18/((1/1000)*(s_Irr!R18)),IF(AND(s_Irr!R18=".",s_Irr!AQ18=".",s_Irr!BP18="."),s_dir!S18*1000)))))))),".")</f>
        <v>12.500149887566812</v>
      </c>
      <c r="T18" s="76">
        <f>IFERROR(IF(AND(s_Irr!S18&lt;&gt;".",s_Irr!AR18&lt;&gt;".",s_Irr!BQ18&lt;&gt;"."),s_dir!T18/((1/1000)*(s_Irr!S18+s_Irr!AR18+s_Irr!BQ18)),IF(AND(s_Irr!S18&lt;&gt;".",s_Irr!AR18&lt;&gt;".",s_Irr!BQ18="."),s_dir!T18/((1/1000)*(s_Irr!S18+s_Irr!AR18)),IF(AND(s_Irr!S18&lt;&gt;".",s_Irr!AR18=".",s_Irr!BQ18&lt;&gt;"."),s_dir!T18/((1/1000)*(s_Irr!S18+s_Irr!BQ18)),IF(AND(s_Irr!S18=".",s_Irr!AR18&lt;&gt;".",s_Irr!BQ18&lt;&gt;"."),s_dir!T18/((1/1000)*(s_Irr!AR18+s_Irr!BQ18)),IF(AND(s_Irr!S18=".",s_Irr!AR18=".",s_Irr!BQ18&lt;&gt;"."),s_dir!T18/((1/1000)*(s_Irr!BQ18)),IF(AND(s_Irr!S18=".",s_Irr!AR18&lt;&gt;".",s_Irr!BQ18="."),s_dir!T18/((1/1000)*(s_Irr!AR18)),IF(AND(s_Irr!S18&lt;&gt;".",s_Irr!AR18=".",s_Irr!BQ18="."),s_dir!T18/((1/1000)*(s_Irr!S18)),IF(AND(s_Irr!S18=".",s_Irr!AR18=".",s_Irr!BQ18="."),s_dir!T18*1000)))))))),".")</f>
        <v>12.485353423369363</v>
      </c>
      <c r="U18" s="76">
        <f>IFERROR(IF(AND(s_Irr!T18&lt;&gt;".",s_Irr!AS18&lt;&gt;".",s_Irr!BR18&lt;&gt;"."),s_dir!U18/((1/1000)*(s_Irr!T18+s_Irr!AS18+s_Irr!BR18)),IF(AND(s_Irr!T18&lt;&gt;".",s_Irr!AS18&lt;&gt;".",s_Irr!BR18="."),s_dir!U18/((1/1000)*(s_Irr!T18+s_Irr!AS18)),IF(AND(s_Irr!T18&lt;&gt;".",s_Irr!AS18=".",s_Irr!BR18&lt;&gt;"."),s_dir!U18/((1/1000)*(s_Irr!T18+s_Irr!BR18)),IF(AND(s_Irr!T18=".",s_Irr!AS18&lt;&gt;".",s_Irr!BR18&lt;&gt;"."),s_dir!U18/((1/1000)*(s_Irr!AS18+s_Irr!BR18)),IF(AND(s_Irr!T18=".",s_Irr!AS18=".",s_Irr!BR18&lt;&gt;"."),s_dir!U18/((1/1000)*(s_Irr!BR18)),IF(AND(s_Irr!T18=".",s_Irr!AS18&lt;&gt;".",s_Irr!BR18="."),s_dir!U18/((1/1000)*(s_Irr!AS18)),IF(AND(s_Irr!T18&lt;&gt;".",s_Irr!AS18=".",s_Irr!BR18="."),s_dir!U18/((1/1000)*(s_Irr!T18)),IF(AND(s_Irr!T18=".",s_Irr!AS18=".",s_Irr!BR18="."),s_dir!U18*1000)))))))),".")</f>
        <v>12.500149887566812</v>
      </c>
      <c r="V18" s="76">
        <f>IFERROR(IF(AND(s_Irr!U18&lt;&gt;".",s_Irr!AT18&lt;&gt;".",s_Irr!BS18&lt;&gt;"."),s_dir!V18/((1/1000)*(s_Irr!U18+s_Irr!AT18+s_Irr!BS18)),IF(AND(s_Irr!U18&lt;&gt;".",s_Irr!AT18&lt;&gt;".",s_Irr!BS18="."),s_dir!V18/((1/1000)*(s_Irr!U18+s_Irr!AT18)),IF(AND(s_Irr!U18&lt;&gt;".",s_Irr!AT18=".",s_Irr!BS18&lt;&gt;"."),s_dir!V18/((1/1000)*(s_Irr!U18+s_Irr!BS18)),IF(AND(s_Irr!U18=".",s_Irr!AT18&lt;&gt;".",s_Irr!BS18&lt;&gt;"."),s_dir!V18/((1/1000)*(s_Irr!AT18+s_Irr!BS18)),IF(AND(s_Irr!U18=".",s_Irr!AT18=".",s_Irr!BS18&lt;&gt;"."),s_dir!V18/((1/1000)*(s_Irr!BS18)),IF(AND(s_Irr!U18=".",s_Irr!AT18&lt;&gt;".",s_Irr!BS18="."),s_dir!V18/((1/1000)*(s_Irr!AT18)),IF(AND(s_Irr!U18&lt;&gt;".",s_Irr!AT18=".",s_Irr!BS18="."),s_dir!V18/((1/1000)*(s_Irr!U18)),IF(AND(s_Irr!U18=".",s_Irr!AT18=".",s_Irr!BS18="."),s_dir!V18*1000)))))))),".")</f>
        <v>11.992562226360606</v>
      </c>
      <c r="W18" s="76">
        <f>IFERROR(IF(AND(s_Irr!V18&lt;&gt;".",s_Irr!AU18&lt;&gt;".",s_Irr!BT18&lt;&gt;"."),s_dir!W18/((1/1000)*(s_Irr!V18+s_Irr!AU18+s_Irr!BT18)),IF(AND(s_Irr!V18&lt;&gt;".",s_Irr!AU18&lt;&gt;".",s_Irr!BT18="."),s_dir!W18/((1/1000)*(s_Irr!V18+s_Irr!AU18)),IF(AND(s_Irr!V18&lt;&gt;".",s_Irr!AU18=".",s_Irr!BT18&lt;&gt;"."),s_dir!W18/((1/1000)*(s_Irr!V18+s_Irr!BT18)),IF(AND(s_Irr!V18=".",s_Irr!AU18&lt;&gt;".",s_Irr!BT18&lt;&gt;"."),s_dir!W18/((1/1000)*(s_Irr!AU18+s_Irr!BT18)),IF(AND(s_Irr!V18=".",s_Irr!AU18=".",s_Irr!BT18&lt;&gt;"."),s_dir!W18/((1/1000)*(s_Irr!BT18)),IF(AND(s_Irr!V18=".",s_Irr!AU18&lt;&gt;".",s_Irr!BT18="."),s_dir!W18/((1/1000)*(s_Irr!AU18)),IF(AND(s_Irr!V18&lt;&gt;".",s_Irr!AU18=".",s_Irr!BT18="."),s_dir!W18/((1/1000)*(s_Irr!V18)),IF(AND(s_Irr!V18=".",s_Irr!AU18=".",s_Irr!BT18="."),s_dir!W18*1000)))))))),".")</f>
        <v>12.500149887566812</v>
      </c>
      <c r="X18" s="76">
        <f>IFERROR(IF(AND(s_Irr!W18&lt;&gt;".",s_Irr!AV18&lt;&gt;".",s_Irr!BU18&lt;&gt;"."),s_dir!X18/((1/1000)*(s_Irr!W18+s_Irr!AV18+s_Irr!BU18)),IF(AND(s_Irr!W18&lt;&gt;".",s_Irr!AV18&lt;&gt;".",s_Irr!BU18="."),s_dir!X18/((1/1000)*(s_Irr!W18+s_Irr!AV18)),IF(AND(s_Irr!W18&lt;&gt;".",s_Irr!AV18=".",s_Irr!BU18&lt;&gt;"."),s_dir!X18/((1/1000)*(s_Irr!W18+s_Irr!BU18)),IF(AND(s_Irr!W18=".",s_Irr!AV18&lt;&gt;".",s_Irr!BU18&lt;&gt;"."),s_dir!X18/((1/1000)*(s_Irr!AV18+s_Irr!BU18)),IF(AND(s_Irr!W18=".",s_Irr!AV18=".",s_Irr!BU18&lt;&gt;"."),s_dir!X18/((1/1000)*(s_Irr!BU18)),IF(AND(s_Irr!W18=".",s_Irr!AV18&lt;&gt;".",s_Irr!BU18="."),s_dir!X18/((1/1000)*(s_Irr!AV18)),IF(AND(s_Irr!W18&lt;&gt;".",s_Irr!AV18=".",s_Irr!BU18="."),s_dir!X18/((1/1000)*(s_Irr!W18)),IF(AND(s_Irr!W18=".",s_Irr!AV18=".",s_Irr!BU18="."),s_dir!X18*1000)))))))),".")</f>
        <v>12.485353423369363</v>
      </c>
      <c r="Y18" s="76">
        <f>IFERROR(IF(AND(s_Irr!X18&lt;&gt;".",s_Irr!AW18&lt;&gt;".",s_Irr!BV18&lt;&gt;"."),s_dir!Y18/((1/1000)*(s_Irr!X18+s_Irr!AW18+s_Irr!BV18)),IF(AND(s_Irr!X18&lt;&gt;".",s_Irr!AW18&lt;&gt;".",s_Irr!BV18="."),s_dir!Y18/((1/1000)*(s_Irr!X18+s_Irr!AW18)),IF(AND(s_Irr!X18&lt;&gt;".",s_Irr!AW18=".",s_Irr!BV18&lt;&gt;"."),s_dir!Y18/((1/1000)*(s_Irr!X18+s_Irr!BV18)),IF(AND(s_Irr!X18=".",s_Irr!AW18&lt;&gt;".",s_Irr!BV18&lt;&gt;"."),s_dir!Y18/((1/1000)*(s_Irr!AW18+s_Irr!BV18)),IF(AND(s_Irr!X18=".",s_Irr!AW18=".",s_Irr!BV18&lt;&gt;"."),s_dir!Y18/((1/1000)*(s_Irr!BV18)),IF(AND(s_Irr!X18=".",s_Irr!AW18&lt;&gt;".",s_Irr!BV18="."),s_dir!Y18/((1/1000)*(s_Irr!AW18)),IF(AND(s_Irr!X18&lt;&gt;".",s_Irr!AW18=".",s_Irr!BV18="."),s_dir!Y18/((1/1000)*(s_Irr!X18)),IF(AND(s_Irr!X18=".",s_Irr!AW18=".",s_Irr!BV18="."),s_dir!Y18*1000)))))))),".")</f>
        <v>12.500149887566812</v>
      </c>
      <c r="Z18" s="76">
        <f>IFERROR(IF(AND(s_Irr!Y18&lt;&gt;".",s_Irr!AX18&lt;&gt;".",s_Irr!BW18&lt;&gt;"."),s_dir!Z18/((1/1000)*(s_Irr!Y18+s_Irr!AX18+s_Irr!BW18)),IF(AND(s_Irr!Y18&lt;&gt;".",s_Irr!AX18&lt;&gt;".",s_Irr!BW18="."),s_dir!Z18/((1/1000)*(s_Irr!Y18+s_Irr!AX18)),IF(AND(s_Irr!Y18&lt;&gt;".",s_Irr!AX18=".",s_Irr!BW18&lt;&gt;"."),s_dir!Z18/((1/1000)*(s_Irr!Y18+s_Irr!BW18)),IF(AND(s_Irr!Y18=".",s_Irr!AX18&lt;&gt;".",s_Irr!BW18&lt;&gt;"."),s_dir!Z18/((1/1000)*(s_Irr!AX18+s_Irr!BW18)),IF(AND(s_Irr!Y18=".",s_Irr!AX18=".",s_Irr!BW18&lt;&gt;"."),s_dir!Z18/((1/1000)*(s_Irr!BW18)),IF(AND(s_Irr!Y18=".",s_Irr!AX18&lt;&gt;".",s_Irr!BW18="."),s_dir!Z18/((1/1000)*(s_Irr!AX18)),IF(AND(s_Irr!Y18&lt;&gt;".",s_Irr!AX18=".",s_Irr!BW18="."),s_dir!Z18/((1/1000)*(s_Irr!Y18)),IF(AND(s_Irr!Y18=".",s_Irr!AX18=".",s_Irr!BW18="."),s_dir!Z18*1000)))))))),".")</f>
        <v>12.500149887566812</v>
      </c>
      <c r="AA18" s="76">
        <f>IFERROR(IF(AND(s_Irr!Z18&lt;&gt;".",s_Irr!AY18&lt;&gt;".",s_Irr!BX18&lt;&gt;"."),s_dir!AA18/((1/1000)*(s_Irr!Z18+s_Irr!AY18+s_Irr!BX18)),IF(AND(s_Irr!Z18&lt;&gt;".",s_Irr!AY18&lt;&gt;".",s_Irr!BX18="."),s_dir!AA18/((1/1000)*(s_Irr!Z18+s_Irr!AY18)),IF(AND(s_Irr!Z18&lt;&gt;".",s_Irr!AY18=".",s_Irr!BX18&lt;&gt;"."),s_dir!AA18/((1/1000)*(s_Irr!Z18+s_Irr!BX18)),IF(AND(s_Irr!Z18=".",s_Irr!AY18&lt;&gt;".",s_Irr!BX18&lt;&gt;"."),s_dir!AA18/((1/1000)*(s_Irr!AY18+s_Irr!BX18)),IF(AND(s_Irr!Z18=".",s_Irr!AY18=".",s_Irr!BX18&lt;&gt;"."),s_dir!AA18/((1/1000)*(s_Irr!BX18)),IF(AND(s_Irr!Z18=".",s_Irr!AY18&lt;&gt;".",s_Irr!BX18="."),s_dir!AA18/((1/1000)*(s_Irr!AY18)),IF(AND(s_Irr!Z18&lt;&gt;".",s_Irr!AY18=".",s_Irr!BX18="."),s_dir!AA18/((1/1000)*(s_Irr!Z18)),IF(AND(s_Irr!Z18=".",s_Irr!AY18=".",s_Irr!BX18="."),s_dir!AA18*1000)))))))),".")</f>
        <v>10.273771661558419</v>
      </c>
      <c r="AB18" s="76">
        <f>IFERROR(IF(AND(s_Irr!AA18&lt;&gt;".",s_Irr!AZ18&lt;&gt;".",s_Irr!BY18&lt;&gt;"."),s_dir!AB18/((1/1000)*(s_Irr!AA18+s_Irr!AZ18+s_Irr!BY18)),IF(AND(s_Irr!AA18&lt;&gt;".",s_Irr!AZ18&lt;&gt;".",s_Irr!BY18="."),s_dir!AB18/((1/1000)*(s_Irr!AA18+s_Irr!AZ18)),IF(AND(s_Irr!AA18&lt;&gt;".",s_Irr!AZ18=".",s_Irr!BY18&lt;&gt;"."),s_dir!AB18/((1/1000)*(s_Irr!AA18+s_Irr!BY18)),IF(AND(s_Irr!AA18=".",s_Irr!AZ18&lt;&gt;".",s_Irr!BY18&lt;&gt;"."),s_dir!AB18/((1/1000)*(s_Irr!AZ18+s_Irr!BY18)),IF(AND(s_Irr!AA18=".",s_Irr!AZ18=".",s_Irr!BY18&lt;&gt;"."),s_dir!AB18/((1/1000)*(s_Irr!BY18)),IF(AND(s_Irr!AA18=".",s_Irr!AZ18&lt;&gt;".",s_Irr!BY18="."),s_dir!AB18/((1/1000)*(s_Irr!AZ18)),IF(AND(s_Irr!AA18&lt;&gt;".",s_Irr!AZ18=".",s_Irr!BY18="."),s_dir!AB18/((1/1000)*(s_Irr!AA18)),IF(AND(s_Irr!AA18=".",s_Irr!AZ18=".",s_Irr!BY18="."),s_dir!AB18*1000)))))))),".")</f>
        <v>12.491690473696947</v>
      </c>
      <c r="AC18" s="93">
        <f t="shared" si="4"/>
        <v>7486.4983546212979</v>
      </c>
      <c r="AD18" s="93">
        <f>IFERROR(s_C*s_IFAP_res_adj*s_CF_apple*0.001*(s_Irr!C18+s_Irr!AB18+s_Irr!BA18),".")</f>
        <v>1775.1529030993431</v>
      </c>
      <c r="AE18" s="93">
        <f>IFERROR(s_C*s_IFAS_res_adj*s_CF_asparagus*0.001*(s_Irr!D18+s_Irr!AC18+s_Irr!BB18),".")</f>
        <v>1991.5379921968718</v>
      </c>
      <c r="AF18" s="93">
        <f>IFERROR(s_C*s_IFBT_res_adj*s_CF_beet*0.001*(s_Irr!E18+s_Irr!AD18+s_Irr!BC18),".")</f>
        <v>1943.4524168418652</v>
      </c>
      <c r="AG18" s="93">
        <f>IFERROR(s_C*s_IFBE_res_adj*s_CF_berries*0.001*(s_Irr!F18+s_Irr!AE18+s_Irr!BD18),".")</f>
        <v>1775.1529030993431</v>
      </c>
      <c r="AH18" s="93">
        <f>IFERROR(s_C*s_IFBR_res_adj*s_CF_broccoli*0.001*(s_Irr!G18+s_Irr!AF18+s_Irr!BE18),".")</f>
        <v>1775.1529030993431</v>
      </c>
      <c r="AI18" s="93">
        <f>IFERROR(s_C*s_IFCB_res_adj*s_CF_cabbage*0.001*(s_Irr!H18+s_Irr!AG18+s_Irr!BF18),".")</f>
        <v>1991.5379921968718</v>
      </c>
      <c r="AJ18" s="93">
        <f>IFERROR(s_C*s_IFCR_res_adj*s_CF_carrot*0.001*(s_Irr!I18+s_Irr!AH18+s_Irr!BG18),".")</f>
        <v>1943.4524168418652</v>
      </c>
      <c r="AK18" s="93">
        <f>IFERROR(s_C*s_IFCI_res_adj*s_CF_citrus*0.001*(s_Irr!J18+s_Irr!AI18+s_Irr!BH18),".")</f>
        <v>1775.1529030993431</v>
      </c>
      <c r="AL18" s="93">
        <f>IFERROR(s_C*s_IFCO_res_adj*s_CF_corn*0.001*(s_Irr!K18+s_Irr!AJ18+s_Irr!BI18),".")</f>
        <v>1776.3550424832183</v>
      </c>
      <c r="AM18" s="93">
        <f>IFERROR(s_C*s_IFCU_res_adj*s_CF_cucumber*0.001*(s_Irr!L18+s_Irr!AK18+s_Irr!BJ18),".")</f>
        <v>1775.1529030993431</v>
      </c>
      <c r="AN18" s="93">
        <f>IFERROR(s_C*s_IFLE_res_adj*s_CF_lettuce*0.001*(s_Irr!M18+s_Irr!AL18+s_Irr!BK18),".")</f>
        <v>1991.5379921968718</v>
      </c>
      <c r="AO18" s="93">
        <f>IFERROR(s_C*s_IFLI_res_adj*s_CF_lima_bean*0.001*(s_Irr!N18+s_Irr!AM18+s_Irr!BL18),".")</f>
        <v>1777.2566470211248</v>
      </c>
      <c r="AP18" s="93">
        <f>IFERROR(s_C*s_IFOK_res_adj*s_CF_okra*0.001*(s_Irr!O18+s_Irr!AN18+s_Irr!BM18),".")</f>
        <v>1775.1529030993431</v>
      </c>
      <c r="AQ18" s="93">
        <f>IFERROR(s_C*s_IFON_res_adj*s_CF_onion*0.001*(s_Irr!P18+s_Irr!AO18+s_Irr!BN18),".")</f>
        <v>1943.4524168418652</v>
      </c>
      <c r="AR18" s="93">
        <f>IFERROR(s_C*s_IFPC_res_adj*s_CF_peach*0.001*(s_Irr!Q18+s_Irr!AP18+s_Irr!BO18),".")</f>
        <v>1775.1529030993431</v>
      </c>
      <c r="AS18" s="93">
        <f>IFERROR(s_C*s_IFPR_res_adj*s_CF_pear*0.001*(s_Irr!R18+s_Irr!AQ18+s_Irr!BP18),".")</f>
        <v>1775.1529030993431</v>
      </c>
      <c r="AT18" s="93">
        <f>IFERROR(s_C*s_IFPE_res_adj*s_CF_peas*0.001*(s_Irr!S18+s_Irr!AR18+s_Irr!BQ18),".")</f>
        <v>1777.2566470211248</v>
      </c>
      <c r="AU18" s="93">
        <f>IFERROR(s_C*s_IFPP_res_adj*s_CF_peppers*0.001*(s_Irr!T18+s_Irr!AS18+s_Irr!BR18),".")</f>
        <v>1775.1529030993431</v>
      </c>
      <c r="AV18" s="93">
        <f>IFERROR(s_C*s_IFPT_res_adj*s_CF_potato*0.001*(s_Irr!U18+s_Irr!AT18+s_Irr!BS18),".")</f>
        <v>1850.2866145915405</v>
      </c>
      <c r="AW18" s="93">
        <f>IFERROR(s_C*s_IFPU_res_adj*s_CF_pumpkin*0.001*(s_Irr!V18+s_Irr!AU18+s_Irr!BT18),".")</f>
        <v>1775.1529030993431</v>
      </c>
      <c r="AX18" s="93">
        <f>IFERROR(s_C*s_IFSN_res_adj*s_CF_snap_bean*0.001*(s_Irr!W18+s_Irr!AV18+s_Irr!BU18),".")</f>
        <v>1777.2566470211248</v>
      </c>
      <c r="AY18" s="93">
        <f>IFERROR(s_C*s_IFST_res_adj*s_CF_strawberry*0.001*(s_Irr!X18+s_Irr!AW18+s_Irr!BV18),".")</f>
        <v>1775.1529030993431</v>
      </c>
      <c r="AZ18" s="93">
        <f>IFERROR(s_C*s_IFTO_res_adj*s_CF_tomato*0.001*(s_Irr!Y18+s_Irr!AX18+s_Irr!BW18),".")</f>
        <v>1775.1529030993431</v>
      </c>
      <c r="BA18" s="93">
        <f>IFERROR(s_C*s_IFRI_res_adj*s_CF_rice*0.001*(s_Irr!Z18+s_Irr!AY18+s_Irr!BX18),".")</f>
        <v>2159.8375059393938</v>
      </c>
      <c r="BB18" s="93">
        <f>IFERROR(s_C*s_IFCG_res_adj*s_CF_cereal*0.001*(s_Irr!AA18+s_Irr!AZ18+s_Irr!BY18),".")</f>
        <v>1776.3550424832183</v>
      </c>
      <c r="BC18" s="76">
        <f t="shared" si="1"/>
        <v>2.9639594254894632</v>
      </c>
      <c r="BD18" s="76">
        <f>IFERROR(IF(AND(s_Irr!C18&lt;&gt;".",s_Irr!AB18&lt;&gt;".",s_Irr!BA18&lt;&gt;"."),s_dir!AD18/((1/1000)*(s_Irr!C18+s_Irr!AB18+s_Irr!BA18)),IF(AND(s_Irr!C18&lt;&gt;".",s_Irr!AB18&lt;&gt;".",s_Irr!BA18="."),s_dir!AD18/((1/1000)*(s_Irr!C18+s_Irr!AB18)),IF(AND(s_Irr!C18&lt;&gt;".",s_Irr!AB18=".",s_Irr!BA18&lt;&gt;"."),s_dir!AD18/((1/1000)*(s_Irr!C18+s_Irr!BA18)),IF(AND(s_Irr!C18=".",s_Irr!AB18&lt;&gt;".",s_Irr!BA18&lt;&gt;"."),s_dir!AD18/((1/1000)*(s_Irr!AB18+s_Irr!BA18)),IF(AND(s_Irr!C18=".",s_Irr!AB18=".",s_Irr!BA18&lt;&gt;"."),s_dir!AD18/((1/1000)*(s_Irr!BA18)),IF(AND(s_Irr!C18=".",s_Irr!AB18&lt;&gt;".",s_Irr!BA18="."),s_dir!AD18/((1/1000)*(s_Irr!AB18)),IF(AND(s_Irr!C18&lt;&gt;".",s_Irr!AB18=".",s_Irr!BA18="."),s_dir!AD18/((1/1000)*(s_Irr!C18)),IF(AND(s_Irr!C18=".",s_Irr!AB18=".",s_Irr!BA18="."),s_dir!AD18*1000)))))))),".")</f>
        <v>12.500149887566812</v>
      </c>
      <c r="BE18" s="76">
        <f>IFERROR(IF(AND(s_Irr!D18&lt;&gt;".",s_Irr!AC18&lt;&gt;".",s_Irr!BB18&lt;&gt;"."),s_dir!AE18/((1/1000)*(s_Irr!D18+s_Irr!AC18+s_Irr!BB18)),IF(AND(s_Irr!D18&lt;&gt;".",s_Irr!AC18&lt;&gt;".",s_Irr!BB18="."),s_dir!AE18/((1/1000)*(s_Irr!D18+s_Irr!AC18)),IF(AND(s_Irr!D18&lt;&gt;".",s_Irr!AC18=".",s_Irr!BB18&lt;&gt;"."),s_dir!AE18/((1/1000)*(s_Irr!D18+s_Irr!BB18)),IF(AND(s_Irr!D18=".",s_Irr!AC18&lt;&gt;".",s_Irr!BB18&lt;&gt;"."),s_dir!AE18/((1/1000)*(s_Irr!AC18+s_Irr!BB18)),IF(AND(s_Irr!D18=".",s_Irr!AC18=".",s_Irr!BB18&lt;&gt;"."),s_dir!AE18/((1/1000)*(s_Irr!BB18)),IF(AND(s_Irr!D18=".",s_Irr!AC18&lt;&gt;".",s_Irr!BB18="."),s_dir!AE18/((1/1000)*(s_Irr!AC18)),IF(AND(s_Irr!D18&lt;&gt;".",s_Irr!AC18=".",s_Irr!BB18="."),s_dir!AE18/((1/1000)*(s_Irr!D18)),IF(AND(s_Irr!D18=".",s_Irr!AC18=".",s_Irr!BB18="."),s_dir!AE18*1000)))))))),".")</f>
        <v>11.141980443774338</v>
      </c>
      <c r="BF18" s="76">
        <f>IFERROR(IF(AND(s_Irr!E18&lt;&gt;".",s_Irr!AD18&lt;&gt;".",s_Irr!BC18&lt;&gt;"."),s_dir!AF18/((1/1000)*(s_Irr!E18+s_Irr!AD18+s_Irr!BC18)),IF(AND(s_Irr!E18&lt;&gt;".",s_Irr!AD18&lt;&gt;".",s_Irr!BC18="."),s_dir!AF18/((1/1000)*(s_Irr!E18+s_Irr!AD18)),IF(AND(s_Irr!E18&lt;&gt;".",s_Irr!AD18=".",s_Irr!BC18&lt;&gt;"."),s_dir!AF18/((1/1000)*(s_Irr!E18+s_Irr!BC18)),IF(AND(s_Irr!E18=".",s_Irr!AD18&lt;&gt;".",s_Irr!BC18&lt;&gt;"."),s_dir!AF18/((1/1000)*(s_Irr!AD18+s_Irr!BC18)),IF(AND(s_Irr!E18=".",s_Irr!AD18=".",s_Irr!BC18&lt;&gt;"."),s_dir!AF18/((1/1000)*(s_Irr!BC18)),IF(AND(s_Irr!E18=".",s_Irr!AD18&lt;&gt;".",s_Irr!BC18="."),s_dir!AF18/((1/1000)*(s_Irr!AD18)),IF(AND(s_Irr!E18&lt;&gt;".",s_Irr!AD18=".",s_Irr!BC18="."),s_dir!AF18/((1/1000)*(s_Irr!E18)),IF(AND(s_Irr!E18=".",s_Irr!AD18=".",s_Irr!BC18="."),s_dir!AF18*1000)))))))),".")</f>
        <v>11.417659197516995</v>
      </c>
      <c r="BG18" s="76">
        <f>IFERROR(IF(AND(s_Irr!F18&lt;&gt;".",s_Irr!AE18&lt;&gt;".",s_Irr!BD18&lt;&gt;"."),s_dir!AG18/((1/1000)*(s_Irr!F18+s_Irr!AE18+s_Irr!BD18)),IF(AND(s_Irr!F18&lt;&gt;".",s_Irr!AE18&lt;&gt;".",s_Irr!BD18="."),s_dir!AG18/((1/1000)*(s_Irr!F18+s_Irr!AE18)),IF(AND(s_Irr!F18&lt;&gt;".",s_Irr!AE18=".",s_Irr!BD18&lt;&gt;"."),s_dir!AG18/((1/1000)*(s_Irr!F18+s_Irr!BD18)),IF(AND(s_Irr!F18=".",s_Irr!AE18&lt;&gt;".",s_Irr!BD18&lt;&gt;"."),s_dir!AG18/((1/1000)*(s_Irr!AE18+s_Irr!BD18)),IF(AND(s_Irr!F18=".",s_Irr!AE18=".",s_Irr!BD18&lt;&gt;"."),s_dir!AG18/((1/1000)*(s_Irr!BD18)),IF(AND(s_Irr!F18=".",s_Irr!AE18&lt;&gt;".",s_Irr!BD18="."),s_dir!AG18/((1/1000)*(s_Irr!AE18)),IF(AND(s_Irr!F18&lt;&gt;".",s_Irr!AE18=".",s_Irr!BD18="."),s_dir!AG18/((1/1000)*(s_Irr!F18)),IF(AND(s_Irr!F18=".",s_Irr!AE18=".",s_Irr!BD18="."),s_dir!AG18*1000)))))))),".")</f>
        <v>12.500149887566812</v>
      </c>
      <c r="BH18" s="76">
        <f>IFERROR(IF(AND(s_Irr!G18&lt;&gt;".",s_Irr!AF18&lt;&gt;".",s_Irr!BE18&lt;&gt;"."),s_dir!AH18/((1/1000)*(s_Irr!G18+s_Irr!AF18+s_Irr!BE18)),IF(AND(s_Irr!G18&lt;&gt;".",s_Irr!AF18&lt;&gt;".",s_Irr!BE18="."),s_dir!AH18/((1/1000)*(s_Irr!G18+s_Irr!AF18)),IF(AND(s_Irr!G18&lt;&gt;".",s_Irr!AF18=".",s_Irr!BE18&lt;&gt;"."),s_dir!AH18/((1/1000)*(s_Irr!G18+s_Irr!BE18)),IF(AND(s_Irr!G18=".",s_Irr!AF18&lt;&gt;".",s_Irr!BE18&lt;&gt;"."),s_dir!AH18/((1/1000)*(s_Irr!AF18+s_Irr!BE18)),IF(AND(s_Irr!G18=".",s_Irr!AF18=".",s_Irr!BE18&lt;&gt;"."),s_dir!AH18/((1/1000)*(s_Irr!BE18)),IF(AND(s_Irr!G18=".",s_Irr!AF18&lt;&gt;".",s_Irr!BE18="."),s_dir!AH18/((1/1000)*(s_Irr!AF18)),IF(AND(s_Irr!G18&lt;&gt;".",s_Irr!AF18=".",s_Irr!BE18="."),s_dir!AH18/((1/1000)*(s_Irr!G18)),IF(AND(s_Irr!G18=".",s_Irr!AF18=".",s_Irr!BE18="."),s_dir!AH18*1000)))))))),".")</f>
        <v>12.500149887566812</v>
      </c>
      <c r="BI18" s="76">
        <f>IFERROR(IF(AND(s_Irr!H18&lt;&gt;".",s_Irr!AG18&lt;&gt;".",s_Irr!BF18&lt;&gt;"."),s_dir!AI18/((1/1000)*(s_Irr!H18+s_Irr!AG18+s_Irr!BF18)),IF(AND(s_Irr!H18&lt;&gt;".",s_Irr!AG18&lt;&gt;".",s_Irr!BF18="."),s_dir!AI18/((1/1000)*(s_Irr!H18+s_Irr!AG18)),IF(AND(s_Irr!H18&lt;&gt;".",s_Irr!AG18=".",s_Irr!BF18&lt;&gt;"."),s_dir!AI18/((1/1000)*(s_Irr!H18+s_Irr!BF18)),IF(AND(s_Irr!H18=".",s_Irr!AG18&lt;&gt;".",s_Irr!BF18&lt;&gt;"."),s_dir!AI18/((1/1000)*(s_Irr!AG18+s_Irr!BF18)),IF(AND(s_Irr!H18=".",s_Irr!AG18=".",s_Irr!BF18&lt;&gt;"."),s_dir!AI18/((1/1000)*(s_Irr!BF18)),IF(AND(s_Irr!H18=".",s_Irr!AG18&lt;&gt;".",s_Irr!BF18="."),s_dir!AI18/((1/1000)*(s_Irr!AG18)),IF(AND(s_Irr!H18&lt;&gt;".",s_Irr!AG18=".",s_Irr!BF18="."),s_dir!AI18/((1/1000)*(s_Irr!H18)),IF(AND(s_Irr!H18=".",s_Irr!AG18=".",s_Irr!BF18="."),s_dir!AI18*1000)))))))),".")</f>
        <v>11.141980443774338</v>
      </c>
      <c r="BJ18" s="76">
        <f>IFERROR(IF(AND(s_Irr!I18&lt;&gt;".",s_Irr!AH18&lt;&gt;".",s_Irr!BG18&lt;&gt;"."),s_dir!AJ18/((1/1000)*(s_Irr!I18+s_Irr!AH18+s_Irr!BG18)),IF(AND(s_Irr!I18&lt;&gt;".",s_Irr!AH18&lt;&gt;".",s_Irr!BG18="."),s_dir!AJ18/((1/1000)*(s_Irr!I18+s_Irr!AH18)),IF(AND(s_Irr!I18&lt;&gt;".",s_Irr!AH18=".",s_Irr!BG18&lt;&gt;"."),s_dir!AJ18/((1/1000)*(s_Irr!I18+s_Irr!BG18)),IF(AND(s_Irr!I18=".",s_Irr!AH18&lt;&gt;".",s_Irr!BG18&lt;&gt;"."),s_dir!AJ18/((1/1000)*(s_Irr!AH18+s_Irr!BG18)),IF(AND(s_Irr!I18=".",s_Irr!AH18=".",s_Irr!BG18&lt;&gt;"."),s_dir!AJ18/((1/1000)*(s_Irr!BG18)),IF(AND(s_Irr!I18=".",s_Irr!AH18&lt;&gt;".",s_Irr!BG18="."),s_dir!AJ18/((1/1000)*(s_Irr!AH18)),IF(AND(s_Irr!I18&lt;&gt;".",s_Irr!AH18=".",s_Irr!BG18="."),s_dir!AJ18/((1/1000)*(s_Irr!I18)),IF(AND(s_Irr!I18=".",s_Irr!AH18=".",s_Irr!BG18="."),s_dir!AJ18*1000)))))))),".")</f>
        <v>11.417659197516995</v>
      </c>
      <c r="BK18" s="76">
        <f>IFERROR(IF(AND(s_Irr!J18&lt;&gt;".",s_Irr!AI18&lt;&gt;".",s_Irr!BH18&lt;&gt;"."),s_dir!AK18/((1/1000)*(s_Irr!J18+s_Irr!AI18+s_Irr!BH18)),IF(AND(s_Irr!J18&lt;&gt;".",s_Irr!AI18&lt;&gt;".",s_Irr!BH18="."),s_dir!AK18/((1/1000)*(s_Irr!J18+s_Irr!AI18)),IF(AND(s_Irr!J18&lt;&gt;".",s_Irr!AI18=".",s_Irr!BH18&lt;&gt;"."),s_dir!AK18/((1/1000)*(s_Irr!J18+s_Irr!BH18)),IF(AND(s_Irr!J18=".",s_Irr!AI18&lt;&gt;".",s_Irr!BH18&lt;&gt;"."),s_dir!AK18/((1/1000)*(s_Irr!AI18+s_Irr!BH18)),IF(AND(s_Irr!J18=".",s_Irr!AI18=".",s_Irr!BH18&lt;&gt;"."),s_dir!AK18/((1/1000)*(s_Irr!BH18)),IF(AND(s_Irr!J18=".",s_Irr!AI18&lt;&gt;".",s_Irr!BH18="."),s_dir!AK18/((1/1000)*(s_Irr!AI18)),IF(AND(s_Irr!J18&lt;&gt;".",s_Irr!AI18=".",s_Irr!BH18="."),s_dir!AK18/((1/1000)*(s_Irr!J18)),IF(AND(s_Irr!J18=".",s_Irr!AI18=".",s_Irr!BH18="."),s_dir!AK18*1000)))))))),".")</f>
        <v>12.500149887566812</v>
      </c>
      <c r="BL18" s="76">
        <f>IFERROR(IF(AND(s_Irr!K18&lt;&gt;".",s_Irr!AJ18&lt;&gt;".",s_Irr!BI18&lt;&gt;"."),s_dir!AL18/((1/1000)*(s_Irr!K18+s_Irr!AJ18+s_Irr!BI18)),IF(AND(s_Irr!K18&lt;&gt;".",s_Irr!AJ18&lt;&gt;".",s_Irr!BI18="."),s_dir!AL18/((1/1000)*(s_Irr!K18+s_Irr!AJ18)),IF(AND(s_Irr!K18&lt;&gt;".",s_Irr!AJ18=".",s_Irr!BI18&lt;&gt;"."),s_dir!AL18/((1/1000)*(s_Irr!K18+s_Irr!BI18)),IF(AND(s_Irr!K18=".",s_Irr!AJ18&lt;&gt;".",s_Irr!BI18&lt;&gt;"."),s_dir!AL18/((1/1000)*(s_Irr!AJ18+s_Irr!BI18)),IF(AND(s_Irr!K18=".",s_Irr!AJ18=".",s_Irr!BI18&lt;&gt;"."),s_dir!AL18/((1/1000)*(s_Irr!BI18)),IF(AND(s_Irr!K18=".",s_Irr!AJ18&lt;&gt;".",s_Irr!BI18="."),s_dir!AL18/((1/1000)*(s_Irr!AJ18)),IF(AND(s_Irr!K18&lt;&gt;".",s_Irr!AJ18=".",s_Irr!BI18="."),s_dir!AL18/((1/1000)*(s_Irr!K18)),IF(AND(s_Irr!K18=".",s_Irr!AJ18=".",s_Irr!BI18="."),s_dir!AL18*1000)))))))),".")</f>
        <v>12.491690473696947</v>
      </c>
      <c r="BM18" s="76">
        <f>IFERROR(IF(AND(s_Irr!L18&lt;&gt;".",s_Irr!AK18&lt;&gt;".",s_Irr!BJ18&lt;&gt;"."),s_dir!AM18/((1/1000)*(s_Irr!L18+s_Irr!AK18+s_Irr!BJ18)),IF(AND(s_Irr!L18&lt;&gt;".",s_Irr!AK18&lt;&gt;".",s_Irr!BJ18="."),s_dir!AM18/((1/1000)*(s_Irr!L18+s_Irr!AK18)),IF(AND(s_Irr!L18&lt;&gt;".",s_Irr!AK18=".",s_Irr!BJ18&lt;&gt;"."),s_dir!AM18/((1/1000)*(s_Irr!L18+s_Irr!BJ18)),IF(AND(s_Irr!L18=".",s_Irr!AK18&lt;&gt;".",s_Irr!BJ18&lt;&gt;"."),s_dir!AM18/((1/1000)*(s_Irr!AK18+s_Irr!BJ18)),IF(AND(s_Irr!L18=".",s_Irr!AK18=".",s_Irr!BJ18&lt;&gt;"."),s_dir!AM18/((1/1000)*(s_Irr!BJ18)),IF(AND(s_Irr!L18=".",s_Irr!AK18&lt;&gt;".",s_Irr!BJ18="."),s_dir!AM18/((1/1000)*(s_Irr!AK18)),IF(AND(s_Irr!L18&lt;&gt;".",s_Irr!AK18=".",s_Irr!BJ18="."),s_dir!AM18/((1/1000)*(s_Irr!L18)),IF(AND(s_Irr!L18=".",s_Irr!AK18=".",s_Irr!BJ18="."),s_dir!AM18*1000)))))))),".")</f>
        <v>12.500149887566812</v>
      </c>
      <c r="BN18" s="76">
        <f>IFERROR(IF(AND(s_Irr!M18&lt;&gt;".",s_Irr!AL18&lt;&gt;".",s_Irr!BK18&lt;&gt;"."),s_dir!AN18/((1/1000)*(s_Irr!M18+s_Irr!AL18+s_Irr!BK18)),IF(AND(s_Irr!M18&lt;&gt;".",s_Irr!AL18&lt;&gt;".",s_Irr!BK18="."),s_dir!AN18/((1/1000)*(s_Irr!M18+s_Irr!AL18)),IF(AND(s_Irr!M18&lt;&gt;".",s_Irr!AL18=".",s_Irr!BK18&lt;&gt;"."),s_dir!AN18/((1/1000)*(s_Irr!M18+s_Irr!BK18)),IF(AND(s_Irr!M18=".",s_Irr!AL18&lt;&gt;".",s_Irr!BK18&lt;&gt;"."),s_dir!AN18/((1/1000)*(s_Irr!AL18+s_Irr!BK18)),IF(AND(s_Irr!M18=".",s_Irr!AL18=".",s_Irr!BK18&lt;&gt;"."),s_dir!AN18/((1/1000)*(s_Irr!BK18)),IF(AND(s_Irr!M18=".",s_Irr!AL18&lt;&gt;".",s_Irr!BK18="."),s_dir!AN18/((1/1000)*(s_Irr!AL18)),IF(AND(s_Irr!M18&lt;&gt;".",s_Irr!AL18=".",s_Irr!BK18="."),s_dir!AN18/((1/1000)*(s_Irr!M18)),IF(AND(s_Irr!M18=".",s_Irr!AL18=".",s_Irr!BK18="."),s_dir!AN18*1000)))))))),".")</f>
        <v>11.141980443774338</v>
      </c>
      <c r="BO18" s="76">
        <f>IFERROR(IF(AND(s_Irr!N18&lt;&gt;".",s_Irr!AM18&lt;&gt;".",s_Irr!BL18&lt;&gt;"."),s_dir!AO18/((1/1000)*(s_Irr!N18+s_Irr!AM18+s_Irr!BL18)),IF(AND(s_Irr!N18&lt;&gt;".",s_Irr!AM18&lt;&gt;".",s_Irr!BL18="."),s_dir!AO18/((1/1000)*(s_Irr!N18+s_Irr!AM18)),IF(AND(s_Irr!N18&lt;&gt;".",s_Irr!AM18=".",s_Irr!BL18&lt;&gt;"."),s_dir!AO18/((1/1000)*(s_Irr!N18+s_Irr!BL18)),IF(AND(s_Irr!N18=".",s_Irr!AM18&lt;&gt;".",s_Irr!BL18&lt;&gt;"."),s_dir!AO18/((1/1000)*(s_Irr!AM18+s_Irr!BL18)),IF(AND(s_Irr!N18=".",s_Irr!AM18=".",s_Irr!BL18&lt;&gt;"."),s_dir!AO18/((1/1000)*(s_Irr!BL18)),IF(AND(s_Irr!N18=".",s_Irr!AM18&lt;&gt;".",s_Irr!BL18="."),s_dir!AO18/((1/1000)*(s_Irr!AM18)),IF(AND(s_Irr!N18&lt;&gt;".",s_Irr!AM18=".",s_Irr!BL18="."),s_dir!AO18/((1/1000)*(s_Irr!N18)),IF(AND(s_Irr!N18=".",s_Irr!AM18=".",s_Irr!BL18="."),s_dir!AO18*1000)))))))),".")</f>
        <v>12.485353423369363</v>
      </c>
      <c r="BP18" s="76">
        <f>IFERROR(IF(AND(s_Irr!O18&lt;&gt;".",s_Irr!AN18&lt;&gt;".",s_Irr!BM18&lt;&gt;"."),s_dir!AP18/((1/1000)*(s_Irr!O18+s_Irr!AN18+s_Irr!BM18)),IF(AND(s_Irr!O18&lt;&gt;".",s_Irr!AN18&lt;&gt;".",s_Irr!BM18="."),s_dir!AP18/((1/1000)*(s_Irr!O18+s_Irr!AN18)),IF(AND(s_Irr!O18&lt;&gt;".",s_Irr!AN18=".",s_Irr!BM18&lt;&gt;"."),s_dir!AP18/((1/1000)*(s_Irr!O18+s_Irr!BM18)),IF(AND(s_Irr!O18=".",s_Irr!AN18&lt;&gt;".",s_Irr!BM18&lt;&gt;"."),s_dir!AP18/((1/1000)*(s_Irr!AN18+s_Irr!BM18)),IF(AND(s_Irr!O18=".",s_Irr!AN18=".",s_Irr!BM18&lt;&gt;"."),s_dir!AP18/((1/1000)*(s_Irr!BM18)),IF(AND(s_Irr!O18=".",s_Irr!AN18&lt;&gt;".",s_Irr!BM18="."),s_dir!AP18/((1/1000)*(s_Irr!AN18)),IF(AND(s_Irr!O18&lt;&gt;".",s_Irr!AN18=".",s_Irr!BM18="."),s_dir!AP18/((1/1000)*(s_Irr!O18)),IF(AND(s_Irr!O18=".",s_Irr!AN18=".",s_Irr!BM18="."),s_dir!AP18*1000)))))))),".")</f>
        <v>12.500149887566812</v>
      </c>
      <c r="BQ18" s="76">
        <f>IFERROR(IF(AND(s_Irr!P18&lt;&gt;".",s_Irr!AO18&lt;&gt;".",s_Irr!BN18&lt;&gt;"."),s_dir!AQ18/((1/1000)*(s_Irr!P18+s_Irr!AO18+s_Irr!BN18)),IF(AND(s_Irr!P18&lt;&gt;".",s_Irr!AO18&lt;&gt;".",s_Irr!BN18="."),s_dir!AQ18/((1/1000)*(s_Irr!P18+s_Irr!AO18)),IF(AND(s_Irr!P18&lt;&gt;".",s_Irr!AO18=".",s_Irr!BN18&lt;&gt;"."),s_dir!AQ18/((1/1000)*(s_Irr!P18+s_Irr!BN18)),IF(AND(s_Irr!P18=".",s_Irr!AO18&lt;&gt;".",s_Irr!BN18&lt;&gt;"."),s_dir!AQ18/((1/1000)*(s_Irr!AO18+s_Irr!BN18)),IF(AND(s_Irr!P18=".",s_Irr!AO18=".",s_Irr!BN18&lt;&gt;"."),s_dir!AQ18/((1/1000)*(s_Irr!BN18)),IF(AND(s_Irr!P18=".",s_Irr!AO18&lt;&gt;".",s_Irr!BN18="."),s_dir!AQ18/((1/1000)*(s_Irr!AO18)),IF(AND(s_Irr!P18&lt;&gt;".",s_Irr!AO18=".",s_Irr!BN18="."),s_dir!AQ18/((1/1000)*(s_Irr!P18)),IF(AND(s_Irr!P18=".",s_Irr!AO18=".",s_Irr!BN18="."),s_dir!AQ18*1000)))))))),".")</f>
        <v>11.417659197516995</v>
      </c>
      <c r="BR18" s="76">
        <f>IFERROR(IF(AND(s_Irr!Q18&lt;&gt;".",s_Irr!AP18&lt;&gt;".",s_Irr!BO18&lt;&gt;"."),s_dir!AR18/((1/1000)*(s_Irr!Q18+s_Irr!AP18+s_Irr!BO18)),IF(AND(s_Irr!Q18&lt;&gt;".",s_Irr!AP18&lt;&gt;".",s_Irr!BO18="."),s_dir!AR18/((1/1000)*(s_Irr!Q18+s_Irr!AP18)),IF(AND(s_Irr!Q18&lt;&gt;".",s_Irr!AP18=".",s_Irr!BO18&lt;&gt;"."),s_dir!AR18/((1/1000)*(s_Irr!Q18+s_Irr!BO18)),IF(AND(s_Irr!Q18=".",s_Irr!AP18&lt;&gt;".",s_Irr!BO18&lt;&gt;"."),s_dir!AR18/((1/1000)*(s_Irr!AP18+s_Irr!BO18)),IF(AND(s_Irr!Q18=".",s_Irr!AP18=".",s_Irr!BO18&lt;&gt;"."),s_dir!AR18/((1/1000)*(s_Irr!BO18)),IF(AND(s_Irr!Q18=".",s_Irr!AP18&lt;&gt;".",s_Irr!BO18="."),s_dir!AR18/((1/1000)*(s_Irr!AP18)),IF(AND(s_Irr!Q18&lt;&gt;".",s_Irr!AP18=".",s_Irr!BO18="."),s_dir!AR18/((1/1000)*(s_Irr!Q18)),IF(AND(s_Irr!Q18=".",s_Irr!AP18=".",s_Irr!BO18="."),s_dir!AR18*1000)))))))),".")</f>
        <v>12.500149887566812</v>
      </c>
      <c r="BS18" s="76">
        <f>IFERROR(IF(AND(s_Irr!R18&lt;&gt;".",s_Irr!AQ18&lt;&gt;".",s_Irr!BP18&lt;&gt;"."),s_dir!AS18/((1/1000)*(s_Irr!R18+s_Irr!AQ18+s_Irr!BP18)),IF(AND(s_Irr!R18&lt;&gt;".",s_Irr!AQ18&lt;&gt;".",s_Irr!BP18="."),s_dir!AS18/((1/1000)*(s_Irr!R18+s_Irr!AQ18)),IF(AND(s_Irr!R18&lt;&gt;".",s_Irr!AQ18=".",s_Irr!BP18&lt;&gt;"."),s_dir!AS18/((1/1000)*(s_Irr!R18+s_Irr!BP18)),IF(AND(s_Irr!R18=".",s_Irr!AQ18&lt;&gt;".",s_Irr!BP18&lt;&gt;"."),s_dir!AS18/((1/1000)*(s_Irr!AQ18+s_Irr!BP18)),IF(AND(s_Irr!R18=".",s_Irr!AQ18=".",s_Irr!BP18&lt;&gt;"."),s_dir!AS18/((1/1000)*(s_Irr!BP18)),IF(AND(s_Irr!R18=".",s_Irr!AQ18&lt;&gt;".",s_Irr!BP18="."),s_dir!AS18/((1/1000)*(s_Irr!AQ18)),IF(AND(s_Irr!R18&lt;&gt;".",s_Irr!AQ18=".",s_Irr!BP18="."),s_dir!AS18/((1/1000)*(s_Irr!R18)),IF(AND(s_Irr!R18=".",s_Irr!AQ18=".",s_Irr!BP18="."),s_dir!AS18*1000)))))))),".")</f>
        <v>12.500149887566812</v>
      </c>
      <c r="BT18" s="76">
        <f>IFERROR(IF(AND(s_Irr!S18&lt;&gt;".",s_Irr!AR18&lt;&gt;".",s_Irr!BQ18&lt;&gt;"."),s_dir!AT18/((1/1000)*(s_Irr!S18+s_Irr!AR18+s_Irr!BQ18)),IF(AND(s_Irr!S18&lt;&gt;".",s_Irr!AR18&lt;&gt;".",s_Irr!BQ18="."),s_dir!AT18/((1/1000)*(s_Irr!S18+s_Irr!AR18)),IF(AND(s_Irr!S18&lt;&gt;".",s_Irr!AR18=".",s_Irr!BQ18&lt;&gt;"."),s_dir!AT18/((1/1000)*(s_Irr!S18+s_Irr!BQ18)),IF(AND(s_Irr!S18=".",s_Irr!AR18&lt;&gt;".",s_Irr!BQ18&lt;&gt;"."),s_dir!AT18/((1/1000)*(s_Irr!AR18+s_Irr!BQ18)),IF(AND(s_Irr!S18=".",s_Irr!AR18=".",s_Irr!BQ18&lt;&gt;"."),s_dir!AT18/((1/1000)*(s_Irr!BQ18)),IF(AND(s_Irr!S18=".",s_Irr!AR18&lt;&gt;".",s_Irr!BQ18="."),s_dir!AT18/((1/1000)*(s_Irr!AR18)),IF(AND(s_Irr!S18&lt;&gt;".",s_Irr!AR18=".",s_Irr!BQ18="."),s_dir!AT18/((1/1000)*(s_Irr!S18)),IF(AND(s_Irr!S18=".",s_Irr!AR18=".",s_Irr!BQ18="."),s_dir!AT18*1000)))))))),".")</f>
        <v>12.485353423369363</v>
      </c>
      <c r="BU18" s="76">
        <f>IFERROR(IF(AND(s_Irr!T18&lt;&gt;".",s_Irr!AS18&lt;&gt;".",s_Irr!BR18&lt;&gt;"."),s_dir!AU18/((1/1000)*(s_Irr!T18+s_Irr!AS18+s_Irr!BR18)),IF(AND(s_Irr!T18&lt;&gt;".",s_Irr!AS18&lt;&gt;".",s_Irr!BR18="."),s_dir!AU18/((1/1000)*(s_Irr!T18+s_Irr!AS18)),IF(AND(s_Irr!T18&lt;&gt;".",s_Irr!AS18=".",s_Irr!BR18&lt;&gt;"."),s_dir!AU18/((1/1000)*(s_Irr!T18+s_Irr!BR18)),IF(AND(s_Irr!T18=".",s_Irr!AS18&lt;&gt;".",s_Irr!BR18&lt;&gt;"."),s_dir!AU18/((1/1000)*(s_Irr!AS18+s_Irr!BR18)),IF(AND(s_Irr!T18=".",s_Irr!AS18=".",s_Irr!BR18&lt;&gt;"."),s_dir!AU18/((1/1000)*(s_Irr!BR18)),IF(AND(s_Irr!T18=".",s_Irr!AS18&lt;&gt;".",s_Irr!BR18="."),s_dir!AU18/((1/1000)*(s_Irr!AS18)),IF(AND(s_Irr!T18&lt;&gt;".",s_Irr!AS18=".",s_Irr!BR18="."),s_dir!AU18/((1/1000)*(s_Irr!T18)),IF(AND(s_Irr!T18=".",s_Irr!AS18=".",s_Irr!BR18="."),s_dir!AU18*1000)))))))),".")</f>
        <v>12.500149887566812</v>
      </c>
      <c r="BV18" s="76">
        <f>IFERROR(IF(AND(s_Irr!U18&lt;&gt;".",s_Irr!AT18&lt;&gt;".",s_Irr!BS18&lt;&gt;"."),s_dir!AV18/((1/1000)*(s_Irr!U18+s_Irr!AT18+s_Irr!BS18)),IF(AND(s_Irr!U18&lt;&gt;".",s_Irr!AT18&lt;&gt;".",s_Irr!BS18="."),s_dir!AV18/((1/1000)*(s_Irr!U18+s_Irr!AT18)),IF(AND(s_Irr!U18&lt;&gt;".",s_Irr!AT18=".",s_Irr!BS18&lt;&gt;"."),s_dir!AV18/((1/1000)*(s_Irr!U18+s_Irr!BS18)),IF(AND(s_Irr!U18=".",s_Irr!AT18&lt;&gt;".",s_Irr!BS18&lt;&gt;"."),s_dir!AV18/((1/1000)*(s_Irr!AT18+s_Irr!BS18)),IF(AND(s_Irr!U18=".",s_Irr!AT18=".",s_Irr!BS18&lt;&gt;"."),s_dir!AV18/((1/1000)*(s_Irr!BS18)),IF(AND(s_Irr!U18=".",s_Irr!AT18&lt;&gt;".",s_Irr!BS18="."),s_dir!AV18/((1/1000)*(s_Irr!AT18)),IF(AND(s_Irr!U18&lt;&gt;".",s_Irr!AT18=".",s_Irr!BS18="."),s_dir!AV18/((1/1000)*(s_Irr!U18)),IF(AND(s_Irr!U18=".",s_Irr!AT18=".",s_Irr!BS18="."),s_dir!AV18*1000)))))))),".")</f>
        <v>11.992562226360606</v>
      </c>
      <c r="BW18" s="76">
        <f>IFERROR(IF(AND(s_Irr!V18&lt;&gt;".",s_Irr!AU18&lt;&gt;".",s_Irr!BT18&lt;&gt;"."),s_dir!AW18/((1/1000)*(s_Irr!V18+s_Irr!AU18+s_Irr!BT18)),IF(AND(s_Irr!V18&lt;&gt;".",s_Irr!AU18&lt;&gt;".",s_Irr!BT18="."),s_dir!AW18/((1/1000)*(s_Irr!V18+s_Irr!AU18)),IF(AND(s_Irr!V18&lt;&gt;".",s_Irr!AU18=".",s_Irr!BT18&lt;&gt;"."),s_dir!AW18/((1/1000)*(s_Irr!V18+s_Irr!BT18)),IF(AND(s_Irr!V18=".",s_Irr!AU18&lt;&gt;".",s_Irr!BT18&lt;&gt;"."),s_dir!AW18/((1/1000)*(s_Irr!AU18+s_Irr!BT18)),IF(AND(s_Irr!V18=".",s_Irr!AU18=".",s_Irr!BT18&lt;&gt;"."),s_dir!AW18/((1/1000)*(s_Irr!BT18)),IF(AND(s_Irr!V18=".",s_Irr!AU18&lt;&gt;".",s_Irr!BT18="."),s_dir!AW18/((1/1000)*(s_Irr!AU18)),IF(AND(s_Irr!V18&lt;&gt;".",s_Irr!AU18=".",s_Irr!BT18="."),s_dir!AW18/((1/1000)*(s_Irr!V18)),IF(AND(s_Irr!V18=".",s_Irr!AU18=".",s_Irr!BT18="."),s_dir!AW18*1000)))))))),".")</f>
        <v>12.500149887566812</v>
      </c>
      <c r="BX18" s="76">
        <f>IFERROR(IF(AND(s_Irr!W18&lt;&gt;".",s_Irr!AV18&lt;&gt;".",s_Irr!BU18&lt;&gt;"."),s_dir!AX18/((1/1000)*(s_Irr!W18+s_Irr!AV18+s_Irr!BU18)),IF(AND(s_Irr!W18&lt;&gt;".",s_Irr!AV18&lt;&gt;".",s_Irr!BU18="."),s_dir!AX18/((1/1000)*(s_Irr!W18+s_Irr!AV18)),IF(AND(s_Irr!W18&lt;&gt;".",s_Irr!AV18=".",s_Irr!BU18&lt;&gt;"."),s_dir!AX18/((1/1000)*(s_Irr!W18+s_Irr!BU18)),IF(AND(s_Irr!W18=".",s_Irr!AV18&lt;&gt;".",s_Irr!BU18&lt;&gt;"."),s_dir!AX18/((1/1000)*(s_Irr!AV18+s_Irr!BU18)),IF(AND(s_Irr!W18=".",s_Irr!AV18=".",s_Irr!BU18&lt;&gt;"."),s_dir!AX18/((1/1000)*(s_Irr!BU18)),IF(AND(s_Irr!W18=".",s_Irr!AV18&lt;&gt;".",s_Irr!BU18="."),s_dir!AX18/((1/1000)*(s_Irr!AV18)),IF(AND(s_Irr!W18&lt;&gt;".",s_Irr!AV18=".",s_Irr!BU18="."),s_dir!AX18/((1/1000)*(s_Irr!W18)),IF(AND(s_Irr!W18=".",s_Irr!AV18=".",s_Irr!BU18="."),s_dir!AX18*1000)))))))),".")</f>
        <v>12.485353423369363</v>
      </c>
      <c r="BY18" s="76">
        <f>IFERROR(IF(AND(s_Irr!X18&lt;&gt;".",s_Irr!AW18&lt;&gt;".",s_Irr!BV18&lt;&gt;"."),s_dir!AY18/((1/1000)*(s_Irr!X18+s_Irr!AW18+s_Irr!BV18)),IF(AND(s_Irr!X18&lt;&gt;".",s_Irr!AW18&lt;&gt;".",s_Irr!BV18="."),s_dir!AY18/((1/1000)*(s_Irr!X18+s_Irr!AW18)),IF(AND(s_Irr!X18&lt;&gt;".",s_Irr!AW18=".",s_Irr!BV18&lt;&gt;"."),s_dir!AY18/((1/1000)*(s_Irr!X18+s_Irr!BV18)),IF(AND(s_Irr!X18=".",s_Irr!AW18&lt;&gt;".",s_Irr!BV18&lt;&gt;"."),s_dir!AY18/((1/1000)*(s_Irr!AW18+s_Irr!BV18)),IF(AND(s_Irr!X18=".",s_Irr!AW18=".",s_Irr!BV18&lt;&gt;"."),s_dir!AY18/((1/1000)*(s_Irr!BV18)),IF(AND(s_Irr!X18=".",s_Irr!AW18&lt;&gt;".",s_Irr!BV18="."),s_dir!AY18/((1/1000)*(s_Irr!AW18)),IF(AND(s_Irr!X18&lt;&gt;".",s_Irr!AW18=".",s_Irr!BV18="."),s_dir!AY18/((1/1000)*(s_Irr!X18)),IF(AND(s_Irr!X18=".",s_Irr!AW18=".",s_Irr!BV18="."),s_dir!AY18*1000)))))))),".")</f>
        <v>12.500149887566812</v>
      </c>
      <c r="BZ18" s="76">
        <f>IFERROR(IF(AND(s_Irr!Y18&lt;&gt;".",s_Irr!AX18&lt;&gt;".",s_Irr!BW18&lt;&gt;"."),s_dir!AZ18/((1/1000)*(s_Irr!Y18+s_Irr!AX18+s_Irr!BW18)),IF(AND(s_Irr!Y18&lt;&gt;".",s_Irr!AX18&lt;&gt;".",s_Irr!BW18="."),s_dir!AZ18/((1/1000)*(s_Irr!Y18+s_Irr!AX18)),IF(AND(s_Irr!Y18&lt;&gt;".",s_Irr!AX18=".",s_Irr!BW18&lt;&gt;"."),s_dir!AZ18/((1/1000)*(s_Irr!Y18+s_Irr!BW18)),IF(AND(s_Irr!Y18=".",s_Irr!AX18&lt;&gt;".",s_Irr!BW18&lt;&gt;"."),s_dir!AZ18/((1/1000)*(s_Irr!AX18+s_Irr!BW18)),IF(AND(s_Irr!Y18=".",s_Irr!AX18=".",s_Irr!BW18&lt;&gt;"."),s_dir!AZ18/((1/1000)*(s_Irr!BW18)),IF(AND(s_Irr!Y18=".",s_Irr!AX18&lt;&gt;".",s_Irr!BW18="."),s_dir!AZ18/((1/1000)*(s_Irr!AX18)),IF(AND(s_Irr!Y18&lt;&gt;".",s_Irr!AX18=".",s_Irr!BW18="."),s_dir!AZ18/((1/1000)*(s_Irr!Y18)),IF(AND(s_Irr!Y18=".",s_Irr!AX18=".",s_Irr!BW18="."),s_dir!AZ18*1000)))))))),".")</f>
        <v>12.500149887566812</v>
      </c>
      <c r="CA18" s="76">
        <f>IFERROR(IF(AND(s_Irr!Z18&lt;&gt;".",s_Irr!AY18&lt;&gt;".",s_Irr!BX18&lt;&gt;"."),s_dir!BA18/((1/1000)*(s_Irr!Z18+s_Irr!AY18+s_Irr!BX18)),IF(AND(s_Irr!Z18&lt;&gt;".",s_Irr!AY18&lt;&gt;".",s_Irr!BX18="."),s_dir!BA18/((1/1000)*(s_Irr!Z18+s_Irr!AY18)),IF(AND(s_Irr!Z18&lt;&gt;".",s_Irr!AY18=".",s_Irr!BX18&lt;&gt;"."),s_dir!BA18/((1/1000)*(s_Irr!Z18+s_Irr!BX18)),IF(AND(s_Irr!Z18=".",s_Irr!AY18&lt;&gt;".",s_Irr!BX18&lt;&gt;"."),s_dir!BA18/((1/1000)*(s_Irr!AY18+s_Irr!BX18)),IF(AND(s_Irr!Z18=".",s_Irr!AY18=".",s_Irr!BX18&lt;&gt;"."),s_dir!BA18/((1/1000)*(s_Irr!BX18)),IF(AND(s_Irr!Z18=".",s_Irr!AY18&lt;&gt;".",s_Irr!BX18="."),s_dir!BA18/((1/1000)*(s_Irr!AY18)),IF(AND(s_Irr!Z18&lt;&gt;".",s_Irr!AY18=".",s_Irr!BX18="."),s_dir!BA18/((1/1000)*(s_Irr!Z18)),IF(AND(s_Irr!Z18=".",s_Irr!AY18=".",s_Irr!BX18="."),s_dir!BA18*1000)))))))),".")</f>
        <v>10.273771661558419</v>
      </c>
      <c r="CB18" s="76">
        <f>IFERROR(IF(AND(s_Irr!AA18&lt;&gt;".",s_Irr!AZ18&lt;&gt;".",s_Irr!BY18&lt;&gt;"."),s_dir!BB18/((1/1000)*(s_Irr!AA18+s_Irr!AZ18+s_Irr!BY18)),IF(AND(s_Irr!AA18&lt;&gt;".",s_Irr!AZ18&lt;&gt;".",s_Irr!BY18="."),s_dir!BB18/((1/1000)*(s_Irr!AA18+s_Irr!AZ18)),IF(AND(s_Irr!AA18&lt;&gt;".",s_Irr!AZ18=".",s_Irr!BY18&lt;&gt;"."),s_dir!BB18/((1/1000)*(s_Irr!AA18+s_Irr!BY18)),IF(AND(s_Irr!AA18=".",s_Irr!AZ18&lt;&gt;".",s_Irr!BY18&lt;&gt;"."),s_dir!BB18/((1/1000)*(s_Irr!AZ18+s_Irr!BY18)),IF(AND(s_Irr!AA18=".",s_Irr!AZ18=".",s_Irr!BY18&lt;&gt;"."),s_dir!BB18/((1/1000)*(s_Irr!BY18)),IF(AND(s_Irr!AA18=".",s_Irr!AZ18&lt;&gt;".",s_Irr!BY18="."),s_dir!BB18/((1/1000)*(s_Irr!AZ18)),IF(AND(s_Irr!AA18&lt;&gt;".",s_Irr!AZ18=".",s_Irr!BY18="."),s_dir!BB18/((1/1000)*(s_Irr!AA18)),IF(AND(s_Irr!AA18=".",s_Irr!AZ18=".",s_Irr!BY18="."),s_dir!BB18*1000)))))))),".")</f>
        <v>12.491690473696947</v>
      </c>
      <c r="CC18" s="93">
        <f t="shared" si="2"/>
        <v>7486.4983546212979</v>
      </c>
      <c r="CD18" s="93">
        <f>IFERROR(s_C*s_IFAP_far_adj*s_CF_apple*(1/1000)*(s_Irr!C18+s_Irr!AB18+s_Irr!BA18),".")</f>
        <v>1775.1529030993431</v>
      </c>
      <c r="CE18" s="93">
        <f>IFERROR(s_C*s_IFAS_far_adj*s_CF_asparagus*(1/1000)*(s_Irr!D18+s_Irr!AC18+s_Irr!BB18),".")</f>
        <v>1991.5379921968718</v>
      </c>
      <c r="CF18" s="93">
        <f>IFERROR(s_C*s_IFBT_far_adj*s_CF_beet*(1/1000)*(s_Irr!E18+s_Irr!AD18+s_Irr!BC18),".")</f>
        <v>1943.4524168418652</v>
      </c>
      <c r="CG18" s="93">
        <f>IFERROR(s_C*s_IFBE_far_adj*s_CF_berries*(1/1000)*(s_Irr!F18+s_Irr!AE18+s_Irr!BD18),".")</f>
        <v>1775.1529030993431</v>
      </c>
      <c r="CH18" s="93">
        <f>IFERROR(s_C*s_IFBR_far_adj*s_CF_broccoli*(1/1000)*(s_Irr!G18+s_Irr!AF18+s_Irr!BE18),".")</f>
        <v>1775.1529030993431</v>
      </c>
      <c r="CI18" s="93">
        <f>IFERROR(s_C*s_IFCB_far_adj*s_CF_cabbage*(1/1000)*(s_Irr!H18+s_Irr!AG18+s_Irr!BF18),".")</f>
        <v>1991.5379921968718</v>
      </c>
      <c r="CJ18" s="93">
        <f>IFERROR(s_C*s_IFCR_far_adj*s_CF_carrot*(1/1000)*(s_Irr!I18+s_Irr!AH18+s_Irr!BG18),".")</f>
        <v>1943.4524168418652</v>
      </c>
      <c r="CK18" s="93">
        <f>IFERROR(s_C*s_IFCI_far_adj*s_CF_citrus*(1/1000)*(s_Irr!J18+s_Irr!AI18+s_Irr!BH18),".")</f>
        <v>1775.1529030993431</v>
      </c>
      <c r="CL18" s="93">
        <f>IFERROR(s_C*s_IFCO_far_adj*s_CF_corn*(1/1000)*(s_Irr!K18+s_Irr!AJ18+s_Irr!BI18),".")</f>
        <v>1776.3550424832183</v>
      </c>
      <c r="CM18" s="93">
        <f>IFERROR(s_C*s_IFCU_far_adj*s_CF_cucumber*(1/1000)*(s_Irr!L18+s_Irr!AK18+s_Irr!BJ18),".")</f>
        <v>1775.1529030993431</v>
      </c>
      <c r="CN18" s="93">
        <f>IFERROR(s_C*s_IFLE_far_adj*s_CF_lettuce*(1/1000)*(s_Irr!M18+s_Irr!AL18+s_Irr!BK18),".")</f>
        <v>1991.5379921968718</v>
      </c>
      <c r="CO18" s="93">
        <f>IFERROR(s_C*s_IFLI_far_adj*s_CF_lima_bean*(1/1000)*(s_Irr!N18+s_Irr!AM18+s_Irr!BL18),".")</f>
        <v>1777.2566470211248</v>
      </c>
      <c r="CP18" s="93">
        <f>IFERROR(s_C*s_IFOK_far_adj*s_CF_okra*(1/1000)*(s_Irr!O18+s_Irr!AN18+s_Irr!BM18),".")</f>
        <v>1775.1529030993431</v>
      </c>
      <c r="CQ18" s="93">
        <f>IFERROR(s_C*s_IFON_far_adj*s_CF_onion*(1/1000)*(s_Irr!P18+s_Irr!AO18+s_Irr!BN18),".")</f>
        <v>1943.4524168418652</v>
      </c>
      <c r="CR18" s="93">
        <f>IFERROR(s_C*s_IFPC_far_adj*s_CF_peach*(1/1000)*(s_Irr!Q18+s_Irr!AP18+s_Irr!BO18),".")</f>
        <v>1775.1529030993431</v>
      </c>
      <c r="CS18" s="93">
        <f>IFERROR(s_C*s_IFPR_far_adj*s_CF_pear*(1/1000)*(s_Irr!R18+s_Irr!AQ18+s_Irr!BP18),".")</f>
        <v>1775.1529030993431</v>
      </c>
      <c r="CT18" s="93">
        <f>IFERROR(s_C*s_IFPE_far_adj*s_CF_peas*(1/1000)*(s_Irr!S18+s_Irr!AR18+s_Irr!BQ18),".")</f>
        <v>1777.2566470211248</v>
      </c>
      <c r="CU18" s="93">
        <f>IFERROR(s_C*s_IFPP_far_adj*s_CF_peppers*(1/1000)*(s_Irr!T18+s_Irr!AS18+s_Irr!BR18),".")</f>
        <v>1775.1529030993431</v>
      </c>
      <c r="CV18" s="93">
        <f>IFERROR(s_C*s_IFPT_far_adj*s_CF_potato*(1/1000)*(s_Irr!U18+s_Irr!AT18+s_Irr!BS18),".")</f>
        <v>1850.2866145915405</v>
      </c>
      <c r="CW18" s="93">
        <f>IFERROR(s_C*s_IFPU_far_adj*s_CF_pumpkin*(1/1000)*(s_Irr!V18+s_Irr!AU18+s_Irr!BT18),".")</f>
        <v>1775.1529030993431</v>
      </c>
      <c r="CX18" s="93">
        <f>IFERROR(s_C*s_IFSN_far_adj*s_CF_snap_bean*(1/1000)*(s_Irr!W18+s_Irr!AV18+s_Irr!BU18),".")</f>
        <v>1777.2566470211248</v>
      </c>
      <c r="CY18" s="93">
        <f>IFERROR(s_C*s_IFST_far_adj*s_CF_strawberry*(1/1000)*(s_Irr!X18+s_Irr!AW18+s_Irr!BV18),".")</f>
        <v>1775.1529030993431</v>
      </c>
      <c r="CZ18" s="93">
        <f>IFERROR(s_C*s_IFTO_far_adj*s_CF_tomato*(1/1000)*(s_Irr!Y18+s_Irr!AX18+s_Irr!BW18),".")</f>
        <v>1775.1529030993431</v>
      </c>
      <c r="DA18" s="93">
        <f>IFERROR(s_C*s_IFRI_far_adj*s_CF_rice*(1/1000)*(s_Irr!Z18+s_Irr!AY18+s_Irr!BX18),".")</f>
        <v>2159.8375059393938</v>
      </c>
      <c r="DB18" s="93">
        <f>IFERROR(s_C*s_IFCG_far_adj*s_CF_cereal*(1/1000)*(s_Irr!AA18+s_Irr!AZ18+s_Irr!BY18),".")</f>
        <v>1776.3550424832183</v>
      </c>
    </row>
    <row r="19" spans="1:106" ht="15" customHeight="1" x14ac:dyDescent="0.25">
      <c r="A19" s="92" t="s">
        <v>29</v>
      </c>
      <c r="B19" s="90" t="s">
        <v>1071</v>
      </c>
      <c r="C19" s="15" t="str">
        <f t="shared" si="3"/>
        <v>.</v>
      </c>
      <c r="D19" s="76" t="str">
        <f>IFERROR(IF(AND(s_Irr!C19&lt;&gt;".",s_Irr!AB19&lt;&gt;".",s_Irr!BA19&lt;&gt;"."),s_dir!D19/((1/1000)*(s_Irr!C19+s_Irr!AB19+s_Irr!BA19)),IF(AND(s_Irr!C19&lt;&gt;".",s_Irr!AB19&lt;&gt;".",s_Irr!BA19="."),s_dir!D19/((1/1000)*(s_Irr!C19+s_Irr!AB19)),IF(AND(s_Irr!C19&lt;&gt;".",s_Irr!AB19=".",s_Irr!BA19&lt;&gt;"."),s_dir!D19/((1/1000)*(s_Irr!C19+s_Irr!BA19)),IF(AND(s_Irr!C19=".",s_Irr!AB19&lt;&gt;".",s_Irr!BA19&lt;&gt;"."),s_dir!D19/((1/1000)*(s_Irr!AB19+s_Irr!BA19)),IF(AND(s_Irr!C19=".",s_Irr!AB19=".",s_Irr!BA19&lt;&gt;"."),s_dir!D19/((1/1000)*(s_Irr!BA19)),IF(AND(s_Irr!C19=".",s_Irr!AB19&lt;&gt;".",s_Irr!BA19="."),s_dir!D19/((1/1000)*(s_Irr!AB19)),IF(AND(s_Irr!C19&lt;&gt;".",s_Irr!AB19=".",s_Irr!BA19="."),s_dir!D19/((1/1000)*(s_Irr!C19)),IF(AND(s_Irr!C19=".",s_Irr!AB19=".",s_Irr!BA19="."),s_dir!D19*1000)))))))),".")</f>
        <v>.</v>
      </c>
      <c r="E19" s="76" t="str">
        <f>IFERROR(IF(AND(s_Irr!D19&lt;&gt;".",s_Irr!AC19&lt;&gt;".",s_Irr!BB19&lt;&gt;"."),s_dir!E19/((1/1000)*(s_Irr!D19+s_Irr!AC19+s_Irr!BB19)),IF(AND(s_Irr!D19&lt;&gt;".",s_Irr!AC19&lt;&gt;".",s_Irr!BB19="."),s_dir!E19/((1/1000)*(s_Irr!D19+s_Irr!AC19)),IF(AND(s_Irr!D19&lt;&gt;".",s_Irr!AC19=".",s_Irr!BB19&lt;&gt;"."),s_dir!E19/((1/1000)*(s_Irr!D19+s_Irr!BB19)),IF(AND(s_Irr!D19=".",s_Irr!AC19&lt;&gt;".",s_Irr!BB19&lt;&gt;"."),s_dir!E19/((1/1000)*(s_Irr!AC19+s_Irr!BB19)),IF(AND(s_Irr!D19=".",s_Irr!AC19=".",s_Irr!BB19&lt;&gt;"."),s_dir!E19/((1/1000)*(s_Irr!BB19)),IF(AND(s_Irr!D19=".",s_Irr!AC19&lt;&gt;".",s_Irr!BB19="."),s_dir!E19/((1/1000)*(s_Irr!AC19)),IF(AND(s_Irr!D19&lt;&gt;".",s_Irr!AC19=".",s_Irr!BB19="."),s_dir!E19/((1/1000)*(s_Irr!D19)),IF(AND(s_Irr!D19=".",s_Irr!AC19=".",s_Irr!BB19="."),s_dir!E19*1000)))))))),".")</f>
        <v>.</v>
      </c>
      <c r="F19" s="76" t="str">
        <f>IFERROR(IF(AND(s_Irr!E19&lt;&gt;".",s_Irr!AD19&lt;&gt;".",s_Irr!BC19&lt;&gt;"."),s_dir!F19/((1/1000)*(s_Irr!E19+s_Irr!AD19+s_Irr!BC19)),IF(AND(s_Irr!E19&lt;&gt;".",s_Irr!AD19&lt;&gt;".",s_Irr!BC19="."),s_dir!F19/((1/1000)*(s_Irr!E19+s_Irr!AD19)),IF(AND(s_Irr!E19&lt;&gt;".",s_Irr!AD19=".",s_Irr!BC19&lt;&gt;"."),s_dir!F19/((1/1000)*(s_Irr!E19+s_Irr!BC19)),IF(AND(s_Irr!E19=".",s_Irr!AD19&lt;&gt;".",s_Irr!BC19&lt;&gt;"."),s_dir!F19/((1/1000)*(s_Irr!AD19+s_Irr!BC19)),IF(AND(s_Irr!E19=".",s_Irr!AD19=".",s_Irr!BC19&lt;&gt;"."),s_dir!F19/((1/1000)*(s_Irr!BC19)),IF(AND(s_Irr!E19=".",s_Irr!AD19&lt;&gt;".",s_Irr!BC19="."),s_dir!F19/((1/1000)*(s_Irr!AD19)),IF(AND(s_Irr!E19&lt;&gt;".",s_Irr!AD19=".",s_Irr!BC19="."),s_dir!F19/((1/1000)*(s_Irr!E19)),IF(AND(s_Irr!E19=".",s_Irr!AD19=".",s_Irr!BC19="."),s_dir!F19*1000)))))))),".")</f>
        <v>.</v>
      </c>
      <c r="G19" s="76" t="str">
        <f>IFERROR(IF(AND(s_Irr!F19&lt;&gt;".",s_Irr!AE19&lt;&gt;".",s_Irr!BD19&lt;&gt;"."),s_dir!G19/((1/1000)*(s_Irr!F19+s_Irr!AE19+s_Irr!BD19)),IF(AND(s_Irr!F19&lt;&gt;".",s_Irr!AE19&lt;&gt;".",s_Irr!BD19="."),s_dir!G19/((1/1000)*(s_Irr!F19+s_Irr!AE19)),IF(AND(s_Irr!F19&lt;&gt;".",s_Irr!AE19=".",s_Irr!BD19&lt;&gt;"."),s_dir!G19/((1/1000)*(s_Irr!F19+s_Irr!BD19)),IF(AND(s_Irr!F19=".",s_Irr!AE19&lt;&gt;".",s_Irr!BD19&lt;&gt;"."),s_dir!G19/((1/1000)*(s_Irr!AE19+s_Irr!BD19)),IF(AND(s_Irr!F19=".",s_Irr!AE19=".",s_Irr!BD19&lt;&gt;"."),s_dir!G19/((1/1000)*(s_Irr!BD19)),IF(AND(s_Irr!F19=".",s_Irr!AE19&lt;&gt;".",s_Irr!BD19="."),s_dir!G19/((1/1000)*(s_Irr!AE19)),IF(AND(s_Irr!F19&lt;&gt;".",s_Irr!AE19=".",s_Irr!BD19="."),s_dir!G19/((1/1000)*(s_Irr!F19)),IF(AND(s_Irr!F19=".",s_Irr!AE19=".",s_Irr!BD19="."),s_dir!G19*1000)))))))),".")</f>
        <v>.</v>
      </c>
      <c r="H19" s="76" t="str">
        <f>IFERROR(IF(AND(s_Irr!G19&lt;&gt;".",s_Irr!AF19&lt;&gt;".",s_Irr!BE19&lt;&gt;"."),s_dir!H19/((1/1000)*(s_Irr!G19+s_Irr!AF19+s_Irr!BE19)),IF(AND(s_Irr!G19&lt;&gt;".",s_Irr!AF19&lt;&gt;".",s_Irr!BE19="."),s_dir!H19/((1/1000)*(s_Irr!G19+s_Irr!AF19)),IF(AND(s_Irr!G19&lt;&gt;".",s_Irr!AF19=".",s_Irr!BE19&lt;&gt;"."),s_dir!H19/((1/1000)*(s_Irr!G19+s_Irr!BE19)),IF(AND(s_Irr!G19=".",s_Irr!AF19&lt;&gt;".",s_Irr!BE19&lt;&gt;"."),s_dir!H19/((1/1000)*(s_Irr!AF19+s_Irr!BE19)),IF(AND(s_Irr!G19=".",s_Irr!AF19=".",s_Irr!BE19&lt;&gt;"."),s_dir!H19/((1/1000)*(s_Irr!BE19)),IF(AND(s_Irr!G19=".",s_Irr!AF19&lt;&gt;".",s_Irr!BE19="."),s_dir!H19/((1/1000)*(s_Irr!AF19)),IF(AND(s_Irr!G19&lt;&gt;".",s_Irr!AF19=".",s_Irr!BE19="."),s_dir!H19/((1/1000)*(s_Irr!G19)),IF(AND(s_Irr!G19=".",s_Irr!AF19=".",s_Irr!BE19="."),s_dir!H19*1000)))))))),".")</f>
        <v>.</v>
      </c>
      <c r="I19" s="76" t="str">
        <f>IFERROR(IF(AND(s_Irr!H19&lt;&gt;".",s_Irr!AG19&lt;&gt;".",s_Irr!BF19&lt;&gt;"."),s_dir!I19/((1/1000)*(s_Irr!H19+s_Irr!AG19+s_Irr!BF19)),IF(AND(s_Irr!H19&lt;&gt;".",s_Irr!AG19&lt;&gt;".",s_Irr!BF19="."),s_dir!I19/((1/1000)*(s_Irr!H19+s_Irr!AG19)),IF(AND(s_Irr!H19&lt;&gt;".",s_Irr!AG19=".",s_Irr!BF19&lt;&gt;"."),s_dir!I19/((1/1000)*(s_Irr!H19+s_Irr!BF19)),IF(AND(s_Irr!H19=".",s_Irr!AG19&lt;&gt;".",s_Irr!BF19&lt;&gt;"."),s_dir!I19/((1/1000)*(s_Irr!AG19+s_Irr!BF19)),IF(AND(s_Irr!H19=".",s_Irr!AG19=".",s_Irr!BF19&lt;&gt;"."),s_dir!I19/((1/1000)*(s_Irr!BF19)),IF(AND(s_Irr!H19=".",s_Irr!AG19&lt;&gt;".",s_Irr!BF19="."),s_dir!I19/((1/1000)*(s_Irr!AG19)),IF(AND(s_Irr!H19&lt;&gt;".",s_Irr!AG19=".",s_Irr!BF19="."),s_dir!I19/((1/1000)*(s_Irr!H19)),IF(AND(s_Irr!H19=".",s_Irr!AG19=".",s_Irr!BF19="."),s_dir!I19*1000)))))))),".")</f>
        <v>.</v>
      </c>
      <c r="J19" s="76" t="str">
        <f>IFERROR(IF(AND(s_Irr!I19&lt;&gt;".",s_Irr!AH19&lt;&gt;".",s_Irr!BG19&lt;&gt;"."),s_dir!J19/((1/1000)*(s_Irr!I19+s_Irr!AH19+s_Irr!BG19)),IF(AND(s_Irr!I19&lt;&gt;".",s_Irr!AH19&lt;&gt;".",s_Irr!BG19="."),s_dir!J19/((1/1000)*(s_Irr!I19+s_Irr!AH19)),IF(AND(s_Irr!I19&lt;&gt;".",s_Irr!AH19=".",s_Irr!BG19&lt;&gt;"."),s_dir!J19/((1/1000)*(s_Irr!I19+s_Irr!BG19)),IF(AND(s_Irr!I19=".",s_Irr!AH19&lt;&gt;".",s_Irr!BG19&lt;&gt;"."),s_dir!J19/((1/1000)*(s_Irr!AH19+s_Irr!BG19)),IF(AND(s_Irr!I19=".",s_Irr!AH19=".",s_Irr!BG19&lt;&gt;"."),s_dir!J19/((1/1000)*(s_Irr!BG19)),IF(AND(s_Irr!I19=".",s_Irr!AH19&lt;&gt;".",s_Irr!BG19="."),s_dir!J19/((1/1000)*(s_Irr!AH19)),IF(AND(s_Irr!I19&lt;&gt;".",s_Irr!AH19=".",s_Irr!BG19="."),s_dir!J19/((1/1000)*(s_Irr!I19)),IF(AND(s_Irr!I19=".",s_Irr!AH19=".",s_Irr!BG19="."),s_dir!J19*1000)))))))),".")</f>
        <v>.</v>
      </c>
      <c r="K19" s="76" t="str">
        <f>IFERROR(IF(AND(s_Irr!J19&lt;&gt;".",s_Irr!AI19&lt;&gt;".",s_Irr!BH19&lt;&gt;"."),s_dir!K19/((1/1000)*(s_Irr!J19+s_Irr!AI19+s_Irr!BH19)),IF(AND(s_Irr!J19&lt;&gt;".",s_Irr!AI19&lt;&gt;".",s_Irr!BH19="."),s_dir!K19/((1/1000)*(s_Irr!J19+s_Irr!AI19)),IF(AND(s_Irr!J19&lt;&gt;".",s_Irr!AI19=".",s_Irr!BH19&lt;&gt;"."),s_dir!K19/((1/1000)*(s_Irr!J19+s_Irr!BH19)),IF(AND(s_Irr!J19=".",s_Irr!AI19&lt;&gt;".",s_Irr!BH19&lt;&gt;"."),s_dir!K19/((1/1000)*(s_Irr!AI19+s_Irr!BH19)),IF(AND(s_Irr!J19=".",s_Irr!AI19=".",s_Irr!BH19&lt;&gt;"."),s_dir!K19/((1/1000)*(s_Irr!BH19)),IF(AND(s_Irr!J19=".",s_Irr!AI19&lt;&gt;".",s_Irr!BH19="."),s_dir!K19/((1/1000)*(s_Irr!AI19)),IF(AND(s_Irr!J19&lt;&gt;".",s_Irr!AI19=".",s_Irr!BH19="."),s_dir!K19/((1/1000)*(s_Irr!J19)),IF(AND(s_Irr!J19=".",s_Irr!AI19=".",s_Irr!BH19="."),s_dir!K19*1000)))))))),".")</f>
        <v>.</v>
      </c>
      <c r="L19" s="76" t="str">
        <f>IFERROR(IF(AND(s_Irr!K19&lt;&gt;".",s_Irr!AJ19&lt;&gt;".",s_Irr!BI19&lt;&gt;"."),s_dir!L19/((1/1000)*(s_Irr!K19+s_Irr!AJ19+s_Irr!BI19)),IF(AND(s_Irr!K19&lt;&gt;".",s_Irr!AJ19&lt;&gt;".",s_Irr!BI19="."),s_dir!L19/((1/1000)*(s_Irr!K19+s_Irr!AJ19)),IF(AND(s_Irr!K19&lt;&gt;".",s_Irr!AJ19=".",s_Irr!BI19&lt;&gt;"."),s_dir!L19/((1/1000)*(s_Irr!K19+s_Irr!BI19)),IF(AND(s_Irr!K19=".",s_Irr!AJ19&lt;&gt;".",s_Irr!BI19&lt;&gt;"."),s_dir!L19/((1/1000)*(s_Irr!AJ19+s_Irr!BI19)),IF(AND(s_Irr!K19=".",s_Irr!AJ19=".",s_Irr!BI19&lt;&gt;"."),s_dir!L19/((1/1000)*(s_Irr!BI19)),IF(AND(s_Irr!K19=".",s_Irr!AJ19&lt;&gt;".",s_Irr!BI19="."),s_dir!L19/((1/1000)*(s_Irr!AJ19)),IF(AND(s_Irr!K19&lt;&gt;".",s_Irr!AJ19=".",s_Irr!BI19="."),s_dir!L19/((1/1000)*(s_Irr!K19)),IF(AND(s_Irr!K19=".",s_Irr!AJ19=".",s_Irr!BI19="."),s_dir!L19*1000)))))))),".")</f>
        <v>.</v>
      </c>
      <c r="M19" s="76" t="str">
        <f>IFERROR(IF(AND(s_Irr!L19&lt;&gt;".",s_Irr!AK19&lt;&gt;".",s_Irr!BJ19&lt;&gt;"."),s_dir!M19/((1/1000)*(s_Irr!L19+s_Irr!AK19+s_Irr!BJ19)),IF(AND(s_Irr!L19&lt;&gt;".",s_Irr!AK19&lt;&gt;".",s_Irr!BJ19="."),s_dir!M19/((1/1000)*(s_Irr!L19+s_Irr!AK19)),IF(AND(s_Irr!L19&lt;&gt;".",s_Irr!AK19=".",s_Irr!BJ19&lt;&gt;"."),s_dir!M19/((1/1000)*(s_Irr!L19+s_Irr!BJ19)),IF(AND(s_Irr!L19=".",s_Irr!AK19&lt;&gt;".",s_Irr!BJ19&lt;&gt;"."),s_dir!M19/((1/1000)*(s_Irr!AK19+s_Irr!BJ19)),IF(AND(s_Irr!L19=".",s_Irr!AK19=".",s_Irr!BJ19&lt;&gt;"."),s_dir!M19/((1/1000)*(s_Irr!BJ19)),IF(AND(s_Irr!L19=".",s_Irr!AK19&lt;&gt;".",s_Irr!BJ19="."),s_dir!M19/((1/1000)*(s_Irr!AK19)),IF(AND(s_Irr!L19&lt;&gt;".",s_Irr!AK19=".",s_Irr!BJ19="."),s_dir!M19/((1/1000)*(s_Irr!L19)),IF(AND(s_Irr!L19=".",s_Irr!AK19=".",s_Irr!BJ19="."),s_dir!M19*1000)))))))),".")</f>
        <v>.</v>
      </c>
      <c r="N19" s="76" t="str">
        <f>IFERROR(IF(AND(s_Irr!M19&lt;&gt;".",s_Irr!AL19&lt;&gt;".",s_Irr!BK19&lt;&gt;"."),s_dir!N19/((1/1000)*(s_Irr!M19+s_Irr!AL19+s_Irr!BK19)),IF(AND(s_Irr!M19&lt;&gt;".",s_Irr!AL19&lt;&gt;".",s_Irr!BK19="."),s_dir!N19/((1/1000)*(s_Irr!M19+s_Irr!AL19)),IF(AND(s_Irr!M19&lt;&gt;".",s_Irr!AL19=".",s_Irr!BK19&lt;&gt;"."),s_dir!N19/((1/1000)*(s_Irr!M19+s_Irr!BK19)),IF(AND(s_Irr!M19=".",s_Irr!AL19&lt;&gt;".",s_Irr!BK19&lt;&gt;"."),s_dir!N19/((1/1000)*(s_Irr!AL19+s_Irr!BK19)),IF(AND(s_Irr!M19=".",s_Irr!AL19=".",s_Irr!BK19&lt;&gt;"."),s_dir!N19/((1/1000)*(s_Irr!BK19)),IF(AND(s_Irr!M19=".",s_Irr!AL19&lt;&gt;".",s_Irr!BK19="."),s_dir!N19/((1/1000)*(s_Irr!AL19)),IF(AND(s_Irr!M19&lt;&gt;".",s_Irr!AL19=".",s_Irr!BK19="."),s_dir!N19/((1/1000)*(s_Irr!M19)),IF(AND(s_Irr!M19=".",s_Irr!AL19=".",s_Irr!BK19="."),s_dir!N19*1000)))))))),".")</f>
        <v>.</v>
      </c>
      <c r="O19" s="76" t="str">
        <f>IFERROR(IF(AND(s_Irr!N19&lt;&gt;".",s_Irr!AM19&lt;&gt;".",s_Irr!BL19&lt;&gt;"."),s_dir!O19/((1/1000)*(s_Irr!N19+s_Irr!AM19+s_Irr!BL19)),IF(AND(s_Irr!N19&lt;&gt;".",s_Irr!AM19&lt;&gt;".",s_Irr!BL19="."),s_dir!O19/((1/1000)*(s_Irr!N19+s_Irr!AM19)),IF(AND(s_Irr!N19&lt;&gt;".",s_Irr!AM19=".",s_Irr!BL19&lt;&gt;"."),s_dir!O19/((1/1000)*(s_Irr!N19+s_Irr!BL19)),IF(AND(s_Irr!N19=".",s_Irr!AM19&lt;&gt;".",s_Irr!BL19&lt;&gt;"."),s_dir!O19/((1/1000)*(s_Irr!AM19+s_Irr!BL19)),IF(AND(s_Irr!N19=".",s_Irr!AM19=".",s_Irr!BL19&lt;&gt;"."),s_dir!O19/((1/1000)*(s_Irr!BL19)),IF(AND(s_Irr!N19=".",s_Irr!AM19&lt;&gt;".",s_Irr!BL19="."),s_dir!O19/((1/1000)*(s_Irr!AM19)),IF(AND(s_Irr!N19&lt;&gt;".",s_Irr!AM19=".",s_Irr!BL19="."),s_dir!O19/((1/1000)*(s_Irr!N19)),IF(AND(s_Irr!N19=".",s_Irr!AM19=".",s_Irr!BL19="."),s_dir!O19*1000)))))))),".")</f>
        <v>.</v>
      </c>
      <c r="P19" s="76" t="str">
        <f>IFERROR(IF(AND(s_Irr!O19&lt;&gt;".",s_Irr!AN19&lt;&gt;".",s_Irr!BM19&lt;&gt;"."),s_dir!P19/((1/1000)*(s_Irr!O19+s_Irr!AN19+s_Irr!BM19)),IF(AND(s_Irr!O19&lt;&gt;".",s_Irr!AN19&lt;&gt;".",s_Irr!BM19="."),s_dir!P19/((1/1000)*(s_Irr!O19+s_Irr!AN19)),IF(AND(s_Irr!O19&lt;&gt;".",s_Irr!AN19=".",s_Irr!BM19&lt;&gt;"."),s_dir!P19/((1/1000)*(s_Irr!O19+s_Irr!BM19)),IF(AND(s_Irr!O19=".",s_Irr!AN19&lt;&gt;".",s_Irr!BM19&lt;&gt;"."),s_dir!P19/((1/1000)*(s_Irr!AN19+s_Irr!BM19)),IF(AND(s_Irr!O19=".",s_Irr!AN19=".",s_Irr!BM19&lt;&gt;"."),s_dir!P19/((1/1000)*(s_Irr!BM19)),IF(AND(s_Irr!O19=".",s_Irr!AN19&lt;&gt;".",s_Irr!BM19="."),s_dir!P19/((1/1000)*(s_Irr!AN19)),IF(AND(s_Irr!O19&lt;&gt;".",s_Irr!AN19=".",s_Irr!BM19="."),s_dir!P19/((1/1000)*(s_Irr!O19)),IF(AND(s_Irr!O19=".",s_Irr!AN19=".",s_Irr!BM19="."),s_dir!P19*1000)))))))),".")</f>
        <v>.</v>
      </c>
      <c r="Q19" s="76" t="str">
        <f>IFERROR(IF(AND(s_Irr!P19&lt;&gt;".",s_Irr!AO19&lt;&gt;".",s_Irr!BN19&lt;&gt;"."),s_dir!Q19/((1/1000)*(s_Irr!P19+s_Irr!AO19+s_Irr!BN19)),IF(AND(s_Irr!P19&lt;&gt;".",s_Irr!AO19&lt;&gt;".",s_Irr!BN19="."),s_dir!Q19/((1/1000)*(s_Irr!P19+s_Irr!AO19)),IF(AND(s_Irr!P19&lt;&gt;".",s_Irr!AO19=".",s_Irr!BN19&lt;&gt;"."),s_dir!Q19/((1/1000)*(s_Irr!P19+s_Irr!BN19)),IF(AND(s_Irr!P19=".",s_Irr!AO19&lt;&gt;".",s_Irr!BN19&lt;&gt;"."),s_dir!Q19/((1/1000)*(s_Irr!AO19+s_Irr!BN19)),IF(AND(s_Irr!P19=".",s_Irr!AO19=".",s_Irr!BN19&lt;&gt;"."),s_dir!Q19/((1/1000)*(s_Irr!BN19)),IF(AND(s_Irr!P19=".",s_Irr!AO19&lt;&gt;".",s_Irr!BN19="."),s_dir!Q19/((1/1000)*(s_Irr!AO19)),IF(AND(s_Irr!P19&lt;&gt;".",s_Irr!AO19=".",s_Irr!BN19="."),s_dir!Q19/((1/1000)*(s_Irr!P19)),IF(AND(s_Irr!P19=".",s_Irr!AO19=".",s_Irr!BN19="."),s_dir!Q19*1000)))))))),".")</f>
        <v>.</v>
      </c>
      <c r="R19" s="76" t="str">
        <f>IFERROR(IF(AND(s_Irr!Q19&lt;&gt;".",s_Irr!AP19&lt;&gt;".",s_Irr!BO19&lt;&gt;"."),s_dir!R19/((1/1000)*(s_Irr!Q19+s_Irr!AP19+s_Irr!BO19)),IF(AND(s_Irr!Q19&lt;&gt;".",s_Irr!AP19&lt;&gt;".",s_Irr!BO19="."),s_dir!R19/((1/1000)*(s_Irr!Q19+s_Irr!AP19)),IF(AND(s_Irr!Q19&lt;&gt;".",s_Irr!AP19=".",s_Irr!BO19&lt;&gt;"."),s_dir!R19/((1/1000)*(s_Irr!Q19+s_Irr!BO19)),IF(AND(s_Irr!Q19=".",s_Irr!AP19&lt;&gt;".",s_Irr!BO19&lt;&gt;"."),s_dir!R19/((1/1000)*(s_Irr!AP19+s_Irr!BO19)),IF(AND(s_Irr!Q19=".",s_Irr!AP19=".",s_Irr!BO19&lt;&gt;"."),s_dir!R19/((1/1000)*(s_Irr!BO19)),IF(AND(s_Irr!Q19=".",s_Irr!AP19&lt;&gt;".",s_Irr!BO19="."),s_dir!R19/((1/1000)*(s_Irr!AP19)),IF(AND(s_Irr!Q19&lt;&gt;".",s_Irr!AP19=".",s_Irr!BO19="."),s_dir!R19/((1/1000)*(s_Irr!Q19)),IF(AND(s_Irr!Q19=".",s_Irr!AP19=".",s_Irr!BO19="."),s_dir!R19*1000)))))))),".")</f>
        <v>.</v>
      </c>
      <c r="S19" s="76" t="str">
        <f>IFERROR(IF(AND(s_Irr!R19&lt;&gt;".",s_Irr!AQ19&lt;&gt;".",s_Irr!BP19&lt;&gt;"."),s_dir!S19/((1/1000)*(s_Irr!R19+s_Irr!AQ19+s_Irr!BP19)),IF(AND(s_Irr!R19&lt;&gt;".",s_Irr!AQ19&lt;&gt;".",s_Irr!BP19="."),s_dir!S19/((1/1000)*(s_Irr!R19+s_Irr!AQ19)),IF(AND(s_Irr!R19&lt;&gt;".",s_Irr!AQ19=".",s_Irr!BP19&lt;&gt;"."),s_dir!S19/((1/1000)*(s_Irr!R19+s_Irr!BP19)),IF(AND(s_Irr!R19=".",s_Irr!AQ19&lt;&gt;".",s_Irr!BP19&lt;&gt;"."),s_dir!S19/((1/1000)*(s_Irr!AQ19+s_Irr!BP19)),IF(AND(s_Irr!R19=".",s_Irr!AQ19=".",s_Irr!BP19&lt;&gt;"."),s_dir!S19/((1/1000)*(s_Irr!BP19)),IF(AND(s_Irr!R19=".",s_Irr!AQ19&lt;&gt;".",s_Irr!BP19="."),s_dir!S19/((1/1000)*(s_Irr!AQ19)),IF(AND(s_Irr!R19&lt;&gt;".",s_Irr!AQ19=".",s_Irr!BP19="."),s_dir!S19/((1/1000)*(s_Irr!R19)),IF(AND(s_Irr!R19=".",s_Irr!AQ19=".",s_Irr!BP19="."),s_dir!S19*1000)))))))),".")</f>
        <v>.</v>
      </c>
      <c r="T19" s="76" t="str">
        <f>IFERROR(IF(AND(s_Irr!S19&lt;&gt;".",s_Irr!AR19&lt;&gt;".",s_Irr!BQ19&lt;&gt;"."),s_dir!T19/((1/1000)*(s_Irr!S19+s_Irr!AR19+s_Irr!BQ19)),IF(AND(s_Irr!S19&lt;&gt;".",s_Irr!AR19&lt;&gt;".",s_Irr!BQ19="."),s_dir!T19/((1/1000)*(s_Irr!S19+s_Irr!AR19)),IF(AND(s_Irr!S19&lt;&gt;".",s_Irr!AR19=".",s_Irr!BQ19&lt;&gt;"."),s_dir!T19/((1/1000)*(s_Irr!S19+s_Irr!BQ19)),IF(AND(s_Irr!S19=".",s_Irr!AR19&lt;&gt;".",s_Irr!BQ19&lt;&gt;"."),s_dir!T19/((1/1000)*(s_Irr!AR19+s_Irr!BQ19)),IF(AND(s_Irr!S19=".",s_Irr!AR19=".",s_Irr!BQ19&lt;&gt;"."),s_dir!T19/((1/1000)*(s_Irr!BQ19)),IF(AND(s_Irr!S19=".",s_Irr!AR19&lt;&gt;".",s_Irr!BQ19="."),s_dir!T19/((1/1000)*(s_Irr!AR19)),IF(AND(s_Irr!S19&lt;&gt;".",s_Irr!AR19=".",s_Irr!BQ19="."),s_dir!T19/((1/1000)*(s_Irr!S19)),IF(AND(s_Irr!S19=".",s_Irr!AR19=".",s_Irr!BQ19="."),s_dir!T19*1000)))))))),".")</f>
        <v>.</v>
      </c>
      <c r="U19" s="76" t="str">
        <f>IFERROR(IF(AND(s_Irr!T19&lt;&gt;".",s_Irr!AS19&lt;&gt;".",s_Irr!BR19&lt;&gt;"."),s_dir!U19/((1/1000)*(s_Irr!T19+s_Irr!AS19+s_Irr!BR19)),IF(AND(s_Irr!T19&lt;&gt;".",s_Irr!AS19&lt;&gt;".",s_Irr!BR19="."),s_dir!U19/((1/1000)*(s_Irr!T19+s_Irr!AS19)),IF(AND(s_Irr!T19&lt;&gt;".",s_Irr!AS19=".",s_Irr!BR19&lt;&gt;"."),s_dir!U19/((1/1000)*(s_Irr!T19+s_Irr!BR19)),IF(AND(s_Irr!T19=".",s_Irr!AS19&lt;&gt;".",s_Irr!BR19&lt;&gt;"."),s_dir!U19/((1/1000)*(s_Irr!AS19+s_Irr!BR19)),IF(AND(s_Irr!T19=".",s_Irr!AS19=".",s_Irr!BR19&lt;&gt;"."),s_dir!U19/((1/1000)*(s_Irr!BR19)),IF(AND(s_Irr!T19=".",s_Irr!AS19&lt;&gt;".",s_Irr!BR19="."),s_dir!U19/((1/1000)*(s_Irr!AS19)),IF(AND(s_Irr!T19&lt;&gt;".",s_Irr!AS19=".",s_Irr!BR19="."),s_dir!U19/((1/1000)*(s_Irr!T19)),IF(AND(s_Irr!T19=".",s_Irr!AS19=".",s_Irr!BR19="."),s_dir!U19*1000)))))))),".")</f>
        <v>.</v>
      </c>
      <c r="V19" s="76" t="str">
        <f>IFERROR(IF(AND(s_Irr!U19&lt;&gt;".",s_Irr!AT19&lt;&gt;".",s_Irr!BS19&lt;&gt;"."),s_dir!V19/((1/1000)*(s_Irr!U19+s_Irr!AT19+s_Irr!BS19)),IF(AND(s_Irr!U19&lt;&gt;".",s_Irr!AT19&lt;&gt;".",s_Irr!BS19="."),s_dir!V19/((1/1000)*(s_Irr!U19+s_Irr!AT19)),IF(AND(s_Irr!U19&lt;&gt;".",s_Irr!AT19=".",s_Irr!BS19&lt;&gt;"."),s_dir!V19/((1/1000)*(s_Irr!U19+s_Irr!BS19)),IF(AND(s_Irr!U19=".",s_Irr!AT19&lt;&gt;".",s_Irr!BS19&lt;&gt;"."),s_dir!V19/((1/1000)*(s_Irr!AT19+s_Irr!BS19)),IF(AND(s_Irr!U19=".",s_Irr!AT19=".",s_Irr!BS19&lt;&gt;"."),s_dir!V19/((1/1000)*(s_Irr!BS19)),IF(AND(s_Irr!U19=".",s_Irr!AT19&lt;&gt;".",s_Irr!BS19="."),s_dir!V19/((1/1000)*(s_Irr!AT19)),IF(AND(s_Irr!U19&lt;&gt;".",s_Irr!AT19=".",s_Irr!BS19="."),s_dir!V19/((1/1000)*(s_Irr!U19)),IF(AND(s_Irr!U19=".",s_Irr!AT19=".",s_Irr!BS19="."),s_dir!V19*1000)))))))),".")</f>
        <v>.</v>
      </c>
      <c r="W19" s="76" t="str">
        <f>IFERROR(IF(AND(s_Irr!V19&lt;&gt;".",s_Irr!AU19&lt;&gt;".",s_Irr!BT19&lt;&gt;"."),s_dir!W19/((1/1000)*(s_Irr!V19+s_Irr!AU19+s_Irr!BT19)),IF(AND(s_Irr!V19&lt;&gt;".",s_Irr!AU19&lt;&gt;".",s_Irr!BT19="."),s_dir!W19/((1/1000)*(s_Irr!V19+s_Irr!AU19)),IF(AND(s_Irr!V19&lt;&gt;".",s_Irr!AU19=".",s_Irr!BT19&lt;&gt;"."),s_dir!W19/((1/1000)*(s_Irr!V19+s_Irr!BT19)),IF(AND(s_Irr!V19=".",s_Irr!AU19&lt;&gt;".",s_Irr!BT19&lt;&gt;"."),s_dir!W19/((1/1000)*(s_Irr!AU19+s_Irr!BT19)),IF(AND(s_Irr!V19=".",s_Irr!AU19=".",s_Irr!BT19&lt;&gt;"."),s_dir!W19/((1/1000)*(s_Irr!BT19)),IF(AND(s_Irr!V19=".",s_Irr!AU19&lt;&gt;".",s_Irr!BT19="."),s_dir!W19/((1/1000)*(s_Irr!AU19)),IF(AND(s_Irr!V19&lt;&gt;".",s_Irr!AU19=".",s_Irr!BT19="."),s_dir!W19/((1/1000)*(s_Irr!V19)),IF(AND(s_Irr!V19=".",s_Irr!AU19=".",s_Irr!BT19="."),s_dir!W19*1000)))))))),".")</f>
        <v>.</v>
      </c>
      <c r="X19" s="76" t="str">
        <f>IFERROR(IF(AND(s_Irr!W19&lt;&gt;".",s_Irr!AV19&lt;&gt;".",s_Irr!BU19&lt;&gt;"."),s_dir!X19/((1/1000)*(s_Irr!W19+s_Irr!AV19+s_Irr!BU19)),IF(AND(s_Irr!W19&lt;&gt;".",s_Irr!AV19&lt;&gt;".",s_Irr!BU19="."),s_dir!X19/((1/1000)*(s_Irr!W19+s_Irr!AV19)),IF(AND(s_Irr!W19&lt;&gt;".",s_Irr!AV19=".",s_Irr!BU19&lt;&gt;"."),s_dir!X19/((1/1000)*(s_Irr!W19+s_Irr!BU19)),IF(AND(s_Irr!W19=".",s_Irr!AV19&lt;&gt;".",s_Irr!BU19&lt;&gt;"."),s_dir!X19/((1/1000)*(s_Irr!AV19+s_Irr!BU19)),IF(AND(s_Irr!W19=".",s_Irr!AV19=".",s_Irr!BU19&lt;&gt;"."),s_dir!X19/((1/1000)*(s_Irr!BU19)),IF(AND(s_Irr!W19=".",s_Irr!AV19&lt;&gt;".",s_Irr!BU19="."),s_dir!X19/((1/1000)*(s_Irr!AV19)),IF(AND(s_Irr!W19&lt;&gt;".",s_Irr!AV19=".",s_Irr!BU19="."),s_dir!X19/((1/1000)*(s_Irr!W19)),IF(AND(s_Irr!W19=".",s_Irr!AV19=".",s_Irr!BU19="."),s_dir!X19*1000)))))))),".")</f>
        <v>.</v>
      </c>
      <c r="Y19" s="76" t="str">
        <f>IFERROR(IF(AND(s_Irr!X19&lt;&gt;".",s_Irr!AW19&lt;&gt;".",s_Irr!BV19&lt;&gt;"."),s_dir!Y19/((1/1000)*(s_Irr!X19+s_Irr!AW19+s_Irr!BV19)),IF(AND(s_Irr!X19&lt;&gt;".",s_Irr!AW19&lt;&gt;".",s_Irr!BV19="."),s_dir!Y19/((1/1000)*(s_Irr!X19+s_Irr!AW19)),IF(AND(s_Irr!X19&lt;&gt;".",s_Irr!AW19=".",s_Irr!BV19&lt;&gt;"."),s_dir!Y19/((1/1000)*(s_Irr!X19+s_Irr!BV19)),IF(AND(s_Irr!X19=".",s_Irr!AW19&lt;&gt;".",s_Irr!BV19&lt;&gt;"."),s_dir!Y19/((1/1000)*(s_Irr!AW19+s_Irr!BV19)),IF(AND(s_Irr!X19=".",s_Irr!AW19=".",s_Irr!BV19&lt;&gt;"."),s_dir!Y19/((1/1000)*(s_Irr!BV19)),IF(AND(s_Irr!X19=".",s_Irr!AW19&lt;&gt;".",s_Irr!BV19="."),s_dir!Y19/((1/1000)*(s_Irr!AW19)),IF(AND(s_Irr!X19&lt;&gt;".",s_Irr!AW19=".",s_Irr!BV19="."),s_dir!Y19/((1/1000)*(s_Irr!X19)),IF(AND(s_Irr!X19=".",s_Irr!AW19=".",s_Irr!BV19="."),s_dir!Y19*1000)))))))),".")</f>
        <v>.</v>
      </c>
      <c r="Z19" s="76" t="str">
        <f>IFERROR(IF(AND(s_Irr!Y19&lt;&gt;".",s_Irr!AX19&lt;&gt;".",s_Irr!BW19&lt;&gt;"."),s_dir!Z19/((1/1000)*(s_Irr!Y19+s_Irr!AX19+s_Irr!BW19)),IF(AND(s_Irr!Y19&lt;&gt;".",s_Irr!AX19&lt;&gt;".",s_Irr!BW19="."),s_dir!Z19/((1/1000)*(s_Irr!Y19+s_Irr!AX19)),IF(AND(s_Irr!Y19&lt;&gt;".",s_Irr!AX19=".",s_Irr!BW19&lt;&gt;"."),s_dir!Z19/((1/1000)*(s_Irr!Y19+s_Irr!BW19)),IF(AND(s_Irr!Y19=".",s_Irr!AX19&lt;&gt;".",s_Irr!BW19&lt;&gt;"."),s_dir!Z19/((1/1000)*(s_Irr!AX19+s_Irr!BW19)),IF(AND(s_Irr!Y19=".",s_Irr!AX19=".",s_Irr!BW19&lt;&gt;"."),s_dir!Z19/((1/1000)*(s_Irr!BW19)),IF(AND(s_Irr!Y19=".",s_Irr!AX19&lt;&gt;".",s_Irr!BW19="."),s_dir!Z19/((1/1000)*(s_Irr!AX19)),IF(AND(s_Irr!Y19&lt;&gt;".",s_Irr!AX19=".",s_Irr!BW19="."),s_dir!Z19/((1/1000)*(s_Irr!Y19)),IF(AND(s_Irr!Y19=".",s_Irr!AX19=".",s_Irr!BW19="."),s_dir!Z19*1000)))))))),".")</f>
        <v>.</v>
      </c>
      <c r="AA19" s="76" t="str">
        <f>IFERROR(IF(AND(s_Irr!Z19&lt;&gt;".",s_Irr!AY19&lt;&gt;".",s_Irr!BX19&lt;&gt;"."),s_dir!AA19/((1/1000)*(s_Irr!Z19+s_Irr!AY19+s_Irr!BX19)),IF(AND(s_Irr!Z19&lt;&gt;".",s_Irr!AY19&lt;&gt;".",s_Irr!BX19="."),s_dir!AA19/((1/1000)*(s_Irr!Z19+s_Irr!AY19)),IF(AND(s_Irr!Z19&lt;&gt;".",s_Irr!AY19=".",s_Irr!BX19&lt;&gt;"."),s_dir!AA19/((1/1000)*(s_Irr!Z19+s_Irr!BX19)),IF(AND(s_Irr!Z19=".",s_Irr!AY19&lt;&gt;".",s_Irr!BX19&lt;&gt;"."),s_dir!AA19/((1/1000)*(s_Irr!AY19+s_Irr!BX19)),IF(AND(s_Irr!Z19=".",s_Irr!AY19=".",s_Irr!BX19&lt;&gt;"."),s_dir!AA19/((1/1000)*(s_Irr!BX19)),IF(AND(s_Irr!Z19=".",s_Irr!AY19&lt;&gt;".",s_Irr!BX19="."),s_dir!AA19/((1/1000)*(s_Irr!AY19)),IF(AND(s_Irr!Z19&lt;&gt;".",s_Irr!AY19=".",s_Irr!BX19="."),s_dir!AA19/((1/1000)*(s_Irr!Z19)),IF(AND(s_Irr!Z19=".",s_Irr!AY19=".",s_Irr!BX19="."),s_dir!AA19*1000)))))))),".")</f>
        <v>.</v>
      </c>
      <c r="AB19" s="76" t="str">
        <f>IFERROR(IF(AND(s_Irr!AA19&lt;&gt;".",s_Irr!AZ19&lt;&gt;".",s_Irr!BY19&lt;&gt;"."),s_dir!AB19/((1/1000)*(s_Irr!AA19+s_Irr!AZ19+s_Irr!BY19)),IF(AND(s_Irr!AA19&lt;&gt;".",s_Irr!AZ19&lt;&gt;".",s_Irr!BY19="."),s_dir!AB19/((1/1000)*(s_Irr!AA19+s_Irr!AZ19)),IF(AND(s_Irr!AA19&lt;&gt;".",s_Irr!AZ19=".",s_Irr!BY19&lt;&gt;"."),s_dir!AB19/((1/1000)*(s_Irr!AA19+s_Irr!BY19)),IF(AND(s_Irr!AA19=".",s_Irr!AZ19&lt;&gt;".",s_Irr!BY19&lt;&gt;"."),s_dir!AB19/((1/1000)*(s_Irr!AZ19+s_Irr!BY19)),IF(AND(s_Irr!AA19=".",s_Irr!AZ19=".",s_Irr!BY19&lt;&gt;"."),s_dir!AB19/((1/1000)*(s_Irr!BY19)),IF(AND(s_Irr!AA19=".",s_Irr!AZ19&lt;&gt;".",s_Irr!BY19="."),s_dir!AB19/((1/1000)*(s_Irr!AZ19)),IF(AND(s_Irr!AA19&lt;&gt;".",s_Irr!AZ19=".",s_Irr!BY19="."),s_dir!AB19/((1/1000)*(s_Irr!AA19)),IF(AND(s_Irr!AA19=".",s_Irr!AZ19=".",s_Irr!BY19="."),s_dir!AB19*1000)))))))),".")</f>
        <v>.</v>
      </c>
      <c r="AC19" s="93">
        <f t="shared" si="4"/>
        <v>7486.4983546212979</v>
      </c>
      <c r="AD19" s="93">
        <f>IFERROR(s_C*s_IFAP_res_adj*s_CF_apple*0.001*(s_Irr!C19+s_Irr!AB19+s_Irr!BA19),".")</f>
        <v>1775.1529030993431</v>
      </c>
      <c r="AE19" s="93">
        <f>IFERROR(s_C*s_IFAS_res_adj*s_CF_asparagus*0.001*(s_Irr!D19+s_Irr!AC19+s_Irr!BB19),".")</f>
        <v>1991.5379921968718</v>
      </c>
      <c r="AF19" s="93">
        <f>IFERROR(s_C*s_IFBT_res_adj*s_CF_beet*0.001*(s_Irr!E19+s_Irr!AD19+s_Irr!BC19),".")</f>
        <v>1943.4524168418652</v>
      </c>
      <c r="AG19" s="93">
        <f>IFERROR(s_C*s_IFBE_res_adj*s_CF_berries*0.001*(s_Irr!F19+s_Irr!AE19+s_Irr!BD19),".")</f>
        <v>1775.1529030993431</v>
      </c>
      <c r="AH19" s="93">
        <f>IFERROR(s_C*s_IFBR_res_adj*s_CF_broccoli*0.001*(s_Irr!G19+s_Irr!AF19+s_Irr!BE19),".")</f>
        <v>1775.1529030993431</v>
      </c>
      <c r="AI19" s="93">
        <f>IFERROR(s_C*s_IFCB_res_adj*s_CF_cabbage*0.001*(s_Irr!H19+s_Irr!AG19+s_Irr!BF19),".")</f>
        <v>1991.5379921968718</v>
      </c>
      <c r="AJ19" s="93">
        <f>IFERROR(s_C*s_IFCR_res_adj*s_CF_carrot*0.001*(s_Irr!I19+s_Irr!AH19+s_Irr!BG19),".")</f>
        <v>1943.4524168418652</v>
      </c>
      <c r="AK19" s="93">
        <f>IFERROR(s_C*s_IFCI_res_adj*s_CF_citrus*0.001*(s_Irr!J19+s_Irr!AI19+s_Irr!BH19),".")</f>
        <v>1775.1529030993431</v>
      </c>
      <c r="AL19" s="93">
        <f>IFERROR(s_C*s_IFCO_res_adj*s_CF_corn*0.001*(s_Irr!K19+s_Irr!AJ19+s_Irr!BI19),".")</f>
        <v>1776.3550424832183</v>
      </c>
      <c r="AM19" s="93">
        <f>IFERROR(s_C*s_IFCU_res_adj*s_CF_cucumber*0.001*(s_Irr!L19+s_Irr!AK19+s_Irr!BJ19),".")</f>
        <v>1775.1529030993431</v>
      </c>
      <c r="AN19" s="93">
        <f>IFERROR(s_C*s_IFLE_res_adj*s_CF_lettuce*0.001*(s_Irr!M19+s_Irr!AL19+s_Irr!BK19),".")</f>
        <v>1991.5379921968718</v>
      </c>
      <c r="AO19" s="93">
        <f>IFERROR(s_C*s_IFLI_res_adj*s_CF_lima_bean*0.001*(s_Irr!N19+s_Irr!AM19+s_Irr!BL19),".")</f>
        <v>1777.2566470211248</v>
      </c>
      <c r="AP19" s="93">
        <f>IFERROR(s_C*s_IFOK_res_adj*s_CF_okra*0.001*(s_Irr!O19+s_Irr!AN19+s_Irr!BM19),".")</f>
        <v>1775.1529030993431</v>
      </c>
      <c r="AQ19" s="93">
        <f>IFERROR(s_C*s_IFON_res_adj*s_CF_onion*0.001*(s_Irr!P19+s_Irr!AO19+s_Irr!BN19),".")</f>
        <v>1943.4524168418652</v>
      </c>
      <c r="AR19" s="93">
        <f>IFERROR(s_C*s_IFPC_res_adj*s_CF_peach*0.001*(s_Irr!Q19+s_Irr!AP19+s_Irr!BO19),".")</f>
        <v>1775.1529030993431</v>
      </c>
      <c r="AS19" s="93">
        <f>IFERROR(s_C*s_IFPR_res_adj*s_CF_pear*0.001*(s_Irr!R19+s_Irr!AQ19+s_Irr!BP19),".")</f>
        <v>1775.1529030993431</v>
      </c>
      <c r="AT19" s="93">
        <f>IFERROR(s_C*s_IFPE_res_adj*s_CF_peas*0.001*(s_Irr!S19+s_Irr!AR19+s_Irr!BQ19),".")</f>
        <v>1777.2566470211248</v>
      </c>
      <c r="AU19" s="93">
        <f>IFERROR(s_C*s_IFPP_res_adj*s_CF_peppers*0.001*(s_Irr!T19+s_Irr!AS19+s_Irr!BR19),".")</f>
        <v>1775.1529030993431</v>
      </c>
      <c r="AV19" s="93">
        <f>IFERROR(s_C*s_IFPT_res_adj*s_CF_potato*0.001*(s_Irr!U19+s_Irr!AT19+s_Irr!BS19),".")</f>
        <v>1850.2866145915405</v>
      </c>
      <c r="AW19" s="93">
        <f>IFERROR(s_C*s_IFPU_res_adj*s_CF_pumpkin*0.001*(s_Irr!V19+s_Irr!AU19+s_Irr!BT19),".")</f>
        <v>1775.1529030993431</v>
      </c>
      <c r="AX19" s="93">
        <f>IFERROR(s_C*s_IFSN_res_adj*s_CF_snap_bean*0.001*(s_Irr!W19+s_Irr!AV19+s_Irr!BU19),".")</f>
        <v>1777.2566470211248</v>
      </c>
      <c r="AY19" s="93">
        <f>IFERROR(s_C*s_IFST_res_adj*s_CF_strawberry*0.001*(s_Irr!X19+s_Irr!AW19+s_Irr!BV19),".")</f>
        <v>1775.1529030993431</v>
      </c>
      <c r="AZ19" s="93">
        <f>IFERROR(s_C*s_IFTO_res_adj*s_CF_tomato*0.001*(s_Irr!Y19+s_Irr!AX19+s_Irr!BW19),".")</f>
        <v>1775.1529030993431</v>
      </c>
      <c r="BA19" s="93">
        <f>IFERROR(s_C*s_IFRI_res_adj*s_CF_rice*0.001*(s_Irr!Z19+s_Irr!AY19+s_Irr!BX19),".")</f>
        <v>2159.8375059393938</v>
      </c>
      <c r="BB19" s="93">
        <f>IFERROR(s_C*s_IFCG_res_adj*s_CF_cereal*0.001*(s_Irr!AA19+s_Irr!AZ19+s_Irr!BY19),".")</f>
        <v>1776.3550424832183</v>
      </c>
      <c r="BC19" s="76" t="str">
        <f t="shared" si="1"/>
        <v>.</v>
      </c>
      <c r="BD19" s="76" t="str">
        <f>IFERROR(IF(AND(s_Irr!C19&lt;&gt;".",s_Irr!AB19&lt;&gt;".",s_Irr!BA19&lt;&gt;"."),s_dir!AD19/((1/1000)*(s_Irr!C19+s_Irr!AB19+s_Irr!BA19)),IF(AND(s_Irr!C19&lt;&gt;".",s_Irr!AB19&lt;&gt;".",s_Irr!BA19="."),s_dir!AD19/((1/1000)*(s_Irr!C19+s_Irr!AB19)),IF(AND(s_Irr!C19&lt;&gt;".",s_Irr!AB19=".",s_Irr!BA19&lt;&gt;"."),s_dir!AD19/((1/1000)*(s_Irr!C19+s_Irr!BA19)),IF(AND(s_Irr!C19=".",s_Irr!AB19&lt;&gt;".",s_Irr!BA19&lt;&gt;"."),s_dir!AD19/((1/1000)*(s_Irr!AB19+s_Irr!BA19)),IF(AND(s_Irr!C19=".",s_Irr!AB19=".",s_Irr!BA19&lt;&gt;"."),s_dir!AD19/((1/1000)*(s_Irr!BA19)),IF(AND(s_Irr!C19=".",s_Irr!AB19&lt;&gt;".",s_Irr!BA19="."),s_dir!AD19/((1/1000)*(s_Irr!AB19)),IF(AND(s_Irr!C19&lt;&gt;".",s_Irr!AB19=".",s_Irr!BA19="."),s_dir!AD19/((1/1000)*(s_Irr!C19)),IF(AND(s_Irr!C19=".",s_Irr!AB19=".",s_Irr!BA19="."),s_dir!AD19*1000)))))))),".")</f>
        <v>.</v>
      </c>
      <c r="BE19" s="76" t="str">
        <f>IFERROR(IF(AND(s_Irr!D19&lt;&gt;".",s_Irr!AC19&lt;&gt;".",s_Irr!BB19&lt;&gt;"."),s_dir!AE19/((1/1000)*(s_Irr!D19+s_Irr!AC19+s_Irr!BB19)),IF(AND(s_Irr!D19&lt;&gt;".",s_Irr!AC19&lt;&gt;".",s_Irr!BB19="."),s_dir!AE19/((1/1000)*(s_Irr!D19+s_Irr!AC19)),IF(AND(s_Irr!D19&lt;&gt;".",s_Irr!AC19=".",s_Irr!BB19&lt;&gt;"."),s_dir!AE19/((1/1000)*(s_Irr!D19+s_Irr!BB19)),IF(AND(s_Irr!D19=".",s_Irr!AC19&lt;&gt;".",s_Irr!BB19&lt;&gt;"."),s_dir!AE19/((1/1000)*(s_Irr!AC19+s_Irr!BB19)),IF(AND(s_Irr!D19=".",s_Irr!AC19=".",s_Irr!BB19&lt;&gt;"."),s_dir!AE19/((1/1000)*(s_Irr!BB19)),IF(AND(s_Irr!D19=".",s_Irr!AC19&lt;&gt;".",s_Irr!BB19="."),s_dir!AE19/((1/1000)*(s_Irr!AC19)),IF(AND(s_Irr!D19&lt;&gt;".",s_Irr!AC19=".",s_Irr!BB19="."),s_dir!AE19/((1/1000)*(s_Irr!D19)),IF(AND(s_Irr!D19=".",s_Irr!AC19=".",s_Irr!BB19="."),s_dir!AE19*1000)))))))),".")</f>
        <v>.</v>
      </c>
      <c r="BF19" s="76" t="str">
        <f>IFERROR(IF(AND(s_Irr!E19&lt;&gt;".",s_Irr!AD19&lt;&gt;".",s_Irr!BC19&lt;&gt;"."),s_dir!AF19/((1/1000)*(s_Irr!E19+s_Irr!AD19+s_Irr!BC19)),IF(AND(s_Irr!E19&lt;&gt;".",s_Irr!AD19&lt;&gt;".",s_Irr!BC19="."),s_dir!AF19/((1/1000)*(s_Irr!E19+s_Irr!AD19)),IF(AND(s_Irr!E19&lt;&gt;".",s_Irr!AD19=".",s_Irr!BC19&lt;&gt;"."),s_dir!AF19/((1/1000)*(s_Irr!E19+s_Irr!BC19)),IF(AND(s_Irr!E19=".",s_Irr!AD19&lt;&gt;".",s_Irr!BC19&lt;&gt;"."),s_dir!AF19/((1/1000)*(s_Irr!AD19+s_Irr!BC19)),IF(AND(s_Irr!E19=".",s_Irr!AD19=".",s_Irr!BC19&lt;&gt;"."),s_dir!AF19/((1/1000)*(s_Irr!BC19)),IF(AND(s_Irr!E19=".",s_Irr!AD19&lt;&gt;".",s_Irr!BC19="."),s_dir!AF19/((1/1000)*(s_Irr!AD19)),IF(AND(s_Irr!E19&lt;&gt;".",s_Irr!AD19=".",s_Irr!BC19="."),s_dir!AF19/((1/1000)*(s_Irr!E19)),IF(AND(s_Irr!E19=".",s_Irr!AD19=".",s_Irr!BC19="."),s_dir!AF19*1000)))))))),".")</f>
        <v>.</v>
      </c>
      <c r="BG19" s="76" t="str">
        <f>IFERROR(IF(AND(s_Irr!F19&lt;&gt;".",s_Irr!AE19&lt;&gt;".",s_Irr!BD19&lt;&gt;"."),s_dir!AG19/((1/1000)*(s_Irr!F19+s_Irr!AE19+s_Irr!BD19)),IF(AND(s_Irr!F19&lt;&gt;".",s_Irr!AE19&lt;&gt;".",s_Irr!BD19="."),s_dir!AG19/((1/1000)*(s_Irr!F19+s_Irr!AE19)),IF(AND(s_Irr!F19&lt;&gt;".",s_Irr!AE19=".",s_Irr!BD19&lt;&gt;"."),s_dir!AG19/((1/1000)*(s_Irr!F19+s_Irr!BD19)),IF(AND(s_Irr!F19=".",s_Irr!AE19&lt;&gt;".",s_Irr!BD19&lt;&gt;"."),s_dir!AG19/((1/1000)*(s_Irr!AE19+s_Irr!BD19)),IF(AND(s_Irr!F19=".",s_Irr!AE19=".",s_Irr!BD19&lt;&gt;"."),s_dir!AG19/((1/1000)*(s_Irr!BD19)),IF(AND(s_Irr!F19=".",s_Irr!AE19&lt;&gt;".",s_Irr!BD19="."),s_dir!AG19/((1/1000)*(s_Irr!AE19)),IF(AND(s_Irr!F19&lt;&gt;".",s_Irr!AE19=".",s_Irr!BD19="."),s_dir!AG19/((1/1000)*(s_Irr!F19)),IF(AND(s_Irr!F19=".",s_Irr!AE19=".",s_Irr!BD19="."),s_dir!AG19*1000)))))))),".")</f>
        <v>.</v>
      </c>
      <c r="BH19" s="76" t="str">
        <f>IFERROR(IF(AND(s_Irr!G19&lt;&gt;".",s_Irr!AF19&lt;&gt;".",s_Irr!BE19&lt;&gt;"."),s_dir!AH19/((1/1000)*(s_Irr!G19+s_Irr!AF19+s_Irr!BE19)),IF(AND(s_Irr!G19&lt;&gt;".",s_Irr!AF19&lt;&gt;".",s_Irr!BE19="."),s_dir!AH19/((1/1000)*(s_Irr!G19+s_Irr!AF19)),IF(AND(s_Irr!G19&lt;&gt;".",s_Irr!AF19=".",s_Irr!BE19&lt;&gt;"."),s_dir!AH19/((1/1000)*(s_Irr!G19+s_Irr!BE19)),IF(AND(s_Irr!G19=".",s_Irr!AF19&lt;&gt;".",s_Irr!BE19&lt;&gt;"."),s_dir!AH19/((1/1000)*(s_Irr!AF19+s_Irr!BE19)),IF(AND(s_Irr!G19=".",s_Irr!AF19=".",s_Irr!BE19&lt;&gt;"."),s_dir!AH19/((1/1000)*(s_Irr!BE19)),IF(AND(s_Irr!G19=".",s_Irr!AF19&lt;&gt;".",s_Irr!BE19="."),s_dir!AH19/((1/1000)*(s_Irr!AF19)),IF(AND(s_Irr!G19&lt;&gt;".",s_Irr!AF19=".",s_Irr!BE19="."),s_dir!AH19/((1/1000)*(s_Irr!G19)),IF(AND(s_Irr!G19=".",s_Irr!AF19=".",s_Irr!BE19="."),s_dir!AH19*1000)))))))),".")</f>
        <v>.</v>
      </c>
      <c r="BI19" s="76" t="str">
        <f>IFERROR(IF(AND(s_Irr!H19&lt;&gt;".",s_Irr!AG19&lt;&gt;".",s_Irr!BF19&lt;&gt;"."),s_dir!AI19/((1/1000)*(s_Irr!H19+s_Irr!AG19+s_Irr!BF19)),IF(AND(s_Irr!H19&lt;&gt;".",s_Irr!AG19&lt;&gt;".",s_Irr!BF19="."),s_dir!AI19/((1/1000)*(s_Irr!H19+s_Irr!AG19)),IF(AND(s_Irr!H19&lt;&gt;".",s_Irr!AG19=".",s_Irr!BF19&lt;&gt;"."),s_dir!AI19/((1/1000)*(s_Irr!H19+s_Irr!BF19)),IF(AND(s_Irr!H19=".",s_Irr!AG19&lt;&gt;".",s_Irr!BF19&lt;&gt;"."),s_dir!AI19/((1/1000)*(s_Irr!AG19+s_Irr!BF19)),IF(AND(s_Irr!H19=".",s_Irr!AG19=".",s_Irr!BF19&lt;&gt;"."),s_dir!AI19/((1/1000)*(s_Irr!BF19)),IF(AND(s_Irr!H19=".",s_Irr!AG19&lt;&gt;".",s_Irr!BF19="."),s_dir!AI19/((1/1000)*(s_Irr!AG19)),IF(AND(s_Irr!H19&lt;&gt;".",s_Irr!AG19=".",s_Irr!BF19="."),s_dir!AI19/((1/1000)*(s_Irr!H19)),IF(AND(s_Irr!H19=".",s_Irr!AG19=".",s_Irr!BF19="."),s_dir!AI19*1000)))))))),".")</f>
        <v>.</v>
      </c>
      <c r="BJ19" s="76" t="str">
        <f>IFERROR(IF(AND(s_Irr!I19&lt;&gt;".",s_Irr!AH19&lt;&gt;".",s_Irr!BG19&lt;&gt;"."),s_dir!AJ19/((1/1000)*(s_Irr!I19+s_Irr!AH19+s_Irr!BG19)),IF(AND(s_Irr!I19&lt;&gt;".",s_Irr!AH19&lt;&gt;".",s_Irr!BG19="."),s_dir!AJ19/((1/1000)*(s_Irr!I19+s_Irr!AH19)),IF(AND(s_Irr!I19&lt;&gt;".",s_Irr!AH19=".",s_Irr!BG19&lt;&gt;"."),s_dir!AJ19/((1/1000)*(s_Irr!I19+s_Irr!BG19)),IF(AND(s_Irr!I19=".",s_Irr!AH19&lt;&gt;".",s_Irr!BG19&lt;&gt;"."),s_dir!AJ19/((1/1000)*(s_Irr!AH19+s_Irr!BG19)),IF(AND(s_Irr!I19=".",s_Irr!AH19=".",s_Irr!BG19&lt;&gt;"."),s_dir!AJ19/((1/1000)*(s_Irr!BG19)),IF(AND(s_Irr!I19=".",s_Irr!AH19&lt;&gt;".",s_Irr!BG19="."),s_dir!AJ19/((1/1000)*(s_Irr!AH19)),IF(AND(s_Irr!I19&lt;&gt;".",s_Irr!AH19=".",s_Irr!BG19="."),s_dir!AJ19/((1/1000)*(s_Irr!I19)),IF(AND(s_Irr!I19=".",s_Irr!AH19=".",s_Irr!BG19="."),s_dir!AJ19*1000)))))))),".")</f>
        <v>.</v>
      </c>
      <c r="BK19" s="76" t="str">
        <f>IFERROR(IF(AND(s_Irr!J19&lt;&gt;".",s_Irr!AI19&lt;&gt;".",s_Irr!BH19&lt;&gt;"."),s_dir!AK19/((1/1000)*(s_Irr!J19+s_Irr!AI19+s_Irr!BH19)),IF(AND(s_Irr!J19&lt;&gt;".",s_Irr!AI19&lt;&gt;".",s_Irr!BH19="."),s_dir!AK19/((1/1000)*(s_Irr!J19+s_Irr!AI19)),IF(AND(s_Irr!J19&lt;&gt;".",s_Irr!AI19=".",s_Irr!BH19&lt;&gt;"."),s_dir!AK19/((1/1000)*(s_Irr!J19+s_Irr!BH19)),IF(AND(s_Irr!J19=".",s_Irr!AI19&lt;&gt;".",s_Irr!BH19&lt;&gt;"."),s_dir!AK19/((1/1000)*(s_Irr!AI19+s_Irr!BH19)),IF(AND(s_Irr!J19=".",s_Irr!AI19=".",s_Irr!BH19&lt;&gt;"."),s_dir!AK19/((1/1000)*(s_Irr!BH19)),IF(AND(s_Irr!J19=".",s_Irr!AI19&lt;&gt;".",s_Irr!BH19="."),s_dir!AK19/((1/1000)*(s_Irr!AI19)),IF(AND(s_Irr!J19&lt;&gt;".",s_Irr!AI19=".",s_Irr!BH19="."),s_dir!AK19/((1/1000)*(s_Irr!J19)),IF(AND(s_Irr!J19=".",s_Irr!AI19=".",s_Irr!BH19="."),s_dir!AK19*1000)))))))),".")</f>
        <v>.</v>
      </c>
      <c r="BL19" s="76" t="str">
        <f>IFERROR(IF(AND(s_Irr!K19&lt;&gt;".",s_Irr!AJ19&lt;&gt;".",s_Irr!BI19&lt;&gt;"."),s_dir!AL19/((1/1000)*(s_Irr!K19+s_Irr!AJ19+s_Irr!BI19)),IF(AND(s_Irr!K19&lt;&gt;".",s_Irr!AJ19&lt;&gt;".",s_Irr!BI19="."),s_dir!AL19/((1/1000)*(s_Irr!K19+s_Irr!AJ19)),IF(AND(s_Irr!K19&lt;&gt;".",s_Irr!AJ19=".",s_Irr!BI19&lt;&gt;"."),s_dir!AL19/((1/1000)*(s_Irr!K19+s_Irr!BI19)),IF(AND(s_Irr!K19=".",s_Irr!AJ19&lt;&gt;".",s_Irr!BI19&lt;&gt;"."),s_dir!AL19/((1/1000)*(s_Irr!AJ19+s_Irr!BI19)),IF(AND(s_Irr!K19=".",s_Irr!AJ19=".",s_Irr!BI19&lt;&gt;"."),s_dir!AL19/((1/1000)*(s_Irr!BI19)),IF(AND(s_Irr!K19=".",s_Irr!AJ19&lt;&gt;".",s_Irr!BI19="."),s_dir!AL19/((1/1000)*(s_Irr!AJ19)),IF(AND(s_Irr!K19&lt;&gt;".",s_Irr!AJ19=".",s_Irr!BI19="."),s_dir!AL19/((1/1000)*(s_Irr!K19)),IF(AND(s_Irr!K19=".",s_Irr!AJ19=".",s_Irr!BI19="."),s_dir!AL19*1000)))))))),".")</f>
        <v>.</v>
      </c>
      <c r="BM19" s="76" t="str">
        <f>IFERROR(IF(AND(s_Irr!L19&lt;&gt;".",s_Irr!AK19&lt;&gt;".",s_Irr!BJ19&lt;&gt;"."),s_dir!AM19/((1/1000)*(s_Irr!L19+s_Irr!AK19+s_Irr!BJ19)),IF(AND(s_Irr!L19&lt;&gt;".",s_Irr!AK19&lt;&gt;".",s_Irr!BJ19="."),s_dir!AM19/((1/1000)*(s_Irr!L19+s_Irr!AK19)),IF(AND(s_Irr!L19&lt;&gt;".",s_Irr!AK19=".",s_Irr!BJ19&lt;&gt;"."),s_dir!AM19/((1/1000)*(s_Irr!L19+s_Irr!BJ19)),IF(AND(s_Irr!L19=".",s_Irr!AK19&lt;&gt;".",s_Irr!BJ19&lt;&gt;"."),s_dir!AM19/((1/1000)*(s_Irr!AK19+s_Irr!BJ19)),IF(AND(s_Irr!L19=".",s_Irr!AK19=".",s_Irr!BJ19&lt;&gt;"."),s_dir!AM19/((1/1000)*(s_Irr!BJ19)),IF(AND(s_Irr!L19=".",s_Irr!AK19&lt;&gt;".",s_Irr!BJ19="."),s_dir!AM19/((1/1000)*(s_Irr!AK19)),IF(AND(s_Irr!L19&lt;&gt;".",s_Irr!AK19=".",s_Irr!BJ19="."),s_dir!AM19/((1/1000)*(s_Irr!L19)),IF(AND(s_Irr!L19=".",s_Irr!AK19=".",s_Irr!BJ19="."),s_dir!AM19*1000)))))))),".")</f>
        <v>.</v>
      </c>
      <c r="BN19" s="76" t="str">
        <f>IFERROR(IF(AND(s_Irr!M19&lt;&gt;".",s_Irr!AL19&lt;&gt;".",s_Irr!BK19&lt;&gt;"."),s_dir!AN19/((1/1000)*(s_Irr!M19+s_Irr!AL19+s_Irr!BK19)),IF(AND(s_Irr!M19&lt;&gt;".",s_Irr!AL19&lt;&gt;".",s_Irr!BK19="."),s_dir!AN19/((1/1000)*(s_Irr!M19+s_Irr!AL19)),IF(AND(s_Irr!M19&lt;&gt;".",s_Irr!AL19=".",s_Irr!BK19&lt;&gt;"."),s_dir!AN19/((1/1000)*(s_Irr!M19+s_Irr!BK19)),IF(AND(s_Irr!M19=".",s_Irr!AL19&lt;&gt;".",s_Irr!BK19&lt;&gt;"."),s_dir!AN19/((1/1000)*(s_Irr!AL19+s_Irr!BK19)),IF(AND(s_Irr!M19=".",s_Irr!AL19=".",s_Irr!BK19&lt;&gt;"."),s_dir!AN19/((1/1000)*(s_Irr!BK19)),IF(AND(s_Irr!M19=".",s_Irr!AL19&lt;&gt;".",s_Irr!BK19="."),s_dir!AN19/((1/1000)*(s_Irr!AL19)),IF(AND(s_Irr!M19&lt;&gt;".",s_Irr!AL19=".",s_Irr!BK19="."),s_dir!AN19/((1/1000)*(s_Irr!M19)),IF(AND(s_Irr!M19=".",s_Irr!AL19=".",s_Irr!BK19="."),s_dir!AN19*1000)))))))),".")</f>
        <v>.</v>
      </c>
      <c r="BO19" s="76" t="str">
        <f>IFERROR(IF(AND(s_Irr!N19&lt;&gt;".",s_Irr!AM19&lt;&gt;".",s_Irr!BL19&lt;&gt;"."),s_dir!AO19/((1/1000)*(s_Irr!N19+s_Irr!AM19+s_Irr!BL19)),IF(AND(s_Irr!N19&lt;&gt;".",s_Irr!AM19&lt;&gt;".",s_Irr!BL19="."),s_dir!AO19/((1/1000)*(s_Irr!N19+s_Irr!AM19)),IF(AND(s_Irr!N19&lt;&gt;".",s_Irr!AM19=".",s_Irr!BL19&lt;&gt;"."),s_dir!AO19/((1/1000)*(s_Irr!N19+s_Irr!BL19)),IF(AND(s_Irr!N19=".",s_Irr!AM19&lt;&gt;".",s_Irr!BL19&lt;&gt;"."),s_dir!AO19/((1/1000)*(s_Irr!AM19+s_Irr!BL19)),IF(AND(s_Irr!N19=".",s_Irr!AM19=".",s_Irr!BL19&lt;&gt;"."),s_dir!AO19/((1/1000)*(s_Irr!BL19)),IF(AND(s_Irr!N19=".",s_Irr!AM19&lt;&gt;".",s_Irr!BL19="."),s_dir!AO19/((1/1000)*(s_Irr!AM19)),IF(AND(s_Irr!N19&lt;&gt;".",s_Irr!AM19=".",s_Irr!BL19="."),s_dir!AO19/((1/1000)*(s_Irr!N19)),IF(AND(s_Irr!N19=".",s_Irr!AM19=".",s_Irr!BL19="."),s_dir!AO19*1000)))))))),".")</f>
        <v>.</v>
      </c>
      <c r="BP19" s="76" t="str">
        <f>IFERROR(IF(AND(s_Irr!O19&lt;&gt;".",s_Irr!AN19&lt;&gt;".",s_Irr!BM19&lt;&gt;"."),s_dir!AP19/((1/1000)*(s_Irr!O19+s_Irr!AN19+s_Irr!BM19)),IF(AND(s_Irr!O19&lt;&gt;".",s_Irr!AN19&lt;&gt;".",s_Irr!BM19="."),s_dir!AP19/((1/1000)*(s_Irr!O19+s_Irr!AN19)),IF(AND(s_Irr!O19&lt;&gt;".",s_Irr!AN19=".",s_Irr!BM19&lt;&gt;"."),s_dir!AP19/((1/1000)*(s_Irr!O19+s_Irr!BM19)),IF(AND(s_Irr!O19=".",s_Irr!AN19&lt;&gt;".",s_Irr!BM19&lt;&gt;"."),s_dir!AP19/((1/1000)*(s_Irr!AN19+s_Irr!BM19)),IF(AND(s_Irr!O19=".",s_Irr!AN19=".",s_Irr!BM19&lt;&gt;"."),s_dir!AP19/((1/1000)*(s_Irr!BM19)),IF(AND(s_Irr!O19=".",s_Irr!AN19&lt;&gt;".",s_Irr!BM19="."),s_dir!AP19/((1/1000)*(s_Irr!AN19)),IF(AND(s_Irr!O19&lt;&gt;".",s_Irr!AN19=".",s_Irr!BM19="."),s_dir!AP19/((1/1000)*(s_Irr!O19)),IF(AND(s_Irr!O19=".",s_Irr!AN19=".",s_Irr!BM19="."),s_dir!AP19*1000)))))))),".")</f>
        <v>.</v>
      </c>
      <c r="BQ19" s="76" t="str">
        <f>IFERROR(IF(AND(s_Irr!P19&lt;&gt;".",s_Irr!AO19&lt;&gt;".",s_Irr!BN19&lt;&gt;"."),s_dir!AQ19/((1/1000)*(s_Irr!P19+s_Irr!AO19+s_Irr!BN19)),IF(AND(s_Irr!P19&lt;&gt;".",s_Irr!AO19&lt;&gt;".",s_Irr!BN19="."),s_dir!AQ19/((1/1000)*(s_Irr!P19+s_Irr!AO19)),IF(AND(s_Irr!P19&lt;&gt;".",s_Irr!AO19=".",s_Irr!BN19&lt;&gt;"."),s_dir!AQ19/((1/1000)*(s_Irr!P19+s_Irr!BN19)),IF(AND(s_Irr!P19=".",s_Irr!AO19&lt;&gt;".",s_Irr!BN19&lt;&gt;"."),s_dir!AQ19/((1/1000)*(s_Irr!AO19+s_Irr!BN19)),IF(AND(s_Irr!P19=".",s_Irr!AO19=".",s_Irr!BN19&lt;&gt;"."),s_dir!AQ19/((1/1000)*(s_Irr!BN19)),IF(AND(s_Irr!P19=".",s_Irr!AO19&lt;&gt;".",s_Irr!BN19="."),s_dir!AQ19/((1/1000)*(s_Irr!AO19)),IF(AND(s_Irr!P19&lt;&gt;".",s_Irr!AO19=".",s_Irr!BN19="."),s_dir!AQ19/((1/1000)*(s_Irr!P19)),IF(AND(s_Irr!P19=".",s_Irr!AO19=".",s_Irr!BN19="."),s_dir!AQ19*1000)))))))),".")</f>
        <v>.</v>
      </c>
      <c r="BR19" s="76" t="str">
        <f>IFERROR(IF(AND(s_Irr!Q19&lt;&gt;".",s_Irr!AP19&lt;&gt;".",s_Irr!BO19&lt;&gt;"."),s_dir!AR19/((1/1000)*(s_Irr!Q19+s_Irr!AP19+s_Irr!BO19)),IF(AND(s_Irr!Q19&lt;&gt;".",s_Irr!AP19&lt;&gt;".",s_Irr!BO19="."),s_dir!AR19/((1/1000)*(s_Irr!Q19+s_Irr!AP19)),IF(AND(s_Irr!Q19&lt;&gt;".",s_Irr!AP19=".",s_Irr!BO19&lt;&gt;"."),s_dir!AR19/((1/1000)*(s_Irr!Q19+s_Irr!BO19)),IF(AND(s_Irr!Q19=".",s_Irr!AP19&lt;&gt;".",s_Irr!BO19&lt;&gt;"."),s_dir!AR19/((1/1000)*(s_Irr!AP19+s_Irr!BO19)),IF(AND(s_Irr!Q19=".",s_Irr!AP19=".",s_Irr!BO19&lt;&gt;"."),s_dir!AR19/((1/1000)*(s_Irr!BO19)),IF(AND(s_Irr!Q19=".",s_Irr!AP19&lt;&gt;".",s_Irr!BO19="."),s_dir!AR19/((1/1000)*(s_Irr!AP19)),IF(AND(s_Irr!Q19&lt;&gt;".",s_Irr!AP19=".",s_Irr!BO19="."),s_dir!AR19/((1/1000)*(s_Irr!Q19)),IF(AND(s_Irr!Q19=".",s_Irr!AP19=".",s_Irr!BO19="."),s_dir!AR19*1000)))))))),".")</f>
        <v>.</v>
      </c>
      <c r="BS19" s="76" t="str">
        <f>IFERROR(IF(AND(s_Irr!R19&lt;&gt;".",s_Irr!AQ19&lt;&gt;".",s_Irr!BP19&lt;&gt;"."),s_dir!AS19/((1/1000)*(s_Irr!R19+s_Irr!AQ19+s_Irr!BP19)),IF(AND(s_Irr!R19&lt;&gt;".",s_Irr!AQ19&lt;&gt;".",s_Irr!BP19="."),s_dir!AS19/((1/1000)*(s_Irr!R19+s_Irr!AQ19)),IF(AND(s_Irr!R19&lt;&gt;".",s_Irr!AQ19=".",s_Irr!BP19&lt;&gt;"."),s_dir!AS19/((1/1000)*(s_Irr!R19+s_Irr!BP19)),IF(AND(s_Irr!R19=".",s_Irr!AQ19&lt;&gt;".",s_Irr!BP19&lt;&gt;"."),s_dir!AS19/((1/1000)*(s_Irr!AQ19+s_Irr!BP19)),IF(AND(s_Irr!R19=".",s_Irr!AQ19=".",s_Irr!BP19&lt;&gt;"."),s_dir!AS19/((1/1000)*(s_Irr!BP19)),IF(AND(s_Irr!R19=".",s_Irr!AQ19&lt;&gt;".",s_Irr!BP19="."),s_dir!AS19/((1/1000)*(s_Irr!AQ19)),IF(AND(s_Irr!R19&lt;&gt;".",s_Irr!AQ19=".",s_Irr!BP19="."),s_dir!AS19/((1/1000)*(s_Irr!R19)),IF(AND(s_Irr!R19=".",s_Irr!AQ19=".",s_Irr!BP19="."),s_dir!AS19*1000)))))))),".")</f>
        <v>.</v>
      </c>
      <c r="BT19" s="76" t="str">
        <f>IFERROR(IF(AND(s_Irr!S19&lt;&gt;".",s_Irr!AR19&lt;&gt;".",s_Irr!BQ19&lt;&gt;"."),s_dir!AT19/((1/1000)*(s_Irr!S19+s_Irr!AR19+s_Irr!BQ19)),IF(AND(s_Irr!S19&lt;&gt;".",s_Irr!AR19&lt;&gt;".",s_Irr!BQ19="."),s_dir!AT19/((1/1000)*(s_Irr!S19+s_Irr!AR19)),IF(AND(s_Irr!S19&lt;&gt;".",s_Irr!AR19=".",s_Irr!BQ19&lt;&gt;"."),s_dir!AT19/((1/1000)*(s_Irr!S19+s_Irr!BQ19)),IF(AND(s_Irr!S19=".",s_Irr!AR19&lt;&gt;".",s_Irr!BQ19&lt;&gt;"."),s_dir!AT19/((1/1000)*(s_Irr!AR19+s_Irr!BQ19)),IF(AND(s_Irr!S19=".",s_Irr!AR19=".",s_Irr!BQ19&lt;&gt;"."),s_dir!AT19/((1/1000)*(s_Irr!BQ19)),IF(AND(s_Irr!S19=".",s_Irr!AR19&lt;&gt;".",s_Irr!BQ19="."),s_dir!AT19/((1/1000)*(s_Irr!AR19)),IF(AND(s_Irr!S19&lt;&gt;".",s_Irr!AR19=".",s_Irr!BQ19="."),s_dir!AT19/((1/1000)*(s_Irr!S19)),IF(AND(s_Irr!S19=".",s_Irr!AR19=".",s_Irr!BQ19="."),s_dir!AT19*1000)))))))),".")</f>
        <v>.</v>
      </c>
      <c r="BU19" s="76" t="str">
        <f>IFERROR(IF(AND(s_Irr!T19&lt;&gt;".",s_Irr!AS19&lt;&gt;".",s_Irr!BR19&lt;&gt;"."),s_dir!AU19/((1/1000)*(s_Irr!T19+s_Irr!AS19+s_Irr!BR19)),IF(AND(s_Irr!T19&lt;&gt;".",s_Irr!AS19&lt;&gt;".",s_Irr!BR19="."),s_dir!AU19/((1/1000)*(s_Irr!T19+s_Irr!AS19)),IF(AND(s_Irr!T19&lt;&gt;".",s_Irr!AS19=".",s_Irr!BR19&lt;&gt;"."),s_dir!AU19/((1/1000)*(s_Irr!T19+s_Irr!BR19)),IF(AND(s_Irr!T19=".",s_Irr!AS19&lt;&gt;".",s_Irr!BR19&lt;&gt;"."),s_dir!AU19/((1/1000)*(s_Irr!AS19+s_Irr!BR19)),IF(AND(s_Irr!T19=".",s_Irr!AS19=".",s_Irr!BR19&lt;&gt;"."),s_dir!AU19/((1/1000)*(s_Irr!BR19)),IF(AND(s_Irr!T19=".",s_Irr!AS19&lt;&gt;".",s_Irr!BR19="."),s_dir!AU19/((1/1000)*(s_Irr!AS19)),IF(AND(s_Irr!T19&lt;&gt;".",s_Irr!AS19=".",s_Irr!BR19="."),s_dir!AU19/((1/1000)*(s_Irr!T19)),IF(AND(s_Irr!T19=".",s_Irr!AS19=".",s_Irr!BR19="."),s_dir!AU19*1000)))))))),".")</f>
        <v>.</v>
      </c>
      <c r="BV19" s="76" t="str">
        <f>IFERROR(IF(AND(s_Irr!U19&lt;&gt;".",s_Irr!AT19&lt;&gt;".",s_Irr!BS19&lt;&gt;"."),s_dir!AV19/((1/1000)*(s_Irr!U19+s_Irr!AT19+s_Irr!BS19)),IF(AND(s_Irr!U19&lt;&gt;".",s_Irr!AT19&lt;&gt;".",s_Irr!BS19="."),s_dir!AV19/((1/1000)*(s_Irr!U19+s_Irr!AT19)),IF(AND(s_Irr!U19&lt;&gt;".",s_Irr!AT19=".",s_Irr!BS19&lt;&gt;"."),s_dir!AV19/((1/1000)*(s_Irr!U19+s_Irr!BS19)),IF(AND(s_Irr!U19=".",s_Irr!AT19&lt;&gt;".",s_Irr!BS19&lt;&gt;"."),s_dir!AV19/((1/1000)*(s_Irr!AT19+s_Irr!BS19)),IF(AND(s_Irr!U19=".",s_Irr!AT19=".",s_Irr!BS19&lt;&gt;"."),s_dir!AV19/((1/1000)*(s_Irr!BS19)),IF(AND(s_Irr!U19=".",s_Irr!AT19&lt;&gt;".",s_Irr!BS19="."),s_dir!AV19/((1/1000)*(s_Irr!AT19)),IF(AND(s_Irr!U19&lt;&gt;".",s_Irr!AT19=".",s_Irr!BS19="."),s_dir!AV19/((1/1000)*(s_Irr!U19)),IF(AND(s_Irr!U19=".",s_Irr!AT19=".",s_Irr!BS19="."),s_dir!AV19*1000)))))))),".")</f>
        <v>.</v>
      </c>
      <c r="BW19" s="76" t="str">
        <f>IFERROR(IF(AND(s_Irr!V19&lt;&gt;".",s_Irr!AU19&lt;&gt;".",s_Irr!BT19&lt;&gt;"."),s_dir!AW19/((1/1000)*(s_Irr!V19+s_Irr!AU19+s_Irr!BT19)),IF(AND(s_Irr!V19&lt;&gt;".",s_Irr!AU19&lt;&gt;".",s_Irr!BT19="."),s_dir!AW19/((1/1000)*(s_Irr!V19+s_Irr!AU19)),IF(AND(s_Irr!V19&lt;&gt;".",s_Irr!AU19=".",s_Irr!BT19&lt;&gt;"."),s_dir!AW19/((1/1000)*(s_Irr!V19+s_Irr!BT19)),IF(AND(s_Irr!V19=".",s_Irr!AU19&lt;&gt;".",s_Irr!BT19&lt;&gt;"."),s_dir!AW19/((1/1000)*(s_Irr!AU19+s_Irr!BT19)),IF(AND(s_Irr!V19=".",s_Irr!AU19=".",s_Irr!BT19&lt;&gt;"."),s_dir!AW19/((1/1000)*(s_Irr!BT19)),IF(AND(s_Irr!V19=".",s_Irr!AU19&lt;&gt;".",s_Irr!BT19="."),s_dir!AW19/((1/1000)*(s_Irr!AU19)),IF(AND(s_Irr!V19&lt;&gt;".",s_Irr!AU19=".",s_Irr!BT19="."),s_dir!AW19/((1/1000)*(s_Irr!V19)),IF(AND(s_Irr!V19=".",s_Irr!AU19=".",s_Irr!BT19="."),s_dir!AW19*1000)))))))),".")</f>
        <v>.</v>
      </c>
      <c r="BX19" s="76" t="str">
        <f>IFERROR(IF(AND(s_Irr!W19&lt;&gt;".",s_Irr!AV19&lt;&gt;".",s_Irr!BU19&lt;&gt;"."),s_dir!AX19/((1/1000)*(s_Irr!W19+s_Irr!AV19+s_Irr!BU19)),IF(AND(s_Irr!W19&lt;&gt;".",s_Irr!AV19&lt;&gt;".",s_Irr!BU19="."),s_dir!AX19/((1/1000)*(s_Irr!W19+s_Irr!AV19)),IF(AND(s_Irr!W19&lt;&gt;".",s_Irr!AV19=".",s_Irr!BU19&lt;&gt;"."),s_dir!AX19/((1/1000)*(s_Irr!W19+s_Irr!BU19)),IF(AND(s_Irr!W19=".",s_Irr!AV19&lt;&gt;".",s_Irr!BU19&lt;&gt;"."),s_dir!AX19/((1/1000)*(s_Irr!AV19+s_Irr!BU19)),IF(AND(s_Irr!W19=".",s_Irr!AV19=".",s_Irr!BU19&lt;&gt;"."),s_dir!AX19/((1/1000)*(s_Irr!BU19)),IF(AND(s_Irr!W19=".",s_Irr!AV19&lt;&gt;".",s_Irr!BU19="."),s_dir!AX19/((1/1000)*(s_Irr!AV19)),IF(AND(s_Irr!W19&lt;&gt;".",s_Irr!AV19=".",s_Irr!BU19="."),s_dir!AX19/((1/1000)*(s_Irr!W19)),IF(AND(s_Irr!W19=".",s_Irr!AV19=".",s_Irr!BU19="."),s_dir!AX19*1000)))))))),".")</f>
        <v>.</v>
      </c>
      <c r="BY19" s="76" t="str">
        <f>IFERROR(IF(AND(s_Irr!X19&lt;&gt;".",s_Irr!AW19&lt;&gt;".",s_Irr!BV19&lt;&gt;"."),s_dir!AY19/((1/1000)*(s_Irr!X19+s_Irr!AW19+s_Irr!BV19)),IF(AND(s_Irr!X19&lt;&gt;".",s_Irr!AW19&lt;&gt;".",s_Irr!BV19="."),s_dir!AY19/((1/1000)*(s_Irr!X19+s_Irr!AW19)),IF(AND(s_Irr!X19&lt;&gt;".",s_Irr!AW19=".",s_Irr!BV19&lt;&gt;"."),s_dir!AY19/((1/1000)*(s_Irr!X19+s_Irr!BV19)),IF(AND(s_Irr!X19=".",s_Irr!AW19&lt;&gt;".",s_Irr!BV19&lt;&gt;"."),s_dir!AY19/((1/1000)*(s_Irr!AW19+s_Irr!BV19)),IF(AND(s_Irr!X19=".",s_Irr!AW19=".",s_Irr!BV19&lt;&gt;"."),s_dir!AY19/((1/1000)*(s_Irr!BV19)),IF(AND(s_Irr!X19=".",s_Irr!AW19&lt;&gt;".",s_Irr!BV19="."),s_dir!AY19/((1/1000)*(s_Irr!AW19)),IF(AND(s_Irr!X19&lt;&gt;".",s_Irr!AW19=".",s_Irr!BV19="."),s_dir!AY19/((1/1000)*(s_Irr!X19)),IF(AND(s_Irr!X19=".",s_Irr!AW19=".",s_Irr!BV19="."),s_dir!AY19*1000)))))))),".")</f>
        <v>.</v>
      </c>
      <c r="BZ19" s="76" t="str">
        <f>IFERROR(IF(AND(s_Irr!Y19&lt;&gt;".",s_Irr!AX19&lt;&gt;".",s_Irr!BW19&lt;&gt;"."),s_dir!AZ19/((1/1000)*(s_Irr!Y19+s_Irr!AX19+s_Irr!BW19)),IF(AND(s_Irr!Y19&lt;&gt;".",s_Irr!AX19&lt;&gt;".",s_Irr!BW19="."),s_dir!AZ19/((1/1000)*(s_Irr!Y19+s_Irr!AX19)),IF(AND(s_Irr!Y19&lt;&gt;".",s_Irr!AX19=".",s_Irr!BW19&lt;&gt;"."),s_dir!AZ19/((1/1000)*(s_Irr!Y19+s_Irr!BW19)),IF(AND(s_Irr!Y19=".",s_Irr!AX19&lt;&gt;".",s_Irr!BW19&lt;&gt;"."),s_dir!AZ19/((1/1000)*(s_Irr!AX19+s_Irr!BW19)),IF(AND(s_Irr!Y19=".",s_Irr!AX19=".",s_Irr!BW19&lt;&gt;"."),s_dir!AZ19/((1/1000)*(s_Irr!BW19)),IF(AND(s_Irr!Y19=".",s_Irr!AX19&lt;&gt;".",s_Irr!BW19="."),s_dir!AZ19/((1/1000)*(s_Irr!AX19)),IF(AND(s_Irr!Y19&lt;&gt;".",s_Irr!AX19=".",s_Irr!BW19="."),s_dir!AZ19/((1/1000)*(s_Irr!Y19)),IF(AND(s_Irr!Y19=".",s_Irr!AX19=".",s_Irr!BW19="."),s_dir!AZ19*1000)))))))),".")</f>
        <v>.</v>
      </c>
      <c r="CA19" s="76" t="str">
        <f>IFERROR(IF(AND(s_Irr!Z19&lt;&gt;".",s_Irr!AY19&lt;&gt;".",s_Irr!BX19&lt;&gt;"."),s_dir!BA19/((1/1000)*(s_Irr!Z19+s_Irr!AY19+s_Irr!BX19)),IF(AND(s_Irr!Z19&lt;&gt;".",s_Irr!AY19&lt;&gt;".",s_Irr!BX19="."),s_dir!BA19/((1/1000)*(s_Irr!Z19+s_Irr!AY19)),IF(AND(s_Irr!Z19&lt;&gt;".",s_Irr!AY19=".",s_Irr!BX19&lt;&gt;"."),s_dir!BA19/((1/1000)*(s_Irr!Z19+s_Irr!BX19)),IF(AND(s_Irr!Z19=".",s_Irr!AY19&lt;&gt;".",s_Irr!BX19&lt;&gt;"."),s_dir!BA19/((1/1000)*(s_Irr!AY19+s_Irr!BX19)),IF(AND(s_Irr!Z19=".",s_Irr!AY19=".",s_Irr!BX19&lt;&gt;"."),s_dir!BA19/((1/1000)*(s_Irr!BX19)),IF(AND(s_Irr!Z19=".",s_Irr!AY19&lt;&gt;".",s_Irr!BX19="."),s_dir!BA19/((1/1000)*(s_Irr!AY19)),IF(AND(s_Irr!Z19&lt;&gt;".",s_Irr!AY19=".",s_Irr!BX19="."),s_dir!BA19/((1/1000)*(s_Irr!Z19)),IF(AND(s_Irr!Z19=".",s_Irr!AY19=".",s_Irr!BX19="."),s_dir!BA19*1000)))))))),".")</f>
        <v>.</v>
      </c>
      <c r="CB19" s="76" t="str">
        <f>IFERROR(IF(AND(s_Irr!AA19&lt;&gt;".",s_Irr!AZ19&lt;&gt;".",s_Irr!BY19&lt;&gt;"."),s_dir!BB19/((1/1000)*(s_Irr!AA19+s_Irr!AZ19+s_Irr!BY19)),IF(AND(s_Irr!AA19&lt;&gt;".",s_Irr!AZ19&lt;&gt;".",s_Irr!BY19="."),s_dir!BB19/((1/1000)*(s_Irr!AA19+s_Irr!AZ19)),IF(AND(s_Irr!AA19&lt;&gt;".",s_Irr!AZ19=".",s_Irr!BY19&lt;&gt;"."),s_dir!BB19/((1/1000)*(s_Irr!AA19+s_Irr!BY19)),IF(AND(s_Irr!AA19=".",s_Irr!AZ19&lt;&gt;".",s_Irr!BY19&lt;&gt;"."),s_dir!BB19/((1/1000)*(s_Irr!AZ19+s_Irr!BY19)),IF(AND(s_Irr!AA19=".",s_Irr!AZ19=".",s_Irr!BY19&lt;&gt;"."),s_dir!BB19/((1/1000)*(s_Irr!BY19)),IF(AND(s_Irr!AA19=".",s_Irr!AZ19&lt;&gt;".",s_Irr!BY19="."),s_dir!BB19/((1/1000)*(s_Irr!AZ19)),IF(AND(s_Irr!AA19&lt;&gt;".",s_Irr!AZ19=".",s_Irr!BY19="."),s_dir!BB19/((1/1000)*(s_Irr!AA19)),IF(AND(s_Irr!AA19=".",s_Irr!AZ19=".",s_Irr!BY19="."),s_dir!BB19*1000)))))))),".")</f>
        <v>.</v>
      </c>
      <c r="CC19" s="93">
        <f t="shared" si="2"/>
        <v>7486.4983546212979</v>
      </c>
      <c r="CD19" s="93">
        <f>IFERROR(s_C*s_IFAP_far_adj*s_CF_apple*(1/1000)*(s_Irr!C19+s_Irr!AB19+s_Irr!BA19),".")</f>
        <v>1775.1529030993431</v>
      </c>
      <c r="CE19" s="93">
        <f>IFERROR(s_C*s_IFAS_far_adj*s_CF_asparagus*(1/1000)*(s_Irr!D19+s_Irr!AC19+s_Irr!BB19),".")</f>
        <v>1991.5379921968718</v>
      </c>
      <c r="CF19" s="93">
        <f>IFERROR(s_C*s_IFBT_far_adj*s_CF_beet*(1/1000)*(s_Irr!E19+s_Irr!AD19+s_Irr!BC19),".")</f>
        <v>1943.4524168418652</v>
      </c>
      <c r="CG19" s="93">
        <f>IFERROR(s_C*s_IFBE_far_adj*s_CF_berries*(1/1000)*(s_Irr!F19+s_Irr!AE19+s_Irr!BD19),".")</f>
        <v>1775.1529030993431</v>
      </c>
      <c r="CH19" s="93">
        <f>IFERROR(s_C*s_IFBR_far_adj*s_CF_broccoli*(1/1000)*(s_Irr!G19+s_Irr!AF19+s_Irr!BE19),".")</f>
        <v>1775.1529030993431</v>
      </c>
      <c r="CI19" s="93">
        <f>IFERROR(s_C*s_IFCB_far_adj*s_CF_cabbage*(1/1000)*(s_Irr!H19+s_Irr!AG19+s_Irr!BF19),".")</f>
        <v>1991.5379921968718</v>
      </c>
      <c r="CJ19" s="93">
        <f>IFERROR(s_C*s_IFCR_far_adj*s_CF_carrot*(1/1000)*(s_Irr!I19+s_Irr!AH19+s_Irr!BG19),".")</f>
        <v>1943.4524168418652</v>
      </c>
      <c r="CK19" s="93">
        <f>IFERROR(s_C*s_IFCI_far_adj*s_CF_citrus*(1/1000)*(s_Irr!J19+s_Irr!AI19+s_Irr!BH19),".")</f>
        <v>1775.1529030993431</v>
      </c>
      <c r="CL19" s="93">
        <f>IFERROR(s_C*s_IFCO_far_adj*s_CF_corn*(1/1000)*(s_Irr!K19+s_Irr!AJ19+s_Irr!BI19),".")</f>
        <v>1776.3550424832183</v>
      </c>
      <c r="CM19" s="93">
        <f>IFERROR(s_C*s_IFCU_far_adj*s_CF_cucumber*(1/1000)*(s_Irr!L19+s_Irr!AK19+s_Irr!BJ19),".")</f>
        <v>1775.1529030993431</v>
      </c>
      <c r="CN19" s="93">
        <f>IFERROR(s_C*s_IFLE_far_adj*s_CF_lettuce*(1/1000)*(s_Irr!M19+s_Irr!AL19+s_Irr!BK19),".")</f>
        <v>1991.5379921968718</v>
      </c>
      <c r="CO19" s="93">
        <f>IFERROR(s_C*s_IFLI_far_adj*s_CF_lima_bean*(1/1000)*(s_Irr!N19+s_Irr!AM19+s_Irr!BL19),".")</f>
        <v>1777.2566470211248</v>
      </c>
      <c r="CP19" s="93">
        <f>IFERROR(s_C*s_IFOK_far_adj*s_CF_okra*(1/1000)*(s_Irr!O19+s_Irr!AN19+s_Irr!BM19),".")</f>
        <v>1775.1529030993431</v>
      </c>
      <c r="CQ19" s="93">
        <f>IFERROR(s_C*s_IFON_far_adj*s_CF_onion*(1/1000)*(s_Irr!P19+s_Irr!AO19+s_Irr!BN19),".")</f>
        <v>1943.4524168418652</v>
      </c>
      <c r="CR19" s="93">
        <f>IFERROR(s_C*s_IFPC_far_adj*s_CF_peach*(1/1000)*(s_Irr!Q19+s_Irr!AP19+s_Irr!BO19),".")</f>
        <v>1775.1529030993431</v>
      </c>
      <c r="CS19" s="93">
        <f>IFERROR(s_C*s_IFPR_far_adj*s_CF_pear*(1/1000)*(s_Irr!R19+s_Irr!AQ19+s_Irr!BP19),".")</f>
        <v>1775.1529030993431</v>
      </c>
      <c r="CT19" s="93">
        <f>IFERROR(s_C*s_IFPE_far_adj*s_CF_peas*(1/1000)*(s_Irr!S19+s_Irr!AR19+s_Irr!BQ19),".")</f>
        <v>1777.2566470211248</v>
      </c>
      <c r="CU19" s="93">
        <f>IFERROR(s_C*s_IFPP_far_adj*s_CF_peppers*(1/1000)*(s_Irr!T19+s_Irr!AS19+s_Irr!BR19),".")</f>
        <v>1775.1529030993431</v>
      </c>
      <c r="CV19" s="93">
        <f>IFERROR(s_C*s_IFPT_far_adj*s_CF_potato*(1/1000)*(s_Irr!U19+s_Irr!AT19+s_Irr!BS19),".")</f>
        <v>1850.2866145915405</v>
      </c>
      <c r="CW19" s="93">
        <f>IFERROR(s_C*s_IFPU_far_adj*s_CF_pumpkin*(1/1000)*(s_Irr!V19+s_Irr!AU19+s_Irr!BT19),".")</f>
        <v>1775.1529030993431</v>
      </c>
      <c r="CX19" s="93">
        <f>IFERROR(s_C*s_IFSN_far_adj*s_CF_snap_bean*(1/1000)*(s_Irr!W19+s_Irr!AV19+s_Irr!BU19),".")</f>
        <v>1777.2566470211248</v>
      </c>
      <c r="CY19" s="93">
        <f>IFERROR(s_C*s_IFST_far_adj*s_CF_strawberry*(1/1000)*(s_Irr!X19+s_Irr!AW19+s_Irr!BV19),".")</f>
        <v>1775.1529030993431</v>
      </c>
      <c r="CZ19" s="93">
        <f>IFERROR(s_C*s_IFTO_far_adj*s_CF_tomato*(1/1000)*(s_Irr!Y19+s_Irr!AX19+s_Irr!BW19),".")</f>
        <v>1775.1529030993431</v>
      </c>
      <c r="DA19" s="93">
        <f>IFERROR(s_C*s_IFRI_far_adj*s_CF_rice*(1/1000)*(s_Irr!Z19+s_Irr!AY19+s_Irr!BX19),".")</f>
        <v>2159.8375059393938</v>
      </c>
      <c r="DB19" s="93">
        <f>IFERROR(s_C*s_IFCG_far_adj*s_CF_cereal*(1/1000)*(s_Irr!AA19+s_Irr!AZ19+s_Irr!BY19),".")</f>
        <v>1776.3550424832183</v>
      </c>
    </row>
    <row r="20" spans="1:106" ht="15" customHeight="1" x14ac:dyDescent="0.25">
      <c r="A20" s="92" t="s">
        <v>30</v>
      </c>
      <c r="B20" s="90" t="s">
        <v>1071</v>
      </c>
      <c r="C20" s="15" t="str">
        <f t="shared" si="3"/>
        <v>.</v>
      </c>
      <c r="D20" s="76" t="str">
        <f>IFERROR(IF(AND(s_Irr!C20&lt;&gt;".",s_Irr!AB20&lt;&gt;".",s_Irr!BA20&lt;&gt;"."),s_dir!D20/((1/1000)*(s_Irr!C20+s_Irr!AB20+s_Irr!BA20)),IF(AND(s_Irr!C20&lt;&gt;".",s_Irr!AB20&lt;&gt;".",s_Irr!BA20="."),s_dir!D20/((1/1000)*(s_Irr!C20+s_Irr!AB20)),IF(AND(s_Irr!C20&lt;&gt;".",s_Irr!AB20=".",s_Irr!BA20&lt;&gt;"."),s_dir!D20/((1/1000)*(s_Irr!C20+s_Irr!BA20)),IF(AND(s_Irr!C20=".",s_Irr!AB20&lt;&gt;".",s_Irr!BA20&lt;&gt;"."),s_dir!D20/((1/1000)*(s_Irr!AB20+s_Irr!BA20)),IF(AND(s_Irr!C20=".",s_Irr!AB20=".",s_Irr!BA20&lt;&gt;"."),s_dir!D20/((1/1000)*(s_Irr!BA20)),IF(AND(s_Irr!C20=".",s_Irr!AB20&lt;&gt;".",s_Irr!BA20="."),s_dir!D20/((1/1000)*(s_Irr!AB20)),IF(AND(s_Irr!C20&lt;&gt;".",s_Irr!AB20=".",s_Irr!BA20="."),s_dir!D20/((1/1000)*(s_Irr!C20)),IF(AND(s_Irr!C20=".",s_Irr!AB20=".",s_Irr!BA20="."),s_dir!D20*1000)))))))),".")</f>
        <v>.</v>
      </c>
      <c r="E20" s="76" t="str">
        <f>IFERROR(IF(AND(s_Irr!D20&lt;&gt;".",s_Irr!AC20&lt;&gt;".",s_Irr!BB20&lt;&gt;"."),s_dir!E20/((1/1000)*(s_Irr!D20+s_Irr!AC20+s_Irr!BB20)),IF(AND(s_Irr!D20&lt;&gt;".",s_Irr!AC20&lt;&gt;".",s_Irr!BB20="."),s_dir!E20/((1/1000)*(s_Irr!D20+s_Irr!AC20)),IF(AND(s_Irr!D20&lt;&gt;".",s_Irr!AC20=".",s_Irr!BB20&lt;&gt;"."),s_dir!E20/((1/1000)*(s_Irr!D20+s_Irr!BB20)),IF(AND(s_Irr!D20=".",s_Irr!AC20&lt;&gt;".",s_Irr!BB20&lt;&gt;"."),s_dir!E20/((1/1000)*(s_Irr!AC20+s_Irr!BB20)),IF(AND(s_Irr!D20=".",s_Irr!AC20=".",s_Irr!BB20&lt;&gt;"."),s_dir!E20/((1/1000)*(s_Irr!BB20)),IF(AND(s_Irr!D20=".",s_Irr!AC20&lt;&gt;".",s_Irr!BB20="."),s_dir!E20/((1/1000)*(s_Irr!AC20)),IF(AND(s_Irr!D20&lt;&gt;".",s_Irr!AC20=".",s_Irr!BB20="."),s_dir!E20/((1/1000)*(s_Irr!D20)),IF(AND(s_Irr!D20=".",s_Irr!AC20=".",s_Irr!BB20="."),s_dir!E20*1000)))))))),".")</f>
        <v>.</v>
      </c>
      <c r="F20" s="76" t="str">
        <f>IFERROR(IF(AND(s_Irr!E20&lt;&gt;".",s_Irr!AD20&lt;&gt;".",s_Irr!BC20&lt;&gt;"."),s_dir!F20/((1/1000)*(s_Irr!E20+s_Irr!AD20+s_Irr!BC20)),IF(AND(s_Irr!E20&lt;&gt;".",s_Irr!AD20&lt;&gt;".",s_Irr!BC20="."),s_dir!F20/((1/1000)*(s_Irr!E20+s_Irr!AD20)),IF(AND(s_Irr!E20&lt;&gt;".",s_Irr!AD20=".",s_Irr!BC20&lt;&gt;"."),s_dir!F20/((1/1000)*(s_Irr!E20+s_Irr!BC20)),IF(AND(s_Irr!E20=".",s_Irr!AD20&lt;&gt;".",s_Irr!BC20&lt;&gt;"."),s_dir!F20/((1/1000)*(s_Irr!AD20+s_Irr!BC20)),IF(AND(s_Irr!E20=".",s_Irr!AD20=".",s_Irr!BC20&lt;&gt;"."),s_dir!F20/((1/1000)*(s_Irr!BC20)),IF(AND(s_Irr!E20=".",s_Irr!AD20&lt;&gt;".",s_Irr!BC20="."),s_dir!F20/((1/1000)*(s_Irr!AD20)),IF(AND(s_Irr!E20&lt;&gt;".",s_Irr!AD20=".",s_Irr!BC20="."),s_dir!F20/((1/1000)*(s_Irr!E20)),IF(AND(s_Irr!E20=".",s_Irr!AD20=".",s_Irr!BC20="."),s_dir!F20*1000)))))))),".")</f>
        <v>.</v>
      </c>
      <c r="G20" s="76" t="str">
        <f>IFERROR(IF(AND(s_Irr!F20&lt;&gt;".",s_Irr!AE20&lt;&gt;".",s_Irr!BD20&lt;&gt;"."),s_dir!G20/((1/1000)*(s_Irr!F20+s_Irr!AE20+s_Irr!BD20)),IF(AND(s_Irr!F20&lt;&gt;".",s_Irr!AE20&lt;&gt;".",s_Irr!BD20="."),s_dir!G20/((1/1000)*(s_Irr!F20+s_Irr!AE20)),IF(AND(s_Irr!F20&lt;&gt;".",s_Irr!AE20=".",s_Irr!BD20&lt;&gt;"."),s_dir!G20/((1/1000)*(s_Irr!F20+s_Irr!BD20)),IF(AND(s_Irr!F20=".",s_Irr!AE20&lt;&gt;".",s_Irr!BD20&lt;&gt;"."),s_dir!G20/((1/1000)*(s_Irr!AE20+s_Irr!BD20)),IF(AND(s_Irr!F20=".",s_Irr!AE20=".",s_Irr!BD20&lt;&gt;"."),s_dir!G20/((1/1000)*(s_Irr!BD20)),IF(AND(s_Irr!F20=".",s_Irr!AE20&lt;&gt;".",s_Irr!BD20="."),s_dir!G20/((1/1000)*(s_Irr!AE20)),IF(AND(s_Irr!F20&lt;&gt;".",s_Irr!AE20=".",s_Irr!BD20="."),s_dir!G20/((1/1000)*(s_Irr!F20)),IF(AND(s_Irr!F20=".",s_Irr!AE20=".",s_Irr!BD20="."),s_dir!G20*1000)))))))),".")</f>
        <v>.</v>
      </c>
      <c r="H20" s="76" t="str">
        <f>IFERROR(IF(AND(s_Irr!G20&lt;&gt;".",s_Irr!AF20&lt;&gt;".",s_Irr!BE20&lt;&gt;"."),s_dir!H20/((1/1000)*(s_Irr!G20+s_Irr!AF20+s_Irr!BE20)),IF(AND(s_Irr!G20&lt;&gt;".",s_Irr!AF20&lt;&gt;".",s_Irr!BE20="."),s_dir!H20/((1/1000)*(s_Irr!G20+s_Irr!AF20)),IF(AND(s_Irr!G20&lt;&gt;".",s_Irr!AF20=".",s_Irr!BE20&lt;&gt;"."),s_dir!H20/((1/1000)*(s_Irr!G20+s_Irr!BE20)),IF(AND(s_Irr!G20=".",s_Irr!AF20&lt;&gt;".",s_Irr!BE20&lt;&gt;"."),s_dir!H20/((1/1000)*(s_Irr!AF20+s_Irr!BE20)),IF(AND(s_Irr!G20=".",s_Irr!AF20=".",s_Irr!BE20&lt;&gt;"."),s_dir!H20/((1/1000)*(s_Irr!BE20)),IF(AND(s_Irr!G20=".",s_Irr!AF20&lt;&gt;".",s_Irr!BE20="."),s_dir!H20/((1/1000)*(s_Irr!AF20)),IF(AND(s_Irr!G20&lt;&gt;".",s_Irr!AF20=".",s_Irr!BE20="."),s_dir!H20/((1/1000)*(s_Irr!G20)),IF(AND(s_Irr!G20=".",s_Irr!AF20=".",s_Irr!BE20="."),s_dir!H20*1000)))))))),".")</f>
        <v>.</v>
      </c>
      <c r="I20" s="76" t="str">
        <f>IFERROR(IF(AND(s_Irr!H20&lt;&gt;".",s_Irr!AG20&lt;&gt;".",s_Irr!BF20&lt;&gt;"."),s_dir!I20/((1/1000)*(s_Irr!H20+s_Irr!AG20+s_Irr!BF20)),IF(AND(s_Irr!H20&lt;&gt;".",s_Irr!AG20&lt;&gt;".",s_Irr!BF20="."),s_dir!I20/((1/1000)*(s_Irr!H20+s_Irr!AG20)),IF(AND(s_Irr!H20&lt;&gt;".",s_Irr!AG20=".",s_Irr!BF20&lt;&gt;"."),s_dir!I20/((1/1000)*(s_Irr!H20+s_Irr!BF20)),IF(AND(s_Irr!H20=".",s_Irr!AG20&lt;&gt;".",s_Irr!BF20&lt;&gt;"."),s_dir!I20/((1/1000)*(s_Irr!AG20+s_Irr!BF20)),IF(AND(s_Irr!H20=".",s_Irr!AG20=".",s_Irr!BF20&lt;&gt;"."),s_dir!I20/((1/1000)*(s_Irr!BF20)),IF(AND(s_Irr!H20=".",s_Irr!AG20&lt;&gt;".",s_Irr!BF20="."),s_dir!I20/((1/1000)*(s_Irr!AG20)),IF(AND(s_Irr!H20&lt;&gt;".",s_Irr!AG20=".",s_Irr!BF20="."),s_dir!I20/((1/1000)*(s_Irr!H20)),IF(AND(s_Irr!H20=".",s_Irr!AG20=".",s_Irr!BF20="."),s_dir!I20*1000)))))))),".")</f>
        <v>.</v>
      </c>
      <c r="J20" s="76" t="str">
        <f>IFERROR(IF(AND(s_Irr!I20&lt;&gt;".",s_Irr!AH20&lt;&gt;".",s_Irr!BG20&lt;&gt;"."),s_dir!J20/((1/1000)*(s_Irr!I20+s_Irr!AH20+s_Irr!BG20)),IF(AND(s_Irr!I20&lt;&gt;".",s_Irr!AH20&lt;&gt;".",s_Irr!BG20="."),s_dir!J20/((1/1000)*(s_Irr!I20+s_Irr!AH20)),IF(AND(s_Irr!I20&lt;&gt;".",s_Irr!AH20=".",s_Irr!BG20&lt;&gt;"."),s_dir!J20/((1/1000)*(s_Irr!I20+s_Irr!BG20)),IF(AND(s_Irr!I20=".",s_Irr!AH20&lt;&gt;".",s_Irr!BG20&lt;&gt;"."),s_dir!J20/((1/1000)*(s_Irr!AH20+s_Irr!BG20)),IF(AND(s_Irr!I20=".",s_Irr!AH20=".",s_Irr!BG20&lt;&gt;"."),s_dir!J20/((1/1000)*(s_Irr!BG20)),IF(AND(s_Irr!I20=".",s_Irr!AH20&lt;&gt;".",s_Irr!BG20="."),s_dir!J20/((1/1000)*(s_Irr!AH20)),IF(AND(s_Irr!I20&lt;&gt;".",s_Irr!AH20=".",s_Irr!BG20="."),s_dir!J20/((1/1000)*(s_Irr!I20)),IF(AND(s_Irr!I20=".",s_Irr!AH20=".",s_Irr!BG20="."),s_dir!J20*1000)))))))),".")</f>
        <v>.</v>
      </c>
      <c r="K20" s="76" t="str">
        <f>IFERROR(IF(AND(s_Irr!J20&lt;&gt;".",s_Irr!AI20&lt;&gt;".",s_Irr!BH20&lt;&gt;"."),s_dir!K20/((1/1000)*(s_Irr!J20+s_Irr!AI20+s_Irr!BH20)),IF(AND(s_Irr!J20&lt;&gt;".",s_Irr!AI20&lt;&gt;".",s_Irr!BH20="."),s_dir!K20/((1/1000)*(s_Irr!J20+s_Irr!AI20)),IF(AND(s_Irr!J20&lt;&gt;".",s_Irr!AI20=".",s_Irr!BH20&lt;&gt;"."),s_dir!K20/((1/1000)*(s_Irr!J20+s_Irr!BH20)),IF(AND(s_Irr!J20=".",s_Irr!AI20&lt;&gt;".",s_Irr!BH20&lt;&gt;"."),s_dir!K20/((1/1000)*(s_Irr!AI20+s_Irr!BH20)),IF(AND(s_Irr!J20=".",s_Irr!AI20=".",s_Irr!BH20&lt;&gt;"."),s_dir!K20/((1/1000)*(s_Irr!BH20)),IF(AND(s_Irr!J20=".",s_Irr!AI20&lt;&gt;".",s_Irr!BH20="."),s_dir!K20/((1/1000)*(s_Irr!AI20)),IF(AND(s_Irr!J20&lt;&gt;".",s_Irr!AI20=".",s_Irr!BH20="."),s_dir!K20/((1/1000)*(s_Irr!J20)),IF(AND(s_Irr!J20=".",s_Irr!AI20=".",s_Irr!BH20="."),s_dir!K20*1000)))))))),".")</f>
        <v>.</v>
      </c>
      <c r="L20" s="76" t="str">
        <f>IFERROR(IF(AND(s_Irr!K20&lt;&gt;".",s_Irr!AJ20&lt;&gt;".",s_Irr!BI20&lt;&gt;"."),s_dir!L20/((1/1000)*(s_Irr!K20+s_Irr!AJ20+s_Irr!BI20)),IF(AND(s_Irr!K20&lt;&gt;".",s_Irr!AJ20&lt;&gt;".",s_Irr!BI20="."),s_dir!L20/((1/1000)*(s_Irr!K20+s_Irr!AJ20)),IF(AND(s_Irr!K20&lt;&gt;".",s_Irr!AJ20=".",s_Irr!BI20&lt;&gt;"."),s_dir!L20/((1/1000)*(s_Irr!K20+s_Irr!BI20)),IF(AND(s_Irr!K20=".",s_Irr!AJ20&lt;&gt;".",s_Irr!BI20&lt;&gt;"."),s_dir!L20/((1/1000)*(s_Irr!AJ20+s_Irr!BI20)),IF(AND(s_Irr!K20=".",s_Irr!AJ20=".",s_Irr!BI20&lt;&gt;"."),s_dir!L20/((1/1000)*(s_Irr!BI20)),IF(AND(s_Irr!K20=".",s_Irr!AJ20&lt;&gt;".",s_Irr!BI20="."),s_dir!L20/((1/1000)*(s_Irr!AJ20)),IF(AND(s_Irr!K20&lt;&gt;".",s_Irr!AJ20=".",s_Irr!BI20="."),s_dir!L20/((1/1000)*(s_Irr!K20)),IF(AND(s_Irr!K20=".",s_Irr!AJ20=".",s_Irr!BI20="."),s_dir!L20*1000)))))))),".")</f>
        <v>.</v>
      </c>
      <c r="M20" s="76" t="str">
        <f>IFERROR(IF(AND(s_Irr!L20&lt;&gt;".",s_Irr!AK20&lt;&gt;".",s_Irr!BJ20&lt;&gt;"."),s_dir!M20/((1/1000)*(s_Irr!L20+s_Irr!AK20+s_Irr!BJ20)),IF(AND(s_Irr!L20&lt;&gt;".",s_Irr!AK20&lt;&gt;".",s_Irr!BJ20="."),s_dir!M20/((1/1000)*(s_Irr!L20+s_Irr!AK20)),IF(AND(s_Irr!L20&lt;&gt;".",s_Irr!AK20=".",s_Irr!BJ20&lt;&gt;"."),s_dir!M20/((1/1000)*(s_Irr!L20+s_Irr!BJ20)),IF(AND(s_Irr!L20=".",s_Irr!AK20&lt;&gt;".",s_Irr!BJ20&lt;&gt;"."),s_dir!M20/((1/1000)*(s_Irr!AK20+s_Irr!BJ20)),IF(AND(s_Irr!L20=".",s_Irr!AK20=".",s_Irr!BJ20&lt;&gt;"."),s_dir!M20/((1/1000)*(s_Irr!BJ20)),IF(AND(s_Irr!L20=".",s_Irr!AK20&lt;&gt;".",s_Irr!BJ20="."),s_dir!M20/((1/1000)*(s_Irr!AK20)),IF(AND(s_Irr!L20&lt;&gt;".",s_Irr!AK20=".",s_Irr!BJ20="."),s_dir!M20/((1/1000)*(s_Irr!L20)),IF(AND(s_Irr!L20=".",s_Irr!AK20=".",s_Irr!BJ20="."),s_dir!M20*1000)))))))),".")</f>
        <v>.</v>
      </c>
      <c r="N20" s="76" t="str">
        <f>IFERROR(IF(AND(s_Irr!M20&lt;&gt;".",s_Irr!AL20&lt;&gt;".",s_Irr!BK20&lt;&gt;"."),s_dir!N20/((1/1000)*(s_Irr!M20+s_Irr!AL20+s_Irr!BK20)),IF(AND(s_Irr!M20&lt;&gt;".",s_Irr!AL20&lt;&gt;".",s_Irr!BK20="."),s_dir!N20/((1/1000)*(s_Irr!M20+s_Irr!AL20)),IF(AND(s_Irr!M20&lt;&gt;".",s_Irr!AL20=".",s_Irr!BK20&lt;&gt;"."),s_dir!N20/((1/1000)*(s_Irr!M20+s_Irr!BK20)),IF(AND(s_Irr!M20=".",s_Irr!AL20&lt;&gt;".",s_Irr!BK20&lt;&gt;"."),s_dir!N20/((1/1000)*(s_Irr!AL20+s_Irr!BK20)),IF(AND(s_Irr!M20=".",s_Irr!AL20=".",s_Irr!BK20&lt;&gt;"."),s_dir!N20/((1/1000)*(s_Irr!BK20)),IF(AND(s_Irr!M20=".",s_Irr!AL20&lt;&gt;".",s_Irr!BK20="."),s_dir!N20/((1/1000)*(s_Irr!AL20)),IF(AND(s_Irr!M20&lt;&gt;".",s_Irr!AL20=".",s_Irr!BK20="."),s_dir!N20/((1/1000)*(s_Irr!M20)),IF(AND(s_Irr!M20=".",s_Irr!AL20=".",s_Irr!BK20="."),s_dir!N20*1000)))))))),".")</f>
        <v>.</v>
      </c>
      <c r="O20" s="76" t="str">
        <f>IFERROR(IF(AND(s_Irr!N20&lt;&gt;".",s_Irr!AM20&lt;&gt;".",s_Irr!BL20&lt;&gt;"."),s_dir!O20/((1/1000)*(s_Irr!N20+s_Irr!AM20+s_Irr!BL20)),IF(AND(s_Irr!N20&lt;&gt;".",s_Irr!AM20&lt;&gt;".",s_Irr!BL20="."),s_dir!O20/((1/1000)*(s_Irr!N20+s_Irr!AM20)),IF(AND(s_Irr!N20&lt;&gt;".",s_Irr!AM20=".",s_Irr!BL20&lt;&gt;"."),s_dir!O20/((1/1000)*(s_Irr!N20+s_Irr!BL20)),IF(AND(s_Irr!N20=".",s_Irr!AM20&lt;&gt;".",s_Irr!BL20&lt;&gt;"."),s_dir!O20/((1/1000)*(s_Irr!AM20+s_Irr!BL20)),IF(AND(s_Irr!N20=".",s_Irr!AM20=".",s_Irr!BL20&lt;&gt;"."),s_dir!O20/((1/1000)*(s_Irr!BL20)),IF(AND(s_Irr!N20=".",s_Irr!AM20&lt;&gt;".",s_Irr!BL20="."),s_dir!O20/((1/1000)*(s_Irr!AM20)),IF(AND(s_Irr!N20&lt;&gt;".",s_Irr!AM20=".",s_Irr!BL20="."),s_dir!O20/((1/1000)*(s_Irr!N20)),IF(AND(s_Irr!N20=".",s_Irr!AM20=".",s_Irr!BL20="."),s_dir!O20*1000)))))))),".")</f>
        <v>.</v>
      </c>
      <c r="P20" s="76" t="str">
        <f>IFERROR(IF(AND(s_Irr!O20&lt;&gt;".",s_Irr!AN20&lt;&gt;".",s_Irr!BM20&lt;&gt;"."),s_dir!P20/((1/1000)*(s_Irr!O20+s_Irr!AN20+s_Irr!BM20)),IF(AND(s_Irr!O20&lt;&gt;".",s_Irr!AN20&lt;&gt;".",s_Irr!BM20="."),s_dir!P20/((1/1000)*(s_Irr!O20+s_Irr!AN20)),IF(AND(s_Irr!O20&lt;&gt;".",s_Irr!AN20=".",s_Irr!BM20&lt;&gt;"."),s_dir!P20/((1/1000)*(s_Irr!O20+s_Irr!BM20)),IF(AND(s_Irr!O20=".",s_Irr!AN20&lt;&gt;".",s_Irr!BM20&lt;&gt;"."),s_dir!P20/((1/1000)*(s_Irr!AN20+s_Irr!BM20)),IF(AND(s_Irr!O20=".",s_Irr!AN20=".",s_Irr!BM20&lt;&gt;"."),s_dir!P20/((1/1000)*(s_Irr!BM20)),IF(AND(s_Irr!O20=".",s_Irr!AN20&lt;&gt;".",s_Irr!BM20="."),s_dir!P20/((1/1000)*(s_Irr!AN20)),IF(AND(s_Irr!O20&lt;&gt;".",s_Irr!AN20=".",s_Irr!BM20="."),s_dir!P20/((1/1000)*(s_Irr!O20)),IF(AND(s_Irr!O20=".",s_Irr!AN20=".",s_Irr!BM20="."),s_dir!P20*1000)))))))),".")</f>
        <v>.</v>
      </c>
      <c r="Q20" s="76" t="str">
        <f>IFERROR(IF(AND(s_Irr!P20&lt;&gt;".",s_Irr!AO20&lt;&gt;".",s_Irr!BN20&lt;&gt;"."),s_dir!Q20/((1/1000)*(s_Irr!P20+s_Irr!AO20+s_Irr!BN20)),IF(AND(s_Irr!P20&lt;&gt;".",s_Irr!AO20&lt;&gt;".",s_Irr!BN20="."),s_dir!Q20/((1/1000)*(s_Irr!P20+s_Irr!AO20)),IF(AND(s_Irr!P20&lt;&gt;".",s_Irr!AO20=".",s_Irr!BN20&lt;&gt;"."),s_dir!Q20/((1/1000)*(s_Irr!P20+s_Irr!BN20)),IF(AND(s_Irr!P20=".",s_Irr!AO20&lt;&gt;".",s_Irr!BN20&lt;&gt;"."),s_dir!Q20/((1/1000)*(s_Irr!AO20+s_Irr!BN20)),IF(AND(s_Irr!P20=".",s_Irr!AO20=".",s_Irr!BN20&lt;&gt;"."),s_dir!Q20/((1/1000)*(s_Irr!BN20)),IF(AND(s_Irr!P20=".",s_Irr!AO20&lt;&gt;".",s_Irr!BN20="."),s_dir!Q20/((1/1000)*(s_Irr!AO20)),IF(AND(s_Irr!P20&lt;&gt;".",s_Irr!AO20=".",s_Irr!BN20="."),s_dir!Q20/((1/1000)*(s_Irr!P20)),IF(AND(s_Irr!P20=".",s_Irr!AO20=".",s_Irr!BN20="."),s_dir!Q20*1000)))))))),".")</f>
        <v>.</v>
      </c>
      <c r="R20" s="76" t="str">
        <f>IFERROR(IF(AND(s_Irr!Q20&lt;&gt;".",s_Irr!AP20&lt;&gt;".",s_Irr!BO20&lt;&gt;"."),s_dir!R20/((1/1000)*(s_Irr!Q20+s_Irr!AP20+s_Irr!BO20)),IF(AND(s_Irr!Q20&lt;&gt;".",s_Irr!AP20&lt;&gt;".",s_Irr!BO20="."),s_dir!R20/((1/1000)*(s_Irr!Q20+s_Irr!AP20)),IF(AND(s_Irr!Q20&lt;&gt;".",s_Irr!AP20=".",s_Irr!BO20&lt;&gt;"."),s_dir!R20/((1/1000)*(s_Irr!Q20+s_Irr!BO20)),IF(AND(s_Irr!Q20=".",s_Irr!AP20&lt;&gt;".",s_Irr!BO20&lt;&gt;"."),s_dir!R20/((1/1000)*(s_Irr!AP20+s_Irr!BO20)),IF(AND(s_Irr!Q20=".",s_Irr!AP20=".",s_Irr!BO20&lt;&gt;"."),s_dir!R20/((1/1000)*(s_Irr!BO20)),IF(AND(s_Irr!Q20=".",s_Irr!AP20&lt;&gt;".",s_Irr!BO20="."),s_dir!R20/((1/1000)*(s_Irr!AP20)),IF(AND(s_Irr!Q20&lt;&gt;".",s_Irr!AP20=".",s_Irr!BO20="."),s_dir!R20/((1/1000)*(s_Irr!Q20)),IF(AND(s_Irr!Q20=".",s_Irr!AP20=".",s_Irr!BO20="."),s_dir!R20*1000)))))))),".")</f>
        <v>.</v>
      </c>
      <c r="S20" s="76" t="str">
        <f>IFERROR(IF(AND(s_Irr!R20&lt;&gt;".",s_Irr!AQ20&lt;&gt;".",s_Irr!BP20&lt;&gt;"."),s_dir!S20/((1/1000)*(s_Irr!R20+s_Irr!AQ20+s_Irr!BP20)),IF(AND(s_Irr!R20&lt;&gt;".",s_Irr!AQ20&lt;&gt;".",s_Irr!BP20="."),s_dir!S20/((1/1000)*(s_Irr!R20+s_Irr!AQ20)),IF(AND(s_Irr!R20&lt;&gt;".",s_Irr!AQ20=".",s_Irr!BP20&lt;&gt;"."),s_dir!S20/((1/1000)*(s_Irr!R20+s_Irr!BP20)),IF(AND(s_Irr!R20=".",s_Irr!AQ20&lt;&gt;".",s_Irr!BP20&lt;&gt;"."),s_dir!S20/((1/1000)*(s_Irr!AQ20+s_Irr!BP20)),IF(AND(s_Irr!R20=".",s_Irr!AQ20=".",s_Irr!BP20&lt;&gt;"."),s_dir!S20/((1/1000)*(s_Irr!BP20)),IF(AND(s_Irr!R20=".",s_Irr!AQ20&lt;&gt;".",s_Irr!BP20="."),s_dir!S20/((1/1000)*(s_Irr!AQ20)),IF(AND(s_Irr!R20&lt;&gt;".",s_Irr!AQ20=".",s_Irr!BP20="."),s_dir!S20/((1/1000)*(s_Irr!R20)),IF(AND(s_Irr!R20=".",s_Irr!AQ20=".",s_Irr!BP20="."),s_dir!S20*1000)))))))),".")</f>
        <v>.</v>
      </c>
      <c r="T20" s="76" t="str">
        <f>IFERROR(IF(AND(s_Irr!S20&lt;&gt;".",s_Irr!AR20&lt;&gt;".",s_Irr!BQ20&lt;&gt;"."),s_dir!T20/((1/1000)*(s_Irr!S20+s_Irr!AR20+s_Irr!BQ20)),IF(AND(s_Irr!S20&lt;&gt;".",s_Irr!AR20&lt;&gt;".",s_Irr!BQ20="."),s_dir!T20/((1/1000)*(s_Irr!S20+s_Irr!AR20)),IF(AND(s_Irr!S20&lt;&gt;".",s_Irr!AR20=".",s_Irr!BQ20&lt;&gt;"."),s_dir!T20/((1/1000)*(s_Irr!S20+s_Irr!BQ20)),IF(AND(s_Irr!S20=".",s_Irr!AR20&lt;&gt;".",s_Irr!BQ20&lt;&gt;"."),s_dir!T20/((1/1000)*(s_Irr!AR20+s_Irr!BQ20)),IF(AND(s_Irr!S20=".",s_Irr!AR20=".",s_Irr!BQ20&lt;&gt;"."),s_dir!T20/((1/1000)*(s_Irr!BQ20)),IF(AND(s_Irr!S20=".",s_Irr!AR20&lt;&gt;".",s_Irr!BQ20="."),s_dir!T20/((1/1000)*(s_Irr!AR20)),IF(AND(s_Irr!S20&lt;&gt;".",s_Irr!AR20=".",s_Irr!BQ20="."),s_dir!T20/((1/1000)*(s_Irr!S20)),IF(AND(s_Irr!S20=".",s_Irr!AR20=".",s_Irr!BQ20="."),s_dir!T20*1000)))))))),".")</f>
        <v>.</v>
      </c>
      <c r="U20" s="76" t="str">
        <f>IFERROR(IF(AND(s_Irr!T20&lt;&gt;".",s_Irr!AS20&lt;&gt;".",s_Irr!BR20&lt;&gt;"."),s_dir!U20/((1/1000)*(s_Irr!T20+s_Irr!AS20+s_Irr!BR20)),IF(AND(s_Irr!T20&lt;&gt;".",s_Irr!AS20&lt;&gt;".",s_Irr!BR20="."),s_dir!U20/((1/1000)*(s_Irr!T20+s_Irr!AS20)),IF(AND(s_Irr!T20&lt;&gt;".",s_Irr!AS20=".",s_Irr!BR20&lt;&gt;"."),s_dir!U20/((1/1000)*(s_Irr!T20+s_Irr!BR20)),IF(AND(s_Irr!T20=".",s_Irr!AS20&lt;&gt;".",s_Irr!BR20&lt;&gt;"."),s_dir!U20/((1/1000)*(s_Irr!AS20+s_Irr!BR20)),IF(AND(s_Irr!T20=".",s_Irr!AS20=".",s_Irr!BR20&lt;&gt;"."),s_dir!U20/((1/1000)*(s_Irr!BR20)),IF(AND(s_Irr!T20=".",s_Irr!AS20&lt;&gt;".",s_Irr!BR20="."),s_dir!U20/((1/1000)*(s_Irr!AS20)),IF(AND(s_Irr!T20&lt;&gt;".",s_Irr!AS20=".",s_Irr!BR20="."),s_dir!U20/((1/1000)*(s_Irr!T20)),IF(AND(s_Irr!T20=".",s_Irr!AS20=".",s_Irr!BR20="."),s_dir!U20*1000)))))))),".")</f>
        <v>.</v>
      </c>
      <c r="V20" s="76" t="str">
        <f>IFERROR(IF(AND(s_Irr!U20&lt;&gt;".",s_Irr!AT20&lt;&gt;".",s_Irr!BS20&lt;&gt;"."),s_dir!V20/((1/1000)*(s_Irr!U20+s_Irr!AT20+s_Irr!BS20)),IF(AND(s_Irr!U20&lt;&gt;".",s_Irr!AT20&lt;&gt;".",s_Irr!BS20="."),s_dir!V20/((1/1000)*(s_Irr!U20+s_Irr!AT20)),IF(AND(s_Irr!U20&lt;&gt;".",s_Irr!AT20=".",s_Irr!BS20&lt;&gt;"."),s_dir!V20/((1/1000)*(s_Irr!U20+s_Irr!BS20)),IF(AND(s_Irr!U20=".",s_Irr!AT20&lt;&gt;".",s_Irr!BS20&lt;&gt;"."),s_dir!V20/((1/1000)*(s_Irr!AT20+s_Irr!BS20)),IF(AND(s_Irr!U20=".",s_Irr!AT20=".",s_Irr!BS20&lt;&gt;"."),s_dir!V20/((1/1000)*(s_Irr!BS20)),IF(AND(s_Irr!U20=".",s_Irr!AT20&lt;&gt;".",s_Irr!BS20="."),s_dir!V20/((1/1000)*(s_Irr!AT20)),IF(AND(s_Irr!U20&lt;&gt;".",s_Irr!AT20=".",s_Irr!BS20="."),s_dir!V20/((1/1000)*(s_Irr!U20)),IF(AND(s_Irr!U20=".",s_Irr!AT20=".",s_Irr!BS20="."),s_dir!V20*1000)))))))),".")</f>
        <v>.</v>
      </c>
      <c r="W20" s="76" t="str">
        <f>IFERROR(IF(AND(s_Irr!V20&lt;&gt;".",s_Irr!AU20&lt;&gt;".",s_Irr!BT20&lt;&gt;"."),s_dir!W20/((1/1000)*(s_Irr!V20+s_Irr!AU20+s_Irr!BT20)),IF(AND(s_Irr!V20&lt;&gt;".",s_Irr!AU20&lt;&gt;".",s_Irr!BT20="."),s_dir!W20/((1/1000)*(s_Irr!V20+s_Irr!AU20)),IF(AND(s_Irr!V20&lt;&gt;".",s_Irr!AU20=".",s_Irr!BT20&lt;&gt;"."),s_dir!W20/((1/1000)*(s_Irr!V20+s_Irr!BT20)),IF(AND(s_Irr!V20=".",s_Irr!AU20&lt;&gt;".",s_Irr!BT20&lt;&gt;"."),s_dir!W20/((1/1000)*(s_Irr!AU20+s_Irr!BT20)),IF(AND(s_Irr!V20=".",s_Irr!AU20=".",s_Irr!BT20&lt;&gt;"."),s_dir!W20/((1/1000)*(s_Irr!BT20)),IF(AND(s_Irr!V20=".",s_Irr!AU20&lt;&gt;".",s_Irr!BT20="."),s_dir!W20/((1/1000)*(s_Irr!AU20)),IF(AND(s_Irr!V20&lt;&gt;".",s_Irr!AU20=".",s_Irr!BT20="."),s_dir!W20/((1/1000)*(s_Irr!V20)),IF(AND(s_Irr!V20=".",s_Irr!AU20=".",s_Irr!BT20="."),s_dir!W20*1000)))))))),".")</f>
        <v>.</v>
      </c>
      <c r="X20" s="76" t="str">
        <f>IFERROR(IF(AND(s_Irr!W20&lt;&gt;".",s_Irr!AV20&lt;&gt;".",s_Irr!BU20&lt;&gt;"."),s_dir!X20/((1/1000)*(s_Irr!W20+s_Irr!AV20+s_Irr!BU20)),IF(AND(s_Irr!W20&lt;&gt;".",s_Irr!AV20&lt;&gt;".",s_Irr!BU20="."),s_dir!X20/((1/1000)*(s_Irr!W20+s_Irr!AV20)),IF(AND(s_Irr!W20&lt;&gt;".",s_Irr!AV20=".",s_Irr!BU20&lt;&gt;"."),s_dir!X20/((1/1000)*(s_Irr!W20+s_Irr!BU20)),IF(AND(s_Irr!W20=".",s_Irr!AV20&lt;&gt;".",s_Irr!BU20&lt;&gt;"."),s_dir!X20/((1/1000)*(s_Irr!AV20+s_Irr!BU20)),IF(AND(s_Irr!W20=".",s_Irr!AV20=".",s_Irr!BU20&lt;&gt;"."),s_dir!X20/((1/1000)*(s_Irr!BU20)),IF(AND(s_Irr!W20=".",s_Irr!AV20&lt;&gt;".",s_Irr!BU20="."),s_dir!X20/((1/1000)*(s_Irr!AV20)),IF(AND(s_Irr!W20&lt;&gt;".",s_Irr!AV20=".",s_Irr!BU20="."),s_dir!X20/((1/1000)*(s_Irr!W20)),IF(AND(s_Irr!W20=".",s_Irr!AV20=".",s_Irr!BU20="."),s_dir!X20*1000)))))))),".")</f>
        <v>.</v>
      </c>
      <c r="Y20" s="76" t="str">
        <f>IFERROR(IF(AND(s_Irr!X20&lt;&gt;".",s_Irr!AW20&lt;&gt;".",s_Irr!BV20&lt;&gt;"."),s_dir!Y20/((1/1000)*(s_Irr!X20+s_Irr!AW20+s_Irr!BV20)),IF(AND(s_Irr!X20&lt;&gt;".",s_Irr!AW20&lt;&gt;".",s_Irr!BV20="."),s_dir!Y20/((1/1000)*(s_Irr!X20+s_Irr!AW20)),IF(AND(s_Irr!X20&lt;&gt;".",s_Irr!AW20=".",s_Irr!BV20&lt;&gt;"."),s_dir!Y20/((1/1000)*(s_Irr!X20+s_Irr!BV20)),IF(AND(s_Irr!X20=".",s_Irr!AW20&lt;&gt;".",s_Irr!BV20&lt;&gt;"."),s_dir!Y20/((1/1000)*(s_Irr!AW20+s_Irr!BV20)),IF(AND(s_Irr!X20=".",s_Irr!AW20=".",s_Irr!BV20&lt;&gt;"."),s_dir!Y20/((1/1000)*(s_Irr!BV20)),IF(AND(s_Irr!X20=".",s_Irr!AW20&lt;&gt;".",s_Irr!BV20="."),s_dir!Y20/((1/1000)*(s_Irr!AW20)),IF(AND(s_Irr!X20&lt;&gt;".",s_Irr!AW20=".",s_Irr!BV20="."),s_dir!Y20/((1/1000)*(s_Irr!X20)),IF(AND(s_Irr!X20=".",s_Irr!AW20=".",s_Irr!BV20="."),s_dir!Y20*1000)))))))),".")</f>
        <v>.</v>
      </c>
      <c r="Z20" s="76" t="str">
        <f>IFERROR(IF(AND(s_Irr!Y20&lt;&gt;".",s_Irr!AX20&lt;&gt;".",s_Irr!BW20&lt;&gt;"."),s_dir!Z20/((1/1000)*(s_Irr!Y20+s_Irr!AX20+s_Irr!BW20)),IF(AND(s_Irr!Y20&lt;&gt;".",s_Irr!AX20&lt;&gt;".",s_Irr!BW20="."),s_dir!Z20/((1/1000)*(s_Irr!Y20+s_Irr!AX20)),IF(AND(s_Irr!Y20&lt;&gt;".",s_Irr!AX20=".",s_Irr!BW20&lt;&gt;"."),s_dir!Z20/((1/1000)*(s_Irr!Y20+s_Irr!BW20)),IF(AND(s_Irr!Y20=".",s_Irr!AX20&lt;&gt;".",s_Irr!BW20&lt;&gt;"."),s_dir!Z20/((1/1000)*(s_Irr!AX20+s_Irr!BW20)),IF(AND(s_Irr!Y20=".",s_Irr!AX20=".",s_Irr!BW20&lt;&gt;"."),s_dir!Z20/((1/1000)*(s_Irr!BW20)),IF(AND(s_Irr!Y20=".",s_Irr!AX20&lt;&gt;".",s_Irr!BW20="."),s_dir!Z20/((1/1000)*(s_Irr!AX20)),IF(AND(s_Irr!Y20&lt;&gt;".",s_Irr!AX20=".",s_Irr!BW20="."),s_dir!Z20/((1/1000)*(s_Irr!Y20)),IF(AND(s_Irr!Y20=".",s_Irr!AX20=".",s_Irr!BW20="."),s_dir!Z20*1000)))))))),".")</f>
        <v>.</v>
      </c>
      <c r="AA20" s="76" t="str">
        <f>IFERROR(IF(AND(s_Irr!Z20&lt;&gt;".",s_Irr!AY20&lt;&gt;".",s_Irr!BX20&lt;&gt;"."),s_dir!AA20/((1/1000)*(s_Irr!Z20+s_Irr!AY20+s_Irr!BX20)),IF(AND(s_Irr!Z20&lt;&gt;".",s_Irr!AY20&lt;&gt;".",s_Irr!BX20="."),s_dir!AA20/((1/1000)*(s_Irr!Z20+s_Irr!AY20)),IF(AND(s_Irr!Z20&lt;&gt;".",s_Irr!AY20=".",s_Irr!BX20&lt;&gt;"."),s_dir!AA20/((1/1000)*(s_Irr!Z20+s_Irr!BX20)),IF(AND(s_Irr!Z20=".",s_Irr!AY20&lt;&gt;".",s_Irr!BX20&lt;&gt;"."),s_dir!AA20/((1/1000)*(s_Irr!AY20+s_Irr!BX20)),IF(AND(s_Irr!Z20=".",s_Irr!AY20=".",s_Irr!BX20&lt;&gt;"."),s_dir!AA20/((1/1000)*(s_Irr!BX20)),IF(AND(s_Irr!Z20=".",s_Irr!AY20&lt;&gt;".",s_Irr!BX20="."),s_dir!AA20/((1/1000)*(s_Irr!AY20)),IF(AND(s_Irr!Z20&lt;&gt;".",s_Irr!AY20=".",s_Irr!BX20="."),s_dir!AA20/((1/1000)*(s_Irr!Z20)),IF(AND(s_Irr!Z20=".",s_Irr!AY20=".",s_Irr!BX20="."),s_dir!AA20*1000)))))))),".")</f>
        <v>.</v>
      </c>
      <c r="AB20" s="76" t="str">
        <f>IFERROR(IF(AND(s_Irr!AA20&lt;&gt;".",s_Irr!AZ20&lt;&gt;".",s_Irr!BY20&lt;&gt;"."),s_dir!AB20/((1/1000)*(s_Irr!AA20+s_Irr!AZ20+s_Irr!BY20)),IF(AND(s_Irr!AA20&lt;&gt;".",s_Irr!AZ20&lt;&gt;".",s_Irr!BY20="."),s_dir!AB20/((1/1000)*(s_Irr!AA20+s_Irr!AZ20)),IF(AND(s_Irr!AA20&lt;&gt;".",s_Irr!AZ20=".",s_Irr!BY20&lt;&gt;"."),s_dir!AB20/((1/1000)*(s_Irr!AA20+s_Irr!BY20)),IF(AND(s_Irr!AA20=".",s_Irr!AZ20&lt;&gt;".",s_Irr!BY20&lt;&gt;"."),s_dir!AB20/((1/1000)*(s_Irr!AZ20+s_Irr!BY20)),IF(AND(s_Irr!AA20=".",s_Irr!AZ20=".",s_Irr!BY20&lt;&gt;"."),s_dir!AB20/((1/1000)*(s_Irr!BY20)),IF(AND(s_Irr!AA20=".",s_Irr!AZ20&lt;&gt;".",s_Irr!BY20="."),s_dir!AB20/((1/1000)*(s_Irr!AZ20)),IF(AND(s_Irr!AA20&lt;&gt;".",s_Irr!AZ20=".",s_Irr!BY20="."),s_dir!AB20/((1/1000)*(s_Irr!AA20)),IF(AND(s_Irr!AA20=".",s_Irr!AZ20=".",s_Irr!BY20="."),s_dir!AB20*1000)))))))),".")</f>
        <v>.</v>
      </c>
      <c r="AC20" s="93">
        <f t="shared" si="4"/>
        <v>7486.4983546212979</v>
      </c>
      <c r="AD20" s="93">
        <f>IFERROR(s_C*s_IFAP_res_adj*s_CF_apple*0.001*(s_Irr!C20+s_Irr!AB20+s_Irr!BA20),".")</f>
        <v>1775.1529030993431</v>
      </c>
      <c r="AE20" s="93">
        <f>IFERROR(s_C*s_IFAS_res_adj*s_CF_asparagus*0.001*(s_Irr!D20+s_Irr!AC20+s_Irr!BB20),".")</f>
        <v>1991.5379921968718</v>
      </c>
      <c r="AF20" s="93">
        <f>IFERROR(s_C*s_IFBT_res_adj*s_CF_beet*0.001*(s_Irr!E20+s_Irr!AD20+s_Irr!BC20),".")</f>
        <v>1943.4524168418652</v>
      </c>
      <c r="AG20" s="93">
        <f>IFERROR(s_C*s_IFBE_res_adj*s_CF_berries*0.001*(s_Irr!F20+s_Irr!AE20+s_Irr!BD20),".")</f>
        <v>1775.1529030993431</v>
      </c>
      <c r="AH20" s="93">
        <f>IFERROR(s_C*s_IFBR_res_adj*s_CF_broccoli*0.001*(s_Irr!G20+s_Irr!AF20+s_Irr!BE20),".")</f>
        <v>1775.1529030993431</v>
      </c>
      <c r="AI20" s="93">
        <f>IFERROR(s_C*s_IFCB_res_adj*s_CF_cabbage*0.001*(s_Irr!H20+s_Irr!AG20+s_Irr!BF20),".")</f>
        <v>1991.5379921968718</v>
      </c>
      <c r="AJ20" s="93">
        <f>IFERROR(s_C*s_IFCR_res_adj*s_CF_carrot*0.001*(s_Irr!I20+s_Irr!AH20+s_Irr!BG20),".")</f>
        <v>1943.4524168418652</v>
      </c>
      <c r="AK20" s="93">
        <f>IFERROR(s_C*s_IFCI_res_adj*s_CF_citrus*0.001*(s_Irr!J20+s_Irr!AI20+s_Irr!BH20),".")</f>
        <v>1775.1529030993431</v>
      </c>
      <c r="AL20" s="93">
        <f>IFERROR(s_C*s_IFCO_res_adj*s_CF_corn*0.001*(s_Irr!K20+s_Irr!AJ20+s_Irr!BI20),".")</f>
        <v>1776.3550424832183</v>
      </c>
      <c r="AM20" s="93">
        <f>IFERROR(s_C*s_IFCU_res_adj*s_CF_cucumber*0.001*(s_Irr!L20+s_Irr!AK20+s_Irr!BJ20),".")</f>
        <v>1775.1529030993431</v>
      </c>
      <c r="AN20" s="93">
        <f>IFERROR(s_C*s_IFLE_res_adj*s_CF_lettuce*0.001*(s_Irr!M20+s_Irr!AL20+s_Irr!BK20),".")</f>
        <v>1991.5379921968718</v>
      </c>
      <c r="AO20" s="93">
        <f>IFERROR(s_C*s_IFLI_res_adj*s_CF_lima_bean*0.001*(s_Irr!N20+s_Irr!AM20+s_Irr!BL20),".")</f>
        <v>1777.2566470211248</v>
      </c>
      <c r="AP20" s="93">
        <f>IFERROR(s_C*s_IFOK_res_adj*s_CF_okra*0.001*(s_Irr!O20+s_Irr!AN20+s_Irr!BM20),".")</f>
        <v>1775.1529030993431</v>
      </c>
      <c r="AQ20" s="93">
        <f>IFERROR(s_C*s_IFON_res_adj*s_CF_onion*0.001*(s_Irr!P20+s_Irr!AO20+s_Irr!BN20),".")</f>
        <v>1943.4524168418652</v>
      </c>
      <c r="AR20" s="93">
        <f>IFERROR(s_C*s_IFPC_res_adj*s_CF_peach*0.001*(s_Irr!Q20+s_Irr!AP20+s_Irr!BO20),".")</f>
        <v>1775.1529030993431</v>
      </c>
      <c r="AS20" s="93">
        <f>IFERROR(s_C*s_IFPR_res_adj*s_CF_pear*0.001*(s_Irr!R20+s_Irr!AQ20+s_Irr!BP20),".")</f>
        <v>1775.1529030993431</v>
      </c>
      <c r="AT20" s="93">
        <f>IFERROR(s_C*s_IFPE_res_adj*s_CF_peas*0.001*(s_Irr!S20+s_Irr!AR20+s_Irr!BQ20),".")</f>
        <v>1777.2566470211248</v>
      </c>
      <c r="AU20" s="93">
        <f>IFERROR(s_C*s_IFPP_res_adj*s_CF_peppers*0.001*(s_Irr!T20+s_Irr!AS20+s_Irr!BR20),".")</f>
        <v>1775.1529030993431</v>
      </c>
      <c r="AV20" s="93">
        <f>IFERROR(s_C*s_IFPT_res_adj*s_CF_potato*0.001*(s_Irr!U20+s_Irr!AT20+s_Irr!BS20),".")</f>
        <v>1850.2866145915405</v>
      </c>
      <c r="AW20" s="93">
        <f>IFERROR(s_C*s_IFPU_res_adj*s_CF_pumpkin*0.001*(s_Irr!V20+s_Irr!AU20+s_Irr!BT20),".")</f>
        <v>1775.1529030993431</v>
      </c>
      <c r="AX20" s="93">
        <f>IFERROR(s_C*s_IFSN_res_adj*s_CF_snap_bean*0.001*(s_Irr!W20+s_Irr!AV20+s_Irr!BU20),".")</f>
        <v>1777.2566470211248</v>
      </c>
      <c r="AY20" s="93">
        <f>IFERROR(s_C*s_IFST_res_adj*s_CF_strawberry*0.001*(s_Irr!X20+s_Irr!AW20+s_Irr!BV20),".")</f>
        <v>1775.1529030993431</v>
      </c>
      <c r="AZ20" s="93">
        <f>IFERROR(s_C*s_IFTO_res_adj*s_CF_tomato*0.001*(s_Irr!Y20+s_Irr!AX20+s_Irr!BW20),".")</f>
        <v>1775.1529030993431</v>
      </c>
      <c r="BA20" s="93">
        <f>IFERROR(s_C*s_IFRI_res_adj*s_CF_rice*0.001*(s_Irr!Z20+s_Irr!AY20+s_Irr!BX20),".")</f>
        <v>2159.8375059393938</v>
      </c>
      <c r="BB20" s="93">
        <f>IFERROR(s_C*s_IFCG_res_adj*s_CF_cereal*0.001*(s_Irr!AA20+s_Irr!AZ20+s_Irr!BY20),".")</f>
        <v>1776.3550424832183</v>
      </c>
      <c r="BC20" s="76" t="str">
        <f t="shared" si="1"/>
        <v>.</v>
      </c>
      <c r="BD20" s="76" t="str">
        <f>IFERROR(IF(AND(s_Irr!C20&lt;&gt;".",s_Irr!AB20&lt;&gt;".",s_Irr!BA20&lt;&gt;"."),s_dir!AD20/((1/1000)*(s_Irr!C20+s_Irr!AB20+s_Irr!BA20)),IF(AND(s_Irr!C20&lt;&gt;".",s_Irr!AB20&lt;&gt;".",s_Irr!BA20="."),s_dir!AD20/((1/1000)*(s_Irr!C20+s_Irr!AB20)),IF(AND(s_Irr!C20&lt;&gt;".",s_Irr!AB20=".",s_Irr!BA20&lt;&gt;"."),s_dir!AD20/((1/1000)*(s_Irr!C20+s_Irr!BA20)),IF(AND(s_Irr!C20=".",s_Irr!AB20&lt;&gt;".",s_Irr!BA20&lt;&gt;"."),s_dir!AD20/((1/1000)*(s_Irr!AB20+s_Irr!BA20)),IF(AND(s_Irr!C20=".",s_Irr!AB20=".",s_Irr!BA20&lt;&gt;"."),s_dir!AD20/((1/1000)*(s_Irr!BA20)),IF(AND(s_Irr!C20=".",s_Irr!AB20&lt;&gt;".",s_Irr!BA20="."),s_dir!AD20/((1/1000)*(s_Irr!AB20)),IF(AND(s_Irr!C20&lt;&gt;".",s_Irr!AB20=".",s_Irr!BA20="."),s_dir!AD20/((1/1000)*(s_Irr!C20)),IF(AND(s_Irr!C20=".",s_Irr!AB20=".",s_Irr!BA20="."),s_dir!AD20*1000)))))))),".")</f>
        <v>.</v>
      </c>
      <c r="BE20" s="76" t="str">
        <f>IFERROR(IF(AND(s_Irr!D20&lt;&gt;".",s_Irr!AC20&lt;&gt;".",s_Irr!BB20&lt;&gt;"."),s_dir!AE20/((1/1000)*(s_Irr!D20+s_Irr!AC20+s_Irr!BB20)),IF(AND(s_Irr!D20&lt;&gt;".",s_Irr!AC20&lt;&gt;".",s_Irr!BB20="."),s_dir!AE20/((1/1000)*(s_Irr!D20+s_Irr!AC20)),IF(AND(s_Irr!D20&lt;&gt;".",s_Irr!AC20=".",s_Irr!BB20&lt;&gt;"."),s_dir!AE20/((1/1000)*(s_Irr!D20+s_Irr!BB20)),IF(AND(s_Irr!D20=".",s_Irr!AC20&lt;&gt;".",s_Irr!BB20&lt;&gt;"."),s_dir!AE20/((1/1000)*(s_Irr!AC20+s_Irr!BB20)),IF(AND(s_Irr!D20=".",s_Irr!AC20=".",s_Irr!BB20&lt;&gt;"."),s_dir!AE20/((1/1000)*(s_Irr!BB20)),IF(AND(s_Irr!D20=".",s_Irr!AC20&lt;&gt;".",s_Irr!BB20="."),s_dir!AE20/((1/1000)*(s_Irr!AC20)),IF(AND(s_Irr!D20&lt;&gt;".",s_Irr!AC20=".",s_Irr!BB20="."),s_dir!AE20/((1/1000)*(s_Irr!D20)),IF(AND(s_Irr!D20=".",s_Irr!AC20=".",s_Irr!BB20="."),s_dir!AE20*1000)))))))),".")</f>
        <v>.</v>
      </c>
      <c r="BF20" s="76" t="str">
        <f>IFERROR(IF(AND(s_Irr!E20&lt;&gt;".",s_Irr!AD20&lt;&gt;".",s_Irr!BC20&lt;&gt;"."),s_dir!AF20/((1/1000)*(s_Irr!E20+s_Irr!AD20+s_Irr!BC20)),IF(AND(s_Irr!E20&lt;&gt;".",s_Irr!AD20&lt;&gt;".",s_Irr!BC20="."),s_dir!AF20/((1/1000)*(s_Irr!E20+s_Irr!AD20)),IF(AND(s_Irr!E20&lt;&gt;".",s_Irr!AD20=".",s_Irr!BC20&lt;&gt;"."),s_dir!AF20/((1/1000)*(s_Irr!E20+s_Irr!BC20)),IF(AND(s_Irr!E20=".",s_Irr!AD20&lt;&gt;".",s_Irr!BC20&lt;&gt;"."),s_dir!AF20/((1/1000)*(s_Irr!AD20+s_Irr!BC20)),IF(AND(s_Irr!E20=".",s_Irr!AD20=".",s_Irr!BC20&lt;&gt;"."),s_dir!AF20/((1/1000)*(s_Irr!BC20)),IF(AND(s_Irr!E20=".",s_Irr!AD20&lt;&gt;".",s_Irr!BC20="."),s_dir!AF20/((1/1000)*(s_Irr!AD20)),IF(AND(s_Irr!E20&lt;&gt;".",s_Irr!AD20=".",s_Irr!BC20="."),s_dir!AF20/((1/1000)*(s_Irr!E20)),IF(AND(s_Irr!E20=".",s_Irr!AD20=".",s_Irr!BC20="."),s_dir!AF20*1000)))))))),".")</f>
        <v>.</v>
      </c>
      <c r="BG20" s="76" t="str">
        <f>IFERROR(IF(AND(s_Irr!F20&lt;&gt;".",s_Irr!AE20&lt;&gt;".",s_Irr!BD20&lt;&gt;"."),s_dir!AG20/((1/1000)*(s_Irr!F20+s_Irr!AE20+s_Irr!BD20)),IF(AND(s_Irr!F20&lt;&gt;".",s_Irr!AE20&lt;&gt;".",s_Irr!BD20="."),s_dir!AG20/((1/1000)*(s_Irr!F20+s_Irr!AE20)),IF(AND(s_Irr!F20&lt;&gt;".",s_Irr!AE20=".",s_Irr!BD20&lt;&gt;"."),s_dir!AG20/((1/1000)*(s_Irr!F20+s_Irr!BD20)),IF(AND(s_Irr!F20=".",s_Irr!AE20&lt;&gt;".",s_Irr!BD20&lt;&gt;"."),s_dir!AG20/((1/1000)*(s_Irr!AE20+s_Irr!BD20)),IF(AND(s_Irr!F20=".",s_Irr!AE20=".",s_Irr!BD20&lt;&gt;"."),s_dir!AG20/((1/1000)*(s_Irr!BD20)),IF(AND(s_Irr!F20=".",s_Irr!AE20&lt;&gt;".",s_Irr!BD20="."),s_dir!AG20/((1/1000)*(s_Irr!AE20)),IF(AND(s_Irr!F20&lt;&gt;".",s_Irr!AE20=".",s_Irr!BD20="."),s_dir!AG20/((1/1000)*(s_Irr!F20)),IF(AND(s_Irr!F20=".",s_Irr!AE20=".",s_Irr!BD20="."),s_dir!AG20*1000)))))))),".")</f>
        <v>.</v>
      </c>
      <c r="BH20" s="76" t="str">
        <f>IFERROR(IF(AND(s_Irr!G20&lt;&gt;".",s_Irr!AF20&lt;&gt;".",s_Irr!BE20&lt;&gt;"."),s_dir!AH20/((1/1000)*(s_Irr!G20+s_Irr!AF20+s_Irr!BE20)),IF(AND(s_Irr!G20&lt;&gt;".",s_Irr!AF20&lt;&gt;".",s_Irr!BE20="."),s_dir!AH20/((1/1000)*(s_Irr!G20+s_Irr!AF20)),IF(AND(s_Irr!G20&lt;&gt;".",s_Irr!AF20=".",s_Irr!BE20&lt;&gt;"."),s_dir!AH20/((1/1000)*(s_Irr!G20+s_Irr!BE20)),IF(AND(s_Irr!G20=".",s_Irr!AF20&lt;&gt;".",s_Irr!BE20&lt;&gt;"."),s_dir!AH20/((1/1000)*(s_Irr!AF20+s_Irr!BE20)),IF(AND(s_Irr!G20=".",s_Irr!AF20=".",s_Irr!BE20&lt;&gt;"."),s_dir!AH20/((1/1000)*(s_Irr!BE20)),IF(AND(s_Irr!G20=".",s_Irr!AF20&lt;&gt;".",s_Irr!BE20="."),s_dir!AH20/((1/1000)*(s_Irr!AF20)),IF(AND(s_Irr!G20&lt;&gt;".",s_Irr!AF20=".",s_Irr!BE20="."),s_dir!AH20/((1/1000)*(s_Irr!G20)),IF(AND(s_Irr!G20=".",s_Irr!AF20=".",s_Irr!BE20="."),s_dir!AH20*1000)))))))),".")</f>
        <v>.</v>
      </c>
      <c r="BI20" s="76" t="str">
        <f>IFERROR(IF(AND(s_Irr!H20&lt;&gt;".",s_Irr!AG20&lt;&gt;".",s_Irr!BF20&lt;&gt;"."),s_dir!AI20/((1/1000)*(s_Irr!H20+s_Irr!AG20+s_Irr!BF20)),IF(AND(s_Irr!H20&lt;&gt;".",s_Irr!AG20&lt;&gt;".",s_Irr!BF20="."),s_dir!AI20/((1/1000)*(s_Irr!H20+s_Irr!AG20)),IF(AND(s_Irr!H20&lt;&gt;".",s_Irr!AG20=".",s_Irr!BF20&lt;&gt;"."),s_dir!AI20/((1/1000)*(s_Irr!H20+s_Irr!BF20)),IF(AND(s_Irr!H20=".",s_Irr!AG20&lt;&gt;".",s_Irr!BF20&lt;&gt;"."),s_dir!AI20/((1/1000)*(s_Irr!AG20+s_Irr!BF20)),IF(AND(s_Irr!H20=".",s_Irr!AG20=".",s_Irr!BF20&lt;&gt;"."),s_dir!AI20/((1/1000)*(s_Irr!BF20)),IF(AND(s_Irr!H20=".",s_Irr!AG20&lt;&gt;".",s_Irr!BF20="."),s_dir!AI20/((1/1000)*(s_Irr!AG20)),IF(AND(s_Irr!H20&lt;&gt;".",s_Irr!AG20=".",s_Irr!BF20="."),s_dir!AI20/((1/1000)*(s_Irr!H20)),IF(AND(s_Irr!H20=".",s_Irr!AG20=".",s_Irr!BF20="."),s_dir!AI20*1000)))))))),".")</f>
        <v>.</v>
      </c>
      <c r="BJ20" s="76" t="str">
        <f>IFERROR(IF(AND(s_Irr!I20&lt;&gt;".",s_Irr!AH20&lt;&gt;".",s_Irr!BG20&lt;&gt;"."),s_dir!AJ20/((1/1000)*(s_Irr!I20+s_Irr!AH20+s_Irr!BG20)),IF(AND(s_Irr!I20&lt;&gt;".",s_Irr!AH20&lt;&gt;".",s_Irr!BG20="."),s_dir!AJ20/((1/1000)*(s_Irr!I20+s_Irr!AH20)),IF(AND(s_Irr!I20&lt;&gt;".",s_Irr!AH20=".",s_Irr!BG20&lt;&gt;"."),s_dir!AJ20/((1/1000)*(s_Irr!I20+s_Irr!BG20)),IF(AND(s_Irr!I20=".",s_Irr!AH20&lt;&gt;".",s_Irr!BG20&lt;&gt;"."),s_dir!AJ20/((1/1000)*(s_Irr!AH20+s_Irr!BG20)),IF(AND(s_Irr!I20=".",s_Irr!AH20=".",s_Irr!BG20&lt;&gt;"."),s_dir!AJ20/((1/1000)*(s_Irr!BG20)),IF(AND(s_Irr!I20=".",s_Irr!AH20&lt;&gt;".",s_Irr!BG20="."),s_dir!AJ20/((1/1000)*(s_Irr!AH20)),IF(AND(s_Irr!I20&lt;&gt;".",s_Irr!AH20=".",s_Irr!BG20="."),s_dir!AJ20/((1/1000)*(s_Irr!I20)),IF(AND(s_Irr!I20=".",s_Irr!AH20=".",s_Irr!BG20="."),s_dir!AJ20*1000)))))))),".")</f>
        <v>.</v>
      </c>
      <c r="BK20" s="76" t="str">
        <f>IFERROR(IF(AND(s_Irr!J20&lt;&gt;".",s_Irr!AI20&lt;&gt;".",s_Irr!BH20&lt;&gt;"."),s_dir!AK20/((1/1000)*(s_Irr!J20+s_Irr!AI20+s_Irr!BH20)),IF(AND(s_Irr!J20&lt;&gt;".",s_Irr!AI20&lt;&gt;".",s_Irr!BH20="."),s_dir!AK20/((1/1000)*(s_Irr!J20+s_Irr!AI20)),IF(AND(s_Irr!J20&lt;&gt;".",s_Irr!AI20=".",s_Irr!BH20&lt;&gt;"."),s_dir!AK20/((1/1000)*(s_Irr!J20+s_Irr!BH20)),IF(AND(s_Irr!J20=".",s_Irr!AI20&lt;&gt;".",s_Irr!BH20&lt;&gt;"."),s_dir!AK20/((1/1000)*(s_Irr!AI20+s_Irr!BH20)),IF(AND(s_Irr!J20=".",s_Irr!AI20=".",s_Irr!BH20&lt;&gt;"."),s_dir!AK20/((1/1000)*(s_Irr!BH20)),IF(AND(s_Irr!J20=".",s_Irr!AI20&lt;&gt;".",s_Irr!BH20="."),s_dir!AK20/((1/1000)*(s_Irr!AI20)),IF(AND(s_Irr!J20&lt;&gt;".",s_Irr!AI20=".",s_Irr!BH20="."),s_dir!AK20/((1/1000)*(s_Irr!J20)),IF(AND(s_Irr!J20=".",s_Irr!AI20=".",s_Irr!BH20="."),s_dir!AK20*1000)))))))),".")</f>
        <v>.</v>
      </c>
      <c r="BL20" s="76" t="str">
        <f>IFERROR(IF(AND(s_Irr!K20&lt;&gt;".",s_Irr!AJ20&lt;&gt;".",s_Irr!BI20&lt;&gt;"."),s_dir!AL20/((1/1000)*(s_Irr!K20+s_Irr!AJ20+s_Irr!BI20)),IF(AND(s_Irr!K20&lt;&gt;".",s_Irr!AJ20&lt;&gt;".",s_Irr!BI20="."),s_dir!AL20/((1/1000)*(s_Irr!K20+s_Irr!AJ20)),IF(AND(s_Irr!K20&lt;&gt;".",s_Irr!AJ20=".",s_Irr!BI20&lt;&gt;"."),s_dir!AL20/((1/1000)*(s_Irr!K20+s_Irr!BI20)),IF(AND(s_Irr!K20=".",s_Irr!AJ20&lt;&gt;".",s_Irr!BI20&lt;&gt;"."),s_dir!AL20/((1/1000)*(s_Irr!AJ20+s_Irr!BI20)),IF(AND(s_Irr!K20=".",s_Irr!AJ20=".",s_Irr!BI20&lt;&gt;"."),s_dir!AL20/((1/1000)*(s_Irr!BI20)),IF(AND(s_Irr!K20=".",s_Irr!AJ20&lt;&gt;".",s_Irr!BI20="."),s_dir!AL20/((1/1000)*(s_Irr!AJ20)),IF(AND(s_Irr!K20&lt;&gt;".",s_Irr!AJ20=".",s_Irr!BI20="."),s_dir!AL20/((1/1000)*(s_Irr!K20)),IF(AND(s_Irr!K20=".",s_Irr!AJ20=".",s_Irr!BI20="."),s_dir!AL20*1000)))))))),".")</f>
        <v>.</v>
      </c>
      <c r="BM20" s="76" t="str">
        <f>IFERROR(IF(AND(s_Irr!L20&lt;&gt;".",s_Irr!AK20&lt;&gt;".",s_Irr!BJ20&lt;&gt;"."),s_dir!AM20/((1/1000)*(s_Irr!L20+s_Irr!AK20+s_Irr!BJ20)),IF(AND(s_Irr!L20&lt;&gt;".",s_Irr!AK20&lt;&gt;".",s_Irr!BJ20="."),s_dir!AM20/((1/1000)*(s_Irr!L20+s_Irr!AK20)),IF(AND(s_Irr!L20&lt;&gt;".",s_Irr!AK20=".",s_Irr!BJ20&lt;&gt;"."),s_dir!AM20/((1/1000)*(s_Irr!L20+s_Irr!BJ20)),IF(AND(s_Irr!L20=".",s_Irr!AK20&lt;&gt;".",s_Irr!BJ20&lt;&gt;"."),s_dir!AM20/((1/1000)*(s_Irr!AK20+s_Irr!BJ20)),IF(AND(s_Irr!L20=".",s_Irr!AK20=".",s_Irr!BJ20&lt;&gt;"."),s_dir!AM20/((1/1000)*(s_Irr!BJ20)),IF(AND(s_Irr!L20=".",s_Irr!AK20&lt;&gt;".",s_Irr!BJ20="."),s_dir!AM20/((1/1000)*(s_Irr!AK20)),IF(AND(s_Irr!L20&lt;&gt;".",s_Irr!AK20=".",s_Irr!BJ20="."),s_dir!AM20/((1/1000)*(s_Irr!L20)),IF(AND(s_Irr!L20=".",s_Irr!AK20=".",s_Irr!BJ20="."),s_dir!AM20*1000)))))))),".")</f>
        <v>.</v>
      </c>
      <c r="BN20" s="76" t="str">
        <f>IFERROR(IF(AND(s_Irr!M20&lt;&gt;".",s_Irr!AL20&lt;&gt;".",s_Irr!BK20&lt;&gt;"."),s_dir!AN20/((1/1000)*(s_Irr!M20+s_Irr!AL20+s_Irr!BK20)),IF(AND(s_Irr!M20&lt;&gt;".",s_Irr!AL20&lt;&gt;".",s_Irr!BK20="."),s_dir!AN20/((1/1000)*(s_Irr!M20+s_Irr!AL20)),IF(AND(s_Irr!M20&lt;&gt;".",s_Irr!AL20=".",s_Irr!BK20&lt;&gt;"."),s_dir!AN20/((1/1000)*(s_Irr!M20+s_Irr!BK20)),IF(AND(s_Irr!M20=".",s_Irr!AL20&lt;&gt;".",s_Irr!BK20&lt;&gt;"."),s_dir!AN20/((1/1000)*(s_Irr!AL20+s_Irr!BK20)),IF(AND(s_Irr!M20=".",s_Irr!AL20=".",s_Irr!BK20&lt;&gt;"."),s_dir!AN20/((1/1000)*(s_Irr!BK20)),IF(AND(s_Irr!M20=".",s_Irr!AL20&lt;&gt;".",s_Irr!BK20="."),s_dir!AN20/((1/1000)*(s_Irr!AL20)),IF(AND(s_Irr!M20&lt;&gt;".",s_Irr!AL20=".",s_Irr!BK20="."),s_dir!AN20/((1/1000)*(s_Irr!M20)),IF(AND(s_Irr!M20=".",s_Irr!AL20=".",s_Irr!BK20="."),s_dir!AN20*1000)))))))),".")</f>
        <v>.</v>
      </c>
      <c r="BO20" s="76" t="str">
        <f>IFERROR(IF(AND(s_Irr!N20&lt;&gt;".",s_Irr!AM20&lt;&gt;".",s_Irr!BL20&lt;&gt;"."),s_dir!AO20/((1/1000)*(s_Irr!N20+s_Irr!AM20+s_Irr!BL20)),IF(AND(s_Irr!N20&lt;&gt;".",s_Irr!AM20&lt;&gt;".",s_Irr!BL20="."),s_dir!AO20/((1/1000)*(s_Irr!N20+s_Irr!AM20)),IF(AND(s_Irr!N20&lt;&gt;".",s_Irr!AM20=".",s_Irr!BL20&lt;&gt;"."),s_dir!AO20/((1/1000)*(s_Irr!N20+s_Irr!BL20)),IF(AND(s_Irr!N20=".",s_Irr!AM20&lt;&gt;".",s_Irr!BL20&lt;&gt;"."),s_dir!AO20/((1/1000)*(s_Irr!AM20+s_Irr!BL20)),IF(AND(s_Irr!N20=".",s_Irr!AM20=".",s_Irr!BL20&lt;&gt;"."),s_dir!AO20/((1/1000)*(s_Irr!BL20)),IF(AND(s_Irr!N20=".",s_Irr!AM20&lt;&gt;".",s_Irr!BL20="."),s_dir!AO20/((1/1000)*(s_Irr!AM20)),IF(AND(s_Irr!N20&lt;&gt;".",s_Irr!AM20=".",s_Irr!BL20="."),s_dir!AO20/((1/1000)*(s_Irr!N20)),IF(AND(s_Irr!N20=".",s_Irr!AM20=".",s_Irr!BL20="."),s_dir!AO20*1000)))))))),".")</f>
        <v>.</v>
      </c>
      <c r="BP20" s="76" t="str">
        <f>IFERROR(IF(AND(s_Irr!O20&lt;&gt;".",s_Irr!AN20&lt;&gt;".",s_Irr!BM20&lt;&gt;"."),s_dir!AP20/((1/1000)*(s_Irr!O20+s_Irr!AN20+s_Irr!BM20)),IF(AND(s_Irr!O20&lt;&gt;".",s_Irr!AN20&lt;&gt;".",s_Irr!BM20="."),s_dir!AP20/((1/1000)*(s_Irr!O20+s_Irr!AN20)),IF(AND(s_Irr!O20&lt;&gt;".",s_Irr!AN20=".",s_Irr!BM20&lt;&gt;"."),s_dir!AP20/((1/1000)*(s_Irr!O20+s_Irr!BM20)),IF(AND(s_Irr!O20=".",s_Irr!AN20&lt;&gt;".",s_Irr!BM20&lt;&gt;"."),s_dir!AP20/((1/1000)*(s_Irr!AN20+s_Irr!BM20)),IF(AND(s_Irr!O20=".",s_Irr!AN20=".",s_Irr!BM20&lt;&gt;"."),s_dir!AP20/((1/1000)*(s_Irr!BM20)),IF(AND(s_Irr!O20=".",s_Irr!AN20&lt;&gt;".",s_Irr!BM20="."),s_dir!AP20/((1/1000)*(s_Irr!AN20)),IF(AND(s_Irr!O20&lt;&gt;".",s_Irr!AN20=".",s_Irr!BM20="."),s_dir!AP20/((1/1000)*(s_Irr!O20)),IF(AND(s_Irr!O20=".",s_Irr!AN20=".",s_Irr!BM20="."),s_dir!AP20*1000)))))))),".")</f>
        <v>.</v>
      </c>
      <c r="BQ20" s="76" t="str">
        <f>IFERROR(IF(AND(s_Irr!P20&lt;&gt;".",s_Irr!AO20&lt;&gt;".",s_Irr!BN20&lt;&gt;"."),s_dir!AQ20/((1/1000)*(s_Irr!P20+s_Irr!AO20+s_Irr!BN20)),IF(AND(s_Irr!P20&lt;&gt;".",s_Irr!AO20&lt;&gt;".",s_Irr!BN20="."),s_dir!AQ20/((1/1000)*(s_Irr!P20+s_Irr!AO20)),IF(AND(s_Irr!P20&lt;&gt;".",s_Irr!AO20=".",s_Irr!BN20&lt;&gt;"."),s_dir!AQ20/((1/1000)*(s_Irr!P20+s_Irr!BN20)),IF(AND(s_Irr!P20=".",s_Irr!AO20&lt;&gt;".",s_Irr!BN20&lt;&gt;"."),s_dir!AQ20/((1/1000)*(s_Irr!AO20+s_Irr!BN20)),IF(AND(s_Irr!P20=".",s_Irr!AO20=".",s_Irr!BN20&lt;&gt;"."),s_dir!AQ20/((1/1000)*(s_Irr!BN20)),IF(AND(s_Irr!P20=".",s_Irr!AO20&lt;&gt;".",s_Irr!BN20="."),s_dir!AQ20/((1/1000)*(s_Irr!AO20)),IF(AND(s_Irr!P20&lt;&gt;".",s_Irr!AO20=".",s_Irr!BN20="."),s_dir!AQ20/((1/1000)*(s_Irr!P20)),IF(AND(s_Irr!P20=".",s_Irr!AO20=".",s_Irr!BN20="."),s_dir!AQ20*1000)))))))),".")</f>
        <v>.</v>
      </c>
      <c r="BR20" s="76" t="str">
        <f>IFERROR(IF(AND(s_Irr!Q20&lt;&gt;".",s_Irr!AP20&lt;&gt;".",s_Irr!BO20&lt;&gt;"."),s_dir!AR20/((1/1000)*(s_Irr!Q20+s_Irr!AP20+s_Irr!BO20)),IF(AND(s_Irr!Q20&lt;&gt;".",s_Irr!AP20&lt;&gt;".",s_Irr!BO20="."),s_dir!AR20/((1/1000)*(s_Irr!Q20+s_Irr!AP20)),IF(AND(s_Irr!Q20&lt;&gt;".",s_Irr!AP20=".",s_Irr!BO20&lt;&gt;"."),s_dir!AR20/((1/1000)*(s_Irr!Q20+s_Irr!BO20)),IF(AND(s_Irr!Q20=".",s_Irr!AP20&lt;&gt;".",s_Irr!BO20&lt;&gt;"."),s_dir!AR20/((1/1000)*(s_Irr!AP20+s_Irr!BO20)),IF(AND(s_Irr!Q20=".",s_Irr!AP20=".",s_Irr!BO20&lt;&gt;"."),s_dir!AR20/((1/1000)*(s_Irr!BO20)),IF(AND(s_Irr!Q20=".",s_Irr!AP20&lt;&gt;".",s_Irr!BO20="."),s_dir!AR20/((1/1000)*(s_Irr!AP20)),IF(AND(s_Irr!Q20&lt;&gt;".",s_Irr!AP20=".",s_Irr!BO20="."),s_dir!AR20/((1/1000)*(s_Irr!Q20)),IF(AND(s_Irr!Q20=".",s_Irr!AP20=".",s_Irr!BO20="."),s_dir!AR20*1000)))))))),".")</f>
        <v>.</v>
      </c>
      <c r="BS20" s="76" t="str">
        <f>IFERROR(IF(AND(s_Irr!R20&lt;&gt;".",s_Irr!AQ20&lt;&gt;".",s_Irr!BP20&lt;&gt;"."),s_dir!AS20/((1/1000)*(s_Irr!R20+s_Irr!AQ20+s_Irr!BP20)),IF(AND(s_Irr!R20&lt;&gt;".",s_Irr!AQ20&lt;&gt;".",s_Irr!BP20="."),s_dir!AS20/((1/1000)*(s_Irr!R20+s_Irr!AQ20)),IF(AND(s_Irr!R20&lt;&gt;".",s_Irr!AQ20=".",s_Irr!BP20&lt;&gt;"."),s_dir!AS20/((1/1000)*(s_Irr!R20+s_Irr!BP20)),IF(AND(s_Irr!R20=".",s_Irr!AQ20&lt;&gt;".",s_Irr!BP20&lt;&gt;"."),s_dir!AS20/((1/1000)*(s_Irr!AQ20+s_Irr!BP20)),IF(AND(s_Irr!R20=".",s_Irr!AQ20=".",s_Irr!BP20&lt;&gt;"."),s_dir!AS20/((1/1000)*(s_Irr!BP20)),IF(AND(s_Irr!R20=".",s_Irr!AQ20&lt;&gt;".",s_Irr!BP20="."),s_dir!AS20/((1/1000)*(s_Irr!AQ20)),IF(AND(s_Irr!R20&lt;&gt;".",s_Irr!AQ20=".",s_Irr!BP20="."),s_dir!AS20/((1/1000)*(s_Irr!R20)),IF(AND(s_Irr!R20=".",s_Irr!AQ20=".",s_Irr!BP20="."),s_dir!AS20*1000)))))))),".")</f>
        <v>.</v>
      </c>
      <c r="BT20" s="76" t="str">
        <f>IFERROR(IF(AND(s_Irr!S20&lt;&gt;".",s_Irr!AR20&lt;&gt;".",s_Irr!BQ20&lt;&gt;"."),s_dir!AT20/((1/1000)*(s_Irr!S20+s_Irr!AR20+s_Irr!BQ20)),IF(AND(s_Irr!S20&lt;&gt;".",s_Irr!AR20&lt;&gt;".",s_Irr!BQ20="."),s_dir!AT20/((1/1000)*(s_Irr!S20+s_Irr!AR20)),IF(AND(s_Irr!S20&lt;&gt;".",s_Irr!AR20=".",s_Irr!BQ20&lt;&gt;"."),s_dir!AT20/((1/1000)*(s_Irr!S20+s_Irr!BQ20)),IF(AND(s_Irr!S20=".",s_Irr!AR20&lt;&gt;".",s_Irr!BQ20&lt;&gt;"."),s_dir!AT20/((1/1000)*(s_Irr!AR20+s_Irr!BQ20)),IF(AND(s_Irr!S20=".",s_Irr!AR20=".",s_Irr!BQ20&lt;&gt;"."),s_dir!AT20/((1/1000)*(s_Irr!BQ20)),IF(AND(s_Irr!S20=".",s_Irr!AR20&lt;&gt;".",s_Irr!BQ20="."),s_dir!AT20/((1/1000)*(s_Irr!AR20)),IF(AND(s_Irr!S20&lt;&gt;".",s_Irr!AR20=".",s_Irr!BQ20="."),s_dir!AT20/((1/1000)*(s_Irr!S20)),IF(AND(s_Irr!S20=".",s_Irr!AR20=".",s_Irr!BQ20="."),s_dir!AT20*1000)))))))),".")</f>
        <v>.</v>
      </c>
      <c r="BU20" s="76" t="str">
        <f>IFERROR(IF(AND(s_Irr!T20&lt;&gt;".",s_Irr!AS20&lt;&gt;".",s_Irr!BR20&lt;&gt;"."),s_dir!AU20/((1/1000)*(s_Irr!T20+s_Irr!AS20+s_Irr!BR20)),IF(AND(s_Irr!T20&lt;&gt;".",s_Irr!AS20&lt;&gt;".",s_Irr!BR20="."),s_dir!AU20/((1/1000)*(s_Irr!T20+s_Irr!AS20)),IF(AND(s_Irr!T20&lt;&gt;".",s_Irr!AS20=".",s_Irr!BR20&lt;&gt;"."),s_dir!AU20/((1/1000)*(s_Irr!T20+s_Irr!BR20)),IF(AND(s_Irr!T20=".",s_Irr!AS20&lt;&gt;".",s_Irr!BR20&lt;&gt;"."),s_dir!AU20/((1/1000)*(s_Irr!AS20+s_Irr!BR20)),IF(AND(s_Irr!T20=".",s_Irr!AS20=".",s_Irr!BR20&lt;&gt;"."),s_dir!AU20/((1/1000)*(s_Irr!BR20)),IF(AND(s_Irr!T20=".",s_Irr!AS20&lt;&gt;".",s_Irr!BR20="."),s_dir!AU20/((1/1000)*(s_Irr!AS20)),IF(AND(s_Irr!T20&lt;&gt;".",s_Irr!AS20=".",s_Irr!BR20="."),s_dir!AU20/((1/1000)*(s_Irr!T20)),IF(AND(s_Irr!T20=".",s_Irr!AS20=".",s_Irr!BR20="."),s_dir!AU20*1000)))))))),".")</f>
        <v>.</v>
      </c>
      <c r="BV20" s="76" t="str">
        <f>IFERROR(IF(AND(s_Irr!U20&lt;&gt;".",s_Irr!AT20&lt;&gt;".",s_Irr!BS20&lt;&gt;"."),s_dir!AV20/((1/1000)*(s_Irr!U20+s_Irr!AT20+s_Irr!BS20)),IF(AND(s_Irr!U20&lt;&gt;".",s_Irr!AT20&lt;&gt;".",s_Irr!BS20="."),s_dir!AV20/((1/1000)*(s_Irr!U20+s_Irr!AT20)),IF(AND(s_Irr!U20&lt;&gt;".",s_Irr!AT20=".",s_Irr!BS20&lt;&gt;"."),s_dir!AV20/((1/1000)*(s_Irr!U20+s_Irr!BS20)),IF(AND(s_Irr!U20=".",s_Irr!AT20&lt;&gt;".",s_Irr!BS20&lt;&gt;"."),s_dir!AV20/((1/1000)*(s_Irr!AT20+s_Irr!BS20)),IF(AND(s_Irr!U20=".",s_Irr!AT20=".",s_Irr!BS20&lt;&gt;"."),s_dir!AV20/((1/1000)*(s_Irr!BS20)),IF(AND(s_Irr!U20=".",s_Irr!AT20&lt;&gt;".",s_Irr!BS20="."),s_dir!AV20/((1/1000)*(s_Irr!AT20)),IF(AND(s_Irr!U20&lt;&gt;".",s_Irr!AT20=".",s_Irr!BS20="."),s_dir!AV20/((1/1000)*(s_Irr!U20)),IF(AND(s_Irr!U20=".",s_Irr!AT20=".",s_Irr!BS20="."),s_dir!AV20*1000)))))))),".")</f>
        <v>.</v>
      </c>
      <c r="BW20" s="76" t="str">
        <f>IFERROR(IF(AND(s_Irr!V20&lt;&gt;".",s_Irr!AU20&lt;&gt;".",s_Irr!BT20&lt;&gt;"."),s_dir!AW20/((1/1000)*(s_Irr!V20+s_Irr!AU20+s_Irr!BT20)),IF(AND(s_Irr!V20&lt;&gt;".",s_Irr!AU20&lt;&gt;".",s_Irr!BT20="."),s_dir!AW20/((1/1000)*(s_Irr!V20+s_Irr!AU20)),IF(AND(s_Irr!V20&lt;&gt;".",s_Irr!AU20=".",s_Irr!BT20&lt;&gt;"."),s_dir!AW20/((1/1000)*(s_Irr!V20+s_Irr!BT20)),IF(AND(s_Irr!V20=".",s_Irr!AU20&lt;&gt;".",s_Irr!BT20&lt;&gt;"."),s_dir!AW20/((1/1000)*(s_Irr!AU20+s_Irr!BT20)),IF(AND(s_Irr!V20=".",s_Irr!AU20=".",s_Irr!BT20&lt;&gt;"."),s_dir!AW20/((1/1000)*(s_Irr!BT20)),IF(AND(s_Irr!V20=".",s_Irr!AU20&lt;&gt;".",s_Irr!BT20="."),s_dir!AW20/((1/1000)*(s_Irr!AU20)),IF(AND(s_Irr!V20&lt;&gt;".",s_Irr!AU20=".",s_Irr!BT20="."),s_dir!AW20/((1/1000)*(s_Irr!V20)),IF(AND(s_Irr!V20=".",s_Irr!AU20=".",s_Irr!BT20="."),s_dir!AW20*1000)))))))),".")</f>
        <v>.</v>
      </c>
      <c r="BX20" s="76" t="str">
        <f>IFERROR(IF(AND(s_Irr!W20&lt;&gt;".",s_Irr!AV20&lt;&gt;".",s_Irr!BU20&lt;&gt;"."),s_dir!AX20/((1/1000)*(s_Irr!W20+s_Irr!AV20+s_Irr!BU20)),IF(AND(s_Irr!W20&lt;&gt;".",s_Irr!AV20&lt;&gt;".",s_Irr!BU20="."),s_dir!AX20/((1/1000)*(s_Irr!W20+s_Irr!AV20)),IF(AND(s_Irr!W20&lt;&gt;".",s_Irr!AV20=".",s_Irr!BU20&lt;&gt;"."),s_dir!AX20/((1/1000)*(s_Irr!W20+s_Irr!BU20)),IF(AND(s_Irr!W20=".",s_Irr!AV20&lt;&gt;".",s_Irr!BU20&lt;&gt;"."),s_dir!AX20/((1/1000)*(s_Irr!AV20+s_Irr!BU20)),IF(AND(s_Irr!W20=".",s_Irr!AV20=".",s_Irr!BU20&lt;&gt;"."),s_dir!AX20/((1/1000)*(s_Irr!BU20)),IF(AND(s_Irr!W20=".",s_Irr!AV20&lt;&gt;".",s_Irr!BU20="."),s_dir!AX20/((1/1000)*(s_Irr!AV20)),IF(AND(s_Irr!W20&lt;&gt;".",s_Irr!AV20=".",s_Irr!BU20="."),s_dir!AX20/((1/1000)*(s_Irr!W20)),IF(AND(s_Irr!W20=".",s_Irr!AV20=".",s_Irr!BU20="."),s_dir!AX20*1000)))))))),".")</f>
        <v>.</v>
      </c>
      <c r="BY20" s="76" t="str">
        <f>IFERROR(IF(AND(s_Irr!X20&lt;&gt;".",s_Irr!AW20&lt;&gt;".",s_Irr!BV20&lt;&gt;"."),s_dir!AY20/((1/1000)*(s_Irr!X20+s_Irr!AW20+s_Irr!BV20)),IF(AND(s_Irr!X20&lt;&gt;".",s_Irr!AW20&lt;&gt;".",s_Irr!BV20="."),s_dir!AY20/((1/1000)*(s_Irr!X20+s_Irr!AW20)),IF(AND(s_Irr!X20&lt;&gt;".",s_Irr!AW20=".",s_Irr!BV20&lt;&gt;"."),s_dir!AY20/((1/1000)*(s_Irr!X20+s_Irr!BV20)),IF(AND(s_Irr!X20=".",s_Irr!AW20&lt;&gt;".",s_Irr!BV20&lt;&gt;"."),s_dir!AY20/((1/1000)*(s_Irr!AW20+s_Irr!BV20)),IF(AND(s_Irr!X20=".",s_Irr!AW20=".",s_Irr!BV20&lt;&gt;"."),s_dir!AY20/((1/1000)*(s_Irr!BV20)),IF(AND(s_Irr!X20=".",s_Irr!AW20&lt;&gt;".",s_Irr!BV20="."),s_dir!AY20/((1/1000)*(s_Irr!AW20)),IF(AND(s_Irr!X20&lt;&gt;".",s_Irr!AW20=".",s_Irr!BV20="."),s_dir!AY20/((1/1000)*(s_Irr!X20)),IF(AND(s_Irr!X20=".",s_Irr!AW20=".",s_Irr!BV20="."),s_dir!AY20*1000)))))))),".")</f>
        <v>.</v>
      </c>
      <c r="BZ20" s="76" t="str">
        <f>IFERROR(IF(AND(s_Irr!Y20&lt;&gt;".",s_Irr!AX20&lt;&gt;".",s_Irr!BW20&lt;&gt;"."),s_dir!AZ20/((1/1000)*(s_Irr!Y20+s_Irr!AX20+s_Irr!BW20)),IF(AND(s_Irr!Y20&lt;&gt;".",s_Irr!AX20&lt;&gt;".",s_Irr!BW20="."),s_dir!AZ20/((1/1000)*(s_Irr!Y20+s_Irr!AX20)),IF(AND(s_Irr!Y20&lt;&gt;".",s_Irr!AX20=".",s_Irr!BW20&lt;&gt;"."),s_dir!AZ20/((1/1000)*(s_Irr!Y20+s_Irr!BW20)),IF(AND(s_Irr!Y20=".",s_Irr!AX20&lt;&gt;".",s_Irr!BW20&lt;&gt;"."),s_dir!AZ20/((1/1000)*(s_Irr!AX20+s_Irr!BW20)),IF(AND(s_Irr!Y20=".",s_Irr!AX20=".",s_Irr!BW20&lt;&gt;"."),s_dir!AZ20/((1/1000)*(s_Irr!BW20)),IF(AND(s_Irr!Y20=".",s_Irr!AX20&lt;&gt;".",s_Irr!BW20="."),s_dir!AZ20/((1/1000)*(s_Irr!AX20)),IF(AND(s_Irr!Y20&lt;&gt;".",s_Irr!AX20=".",s_Irr!BW20="."),s_dir!AZ20/((1/1000)*(s_Irr!Y20)),IF(AND(s_Irr!Y20=".",s_Irr!AX20=".",s_Irr!BW20="."),s_dir!AZ20*1000)))))))),".")</f>
        <v>.</v>
      </c>
      <c r="CA20" s="76" t="str">
        <f>IFERROR(IF(AND(s_Irr!Z20&lt;&gt;".",s_Irr!AY20&lt;&gt;".",s_Irr!BX20&lt;&gt;"."),s_dir!BA20/((1/1000)*(s_Irr!Z20+s_Irr!AY20+s_Irr!BX20)),IF(AND(s_Irr!Z20&lt;&gt;".",s_Irr!AY20&lt;&gt;".",s_Irr!BX20="."),s_dir!BA20/((1/1000)*(s_Irr!Z20+s_Irr!AY20)),IF(AND(s_Irr!Z20&lt;&gt;".",s_Irr!AY20=".",s_Irr!BX20&lt;&gt;"."),s_dir!BA20/((1/1000)*(s_Irr!Z20+s_Irr!BX20)),IF(AND(s_Irr!Z20=".",s_Irr!AY20&lt;&gt;".",s_Irr!BX20&lt;&gt;"."),s_dir!BA20/((1/1000)*(s_Irr!AY20+s_Irr!BX20)),IF(AND(s_Irr!Z20=".",s_Irr!AY20=".",s_Irr!BX20&lt;&gt;"."),s_dir!BA20/((1/1000)*(s_Irr!BX20)),IF(AND(s_Irr!Z20=".",s_Irr!AY20&lt;&gt;".",s_Irr!BX20="."),s_dir!BA20/((1/1000)*(s_Irr!AY20)),IF(AND(s_Irr!Z20&lt;&gt;".",s_Irr!AY20=".",s_Irr!BX20="."),s_dir!BA20/((1/1000)*(s_Irr!Z20)),IF(AND(s_Irr!Z20=".",s_Irr!AY20=".",s_Irr!BX20="."),s_dir!BA20*1000)))))))),".")</f>
        <v>.</v>
      </c>
      <c r="CB20" s="76" t="str">
        <f>IFERROR(IF(AND(s_Irr!AA20&lt;&gt;".",s_Irr!AZ20&lt;&gt;".",s_Irr!BY20&lt;&gt;"."),s_dir!BB20/((1/1000)*(s_Irr!AA20+s_Irr!AZ20+s_Irr!BY20)),IF(AND(s_Irr!AA20&lt;&gt;".",s_Irr!AZ20&lt;&gt;".",s_Irr!BY20="."),s_dir!BB20/((1/1000)*(s_Irr!AA20+s_Irr!AZ20)),IF(AND(s_Irr!AA20&lt;&gt;".",s_Irr!AZ20=".",s_Irr!BY20&lt;&gt;"."),s_dir!BB20/((1/1000)*(s_Irr!AA20+s_Irr!BY20)),IF(AND(s_Irr!AA20=".",s_Irr!AZ20&lt;&gt;".",s_Irr!BY20&lt;&gt;"."),s_dir!BB20/((1/1000)*(s_Irr!AZ20+s_Irr!BY20)),IF(AND(s_Irr!AA20=".",s_Irr!AZ20=".",s_Irr!BY20&lt;&gt;"."),s_dir!BB20/((1/1000)*(s_Irr!BY20)),IF(AND(s_Irr!AA20=".",s_Irr!AZ20&lt;&gt;".",s_Irr!BY20="."),s_dir!BB20/((1/1000)*(s_Irr!AZ20)),IF(AND(s_Irr!AA20&lt;&gt;".",s_Irr!AZ20=".",s_Irr!BY20="."),s_dir!BB20/((1/1000)*(s_Irr!AA20)),IF(AND(s_Irr!AA20=".",s_Irr!AZ20=".",s_Irr!BY20="."),s_dir!BB20*1000)))))))),".")</f>
        <v>.</v>
      </c>
      <c r="CC20" s="93">
        <f t="shared" si="2"/>
        <v>7486.4983546212979</v>
      </c>
      <c r="CD20" s="93">
        <f>IFERROR(s_C*s_IFAP_far_adj*s_CF_apple*(1/1000)*(s_Irr!C20+s_Irr!AB20+s_Irr!BA20),".")</f>
        <v>1775.1529030993431</v>
      </c>
      <c r="CE20" s="93">
        <f>IFERROR(s_C*s_IFAS_far_adj*s_CF_asparagus*(1/1000)*(s_Irr!D20+s_Irr!AC20+s_Irr!BB20),".")</f>
        <v>1991.5379921968718</v>
      </c>
      <c r="CF20" s="93">
        <f>IFERROR(s_C*s_IFBT_far_adj*s_CF_beet*(1/1000)*(s_Irr!E20+s_Irr!AD20+s_Irr!BC20),".")</f>
        <v>1943.4524168418652</v>
      </c>
      <c r="CG20" s="93">
        <f>IFERROR(s_C*s_IFBE_far_adj*s_CF_berries*(1/1000)*(s_Irr!F20+s_Irr!AE20+s_Irr!BD20),".")</f>
        <v>1775.1529030993431</v>
      </c>
      <c r="CH20" s="93">
        <f>IFERROR(s_C*s_IFBR_far_adj*s_CF_broccoli*(1/1000)*(s_Irr!G20+s_Irr!AF20+s_Irr!BE20),".")</f>
        <v>1775.1529030993431</v>
      </c>
      <c r="CI20" s="93">
        <f>IFERROR(s_C*s_IFCB_far_adj*s_CF_cabbage*(1/1000)*(s_Irr!H20+s_Irr!AG20+s_Irr!BF20),".")</f>
        <v>1991.5379921968718</v>
      </c>
      <c r="CJ20" s="93">
        <f>IFERROR(s_C*s_IFCR_far_adj*s_CF_carrot*(1/1000)*(s_Irr!I20+s_Irr!AH20+s_Irr!BG20),".")</f>
        <v>1943.4524168418652</v>
      </c>
      <c r="CK20" s="93">
        <f>IFERROR(s_C*s_IFCI_far_adj*s_CF_citrus*(1/1000)*(s_Irr!J20+s_Irr!AI20+s_Irr!BH20),".")</f>
        <v>1775.1529030993431</v>
      </c>
      <c r="CL20" s="93">
        <f>IFERROR(s_C*s_IFCO_far_adj*s_CF_corn*(1/1000)*(s_Irr!K20+s_Irr!AJ20+s_Irr!BI20),".")</f>
        <v>1776.3550424832183</v>
      </c>
      <c r="CM20" s="93">
        <f>IFERROR(s_C*s_IFCU_far_adj*s_CF_cucumber*(1/1000)*(s_Irr!L20+s_Irr!AK20+s_Irr!BJ20),".")</f>
        <v>1775.1529030993431</v>
      </c>
      <c r="CN20" s="93">
        <f>IFERROR(s_C*s_IFLE_far_adj*s_CF_lettuce*(1/1000)*(s_Irr!M20+s_Irr!AL20+s_Irr!BK20),".")</f>
        <v>1991.5379921968718</v>
      </c>
      <c r="CO20" s="93">
        <f>IFERROR(s_C*s_IFLI_far_adj*s_CF_lima_bean*(1/1000)*(s_Irr!N20+s_Irr!AM20+s_Irr!BL20),".")</f>
        <v>1777.2566470211248</v>
      </c>
      <c r="CP20" s="93">
        <f>IFERROR(s_C*s_IFOK_far_adj*s_CF_okra*(1/1000)*(s_Irr!O20+s_Irr!AN20+s_Irr!BM20),".")</f>
        <v>1775.1529030993431</v>
      </c>
      <c r="CQ20" s="93">
        <f>IFERROR(s_C*s_IFON_far_adj*s_CF_onion*(1/1000)*(s_Irr!P20+s_Irr!AO20+s_Irr!BN20),".")</f>
        <v>1943.4524168418652</v>
      </c>
      <c r="CR20" s="93">
        <f>IFERROR(s_C*s_IFPC_far_adj*s_CF_peach*(1/1000)*(s_Irr!Q20+s_Irr!AP20+s_Irr!BO20),".")</f>
        <v>1775.1529030993431</v>
      </c>
      <c r="CS20" s="93">
        <f>IFERROR(s_C*s_IFPR_far_adj*s_CF_pear*(1/1000)*(s_Irr!R20+s_Irr!AQ20+s_Irr!BP20),".")</f>
        <v>1775.1529030993431</v>
      </c>
      <c r="CT20" s="93">
        <f>IFERROR(s_C*s_IFPE_far_adj*s_CF_peas*(1/1000)*(s_Irr!S20+s_Irr!AR20+s_Irr!BQ20),".")</f>
        <v>1777.2566470211248</v>
      </c>
      <c r="CU20" s="93">
        <f>IFERROR(s_C*s_IFPP_far_adj*s_CF_peppers*(1/1000)*(s_Irr!T20+s_Irr!AS20+s_Irr!BR20),".")</f>
        <v>1775.1529030993431</v>
      </c>
      <c r="CV20" s="93">
        <f>IFERROR(s_C*s_IFPT_far_adj*s_CF_potato*(1/1000)*(s_Irr!U20+s_Irr!AT20+s_Irr!BS20),".")</f>
        <v>1850.2866145915405</v>
      </c>
      <c r="CW20" s="93">
        <f>IFERROR(s_C*s_IFPU_far_adj*s_CF_pumpkin*(1/1000)*(s_Irr!V20+s_Irr!AU20+s_Irr!BT20),".")</f>
        <v>1775.1529030993431</v>
      </c>
      <c r="CX20" s="93">
        <f>IFERROR(s_C*s_IFSN_far_adj*s_CF_snap_bean*(1/1000)*(s_Irr!W20+s_Irr!AV20+s_Irr!BU20),".")</f>
        <v>1777.2566470211248</v>
      </c>
      <c r="CY20" s="93">
        <f>IFERROR(s_C*s_IFST_far_adj*s_CF_strawberry*(1/1000)*(s_Irr!X20+s_Irr!AW20+s_Irr!BV20),".")</f>
        <v>1775.1529030993431</v>
      </c>
      <c r="CZ20" s="93">
        <f>IFERROR(s_C*s_IFTO_far_adj*s_CF_tomato*(1/1000)*(s_Irr!Y20+s_Irr!AX20+s_Irr!BW20),".")</f>
        <v>1775.1529030993431</v>
      </c>
      <c r="DA20" s="93">
        <f>IFERROR(s_C*s_IFRI_far_adj*s_CF_rice*(1/1000)*(s_Irr!Z20+s_Irr!AY20+s_Irr!BX20),".")</f>
        <v>2159.8375059393938</v>
      </c>
      <c r="DB20" s="93">
        <f>IFERROR(s_C*s_IFCG_far_adj*s_CF_cereal*(1/1000)*(s_Irr!AA20+s_Irr!AZ20+s_Irr!BY20),".")</f>
        <v>1776.3550424832183</v>
      </c>
    </row>
    <row r="21" spans="1:106" ht="15" customHeight="1" x14ac:dyDescent="0.25">
      <c r="A21" s="92" t="s">
        <v>31</v>
      </c>
      <c r="B21" s="90" t="s">
        <v>1071</v>
      </c>
      <c r="C21" s="15" t="str">
        <f t="shared" si="3"/>
        <v>.</v>
      </c>
      <c r="D21" s="76" t="str">
        <f>IFERROR(IF(AND(s_Irr!C21&lt;&gt;".",s_Irr!AB21&lt;&gt;".",s_Irr!BA21&lt;&gt;"."),s_dir!D21/((1/1000)*(s_Irr!C21+s_Irr!AB21+s_Irr!BA21)),IF(AND(s_Irr!C21&lt;&gt;".",s_Irr!AB21&lt;&gt;".",s_Irr!BA21="."),s_dir!D21/((1/1000)*(s_Irr!C21+s_Irr!AB21)),IF(AND(s_Irr!C21&lt;&gt;".",s_Irr!AB21=".",s_Irr!BA21&lt;&gt;"."),s_dir!D21/((1/1000)*(s_Irr!C21+s_Irr!BA21)),IF(AND(s_Irr!C21=".",s_Irr!AB21&lt;&gt;".",s_Irr!BA21&lt;&gt;"."),s_dir!D21/((1/1000)*(s_Irr!AB21+s_Irr!BA21)),IF(AND(s_Irr!C21=".",s_Irr!AB21=".",s_Irr!BA21&lt;&gt;"."),s_dir!D21/((1/1000)*(s_Irr!BA21)),IF(AND(s_Irr!C21=".",s_Irr!AB21&lt;&gt;".",s_Irr!BA21="."),s_dir!D21/((1/1000)*(s_Irr!AB21)),IF(AND(s_Irr!C21&lt;&gt;".",s_Irr!AB21=".",s_Irr!BA21="."),s_dir!D21/((1/1000)*(s_Irr!C21)),IF(AND(s_Irr!C21=".",s_Irr!AB21=".",s_Irr!BA21="."),s_dir!D21*1000)))))))),".")</f>
        <v>.</v>
      </c>
      <c r="E21" s="76" t="str">
        <f>IFERROR(IF(AND(s_Irr!D21&lt;&gt;".",s_Irr!AC21&lt;&gt;".",s_Irr!BB21&lt;&gt;"."),s_dir!E21/((1/1000)*(s_Irr!D21+s_Irr!AC21+s_Irr!BB21)),IF(AND(s_Irr!D21&lt;&gt;".",s_Irr!AC21&lt;&gt;".",s_Irr!BB21="."),s_dir!E21/((1/1000)*(s_Irr!D21+s_Irr!AC21)),IF(AND(s_Irr!D21&lt;&gt;".",s_Irr!AC21=".",s_Irr!BB21&lt;&gt;"."),s_dir!E21/((1/1000)*(s_Irr!D21+s_Irr!BB21)),IF(AND(s_Irr!D21=".",s_Irr!AC21&lt;&gt;".",s_Irr!BB21&lt;&gt;"."),s_dir!E21/((1/1000)*(s_Irr!AC21+s_Irr!BB21)),IF(AND(s_Irr!D21=".",s_Irr!AC21=".",s_Irr!BB21&lt;&gt;"."),s_dir!E21/((1/1000)*(s_Irr!BB21)),IF(AND(s_Irr!D21=".",s_Irr!AC21&lt;&gt;".",s_Irr!BB21="."),s_dir!E21/((1/1000)*(s_Irr!AC21)),IF(AND(s_Irr!D21&lt;&gt;".",s_Irr!AC21=".",s_Irr!BB21="."),s_dir!E21/((1/1000)*(s_Irr!D21)),IF(AND(s_Irr!D21=".",s_Irr!AC21=".",s_Irr!BB21="."),s_dir!E21*1000)))))))),".")</f>
        <v>.</v>
      </c>
      <c r="F21" s="76" t="str">
        <f>IFERROR(IF(AND(s_Irr!E21&lt;&gt;".",s_Irr!AD21&lt;&gt;".",s_Irr!BC21&lt;&gt;"."),s_dir!F21/((1/1000)*(s_Irr!E21+s_Irr!AD21+s_Irr!BC21)),IF(AND(s_Irr!E21&lt;&gt;".",s_Irr!AD21&lt;&gt;".",s_Irr!BC21="."),s_dir!F21/((1/1000)*(s_Irr!E21+s_Irr!AD21)),IF(AND(s_Irr!E21&lt;&gt;".",s_Irr!AD21=".",s_Irr!BC21&lt;&gt;"."),s_dir!F21/((1/1000)*(s_Irr!E21+s_Irr!BC21)),IF(AND(s_Irr!E21=".",s_Irr!AD21&lt;&gt;".",s_Irr!BC21&lt;&gt;"."),s_dir!F21/((1/1000)*(s_Irr!AD21+s_Irr!BC21)),IF(AND(s_Irr!E21=".",s_Irr!AD21=".",s_Irr!BC21&lt;&gt;"."),s_dir!F21/((1/1000)*(s_Irr!BC21)),IF(AND(s_Irr!E21=".",s_Irr!AD21&lt;&gt;".",s_Irr!BC21="."),s_dir!F21/((1/1000)*(s_Irr!AD21)),IF(AND(s_Irr!E21&lt;&gt;".",s_Irr!AD21=".",s_Irr!BC21="."),s_dir!F21/((1/1000)*(s_Irr!E21)),IF(AND(s_Irr!E21=".",s_Irr!AD21=".",s_Irr!BC21="."),s_dir!F21*1000)))))))),".")</f>
        <v>.</v>
      </c>
      <c r="G21" s="76" t="str">
        <f>IFERROR(IF(AND(s_Irr!F21&lt;&gt;".",s_Irr!AE21&lt;&gt;".",s_Irr!BD21&lt;&gt;"."),s_dir!G21/((1/1000)*(s_Irr!F21+s_Irr!AE21+s_Irr!BD21)),IF(AND(s_Irr!F21&lt;&gt;".",s_Irr!AE21&lt;&gt;".",s_Irr!BD21="."),s_dir!G21/((1/1000)*(s_Irr!F21+s_Irr!AE21)),IF(AND(s_Irr!F21&lt;&gt;".",s_Irr!AE21=".",s_Irr!BD21&lt;&gt;"."),s_dir!G21/((1/1000)*(s_Irr!F21+s_Irr!BD21)),IF(AND(s_Irr!F21=".",s_Irr!AE21&lt;&gt;".",s_Irr!BD21&lt;&gt;"."),s_dir!G21/((1/1000)*(s_Irr!AE21+s_Irr!BD21)),IF(AND(s_Irr!F21=".",s_Irr!AE21=".",s_Irr!BD21&lt;&gt;"."),s_dir!G21/((1/1000)*(s_Irr!BD21)),IF(AND(s_Irr!F21=".",s_Irr!AE21&lt;&gt;".",s_Irr!BD21="."),s_dir!G21/((1/1000)*(s_Irr!AE21)),IF(AND(s_Irr!F21&lt;&gt;".",s_Irr!AE21=".",s_Irr!BD21="."),s_dir!G21/((1/1000)*(s_Irr!F21)),IF(AND(s_Irr!F21=".",s_Irr!AE21=".",s_Irr!BD21="."),s_dir!G21*1000)))))))),".")</f>
        <v>.</v>
      </c>
      <c r="H21" s="76" t="str">
        <f>IFERROR(IF(AND(s_Irr!G21&lt;&gt;".",s_Irr!AF21&lt;&gt;".",s_Irr!BE21&lt;&gt;"."),s_dir!H21/((1/1000)*(s_Irr!G21+s_Irr!AF21+s_Irr!BE21)),IF(AND(s_Irr!G21&lt;&gt;".",s_Irr!AF21&lt;&gt;".",s_Irr!BE21="."),s_dir!H21/((1/1000)*(s_Irr!G21+s_Irr!AF21)),IF(AND(s_Irr!G21&lt;&gt;".",s_Irr!AF21=".",s_Irr!BE21&lt;&gt;"."),s_dir!H21/((1/1000)*(s_Irr!G21+s_Irr!BE21)),IF(AND(s_Irr!G21=".",s_Irr!AF21&lt;&gt;".",s_Irr!BE21&lt;&gt;"."),s_dir!H21/((1/1000)*(s_Irr!AF21+s_Irr!BE21)),IF(AND(s_Irr!G21=".",s_Irr!AF21=".",s_Irr!BE21&lt;&gt;"."),s_dir!H21/((1/1000)*(s_Irr!BE21)),IF(AND(s_Irr!G21=".",s_Irr!AF21&lt;&gt;".",s_Irr!BE21="."),s_dir!H21/((1/1000)*(s_Irr!AF21)),IF(AND(s_Irr!G21&lt;&gt;".",s_Irr!AF21=".",s_Irr!BE21="."),s_dir!H21/((1/1000)*(s_Irr!G21)),IF(AND(s_Irr!G21=".",s_Irr!AF21=".",s_Irr!BE21="."),s_dir!H21*1000)))))))),".")</f>
        <v>.</v>
      </c>
      <c r="I21" s="76" t="str">
        <f>IFERROR(IF(AND(s_Irr!H21&lt;&gt;".",s_Irr!AG21&lt;&gt;".",s_Irr!BF21&lt;&gt;"."),s_dir!I21/((1/1000)*(s_Irr!H21+s_Irr!AG21+s_Irr!BF21)),IF(AND(s_Irr!H21&lt;&gt;".",s_Irr!AG21&lt;&gt;".",s_Irr!BF21="."),s_dir!I21/((1/1000)*(s_Irr!H21+s_Irr!AG21)),IF(AND(s_Irr!H21&lt;&gt;".",s_Irr!AG21=".",s_Irr!BF21&lt;&gt;"."),s_dir!I21/((1/1000)*(s_Irr!H21+s_Irr!BF21)),IF(AND(s_Irr!H21=".",s_Irr!AG21&lt;&gt;".",s_Irr!BF21&lt;&gt;"."),s_dir!I21/((1/1000)*(s_Irr!AG21+s_Irr!BF21)),IF(AND(s_Irr!H21=".",s_Irr!AG21=".",s_Irr!BF21&lt;&gt;"."),s_dir!I21/((1/1000)*(s_Irr!BF21)),IF(AND(s_Irr!H21=".",s_Irr!AG21&lt;&gt;".",s_Irr!BF21="."),s_dir!I21/((1/1000)*(s_Irr!AG21)),IF(AND(s_Irr!H21&lt;&gt;".",s_Irr!AG21=".",s_Irr!BF21="."),s_dir!I21/((1/1000)*(s_Irr!H21)),IF(AND(s_Irr!H21=".",s_Irr!AG21=".",s_Irr!BF21="."),s_dir!I21*1000)))))))),".")</f>
        <v>.</v>
      </c>
      <c r="J21" s="76" t="str">
        <f>IFERROR(IF(AND(s_Irr!I21&lt;&gt;".",s_Irr!AH21&lt;&gt;".",s_Irr!BG21&lt;&gt;"."),s_dir!J21/((1/1000)*(s_Irr!I21+s_Irr!AH21+s_Irr!BG21)),IF(AND(s_Irr!I21&lt;&gt;".",s_Irr!AH21&lt;&gt;".",s_Irr!BG21="."),s_dir!J21/((1/1000)*(s_Irr!I21+s_Irr!AH21)),IF(AND(s_Irr!I21&lt;&gt;".",s_Irr!AH21=".",s_Irr!BG21&lt;&gt;"."),s_dir!J21/((1/1000)*(s_Irr!I21+s_Irr!BG21)),IF(AND(s_Irr!I21=".",s_Irr!AH21&lt;&gt;".",s_Irr!BG21&lt;&gt;"."),s_dir!J21/((1/1000)*(s_Irr!AH21+s_Irr!BG21)),IF(AND(s_Irr!I21=".",s_Irr!AH21=".",s_Irr!BG21&lt;&gt;"."),s_dir!J21/((1/1000)*(s_Irr!BG21)),IF(AND(s_Irr!I21=".",s_Irr!AH21&lt;&gt;".",s_Irr!BG21="."),s_dir!J21/((1/1000)*(s_Irr!AH21)),IF(AND(s_Irr!I21&lt;&gt;".",s_Irr!AH21=".",s_Irr!BG21="."),s_dir!J21/((1/1000)*(s_Irr!I21)),IF(AND(s_Irr!I21=".",s_Irr!AH21=".",s_Irr!BG21="."),s_dir!J21*1000)))))))),".")</f>
        <v>.</v>
      </c>
      <c r="K21" s="76" t="str">
        <f>IFERROR(IF(AND(s_Irr!J21&lt;&gt;".",s_Irr!AI21&lt;&gt;".",s_Irr!BH21&lt;&gt;"."),s_dir!K21/((1/1000)*(s_Irr!J21+s_Irr!AI21+s_Irr!BH21)),IF(AND(s_Irr!J21&lt;&gt;".",s_Irr!AI21&lt;&gt;".",s_Irr!BH21="."),s_dir!K21/((1/1000)*(s_Irr!J21+s_Irr!AI21)),IF(AND(s_Irr!J21&lt;&gt;".",s_Irr!AI21=".",s_Irr!BH21&lt;&gt;"."),s_dir!K21/((1/1000)*(s_Irr!J21+s_Irr!BH21)),IF(AND(s_Irr!J21=".",s_Irr!AI21&lt;&gt;".",s_Irr!BH21&lt;&gt;"."),s_dir!K21/((1/1000)*(s_Irr!AI21+s_Irr!BH21)),IF(AND(s_Irr!J21=".",s_Irr!AI21=".",s_Irr!BH21&lt;&gt;"."),s_dir!K21/((1/1000)*(s_Irr!BH21)),IF(AND(s_Irr!J21=".",s_Irr!AI21&lt;&gt;".",s_Irr!BH21="."),s_dir!K21/((1/1000)*(s_Irr!AI21)),IF(AND(s_Irr!J21&lt;&gt;".",s_Irr!AI21=".",s_Irr!BH21="."),s_dir!K21/((1/1000)*(s_Irr!J21)),IF(AND(s_Irr!J21=".",s_Irr!AI21=".",s_Irr!BH21="."),s_dir!K21*1000)))))))),".")</f>
        <v>.</v>
      </c>
      <c r="L21" s="76" t="str">
        <f>IFERROR(IF(AND(s_Irr!K21&lt;&gt;".",s_Irr!AJ21&lt;&gt;".",s_Irr!BI21&lt;&gt;"."),s_dir!L21/((1/1000)*(s_Irr!K21+s_Irr!AJ21+s_Irr!BI21)),IF(AND(s_Irr!K21&lt;&gt;".",s_Irr!AJ21&lt;&gt;".",s_Irr!BI21="."),s_dir!L21/((1/1000)*(s_Irr!K21+s_Irr!AJ21)),IF(AND(s_Irr!K21&lt;&gt;".",s_Irr!AJ21=".",s_Irr!BI21&lt;&gt;"."),s_dir!L21/((1/1000)*(s_Irr!K21+s_Irr!BI21)),IF(AND(s_Irr!K21=".",s_Irr!AJ21&lt;&gt;".",s_Irr!BI21&lt;&gt;"."),s_dir!L21/((1/1000)*(s_Irr!AJ21+s_Irr!BI21)),IF(AND(s_Irr!K21=".",s_Irr!AJ21=".",s_Irr!BI21&lt;&gt;"."),s_dir!L21/((1/1000)*(s_Irr!BI21)),IF(AND(s_Irr!K21=".",s_Irr!AJ21&lt;&gt;".",s_Irr!BI21="."),s_dir!L21/((1/1000)*(s_Irr!AJ21)),IF(AND(s_Irr!K21&lt;&gt;".",s_Irr!AJ21=".",s_Irr!BI21="."),s_dir!L21/((1/1000)*(s_Irr!K21)),IF(AND(s_Irr!K21=".",s_Irr!AJ21=".",s_Irr!BI21="."),s_dir!L21*1000)))))))),".")</f>
        <v>.</v>
      </c>
      <c r="M21" s="76" t="str">
        <f>IFERROR(IF(AND(s_Irr!L21&lt;&gt;".",s_Irr!AK21&lt;&gt;".",s_Irr!BJ21&lt;&gt;"."),s_dir!M21/((1/1000)*(s_Irr!L21+s_Irr!AK21+s_Irr!BJ21)),IF(AND(s_Irr!L21&lt;&gt;".",s_Irr!AK21&lt;&gt;".",s_Irr!BJ21="."),s_dir!M21/((1/1000)*(s_Irr!L21+s_Irr!AK21)),IF(AND(s_Irr!L21&lt;&gt;".",s_Irr!AK21=".",s_Irr!BJ21&lt;&gt;"."),s_dir!M21/((1/1000)*(s_Irr!L21+s_Irr!BJ21)),IF(AND(s_Irr!L21=".",s_Irr!AK21&lt;&gt;".",s_Irr!BJ21&lt;&gt;"."),s_dir!M21/((1/1000)*(s_Irr!AK21+s_Irr!BJ21)),IF(AND(s_Irr!L21=".",s_Irr!AK21=".",s_Irr!BJ21&lt;&gt;"."),s_dir!M21/((1/1000)*(s_Irr!BJ21)),IF(AND(s_Irr!L21=".",s_Irr!AK21&lt;&gt;".",s_Irr!BJ21="."),s_dir!M21/((1/1000)*(s_Irr!AK21)),IF(AND(s_Irr!L21&lt;&gt;".",s_Irr!AK21=".",s_Irr!BJ21="."),s_dir!M21/((1/1000)*(s_Irr!L21)),IF(AND(s_Irr!L21=".",s_Irr!AK21=".",s_Irr!BJ21="."),s_dir!M21*1000)))))))),".")</f>
        <v>.</v>
      </c>
      <c r="N21" s="76" t="str">
        <f>IFERROR(IF(AND(s_Irr!M21&lt;&gt;".",s_Irr!AL21&lt;&gt;".",s_Irr!BK21&lt;&gt;"."),s_dir!N21/((1/1000)*(s_Irr!M21+s_Irr!AL21+s_Irr!BK21)),IF(AND(s_Irr!M21&lt;&gt;".",s_Irr!AL21&lt;&gt;".",s_Irr!BK21="."),s_dir!N21/((1/1000)*(s_Irr!M21+s_Irr!AL21)),IF(AND(s_Irr!M21&lt;&gt;".",s_Irr!AL21=".",s_Irr!BK21&lt;&gt;"."),s_dir!N21/((1/1000)*(s_Irr!M21+s_Irr!BK21)),IF(AND(s_Irr!M21=".",s_Irr!AL21&lt;&gt;".",s_Irr!BK21&lt;&gt;"."),s_dir!N21/((1/1000)*(s_Irr!AL21+s_Irr!BK21)),IF(AND(s_Irr!M21=".",s_Irr!AL21=".",s_Irr!BK21&lt;&gt;"."),s_dir!N21/((1/1000)*(s_Irr!BK21)),IF(AND(s_Irr!M21=".",s_Irr!AL21&lt;&gt;".",s_Irr!BK21="."),s_dir!N21/((1/1000)*(s_Irr!AL21)),IF(AND(s_Irr!M21&lt;&gt;".",s_Irr!AL21=".",s_Irr!BK21="."),s_dir!N21/((1/1000)*(s_Irr!M21)),IF(AND(s_Irr!M21=".",s_Irr!AL21=".",s_Irr!BK21="."),s_dir!N21*1000)))))))),".")</f>
        <v>.</v>
      </c>
      <c r="O21" s="76" t="str">
        <f>IFERROR(IF(AND(s_Irr!N21&lt;&gt;".",s_Irr!AM21&lt;&gt;".",s_Irr!BL21&lt;&gt;"."),s_dir!O21/((1/1000)*(s_Irr!N21+s_Irr!AM21+s_Irr!BL21)),IF(AND(s_Irr!N21&lt;&gt;".",s_Irr!AM21&lt;&gt;".",s_Irr!BL21="."),s_dir!O21/((1/1000)*(s_Irr!N21+s_Irr!AM21)),IF(AND(s_Irr!N21&lt;&gt;".",s_Irr!AM21=".",s_Irr!BL21&lt;&gt;"."),s_dir!O21/((1/1000)*(s_Irr!N21+s_Irr!BL21)),IF(AND(s_Irr!N21=".",s_Irr!AM21&lt;&gt;".",s_Irr!BL21&lt;&gt;"."),s_dir!O21/((1/1000)*(s_Irr!AM21+s_Irr!BL21)),IF(AND(s_Irr!N21=".",s_Irr!AM21=".",s_Irr!BL21&lt;&gt;"."),s_dir!O21/((1/1000)*(s_Irr!BL21)),IF(AND(s_Irr!N21=".",s_Irr!AM21&lt;&gt;".",s_Irr!BL21="."),s_dir!O21/((1/1000)*(s_Irr!AM21)),IF(AND(s_Irr!N21&lt;&gt;".",s_Irr!AM21=".",s_Irr!BL21="."),s_dir!O21/((1/1000)*(s_Irr!N21)),IF(AND(s_Irr!N21=".",s_Irr!AM21=".",s_Irr!BL21="."),s_dir!O21*1000)))))))),".")</f>
        <v>.</v>
      </c>
      <c r="P21" s="76" t="str">
        <f>IFERROR(IF(AND(s_Irr!O21&lt;&gt;".",s_Irr!AN21&lt;&gt;".",s_Irr!BM21&lt;&gt;"."),s_dir!P21/((1/1000)*(s_Irr!O21+s_Irr!AN21+s_Irr!BM21)),IF(AND(s_Irr!O21&lt;&gt;".",s_Irr!AN21&lt;&gt;".",s_Irr!BM21="."),s_dir!P21/((1/1000)*(s_Irr!O21+s_Irr!AN21)),IF(AND(s_Irr!O21&lt;&gt;".",s_Irr!AN21=".",s_Irr!BM21&lt;&gt;"."),s_dir!P21/((1/1000)*(s_Irr!O21+s_Irr!BM21)),IF(AND(s_Irr!O21=".",s_Irr!AN21&lt;&gt;".",s_Irr!BM21&lt;&gt;"."),s_dir!P21/((1/1000)*(s_Irr!AN21+s_Irr!BM21)),IF(AND(s_Irr!O21=".",s_Irr!AN21=".",s_Irr!BM21&lt;&gt;"."),s_dir!P21/((1/1000)*(s_Irr!BM21)),IF(AND(s_Irr!O21=".",s_Irr!AN21&lt;&gt;".",s_Irr!BM21="."),s_dir!P21/((1/1000)*(s_Irr!AN21)),IF(AND(s_Irr!O21&lt;&gt;".",s_Irr!AN21=".",s_Irr!BM21="."),s_dir!P21/((1/1000)*(s_Irr!O21)),IF(AND(s_Irr!O21=".",s_Irr!AN21=".",s_Irr!BM21="."),s_dir!P21*1000)))))))),".")</f>
        <v>.</v>
      </c>
      <c r="Q21" s="76" t="str">
        <f>IFERROR(IF(AND(s_Irr!P21&lt;&gt;".",s_Irr!AO21&lt;&gt;".",s_Irr!BN21&lt;&gt;"."),s_dir!Q21/((1/1000)*(s_Irr!P21+s_Irr!AO21+s_Irr!BN21)),IF(AND(s_Irr!P21&lt;&gt;".",s_Irr!AO21&lt;&gt;".",s_Irr!BN21="."),s_dir!Q21/((1/1000)*(s_Irr!P21+s_Irr!AO21)),IF(AND(s_Irr!P21&lt;&gt;".",s_Irr!AO21=".",s_Irr!BN21&lt;&gt;"."),s_dir!Q21/((1/1000)*(s_Irr!P21+s_Irr!BN21)),IF(AND(s_Irr!P21=".",s_Irr!AO21&lt;&gt;".",s_Irr!BN21&lt;&gt;"."),s_dir!Q21/((1/1000)*(s_Irr!AO21+s_Irr!BN21)),IF(AND(s_Irr!P21=".",s_Irr!AO21=".",s_Irr!BN21&lt;&gt;"."),s_dir!Q21/((1/1000)*(s_Irr!BN21)),IF(AND(s_Irr!P21=".",s_Irr!AO21&lt;&gt;".",s_Irr!BN21="."),s_dir!Q21/((1/1000)*(s_Irr!AO21)),IF(AND(s_Irr!P21&lt;&gt;".",s_Irr!AO21=".",s_Irr!BN21="."),s_dir!Q21/((1/1000)*(s_Irr!P21)),IF(AND(s_Irr!P21=".",s_Irr!AO21=".",s_Irr!BN21="."),s_dir!Q21*1000)))))))),".")</f>
        <v>.</v>
      </c>
      <c r="R21" s="76" t="str">
        <f>IFERROR(IF(AND(s_Irr!Q21&lt;&gt;".",s_Irr!AP21&lt;&gt;".",s_Irr!BO21&lt;&gt;"."),s_dir!R21/((1/1000)*(s_Irr!Q21+s_Irr!AP21+s_Irr!BO21)),IF(AND(s_Irr!Q21&lt;&gt;".",s_Irr!AP21&lt;&gt;".",s_Irr!BO21="."),s_dir!R21/((1/1000)*(s_Irr!Q21+s_Irr!AP21)),IF(AND(s_Irr!Q21&lt;&gt;".",s_Irr!AP21=".",s_Irr!BO21&lt;&gt;"."),s_dir!R21/((1/1000)*(s_Irr!Q21+s_Irr!BO21)),IF(AND(s_Irr!Q21=".",s_Irr!AP21&lt;&gt;".",s_Irr!BO21&lt;&gt;"."),s_dir!R21/((1/1000)*(s_Irr!AP21+s_Irr!BO21)),IF(AND(s_Irr!Q21=".",s_Irr!AP21=".",s_Irr!BO21&lt;&gt;"."),s_dir!R21/((1/1000)*(s_Irr!BO21)),IF(AND(s_Irr!Q21=".",s_Irr!AP21&lt;&gt;".",s_Irr!BO21="."),s_dir!R21/((1/1000)*(s_Irr!AP21)),IF(AND(s_Irr!Q21&lt;&gt;".",s_Irr!AP21=".",s_Irr!BO21="."),s_dir!R21/((1/1000)*(s_Irr!Q21)),IF(AND(s_Irr!Q21=".",s_Irr!AP21=".",s_Irr!BO21="."),s_dir!R21*1000)))))))),".")</f>
        <v>.</v>
      </c>
      <c r="S21" s="76" t="str">
        <f>IFERROR(IF(AND(s_Irr!R21&lt;&gt;".",s_Irr!AQ21&lt;&gt;".",s_Irr!BP21&lt;&gt;"."),s_dir!S21/((1/1000)*(s_Irr!R21+s_Irr!AQ21+s_Irr!BP21)),IF(AND(s_Irr!R21&lt;&gt;".",s_Irr!AQ21&lt;&gt;".",s_Irr!BP21="."),s_dir!S21/((1/1000)*(s_Irr!R21+s_Irr!AQ21)),IF(AND(s_Irr!R21&lt;&gt;".",s_Irr!AQ21=".",s_Irr!BP21&lt;&gt;"."),s_dir!S21/((1/1000)*(s_Irr!R21+s_Irr!BP21)),IF(AND(s_Irr!R21=".",s_Irr!AQ21&lt;&gt;".",s_Irr!BP21&lt;&gt;"."),s_dir!S21/((1/1000)*(s_Irr!AQ21+s_Irr!BP21)),IF(AND(s_Irr!R21=".",s_Irr!AQ21=".",s_Irr!BP21&lt;&gt;"."),s_dir!S21/((1/1000)*(s_Irr!BP21)),IF(AND(s_Irr!R21=".",s_Irr!AQ21&lt;&gt;".",s_Irr!BP21="."),s_dir!S21/((1/1000)*(s_Irr!AQ21)),IF(AND(s_Irr!R21&lt;&gt;".",s_Irr!AQ21=".",s_Irr!BP21="."),s_dir!S21/((1/1000)*(s_Irr!R21)),IF(AND(s_Irr!R21=".",s_Irr!AQ21=".",s_Irr!BP21="."),s_dir!S21*1000)))))))),".")</f>
        <v>.</v>
      </c>
      <c r="T21" s="76" t="str">
        <f>IFERROR(IF(AND(s_Irr!S21&lt;&gt;".",s_Irr!AR21&lt;&gt;".",s_Irr!BQ21&lt;&gt;"."),s_dir!T21/((1/1000)*(s_Irr!S21+s_Irr!AR21+s_Irr!BQ21)),IF(AND(s_Irr!S21&lt;&gt;".",s_Irr!AR21&lt;&gt;".",s_Irr!BQ21="."),s_dir!T21/((1/1000)*(s_Irr!S21+s_Irr!AR21)),IF(AND(s_Irr!S21&lt;&gt;".",s_Irr!AR21=".",s_Irr!BQ21&lt;&gt;"."),s_dir!T21/((1/1000)*(s_Irr!S21+s_Irr!BQ21)),IF(AND(s_Irr!S21=".",s_Irr!AR21&lt;&gt;".",s_Irr!BQ21&lt;&gt;"."),s_dir!T21/((1/1000)*(s_Irr!AR21+s_Irr!BQ21)),IF(AND(s_Irr!S21=".",s_Irr!AR21=".",s_Irr!BQ21&lt;&gt;"."),s_dir!T21/((1/1000)*(s_Irr!BQ21)),IF(AND(s_Irr!S21=".",s_Irr!AR21&lt;&gt;".",s_Irr!BQ21="."),s_dir!T21/((1/1000)*(s_Irr!AR21)),IF(AND(s_Irr!S21&lt;&gt;".",s_Irr!AR21=".",s_Irr!BQ21="."),s_dir!T21/((1/1000)*(s_Irr!S21)),IF(AND(s_Irr!S21=".",s_Irr!AR21=".",s_Irr!BQ21="."),s_dir!T21*1000)))))))),".")</f>
        <v>.</v>
      </c>
      <c r="U21" s="76" t="str">
        <f>IFERROR(IF(AND(s_Irr!T21&lt;&gt;".",s_Irr!AS21&lt;&gt;".",s_Irr!BR21&lt;&gt;"."),s_dir!U21/((1/1000)*(s_Irr!T21+s_Irr!AS21+s_Irr!BR21)),IF(AND(s_Irr!T21&lt;&gt;".",s_Irr!AS21&lt;&gt;".",s_Irr!BR21="."),s_dir!U21/((1/1000)*(s_Irr!T21+s_Irr!AS21)),IF(AND(s_Irr!T21&lt;&gt;".",s_Irr!AS21=".",s_Irr!BR21&lt;&gt;"."),s_dir!U21/((1/1000)*(s_Irr!T21+s_Irr!BR21)),IF(AND(s_Irr!T21=".",s_Irr!AS21&lt;&gt;".",s_Irr!BR21&lt;&gt;"."),s_dir!U21/((1/1000)*(s_Irr!AS21+s_Irr!BR21)),IF(AND(s_Irr!T21=".",s_Irr!AS21=".",s_Irr!BR21&lt;&gt;"."),s_dir!U21/((1/1000)*(s_Irr!BR21)),IF(AND(s_Irr!T21=".",s_Irr!AS21&lt;&gt;".",s_Irr!BR21="."),s_dir!U21/((1/1000)*(s_Irr!AS21)),IF(AND(s_Irr!T21&lt;&gt;".",s_Irr!AS21=".",s_Irr!BR21="."),s_dir!U21/((1/1000)*(s_Irr!T21)),IF(AND(s_Irr!T21=".",s_Irr!AS21=".",s_Irr!BR21="."),s_dir!U21*1000)))))))),".")</f>
        <v>.</v>
      </c>
      <c r="V21" s="76" t="str">
        <f>IFERROR(IF(AND(s_Irr!U21&lt;&gt;".",s_Irr!AT21&lt;&gt;".",s_Irr!BS21&lt;&gt;"."),s_dir!V21/((1/1000)*(s_Irr!U21+s_Irr!AT21+s_Irr!BS21)),IF(AND(s_Irr!U21&lt;&gt;".",s_Irr!AT21&lt;&gt;".",s_Irr!BS21="."),s_dir!V21/((1/1000)*(s_Irr!U21+s_Irr!AT21)),IF(AND(s_Irr!U21&lt;&gt;".",s_Irr!AT21=".",s_Irr!BS21&lt;&gt;"."),s_dir!V21/((1/1000)*(s_Irr!U21+s_Irr!BS21)),IF(AND(s_Irr!U21=".",s_Irr!AT21&lt;&gt;".",s_Irr!BS21&lt;&gt;"."),s_dir!V21/((1/1000)*(s_Irr!AT21+s_Irr!BS21)),IF(AND(s_Irr!U21=".",s_Irr!AT21=".",s_Irr!BS21&lt;&gt;"."),s_dir!V21/((1/1000)*(s_Irr!BS21)),IF(AND(s_Irr!U21=".",s_Irr!AT21&lt;&gt;".",s_Irr!BS21="."),s_dir!V21/((1/1000)*(s_Irr!AT21)),IF(AND(s_Irr!U21&lt;&gt;".",s_Irr!AT21=".",s_Irr!BS21="."),s_dir!V21/((1/1000)*(s_Irr!U21)),IF(AND(s_Irr!U21=".",s_Irr!AT21=".",s_Irr!BS21="."),s_dir!V21*1000)))))))),".")</f>
        <v>.</v>
      </c>
      <c r="W21" s="76" t="str">
        <f>IFERROR(IF(AND(s_Irr!V21&lt;&gt;".",s_Irr!AU21&lt;&gt;".",s_Irr!BT21&lt;&gt;"."),s_dir!W21/((1/1000)*(s_Irr!V21+s_Irr!AU21+s_Irr!BT21)),IF(AND(s_Irr!V21&lt;&gt;".",s_Irr!AU21&lt;&gt;".",s_Irr!BT21="."),s_dir!W21/((1/1000)*(s_Irr!V21+s_Irr!AU21)),IF(AND(s_Irr!V21&lt;&gt;".",s_Irr!AU21=".",s_Irr!BT21&lt;&gt;"."),s_dir!W21/((1/1000)*(s_Irr!V21+s_Irr!BT21)),IF(AND(s_Irr!V21=".",s_Irr!AU21&lt;&gt;".",s_Irr!BT21&lt;&gt;"."),s_dir!W21/((1/1000)*(s_Irr!AU21+s_Irr!BT21)),IF(AND(s_Irr!V21=".",s_Irr!AU21=".",s_Irr!BT21&lt;&gt;"."),s_dir!W21/((1/1000)*(s_Irr!BT21)),IF(AND(s_Irr!V21=".",s_Irr!AU21&lt;&gt;".",s_Irr!BT21="."),s_dir!W21/((1/1000)*(s_Irr!AU21)),IF(AND(s_Irr!V21&lt;&gt;".",s_Irr!AU21=".",s_Irr!BT21="."),s_dir!W21/((1/1000)*(s_Irr!V21)),IF(AND(s_Irr!V21=".",s_Irr!AU21=".",s_Irr!BT21="."),s_dir!W21*1000)))))))),".")</f>
        <v>.</v>
      </c>
      <c r="X21" s="76" t="str">
        <f>IFERROR(IF(AND(s_Irr!W21&lt;&gt;".",s_Irr!AV21&lt;&gt;".",s_Irr!BU21&lt;&gt;"."),s_dir!X21/((1/1000)*(s_Irr!W21+s_Irr!AV21+s_Irr!BU21)),IF(AND(s_Irr!W21&lt;&gt;".",s_Irr!AV21&lt;&gt;".",s_Irr!BU21="."),s_dir!X21/((1/1000)*(s_Irr!W21+s_Irr!AV21)),IF(AND(s_Irr!W21&lt;&gt;".",s_Irr!AV21=".",s_Irr!BU21&lt;&gt;"."),s_dir!X21/((1/1000)*(s_Irr!W21+s_Irr!BU21)),IF(AND(s_Irr!W21=".",s_Irr!AV21&lt;&gt;".",s_Irr!BU21&lt;&gt;"."),s_dir!X21/((1/1000)*(s_Irr!AV21+s_Irr!BU21)),IF(AND(s_Irr!W21=".",s_Irr!AV21=".",s_Irr!BU21&lt;&gt;"."),s_dir!X21/((1/1000)*(s_Irr!BU21)),IF(AND(s_Irr!W21=".",s_Irr!AV21&lt;&gt;".",s_Irr!BU21="."),s_dir!X21/((1/1000)*(s_Irr!AV21)),IF(AND(s_Irr!W21&lt;&gt;".",s_Irr!AV21=".",s_Irr!BU21="."),s_dir!X21/((1/1000)*(s_Irr!W21)),IF(AND(s_Irr!W21=".",s_Irr!AV21=".",s_Irr!BU21="."),s_dir!X21*1000)))))))),".")</f>
        <v>.</v>
      </c>
      <c r="Y21" s="76" t="str">
        <f>IFERROR(IF(AND(s_Irr!X21&lt;&gt;".",s_Irr!AW21&lt;&gt;".",s_Irr!BV21&lt;&gt;"."),s_dir!Y21/((1/1000)*(s_Irr!X21+s_Irr!AW21+s_Irr!BV21)),IF(AND(s_Irr!X21&lt;&gt;".",s_Irr!AW21&lt;&gt;".",s_Irr!BV21="."),s_dir!Y21/((1/1000)*(s_Irr!X21+s_Irr!AW21)),IF(AND(s_Irr!X21&lt;&gt;".",s_Irr!AW21=".",s_Irr!BV21&lt;&gt;"."),s_dir!Y21/((1/1000)*(s_Irr!X21+s_Irr!BV21)),IF(AND(s_Irr!X21=".",s_Irr!AW21&lt;&gt;".",s_Irr!BV21&lt;&gt;"."),s_dir!Y21/((1/1000)*(s_Irr!AW21+s_Irr!BV21)),IF(AND(s_Irr!X21=".",s_Irr!AW21=".",s_Irr!BV21&lt;&gt;"."),s_dir!Y21/((1/1000)*(s_Irr!BV21)),IF(AND(s_Irr!X21=".",s_Irr!AW21&lt;&gt;".",s_Irr!BV21="."),s_dir!Y21/((1/1000)*(s_Irr!AW21)),IF(AND(s_Irr!X21&lt;&gt;".",s_Irr!AW21=".",s_Irr!BV21="."),s_dir!Y21/((1/1000)*(s_Irr!X21)),IF(AND(s_Irr!X21=".",s_Irr!AW21=".",s_Irr!BV21="."),s_dir!Y21*1000)))))))),".")</f>
        <v>.</v>
      </c>
      <c r="Z21" s="76" t="str">
        <f>IFERROR(IF(AND(s_Irr!Y21&lt;&gt;".",s_Irr!AX21&lt;&gt;".",s_Irr!BW21&lt;&gt;"."),s_dir!Z21/((1/1000)*(s_Irr!Y21+s_Irr!AX21+s_Irr!BW21)),IF(AND(s_Irr!Y21&lt;&gt;".",s_Irr!AX21&lt;&gt;".",s_Irr!BW21="."),s_dir!Z21/((1/1000)*(s_Irr!Y21+s_Irr!AX21)),IF(AND(s_Irr!Y21&lt;&gt;".",s_Irr!AX21=".",s_Irr!BW21&lt;&gt;"."),s_dir!Z21/((1/1000)*(s_Irr!Y21+s_Irr!BW21)),IF(AND(s_Irr!Y21=".",s_Irr!AX21&lt;&gt;".",s_Irr!BW21&lt;&gt;"."),s_dir!Z21/((1/1000)*(s_Irr!AX21+s_Irr!BW21)),IF(AND(s_Irr!Y21=".",s_Irr!AX21=".",s_Irr!BW21&lt;&gt;"."),s_dir!Z21/((1/1000)*(s_Irr!BW21)),IF(AND(s_Irr!Y21=".",s_Irr!AX21&lt;&gt;".",s_Irr!BW21="."),s_dir!Z21/((1/1000)*(s_Irr!AX21)),IF(AND(s_Irr!Y21&lt;&gt;".",s_Irr!AX21=".",s_Irr!BW21="."),s_dir!Z21/((1/1000)*(s_Irr!Y21)),IF(AND(s_Irr!Y21=".",s_Irr!AX21=".",s_Irr!BW21="."),s_dir!Z21*1000)))))))),".")</f>
        <v>.</v>
      </c>
      <c r="AA21" s="76" t="str">
        <f>IFERROR(IF(AND(s_Irr!Z21&lt;&gt;".",s_Irr!AY21&lt;&gt;".",s_Irr!BX21&lt;&gt;"."),s_dir!AA21/((1/1000)*(s_Irr!Z21+s_Irr!AY21+s_Irr!BX21)),IF(AND(s_Irr!Z21&lt;&gt;".",s_Irr!AY21&lt;&gt;".",s_Irr!BX21="."),s_dir!AA21/((1/1000)*(s_Irr!Z21+s_Irr!AY21)),IF(AND(s_Irr!Z21&lt;&gt;".",s_Irr!AY21=".",s_Irr!BX21&lt;&gt;"."),s_dir!AA21/((1/1000)*(s_Irr!Z21+s_Irr!BX21)),IF(AND(s_Irr!Z21=".",s_Irr!AY21&lt;&gt;".",s_Irr!BX21&lt;&gt;"."),s_dir!AA21/((1/1000)*(s_Irr!AY21+s_Irr!BX21)),IF(AND(s_Irr!Z21=".",s_Irr!AY21=".",s_Irr!BX21&lt;&gt;"."),s_dir!AA21/((1/1000)*(s_Irr!BX21)),IF(AND(s_Irr!Z21=".",s_Irr!AY21&lt;&gt;".",s_Irr!BX21="."),s_dir!AA21/((1/1000)*(s_Irr!AY21)),IF(AND(s_Irr!Z21&lt;&gt;".",s_Irr!AY21=".",s_Irr!BX21="."),s_dir!AA21/((1/1000)*(s_Irr!Z21)),IF(AND(s_Irr!Z21=".",s_Irr!AY21=".",s_Irr!BX21="."),s_dir!AA21*1000)))))))),".")</f>
        <v>.</v>
      </c>
      <c r="AB21" s="76" t="str">
        <f>IFERROR(IF(AND(s_Irr!AA21&lt;&gt;".",s_Irr!AZ21&lt;&gt;".",s_Irr!BY21&lt;&gt;"."),s_dir!AB21/((1/1000)*(s_Irr!AA21+s_Irr!AZ21+s_Irr!BY21)),IF(AND(s_Irr!AA21&lt;&gt;".",s_Irr!AZ21&lt;&gt;".",s_Irr!BY21="."),s_dir!AB21/((1/1000)*(s_Irr!AA21+s_Irr!AZ21)),IF(AND(s_Irr!AA21&lt;&gt;".",s_Irr!AZ21=".",s_Irr!BY21&lt;&gt;"."),s_dir!AB21/((1/1000)*(s_Irr!AA21+s_Irr!BY21)),IF(AND(s_Irr!AA21=".",s_Irr!AZ21&lt;&gt;".",s_Irr!BY21&lt;&gt;"."),s_dir!AB21/((1/1000)*(s_Irr!AZ21+s_Irr!BY21)),IF(AND(s_Irr!AA21=".",s_Irr!AZ21=".",s_Irr!BY21&lt;&gt;"."),s_dir!AB21/((1/1000)*(s_Irr!BY21)),IF(AND(s_Irr!AA21=".",s_Irr!AZ21&lt;&gt;".",s_Irr!BY21="."),s_dir!AB21/((1/1000)*(s_Irr!AZ21)),IF(AND(s_Irr!AA21&lt;&gt;".",s_Irr!AZ21=".",s_Irr!BY21="."),s_dir!AB21/((1/1000)*(s_Irr!AA21)),IF(AND(s_Irr!AA21=".",s_Irr!AZ21=".",s_Irr!BY21="."),s_dir!AB21*1000)))))))),".")</f>
        <v>.</v>
      </c>
      <c r="AC21" s="93">
        <f t="shared" si="4"/>
        <v>7486.4983546212979</v>
      </c>
      <c r="AD21" s="93">
        <f>IFERROR(s_C*s_IFAP_res_adj*s_CF_apple*0.001*(s_Irr!C21+s_Irr!AB21+s_Irr!BA21),".")</f>
        <v>1775.1529030993431</v>
      </c>
      <c r="AE21" s="93">
        <f>IFERROR(s_C*s_IFAS_res_adj*s_CF_asparagus*0.001*(s_Irr!D21+s_Irr!AC21+s_Irr!BB21),".")</f>
        <v>1991.5379921968718</v>
      </c>
      <c r="AF21" s="93">
        <f>IFERROR(s_C*s_IFBT_res_adj*s_CF_beet*0.001*(s_Irr!E21+s_Irr!AD21+s_Irr!BC21),".")</f>
        <v>1943.4524168418652</v>
      </c>
      <c r="AG21" s="93">
        <f>IFERROR(s_C*s_IFBE_res_adj*s_CF_berries*0.001*(s_Irr!F21+s_Irr!AE21+s_Irr!BD21),".")</f>
        <v>1775.1529030993431</v>
      </c>
      <c r="AH21" s="93">
        <f>IFERROR(s_C*s_IFBR_res_adj*s_CF_broccoli*0.001*(s_Irr!G21+s_Irr!AF21+s_Irr!BE21),".")</f>
        <v>1775.1529030993431</v>
      </c>
      <c r="AI21" s="93">
        <f>IFERROR(s_C*s_IFCB_res_adj*s_CF_cabbage*0.001*(s_Irr!H21+s_Irr!AG21+s_Irr!BF21),".")</f>
        <v>1991.5379921968718</v>
      </c>
      <c r="AJ21" s="93">
        <f>IFERROR(s_C*s_IFCR_res_adj*s_CF_carrot*0.001*(s_Irr!I21+s_Irr!AH21+s_Irr!BG21),".")</f>
        <v>1943.4524168418652</v>
      </c>
      <c r="AK21" s="93">
        <f>IFERROR(s_C*s_IFCI_res_adj*s_CF_citrus*0.001*(s_Irr!J21+s_Irr!AI21+s_Irr!BH21),".")</f>
        <v>1775.1529030993431</v>
      </c>
      <c r="AL21" s="93">
        <f>IFERROR(s_C*s_IFCO_res_adj*s_CF_corn*0.001*(s_Irr!K21+s_Irr!AJ21+s_Irr!BI21),".")</f>
        <v>1776.3550424832183</v>
      </c>
      <c r="AM21" s="93">
        <f>IFERROR(s_C*s_IFCU_res_adj*s_CF_cucumber*0.001*(s_Irr!L21+s_Irr!AK21+s_Irr!BJ21),".")</f>
        <v>1775.1529030993431</v>
      </c>
      <c r="AN21" s="93">
        <f>IFERROR(s_C*s_IFLE_res_adj*s_CF_lettuce*0.001*(s_Irr!M21+s_Irr!AL21+s_Irr!BK21),".")</f>
        <v>1991.5379921968718</v>
      </c>
      <c r="AO21" s="93">
        <f>IFERROR(s_C*s_IFLI_res_adj*s_CF_lima_bean*0.001*(s_Irr!N21+s_Irr!AM21+s_Irr!BL21),".")</f>
        <v>1777.2566470211248</v>
      </c>
      <c r="AP21" s="93">
        <f>IFERROR(s_C*s_IFOK_res_adj*s_CF_okra*0.001*(s_Irr!O21+s_Irr!AN21+s_Irr!BM21),".")</f>
        <v>1775.1529030993431</v>
      </c>
      <c r="AQ21" s="93">
        <f>IFERROR(s_C*s_IFON_res_adj*s_CF_onion*0.001*(s_Irr!P21+s_Irr!AO21+s_Irr!BN21),".")</f>
        <v>1943.4524168418652</v>
      </c>
      <c r="AR21" s="93">
        <f>IFERROR(s_C*s_IFPC_res_adj*s_CF_peach*0.001*(s_Irr!Q21+s_Irr!AP21+s_Irr!BO21),".")</f>
        <v>1775.1529030993431</v>
      </c>
      <c r="AS21" s="93">
        <f>IFERROR(s_C*s_IFPR_res_adj*s_CF_pear*0.001*(s_Irr!R21+s_Irr!AQ21+s_Irr!BP21),".")</f>
        <v>1775.1529030993431</v>
      </c>
      <c r="AT21" s="93">
        <f>IFERROR(s_C*s_IFPE_res_adj*s_CF_peas*0.001*(s_Irr!S21+s_Irr!AR21+s_Irr!BQ21),".")</f>
        <v>1777.2566470211248</v>
      </c>
      <c r="AU21" s="93">
        <f>IFERROR(s_C*s_IFPP_res_adj*s_CF_peppers*0.001*(s_Irr!T21+s_Irr!AS21+s_Irr!BR21),".")</f>
        <v>1775.1529030993431</v>
      </c>
      <c r="AV21" s="93">
        <f>IFERROR(s_C*s_IFPT_res_adj*s_CF_potato*0.001*(s_Irr!U21+s_Irr!AT21+s_Irr!BS21),".")</f>
        <v>1850.2866145915405</v>
      </c>
      <c r="AW21" s="93">
        <f>IFERROR(s_C*s_IFPU_res_adj*s_CF_pumpkin*0.001*(s_Irr!V21+s_Irr!AU21+s_Irr!BT21),".")</f>
        <v>1775.1529030993431</v>
      </c>
      <c r="AX21" s="93">
        <f>IFERROR(s_C*s_IFSN_res_adj*s_CF_snap_bean*0.001*(s_Irr!W21+s_Irr!AV21+s_Irr!BU21),".")</f>
        <v>1777.2566470211248</v>
      </c>
      <c r="AY21" s="93">
        <f>IFERROR(s_C*s_IFST_res_adj*s_CF_strawberry*0.001*(s_Irr!X21+s_Irr!AW21+s_Irr!BV21),".")</f>
        <v>1775.1529030993431</v>
      </c>
      <c r="AZ21" s="93">
        <f>IFERROR(s_C*s_IFTO_res_adj*s_CF_tomato*0.001*(s_Irr!Y21+s_Irr!AX21+s_Irr!BW21),".")</f>
        <v>1775.1529030993431</v>
      </c>
      <c r="BA21" s="93">
        <f>IFERROR(s_C*s_IFRI_res_adj*s_CF_rice*0.001*(s_Irr!Z21+s_Irr!AY21+s_Irr!BX21),".")</f>
        <v>2159.8375059393938</v>
      </c>
      <c r="BB21" s="93">
        <f>IFERROR(s_C*s_IFCG_res_adj*s_CF_cereal*0.001*(s_Irr!AA21+s_Irr!AZ21+s_Irr!BY21),".")</f>
        <v>1776.3550424832183</v>
      </c>
      <c r="BC21" s="76" t="str">
        <f t="shared" si="1"/>
        <v>.</v>
      </c>
      <c r="BD21" s="76" t="str">
        <f>IFERROR(IF(AND(s_Irr!C21&lt;&gt;".",s_Irr!AB21&lt;&gt;".",s_Irr!BA21&lt;&gt;"."),s_dir!AD21/((1/1000)*(s_Irr!C21+s_Irr!AB21+s_Irr!BA21)),IF(AND(s_Irr!C21&lt;&gt;".",s_Irr!AB21&lt;&gt;".",s_Irr!BA21="."),s_dir!AD21/((1/1000)*(s_Irr!C21+s_Irr!AB21)),IF(AND(s_Irr!C21&lt;&gt;".",s_Irr!AB21=".",s_Irr!BA21&lt;&gt;"."),s_dir!AD21/((1/1000)*(s_Irr!C21+s_Irr!BA21)),IF(AND(s_Irr!C21=".",s_Irr!AB21&lt;&gt;".",s_Irr!BA21&lt;&gt;"."),s_dir!AD21/((1/1000)*(s_Irr!AB21+s_Irr!BA21)),IF(AND(s_Irr!C21=".",s_Irr!AB21=".",s_Irr!BA21&lt;&gt;"."),s_dir!AD21/((1/1000)*(s_Irr!BA21)),IF(AND(s_Irr!C21=".",s_Irr!AB21&lt;&gt;".",s_Irr!BA21="."),s_dir!AD21/((1/1000)*(s_Irr!AB21)),IF(AND(s_Irr!C21&lt;&gt;".",s_Irr!AB21=".",s_Irr!BA21="."),s_dir!AD21/((1/1000)*(s_Irr!C21)),IF(AND(s_Irr!C21=".",s_Irr!AB21=".",s_Irr!BA21="."),s_dir!AD21*1000)))))))),".")</f>
        <v>.</v>
      </c>
      <c r="BE21" s="76" t="str">
        <f>IFERROR(IF(AND(s_Irr!D21&lt;&gt;".",s_Irr!AC21&lt;&gt;".",s_Irr!BB21&lt;&gt;"."),s_dir!AE21/((1/1000)*(s_Irr!D21+s_Irr!AC21+s_Irr!BB21)),IF(AND(s_Irr!D21&lt;&gt;".",s_Irr!AC21&lt;&gt;".",s_Irr!BB21="."),s_dir!AE21/((1/1000)*(s_Irr!D21+s_Irr!AC21)),IF(AND(s_Irr!D21&lt;&gt;".",s_Irr!AC21=".",s_Irr!BB21&lt;&gt;"."),s_dir!AE21/((1/1000)*(s_Irr!D21+s_Irr!BB21)),IF(AND(s_Irr!D21=".",s_Irr!AC21&lt;&gt;".",s_Irr!BB21&lt;&gt;"."),s_dir!AE21/((1/1000)*(s_Irr!AC21+s_Irr!BB21)),IF(AND(s_Irr!D21=".",s_Irr!AC21=".",s_Irr!BB21&lt;&gt;"."),s_dir!AE21/((1/1000)*(s_Irr!BB21)),IF(AND(s_Irr!D21=".",s_Irr!AC21&lt;&gt;".",s_Irr!BB21="."),s_dir!AE21/((1/1000)*(s_Irr!AC21)),IF(AND(s_Irr!D21&lt;&gt;".",s_Irr!AC21=".",s_Irr!BB21="."),s_dir!AE21/((1/1000)*(s_Irr!D21)),IF(AND(s_Irr!D21=".",s_Irr!AC21=".",s_Irr!BB21="."),s_dir!AE21*1000)))))))),".")</f>
        <v>.</v>
      </c>
      <c r="BF21" s="76" t="str">
        <f>IFERROR(IF(AND(s_Irr!E21&lt;&gt;".",s_Irr!AD21&lt;&gt;".",s_Irr!BC21&lt;&gt;"."),s_dir!AF21/((1/1000)*(s_Irr!E21+s_Irr!AD21+s_Irr!BC21)),IF(AND(s_Irr!E21&lt;&gt;".",s_Irr!AD21&lt;&gt;".",s_Irr!BC21="."),s_dir!AF21/((1/1000)*(s_Irr!E21+s_Irr!AD21)),IF(AND(s_Irr!E21&lt;&gt;".",s_Irr!AD21=".",s_Irr!BC21&lt;&gt;"."),s_dir!AF21/((1/1000)*(s_Irr!E21+s_Irr!BC21)),IF(AND(s_Irr!E21=".",s_Irr!AD21&lt;&gt;".",s_Irr!BC21&lt;&gt;"."),s_dir!AF21/((1/1000)*(s_Irr!AD21+s_Irr!BC21)),IF(AND(s_Irr!E21=".",s_Irr!AD21=".",s_Irr!BC21&lt;&gt;"."),s_dir!AF21/((1/1000)*(s_Irr!BC21)),IF(AND(s_Irr!E21=".",s_Irr!AD21&lt;&gt;".",s_Irr!BC21="."),s_dir!AF21/((1/1000)*(s_Irr!AD21)),IF(AND(s_Irr!E21&lt;&gt;".",s_Irr!AD21=".",s_Irr!BC21="."),s_dir!AF21/((1/1000)*(s_Irr!E21)),IF(AND(s_Irr!E21=".",s_Irr!AD21=".",s_Irr!BC21="."),s_dir!AF21*1000)))))))),".")</f>
        <v>.</v>
      </c>
      <c r="BG21" s="76" t="str">
        <f>IFERROR(IF(AND(s_Irr!F21&lt;&gt;".",s_Irr!AE21&lt;&gt;".",s_Irr!BD21&lt;&gt;"."),s_dir!AG21/((1/1000)*(s_Irr!F21+s_Irr!AE21+s_Irr!BD21)),IF(AND(s_Irr!F21&lt;&gt;".",s_Irr!AE21&lt;&gt;".",s_Irr!BD21="."),s_dir!AG21/((1/1000)*(s_Irr!F21+s_Irr!AE21)),IF(AND(s_Irr!F21&lt;&gt;".",s_Irr!AE21=".",s_Irr!BD21&lt;&gt;"."),s_dir!AG21/((1/1000)*(s_Irr!F21+s_Irr!BD21)),IF(AND(s_Irr!F21=".",s_Irr!AE21&lt;&gt;".",s_Irr!BD21&lt;&gt;"."),s_dir!AG21/((1/1000)*(s_Irr!AE21+s_Irr!BD21)),IF(AND(s_Irr!F21=".",s_Irr!AE21=".",s_Irr!BD21&lt;&gt;"."),s_dir!AG21/((1/1000)*(s_Irr!BD21)),IF(AND(s_Irr!F21=".",s_Irr!AE21&lt;&gt;".",s_Irr!BD21="."),s_dir!AG21/((1/1000)*(s_Irr!AE21)),IF(AND(s_Irr!F21&lt;&gt;".",s_Irr!AE21=".",s_Irr!BD21="."),s_dir!AG21/((1/1000)*(s_Irr!F21)),IF(AND(s_Irr!F21=".",s_Irr!AE21=".",s_Irr!BD21="."),s_dir!AG21*1000)))))))),".")</f>
        <v>.</v>
      </c>
      <c r="BH21" s="76" t="str">
        <f>IFERROR(IF(AND(s_Irr!G21&lt;&gt;".",s_Irr!AF21&lt;&gt;".",s_Irr!BE21&lt;&gt;"."),s_dir!AH21/((1/1000)*(s_Irr!G21+s_Irr!AF21+s_Irr!BE21)),IF(AND(s_Irr!G21&lt;&gt;".",s_Irr!AF21&lt;&gt;".",s_Irr!BE21="."),s_dir!AH21/((1/1000)*(s_Irr!G21+s_Irr!AF21)),IF(AND(s_Irr!G21&lt;&gt;".",s_Irr!AF21=".",s_Irr!BE21&lt;&gt;"."),s_dir!AH21/((1/1000)*(s_Irr!G21+s_Irr!BE21)),IF(AND(s_Irr!G21=".",s_Irr!AF21&lt;&gt;".",s_Irr!BE21&lt;&gt;"."),s_dir!AH21/((1/1000)*(s_Irr!AF21+s_Irr!BE21)),IF(AND(s_Irr!G21=".",s_Irr!AF21=".",s_Irr!BE21&lt;&gt;"."),s_dir!AH21/((1/1000)*(s_Irr!BE21)),IF(AND(s_Irr!G21=".",s_Irr!AF21&lt;&gt;".",s_Irr!BE21="."),s_dir!AH21/((1/1000)*(s_Irr!AF21)),IF(AND(s_Irr!G21&lt;&gt;".",s_Irr!AF21=".",s_Irr!BE21="."),s_dir!AH21/((1/1000)*(s_Irr!G21)),IF(AND(s_Irr!G21=".",s_Irr!AF21=".",s_Irr!BE21="."),s_dir!AH21*1000)))))))),".")</f>
        <v>.</v>
      </c>
      <c r="BI21" s="76" t="str">
        <f>IFERROR(IF(AND(s_Irr!H21&lt;&gt;".",s_Irr!AG21&lt;&gt;".",s_Irr!BF21&lt;&gt;"."),s_dir!AI21/((1/1000)*(s_Irr!H21+s_Irr!AG21+s_Irr!BF21)),IF(AND(s_Irr!H21&lt;&gt;".",s_Irr!AG21&lt;&gt;".",s_Irr!BF21="."),s_dir!AI21/((1/1000)*(s_Irr!H21+s_Irr!AG21)),IF(AND(s_Irr!H21&lt;&gt;".",s_Irr!AG21=".",s_Irr!BF21&lt;&gt;"."),s_dir!AI21/((1/1000)*(s_Irr!H21+s_Irr!BF21)),IF(AND(s_Irr!H21=".",s_Irr!AG21&lt;&gt;".",s_Irr!BF21&lt;&gt;"."),s_dir!AI21/((1/1000)*(s_Irr!AG21+s_Irr!BF21)),IF(AND(s_Irr!H21=".",s_Irr!AG21=".",s_Irr!BF21&lt;&gt;"."),s_dir!AI21/((1/1000)*(s_Irr!BF21)),IF(AND(s_Irr!H21=".",s_Irr!AG21&lt;&gt;".",s_Irr!BF21="."),s_dir!AI21/((1/1000)*(s_Irr!AG21)),IF(AND(s_Irr!H21&lt;&gt;".",s_Irr!AG21=".",s_Irr!BF21="."),s_dir!AI21/((1/1000)*(s_Irr!H21)),IF(AND(s_Irr!H21=".",s_Irr!AG21=".",s_Irr!BF21="."),s_dir!AI21*1000)))))))),".")</f>
        <v>.</v>
      </c>
      <c r="BJ21" s="76" t="str">
        <f>IFERROR(IF(AND(s_Irr!I21&lt;&gt;".",s_Irr!AH21&lt;&gt;".",s_Irr!BG21&lt;&gt;"."),s_dir!AJ21/((1/1000)*(s_Irr!I21+s_Irr!AH21+s_Irr!BG21)),IF(AND(s_Irr!I21&lt;&gt;".",s_Irr!AH21&lt;&gt;".",s_Irr!BG21="."),s_dir!AJ21/((1/1000)*(s_Irr!I21+s_Irr!AH21)),IF(AND(s_Irr!I21&lt;&gt;".",s_Irr!AH21=".",s_Irr!BG21&lt;&gt;"."),s_dir!AJ21/((1/1000)*(s_Irr!I21+s_Irr!BG21)),IF(AND(s_Irr!I21=".",s_Irr!AH21&lt;&gt;".",s_Irr!BG21&lt;&gt;"."),s_dir!AJ21/((1/1000)*(s_Irr!AH21+s_Irr!BG21)),IF(AND(s_Irr!I21=".",s_Irr!AH21=".",s_Irr!BG21&lt;&gt;"."),s_dir!AJ21/((1/1000)*(s_Irr!BG21)),IF(AND(s_Irr!I21=".",s_Irr!AH21&lt;&gt;".",s_Irr!BG21="."),s_dir!AJ21/((1/1000)*(s_Irr!AH21)),IF(AND(s_Irr!I21&lt;&gt;".",s_Irr!AH21=".",s_Irr!BG21="."),s_dir!AJ21/((1/1000)*(s_Irr!I21)),IF(AND(s_Irr!I21=".",s_Irr!AH21=".",s_Irr!BG21="."),s_dir!AJ21*1000)))))))),".")</f>
        <v>.</v>
      </c>
      <c r="BK21" s="76" t="str">
        <f>IFERROR(IF(AND(s_Irr!J21&lt;&gt;".",s_Irr!AI21&lt;&gt;".",s_Irr!BH21&lt;&gt;"."),s_dir!AK21/((1/1000)*(s_Irr!J21+s_Irr!AI21+s_Irr!BH21)),IF(AND(s_Irr!J21&lt;&gt;".",s_Irr!AI21&lt;&gt;".",s_Irr!BH21="."),s_dir!AK21/((1/1000)*(s_Irr!J21+s_Irr!AI21)),IF(AND(s_Irr!J21&lt;&gt;".",s_Irr!AI21=".",s_Irr!BH21&lt;&gt;"."),s_dir!AK21/((1/1000)*(s_Irr!J21+s_Irr!BH21)),IF(AND(s_Irr!J21=".",s_Irr!AI21&lt;&gt;".",s_Irr!BH21&lt;&gt;"."),s_dir!AK21/((1/1000)*(s_Irr!AI21+s_Irr!BH21)),IF(AND(s_Irr!J21=".",s_Irr!AI21=".",s_Irr!BH21&lt;&gt;"."),s_dir!AK21/((1/1000)*(s_Irr!BH21)),IF(AND(s_Irr!J21=".",s_Irr!AI21&lt;&gt;".",s_Irr!BH21="."),s_dir!AK21/((1/1000)*(s_Irr!AI21)),IF(AND(s_Irr!J21&lt;&gt;".",s_Irr!AI21=".",s_Irr!BH21="."),s_dir!AK21/((1/1000)*(s_Irr!J21)),IF(AND(s_Irr!J21=".",s_Irr!AI21=".",s_Irr!BH21="."),s_dir!AK21*1000)))))))),".")</f>
        <v>.</v>
      </c>
      <c r="BL21" s="76" t="str">
        <f>IFERROR(IF(AND(s_Irr!K21&lt;&gt;".",s_Irr!AJ21&lt;&gt;".",s_Irr!BI21&lt;&gt;"."),s_dir!AL21/((1/1000)*(s_Irr!K21+s_Irr!AJ21+s_Irr!BI21)),IF(AND(s_Irr!K21&lt;&gt;".",s_Irr!AJ21&lt;&gt;".",s_Irr!BI21="."),s_dir!AL21/((1/1000)*(s_Irr!K21+s_Irr!AJ21)),IF(AND(s_Irr!K21&lt;&gt;".",s_Irr!AJ21=".",s_Irr!BI21&lt;&gt;"."),s_dir!AL21/((1/1000)*(s_Irr!K21+s_Irr!BI21)),IF(AND(s_Irr!K21=".",s_Irr!AJ21&lt;&gt;".",s_Irr!BI21&lt;&gt;"."),s_dir!AL21/((1/1000)*(s_Irr!AJ21+s_Irr!BI21)),IF(AND(s_Irr!K21=".",s_Irr!AJ21=".",s_Irr!BI21&lt;&gt;"."),s_dir!AL21/((1/1000)*(s_Irr!BI21)),IF(AND(s_Irr!K21=".",s_Irr!AJ21&lt;&gt;".",s_Irr!BI21="."),s_dir!AL21/((1/1000)*(s_Irr!AJ21)),IF(AND(s_Irr!K21&lt;&gt;".",s_Irr!AJ21=".",s_Irr!BI21="."),s_dir!AL21/((1/1000)*(s_Irr!K21)),IF(AND(s_Irr!K21=".",s_Irr!AJ21=".",s_Irr!BI21="."),s_dir!AL21*1000)))))))),".")</f>
        <v>.</v>
      </c>
      <c r="BM21" s="76" t="str">
        <f>IFERROR(IF(AND(s_Irr!L21&lt;&gt;".",s_Irr!AK21&lt;&gt;".",s_Irr!BJ21&lt;&gt;"."),s_dir!AM21/((1/1000)*(s_Irr!L21+s_Irr!AK21+s_Irr!BJ21)),IF(AND(s_Irr!L21&lt;&gt;".",s_Irr!AK21&lt;&gt;".",s_Irr!BJ21="."),s_dir!AM21/((1/1000)*(s_Irr!L21+s_Irr!AK21)),IF(AND(s_Irr!L21&lt;&gt;".",s_Irr!AK21=".",s_Irr!BJ21&lt;&gt;"."),s_dir!AM21/((1/1000)*(s_Irr!L21+s_Irr!BJ21)),IF(AND(s_Irr!L21=".",s_Irr!AK21&lt;&gt;".",s_Irr!BJ21&lt;&gt;"."),s_dir!AM21/((1/1000)*(s_Irr!AK21+s_Irr!BJ21)),IF(AND(s_Irr!L21=".",s_Irr!AK21=".",s_Irr!BJ21&lt;&gt;"."),s_dir!AM21/((1/1000)*(s_Irr!BJ21)),IF(AND(s_Irr!L21=".",s_Irr!AK21&lt;&gt;".",s_Irr!BJ21="."),s_dir!AM21/((1/1000)*(s_Irr!AK21)),IF(AND(s_Irr!L21&lt;&gt;".",s_Irr!AK21=".",s_Irr!BJ21="."),s_dir!AM21/((1/1000)*(s_Irr!L21)),IF(AND(s_Irr!L21=".",s_Irr!AK21=".",s_Irr!BJ21="."),s_dir!AM21*1000)))))))),".")</f>
        <v>.</v>
      </c>
      <c r="BN21" s="76" t="str">
        <f>IFERROR(IF(AND(s_Irr!M21&lt;&gt;".",s_Irr!AL21&lt;&gt;".",s_Irr!BK21&lt;&gt;"."),s_dir!AN21/((1/1000)*(s_Irr!M21+s_Irr!AL21+s_Irr!BK21)),IF(AND(s_Irr!M21&lt;&gt;".",s_Irr!AL21&lt;&gt;".",s_Irr!BK21="."),s_dir!AN21/((1/1000)*(s_Irr!M21+s_Irr!AL21)),IF(AND(s_Irr!M21&lt;&gt;".",s_Irr!AL21=".",s_Irr!BK21&lt;&gt;"."),s_dir!AN21/((1/1000)*(s_Irr!M21+s_Irr!BK21)),IF(AND(s_Irr!M21=".",s_Irr!AL21&lt;&gt;".",s_Irr!BK21&lt;&gt;"."),s_dir!AN21/((1/1000)*(s_Irr!AL21+s_Irr!BK21)),IF(AND(s_Irr!M21=".",s_Irr!AL21=".",s_Irr!BK21&lt;&gt;"."),s_dir!AN21/((1/1000)*(s_Irr!BK21)),IF(AND(s_Irr!M21=".",s_Irr!AL21&lt;&gt;".",s_Irr!BK21="."),s_dir!AN21/((1/1000)*(s_Irr!AL21)),IF(AND(s_Irr!M21&lt;&gt;".",s_Irr!AL21=".",s_Irr!BK21="."),s_dir!AN21/((1/1000)*(s_Irr!M21)),IF(AND(s_Irr!M21=".",s_Irr!AL21=".",s_Irr!BK21="."),s_dir!AN21*1000)))))))),".")</f>
        <v>.</v>
      </c>
      <c r="BO21" s="76" t="str">
        <f>IFERROR(IF(AND(s_Irr!N21&lt;&gt;".",s_Irr!AM21&lt;&gt;".",s_Irr!BL21&lt;&gt;"."),s_dir!AO21/((1/1000)*(s_Irr!N21+s_Irr!AM21+s_Irr!BL21)),IF(AND(s_Irr!N21&lt;&gt;".",s_Irr!AM21&lt;&gt;".",s_Irr!BL21="."),s_dir!AO21/((1/1000)*(s_Irr!N21+s_Irr!AM21)),IF(AND(s_Irr!N21&lt;&gt;".",s_Irr!AM21=".",s_Irr!BL21&lt;&gt;"."),s_dir!AO21/((1/1000)*(s_Irr!N21+s_Irr!BL21)),IF(AND(s_Irr!N21=".",s_Irr!AM21&lt;&gt;".",s_Irr!BL21&lt;&gt;"."),s_dir!AO21/((1/1000)*(s_Irr!AM21+s_Irr!BL21)),IF(AND(s_Irr!N21=".",s_Irr!AM21=".",s_Irr!BL21&lt;&gt;"."),s_dir!AO21/((1/1000)*(s_Irr!BL21)),IF(AND(s_Irr!N21=".",s_Irr!AM21&lt;&gt;".",s_Irr!BL21="."),s_dir!AO21/((1/1000)*(s_Irr!AM21)),IF(AND(s_Irr!N21&lt;&gt;".",s_Irr!AM21=".",s_Irr!BL21="."),s_dir!AO21/((1/1000)*(s_Irr!N21)),IF(AND(s_Irr!N21=".",s_Irr!AM21=".",s_Irr!BL21="."),s_dir!AO21*1000)))))))),".")</f>
        <v>.</v>
      </c>
      <c r="BP21" s="76" t="str">
        <f>IFERROR(IF(AND(s_Irr!O21&lt;&gt;".",s_Irr!AN21&lt;&gt;".",s_Irr!BM21&lt;&gt;"."),s_dir!AP21/((1/1000)*(s_Irr!O21+s_Irr!AN21+s_Irr!BM21)),IF(AND(s_Irr!O21&lt;&gt;".",s_Irr!AN21&lt;&gt;".",s_Irr!BM21="."),s_dir!AP21/((1/1000)*(s_Irr!O21+s_Irr!AN21)),IF(AND(s_Irr!O21&lt;&gt;".",s_Irr!AN21=".",s_Irr!BM21&lt;&gt;"."),s_dir!AP21/((1/1000)*(s_Irr!O21+s_Irr!BM21)),IF(AND(s_Irr!O21=".",s_Irr!AN21&lt;&gt;".",s_Irr!BM21&lt;&gt;"."),s_dir!AP21/((1/1000)*(s_Irr!AN21+s_Irr!BM21)),IF(AND(s_Irr!O21=".",s_Irr!AN21=".",s_Irr!BM21&lt;&gt;"."),s_dir!AP21/((1/1000)*(s_Irr!BM21)),IF(AND(s_Irr!O21=".",s_Irr!AN21&lt;&gt;".",s_Irr!BM21="."),s_dir!AP21/((1/1000)*(s_Irr!AN21)),IF(AND(s_Irr!O21&lt;&gt;".",s_Irr!AN21=".",s_Irr!BM21="."),s_dir!AP21/((1/1000)*(s_Irr!O21)),IF(AND(s_Irr!O21=".",s_Irr!AN21=".",s_Irr!BM21="."),s_dir!AP21*1000)))))))),".")</f>
        <v>.</v>
      </c>
      <c r="BQ21" s="76" t="str">
        <f>IFERROR(IF(AND(s_Irr!P21&lt;&gt;".",s_Irr!AO21&lt;&gt;".",s_Irr!BN21&lt;&gt;"."),s_dir!AQ21/((1/1000)*(s_Irr!P21+s_Irr!AO21+s_Irr!BN21)),IF(AND(s_Irr!P21&lt;&gt;".",s_Irr!AO21&lt;&gt;".",s_Irr!BN21="."),s_dir!AQ21/((1/1000)*(s_Irr!P21+s_Irr!AO21)),IF(AND(s_Irr!P21&lt;&gt;".",s_Irr!AO21=".",s_Irr!BN21&lt;&gt;"."),s_dir!AQ21/((1/1000)*(s_Irr!P21+s_Irr!BN21)),IF(AND(s_Irr!P21=".",s_Irr!AO21&lt;&gt;".",s_Irr!BN21&lt;&gt;"."),s_dir!AQ21/((1/1000)*(s_Irr!AO21+s_Irr!BN21)),IF(AND(s_Irr!P21=".",s_Irr!AO21=".",s_Irr!BN21&lt;&gt;"."),s_dir!AQ21/((1/1000)*(s_Irr!BN21)),IF(AND(s_Irr!P21=".",s_Irr!AO21&lt;&gt;".",s_Irr!BN21="."),s_dir!AQ21/((1/1000)*(s_Irr!AO21)),IF(AND(s_Irr!P21&lt;&gt;".",s_Irr!AO21=".",s_Irr!BN21="."),s_dir!AQ21/((1/1000)*(s_Irr!P21)),IF(AND(s_Irr!P21=".",s_Irr!AO21=".",s_Irr!BN21="."),s_dir!AQ21*1000)))))))),".")</f>
        <v>.</v>
      </c>
      <c r="BR21" s="76" t="str">
        <f>IFERROR(IF(AND(s_Irr!Q21&lt;&gt;".",s_Irr!AP21&lt;&gt;".",s_Irr!BO21&lt;&gt;"."),s_dir!AR21/((1/1000)*(s_Irr!Q21+s_Irr!AP21+s_Irr!BO21)),IF(AND(s_Irr!Q21&lt;&gt;".",s_Irr!AP21&lt;&gt;".",s_Irr!BO21="."),s_dir!AR21/((1/1000)*(s_Irr!Q21+s_Irr!AP21)),IF(AND(s_Irr!Q21&lt;&gt;".",s_Irr!AP21=".",s_Irr!BO21&lt;&gt;"."),s_dir!AR21/((1/1000)*(s_Irr!Q21+s_Irr!BO21)),IF(AND(s_Irr!Q21=".",s_Irr!AP21&lt;&gt;".",s_Irr!BO21&lt;&gt;"."),s_dir!AR21/((1/1000)*(s_Irr!AP21+s_Irr!BO21)),IF(AND(s_Irr!Q21=".",s_Irr!AP21=".",s_Irr!BO21&lt;&gt;"."),s_dir!AR21/((1/1000)*(s_Irr!BO21)),IF(AND(s_Irr!Q21=".",s_Irr!AP21&lt;&gt;".",s_Irr!BO21="."),s_dir!AR21/((1/1000)*(s_Irr!AP21)),IF(AND(s_Irr!Q21&lt;&gt;".",s_Irr!AP21=".",s_Irr!BO21="."),s_dir!AR21/((1/1000)*(s_Irr!Q21)),IF(AND(s_Irr!Q21=".",s_Irr!AP21=".",s_Irr!BO21="."),s_dir!AR21*1000)))))))),".")</f>
        <v>.</v>
      </c>
      <c r="BS21" s="76" t="str">
        <f>IFERROR(IF(AND(s_Irr!R21&lt;&gt;".",s_Irr!AQ21&lt;&gt;".",s_Irr!BP21&lt;&gt;"."),s_dir!AS21/((1/1000)*(s_Irr!R21+s_Irr!AQ21+s_Irr!BP21)),IF(AND(s_Irr!R21&lt;&gt;".",s_Irr!AQ21&lt;&gt;".",s_Irr!BP21="."),s_dir!AS21/((1/1000)*(s_Irr!R21+s_Irr!AQ21)),IF(AND(s_Irr!R21&lt;&gt;".",s_Irr!AQ21=".",s_Irr!BP21&lt;&gt;"."),s_dir!AS21/((1/1000)*(s_Irr!R21+s_Irr!BP21)),IF(AND(s_Irr!R21=".",s_Irr!AQ21&lt;&gt;".",s_Irr!BP21&lt;&gt;"."),s_dir!AS21/((1/1000)*(s_Irr!AQ21+s_Irr!BP21)),IF(AND(s_Irr!R21=".",s_Irr!AQ21=".",s_Irr!BP21&lt;&gt;"."),s_dir!AS21/((1/1000)*(s_Irr!BP21)),IF(AND(s_Irr!R21=".",s_Irr!AQ21&lt;&gt;".",s_Irr!BP21="."),s_dir!AS21/((1/1000)*(s_Irr!AQ21)),IF(AND(s_Irr!R21&lt;&gt;".",s_Irr!AQ21=".",s_Irr!BP21="."),s_dir!AS21/((1/1000)*(s_Irr!R21)),IF(AND(s_Irr!R21=".",s_Irr!AQ21=".",s_Irr!BP21="."),s_dir!AS21*1000)))))))),".")</f>
        <v>.</v>
      </c>
      <c r="BT21" s="76" t="str">
        <f>IFERROR(IF(AND(s_Irr!S21&lt;&gt;".",s_Irr!AR21&lt;&gt;".",s_Irr!BQ21&lt;&gt;"."),s_dir!AT21/((1/1000)*(s_Irr!S21+s_Irr!AR21+s_Irr!BQ21)),IF(AND(s_Irr!S21&lt;&gt;".",s_Irr!AR21&lt;&gt;".",s_Irr!BQ21="."),s_dir!AT21/((1/1000)*(s_Irr!S21+s_Irr!AR21)),IF(AND(s_Irr!S21&lt;&gt;".",s_Irr!AR21=".",s_Irr!BQ21&lt;&gt;"."),s_dir!AT21/((1/1000)*(s_Irr!S21+s_Irr!BQ21)),IF(AND(s_Irr!S21=".",s_Irr!AR21&lt;&gt;".",s_Irr!BQ21&lt;&gt;"."),s_dir!AT21/((1/1000)*(s_Irr!AR21+s_Irr!BQ21)),IF(AND(s_Irr!S21=".",s_Irr!AR21=".",s_Irr!BQ21&lt;&gt;"."),s_dir!AT21/((1/1000)*(s_Irr!BQ21)),IF(AND(s_Irr!S21=".",s_Irr!AR21&lt;&gt;".",s_Irr!BQ21="."),s_dir!AT21/((1/1000)*(s_Irr!AR21)),IF(AND(s_Irr!S21&lt;&gt;".",s_Irr!AR21=".",s_Irr!BQ21="."),s_dir!AT21/((1/1000)*(s_Irr!S21)),IF(AND(s_Irr!S21=".",s_Irr!AR21=".",s_Irr!BQ21="."),s_dir!AT21*1000)))))))),".")</f>
        <v>.</v>
      </c>
      <c r="BU21" s="76" t="str">
        <f>IFERROR(IF(AND(s_Irr!T21&lt;&gt;".",s_Irr!AS21&lt;&gt;".",s_Irr!BR21&lt;&gt;"."),s_dir!AU21/((1/1000)*(s_Irr!T21+s_Irr!AS21+s_Irr!BR21)),IF(AND(s_Irr!T21&lt;&gt;".",s_Irr!AS21&lt;&gt;".",s_Irr!BR21="."),s_dir!AU21/((1/1000)*(s_Irr!T21+s_Irr!AS21)),IF(AND(s_Irr!T21&lt;&gt;".",s_Irr!AS21=".",s_Irr!BR21&lt;&gt;"."),s_dir!AU21/((1/1000)*(s_Irr!T21+s_Irr!BR21)),IF(AND(s_Irr!T21=".",s_Irr!AS21&lt;&gt;".",s_Irr!BR21&lt;&gt;"."),s_dir!AU21/((1/1000)*(s_Irr!AS21+s_Irr!BR21)),IF(AND(s_Irr!T21=".",s_Irr!AS21=".",s_Irr!BR21&lt;&gt;"."),s_dir!AU21/((1/1000)*(s_Irr!BR21)),IF(AND(s_Irr!T21=".",s_Irr!AS21&lt;&gt;".",s_Irr!BR21="."),s_dir!AU21/((1/1000)*(s_Irr!AS21)),IF(AND(s_Irr!T21&lt;&gt;".",s_Irr!AS21=".",s_Irr!BR21="."),s_dir!AU21/((1/1000)*(s_Irr!T21)),IF(AND(s_Irr!T21=".",s_Irr!AS21=".",s_Irr!BR21="."),s_dir!AU21*1000)))))))),".")</f>
        <v>.</v>
      </c>
      <c r="BV21" s="76" t="str">
        <f>IFERROR(IF(AND(s_Irr!U21&lt;&gt;".",s_Irr!AT21&lt;&gt;".",s_Irr!BS21&lt;&gt;"."),s_dir!AV21/((1/1000)*(s_Irr!U21+s_Irr!AT21+s_Irr!BS21)),IF(AND(s_Irr!U21&lt;&gt;".",s_Irr!AT21&lt;&gt;".",s_Irr!BS21="."),s_dir!AV21/((1/1000)*(s_Irr!U21+s_Irr!AT21)),IF(AND(s_Irr!U21&lt;&gt;".",s_Irr!AT21=".",s_Irr!BS21&lt;&gt;"."),s_dir!AV21/((1/1000)*(s_Irr!U21+s_Irr!BS21)),IF(AND(s_Irr!U21=".",s_Irr!AT21&lt;&gt;".",s_Irr!BS21&lt;&gt;"."),s_dir!AV21/((1/1000)*(s_Irr!AT21+s_Irr!BS21)),IF(AND(s_Irr!U21=".",s_Irr!AT21=".",s_Irr!BS21&lt;&gt;"."),s_dir!AV21/((1/1000)*(s_Irr!BS21)),IF(AND(s_Irr!U21=".",s_Irr!AT21&lt;&gt;".",s_Irr!BS21="."),s_dir!AV21/((1/1000)*(s_Irr!AT21)),IF(AND(s_Irr!U21&lt;&gt;".",s_Irr!AT21=".",s_Irr!BS21="."),s_dir!AV21/((1/1000)*(s_Irr!U21)),IF(AND(s_Irr!U21=".",s_Irr!AT21=".",s_Irr!BS21="."),s_dir!AV21*1000)))))))),".")</f>
        <v>.</v>
      </c>
      <c r="BW21" s="76" t="str">
        <f>IFERROR(IF(AND(s_Irr!V21&lt;&gt;".",s_Irr!AU21&lt;&gt;".",s_Irr!BT21&lt;&gt;"."),s_dir!AW21/((1/1000)*(s_Irr!V21+s_Irr!AU21+s_Irr!BT21)),IF(AND(s_Irr!V21&lt;&gt;".",s_Irr!AU21&lt;&gt;".",s_Irr!BT21="."),s_dir!AW21/((1/1000)*(s_Irr!V21+s_Irr!AU21)),IF(AND(s_Irr!V21&lt;&gt;".",s_Irr!AU21=".",s_Irr!BT21&lt;&gt;"."),s_dir!AW21/((1/1000)*(s_Irr!V21+s_Irr!BT21)),IF(AND(s_Irr!V21=".",s_Irr!AU21&lt;&gt;".",s_Irr!BT21&lt;&gt;"."),s_dir!AW21/((1/1000)*(s_Irr!AU21+s_Irr!BT21)),IF(AND(s_Irr!V21=".",s_Irr!AU21=".",s_Irr!BT21&lt;&gt;"."),s_dir!AW21/((1/1000)*(s_Irr!BT21)),IF(AND(s_Irr!V21=".",s_Irr!AU21&lt;&gt;".",s_Irr!BT21="."),s_dir!AW21/((1/1000)*(s_Irr!AU21)),IF(AND(s_Irr!V21&lt;&gt;".",s_Irr!AU21=".",s_Irr!BT21="."),s_dir!AW21/((1/1000)*(s_Irr!V21)),IF(AND(s_Irr!V21=".",s_Irr!AU21=".",s_Irr!BT21="."),s_dir!AW21*1000)))))))),".")</f>
        <v>.</v>
      </c>
      <c r="BX21" s="76" t="str">
        <f>IFERROR(IF(AND(s_Irr!W21&lt;&gt;".",s_Irr!AV21&lt;&gt;".",s_Irr!BU21&lt;&gt;"."),s_dir!AX21/((1/1000)*(s_Irr!W21+s_Irr!AV21+s_Irr!BU21)),IF(AND(s_Irr!W21&lt;&gt;".",s_Irr!AV21&lt;&gt;".",s_Irr!BU21="."),s_dir!AX21/((1/1000)*(s_Irr!W21+s_Irr!AV21)),IF(AND(s_Irr!W21&lt;&gt;".",s_Irr!AV21=".",s_Irr!BU21&lt;&gt;"."),s_dir!AX21/((1/1000)*(s_Irr!W21+s_Irr!BU21)),IF(AND(s_Irr!W21=".",s_Irr!AV21&lt;&gt;".",s_Irr!BU21&lt;&gt;"."),s_dir!AX21/((1/1000)*(s_Irr!AV21+s_Irr!BU21)),IF(AND(s_Irr!W21=".",s_Irr!AV21=".",s_Irr!BU21&lt;&gt;"."),s_dir!AX21/((1/1000)*(s_Irr!BU21)),IF(AND(s_Irr!W21=".",s_Irr!AV21&lt;&gt;".",s_Irr!BU21="."),s_dir!AX21/((1/1000)*(s_Irr!AV21)),IF(AND(s_Irr!W21&lt;&gt;".",s_Irr!AV21=".",s_Irr!BU21="."),s_dir!AX21/((1/1000)*(s_Irr!W21)),IF(AND(s_Irr!W21=".",s_Irr!AV21=".",s_Irr!BU21="."),s_dir!AX21*1000)))))))),".")</f>
        <v>.</v>
      </c>
      <c r="BY21" s="76" t="str">
        <f>IFERROR(IF(AND(s_Irr!X21&lt;&gt;".",s_Irr!AW21&lt;&gt;".",s_Irr!BV21&lt;&gt;"."),s_dir!AY21/((1/1000)*(s_Irr!X21+s_Irr!AW21+s_Irr!BV21)),IF(AND(s_Irr!X21&lt;&gt;".",s_Irr!AW21&lt;&gt;".",s_Irr!BV21="."),s_dir!AY21/((1/1000)*(s_Irr!X21+s_Irr!AW21)),IF(AND(s_Irr!X21&lt;&gt;".",s_Irr!AW21=".",s_Irr!BV21&lt;&gt;"."),s_dir!AY21/((1/1000)*(s_Irr!X21+s_Irr!BV21)),IF(AND(s_Irr!X21=".",s_Irr!AW21&lt;&gt;".",s_Irr!BV21&lt;&gt;"."),s_dir!AY21/((1/1000)*(s_Irr!AW21+s_Irr!BV21)),IF(AND(s_Irr!X21=".",s_Irr!AW21=".",s_Irr!BV21&lt;&gt;"."),s_dir!AY21/((1/1000)*(s_Irr!BV21)),IF(AND(s_Irr!X21=".",s_Irr!AW21&lt;&gt;".",s_Irr!BV21="."),s_dir!AY21/((1/1000)*(s_Irr!AW21)),IF(AND(s_Irr!X21&lt;&gt;".",s_Irr!AW21=".",s_Irr!BV21="."),s_dir!AY21/((1/1000)*(s_Irr!X21)),IF(AND(s_Irr!X21=".",s_Irr!AW21=".",s_Irr!BV21="."),s_dir!AY21*1000)))))))),".")</f>
        <v>.</v>
      </c>
      <c r="BZ21" s="76" t="str">
        <f>IFERROR(IF(AND(s_Irr!Y21&lt;&gt;".",s_Irr!AX21&lt;&gt;".",s_Irr!BW21&lt;&gt;"."),s_dir!AZ21/((1/1000)*(s_Irr!Y21+s_Irr!AX21+s_Irr!BW21)),IF(AND(s_Irr!Y21&lt;&gt;".",s_Irr!AX21&lt;&gt;".",s_Irr!BW21="."),s_dir!AZ21/((1/1000)*(s_Irr!Y21+s_Irr!AX21)),IF(AND(s_Irr!Y21&lt;&gt;".",s_Irr!AX21=".",s_Irr!BW21&lt;&gt;"."),s_dir!AZ21/((1/1000)*(s_Irr!Y21+s_Irr!BW21)),IF(AND(s_Irr!Y21=".",s_Irr!AX21&lt;&gt;".",s_Irr!BW21&lt;&gt;"."),s_dir!AZ21/((1/1000)*(s_Irr!AX21+s_Irr!BW21)),IF(AND(s_Irr!Y21=".",s_Irr!AX21=".",s_Irr!BW21&lt;&gt;"."),s_dir!AZ21/((1/1000)*(s_Irr!BW21)),IF(AND(s_Irr!Y21=".",s_Irr!AX21&lt;&gt;".",s_Irr!BW21="."),s_dir!AZ21/((1/1000)*(s_Irr!AX21)),IF(AND(s_Irr!Y21&lt;&gt;".",s_Irr!AX21=".",s_Irr!BW21="."),s_dir!AZ21/((1/1000)*(s_Irr!Y21)),IF(AND(s_Irr!Y21=".",s_Irr!AX21=".",s_Irr!BW21="."),s_dir!AZ21*1000)))))))),".")</f>
        <v>.</v>
      </c>
      <c r="CA21" s="76" t="str">
        <f>IFERROR(IF(AND(s_Irr!Z21&lt;&gt;".",s_Irr!AY21&lt;&gt;".",s_Irr!BX21&lt;&gt;"."),s_dir!BA21/((1/1000)*(s_Irr!Z21+s_Irr!AY21+s_Irr!BX21)),IF(AND(s_Irr!Z21&lt;&gt;".",s_Irr!AY21&lt;&gt;".",s_Irr!BX21="."),s_dir!BA21/((1/1000)*(s_Irr!Z21+s_Irr!AY21)),IF(AND(s_Irr!Z21&lt;&gt;".",s_Irr!AY21=".",s_Irr!BX21&lt;&gt;"."),s_dir!BA21/((1/1000)*(s_Irr!Z21+s_Irr!BX21)),IF(AND(s_Irr!Z21=".",s_Irr!AY21&lt;&gt;".",s_Irr!BX21&lt;&gt;"."),s_dir!BA21/((1/1000)*(s_Irr!AY21+s_Irr!BX21)),IF(AND(s_Irr!Z21=".",s_Irr!AY21=".",s_Irr!BX21&lt;&gt;"."),s_dir!BA21/((1/1000)*(s_Irr!BX21)),IF(AND(s_Irr!Z21=".",s_Irr!AY21&lt;&gt;".",s_Irr!BX21="."),s_dir!BA21/((1/1000)*(s_Irr!AY21)),IF(AND(s_Irr!Z21&lt;&gt;".",s_Irr!AY21=".",s_Irr!BX21="."),s_dir!BA21/((1/1000)*(s_Irr!Z21)),IF(AND(s_Irr!Z21=".",s_Irr!AY21=".",s_Irr!BX21="."),s_dir!BA21*1000)))))))),".")</f>
        <v>.</v>
      </c>
      <c r="CB21" s="76" t="str">
        <f>IFERROR(IF(AND(s_Irr!AA21&lt;&gt;".",s_Irr!AZ21&lt;&gt;".",s_Irr!BY21&lt;&gt;"."),s_dir!BB21/((1/1000)*(s_Irr!AA21+s_Irr!AZ21+s_Irr!BY21)),IF(AND(s_Irr!AA21&lt;&gt;".",s_Irr!AZ21&lt;&gt;".",s_Irr!BY21="."),s_dir!BB21/((1/1000)*(s_Irr!AA21+s_Irr!AZ21)),IF(AND(s_Irr!AA21&lt;&gt;".",s_Irr!AZ21=".",s_Irr!BY21&lt;&gt;"."),s_dir!BB21/((1/1000)*(s_Irr!AA21+s_Irr!BY21)),IF(AND(s_Irr!AA21=".",s_Irr!AZ21&lt;&gt;".",s_Irr!BY21&lt;&gt;"."),s_dir!BB21/((1/1000)*(s_Irr!AZ21+s_Irr!BY21)),IF(AND(s_Irr!AA21=".",s_Irr!AZ21=".",s_Irr!BY21&lt;&gt;"."),s_dir!BB21/((1/1000)*(s_Irr!BY21)),IF(AND(s_Irr!AA21=".",s_Irr!AZ21&lt;&gt;".",s_Irr!BY21="."),s_dir!BB21/((1/1000)*(s_Irr!AZ21)),IF(AND(s_Irr!AA21&lt;&gt;".",s_Irr!AZ21=".",s_Irr!BY21="."),s_dir!BB21/((1/1000)*(s_Irr!AA21)),IF(AND(s_Irr!AA21=".",s_Irr!AZ21=".",s_Irr!BY21="."),s_dir!BB21*1000)))))))),".")</f>
        <v>.</v>
      </c>
      <c r="CC21" s="93">
        <f t="shared" si="2"/>
        <v>7486.4983546212979</v>
      </c>
      <c r="CD21" s="93">
        <f>IFERROR(s_C*s_IFAP_far_adj*s_CF_apple*(1/1000)*(s_Irr!C21+s_Irr!AB21+s_Irr!BA21),".")</f>
        <v>1775.1529030993431</v>
      </c>
      <c r="CE21" s="93">
        <f>IFERROR(s_C*s_IFAS_far_adj*s_CF_asparagus*(1/1000)*(s_Irr!D21+s_Irr!AC21+s_Irr!BB21),".")</f>
        <v>1991.5379921968718</v>
      </c>
      <c r="CF21" s="93">
        <f>IFERROR(s_C*s_IFBT_far_adj*s_CF_beet*(1/1000)*(s_Irr!E21+s_Irr!AD21+s_Irr!BC21),".")</f>
        <v>1943.4524168418652</v>
      </c>
      <c r="CG21" s="93">
        <f>IFERROR(s_C*s_IFBE_far_adj*s_CF_berries*(1/1000)*(s_Irr!F21+s_Irr!AE21+s_Irr!BD21),".")</f>
        <v>1775.1529030993431</v>
      </c>
      <c r="CH21" s="93">
        <f>IFERROR(s_C*s_IFBR_far_adj*s_CF_broccoli*(1/1000)*(s_Irr!G21+s_Irr!AF21+s_Irr!BE21),".")</f>
        <v>1775.1529030993431</v>
      </c>
      <c r="CI21" s="93">
        <f>IFERROR(s_C*s_IFCB_far_adj*s_CF_cabbage*(1/1000)*(s_Irr!H21+s_Irr!AG21+s_Irr!BF21),".")</f>
        <v>1991.5379921968718</v>
      </c>
      <c r="CJ21" s="93">
        <f>IFERROR(s_C*s_IFCR_far_adj*s_CF_carrot*(1/1000)*(s_Irr!I21+s_Irr!AH21+s_Irr!BG21),".")</f>
        <v>1943.4524168418652</v>
      </c>
      <c r="CK21" s="93">
        <f>IFERROR(s_C*s_IFCI_far_adj*s_CF_citrus*(1/1000)*(s_Irr!J21+s_Irr!AI21+s_Irr!BH21),".")</f>
        <v>1775.1529030993431</v>
      </c>
      <c r="CL21" s="93">
        <f>IFERROR(s_C*s_IFCO_far_adj*s_CF_corn*(1/1000)*(s_Irr!K21+s_Irr!AJ21+s_Irr!BI21),".")</f>
        <v>1776.3550424832183</v>
      </c>
      <c r="CM21" s="93">
        <f>IFERROR(s_C*s_IFCU_far_adj*s_CF_cucumber*(1/1000)*(s_Irr!L21+s_Irr!AK21+s_Irr!BJ21),".")</f>
        <v>1775.1529030993431</v>
      </c>
      <c r="CN21" s="93">
        <f>IFERROR(s_C*s_IFLE_far_adj*s_CF_lettuce*(1/1000)*(s_Irr!M21+s_Irr!AL21+s_Irr!BK21),".")</f>
        <v>1991.5379921968718</v>
      </c>
      <c r="CO21" s="93">
        <f>IFERROR(s_C*s_IFLI_far_adj*s_CF_lima_bean*(1/1000)*(s_Irr!N21+s_Irr!AM21+s_Irr!BL21),".")</f>
        <v>1777.2566470211248</v>
      </c>
      <c r="CP21" s="93">
        <f>IFERROR(s_C*s_IFOK_far_adj*s_CF_okra*(1/1000)*(s_Irr!O21+s_Irr!AN21+s_Irr!BM21),".")</f>
        <v>1775.1529030993431</v>
      </c>
      <c r="CQ21" s="93">
        <f>IFERROR(s_C*s_IFON_far_adj*s_CF_onion*(1/1000)*(s_Irr!P21+s_Irr!AO21+s_Irr!BN21),".")</f>
        <v>1943.4524168418652</v>
      </c>
      <c r="CR21" s="93">
        <f>IFERROR(s_C*s_IFPC_far_adj*s_CF_peach*(1/1000)*(s_Irr!Q21+s_Irr!AP21+s_Irr!BO21),".")</f>
        <v>1775.1529030993431</v>
      </c>
      <c r="CS21" s="93">
        <f>IFERROR(s_C*s_IFPR_far_adj*s_CF_pear*(1/1000)*(s_Irr!R21+s_Irr!AQ21+s_Irr!BP21),".")</f>
        <v>1775.1529030993431</v>
      </c>
      <c r="CT21" s="93">
        <f>IFERROR(s_C*s_IFPE_far_adj*s_CF_peas*(1/1000)*(s_Irr!S21+s_Irr!AR21+s_Irr!BQ21),".")</f>
        <v>1777.2566470211248</v>
      </c>
      <c r="CU21" s="93">
        <f>IFERROR(s_C*s_IFPP_far_adj*s_CF_peppers*(1/1000)*(s_Irr!T21+s_Irr!AS21+s_Irr!BR21),".")</f>
        <v>1775.1529030993431</v>
      </c>
      <c r="CV21" s="93">
        <f>IFERROR(s_C*s_IFPT_far_adj*s_CF_potato*(1/1000)*(s_Irr!U21+s_Irr!AT21+s_Irr!BS21),".")</f>
        <v>1850.2866145915405</v>
      </c>
      <c r="CW21" s="93">
        <f>IFERROR(s_C*s_IFPU_far_adj*s_CF_pumpkin*(1/1000)*(s_Irr!V21+s_Irr!AU21+s_Irr!BT21),".")</f>
        <v>1775.1529030993431</v>
      </c>
      <c r="CX21" s="93">
        <f>IFERROR(s_C*s_IFSN_far_adj*s_CF_snap_bean*(1/1000)*(s_Irr!W21+s_Irr!AV21+s_Irr!BU21),".")</f>
        <v>1777.2566470211248</v>
      </c>
      <c r="CY21" s="93">
        <f>IFERROR(s_C*s_IFST_far_adj*s_CF_strawberry*(1/1000)*(s_Irr!X21+s_Irr!AW21+s_Irr!BV21),".")</f>
        <v>1775.1529030993431</v>
      </c>
      <c r="CZ21" s="93">
        <f>IFERROR(s_C*s_IFTO_far_adj*s_CF_tomato*(1/1000)*(s_Irr!Y21+s_Irr!AX21+s_Irr!BW21),".")</f>
        <v>1775.1529030993431</v>
      </c>
      <c r="DA21" s="93">
        <f>IFERROR(s_C*s_IFRI_far_adj*s_CF_rice*(1/1000)*(s_Irr!Z21+s_Irr!AY21+s_Irr!BX21),".")</f>
        <v>2159.8375059393938</v>
      </c>
      <c r="DB21" s="93">
        <f>IFERROR(s_C*s_IFCG_far_adj*s_CF_cereal*(1/1000)*(s_Irr!AA21+s_Irr!AZ21+s_Irr!BY21),".")</f>
        <v>1776.3550424832183</v>
      </c>
    </row>
    <row r="22" spans="1:106" ht="15" customHeight="1" x14ac:dyDescent="0.25">
      <c r="A22" s="92" t="s">
        <v>32</v>
      </c>
      <c r="B22" s="90" t="s">
        <v>1071</v>
      </c>
      <c r="C22" s="15">
        <f t="shared" si="3"/>
        <v>38.649753975149792</v>
      </c>
      <c r="D22" s="76">
        <f>IFERROR(IF(AND(s_Irr!C22&lt;&gt;".",s_Irr!AB22&lt;&gt;".",s_Irr!BA22&lt;&gt;"."),s_dir!D22/((1/1000)*(s_Irr!C22+s_Irr!AB22+s_Irr!BA22)),IF(AND(s_Irr!C22&lt;&gt;".",s_Irr!AB22&lt;&gt;".",s_Irr!BA22="."),s_dir!D22/((1/1000)*(s_Irr!C22+s_Irr!AB22)),IF(AND(s_Irr!C22&lt;&gt;".",s_Irr!AB22=".",s_Irr!BA22&lt;&gt;"."),s_dir!D22/((1/1000)*(s_Irr!C22+s_Irr!BA22)),IF(AND(s_Irr!C22=".",s_Irr!AB22&lt;&gt;".",s_Irr!BA22&lt;&gt;"."),s_dir!D22/((1/1000)*(s_Irr!AB22+s_Irr!BA22)),IF(AND(s_Irr!C22=".",s_Irr!AB22=".",s_Irr!BA22&lt;&gt;"."),s_dir!D22/((1/1000)*(s_Irr!BA22)),IF(AND(s_Irr!C22=".",s_Irr!AB22&lt;&gt;".",s_Irr!BA22="."),s_dir!D22/((1/1000)*(s_Irr!AB22)),IF(AND(s_Irr!C22&lt;&gt;".",s_Irr!AB22=".",s_Irr!BA22="."),s_dir!D22/((1/1000)*(s_Irr!C22)),IF(AND(s_Irr!C22=".",s_Irr!AB22=".",s_Irr!BA22="."),s_dir!D22*1000)))))))),".")</f>
        <v>157.33219407967994</v>
      </c>
      <c r="E22" s="76">
        <f>IFERROR(IF(AND(s_Irr!D22&lt;&gt;".",s_Irr!AC22&lt;&gt;".",s_Irr!BB22&lt;&gt;"."),s_dir!E22/((1/1000)*(s_Irr!D22+s_Irr!AC22+s_Irr!BB22)),IF(AND(s_Irr!D22&lt;&gt;".",s_Irr!AC22&lt;&gt;".",s_Irr!BB22="."),s_dir!E22/((1/1000)*(s_Irr!D22+s_Irr!AC22)),IF(AND(s_Irr!D22&lt;&gt;".",s_Irr!AC22=".",s_Irr!BB22&lt;&gt;"."),s_dir!E22/((1/1000)*(s_Irr!D22+s_Irr!BB22)),IF(AND(s_Irr!D22=".",s_Irr!AC22&lt;&gt;".",s_Irr!BB22&lt;&gt;"."),s_dir!E22/((1/1000)*(s_Irr!AC22+s_Irr!BB22)),IF(AND(s_Irr!D22=".",s_Irr!AC22=".",s_Irr!BB22&lt;&gt;"."),s_dir!E22/((1/1000)*(s_Irr!BB22)),IF(AND(s_Irr!D22=".",s_Irr!AC22&lt;&gt;".",s_Irr!BB22="."),s_dir!E22/((1/1000)*(s_Irr!AC22)),IF(AND(s_Irr!D22&lt;&gt;".",s_Irr!AC22=".",s_Irr!BB22="."),s_dir!E22/((1/1000)*(s_Irr!D22)),IF(AND(s_Irr!D22=".",s_Irr!AC22=".",s_Irr!BB22="."),s_dir!E22*1000)))))))),".")</f>
        <v>72.297104565455456</v>
      </c>
      <c r="F22" s="76">
        <f>IFERROR(IF(AND(s_Irr!E22&lt;&gt;".",s_Irr!AD22&lt;&gt;".",s_Irr!BC22&lt;&gt;"."),s_dir!F22/((1/1000)*(s_Irr!E22+s_Irr!AD22+s_Irr!BC22)),IF(AND(s_Irr!E22&lt;&gt;".",s_Irr!AD22&lt;&gt;".",s_Irr!BC22="."),s_dir!F22/((1/1000)*(s_Irr!E22+s_Irr!AD22)),IF(AND(s_Irr!E22&lt;&gt;".",s_Irr!AD22=".",s_Irr!BC22&lt;&gt;"."),s_dir!F22/((1/1000)*(s_Irr!E22+s_Irr!BC22)),IF(AND(s_Irr!E22=".",s_Irr!AD22&lt;&gt;".",s_Irr!BC22&lt;&gt;"."),s_dir!F22/((1/1000)*(s_Irr!AD22+s_Irr!BC22)),IF(AND(s_Irr!E22=".",s_Irr!AD22=".",s_Irr!BC22&lt;&gt;"."),s_dir!F22/((1/1000)*(s_Irr!BC22)),IF(AND(s_Irr!E22=".",s_Irr!AD22&lt;&gt;".",s_Irr!BC22="."),s_dir!F22/((1/1000)*(s_Irr!AD22)),IF(AND(s_Irr!E22&lt;&gt;".",s_Irr!AD22=".",s_Irr!BC22="."),s_dir!F22/((1/1000)*(s_Irr!E22)),IF(AND(s_Irr!E22=".",s_Irr!AD22=".",s_Irr!BC22="."),s_dir!F22*1000)))))))),".")</f>
        <v>84.078596915092575</v>
      </c>
      <c r="G22" s="76">
        <f>IFERROR(IF(AND(s_Irr!F22&lt;&gt;".",s_Irr!AE22&lt;&gt;".",s_Irr!BD22&lt;&gt;"."),s_dir!G22/((1/1000)*(s_Irr!F22+s_Irr!AE22+s_Irr!BD22)),IF(AND(s_Irr!F22&lt;&gt;".",s_Irr!AE22&lt;&gt;".",s_Irr!BD22="."),s_dir!G22/((1/1000)*(s_Irr!F22+s_Irr!AE22)),IF(AND(s_Irr!F22&lt;&gt;".",s_Irr!AE22=".",s_Irr!BD22&lt;&gt;"."),s_dir!G22/((1/1000)*(s_Irr!F22+s_Irr!BD22)),IF(AND(s_Irr!F22=".",s_Irr!AE22&lt;&gt;".",s_Irr!BD22&lt;&gt;"."),s_dir!G22/((1/1000)*(s_Irr!AE22+s_Irr!BD22)),IF(AND(s_Irr!F22=".",s_Irr!AE22=".",s_Irr!BD22&lt;&gt;"."),s_dir!G22/((1/1000)*(s_Irr!BD22)),IF(AND(s_Irr!F22=".",s_Irr!AE22&lt;&gt;".",s_Irr!BD22="."),s_dir!G22/((1/1000)*(s_Irr!AE22)),IF(AND(s_Irr!F22&lt;&gt;".",s_Irr!AE22=".",s_Irr!BD22="."),s_dir!G22/((1/1000)*(s_Irr!F22)),IF(AND(s_Irr!F22=".",s_Irr!AE22=".",s_Irr!BD22="."),s_dir!G22*1000)))))))),".")</f>
        <v>157.33219407967994</v>
      </c>
      <c r="H22" s="76">
        <f>IFERROR(IF(AND(s_Irr!G22&lt;&gt;".",s_Irr!AF22&lt;&gt;".",s_Irr!BE22&lt;&gt;"."),s_dir!H22/((1/1000)*(s_Irr!G22+s_Irr!AF22+s_Irr!BE22)),IF(AND(s_Irr!G22&lt;&gt;".",s_Irr!AF22&lt;&gt;".",s_Irr!BE22="."),s_dir!H22/((1/1000)*(s_Irr!G22+s_Irr!AF22)),IF(AND(s_Irr!G22&lt;&gt;".",s_Irr!AF22=".",s_Irr!BE22&lt;&gt;"."),s_dir!H22/((1/1000)*(s_Irr!G22+s_Irr!BE22)),IF(AND(s_Irr!G22=".",s_Irr!AF22&lt;&gt;".",s_Irr!BE22&lt;&gt;"."),s_dir!H22/((1/1000)*(s_Irr!AF22+s_Irr!BE22)),IF(AND(s_Irr!G22=".",s_Irr!AF22=".",s_Irr!BE22&lt;&gt;"."),s_dir!H22/((1/1000)*(s_Irr!BE22)),IF(AND(s_Irr!G22=".",s_Irr!AF22&lt;&gt;".",s_Irr!BE22="."),s_dir!H22/((1/1000)*(s_Irr!AF22)),IF(AND(s_Irr!G22&lt;&gt;".",s_Irr!AF22=".",s_Irr!BE22="."),s_dir!H22/((1/1000)*(s_Irr!G22)),IF(AND(s_Irr!G22=".",s_Irr!AF22=".",s_Irr!BE22="."),s_dir!H22*1000)))))))),".")</f>
        <v>142.81556342122616</v>
      </c>
      <c r="I22" s="76">
        <f>IFERROR(IF(AND(s_Irr!H22&lt;&gt;".",s_Irr!AG22&lt;&gt;".",s_Irr!BF22&lt;&gt;"."),s_dir!I22/((1/1000)*(s_Irr!H22+s_Irr!AG22+s_Irr!BF22)),IF(AND(s_Irr!H22&lt;&gt;".",s_Irr!AG22&lt;&gt;".",s_Irr!BF22="."),s_dir!I22/((1/1000)*(s_Irr!H22+s_Irr!AG22)),IF(AND(s_Irr!H22&lt;&gt;".",s_Irr!AG22=".",s_Irr!BF22&lt;&gt;"."),s_dir!I22/((1/1000)*(s_Irr!H22+s_Irr!BF22)),IF(AND(s_Irr!H22=".",s_Irr!AG22&lt;&gt;".",s_Irr!BF22&lt;&gt;"."),s_dir!I22/((1/1000)*(s_Irr!AG22+s_Irr!BF22)),IF(AND(s_Irr!H22=".",s_Irr!AG22=".",s_Irr!BF22&lt;&gt;"."),s_dir!I22/((1/1000)*(s_Irr!BF22)),IF(AND(s_Irr!H22=".",s_Irr!AG22&lt;&gt;".",s_Irr!BF22="."),s_dir!I22/((1/1000)*(s_Irr!AG22)),IF(AND(s_Irr!H22&lt;&gt;".",s_Irr!AG22=".",s_Irr!BF22="."),s_dir!I22/((1/1000)*(s_Irr!H22)),IF(AND(s_Irr!H22=".",s_Irr!AG22=".",s_Irr!BF22="."),s_dir!I22*1000)))))))),".")</f>
        <v>72.297104565455456</v>
      </c>
      <c r="J22" s="76">
        <f>IFERROR(IF(AND(s_Irr!I22&lt;&gt;".",s_Irr!AH22&lt;&gt;".",s_Irr!BG22&lt;&gt;"."),s_dir!J22/((1/1000)*(s_Irr!I22+s_Irr!AH22+s_Irr!BG22)),IF(AND(s_Irr!I22&lt;&gt;".",s_Irr!AH22&lt;&gt;".",s_Irr!BG22="."),s_dir!J22/((1/1000)*(s_Irr!I22+s_Irr!AH22)),IF(AND(s_Irr!I22&lt;&gt;".",s_Irr!AH22=".",s_Irr!BG22&lt;&gt;"."),s_dir!J22/((1/1000)*(s_Irr!I22+s_Irr!BG22)),IF(AND(s_Irr!I22=".",s_Irr!AH22&lt;&gt;".",s_Irr!BG22&lt;&gt;"."),s_dir!J22/((1/1000)*(s_Irr!AH22+s_Irr!BG22)),IF(AND(s_Irr!I22=".",s_Irr!AH22=".",s_Irr!BG22&lt;&gt;"."),s_dir!J22/((1/1000)*(s_Irr!BG22)),IF(AND(s_Irr!I22=".",s_Irr!AH22&lt;&gt;".",s_Irr!BG22="."),s_dir!J22/((1/1000)*(s_Irr!AH22)),IF(AND(s_Irr!I22&lt;&gt;".",s_Irr!AH22=".",s_Irr!BG22="."),s_dir!J22/((1/1000)*(s_Irr!I22)),IF(AND(s_Irr!I22=".",s_Irr!AH22=".",s_Irr!BG22="."),s_dir!J22*1000)))))))),".")</f>
        <v>84.078596915092575</v>
      </c>
      <c r="K22" s="76">
        <f>IFERROR(IF(AND(s_Irr!J22&lt;&gt;".",s_Irr!AI22&lt;&gt;".",s_Irr!BH22&lt;&gt;"."),s_dir!K22/((1/1000)*(s_Irr!J22+s_Irr!AI22+s_Irr!BH22)),IF(AND(s_Irr!J22&lt;&gt;".",s_Irr!AI22&lt;&gt;".",s_Irr!BH22="."),s_dir!K22/((1/1000)*(s_Irr!J22+s_Irr!AI22)),IF(AND(s_Irr!J22&lt;&gt;".",s_Irr!AI22=".",s_Irr!BH22&lt;&gt;"."),s_dir!K22/((1/1000)*(s_Irr!J22+s_Irr!BH22)),IF(AND(s_Irr!J22=".",s_Irr!AI22&lt;&gt;".",s_Irr!BH22&lt;&gt;"."),s_dir!K22/((1/1000)*(s_Irr!AI22+s_Irr!BH22)),IF(AND(s_Irr!J22=".",s_Irr!AI22=".",s_Irr!BH22&lt;&gt;"."),s_dir!K22/((1/1000)*(s_Irr!BH22)),IF(AND(s_Irr!J22=".",s_Irr!AI22&lt;&gt;".",s_Irr!BH22="."),s_dir!K22/((1/1000)*(s_Irr!AI22)),IF(AND(s_Irr!J22&lt;&gt;".",s_Irr!AI22=".",s_Irr!BH22="."),s_dir!K22/((1/1000)*(s_Irr!J22)),IF(AND(s_Irr!J22=".",s_Irr!AI22=".",s_Irr!BH22="."),s_dir!K22*1000)))))))),".")</f>
        <v>157.33219407967994</v>
      </c>
      <c r="L22" s="76">
        <f>IFERROR(IF(AND(s_Irr!K22&lt;&gt;".",s_Irr!AJ22&lt;&gt;".",s_Irr!BI22&lt;&gt;"."),s_dir!L22/((1/1000)*(s_Irr!K22+s_Irr!AJ22+s_Irr!BI22)),IF(AND(s_Irr!K22&lt;&gt;".",s_Irr!AJ22&lt;&gt;".",s_Irr!BI22="."),s_dir!L22/((1/1000)*(s_Irr!K22+s_Irr!AJ22)),IF(AND(s_Irr!K22&lt;&gt;".",s_Irr!AJ22=".",s_Irr!BI22&lt;&gt;"."),s_dir!L22/((1/1000)*(s_Irr!K22+s_Irr!BI22)),IF(AND(s_Irr!K22=".",s_Irr!AJ22&lt;&gt;".",s_Irr!BI22&lt;&gt;"."),s_dir!L22/((1/1000)*(s_Irr!AJ22+s_Irr!BI22)),IF(AND(s_Irr!K22=".",s_Irr!AJ22=".",s_Irr!BI22&lt;&gt;"."),s_dir!L22/((1/1000)*(s_Irr!BI22)),IF(AND(s_Irr!K22=".",s_Irr!AJ22&lt;&gt;".",s_Irr!BI22="."),s_dir!L22/((1/1000)*(s_Irr!AJ22)),IF(AND(s_Irr!K22&lt;&gt;".",s_Irr!AJ22=".",s_Irr!BI22="."),s_dir!L22/((1/1000)*(s_Irr!K22)),IF(AND(s_Irr!K22=".",s_Irr!AJ22=".",s_Irr!BI22="."),s_dir!L22*1000)))))))),".")</f>
        <v>176.84898520384255</v>
      </c>
      <c r="M22" s="76">
        <f>IFERROR(IF(AND(s_Irr!L22&lt;&gt;".",s_Irr!AK22&lt;&gt;".",s_Irr!BJ22&lt;&gt;"."),s_dir!M22/((1/1000)*(s_Irr!L22+s_Irr!AK22+s_Irr!BJ22)),IF(AND(s_Irr!L22&lt;&gt;".",s_Irr!AK22&lt;&gt;".",s_Irr!BJ22="."),s_dir!M22/((1/1000)*(s_Irr!L22+s_Irr!AK22)),IF(AND(s_Irr!L22&lt;&gt;".",s_Irr!AK22=".",s_Irr!BJ22&lt;&gt;"."),s_dir!M22/((1/1000)*(s_Irr!L22+s_Irr!BJ22)),IF(AND(s_Irr!L22=".",s_Irr!AK22&lt;&gt;".",s_Irr!BJ22&lt;&gt;"."),s_dir!M22/((1/1000)*(s_Irr!AK22+s_Irr!BJ22)),IF(AND(s_Irr!L22=".",s_Irr!AK22=".",s_Irr!BJ22&lt;&gt;"."),s_dir!M22/((1/1000)*(s_Irr!BJ22)),IF(AND(s_Irr!L22=".",s_Irr!AK22&lt;&gt;".",s_Irr!BJ22="."),s_dir!M22/((1/1000)*(s_Irr!AK22)),IF(AND(s_Irr!L22&lt;&gt;".",s_Irr!AK22=".",s_Irr!BJ22="."),s_dir!M22/((1/1000)*(s_Irr!L22)),IF(AND(s_Irr!L22=".",s_Irr!AK22=".",s_Irr!BJ22="."),s_dir!M22*1000)))))))),".")</f>
        <v>142.81556342122616</v>
      </c>
      <c r="N22" s="76">
        <f>IFERROR(IF(AND(s_Irr!M22&lt;&gt;".",s_Irr!AL22&lt;&gt;".",s_Irr!BK22&lt;&gt;"."),s_dir!N22/((1/1000)*(s_Irr!M22+s_Irr!AL22+s_Irr!BK22)),IF(AND(s_Irr!M22&lt;&gt;".",s_Irr!AL22&lt;&gt;".",s_Irr!BK22="."),s_dir!N22/((1/1000)*(s_Irr!M22+s_Irr!AL22)),IF(AND(s_Irr!M22&lt;&gt;".",s_Irr!AL22=".",s_Irr!BK22&lt;&gt;"."),s_dir!N22/((1/1000)*(s_Irr!M22+s_Irr!BK22)),IF(AND(s_Irr!M22=".",s_Irr!AL22&lt;&gt;".",s_Irr!BK22&lt;&gt;"."),s_dir!N22/((1/1000)*(s_Irr!AL22+s_Irr!BK22)),IF(AND(s_Irr!M22=".",s_Irr!AL22=".",s_Irr!BK22&lt;&gt;"."),s_dir!N22/((1/1000)*(s_Irr!BK22)),IF(AND(s_Irr!M22=".",s_Irr!AL22&lt;&gt;".",s_Irr!BK22="."),s_dir!N22/((1/1000)*(s_Irr!AL22)),IF(AND(s_Irr!M22&lt;&gt;".",s_Irr!AL22=".",s_Irr!BK22="."),s_dir!N22/((1/1000)*(s_Irr!M22)),IF(AND(s_Irr!M22=".",s_Irr!AL22=".",s_Irr!BK22="."),s_dir!N22*1000)))))))),".")</f>
        <v>72.297104565455456</v>
      </c>
      <c r="O22" s="76">
        <f>IFERROR(IF(AND(s_Irr!N22&lt;&gt;".",s_Irr!AM22&lt;&gt;".",s_Irr!BL22&lt;&gt;"."),s_dir!O22/((1/1000)*(s_Irr!N22+s_Irr!AM22+s_Irr!BL22)),IF(AND(s_Irr!N22&lt;&gt;".",s_Irr!AM22&lt;&gt;".",s_Irr!BL22="."),s_dir!O22/((1/1000)*(s_Irr!N22+s_Irr!AM22)),IF(AND(s_Irr!N22&lt;&gt;".",s_Irr!AM22=".",s_Irr!BL22&lt;&gt;"."),s_dir!O22/((1/1000)*(s_Irr!N22+s_Irr!BL22)),IF(AND(s_Irr!N22=".",s_Irr!AM22&lt;&gt;".",s_Irr!BL22&lt;&gt;"."),s_dir!O22/((1/1000)*(s_Irr!AM22+s_Irr!BL22)),IF(AND(s_Irr!N22=".",s_Irr!AM22=".",s_Irr!BL22&lt;&gt;"."),s_dir!O22/((1/1000)*(s_Irr!BL22)),IF(AND(s_Irr!N22=".",s_Irr!AM22&lt;&gt;".",s_Irr!BL22="."),s_dir!O22/((1/1000)*(s_Irr!AM22)),IF(AND(s_Irr!N22&lt;&gt;".",s_Irr!AM22=".",s_Irr!BL22="."),s_dir!O22/((1/1000)*(s_Irr!N22)),IF(AND(s_Irr!N22=".",s_Irr!AM22=".",s_Irr!BL22="."),s_dir!O22*1000)))))))),".")</f>
        <v>148.69545244861104</v>
      </c>
      <c r="P22" s="76">
        <f>IFERROR(IF(AND(s_Irr!O22&lt;&gt;".",s_Irr!AN22&lt;&gt;".",s_Irr!BM22&lt;&gt;"."),s_dir!P22/((1/1000)*(s_Irr!O22+s_Irr!AN22+s_Irr!BM22)),IF(AND(s_Irr!O22&lt;&gt;".",s_Irr!AN22&lt;&gt;".",s_Irr!BM22="."),s_dir!P22/((1/1000)*(s_Irr!O22+s_Irr!AN22)),IF(AND(s_Irr!O22&lt;&gt;".",s_Irr!AN22=".",s_Irr!BM22&lt;&gt;"."),s_dir!P22/((1/1000)*(s_Irr!O22+s_Irr!BM22)),IF(AND(s_Irr!O22=".",s_Irr!AN22&lt;&gt;".",s_Irr!BM22&lt;&gt;"."),s_dir!P22/((1/1000)*(s_Irr!AN22+s_Irr!BM22)),IF(AND(s_Irr!O22=".",s_Irr!AN22=".",s_Irr!BM22&lt;&gt;"."),s_dir!P22/((1/1000)*(s_Irr!BM22)),IF(AND(s_Irr!O22=".",s_Irr!AN22&lt;&gt;".",s_Irr!BM22="."),s_dir!P22/((1/1000)*(s_Irr!AN22)),IF(AND(s_Irr!O22&lt;&gt;".",s_Irr!AN22=".",s_Irr!BM22="."),s_dir!P22/((1/1000)*(s_Irr!O22)),IF(AND(s_Irr!O22=".",s_Irr!AN22=".",s_Irr!BM22="."),s_dir!P22*1000)))))))),".")</f>
        <v>142.81556342122616</v>
      </c>
      <c r="Q22" s="76">
        <f>IFERROR(IF(AND(s_Irr!P22&lt;&gt;".",s_Irr!AO22&lt;&gt;".",s_Irr!BN22&lt;&gt;"."),s_dir!Q22/((1/1000)*(s_Irr!P22+s_Irr!AO22+s_Irr!BN22)),IF(AND(s_Irr!P22&lt;&gt;".",s_Irr!AO22&lt;&gt;".",s_Irr!BN22="."),s_dir!Q22/((1/1000)*(s_Irr!P22+s_Irr!AO22)),IF(AND(s_Irr!P22&lt;&gt;".",s_Irr!AO22=".",s_Irr!BN22&lt;&gt;"."),s_dir!Q22/((1/1000)*(s_Irr!P22+s_Irr!BN22)),IF(AND(s_Irr!P22=".",s_Irr!AO22&lt;&gt;".",s_Irr!BN22&lt;&gt;"."),s_dir!Q22/((1/1000)*(s_Irr!AO22+s_Irr!BN22)),IF(AND(s_Irr!P22=".",s_Irr!AO22=".",s_Irr!BN22&lt;&gt;"."),s_dir!Q22/((1/1000)*(s_Irr!BN22)),IF(AND(s_Irr!P22=".",s_Irr!AO22&lt;&gt;".",s_Irr!BN22="."),s_dir!Q22/((1/1000)*(s_Irr!AO22)),IF(AND(s_Irr!P22&lt;&gt;".",s_Irr!AO22=".",s_Irr!BN22="."),s_dir!Q22/((1/1000)*(s_Irr!P22)),IF(AND(s_Irr!P22=".",s_Irr!AO22=".",s_Irr!BN22="."),s_dir!Q22*1000)))))))),".")</f>
        <v>84.078596915092575</v>
      </c>
      <c r="R22" s="76">
        <f>IFERROR(IF(AND(s_Irr!Q22&lt;&gt;".",s_Irr!AP22&lt;&gt;".",s_Irr!BO22&lt;&gt;"."),s_dir!R22/((1/1000)*(s_Irr!Q22+s_Irr!AP22+s_Irr!BO22)),IF(AND(s_Irr!Q22&lt;&gt;".",s_Irr!AP22&lt;&gt;".",s_Irr!BO22="."),s_dir!R22/((1/1000)*(s_Irr!Q22+s_Irr!AP22)),IF(AND(s_Irr!Q22&lt;&gt;".",s_Irr!AP22=".",s_Irr!BO22&lt;&gt;"."),s_dir!R22/((1/1000)*(s_Irr!Q22+s_Irr!BO22)),IF(AND(s_Irr!Q22=".",s_Irr!AP22&lt;&gt;".",s_Irr!BO22&lt;&gt;"."),s_dir!R22/((1/1000)*(s_Irr!AP22+s_Irr!BO22)),IF(AND(s_Irr!Q22=".",s_Irr!AP22=".",s_Irr!BO22&lt;&gt;"."),s_dir!R22/((1/1000)*(s_Irr!BO22)),IF(AND(s_Irr!Q22=".",s_Irr!AP22&lt;&gt;".",s_Irr!BO22="."),s_dir!R22/((1/1000)*(s_Irr!AP22)),IF(AND(s_Irr!Q22&lt;&gt;".",s_Irr!AP22=".",s_Irr!BO22="."),s_dir!R22/((1/1000)*(s_Irr!Q22)),IF(AND(s_Irr!Q22=".",s_Irr!AP22=".",s_Irr!BO22="."),s_dir!R22*1000)))))))),".")</f>
        <v>157.33219407967994</v>
      </c>
      <c r="S22" s="76">
        <f>IFERROR(IF(AND(s_Irr!R22&lt;&gt;".",s_Irr!AQ22&lt;&gt;".",s_Irr!BP22&lt;&gt;"."),s_dir!S22/((1/1000)*(s_Irr!R22+s_Irr!AQ22+s_Irr!BP22)),IF(AND(s_Irr!R22&lt;&gt;".",s_Irr!AQ22&lt;&gt;".",s_Irr!BP22="."),s_dir!S22/((1/1000)*(s_Irr!R22+s_Irr!AQ22)),IF(AND(s_Irr!R22&lt;&gt;".",s_Irr!AQ22=".",s_Irr!BP22&lt;&gt;"."),s_dir!S22/((1/1000)*(s_Irr!R22+s_Irr!BP22)),IF(AND(s_Irr!R22=".",s_Irr!AQ22&lt;&gt;".",s_Irr!BP22&lt;&gt;"."),s_dir!S22/((1/1000)*(s_Irr!AQ22+s_Irr!BP22)),IF(AND(s_Irr!R22=".",s_Irr!AQ22=".",s_Irr!BP22&lt;&gt;"."),s_dir!S22/((1/1000)*(s_Irr!BP22)),IF(AND(s_Irr!R22=".",s_Irr!AQ22&lt;&gt;".",s_Irr!BP22="."),s_dir!S22/((1/1000)*(s_Irr!AQ22)),IF(AND(s_Irr!R22&lt;&gt;".",s_Irr!AQ22=".",s_Irr!BP22="."),s_dir!S22/((1/1000)*(s_Irr!R22)),IF(AND(s_Irr!R22=".",s_Irr!AQ22=".",s_Irr!BP22="."),s_dir!S22*1000)))))))),".")</f>
        <v>157.33219407967994</v>
      </c>
      <c r="T22" s="76">
        <f>IFERROR(IF(AND(s_Irr!S22&lt;&gt;".",s_Irr!AR22&lt;&gt;".",s_Irr!BQ22&lt;&gt;"."),s_dir!T22/((1/1000)*(s_Irr!S22+s_Irr!AR22+s_Irr!BQ22)),IF(AND(s_Irr!S22&lt;&gt;".",s_Irr!AR22&lt;&gt;".",s_Irr!BQ22="."),s_dir!T22/((1/1000)*(s_Irr!S22+s_Irr!AR22)),IF(AND(s_Irr!S22&lt;&gt;".",s_Irr!AR22=".",s_Irr!BQ22&lt;&gt;"."),s_dir!T22/((1/1000)*(s_Irr!S22+s_Irr!BQ22)),IF(AND(s_Irr!S22=".",s_Irr!AR22&lt;&gt;".",s_Irr!BQ22&lt;&gt;"."),s_dir!T22/((1/1000)*(s_Irr!AR22+s_Irr!BQ22)),IF(AND(s_Irr!S22=".",s_Irr!AR22=".",s_Irr!BQ22&lt;&gt;"."),s_dir!T22/((1/1000)*(s_Irr!BQ22)),IF(AND(s_Irr!S22=".",s_Irr!AR22&lt;&gt;".",s_Irr!BQ22="."),s_dir!T22/((1/1000)*(s_Irr!AR22)),IF(AND(s_Irr!S22&lt;&gt;".",s_Irr!AR22=".",s_Irr!BQ22="."),s_dir!T22/((1/1000)*(s_Irr!S22)),IF(AND(s_Irr!S22=".",s_Irr!AR22=".",s_Irr!BQ22="."),s_dir!T22*1000)))))))),".")</f>
        <v>148.69545244861104</v>
      </c>
      <c r="U22" s="76">
        <f>IFERROR(IF(AND(s_Irr!T22&lt;&gt;".",s_Irr!AS22&lt;&gt;".",s_Irr!BR22&lt;&gt;"."),s_dir!U22/((1/1000)*(s_Irr!T22+s_Irr!AS22+s_Irr!BR22)),IF(AND(s_Irr!T22&lt;&gt;".",s_Irr!AS22&lt;&gt;".",s_Irr!BR22="."),s_dir!U22/((1/1000)*(s_Irr!T22+s_Irr!AS22)),IF(AND(s_Irr!T22&lt;&gt;".",s_Irr!AS22=".",s_Irr!BR22&lt;&gt;"."),s_dir!U22/((1/1000)*(s_Irr!T22+s_Irr!BR22)),IF(AND(s_Irr!T22=".",s_Irr!AS22&lt;&gt;".",s_Irr!BR22&lt;&gt;"."),s_dir!U22/((1/1000)*(s_Irr!AS22+s_Irr!BR22)),IF(AND(s_Irr!T22=".",s_Irr!AS22=".",s_Irr!BR22&lt;&gt;"."),s_dir!U22/((1/1000)*(s_Irr!BR22)),IF(AND(s_Irr!T22=".",s_Irr!AS22&lt;&gt;".",s_Irr!BR22="."),s_dir!U22/((1/1000)*(s_Irr!AS22)),IF(AND(s_Irr!T22&lt;&gt;".",s_Irr!AS22=".",s_Irr!BR22="."),s_dir!U22/((1/1000)*(s_Irr!T22)),IF(AND(s_Irr!T22=".",s_Irr!AS22=".",s_Irr!BR22="."),s_dir!U22*1000)))))))),".")</f>
        <v>142.81556342122616</v>
      </c>
      <c r="V22" s="76">
        <f>IFERROR(IF(AND(s_Irr!U22&lt;&gt;".",s_Irr!AT22&lt;&gt;".",s_Irr!BS22&lt;&gt;"."),s_dir!V22/((1/1000)*(s_Irr!U22+s_Irr!AT22+s_Irr!BS22)),IF(AND(s_Irr!U22&lt;&gt;".",s_Irr!AT22&lt;&gt;".",s_Irr!BS22="."),s_dir!V22/((1/1000)*(s_Irr!U22+s_Irr!AT22)),IF(AND(s_Irr!U22&lt;&gt;".",s_Irr!AT22=".",s_Irr!BS22&lt;&gt;"."),s_dir!V22/((1/1000)*(s_Irr!U22+s_Irr!BS22)),IF(AND(s_Irr!U22=".",s_Irr!AT22&lt;&gt;".",s_Irr!BS22&lt;&gt;"."),s_dir!V22/((1/1000)*(s_Irr!AT22+s_Irr!BS22)),IF(AND(s_Irr!U22=".",s_Irr!AT22=".",s_Irr!BS22&lt;&gt;"."),s_dir!V22/((1/1000)*(s_Irr!BS22)),IF(AND(s_Irr!U22=".",s_Irr!AT22&lt;&gt;".",s_Irr!BS22="."),s_dir!V22/((1/1000)*(s_Irr!AT22)),IF(AND(s_Irr!U22&lt;&gt;".",s_Irr!AT22=".",s_Irr!BS22="."),s_dir!V22/((1/1000)*(s_Irr!U22)),IF(AND(s_Irr!U22=".",s_Irr!AT22=".",s_Irr!BS22="."),s_dir!V22*1000)))))))),".")</f>
        <v>155.08029528189641</v>
      </c>
      <c r="W22" s="76">
        <f>IFERROR(IF(AND(s_Irr!V22&lt;&gt;".",s_Irr!AU22&lt;&gt;".",s_Irr!BT22&lt;&gt;"."),s_dir!W22/((1/1000)*(s_Irr!V22+s_Irr!AU22+s_Irr!BT22)),IF(AND(s_Irr!V22&lt;&gt;".",s_Irr!AU22&lt;&gt;".",s_Irr!BT22="."),s_dir!W22/((1/1000)*(s_Irr!V22+s_Irr!AU22)),IF(AND(s_Irr!V22&lt;&gt;".",s_Irr!AU22=".",s_Irr!BT22&lt;&gt;"."),s_dir!W22/((1/1000)*(s_Irr!V22+s_Irr!BT22)),IF(AND(s_Irr!V22=".",s_Irr!AU22&lt;&gt;".",s_Irr!BT22&lt;&gt;"."),s_dir!W22/((1/1000)*(s_Irr!AU22+s_Irr!BT22)),IF(AND(s_Irr!V22=".",s_Irr!AU22=".",s_Irr!BT22&lt;&gt;"."),s_dir!W22/((1/1000)*(s_Irr!BT22)),IF(AND(s_Irr!V22=".",s_Irr!AU22&lt;&gt;".",s_Irr!BT22="."),s_dir!W22/((1/1000)*(s_Irr!AU22)),IF(AND(s_Irr!V22&lt;&gt;".",s_Irr!AU22=".",s_Irr!BT22="."),s_dir!W22/((1/1000)*(s_Irr!V22)),IF(AND(s_Irr!V22=".",s_Irr!AU22=".",s_Irr!BT22="."),s_dir!W22*1000)))))))),".")</f>
        <v>142.81556342122616</v>
      </c>
      <c r="X22" s="76">
        <f>IFERROR(IF(AND(s_Irr!W22&lt;&gt;".",s_Irr!AV22&lt;&gt;".",s_Irr!BU22&lt;&gt;"."),s_dir!X22/((1/1000)*(s_Irr!W22+s_Irr!AV22+s_Irr!BU22)),IF(AND(s_Irr!W22&lt;&gt;".",s_Irr!AV22&lt;&gt;".",s_Irr!BU22="."),s_dir!X22/((1/1000)*(s_Irr!W22+s_Irr!AV22)),IF(AND(s_Irr!W22&lt;&gt;".",s_Irr!AV22=".",s_Irr!BU22&lt;&gt;"."),s_dir!X22/((1/1000)*(s_Irr!W22+s_Irr!BU22)),IF(AND(s_Irr!W22=".",s_Irr!AV22&lt;&gt;".",s_Irr!BU22&lt;&gt;"."),s_dir!X22/((1/1000)*(s_Irr!AV22+s_Irr!BU22)),IF(AND(s_Irr!W22=".",s_Irr!AV22=".",s_Irr!BU22&lt;&gt;"."),s_dir!X22/((1/1000)*(s_Irr!BU22)),IF(AND(s_Irr!W22=".",s_Irr!AV22&lt;&gt;".",s_Irr!BU22="."),s_dir!X22/((1/1000)*(s_Irr!AV22)),IF(AND(s_Irr!W22&lt;&gt;".",s_Irr!AV22=".",s_Irr!BU22="."),s_dir!X22/((1/1000)*(s_Irr!W22)),IF(AND(s_Irr!W22=".",s_Irr!AV22=".",s_Irr!BU22="."),s_dir!X22*1000)))))))),".")</f>
        <v>148.69545244861104</v>
      </c>
      <c r="Y22" s="76">
        <f>IFERROR(IF(AND(s_Irr!X22&lt;&gt;".",s_Irr!AW22&lt;&gt;".",s_Irr!BV22&lt;&gt;"."),s_dir!Y22/((1/1000)*(s_Irr!X22+s_Irr!AW22+s_Irr!BV22)),IF(AND(s_Irr!X22&lt;&gt;".",s_Irr!AW22&lt;&gt;".",s_Irr!BV22="."),s_dir!Y22/((1/1000)*(s_Irr!X22+s_Irr!AW22)),IF(AND(s_Irr!X22&lt;&gt;".",s_Irr!AW22=".",s_Irr!BV22&lt;&gt;"."),s_dir!Y22/((1/1000)*(s_Irr!X22+s_Irr!BV22)),IF(AND(s_Irr!X22=".",s_Irr!AW22&lt;&gt;".",s_Irr!BV22&lt;&gt;"."),s_dir!Y22/((1/1000)*(s_Irr!AW22+s_Irr!BV22)),IF(AND(s_Irr!X22=".",s_Irr!AW22=".",s_Irr!BV22&lt;&gt;"."),s_dir!Y22/((1/1000)*(s_Irr!BV22)),IF(AND(s_Irr!X22=".",s_Irr!AW22&lt;&gt;".",s_Irr!BV22="."),s_dir!Y22/((1/1000)*(s_Irr!AW22)),IF(AND(s_Irr!X22&lt;&gt;".",s_Irr!AW22=".",s_Irr!BV22="."),s_dir!Y22/((1/1000)*(s_Irr!X22)),IF(AND(s_Irr!X22=".",s_Irr!AW22=".",s_Irr!BV22="."),s_dir!Y22*1000)))))))),".")</f>
        <v>157.33219407967994</v>
      </c>
      <c r="Z22" s="76">
        <f>IFERROR(IF(AND(s_Irr!Y22&lt;&gt;".",s_Irr!AX22&lt;&gt;".",s_Irr!BW22&lt;&gt;"."),s_dir!Z22/((1/1000)*(s_Irr!Y22+s_Irr!AX22+s_Irr!BW22)),IF(AND(s_Irr!Y22&lt;&gt;".",s_Irr!AX22&lt;&gt;".",s_Irr!BW22="."),s_dir!Z22/((1/1000)*(s_Irr!Y22+s_Irr!AX22)),IF(AND(s_Irr!Y22&lt;&gt;".",s_Irr!AX22=".",s_Irr!BW22&lt;&gt;"."),s_dir!Z22/((1/1000)*(s_Irr!Y22+s_Irr!BW22)),IF(AND(s_Irr!Y22=".",s_Irr!AX22&lt;&gt;".",s_Irr!BW22&lt;&gt;"."),s_dir!Z22/((1/1000)*(s_Irr!AX22+s_Irr!BW22)),IF(AND(s_Irr!Y22=".",s_Irr!AX22=".",s_Irr!BW22&lt;&gt;"."),s_dir!Z22/((1/1000)*(s_Irr!BW22)),IF(AND(s_Irr!Y22=".",s_Irr!AX22&lt;&gt;".",s_Irr!BW22="."),s_dir!Z22/((1/1000)*(s_Irr!AX22)),IF(AND(s_Irr!Y22&lt;&gt;".",s_Irr!AX22=".",s_Irr!BW22="."),s_dir!Z22/((1/1000)*(s_Irr!Y22)),IF(AND(s_Irr!Y22=".",s_Irr!AX22=".",s_Irr!BW22="."),s_dir!Z22*1000)))))))),".")</f>
        <v>142.81556342122616</v>
      </c>
      <c r="AA22" s="76">
        <f>IFERROR(IF(AND(s_Irr!Z22&lt;&gt;".",s_Irr!AY22&lt;&gt;".",s_Irr!BX22&lt;&gt;"."),s_dir!AA22/((1/1000)*(s_Irr!Z22+s_Irr!AY22+s_Irr!BX22)),IF(AND(s_Irr!Z22&lt;&gt;".",s_Irr!AY22&lt;&gt;".",s_Irr!BX22="."),s_dir!AA22/((1/1000)*(s_Irr!Z22+s_Irr!AY22)),IF(AND(s_Irr!Z22&lt;&gt;".",s_Irr!AY22=".",s_Irr!BX22&lt;&gt;"."),s_dir!AA22/((1/1000)*(s_Irr!Z22+s_Irr!BX22)),IF(AND(s_Irr!Z22=".",s_Irr!AY22&lt;&gt;".",s_Irr!BX22&lt;&gt;"."),s_dir!AA22/((1/1000)*(s_Irr!AY22+s_Irr!BX22)),IF(AND(s_Irr!Z22=".",s_Irr!AY22=".",s_Irr!BX22&lt;&gt;"."),s_dir!AA22/((1/1000)*(s_Irr!BX22)),IF(AND(s_Irr!Z22=".",s_Irr!AY22&lt;&gt;".",s_Irr!BX22="."),s_dir!AA22/((1/1000)*(s_Irr!AY22)),IF(AND(s_Irr!Z22&lt;&gt;".",s_Irr!AY22=".",s_Irr!BX22="."),s_dir!AA22/((1/1000)*(s_Irr!Z22)),IF(AND(s_Irr!Z22=".",s_Irr!AY22=".",s_Irr!BX22="."),s_dir!AA22*1000)))))))),".")</f>
        <v>181.37852970309612</v>
      </c>
      <c r="AB22" s="76">
        <f>IFERROR(IF(AND(s_Irr!AA22&lt;&gt;".",s_Irr!AZ22&lt;&gt;".",s_Irr!BY22&lt;&gt;"."),s_dir!AB22/((1/1000)*(s_Irr!AA22+s_Irr!AZ22+s_Irr!BY22)),IF(AND(s_Irr!AA22&lt;&gt;".",s_Irr!AZ22&lt;&gt;".",s_Irr!BY22="."),s_dir!AB22/((1/1000)*(s_Irr!AA22+s_Irr!AZ22)),IF(AND(s_Irr!AA22&lt;&gt;".",s_Irr!AZ22=".",s_Irr!BY22&lt;&gt;"."),s_dir!AB22/((1/1000)*(s_Irr!AA22+s_Irr!BY22)),IF(AND(s_Irr!AA22=".",s_Irr!AZ22&lt;&gt;".",s_Irr!BY22&lt;&gt;"."),s_dir!AB22/((1/1000)*(s_Irr!AZ22+s_Irr!BY22)),IF(AND(s_Irr!AA22=".",s_Irr!AZ22=".",s_Irr!BY22&lt;&gt;"."),s_dir!AB22/((1/1000)*(s_Irr!BY22)),IF(AND(s_Irr!AA22=".",s_Irr!AZ22&lt;&gt;".",s_Irr!BY22="."),s_dir!AB22/((1/1000)*(s_Irr!AZ22)),IF(AND(s_Irr!AA22&lt;&gt;".",s_Irr!AZ22=".",s_Irr!BY22="."),s_dir!AB22/((1/1000)*(s_Irr!AA22)),IF(AND(s_Irr!AA22=".",s_Irr!AZ22=".",s_Irr!BY22="."),s_dir!AB22*1000)))))))),".")</f>
        <v>142.81556342122616</v>
      </c>
      <c r="AC22" s="93">
        <f t="shared" si="4"/>
        <v>8425.0686785818289</v>
      </c>
      <c r="AD22" s="93">
        <f>IFERROR(s_C*s_IFAP_res_adj*s_CF_apple*0.001*(s_Irr!C22+s_Irr!AB22+s_Irr!BA22),".")</f>
        <v>2069.677052148757</v>
      </c>
      <c r="AE22" s="93">
        <f>IFERROR(s_C*s_IFAS_res_adj*s_CF_asparagus*0.001*(s_Irr!D22+s_Irr!AC22+s_Irr!BB22),".")</f>
        <v>4504.0093044959503</v>
      </c>
      <c r="AF22" s="93">
        <f>IFERROR(s_C*s_IFBT_res_adj*s_CF_beet*0.001*(s_Irr!E22+s_Irr!AD22+s_Irr!BC22),".")</f>
        <v>3872.8861279614935</v>
      </c>
      <c r="AG22" s="93">
        <f>IFERROR(s_C*s_IFBE_res_adj*s_CF_berries*0.001*(s_Irr!F22+s_Irr!AE22+s_Irr!BD22),".")</f>
        <v>2069.677052148757</v>
      </c>
      <c r="AH22" s="93">
        <f>IFERROR(s_C*s_IFBR_res_adj*s_CF_broccoli*0.001*(s_Irr!G22+s_Irr!AF22+s_Irr!BE22),".")</f>
        <v>2280.0514443269094</v>
      </c>
      <c r="AI22" s="93">
        <f>IFERROR(s_C*s_IFCB_res_adj*s_CF_cabbage*0.001*(s_Irr!H22+s_Irr!AG22+s_Irr!BF22),".")</f>
        <v>4504.0093044959503</v>
      </c>
      <c r="AJ22" s="93">
        <f>IFERROR(s_C*s_IFCR_res_adj*s_CF_carrot*0.001*(s_Irr!I22+s_Irr!AH22+s_Irr!BG22),".")</f>
        <v>3872.8861279614935</v>
      </c>
      <c r="AK22" s="93">
        <f>IFERROR(s_C*s_IFCI_res_adj*s_CF_citrus*0.001*(s_Irr!J22+s_Irr!AI22+s_Irr!BH22),".")</f>
        <v>2069.677052148757</v>
      </c>
      <c r="AL22" s="93">
        <f>IFERROR(s_C*s_IFCO_res_adj*s_CF_corn*0.001*(s_Irr!K22+s_Irr!AJ22+s_Irr!BI22),".")</f>
        <v>1841.2705692124769</v>
      </c>
      <c r="AM22" s="93">
        <f>IFERROR(s_C*s_IFCU_res_adj*s_CF_cucumber*0.001*(s_Irr!L22+s_Irr!AK22+s_Irr!BJ22),".")</f>
        <v>2280.0514443269094</v>
      </c>
      <c r="AN22" s="93">
        <f>IFERROR(s_C*s_IFLE_res_adj*s_CF_lettuce*0.001*(s_Irr!M22+s_Irr!AL22+s_Irr!BK22),".")</f>
        <v>4504.0093044959503</v>
      </c>
      <c r="AO22" s="93">
        <f>IFERROR(s_C*s_IFLI_res_adj*s_CF_lima_bean*0.001*(s_Irr!N22+s_Irr!AM22+s_Irr!BL22),".")</f>
        <v>2189.8909905362725</v>
      </c>
      <c r="AP22" s="93">
        <f>IFERROR(s_C*s_IFOK_res_adj*s_CF_okra*0.001*(s_Irr!O22+s_Irr!AN22+s_Irr!BM22),".")</f>
        <v>2280.0514443269094</v>
      </c>
      <c r="AQ22" s="93">
        <f>IFERROR(s_C*s_IFON_res_adj*s_CF_onion*0.001*(s_Irr!P22+s_Irr!AO22+s_Irr!BN22),".")</f>
        <v>3872.8861279614935</v>
      </c>
      <c r="AR22" s="93">
        <f>IFERROR(s_C*s_IFPC_res_adj*s_CF_peach*0.001*(s_Irr!Q22+s_Irr!AP22+s_Irr!BO22),".")</f>
        <v>2069.677052148757</v>
      </c>
      <c r="AS22" s="93">
        <f>IFERROR(s_C*s_IFPR_res_adj*s_CF_pear*0.001*(s_Irr!R22+s_Irr!AQ22+s_Irr!BP22),".")</f>
        <v>2069.677052148757</v>
      </c>
      <c r="AT22" s="93">
        <f>IFERROR(s_C*s_IFPE_res_adj*s_CF_peas*0.001*(s_Irr!S22+s_Irr!AR22+s_Irr!BQ22),".")</f>
        <v>2189.8909905362725</v>
      </c>
      <c r="AU22" s="93">
        <f>IFERROR(s_C*s_IFPP_res_adj*s_CF_peppers*0.001*(s_Irr!T22+s_Irr!AS22+s_Irr!BR22),".")</f>
        <v>2280.0514443269094</v>
      </c>
      <c r="AV22" s="93">
        <f>IFERROR(s_C*s_IFPT_res_adj*s_CF_potato*0.001*(s_Irr!U22+s_Irr!AT22+s_Irr!BS22),".")</f>
        <v>2099.7305367456356</v>
      </c>
      <c r="AW22" s="93">
        <f>IFERROR(s_C*s_IFPU_res_adj*s_CF_pumpkin*0.001*(s_Irr!V22+s_Irr!AU22+s_Irr!BT22),".")</f>
        <v>2280.0514443269094</v>
      </c>
      <c r="AX22" s="93">
        <f>IFERROR(s_C*s_IFSN_res_adj*s_CF_snap_bean*0.001*(s_Irr!W22+s_Irr!AV22+s_Irr!BU22),".")</f>
        <v>2189.8909905362725</v>
      </c>
      <c r="AY22" s="93">
        <f>IFERROR(s_C*s_IFST_res_adj*s_CF_strawberry*0.001*(s_Irr!X22+s_Irr!AW22+s_Irr!BV22),".")</f>
        <v>2069.677052148757</v>
      </c>
      <c r="AZ22" s="93">
        <f>IFERROR(s_C*s_IFTO_res_adj*s_CF_tomato*0.001*(s_Irr!Y22+s_Irr!AX22+s_Irr!BW22),".")</f>
        <v>2280.0514443269094</v>
      </c>
      <c r="BA22" s="93">
        <f>IFERROR(s_C*s_IFRI_res_adj*s_CF_rice*0.001*(s_Irr!Z22+s_Irr!AY22+s_Irr!BX22),".")</f>
        <v>1795.2887377792522</v>
      </c>
      <c r="BB22" s="93">
        <f>IFERROR(s_C*s_IFCG_res_adj*s_CF_cereal*0.001*(s_Irr!AA22+s_Irr!AZ22+s_Irr!BY22),".")</f>
        <v>2280.0514443269094</v>
      </c>
      <c r="BC22" s="76">
        <f t="shared" si="1"/>
        <v>38.649753975149792</v>
      </c>
      <c r="BD22" s="76">
        <f>IFERROR(IF(AND(s_Irr!C22&lt;&gt;".",s_Irr!AB22&lt;&gt;".",s_Irr!BA22&lt;&gt;"."),s_dir!AD22/((1/1000)*(s_Irr!C22+s_Irr!AB22+s_Irr!BA22)),IF(AND(s_Irr!C22&lt;&gt;".",s_Irr!AB22&lt;&gt;".",s_Irr!BA22="."),s_dir!AD22/((1/1000)*(s_Irr!C22+s_Irr!AB22)),IF(AND(s_Irr!C22&lt;&gt;".",s_Irr!AB22=".",s_Irr!BA22&lt;&gt;"."),s_dir!AD22/((1/1000)*(s_Irr!C22+s_Irr!BA22)),IF(AND(s_Irr!C22=".",s_Irr!AB22&lt;&gt;".",s_Irr!BA22&lt;&gt;"."),s_dir!AD22/((1/1000)*(s_Irr!AB22+s_Irr!BA22)),IF(AND(s_Irr!C22=".",s_Irr!AB22=".",s_Irr!BA22&lt;&gt;"."),s_dir!AD22/((1/1000)*(s_Irr!BA22)),IF(AND(s_Irr!C22=".",s_Irr!AB22&lt;&gt;".",s_Irr!BA22="."),s_dir!AD22/((1/1000)*(s_Irr!AB22)),IF(AND(s_Irr!C22&lt;&gt;".",s_Irr!AB22=".",s_Irr!BA22="."),s_dir!AD22/((1/1000)*(s_Irr!C22)),IF(AND(s_Irr!C22=".",s_Irr!AB22=".",s_Irr!BA22="."),s_dir!AD22*1000)))))))),".")</f>
        <v>157.33219407967994</v>
      </c>
      <c r="BE22" s="76">
        <f>IFERROR(IF(AND(s_Irr!D22&lt;&gt;".",s_Irr!AC22&lt;&gt;".",s_Irr!BB22&lt;&gt;"."),s_dir!AE22/((1/1000)*(s_Irr!D22+s_Irr!AC22+s_Irr!BB22)),IF(AND(s_Irr!D22&lt;&gt;".",s_Irr!AC22&lt;&gt;".",s_Irr!BB22="."),s_dir!AE22/((1/1000)*(s_Irr!D22+s_Irr!AC22)),IF(AND(s_Irr!D22&lt;&gt;".",s_Irr!AC22=".",s_Irr!BB22&lt;&gt;"."),s_dir!AE22/((1/1000)*(s_Irr!D22+s_Irr!BB22)),IF(AND(s_Irr!D22=".",s_Irr!AC22&lt;&gt;".",s_Irr!BB22&lt;&gt;"."),s_dir!AE22/((1/1000)*(s_Irr!AC22+s_Irr!BB22)),IF(AND(s_Irr!D22=".",s_Irr!AC22=".",s_Irr!BB22&lt;&gt;"."),s_dir!AE22/((1/1000)*(s_Irr!BB22)),IF(AND(s_Irr!D22=".",s_Irr!AC22&lt;&gt;".",s_Irr!BB22="."),s_dir!AE22/((1/1000)*(s_Irr!AC22)),IF(AND(s_Irr!D22&lt;&gt;".",s_Irr!AC22=".",s_Irr!BB22="."),s_dir!AE22/((1/1000)*(s_Irr!D22)),IF(AND(s_Irr!D22=".",s_Irr!AC22=".",s_Irr!BB22="."),s_dir!AE22*1000)))))))),".")</f>
        <v>72.297104565455456</v>
      </c>
      <c r="BF22" s="76">
        <f>IFERROR(IF(AND(s_Irr!E22&lt;&gt;".",s_Irr!AD22&lt;&gt;".",s_Irr!BC22&lt;&gt;"."),s_dir!AF22/((1/1000)*(s_Irr!E22+s_Irr!AD22+s_Irr!BC22)),IF(AND(s_Irr!E22&lt;&gt;".",s_Irr!AD22&lt;&gt;".",s_Irr!BC22="."),s_dir!AF22/((1/1000)*(s_Irr!E22+s_Irr!AD22)),IF(AND(s_Irr!E22&lt;&gt;".",s_Irr!AD22=".",s_Irr!BC22&lt;&gt;"."),s_dir!AF22/((1/1000)*(s_Irr!E22+s_Irr!BC22)),IF(AND(s_Irr!E22=".",s_Irr!AD22&lt;&gt;".",s_Irr!BC22&lt;&gt;"."),s_dir!AF22/((1/1000)*(s_Irr!AD22+s_Irr!BC22)),IF(AND(s_Irr!E22=".",s_Irr!AD22=".",s_Irr!BC22&lt;&gt;"."),s_dir!AF22/((1/1000)*(s_Irr!BC22)),IF(AND(s_Irr!E22=".",s_Irr!AD22&lt;&gt;".",s_Irr!BC22="."),s_dir!AF22/((1/1000)*(s_Irr!AD22)),IF(AND(s_Irr!E22&lt;&gt;".",s_Irr!AD22=".",s_Irr!BC22="."),s_dir!AF22/((1/1000)*(s_Irr!E22)),IF(AND(s_Irr!E22=".",s_Irr!AD22=".",s_Irr!BC22="."),s_dir!AF22*1000)))))))),".")</f>
        <v>84.078596915092575</v>
      </c>
      <c r="BG22" s="76">
        <f>IFERROR(IF(AND(s_Irr!F22&lt;&gt;".",s_Irr!AE22&lt;&gt;".",s_Irr!BD22&lt;&gt;"."),s_dir!AG22/((1/1000)*(s_Irr!F22+s_Irr!AE22+s_Irr!BD22)),IF(AND(s_Irr!F22&lt;&gt;".",s_Irr!AE22&lt;&gt;".",s_Irr!BD22="."),s_dir!AG22/((1/1000)*(s_Irr!F22+s_Irr!AE22)),IF(AND(s_Irr!F22&lt;&gt;".",s_Irr!AE22=".",s_Irr!BD22&lt;&gt;"."),s_dir!AG22/((1/1000)*(s_Irr!F22+s_Irr!BD22)),IF(AND(s_Irr!F22=".",s_Irr!AE22&lt;&gt;".",s_Irr!BD22&lt;&gt;"."),s_dir!AG22/((1/1000)*(s_Irr!AE22+s_Irr!BD22)),IF(AND(s_Irr!F22=".",s_Irr!AE22=".",s_Irr!BD22&lt;&gt;"."),s_dir!AG22/((1/1000)*(s_Irr!BD22)),IF(AND(s_Irr!F22=".",s_Irr!AE22&lt;&gt;".",s_Irr!BD22="."),s_dir!AG22/((1/1000)*(s_Irr!AE22)),IF(AND(s_Irr!F22&lt;&gt;".",s_Irr!AE22=".",s_Irr!BD22="."),s_dir!AG22/((1/1000)*(s_Irr!F22)),IF(AND(s_Irr!F22=".",s_Irr!AE22=".",s_Irr!BD22="."),s_dir!AG22*1000)))))))),".")</f>
        <v>157.33219407967994</v>
      </c>
      <c r="BH22" s="76">
        <f>IFERROR(IF(AND(s_Irr!G22&lt;&gt;".",s_Irr!AF22&lt;&gt;".",s_Irr!BE22&lt;&gt;"."),s_dir!AH22/((1/1000)*(s_Irr!G22+s_Irr!AF22+s_Irr!BE22)),IF(AND(s_Irr!G22&lt;&gt;".",s_Irr!AF22&lt;&gt;".",s_Irr!BE22="."),s_dir!AH22/((1/1000)*(s_Irr!G22+s_Irr!AF22)),IF(AND(s_Irr!G22&lt;&gt;".",s_Irr!AF22=".",s_Irr!BE22&lt;&gt;"."),s_dir!AH22/((1/1000)*(s_Irr!G22+s_Irr!BE22)),IF(AND(s_Irr!G22=".",s_Irr!AF22&lt;&gt;".",s_Irr!BE22&lt;&gt;"."),s_dir!AH22/((1/1000)*(s_Irr!AF22+s_Irr!BE22)),IF(AND(s_Irr!G22=".",s_Irr!AF22=".",s_Irr!BE22&lt;&gt;"."),s_dir!AH22/((1/1000)*(s_Irr!BE22)),IF(AND(s_Irr!G22=".",s_Irr!AF22&lt;&gt;".",s_Irr!BE22="."),s_dir!AH22/((1/1000)*(s_Irr!AF22)),IF(AND(s_Irr!G22&lt;&gt;".",s_Irr!AF22=".",s_Irr!BE22="."),s_dir!AH22/((1/1000)*(s_Irr!G22)),IF(AND(s_Irr!G22=".",s_Irr!AF22=".",s_Irr!BE22="."),s_dir!AH22*1000)))))))),".")</f>
        <v>142.81556342122616</v>
      </c>
      <c r="BI22" s="76">
        <f>IFERROR(IF(AND(s_Irr!H22&lt;&gt;".",s_Irr!AG22&lt;&gt;".",s_Irr!BF22&lt;&gt;"."),s_dir!AI22/((1/1000)*(s_Irr!H22+s_Irr!AG22+s_Irr!BF22)),IF(AND(s_Irr!H22&lt;&gt;".",s_Irr!AG22&lt;&gt;".",s_Irr!BF22="."),s_dir!AI22/((1/1000)*(s_Irr!H22+s_Irr!AG22)),IF(AND(s_Irr!H22&lt;&gt;".",s_Irr!AG22=".",s_Irr!BF22&lt;&gt;"."),s_dir!AI22/((1/1000)*(s_Irr!H22+s_Irr!BF22)),IF(AND(s_Irr!H22=".",s_Irr!AG22&lt;&gt;".",s_Irr!BF22&lt;&gt;"."),s_dir!AI22/((1/1000)*(s_Irr!AG22+s_Irr!BF22)),IF(AND(s_Irr!H22=".",s_Irr!AG22=".",s_Irr!BF22&lt;&gt;"."),s_dir!AI22/((1/1000)*(s_Irr!BF22)),IF(AND(s_Irr!H22=".",s_Irr!AG22&lt;&gt;".",s_Irr!BF22="."),s_dir!AI22/((1/1000)*(s_Irr!AG22)),IF(AND(s_Irr!H22&lt;&gt;".",s_Irr!AG22=".",s_Irr!BF22="."),s_dir!AI22/((1/1000)*(s_Irr!H22)),IF(AND(s_Irr!H22=".",s_Irr!AG22=".",s_Irr!BF22="."),s_dir!AI22*1000)))))))),".")</f>
        <v>72.297104565455456</v>
      </c>
      <c r="BJ22" s="76">
        <f>IFERROR(IF(AND(s_Irr!I22&lt;&gt;".",s_Irr!AH22&lt;&gt;".",s_Irr!BG22&lt;&gt;"."),s_dir!AJ22/((1/1000)*(s_Irr!I22+s_Irr!AH22+s_Irr!BG22)),IF(AND(s_Irr!I22&lt;&gt;".",s_Irr!AH22&lt;&gt;".",s_Irr!BG22="."),s_dir!AJ22/((1/1000)*(s_Irr!I22+s_Irr!AH22)),IF(AND(s_Irr!I22&lt;&gt;".",s_Irr!AH22=".",s_Irr!BG22&lt;&gt;"."),s_dir!AJ22/((1/1000)*(s_Irr!I22+s_Irr!BG22)),IF(AND(s_Irr!I22=".",s_Irr!AH22&lt;&gt;".",s_Irr!BG22&lt;&gt;"."),s_dir!AJ22/((1/1000)*(s_Irr!AH22+s_Irr!BG22)),IF(AND(s_Irr!I22=".",s_Irr!AH22=".",s_Irr!BG22&lt;&gt;"."),s_dir!AJ22/((1/1000)*(s_Irr!BG22)),IF(AND(s_Irr!I22=".",s_Irr!AH22&lt;&gt;".",s_Irr!BG22="."),s_dir!AJ22/((1/1000)*(s_Irr!AH22)),IF(AND(s_Irr!I22&lt;&gt;".",s_Irr!AH22=".",s_Irr!BG22="."),s_dir!AJ22/((1/1000)*(s_Irr!I22)),IF(AND(s_Irr!I22=".",s_Irr!AH22=".",s_Irr!BG22="."),s_dir!AJ22*1000)))))))),".")</f>
        <v>84.078596915092575</v>
      </c>
      <c r="BK22" s="76">
        <f>IFERROR(IF(AND(s_Irr!J22&lt;&gt;".",s_Irr!AI22&lt;&gt;".",s_Irr!BH22&lt;&gt;"."),s_dir!AK22/((1/1000)*(s_Irr!J22+s_Irr!AI22+s_Irr!BH22)),IF(AND(s_Irr!J22&lt;&gt;".",s_Irr!AI22&lt;&gt;".",s_Irr!BH22="."),s_dir!AK22/((1/1000)*(s_Irr!J22+s_Irr!AI22)),IF(AND(s_Irr!J22&lt;&gt;".",s_Irr!AI22=".",s_Irr!BH22&lt;&gt;"."),s_dir!AK22/((1/1000)*(s_Irr!J22+s_Irr!BH22)),IF(AND(s_Irr!J22=".",s_Irr!AI22&lt;&gt;".",s_Irr!BH22&lt;&gt;"."),s_dir!AK22/((1/1000)*(s_Irr!AI22+s_Irr!BH22)),IF(AND(s_Irr!J22=".",s_Irr!AI22=".",s_Irr!BH22&lt;&gt;"."),s_dir!AK22/((1/1000)*(s_Irr!BH22)),IF(AND(s_Irr!J22=".",s_Irr!AI22&lt;&gt;".",s_Irr!BH22="."),s_dir!AK22/((1/1000)*(s_Irr!AI22)),IF(AND(s_Irr!J22&lt;&gt;".",s_Irr!AI22=".",s_Irr!BH22="."),s_dir!AK22/((1/1000)*(s_Irr!J22)),IF(AND(s_Irr!J22=".",s_Irr!AI22=".",s_Irr!BH22="."),s_dir!AK22*1000)))))))),".")</f>
        <v>157.33219407967994</v>
      </c>
      <c r="BL22" s="76">
        <f>IFERROR(IF(AND(s_Irr!K22&lt;&gt;".",s_Irr!AJ22&lt;&gt;".",s_Irr!BI22&lt;&gt;"."),s_dir!AL22/((1/1000)*(s_Irr!K22+s_Irr!AJ22+s_Irr!BI22)),IF(AND(s_Irr!K22&lt;&gt;".",s_Irr!AJ22&lt;&gt;".",s_Irr!BI22="."),s_dir!AL22/((1/1000)*(s_Irr!K22+s_Irr!AJ22)),IF(AND(s_Irr!K22&lt;&gt;".",s_Irr!AJ22=".",s_Irr!BI22&lt;&gt;"."),s_dir!AL22/((1/1000)*(s_Irr!K22+s_Irr!BI22)),IF(AND(s_Irr!K22=".",s_Irr!AJ22&lt;&gt;".",s_Irr!BI22&lt;&gt;"."),s_dir!AL22/((1/1000)*(s_Irr!AJ22+s_Irr!BI22)),IF(AND(s_Irr!K22=".",s_Irr!AJ22=".",s_Irr!BI22&lt;&gt;"."),s_dir!AL22/((1/1000)*(s_Irr!BI22)),IF(AND(s_Irr!K22=".",s_Irr!AJ22&lt;&gt;".",s_Irr!BI22="."),s_dir!AL22/((1/1000)*(s_Irr!AJ22)),IF(AND(s_Irr!K22&lt;&gt;".",s_Irr!AJ22=".",s_Irr!BI22="."),s_dir!AL22/((1/1000)*(s_Irr!K22)),IF(AND(s_Irr!K22=".",s_Irr!AJ22=".",s_Irr!BI22="."),s_dir!AL22*1000)))))))),".")</f>
        <v>176.84898520384255</v>
      </c>
      <c r="BM22" s="76">
        <f>IFERROR(IF(AND(s_Irr!L22&lt;&gt;".",s_Irr!AK22&lt;&gt;".",s_Irr!BJ22&lt;&gt;"."),s_dir!AM22/((1/1000)*(s_Irr!L22+s_Irr!AK22+s_Irr!BJ22)),IF(AND(s_Irr!L22&lt;&gt;".",s_Irr!AK22&lt;&gt;".",s_Irr!BJ22="."),s_dir!AM22/((1/1000)*(s_Irr!L22+s_Irr!AK22)),IF(AND(s_Irr!L22&lt;&gt;".",s_Irr!AK22=".",s_Irr!BJ22&lt;&gt;"."),s_dir!AM22/((1/1000)*(s_Irr!L22+s_Irr!BJ22)),IF(AND(s_Irr!L22=".",s_Irr!AK22&lt;&gt;".",s_Irr!BJ22&lt;&gt;"."),s_dir!AM22/((1/1000)*(s_Irr!AK22+s_Irr!BJ22)),IF(AND(s_Irr!L22=".",s_Irr!AK22=".",s_Irr!BJ22&lt;&gt;"."),s_dir!AM22/((1/1000)*(s_Irr!BJ22)),IF(AND(s_Irr!L22=".",s_Irr!AK22&lt;&gt;".",s_Irr!BJ22="."),s_dir!AM22/((1/1000)*(s_Irr!AK22)),IF(AND(s_Irr!L22&lt;&gt;".",s_Irr!AK22=".",s_Irr!BJ22="."),s_dir!AM22/((1/1000)*(s_Irr!L22)),IF(AND(s_Irr!L22=".",s_Irr!AK22=".",s_Irr!BJ22="."),s_dir!AM22*1000)))))))),".")</f>
        <v>142.81556342122616</v>
      </c>
      <c r="BN22" s="76">
        <f>IFERROR(IF(AND(s_Irr!M22&lt;&gt;".",s_Irr!AL22&lt;&gt;".",s_Irr!BK22&lt;&gt;"."),s_dir!AN22/((1/1000)*(s_Irr!M22+s_Irr!AL22+s_Irr!BK22)),IF(AND(s_Irr!M22&lt;&gt;".",s_Irr!AL22&lt;&gt;".",s_Irr!BK22="."),s_dir!AN22/((1/1000)*(s_Irr!M22+s_Irr!AL22)),IF(AND(s_Irr!M22&lt;&gt;".",s_Irr!AL22=".",s_Irr!BK22&lt;&gt;"."),s_dir!AN22/((1/1000)*(s_Irr!M22+s_Irr!BK22)),IF(AND(s_Irr!M22=".",s_Irr!AL22&lt;&gt;".",s_Irr!BK22&lt;&gt;"."),s_dir!AN22/((1/1000)*(s_Irr!AL22+s_Irr!BK22)),IF(AND(s_Irr!M22=".",s_Irr!AL22=".",s_Irr!BK22&lt;&gt;"."),s_dir!AN22/((1/1000)*(s_Irr!BK22)),IF(AND(s_Irr!M22=".",s_Irr!AL22&lt;&gt;".",s_Irr!BK22="."),s_dir!AN22/((1/1000)*(s_Irr!AL22)),IF(AND(s_Irr!M22&lt;&gt;".",s_Irr!AL22=".",s_Irr!BK22="."),s_dir!AN22/((1/1000)*(s_Irr!M22)),IF(AND(s_Irr!M22=".",s_Irr!AL22=".",s_Irr!BK22="."),s_dir!AN22*1000)))))))),".")</f>
        <v>72.297104565455456</v>
      </c>
      <c r="BO22" s="76">
        <f>IFERROR(IF(AND(s_Irr!N22&lt;&gt;".",s_Irr!AM22&lt;&gt;".",s_Irr!BL22&lt;&gt;"."),s_dir!AO22/((1/1000)*(s_Irr!N22+s_Irr!AM22+s_Irr!BL22)),IF(AND(s_Irr!N22&lt;&gt;".",s_Irr!AM22&lt;&gt;".",s_Irr!BL22="."),s_dir!AO22/((1/1000)*(s_Irr!N22+s_Irr!AM22)),IF(AND(s_Irr!N22&lt;&gt;".",s_Irr!AM22=".",s_Irr!BL22&lt;&gt;"."),s_dir!AO22/((1/1000)*(s_Irr!N22+s_Irr!BL22)),IF(AND(s_Irr!N22=".",s_Irr!AM22&lt;&gt;".",s_Irr!BL22&lt;&gt;"."),s_dir!AO22/((1/1000)*(s_Irr!AM22+s_Irr!BL22)),IF(AND(s_Irr!N22=".",s_Irr!AM22=".",s_Irr!BL22&lt;&gt;"."),s_dir!AO22/((1/1000)*(s_Irr!BL22)),IF(AND(s_Irr!N22=".",s_Irr!AM22&lt;&gt;".",s_Irr!BL22="."),s_dir!AO22/((1/1000)*(s_Irr!AM22)),IF(AND(s_Irr!N22&lt;&gt;".",s_Irr!AM22=".",s_Irr!BL22="."),s_dir!AO22/((1/1000)*(s_Irr!N22)),IF(AND(s_Irr!N22=".",s_Irr!AM22=".",s_Irr!BL22="."),s_dir!AO22*1000)))))))),".")</f>
        <v>148.69545244861104</v>
      </c>
      <c r="BP22" s="76">
        <f>IFERROR(IF(AND(s_Irr!O22&lt;&gt;".",s_Irr!AN22&lt;&gt;".",s_Irr!BM22&lt;&gt;"."),s_dir!AP22/((1/1000)*(s_Irr!O22+s_Irr!AN22+s_Irr!BM22)),IF(AND(s_Irr!O22&lt;&gt;".",s_Irr!AN22&lt;&gt;".",s_Irr!BM22="."),s_dir!AP22/((1/1000)*(s_Irr!O22+s_Irr!AN22)),IF(AND(s_Irr!O22&lt;&gt;".",s_Irr!AN22=".",s_Irr!BM22&lt;&gt;"."),s_dir!AP22/((1/1000)*(s_Irr!O22+s_Irr!BM22)),IF(AND(s_Irr!O22=".",s_Irr!AN22&lt;&gt;".",s_Irr!BM22&lt;&gt;"."),s_dir!AP22/((1/1000)*(s_Irr!AN22+s_Irr!BM22)),IF(AND(s_Irr!O22=".",s_Irr!AN22=".",s_Irr!BM22&lt;&gt;"."),s_dir!AP22/((1/1000)*(s_Irr!BM22)),IF(AND(s_Irr!O22=".",s_Irr!AN22&lt;&gt;".",s_Irr!BM22="."),s_dir!AP22/((1/1000)*(s_Irr!AN22)),IF(AND(s_Irr!O22&lt;&gt;".",s_Irr!AN22=".",s_Irr!BM22="."),s_dir!AP22/((1/1000)*(s_Irr!O22)),IF(AND(s_Irr!O22=".",s_Irr!AN22=".",s_Irr!BM22="."),s_dir!AP22*1000)))))))),".")</f>
        <v>142.81556342122616</v>
      </c>
      <c r="BQ22" s="76">
        <f>IFERROR(IF(AND(s_Irr!P22&lt;&gt;".",s_Irr!AO22&lt;&gt;".",s_Irr!BN22&lt;&gt;"."),s_dir!AQ22/((1/1000)*(s_Irr!P22+s_Irr!AO22+s_Irr!BN22)),IF(AND(s_Irr!P22&lt;&gt;".",s_Irr!AO22&lt;&gt;".",s_Irr!BN22="."),s_dir!AQ22/((1/1000)*(s_Irr!P22+s_Irr!AO22)),IF(AND(s_Irr!P22&lt;&gt;".",s_Irr!AO22=".",s_Irr!BN22&lt;&gt;"."),s_dir!AQ22/((1/1000)*(s_Irr!P22+s_Irr!BN22)),IF(AND(s_Irr!P22=".",s_Irr!AO22&lt;&gt;".",s_Irr!BN22&lt;&gt;"."),s_dir!AQ22/((1/1000)*(s_Irr!AO22+s_Irr!BN22)),IF(AND(s_Irr!P22=".",s_Irr!AO22=".",s_Irr!BN22&lt;&gt;"."),s_dir!AQ22/((1/1000)*(s_Irr!BN22)),IF(AND(s_Irr!P22=".",s_Irr!AO22&lt;&gt;".",s_Irr!BN22="."),s_dir!AQ22/((1/1000)*(s_Irr!AO22)),IF(AND(s_Irr!P22&lt;&gt;".",s_Irr!AO22=".",s_Irr!BN22="."),s_dir!AQ22/((1/1000)*(s_Irr!P22)),IF(AND(s_Irr!P22=".",s_Irr!AO22=".",s_Irr!BN22="."),s_dir!AQ22*1000)))))))),".")</f>
        <v>84.078596915092575</v>
      </c>
      <c r="BR22" s="76">
        <f>IFERROR(IF(AND(s_Irr!Q22&lt;&gt;".",s_Irr!AP22&lt;&gt;".",s_Irr!BO22&lt;&gt;"."),s_dir!AR22/((1/1000)*(s_Irr!Q22+s_Irr!AP22+s_Irr!BO22)),IF(AND(s_Irr!Q22&lt;&gt;".",s_Irr!AP22&lt;&gt;".",s_Irr!BO22="."),s_dir!AR22/((1/1000)*(s_Irr!Q22+s_Irr!AP22)),IF(AND(s_Irr!Q22&lt;&gt;".",s_Irr!AP22=".",s_Irr!BO22&lt;&gt;"."),s_dir!AR22/((1/1000)*(s_Irr!Q22+s_Irr!BO22)),IF(AND(s_Irr!Q22=".",s_Irr!AP22&lt;&gt;".",s_Irr!BO22&lt;&gt;"."),s_dir!AR22/((1/1000)*(s_Irr!AP22+s_Irr!BO22)),IF(AND(s_Irr!Q22=".",s_Irr!AP22=".",s_Irr!BO22&lt;&gt;"."),s_dir!AR22/((1/1000)*(s_Irr!BO22)),IF(AND(s_Irr!Q22=".",s_Irr!AP22&lt;&gt;".",s_Irr!BO22="."),s_dir!AR22/((1/1000)*(s_Irr!AP22)),IF(AND(s_Irr!Q22&lt;&gt;".",s_Irr!AP22=".",s_Irr!BO22="."),s_dir!AR22/((1/1000)*(s_Irr!Q22)),IF(AND(s_Irr!Q22=".",s_Irr!AP22=".",s_Irr!BO22="."),s_dir!AR22*1000)))))))),".")</f>
        <v>157.33219407967994</v>
      </c>
      <c r="BS22" s="76">
        <f>IFERROR(IF(AND(s_Irr!R22&lt;&gt;".",s_Irr!AQ22&lt;&gt;".",s_Irr!BP22&lt;&gt;"."),s_dir!AS22/((1/1000)*(s_Irr!R22+s_Irr!AQ22+s_Irr!BP22)),IF(AND(s_Irr!R22&lt;&gt;".",s_Irr!AQ22&lt;&gt;".",s_Irr!BP22="."),s_dir!AS22/((1/1000)*(s_Irr!R22+s_Irr!AQ22)),IF(AND(s_Irr!R22&lt;&gt;".",s_Irr!AQ22=".",s_Irr!BP22&lt;&gt;"."),s_dir!AS22/((1/1000)*(s_Irr!R22+s_Irr!BP22)),IF(AND(s_Irr!R22=".",s_Irr!AQ22&lt;&gt;".",s_Irr!BP22&lt;&gt;"."),s_dir!AS22/((1/1000)*(s_Irr!AQ22+s_Irr!BP22)),IF(AND(s_Irr!R22=".",s_Irr!AQ22=".",s_Irr!BP22&lt;&gt;"."),s_dir!AS22/((1/1000)*(s_Irr!BP22)),IF(AND(s_Irr!R22=".",s_Irr!AQ22&lt;&gt;".",s_Irr!BP22="."),s_dir!AS22/((1/1000)*(s_Irr!AQ22)),IF(AND(s_Irr!R22&lt;&gt;".",s_Irr!AQ22=".",s_Irr!BP22="."),s_dir!AS22/((1/1000)*(s_Irr!R22)),IF(AND(s_Irr!R22=".",s_Irr!AQ22=".",s_Irr!BP22="."),s_dir!AS22*1000)))))))),".")</f>
        <v>157.33219407967994</v>
      </c>
      <c r="BT22" s="76">
        <f>IFERROR(IF(AND(s_Irr!S22&lt;&gt;".",s_Irr!AR22&lt;&gt;".",s_Irr!BQ22&lt;&gt;"."),s_dir!AT22/((1/1000)*(s_Irr!S22+s_Irr!AR22+s_Irr!BQ22)),IF(AND(s_Irr!S22&lt;&gt;".",s_Irr!AR22&lt;&gt;".",s_Irr!BQ22="."),s_dir!AT22/((1/1000)*(s_Irr!S22+s_Irr!AR22)),IF(AND(s_Irr!S22&lt;&gt;".",s_Irr!AR22=".",s_Irr!BQ22&lt;&gt;"."),s_dir!AT22/((1/1000)*(s_Irr!S22+s_Irr!BQ22)),IF(AND(s_Irr!S22=".",s_Irr!AR22&lt;&gt;".",s_Irr!BQ22&lt;&gt;"."),s_dir!AT22/((1/1000)*(s_Irr!AR22+s_Irr!BQ22)),IF(AND(s_Irr!S22=".",s_Irr!AR22=".",s_Irr!BQ22&lt;&gt;"."),s_dir!AT22/((1/1000)*(s_Irr!BQ22)),IF(AND(s_Irr!S22=".",s_Irr!AR22&lt;&gt;".",s_Irr!BQ22="."),s_dir!AT22/((1/1000)*(s_Irr!AR22)),IF(AND(s_Irr!S22&lt;&gt;".",s_Irr!AR22=".",s_Irr!BQ22="."),s_dir!AT22/((1/1000)*(s_Irr!S22)),IF(AND(s_Irr!S22=".",s_Irr!AR22=".",s_Irr!BQ22="."),s_dir!AT22*1000)))))))),".")</f>
        <v>148.69545244861104</v>
      </c>
      <c r="BU22" s="76">
        <f>IFERROR(IF(AND(s_Irr!T22&lt;&gt;".",s_Irr!AS22&lt;&gt;".",s_Irr!BR22&lt;&gt;"."),s_dir!AU22/((1/1000)*(s_Irr!T22+s_Irr!AS22+s_Irr!BR22)),IF(AND(s_Irr!T22&lt;&gt;".",s_Irr!AS22&lt;&gt;".",s_Irr!BR22="."),s_dir!AU22/((1/1000)*(s_Irr!T22+s_Irr!AS22)),IF(AND(s_Irr!T22&lt;&gt;".",s_Irr!AS22=".",s_Irr!BR22&lt;&gt;"."),s_dir!AU22/((1/1000)*(s_Irr!T22+s_Irr!BR22)),IF(AND(s_Irr!T22=".",s_Irr!AS22&lt;&gt;".",s_Irr!BR22&lt;&gt;"."),s_dir!AU22/((1/1000)*(s_Irr!AS22+s_Irr!BR22)),IF(AND(s_Irr!T22=".",s_Irr!AS22=".",s_Irr!BR22&lt;&gt;"."),s_dir!AU22/((1/1000)*(s_Irr!BR22)),IF(AND(s_Irr!T22=".",s_Irr!AS22&lt;&gt;".",s_Irr!BR22="."),s_dir!AU22/((1/1000)*(s_Irr!AS22)),IF(AND(s_Irr!T22&lt;&gt;".",s_Irr!AS22=".",s_Irr!BR22="."),s_dir!AU22/((1/1000)*(s_Irr!T22)),IF(AND(s_Irr!T22=".",s_Irr!AS22=".",s_Irr!BR22="."),s_dir!AU22*1000)))))))),".")</f>
        <v>142.81556342122616</v>
      </c>
      <c r="BV22" s="76">
        <f>IFERROR(IF(AND(s_Irr!U22&lt;&gt;".",s_Irr!AT22&lt;&gt;".",s_Irr!BS22&lt;&gt;"."),s_dir!AV22/((1/1000)*(s_Irr!U22+s_Irr!AT22+s_Irr!BS22)),IF(AND(s_Irr!U22&lt;&gt;".",s_Irr!AT22&lt;&gt;".",s_Irr!BS22="."),s_dir!AV22/((1/1000)*(s_Irr!U22+s_Irr!AT22)),IF(AND(s_Irr!U22&lt;&gt;".",s_Irr!AT22=".",s_Irr!BS22&lt;&gt;"."),s_dir!AV22/((1/1000)*(s_Irr!U22+s_Irr!BS22)),IF(AND(s_Irr!U22=".",s_Irr!AT22&lt;&gt;".",s_Irr!BS22&lt;&gt;"."),s_dir!AV22/((1/1000)*(s_Irr!AT22+s_Irr!BS22)),IF(AND(s_Irr!U22=".",s_Irr!AT22=".",s_Irr!BS22&lt;&gt;"."),s_dir!AV22/((1/1000)*(s_Irr!BS22)),IF(AND(s_Irr!U22=".",s_Irr!AT22&lt;&gt;".",s_Irr!BS22="."),s_dir!AV22/((1/1000)*(s_Irr!AT22)),IF(AND(s_Irr!U22&lt;&gt;".",s_Irr!AT22=".",s_Irr!BS22="."),s_dir!AV22/((1/1000)*(s_Irr!U22)),IF(AND(s_Irr!U22=".",s_Irr!AT22=".",s_Irr!BS22="."),s_dir!AV22*1000)))))))),".")</f>
        <v>155.08029528189641</v>
      </c>
      <c r="BW22" s="76">
        <f>IFERROR(IF(AND(s_Irr!V22&lt;&gt;".",s_Irr!AU22&lt;&gt;".",s_Irr!BT22&lt;&gt;"."),s_dir!AW22/((1/1000)*(s_Irr!V22+s_Irr!AU22+s_Irr!BT22)),IF(AND(s_Irr!V22&lt;&gt;".",s_Irr!AU22&lt;&gt;".",s_Irr!BT22="."),s_dir!AW22/((1/1000)*(s_Irr!V22+s_Irr!AU22)),IF(AND(s_Irr!V22&lt;&gt;".",s_Irr!AU22=".",s_Irr!BT22&lt;&gt;"."),s_dir!AW22/((1/1000)*(s_Irr!V22+s_Irr!BT22)),IF(AND(s_Irr!V22=".",s_Irr!AU22&lt;&gt;".",s_Irr!BT22&lt;&gt;"."),s_dir!AW22/((1/1000)*(s_Irr!AU22+s_Irr!BT22)),IF(AND(s_Irr!V22=".",s_Irr!AU22=".",s_Irr!BT22&lt;&gt;"."),s_dir!AW22/((1/1000)*(s_Irr!BT22)),IF(AND(s_Irr!V22=".",s_Irr!AU22&lt;&gt;".",s_Irr!BT22="."),s_dir!AW22/((1/1000)*(s_Irr!AU22)),IF(AND(s_Irr!V22&lt;&gt;".",s_Irr!AU22=".",s_Irr!BT22="."),s_dir!AW22/((1/1000)*(s_Irr!V22)),IF(AND(s_Irr!V22=".",s_Irr!AU22=".",s_Irr!BT22="."),s_dir!AW22*1000)))))))),".")</f>
        <v>142.81556342122616</v>
      </c>
      <c r="BX22" s="76">
        <f>IFERROR(IF(AND(s_Irr!W22&lt;&gt;".",s_Irr!AV22&lt;&gt;".",s_Irr!BU22&lt;&gt;"."),s_dir!AX22/((1/1000)*(s_Irr!W22+s_Irr!AV22+s_Irr!BU22)),IF(AND(s_Irr!W22&lt;&gt;".",s_Irr!AV22&lt;&gt;".",s_Irr!BU22="."),s_dir!AX22/((1/1000)*(s_Irr!W22+s_Irr!AV22)),IF(AND(s_Irr!W22&lt;&gt;".",s_Irr!AV22=".",s_Irr!BU22&lt;&gt;"."),s_dir!AX22/((1/1000)*(s_Irr!W22+s_Irr!BU22)),IF(AND(s_Irr!W22=".",s_Irr!AV22&lt;&gt;".",s_Irr!BU22&lt;&gt;"."),s_dir!AX22/((1/1000)*(s_Irr!AV22+s_Irr!BU22)),IF(AND(s_Irr!W22=".",s_Irr!AV22=".",s_Irr!BU22&lt;&gt;"."),s_dir!AX22/((1/1000)*(s_Irr!BU22)),IF(AND(s_Irr!W22=".",s_Irr!AV22&lt;&gt;".",s_Irr!BU22="."),s_dir!AX22/((1/1000)*(s_Irr!AV22)),IF(AND(s_Irr!W22&lt;&gt;".",s_Irr!AV22=".",s_Irr!BU22="."),s_dir!AX22/((1/1000)*(s_Irr!W22)),IF(AND(s_Irr!W22=".",s_Irr!AV22=".",s_Irr!BU22="."),s_dir!AX22*1000)))))))),".")</f>
        <v>148.69545244861104</v>
      </c>
      <c r="BY22" s="76">
        <f>IFERROR(IF(AND(s_Irr!X22&lt;&gt;".",s_Irr!AW22&lt;&gt;".",s_Irr!BV22&lt;&gt;"."),s_dir!AY22/((1/1000)*(s_Irr!X22+s_Irr!AW22+s_Irr!BV22)),IF(AND(s_Irr!X22&lt;&gt;".",s_Irr!AW22&lt;&gt;".",s_Irr!BV22="."),s_dir!AY22/((1/1000)*(s_Irr!X22+s_Irr!AW22)),IF(AND(s_Irr!X22&lt;&gt;".",s_Irr!AW22=".",s_Irr!BV22&lt;&gt;"."),s_dir!AY22/((1/1000)*(s_Irr!X22+s_Irr!BV22)),IF(AND(s_Irr!X22=".",s_Irr!AW22&lt;&gt;".",s_Irr!BV22&lt;&gt;"."),s_dir!AY22/((1/1000)*(s_Irr!AW22+s_Irr!BV22)),IF(AND(s_Irr!X22=".",s_Irr!AW22=".",s_Irr!BV22&lt;&gt;"."),s_dir!AY22/((1/1000)*(s_Irr!BV22)),IF(AND(s_Irr!X22=".",s_Irr!AW22&lt;&gt;".",s_Irr!BV22="."),s_dir!AY22/((1/1000)*(s_Irr!AW22)),IF(AND(s_Irr!X22&lt;&gt;".",s_Irr!AW22=".",s_Irr!BV22="."),s_dir!AY22/((1/1000)*(s_Irr!X22)),IF(AND(s_Irr!X22=".",s_Irr!AW22=".",s_Irr!BV22="."),s_dir!AY22*1000)))))))),".")</f>
        <v>157.33219407967994</v>
      </c>
      <c r="BZ22" s="76">
        <f>IFERROR(IF(AND(s_Irr!Y22&lt;&gt;".",s_Irr!AX22&lt;&gt;".",s_Irr!BW22&lt;&gt;"."),s_dir!AZ22/((1/1000)*(s_Irr!Y22+s_Irr!AX22+s_Irr!BW22)),IF(AND(s_Irr!Y22&lt;&gt;".",s_Irr!AX22&lt;&gt;".",s_Irr!BW22="."),s_dir!AZ22/((1/1000)*(s_Irr!Y22+s_Irr!AX22)),IF(AND(s_Irr!Y22&lt;&gt;".",s_Irr!AX22=".",s_Irr!BW22&lt;&gt;"."),s_dir!AZ22/((1/1000)*(s_Irr!Y22+s_Irr!BW22)),IF(AND(s_Irr!Y22=".",s_Irr!AX22&lt;&gt;".",s_Irr!BW22&lt;&gt;"."),s_dir!AZ22/((1/1000)*(s_Irr!AX22+s_Irr!BW22)),IF(AND(s_Irr!Y22=".",s_Irr!AX22=".",s_Irr!BW22&lt;&gt;"."),s_dir!AZ22/((1/1000)*(s_Irr!BW22)),IF(AND(s_Irr!Y22=".",s_Irr!AX22&lt;&gt;".",s_Irr!BW22="."),s_dir!AZ22/((1/1000)*(s_Irr!AX22)),IF(AND(s_Irr!Y22&lt;&gt;".",s_Irr!AX22=".",s_Irr!BW22="."),s_dir!AZ22/((1/1000)*(s_Irr!Y22)),IF(AND(s_Irr!Y22=".",s_Irr!AX22=".",s_Irr!BW22="."),s_dir!AZ22*1000)))))))),".")</f>
        <v>142.81556342122616</v>
      </c>
      <c r="CA22" s="76">
        <f>IFERROR(IF(AND(s_Irr!Z22&lt;&gt;".",s_Irr!AY22&lt;&gt;".",s_Irr!BX22&lt;&gt;"."),s_dir!BA22/((1/1000)*(s_Irr!Z22+s_Irr!AY22+s_Irr!BX22)),IF(AND(s_Irr!Z22&lt;&gt;".",s_Irr!AY22&lt;&gt;".",s_Irr!BX22="."),s_dir!BA22/((1/1000)*(s_Irr!Z22+s_Irr!AY22)),IF(AND(s_Irr!Z22&lt;&gt;".",s_Irr!AY22=".",s_Irr!BX22&lt;&gt;"."),s_dir!BA22/((1/1000)*(s_Irr!Z22+s_Irr!BX22)),IF(AND(s_Irr!Z22=".",s_Irr!AY22&lt;&gt;".",s_Irr!BX22&lt;&gt;"."),s_dir!BA22/((1/1000)*(s_Irr!AY22+s_Irr!BX22)),IF(AND(s_Irr!Z22=".",s_Irr!AY22=".",s_Irr!BX22&lt;&gt;"."),s_dir!BA22/((1/1000)*(s_Irr!BX22)),IF(AND(s_Irr!Z22=".",s_Irr!AY22&lt;&gt;".",s_Irr!BX22="."),s_dir!BA22/((1/1000)*(s_Irr!AY22)),IF(AND(s_Irr!Z22&lt;&gt;".",s_Irr!AY22=".",s_Irr!BX22="."),s_dir!BA22/((1/1000)*(s_Irr!Z22)),IF(AND(s_Irr!Z22=".",s_Irr!AY22=".",s_Irr!BX22="."),s_dir!BA22*1000)))))))),".")</f>
        <v>181.37852970309612</v>
      </c>
      <c r="CB22" s="76">
        <f>IFERROR(IF(AND(s_Irr!AA22&lt;&gt;".",s_Irr!AZ22&lt;&gt;".",s_Irr!BY22&lt;&gt;"."),s_dir!BB22/((1/1000)*(s_Irr!AA22+s_Irr!AZ22+s_Irr!BY22)),IF(AND(s_Irr!AA22&lt;&gt;".",s_Irr!AZ22&lt;&gt;".",s_Irr!BY22="."),s_dir!BB22/((1/1000)*(s_Irr!AA22+s_Irr!AZ22)),IF(AND(s_Irr!AA22&lt;&gt;".",s_Irr!AZ22=".",s_Irr!BY22&lt;&gt;"."),s_dir!BB22/((1/1000)*(s_Irr!AA22+s_Irr!BY22)),IF(AND(s_Irr!AA22=".",s_Irr!AZ22&lt;&gt;".",s_Irr!BY22&lt;&gt;"."),s_dir!BB22/((1/1000)*(s_Irr!AZ22+s_Irr!BY22)),IF(AND(s_Irr!AA22=".",s_Irr!AZ22=".",s_Irr!BY22&lt;&gt;"."),s_dir!BB22/((1/1000)*(s_Irr!BY22)),IF(AND(s_Irr!AA22=".",s_Irr!AZ22&lt;&gt;".",s_Irr!BY22="."),s_dir!BB22/((1/1000)*(s_Irr!AZ22)),IF(AND(s_Irr!AA22&lt;&gt;".",s_Irr!AZ22=".",s_Irr!BY22="."),s_dir!BB22/((1/1000)*(s_Irr!AA22)),IF(AND(s_Irr!AA22=".",s_Irr!AZ22=".",s_Irr!BY22="."),s_dir!BB22*1000)))))))),".")</f>
        <v>142.81556342122616</v>
      </c>
      <c r="CC22" s="93">
        <f t="shared" si="2"/>
        <v>8425.0686785818289</v>
      </c>
      <c r="CD22" s="93">
        <f>IFERROR(s_C*s_IFAP_far_adj*s_CF_apple*(1/1000)*(s_Irr!C22+s_Irr!AB22+s_Irr!BA22),".")</f>
        <v>2069.677052148757</v>
      </c>
      <c r="CE22" s="93">
        <f>IFERROR(s_C*s_IFAS_far_adj*s_CF_asparagus*(1/1000)*(s_Irr!D22+s_Irr!AC22+s_Irr!BB22),".")</f>
        <v>4504.0093044959503</v>
      </c>
      <c r="CF22" s="93">
        <f>IFERROR(s_C*s_IFBT_far_adj*s_CF_beet*(1/1000)*(s_Irr!E22+s_Irr!AD22+s_Irr!BC22),".")</f>
        <v>3872.8861279614935</v>
      </c>
      <c r="CG22" s="93">
        <f>IFERROR(s_C*s_IFBE_far_adj*s_CF_berries*(1/1000)*(s_Irr!F22+s_Irr!AE22+s_Irr!BD22),".")</f>
        <v>2069.677052148757</v>
      </c>
      <c r="CH22" s="93">
        <f>IFERROR(s_C*s_IFBR_far_adj*s_CF_broccoli*(1/1000)*(s_Irr!G22+s_Irr!AF22+s_Irr!BE22),".")</f>
        <v>2280.0514443269094</v>
      </c>
      <c r="CI22" s="93">
        <f>IFERROR(s_C*s_IFCB_far_adj*s_CF_cabbage*(1/1000)*(s_Irr!H22+s_Irr!AG22+s_Irr!BF22),".")</f>
        <v>4504.0093044959503</v>
      </c>
      <c r="CJ22" s="93">
        <f>IFERROR(s_C*s_IFCR_far_adj*s_CF_carrot*(1/1000)*(s_Irr!I22+s_Irr!AH22+s_Irr!BG22),".")</f>
        <v>3872.8861279614935</v>
      </c>
      <c r="CK22" s="93">
        <f>IFERROR(s_C*s_IFCI_far_adj*s_CF_citrus*(1/1000)*(s_Irr!J22+s_Irr!AI22+s_Irr!BH22),".")</f>
        <v>2069.677052148757</v>
      </c>
      <c r="CL22" s="93">
        <f>IFERROR(s_C*s_IFCO_far_adj*s_CF_corn*(1/1000)*(s_Irr!K22+s_Irr!AJ22+s_Irr!BI22),".")</f>
        <v>1841.2705692124769</v>
      </c>
      <c r="CM22" s="93">
        <f>IFERROR(s_C*s_IFCU_far_adj*s_CF_cucumber*(1/1000)*(s_Irr!L22+s_Irr!AK22+s_Irr!BJ22),".")</f>
        <v>2280.0514443269094</v>
      </c>
      <c r="CN22" s="93">
        <f>IFERROR(s_C*s_IFLE_far_adj*s_CF_lettuce*(1/1000)*(s_Irr!M22+s_Irr!AL22+s_Irr!BK22),".")</f>
        <v>4504.0093044959503</v>
      </c>
      <c r="CO22" s="93">
        <f>IFERROR(s_C*s_IFLI_far_adj*s_CF_lima_bean*(1/1000)*(s_Irr!N22+s_Irr!AM22+s_Irr!BL22),".")</f>
        <v>2189.8909905362725</v>
      </c>
      <c r="CP22" s="93">
        <f>IFERROR(s_C*s_IFOK_far_adj*s_CF_okra*(1/1000)*(s_Irr!O22+s_Irr!AN22+s_Irr!BM22),".")</f>
        <v>2280.0514443269094</v>
      </c>
      <c r="CQ22" s="93">
        <f>IFERROR(s_C*s_IFON_far_adj*s_CF_onion*(1/1000)*(s_Irr!P22+s_Irr!AO22+s_Irr!BN22),".")</f>
        <v>3872.8861279614935</v>
      </c>
      <c r="CR22" s="93">
        <f>IFERROR(s_C*s_IFPC_far_adj*s_CF_peach*(1/1000)*(s_Irr!Q22+s_Irr!AP22+s_Irr!BO22),".")</f>
        <v>2069.677052148757</v>
      </c>
      <c r="CS22" s="93">
        <f>IFERROR(s_C*s_IFPR_far_adj*s_CF_pear*(1/1000)*(s_Irr!R22+s_Irr!AQ22+s_Irr!BP22),".")</f>
        <v>2069.677052148757</v>
      </c>
      <c r="CT22" s="93">
        <f>IFERROR(s_C*s_IFPE_far_adj*s_CF_peas*(1/1000)*(s_Irr!S22+s_Irr!AR22+s_Irr!BQ22),".")</f>
        <v>2189.8909905362725</v>
      </c>
      <c r="CU22" s="93">
        <f>IFERROR(s_C*s_IFPP_far_adj*s_CF_peppers*(1/1000)*(s_Irr!T22+s_Irr!AS22+s_Irr!BR22),".")</f>
        <v>2280.0514443269094</v>
      </c>
      <c r="CV22" s="93">
        <f>IFERROR(s_C*s_IFPT_far_adj*s_CF_potato*(1/1000)*(s_Irr!U22+s_Irr!AT22+s_Irr!BS22),".")</f>
        <v>2099.7305367456356</v>
      </c>
      <c r="CW22" s="93">
        <f>IFERROR(s_C*s_IFPU_far_adj*s_CF_pumpkin*(1/1000)*(s_Irr!V22+s_Irr!AU22+s_Irr!BT22),".")</f>
        <v>2280.0514443269094</v>
      </c>
      <c r="CX22" s="93">
        <f>IFERROR(s_C*s_IFSN_far_adj*s_CF_snap_bean*(1/1000)*(s_Irr!W22+s_Irr!AV22+s_Irr!BU22),".")</f>
        <v>2189.8909905362725</v>
      </c>
      <c r="CY22" s="93">
        <f>IFERROR(s_C*s_IFST_far_adj*s_CF_strawberry*(1/1000)*(s_Irr!X22+s_Irr!AW22+s_Irr!BV22),".")</f>
        <v>2069.677052148757</v>
      </c>
      <c r="CZ22" s="93">
        <f>IFERROR(s_C*s_IFTO_far_adj*s_CF_tomato*(1/1000)*(s_Irr!Y22+s_Irr!AX22+s_Irr!BW22),".")</f>
        <v>2280.0514443269094</v>
      </c>
      <c r="DA22" s="93">
        <f>IFERROR(s_C*s_IFRI_far_adj*s_CF_rice*(1/1000)*(s_Irr!Z22+s_Irr!AY22+s_Irr!BX22),".")</f>
        <v>1795.2887377792522</v>
      </c>
      <c r="DB22" s="93">
        <f>IFERROR(s_C*s_IFCG_far_adj*s_CF_cereal*(1/1000)*(s_Irr!AA22+s_Irr!AZ22+s_Irr!BY22),".")</f>
        <v>2280.0514443269094</v>
      </c>
    </row>
    <row r="23" spans="1:106" x14ac:dyDescent="0.25">
      <c r="A23" s="94" t="s">
        <v>33</v>
      </c>
      <c r="B23" s="90" t="s">
        <v>349</v>
      </c>
      <c r="C23" s="15">
        <f t="shared" si="3"/>
        <v>11.539315035746162</v>
      </c>
      <c r="D23" s="76">
        <f>IFERROR(IF(AND(s_Irr!C23&lt;&gt;".",s_Irr!AB23&lt;&gt;".",s_Irr!BA23&lt;&gt;"."),s_dir!D23/((1/1000)*(s_Irr!C23+s_Irr!AB23+s_Irr!BA23)),IF(AND(s_Irr!C23&lt;&gt;".",s_Irr!AB23&lt;&gt;".",s_Irr!BA23="."),s_dir!D23/((1/1000)*(s_Irr!C23+s_Irr!AB23)),IF(AND(s_Irr!C23&lt;&gt;".",s_Irr!AB23=".",s_Irr!BA23&lt;&gt;"."),s_dir!D23/((1/1000)*(s_Irr!C23+s_Irr!BA23)),IF(AND(s_Irr!C23=".",s_Irr!AB23&lt;&gt;".",s_Irr!BA23&lt;&gt;"."),s_dir!D23/((1/1000)*(s_Irr!AB23+s_Irr!BA23)),IF(AND(s_Irr!C23=".",s_Irr!AB23=".",s_Irr!BA23&lt;&gt;"."),s_dir!D23/((1/1000)*(s_Irr!BA23)),IF(AND(s_Irr!C23=".",s_Irr!AB23&lt;&gt;".",s_Irr!BA23="."),s_dir!D23/((1/1000)*(s_Irr!AB23)),IF(AND(s_Irr!C23&lt;&gt;".",s_Irr!AB23=".",s_Irr!BA23="."),s_dir!D23/((1/1000)*(s_Irr!C23)),IF(AND(s_Irr!C23=".",s_Irr!AB23=".",s_Irr!BA23="."),s_dir!D23*1000)))))))),".")</f>
        <v>46.973280966235372</v>
      </c>
      <c r="E23" s="76">
        <f>IFERROR(IF(AND(s_Irr!D23&lt;&gt;".",s_Irr!AC23&lt;&gt;".",s_Irr!BB23&lt;&gt;"."),s_dir!E23/((1/1000)*(s_Irr!D23+s_Irr!AC23+s_Irr!BB23)),IF(AND(s_Irr!D23&lt;&gt;".",s_Irr!AC23&lt;&gt;".",s_Irr!BB23="."),s_dir!E23/((1/1000)*(s_Irr!D23+s_Irr!AC23)),IF(AND(s_Irr!D23&lt;&gt;".",s_Irr!AC23=".",s_Irr!BB23&lt;&gt;"."),s_dir!E23/((1/1000)*(s_Irr!D23+s_Irr!BB23)),IF(AND(s_Irr!D23=".",s_Irr!AC23&lt;&gt;".",s_Irr!BB23&lt;&gt;"."),s_dir!E23/((1/1000)*(s_Irr!AC23+s_Irr!BB23)),IF(AND(s_Irr!D23=".",s_Irr!AC23=".",s_Irr!BB23&lt;&gt;"."),s_dir!E23/((1/1000)*(s_Irr!BB23)),IF(AND(s_Irr!D23=".",s_Irr!AC23&lt;&gt;".",s_Irr!BB23="."),s_dir!E23/((1/1000)*(s_Irr!AC23)),IF(AND(s_Irr!D23&lt;&gt;".",s_Irr!AC23=".",s_Irr!BB23="."),s_dir!E23/((1/1000)*(s_Irr!D23)),IF(AND(s_Irr!D23=".",s_Irr!AC23=".",s_Irr!BB23="."),s_dir!E23*1000)))))))),".")</f>
        <v>21.585106758751088</v>
      </c>
      <c r="F23" s="76">
        <f>IFERROR(IF(AND(s_Irr!E23&lt;&gt;".",s_Irr!AD23&lt;&gt;".",s_Irr!BC23&lt;&gt;"."),s_dir!F23/((1/1000)*(s_Irr!E23+s_Irr!AD23+s_Irr!BC23)),IF(AND(s_Irr!E23&lt;&gt;".",s_Irr!AD23&lt;&gt;".",s_Irr!BC23="."),s_dir!F23/((1/1000)*(s_Irr!E23+s_Irr!AD23)),IF(AND(s_Irr!E23&lt;&gt;".",s_Irr!AD23=".",s_Irr!BC23&lt;&gt;"."),s_dir!F23/((1/1000)*(s_Irr!E23+s_Irr!BC23)),IF(AND(s_Irr!E23=".",s_Irr!AD23&lt;&gt;".",s_Irr!BC23&lt;&gt;"."),s_dir!F23/((1/1000)*(s_Irr!AD23+s_Irr!BC23)),IF(AND(s_Irr!E23=".",s_Irr!AD23=".",s_Irr!BC23&lt;&gt;"."),s_dir!F23/((1/1000)*(s_Irr!BC23)),IF(AND(s_Irr!E23=".",s_Irr!AD23&lt;&gt;".",s_Irr!BC23="."),s_dir!F23/((1/1000)*(s_Irr!AD23)),IF(AND(s_Irr!E23&lt;&gt;".",s_Irr!AD23=".",s_Irr!BC23="."),s_dir!F23/((1/1000)*(s_Irr!E23)),IF(AND(s_Irr!E23=".",s_Irr!AD23=".",s_Irr!BC23="."),s_dir!F23*1000)))))))),".")</f>
        <v>25.102602676088789</v>
      </c>
      <c r="G23" s="76">
        <f>IFERROR(IF(AND(s_Irr!F23&lt;&gt;".",s_Irr!AE23&lt;&gt;".",s_Irr!BD23&lt;&gt;"."),s_dir!G23/((1/1000)*(s_Irr!F23+s_Irr!AE23+s_Irr!BD23)),IF(AND(s_Irr!F23&lt;&gt;".",s_Irr!AE23&lt;&gt;".",s_Irr!BD23="."),s_dir!G23/((1/1000)*(s_Irr!F23+s_Irr!AE23)),IF(AND(s_Irr!F23&lt;&gt;".",s_Irr!AE23=".",s_Irr!BD23&lt;&gt;"."),s_dir!G23/((1/1000)*(s_Irr!F23+s_Irr!BD23)),IF(AND(s_Irr!F23=".",s_Irr!AE23&lt;&gt;".",s_Irr!BD23&lt;&gt;"."),s_dir!G23/((1/1000)*(s_Irr!AE23+s_Irr!BD23)),IF(AND(s_Irr!F23=".",s_Irr!AE23=".",s_Irr!BD23&lt;&gt;"."),s_dir!G23/((1/1000)*(s_Irr!BD23)),IF(AND(s_Irr!F23=".",s_Irr!AE23&lt;&gt;".",s_Irr!BD23="."),s_dir!G23/((1/1000)*(s_Irr!AE23)),IF(AND(s_Irr!F23&lt;&gt;".",s_Irr!AE23=".",s_Irr!BD23="."),s_dir!G23/((1/1000)*(s_Irr!F23)),IF(AND(s_Irr!F23=".",s_Irr!AE23=".",s_Irr!BD23="."),s_dir!G23*1000)))))))),".")</f>
        <v>46.973280966235372</v>
      </c>
      <c r="H23" s="76">
        <f>IFERROR(IF(AND(s_Irr!G23&lt;&gt;".",s_Irr!AF23&lt;&gt;".",s_Irr!BE23&lt;&gt;"."),s_dir!H23/((1/1000)*(s_Irr!G23+s_Irr!AF23+s_Irr!BE23)),IF(AND(s_Irr!G23&lt;&gt;".",s_Irr!AF23&lt;&gt;".",s_Irr!BE23="."),s_dir!H23/((1/1000)*(s_Irr!G23+s_Irr!AF23)),IF(AND(s_Irr!G23&lt;&gt;".",s_Irr!AF23=".",s_Irr!BE23&lt;&gt;"."),s_dir!H23/((1/1000)*(s_Irr!G23+s_Irr!BE23)),IF(AND(s_Irr!G23=".",s_Irr!AF23&lt;&gt;".",s_Irr!BE23&lt;&gt;"."),s_dir!H23/((1/1000)*(s_Irr!AF23+s_Irr!BE23)),IF(AND(s_Irr!G23=".",s_Irr!AF23=".",s_Irr!BE23&lt;&gt;"."),s_dir!H23/((1/1000)*(s_Irr!BE23)),IF(AND(s_Irr!G23=".",s_Irr!AF23&lt;&gt;".",s_Irr!BE23="."),s_dir!H23/((1/1000)*(s_Irr!AF23)),IF(AND(s_Irr!G23&lt;&gt;".",s_Irr!AF23=".",s_Irr!BE23="."),s_dir!H23/((1/1000)*(s_Irr!G23)),IF(AND(s_Irr!G23=".",s_Irr!AF23=".",s_Irr!BE23="."),s_dir!H23*1000)))))))),".")</f>
        <v>42.639179007056732</v>
      </c>
      <c r="I23" s="76">
        <f>IFERROR(IF(AND(s_Irr!H23&lt;&gt;".",s_Irr!AG23&lt;&gt;".",s_Irr!BF23&lt;&gt;"."),s_dir!I23/((1/1000)*(s_Irr!H23+s_Irr!AG23+s_Irr!BF23)),IF(AND(s_Irr!H23&lt;&gt;".",s_Irr!AG23&lt;&gt;".",s_Irr!BF23="."),s_dir!I23/((1/1000)*(s_Irr!H23+s_Irr!AG23)),IF(AND(s_Irr!H23&lt;&gt;".",s_Irr!AG23=".",s_Irr!BF23&lt;&gt;"."),s_dir!I23/((1/1000)*(s_Irr!H23+s_Irr!BF23)),IF(AND(s_Irr!H23=".",s_Irr!AG23&lt;&gt;".",s_Irr!BF23&lt;&gt;"."),s_dir!I23/((1/1000)*(s_Irr!AG23+s_Irr!BF23)),IF(AND(s_Irr!H23=".",s_Irr!AG23=".",s_Irr!BF23&lt;&gt;"."),s_dir!I23/((1/1000)*(s_Irr!BF23)),IF(AND(s_Irr!H23=".",s_Irr!AG23&lt;&gt;".",s_Irr!BF23="."),s_dir!I23/((1/1000)*(s_Irr!AG23)),IF(AND(s_Irr!H23&lt;&gt;".",s_Irr!AG23=".",s_Irr!BF23="."),s_dir!I23/((1/1000)*(s_Irr!H23)),IF(AND(s_Irr!H23=".",s_Irr!AG23=".",s_Irr!BF23="."),s_dir!I23*1000)))))))),".")</f>
        <v>21.585106758751088</v>
      </c>
      <c r="J23" s="76">
        <f>IFERROR(IF(AND(s_Irr!I23&lt;&gt;".",s_Irr!AH23&lt;&gt;".",s_Irr!BG23&lt;&gt;"."),s_dir!J23/((1/1000)*(s_Irr!I23+s_Irr!AH23+s_Irr!BG23)),IF(AND(s_Irr!I23&lt;&gt;".",s_Irr!AH23&lt;&gt;".",s_Irr!BG23="."),s_dir!J23/((1/1000)*(s_Irr!I23+s_Irr!AH23)),IF(AND(s_Irr!I23&lt;&gt;".",s_Irr!AH23=".",s_Irr!BG23&lt;&gt;"."),s_dir!J23/((1/1000)*(s_Irr!I23+s_Irr!BG23)),IF(AND(s_Irr!I23=".",s_Irr!AH23&lt;&gt;".",s_Irr!BG23&lt;&gt;"."),s_dir!J23/((1/1000)*(s_Irr!AH23+s_Irr!BG23)),IF(AND(s_Irr!I23=".",s_Irr!AH23=".",s_Irr!BG23&lt;&gt;"."),s_dir!J23/((1/1000)*(s_Irr!BG23)),IF(AND(s_Irr!I23=".",s_Irr!AH23&lt;&gt;".",s_Irr!BG23="."),s_dir!J23/((1/1000)*(s_Irr!AH23)),IF(AND(s_Irr!I23&lt;&gt;".",s_Irr!AH23=".",s_Irr!BG23="."),s_dir!J23/((1/1000)*(s_Irr!I23)),IF(AND(s_Irr!I23=".",s_Irr!AH23=".",s_Irr!BG23="."),s_dir!J23*1000)))))))),".")</f>
        <v>25.102602676088789</v>
      </c>
      <c r="K23" s="76">
        <f>IFERROR(IF(AND(s_Irr!J23&lt;&gt;".",s_Irr!AI23&lt;&gt;".",s_Irr!BH23&lt;&gt;"."),s_dir!K23/((1/1000)*(s_Irr!J23+s_Irr!AI23+s_Irr!BH23)),IF(AND(s_Irr!J23&lt;&gt;".",s_Irr!AI23&lt;&gt;".",s_Irr!BH23="."),s_dir!K23/((1/1000)*(s_Irr!J23+s_Irr!AI23)),IF(AND(s_Irr!J23&lt;&gt;".",s_Irr!AI23=".",s_Irr!BH23&lt;&gt;"."),s_dir!K23/((1/1000)*(s_Irr!J23+s_Irr!BH23)),IF(AND(s_Irr!J23=".",s_Irr!AI23&lt;&gt;".",s_Irr!BH23&lt;&gt;"."),s_dir!K23/((1/1000)*(s_Irr!AI23+s_Irr!BH23)),IF(AND(s_Irr!J23=".",s_Irr!AI23=".",s_Irr!BH23&lt;&gt;"."),s_dir!K23/((1/1000)*(s_Irr!BH23)),IF(AND(s_Irr!J23=".",s_Irr!AI23&lt;&gt;".",s_Irr!BH23="."),s_dir!K23/((1/1000)*(s_Irr!AI23)),IF(AND(s_Irr!J23&lt;&gt;".",s_Irr!AI23=".",s_Irr!BH23="."),s_dir!K23/((1/1000)*(s_Irr!J23)),IF(AND(s_Irr!J23=".",s_Irr!AI23=".",s_Irr!BH23="."),s_dir!K23*1000)))))))),".")</f>
        <v>46.973280966235372</v>
      </c>
      <c r="L23" s="76">
        <f>IFERROR(IF(AND(s_Irr!K23&lt;&gt;".",s_Irr!AJ23&lt;&gt;".",s_Irr!BI23&lt;&gt;"."),s_dir!L23/((1/1000)*(s_Irr!K23+s_Irr!AJ23+s_Irr!BI23)),IF(AND(s_Irr!K23&lt;&gt;".",s_Irr!AJ23&lt;&gt;".",s_Irr!BI23="."),s_dir!L23/((1/1000)*(s_Irr!K23+s_Irr!AJ23)),IF(AND(s_Irr!K23&lt;&gt;".",s_Irr!AJ23=".",s_Irr!BI23&lt;&gt;"."),s_dir!L23/((1/1000)*(s_Irr!K23+s_Irr!BI23)),IF(AND(s_Irr!K23=".",s_Irr!AJ23&lt;&gt;".",s_Irr!BI23&lt;&gt;"."),s_dir!L23/((1/1000)*(s_Irr!AJ23+s_Irr!BI23)),IF(AND(s_Irr!K23=".",s_Irr!AJ23=".",s_Irr!BI23&lt;&gt;"."),s_dir!L23/((1/1000)*(s_Irr!BI23)),IF(AND(s_Irr!K23=".",s_Irr!AJ23&lt;&gt;".",s_Irr!BI23="."),s_dir!L23/((1/1000)*(s_Irr!AJ23)),IF(AND(s_Irr!K23&lt;&gt;".",s_Irr!AJ23=".",s_Irr!BI23="."),s_dir!L23/((1/1000)*(s_Irr!K23)),IF(AND(s_Irr!K23=".",s_Irr!AJ23=".",s_Irr!BI23="."),s_dir!L23*1000)))))))),".")</f>
        <v>52.800236589636441</v>
      </c>
      <c r="M23" s="76">
        <f>IFERROR(IF(AND(s_Irr!L23&lt;&gt;".",s_Irr!AK23&lt;&gt;".",s_Irr!BJ23&lt;&gt;"."),s_dir!M23/((1/1000)*(s_Irr!L23+s_Irr!AK23+s_Irr!BJ23)),IF(AND(s_Irr!L23&lt;&gt;".",s_Irr!AK23&lt;&gt;".",s_Irr!BJ23="."),s_dir!M23/((1/1000)*(s_Irr!L23+s_Irr!AK23)),IF(AND(s_Irr!L23&lt;&gt;".",s_Irr!AK23=".",s_Irr!BJ23&lt;&gt;"."),s_dir!M23/((1/1000)*(s_Irr!L23+s_Irr!BJ23)),IF(AND(s_Irr!L23=".",s_Irr!AK23&lt;&gt;".",s_Irr!BJ23&lt;&gt;"."),s_dir!M23/((1/1000)*(s_Irr!AK23+s_Irr!BJ23)),IF(AND(s_Irr!L23=".",s_Irr!AK23=".",s_Irr!BJ23&lt;&gt;"."),s_dir!M23/((1/1000)*(s_Irr!BJ23)),IF(AND(s_Irr!L23=".",s_Irr!AK23&lt;&gt;".",s_Irr!BJ23="."),s_dir!M23/((1/1000)*(s_Irr!AK23)),IF(AND(s_Irr!L23&lt;&gt;".",s_Irr!AK23=".",s_Irr!BJ23="."),s_dir!M23/((1/1000)*(s_Irr!L23)),IF(AND(s_Irr!L23=".",s_Irr!AK23=".",s_Irr!BJ23="."),s_dir!M23*1000)))))))),".")</f>
        <v>42.639179007056732</v>
      </c>
      <c r="N23" s="76">
        <f>IFERROR(IF(AND(s_Irr!M23&lt;&gt;".",s_Irr!AL23&lt;&gt;".",s_Irr!BK23&lt;&gt;"."),s_dir!N23/((1/1000)*(s_Irr!M23+s_Irr!AL23+s_Irr!BK23)),IF(AND(s_Irr!M23&lt;&gt;".",s_Irr!AL23&lt;&gt;".",s_Irr!BK23="."),s_dir!N23/((1/1000)*(s_Irr!M23+s_Irr!AL23)),IF(AND(s_Irr!M23&lt;&gt;".",s_Irr!AL23=".",s_Irr!BK23&lt;&gt;"."),s_dir!N23/((1/1000)*(s_Irr!M23+s_Irr!BK23)),IF(AND(s_Irr!M23=".",s_Irr!AL23&lt;&gt;".",s_Irr!BK23&lt;&gt;"."),s_dir!N23/((1/1000)*(s_Irr!AL23+s_Irr!BK23)),IF(AND(s_Irr!M23=".",s_Irr!AL23=".",s_Irr!BK23&lt;&gt;"."),s_dir!N23/((1/1000)*(s_Irr!BK23)),IF(AND(s_Irr!M23=".",s_Irr!AL23&lt;&gt;".",s_Irr!BK23="."),s_dir!N23/((1/1000)*(s_Irr!AL23)),IF(AND(s_Irr!M23&lt;&gt;".",s_Irr!AL23=".",s_Irr!BK23="."),s_dir!N23/((1/1000)*(s_Irr!M23)),IF(AND(s_Irr!M23=".",s_Irr!AL23=".",s_Irr!BK23="."),s_dir!N23*1000)))))))),".")</f>
        <v>21.585106758751088</v>
      </c>
      <c r="O23" s="76">
        <f>IFERROR(IF(AND(s_Irr!N23&lt;&gt;".",s_Irr!AM23&lt;&gt;".",s_Irr!BL23&lt;&gt;"."),s_dir!O23/((1/1000)*(s_Irr!N23+s_Irr!AM23+s_Irr!BL23)),IF(AND(s_Irr!N23&lt;&gt;".",s_Irr!AM23&lt;&gt;".",s_Irr!BL23="."),s_dir!O23/((1/1000)*(s_Irr!N23+s_Irr!AM23)),IF(AND(s_Irr!N23&lt;&gt;".",s_Irr!AM23=".",s_Irr!BL23&lt;&gt;"."),s_dir!O23/((1/1000)*(s_Irr!N23+s_Irr!BL23)),IF(AND(s_Irr!N23=".",s_Irr!AM23&lt;&gt;".",s_Irr!BL23&lt;&gt;"."),s_dir!O23/((1/1000)*(s_Irr!AM23+s_Irr!BL23)),IF(AND(s_Irr!N23=".",s_Irr!AM23=".",s_Irr!BL23&lt;&gt;"."),s_dir!O23/((1/1000)*(s_Irr!BL23)),IF(AND(s_Irr!N23=".",s_Irr!AM23&lt;&gt;".",s_Irr!BL23="."),s_dir!O23/((1/1000)*(s_Irr!AM23)),IF(AND(s_Irr!N23&lt;&gt;".",s_Irr!AM23=".",s_Irr!BL23="."),s_dir!O23/((1/1000)*(s_Irr!N23)),IF(AND(s_Irr!N23=".",s_Irr!AM23=".",s_Irr!BL23="."),s_dir!O23*1000)))))))),".")</f>
        <v>44.394685443290349</v>
      </c>
      <c r="P23" s="76">
        <f>IFERROR(IF(AND(s_Irr!O23&lt;&gt;".",s_Irr!AN23&lt;&gt;".",s_Irr!BM23&lt;&gt;"."),s_dir!P23/((1/1000)*(s_Irr!O23+s_Irr!AN23+s_Irr!BM23)),IF(AND(s_Irr!O23&lt;&gt;".",s_Irr!AN23&lt;&gt;".",s_Irr!BM23="."),s_dir!P23/((1/1000)*(s_Irr!O23+s_Irr!AN23)),IF(AND(s_Irr!O23&lt;&gt;".",s_Irr!AN23=".",s_Irr!BM23&lt;&gt;"."),s_dir!P23/((1/1000)*(s_Irr!O23+s_Irr!BM23)),IF(AND(s_Irr!O23=".",s_Irr!AN23&lt;&gt;".",s_Irr!BM23&lt;&gt;"."),s_dir!P23/((1/1000)*(s_Irr!AN23+s_Irr!BM23)),IF(AND(s_Irr!O23=".",s_Irr!AN23=".",s_Irr!BM23&lt;&gt;"."),s_dir!P23/((1/1000)*(s_Irr!BM23)),IF(AND(s_Irr!O23=".",s_Irr!AN23&lt;&gt;".",s_Irr!BM23="."),s_dir!P23/((1/1000)*(s_Irr!AN23)),IF(AND(s_Irr!O23&lt;&gt;".",s_Irr!AN23=".",s_Irr!BM23="."),s_dir!P23/((1/1000)*(s_Irr!O23)),IF(AND(s_Irr!O23=".",s_Irr!AN23=".",s_Irr!BM23="."),s_dir!P23*1000)))))))),".")</f>
        <v>42.639179007056732</v>
      </c>
      <c r="Q23" s="76">
        <f>IFERROR(IF(AND(s_Irr!P23&lt;&gt;".",s_Irr!AO23&lt;&gt;".",s_Irr!BN23&lt;&gt;"."),s_dir!Q23/((1/1000)*(s_Irr!P23+s_Irr!AO23+s_Irr!BN23)),IF(AND(s_Irr!P23&lt;&gt;".",s_Irr!AO23&lt;&gt;".",s_Irr!BN23="."),s_dir!Q23/((1/1000)*(s_Irr!P23+s_Irr!AO23)),IF(AND(s_Irr!P23&lt;&gt;".",s_Irr!AO23=".",s_Irr!BN23&lt;&gt;"."),s_dir!Q23/((1/1000)*(s_Irr!P23+s_Irr!BN23)),IF(AND(s_Irr!P23=".",s_Irr!AO23&lt;&gt;".",s_Irr!BN23&lt;&gt;"."),s_dir!Q23/((1/1000)*(s_Irr!AO23+s_Irr!BN23)),IF(AND(s_Irr!P23=".",s_Irr!AO23=".",s_Irr!BN23&lt;&gt;"."),s_dir!Q23/((1/1000)*(s_Irr!BN23)),IF(AND(s_Irr!P23=".",s_Irr!AO23&lt;&gt;".",s_Irr!BN23="."),s_dir!Q23/((1/1000)*(s_Irr!AO23)),IF(AND(s_Irr!P23&lt;&gt;".",s_Irr!AO23=".",s_Irr!BN23="."),s_dir!Q23/((1/1000)*(s_Irr!P23)),IF(AND(s_Irr!P23=".",s_Irr!AO23=".",s_Irr!BN23="."),s_dir!Q23*1000)))))))),".")</f>
        <v>25.102602676088789</v>
      </c>
      <c r="R23" s="76">
        <f>IFERROR(IF(AND(s_Irr!Q23&lt;&gt;".",s_Irr!AP23&lt;&gt;".",s_Irr!BO23&lt;&gt;"."),s_dir!R23/((1/1000)*(s_Irr!Q23+s_Irr!AP23+s_Irr!BO23)),IF(AND(s_Irr!Q23&lt;&gt;".",s_Irr!AP23&lt;&gt;".",s_Irr!BO23="."),s_dir!R23/((1/1000)*(s_Irr!Q23+s_Irr!AP23)),IF(AND(s_Irr!Q23&lt;&gt;".",s_Irr!AP23=".",s_Irr!BO23&lt;&gt;"."),s_dir!R23/((1/1000)*(s_Irr!Q23+s_Irr!BO23)),IF(AND(s_Irr!Q23=".",s_Irr!AP23&lt;&gt;".",s_Irr!BO23&lt;&gt;"."),s_dir!R23/((1/1000)*(s_Irr!AP23+s_Irr!BO23)),IF(AND(s_Irr!Q23=".",s_Irr!AP23=".",s_Irr!BO23&lt;&gt;"."),s_dir!R23/((1/1000)*(s_Irr!BO23)),IF(AND(s_Irr!Q23=".",s_Irr!AP23&lt;&gt;".",s_Irr!BO23="."),s_dir!R23/((1/1000)*(s_Irr!AP23)),IF(AND(s_Irr!Q23&lt;&gt;".",s_Irr!AP23=".",s_Irr!BO23="."),s_dir!R23/((1/1000)*(s_Irr!Q23)),IF(AND(s_Irr!Q23=".",s_Irr!AP23=".",s_Irr!BO23="."),s_dir!R23*1000)))))))),".")</f>
        <v>46.973280966235372</v>
      </c>
      <c r="S23" s="76">
        <f>IFERROR(IF(AND(s_Irr!R23&lt;&gt;".",s_Irr!AQ23&lt;&gt;".",s_Irr!BP23&lt;&gt;"."),s_dir!S23/((1/1000)*(s_Irr!R23+s_Irr!AQ23+s_Irr!BP23)),IF(AND(s_Irr!R23&lt;&gt;".",s_Irr!AQ23&lt;&gt;".",s_Irr!BP23="."),s_dir!S23/((1/1000)*(s_Irr!R23+s_Irr!AQ23)),IF(AND(s_Irr!R23&lt;&gt;".",s_Irr!AQ23=".",s_Irr!BP23&lt;&gt;"."),s_dir!S23/((1/1000)*(s_Irr!R23+s_Irr!BP23)),IF(AND(s_Irr!R23=".",s_Irr!AQ23&lt;&gt;".",s_Irr!BP23&lt;&gt;"."),s_dir!S23/((1/1000)*(s_Irr!AQ23+s_Irr!BP23)),IF(AND(s_Irr!R23=".",s_Irr!AQ23=".",s_Irr!BP23&lt;&gt;"."),s_dir!S23/((1/1000)*(s_Irr!BP23)),IF(AND(s_Irr!R23=".",s_Irr!AQ23&lt;&gt;".",s_Irr!BP23="."),s_dir!S23/((1/1000)*(s_Irr!AQ23)),IF(AND(s_Irr!R23&lt;&gt;".",s_Irr!AQ23=".",s_Irr!BP23="."),s_dir!S23/((1/1000)*(s_Irr!R23)),IF(AND(s_Irr!R23=".",s_Irr!AQ23=".",s_Irr!BP23="."),s_dir!S23*1000)))))))),".")</f>
        <v>46.973280966235372</v>
      </c>
      <c r="T23" s="76">
        <f>IFERROR(IF(AND(s_Irr!S23&lt;&gt;".",s_Irr!AR23&lt;&gt;".",s_Irr!BQ23&lt;&gt;"."),s_dir!T23/((1/1000)*(s_Irr!S23+s_Irr!AR23+s_Irr!BQ23)),IF(AND(s_Irr!S23&lt;&gt;".",s_Irr!AR23&lt;&gt;".",s_Irr!BQ23="."),s_dir!T23/((1/1000)*(s_Irr!S23+s_Irr!AR23)),IF(AND(s_Irr!S23&lt;&gt;".",s_Irr!AR23=".",s_Irr!BQ23&lt;&gt;"."),s_dir!T23/((1/1000)*(s_Irr!S23+s_Irr!BQ23)),IF(AND(s_Irr!S23=".",s_Irr!AR23&lt;&gt;".",s_Irr!BQ23&lt;&gt;"."),s_dir!T23/((1/1000)*(s_Irr!AR23+s_Irr!BQ23)),IF(AND(s_Irr!S23=".",s_Irr!AR23=".",s_Irr!BQ23&lt;&gt;"."),s_dir!T23/((1/1000)*(s_Irr!BQ23)),IF(AND(s_Irr!S23=".",s_Irr!AR23&lt;&gt;".",s_Irr!BQ23="."),s_dir!T23/((1/1000)*(s_Irr!AR23)),IF(AND(s_Irr!S23&lt;&gt;".",s_Irr!AR23=".",s_Irr!BQ23="."),s_dir!T23/((1/1000)*(s_Irr!S23)),IF(AND(s_Irr!S23=".",s_Irr!AR23=".",s_Irr!BQ23="."),s_dir!T23*1000)))))))),".")</f>
        <v>44.394685443290349</v>
      </c>
      <c r="U23" s="76">
        <f>IFERROR(IF(AND(s_Irr!T23&lt;&gt;".",s_Irr!AS23&lt;&gt;".",s_Irr!BR23&lt;&gt;"."),s_dir!U23/((1/1000)*(s_Irr!T23+s_Irr!AS23+s_Irr!BR23)),IF(AND(s_Irr!T23&lt;&gt;".",s_Irr!AS23&lt;&gt;".",s_Irr!BR23="."),s_dir!U23/((1/1000)*(s_Irr!T23+s_Irr!AS23)),IF(AND(s_Irr!T23&lt;&gt;".",s_Irr!AS23=".",s_Irr!BR23&lt;&gt;"."),s_dir!U23/((1/1000)*(s_Irr!T23+s_Irr!BR23)),IF(AND(s_Irr!T23=".",s_Irr!AS23&lt;&gt;".",s_Irr!BR23&lt;&gt;"."),s_dir!U23/((1/1000)*(s_Irr!AS23+s_Irr!BR23)),IF(AND(s_Irr!T23=".",s_Irr!AS23=".",s_Irr!BR23&lt;&gt;"."),s_dir!U23/((1/1000)*(s_Irr!BR23)),IF(AND(s_Irr!T23=".",s_Irr!AS23&lt;&gt;".",s_Irr!BR23="."),s_dir!U23/((1/1000)*(s_Irr!AS23)),IF(AND(s_Irr!T23&lt;&gt;".",s_Irr!AS23=".",s_Irr!BR23="."),s_dir!U23/((1/1000)*(s_Irr!T23)),IF(AND(s_Irr!T23=".",s_Irr!AS23=".",s_Irr!BR23="."),s_dir!U23*1000)))))))),".")</f>
        <v>42.639179007056732</v>
      </c>
      <c r="V23" s="76">
        <f>IFERROR(IF(AND(s_Irr!U23&lt;&gt;".",s_Irr!AT23&lt;&gt;".",s_Irr!BS23&lt;&gt;"."),s_dir!V23/((1/1000)*(s_Irr!U23+s_Irr!AT23+s_Irr!BS23)),IF(AND(s_Irr!U23&lt;&gt;".",s_Irr!AT23&lt;&gt;".",s_Irr!BS23="."),s_dir!V23/((1/1000)*(s_Irr!U23+s_Irr!AT23)),IF(AND(s_Irr!U23&lt;&gt;".",s_Irr!AT23=".",s_Irr!BS23&lt;&gt;"."),s_dir!V23/((1/1000)*(s_Irr!U23+s_Irr!BS23)),IF(AND(s_Irr!U23=".",s_Irr!AT23&lt;&gt;".",s_Irr!BS23&lt;&gt;"."),s_dir!V23/((1/1000)*(s_Irr!AT23+s_Irr!BS23)),IF(AND(s_Irr!U23=".",s_Irr!AT23=".",s_Irr!BS23&lt;&gt;"."),s_dir!V23/((1/1000)*(s_Irr!BS23)),IF(AND(s_Irr!U23=".",s_Irr!AT23&lt;&gt;".",s_Irr!BS23="."),s_dir!V23/((1/1000)*(s_Irr!AT23)),IF(AND(s_Irr!U23&lt;&gt;".",s_Irr!AT23=".",s_Irr!BS23="."),s_dir!V23/((1/1000)*(s_Irr!U23)),IF(AND(s_Irr!U23=".",s_Irr!AT23=".",s_Irr!BS23="."),s_dir!V23*1000)))))))),".")</f>
        <v>46.300951469055398</v>
      </c>
      <c r="W23" s="76">
        <f>IFERROR(IF(AND(s_Irr!V23&lt;&gt;".",s_Irr!AU23&lt;&gt;".",s_Irr!BT23&lt;&gt;"."),s_dir!W23/((1/1000)*(s_Irr!V23+s_Irr!AU23+s_Irr!BT23)),IF(AND(s_Irr!V23&lt;&gt;".",s_Irr!AU23&lt;&gt;".",s_Irr!BT23="."),s_dir!W23/((1/1000)*(s_Irr!V23+s_Irr!AU23)),IF(AND(s_Irr!V23&lt;&gt;".",s_Irr!AU23=".",s_Irr!BT23&lt;&gt;"."),s_dir!W23/((1/1000)*(s_Irr!V23+s_Irr!BT23)),IF(AND(s_Irr!V23=".",s_Irr!AU23&lt;&gt;".",s_Irr!BT23&lt;&gt;"."),s_dir!W23/((1/1000)*(s_Irr!AU23+s_Irr!BT23)),IF(AND(s_Irr!V23=".",s_Irr!AU23=".",s_Irr!BT23&lt;&gt;"."),s_dir!W23/((1/1000)*(s_Irr!BT23)),IF(AND(s_Irr!V23=".",s_Irr!AU23&lt;&gt;".",s_Irr!BT23="."),s_dir!W23/((1/1000)*(s_Irr!AU23)),IF(AND(s_Irr!V23&lt;&gt;".",s_Irr!AU23=".",s_Irr!BT23="."),s_dir!W23/((1/1000)*(s_Irr!V23)),IF(AND(s_Irr!V23=".",s_Irr!AU23=".",s_Irr!BT23="."),s_dir!W23*1000)))))))),".")</f>
        <v>42.639179007056732</v>
      </c>
      <c r="X23" s="76">
        <f>IFERROR(IF(AND(s_Irr!W23&lt;&gt;".",s_Irr!AV23&lt;&gt;".",s_Irr!BU23&lt;&gt;"."),s_dir!X23/((1/1000)*(s_Irr!W23+s_Irr!AV23+s_Irr!BU23)),IF(AND(s_Irr!W23&lt;&gt;".",s_Irr!AV23&lt;&gt;".",s_Irr!BU23="."),s_dir!X23/((1/1000)*(s_Irr!W23+s_Irr!AV23)),IF(AND(s_Irr!W23&lt;&gt;".",s_Irr!AV23=".",s_Irr!BU23&lt;&gt;"."),s_dir!X23/((1/1000)*(s_Irr!W23+s_Irr!BU23)),IF(AND(s_Irr!W23=".",s_Irr!AV23&lt;&gt;".",s_Irr!BU23&lt;&gt;"."),s_dir!X23/((1/1000)*(s_Irr!AV23+s_Irr!BU23)),IF(AND(s_Irr!W23=".",s_Irr!AV23=".",s_Irr!BU23&lt;&gt;"."),s_dir!X23/((1/1000)*(s_Irr!BU23)),IF(AND(s_Irr!W23=".",s_Irr!AV23&lt;&gt;".",s_Irr!BU23="."),s_dir!X23/((1/1000)*(s_Irr!AV23)),IF(AND(s_Irr!W23&lt;&gt;".",s_Irr!AV23=".",s_Irr!BU23="."),s_dir!X23/((1/1000)*(s_Irr!W23)),IF(AND(s_Irr!W23=".",s_Irr!AV23=".",s_Irr!BU23="."),s_dir!X23*1000)))))))),".")</f>
        <v>44.394685443290349</v>
      </c>
      <c r="Y23" s="76">
        <f>IFERROR(IF(AND(s_Irr!X23&lt;&gt;".",s_Irr!AW23&lt;&gt;".",s_Irr!BV23&lt;&gt;"."),s_dir!Y23/((1/1000)*(s_Irr!X23+s_Irr!AW23+s_Irr!BV23)),IF(AND(s_Irr!X23&lt;&gt;".",s_Irr!AW23&lt;&gt;".",s_Irr!BV23="."),s_dir!Y23/((1/1000)*(s_Irr!X23+s_Irr!AW23)),IF(AND(s_Irr!X23&lt;&gt;".",s_Irr!AW23=".",s_Irr!BV23&lt;&gt;"."),s_dir!Y23/((1/1000)*(s_Irr!X23+s_Irr!BV23)),IF(AND(s_Irr!X23=".",s_Irr!AW23&lt;&gt;".",s_Irr!BV23&lt;&gt;"."),s_dir!Y23/((1/1000)*(s_Irr!AW23+s_Irr!BV23)),IF(AND(s_Irr!X23=".",s_Irr!AW23=".",s_Irr!BV23&lt;&gt;"."),s_dir!Y23/((1/1000)*(s_Irr!BV23)),IF(AND(s_Irr!X23=".",s_Irr!AW23&lt;&gt;".",s_Irr!BV23="."),s_dir!Y23/((1/1000)*(s_Irr!AW23)),IF(AND(s_Irr!X23&lt;&gt;".",s_Irr!AW23=".",s_Irr!BV23="."),s_dir!Y23/((1/1000)*(s_Irr!X23)),IF(AND(s_Irr!X23=".",s_Irr!AW23=".",s_Irr!BV23="."),s_dir!Y23*1000)))))))),".")</f>
        <v>46.973280966235372</v>
      </c>
      <c r="Z23" s="76">
        <f>IFERROR(IF(AND(s_Irr!Y23&lt;&gt;".",s_Irr!AX23&lt;&gt;".",s_Irr!BW23&lt;&gt;"."),s_dir!Z23/((1/1000)*(s_Irr!Y23+s_Irr!AX23+s_Irr!BW23)),IF(AND(s_Irr!Y23&lt;&gt;".",s_Irr!AX23&lt;&gt;".",s_Irr!BW23="."),s_dir!Z23/((1/1000)*(s_Irr!Y23+s_Irr!AX23)),IF(AND(s_Irr!Y23&lt;&gt;".",s_Irr!AX23=".",s_Irr!BW23&lt;&gt;"."),s_dir!Z23/((1/1000)*(s_Irr!Y23+s_Irr!BW23)),IF(AND(s_Irr!Y23=".",s_Irr!AX23&lt;&gt;".",s_Irr!BW23&lt;&gt;"."),s_dir!Z23/((1/1000)*(s_Irr!AX23+s_Irr!BW23)),IF(AND(s_Irr!Y23=".",s_Irr!AX23=".",s_Irr!BW23&lt;&gt;"."),s_dir!Z23/((1/1000)*(s_Irr!BW23)),IF(AND(s_Irr!Y23=".",s_Irr!AX23&lt;&gt;".",s_Irr!BW23="."),s_dir!Z23/((1/1000)*(s_Irr!AX23)),IF(AND(s_Irr!Y23&lt;&gt;".",s_Irr!AX23=".",s_Irr!BW23="."),s_dir!Z23/((1/1000)*(s_Irr!Y23)),IF(AND(s_Irr!Y23=".",s_Irr!AX23=".",s_Irr!BW23="."),s_dir!Z23*1000)))))))),".")</f>
        <v>42.639179007056732</v>
      </c>
      <c r="AA23" s="76">
        <f>IFERROR(IF(AND(s_Irr!Z23&lt;&gt;".",s_Irr!AY23&lt;&gt;".",s_Irr!BX23&lt;&gt;"."),s_dir!AA23/((1/1000)*(s_Irr!Z23+s_Irr!AY23+s_Irr!BX23)),IF(AND(s_Irr!Z23&lt;&gt;".",s_Irr!AY23&lt;&gt;".",s_Irr!BX23="."),s_dir!AA23/((1/1000)*(s_Irr!Z23+s_Irr!AY23)),IF(AND(s_Irr!Z23&lt;&gt;".",s_Irr!AY23=".",s_Irr!BX23&lt;&gt;"."),s_dir!AA23/((1/1000)*(s_Irr!Z23+s_Irr!BX23)),IF(AND(s_Irr!Z23=".",s_Irr!AY23&lt;&gt;".",s_Irr!BX23&lt;&gt;"."),s_dir!AA23/((1/1000)*(s_Irr!AY23+s_Irr!BX23)),IF(AND(s_Irr!Z23=".",s_Irr!AY23=".",s_Irr!BX23&lt;&gt;"."),s_dir!AA23/((1/1000)*(s_Irr!BX23)),IF(AND(s_Irr!Z23=".",s_Irr!AY23&lt;&gt;".",s_Irr!BX23="."),s_dir!AA23/((1/1000)*(s_Irr!AY23)),IF(AND(s_Irr!Z23&lt;&gt;".",s_Irr!AY23=".",s_Irr!BX23="."),s_dir!AA23/((1/1000)*(s_Irr!Z23)),IF(AND(s_Irr!Z23=".",s_Irr!AY23=".",s_Irr!BX23="."),s_dir!AA23*1000)))))))),".")</f>
        <v>54.152582609197758</v>
      </c>
      <c r="AB23" s="76">
        <f>IFERROR(IF(AND(s_Irr!AA23&lt;&gt;".",s_Irr!AZ23&lt;&gt;".",s_Irr!BY23&lt;&gt;"."),s_dir!AB23/((1/1000)*(s_Irr!AA23+s_Irr!AZ23+s_Irr!BY23)),IF(AND(s_Irr!AA23&lt;&gt;".",s_Irr!AZ23&lt;&gt;".",s_Irr!BY23="."),s_dir!AB23/((1/1000)*(s_Irr!AA23+s_Irr!AZ23)),IF(AND(s_Irr!AA23&lt;&gt;".",s_Irr!AZ23=".",s_Irr!BY23&lt;&gt;"."),s_dir!AB23/((1/1000)*(s_Irr!AA23+s_Irr!BY23)),IF(AND(s_Irr!AA23=".",s_Irr!AZ23&lt;&gt;".",s_Irr!BY23&lt;&gt;"."),s_dir!AB23/((1/1000)*(s_Irr!AZ23+s_Irr!BY23)),IF(AND(s_Irr!AA23=".",s_Irr!AZ23=".",s_Irr!BY23&lt;&gt;"."),s_dir!AB23/((1/1000)*(s_Irr!BY23)),IF(AND(s_Irr!AA23=".",s_Irr!AZ23&lt;&gt;".",s_Irr!BY23="."),s_dir!AB23/((1/1000)*(s_Irr!AZ23)),IF(AND(s_Irr!AA23&lt;&gt;".",s_Irr!AZ23=".",s_Irr!BY23="."),s_dir!AB23/((1/1000)*(s_Irr!AA23)),IF(AND(s_Irr!AA23=".",s_Irr!AZ23=".",s_Irr!BY23="."),s_dir!AB23*1000)))))))),".")</f>
        <v>42.639179007056732</v>
      </c>
      <c r="AC23" s="93">
        <f>SUM(AD23,AU23,BA23:BB23)</f>
        <v>8425.0686785818289</v>
      </c>
      <c r="AD23" s="93">
        <f>IFERROR(s_C*s_IFAP_res_adj*s_CF_apple*0.001*(s_Irr!C23+s_Irr!AB23+s_Irr!BA23),".")</f>
        <v>2069.677052148757</v>
      </c>
      <c r="AE23" s="93">
        <f>IFERROR(s_C*s_IFAS_res_adj*s_CF_asparagus*0.001*(s_Irr!D23+s_Irr!AC23+s_Irr!BB23),".")</f>
        <v>4504.0093044959503</v>
      </c>
      <c r="AF23" s="93">
        <f>IFERROR(s_C*s_IFBT_res_adj*s_CF_beet*0.001*(s_Irr!E23+s_Irr!AD23+s_Irr!BC23),".")</f>
        <v>3872.8861279614935</v>
      </c>
      <c r="AG23" s="93">
        <f>IFERROR(s_C*s_IFBE_res_adj*s_CF_berries*0.001*(s_Irr!F23+s_Irr!AE23+s_Irr!BD23),".")</f>
        <v>2069.677052148757</v>
      </c>
      <c r="AH23" s="93">
        <f>IFERROR(s_C*s_IFBR_res_adj*s_CF_broccoli*0.001*(s_Irr!G23+s_Irr!AF23+s_Irr!BE23),".")</f>
        <v>2280.0514443269094</v>
      </c>
      <c r="AI23" s="93">
        <f>IFERROR(s_C*s_IFCB_res_adj*s_CF_cabbage*0.001*(s_Irr!H23+s_Irr!AG23+s_Irr!BF23),".")</f>
        <v>4504.0093044959503</v>
      </c>
      <c r="AJ23" s="93">
        <f>IFERROR(s_C*s_IFCR_res_adj*s_CF_carrot*0.001*(s_Irr!I23+s_Irr!AH23+s_Irr!BG23),".")</f>
        <v>3872.8861279614935</v>
      </c>
      <c r="AK23" s="93">
        <f>IFERROR(s_C*s_IFCI_res_adj*s_CF_citrus*0.001*(s_Irr!J23+s_Irr!AI23+s_Irr!BH23),".")</f>
        <v>2069.677052148757</v>
      </c>
      <c r="AL23" s="93">
        <f>IFERROR(s_C*s_IFCO_res_adj*s_CF_corn*0.001*(s_Irr!K23+s_Irr!AJ23+s_Irr!BI23),".")</f>
        <v>1841.2705692124769</v>
      </c>
      <c r="AM23" s="93">
        <f>IFERROR(s_C*s_IFCU_res_adj*s_CF_cucumber*0.001*(s_Irr!L23+s_Irr!AK23+s_Irr!BJ23),".")</f>
        <v>2280.0514443269094</v>
      </c>
      <c r="AN23" s="93">
        <f>IFERROR(s_C*s_IFLE_res_adj*s_CF_lettuce*0.001*(s_Irr!M23+s_Irr!AL23+s_Irr!BK23),".")</f>
        <v>4504.0093044959503</v>
      </c>
      <c r="AO23" s="93">
        <f>IFERROR(s_C*s_IFLI_res_adj*s_CF_lima_bean*0.001*(s_Irr!N23+s_Irr!AM23+s_Irr!BL23),".")</f>
        <v>2189.8909905362725</v>
      </c>
      <c r="AP23" s="93">
        <f>IFERROR(s_C*s_IFOK_res_adj*s_CF_okra*0.001*(s_Irr!O23+s_Irr!AN23+s_Irr!BM23),".")</f>
        <v>2280.0514443269094</v>
      </c>
      <c r="AQ23" s="93">
        <f>IFERROR(s_C*s_IFON_res_adj*s_CF_onion*0.001*(s_Irr!P23+s_Irr!AO23+s_Irr!BN23),".")</f>
        <v>3872.8861279614935</v>
      </c>
      <c r="AR23" s="93">
        <f>IFERROR(s_C*s_IFPC_res_adj*s_CF_peach*0.001*(s_Irr!Q23+s_Irr!AP23+s_Irr!BO23),".")</f>
        <v>2069.677052148757</v>
      </c>
      <c r="AS23" s="93">
        <f>IFERROR(s_C*s_IFPR_res_adj*s_CF_pear*0.001*(s_Irr!R23+s_Irr!AQ23+s_Irr!BP23),".")</f>
        <v>2069.677052148757</v>
      </c>
      <c r="AT23" s="93">
        <f>IFERROR(s_C*s_IFPE_res_adj*s_CF_peas*0.001*(s_Irr!S23+s_Irr!AR23+s_Irr!BQ23),".")</f>
        <v>2189.8909905362725</v>
      </c>
      <c r="AU23" s="93">
        <f>IFERROR(s_C*s_IFPP_res_adj*s_CF_peppers*0.001*(s_Irr!T23+s_Irr!AS23+s_Irr!BR23),".")</f>
        <v>2280.0514443269094</v>
      </c>
      <c r="AV23" s="93">
        <f>IFERROR(s_C*s_IFPT_res_adj*s_CF_potato*0.001*(s_Irr!U23+s_Irr!AT23+s_Irr!BS23),".")</f>
        <v>2099.7305367456356</v>
      </c>
      <c r="AW23" s="93">
        <f>IFERROR(s_C*s_IFPU_res_adj*s_CF_pumpkin*0.001*(s_Irr!V23+s_Irr!AU23+s_Irr!BT23),".")</f>
        <v>2280.0514443269094</v>
      </c>
      <c r="AX23" s="93">
        <f>IFERROR(s_C*s_IFSN_res_adj*s_CF_snap_bean*0.001*(s_Irr!W23+s_Irr!AV23+s_Irr!BU23),".")</f>
        <v>2189.8909905362725</v>
      </c>
      <c r="AY23" s="93">
        <f>IFERROR(s_C*s_IFST_res_adj*s_CF_strawberry*0.001*(s_Irr!X23+s_Irr!AW23+s_Irr!BV23),".")</f>
        <v>2069.677052148757</v>
      </c>
      <c r="AZ23" s="93">
        <f>IFERROR(s_C*s_IFTO_res_adj*s_CF_tomato*0.001*(s_Irr!Y23+s_Irr!AX23+s_Irr!BW23),".")</f>
        <v>2280.0514443269094</v>
      </c>
      <c r="BA23" s="93">
        <f>IFERROR(s_C*s_IFRI_res_adj*s_CF_rice*0.001*(s_Irr!Z23+s_Irr!AY23+s_Irr!BX23),".")</f>
        <v>1795.2887377792522</v>
      </c>
      <c r="BB23" s="93">
        <f>IFERROR(s_C*s_IFCG_res_adj*s_CF_cereal*0.001*(s_Irr!AA23+s_Irr!AZ23+s_Irr!BY23),".")</f>
        <v>2280.0514443269094</v>
      </c>
      <c r="BC23" s="76">
        <f t="shared" si="1"/>
        <v>11.539315035746162</v>
      </c>
      <c r="BD23" s="76">
        <f>IFERROR(IF(AND(s_Irr!C23&lt;&gt;".",s_Irr!AB23&lt;&gt;".",s_Irr!BA23&lt;&gt;"."),s_dir!AD23/((1/1000)*(s_Irr!C23+s_Irr!AB23+s_Irr!BA23)),IF(AND(s_Irr!C23&lt;&gt;".",s_Irr!AB23&lt;&gt;".",s_Irr!BA23="."),s_dir!AD23/((1/1000)*(s_Irr!C23+s_Irr!AB23)),IF(AND(s_Irr!C23&lt;&gt;".",s_Irr!AB23=".",s_Irr!BA23&lt;&gt;"."),s_dir!AD23/((1/1000)*(s_Irr!C23+s_Irr!BA23)),IF(AND(s_Irr!C23=".",s_Irr!AB23&lt;&gt;".",s_Irr!BA23&lt;&gt;"."),s_dir!AD23/((1/1000)*(s_Irr!AB23+s_Irr!BA23)),IF(AND(s_Irr!C23=".",s_Irr!AB23=".",s_Irr!BA23&lt;&gt;"."),s_dir!AD23/((1/1000)*(s_Irr!BA23)),IF(AND(s_Irr!C23=".",s_Irr!AB23&lt;&gt;".",s_Irr!BA23="."),s_dir!AD23/((1/1000)*(s_Irr!AB23)),IF(AND(s_Irr!C23&lt;&gt;".",s_Irr!AB23=".",s_Irr!BA23="."),s_dir!AD23/((1/1000)*(s_Irr!C23)),IF(AND(s_Irr!C23=".",s_Irr!AB23=".",s_Irr!BA23="."),s_dir!AD23*1000)))))))),".")</f>
        <v>46.973280966235372</v>
      </c>
      <c r="BE23" s="76">
        <f>IFERROR(IF(AND(s_Irr!D23&lt;&gt;".",s_Irr!AC23&lt;&gt;".",s_Irr!BB23&lt;&gt;"."),s_dir!AE23/((1/1000)*(s_Irr!D23+s_Irr!AC23+s_Irr!BB23)),IF(AND(s_Irr!D23&lt;&gt;".",s_Irr!AC23&lt;&gt;".",s_Irr!BB23="."),s_dir!AE23/((1/1000)*(s_Irr!D23+s_Irr!AC23)),IF(AND(s_Irr!D23&lt;&gt;".",s_Irr!AC23=".",s_Irr!BB23&lt;&gt;"."),s_dir!AE23/((1/1000)*(s_Irr!D23+s_Irr!BB23)),IF(AND(s_Irr!D23=".",s_Irr!AC23&lt;&gt;".",s_Irr!BB23&lt;&gt;"."),s_dir!AE23/((1/1000)*(s_Irr!AC23+s_Irr!BB23)),IF(AND(s_Irr!D23=".",s_Irr!AC23=".",s_Irr!BB23&lt;&gt;"."),s_dir!AE23/((1/1000)*(s_Irr!BB23)),IF(AND(s_Irr!D23=".",s_Irr!AC23&lt;&gt;".",s_Irr!BB23="."),s_dir!AE23/((1/1000)*(s_Irr!AC23)),IF(AND(s_Irr!D23&lt;&gt;".",s_Irr!AC23=".",s_Irr!BB23="."),s_dir!AE23/((1/1000)*(s_Irr!D23)),IF(AND(s_Irr!D23=".",s_Irr!AC23=".",s_Irr!BB23="."),s_dir!AE23*1000)))))))),".")</f>
        <v>21.585106758751088</v>
      </c>
      <c r="BF23" s="76">
        <f>IFERROR(IF(AND(s_Irr!E23&lt;&gt;".",s_Irr!AD23&lt;&gt;".",s_Irr!BC23&lt;&gt;"."),s_dir!AF23/((1/1000)*(s_Irr!E23+s_Irr!AD23+s_Irr!BC23)),IF(AND(s_Irr!E23&lt;&gt;".",s_Irr!AD23&lt;&gt;".",s_Irr!BC23="."),s_dir!AF23/((1/1000)*(s_Irr!E23+s_Irr!AD23)),IF(AND(s_Irr!E23&lt;&gt;".",s_Irr!AD23=".",s_Irr!BC23&lt;&gt;"."),s_dir!AF23/((1/1000)*(s_Irr!E23+s_Irr!BC23)),IF(AND(s_Irr!E23=".",s_Irr!AD23&lt;&gt;".",s_Irr!BC23&lt;&gt;"."),s_dir!AF23/((1/1000)*(s_Irr!AD23+s_Irr!BC23)),IF(AND(s_Irr!E23=".",s_Irr!AD23=".",s_Irr!BC23&lt;&gt;"."),s_dir!AF23/((1/1000)*(s_Irr!BC23)),IF(AND(s_Irr!E23=".",s_Irr!AD23&lt;&gt;".",s_Irr!BC23="."),s_dir!AF23/((1/1000)*(s_Irr!AD23)),IF(AND(s_Irr!E23&lt;&gt;".",s_Irr!AD23=".",s_Irr!BC23="."),s_dir!AF23/((1/1000)*(s_Irr!E23)),IF(AND(s_Irr!E23=".",s_Irr!AD23=".",s_Irr!BC23="."),s_dir!AF23*1000)))))))),".")</f>
        <v>25.102602676088789</v>
      </c>
      <c r="BG23" s="76">
        <f>IFERROR(IF(AND(s_Irr!F23&lt;&gt;".",s_Irr!AE23&lt;&gt;".",s_Irr!BD23&lt;&gt;"."),s_dir!AG23/((1/1000)*(s_Irr!F23+s_Irr!AE23+s_Irr!BD23)),IF(AND(s_Irr!F23&lt;&gt;".",s_Irr!AE23&lt;&gt;".",s_Irr!BD23="."),s_dir!AG23/((1/1000)*(s_Irr!F23+s_Irr!AE23)),IF(AND(s_Irr!F23&lt;&gt;".",s_Irr!AE23=".",s_Irr!BD23&lt;&gt;"."),s_dir!AG23/((1/1000)*(s_Irr!F23+s_Irr!BD23)),IF(AND(s_Irr!F23=".",s_Irr!AE23&lt;&gt;".",s_Irr!BD23&lt;&gt;"."),s_dir!AG23/((1/1000)*(s_Irr!AE23+s_Irr!BD23)),IF(AND(s_Irr!F23=".",s_Irr!AE23=".",s_Irr!BD23&lt;&gt;"."),s_dir!AG23/((1/1000)*(s_Irr!BD23)),IF(AND(s_Irr!F23=".",s_Irr!AE23&lt;&gt;".",s_Irr!BD23="."),s_dir!AG23/((1/1000)*(s_Irr!AE23)),IF(AND(s_Irr!F23&lt;&gt;".",s_Irr!AE23=".",s_Irr!BD23="."),s_dir!AG23/((1/1000)*(s_Irr!F23)),IF(AND(s_Irr!F23=".",s_Irr!AE23=".",s_Irr!BD23="."),s_dir!AG23*1000)))))))),".")</f>
        <v>46.973280966235372</v>
      </c>
      <c r="BH23" s="76">
        <f>IFERROR(IF(AND(s_Irr!G23&lt;&gt;".",s_Irr!AF23&lt;&gt;".",s_Irr!BE23&lt;&gt;"."),s_dir!AH23/((1/1000)*(s_Irr!G23+s_Irr!AF23+s_Irr!BE23)),IF(AND(s_Irr!G23&lt;&gt;".",s_Irr!AF23&lt;&gt;".",s_Irr!BE23="."),s_dir!AH23/((1/1000)*(s_Irr!G23+s_Irr!AF23)),IF(AND(s_Irr!G23&lt;&gt;".",s_Irr!AF23=".",s_Irr!BE23&lt;&gt;"."),s_dir!AH23/((1/1000)*(s_Irr!G23+s_Irr!BE23)),IF(AND(s_Irr!G23=".",s_Irr!AF23&lt;&gt;".",s_Irr!BE23&lt;&gt;"."),s_dir!AH23/((1/1000)*(s_Irr!AF23+s_Irr!BE23)),IF(AND(s_Irr!G23=".",s_Irr!AF23=".",s_Irr!BE23&lt;&gt;"."),s_dir!AH23/((1/1000)*(s_Irr!BE23)),IF(AND(s_Irr!G23=".",s_Irr!AF23&lt;&gt;".",s_Irr!BE23="."),s_dir!AH23/((1/1000)*(s_Irr!AF23)),IF(AND(s_Irr!G23&lt;&gt;".",s_Irr!AF23=".",s_Irr!BE23="."),s_dir!AH23/((1/1000)*(s_Irr!G23)),IF(AND(s_Irr!G23=".",s_Irr!AF23=".",s_Irr!BE23="."),s_dir!AH23*1000)))))))),".")</f>
        <v>42.639179007056732</v>
      </c>
      <c r="BI23" s="76">
        <f>IFERROR(IF(AND(s_Irr!H23&lt;&gt;".",s_Irr!AG23&lt;&gt;".",s_Irr!BF23&lt;&gt;"."),s_dir!AI23/((1/1000)*(s_Irr!H23+s_Irr!AG23+s_Irr!BF23)),IF(AND(s_Irr!H23&lt;&gt;".",s_Irr!AG23&lt;&gt;".",s_Irr!BF23="."),s_dir!AI23/((1/1000)*(s_Irr!H23+s_Irr!AG23)),IF(AND(s_Irr!H23&lt;&gt;".",s_Irr!AG23=".",s_Irr!BF23&lt;&gt;"."),s_dir!AI23/((1/1000)*(s_Irr!H23+s_Irr!BF23)),IF(AND(s_Irr!H23=".",s_Irr!AG23&lt;&gt;".",s_Irr!BF23&lt;&gt;"."),s_dir!AI23/((1/1000)*(s_Irr!AG23+s_Irr!BF23)),IF(AND(s_Irr!H23=".",s_Irr!AG23=".",s_Irr!BF23&lt;&gt;"."),s_dir!AI23/((1/1000)*(s_Irr!BF23)),IF(AND(s_Irr!H23=".",s_Irr!AG23&lt;&gt;".",s_Irr!BF23="."),s_dir!AI23/((1/1000)*(s_Irr!AG23)),IF(AND(s_Irr!H23&lt;&gt;".",s_Irr!AG23=".",s_Irr!BF23="."),s_dir!AI23/((1/1000)*(s_Irr!H23)),IF(AND(s_Irr!H23=".",s_Irr!AG23=".",s_Irr!BF23="."),s_dir!AI23*1000)))))))),".")</f>
        <v>21.585106758751088</v>
      </c>
      <c r="BJ23" s="76">
        <f>IFERROR(IF(AND(s_Irr!I23&lt;&gt;".",s_Irr!AH23&lt;&gt;".",s_Irr!BG23&lt;&gt;"."),s_dir!AJ23/((1/1000)*(s_Irr!I23+s_Irr!AH23+s_Irr!BG23)),IF(AND(s_Irr!I23&lt;&gt;".",s_Irr!AH23&lt;&gt;".",s_Irr!BG23="."),s_dir!AJ23/((1/1000)*(s_Irr!I23+s_Irr!AH23)),IF(AND(s_Irr!I23&lt;&gt;".",s_Irr!AH23=".",s_Irr!BG23&lt;&gt;"."),s_dir!AJ23/((1/1000)*(s_Irr!I23+s_Irr!BG23)),IF(AND(s_Irr!I23=".",s_Irr!AH23&lt;&gt;".",s_Irr!BG23&lt;&gt;"."),s_dir!AJ23/((1/1000)*(s_Irr!AH23+s_Irr!BG23)),IF(AND(s_Irr!I23=".",s_Irr!AH23=".",s_Irr!BG23&lt;&gt;"."),s_dir!AJ23/((1/1000)*(s_Irr!BG23)),IF(AND(s_Irr!I23=".",s_Irr!AH23&lt;&gt;".",s_Irr!BG23="."),s_dir!AJ23/((1/1000)*(s_Irr!AH23)),IF(AND(s_Irr!I23&lt;&gt;".",s_Irr!AH23=".",s_Irr!BG23="."),s_dir!AJ23/((1/1000)*(s_Irr!I23)),IF(AND(s_Irr!I23=".",s_Irr!AH23=".",s_Irr!BG23="."),s_dir!AJ23*1000)))))))),".")</f>
        <v>25.102602676088789</v>
      </c>
      <c r="BK23" s="76">
        <f>IFERROR(IF(AND(s_Irr!J23&lt;&gt;".",s_Irr!AI23&lt;&gt;".",s_Irr!BH23&lt;&gt;"."),s_dir!AK23/((1/1000)*(s_Irr!J23+s_Irr!AI23+s_Irr!BH23)),IF(AND(s_Irr!J23&lt;&gt;".",s_Irr!AI23&lt;&gt;".",s_Irr!BH23="."),s_dir!AK23/((1/1000)*(s_Irr!J23+s_Irr!AI23)),IF(AND(s_Irr!J23&lt;&gt;".",s_Irr!AI23=".",s_Irr!BH23&lt;&gt;"."),s_dir!AK23/((1/1000)*(s_Irr!J23+s_Irr!BH23)),IF(AND(s_Irr!J23=".",s_Irr!AI23&lt;&gt;".",s_Irr!BH23&lt;&gt;"."),s_dir!AK23/((1/1000)*(s_Irr!AI23+s_Irr!BH23)),IF(AND(s_Irr!J23=".",s_Irr!AI23=".",s_Irr!BH23&lt;&gt;"."),s_dir!AK23/((1/1000)*(s_Irr!BH23)),IF(AND(s_Irr!J23=".",s_Irr!AI23&lt;&gt;".",s_Irr!BH23="."),s_dir!AK23/((1/1000)*(s_Irr!AI23)),IF(AND(s_Irr!J23&lt;&gt;".",s_Irr!AI23=".",s_Irr!BH23="."),s_dir!AK23/((1/1000)*(s_Irr!J23)),IF(AND(s_Irr!J23=".",s_Irr!AI23=".",s_Irr!BH23="."),s_dir!AK23*1000)))))))),".")</f>
        <v>46.973280966235372</v>
      </c>
      <c r="BL23" s="76">
        <f>IFERROR(IF(AND(s_Irr!K23&lt;&gt;".",s_Irr!AJ23&lt;&gt;".",s_Irr!BI23&lt;&gt;"."),s_dir!AL23/((1/1000)*(s_Irr!K23+s_Irr!AJ23+s_Irr!BI23)),IF(AND(s_Irr!K23&lt;&gt;".",s_Irr!AJ23&lt;&gt;".",s_Irr!BI23="."),s_dir!AL23/((1/1000)*(s_Irr!K23+s_Irr!AJ23)),IF(AND(s_Irr!K23&lt;&gt;".",s_Irr!AJ23=".",s_Irr!BI23&lt;&gt;"."),s_dir!AL23/((1/1000)*(s_Irr!K23+s_Irr!BI23)),IF(AND(s_Irr!K23=".",s_Irr!AJ23&lt;&gt;".",s_Irr!BI23&lt;&gt;"."),s_dir!AL23/((1/1000)*(s_Irr!AJ23+s_Irr!BI23)),IF(AND(s_Irr!K23=".",s_Irr!AJ23=".",s_Irr!BI23&lt;&gt;"."),s_dir!AL23/((1/1000)*(s_Irr!BI23)),IF(AND(s_Irr!K23=".",s_Irr!AJ23&lt;&gt;".",s_Irr!BI23="."),s_dir!AL23/((1/1000)*(s_Irr!AJ23)),IF(AND(s_Irr!K23&lt;&gt;".",s_Irr!AJ23=".",s_Irr!BI23="."),s_dir!AL23/((1/1000)*(s_Irr!K23)),IF(AND(s_Irr!K23=".",s_Irr!AJ23=".",s_Irr!BI23="."),s_dir!AL23*1000)))))))),".")</f>
        <v>52.800236589636441</v>
      </c>
      <c r="BM23" s="76">
        <f>IFERROR(IF(AND(s_Irr!L23&lt;&gt;".",s_Irr!AK23&lt;&gt;".",s_Irr!BJ23&lt;&gt;"."),s_dir!AM23/((1/1000)*(s_Irr!L23+s_Irr!AK23+s_Irr!BJ23)),IF(AND(s_Irr!L23&lt;&gt;".",s_Irr!AK23&lt;&gt;".",s_Irr!BJ23="."),s_dir!AM23/((1/1000)*(s_Irr!L23+s_Irr!AK23)),IF(AND(s_Irr!L23&lt;&gt;".",s_Irr!AK23=".",s_Irr!BJ23&lt;&gt;"."),s_dir!AM23/((1/1000)*(s_Irr!L23+s_Irr!BJ23)),IF(AND(s_Irr!L23=".",s_Irr!AK23&lt;&gt;".",s_Irr!BJ23&lt;&gt;"."),s_dir!AM23/((1/1000)*(s_Irr!AK23+s_Irr!BJ23)),IF(AND(s_Irr!L23=".",s_Irr!AK23=".",s_Irr!BJ23&lt;&gt;"."),s_dir!AM23/((1/1000)*(s_Irr!BJ23)),IF(AND(s_Irr!L23=".",s_Irr!AK23&lt;&gt;".",s_Irr!BJ23="."),s_dir!AM23/((1/1000)*(s_Irr!AK23)),IF(AND(s_Irr!L23&lt;&gt;".",s_Irr!AK23=".",s_Irr!BJ23="."),s_dir!AM23/((1/1000)*(s_Irr!L23)),IF(AND(s_Irr!L23=".",s_Irr!AK23=".",s_Irr!BJ23="."),s_dir!AM23*1000)))))))),".")</f>
        <v>42.639179007056732</v>
      </c>
      <c r="BN23" s="76">
        <f>IFERROR(IF(AND(s_Irr!M23&lt;&gt;".",s_Irr!AL23&lt;&gt;".",s_Irr!BK23&lt;&gt;"."),s_dir!AN23/((1/1000)*(s_Irr!M23+s_Irr!AL23+s_Irr!BK23)),IF(AND(s_Irr!M23&lt;&gt;".",s_Irr!AL23&lt;&gt;".",s_Irr!BK23="."),s_dir!AN23/((1/1000)*(s_Irr!M23+s_Irr!AL23)),IF(AND(s_Irr!M23&lt;&gt;".",s_Irr!AL23=".",s_Irr!BK23&lt;&gt;"."),s_dir!AN23/((1/1000)*(s_Irr!M23+s_Irr!BK23)),IF(AND(s_Irr!M23=".",s_Irr!AL23&lt;&gt;".",s_Irr!BK23&lt;&gt;"."),s_dir!AN23/((1/1000)*(s_Irr!AL23+s_Irr!BK23)),IF(AND(s_Irr!M23=".",s_Irr!AL23=".",s_Irr!BK23&lt;&gt;"."),s_dir!AN23/((1/1000)*(s_Irr!BK23)),IF(AND(s_Irr!M23=".",s_Irr!AL23&lt;&gt;".",s_Irr!BK23="."),s_dir!AN23/((1/1000)*(s_Irr!AL23)),IF(AND(s_Irr!M23&lt;&gt;".",s_Irr!AL23=".",s_Irr!BK23="."),s_dir!AN23/((1/1000)*(s_Irr!M23)),IF(AND(s_Irr!M23=".",s_Irr!AL23=".",s_Irr!BK23="."),s_dir!AN23*1000)))))))),".")</f>
        <v>21.585106758751088</v>
      </c>
      <c r="BO23" s="76">
        <f>IFERROR(IF(AND(s_Irr!N23&lt;&gt;".",s_Irr!AM23&lt;&gt;".",s_Irr!BL23&lt;&gt;"."),s_dir!AO23/((1/1000)*(s_Irr!N23+s_Irr!AM23+s_Irr!BL23)),IF(AND(s_Irr!N23&lt;&gt;".",s_Irr!AM23&lt;&gt;".",s_Irr!BL23="."),s_dir!AO23/((1/1000)*(s_Irr!N23+s_Irr!AM23)),IF(AND(s_Irr!N23&lt;&gt;".",s_Irr!AM23=".",s_Irr!BL23&lt;&gt;"."),s_dir!AO23/((1/1000)*(s_Irr!N23+s_Irr!BL23)),IF(AND(s_Irr!N23=".",s_Irr!AM23&lt;&gt;".",s_Irr!BL23&lt;&gt;"."),s_dir!AO23/((1/1000)*(s_Irr!AM23+s_Irr!BL23)),IF(AND(s_Irr!N23=".",s_Irr!AM23=".",s_Irr!BL23&lt;&gt;"."),s_dir!AO23/((1/1000)*(s_Irr!BL23)),IF(AND(s_Irr!N23=".",s_Irr!AM23&lt;&gt;".",s_Irr!BL23="."),s_dir!AO23/((1/1000)*(s_Irr!AM23)),IF(AND(s_Irr!N23&lt;&gt;".",s_Irr!AM23=".",s_Irr!BL23="."),s_dir!AO23/((1/1000)*(s_Irr!N23)),IF(AND(s_Irr!N23=".",s_Irr!AM23=".",s_Irr!BL23="."),s_dir!AO23*1000)))))))),".")</f>
        <v>44.394685443290349</v>
      </c>
      <c r="BP23" s="76">
        <f>IFERROR(IF(AND(s_Irr!O23&lt;&gt;".",s_Irr!AN23&lt;&gt;".",s_Irr!BM23&lt;&gt;"."),s_dir!AP23/((1/1000)*(s_Irr!O23+s_Irr!AN23+s_Irr!BM23)),IF(AND(s_Irr!O23&lt;&gt;".",s_Irr!AN23&lt;&gt;".",s_Irr!BM23="."),s_dir!AP23/((1/1000)*(s_Irr!O23+s_Irr!AN23)),IF(AND(s_Irr!O23&lt;&gt;".",s_Irr!AN23=".",s_Irr!BM23&lt;&gt;"."),s_dir!AP23/((1/1000)*(s_Irr!O23+s_Irr!BM23)),IF(AND(s_Irr!O23=".",s_Irr!AN23&lt;&gt;".",s_Irr!BM23&lt;&gt;"."),s_dir!AP23/((1/1000)*(s_Irr!AN23+s_Irr!BM23)),IF(AND(s_Irr!O23=".",s_Irr!AN23=".",s_Irr!BM23&lt;&gt;"."),s_dir!AP23/((1/1000)*(s_Irr!BM23)),IF(AND(s_Irr!O23=".",s_Irr!AN23&lt;&gt;".",s_Irr!BM23="."),s_dir!AP23/((1/1000)*(s_Irr!AN23)),IF(AND(s_Irr!O23&lt;&gt;".",s_Irr!AN23=".",s_Irr!BM23="."),s_dir!AP23/((1/1000)*(s_Irr!O23)),IF(AND(s_Irr!O23=".",s_Irr!AN23=".",s_Irr!BM23="."),s_dir!AP23*1000)))))))),".")</f>
        <v>42.639179007056732</v>
      </c>
      <c r="BQ23" s="76">
        <f>IFERROR(IF(AND(s_Irr!P23&lt;&gt;".",s_Irr!AO23&lt;&gt;".",s_Irr!BN23&lt;&gt;"."),s_dir!AQ23/((1/1000)*(s_Irr!P23+s_Irr!AO23+s_Irr!BN23)),IF(AND(s_Irr!P23&lt;&gt;".",s_Irr!AO23&lt;&gt;".",s_Irr!BN23="."),s_dir!AQ23/((1/1000)*(s_Irr!P23+s_Irr!AO23)),IF(AND(s_Irr!P23&lt;&gt;".",s_Irr!AO23=".",s_Irr!BN23&lt;&gt;"."),s_dir!AQ23/((1/1000)*(s_Irr!P23+s_Irr!BN23)),IF(AND(s_Irr!P23=".",s_Irr!AO23&lt;&gt;".",s_Irr!BN23&lt;&gt;"."),s_dir!AQ23/((1/1000)*(s_Irr!AO23+s_Irr!BN23)),IF(AND(s_Irr!P23=".",s_Irr!AO23=".",s_Irr!BN23&lt;&gt;"."),s_dir!AQ23/((1/1000)*(s_Irr!BN23)),IF(AND(s_Irr!P23=".",s_Irr!AO23&lt;&gt;".",s_Irr!BN23="."),s_dir!AQ23/((1/1000)*(s_Irr!AO23)),IF(AND(s_Irr!P23&lt;&gt;".",s_Irr!AO23=".",s_Irr!BN23="."),s_dir!AQ23/((1/1000)*(s_Irr!P23)),IF(AND(s_Irr!P23=".",s_Irr!AO23=".",s_Irr!BN23="."),s_dir!AQ23*1000)))))))),".")</f>
        <v>25.102602676088789</v>
      </c>
      <c r="BR23" s="76">
        <f>IFERROR(IF(AND(s_Irr!Q23&lt;&gt;".",s_Irr!AP23&lt;&gt;".",s_Irr!BO23&lt;&gt;"."),s_dir!AR23/((1/1000)*(s_Irr!Q23+s_Irr!AP23+s_Irr!BO23)),IF(AND(s_Irr!Q23&lt;&gt;".",s_Irr!AP23&lt;&gt;".",s_Irr!BO23="."),s_dir!AR23/((1/1000)*(s_Irr!Q23+s_Irr!AP23)),IF(AND(s_Irr!Q23&lt;&gt;".",s_Irr!AP23=".",s_Irr!BO23&lt;&gt;"."),s_dir!AR23/((1/1000)*(s_Irr!Q23+s_Irr!BO23)),IF(AND(s_Irr!Q23=".",s_Irr!AP23&lt;&gt;".",s_Irr!BO23&lt;&gt;"."),s_dir!AR23/((1/1000)*(s_Irr!AP23+s_Irr!BO23)),IF(AND(s_Irr!Q23=".",s_Irr!AP23=".",s_Irr!BO23&lt;&gt;"."),s_dir!AR23/((1/1000)*(s_Irr!BO23)),IF(AND(s_Irr!Q23=".",s_Irr!AP23&lt;&gt;".",s_Irr!BO23="."),s_dir!AR23/((1/1000)*(s_Irr!AP23)),IF(AND(s_Irr!Q23&lt;&gt;".",s_Irr!AP23=".",s_Irr!BO23="."),s_dir!AR23/((1/1000)*(s_Irr!Q23)),IF(AND(s_Irr!Q23=".",s_Irr!AP23=".",s_Irr!BO23="."),s_dir!AR23*1000)))))))),".")</f>
        <v>46.973280966235372</v>
      </c>
      <c r="BS23" s="76">
        <f>IFERROR(IF(AND(s_Irr!R23&lt;&gt;".",s_Irr!AQ23&lt;&gt;".",s_Irr!BP23&lt;&gt;"."),s_dir!AS23/((1/1000)*(s_Irr!R23+s_Irr!AQ23+s_Irr!BP23)),IF(AND(s_Irr!R23&lt;&gt;".",s_Irr!AQ23&lt;&gt;".",s_Irr!BP23="."),s_dir!AS23/((1/1000)*(s_Irr!R23+s_Irr!AQ23)),IF(AND(s_Irr!R23&lt;&gt;".",s_Irr!AQ23=".",s_Irr!BP23&lt;&gt;"."),s_dir!AS23/((1/1000)*(s_Irr!R23+s_Irr!BP23)),IF(AND(s_Irr!R23=".",s_Irr!AQ23&lt;&gt;".",s_Irr!BP23&lt;&gt;"."),s_dir!AS23/((1/1000)*(s_Irr!AQ23+s_Irr!BP23)),IF(AND(s_Irr!R23=".",s_Irr!AQ23=".",s_Irr!BP23&lt;&gt;"."),s_dir!AS23/((1/1000)*(s_Irr!BP23)),IF(AND(s_Irr!R23=".",s_Irr!AQ23&lt;&gt;".",s_Irr!BP23="."),s_dir!AS23/((1/1000)*(s_Irr!AQ23)),IF(AND(s_Irr!R23&lt;&gt;".",s_Irr!AQ23=".",s_Irr!BP23="."),s_dir!AS23/((1/1000)*(s_Irr!R23)),IF(AND(s_Irr!R23=".",s_Irr!AQ23=".",s_Irr!BP23="."),s_dir!AS23*1000)))))))),".")</f>
        <v>46.973280966235372</v>
      </c>
      <c r="BT23" s="76">
        <f>IFERROR(IF(AND(s_Irr!S23&lt;&gt;".",s_Irr!AR23&lt;&gt;".",s_Irr!BQ23&lt;&gt;"."),s_dir!AT23/((1/1000)*(s_Irr!S23+s_Irr!AR23+s_Irr!BQ23)),IF(AND(s_Irr!S23&lt;&gt;".",s_Irr!AR23&lt;&gt;".",s_Irr!BQ23="."),s_dir!AT23/((1/1000)*(s_Irr!S23+s_Irr!AR23)),IF(AND(s_Irr!S23&lt;&gt;".",s_Irr!AR23=".",s_Irr!BQ23&lt;&gt;"."),s_dir!AT23/((1/1000)*(s_Irr!S23+s_Irr!BQ23)),IF(AND(s_Irr!S23=".",s_Irr!AR23&lt;&gt;".",s_Irr!BQ23&lt;&gt;"."),s_dir!AT23/((1/1000)*(s_Irr!AR23+s_Irr!BQ23)),IF(AND(s_Irr!S23=".",s_Irr!AR23=".",s_Irr!BQ23&lt;&gt;"."),s_dir!AT23/((1/1000)*(s_Irr!BQ23)),IF(AND(s_Irr!S23=".",s_Irr!AR23&lt;&gt;".",s_Irr!BQ23="."),s_dir!AT23/((1/1000)*(s_Irr!AR23)),IF(AND(s_Irr!S23&lt;&gt;".",s_Irr!AR23=".",s_Irr!BQ23="."),s_dir!AT23/((1/1000)*(s_Irr!S23)),IF(AND(s_Irr!S23=".",s_Irr!AR23=".",s_Irr!BQ23="."),s_dir!AT23*1000)))))))),".")</f>
        <v>44.394685443290349</v>
      </c>
      <c r="BU23" s="76">
        <f>IFERROR(IF(AND(s_Irr!T23&lt;&gt;".",s_Irr!AS23&lt;&gt;".",s_Irr!BR23&lt;&gt;"."),s_dir!AU23/((1/1000)*(s_Irr!T23+s_Irr!AS23+s_Irr!BR23)),IF(AND(s_Irr!T23&lt;&gt;".",s_Irr!AS23&lt;&gt;".",s_Irr!BR23="."),s_dir!AU23/((1/1000)*(s_Irr!T23+s_Irr!AS23)),IF(AND(s_Irr!T23&lt;&gt;".",s_Irr!AS23=".",s_Irr!BR23&lt;&gt;"."),s_dir!AU23/((1/1000)*(s_Irr!T23+s_Irr!BR23)),IF(AND(s_Irr!T23=".",s_Irr!AS23&lt;&gt;".",s_Irr!BR23&lt;&gt;"."),s_dir!AU23/((1/1000)*(s_Irr!AS23+s_Irr!BR23)),IF(AND(s_Irr!T23=".",s_Irr!AS23=".",s_Irr!BR23&lt;&gt;"."),s_dir!AU23/((1/1000)*(s_Irr!BR23)),IF(AND(s_Irr!T23=".",s_Irr!AS23&lt;&gt;".",s_Irr!BR23="."),s_dir!AU23/((1/1000)*(s_Irr!AS23)),IF(AND(s_Irr!T23&lt;&gt;".",s_Irr!AS23=".",s_Irr!BR23="."),s_dir!AU23/((1/1000)*(s_Irr!T23)),IF(AND(s_Irr!T23=".",s_Irr!AS23=".",s_Irr!BR23="."),s_dir!AU23*1000)))))))),".")</f>
        <v>42.639179007056732</v>
      </c>
      <c r="BV23" s="76">
        <f>IFERROR(IF(AND(s_Irr!U23&lt;&gt;".",s_Irr!AT23&lt;&gt;".",s_Irr!BS23&lt;&gt;"."),s_dir!AV23/((1/1000)*(s_Irr!U23+s_Irr!AT23+s_Irr!BS23)),IF(AND(s_Irr!U23&lt;&gt;".",s_Irr!AT23&lt;&gt;".",s_Irr!BS23="."),s_dir!AV23/((1/1000)*(s_Irr!U23+s_Irr!AT23)),IF(AND(s_Irr!U23&lt;&gt;".",s_Irr!AT23=".",s_Irr!BS23&lt;&gt;"."),s_dir!AV23/((1/1000)*(s_Irr!U23+s_Irr!BS23)),IF(AND(s_Irr!U23=".",s_Irr!AT23&lt;&gt;".",s_Irr!BS23&lt;&gt;"."),s_dir!AV23/((1/1000)*(s_Irr!AT23+s_Irr!BS23)),IF(AND(s_Irr!U23=".",s_Irr!AT23=".",s_Irr!BS23&lt;&gt;"."),s_dir!AV23/((1/1000)*(s_Irr!BS23)),IF(AND(s_Irr!U23=".",s_Irr!AT23&lt;&gt;".",s_Irr!BS23="."),s_dir!AV23/((1/1000)*(s_Irr!AT23)),IF(AND(s_Irr!U23&lt;&gt;".",s_Irr!AT23=".",s_Irr!BS23="."),s_dir!AV23/((1/1000)*(s_Irr!U23)),IF(AND(s_Irr!U23=".",s_Irr!AT23=".",s_Irr!BS23="."),s_dir!AV23*1000)))))))),".")</f>
        <v>46.300951469055398</v>
      </c>
      <c r="BW23" s="76">
        <f>IFERROR(IF(AND(s_Irr!V23&lt;&gt;".",s_Irr!AU23&lt;&gt;".",s_Irr!BT23&lt;&gt;"."),s_dir!AW23/((1/1000)*(s_Irr!V23+s_Irr!AU23+s_Irr!BT23)),IF(AND(s_Irr!V23&lt;&gt;".",s_Irr!AU23&lt;&gt;".",s_Irr!BT23="."),s_dir!AW23/((1/1000)*(s_Irr!V23+s_Irr!AU23)),IF(AND(s_Irr!V23&lt;&gt;".",s_Irr!AU23=".",s_Irr!BT23&lt;&gt;"."),s_dir!AW23/((1/1000)*(s_Irr!V23+s_Irr!BT23)),IF(AND(s_Irr!V23=".",s_Irr!AU23&lt;&gt;".",s_Irr!BT23&lt;&gt;"."),s_dir!AW23/((1/1000)*(s_Irr!AU23+s_Irr!BT23)),IF(AND(s_Irr!V23=".",s_Irr!AU23=".",s_Irr!BT23&lt;&gt;"."),s_dir!AW23/((1/1000)*(s_Irr!BT23)),IF(AND(s_Irr!V23=".",s_Irr!AU23&lt;&gt;".",s_Irr!BT23="."),s_dir!AW23/((1/1000)*(s_Irr!AU23)),IF(AND(s_Irr!V23&lt;&gt;".",s_Irr!AU23=".",s_Irr!BT23="."),s_dir!AW23/((1/1000)*(s_Irr!V23)),IF(AND(s_Irr!V23=".",s_Irr!AU23=".",s_Irr!BT23="."),s_dir!AW23*1000)))))))),".")</f>
        <v>42.639179007056732</v>
      </c>
      <c r="BX23" s="76">
        <f>IFERROR(IF(AND(s_Irr!W23&lt;&gt;".",s_Irr!AV23&lt;&gt;".",s_Irr!BU23&lt;&gt;"."),s_dir!AX23/((1/1000)*(s_Irr!W23+s_Irr!AV23+s_Irr!BU23)),IF(AND(s_Irr!W23&lt;&gt;".",s_Irr!AV23&lt;&gt;".",s_Irr!BU23="."),s_dir!AX23/((1/1000)*(s_Irr!W23+s_Irr!AV23)),IF(AND(s_Irr!W23&lt;&gt;".",s_Irr!AV23=".",s_Irr!BU23&lt;&gt;"."),s_dir!AX23/((1/1000)*(s_Irr!W23+s_Irr!BU23)),IF(AND(s_Irr!W23=".",s_Irr!AV23&lt;&gt;".",s_Irr!BU23&lt;&gt;"."),s_dir!AX23/((1/1000)*(s_Irr!AV23+s_Irr!BU23)),IF(AND(s_Irr!W23=".",s_Irr!AV23=".",s_Irr!BU23&lt;&gt;"."),s_dir!AX23/((1/1000)*(s_Irr!BU23)),IF(AND(s_Irr!W23=".",s_Irr!AV23&lt;&gt;".",s_Irr!BU23="."),s_dir!AX23/((1/1000)*(s_Irr!AV23)),IF(AND(s_Irr!W23&lt;&gt;".",s_Irr!AV23=".",s_Irr!BU23="."),s_dir!AX23/((1/1000)*(s_Irr!W23)),IF(AND(s_Irr!W23=".",s_Irr!AV23=".",s_Irr!BU23="."),s_dir!AX23*1000)))))))),".")</f>
        <v>44.394685443290349</v>
      </c>
      <c r="BY23" s="76">
        <f>IFERROR(IF(AND(s_Irr!X23&lt;&gt;".",s_Irr!AW23&lt;&gt;".",s_Irr!BV23&lt;&gt;"."),s_dir!AY23/((1/1000)*(s_Irr!X23+s_Irr!AW23+s_Irr!BV23)),IF(AND(s_Irr!X23&lt;&gt;".",s_Irr!AW23&lt;&gt;".",s_Irr!BV23="."),s_dir!AY23/((1/1000)*(s_Irr!X23+s_Irr!AW23)),IF(AND(s_Irr!X23&lt;&gt;".",s_Irr!AW23=".",s_Irr!BV23&lt;&gt;"."),s_dir!AY23/((1/1000)*(s_Irr!X23+s_Irr!BV23)),IF(AND(s_Irr!X23=".",s_Irr!AW23&lt;&gt;".",s_Irr!BV23&lt;&gt;"."),s_dir!AY23/((1/1000)*(s_Irr!AW23+s_Irr!BV23)),IF(AND(s_Irr!X23=".",s_Irr!AW23=".",s_Irr!BV23&lt;&gt;"."),s_dir!AY23/((1/1000)*(s_Irr!BV23)),IF(AND(s_Irr!X23=".",s_Irr!AW23&lt;&gt;".",s_Irr!BV23="."),s_dir!AY23/((1/1000)*(s_Irr!AW23)),IF(AND(s_Irr!X23&lt;&gt;".",s_Irr!AW23=".",s_Irr!BV23="."),s_dir!AY23/((1/1000)*(s_Irr!X23)),IF(AND(s_Irr!X23=".",s_Irr!AW23=".",s_Irr!BV23="."),s_dir!AY23*1000)))))))),".")</f>
        <v>46.973280966235372</v>
      </c>
      <c r="BZ23" s="76">
        <f>IFERROR(IF(AND(s_Irr!Y23&lt;&gt;".",s_Irr!AX23&lt;&gt;".",s_Irr!BW23&lt;&gt;"."),s_dir!AZ23/((1/1000)*(s_Irr!Y23+s_Irr!AX23+s_Irr!BW23)),IF(AND(s_Irr!Y23&lt;&gt;".",s_Irr!AX23&lt;&gt;".",s_Irr!BW23="."),s_dir!AZ23/((1/1000)*(s_Irr!Y23+s_Irr!AX23)),IF(AND(s_Irr!Y23&lt;&gt;".",s_Irr!AX23=".",s_Irr!BW23&lt;&gt;"."),s_dir!AZ23/((1/1000)*(s_Irr!Y23+s_Irr!BW23)),IF(AND(s_Irr!Y23=".",s_Irr!AX23&lt;&gt;".",s_Irr!BW23&lt;&gt;"."),s_dir!AZ23/((1/1000)*(s_Irr!AX23+s_Irr!BW23)),IF(AND(s_Irr!Y23=".",s_Irr!AX23=".",s_Irr!BW23&lt;&gt;"."),s_dir!AZ23/((1/1000)*(s_Irr!BW23)),IF(AND(s_Irr!Y23=".",s_Irr!AX23&lt;&gt;".",s_Irr!BW23="."),s_dir!AZ23/((1/1000)*(s_Irr!AX23)),IF(AND(s_Irr!Y23&lt;&gt;".",s_Irr!AX23=".",s_Irr!BW23="."),s_dir!AZ23/((1/1000)*(s_Irr!Y23)),IF(AND(s_Irr!Y23=".",s_Irr!AX23=".",s_Irr!BW23="."),s_dir!AZ23*1000)))))))),".")</f>
        <v>42.639179007056732</v>
      </c>
      <c r="CA23" s="76">
        <f>IFERROR(IF(AND(s_Irr!Z23&lt;&gt;".",s_Irr!AY23&lt;&gt;".",s_Irr!BX23&lt;&gt;"."),s_dir!BA23/((1/1000)*(s_Irr!Z23+s_Irr!AY23+s_Irr!BX23)),IF(AND(s_Irr!Z23&lt;&gt;".",s_Irr!AY23&lt;&gt;".",s_Irr!BX23="."),s_dir!BA23/((1/1000)*(s_Irr!Z23+s_Irr!AY23)),IF(AND(s_Irr!Z23&lt;&gt;".",s_Irr!AY23=".",s_Irr!BX23&lt;&gt;"."),s_dir!BA23/((1/1000)*(s_Irr!Z23+s_Irr!BX23)),IF(AND(s_Irr!Z23=".",s_Irr!AY23&lt;&gt;".",s_Irr!BX23&lt;&gt;"."),s_dir!BA23/((1/1000)*(s_Irr!AY23+s_Irr!BX23)),IF(AND(s_Irr!Z23=".",s_Irr!AY23=".",s_Irr!BX23&lt;&gt;"."),s_dir!BA23/((1/1000)*(s_Irr!BX23)),IF(AND(s_Irr!Z23=".",s_Irr!AY23&lt;&gt;".",s_Irr!BX23="."),s_dir!BA23/((1/1000)*(s_Irr!AY23)),IF(AND(s_Irr!Z23&lt;&gt;".",s_Irr!AY23=".",s_Irr!BX23="."),s_dir!BA23/((1/1000)*(s_Irr!Z23)),IF(AND(s_Irr!Z23=".",s_Irr!AY23=".",s_Irr!BX23="."),s_dir!BA23*1000)))))))),".")</f>
        <v>54.152582609197758</v>
      </c>
      <c r="CB23" s="76">
        <f>IFERROR(IF(AND(s_Irr!AA23&lt;&gt;".",s_Irr!AZ23&lt;&gt;".",s_Irr!BY23&lt;&gt;"."),s_dir!BB23/((1/1000)*(s_Irr!AA23+s_Irr!AZ23+s_Irr!BY23)),IF(AND(s_Irr!AA23&lt;&gt;".",s_Irr!AZ23&lt;&gt;".",s_Irr!BY23="."),s_dir!BB23/((1/1000)*(s_Irr!AA23+s_Irr!AZ23)),IF(AND(s_Irr!AA23&lt;&gt;".",s_Irr!AZ23=".",s_Irr!BY23&lt;&gt;"."),s_dir!BB23/((1/1000)*(s_Irr!AA23+s_Irr!BY23)),IF(AND(s_Irr!AA23=".",s_Irr!AZ23&lt;&gt;".",s_Irr!BY23&lt;&gt;"."),s_dir!BB23/((1/1000)*(s_Irr!AZ23+s_Irr!BY23)),IF(AND(s_Irr!AA23=".",s_Irr!AZ23=".",s_Irr!BY23&lt;&gt;"."),s_dir!BB23/((1/1000)*(s_Irr!BY23)),IF(AND(s_Irr!AA23=".",s_Irr!AZ23&lt;&gt;".",s_Irr!BY23="."),s_dir!BB23/((1/1000)*(s_Irr!AZ23)),IF(AND(s_Irr!AA23&lt;&gt;".",s_Irr!AZ23=".",s_Irr!BY23="."),s_dir!BB23/((1/1000)*(s_Irr!AA23)),IF(AND(s_Irr!AA23=".",s_Irr!AZ23=".",s_Irr!BY23="."),s_dir!BB23*1000)))))))),".")</f>
        <v>42.639179007056732</v>
      </c>
      <c r="CC23" s="93">
        <f t="shared" si="2"/>
        <v>8425.0686785818289</v>
      </c>
      <c r="CD23" s="93">
        <f>IFERROR(s_C*s_IFAP_far_adj*s_CF_apple*(1/1000)*(s_Irr!C23+s_Irr!AB23+s_Irr!BA23),".")</f>
        <v>2069.677052148757</v>
      </c>
      <c r="CE23" s="93">
        <f>IFERROR(s_C*s_IFAS_far_adj*s_CF_asparagus*(1/1000)*(s_Irr!D23+s_Irr!AC23+s_Irr!BB23),".")</f>
        <v>4504.0093044959503</v>
      </c>
      <c r="CF23" s="93">
        <f>IFERROR(s_C*s_IFBT_far_adj*s_CF_beet*(1/1000)*(s_Irr!E23+s_Irr!AD23+s_Irr!BC23),".")</f>
        <v>3872.8861279614935</v>
      </c>
      <c r="CG23" s="93">
        <f>IFERROR(s_C*s_IFBE_far_adj*s_CF_berries*(1/1000)*(s_Irr!F23+s_Irr!AE23+s_Irr!BD23),".")</f>
        <v>2069.677052148757</v>
      </c>
      <c r="CH23" s="93">
        <f>IFERROR(s_C*s_IFBR_far_adj*s_CF_broccoli*(1/1000)*(s_Irr!G23+s_Irr!AF23+s_Irr!BE23),".")</f>
        <v>2280.0514443269094</v>
      </c>
      <c r="CI23" s="93">
        <f>IFERROR(s_C*s_IFCB_far_adj*s_CF_cabbage*(1/1000)*(s_Irr!H23+s_Irr!AG23+s_Irr!BF23),".")</f>
        <v>4504.0093044959503</v>
      </c>
      <c r="CJ23" s="93">
        <f>IFERROR(s_C*s_IFCR_far_adj*s_CF_carrot*(1/1000)*(s_Irr!I23+s_Irr!AH23+s_Irr!BG23),".")</f>
        <v>3872.8861279614935</v>
      </c>
      <c r="CK23" s="93">
        <f>IFERROR(s_C*s_IFCI_far_adj*s_CF_citrus*(1/1000)*(s_Irr!J23+s_Irr!AI23+s_Irr!BH23),".")</f>
        <v>2069.677052148757</v>
      </c>
      <c r="CL23" s="93">
        <f>IFERROR(s_C*s_IFCO_far_adj*s_CF_corn*(1/1000)*(s_Irr!K23+s_Irr!AJ23+s_Irr!BI23),".")</f>
        <v>1841.2705692124769</v>
      </c>
      <c r="CM23" s="93">
        <f>IFERROR(s_C*s_IFCU_far_adj*s_CF_cucumber*(1/1000)*(s_Irr!L23+s_Irr!AK23+s_Irr!BJ23),".")</f>
        <v>2280.0514443269094</v>
      </c>
      <c r="CN23" s="93">
        <f>IFERROR(s_C*s_IFLE_far_adj*s_CF_lettuce*(1/1000)*(s_Irr!M23+s_Irr!AL23+s_Irr!BK23),".")</f>
        <v>4504.0093044959503</v>
      </c>
      <c r="CO23" s="93">
        <f>IFERROR(s_C*s_IFLI_far_adj*s_CF_lima_bean*(1/1000)*(s_Irr!N23+s_Irr!AM23+s_Irr!BL23),".")</f>
        <v>2189.8909905362725</v>
      </c>
      <c r="CP23" s="93">
        <f>IFERROR(s_C*s_IFOK_far_adj*s_CF_okra*(1/1000)*(s_Irr!O23+s_Irr!AN23+s_Irr!BM23),".")</f>
        <v>2280.0514443269094</v>
      </c>
      <c r="CQ23" s="93">
        <f>IFERROR(s_C*s_IFON_far_adj*s_CF_onion*(1/1000)*(s_Irr!P23+s_Irr!AO23+s_Irr!BN23),".")</f>
        <v>3872.8861279614935</v>
      </c>
      <c r="CR23" s="93">
        <f>IFERROR(s_C*s_IFPC_far_adj*s_CF_peach*(1/1000)*(s_Irr!Q23+s_Irr!AP23+s_Irr!BO23),".")</f>
        <v>2069.677052148757</v>
      </c>
      <c r="CS23" s="93">
        <f>IFERROR(s_C*s_IFPR_far_adj*s_CF_pear*(1/1000)*(s_Irr!R23+s_Irr!AQ23+s_Irr!BP23),".")</f>
        <v>2069.677052148757</v>
      </c>
      <c r="CT23" s="93">
        <f>IFERROR(s_C*s_IFPE_far_adj*s_CF_peas*(1/1000)*(s_Irr!S23+s_Irr!AR23+s_Irr!BQ23),".")</f>
        <v>2189.8909905362725</v>
      </c>
      <c r="CU23" s="93">
        <f>IFERROR(s_C*s_IFPP_far_adj*s_CF_peppers*(1/1000)*(s_Irr!T23+s_Irr!AS23+s_Irr!BR23),".")</f>
        <v>2280.0514443269094</v>
      </c>
      <c r="CV23" s="93">
        <f>IFERROR(s_C*s_IFPT_far_adj*s_CF_potato*(1/1000)*(s_Irr!U23+s_Irr!AT23+s_Irr!BS23),".")</f>
        <v>2099.7305367456356</v>
      </c>
      <c r="CW23" s="93">
        <f>IFERROR(s_C*s_IFPU_far_adj*s_CF_pumpkin*(1/1000)*(s_Irr!V23+s_Irr!AU23+s_Irr!BT23),".")</f>
        <v>2280.0514443269094</v>
      </c>
      <c r="CX23" s="93">
        <f>IFERROR(s_C*s_IFSN_far_adj*s_CF_snap_bean*(1/1000)*(s_Irr!W23+s_Irr!AV23+s_Irr!BU23),".")</f>
        <v>2189.8909905362725</v>
      </c>
      <c r="CY23" s="93">
        <f>IFERROR(s_C*s_IFST_far_adj*s_CF_strawberry*(1/1000)*(s_Irr!X23+s_Irr!AW23+s_Irr!BV23),".")</f>
        <v>2069.677052148757</v>
      </c>
      <c r="CZ23" s="93">
        <f>IFERROR(s_C*s_IFTO_far_adj*s_CF_tomato*(1/1000)*(s_Irr!Y23+s_Irr!AX23+s_Irr!BW23),".")</f>
        <v>2280.0514443269094</v>
      </c>
      <c r="DA23" s="93">
        <f>IFERROR(s_C*s_IFRI_far_adj*s_CF_rice*(1/1000)*(s_Irr!Z23+s_Irr!AY23+s_Irr!BX23),".")</f>
        <v>1795.2887377792522</v>
      </c>
      <c r="DB23" s="93">
        <f>IFERROR(s_C*s_IFCG_far_adj*s_CF_cereal*(1/1000)*(s_Irr!AA23+s_Irr!AZ23+s_Irr!BY23),".")</f>
        <v>2280.0514443269094</v>
      </c>
    </row>
    <row r="24" spans="1:106" ht="15" customHeight="1" x14ac:dyDescent="0.25">
      <c r="A24" s="92" t="s">
        <v>34</v>
      </c>
      <c r="B24" s="90" t="s">
        <v>1071</v>
      </c>
      <c r="C24" s="15" t="str">
        <f t="shared" si="3"/>
        <v>.</v>
      </c>
      <c r="D24" s="76" t="str">
        <f>IFERROR(IF(AND(s_Irr!C24&lt;&gt;".",s_Irr!AB24&lt;&gt;".",s_Irr!BA24&lt;&gt;"."),s_dir!D24/((1/1000)*(s_Irr!C24+s_Irr!AB24+s_Irr!BA24)),IF(AND(s_Irr!C24&lt;&gt;".",s_Irr!AB24&lt;&gt;".",s_Irr!BA24="."),s_dir!D24/((1/1000)*(s_Irr!C24+s_Irr!AB24)),IF(AND(s_Irr!C24&lt;&gt;".",s_Irr!AB24=".",s_Irr!BA24&lt;&gt;"."),s_dir!D24/((1/1000)*(s_Irr!C24+s_Irr!BA24)),IF(AND(s_Irr!C24=".",s_Irr!AB24&lt;&gt;".",s_Irr!BA24&lt;&gt;"."),s_dir!D24/((1/1000)*(s_Irr!AB24+s_Irr!BA24)),IF(AND(s_Irr!C24=".",s_Irr!AB24=".",s_Irr!BA24&lt;&gt;"."),s_dir!D24/((1/1000)*(s_Irr!BA24)),IF(AND(s_Irr!C24=".",s_Irr!AB24&lt;&gt;".",s_Irr!BA24="."),s_dir!D24/((1/1000)*(s_Irr!AB24)),IF(AND(s_Irr!C24&lt;&gt;".",s_Irr!AB24=".",s_Irr!BA24="."),s_dir!D24/((1/1000)*(s_Irr!C24)),IF(AND(s_Irr!C24=".",s_Irr!AB24=".",s_Irr!BA24="."),s_dir!D24*1000)))))))),".")</f>
        <v>.</v>
      </c>
      <c r="E24" s="76" t="str">
        <f>IFERROR(IF(AND(s_Irr!D24&lt;&gt;".",s_Irr!AC24&lt;&gt;".",s_Irr!BB24&lt;&gt;"."),s_dir!E24/((1/1000)*(s_Irr!D24+s_Irr!AC24+s_Irr!BB24)),IF(AND(s_Irr!D24&lt;&gt;".",s_Irr!AC24&lt;&gt;".",s_Irr!BB24="."),s_dir!E24/((1/1000)*(s_Irr!D24+s_Irr!AC24)),IF(AND(s_Irr!D24&lt;&gt;".",s_Irr!AC24=".",s_Irr!BB24&lt;&gt;"."),s_dir!E24/((1/1000)*(s_Irr!D24+s_Irr!BB24)),IF(AND(s_Irr!D24=".",s_Irr!AC24&lt;&gt;".",s_Irr!BB24&lt;&gt;"."),s_dir!E24/((1/1000)*(s_Irr!AC24+s_Irr!BB24)),IF(AND(s_Irr!D24=".",s_Irr!AC24=".",s_Irr!BB24&lt;&gt;"."),s_dir!E24/((1/1000)*(s_Irr!BB24)),IF(AND(s_Irr!D24=".",s_Irr!AC24&lt;&gt;".",s_Irr!BB24="."),s_dir!E24/((1/1000)*(s_Irr!AC24)),IF(AND(s_Irr!D24&lt;&gt;".",s_Irr!AC24=".",s_Irr!BB24="."),s_dir!E24/((1/1000)*(s_Irr!D24)),IF(AND(s_Irr!D24=".",s_Irr!AC24=".",s_Irr!BB24="."),s_dir!E24*1000)))))))),".")</f>
        <v>.</v>
      </c>
      <c r="F24" s="76" t="str">
        <f>IFERROR(IF(AND(s_Irr!E24&lt;&gt;".",s_Irr!AD24&lt;&gt;".",s_Irr!BC24&lt;&gt;"."),s_dir!F24/((1/1000)*(s_Irr!E24+s_Irr!AD24+s_Irr!BC24)),IF(AND(s_Irr!E24&lt;&gt;".",s_Irr!AD24&lt;&gt;".",s_Irr!BC24="."),s_dir!F24/((1/1000)*(s_Irr!E24+s_Irr!AD24)),IF(AND(s_Irr!E24&lt;&gt;".",s_Irr!AD24=".",s_Irr!BC24&lt;&gt;"."),s_dir!F24/((1/1000)*(s_Irr!E24+s_Irr!BC24)),IF(AND(s_Irr!E24=".",s_Irr!AD24&lt;&gt;".",s_Irr!BC24&lt;&gt;"."),s_dir!F24/((1/1000)*(s_Irr!AD24+s_Irr!BC24)),IF(AND(s_Irr!E24=".",s_Irr!AD24=".",s_Irr!BC24&lt;&gt;"."),s_dir!F24/((1/1000)*(s_Irr!BC24)),IF(AND(s_Irr!E24=".",s_Irr!AD24&lt;&gt;".",s_Irr!BC24="."),s_dir!F24/((1/1000)*(s_Irr!AD24)),IF(AND(s_Irr!E24&lt;&gt;".",s_Irr!AD24=".",s_Irr!BC24="."),s_dir!F24/((1/1000)*(s_Irr!E24)),IF(AND(s_Irr!E24=".",s_Irr!AD24=".",s_Irr!BC24="."),s_dir!F24*1000)))))))),".")</f>
        <v>.</v>
      </c>
      <c r="G24" s="76" t="str">
        <f>IFERROR(IF(AND(s_Irr!F24&lt;&gt;".",s_Irr!AE24&lt;&gt;".",s_Irr!BD24&lt;&gt;"."),s_dir!G24/((1/1000)*(s_Irr!F24+s_Irr!AE24+s_Irr!BD24)),IF(AND(s_Irr!F24&lt;&gt;".",s_Irr!AE24&lt;&gt;".",s_Irr!BD24="."),s_dir!G24/((1/1000)*(s_Irr!F24+s_Irr!AE24)),IF(AND(s_Irr!F24&lt;&gt;".",s_Irr!AE24=".",s_Irr!BD24&lt;&gt;"."),s_dir!G24/((1/1000)*(s_Irr!F24+s_Irr!BD24)),IF(AND(s_Irr!F24=".",s_Irr!AE24&lt;&gt;".",s_Irr!BD24&lt;&gt;"."),s_dir!G24/((1/1000)*(s_Irr!AE24+s_Irr!BD24)),IF(AND(s_Irr!F24=".",s_Irr!AE24=".",s_Irr!BD24&lt;&gt;"."),s_dir!G24/((1/1000)*(s_Irr!BD24)),IF(AND(s_Irr!F24=".",s_Irr!AE24&lt;&gt;".",s_Irr!BD24="."),s_dir!G24/((1/1000)*(s_Irr!AE24)),IF(AND(s_Irr!F24&lt;&gt;".",s_Irr!AE24=".",s_Irr!BD24="."),s_dir!G24/((1/1000)*(s_Irr!F24)),IF(AND(s_Irr!F24=".",s_Irr!AE24=".",s_Irr!BD24="."),s_dir!G24*1000)))))))),".")</f>
        <v>.</v>
      </c>
      <c r="H24" s="76" t="str">
        <f>IFERROR(IF(AND(s_Irr!G24&lt;&gt;".",s_Irr!AF24&lt;&gt;".",s_Irr!BE24&lt;&gt;"."),s_dir!H24/((1/1000)*(s_Irr!G24+s_Irr!AF24+s_Irr!BE24)),IF(AND(s_Irr!G24&lt;&gt;".",s_Irr!AF24&lt;&gt;".",s_Irr!BE24="."),s_dir!H24/((1/1000)*(s_Irr!G24+s_Irr!AF24)),IF(AND(s_Irr!G24&lt;&gt;".",s_Irr!AF24=".",s_Irr!BE24&lt;&gt;"."),s_dir!H24/((1/1000)*(s_Irr!G24+s_Irr!BE24)),IF(AND(s_Irr!G24=".",s_Irr!AF24&lt;&gt;".",s_Irr!BE24&lt;&gt;"."),s_dir!H24/((1/1000)*(s_Irr!AF24+s_Irr!BE24)),IF(AND(s_Irr!G24=".",s_Irr!AF24=".",s_Irr!BE24&lt;&gt;"."),s_dir!H24/((1/1000)*(s_Irr!BE24)),IF(AND(s_Irr!G24=".",s_Irr!AF24&lt;&gt;".",s_Irr!BE24="."),s_dir!H24/((1/1000)*(s_Irr!AF24)),IF(AND(s_Irr!G24&lt;&gt;".",s_Irr!AF24=".",s_Irr!BE24="."),s_dir!H24/((1/1000)*(s_Irr!G24)),IF(AND(s_Irr!G24=".",s_Irr!AF24=".",s_Irr!BE24="."),s_dir!H24*1000)))))))),".")</f>
        <v>.</v>
      </c>
      <c r="I24" s="76" t="str">
        <f>IFERROR(IF(AND(s_Irr!H24&lt;&gt;".",s_Irr!AG24&lt;&gt;".",s_Irr!BF24&lt;&gt;"."),s_dir!I24/((1/1000)*(s_Irr!H24+s_Irr!AG24+s_Irr!BF24)),IF(AND(s_Irr!H24&lt;&gt;".",s_Irr!AG24&lt;&gt;".",s_Irr!BF24="."),s_dir!I24/((1/1000)*(s_Irr!H24+s_Irr!AG24)),IF(AND(s_Irr!H24&lt;&gt;".",s_Irr!AG24=".",s_Irr!BF24&lt;&gt;"."),s_dir!I24/((1/1000)*(s_Irr!H24+s_Irr!BF24)),IF(AND(s_Irr!H24=".",s_Irr!AG24&lt;&gt;".",s_Irr!BF24&lt;&gt;"."),s_dir!I24/((1/1000)*(s_Irr!AG24+s_Irr!BF24)),IF(AND(s_Irr!H24=".",s_Irr!AG24=".",s_Irr!BF24&lt;&gt;"."),s_dir!I24/((1/1000)*(s_Irr!BF24)),IF(AND(s_Irr!H24=".",s_Irr!AG24&lt;&gt;".",s_Irr!BF24="."),s_dir!I24/((1/1000)*(s_Irr!AG24)),IF(AND(s_Irr!H24&lt;&gt;".",s_Irr!AG24=".",s_Irr!BF24="."),s_dir!I24/((1/1000)*(s_Irr!H24)),IF(AND(s_Irr!H24=".",s_Irr!AG24=".",s_Irr!BF24="."),s_dir!I24*1000)))))))),".")</f>
        <v>.</v>
      </c>
      <c r="J24" s="76" t="str">
        <f>IFERROR(IF(AND(s_Irr!I24&lt;&gt;".",s_Irr!AH24&lt;&gt;".",s_Irr!BG24&lt;&gt;"."),s_dir!J24/((1/1000)*(s_Irr!I24+s_Irr!AH24+s_Irr!BG24)),IF(AND(s_Irr!I24&lt;&gt;".",s_Irr!AH24&lt;&gt;".",s_Irr!BG24="."),s_dir!J24/((1/1000)*(s_Irr!I24+s_Irr!AH24)),IF(AND(s_Irr!I24&lt;&gt;".",s_Irr!AH24=".",s_Irr!BG24&lt;&gt;"."),s_dir!J24/((1/1000)*(s_Irr!I24+s_Irr!BG24)),IF(AND(s_Irr!I24=".",s_Irr!AH24&lt;&gt;".",s_Irr!BG24&lt;&gt;"."),s_dir!J24/((1/1000)*(s_Irr!AH24+s_Irr!BG24)),IF(AND(s_Irr!I24=".",s_Irr!AH24=".",s_Irr!BG24&lt;&gt;"."),s_dir!J24/((1/1000)*(s_Irr!BG24)),IF(AND(s_Irr!I24=".",s_Irr!AH24&lt;&gt;".",s_Irr!BG24="."),s_dir!J24/((1/1000)*(s_Irr!AH24)),IF(AND(s_Irr!I24&lt;&gt;".",s_Irr!AH24=".",s_Irr!BG24="."),s_dir!J24/((1/1000)*(s_Irr!I24)),IF(AND(s_Irr!I24=".",s_Irr!AH24=".",s_Irr!BG24="."),s_dir!J24*1000)))))))),".")</f>
        <v>.</v>
      </c>
      <c r="K24" s="76" t="str">
        <f>IFERROR(IF(AND(s_Irr!J24&lt;&gt;".",s_Irr!AI24&lt;&gt;".",s_Irr!BH24&lt;&gt;"."),s_dir!K24/((1/1000)*(s_Irr!J24+s_Irr!AI24+s_Irr!BH24)),IF(AND(s_Irr!J24&lt;&gt;".",s_Irr!AI24&lt;&gt;".",s_Irr!BH24="."),s_dir!K24/((1/1000)*(s_Irr!J24+s_Irr!AI24)),IF(AND(s_Irr!J24&lt;&gt;".",s_Irr!AI24=".",s_Irr!BH24&lt;&gt;"."),s_dir!K24/((1/1000)*(s_Irr!J24+s_Irr!BH24)),IF(AND(s_Irr!J24=".",s_Irr!AI24&lt;&gt;".",s_Irr!BH24&lt;&gt;"."),s_dir!K24/((1/1000)*(s_Irr!AI24+s_Irr!BH24)),IF(AND(s_Irr!J24=".",s_Irr!AI24=".",s_Irr!BH24&lt;&gt;"."),s_dir!K24/((1/1000)*(s_Irr!BH24)),IF(AND(s_Irr!J24=".",s_Irr!AI24&lt;&gt;".",s_Irr!BH24="."),s_dir!K24/((1/1000)*(s_Irr!AI24)),IF(AND(s_Irr!J24&lt;&gt;".",s_Irr!AI24=".",s_Irr!BH24="."),s_dir!K24/((1/1000)*(s_Irr!J24)),IF(AND(s_Irr!J24=".",s_Irr!AI24=".",s_Irr!BH24="."),s_dir!K24*1000)))))))),".")</f>
        <v>.</v>
      </c>
      <c r="L24" s="76" t="str">
        <f>IFERROR(IF(AND(s_Irr!K24&lt;&gt;".",s_Irr!AJ24&lt;&gt;".",s_Irr!BI24&lt;&gt;"."),s_dir!L24/((1/1000)*(s_Irr!K24+s_Irr!AJ24+s_Irr!BI24)),IF(AND(s_Irr!K24&lt;&gt;".",s_Irr!AJ24&lt;&gt;".",s_Irr!BI24="."),s_dir!L24/((1/1000)*(s_Irr!K24+s_Irr!AJ24)),IF(AND(s_Irr!K24&lt;&gt;".",s_Irr!AJ24=".",s_Irr!BI24&lt;&gt;"."),s_dir!L24/((1/1000)*(s_Irr!K24+s_Irr!BI24)),IF(AND(s_Irr!K24=".",s_Irr!AJ24&lt;&gt;".",s_Irr!BI24&lt;&gt;"."),s_dir!L24/((1/1000)*(s_Irr!AJ24+s_Irr!BI24)),IF(AND(s_Irr!K24=".",s_Irr!AJ24=".",s_Irr!BI24&lt;&gt;"."),s_dir!L24/((1/1000)*(s_Irr!BI24)),IF(AND(s_Irr!K24=".",s_Irr!AJ24&lt;&gt;".",s_Irr!BI24="."),s_dir!L24/((1/1000)*(s_Irr!AJ24)),IF(AND(s_Irr!K24&lt;&gt;".",s_Irr!AJ24=".",s_Irr!BI24="."),s_dir!L24/((1/1000)*(s_Irr!K24)),IF(AND(s_Irr!K24=".",s_Irr!AJ24=".",s_Irr!BI24="."),s_dir!L24*1000)))))))),".")</f>
        <v>.</v>
      </c>
      <c r="M24" s="76" t="str">
        <f>IFERROR(IF(AND(s_Irr!L24&lt;&gt;".",s_Irr!AK24&lt;&gt;".",s_Irr!BJ24&lt;&gt;"."),s_dir!M24/((1/1000)*(s_Irr!L24+s_Irr!AK24+s_Irr!BJ24)),IF(AND(s_Irr!L24&lt;&gt;".",s_Irr!AK24&lt;&gt;".",s_Irr!BJ24="."),s_dir!M24/((1/1000)*(s_Irr!L24+s_Irr!AK24)),IF(AND(s_Irr!L24&lt;&gt;".",s_Irr!AK24=".",s_Irr!BJ24&lt;&gt;"."),s_dir!M24/((1/1000)*(s_Irr!L24+s_Irr!BJ24)),IF(AND(s_Irr!L24=".",s_Irr!AK24&lt;&gt;".",s_Irr!BJ24&lt;&gt;"."),s_dir!M24/((1/1000)*(s_Irr!AK24+s_Irr!BJ24)),IF(AND(s_Irr!L24=".",s_Irr!AK24=".",s_Irr!BJ24&lt;&gt;"."),s_dir!M24/((1/1000)*(s_Irr!BJ24)),IF(AND(s_Irr!L24=".",s_Irr!AK24&lt;&gt;".",s_Irr!BJ24="."),s_dir!M24/((1/1000)*(s_Irr!AK24)),IF(AND(s_Irr!L24&lt;&gt;".",s_Irr!AK24=".",s_Irr!BJ24="."),s_dir!M24/((1/1000)*(s_Irr!L24)),IF(AND(s_Irr!L24=".",s_Irr!AK24=".",s_Irr!BJ24="."),s_dir!M24*1000)))))))),".")</f>
        <v>.</v>
      </c>
      <c r="N24" s="76" t="str">
        <f>IFERROR(IF(AND(s_Irr!M24&lt;&gt;".",s_Irr!AL24&lt;&gt;".",s_Irr!BK24&lt;&gt;"."),s_dir!N24/((1/1000)*(s_Irr!M24+s_Irr!AL24+s_Irr!BK24)),IF(AND(s_Irr!M24&lt;&gt;".",s_Irr!AL24&lt;&gt;".",s_Irr!BK24="."),s_dir!N24/((1/1000)*(s_Irr!M24+s_Irr!AL24)),IF(AND(s_Irr!M24&lt;&gt;".",s_Irr!AL24=".",s_Irr!BK24&lt;&gt;"."),s_dir!N24/((1/1000)*(s_Irr!M24+s_Irr!BK24)),IF(AND(s_Irr!M24=".",s_Irr!AL24&lt;&gt;".",s_Irr!BK24&lt;&gt;"."),s_dir!N24/((1/1000)*(s_Irr!AL24+s_Irr!BK24)),IF(AND(s_Irr!M24=".",s_Irr!AL24=".",s_Irr!BK24&lt;&gt;"."),s_dir!N24/((1/1000)*(s_Irr!BK24)),IF(AND(s_Irr!M24=".",s_Irr!AL24&lt;&gt;".",s_Irr!BK24="."),s_dir!N24/((1/1000)*(s_Irr!AL24)),IF(AND(s_Irr!M24&lt;&gt;".",s_Irr!AL24=".",s_Irr!BK24="."),s_dir!N24/((1/1000)*(s_Irr!M24)),IF(AND(s_Irr!M24=".",s_Irr!AL24=".",s_Irr!BK24="."),s_dir!N24*1000)))))))),".")</f>
        <v>.</v>
      </c>
      <c r="O24" s="76" t="str">
        <f>IFERROR(IF(AND(s_Irr!N24&lt;&gt;".",s_Irr!AM24&lt;&gt;".",s_Irr!BL24&lt;&gt;"."),s_dir!O24/((1/1000)*(s_Irr!N24+s_Irr!AM24+s_Irr!BL24)),IF(AND(s_Irr!N24&lt;&gt;".",s_Irr!AM24&lt;&gt;".",s_Irr!BL24="."),s_dir!O24/((1/1000)*(s_Irr!N24+s_Irr!AM24)),IF(AND(s_Irr!N24&lt;&gt;".",s_Irr!AM24=".",s_Irr!BL24&lt;&gt;"."),s_dir!O24/((1/1000)*(s_Irr!N24+s_Irr!BL24)),IF(AND(s_Irr!N24=".",s_Irr!AM24&lt;&gt;".",s_Irr!BL24&lt;&gt;"."),s_dir!O24/((1/1000)*(s_Irr!AM24+s_Irr!BL24)),IF(AND(s_Irr!N24=".",s_Irr!AM24=".",s_Irr!BL24&lt;&gt;"."),s_dir!O24/((1/1000)*(s_Irr!BL24)),IF(AND(s_Irr!N24=".",s_Irr!AM24&lt;&gt;".",s_Irr!BL24="."),s_dir!O24/((1/1000)*(s_Irr!AM24)),IF(AND(s_Irr!N24&lt;&gt;".",s_Irr!AM24=".",s_Irr!BL24="."),s_dir!O24/((1/1000)*(s_Irr!N24)),IF(AND(s_Irr!N24=".",s_Irr!AM24=".",s_Irr!BL24="."),s_dir!O24*1000)))))))),".")</f>
        <v>.</v>
      </c>
      <c r="P24" s="76" t="str">
        <f>IFERROR(IF(AND(s_Irr!O24&lt;&gt;".",s_Irr!AN24&lt;&gt;".",s_Irr!BM24&lt;&gt;"."),s_dir!P24/((1/1000)*(s_Irr!O24+s_Irr!AN24+s_Irr!BM24)),IF(AND(s_Irr!O24&lt;&gt;".",s_Irr!AN24&lt;&gt;".",s_Irr!BM24="."),s_dir!P24/((1/1000)*(s_Irr!O24+s_Irr!AN24)),IF(AND(s_Irr!O24&lt;&gt;".",s_Irr!AN24=".",s_Irr!BM24&lt;&gt;"."),s_dir!P24/((1/1000)*(s_Irr!O24+s_Irr!BM24)),IF(AND(s_Irr!O24=".",s_Irr!AN24&lt;&gt;".",s_Irr!BM24&lt;&gt;"."),s_dir!P24/((1/1000)*(s_Irr!AN24+s_Irr!BM24)),IF(AND(s_Irr!O24=".",s_Irr!AN24=".",s_Irr!BM24&lt;&gt;"."),s_dir!P24/((1/1000)*(s_Irr!BM24)),IF(AND(s_Irr!O24=".",s_Irr!AN24&lt;&gt;".",s_Irr!BM24="."),s_dir!P24/((1/1000)*(s_Irr!AN24)),IF(AND(s_Irr!O24&lt;&gt;".",s_Irr!AN24=".",s_Irr!BM24="."),s_dir!P24/((1/1000)*(s_Irr!O24)),IF(AND(s_Irr!O24=".",s_Irr!AN24=".",s_Irr!BM24="."),s_dir!P24*1000)))))))),".")</f>
        <v>.</v>
      </c>
      <c r="Q24" s="76" t="str">
        <f>IFERROR(IF(AND(s_Irr!P24&lt;&gt;".",s_Irr!AO24&lt;&gt;".",s_Irr!BN24&lt;&gt;"."),s_dir!Q24/((1/1000)*(s_Irr!P24+s_Irr!AO24+s_Irr!BN24)),IF(AND(s_Irr!P24&lt;&gt;".",s_Irr!AO24&lt;&gt;".",s_Irr!BN24="."),s_dir!Q24/((1/1000)*(s_Irr!P24+s_Irr!AO24)),IF(AND(s_Irr!P24&lt;&gt;".",s_Irr!AO24=".",s_Irr!BN24&lt;&gt;"."),s_dir!Q24/((1/1000)*(s_Irr!P24+s_Irr!BN24)),IF(AND(s_Irr!P24=".",s_Irr!AO24&lt;&gt;".",s_Irr!BN24&lt;&gt;"."),s_dir!Q24/((1/1000)*(s_Irr!AO24+s_Irr!BN24)),IF(AND(s_Irr!P24=".",s_Irr!AO24=".",s_Irr!BN24&lt;&gt;"."),s_dir!Q24/((1/1000)*(s_Irr!BN24)),IF(AND(s_Irr!P24=".",s_Irr!AO24&lt;&gt;".",s_Irr!BN24="."),s_dir!Q24/((1/1000)*(s_Irr!AO24)),IF(AND(s_Irr!P24&lt;&gt;".",s_Irr!AO24=".",s_Irr!BN24="."),s_dir!Q24/((1/1000)*(s_Irr!P24)),IF(AND(s_Irr!P24=".",s_Irr!AO24=".",s_Irr!BN24="."),s_dir!Q24*1000)))))))),".")</f>
        <v>.</v>
      </c>
      <c r="R24" s="76" t="str">
        <f>IFERROR(IF(AND(s_Irr!Q24&lt;&gt;".",s_Irr!AP24&lt;&gt;".",s_Irr!BO24&lt;&gt;"."),s_dir!R24/((1/1000)*(s_Irr!Q24+s_Irr!AP24+s_Irr!BO24)),IF(AND(s_Irr!Q24&lt;&gt;".",s_Irr!AP24&lt;&gt;".",s_Irr!BO24="."),s_dir!R24/((1/1000)*(s_Irr!Q24+s_Irr!AP24)),IF(AND(s_Irr!Q24&lt;&gt;".",s_Irr!AP24=".",s_Irr!BO24&lt;&gt;"."),s_dir!R24/((1/1000)*(s_Irr!Q24+s_Irr!BO24)),IF(AND(s_Irr!Q24=".",s_Irr!AP24&lt;&gt;".",s_Irr!BO24&lt;&gt;"."),s_dir!R24/((1/1000)*(s_Irr!AP24+s_Irr!BO24)),IF(AND(s_Irr!Q24=".",s_Irr!AP24=".",s_Irr!BO24&lt;&gt;"."),s_dir!R24/((1/1000)*(s_Irr!BO24)),IF(AND(s_Irr!Q24=".",s_Irr!AP24&lt;&gt;".",s_Irr!BO24="."),s_dir!R24/((1/1000)*(s_Irr!AP24)),IF(AND(s_Irr!Q24&lt;&gt;".",s_Irr!AP24=".",s_Irr!BO24="."),s_dir!R24/((1/1000)*(s_Irr!Q24)),IF(AND(s_Irr!Q24=".",s_Irr!AP24=".",s_Irr!BO24="."),s_dir!R24*1000)))))))),".")</f>
        <v>.</v>
      </c>
      <c r="S24" s="76" t="str">
        <f>IFERROR(IF(AND(s_Irr!R24&lt;&gt;".",s_Irr!AQ24&lt;&gt;".",s_Irr!BP24&lt;&gt;"."),s_dir!S24/((1/1000)*(s_Irr!R24+s_Irr!AQ24+s_Irr!BP24)),IF(AND(s_Irr!R24&lt;&gt;".",s_Irr!AQ24&lt;&gt;".",s_Irr!BP24="."),s_dir!S24/((1/1000)*(s_Irr!R24+s_Irr!AQ24)),IF(AND(s_Irr!R24&lt;&gt;".",s_Irr!AQ24=".",s_Irr!BP24&lt;&gt;"."),s_dir!S24/((1/1000)*(s_Irr!R24+s_Irr!BP24)),IF(AND(s_Irr!R24=".",s_Irr!AQ24&lt;&gt;".",s_Irr!BP24&lt;&gt;"."),s_dir!S24/((1/1000)*(s_Irr!AQ24+s_Irr!BP24)),IF(AND(s_Irr!R24=".",s_Irr!AQ24=".",s_Irr!BP24&lt;&gt;"."),s_dir!S24/((1/1000)*(s_Irr!BP24)),IF(AND(s_Irr!R24=".",s_Irr!AQ24&lt;&gt;".",s_Irr!BP24="."),s_dir!S24/((1/1000)*(s_Irr!AQ24)),IF(AND(s_Irr!R24&lt;&gt;".",s_Irr!AQ24=".",s_Irr!BP24="."),s_dir!S24/((1/1000)*(s_Irr!R24)),IF(AND(s_Irr!R24=".",s_Irr!AQ24=".",s_Irr!BP24="."),s_dir!S24*1000)))))))),".")</f>
        <v>.</v>
      </c>
      <c r="T24" s="76" t="str">
        <f>IFERROR(IF(AND(s_Irr!S24&lt;&gt;".",s_Irr!AR24&lt;&gt;".",s_Irr!BQ24&lt;&gt;"."),s_dir!T24/((1/1000)*(s_Irr!S24+s_Irr!AR24+s_Irr!BQ24)),IF(AND(s_Irr!S24&lt;&gt;".",s_Irr!AR24&lt;&gt;".",s_Irr!BQ24="."),s_dir!T24/((1/1000)*(s_Irr!S24+s_Irr!AR24)),IF(AND(s_Irr!S24&lt;&gt;".",s_Irr!AR24=".",s_Irr!BQ24&lt;&gt;"."),s_dir!T24/((1/1000)*(s_Irr!S24+s_Irr!BQ24)),IF(AND(s_Irr!S24=".",s_Irr!AR24&lt;&gt;".",s_Irr!BQ24&lt;&gt;"."),s_dir!T24/((1/1000)*(s_Irr!AR24+s_Irr!BQ24)),IF(AND(s_Irr!S24=".",s_Irr!AR24=".",s_Irr!BQ24&lt;&gt;"."),s_dir!T24/((1/1000)*(s_Irr!BQ24)),IF(AND(s_Irr!S24=".",s_Irr!AR24&lt;&gt;".",s_Irr!BQ24="."),s_dir!T24/((1/1000)*(s_Irr!AR24)),IF(AND(s_Irr!S24&lt;&gt;".",s_Irr!AR24=".",s_Irr!BQ24="."),s_dir!T24/((1/1000)*(s_Irr!S24)),IF(AND(s_Irr!S24=".",s_Irr!AR24=".",s_Irr!BQ24="."),s_dir!T24*1000)))))))),".")</f>
        <v>.</v>
      </c>
      <c r="U24" s="76" t="str">
        <f>IFERROR(IF(AND(s_Irr!T24&lt;&gt;".",s_Irr!AS24&lt;&gt;".",s_Irr!BR24&lt;&gt;"."),s_dir!U24/((1/1000)*(s_Irr!T24+s_Irr!AS24+s_Irr!BR24)),IF(AND(s_Irr!T24&lt;&gt;".",s_Irr!AS24&lt;&gt;".",s_Irr!BR24="."),s_dir!U24/((1/1000)*(s_Irr!T24+s_Irr!AS24)),IF(AND(s_Irr!T24&lt;&gt;".",s_Irr!AS24=".",s_Irr!BR24&lt;&gt;"."),s_dir!U24/((1/1000)*(s_Irr!T24+s_Irr!BR24)),IF(AND(s_Irr!T24=".",s_Irr!AS24&lt;&gt;".",s_Irr!BR24&lt;&gt;"."),s_dir!U24/((1/1000)*(s_Irr!AS24+s_Irr!BR24)),IF(AND(s_Irr!T24=".",s_Irr!AS24=".",s_Irr!BR24&lt;&gt;"."),s_dir!U24/((1/1000)*(s_Irr!BR24)),IF(AND(s_Irr!T24=".",s_Irr!AS24&lt;&gt;".",s_Irr!BR24="."),s_dir!U24/((1/1000)*(s_Irr!AS24)),IF(AND(s_Irr!T24&lt;&gt;".",s_Irr!AS24=".",s_Irr!BR24="."),s_dir!U24/((1/1000)*(s_Irr!T24)),IF(AND(s_Irr!T24=".",s_Irr!AS24=".",s_Irr!BR24="."),s_dir!U24*1000)))))))),".")</f>
        <v>.</v>
      </c>
      <c r="V24" s="76" t="str">
        <f>IFERROR(IF(AND(s_Irr!U24&lt;&gt;".",s_Irr!AT24&lt;&gt;".",s_Irr!BS24&lt;&gt;"."),s_dir!V24/((1/1000)*(s_Irr!U24+s_Irr!AT24+s_Irr!BS24)),IF(AND(s_Irr!U24&lt;&gt;".",s_Irr!AT24&lt;&gt;".",s_Irr!BS24="."),s_dir!V24/((1/1000)*(s_Irr!U24+s_Irr!AT24)),IF(AND(s_Irr!U24&lt;&gt;".",s_Irr!AT24=".",s_Irr!BS24&lt;&gt;"."),s_dir!V24/((1/1000)*(s_Irr!U24+s_Irr!BS24)),IF(AND(s_Irr!U24=".",s_Irr!AT24&lt;&gt;".",s_Irr!BS24&lt;&gt;"."),s_dir!V24/((1/1000)*(s_Irr!AT24+s_Irr!BS24)),IF(AND(s_Irr!U24=".",s_Irr!AT24=".",s_Irr!BS24&lt;&gt;"."),s_dir!V24/((1/1000)*(s_Irr!BS24)),IF(AND(s_Irr!U24=".",s_Irr!AT24&lt;&gt;".",s_Irr!BS24="."),s_dir!V24/((1/1000)*(s_Irr!AT24)),IF(AND(s_Irr!U24&lt;&gt;".",s_Irr!AT24=".",s_Irr!BS24="."),s_dir!V24/((1/1000)*(s_Irr!U24)),IF(AND(s_Irr!U24=".",s_Irr!AT24=".",s_Irr!BS24="."),s_dir!V24*1000)))))))),".")</f>
        <v>.</v>
      </c>
      <c r="W24" s="76" t="str">
        <f>IFERROR(IF(AND(s_Irr!V24&lt;&gt;".",s_Irr!AU24&lt;&gt;".",s_Irr!BT24&lt;&gt;"."),s_dir!W24/((1/1000)*(s_Irr!V24+s_Irr!AU24+s_Irr!BT24)),IF(AND(s_Irr!V24&lt;&gt;".",s_Irr!AU24&lt;&gt;".",s_Irr!BT24="."),s_dir!W24/((1/1000)*(s_Irr!V24+s_Irr!AU24)),IF(AND(s_Irr!V24&lt;&gt;".",s_Irr!AU24=".",s_Irr!BT24&lt;&gt;"."),s_dir!W24/((1/1000)*(s_Irr!V24+s_Irr!BT24)),IF(AND(s_Irr!V24=".",s_Irr!AU24&lt;&gt;".",s_Irr!BT24&lt;&gt;"."),s_dir!W24/((1/1000)*(s_Irr!AU24+s_Irr!BT24)),IF(AND(s_Irr!V24=".",s_Irr!AU24=".",s_Irr!BT24&lt;&gt;"."),s_dir!W24/((1/1000)*(s_Irr!BT24)),IF(AND(s_Irr!V24=".",s_Irr!AU24&lt;&gt;".",s_Irr!BT24="."),s_dir!W24/((1/1000)*(s_Irr!AU24)),IF(AND(s_Irr!V24&lt;&gt;".",s_Irr!AU24=".",s_Irr!BT24="."),s_dir!W24/((1/1000)*(s_Irr!V24)),IF(AND(s_Irr!V24=".",s_Irr!AU24=".",s_Irr!BT24="."),s_dir!W24*1000)))))))),".")</f>
        <v>.</v>
      </c>
      <c r="X24" s="76" t="str">
        <f>IFERROR(IF(AND(s_Irr!W24&lt;&gt;".",s_Irr!AV24&lt;&gt;".",s_Irr!BU24&lt;&gt;"."),s_dir!X24/((1/1000)*(s_Irr!W24+s_Irr!AV24+s_Irr!BU24)),IF(AND(s_Irr!W24&lt;&gt;".",s_Irr!AV24&lt;&gt;".",s_Irr!BU24="."),s_dir!X24/((1/1000)*(s_Irr!W24+s_Irr!AV24)),IF(AND(s_Irr!W24&lt;&gt;".",s_Irr!AV24=".",s_Irr!BU24&lt;&gt;"."),s_dir!X24/((1/1000)*(s_Irr!W24+s_Irr!BU24)),IF(AND(s_Irr!W24=".",s_Irr!AV24&lt;&gt;".",s_Irr!BU24&lt;&gt;"."),s_dir!X24/((1/1000)*(s_Irr!AV24+s_Irr!BU24)),IF(AND(s_Irr!W24=".",s_Irr!AV24=".",s_Irr!BU24&lt;&gt;"."),s_dir!X24/((1/1000)*(s_Irr!BU24)),IF(AND(s_Irr!W24=".",s_Irr!AV24&lt;&gt;".",s_Irr!BU24="."),s_dir!X24/((1/1000)*(s_Irr!AV24)),IF(AND(s_Irr!W24&lt;&gt;".",s_Irr!AV24=".",s_Irr!BU24="."),s_dir!X24/((1/1000)*(s_Irr!W24)),IF(AND(s_Irr!W24=".",s_Irr!AV24=".",s_Irr!BU24="."),s_dir!X24*1000)))))))),".")</f>
        <v>.</v>
      </c>
      <c r="Y24" s="76" t="str">
        <f>IFERROR(IF(AND(s_Irr!X24&lt;&gt;".",s_Irr!AW24&lt;&gt;".",s_Irr!BV24&lt;&gt;"."),s_dir!Y24/((1/1000)*(s_Irr!X24+s_Irr!AW24+s_Irr!BV24)),IF(AND(s_Irr!X24&lt;&gt;".",s_Irr!AW24&lt;&gt;".",s_Irr!BV24="."),s_dir!Y24/((1/1000)*(s_Irr!X24+s_Irr!AW24)),IF(AND(s_Irr!X24&lt;&gt;".",s_Irr!AW24=".",s_Irr!BV24&lt;&gt;"."),s_dir!Y24/((1/1000)*(s_Irr!X24+s_Irr!BV24)),IF(AND(s_Irr!X24=".",s_Irr!AW24&lt;&gt;".",s_Irr!BV24&lt;&gt;"."),s_dir!Y24/((1/1000)*(s_Irr!AW24+s_Irr!BV24)),IF(AND(s_Irr!X24=".",s_Irr!AW24=".",s_Irr!BV24&lt;&gt;"."),s_dir!Y24/((1/1000)*(s_Irr!BV24)),IF(AND(s_Irr!X24=".",s_Irr!AW24&lt;&gt;".",s_Irr!BV24="."),s_dir!Y24/((1/1000)*(s_Irr!AW24)),IF(AND(s_Irr!X24&lt;&gt;".",s_Irr!AW24=".",s_Irr!BV24="."),s_dir!Y24/((1/1000)*(s_Irr!X24)),IF(AND(s_Irr!X24=".",s_Irr!AW24=".",s_Irr!BV24="."),s_dir!Y24*1000)))))))),".")</f>
        <v>.</v>
      </c>
      <c r="Z24" s="76" t="str">
        <f>IFERROR(IF(AND(s_Irr!Y24&lt;&gt;".",s_Irr!AX24&lt;&gt;".",s_Irr!BW24&lt;&gt;"."),s_dir!Z24/((1/1000)*(s_Irr!Y24+s_Irr!AX24+s_Irr!BW24)),IF(AND(s_Irr!Y24&lt;&gt;".",s_Irr!AX24&lt;&gt;".",s_Irr!BW24="."),s_dir!Z24/((1/1000)*(s_Irr!Y24+s_Irr!AX24)),IF(AND(s_Irr!Y24&lt;&gt;".",s_Irr!AX24=".",s_Irr!BW24&lt;&gt;"."),s_dir!Z24/((1/1000)*(s_Irr!Y24+s_Irr!BW24)),IF(AND(s_Irr!Y24=".",s_Irr!AX24&lt;&gt;".",s_Irr!BW24&lt;&gt;"."),s_dir!Z24/((1/1000)*(s_Irr!AX24+s_Irr!BW24)),IF(AND(s_Irr!Y24=".",s_Irr!AX24=".",s_Irr!BW24&lt;&gt;"."),s_dir!Z24/((1/1000)*(s_Irr!BW24)),IF(AND(s_Irr!Y24=".",s_Irr!AX24&lt;&gt;".",s_Irr!BW24="."),s_dir!Z24/((1/1000)*(s_Irr!AX24)),IF(AND(s_Irr!Y24&lt;&gt;".",s_Irr!AX24=".",s_Irr!BW24="."),s_dir!Z24/((1/1000)*(s_Irr!Y24)),IF(AND(s_Irr!Y24=".",s_Irr!AX24=".",s_Irr!BW24="."),s_dir!Z24*1000)))))))),".")</f>
        <v>.</v>
      </c>
      <c r="AA24" s="76" t="str">
        <f>IFERROR(IF(AND(s_Irr!Z24&lt;&gt;".",s_Irr!AY24&lt;&gt;".",s_Irr!BX24&lt;&gt;"."),s_dir!AA24/((1/1000)*(s_Irr!Z24+s_Irr!AY24+s_Irr!BX24)),IF(AND(s_Irr!Z24&lt;&gt;".",s_Irr!AY24&lt;&gt;".",s_Irr!BX24="."),s_dir!AA24/((1/1000)*(s_Irr!Z24+s_Irr!AY24)),IF(AND(s_Irr!Z24&lt;&gt;".",s_Irr!AY24=".",s_Irr!BX24&lt;&gt;"."),s_dir!AA24/((1/1000)*(s_Irr!Z24+s_Irr!BX24)),IF(AND(s_Irr!Z24=".",s_Irr!AY24&lt;&gt;".",s_Irr!BX24&lt;&gt;"."),s_dir!AA24/((1/1000)*(s_Irr!AY24+s_Irr!BX24)),IF(AND(s_Irr!Z24=".",s_Irr!AY24=".",s_Irr!BX24&lt;&gt;"."),s_dir!AA24/((1/1000)*(s_Irr!BX24)),IF(AND(s_Irr!Z24=".",s_Irr!AY24&lt;&gt;".",s_Irr!BX24="."),s_dir!AA24/((1/1000)*(s_Irr!AY24)),IF(AND(s_Irr!Z24&lt;&gt;".",s_Irr!AY24=".",s_Irr!BX24="."),s_dir!AA24/((1/1000)*(s_Irr!Z24)),IF(AND(s_Irr!Z24=".",s_Irr!AY24=".",s_Irr!BX24="."),s_dir!AA24*1000)))))))),".")</f>
        <v>.</v>
      </c>
      <c r="AB24" s="76" t="str">
        <f>IFERROR(IF(AND(s_Irr!AA24&lt;&gt;".",s_Irr!AZ24&lt;&gt;".",s_Irr!BY24&lt;&gt;"."),s_dir!AB24/((1/1000)*(s_Irr!AA24+s_Irr!AZ24+s_Irr!BY24)),IF(AND(s_Irr!AA24&lt;&gt;".",s_Irr!AZ24&lt;&gt;".",s_Irr!BY24="."),s_dir!AB24/((1/1000)*(s_Irr!AA24+s_Irr!AZ24)),IF(AND(s_Irr!AA24&lt;&gt;".",s_Irr!AZ24=".",s_Irr!BY24&lt;&gt;"."),s_dir!AB24/((1/1000)*(s_Irr!AA24+s_Irr!BY24)),IF(AND(s_Irr!AA24=".",s_Irr!AZ24&lt;&gt;".",s_Irr!BY24&lt;&gt;"."),s_dir!AB24/((1/1000)*(s_Irr!AZ24+s_Irr!BY24)),IF(AND(s_Irr!AA24=".",s_Irr!AZ24=".",s_Irr!BY24&lt;&gt;"."),s_dir!AB24/((1/1000)*(s_Irr!BY24)),IF(AND(s_Irr!AA24=".",s_Irr!AZ24&lt;&gt;".",s_Irr!BY24="."),s_dir!AB24/((1/1000)*(s_Irr!AZ24)),IF(AND(s_Irr!AA24&lt;&gt;".",s_Irr!AZ24=".",s_Irr!BY24="."),s_dir!AB24/((1/1000)*(s_Irr!AA24)),IF(AND(s_Irr!AA24=".",s_Irr!AZ24=".",s_Irr!BY24="."),s_dir!AB24*1000)))))))),".")</f>
        <v>.</v>
      </c>
      <c r="AC24" s="93">
        <f>SUM(AD24,AU24,BA24:BB24)</f>
        <v>0</v>
      </c>
      <c r="AD24" s="93">
        <f>IFERROR(s_C*s_IFAP_res_adj*s_CF_apple*0.001*(s_Irr!C24+s_Irr!AB24+s_Irr!BA24),".")</f>
        <v>0</v>
      </c>
      <c r="AE24" s="93">
        <f>IFERROR(s_C*s_IFAS_res_adj*s_CF_asparagus*0.001*(s_Irr!D24+s_Irr!AC24+s_Irr!BB24),".")</f>
        <v>0</v>
      </c>
      <c r="AF24" s="93">
        <f>IFERROR(s_C*s_IFBT_res_adj*s_CF_beet*0.001*(s_Irr!E24+s_Irr!AD24+s_Irr!BC24),".")</f>
        <v>0</v>
      </c>
      <c r="AG24" s="93">
        <f>IFERROR(s_C*s_IFBE_res_adj*s_CF_berries*0.001*(s_Irr!F24+s_Irr!AE24+s_Irr!BD24),".")</f>
        <v>0</v>
      </c>
      <c r="AH24" s="93">
        <f>IFERROR(s_C*s_IFBR_res_adj*s_CF_broccoli*0.001*(s_Irr!G24+s_Irr!AF24+s_Irr!BE24),".")</f>
        <v>0</v>
      </c>
      <c r="AI24" s="93">
        <f>IFERROR(s_C*s_IFCB_res_adj*s_CF_cabbage*0.001*(s_Irr!H24+s_Irr!AG24+s_Irr!BF24),".")</f>
        <v>0</v>
      </c>
      <c r="AJ24" s="93">
        <f>IFERROR(s_C*s_IFCR_res_adj*s_CF_carrot*0.001*(s_Irr!I24+s_Irr!AH24+s_Irr!BG24),".")</f>
        <v>0</v>
      </c>
      <c r="AK24" s="93">
        <f>IFERROR(s_C*s_IFCI_res_adj*s_CF_citrus*0.001*(s_Irr!J24+s_Irr!AI24+s_Irr!BH24),".")</f>
        <v>0</v>
      </c>
      <c r="AL24" s="93">
        <f>IFERROR(s_C*s_IFCO_res_adj*s_CF_corn*0.001*(s_Irr!K24+s_Irr!AJ24+s_Irr!BI24),".")</f>
        <v>0</v>
      </c>
      <c r="AM24" s="93">
        <f>IFERROR(s_C*s_IFCU_res_adj*s_CF_cucumber*0.001*(s_Irr!L24+s_Irr!AK24+s_Irr!BJ24),".")</f>
        <v>0</v>
      </c>
      <c r="AN24" s="93">
        <f>IFERROR(s_C*s_IFLE_res_adj*s_CF_lettuce*0.001*(s_Irr!M24+s_Irr!AL24+s_Irr!BK24),".")</f>
        <v>0</v>
      </c>
      <c r="AO24" s="93">
        <f>IFERROR(s_C*s_IFLI_res_adj*s_CF_lima_bean*0.001*(s_Irr!N24+s_Irr!AM24+s_Irr!BL24),".")</f>
        <v>0</v>
      </c>
      <c r="AP24" s="93">
        <f>IFERROR(s_C*s_IFOK_res_adj*s_CF_okra*0.001*(s_Irr!O24+s_Irr!AN24+s_Irr!BM24),".")</f>
        <v>0</v>
      </c>
      <c r="AQ24" s="93">
        <f>IFERROR(s_C*s_IFON_res_adj*s_CF_onion*0.001*(s_Irr!P24+s_Irr!AO24+s_Irr!BN24),".")</f>
        <v>0</v>
      </c>
      <c r="AR24" s="93">
        <f>IFERROR(s_C*s_IFPC_res_adj*s_CF_peach*0.001*(s_Irr!Q24+s_Irr!AP24+s_Irr!BO24),".")</f>
        <v>0</v>
      </c>
      <c r="AS24" s="93">
        <f>IFERROR(s_C*s_IFPR_res_adj*s_CF_pear*0.001*(s_Irr!R24+s_Irr!AQ24+s_Irr!BP24),".")</f>
        <v>0</v>
      </c>
      <c r="AT24" s="93">
        <f>IFERROR(s_C*s_IFPE_res_adj*s_CF_peas*0.001*(s_Irr!S24+s_Irr!AR24+s_Irr!BQ24),".")</f>
        <v>0</v>
      </c>
      <c r="AU24" s="93">
        <f>IFERROR(s_C*s_IFPP_res_adj*s_CF_peppers*0.001*(s_Irr!T24+s_Irr!AS24+s_Irr!BR24),".")</f>
        <v>0</v>
      </c>
      <c r="AV24" s="93">
        <f>IFERROR(s_C*s_IFPT_res_adj*s_CF_potato*0.001*(s_Irr!U24+s_Irr!AT24+s_Irr!BS24),".")</f>
        <v>0</v>
      </c>
      <c r="AW24" s="93">
        <f>IFERROR(s_C*s_IFPU_res_adj*s_CF_pumpkin*0.001*(s_Irr!V24+s_Irr!AU24+s_Irr!BT24),".")</f>
        <v>0</v>
      </c>
      <c r="AX24" s="93">
        <f>IFERROR(s_C*s_IFSN_res_adj*s_CF_snap_bean*0.001*(s_Irr!W24+s_Irr!AV24+s_Irr!BU24),".")</f>
        <v>0</v>
      </c>
      <c r="AY24" s="93">
        <f>IFERROR(s_C*s_IFST_res_adj*s_CF_strawberry*0.001*(s_Irr!X24+s_Irr!AW24+s_Irr!BV24),".")</f>
        <v>0</v>
      </c>
      <c r="AZ24" s="93">
        <f>IFERROR(s_C*s_IFTO_res_adj*s_CF_tomato*0.001*(s_Irr!Y24+s_Irr!AX24+s_Irr!BW24),".")</f>
        <v>0</v>
      </c>
      <c r="BA24" s="93">
        <f>IFERROR(s_C*s_IFRI_res_adj*s_CF_rice*0.001*(s_Irr!Z24+s_Irr!AY24+s_Irr!BX24),".")</f>
        <v>0</v>
      </c>
      <c r="BB24" s="93">
        <f>IFERROR(s_C*s_IFCG_res_adj*s_CF_cereal*0.001*(s_Irr!AA24+s_Irr!AZ24+s_Irr!BY24),".")</f>
        <v>0</v>
      </c>
      <c r="BC24" s="76" t="str">
        <f t="shared" si="1"/>
        <v>.</v>
      </c>
      <c r="BD24" s="76" t="str">
        <f>IFERROR(IF(AND(s_Irr!C24&lt;&gt;".",s_Irr!AB24&lt;&gt;".",s_Irr!BA24&lt;&gt;"."),s_dir!AD24/((1/1000)*(s_Irr!C24+s_Irr!AB24+s_Irr!BA24)),IF(AND(s_Irr!C24&lt;&gt;".",s_Irr!AB24&lt;&gt;".",s_Irr!BA24="."),s_dir!AD24/((1/1000)*(s_Irr!C24+s_Irr!AB24)),IF(AND(s_Irr!C24&lt;&gt;".",s_Irr!AB24=".",s_Irr!BA24&lt;&gt;"."),s_dir!AD24/((1/1000)*(s_Irr!C24+s_Irr!BA24)),IF(AND(s_Irr!C24=".",s_Irr!AB24&lt;&gt;".",s_Irr!BA24&lt;&gt;"."),s_dir!AD24/((1/1000)*(s_Irr!AB24+s_Irr!BA24)),IF(AND(s_Irr!C24=".",s_Irr!AB24=".",s_Irr!BA24&lt;&gt;"."),s_dir!AD24/((1/1000)*(s_Irr!BA24)),IF(AND(s_Irr!C24=".",s_Irr!AB24&lt;&gt;".",s_Irr!BA24="."),s_dir!AD24/((1/1000)*(s_Irr!AB24)),IF(AND(s_Irr!C24&lt;&gt;".",s_Irr!AB24=".",s_Irr!BA24="."),s_dir!AD24/((1/1000)*(s_Irr!C24)),IF(AND(s_Irr!C24=".",s_Irr!AB24=".",s_Irr!BA24="."),s_dir!AD24*1000)))))))),".")</f>
        <v>.</v>
      </c>
      <c r="BE24" s="76" t="str">
        <f>IFERROR(IF(AND(s_Irr!D24&lt;&gt;".",s_Irr!AC24&lt;&gt;".",s_Irr!BB24&lt;&gt;"."),s_dir!AE24/((1/1000)*(s_Irr!D24+s_Irr!AC24+s_Irr!BB24)),IF(AND(s_Irr!D24&lt;&gt;".",s_Irr!AC24&lt;&gt;".",s_Irr!BB24="."),s_dir!AE24/((1/1000)*(s_Irr!D24+s_Irr!AC24)),IF(AND(s_Irr!D24&lt;&gt;".",s_Irr!AC24=".",s_Irr!BB24&lt;&gt;"."),s_dir!AE24/((1/1000)*(s_Irr!D24+s_Irr!BB24)),IF(AND(s_Irr!D24=".",s_Irr!AC24&lt;&gt;".",s_Irr!BB24&lt;&gt;"."),s_dir!AE24/((1/1000)*(s_Irr!AC24+s_Irr!BB24)),IF(AND(s_Irr!D24=".",s_Irr!AC24=".",s_Irr!BB24&lt;&gt;"."),s_dir!AE24/((1/1000)*(s_Irr!BB24)),IF(AND(s_Irr!D24=".",s_Irr!AC24&lt;&gt;".",s_Irr!BB24="."),s_dir!AE24/((1/1000)*(s_Irr!AC24)),IF(AND(s_Irr!D24&lt;&gt;".",s_Irr!AC24=".",s_Irr!BB24="."),s_dir!AE24/((1/1000)*(s_Irr!D24)),IF(AND(s_Irr!D24=".",s_Irr!AC24=".",s_Irr!BB24="."),s_dir!AE24*1000)))))))),".")</f>
        <v>.</v>
      </c>
      <c r="BF24" s="76" t="str">
        <f>IFERROR(IF(AND(s_Irr!E24&lt;&gt;".",s_Irr!AD24&lt;&gt;".",s_Irr!BC24&lt;&gt;"."),s_dir!AF24/((1/1000)*(s_Irr!E24+s_Irr!AD24+s_Irr!BC24)),IF(AND(s_Irr!E24&lt;&gt;".",s_Irr!AD24&lt;&gt;".",s_Irr!BC24="."),s_dir!AF24/((1/1000)*(s_Irr!E24+s_Irr!AD24)),IF(AND(s_Irr!E24&lt;&gt;".",s_Irr!AD24=".",s_Irr!BC24&lt;&gt;"."),s_dir!AF24/((1/1000)*(s_Irr!E24+s_Irr!BC24)),IF(AND(s_Irr!E24=".",s_Irr!AD24&lt;&gt;".",s_Irr!BC24&lt;&gt;"."),s_dir!AF24/((1/1000)*(s_Irr!AD24+s_Irr!BC24)),IF(AND(s_Irr!E24=".",s_Irr!AD24=".",s_Irr!BC24&lt;&gt;"."),s_dir!AF24/((1/1000)*(s_Irr!BC24)),IF(AND(s_Irr!E24=".",s_Irr!AD24&lt;&gt;".",s_Irr!BC24="."),s_dir!AF24/((1/1000)*(s_Irr!AD24)),IF(AND(s_Irr!E24&lt;&gt;".",s_Irr!AD24=".",s_Irr!BC24="."),s_dir!AF24/((1/1000)*(s_Irr!E24)),IF(AND(s_Irr!E24=".",s_Irr!AD24=".",s_Irr!BC24="."),s_dir!AF24*1000)))))))),".")</f>
        <v>.</v>
      </c>
      <c r="BG24" s="76" t="str">
        <f>IFERROR(IF(AND(s_Irr!F24&lt;&gt;".",s_Irr!AE24&lt;&gt;".",s_Irr!BD24&lt;&gt;"."),s_dir!AG24/((1/1000)*(s_Irr!F24+s_Irr!AE24+s_Irr!BD24)),IF(AND(s_Irr!F24&lt;&gt;".",s_Irr!AE24&lt;&gt;".",s_Irr!BD24="."),s_dir!AG24/((1/1000)*(s_Irr!F24+s_Irr!AE24)),IF(AND(s_Irr!F24&lt;&gt;".",s_Irr!AE24=".",s_Irr!BD24&lt;&gt;"."),s_dir!AG24/((1/1000)*(s_Irr!F24+s_Irr!BD24)),IF(AND(s_Irr!F24=".",s_Irr!AE24&lt;&gt;".",s_Irr!BD24&lt;&gt;"."),s_dir!AG24/((1/1000)*(s_Irr!AE24+s_Irr!BD24)),IF(AND(s_Irr!F24=".",s_Irr!AE24=".",s_Irr!BD24&lt;&gt;"."),s_dir!AG24/((1/1000)*(s_Irr!BD24)),IF(AND(s_Irr!F24=".",s_Irr!AE24&lt;&gt;".",s_Irr!BD24="."),s_dir!AG24/((1/1000)*(s_Irr!AE24)),IF(AND(s_Irr!F24&lt;&gt;".",s_Irr!AE24=".",s_Irr!BD24="."),s_dir!AG24/((1/1000)*(s_Irr!F24)),IF(AND(s_Irr!F24=".",s_Irr!AE24=".",s_Irr!BD24="."),s_dir!AG24*1000)))))))),".")</f>
        <v>.</v>
      </c>
      <c r="BH24" s="76" t="str">
        <f>IFERROR(IF(AND(s_Irr!G24&lt;&gt;".",s_Irr!AF24&lt;&gt;".",s_Irr!BE24&lt;&gt;"."),s_dir!AH24/((1/1000)*(s_Irr!G24+s_Irr!AF24+s_Irr!BE24)),IF(AND(s_Irr!G24&lt;&gt;".",s_Irr!AF24&lt;&gt;".",s_Irr!BE24="."),s_dir!AH24/((1/1000)*(s_Irr!G24+s_Irr!AF24)),IF(AND(s_Irr!G24&lt;&gt;".",s_Irr!AF24=".",s_Irr!BE24&lt;&gt;"."),s_dir!AH24/((1/1000)*(s_Irr!G24+s_Irr!BE24)),IF(AND(s_Irr!G24=".",s_Irr!AF24&lt;&gt;".",s_Irr!BE24&lt;&gt;"."),s_dir!AH24/((1/1000)*(s_Irr!AF24+s_Irr!BE24)),IF(AND(s_Irr!G24=".",s_Irr!AF24=".",s_Irr!BE24&lt;&gt;"."),s_dir!AH24/((1/1000)*(s_Irr!BE24)),IF(AND(s_Irr!G24=".",s_Irr!AF24&lt;&gt;".",s_Irr!BE24="."),s_dir!AH24/((1/1000)*(s_Irr!AF24)),IF(AND(s_Irr!G24&lt;&gt;".",s_Irr!AF24=".",s_Irr!BE24="."),s_dir!AH24/((1/1000)*(s_Irr!G24)),IF(AND(s_Irr!G24=".",s_Irr!AF24=".",s_Irr!BE24="."),s_dir!AH24*1000)))))))),".")</f>
        <v>.</v>
      </c>
      <c r="BI24" s="76" t="str">
        <f>IFERROR(IF(AND(s_Irr!H24&lt;&gt;".",s_Irr!AG24&lt;&gt;".",s_Irr!BF24&lt;&gt;"."),s_dir!AI24/((1/1000)*(s_Irr!H24+s_Irr!AG24+s_Irr!BF24)),IF(AND(s_Irr!H24&lt;&gt;".",s_Irr!AG24&lt;&gt;".",s_Irr!BF24="."),s_dir!AI24/((1/1000)*(s_Irr!H24+s_Irr!AG24)),IF(AND(s_Irr!H24&lt;&gt;".",s_Irr!AG24=".",s_Irr!BF24&lt;&gt;"."),s_dir!AI24/((1/1000)*(s_Irr!H24+s_Irr!BF24)),IF(AND(s_Irr!H24=".",s_Irr!AG24&lt;&gt;".",s_Irr!BF24&lt;&gt;"."),s_dir!AI24/((1/1000)*(s_Irr!AG24+s_Irr!BF24)),IF(AND(s_Irr!H24=".",s_Irr!AG24=".",s_Irr!BF24&lt;&gt;"."),s_dir!AI24/((1/1000)*(s_Irr!BF24)),IF(AND(s_Irr!H24=".",s_Irr!AG24&lt;&gt;".",s_Irr!BF24="."),s_dir!AI24/((1/1000)*(s_Irr!AG24)),IF(AND(s_Irr!H24&lt;&gt;".",s_Irr!AG24=".",s_Irr!BF24="."),s_dir!AI24/((1/1000)*(s_Irr!H24)),IF(AND(s_Irr!H24=".",s_Irr!AG24=".",s_Irr!BF24="."),s_dir!AI24*1000)))))))),".")</f>
        <v>.</v>
      </c>
      <c r="BJ24" s="76" t="str">
        <f>IFERROR(IF(AND(s_Irr!I24&lt;&gt;".",s_Irr!AH24&lt;&gt;".",s_Irr!BG24&lt;&gt;"."),s_dir!AJ24/((1/1000)*(s_Irr!I24+s_Irr!AH24+s_Irr!BG24)),IF(AND(s_Irr!I24&lt;&gt;".",s_Irr!AH24&lt;&gt;".",s_Irr!BG24="."),s_dir!AJ24/((1/1000)*(s_Irr!I24+s_Irr!AH24)),IF(AND(s_Irr!I24&lt;&gt;".",s_Irr!AH24=".",s_Irr!BG24&lt;&gt;"."),s_dir!AJ24/((1/1000)*(s_Irr!I24+s_Irr!BG24)),IF(AND(s_Irr!I24=".",s_Irr!AH24&lt;&gt;".",s_Irr!BG24&lt;&gt;"."),s_dir!AJ24/((1/1000)*(s_Irr!AH24+s_Irr!BG24)),IF(AND(s_Irr!I24=".",s_Irr!AH24=".",s_Irr!BG24&lt;&gt;"."),s_dir!AJ24/((1/1000)*(s_Irr!BG24)),IF(AND(s_Irr!I24=".",s_Irr!AH24&lt;&gt;".",s_Irr!BG24="."),s_dir!AJ24/((1/1000)*(s_Irr!AH24)),IF(AND(s_Irr!I24&lt;&gt;".",s_Irr!AH24=".",s_Irr!BG24="."),s_dir!AJ24/((1/1000)*(s_Irr!I24)),IF(AND(s_Irr!I24=".",s_Irr!AH24=".",s_Irr!BG24="."),s_dir!AJ24*1000)))))))),".")</f>
        <v>.</v>
      </c>
      <c r="BK24" s="76" t="str">
        <f>IFERROR(IF(AND(s_Irr!J24&lt;&gt;".",s_Irr!AI24&lt;&gt;".",s_Irr!BH24&lt;&gt;"."),s_dir!AK24/((1/1000)*(s_Irr!J24+s_Irr!AI24+s_Irr!BH24)),IF(AND(s_Irr!J24&lt;&gt;".",s_Irr!AI24&lt;&gt;".",s_Irr!BH24="."),s_dir!AK24/((1/1000)*(s_Irr!J24+s_Irr!AI24)),IF(AND(s_Irr!J24&lt;&gt;".",s_Irr!AI24=".",s_Irr!BH24&lt;&gt;"."),s_dir!AK24/((1/1000)*(s_Irr!J24+s_Irr!BH24)),IF(AND(s_Irr!J24=".",s_Irr!AI24&lt;&gt;".",s_Irr!BH24&lt;&gt;"."),s_dir!AK24/((1/1000)*(s_Irr!AI24+s_Irr!BH24)),IF(AND(s_Irr!J24=".",s_Irr!AI24=".",s_Irr!BH24&lt;&gt;"."),s_dir!AK24/((1/1000)*(s_Irr!BH24)),IF(AND(s_Irr!J24=".",s_Irr!AI24&lt;&gt;".",s_Irr!BH24="."),s_dir!AK24/((1/1000)*(s_Irr!AI24)),IF(AND(s_Irr!J24&lt;&gt;".",s_Irr!AI24=".",s_Irr!BH24="."),s_dir!AK24/((1/1000)*(s_Irr!J24)),IF(AND(s_Irr!J24=".",s_Irr!AI24=".",s_Irr!BH24="."),s_dir!AK24*1000)))))))),".")</f>
        <v>.</v>
      </c>
      <c r="BL24" s="76" t="str">
        <f>IFERROR(IF(AND(s_Irr!K24&lt;&gt;".",s_Irr!AJ24&lt;&gt;".",s_Irr!BI24&lt;&gt;"."),s_dir!AL24/((1/1000)*(s_Irr!K24+s_Irr!AJ24+s_Irr!BI24)),IF(AND(s_Irr!K24&lt;&gt;".",s_Irr!AJ24&lt;&gt;".",s_Irr!BI24="."),s_dir!AL24/((1/1000)*(s_Irr!K24+s_Irr!AJ24)),IF(AND(s_Irr!K24&lt;&gt;".",s_Irr!AJ24=".",s_Irr!BI24&lt;&gt;"."),s_dir!AL24/((1/1000)*(s_Irr!K24+s_Irr!BI24)),IF(AND(s_Irr!K24=".",s_Irr!AJ24&lt;&gt;".",s_Irr!BI24&lt;&gt;"."),s_dir!AL24/((1/1000)*(s_Irr!AJ24+s_Irr!BI24)),IF(AND(s_Irr!K24=".",s_Irr!AJ24=".",s_Irr!BI24&lt;&gt;"."),s_dir!AL24/((1/1000)*(s_Irr!BI24)),IF(AND(s_Irr!K24=".",s_Irr!AJ24&lt;&gt;".",s_Irr!BI24="."),s_dir!AL24/((1/1000)*(s_Irr!AJ24)),IF(AND(s_Irr!K24&lt;&gt;".",s_Irr!AJ24=".",s_Irr!BI24="."),s_dir!AL24/((1/1000)*(s_Irr!K24)),IF(AND(s_Irr!K24=".",s_Irr!AJ24=".",s_Irr!BI24="."),s_dir!AL24*1000)))))))),".")</f>
        <v>.</v>
      </c>
      <c r="BM24" s="76" t="str">
        <f>IFERROR(IF(AND(s_Irr!L24&lt;&gt;".",s_Irr!AK24&lt;&gt;".",s_Irr!BJ24&lt;&gt;"."),s_dir!AM24/((1/1000)*(s_Irr!L24+s_Irr!AK24+s_Irr!BJ24)),IF(AND(s_Irr!L24&lt;&gt;".",s_Irr!AK24&lt;&gt;".",s_Irr!BJ24="."),s_dir!AM24/((1/1000)*(s_Irr!L24+s_Irr!AK24)),IF(AND(s_Irr!L24&lt;&gt;".",s_Irr!AK24=".",s_Irr!BJ24&lt;&gt;"."),s_dir!AM24/((1/1000)*(s_Irr!L24+s_Irr!BJ24)),IF(AND(s_Irr!L24=".",s_Irr!AK24&lt;&gt;".",s_Irr!BJ24&lt;&gt;"."),s_dir!AM24/((1/1000)*(s_Irr!AK24+s_Irr!BJ24)),IF(AND(s_Irr!L24=".",s_Irr!AK24=".",s_Irr!BJ24&lt;&gt;"."),s_dir!AM24/((1/1000)*(s_Irr!BJ24)),IF(AND(s_Irr!L24=".",s_Irr!AK24&lt;&gt;".",s_Irr!BJ24="."),s_dir!AM24/((1/1000)*(s_Irr!AK24)),IF(AND(s_Irr!L24&lt;&gt;".",s_Irr!AK24=".",s_Irr!BJ24="."),s_dir!AM24/((1/1000)*(s_Irr!L24)),IF(AND(s_Irr!L24=".",s_Irr!AK24=".",s_Irr!BJ24="."),s_dir!AM24*1000)))))))),".")</f>
        <v>.</v>
      </c>
      <c r="BN24" s="76" t="str">
        <f>IFERROR(IF(AND(s_Irr!M24&lt;&gt;".",s_Irr!AL24&lt;&gt;".",s_Irr!BK24&lt;&gt;"."),s_dir!AN24/((1/1000)*(s_Irr!M24+s_Irr!AL24+s_Irr!BK24)),IF(AND(s_Irr!M24&lt;&gt;".",s_Irr!AL24&lt;&gt;".",s_Irr!BK24="."),s_dir!AN24/((1/1000)*(s_Irr!M24+s_Irr!AL24)),IF(AND(s_Irr!M24&lt;&gt;".",s_Irr!AL24=".",s_Irr!BK24&lt;&gt;"."),s_dir!AN24/((1/1000)*(s_Irr!M24+s_Irr!BK24)),IF(AND(s_Irr!M24=".",s_Irr!AL24&lt;&gt;".",s_Irr!BK24&lt;&gt;"."),s_dir!AN24/((1/1000)*(s_Irr!AL24+s_Irr!BK24)),IF(AND(s_Irr!M24=".",s_Irr!AL24=".",s_Irr!BK24&lt;&gt;"."),s_dir!AN24/((1/1000)*(s_Irr!BK24)),IF(AND(s_Irr!M24=".",s_Irr!AL24&lt;&gt;".",s_Irr!BK24="."),s_dir!AN24/((1/1000)*(s_Irr!AL24)),IF(AND(s_Irr!M24&lt;&gt;".",s_Irr!AL24=".",s_Irr!BK24="."),s_dir!AN24/((1/1000)*(s_Irr!M24)),IF(AND(s_Irr!M24=".",s_Irr!AL24=".",s_Irr!BK24="."),s_dir!AN24*1000)))))))),".")</f>
        <v>.</v>
      </c>
      <c r="BO24" s="76" t="str">
        <f>IFERROR(IF(AND(s_Irr!N24&lt;&gt;".",s_Irr!AM24&lt;&gt;".",s_Irr!BL24&lt;&gt;"."),s_dir!AO24/((1/1000)*(s_Irr!N24+s_Irr!AM24+s_Irr!BL24)),IF(AND(s_Irr!N24&lt;&gt;".",s_Irr!AM24&lt;&gt;".",s_Irr!BL24="."),s_dir!AO24/((1/1000)*(s_Irr!N24+s_Irr!AM24)),IF(AND(s_Irr!N24&lt;&gt;".",s_Irr!AM24=".",s_Irr!BL24&lt;&gt;"."),s_dir!AO24/((1/1000)*(s_Irr!N24+s_Irr!BL24)),IF(AND(s_Irr!N24=".",s_Irr!AM24&lt;&gt;".",s_Irr!BL24&lt;&gt;"."),s_dir!AO24/((1/1000)*(s_Irr!AM24+s_Irr!BL24)),IF(AND(s_Irr!N24=".",s_Irr!AM24=".",s_Irr!BL24&lt;&gt;"."),s_dir!AO24/((1/1000)*(s_Irr!BL24)),IF(AND(s_Irr!N24=".",s_Irr!AM24&lt;&gt;".",s_Irr!BL24="."),s_dir!AO24/((1/1000)*(s_Irr!AM24)),IF(AND(s_Irr!N24&lt;&gt;".",s_Irr!AM24=".",s_Irr!BL24="."),s_dir!AO24/((1/1000)*(s_Irr!N24)),IF(AND(s_Irr!N24=".",s_Irr!AM24=".",s_Irr!BL24="."),s_dir!AO24*1000)))))))),".")</f>
        <v>.</v>
      </c>
      <c r="BP24" s="76" t="str">
        <f>IFERROR(IF(AND(s_Irr!O24&lt;&gt;".",s_Irr!AN24&lt;&gt;".",s_Irr!BM24&lt;&gt;"."),s_dir!AP24/((1/1000)*(s_Irr!O24+s_Irr!AN24+s_Irr!BM24)),IF(AND(s_Irr!O24&lt;&gt;".",s_Irr!AN24&lt;&gt;".",s_Irr!BM24="."),s_dir!AP24/((1/1000)*(s_Irr!O24+s_Irr!AN24)),IF(AND(s_Irr!O24&lt;&gt;".",s_Irr!AN24=".",s_Irr!BM24&lt;&gt;"."),s_dir!AP24/((1/1000)*(s_Irr!O24+s_Irr!BM24)),IF(AND(s_Irr!O24=".",s_Irr!AN24&lt;&gt;".",s_Irr!BM24&lt;&gt;"."),s_dir!AP24/((1/1000)*(s_Irr!AN24+s_Irr!BM24)),IF(AND(s_Irr!O24=".",s_Irr!AN24=".",s_Irr!BM24&lt;&gt;"."),s_dir!AP24/((1/1000)*(s_Irr!BM24)),IF(AND(s_Irr!O24=".",s_Irr!AN24&lt;&gt;".",s_Irr!BM24="."),s_dir!AP24/((1/1000)*(s_Irr!AN24)),IF(AND(s_Irr!O24&lt;&gt;".",s_Irr!AN24=".",s_Irr!BM24="."),s_dir!AP24/((1/1000)*(s_Irr!O24)),IF(AND(s_Irr!O24=".",s_Irr!AN24=".",s_Irr!BM24="."),s_dir!AP24*1000)))))))),".")</f>
        <v>.</v>
      </c>
      <c r="BQ24" s="76" t="str">
        <f>IFERROR(IF(AND(s_Irr!P24&lt;&gt;".",s_Irr!AO24&lt;&gt;".",s_Irr!BN24&lt;&gt;"."),s_dir!AQ24/((1/1000)*(s_Irr!P24+s_Irr!AO24+s_Irr!BN24)),IF(AND(s_Irr!P24&lt;&gt;".",s_Irr!AO24&lt;&gt;".",s_Irr!BN24="."),s_dir!AQ24/((1/1000)*(s_Irr!P24+s_Irr!AO24)),IF(AND(s_Irr!P24&lt;&gt;".",s_Irr!AO24=".",s_Irr!BN24&lt;&gt;"."),s_dir!AQ24/((1/1000)*(s_Irr!P24+s_Irr!BN24)),IF(AND(s_Irr!P24=".",s_Irr!AO24&lt;&gt;".",s_Irr!BN24&lt;&gt;"."),s_dir!AQ24/((1/1000)*(s_Irr!AO24+s_Irr!BN24)),IF(AND(s_Irr!P24=".",s_Irr!AO24=".",s_Irr!BN24&lt;&gt;"."),s_dir!AQ24/((1/1000)*(s_Irr!BN24)),IF(AND(s_Irr!P24=".",s_Irr!AO24&lt;&gt;".",s_Irr!BN24="."),s_dir!AQ24/((1/1000)*(s_Irr!AO24)),IF(AND(s_Irr!P24&lt;&gt;".",s_Irr!AO24=".",s_Irr!BN24="."),s_dir!AQ24/((1/1000)*(s_Irr!P24)),IF(AND(s_Irr!P24=".",s_Irr!AO24=".",s_Irr!BN24="."),s_dir!AQ24*1000)))))))),".")</f>
        <v>.</v>
      </c>
      <c r="BR24" s="76" t="str">
        <f>IFERROR(IF(AND(s_Irr!Q24&lt;&gt;".",s_Irr!AP24&lt;&gt;".",s_Irr!BO24&lt;&gt;"."),s_dir!AR24/((1/1000)*(s_Irr!Q24+s_Irr!AP24+s_Irr!BO24)),IF(AND(s_Irr!Q24&lt;&gt;".",s_Irr!AP24&lt;&gt;".",s_Irr!BO24="."),s_dir!AR24/((1/1000)*(s_Irr!Q24+s_Irr!AP24)),IF(AND(s_Irr!Q24&lt;&gt;".",s_Irr!AP24=".",s_Irr!BO24&lt;&gt;"."),s_dir!AR24/((1/1000)*(s_Irr!Q24+s_Irr!BO24)),IF(AND(s_Irr!Q24=".",s_Irr!AP24&lt;&gt;".",s_Irr!BO24&lt;&gt;"."),s_dir!AR24/((1/1000)*(s_Irr!AP24+s_Irr!BO24)),IF(AND(s_Irr!Q24=".",s_Irr!AP24=".",s_Irr!BO24&lt;&gt;"."),s_dir!AR24/((1/1000)*(s_Irr!BO24)),IF(AND(s_Irr!Q24=".",s_Irr!AP24&lt;&gt;".",s_Irr!BO24="."),s_dir!AR24/((1/1000)*(s_Irr!AP24)),IF(AND(s_Irr!Q24&lt;&gt;".",s_Irr!AP24=".",s_Irr!BO24="."),s_dir!AR24/((1/1000)*(s_Irr!Q24)),IF(AND(s_Irr!Q24=".",s_Irr!AP24=".",s_Irr!BO24="."),s_dir!AR24*1000)))))))),".")</f>
        <v>.</v>
      </c>
      <c r="BS24" s="76" t="str">
        <f>IFERROR(IF(AND(s_Irr!R24&lt;&gt;".",s_Irr!AQ24&lt;&gt;".",s_Irr!BP24&lt;&gt;"."),s_dir!AS24/((1/1000)*(s_Irr!R24+s_Irr!AQ24+s_Irr!BP24)),IF(AND(s_Irr!R24&lt;&gt;".",s_Irr!AQ24&lt;&gt;".",s_Irr!BP24="."),s_dir!AS24/((1/1000)*(s_Irr!R24+s_Irr!AQ24)),IF(AND(s_Irr!R24&lt;&gt;".",s_Irr!AQ24=".",s_Irr!BP24&lt;&gt;"."),s_dir!AS24/((1/1000)*(s_Irr!R24+s_Irr!BP24)),IF(AND(s_Irr!R24=".",s_Irr!AQ24&lt;&gt;".",s_Irr!BP24&lt;&gt;"."),s_dir!AS24/((1/1000)*(s_Irr!AQ24+s_Irr!BP24)),IF(AND(s_Irr!R24=".",s_Irr!AQ24=".",s_Irr!BP24&lt;&gt;"."),s_dir!AS24/((1/1000)*(s_Irr!BP24)),IF(AND(s_Irr!R24=".",s_Irr!AQ24&lt;&gt;".",s_Irr!BP24="."),s_dir!AS24/((1/1000)*(s_Irr!AQ24)),IF(AND(s_Irr!R24&lt;&gt;".",s_Irr!AQ24=".",s_Irr!BP24="."),s_dir!AS24/((1/1000)*(s_Irr!R24)),IF(AND(s_Irr!R24=".",s_Irr!AQ24=".",s_Irr!BP24="."),s_dir!AS24*1000)))))))),".")</f>
        <v>.</v>
      </c>
      <c r="BT24" s="76" t="str">
        <f>IFERROR(IF(AND(s_Irr!S24&lt;&gt;".",s_Irr!AR24&lt;&gt;".",s_Irr!BQ24&lt;&gt;"."),s_dir!AT24/((1/1000)*(s_Irr!S24+s_Irr!AR24+s_Irr!BQ24)),IF(AND(s_Irr!S24&lt;&gt;".",s_Irr!AR24&lt;&gt;".",s_Irr!BQ24="."),s_dir!AT24/((1/1000)*(s_Irr!S24+s_Irr!AR24)),IF(AND(s_Irr!S24&lt;&gt;".",s_Irr!AR24=".",s_Irr!BQ24&lt;&gt;"."),s_dir!AT24/((1/1000)*(s_Irr!S24+s_Irr!BQ24)),IF(AND(s_Irr!S24=".",s_Irr!AR24&lt;&gt;".",s_Irr!BQ24&lt;&gt;"."),s_dir!AT24/((1/1000)*(s_Irr!AR24+s_Irr!BQ24)),IF(AND(s_Irr!S24=".",s_Irr!AR24=".",s_Irr!BQ24&lt;&gt;"."),s_dir!AT24/((1/1000)*(s_Irr!BQ24)),IF(AND(s_Irr!S24=".",s_Irr!AR24&lt;&gt;".",s_Irr!BQ24="."),s_dir!AT24/((1/1000)*(s_Irr!AR24)),IF(AND(s_Irr!S24&lt;&gt;".",s_Irr!AR24=".",s_Irr!BQ24="."),s_dir!AT24/((1/1000)*(s_Irr!S24)),IF(AND(s_Irr!S24=".",s_Irr!AR24=".",s_Irr!BQ24="."),s_dir!AT24*1000)))))))),".")</f>
        <v>.</v>
      </c>
      <c r="BU24" s="76" t="str">
        <f>IFERROR(IF(AND(s_Irr!T24&lt;&gt;".",s_Irr!AS24&lt;&gt;".",s_Irr!BR24&lt;&gt;"."),s_dir!AU24/((1/1000)*(s_Irr!T24+s_Irr!AS24+s_Irr!BR24)),IF(AND(s_Irr!T24&lt;&gt;".",s_Irr!AS24&lt;&gt;".",s_Irr!BR24="."),s_dir!AU24/((1/1000)*(s_Irr!T24+s_Irr!AS24)),IF(AND(s_Irr!T24&lt;&gt;".",s_Irr!AS24=".",s_Irr!BR24&lt;&gt;"."),s_dir!AU24/((1/1000)*(s_Irr!T24+s_Irr!BR24)),IF(AND(s_Irr!T24=".",s_Irr!AS24&lt;&gt;".",s_Irr!BR24&lt;&gt;"."),s_dir!AU24/((1/1000)*(s_Irr!AS24+s_Irr!BR24)),IF(AND(s_Irr!T24=".",s_Irr!AS24=".",s_Irr!BR24&lt;&gt;"."),s_dir!AU24/((1/1000)*(s_Irr!BR24)),IF(AND(s_Irr!T24=".",s_Irr!AS24&lt;&gt;".",s_Irr!BR24="."),s_dir!AU24/((1/1000)*(s_Irr!AS24)),IF(AND(s_Irr!T24&lt;&gt;".",s_Irr!AS24=".",s_Irr!BR24="."),s_dir!AU24/((1/1000)*(s_Irr!T24)),IF(AND(s_Irr!T24=".",s_Irr!AS24=".",s_Irr!BR24="."),s_dir!AU24*1000)))))))),".")</f>
        <v>.</v>
      </c>
      <c r="BV24" s="76" t="str">
        <f>IFERROR(IF(AND(s_Irr!U24&lt;&gt;".",s_Irr!AT24&lt;&gt;".",s_Irr!BS24&lt;&gt;"."),s_dir!AV24/((1/1000)*(s_Irr!U24+s_Irr!AT24+s_Irr!BS24)),IF(AND(s_Irr!U24&lt;&gt;".",s_Irr!AT24&lt;&gt;".",s_Irr!BS24="."),s_dir!AV24/((1/1000)*(s_Irr!U24+s_Irr!AT24)),IF(AND(s_Irr!U24&lt;&gt;".",s_Irr!AT24=".",s_Irr!BS24&lt;&gt;"."),s_dir!AV24/((1/1000)*(s_Irr!U24+s_Irr!BS24)),IF(AND(s_Irr!U24=".",s_Irr!AT24&lt;&gt;".",s_Irr!BS24&lt;&gt;"."),s_dir!AV24/((1/1000)*(s_Irr!AT24+s_Irr!BS24)),IF(AND(s_Irr!U24=".",s_Irr!AT24=".",s_Irr!BS24&lt;&gt;"."),s_dir!AV24/((1/1000)*(s_Irr!BS24)),IF(AND(s_Irr!U24=".",s_Irr!AT24&lt;&gt;".",s_Irr!BS24="."),s_dir!AV24/((1/1000)*(s_Irr!AT24)),IF(AND(s_Irr!U24&lt;&gt;".",s_Irr!AT24=".",s_Irr!BS24="."),s_dir!AV24/((1/1000)*(s_Irr!U24)),IF(AND(s_Irr!U24=".",s_Irr!AT24=".",s_Irr!BS24="."),s_dir!AV24*1000)))))))),".")</f>
        <v>.</v>
      </c>
      <c r="BW24" s="76" t="str">
        <f>IFERROR(IF(AND(s_Irr!V24&lt;&gt;".",s_Irr!AU24&lt;&gt;".",s_Irr!BT24&lt;&gt;"."),s_dir!AW24/((1/1000)*(s_Irr!V24+s_Irr!AU24+s_Irr!BT24)),IF(AND(s_Irr!V24&lt;&gt;".",s_Irr!AU24&lt;&gt;".",s_Irr!BT24="."),s_dir!AW24/((1/1000)*(s_Irr!V24+s_Irr!AU24)),IF(AND(s_Irr!V24&lt;&gt;".",s_Irr!AU24=".",s_Irr!BT24&lt;&gt;"."),s_dir!AW24/((1/1000)*(s_Irr!V24+s_Irr!BT24)),IF(AND(s_Irr!V24=".",s_Irr!AU24&lt;&gt;".",s_Irr!BT24&lt;&gt;"."),s_dir!AW24/((1/1000)*(s_Irr!AU24+s_Irr!BT24)),IF(AND(s_Irr!V24=".",s_Irr!AU24=".",s_Irr!BT24&lt;&gt;"."),s_dir!AW24/((1/1000)*(s_Irr!BT24)),IF(AND(s_Irr!V24=".",s_Irr!AU24&lt;&gt;".",s_Irr!BT24="."),s_dir!AW24/((1/1000)*(s_Irr!AU24)),IF(AND(s_Irr!V24&lt;&gt;".",s_Irr!AU24=".",s_Irr!BT24="."),s_dir!AW24/((1/1000)*(s_Irr!V24)),IF(AND(s_Irr!V24=".",s_Irr!AU24=".",s_Irr!BT24="."),s_dir!AW24*1000)))))))),".")</f>
        <v>.</v>
      </c>
      <c r="BX24" s="76" t="str">
        <f>IFERROR(IF(AND(s_Irr!W24&lt;&gt;".",s_Irr!AV24&lt;&gt;".",s_Irr!BU24&lt;&gt;"."),s_dir!AX24/((1/1000)*(s_Irr!W24+s_Irr!AV24+s_Irr!BU24)),IF(AND(s_Irr!W24&lt;&gt;".",s_Irr!AV24&lt;&gt;".",s_Irr!BU24="."),s_dir!AX24/((1/1000)*(s_Irr!W24+s_Irr!AV24)),IF(AND(s_Irr!W24&lt;&gt;".",s_Irr!AV24=".",s_Irr!BU24&lt;&gt;"."),s_dir!AX24/((1/1000)*(s_Irr!W24+s_Irr!BU24)),IF(AND(s_Irr!W24=".",s_Irr!AV24&lt;&gt;".",s_Irr!BU24&lt;&gt;"."),s_dir!AX24/((1/1000)*(s_Irr!AV24+s_Irr!BU24)),IF(AND(s_Irr!W24=".",s_Irr!AV24=".",s_Irr!BU24&lt;&gt;"."),s_dir!AX24/((1/1000)*(s_Irr!BU24)),IF(AND(s_Irr!W24=".",s_Irr!AV24&lt;&gt;".",s_Irr!BU24="."),s_dir!AX24/((1/1000)*(s_Irr!AV24)),IF(AND(s_Irr!W24&lt;&gt;".",s_Irr!AV24=".",s_Irr!BU24="."),s_dir!AX24/((1/1000)*(s_Irr!W24)),IF(AND(s_Irr!W24=".",s_Irr!AV24=".",s_Irr!BU24="."),s_dir!AX24*1000)))))))),".")</f>
        <v>.</v>
      </c>
      <c r="BY24" s="76" t="str">
        <f>IFERROR(IF(AND(s_Irr!X24&lt;&gt;".",s_Irr!AW24&lt;&gt;".",s_Irr!BV24&lt;&gt;"."),s_dir!AY24/((1/1000)*(s_Irr!X24+s_Irr!AW24+s_Irr!BV24)),IF(AND(s_Irr!X24&lt;&gt;".",s_Irr!AW24&lt;&gt;".",s_Irr!BV24="."),s_dir!AY24/((1/1000)*(s_Irr!X24+s_Irr!AW24)),IF(AND(s_Irr!X24&lt;&gt;".",s_Irr!AW24=".",s_Irr!BV24&lt;&gt;"."),s_dir!AY24/((1/1000)*(s_Irr!X24+s_Irr!BV24)),IF(AND(s_Irr!X24=".",s_Irr!AW24&lt;&gt;".",s_Irr!BV24&lt;&gt;"."),s_dir!AY24/((1/1000)*(s_Irr!AW24+s_Irr!BV24)),IF(AND(s_Irr!X24=".",s_Irr!AW24=".",s_Irr!BV24&lt;&gt;"."),s_dir!AY24/((1/1000)*(s_Irr!BV24)),IF(AND(s_Irr!X24=".",s_Irr!AW24&lt;&gt;".",s_Irr!BV24="."),s_dir!AY24/((1/1000)*(s_Irr!AW24)),IF(AND(s_Irr!X24&lt;&gt;".",s_Irr!AW24=".",s_Irr!BV24="."),s_dir!AY24/((1/1000)*(s_Irr!X24)),IF(AND(s_Irr!X24=".",s_Irr!AW24=".",s_Irr!BV24="."),s_dir!AY24*1000)))))))),".")</f>
        <v>.</v>
      </c>
      <c r="BZ24" s="76" t="str">
        <f>IFERROR(IF(AND(s_Irr!Y24&lt;&gt;".",s_Irr!AX24&lt;&gt;".",s_Irr!BW24&lt;&gt;"."),s_dir!AZ24/((1/1000)*(s_Irr!Y24+s_Irr!AX24+s_Irr!BW24)),IF(AND(s_Irr!Y24&lt;&gt;".",s_Irr!AX24&lt;&gt;".",s_Irr!BW24="."),s_dir!AZ24/((1/1000)*(s_Irr!Y24+s_Irr!AX24)),IF(AND(s_Irr!Y24&lt;&gt;".",s_Irr!AX24=".",s_Irr!BW24&lt;&gt;"."),s_dir!AZ24/((1/1000)*(s_Irr!Y24+s_Irr!BW24)),IF(AND(s_Irr!Y24=".",s_Irr!AX24&lt;&gt;".",s_Irr!BW24&lt;&gt;"."),s_dir!AZ24/((1/1000)*(s_Irr!AX24+s_Irr!BW24)),IF(AND(s_Irr!Y24=".",s_Irr!AX24=".",s_Irr!BW24&lt;&gt;"."),s_dir!AZ24/((1/1000)*(s_Irr!BW24)),IF(AND(s_Irr!Y24=".",s_Irr!AX24&lt;&gt;".",s_Irr!BW24="."),s_dir!AZ24/((1/1000)*(s_Irr!AX24)),IF(AND(s_Irr!Y24&lt;&gt;".",s_Irr!AX24=".",s_Irr!BW24="."),s_dir!AZ24/((1/1000)*(s_Irr!Y24)),IF(AND(s_Irr!Y24=".",s_Irr!AX24=".",s_Irr!BW24="."),s_dir!AZ24*1000)))))))),".")</f>
        <v>.</v>
      </c>
      <c r="CA24" s="76" t="str">
        <f>IFERROR(IF(AND(s_Irr!Z24&lt;&gt;".",s_Irr!AY24&lt;&gt;".",s_Irr!BX24&lt;&gt;"."),s_dir!BA24/((1/1000)*(s_Irr!Z24+s_Irr!AY24+s_Irr!BX24)),IF(AND(s_Irr!Z24&lt;&gt;".",s_Irr!AY24&lt;&gt;".",s_Irr!BX24="."),s_dir!BA24/((1/1000)*(s_Irr!Z24+s_Irr!AY24)),IF(AND(s_Irr!Z24&lt;&gt;".",s_Irr!AY24=".",s_Irr!BX24&lt;&gt;"."),s_dir!BA24/((1/1000)*(s_Irr!Z24+s_Irr!BX24)),IF(AND(s_Irr!Z24=".",s_Irr!AY24&lt;&gt;".",s_Irr!BX24&lt;&gt;"."),s_dir!BA24/((1/1000)*(s_Irr!AY24+s_Irr!BX24)),IF(AND(s_Irr!Z24=".",s_Irr!AY24=".",s_Irr!BX24&lt;&gt;"."),s_dir!BA24/((1/1000)*(s_Irr!BX24)),IF(AND(s_Irr!Z24=".",s_Irr!AY24&lt;&gt;".",s_Irr!BX24="."),s_dir!BA24/((1/1000)*(s_Irr!AY24)),IF(AND(s_Irr!Z24&lt;&gt;".",s_Irr!AY24=".",s_Irr!BX24="."),s_dir!BA24/((1/1000)*(s_Irr!Z24)),IF(AND(s_Irr!Z24=".",s_Irr!AY24=".",s_Irr!BX24="."),s_dir!BA24*1000)))))))),".")</f>
        <v>.</v>
      </c>
      <c r="CB24" s="76" t="str">
        <f>IFERROR(IF(AND(s_Irr!AA24&lt;&gt;".",s_Irr!AZ24&lt;&gt;".",s_Irr!BY24&lt;&gt;"."),s_dir!BB24/((1/1000)*(s_Irr!AA24+s_Irr!AZ24+s_Irr!BY24)),IF(AND(s_Irr!AA24&lt;&gt;".",s_Irr!AZ24&lt;&gt;".",s_Irr!BY24="."),s_dir!BB24/((1/1000)*(s_Irr!AA24+s_Irr!AZ24)),IF(AND(s_Irr!AA24&lt;&gt;".",s_Irr!AZ24=".",s_Irr!BY24&lt;&gt;"."),s_dir!BB24/((1/1000)*(s_Irr!AA24+s_Irr!BY24)),IF(AND(s_Irr!AA24=".",s_Irr!AZ24&lt;&gt;".",s_Irr!BY24&lt;&gt;"."),s_dir!BB24/((1/1000)*(s_Irr!AZ24+s_Irr!BY24)),IF(AND(s_Irr!AA24=".",s_Irr!AZ24=".",s_Irr!BY24&lt;&gt;"."),s_dir!BB24/((1/1000)*(s_Irr!BY24)),IF(AND(s_Irr!AA24=".",s_Irr!AZ24&lt;&gt;".",s_Irr!BY24="."),s_dir!BB24/((1/1000)*(s_Irr!AZ24)),IF(AND(s_Irr!AA24&lt;&gt;".",s_Irr!AZ24=".",s_Irr!BY24="."),s_dir!BB24/((1/1000)*(s_Irr!AA24)),IF(AND(s_Irr!AA24=".",s_Irr!AZ24=".",s_Irr!BY24="."),s_dir!BB24*1000)))))))),".")</f>
        <v>.</v>
      </c>
      <c r="CC24" s="93">
        <f t="shared" si="2"/>
        <v>0</v>
      </c>
      <c r="CD24" s="93">
        <f>IFERROR(s_C*s_IFAP_far_adj*s_CF_apple*(1/1000)*(s_Irr!C24+s_Irr!AB24+s_Irr!BA24),".")</f>
        <v>0</v>
      </c>
      <c r="CE24" s="93">
        <f>IFERROR(s_C*s_IFAS_far_adj*s_CF_asparagus*(1/1000)*(s_Irr!D24+s_Irr!AC24+s_Irr!BB24),".")</f>
        <v>0</v>
      </c>
      <c r="CF24" s="93">
        <f>IFERROR(s_C*s_IFBT_far_adj*s_CF_beet*(1/1000)*(s_Irr!E24+s_Irr!AD24+s_Irr!BC24),".")</f>
        <v>0</v>
      </c>
      <c r="CG24" s="93">
        <f>IFERROR(s_C*s_IFBE_far_adj*s_CF_berries*(1/1000)*(s_Irr!F24+s_Irr!AE24+s_Irr!BD24),".")</f>
        <v>0</v>
      </c>
      <c r="CH24" s="93">
        <f>IFERROR(s_C*s_IFBR_far_adj*s_CF_broccoli*(1/1000)*(s_Irr!G24+s_Irr!AF24+s_Irr!BE24),".")</f>
        <v>0</v>
      </c>
      <c r="CI24" s="93">
        <f>IFERROR(s_C*s_IFCB_far_adj*s_CF_cabbage*(1/1000)*(s_Irr!H24+s_Irr!AG24+s_Irr!BF24),".")</f>
        <v>0</v>
      </c>
      <c r="CJ24" s="93">
        <f>IFERROR(s_C*s_IFCR_far_adj*s_CF_carrot*(1/1000)*(s_Irr!I24+s_Irr!AH24+s_Irr!BG24),".")</f>
        <v>0</v>
      </c>
      <c r="CK24" s="93">
        <f>IFERROR(s_C*s_IFCI_far_adj*s_CF_citrus*(1/1000)*(s_Irr!J24+s_Irr!AI24+s_Irr!BH24),".")</f>
        <v>0</v>
      </c>
      <c r="CL24" s="93">
        <f>IFERROR(s_C*s_IFCO_far_adj*s_CF_corn*(1/1000)*(s_Irr!K24+s_Irr!AJ24+s_Irr!BI24),".")</f>
        <v>0</v>
      </c>
      <c r="CM24" s="93">
        <f>IFERROR(s_C*s_IFCU_far_adj*s_CF_cucumber*(1/1000)*(s_Irr!L24+s_Irr!AK24+s_Irr!BJ24),".")</f>
        <v>0</v>
      </c>
      <c r="CN24" s="93">
        <f>IFERROR(s_C*s_IFLE_far_adj*s_CF_lettuce*(1/1000)*(s_Irr!M24+s_Irr!AL24+s_Irr!BK24),".")</f>
        <v>0</v>
      </c>
      <c r="CO24" s="93">
        <f>IFERROR(s_C*s_IFLI_far_adj*s_CF_lima_bean*(1/1000)*(s_Irr!N24+s_Irr!AM24+s_Irr!BL24),".")</f>
        <v>0</v>
      </c>
      <c r="CP24" s="93">
        <f>IFERROR(s_C*s_IFOK_far_adj*s_CF_okra*(1/1000)*(s_Irr!O24+s_Irr!AN24+s_Irr!BM24),".")</f>
        <v>0</v>
      </c>
      <c r="CQ24" s="93">
        <f>IFERROR(s_C*s_IFON_far_adj*s_CF_onion*(1/1000)*(s_Irr!P24+s_Irr!AO24+s_Irr!BN24),".")</f>
        <v>0</v>
      </c>
      <c r="CR24" s="93">
        <f>IFERROR(s_C*s_IFPC_far_adj*s_CF_peach*(1/1000)*(s_Irr!Q24+s_Irr!AP24+s_Irr!BO24),".")</f>
        <v>0</v>
      </c>
      <c r="CS24" s="93">
        <f>IFERROR(s_C*s_IFPR_far_adj*s_CF_pear*(1/1000)*(s_Irr!R24+s_Irr!AQ24+s_Irr!BP24),".")</f>
        <v>0</v>
      </c>
      <c r="CT24" s="93">
        <f>IFERROR(s_C*s_IFPE_far_adj*s_CF_peas*(1/1000)*(s_Irr!S24+s_Irr!AR24+s_Irr!BQ24),".")</f>
        <v>0</v>
      </c>
      <c r="CU24" s="93">
        <f>IFERROR(s_C*s_IFPP_far_adj*s_CF_peppers*(1/1000)*(s_Irr!T24+s_Irr!AS24+s_Irr!BR24),".")</f>
        <v>0</v>
      </c>
      <c r="CV24" s="93">
        <f>IFERROR(s_C*s_IFPT_far_adj*s_CF_potato*(1/1000)*(s_Irr!U24+s_Irr!AT24+s_Irr!BS24),".")</f>
        <v>0</v>
      </c>
      <c r="CW24" s="93">
        <f>IFERROR(s_C*s_IFPU_far_adj*s_CF_pumpkin*(1/1000)*(s_Irr!V24+s_Irr!AU24+s_Irr!BT24),".")</f>
        <v>0</v>
      </c>
      <c r="CX24" s="93">
        <f>IFERROR(s_C*s_IFSN_far_adj*s_CF_snap_bean*(1/1000)*(s_Irr!W24+s_Irr!AV24+s_Irr!BU24),".")</f>
        <v>0</v>
      </c>
      <c r="CY24" s="93">
        <f>IFERROR(s_C*s_IFST_far_adj*s_CF_strawberry*(1/1000)*(s_Irr!X24+s_Irr!AW24+s_Irr!BV24),".")</f>
        <v>0</v>
      </c>
      <c r="CZ24" s="93">
        <f>IFERROR(s_C*s_IFTO_far_adj*s_CF_tomato*(1/1000)*(s_Irr!Y24+s_Irr!AX24+s_Irr!BW24),".")</f>
        <v>0</v>
      </c>
      <c r="DA24" s="93">
        <f>IFERROR(s_C*s_IFRI_far_adj*s_CF_rice*(1/1000)*(s_Irr!Z24+s_Irr!AY24+s_Irr!BX24),".")</f>
        <v>0</v>
      </c>
      <c r="DB24" s="93">
        <f>IFERROR(s_C*s_IFCG_far_adj*s_CF_cereal*(1/1000)*(s_Irr!AA24+s_Irr!AZ24+s_Irr!BY24),".")</f>
        <v>0</v>
      </c>
    </row>
    <row r="25" spans="1:106" x14ac:dyDescent="0.25">
      <c r="A25" s="94" t="s">
        <v>35</v>
      </c>
      <c r="B25" s="90" t="s">
        <v>349</v>
      </c>
      <c r="C25" s="15" t="str">
        <f t="shared" si="3"/>
        <v>.</v>
      </c>
      <c r="D25" s="76" t="str">
        <f>IFERROR(IF(AND(s_Irr!C25&lt;&gt;".",s_Irr!AB25&lt;&gt;".",s_Irr!BA25&lt;&gt;"."),s_dir!D25/((1/1000)*(s_Irr!C25+s_Irr!AB25+s_Irr!BA25)),IF(AND(s_Irr!C25&lt;&gt;".",s_Irr!AB25&lt;&gt;".",s_Irr!BA25="."),s_dir!D25/((1/1000)*(s_Irr!C25+s_Irr!AB25)),IF(AND(s_Irr!C25&lt;&gt;".",s_Irr!AB25=".",s_Irr!BA25&lt;&gt;"."),s_dir!D25/((1/1000)*(s_Irr!C25+s_Irr!BA25)),IF(AND(s_Irr!C25=".",s_Irr!AB25&lt;&gt;".",s_Irr!BA25&lt;&gt;"."),s_dir!D25/((1/1000)*(s_Irr!AB25+s_Irr!BA25)),IF(AND(s_Irr!C25=".",s_Irr!AB25=".",s_Irr!BA25&lt;&gt;"."),s_dir!D25/((1/1000)*(s_Irr!BA25)),IF(AND(s_Irr!C25=".",s_Irr!AB25&lt;&gt;".",s_Irr!BA25="."),s_dir!D25/((1/1000)*(s_Irr!AB25)),IF(AND(s_Irr!C25&lt;&gt;".",s_Irr!AB25=".",s_Irr!BA25="."),s_dir!D25/((1/1000)*(s_Irr!C25)),IF(AND(s_Irr!C25=".",s_Irr!AB25=".",s_Irr!BA25="."),s_dir!D25*1000)))))))),".")</f>
        <v>.</v>
      </c>
      <c r="E25" s="76" t="str">
        <f>IFERROR(IF(AND(s_Irr!D25&lt;&gt;".",s_Irr!AC25&lt;&gt;".",s_Irr!BB25&lt;&gt;"."),s_dir!E25/((1/1000)*(s_Irr!D25+s_Irr!AC25+s_Irr!BB25)),IF(AND(s_Irr!D25&lt;&gt;".",s_Irr!AC25&lt;&gt;".",s_Irr!BB25="."),s_dir!E25/((1/1000)*(s_Irr!D25+s_Irr!AC25)),IF(AND(s_Irr!D25&lt;&gt;".",s_Irr!AC25=".",s_Irr!BB25&lt;&gt;"."),s_dir!E25/((1/1000)*(s_Irr!D25+s_Irr!BB25)),IF(AND(s_Irr!D25=".",s_Irr!AC25&lt;&gt;".",s_Irr!BB25&lt;&gt;"."),s_dir!E25/((1/1000)*(s_Irr!AC25+s_Irr!BB25)),IF(AND(s_Irr!D25=".",s_Irr!AC25=".",s_Irr!BB25&lt;&gt;"."),s_dir!E25/((1/1000)*(s_Irr!BB25)),IF(AND(s_Irr!D25=".",s_Irr!AC25&lt;&gt;".",s_Irr!BB25="."),s_dir!E25/((1/1000)*(s_Irr!AC25)),IF(AND(s_Irr!D25&lt;&gt;".",s_Irr!AC25=".",s_Irr!BB25="."),s_dir!E25/((1/1000)*(s_Irr!D25)),IF(AND(s_Irr!D25=".",s_Irr!AC25=".",s_Irr!BB25="."),s_dir!E25*1000)))))))),".")</f>
        <v>.</v>
      </c>
      <c r="F25" s="76" t="str">
        <f>IFERROR(IF(AND(s_Irr!E25&lt;&gt;".",s_Irr!AD25&lt;&gt;".",s_Irr!BC25&lt;&gt;"."),s_dir!F25/((1/1000)*(s_Irr!E25+s_Irr!AD25+s_Irr!BC25)),IF(AND(s_Irr!E25&lt;&gt;".",s_Irr!AD25&lt;&gt;".",s_Irr!BC25="."),s_dir!F25/((1/1000)*(s_Irr!E25+s_Irr!AD25)),IF(AND(s_Irr!E25&lt;&gt;".",s_Irr!AD25=".",s_Irr!BC25&lt;&gt;"."),s_dir!F25/((1/1000)*(s_Irr!E25+s_Irr!BC25)),IF(AND(s_Irr!E25=".",s_Irr!AD25&lt;&gt;".",s_Irr!BC25&lt;&gt;"."),s_dir!F25/((1/1000)*(s_Irr!AD25+s_Irr!BC25)),IF(AND(s_Irr!E25=".",s_Irr!AD25=".",s_Irr!BC25&lt;&gt;"."),s_dir!F25/((1/1000)*(s_Irr!BC25)),IF(AND(s_Irr!E25=".",s_Irr!AD25&lt;&gt;".",s_Irr!BC25="."),s_dir!F25/((1/1000)*(s_Irr!AD25)),IF(AND(s_Irr!E25&lt;&gt;".",s_Irr!AD25=".",s_Irr!BC25="."),s_dir!F25/((1/1000)*(s_Irr!E25)),IF(AND(s_Irr!E25=".",s_Irr!AD25=".",s_Irr!BC25="."),s_dir!F25*1000)))))))),".")</f>
        <v>.</v>
      </c>
      <c r="G25" s="76" t="str">
        <f>IFERROR(IF(AND(s_Irr!F25&lt;&gt;".",s_Irr!AE25&lt;&gt;".",s_Irr!BD25&lt;&gt;"."),s_dir!G25/((1/1000)*(s_Irr!F25+s_Irr!AE25+s_Irr!BD25)),IF(AND(s_Irr!F25&lt;&gt;".",s_Irr!AE25&lt;&gt;".",s_Irr!BD25="."),s_dir!G25/((1/1000)*(s_Irr!F25+s_Irr!AE25)),IF(AND(s_Irr!F25&lt;&gt;".",s_Irr!AE25=".",s_Irr!BD25&lt;&gt;"."),s_dir!G25/((1/1000)*(s_Irr!F25+s_Irr!BD25)),IF(AND(s_Irr!F25=".",s_Irr!AE25&lt;&gt;".",s_Irr!BD25&lt;&gt;"."),s_dir!G25/((1/1000)*(s_Irr!AE25+s_Irr!BD25)),IF(AND(s_Irr!F25=".",s_Irr!AE25=".",s_Irr!BD25&lt;&gt;"."),s_dir!G25/((1/1000)*(s_Irr!BD25)),IF(AND(s_Irr!F25=".",s_Irr!AE25&lt;&gt;".",s_Irr!BD25="."),s_dir!G25/((1/1000)*(s_Irr!AE25)),IF(AND(s_Irr!F25&lt;&gt;".",s_Irr!AE25=".",s_Irr!BD25="."),s_dir!G25/((1/1000)*(s_Irr!F25)),IF(AND(s_Irr!F25=".",s_Irr!AE25=".",s_Irr!BD25="."),s_dir!G25*1000)))))))),".")</f>
        <v>.</v>
      </c>
      <c r="H25" s="76" t="str">
        <f>IFERROR(IF(AND(s_Irr!G25&lt;&gt;".",s_Irr!AF25&lt;&gt;".",s_Irr!BE25&lt;&gt;"."),s_dir!H25/((1/1000)*(s_Irr!G25+s_Irr!AF25+s_Irr!BE25)),IF(AND(s_Irr!G25&lt;&gt;".",s_Irr!AF25&lt;&gt;".",s_Irr!BE25="."),s_dir!H25/((1/1000)*(s_Irr!G25+s_Irr!AF25)),IF(AND(s_Irr!G25&lt;&gt;".",s_Irr!AF25=".",s_Irr!BE25&lt;&gt;"."),s_dir!H25/((1/1000)*(s_Irr!G25+s_Irr!BE25)),IF(AND(s_Irr!G25=".",s_Irr!AF25&lt;&gt;".",s_Irr!BE25&lt;&gt;"."),s_dir!H25/((1/1000)*(s_Irr!AF25+s_Irr!BE25)),IF(AND(s_Irr!G25=".",s_Irr!AF25=".",s_Irr!BE25&lt;&gt;"."),s_dir!H25/((1/1000)*(s_Irr!BE25)),IF(AND(s_Irr!G25=".",s_Irr!AF25&lt;&gt;".",s_Irr!BE25="."),s_dir!H25/((1/1000)*(s_Irr!AF25)),IF(AND(s_Irr!G25&lt;&gt;".",s_Irr!AF25=".",s_Irr!BE25="."),s_dir!H25/((1/1000)*(s_Irr!G25)),IF(AND(s_Irr!G25=".",s_Irr!AF25=".",s_Irr!BE25="."),s_dir!H25*1000)))))))),".")</f>
        <v>.</v>
      </c>
      <c r="I25" s="76" t="str">
        <f>IFERROR(IF(AND(s_Irr!H25&lt;&gt;".",s_Irr!AG25&lt;&gt;".",s_Irr!BF25&lt;&gt;"."),s_dir!I25/((1/1000)*(s_Irr!H25+s_Irr!AG25+s_Irr!BF25)),IF(AND(s_Irr!H25&lt;&gt;".",s_Irr!AG25&lt;&gt;".",s_Irr!BF25="."),s_dir!I25/((1/1000)*(s_Irr!H25+s_Irr!AG25)),IF(AND(s_Irr!H25&lt;&gt;".",s_Irr!AG25=".",s_Irr!BF25&lt;&gt;"."),s_dir!I25/((1/1000)*(s_Irr!H25+s_Irr!BF25)),IF(AND(s_Irr!H25=".",s_Irr!AG25&lt;&gt;".",s_Irr!BF25&lt;&gt;"."),s_dir!I25/((1/1000)*(s_Irr!AG25+s_Irr!BF25)),IF(AND(s_Irr!H25=".",s_Irr!AG25=".",s_Irr!BF25&lt;&gt;"."),s_dir!I25/((1/1000)*(s_Irr!BF25)),IF(AND(s_Irr!H25=".",s_Irr!AG25&lt;&gt;".",s_Irr!BF25="."),s_dir!I25/((1/1000)*(s_Irr!AG25)),IF(AND(s_Irr!H25&lt;&gt;".",s_Irr!AG25=".",s_Irr!BF25="."),s_dir!I25/((1/1000)*(s_Irr!H25)),IF(AND(s_Irr!H25=".",s_Irr!AG25=".",s_Irr!BF25="."),s_dir!I25*1000)))))))),".")</f>
        <v>.</v>
      </c>
      <c r="J25" s="76" t="str">
        <f>IFERROR(IF(AND(s_Irr!I25&lt;&gt;".",s_Irr!AH25&lt;&gt;".",s_Irr!BG25&lt;&gt;"."),s_dir!J25/((1/1000)*(s_Irr!I25+s_Irr!AH25+s_Irr!BG25)),IF(AND(s_Irr!I25&lt;&gt;".",s_Irr!AH25&lt;&gt;".",s_Irr!BG25="."),s_dir!J25/((1/1000)*(s_Irr!I25+s_Irr!AH25)),IF(AND(s_Irr!I25&lt;&gt;".",s_Irr!AH25=".",s_Irr!BG25&lt;&gt;"."),s_dir!J25/((1/1000)*(s_Irr!I25+s_Irr!BG25)),IF(AND(s_Irr!I25=".",s_Irr!AH25&lt;&gt;".",s_Irr!BG25&lt;&gt;"."),s_dir!J25/((1/1000)*(s_Irr!AH25+s_Irr!BG25)),IF(AND(s_Irr!I25=".",s_Irr!AH25=".",s_Irr!BG25&lt;&gt;"."),s_dir!J25/((1/1000)*(s_Irr!BG25)),IF(AND(s_Irr!I25=".",s_Irr!AH25&lt;&gt;".",s_Irr!BG25="."),s_dir!J25/((1/1000)*(s_Irr!AH25)),IF(AND(s_Irr!I25&lt;&gt;".",s_Irr!AH25=".",s_Irr!BG25="."),s_dir!J25/((1/1000)*(s_Irr!I25)),IF(AND(s_Irr!I25=".",s_Irr!AH25=".",s_Irr!BG25="."),s_dir!J25*1000)))))))),".")</f>
        <v>.</v>
      </c>
      <c r="K25" s="76" t="str">
        <f>IFERROR(IF(AND(s_Irr!J25&lt;&gt;".",s_Irr!AI25&lt;&gt;".",s_Irr!BH25&lt;&gt;"."),s_dir!K25/((1/1000)*(s_Irr!J25+s_Irr!AI25+s_Irr!BH25)),IF(AND(s_Irr!J25&lt;&gt;".",s_Irr!AI25&lt;&gt;".",s_Irr!BH25="."),s_dir!K25/((1/1000)*(s_Irr!J25+s_Irr!AI25)),IF(AND(s_Irr!J25&lt;&gt;".",s_Irr!AI25=".",s_Irr!BH25&lt;&gt;"."),s_dir!K25/((1/1000)*(s_Irr!J25+s_Irr!BH25)),IF(AND(s_Irr!J25=".",s_Irr!AI25&lt;&gt;".",s_Irr!BH25&lt;&gt;"."),s_dir!K25/((1/1000)*(s_Irr!AI25+s_Irr!BH25)),IF(AND(s_Irr!J25=".",s_Irr!AI25=".",s_Irr!BH25&lt;&gt;"."),s_dir!K25/((1/1000)*(s_Irr!BH25)),IF(AND(s_Irr!J25=".",s_Irr!AI25&lt;&gt;".",s_Irr!BH25="."),s_dir!K25/((1/1000)*(s_Irr!AI25)),IF(AND(s_Irr!J25&lt;&gt;".",s_Irr!AI25=".",s_Irr!BH25="."),s_dir!K25/((1/1000)*(s_Irr!J25)),IF(AND(s_Irr!J25=".",s_Irr!AI25=".",s_Irr!BH25="."),s_dir!K25*1000)))))))),".")</f>
        <v>.</v>
      </c>
      <c r="L25" s="76" t="str">
        <f>IFERROR(IF(AND(s_Irr!K25&lt;&gt;".",s_Irr!AJ25&lt;&gt;".",s_Irr!BI25&lt;&gt;"."),s_dir!L25/((1/1000)*(s_Irr!K25+s_Irr!AJ25+s_Irr!BI25)),IF(AND(s_Irr!K25&lt;&gt;".",s_Irr!AJ25&lt;&gt;".",s_Irr!BI25="."),s_dir!L25/((1/1000)*(s_Irr!K25+s_Irr!AJ25)),IF(AND(s_Irr!K25&lt;&gt;".",s_Irr!AJ25=".",s_Irr!BI25&lt;&gt;"."),s_dir!L25/((1/1000)*(s_Irr!K25+s_Irr!BI25)),IF(AND(s_Irr!K25=".",s_Irr!AJ25&lt;&gt;".",s_Irr!BI25&lt;&gt;"."),s_dir!L25/((1/1000)*(s_Irr!AJ25+s_Irr!BI25)),IF(AND(s_Irr!K25=".",s_Irr!AJ25=".",s_Irr!BI25&lt;&gt;"."),s_dir!L25/((1/1000)*(s_Irr!BI25)),IF(AND(s_Irr!K25=".",s_Irr!AJ25&lt;&gt;".",s_Irr!BI25="."),s_dir!L25/((1/1000)*(s_Irr!AJ25)),IF(AND(s_Irr!K25&lt;&gt;".",s_Irr!AJ25=".",s_Irr!BI25="."),s_dir!L25/((1/1000)*(s_Irr!K25)),IF(AND(s_Irr!K25=".",s_Irr!AJ25=".",s_Irr!BI25="."),s_dir!L25*1000)))))))),".")</f>
        <v>.</v>
      </c>
      <c r="M25" s="76" t="str">
        <f>IFERROR(IF(AND(s_Irr!L25&lt;&gt;".",s_Irr!AK25&lt;&gt;".",s_Irr!BJ25&lt;&gt;"."),s_dir!M25/((1/1000)*(s_Irr!L25+s_Irr!AK25+s_Irr!BJ25)),IF(AND(s_Irr!L25&lt;&gt;".",s_Irr!AK25&lt;&gt;".",s_Irr!BJ25="."),s_dir!M25/((1/1000)*(s_Irr!L25+s_Irr!AK25)),IF(AND(s_Irr!L25&lt;&gt;".",s_Irr!AK25=".",s_Irr!BJ25&lt;&gt;"."),s_dir!M25/((1/1000)*(s_Irr!L25+s_Irr!BJ25)),IF(AND(s_Irr!L25=".",s_Irr!AK25&lt;&gt;".",s_Irr!BJ25&lt;&gt;"."),s_dir!M25/((1/1000)*(s_Irr!AK25+s_Irr!BJ25)),IF(AND(s_Irr!L25=".",s_Irr!AK25=".",s_Irr!BJ25&lt;&gt;"."),s_dir!M25/((1/1000)*(s_Irr!BJ25)),IF(AND(s_Irr!L25=".",s_Irr!AK25&lt;&gt;".",s_Irr!BJ25="."),s_dir!M25/((1/1000)*(s_Irr!AK25)),IF(AND(s_Irr!L25&lt;&gt;".",s_Irr!AK25=".",s_Irr!BJ25="."),s_dir!M25/((1/1000)*(s_Irr!L25)),IF(AND(s_Irr!L25=".",s_Irr!AK25=".",s_Irr!BJ25="."),s_dir!M25*1000)))))))),".")</f>
        <v>.</v>
      </c>
      <c r="N25" s="76" t="str">
        <f>IFERROR(IF(AND(s_Irr!M25&lt;&gt;".",s_Irr!AL25&lt;&gt;".",s_Irr!BK25&lt;&gt;"."),s_dir!N25/((1/1000)*(s_Irr!M25+s_Irr!AL25+s_Irr!BK25)),IF(AND(s_Irr!M25&lt;&gt;".",s_Irr!AL25&lt;&gt;".",s_Irr!BK25="."),s_dir!N25/((1/1000)*(s_Irr!M25+s_Irr!AL25)),IF(AND(s_Irr!M25&lt;&gt;".",s_Irr!AL25=".",s_Irr!BK25&lt;&gt;"."),s_dir!N25/((1/1000)*(s_Irr!M25+s_Irr!BK25)),IF(AND(s_Irr!M25=".",s_Irr!AL25&lt;&gt;".",s_Irr!BK25&lt;&gt;"."),s_dir!N25/((1/1000)*(s_Irr!AL25+s_Irr!BK25)),IF(AND(s_Irr!M25=".",s_Irr!AL25=".",s_Irr!BK25&lt;&gt;"."),s_dir!N25/((1/1000)*(s_Irr!BK25)),IF(AND(s_Irr!M25=".",s_Irr!AL25&lt;&gt;".",s_Irr!BK25="."),s_dir!N25/((1/1000)*(s_Irr!AL25)),IF(AND(s_Irr!M25&lt;&gt;".",s_Irr!AL25=".",s_Irr!BK25="."),s_dir!N25/((1/1000)*(s_Irr!M25)),IF(AND(s_Irr!M25=".",s_Irr!AL25=".",s_Irr!BK25="."),s_dir!N25*1000)))))))),".")</f>
        <v>.</v>
      </c>
      <c r="O25" s="76" t="str">
        <f>IFERROR(IF(AND(s_Irr!N25&lt;&gt;".",s_Irr!AM25&lt;&gt;".",s_Irr!BL25&lt;&gt;"."),s_dir!O25/((1/1000)*(s_Irr!N25+s_Irr!AM25+s_Irr!BL25)),IF(AND(s_Irr!N25&lt;&gt;".",s_Irr!AM25&lt;&gt;".",s_Irr!BL25="."),s_dir!O25/((1/1000)*(s_Irr!N25+s_Irr!AM25)),IF(AND(s_Irr!N25&lt;&gt;".",s_Irr!AM25=".",s_Irr!BL25&lt;&gt;"."),s_dir!O25/((1/1000)*(s_Irr!N25+s_Irr!BL25)),IF(AND(s_Irr!N25=".",s_Irr!AM25&lt;&gt;".",s_Irr!BL25&lt;&gt;"."),s_dir!O25/((1/1000)*(s_Irr!AM25+s_Irr!BL25)),IF(AND(s_Irr!N25=".",s_Irr!AM25=".",s_Irr!BL25&lt;&gt;"."),s_dir!O25/((1/1000)*(s_Irr!BL25)),IF(AND(s_Irr!N25=".",s_Irr!AM25&lt;&gt;".",s_Irr!BL25="."),s_dir!O25/((1/1000)*(s_Irr!AM25)),IF(AND(s_Irr!N25&lt;&gt;".",s_Irr!AM25=".",s_Irr!BL25="."),s_dir!O25/((1/1000)*(s_Irr!N25)),IF(AND(s_Irr!N25=".",s_Irr!AM25=".",s_Irr!BL25="."),s_dir!O25*1000)))))))),".")</f>
        <v>.</v>
      </c>
      <c r="P25" s="76" t="str">
        <f>IFERROR(IF(AND(s_Irr!O25&lt;&gt;".",s_Irr!AN25&lt;&gt;".",s_Irr!BM25&lt;&gt;"."),s_dir!P25/((1/1000)*(s_Irr!O25+s_Irr!AN25+s_Irr!BM25)),IF(AND(s_Irr!O25&lt;&gt;".",s_Irr!AN25&lt;&gt;".",s_Irr!BM25="."),s_dir!P25/((1/1000)*(s_Irr!O25+s_Irr!AN25)),IF(AND(s_Irr!O25&lt;&gt;".",s_Irr!AN25=".",s_Irr!BM25&lt;&gt;"."),s_dir!P25/((1/1000)*(s_Irr!O25+s_Irr!BM25)),IF(AND(s_Irr!O25=".",s_Irr!AN25&lt;&gt;".",s_Irr!BM25&lt;&gt;"."),s_dir!P25/((1/1000)*(s_Irr!AN25+s_Irr!BM25)),IF(AND(s_Irr!O25=".",s_Irr!AN25=".",s_Irr!BM25&lt;&gt;"."),s_dir!P25/((1/1000)*(s_Irr!BM25)),IF(AND(s_Irr!O25=".",s_Irr!AN25&lt;&gt;".",s_Irr!BM25="."),s_dir!P25/((1/1000)*(s_Irr!AN25)),IF(AND(s_Irr!O25&lt;&gt;".",s_Irr!AN25=".",s_Irr!BM25="."),s_dir!P25/((1/1000)*(s_Irr!O25)),IF(AND(s_Irr!O25=".",s_Irr!AN25=".",s_Irr!BM25="."),s_dir!P25*1000)))))))),".")</f>
        <v>.</v>
      </c>
      <c r="Q25" s="76" t="str">
        <f>IFERROR(IF(AND(s_Irr!P25&lt;&gt;".",s_Irr!AO25&lt;&gt;".",s_Irr!BN25&lt;&gt;"."),s_dir!Q25/((1/1000)*(s_Irr!P25+s_Irr!AO25+s_Irr!BN25)),IF(AND(s_Irr!P25&lt;&gt;".",s_Irr!AO25&lt;&gt;".",s_Irr!BN25="."),s_dir!Q25/((1/1000)*(s_Irr!P25+s_Irr!AO25)),IF(AND(s_Irr!P25&lt;&gt;".",s_Irr!AO25=".",s_Irr!BN25&lt;&gt;"."),s_dir!Q25/((1/1000)*(s_Irr!P25+s_Irr!BN25)),IF(AND(s_Irr!P25=".",s_Irr!AO25&lt;&gt;".",s_Irr!BN25&lt;&gt;"."),s_dir!Q25/((1/1000)*(s_Irr!AO25+s_Irr!BN25)),IF(AND(s_Irr!P25=".",s_Irr!AO25=".",s_Irr!BN25&lt;&gt;"."),s_dir!Q25/((1/1000)*(s_Irr!BN25)),IF(AND(s_Irr!P25=".",s_Irr!AO25&lt;&gt;".",s_Irr!BN25="."),s_dir!Q25/((1/1000)*(s_Irr!AO25)),IF(AND(s_Irr!P25&lt;&gt;".",s_Irr!AO25=".",s_Irr!BN25="."),s_dir!Q25/((1/1000)*(s_Irr!P25)),IF(AND(s_Irr!P25=".",s_Irr!AO25=".",s_Irr!BN25="."),s_dir!Q25*1000)))))))),".")</f>
        <v>.</v>
      </c>
      <c r="R25" s="76" t="str">
        <f>IFERROR(IF(AND(s_Irr!Q25&lt;&gt;".",s_Irr!AP25&lt;&gt;".",s_Irr!BO25&lt;&gt;"."),s_dir!R25/((1/1000)*(s_Irr!Q25+s_Irr!AP25+s_Irr!BO25)),IF(AND(s_Irr!Q25&lt;&gt;".",s_Irr!AP25&lt;&gt;".",s_Irr!BO25="."),s_dir!R25/((1/1000)*(s_Irr!Q25+s_Irr!AP25)),IF(AND(s_Irr!Q25&lt;&gt;".",s_Irr!AP25=".",s_Irr!BO25&lt;&gt;"."),s_dir!R25/((1/1000)*(s_Irr!Q25+s_Irr!BO25)),IF(AND(s_Irr!Q25=".",s_Irr!AP25&lt;&gt;".",s_Irr!BO25&lt;&gt;"."),s_dir!R25/((1/1000)*(s_Irr!AP25+s_Irr!BO25)),IF(AND(s_Irr!Q25=".",s_Irr!AP25=".",s_Irr!BO25&lt;&gt;"."),s_dir!R25/((1/1000)*(s_Irr!BO25)),IF(AND(s_Irr!Q25=".",s_Irr!AP25&lt;&gt;".",s_Irr!BO25="."),s_dir!R25/((1/1000)*(s_Irr!AP25)),IF(AND(s_Irr!Q25&lt;&gt;".",s_Irr!AP25=".",s_Irr!BO25="."),s_dir!R25/((1/1000)*(s_Irr!Q25)),IF(AND(s_Irr!Q25=".",s_Irr!AP25=".",s_Irr!BO25="."),s_dir!R25*1000)))))))),".")</f>
        <v>.</v>
      </c>
      <c r="S25" s="76" t="str">
        <f>IFERROR(IF(AND(s_Irr!R25&lt;&gt;".",s_Irr!AQ25&lt;&gt;".",s_Irr!BP25&lt;&gt;"."),s_dir!S25/((1/1000)*(s_Irr!R25+s_Irr!AQ25+s_Irr!BP25)),IF(AND(s_Irr!R25&lt;&gt;".",s_Irr!AQ25&lt;&gt;".",s_Irr!BP25="."),s_dir!S25/((1/1000)*(s_Irr!R25+s_Irr!AQ25)),IF(AND(s_Irr!R25&lt;&gt;".",s_Irr!AQ25=".",s_Irr!BP25&lt;&gt;"."),s_dir!S25/((1/1000)*(s_Irr!R25+s_Irr!BP25)),IF(AND(s_Irr!R25=".",s_Irr!AQ25&lt;&gt;".",s_Irr!BP25&lt;&gt;"."),s_dir!S25/((1/1000)*(s_Irr!AQ25+s_Irr!BP25)),IF(AND(s_Irr!R25=".",s_Irr!AQ25=".",s_Irr!BP25&lt;&gt;"."),s_dir!S25/((1/1000)*(s_Irr!BP25)),IF(AND(s_Irr!R25=".",s_Irr!AQ25&lt;&gt;".",s_Irr!BP25="."),s_dir!S25/((1/1000)*(s_Irr!AQ25)),IF(AND(s_Irr!R25&lt;&gt;".",s_Irr!AQ25=".",s_Irr!BP25="."),s_dir!S25/((1/1000)*(s_Irr!R25)),IF(AND(s_Irr!R25=".",s_Irr!AQ25=".",s_Irr!BP25="."),s_dir!S25*1000)))))))),".")</f>
        <v>.</v>
      </c>
      <c r="T25" s="76" t="str">
        <f>IFERROR(IF(AND(s_Irr!S25&lt;&gt;".",s_Irr!AR25&lt;&gt;".",s_Irr!BQ25&lt;&gt;"."),s_dir!T25/((1/1000)*(s_Irr!S25+s_Irr!AR25+s_Irr!BQ25)),IF(AND(s_Irr!S25&lt;&gt;".",s_Irr!AR25&lt;&gt;".",s_Irr!BQ25="."),s_dir!T25/((1/1000)*(s_Irr!S25+s_Irr!AR25)),IF(AND(s_Irr!S25&lt;&gt;".",s_Irr!AR25=".",s_Irr!BQ25&lt;&gt;"."),s_dir!T25/((1/1000)*(s_Irr!S25+s_Irr!BQ25)),IF(AND(s_Irr!S25=".",s_Irr!AR25&lt;&gt;".",s_Irr!BQ25&lt;&gt;"."),s_dir!T25/((1/1000)*(s_Irr!AR25+s_Irr!BQ25)),IF(AND(s_Irr!S25=".",s_Irr!AR25=".",s_Irr!BQ25&lt;&gt;"."),s_dir!T25/((1/1000)*(s_Irr!BQ25)),IF(AND(s_Irr!S25=".",s_Irr!AR25&lt;&gt;".",s_Irr!BQ25="."),s_dir!T25/((1/1000)*(s_Irr!AR25)),IF(AND(s_Irr!S25&lt;&gt;".",s_Irr!AR25=".",s_Irr!BQ25="."),s_dir!T25/((1/1000)*(s_Irr!S25)),IF(AND(s_Irr!S25=".",s_Irr!AR25=".",s_Irr!BQ25="."),s_dir!T25*1000)))))))),".")</f>
        <v>.</v>
      </c>
      <c r="U25" s="76" t="str">
        <f>IFERROR(IF(AND(s_Irr!T25&lt;&gt;".",s_Irr!AS25&lt;&gt;".",s_Irr!BR25&lt;&gt;"."),s_dir!U25/((1/1000)*(s_Irr!T25+s_Irr!AS25+s_Irr!BR25)),IF(AND(s_Irr!T25&lt;&gt;".",s_Irr!AS25&lt;&gt;".",s_Irr!BR25="."),s_dir!U25/((1/1000)*(s_Irr!T25+s_Irr!AS25)),IF(AND(s_Irr!T25&lt;&gt;".",s_Irr!AS25=".",s_Irr!BR25&lt;&gt;"."),s_dir!U25/((1/1000)*(s_Irr!T25+s_Irr!BR25)),IF(AND(s_Irr!T25=".",s_Irr!AS25&lt;&gt;".",s_Irr!BR25&lt;&gt;"."),s_dir!U25/((1/1000)*(s_Irr!AS25+s_Irr!BR25)),IF(AND(s_Irr!T25=".",s_Irr!AS25=".",s_Irr!BR25&lt;&gt;"."),s_dir!U25/((1/1000)*(s_Irr!BR25)),IF(AND(s_Irr!T25=".",s_Irr!AS25&lt;&gt;".",s_Irr!BR25="."),s_dir!U25/((1/1000)*(s_Irr!AS25)),IF(AND(s_Irr!T25&lt;&gt;".",s_Irr!AS25=".",s_Irr!BR25="."),s_dir!U25/((1/1000)*(s_Irr!T25)),IF(AND(s_Irr!T25=".",s_Irr!AS25=".",s_Irr!BR25="."),s_dir!U25*1000)))))))),".")</f>
        <v>.</v>
      </c>
      <c r="V25" s="76" t="str">
        <f>IFERROR(IF(AND(s_Irr!U25&lt;&gt;".",s_Irr!AT25&lt;&gt;".",s_Irr!BS25&lt;&gt;"."),s_dir!V25/((1/1000)*(s_Irr!U25+s_Irr!AT25+s_Irr!BS25)),IF(AND(s_Irr!U25&lt;&gt;".",s_Irr!AT25&lt;&gt;".",s_Irr!BS25="."),s_dir!V25/((1/1000)*(s_Irr!U25+s_Irr!AT25)),IF(AND(s_Irr!U25&lt;&gt;".",s_Irr!AT25=".",s_Irr!BS25&lt;&gt;"."),s_dir!V25/((1/1000)*(s_Irr!U25+s_Irr!BS25)),IF(AND(s_Irr!U25=".",s_Irr!AT25&lt;&gt;".",s_Irr!BS25&lt;&gt;"."),s_dir!V25/((1/1000)*(s_Irr!AT25+s_Irr!BS25)),IF(AND(s_Irr!U25=".",s_Irr!AT25=".",s_Irr!BS25&lt;&gt;"."),s_dir!V25/((1/1000)*(s_Irr!BS25)),IF(AND(s_Irr!U25=".",s_Irr!AT25&lt;&gt;".",s_Irr!BS25="."),s_dir!V25/((1/1000)*(s_Irr!AT25)),IF(AND(s_Irr!U25&lt;&gt;".",s_Irr!AT25=".",s_Irr!BS25="."),s_dir!V25/((1/1000)*(s_Irr!U25)),IF(AND(s_Irr!U25=".",s_Irr!AT25=".",s_Irr!BS25="."),s_dir!V25*1000)))))))),".")</f>
        <v>.</v>
      </c>
      <c r="W25" s="76" t="str">
        <f>IFERROR(IF(AND(s_Irr!V25&lt;&gt;".",s_Irr!AU25&lt;&gt;".",s_Irr!BT25&lt;&gt;"."),s_dir!W25/((1/1000)*(s_Irr!V25+s_Irr!AU25+s_Irr!BT25)),IF(AND(s_Irr!V25&lt;&gt;".",s_Irr!AU25&lt;&gt;".",s_Irr!BT25="."),s_dir!W25/((1/1000)*(s_Irr!V25+s_Irr!AU25)),IF(AND(s_Irr!V25&lt;&gt;".",s_Irr!AU25=".",s_Irr!BT25&lt;&gt;"."),s_dir!W25/((1/1000)*(s_Irr!V25+s_Irr!BT25)),IF(AND(s_Irr!V25=".",s_Irr!AU25&lt;&gt;".",s_Irr!BT25&lt;&gt;"."),s_dir!W25/((1/1000)*(s_Irr!AU25+s_Irr!BT25)),IF(AND(s_Irr!V25=".",s_Irr!AU25=".",s_Irr!BT25&lt;&gt;"."),s_dir!W25/((1/1000)*(s_Irr!BT25)),IF(AND(s_Irr!V25=".",s_Irr!AU25&lt;&gt;".",s_Irr!BT25="."),s_dir!W25/((1/1000)*(s_Irr!AU25)),IF(AND(s_Irr!V25&lt;&gt;".",s_Irr!AU25=".",s_Irr!BT25="."),s_dir!W25/((1/1000)*(s_Irr!V25)),IF(AND(s_Irr!V25=".",s_Irr!AU25=".",s_Irr!BT25="."),s_dir!W25*1000)))))))),".")</f>
        <v>.</v>
      </c>
      <c r="X25" s="76" t="str">
        <f>IFERROR(IF(AND(s_Irr!W25&lt;&gt;".",s_Irr!AV25&lt;&gt;".",s_Irr!BU25&lt;&gt;"."),s_dir!X25/((1/1000)*(s_Irr!W25+s_Irr!AV25+s_Irr!BU25)),IF(AND(s_Irr!W25&lt;&gt;".",s_Irr!AV25&lt;&gt;".",s_Irr!BU25="."),s_dir!X25/((1/1000)*(s_Irr!W25+s_Irr!AV25)),IF(AND(s_Irr!W25&lt;&gt;".",s_Irr!AV25=".",s_Irr!BU25&lt;&gt;"."),s_dir!X25/((1/1000)*(s_Irr!W25+s_Irr!BU25)),IF(AND(s_Irr!W25=".",s_Irr!AV25&lt;&gt;".",s_Irr!BU25&lt;&gt;"."),s_dir!X25/((1/1000)*(s_Irr!AV25+s_Irr!BU25)),IF(AND(s_Irr!W25=".",s_Irr!AV25=".",s_Irr!BU25&lt;&gt;"."),s_dir!X25/((1/1000)*(s_Irr!BU25)),IF(AND(s_Irr!W25=".",s_Irr!AV25&lt;&gt;".",s_Irr!BU25="."),s_dir!X25/((1/1000)*(s_Irr!AV25)),IF(AND(s_Irr!W25&lt;&gt;".",s_Irr!AV25=".",s_Irr!BU25="."),s_dir!X25/((1/1000)*(s_Irr!W25)),IF(AND(s_Irr!W25=".",s_Irr!AV25=".",s_Irr!BU25="."),s_dir!X25*1000)))))))),".")</f>
        <v>.</v>
      </c>
      <c r="Y25" s="76" t="str">
        <f>IFERROR(IF(AND(s_Irr!X25&lt;&gt;".",s_Irr!AW25&lt;&gt;".",s_Irr!BV25&lt;&gt;"."),s_dir!Y25/((1/1000)*(s_Irr!X25+s_Irr!AW25+s_Irr!BV25)),IF(AND(s_Irr!X25&lt;&gt;".",s_Irr!AW25&lt;&gt;".",s_Irr!BV25="."),s_dir!Y25/((1/1000)*(s_Irr!X25+s_Irr!AW25)),IF(AND(s_Irr!X25&lt;&gt;".",s_Irr!AW25=".",s_Irr!BV25&lt;&gt;"."),s_dir!Y25/((1/1000)*(s_Irr!X25+s_Irr!BV25)),IF(AND(s_Irr!X25=".",s_Irr!AW25&lt;&gt;".",s_Irr!BV25&lt;&gt;"."),s_dir!Y25/((1/1000)*(s_Irr!AW25+s_Irr!BV25)),IF(AND(s_Irr!X25=".",s_Irr!AW25=".",s_Irr!BV25&lt;&gt;"."),s_dir!Y25/((1/1000)*(s_Irr!BV25)),IF(AND(s_Irr!X25=".",s_Irr!AW25&lt;&gt;".",s_Irr!BV25="."),s_dir!Y25/((1/1000)*(s_Irr!AW25)),IF(AND(s_Irr!X25&lt;&gt;".",s_Irr!AW25=".",s_Irr!BV25="."),s_dir!Y25/((1/1000)*(s_Irr!X25)),IF(AND(s_Irr!X25=".",s_Irr!AW25=".",s_Irr!BV25="."),s_dir!Y25*1000)))))))),".")</f>
        <v>.</v>
      </c>
      <c r="Z25" s="76" t="str">
        <f>IFERROR(IF(AND(s_Irr!Y25&lt;&gt;".",s_Irr!AX25&lt;&gt;".",s_Irr!BW25&lt;&gt;"."),s_dir!Z25/((1/1000)*(s_Irr!Y25+s_Irr!AX25+s_Irr!BW25)),IF(AND(s_Irr!Y25&lt;&gt;".",s_Irr!AX25&lt;&gt;".",s_Irr!BW25="."),s_dir!Z25/((1/1000)*(s_Irr!Y25+s_Irr!AX25)),IF(AND(s_Irr!Y25&lt;&gt;".",s_Irr!AX25=".",s_Irr!BW25&lt;&gt;"."),s_dir!Z25/((1/1000)*(s_Irr!Y25+s_Irr!BW25)),IF(AND(s_Irr!Y25=".",s_Irr!AX25&lt;&gt;".",s_Irr!BW25&lt;&gt;"."),s_dir!Z25/((1/1000)*(s_Irr!AX25+s_Irr!BW25)),IF(AND(s_Irr!Y25=".",s_Irr!AX25=".",s_Irr!BW25&lt;&gt;"."),s_dir!Z25/((1/1000)*(s_Irr!BW25)),IF(AND(s_Irr!Y25=".",s_Irr!AX25&lt;&gt;".",s_Irr!BW25="."),s_dir!Z25/((1/1000)*(s_Irr!AX25)),IF(AND(s_Irr!Y25&lt;&gt;".",s_Irr!AX25=".",s_Irr!BW25="."),s_dir!Z25/((1/1000)*(s_Irr!Y25)),IF(AND(s_Irr!Y25=".",s_Irr!AX25=".",s_Irr!BW25="."),s_dir!Z25*1000)))))))),".")</f>
        <v>.</v>
      </c>
      <c r="AA25" s="76" t="str">
        <f>IFERROR(IF(AND(s_Irr!Z25&lt;&gt;".",s_Irr!AY25&lt;&gt;".",s_Irr!BX25&lt;&gt;"."),s_dir!AA25/((1/1000)*(s_Irr!Z25+s_Irr!AY25+s_Irr!BX25)),IF(AND(s_Irr!Z25&lt;&gt;".",s_Irr!AY25&lt;&gt;".",s_Irr!BX25="."),s_dir!AA25/((1/1000)*(s_Irr!Z25+s_Irr!AY25)),IF(AND(s_Irr!Z25&lt;&gt;".",s_Irr!AY25=".",s_Irr!BX25&lt;&gt;"."),s_dir!AA25/((1/1000)*(s_Irr!Z25+s_Irr!BX25)),IF(AND(s_Irr!Z25=".",s_Irr!AY25&lt;&gt;".",s_Irr!BX25&lt;&gt;"."),s_dir!AA25/((1/1000)*(s_Irr!AY25+s_Irr!BX25)),IF(AND(s_Irr!Z25=".",s_Irr!AY25=".",s_Irr!BX25&lt;&gt;"."),s_dir!AA25/((1/1000)*(s_Irr!BX25)),IF(AND(s_Irr!Z25=".",s_Irr!AY25&lt;&gt;".",s_Irr!BX25="."),s_dir!AA25/((1/1000)*(s_Irr!AY25)),IF(AND(s_Irr!Z25&lt;&gt;".",s_Irr!AY25=".",s_Irr!BX25="."),s_dir!AA25/((1/1000)*(s_Irr!Z25)),IF(AND(s_Irr!Z25=".",s_Irr!AY25=".",s_Irr!BX25="."),s_dir!AA25*1000)))))))),".")</f>
        <v>.</v>
      </c>
      <c r="AB25" s="76" t="str">
        <f>IFERROR(IF(AND(s_Irr!AA25&lt;&gt;".",s_Irr!AZ25&lt;&gt;".",s_Irr!BY25&lt;&gt;"."),s_dir!AB25/((1/1000)*(s_Irr!AA25+s_Irr!AZ25+s_Irr!BY25)),IF(AND(s_Irr!AA25&lt;&gt;".",s_Irr!AZ25&lt;&gt;".",s_Irr!BY25="."),s_dir!AB25/((1/1000)*(s_Irr!AA25+s_Irr!AZ25)),IF(AND(s_Irr!AA25&lt;&gt;".",s_Irr!AZ25=".",s_Irr!BY25&lt;&gt;"."),s_dir!AB25/((1/1000)*(s_Irr!AA25+s_Irr!BY25)),IF(AND(s_Irr!AA25=".",s_Irr!AZ25&lt;&gt;".",s_Irr!BY25&lt;&gt;"."),s_dir!AB25/((1/1000)*(s_Irr!AZ25+s_Irr!BY25)),IF(AND(s_Irr!AA25=".",s_Irr!AZ25=".",s_Irr!BY25&lt;&gt;"."),s_dir!AB25/((1/1000)*(s_Irr!BY25)),IF(AND(s_Irr!AA25=".",s_Irr!AZ25&lt;&gt;".",s_Irr!BY25="."),s_dir!AB25/((1/1000)*(s_Irr!AZ25)),IF(AND(s_Irr!AA25&lt;&gt;".",s_Irr!AZ25=".",s_Irr!BY25="."),s_dir!AB25/((1/1000)*(s_Irr!AA25)),IF(AND(s_Irr!AA25=".",s_Irr!AZ25=".",s_Irr!BY25="."),s_dir!AB25*1000)))))))),".")</f>
        <v>.</v>
      </c>
      <c r="AC25" s="93">
        <f t="shared" ref="AC25:AC76" si="5">SUM(AD25,AU25,BA25:BB25)</f>
        <v>0</v>
      </c>
      <c r="AD25" s="93">
        <f>IFERROR(s_C*s_IFAP_res_adj*s_CF_apple*0.001*(s_Irr!C25+s_Irr!AB25+s_Irr!BA25),".")</f>
        <v>0</v>
      </c>
      <c r="AE25" s="93">
        <f>IFERROR(s_C*s_IFAS_res_adj*s_CF_asparagus*0.001*(s_Irr!D25+s_Irr!AC25+s_Irr!BB25),".")</f>
        <v>0</v>
      </c>
      <c r="AF25" s="93">
        <f>IFERROR(s_C*s_IFBT_res_adj*s_CF_beet*0.001*(s_Irr!E25+s_Irr!AD25+s_Irr!BC25),".")</f>
        <v>0</v>
      </c>
      <c r="AG25" s="93">
        <f>IFERROR(s_C*s_IFBE_res_adj*s_CF_berries*0.001*(s_Irr!F25+s_Irr!AE25+s_Irr!BD25),".")</f>
        <v>0</v>
      </c>
      <c r="AH25" s="93">
        <f>IFERROR(s_C*s_IFBR_res_adj*s_CF_broccoli*0.001*(s_Irr!G25+s_Irr!AF25+s_Irr!BE25),".")</f>
        <v>0</v>
      </c>
      <c r="AI25" s="93">
        <f>IFERROR(s_C*s_IFCB_res_adj*s_CF_cabbage*0.001*(s_Irr!H25+s_Irr!AG25+s_Irr!BF25),".")</f>
        <v>0</v>
      </c>
      <c r="AJ25" s="93">
        <f>IFERROR(s_C*s_IFCR_res_adj*s_CF_carrot*0.001*(s_Irr!I25+s_Irr!AH25+s_Irr!BG25),".")</f>
        <v>0</v>
      </c>
      <c r="AK25" s="93">
        <f>IFERROR(s_C*s_IFCI_res_adj*s_CF_citrus*0.001*(s_Irr!J25+s_Irr!AI25+s_Irr!BH25),".")</f>
        <v>0</v>
      </c>
      <c r="AL25" s="93">
        <f>IFERROR(s_C*s_IFCO_res_adj*s_CF_corn*0.001*(s_Irr!K25+s_Irr!AJ25+s_Irr!BI25),".")</f>
        <v>0</v>
      </c>
      <c r="AM25" s="93">
        <f>IFERROR(s_C*s_IFCU_res_adj*s_CF_cucumber*0.001*(s_Irr!L25+s_Irr!AK25+s_Irr!BJ25),".")</f>
        <v>0</v>
      </c>
      <c r="AN25" s="93">
        <f>IFERROR(s_C*s_IFLE_res_adj*s_CF_lettuce*0.001*(s_Irr!M25+s_Irr!AL25+s_Irr!BK25),".")</f>
        <v>0</v>
      </c>
      <c r="AO25" s="93">
        <f>IFERROR(s_C*s_IFLI_res_adj*s_CF_lima_bean*0.001*(s_Irr!N25+s_Irr!AM25+s_Irr!BL25),".")</f>
        <v>0</v>
      </c>
      <c r="AP25" s="93">
        <f>IFERROR(s_C*s_IFOK_res_adj*s_CF_okra*0.001*(s_Irr!O25+s_Irr!AN25+s_Irr!BM25),".")</f>
        <v>0</v>
      </c>
      <c r="AQ25" s="93">
        <f>IFERROR(s_C*s_IFON_res_adj*s_CF_onion*0.001*(s_Irr!P25+s_Irr!AO25+s_Irr!BN25),".")</f>
        <v>0</v>
      </c>
      <c r="AR25" s="93">
        <f>IFERROR(s_C*s_IFPC_res_adj*s_CF_peach*0.001*(s_Irr!Q25+s_Irr!AP25+s_Irr!BO25),".")</f>
        <v>0</v>
      </c>
      <c r="AS25" s="93">
        <f>IFERROR(s_C*s_IFPR_res_adj*s_CF_pear*0.001*(s_Irr!R25+s_Irr!AQ25+s_Irr!BP25),".")</f>
        <v>0</v>
      </c>
      <c r="AT25" s="93">
        <f>IFERROR(s_C*s_IFPE_res_adj*s_CF_peas*0.001*(s_Irr!S25+s_Irr!AR25+s_Irr!BQ25),".")</f>
        <v>0</v>
      </c>
      <c r="AU25" s="93">
        <f>IFERROR(s_C*s_IFPP_res_adj*s_CF_peppers*0.001*(s_Irr!T25+s_Irr!AS25+s_Irr!BR25),".")</f>
        <v>0</v>
      </c>
      <c r="AV25" s="93">
        <f>IFERROR(s_C*s_IFPT_res_adj*s_CF_potato*0.001*(s_Irr!U25+s_Irr!AT25+s_Irr!BS25),".")</f>
        <v>0</v>
      </c>
      <c r="AW25" s="93">
        <f>IFERROR(s_C*s_IFPU_res_adj*s_CF_pumpkin*0.001*(s_Irr!V25+s_Irr!AU25+s_Irr!BT25),".")</f>
        <v>0</v>
      </c>
      <c r="AX25" s="93">
        <f>IFERROR(s_C*s_IFSN_res_adj*s_CF_snap_bean*0.001*(s_Irr!W25+s_Irr!AV25+s_Irr!BU25),".")</f>
        <v>0</v>
      </c>
      <c r="AY25" s="93">
        <f>IFERROR(s_C*s_IFST_res_adj*s_CF_strawberry*0.001*(s_Irr!X25+s_Irr!AW25+s_Irr!BV25),".")</f>
        <v>0</v>
      </c>
      <c r="AZ25" s="93">
        <f>IFERROR(s_C*s_IFTO_res_adj*s_CF_tomato*0.001*(s_Irr!Y25+s_Irr!AX25+s_Irr!BW25),".")</f>
        <v>0</v>
      </c>
      <c r="BA25" s="93">
        <f>IFERROR(s_C*s_IFRI_res_adj*s_CF_rice*0.001*(s_Irr!Z25+s_Irr!AY25+s_Irr!BX25),".")</f>
        <v>0</v>
      </c>
      <c r="BB25" s="93">
        <f>IFERROR(s_C*s_IFCG_res_adj*s_CF_cereal*0.001*(s_Irr!AA25+s_Irr!AZ25+s_Irr!BY25),".")</f>
        <v>0</v>
      </c>
      <c r="BC25" s="76" t="str">
        <f t="shared" si="1"/>
        <v>.</v>
      </c>
      <c r="BD25" s="76" t="str">
        <f>IFERROR(IF(AND(s_Irr!C25&lt;&gt;".",s_Irr!AB25&lt;&gt;".",s_Irr!BA25&lt;&gt;"."),s_dir!AD25/((1/1000)*(s_Irr!C25+s_Irr!AB25+s_Irr!BA25)),IF(AND(s_Irr!C25&lt;&gt;".",s_Irr!AB25&lt;&gt;".",s_Irr!BA25="."),s_dir!AD25/((1/1000)*(s_Irr!C25+s_Irr!AB25)),IF(AND(s_Irr!C25&lt;&gt;".",s_Irr!AB25=".",s_Irr!BA25&lt;&gt;"."),s_dir!AD25/((1/1000)*(s_Irr!C25+s_Irr!BA25)),IF(AND(s_Irr!C25=".",s_Irr!AB25&lt;&gt;".",s_Irr!BA25&lt;&gt;"."),s_dir!AD25/((1/1000)*(s_Irr!AB25+s_Irr!BA25)),IF(AND(s_Irr!C25=".",s_Irr!AB25=".",s_Irr!BA25&lt;&gt;"."),s_dir!AD25/((1/1000)*(s_Irr!BA25)),IF(AND(s_Irr!C25=".",s_Irr!AB25&lt;&gt;".",s_Irr!BA25="."),s_dir!AD25/((1/1000)*(s_Irr!AB25)),IF(AND(s_Irr!C25&lt;&gt;".",s_Irr!AB25=".",s_Irr!BA25="."),s_dir!AD25/((1/1000)*(s_Irr!C25)),IF(AND(s_Irr!C25=".",s_Irr!AB25=".",s_Irr!BA25="."),s_dir!AD25*1000)))))))),".")</f>
        <v>.</v>
      </c>
      <c r="BE25" s="76" t="str">
        <f>IFERROR(IF(AND(s_Irr!D25&lt;&gt;".",s_Irr!AC25&lt;&gt;".",s_Irr!BB25&lt;&gt;"."),s_dir!AE25/((1/1000)*(s_Irr!D25+s_Irr!AC25+s_Irr!BB25)),IF(AND(s_Irr!D25&lt;&gt;".",s_Irr!AC25&lt;&gt;".",s_Irr!BB25="."),s_dir!AE25/((1/1000)*(s_Irr!D25+s_Irr!AC25)),IF(AND(s_Irr!D25&lt;&gt;".",s_Irr!AC25=".",s_Irr!BB25&lt;&gt;"."),s_dir!AE25/((1/1000)*(s_Irr!D25+s_Irr!BB25)),IF(AND(s_Irr!D25=".",s_Irr!AC25&lt;&gt;".",s_Irr!BB25&lt;&gt;"."),s_dir!AE25/((1/1000)*(s_Irr!AC25+s_Irr!BB25)),IF(AND(s_Irr!D25=".",s_Irr!AC25=".",s_Irr!BB25&lt;&gt;"."),s_dir!AE25/((1/1000)*(s_Irr!BB25)),IF(AND(s_Irr!D25=".",s_Irr!AC25&lt;&gt;".",s_Irr!BB25="."),s_dir!AE25/((1/1000)*(s_Irr!AC25)),IF(AND(s_Irr!D25&lt;&gt;".",s_Irr!AC25=".",s_Irr!BB25="."),s_dir!AE25/((1/1000)*(s_Irr!D25)),IF(AND(s_Irr!D25=".",s_Irr!AC25=".",s_Irr!BB25="."),s_dir!AE25*1000)))))))),".")</f>
        <v>.</v>
      </c>
      <c r="BF25" s="76" t="str">
        <f>IFERROR(IF(AND(s_Irr!E25&lt;&gt;".",s_Irr!AD25&lt;&gt;".",s_Irr!BC25&lt;&gt;"."),s_dir!AF25/((1/1000)*(s_Irr!E25+s_Irr!AD25+s_Irr!BC25)),IF(AND(s_Irr!E25&lt;&gt;".",s_Irr!AD25&lt;&gt;".",s_Irr!BC25="."),s_dir!AF25/((1/1000)*(s_Irr!E25+s_Irr!AD25)),IF(AND(s_Irr!E25&lt;&gt;".",s_Irr!AD25=".",s_Irr!BC25&lt;&gt;"."),s_dir!AF25/((1/1000)*(s_Irr!E25+s_Irr!BC25)),IF(AND(s_Irr!E25=".",s_Irr!AD25&lt;&gt;".",s_Irr!BC25&lt;&gt;"."),s_dir!AF25/((1/1000)*(s_Irr!AD25+s_Irr!BC25)),IF(AND(s_Irr!E25=".",s_Irr!AD25=".",s_Irr!BC25&lt;&gt;"."),s_dir!AF25/((1/1000)*(s_Irr!BC25)),IF(AND(s_Irr!E25=".",s_Irr!AD25&lt;&gt;".",s_Irr!BC25="."),s_dir!AF25/((1/1000)*(s_Irr!AD25)),IF(AND(s_Irr!E25&lt;&gt;".",s_Irr!AD25=".",s_Irr!BC25="."),s_dir!AF25/((1/1000)*(s_Irr!E25)),IF(AND(s_Irr!E25=".",s_Irr!AD25=".",s_Irr!BC25="."),s_dir!AF25*1000)))))))),".")</f>
        <v>.</v>
      </c>
      <c r="BG25" s="76" t="str">
        <f>IFERROR(IF(AND(s_Irr!F25&lt;&gt;".",s_Irr!AE25&lt;&gt;".",s_Irr!BD25&lt;&gt;"."),s_dir!AG25/((1/1000)*(s_Irr!F25+s_Irr!AE25+s_Irr!BD25)),IF(AND(s_Irr!F25&lt;&gt;".",s_Irr!AE25&lt;&gt;".",s_Irr!BD25="."),s_dir!AG25/((1/1000)*(s_Irr!F25+s_Irr!AE25)),IF(AND(s_Irr!F25&lt;&gt;".",s_Irr!AE25=".",s_Irr!BD25&lt;&gt;"."),s_dir!AG25/((1/1000)*(s_Irr!F25+s_Irr!BD25)),IF(AND(s_Irr!F25=".",s_Irr!AE25&lt;&gt;".",s_Irr!BD25&lt;&gt;"."),s_dir!AG25/((1/1000)*(s_Irr!AE25+s_Irr!BD25)),IF(AND(s_Irr!F25=".",s_Irr!AE25=".",s_Irr!BD25&lt;&gt;"."),s_dir!AG25/((1/1000)*(s_Irr!BD25)),IF(AND(s_Irr!F25=".",s_Irr!AE25&lt;&gt;".",s_Irr!BD25="."),s_dir!AG25/((1/1000)*(s_Irr!AE25)),IF(AND(s_Irr!F25&lt;&gt;".",s_Irr!AE25=".",s_Irr!BD25="."),s_dir!AG25/((1/1000)*(s_Irr!F25)),IF(AND(s_Irr!F25=".",s_Irr!AE25=".",s_Irr!BD25="."),s_dir!AG25*1000)))))))),".")</f>
        <v>.</v>
      </c>
      <c r="BH25" s="76" t="str">
        <f>IFERROR(IF(AND(s_Irr!G25&lt;&gt;".",s_Irr!AF25&lt;&gt;".",s_Irr!BE25&lt;&gt;"."),s_dir!AH25/((1/1000)*(s_Irr!G25+s_Irr!AF25+s_Irr!BE25)),IF(AND(s_Irr!G25&lt;&gt;".",s_Irr!AF25&lt;&gt;".",s_Irr!BE25="."),s_dir!AH25/((1/1000)*(s_Irr!G25+s_Irr!AF25)),IF(AND(s_Irr!G25&lt;&gt;".",s_Irr!AF25=".",s_Irr!BE25&lt;&gt;"."),s_dir!AH25/((1/1000)*(s_Irr!G25+s_Irr!BE25)),IF(AND(s_Irr!G25=".",s_Irr!AF25&lt;&gt;".",s_Irr!BE25&lt;&gt;"."),s_dir!AH25/((1/1000)*(s_Irr!AF25+s_Irr!BE25)),IF(AND(s_Irr!G25=".",s_Irr!AF25=".",s_Irr!BE25&lt;&gt;"."),s_dir!AH25/((1/1000)*(s_Irr!BE25)),IF(AND(s_Irr!G25=".",s_Irr!AF25&lt;&gt;".",s_Irr!BE25="."),s_dir!AH25/((1/1000)*(s_Irr!AF25)),IF(AND(s_Irr!G25&lt;&gt;".",s_Irr!AF25=".",s_Irr!BE25="."),s_dir!AH25/((1/1000)*(s_Irr!G25)),IF(AND(s_Irr!G25=".",s_Irr!AF25=".",s_Irr!BE25="."),s_dir!AH25*1000)))))))),".")</f>
        <v>.</v>
      </c>
      <c r="BI25" s="76" t="str">
        <f>IFERROR(IF(AND(s_Irr!H25&lt;&gt;".",s_Irr!AG25&lt;&gt;".",s_Irr!BF25&lt;&gt;"."),s_dir!AI25/((1/1000)*(s_Irr!H25+s_Irr!AG25+s_Irr!BF25)),IF(AND(s_Irr!H25&lt;&gt;".",s_Irr!AG25&lt;&gt;".",s_Irr!BF25="."),s_dir!AI25/((1/1000)*(s_Irr!H25+s_Irr!AG25)),IF(AND(s_Irr!H25&lt;&gt;".",s_Irr!AG25=".",s_Irr!BF25&lt;&gt;"."),s_dir!AI25/((1/1000)*(s_Irr!H25+s_Irr!BF25)),IF(AND(s_Irr!H25=".",s_Irr!AG25&lt;&gt;".",s_Irr!BF25&lt;&gt;"."),s_dir!AI25/((1/1000)*(s_Irr!AG25+s_Irr!BF25)),IF(AND(s_Irr!H25=".",s_Irr!AG25=".",s_Irr!BF25&lt;&gt;"."),s_dir!AI25/((1/1000)*(s_Irr!BF25)),IF(AND(s_Irr!H25=".",s_Irr!AG25&lt;&gt;".",s_Irr!BF25="."),s_dir!AI25/((1/1000)*(s_Irr!AG25)),IF(AND(s_Irr!H25&lt;&gt;".",s_Irr!AG25=".",s_Irr!BF25="."),s_dir!AI25/((1/1000)*(s_Irr!H25)),IF(AND(s_Irr!H25=".",s_Irr!AG25=".",s_Irr!BF25="."),s_dir!AI25*1000)))))))),".")</f>
        <v>.</v>
      </c>
      <c r="BJ25" s="76" t="str">
        <f>IFERROR(IF(AND(s_Irr!I25&lt;&gt;".",s_Irr!AH25&lt;&gt;".",s_Irr!BG25&lt;&gt;"."),s_dir!AJ25/((1/1000)*(s_Irr!I25+s_Irr!AH25+s_Irr!BG25)),IF(AND(s_Irr!I25&lt;&gt;".",s_Irr!AH25&lt;&gt;".",s_Irr!BG25="."),s_dir!AJ25/((1/1000)*(s_Irr!I25+s_Irr!AH25)),IF(AND(s_Irr!I25&lt;&gt;".",s_Irr!AH25=".",s_Irr!BG25&lt;&gt;"."),s_dir!AJ25/((1/1000)*(s_Irr!I25+s_Irr!BG25)),IF(AND(s_Irr!I25=".",s_Irr!AH25&lt;&gt;".",s_Irr!BG25&lt;&gt;"."),s_dir!AJ25/((1/1000)*(s_Irr!AH25+s_Irr!BG25)),IF(AND(s_Irr!I25=".",s_Irr!AH25=".",s_Irr!BG25&lt;&gt;"."),s_dir!AJ25/((1/1000)*(s_Irr!BG25)),IF(AND(s_Irr!I25=".",s_Irr!AH25&lt;&gt;".",s_Irr!BG25="."),s_dir!AJ25/((1/1000)*(s_Irr!AH25)),IF(AND(s_Irr!I25&lt;&gt;".",s_Irr!AH25=".",s_Irr!BG25="."),s_dir!AJ25/((1/1000)*(s_Irr!I25)),IF(AND(s_Irr!I25=".",s_Irr!AH25=".",s_Irr!BG25="."),s_dir!AJ25*1000)))))))),".")</f>
        <v>.</v>
      </c>
      <c r="BK25" s="76" t="str">
        <f>IFERROR(IF(AND(s_Irr!J25&lt;&gt;".",s_Irr!AI25&lt;&gt;".",s_Irr!BH25&lt;&gt;"."),s_dir!AK25/((1/1000)*(s_Irr!J25+s_Irr!AI25+s_Irr!BH25)),IF(AND(s_Irr!J25&lt;&gt;".",s_Irr!AI25&lt;&gt;".",s_Irr!BH25="."),s_dir!AK25/((1/1000)*(s_Irr!J25+s_Irr!AI25)),IF(AND(s_Irr!J25&lt;&gt;".",s_Irr!AI25=".",s_Irr!BH25&lt;&gt;"."),s_dir!AK25/((1/1000)*(s_Irr!J25+s_Irr!BH25)),IF(AND(s_Irr!J25=".",s_Irr!AI25&lt;&gt;".",s_Irr!BH25&lt;&gt;"."),s_dir!AK25/((1/1000)*(s_Irr!AI25+s_Irr!BH25)),IF(AND(s_Irr!J25=".",s_Irr!AI25=".",s_Irr!BH25&lt;&gt;"."),s_dir!AK25/((1/1000)*(s_Irr!BH25)),IF(AND(s_Irr!J25=".",s_Irr!AI25&lt;&gt;".",s_Irr!BH25="."),s_dir!AK25/((1/1000)*(s_Irr!AI25)),IF(AND(s_Irr!J25&lt;&gt;".",s_Irr!AI25=".",s_Irr!BH25="."),s_dir!AK25/((1/1000)*(s_Irr!J25)),IF(AND(s_Irr!J25=".",s_Irr!AI25=".",s_Irr!BH25="."),s_dir!AK25*1000)))))))),".")</f>
        <v>.</v>
      </c>
      <c r="BL25" s="76" t="str">
        <f>IFERROR(IF(AND(s_Irr!K25&lt;&gt;".",s_Irr!AJ25&lt;&gt;".",s_Irr!BI25&lt;&gt;"."),s_dir!AL25/((1/1000)*(s_Irr!K25+s_Irr!AJ25+s_Irr!BI25)),IF(AND(s_Irr!K25&lt;&gt;".",s_Irr!AJ25&lt;&gt;".",s_Irr!BI25="."),s_dir!AL25/((1/1000)*(s_Irr!K25+s_Irr!AJ25)),IF(AND(s_Irr!K25&lt;&gt;".",s_Irr!AJ25=".",s_Irr!BI25&lt;&gt;"."),s_dir!AL25/((1/1000)*(s_Irr!K25+s_Irr!BI25)),IF(AND(s_Irr!K25=".",s_Irr!AJ25&lt;&gt;".",s_Irr!BI25&lt;&gt;"."),s_dir!AL25/((1/1000)*(s_Irr!AJ25+s_Irr!BI25)),IF(AND(s_Irr!K25=".",s_Irr!AJ25=".",s_Irr!BI25&lt;&gt;"."),s_dir!AL25/((1/1000)*(s_Irr!BI25)),IF(AND(s_Irr!K25=".",s_Irr!AJ25&lt;&gt;".",s_Irr!BI25="."),s_dir!AL25/((1/1000)*(s_Irr!AJ25)),IF(AND(s_Irr!K25&lt;&gt;".",s_Irr!AJ25=".",s_Irr!BI25="."),s_dir!AL25/((1/1000)*(s_Irr!K25)),IF(AND(s_Irr!K25=".",s_Irr!AJ25=".",s_Irr!BI25="."),s_dir!AL25*1000)))))))),".")</f>
        <v>.</v>
      </c>
      <c r="BM25" s="76" t="str">
        <f>IFERROR(IF(AND(s_Irr!L25&lt;&gt;".",s_Irr!AK25&lt;&gt;".",s_Irr!BJ25&lt;&gt;"."),s_dir!AM25/((1/1000)*(s_Irr!L25+s_Irr!AK25+s_Irr!BJ25)),IF(AND(s_Irr!L25&lt;&gt;".",s_Irr!AK25&lt;&gt;".",s_Irr!BJ25="."),s_dir!AM25/((1/1000)*(s_Irr!L25+s_Irr!AK25)),IF(AND(s_Irr!L25&lt;&gt;".",s_Irr!AK25=".",s_Irr!BJ25&lt;&gt;"."),s_dir!AM25/((1/1000)*(s_Irr!L25+s_Irr!BJ25)),IF(AND(s_Irr!L25=".",s_Irr!AK25&lt;&gt;".",s_Irr!BJ25&lt;&gt;"."),s_dir!AM25/((1/1000)*(s_Irr!AK25+s_Irr!BJ25)),IF(AND(s_Irr!L25=".",s_Irr!AK25=".",s_Irr!BJ25&lt;&gt;"."),s_dir!AM25/((1/1000)*(s_Irr!BJ25)),IF(AND(s_Irr!L25=".",s_Irr!AK25&lt;&gt;".",s_Irr!BJ25="."),s_dir!AM25/((1/1000)*(s_Irr!AK25)),IF(AND(s_Irr!L25&lt;&gt;".",s_Irr!AK25=".",s_Irr!BJ25="."),s_dir!AM25/((1/1000)*(s_Irr!L25)),IF(AND(s_Irr!L25=".",s_Irr!AK25=".",s_Irr!BJ25="."),s_dir!AM25*1000)))))))),".")</f>
        <v>.</v>
      </c>
      <c r="BN25" s="76" t="str">
        <f>IFERROR(IF(AND(s_Irr!M25&lt;&gt;".",s_Irr!AL25&lt;&gt;".",s_Irr!BK25&lt;&gt;"."),s_dir!AN25/((1/1000)*(s_Irr!M25+s_Irr!AL25+s_Irr!BK25)),IF(AND(s_Irr!M25&lt;&gt;".",s_Irr!AL25&lt;&gt;".",s_Irr!BK25="."),s_dir!AN25/((1/1000)*(s_Irr!M25+s_Irr!AL25)),IF(AND(s_Irr!M25&lt;&gt;".",s_Irr!AL25=".",s_Irr!BK25&lt;&gt;"."),s_dir!AN25/((1/1000)*(s_Irr!M25+s_Irr!BK25)),IF(AND(s_Irr!M25=".",s_Irr!AL25&lt;&gt;".",s_Irr!BK25&lt;&gt;"."),s_dir!AN25/((1/1000)*(s_Irr!AL25+s_Irr!BK25)),IF(AND(s_Irr!M25=".",s_Irr!AL25=".",s_Irr!BK25&lt;&gt;"."),s_dir!AN25/((1/1000)*(s_Irr!BK25)),IF(AND(s_Irr!M25=".",s_Irr!AL25&lt;&gt;".",s_Irr!BK25="."),s_dir!AN25/((1/1000)*(s_Irr!AL25)),IF(AND(s_Irr!M25&lt;&gt;".",s_Irr!AL25=".",s_Irr!BK25="."),s_dir!AN25/((1/1000)*(s_Irr!M25)),IF(AND(s_Irr!M25=".",s_Irr!AL25=".",s_Irr!BK25="."),s_dir!AN25*1000)))))))),".")</f>
        <v>.</v>
      </c>
      <c r="BO25" s="76" t="str">
        <f>IFERROR(IF(AND(s_Irr!N25&lt;&gt;".",s_Irr!AM25&lt;&gt;".",s_Irr!BL25&lt;&gt;"."),s_dir!AO25/((1/1000)*(s_Irr!N25+s_Irr!AM25+s_Irr!BL25)),IF(AND(s_Irr!N25&lt;&gt;".",s_Irr!AM25&lt;&gt;".",s_Irr!BL25="."),s_dir!AO25/((1/1000)*(s_Irr!N25+s_Irr!AM25)),IF(AND(s_Irr!N25&lt;&gt;".",s_Irr!AM25=".",s_Irr!BL25&lt;&gt;"."),s_dir!AO25/((1/1000)*(s_Irr!N25+s_Irr!BL25)),IF(AND(s_Irr!N25=".",s_Irr!AM25&lt;&gt;".",s_Irr!BL25&lt;&gt;"."),s_dir!AO25/((1/1000)*(s_Irr!AM25+s_Irr!BL25)),IF(AND(s_Irr!N25=".",s_Irr!AM25=".",s_Irr!BL25&lt;&gt;"."),s_dir!AO25/((1/1000)*(s_Irr!BL25)),IF(AND(s_Irr!N25=".",s_Irr!AM25&lt;&gt;".",s_Irr!BL25="."),s_dir!AO25/((1/1000)*(s_Irr!AM25)),IF(AND(s_Irr!N25&lt;&gt;".",s_Irr!AM25=".",s_Irr!BL25="."),s_dir!AO25/((1/1000)*(s_Irr!N25)),IF(AND(s_Irr!N25=".",s_Irr!AM25=".",s_Irr!BL25="."),s_dir!AO25*1000)))))))),".")</f>
        <v>.</v>
      </c>
      <c r="BP25" s="76" t="str">
        <f>IFERROR(IF(AND(s_Irr!O25&lt;&gt;".",s_Irr!AN25&lt;&gt;".",s_Irr!BM25&lt;&gt;"."),s_dir!AP25/((1/1000)*(s_Irr!O25+s_Irr!AN25+s_Irr!BM25)),IF(AND(s_Irr!O25&lt;&gt;".",s_Irr!AN25&lt;&gt;".",s_Irr!BM25="."),s_dir!AP25/((1/1000)*(s_Irr!O25+s_Irr!AN25)),IF(AND(s_Irr!O25&lt;&gt;".",s_Irr!AN25=".",s_Irr!BM25&lt;&gt;"."),s_dir!AP25/((1/1000)*(s_Irr!O25+s_Irr!BM25)),IF(AND(s_Irr!O25=".",s_Irr!AN25&lt;&gt;".",s_Irr!BM25&lt;&gt;"."),s_dir!AP25/((1/1000)*(s_Irr!AN25+s_Irr!BM25)),IF(AND(s_Irr!O25=".",s_Irr!AN25=".",s_Irr!BM25&lt;&gt;"."),s_dir!AP25/((1/1000)*(s_Irr!BM25)),IF(AND(s_Irr!O25=".",s_Irr!AN25&lt;&gt;".",s_Irr!BM25="."),s_dir!AP25/((1/1000)*(s_Irr!AN25)),IF(AND(s_Irr!O25&lt;&gt;".",s_Irr!AN25=".",s_Irr!BM25="."),s_dir!AP25/((1/1000)*(s_Irr!O25)),IF(AND(s_Irr!O25=".",s_Irr!AN25=".",s_Irr!BM25="."),s_dir!AP25*1000)))))))),".")</f>
        <v>.</v>
      </c>
      <c r="BQ25" s="76" t="str">
        <f>IFERROR(IF(AND(s_Irr!P25&lt;&gt;".",s_Irr!AO25&lt;&gt;".",s_Irr!BN25&lt;&gt;"."),s_dir!AQ25/((1/1000)*(s_Irr!P25+s_Irr!AO25+s_Irr!BN25)),IF(AND(s_Irr!P25&lt;&gt;".",s_Irr!AO25&lt;&gt;".",s_Irr!BN25="."),s_dir!AQ25/((1/1000)*(s_Irr!P25+s_Irr!AO25)),IF(AND(s_Irr!P25&lt;&gt;".",s_Irr!AO25=".",s_Irr!BN25&lt;&gt;"."),s_dir!AQ25/((1/1000)*(s_Irr!P25+s_Irr!BN25)),IF(AND(s_Irr!P25=".",s_Irr!AO25&lt;&gt;".",s_Irr!BN25&lt;&gt;"."),s_dir!AQ25/((1/1000)*(s_Irr!AO25+s_Irr!BN25)),IF(AND(s_Irr!P25=".",s_Irr!AO25=".",s_Irr!BN25&lt;&gt;"."),s_dir!AQ25/((1/1000)*(s_Irr!BN25)),IF(AND(s_Irr!P25=".",s_Irr!AO25&lt;&gt;".",s_Irr!BN25="."),s_dir!AQ25/((1/1000)*(s_Irr!AO25)),IF(AND(s_Irr!P25&lt;&gt;".",s_Irr!AO25=".",s_Irr!BN25="."),s_dir!AQ25/((1/1000)*(s_Irr!P25)),IF(AND(s_Irr!P25=".",s_Irr!AO25=".",s_Irr!BN25="."),s_dir!AQ25*1000)))))))),".")</f>
        <v>.</v>
      </c>
      <c r="BR25" s="76" t="str">
        <f>IFERROR(IF(AND(s_Irr!Q25&lt;&gt;".",s_Irr!AP25&lt;&gt;".",s_Irr!BO25&lt;&gt;"."),s_dir!AR25/((1/1000)*(s_Irr!Q25+s_Irr!AP25+s_Irr!BO25)),IF(AND(s_Irr!Q25&lt;&gt;".",s_Irr!AP25&lt;&gt;".",s_Irr!BO25="."),s_dir!AR25/((1/1000)*(s_Irr!Q25+s_Irr!AP25)),IF(AND(s_Irr!Q25&lt;&gt;".",s_Irr!AP25=".",s_Irr!BO25&lt;&gt;"."),s_dir!AR25/((1/1000)*(s_Irr!Q25+s_Irr!BO25)),IF(AND(s_Irr!Q25=".",s_Irr!AP25&lt;&gt;".",s_Irr!BO25&lt;&gt;"."),s_dir!AR25/((1/1000)*(s_Irr!AP25+s_Irr!BO25)),IF(AND(s_Irr!Q25=".",s_Irr!AP25=".",s_Irr!BO25&lt;&gt;"."),s_dir!AR25/((1/1000)*(s_Irr!BO25)),IF(AND(s_Irr!Q25=".",s_Irr!AP25&lt;&gt;".",s_Irr!BO25="."),s_dir!AR25/((1/1000)*(s_Irr!AP25)),IF(AND(s_Irr!Q25&lt;&gt;".",s_Irr!AP25=".",s_Irr!BO25="."),s_dir!AR25/((1/1000)*(s_Irr!Q25)),IF(AND(s_Irr!Q25=".",s_Irr!AP25=".",s_Irr!BO25="."),s_dir!AR25*1000)))))))),".")</f>
        <v>.</v>
      </c>
      <c r="BS25" s="76" t="str">
        <f>IFERROR(IF(AND(s_Irr!R25&lt;&gt;".",s_Irr!AQ25&lt;&gt;".",s_Irr!BP25&lt;&gt;"."),s_dir!AS25/((1/1000)*(s_Irr!R25+s_Irr!AQ25+s_Irr!BP25)),IF(AND(s_Irr!R25&lt;&gt;".",s_Irr!AQ25&lt;&gt;".",s_Irr!BP25="."),s_dir!AS25/((1/1000)*(s_Irr!R25+s_Irr!AQ25)),IF(AND(s_Irr!R25&lt;&gt;".",s_Irr!AQ25=".",s_Irr!BP25&lt;&gt;"."),s_dir!AS25/((1/1000)*(s_Irr!R25+s_Irr!BP25)),IF(AND(s_Irr!R25=".",s_Irr!AQ25&lt;&gt;".",s_Irr!BP25&lt;&gt;"."),s_dir!AS25/((1/1000)*(s_Irr!AQ25+s_Irr!BP25)),IF(AND(s_Irr!R25=".",s_Irr!AQ25=".",s_Irr!BP25&lt;&gt;"."),s_dir!AS25/((1/1000)*(s_Irr!BP25)),IF(AND(s_Irr!R25=".",s_Irr!AQ25&lt;&gt;".",s_Irr!BP25="."),s_dir!AS25/((1/1000)*(s_Irr!AQ25)),IF(AND(s_Irr!R25&lt;&gt;".",s_Irr!AQ25=".",s_Irr!BP25="."),s_dir!AS25/((1/1000)*(s_Irr!R25)),IF(AND(s_Irr!R25=".",s_Irr!AQ25=".",s_Irr!BP25="."),s_dir!AS25*1000)))))))),".")</f>
        <v>.</v>
      </c>
      <c r="BT25" s="76" t="str">
        <f>IFERROR(IF(AND(s_Irr!S25&lt;&gt;".",s_Irr!AR25&lt;&gt;".",s_Irr!BQ25&lt;&gt;"."),s_dir!AT25/((1/1000)*(s_Irr!S25+s_Irr!AR25+s_Irr!BQ25)),IF(AND(s_Irr!S25&lt;&gt;".",s_Irr!AR25&lt;&gt;".",s_Irr!BQ25="."),s_dir!AT25/((1/1000)*(s_Irr!S25+s_Irr!AR25)),IF(AND(s_Irr!S25&lt;&gt;".",s_Irr!AR25=".",s_Irr!BQ25&lt;&gt;"."),s_dir!AT25/((1/1000)*(s_Irr!S25+s_Irr!BQ25)),IF(AND(s_Irr!S25=".",s_Irr!AR25&lt;&gt;".",s_Irr!BQ25&lt;&gt;"."),s_dir!AT25/((1/1000)*(s_Irr!AR25+s_Irr!BQ25)),IF(AND(s_Irr!S25=".",s_Irr!AR25=".",s_Irr!BQ25&lt;&gt;"."),s_dir!AT25/((1/1000)*(s_Irr!BQ25)),IF(AND(s_Irr!S25=".",s_Irr!AR25&lt;&gt;".",s_Irr!BQ25="."),s_dir!AT25/((1/1000)*(s_Irr!AR25)),IF(AND(s_Irr!S25&lt;&gt;".",s_Irr!AR25=".",s_Irr!BQ25="."),s_dir!AT25/((1/1000)*(s_Irr!S25)),IF(AND(s_Irr!S25=".",s_Irr!AR25=".",s_Irr!BQ25="."),s_dir!AT25*1000)))))))),".")</f>
        <v>.</v>
      </c>
      <c r="BU25" s="76" t="str">
        <f>IFERROR(IF(AND(s_Irr!T25&lt;&gt;".",s_Irr!AS25&lt;&gt;".",s_Irr!BR25&lt;&gt;"."),s_dir!AU25/((1/1000)*(s_Irr!T25+s_Irr!AS25+s_Irr!BR25)),IF(AND(s_Irr!T25&lt;&gt;".",s_Irr!AS25&lt;&gt;".",s_Irr!BR25="."),s_dir!AU25/((1/1000)*(s_Irr!T25+s_Irr!AS25)),IF(AND(s_Irr!T25&lt;&gt;".",s_Irr!AS25=".",s_Irr!BR25&lt;&gt;"."),s_dir!AU25/((1/1000)*(s_Irr!T25+s_Irr!BR25)),IF(AND(s_Irr!T25=".",s_Irr!AS25&lt;&gt;".",s_Irr!BR25&lt;&gt;"."),s_dir!AU25/((1/1000)*(s_Irr!AS25+s_Irr!BR25)),IF(AND(s_Irr!T25=".",s_Irr!AS25=".",s_Irr!BR25&lt;&gt;"."),s_dir!AU25/((1/1000)*(s_Irr!BR25)),IF(AND(s_Irr!T25=".",s_Irr!AS25&lt;&gt;".",s_Irr!BR25="."),s_dir!AU25/((1/1000)*(s_Irr!AS25)),IF(AND(s_Irr!T25&lt;&gt;".",s_Irr!AS25=".",s_Irr!BR25="."),s_dir!AU25/((1/1000)*(s_Irr!T25)),IF(AND(s_Irr!T25=".",s_Irr!AS25=".",s_Irr!BR25="."),s_dir!AU25*1000)))))))),".")</f>
        <v>.</v>
      </c>
      <c r="BV25" s="76" t="str">
        <f>IFERROR(IF(AND(s_Irr!U25&lt;&gt;".",s_Irr!AT25&lt;&gt;".",s_Irr!BS25&lt;&gt;"."),s_dir!AV25/((1/1000)*(s_Irr!U25+s_Irr!AT25+s_Irr!BS25)),IF(AND(s_Irr!U25&lt;&gt;".",s_Irr!AT25&lt;&gt;".",s_Irr!BS25="."),s_dir!AV25/((1/1000)*(s_Irr!U25+s_Irr!AT25)),IF(AND(s_Irr!U25&lt;&gt;".",s_Irr!AT25=".",s_Irr!BS25&lt;&gt;"."),s_dir!AV25/((1/1000)*(s_Irr!U25+s_Irr!BS25)),IF(AND(s_Irr!U25=".",s_Irr!AT25&lt;&gt;".",s_Irr!BS25&lt;&gt;"."),s_dir!AV25/((1/1000)*(s_Irr!AT25+s_Irr!BS25)),IF(AND(s_Irr!U25=".",s_Irr!AT25=".",s_Irr!BS25&lt;&gt;"."),s_dir!AV25/((1/1000)*(s_Irr!BS25)),IF(AND(s_Irr!U25=".",s_Irr!AT25&lt;&gt;".",s_Irr!BS25="."),s_dir!AV25/((1/1000)*(s_Irr!AT25)),IF(AND(s_Irr!U25&lt;&gt;".",s_Irr!AT25=".",s_Irr!BS25="."),s_dir!AV25/((1/1000)*(s_Irr!U25)),IF(AND(s_Irr!U25=".",s_Irr!AT25=".",s_Irr!BS25="."),s_dir!AV25*1000)))))))),".")</f>
        <v>.</v>
      </c>
      <c r="BW25" s="76" t="str">
        <f>IFERROR(IF(AND(s_Irr!V25&lt;&gt;".",s_Irr!AU25&lt;&gt;".",s_Irr!BT25&lt;&gt;"."),s_dir!AW25/((1/1000)*(s_Irr!V25+s_Irr!AU25+s_Irr!BT25)),IF(AND(s_Irr!V25&lt;&gt;".",s_Irr!AU25&lt;&gt;".",s_Irr!BT25="."),s_dir!AW25/((1/1000)*(s_Irr!V25+s_Irr!AU25)),IF(AND(s_Irr!V25&lt;&gt;".",s_Irr!AU25=".",s_Irr!BT25&lt;&gt;"."),s_dir!AW25/((1/1000)*(s_Irr!V25+s_Irr!BT25)),IF(AND(s_Irr!V25=".",s_Irr!AU25&lt;&gt;".",s_Irr!BT25&lt;&gt;"."),s_dir!AW25/((1/1000)*(s_Irr!AU25+s_Irr!BT25)),IF(AND(s_Irr!V25=".",s_Irr!AU25=".",s_Irr!BT25&lt;&gt;"."),s_dir!AW25/((1/1000)*(s_Irr!BT25)),IF(AND(s_Irr!V25=".",s_Irr!AU25&lt;&gt;".",s_Irr!BT25="."),s_dir!AW25/((1/1000)*(s_Irr!AU25)),IF(AND(s_Irr!V25&lt;&gt;".",s_Irr!AU25=".",s_Irr!BT25="."),s_dir!AW25/((1/1000)*(s_Irr!V25)),IF(AND(s_Irr!V25=".",s_Irr!AU25=".",s_Irr!BT25="."),s_dir!AW25*1000)))))))),".")</f>
        <v>.</v>
      </c>
      <c r="BX25" s="76" t="str">
        <f>IFERROR(IF(AND(s_Irr!W25&lt;&gt;".",s_Irr!AV25&lt;&gt;".",s_Irr!BU25&lt;&gt;"."),s_dir!AX25/((1/1000)*(s_Irr!W25+s_Irr!AV25+s_Irr!BU25)),IF(AND(s_Irr!W25&lt;&gt;".",s_Irr!AV25&lt;&gt;".",s_Irr!BU25="."),s_dir!AX25/((1/1000)*(s_Irr!W25+s_Irr!AV25)),IF(AND(s_Irr!W25&lt;&gt;".",s_Irr!AV25=".",s_Irr!BU25&lt;&gt;"."),s_dir!AX25/((1/1000)*(s_Irr!W25+s_Irr!BU25)),IF(AND(s_Irr!W25=".",s_Irr!AV25&lt;&gt;".",s_Irr!BU25&lt;&gt;"."),s_dir!AX25/((1/1000)*(s_Irr!AV25+s_Irr!BU25)),IF(AND(s_Irr!W25=".",s_Irr!AV25=".",s_Irr!BU25&lt;&gt;"."),s_dir!AX25/((1/1000)*(s_Irr!BU25)),IF(AND(s_Irr!W25=".",s_Irr!AV25&lt;&gt;".",s_Irr!BU25="."),s_dir!AX25/((1/1000)*(s_Irr!AV25)),IF(AND(s_Irr!W25&lt;&gt;".",s_Irr!AV25=".",s_Irr!BU25="."),s_dir!AX25/((1/1000)*(s_Irr!W25)),IF(AND(s_Irr!W25=".",s_Irr!AV25=".",s_Irr!BU25="."),s_dir!AX25*1000)))))))),".")</f>
        <v>.</v>
      </c>
      <c r="BY25" s="76" t="str">
        <f>IFERROR(IF(AND(s_Irr!X25&lt;&gt;".",s_Irr!AW25&lt;&gt;".",s_Irr!BV25&lt;&gt;"."),s_dir!AY25/((1/1000)*(s_Irr!X25+s_Irr!AW25+s_Irr!BV25)),IF(AND(s_Irr!X25&lt;&gt;".",s_Irr!AW25&lt;&gt;".",s_Irr!BV25="."),s_dir!AY25/((1/1000)*(s_Irr!X25+s_Irr!AW25)),IF(AND(s_Irr!X25&lt;&gt;".",s_Irr!AW25=".",s_Irr!BV25&lt;&gt;"."),s_dir!AY25/((1/1000)*(s_Irr!X25+s_Irr!BV25)),IF(AND(s_Irr!X25=".",s_Irr!AW25&lt;&gt;".",s_Irr!BV25&lt;&gt;"."),s_dir!AY25/((1/1000)*(s_Irr!AW25+s_Irr!BV25)),IF(AND(s_Irr!X25=".",s_Irr!AW25=".",s_Irr!BV25&lt;&gt;"."),s_dir!AY25/((1/1000)*(s_Irr!BV25)),IF(AND(s_Irr!X25=".",s_Irr!AW25&lt;&gt;".",s_Irr!BV25="."),s_dir!AY25/((1/1000)*(s_Irr!AW25)),IF(AND(s_Irr!X25&lt;&gt;".",s_Irr!AW25=".",s_Irr!BV25="."),s_dir!AY25/((1/1000)*(s_Irr!X25)),IF(AND(s_Irr!X25=".",s_Irr!AW25=".",s_Irr!BV25="."),s_dir!AY25*1000)))))))),".")</f>
        <v>.</v>
      </c>
      <c r="BZ25" s="76" t="str">
        <f>IFERROR(IF(AND(s_Irr!Y25&lt;&gt;".",s_Irr!AX25&lt;&gt;".",s_Irr!BW25&lt;&gt;"."),s_dir!AZ25/((1/1000)*(s_Irr!Y25+s_Irr!AX25+s_Irr!BW25)),IF(AND(s_Irr!Y25&lt;&gt;".",s_Irr!AX25&lt;&gt;".",s_Irr!BW25="."),s_dir!AZ25/((1/1000)*(s_Irr!Y25+s_Irr!AX25)),IF(AND(s_Irr!Y25&lt;&gt;".",s_Irr!AX25=".",s_Irr!BW25&lt;&gt;"."),s_dir!AZ25/((1/1000)*(s_Irr!Y25+s_Irr!BW25)),IF(AND(s_Irr!Y25=".",s_Irr!AX25&lt;&gt;".",s_Irr!BW25&lt;&gt;"."),s_dir!AZ25/((1/1000)*(s_Irr!AX25+s_Irr!BW25)),IF(AND(s_Irr!Y25=".",s_Irr!AX25=".",s_Irr!BW25&lt;&gt;"."),s_dir!AZ25/((1/1000)*(s_Irr!BW25)),IF(AND(s_Irr!Y25=".",s_Irr!AX25&lt;&gt;".",s_Irr!BW25="."),s_dir!AZ25/((1/1000)*(s_Irr!AX25)),IF(AND(s_Irr!Y25&lt;&gt;".",s_Irr!AX25=".",s_Irr!BW25="."),s_dir!AZ25/((1/1000)*(s_Irr!Y25)),IF(AND(s_Irr!Y25=".",s_Irr!AX25=".",s_Irr!BW25="."),s_dir!AZ25*1000)))))))),".")</f>
        <v>.</v>
      </c>
      <c r="CA25" s="76" t="str">
        <f>IFERROR(IF(AND(s_Irr!Z25&lt;&gt;".",s_Irr!AY25&lt;&gt;".",s_Irr!BX25&lt;&gt;"."),s_dir!BA25/((1/1000)*(s_Irr!Z25+s_Irr!AY25+s_Irr!BX25)),IF(AND(s_Irr!Z25&lt;&gt;".",s_Irr!AY25&lt;&gt;".",s_Irr!BX25="."),s_dir!BA25/((1/1000)*(s_Irr!Z25+s_Irr!AY25)),IF(AND(s_Irr!Z25&lt;&gt;".",s_Irr!AY25=".",s_Irr!BX25&lt;&gt;"."),s_dir!BA25/((1/1000)*(s_Irr!Z25+s_Irr!BX25)),IF(AND(s_Irr!Z25=".",s_Irr!AY25&lt;&gt;".",s_Irr!BX25&lt;&gt;"."),s_dir!BA25/((1/1000)*(s_Irr!AY25+s_Irr!BX25)),IF(AND(s_Irr!Z25=".",s_Irr!AY25=".",s_Irr!BX25&lt;&gt;"."),s_dir!BA25/((1/1000)*(s_Irr!BX25)),IF(AND(s_Irr!Z25=".",s_Irr!AY25&lt;&gt;".",s_Irr!BX25="."),s_dir!BA25/((1/1000)*(s_Irr!AY25)),IF(AND(s_Irr!Z25&lt;&gt;".",s_Irr!AY25=".",s_Irr!BX25="."),s_dir!BA25/((1/1000)*(s_Irr!Z25)),IF(AND(s_Irr!Z25=".",s_Irr!AY25=".",s_Irr!BX25="."),s_dir!BA25*1000)))))))),".")</f>
        <v>.</v>
      </c>
      <c r="CB25" s="76" t="str">
        <f>IFERROR(IF(AND(s_Irr!AA25&lt;&gt;".",s_Irr!AZ25&lt;&gt;".",s_Irr!BY25&lt;&gt;"."),s_dir!BB25/((1/1000)*(s_Irr!AA25+s_Irr!AZ25+s_Irr!BY25)),IF(AND(s_Irr!AA25&lt;&gt;".",s_Irr!AZ25&lt;&gt;".",s_Irr!BY25="."),s_dir!BB25/((1/1000)*(s_Irr!AA25+s_Irr!AZ25)),IF(AND(s_Irr!AA25&lt;&gt;".",s_Irr!AZ25=".",s_Irr!BY25&lt;&gt;"."),s_dir!BB25/((1/1000)*(s_Irr!AA25+s_Irr!BY25)),IF(AND(s_Irr!AA25=".",s_Irr!AZ25&lt;&gt;".",s_Irr!BY25&lt;&gt;"."),s_dir!BB25/((1/1000)*(s_Irr!AZ25+s_Irr!BY25)),IF(AND(s_Irr!AA25=".",s_Irr!AZ25=".",s_Irr!BY25&lt;&gt;"."),s_dir!BB25/((1/1000)*(s_Irr!BY25)),IF(AND(s_Irr!AA25=".",s_Irr!AZ25&lt;&gt;".",s_Irr!BY25="."),s_dir!BB25/((1/1000)*(s_Irr!AZ25)),IF(AND(s_Irr!AA25&lt;&gt;".",s_Irr!AZ25=".",s_Irr!BY25="."),s_dir!BB25/((1/1000)*(s_Irr!AA25)),IF(AND(s_Irr!AA25=".",s_Irr!AZ25=".",s_Irr!BY25="."),s_dir!BB25*1000)))))))),".")</f>
        <v>.</v>
      </c>
      <c r="CC25" s="93">
        <f t="shared" si="2"/>
        <v>0</v>
      </c>
      <c r="CD25" s="93">
        <f>IFERROR(s_C*s_IFAP_far_adj*s_CF_apple*(1/1000)*(s_Irr!C25+s_Irr!AB25+s_Irr!BA25),".")</f>
        <v>0</v>
      </c>
      <c r="CE25" s="93">
        <f>IFERROR(s_C*s_IFAS_far_adj*s_CF_asparagus*(1/1000)*(s_Irr!D25+s_Irr!AC25+s_Irr!BB25),".")</f>
        <v>0</v>
      </c>
      <c r="CF25" s="93">
        <f>IFERROR(s_C*s_IFBT_far_adj*s_CF_beet*(1/1000)*(s_Irr!E25+s_Irr!AD25+s_Irr!BC25),".")</f>
        <v>0</v>
      </c>
      <c r="CG25" s="93">
        <f>IFERROR(s_C*s_IFBE_far_adj*s_CF_berries*(1/1000)*(s_Irr!F25+s_Irr!AE25+s_Irr!BD25),".")</f>
        <v>0</v>
      </c>
      <c r="CH25" s="93">
        <f>IFERROR(s_C*s_IFBR_far_adj*s_CF_broccoli*(1/1000)*(s_Irr!G25+s_Irr!AF25+s_Irr!BE25),".")</f>
        <v>0</v>
      </c>
      <c r="CI25" s="93">
        <f>IFERROR(s_C*s_IFCB_far_adj*s_CF_cabbage*(1/1000)*(s_Irr!H25+s_Irr!AG25+s_Irr!BF25),".")</f>
        <v>0</v>
      </c>
      <c r="CJ25" s="93">
        <f>IFERROR(s_C*s_IFCR_far_adj*s_CF_carrot*(1/1000)*(s_Irr!I25+s_Irr!AH25+s_Irr!BG25),".")</f>
        <v>0</v>
      </c>
      <c r="CK25" s="93">
        <f>IFERROR(s_C*s_IFCI_far_adj*s_CF_citrus*(1/1000)*(s_Irr!J25+s_Irr!AI25+s_Irr!BH25),".")</f>
        <v>0</v>
      </c>
      <c r="CL25" s="93">
        <f>IFERROR(s_C*s_IFCO_far_adj*s_CF_corn*(1/1000)*(s_Irr!K25+s_Irr!AJ25+s_Irr!BI25),".")</f>
        <v>0</v>
      </c>
      <c r="CM25" s="93">
        <f>IFERROR(s_C*s_IFCU_far_adj*s_CF_cucumber*(1/1000)*(s_Irr!L25+s_Irr!AK25+s_Irr!BJ25),".")</f>
        <v>0</v>
      </c>
      <c r="CN25" s="93">
        <f>IFERROR(s_C*s_IFLE_far_adj*s_CF_lettuce*(1/1000)*(s_Irr!M25+s_Irr!AL25+s_Irr!BK25),".")</f>
        <v>0</v>
      </c>
      <c r="CO25" s="93">
        <f>IFERROR(s_C*s_IFLI_far_adj*s_CF_lima_bean*(1/1000)*(s_Irr!N25+s_Irr!AM25+s_Irr!BL25),".")</f>
        <v>0</v>
      </c>
      <c r="CP25" s="93">
        <f>IFERROR(s_C*s_IFOK_far_adj*s_CF_okra*(1/1000)*(s_Irr!O25+s_Irr!AN25+s_Irr!BM25),".")</f>
        <v>0</v>
      </c>
      <c r="CQ25" s="93">
        <f>IFERROR(s_C*s_IFON_far_adj*s_CF_onion*(1/1000)*(s_Irr!P25+s_Irr!AO25+s_Irr!BN25),".")</f>
        <v>0</v>
      </c>
      <c r="CR25" s="93">
        <f>IFERROR(s_C*s_IFPC_far_adj*s_CF_peach*(1/1000)*(s_Irr!Q25+s_Irr!AP25+s_Irr!BO25),".")</f>
        <v>0</v>
      </c>
      <c r="CS25" s="93">
        <f>IFERROR(s_C*s_IFPR_far_adj*s_CF_pear*(1/1000)*(s_Irr!R25+s_Irr!AQ25+s_Irr!BP25),".")</f>
        <v>0</v>
      </c>
      <c r="CT25" s="93">
        <f>IFERROR(s_C*s_IFPE_far_adj*s_CF_peas*(1/1000)*(s_Irr!S25+s_Irr!AR25+s_Irr!BQ25),".")</f>
        <v>0</v>
      </c>
      <c r="CU25" s="93">
        <f>IFERROR(s_C*s_IFPP_far_adj*s_CF_peppers*(1/1000)*(s_Irr!T25+s_Irr!AS25+s_Irr!BR25),".")</f>
        <v>0</v>
      </c>
      <c r="CV25" s="93">
        <f>IFERROR(s_C*s_IFPT_far_adj*s_CF_potato*(1/1000)*(s_Irr!U25+s_Irr!AT25+s_Irr!BS25),".")</f>
        <v>0</v>
      </c>
      <c r="CW25" s="93">
        <f>IFERROR(s_C*s_IFPU_far_adj*s_CF_pumpkin*(1/1000)*(s_Irr!V25+s_Irr!AU25+s_Irr!BT25),".")</f>
        <v>0</v>
      </c>
      <c r="CX25" s="93">
        <f>IFERROR(s_C*s_IFSN_far_adj*s_CF_snap_bean*(1/1000)*(s_Irr!W25+s_Irr!AV25+s_Irr!BU25),".")</f>
        <v>0</v>
      </c>
      <c r="CY25" s="93">
        <f>IFERROR(s_C*s_IFST_far_adj*s_CF_strawberry*(1/1000)*(s_Irr!X25+s_Irr!AW25+s_Irr!BV25),".")</f>
        <v>0</v>
      </c>
      <c r="CZ25" s="93">
        <f>IFERROR(s_C*s_IFTO_far_adj*s_CF_tomato*(1/1000)*(s_Irr!Y25+s_Irr!AX25+s_Irr!BW25),".")</f>
        <v>0</v>
      </c>
      <c r="DA25" s="93">
        <f>IFERROR(s_C*s_IFRI_far_adj*s_CF_rice*(1/1000)*(s_Irr!Z25+s_Irr!AY25+s_Irr!BX25),".")</f>
        <v>0</v>
      </c>
      <c r="DB25" s="93">
        <f>IFERROR(s_C*s_IFCG_far_adj*s_CF_cereal*(1/1000)*(s_Irr!AA25+s_Irr!AZ25+s_Irr!BY25),".")</f>
        <v>0</v>
      </c>
    </row>
    <row r="26" spans="1:106" ht="15" customHeight="1" x14ac:dyDescent="0.25">
      <c r="A26" s="92" t="s">
        <v>36</v>
      </c>
      <c r="B26" s="90" t="s">
        <v>1071</v>
      </c>
      <c r="C26" s="15">
        <f t="shared" si="3"/>
        <v>23.965985200355735</v>
      </c>
      <c r="D26" s="76">
        <f>IFERROR(IF(AND(s_Irr!C26&lt;&gt;".",s_Irr!AB26&lt;&gt;".",s_Irr!BA26&lt;&gt;"."),s_dir!D26/((1/1000)*(s_Irr!C26+s_Irr!AB26+s_Irr!BA26)),IF(AND(s_Irr!C26&lt;&gt;".",s_Irr!AB26&lt;&gt;".",s_Irr!BA26="."),s_dir!D26/((1/1000)*(s_Irr!C26+s_Irr!AB26)),IF(AND(s_Irr!C26&lt;&gt;".",s_Irr!AB26=".",s_Irr!BA26&lt;&gt;"."),s_dir!D26/((1/1000)*(s_Irr!C26+s_Irr!BA26)),IF(AND(s_Irr!C26=".",s_Irr!AB26&lt;&gt;".",s_Irr!BA26&lt;&gt;"."),s_dir!D26/((1/1000)*(s_Irr!AB26+s_Irr!BA26)),IF(AND(s_Irr!C26=".",s_Irr!AB26=".",s_Irr!BA26&lt;&gt;"."),s_dir!D26/((1/1000)*(s_Irr!BA26)),IF(AND(s_Irr!C26=".",s_Irr!AB26&lt;&gt;".",s_Irr!BA26="."),s_dir!D26/((1/1000)*(s_Irr!AB26)),IF(AND(s_Irr!C26&lt;&gt;".",s_Irr!AB26=".",s_Irr!BA26="."),s_dir!D26/((1/1000)*(s_Irr!C26)),IF(AND(s_Irr!C26=".",s_Irr!AB26=".",s_Irr!BA26="."),s_dir!D26*1000)))))))),".")</f>
        <v>96.485632209196055</v>
      </c>
      <c r="E26" s="76">
        <f>IFERROR(IF(AND(s_Irr!D26&lt;&gt;".",s_Irr!AC26&lt;&gt;".",s_Irr!BB26&lt;&gt;"."),s_dir!E26/((1/1000)*(s_Irr!D26+s_Irr!AC26+s_Irr!BB26)),IF(AND(s_Irr!D26&lt;&gt;".",s_Irr!AC26&lt;&gt;".",s_Irr!BB26="."),s_dir!E26/((1/1000)*(s_Irr!D26+s_Irr!AC26)),IF(AND(s_Irr!D26&lt;&gt;".",s_Irr!AC26=".",s_Irr!BB26&lt;&gt;"."),s_dir!E26/((1/1000)*(s_Irr!D26+s_Irr!BB26)),IF(AND(s_Irr!D26=".",s_Irr!AC26&lt;&gt;".",s_Irr!BB26&lt;&gt;"."),s_dir!E26/((1/1000)*(s_Irr!AC26+s_Irr!BB26)),IF(AND(s_Irr!D26=".",s_Irr!AC26=".",s_Irr!BB26&lt;&gt;"."),s_dir!E26/((1/1000)*(s_Irr!BB26)),IF(AND(s_Irr!D26=".",s_Irr!AC26&lt;&gt;".",s_Irr!BB26="."),s_dir!E26/((1/1000)*(s_Irr!AC26)),IF(AND(s_Irr!D26&lt;&gt;".",s_Irr!AC26=".",s_Irr!BB26="."),s_dir!E26/((1/1000)*(s_Irr!D26)),IF(AND(s_Irr!D26=".",s_Irr!AC26=".",s_Irr!BB26="."),s_dir!E26*1000)))))))),".")</f>
        <v>95.361211956294184</v>
      </c>
      <c r="F26" s="76">
        <f>IFERROR(IF(AND(s_Irr!E26&lt;&gt;".",s_Irr!AD26&lt;&gt;".",s_Irr!BC26&lt;&gt;"."),s_dir!F26/((1/1000)*(s_Irr!E26+s_Irr!AD26+s_Irr!BC26)),IF(AND(s_Irr!E26&lt;&gt;".",s_Irr!AD26&lt;&gt;".",s_Irr!BC26="."),s_dir!F26/((1/1000)*(s_Irr!E26+s_Irr!AD26)),IF(AND(s_Irr!E26&lt;&gt;".",s_Irr!AD26=".",s_Irr!BC26&lt;&gt;"."),s_dir!F26/((1/1000)*(s_Irr!E26+s_Irr!BC26)),IF(AND(s_Irr!E26=".",s_Irr!AD26&lt;&gt;".",s_Irr!BC26&lt;&gt;"."),s_dir!F26/((1/1000)*(s_Irr!AD26+s_Irr!BC26)),IF(AND(s_Irr!E26=".",s_Irr!AD26=".",s_Irr!BC26&lt;&gt;"."),s_dir!F26/((1/1000)*(s_Irr!BC26)),IF(AND(s_Irr!E26=".",s_Irr!AD26&lt;&gt;".",s_Irr!BC26="."),s_dir!F26/((1/1000)*(s_Irr!AD26)),IF(AND(s_Irr!E26&lt;&gt;".",s_Irr!AD26=".",s_Irr!BC26="."),s_dir!F26/((1/1000)*(s_Irr!E26)),IF(AND(s_Irr!E26=".",s_Irr!AD26=".",s_Irr!BC26="."),s_dir!F26*1000)))))))),".")</f>
        <v>96.000507226884864</v>
      </c>
      <c r="G26" s="76">
        <f>IFERROR(IF(AND(s_Irr!F26&lt;&gt;".",s_Irr!AE26&lt;&gt;".",s_Irr!BD26&lt;&gt;"."),s_dir!G26/((1/1000)*(s_Irr!F26+s_Irr!AE26+s_Irr!BD26)),IF(AND(s_Irr!F26&lt;&gt;".",s_Irr!AE26&lt;&gt;".",s_Irr!BD26="."),s_dir!G26/((1/1000)*(s_Irr!F26+s_Irr!AE26)),IF(AND(s_Irr!F26&lt;&gt;".",s_Irr!AE26=".",s_Irr!BD26&lt;&gt;"."),s_dir!G26/((1/1000)*(s_Irr!F26+s_Irr!BD26)),IF(AND(s_Irr!F26=".",s_Irr!AE26&lt;&gt;".",s_Irr!BD26&lt;&gt;"."),s_dir!G26/((1/1000)*(s_Irr!AE26+s_Irr!BD26)),IF(AND(s_Irr!F26=".",s_Irr!AE26=".",s_Irr!BD26&lt;&gt;"."),s_dir!G26/((1/1000)*(s_Irr!BD26)),IF(AND(s_Irr!F26=".",s_Irr!AE26&lt;&gt;".",s_Irr!BD26="."),s_dir!G26/((1/1000)*(s_Irr!AE26)),IF(AND(s_Irr!F26&lt;&gt;".",s_Irr!AE26=".",s_Irr!BD26="."),s_dir!G26/((1/1000)*(s_Irr!F26)),IF(AND(s_Irr!F26=".",s_Irr!AE26=".",s_Irr!BD26="."),s_dir!G26*1000)))))))),".")</f>
        <v>96.485632209196055</v>
      </c>
      <c r="H26" s="76">
        <f>IFERROR(IF(AND(s_Irr!G26&lt;&gt;".",s_Irr!AF26&lt;&gt;".",s_Irr!BE26&lt;&gt;"."),s_dir!H26/((1/1000)*(s_Irr!G26+s_Irr!AF26+s_Irr!BE26)),IF(AND(s_Irr!G26&lt;&gt;".",s_Irr!AF26&lt;&gt;".",s_Irr!BE26="."),s_dir!H26/((1/1000)*(s_Irr!G26+s_Irr!AF26)),IF(AND(s_Irr!G26&lt;&gt;".",s_Irr!AF26=".",s_Irr!BE26&lt;&gt;"."),s_dir!H26/((1/1000)*(s_Irr!G26+s_Irr!BE26)),IF(AND(s_Irr!G26=".",s_Irr!AF26&lt;&gt;".",s_Irr!BE26&lt;&gt;"."),s_dir!H26/((1/1000)*(s_Irr!AF26+s_Irr!BE26)),IF(AND(s_Irr!G26=".",s_Irr!AF26=".",s_Irr!BE26&lt;&gt;"."),s_dir!H26/((1/1000)*(s_Irr!BE26)),IF(AND(s_Irr!G26=".",s_Irr!AF26&lt;&gt;".",s_Irr!BE26="."),s_dir!H26/((1/1000)*(s_Irr!AF26)),IF(AND(s_Irr!G26&lt;&gt;".",s_Irr!AF26=".",s_Irr!BE26="."),s_dir!H26/((1/1000)*(s_Irr!G26)),IF(AND(s_Irr!G26=".",s_Irr!AF26=".",s_Irr!BE26="."),s_dir!H26*1000)))))))),".")</f>
        <v>96.032697070008439</v>
      </c>
      <c r="I26" s="76">
        <f>IFERROR(IF(AND(s_Irr!H26&lt;&gt;".",s_Irr!AG26&lt;&gt;".",s_Irr!BF26&lt;&gt;"."),s_dir!I26/((1/1000)*(s_Irr!H26+s_Irr!AG26+s_Irr!BF26)),IF(AND(s_Irr!H26&lt;&gt;".",s_Irr!AG26&lt;&gt;".",s_Irr!BF26="."),s_dir!I26/((1/1000)*(s_Irr!H26+s_Irr!AG26)),IF(AND(s_Irr!H26&lt;&gt;".",s_Irr!AG26=".",s_Irr!BF26&lt;&gt;"."),s_dir!I26/((1/1000)*(s_Irr!H26+s_Irr!BF26)),IF(AND(s_Irr!H26=".",s_Irr!AG26&lt;&gt;".",s_Irr!BF26&lt;&gt;"."),s_dir!I26/((1/1000)*(s_Irr!AG26+s_Irr!BF26)),IF(AND(s_Irr!H26=".",s_Irr!AG26=".",s_Irr!BF26&lt;&gt;"."),s_dir!I26/((1/1000)*(s_Irr!BF26)),IF(AND(s_Irr!H26=".",s_Irr!AG26&lt;&gt;".",s_Irr!BF26="."),s_dir!I26/((1/1000)*(s_Irr!AG26)),IF(AND(s_Irr!H26&lt;&gt;".",s_Irr!AG26=".",s_Irr!BF26="."),s_dir!I26/((1/1000)*(s_Irr!H26)),IF(AND(s_Irr!H26=".",s_Irr!AG26=".",s_Irr!BF26="."),s_dir!I26*1000)))))))),".")</f>
        <v>95.361211956294184</v>
      </c>
      <c r="J26" s="76">
        <f>IFERROR(IF(AND(s_Irr!I26&lt;&gt;".",s_Irr!AH26&lt;&gt;".",s_Irr!BG26&lt;&gt;"."),s_dir!J26/((1/1000)*(s_Irr!I26+s_Irr!AH26+s_Irr!BG26)),IF(AND(s_Irr!I26&lt;&gt;".",s_Irr!AH26&lt;&gt;".",s_Irr!BG26="."),s_dir!J26/((1/1000)*(s_Irr!I26+s_Irr!AH26)),IF(AND(s_Irr!I26&lt;&gt;".",s_Irr!AH26=".",s_Irr!BG26&lt;&gt;"."),s_dir!J26/((1/1000)*(s_Irr!I26+s_Irr!BG26)),IF(AND(s_Irr!I26=".",s_Irr!AH26&lt;&gt;".",s_Irr!BG26&lt;&gt;"."),s_dir!J26/((1/1000)*(s_Irr!AH26+s_Irr!BG26)),IF(AND(s_Irr!I26=".",s_Irr!AH26=".",s_Irr!BG26&lt;&gt;"."),s_dir!J26/((1/1000)*(s_Irr!BG26)),IF(AND(s_Irr!I26=".",s_Irr!AH26&lt;&gt;".",s_Irr!BG26="."),s_dir!J26/((1/1000)*(s_Irr!AH26)),IF(AND(s_Irr!I26&lt;&gt;".",s_Irr!AH26=".",s_Irr!BG26="."),s_dir!J26/((1/1000)*(s_Irr!I26)),IF(AND(s_Irr!I26=".",s_Irr!AH26=".",s_Irr!BG26="."),s_dir!J26*1000)))))))),".")</f>
        <v>96.000507226884864</v>
      </c>
      <c r="K26" s="76">
        <f>IFERROR(IF(AND(s_Irr!J26&lt;&gt;".",s_Irr!AI26&lt;&gt;".",s_Irr!BH26&lt;&gt;"."),s_dir!K26/((1/1000)*(s_Irr!J26+s_Irr!AI26+s_Irr!BH26)),IF(AND(s_Irr!J26&lt;&gt;".",s_Irr!AI26&lt;&gt;".",s_Irr!BH26="."),s_dir!K26/((1/1000)*(s_Irr!J26+s_Irr!AI26)),IF(AND(s_Irr!J26&lt;&gt;".",s_Irr!AI26=".",s_Irr!BH26&lt;&gt;"."),s_dir!K26/((1/1000)*(s_Irr!J26+s_Irr!BH26)),IF(AND(s_Irr!J26=".",s_Irr!AI26&lt;&gt;".",s_Irr!BH26&lt;&gt;"."),s_dir!K26/((1/1000)*(s_Irr!AI26+s_Irr!BH26)),IF(AND(s_Irr!J26=".",s_Irr!AI26=".",s_Irr!BH26&lt;&gt;"."),s_dir!K26/((1/1000)*(s_Irr!BH26)),IF(AND(s_Irr!J26=".",s_Irr!AI26&lt;&gt;".",s_Irr!BH26="."),s_dir!K26/((1/1000)*(s_Irr!AI26)),IF(AND(s_Irr!J26&lt;&gt;".",s_Irr!AI26=".",s_Irr!BH26="."),s_dir!K26/((1/1000)*(s_Irr!J26)),IF(AND(s_Irr!J26=".",s_Irr!AI26=".",s_Irr!BH26="."),s_dir!K26*1000)))))))),".")</f>
        <v>96.485632209196055</v>
      </c>
      <c r="L26" s="76">
        <f>IFERROR(IF(AND(s_Irr!K26&lt;&gt;".",s_Irr!AJ26&lt;&gt;".",s_Irr!BI26&lt;&gt;"."),s_dir!L26/((1/1000)*(s_Irr!K26+s_Irr!AJ26+s_Irr!BI26)),IF(AND(s_Irr!K26&lt;&gt;".",s_Irr!AJ26&lt;&gt;".",s_Irr!BI26="."),s_dir!L26/((1/1000)*(s_Irr!K26+s_Irr!AJ26)),IF(AND(s_Irr!K26&lt;&gt;".",s_Irr!AJ26=".",s_Irr!BI26&lt;&gt;"."),s_dir!L26/((1/1000)*(s_Irr!K26+s_Irr!BI26)),IF(AND(s_Irr!K26=".",s_Irr!AJ26&lt;&gt;".",s_Irr!BI26&lt;&gt;"."),s_dir!L26/((1/1000)*(s_Irr!AJ26+s_Irr!BI26)),IF(AND(s_Irr!K26=".",s_Irr!AJ26=".",s_Irr!BI26&lt;&gt;"."),s_dir!L26/((1/1000)*(s_Irr!BI26)),IF(AND(s_Irr!K26=".",s_Irr!AJ26&lt;&gt;".",s_Irr!BI26="."),s_dir!L26/((1/1000)*(s_Irr!AJ26)),IF(AND(s_Irr!K26&lt;&gt;".",s_Irr!AJ26=".",s_Irr!BI26="."),s_dir!L26/((1/1000)*(s_Irr!K26)),IF(AND(s_Irr!K26=".",s_Irr!AJ26=".",s_Irr!BI26="."),s_dir!L26*1000)))))))),".")</f>
        <v>96.258631832567517</v>
      </c>
      <c r="M26" s="76">
        <f>IFERROR(IF(AND(s_Irr!L26&lt;&gt;".",s_Irr!AK26&lt;&gt;".",s_Irr!BJ26&lt;&gt;"."),s_dir!M26/((1/1000)*(s_Irr!L26+s_Irr!AK26+s_Irr!BJ26)),IF(AND(s_Irr!L26&lt;&gt;".",s_Irr!AK26&lt;&gt;".",s_Irr!BJ26="."),s_dir!M26/((1/1000)*(s_Irr!L26+s_Irr!AK26)),IF(AND(s_Irr!L26&lt;&gt;".",s_Irr!AK26=".",s_Irr!BJ26&lt;&gt;"."),s_dir!M26/((1/1000)*(s_Irr!L26+s_Irr!BJ26)),IF(AND(s_Irr!L26=".",s_Irr!AK26&lt;&gt;".",s_Irr!BJ26&lt;&gt;"."),s_dir!M26/((1/1000)*(s_Irr!AK26+s_Irr!BJ26)),IF(AND(s_Irr!L26=".",s_Irr!AK26=".",s_Irr!BJ26&lt;&gt;"."),s_dir!M26/((1/1000)*(s_Irr!BJ26)),IF(AND(s_Irr!L26=".",s_Irr!AK26&lt;&gt;".",s_Irr!BJ26="."),s_dir!M26/((1/1000)*(s_Irr!AK26)),IF(AND(s_Irr!L26&lt;&gt;".",s_Irr!AK26=".",s_Irr!BJ26="."),s_dir!M26/((1/1000)*(s_Irr!L26)),IF(AND(s_Irr!L26=".",s_Irr!AK26=".",s_Irr!BJ26="."),s_dir!M26*1000)))))))),".")</f>
        <v>96.032697070008439</v>
      </c>
      <c r="N26" s="76">
        <f>IFERROR(IF(AND(s_Irr!M26&lt;&gt;".",s_Irr!AL26&lt;&gt;".",s_Irr!BK26&lt;&gt;"."),s_dir!N26/((1/1000)*(s_Irr!M26+s_Irr!AL26+s_Irr!BK26)),IF(AND(s_Irr!M26&lt;&gt;".",s_Irr!AL26&lt;&gt;".",s_Irr!BK26="."),s_dir!N26/((1/1000)*(s_Irr!M26+s_Irr!AL26)),IF(AND(s_Irr!M26&lt;&gt;".",s_Irr!AL26=".",s_Irr!BK26&lt;&gt;"."),s_dir!N26/((1/1000)*(s_Irr!M26+s_Irr!BK26)),IF(AND(s_Irr!M26=".",s_Irr!AL26&lt;&gt;".",s_Irr!BK26&lt;&gt;"."),s_dir!N26/((1/1000)*(s_Irr!AL26+s_Irr!BK26)),IF(AND(s_Irr!M26=".",s_Irr!AL26=".",s_Irr!BK26&lt;&gt;"."),s_dir!N26/((1/1000)*(s_Irr!BK26)),IF(AND(s_Irr!M26=".",s_Irr!AL26&lt;&gt;".",s_Irr!BK26="."),s_dir!N26/((1/1000)*(s_Irr!AL26)),IF(AND(s_Irr!M26&lt;&gt;".",s_Irr!AL26=".",s_Irr!BK26="."),s_dir!N26/((1/1000)*(s_Irr!M26)),IF(AND(s_Irr!M26=".",s_Irr!AL26=".",s_Irr!BK26="."),s_dir!N26*1000)))))))),".")</f>
        <v>95.361211956294184</v>
      </c>
      <c r="O26" s="76">
        <f>IFERROR(IF(AND(s_Irr!N26&lt;&gt;".",s_Irr!AM26&lt;&gt;".",s_Irr!BL26&lt;&gt;"."),s_dir!O26/((1/1000)*(s_Irr!N26+s_Irr!AM26+s_Irr!BL26)),IF(AND(s_Irr!N26&lt;&gt;".",s_Irr!AM26&lt;&gt;".",s_Irr!BL26="."),s_dir!O26/((1/1000)*(s_Irr!N26+s_Irr!AM26)),IF(AND(s_Irr!N26&lt;&gt;".",s_Irr!AM26=".",s_Irr!BL26&lt;&gt;"."),s_dir!O26/((1/1000)*(s_Irr!N26+s_Irr!BL26)),IF(AND(s_Irr!N26=".",s_Irr!AM26&lt;&gt;".",s_Irr!BL26&lt;&gt;"."),s_dir!O26/((1/1000)*(s_Irr!AM26+s_Irr!BL26)),IF(AND(s_Irr!N26=".",s_Irr!AM26=".",s_Irr!BL26&lt;&gt;"."),s_dir!O26/((1/1000)*(s_Irr!BL26)),IF(AND(s_Irr!N26=".",s_Irr!AM26&lt;&gt;".",s_Irr!BL26="."),s_dir!O26/((1/1000)*(s_Irr!AM26)),IF(AND(s_Irr!N26&lt;&gt;".",s_Irr!AM26=".",s_Irr!BL26="."),s_dir!O26/((1/1000)*(s_Irr!N26)),IF(AND(s_Irr!N26=".",s_Irr!AM26=".",s_Irr!BL26="."),s_dir!O26*1000)))))))),".")</f>
        <v>96.436899186461687</v>
      </c>
      <c r="P26" s="76">
        <f>IFERROR(IF(AND(s_Irr!O26&lt;&gt;".",s_Irr!AN26&lt;&gt;".",s_Irr!BM26&lt;&gt;"."),s_dir!P26/((1/1000)*(s_Irr!O26+s_Irr!AN26+s_Irr!BM26)),IF(AND(s_Irr!O26&lt;&gt;".",s_Irr!AN26&lt;&gt;".",s_Irr!BM26="."),s_dir!P26/((1/1000)*(s_Irr!O26+s_Irr!AN26)),IF(AND(s_Irr!O26&lt;&gt;".",s_Irr!AN26=".",s_Irr!BM26&lt;&gt;"."),s_dir!P26/((1/1000)*(s_Irr!O26+s_Irr!BM26)),IF(AND(s_Irr!O26=".",s_Irr!AN26&lt;&gt;".",s_Irr!BM26&lt;&gt;"."),s_dir!P26/((1/1000)*(s_Irr!AN26+s_Irr!BM26)),IF(AND(s_Irr!O26=".",s_Irr!AN26=".",s_Irr!BM26&lt;&gt;"."),s_dir!P26/((1/1000)*(s_Irr!BM26)),IF(AND(s_Irr!O26=".",s_Irr!AN26&lt;&gt;".",s_Irr!BM26="."),s_dir!P26/((1/1000)*(s_Irr!AN26)),IF(AND(s_Irr!O26&lt;&gt;".",s_Irr!AN26=".",s_Irr!BM26="."),s_dir!P26/((1/1000)*(s_Irr!O26)),IF(AND(s_Irr!O26=".",s_Irr!AN26=".",s_Irr!BM26="."),s_dir!P26*1000)))))))),".")</f>
        <v>96.032697070008439</v>
      </c>
      <c r="Q26" s="76">
        <f>IFERROR(IF(AND(s_Irr!P26&lt;&gt;".",s_Irr!AO26&lt;&gt;".",s_Irr!BN26&lt;&gt;"."),s_dir!Q26/((1/1000)*(s_Irr!P26+s_Irr!AO26+s_Irr!BN26)),IF(AND(s_Irr!P26&lt;&gt;".",s_Irr!AO26&lt;&gt;".",s_Irr!BN26="."),s_dir!Q26/((1/1000)*(s_Irr!P26+s_Irr!AO26)),IF(AND(s_Irr!P26&lt;&gt;".",s_Irr!AO26=".",s_Irr!BN26&lt;&gt;"."),s_dir!Q26/((1/1000)*(s_Irr!P26+s_Irr!BN26)),IF(AND(s_Irr!P26=".",s_Irr!AO26&lt;&gt;".",s_Irr!BN26&lt;&gt;"."),s_dir!Q26/((1/1000)*(s_Irr!AO26+s_Irr!BN26)),IF(AND(s_Irr!P26=".",s_Irr!AO26=".",s_Irr!BN26&lt;&gt;"."),s_dir!Q26/((1/1000)*(s_Irr!BN26)),IF(AND(s_Irr!P26=".",s_Irr!AO26&lt;&gt;".",s_Irr!BN26="."),s_dir!Q26/((1/1000)*(s_Irr!AO26)),IF(AND(s_Irr!P26&lt;&gt;".",s_Irr!AO26=".",s_Irr!BN26="."),s_dir!Q26/((1/1000)*(s_Irr!P26)),IF(AND(s_Irr!P26=".",s_Irr!AO26=".",s_Irr!BN26="."),s_dir!Q26*1000)))))))),".")</f>
        <v>96.000507226884864</v>
      </c>
      <c r="R26" s="76">
        <f>IFERROR(IF(AND(s_Irr!Q26&lt;&gt;".",s_Irr!AP26&lt;&gt;".",s_Irr!BO26&lt;&gt;"."),s_dir!R26/((1/1000)*(s_Irr!Q26+s_Irr!AP26+s_Irr!BO26)),IF(AND(s_Irr!Q26&lt;&gt;".",s_Irr!AP26&lt;&gt;".",s_Irr!BO26="."),s_dir!R26/((1/1000)*(s_Irr!Q26+s_Irr!AP26)),IF(AND(s_Irr!Q26&lt;&gt;".",s_Irr!AP26=".",s_Irr!BO26&lt;&gt;"."),s_dir!R26/((1/1000)*(s_Irr!Q26+s_Irr!BO26)),IF(AND(s_Irr!Q26=".",s_Irr!AP26&lt;&gt;".",s_Irr!BO26&lt;&gt;"."),s_dir!R26/((1/1000)*(s_Irr!AP26+s_Irr!BO26)),IF(AND(s_Irr!Q26=".",s_Irr!AP26=".",s_Irr!BO26&lt;&gt;"."),s_dir!R26/((1/1000)*(s_Irr!BO26)),IF(AND(s_Irr!Q26=".",s_Irr!AP26&lt;&gt;".",s_Irr!BO26="."),s_dir!R26/((1/1000)*(s_Irr!AP26)),IF(AND(s_Irr!Q26&lt;&gt;".",s_Irr!AP26=".",s_Irr!BO26="."),s_dir!R26/((1/1000)*(s_Irr!Q26)),IF(AND(s_Irr!Q26=".",s_Irr!AP26=".",s_Irr!BO26="."),s_dir!R26*1000)))))))),".")</f>
        <v>96.485632209196055</v>
      </c>
      <c r="S26" s="76">
        <f>IFERROR(IF(AND(s_Irr!R26&lt;&gt;".",s_Irr!AQ26&lt;&gt;".",s_Irr!BP26&lt;&gt;"."),s_dir!S26/((1/1000)*(s_Irr!R26+s_Irr!AQ26+s_Irr!BP26)),IF(AND(s_Irr!R26&lt;&gt;".",s_Irr!AQ26&lt;&gt;".",s_Irr!BP26="."),s_dir!S26/((1/1000)*(s_Irr!R26+s_Irr!AQ26)),IF(AND(s_Irr!R26&lt;&gt;".",s_Irr!AQ26=".",s_Irr!BP26&lt;&gt;"."),s_dir!S26/((1/1000)*(s_Irr!R26+s_Irr!BP26)),IF(AND(s_Irr!R26=".",s_Irr!AQ26&lt;&gt;".",s_Irr!BP26&lt;&gt;"."),s_dir!S26/((1/1000)*(s_Irr!AQ26+s_Irr!BP26)),IF(AND(s_Irr!R26=".",s_Irr!AQ26=".",s_Irr!BP26&lt;&gt;"."),s_dir!S26/((1/1000)*(s_Irr!BP26)),IF(AND(s_Irr!R26=".",s_Irr!AQ26&lt;&gt;".",s_Irr!BP26="."),s_dir!S26/((1/1000)*(s_Irr!AQ26)),IF(AND(s_Irr!R26&lt;&gt;".",s_Irr!AQ26=".",s_Irr!BP26="."),s_dir!S26/((1/1000)*(s_Irr!R26)),IF(AND(s_Irr!R26=".",s_Irr!AQ26=".",s_Irr!BP26="."),s_dir!S26*1000)))))))),".")</f>
        <v>96.485632209196055</v>
      </c>
      <c r="T26" s="76">
        <f>IFERROR(IF(AND(s_Irr!S26&lt;&gt;".",s_Irr!AR26&lt;&gt;".",s_Irr!BQ26&lt;&gt;"."),s_dir!T26/((1/1000)*(s_Irr!S26+s_Irr!AR26+s_Irr!BQ26)),IF(AND(s_Irr!S26&lt;&gt;".",s_Irr!AR26&lt;&gt;".",s_Irr!BQ26="."),s_dir!T26/((1/1000)*(s_Irr!S26+s_Irr!AR26)),IF(AND(s_Irr!S26&lt;&gt;".",s_Irr!AR26=".",s_Irr!BQ26&lt;&gt;"."),s_dir!T26/((1/1000)*(s_Irr!S26+s_Irr!BQ26)),IF(AND(s_Irr!S26=".",s_Irr!AR26&lt;&gt;".",s_Irr!BQ26&lt;&gt;"."),s_dir!T26/((1/1000)*(s_Irr!AR26+s_Irr!BQ26)),IF(AND(s_Irr!S26=".",s_Irr!AR26=".",s_Irr!BQ26&lt;&gt;"."),s_dir!T26/((1/1000)*(s_Irr!BQ26)),IF(AND(s_Irr!S26=".",s_Irr!AR26&lt;&gt;".",s_Irr!BQ26="."),s_dir!T26/((1/1000)*(s_Irr!AR26)),IF(AND(s_Irr!S26&lt;&gt;".",s_Irr!AR26=".",s_Irr!BQ26="."),s_dir!T26/((1/1000)*(s_Irr!S26)),IF(AND(s_Irr!S26=".",s_Irr!AR26=".",s_Irr!BQ26="."),s_dir!T26*1000)))))))),".")</f>
        <v>96.436899186461687</v>
      </c>
      <c r="U26" s="76">
        <f>IFERROR(IF(AND(s_Irr!T26&lt;&gt;".",s_Irr!AS26&lt;&gt;".",s_Irr!BR26&lt;&gt;"."),s_dir!U26/((1/1000)*(s_Irr!T26+s_Irr!AS26+s_Irr!BR26)),IF(AND(s_Irr!T26&lt;&gt;".",s_Irr!AS26&lt;&gt;".",s_Irr!BR26="."),s_dir!U26/((1/1000)*(s_Irr!T26+s_Irr!AS26)),IF(AND(s_Irr!T26&lt;&gt;".",s_Irr!AS26=".",s_Irr!BR26&lt;&gt;"."),s_dir!U26/((1/1000)*(s_Irr!T26+s_Irr!BR26)),IF(AND(s_Irr!T26=".",s_Irr!AS26&lt;&gt;".",s_Irr!BR26&lt;&gt;"."),s_dir!U26/((1/1000)*(s_Irr!AS26+s_Irr!BR26)),IF(AND(s_Irr!T26=".",s_Irr!AS26=".",s_Irr!BR26&lt;&gt;"."),s_dir!U26/((1/1000)*(s_Irr!BR26)),IF(AND(s_Irr!T26=".",s_Irr!AS26&lt;&gt;".",s_Irr!BR26="."),s_dir!U26/((1/1000)*(s_Irr!AS26)),IF(AND(s_Irr!T26&lt;&gt;".",s_Irr!AS26=".",s_Irr!BR26="."),s_dir!U26/((1/1000)*(s_Irr!T26)),IF(AND(s_Irr!T26=".",s_Irr!AS26=".",s_Irr!BR26="."),s_dir!U26*1000)))))))),".")</f>
        <v>96.032697070008439</v>
      </c>
      <c r="V26" s="76">
        <f>IFERROR(IF(AND(s_Irr!U26&lt;&gt;".",s_Irr!AT26&lt;&gt;".",s_Irr!BS26&lt;&gt;"."),s_dir!V26/((1/1000)*(s_Irr!U26+s_Irr!AT26+s_Irr!BS26)),IF(AND(s_Irr!U26&lt;&gt;".",s_Irr!AT26&lt;&gt;".",s_Irr!BS26="."),s_dir!V26/((1/1000)*(s_Irr!U26+s_Irr!AT26)),IF(AND(s_Irr!U26&lt;&gt;".",s_Irr!AT26=".",s_Irr!BS26&lt;&gt;"."),s_dir!V26/((1/1000)*(s_Irr!U26+s_Irr!BS26)),IF(AND(s_Irr!U26=".",s_Irr!AT26&lt;&gt;".",s_Irr!BS26&lt;&gt;"."),s_dir!V26/((1/1000)*(s_Irr!AT26+s_Irr!BS26)),IF(AND(s_Irr!U26=".",s_Irr!AT26=".",s_Irr!BS26&lt;&gt;"."),s_dir!V26/((1/1000)*(s_Irr!BS26)),IF(AND(s_Irr!U26=".",s_Irr!AT26&lt;&gt;".",s_Irr!BS26="."),s_dir!V26/((1/1000)*(s_Irr!AT26)),IF(AND(s_Irr!U26&lt;&gt;".",s_Irr!AT26=".",s_Irr!BS26="."),s_dir!V26/((1/1000)*(s_Irr!U26)),IF(AND(s_Irr!U26=".",s_Irr!AT26=".",s_Irr!BS26="."),s_dir!V26*1000)))))))),".")</f>
        <v>96.975685115008787</v>
      </c>
      <c r="W26" s="76">
        <f>IFERROR(IF(AND(s_Irr!V26&lt;&gt;".",s_Irr!AU26&lt;&gt;".",s_Irr!BT26&lt;&gt;"."),s_dir!W26/((1/1000)*(s_Irr!V26+s_Irr!AU26+s_Irr!BT26)),IF(AND(s_Irr!V26&lt;&gt;".",s_Irr!AU26&lt;&gt;".",s_Irr!BT26="."),s_dir!W26/((1/1000)*(s_Irr!V26+s_Irr!AU26)),IF(AND(s_Irr!V26&lt;&gt;".",s_Irr!AU26=".",s_Irr!BT26&lt;&gt;"."),s_dir!W26/((1/1000)*(s_Irr!V26+s_Irr!BT26)),IF(AND(s_Irr!V26=".",s_Irr!AU26&lt;&gt;".",s_Irr!BT26&lt;&gt;"."),s_dir!W26/((1/1000)*(s_Irr!AU26+s_Irr!BT26)),IF(AND(s_Irr!V26=".",s_Irr!AU26=".",s_Irr!BT26&lt;&gt;"."),s_dir!W26/((1/1000)*(s_Irr!BT26)),IF(AND(s_Irr!V26=".",s_Irr!AU26&lt;&gt;".",s_Irr!BT26="."),s_dir!W26/((1/1000)*(s_Irr!AU26)),IF(AND(s_Irr!V26&lt;&gt;".",s_Irr!AU26=".",s_Irr!BT26="."),s_dir!W26/((1/1000)*(s_Irr!V26)),IF(AND(s_Irr!V26=".",s_Irr!AU26=".",s_Irr!BT26="."),s_dir!W26*1000)))))))),".")</f>
        <v>96.032697070008439</v>
      </c>
      <c r="X26" s="76">
        <f>IFERROR(IF(AND(s_Irr!W26&lt;&gt;".",s_Irr!AV26&lt;&gt;".",s_Irr!BU26&lt;&gt;"."),s_dir!X26/((1/1000)*(s_Irr!W26+s_Irr!AV26+s_Irr!BU26)),IF(AND(s_Irr!W26&lt;&gt;".",s_Irr!AV26&lt;&gt;".",s_Irr!BU26="."),s_dir!X26/((1/1000)*(s_Irr!W26+s_Irr!AV26)),IF(AND(s_Irr!W26&lt;&gt;".",s_Irr!AV26=".",s_Irr!BU26&lt;&gt;"."),s_dir!X26/((1/1000)*(s_Irr!W26+s_Irr!BU26)),IF(AND(s_Irr!W26=".",s_Irr!AV26&lt;&gt;".",s_Irr!BU26&lt;&gt;"."),s_dir!X26/((1/1000)*(s_Irr!AV26+s_Irr!BU26)),IF(AND(s_Irr!W26=".",s_Irr!AV26=".",s_Irr!BU26&lt;&gt;"."),s_dir!X26/((1/1000)*(s_Irr!BU26)),IF(AND(s_Irr!W26=".",s_Irr!AV26&lt;&gt;".",s_Irr!BU26="."),s_dir!X26/((1/1000)*(s_Irr!AV26)),IF(AND(s_Irr!W26&lt;&gt;".",s_Irr!AV26=".",s_Irr!BU26="."),s_dir!X26/((1/1000)*(s_Irr!W26)),IF(AND(s_Irr!W26=".",s_Irr!AV26=".",s_Irr!BU26="."),s_dir!X26*1000)))))))),".")</f>
        <v>96.436899186461687</v>
      </c>
      <c r="Y26" s="76">
        <f>IFERROR(IF(AND(s_Irr!X26&lt;&gt;".",s_Irr!AW26&lt;&gt;".",s_Irr!BV26&lt;&gt;"."),s_dir!Y26/((1/1000)*(s_Irr!X26+s_Irr!AW26+s_Irr!BV26)),IF(AND(s_Irr!X26&lt;&gt;".",s_Irr!AW26&lt;&gt;".",s_Irr!BV26="."),s_dir!Y26/((1/1000)*(s_Irr!X26+s_Irr!AW26)),IF(AND(s_Irr!X26&lt;&gt;".",s_Irr!AW26=".",s_Irr!BV26&lt;&gt;"."),s_dir!Y26/((1/1000)*(s_Irr!X26+s_Irr!BV26)),IF(AND(s_Irr!X26=".",s_Irr!AW26&lt;&gt;".",s_Irr!BV26&lt;&gt;"."),s_dir!Y26/((1/1000)*(s_Irr!AW26+s_Irr!BV26)),IF(AND(s_Irr!X26=".",s_Irr!AW26=".",s_Irr!BV26&lt;&gt;"."),s_dir!Y26/((1/1000)*(s_Irr!BV26)),IF(AND(s_Irr!X26=".",s_Irr!AW26&lt;&gt;".",s_Irr!BV26="."),s_dir!Y26/((1/1000)*(s_Irr!AW26)),IF(AND(s_Irr!X26&lt;&gt;".",s_Irr!AW26=".",s_Irr!BV26="."),s_dir!Y26/((1/1000)*(s_Irr!X26)),IF(AND(s_Irr!X26=".",s_Irr!AW26=".",s_Irr!BV26="."),s_dir!Y26*1000)))))))),".")</f>
        <v>96.485632209196055</v>
      </c>
      <c r="Z26" s="76">
        <f>IFERROR(IF(AND(s_Irr!Y26&lt;&gt;".",s_Irr!AX26&lt;&gt;".",s_Irr!BW26&lt;&gt;"."),s_dir!Z26/((1/1000)*(s_Irr!Y26+s_Irr!AX26+s_Irr!BW26)),IF(AND(s_Irr!Y26&lt;&gt;".",s_Irr!AX26&lt;&gt;".",s_Irr!BW26="."),s_dir!Z26/((1/1000)*(s_Irr!Y26+s_Irr!AX26)),IF(AND(s_Irr!Y26&lt;&gt;".",s_Irr!AX26=".",s_Irr!BW26&lt;&gt;"."),s_dir!Z26/((1/1000)*(s_Irr!Y26+s_Irr!BW26)),IF(AND(s_Irr!Y26=".",s_Irr!AX26&lt;&gt;".",s_Irr!BW26&lt;&gt;"."),s_dir!Z26/((1/1000)*(s_Irr!AX26+s_Irr!BW26)),IF(AND(s_Irr!Y26=".",s_Irr!AX26=".",s_Irr!BW26&lt;&gt;"."),s_dir!Z26/((1/1000)*(s_Irr!BW26)),IF(AND(s_Irr!Y26=".",s_Irr!AX26&lt;&gt;".",s_Irr!BW26="."),s_dir!Z26/((1/1000)*(s_Irr!AX26)),IF(AND(s_Irr!Y26&lt;&gt;".",s_Irr!AX26=".",s_Irr!BW26="."),s_dir!Z26/((1/1000)*(s_Irr!Y26)),IF(AND(s_Irr!Y26=".",s_Irr!AX26=".",s_Irr!BW26="."),s_dir!Z26*1000)))))))),".")</f>
        <v>96.032697070008439</v>
      </c>
      <c r="AA26" s="76">
        <f>IFERROR(IF(AND(s_Irr!Z26&lt;&gt;".",s_Irr!AY26&lt;&gt;".",s_Irr!BX26&lt;&gt;"."),s_dir!AA26/((1/1000)*(s_Irr!Z26+s_Irr!AY26+s_Irr!BX26)),IF(AND(s_Irr!Z26&lt;&gt;".",s_Irr!AY26&lt;&gt;".",s_Irr!BX26="."),s_dir!AA26/((1/1000)*(s_Irr!Z26+s_Irr!AY26)),IF(AND(s_Irr!Z26&lt;&gt;".",s_Irr!AY26=".",s_Irr!BX26&lt;&gt;"."),s_dir!AA26/((1/1000)*(s_Irr!Z26+s_Irr!BX26)),IF(AND(s_Irr!Z26=".",s_Irr!AY26&lt;&gt;".",s_Irr!BX26&lt;&gt;"."),s_dir!AA26/((1/1000)*(s_Irr!AY26+s_Irr!BX26)),IF(AND(s_Irr!Z26=".",s_Irr!AY26=".",s_Irr!BX26&lt;&gt;"."),s_dir!AA26/((1/1000)*(s_Irr!BX26)),IF(AND(s_Irr!Z26=".",s_Irr!AY26&lt;&gt;".",s_Irr!BX26="."),s_dir!AA26/((1/1000)*(s_Irr!AY26)),IF(AND(s_Irr!Z26&lt;&gt;".",s_Irr!AY26=".",s_Irr!BX26="."),s_dir!AA26/((1/1000)*(s_Irr!Z26)),IF(AND(s_Irr!Z26=".",s_Irr!AY26=".",s_Irr!BX26="."),s_dir!AA26*1000)))))))),".")</f>
        <v>97.041401871493534</v>
      </c>
      <c r="AB26" s="76">
        <f>IFERROR(IF(AND(s_Irr!AA26&lt;&gt;".",s_Irr!AZ26&lt;&gt;".",s_Irr!BY26&lt;&gt;"."),s_dir!AB26/((1/1000)*(s_Irr!AA26+s_Irr!AZ26+s_Irr!BY26)),IF(AND(s_Irr!AA26&lt;&gt;".",s_Irr!AZ26&lt;&gt;".",s_Irr!BY26="."),s_dir!AB26/((1/1000)*(s_Irr!AA26+s_Irr!AZ26)),IF(AND(s_Irr!AA26&lt;&gt;".",s_Irr!AZ26=".",s_Irr!BY26&lt;&gt;"."),s_dir!AB26/((1/1000)*(s_Irr!AA26+s_Irr!BY26)),IF(AND(s_Irr!AA26=".",s_Irr!AZ26&lt;&gt;".",s_Irr!BY26&lt;&gt;"."),s_dir!AB26/((1/1000)*(s_Irr!AZ26+s_Irr!BY26)),IF(AND(s_Irr!AA26=".",s_Irr!AZ26=".",s_Irr!BY26&lt;&gt;"."),s_dir!AB26/((1/1000)*(s_Irr!BY26)),IF(AND(s_Irr!AA26=".",s_Irr!AZ26&lt;&gt;".",s_Irr!BY26="."),s_dir!AB26/((1/1000)*(s_Irr!AZ26)),IF(AND(s_Irr!AA26&lt;&gt;".",s_Irr!AZ26=".",s_Irr!BY26="."),s_dir!AB26/((1/1000)*(s_Irr!AA26)),IF(AND(s_Irr!AA26=".",s_Irr!AZ26=".",s_Irr!BY26="."),s_dir!AB26*1000)))))))),".")</f>
        <v>93.953469194767294</v>
      </c>
      <c r="AC26" s="93">
        <f t="shared" si="5"/>
        <v>7182.9581601928212</v>
      </c>
      <c r="AD26" s="93">
        <f>IFERROR(s_C*s_IFAP_res_adj*s_CF_apple*0.001*(s_Irr!C26+s_Irr!AB26+s_Irr!BA26),".")</f>
        <v>1784.1689484784069</v>
      </c>
      <c r="AE26" s="93">
        <f>IFERROR(s_C*s_IFAS_res_adj*s_CF_asparagus*0.001*(s_Irr!D26+s_Irr!AC26+s_Irr!BB26),".")</f>
        <v>1805.2063876962222</v>
      </c>
      <c r="AF26" s="93">
        <f>IFERROR(s_C*s_IFBT_res_adj*s_CF_beet*0.001*(s_Irr!E26+s_Irr!AD26+s_Irr!BC26),".")</f>
        <v>1793.1849938574705</v>
      </c>
      <c r="AG26" s="93">
        <f>IFERROR(s_C*s_IFBE_res_adj*s_CF_berries*0.001*(s_Irr!F26+s_Irr!AE26+s_Irr!BD26),".")</f>
        <v>1784.1689484784069</v>
      </c>
      <c r="AH26" s="93">
        <f>IFERROR(s_C*s_IFBR_res_adj*s_CF_broccoli*0.001*(s_Irr!G26+s_Irr!AF26+s_Irr!BE26),".")</f>
        <v>1792.5839241655331</v>
      </c>
      <c r="AI26" s="93">
        <f>IFERROR(s_C*s_IFCB_res_adj*s_CF_cabbage*0.001*(s_Irr!H26+s_Irr!AG26+s_Irr!BF26),".")</f>
        <v>1805.2063876962222</v>
      </c>
      <c r="AJ26" s="93">
        <f>IFERROR(s_C*s_IFCR_res_adj*s_CF_carrot*0.001*(s_Irr!I26+s_Irr!AH26+s_Irr!BG26),".")</f>
        <v>1793.1849938574705</v>
      </c>
      <c r="AK26" s="93">
        <f>IFERROR(s_C*s_IFCI_res_adj*s_CF_citrus*0.001*(s_Irr!J26+s_Irr!AI26+s_Irr!BH26),".")</f>
        <v>1784.1689484784069</v>
      </c>
      <c r="AL26" s="93">
        <f>IFERROR(s_C*s_IFCO_res_adj*s_CF_corn*0.001*(s_Irr!K26+s_Irr!AJ26+s_Irr!BI26),".")</f>
        <v>1788.3764363219698</v>
      </c>
      <c r="AM26" s="93">
        <f>IFERROR(s_C*s_IFCU_res_adj*s_CF_cucumber*0.001*(s_Irr!L26+s_Irr!AK26+s_Irr!BJ26),".")</f>
        <v>1792.5839241655331</v>
      </c>
      <c r="AN26" s="93">
        <f>IFERROR(s_C*s_IFLE_res_adj*s_CF_lettuce*0.001*(s_Irr!M26+s_Irr!AL26+s_Irr!BK26),".")</f>
        <v>1805.2063876962222</v>
      </c>
      <c r="AO26" s="93">
        <f>IFERROR(s_C*s_IFLI_res_adj*s_CF_lima_bean*0.001*(s_Irr!N26+s_Irr!AM26+s_Irr!BL26),".")</f>
        <v>1785.0705530163134</v>
      </c>
      <c r="AP26" s="93">
        <f>IFERROR(s_C*s_IFOK_res_adj*s_CF_okra*0.001*(s_Irr!O26+s_Irr!AN26+s_Irr!BM26),".")</f>
        <v>1792.5839241655331</v>
      </c>
      <c r="AQ26" s="93">
        <f>IFERROR(s_C*s_IFON_res_adj*s_CF_onion*0.001*(s_Irr!P26+s_Irr!AO26+s_Irr!BN26),".")</f>
        <v>1793.1849938574705</v>
      </c>
      <c r="AR26" s="93">
        <f>IFERROR(s_C*s_IFPC_res_adj*s_CF_peach*0.001*(s_Irr!Q26+s_Irr!AP26+s_Irr!BO26),".")</f>
        <v>1784.1689484784069</v>
      </c>
      <c r="AS26" s="93">
        <f>IFERROR(s_C*s_IFPR_res_adj*s_CF_pear*0.001*(s_Irr!R26+s_Irr!AQ26+s_Irr!BP26),".")</f>
        <v>1784.1689484784069</v>
      </c>
      <c r="AT26" s="93">
        <f>IFERROR(s_C*s_IFPE_res_adj*s_CF_peas*0.001*(s_Irr!S26+s_Irr!AR26+s_Irr!BQ26),".")</f>
        <v>1785.0705530163134</v>
      </c>
      <c r="AU26" s="93">
        <f>IFERROR(s_C*s_IFPP_res_adj*s_CF_peppers*0.001*(s_Irr!T26+s_Irr!AS26+s_Irr!BR26),".")</f>
        <v>1792.5839241655331</v>
      </c>
      <c r="AV26" s="93">
        <f>IFERROR(s_C*s_IFPT_res_adj*s_CF_potato*0.001*(s_Irr!U26+s_Irr!AT26+s_Irr!BS26),".")</f>
        <v>1775.1529030993431</v>
      </c>
      <c r="AW26" s="93">
        <f>IFERROR(s_C*s_IFPU_res_adj*s_CF_pumpkin*0.001*(s_Irr!V26+s_Irr!AU26+s_Irr!BT26),".")</f>
        <v>1792.5839241655331</v>
      </c>
      <c r="AX26" s="93">
        <f>IFERROR(s_C*s_IFSN_res_adj*s_CF_snap_bean*0.001*(s_Irr!W26+s_Irr!AV26+s_Irr!BU26),".")</f>
        <v>1785.0705530163134</v>
      </c>
      <c r="AY26" s="93">
        <f>IFERROR(s_C*s_IFST_res_adj*s_CF_strawberry*0.001*(s_Irr!X26+s_Irr!AW26+s_Irr!BV26),".")</f>
        <v>1784.1689484784069</v>
      </c>
      <c r="AZ26" s="93">
        <f>IFERROR(s_C*s_IFTO_res_adj*s_CF_tomato*0.001*(s_Irr!Y26+s_Irr!AX26+s_Irr!BW26),".")</f>
        <v>1792.5839241655331</v>
      </c>
      <c r="BA26" s="93">
        <f>IFERROR(s_C*s_IFRI_res_adj*s_CF_rice*0.001*(s_Irr!Z26+s_Irr!AY26+s_Irr!BX26),".")</f>
        <v>1773.9507637154679</v>
      </c>
      <c r="BB26" s="93">
        <f>IFERROR(s_C*s_IFCG_res_adj*s_CF_cereal*0.001*(s_Irr!AA26+s_Irr!AZ26+s_Irr!BY26),".")</f>
        <v>1832.2545238334133</v>
      </c>
      <c r="BC26" s="76">
        <f t="shared" si="1"/>
        <v>23.965985200355735</v>
      </c>
      <c r="BD26" s="76">
        <f>IFERROR(IF(AND(s_Irr!C26&lt;&gt;".",s_Irr!AB26&lt;&gt;".",s_Irr!BA26&lt;&gt;"."),s_dir!AD26/((1/1000)*(s_Irr!C26+s_Irr!AB26+s_Irr!BA26)),IF(AND(s_Irr!C26&lt;&gt;".",s_Irr!AB26&lt;&gt;".",s_Irr!BA26="."),s_dir!AD26/((1/1000)*(s_Irr!C26+s_Irr!AB26)),IF(AND(s_Irr!C26&lt;&gt;".",s_Irr!AB26=".",s_Irr!BA26&lt;&gt;"."),s_dir!AD26/((1/1000)*(s_Irr!C26+s_Irr!BA26)),IF(AND(s_Irr!C26=".",s_Irr!AB26&lt;&gt;".",s_Irr!BA26&lt;&gt;"."),s_dir!AD26/((1/1000)*(s_Irr!AB26+s_Irr!BA26)),IF(AND(s_Irr!C26=".",s_Irr!AB26=".",s_Irr!BA26&lt;&gt;"."),s_dir!AD26/((1/1000)*(s_Irr!BA26)),IF(AND(s_Irr!C26=".",s_Irr!AB26&lt;&gt;".",s_Irr!BA26="."),s_dir!AD26/((1/1000)*(s_Irr!AB26)),IF(AND(s_Irr!C26&lt;&gt;".",s_Irr!AB26=".",s_Irr!BA26="."),s_dir!AD26/((1/1000)*(s_Irr!C26)),IF(AND(s_Irr!C26=".",s_Irr!AB26=".",s_Irr!BA26="."),s_dir!AD26*1000)))))))),".")</f>
        <v>96.485632209196055</v>
      </c>
      <c r="BE26" s="76">
        <f>IFERROR(IF(AND(s_Irr!D26&lt;&gt;".",s_Irr!AC26&lt;&gt;".",s_Irr!BB26&lt;&gt;"."),s_dir!AE26/((1/1000)*(s_Irr!D26+s_Irr!AC26+s_Irr!BB26)),IF(AND(s_Irr!D26&lt;&gt;".",s_Irr!AC26&lt;&gt;".",s_Irr!BB26="."),s_dir!AE26/((1/1000)*(s_Irr!D26+s_Irr!AC26)),IF(AND(s_Irr!D26&lt;&gt;".",s_Irr!AC26=".",s_Irr!BB26&lt;&gt;"."),s_dir!AE26/((1/1000)*(s_Irr!D26+s_Irr!BB26)),IF(AND(s_Irr!D26=".",s_Irr!AC26&lt;&gt;".",s_Irr!BB26&lt;&gt;"."),s_dir!AE26/((1/1000)*(s_Irr!AC26+s_Irr!BB26)),IF(AND(s_Irr!D26=".",s_Irr!AC26=".",s_Irr!BB26&lt;&gt;"."),s_dir!AE26/((1/1000)*(s_Irr!BB26)),IF(AND(s_Irr!D26=".",s_Irr!AC26&lt;&gt;".",s_Irr!BB26="."),s_dir!AE26/((1/1000)*(s_Irr!AC26)),IF(AND(s_Irr!D26&lt;&gt;".",s_Irr!AC26=".",s_Irr!BB26="."),s_dir!AE26/((1/1000)*(s_Irr!D26)),IF(AND(s_Irr!D26=".",s_Irr!AC26=".",s_Irr!BB26="."),s_dir!AE26*1000)))))))),".")</f>
        <v>95.361211956294184</v>
      </c>
      <c r="BF26" s="76">
        <f>IFERROR(IF(AND(s_Irr!E26&lt;&gt;".",s_Irr!AD26&lt;&gt;".",s_Irr!BC26&lt;&gt;"."),s_dir!AF26/((1/1000)*(s_Irr!E26+s_Irr!AD26+s_Irr!BC26)),IF(AND(s_Irr!E26&lt;&gt;".",s_Irr!AD26&lt;&gt;".",s_Irr!BC26="."),s_dir!AF26/((1/1000)*(s_Irr!E26+s_Irr!AD26)),IF(AND(s_Irr!E26&lt;&gt;".",s_Irr!AD26=".",s_Irr!BC26&lt;&gt;"."),s_dir!AF26/((1/1000)*(s_Irr!E26+s_Irr!BC26)),IF(AND(s_Irr!E26=".",s_Irr!AD26&lt;&gt;".",s_Irr!BC26&lt;&gt;"."),s_dir!AF26/((1/1000)*(s_Irr!AD26+s_Irr!BC26)),IF(AND(s_Irr!E26=".",s_Irr!AD26=".",s_Irr!BC26&lt;&gt;"."),s_dir!AF26/((1/1000)*(s_Irr!BC26)),IF(AND(s_Irr!E26=".",s_Irr!AD26&lt;&gt;".",s_Irr!BC26="."),s_dir!AF26/((1/1000)*(s_Irr!AD26)),IF(AND(s_Irr!E26&lt;&gt;".",s_Irr!AD26=".",s_Irr!BC26="."),s_dir!AF26/((1/1000)*(s_Irr!E26)),IF(AND(s_Irr!E26=".",s_Irr!AD26=".",s_Irr!BC26="."),s_dir!AF26*1000)))))))),".")</f>
        <v>96.000507226884864</v>
      </c>
      <c r="BG26" s="76">
        <f>IFERROR(IF(AND(s_Irr!F26&lt;&gt;".",s_Irr!AE26&lt;&gt;".",s_Irr!BD26&lt;&gt;"."),s_dir!AG26/((1/1000)*(s_Irr!F26+s_Irr!AE26+s_Irr!BD26)),IF(AND(s_Irr!F26&lt;&gt;".",s_Irr!AE26&lt;&gt;".",s_Irr!BD26="."),s_dir!AG26/((1/1000)*(s_Irr!F26+s_Irr!AE26)),IF(AND(s_Irr!F26&lt;&gt;".",s_Irr!AE26=".",s_Irr!BD26&lt;&gt;"."),s_dir!AG26/((1/1000)*(s_Irr!F26+s_Irr!BD26)),IF(AND(s_Irr!F26=".",s_Irr!AE26&lt;&gt;".",s_Irr!BD26&lt;&gt;"."),s_dir!AG26/((1/1000)*(s_Irr!AE26+s_Irr!BD26)),IF(AND(s_Irr!F26=".",s_Irr!AE26=".",s_Irr!BD26&lt;&gt;"."),s_dir!AG26/((1/1000)*(s_Irr!BD26)),IF(AND(s_Irr!F26=".",s_Irr!AE26&lt;&gt;".",s_Irr!BD26="."),s_dir!AG26/((1/1000)*(s_Irr!AE26)),IF(AND(s_Irr!F26&lt;&gt;".",s_Irr!AE26=".",s_Irr!BD26="."),s_dir!AG26/((1/1000)*(s_Irr!F26)),IF(AND(s_Irr!F26=".",s_Irr!AE26=".",s_Irr!BD26="."),s_dir!AG26*1000)))))))),".")</f>
        <v>96.485632209196055</v>
      </c>
      <c r="BH26" s="76">
        <f>IFERROR(IF(AND(s_Irr!G26&lt;&gt;".",s_Irr!AF26&lt;&gt;".",s_Irr!BE26&lt;&gt;"."),s_dir!AH26/((1/1000)*(s_Irr!G26+s_Irr!AF26+s_Irr!BE26)),IF(AND(s_Irr!G26&lt;&gt;".",s_Irr!AF26&lt;&gt;".",s_Irr!BE26="."),s_dir!AH26/((1/1000)*(s_Irr!G26+s_Irr!AF26)),IF(AND(s_Irr!G26&lt;&gt;".",s_Irr!AF26=".",s_Irr!BE26&lt;&gt;"."),s_dir!AH26/((1/1000)*(s_Irr!G26+s_Irr!BE26)),IF(AND(s_Irr!G26=".",s_Irr!AF26&lt;&gt;".",s_Irr!BE26&lt;&gt;"."),s_dir!AH26/((1/1000)*(s_Irr!AF26+s_Irr!BE26)),IF(AND(s_Irr!G26=".",s_Irr!AF26=".",s_Irr!BE26&lt;&gt;"."),s_dir!AH26/((1/1000)*(s_Irr!BE26)),IF(AND(s_Irr!G26=".",s_Irr!AF26&lt;&gt;".",s_Irr!BE26="."),s_dir!AH26/((1/1000)*(s_Irr!AF26)),IF(AND(s_Irr!G26&lt;&gt;".",s_Irr!AF26=".",s_Irr!BE26="."),s_dir!AH26/((1/1000)*(s_Irr!G26)),IF(AND(s_Irr!G26=".",s_Irr!AF26=".",s_Irr!BE26="."),s_dir!AH26*1000)))))))),".")</f>
        <v>96.032697070008439</v>
      </c>
      <c r="BI26" s="76">
        <f>IFERROR(IF(AND(s_Irr!H26&lt;&gt;".",s_Irr!AG26&lt;&gt;".",s_Irr!BF26&lt;&gt;"."),s_dir!AI26/((1/1000)*(s_Irr!H26+s_Irr!AG26+s_Irr!BF26)),IF(AND(s_Irr!H26&lt;&gt;".",s_Irr!AG26&lt;&gt;".",s_Irr!BF26="."),s_dir!AI26/((1/1000)*(s_Irr!H26+s_Irr!AG26)),IF(AND(s_Irr!H26&lt;&gt;".",s_Irr!AG26=".",s_Irr!BF26&lt;&gt;"."),s_dir!AI26/((1/1000)*(s_Irr!H26+s_Irr!BF26)),IF(AND(s_Irr!H26=".",s_Irr!AG26&lt;&gt;".",s_Irr!BF26&lt;&gt;"."),s_dir!AI26/((1/1000)*(s_Irr!AG26+s_Irr!BF26)),IF(AND(s_Irr!H26=".",s_Irr!AG26=".",s_Irr!BF26&lt;&gt;"."),s_dir!AI26/((1/1000)*(s_Irr!BF26)),IF(AND(s_Irr!H26=".",s_Irr!AG26&lt;&gt;".",s_Irr!BF26="."),s_dir!AI26/((1/1000)*(s_Irr!AG26)),IF(AND(s_Irr!H26&lt;&gt;".",s_Irr!AG26=".",s_Irr!BF26="."),s_dir!AI26/((1/1000)*(s_Irr!H26)),IF(AND(s_Irr!H26=".",s_Irr!AG26=".",s_Irr!BF26="."),s_dir!AI26*1000)))))))),".")</f>
        <v>95.361211956294184</v>
      </c>
      <c r="BJ26" s="76">
        <f>IFERROR(IF(AND(s_Irr!I26&lt;&gt;".",s_Irr!AH26&lt;&gt;".",s_Irr!BG26&lt;&gt;"."),s_dir!AJ26/((1/1000)*(s_Irr!I26+s_Irr!AH26+s_Irr!BG26)),IF(AND(s_Irr!I26&lt;&gt;".",s_Irr!AH26&lt;&gt;".",s_Irr!BG26="."),s_dir!AJ26/((1/1000)*(s_Irr!I26+s_Irr!AH26)),IF(AND(s_Irr!I26&lt;&gt;".",s_Irr!AH26=".",s_Irr!BG26&lt;&gt;"."),s_dir!AJ26/((1/1000)*(s_Irr!I26+s_Irr!BG26)),IF(AND(s_Irr!I26=".",s_Irr!AH26&lt;&gt;".",s_Irr!BG26&lt;&gt;"."),s_dir!AJ26/((1/1000)*(s_Irr!AH26+s_Irr!BG26)),IF(AND(s_Irr!I26=".",s_Irr!AH26=".",s_Irr!BG26&lt;&gt;"."),s_dir!AJ26/((1/1000)*(s_Irr!BG26)),IF(AND(s_Irr!I26=".",s_Irr!AH26&lt;&gt;".",s_Irr!BG26="."),s_dir!AJ26/((1/1000)*(s_Irr!AH26)),IF(AND(s_Irr!I26&lt;&gt;".",s_Irr!AH26=".",s_Irr!BG26="."),s_dir!AJ26/((1/1000)*(s_Irr!I26)),IF(AND(s_Irr!I26=".",s_Irr!AH26=".",s_Irr!BG26="."),s_dir!AJ26*1000)))))))),".")</f>
        <v>96.000507226884864</v>
      </c>
      <c r="BK26" s="76">
        <f>IFERROR(IF(AND(s_Irr!J26&lt;&gt;".",s_Irr!AI26&lt;&gt;".",s_Irr!BH26&lt;&gt;"."),s_dir!AK26/((1/1000)*(s_Irr!J26+s_Irr!AI26+s_Irr!BH26)),IF(AND(s_Irr!J26&lt;&gt;".",s_Irr!AI26&lt;&gt;".",s_Irr!BH26="."),s_dir!AK26/((1/1000)*(s_Irr!J26+s_Irr!AI26)),IF(AND(s_Irr!J26&lt;&gt;".",s_Irr!AI26=".",s_Irr!BH26&lt;&gt;"."),s_dir!AK26/((1/1000)*(s_Irr!J26+s_Irr!BH26)),IF(AND(s_Irr!J26=".",s_Irr!AI26&lt;&gt;".",s_Irr!BH26&lt;&gt;"."),s_dir!AK26/((1/1000)*(s_Irr!AI26+s_Irr!BH26)),IF(AND(s_Irr!J26=".",s_Irr!AI26=".",s_Irr!BH26&lt;&gt;"."),s_dir!AK26/((1/1000)*(s_Irr!BH26)),IF(AND(s_Irr!J26=".",s_Irr!AI26&lt;&gt;".",s_Irr!BH26="."),s_dir!AK26/((1/1000)*(s_Irr!AI26)),IF(AND(s_Irr!J26&lt;&gt;".",s_Irr!AI26=".",s_Irr!BH26="."),s_dir!AK26/((1/1000)*(s_Irr!J26)),IF(AND(s_Irr!J26=".",s_Irr!AI26=".",s_Irr!BH26="."),s_dir!AK26*1000)))))))),".")</f>
        <v>96.485632209196055</v>
      </c>
      <c r="BL26" s="76">
        <f>IFERROR(IF(AND(s_Irr!K26&lt;&gt;".",s_Irr!AJ26&lt;&gt;".",s_Irr!BI26&lt;&gt;"."),s_dir!AL26/((1/1000)*(s_Irr!K26+s_Irr!AJ26+s_Irr!BI26)),IF(AND(s_Irr!K26&lt;&gt;".",s_Irr!AJ26&lt;&gt;".",s_Irr!BI26="."),s_dir!AL26/((1/1000)*(s_Irr!K26+s_Irr!AJ26)),IF(AND(s_Irr!K26&lt;&gt;".",s_Irr!AJ26=".",s_Irr!BI26&lt;&gt;"."),s_dir!AL26/((1/1000)*(s_Irr!K26+s_Irr!BI26)),IF(AND(s_Irr!K26=".",s_Irr!AJ26&lt;&gt;".",s_Irr!BI26&lt;&gt;"."),s_dir!AL26/((1/1000)*(s_Irr!AJ26+s_Irr!BI26)),IF(AND(s_Irr!K26=".",s_Irr!AJ26=".",s_Irr!BI26&lt;&gt;"."),s_dir!AL26/((1/1000)*(s_Irr!BI26)),IF(AND(s_Irr!K26=".",s_Irr!AJ26&lt;&gt;".",s_Irr!BI26="."),s_dir!AL26/((1/1000)*(s_Irr!AJ26)),IF(AND(s_Irr!K26&lt;&gt;".",s_Irr!AJ26=".",s_Irr!BI26="."),s_dir!AL26/((1/1000)*(s_Irr!K26)),IF(AND(s_Irr!K26=".",s_Irr!AJ26=".",s_Irr!BI26="."),s_dir!AL26*1000)))))))),".")</f>
        <v>96.258631832567517</v>
      </c>
      <c r="BM26" s="76">
        <f>IFERROR(IF(AND(s_Irr!L26&lt;&gt;".",s_Irr!AK26&lt;&gt;".",s_Irr!BJ26&lt;&gt;"."),s_dir!AM26/((1/1000)*(s_Irr!L26+s_Irr!AK26+s_Irr!BJ26)),IF(AND(s_Irr!L26&lt;&gt;".",s_Irr!AK26&lt;&gt;".",s_Irr!BJ26="."),s_dir!AM26/((1/1000)*(s_Irr!L26+s_Irr!AK26)),IF(AND(s_Irr!L26&lt;&gt;".",s_Irr!AK26=".",s_Irr!BJ26&lt;&gt;"."),s_dir!AM26/((1/1000)*(s_Irr!L26+s_Irr!BJ26)),IF(AND(s_Irr!L26=".",s_Irr!AK26&lt;&gt;".",s_Irr!BJ26&lt;&gt;"."),s_dir!AM26/((1/1000)*(s_Irr!AK26+s_Irr!BJ26)),IF(AND(s_Irr!L26=".",s_Irr!AK26=".",s_Irr!BJ26&lt;&gt;"."),s_dir!AM26/((1/1000)*(s_Irr!BJ26)),IF(AND(s_Irr!L26=".",s_Irr!AK26&lt;&gt;".",s_Irr!BJ26="."),s_dir!AM26/((1/1000)*(s_Irr!AK26)),IF(AND(s_Irr!L26&lt;&gt;".",s_Irr!AK26=".",s_Irr!BJ26="."),s_dir!AM26/((1/1000)*(s_Irr!L26)),IF(AND(s_Irr!L26=".",s_Irr!AK26=".",s_Irr!BJ26="."),s_dir!AM26*1000)))))))),".")</f>
        <v>96.032697070008439</v>
      </c>
      <c r="BN26" s="76">
        <f>IFERROR(IF(AND(s_Irr!M26&lt;&gt;".",s_Irr!AL26&lt;&gt;".",s_Irr!BK26&lt;&gt;"."),s_dir!AN26/((1/1000)*(s_Irr!M26+s_Irr!AL26+s_Irr!BK26)),IF(AND(s_Irr!M26&lt;&gt;".",s_Irr!AL26&lt;&gt;".",s_Irr!BK26="."),s_dir!AN26/((1/1000)*(s_Irr!M26+s_Irr!AL26)),IF(AND(s_Irr!M26&lt;&gt;".",s_Irr!AL26=".",s_Irr!BK26&lt;&gt;"."),s_dir!AN26/((1/1000)*(s_Irr!M26+s_Irr!BK26)),IF(AND(s_Irr!M26=".",s_Irr!AL26&lt;&gt;".",s_Irr!BK26&lt;&gt;"."),s_dir!AN26/((1/1000)*(s_Irr!AL26+s_Irr!BK26)),IF(AND(s_Irr!M26=".",s_Irr!AL26=".",s_Irr!BK26&lt;&gt;"."),s_dir!AN26/((1/1000)*(s_Irr!BK26)),IF(AND(s_Irr!M26=".",s_Irr!AL26&lt;&gt;".",s_Irr!BK26="."),s_dir!AN26/((1/1000)*(s_Irr!AL26)),IF(AND(s_Irr!M26&lt;&gt;".",s_Irr!AL26=".",s_Irr!BK26="."),s_dir!AN26/((1/1000)*(s_Irr!M26)),IF(AND(s_Irr!M26=".",s_Irr!AL26=".",s_Irr!BK26="."),s_dir!AN26*1000)))))))),".")</f>
        <v>95.361211956294184</v>
      </c>
      <c r="BO26" s="76">
        <f>IFERROR(IF(AND(s_Irr!N26&lt;&gt;".",s_Irr!AM26&lt;&gt;".",s_Irr!BL26&lt;&gt;"."),s_dir!AO26/((1/1000)*(s_Irr!N26+s_Irr!AM26+s_Irr!BL26)),IF(AND(s_Irr!N26&lt;&gt;".",s_Irr!AM26&lt;&gt;".",s_Irr!BL26="."),s_dir!AO26/((1/1000)*(s_Irr!N26+s_Irr!AM26)),IF(AND(s_Irr!N26&lt;&gt;".",s_Irr!AM26=".",s_Irr!BL26&lt;&gt;"."),s_dir!AO26/((1/1000)*(s_Irr!N26+s_Irr!BL26)),IF(AND(s_Irr!N26=".",s_Irr!AM26&lt;&gt;".",s_Irr!BL26&lt;&gt;"."),s_dir!AO26/((1/1000)*(s_Irr!AM26+s_Irr!BL26)),IF(AND(s_Irr!N26=".",s_Irr!AM26=".",s_Irr!BL26&lt;&gt;"."),s_dir!AO26/((1/1000)*(s_Irr!BL26)),IF(AND(s_Irr!N26=".",s_Irr!AM26&lt;&gt;".",s_Irr!BL26="."),s_dir!AO26/((1/1000)*(s_Irr!AM26)),IF(AND(s_Irr!N26&lt;&gt;".",s_Irr!AM26=".",s_Irr!BL26="."),s_dir!AO26/((1/1000)*(s_Irr!N26)),IF(AND(s_Irr!N26=".",s_Irr!AM26=".",s_Irr!BL26="."),s_dir!AO26*1000)))))))),".")</f>
        <v>96.436899186461687</v>
      </c>
      <c r="BP26" s="76">
        <f>IFERROR(IF(AND(s_Irr!O26&lt;&gt;".",s_Irr!AN26&lt;&gt;".",s_Irr!BM26&lt;&gt;"."),s_dir!AP26/((1/1000)*(s_Irr!O26+s_Irr!AN26+s_Irr!BM26)),IF(AND(s_Irr!O26&lt;&gt;".",s_Irr!AN26&lt;&gt;".",s_Irr!BM26="."),s_dir!AP26/((1/1000)*(s_Irr!O26+s_Irr!AN26)),IF(AND(s_Irr!O26&lt;&gt;".",s_Irr!AN26=".",s_Irr!BM26&lt;&gt;"."),s_dir!AP26/((1/1000)*(s_Irr!O26+s_Irr!BM26)),IF(AND(s_Irr!O26=".",s_Irr!AN26&lt;&gt;".",s_Irr!BM26&lt;&gt;"."),s_dir!AP26/((1/1000)*(s_Irr!AN26+s_Irr!BM26)),IF(AND(s_Irr!O26=".",s_Irr!AN26=".",s_Irr!BM26&lt;&gt;"."),s_dir!AP26/((1/1000)*(s_Irr!BM26)),IF(AND(s_Irr!O26=".",s_Irr!AN26&lt;&gt;".",s_Irr!BM26="."),s_dir!AP26/((1/1000)*(s_Irr!AN26)),IF(AND(s_Irr!O26&lt;&gt;".",s_Irr!AN26=".",s_Irr!BM26="."),s_dir!AP26/((1/1000)*(s_Irr!O26)),IF(AND(s_Irr!O26=".",s_Irr!AN26=".",s_Irr!BM26="."),s_dir!AP26*1000)))))))),".")</f>
        <v>96.032697070008439</v>
      </c>
      <c r="BQ26" s="76">
        <f>IFERROR(IF(AND(s_Irr!P26&lt;&gt;".",s_Irr!AO26&lt;&gt;".",s_Irr!BN26&lt;&gt;"."),s_dir!AQ26/((1/1000)*(s_Irr!P26+s_Irr!AO26+s_Irr!BN26)),IF(AND(s_Irr!P26&lt;&gt;".",s_Irr!AO26&lt;&gt;".",s_Irr!BN26="."),s_dir!AQ26/((1/1000)*(s_Irr!P26+s_Irr!AO26)),IF(AND(s_Irr!P26&lt;&gt;".",s_Irr!AO26=".",s_Irr!BN26&lt;&gt;"."),s_dir!AQ26/((1/1000)*(s_Irr!P26+s_Irr!BN26)),IF(AND(s_Irr!P26=".",s_Irr!AO26&lt;&gt;".",s_Irr!BN26&lt;&gt;"."),s_dir!AQ26/((1/1000)*(s_Irr!AO26+s_Irr!BN26)),IF(AND(s_Irr!P26=".",s_Irr!AO26=".",s_Irr!BN26&lt;&gt;"."),s_dir!AQ26/((1/1000)*(s_Irr!BN26)),IF(AND(s_Irr!P26=".",s_Irr!AO26&lt;&gt;".",s_Irr!BN26="."),s_dir!AQ26/((1/1000)*(s_Irr!AO26)),IF(AND(s_Irr!P26&lt;&gt;".",s_Irr!AO26=".",s_Irr!BN26="."),s_dir!AQ26/((1/1000)*(s_Irr!P26)),IF(AND(s_Irr!P26=".",s_Irr!AO26=".",s_Irr!BN26="."),s_dir!AQ26*1000)))))))),".")</f>
        <v>96.000507226884864</v>
      </c>
      <c r="BR26" s="76">
        <f>IFERROR(IF(AND(s_Irr!Q26&lt;&gt;".",s_Irr!AP26&lt;&gt;".",s_Irr!BO26&lt;&gt;"."),s_dir!AR26/((1/1000)*(s_Irr!Q26+s_Irr!AP26+s_Irr!BO26)),IF(AND(s_Irr!Q26&lt;&gt;".",s_Irr!AP26&lt;&gt;".",s_Irr!BO26="."),s_dir!AR26/((1/1000)*(s_Irr!Q26+s_Irr!AP26)),IF(AND(s_Irr!Q26&lt;&gt;".",s_Irr!AP26=".",s_Irr!BO26&lt;&gt;"."),s_dir!AR26/((1/1000)*(s_Irr!Q26+s_Irr!BO26)),IF(AND(s_Irr!Q26=".",s_Irr!AP26&lt;&gt;".",s_Irr!BO26&lt;&gt;"."),s_dir!AR26/((1/1000)*(s_Irr!AP26+s_Irr!BO26)),IF(AND(s_Irr!Q26=".",s_Irr!AP26=".",s_Irr!BO26&lt;&gt;"."),s_dir!AR26/((1/1000)*(s_Irr!BO26)),IF(AND(s_Irr!Q26=".",s_Irr!AP26&lt;&gt;".",s_Irr!BO26="."),s_dir!AR26/((1/1000)*(s_Irr!AP26)),IF(AND(s_Irr!Q26&lt;&gt;".",s_Irr!AP26=".",s_Irr!BO26="."),s_dir!AR26/((1/1000)*(s_Irr!Q26)),IF(AND(s_Irr!Q26=".",s_Irr!AP26=".",s_Irr!BO26="."),s_dir!AR26*1000)))))))),".")</f>
        <v>96.485632209196055</v>
      </c>
      <c r="BS26" s="76">
        <f>IFERROR(IF(AND(s_Irr!R26&lt;&gt;".",s_Irr!AQ26&lt;&gt;".",s_Irr!BP26&lt;&gt;"."),s_dir!AS26/((1/1000)*(s_Irr!R26+s_Irr!AQ26+s_Irr!BP26)),IF(AND(s_Irr!R26&lt;&gt;".",s_Irr!AQ26&lt;&gt;".",s_Irr!BP26="."),s_dir!AS26/((1/1000)*(s_Irr!R26+s_Irr!AQ26)),IF(AND(s_Irr!R26&lt;&gt;".",s_Irr!AQ26=".",s_Irr!BP26&lt;&gt;"."),s_dir!AS26/((1/1000)*(s_Irr!R26+s_Irr!BP26)),IF(AND(s_Irr!R26=".",s_Irr!AQ26&lt;&gt;".",s_Irr!BP26&lt;&gt;"."),s_dir!AS26/((1/1000)*(s_Irr!AQ26+s_Irr!BP26)),IF(AND(s_Irr!R26=".",s_Irr!AQ26=".",s_Irr!BP26&lt;&gt;"."),s_dir!AS26/((1/1000)*(s_Irr!BP26)),IF(AND(s_Irr!R26=".",s_Irr!AQ26&lt;&gt;".",s_Irr!BP26="."),s_dir!AS26/((1/1000)*(s_Irr!AQ26)),IF(AND(s_Irr!R26&lt;&gt;".",s_Irr!AQ26=".",s_Irr!BP26="."),s_dir!AS26/((1/1000)*(s_Irr!R26)),IF(AND(s_Irr!R26=".",s_Irr!AQ26=".",s_Irr!BP26="."),s_dir!AS26*1000)))))))),".")</f>
        <v>96.485632209196055</v>
      </c>
      <c r="BT26" s="76">
        <f>IFERROR(IF(AND(s_Irr!S26&lt;&gt;".",s_Irr!AR26&lt;&gt;".",s_Irr!BQ26&lt;&gt;"."),s_dir!AT26/((1/1000)*(s_Irr!S26+s_Irr!AR26+s_Irr!BQ26)),IF(AND(s_Irr!S26&lt;&gt;".",s_Irr!AR26&lt;&gt;".",s_Irr!BQ26="."),s_dir!AT26/((1/1000)*(s_Irr!S26+s_Irr!AR26)),IF(AND(s_Irr!S26&lt;&gt;".",s_Irr!AR26=".",s_Irr!BQ26&lt;&gt;"."),s_dir!AT26/((1/1000)*(s_Irr!S26+s_Irr!BQ26)),IF(AND(s_Irr!S26=".",s_Irr!AR26&lt;&gt;".",s_Irr!BQ26&lt;&gt;"."),s_dir!AT26/((1/1000)*(s_Irr!AR26+s_Irr!BQ26)),IF(AND(s_Irr!S26=".",s_Irr!AR26=".",s_Irr!BQ26&lt;&gt;"."),s_dir!AT26/((1/1000)*(s_Irr!BQ26)),IF(AND(s_Irr!S26=".",s_Irr!AR26&lt;&gt;".",s_Irr!BQ26="."),s_dir!AT26/((1/1000)*(s_Irr!AR26)),IF(AND(s_Irr!S26&lt;&gt;".",s_Irr!AR26=".",s_Irr!BQ26="."),s_dir!AT26/((1/1000)*(s_Irr!S26)),IF(AND(s_Irr!S26=".",s_Irr!AR26=".",s_Irr!BQ26="."),s_dir!AT26*1000)))))))),".")</f>
        <v>96.436899186461687</v>
      </c>
      <c r="BU26" s="76">
        <f>IFERROR(IF(AND(s_Irr!T26&lt;&gt;".",s_Irr!AS26&lt;&gt;".",s_Irr!BR26&lt;&gt;"."),s_dir!AU26/((1/1000)*(s_Irr!T26+s_Irr!AS26+s_Irr!BR26)),IF(AND(s_Irr!T26&lt;&gt;".",s_Irr!AS26&lt;&gt;".",s_Irr!BR26="."),s_dir!AU26/((1/1000)*(s_Irr!T26+s_Irr!AS26)),IF(AND(s_Irr!T26&lt;&gt;".",s_Irr!AS26=".",s_Irr!BR26&lt;&gt;"."),s_dir!AU26/((1/1000)*(s_Irr!T26+s_Irr!BR26)),IF(AND(s_Irr!T26=".",s_Irr!AS26&lt;&gt;".",s_Irr!BR26&lt;&gt;"."),s_dir!AU26/((1/1000)*(s_Irr!AS26+s_Irr!BR26)),IF(AND(s_Irr!T26=".",s_Irr!AS26=".",s_Irr!BR26&lt;&gt;"."),s_dir!AU26/((1/1000)*(s_Irr!BR26)),IF(AND(s_Irr!T26=".",s_Irr!AS26&lt;&gt;".",s_Irr!BR26="."),s_dir!AU26/((1/1000)*(s_Irr!AS26)),IF(AND(s_Irr!T26&lt;&gt;".",s_Irr!AS26=".",s_Irr!BR26="."),s_dir!AU26/((1/1000)*(s_Irr!T26)),IF(AND(s_Irr!T26=".",s_Irr!AS26=".",s_Irr!BR26="."),s_dir!AU26*1000)))))))),".")</f>
        <v>96.032697070008439</v>
      </c>
      <c r="BV26" s="76">
        <f>IFERROR(IF(AND(s_Irr!U26&lt;&gt;".",s_Irr!AT26&lt;&gt;".",s_Irr!BS26&lt;&gt;"."),s_dir!AV26/((1/1000)*(s_Irr!U26+s_Irr!AT26+s_Irr!BS26)),IF(AND(s_Irr!U26&lt;&gt;".",s_Irr!AT26&lt;&gt;".",s_Irr!BS26="."),s_dir!AV26/((1/1000)*(s_Irr!U26+s_Irr!AT26)),IF(AND(s_Irr!U26&lt;&gt;".",s_Irr!AT26=".",s_Irr!BS26&lt;&gt;"."),s_dir!AV26/((1/1000)*(s_Irr!U26+s_Irr!BS26)),IF(AND(s_Irr!U26=".",s_Irr!AT26&lt;&gt;".",s_Irr!BS26&lt;&gt;"."),s_dir!AV26/((1/1000)*(s_Irr!AT26+s_Irr!BS26)),IF(AND(s_Irr!U26=".",s_Irr!AT26=".",s_Irr!BS26&lt;&gt;"."),s_dir!AV26/((1/1000)*(s_Irr!BS26)),IF(AND(s_Irr!U26=".",s_Irr!AT26&lt;&gt;".",s_Irr!BS26="."),s_dir!AV26/((1/1000)*(s_Irr!AT26)),IF(AND(s_Irr!U26&lt;&gt;".",s_Irr!AT26=".",s_Irr!BS26="."),s_dir!AV26/((1/1000)*(s_Irr!U26)),IF(AND(s_Irr!U26=".",s_Irr!AT26=".",s_Irr!BS26="."),s_dir!AV26*1000)))))))),".")</f>
        <v>96.975685115008787</v>
      </c>
      <c r="BW26" s="76">
        <f>IFERROR(IF(AND(s_Irr!V26&lt;&gt;".",s_Irr!AU26&lt;&gt;".",s_Irr!BT26&lt;&gt;"."),s_dir!AW26/((1/1000)*(s_Irr!V26+s_Irr!AU26+s_Irr!BT26)),IF(AND(s_Irr!V26&lt;&gt;".",s_Irr!AU26&lt;&gt;".",s_Irr!BT26="."),s_dir!AW26/((1/1000)*(s_Irr!V26+s_Irr!AU26)),IF(AND(s_Irr!V26&lt;&gt;".",s_Irr!AU26=".",s_Irr!BT26&lt;&gt;"."),s_dir!AW26/((1/1000)*(s_Irr!V26+s_Irr!BT26)),IF(AND(s_Irr!V26=".",s_Irr!AU26&lt;&gt;".",s_Irr!BT26&lt;&gt;"."),s_dir!AW26/((1/1000)*(s_Irr!AU26+s_Irr!BT26)),IF(AND(s_Irr!V26=".",s_Irr!AU26=".",s_Irr!BT26&lt;&gt;"."),s_dir!AW26/((1/1000)*(s_Irr!BT26)),IF(AND(s_Irr!V26=".",s_Irr!AU26&lt;&gt;".",s_Irr!BT26="."),s_dir!AW26/((1/1000)*(s_Irr!AU26)),IF(AND(s_Irr!V26&lt;&gt;".",s_Irr!AU26=".",s_Irr!BT26="."),s_dir!AW26/((1/1000)*(s_Irr!V26)),IF(AND(s_Irr!V26=".",s_Irr!AU26=".",s_Irr!BT26="."),s_dir!AW26*1000)))))))),".")</f>
        <v>96.032697070008439</v>
      </c>
      <c r="BX26" s="76">
        <f>IFERROR(IF(AND(s_Irr!W26&lt;&gt;".",s_Irr!AV26&lt;&gt;".",s_Irr!BU26&lt;&gt;"."),s_dir!AX26/((1/1000)*(s_Irr!W26+s_Irr!AV26+s_Irr!BU26)),IF(AND(s_Irr!W26&lt;&gt;".",s_Irr!AV26&lt;&gt;".",s_Irr!BU26="."),s_dir!AX26/((1/1000)*(s_Irr!W26+s_Irr!AV26)),IF(AND(s_Irr!W26&lt;&gt;".",s_Irr!AV26=".",s_Irr!BU26&lt;&gt;"."),s_dir!AX26/((1/1000)*(s_Irr!W26+s_Irr!BU26)),IF(AND(s_Irr!W26=".",s_Irr!AV26&lt;&gt;".",s_Irr!BU26&lt;&gt;"."),s_dir!AX26/((1/1000)*(s_Irr!AV26+s_Irr!BU26)),IF(AND(s_Irr!W26=".",s_Irr!AV26=".",s_Irr!BU26&lt;&gt;"."),s_dir!AX26/((1/1000)*(s_Irr!BU26)),IF(AND(s_Irr!W26=".",s_Irr!AV26&lt;&gt;".",s_Irr!BU26="."),s_dir!AX26/((1/1000)*(s_Irr!AV26)),IF(AND(s_Irr!W26&lt;&gt;".",s_Irr!AV26=".",s_Irr!BU26="."),s_dir!AX26/((1/1000)*(s_Irr!W26)),IF(AND(s_Irr!W26=".",s_Irr!AV26=".",s_Irr!BU26="."),s_dir!AX26*1000)))))))),".")</f>
        <v>96.436899186461687</v>
      </c>
      <c r="BY26" s="76">
        <f>IFERROR(IF(AND(s_Irr!X26&lt;&gt;".",s_Irr!AW26&lt;&gt;".",s_Irr!BV26&lt;&gt;"."),s_dir!AY26/((1/1000)*(s_Irr!X26+s_Irr!AW26+s_Irr!BV26)),IF(AND(s_Irr!X26&lt;&gt;".",s_Irr!AW26&lt;&gt;".",s_Irr!BV26="."),s_dir!AY26/((1/1000)*(s_Irr!X26+s_Irr!AW26)),IF(AND(s_Irr!X26&lt;&gt;".",s_Irr!AW26=".",s_Irr!BV26&lt;&gt;"."),s_dir!AY26/((1/1000)*(s_Irr!X26+s_Irr!BV26)),IF(AND(s_Irr!X26=".",s_Irr!AW26&lt;&gt;".",s_Irr!BV26&lt;&gt;"."),s_dir!AY26/((1/1000)*(s_Irr!AW26+s_Irr!BV26)),IF(AND(s_Irr!X26=".",s_Irr!AW26=".",s_Irr!BV26&lt;&gt;"."),s_dir!AY26/((1/1000)*(s_Irr!BV26)),IF(AND(s_Irr!X26=".",s_Irr!AW26&lt;&gt;".",s_Irr!BV26="."),s_dir!AY26/((1/1000)*(s_Irr!AW26)),IF(AND(s_Irr!X26&lt;&gt;".",s_Irr!AW26=".",s_Irr!BV26="."),s_dir!AY26/((1/1000)*(s_Irr!X26)),IF(AND(s_Irr!X26=".",s_Irr!AW26=".",s_Irr!BV26="."),s_dir!AY26*1000)))))))),".")</f>
        <v>96.485632209196055</v>
      </c>
      <c r="BZ26" s="76">
        <f>IFERROR(IF(AND(s_Irr!Y26&lt;&gt;".",s_Irr!AX26&lt;&gt;".",s_Irr!BW26&lt;&gt;"."),s_dir!AZ26/((1/1000)*(s_Irr!Y26+s_Irr!AX26+s_Irr!BW26)),IF(AND(s_Irr!Y26&lt;&gt;".",s_Irr!AX26&lt;&gt;".",s_Irr!BW26="."),s_dir!AZ26/((1/1000)*(s_Irr!Y26+s_Irr!AX26)),IF(AND(s_Irr!Y26&lt;&gt;".",s_Irr!AX26=".",s_Irr!BW26&lt;&gt;"."),s_dir!AZ26/((1/1000)*(s_Irr!Y26+s_Irr!BW26)),IF(AND(s_Irr!Y26=".",s_Irr!AX26&lt;&gt;".",s_Irr!BW26&lt;&gt;"."),s_dir!AZ26/((1/1000)*(s_Irr!AX26+s_Irr!BW26)),IF(AND(s_Irr!Y26=".",s_Irr!AX26=".",s_Irr!BW26&lt;&gt;"."),s_dir!AZ26/((1/1000)*(s_Irr!BW26)),IF(AND(s_Irr!Y26=".",s_Irr!AX26&lt;&gt;".",s_Irr!BW26="."),s_dir!AZ26/((1/1000)*(s_Irr!AX26)),IF(AND(s_Irr!Y26&lt;&gt;".",s_Irr!AX26=".",s_Irr!BW26="."),s_dir!AZ26/((1/1000)*(s_Irr!Y26)),IF(AND(s_Irr!Y26=".",s_Irr!AX26=".",s_Irr!BW26="."),s_dir!AZ26*1000)))))))),".")</f>
        <v>96.032697070008439</v>
      </c>
      <c r="CA26" s="76">
        <f>IFERROR(IF(AND(s_Irr!Z26&lt;&gt;".",s_Irr!AY26&lt;&gt;".",s_Irr!BX26&lt;&gt;"."),s_dir!BA26/((1/1000)*(s_Irr!Z26+s_Irr!AY26+s_Irr!BX26)),IF(AND(s_Irr!Z26&lt;&gt;".",s_Irr!AY26&lt;&gt;".",s_Irr!BX26="."),s_dir!BA26/((1/1000)*(s_Irr!Z26+s_Irr!AY26)),IF(AND(s_Irr!Z26&lt;&gt;".",s_Irr!AY26=".",s_Irr!BX26&lt;&gt;"."),s_dir!BA26/((1/1000)*(s_Irr!Z26+s_Irr!BX26)),IF(AND(s_Irr!Z26=".",s_Irr!AY26&lt;&gt;".",s_Irr!BX26&lt;&gt;"."),s_dir!BA26/((1/1000)*(s_Irr!AY26+s_Irr!BX26)),IF(AND(s_Irr!Z26=".",s_Irr!AY26=".",s_Irr!BX26&lt;&gt;"."),s_dir!BA26/((1/1000)*(s_Irr!BX26)),IF(AND(s_Irr!Z26=".",s_Irr!AY26&lt;&gt;".",s_Irr!BX26="."),s_dir!BA26/((1/1000)*(s_Irr!AY26)),IF(AND(s_Irr!Z26&lt;&gt;".",s_Irr!AY26=".",s_Irr!BX26="."),s_dir!BA26/((1/1000)*(s_Irr!Z26)),IF(AND(s_Irr!Z26=".",s_Irr!AY26=".",s_Irr!BX26="."),s_dir!BA26*1000)))))))),".")</f>
        <v>97.041401871493534</v>
      </c>
      <c r="CB26" s="76">
        <f>IFERROR(IF(AND(s_Irr!AA26&lt;&gt;".",s_Irr!AZ26&lt;&gt;".",s_Irr!BY26&lt;&gt;"."),s_dir!BB26/((1/1000)*(s_Irr!AA26+s_Irr!AZ26+s_Irr!BY26)),IF(AND(s_Irr!AA26&lt;&gt;".",s_Irr!AZ26&lt;&gt;".",s_Irr!BY26="."),s_dir!BB26/((1/1000)*(s_Irr!AA26+s_Irr!AZ26)),IF(AND(s_Irr!AA26&lt;&gt;".",s_Irr!AZ26=".",s_Irr!BY26&lt;&gt;"."),s_dir!BB26/((1/1000)*(s_Irr!AA26+s_Irr!BY26)),IF(AND(s_Irr!AA26=".",s_Irr!AZ26&lt;&gt;".",s_Irr!BY26&lt;&gt;"."),s_dir!BB26/((1/1000)*(s_Irr!AZ26+s_Irr!BY26)),IF(AND(s_Irr!AA26=".",s_Irr!AZ26=".",s_Irr!BY26&lt;&gt;"."),s_dir!BB26/((1/1000)*(s_Irr!BY26)),IF(AND(s_Irr!AA26=".",s_Irr!AZ26&lt;&gt;".",s_Irr!BY26="."),s_dir!BB26/((1/1000)*(s_Irr!AZ26)),IF(AND(s_Irr!AA26&lt;&gt;".",s_Irr!AZ26=".",s_Irr!BY26="."),s_dir!BB26/((1/1000)*(s_Irr!AA26)),IF(AND(s_Irr!AA26=".",s_Irr!AZ26=".",s_Irr!BY26="."),s_dir!BB26*1000)))))))),".")</f>
        <v>93.953469194767294</v>
      </c>
      <c r="CC26" s="93">
        <f t="shared" si="2"/>
        <v>7182.9581601928212</v>
      </c>
      <c r="CD26" s="93">
        <f>IFERROR(s_C*s_IFAP_far_adj*s_CF_apple*(1/1000)*(s_Irr!C26+s_Irr!AB26+s_Irr!BA26),".")</f>
        <v>1784.1689484784069</v>
      </c>
      <c r="CE26" s="93">
        <f>IFERROR(s_C*s_IFAS_far_adj*s_CF_asparagus*(1/1000)*(s_Irr!D26+s_Irr!AC26+s_Irr!BB26),".")</f>
        <v>1805.2063876962222</v>
      </c>
      <c r="CF26" s="93">
        <f>IFERROR(s_C*s_IFBT_far_adj*s_CF_beet*(1/1000)*(s_Irr!E26+s_Irr!AD26+s_Irr!BC26),".")</f>
        <v>1793.1849938574705</v>
      </c>
      <c r="CG26" s="93">
        <f>IFERROR(s_C*s_IFBE_far_adj*s_CF_berries*(1/1000)*(s_Irr!F26+s_Irr!AE26+s_Irr!BD26),".")</f>
        <v>1784.1689484784069</v>
      </c>
      <c r="CH26" s="93">
        <f>IFERROR(s_C*s_IFBR_far_adj*s_CF_broccoli*(1/1000)*(s_Irr!G26+s_Irr!AF26+s_Irr!BE26),".")</f>
        <v>1792.5839241655331</v>
      </c>
      <c r="CI26" s="93">
        <f>IFERROR(s_C*s_IFCB_far_adj*s_CF_cabbage*(1/1000)*(s_Irr!H26+s_Irr!AG26+s_Irr!BF26),".")</f>
        <v>1805.2063876962222</v>
      </c>
      <c r="CJ26" s="93">
        <f>IFERROR(s_C*s_IFCR_far_adj*s_CF_carrot*(1/1000)*(s_Irr!I26+s_Irr!AH26+s_Irr!BG26),".")</f>
        <v>1793.1849938574705</v>
      </c>
      <c r="CK26" s="93">
        <f>IFERROR(s_C*s_IFCI_far_adj*s_CF_citrus*(1/1000)*(s_Irr!J26+s_Irr!AI26+s_Irr!BH26),".")</f>
        <v>1784.1689484784069</v>
      </c>
      <c r="CL26" s="93">
        <f>IFERROR(s_C*s_IFCO_far_adj*s_CF_corn*(1/1000)*(s_Irr!K26+s_Irr!AJ26+s_Irr!BI26),".")</f>
        <v>1788.3764363219698</v>
      </c>
      <c r="CM26" s="93">
        <f>IFERROR(s_C*s_IFCU_far_adj*s_CF_cucumber*(1/1000)*(s_Irr!L26+s_Irr!AK26+s_Irr!BJ26),".")</f>
        <v>1792.5839241655331</v>
      </c>
      <c r="CN26" s="93">
        <f>IFERROR(s_C*s_IFLE_far_adj*s_CF_lettuce*(1/1000)*(s_Irr!M26+s_Irr!AL26+s_Irr!BK26),".")</f>
        <v>1805.2063876962222</v>
      </c>
      <c r="CO26" s="93">
        <f>IFERROR(s_C*s_IFLI_far_adj*s_CF_lima_bean*(1/1000)*(s_Irr!N26+s_Irr!AM26+s_Irr!BL26),".")</f>
        <v>1785.0705530163134</v>
      </c>
      <c r="CP26" s="93">
        <f>IFERROR(s_C*s_IFOK_far_adj*s_CF_okra*(1/1000)*(s_Irr!O26+s_Irr!AN26+s_Irr!BM26),".")</f>
        <v>1792.5839241655331</v>
      </c>
      <c r="CQ26" s="93">
        <f>IFERROR(s_C*s_IFON_far_adj*s_CF_onion*(1/1000)*(s_Irr!P26+s_Irr!AO26+s_Irr!BN26),".")</f>
        <v>1793.1849938574705</v>
      </c>
      <c r="CR26" s="93">
        <f>IFERROR(s_C*s_IFPC_far_adj*s_CF_peach*(1/1000)*(s_Irr!Q26+s_Irr!AP26+s_Irr!BO26),".")</f>
        <v>1784.1689484784069</v>
      </c>
      <c r="CS26" s="93">
        <f>IFERROR(s_C*s_IFPR_far_adj*s_CF_pear*(1/1000)*(s_Irr!R26+s_Irr!AQ26+s_Irr!BP26),".")</f>
        <v>1784.1689484784069</v>
      </c>
      <c r="CT26" s="93">
        <f>IFERROR(s_C*s_IFPE_far_adj*s_CF_peas*(1/1000)*(s_Irr!S26+s_Irr!AR26+s_Irr!BQ26),".")</f>
        <v>1785.0705530163134</v>
      </c>
      <c r="CU26" s="93">
        <f>IFERROR(s_C*s_IFPP_far_adj*s_CF_peppers*(1/1000)*(s_Irr!T26+s_Irr!AS26+s_Irr!BR26),".")</f>
        <v>1792.5839241655331</v>
      </c>
      <c r="CV26" s="93">
        <f>IFERROR(s_C*s_IFPT_far_adj*s_CF_potato*(1/1000)*(s_Irr!U26+s_Irr!AT26+s_Irr!BS26),".")</f>
        <v>1775.1529030993431</v>
      </c>
      <c r="CW26" s="93">
        <f>IFERROR(s_C*s_IFPU_far_adj*s_CF_pumpkin*(1/1000)*(s_Irr!V26+s_Irr!AU26+s_Irr!BT26),".")</f>
        <v>1792.5839241655331</v>
      </c>
      <c r="CX26" s="93">
        <f>IFERROR(s_C*s_IFSN_far_adj*s_CF_snap_bean*(1/1000)*(s_Irr!W26+s_Irr!AV26+s_Irr!BU26),".")</f>
        <v>1785.0705530163134</v>
      </c>
      <c r="CY26" s="93">
        <f>IFERROR(s_C*s_IFST_far_adj*s_CF_strawberry*(1/1000)*(s_Irr!X26+s_Irr!AW26+s_Irr!BV26),".")</f>
        <v>1784.1689484784069</v>
      </c>
      <c r="CZ26" s="93">
        <f>IFERROR(s_C*s_IFTO_far_adj*s_CF_tomato*(1/1000)*(s_Irr!Y26+s_Irr!AX26+s_Irr!BW26),".")</f>
        <v>1792.5839241655331</v>
      </c>
      <c r="DA26" s="93">
        <f>IFERROR(s_C*s_IFRI_far_adj*s_CF_rice*(1/1000)*(s_Irr!Z26+s_Irr!AY26+s_Irr!BX26),".")</f>
        <v>1773.9507637154679</v>
      </c>
      <c r="DB26" s="93">
        <f>IFERROR(s_C*s_IFCG_far_adj*s_CF_cereal*(1/1000)*(s_Irr!AA26+s_Irr!AZ26+s_Irr!BY26),".")</f>
        <v>1832.2545238334133</v>
      </c>
    </row>
    <row r="27" spans="1:106" ht="15" customHeight="1" x14ac:dyDescent="0.25">
      <c r="A27" s="92" t="s">
        <v>37</v>
      </c>
      <c r="B27" s="90" t="s">
        <v>1071</v>
      </c>
      <c r="C27" s="15" t="str">
        <f t="shared" si="3"/>
        <v>.</v>
      </c>
      <c r="D27" s="76" t="str">
        <f>IFERROR(IF(AND(s_Irr!C27&lt;&gt;".",s_Irr!AB27&lt;&gt;".",s_Irr!BA27&lt;&gt;"."),s_dir!D27/((1/1000)*(s_Irr!C27+s_Irr!AB27+s_Irr!BA27)),IF(AND(s_Irr!C27&lt;&gt;".",s_Irr!AB27&lt;&gt;".",s_Irr!BA27="."),s_dir!D27/((1/1000)*(s_Irr!C27+s_Irr!AB27)),IF(AND(s_Irr!C27&lt;&gt;".",s_Irr!AB27=".",s_Irr!BA27&lt;&gt;"."),s_dir!D27/((1/1000)*(s_Irr!C27+s_Irr!BA27)),IF(AND(s_Irr!C27=".",s_Irr!AB27&lt;&gt;".",s_Irr!BA27&lt;&gt;"."),s_dir!D27/((1/1000)*(s_Irr!AB27+s_Irr!BA27)),IF(AND(s_Irr!C27=".",s_Irr!AB27=".",s_Irr!BA27&lt;&gt;"."),s_dir!D27/((1/1000)*(s_Irr!BA27)),IF(AND(s_Irr!C27=".",s_Irr!AB27&lt;&gt;".",s_Irr!BA27="."),s_dir!D27/((1/1000)*(s_Irr!AB27)),IF(AND(s_Irr!C27&lt;&gt;".",s_Irr!AB27=".",s_Irr!BA27="."),s_dir!D27/((1/1000)*(s_Irr!C27)),IF(AND(s_Irr!C27=".",s_Irr!AB27=".",s_Irr!BA27="."),s_dir!D27*1000)))))))),".")</f>
        <v>.</v>
      </c>
      <c r="E27" s="76" t="str">
        <f>IFERROR(IF(AND(s_Irr!D27&lt;&gt;".",s_Irr!AC27&lt;&gt;".",s_Irr!BB27&lt;&gt;"."),s_dir!E27/((1/1000)*(s_Irr!D27+s_Irr!AC27+s_Irr!BB27)),IF(AND(s_Irr!D27&lt;&gt;".",s_Irr!AC27&lt;&gt;".",s_Irr!BB27="."),s_dir!E27/((1/1000)*(s_Irr!D27+s_Irr!AC27)),IF(AND(s_Irr!D27&lt;&gt;".",s_Irr!AC27=".",s_Irr!BB27&lt;&gt;"."),s_dir!E27/((1/1000)*(s_Irr!D27+s_Irr!BB27)),IF(AND(s_Irr!D27=".",s_Irr!AC27&lt;&gt;".",s_Irr!BB27&lt;&gt;"."),s_dir!E27/((1/1000)*(s_Irr!AC27+s_Irr!BB27)),IF(AND(s_Irr!D27=".",s_Irr!AC27=".",s_Irr!BB27&lt;&gt;"."),s_dir!E27/((1/1000)*(s_Irr!BB27)),IF(AND(s_Irr!D27=".",s_Irr!AC27&lt;&gt;".",s_Irr!BB27="."),s_dir!E27/((1/1000)*(s_Irr!AC27)),IF(AND(s_Irr!D27&lt;&gt;".",s_Irr!AC27=".",s_Irr!BB27="."),s_dir!E27/((1/1000)*(s_Irr!D27)),IF(AND(s_Irr!D27=".",s_Irr!AC27=".",s_Irr!BB27="."),s_dir!E27*1000)))))))),".")</f>
        <v>.</v>
      </c>
      <c r="F27" s="76" t="str">
        <f>IFERROR(IF(AND(s_Irr!E27&lt;&gt;".",s_Irr!AD27&lt;&gt;".",s_Irr!BC27&lt;&gt;"."),s_dir!F27/((1/1000)*(s_Irr!E27+s_Irr!AD27+s_Irr!BC27)),IF(AND(s_Irr!E27&lt;&gt;".",s_Irr!AD27&lt;&gt;".",s_Irr!BC27="."),s_dir!F27/((1/1000)*(s_Irr!E27+s_Irr!AD27)),IF(AND(s_Irr!E27&lt;&gt;".",s_Irr!AD27=".",s_Irr!BC27&lt;&gt;"."),s_dir!F27/((1/1000)*(s_Irr!E27+s_Irr!BC27)),IF(AND(s_Irr!E27=".",s_Irr!AD27&lt;&gt;".",s_Irr!BC27&lt;&gt;"."),s_dir!F27/((1/1000)*(s_Irr!AD27+s_Irr!BC27)),IF(AND(s_Irr!E27=".",s_Irr!AD27=".",s_Irr!BC27&lt;&gt;"."),s_dir!F27/((1/1000)*(s_Irr!BC27)),IF(AND(s_Irr!E27=".",s_Irr!AD27&lt;&gt;".",s_Irr!BC27="."),s_dir!F27/((1/1000)*(s_Irr!AD27)),IF(AND(s_Irr!E27&lt;&gt;".",s_Irr!AD27=".",s_Irr!BC27="."),s_dir!F27/((1/1000)*(s_Irr!E27)),IF(AND(s_Irr!E27=".",s_Irr!AD27=".",s_Irr!BC27="."),s_dir!F27*1000)))))))),".")</f>
        <v>.</v>
      </c>
      <c r="G27" s="76" t="str">
        <f>IFERROR(IF(AND(s_Irr!F27&lt;&gt;".",s_Irr!AE27&lt;&gt;".",s_Irr!BD27&lt;&gt;"."),s_dir!G27/((1/1000)*(s_Irr!F27+s_Irr!AE27+s_Irr!BD27)),IF(AND(s_Irr!F27&lt;&gt;".",s_Irr!AE27&lt;&gt;".",s_Irr!BD27="."),s_dir!G27/((1/1000)*(s_Irr!F27+s_Irr!AE27)),IF(AND(s_Irr!F27&lt;&gt;".",s_Irr!AE27=".",s_Irr!BD27&lt;&gt;"."),s_dir!G27/((1/1000)*(s_Irr!F27+s_Irr!BD27)),IF(AND(s_Irr!F27=".",s_Irr!AE27&lt;&gt;".",s_Irr!BD27&lt;&gt;"."),s_dir!G27/((1/1000)*(s_Irr!AE27+s_Irr!BD27)),IF(AND(s_Irr!F27=".",s_Irr!AE27=".",s_Irr!BD27&lt;&gt;"."),s_dir!G27/((1/1000)*(s_Irr!BD27)),IF(AND(s_Irr!F27=".",s_Irr!AE27&lt;&gt;".",s_Irr!BD27="."),s_dir!G27/((1/1000)*(s_Irr!AE27)),IF(AND(s_Irr!F27&lt;&gt;".",s_Irr!AE27=".",s_Irr!BD27="."),s_dir!G27/((1/1000)*(s_Irr!F27)),IF(AND(s_Irr!F27=".",s_Irr!AE27=".",s_Irr!BD27="."),s_dir!G27*1000)))))))),".")</f>
        <v>.</v>
      </c>
      <c r="H27" s="76" t="str">
        <f>IFERROR(IF(AND(s_Irr!G27&lt;&gt;".",s_Irr!AF27&lt;&gt;".",s_Irr!BE27&lt;&gt;"."),s_dir!H27/((1/1000)*(s_Irr!G27+s_Irr!AF27+s_Irr!BE27)),IF(AND(s_Irr!G27&lt;&gt;".",s_Irr!AF27&lt;&gt;".",s_Irr!BE27="."),s_dir!H27/((1/1000)*(s_Irr!G27+s_Irr!AF27)),IF(AND(s_Irr!G27&lt;&gt;".",s_Irr!AF27=".",s_Irr!BE27&lt;&gt;"."),s_dir!H27/((1/1000)*(s_Irr!G27+s_Irr!BE27)),IF(AND(s_Irr!G27=".",s_Irr!AF27&lt;&gt;".",s_Irr!BE27&lt;&gt;"."),s_dir!H27/((1/1000)*(s_Irr!AF27+s_Irr!BE27)),IF(AND(s_Irr!G27=".",s_Irr!AF27=".",s_Irr!BE27&lt;&gt;"."),s_dir!H27/((1/1000)*(s_Irr!BE27)),IF(AND(s_Irr!G27=".",s_Irr!AF27&lt;&gt;".",s_Irr!BE27="."),s_dir!H27/((1/1000)*(s_Irr!AF27)),IF(AND(s_Irr!G27&lt;&gt;".",s_Irr!AF27=".",s_Irr!BE27="."),s_dir!H27/((1/1000)*(s_Irr!G27)),IF(AND(s_Irr!G27=".",s_Irr!AF27=".",s_Irr!BE27="."),s_dir!H27*1000)))))))),".")</f>
        <v>.</v>
      </c>
      <c r="I27" s="76" t="str">
        <f>IFERROR(IF(AND(s_Irr!H27&lt;&gt;".",s_Irr!AG27&lt;&gt;".",s_Irr!BF27&lt;&gt;"."),s_dir!I27/((1/1000)*(s_Irr!H27+s_Irr!AG27+s_Irr!BF27)),IF(AND(s_Irr!H27&lt;&gt;".",s_Irr!AG27&lt;&gt;".",s_Irr!BF27="."),s_dir!I27/((1/1000)*(s_Irr!H27+s_Irr!AG27)),IF(AND(s_Irr!H27&lt;&gt;".",s_Irr!AG27=".",s_Irr!BF27&lt;&gt;"."),s_dir!I27/((1/1000)*(s_Irr!H27+s_Irr!BF27)),IF(AND(s_Irr!H27=".",s_Irr!AG27&lt;&gt;".",s_Irr!BF27&lt;&gt;"."),s_dir!I27/((1/1000)*(s_Irr!AG27+s_Irr!BF27)),IF(AND(s_Irr!H27=".",s_Irr!AG27=".",s_Irr!BF27&lt;&gt;"."),s_dir!I27/((1/1000)*(s_Irr!BF27)),IF(AND(s_Irr!H27=".",s_Irr!AG27&lt;&gt;".",s_Irr!BF27="."),s_dir!I27/((1/1000)*(s_Irr!AG27)),IF(AND(s_Irr!H27&lt;&gt;".",s_Irr!AG27=".",s_Irr!BF27="."),s_dir!I27/((1/1000)*(s_Irr!H27)),IF(AND(s_Irr!H27=".",s_Irr!AG27=".",s_Irr!BF27="."),s_dir!I27*1000)))))))),".")</f>
        <v>.</v>
      </c>
      <c r="J27" s="76" t="str">
        <f>IFERROR(IF(AND(s_Irr!I27&lt;&gt;".",s_Irr!AH27&lt;&gt;".",s_Irr!BG27&lt;&gt;"."),s_dir!J27/((1/1000)*(s_Irr!I27+s_Irr!AH27+s_Irr!BG27)),IF(AND(s_Irr!I27&lt;&gt;".",s_Irr!AH27&lt;&gt;".",s_Irr!BG27="."),s_dir!J27/((1/1000)*(s_Irr!I27+s_Irr!AH27)),IF(AND(s_Irr!I27&lt;&gt;".",s_Irr!AH27=".",s_Irr!BG27&lt;&gt;"."),s_dir!J27/((1/1000)*(s_Irr!I27+s_Irr!BG27)),IF(AND(s_Irr!I27=".",s_Irr!AH27&lt;&gt;".",s_Irr!BG27&lt;&gt;"."),s_dir!J27/((1/1000)*(s_Irr!AH27+s_Irr!BG27)),IF(AND(s_Irr!I27=".",s_Irr!AH27=".",s_Irr!BG27&lt;&gt;"."),s_dir!J27/((1/1000)*(s_Irr!BG27)),IF(AND(s_Irr!I27=".",s_Irr!AH27&lt;&gt;".",s_Irr!BG27="."),s_dir!J27/((1/1000)*(s_Irr!AH27)),IF(AND(s_Irr!I27&lt;&gt;".",s_Irr!AH27=".",s_Irr!BG27="."),s_dir!J27/((1/1000)*(s_Irr!I27)),IF(AND(s_Irr!I27=".",s_Irr!AH27=".",s_Irr!BG27="."),s_dir!J27*1000)))))))),".")</f>
        <v>.</v>
      </c>
      <c r="K27" s="76" t="str">
        <f>IFERROR(IF(AND(s_Irr!J27&lt;&gt;".",s_Irr!AI27&lt;&gt;".",s_Irr!BH27&lt;&gt;"."),s_dir!K27/((1/1000)*(s_Irr!J27+s_Irr!AI27+s_Irr!BH27)),IF(AND(s_Irr!J27&lt;&gt;".",s_Irr!AI27&lt;&gt;".",s_Irr!BH27="."),s_dir!K27/((1/1000)*(s_Irr!J27+s_Irr!AI27)),IF(AND(s_Irr!J27&lt;&gt;".",s_Irr!AI27=".",s_Irr!BH27&lt;&gt;"."),s_dir!K27/((1/1000)*(s_Irr!J27+s_Irr!BH27)),IF(AND(s_Irr!J27=".",s_Irr!AI27&lt;&gt;".",s_Irr!BH27&lt;&gt;"."),s_dir!K27/((1/1000)*(s_Irr!AI27+s_Irr!BH27)),IF(AND(s_Irr!J27=".",s_Irr!AI27=".",s_Irr!BH27&lt;&gt;"."),s_dir!K27/((1/1000)*(s_Irr!BH27)),IF(AND(s_Irr!J27=".",s_Irr!AI27&lt;&gt;".",s_Irr!BH27="."),s_dir!K27/((1/1000)*(s_Irr!AI27)),IF(AND(s_Irr!J27&lt;&gt;".",s_Irr!AI27=".",s_Irr!BH27="."),s_dir!K27/((1/1000)*(s_Irr!J27)),IF(AND(s_Irr!J27=".",s_Irr!AI27=".",s_Irr!BH27="."),s_dir!K27*1000)))))))),".")</f>
        <v>.</v>
      </c>
      <c r="L27" s="76" t="str">
        <f>IFERROR(IF(AND(s_Irr!K27&lt;&gt;".",s_Irr!AJ27&lt;&gt;".",s_Irr!BI27&lt;&gt;"."),s_dir!L27/((1/1000)*(s_Irr!K27+s_Irr!AJ27+s_Irr!BI27)),IF(AND(s_Irr!K27&lt;&gt;".",s_Irr!AJ27&lt;&gt;".",s_Irr!BI27="."),s_dir!L27/((1/1000)*(s_Irr!K27+s_Irr!AJ27)),IF(AND(s_Irr!K27&lt;&gt;".",s_Irr!AJ27=".",s_Irr!BI27&lt;&gt;"."),s_dir!L27/((1/1000)*(s_Irr!K27+s_Irr!BI27)),IF(AND(s_Irr!K27=".",s_Irr!AJ27&lt;&gt;".",s_Irr!BI27&lt;&gt;"."),s_dir!L27/((1/1000)*(s_Irr!AJ27+s_Irr!BI27)),IF(AND(s_Irr!K27=".",s_Irr!AJ27=".",s_Irr!BI27&lt;&gt;"."),s_dir!L27/((1/1000)*(s_Irr!BI27)),IF(AND(s_Irr!K27=".",s_Irr!AJ27&lt;&gt;".",s_Irr!BI27="."),s_dir!L27/((1/1000)*(s_Irr!AJ27)),IF(AND(s_Irr!K27&lt;&gt;".",s_Irr!AJ27=".",s_Irr!BI27="."),s_dir!L27/((1/1000)*(s_Irr!K27)),IF(AND(s_Irr!K27=".",s_Irr!AJ27=".",s_Irr!BI27="."),s_dir!L27*1000)))))))),".")</f>
        <v>.</v>
      </c>
      <c r="M27" s="76" t="str">
        <f>IFERROR(IF(AND(s_Irr!L27&lt;&gt;".",s_Irr!AK27&lt;&gt;".",s_Irr!BJ27&lt;&gt;"."),s_dir!M27/((1/1000)*(s_Irr!L27+s_Irr!AK27+s_Irr!BJ27)),IF(AND(s_Irr!L27&lt;&gt;".",s_Irr!AK27&lt;&gt;".",s_Irr!BJ27="."),s_dir!M27/((1/1000)*(s_Irr!L27+s_Irr!AK27)),IF(AND(s_Irr!L27&lt;&gt;".",s_Irr!AK27=".",s_Irr!BJ27&lt;&gt;"."),s_dir!M27/((1/1000)*(s_Irr!L27+s_Irr!BJ27)),IF(AND(s_Irr!L27=".",s_Irr!AK27&lt;&gt;".",s_Irr!BJ27&lt;&gt;"."),s_dir!M27/((1/1000)*(s_Irr!AK27+s_Irr!BJ27)),IF(AND(s_Irr!L27=".",s_Irr!AK27=".",s_Irr!BJ27&lt;&gt;"."),s_dir!M27/((1/1000)*(s_Irr!BJ27)),IF(AND(s_Irr!L27=".",s_Irr!AK27&lt;&gt;".",s_Irr!BJ27="."),s_dir!M27/((1/1000)*(s_Irr!AK27)),IF(AND(s_Irr!L27&lt;&gt;".",s_Irr!AK27=".",s_Irr!BJ27="."),s_dir!M27/((1/1000)*(s_Irr!L27)),IF(AND(s_Irr!L27=".",s_Irr!AK27=".",s_Irr!BJ27="."),s_dir!M27*1000)))))))),".")</f>
        <v>.</v>
      </c>
      <c r="N27" s="76" t="str">
        <f>IFERROR(IF(AND(s_Irr!M27&lt;&gt;".",s_Irr!AL27&lt;&gt;".",s_Irr!BK27&lt;&gt;"."),s_dir!N27/((1/1000)*(s_Irr!M27+s_Irr!AL27+s_Irr!BK27)),IF(AND(s_Irr!M27&lt;&gt;".",s_Irr!AL27&lt;&gt;".",s_Irr!BK27="."),s_dir!N27/((1/1000)*(s_Irr!M27+s_Irr!AL27)),IF(AND(s_Irr!M27&lt;&gt;".",s_Irr!AL27=".",s_Irr!BK27&lt;&gt;"."),s_dir!N27/((1/1000)*(s_Irr!M27+s_Irr!BK27)),IF(AND(s_Irr!M27=".",s_Irr!AL27&lt;&gt;".",s_Irr!BK27&lt;&gt;"."),s_dir!N27/((1/1000)*(s_Irr!AL27+s_Irr!BK27)),IF(AND(s_Irr!M27=".",s_Irr!AL27=".",s_Irr!BK27&lt;&gt;"."),s_dir!N27/((1/1000)*(s_Irr!BK27)),IF(AND(s_Irr!M27=".",s_Irr!AL27&lt;&gt;".",s_Irr!BK27="."),s_dir!N27/((1/1000)*(s_Irr!AL27)),IF(AND(s_Irr!M27&lt;&gt;".",s_Irr!AL27=".",s_Irr!BK27="."),s_dir!N27/((1/1000)*(s_Irr!M27)),IF(AND(s_Irr!M27=".",s_Irr!AL27=".",s_Irr!BK27="."),s_dir!N27*1000)))))))),".")</f>
        <v>.</v>
      </c>
      <c r="O27" s="76" t="str">
        <f>IFERROR(IF(AND(s_Irr!N27&lt;&gt;".",s_Irr!AM27&lt;&gt;".",s_Irr!BL27&lt;&gt;"."),s_dir!O27/((1/1000)*(s_Irr!N27+s_Irr!AM27+s_Irr!BL27)),IF(AND(s_Irr!N27&lt;&gt;".",s_Irr!AM27&lt;&gt;".",s_Irr!BL27="."),s_dir!O27/((1/1000)*(s_Irr!N27+s_Irr!AM27)),IF(AND(s_Irr!N27&lt;&gt;".",s_Irr!AM27=".",s_Irr!BL27&lt;&gt;"."),s_dir!O27/((1/1000)*(s_Irr!N27+s_Irr!BL27)),IF(AND(s_Irr!N27=".",s_Irr!AM27&lt;&gt;".",s_Irr!BL27&lt;&gt;"."),s_dir!O27/((1/1000)*(s_Irr!AM27+s_Irr!BL27)),IF(AND(s_Irr!N27=".",s_Irr!AM27=".",s_Irr!BL27&lt;&gt;"."),s_dir!O27/((1/1000)*(s_Irr!BL27)),IF(AND(s_Irr!N27=".",s_Irr!AM27&lt;&gt;".",s_Irr!BL27="."),s_dir!O27/((1/1000)*(s_Irr!AM27)),IF(AND(s_Irr!N27&lt;&gt;".",s_Irr!AM27=".",s_Irr!BL27="."),s_dir!O27/((1/1000)*(s_Irr!N27)),IF(AND(s_Irr!N27=".",s_Irr!AM27=".",s_Irr!BL27="."),s_dir!O27*1000)))))))),".")</f>
        <v>.</v>
      </c>
      <c r="P27" s="76" t="str">
        <f>IFERROR(IF(AND(s_Irr!O27&lt;&gt;".",s_Irr!AN27&lt;&gt;".",s_Irr!BM27&lt;&gt;"."),s_dir!P27/((1/1000)*(s_Irr!O27+s_Irr!AN27+s_Irr!BM27)),IF(AND(s_Irr!O27&lt;&gt;".",s_Irr!AN27&lt;&gt;".",s_Irr!BM27="."),s_dir!P27/((1/1000)*(s_Irr!O27+s_Irr!AN27)),IF(AND(s_Irr!O27&lt;&gt;".",s_Irr!AN27=".",s_Irr!BM27&lt;&gt;"."),s_dir!P27/((1/1000)*(s_Irr!O27+s_Irr!BM27)),IF(AND(s_Irr!O27=".",s_Irr!AN27&lt;&gt;".",s_Irr!BM27&lt;&gt;"."),s_dir!P27/((1/1000)*(s_Irr!AN27+s_Irr!BM27)),IF(AND(s_Irr!O27=".",s_Irr!AN27=".",s_Irr!BM27&lt;&gt;"."),s_dir!P27/((1/1000)*(s_Irr!BM27)),IF(AND(s_Irr!O27=".",s_Irr!AN27&lt;&gt;".",s_Irr!BM27="."),s_dir!P27/((1/1000)*(s_Irr!AN27)),IF(AND(s_Irr!O27&lt;&gt;".",s_Irr!AN27=".",s_Irr!BM27="."),s_dir!P27/((1/1000)*(s_Irr!O27)),IF(AND(s_Irr!O27=".",s_Irr!AN27=".",s_Irr!BM27="."),s_dir!P27*1000)))))))),".")</f>
        <v>.</v>
      </c>
      <c r="Q27" s="76" t="str">
        <f>IFERROR(IF(AND(s_Irr!P27&lt;&gt;".",s_Irr!AO27&lt;&gt;".",s_Irr!BN27&lt;&gt;"."),s_dir!Q27/((1/1000)*(s_Irr!P27+s_Irr!AO27+s_Irr!BN27)),IF(AND(s_Irr!P27&lt;&gt;".",s_Irr!AO27&lt;&gt;".",s_Irr!BN27="."),s_dir!Q27/((1/1000)*(s_Irr!P27+s_Irr!AO27)),IF(AND(s_Irr!P27&lt;&gt;".",s_Irr!AO27=".",s_Irr!BN27&lt;&gt;"."),s_dir!Q27/((1/1000)*(s_Irr!P27+s_Irr!BN27)),IF(AND(s_Irr!P27=".",s_Irr!AO27&lt;&gt;".",s_Irr!BN27&lt;&gt;"."),s_dir!Q27/((1/1000)*(s_Irr!AO27+s_Irr!BN27)),IF(AND(s_Irr!P27=".",s_Irr!AO27=".",s_Irr!BN27&lt;&gt;"."),s_dir!Q27/((1/1000)*(s_Irr!BN27)),IF(AND(s_Irr!P27=".",s_Irr!AO27&lt;&gt;".",s_Irr!BN27="."),s_dir!Q27/((1/1000)*(s_Irr!AO27)),IF(AND(s_Irr!P27&lt;&gt;".",s_Irr!AO27=".",s_Irr!BN27="."),s_dir!Q27/((1/1000)*(s_Irr!P27)),IF(AND(s_Irr!P27=".",s_Irr!AO27=".",s_Irr!BN27="."),s_dir!Q27*1000)))))))),".")</f>
        <v>.</v>
      </c>
      <c r="R27" s="76" t="str">
        <f>IFERROR(IF(AND(s_Irr!Q27&lt;&gt;".",s_Irr!AP27&lt;&gt;".",s_Irr!BO27&lt;&gt;"."),s_dir!R27/((1/1000)*(s_Irr!Q27+s_Irr!AP27+s_Irr!BO27)),IF(AND(s_Irr!Q27&lt;&gt;".",s_Irr!AP27&lt;&gt;".",s_Irr!BO27="."),s_dir!R27/((1/1000)*(s_Irr!Q27+s_Irr!AP27)),IF(AND(s_Irr!Q27&lt;&gt;".",s_Irr!AP27=".",s_Irr!BO27&lt;&gt;"."),s_dir!R27/((1/1000)*(s_Irr!Q27+s_Irr!BO27)),IF(AND(s_Irr!Q27=".",s_Irr!AP27&lt;&gt;".",s_Irr!BO27&lt;&gt;"."),s_dir!R27/((1/1000)*(s_Irr!AP27+s_Irr!BO27)),IF(AND(s_Irr!Q27=".",s_Irr!AP27=".",s_Irr!BO27&lt;&gt;"."),s_dir!R27/((1/1000)*(s_Irr!BO27)),IF(AND(s_Irr!Q27=".",s_Irr!AP27&lt;&gt;".",s_Irr!BO27="."),s_dir!R27/((1/1000)*(s_Irr!AP27)),IF(AND(s_Irr!Q27&lt;&gt;".",s_Irr!AP27=".",s_Irr!BO27="."),s_dir!R27/((1/1000)*(s_Irr!Q27)),IF(AND(s_Irr!Q27=".",s_Irr!AP27=".",s_Irr!BO27="."),s_dir!R27*1000)))))))),".")</f>
        <v>.</v>
      </c>
      <c r="S27" s="76" t="str">
        <f>IFERROR(IF(AND(s_Irr!R27&lt;&gt;".",s_Irr!AQ27&lt;&gt;".",s_Irr!BP27&lt;&gt;"."),s_dir!S27/((1/1000)*(s_Irr!R27+s_Irr!AQ27+s_Irr!BP27)),IF(AND(s_Irr!R27&lt;&gt;".",s_Irr!AQ27&lt;&gt;".",s_Irr!BP27="."),s_dir!S27/((1/1000)*(s_Irr!R27+s_Irr!AQ27)),IF(AND(s_Irr!R27&lt;&gt;".",s_Irr!AQ27=".",s_Irr!BP27&lt;&gt;"."),s_dir!S27/((1/1000)*(s_Irr!R27+s_Irr!BP27)),IF(AND(s_Irr!R27=".",s_Irr!AQ27&lt;&gt;".",s_Irr!BP27&lt;&gt;"."),s_dir!S27/((1/1000)*(s_Irr!AQ27+s_Irr!BP27)),IF(AND(s_Irr!R27=".",s_Irr!AQ27=".",s_Irr!BP27&lt;&gt;"."),s_dir!S27/((1/1000)*(s_Irr!BP27)),IF(AND(s_Irr!R27=".",s_Irr!AQ27&lt;&gt;".",s_Irr!BP27="."),s_dir!S27/((1/1000)*(s_Irr!AQ27)),IF(AND(s_Irr!R27&lt;&gt;".",s_Irr!AQ27=".",s_Irr!BP27="."),s_dir!S27/((1/1000)*(s_Irr!R27)),IF(AND(s_Irr!R27=".",s_Irr!AQ27=".",s_Irr!BP27="."),s_dir!S27*1000)))))))),".")</f>
        <v>.</v>
      </c>
      <c r="T27" s="76" t="str">
        <f>IFERROR(IF(AND(s_Irr!S27&lt;&gt;".",s_Irr!AR27&lt;&gt;".",s_Irr!BQ27&lt;&gt;"."),s_dir!T27/((1/1000)*(s_Irr!S27+s_Irr!AR27+s_Irr!BQ27)),IF(AND(s_Irr!S27&lt;&gt;".",s_Irr!AR27&lt;&gt;".",s_Irr!BQ27="."),s_dir!T27/((1/1000)*(s_Irr!S27+s_Irr!AR27)),IF(AND(s_Irr!S27&lt;&gt;".",s_Irr!AR27=".",s_Irr!BQ27&lt;&gt;"."),s_dir!T27/((1/1000)*(s_Irr!S27+s_Irr!BQ27)),IF(AND(s_Irr!S27=".",s_Irr!AR27&lt;&gt;".",s_Irr!BQ27&lt;&gt;"."),s_dir!T27/((1/1000)*(s_Irr!AR27+s_Irr!BQ27)),IF(AND(s_Irr!S27=".",s_Irr!AR27=".",s_Irr!BQ27&lt;&gt;"."),s_dir!T27/((1/1000)*(s_Irr!BQ27)),IF(AND(s_Irr!S27=".",s_Irr!AR27&lt;&gt;".",s_Irr!BQ27="."),s_dir!T27/((1/1000)*(s_Irr!AR27)),IF(AND(s_Irr!S27&lt;&gt;".",s_Irr!AR27=".",s_Irr!BQ27="."),s_dir!T27/((1/1000)*(s_Irr!S27)),IF(AND(s_Irr!S27=".",s_Irr!AR27=".",s_Irr!BQ27="."),s_dir!T27*1000)))))))),".")</f>
        <v>.</v>
      </c>
      <c r="U27" s="76" t="str">
        <f>IFERROR(IF(AND(s_Irr!T27&lt;&gt;".",s_Irr!AS27&lt;&gt;".",s_Irr!BR27&lt;&gt;"."),s_dir!U27/((1/1000)*(s_Irr!T27+s_Irr!AS27+s_Irr!BR27)),IF(AND(s_Irr!T27&lt;&gt;".",s_Irr!AS27&lt;&gt;".",s_Irr!BR27="."),s_dir!U27/((1/1000)*(s_Irr!T27+s_Irr!AS27)),IF(AND(s_Irr!T27&lt;&gt;".",s_Irr!AS27=".",s_Irr!BR27&lt;&gt;"."),s_dir!U27/((1/1000)*(s_Irr!T27+s_Irr!BR27)),IF(AND(s_Irr!T27=".",s_Irr!AS27&lt;&gt;".",s_Irr!BR27&lt;&gt;"."),s_dir!U27/((1/1000)*(s_Irr!AS27+s_Irr!BR27)),IF(AND(s_Irr!T27=".",s_Irr!AS27=".",s_Irr!BR27&lt;&gt;"."),s_dir!U27/((1/1000)*(s_Irr!BR27)),IF(AND(s_Irr!T27=".",s_Irr!AS27&lt;&gt;".",s_Irr!BR27="."),s_dir!U27/((1/1000)*(s_Irr!AS27)),IF(AND(s_Irr!T27&lt;&gt;".",s_Irr!AS27=".",s_Irr!BR27="."),s_dir!U27/((1/1000)*(s_Irr!T27)),IF(AND(s_Irr!T27=".",s_Irr!AS27=".",s_Irr!BR27="."),s_dir!U27*1000)))))))),".")</f>
        <v>.</v>
      </c>
      <c r="V27" s="76" t="str">
        <f>IFERROR(IF(AND(s_Irr!U27&lt;&gt;".",s_Irr!AT27&lt;&gt;".",s_Irr!BS27&lt;&gt;"."),s_dir!V27/((1/1000)*(s_Irr!U27+s_Irr!AT27+s_Irr!BS27)),IF(AND(s_Irr!U27&lt;&gt;".",s_Irr!AT27&lt;&gt;".",s_Irr!BS27="."),s_dir!V27/((1/1000)*(s_Irr!U27+s_Irr!AT27)),IF(AND(s_Irr!U27&lt;&gt;".",s_Irr!AT27=".",s_Irr!BS27&lt;&gt;"."),s_dir!V27/((1/1000)*(s_Irr!U27+s_Irr!BS27)),IF(AND(s_Irr!U27=".",s_Irr!AT27&lt;&gt;".",s_Irr!BS27&lt;&gt;"."),s_dir!V27/((1/1000)*(s_Irr!AT27+s_Irr!BS27)),IF(AND(s_Irr!U27=".",s_Irr!AT27=".",s_Irr!BS27&lt;&gt;"."),s_dir!V27/((1/1000)*(s_Irr!BS27)),IF(AND(s_Irr!U27=".",s_Irr!AT27&lt;&gt;".",s_Irr!BS27="."),s_dir!V27/((1/1000)*(s_Irr!AT27)),IF(AND(s_Irr!U27&lt;&gt;".",s_Irr!AT27=".",s_Irr!BS27="."),s_dir!V27/((1/1000)*(s_Irr!U27)),IF(AND(s_Irr!U27=".",s_Irr!AT27=".",s_Irr!BS27="."),s_dir!V27*1000)))))))),".")</f>
        <v>.</v>
      </c>
      <c r="W27" s="76" t="str">
        <f>IFERROR(IF(AND(s_Irr!V27&lt;&gt;".",s_Irr!AU27&lt;&gt;".",s_Irr!BT27&lt;&gt;"."),s_dir!W27/((1/1000)*(s_Irr!V27+s_Irr!AU27+s_Irr!BT27)),IF(AND(s_Irr!V27&lt;&gt;".",s_Irr!AU27&lt;&gt;".",s_Irr!BT27="."),s_dir!W27/((1/1000)*(s_Irr!V27+s_Irr!AU27)),IF(AND(s_Irr!V27&lt;&gt;".",s_Irr!AU27=".",s_Irr!BT27&lt;&gt;"."),s_dir!W27/((1/1000)*(s_Irr!V27+s_Irr!BT27)),IF(AND(s_Irr!V27=".",s_Irr!AU27&lt;&gt;".",s_Irr!BT27&lt;&gt;"."),s_dir!W27/((1/1000)*(s_Irr!AU27+s_Irr!BT27)),IF(AND(s_Irr!V27=".",s_Irr!AU27=".",s_Irr!BT27&lt;&gt;"."),s_dir!W27/((1/1000)*(s_Irr!BT27)),IF(AND(s_Irr!V27=".",s_Irr!AU27&lt;&gt;".",s_Irr!BT27="."),s_dir!W27/((1/1000)*(s_Irr!AU27)),IF(AND(s_Irr!V27&lt;&gt;".",s_Irr!AU27=".",s_Irr!BT27="."),s_dir!W27/((1/1000)*(s_Irr!V27)),IF(AND(s_Irr!V27=".",s_Irr!AU27=".",s_Irr!BT27="."),s_dir!W27*1000)))))))),".")</f>
        <v>.</v>
      </c>
      <c r="X27" s="76" t="str">
        <f>IFERROR(IF(AND(s_Irr!W27&lt;&gt;".",s_Irr!AV27&lt;&gt;".",s_Irr!BU27&lt;&gt;"."),s_dir!X27/((1/1000)*(s_Irr!W27+s_Irr!AV27+s_Irr!BU27)),IF(AND(s_Irr!W27&lt;&gt;".",s_Irr!AV27&lt;&gt;".",s_Irr!BU27="."),s_dir!X27/((1/1000)*(s_Irr!W27+s_Irr!AV27)),IF(AND(s_Irr!W27&lt;&gt;".",s_Irr!AV27=".",s_Irr!BU27&lt;&gt;"."),s_dir!X27/((1/1000)*(s_Irr!W27+s_Irr!BU27)),IF(AND(s_Irr!W27=".",s_Irr!AV27&lt;&gt;".",s_Irr!BU27&lt;&gt;"."),s_dir!X27/((1/1000)*(s_Irr!AV27+s_Irr!BU27)),IF(AND(s_Irr!W27=".",s_Irr!AV27=".",s_Irr!BU27&lt;&gt;"."),s_dir!X27/((1/1000)*(s_Irr!BU27)),IF(AND(s_Irr!W27=".",s_Irr!AV27&lt;&gt;".",s_Irr!BU27="."),s_dir!X27/((1/1000)*(s_Irr!AV27)),IF(AND(s_Irr!W27&lt;&gt;".",s_Irr!AV27=".",s_Irr!BU27="."),s_dir!X27/((1/1000)*(s_Irr!W27)),IF(AND(s_Irr!W27=".",s_Irr!AV27=".",s_Irr!BU27="."),s_dir!X27*1000)))))))),".")</f>
        <v>.</v>
      </c>
      <c r="Y27" s="76" t="str">
        <f>IFERROR(IF(AND(s_Irr!X27&lt;&gt;".",s_Irr!AW27&lt;&gt;".",s_Irr!BV27&lt;&gt;"."),s_dir!Y27/((1/1000)*(s_Irr!X27+s_Irr!AW27+s_Irr!BV27)),IF(AND(s_Irr!X27&lt;&gt;".",s_Irr!AW27&lt;&gt;".",s_Irr!BV27="."),s_dir!Y27/((1/1000)*(s_Irr!X27+s_Irr!AW27)),IF(AND(s_Irr!X27&lt;&gt;".",s_Irr!AW27=".",s_Irr!BV27&lt;&gt;"."),s_dir!Y27/((1/1000)*(s_Irr!X27+s_Irr!BV27)),IF(AND(s_Irr!X27=".",s_Irr!AW27&lt;&gt;".",s_Irr!BV27&lt;&gt;"."),s_dir!Y27/((1/1000)*(s_Irr!AW27+s_Irr!BV27)),IF(AND(s_Irr!X27=".",s_Irr!AW27=".",s_Irr!BV27&lt;&gt;"."),s_dir!Y27/((1/1000)*(s_Irr!BV27)),IF(AND(s_Irr!X27=".",s_Irr!AW27&lt;&gt;".",s_Irr!BV27="."),s_dir!Y27/((1/1000)*(s_Irr!AW27)),IF(AND(s_Irr!X27&lt;&gt;".",s_Irr!AW27=".",s_Irr!BV27="."),s_dir!Y27/((1/1000)*(s_Irr!X27)),IF(AND(s_Irr!X27=".",s_Irr!AW27=".",s_Irr!BV27="."),s_dir!Y27*1000)))))))),".")</f>
        <v>.</v>
      </c>
      <c r="Z27" s="76" t="str">
        <f>IFERROR(IF(AND(s_Irr!Y27&lt;&gt;".",s_Irr!AX27&lt;&gt;".",s_Irr!BW27&lt;&gt;"."),s_dir!Z27/((1/1000)*(s_Irr!Y27+s_Irr!AX27+s_Irr!BW27)),IF(AND(s_Irr!Y27&lt;&gt;".",s_Irr!AX27&lt;&gt;".",s_Irr!BW27="."),s_dir!Z27/((1/1000)*(s_Irr!Y27+s_Irr!AX27)),IF(AND(s_Irr!Y27&lt;&gt;".",s_Irr!AX27=".",s_Irr!BW27&lt;&gt;"."),s_dir!Z27/((1/1000)*(s_Irr!Y27+s_Irr!BW27)),IF(AND(s_Irr!Y27=".",s_Irr!AX27&lt;&gt;".",s_Irr!BW27&lt;&gt;"."),s_dir!Z27/((1/1000)*(s_Irr!AX27+s_Irr!BW27)),IF(AND(s_Irr!Y27=".",s_Irr!AX27=".",s_Irr!BW27&lt;&gt;"."),s_dir!Z27/((1/1000)*(s_Irr!BW27)),IF(AND(s_Irr!Y27=".",s_Irr!AX27&lt;&gt;".",s_Irr!BW27="."),s_dir!Z27/((1/1000)*(s_Irr!AX27)),IF(AND(s_Irr!Y27&lt;&gt;".",s_Irr!AX27=".",s_Irr!BW27="."),s_dir!Z27/((1/1000)*(s_Irr!Y27)),IF(AND(s_Irr!Y27=".",s_Irr!AX27=".",s_Irr!BW27="."),s_dir!Z27*1000)))))))),".")</f>
        <v>.</v>
      </c>
      <c r="AA27" s="76" t="str">
        <f>IFERROR(IF(AND(s_Irr!Z27&lt;&gt;".",s_Irr!AY27&lt;&gt;".",s_Irr!BX27&lt;&gt;"."),s_dir!AA27/((1/1000)*(s_Irr!Z27+s_Irr!AY27+s_Irr!BX27)),IF(AND(s_Irr!Z27&lt;&gt;".",s_Irr!AY27&lt;&gt;".",s_Irr!BX27="."),s_dir!AA27/((1/1000)*(s_Irr!Z27+s_Irr!AY27)),IF(AND(s_Irr!Z27&lt;&gt;".",s_Irr!AY27=".",s_Irr!BX27&lt;&gt;"."),s_dir!AA27/((1/1000)*(s_Irr!Z27+s_Irr!BX27)),IF(AND(s_Irr!Z27=".",s_Irr!AY27&lt;&gt;".",s_Irr!BX27&lt;&gt;"."),s_dir!AA27/((1/1000)*(s_Irr!AY27+s_Irr!BX27)),IF(AND(s_Irr!Z27=".",s_Irr!AY27=".",s_Irr!BX27&lt;&gt;"."),s_dir!AA27/((1/1000)*(s_Irr!BX27)),IF(AND(s_Irr!Z27=".",s_Irr!AY27&lt;&gt;".",s_Irr!BX27="."),s_dir!AA27/((1/1000)*(s_Irr!AY27)),IF(AND(s_Irr!Z27&lt;&gt;".",s_Irr!AY27=".",s_Irr!BX27="."),s_dir!AA27/((1/1000)*(s_Irr!Z27)),IF(AND(s_Irr!Z27=".",s_Irr!AY27=".",s_Irr!BX27="."),s_dir!AA27*1000)))))))),".")</f>
        <v>.</v>
      </c>
      <c r="AB27" s="76" t="str">
        <f>IFERROR(IF(AND(s_Irr!AA27&lt;&gt;".",s_Irr!AZ27&lt;&gt;".",s_Irr!BY27&lt;&gt;"."),s_dir!AB27/((1/1000)*(s_Irr!AA27+s_Irr!AZ27+s_Irr!BY27)),IF(AND(s_Irr!AA27&lt;&gt;".",s_Irr!AZ27&lt;&gt;".",s_Irr!BY27="."),s_dir!AB27/((1/1000)*(s_Irr!AA27+s_Irr!AZ27)),IF(AND(s_Irr!AA27&lt;&gt;".",s_Irr!AZ27=".",s_Irr!BY27&lt;&gt;"."),s_dir!AB27/((1/1000)*(s_Irr!AA27+s_Irr!BY27)),IF(AND(s_Irr!AA27=".",s_Irr!AZ27&lt;&gt;".",s_Irr!BY27&lt;&gt;"."),s_dir!AB27/((1/1000)*(s_Irr!AZ27+s_Irr!BY27)),IF(AND(s_Irr!AA27=".",s_Irr!AZ27=".",s_Irr!BY27&lt;&gt;"."),s_dir!AB27/((1/1000)*(s_Irr!BY27)),IF(AND(s_Irr!AA27=".",s_Irr!AZ27&lt;&gt;".",s_Irr!BY27="."),s_dir!AB27/((1/1000)*(s_Irr!AZ27)),IF(AND(s_Irr!AA27&lt;&gt;".",s_Irr!AZ27=".",s_Irr!BY27="."),s_dir!AB27/((1/1000)*(s_Irr!AA27)),IF(AND(s_Irr!AA27=".",s_Irr!AZ27=".",s_Irr!BY27="."),s_dir!AB27*1000)))))))),".")</f>
        <v>.</v>
      </c>
      <c r="AC27" s="93">
        <f t="shared" si="5"/>
        <v>13137.755598218413</v>
      </c>
      <c r="AD27" s="93">
        <f>IFERROR(s_C*s_IFAP_res_adj*s_CF_apple*0.001*(s_Irr!C27+s_Irr!AB27+s_Irr!BA27),".")</f>
        <v>1771.5464849477178</v>
      </c>
      <c r="AE27" s="93">
        <f>IFERROR(s_C*s_IFAS_res_adj*s_CF_asparagus*0.001*(s_Irr!D27+s_Irr!AC27+s_Irr!BB27),".")</f>
        <v>1793.1849938574705</v>
      </c>
      <c r="AF27" s="93">
        <f>IFERROR(s_C*s_IFBT_res_adj*s_CF_beet*0.001*(s_Irr!E27+s_Irr!AD27+s_Irr!BC27),".")</f>
        <v>1771.5464849477178</v>
      </c>
      <c r="AG27" s="93">
        <f>IFERROR(s_C*s_IFBE_res_adj*s_CF_berries*0.001*(s_Irr!F27+s_Irr!AE27+s_Irr!BD27),".")</f>
        <v>1771.5464849477178</v>
      </c>
      <c r="AH27" s="93">
        <f>IFERROR(s_C*s_IFBR_res_adj*s_CF_broccoli*0.001*(s_Irr!G27+s_Irr!AF27+s_Irr!BE27),".")</f>
        <v>1793.1849938574705</v>
      </c>
      <c r="AI27" s="93">
        <f>IFERROR(s_C*s_IFCB_res_adj*s_CF_cabbage*0.001*(s_Irr!H27+s_Irr!AG27+s_Irr!BF27),".")</f>
        <v>1793.1849938574705</v>
      </c>
      <c r="AJ27" s="93">
        <f>IFERROR(s_C*s_IFCR_res_adj*s_CF_carrot*0.001*(s_Irr!I27+s_Irr!AH27+s_Irr!BG27),".")</f>
        <v>1771.5464849477178</v>
      </c>
      <c r="AK27" s="93">
        <f>IFERROR(s_C*s_IFCI_res_adj*s_CF_citrus*0.001*(s_Irr!J27+s_Irr!AI27+s_Irr!BH27),".")</f>
        <v>1771.5464849477178</v>
      </c>
      <c r="AL27" s="93">
        <f>IFERROR(s_C*s_IFCO_res_adj*s_CF_corn*0.001*(s_Irr!K27+s_Irr!AJ27+s_Irr!BI27),".")</f>
        <v>1793.1849938574705</v>
      </c>
      <c r="AM27" s="93">
        <f>IFERROR(s_C*s_IFCU_res_adj*s_CF_cucumber*0.001*(s_Irr!L27+s_Irr!AK27+s_Irr!BJ27),".")</f>
        <v>1793.1849938574705</v>
      </c>
      <c r="AN27" s="93">
        <f>IFERROR(s_C*s_IFLE_res_adj*s_CF_lettuce*0.001*(s_Irr!M27+s_Irr!AL27+s_Irr!BK27),".")</f>
        <v>1793.1849938574705</v>
      </c>
      <c r="AO27" s="93">
        <f>IFERROR(s_C*s_IFLI_res_adj*s_CF_lima_bean*0.001*(s_Irr!N27+s_Irr!AM27+s_Irr!BL27),".")</f>
        <v>1793.1849938574705</v>
      </c>
      <c r="AP27" s="93">
        <f>IFERROR(s_C*s_IFOK_res_adj*s_CF_okra*0.001*(s_Irr!O27+s_Irr!AN27+s_Irr!BM27),".")</f>
        <v>1793.1849938574705</v>
      </c>
      <c r="AQ27" s="93">
        <f>IFERROR(s_C*s_IFON_res_adj*s_CF_onion*0.001*(s_Irr!P27+s_Irr!AO27+s_Irr!BN27),".")</f>
        <v>1771.5464849477178</v>
      </c>
      <c r="AR27" s="93">
        <f>IFERROR(s_C*s_IFPC_res_adj*s_CF_peach*0.001*(s_Irr!Q27+s_Irr!AP27+s_Irr!BO27),".")</f>
        <v>1771.5464849477178</v>
      </c>
      <c r="AS27" s="93">
        <f>IFERROR(s_C*s_IFPR_res_adj*s_CF_pear*0.001*(s_Irr!R27+s_Irr!AQ27+s_Irr!BP27),".")</f>
        <v>1771.5464849477178</v>
      </c>
      <c r="AT27" s="93">
        <f>IFERROR(s_C*s_IFPE_res_adj*s_CF_peas*0.001*(s_Irr!S27+s_Irr!AR27+s_Irr!BQ27),".")</f>
        <v>1793.1849938574705</v>
      </c>
      <c r="AU27" s="93">
        <f>IFERROR(s_C*s_IFPP_res_adj*s_CF_peppers*0.001*(s_Irr!T27+s_Irr!AS27+s_Irr!BR27),".")</f>
        <v>1793.1849938574705</v>
      </c>
      <c r="AV27" s="93">
        <f>IFERROR(s_C*s_IFPT_res_adj*s_CF_potato*0.001*(s_Irr!U27+s_Irr!AT27+s_Irr!BS27),".")</f>
        <v>1771.5464849477178</v>
      </c>
      <c r="AW27" s="93">
        <f>IFERROR(s_C*s_IFPU_res_adj*s_CF_pumpkin*0.001*(s_Irr!V27+s_Irr!AU27+s_Irr!BT27),".")</f>
        <v>1793.1849938574705</v>
      </c>
      <c r="AX27" s="93">
        <f>IFERROR(s_C*s_IFSN_res_adj*s_CF_snap_bean*0.001*(s_Irr!W27+s_Irr!AV27+s_Irr!BU27),".")</f>
        <v>1793.1849938574705</v>
      </c>
      <c r="AY27" s="93">
        <f>IFERROR(s_C*s_IFST_res_adj*s_CF_strawberry*0.001*(s_Irr!X27+s_Irr!AW27+s_Irr!BV27),".")</f>
        <v>1771.5464849477178</v>
      </c>
      <c r="AZ27" s="93">
        <f>IFERROR(s_C*s_IFTO_res_adj*s_CF_tomato*0.001*(s_Irr!Y27+s_Irr!AX27+s_Irr!BW27),".")</f>
        <v>1793.1849938574705</v>
      </c>
      <c r="BA27" s="93">
        <f>IFERROR(s_C*s_IFRI_res_adj*s_CF_rice*0.001*(s_Irr!Z27+s_Irr!AY27+s_Irr!BX27),".")</f>
        <v>7779.8391255557553</v>
      </c>
      <c r="BB27" s="93">
        <f>IFERROR(s_C*s_IFCG_res_adj*s_CF_cereal*0.001*(s_Irr!AA27+s_Irr!AZ27+s_Irr!BY27),".")</f>
        <v>1793.1849938574705</v>
      </c>
      <c r="BC27" s="76" t="str">
        <f t="shared" si="1"/>
        <v>.</v>
      </c>
      <c r="BD27" s="76" t="str">
        <f>IFERROR(IF(AND(s_Irr!C27&lt;&gt;".",s_Irr!AB27&lt;&gt;".",s_Irr!BA27&lt;&gt;"."),s_dir!AD27/((1/1000)*(s_Irr!C27+s_Irr!AB27+s_Irr!BA27)),IF(AND(s_Irr!C27&lt;&gt;".",s_Irr!AB27&lt;&gt;".",s_Irr!BA27="."),s_dir!AD27/((1/1000)*(s_Irr!C27+s_Irr!AB27)),IF(AND(s_Irr!C27&lt;&gt;".",s_Irr!AB27=".",s_Irr!BA27&lt;&gt;"."),s_dir!AD27/((1/1000)*(s_Irr!C27+s_Irr!BA27)),IF(AND(s_Irr!C27=".",s_Irr!AB27&lt;&gt;".",s_Irr!BA27&lt;&gt;"."),s_dir!AD27/((1/1000)*(s_Irr!AB27+s_Irr!BA27)),IF(AND(s_Irr!C27=".",s_Irr!AB27=".",s_Irr!BA27&lt;&gt;"."),s_dir!AD27/((1/1000)*(s_Irr!BA27)),IF(AND(s_Irr!C27=".",s_Irr!AB27&lt;&gt;".",s_Irr!BA27="."),s_dir!AD27/((1/1000)*(s_Irr!AB27)),IF(AND(s_Irr!C27&lt;&gt;".",s_Irr!AB27=".",s_Irr!BA27="."),s_dir!AD27/((1/1000)*(s_Irr!C27)),IF(AND(s_Irr!C27=".",s_Irr!AB27=".",s_Irr!BA27="."),s_dir!AD27*1000)))))))),".")</f>
        <v>.</v>
      </c>
      <c r="BE27" s="76" t="str">
        <f>IFERROR(IF(AND(s_Irr!D27&lt;&gt;".",s_Irr!AC27&lt;&gt;".",s_Irr!BB27&lt;&gt;"."),s_dir!AE27/((1/1000)*(s_Irr!D27+s_Irr!AC27+s_Irr!BB27)),IF(AND(s_Irr!D27&lt;&gt;".",s_Irr!AC27&lt;&gt;".",s_Irr!BB27="."),s_dir!AE27/((1/1000)*(s_Irr!D27+s_Irr!AC27)),IF(AND(s_Irr!D27&lt;&gt;".",s_Irr!AC27=".",s_Irr!BB27&lt;&gt;"."),s_dir!AE27/((1/1000)*(s_Irr!D27+s_Irr!BB27)),IF(AND(s_Irr!D27=".",s_Irr!AC27&lt;&gt;".",s_Irr!BB27&lt;&gt;"."),s_dir!AE27/((1/1000)*(s_Irr!AC27+s_Irr!BB27)),IF(AND(s_Irr!D27=".",s_Irr!AC27=".",s_Irr!BB27&lt;&gt;"."),s_dir!AE27/((1/1000)*(s_Irr!BB27)),IF(AND(s_Irr!D27=".",s_Irr!AC27&lt;&gt;".",s_Irr!BB27="."),s_dir!AE27/((1/1000)*(s_Irr!AC27)),IF(AND(s_Irr!D27&lt;&gt;".",s_Irr!AC27=".",s_Irr!BB27="."),s_dir!AE27/((1/1000)*(s_Irr!D27)),IF(AND(s_Irr!D27=".",s_Irr!AC27=".",s_Irr!BB27="."),s_dir!AE27*1000)))))))),".")</f>
        <v>.</v>
      </c>
      <c r="BF27" s="76" t="str">
        <f>IFERROR(IF(AND(s_Irr!E27&lt;&gt;".",s_Irr!AD27&lt;&gt;".",s_Irr!BC27&lt;&gt;"."),s_dir!AF27/((1/1000)*(s_Irr!E27+s_Irr!AD27+s_Irr!BC27)),IF(AND(s_Irr!E27&lt;&gt;".",s_Irr!AD27&lt;&gt;".",s_Irr!BC27="."),s_dir!AF27/((1/1000)*(s_Irr!E27+s_Irr!AD27)),IF(AND(s_Irr!E27&lt;&gt;".",s_Irr!AD27=".",s_Irr!BC27&lt;&gt;"."),s_dir!AF27/((1/1000)*(s_Irr!E27+s_Irr!BC27)),IF(AND(s_Irr!E27=".",s_Irr!AD27&lt;&gt;".",s_Irr!BC27&lt;&gt;"."),s_dir!AF27/((1/1000)*(s_Irr!AD27+s_Irr!BC27)),IF(AND(s_Irr!E27=".",s_Irr!AD27=".",s_Irr!BC27&lt;&gt;"."),s_dir!AF27/((1/1000)*(s_Irr!BC27)),IF(AND(s_Irr!E27=".",s_Irr!AD27&lt;&gt;".",s_Irr!BC27="."),s_dir!AF27/((1/1000)*(s_Irr!AD27)),IF(AND(s_Irr!E27&lt;&gt;".",s_Irr!AD27=".",s_Irr!BC27="."),s_dir!AF27/((1/1000)*(s_Irr!E27)),IF(AND(s_Irr!E27=".",s_Irr!AD27=".",s_Irr!BC27="."),s_dir!AF27*1000)))))))),".")</f>
        <v>.</v>
      </c>
      <c r="BG27" s="76" t="str">
        <f>IFERROR(IF(AND(s_Irr!F27&lt;&gt;".",s_Irr!AE27&lt;&gt;".",s_Irr!BD27&lt;&gt;"."),s_dir!AG27/((1/1000)*(s_Irr!F27+s_Irr!AE27+s_Irr!BD27)),IF(AND(s_Irr!F27&lt;&gt;".",s_Irr!AE27&lt;&gt;".",s_Irr!BD27="."),s_dir!AG27/((1/1000)*(s_Irr!F27+s_Irr!AE27)),IF(AND(s_Irr!F27&lt;&gt;".",s_Irr!AE27=".",s_Irr!BD27&lt;&gt;"."),s_dir!AG27/((1/1000)*(s_Irr!F27+s_Irr!BD27)),IF(AND(s_Irr!F27=".",s_Irr!AE27&lt;&gt;".",s_Irr!BD27&lt;&gt;"."),s_dir!AG27/((1/1000)*(s_Irr!AE27+s_Irr!BD27)),IF(AND(s_Irr!F27=".",s_Irr!AE27=".",s_Irr!BD27&lt;&gt;"."),s_dir!AG27/((1/1000)*(s_Irr!BD27)),IF(AND(s_Irr!F27=".",s_Irr!AE27&lt;&gt;".",s_Irr!BD27="."),s_dir!AG27/((1/1000)*(s_Irr!AE27)),IF(AND(s_Irr!F27&lt;&gt;".",s_Irr!AE27=".",s_Irr!BD27="."),s_dir!AG27/((1/1000)*(s_Irr!F27)),IF(AND(s_Irr!F27=".",s_Irr!AE27=".",s_Irr!BD27="."),s_dir!AG27*1000)))))))),".")</f>
        <v>.</v>
      </c>
      <c r="BH27" s="76" t="str">
        <f>IFERROR(IF(AND(s_Irr!G27&lt;&gt;".",s_Irr!AF27&lt;&gt;".",s_Irr!BE27&lt;&gt;"."),s_dir!AH27/((1/1000)*(s_Irr!G27+s_Irr!AF27+s_Irr!BE27)),IF(AND(s_Irr!G27&lt;&gt;".",s_Irr!AF27&lt;&gt;".",s_Irr!BE27="."),s_dir!AH27/((1/1000)*(s_Irr!G27+s_Irr!AF27)),IF(AND(s_Irr!G27&lt;&gt;".",s_Irr!AF27=".",s_Irr!BE27&lt;&gt;"."),s_dir!AH27/((1/1000)*(s_Irr!G27+s_Irr!BE27)),IF(AND(s_Irr!G27=".",s_Irr!AF27&lt;&gt;".",s_Irr!BE27&lt;&gt;"."),s_dir!AH27/((1/1000)*(s_Irr!AF27+s_Irr!BE27)),IF(AND(s_Irr!G27=".",s_Irr!AF27=".",s_Irr!BE27&lt;&gt;"."),s_dir!AH27/((1/1000)*(s_Irr!BE27)),IF(AND(s_Irr!G27=".",s_Irr!AF27&lt;&gt;".",s_Irr!BE27="."),s_dir!AH27/((1/1000)*(s_Irr!AF27)),IF(AND(s_Irr!G27&lt;&gt;".",s_Irr!AF27=".",s_Irr!BE27="."),s_dir!AH27/((1/1000)*(s_Irr!G27)),IF(AND(s_Irr!G27=".",s_Irr!AF27=".",s_Irr!BE27="."),s_dir!AH27*1000)))))))),".")</f>
        <v>.</v>
      </c>
      <c r="BI27" s="76" t="str">
        <f>IFERROR(IF(AND(s_Irr!H27&lt;&gt;".",s_Irr!AG27&lt;&gt;".",s_Irr!BF27&lt;&gt;"."),s_dir!AI27/((1/1000)*(s_Irr!H27+s_Irr!AG27+s_Irr!BF27)),IF(AND(s_Irr!H27&lt;&gt;".",s_Irr!AG27&lt;&gt;".",s_Irr!BF27="."),s_dir!AI27/((1/1000)*(s_Irr!H27+s_Irr!AG27)),IF(AND(s_Irr!H27&lt;&gt;".",s_Irr!AG27=".",s_Irr!BF27&lt;&gt;"."),s_dir!AI27/((1/1000)*(s_Irr!H27+s_Irr!BF27)),IF(AND(s_Irr!H27=".",s_Irr!AG27&lt;&gt;".",s_Irr!BF27&lt;&gt;"."),s_dir!AI27/((1/1000)*(s_Irr!AG27+s_Irr!BF27)),IF(AND(s_Irr!H27=".",s_Irr!AG27=".",s_Irr!BF27&lt;&gt;"."),s_dir!AI27/((1/1000)*(s_Irr!BF27)),IF(AND(s_Irr!H27=".",s_Irr!AG27&lt;&gt;".",s_Irr!BF27="."),s_dir!AI27/((1/1000)*(s_Irr!AG27)),IF(AND(s_Irr!H27&lt;&gt;".",s_Irr!AG27=".",s_Irr!BF27="."),s_dir!AI27/((1/1000)*(s_Irr!H27)),IF(AND(s_Irr!H27=".",s_Irr!AG27=".",s_Irr!BF27="."),s_dir!AI27*1000)))))))),".")</f>
        <v>.</v>
      </c>
      <c r="BJ27" s="76" t="str">
        <f>IFERROR(IF(AND(s_Irr!I27&lt;&gt;".",s_Irr!AH27&lt;&gt;".",s_Irr!BG27&lt;&gt;"."),s_dir!AJ27/((1/1000)*(s_Irr!I27+s_Irr!AH27+s_Irr!BG27)),IF(AND(s_Irr!I27&lt;&gt;".",s_Irr!AH27&lt;&gt;".",s_Irr!BG27="."),s_dir!AJ27/((1/1000)*(s_Irr!I27+s_Irr!AH27)),IF(AND(s_Irr!I27&lt;&gt;".",s_Irr!AH27=".",s_Irr!BG27&lt;&gt;"."),s_dir!AJ27/((1/1000)*(s_Irr!I27+s_Irr!BG27)),IF(AND(s_Irr!I27=".",s_Irr!AH27&lt;&gt;".",s_Irr!BG27&lt;&gt;"."),s_dir!AJ27/((1/1000)*(s_Irr!AH27+s_Irr!BG27)),IF(AND(s_Irr!I27=".",s_Irr!AH27=".",s_Irr!BG27&lt;&gt;"."),s_dir!AJ27/((1/1000)*(s_Irr!BG27)),IF(AND(s_Irr!I27=".",s_Irr!AH27&lt;&gt;".",s_Irr!BG27="."),s_dir!AJ27/((1/1000)*(s_Irr!AH27)),IF(AND(s_Irr!I27&lt;&gt;".",s_Irr!AH27=".",s_Irr!BG27="."),s_dir!AJ27/((1/1000)*(s_Irr!I27)),IF(AND(s_Irr!I27=".",s_Irr!AH27=".",s_Irr!BG27="."),s_dir!AJ27*1000)))))))),".")</f>
        <v>.</v>
      </c>
      <c r="BK27" s="76" t="str">
        <f>IFERROR(IF(AND(s_Irr!J27&lt;&gt;".",s_Irr!AI27&lt;&gt;".",s_Irr!BH27&lt;&gt;"."),s_dir!AK27/((1/1000)*(s_Irr!J27+s_Irr!AI27+s_Irr!BH27)),IF(AND(s_Irr!J27&lt;&gt;".",s_Irr!AI27&lt;&gt;".",s_Irr!BH27="."),s_dir!AK27/((1/1000)*(s_Irr!J27+s_Irr!AI27)),IF(AND(s_Irr!J27&lt;&gt;".",s_Irr!AI27=".",s_Irr!BH27&lt;&gt;"."),s_dir!AK27/((1/1000)*(s_Irr!J27+s_Irr!BH27)),IF(AND(s_Irr!J27=".",s_Irr!AI27&lt;&gt;".",s_Irr!BH27&lt;&gt;"."),s_dir!AK27/((1/1000)*(s_Irr!AI27+s_Irr!BH27)),IF(AND(s_Irr!J27=".",s_Irr!AI27=".",s_Irr!BH27&lt;&gt;"."),s_dir!AK27/((1/1000)*(s_Irr!BH27)),IF(AND(s_Irr!J27=".",s_Irr!AI27&lt;&gt;".",s_Irr!BH27="."),s_dir!AK27/((1/1000)*(s_Irr!AI27)),IF(AND(s_Irr!J27&lt;&gt;".",s_Irr!AI27=".",s_Irr!BH27="."),s_dir!AK27/((1/1000)*(s_Irr!J27)),IF(AND(s_Irr!J27=".",s_Irr!AI27=".",s_Irr!BH27="."),s_dir!AK27*1000)))))))),".")</f>
        <v>.</v>
      </c>
      <c r="BL27" s="76" t="str">
        <f>IFERROR(IF(AND(s_Irr!K27&lt;&gt;".",s_Irr!AJ27&lt;&gt;".",s_Irr!BI27&lt;&gt;"."),s_dir!AL27/((1/1000)*(s_Irr!K27+s_Irr!AJ27+s_Irr!BI27)),IF(AND(s_Irr!K27&lt;&gt;".",s_Irr!AJ27&lt;&gt;".",s_Irr!BI27="."),s_dir!AL27/((1/1000)*(s_Irr!K27+s_Irr!AJ27)),IF(AND(s_Irr!K27&lt;&gt;".",s_Irr!AJ27=".",s_Irr!BI27&lt;&gt;"."),s_dir!AL27/((1/1000)*(s_Irr!K27+s_Irr!BI27)),IF(AND(s_Irr!K27=".",s_Irr!AJ27&lt;&gt;".",s_Irr!BI27&lt;&gt;"."),s_dir!AL27/((1/1000)*(s_Irr!AJ27+s_Irr!BI27)),IF(AND(s_Irr!K27=".",s_Irr!AJ27=".",s_Irr!BI27&lt;&gt;"."),s_dir!AL27/((1/1000)*(s_Irr!BI27)),IF(AND(s_Irr!K27=".",s_Irr!AJ27&lt;&gt;".",s_Irr!BI27="."),s_dir!AL27/((1/1000)*(s_Irr!AJ27)),IF(AND(s_Irr!K27&lt;&gt;".",s_Irr!AJ27=".",s_Irr!BI27="."),s_dir!AL27/((1/1000)*(s_Irr!K27)),IF(AND(s_Irr!K27=".",s_Irr!AJ27=".",s_Irr!BI27="."),s_dir!AL27*1000)))))))),".")</f>
        <v>.</v>
      </c>
      <c r="BM27" s="76" t="str">
        <f>IFERROR(IF(AND(s_Irr!L27&lt;&gt;".",s_Irr!AK27&lt;&gt;".",s_Irr!BJ27&lt;&gt;"."),s_dir!AM27/((1/1000)*(s_Irr!L27+s_Irr!AK27+s_Irr!BJ27)),IF(AND(s_Irr!L27&lt;&gt;".",s_Irr!AK27&lt;&gt;".",s_Irr!BJ27="."),s_dir!AM27/((1/1000)*(s_Irr!L27+s_Irr!AK27)),IF(AND(s_Irr!L27&lt;&gt;".",s_Irr!AK27=".",s_Irr!BJ27&lt;&gt;"."),s_dir!AM27/((1/1000)*(s_Irr!L27+s_Irr!BJ27)),IF(AND(s_Irr!L27=".",s_Irr!AK27&lt;&gt;".",s_Irr!BJ27&lt;&gt;"."),s_dir!AM27/((1/1000)*(s_Irr!AK27+s_Irr!BJ27)),IF(AND(s_Irr!L27=".",s_Irr!AK27=".",s_Irr!BJ27&lt;&gt;"."),s_dir!AM27/((1/1000)*(s_Irr!BJ27)),IF(AND(s_Irr!L27=".",s_Irr!AK27&lt;&gt;".",s_Irr!BJ27="."),s_dir!AM27/((1/1000)*(s_Irr!AK27)),IF(AND(s_Irr!L27&lt;&gt;".",s_Irr!AK27=".",s_Irr!BJ27="."),s_dir!AM27/((1/1000)*(s_Irr!L27)),IF(AND(s_Irr!L27=".",s_Irr!AK27=".",s_Irr!BJ27="."),s_dir!AM27*1000)))))))),".")</f>
        <v>.</v>
      </c>
      <c r="BN27" s="76" t="str">
        <f>IFERROR(IF(AND(s_Irr!M27&lt;&gt;".",s_Irr!AL27&lt;&gt;".",s_Irr!BK27&lt;&gt;"."),s_dir!AN27/((1/1000)*(s_Irr!M27+s_Irr!AL27+s_Irr!BK27)),IF(AND(s_Irr!M27&lt;&gt;".",s_Irr!AL27&lt;&gt;".",s_Irr!BK27="."),s_dir!AN27/((1/1000)*(s_Irr!M27+s_Irr!AL27)),IF(AND(s_Irr!M27&lt;&gt;".",s_Irr!AL27=".",s_Irr!BK27&lt;&gt;"."),s_dir!AN27/((1/1000)*(s_Irr!M27+s_Irr!BK27)),IF(AND(s_Irr!M27=".",s_Irr!AL27&lt;&gt;".",s_Irr!BK27&lt;&gt;"."),s_dir!AN27/((1/1000)*(s_Irr!AL27+s_Irr!BK27)),IF(AND(s_Irr!M27=".",s_Irr!AL27=".",s_Irr!BK27&lt;&gt;"."),s_dir!AN27/((1/1000)*(s_Irr!BK27)),IF(AND(s_Irr!M27=".",s_Irr!AL27&lt;&gt;".",s_Irr!BK27="."),s_dir!AN27/((1/1000)*(s_Irr!AL27)),IF(AND(s_Irr!M27&lt;&gt;".",s_Irr!AL27=".",s_Irr!BK27="."),s_dir!AN27/((1/1000)*(s_Irr!M27)),IF(AND(s_Irr!M27=".",s_Irr!AL27=".",s_Irr!BK27="."),s_dir!AN27*1000)))))))),".")</f>
        <v>.</v>
      </c>
      <c r="BO27" s="76" t="str">
        <f>IFERROR(IF(AND(s_Irr!N27&lt;&gt;".",s_Irr!AM27&lt;&gt;".",s_Irr!BL27&lt;&gt;"."),s_dir!AO27/((1/1000)*(s_Irr!N27+s_Irr!AM27+s_Irr!BL27)),IF(AND(s_Irr!N27&lt;&gt;".",s_Irr!AM27&lt;&gt;".",s_Irr!BL27="."),s_dir!AO27/((1/1000)*(s_Irr!N27+s_Irr!AM27)),IF(AND(s_Irr!N27&lt;&gt;".",s_Irr!AM27=".",s_Irr!BL27&lt;&gt;"."),s_dir!AO27/((1/1000)*(s_Irr!N27+s_Irr!BL27)),IF(AND(s_Irr!N27=".",s_Irr!AM27&lt;&gt;".",s_Irr!BL27&lt;&gt;"."),s_dir!AO27/((1/1000)*(s_Irr!AM27+s_Irr!BL27)),IF(AND(s_Irr!N27=".",s_Irr!AM27=".",s_Irr!BL27&lt;&gt;"."),s_dir!AO27/((1/1000)*(s_Irr!BL27)),IF(AND(s_Irr!N27=".",s_Irr!AM27&lt;&gt;".",s_Irr!BL27="."),s_dir!AO27/((1/1000)*(s_Irr!AM27)),IF(AND(s_Irr!N27&lt;&gt;".",s_Irr!AM27=".",s_Irr!BL27="."),s_dir!AO27/((1/1000)*(s_Irr!N27)),IF(AND(s_Irr!N27=".",s_Irr!AM27=".",s_Irr!BL27="."),s_dir!AO27*1000)))))))),".")</f>
        <v>.</v>
      </c>
      <c r="BP27" s="76" t="str">
        <f>IFERROR(IF(AND(s_Irr!O27&lt;&gt;".",s_Irr!AN27&lt;&gt;".",s_Irr!BM27&lt;&gt;"."),s_dir!AP27/((1/1000)*(s_Irr!O27+s_Irr!AN27+s_Irr!BM27)),IF(AND(s_Irr!O27&lt;&gt;".",s_Irr!AN27&lt;&gt;".",s_Irr!BM27="."),s_dir!AP27/((1/1000)*(s_Irr!O27+s_Irr!AN27)),IF(AND(s_Irr!O27&lt;&gt;".",s_Irr!AN27=".",s_Irr!BM27&lt;&gt;"."),s_dir!AP27/((1/1000)*(s_Irr!O27+s_Irr!BM27)),IF(AND(s_Irr!O27=".",s_Irr!AN27&lt;&gt;".",s_Irr!BM27&lt;&gt;"."),s_dir!AP27/((1/1000)*(s_Irr!AN27+s_Irr!BM27)),IF(AND(s_Irr!O27=".",s_Irr!AN27=".",s_Irr!BM27&lt;&gt;"."),s_dir!AP27/((1/1000)*(s_Irr!BM27)),IF(AND(s_Irr!O27=".",s_Irr!AN27&lt;&gt;".",s_Irr!BM27="."),s_dir!AP27/((1/1000)*(s_Irr!AN27)),IF(AND(s_Irr!O27&lt;&gt;".",s_Irr!AN27=".",s_Irr!BM27="."),s_dir!AP27/((1/1000)*(s_Irr!O27)),IF(AND(s_Irr!O27=".",s_Irr!AN27=".",s_Irr!BM27="."),s_dir!AP27*1000)))))))),".")</f>
        <v>.</v>
      </c>
      <c r="BQ27" s="76" t="str">
        <f>IFERROR(IF(AND(s_Irr!P27&lt;&gt;".",s_Irr!AO27&lt;&gt;".",s_Irr!BN27&lt;&gt;"."),s_dir!AQ27/((1/1000)*(s_Irr!P27+s_Irr!AO27+s_Irr!BN27)),IF(AND(s_Irr!P27&lt;&gt;".",s_Irr!AO27&lt;&gt;".",s_Irr!BN27="."),s_dir!AQ27/((1/1000)*(s_Irr!P27+s_Irr!AO27)),IF(AND(s_Irr!P27&lt;&gt;".",s_Irr!AO27=".",s_Irr!BN27&lt;&gt;"."),s_dir!AQ27/((1/1000)*(s_Irr!P27+s_Irr!BN27)),IF(AND(s_Irr!P27=".",s_Irr!AO27&lt;&gt;".",s_Irr!BN27&lt;&gt;"."),s_dir!AQ27/((1/1000)*(s_Irr!AO27+s_Irr!BN27)),IF(AND(s_Irr!P27=".",s_Irr!AO27=".",s_Irr!BN27&lt;&gt;"."),s_dir!AQ27/((1/1000)*(s_Irr!BN27)),IF(AND(s_Irr!P27=".",s_Irr!AO27&lt;&gt;".",s_Irr!BN27="."),s_dir!AQ27/((1/1000)*(s_Irr!AO27)),IF(AND(s_Irr!P27&lt;&gt;".",s_Irr!AO27=".",s_Irr!BN27="."),s_dir!AQ27/((1/1000)*(s_Irr!P27)),IF(AND(s_Irr!P27=".",s_Irr!AO27=".",s_Irr!BN27="."),s_dir!AQ27*1000)))))))),".")</f>
        <v>.</v>
      </c>
      <c r="BR27" s="76" t="str">
        <f>IFERROR(IF(AND(s_Irr!Q27&lt;&gt;".",s_Irr!AP27&lt;&gt;".",s_Irr!BO27&lt;&gt;"."),s_dir!AR27/((1/1000)*(s_Irr!Q27+s_Irr!AP27+s_Irr!BO27)),IF(AND(s_Irr!Q27&lt;&gt;".",s_Irr!AP27&lt;&gt;".",s_Irr!BO27="."),s_dir!AR27/((1/1000)*(s_Irr!Q27+s_Irr!AP27)),IF(AND(s_Irr!Q27&lt;&gt;".",s_Irr!AP27=".",s_Irr!BO27&lt;&gt;"."),s_dir!AR27/((1/1000)*(s_Irr!Q27+s_Irr!BO27)),IF(AND(s_Irr!Q27=".",s_Irr!AP27&lt;&gt;".",s_Irr!BO27&lt;&gt;"."),s_dir!AR27/((1/1000)*(s_Irr!AP27+s_Irr!BO27)),IF(AND(s_Irr!Q27=".",s_Irr!AP27=".",s_Irr!BO27&lt;&gt;"."),s_dir!AR27/((1/1000)*(s_Irr!BO27)),IF(AND(s_Irr!Q27=".",s_Irr!AP27&lt;&gt;".",s_Irr!BO27="."),s_dir!AR27/((1/1000)*(s_Irr!AP27)),IF(AND(s_Irr!Q27&lt;&gt;".",s_Irr!AP27=".",s_Irr!BO27="."),s_dir!AR27/((1/1000)*(s_Irr!Q27)),IF(AND(s_Irr!Q27=".",s_Irr!AP27=".",s_Irr!BO27="."),s_dir!AR27*1000)))))))),".")</f>
        <v>.</v>
      </c>
      <c r="BS27" s="76" t="str">
        <f>IFERROR(IF(AND(s_Irr!R27&lt;&gt;".",s_Irr!AQ27&lt;&gt;".",s_Irr!BP27&lt;&gt;"."),s_dir!AS27/((1/1000)*(s_Irr!R27+s_Irr!AQ27+s_Irr!BP27)),IF(AND(s_Irr!R27&lt;&gt;".",s_Irr!AQ27&lt;&gt;".",s_Irr!BP27="."),s_dir!AS27/((1/1000)*(s_Irr!R27+s_Irr!AQ27)),IF(AND(s_Irr!R27&lt;&gt;".",s_Irr!AQ27=".",s_Irr!BP27&lt;&gt;"."),s_dir!AS27/((1/1000)*(s_Irr!R27+s_Irr!BP27)),IF(AND(s_Irr!R27=".",s_Irr!AQ27&lt;&gt;".",s_Irr!BP27&lt;&gt;"."),s_dir!AS27/((1/1000)*(s_Irr!AQ27+s_Irr!BP27)),IF(AND(s_Irr!R27=".",s_Irr!AQ27=".",s_Irr!BP27&lt;&gt;"."),s_dir!AS27/((1/1000)*(s_Irr!BP27)),IF(AND(s_Irr!R27=".",s_Irr!AQ27&lt;&gt;".",s_Irr!BP27="."),s_dir!AS27/((1/1000)*(s_Irr!AQ27)),IF(AND(s_Irr!R27&lt;&gt;".",s_Irr!AQ27=".",s_Irr!BP27="."),s_dir!AS27/((1/1000)*(s_Irr!R27)),IF(AND(s_Irr!R27=".",s_Irr!AQ27=".",s_Irr!BP27="."),s_dir!AS27*1000)))))))),".")</f>
        <v>.</v>
      </c>
      <c r="BT27" s="76" t="str">
        <f>IFERROR(IF(AND(s_Irr!S27&lt;&gt;".",s_Irr!AR27&lt;&gt;".",s_Irr!BQ27&lt;&gt;"."),s_dir!AT27/((1/1000)*(s_Irr!S27+s_Irr!AR27+s_Irr!BQ27)),IF(AND(s_Irr!S27&lt;&gt;".",s_Irr!AR27&lt;&gt;".",s_Irr!BQ27="."),s_dir!AT27/((1/1000)*(s_Irr!S27+s_Irr!AR27)),IF(AND(s_Irr!S27&lt;&gt;".",s_Irr!AR27=".",s_Irr!BQ27&lt;&gt;"."),s_dir!AT27/((1/1000)*(s_Irr!S27+s_Irr!BQ27)),IF(AND(s_Irr!S27=".",s_Irr!AR27&lt;&gt;".",s_Irr!BQ27&lt;&gt;"."),s_dir!AT27/((1/1000)*(s_Irr!AR27+s_Irr!BQ27)),IF(AND(s_Irr!S27=".",s_Irr!AR27=".",s_Irr!BQ27&lt;&gt;"."),s_dir!AT27/((1/1000)*(s_Irr!BQ27)),IF(AND(s_Irr!S27=".",s_Irr!AR27&lt;&gt;".",s_Irr!BQ27="."),s_dir!AT27/((1/1000)*(s_Irr!AR27)),IF(AND(s_Irr!S27&lt;&gt;".",s_Irr!AR27=".",s_Irr!BQ27="."),s_dir!AT27/((1/1000)*(s_Irr!S27)),IF(AND(s_Irr!S27=".",s_Irr!AR27=".",s_Irr!BQ27="."),s_dir!AT27*1000)))))))),".")</f>
        <v>.</v>
      </c>
      <c r="BU27" s="76" t="str">
        <f>IFERROR(IF(AND(s_Irr!T27&lt;&gt;".",s_Irr!AS27&lt;&gt;".",s_Irr!BR27&lt;&gt;"."),s_dir!AU27/((1/1000)*(s_Irr!T27+s_Irr!AS27+s_Irr!BR27)),IF(AND(s_Irr!T27&lt;&gt;".",s_Irr!AS27&lt;&gt;".",s_Irr!BR27="."),s_dir!AU27/((1/1000)*(s_Irr!T27+s_Irr!AS27)),IF(AND(s_Irr!T27&lt;&gt;".",s_Irr!AS27=".",s_Irr!BR27&lt;&gt;"."),s_dir!AU27/((1/1000)*(s_Irr!T27+s_Irr!BR27)),IF(AND(s_Irr!T27=".",s_Irr!AS27&lt;&gt;".",s_Irr!BR27&lt;&gt;"."),s_dir!AU27/((1/1000)*(s_Irr!AS27+s_Irr!BR27)),IF(AND(s_Irr!T27=".",s_Irr!AS27=".",s_Irr!BR27&lt;&gt;"."),s_dir!AU27/((1/1000)*(s_Irr!BR27)),IF(AND(s_Irr!T27=".",s_Irr!AS27&lt;&gt;".",s_Irr!BR27="."),s_dir!AU27/((1/1000)*(s_Irr!AS27)),IF(AND(s_Irr!T27&lt;&gt;".",s_Irr!AS27=".",s_Irr!BR27="."),s_dir!AU27/((1/1000)*(s_Irr!T27)),IF(AND(s_Irr!T27=".",s_Irr!AS27=".",s_Irr!BR27="."),s_dir!AU27*1000)))))))),".")</f>
        <v>.</v>
      </c>
      <c r="BV27" s="76" t="str">
        <f>IFERROR(IF(AND(s_Irr!U27&lt;&gt;".",s_Irr!AT27&lt;&gt;".",s_Irr!BS27&lt;&gt;"."),s_dir!AV27/((1/1000)*(s_Irr!U27+s_Irr!AT27+s_Irr!BS27)),IF(AND(s_Irr!U27&lt;&gt;".",s_Irr!AT27&lt;&gt;".",s_Irr!BS27="."),s_dir!AV27/((1/1000)*(s_Irr!U27+s_Irr!AT27)),IF(AND(s_Irr!U27&lt;&gt;".",s_Irr!AT27=".",s_Irr!BS27&lt;&gt;"."),s_dir!AV27/((1/1000)*(s_Irr!U27+s_Irr!BS27)),IF(AND(s_Irr!U27=".",s_Irr!AT27&lt;&gt;".",s_Irr!BS27&lt;&gt;"."),s_dir!AV27/((1/1000)*(s_Irr!AT27+s_Irr!BS27)),IF(AND(s_Irr!U27=".",s_Irr!AT27=".",s_Irr!BS27&lt;&gt;"."),s_dir!AV27/((1/1000)*(s_Irr!BS27)),IF(AND(s_Irr!U27=".",s_Irr!AT27&lt;&gt;".",s_Irr!BS27="."),s_dir!AV27/((1/1000)*(s_Irr!AT27)),IF(AND(s_Irr!U27&lt;&gt;".",s_Irr!AT27=".",s_Irr!BS27="."),s_dir!AV27/((1/1000)*(s_Irr!U27)),IF(AND(s_Irr!U27=".",s_Irr!AT27=".",s_Irr!BS27="."),s_dir!AV27*1000)))))))),".")</f>
        <v>.</v>
      </c>
      <c r="BW27" s="76" t="str">
        <f>IFERROR(IF(AND(s_Irr!V27&lt;&gt;".",s_Irr!AU27&lt;&gt;".",s_Irr!BT27&lt;&gt;"."),s_dir!AW27/((1/1000)*(s_Irr!V27+s_Irr!AU27+s_Irr!BT27)),IF(AND(s_Irr!V27&lt;&gt;".",s_Irr!AU27&lt;&gt;".",s_Irr!BT27="."),s_dir!AW27/((1/1000)*(s_Irr!V27+s_Irr!AU27)),IF(AND(s_Irr!V27&lt;&gt;".",s_Irr!AU27=".",s_Irr!BT27&lt;&gt;"."),s_dir!AW27/((1/1000)*(s_Irr!V27+s_Irr!BT27)),IF(AND(s_Irr!V27=".",s_Irr!AU27&lt;&gt;".",s_Irr!BT27&lt;&gt;"."),s_dir!AW27/((1/1000)*(s_Irr!AU27+s_Irr!BT27)),IF(AND(s_Irr!V27=".",s_Irr!AU27=".",s_Irr!BT27&lt;&gt;"."),s_dir!AW27/((1/1000)*(s_Irr!BT27)),IF(AND(s_Irr!V27=".",s_Irr!AU27&lt;&gt;".",s_Irr!BT27="."),s_dir!AW27/((1/1000)*(s_Irr!AU27)),IF(AND(s_Irr!V27&lt;&gt;".",s_Irr!AU27=".",s_Irr!BT27="."),s_dir!AW27/((1/1000)*(s_Irr!V27)),IF(AND(s_Irr!V27=".",s_Irr!AU27=".",s_Irr!BT27="."),s_dir!AW27*1000)))))))),".")</f>
        <v>.</v>
      </c>
      <c r="BX27" s="76" t="str">
        <f>IFERROR(IF(AND(s_Irr!W27&lt;&gt;".",s_Irr!AV27&lt;&gt;".",s_Irr!BU27&lt;&gt;"."),s_dir!AX27/((1/1000)*(s_Irr!W27+s_Irr!AV27+s_Irr!BU27)),IF(AND(s_Irr!W27&lt;&gt;".",s_Irr!AV27&lt;&gt;".",s_Irr!BU27="."),s_dir!AX27/((1/1000)*(s_Irr!W27+s_Irr!AV27)),IF(AND(s_Irr!W27&lt;&gt;".",s_Irr!AV27=".",s_Irr!BU27&lt;&gt;"."),s_dir!AX27/((1/1000)*(s_Irr!W27+s_Irr!BU27)),IF(AND(s_Irr!W27=".",s_Irr!AV27&lt;&gt;".",s_Irr!BU27&lt;&gt;"."),s_dir!AX27/((1/1000)*(s_Irr!AV27+s_Irr!BU27)),IF(AND(s_Irr!W27=".",s_Irr!AV27=".",s_Irr!BU27&lt;&gt;"."),s_dir!AX27/((1/1000)*(s_Irr!BU27)),IF(AND(s_Irr!W27=".",s_Irr!AV27&lt;&gt;".",s_Irr!BU27="."),s_dir!AX27/((1/1000)*(s_Irr!AV27)),IF(AND(s_Irr!W27&lt;&gt;".",s_Irr!AV27=".",s_Irr!BU27="."),s_dir!AX27/((1/1000)*(s_Irr!W27)),IF(AND(s_Irr!W27=".",s_Irr!AV27=".",s_Irr!BU27="."),s_dir!AX27*1000)))))))),".")</f>
        <v>.</v>
      </c>
      <c r="BY27" s="76" t="str">
        <f>IFERROR(IF(AND(s_Irr!X27&lt;&gt;".",s_Irr!AW27&lt;&gt;".",s_Irr!BV27&lt;&gt;"."),s_dir!AY27/((1/1000)*(s_Irr!X27+s_Irr!AW27+s_Irr!BV27)),IF(AND(s_Irr!X27&lt;&gt;".",s_Irr!AW27&lt;&gt;".",s_Irr!BV27="."),s_dir!AY27/((1/1000)*(s_Irr!X27+s_Irr!AW27)),IF(AND(s_Irr!X27&lt;&gt;".",s_Irr!AW27=".",s_Irr!BV27&lt;&gt;"."),s_dir!AY27/((1/1000)*(s_Irr!X27+s_Irr!BV27)),IF(AND(s_Irr!X27=".",s_Irr!AW27&lt;&gt;".",s_Irr!BV27&lt;&gt;"."),s_dir!AY27/((1/1000)*(s_Irr!AW27+s_Irr!BV27)),IF(AND(s_Irr!X27=".",s_Irr!AW27=".",s_Irr!BV27&lt;&gt;"."),s_dir!AY27/((1/1000)*(s_Irr!BV27)),IF(AND(s_Irr!X27=".",s_Irr!AW27&lt;&gt;".",s_Irr!BV27="."),s_dir!AY27/((1/1000)*(s_Irr!AW27)),IF(AND(s_Irr!X27&lt;&gt;".",s_Irr!AW27=".",s_Irr!BV27="."),s_dir!AY27/((1/1000)*(s_Irr!X27)),IF(AND(s_Irr!X27=".",s_Irr!AW27=".",s_Irr!BV27="."),s_dir!AY27*1000)))))))),".")</f>
        <v>.</v>
      </c>
      <c r="BZ27" s="76" t="str">
        <f>IFERROR(IF(AND(s_Irr!Y27&lt;&gt;".",s_Irr!AX27&lt;&gt;".",s_Irr!BW27&lt;&gt;"."),s_dir!AZ27/((1/1000)*(s_Irr!Y27+s_Irr!AX27+s_Irr!BW27)),IF(AND(s_Irr!Y27&lt;&gt;".",s_Irr!AX27&lt;&gt;".",s_Irr!BW27="."),s_dir!AZ27/((1/1000)*(s_Irr!Y27+s_Irr!AX27)),IF(AND(s_Irr!Y27&lt;&gt;".",s_Irr!AX27=".",s_Irr!BW27&lt;&gt;"."),s_dir!AZ27/((1/1000)*(s_Irr!Y27+s_Irr!BW27)),IF(AND(s_Irr!Y27=".",s_Irr!AX27&lt;&gt;".",s_Irr!BW27&lt;&gt;"."),s_dir!AZ27/((1/1000)*(s_Irr!AX27+s_Irr!BW27)),IF(AND(s_Irr!Y27=".",s_Irr!AX27=".",s_Irr!BW27&lt;&gt;"."),s_dir!AZ27/((1/1000)*(s_Irr!BW27)),IF(AND(s_Irr!Y27=".",s_Irr!AX27&lt;&gt;".",s_Irr!BW27="."),s_dir!AZ27/((1/1000)*(s_Irr!AX27)),IF(AND(s_Irr!Y27&lt;&gt;".",s_Irr!AX27=".",s_Irr!BW27="."),s_dir!AZ27/((1/1000)*(s_Irr!Y27)),IF(AND(s_Irr!Y27=".",s_Irr!AX27=".",s_Irr!BW27="."),s_dir!AZ27*1000)))))))),".")</f>
        <v>.</v>
      </c>
      <c r="CA27" s="76" t="str">
        <f>IFERROR(IF(AND(s_Irr!Z27&lt;&gt;".",s_Irr!AY27&lt;&gt;".",s_Irr!BX27&lt;&gt;"."),s_dir!BA27/((1/1000)*(s_Irr!Z27+s_Irr!AY27+s_Irr!BX27)),IF(AND(s_Irr!Z27&lt;&gt;".",s_Irr!AY27&lt;&gt;".",s_Irr!BX27="."),s_dir!BA27/((1/1000)*(s_Irr!Z27+s_Irr!AY27)),IF(AND(s_Irr!Z27&lt;&gt;".",s_Irr!AY27=".",s_Irr!BX27&lt;&gt;"."),s_dir!BA27/((1/1000)*(s_Irr!Z27+s_Irr!BX27)),IF(AND(s_Irr!Z27=".",s_Irr!AY27&lt;&gt;".",s_Irr!BX27&lt;&gt;"."),s_dir!BA27/((1/1000)*(s_Irr!AY27+s_Irr!BX27)),IF(AND(s_Irr!Z27=".",s_Irr!AY27=".",s_Irr!BX27&lt;&gt;"."),s_dir!BA27/((1/1000)*(s_Irr!BX27)),IF(AND(s_Irr!Z27=".",s_Irr!AY27&lt;&gt;".",s_Irr!BX27="."),s_dir!BA27/((1/1000)*(s_Irr!AY27)),IF(AND(s_Irr!Z27&lt;&gt;".",s_Irr!AY27=".",s_Irr!BX27="."),s_dir!BA27/((1/1000)*(s_Irr!Z27)),IF(AND(s_Irr!Z27=".",s_Irr!AY27=".",s_Irr!BX27="."),s_dir!BA27*1000)))))))),".")</f>
        <v>.</v>
      </c>
      <c r="CB27" s="76" t="str">
        <f>IFERROR(IF(AND(s_Irr!AA27&lt;&gt;".",s_Irr!AZ27&lt;&gt;".",s_Irr!BY27&lt;&gt;"."),s_dir!BB27/((1/1000)*(s_Irr!AA27+s_Irr!AZ27+s_Irr!BY27)),IF(AND(s_Irr!AA27&lt;&gt;".",s_Irr!AZ27&lt;&gt;".",s_Irr!BY27="."),s_dir!BB27/((1/1000)*(s_Irr!AA27+s_Irr!AZ27)),IF(AND(s_Irr!AA27&lt;&gt;".",s_Irr!AZ27=".",s_Irr!BY27&lt;&gt;"."),s_dir!BB27/((1/1000)*(s_Irr!AA27+s_Irr!BY27)),IF(AND(s_Irr!AA27=".",s_Irr!AZ27&lt;&gt;".",s_Irr!BY27&lt;&gt;"."),s_dir!BB27/((1/1000)*(s_Irr!AZ27+s_Irr!BY27)),IF(AND(s_Irr!AA27=".",s_Irr!AZ27=".",s_Irr!BY27&lt;&gt;"."),s_dir!BB27/((1/1000)*(s_Irr!BY27)),IF(AND(s_Irr!AA27=".",s_Irr!AZ27&lt;&gt;".",s_Irr!BY27="."),s_dir!BB27/((1/1000)*(s_Irr!AZ27)),IF(AND(s_Irr!AA27&lt;&gt;".",s_Irr!AZ27=".",s_Irr!BY27="."),s_dir!BB27/((1/1000)*(s_Irr!AA27)),IF(AND(s_Irr!AA27=".",s_Irr!AZ27=".",s_Irr!BY27="."),s_dir!BB27*1000)))))))),".")</f>
        <v>.</v>
      </c>
      <c r="CC27" s="93">
        <f t="shared" si="2"/>
        <v>13137.755598218413</v>
      </c>
      <c r="CD27" s="93">
        <f>IFERROR(s_C*s_IFAP_far_adj*s_CF_apple*(1/1000)*(s_Irr!C27+s_Irr!AB27+s_Irr!BA27),".")</f>
        <v>1771.5464849477178</v>
      </c>
      <c r="CE27" s="93">
        <f>IFERROR(s_C*s_IFAS_far_adj*s_CF_asparagus*(1/1000)*(s_Irr!D27+s_Irr!AC27+s_Irr!BB27),".")</f>
        <v>1793.1849938574705</v>
      </c>
      <c r="CF27" s="93">
        <f>IFERROR(s_C*s_IFBT_far_adj*s_CF_beet*(1/1000)*(s_Irr!E27+s_Irr!AD27+s_Irr!BC27),".")</f>
        <v>1771.5464849477178</v>
      </c>
      <c r="CG27" s="93">
        <f>IFERROR(s_C*s_IFBE_far_adj*s_CF_berries*(1/1000)*(s_Irr!F27+s_Irr!AE27+s_Irr!BD27),".")</f>
        <v>1771.5464849477178</v>
      </c>
      <c r="CH27" s="93">
        <f>IFERROR(s_C*s_IFBR_far_adj*s_CF_broccoli*(1/1000)*(s_Irr!G27+s_Irr!AF27+s_Irr!BE27),".")</f>
        <v>1793.1849938574705</v>
      </c>
      <c r="CI27" s="93">
        <f>IFERROR(s_C*s_IFCB_far_adj*s_CF_cabbage*(1/1000)*(s_Irr!H27+s_Irr!AG27+s_Irr!BF27),".")</f>
        <v>1793.1849938574705</v>
      </c>
      <c r="CJ27" s="93">
        <f>IFERROR(s_C*s_IFCR_far_adj*s_CF_carrot*(1/1000)*(s_Irr!I27+s_Irr!AH27+s_Irr!BG27),".")</f>
        <v>1771.5464849477178</v>
      </c>
      <c r="CK27" s="93">
        <f>IFERROR(s_C*s_IFCI_far_adj*s_CF_citrus*(1/1000)*(s_Irr!J27+s_Irr!AI27+s_Irr!BH27),".")</f>
        <v>1771.5464849477178</v>
      </c>
      <c r="CL27" s="93">
        <f>IFERROR(s_C*s_IFCO_far_adj*s_CF_corn*(1/1000)*(s_Irr!K27+s_Irr!AJ27+s_Irr!BI27),".")</f>
        <v>1793.1849938574705</v>
      </c>
      <c r="CM27" s="93">
        <f>IFERROR(s_C*s_IFCU_far_adj*s_CF_cucumber*(1/1000)*(s_Irr!L27+s_Irr!AK27+s_Irr!BJ27),".")</f>
        <v>1793.1849938574705</v>
      </c>
      <c r="CN27" s="93">
        <f>IFERROR(s_C*s_IFLE_far_adj*s_CF_lettuce*(1/1000)*(s_Irr!M27+s_Irr!AL27+s_Irr!BK27),".")</f>
        <v>1793.1849938574705</v>
      </c>
      <c r="CO27" s="93">
        <f>IFERROR(s_C*s_IFLI_far_adj*s_CF_lima_bean*(1/1000)*(s_Irr!N27+s_Irr!AM27+s_Irr!BL27),".")</f>
        <v>1793.1849938574705</v>
      </c>
      <c r="CP27" s="93">
        <f>IFERROR(s_C*s_IFOK_far_adj*s_CF_okra*(1/1000)*(s_Irr!O27+s_Irr!AN27+s_Irr!BM27),".")</f>
        <v>1793.1849938574705</v>
      </c>
      <c r="CQ27" s="93">
        <f>IFERROR(s_C*s_IFON_far_adj*s_CF_onion*(1/1000)*(s_Irr!P27+s_Irr!AO27+s_Irr!BN27),".")</f>
        <v>1771.5464849477178</v>
      </c>
      <c r="CR27" s="93">
        <f>IFERROR(s_C*s_IFPC_far_adj*s_CF_peach*(1/1000)*(s_Irr!Q27+s_Irr!AP27+s_Irr!BO27),".")</f>
        <v>1771.5464849477178</v>
      </c>
      <c r="CS27" s="93">
        <f>IFERROR(s_C*s_IFPR_far_adj*s_CF_pear*(1/1000)*(s_Irr!R27+s_Irr!AQ27+s_Irr!BP27),".")</f>
        <v>1771.5464849477178</v>
      </c>
      <c r="CT27" s="93">
        <f>IFERROR(s_C*s_IFPE_far_adj*s_CF_peas*(1/1000)*(s_Irr!S27+s_Irr!AR27+s_Irr!BQ27),".")</f>
        <v>1793.1849938574705</v>
      </c>
      <c r="CU27" s="93">
        <f>IFERROR(s_C*s_IFPP_far_adj*s_CF_peppers*(1/1000)*(s_Irr!T27+s_Irr!AS27+s_Irr!BR27),".")</f>
        <v>1793.1849938574705</v>
      </c>
      <c r="CV27" s="93">
        <f>IFERROR(s_C*s_IFPT_far_adj*s_CF_potato*(1/1000)*(s_Irr!U27+s_Irr!AT27+s_Irr!BS27),".")</f>
        <v>1771.5464849477178</v>
      </c>
      <c r="CW27" s="93">
        <f>IFERROR(s_C*s_IFPU_far_adj*s_CF_pumpkin*(1/1000)*(s_Irr!V27+s_Irr!AU27+s_Irr!BT27),".")</f>
        <v>1793.1849938574705</v>
      </c>
      <c r="CX27" s="93">
        <f>IFERROR(s_C*s_IFSN_far_adj*s_CF_snap_bean*(1/1000)*(s_Irr!W27+s_Irr!AV27+s_Irr!BU27),".")</f>
        <v>1793.1849938574705</v>
      </c>
      <c r="CY27" s="93">
        <f>IFERROR(s_C*s_IFST_far_adj*s_CF_strawberry*(1/1000)*(s_Irr!X27+s_Irr!AW27+s_Irr!BV27),".")</f>
        <v>1771.5464849477178</v>
      </c>
      <c r="CZ27" s="93">
        <f>IFERROR(s_C*s_IFTO_far_adj*s_CF_tomato*(1/1000)*(s_Irr!Y27+s_Irr!AX27+s_Irr!BW27),".")</f>
        <v>1793.1849938574705</v>
      </c>
      <c r="DA27" s="93">
        <f>IFERROR(s_C*s_IFRI_far_adj*s_CF_rice*(1/1000)*(s_Irr!Z27+s_Irr!AY27+s_Irr!BX27),".")</f>
        <v>7779.8391255557553</v>
      </c>
      <c r="DB27" s="93">
        <f>IFERROR(s_C*s_IFCG_far_adj*s_CF_cereal*(1/1000)*(s_Irr!AA27+s_Irr!AZ27+s_Irr!BY27),".")</f>
        <v>1793.1849938574705</v>
      </c>
    </row>
    <row r="28" spans="1:106" ht="15" customHeight="1" x14ac:dyDescent="0.25">
      <c r="A28" s="92" t="s">
        <v>38</v>
      </c>
      <c r="B28" s="90" t="s">
        <v>1071</v>
      </c>
      <c r="C28" s="15" t="str">
        <f t="shared" si="3"/>
        <v>.</v>
      </c>
      <c r="D28" s="76" t="str">
        <f>IFERROR(IF(AND(s_Irr!C28&lt;&gt;".",s_Irr!AB28&lt;&gt;".",s_Irr!BA28&lt;&gt;"."),s_dir!D28/((1/1000)*(s_Irr!C28+s_Irr!AB28+s_Irr!BA28)),IF(AND(s_Irr!C28&lt;&gt;".",s_Irr!AB28&lt;&gt;".",s_Irr!BA28="."),s_dir!D28/((1/1000)*(s_Irr!C28+s_Irr!AB28)),IF(AND(s_Irr!C28&lt;&gt;".",s_Irr!AB28=".",s_Irr!BA28&lt;&gt;"."),s_dir!D28/((1/1000)*(s_Irr!C28+s_Irr!BA28)),IF(AND(s_Irr!C28=".",s_Irr!AB28&lt;&gt;".",s_Irr!BA28&lt;&gt;"."),s_dir!D28/((1/1000)*(s_Irr!AB28+s_Irr!BA28)),IF(AND(s_Irr!C28=".",s_Irr!AB28=".",s_Irr!BA28&lt;&gt;"."),s_dir!D28/((1/1000)*(s_Irr!BA28)),IF(AND(s_Irr!C28=".",s_Irr!AB28&lt;&gt;".",s_Irr!BA28="."),s_dir!D28/((1/1000)*(s_Irr!AB28)),IF(AND(s_Irr!C28&lt;&gt;".",s_Irr!AB28=".",s_Irr!BA28="."),s_dir!D28/((1/1000)*(s_Irr!C28)),IF(AND(s_Irr!C28=".",s_Irr!AB28=".",s_Irr!BA28="."),s_dir!D28*1000)))))))),".")</f>
        <v>.</v>
      </c>
      <c r="E28" s="76" t="str">
        <f>IFERROR(IF(AND(s_Irr!D28&lt;&gt;".",s_Irr!AC28&lt;&gt;".",s_Irr!BB28&lt;&gt;"."),s_dir!E28/((1/1000)*(s_Irr!D28+s_Irr!AC28+s_Irr!BB28)),IF(AND(s_Irr!D28&lt;&gt;".",s_Irr!AC28&lt;&gt;".",s_Irr!BB28="."),s_dir!E28/((1/1000)*(s_Irr!D28+s_Irr!AC28)),IF(AND(s_Irr!D28&lt;&gt;".",s_Irr!AC28=".",s_Irr!BB28&lt;&gt;"."),s_dir!E28/((1/1000)*(s_Irr!D28+s_Irr!BB28)),IF(AND(s_Irr!D28=".",s_Irr!AC28&lt;&gt;".",s_Irr!BB28&lt;&gt;"."),s_dir!E28/((1/1000)*(s_Irr!AC28+s_Irr!BB28)),IF(AND(s_Irr!D28=".",s_Irr!AC28=".",s_Irr!BB28&lt;&gt;"."),s_dir!E28/((1/1000)*(s_Irr!BB28)),IF(AND(s_Irr!D28=".",s_Irr!AC28&lt;&gt;".",s_Irr!BB28="."),s_dir!E28/((1/1000)*(s_Irr!AC28)),IF(AND(s_Irr!D28&lt;&gt;".",s_Irr!AC28=".",s_Irr!BB28="."),s_dir!E28/((1/1000)*(s_Irr!D28)),IF(AND(s_Irr!D28=".",s_Irr!AC28=".",s_Irr!BB28="."),s_dir!E28*1000)))))))),".")</f>
        <v>.</v>
      </c>
      <c r="F28" s="76" t="str">
        <f>IFERROR(IF(AND(s_Irr!E28&lt;&gt;".",s_Irr!AD28&lt;&gt;".",s_Irr!BC28&lt;&gt;"."),s_dir!F28/((1/1000)*(s_Irr!E28+s_Irr!AD28+s_Irr!BC28)),IF(AND(s_Irr!E28&lt;&gt;".",s_Irr!AD28&lt;&gt;".",s_Irr!BC28="."),s_dir!F28/((1/1000)*(s_Irr!E28+s_Irr!AD28)),IF(AND(s_Irr!E28&lt;&gt;".",s_Irr!AD28=".",s_Irr!BC28&lt;&gt;"."),s_dir!F28/((1/1000)*(s_Irr!E28+s_Irr!BC28)),IF(AND(s_Irr!E28=".",s_Irr!AD28&lt;&gt;".",s_Irr!BC28&lt;&gt;"."),s_dir!F28/((1/1000)*(s_Irr!AD28+s_Irr!BC28)),IF(AND(s_Irr!E28=".",s_Irr!AD28=".",s_Irr!BC28&lt;&gt;"."),s_dir!F28/((1/1000)*(s_Irr!BC28)),IF(AND(s_Irr!E28=".",s_Irr!AD28&lt;&gt;".",s_Irr!BC28="."),s_dir!F28/((1/1000)*(s_Irr!AD28)),IF(AND(s_Irr!E28&lt;&gt;".",s_Irr!AD28=".",s_Irr!BC28="."),s_dir!F28/((1/1000)*(s_Irr!E28)),IF(AND(s_Irr!E28=".",s_Irr!AD28=".",s_Irr!BC28="."),s_dir!F28*1000)))))))),".")</f>
        <v>.</v>
      </c>
      <c r="G28" s="76" t="str">
        <f>IFERROR(IF(AND(s_Irr!F28&lt;&gt;".",s_Irr!AE28&lt;&gt;".",s_Irr!BD28&lt;&gt;"."),s_dir!G28/((1/1000)*(s_Irr!F28+s_Irr!AE28+s_Irr!BD28)),IF(AND(s_Irr!F28&lt;&gt;".",s_Irr!AE28&lt;&gt;".",s_Irr!BD28="."),s_dir!G28/((1/1000)*(s_Irr!F28+s_Irr!AE28)),IF(AND(s_Irr!F28&lt;&gt;".",s_Irr!AE28=".",s_Irr!BD28&lt;&gt;"."),s_dir!G28/((1/1000)*(s_Irr!F28+s_Irr!BD28)),IF(AND(s_Irr!F28=".",s_Irr!AE28&lt;&gt;".",s_Irr!BD28&lt;&gt;"."),s_dir!G28/((1/1000)*(s_Irr!AE28+s_Irr!BD28)),IF(AND(s_Irr!F28=".",s_Irr!AE28=".",s_Irr!BD28&lt;&gt;"."),s_dir!G28/((1/1000)*(s_Irr!BD28)),IF(AND(s_Irr!F28=".",s_Irr!AE28&lt;&gt;".",s_Irr!BD28="."),s_dir!G28/((1/1000)*(s_Irr!AE28)),IF(AND(s_Irr!F28&lt;&gt;".",s_Irr!AE28=".",s_Irr!BD28="."),s_dir!G28/((1/1000)*(s_Irr!F28)),IF(AND(s_Irr!F28=".",s_Irr!AE28=".",s_Irr!BD28="."),s_dir!G28*1000)))))))),".")</f>
        <v>.</v>
      </c>
      <c r="H28" s="76" t="str">
        <f>IFERROR(IF(AND(s_Irr!G28&lt;&gt;".",s_Irr!AF28&lt;&gt;".",s_Irr!BE28&lt;&gt;"."),s_dir!H28/((1/1000)*(s_Irr!G28+s_Irr!AF28+s_Irr!BE28)),IF(AND(s_Irr!G28&lt;&gt;".",s_Irr!AF28&lt;&gt;".",s_Irr!BE28="."),s_dir!H28/((1/1000)*(s_Irr!G28+s_Irr!AF28)),IF(AND(s_Irr!G28&lt;&gt;".",s_Irr!AF28=".",s_Irr!BE28&lt;&gt;"."),s_dir!H28/((1/1000)*(s_Irr!G28+s_Irr!BE28)),IF(AND(s_Irr!G28=".",s_Irr!AF28&lt;&gt;".",s_Irr!BE28&lt;&gt;"."),s_dir!H28/((1/1000)*(s_Irr!AF28+s_Irr!BE28)),IF(AND(s_Irr!G28=".",s_Irr!AF28=".",s_Irr!BE28&lt;&gt;"."),s_dir!H28/((1/1000)*(s_Irr!BE28)),IF(AND(s_Irr!G28=".",s_Irr!AF28&lt;&gt;".",s_Irr!BE28="."),s_dir!H28/((1/1000)*(s_Irr!AF28)),IF(AND(s_Irr!G28&lt;&gt;".",s_Irr!AF28=".",s_Irr!BE28="."),s_dir!H28/((1/1000)*(s_Irr!G28)),IF(AND(s_Irr!G28=".",s_Irr!AF28=".",s_Irr!BE28="."),s_dir!H28*1000)))))))),".")</f>
        <v>.</v>
      </c>
      <c r="I28" s="76" t="str">
        <f>IFERROR(IF(AND(s_Irr!H28&lt;&gt;".",s_Irr!AG28&lt;&gt;".",s_Irr!BF28&lt;&gt;"."),s_dir!I28/((1/1000)*(s_Irr!H28+s_Irr!AG28+s_Irr!BF28)),IF(AND(s_Irr!H28&lt;&gt;".",s_Irr!AG28&lt;&gt;".",s_Irr!BF28="."),s_dir!I28/((1/1000)*(s_Irr!H28+s_Irr!AG28)),IF(AND(s_Irr!H28&lt;&gt;".",s_Irr!AG28=".",s_Irr!BF28&lt;&gt;"."),s_dir!I28/((1/1000)*(s_Irr!H28+s_Irr!BF28)),IF(AND(s_Irr!H28=".",s_Irr!AG28&lt;&gt;".",s_Irr!BF28&lt;&gt;"."),s_dir!I28/((1/1000)*(s_Irr!AG28+s_Irr!BF28)),IF(AND(s_Irr!H28=".",s_Irr!AG28=".",s_Irr!BF28&lt;&gt;"."),s_dir!I28/((1/1000)*(s_Irr!BF28)),IF(AND(s_Irr!H28=".",s_Irr!AG28&lt;&gt;".",s_Irr!BF28="."),s_dir!I28/((1/1000)*(s_Irr!AG28)),IF(AND(s_Irr!H28&lt;&gt;".",s_Irr!AG28=".",s_Irr!BF28="."),s_dir!I28/((1/1000)*(s_Irr!H28)),IF(AND(s_Irr!H28=".",s_Irr!AG28=".",s_Irr!BF28="."),s_dir!I28*1000)))))))),".")</f>
        <v>.</v>
      </c>
      <c r="J28" s="76" t="str">
        <f>IFERROR(IF(AND(s_Irr!I28&lt;&gt;".",s_Irr!AH28&lt;&gt;".",s_Irr!BG28&lt;&gt;"."),s_dir!J28/((1/1000)*(s_Irr!I28+s_Irr!AH28+s_Irr!BG28)),IF(AND(s_Irr!I28&lt;&gt;".",s_Irr!AH28&lt;&gt;".",s_Irr!BG28="."),s_dir!J28/((1/1000)*(s_Irr!I28+s_Irr!AH28)),IF(AND(s_Irr!I28&lt;&gt;".",s_Irr!AH28=".",s_Irr!BG28&lt;&gt;"."),s_dir!J28/((1/1000)*(s_Irr!I28+s_Irr!BG28)),IF(AND(s_Irr!I28=".",s_Irr!AH28&lt;&gt;".",s_Irr!BG28&lt;&gt;"."),s_dir!J28/((1/1000)*(s_Irr!AH28+s_Irr!BG28)),IF(AND(s_Irr!I28=".",s_Irr!AH28=".",s_Irr!BG28&lt;&gt;"."),s_dir!J28/((1/1000)*(s_Irr!BG28)),IF(AND(s_Irr!I28=".",s_Irr!AH28&lt;&gt;".",s_Irr!BG28="."),s_dir!J28/((1/1000)*(s_Irr!AH28)),IF(AND(s_Irr!I28&lt;&gt;".",s_Irr!AH28=".",s_Irr!BG28="."),s_dir!J28/((1/1000)*(s_Irr!I28)),IF(AND(s_Irr!I28=".",s_Irr!AH28=".",s_Irr!BG28="."),s_dir!J28*1000)))))))),".")</f>
        <v>.</v>
      </c>
      <c r="K28" s="76" t="str">
        <f>IFERROR(IF(AND(s_Irr!J28&lt;&gt;".",s_Irr!AI28&lt;&gt;".",s_Irr!BH28&lt;&gt;"."),s_dir!K28/((1/1000)*(s_Irr!J28+s_Irr!AI28+s_Irr!BH28)),IF(AND(s_Irr!J28&lt;&gt;".",s_Irr!AI28&lt;&gt;".",s_Irr!BH28="."),s_dir!K28/((1/1000)*(s_Irr!J28+s_Irr!AI28)),IF(AND(s_Irr!J28&lt;&gt;".",s_Irr!AI28=".",s_Irr!BH28&lt;&gt;"."),s_dir!K28/((1/1000)*(s_Irr!J28+s_Irr!BH28)),IF(AND(s_Irr!J28=".",s_Irr!AI28&lt;&gt;".",s_Irr!BH28&lt;&gt;"."),s_dir!K28/((1/1000)*(s_Irr!AI28+s_Irr!BH28)),IF(AND(s_Irr!J28=".",s_Irr!AI28=".",s_Irr!BH28&lt;&gt;"."),s_dir!K28/((1/1000)*(s_Irr!BH28)),IF(AND(s_Irr!J28=".",s_Irr!AI28&lt;&gt;".",s_Irr!BH28="."),s_dir!K28/((1/1000)*(s_Irr!AI28)),IF(AND(s_Irr!J28&lt;&gt;".",s_Irr!AI28=".",s_Irr!BH28="."),s_dir!K28/((1/1000)*(s_Irr!J28)),IF(AND(s_Irr!J28=".",s_Irr!AI28=".",s_Irr!BH28="."),s_dir!K28*1000)))))))),".")</f>
        <v>.</v>
      </c>
      <c r="L28" s="76" t="str">
        <f>IFERROR(IF(AND(s_Irr!K28&lt;&gt;".",s_Irr!AJ28&lt;&gt;".",s_Irr!BI28&lt;&gt;"."),s_dir!L28/((1/1000)*(s_Irr!K28+s_Irr!AJ28+s_Irr!BI28)),IF(AND(s_Irr!K28&lt;&gt;".",s_Irr!AJ28&lt;&gt;".",s_Irr!BI28="."),s_dir!L28/((1/1000)*(s_Irr!K28+s_Irr!AJ28)),IF(AND(s_Irr!K28&lt;&gt;".",s_Irr!AJ28=".",s_Irr!BI28&lt;&gt;"."),s_dir!L28/((1/1000)*(s_Irr!K28+s_Irr!BI28)),IF(AND(s_Irr!K28=".",s_Irr!AJ28&lt;&gt;".",s_Irr!BI28&lt;&gt;"."),s_dir!L28/((1/1000)*(s_Irr!AJ28+s_Irr!BI28)),IF(AND(s_Irr!K28=".",s_Irr!AJ28=".",s_Irr!BI28&lt;&gt;"."),s_dir!L28/((1/1000)*(s_Irr!BI28)),IF(AND(s_Irr!K28=".",s_Irr!AJ28&lt;&gt;".",s_Irr!BI28="."),s_dir!L28/((1/1000)*(s_Irr!AJ28)),IF(AND(s_Irr!K28&lt;&gt;".",s_Irr!AJ28=".",s_Irr!BI28="."),s_dir!L28/((1/1000)*(s_Irr!K28)),IF(AND(s_Irr!K28=".",s_Irr!AJ28=".",s_Irr!BI28="."),s_dir!L28*1000)))))))),".")</f>
        <v>.</v>
      </c>
      <c r="M28" s="76" t="str">
        <f>IFERROR(IF(AND(s_Irr!L28&lt;&gt;".",s_Irr!AK28&lt;&gt;".",s_Irr!BJ28&lt;&gt;"."),s_dir!M28/((1/1000)*(s_Irr!L28+s_Irr!AK28+s_Irr!BJ28)),IF(AND(s_Irr!L28&lt;&gt;".",s_Irr!AK28&lt;&gt;".",s_Irr!BJ28="."),s_dir!M28/((1/1000)*(s_Irr!L28+s_Irr!AK28)),IF(AND(s_Irr!L28&lt;&gt;".",s_Irr!AK28=".",s_Irr!BJ28&lt;&gt;"."),s_dir!M28/((1/1000)*(s_Irr!L28+s_Irr!BJ28)),IF(AND(s_Irr!L28=".",s_Irr!AK28&lt;&gt;".",s_Irr!BJ28&lt;&gt;"."),s_dir!M28/((1/1000)*(s_Irr!AK28+s_Irr!BJ28)),IF(AND(s_Irr!L28=".",s_Irr!AK28=".",s_Irr!BJ28&lt;&gt;"."),s_dir!M28/((1/1000)*(s_Irr!BJ28)),IF(AND(s_Irr!L28=".",s_Irr!AK28&lt;&gt;".",s_Irr!BJ28="."),s_dir!M28/((1/1000)*(s_Irr!AK28)),IF(AND(s_Irr!L28&lt;&gt;".",s_Irr!AK28=".",s_Irr!BJ28="."),s_dir!M28/((1/1000)*(s_Irr!L28)),IF(AND(s_Irr!L28=".",s_Irr!AK28=".",s_Irr!BJ28="."),s_dir!M28*1000)))))))),".")</f>
        <v>.</v>
      </c>
      <c r="N28" s="76" t="str">
        <f>IFERROR(IF(AND(s_Irr!M28&lt;&gt;".",s_Irr!AL28&lt;&gt;".",s_Irr!BK28&lt;&gt;"."),s_dir!N28/((1/1000)*(s_Irr!M28+s_Irr!AL28+s_Irr!BK28)),IF(AND(s_Irr!M28&lt;&gt;".",s_Irr!AL28&lt;&gt;".",s_Irr!BK28="."),s_dir!N28/((1/1000)*(s_Irr!M28+s_Irr!AL28)),IF(AND(s_Irr!M28&lt;&gt;".",s_Irr!AL28=".",s_Irr!BK28&lt;&gt;"."),s_dir!N28/((1/1000)*(s_Irr!M28+s_Irr!BK28)),IF(AND(s_Irr!M28=".",s_Irr!AL28&lt;&gt;".",s_Irr!BK28&lt;&gt;"."),s_dir!N28/((1/1000)*(s_Irr!AL28+s_Irr!BK28)),IF(AND(s_Irr!M28=".",s_Irr!AL28=".",s_Irr!BK28&lt;&gt;"."),s_dir!N28/((1/1000)*(s_Irr!BK28)),IF(AND(s_Irr!M28=".",s_Irr!AL28&lt;&gt;".",s_Irr!BK28="."),s_dir!N28/((1/1000)*(s_Irr!AL28)),IF(AND(s_Irr!M28&lt;&gt;".",s_Irr!AL28=".",s_Irr!BK28="."),s_dir!N28/((1/1000)*(s_Irr!M28)),IF(AND(s_Irr!M28=".",s_Irr!AL28=".",s_Irr!BK28="."),s_dir!N28*1000)))))))),".")</f>
        <v>.</v>
      </c>
      <c r="O28" s="76" t="str">
        <f>IFERROR(IF(AND(s_Irr!N28&lt;&gt;".",s_Irr!AM28&lt;&gt;".",s_Irr!BL28&lt;&gt;"."),s_dir!O28/((1/1000)*(s_Irr!N28+s_Irr!AM28+s_Irr!BL28)),IF(AND(s_Irr!N28&lt;&gt;".",s_Irr!AM28&lt;&gt;".",s_Irr!BL28="."),s_dir!O28/((1/1000)*(s_Irr!N28+s_Irr!AM28)),IF(AND(s_Irr!N28&lt;&gt;".",s_Irr!AM28=".",s_Irr!BL28&lt;&gt;"."),s_dir!O28/((1/1000)*(s_Irr!N28+s_Irr!BL28)),IF(AND(s_Irr!N28=".",s_Irr!AM28&lt;&gt;".",s_Irr!BL28&lt;&gt;"."),s_dir!O28/((1/1000)*(s_Irr!AM28+s_Irr!BL28)),IF(AND(s_Irr!N28=".",s_Irr!AM28=".",s_Irr!BL28&lt;&gt;"."),s_dir!O28/((1/1000)*(s_Irr!BL28)),IF(AND(s_Irr!N28=".",s_Irr!AM28&lt;&gt;".",s_Irr!BL28="."),s_dir!O28/((1/1000)*(s_Irr!AM28)),IF(AND(s_Irr!N28&lt;&gt;".",s_Irr!AM28=".",s_Irr!BL28="."),s_dir!O28/((1/1000)*(s_Irr!N28)),IF(AND(s_Irr!N28=".",s_Irr!AM28=".",s_Irr!BL28="."),s_dir!O28*1000)))))))),".")</f>
        <v>.</v>
      </c>
      <c r="P28" s="76" t="str">
        <f>IFERROR(IF(AND(s_Irr!O28&lt;&gt;".",s_Irr!AN28&lt;&gt;".",s_Irr!BM28&lt;&gt;"."),s_dir!P28/((1/1000)*(s_Irr!O28+s_Irr!AN28+s_Irr!BM28)),IF(AND(s_Irr!O28&lt;&gt;".",s_Irr!AN28&lt;&gt;".",s_Irr!BM28="."),s_dir!P28/((1/1000)*(s_Irr!O28+s_Irr!AN28)),IF(AND(s_Irr!O28&lt;&gt;".",s_Irr!AN28=".",s_Irr!BM28&lt;&gt;"."),s_dir!P28/((1/1000)*(s_Irr!O28+s_Irr!BM28)),IF(AND(s_Irr!O28=".",s_Irr!AN28&lt;&gt;".",s_Irr!BM28&lt;&gt;"."),s_dir!P28/((1/1000)*(s_Irr!AN28+s_Irr!BM28)),IF(AND(s_Irr!O28=".",s_Irr!AN28=".",s_Irr!BM28&lt;&gt;"."),s_dir!P28/((1/1000)*(s_Irr!BM28)),IF(AND(s_Irr!O28=".",s_Irr!AN28&lt;&gt;".",s_Irr!BM28="."),s_dir!P28/((1/1000)*(s_Irr!AN28)),IF(AND(s_Irr!O28&lt;&gt;".",s_Irr!AN28=".",s_Irr!BM28="."),s_dir!P28/((1/1000)*(s_Irr!O28)),IF(AND(s_Irr!O28=".",s_Irr!AN28=".",s_Irr!BM28="."),s_dir!P28*1000)))))))),".")</f>
        <v>.</v>
      </c>
      <c r="Q28" s="76" t="str">
        <f>IFERROR(IF(AND(s_Irr!P28&lt;&gt;".",s_Irr!AO28&lt;&gt;".",s_Irr!BN28&lt;&gt;"."),s_dir!Q28/((1/1000)*(s_Irr!P28+s_Irr!AO28+s_Irr!BN28)),IF(AND(s_Irr!P28&lt;&gt;".",s_Irr!AO28&lt;&gt;".",s_Irr!BN28="."),s_dir!Q28/((1/1000)*(s_Irr!P28+s_Irr!AO28)),IF(AND(s_Irr!P28&lt;&gt;".",s_Irr!AO28=".",s_Irr!BN28&lt;&gt;"."),s_dir!Q28/((1/1000)*(s_Irr!P28+s_Irr!BN28)),IF(AND(s_Irr!P28=".",s_Irr!AO28&lt;&gt;".",s_Irr!BN28&lt;&gt;"."),s_dir!Q28/((1/1000)*(s_Irr!AO28+s_Irr!BN28)),IF(AND(s_Irr!P28=".",s_Irr!AO28=".",s_Irr!BN28&lt;&gt;"."),s_dir!Q28/((1/1000)*(s_Irr!BN28)),IF(AND(s_Irr!P28=".",s_Irr!AO28&lt;&gt;".",s_Irr!BN28="."),s_dir!Q28/((1/1000)*(s_Irr!AO28)),IF(AND(s_Irr!P28&lt;&gt;".",s_Irr!AO28=".",s_Irr!BN28="."),s_dir!Q28/((1/1000)*(s_Irr!P28)),IF(AND(s_Irr!P28=".",s_Irr!AO28=".",s_Irr!BN28="."),s_dir!Q28*1000)))))))),".")</f>
        <v>.</v>
      </c>
      <c r="R28" s="76" t="str">
        <f>IFERROR(IF(AND(s_Irr!Q28&lt;&gt;".",s_Irr!AP28&lt;&gt;".",s_Irr!BO28&lt;&gt;"."),s_dir!R28/((1/1000)*(s_Irr!Q28+s_Irr!AP28+s_Irr!BO28)),IF(AND(s_Irr!Q28&lt;&gt;".",s_Irr!AP28&lt;&gt;".",s_Irr!BO28="."),s_dir!R28/((1/1000)*(s_Irr!Q28+s_Irr!AP28)),IF(AND(s_Irr!Q28&lt;&gt;".",s_Irr!AP28=".",s_Irr!BO28&lt;&gt;"."),s_dir!R28/((1/1000)*(s_Irr!Q28+s_Irr!BO28)),IF(AND(s_Irr!Q28=".",s_Irr!AP28&lt;&gt;".",s_Irr!BO28&lt;&gt;"."),s_dir!R28/((1/1000)*(s_Irr!AP28+s_Irr!BO28)),IF(AND(s_Irr!Q28=".",s_Irr!AP28=".",s_Irr!BO28&lt;&gt;"."),s_dir!R28/((1/1000)*(s_Irr!BO28)),IF(AND(s_Irr!Q28=".",s_Irr!AP28&lt;&gt;".",s_Irr!BO28="."),s_dir!R28/((1/1000)*(s_Irr!AP28)),IF(AND(s_Irr!Q28&lt;&gt;".",s_Irr!AP28=".",s_Irr!BO28="."),s_dir!R28/((1/1000)*(s_Irr!Q28)),IF(AND(s_Irr!Q28=".",s_Irr!AP28=".",s_Irr!BO28="."),s_dir!R28*1000)))))))),".")</f>
        <v>.</v>
      </c>
      <c r="S28" s="76" t="str">
        <f>IFERROR(IF(AND(s_Irr!R28&lt;&gt;".",s_Irr!AQ28&lt;&gt;".",s_Irr!BP28&lt;&gt;"."),s_dir!S28/((1/1000)*(s_Irr!R28+s_Irr!AQ28+s_Irr!BP28)),IF(AND(s_Irr!R28&lt;&gt;".",s_Irr!AQ28&lt;&gt;".",s_Irr!BP28="."),s_dir!S28/((1/1000)*(s_Irr!R28+s_Irr!AQ28)),IF(AND(s_Irr!R28&lt;&gt;".",s_Irr!AQ28=".",s_Irr!BP28&lt;&gt;"."),s_dir!S28/((1/1000)*(s_Irr!R28+s_Irr!BP28)),IF(AND(s_Irr!R28=".",s_Irr!AQ28&lt;&gt;".",s_Irr!BP28&lt;&gt;"."),s_dir!S28/((1/1000)*(s_Irr!AQ28+s_Irr!BP28)),IF(AND(s_Irr!R28=".",s_Irr!AQ28=".",s_Irr!BP28&lt;&gt;"."),s_dir!S28/((1/1000)*(s_Irr!BP28)),IF(AND(s_Irr!R28=".",s_Irr!AQ28&lt;&gt;".",s_Irr!BP28="."),s_dir!S28/((1/1000)*(s_Irr!AQ28)),IF(AND(s_Irr!R28&lt;&gt;".",s_Irr!AQ28=".",s_Irr!BP28="."),s_dir!S28/((1/1000)*(s_Irr!R28)),IF(AND(s_Irr!R28=".",s_Irr!AQ28=".",s_Irr!BP28="."),s_dir!S28*1000)))))))),".")</f>
        <v>.</v>
      </c>
      <c r="T28" s="76" t="str">
        <f>IFERROR(IF(AND(s_Irr!S28&lt;&gt;".",s_Irr!AR28&lt;&gt;".",s_Irr!BQ28&lt;&gt;"."),s_dir!T28/((1/1000)*(s_Irr!S28+s_Irr!AR28+s_Irr!BQ28)),IF(AND(s_Irr!S28&lt;&gt;".",s_Irr!AR28&lt;&gt;".",s_Irr!BQ28="."),s_dir!T28/((1/1000)*(s_Irr!S28+s_Irr!AR28)),IF(AND(s_Irr!S28&lt;&gt;".",s_Irr!AR28=".",s_Irr!BQ28&lt;&gt;"."),s_dir!T28/((1/1000)*(s_Irr!S28+s_Irr!BQ28)),IF(AND(s_Irr!S28=".",s_Irr!AR28&lt;&gt;".",s_Irr!BQ28&lt;&gt;"."),s_dir!T28/((1/1000)*(s_Irr!AR28+s_Irr!BQ28)),IF(AND(s_Irr!S28=".",s_Irr!AR28=".",s_Irr!BQ28&lt;&gt;"."),s_dir!T28/((1/1000)*(s_Irr!BQ28)),IF(AND(s_Irr!S28=".",s_Irr!AR28&lt;&gt;".",s_Irr!BQ28="."),s_dir!T28/((1/1000)*(s_Irr!AR28)),IF(AND(s_Irr!S28&lt;&gt;".",s_Irr!AR28=".",s_Irr!BQ28="."),s_dir!T28/((1/1000)*(s_Irr!S28)),IF(AND(s_Irr!S28=".",s_Irr!AR28=".",s_Irr!BQ28="."),s_dir!T28*1000)))))))),".")</f>
        <v>.</v>
      </c>
      <c r="U28" s="76" t="str">
        <f>IFERROR(IF(AND(s_Irr!T28&lt;&gt;".",s_Irr!AS28&lt;&gt;".",s_Irr!BR28&lt;&gt;"."),s_dir!U28/((1/1000)*(s_Irr!T28+s_Irr!AS28+s_Irr!BR28)),IF(AND(s_Irr!T28&lt;&gt;".",s_Irr!AS28&lt;&gt;".",s_Irr!BR28="."),s_dir!U28/((1/1000)*(s_Irr!T28+s_Irr!AS28)),IF(AND(s_Irr!T28&lt;&gt;".",s_Irr!AS28=".",s_Irr!BR28&lt;&gt;"."),s_dir!U28/((1/1000)*(s_Irr!T28+s_Irr!BR28)),IF(AND(s_Irr!T28=".",s_Irr!AS28&lt;&gt;".",s_Irr!BR28&lt;&gt;"."),s_dir!U28/((1/1000)*(s_Irr!AS28+s_Irr!BR28)),IF(AND(s_Irr!T28=".",s_Irr!AS28=".",s_Irr!BR28&lt;&gt;"."),s_dir!U28/((1/1000)*(s_Irr!BR28)),IF(AND(s_Irr!T28=".",s_Irr!AS28&lt;&gt;".",s_Irr!BR28="."),s_dir!U28/((1/1000)*(s_Irr!AS28)),IF(AND(s_Irr!T28&lt;&gt;".",s_Irr!AS28=".",s_Irr!BR28="."),s_dir!U28/((1/1000)*(s_Irr!T28)),IF(AND(s_Irr!T28=".",s_Irr!AS28=".",s_Irr!BR28="."),s_dir!U28*1000)))))))),".")</f>
        <v>.</v>
      </c>
      <c r="V28" s="76" t="str">
        <f>IFERROR(IF(AND(s_Irr!U28&lt;&gt;".",s_Irr!AT28&lt;&gt;".",s_Irr!BS28&lt;&gt;"."),s_dir!V28/((1/1000)*(s_Irr!U28+s_Irr!AT28+s_Irr!BS28)),IF(AND(s_Irr!U28&lt;&gt;".",s_Irr!AT28&lt;&gt;".",s_Irr!BS28="."),s_dir!V28/((1/1000)*(s_Irr!U28+s_Irr!AT28)),IF(AND(s_Irr!U28&lt;&gt;".",s_Irr!AT28=".",s_Irr!BS28&lt;&gt;"."),s_dir!V28/((1/1000)*(s_Irr!U28+s_Irr!BS28)),IF(AND(s_Irr!U28=".",s_Irr!AT28&lt;&gt;".",s_Irr!BS28&lt;&gt;"."),s_dir!V28/((1/1000)*(s_Irr!AT28+s_Irr!BS28)),IF(AND(s_Irr!U28=".",s_Irr!AT28=".",s_Irr!BS28&lt;&gt;"."),s_dir!V28/((1/1000)*(s_Irr!BS28)),IF(AND(s_Irr!U28=".",s_Irr!AT28&lt;&gt;".",s_Irr!BS28="."),s_dir!V28/((1/1000)*(s_Irr!AT28)),IF(AND(s_Irr!U28&lt;&gt;".",s_Irr!AT28=".",s_Irr!BS28="."),s_dir!V28/((1/1000)*(s_Irr!U28)),IF(AND(s_Irr!U28=".",s_Irr!AT28=".",s_Irr!BS28="."),s_dir!V28*1000)))))))),".")</f>
        <v>.</v>
      </c>
      <c r="W28" s="76" t="str">
        <f>IFERROR(IF(AND(s_Irr!V28&lt;&gt;".",s_Irr!AU28&lt;&gt;".",s_Irr!BT28&lt;&gt;"."),s_dir!W28/((1/1000)*(s_Irr!V28+s_Irr!AU28+s_Irr!BT28)),IF(AND(s_Irr!V28&lt;&gt;".",s_Irr!AU28&lt;&gt;".",s_Irr!BT28="."),s_dir!W28/((1/1000)*(s_Irr!V28+s_Irr!AU28)),IF(AND(s_Irr!V28&lt;&gt;".",s_Irr!AU28=".",s_Irr!BT28&lt;&gt;"."),s_dir!W28/((1/1000)*(s_Irr!V28+s_Irr!BT28)),IF(AND(s_Irr!V28=".",s_Irr!AU28&lt;&gt;".",s_Irr!BT28&lt;&gt;"."),s_dir!W28/((1/1000)*(s_Irr!AU28+s_Irr!BT28)),IF(AND(s_Irr!V28=".",s_Irr!AU28=".",s_Irr!BT28&lt;&gt;"."),s_dir!W28/((1/1000)*(s_Irr!BT28)),IF(AND(s_Irr!V28=".",s_Irr!AU28&lt;&gt;".",s_Irr!BT28="."),s_dir!W28/((1/1000)*(s_Irr!AU28)),IF(AND(s_Irr!V28&lt;&gt;".",s_Irr!AU28=".",s_Irr!BT28="."),s_dir!W28/((1/1000)*(s_Irr!V28)),IF(AND(s_Irr!V28=".",s_Irr!AU28=".",s_Irr!BT28="."),s_dir!W28*1000)))))))),".")</f>
        <v>.</v>
      </c>
      <c r="X28" s="76" t="str">
        <f>IFERROR(IF(AND(s_Irr!W28&lt;&gt;".",s_Irr!AV28&lt;&gt;".",s_Irr!BU28&lt;&gt;"."),s_dir!X28/((1/1000)*(s_Irr!W28+s_Irr!AV28+s_Irr!BU28)),IF(AND(s_Irr!W28&lt;&gt;".",s_Irr!AV28&lt;&gt;".",s_Irr!BU28="."),s_dir!X28/((1/1000)*(s_Irr!W28+s_Irr!AV28)),IF(AND(s_Irr!W28&lt;&gt;".",s_Irr!AV28=".",s_Irr!BU28&lt;&gt;"."),s_dir!X28/((1/1000)*(s_Irr!W28+s_Irr!BU28)),IF(AND(s_Irr!W28=".",s_Irr!AV28&lt;&gt;".",s_Irr!BU28&lt;&gt;"."),s_dir!X28/((1/1000)*(s_Irr!AV28+s_Irr!BU28)),IF(AND(s_Irr!W28=".",s_Irr!AV28=".",s_Irr!BU28&lt;&gt;"."),s_dir!X28/((1/1000)*(s_Irr!BU28)),IF(AND(s_Irr!W28=".",s_Irr!AV28&lt;&gt;".",s_Irr!BU28="."),s_dir!X28/((1/1000)*(s_Irr!AV28)),IF(AND(s_Irr!W28&lt;&gt;".",s_Irr!AV28=".",s_Irr!BU28="."),s_dir!X28/((1/1000)*(s_Irr!W28)),IF(AND(s_Irr!W28=".",s_Irr!AV28=".",s_Irr!BU28="."),s_dir!X28*1000)))))))),".")</f>
        <v>.</v>
      </c>
      <c r="Y28" s="76" t="str">
        <f>IFERROR(IF(AND(s_Irr!X28&lt;&gt;".",s_Irr!AW28&lt;&gt;".",s_Irr!BV28&lt;&gt;"."),s_dir!Y28/((1/1000)*(s_Irr!X28+s_Irr!AW28+s_Irr!BV28)),IF(AND(s_Irr!X28&lt;&gt;".",s_Irr!AW28&lt;&gt;".",s_Irr!BV28="."),s_dir!Y28/((1/1000)*(s_Irr!X28+s_Irr!AW28)),IF(AND(s_Irr!X28&lt;&gt;".",s_Irr!AW28=".",s_Irr!BV28&lt;&gt;"."),s_dir!Y28/((1/1000)*(s_Irr!X28+s_Irr!BV28)),IF(AND(s_Irr!X28=".",s_Irr!AW28&lt;&gt;".",s_Irr!BV28&lt;&gt;"."),s_dir!Y28/((1/1000)*(s_Irr!AW28+s_Irr!BV28)),IF(AND(s_Irr!X28=".",s_Irr!AW28=".",s_Irr!BV28&lt;&gt;"."),s_dir!Y28/((1/1000)*(s_Irr!BV28)),IF(AND(s_Irr!X28=".",s_Irr!AW28&lt;&gt;".",s_Irr!BV28="."),s_dir!Y28/((1/1000)*(s_Irr!AW28)),IF(AND(s_Irr!X28&lt;&gt;".",s_Irr!AW28=".",s_Irr!BV28="."),s_dir!Y28/((1/1000)*(s_Irr!X28)),IF(AND(s_Irr!X28=".",s_Irr!AW28=".",s_Irr!BV28="."),s_dir!Y28*1000)))))))),".")</f>
        <v>.</v>
      </c>
      <c r="Z28" s="76" t="str">
        <f>IFERROR(IF(AND(s_Irr!Y28&lt;&gt;".",s_Irr!AX28&lt;&gt;".",s_Irr!BW28&lt;&gt;"."),s_dir!Z28/((1/1000)*(s_Irr!Y28+s_Irr!AX28+s_Irr!BW28)),IF(AND(s_Irr!Y28&lt;&gt;".",s_Irr!AX28&lt;&gt;".",s_Irr!BW28="."),s_dir!Z28/((1/1000)*(s_Irr!Y28+s_Irr!AX28)),IF(AND(s_Irr!Y28&lt;&gt;".",s_Irr!AX28=".",s_Irr!BW28&lt;&gt;"."),s_dir!Z28/((1/1000)*(s_Irr!Y28+s_Irr!BW28)),IF(AND(s_Irr!Y28=".",s_Irr!AX28&lt;&gt;".",s_Irr!BW28&lt;&gt;"."),s_dir!Z28/((1/1000)*(s_Irr!AX28+s_Irr!BW28)),IF(AND(s_Irr!Y28=".",s_Irr!AX28=".",s_Irr!BW28&lt;&gt;"."),s_dir!Z28/((1/1000)*(s_Irr!BW28)),IF(AND(s_Irr!Y28=".",s_Irr!AX28&lt;&gt;".",s_Irr!BW28="."),s_dir!Z28/((1/1000)*(s_Irr!AX28)),IF(AND(s_Irr!Y28&lt;&gt;".",s_Irr!AX28=".",s_Irr!BW28="."),s_dir!Z28/((1/1000)*(s_Irr!Y28)),IF(AND(s_Irr!Y28=".",s_Irr!AX28=".",s_Irr!BW28="."),s_dir!Z28*1000)))))))),".")</f>
        <v>.</v>
      </c>
      <c r="AA28" s="76" t="str">
        <f>IFERROR(IF(AND(s_Irr!Z28&lt;&gt;".",s_Irr!AY28&lt;&gt;".",s_Irr!BX28&lt;&gt;"."),s_dir!AA28/((1/1000)*(s_Irr!Z28+s_Irr!AY28+s_Irr!BX28)),IF(AND(s_Irr!Z28&lt;&gt;".",s_Irr!AY28&lt;&gt;".",s_Irr!BX28="."),s_dir!AA28/((1/1000)*(s_Irr!Z28+s_Irr!AY28)),IF(AND(s_Irr!Z28&lt;&gt;".",s_Irr!AY28=".",s_Irr!BX28&lt;&gt;"."),s_dir!AA28/((1/1000)*(s_Irr!Z28+s_Irr!BX28)),IF(AND(s_Irr!Z28=".",s_Irr!AY28&lt;&gt;".",s_Irr!BX28&lt;&gt;"."),s_dir!AA28/((1/1000)*(s_Irr!AY28+s_Irr!BX28)),IF(AND(s_Irr!Z28=".",s_Irr!AY28=".",s_Irr!BX28&lt;&gt;"."),s_dir!AA28/((1/1000)*(s_Irr!BX28)),IF(AND(s_Irr!Z28=".",s_Irr!AY28&lt;&gt;".",s_Irr!BX28="."),s_dir!AA28/((1/1000)*(s_Irr!AY28)),IF(AND(s_Irr!Z28&lt;&gt;".",s_Irr!AY28=".",s_Irr!BX28="."),s_dir!AA28/((1/1000)*(s_Irr!Z28)),IF(AND(s_Irr!Z28=".",s_Irr!AY28=".",s_Irr!BX28="."),s_dir!AA28*1000)))))))),".")</f>
        <v>.</v>
      </c>
      <c r="AB28" s="76" t="str">
        <f>IFERROR(IF(AND(s_Irr!AA28&lt;&gt;".",s_Irr!AZ28&lt;&gt;".",s_Irr!BY28&lt;&gt;"."),s_dir!AB28/((1/1000)*(s_Irr!AA28+s_Irr!AZ28+s_Irr!BY28)),IF(AND(s_Irr!AA28&lt;&gt;".",s_Irr!AZ28&lt;&gt;".",s_Irr!BY28="."),s_dir!AB28/((1/1000)*(s_Irr!AA28+s_Irr!AZ28)),IF(AND(s_Irr!AA28&lt;&gt;".",s_Irr!AZ28=".",s_Irr!BY28&lt;&gt;"."),s_dir!AB28/((1/1000)*(s_Irr!AA28+s_Irr!BY28)),IF(AND(s_Irr!AA28=".",s_Irr!AZ28&lt;&gt;".",s_Irr!BY28&lt;&gt;"."),s_dir!AB28/((1/1000)*(s_Irr!AZ28+s_Irr!BY28)),IF(AND(s_Irr!AA28=".",s_Irr!AZ28=".",s_Irr!BY28&lt;&gt;"."),s_dir!AB28/((1/1000)*(s_Irr!BY28)),IF(AND(s_Irr!AA28=".",s_Irr!AZ28&lt;&gt;".",s_Irr!BY28="."),s_dir!AB28/((1/1000)*(s_Irr!AZ28)),IF(AND(s_Irr!AA28&lt;&gt;".",s_Irr!AZ28=".",s_Irr!BY28="."),s_dir!AB28/((1/1000)*(s_Irr!AA28)),IF(AND(s_Irr!AA28=".",s_Irr!AZ28=".",s_Irr!BY28="."),s_dir!AB28*1000)))))))),".")</f>
        <v>.</v>
      </c>
      <c r="AC28" s="93">
        <f t="shared" si="5"/>
        <v>13137.755598218413</v>
      </c>
      <c r="AD28" s="93">
        <f>IFERROR(s_C*s_IFAP_res_adj*s_CF_apple*0.001*(s_Irr!C28+s_Irr!AB28+s_Irr!BA28),".")</f>
        <v>1771.5464849477178</v>
      </c>
      <c r="AE28" s="93">
        <f>IFERROR(s_C*s_IFAS_res_adj*s_CF_asparagus*0.001*(s_Irr!D28+s_Irr!AC28+s_Irr!BB28),".")</f>
        <v>1793.1849938574705</v>
      </c>
      <c r="AF28" s="93">
        <f>IFERROR(s_C*s_IFBT_res_adj*s_CF_beet*0.001*(s_Irr!E28+s_Irr!AD28+s_Irr!BC28),".")</f>
        <v>1771.5464849477178</v>
      </c>
      <c r="AG28" s="93">
        <f>IFERROR(s_C*s_IFBE_res_adj*s_CF_berries*0.001*(s_Irr!F28+s_Irr!AE28+s_Irr!BD28),".")</f>
        <v>1771.5464849477178</v>
      </c>
      <c r="AH28" s="93">
        <f>IFERROR(s_C*s_IFBR_res_adj*s_CF_broccoli*0.001*(s_Irr!G28+s_Irr!AF28+s_Irr!BE28),".")</f>
        <v>1793.1849938574705</v>
      </c>
      <c r="AI28" s="93">
        <f>IFERROR(s_C*s_IFCB_res_adj*s_CF_cabbage*0.001*(s_Irr!H28+s_Irr!AG28+s_Irr!BF28),".")</f>
        <v>1793.1849938574705</v>
      </c>
      <c r="AJ28" s="93">
        <f>IFERROR(s_C*s_IFCR_res_adj*s_CF_carrot*0.001*(s_Irr!I28+s_Irr!AH28+s_Irr!BG28),".")</f>
        <v>1771.5464849477178</v>
      </c>
      <c r="AK28" s="93">
        <f>IFERROR(s_C*s_IFCI_res_adj*s_CF_citrus*0.001*(s_Irr!J28+s_Irr!AI28+s_Irr!BH28),".")</f>
        <v>1771.5464849477178</v>
      </c>
      <c r="AL28" s="93">
        <f>IFERROR(s_C*s_IFCO_res_adj*s_CF_corn*0.001*(s_Irr!K28+s_Irr!AJ28+s_Irr!BI28),".")</f>
        <v>1793.1849938574705</v>
      </c>
      <c r="AM28" s="93">
        <f>IFERROR(s_C*s_IFCU_res_adj*s_CF_cucumber*0.001*(s_Irr!L28+s_Irr!AK28+s_Irr!BJ28),".")</f>
        <v>1793.1849938574705</v>
      </c>
      <c r="AN28" s="93">
        <f>IFERROR(s_C*s_IFLE_res_adj*s_CF_lettuce*0.001*(s_Irr!M28+s_Irr!AL28+s_Irr!BK28),".")</f>
        <v>1793.1849938574705</v>
      </c>
      <c r="AO28" s="93">
        <f>IFERROR(s_C*s_IFLI_res_adj*s_CF_lima_bean*0.001*(s_Irr!N28+s_Irr!AM28+s_Irr!BL28),".")</f>
        <v>1793.1849938574705</v>
      </c>
      <c r="AP28" s="93">
        <f>IFERROR(s_C*s_IFOK_res_adj*s_CF_okra*0.001*(s_Irr!O28+s_Irr!AN28+s_Irr!BM28),".")</f>
        <v>1793.1849938574705</v>
      </c>
      <c r="AQ28" s="93">
        <f>IFERROR(s_C*s_IFON_res_adj*s_CF_onion*0.001*(s_Irr!P28+s_Irr!AO28+s_Irr!BN28),".")</f>
        <v>1771.5464849477178</v>
      </c>
      <c r="AR28" s="93">
        <f>IFERROR(s_C*s_IFPC_res_adj*s_CF_peach*0.001*(s_Irr!Q28+s_Irr!AP28+s_Irr!BO28),".")</f>
        <v>1771.5464849477178</v>
      </c>
      <c r="AS28" s="93">
        <f>IFERROR(s_C*s_IFPR_res_adj*s_CF_pear*0.001*(s_Irr!R28+s_Irr!AQ28+s_Irr!BP28),".")</f>
        <v>1771.5464849477178</v>
      </c>
      <c r="AT28" s="93">
        <f>IFERROR(s_C*s_IFPE_res_adj*s_CF_peas*0.001*(s_Irr!S28+s_Irr!AR28+s_Irr!BQ28),".")</f>
        <v>1793.1849938574705</v>
      </c>
      <c r="AU28" s="93">
        <f>IFERROR(s_C*s_IFPP_res_adj*s_CF_peppers*0.001*(s_Irr!T28+s_Irr!AS28+s_Irr!BR28),".")</f>
        <v>1793.1849938574705</v>
      </c>
      <c r="AV28" s="93">
        <f>IFERROR(s_C*s_IFPT_res_adj*s_CF_potato*0.001*(s_Irr!U28+s_Irr!AT28+s_Irr!BS28),".")</f>
        <v>1771.5464849477178</v>
      </c>
      <c r="AW28" s="93">
        <f>IFERROR(s_C*s_IFPU_res_adj*s_CF_pumpkin*0.001*(s_Irr!V28+s_Irr!AU28+s_Irr!BT28),".")</f>
        <v>1793.1849938574705</v>
      </c>
      <c r="AX28" s="93">
        <f>IFERROR(s_C*s_IFSN_res_adj*s_CF_snap_bean*0.001*(s_Irr!W28+s_Irr!AV28+s_Irr!BU28),".")</f>
        <v>1793.1849938574705</v>
      </c>
      <c r="AY28" s="93">
        <f>IFERROR(s_C*s_IFST_res_adj*s_CF_strawberry*0.001*(s_Irr!X28+s_Irr!AW28+s_Irr!BV28),".")</f>
        <v>1771.5464849477178</v>
      </c>
      <c r="AZ28" s="93">
        <f>IFERROR(s_C*s_IFTO_res_adj*s_CF_tomato*0.001*(s_Irr!Y28+s_Irr!AX28+s_Irr!BW28),".")</f>
        <v>1793.1849938574705</v>
      </c>
      <c r="BA28" s="93">
        <f>IFERROR(s_C*s_IFRI_res_adj*s_CF_rice*0.001*(s_Irr!Z28+s_Irr!AY28+s_Irr!BX28),".")</f>
        <v>7779.8391255557553</v>
      </c>
      <c r="BB28" s="93">
        <f>IFERROR(s_C*s_IFCG_res_adj*s_CF_cereal*0.001*(s_Irr!AA28+s_Irr!AZ28+s_Irr!BY28),".")</f>
        <v>1793.1849938574705</v>
      </c>
      <c r="BC28" s="76" t="str">
        <f t="shared" si="1"/>
        <v>.</v>
      </c>
      <c r="BD28" s="76" t="str">
        <f>IFERROR(IF(AND(s_Irr!C28&lt;&gt;".",s_Irr!AB28&lt;&gt;".",s_Irr!BA28&lt;&gt;"."),s_dir!AD28/((1/1000)*(s_Irr!C28+s_Irr!AB28+s_Irr!BA28)),IF(AND(s_Irr!C28&lt;&gt;".",s_Irr!AB28&lt;&gt;".",s_Irr!BA28="."),s_dir!AD28/((1/1000)*(s_Irr!C28+s_Irr!AB28)),IF(AND(s_Irr!C28&lt;&gt;".",s_Irr!AB28=".",s_Irr!BA28&lt;&gt;"."),s_dir!AD28/((1/1000)*(s_Irr!C28+s_Irr!BA28)),IF(AND(s_Irr!C28=".",s_Irr!AB28&lt;&gt;".",s_Irr!BA28&lt;&gt;"."),s_dir!AD28/((1/1000)*(s_Irr!AB28+s_Irr!BA28)),IF(AND(s_Irr!C28=".",s_Irr!AB28=".",s_Irr!BA28&lt;&gt;"."),s_dir!AD28/((1/1000)*(s_Irr!BA28)),IF(AND(s_Irr!C28=".",s_Irr!AB28&lt;&gt;".",s_Irr!BA28="."),s_dir!AD28/((1/1000)*(s_Irr!AB28)),IF(AND(s_Irr!C28&lt;&gt;".",s_Irr!AB28=".",s_Irr!BA28="."),s_dir!AD28/((1/1000)*(s_Irr!C28)),IF(AND(s_Irr!C28=".",s_Irr!AB28=".",s_Irr!BA28="."),s_dir!AD28*1000)))))))),".")</f>
        <v>.</v>
      </c>
      <c r="BE28" s="76" t="str">
        <f>IFERROR(IF(AND(s_Irr!D28&lt;&gt;".",s_Irr!AC28&lt;&gt;".",s_Irr!BB28&lt;&gt;"."),s_dir!AE28/((1/1000)*(s_Irr!D28+s_Irr!AC28+s_Irr!BB28)),IF(AND(s_Irr!D28&lt;&gt;".",s_Irr!AC28&lt;&gt;".",s_Irr!BB28="."),s_dir!AE28/((1/1000)*(s_Irr!D28+s_Irr!AC28)),IF(AND(s_Irr!D28&lt;&gt;".",s_Irr!AC28=".",s_Irr!BB28&lt;&gt;"."),s_dir!AE28/((1/1000)*(s_Irr!D28+s_Irr!BB28)),IF(AND(s_Irr!D28=".",s_Irr!AC28&lt;&gt;".",s_Irr!BB28&lt;&gt;"."),s_dir!AE28/((1/1000)*(s_Irr!AC28+s_Irr!BB28)),IF(AND(s_Irr!D28=".",s_Irr!AC28=".",s_Irr!BB28&lt;&gt;"."),s_dir!AE28/((1/1000)*(s_Irr!BB28)),IF(AND(s_Irr!D28=".",s_Irr!AC28&lt;&gt;".",s_Irr!BB28="."),s_dir!AE28/((1/1000)*(s_Irr!AC28)),IF(AND(s_Irr!D28&lt;&gt;".",s_Irr!AC28=".",s_Irr!BB28="."),s_dir!AE28/((1/1000)*(s_Irr!D28)),IF(AND(s_Irr!D28=".",s_Irr!AC28=".",s_Irr!BB28="."),s_dir!AE28*1000)))))))),".")</f>
        <v>.</v>
      </c>
      <c r="BF28" s="76" t="str">
        <f>IFERROR(IF(AND(s_Irr!E28&lt;&gt;".",s_Irr!AD28&lt;&gt;".",s_Irr!BC28&lt;&gt;"."),s_dir!AF28/((1/1000)*(s_Irr!E28+s_Irr!AD28+s_Irr!BC28)),IF(AND(s_Irr!E28&lt;&gt;".",s_Irr!AD28&lt;&gt;".",s_Irr!BC28="."),s_dir!AF28/((1/1000)*(s_Irr!E28+s_Irr!AD28)),IF(AND(s_Irr!E28&lt;&gt;".",s_Irr!AD28=".",s_Irr!BC28&lt;&gt;"."),s_dir!AF28/((1/1000)*(s_Irr!E28+s_Irr!BC28)),IF(AND(s_Irr!E28=".",s_Irr!AD28&lt;&gt;".",s_Irr!BC28&lt;&gt;"."),s_dir!AF28/((1/1000)*(s_Irr!AD28+s_Irr!BC28)),IF(AND(s_Irr!E28=".",s_Irr!AD28=".",s_Irr!BC28&lt;&gt;"."),s_dir!AF28/((1/1000)*(s_Irr!BC28)),IF(AND(s_Irr!E28=".",s_Irr!AD28&lt;&gt;".",s_Irr!BC28="."),s_dir!AF28/((1/1000)*(s_Irr!AD28)),IF(AND(s_Irr!E28&lt;&gt;".",s_Irr!AD28=".",s_Irr!BC28="."),s_dir!AF28/((1/1000)*(s_Irr!E28)),IF(AND(s_Irr!E28=".",s_Irr!AD28=".",s_Irr!BC28="."),s_dir!AF28*1000)))))))),".")</f>
        <v>.</v>
      </c>
      <c r="BG28" s="76" t="str">
        <f>IFERROR(IF(AND(s_Irr!F28&lt;&gt;".",s_Irr!AE28&lt;&gt;".",s_Irr!BD28&lt;&gt;"."),s_dir!AG28/((1/1000)*(s_Irr!F28+s_Irr!AE28+s_Irr!BD28)),IF(AND(s_Irr!F28&lt;&gt;".",s_Irr!AE28&lt;&gt;".",s_Irr!BD28="."),s_dir!AG28/((1/1000)*(s_Irr!F28+s_Irr!AE28)),IF(AND(s_Irr!F28&lt;&gt;".",s_Irr!AE28=".",s_Irr!BD28&lt;&gt;"."),s_dir!AG28/((1/1000)*(s_Irr!F28+s_Irr!BD28)),IF(AND(s_Irr!F28=".",s_Irr!AE28&lt;&gt;".",s_Irr!BD28&lt;&gt;"."),s_dir!AG28/((1/1000)*(s_Irr!AE28+s_Irr!BD28)),IF(AND(s_Irr!F28=".",s_Irr!AE28=".",s_Irr!BD28&lt;&gt;"."),s_dir!AG28/((1/1000)*(s_Irr!BD28)),IF(AND(s_Irr!F28=".",s_Irr!AE28&lt;&gt;".",s_Irr!BD28="."),s_dir!AG28/((1/1000)*(s_Irr!AE28)),IF(AND(s_Irr!F28&lt;&gt;".",s_Irr!AE28=".",s_Irr!BD28="."),s_dir!AG28/((1/1000)*(s_Irr!F28)),IF(AND(s_Irr!F28=".",s_Irr!AE28=".",s_Irr!BD28="."),s_dir!AG28*1000)))))))),".")</f>
        <v>.</v>
      </c>
      <c r="BH28" s="76" t="str">
        <f>IFERROR(IF(AND(s_Irr!G28&lt;&gt;".",s_Irr!AF28&lt;&gt;".",s_Irr!BE28&lt;&gt;"."),s_dir!AH28/((1/1000)*(s_Irr!G28+s_Irr!AF28+s_Irr!BE28)),IF(AND(s_Irr!G28&lt;&gt;".",s_Irr!AF28&lt;&gt;".",s_Irr!BE28="."),s_dir!AH28/((1/1000)*(s_Irr!G28+s_Irr!AF28)),IF(AND(s_Irr!G28&lt;&gt;".",s_Irr!AF28=".",s_Irr!BE28&lt;&gt;"."),s_dir!AH28/((1/1000)*(s_Irr!G28+s_Irr!BE28)),IF(AND(s_Irr!G28=".",s_Irr!AF28&lt;&gt;".",s_Irr!BE28&lt;&gt;"."),s_dir!AH28/((1/1000)*(s_Irr!AF28+s_Irr!BE28)),IF(AND(s_Irr!G28=".",s_Irr!AF28=".",s_Irr!BE28&lt;&gt;"."),s_dir!AH28/((1/1000)*(s_Irr!BE28)),IF(AND(s_Irr!G28=".",s_Irr!AF28&lt;&gt;".",s_Irr!BE28="."),s_dir!AH28/((1/1000)*(s_Irr!AF28)),IF(AND(s_Irr!G28&lt;&gt;".",s_Irr!AF28=".",s_Irr!BE28="."),s_dir!AH28/((1/1000)*(s_Irr!G28)),IF(AND(s_Irr!G28=".",s_Irr!AF28=".",s_Irr!BE28="."),s_dir!AH28*1000)))))))),".")</f>
        <v>.</v>
      </c>
      <c r="BI28" s="76" t="str">
        <f>IFERROR(IF(AND(s_Irr!H28&lt;&gt;".",s_Irr!AG28&lt;&gt;".",s_Irr!BF28&lt;&gt;"."),s_dir!AI28/((1/1000)*(s_Irr!H28+s_Irr!AG28+s_Irr!BF28)),IF(AND(s_Irr!H28&lt;&gt;".",s_Irr!AG28&lt;&gt;".",s_Irr!BF28="."),s_dir!AI28/((1/1000)*(s_Irr!H28+s_Irr!AG28)),IF(AND(s_Irr!H28&lt;&gt;".",s_Irr!AG28=".",s_Irr!BF28&lt;&gt;"."),s_dir!AI28/((1/1000)*(s_Irr!H28+s_Irr!BF28)),IF(AND(s_Irr!H28=".",s_Irr!AG28&lt;&gt;".",s_Irr!BF28&lt;&gt;"."),s_dir!AI28/((1/1000)*(s_Irr!AG28+s_Irr!BF28)),IF(AND(s_Irr!H28=".",s_Irr!AG28=".",s_Irr!BF28&lt;&gt;"."),s_dir!AI28/((1/1000)*(s_Irr!BF28)),IF(AND(s_Irr!H28=".",s_Irr!AG28&lt;&gt;".",s_Irr!BF28="."),s_dir!AI28/((1/1000)*(s_Irr!AG28)),IF(AND(s_Irr!H28&lt;&gt;".",s_Irr!AG28=".",s_Irr!BF28="."),s_dir!AI28/((1/1000)*(s_Irr!H28)),IF(AND(s_Irr!H28=".",s_Irr!AG28=".",s_Irr!BF28="."),s_dir!AI28*1000)))))))),".")</f>
        <v>.</v>
      </c>
      <c r="BJ28" s="76" t="str">
        <f>IFERROR(IF(AND(s_Irr!I28&lt;&gt;".",s_Irr!AH28&lt;&gt;".",s_Irr!BG28&lt;&gt;"."),s_dir!AJ28/((1/1000)*(s_Irr!I28+s_Irr!AH28+s_Irr!BG28)),IF(AND(s_Irr!I28&lt;&gt;".",s_Irr!AH28&lt;&gt;".",s_Irr!BG28="."),s_dir!AJ28/((1/1000)*(s_Irr!I28+s_Irr!AH28)),IF(AND(s_Irr!I28&lt;&gt;".",s_Irr!AH28=".",s_Irr!BG28&lt;&gt;"."),s_dir!AJ28/((1/1000)*(s_Irr!I28+s_Irr!BG28)),IF(AND(s_Irr!I28=".",s_Irr!AH28&lt;&gt;".",s_Irr!BG28&lt;&gt;"."),s_dir!AJ28/((1/1000)*(s_Irr!AH28+s_Irr!BG28)),IF(AND(s_Irr!I28=".",s_Irr!AH28=".",s_Irr!BG28&lt;&gt;"."),s_dir!AJ28/((1/1000)*(s_Irr!BG28)),IF(AND(s_Irr!I28=".",s_Irr!AH28&lt;&gt;".",s_Irr!BG28="."),s_dir!AJ28/((1/1000)*(s_Irr!AH28)),IF(AND(s_Irr!I28&lt;&gt;".",s_Irr!AH28=".",s_Irr!BG28="."),s_dir!AJ28/((1/1000)*(s_Irr!I28)),IF(AND(s_Irr!I28=".",s_Irr!AH28=".",s_Irr!BG28="."),s_dir!AJ28*1000)))))))),".")</f>
        <v>.</v>
      </c>
      <c r="BK28" s="76" t="str">
        <f>IFERROR(IF(AND(s_Irr!J28&lt;&gt;".",s_Irr!AI28&lt;&gt;".",s_Irr!BH28&lt;&gt;"."),s_dir!AK28/((1/1000)*(s_Irr!J28+s_Irr!AI28+s_Irr!BH28)),IF(AND(s_Irr!J28&lt;&gt;".",s_Irr!AI28&lt;&gt;".",s_Irr!BH28="."),s_dir!AK28/((1/1000)*(s_Irr!J28+s_Irr!AI28)),IF(AND(s_Irr!J28&lt;&gt;".",s_Irr!AI28=".",s_Irr!BH28&lt;&gt;"."),s_dir!AK28/((1/1000)*(s_Irr!J28+s_Irr!BH28)),IF(AND(s_Irr!J28=".",s_Irr!AI28&lt;&gt;".",s_Irr!BH28&lt;&gt;"."),s_dir!AK28/((1/1000)*(s_Irr!AI28+s_Irr!BH28)),IF(AND(s_Irr!J28=".",s_Irr!AI28=".",s_Irr!BH28&lt;&gt;"."),s_dir!AK28/((1/1000)*(s_Irr!BH28)),IF(AND(s_Irr!J28=".",s_Irr!AI28&lt;&gt;".",s_Irr!BH28="."),s_dir!AK28/((1/1000)*(s_Irr!AI28)),IF(AND(s_Irr!J28&lt;&gt;".",s_Irr!AI28=".",s_Irr!BH28="."),s_dir!AK28/((1/1000)*(s_Irr!J28)),IF(AND(s_Irr!J28=".",s_Irr!AI28=".",s_Irr!BH28="."),s_dir!AK28*1000)))))))),".")</f>
        <v>.</v>
      </c>
      <c r="BL28" s="76" t="str">
        <f>IFERROR(IF(AND(s_Irr!K28&lt;&gt;".",s_Irr!AJ28&lt;&gt;".",s_Irr!BI28&lt;&gt;"."),s_dir!AL28/((1/1000)*(s_Irr!K28+s_Irr!AJ28+s_Irr!BI28)),IF(AND(s_Irr!K28&lt;&gt;".",s_Irr!AJ28&lt;&gt;".",s_Irr!BI28="."),s_dir!AL28/((1/1000)*(s_Irr!K28+s_Irr!AJ28)),IF(AND(s_Irr!K28&lt;&gt;".",s_Irr!AJ28=".",s_Irr!BI28&lt;&gt;"."),s_dir!AL28/((1/1000)*(s_Irr!K28+s_Irr!BI28)),IF(AND(s_Irr!K28=".",s_Irr!AJ28&lt;&gt;".",s_Irr!BI28&lt;&gt;"."),s_dir!AL28/((1/1000)*(s_Irr!AJ28+s_Irr!BI28)),IF(AND(s_Irr!K28=".",s_Irr!AJ28=".",s_Irr!BI28&lt;&gt;"."),s_dir!AL28/((1/1000)*(s_Irr!BI28)),IF(AND(s_Irr!K28=".",s_Irr!AJ28&lt;&gt;".",s_Irr!BI28="."),s_dir!AL28/((1/1000)*(s_Irr!AJ28)),IF(AND(s_Irr!K28&lt;&gt;".",s_Irr!AJ28=".",s_Irr!BI28="."),s_dir!AL28/((1/1000)*(s_Irr!K28)),IF(AND(s_Irr!K28=".",s_Irr!AJ28=".",s_Irr!BI28="."),s_dir!AL28*1000)))))))),".")</f>
        <v>.</v>
      </c>
      <c r="BM28" s="76" t="str">
        <f>IFERROR(IF(AND(s_Irr!L28&lt;&gt;".",s_Irr!AK28&lt;&gt;".",s_Irr!BJ28&lt;&gt;"."),s_dir!AM28/((1/1000)*(s_Irr!L28+s_Irr!AK28+s_Irr!BJ28)),IF(AND(s_Irr!L28&lt;&gt;".",s_Irr!AK28&lt;&gt;".",s_Irr!BJ28="."),s_dir!AM28/((1/1000)*(s_Irr!L28+s_Irr!AK28)),IF(AND(s_Irr!L28&lt;&gt;".",s_Irr!AK28=".",s_Irr!BJ28&lt;&gt;"."),s_dir!AM28/((1/1000)*(s_Irr!L28+s_Irr!BJ28)),IF(AND(s_Irr!L28=".",s_Irr!AK28&lt;&gt;".",s_Irr!BJ28&lt;&gt;"."),s_dir!AM28/((1/1000)*(s_Irr!AK28+s_Irr!BJ28)),IF(AND(s_Irr!L28=".",s_Irr!AK28=".",s_Irr!BJ28&lt;&gt;"."),s_dir!AM28/((1/1000)*(s_Irr!BJ28)),IF(AND(s_Irr!L28=".",s_Irr!AK28&lt;&gt;".",s_Irr!BJ28="."),s_dir!AM28/((1/1000)*(s_Irr!AK28)),IF(AND(s_Irr!L28&lt;&gt;".",s_Irr!AK28=".",s_Irr!BJ28="."),s_dir!AM28/((1/1000)*(s_Irr!L28)),IF(AND(s_Irr!L28=".",s_Irr!AK28=".",s_Irr!BJ28="."),s_dir!AM28*1000)))))))),".")</f>
        <v>.</v>
      </c>
      <c r="BN28" s="76" t="str">
        <f>IFERROR(IF(AND(s_Irr!M28&lt;&gt;".",s_Irr!AL28&lt;&gt;".",s_Irr!BK28&lt;&gt;"."),s_dir!AN28/((1/1000)*(s_Irr!M28+s_Irr!AL28+s_Irr!BK28)),IF(AND(s_Irr!M28&lt;&gt;".",s_Irr!AL28&lt;&gt;".",s_Irr!BK28="."),s_dir!AN28/((1/1000)*(s_Irr!M28+s_Irr!AL28)),IF(AND(s_Irr!M28&lt;&gt;".",s_Irr!AL28=".",s_Irr!BK28&lt;&gt;"."),s_dir!AN28/((1/1000)*(s_Irr!M28+s_Irr!BK28)),IF(AND(s_Irr!M28=".",s_Irr!AL28&lt;&gt;".",s_Irr!BK28&lt;&gt;"."),s_dir!AN28/((1/1000)*(s_Irr!AL28+s_Irr!BK28)),IF(AND(s_Irr!M28=".",s_Irr!AL28=".",s_Irr!BK28&lt;&gt;"."),s_dir!AN28/((1/1000)*(s_Irr!BK28)),IF(AND(s_Irr!M28=".",s_Irr!AL28&lt;&gt;".",s_Irr!BK28="."),s_dir!AN28/((1/1000)*(s_Irr!AL28)),IF(AND(s_Irr!M28&lt;&gt;".",s_Irr!AL28=".",s_Irr!BK28="."),s_dir!AN28/((1/1000)*(s_Irr!M28)),IF(AND(s_Irr!M28=".",s_Irr!AL28=".",s_Irr!BK28="."),s_dir!AN28*1000)))))))),".")</f>
        <v>.</v>
      </c>
      <c r="BO28" s="76" t="str">
        <f>IFERROR(IF(AND(s_Irr!N28&lt;&gt;".",s_Irr!AM28&lt;&gt;".",s_Irr!BL28&lt;&gt;"."),s_dir!AO28/((1/1000)*(s_Irr!N28+s_Irr!AM28+s_Irr!BL28)),IF(AND(s_Irr!N28&lt;&gt;".",s_Irr!AM28&lt;&gt;".",s_Irr!BL28="."),s_dir!AO28/((1/1000)*(s_Irr!N28+s_Irr!AM28)),IF(AND(s_Irr!N28&lt;&gt;".",s_Irr!AM28=".",s_Irr!BL28&lt;&gt;"."),s_dir!AO28/((1/1000)*(s_Irr!N28+s_Irr!BL28)),IF(AND(s_Irr!N28=".",s_Irr!AM28&lt;&gt;".",s_Irr!BL28&lt;&gt;"."),s_dir!AO28/((1/1000)*(s_Irr!AM28+s_Irr!BL28)),IF(AND(s_Irr!N28=".",s_Irr!AM28=".",s_Irr!BL28&lt;&gt;"."),s_dir!AO28/((1/1000)*(s_Irr!BL28)),IF(AND(s_Irr!N28=".",s_Irr!AM28&lt;&gt;".",s_Irr!BL28="."),s_dir!AO28/((1/1000)*(s_Irr!AM28)),IF(AND(s_Irr!N28&lt;&gt;".",s_Irr!AM28=".",s_Irr!BL28="."),s_dir!AO28/((1/1000)*(s_Irr!N28)),IF(AND(s_Irr!N28=".",s_Irr!AM28=".",s_Irr!BL28="."),s_dir!AO28*1000)))))))),".")</f>
        <v>.</v>
      </c>
      <c r="BP28" s="76" t="str">
        <f>IFERROR(IF(AND(s_Irr!O28&lt;&gt;".",s_Irr!AN28&lt;&gt;".",s_Irr!BM28&lt;&gt;"."),s_dir!AP28/((1/1000)*(s_Irr!O28+s_Irr!AN28+s_Irr!BM28)),IF(AND(s_Irr!O28&lt;&gt;".",s_Irr!AN28&lt;&gt;".",s_Irr!BM28="."),s_dir!AP28/((1/1000)*(s_Irr!O28+s_Irr!AN28)),IF(AND(s_Irr!O28&lt;&gt;".",s_Irr!AN28=".",s_Irr!BM28&lt;&gt;"."),s_dir!AP28/((1/1000)*(s_Irr!O28+s_Irr!BM28)),IF(AND(s_Irr!O28=".",s_Irr!AN28&lt;&gt;".",s_Irr!BM28&lt;&gt;"."),s_dir!AP28/((1/1000)*(s_Irr!AN28+s_Irr!BM28)),IF(AND(s_Irr!O28=".",s_Irr!AN28=".",s_Irr!BM28&lt;&gt;"."),s_dir!AP28/((1/1000)*(s_Irr!BM28)),IF(AND(s_Irr!O28=".",s_Irr!AN28&lt;&gt;".",s_Irr!BM28="."),s_dir!AP28/((1/1000)*(s_Irr!AN28)),IF(AND(s_Irr!O28&lt;&gt;".",s_Irr!AN28=".",s_Irr!BM28="."),s_dir!AP28/((1/1000)*(s_Irr!O28)),IF(AND(s_Irr!O28=".",s_Irr!AN28=".",s_Irr!BM28="."),s_dir!AP28*1000)))))))),".")</f>
        <v>.</v>
      </c>
      <c r="BQ28" s="76" t="str">
        <f>IFERROR(IF(AND(s_Irr!P28&lt;&gt;".",s_Irr!AO28&lt;&gt;".",s_Irr!BN28&lt;&gt;"."),s_dir!AQ28/((1/1000)*(s_Irr!P28+s_Irr!AO28+s_Irr!BN28)),IF(AND(s_Irr!P28&lt;&gt;".",s_Irr!AO28&lt;&gt;".",s_Irr!BN28="."),s_dir!AQ28/((1/1000)*(s_Irr!P28+s_Irr!AO28)),IF(AND(s_Irr!P28&lt;&gt;".",s_Irr!AO28=".",s_Irr!BN28&lt;&gt;"."),s_dir!AQ28/((1/1000)*(s_Irr!P28+s_Irr!BN28)),IF(AND(s_Irr!P28=".",s_Irr!AO28&lt;&gt;".",s_Irr!BN28&lt;&gt;"."),s_dir!AQ28/((1/1000)*(s_Irr!AO28+s_Irr!BN28)),IF(AND(s_Irr!P28=".",s_Irr!AO28=".",s_Irr!BN28&lt;&gt;"."),s_dir!AQ28/((1/1000)*(s_Irr!BN28)),IF(AND(s_Irr!P28=".",s_Irr!AO28&lt;&gt;".",s_Irr!BN28="."),s_dir!AQ28/((1/1000)*(s_Irr!AO28)),IF(AND(s_Irr!P28&lt;&gt;".",s_Irr!AO28=".",s_Irr!BN28="."),s_dir!AQ28/((1/1000)*(s_Irr!P28)),IF(AND(s_Irr!P28=".",s_Irr!AO28=".",s_Irr!BN28="."),s_dir!AQ28*1000)))))))),".")</f>
        <v>.</v>
      </c>
      <c r="BR28" s="76" t="str">
        <f>IFERROR(IF(AND(s_Irr!Q28&lt;&gt;".",s_Irr!AP28&lt;&gt;".",s_Irr!BO28&lt;&gt;"."),s_dir!AR28/((1/1000)*(s_Irr!Q28+s_Irr!AP28+s_Irr!BO28)),IF(AND(s_Irr!Q28&lt;&gt;".",s_Irr!AP28&lt;&gt;".",s_Irr!BO28="."),s_dir!AR28/((1/1000)*(s_Irr!Q28+s_Irr!AP28)),IF(AND(s_Irr!Q28&lt;&gt;".",s_Irr!AP28=".",s_Irr!BO28&lt;&gt;"."),s_dir!AR28/((1/1000)*(s_Irr!Q28+s_Irr!BO28)),IF(AND(s_Irr!Q28=".",s_Irr!AP28&lt;&gt;".",s_Irr!BO28&lt;&gt;"."),s_dir!AR28/((1/1000)*(s_Irr!AP28+s_Irr!BO28)),IF(AND(s_Irr!Q28=".",s_Irr!AP28=".",s_Irr!BO28&lt;&gt;"."),s_dir!AR28/((1/1000)*(s_Irr!BO28)),IF(AND(s_Irr!Q28=".",s_Irr!AP28&lt;&gt;".",s_Irr!BO28="."),s_dir!AR28/((1/1000)*(s_Irr!AP28)),IF(AND(s_Irr!Q28&lt;&gt;".",s_Irr!AP28=".",s_Irr!BO28="."),s_dir!AR28/((1/1000)*(s_Irr!Q28)),IF(AND(s_Irr!Q28=".",s_Irr!AP28=".",s_Irr!BO28="."),s_dir!AR28*1000)))))))),".")</f>
        <v>.</v>
      </c>
      <c r="BS28" s="76" t="str">
        <f>IFERROR(IF(AND(s_Irr!R28&lt;&gt;".",s_Irr!AQ28&lt;&gt;".",s_Irr!BP28&lt;&gt;"."),s_dir!AS28/((1/1000)*(s_Irr!R28+s_Irr!AQ28+s_Irr!BP28)),IF(AND(s_Irr!R28&lt;&gt;".",s_Irr!AQ28&lt;&gt;".",s_Irr!BP28="."),s_dir!AS28/((1/1000)*(s_Irr!R28+s_Irr!AQ28)),IF(AND(s_Irr!R28&lt;&gt;".",s_Irr!AQ28=".",s_Irr!BP28&lt;&gt;"."),s_dir!AS28/((1/1000)*(s_Irr!R28+s_Irr!BP28)),IF(AND(s_Irr!R28=".",s_Irr!AQ28&lt;&gt;".",s_Irr!BP28&lt;&gt;"."),s_dir!AS28/((1/1000)*(s_Irr!AQ28+s_Irr!BP28)),IF(AND(s_Irr!R28=".",s_Irr!AQ28=".",s_Irr!BP28&lt;&gt;"."),s_dir!AS28/((1/1000)*(s_Irr!BP28)),IF(AND(s_Irr!R28=".",s_Irr!AQ28&lt;&gt;".",s_Irr!BP28="."),s_dir!AS28/((1/1000)*(s_Irr!AQ28)),IF(AND(s_Irr!R28&lt;&gt;".",s_Irr!AQ28=".",s_Irr!BP28="."),s_dir!AS28/((1/1000)*(s_Irr!R28)),IF(AND(s_Irr!R28=".",s_Irr!AQ28=".",s_Irr!BP28="."),s_dir!AS28*1000)))))))),".")</f>
        <v>.</v>
      </c>
      <c r="BT28" s="76" t="str">
        <f>IFERROR(IF(AND(s_Irr!S28&lt;&gt;".",s_Irr!AR28&lt;&gt;".",s_Irr!BQ28&lt;&gt;"."),s_dir!AT28/((1/1000)*(s_Irr!S28+s_Irr!AR28+s_Irr!BQ28)),IF(AND(s_Irr!S28&lt;&gt;".",s_Irr!AR28&lt;&gt;".",s_Irr!BQ28="."),s_dir!AT28/((1/1000)*(s_Irr!S28+s_Irr!AR28)),IF(AND(s_Irr!S28&lt;&gt;".",s_Irr!AR28=".",s_Irr!BQ28&lt;&gt;"."),s_dir!AT28/((1/1000)*(s_Irr!S28+s_Irr!BQ28)),IF(AND(s_Irr!S28=".",s_Irr!AR28&lt;&gt;".",s_Irr!BQ28&lt;&gt;"."),s_dir!AT28/((1/1000)*(s_Irr!AR28+s_Irr!BQ28)),IF(AND(s_Irr!S28=".",s_Irr!AR28=".",s_Irr!BQ28&lt;&gt;"."),s_dir!AT28/((1/1000)*(s_Irr!BQ28)),IF(AND(s_Irr!S28=".",s_Irr!AR28&lt;&gt;".",s_Irr!BQ28="."),s_dir!AT28/((1/1000)*(s_Irr!AR28)),IF(AND(s_Irr!S28&lt;&gt;".",s_Irr!AR28=".",s_Irr!BQ28="."),s_dir!AT28/((1/1000)*(s_Irr!S28)),IF(AND(s_Irr!S28=".",s_Irr!AR28=".",s_Irr!BQ28="."),s_dir!AT28*1000)))))))),".")</f>
        <v>.</v>
      </c>
      <c r="BU28" s="76" t="str">
        <f>IFERROR(IF(AND(s_Irr!T28&lt;&gt;".",s_Irr!AS28&lt;&gt;".",s_Irr!BR28&lt;&gt;"."),s_dir!AU28/((1/1000)*(s_Irr!T28+s_Irr!AS28+s_Irr!BR28)),IF(AND(s_Irr!T28&lt;&gt;".",s_Irr!AS28&lt;&gt;".",s_Irr!BR28="."),s_dir!AU28/((1/1000)*(s_Irr!T28+s_Irr!AS28)),IF(AND(s_Irr!T28&lt;&gt;".",s_Irr!AS28=".",s_Irr!BR28&lt;&gt;"."),s_dir!AU28/((1/1000)*(s_Irr!T28+s_Irr!BR28)),IF(AND(s_Irr!T28=".",s_Irr!AS28&lt;&gt;".",s_Irr!BR28&lt;&gt;"."),s_dir!AU28/((1/1000)*(s_Irr!AS28+s_Irr!BR28)),IF(AND(s_Irr!T28=".",s_Irr!AS28=".",s_Irr!BR28&lt;&gt;"."),s_dir!AU28/((1/1000)*(s_Irr!BR28)),IF(AND(s_Irr!T28=".",s_Irr!AS28&lt;&gt;".",s_Irr!BR28="."),s_dir!AU28/((1/1000)*(s_Irr!AS28)),IF(AND(s_Irr!T28&lt;&gt;".",s_Irr!AS28=".",s_Irr!BR28="."),s_dir!AU28/((1/1000)*(s_Irr!T28)),IF(AND(s_Irr!T28=".",s_Irr!AS28=".",s_Irr!BR28="."),s_dir!AU28*1000)))))))),".")</f>
        <v>.</v>
      </c>
      <c r="BV28" s="76" t="str">
        <f>IFERROR(IF(AND(s_Irr!U28&lt;&gt;".",s_Irr!AT28&lt;&gt;".",s_Irr!BS28&lt;&gt;"."),s_dir!AV28/((1/1000)*(s_Irr!U28+s_Irr!AT28+s_Irr!BS28)),IF(AND(s_Irr!U28&lt;&gt;".",s_Irr!AT28&lt;&gt;".",s_Irr!BS28="."),s_dir!AV28/((1/1000)*(s_Irr!U28+s_Irr!AT28)),IF(AND(s_Irr!U28&lt;&gt;".",s_Irr!AT28=".",s_Irr!BS28&lt;&gt;"."),s_dir!AV28/((1/1000)*(s_Irr!U28+s_Irr!BS28)),IF(AND(s_Irr!U28=".",s_Irr!AT28&lt;&gt;".",s_Irr!BS28&lt;&gt;"."),s_dir!AV28/((1/1000)*(s_Irr!AT28+s_Irr!BS28)),IF(AND(s_Irr!U28=".",s_Irr!AT28=".",s_Irr!BS28&lt;&gt;"."),s_dir!AV28/((1/1000)*(s_Irr!BS28)),IF(AND(s_Irr!U28=".",s_Irr!AT28&lt;&gt;".",s_Irr!BS28="."),s_dir!AV28/((1/1000)*(s_Irr!AT28)),IF(AND(s_Irr!U28&lt;&gt;".",s_Irr!AT28=".",s_Irr!BS28="."),s_dir!AV28/((1/1000)*(s_Irr!U28)),IF(AND(s_Irr!U28=".",s_Irr!AT28=".",s_Irr!BS28="."),s_dir!AV28*1000)))))))),".")</f>
        <v>.</v>
      </c>
      <c r="BW28" s="76" t="str">
        <f>IFERROR(IF(AND(s_Irr!V28&lt;&gt;".",s_Irr!AU28&lt;&gt;".",s_Irr!BT28&lt;&gt;"."),s_dir!AW28/((1/1000)*(s_Irr!V28+s_Irr!AU28+s_Irr!BT28)),IF(AND(s_Irr!V28&lt;&gt;".",s_Irr!AU28&lt;&gt;".",s_Irr!BT28="."),s_dir!AW28/((1/1000)*(s_Irr!V28+s_Irr!AU28)),IF(AND(s_Irr!V28&lt;&gt;".",s_Irr!AU28=".",s_Irr!BT28&lt;&gt;"."),s_dir!AW28/((1/1000)*(s_Irr!V28+s_Irr!BT28)),IF(AND(s_Irr!V28=".",s_Irr!AU28&lt;&gt;".",s_Irr!BT28&lt;&gt;"."),s_dir!AW28/((1/1000)*(s_Irr!AU28+s_Irr!BT28)),IF(AND(s_Irr!V28=".",s_Irr!AU28=".",s_Irr!BT28&lt;&gt;"."),s_dir!AW28/((1/1000)*(s_Irr!BT28)),IF(AND(s_Irr!V28=".",s_Irr!AU28&lt;&gt;".",s_Irr!BT28="."),s_dir!AW28/((1/1000)*(s_Irr!AU28)),IF(AND(s_Irr!V28&lt;&gt;".",s_Irr!AU28=".",s_Irr!BT28="."),s_dir!AW28/((1/1000)*(s_Irr!V28)),IF(AND(s_Irr!V28=".",s_Irr!AU28=".",s_Irr!BT28="."),s_dir!AW28*1000)))))))),".")</f>
        <v>.</v>
      </c>
      <c r="BX28" s="76" t="str">
        <f>IFERROR(IF(AND(s_Irr!W28&lt;&gt;".",s_Irr!AV28&lt;&gt;".",s_Irr!BU28&lt;&gt;"."),s_dir!AX28/((1/1000)*(s_Irr!W28+s_Irr!AV28+s_Irr!BU28)),IF(AND(s_Irr!W28&lt;&gt;".",s_Irr!AV28&lt;&gt;".",s_Irr!BU28="."),s_dir!AX28/((1/1000)*(s_Irr!W28+s_Irr!AV28)),IF(AND(s_Irr!W28&lt;&gt;".",s_Irr!AV28=".",s_Irr!BU28&lt;&gt;"."),s_dir!AX28/((1/1000)*(s_Irr!W28+s_Irr!BU28)),IF(AND(s_Irr!W28=".",s_Irr!AV28&lt;&gt;".",s_Irr!BU28&lt;&gt;"."),s_dir!AX28/((1/1000)*(s_Irr!AV28+s_Irr!BU28)),IF(AND(s_Irr!W28=".",s_Irr!AV28=".",s_Irr!BU28&lt;&gt;"."),s_dir!AX28/((1/1000)*(s_Irr!BU28)),IF(AND(s_Irr!W28=".",s_Irr!AV28&lt;&gt;".",s_Irr!BU28="."),s_dir!AX28/((1/1000)*(s_Irr!AV28)),IF(AND(s_Irr!W28&lt;&gt;".",s_Irr!AV28=".",s_Irr!BU28="."),s_dir!AX28/((1/1000)*(s_Irr!W28)),IF(AND(s_Irr!W28=".",s_Irr!AV28=".",s_Irr!BU28="."),s_dir!AX28*1000)))))))),".")</f>
        <v>.</v>
      </c>
      <c r="BY28" s="76" t="str">
        <f>IFERROR(IF(AND(s_Irr!X28&lt;&gt;".",s_Irr!AW28&lt;&gt;".",s_Irr!BV28&lt;&gt;"."),s_dir!AY28/((1/1000)*(s_Irr!X28+s_Irr!AW28+s_Irr!BV28)),IF(AND(s_Irr!X28&lt;&gt;".",s_Irr!AW28&lt;&gt;".",s_Irr!BV28="."),s_dir!AY28/((1/1000)*(s_Irr!X28+s_Irr!AW28)),IF(AND(s_Irr!X28&lt;&gt;".",s_Irr!AW28=".",s_Irr!BV28&lt;&gt;"."),s_dir!AY28/((1/1000)*(s_Irr!X28+s_Irr!BV28)),IF(AND(s_Irr!X28=".",s_Irr!AW28&lt;&gt;".",s_Irr!BV28&lt;&gt;"."),s_dir!AY28/((1/1000)*(s_Irr!AW28+s_Irr!BV28)),IF(AND(s_Irr!X28=".",s_Irr!AW28=".",s_Irr!BV28&lt;&gt;"."),s_dir!AY28/((1/1000)*(s_Irr!BV28)),IF(AND(s_Irr!X28=".",s_Irr!AW28&lt;&gt;".",s_Irr!BV28="."),s_dir!AY28/((1/1000)*(s_Irr!AW28)),IF(AND(s_Irr!X28&lt;&gt;".",s_Irr!AW28=".",s_Irr!BV28="."),s_dir!AY28/((1/1000)*(s_Irr!X28)),IF(AND(s_Irr!X28=".",s_Irr!AW28=".",s_Irr!BV28="."),s_dir!AY28*1000)))))))),".")</f>
        <v>.</v>
      </c>
      <c r="BZ28" s="76" t="str">
        <f>IFERROR(IF(AND(s_Irr!Y28&lt;&gt;".",s_Irr!AX28&lt;&gt;".",s_Irr!BW28&lt;&gt;"."),s_dir!AZ28/((1/1000)*(s_Irr!Y28+s_Irr!AX28+s_Irr!BW28)),IF(AND(s_Irr!Y28&lt;&gt;".",s_Irr!AX28&lt;&gt;".",s_Irr!BW28="."),s_dir!AZ28/((1/1000)*(s_Irr!Y28+s_Irr!AX28)),IF(AND(s_Irr!Y28&lt;&gt;".",s_Irr!AX28=".",s_Irr!BW28&lt;&gt;"."),s_dir!AZ28/((1/1000)*(s_Irr!Y28+s_Irr!BW28)),IF(AND(s_Irr!Y28=".",s_Irr!AX28&lt;&gt;".",s_Irr!BW28&lt;&gt;"."),s_dir!AZ28/((1/1000)*(s_Irr!AX28+s_Irr!BW28)),IF(AND(s_Irr!Y28=".",s_Irr!AX28=".",s_Irr!BW28&lt;&gt;"."),s_dir!AZ28/((1/1000)*(s_Irr!BW28)),IF(AND(s_Irr!Y28=".",s_Irr!AX28&lt;&gt;".",s_Irr!BW28="."),s_dir!AZ28/((1/1000)*(s_Irr!AX28)),IF(AND(s_Irr!Y28&lt;&gt;".",s_Irr!AX28=".",s_Irr!BW28="."),s_dir!AZ28/((1/1000)*(s_Irr!Y28)),IF(AND(s_Irr!Y28=".",s_Irr!AX28=".",s_Irr!BW28="."),s_dir!AZ28*1000)))))))),".")</f>
        <v>.</v>
      </c>
      <c r="CA28" s="76" t="str">
        <f>IFERROR(IF(AND(s_Irr!Z28&lt;&gt;".",s_Irr!AY28&lt;&gt;".",s_Irr!BX28&lt;&gt;"."),s_dir!BA28/((1/1000)*(s_Irr!Z28+s_Irr!AY28+s_Irr!BX28)),IF(AND(s_Irr!Z28&lt;&gt;".",s_Irr!AY28&lt;&gt;".",s_Irr!BX28="."),s_dir!BA28/((1/1000)*(s_Irr!Z28+s_Irr!AY28)),IF(AND(s_Irr!Z28&lt;&gt;".",s_Irr!AY28=".",s_Irr!BX28&lt;&gt;"."),s_dir!BA28/((1/1000)*(s_Irr!Z28+s_Irr!BX28)),IF(AND(s_Irr!Z28=".",s_Irr!AY28&lt;&gt;".",s_Irr!BX28&lt;&gt;"."),s_dir!BA28/((1/1000)*(s_Irr!AY28+s_Irr!BX28)),IF(AND(s_Irr!Z28=".",s_Irr!AY28=".",s_Irr!BX28&lt;&gt;"."),s_dir!BA28/((1/1000)*(s_Irr!BX28)),IF(AND(s_Irr!Z28=".",s_Irr!AY28&lt;&gt;".",s_Irr!BX28="."),s_dir!BA28/((1/1000)*(s_Irr!AY28)),IF(AND(s_Irr!Z28&lt;&gt;".",s_Irr!AY28=".",s_Irr!BX28="."),s_dir!BA28/((1/1000)*(s_Irr!Z28)),IF(AND(s_Irr!Z28=".",s_Irr!AY28=".",s_Irr!BX28="."),s_dir!BA28*1000)))))))),".")</f>
        <v>.</v>
      </c>
      <c r="CB28" s="76" t="str">
        <f>IFERROR(IF(AND(s_Irr!AA28&lt;&gt;".",s_Irr!AZ28&lt;&gt;".",s_Irr!BY28&lt;&gt;"."),s_dir!BB28/((1/1000)*(s_Irr!AA28+s_Irr!AZ28+s_Irr!BY28)),IF(AND(s_Irr!AA28&lt;&gt;".",s_Irr!AZ28&lt;&gt;".",s_Irr!BY28="."),s_dir!BB28/((1/1000)*(s_Irr!AA28+s_Irr!AZ28)),IF(AND(s_Irr!AA28&lt;&gt;".",s_Irr!AZ28=".",s_Irr!BY28&lt;&gt;"."),s_dir!BB28/((1/1000)*(s_Irr!AA28+s_Irr!BY28)),IF(AND(s_Irr!AA28=".",s_Irr!AZ28&lt;&gt;".",s_Irr!BY28&lt;&gt;"."),s_dir!BB28/((1/1000)*(s_Irr!AZ28+s_Irr!BY28)),IF(AND(s_Irr!AA28=".",s_Irr!AZ28=".",s_Irr!BY28&lt;&gt;"."),s_dir!BB28/((1/1000)*(s_Irr!BY28)),IF(AND(s_Irr!AA28=".",s_Irr!AZ28&lt;&gt;".",s_Irr!BY28="."),s_dir!BB28/((1/1000)*(s_Irr!AZ28)),IF(AND(s_Irr!AA28&lt;&gt;".",s_Irr!AZ28=".",s_Irr!BY28="."),s_dir!BB28/((1/1000)*(s_Irr!AA28)),IF(AND(s_Irr!AA28=".",s_Irr!AZ28=".",s_Irr!BY28="."),s_dir!BB28*1000)))))))),".")</f>
        <v>.</v>
      </c>
      <c r="CC28" s="93">
        <f t="shared" si="2"/>
        <v>13137.755598218413</v>
      </c>
      <c r="CD28" s="93">
        <f>IFERROR(s_C*s_IFAP_far_adj*s_CF_apple*(1/1000)*(s_Irr!C28+s_Irr!AB28+s_Irr!BA28),".")</f>
        <v>1771.5464849477178</v>
      </c>
      <c r="CE28" s="93">
        <f>IFERROR(s_C*s_IFAS_far_adj*s_CF_asparagus*(1/1000)*(s_Irr!D28+s_Irr!AC28+s_Irr!BB28),".")</f>
        <v>1793.1849938574705</v>
      </c>
      <c r="CF28" s="93">
        <f>IFERROR(s_C*s_IFBT_far_adj*s_CF_beet*(1/1000)*(s_Irr!E28+s_Irr!AD28+s_Irr!BC28),".")</f>
        <v>1771.5464849477178</v>
      </c>
      <c r="CG28" s="93">
        <f>IFERROR(s_C*s_IFBE_far_adj*s_CF_berries*(1/1000)*(s_Irr!F28+s_Irr!AE28+s_Irr!BD28),".")</f>
        <v>1771.5464849477178</v>
      </c>
      <c r="CH28" s="93">
        <f>IFERROR(s_C*s_IFBR_far_adj*s_CF_broccoli*(1/1000)*(s_Irr!G28+s_Irr!AF28+s_Irr!BE28),".")</f>
        <v>1793.1849938574705</v>
      </c>
      <c r="CI28" s="93">
        <f>IFERROR(s_C*s_IFCB_far_adj*s_CF_cabbage*(1/1000)*(s_Irr!H28+s_Irr!AG28+s_Irr!BF28),".")</f>
        <v>1793.1849938574705</v>
      </c>
      <c r="CJ28" s="93">
        <f>IFERROR(s_C*s_IFCR_far_adj*s_CF_carrot*(1/1000)*(s_Irr!I28+s_Irr!AH28+s_Irr!BG28),".")</f>
        <v>1771.5464849477178</v>
      </c>
      <c r="CK28" s="93">
        <f>IFERROR(s_C*s_IFCI_far_adj*s_CF_citrus*(1/1000)*(s_Irr!J28+s_Irr!AI28+s_Irr!BH28),".")</f>
        <v>1771.5464849477178</v>
      </c>
      <c r="CL28" s="93">
        <f>IFERROR(s_C*s_IFCO_far_adj*s_CF_corn*(1/1000)*(s_Irr!K28+s_Irr!AJ28+s_Irr!BI28),".")</f>
        <v>1793.1849938574705</v>
      </c>
      <c r="CM28" s="93">
        <f>IFERROR(s_C*s_IFCU_far_adj*s_CF_cucumber*(1/1000)*(s_Irr!L28+s_Irr!AK28+s_Irr!BJ28),".")</f>
        <v>1793.1849938574705</v>
      </c>
      <c r="CN28" s="93">
        <f>IFERROR(s_C*s_IFLE_far_adj*s_CF_lettuce*(1/1000)*(s_Irr!M28+s_Irr!AL28+s_Irr!BK28),".")</f>
        <v>1793.1849938574705</v>
      </c>
      <c r="CO28" s="93">
        <f>IFERROR(s_C*s_IFLI_far_adj*s_CF_lima_bean*(1/1000)*(s_Irr!N28+s_Irr!AM28+s_Irr!BL28),".")</f>
        <v>1793.1849938574705</v>
      </c>
      <c r="CP28" s="93">
        <f>IFERROR(s_C*s_IFOK_far_adj*s_CF_okra*(1/1000)*(s_Irr!O28+s_Irr!AN28+s_Irr!BM28),".")</f>
        <v>1793.1849938574705</v>
      </c>
      <c r="CQ28" s="93">
        <f>IFERROR(s_C*s_IFON_far_adj*s_CF_onion*(1/1000)*(s_Irr!P28+s_Irr!AO28+s_Irr!BN28),".")</f>
        <v>1771.5464849477178</v>
      </c>
      <c r="CR28" s="93">
        <f>IFERROR(s_C*s_IFPC_far_adj*s_CF_peach*(1/1000)*(s_Irr!Q28+s_Irr!AP28+s_Irr!BO28),".")</f>
        <v>1771.5464849477178</v>
      </c>
      <c r="CS28" s="93">
        <f>IFERROR(s_C*s_IFPR_far_adj*s_CF_pear*(1/1000)*(s_Irr!R28+s_Irr!AQ28+s_Irr!BP28),".")</f>
        <v>1771.5464849477178</v>
      </c>
      <c r="CT28" s="93">
        <f>IFERROR(s_C*s_IFPE_far_adj*s_CF_peas*(1/1000)*(s_Irr!S28+s_Irr!AR28+s_Irr!BQ28),".")</f>
        <v>1793.1849938574705</v>
      </c>
      <c r="CU28" s="93">
        <f>IFERROR(s_C*s_IFPP_far_adj*s_CF_peppers*(1/1000)*(s_Irr!T28+s_Irr!AS28+s_Irr!BR28),".")</f>
        <v>1793.1849938574705</v>
      </c>
      <c r="CV28" s="93">
        <f>IFERROR(s_C*s_IFPT_far_adj*s_CF_potato*(1/1000)*(s_Irr!U28+s_Irr!AT28+s_Irr!BS28),".")</f>
        <v>1771.5464849477178</v>
      </c>
      <c r="CW28" s="93">
        <f>IFERROR(s_C*s_IFPU_far_adj*s_CF_pumpkin*(1/1000)*(s_Irr!V28+s_Irr!AU28+s_Irr!BT28),".")</f>
        <v>1793.1849938574705</v>
      </c>
      <c r="CX28" s="93">
        <f>IFERROR(s_C*s_IFSN_far_adj*s_CF_snap_bean*(1/1000)*(s_Irr!W28+s_Irr!AV28+s_Irr!BU28),".")</f>
        <v>1793.1849938574705</v>
      </c>
      <c r="CY28" s="93">
        <f>IFERROR(s_C*s_IFST_far_adj*s_CF_strawberry*(1/1000)*(s_Irr!X28+s_Irr!AW28+s_Irr!BV28),".")</f>
        <v>1771.5464849477178</v>
      </c>
      <c r="CZ28" s="93">
        <f>IFERROR(s_C*s_IFTO_far_adj*s_CF_tomato*(1/1000)*(s_Irr!Y28+s_Irr!AX28+s_Irr!BW28),".")</f>
        <v>1793.1849938574705</v>
      </c>
      <c r="DA28" s="93">
        <f>IFERROR(s_C*s_IFRI_far_adj*s_CF_rice*(1/1000)*(s_Irr!Z28+s_Irr!AY28+s_Irr!BX28),".")</f>
        <v>7779.8391255557553</v>
      </c>
      <c r="DB28" s="93">
        <f>IFERROR(s_C*s_IFCG_far_adj*s_CF_cereal*(1/1000)*(s_Irr!AA28+s_Irr!AZ28+s_Irr!BY28),".")</f>
        <v>1793.1849938574705</v>
      </c>
    </row>
    <row r="29" spans="1:106" ht="15" customHeight="1" x14ac:dyDescent="0.25">
      <c r="A29" s="92" t="s">
        <v>39</v>
      </c>
      <c r="B29" s="90" t="s">
        <v>1071</v>
      </c>
      <c r="C29" s="15" t="str">
        <f t="shared" si="3"/>
        <v>.</v>
      </c>
      <c r="D29" s="76" t="str">
        <f>IFERROR(IF(AND(s_Irr!C29&lt;&gt;".",s_Irr!AB29&lt;&gt;".",s_Irr!BA29&lt;&gt;"."),s_dir!D29/((1/1000)*(s_Irr!C29+s_Irr!AB29+s_Irr!BA29)),IF(AND(s_Irr!C29&lt;&gt;".",s_Irr!AB29&lt;&gt;".",s_Irr!BA29="."),s_dir!D29/((1/1000)*(s_Irr!C29+s_Irr!AB29)),IF(AND(s_Irr!C29&lt;&gt;".",s_Irr!AB29=".",s_Irr!BA29&lt;&gt;"."),s_dir!D29/((1/1000)*(s_Irr!C29+s_Irr!BA29)),IF(AND(s_Irr!C29=".",s_Irr!AB29&lt;&gt;".",s_Irr!BA29&lt;&gt;"."),s_dir!D29/((1/1000)*(s_Irr!AB29+s_Irr!BA29)),IF(AND(s_Irr!C29=".",s_Irr!AB29=".",s_Irr!BA29&lt;&gt;"."),s_dir!D29/((1/1000)*(s_Irr!BA29)),IF(AND(s_Irr!C29=".",s_Irr!AB29&lt;&gt;".",s_Irr!BA29="."),s_dir!D29/((1/1000)*(s_Irr!AB29)),IF(AND(s_Irr!C29&lt;&gt;".",s_Irr!AB29=".",s_Irr!BA29="."),s_dir!D29/((1/1000)*(s_Irr!C29)),IF(AND(s_Irr!C29=".",s_Irr!AB29=".",s_Irr!BA29="."),s_dir!D29*1000)))))))),".")</f>
        <v>.</v>
      </c>
      <c r="E29" s="76" t="str">
        <f>IFERROR(IF(AND(s_Irr!D29&lt;&gt;".",s_Irr!AC29&lt;&gt;".",s_Irr!BB29&lt;&gt;"."),s_dir!E29/((1/1000)*(s_Irr!D29+s_Irr!AC29+s_Irr!BB29)),IF(AND(s_Irr!D29&lt;&gt;".",s_Irr!AC29&lt;&gt;".",s_Irr!BB29="."),s_dir!E29/((1/1000)*(s_Irr!D29+s_Irr!AC29)),IF(AND(s_Irr!D29&lt;&gt;".",s_Irr!AC29=".",s_Irr!BB29&lt;&gt;"."),s_dir!E29/((1/1000)*(s_Irr!D29+s_Irr!BB29)),IF(AND(s_Irr!D29=".",s_Irr!AC29&lt;&gt;".",s_Irr!BB29&lt;&gt;"."),s_dir!E29/((1/1000)*(s_Irr!AC29+s_Irr!BB29)),IF(AND(s_Irr!D29=".",s_Irr!AC29=".",s_Irr!BB29&lt;&gt;"."),s_dir!E29/((1/1000)*(s_Irr!BB29)),IF(AND(s_Irr!D29=".",s_Irr!AC29&lt;&gt;".",s_Irr!BB29="."),s_dir!E29/((1/1000)*(s_Irr!AC29)),IF(AND(s_Irr!D29&lt;&gt;".",s_Irr!AC29=".",s_Irr!BB29="."),s_dir!E29/((1/1000)*(s_Irr!D29)),IF(AND(s_Irr!D29=".",s_Irr!AC29=".",s_Irr!BB29="."),s_dir!E29*1000)))))))),".")</f>
        <v>.</v>
      </c>
      <c r="F29" s="76" t="str">
        <f>IFERROR(IF(AND(s_Irr!E29&lt;&gt;".",s_Irr!AD29&lt;&gt;".",s_Irr!BC29&lt;&gt;"."),s_dir!F29/((1/1000)*(s_Irr!E29+s_Irr!AD29+s_Irr!BC29)),IF(AND(s_Irr!E29&lt;&gt;".",s_Irr!AD29&lt;&gt;".",s_Irr!BC29="."),s_dir!F29/((1/1000)*(s_Irr!E29+s_Irr!AD29)),IF(AND(s_Irr!E29&lt;&gt;".",s_Irr!AD29=".",s_Irr!BC29&lt;&gt;"."),s_dir!F29/((1/1000)*(s_Irr!E29+s_Irr!BC29)),IF(AND(s_Irr!E29=".",s_Irr!AD29&lt;&gt;".",s_Irr!BC29&lt;&gt;"."),s_dir!F29/((1/1000)*(s_Irr!AD29+s_Irr!BC29)),IF(AND(s_Irr!E29=".",s_Irr!AD29=".",s_Irr!BC29&lt;&gt;"."),s_dir!F29/((1/1000)*(s_Irr!BC29)),IF(AND(s_Irr!E29=".",s_Irr!AD29&lt;&gt;".",s_Irr!BC29="."),s_dir!F29/((1/1000)*(s_Irr!AD29)),IF(AND(s_Irr!E29&lt;&gt;".",s_Irr!AD29=".",s_Irr!BC29="."),s_dir!F29/((1/1000)*(s_Irr!E29)),IF(AND(s_Irr!E29=".",s_Irr!AD29=".",s_Irr!BC29="."),s_dir!F29*1000)))))))),".")</f>
        <v>.</v>
      </c>
      <c r="G29" s="76" t="str">
        <f>IFERROR(IF(AND(s_Irr!F29&lt;&gt;".",s_Irr!AE29&lt;&gt;".",s_Irr!BD29&lt;&gt;"."),s_dir!G29/((1/1000)*(s_Irr!F29+s_Irr!AE29+s_Irr!BD29)),IF(AND(s_Irr!F29&lt;&gt;".",s_Irr!AE29&lt;&gt;".",s_Irr!BD29="."),s_dir!G29/((1/1000)*(s_Irr!F29+s_Irr!AE29)),IF(AND(s_Irr!F29&lt;&gt;".",s_Irr!AE29=".",s_Irr!BD29&lt;&gt;"."),s_dir!G29/((1/1000)*(s_Irr!F29+s_Irr!BD29)),IF(AND(s_Irr!F29=".",s_Irr!AE29&lt;&gt;".",s_Irr!BD29&lt;&gt;"."),s_dir!G29/((1/1000)*(s_Irr!AE29+s_Irr!BD29)),IF(AND(s_Irr!F29=".",s_Irr!AE29=".",s_Irr!BD29&lt;&gt;"."),s_dir!G29/((1/1000)*(s_Irr!BD29)),IF(AND(s_Irr!F29=".",s_Irr!AE29&lt;&gt;".",s_Irr!BD29="."),s_dir!G29/((1/1000)*(s_Irr!AE29)),IF(AND(s_Irr!F29&lt;&gt;".",s_Irr!AE29=".",s_Irr!BD29="."),s_dir!G29/((1/1000)*(s_Irr!F29)),IF(AND(s_Irr!F29=".",s_Irr!AE29=".",s_Irr!BD29="."),s_dir!G29*1000)))))))),".")</f>
        <v>.</v>
      </c>
      <c r="H29" s="76" t="str">
        <f>IFERROR(IF(AND(s_Irr!G29&lt;&gt;".",s_Irr!AF29&lt;&gt;".",s_Irr!BE29&lt;&gt;"."),s_dir!H29/((1/1000)*(s_Irr!G29+s_Irr!AF29+s_Irr!BE29)),IF(AND(s_Irr!G29&lt;&gt;".",s_Irr!AF29&lt;&gt;".",s_Irr!BE29="."),s_dir!H29/((1/1000)*(s_Irr!G29+s_Irr!AF29)),IF(AND(s_Irr!G29&lt;&gt;".",s_Irr!AF29=".",s_Irr!BE29&lt;&gt;"."),s_dir!H29/((1/1000)*(s_Irr!G29+s_Irr!BE29)),IF(AND(s_Irr!G29=".",s_Irr!AF29&lt;&gt;".",s_Irr!BE29&lt;&gt;"."),s_dir!H29/((1/1000)*(s_Irr!AF29+s_Irr!BE29)),IF(AND(s_Irr!G29=".",s_Irr!AF29=".",s_Irr!BE29&lt;&gt;"."),s_dir!H29/((1/1000)*(s_Irr!BE29)),IF(AND(s_Irr!G29=".",s_Irr!AF29&lt;&gt;".",s_Irr!BE29="."),s_dir!H29/((1/1000)*(s_Irr!AF29)),IF(AND(s_Irr!G29&lt;&gt;".",s_Irr!AF29=".",s_Irr!BE29="."),s_dir!H29/((1/1000)*(s_Irr!G29)),IF(AND(s_Irr!G29=".",s_Irr!AF29=".",s_Irr!BE29="."),s_dir!H29*1000)))))))),".")</f>
        <v>.</v>
      </c>
      <c r="I29" s="76" t="str">
        <f>IFERROR(IF(AND(s_Irr!H29&lt;&gt;".",s_Irr!AG29&lt;&gt;".",s_Irr!BF29&lt;&gt;"."),s_dir!I29/((1/1000)*(s_Irr!H29+s_Irr!AG29+s_Irr!BF29)),IF(AND(s_Irr!H29&lt;&gt;".",s_Irr!AG29&lt;&gt;".",s_Irr!BF29="."),s_dir!I29/((1/1000)*(s_Irr!H29+s_Irr!AG29)),IF(AND(s_Irr!H29&lt;&gt;".",s_Irr!AG29=".",s_Irr!BF29&lt;&gt;"."),s_dir!I29/((1/1000)*(s_Irr!H29+s_Irr!BF29)),IF(AND(s_Irr!H29=".",s_Irr!AG29&lt;&gt;".",s_Irr!BF29&lt;&gt;"."),s_dir!I29/((1/1000)*(s_Irr!AG29+s_Irr!BF29)),IF(AND(s_Irr!H29=".",s_Irr!AG29=".",s_Irr!BF29&lt;&gt;"."),s_dir!I29/((1/1000)*(s_Irr!BF29)),IF(AND(s_Irr!H29=".",s_Irr!AG29&lt;&gt;".",s_Irr!BF29="."),s_dir!I29/((1/1000)*(s_Irr!AG29)),IF(AND(s_Irr!H29&lt;&gt;".",s_Irr!AG29=".",s_Irr!BF29="."),s_dir!I29/((1/1000)*(s_Irr!H29)),IF(AND(s_Irr!H29=".",s_Irr!AG29=".",s_Irr!BF29="."),s_dir!I29*1000)))))))),".")</f>
        <v>.</v>
      </c>
      <c r="J29" s="76" t="str">
        <f>IFERROR(IF(AND(s_Irr!I29&lt;&gt;".",s_Irr!AH29&lt;&gt;".",s_Irr!BG29&lt;&gt;"."),s_dir!J29/((1/1000)*(s_Irr!I29+s_Irr!AH29+s_Irr!BG29)),IF(AND(s_Irr!I29&lt;&gt;".",s_Irr!AH29&lt;&gt;".",s_Irr!BG29="."),s_dir!J29/((1/1000)*(s_Irr!I29+s_Irr!AH29)),IF(AND(s_Irr!I29&lt;&gt;".",s_Irr!AH29=".",s_Irr!BG29&lt;&gt;"."),s_dir!J29/((1/1000)*(s_Irr!I29+s_Irr!BG29)),IF(AND(s_Irr!I29=".",s_Irr!AH29&lt;&gt;".",s_Irr!BG29&lt;&gt;"."),s_dir!J29/((1/1000)*(s_Irr!AH29+s_Irr!BG29)),IF(AND(s_Irr!I29=".",s_Irr!AH29=".",s_Irr!BG29&lt;&gt;"."),s_dir!J29/((1/1000)*(s_Irr!BG29)),IF(AND(s_Irr!I29=".",s_Irr!AH29&lt;&gt;".",s_Irr!BG29="."),s_dir!J29/((1/1000)*(s_Irr!AH29)),IF(AND(s_Irr!I29&lt;&gt;".",s_Irr!AH29=".",s_Irr!BG29="."),s_dir!J29/((1/1000)*(s_Irr!I29)),IF(AND(s_Irr!I29=".",s_Irr!AH29=".",s_Irr!BG29="."),s_dir!J29*1000)))))))),".")</f>
        <v>.</v>
      </c>
      <c r="K29" s="76" t="str">
        <f>IFERROR(IF(AND(s_Irr!J29&lt;&gt;".",s_Irr!AI29&lt;&gt;".",s_Irr!BH29&lt;&gt;"."),s_dir!K29/((1/1000)*(s_Irr!J29+s_Irr!AI29+s_Irr!BH29)),IF(AND(s_Irr!J29&lt;&gt;".",s_Irr!AI29&lt;&gt;".",s_Irr!BH29="."),s_dir!K29/((1/1000)*(s_Irr!J29+s_Irr!AI29)),IF(AND(s_Irr!J29&lt;&gt;".",s_Irr!AI29=".",s_Irr!BH29&lt;&gt;"."),s_dir!K29/((1/1000)*(s_Irr!J29+s_Irr!BH29)),IF(AND(s_Irr!J29=".",s_Irr!AI29&lt;&gt;".",s_Irr!BH29&lt;&gt;"."),s_dir!K29/((1/1000)*(s_Irr!AI29+s_Irr!BH29)),IF(AND(s_Irr!J29=".",s_Irr!AI29=".",s_Irr!BH29&lt;&gt;"."),s_dir!K29/((1/1000)*(s_Irr!BH29)),IF(AND(s_Irr!J29=".",s_Irr!AI29&lt;&gt;".",s_Irr!BH29="."),s_dir!K29/((1/1000)*(s_Irr!AI29)),IF(AND(s_Irr!J29&lt;&gt;".",s_Irr!AI29=".",s_Irr!BH29="."),s_dir!K29/((1/1000)*(s_Irr!J29)),IF(AND(s_Irr!J29=".",s_Irr!AI29=".",s_Irr!BH29="."),s_dir!K29*1000)))))))),".")</f>
        <v>.</v>
      </c>
      <c r="L29" s="76" t="str">
        <f>IFERROR(IF(AND(s_Irr!K29&lt;&gt;".",s_Irr!AJ29&lt;&gt;".",s_Irr!BI29&lt;&gt;"."),s_dir!L29/((1/1000)*(s_Irr!K29+s_Irr!AJ29+s_Irr!BI29)),IF(AND(s_Irr!K29&lt;&gt;".",s_Irr!AJ29&lt;&gt;".",s_Irr!BI29="."),s_dir!L29/((1/1000)*(s_Irr!K29+s_Irr!AJ29)),IF(AND(s_Irr!K29&lt;&gt;".",s_Irr!AJ29=".",s_Irr!BI29&lt;&gt;"."),s_dir!L29/((1/1000)*(s_Irr!K29+s_Irr!BI29)),IF(AND(s_Irr!K29=".",s_Irr!AJ29&lt;&gt;".",s_Irr!BI29&lt;&gt;"."),s_dir!L29/((1/1000)*(s_Irr!AJ29+s_Irr!BI29)),IF(AND(s_Irr!K29=".",s_Irr!AJ29=".",s_Irr!BI29&lt;&gt;"."),s_dir!L29/((1/1000)*(s_Irr!BI29)),IF(AND(s_Irr!K29=".",s_Irr!AJ29&lt;&gt;".",s_Irr!BI29="."),s_dir!L29/((1/1000)*(s_Irr!AJ29)),IF(AND(s_Irr!K29&lt;&gt;".",s_Irr!AJ29=".",s_Irr!BI29="."),s_dir!L29/((1/1000)*(s_Irr!K29)),IF(AND(s_Irr!K29=".",s_Irr!AJ29=".",s_Irr!BI29="."),s_dir!L29*1000)))))))),".")</f>
        <v>.</v>
      </c>
      <c r="M29" s="76" t="str">
        <f>IFERROR(IF(AND(s_Irr!L29&lt;&gt;".",s_Irr!AK29&lt;&gt;".",s_Irr!BJ29&lt;&gt;"."),s_dir!M29/((1/1000)*(s_Irr!L29+s_Irr!AK29+s_Irr!BJ29)),IF(AND(s_Irr!L29&lt;&gt;".",s_Irr!AK29&lt;&gt;".",s_Irr!BJ29="."),s_dir!M29/((1/1000)*(s_Irr!L29+s_Irr!AK29)),IF(AND(s_Irr!L29&lt;&gt;".",s_Irr!AK29=".",s_Irr!BJ29&lt;&gt;"."),s_dir!M29/((1/1000)*(s_Irr!L29+s_Irr!BJ29)),IF(AND(s_Irr!L29=".",s_Irr!AK29&lt;&gt;".",s_Irr!BJ29&lt;&gt;"."),s_dir!M29/((1/1000)*(s_Irr!AK29+s_Irr!BJ29)),IF(AND(s_Irr!L29=".",s_Irr!AK29=".",s_Irr!BJ29&lt;&gt;"."),s_dir!M29/((1/1000)*(s_Irr!BJ29)),IF(AND(s_Irr!L29=".",s_Irr!AK29&lt;&gt;".",s_Irr!BJ29="."),s_dir!M29/((1/1000)*(s_Irr!AK29)),IF(AND(s_Irr!L29&lt;&gt;".",s_Irr!AK29=".",s_Irr!BJ29="."),s_dir!M29/((1/1000)*(s_Irr!L29)),IF(AND(s_Irr!L29=".",s_Irr!AK29=".",s_Irr!BJ29="."),s_dir!M29*1000)))))))),".")</f>
        <v>.</v>
      </c>
      <c r="N29" s="76" t="str">
        <f>IFERROR(IF(AND(s_Irr!M29&lt;&gt;".",s_Irr!AL29&lt;&gt;".",s_Irr!BK29&lt;&gt;"."),s_dir!N29/((1/1000)*(s_Irr!M29+s_Irr!AL29+s_Irr!BK29)),IF(AND(s_Irr!M29&lt;&gt;".",s_Irr!AL29&lt;&gt;".",s_Irr!BK29="."),s_dir!N29/((1/1000)*(s_Irr!M29+s_Irr!AL29)),IF(AND(s_Irr!M29&lt;&gt;".",s_Irr!AL29=".",s_Irr!BK29&lt;&gt;"."),s_dir!N29/((1/1000)*(s_Irr!M29+s_Irr!BK29)),IF(AND(s_Irr!M29=".",s_Irr!AL29&lt;&gt;".",s_Irr!BK29&lt;&gt;"."),s_dir!N29/((1/1000)*(s_Irr!AL29+s_Irr!BK29)),IF(AND(s_Irr!M29=".",s_Irr!AL29=".",s_Irr!BK29&lt;&gt;"."),s_dir!N29/((1/1000)*(s_Irr!BK29)),IF(AND(s_Irr!M29=".",s_Irr!AL29&lt;&gt;".",s_Irr!BK29="."),s_dir!N29/((1/1000)*(s_Irr!AL29)),IF(AND(s_Irr!M29&lt;&gt;".",s_Irr!AL29=".",s_Irr!BK29="."),s_dir!N29/((1/1000)*(s_Irr!M29)),IF(AND(s_Irr!M29=".",s_Irr!AL29=".",s_Irr!BK29="."),s_dir!N29*1000)))))))),".")</f>
        <v>.</v>
      </c>
      <c r="O29" s="76" t="str">
        <f>IFERROR(IF(AND(s_Irr!N29&lt;&gt;".",s_Irr!AM29&lt;&gt;".",s_Irr!BL29&lt;&gt;"."),s_dir!O29/((1/1000)*(s_Irr!N29+s_Irr!AM29+s_Irr!BL29)),IF(AND(s_Irr!N29&lt;&gt;".",s_Irr!AM29&lt;&gt;".",s_Irr!BL29="."),s_dir!O29/((1/1000)*(s_Irr!N29+s_Irr!AM29)),IF(AND(s_Irr!N29&lt;&gt;".",s_Irr!AM29=".",s_Irr!BL29&lt;&gt;"."),s_dir!O29/((1/1000)*(s_Irr!N29+s_Irr!BL29)),IF(AND(s_Irr!N29=".",s_Irr!AM29&lt;&gt;".",s_Irr!BL29&lt;&gt;"."),s_dir!O29/((1/1000)*(s_Irr!AM29+s_Irr!BL29)),IF(AND(s_Irr!N29=".",s_Irr!AM29=".",s_Irr!BL29&lt;&gt;"."),s_dir!O29/((1/1000)*(s_Irr!BL29)),IF(AND(s_Irr!N29=".",s_Irr!AM29&lt;&gt;".",s_Irr!BL29="."),s_dir!O29/((1/1000)*(s_Irr!AM29)),IF(AND(s_Irr!N29&lt;&gt;".",s_Irr!AM29=".",s_Irr!BL29="."),s_dir!O29/((1/1000)*(s_Irr!N29)),IF(AND(s_Irr!N29=".",s_Irr!AM29=".",s_Irr!BL29="."),s_dir!O29*1000)))))))),".")</f>
        <v>.</v>
      </c>
      <c r="P29" s="76" t="str">
        <f>IFERROR(IF(AND(s_Irr!O29&lt;&gt;".",s_Irr!AN29&lt;&gt;".",s_Irr!BM29&lt;&gt;"."),s_dir!P29/((1/1000)*(s_Irr!O29+s_Irr!AN29+s_Irr!BM29)),IF(AND(s_Irr!O29&lt;&gt;".",s_Irr!AN29&lt;&gt;".",s_Irr!BM29="."),s_dir!P29/((1/1000)*(s_Irr!O29+s_Irr!AN29)),IF(AND(s_Irr!O29&lt;&gt;".",s_Irr!AN29=".",s_Irr!BM29&lt;&gt;"."),s_dir!P29/((1/1000)*(s_Irr!O29+s_Irr!BM29)),IF(AND(s_Irr!O29=".",s_Irr!AN29&lt;&gt;".",s_Irr!BM29&lt;&gt;"."),s_dir!P29/((1/1000)*(s_Irr!AN29+s_Irr!BM29)),IF(AND(s_Irr!O29=".",s_Irr!AN29=".",s_Irr!BM29&lt;&gt;"."),s_dir!P29/((1/1000)*(s_Irr!BM29)),IF(AND(s_Irr!O29=".",s_Irr!AN29&lt;&gt;".",s_Irr!BM29="."),s_dir!P29/((1/1000)*(s_Irr!AN29)),IF(AND(s_Irr!O29&lt;&gt;".",s_Irr!AN29=".",s_Irr!BM29="."),s_dir!P29/((1/1000)*(s_Irr!O29)),IF(AND(s_Irr!O29=".",s_Irr!AN29=".",s_Irr!BM29="."),s_dir!P29*1000)))))))),".")</f>
        <v>.</v>
      </c>
      <c r="Q29" s="76" t="str">
        <f>IFERROR(IF(AND(s_Irr!P29&lt;&gt;".",s_Irr!AO29&lt;&gt;".",s_Irr!BN29&lt;&gt;"."),s_dir!Q29/((1/1000)*(s_Irr!P29+s_Irr!AO29+s_Irr!BN29)),IF(AND(s_Irr!P29&lt;&gt;".",s_Irr!AO29&lt;&gt;".",s_Irr!BN29="."),s_dir!Q29/((1/1000)*(s_Irr!P29+s_Irr!AO29)),IF(AND(s_Irr!P29&lt;&gt;".",s_Irr!AO29=".",s_Irr!BN29&lt;&gt;"."),s_dir!Q29/((1/1000)*(s_Irr!P29+s_Irr!BN29)),IF(AND(s_Irr!P29=".",s_Irr!AO29&lt;&gt;".",s_Irr!BN29&lt;&gt;"."),s_dir!Q29/((1/1000)*(s_Irr!AO29+s_Irr!BN29)),IF(AND(s_Irr!P29=".",s_Irr!AO29=".",s_Irr!BN29&lt;&gt;"."),s_dir!Q29/((1/1000)*(s_Irr!BN29)),IF(AND(s_Irr!P29=".",s_Irr!AO29&lt;&gt;".",s_Irr!BN29="."),s_dir!Q29/((1/1000)*(s_Irr!AO29)),IF(AND(s_Irr!P29&lt;&gt;".",s_Irr!AO29=".",s_Irr!BN29="."),s_dir!Q29/((1/1000)*(s_Irr!P29)),IF(AND(s_Irr!P29=".",s_Irr!AO29=".",s_Irr!BN29="."),s_dir!Q29*1000)))))))),".")</f>
        <v>.</v>
      </c>
      <c r="R29" s="76" t="str">
        <f>IFERROR(IF(AND(s_Irr!Q29&lt;&gt;".",s_Irr!AP29&lt;&gt;".",s_Irr!BO29&lt;&gt;"."),s_dir!R29/((1/1000)*(s_Irr!Q29+s_Irr!AP29+s_Irr!BO29)),IF(AND(s_Irr!Q29&lt;&gt;".",s_Irr!AP29&lt;&gt;".",s_Irr!BO29="."),s_dir!R29/((1/1000)*(s_Irr!Q29+s_Irr!AP29)),IF(AND(s_Irr!Q29&lt;&gt;".",s_Irr!AP29=".",s_Irr!BO29&lt;&gt;"."),s_dir!R29/((1/1000)*(s_Irr!Q29+s_Irr!BO29)),IF(AND(s_Irr!Q29=".",s_Irr!AP29&lt;&gt;".",s_Irr!BO29&lt;&gt;"."),s_dir!R29/((1/1000)*(s_Irr!AP29+s_Irr!BO29)),IF(AND(s_Irr!Q29=".",s_Irr!AP29=".",s_Irr!BO29&lt;&gt;"."),s_dir!R29/((1/1000)*(s_Irr!BO29)),IF(AND(s_Irr!Q29=".",s_Irr!AP29&lt;&gt;".",s_Irr!BO29="."),s_dir!R29/((1/1000)*(s_Irr!AP29)),IF(AND(s_Irr!Q29&lt;&gt;".",s_Irr!AP29=".",s_Irr!BO29="."),s_dir!R29/((1/1000)*(s_Irr!Q29)),IF(AND(s_Irr!Q29=".",s_Irr!AP29=".",s_Irr!BO29="."),s_dir!R29*1000)))))))),".")</f>
        <v>.</v>
      </c>
      <c r="S29" s="76" t="str">
        <f>IFERROR(IF(AND(s_Irr!R29&lt;&gt;".",s_Irr!AQ29&lt;&gt;".",s_Irr!BP29&lt;&gt;"."),s_dir!S29/((1/1000)*(s_Irr!R29+s_Irr!AQ29+s_Irr!BP29)),IF(AND(s_Irr!R29&lt;&gt;".",s_Irr!AQ29&lt;&gt;".",s_Irr!BP29="."),s_dir!S29/((1/1000)*(s_Irr!R29+s_Irr!AQ29)),IF(AND(s_Irr!R29&lt;&gt;".",s_Irr!AQ29=".",s_Irr!BP29&lt;&gt;"."),s_dir!S29/((1/1000)*(s_Irr!R29+s_Irr!BP29)),IF(AND(s_Irr!R29=".",s_Irr!AQ29&lt;&gt;".",s_Irr!BP29&lt;&gt;"."),s_dir!S29/((1/1000)*(s_Irr!AQ29+s_Irr!BP29)),IF(AND(s_Irr!R29=".",s_Irr!AQ29=".",s_Irr!BP29&lt;&gt;"."),s_dir!S29/((1/1000)*(s_Irr!BP29)),IF(AND(s_Irr!R29=".",s_Irr!AQ29&lt;&gt;".",s_Irr!BP29="."),s_dir!S29/((1/1000)*(s_Irr!AQ29)),IF(AND(s_Irr!R29&lt;&gt;".",s_Irr!AQ29=".",s_Irr!BP29="."),s_dir!S29/((1/1000)*(s_Irr!R29)),IF(AND(s_Irr!R29=".",s_Irr!AQ29=".",s_Irr!BP29="."),s_dir!S29*1000)))))))),".")</f>
        <v>.</v>
      </c>
      <c r="T29" s="76" t="str">
        <f>IFERROR(IF(AND(s_Irr!S29&lt;&gt;".",s_Irr!AR29&lt;&gt;".",s_Irr!BQ29&lt;&gt;"."),s_dir!T29/((1/1000)*(s_Irr!S29+s_Irr!AR29+s_Irr!BQ29)),IF(AND(s_Irr!S29&lt;&gt;".",s_Irr!AR29&lt;&gt;".",s_Irr!BQ29="."),s_dir!T29/((1/1000)*(s_Irr!S29+s_Irr!AR29)),IF(AND(s_Irr!S29&lt;&gt;".",s_Irr!AR29=".",s_Irr!BQ29&lt;&gt;"."),s_dir!T29/((1/1000)*(s_Irr!S29+s_Irr!BQ29)),IF(AND(s_Irr!S29=".",s_Irr!AR29&lt;&gt;".",s_Irr!BQ29&lt;&gt;"."),s_dir!T29/((1/1000)*(s_Irr!AR29+s_Irr!BQ29)),IF(AND(s_Irr!S29=".",s_Irr!AR29=".",s_Irr!BQ29&lt;&gt;"."),s_dir!T29/((1/1000)*(s_Irr!BQ29)),IF(AND(s_Irr!S29=".",s_Irr!AR29&lt;&gt;".",s_Irr!BQ29="."),s_dir!T29/((1/1000)*(s_Irr!AR29)),IF(AND(s_Irr!S29&lt;&gt;".",s_Irr!AR29=".",s_Irr!BQ29="."),s_dir!T29/((1/1000)*(s_Irr!S29)),IF(AND(s_Irr!S29=".",s_Irr!AR29=".",s_Irr!BQ29="."),s_dir!T29*1000)))))))),".")</f>
        <v>.</v>
      </c>
      <c r="U29" s="76" t="str">
        <f>IFERROR(IF(AND(s_Irr!T29&lt;&gt;".",s_Irr!AS29&lt;&gt;".",s_Irr!BR29&lt;&gt;"."),s_dir!U29/((1/1000)*(s_Irr!T29+s_Irr!AS29+s_Irr!BR29)),IF(AND(s_Irr!T29&lt;&gt;".",s_Irr!AS29&lt;&gt;".",s_Irr!BR29="."),s_dir!U29/((1/1000)*(s_Irr!T29+s_Irr!AS29)),IF(AND(s_Irr!T29&lt;&gt;".",s_Irr!AS29=".",s_Irr!BR29&lt;&gt;"."),s_dir!U29/((1/1000)*(s_Irr!T29+s_Irr!BR29)),IF(AND(s_Irr!T29=".",s_Irr!AS29&lt;&gt;".",s_Irr!BR29&lt;&gt;"."),s_dir!U29/((1/1000)*(s_Irr!AS29+s_Irr!BR29)),IF(AND(s_Irr!T29=".",s_Irr!AS29=".",s_Irr!BR29&lt;&gt;"."),s_dir!U29/((1/1000)*(s_Irr!BR29)),IF(AND(s_Irr!T29=".",s_Irr!AS29&lt;&gt;".",s_Irr!BR29="."),s_dir!U29/((1/1000)*(s_Irr!AS29)),IF(AND(s_Irr!T29&lt;&gt;".",s_Irr!AS29=".",s_Irr!BR29="."),s_dir!U29/((1/1000)*(s_Irr!T29)),IF(AND(s_Irr!T29=".",s_Irr!AS29=".",s_Irr!BR29="."),s_dir!U29*1000)))))))),".")</f>
        <v>.</v>
      </c>
      <c r="V29" s="76" t="str">
        <f>IFERROR(IF(AND(s_Irr!U29&lt;&gt;".",s_Irr!AT29&lt;&gt;".",s_Irr!BS29&lt;&gt;"."),s_dir!V29/((1/1000)*(s_Irr!U29+s_Irr!AT29+s_Irr!BS29)),IF(AND(s_Irr!U29&lt;&gt;".",s_Irr!AT29&lt;&gt;".",s_Irr!BS29="."),s_dir!V29/((1/1000)*(s_Irr!U29+s_Irr!AT29)),IF(AND(s_Irr!U29&lt;&gt;".",s_Irr!AT29=".",s_Irr!BS29&lt;&gt;"."),s_dir!V29/((1/1000)*(s_Irr!U29+s_Irr!BS29)),IF(AND(s_Irr!U29=".",s_Irr!AT29&lt;&gt;".",s_Irr!BS29&lt;&gt;"."),s_dir!V29/((1/1000)*(s_Irr!AT29+s_Irr!BS29)),IF(AND(s_Irr!U29=".",s_Irr!AT29=".",s_Irr!BS29&lt;&gt;"."),s_dir!V29/((1/1000)*(s_Irr!BS29)),IF(AND(s_Irr!U29=".",s_Irr!AT29&lt;&gt;".",s_Irr!BS29="."),s_dir!V29/((1/1000)*(s_Irr!AT29)),IF(AND(s_Irr!U29&lt;&gt;".",s_Irr!AT29=".",s_Irr!BS29="."),s_dir!V29/((1/1000)*(s_Irr!U29)),IF(AND(s_Irr!U29=".",s_Irr!AT29=".",s_Irr!BS29="."),s_dir!V29*1000)))))))),".")</f>
        <v>.</v>
      </c>
      <c r="W29" s="76" t="str">
        <f>IFERROR(IF(AND(s_Irr!V29&lt;&gt;".",s_Irr!AU29&lt;&gt;".",s_Irr!BT29&lt;&gt;"."),s_dir!W29/((1/1000)*(s_Irr!V29+s_Irr!AU29+s_Irr!BT29)),IF(AND(s_Irr!V29&lt;&gt;".",s_Irr!AU29&lt;&gt;".",s_Irr!BT29="."),s_dir!W29/((1/1000)*(s_Irr!V29+s_Irr!AU29)),IF(AND(s_Irr!V29&lt;&gt;".",s_Irr!AU29=".",s_Irr!BT29&lt;&gt;"."),s_dir!W29/((1/1000)*(s_Irr!V29+s_Irr!BT29)),IF(AND(s_Irr!V29=".",s_Irr!AU29&lt;&gt;".",s_Irr!BT29&lt;&gt;"."),s_dir!W29/((1/1000)*(s_Irr!AU29+s_Irr!BT29)),IF(AND(s_Irr!V29=".",s_Irr!AU29=".",s_Irr!BT29&lt;&gt;"."),s_dir!W29/((1/1000)*(s_Irr!BT29)),IF(AND(s_Irr!V29=".",s_Irr!AU29&lt;&gt;".",s_Irr!BT29="."),s_dir!W29/((1/1000)*(s_Irr!AU29)),IF(AND(s_Irr!V29&lt;&gt;".",s_Irr!AU29=".",s_Irr!BT29="."),s_dir!W29/((1/1000)*(s_Irr!V29)),IF(AND(s_Irr!V29=".",s_Irr!AU29=".",s_Irr!BT29="."),s_dir!W29*1000)))))))),".")</f>
        <v>.</v>
      </c>
      <c r="X29" s="76" t="str">
        <f>IFERROR(IF(AND(s_Irr!W29&lt;&gt;".",s_Irr!AV29&lt;&gt;".",s_Irr!BU29&lt;&gt;"."),s_dir!X29/((1/1000)*(s_Irr!W29+s_Irr!AV29+s_Irr!BU29)),IF(AND(s_Irr!W29&lt;&gt;".",s_Irr!AV29&lt;&gt;".",s_Irr!BU29="."),s_dir!X29/((1/1000)*(s_Irr!W29+s_Irr!AV29)),IF(AND(s_Irr!W29&lt;&gt;".",s_Irr!AV29=".",s_Irr!BU29&lt;&gt;"."),s_dir!X29/((1/1000)*(s_Irr!W29+s_Irr!BU29)),IF(AND(s_Irr!W29=".",s_Irr!AV29&lt;&gt;".",s_Irr!BU29&lt;&gt;"."),s_dir!X29/((1/1000)*(s_Irr!AV29+s_Irr!BU29)),IF(AND(s_Irr!W29=".",s_Irr!AV29=".",s_Irr!BU29&lt;&gt;"."),s_dir!X29/((1/1000)*(s_Irr!BU29)),IF(AND(s_Irr!W29=".",s_Irr!AV29&lt;&gt;".",s_Irr!BU29="."),s_dir!X29/((1/1000)*(s_Irr!AV29)),IF(AND(s_Irr!W29&lt;&gt;".",s_Irr!AV29=".",s_Irr!BU29="."),s_dir!X29/((1/1000)*(s_Irr!W29)),IF(AND(s_Irr!W29=".",s_Irr!AV29=".",s_Irr!BU29="."),s_dir!X29*1000)))))))),".")</f>
        <v>.</v>
      </c>
      <c r="Y29" s="76" t="str">
        <f>IFERROR(IF(AND(s_Irr!X29&lt;&gt;".",s_Irr!AW29&lt;&gt;".",s_Irr!BV29&lt;&gt;"."),s_dir!Y29/((1/1000)*(s_Irr!X29+s_Irr!AW29+s_Irr!BV29)),IF(AND(s_Irr!X29&lt;&gt;".",s_Irr!AW29&lt;&gt;".",s_Irr!BV29="."),s_dir!Y29/((1/1000)*(s_Irr!X29+s_Irr!AW29)),IF(AND(s_Irr!X29&lt;&gt;".",s_Irr!AW29=".",s_Irr!BV29&lt;&gt;"."),s_dir!Y29/((1/1000)*(s_Irr!X29+s_Irr!BV29)),IF(AND(s_Irr!X29=".",s_Irr!AW29&lt;&gt;".",s_Irr!BV29&lt;&gt;"."),s_dir!Y29/((1/1000)*(s_Irr!AW29+s_Irr!BV29)),IF(AND(s_Irr!X29=".",s_Irr!AW29=".",s_Irr!BV29&lt;&gt;"."),s_dir!Y29/((1/1000)*(s_Irr!BV29)),IF(AND(s_Irr!X29=".",s_Irr!AW29&lt;&gt;".",s_Irr!BV29="."),s_dir!Y29/((1/1000)*(s_Irr!AW29)),IF(AND(s_Irr!X29&lt;&gt;".",s_Irr!AW29=".",s_Irr!BV29="."),s_dir!Y29/((1/1000)*(s_Irr!X29)),IF(AND(s_Irr!X29=".",s_Irr!AW29=".",s_Irr!BV29="."),s_dir!Y29*1000)))))))),".")</f>
        <v>.</v>
      </c>
      <c r="Z29" s="76" t="str">
        <f>IFERROR(IF(AND(s_Irr!Y29&lt;&gt;".",s_Irr!AX29&lt;&gt;".",s_Irr!BW29&lt;&gt;"."),s_dir!Z29/((1/1000)*(s_Irr!Y29+s_Irr!AX29+s_Irr!BW29)),IF(AND(s_Irr!Y29&lt;&gt;".",s_Irr!AX29&lt;&gt;".",s_Irr!BW29="."),s_dir!Z29/((1/1000)*(s_Irr!Y29+s_Irr!AX29)),IF(AND(s_Irr!Y29&lt;&gt;".",s_Irr!AX29=".",s_Irr!BW29&lt;&gt;"."),s_dir!Z29/((1/1000)*(s_Irr!Y29+s_Irr!BW29)),IF(AND(s_Irr!Y29=".",s_Irr!AX29&lt;&gt;".",s_Irr!BW29&lt;&gt;"."),s_dir!Z29/((1/1000)*(s_Irr!AX29+s_Irr!BW29)),IF(AND(s_Irr!Y29=".",s_Irr!AX29=".",s_Irr!BW29&lt;&gt;"."),s_dir!Z29/((1/1000)*(s_Irr!BW29)),IF(AND(s_Irr!Y29=".",s_Irr!AX29&lt;&gt;".",s_Irr!BW29="."),s_dir!Z29/((1/1000)*(s_Irr!AX29)),IF(AND(s_Irr!Y29&lt;&gt;".",s_Irr!AX29=".",s_Irr!BW29="."),s_dir!Z29/((1/1000)*(s_Irr!Y29)),IF(AND(s_Irr!Y29=".",s_Irr!AX29=".",s_Irr!BW29="."),s_dir!Z29*1000)))))))),".")</f>
        <v>.</v>
      </c>
      <c r="AA29" s="76" t="str">
        <f>IFERROR(IF(AND(s_Irr!Z29&lt;&gt;".",s_Irr!AY29&lt;&gt;".",s_Irr!BX29&lt;&gt;"."),s_dir!AA29/((1/1000)*(s_Irr!Z29+s_Irr!AY29+s_Irr!BX29)),IF(AND(s_Irr!Z29&lt;&gt;".",s_Irr!AY29&lt;&gt;".",s_Irr!BX29="."),s_dir!AA29/((1/1000)*(s_Irr!Z29+s_Irr!AY29)),IF(AND(s_Irr!Z29&lt;&gt;".",s_Irr!AY29=".",s_Irr!BX29&lt;&gt;"."),s_dir!AA29/((1/1000)*(s_Irr!Z29+s_Irr!BX29)),IF(AND(s_Irr!Z29=".",s_Irr!AY29&lt;&gt;".",s_Irr!BX29&lt;&gt;"."),s_dir!AA29/((1/1000)*(s_Irr!AY29+s_Irr!BX29)),IF(AND(s_Irr!Z29=".",s_Irr!AY29=".",s_Irr!BX29&lt;&gt;"."),s_dir!AA29/((1/1000)*(s_Irr!BX29)),IF(AND(s_Irr!Z29=".",s_Irr!AY29&lt;&gt;".",s_Irr!BX29="."),s_dir!AA29/((1/1000)*(s_Irr!AY29)),IF(AND(s_Irr!Z29&lt;&gt;".",s_Irr!AY29=".",s_Irr!BX29="."),s_dir!AA29/((1/1000)*(s_Irr!Z29)),IF(AND(s_Irr!Z29=".",s_Irr!AY29=".",s_Irr!BX29="."),s_dir!AA29*1000)))))))),".")</f>
        <v>.</v>
      </c>
      <c r="AB29" s="76" t="str">
        <f>IFERROR(IF(AND(s_Irr!AA29&lt;&gt;".",s_Irr!AZ29&lt;&gt;".",s_Irr!BY29&lt;&gt;"."),s_dir!AB29/((1/1000)*(s_Irr!AA29+s_Irr!AZ29+s_Irr!BY29)),IF(AND(s_Irr!AA29&lt;&gt;".",s_Irr!AZ29&lt;&gt;".",s_Irr!BY29="."),s_dir!AB29/((1/1000)*(s_Irr!AA29+s_Irr!AZ29)),IF(AND(s_Irr!AA29&lt;&gt;".",s_Irr!AZ29=".",s_Irr!BY29&lt;&gt;"."),s_dir!AB29/((1/1000)*(s_Irr!AA29+s_Irr!BY29)),IF(AND(s_Irr!AA29=".",s_Irr!AZ29&lt;&gt;".",s_Irr!BY29&lt;&gt;"."),s_dir!AB29/((1/1000)*(s_Irr!AZ29+s_Irr!BY29)),IF(AND(s_Irr!AA29=".",s_Irr!AZ29=".",s_Irr!BY29&lt;&gt;"."),s_dir!AB29/((1/1000)*(s_Irr!BY29)),IF(AND(s_Irr!AA29=".",s_Irr!AZ29&lt;&gt;".",s_Irr!BY29="."),s_dir!AB29/((1/1000)*(s_Irr!AZ29)),IF(AND(s_Irr!AA29&lt;&gt;".",s_Irr!AZ29=".",s_Irr!BY29="."),s_dir!AB29/((1/1000)*(s_Irr!AA29)),IF(AND(s_Irr!AA29=".",s_Irr!AZ29=".",s_Irr!BY29="."),s_dir!AB29*1000)))))))),".")</f>
        <v>.</v>
      </c>
      <c r="AC29" s="93">
        <f t="shared" si="5"/>
        <v>13137.755598218413</v>
      </c>
      <c r="AD29" s="93">
        <f>IFERROR(s_C*s_IFAP_res_adj*s_CF_apple*0.001*(s_Irr!C29+s_Irr!AB29+s_Irr!BA29),".")</f>
        <v>1771.5464849477178</v>
      </c>
      <c r="AE29" s="93">
        <f>IFERROR(s_C*s_IFAS_res_adj*s_CF_asparagus*0.001*(s_Irr!D29+s_Irr!AC29+s_Irr!BB29),".")</f>
        <v>1793.1849938574705</v>
      </c>
      <c r="AF29" s="93">
        <f>IFERROR(s_C*s_IFBT_res_adj*s_CF_beet*0.001*(s_Irr!E29+s_Irr!AD29+s_Irr!BC29),".")</f>
        <v>1771.5464849477178</v>
      </c>
      <c r="AG29" s="93">
        <f>IFERROR(s_C*s_IFBE_res_adj*s_CF_berries*0.001*(s_Irr!F29+s_Irr!AE29+s_Irr!BD29),".")</f>
        <v>1771.5464849477178</v>
      </c>
      <c r="AH29" s="93">
        <f>IFERROR(s_C*s_IFBR_res_adj*s_CF_broccoli*0.001*(s_Irr!G29+s_Irr!AF29+s_Irr!BE29),".")</f>
        <v>1793.1849938574705</v>
      </c>
      <c r="AI29" s="93">
        <f>IFERROR(s_C*s_IFCB_res_adj*s_CF_cabbage*0.001*(s_Irr!H29+s_Irr!AG29+s_Irr!BF29),".")</f>
        <v>1793.1849938574705</v>
      </c>
      <c r="AJ29" s="93">
        <f>IFERROR(s_C*s_IFCR_res_adj*s_CF_carrot*0.001*(s_Irr!I29+s_Irr!AH29+s_Irr!BG29),".")</f>
        <v>1771.5464849477178</v>
      </c>
      <c r="AK29" s="93">
        <f>IFERROR(s_C*s_IFCI_res_adj*s_CF_citrus*0.001*(s_Irr!J29+s_Irr!AI29+s_Irr!BH29),".")</f>
        <v>1771.5464849477178</v>
      </c>
      <c r="AL29" s="93">
        <f>IFERROR(s_C*s_IFCO_res_adj*s_CF_corn*0.001*(s_Irr!K29+s_Irr!AJ29+s_Irr!BI29),".")</f>
        <v>1793.1849938574705</v>
      </c>
      <c r="AM29" s="93">
        <f>IFERROR(s_C*s_IFCU_res_adj*s_CF_cucumber*0.001*(s_Irr!L29+s_Irr!AK29+s_Irr!BJ29),".")</f>
        <v>1793.1849938574705</v>
      </c>
      <c r="AN29" s="93">
        <f>IFERROR(s_C*s_IFLE_res_adj*s_CF_lettuce*0.001*(s_Irr!M29+s_Irr!AL29+s_Irr!BK29),".")</f>
        <v>1793.1849938574705</v>
      </c>
      <c r="AO29" s="93">
        <f>IFERROR(s_C*s_IFLI_res_adj*s_CF_lima_bean*0.001*(s_Irr!N29+s_Irr!AM29+s_Irr!BL29),".")</f>
        <v>1793.1849938574705</v>
      </c>
      <c r="AP29" s="93">
        <f>IFERROR(s_C*s_IFOK_res_adj*s_CF_okra*0.001*(s_Irr!O29+s_Irr!AN29+s_Irr!BM29),".")</f>
        <v>1793.1849938574705</v>
      </c>
      <c r="AQ29" s="93">
        <f>IFERROR(s_C*s_IFON_res_adj*s_CF_onion*0.001*(s_Irr!P29+s_Irr!AO29+s_Irr!BN29),".")</f>
        <v>1771.5464849477178</v>
      </c>
      <c r="AR29" s="93">
        <f>IFERROR(s_C*s_IFPC_res_adj*s_CF_peach*0.001*(s_Irr!Q29+s_Irr!AP29+s_Irr!BO29),".")</f>
        <v>1771.5464849477178</v>
      </c>
      <c r="AS29" s="93">
        <f>IFERROR(s_C*s_IFPR_res_adj*s_CF_pear*0.001*(s_Irr!R29+s_Irr!AQ29+s_Irr!BP29),".")</f>
        <v>1771.5464849477178</v>
      </c>
      <c r="AT29" s="93">
        <f>IFERROR(s_C*s_IFPE_res_adj*s_CF_peas*0.001*(s_Irr!S29+s_Irr!AR29+s_Irr!BQ29),".")</f>
        <v>1793.1849938574705</v>
      </c>
      <c r="AU29" s="93">
        <f>IFERROR(s_C*s_IFPP_res_adj*s_CF_peppers*0.001*(s_Irr!T29+s_Irr!AS29+s_Irr!BR29),".")</f>
        <v>1793.1849938574705</v>
      </c>
      <c r="AV29" s="93">
        <f>IFERROR(s_C*s_IFPT_res_adj*s_CF_potato*0.001*(s_Irr!U29+s_Irr!AT29+s_Irr!BS29),".")</f>
        <v>1771.5464849477178</v>
      </c>
      <c r="AW29" s="93">
        <f>IFERROR(s_C*s_IFPU_res_adj*s_CF_pumpkin*0.001*(s_Irr!V29+s_Irr!AU29+s_Irr!BT29),".")</f>
        <v>1793.1849938574705</v>
      </c>
      <c r="AX29" s="93">
        <f>IFERROR(s_C*s_IFSN_res_adj*s_CF_snap_bean*0.001*(s_Irr!W29+s_Irr!AV29+s_Irr!BU29),".")</f>
        <v>1793.1849938574705</v>
      </c>
      <c r="AY29" s="93">
        <f>IFERROR(s_C*s_IFST_res_adj*s_CF_strawberry*0.001*(s_Irr!X29+s_Irr!AW29+s_Irr!BV29),".")</f>
        <v>1771.5464849477178</v>
      </c>
      <c r="AZ29" s="93">
        <f>IFERROR(s_C*s_IFTO_res_adj*s_CF_tomato*0.001*(s_Irr!Y29+s_Irr!AX29+s_Irr!BW29),".")</f>
        <v>1793.1849938574705</v>
      </c>
      <c r="BA29" s="93">
        <f>IFERROR(s_C*s_IFRI_res_adj*s_CF_rice*0.001*(s_Irr!Z29+s_Irr!AY29+s_Irr!BX29),".")</f>
        <v>7779.8391255557553</v>
      </c>
      <c r="BB29" s="93">
        <f>IFERROR(s_C*s_IFCG_res_adj*s_CF_cereal*0.001*(s_Irr!AA29+s_Irr!AZ29+s_Irr!BY29),".")</f>
        <v>1793.1849938574705</v>
      </c>
      <c r="BC29" s="76" t="str">
        <f t="shared" si="1"/>
        <v>.</v>
      </c>
      <c r="BD29" s="76" t="str">
        <f>IFERROR(IF(AND(s_Irr!C29&lt;&gt;".",s_Irr!AB29&lt;&gt;".",s_Irr!BA29&lt;&gt;"."),s_dir!AD29/((1/1000)*(s_Irr!C29+s_Irr!AB29+s_Irr!BA29)),IF(AND(s_Irr!C29&lt;&gt;".",s_Irr!AB29&lt;&gt;".",s_Irr!BA29="."),s_dir!AD29/((1/1000)*(s_Irr!C29+s_Irr!AB29)),IF(AND(s_Irr!C29&lt;&gt;".",s_Irr!AB29=".",s_Irr!BA29&lt;&gt;"."),s_dir!AD29/((1/1000)*(s_Irr!C29+s_Irr!BA29)),IF(AND(s_Irr!C29=".",s_Irr!AB29&lt;&gt;".",s_Irr!BA29&lt;&gt;"."),s_dir!AD29/((1/1000)*(s_Irr!AB29+s_Irr!BA29)),IF(AND(s_Irr!C29=".",s_Irr!AB29=".",s_Irr!BA29&lt;&gt;"."),s_dir!AD29/((1/1000)*(s_Irr!BA29)),IF(AND(s_Irr!C29=".",s_Irr!AB29&lt;&gt;".",s_Irr!BA29="."),s_dir!AD29/((1/1000)*(s_Irr!AB29)),IF(AND(s_Irr!C29&lt;&gt;".",s_Irr!AB29=".",s_Irr!BA29="."),s_dir!AD29/((1/1000)*(s_Irr!C29)),IF(AND(s_Irr!C29=".",s_Irr!AB29=".",s_Irr!BA29="."),s_dir!AD29*1000)))))))),".")</f>
        <v>.</v>
      </c>
      <c r="BE29" s="76" t="str">
        <f>IFERROR(IF(AND(s_Irr!D29&lt;&gt;".",s_Irr!AC29&lt;&gt;".",s_Irr!BB29&lt;&gt;"."),s_dir!AE29/((1/1000)*(s_Irr!D29+s_Irr!AC29+s_Irr!BB29)),IF(AND(s_Irr!D29&lt;&gt;".",s_Irr!AC29&lt;&gt;".",s_Irr!BB29="."),s_dir!AE29/((1/1000)*(s_Irr!D29+s_Irr!AC29)),IF(AND(s_Irr!D29&lt;&gt;".",s_Irr!AC29=".",s_Irr!BB29&lt;&gt;"."),s_dir!AE29/((1/1000)*(s_Irr!D29+s_Irr!BB29)),IF(AND(s_Irr!D29=".",s_Irr!AC29&lt;&gt;".",s_Irr!BB29&lt;&gt;"."),s_dir!AE29/((1/1000)*(s_Irr!AC29+s_Irr!BB29)),IF(AND(s_Irr!D29=".",s_Irr!AC29=".",s_Irr!BB29&lt;&gt;"."),s_dir!AE29/((1/1000)*(s_Irr!BB29)),IF(AND(s_Irr!D29=".",s_Irr!AC29&lt;&gt;".",s_Irr!BB29="."),s_dir!AE29/((1/1000)*(s_Irr!AC29)),IF(AND(s_Irr!D29&lt;&gt;".",s_Irr!AC29=".",s_Irr!BB29="."),s_dir!AE29/((1/1000)*(s_Irr!D29)),IF(AND(s_Irr!D29=".",s_Irr!AC29=".",s_Irr!BB29="."),s_dir!AE29*1000)))))))),".")</f>
        <v>.</v>
      </c>
      <c r="BF29" s="76" t="str">
        <f>IFERROR(IF(AND(s_Irr!E29&lt;&gt;".",s_Irr!AD29&lt;&gt;".",s_Irr!BC29&lt;&gt;"."),s_dir!AF29/((1/1000)*(s_Irr!E29+s_Irr!AD29+s_Irr!BC29)),IF(AND(s_Irr!E29&lt;&gt;".",s_Irr!AD29&lt;&gt;".",s_Irr!BC29="."),s_dir!AF29/((1/1000)*(s_Irr!E29+s_Irr!AD29)),IF(AND(s_Irr!E29&lt;&gt;".",s_Irr!AD29=".",s_Irr!BC29&lt;&gt;"."),s_dir!AF29/((1/1000)*(s_Irr!E29+s_Irr!BC29)),IF(AND(s_Irr!E29=".",s_Irr!AD29&lt;&gt;".",s_Irr!BC29&lt;&gt;"."),s_dir!AF29/((1/1000)*(s_Irr!AD29+s_Irr!BC29)),IF(AND(s_Irr!E29=".",s_Irr!AD29=".",s_Irr!BC29&lt;&gt;"."),s_dir!AF29/((1/1000)*(s_Irr!BC29)),IF(AND(s_Irr!E29=".",s_Irr!AD29&lt;&gt;".",s_Irr!BC29="."),s_dir!AF29/((1/1000)*(s_Irr!AD29)),IF(AND(s_Irr!E29&lt;&gt;".",s_Irr!AD29=".",s_Irr!BC29="."),s_dir!AF29/((1/1000)*(s_Irr!E29)),IF(AND(s_Irr!E29=".",s_Irr!AD29=".",s_Irr!BC29="."),s_dir!AF29*1000)))))))),".")</f>
        <v>.</v>
      </c>
      <c r="BG29" s="76" t="str">
        <f>IFERROR(IF(AND(s_Irr!F29&lt;&gt;".",s_Irr!AE29&lt;&gt;".",s_Irr!BD29&lt;&gt;"."),s_dir!AG29/((1/1000)*(s_Irr!F29+s_Irr!AE29+s_Irr!BD29)),IF(AND(s_Irr!F29&lt;&gt;".",s_Irr!AE29&lt;&gt;".",s_Irr!BD29="."),s_dir!AG29/((1/1000)*(s_Irr!F29+s_Irr!AE29)),IF(AND(s_Irr!F29&lt;&gt;".",s_Irr!AE29=".",s_Irr!BD29&lt;&gt;"."),s_dir!AG29/((1/1000)*(s_Irr!F29+s_Irr!BD29)),IF(AND(s_Irr!F29=".",s_Irr!AE29&lt;&gt;".",s_Irr!BD29&lt;&gt;"."),s_dir!AG29/((1/1000)*(s_Irr!AE29+s_Irr!BD29)),IF(AND(s_Irr!F29=".",s_Irr!AE29=".",s_Irr!BD29&lt;&gt;"."),s_dir!AG29/((1/1000)*(s_Irr!BD29)),IF(AND(s_Irr!F29=".",s_Irr!AE29&lt;&gt;".",s_Irr!BD29="."),s_dir!AG29/((1/1000)*(s_Irr!AE29)),IF(AND(s_Irr!F29&lt;&gt;".",s_Irr!AE29=".",s_Irr!BD29="."),s_dir!AG29/((1/1000)*(s_Irr!F29)),IF(AND(s_Irr!F29=".",s_Irr!AE29=".",s_Irr!BD29="."),s_dir!AG29*1000)))))))),".")</f>
        <v>.</v>
      </c>
      <c r="BH29" s="76" t="str">
        <f>IFERROR(IF(AND(s_Irr!G29&lt;&gt;".",s_Irr!AF29&lt;&gt;".",s_Irr!BE29&lt;&gt;"."),s_dir!AH29/((1/1000)*(s_Irr!G29+s_Irr!AF29+s_Irr!BE29)),IF(AND(s_Irr!G29&lt;&gt;".",s_Irr!AF29&lt;&gt;".",s_Irr!BE29="."),s_dir!AH29/((1/1000)*(s_Irr!G29+s_Irr!AF29)),IF(AND(s_Irr!G29&lt;&gt;".",s_Irr!AF29=".",s_Irr!BE29&lt;&gt;"."),s_dir!AH29/((1/1000)*(s_Irr!G29+s_Irr!BE29)),IF(AND(s_Irr!G29=".",s_Irr!AF29&lt;&gt;".",s_Irr!BE29&lt;&gt;"."),s_dir!AH29/((1/1000)*(s_Irr!AF29+s_Irr!BE29)),IF(AND(s_Irr!G29=".",s_Irr!AF29=".",s_Irr!BE29&lt;&gt;"."),s_dir!AH29/((1/1000)*(s_Irr!BE29)),IF(AND(s_Irr!G29=".",s_Irr!AF29&lt;&gt;".",s_Irr!BE29="."),s_dir!AH29/((1/1000)*(s_Irr!AF29)),IF(AND(s_Irr!G29&lt;&gt;".",s_Irr!AF29=".",s_Irr!BE29="."),s_dir!AH29/((1/1000)*(s_Irr!G29)),IF(AND(s_Irr!G29=".",s_Irr!AF29=".",s_Irr!BE29="."),s_dir!AH29*1000)))))))),".")</f>
        <v>.</v>
      </c>
      <c r="BI29" s="76" t="str">
        <f>IFERROR(IF(AND(s_Irr!H29&lt;&gt;".",s_Irr!AG29&lt;&gt;".",s_Irr!BF29&lt;&gt;"."),s_dir!AI29/((1/1000)*(s_Irr!H29+s_Irr!AG29+s_Irr!BF29)),IF(AND(s_Irr!H29&lt;&gt;".",s_Irr!AG29&lt;&gt;".",s_Irr!BF29="."),s_dir!AI29/((1/1000)*(s_Irr!H29+s_Irr!AG29)),IF(AND(s_Irr!H29&lt;&gt;".",s_Irr!AG29=".",s_Irr!BF29&lt;&gt;"."),s_dir!AI29/((1/1000)*(s_Irr!H29+s_Irr!BF29)),IF(AND(s_Irr!H29=".",s_Irr!AG29&lt;&gt;".",s_Irr!BF29&lt;&gt;"."),s_dir!AI29/((1/1000)*(s_Irr!AG29+s_Irr!BF29)),IF(AND(s_Irr!H29=".",s_Irr!AG29=".",s_Irr!BF29&lt;&gt;"."),s_dir!AI29/((1/1000)*(s_Irr!BF29)),IF(AND(s_Irr!H29=".",s_Irr!AG29&lt;&gt;".",s_Irr!BF29="."),s_dir!AI29/((1/1000)*(s_Irr!AG29)),IF(AND(s_Irr!H29&lt;&gt;".",s_Irr!AG29=".",s_Irr!BF29="."),s_dir!AI29/((1/1000)*(s_Irr!H29)),IF(AND(s_Irr!H29=".",s_Irr!AG29=".",s_Irr!BF29="."),s_dir!AI29*1000)))))))),".")</f>
        <v>.</v>
      </c>
      <c r="BJ29" s="76" t="str">
        <f>IFERROR(IF(AND(s_Irr!I29&lt;&gt;".",s_Irr!AH29&lt;&gt;".",s_Irr!BG29&lt;&gt;"."),s_dir!AJ29/((1/1000)*(s_Irr!I29+s_Irr!AH29+s_Irr!BG29)),IF(AND(s_Irr!I29&lt;&gt;".",s_Irr!AH29&lt;&gt;".",s_Irr!BG29="."),s_dir!AJ29/((1/1000)*(s_Irr!I29+s_Irr!AH29)),IF(AND(s_Irr!I29&lt;&gt;".",s_Irr!AH29=".",s_Irr!BG29&lt;&gt;"."),s_dir!AJ29/((1/1000)*(s_Irr!I29+s_Irr!BG29)),IF(AND(s_Irr!I29=".",s_Irr!AH29&lt;&gt;".",s_Irr!BG29&lt;&gt;"."),s_dir!AJ29/((1/1000)*(s_Irr!AH29+s_Irr!BG29)),IF(AND(s_Irr!I29=".",s_Irr!AH29=".",s_Irr!BG29&lt;&gt;"."),s_dir!AJ29/((1/1000)*(s_Irr!BG29)),IF(AND(s_Irr!I29=".",s_Irr!AH29&lt;&gt;".",s_Irr!BG29="."),s_dir!AJ29/((1/1000)*(s_Irr!AH29)),IF(AND(s_Irr!I29&lt;&gt;".",s_Irr!AH29=".",s_Irr!BG29="."),s_dir!AJ29/((1/1000)*(s_Irr!I29)),IF(AND(s_Irr!I29=".",s_Irr!AH29=".",s_Irr!BG29="."),s_dir!AJ29*1000)))))))),".")</f>
        <v>.</v>
      </c>
      <c r="BK29" s="76" t="str">
        <f>IFERROR(IF(AND(s_Irr!J29&lt;&gt;".",s_Irr!AI29&lt;&gt;".",s_Irr!BH29&lt;&gt;"."),s_dir!AK29/((1/1000)*(s_Irr!J29+s_Irr!AI29+s_Irr!BH29)),IF(AND(s_Irr!J29&lt;&gt;".",s_Irr!AI29&lt;&gt;".",s_Irr!BH29="."),s_dir!AK29/((1/1000)*(s_Irr!J29+s_Irr!AI29)),IF(AND(s_Irr!J29&lt;&gt;".",s_Irr!AI29=".",s_Irr!BH29&lt;&gt;"."),s_dir!AK29/((1/1000)*(s_Irr!J29+s_Irr!BH29)),IF(AND(s_Irr!J29=".",s_Irr!AI29&lt;&gt;".",s_Irr!BH29&lt;&gt;"."),s_dir!AK29/((1/1000)*(s_Irr!AI29+s_Irr!BH29)),IF(AND(s_Irr!J29=".",s_Irr!AI29=".",s_Irr!BH29&lt;&gt;"."),s_dir!AK29/((1/1000)*(s_Irr!BH29)),IF(AND(s_Irr!J29=".",s_Irr!AI29&lt;&gt;".",s_Irr!BH29="."),s_dir!AK29/((1/1000)*(s_Irr!AI29)),IF(AND(s_Irr!J29&lt;&gt;".",s_Irr!AI29=".",s_Irr!BH29="."),s_dir!AK29/((1/1000)*(s_Irr!J29)),IF(AND(s_Irr!J29=".",s_Irr!AI29=".",s_Irr!BH29="."),s_dir!AK29*1000)))))))),".")</f>
        <v>.</v>
      </c>
      <c r="BL29" s="76" t="str">
        <f>IFERROR(IF(AND(s_Irr!K29&lt;&gt;".",s_Irr!AJ29&lt;&gt;".",s_Irr!BI29&lt;&gt;"."),s_dir!AL29/((1/1000)*(s_Irr!K29+s_Irr!AJ29+s_Irr!BI29)),IF(AND(s_Irr!K29&lt;&gt;".",s_Irr!AJ29&lt;&gt;".",s_Irr!BI29="."),s_dir!AL29/((1/1000)*(s_Irr!K29+s_Irr!AJ29)),IF(AND(s_Irr!K29&lt;&gt;".",s_Irr!AJ29=".",s_Irr!BI29&lt;&gt;"."),s_dir!AL29/((1/1000)*(s_Irr!K29+s_Irr!BI29)),IF(AND(s_Irr!K29=".",s_Irr!AJ29&lt;&gt;".",s_Irr!BI29&lt;&gt;"."),s_dir!AL29/((1/1000)*(s_Irr!AJ29+s_Irr!BI29)),IF(AND(s_Irr!K29=".",s_Irr!AJ29=".",s_Irr!BI29&lt;&gt;"."),s_dir!AL29/((1/1000)*(s_Irr!BI29)),IF(AND(s_Irr!K29=".",s_Irr!AJ29&lt;&gt;".",s_Irr!BI29="."),s_dir!AL29/((1/1000)*(s_Irr!AJ29)),IF(AND(s_Irr!K29&lt;&gt;".",s_Irr!AJ29=".",s_Irr!BI29="."),s_dir!AL29/((1/1000)*(s_Irr!K29)),IF(AND(s_Irr!K29=".",s_Irr!AJ29=".",s_Irr!BI29="."),s_dir!AL29*1000)))))))),".")</f>
        <v>.</v>
      </c>
      <c r="BM29" s="76" t="str">
        <f>IFERROR(IF(AND(s_Irr!L29&lt;&gt;".",s_Irr!AK29&lt;&gt;".",s_Irr!BJ29&lt;&gt;"."),s_dir!AM29/((1/1000)*(s_Irr!L29+s_Irr!AK29+s_Irr!BJ29)),IF(AND(s_Irr!L29&lt;&gt;".",s_Irr!AK29&lt;&gt;".",s_Irr!BJ29="."),s_dir!AM29/((1/1000)*(s_Irr!L29+s_Irr!AK29)),IF(AND(s_Irr!L29&lt;&gt;".",s_Irr!AK29=".",s_Irr!BJ29&lt;&gt;"."),s_dir!AM29/((1/1000)*(s_Irr!L29+s_Irr!BJ29)),IF(AND(s_Irr!L29=".",s_Irr!AK29&lt;&gt;".",s_Irr!BJ29&lt;&gt;"."),s_dir!AM29/((1/1000)*(s_Irr!AK29+s_Irr!BJ29)),IF(AND(s_Irr!L29=".",s_Irr!AK29=".",s_Irr!BJ29&lt;&gt;"."),s_dir!AM29/((1/1000)*(s_Irr!BJ29)),IF(AND(s_Irr!L29=".",s_Irr!AK29&lt;&gt;".",s_Irr!BJ29="."),s_dir!AM29/((1/1000)*(s_Irr!AK29)),IF(AND(s_Irr!L29&lt;&gt;".",s_Irr!AK29=".",s_Irr!BJ29="."),s_dir!AM29/((1/1000)*(s_Irr!L29)),IF(AND(s_Irr!L29=".",s_Irr!AK29=".",s_Irr!BJ29="."),s_dir!AM29*1000)))))))),".")</f>
        <v>.</v>
      </c>
      <c r="BN29" s="76" t="str">
        <f>IFERROR(IF(AND(s_Irr!M29&lt;&gt;".",s_Irr!AL29&lt;&gt;".",s_Irr!BK29&lt;&gt;"."),s_dir!AN29/((1/1000)*(s_Irr!M29+s_Irr!AL29+s_Irr!BK29)),IF(AND(s_Irr!M29&lt;&gt;".",s_Irr!AL29&lt;&gt;".",s_Irr!BK29="."),s_dir!AN29/((1/1000)*(s_Irr!M29+s_Irr!AL29)),IF(AND(s_Irr!M29&lt;&gt;".",s_Irr!AL29=".",s_Irr!BK29&lt;&gt;"."),s_dir!AN29/((1/1000)*(s_Irr!M29+s_Irr!BK29)),IF(AND(s_Irr!M29=".",s_Irr!AL29&lt;&gt;".",s_Irr!BK29&lt;&gt;"."),s_dir!AN29/((1/1000)*(s_Irr!AL29+s_Irr!BK29)),IF(AND(s_Irr!M29=".",s_Irr!AL29=".",s_Irr!BK29&lt;&gt;"."),s_dir!AN29/((1/1000)*(s_Irr!BK29)),IF(AND(s_Irr!M29=".",s_Irr!AL29&lt;&gt;".",s_Irr!BK29="."),s_dir!AN29/((1/1000)*(s_Irr!AL29)),IF(AND(s_Irr!M29&lt;&gt;".",s_Irr!AL29=".",s_Irr!BK29="."),s_dir!AN29/((1/1000)*(s_Irr!M29)),IF(AND(s_Irr!M29=".",s_Irr!AL29=".",s_Irr!BK29="."),s_dir!AN29*1000)))))))),".")</f>
        <v>.</v>
      </c>
      <c r="BO29" s="76" t="str">
        <f>IFERROR(IF(AND(s_Irr!N29&lt;&gt;".",s_Irr!AM29&lt;&gt;".",s_Irr!BL29&lt;&gt;"."),s_dir!AO29/((1/1000)*(s_Irr!N29+s_Irr!AM29+s_Irr!BL29)),IF(AND(s_Irr!N29&lt;&gt;".",s_Irr!AM29&lt;&gt;".",s_Irr!BL29="."),s_dir!AO29/((1/1000)*(s_Irr!N29+s_Irr!AM29)),IF(AND(s_Irr!N29&lt;&gt;".",s_Irr!AM29=".",s_Irr!BL29&lt;&gt;"."),s_dir!AO29/((1/1000)*(s_Irr!N29+s_Irr!BL29)),IF(AND(s_Irr!N29=".",s_Irr!AM29&lt;&gt;".",s_Irr!BL29&lt;&gt;"."),s_dir!AO29/((1/1000)*(s_Irr!AM29+s_Irr!BL29)),IF(AND(s_Irr!N29=".",s_Irr!AM29=".",s_Irr!BL29&lt;&gt;"."),s_dir!AO29/((1/1000)*(s_Irr!BL29)),IF(AND(s_Irr!N29=".",s_Irr!AM29&lt;&gt;".",s_Irr!BL29="."),s_dir!AO29/((1/1000)*(s_Irr!AM29)),IF(AND(s_Irr!N29&lt;&gt;".",s_Irr!AM29=".",s_Irr!BL29="."),s_dir!AO29/((1/1000)*(s_Irr!N29)),IF(AND(s_Irr!N29=".",s_Irr!AM29=".",s_Irr!BL29="."),s_dir!AO29*1000)))))))),".")</f>
        <v>.</v>
      </c>
      <c r="BP29" s="76" t="str">
        <f>IFERROR(IF(AND(s_Irr!O29&lt;&gt;".",s_Irr!AN29&lt;&gt;".",s_Irr!BM29&lt;&gt;"."),s_dir!AP29/((1/1000)*(s_Irr!O29+s_Irr!AN29+s_Irr!BM29)),IF(AND(s_Irr!O29&lt;&gt;".",s_Irr!AN29&lt;&gt;".",s_Irr!BM29="."),s_dir!AP29/((1/1000)*(s_Irr!O29+s_Irr!AN29)),IF(AND(s_Irr!O29&lt;&gt;".",s_Irr!AN29=".",s_Irr!BM29&lt;&gt;"."),s_dir!AP29/((1/1000)*(s_Irr!O29+s_Irr!BM29)),IF(AND(s_Irr!O29=".",s_Irr!AN29&lt;&gt;".",s_Irr!BM29&lt;&gt;"."),s_dir!AP29/((1/1000)*(s_Irr!AN29+s_Irr!BM29)),IF(AND(s_Irr!O29=".",s_Irr!AN29=".",s_Irr!BM29&lt;&gt;"."),s_dir!AP29/((1/1000)*(s_Irr!BM29)),IF(AND(s_Irr!O29=".",s_Irr!AN29&lt;&gt;".",s_Irr!BM29="."),s_dir!AP29/((1/1000)*(s_Irr!AN29)),IF(AND(s_Irr!O29&lt;&gt;".",s_Irr!AN29=".",s_Irr!BM29="."),s_dir!AP29/((1/1000)*(s_Irr!O29)),IF(AND(s_Irr!O29=".",s_Irr!AN29=".",s_Irr!BM29="."),s_dir!AP29*1000)))))))),".")</f>
        <v>.</v>
      </c>
      <c r="BQ29" s="76" t="str">
        <f>IFERROR(IF(AND(s_Irr!P29&lt;&gt;".",s_Irr!AO29&lt;&gt;".",s_Irr!BN29&lt;&gt;"."),s_dir!AQ29/((1/1000)*(s_Irr!P29+s_Irr!AO29+s_Irr!BN29)),IF(AND(s_Irr!P29&lt;&gt;".",s_Irr!AO29&lt;&gt;".",s_Irr!BN29="."),s_dir!AQ29/((1/1000)*(s_Irr!P29+s_Irr!AO29)),IF(AND(s_Irr!P29&lt;&gt;".",s_Irr!AO29=".",s_Irr!BN29&lt;&gt;"."),s_dir!AQ29/((1/1000)*(s_Irr!P29+s_Irr!BN29)),IF(AND(s_Irr!P29=".",s_Irr!AO29&lt;&gt;".",s_Irr!BN29&lt;&gt;"."),s_dir!AQ29/((1/1000)*(s_Irr!AO29+s_Irr!BN29)),IF(AND(s_Irr!P29=".",s_Irr!AO29=".",s_Irr!BN29&lt;&gt;"."),s_dir!AQ29/((1/1000)*(s_Irr!BN29)),IF(AND(s_Irr!P29=".",s_Irr!AO29&lt;&gt;".",s_Irr!BN29="."),s_dir!AQ29/((1/1000)*(s_Irr!AO29)),IF(AND(s_Irr!P29&lt;&gt;".",s_Irr!AO29=".",s_Irr!BN29="."),s_dir!AQ29/((1/1000)*(s_Irr!P29)),IF(AND(s_Irr!P29=".",s_Irr!AO29=".",s_Irr!BN29="."),s_dir!AQ29*1000)))))))),".")</f>
        <v>.</v>
      </c>
      <c r="BR29" s="76" t="str">
        <f>IFERROR(IF(AND(s_Irr!Q29&lt;&gt;".",s_Irr!AP29&lt;&gt;".",s_Irr!BO29&lt;&gt;"."),s_dir!AR29/((1/1000)*(s_Irr!Q29+s_Irr!AP29+s_Irr!BO29)),IF(AND(s_Irr!Q29&lt;&gt;".",s_Irr!AP29&lt;&gt;".",s_Irr!BO29="."),s_dir!AR29/((1/1000)*(s_Irr!Q29+s_Irr!AP29)),IF(AND(s_Irr!Q29&lt;&gt;".",s_Irr!AP29=".",s_Irr!BO29&lt;&gt;"."),s_dir!AR29/((1/1000)*(s_Irr!Q29+s_Irr!BO29)),IF(AND(s_Irr!Q29=".",s_Irr!AP29&lt;&gt;".",s_Irr!BO29&lt;&gt;"."),s_dir!AR29/((1/1000)*(s_Irr!AP29+s_Irr!BO29)),IF(AND(s_Irr!Q29=".",s_Irr!AP29=".",s_Irr!BO29&lt;&gt;"."),s_dir!AR29/((1/1000)*(s_Irr!BO29)),IF(AND(s_Irr!Q29=".",s_Irr!AP29&lt;&gt;".",s_Irr!BO29="."),s_dir!AR29/((1/1000)*(s_Irr!AP29)),IF(AND(s_Irr!Q29&lt;&gt;".",s_Irr!AP29=".",s_Irr!BO29="."),s_dir!AR29/((1/1000)*(s_Irr!Q29)),IF(AND(s_Irr!Q29=".",s_Irr!AP29=".",s_Irr!BO29="."),s_dir!AR29*1000)))))))),".")</f>
        <v>.</v>
      </c>
      <c r="BS29" s="76" t="str">
        <f>IFERROR(IF(AND(s_Irr!R29&lt;&gt;".",s_Irr!AQ29&lt;&gt;".",s_Irr!BP29&lt;&gt;"."),s_dir!AS29/((1/1000)*(s_Irr!R29+s_Irr!AQ29+s_Irr!BP29)),IF(AND(s_Irr!R29&lt;&gt;".",s_Irr!AQ29&lt;&gt;".",s_Irr!BP29="."),s_dir!AS29/((1/1000)*(s_Irr!R29+s_Irr!AQ29)),IF(AND(s_Irr!R29&lt;&gt;".",s_Irr!AQ29=".",s_Irr!BP29&lt;&gt;"."),s_dir!AS29/((1/1000)*(s_Irr!R29+s_Irr!BP29)),IF(AND(s_Irr!R29=".",s_Irr!AQ29&lt;&gt;".",s_Irr!BP29&lt;&gt;"."),s_dir!AS29/((1/1000)*(s_Irr!AQ29+s_Irr!BP29)),IF(AND(s_Irr!R29=".",s_Irr!AQ29=".",s_Irr!BP29&lt;&gt;"."),s_dir!AS29/((1/1000)*(s_Irr!BP29)),IF(AND(s_Irr!R29=".",s_Irr!AQ29&lt;&gt;".",s_Irr!BP29="."),s_dir!AS29/((1/1000)*(s_Irr!AQ29)),IF(AND(s_Irr!R29&lt;&gt;".",s_Irr!AQ29=".",s_Irr!BP29="."),s_dir!AS29/((1/1000)*(s_Irr!R29)),IF(AND(s_Irr!R29=".",s_Irr!AQ29=".",s_Irr!BP29="."),s_dir!AS29*1000)))))))),".")</f>
        <v>.</v>
      </c>
      <c r="BT29" s="76" t="str">
        <f>IFERROR(IF(AND(s_Irr!S29&lt;&gt;".",s_Irr!AR29&lt;&gt;".",s_Irr!BQ29&lt;&gt;"."),s_dir!AT29/((1/1000)*(s_Irr!S29+s_Irr!AR29+s_Irr!BQ29)),IF(AND(s_Irr!S29&lt;&gt;".",s_Irr!AR29&lt;&gt;".",s_Irr!BQ29="."),s_dir!AT29/((1/1000)*(s_Irr!S29+s_Irr!AR29)),IF(AND(s_Irr!S29&lt;&gt;".",s_Irr!AR29=".",s_Irr!BQ29&lt;&gt;"."),s_dir!AT29/((1/1000)*(s_Irr!S29+s_Irr!BQ29)),IF(AND(s_Irr!S29=".",s_Irr!AR29&lt;&gt;".",s_Irr!BQ29&lt;&gt;"."),s_dir!AT29/((1/1000)*(s_Irr!AR29+s_Irr!BQ29)),IF(AND(s_Irr!S29=".",s_Irr!AR29=".",s_Irr!BQ29&lt;&gt;"."),s_dir!AT29/((1/1000)*(s_Irr!BQ29)),IF(AND(s_Irr!S29=".",s_Irr!AR29&lt;&gt;".",s_Irr!BQ29="."),s_dir!AT29/((1/1000)*(s_Irr!AR29)),IF(AND(s_Irr!S29&lt;&gt;".",s_Irr!AR29=".",s_Irr!BQ29="."),s_dir!AT29/((1/1000)*(s_Irr!S29)),IF(AND(s_Irr!S29=".",s_Irr!AR29=".",s_Irr!BQ29="."),s_dir!AT29*1000)))))))),".")</f>
        <v>.</v>
      </c>
      <c r="BU29" s="76" t="str">
        <f>IFERROR(IF(AND(s_Irr!T29&lt;&gt;".",s_Irr!AS29&lt;&gt;".",s_Irr!BR29&lt;&gt;"."),s_dir!AU29/((1/1000)*(s_Irr!T29+s_Irr!AS29+s_Irr!BR29)),IF(AND(s_Irr!T29&lt;&gt;".",s_Irr!AS29&lt;&gt;".",s_Irr!BR29="."),s_dir!AU29/((1/1000)*(s_Irr!T29+s_Irr!AS29)),IF(AND(s_Irr!T29&lt;&gt;".",s_Irr!AS29=".",s_Irr!BR29&lt;&gt;"."),s_dir!AU29/((1/1000)*(s_Irr!T29+s_Irr!BR29)),IF(AND(s_Irr!T29=".",s_Irr!AS29&lt;&gt;".",s_Irr!BR29&lt;&gt;"."),s_dir!AU29/((1/1000)*(s_Irr!AS29+s_Irr!BR29)),IF(AND(s_Irr!T29=".",s_Irr!AS29=".",s_Irr!BR29&lt;&gt;"."),s_dir!AU29/((1/1000)*(s_Irr!BR29)),IF(AND(s_Irr!T29=".",s_Irr!AS29&lt;&gt;".",s_Irr!BR29="."),s_dir!AU29/((1/1000)*(s_Irr!AS29)),IF(AND(s_Irr!T29&lt;&gt;".",s_Irr!AS29=".",s_Irr!BR29="."),s_dir!AU29/((1/1000)*(s_Irr!T29)),IF(AND(s_Irr!T29=".",s_Irr!AS29=".",s_Irr!BR29="."),s_dir!AU29*1000)))))))),".")</f>
        <v>.</v>
      </c>
      <c r="BV29" s="76" t="str">
        <f>IFERROR(IF(AND(s_Irr!U29&lt;&gt;".",s_Irr!AT29&lt;&gt;".",s_Irr!BS29&lt;&gt;"."),s_dir!AV29/((1/1000)*(s_Irr!U29+s_Irr!AT29+s_Irr!BS29)),IF(AND(s_Irr!U29&lt;&gt;".",s_Irr!AT29&lt;&gt;".",s_Irr!BS29="."),s_dir!AV29/((1/1000)*(s_Irr!U29+s_Irr!AT29)),IF(AND(s_Irr!U29&lt;&gt;".",s_Irr!AT29=".",s_Irr!BS29&lt;&gt;"."),s_dir!AV29/((1/1000)*(s_Irr!U29+s_Irr!BS29)),IF(AND(s_Irr!U29=".",s_Irr!AT29&lt;&gt;".",s_Irr!BS29&lt;&gt;"."),s_dir!AV29/((1/1000)*(s_Irr!AT29+s_Irr!BS29)),IF(AND(s_Irr!U29=".",s_Irr!AT29=".",s_Irr!BS29&lt;&gt;"."),s_dir!AV29/((1/1000)*(s_Irr!BS29)),IF(AND(s_Irr!U29=".",s_Irr!AT29&lt;&gt;".",s_Irr!BS29="."),s_dir!AV29/((1/1000)*(s_Irr!AT29)),IF(AND(s_Irr!U29&lt;&gt;".",s_Irr!AT29=".",s_Irr!BS29="."),s_dir!AV29/((1/1000)*(s_Irr!U29)),IF(AND(s_Irr!U29=".",s_Irr!AT29=".",s_Irr!BS29="."),s_dir!AV29*1000)))))))),".")</f>
        <v>.</v>
      </c>
      <c r="BW29" s="76" t="str">
        <f>IFERROR(IF(AND(s_Irr!V29&lt;&gt;".",s_Irr!AU29&lt;&gt;".",s_Irr!BT29&lt;&gt;"."),s_dir!AW29/((1/1000)*(s_Irr!V29+s_Irr!AU29+s_Irr!BT29)),IF(AND(s_Irr!V29&lt;&gt;".",s_Irr!AU29&lt;&gt;".",s_Irr!BT29="."),s_dir!AW29/((1/1000)*(s_Irr!V29+s_Irr!AU29)),IF(AND(s_Irr!V29&lt;&gt;".",s_Irr!AU29=".",s_Irr!BT29&lt;&gt;"."),s_dir!AW29/((1/1000)*(s_Irr!V29+s_Irr!BT29)),IF(AND(s_Irr!V29=".",s_Irr!AU29&lt;&gt;".",s_Irr!BT29&lt;&gt;"."),s_dir!AW29/((1/1000)*(s_Irr!AU29+s_Irr!BT29)),IF(AND(s_Irr!V29=".",s_Irr!AU29=".",s_Irr!BT29&lt;&gt;"."),s_dir!AW29/((1/1000)*(s_Irr!BT29)),IF(AND(s_Irr!V29=".",s_Irr!AU29&lt;&gt;".",s_Irr!BT29="."),s_dir!AW29/((1/1000)*(s_Irr!AU29)),IF(AND(s_Irr!V29&lt;&gt;".",s_Irr!AU29=".",s_Irr!BT29="."),s_dir!AW29/((1/1000)*(s_Irr!V29)),IF(AND(s_Irr!V29=".",s_Irr!AU29=".",s_Irr!BT29="."),s_dir!AW29*1000)))))))),".")</f>
        <v>.</v>
      </c>
      <c r="BX29" s="76" t="str">
        <f>IFERROR(IF(AND(s_Irr!W29&lt;&gt;".",s_Irr!AV29&lt;&gt;".",s_Irr!BU29&lt;&gt;"."),s_dir!AX29/((1/1000)*(s_Irr!W29+s_Irr!AV29+s_Irr!BU29)),IF(AND(s_Irr!W29&lt;&gt;".",s_Irr!AV29&lt;&gt;".",s_Irr!BU29="."),s_dir!AX29/((1/1000)*(s_Irr!W29+s_Irr!AV29)),IF(AND(s_Irr!W29&lt;&gt;".",s_Irr!AV29=".",s_Irr!BU29&lt;&gt;"."),s_dir!AX29/((1/1000)*(s_Irr!W29+s_Irr!BU29)),IF(AND(s_Irr!W29=".",s_Irr!AV29&lt;&gt;".",s_Irr!BU29&lt;&gt;"."),s_dir!AX29/((1/1000)*(s_Irr!AV29+s_Irr!BU29)),IF(AND(s_Irr!W29=".",s_Irr!AV29=".",s_Irr!BU29&lt;&gt;"."),s_dir!AX29/((1/1000)*(s_Irr!BU29)),IF(AND(s_Irr!W29=".",s_Irr!AV29&lt;&gt;".",s_Irr!BU29="."),s_dir!AX29/((1/1000)*(s_Irr!AV29)),IF(AND(s_Irr!W29&lt;&gt;".",s_Irr!AV29=".",s_Irr!BU29="."),s_dir!AX29/((1/1000)*(s_Irr!W29)),IF(AND(s_Irr!W29=".",s_Irr!AV29=".",s_Irr!BU29="."),s_dir!AX29*1000)))))))),".")</f>
        <v>.</v>
      </c>
      <c r="BY29" s="76" t="str">
        <f>IFERROR(IF(AND(s_Irr!X29&lt;&gt;".",s_Irr!AW29&lt;&gt;".",s_Irr!BV29&lt;&gt;"."),s_dir!AY29/((1/1000)*(s_Irr!X29+s_Irr!AW29+s_Irr!BV29)),IF(AND(s_Irr!X29&lt;&gt;".",s_Irr!AW29&lt;&gt;".",s_Irr!BV29="."),s_dir!AY29/((1/1000)*(s_Irr!X29+s_Irr!AW29)),IF(AND(s_Irr!X29&lt;&gt;".",s_Irr!AW29=".",s_Irr!BV29&lt;&gt;"."),s_dir!AY29/((1/1000)*(s_Irr!X29+s_Irr!BV29)),IF(AND(s_Irr!X29=".",s_Irr!AW29&lt;&gt;".",s_Irr!BV29&lt;&gt;"."),s_dir!AY29/((1/1000)*(s_Irr!AW29+s_Irr!BV29)),IF(AND(s_Irr!X29=".",s_Irr!AW29=".",s_Irr!BV29&lt;&gt;"."),s_dir!AY29/((1/1000)*(s_Irr!BV29)),IF(AND(s_Irr!X29=".",s_Irr!AW29&lt;&gt;".",s_Irr!BV29="."),s_dir!AY29/((1/1000)*(s_Irr!AW29)),IF(AND(s_Irr!X29&lt;&gt;".",s_Irr!AW29=".",s_Irr!BV29="."),s_dir!AY29/((1/1000)*(s_Irr!X29)),IF(AND(s_Irr!X29=".",s_Irr!AW29=".",s_Irr!BV29="."),s_dir!AY29*1000)))))))),".")</f>
        <v>.</v>
      </c>
      <c r="BZ29" s="76" t="str">
        <f>IFERROR(IF(AND(s_Irr!Y29&lt;&gt;".",s_Irr!AX29&lt;&gt;".",s_Irr!BW29&lt;&gt;"."),s_dir!AZ29/((1/1000)*(s_Irr!Y29+s_Irr!AX29+s_Irr!BW29)),IF(AND(s_Irr!Y29&lt;&gt;".",s_Irr!AX29&lt;&gt;".",s_Irr!BW29="."),s_dir!AZ29/((1/1000)*(s_Irr!Y29+s_Irr!AX29)),IF(AND(s_Irr!Y29&lt;&gt;".",s_Irr!AX29=".",s_Irr!BW29&lt;&gt;"."),s_dir!AZ29/((1/1000)*(s_Irr!Y29+s_Irr!BW29)),IF(AND(s_Irr!Y29=".",s_Irr!AX29&lt;&gt;".",s_Irr!BW29&lt;&gt;"."),s_dir!AZ29/((1/1000)*(s_Irr!AX29+s_Irr!BW29)),IF(AND(s_Irr!Y29=".",s_Irr!AX29=".",s_Irr!BW29&lt;&gt;"."),s_dir!AZ29/((1/1000)*(s_Irr!BW29)),IF(AND(s_Irr!Y29=".",s_Irr!AX29&lt;&gt;".",s_Irr!BW29="."),s_dir!AZ29/((1/1000)*(s_Irr!AX29)),IF(AND(s_Irr!Y29&lt;&gt;".",s_Irr!AX29=".",s_Irr!BW29="."),s_dir!AZ29/((1/1000)*(s_Irr!Y29)),IF(AND(s_Irr!Y29=".",s_Irr!AX29=".",s_Irr!BW29="."),s_dir!AZ29*1000)))))))),".")</f>
        <v>.</v>
      </c>
      <c r="CA29" s="76" t="str">
        <f>IFERROR(IF(AND(s_Irr!Z29&lt;&gt;".",s_Irr!AY29&lt;&gt;".",s_Irr!BX29&lt;&gt;"."),s_dir!BA29/((1/1000)*(s_Irr!Z29+s_Irr!AY29+s_Irr!BX29)),IF(AND(s_Irr!Z29&lt;&gt;".",s_Irr!AY29&lt;&gt;".",s_Irr!BX29="."),s_dir!BA29/((1/1000)*(s_Irr!Z29+s_Irr!AY29)),IF(AND(s_Irr!Z29&lt;&gt;".",s_Irr!AY29=".",s_Irr!BX29&lt;&gt;"."),s_dir!BA29/((1/1000)*(s_Irr!Z29+s_Irr!BX29)),IF(AND(s_Irr!Z29=".",s_Irr!AY29&lt;&gt;".",s_Irr!BX29&lt;&gt;"."),s_dir!BA29/((1/1000)*(s_Irr!AY29+s_Irr!BX29)),IF(AND(s_Irr!Z29=".",s_Irr!AY29=".",s_Irr!BX29&lt;&gt;"."),s_dir!BA29/((1/1000)*(s_Irr!BX29)),IF(AND(s_Irr!Z29=".",s_Irr!AY29&lt;&gt;".",s_Irr!BX29="."),s_dir!BA29/((1/1000)*(s_Irr!AY29)),IF(AND(s_Irr!Z29&lt;&gt;".",s_Irr!AY29=".",s_Irr!BX29="."),s_dir!BA29/((1/1000)*(s_Irr!Z29)),IF(AND(s_Irr!Z29=".",s_Irr!AY29=".",s_Irr!BX29="."),s_dir!BA29*1000)))))))),".")</f>
        <v>.</v>
      </c>
      <c r="CB29" s="76" t="str">
        <f>IFERROR(IF(AND(s_Irr!AA29&lt;&gt;".",s_Irr!AZ29&lt;&gt;".",s_Irr!BY29&lt;&gt;"."),s_dir!BB29/((1/1000)*(s_Irr!AA29+s_Irr!AZ29+s_Irr!BY29)),IF(AND(s_Irr!AA29&lt;&gt;".",s_Irr!AZ29&lt;&gt;".",s_Irr!BY29="."),s_dir!BB29/((1/1000)*(s_Irr!AA29+s_Irr!AZ29)),IF(AND(s_Irr!AA29&lt;&gt;".",s_Irr!AZ29=".",s_Irr!BY29&lt;&gt;"."),s_dir!BB29/((1/1000)*(s_Irr!AA29+s_Irr!BY29)),IF(AND(s_Irr!AA29=".",s_Irr!AZ29&lt;&gt;".",s_Irr!BY29&lt;&gt;"."),s_dir!BB29/((1/1000)*(s_Irr!AZ29+s_Irr!BY29)),IF(AND(s_Irr!AA29=".",s_Irr!AZ29=".",s_Irr!BY29&lt;&gt;"."),s_dir!BB29/((1/1000)*(s_Irr!BY29)),IF(AND(s_Irr!AA29=".",s_Irr!AZ29&lt;&gt;".",s_Irr!BY29="."),s_dir!BB29/((1/1000)*(s_Irr!AZ29)),IF(AND(s_Irr!AA29&lt;&gt;".",s_Irr!AZ29=".",s_Irr!BY29="."),s_dir!BB29/((1/1000)*(s_Irr!AA29)),IF(AND(s_Irr!AA29=".",s_Irr!AZ29=".",s_Irr!BY29="."),s_dir!BB29*1000)))))))),".")</f>
        <v>.</v>
      </c>
      <c r="CC29" s="93">
        <f t="shared" si="2"/>
        <v>13137.755598218413</v>
      </c>
      <c r="CD29" s="93">
        <f>IFERROR(s_C*s_IFAP_far_adj*s_CF_apple*(1/1000)*(s_Irr!C29+s_Irr!AB29+s_Irr!BA29),".")</f>
        <v>1771.5464849477178</v>
      </c>
      <c r="CE29" s="93">
        <f>IFERROR(s_C*s_IFAS_far_adj*s_CF_asparagus*(1/1000)*(s_Irr!D29+s_Irr!AC29+s_Irr!BB29),".")</f>
        <v>1793.1849938574705</v>
      </c>
      <c r="CF29" s="93">
        <f>IFERROR(s_C*s_IFBT_far_adj*s_CF_beet*(1/1000)*(s_Irr!E29+s_Irr!AD29+s_Irr!BC29),".")</f>
        <v>1771.5464849477178</v>
      </c>
      <c r="CG29" s="93">
        <f>IFERROR(s_C*s_IFBE_far_adj*s_CF_berries*(1/1000)*(s_Irr!F29+s_Irr!AE29+s_Irr!BD29),".")</f>
        <v>1771.5464849477178</v>
      </c>
      <c r="CH29" s="93">
        <f>IFERROR(s_C*s_IFBR_far_adj*s_CF_broccoli*(1/1000)*(s_Irr!G29+s_Irr!AF29+s_Irr!BE29),".")</f>
        <v>1793.1849938574705</v>
      </c>
      <c r="CI29" s="93">
        <f>IFERROR(s_C*s_IFCB_far_adj*s_CF_cabbage*(1/1000)*(s_Irr!H29+s_Irr!AG29+s_Irr!BF29),".")</f>
        <v>1793.1849938574705</v>
      </c>
      <c r="CJ29" s="93">
        <f>IFERROR(s_C*s_IFCR_far_adj*s_CF_carrot*(1/1000)*(s_Irr!I29+s_Irr!AH29+s_Irr!BG29),".")</f>
        <v>1771.5464849477178</v>
      </c>
      <c r="CK29" s="93">
        <f>IFERROR(s_C*s_IFCI_far_adj*s_CF_citrus*(1/1000)*(s_Irr!J29+s_Irr!AI29+s_Irr!BH29),".")</f>
        <v>1771.5464849477178</v>
      </c>
      <c r="CL29" s="93">
        <f>IFERROR(s_C*s_IFCO_far_adj*s_CF_corn*(1/1000)*(s_Irr!K29+s_Irr!AJ29+s_Irr!BI29),".")</f>
        <v>1793.1849938574705</v>
      </c>
      <c r="CM29" s="93">
        <f>IFERROR(s_C*s_IFCU_far_adj*s_CF_cucumber*(1/1000)*(s_Irr!L29+s_Irr!AK29+s_Irr!BJ29),".")</f>
        <v>1793.1849938574705</v>
      </c>
      <c r="CN29" s="93">
        <f>IFERROR(s_C*s_IFLE_far_adj*s_CF_lettuce*(1/1000)*(s_Irr!M29+s_Irr!AL29+s_Irr!BK29),".")</f>
        <v>1793.1849938574705</v>
      </c>
      <c r="CO29" s="93">
        <f>IFERROR(s_C*s_IFLI_far_adj*s_CF_lima_bean*(1/1000)*(s_Irr!N29+s_Irr!AM29+s_Irr!BL29),".")</f>
        <v>1793.1849938574705</v>
      </c>
      <c r="CP29" s="93">
        <f>IFERROR(s_C*s_IFOK_far_adj*s_CF_okra*(1/1000)*(s_Irr!O29+s_Irr!AN29+s_Irr!BM29),".")</f>
        <v>1793.1849938574705</v>
      </c>
      <c r="CQ29" s="93">
        <f>IFERROR(s_C*s_IFON_far_adj*s_CF_onion*(1/1000)*(s_Irr!P29+s_Irr!AO29+s_Irr!BN29),".")</f>
        <v>1771.5464849477178</v>
      </c>
      <c r="CR29" s="93">
        <f>IFERROR(s_C*s_IFPC_far_adj*s_CF_peach*(1/1000)*(s_Irr!Q29+s_Irr!AP29+s_Irr!BO29),".")</f>
        <v>1771.5464849477178</v>
      </c>
      <c r="CS29" s="93">
        <f>IFERROR(s_C*s_IFPR_far_adj*s_CF_pear*(1/1000)*(s_Irr!R29+s_Irr!AQ29+s_Irr!BP29),".")</f>
        <v>1771.5464849477178</v>
      </c>
      <c r="CT29" s="93">
        <f>IFERROR(s_C*s_IFPE_far_adj*s_CF_peas*(1/1000)*(s_Irr!S29+s_Irr!AR29+s_Irr!BQ29),".")</f>
        <v>1793.1849938574705</v>
      </c>
      <c r="CU29" s="93">
        <f>IFERROR(s_C*s_IFPP_far_adj*s_CF_peppers*(1/1000)*(s_Irr!T29+s_Irr!AS29+s_Irr!BR29),".")</f>
        <v>1793.1849938574705</v>
      </c>
      <c r="CV29" s="93">
        <f>IFERROR(s_C*s_IFPT_far_adj*s_CF_potato*(1/1000)*(s_Irr!U29+s_Irr!AT29+s_Irr!BS29),".")</f>
        <v>1771.5464849477178</v>
      </c>
      <c r="CW29" s="93">
        <f>IFERROR(s_C*s_IFPU_far_adj*s_CF_pumpkin*(1/1000)*(s_Irr!V29+s_Irr!AU29+s_Irr!BT29),".")</f>
        <v>1793.1849938574705</v>
      </c>
      <c r="CX29" s="93">
        <f>IFERROR(s_C*s_IFSN_far_adj*s_CF_snap_bean*(1/1000)*(s_Irr!W29+s_Irr!AV29+s_Irr!BU29),".")</f>
        <v>1793.1849938574705</v>
      </c>
      <c r="CY29" s="93">
        <f>IFERROR(s_C*s_IFST_far_adj*s_CF_strawberry*(1/1000)*(s_Irr!X29+s_Irr!AW29+s_Irr!BV29),".")</f>
        <v>1771.5464849477178</v>
      </c>
      <c r="CZ29" s="93">
        <f>IFERROR(s_C*s_IFTO_far_adj*s_CF_tomato*(1/1000)*(s_Irr!Y29+s_Irr!AX29+s_Irr!BW29),".")</f>
        <v>1793.1849938574705</v>
      </c>
      <c r="DA29" s="93">
        <f>IFERROR(s_C*s_IFRI_far_adj*s_CF_rice*(1/1000)*(s_Irr!Z29+s_Irr!AY29+s_Irr!BX29),".")</f>
        <v>7779.8391255557553</v>
      </c>
      <c r="DB29" s="93">
        <f>IFERROR(s_C*s_IFCG_far_adj*s_CF_cereal*(1/1000)*(s_Irr!AA29+s_Irr!AZ29+s_Irr!BY29),".")</f>
        <v>1793.1849938574705</v>
      </c>
    </row>
    <row r="30" spans="1:106" ht="15" customHeight="1" x14ac:dyDescent="0.25">
      <c r="A30" s="92" t="s">
        <v>40</v>
      </c>
      <c r="B30" s="90" t="s">
        <v>1071</v>
      </c>
      <c r="C30" s="15">
        <f t="shared" si="3"/>
        <v>66.543545415490399</v>
      </c>
      <c r="D30" s="76">
        <f>IFERROR(IF(AND(s_Irr!C30&lt;&gt;".",s_Irr!AB30&lt;&gt;".",s_Irr!BA30&lt;&gt;"."),s_dir!D30/((1/1000)*(s_Irr!C30+s_Irr!AB30+s_Irr!BA30)),IF(AND(s_Irr!C30&lt;&gt;".",s_Irr!AB30&lt;&gt;".",s_Irr!BA30="."),s_dir!D30/((1/1000)*(s_Irr!C30+s_Irr!AB30)),IF(AND(s_Irr!C30&lt;&gt;".",s_Irr!AB30=".",s_Irr!BA30&lt;&gt;"."),s_dir!D30/((1/1000)*(s_Irr!C30+s_Irr!BA30)),IF(AND(s_Irr!C30=".",s_Irr!AB30&lt;&gt;".",s_Irr!BA30&lt;&gt;"."),s_dir!D30/((1/1000)*(s_Irr!AB30+s_Irr!BA30)),IF(AND(s_Irr!C30=".",s_Irr!AB30=".",s_Irr!BA30&lt;&gt;"."),s_dir!D30/((1/1000)*(s_Irr!BA30)),IF(AND(s_Irr!C30=".",s_Irr!AB30&lt;&gt;".",s_Irr!BA30="."),s_dir!D30/((1/1000)*(s_Irr!AB30)),IF(AND(s_Irr!C30&lt;&gt;".",s_Irr!AB30=".",s_Irr!BA30="."),s_dir!D30/((1/1000)*(s_Irr!C30)),IF(AND(s_Irr!C30=".",s_Irr!AB30=".",s_Irr!BA30="."),s_dir!D30*1000)))))))),".")</f>
        <v>286.67418512343613</v>
      </c>
      <c r="E30" s="76">
        <f>IFERROR(IF(AND(s_Irr!D30&lt;&gt;".",s_Irr!AC30&lt;&gt;".",s_Irr!BB30&lt;&gt;"."),s_dir!E30/((1/1000)*(s_Irr!D30+s_Irr!AC30+s_Irr!BB30)),IF(AND(s_Irr!D30&lt;&gt;".",s_Irr!AC30&lt;&gt;".",s_Irr!BB30="."),s_dir!E30/((1/1000)*(s_Irr!D30+s_Irr!AC30)),IF(AND(s_Irr!D30&lt;&gt;".",s_Irr!AC30=".",s_Irr!BB30&lt;&gt;"."),s_dir!E30/((1/1000)*(s_Irr!D30+s_Irr!BB30)),IF(AND(s_Irr!D30=".",s_Irr!AC30&lt;&gt;".",s_Irr!BB30&lt;&gt;"."),s_dir!E30/((1/1000)*(s_Irr!AC30+s_Irr!BB30)),IF(AND(s_Irr!D30=".",s_Irr!AC30=".",s_Irr!BB30&lt;&gt;"."),s_dir!E30/((1/1000)*(s_Irr!BB30)),IF(AND(s_Irr!D30=".",s_Irr!AC30&lt;&gt;".",s_Irr!BB30="."),s_dir!E30/((1/1000)*(s_Irr!AC30)),IF(AND(s_Irr!D30&lt;&gt;".",s_Irr!AC30=".",s_Irr!BB30="."),s_dir!E30/((1/1000)*(s_Irr!D30)),IF(AND(s_Irr!D30=".",s_Irr!AC30=".",s_Irr!BB30="."),s_dir!E30*1000)))))))),".")</f>
        <v>217.6104840840145</v>
      </c>
      <c r="F30" s="76">
        <f>IFERROR(IF(AND(s_Irr!E30&lt;&gt;".",s_Irr!AD30&lt;&gt;".",s_Irr!BC30&lt;&gt;"."),s_dir!F30/((1/1000)*(s_Irr!E30+s_Irr!AD30+s_Irr!BC30)),IF(AND(s_Irr!E30&lt;&gt;".",s_Irr!AD30&lt;&gt;".",s_Irr!BC30="."),s_dir!F30/((1/1000)*(s_Irr!E30+s_Irr!AD30)),IF(AND(s_Irr!E30&lt;&gt;".",s_Irr!AD30=".",s_Irr!BC30&lt;&gt;"."),s_dir!F30/((1/1000)*(s_Irr!E30+s_Irr!BC30)),IF(AND(s_Irr!E30=".",s_Irr!AD30&lt;&gt;".",s_Irr!BC30&lt;&gt;"."),s_dir!F30/((1/1000)*(s_Irr!AD30+s_Irr!BC30)),IF(AND(s_Irr!E30=".",s_Irr!AD30=".",s_Irr!BC30&lt;&gt;"."),s_dir!F30/((1/1000)*(s_Irr!BC30)),IF(AND(s_Irr!E30=".",s_Irr!AD30&lt;&gt;".",s_Irr!BC30="."),s_dir!F30/((1/1000)*(s_Irr!AD30)),IF(AND(s_Irr!E30&lt;&gt;".",s_Irr!AD30=".",s_Irr!BC30="."),s_dir!F30/((1/1000)*(s_Irr!E30)),IF(AND(s_Irr!E30=".",s_Irr!AD30=".",s_Irr!BC30="."),s_dir!F30*1000)))))))),".")</f>
        <v>255.13708602941054</v>
      </c>
      <c r="G30" s="76">
        <f>IFERROR(IF(AND(s_Irr!F30&lt;&gt;".",s_Irr!AE30&lt;&gt;".",s_Irr!BD30&lt;&gt;"."),s_dir!G30/((1/1000)*(s_Irr!F30+s_Irr!AE30+s_Irr!BD30)),IF(AND(s_Irr!F30&lt;&gt;".",s_Irr!AE30&lt;&gt;".",s_Irr!BD30="."),s_dir!G30/((1/1000)*(s_Irr!F30+s_Irr!AE30)),IF(AND(s_Irr!F30&lt;&gt;".",s_Irr!AE30=".",s_Irr!BD30&lt;&gt;"."),s_dir!G30/((1/1000)*(s_Irr!F30+s_Irr!BD30)),IF(AND(s_Irr!F30=".",s_Irr!AE30&lt;&gt;".",s_Irr!BD30&lt;&gt;"."),s_dir!G30/((1/1000)*(s_Irr!AE30+s_Irr!BD30)),IF(AND(s_Irr!F30=".",s_Irr!AE30=".",s_Irr!BD30&lt;&gt;"."),s_dir!G30/((1/1000)*(s_Irr!BD30)),IF(AND(s_Irr!F30=".",s_Irr!AE30&lt;&gt;".",s_Irr!BD30="."),s_dir!G30/((1/1000)*(s_Irr!AE30)),IF(AND(s_Irr!F30&lt;&gt;".",s_Irr!AE30=".",s_Irr!BD30="."),s_dir!G30/((1/1000)*(s_Irr!F30)),IF(AND(s_Irr!F30=".",s_Irr!AE30=".",s_Irr!BD30="."),s_dir!G30*1000)))))))),".")</f>
        <v>286.67418512343613</v>
      </c>
      <c r="H30" s="76">
        <f>IFERROR(IF(AND(s_Irr!G30&lt;&gt;".",s_Irr!AF30&lt;&gt;".",s_Irr!BE30&lt;&gt;"."),s_dir!H30/((1/1000)*(s_Irr!G30+s_Irr!AF30+s_Irr!BE30)),IF(AND(s_Irr!G30&lt;&gt;".",s_Irr!AF30&lt;&gt;".",s_Irr!BE30="."),s_dir!H30/((1/1000)*(s_Irr!G30+s_Irr!AF30)),IF(AND(s_Irr!G30&lt;&gt;".",s_Irr!AF30=".",s_Irr!BE30&lt;&gt;"."),s_dir!H30/((1/1000)*(s_Irr!G30+s_Irr!BE30)),IF(AND(s_Irr!G30=".",s_Irr!AF30&lt;&gt;".",s_Irr!BE30&lt;&gt;"."),s_dir!H30/((1/1000)*(s_Irr!AF30+s_Irr!BE30)),IF(AND(s_Irr!G30=".",s_Irr!AF30=".",s_Irr!BE30&lt;&gt;"."),s_dir!H30/((1/1000)*(s_Irr!BE30)),IF(AND(s_Irr!G30=".",s_Irr!AF30&lt;&gt;".",s_Irr!BE30="."),s_dir!H30/((1/1000)*(s_Irr!AF30)),IF(AND(s_Irr!G30&lt;&gt;".",s_Irr!AF30=".",s_Irr!BE30="."),s_dir!H30/((1/1000)*(s_Irr!G30)),IF(AND(s_Irr!G30=".",s_Irr!AF30=".",s_Irr!BE30="."),s_dir!H30*1000)))))))),".")</f>
        <v>232.34047711941699</v>
      </c>
      <c r="I30" s="76">
        <f>IFERROR(IF(AND(s_Irr!H30&lt;&gt;".",s_Irr!AG30&lt;&gt;".",s_Irr!BF30&lt;&gt;"."),s_dir!I30/((1/1000)*(s_Irr!H30+s_Irr!AG30+s_Irr!BF30)),IF(AND(s_Irr!H30&lt;&gt;".",s_Irr!AG30&lt;&gt;".",s_Irr!BF30="."),s_dir!I30/((1/1000)*(s_Irr!H30+s_Irr!AG30)),IF(AND(s_Irr!H30&lt;&gt;".",s_Irr!AG30=".",s_Irr!BF30&lt;&gt;"."),s_dir!I30/((1/1000)*(s_Irr!H30+s_Irr!BF30)),IF(AND(s_Irr!H30=".",s_Irr!AG30&lt;&gt;".",s_Irr!BF30&lt;&gt;"."),s_dir!I30/((1/1000)*(s_Irr!AG30+s_Irr!BF30)),IF(AND(s_Irr!H30=".",s_Irr!AG30=".",s_Irr!BF30&lt;&gt;"."),s_dir!I30/((1/1000)*(s_Irr!BF30)),IF(AND(s_Irr!H30=".",s_Irr!AG30&lt;&gt;".",s_Irr!BF30="."),s_dir!I30/((1/1000)*(s_Irr!AG30)),IF(AND(s_Irr!H30&lt;&gt;".",s_Irr!AG30=".",s_Irr!BF30="."),s_dir!I30/((1/1000)*(s_Irr!H30)),IF(AND(s_Irr!H30=".",s_Irr!AG30=".",s_Irr!BF30="."),s_dir!I30*1000)))))))),".")</f>
        <v>217.6104840840145</v>
      </c>
      <c r="J30" s="76">
        <f>IFERROR(IF(AND(s_Irr!I30&lt;&gt;".",s_Irr!AH30&lt;&gt;".",s_Irr!BG30&lt;&gt;"."),s_dir!J30/((1/1000)*(s_Irr!I30+s_Irr!AH30+s_Irr!BG30)),IF(AND(s_Irr!I30&lt;&gt;".",s_Irr!AH30&lt;&gt;".",s_Irr!BG30="."),s_dir!J30/((1/1000)*(s_Irr!I30+s_Irr!AH30)),IF(AND(s_Irr!I30&lt;&gt;".",s_Irr!AH30=".",s_Irr!BG30&lt;&gt;"."),s_dir!J30/((1/1000)*(s_Irr!I30+s_Irr!BG30)),IF(AND(s_Irr!I30=".",s_Irr!AH30&lt;&gt;".",s_Irr!BG30&lt;&gt;"."),s_dir!J30/((1/1000)*(s_Irr!AH30+s_Irr!BG30)),IF(AND(s_Irr!I30=".",s_Irr!AH30=".",s_Irr!BG30&lt;&gt;"."),s_dir!J30/((1/1000)*(s_Irr!BG30)),IF(AND(s_Irr!I30=".",s_Irr!AH30&lt;&gt;".",s_Irr!BG30="."),s_dir!J30/((1/1000)*(s_Irr!AH30)),IF(AND(s_Irr!I30&lt;&gt;".",s_Irr!AH30=".",s_Irr!BG30="."),s_dir!J30/((1/1000)*(s_Irr!I30)),IF(AND(s_Irr!I30=".",s_Irr!AH30=".",s_Irr!BG30="."),s_dir!J30*1000)))))))),".")</f>
        <v>255.13708602941054</v>
      </c>
      <c r="K30" s="76">
        <f>IFERROR(IF(AND(s_Irr!J30&lt;&gt;".",s_Irr!AI30&lt;&gt;".",s_Irr!BH30&lt;&gt;"."),s_dir!K30/((1/1000)*(s_Irr!J30+s_Irr!AI30+s_Irr!BH30)),IF(AND(s_Irr!J30&lt;&gt;".",s_Irr!AI30&lt;&gt;".",s_Irr!BH30="."),s_dir!K30/((1/1000)*(s_Irr!J30+s_Irr!AI30)),IF(AND(s_Irr!J30&lt;&gt;".",s_Irr!AI30=".",s_Irr!BH30&lt;&gt;"."),s_dir!K30/((1/1000)*(s_Irr!J30+s_Irr!BH30)),IF(AND(s_Irr!J30=".",s_Irr!AI30&lt;&gt;".",s_Irr!BH30&lt;&gt;"."),s_dir!K30/((1/1000)*(s_Irr!AI30+s_Irr!BH30)),IF(AND(s_Irr!J30=".",s_Irr!AI30=".",s_Irr!BH30&lt;&gt;"."),s_dir!K30/((1/1000)*(s_Irr!BH30)),IF(AND(s_Irr!J30=".",s_Irr!AI30&lt;&gt;".",s_Irr!BH30="."),s_dir!K30/((1/1000)*(s_Irr!AI30)),IF(AND(s_Irr!J30&lt;&gt;".",s_Irr!AI30=".",s_Irr!BH30="."),s_dir!K30/((1/1000)*(s_Irr!J30)),IF(AND(s_Irr!J30=".",s_Irr!AI30=".",s_Irr!BH30="."),s_dir!K30*1000)))))))),".")</f>
        <v>286.67418512343613</v>
      </c>
      <c r="L30" s="76">
        <f>IFERROR(IF(AND(s_Irr!K30&lt;&gt;".",s_Irr!AJ30&lt;&gt;".",s_Irr!BI30&lt;&gt;"."),s_dir!L30/((1/1000)*(s_Irr!K30+s_Irr!AJ30+s_Irr!BI30)),IF(AND(s_Irr!K30&lt;&gt;".",s_Irr!AJ30&lt;&gt;".",s_Irr!BI30="."),s_dir!L30/((1/1000)*(s_Irr!K30+s_Irr!AJ30)),IF(AND(s_Irr!K30&lt;&gt;".",s_Irr!AJ30=".",s_Irr!BI30&lt;&gt;"."),s_dir!L30/((1/1000)*(s_Irr!K30+s_Irr!BI30)),IF(AND(s_Irr!K30=".",s_Irr!AJ30&lt;&gt;".",s_Irr!BI30&lt;&gt;"."),s_dir!L30/((1/1000)*(s_Irr!AJ30+s_Irr!BI30)),IF(AND(s_Irr!K30=".",s_Irr!AJ30=".",s_Irr!BI30&lt;&gt;"."),s_dir!L30/((1/1000)*(s_Irr!BI30)),IF(AND(s_Irr!K30=".",s_Irr!AJ30&lt;&gt;".",s_Irr!BI30="."),s_dir!L30/((1/1000)*(s_Irr!AJ30)),IF(AND(s_Irr!K30&lt;&gt;".",s_Irr!AJ30=".",s_Irr!BI30="."),s_dir!L30/((1/1000)*(s_Irr!K30)),IF(AND(s_Irr!K30=".",s_Irr!AJ30=".",s_Irr!BI30="."),s_dir!L30*1000)))))))),".")</f>
        <v>232.34047711941699</v>
      </c>
      <c r="M30" s="76">
        <f>IFERROR(IF(AND(s_Irr!L30&lt;&gt;".",s_Irr!AK30&lt;&gt;".",s_Irr!BJ30&lt;&gt;"."),s_dir!M30/((1/1000)*(s_Irr!L30+s_Irr!AK30+s_Irr!BJ30)),IF(AND(s_Irr!L30&lt;&gt;".",s_Irr!AK30&lt;&gt;".",s_Irr!BJ30="."),s_dir!M30/((1/1000)*(s_Irr!L30+s_Irr!AK30)),IF(AND(s_Irr!L30&lt;&gt;".",s_Irr!AK30=".",s_Irr!BJ30&lt;&gt;"."),s_dir!M30/((1/1000)*(s_Irr!L30+s_Irr!BJ30)),IF(AND(s_Irr!L30=".",s_Irr!AK30&lt;&gt;".",s_Irr!BJ30&lt;&gt;"."),s_dir!M30/((1/1000)*(s_Irr!AK30+s_Irr!BJ30)),IF(AND(s_Irr!L30=".",s_Irr!AK30=".",s_Irr!BJ30&lt;&gt;"."),s_dir!M30/((1/1000)*(s_Irr!BJ30)),IF(AND(s_Irr!L30=".",s_Irr!AK30&lt;&gt;".",s_Irr!BJ30="."),s_dir!M30/((1/1000)*(s_Irr!AK30)),IF(AND(s_Irr!L30&lt;&gt;".",s_Irr!AK30=".",s_Irr!BJ30="."),s_dir!M30/((1/1000)*(s_Irr!L30)),IF(AND(s_Irr!L30=".",s_Irr!AK30=".",s_Irr!BJ30="."),s_dir!M30*1000)))))))),".")</f>
        <v>232.34047711941699</v>
      </c>
      <c r="N30" s="76">
        <f>IFERROR(IF(AND(s_Irr!M30&lt;&gt;".",s_Irr!AL30&lt;&gt;".",s_Irr!BK30&lt;&gt;"."),s_dir!N30/((1/1000)*(s_Irr!M30+s_Irr!AL30+s_Irr!BK30)),IF(AND(s_Irr!M30&lt;&gt;".",s_Irr!AL30&lt;&gt;".",s_Irr!BK30="."),s_dir!N30/((1/1000)*(s_Irr!M30+s_Irr!AL30)),IF(AND(s_Irr!M30&lt;&gt;".",s_Irr!AL30=".",s_Irr!BK30&lt;&gt;"."),s_dir!N30/((1/1000)*(s_Irr!M30+s_Irr!BK30)),IF(AND(s_Irr!M30=".",s_Irr!AL30&lt;&gt;".",s_Irr!BK30&lt;&gt;"."),s_dir!N30/((1/1000)*(s_Irr!AL30+s_Irr!BK30)),IF(AND(s_Irr!M30=".",s_Irr!AL30=".",s_Irr!BK30&lt;&gt;"."),s_dir!N30/((1/1000)*(s_Irr!BK30)),IF(AND(s_Irr!M30=".",s_Irr!AL30&lt;&gt;".",s_Irr!BK30="."),s_dir!N30/((1/1000)*(s_Irr!AL30)),IF(AND(s_Irr!M30&lt;&gt;".",s_Irr!AL30=".",s_Irr!BK30="."),s_dir!N30/((1/1000)*(s_Irr!M30)),IF(AND(s_Irr!M30=".",s_Irr!AL30=".",s_Irr!BK30="."),s_dir!N30*1000)))))))),".")</f>
        <v>217.6104840840145</v>
      </c>
      <c r="O30" s="76">
        <f>IFERROR(IF(AND(s_Irr!N30&lt;&gt;".",s_Irr!AM30&lt;&gt;".",s_Irr!BL30&lt;&gt;"."),s_dir!O30/((1/1000)*(s_Irr!N30+s_Irr!AM30+s_Irr!BL30)),IF(AND(s_Irr!N30&lt;&gt;".",s_Irr!AM30&lt;&gt;".",s_Irr!BL30="."),s_dir!O30/((1/1000)*(s_Irr!N30+s_Irr!AM30)),IF(AND(s_Irr!N30&lt;&gt;".",s_Irr!AM30=".",s_Irr!BL30&lt;&gt;"."),s_dir!O30/((1/1000)*(s_Irr!N30+s_Irr!BL30)),IF(AND(s_Irr!N30=".",s_Irr!AM30&lt;&gt;".",s_Irr!BL30&lt;&gt;"."),s_dir!O30/((1/1000)*(s_Irr!AM30+s_Irr!BL30)),IF(AND(s_Irr!N30=".",s_Irr!AM30=".",s_Irr!BL30&lt;&gt;"."),s_dir!O30/((1/1000)*(s_Irr!BL30)),IF(AND(s_Irr!N30=".",s_Irr!AM30&lt;&gt;".",s_Irr!BL30="."),s_dir!O30/((1/1000)*(s_Irr!AM30)),IF(AND(s_Irr!N30&lt;&gt;".",s_Irr!AM30=".",s_Irr!BL30="."),s_dir!O30/((1/1000)*(s_Irr!N30)),IF(AND(s_Irr!N30=".",s_Irr!AM30=".",s_Irr!BL30="."),s_dir!O30*1000)))))))),".")</f>
        <v>281.04083041198692</v>
      </c>
      <c r="P30" s="76">
        <f>IFERROR(IF(AND(s_Irr!O30&lt;&gt;".",s_Irr!AN30&lt;&gt;".",s_Irr!BM30&lt;&gt;"."),s_dir!P30/((1/1000)*(s_Irr!O30+s_Irr!AN30+s_Irr!BM30)),IF(AND(s_Irr!O30&lt;&gt;".",s_Irr!AN30&lt;&gt;".",s_Irr!BM30="."),s_dir!P30/((1/1000)*(s_Irr!O30+s_Irr!AN30)),IF(AND(s_Irr!O30&lt;&gt;".",s_Irr!AN30=".",s_Irr!BM30&lt;&gt;"."),s_dir!P30/((1/1000)*(s_Irr!O30+s_Irr!BM30)),IF(AND(s_Irr!O30=".",s_Irr!AN30&lt;&gt;".",s_Irr!BM30&lt;&gt;"."),s_dir!P30/((1/1000)*(s_Irr!AN30+s_Irr!BM30)),IF(AND(s_Irr!O30=".",s_Irr!AN30=".",s_Irr!BM30&lt;&gt;"."),s_dir!P30/((1/1000)*(s_Irr!BM30)),IF(AND(s_Irr!O30=".",s_Irr!AN30&lt;&gt;".",s_Irr!BM30="."),s_dir!P30/((1/1000)*(s_Irr!AN30)),IF(AND(s_Irr!O30&lt;&gt;".",s_Irr!AN30=".",s_Irr!BM30="."),s_dir!P30/((1/1000)*(s_Irr!O30)),IF(AND(s_Irr!O30=".",s_Irr!AN30=".",s_Irr!BM30="."),s_dir!P30*1000)))))))),".")</f>
        <v>232.34047711941699</v>
      </c>
      <c r="Q30" s="76">
        <f>IFERROR(IF(AND(s_Irr!P30&lt;&gt;".",s_Irr!AO30&lt;&gt;".",s_Irr!BN30&lt;&gt;"."),s_dir!Q30/((1/1000)*(s_Irr!P30+s_Irr!AO30+s_Irr!BN30)),IF(AND(s_Irr!P30&lt;&gt;".",s_Irr!AO30&lt;&gt;".",s_Irr!BN30="."),s_dir!Q30/((1/1000)*(s_Irr!P30+s_Irr!AO30)),IF(AND(s_Irr!P30&lt;&gt;".",s_Irr!AO30=".",s_Irr!BN30&lt;&gt;"."),s_dir!Q30/((1/1000)*(s_Irr!P30+s_Irr!BN30)),IF(AND(s_Irr!P30=".",s_Irr!AO30&lt;&gt;".",s_Irr!BN30&lt;&gt;"."),s_dir!Q30/((1/1000)*(s_Irr!AO30+s_Irr!BN30)),IF(AND(s_Irr!P30=".",s_Irr!AO30=".",s_Irr!BN30&lt;&gt;"."),s_dir!Q30/((1/1000)*(s_Irr!BN30)),IF(AND(s_Irr!P30=".",s_Irr!AO30&lt;&gt;".",s_Irr!BN30="."),s_dir!Q30/((1/1000)*(s_Irr!AO30)),IF(AND(s_Irr!P30&lt;&gt;".",s_Irr!AO30=".",s_Irr!BN30="."),s_dir!Q30/((1/1000)*(s_Irr!P30)),IF(AND(s_Irr!P30=".",s_Irr!AO30=".",s_Irr!BN30="."),s_dir!Q30*1000)))))))),".")</f>
        <v>255.13708602941054</v>
      </c>
      <c r="R30" s="76">
        <f>IFERROR(IF(AND(s_Irr!Q30&lt;&gt;".",s_Irr!AP30&lt;&gt;".",s_Irr!BO30&lt;&gt;"."),s_dir!R30/((1/1000)*(s_Irr!Q30+s_Irr!AP30+s_Irr!BO30)),IF(AND(s_Irr!Q30&lt;&gt;".",s_Irr!AP30&lt;&gt;".",s_Irr!BO30="."),s_dir!R30/((1/1000)*(s_Irr!Q30+s_Irr!AP30)),IF(AND(s_Irr!Q30&lt;&gt;".",s_Irr!AP30=".",s_Irr!BO30&lt;&gt;"."),s_dir!R30/((1/1000)*(s_Irr!Q30+s_Irr!BO30)),IF(AND(s_Irr!Q30=".",s_Irr!AP30&lt;&gt;".",s_Irr!BO30&lt;&gt;"."),s_dir!R30/((1/1000)*(s_Irr!AP30+s_Irr!BO30)),IF(AND(s_Irr!Q30=".",s_Irr!AP30=".",s_Irr!BO30&lt;&gt;"."),s_dir!R30/((1/1000)*(s_Irr!BO30)),IF(AND(s_Irr!Q30=".",s_Irr!AP30&lt;&gt;".",s_Irr!BO30="."),s_dir!R30/((1/1000)*(s_Irr!AP30)),IF(AND(s_Irr!Q30&lt;&gt;".",s_Irr!AP30=".",s_Irr!BO30="."),s_dir!R30/((1/1000)*(s_Irr!Q30)),IF(AND(s_Irr!Q30=".",s_Irr!AP30=".",s_Irr!BO30="."),s_dir!R30*1000)))))))),".")</f>
        <v>286.67418512343613</v>
      </c>
      <c r="S30" s="76">
        <f>IFERROR(IF(AND(s_Irr!R30&lt;&gt;".",s_Irr!AQ30&lt;&gt;".",s_Irr!BP30&lt;&gt;"."),s_dir!S30/((1/1000)*(s_Irr!R30+s_Irr!AQ30+s_Irr!BP30)),IF(AND(s_Irr!R30&lt;&gt;".",s_Irr!AQ30&lt;&gt;".",s_Irr!BP30="."),s_dir!S30/((1/1000)*(s_Irr!R30+s_Irr!AQ30)),IF(AND(s_Irr!R30&lt;&gt;".",s_Irr!AQ30=".",s_Irr!BP30&lt;&gt;"."),s_dir!S30/((1/1000)*(s_Irr!R30+s_Irr!BP30)),IF(AND(s_Irr!R30=".",s_Irr!AQ30&lt;&gt;".",s_Irr!BP30&lt;&gt;"."),s_dir!S30/((1/1000)*(s_Irr!AQ30+s_Irr!BP30)),IF(AND(s_Irr!R30=".",s_Irr!AQ30=".",s_Irr!BP30&lt;&gt;"."),s_dir!S30/((1/1000)*(s_Irr!BP30)),IF(AND(s_Irr!R30=".",s_Irr!AQ30&lt;&gt;".",s_Irr!BP30="."),s_dir!S30/((1/1000)*(s_Irr!AQ30)),IF(AND(s_Irr!R30&lt;&gt;".",s_Irr!AQ30=".",s_Irr!BP30="."),s_dir!S30/((1/1000)*(s_Irr!R30)),IF(AND(s_Irr!R30=".",s_Irr!AQ30=".",s_Irr!BP30="."),s_dir!S30*1000)))))))),".")</f>
        <v>286.67418512343613</v>
      </c>
      <c r="T30" s="76">
        <f>IFERROR(IF(AND(s_Irr!S30&lt;&gt;".",s_Irr!AR30&lt;&gt;".",s_Irr!BQ30&lt;&gt;"."),s_dir!T30/((1/1000)*(s_Irr!S30+s_Irr!AR30+s_Irr!BQ30)),IF(AND(s_Irr!S30&lt;&gt;".",s_Irr!AR30&lt;&gt;".",s_Irr!BQ30="."),s_dir!T30/((1/1000)*(s_Irr!S30+s_Irr!AR30)),IF(AND(s_Irr!S30&lt;&gt;".",s_Irr!AR30=".",s_Irr!BQ30&lt;&gt;"."),s_dir!T30/((1/1000)*(s_Irr!S30+s_Irr!BQ30)),IF(AND(s_Irr!S30=".",s_Irr!AR30&lt;&gt;".",s_Irr!BQ30&lt;&gt;"."),s_dir!T30/((1/1000)*(s_Irr!AR30+s_Irr!BQ30)),IF(AND(s_Irr!S30=".",s_Irr!AR30=".",s_Irr!BQ30&lt;&gt;"."),s_dir!T30/((1/1000)*(s_Irr!BQ30)),IF(AND(s_Irr!S30=".",s_Irr!AR30&lt;&gt;".",s_Irr!BQ30="."),s_dir!T30/((1/1000)*(s_Irr!AR30)),IF(AND(s_Irr!S30&lt;&gt;".",s_Irr!AR30=".",s_Irr!BQ30="."),s_dir!T30/((1/1000)*(s_Irr!S30)),IF(AND(s_Irr!S30=".",s_Irr!AR30=".",s_Irr!BQ30="."),s_dir!T30*1000)))))))),".")</f>
        <v>281.04083041198692</v>
      </c>
      <c r="U30" s="76">
        <f>IFERROR(IF(AND(s_Irr!T30&lt;&gt;".",s_Irr!AS30&lt;&gt;".",s_Irr!BR30&lt;&gt;"."),s_dir!U30/((1/1000)*(s_Irr!T30+s_Irr!AS30+s_Irr!BR30)),IF(AND(s_Irr!T30&lt;&gt;".",s_Irr!AS30&lt;&gt;".",s_Irr!BR30="."),s_dir!U30/((1/1000)*(s_Irr!T30+s_Irr!AS30)),IF(AND(s_Irr!T30&lt;&gt;".",s_Irr!AS30=".",s_Irr!BR30&lt;&gt;"."),s_dir!U30/((1/1000)*(s_Irr!T30+s_Irr!BR30)),IF(AND(s_Irr!T30=".",s_Irr!AS30&lt;&gt;".",s_Irr!BR30&lt;&gt;"."),s_dir!U30/((1/1000)*(s_Irr!AS30+s_Irr!BR30)),IF(AND(s_Irr!T30=".",s_Irr!AS30=".",s_Irr!BR30&lt;&gt;"."),s_dir!U30/((1/1000)*(s_Irr!BR30)),IF(AND(s_Irr!T30=".",s_Irr!AS30&lt;&gt;".",s_Irr!BR30="."),s_dir!U30/((1/1000)*(s_Irr!AS30)),IF(AND(s_Irr!T30&lt;&gt;".",s_Irr!AS30=".",s_Irr!BR30="."),s_dir!U30/((1/1000)*(s_Irr!T30)),IF(AND(s_Irr!T30=".",s_Irr!AS30=".",s_Irr!BR30="."),s_dir!U30*1000)))))))),".")</f>
        <v>232.34047711941699</v>
      </c>
      <c r="V30" s="76">
        <f>IFERROR(IF(AND(s_Irr!U30&lt;&gt;".",s_Irr!AT30&lt;&gt;".",s_Irr!BS30&lt;&gt;"."),s_dir!V30/((1/1000)*(s_Irr!U30+s_Irr!AT30+s_Irr!BS30)),IF(AND(s_Irr!U30&lt;&gt;".",s_Irr!AT30&lt;&gt;".",s_Irr!BS30="."),s_dir!V30/((1/1000)*(s_Irr!U30+s_Irr!AT30)),IF(AND(s_Irr!U30&lt;&gt;".",s_Irr!AT30=".",s_Irr!BS30&lt;&gt;"."),s_dir!V30/((1/1000)*(s_Irr!U30+s_Irr!BS30)),IF(AND(s_Irr!U30=".",s_Irr!AT30&lt;&gt;".",s_Irr!BS30&lt;&gt;"."),s_dir!V30/((1/1000)*(s_Irr!AT30+s_Irr!BS30)),IF(AND(s_Irr!U30=".",s_Irr!AT30=".",s_Irr!BS30&lt;&gt;"."),s_dir!V30/((1/1000)*(s_Irr!BS30)),IF(AND(s_Irr!U30=".",s_Irr!AT30&lt;&gt;".",s_Irr!BS30="."),s_dir!V30/((1/1000)*(s_Irr!AT30)),IF(AND(s_Irr!U30&lt;&gt;".",s_Irr!AT30=".",s_Irr!BS30="."),s_dir!V30/((1/1000)*(s_Irr!U30)),IF(AND(s_Irr!U30=".",s_Irr!AT30=".",s_Irr!BS30="."),s_dir!V30*1000)))))))),".")</f>
        <v>268.71958475877938</v>
      </c>
      <c r="W30" s="76">
        <f>IFERROR(IF(AND(s_Irr!V30&lt;&gt;".",s_Irr!AU30&lt;&gt;".",s_Irr!BT30&lt;&gt;"."),s_dir!W30/((1/1000)*(s_Irr!V30+s_Irr!AU30+s_Irr!BT30)),IF(AND(s_Irr!V30&lt;&gt;".",s_Irr!AU30&lt;&gt;".",s_Irr!BT30="."),s_dir!W30/((1/1000)*(s_Irr!V30+s_Irr!AU30)),IF(AND(s_Irr!V30&lt;&gt;".",s_Irr!AU30=".",s_Irr!BT30&lt;&gt;"."),s_dir!W30/((1/1000)*(s_Irr!V30+s_Irr!BT30)),IF(AND(s_Irr!V30=".",s_Irr!AU30&lt;&gt;".",s_Irr!BT30&lt;&gt;"."),s_dir!W30/((1/1000)*(s_Irr!AU30+s_Irr!BT30)),IF(AND(s_Irr!V30=".",s_Irr!AU30=".",s_Irr!BT30&lt;&gt;"."),s_dir!W30/((1/1000)*(s_Irr!BT30)),IF(AND(s_Irr!V30=".",s_Irr!AU30&lt;&gt;".",s_Irr!BT30="."),s_dir!W30/((1/1000)*(s_Irr!AU30)),IF(AND(s_Irr!V30&lt;&gt;".",s_Irr!AU30=".",s_Irr!BT30="."),s_dir!W30/((1/1000)*(s_Irr!V30)),IF(AND(s_Irr!V30=".",s_Irr!AU30=".",s_Irr!BT30="."),s_dir!W30*1000)))))))),".")</f>
        <v>232.34047711941699</v>
      </c>
      <c r="X30" s="76">
        <f>IFERROR(IF(AND(s_Irr!W30&lt;&gt;".",s_Irr!AV30&lt;&gt;".",s_Irr!BU30&lt;&gt;"."),s_dir!X30/((1/1000)*(s_Irr!W30+s_Irr!AV30+s_Irr!BU30)),IF(AND(s_Irr!W30&lt;&gt;".",s_Irr!AV30&lt;&gt;".",s_Irr!BU30="."),s_dir!X30/((1/1000)*(s_Irr!W30+s_Irr!AV30)),IF(AND(s_Irr!W30&lt;&gt;".",s_Irr!AV30=".",s_Irr!BU30&lt;&gt;"."),s_dir!X30/((1/1000)*(s_Irr!W30+s_Irr!BU30)),IF(AND(s_Irr!W30=".",s_Irr!AV30&lt;&gt;".",s_Irr!BU30&lt;&gt;"."),s_dir!X30/((1/1000)*(s_Irr!AV30+s_Irr!BU30)),IF(AND(s_Irr!W30=".",s_Irr!AV30=".",s_Irr!BU30&lt;&gt;"."),s_dir!X30/((1/1000)*(s_Irr!BU30)),IF(AND(s_Irr!W30=".",s_Irr!AV30&lt;&gt;".",s_Irr!BU30="."),s_dir!X30/((1/1000)*(s_Irr!AV30)),IF(AND(s_Irr!W30&lt;&gt;".",s_Irr!AV30=".",s_Irr!BU30="."),s_dir!X30/((1/1000)*(s_Irr!W30)),IF(AND(s_Irr!W30=".",s_Irr!AV30=".",s_Irr!BU30="."),s_dir!X30*1000)))))))),".")</f>
        <v>281.04083041198692</v>
      </c>
      <c r="Y30" s="76">
        <f>IFERROR(IF(AND(s_Irr!X30&lt;&gt;".",s_Irr!AW30&lt;&gt;".",s_Irr!BV30&lt;&gt;"."),s_dir!Y30/((1/1000)*(s_Irr!X30+s_Irr!AW30+s_Irr!BV30)),IF(AND(s_Irr!X30&lt;&gt;".",s_Irr!AW30&lt;&gt;".",s_Irr!BV30="."),s_dir!Y30/((1/1000)*(s_Irr!X30+s_Irr!AW30)),IF(AND(s_Irr!X30&lt;&gt;".",s_Irr!AW30=".",s_Irr!BV30&lt;&gt;"."),s_dir!Y30/((1/1000)*(s_Irr!X30+s_Irr!BV30)),IF(AND(s_Irr!X30=".",s_Irr!AW30&lt;&gt;".",s_Irr!BV30&lt;&gt;"."),s_dir!Y30/((1/1000)*(s_Irr!AW30+s_Irr!BV30)),IF(AND(s_Irr!X30=".",s_Irr!AW30=".",s_Irr!BV30&lt;&gt;"."),s_dir!Y30/((1/1000)*(s_Irr!BV30)),IF(AND(s_Irr!X30=".",s_Irr!AW30&lt;&gt;".",s_Irr!BV30="."),s_dir!Y30/((1/1000)*(s_Irr!AW30)),IF(AND(s_Irr!X30&lt;&gt;".",s_Irr!AW30=".",s_Irr!BV30="."),s_dir!Y30/((1/1000)*(s_Irr!X30)),IF(AND(s_Irr!X30=".",s_Irr!AW30=".",s_Irr!BV30="."),s_dir!Y30*1000)))))))),".")</f>
        <v>286.67418512343613</v>
      </c>
      <c r="Z30" s="76">
        <f>IFERROR(IF(AND(s_Irr!Y30&lt;&gt;".",s_Irr!AX30&lt;&gt;".",s_Irr!BW30&lt;&gt;"."),s_dir!Z30/((1/1000)*(s_Irr!Y30+s_Irr!AX30+s_Irr!BW30)),IF(AND(s_Irr!Y30&lt;&gt;".",s_Irr!AX30&lt;&gt;".",s_Irr!BW30="."),s_dir!Z30/((1/1000)*(s_Irr!Y30+s_Irr!AX30)),IF(AND(s_Irr!Y30&lt;&gt;".",s_Irr!AX30=".",s_Irr!BW30&lt;&gt;"."),s_dir!Z30/((1/1000)*(s_Irr!Y30+s_Irr!BW30)),IF(AND(s_Irr!Y30=".",s_Irr!AX30&lt;&gt;".",s_Irr!BW30&lt;&gt;"."),s_dir!Z30/((1/1000)*(s_Irr!AX30+s_Irr!BW30)),IF(AND(s_Irr!Y30=".",s_Irr!AX30=".",s_Irr!BW30&lt;&gt;"."),s_dir!Z30/((1/1000)*(s_Irr!BW30)),IF(AND(s_Irr!Y30=".",s_Irr!AX30&lt;&gt;".",s_Irr!BW30="."),s_dir!Z30/((1/1000)*(s_Irr!AX30)),IF(AND(s_Irr!Y30&lt;&gt;".",s_Irr!AX30=".",s_Irr!BW30="."),s_dir!Z30/((1/1000)*(s_Irr!Y30)),IF(AND(s_Irr!Y30=".",s_Irr!AX30=".",s_Irr!BW30="."),s_dir!Z30*1000)))))))),".")</f>
        <v>232.34047711941699</v>
      </c>
      <c r="AA30" s="76">
        <f>IFERROR(IF(AND(s_Irr!Z30&lt;&gt;".",s_Irr!AY30&lt;&gt;".",s_Irr!BX30&lt;&gt;"."),s_dir!AA30/((1/1000)*(s_Irr!Z30+s_Irr!AY30+s_Irr!BX30)),IF(AND(s_Irr!Z30&lt;&gt;".",s_Irr!AY30&lt;&gt;".",s_Irr!BX30="."),s_dir!AA30/((1/1000)*(s_Irr!Z30+s_Irr!AY30)),IF(AND(s_Irr!Z30&lt;&gt;".",s_Irr!AY30=".",s_Irr!BX30&lt;&gt;"."),s_dir!AA30/((1/1000)*(s_Irr!Z30+s_Irr!BX30)),IF(AND(s_Irr!Z30=".",s_Irr!AY30&lt;&gt;".",s_Irr!BX30&lt;&gt;"."),s_dir!AA30/((1/1000)*(s_Irr!AY30+s_Irr!BX30)),IF(AND(s_Irr!Z30=".",s_Irr!AY30=".",s_Irr!BX30&lt;&gt;"."),s_dir!AA30/((1/1000)*(s_Irr!BX30)),IF(AND(s_Irr!Z30=".",s_Irr!AY30&lt;&gt;".",s_Irr!BX30="."),s_dir!AA30/((1/1000)*(s_Irr!AY30)),IF(AND(s_Irr!Z30&lt;&gt;".",s_Irr!AY30=".",s_Irr!BX30="."),s_dir!AA30/((1/1000)*(s_Irr!Z30)),IF(AND(s_Irr!Z30=".",s_Irr!AY30=".",s_Irr!BX30="."),s_dir!AA30*1000)))))))),".")</f>
        <v>290.34554945928119</v>
      </c>
      <c r="AB30" s="76">
        <f>IFERROR(IF(AND(s_Irr!AA30&lt;&gt;".",s_Irr!AZ30&lt;&gt;".",s_Irr!BY30&lt;&gt;"."),s_dir!AB30/((1/1000)*(s_Irr!AA30+s_Irr!AZ30+s_Irr!BY30)),IF(AND(s_Irr!AA30&lt;&gt;".",s_Irr!AZ30&lt;&gt;".",s_Irr!BY30="."),s_dir!AB30/((1/1000)*(s_Irr!AA30+s_Irr!AZ30)),IF(AND(s_Irr!AA30&lt;&gt;".",s_Irr!AZ30=".",s_Irr!BY30&lt;&gt;"."),s_dir!AB30/((1/1000)*(s_Irr!AA30+s_Irr!BY30)),IF(AND(s_Irr!AA30=".",s_Irr!AZ30&lt;&gt;".",s_Irr!BY30&lt;&gt;"."),s_dir!AB30/((1/1000)*(s_Irr!AZ30+s_Irr!BY30)),IF(AND(s_Irr!AA30=".",s_Irr!AZ30=".",s_Irr!BY30&lt;&gt;"."),s_dir!AB30/((1/1000)*(s_Irr!BY30)),IF(AND(s_Irr!AA30=".",s_Irr!AZ30&lt;&gt;".",s_Irr!BY30="."),s_dir!AB30/((1/1000)*(s_Irr!AZ30)),IF(AND(s_Irr!AA30&lt;&gt;".",s_Irr!AZ30=".",s_Irr!BY30="."),s_dir!AB30/((1/1000)*(s_Irr!AA30)),IF(AND(s_Irr!AA30=".",s_Irr!AZ30=".",s_Irr!BY30="."),s_dir!AB30*1000)))))))),".")</f>
        <v>263.76367492824062</v>
      </c>
      <c r="AC30" s="93">
        <f t="shared" si="5"/>
        <v>7751.0591795276232</v>
      </c>
      <c r="AD30" s="93">
        <f>IFERROR(s_C*s_IFAP_res_adj*s_CF_apple*0.001*(s_Irr!C30+s_Irr!AB30+s_Irr!BA30),".")</f>
        <v>1799.1956907768463</v>
      </c>
      <c r="AE30" s="93">
        <f>IFERROR(s_C*s_IFAS_res_adj*s_CF_asparagus*0.001*(s_Irr!D30+s_Irr!AC30+s_Irr!BB30),".")</f>
        <v>2370.2118981175463</v>
      </c>
      <c r="AF30" s="93">
        <f>IFERROR(s_C*s_IFBT_res_adj*s_CF_beet*0.001*(s_Irr!E30+s_Irr!AD30+s_Irr!BC30),".")</f>
        <v>2021.5914767937504</v>
      </c>
      <c r="AG30" s="93">
        <f>IFERROR(s_C*s_IFBE_res_adj*s_CF_berries*0.001*(s_Irr!F30+s_Irr!AE30+s_Irr!BD30),".")</f>
        <v>1799.1956907768463</v>
      </c>
      <c r="AH30" s="93">
        <f>IFERROR(s_C*s_IFBR_res_adj*s_CF_broccoli*0.001*(s_Irr!G30+s_Irr!AF30+s_Irr!BE30),".")</f>
        <v>2219.9444751331516</v>
      </c>
      <c r="AI30" s="93">
        <f>IFERROR(s_C*s_IFCB_res_adj*s_CF_cabbage*0.001*(s_Irr!H30+s_Irr!AG30+s_Irr!BF30),".")</f>
        <v>2370.2118981175463</v>
      </c>
      <c r="AJ30" s="93">
        <f>IFERROR(s_C*s_IFCR_res_adj*s_CF_carrot*0.001*(s_Irr!I30+s_Irr!AH30+s_Irr!BG30),".")</f>
        <v>2021.5914767937504</v>
      </c>
      <c r="AK30" s="93">
        <f>IFERROR(s_C*s_IFCI_res_adj*s_CF_citrus*0.001*(s_Irr!J30+s_Irr!AI30+s_Irr!BH30),".")</f>
        <v>1799.1956907768463</v>
      </c>
      <c r="AL30" s="93">
        <f>IFERROR(s_C*s_IFCO_res_adj*s_CF_corn*0.001*(s_Irr!K30+s_Irr!AJ30+s_Irr!BI30),".")</f>
        <v>2219.9444751331516</v>
      </c>
      <c r="AM30" s="93">
        <f>IFERROR(s_C*s_IFCU_res_adj*s_CF_cucumber*0.001*(s_Irr!L30+s_Irr!AK30+s_Irr!BJ30),".")</f>
        <v>2219.9444751331516</v>
      </c>
      <c r="AN30" s="93">
        <f>IFERROR(s_C*s_IFLE_res_adj*s_CF_lettuce*0.001*(s_Irr!M30+s_Irr!AL30+s_Irr!BK30),".")</f>
        <v>2370.2118981175463</v>
      </c>
      <c r="AO30" s="93">
        <f>IFERROR(s_C*s_IFLI_res_adj*s_CF_lima_bean*0.001*(s_Irr!N30+s_Irr!AM30+s_Irr!BL30),".")</f>
        <v>1835.2598722931011</v>
      </c>
      <c r="AP30" s="93">
        <f>IFERROR(s_C*s_IFOK_res_adj*s_CF_okra*0.001*(s_Irr!O30+s_Irr!AN30+s_Irr!BM30),".")</f>
        <v>2219.9444751331516</v>
      </c>
      <c r="AQ30" s="93">
        <f>IFERROR(s_C*s_IFON_res_adj*s_CF_onion*0.001*(s_Irr!P30+s_Irr!AO30+s_Irr!BN30),".")</f>
        <v>2021.5914767937504</v>
      </c>
      <c r="AR30" s="93">
        <f>IFERROR(s_C*s_IFPC_res_adj*s_CF_peach*0.001*(s_Irr!Q30+s_Irr!AP30+s_Irr!BO30),".")</f>
        <v>1799.1956907768463</v>
      </c>
      <c r="AS30" s="93">
        <f>IFERROR(s_C*s_IFPR_res_adj*s_CF_pear*0.001*(s_Irr!R30+s_Irr!AQ30+s_Irr!BP30),".")</f>
        <v>1799.1956907768463</v>
      </c>
      <c r="AT30" s="93">
        <f>IFERROR(s_C*s_IFPE_res_adj*s_CF_peas*0.001*(s_Irr!S30+s_Irr!AR30+s_Irr!BQ30),".")</f>
        <v>1835.2598722931011</v>
      </c>
      <c r="AU30" s="93">
        <f>IFERROR(s_C*s_IFPP_res_adj*s_CF_peppers*0.001*(s_Irr!T30+s_Irr!AS30+s_Irr!BR30),".")</f>
        <v>2219.9444751331516</v>
      </c>
      <c r="AV30" s="93">
        <f>IFERROR(s_C*s_IFPT_res_adj*s_CF_potato*0.001*(s_Irr!U30+s_Irr!AT30+s_Irr!BS30),".")</f>
        <v>1919.4096291643621</v>
      </c>
      <c r="AW30" s="93">
        <f>IFERROR(s_C*s_IFPU_res_adj*s_CF_pumpkin*0.001*(s_Irr!V30+s_Irr!AU30+s_Irr!BT30),".")</f>
        <v>2219.9444751331516</v>
      </c>
      <c r="AX30" s="93">
        <f>IFERROR(s_C*s_IFSN_res_adj*s_CF_snap_bean*0.001*(s_Irr!W30+s_Irr!AV30+s_Irr!BU30),".")</f>
        <v>1835.2598722931011</v>
      </c>
      <c r="AY30" s="93">
        <f>IFERROR(s_C*s_IFST_res_adj*s_CF_strawberry*0.001*(s_Irr!X30+s_Irr!AW30+s_Irr!BV30),".")</f>
        <v>1799.1956907768463</v>
      </c>
      <c r="AZ30" s="93">
        <f>IFERROR(s_C*s_IFTO_res_adj*s_CF_tomato*0.001*(s_Irr!Y30+s_Irr!AX30+s_Irr!BW30),".")</f>
        <v>2219.9444751331516</v>
      </c>
      <c r="BA30" s="93">
        <f>IFERROR(s_C*s_IFRI_res_adj*s_CF_rice*0.001*(s_Irr!Z30+s_Irr!AY30+s_Irr!BX30),".")</f>
        <v>1776.4452029370091</v>
      </c>
      <c r="BB30" s="93">
        <f>IFERROR(s_C*s_IFCG_res_adj*s_CF_cereal*0.001*(s_Irr!AA30+s_Irr!AZ30+s_Irr!BY30),".")</f>
        <v>1955.4738106806167</v>
      </c>
      <c r="BC30" s="76">
        <f t="shared" si="1"/>
        <v>66.543545415490399</v>
      </c>
      <c r="BD30" s="76">
        <f>IFERROR(IF(AND(s_Irr!C30&lt;&gt;".",s_Irr!AB30&lt;&gt;".",s_Irr!BA30&lt;&gt;"."),s_dir!AD30/((1/1000)*(s_Irr!C30+s_Irr!AB30+s_Irr!BA30)),IF(AND(s_Irr!C30&lt;&gt;".",s_Irr!AB30&lt;&gt;".",s_Irr!BA30="."),s_dir!AD30/((1/1000)*(s_Irr!C30+s_Irr!AB30)),IF(AND(s_Irr!C30&lt;&gt;".",s_Irr!AB30=".",s_Irr!BA30&lt;&gt;"."),s_dir!AD30/((1/1000)*(s_Irr!C30+s_Irr!BA30)),IF(AND(s_Irr!C30=".",s_Irr!AB30&lt;&gt;".",s_Irr!BA30&lt;&gt;"."),s_dir!AD30/((1/1000)*(s_Irr!AB30+s_Irr!BA30)),IF(AND(s_Irr!C30=".",s_Irr!AB30=".",s_Irr!BA30&lt;&gt;"."),s_dir!AD30/((1/1000)*(s_Irr!BA30)),IF(AND(s_Irr!C30=".",s_Irr!AB30&lt;&gt;".",s_Irr!BA30="."),s_dir!AD30/((1/1000)*(s_Irr!AB30)),IF(AND(s_Irr!C30&lt;&gt;".",s_Irr!AB30=".",s_Irr!BA30="."),s_dir!AD30/((1/1000)*(s_Irr!C30)),IF(AND(s_Irr!C30=".",s_Irr!AB30=".",s_Irr!BA30="."),s_dir!AD30*1000)))))))),".")</f>
        <v>286.67418512343613</v>
      </c>
      <c r="BE30" s="76">
        <f>IFERROR(IF(AND(s_Irr!D30&lt;&gt;".",s_Irr!AC30&lt;&gt;".",s_Irr!BB30&lt;&gt;"."),s_dir!AE30/((1/1000)*(s_Irr!D30+s_Irr!AC30+s_Irr!BB30)),IF(AND(s_Irr!D30&lt;&gt;".",s_Irr!AC30&lt;&gt;".",s_Irr!BB30="."),s_dir!AE30/((1/1000)*(s_Irr!D30+s_Irr!AC30)),IF(AND(s_Irr!D30&lt;&gt;".",s_Irr!AC30=".",s_Irr!BB30&lt;&gt;"."),s_dir!AE30/((1/1000)*(s_Irr!D30+s_Irr!BB30)),IF(AND(s_Irr!D30=".",s_Irr!AC30&lt;&gt;".",s_Irr!BB30&lt;&gt;"."),s_dir!AE30/((1/1000)*(s_Irr!AC30+s_Irr!BB30)),IF(AND(s_Irr!D30=".",s_Irr!AC30=".",s_Irr!BB30&lt;&gt;"."),s_dir!AE30/((1/1000)*(s_Irr!BB30)),IF(AND(s_Irr!D30=".",s_Irr!AC30&lt;&gt;".",s_Irr!BB30="."),s_dir!AE30/((1/1000)*(s_Irr!AC30)),IF(AND(s_Irr!D30&lt;&gt;".",s_Irr!AC30=".",s_Irr!BB30="."),s_dir!AE30/((1/1000)*(s_Irr!D30)),IF(AND(s_Irr!D30=".",s_Irr!AC30=".",s_Irr!BB30="."),s_dir!AE30*1000)))))))),".")</f>
        <v>217.6104840840145</v>
      </c>
      <c r="BF30" s="76">
        <f>IFERROR(IF(AND(s_Irr!E30&lt;&gt;".",s_Irr!AD30&lt;&gt;".",s_Irr!BC30&lt;&gt;"."),s_dir!AF30/((1/1000)*(s_Irr!E30+s_Irr!AD30+s_Irr!BC30)),IF(AND(s_Irr!E30&lt;&gt;".",s_Irr!AD30&lt;&gt;".",s_Irr!BC30="."),s_dir!AF30/((1/1000)*(s_Irr!E30+s_Irr!AD30)),IF(AND(s_Irr!E30&lt;&gt;".",s_Irr!AD30=".",s_Irr!BC30&lt;&gt;"."),s_dir!AF30/((1/1000)*(s_Irr!E30+s_Irr!BC30)),IF(AND(s_Irr!E30=".",s_Irr!AD30&lt;&gt;".",s_Irr!BC30&lt;&gt;"."),s_dir!AF30/((1/1000)*(s_Irr!AD30+s_Irr!BC30)),IF(AND(s_Irr!E30=".",s_Irr!AD30=".",s_Irr!BC30&lt;&gt;"."),s_dir!AF30/((1/1000)*(s_Irr!BC30)),IF(AND(s_Irr!E30=".",s_Irr!AD30&lt;&gt;".",s_Irr!BC30="."),s_dir!AF30/((1/1000)*(s_Irr!AD30)),IF(AND(s_Irr!E30&lt;&gt;".",s_Irr!AD30=".",s_Irr!BC30="."),s_dir!AF30/((1/1000)*(s_Irr!E30)),IF(AND(s_Irr!E30=".",s_Irr!AD30=".",s_Irr!BC30="."),s_dir!AF30*1000)))))))),".")</f>
        <v>255.13708602941054</v>
      </c>
      <c r="BG30" s="76">
        <f>IFERROR(IF(AND(s_Irr!F30&lt;&gt;".",s_Irr!AE30&lt;&gt;".",s_Irr!BD30&lt;&gt;"."),s_dir!AG30/((1/1000)*(s_Irr!F30+s_Irr!AE30+s_Irr!BD30)),IF(AND(s_Irr!F30&lt;&gt;".",s_Irr!AE30&lt;&gt;".",s_Irr!BD30="."),s_dir!AG30/((1/1000)*(s_Irr!F30+s_Irr!AE30)),IF(AND(s_Irr!F30&lt;&gt;".",s_Irr!AE30=".",s_Irr!BD30&lt;&gt;"."),s_dir!AG30/((1/1000)*(s_Irr!F30+s_Irr!BD30)),IF(AND(s_Irr!F30=".",s_Irr!AE30&lt;&gt;".",s_Irr!BD30&lt;&gt;"."),s_dir!AG30/((1/1000)*(s_Irr!AE30+s_Irr!BD30)),IF(AND(s_Irr!F30=".",s_Irr!AE30=".",s_Irr!BD30&lt;&gt;"."),s_dir!AG30/((1/1000)*(s_Irr!BD30)),IF(AND(s_Irr!F30=".",s_Irr!AE30&lt;&gt;".",s_Irr!BD30="."),s_dir!AG30/((1/1000)*(s_Irr!AE30)),IF(AND(s_Irr!F30&lt;&gt;".",s_Irr!AE30=".",s_Irr!BD30="."),s_dir!AG30/((1/1000)*(s_Irr!F30)),IF(AND(s_Irr!F30=".",s_Irr!AE30=".",s_Irr!BD30="."),s_dir!AG30*1000)))))))),".")</f>
        <v>286.67418512343613</v>
      </c>
      <c r="BH30" s="76">
        <f>IFERROR(IF(AND(s_Irr!G30&lt;&gt;".",s_Irr!AF30&lt;&gt;".",s_Irr!BE30&lt;&gt;"."),s_dir!AH30/((1/1000)*(s_Irr!G30+s_Irr!AF30+s_Irr!BE30)),IF(AND(s_Irr!G30&lt;&gt;".",s_Irr!AF30&lt;&gt;".",s_Irr!BE30="."),s_dir!AH30/((1/1000)*(s_Irr!G30+s_Irr!AF30)),IF(AND(s_Irr!G30&lt;&gt;".",s_Irr!AF30=".",s_Irr!BE30&lt;&gt;"."),s_dir!AH30/((1/1000)*(s_Irr!G30+s_Irr!BE30)),IF(AND(s_Irr!G30=".",s_Irr!AF30&lt;&gt;".",s_Irr!BE30&lt;&gt;"."),s_dir!AH30/((1/1000)*(s_Irr!AF30+s_Irr!BE30)),IF(AND(s_Irr!G30=".",s_Irr!AF30=".",s_Irr!BE30&lt;&gt;"."),s_dir!AH30/((1/1000)*(s_Irr!BE30)),IF(AND(s_Irr!G30=".",s_Irr!AF30&lt;&gt;".",s_Irr!BE30="."),s_dir!AH30/((1/1000)*(s_Irr!AF30)),IF(AND(s_Irr!G30&lt;&gt;".",s_Irr!AF30=".",s_Irr!BE30="."),s_dir!AH30/((1/1000)*(s_Irr!G30)),IF(AND(s_Irr!G30=".",s_Irr!AF30=".",s_Irr!BE30="."),s_dir!AH30*1000)))))))),".")</f>
        <v>232.34047711941699</v>
      </c>
      <c r="BI30" s="76">
        <f>IFERROR(IF(AND(s_Irr!H30&lt;&gt;".",s_Irr!AG30&lt;&gt;".",s_Irr!BF30&lt;&gt;"."),s_dir!AI30/((1/1000)*(s_Irr!H30+s_Irr!AG30+s_Irr!BF30)),IF(AND(s_Irr!H30&lt;&gt;".",s_Irr!AG30&lt;&gt;".",s_Irr!BF30="."),s_dir!AI30/((1/1000)*(s_Irr!H30+s_Irr!AG30)),IF(AND(s_Irr!H30&lt;&gt;".",s_Irr!AG30=".",s_Irr!BF30&lt;&gt;"."),s_dir!AI30/((1/1000)*(s_Irr!H30+s_Irr!BF30)),IF(AND(s_Irr!H30=".",s_Irr!AG30&lt;&gt;".",s_Irr!BF30&lt;&gt;"."),s_dir!AI30/((1/1000)*(s_Irr!AG30+s_Irr!BF30)),IF(AND(s_Irr!H30=".",s_Irr!AG30=".",s_Irr!BF30&lt;&gt;"."),s_dir!AI30/((1/1000)*(s_Irr!BF30)),IF(AND(s_Irr!H30=".",s_Irr!AG30&lt;&gt;".",s_Irr!BF30="."),s_dir!AI30/((1/1000)*(s_Irr!AG30)),IF(AND(s_Irr!H30&lt;&gt;".",s_Irr!AG30=".",s_Irr!BF30="."),s_dir!AI30/((1/1000)*(s_Irr!H30)),IF(AND(s_Irr!H30=".",s_Irr!AG30=".",s_Irr!BF30="."),s_dir!AI30*1000)))))))),".")</f>
        <v>217.6104840840145</v>
      </c>
      <c r="BJ30" s="76">
        <f>IFERROR(IF(AND(s_Irr!I30&lt;&gt;".",s_Irr!AH30&lt;&gt;".",s_Irr!BG30&lt;&gt;"."),s_dir!AJ30/((1/1000)*(s_Irr!I30+s_Irr!AH30+s_Irr!BG30)),IF(AND(s_Irr!I30&lt;&gt;".",s_Irr!AH30&lt;&gt;".",s_Irr!BG30="."),s_dir!AJ30/((1/1000)*(s_Irr!I30+s_Irr!AH30)),IF(AND(s_Irr!I30&lt;&gt;".",s_Irr!AH30=".",s_Irr!BG30&lt;&gt;"."),s_dir!AJ30/((1/1000)*(s_Irr!I30+s_Irr!BG30)),IF(AND(s_Irr!I30=".",s_Irr!AH30&lt;&gt;".",s_Irr!BG30&lt;&gt;"."),s_dir!AJ30/((1/1000)*(s_Irr!AH30+s_Irr!BG30)),IF(AND(s_Irr!I30=".",s_Irr!AH30=".",s_Irr!BG30&lt;&gt;"."),s_dir!AJ30/((1/1000)*(s_Irr!BG30)),IF(AND(s_Irr!I30=".",s_Irr!AH30&lt;&gt;".",s_Irr!BG30="."),s_dir!AJ30/((1/1000)*(s_Irr!AH30)),IF(AND(s_Irr!I30&lt;&gt;".",s_Irr!AH30=".",s_Irr!BG30="."),s_dir!AJ30/((1/1000)*(s_Irr!I30)),IF(AND(s_Irr!I30=".",s_Irr!AH30=".",s_Irr!BG30="."),s_dir!AJ30*1000)))))))),".")</f>
        <v>255.13708602941054</v>
      </c>
      <c r="BK30" s="76">
        <f>IFERROR(IF(AND(s_Irr!J30&lt;&gt;".",s_Irr!AI30&lt;&gt;".",s_Irr!BH30&lt;&gt;"."),s_dir!AK30/((1/1000)*(s_Irr!J30+s_Irr!AI30+s_Irr!BH30)),IF(AND(s_Irr!J30&lt;&gt;".",s_Irr!AI30&lt;&gt;".",s_Irr!BH30="."),s_dir!AK30/((1/1000)*(s_Irr!J30+s_Irr!AI30)),IF(AND(s_Irr!J30&lt;&gt;".",s_Irr!AI30=".",s_Irr!BH30&lt;&gt;"."),s_dir!AK30/((1/1000)*(s_Irr!J30+s_Irr!BH30)),IF(AND(s_Irr!J30=".",s_Irr!AI30&lt;&gt;".",s_Irr!BH30&lt;&gt;"."),s_dir!AK30/((1/1000)*(s_Irr!AI30+s_Irr!BH30)),IF(AND(s_Irr!J30=".",s_Irr!AI30=".",s_Irr!BH30&lt;&gt;"."),s_dir!AK30/((1/1000)*(s_Irr!BH30)),IF(AND(s_Irr!J30=".",s_Irr!AI30&lt;&gt;".",s_Irr!BH30="."),s_dir!AK30/((1/1000)*(s_Irr!AI30)),IF(AND(s_Irr!J30&lt;&gt;".",s_Irr!AI30=".",s_Irr!BH30="."),s_dir!AK30/((1/1000)*(s_Irr!J30)),IF(AND(s_Irr!J30=".",s_Irr!AI30=".",s_Irr!BH30="."),s_dir!AK30*1000)))))))),".")</f>
        <v>286.67418512343613</v>
      </c>
      <c r="BL30" s="76">
        <f>IFERROR(IF(AND(s_Irr!K30&lt;&gt;".",s_Irr!AJ30&lt;&gt;".",s_Irr!BI30&lt;&gt;"."),s_dir!AL30/((1/1000)*(s_Irr!K30+s_Irr!AJ30+s_Irr!BI30)),IF(AND(s_Irr!K30&lt;&gt;".",s_Irr!AJ30&lt;&gt;".",s_Irr!BI30="."),s_dir!AL30/((1/1000)*(s_Irr!K30+s_Irr!AJ30)),IF(AND(s_Irr!K30&lt;&gt;".",s_Irr!AJ30=".",s_Irr!BI30&lt;&gt;"."),s_dir!AL30/((1/1000)*(s_Irr!K30+s_Irr!BI30)),IF(AND(s_Irr!K30=".",s_Irr!AJ30&lt;&gt;".",s_Irr!BI30&lt;&gt;"."),s_dir!AL30/((1/1000)*(s_Irr!AJ30+s_Irr!BI30)),IF(AND(s_Irr!K30=".",s_Irr!AJ30=".",s_Irr!BI30&lt;&gt;"."),s_dir!AL30/((1/1000)*(s_Irr!BI30)),IF(AND(s_Irr!K30=".",s_Irr!AJ30&lt;&gt;".",s_Irr!BI30="."),s_dir!AL30/((1/1000)*(s_Irr!AJ30)),IF(AND(s_Irr!K30&lt;&gt;".",s_Irr!AJ30=".",s_Irr!BI30="."),s_dir!AL30/((1/1000)*(s_Irr!K30)),IF(AND(s_Irr!K30=".",s_Irr!AJ30=".",s_Irr!BI30="."),s_dir!AL30*1000)))))))),".")</f>
        <v>232.34047711941699</v>
      </c>
      <c r="BM30" s="76">
        <f>IFERROR(IF(AND(s_Irr!L30&lt;&gt;".",s_Irr!AK30&lt;&gt;".",s_Irr!BJ30&lt;&gt;"."),s_dir!AM30/((1/1000)*(s_Irr!L30+s_Irr!AK30+s_Irr!BJ30)),IF(AND(s_Irr!L30&lt;&gt;".",s_Irr!AK30&lt;&gt;".",s_Irr!BJ30="."),s_dir!AM30/((1/1000)*(s_Irr!L30+s_Irr!AK30)),IF(AND(s_Irr!L30&lt;&gt;".",s_Irr!AK30=".",s_Irr!BJ30&lt;&gt;"."),s_dir!AM30/((1/1000)*(s_Irr!L30+s_Irr!BJ30)),IF(AND(s_Irr!L30=".",s_Irr!AK30&lt;&gt;".",s_Irr!BJ30&lt;&gt;"."),s_dir!AM30/((1/1000)*(s_Irr!AK30+s_Irr!BJ30)),IF(AND(s_Irr!L30=".",s_Irr!AK30=".",s_Irr!BJ30&lt;&gt;"."),s_dir!AM30/((1/1000)*(s_Irr!BJ30)),IF(AND(s_Irr!L30=".",s_Irr!AK30&lt;&gt;".",s_Irr!BJ30="."),s_dir!AM30/((1/1000)*(s_Irr!AK30)),IF(AND(s_Irr!L30&lt;&gt;".",s_Irr!AK30=".",s_Irr!BJ30="."),s_dir!AM30/((1/1000)*(s_Irr!L30)),IF(AND(s_Irr!L30=".",s_Irr!AK30=".",s_Irr!BJ30="."),s_dir!AM30*1000)))))))),".")</f>
        <v>232.34047711941699</v>
      </c>
      <c r="BN30" s="76">
        <f>IFERROR(IF(AND(s_Irr!M30&lt;&gt;".",s_Irr!AL30&lt;&gt;".",s_Irr!BK30&lt;&gt;"."),s_dir!AN30/((1/1000)*(s_Irr!M30+s_Irr!AL30+s_Irr!BK30)),IF(AND(s_Irr!M30&lt;&gt;".",s_Irr!AL30&lt;&gt;".",s_Irr!BK30="."),s_dir!AN30/((1/1000)*(s_Irr!M30+s_Irr!AL30)),IF(AND(s_Irr!M30&lt;&gt;".",s_Irr!AL30=".",s_Irr!BK30&lt;&gt;"."),s_dir!AN30/((1/1000)*(s_Irr!M30+s_Irr!BK30)),IF(AND(s_Irr!M30=".",s_Irr!AL30&lt;&gt;".",s_Irr!BK30&lt;&gt;"."),s_dir!AN30/((1/1000)*(s_Irr!AL30+s_Irr!BK30)),IF(AND(s_Irr!M30=".",s_Irr!AL30=".",s_Irr!BK30&lt;&gt;"."),s_dir!AN30/((1/1000)*(s_Irr!BK30)),IF(AND(s_Irr!M30=".",s_Irr!AL30&lt;&gt;".",s_Irr!BK30="."),s_dir!AN30/((1/1000)*(s_Irr!AL30)),IF(AND(s_Irr!M30&lt;&gt;".",s_Irr!AL30=".",s_Irr!BK30="."),s_dir!AN30/((1/1000)*(s_Irr!M30)),IF(AND(s_Irr!M30=".",s_Irr!AL30=".",s_Irr!BK30="."),s_dir!AN30*1000)))))))),".")</f>
        <v>217.6104840840145</v>
      </c>
      <c r="BO30" s="76">
        <f>IFERROR(IF(AND(s_Irr!N30&lt;&gt;".",s_Irr!AM30&lt;&gt;".",s_Irr!BL30&lt;&gt;"."),s_dir!AO30/((1/1000)*(s_Irr!N30+s_Irr!AM30+s_Irr!BL30)),IF(AND(s_Irr!N30&lt;&gt;".",s_Irr!AM30&lt;&gt;".",s_Irr!BL30="."),s_dir!AO30/((1/1000)*(s_Irr!N30+s_Irr!AM30)),IF(AND(s_Irr!N30&lt;&gt;".",s_Irr!AM30=".",s_Irr!BL30&lt;&gt;"."),s_dir!AO30/((1/1000)*(s_Irr!N30+s_Irr!BL30)),IF(AND(s_Irr!N30=".",s_Irr!AM30&lt;&gt;".",s_Irr!BL30&lt;&gt;"."),s_dir!AO30/((1/1000)*(s_Irr!AM30+s_Irr!BL30)),IF(AND(s_Irr!N30=".",s_Irr!AM30=".",s_Irr!BL30&lt;&gt;"."),s_dir!AO30/((1/1000)*(s_Irr!BL30)),IF(AND(s_Irr!N30=".",s_Irr!AM30&lt;&gt;".",s_Irr!BL30="."),s_dir!AO30/((1/1000)*(s_Irr!AM30)),IF(AND(s_Irr!N30&lt;&gt;".",s_Irr!AM30=".",s_Irr!BL30="."),s_dir!AO30/((1/1000)*(s_Irr!N30)),IF(AND(s_Irr!N30=".",s_Irr!AM30=".",s_Irr!BL30="."),s_dir!AO30*1000)))))))),".")</f>
        <v>281.04083041198692</v>
      </c>
      <c r="BP30" s="76">
        <f>IFERROR(IF(AND(s_Irr!O30&lt;&gt;".",s_Irr!AN30&lt;&gt;".",s_Irr!BM30&lt;&gt;"."),s_dir!AP30/((1/1000)*(s_Irr!O30+s_Irr!AN30+s_Irr!BM30)),IF(AND(s_Irr!O30&lt;&gt;".",s_Irr!AN30&lt;&gt;".",s_Irr!BM30="."),s_dir!AP30/((1/1000)*(s_Irr!O30+s_Irr!AN30)),IF(AND(s_Irr!O30&lt;&gt;".",s_Irr!AN30=".",s_Irr!BM30&lt;&gt;"."),s_dir!AP30/((1/1000)*(s_Irr!O30+s_Irr!BM30)),IF(AND(s_Irr!O30=".",s_Irr!AN30&lt;&gt;".",s_Irr!BM30&lt;&gt;"."),s_dir!AP30/((1/1000)*(s_Irr!AN30+s_Irr!BM30)),IF(AND(s_Irr!O30=".",s_Irr!AN30=".",s_Irr!BM30&lt;&gt;"."),s_dir!AP30/((1/1000)*(s_Irr!BM30)),IF(AND(s_Irr!O30=".",s_Irr!AN30&lt;&gt;".",s_Irr!BM30="."),s_dir!AP30/((1/1000)*(s_Irr!AN30)),IF(AND(s_Irr!O30&lt;&gt;".",s_Irr!AN30=".",s_Irr!BM30="."),s_dir!AP30/((1/1000)*(s_Irr!O30)),IF(AND(s_Irr!O30=".",s_Irr!AN30=".",s_Irr!BM30="."),s_dir!AP30*1000)))))))),".")</f>
        <v>232.34047711941699</v>
      </c>
      <c r="BQ30" s="76">
        <f>IFERROR(IF(AND(s_Irr!P30&lt;&gt;".",s_Irr!AO30&lt;&gt;".",s_Irr!BN30&lt;&gt;"."),s_dir!AQ30/((1/1000)*(s_Irr!P30+s_Irr!AO30+s_Irr!BN30)),IF(AND(s_Irr!P30&lt;&gt;".",s_Irr!AO30&lt;&gt;".",s_Irr!BN30="."),s_dir!AQ30/((1/1000)*(s_Irr!P30+s_Irr!AO30)),IF(AND(s_Irr!P30&lt;&gt;".",s_Irr!AO30=".",s_Irr!BN30&lt;&gt;"."),s_dir!AQ30/((1/1000)*(s_Irr!P30+s_Irr!BN30)),IF(AND(s_Irr!P30=".",s_Irr!AO30&lt;&gt;".",s_Irr!BN30&lt;&gt;"."),s_dir!AQ30/((1/1000)*(s_Irr!AO30+s_Irr!BN30)),IF(AND(s_Irr!P30=".",s_Irr!AO30=".",s_Irr!BN30&lt;&gt;"."),s_dir!AQ30/((1/1000)*(s_Irr!BN30)),IF(AND(s_Irr!P30=".",s_Irr!AO30&lt;&gt;".",s_Irr!BN30="."),s_dir!AQ30/((1/1000)*(s_Irr!AO30)),IF(AND(s_Irr!P30&lt;&gt;".",s_Irr!AO30=".",s_Irr!BN30="."),s_dir!AQ30/((1/1000)*(s_Irr!P30)),IF(AND(s_Irr!P30=".",s_Irr!AO30=".",s_Irr!BN30="."),s_dir!AQ30*1000)))))))),".")</f>
        <v>255.13708602941054</v>
      </c>
      <c r="BR30" s="76">
        <f>IFERROR(IF(AND(s_Irr!Q30&lt;&gt;".",s_Irr!AP30&lt;&gt;".",s_Irr!BO30&lt;&gt;"."),s_dir!AR30/((1/1000)*(s_Irr!Q30+s_Irr!AP30+s_Irr!BO30)),IF(AND(s_Irr!Q30&lt;&gt;".",s_Irr!AP30&lt;&gt;".",s_Irr!BO30="."),s_dir!AR30/((1/1000)*(s_Irr!Q30+s_Irr!AP30)),IF(AND(s_Irr!Q30&lt;&gt;".",s_Irr!AP30=".",s_Irr!BO30&lt;&gt;"."),s_dir!AR30/((1/1000)*(s_Irr!Q30+s_Irr!BO30)),IF(AND(s_Irr!Q30=".",s_Irr!AP30&lt;&gt;".",s_Irr!BO30&lt;&gt;"."),s_dir!AR30/((1/1000)*(s_Irr!AP30+s_Irr!BO30)),IF(AND(s_Irr!Q30=".",s_Irr!AP30=".",s_Irr!BO30&lt;&gt;"."),s_dir!AR30/((1/1000)*(s_Irr!BO30)),IF(AND(s_Irr!Q30=".",s_Irr!AP30&lt;&gt;".",s_Irr!BO30="."),s_dir!AR30/((1/1000)*(s_Irr!AP30)),IF(AND(s_Irr!Q30&lt;&gt;".",s_Irr!AP30=".",s_Irr!BO30="."),s_dir!AR30/((1/1000)*(s_Irr!Q30)),IF(AND(s_Irr!Q30=".",s_Irr!AP30=".",s_Irr!BO30="."),s_dir!AR30*1000)))))))),".")</f>
        <v>286.67418512343613</v>
      </c>
      <c r="BS30" s="76">
        <f>IFERROR(IF(AND(s_Irr!R30&lt;&gt;".",s_Irr!AQ30&lt;&gt;".",s_Irr!BP30&lt;&gt;"."),s_dir!AS30/((1/1000)*(s_Irr!R30+s_Irr!AQ30+s_Irr!BP30)),IF(AND(s_Irr!R30&lt;&gt;".",s_Irr!AQ30&lt;&gt;".",s_Irr!BP30="."),s_dir!AS30/((1/1000)*(s_Irr!R30+s_Irr!AQ30)),IF(AND(s_Irr!R30&lt;&gt;".",s_Irr!AQ30=".",s_Irr!BP30&lt;&gt;"."),s_dir!AS30/((1/1000)*(s_Irr!R30+s_Irr!BP30)),IF(AND(s_Irr!R30=".",s_Irr!AQ30&lt;&gt;".",s_Irr!BP30&lt;&gt;"."),s_dir!AS30/((1/1000)*(s_Irr!AQ30+s_Irr!BP30)),IF(AND(s_Irr!R30=".",s_Irr!AQ30=".",s_Irr!BP30&lt;&gt;"."),s_dir!AS30/((1/1000)*(s_Irr!BP30)),IF(AND(s_Irr!R30=".",s_Irr!AQ30&lt;&gt;".",s_Irr!BP30="."),s_dir!AS30/((1/1000)*(s_Irr!AQ30)),IF(AND(s_Irr!R30&lt;&gt;".",s_Irr!AQ30=".",s_Irr!BP30="."),s_dir!AS30/((1/1000)*(s_Irr!R30)),IF(AND(s_Irr!R30=".",s_Irr!AQ30=".",s_Irr!BP30="."),s_dir!AS30*1000)))))))),".")</f>
        <v>286.67418512343613</v>
      </c>
      <c r="BT30" s="76">
        <f>IFERROR(IF(AND(s_Irr!S30&lt;&gt;".",s_Irr!AR30&lt;&gt;".",s_Irr!BQ30&lt;&gt;"."),s_dir!AT30/((1/1000)*(s_Irr!S30+s_Irr!AR30+s_Irr!BQ30)),IF(AND(s_Irr!S30&lt;&gt;".",s_Irr!AR30&lt;&gt;".",s_Irr!BQ30="."),s_dir!AT30/((1/1000)*(s_Irr!S30+s_Irr!AR30)),IF(AND(s_Irr!S30&lt;&gt;".",s_Irr!AR30=".",s_Irr!BQ30&lt;&gt;"."),s_dir!AT30/((1/1000)*(s_Irr!S30+s_Irr!BQ30)),IF(AND(s_Irr!S30=".",s_Irr!AR30&lt;&gt;".",s_Irr!BQ30&lt;&gt;"."),s_dir!AT30/((1/1000)*(s_Irr!AR30+s_Irr!BQ30)),IF(AND(s_Irr!S30=".",s_Irr!AR30=".",s_Irr!BQ30&lt;&gt;"."),s_dir!AT30/((1/1000)*(s_Irr!BQ30)),IF(AND(s_Irr!S30=".",s_Irr!AR30&lt;&gt;".",s_Irr!BQ30="."),s_dir!AT30/((1/1000)*(s_Irr!AR30)),IF(AND(s_Irr!S30&lt;&gt;".",s_Irr!AR30=".",s_Irr!BQ30="."),s_dir!AT30/((1/1000)*(s_Irr!S30)),IF(AND(s_Irr!S30=".",s_Irr!AR30=".",s_Irr!BQ30="."),s_dir!AT30*1000)))))))),".")</f>
        <v>281.04083041198692</v>
      </c>
      <c r="BU30" s="76">
        <f>IFERROR(IF(AND(s_Irr!T30&lt;&gt;".",s_Irr!AS30&lt;&gt;".",s_Irr!BR30&lt;&gt;"."),s_dir!AU30/((1/1000)*(s_Irr!T30+s_Irr!AS30+s_Irr!BR30)),IF(AND(s_Irr!T30&lt;&gt;".",s_Irr!AS30&lt;&gt;".",s_Irr!BR30="."),s_dir!AU30/((1/1000)*(s_Irr!T30+s_Irr!AS30)),IF(AND(s_Irr!T30&lt;&gt;".",s_Irr!AS30=".",s_Irr!BR30&lt;&gt;"."),s_dir!AU30/((1/1000)*(s_Irr!T30+s_Irr!BR30)),IF(AND(s_Irr!T30=".",s_Irr!AS30&lt;&gt;".",s_Irr!BR30&lt;&gt;"."),s_dir!AU30/((1/1000)*(s_Irr!AS30+s_Irr!BR30)),IF(AND(s_Irr!T30=".",s_Irr!AS30=".",s_Irr!BR30&lt;&gt;"."),s_dir!AU30/((1/1000)*(s_Irr!BR30)),IF(AND(s_Irr!T30=".",s_Irr!AS30&lt;&gt;".",s_Irr!BR30="."),s_dir!AU30/((1/1000)*(s_Irr!AS30)),IF(AND(s_Irr!T30&lt;&gt;".",s_Irr!AS30=".",s_Irr!BR30="."),s_dir!AU30/((1/1000)*(s_Irr!T30)),IF(AND(s_Irr!T30=".",s_Irr!AS30=".",s_Irr!BR30="."),s_dir!AU30*1000)))))))),".")</f>
        <v>232.34047711941699</v>
      </c>
      <c r="BV30" s="76">
        <f>IFERROR(IF(AND(s_Irr!U30&lt;&gt;".",s_Irr!AT30&lt;&gt;".",s_Irr!BS30&lt;&gt;"."),s_dir!AV30/((1/1000)*(s_Irr!U30+s_Irr!AT30+s_Irr!BS30)),IF(AND(s_Irr!U30&lt;&gt;".",s_Irr!AT30&lt;&gt;".",s_Irr!BS30="."),s_dir!AV30/((1/1000)*(s_Irr!U30+s_Irr!AT30)),IF(AND(s_Irr!U30&lt;&gt;".",s_Irr!AT30=".",s_Irr!BS30&lt;&gt;"."),s_dir!AV30/((1/1000)*(s_Irr!U30+s_Irr!BS30)),IF(AND(s_Irr!U30=".",s_Irr!AT30&lt;&gt;".",s_Irr!BS30&lt;&gt;"."),s_dir!AV30/((1/1000)*(s_Irr!AT30+s_Irr!BS30)),IF(AND(s_Irr!U30=".",s_Irr!AT30=".",s_Irr!BS30&lt;&gt;"."),s_dir!AV30/((1/1000)*(s_Irr!BS30)),IF(AND(s_Irr!U30=".",s_Irr!AT30&lt;&gt;".",s_Irr!BS30="."),s_dir!AV30/((1/1000)*(s_Irr!AT30)),IF(AND(s_Irr!U30&lt;&gt;".",s_Irr!AT30=".",s_Irr!BS30="."),s_dir!AV30/((1/1000)*(s_Irr!U30)),IF(AND(s_Irr!U30=".",s_Irr!AT30=".",s_Irr!BS30="."),s_dir!AV30*1000)))))))),".")</f>
        <v>268.71958475877938</v>
      </c>
      <c r="BW30" s="76">
        <f>IFERROR(IF(AND(s_Irr!V30&lt;&gt;".",s_Irr!AU30&lt;&gt;".",s_Irr!BT30&lt;&gt;"."),s_dir!AW30/((1/1000)*(s_Irr!V30+s_Irr!AU30+s_Irr!BT30)),IF(AND(s_Irr!V30&lt;&gt;".",s_Irr!AU30&lt;&gt;".",s_Irr!BT30="."),s_dir!AW30/((1/1000)*(s_Irr!V30+s_Irr!AU30)),IF(AND(s_Irr!V30&lt;&gt;".",s_Irr!AU30=".",s_Irr!BT30&lt;&gt;"."),s_dir!AW30/((1/1000)*(s_Irr!V30+s_Irr!BT30)),IF(AND(s_Irr!V30=".",s_Irr!AU30&lt;&gt;".",s_Irr!BT30&lt;&gt;"."),s_dir!AW30/((1/1000)*(s_Irr!AU30+s_Irr!BT30)),IF(AND(s_Irr!V30=".",s_Irr!AU30=".",s_Irr!BT30&lt;&gt;"."),s_dir!AW30/((1/1000)*(s_Irr!BT30)),IF(AND(s_Irr!V30=".",s_Irr!AU30&lt;&gt;".",s_Irr!BT30="."),s_dir!AW30/((1/1000)*(s_Irr!AU30)),IF(AND(s_Irr!V30&lt;&gt;".",s_Irr!AU30=".",s_Irr!BT30="."),s_dir!AW30/((1/1000)*(s_Irr!V30)),IF(AND(s_Irr!V30=".",s_Irr!AU30=".",s_Irr!BT30="."),s_dir!AW30*1000)))))))),".")</f>
        <v>232.34047711941699</v>
      </c>
      <c r="BX30" s="76">
        <f>IFERROR(IF(AND(s_Irr!W30&lt;&gt;".",s_Irr!AV30&lt;&gt;".",s_Irr!BU30&lt;&gt;"."),s_dir!AX30/((1/1000)*(s_Irr!W30+s_Irr!AV30+s_Irr!BU30)),IF(AND(s_Irr!W30&lt;&gt;".",s_Irr!AV30&lt;&gt;".",s_Irr!BU30="."),s_dir!AX30/((1/1000)*(s_Irr!W30+s_Irr!AV30)),IF(AND(s_Irr!W30&lt;&gt;".",s_Irr!AV30=".",s_Irr!BU30&lt;&gt;"."),s_dir!AX30/((1/1000)*(s_Irr!W30+s_Irr!BU30)),IF(AND(s_Irr!W30=".",s_Irr!AV30&lt;&gt;".",s_Irr!BU30&lt;&gt;"."),s_dir!AX30/((1/1000)*(s_Irr!AV30+s_Irr!BU30)),IF(AND(s_Irr!W30=".",s_Irr!AV30=".",s_Irr!BU30&lt;&gt;"."),s_dir!AX30/((1/1000)*(s_Irr!BU30)),IF(AND(s_Irr!W30=".",s_Irr!AV30&lt;&gt;".",s_Irr!BU30="."),s_dir!AX30/((1/1000)*(s_Irr!AV30)),IF(AND(s_Irr!W30&lt;&gt;".",s_Irr!AV30=".",s_Irr!BU30="."),s_dir!AX30/((1/1000)*(s_Irr!W30)),IF(AND(s_Irr!W30=".",s_Irr!AV30=".",s_Irr!BU30="."),s_dir!AX30*1000)))))))),".")</f>
        <v>281.04083041198692</v>
      </c>
      <c r="BY30" s="76">
        <f>IFERROR(IF(AND(s_Irr!X30&lt;&gt;".",s_Irr!AW30&lt;&gt;".",s_Irr!BV30&lt;&gt;"."),s_dir!AY30/((1/1000)*(s_Irr!X30+s_Irr!AW30+s_Irr!BV30)),IF(AND(s_Irr!X30&lt;&gt;".",s_Irr!AW30&lt;&gt;".",s_Irr!BV30="."),s_dir!AY30/((1/1000)*(s_Irr!X30+s_Irr!AW30)),IF(AND(s_Irr!X30&lt;&gt;".",s_Irr!AW30=".",s_Irr!BV30&lt;&gt;"."),s_dir!AY30/((1/1000)*(s_Irr!X30+s_Irr!BV30)),IF(AND(s_Irr!X30=".",s_Irr!AW30&lt;&gt;".",s_Irr!BV30&lt;&gt;"."),s_dir!AY30/((1/1000)*(s_Irr!AW30+s_Irr!BV30)),IF(AND(s_Irr!X30=".",s_Irr!AW30=".",s_Irr!BV30&lt;&gt;"."),s_dir!AY30/((1/1000)*(s_Irr!BV30)),IF(AND(s_Irr!X30=".",s_Irr!AW30&lt;&gt;".",s_Irr!BV30="."),s_dir!AY30/((1/1000)*(s_Irr!AW30)),IF(AND(s_Irr!X30&lt;&gt;".",s_Irr!AW30=".",s_Irr!BV30="."),s_dir!AY30/((1/1000)*(s_Irr!X30)),IF(AND(s_Irr!X30=".",s_Irr!AW30=".",s_Irr!BV30="."),s_dir!AY30*1000)))))))),".")</f>
        <v>286.67418512343613</v>
      </c>
      <c r="BZ30" s="76">
        <f>IFERROR(IF(AND(s_Irr!Y30&lt;&gt;".",s_Irr!AX30&lt;&gt;".",s_Irr!BW30&lt;&gt;"."),s_dir!AZ30/((1/1000)*(s_Irr!Y30+s_Irr!AX30+s_Irr!BW30)),IF(AND(s_Irr!Y30&lt;&gt;".",s_Irr!AX30&lt;&gt;".",s_Irr!BW30="."),s_dir!AZ30/((1/1000)*(s_Irr!Y30+s_Irr!AX30)),IF(AND(s_Irr!Y30&lt;&gt;".",s_Irr!AX30=".",s_Irr!BW30&lt;&gt;"."),s_dir!AZ30/((1/1000)*(s_Irr!Y30+s_Irr!BW30)),IF(AND(s_Irr!Y30=".",s_Irr!AX30&lt;&gt;".",s_Irr!BW30&lt;&gt;"."),s_dir!AZ30/((1/1000)*(s_Irr!AX30+s_Irr!BW30)),IF(AND(s_Irr!Y30=".",s_Irr!AX30=".",s_Irr!BW30&lt;&gt;"."),s_dir!AZ30/((1/1000)*(s_Irr!BW30)),IF(AND(s_Irr!Y30=".",s_Irr!AX30&lt;&gt;".",s_Irr!BW30="."),s_dir!AZ30/((1/1000)*(s_Irr!AX30)),IF(AND(s_Irr!Y30&lt;&gt;".",s_Irr!AX30=".",s_Irr!BW30="."),s_dir!AZ30/((1/1000)*(s_Irr!Y30)),IF(AND(s_Irr!Y30=".",s_Irr!AX30=".",s_Irr!BW30="."),s_dir!AZ30*1000)))))))),".")</f>
        <v>232.34047711941699</v>
      </c>
      <c r="CA30" s="76">
        <f>IFERROR(IF(AND(s_Irr!Z30&lt;&gt;".",s_Irr!AY30&lt;&gt;".",s_Irr!BX30&lt;&gt;"."),s_dir!BA30/((1/1000)*(s_Irr!Z30+s_Irr!AY30+s_Irr!BX30)),IF(AND(s_Irr!Z30&lt;&gt;".",s_Irr!AY30&lt;&gt;".",s_Irr!BX30="."),s_dir!BA30/((1/1000)*(s_Irr!Z30+s_Irr!AY30)),IF(AND(s_Irr!Z30&lt;&gt;".",s_Irr!AY30=".",s_Irr!BX30&lt;&gt;"."),s_dir!BA30/((1/1000)*(s_Irr!Z30+s_Irr!BX30)),IF(AND(s_Irr!Z30=".",s_Irr!AY30&lt;&gt;".",s_Irr!BX30&lt;&gt;"."),s_dir!BA30/((1/1000)*(s_Irr!AY30+s_Irr!BX30)),IF(AND(s_Irr!Z30=".",s_Irr!AY30=".",s_Irr!BX30&lt;&gt;"."),s_dir!BA30/((1/1000)*(s_Irr!BX30)),IF(AND(s_Irr!Z30=".",s_Irr!AY30&lt;&gt;".",s_Irr!BX30="."),s_dir!BA30/((1/1000)*(s_Irr!AY30)),IF(AND(s_Irr!Z30&lt;&gt;".",s_Irr!AY30=".",s_Irr!BX30="."),s_dir!BA30/((1/1000)*(s_Irr!Z30)),IF(AND(s_Irr!Z30=".",s_Irr!AY30=".",s_Irr!BX30="."),s_dir!BA30*1000)))))))),".")</f>
        <v>290.34554945928119</v>
      </c>
      <c r="CB30" s="76">
        <f>IFERROR(IF(AND(s_Irr!AA30&lt;&gt;".",s_Irr!AZ30&lt;&gt;".",s_Irr!BY30&lt;&gt;"."),s_dir!BB30/((1/1000)*(s_Irr!AA30+s_Irr!AZ30+s_Irr!BY30)),IF(AND(s_Irr!AA30&lt;&gt;".",s_Irr!AZ30&lt;&gt;".",s_Irr!BY30="."),s_dir!BB30/((1/1000)*(s_Irr!AA30+s_Irr!AZ30)),IF(AND(s_Irr!AA30&lt;&gt;".",s_Irr!AZ30=".",s_Irr!BY30&lt;&gt;"."),s_dir!BB30/((1/1000)*(s_Irr!AA30+s_Irr!BY30)),IF(AND(s_Irr!AA30=".",s_Irr!AZ30&lt;&gt;".",s_Irr!BY30&lt;&gt;"."),s_dir!BB30/((1/1000)*(s_Irr!AZ30+s_Irr!BY30)),IF(AND(s_Irr!AA30=".",s_Irr!AZ30=".",s_Irr!BY30&lt;&gt;"."),s_dir!BB30/((1/1000)*(s_Irr!BY30)),IF(AND(s_Irr!AA30=".",s_Irr!AZ30&lt;&gt;".",s_Irr!BY30="."),s_dir!BB30/((1/1000)*(s_Irr!AZ30)),IF(AND(s_Irr!AA30&lt;&gt;".",s_Irr!AZ30=".",s_Irr!BY30="."),s_dir!BB30/((1/1000)*(s_Irr!AA30)),IF(AND(s_Irr!AA30=".",s_Irr!AZ30=".",s_Irr!BY30="."),s_dir!BB30*1000)))))))),".")</f>
        <v>263.76367492824062</v>
      </c>
      <c r="CC30" s="93">
        <f t="shared" si="2"/>
        <v>7751.0591795276232</v>
      </c>
      <c r="CD30" s="93">
        <f>IFERROR(s_C*s_IFAP_far_adj*s_CF_apple*(1/1000)*(s_Irr!C30+s_Irr!AB30+s_Irr!BA30),".")</f>
        <v>1799.1956907768463</v>
      </c>
      <c r="CE30" s="93">
        <f>IFERROR(s_C*s_IFAS_far_adj*s_CF_asparagus*(1/1000)*(s_Irr!D30+s_Irr!AC30+s_Irr!BB30),".")</f>
        <v>2370.2118981175463</v>
      </c>
      <c r="CF30" s="93">
        <f>IFERROR(s_C*s_IFBT_far_adj*s_CF_beet*(1/1000)*(s_Irr!E30+s_Irr!AD30+s_Irr!BC30),".")</f>
        <v>2021.5914767937504</v>
      </c>
      <c r="CG30" s="93">
        <f>IFERROR(s_C*s_IFBE_far_adj*s_CF_berries*(1/1000)*(s_Irr!F30+s_Irr!AE30+s_Irr!BD30),".")</f>
        <v>1799.1956907768463</v>
      </c>
      <c r="CH30" s="93">
        <f>IFERROR(s_C*s_IFBR_far_adj*s_CF_broccoli*(1/1000)*(s_Irr!G30+s_Irr!AF30+s_Irr!BE30),".")</f>
        <v>2219.9444751331516</v>
      </c>
      <c r="CI30" s="93">
        <f>IFERROR(s_C*s_IFCB_far_adj*s_CF_cabbage*(1/1000)*(s_Irr!H30+s_Irr!AG30+s_Irr!BF30),".")</f>
        <v>2370.2118981175463</v>
      </c>
      <c r="CJ30" s="93">
        <f>IFERROR(s_C*s_IFCR_far_adj*s_CF_carrot*(1/1000)*(s_Irr!I30+s_Irr!AH30+s_Irr!BG30),".")</f>
        <v>2021.5914767937504</v>
      </c>
      <c r="CK30" s="93">
        <f>IFERROR(s_C*s_IFCI_far_adj*s_CF_citrus*(1/1000)*(s_Irr!J30+s_Irr!AI30+s_Irr!BH30),".")</f>
        <v>1799.1956907768463</v>
      </c>
      <c r="CL30" s="93">
        <f>IFERROR(s_C*s_IFCO_far_adj*s_CF_corn*(1/1000)*(s_Irr!K30+s_Irr!AJ30+s_Irr!BI30),".")</f>
        <v>2219.9444751331516</v>
      </c>
      <c r="CM30" s="93">
        <f>IFERROR(s_C*s_IFCU_far_adj*s_CF_cucumber*(1/1000)*(s_Irr!L30+s_Irr!AK30+s_Irr!BJ30),".")</f>
        <v>2219.9444751331516</v>
      </c>
      <c r="CN30" s="93">
        <f>IFERROR(s_C*s_IFLE_far_adj*s_CF_lettuce*(1/1000)*(s_Irr!M30+s_Irr!AL30+s_Irr!BK30),".")</f>
        <v>2370.2118981175463</v>
      </c>
      <c r="CO30" s="93">
        <f>IFERROR(s_C*s_IFLI_far_adj*s_CF_lima_bean*(1/1000)*(s_Irr!N30+s_Irr!AM30+s_Irr!BL30),".")</f>
        <v>1835.2598722931011</v>
      </c>
      <c r="CP30" s="93">
        <f>IFERROR(s_C*s_IFOK_far_adj*s_CF_okra*(1/1000)*(s_Irr!O30+s_Irr!AN30+s_Irr!BM30),".")</f>
        <v>2219.9444751331516</v>
      </c>
      <c r="CQ30" s="93">
        <f>IFERROR(s_C*s_IFON_far_adj*s_CF_onion*(1/1000)*(s_Irr!P30+s_Irr!AO30+s_Irr!BN30),".")</f>
        <v>2021.5914767937504</v>
      </c>
      <c r="CR30" s="93">
        <f>IFERROR(s_C*s_IFPC_far_adj*s_CF_peach*(1/1000)*(s_Irr!Q30+s_Irr!AP30+s_Irr!BO30),".")</f>
        <v>1799.1956907768463</v>
      </c>
      <c r="CS30" s="93">
        <f>IFERROR(s_C*s_IFPR_far_adj*s_CF_pear*(1/1000)*(s_Irr!R30+s_Irr!AQ30+s_Irr!BP30),".")</f>
        <v>1799.1956907768463</v>
      </c>
      <c r="CT30" s="93">
        <f>IFERROR(s_C*s_IFPE_far_adj*s_CF_peas*(1/1000)*(s_Irr!S30+s_Irr!AR30+s_Irr!BQ30),".")</f>
        <v>1835.2598722931011</v>
      </c>
      <c r="CU30" s="93">
        <f>IFERROR(s_C*s_IFPP_far_adj*s_CF_peppers*(1/1000)*(s_Irr!T30+s_Irr!AS30+s_Irr!BR30),".")</f>
        <v>2219.9444751331516</v>
      </c>
      <c r="CV30" s="93">
        <f>IFERROR(s_C*s_IFPT_far_adj*s_CF_potato*(1/1000)*(s_Irr!U30+s_Irr!AT30+s_Irr!BS30),".")</f>
        <v>1919.4096291643621</v>
      </c>
      <c r="CW30" s="93">
        <f>IFERROR(s_C*s_IFPU_far_adj*s_CF_pumpkin*(1/1000)*(s_Irr!V30+s_Irr!AU30+s_Irr!BT30),".")</f>
        <v>2219.9444751331516</v>
      </c>
      <c r="CX30" s="93">
        <f>IFERROR(s_C*s_IFSN_far_adj*s_CF_snap_bean*(1/1000)*(s_Irr!W30+s_Irr!AV30+s_Irr!BU30),".")</f>
        <v>1835.2598722931011</v>
      </c>
      <c r="CY30" s="93">
        <f>IFERROR(s_C*s_IFST_far_adj*s_CF_strawberry*(1/1000)*(s_Irr!X30+s_Irr!AW30+s_Irr!BV30),".")</f>
        <v>1799.1956907768463</v>
      </c>
      <c r="CZ30" s="93">
        <f>IFERROR(s_C*s_IFTO_far_adj*s_CF_tomato*(1/1000)*(s_Irr!Y30+s_Irr!AX30+s_Irr!BW30),".")</f>
        <v>2219.9444751331516</v>
      </c>
      <c r="DA30" s="93">
        <f>IFERROR(s_C*s_IFRI_far_adj*s_CF_rice*(1/1000)*(s_Irr!Z30+s_Irr!AY30+s_Irr!BX30),".")</f>
        <v>1776.4452029370091</v>
      </c>
      <c r="DB30" s="93">
        <f>IFERROR(s_C*s_IFCG_far_adj*s_CF_cereal*(1/1000)*(s_Irr!AA30+s_Irr!AZ30+s_Irr!BY30),".")</f>
        <v>1955.4738106806167</v>
      </c>
    </row>
    <row r="31" spans="1:106" x14ac:dyDescent="0.25">
      <c r="A31" s="95" t="s">
        <v>13</v>
      </c>
      <c r="B31" s="95" t="s">
        <v>1071</v>
      </c>
      <c r="C31" s="96">
        <f>IFERROR(1/SUM(C32:C44),0)</f>
        <v>6.3966856965849859</v>
      </c>
      <c r="D31" s="96">
        <f>IFERROR(1/SUM(D32:D44),0)</f>
        <v>26.23938059785057</v>
      </c>
      <c r="E31" s="96">
        <f>IFERROR(1/SUM(E32:E44),0)</f>
        <v>20.755612823237925</v>
      </c>
      <c r="F31" s="96">
        <f t="shared" ref="F31:AB31" si="6">IFERROR(1/SUM(F32:F44),0)</f>
        <v>22.092008599090846</v>
      </c>
      <c r="G31" s="96">
        <f t="shared" si="6"/>
        <v>26.196941683264424</v>
      </c>
      <c r="H31" s="96">
        <f t="shared" si="6"/>
        <v>24.672739731059902</v>
      </c>
      <c r="I31" s="96">
        <f t="shared" si="6"/>
        <v>20.755612823237925</v>
      </c>
      <c r="J31" s="96">
        <f t="shared" si="6"/>
        <v>22.092008599090846</v>
      </c>
      <c r="K31" s="96">
        <f t="shared" si="6"/>
        <v>26.23938059785057</v>
      </c>
      <c r="L31" s="96">
        <f t="shared" si="6"/>
        <v>25.992074968978905</v>
      </c>
      <c r="M31" s="96">
        <f t="shared" si="6"/>
        <v>24.672739731059902</v>
      </c>
      <c r="N31" s="96">
        <f t="shared" si="6"/>
        <v>20.755612823237925</v>
      </c>
      <c r="O31" s="96">
        <f t="shared" si="6"/>
        <v>25.371718232366788</v>
      </c>
      <c r="P31" s="96">
        <f t="shared" si="6"/>
        <v>24.672739731059902</v>
      </c>
      <c r="Q31" s="96">
        <f t="shared" si="6"/>
        <v>22.092008599090846</v>
      </c>
      <c r="R31" s="96">
        <f t="shared" si="6"/>
        <v>26.23938059785057</v>
      </c>
      <c r="S31" s="96">
        <f t="shared" si="6"/>
        <v>26.23938059785057</v>
      </c>
      <c r="T31" s="96">
        <f t="shared" si="6"/>
        <v>25.371718232366788</v>
      </c>
      <c r="U31" s="96">
        <f>IFERROR(1/SUM(U32:U44),0)</f>
        <v>24.672739731059902</v>
      </c>
      <c r="V31" s="96">
        <f t="shared" si="6"/>
        <v>25.863018563895356</v>
      </c>
      <c r="W31" s="96">
        <f t="shared" si="6"/>
        <v>24.672739731059902</v>
      </c>
      <c r="X31" s="96">
        <f t="shared" si="6"/>
        <v>25.371718232366788</v>
      </c>
      <c r="Y31" s="96">
        <f t="shared" si="6"/>
        <v>26.235014477182897</v>
      </c>
      <c r="Z31" s="96">
        <f t="shared" si="6"/>
        <v>24.672739731059902</v>
      </c>
      <c r="AA31" s="96">
        <f t="shared" si="6"/>
        <v>26.163152733826958</v>
      </c>
      <c r="AB31" s="96">
        <f t="shared" si="6"/>
        <v>25.336951809944605</v>
      </c>
      <c r="AC31" s="47">
        <f t="shared" si="5"/>
        <v>7.8165518502354771E-6</v>
      </c>
      <c r="AD31" s="97">
        <f t="shared" ref="AD31:BB31" si="7">IFERROR(IF(SUM(AD32:AD44)&gt;0.01,1-EXP(-(SUM(AD32:AD44))),SUM(AD32:AD44)),".")</f>
        <v>1.9055337811825729E-6</v>
      </c>
      <c r="AE31" s="97">
        <f t="shared" si="7"/>
        <v>2.4089881009482163E-6</v>
      </c>
      <c r="AF31" s="97">
        <f t="shared" si="7"/>
        <v>2.2632628468533909E-6</v>
      </c>
      <c r="AG31" s="97">
        <f t="shared" si="7"/>
        <v>1.9086207347705915E-6</v>
      </c>
      <c r="AH31" s="97">
        <f t="shared" si="7"/>
        <v>2.0265290933140836E-6</v>
      </c>
      <c r="AI31" s="97">
        <f t="shared" si="7"/>
        <v>2.4089881009482163E-6</v>
      </c>
      <c r="AJ31" s="97">
        <f t="shared" si="7"/>
        <v>2.2632628468533909E-6</v>
      </c>
      <c r="AK31" s="97">
        <f t="shared" si="7"/>
        <v>1.9055337811825729E-6</v>
      </c>
      <c r="AL31" s="97">
        <f t="shared" si="7"/>
        <v>1.9236642463092886E-6</v>
      </c>
      <c r="AM31" s="97">
        <f t="shared" si="7"/>
        <v>2.0265290933140836E-6</v>
      </c>
      <c r="AN31" s="97">
        <f t="shared" si="7"/>
        <v>2.4089881009482163E-6</v>
      </c>
      <c r="AO31" s="97">
        <f t="shared" si="7"/>
        <v>1.9706992055033527E-6</v>
      </c>
      <c r="AP31" s="97">
        <f t="shared" si="7"/>
        <v>2.0265290933140836E-6</v>
      </c>
      <c r="AQ31" s="97">
        <f t="shared" si="7"/>
        <v>2.2632628468533909E-6</v>
      </c>
      <c r="AR31" s="97">
        <f t="shared" si="7"/>
        <v>1.9055337811825729E-6</v>
      </c>
      <c r="AS31" s="97">
        <f t="shared" si="7"/>
        <v>1.9055337811825729E-6</v>
      </c>
      <c r="AT31" s="97">
        <f t="shared" si="7"/>
        <v>1.9706992055033527E-6</v>
      </c>
      <c r="AU31" s="97">
        <f t="shared" ref="AU31" si="8">IFERROR(IF(SUM(AU32:AU44)&gt;0.01,1-EXP(-(SUM(AU32:AU44))),SUM(AU32:AU44)),".")</f>
        <v>2.0265290933140836E-6</v>
      </c>
      <c r="AV31" s="97">
        <f t="shared" si="7"/>
        <v>1.9332633225139414E-6</v>
      </c>
      <c r="AW31" s="97">
        <f t="shared" si="7"/>
        <v>2.0265290933140836E-6</v>
      </c>
      <c r="AX31" s="97">
        <f t="shared" si="7"/>
        <v>1.9706992055033527E-6</v>
      </c>
      <c r="AY31" s="97">
        <f t="shared" si="7"/>
        <v>1.9058509064536436E-6</v>
      </c>
      <c r="AZ31" s="97">
        <f t="shared" si="7"/>
        <v>2.0265290933140836E-6</v>
      </c>
      <c r="BA31" s="97">
        <f t="shared" si="7"/>
        <v>1.9110856371399325E-6</v>
      </c>
      <c r="BB31" s="97">
        <f t="shared" si="7"/>
        <v>1.9734033385988884E-6</v>
      </c>
      <c r="BC31" s="98">
        <f>IFERROR(1/SUM(BC32:BC44),0)</f>
        <v>6.3966856965849859</v>
      </c>
      <c r="BD31" s="98">
        <f>IFERROR(1/SUM(BD32:BD44),0)</f>
        <v>26.23938059785057</v>
      </c>
      <c r="BE31" s="98">
        <f>IFERROR(1/SUM(BE32:BE44),0)</f>
        <v>20.755612823237925</v>
      </c>
      <c r="BF31" s="98">
        <f t="shared" ref="BF31:CB31" si="9">IFERROR(1/SUM(BF32:BF44),0)</f>
        <v>22.092008599090846</v>
      </c>
      <c r="BG31" s="98">
        <f t="shared" si="9"/>
        <v>26.196941683264424</v>
      </c>
      <c r="BH31" s="98">
        <f t="shared" si="9"/>
        <v>24.672739731059902</v>
      </c>
      <c r="BI31" s="98">
        <f t="shared" si="9"/>
        <v>20.755612823237925</v>
      </c>
      <c r="BJ31" s="98">
        <f t="shared" si="9"/>
        <v>22.092008599090846</v>
      </c>
      <c r="BK31" s="98">
        <f t="shared" si="9"/>
        <v>26.23938059785057</v>
      </c>
      <c r="BL31" s="98">
        <f t="shared" si="9"/>
        <v>25.992074968978905</v>
      </c>
      <c r="BM31" s="98">
        <f t="shared" si="9"/>
        <v>24.672739731059902</v>
      </c>
      <c r="BN31" s="98">
        <f t="shared" si="9"/>
        <v>20.755612823237925</v>
      </c>
      <c r="BO31" s="98">
        <f t="shared" si="9"/>
        <v>25.371718232366788</v>
      </c>
      <c r="BP31" s="98">
        <f t="shared" si="9"/>
        <v>24.672739731059902</v>
      </c>
      <c r="BQ31" s="98">
        <f t="shared" si="9"/>
        <v>22.092008599090846</v>
      </c>
      <c r="BR31" s="98">
        <f t="shared" si="9"/>
        <v>26.23938059785057</v>
      </c>
      <c r="BS31" s="98">
        <f t="shared" si="9"/>
        <v>26.23938059785057</v>
      </c>
      <c r="BT31" s="98">
        <f t="shared" si="9"/>
        <v>25.371718232366788</v>
      </c>
      <c r="BU31" s="98">
        <f t="shared" ref="BU31" si="10">IFERROR(1/SUM(BU32:BU44),0)</f>
        <v>24.672739731059902</v>
      </c>
      <c r="BV31" s="98">
        <f t="shared" si="9"/>
        <v>25.863018563895356</v>
      </c>
      <c r="BW31" s="98">
        <f t="shared" si="9"/>
        <v>24.672739731059902</v>
      </c>
      <c r="BX31" s="98">
        <f t="shared" si="9"/>
        <v>25.371718232366788</v>
      </c>
      <c r="BY31" s="98">
        <f t="shared" si="9"/>
        <v>26.235014477182897</v>
      </c>
      <c r="BZ31" s="98">
        <f t="shared" si="9"/>
        <v>24.672739731059902</v>
      </c>
      <c r="CA31" s="98">
        <f t="shared" si="9"/>
        <v>26.163152733826958</v>
      </c>
      <c r="CB31" s="98">
        <f t="shared" si="9"/>
        <v>25.336951809944605</v>
      </c>
      <c r="CC31" s="47">
        <f t="shared" si="2"/>
        <v>7.8165518502354771E-6</v>
      </c>
      <c r="CD31" s="97">
        <f t="shared" ref="CD31:DB31" si="11">IFERROR(IF(SUM(CD32:CD44)&gt;0.01,1-EXP(-(SUM(CD32:CD44))),SUM(CD32:CD44)),".")</f>
        <v>1.9055337811825729E-6</v>
      </c>
      <c r="CE31" s="97">
        <f t="shared" si="11"/>
        <v>2.4089881009482163E-6</v>
      </c>
      <c r="CF31" s="97">
        <f t="shared" si="11"/>
        <v>2.2632628468533909E-6</v>
      </c>
      <c r="CG31" s="97">
        <f t="shared" si="11"/>
        <v>1.9086207347705915E-6</v>
      </c>
      <c r="CH31" s="97">
        <f t="shared" si="11"/>
        <v>2.0265290933140836E-6</v>
      </c>
      <c r="CI31" s="97">
        <f t="shared" si="11"/>
        <v>2.4089881009482163E-6</v>
      </c>
      <c r="CJ31" s="97">
        <f t="shared" si="11"/>
        <v>2.2632628468533909E-6</v>
      </c>
      <c r="CK31" s="97">
        <f t="shared" si="11"/>
        <v>1.9055337811825729E-6</v>
      </c>
      <c r="CL31" s="97">
        <f t="shared" si="11"/>
        <v>1.9236642463092886E-6</v>
      </c>
      <c r="CM31" s="97">
        <f t="shared" si="11"/>
        <v>2.0265290933140836E-6</v>
      </c>
      <c r="CN31" s="97">
        <f t="shared" si="11"/>
        <v>2.4089881009482163E-6</v>
      </c>
      <c r="CO31" s="97">
        <f t="shared" si="11"/>
        <v>1.9706992055033527E-6</v>
      </c>
      <c r="CP31" s="97">
        <f t="shared" si="11"/>
        <v>2.0265290933140836E-6</v>
      </c>
      <c r="CQ31" s="97">
        <f t="shared" si="11"/>
        <v>2.2632628468533909E-6</v>
      </c>
      <c r="CR31" s="97">
        <f t="shared" si="11"/>
        <v>1.9055337811825729E-6</v>
      </c>
      <c r="CS31" s="97">
        <f t="shared" si="11"/>
        <v>1.9055337811825729E-6</v>
      </c>
      <c r="CT31" s="97">
        <f t="shared" si="11"/>
        <v>1.9706992055033527E-6</v>
      </c>
      <c r="CU31" s="97">
        <f t="shared" si="11"/>
        <v>2.0265290933140836E-6</v>
      </c>
      <c r="CV31" s="97">
        <f t="shared" si="11"/>
        <v>1.9332633225139414E-6</v>
      </c>
      <c r="CW31" s="97">
        <f t="shared" si="11"/>
        <v>2.0265290933140836E-6</v>
      </c>
      <c r="CX31" s="97">
        <f t="shared" si="11"/>
        <v>1.9706992055033527E-6</v>
      </c>
      <c r="CY31" s="97">
        <f t="shared" si="11"/>
        <v>1.9058509064536436E-6</v>
      </c>
      <c r="CZ31" s="97">
        <f t="shared" si="11"/>
        <v>2.0265290933140836E-6</v>
      </c>
      <c r="DA31" s="97">
        <f t="shared" si="11"/>
        <v>1.9110856371399325E-6</v>
      </c>
      <c r="DB31" s="97">
        <f t="shared" si="11"/>
        <v>1.9734033385988884E-6</v>
      </c>
    </row>
    <row r="32" spans="1:106" x14ac:dyDescent="0.25">
      <c r="A32" s="99" t="s">
        <v>1099</v>
      </c>
      <c r="B32" s="90">
        <v>1</v>
      </c>
      <c r="C32" s="100">
        <f>IFERROR($B32/C3,0)</f>
        <v>1.901778849203338E-2</v>
      </c>
      <c r="D32" s="100">
        <f t="shared" ref="D32:AB32" si="12">IFERROR($B32/D3,0)</f>
        <v>4.7285753208304799E-3</v>
      </c>
      <c r="E32" s="100">
        <f t="shared" si="12"/>
        <v>4.7477634068522328E-3</v>
      </c>
      <c r="F32" s="100">
        <f t="shared" si="12"/>
        <v>4.779877358353073E-3</v>
      </c>
      <c r="G32" s="100">
        <f t="shared" si="12"/>
        <v>4.7903143925908474E-3</v>
      </c>
      <c r="H32" s="100">
        <f t="shared" si="12"/>
        <v>4.7549890459399214E-3</v>
      </c>
      <c r="I32" s="100">
        <f t="shared" si="12"/>
        <v>4.7477634068522328E-3</v>
      </c>
      <c r="J32" s="100">
        <f t="shared" si="12"/>
        <v>4.779877358353073E-3</v>
      </c>
      <c r="K32" s="100">
        <f t="shared" si="12"/>
        <v>4.7285753208304799E-3</v>
      </c>
      <c r="L32" s="100">
        <f t="shared" si="12"/>
        <v>4.7301007335267698E-3</v>
      </c>
      <c r="M32" s="100">
        <f t="shared" si="12"/>
        <v>4.7549890459399214E-3</v>
      </c>
      <c r="N32" s="100">
        <f t="shared" si="12"/>
        <v>4.7477634068522328E-3</v>
      </c>
      <c r="O32" s="100">
        <f t="shared" si="12"/>
        <v>4.7565947435149634E-3</v>
      </c>
      <c r="P32" s="100">
        <f t="shared" si="12"/>
        <v>4.7549890459399214E-3</v>
      </c>
      <c r="Q32" s="100">
        <f t="shared" si="12"/>
        <v>4.779877358353073E-3</v>
      </c>
      <c r="R32" s="100">
        <f t="shared" si="12"/>
        <v>4.7285753208304799E-3</v>
      </c>
      <c r="S32" s="100">
        <f t="shared" si="12"/>
        <v>4.7285753208304799E-3</v>
      </c>
      <c r="T32" s="100">
        <f t="shared" si="12"/>
        <v>4.7565947435149634E-3</v>
      </c>
      <c r="U32" s="100">
        <f t="shared" ref="U32" si="13">IFERROR($B32/U3,0)</f>
        <v>4.7549890459399214E-3</v>
      </c>
      <c r="V32" s="100">
        <f t="shared" si="12"/>
        <v>4.7429463141271059E-3</v>
      </c>
      <c r="W32" s="100">
        <f t="shared" si="12"/>
        <v>4.7549890459399214E-3</v>
      </c>
      <c r="X32" s="100">
        <f t="shared" si="12"/>
        <v>4.7565947435149634E-3</v>
      </c>
      <c r="Y32" s="100">
        <f t="shared" si="12"/>
        <v>4.7349178262518958E-3</v>
      </c>
      <c r="Z32" s="100">
        <f t="shared" si="12"/>
        <v>4.7549890459399214E-3</v>
      </c>
      <c r="AA32" s="100">
        <f t="shared" si="12"/>
        <v>4.8063713683412675E-3</v>
      </c>
      <c r="AB32" s="100">
        <f t="shared" si="12"/>
        <v>4.7278527569217113E-3</v>
      </c>
      <c r="AC32" s="49">
        <f t="shared" si="5"/>
        <v>9.5088942460166914E-7</v>
      </c>
      <c r="AD32" s="101">
        <f>IFERROR(s_RadSpec!$H$3*(AD3/$B32),".")</f>
        <v>2.3642876604152405E-7</v>
      </c>
      <c r="AE32" s="101">
        <f>IFERROR(s_RadSpec!$H$3*(AE3/$B32),".")</f>
        <v>2.3738817034261166E-7</v>
      </c>
      <c r="AF32" s="101">
        <f>IFERROR(s_RadSpec!$H$3*(AF3/$B32),".")</f>
        <v>2.3899386791765368E-7</v>
      </c>
      <c r="AG32" s="101">
        <f>IFERROR(s_RadSpec!$H$3*(AG3/$B32),".")</f>
        <v>2.3951571962954236E-7</v>
      </c>
      <c r="AH32" s="101">
        <f>IFERROR(s_RadSpec!$H$3*(AH3/$B32),".")</f>
        <v>2.3774945229699611E-7</v>
      </c>
      <c r="AI32" s="101">
        <f>IFERROR(s_RadSpec!$H$3*(AI3/$B32),".")</f>
        <v>2.3738817034261166E-7</v>
      </c>
      <c r="AJ32" s="101">
        <f>IFERROR(s_RadSpec!$H$3*(AJ3/$B32),".")</f>
        <v>2.3899386791765368E-7</v>
      </c>
      <c r="AK32" s="101">
        <f>IFERROR(s_RadSpec!$H$3*(AK3/$B32),".")</f>
        <v>2.3642876604152405E-7</v>
      </c>
      <c r="AL32" s="101">
        <f>IFERROR(s_RadSpec!$H$3*(AL3/$B32),".")</f>
        <v>2.3650503667633851E-7</v>
      </c>
      <c r="AM32" s="101">
        <f>IFERROR(s_RadSpec!$H$3*(AM3/$B32),".")</f>
        <v>2.3774945229699611E-7</v>
      </c>
      <c r="AN32" s="101">
        <f>IFERROR(s_RadSpec!$H$3*(AN3/$B32),".")</f>
        <v>2.3738817034261166E-7</v>
      </c>
      <c r="AO32" s="101">
        <f>IFERROR(s_RadSpec!$H$3*(AO3/$B32),".")</f>
        <v>2.3782973717574817E-7</v>
      </c>
      <c r="AP32" s="101">
        <f>IFERROR(s_RadSpec!$H$3*(AP3/$B32),".")</f>
        <v>2.3774945229699611E-7</v>
      </c>
      <c r="AQ32" s="101">
        <f>IFERROR(s_RadSpec!$H$3*(AQ3/$B32),".")</f>
        <v>2.3899386791765368E-7</v>
      </c>
      <c r="AR32" s="101">
        <f>IFERROR(s_RadSpec!$H$3*(AR3/$B32),".")</f>
        <v>2.3642876604152405E-7</v>
      </c>
      <c r="AS32" s="101">
        <f>IFERROR(s_RadSpec!$H$3*(AS3/$B32),".")</f>
        <v>2.3642876604152405E-7</v>
      </c>
      <c r="AT32" s="101">
        <f>IFERROR(s_RadSpec!$H$3*(AT3/$B32),".")</f>
        <v>2.3782973717574817E-7</v>
      </c>
      <c r="AU32" s="101">
        <f>IFERROR(s_RadSpec!$H$3*(AU3/$B32),".")</f>
        <v>2.3774945229699611E-7</v>
      </c>
      <c r="AV32" s="101">
        <f>IFERROR(s_RadSpec!$H$3*(AV3/$B32),".")</f>
        <v>2.3714731570635531E-7</v>
      </c>
      <c r="AW32" s="101">
        <f>IFERROR(s_RadSpec!$H$3*(AW3/$B32),".")</f>
        <v>2.3774945229699611E-7</v>
      </c>
      <c r="AX32" s="101">
        <f>IFERROR(s_RadSpec!$H$3*(AX3/$B32),".")</f>
        <v>2.3782973717574817E-7</v>
      </c>
      <c r="AY32" s="101">
        <f>IFERROR(s_RadSpec!$H$3*(AY3/$B32),".")</f>
        <v>2.3674589131259481E-7</v>
      </c>
      <c r="AZ32" s="101">
        <f>IFERROR(s_RadSpec!$H$3*(AZ3/$B32),".")</f>
        <v>2.3774945229699611E-7</v>
      </c>
      <c r="BA32" s="101">
        <f>IFERROR(s_RadSpec!$H$3*(BA3/$B32),".")</f>
        <v>2.4031856841706337E-7</v>
      </c>
      <c r="BB32" s="101">
        <f>IFERROR(s_RadSpec!$H$3*(BB3/$B32),".")</f>
        <v>2.3639263784608557E-7</v>
      </c>
      <c r="BC32" s="100">
        <f t="shared" ref="BC32" si="14">IFERROR($B32/BC3,0)</f>
        <v>1.901778849203338E-2</v>
      </c>
      <c r="BD32" s="100">
        <f t="shared" ref="BD32:CB32" si="15">IFERROR($B32/BD3,0)</f>
        <v>4.7285753208304799E-3</v>
      </c>
      <c r="BE32" s="100">
        <f t="shared" si="15"/>
        <v>4.7477634068522328E-3</v>
      </c>
      <c r="BF32" s="100">
        <f t="shared" si="15"/>
        <v>4.779877358353073E-3</v>
      </c>
      <c r="BG32" s="100">
        <f t="shared" si="15"/>
        <v>4.7903143925908474E-3</v>
      </c>
      <c r="BH32" s="100">
        <f t="shared" si="15"/>
        <v>4.7549890459399214E-3</v>
      </c>
      <c r="BI32" s="100">
        <f t="shared" si="15"/>
        <v>4.7477634068522328E-3</v>
      </c>
      <c r="BJ32" s="100">
        <f t="shared" si="15"/>
        <v>4.779877358353073E-3</v>
      </c>
      <c r="BK32" s="100">
        <f t="shared" si="15"/>
        <v>4.7285753208304799E-3</v>
      </c>
      <c r="BL32" s="100">
        <f t="shared" si="15"/>
        <v>4.7301007335267698E-3</v>
      </c>
      <c r="BM32" s="100">
        <f t="shared" si="15"/>
        <v>4.7549890459399214E-3</v>
      </c>
      <c r="BN32" s="100">
        <f t="shared" si="15"/>
        <v>4.7477634068522328E-3</v>
      </c>
      <c r="BO32" s="100">
        <f t="shared" si="15"/>
        <v>4.7565947435149634E-3</v>
      </c>
      <c r="BP32" s="100">
        <f t="shared" si="15"/>
        <v>4.7549890459399214E-3</v>
      </c>
      <c r="BQ32" s="100">
        <f t="shared" si="15"/>
        <v>4.779877358353073E-3</v>
      </c>
      <c r="BR32" s="100">
        <f t="shared" si="15"/>
        <v>4.7285753208304799E-3</v>
      </c>
      <c r="BS32" s="100">
        <f t="shared" si="15"/>
        <v>4.7285753208304799E-3</v>
      </c>
      <c r="BT32" s="100">
        <f t="shared" si="15"/>
        <v>4.7565947435149634E-3</v>
      </c>
      <c r="BU32" s="100">
        <f t="shared" ref="BU32" si="16">IFERROR($B32/BU3,0)</f>
        <v>4.7549890459399214E-3</v>
      </c>
      <c r="BV32" s="100">
        <f t="shared" si="15"/>
        <v>4.7429463141271059E-3</v>
      </c>
      <c r="BW32" s="100">
        <f t="shared" si="15"/>
        <v>4.7549890459399214E-3</v>
      </c>
      <c r="BX32" s="100">
        <f t="shared" si="15"/>
        <v>4.7565947435149634E-3</v>
      </c>
      <c r="BY32" s="100">
        <f t="shared" si="15"/>
        <v>4.7349178262518958E-3</v>
      </c>
      <c r="BZ32" s="100">
        <f t="shared" si="15"/>
        <v>4.7549890459399214E-3</v>
      </c>
      <c r="CA32" s="100">
        <f t="shared" si="15"/>
        <v>4.8063713683412675E-3</v>
      </c>
      <c r="CB32" s="100">
        <f t="shared" si="15"/>
        <v>4.7278527569217113E-3</v>
      </c>
      <c r="CC32" s="49">
        <f t="shared" si="2"/>
        <v>9.5088942460166914E-7</v>
      </c>
      <c r="CD32" s="101">
        <f>IFERROR(s_RadSpec!$H$3*(CD3/$B32),".")</f>
        <v>2.3642876604152405E-7</v>
      </c>
      <c r="CE32" s="101">
        <f>IFERROR(s_RadSpec!$H$3*(CE3/$B32),".")</f>
        <v>2.3738817034261166E-7</v>
      </c>
      <c r="CF32" s="101">
        <f>IFERROR(s_RadSpec!$H$3*(CF3/$B32),".")</f>
        <v>2.3899386791765368E-7</v>
      </c>
      <c r="CG32" s="101">
        <f>IFERROR(s_RadSpec!$H$3*(CG3/$B32),".")</f>
        <v>2.3951571962954236E-7</v>
      </c>
      <c r="CH32" s="101">
        <f>IFERROR(s_RadSpec!$H$3*(CH3/$B32),".")</f>
        <v>2.3774945229699611E-7</v>
      </c>
      <c r="CI32" s="101">
        <f>IFERROR(s_RadSpec!$H$3*(CI3/$B32),".")</f>
        <v>2.3738817034261166E-7</v>
      </c>
      <c r="CJ32" s="101">
        <f>IFERROR(s_RadSpec!$H$3*(CJ3/$B32),".")</f>
        <v>2.3899386791765368E-7</v>
      </c>
      <c r="CK32" s="101">
        <f>IFERROR(s_RadSpec!$H$3*(CK3/$B32),".")</f>
        <v>2.3642876604152405E-7</v>
      </c>
      <c r="CL32" s="101">
        <f>IFERROR(s_RadSpec!$H$3*(CL3/$B32),".")</f>
        <v>2.3650503667633851E-7</v>
      </c>
      <c r="CM32" s="101">
        <f>IFERROR(s_RadSpec!$H$3*(CM3/$B32),".")</f>
        <v>2.3774945229699611E-7</v>
      </c>
      <c r="CN32" s="101">
        <f>IFERROR(s_RadSpec!$H$3*(CN3/$B32),".")</f>
        <v>2.3738817034261166E-7</v>
      </c>
      <c r="CO32" s="101">
        <f>IFERROR(s_RadSpec!$H$3*(CO3/$B32),".")</f>
        <v>2.3782973717574817E-7</v>
      </c>
      <c r="CP32" s="101">
        <f>IFERROR(s_RadSpec!$H$3*(CP3/$B32),".")</f>
        <v>2.3774945229699611E-7</v>
      </c>
      <c r="CQ32" s="101">
        <f>IFERROR(s_RadSpec!$H$3*(CQ3/$B32),".")</f>
        <v>2.3899386791765368E-7</v>
      </c>
      <c r="CR32" s="101">
        <f>IFERROR(s_RadSpec!$H$3*(CR3/$B32),".")</f>
        <v>2.3642876604152405E-7</v>
      </c>
      <c r="CS32" s="101">
        <f>IFERROR(s_RadSpec!$H$3*(CS3/$B32),".")</f>
        <v>2.3642876604152405E-7</v>
      </c>
      <c r="CT32" s="101">
        <f>IFERROR(s_RadSpec!$H$3*(CT3/$B32),".")</f>
        <v>2.3782973717574817E-7</v>
      </c>
      <c r="CU32" s="101">
        <f>IFERROR(s_RadSpec!$H$3*(CU3/$B32),".")</f>
        <v>2.3774945229699611E-7</v>
      </c>
      <c r="CV32" s="101">
        <f>IFERROR(s_RadSpec!$H$3*(CV3/$B32),".")</f>
        <v>2.3714731570635531E-7</v>
      </c>
      <c r="CW32" s="101">
        <f>IFERROR(s_RadSpec!$H$3*(CW3/$B32),".")</f>
        <v>2.3774945229699611E-7</v>
      </c>
      <c r="CX32" s="101">
        <f>IFERROR(s_RadSpec!$H$3*(CX3/$B32),".")</f>
        <v>2.3782973717574817E-7</v>
      </c>
      <c r="CY32" s="101">
        <f>IFERROR(s_RadSpec!$H$3*(CY3/$B32),".")</f>
        <v>2.3674589131259481E-7</v>
      </c>
      <c r="CZ32" s="101">
        <f>IFERROR(s_RadSpec!$H$3*(CZ3/$B32),".")</f>
        <v>2.3774945229699611E-7</v>
      </c>
      <c r="DA32" s="101">
        <f>IFERROR(s_RadSpec!$H$3*(DA3/$B32),".")</f>
        <v>2.4031856841706337E-7</v>
      </c>
      <c r="DB32" s="101">
        <f>IFERROR(s_RadSpec!$H$3*(DB3/$B32),".")</f>
        <v>2.3639263784608557E-7</v>
      </c>
    </row>
    <row r="33" spans="1:106" x14ac:dyDescent="0.25">
      <c r="A33" s="99" t="s">
        <v>1075</v>
      </c>
      <c r="B33" s="90">
        <v>1</v>
      </c>
      <c r="C33" s="100">
        <f t="shared" ref="C33" si="17">IFERROR($B33/C13,0)</f>
        <v>1.3782566713848463E-2</v>
      </c>
      <c r="D33" s="100">
        <f t="shared" ref="D33:AB33" si="18">IFERROR($B33/D13,0)</f>
        <v>2.94747511778425E-3</v>
      </c>
      <c r="E33" s="100">
        <f t="shared" si="18"/>
        <v>4.2775798347941506E-3</v>
      </c>
      <c r="F33" s="100">
        <f t="shared" si="18"/>
        <v>4.0284965544552182E-3</v>
      </c>
      <c r="G33" s="100">
        <f t="shared" si="18"/>
        <v>2.94747511778425E-3</v>
      </c>
      <c r="H33" s="100">
        <f t="shared" si="18"/>
        <v>3.8292299301840717E-3</v>
      </c>
      <c r="I33" s="100">
        <f t="shared" si="18"/>
        <v>4.2775798347941506E-3</v>
      </c>
      <c r="J33" s="100">
        <f t="shared" si="18"/>
        <v>4.0284965544552182E-3</v>
      </c>
      <c r="K33" s="100">
        <f t="shared" si="18"/>
        <v>2.94747511778425E-3</v>
      </c>
      <c r="L33" s="100">
        <f t="shared" si="18"/>
        <v>3.1716500700892892E-3</v>
      </c>
      <c r="M33" s="100">
        <f t="shared" si="18"/>
        <v>3.8292299301840717E-3</v>
      </c>
      <c r="N33" s="100">
        <f t="shared" si="18"/>
        <v>4.2775798347941506E-3</v>
      </c>
      <c r="O33" s="100">
        <f t="shared" si="18"/>
        <v>3.7794132741162849E-3</v>
      </c>
      <c r="P33" s="100">
        <f t="shared" si="18"/>
        <v>3.8292299301840717E-3</v>
      </c>
      <c r="Q33" s="100">
        <f t="shared" si="18"/>
        <v>4.0284965544552182E-3</v>
      </c>
      <c r="R33" s="100">
        <f t="shared" si="18"/>
        <v>2.94747511778425E-3</v>
      </c>
      <c r="S33" s="100">
        <f t="shared" si="18"/>
        <v>2.94747511778425E-3</v>
      </c>
      <c r="T33" s="100">
        <f t="shared" si="18"/>
        <v>3.7794132741162849E-3</v>
      </c>
      <c r="U33" s="100">
        <f t="shared" ref="U33" si="19">IFERROR($B33/U13,0)</f>
        <v>3.8292299301840717E-3</v>
      </c>
      <c r="V33" s="100">
        <f t="shared" si="18"/>
        <v>3.2164850605502977E-3</v>
      </c>
      <c r="W33" s="100">
        <f t="shared" si="18"/>
        <v>3.8292299301840717E-3</v>
      </c>
      <c r="X33" s="100">
        <f t="shared" si="18"/>
        <v>3.7794132741162849E-3</v>
      </c>
      <c r="Y33" s="100">
        <f t="shared" si="18"/>
        <v>2.94747511778425E-3</v>
      </c>
      <c r="Z33" s="100">
        <f t="shared" si="18"/>
        <v>3.8292299301840717E-3</v>
      </c>
      <c r="AA33" s="100">
        <f t="shared" si="18"/>
        <v>3.9288632423196447E-3</v>
      </c>
      <c r="AB33" s="100">
        <f t="shared" si="18"/>
        <v>3.0769984235604949E-3</v>
      </c>
      <c r="AC33" s="49">
        <f t="shared" si="5"/>
        <v>6.8912833569242304E-7</v>
      </c>
      <c r="AD33" s="101">
        <f>IFERROR(s_RadSpec!$H$13*(AD13/$B33),".")</f>
        <v>1.4737375588921248E-7</v>
      </c>
      <c r="AE33" s="101">
        <f>IFERROR(s_RadSpec!$H$13*(AE13/$B33),".")</f>
        <v>2.1387899173970755E-7</v>
      </c>
      <c r="AF33" s="101">
        <f>IFERROR(s_RadSpec!$H$13*(AF13/$B33),".")</f>
        <v>2.0142482772276093E-7</v>
      </c>
      <c r="AG33" s="101">
        <f>IFERROR(s_RadSpec!$H$13*(AG13/$B33),".")</f>
        <v>1.4737375588921248E-7</v>
      </c>
      <c r="AH33" s="101">
        <f>IFERROR(s_RadSpec!$H$13*(AH13/$B33),".")</f>
        <v>1.9146149650920359E-7</v>
      </c>
      <c r="AI33" s="101">
        <f>IFERROR(s_RadSpec!$H$13*(AI13/$B33),".")</f>
        <v>2.1387899173970755E-7</v>
      </c>
      <c r="AJ33" s="101">
        <f>IFERROR(s_RadSpec!$H$13*(AJ13/$B33),".")</f>
        <v>2.0142482772276093E-7</v>
      </c>
      <c r="AK33" s="101">
        <f>IFERROR(s_RadSpec!$H$13*(AK13/$B33),".")</f>
        <v>1.4737375588921248E-7</v>
      </c>
      <c r="AL33" s="101">
        <f>IFERROR(s_RadSpec!$H$13*(AL13/$B33),".")</f>
        <v>1.5858250350446448E-7</v>
      </c>
      <c r="AM33" s="101">
        <f>IFERROR(s_RadSpec!$H$13*(AM13/$B33),".")</f>
        <v>1.9146149650920359E-7</v>
      </c>
      <c r="AN33" s="101">
        <f>IFERROR(s_RadSpec!$H$13*(AN13/$B33),".")</f>
        <v>2.1387899173970755E-7</v>
      </c>
      <c r="AO33" s="101">
        <f>IFERROR(s_RadSpec!$H$13*(AO13/$B33),".")</f>
        <v>1.8897066370581426E-7</v>
      </c>
      <c r="AP33" s="101">
        <f>IFERROR(s_RadSpec!$H$13*(AP13/$B33),".")</f>
        <v>1.9146149650920359E-7</v>
      </c>
      <c r="AQ33" s="101">
        <f>IFERROR(s_RadSpec!$H$13*(AQ13/$B33),".")</f>
        <v>2.0142482772276093E-7</v>
      </c>
      <c r="AR33" s="101">
        <f>IFERROR(s_RadSpec!$H$13*(AR13/$B33),".")</f>
        <v>1.4737375588921248E-7</v>
      </c>
      <c r="AS33" s="101">
        <f>IFERROR(s_RadSpec!$H$13*(AS13/$B33),".")</f>
        <v>1.4737375588921248E-7</v>
      </c>
      <c r="AT33" s="101">
        <f>IFERROR(s_RadSpec!$H$13*(AT13/$B33),".")</f>
        <v>1.8897066370581426E-7</v>
      </c>
      <c r="AU33" s="101">
        <f>IFERROR(s_RadSpec!$H$13*(AU13/$B33),".")</f>
        <v>1.9146149650920359E-7</v>
      </c>
      <c r="AV33" s="101">
        <f>IFERROR(s_RadSpec!$H$13*(AV13/$B33),".")</f>
        <v>1.6082425302751486E-7</v>
      </c>
      <c r="AW33" s="101">
        <f>IFERROR(s_RadSpec!$H$13*(AW13/$B33),".")</f>
        <v>1.9146149650920359E-7</v>
      </c>
      <c r="AX33" s="101">
        <f>IFERROR(s_RadSpec!$H$13*(AX13/$B33),".")</f>
        <v>1.8897066370581426E-7</v>
      </c>
      <c r="AY33" s="101">
        <f>IFERROR(s_RadSpec!$H$13*(AY13/$B33),".")</f>
        <v>1.4737375588921248E-7</v>
      </c>
      <c r="AZ33" s="101">
        <f>IFERROR(s_RadSpec!$H$13*(AZ13/$B33),".")</f>
        <v>1.9146149650920359E-7</v>
      </c>
      <c r="BA33" s="101">
        <f>IFERROR(s_RadSpec!$H$13*(BA13/$B33),".")</f>
        <v>1.9644316211598225E-7</v>
      </c>
      <c r="BB33" s="101">
        <f>IFERROR(s_RadSpec!$H$13*(BB13/$B33),".")</f>
        <v>1.5384992117802475E-7</v>
      </c>
      <c r="BC33" s="100">
        <f t="shared" ref="BC33" si="20">IFERROR($B33/BC13,0)</f>
        <v>1.3782566713848463E-2</v>
      </c>
      <c r="BD33" s="100">
        <f t="shared" ref="BD33:CB33" si="21">IFERROR($B33/BD13,0)</f>
        <v>2.94747511778425E-3</v>
      </c>
      <c r="BE33" s="100">
        <f t="shared" si="21"/>
        <v>4.2775798347941506E-3</v>
      </c>
      <c r="BF33" s="100">
        <f t="shared" si="21"/>
        <v>4.0284965544552182E-3</v>
      </c>
      <c r="BG33" s="100">
        <f t="shared" si="21"/>
        <v>2.94747511778425E-3</v>
      </c>
      <c r="BH33" s="100">
        <f t="shared" si="21"/>
        <v>3.8292299301840717E-3</v>
      </c>
      <c r="BI33" s="100">
        <f t="shared" si="21"/>
        <v>4.2775798347941506E-3</v>
      </c>
      <c r="BJ33" s="100">
        <f t="shared" si="21"/>
        <v>4.0284965544552182E-3</v>
      </c>
      <c r="BK33" s="100">
        <f t="shared" si="21"/>
        <v>2.94747511778425E-3</v>
      </c>
      <c r="BL33" s="100">
        <f t="shared" si="21"/>
        <v>3.1716500700892892E-3</v>
      </c>
      <c r="BM33" s="100">
        <f t="shared" si="21"/>
        <v>3.8292299301840717E-3</v>
      </c>
      <c r="BN33" s="100">
        <f t="shared" si="21"/>
        <v>4.2775798347941506E-3</v>
      </c>
      <c r="BO33" s="100">
        <f t="shared" si="21"/>
        <v>3.7794132741162849E-3</v>
      </c>
      <c r="BP33" s="100">
        <f t="shared" si="21"/>
        <v>3.8292299301840717E-3</v>
      </c>
      <c r="BQ33" s="100">
        <f t="shared" si="21"/>
        <v>4.0284965544552182E-3</v>
      </c>
      <c r="BR33" s="100">
        <f t="shared" si="21"/>
        <v>2.94747511778425E-3</v>
      </c>
      <c r="BS33" s="100">
        <f t="shared" si="21"/>
        <v>2.94747511778425E-3</v>
      </c>
      <c r="BT33" s="100">
        <f t="shared" si="21"/>
        <v>3.7794132741162849E-3</v>
      </c>
      <c r="BU33" s="100">
        <f t="shared" ref="BU33" si="22">IFERROR($B33/BU13,0)</f>
        <v>3.8292299301840717E-3</v>
      </c>
      <c r="BV33" s="100">
        <f t="shared" si="21"/>
        <v>3.2164850605502977E-3</v>
      </c>
      <c r="BW33" s="100">
        <f t="shared" si="21"/>
        <v>3.8292299301840717E-3</v>
      </c>
      <c r="BX33" s="100">
        <f t="shared" si="21"/>
        <v>3.7794132741162849E-3</v>
      </c>
      <c r="BY33" s="100">
        <f t="shared" si="21"/>
        <v>2.94747511778425E-3</v>
      </c>
      <c r="BZ33" s="100">
        <f t="shared" si="21"/>
        <v>3.8292299301840717E-3</v>
      </c>
      <c r="CA33" s="100">
        <f t="shared" si="21"/>
        <v>3.9288632423196447E-3</v>
      </c>
      <c r="CB33" s="100">
        <f t="shared" si="21"/>
        <v>3.0769984235604949E-3</v>
      </c>
      <c r="CC33" s="49">
        <f t="shared" si="2"/>
        <v>6.8912833569242304E-7</v>
      </c>
      <c r="CD33" s="101">
        <f>IFERROR(s_RadSpec!$H$13*(CD13/$B33),".")</f>
        <v>1.4737375588921248E-7</v>
      </c>
      <c r="CE33" s="101">
        <f>IFERROR(s_RadSpec!$H$13*(CE13/$B33),".")</f>
        <v>2.1387899173970755E-7</v>
      </c>
      <c r="CF33" s="101">
        <f>IFERROR(s_RadSpec!$H$13*(CF13/$B33),".")</f>
        <v>2.0142482772276093E-7</v>
      </c>
      <c r="CG33" s="101">
        <f>IFERROR(s_RadSpec!$H$13*(CG13/$B33),".")</f>
        <v>1.4737375588921248E-7</v>
      </c>
      <c r="CH33" s="101">
        <f>IFERROR(s_RadSpec!$H$13*(CH13/$B33),".")</f>
        <v>1.9146149650920359E-7</v>
      </c>
      <c r="CI33" s="101">
        <f>IFERROR(s_RadSpec!$H$13*(CI13/$B33),".")</f>
        <v>2.1387899173970755E-7</v>
      </c>
      <c r="CJ33" s="101">
        <f>IFERROR(s_RadSpec!$H$13*(CJ13/$B33),".")</f>
        <v>2.0142482772276093E-7</v>
      </c>
      <c r="CK33" s="101">
        <f>IFERROR(s_RadSpec!$H$13*(CK13/$B33),".")</f>
        <v>1.4737375588921248E-7</v>
      </c>
      <c r="CL33" s="101">
        <f>IFERROR(s_RadSpec!$H$13*(CL13/$B33),".")</f>
        <v>1.5858250350446448E-7</v>
      </c>
      <c r="CM33" s="101">
        <f>IFERROR(s_RadSpec!$H$13*(CM13/$B33),".")</f>
        <v>1.9146149650920359E-7</v>
      </c>
      <c r="CN33" s="101">
        <f>IFERROR(s_RadSpec!$H$13*(CN13/$B33),".")</f>
        <v>2.1387899173970755E-7</v>
      </c>
      <c r="CO33" s="101">
        <f>IFERROR(s_RadSpec!$H$13*(CO13/$B33),".")</f>
        <v>1.8897066370581426E-7</v>
      </c>
      <c r="CP33" s="101">
        <f>IFERROR(s_RadSpec!$H$13*(CP13/$B33),".")</f>
        <v>1.9146149650920359E-7</v>
      </c>
      <c r="CQ33" s="101">
        <f>IFERROR(s_RadSpec!$H$13*(CQ13/$B33),".")</f>
        <v>2.0142482772276093E-7</v>
      </c>
      <c r="CR33" s="101">
        <f>IFERROR(s_RadSpec!$H$13*(CR13/$B33),".")</f>
        <v>1.4737375588921248E-7</v>
      </c>
      <c r="CS33" s="101">
        <f>IFERROR(s_RadSpec!$H$13*(CS13/$B33),".")</f>
        <v>1.4737375588921248E-7</v>
      </c>
      <c r="CT33" s="101">
        <f>IFERROR(s_RadSpec!$H$13*(CT13/$B33),".")</f>
        <v>1.8897066370581426E-7</v>
      </c>
      <c r="CU33" s="101">
        <f>IFERROR(s_RadSpec!$H$13*(CU13/$B33),".")</f>
        <v>1.9146149650920359E-7</v>
      </c>
      <c r="CV33" s="101">
        <f>IFERROR(s_RadSpec!$H$13*(CV13/$B33),".")</f>
        <v>1.6082425302751486E-7</v>
      </c>
      <c r="CW33" s="101">
        <f>IFERROR(s_RadSpec!$H$13*(CW13/$B33),".")</f>
        <v>1.9146149650920359E-7</v>
      </c>
      <c r="CX33" s="101">
        <f>IFERROR(s_RadSpec!$H$13*(CX13/$B33),".")</f>
        <v>1.8897066370581426E-7</v>
      </c>
      <c r="CY33" s="101">
        <f>IFERROR(s_RadSpec!$H$13*(CY13/$B33),".")</f>
        <v>1.4737375588921248E-7</v>
      </c>
      <c r="CZ33" s="101">
        <f>IFERROR(s_RadSpec!$H$13*(CZ13/$B33),".")</f>
        <v>1.9146149650920359E-7</v>
      </c>
      <c r="DA33" s="101">
        <f>IFERROR(s_RadSpec!$H$13*(DA13/$B33),".")</f>
        <v>1.9644316211598225E-7</v>
      </c>
      <c r="DB33" s="101">
        <f>IFERROR(s_RadSpec!$H$13*(DB13/$B33),".")</f>
        <v>1.5384992117802475E-7</v>
      </c>
    </row>
    <row r="34" spans="1:106" x14ac:dyDescent="0.25">
      <c r="A34" s="99" t="s">
        <v>1076</v>
      </c>
      <c r="B34" s="90">
        <v>1</v>
      </c>
      <c r="C34" s="100">
        <f t="shared" ref="C34" si="23">IFERROR($B34/C14,0)</f>
        <v>1.4825510659951975E-3</v>
      </c>
      <c r="D34" s="100">
        <f t="shared" ref="D34:AB34" si="24">IFERROR($B34/D14,0)</f>
        <v>3.7063776649879938E-4</v>
      </c>
      <c r="E34" s="100">
        <f t="shared" si="24"/>
        <v>3.7063776649879938E-4</v>
      </c>
      <c r="F34" s="100">
        <f t="shared" si="24"/>
        <v>3.7063776649879938E-4</v>
      </c>
      <c r="G34" s="100">
        <f t="shared" si="24"/>
        <v>3.7063776649879938E-4</v>
      </c>
      <c r="H34" s="100">
        <f t="shared" si="24"/>
        <v>3.7063776649879938E-4</v>
      </c>
      <c r="I34" s="100">
        <f t="shared" si="24"/>
        <v>3.7063776649879938E-4</v>
      </c>
      <c r="J34" s="100">
        <f t="shared" si="24"/>
        <v>3.7063776649879938E-4</v>
      </c>
      <c r="K34" s="100">
        <f t="shared" si="24"/>
        <v>3.7063776649879938E-4</v>
      </c>
      <c r="L34" s="100">
        <f t="shared" si="24"/>
        <v>3.7063776649879938E-4</v>
      </c>
      <c r="M34" s="100">
        <f t="shared" si="24"/>
        <v>3.7063776649879938E-4</v>
      </c>
      <c r="N34" s="100">
        <f t="shared" si="24"/>
        <v>3.7063776649879938E-4</v>
      </c>
      <c r="O34" s="100">
        <f t="shared" si="24"/>
        <v>3.7063776649879938E-4</v>
      </c>
      <c r="P34" s="100">
        <f t="shared" si="24"/>
        <v>3.7063776649879938E-4</v>
      </c>
      <c r="Q34" s="100">
        <f t="shared" si="24"/>
        <v>3.7063776649879938E-4</v>
      </c>
      <c r="R34" s="100">
        <f t="shared" si="24"/>
        <v>3.7063776649879938E-4</v>
      </c>
      <c r="S34" s="100">
        <f t="shared" si="24"/>
        <v>3.7063776649879938E-4</v>
      </c>
      <c r="T34" s="100">
        <f t="shared" si="24"/>
        <v>3.7063776649879938E-4</v>
      </c>
      <c r="U34" s="100">
        <f t="shared" ref="U34" si="25">IFERROR($B34/U14,0)</f>
        <v>3.7063776649879938E-4</v>
      </c>
      <c r="V34" s="100">
        <f t="shared" si="24"/>
        <v>3.7063776649879938E-4</v>
      </c>
      <c r="W34" s="100">
        <f t="shared" si="24"/>
        <v>3.7063776649879938E-4</v>
      </c>
      <c r="X34" s="100">
        <f t="shared" si="24"/>
        <v>3.7063776649879938E-4</v>
      </c>
      <c r="Y34" s="100">
        <f t="shared" si="24"/>
        <v>3.7063776649879938E-4</v>
      </c>
      <c r="Z34" s="100">
        <f t="shared" si="24"/>
        <v>3.7063776649879938E-4</v>
      </c>
      <c r="AA34" s="100">
        <f t="shared" si="24"/>
        <v>3.7063776649879938E-4</v>
      </c>
      <c r="AB34" s="100">
        <f t="shared" si="24"/>
        <v>3.7063776649879938E-4</v>
      </c>
      <c r="AC34" s="49">
        <f t="shared" si="5"/>
        <v>7.4127553299759871E-8</v>
      </c>
      <c r="AD34" s="101">
        <f>IFERROR(s_RadSpec!$H$14*(AD14/$B34),".")</f>
        <v>1.8531888324939968E-8</v>
      </c>
      <c r="AE34" s="101">
        <f>IFERROR(s_RadSpec!$H$14*(AE14/$B34),".")</f>
        <v>1.8531888324939968E-8</v>
      </c>
      <c r="AF34" s="101">
        <f>IFERROR(s_RadSpec!$H$14*(AF14/$B34),".")</f>
        <v>1.8531888324939968E-8</v>
      </c>
      <c r="AG34" s="101">
        <f>IFERROR(s_RadSpec!$H$14*(AG14/$B34),".")</f>
        <v>1.8531888324939968E-8</v>
      </c>
      <c r="AH34" s="101">
        <f>IFERROR(s_RadSpec!$H$14*(AH14/$B34),".")</f>
        <v>1.8531888324939968E-8</v>
      </c>
      <c r="AI34" s="101">
        <f>IFERROR(s_RadSpec!$H$14*(AI14/$B34),".")</f>
        <v>1.8531888324939968E-8</v>
      </c>
      <c r="AJ34" s="101">
        <f>IFERROR(s_RadSpec!$H$14*(AJ14/$B34),".")</f>
        <v>1.8531888324939968E-8</v>
      </c>
      <c r="AK34" s="101">
        <f>IFERROR(s_RadSpec!$H$14*(AK14/$B34),".")</f>
        <v>1.8531888324939968E-8</v>
      </c>
      <c r="AL34" s="101">
        <f>IFERROR(s_RadSpec!$H$14*(AL14/$B34),".")</f>
        <v>1.8531888324939968E-8</v>
      </c>
      <c r="AM34" s="101">
        <f>IFERROR(s_RadSpec!$H$14*(AM14/$B34),".")</f>
        <v>1.8531888324939968E-8</v>
      </c>
      <c r="AN34" s="101">
        <f>IFERROR(s_RadSpec!$H$14*(AN14/$B34),".")</f>
        <v>1.8531888324939968E-8</v>
      </c>
      <c r="AO34" s="101">
        <f>IFERROR(s_RadSpec!$H$14*(AO14/$B34),".")</f>
        <v>1.8531888324939968E-8</v>
      </c>
      <c r="AP34" s="101">
        <f>IFERROR(s_RadSpec!$H$14*(AP14/$B34),".")</f>
        <v>1.8531888324939968E-8</v>
      </c>
      <c r="AQ34" s="101">
        <f>IFERROR(s_RadSpec!$H$14*(AQ14/$B34),".")</f>
        <v>1.8531888324939968E-8</v>
      </c>
      <c r="AR34" s="101">
        <f>IFERROR(s_RadSpec!$H$14*(AR14/$B34),".")</f>
        <v>1.8531888324939968E-8</v>
      </c>
      <c r="AS34" s="101">
        <f>IFERROR(s_RadSpec!$H$14*(AS14/$B34),".")</f>
        <v>1.8531888324939968E-8</v>
      </c>
      <c r="AT34" s="101">
        <f>IFERROR(s_RadSpec!$H$14*(AT14/$B34),".")</f>
        <v>1.8531888324939968E-8</v>
      </c>
      <c r="AU34" s="101">
        <f>IFERROR(s_RadSpec!$H$14*(AU14/$B34),".")</f>
        <v>1.8531888324939968E-8</v>
      </c>
      <c r="AV34" s="101">
        <f>IFERROR(s_RadSpec!$H$14*(AV14/$B34),".")</f>
        <v>1.8531888324939968E-8</v>
      </c>
      <c r="AW34" s="101">
        <f>IFERROR(s_RadSpec!$H$14*(AW14/$B34),".")</f>
        <v>1.8531888324939968E-8</v>
      </c>
      <c r="AX34" s="101">
        <f>IFERROR(s_RadSpec!$H$14*(AX14/$B34),".")</f>
        <v>1.8531888324939968E-8</v>
      </c>
      <c r="AY34" s="101">
        <f>IFERROR(s_RadSpec!$H$14*(AY14/$B34),".")</f>
        <v>1.8531888324939968E-8</v>
      </c>
      <c r="AZ34" s="101">
        <f>IFERROR(s_RadSpec!$H$14*(AZ14/$B34),".")</f>
        <v>1.8531888324939968E-8</v>
      </c>
      <c r="BA34" s="101">
        <f>IFERROR(s_RadSpec!$H$14*(BA14/$B34),".")</f>
        <v>1.8531888324939968E-8</v>
      </c>
      <c r="BB34" s="101">
        <f>IFERROR(s_RadSpec!$H$14*(BB14/$B34),".")</f>
        <v>1.8531888324939968E-8</v>
      </c>
      <c r="BC34" s="100">
        <f t="shared" ref="BC34" si="26">IFERROR($B34/BC14,0)</f>
        <v>1.4825510659951975E-3</v>
      </c>
      <c r="BD34" s="100">
        <f t="shared" ref="BD34:CB34" si="27">IFERROR($B34/BD14,0)</f>
        <v>3.7063776649879938E-4</v>
      </c>
      <c r="BE34" s="100">
        <f t="shared" si="27"/>
        <v>3.7063776649879938E-4</v>
      </c>
      <c r="BF34" s="100">
        <f t="shared" si="27"/>
        <v>3.7063776649879938E-4</v>
      </c>
      <c r="BG34" s="100">
        <f t="shared" si="27"/>
        <v>3.7063776649879938E-4</v>
      </c>
      <c r="BH34" s="100">
        <f t="shared" si="27"/>
        <v>3.7063776649879938E-4</v>
      </c>
      <c r="BI34" s="100">
        <f t="shared" si="27"/>
        <v>3.7063776649879938E-4</v>
      </c>
      <c r="BJ34" s="100">
        <f t="shared" si="27"/>
        <v>3.7063776649879938E-4</v>
      </c>
      <c r="BK34" s="100">
        <f t="shared" si="27"/>
        <v>3.7063776649879938E-4</v>
      </c>
      <c r="BL34" s="100">
        <f t="shared" si="27"/>
        <v>3.7063776649879938E-4</v>
      </c>
      <c r="BM34" s="100">
        <f t="shared" si="27"/>
        <v>3.7063776649879938E-4</v>
      </c>
      <c r="BN34" s="100">
        <f t="shared" si="27"/>
        <v>3.7063776649879938E-4</v>
      </c>
      <c r="BO34" s="100">
        <f t="shared" si="27"/>
        <v>3.7063776649879938E-4</v>
      </c>
      <c r="BP34" s="100">
        <f t="shared" si="27"/>
        <v>3.7063776649879938E-4</v>
      </c>
      <c r="BQ34" s="100">
        <f t="shared" si="27"/>
        <v>3.7063776649879938E-4</v>
      </c>
      <c r="BR34" s="100">
        <f t="shared" si="27"/>
        <v>3.7063776649879938E-4</v>
      </c>
      <c r="BS34" s="100">
        <f t="shared" si="27"/>
        <v>3.7063776649879938E-4</v>
      </c>
      <c r="BT34" s="100">
        <f t="shared" si="27"/>
        <v>3.7063776649879938E-4</v>
      </c>
      <c r="BU34" s="100">
        <f t="shared" ref="BU34" si="28">IFERROR($B34/BU14,0)</f>
        <v>3.7063776649879938E-4</v>
      </c>
      <c r="BV34" s="100">
        <f t="shared" si="27"/>
        <v>3.7063776649879938E-4</v>
      </c>
      <c r="BW34" s="100">
        <f t="shared" si="27"/>
        <v>3.7063776649879938E-4</v>
      </c>
      <c r="BX34" s="100">
        <f t="shared" si="27"/>
        <v>3.7063776649879938E-4</v>
      </c>
      <c r="BY34" s="100">
        <f t="shared" si="27"/>
        <v>3.7063776649879938E-4</v>
      </c>
      <c r="BZ34" s="100">
        <f t="shared" si="27"/>
        <v>3.7063776649879938E-4</v>
      </c>
      <c r="CA34" s="100">
        <f t="shared" si="27"/>
        <v>3.7063776649879938E-4</v>
      </c>
      <c r="CB34" s="100">
        <f t="shared" si="27"/>
        <v>3.7063776649879938E-4</v>
      </c>
      <c r="CC34" s="49">
        <f t="shared" si="2"/>
        <v>7.4127553299759871E-8</v>
      </c>
      <c r="CD34" s="101">
        <f>IFERROR(s_RadSpec!$H$14*(CD14/$B34),".")</f>
        <v>1.8531888324939968E-8</v>
      </c>
      <c r="CE34" s="101">
        <f>IFERROR(s_RadSpec!$H$14*(CE14/$B34),".")</f>
        <v>1.8531888324939968E-8</v>
      </c>
      <c r="CF34" s="101">
        <f>IFERROR(s_RadSpec!$H$14*(CF14/$B34),".")</f>
        <v>1.8531888324939968E-8</v>
      </c>
      <c r="CG34" s="101">
        <f>IFERROR(s_RadSpec!$H$14*(CG14/$B34),".")</f>
        <v>1.8531888324939968E-8</v>
      </c>
      <c r="CH34" s="101">
        <f>IFERROR(s_RadSpec!$H$14*(CH14/$B34),".")</f>
        <v>1.8531888324939968E-8</v>
      </c>
      <c r="CI34" s="101">
        <f>IFERROR(s_RadSpec!$H$14*(CI14/$B34),".")</f>
        <v>1.8531888324939968E-8</v>
      </c>
      <c r="CJ34" s="101">
        <f>IFERROR(s_RadSpec!$H$14*(CJ14/$B34),".")</f>
        <v>1.8531888324939968E-8</v>
      </c>
      <c r="CK34" s="101">
        <f>IFERROR(s_RadSpec!$H$14*(CK14/$B34),".")</f>
        <v>1.8531888324939968E-8</v>
      </c>
      <c r="CL34" s="101">
        <f>IFERROR(s_RadSpec!$H$14*(CL14/$B34),".")</f>
        <v>1.8531888324939968E-8</v>
      </c>
      <c r="CM34" s="101">
        <f>IFERROR(s_RadSpec!$H$14*(CM14/$B34),".")</f>
        <v>1.8531888324939968E-8</v>
      </c>
      <c r="CN34" s="101">
        <f>IFERROR(s_RadSpec!$H$14*(CN14/$B34),".")</f>
        <v>1.8531888324939968E-8</v>
      </c>
      <c r="CO34" s="101">
        <f>IFERROR(s_RadSpec!$H$14*(CO14/$B34),".")</f>
        <v>1.8531888324939968E-8</v>
      </c>
      <c r="CP34" s="101">
        <f>IFERROR(s_RadSpec!$H$14*(CP14/$B34),".")</f>
        <v>1.8531888324939968E-8</v>
      </c>
      <c r="CQ34" s="101">
        <f>IFERROR(s_RadSpec!$H$14*(CQ14/$B34),".")</f>
        <v>1.8531888324939968E-8</v>
      </c>
      <c r="CR34" s="101">
        <f>IFERROR(s_RadSpec!$H$14*(CR14/$B34),".")</f>
        <v>1.8531888324939968E-8</v>
      </c>
      <c r="CS34" s="101">
        <f>IFERROR(s_RadSpec!$H$14*(CS14/$B34),".")</f>
        <v>1.8531888324939968E-8</v>
      </c>
      <c r="CT34" s="101">
        <f>IFERROR(s_RadSpec!$H$14*(CT14/$B34),".")</f>
        <v>1.8531888324939968E-8</v>
      </c>
      <c r="CU34" s="101">
        <f>IFERROR(s_RadSpec!$H$14*(CU14/$B34),".")</f>
        <v>1.8531888324939968E-8</v>
      </c>
      <c r="CV34" s="101">
        <f>IFERROR(s_RadSpec!$H$14*(CV14/$B34),".")</f>
        <v>1.8531888324939968E-8</v>
      </c>
      <c r="CW34" s="101">
        <f>IFERROR(s_RadSpec!$H$14*(CW14/$B34),".")</f>
        <v>1.8531888324939968E-8</v>
      </c>
      <c r="CX34" s="101">
        <f>IFERROR(s_RadSpec!$H$14*(CX14/$B34),".")</f>
        <v>1.8531888324939968E-8</v>
      </c>
      <c r="CY34" s="101">
        <f>IFERROR(s_RadSpec!$H$14*(CY14/$B34),".")</f>
        <v>1.8531888324939968E-8</v>
      </c>
      <c r="CZ34" s="101">
        <f>IFERROR(s_RadSpec!$H$14*(CZ14/$B34),".")</f>
        <v>1.8531888324939968E-8</v>
      </c>
      <c r="DA34" s="101">
        <f>IFERROR(s_RadSpec!$H$14*(DA14/$B34),".")</f>
        <v>1.8531888324939968E-8</v>
      </c>
      <c r="DB34" s="101">
        <f>IFERROR(s_RadSpec!$H$14*(DB14/$B34),".")</f>
        <v>1.8531888324939968E-8</v>
      </c>
    </row>
    <row r="35" spans="1:106" x14ac:dyDescent="0.25">
      <c r="A35" s="99" t="s">
        <v>1077</v>
      </c>
      <c r="B35" s="90">
        <v>1</v>
      </c>
      <c r="C35" s="100">
        <f t="shared" ref="C35" si="29">IFERROR($B35/C30,0)</f>
        <v>1.5027753537268155E-2</v>
      </c>
      <c r="D35" s="100">
        <f t="shared" ref="D35:AB35" si="30">IFERROR($B35/D30,0)</f>
        <v>3.4882806052781491E-3</v>
      </c>
      <c r="E35" s="100">
        <f t="shared" si="30"/>
        <v>4.595366828070299E-3</v>
      </c>
      <c r="F35" s="100">
        <f t="shared" si="30"/>
        <v>3.9194615552077226E-3</v>
      </c>
      <c r="G35" s="100">
        <f t="shared" si="30"/>
        <v>3.4882806052781491E-3</v>
      </c>
      <c r="H35" s="100">
        <f t="shared" si="30"/>
        <v>4.3040283483881539E-3</v>
      </c>
      <c r="I35" s="100">
        <f t="shared" si="30"/>
        <v>4.595366828070299E-3</v>
      </c>
      <c r="J35" s="100">
        <f t="shared" si="30"/>
        <v>3.9194615552077226E-3</v>
      </c>
      <c r="K35" s="100">
        <f t="shared" si="30"/>
        <v>3.4882806052781491E-3</v>
      </c>
      <c r="L35" s="100">
        <f t="shared" si="30"/>
        <v>4.3040283483881539E-3</v>
      </c>
      <c r="M35" s="100">
        <f t="shared" si="30"/>
        <v>4.3040283483881539E-3</v>
      </c>
      <c r="N35" s="100">
        <f t="shared" si="30"/>
        <v>4.595366828070299E-3</v>
      </c>
      <c r="O35" s="100">
        <f t="shared" si="30"/>
        <v>3.558201840401864E-3</v>
      </c>
      <c r="P35" s="100">
        <f t="shared" si="30"/>
        <v>4.3040283483881539E-3</v>
      </c>
      <c r="Q35" s="100">
        <f t="shared" si="30"/>
        <v>3.9194615552077226E-3</v>
      </c>
      <c r="R35" s="100">
        <f t="shared" si="30"/>
        <v>3.4882806052781491E-3</v>
      </c>
      <c r="S35" s="100">
        <f t="shared" si="30"/>
        <v>3.4882806052781491E-3</v>
      </c>
      <c r="T35" s="100">
        <f t="shared" si="30"/>
        <v>3.558201840401864E-3</v>
      </c>
      <c r="U35" s="100">
        <f t="shared" ref="U35" si="31">IFERROR($B35/U30,0)</f>
        <v>4.3040283483881539E-3</v>
      </c>
      <c r="V35" s="100">
        <f t="shared" si="30"/>
        <v>3.7213513890238656E-3</v>
      </c>
      <c r="W35" s="100">
        <f t="shared" si="30"/>
        <v>4.3040283483881539E-3</v>
      </c>
      <c r="X35" s="100">
        <f t="shared" si="30"/>
        <v>3.558201840401864E-3</v>
      </c>
      <c r="Y35" s="100">
        <f t="shared" si="30"/>
        <v>3.4882806052781491E-3</v>
      </c>
      <c r="Z35" s="100">
        <f t="shared" si="30"/>
        <v>4.3040283483881539E-3</v>
      </c>
      <c r="AA35" s="100">
        <f t="shared" si="30"/>
        <v>3.4441719594542728E-3</v>
      </c>
      <c r="AB35" s="100">
        <f t="shared" si="30"/>
        <v>3.7912726241475796E-3</v>
      </c>
      <c r="AC35" s="49">
        <f t="shared" si="5"/>
        <v>7.5138767686340789E-7</v>
      </c>
      <c r="AD35" s="101">
        <f>IFERROR(s_RadSpec!$H$30*(AD30/$B35),".")</f>
        <v>1.7441403026390748E-7</v>
      </c>
      <c r="AE35" s="101">
        <f>IFERROR(s_RadSpec!$H$30*(AE30/$B35),".")</f>
        <v>2.2976834140351494E-7</v>
      </c>
      <c r="AF35" s="101">
        <f>IFERROR(s_RadSpec!$H$30*(AF30/$B35),".")</f>
        <v>1.9597307776038618E-7</v>
      </c>
      <c r="AG35" s="101">
        <f>IFERROR(s_RadSpec!$H$30*(AG30/$B35),".")</f>
        <v>1.7441403026390748E-7</v>
      </c>
      <c r="AH35" s="101">
        <f>IFERROR(s_RadSpec!$H$30*(AH30/$B35),".")</f>
        <v>2.1520141741940773E-7</v>
      </c>
      <c r="AI35" s="101">
        <f>IFERROR(s_RadSpec!$H$30*(AI30/$B35),".")</f>
        <v>2.2976834140351494E-7</v>
      </c>
      <c r="AJ35" s="101">
        <f>IFERROR(s_RadSpec!$H$30*(AJ30/$B35),".")</f>
        <v>1.9597307776038618E-7</v>
      </c>
      <c r="AK35" s="101">
        <f>IFERROR(s_RadSpec!$H$30*(AK30/$B35),".")</f>
        <v>1.7441403026390748E-7</v>
      </c>
      <c r="AL35" s="101">
        <f>IFERROR(s_RadSpec!$H$30*(AL30/$B35),".")</f>
        <v>2.1520141741940773E-7</v>
      </c>
      <c r="AM35" s="101">
        <f>IFERROR(s_RadSpec!$H$30*(AM30/$B35),".")</f>
        <v>2.1520141741940773E-7</v>
      </c>
      <c r="AN35" s="101">
        <f>IFERROR(s_RadSpec!$H$30*(AN30/$B35),".")</f>
        <v>2.2976834140351494E-7</v>
      </c>
      <c r="AO35" s="101">
        <f>IFERROR(s_RadSpec!$H$30*(AO30/$B35),".")</f>
        <v>1.7791009202009324E-7</v>
      </c>
      <c r="AP35" s="101">
        <f>IFERROR(s_RadSpec!$H$30*(AP30/$B35),".")</f>
        <v>2.1520141741940773E-7</v>
      </c>
      <c r="AQ35" s="101">
        <f>IFERROR(s_RadSpec!$H$30*(AQ30/$B35),".")</f>
        <v>1.9597307776038618E-7</v>
      </c>
      <c r="AR35" s="101">
        <f>IFERROR(s_RadSpec!$H$30*(AR30/$B35),".")</f>
        <v>1.7441403026390748E-7</v>
      </c>
      <c r="AS35" s="101">
        <f>IFERROR(s_RadSpec!$H$30*(AS30/$B35),".")</f>
        <v>1.7441403026390748E-7</v>
      </c>
      <c r="AT35" s="101">
        <f>IFERROR(s_RadSpec!$H$30*(AT30/$B35),".")</f>
        <v>1.7791009202009324E-7</v>
      </c>
      <c r="AU35" s="101">
        <f>IFERROR(s_RadSpec!$H$30*(AU30/$B35),".")</f>
        <v>2.1520141741940773E-7</v>
      </c>
      <c r="AV35" s="101">
        <f>IFERROR(s_RadSpec!$H$30*(AV30/$B35),".")</f>
        <v>1.8606756945119327E-7</v>
      </c>
      <c r="AW35" s="101">
        <f>IFERROR(s_RadSpec!$H$30*(AW30/$B35),".")</f>
        <v>2.1520141741940773E-7</v>
      </c>
      <c r="AX35" s="101">
        <f>IFERROR(s_RadSpec!$H$30*(AX30/$B35),".")</f>
        <v>1.7791009202009324E-7</v>
      </c>
      <c r="AY35" s="101">
        <f>IFERROR(s_RadSpec!$H$30*(AY30/$B35),".")</f>
        <v>1.7441403026390748E-7</v>
      </c>
      <c r="AZ35" s="101">
        <f>IFERROR(s_RadSpec!$H$30*(AZ30/$B35),".")</f>
        <v>2.1520141741940773E-7</v>
      </c>
      <c r="BA35" s="101">
        <f>IFERROR(s_RadSpec!$H$30*(BA30/$B35),".")</f>
        <v>1.7220859797271366E-7</v>
      </c>
      <c r="BB35" s="101">
        <f>IFERROR(s_RadSpec!$H$30*(BB30/$B35),".")</f>
        <v>1.89563631207379E-7</v>
      </c>
      <c r="BC35" s="100">
        <f t="shared" ref="BC35" si="32">IFERROR($B35/BC30,0)</f>
        <v>1.5027753537268155E-2</v>
      </c>
      <c r="BD35" s="100">
        <f t="shared" ref="BD35:CB35" si="33">IFERROR($B35/BD30,0)</f>
        <v>3.4882806052781491E-3</v>
      </c>
      <c r="BE35" s="100">
        <f t="shared" si="33"/>
        <v>4.595366828070299E-3</v>
      </c>
      <c r="BF35" s="100">
        <f t="shared" si="33"/>
        <v>3.9194615552077226E-3</v>
      </c>
      <c r="BG35" s="100">
        <f t="shared" si="33"/>
        <v>3.4882806052781491E-3</v>
      </c>
      <c r="BH35" s="100">
        <f t="shared" si="33"/>
        <v>4.3040283483881539E-3</v>
      </c>
      <c r="BI35" s="100">
        <f t="shared" si="33"/>
        <v>4.595366828070299E-3</v>
      </c>
      <c r="BJ35" s="100">
        <f t="shared" si="33"/>
        <v>3.9194615552077226E-3</v>
      </c>
      <c r="BK35" s="100">
        <f t="shared" si="33"/>
        <v>3.4882806052781491E-3</v>
      </c>
      <c r="BL35" s="100">
        <f t="shared" si="33"/>
        <v>4.3040283483881539E-3</v>
      </c>
      <c r="BM35" s="100">
        <f t="shared" si="33"/>
        <v>4.3040283483881539E-3</v>
      </c>
      <c r="BN35" s="100">
        <f t="shared" si="33"/>
        <v>4.595366828070299E-3</v>
      </c>
      <c r="BO35" s="100">
        <f t="shared" si="33"/>
        <v>3.558201840401864E-3</v>
      </c>
      <c r="BP35" s="100">
        <f t="shared" si="33"/>
        <v>4.3040283483881539E-3</v>
      </c>
      <c r="BQ35" s="100">
        <f t="shared" si="33"/>
        <v>3.9194615552077226E-3</v>
      </c>
      <c r="BR35" s="100">
        <f t="shared" si="33"/>
        <v>3.4882806052781491E-3</v>
      </c>
      <c r="BS35" s="100">
        <f t="shared" si="33"/>
        <v>3.4882806052781491E-3</v>
      </c>
      <c r="BT35" s="100">
        <f t="shared" si="33"/>
        <v>3.558201840401864E-3</v>
      </c>
      <c r="BU35" s="100">
        <f t="shared" ref="BU35" si="34">IFERROR($B35/BU30,0)</f>
        <v>4.3040283483881539E-3</v>
      </c>
      <c r="BV35" s="100">
        <f t="shared" si="33"/>
        <v>3.7213513890238656E-3</v>
      </c>
      <c r="BW35" s="100">
        <f t="shared" si="33"/>
        <v>4.3040283483881539E-3</v>
      </c>
      <c r="BX35" s="100">
        <f t="shared" si="33"/>
        <v>3.558201840401864E-3</v>
      </c>
      <c r="BY35" s="100">
        <f t="shared" si="33"/>
        <v>3.4882806052781491E-3</v>
      </c>
      <c r="BZ35" s="100">
        <f t="shared" si="33"/>
        <v>4.3040283483881539E-3</v>
      </c>
      <c r="CA35" s="100">
        <f t="shared" si="33"/>
        <v>3.4441719594542728E-3</v>
      </c>
      <c r="CB35" s="100">
        <f t="shared" si="33"/>
        <v>3.7912726241475796E-3</v>
      </c>
      <c r="CC35" s="49">
        <f t="shared" si="2"/>
        <v>7.5138767686340789E-7</v>
      </c>
      <c r="CD35" s="101">
        <f>IFERROR(s_RadSpec!$H$30*(CD30/$B35),".")</f>
        <v>1.7441403026390748E-7</v>
      </c>
      <c r="CE35" s="101">
        <f>IFERROR(s_RadSpec!$H$30*(CE30/$B35),".")</f>
        <v>2.2976834140351494E-7</v>
      </c>
      <c r="CF35" s="101">
        <f>IFERROR(s_RadSpec!$H$30*(CF30/$B35),".")</f>
        <v>1.9597307776038618E-7</v>
      </c>
      <c r="CG35" s="101">
        <f>IFERROR(s_RadSpec!$H$30*(CG30/$B35),".")</f>
        <v>1.7441403026390748E-7</v>
      </c>
      <c r="CH35" s="101">
        <f>IFERROR(s_RadSpec!$H$30*(CH30/$B35),".")</f>
        <v>2.1520141741940773E-7</v>
      </c>
      <c r="CI35" s="101">
        <f>IFERROR(s_RadSpec!$H$30*(CI30/$B35),".")</f>
        <v>2.2976834140351494E-7</v>
      </c>
      <c r="CJ35" s="101">
        <f>IFERROR(s_RadSpec!$H$30*(CJ30/$B35),".")</f>
        <v>1.9597307776038618E-7</v>
      </c>
      <c r="CK35" s="101">
        <f>IFERROR(s_RadSpec!$H$30*(CK30/$B35),".")</f>
        <v>1.7441403026390748E-7</v>
      </c>
      <c r="CL35" s="101">
        <f>IFERROR(s_RadSpec!$H$30*(CL30/$B35),".")</f>
        <v>2.1520141741940773E-7</v>
      </c>
      <c r="CM35" s="101">
        <f>IFERROR(s_RadSpec!$H$30*(CM30/$B35),".")</f>
        <v>2.1520141741940773E-7</v>
      </c>
      <c r="CN35" s="101">
        <f>IFERROR(s_RadSpec!$H$30*(CN30/$B35),".")</f>
        <v>2.2976834140351494E-7</v>
      </c>
      <c r="CO35" s="101">
        <f>IFERROR(s_RadSpec!$H$30*(CO30/$B35),".")</f>
        <v>1.7791009202009324E-7</v>
      </c>
      <c r="CP35" s="101">
        <f>IFERROR(s_RadSpec!$H$30*(CP30/$B35),".")</f>
        <v>2.1520141741940773E-7</v>
      </c>
      <c r="CQ35" s="101">
        <f>IFERROR(s_RadSpec!$H$30*(CQ30/$B35),".")</f>
        <v>1.9597307776038618E-7</v>
      </c>
      <c r="CR35" s="101">
        <f>IFERROR(s_RadSpec!$H$30*(CR30/$B35),".")</f>
        <v>1.7441403026390748E-7</v>
      </c>
      <c r="CS35" s="101">
        <f>IFERROR(s_RadSpec!$H$30*(CS30/$B35),".")</f>
        <v>1.7441403026390748E-7</v>
      </c>
      <c r="CT35" s="101">
        <f>IFERROR(s_RadSpec!$H$30*(CT30/$B35),".")</f>
        <v>1.7791009202009324E-7</v>
      </c>
      <c r="CU35" s="101">
        <f>IFERROR(s_RadSpec!$H$30*(CU30/$B35),".")</f>
        <v>2.1520141741940773E-7</v>
      </c>
      <c r="CV35" s="101">
        <f>IFERROR(s_RadSpec!$H$30*(CV30/$B35),".")</f>
        <v>1.8606756945119327E-7</v>
      </c>
      <c r="CW35" s="101">
        <f>IFERROR(s_RadSpec!$H$30*(CW30/$B35),".")</f>
        <v>2.1520141741940773E-7</v>
      </c>
      <c r="CX35" s="101">
        <f>IFERROR(s_RadSpec!$H$30*(CX30/$B35),".")</f>
        <v>1.7791009202009324E-7</v>
      </c>
      <c r="CY35" s="101">
        <f>IFERROR(s_RadSpec!$H$30*(CY30/$B35),".")</f>
        <v>1.7441403026390748E-7</v>
      </c>
      <c r="CZ35" s="101">
        <f>IFERROR(s_RadSpec!$H$30*(CZ30/$B35),".")</f>
        <v>2.1520141741940773E-7</v>
      </c>
      <c r="DA35" s="101">
        <f>IFERROR(s_RadSpec!$H$30*(DA30/$B35),".")</f>
        <v>1.7220859797271366E-7</v>
      </c>
      <c r="DB35" s="101">
        <f>IFERROR(s_RadSpec!$H$30*(DB30/$B35),".")</f>
        <v>1.89563631207379E-7</v>
      </c>
    </row>
    <row r="36" spans="1:106" x14ac:dyDescent="0.25">
      <c r="A36" s="99" t="s">
        <v>1078</v>
      </c>
      <c r="B36" s="90">
        <v>1</v>
      </c>
      <c r="C36" s="100">
        <f t="shared" ref="C36" si="35">IFERROR($B36/C26,0)</f>
        <v>4.1725803952560092E-2</v>
      </c>
      <c r="D36" s="100">
        <f t="shared" ref="D36:AB36" si="36">IFERROR($B36/D26,0)</f>
        <v>1.0364237421711062E-2</v>
      </c>
      <c r="E36" s="100">
        <f t="shared" si="36"/>
        <v>1.0486443906127354E-2</v>
      </c>
      <c r="F36" s="100">
        <f t="shared" si="36"/>
        <v>1.0416611629318047E-2</v>
      </c>
      <c r="G36" s="100">
        <f t="shared" si="36"/>
        <v>1.0364237421711062E-2</v>
      </c>
      <c r="H36" s="100">
        <f t="shared" si="36"/>
        <v>1.0413120015477579E-2</v>
      </c>
      <c r="I36" s="100">
        <f t="shared" si="36"/>
        <v>1.0486443906127354E-2</v>
      </c>
      <c r="J36" s="100">
        <f t="shared" si="36"/>
        <v>1.0416611629318047E-2</v>
      </c>
      <c r="K36" s="100">
        <f t="shared" si="36"/>
        <v>1.0364237421711062E-2</v>
      </c>
      <c r="L36" s="100">
        <f t="shared" si="36"/>
        <v>1.0388678718594321E-2</v>
      </c>
      <c r="M36" s="100">
        <f t="shared" si="36"/>
        <v>1.0413120015477579E-2</v>
      </c>
      <c r="N36" s="100">
        <f t="shared" si="36"/>
        <v>1.0486443906127354E-2</v>
      </c>
      <c r="O36" s="100">
        <f t="shared" si="36"/>
        <v>1.0369474842471763E-2</v>
      </c>
      <c r="P36" s="100">
        <f t="shared" si="36"/>
        <v>1.0413120015477579E-2</v>
      </c>
      <c r="Q36" s="100">
        <f t="shared" si="36"/>
        <v>1.0416611629318047E-2</v>
      </c>
      <c r="R36" s="100">
        <f t="shared" si="36"/>
        <v>1.0364237421711062E-2</v>
      </c>
      <c r="S36" s="100">
        <f t="shared" si="36"/>
        <v>1.0364237421711062E-2</v>
      </c>
      <c r="T36" s="100">
        <f t="shared" si="36"/>
        <v>1.0369474842471763E-2</v>
      </c>
      <c r="U36" s="100">
        <f t="shared" ref="U36" si="37">IFERROR($B36/U26,0)</f>
        <v>1.0413120015477579E-2</v>
      </c>
      <c r="V36" s="100">
        <f t="shared" si="36"/>
        <v>1.0311863214104083E-2</v>
      </c>
      <c r="W36" s="100">
        <f t="shared" si="36"/>
        <v>1.0413120015477579E-2</v>
      </c>
      <c r="X36" s="100">
        <f t="shared" si="36"/>
        <v>1.0369474842471763E-2</v>
      </c>
      <c r="Y36" s="100">
        <f t="shared" si="36"/>
        <v>1.0364237421711062E-2</v>
      </c>
      <c r="Z36" s="100">
        <f t="shared" si="36"/>
        <v>1.0413120015477579E-2</v>
      </c>
      <c r="AA36" s="100">
        <f t="shared" si="36"/>
        <v>1.0304879986423153E-2</v>
      </c>
      <c r="AB36" s="100">
        <f t="shared" si="36"/>
        <v>1.0643566528948297E-2</v>
      </c>
      <c r="AC36" s="49">
        <f t="shared" si="5"/>
        <v>2.0862901976280048E-6</v>
      </c>
      <c r="AD36" s="101">
        <f>IFERROR(s_RadSpec!$H$26*(AD26/$B36),".")</f>
        <v>5.1821187108555334E-7</v>
      </c>
      <c r="AE36" s="101">
        <f>IFERROR(s_RadSpec!$H$26*(AE26/$B36),".")</f>
        <v>5.2432219530636773E-7</v>
      </c>
      <c r="AF36" s="101">
        <f>IFERROR(s_RadSpec!$H$26*(AF26/$B36),".")</f>
        <v>5.2083058146590235E-7</v>
      </c>
      <c r="AG36" s="101">
        <f>IFERROR(s_RadSpec!$H$26*(AG26/$B36),".")</f>
        <v>5.1821187108555334E-7</v>
      </c>
      <c r="AH36" s="101">
        <f>IFERROR(s_RadSpec!$H$26*(AH26/$B36),".")</f>
        <v>5.2065600077387905E-7</v>
      </c>
      <c r="AI36" s="101">
        <f>IFERROR(s_RadSpec!$H$26*(AI26/$B36),".")</f>
        <v>5.2432219530636773E-7</v>
      </c>
      <c r="AJ36" s="101">
        <f>IFERROR(s_RadSpec!$H$26*(AJ26/$B36),".")</f>
        <v>5.2083058146590235E-7</v>
      </c>
      <c r="AK36" s="101">
        <f>IFERROR(s_RadSpec!$H$26*(AK26/$B36),".")</f>
        <v>5.1821187108555334E-7</v>
      </c>
      <c r="AL36" s="101">
        <f>IFERROR(s_RadSpec!$H$26*(AL26/$B36),".")</f>
        <v>5.1943393592971619E-7</v>
      </c>
      <c r="AM36" s="101">
        <f>IFERROR(s_RadSpec!$H$26*(AM26/$B36),".")</f>
        <v>5.2065600077387905E-7</v>
      </c>
      <c r="AN36" s="101">
        <f>IFERROR(s_RadSpec!$H$26*(AN26/$B36),".")</f>
        <v>5.2432219530636773E-7</v>
      </c>
      <c r="AO36" s="101">
        <f>IFERROR(s_RadSpec!$H$26*(AO26/$B36),".")</f>
        <v>5.1847374212358828E-7</v>
      </c>
      <c r="AP36" s="101">
        <f>IFERROR(s_RadSpec!$H$26*(AP26/$B36),".")</f>
        <v>5.2065600077387905E-7</v>
      </c>
      <c r="AQ36" s="101">
        <f>IFERROR(s_RadSpec!$H$26*(AQ26/$B36),".")</f>
        <v>5.2083058146590235E-7</v>
      </c>
      <c r="AR36" s="101">
        <f>IFERROR(s_RadSpec!$H$26*(AR26/$B36),".")</f>
        <v>5.1821187108555334E-7</v>
      </c>
      <c r="AS36" s="101">
        <f>IFERROR(s_RadSpec!$H$26*(AS26/$B36),".")</f>
        <v>5.1821187108555334E-7</v>
      </c>
      <c r="AT36" s="101">
        <f>IFERROR(s_RadSpec!$H$26*(AT26/$B36),".")</f>
        <v>5.1847374212358828E-7</v>
      </c>
      <c r="AU36" s="101">
        <f>IFERROR(s_RadSpec!$H$26*(AU26/$B36),".")</f>
        <v>5.2065600077387905E-7</v>
      </c>
      <c r="AV36" s="101">
        <f>IFERROR(s_RadSpec!$H$26*(AV26/$B36),".")</f>
        <v>5.1559316070520422E-7</v>
      </c>
      <c r="AW36" s="101">
        <f>IFERROR(s_RadSpec!$H$26*(AW26/$B36),".")</f>
        <v>5.2065600077387905E-7</v>
      </c>
      <c r="AX36" s="101">
        <f>IFERROR(s_RadSpec!$H$26*(AX26/$B36),".")</f>
        <v>5.1847374212358828E-7</v>
      </c>
      <c r="AY36" s="101">
        <f>IFERROR(s_RadSpec!$H$26*(AY26/$B36),".")</f>
        <v>5.1821187108555334E-7</v>
      </c>
      <c r="AZ36" s="101">
        <f>IFERROR(s_RadSpec!$H$26*(AZ26/$B36),".")</f>
        <v>5.2065600077387905E-7</v>
      </c>
      <c r="BA36" s="101">
        <f>IFERROR(s_RadSpec!$H$26*(BA26/$B36),".")</f>
        <v>5.1524399932115773E-7</v>
      </c>
      <c r="BB36" s="101">
        <f>IFERROR(s_RadSpec!$H$26*(BB26/$B36),".")</f>
        <v>5.3217832644741488E-7</v>
      </c>
      <c r="BC36" s="100">
        <f t="shared" ref="BC36" si="38">IFERROR($B36/BC26,0)</f>
        <v>4.1725803952560092E-2</v>
      </c>
      <c r="BD36" s="100">
        <f t="shared" ref="BD36:CB36" si="39">IFERROR($B36/BD26,0)</f>
        <v>1.0364237421711062E-2</v>
      </c>
      <c r="BE36" s="100">
        <f t="shared" si="39"/>
        <v>1.0486443906127354E-2</v>
      </c>
      <c r="BF36" s="100">
        <f t="shared" si="39"/>
        <v>1.0416611629318047E-2</v>
      </c>
      <c r="BG36" s="100">
        <f t="shared" si="39"/>
        <v>1.0364237421711062E-2</v>
      </c>
      <c r="BH36" s="100">
        <f t="shared" si="39"/>
        <v>1.0413120015477579E-2</v>
      </c>
      <c r="BI36" s="100">
        <f t="shared" si="39"/>
        <v>1.0486443906127354E-2</v>
      </c>
      <c r="BJ36" s="100">
        <f t="shared" si="39"/>
        <v>1.0416611629318047E-2</v>
      </c>
      <c r="BK36" s="100">
        <f t="shared" si="39"/>
        <v>1.0364237421711062E-2</v>
      </c>
      <c r="BL36" s="100">
        <f t="shared" si="39"/>
        <v>1.0388678718594321E-2</v>
      </c>
      <c r="BM36" s="100">
        <f t="shared" si="39"/>
        <v>1.0413120015477579E-2</v>
      </c>
      <c r="BN36" s="100">
        <f t="shared" si="39"/>
        <v>1.0486443906127354E-2</v>
      </c>
      <c r="BO36" s="100">
        <f t="shared" si="39"/>
        <v>1.0369474842471763E-2</v>
      </c>
      <c r="BP36" s="100">
        <f t="shared" si="39"/>
        <v>1.0413120015477579E-2</v>
      </c>
      <c r="BQ36" s="100">
        <f t="shared" si="39"/>
        <v>1.0416611629318047E-2</v>
      </c>
      <c r="BR36" s="100">
        <f t="shared" si="39"/>
        <v>1.0364237421711062E-2</v>
      </c>
      <c r="BS36" s="100">
        <f t="shared" si="39"/>
        <v>1.0364237421711062E-2</v>
      </c>
      <c r="BT36" s="100">
        <f t="shared" si="39"/>
        <v>1.0369474842471763E-2</v>
      </c>
      <c r="BU36" s="100">
        <f t="shared" ref="BU36" si="40">IFERROR($B36/BU26,0)</f>
        <v>1.0413120015477579E-2</v>
      </c>
      <c r="BV36" s="100">
        <f t="shared" si="39"/>
        <v>1.0311863214104083E-2</v>
      </c>
      <c r="BW36" s="100">
        <f t="shared" si="39"/>
        <v>1.0413120015477579E-2</v>
      </c>
      <c r="BX36" s="100">
        <f t="shared" si="39"/>
        <v>1.0369474842471763E-2</v>
      </c>
      <c r="BY36" s="100">
        <f t="shared" si="39"/>
        <v>1.0364237421711062E-2</v>
      </c>
      <c r="BZ36" s="100">
        <f t="shared" si="39"/>
        <v>1.0413120015477579E-2</v>
      </c>
      <c r="CA36" s="100">
        <f t="shared" si="39"/>
        <v>1.0304879986423153E-2</v>
      </c>
      <c r="CB36" s="100">
        <f t="shared" si="39"/>
        <v>1.0643566528948297E-2</v>
      </c>
      <c r="CC36" s="49">
        <f t="shared" si="2"/>
        <v>2.0862901976280048E-6</v>
      </c>
      <c r="CD36" s="101">
        <f>IFERROR(s_RadSpec!$H$26*(CD26/$B36),".")</f>
        <v>5.1821187108555334E-7</v>
      </c>
      <c r="CE36" s="101">
        <f>IFERROR(s_RadSpec!$H$26*(CE26/$B36),".")</f>
        <v>5.2432219530636773E-7</v>
      </c>
      <c r="CF36" s="101">
        <f>IFERROR(s_RadSpec!$H$26*(CF26/$B36),".")</f>
        <v>5.2083058146590235E-7</v>
      </c>
      <c r="CG36" s="101">
        <f>IFERROR(s_RadSpec!$H$26*(CG26/$B36),".")</f>
        <v>5.1821187108555334E-7</v>
      </c>
      <c r="CH36" s="101">
        <f>IFERROR(s_RadSpec!$H$26*(CH26/$B36),".")</f>
        <v>5.2065600077387905E-7</v>
      </c>
      <c r="CI36" s="101">
        <f>IFERROR(s_RadSpec!$H$26*(CI26/$B36),".")</f>
        <v>5.2432219530636773E-7</v>
      </c>
      <c r="CJ36" s="101">
        <f>IFERROR(s_RadSpec!$H$26*(CJ26/$B36),".")</f>
        <v>5.2083058146590235E-7</v>
      </c>
      <c r="CK36" s="101">
        <f>IFERROR(s_RadSpec!$H$26*(CK26/$B36),".")</f>
        <v>5.1821187108555334E-7</v>
      </c>
      <c r="CL36" s="101">
        <f>IFERROR(s_RadSpec!$H$26*(CL26/$B36),".")</f>
        <v>5.1943393592971619E-7</v>
      </c>
      <c r="CM36" s="101">
        <f>IFERROR(s_RadSpec!$H$26*(CM26/$B36),".")</f>
        <v>5.2065600077387905E-7</v>
      </c>
      <c r="CN36" s="101">
        <f>IFERROR(s_RadSpec!$H$26*(CN26/$B36),".")</f>
        <v>5.2432219530636773E-7</v>
      </c>
      <c r="CO36" s="101">
        <f>IFERROR(s_RadSpec!$H$26*(CO26/$B36),".")</f>
        <v>5.1847374212358828E-7</v>
      </c>
      <c r="CP36" s="101">
        <f>IFERROR(s_RadSpec!$H$26*(CP26/$B36),".")</f>
        <v>5.2065600077387905E-7</v>
      </c>
      <c r="CQ36" s="101">
        <f>IFERROR(s_RadSpec!$H$26*(CQ26/$B36),".")</f>
        <v>5.2083058146590235E-7</v>
      </c>
      <c r="CR36" s="101">
        <f>IFERROR(s_RadSpec!$H$26*(CR26/$B36),".")</f>
        <v>5.1821187108555334E-7</v>
      </c>
      <c r="CS36" s="101">
        <f>IFERROR(s_RadSpec!$H$26*(CS26/$B36),".")</f>
        <v>5.1821187108555334E-7</v>
      </c>
      <c r="CT36" s="101">
        <f>IFERROR(s_RadSpec!$H$26*(CT26/$B36),".")</f>
        <v>5.1847374212358828E-7</v>
      </c>
      <c r="CU36" s="101">
        <f>IFERROR(s_RadSpec!$H$26*(CU26/$B36),".")</f>
        <v>5.2065600077387905E-7</v>
      </c>
      <c r="CV36" s="101">
        <f>IFERROR(s_RadSpec!$H$26*(CV26/$B36),".")</f>
        <v>5.1559316070520422E-7</v>
      </c>
      <c r="CW36" s="101">
        <f>IFERROR(s_RadSpec!$H$26*(CW26/$B36),".")</f>
        <v>5.2065600077387905E-7</v>
      </c>
      <c r="CX36" s="101">
        <f>IFERROR(s_RadSpec!$H$26*(CX26/$B36),".")</f>
        <v>5.1847374212358828E-7</v>
      </c>
      <c r="CY36" s="101">
        <f>IFERROR(s_RadSpec!$H$26*(CY26/$B36),".")</f>
        <v>5.1821187108555334E-7</v>
      </c>
      <c r="CZ36" s="101">
        <f>IFERROR(s_RadSpec!$H$26*(CZ26/$B36),".")</f>
        <v>5.2065600077387905E-7</v>
      </c>
      <c r="DA36" s="101">
        <f>IFERROR(s_RadSpec!$H$26*(DA26/$B36),".")</f>
        <v>5.1524399932115773E-7</v>
      </c>
      <c r="DB36" s="101">
        <f>IFERROR(s_RadSpec!$H$26*(DB26/$B36),".")</f>
        <v>5.3217832644741488E-7</v>
      </c>
    </row>
    <row r="37" spans="1:106" x14ac:dyDescent="0.25">
      <c r="A37" s="99" t="s">
        <v>1079</v>
      </c>
      <c r="B37" s="90">
        <v>1</v>
      </c>
      <c r="C37" s="100">
        <f t="shared" ref="C37" si="41">IFERROR($B37/C22,0)</f>
        <v>2.5873385911924795E-2</v>
      </c>
      <c r="D37" s="100">
        <f t="shared" ref="D37:AB37" si="42">IFERROR($B37/D22,0)</f>
        <v>6.3559782271488318E-3</v>
      </c>
      <c r="E37" s="100">
        <f t="shared" si="42"/>
        <v>1.3831812574107065E-2</v>
      </c>
      <c r="F37" s="100">
        <f t="shared" si="42"/>
        <v>1.1893633298969745E-2</v>
      </c>
      <c r="G37" s="100">
        <f t="shared" si="42"/>
        <v>6.3559782271488318E-3</v>
      </c>
      <c r="H37" s="100">
        <f t="shared" si="42"/>
        <v>7.0020379855279388E-3</v>
      </c>
      <c r="I37" s="100">
        <f t="shared" si="42"/>
        <v>1.3831812574107065E-2</v>
      </c>
      <c r="J37" s="100">
        <f t="shared" si="42"/>
        <v>1.1893633298969745E-2</v>
      </c>
      <c r="K37" s="100">
        <f t="shared" si="42"/>
        <v>6.3559782271488318E-3</v>
      </c>
      <c r="L37" s="100">
        <f t="shared" si="42"/>
        <v>5.6545419180515158E-3</v>
      </c>
      <c r="M37" s="100">
        <f t="shared" si="42"/>
        <v>7.0020379855279388E-3</v>
      </c>
      <c r="N37" s="100">
        <f t="shared" si="42"/>
        <v>1.3831812574107065E-2</v>
      </c>
      <c r="O37" s="100">
        <f t="shared" si="42"/>
        <v>6.7251552319368933E-3</v>
      </c>
      <c r="P37" s="100">
        <f t="shared" si="42"/>
        <v>7.0020379855279388E-3</v>
      </c>
      <c r="Q37" s="100">
        <f t="shared" si="42"/>
        <v>1.1893633298969745E-2</v>
      </c>
      <c r="R37" s="100">
        <f t="shared" si="42"/>
        <v>6.3559782271488318E-3</v>
      </c>
      <c r="S37" s="100">
        <f t="shared" si="42"/>
        <v>6.3559782271488318E-3</v>
      </c>
      <c r="T37" s="100">
        <f t="shared" si="42"/>
        <v>6.7251552319368933E-3</v>
      </c>
      <c r="U37" s="100">
        <f t="shared" ref="U37" si="43">IFERROR($B37/U22,0)</f>
        <v>7.0020379855279388E-3</v>
      </c>
      <c r="V37" s="100">
        <f t="shared" si="42"/>
        <v>6.448272478345847E-3</v>
      </c>
      <c r="W37" s="100">
        <f t="shared" si="42"/>
        <v>7.0020379855279388E-3</v>
      </c>
      <c r="X37" s="100">
        <f t="shared" si="42"/>
        <v>6.7251552319368933E-3</v>
      </c>
      <c r="Y37" s="100">
        <f t="shared" si="42"/>
        <v>6.3559782271488318E-3</v>
      </c>
      <c r="Z37" s="100">
        <f t="shared" si="42"/>
        <v>7.0020379855279388E-3</v>
      </c>
      <c r="AA37" s="100">
        <f t="shared" si="42"/>
        <v>5.5133317137200837E-3</v>
      </c>
      <c r="AB37" s="100">
        <f t="shared" si="42"/>
        <v>7.0020379855279388E-3</v>
      </c>
      <c r="AC37" s="49">
        <f t="shared" si="5"/>
        <v>1.2936692955962397E-6</v>
      </c>
      <c r="AD37" s="101">
        <f>IFERROR(s_RadSpec!$H$22*(AD22/$B37),".")</f>
        <v>3.1779891135744162E-7</v>
      </c>
      <c r="AE37" s="101">
        <f>IFERROR(s_RadSpec!$H$22*(AE22/$B37),".")</f>
        <v>6.915906287053532E-7</v>
      </c>
      <c r="AF37" s="101">
        <f>IFERROR(s_RadSpec!$H$22*(AF22/$B37),".")</f>
        <v>5.9468166494848735E-7</v>
      </c>
      <c r="AG37" s="101">
        <f>IFERROR(s_RadSpec!$H$22*(AG22/$B37),".")</f>
        <v>3.1779891135744162E-7</v>
      </c>
      <c r="AH37" s="101">
        <f>IFERROR(s_RadSpec!$H$22*(AH22/$B37),".")</f>
        <v>3.5010189927639696E-7</v>
      </c>
      <c r="AI37" s="101">
        <f>IFERROR(s_RadSpec!$H$22*(AI22/$B37),".")</f>
        <v>6.915906287053532E-7</v>
      </c>
      <c r="AJ37" s="101">
        <f>IFERROR(s_RadSpec!$H$22*(AJ22/$B37),".")</f>
        <v>5.9468166494848735E-7</v>
      </c>
      <c r="AK37" s="101">
        <f>IFERROR(s_RadSpec!$H$22*(AK22/$B37),".")</f>
        <v>3.1779891135744162E-7</v>
      </c>
      <c r="AL37" s="101">
        <f>IFERROR(s_RadSpec!$H$22*(AL22/$B37),".")</f>
        <v>2.8272709590257585E-7</v>
      </c>
      <c r="AM37" s="101">
        <f>IFERROR(s_RadSpec!$H$22*(AM22/$B37),".")</f>
        <v>3.5010189927639696E-7</v>
      </c>
      <c r="AN37" s="101">
        <f>IFERROR(s_RadSpec!$H$22*(AN22/$B37),".")</f>
        <v>6.915906287053532E-7</v>
      </c>
      <c r="AO37" s="101">
        <f>IFERROR(s_RadSpec!$H$22*(AO22/$B37),".")</f>
        <v>3.3625776159684467E-7</v>
      </c>
      <c r="AP37" s="101">
        <f>IFERROR(s_RadSpec!$H$22*(AP22/$B37),".")</f>
        <v>3.5010189927639696E-7</v>
      </c>
      <c r="AQ37" s="101">
        <f>IFERROR(s_RadSpec!$H$22*(AQ22/$B37),".")</f>
        <v>5.9468166494848735E-7</v>
      </c>
      <c r="AR37" s="101">
        <f>IFERROR(s_RadSpec!$H$22*(AR22/$B37),".")</f>
        <v>3.1779891135744162E-7</v>
      </c>
      <c r="AS37" s="101">
        <f>IFERROR(s_RadSpec!$H$22*(AS22/$B37),".")</f>
        <v>3.1779891135744162E-7</v>
      </c>
      <c r="AT37" s="101">
        <f>IFERROR(s_RadSpec!$H$22*(AT22/$B37),".")</f>
        <v>3.3625776159684467E-7</v>
      </c>
      <c r="AU37" s="101">
        <f>IFERROR(s_RadSpec!$H$22*(AU22/$B37),".")</f>
        <v>3.5010189927639696E-7</v>
      </c>
      <c r="AV37" s="101">
        <f>IFERROR(s_RadSpec!$H$22*(AV22/$B37),".")</f>
        <v>3.2241362391729237E-7</v>
      </c>
      <c r="AW37" s="101">
        <f>IFERROR(s_RadSpec!$H$22*(AW22/$B37),".")</f>
        <v>3.5010189927639696E-7</v>
      </c>
      <c r="AX37" s="101">
        <f>IFERROR(s_RadSpec!$H$22*(AX22/$B37),".")</f>
        <v>3.3625776159684467E-7</v>
      </c>
      <c r="AY37" s="101">
        <f>IFERROR(s_RadSpec!$H$22*(AY22/$B37),".")</f>
        <v>3.1779891135744162E-7</v>
      </c>
      <c r="AZ37" s="101">
        <f>IFERROR(s_RadSpec!$H$22*(AZ22/$B37),".")</f>
        <v>3.5010189927639696E-7</v>
      </c>
      <c r="BA37" s="101">
        <f>IFERROR(s_RadSpec!$H$22*(BA22/$B37),".")</f>
        <v>2.7566658568600418E-7</v>
      </c>
      <c r="BB37" s="101">
        <f>IFERROR(s_RadSpec!$H$22*(BB22/$B37),".")</f>
        <v>3.5010189927639696E-7</v>
      </c>
      <c r="BC37" s="100">
        <f t="shared" ref="BC37" si="44">IFERROR($B37/BC22,0)</f>
        <v>2.5873385911924795E-2</v>
      </c>
      <c r="BD37" s="100">
        <f t="shared" ref="BD37:CB37" si="45">IFERROR($B37/BD22,0)</f>
        <v>6.3559782271488318E-3</v>
      </c>
      <c r="BE37" s="100">
        <f t="shared" si="45"/>
        <v>1.3831812574107065E-2</v>
      </c>
      <c r="BF37" s="100">
        <f t="shared" si="45"/>
        <v>1.1893633298969745E-2</v>
      </c>
      <c r="BG37" s="100">
        <f t="shared" si="45"/>
        <v>6.3559782271488318E-3</v>
      </c>
      <c r="BH37" s="100">
        <f t="shared" si="45"/>
        <v>7.0020379855279388E-3</v>
      </c>
      <c r="BI37" s="100">
        <f t="shared" si="45"/>
        <v>1.3831812574107065E-2</v>
      </c>
      <c r="BJ37" s="100">
        <f t="shared" si="45"/>
        <v>1.1893633298969745E-2</v>
      </c>
      <c r="BK37" s="100">
        <f t="shared" si="45"/>
        <v>6.3559782271488318E-3</v>
      </c>
      <c r="BL37" s="100">
        <f t="shared" si="45"/>
        <v>5.6545419180515158E-3</v>
      </c>
      <c r="BM37" s="100">
        <f t="shared" si="45"/>
        <v>7.0020379855279388E-3</v>
      </c>
      <c r="BN37" s="100">
        <f t="shared" si="45"/>
        <v>1.3831812574107065E-2</v>
      </c>
      <c r="BO37" s="100">
        <f t="shared" si="45"/>
        <v>6.7251552319368933E-3</v>
      </c>
      <c r="BP37" s="100">
        <f t="shared" si="45"/>
        <v>7.0020379855279388E-3</v>
      </c>
      <c r="BQ37" s="100">
        <f t="shared" si="45"/>
        <v>1.1893633298969745E-2</v>
      </c>
      <c r="BR37" s="100">
        <f t="shared" si="45"/>
        <v>6.3559782271488318E-3</v>
      </c>
      <c r="BS37" s="100">
        <f t="shared" si="45"/>
        <v>6.3559782271488318E-3</v>
      </c>
      <c r="BT37" s="100">
        <f t="shared" si="45"/>
        <v>6.7251552319368933E-3</v>
      </c>
      <c r="BU37" s="100">
        <f t="shared" ref="BU37" si="46">IFERROR($B37/BU22,0)</f>
        <v>7.0020379855279388E-3</v>
      </c>
      <c r="BV37" s="100">
        <f t="shared" si="45"/>
        <v>6.448272478345847E-3</v>
      </c>
      <c r="BW37" s="100">
        <f t="shared" si="45"/>
        <v>7.0020379855279388E-3</v>
      </c>
      <c r="BX37" s="100">
        <f t="shared" si="45"/>
        <v>6.7251552319368933E-3</v>
      </c>
      <c r="BY37" s="100">
        <f t="shared" si="45"/>
        <v>6.3559782271488318E-3</v>
      </c>
      <c r="BZ37" s="100">
        <f t="shared" si="45"/>
        <v>7.0020379855279388E-3</v>
      </c>
      <c r="CA37" s="100">
        <f t="shared" si="45"/>
        <v>5.5133317137200837E-3</v>
      </c>
      <c r="CB37" s="100">
        <f t="shared" si="45"/>
        <v>7.0020379855279388E-3</v>
      </c>
      <c r="CC37" s="49">
        <f t="shared" si="2"/>
        <v>1.2936692955962397E-6</v>
      </c>
      <c r="CD37" s="101">
        <f>IFERROR(s_RadSpec!$H$22*(CD22/$B37),".")</f>
        <v>3.1779891135744162E-7</v>
      </c>
      <c r="CE37" s="101">
        <f>IFERROR(s_RadSpec!$H$22*(CE22/$B37),".")</f>
        <v>6.915906287053532E-7</v>
      </c>
      <c r="CF37" s="101">
        <f>IFERROR(s_RadSpec!$H$22*(CF22/$B37),".")</f>
        <v>5.9468166494848735E-7</v>
      </c>
      <c r="CG37" s="101">
        <f>IFERROR(s_RadSpec!$H$22*(CG22/$B37),".")</f>
        <v>3.1779891135744162E-7</v>
      </c>
      <c r="CH37" s="101">
        <f>IFERROR(s_RadSpec!$H$22*(CH22/$B37),".")</f>
        <v>3.5010189927639696E-7</v>
      </c>
      <c r="CI37" s="101">
        <f>IFERROR(s_RadSpec!$H$22*(CI22/$B37),".")</f>
        <v>6.915906287053532E-7</v>
      </c>
      <c r="CJ37" s="101">
        <f>IFERROR(s_RadSpec!$H$22*(CJ22/$B37),".")</f>
        <v>5.9468166494848735E-7</v>
      </c>
      <c r="CK37" s="101">
        <f>IFERROR(s_RadSpec!$H$22*(CK22/$B37),".")</f>
        <v>3.1779891135744162E-7</v>
      </c>
      <c r="CL37" s="101">
        <f>IFERROR(s_RadSpec!$H$22*(CL22/$B37),".")</f>
        <v>2.8272709590257585E-7</v>
      </c>
      <c r="CM37" s="101">
        <f>IFERROR(s_RadSpec!$H$22*(CM22/$B37),".")</f>
        <v>3.5010189927639696E-7</v>
      </c>
      <c r="CN37" s="101">
        <f>IFERROR(s_RadSpec!$H$22*(CN22/$B37),".")</f>
        <v>6.915906287053532E-7</v>
      </c>
      <c r="CO37" s="101">
        <f>IFERROR(s_RadSpec!$H$22*(CO22/$B37),".")</f>
        <v>3.3625776159684467E-7</v>
      </c>
      <c r="CP37" s="101">
        <f>IFERROR(s_RadSpec!$H$22*(CP22/$B37),".")</f>
        <v>3.5010189927639696E-7</v>
      </c>
      <c r="CQ37" s="101">
        <f>IFERROR(s_RadSpec!$H$22*(CQ22/$B37),".")</f>
        <v>5.9468166494848735E-7</v>
      </c>
      <c r="CR37" s="101">
        <f>IFERROR(s_RadSpec!$H$22*(CR22/$B37),".")</f>
        <v>3.1779891135744162E-7</v>
      </c>
      <c r="CS37" s="101">
        <f>IFERROR(s_RadSpec!$H$22*(CS22/$B37),".")</f>
        <v>3.1779891135744162E-7</v>
      </c>
      <c r="CT37" s="101">
        <f>IFERROR(s_RadSpec!$H$22*(CT22/$B37),".")</f>
        <v>3.3625776159684467E-7</v>
      </c>
      <c r="CU37" s="101">
        <f>IFERROR(s_RadSpec!$H$22*(CU22/$B37),".")</f>
        <v>3.5010189927639696E-7</v>
      </c>
      <c r="CV37" s="101">
        <f>IFERROR(s_RadSpec!$H$22*(CV22/$B37),".")</f>
        <v>3.2241362391729237E-7</v>
      </c>
      <c r="CW37" s="101">
        <f>IFERROR(s_RadSpec!$H$22*(CW22/$B37),".")</f>
        <v>3.5010189927639696E-7</v>
      </c>
      <c r="CX37" s="101">
        <f>IFERROR(s_RadSpec!$H$22*(CX22/$B37),".")</f>
        <v>3.3625776159684467E-7</v>
      </c>
      <c r="CY37" s="101">
        <f>IFERROR(s_RadSpec!$H$22*(CY22/$B37),".")</f>
        <v>3.1779891135744162E-7</v>
      </c>
      <c r="CZ37" s="101">
        <f>IFERROR(s_RadSpec!$H$22*(CZ22/$B37),".")</f>
        <v>3.5010189927639696E-7</v>
      </c>
      <c r="DA37" s="101">
        <f>IFERROR(s_RadSpec!$H$22*(DA22/$B37),".")</f>
        <v>2.7566658568600418E-7</v>
      </c>
      <c r="DB37" s="101">
        <f>IFERROR(s_RadSpec!$H$22*(DB22/$B37),".")</f>
        <v>3.5010189927639696E-7</v>
      </c>
    </row>
    <row r="38" spans="1:106" x14ac:dyDescent="0.25">
      <c r="A38" s="99" t="s">
        <v>1080</v>
      </c>
      <c r="B38" s="90">
        <v>1</v>
      </c>
      <c r="C38" s="100">
        <f t="shared" ref="C38" si="47">IFERROR($B38/C2,0)</f>
        <v>3.9090045256094073E-2</v>
      </c>
      <c r="D38" s="100">
        <f t="shared" ref="D38:AB38" si="48">IFERROR($B38/D2,0)</f>
        <v>9.7725113140235183E-3</v>
      </c>
      <c r="E38" s="100">
        <f t="shared" si="48"/>
        <v>9.7725113140235183E-3</v>
      </c>
      <c r="F38" s="100">
        <f t="shared" si="48"/>
        <v>9.7725113140235183E-3</v>
      </c>
      <c r="G38" s="100">
        <f t="shared" si="48"/>
        <v>9.7725113140235183E-3</v>
      </c>
      <c r="H38" s="100">
        <f t="shared" si="48"/>
        <v>9.7725113140235183E-3</v>
      </c>
      <c r="I38" s="100">
        <f t="shared" si="48"/>
        <v>9.7725113140235183E-3</v>
      </c>
      <c r="J38" s="100">
        <f t="shared" si="48"/>
        <v>9.7725113140235183E-3</v>
      </c>
      <c r="K38" s="100">
        <f t="shared" si="48"/>
        <v>9.7725113140235183E-3</v>
      </c>
      <c r="L38" s="100">
        <f t="shared" si="48"/>
        <v>9.7725113140235183E-3</v>
      </c>
      <c r="M38" s="100">
        <f t="shared" si="48"/>
        <v>9.7725113140235183E-3</v>
      </c>
      <c r="N38" s="100">
        <f t="shared" si="48"/>
        <v>9.7725113140235183E-3</v>
      </c>
      <c r="O38" s="100">
        <f t="shared" si="48"/>
        <v>9.7725113140235183E-3</v>
      </c>
      <c r="P38" s="100">
        <f t="shared" si="48"/>
        <v>9.7725113140235183E-3</v>
      </c>
      <c r="Q38" s="100">
        <f t="shared" si="48"/>
        <v>9.7725113140235183E-3</v>
      </c>
      <c r="R38" s="100">
        <f t="shared" si="48"/>
        <v>9.7725113140235183E-3</v>
      </c>
      <c r="S38" s="100">
        <f t="shared" si="48"/>
        <v>9.7725113140235183E-3</v>
      </c>
      <c r="T38" s="100">
        <f t="shared" si="48"/>
        <v>9.7725113140235183E-3</v>
      </c>
      <c r="U38" s="100">
        <f t="shared" ref="U38" si="49">IFERROR($B38/U2,0)</f>
        <v>9.7725113140235183E-3</v>
      </c>
      <c r="V38" s="100">
        <f t="shared" si="48"/>
        <v>9.7725113140235183E-3</v>
      </c>
      <c r="W38" s="100">
        <f t="shared" si="48"/>
        <v>9.7725113140235183E-3</v>
      </c>
      <c r="X38" s="100">
        <f t="shared" si="48"/>
        <v>9.7725113140235183E-3</v>
      </c>
      <c r="Y38" s="100">
        <f t="shared" si="48"/>
        <v>9.7725113140235183E-3</v>
      </c>
      <c r="Z38" s="100">
        <f t="shared" si="48"/>
        <v>9.7725113140235183E-3</v>
      </c>
      <c r="AA38" s="100">
        <f t="shared" si="48"/>
        <v>9.7725113140235183E-3</v>
      </c>
      <c r="AB38" s="100">
        <f t="shared" si="48"/>
        <v>9.7725113140235183E-3</v>
      </c>
      <c r="AC38" s="49">
        <f t="shared" si="5"/>
        <v>1.9545022628047038E-6</v>
      </c>
      <c r="AD38" s="101">
        <f>IFERROR(s_RadSpec!$H$2*(AD2/$B38),".")</f>
        <v>4.8862556570117595E-7</v>
      </c>
      <c r="AE38" s="101">
        <f>IFERROR(s_RadSpec!$H$2*(AE2/$B38),".")</f>
        <v>4.8862556570117595E-7</v>
      </c>
      <c r="AF38" s="101">
        <f>IFERROR(s_RadSpec!$H$2*(AF2/$B38),".")</f>
        <v>4.8862556570117595E-7</v>
      </c>
      <c r="AG38" s="101">
        <f>IFERROR(s_RadSpec!$H$2*(AG2/$B38),".")</f>
        <v>4.8862556570117595E-7</v>
      </c>
      <c r="AH38" s="101">
        <f>IFERROR(s_RadSpec!$H$2*(AH2/$B38),".")</f>
        <v>4.8862556570117595E-7</v>
      </c>
      <c r="AI38" s="101">
        <f>IFERROR(s_RadSpec!$H$2*(AI2/$B38),".")</f>
        <v>4.8862556570117595E-7</v>
      </c>
      <c r="AJ38" s="101">
        <f>IFERROR(s_RadSpec!$H$2*(AJ2/$B38),".")</f>
        <v>4.8862556570117595E-7</v>
      </c>
      <c r="AK38" s="101">
        <f>IFERROR(s_RadSpec!$H$2*(AK2/$B38),".")</f>
        <v>4.8862556570117595E-7</v>
      </c>
      <c r="AL38" s="101">
        <f>IFERROR(s_RadSpec!$H$2*(AL2/$B38),".")</f>
        <v>4.8862556570117595E-7</v>
      </c>
      <c r="AM38" s="101">
        <f>IFERROR(s_RadSpec!$H$2*(AM2/$B38),".")</f>
        <v>4.8862556570117595E-7</v>
      </c>
      <c r="AN38" s="101">
        <f>IFERROR(s_RadSpec!$H$2*(AN2/$B38),".")</f>
        <v>4.8862556570117595E-7</v>
      </c>
      <c r="AO38" s="101">
        <f>IFERROR(s_RadSpec!$H$2*(AO2/$B38),".")</f>
        <v>4.8862556570117595E-7</v>
      </c>
      <c r="AP38" s="101">
        <f>IFERROR(s_RadSpec!$H$2*(AP2/$B38),".")</f>
        <v>4.8862556570117595E-7</v>
      </c>
      <c r="AQ38" s="101">
        <f>IFERROR(s_RadSpec!$H$2*(AQ2/$B38),".")</f>
        <v>4.8862556570117595E-7</v>
      </c>
      <c r="AR38" s="101">
        <f>IFERROR(s_RadSpec!$H$2*(AR2/$B38),".")</f>
        <v>4.8862556570117595E-7</v>
      </c>
      <c r="AS38" s="101">
        <f>IFERROR(s_RadSpec!$H$2*(AS2/$B38),".")</f>
        <v>4.8862556570117595E-7</v>
      </c>
      <c r="AT38" s="101">
        <f>IFERROR(s_RadSpec!$H$2*(AT2/$B38),".")</f>
        <v>4.8862556570117595E-7</v>
      </c>
      <c r="AU38" s="101">
        <f>IFERROR(s_RadSpec!$H$2*(AU2/$B38),".")</f>
        <v>4.8862556570117595E-7</v>
      </c>
      <c r="AV38" s="101">
        <f>IFERROR(s_RadSpec!$H$2*(AV2/$B38),".")</f>
        <v>4.8862556570117595E-7</v>
      </c>
      <c r="AW38" s="101">
        <f>IFERROR(s_RadSpec!$H$2*(AW2/$B38),".")</f>
        <v>4.8862556570117595E-7</v>
      </c>
      <c r="AX38" s="101">
        <f>IFERROR(s_RadSpec!$H$2*(AX2/$B38),".")</f>
        <v>4.8862556570117595E-7</v>
      </c>
      <c r="AY38" s="101">
        <f>IFERROR(s_RadSpec!$H$2*(AY2/$B38),".")</f>
        <v>4.8862556570117595E-7</v>
      </c>
      <c r="AZ38" s="101">
        <f>IFERROR(s_RadSpec!$H$2*(AZ2/$B38),".")</f>
        <v>4.8862556570117595E-7</v>
      </c>
      <c r="BA38" s="101">
        <f>IFERROR(s_RadSpec!$H$2*(BA2/$B38),".")</f>
        <v>4.8862556570117595E-7</v>
      </c>
      <c r="BB38" s="101">
        <f>IFERROR(s_RadSpec!$H$2*(BB2/$B38),".")</f>
        <v>4.8862556570117595E-7</v>
      </c>
      <c r="BC38" s="100">
        <f t="shared" ref="BC38" si="50">IFERROR($B38/BC2,0)</f>
        <v>3.9090045256094073E-2</v>
      </c>
      <c r="BD38" s="100">
        <f t="shared" ref="BD38:CB38" si="51">IFERROR($B38/BD2,0)</f>
        <v>9.7725113140235183E-3</v>
      </c>
      <c r="BE38" s="100">
        <f t="shared" si="51"/>
        <v>9.7725113140235183E-3</v>
      </c>
      <c r="BF38" s="100">
        <f t="shared" si="51"/>
        <v>9.7725113140235183E-3</v>
      </c>
      <c r="BG38" s="100">
        <f t="shared" si="51"/>
        <v>9.7725113140235183E-3</v>
      </c>
      <c r="BH38" s="100">
        <f t="shared" si="51"/>
        <v>9.7725113140235183E-3</v>
      </c>
      <c r="BI38" s="100">
        <f t="shared" si="51"/>
        <v>9.7725113140235183E-3</v>
      </c>
      <c r="BJ38" s="100">
        <f t="shared" si="51"/>
        <v>9.7725113140235183E-3</v>
      </c>
      <c r="BK38" s="100">
        <f t="shared" si="51"/>
        <v>9.7725113140235183E-3</v>
      </c>
      <c r="BL38" s="100">
        <f t="shared" si="51"/>
        <v>9.7725113140235183E-3</v>
      </c>
      <c r="BM38" s="100">
        <f t="shared" si="51"/>
        <v>9.7725113140235183E-3</v>
      </c>
      <c r="BN38" s="100">
        <f t="shared" si="51"/>
        <v>9.7725113140235183E-3</v>
      </c>
      <c r="BO38" s="100">
        <f t="shared" si="51"/>
        <v>9.7725113140235183E-3</v>
      </c>
      <c r="BP38" s="100">
        <f t="shared" si="51"/>
        <v>9.7725113140235183E-3</v>
      </c>
      <c r="BQ38" s="100">
        <f t="shared" si="51"/>
        <v>9.7725113140235183E-3</v>
      </c>
      <c r="BR38" s="100">
        <f t="shared" si="51"/>
        <v>9.7725113140235183E-3</v>
      </c>
      <c r="BS38" s="100">
        <f t="shared" si="51"/>
        <v>9.7725113140235183E-3</v>
      </c>
      <c r="BT38" s="100">
        <f t="shared" si="51"/>
        <v>9.7725113140235183E-3</v>
      </c>
      <c r="BU38" s="100">
        <f t="shared" ref="BU38" si="52">IFERROR($B38/BU2,0)</f>
        <v>9.7725113140235183E-3</v>
      </c>
      <c r="BV38" s="100">
        <f t="shared" si="51"/>
        <v>9.7725113140235183E-3</v>
      </c>
      <c r="BW38" s="100">
        <f t="shared" si="51"/>
        <v>9.7725113140235183E-3</v>
      </c>
      <c r="BX38" s="100">
        <f t="shared" si="51"/>
        <v>9.7725113140235183E-3</v>
      </c>
      <c r="BY38" s="100">
        <f t="shared" si="51"/>
        <v>9.7725113140235183E-3</v>
      </c>
      <c r="BZ38" s="100">
        <f t="shared" si="51"/>
        <v>9.7725113140235183E-3</v>
      </c>
      <c r="CA38" s="100">
        <f t="shared" si="51"/>
        <v>9.7725113140235183E-3</v>
      </c>
      <c r="CB38" s="100">
        <f t="shared" si="51"/>
        <v>9.7725113140235183E-3</v>
      </c>
      <c r="CC38" s="49">
        <f t="shared" si="2"/>
        <v>1.9545022628047038E-6</v>
      </c>
      <c r="CD38" s="101">
        <f>IFERROR(s_RadSpec!$H$2*(CD2/$B38),".")</f>
        <v>4.8862556570117595E-7</v>
      </c>
      <c r="CE38" s="101">
        <f>IFERROR(s_RadSpec!$H$2*(CE2/$B38),".")</f>
        <v>4.8862556570117595E-7</v>
      </c>
      <c r="CF38" s="101">
        <f>IFERROR(s_RadSpec!$H$2*(CF2/$B38),".")</f>
        <v>4.8862556570117595E-7</v>
      </c>
      <c r="CG38" s="101">
        <f>IFERROR(s_RadSpec!$H$2*(CG2/$B38),".")</f>
        <v>4.8862556570117595E-7</v>
      </c>
      <c r="CH38" s="101">
        <f>IFERROR(s_RadSpec!$H$2*(CH2/$B38),".")</f>
        <v>4.8862556570117595E-7</v>
      </c>
      <c r="CI38" s="101">
        <f>IFERROR(s_RadSpec!$H$2*(CI2/$B38),".")</f>
        <v>4.8862556570117595E-7</v>
      </c>
      <c r="CJ38" s="101">
        <f>IFERROR(s_RadSpec!$H$2*(CJ2/$B38),".")</f>
        <v>4.8862556570117595E-7</v>
      </c>
      <c r="CK38" s="101">
        <f>IFERROR(s_RadSpec!$H$2*(CK2/$B38),".")</f>
        <v>4.8862556570117595E-7</v>
      </c>
      <c r="CL38" s="101">
        <f>IFERROR(s_RadSpec!$H$2*(CL2/$B38),".")</f>
        <v>4.8862556570117595E-7</v>
      </c>
      <c r="CM38" s="101">
        <f>IFERROR(s_RadSpec!$H$2*(CM2/$B38),".")</f>
        <v>4.8862556570117595E-7</v>
      </c>
      <c r="CN38" s="101">
        <f>IFERROR(s_RadSpec!$H$2*(CN2/$B38),".")</f>
        <v>4.8862556570117595E-7</v>
      </c>
      <c r="CO38" s="101">
        <f>IFERROR(s_RadSpec!$H$2*(CO2/$B38),".")</f>
        <v>4.8862556570117595E-7</v>
      </c>
      <c r="CP38" s="101">
        <f>IFERROR(s_RadSpec!$H$2*(CP2/$B38),".")</f>
        <v>4.8862556570117595E-7</v>
      </c>
      <c r="CQ38" s="101">
        <f>IFERROR(s_RadSpec!$H$2*(CQ2/$B38),".")</f>
        <v>4.8862556570117595E-7</v>
      </c>
      <c r="CR38" s="101">
        <f>IFERROR(s_RadSpec!$H$2*(CR2/$B38),".")</f>
        <v>4.8862556570117595E-7</v>
      </c>
      <c r="CS38" s="101">
        <f>IFERROR(s_RadSpec!$H$2*(CS2/$B38),".")</f>
        <v>4.8862556570117595E-7</v>
      </c>
      <c r="CT38" s="101">
        <f>IFERROR(s_RadSpec!$H$2*(CT2/$B38),".")</f>
        <v>4.8862556570117595E-7</v>
      </c>
      <c r="CU38" s="101">
        <f>IFERROR(s_RadSpec!$H$2*(CU2/$B38),".")</f>
        <v>4.8862556570117595E-7</v>
      </c>
      <c r="CV38" s="101">
        <f>IFERROR(s_RadSpec!$H$2*(CV2/$B38),".")</f>
        <v>4.8862556570117595E-7</v>
      </c>
      <c r="CW38" s="101">
        <f>IFERROR(s_RadSpec!$H$2*(CW2/$B38),".")</f>
        <v>4.8862556570117595E-7</v>
      </c>
      <c r="CX38" s="101">
        <f>IFERROR(s_RadSpec!$H$2*(CX2/$B38),".")</f>
        <v>4.8862556570117595E-7</v>
      </c>
      <c r="CY38" s="101">
        <f>IFERROR(s_RadSpec!$H$2*(CY2/$B38),".")</f>
        <v>4.8862556570117595E-7</v>
      </c>
      <c r="CZ38" s="101">
        <f>IFERROR(s_RadSpec!$H$2*(CZ2/$B38),".")</f>
        <v>4.8862556570117595E-7</v>
      </c>
      <c r="DA38" s="101">
        <f>IFERROR(s_RadSpec!$H$2*(DA2/$B38),".")</f>
        <v>4.8862556570117595E-7</v>
      </c>
      <c r="DB38" s="101">
        <f>IFERROR(s_RadSpec!$H$2*(DB2/$B38),".")</f>
        <v>4.8862556570117595E-7</v>
      </c>
    </row>
    <row r="39" spans="1:106" x14ac:dyDescent="0.25">
      <c r="A39" s="99" t="s">
        <v>1081</v>
      </c>
      <c r="B39" s="90">
        <v>1</v>
      </c>
      <c r="C39" s="100">
        <f t="shared" ref="C39" si="53">IFERROR($B39/C11,0)</f>
        <v>0</v>
      </c>
      <c r="D39" s="100">
        <f t="shared" ref="D39:AB39" si="54">IFERROR($B39/D11,0)</f>
        <v>0</v>
      </c>
      <c r="E39" s="100">
        <f t="shared" si="54"/>
        <v>0</v>
      </c>
      <c r="F39" s="100">
        <f t="shared" si="54"/>
        <v>0</v>
      </c>
      <c r="G39" s="100">
        <f t="shared" si="54"/>
        <v>0</v>
      </c>
      <c r="H39" s="100">
        <f t="shared" si="54"/>
        <v>0</v>
      </c>
      <c r="I39" s="100">
        <f t="shared" si="54"/>
        <v>0</v>
      </c>
      <c r="J39" s="100">
        <f t="shared" si="54"/>
        <v>0</v>
      </c>
      <c r="K39" s="100">
        <f t="shared" si="54"/>
        <v>0</v>
      </c>
      <c r="L39" s="100">
        <f t="shared" si="54"/>
        <v>0</v>
      </c>
      <c r="M39" s="100">
        <f t="shared" si="54"/>
        <v>0</v>
      </c>
      <c r="N39" s="100">
        <f t="shared" si="54"/>
        <v>0</v>
      </c>
      <c r="O39" s="100">
        <f t="shared" si="54"/>
        <v>0</v>
      </c>
      <c r="P39" s="100">
        <f t="shared" si="54"/>
        <v>0</v>
      </c>
      <c r="Q39" s="100">
        <f t="shared" si="54"/>
        <v>0</v>
      </c>
      <c r="R39" s="100">
        <f t="shared" si="54"/>
        <v>0</v>
      </c>
      <c r="S39" s="100">
        <f t="shared" si="54"/>
        <v>0</v>
      </c>
      <c r="T39" s="100">
        <f t="shared" si="54"/>
        <v>0</v>
      </c>
      <c r="U39" s="100">
        <f t="shared" ref="U39" si="55">IFERROR($B39/U11,0)</f>
        <v>0</v>
      </c>
      <c r="V39" s="100">
        <f t="shared" si="54"/>
        <v>0</v>
      </c>
      <c r="W39" s="100">
        <f t="shared" si="54"/>
        <v>0</v>
      </c>
      <c r="X39" s="100">
        <f t="shared" si="54"/>
        <v>0</v>
      </c>
      <c r="Y39" s="100">
        <f t="shared" si="54"/>
        <v>0</v>
      </c>
      <c r="Z39" s="100">
        <f t="shared" si="54"/>
        <v>0</v>
      </c>
      <c r="AA39" s="100">
        <f t="shared" si="54"/>
        <v>0</v>
      </c>
      <c r="AB39" s="100">
        <f t="shared" si="54"/>
        <v>0</v>
      </c>
      <c r="AC39" s="49">
        <f t="shared" si="5"/>
        <v>0</v>
      </c>
      <c r="AD39" s="101">
        <f>IFERROR(s_RadSpec!$H$11*(AD11/$B39),".")</f>
        <v>0</v>
      </c>
      <c r="AE39" s="101">
        <f>IFERROR(s_RadSpec!$H$11*(AE11/$B39),".")</f>
        <v>0</v>
      </c>
      <c r="AF39" s="101">
        <f>IFERROR(s_RadSpec!$H$11*(AF11/$B39),".")</f>
        <v>0</v>
      </c>
      <c r="AG39" s="101">
        <f>IFERROR(s_RadSpec!$H$11*(AG11/$B39),".")</f>
        <v>0</v>
      </c>
      <c r="AH39" s="101">
        <f>IFERROR(s_RadSpec!$H$11*(AH11/$B39),".")</f>
        <v>0</v>
      </c>
      <c r="AI39" s="101">
        <f>IFERROR(s_RadSpec!$H$11*(AI11/$B39),".")</f>
        <v>0</v>
      </c>
      <c r="AJ39" s="101">
        <f>IFERROR(s_RadSpec!$H$11*(AJ11/$B39),".")</f>
        <v>0</v>
      </c>
      <c r="AK39" s="101">
        <f>IFERROR(s_RadSpec!$H$11*(AK11/$B39),".")</f>
        <v>0</v>
      </c>
      <c r="AL39" s="101">
        <f>IFERROR(s_RadSpec!$H$11*(AL11/$B39),".")</f>
        <v>0</v>
      </c>
      <c r="AM39" s="101">
        <f>IFERROR(s_RadSpec!$H$11*(AM11/$B39),".")</f>
        <v>0</v>
      </c>
      <c r="AN39" s="101">
        <f>IFERROR(s_RadSpec!$H$11*(AN11/$B39),".")</f>
        <v>0</v>
      </c>
      <c r="AO39" s="101">
        <f>IFERROR(s_RadSpec!$H$11*(AO11/$B39),".")</f>
        <v>0</v>
      </c>
      <c r="AP39" s="101">
        <f>IFERROR(s_RadSpec!$H$11*(AP11/$B39),".")</f>
        <v>0</v>
      </c>
      <c r="AQ39" s="101">
        <f>IFERROR(s_RadSpec!$H$11*(AQ11/$B39),".")</f>
        <v>0</v>
      </c>
      <c r="AR39" s="101">
        <f>IFERROR(s_RadSpec!$H$11*(AR11/$B39),".")</f>
        <v>0</v>
      </c>
      <c r="AS39" s="101">
        <f>IFERROR(s_RadSpec!$H$11*(AS11/$B39),".")</f>
        <v>0</v>
      </c>
      <c r="AT39" s="101">
        <f>IFERROR(s_RadSpec!$H$11*(AT11/$B39),".")</f>
        <v>0</v>
      </c>
      <c r="AU39" s="101">
        <f>IFERROR(s_RadSpec!$H$11*(AU11/$B39),".")</f>
        <v>0</v>
      </c>
      <c r="AV39" s="101">
        <f>IFERROR(s_RadSpec!$H$11*(AV11/$B39),".")</f>
        <v>0</v>
      </c>
      <c r="AW39" s="101">
        <f>IFERROR(s_RadSpec!$H$11*(AW11/$B39),".")</f>
        <v>0</v>
      </c>
      <c r="AX39" s="101">
        <f>IFERROR(s_RadSpec!$H$11*(AX11/$B39),".")</f>
        <v>0</v>
      </c>
      <c r="AY39" s="101">
        <f>IFERROR(s_RadSpec!$H$11*(AY11/$B39),".")</f>
        <v>0</v>
      </c>
      <c r="AZ39" s="101">
        <f>IFERROR(s_RadSpec!$H$11*(AZ11/$B39),".")</f>
        <v>0</v>
      </c>
      <c r="BA39" s="101">
        <f>IFERROR(s_RadSpec!$H$11*(BA11/$B39),".")</f>
        <v>0</v>
      </c>
      <c r="BB39" s="101">
        <f>IFERROR(s_RadSpec!$H$11*(BB11/$B39),".")</f>
        <v>0</v>
      </c>
      <c r="BC39" s="100">
        <f t="shared" ref="BC39" si="56">IFERROR($B39/BC11,0)</f>
        <v>0</v>
      </c>
      <c r="BD39" s="100">
        <f t="shared" ref="BD39:CB39" si="57">IFERROR($B39/BD11,0)</f>
        <v>0</v>
      </c>
      <c r="BE39" s="100">
        <f t="shared" si="57"/>
        <v>0</v>
      </c>
      <c r="BF39" s="100">
        <f t="shared" si="57"/>
        <v>0</v>
      </c>
      <c r="BG39" s="100">
        <f t="shared" si="57"/>
        <v>0</v>
      </c>
      <c r="BH39" s="100">
        <f t="shared" si="57"/>
        <v>0</v>
      </c>
      <c r="BI39" s="100">
        <f t="shared" si="57"/>
        <v>0</v>
      </c>
      <c r="BJ39" s="100">
        <f t="shared" si="57"/>
        <v>0</v>
      </c>
      <c r="BK39" s="100">
        <f t="shared" si="57"/>
        <v>0</v>
      </c>
      <c r="BL39" s="100">
        <f t="shared" si="57"/>
        <v>0</v>
      </c>
      <c r="BM39" s="100">
        <f t="shared" si="57"/>
        <v>0</v>
      </c>
      <c r="BN39" s="100">
        <f t="shared" si="57"/>
        <v>0</v>
      </c>
      <c r="BO39" s="100">
        <f t="shared" si="57"/>
        <v>0</v>
      </c>
      <c r="BP39" s="100">
        <f t="shared" si="57"/>
        <v>0</v>
      </c>
      <c r="BQ39" s="100">
        <f t="shared" si="57"/>
        <v>0</v>
      </c>
      <c r="BR39" s="100">
        <f t="shared" si="57"/>
        <v>0</v>
      </c>
      <c r="BS39" s="100">
        <f t="shared" si="57"/>
        <v>0</v>
      </c>
      <c r="BT39" s="100">
        <f t="shared" si="57"/>
        <v>0</v>
      </c>
      <c r="BU39" s="100">
        <f t="shared" ref="BU39" si="58">IFERROR($B39/BU11,0)</f>
        <v>0</v>
      </c>
      <c r="BV39" s="100">
        <f t="shared" si="57"/>
        <v>0</v>
      </c>
      <c r="BW39" s="100">
        <f t="shared" si="57"/>
        <v>0</v>
      </c>
      <c r="BX39" s="100">
        <f t="shared" si="57"/>
        <v>0</v>
      </c>
      <c r="BY39" s="100">
        <f t="shared" si="57"/>
        <v>0</v>
      </c>
      <c r="BZ39" s="100">
        <f t="shared" si="57"/>
        <v>0</v>
      </c>
      <c r="CA39" s="100">
        <f t="shared" si="57"/>
        <v>0</v>
      </c>
      <c r="CB39" s="100">
        <f t="shared" si="57"/>
        <v>0</v>
      </c>
      <c r="CC39" s="49">
        <f t="shared" si="2"/>
        <v>0</v>
      </c>
      <c r="CD39" s="101">
        <f>IFERROR(s_RadSpec!$H$11*(CD11/$B39),".")</f>
        <v>0</v>
      </c>
      <c r="CE39" s="101">
        <f>IFERROR(s_RadSpec!$H$11*(CE11/$B39),".")</f>
        <v>0</v>
      </c>
      <c r="CF39" s="101">
        <f>IFERROR(s_RadSpec!$H$11*(CF11/$B39),".")</f>
        <v>0</v>
      </c>
      <c r="CG39" s="101">
        <f>IFERROR(s_RadSpec!$H$11*(CG11/$B39),".")</f>
        <v>0</v>
      </c>
      <c r="CH39" s="101">
        <f>IFERROR(s_RadSpec!$H$11*(CH11/$B39),".")</f>
        <v>0</v>
      </c>
      <c r="CI39" s="101">
        <f>IFERROR(s_RadSpec!$H$11*(CI11/$B39),".")</f>
        <v>0</v>
      </c>
      <c r="CJ39" s="101">
        <f>IFERROR(s_RadSpec!$H$11*(CJ11/$B39),".")</f>
        <v>0</v>
      </c>
      <c r="CK39" s="101">
        <f>IFERROR(s_RadSpec!$H$11*(CK11/$B39),".")</f>
        <v>0</v>
      </c>
      <c r="CL39" s="101">
        <f>IFERROR(s_RadSpec!$H$11*(CL11/$B39),".")</f>
        <v>0</v>
      </c>
      <c r="CM39" s="101">
        <f>IFERROR(s_RadSpec!$H$11*(CM11/$B39),".")</f>
        <v>0</v>
      </c>
      <c r="CN39" s="101">
        <f>IFERROR(s_RadSpec!$H$11*(CN11/$B39),".")</f>
        <v>0</v>
      </c>
      <c r="CO39" s="101">
        <f>IFERROR(s_RadSpec!$H$11*(CO11/$B39),".")</f>
        <v>0</v>
      </c>
      <c r="CP39" s="101">
        <f>IFERROR(s_RadSpec!$H$11*(CP11/$B39),".")</f>
        <v>0</v>
      </c>
      <c r="CQ39" s="101">
        <f>IFERROR(s_RadSpec!$H$11*(CQ11/$B39),".")</f>
        <v>0</v>
      </c>
      <c r="CR39" s="101">
        <f>IFERROR(s_RadSpec!$H$11*(CR11/$B39),".")</f>
        <v>0</v>
      </c>
      <c r="CS39" s="101">
        <f>IFERROR(s_RadSpec!$H$11*(CS11/$B39),".")</f>
        <v>0</v>
      </c>
      <c r="CT39" s="101">
        <f>IFERROR(s_RadSpec!$H$11*(CT11/$B39),".")</f>
        <v>0</v>
      </c>
      <c r="CU39" s="101">
        <f>IFERROR(s_RadSpec!$H$11*(CU11/$B39),".")</f>
        <v>0</v>
      </c>
      <c r="CV39" s="101">
        <f>IFERROR(s_RadSpec!$H$11*(CV11/$B39),".")</f>
        <v>0</v>
      </c>
      <c r="CW39" s="101">
        <f>IFERROR(s_RadSpec!$H$11*(CW11/$B39),".")</f>
        <v>0</v>
      </c>
      <c r="CX39" s="101">
        <f>IFERROR(s_RadSpec!$H$11*(CX11/$B39),".")</f>
        <v>0</v>
      </c>
      <c r="CY39" s="101">
        <f>IFERROR(s_RadSpec!$H$11*(CY11/$B39),".")</f>
        <v>0</v>
      </c>
      <c r="CZ39" s="101">
        <f>IFERROR(s_RadSpec!$H$11*(CZ11/$B39),".")</f>
        <v>0</v>
      </c>
      <c r="DA39" s="101">
        <f>IFERROR(s_RadSpec!$H$11*(DA11/$B39),".")</f>
        <v>0</v>
      </c>
      <c r="DB39" s="101">
        <f>IFERROR(s_RadSpec!$H$11*(DB11/$B39),".")</f>
        <v>0</v>
      </c>
    </row>
    <row r="40" spans="1:106" x14ac:dyDescent="0.25">
      <c r="A40" s="99" t="s">
        <v>1082</v>
      </c>
      <c r="B40" s="90">
        <v>1</v>
      </c>
      <c r="C40" s="100">
        <f t="shared" ref="C40" si="59">IFERROR($B40/C4,0)</f>
        <v>0</v>
      </c>
      <c r="D40" s="100">
        <f t="shared" ref="D40:AB40" si="60">IFERROR($B40/D4,0)</f>
        <v>0</v>
      </c>
      <c r="E40" s="100">
        <f t="shared" si="60"/>
        <v>0</v>
      </c>
      <c r="F40" s="100">
        <f t="shared" si="60"/>
        <v>0</v>
      </c>
      <c r="G40" s="100">
        <f t="shared" si="60"/>
        <v>0</v>
      </c>
      <c r="H40" s="100">
        <f t="shared" si="60"/>
        <v>0</v>
      </c>
      <c r="I40" s="100">
        <f t="shared" si="60"/>
        <v>0</v>
      </c>
      <c r="J40" s="100">
        <f t="shared" si="60"/>
        <v>0</v>
      </c>
      <c r="K40" s="100">
        <f t="shared" si="60"/>
        <v>0</v>
      </c>
      <c r="L40" s="100">
        <f t="shared" si="60"/>
        <v>0</v>
      </c>
      <c r="M40" s="100">
        <f t="shared" si="60"/>
        <v>0</v>
      </c>
      <c r="N40" s="100">
        <f t="shared" si="60"/>
        <v>0</v>
      </c>
      <c r="O40" s="100">
        <f t="shared" si="60"/>
        <v>0</v>
      </c>
      <c r="P40" s="100">
        <f t="shared" si="60"/>
        <v>0</v>
      </c>
      <c r="Q40" s="100">
        <f t="shared" si="60"/>
        <v>0</v>
      </c>
      <c r="R40" s="100">
        <f t="shared" si="60"/>
        <v>0</v>
      </c>
      <c r="S40" s="100">
        <f t="shared" si="60"/>
        <v>0</v>
      </c>
      <c r="T40" s="100">
        <f t="shared" si="60"/>
        <v>0</v>
      </c>
      <c r="U40" s="100">
        <f t="shared" ref="U40" si="61">IFERROR($B40/U4,0)</f>
        <v>0</v>
      </c>
      <c r="V40" s="100">
        <f t="shared" si="60"/>
        <v>0</v>
      </c>
      <c r="W40" s="100">
        <f t="shared" si="60"/>
        <v>0</v>
      </c>
      <c r="X40" s="100">
        <f t="shared" si="60"/>
        <v>0</v>
      </c>
      <c r="Y40" s="100">
        <f t="shared" si="60"/>
        <v>0</v>
      </c>
      <c r="Z40" s="100">
        <f t="shared" si="60"/>
        <v>0</v>
      </c>
      <c r="AA40" s="100">
        <f t="shared" si="60"/>
        <v>0</v>
      </c>
      <c r="AB40" s="100">
        <f t="shared" si="60"/>
        <v>0</v>
      </c>
      <c r="AC40" s="49">
        <f t="shared" si="5"/>
        <v>0</v>
      </c>
      <c r="AD40" s="101">
        <f>IFERROR(s_RadSpec!$H$4*(AD4/$B40),".")</f>
        <v>0</v>
      </c>
      <c r="AE40" s="101">
        <f>IFERROR(s_RadSpec!$H$4*(AE4/$B40),".")</f>
        <v>0</v>
      </c>
      <c r="AF40" s="101">
        <f>IFERROR(s_RadSpec!$H$4*(AF4/$B40),".")</f>
        <v>0</v>
      </c>
      <c r="AG40" s="101">
        <f>IFERROR(s_RadSpec!$H$4*(AG4/$B40),".")</f>
        <v>0</v>
      </c>
      <c r="AH40" s="101">
        <f>IFERROR(s_RadSpec!$H$4*(AH4/$B40),".")</f>
        <v>0</v>
      </c>
      <c r="AI40" s="101">
        <f>IFERROR(s_RadSpec!$H$4*(AI4/$B40),".")</f>
        <v>0</v>
      </c>
      <c r="AJ40" s="101">
        <f>IFERROR(s_RadSpec!$H$4*(AJ4/$B40),".")</f>
        <v>0</v>
      </c>
      <c r="AK40" s="101">
        <f>IFERROR(s_RadSpec!$H$4*(AK4/$B40),".")</f>
        <v>0</v>
      </c>
      <c r="AL40" s="101">
        <f>IFERROR(s_RadSpec!$H$4*(AL4/$B40),".")</f>
        <v>0</v>
      </c>
      <c r="AM40" s="101">
        <f>IFERROR(s_RadSpec!$H$4*(AM4/$B40),".")</f>
        <v>0</v>
      </c>
      <c r="AN40" s="101">
        <f>IFERROR(s_RadSpec!$H$4*(AN4/$B40),".")</f>
        <v>0</v>
      </c>
      <c r="AO40" s="101">
        <f>IFERROR(s_RadSpec!$H$4*(AO4/$B40),".")</f>
        <v>0</v>
      </c>
      <c r="AP40" s="101">
        <f>IFERROR(s_RadSpec!$H$4*(AP4/$B40),".")</f>
        <v>0</v>
      </c>
      <c r="AQ40" s="101">
        <f>IFERROR(s_RadSpec!$H$4*(AQ4/$B40),".")</f>
        <v>0</v>
      </c>
      <c r="AR40" s="101">
        <f>IFERROR(s_RadSpec!$H$4*(AR4/$B40),".")</f>
        <v>0</v>
      </c>
      <c r="AS40" s="101">
        <f>IFERROR(s_RadSpec!$H$4*(AS4/$B40),".")</f>
        <v>0</v>
      </c>
      <c r="AT40" s="101">
        <f>IFERROR(s_RadSpec!$H$4*(AT4/$B40),".")</f>
        <v>0</v>
      </c>
      <c r="AU40" s="101">
        <f>IFERROR(s_RadSpec!$H$4*(AU4/$B40),".")</f>
        <v>0</v>
      </c>
      <c r="AV40" s="101">
        <f>IFERROR(s_RadSpec!$H$4*(AV4/$B40),".")</f>
        <v>0</v>
      </c>
      <c r="AW40" s="101">
        <f>IFERROR(s_RadSpec!$H$4*(AW4/$B40),".")</f>
        <v>0</v>
      </c>
      <c r="AX40" s="101">
        <f>IFERROR(s_RadSpec!$H$4*(AX4/$B40),".")</f>
        <v>0</v>
      </c>
      <c r="AY40" s="101">
        <f>IFERROR(s_RadSpec!$H$4*(AY4/$B40),".")</f>
        <v>0</v>
      </c>
      <c r="AZ40" s="101">
        <f>IFERROR(s_RadSpec!$H$4*(AZ4/$B40),".")</f>
        <v>0</v>
      </c>
      <c r="BA40" s="101">
        <f>IFERROR(s_RadSpec!$H$4*(BA4/$B40),".")</f>
        <v>0</v>
      </c>
      <c r="BB40" s="101">
        <f>IFERROR(s_RadSpec!$H$4*(BB4/$B40),".")</f>
        <v>0</v>
      </c>
      <c r="BC40" s="100">
        <f t="shared" ref="BC40" si="62">IFERROR($B40/BC4,0)</f>
        <v>0</v>
      </c>
      <c r="BD40" s="100">
        <f t="shared" ref="BD40:CB40" si="63">IFERROR($B40/BD4,0)</f>
        <v>0</v>
      </c>
      <c r="BE40" s="100">
        <f t="shared" si="63"/>
        <v>0</v>
      </c>
      <c r="BF40" s="100">
        <f t="shared" si="63"/>
        <v>0</v>
      </c>
      <c r="BG40" s="100">
        <f t="shared" si="63"/>
        <v>0</v>
      </c>
      <c r="BH40" s="100">
        <f t="shared" si="63"/>
        <v>0</v>
      </c>
      <c r="BI40" s="100">
        <f t="shared" si="63"/>
        <v>0</v>
      </c>
      <c r="BJ40" s="100">
        <f t="shared" si="63"/>
        <v>0</v>
      </c>
      <c r="BK40" s="100">
        <f t="shared" si="63"/>
        <v>0</v>
      </c>
      <c r="BL40" s="100">
        <f t="shared" si="63"/>
        <v>0</v>
      </c>
      <c r="BM40" s="100">
        <f t="shared" si="63"/>
        <v>0</v>
      </c>
      <c r="BN40" s="100">
        <f t="shared" si="63"/>
        <v>0</v>
      </c>
      <c r="BO40" s="100">
        <f t="shared" si="63"/>
        <v>0</v>
      </c>
      <c r="BP40" s="100">
        <f t="shared" si="63"/>
        <v>0</v>
      </c>
      <c r="BQ40" s="100">
        <f t="shared" si="63"/>
        <v>0</v>
      </c>
      <c r="BR40" s="100">
        <f t="shared" si="63"/>
        <v>0</v>
      </c>
      <c r="BS40" s="100">
        <f t="shared" si="63"/>
        <v>0</v>
      </c>
      <c r="BT40" s="100">
        <f t="shared" si="63"/>
        <v>0</v>
      </c>
      <c r="BU40" s="100">
        <f t="shared" ref="BU40" si="64">IFERROR($B40/BU4,0)</f>
        <v>0</v>
      </c>
      <c r="BV40" s="100">
        <f t="shared" si="63"/>
        <v>0</v>
      </c>
      <c r="BW40" s="100">
        <f t="shared" si="63"/>
        <v>0</v>
      </c>
      <c r="BX40" s="100">
        <f t="shared" si="63"/>
        <v>0</v>
      </c>
      <c r="BY40" s="100">
        <f t="shared" si="63"/>
        <v>0</v>
      </c>
      <c r="BZ40" s="100">
        <f t="shared" si="63"/>
        <v>0</v>
      </c>
      <c r="CA40" s="100">
        <f t="shared" si="63"/>
        <v>0</v>
      </c>
      <c r="CB40" s="100">
        <f t="shared" si="63"/>
        <v>0</v>
      </c>
      <c r="CC40" s="49">
        <f t="shared" si="2"/>
        <v>0</v>
      </c>
      <c r="CD40" s="101">
        <f>IFERROR(s_RadSpec!$H$4*(CD4/$B40),".")</f>
        <v>0</v>
      </c>
      <c r="CE40" s="101">
        <f>IFERROR(s_RadSpec!$H$4*(CE4/$B40),".")</f>
        <v>0</v>
      </c>
      <c r="CF40" s="101">
        <f>IFERROR(s_RadSpec!$H$4*(CF4/$B40),".")</f>
        <v>0</v>
      </c>
      <c r="CG40" s="101">
        <f>IFERROR(s_RadSpec!$H$4*(CG4/$B40),".")</f>
        <v>0</v>
      </c>
      <c r="CH40" s="101">
        <f>IFERROR(s_RadSpec!$H$4*(CH4/$B40),".")</f>
        <v>0</v>
      </c>
      <c r="CI40" s="101">
        <f>IFERROR(s_RadSpec!$H$4*(CI4/$B40),".")</f>
        <v>0</v>
      </c>
      <c r="CJ40" s="101">
        <f>IFERROR(s_RadSpec!$H$4*(CJ4/$B40),".")</f>
        <v>0</v>
      </c>
      <c r="CK40" s="101">
        <f>IFERROR(s_RadSpec!$H$4*(CK4/$B40),".")</f>
        <v>0</v>
      </c>
      <c r="CL40" s="101">
        <f>IFERROR(s_RadSpec!$H$4*(CL4/$B40),".")</f>
        <v>0</v>
      </c>
      <c r="CM40" s="101">
        <f>IFERROR(s_RadSpec!$H$4*(CM4/$B40),".")</f>
        <v>0</v>
      </c>
      <c r="CN40" s="101">
        <f>IFERROR(s_RadSpec!$H$4*(CN4/$B40),".")</f>
        <v>0</v>
      </c>
      <c r="CO40" s="101">
        <f>IFERROR(s_RadSpec!$H$4*(CO4/$B40),".")</f>
        <v>0</v>
      </c>
      <c r="CP40" s="101">
        <f>IFERROR(s_RadSpec!$H$4*(CP4/$B40),".")</f>
        <v>0</v>
      </c>
      <c r="CQ40" s="101">
        <f>IFERROR(s_RadSpec!$H$4*(CQ4/$B40),".")</f>
        <v>0</v>
      </c>
      <c r="CR40" s="101">
        <f>IFERROR(s_RadSpec!$H$4*(CR4/$B40),".")</f>
        <v>0</v>
      </c>
      <c r="CS40" s="101">
        <f>IFERROR(s_RadSpec!$H$4*(CS4/$B40),".")</f>
        <v>0</v>
      </c>
      <c r="CT40" s="101">
        <f>IFERROR(s_RadSpec!$H$4*(CT4/$B40),".")</f>
        <v>0</v>
      </c>
      <c r="CU40" s="101">
        <f>IFERROR(s_RadSpec!$H$4*(CU4/$B40),".")</f>
        <v>0</v>
      </c>
      <c r="CV40" s="101">
        <f>IFERROR(s_RadSpec!$H$4*(CV4/$B40),".")</f>
        <v>0</v>
      </c>
      <c r="CW40" s="101">
        <f>IFERROR(s_RadSpec!$H$4*(CW4/$B40),".")</f>
        <v>0</v>
      </c>
      <c r="CX40" s="101">
        <f>IFERROR(s_RadSpec!$H$4*(CX4/$B40),".")</f>
        <v>0</v>
      </c>
      <c r="CY40" s="101">
        <f>IFERROR(s_RadSpec!$H$4*(CY4/$B40),".")</f>
        <v>0</v>
      </c>
      <c r="CZ40" s="101">
        <f>IFERROR(s_RadSpec!$H$4*(CZ4/$B40),".")</f>
        <v>0</v>
      </c>
      <c r="DA40" s="101">
        <f>IFERROR(s_RadSpec!$H$4*(DA4/$B40),".")</f>
        <v>0</v>
      </c>
      <c r="DB40" s="101">
        <f>IFERROR(s_RadSpec!$H$4*(DB4/$B40),".")</f>
        <v>0</v>
      </c>
    </row>
    <row r="41" spans="1:106" x14ac:dyDescent="0.25">
      <c r="A41" s="99" t="s">
        <v>1083</v>
      </c>
      <c r="B41" s="102">
        <v>0.99987999999999999</v>
      </c>
      <c r="C41" s="100">
        <f t="shared" ref="C41" si="65">IFERROR($B41/C8,0)</f>
        <v>2.7413745155455642E-4</v>
      </c>
      <c r="D41" s="100">
        <f t="shared" ref="D41:AB41" si="66">IFERROR($B41/D8,0)</f>
        <v>6.8534362888639106E-5</v>
      </c>
      <c r="E41" s="100">
        <f t="shared" si="66"/>
        <v>6.8534362888639106E-5</v>
      </c>
      <c r="F41" s="100">
        <f t="shared" si="66"/>
        <v>6.8534362888639106E-5</v>
      </c>
      <c r="G41" s="100">
        <f t="shared" si="66"/>
        <v>6.8534362888639106E-5</v>
      </c>
      <c r="H41" s="100">
        <f t="shared" si="66"/>
        <v>6.8534362888639106E-5</v>
      </c>
      <c r="I41" s="100">
        <f t="shared" si="66"/>
        <v>6.8534362888639106E-5</v>
      </c>
      <c r="J41" s="100">
        <f t="shared" si="66"/>
        <v>6.8534362888639106E-5</v>
      </c>
      <c r="K41" s="100">
        <f t="shared" si="66"/>
        <v>6.8534362888639106E-5</v>
      </c>
      <c r="L41" s="100">
        <f t="shared" si="66"/>
        <v>6.8534362888639106E-5</v>
      </c>
      <c r="M41" s="100">
        <f t="shared" si="66"/>
        <v>6.8534362888639106E-5</v>
      </c>
      <c r="N41" s="100">
        <f t="shared" si="66"/>
        <v>6.8534362888639106E-5</v>
      </c>
      <c r="O41" s="100">
        <f t="shared" si="66"/>
        <v>6.8534362888639106E-5</v>
      </c>
      <c r="P41" s="100">
        <f t="shared" si="66"/>
        <v>6.8534362888639106E-5</v>
      </c>
      <c r="Q41" s="100">
        <f t="shared" si="66"/>
        <v>6.8534362888639106E-5</v>
      </c>
      <c r="R41" s="100">
        <f t="shared" si="66"/>
        <v>6.8534362888639106E-5</v>
      </c>
      <c r="S41" s="100">
        <f t="shared" si="66"/>
        <v>6.8534362888639106E-5</v>
      </c>
      <c r="T41" s="100">
        <f t="shared" si="66"/>
        <v>6.8534362888639106E-5</v>
      </c>
      <c r="U41" s="100">
        <f t="shared" ref="U41" si="67">IFERROR($B41/U8,0)</f>
        <v>6.8534362888639106E-5</v>
      </c>
      <c r="V41" s="100">
        <f t="shared" si="66"/>
        <v>6.8534362888639106E-5</v>
      </c>
      <c r="W41" s="100">
        <f t="shared" si="66"/>
        <v>6.8534362888639106E-5</v>
      </c>
      <c r="X41" s="100">
        <f t="shared" si="66"/>
        <v>6.8534362888639106E-5</v>
      </c>
      <c r="Y41" s="100">
        <f t="shared" si="66"/>
        <v>6.8534362888639106E-5</v>
      </c>
      <c r="Z41" s="100">
        <f t="shared" si="66"/>
        <v>6.8534362888639106E-5</v>
      </c>
      <c r="AA41" s="100">
        <f t="shared" si="66"/>
        <v>6.8534362888639106E-5</v>
      </c>
      <c r="AB41" s="100">
        <f t="shared" si="66"/>
        <v>6.8534362888639106E-5</v>
      </c>
      <c r="AC41" s="49">
        <f t="shared" si="5"/>
        <v>1.3710162819378128E-8</v>
      </c>
      <c r="AD41" s="101">
        <f>IFERROR(s_RadSpec!$H$8*(AD8/$B41),".")</f>
        <v>3.4275407048445319E-9</v>
      </c>
      <c r="AE41" s="101">
        <f>IFERROR(s_RadSpec!$H$8*(AE8/$B41),".")</f>
        <v>3.4275407048445319E-9</v>
      </c>
      <c r="AF41" s="101">
        <f>IFERROR(s_RadSpec!$H$8*(AF8/$B41),".")</f>
        <v>3.4275407048445319E-9</v>
      </c>
      <c r="AG41" s="101">
        <f>IFERROR(s_RadSpec!$H$8*(AG8/$B41),".")</f>
        <v>3.4275407048445319E-9</v>
      </c>
      <c r="AH41" s="101">
        <f>IFERROR(s_RadSpec!$H$8*(AH8/$B41),".")</f>
        <v>3.4275407048445319E-9</v>
      </c>
      <c r="AI41" s="101">
        <f>IFERROR(s_RadSpec!$H$8*(AI8/$B41),".")</f>
        <v>3.4275407048445319E-9</v>
      </c>
      <c r="AJ41" s="101">
        <f>IFERROR(s_RadSpec!$H$8*(AJ8/$B41),".")</f>
        <v>3.4275407048445319E-9</v>
      </c>
      <c r="AK41" s="101">
        <f>IFERROR(s_RadSpec!$H$8*(AK8/$B41),".")</f>
        <v>3.4275407048445319E-9</v>
      </c>
      <c r="AL41" s="101">
        <f>IFERROR(s_RadSpec!$H$8*(AL8/$B41),".")</f>
        <v>3.4275407048445319E-9</v>
      </c>
      <c r="AM41" s="101">
        <f>IFERROR(s_RadSpec!$H$8*(AM8/$B41),".")</f>
        <v>3.4275407048445319E-9</v>
      </c>
      <c r="AN41" s="101">
        <f>IFERROR(s_RadSpec!$H$8*(AN8/$B41),".")</f>
        <v>3.4275407048445319E-9</v>
      </c>
      <c r="AO41" s="101">
        <f>IFERROR(s_RadSpec!$H$8*(AO8/$B41),".")</f>
        <v>3.4275407048445319E-9</v>
      </c>
      <c r="AP41" s="101">
        <f>IFERROR(s_RadSpec!$H$8*(AP8/$B41),".")</f>
        <v>3.4275407048445319E-9</v>
      </c>
      <c r="AQ41" s="101">
        <f>IFERROR(s_RadSpec!$H$8*(AQ8/$B41),".")</f>
        <v>3.4275407048445319E-9</v>
      </c>
      <c r="AR41" s="101">
        <f>IFERROR(s_RadSpec!$H$8*(AR8/$B41),".")</f>
        <v>3.4275407048445319E-9</v>
      </c>
      <c r="AS41" s="101">
        <f>IFERROR(s_RadSpec!$H$8*(AS8/$B41),".")</f>
        <v>3.4275407048445319E-9</v>
      </c>
      <c r="AT41" s="101">
        <f>IFERROR(s_RadSpec!$H$8*(AT8/$B41),".")</f>
        <v>3.4275407048445319E-9</v>
      </c>
      <c r="AU41" s="101">
        <f>IFERROR(s_RadSpec!$H$8*(AU8/$B41),".")</f>
        <v>3.4275407048445319E-9</v>
      </c>
      <c r="AV41" s="101">
        <f>IFERROR(s_RadSpec!$H$8*(AV8/$B41),".")</f>
        <v>3.4275407048445319E-9</v>
      </c>
      <c r="AW41" s="101">
        <f>IFERROR(s_RadSpec!$H$8*(AW8/$B41),".")</f>
        <v>3.4275407048445319E-9</v>
      </c>
      <c r="AX41" s="101">
        <f>IFERROR(s_RadSpec!$H$8*(AX8/$B41),".")</f>
        <v>3.4275407048445319E-9</v>
      </c>
      <c r="AY41" s="101">
        <f>IFERROR(s_RadSpec!$H$8*(AY8/$B41),".")</f>
        <v>3.4275407048445319E-9</v>
      </c>
      <c r="AZ41" s="101">
        <f>IFERROR(s_RadSpec!$H$8*(AZ8/$B41),".")</f>
        <v>3.4275407048445319E-9</v>
      </c>
      <c r="BA41" s="101">
        <f>IFERROR(s_RadSpec!$H$8*(BA8/$B41),".")</f>
        <v>3.4275407048445319E-9</v>
      </c>
      <c r="BB41" s="101">
        <f>IFERROR(s_RadSpec!$H$8*(BB8/$B41),".")</f>
        <v>3.4275407048445319E-9</v>
      </c>
      <c r="BC41" s="100">
        <f t="shared" ref="BC41" si="68">IFERROR($B41/BC8,0)</f>
        <v>2.7413745155455642E-4</v>
      </c>
      <c r="BD41" s="100">
        <f t="shared" ref="BD41:CB41" si="69">IFERROR($B41/BD8,0)</f>
        <v>6.8534362888639106E-5</v>
      </c>
      <c r="BE41" s="100">
        <f t="shared" si="69"/>
        <v>6.8534362888639106E-5</v>
      </c>
      <c r="BF41" s="100">
        <f t="shared" si="69"/>
        <v>6.8534362888639106E-5</v>
      </c>
      <c r="BG41" s="100">
        <f t="shared" si="69"/>
        <v>6.8534362888639106E-5</v>
      </c>
      <c r="BH41" s="100">
        <f t="shared" si="69"/>
        <v>6.8534362888639106E-5</v>
      </c>
      <c r="BI41" s="100">
        <f t="shared" si="69"/>
        <v>6.8534362888639106E-5</v>
      </c>
      <c r="BJ41" s="100">
        <f t="shared" si="69"/>
        <v>6.8534362888639106E-5</v>
      </c>
      <c r="BK41" s="100">
        <f t="shared" si="69"/>
        <v>6.8534362888639106E-5</v>
      </c>
      <c r="BL41" s="100">
        <f t="shared" si="69"/>
        <v>6.8534362888639106E-5</v>
      </c>
      <c r="BM41" s="100">
        <f t="shared" si="69"/>
        <v>6.8534362888639106E-5</v>
      </c>
      <c r="BN41" s="100">
        <f t="shared" si="69"/>
        <v>6.8534362888639106E-5</v>
      </c>
      <c r="BO41" s="100">
        <f t="shared" si="69"/>
        <v>6.8534362888639106E-5</v>
      </c>
      <c r="BP41" s="100">
        <f t="shared" si="69"/>
        <v>6.8534362888639106E-5</v>
      </c>
      <c r="BQ41" s="100">
        <f t="shared" si="69"/>
        <v>6.8534362888639106E-5</v>
      </c>
      <c r="BR41" s="100">
        <f t="shared" si="69"/>
        <v>6.8534362888639106E-5</v>
      </c>
      <c r="BS41" s="100">
        <f t="shared" si="69"/>
        <v>6.8534362888639106E-5</v>
      </c>
      <c r="BT41" s="100">
        <f t="shared" si="69"/>
        <v>6.8534362888639106E-5</v>
      </c>
      <c r="BU41" s="100">
        <f t="shared" ref="BU41" si="70">IFERROR($B41/BU8,0)</f>
        <v>6.8534362888639106E-5</v>
      </c>
      <c r="BV41" s="100">
        <f t="shared" si="69"/>
        <v>6.8534362888639106E-5</v>
      </c>
      <c r="BW41" s="100">
        <f t="shared" si="69"/>
        <v>6.8534362888639106E-5</v>
      </c>
      <c r="BX41" s="100">
        <f t="shared" si="69"/>
        <v>6.8534362888639106E-5</v>
      </c>
      <c r="BY41" s="100">
        <f t="shared" si="69"/>
        <v>6.8534362888639106E-5</v>
      </c>
      <c r="BZ41" s="100">
        <f t="shared" si="69"/>
        <v>6.8534362888639106E-5</v>
      </c>
      <c r="CA41" s="100">
        <f t="shared" si="69"/>
        <v>6.8534362888639106E-5</v>
      </c>
      <c r="CB41" s="100">
        <f t="shared" si="69"/>
        <v>6.8534362888639106E-5</v>
      </c>
      <c r="CC41" s="49">
        <f t="shared" si="2"/>
        <v>1.3710162819378128E-8</v>
      </c>
      <c r="CD41" s="101">
        <f>IFERROR(s_RadSpec!$H$8*(CD8/$B41),".")</f>
        <v>3.4275407048445319E-9</v>
      </c>
      <c r="CE41" s="101">
        <f>IFERROR(s_RadSpec!$H$8*(CE8/$B41),".")</f>
        <v>3.4275407048445319E-9</v>
      </c>
      <c r="CF41" s="101">
        <f>IFERROR(s_RadSpec!$H$8*(CF8/$B41),".")</f>
        <v>3.4275407048445319E-9</v>
      </c>
      <c r="CG41" s="101">
        <f>IFERROR(s_RadSpec!$H$8*(CG8/$B41),".")</f>
        <v>3.4275407048445319E-9</v>
      </c>
      <c r="CH41" s="101">
        <f>IFERROR(s_RadSpec!$H$8*(CH8/$B41),".")</f>
        <v>3.4275407048445319E-9</v>
      </c>
      <c r="CI41" s="101">
        <f>IFERROR(s_RadSpec!$H$8*(CI8/$B41),".")</f>
        <v>3.4275407048445319E-9</v>
      </c>
      <c r="CJ41" s="101">
        <f>IFERROR(s_RadSpec!$H$8*(CJ8/$B41),".")</f>
        <v>3.4275407048445319E-9</v>
      </c>
      <c r="CK41" s="101">
        <f>IFERROR(s_RadSpec!$H$8*(CK8/$B41),".")</f>
        <v>3.4275407048445319E-9</v>
      </c>
      <c r="CL41" s="101">
        <f>IFERROR(s_RadSpec!$H$8*(CL8/$B41),".")</f>
        <v>3.4275407048445319E-9</v>
      </c>
      <c r="CM41" s="101">
        <f>IFERROR(s_RadSpec!$H$8*(CM8/$B41),".")</f>
        <v>3.4275407048445319E-9</v>
      </c>
      <c r="CN41" s="101">
        <f>IFERROR(s_RadSpec!$H$8*(CN8/$B41),".")</f>
        <v>3.4275407048445319E-9</v>
      </c>
      <c r="CO41" s="101">
        <f>IFERROR(s_RadSpec!$H$8*(CO8/$B41),".")</f>
        <v>3.4275407048445319E-9</v>
      </c>
      <c r="CP41" s="101">
        <f>IFERROR(s_RadSpec!$H$8*(CP8/$B41),".")</f>
        <v>3.4275407048445319E-9</v>
      </c>
      <c r="CQ41" s="101">
        <f>IFERROR(s_RadSpec!$H$8*(CQ8/$B41),".")</f>
        <v>3.4275407048445319E-9</v>
      </c>
      <c r="CR41" s="101">
        <f>IFERROR(s_RadSpec!$H$8*(CR8/$B41),".")</f>
        <v>3.4275407048445319E-9</v>
      </c>
      <c r="CS41" s="101">
        <f>IFERROR(s_RadSpec!$H$8*(CS8/$B41),".")</f>
        <v>3.4275407048445319E-9</v>
      </c>
      <c r="CT41" s="101">
        <f>IFERROR(s_RadSpec!$H$8*(CT8/$B41),".")</f>
        <v>3.4275407048445319E-9</v>
      </c>
      <c r="CU41" s="101">
        <f>IFERROR(s_RadSpec!$H$8*(CU8/$B41),".")</f>
        <v>3.4275407048445319E-9</v>
      </c>
      <c r="CV41" s="101">
        <f>IFERROR(s_RadSpec!$H$8*(CV8/$B41),".")</f>
        <v>3.4275407048445319E-9</v>
      </c>
      <c r="CW41" s="101">
        <f>IFERROR(s_RadSpec!$H$8*(CW8/$B41),".")</f>
        <v>3.4275407048445319E-9</v>
      </c>
      <c r="CX41" s="101">
        <f>IFERROR(s_RadSpec!$H$8*(CX8/$B41),".")</f>
        <v>3.4275407048445319E-9</v>
      </c>
      <c r="CY41" s="101">
        <f>IFERROR(s_RadSpec!$H$8*(CY8/$B41),".")</f>
        <v>3.4275407048445319E-9</v>
      </c>
      <c r="CZ41" s="101">
        <f>IFERROR(s_RadSpec!$H$8*(CZ8/$B41),".")</f>
        <v>3.4275407048445319E-9</v>
      </c>
      <c r="DA41" s="101">
        <f>IFERROR(s_RadSpec!$H$8*(DA8/$B41),".")</f>
        <v>3.4275407048445319E-9</v>
      </c>
      <c r="DB41" s="101">
        <f>IFERROR(s_RadSpec!$H$8*(DB8/$B41),".")</f>
        <v>3.4275407048445319E-9</v>
      </c>
    </row>
    <row r="42" spans="1:106" x14ac:dyDescent="0.25">
      <c r="A42" s="99" t="s">
        <v>1084</v>
      </c>
      <c r="B42" s="90">
        <v>0.97898250799999997</v>
      </c>
      <c r="C42" s="100">
        <f t="shared" ref="C42" si="71">IFERROR($B42/C19,0)</f>
        <v>0</v>
      </c>
      <c r="D42" s="100">
        <f t="shared" ref="D42:AB42" si="72">IFERROR($B42/D19,0)</f>
        <v>0</v>
      </c>
      <c r="E42" s="100">
        <f t="shared" si="72"/>
        <v>0</v>
      </c>
      <c r="F42" s="100">
        <f t="shared" si="72"/>
        <v>0</v>
      </c>
      <c r="G42" s="100">
        <f t="shared" si="72"/>
        <v>0</v>
      </c>
      <c r="H42" s="100">
        <f t="shared" si="72"/>
        <v>0</v>
      </c>
      <c r="I42" s="100">
        <f t="shared" si="72"/>
        <v>0</v>
      </c>
      <c r="J42" s="100">
        <f t="shared" si="72"/>
        <v>0</v>
      </c>
      <c r="K42" s="100">
        <f t="shared" si="72"/>
        <v>0</v>
      </c>
      <c r="L42" s="100">
        <f t="shared" si="72"/>
        <v>0</v>
      </c>
      <c r="M42" s="100">
        <f t="shared" si="72"/>
        <v>0</v>
      </c>
      <c r="N42" s="100">
        <f t="shared" si="72"/>
        <v>0</v>
      </c>
      <c r="O42" s="100">
        <f t="shared" si="72"/>
        <v>0</v>
      </c>
      <c r="P42" s="100">
        <f t="shared" si="72"/>
        <v>0</v>
      </c>
      <c r="Q42" s="100">
        <f t="shared" si="72"/>
        <v>0</v>
      </c>
      <c r="R42" s="100">
        <f t="shared" si="72"/>
        <v>0</v>
      </c>
      <c r="S42" s="100">
        <f t="shared" si="72"/>
        <v>0</v>
      </c>
      <c r="T42" s="100">
        <f t="shared" si="72"/>
        <v>0</v>
      </c>
      <c r="U42" s="100">
        <f t="shared" ref="U42" si="73">IFERROR($B42/U19,0)</f>
        <v>0</v>
      </c>
      <c r="V42" s="100">
        <f t="shared" si="72"/>
        <v>0</v>
      </c>
      <c r="W42" s="100">
        <f t="shared" si="72"/>
        <v>0</v>
      </c>
      <c r="X42" s="100">
        <f t="shared" si="72"/>
        <v>0</v>
      </c>
      <c r="Y42" s="100">
        <f t="shared" si="72"/>
        <v>0</v>
      </c>
      <c r="Z42" s="100">
        <f t="shared" si="72"/>
        <v>0</v>
      </c>
      <c r="AA42" s="100">
        <f t="shared" si="72"/>
        <v>0</v>
      </c>
      <c r="AB42" s="100">
        <f t="shared" si="72"/>
        <v>0</v>
      </c>
      <c r="AC42" s="49">
        <f t="shared" si="5"/>
        <v>0</v>
      </c>
      <c r="AD42" s="101">
        <f>IFERROR(s_RadSpec!$H$19*(AD19/$B42),".")</f>
        <v>0</v>
      </c>
      <c r="AE42" s="101">
        <f>IFERROR(s_RadSpec!$H$19*(AE19/$B42),".")</f>
        <v>0</v>
      </c>
      <c r="AF42" s="101">
        <f>IFERROR(s_RadSpec!$H$19*(AF19/$B42),".")</f>
        <v>0</v>
      </c>
      <c r="AG42" s="101">
        <f>IFERROR(s_RadSpec!$H$19*(AG19/$B42),".")</f>
        <v>0</v>
      </c>
      <c r="AH42" s="101">
        <f>IFERROR(s_RadSpec!$H$19*(AH19/$B42),".")</f>
        <v>0</v>
      </c>
      <c r="AI42" s="101">
        <f>IFERROR(s_RadSpec!$H$19*(AI19/$B42),".")</f>
        <v>0</v>
      </c>
      <c r="AJ42" s="101">
        <f>IFERROR(s_RadSpec!$H$19*(AJ19/$B42),".")</f>
        <v>0</v>
      </c>
      <c r="AK42" s="101">
        <f>IFERROR(s_RadSpec!$H$19*(AK19/$B42),".")</f>
        <v>0</v>
      </c>
      <c r="AL42" s="101">
        <f>IFERROR(s_RadSpec!$H$19*(AL19/$B42),".")</f>
        <v>0</v>
      </c>
      <c r="AM42" s="101">
        <f>IFERROR(s_RadSpec!$H$19*(AM19/$B42),".")</f>
        <v>0</v>
      </c>
      <c r="AN42" s="101">
        <f>IFERROR(s_RadSpec!$H$19*(AN19/$B42),".")</f>
        <v>0</v>
      </c>
      <c r="AO42" s="101">
        <f>IFERROR(s_RadSpec!$H$19*(AO19/$B42),".")</f>
        <v>0</v>
      </c>
      <c r="AP42" s="101">
        <f>IFERROR(s_RadSpec!$H$19*(AP19/$B42),".")</f>
        <v>0</v>
      </c>
      <c r="AQ42" s="101">
        <f>IFERROR(s_RadSpec!$H$19*(AQ19/$B42),".")</f>
        <v>0</v>
      </c>
      <c r="AR42" s="101">
        <f>IFERROR(s_RadSpec!$H$19*(AR19/$B42),".")</f>
        <v>0</v>
      </c>
      <c r="AS42" s="101">
        <f>IFERROR(s_RadSpec!$H$19*(AS19/$B42),".")</f>
        <v>0</v>
      </c>
      <c r="AT42" s="101">
        <f>IFERROR(s_RadSpec!$H$19*(AT19/$B42),".")</f>
        <v>0</v>
      </c>
      <c r="AU42" s="101">
        <f>IFERROR(s_RadSpec!$H$19*(AU19/$B42),".")</f>
        <v>0</v>
      </c>
      <c r="AV42" s="101">
        <f>IFERROR(s_RadSpec!$H$19*(AV19/$B42),".")</f>
        <v>0</v>
      </c>
      <c r="AW42" s="101">
        <f>IFERROR(s_RadSpec!$H$19*(AW19/$B42),".")</f>
        <v>0</v>
      </c>
      <c r="AX42" s="101">
        <f>IFERROR(s_RadSpec!$H$19*(AX19/$B42),".")</f>
        <v>0</v>
      </c>
      <c r="AY42" s="101">
        <f>IFERROR(s_RadSpec!$H$19*(AY19/$B42),".")</f>
        <v>0</v>
      </c>
      <c r="AZ42" s="101">
        <f>IFERROR(s_RadSpec!$H$19*(AZ19/$B42),".")</f>
        <v>0</v>
      </c>
      <c r="BA42" s="101">
        <f>IFERROR(s_RadSpec!$H$19*(BA19/$B42),".")</f>
        <v>0</v>
      </c>
      <c r="BB42" s="101">
        <f>IFERROR(s_RadSpec!$H$19*(BB19/$B42),".")</f>
        <v>0</v>
      </c>
      <c r="BC42" s="100">
        <f t="shared" ref="BC42" si="74">IFERROR($B42/BC19,0)</f>
        <v>0</v>
      </c>
      <c r="BD42" s="100">
        <f t="shared" ref="BD42:CB42" si="75">IFERROR($B42/BD19,0)</f>
        <v>0</v>
      </c>
      <c r="BE42" s="100">
        <f t="shared" si="75"/>
        <v>0</v>
      </c>
      <c r="BF42" s="100">
        <f t="shared" si="75"/>
        <v>0</v>
      </c>
      <c r="BG42" s="100">
        <f t="shared" si="75"/>
        <v>0</v>
      </c>
      <c r="BH42" s="100">
        <f t="shared" si="75"/>
        <v>0</v>
      </c>
      <c r="BI42" s="100">
        <f t="shared" si="75"/>
        <v>0</v>
      </c>
      <c r="BJ42" s="100">
        <f t="shared" si="75"/>
        <v>0</v>
      </c>
      <c r="BK42" s="100">
        <f t="shared" si="75"/>
        <v>0</v>
      </c>
      <c r="BL42" s="100">
        <f t="shared" si="75"/>
        <v>0</v>
      </c>
      <c r="BM42" s="100">
        <f t="shared" si="75"/>
        <v>0</v>
      </c>
      <c r="BN42" s="100">
        <f t="shared" si="75"/>
        <v>0</v>
      </c>
      <c r="BO42" s="100">
        <f t="shared" si="75"/>
        <v>0</v>
      </c>
      <c r="BP42" s="100">
        <f t="shared" si="75"/>
        <v>0</v>
      </c>
      <c r="BQ42" s="100">
        <f t="shared" si="75"/>
        <v>0</v>
      </c>
      <c r="BR42" s="100">
        <f t="shared" si="75"/>
        <v>0</v>
      </c>
      <c r="BS42" s="100">
        <f t="shared" si="75"/>
        <v>0</v>
      </c>
      <c r="BT42" s="100">
        <f t="shared" si="75"/>
        <v>0</v>
      </c>
      <c r="BU42" s="100">
        <f t="shared" ref="BU42" si="76">IFERROR($B42/BU19,0)</f>
        <v>0</v>
      </c>
      <c r="BV42" s="100">
        <f t="shared" si="75"/>
        <v>0</v>
      </c>
      <c r="BW42" s="100">
        <f t="shared" si="75"/>
        <v>0</v>
      </c>
      <c r="BX42" s="100">
        <f t="shared" si="75"/>
        <v>0</v>
      </c>
      <c r="BY42" s="100">
        <f t="shared" si="75"/>
        <v>0</v>
      </c>
      <c r="BZ42" s="100">
        <f t="shared" si="75"/>
        <v>0</v>
      </c>
      <c r="CA42" s="100">
        <f t="shared" si="75"/>
        <v>0</v>
      </c>
      <c r="CB42" s="100">
        <f t="shared" si="75"/>
        <v>0</v>
      </c>
      <c r="CC42" s="49">
        <f t="shared" si="2"/>
        <v>0</v>
      </c>
      <c r="CD42" s="101">
        <f>IFERROR(s_RadSpec!$H$19*(CD19/$B42),".")</f>
        <v>0</v>
      </c>
      <c r="CE42" s="101">
        <f>IFERROR(s_RadSpec!$H$19*(CE19/$B42),".")</f>
        <v>0</v>
      </c>
      <c r="CF42" s="101">
        <f>IFERROR(s_RadSpec!$H$19*(CF19/$B42),".")</f>
        <v>0</v>
      </c>
      <c r="CG42" s="101">
        <f>IFERROR(s_RadSpec!$H$19*(CG19/$B42),".")</f>
        <v>0</v>
      </c>
      <c r="CH42" s="101">
        <f>IFERROR(s_RadSpec!$H$19*(CH19/$B42),".")</f>
        <v>0</v>
      </c>
      <c r="CI42" s="101">
        <f>IFERROR(s_RadSpec!$H$19*(CI19/$B42),".")</f>
        <v>0</v>
      </c>
      <c r="CJ42" s="101">
        <f>IFERROR(s_RadSpec!$H$19*(CJ19/$B42),".")</f>
        <v>0</v>
      </c>
      <c r="CK42" s="101">
        <f>IFERROR(s_RadSpec!$H$19*(CK19/$B42),".")</f>
        <v>0</v>
      </c>
      <c r="CL42" s="101">
        <f>IFERROR(s_RadSpec!$H$19*(CL19/$B42),".")</f>
        <v>0</v>
      </c>
      <c r="CM42" s="101">
        <f>IFERROR(s_RadSpec!$H$19*(CM19/$B42),".")</f>
        <v>0</v>
      </c>
      <c r="CN42" s="101">
        <f>IFERROR(s_RadSpec!$H$19*(CN19/$B42),".")</f>
        <v>0</v>
      </c>
      <c r="CO42" s="101">
        <f>IFERROR(s_RadSpec!$H$19*(CO19/$B42),".")</f>
        <v>0</v>
      </c>
      <c r="CP42" s="101">
        <f>IFERROR(s_RadSpec!$H$19*(CP19/$B42),".")</f>
        <v>0</v>
      </c>
      <c r="CQ42" s="101">
        <f>IFERROR(s_RadSpec!$H$19*(CQ19/$B42),".")</f>
        <v>0</v>
      </c>
      <c r="CR42" s="101">
        <f>IFERROR(s_RadSpec!$H$19*(CR19/$B42),".")</f>
        <v>0</v>
      </c>
      <c r="CS42" s="101">
        <f>IFERROR(s_RadSpec!$H$19*(CS19/$B42),".")</f>
        <v>0</v>
      </c>
      <c r="CT42" s="101">
        <f>IFERROR(s_RadSpec!$H$19*(CT19/$B42),".")</f>
        <v>0</v>
      </c>
      <c r="CU42" s="101">
        <f>IFERROR(s_RadSpec!$H$19*(CU19/$B42),".")</f>
        <v>0</v>
      </c>
      <c r="CV42" s="101">
        <f>IFERROR(s_RadSpec!$H$19*(CV19/$B42),".")</f>
        <v>0</v>
      </c>
      <c r="CW42" s="101">
        <f>IFERROR(s_RadSpec!$H$19*(CW19/$B42),".")</f>
        <v>0</v>
      </c>
      <c r="CX42" s="101">
        <f>IFERROR(s_RadSpec!$H$19*(CX19/$B42),".")</f>
        <v>0</v>
      </c>
      <c r="CY42" s="101">
        <f>IFERROR(s_RadSpec!$H$19*(CY19/$B42),".")</f>
        <v>0</v>
      </c>
      <c r="CZ42" s="101">
        <f>IFERROR(s_RadSpec!$H$19*(CZ19/$B42),".")</f>
        <v>0</v>
      </c>
      <c r="DA42" s="101">
        <f>IFERROR(s_RadSpec!$H$19*(DA19/$B42),".")</f>
        <v>0</v>
      </c>
      <c r="DB42" s="101">
        <f>IFERROR(s_RadSpec!$H$19*(DB19/$B42),".")</f>
        <v>0</v>
      </c>
    </row>
    <row r="43" spans="1:106" x14ac:dyDescent="0.25">
      <c r="A43" s="99" t="s">
        <v>1085</v>
      </c>
      <c r="B43" s="90">
        <v>2.0897492E-2</v>
      </c>
      <c r="C43" s="100">
        <f t="shared" ref="C43" si="77">IFERROR($B43/C28,0)</f>
        <v>0</v>
      </c>
      <c r="D43" s="100">
        <f t="shared" ref="D43:AB43" si="78">IFERROR($B43/D28,0)</f>
        <v>0</v>
      </c>
      <c r="E43" s="100">
        <f t="shared" si="78"/>
        <v>0</v>
      </c>
      <c r="F43" s="100">
        <f t="shared" si="78"/>
        <v>0</v>
      </c>
      <c r="G43" s="100">
        <f t="shared" si="78"/>
        <v>0</v>
      </c>
      <c r="H43" s="100">
        <f t="shared" si="78"/>
        <v>0</v>
      </c>
      <c r="I43" s="100">
        <f t="shared" si="78"/>
        <v>0</v>
      </c>
      <c r="J43" s="100">
        <f t="shared" si="78"/>
        <v>0</v>
      </c>
      <c r="K43" s="100">
        <f t="shared" si="78"/>
        <v>0</v>
      </c>
      <c r="L43" s="100">
        <f t="shared" si="78"/>
        <v>0</v>
      </c>
      <c r="M43" s="100">
        <f t="shared" si="78"/>
        <v>0</v>
      </c>
      <c r="N43" s="100">
        <f t="shared" si="78"/>
        <v>0</v>
      </c>
      <c r="O43" s="100">
        <f t="shared" si="78"/>
        <v>0</v>
      </c>
      <c r="P43" s="100">
        <f t="shared" si="78"/>
        <v>0</v>
      </c>
      <c r="Q43" s="100">
        <f t="shared" si="78"/>
        <v>0</v>
      </c>
      <c r="R43" s="100">
        <f t="shared" si="78"/>
        <v>0</v>
      </c>
      <c r="S43" s="100">
        <f t="shared" si="78"/>
        <v>0</v>
      </c>
      <c r="T43" s="100">
        <f t="shared" si="78"/>
        <v>0</v>
      </c>
      <c r="U43" s="100">
        <f t="shared" ref="U43" si="79">IFERROR($B43/U28,0)</f>
        <v>0</v>
      </c>
      <c r="V43" s="100">
        <f t="shared" si="78"/>
        <v>0</v>
      </c>
      <c r="W43" s="100">
        <f t="shared" si="78"/>
        <v>0</v>
      </c>
      <c r="X43" s="100">
        <f t="shared" si="78"/>
        <v>0</v>
      </c>
      <c r="Y43" s="100">
        <f t="shared" si="78"/>
        <v>0</v>
      </c>
      <c r="Z43" s="100">
        <f t="shared" si="78"/>
        <v>0</v>
      </c>
      <c r="AA43" s="100">
        <f t="shared" si="78"/>
        <v>0</v>
      </c>
      <c r="AB43" s="100">
        <f t="shared" si="78"/>
        <v>0</v>
      </c>
      <c r="AC43" s="49">
        <f t="shared" si="5"/>
        <v>0</v>
      </c>
      <c r="AD43" s="101">
        <f>IFERROR(s_RadSpec!$H$28*(AD28/$B43),".")</f>
        <v>0</v>
      </c>
      <c r="AE43" s="101">
        <f>IFERROR(s_RadSpec!$H$28*(AE28/$B43),".")</f>
        <v>0</v>
      </c>
      <c r="AF43" s="101">
        <f>IFERROR(s_RadSpec!$H$28*(AF28/$B43),".")</f>
        <v>0</v>
      </c>
      <c r="AG43" s="101">
        <f>IFERROR(s_RadSpec!$H$28*(AG28/$B43),".")</f>
        <v>0</v>
      </c>
      <c r="AH43" s="101">
        <f>IFERROR(s_RadSpec!$H$28*(AH28/$B43),".")</f>
        <v>0</v>
      </c>
      <c r="AI43" s="101">
        <f>IFERROR(s_RadSpec!$H$28*(AI28/$B43),".")</f>
        <v>0</v>
      </c>
      <c r="AJ43" s="101">
        <f>IFERROR(s_RadSpec!$H$28*(AJ28/$B43),".")</f>
        <v>0</v>
      </c>
      <c r="AK43" s="101">
        <f>IFERROR(s_RadSpec!$H$28*(AK28/$B43),".")</f>
        <v>0</v>
      </c>
      <c r="AL43" s="101">
        <f>IFERROR(s_RadSpec!$H$28*(AL28/$B43),".")</f>
        <v>0</v>
      </c>
      <c r="AM43" s="101">
        <f>IFERROR(s_RadSpec!$H$28*(AM28/$B43),".")</f>
        <v>0</v>
      </c>
      <c r="AN43" s="101">
        <f>IFERROR(s_RadSpec!$H$28*(AN28/$B43),".")</f>
        <v>0</v>
      </c>
      <c r="AO43" s="101">
        <f>IFERROR(s_RadSpec!$H$28*(AO28/$B43),".")</f>
        <v>0</v>
      </c>
      <c r="AP43" s="101">
        <f>IFERROR(s_RadSpec!$H$28*(AP28/$B43),".")</f>
        <v>0</v>
      </c>
      <c r="AQ43" s="101">
        <f>IFERROR(s_RadSpec!$H$28*(AQ28/$B43),".")</f>
        <v>0</v>
      </c>
      <c r="AR43" s="101">
        <f>IFERROR(s_RadSpec!$H$28*(AR28/$B43),".")</f>
        <v>0</v>
      </c>
      <c r="AS43" s="101">
        <f>IFERROR(s_RadSpec!$H$28*(AS28/$B43),".")</f>
        <v>0</v>
      </c>
      <c r="AT43" s="101">
        <f>IFERROR(s_RadSpec!$H$28*(AT28/$B43),".")</f>
        <v>0</v>
      </c>
      <c r="AU43" s="101">
        <f>IFERROR(s_RadSpec!$H$28*(AU28/$B43),".")</f>
        <v>0</v>
      </c>
      <c r="AV43" s="101">
        <f>IFERROR(s_RadSpec!$H$28*(AV28/$B43),".")</f>
        <v>0</v>
      </c>
      <c r="AW43" s="101">
        <f>IFERROR(s_RadSpec!$H$28*(AW28/$B43),".")</f>
        <v>0</v>
      </c>
      <c r="AX43" s="101">
        <f>IFERROR(s_RadSpec!$H$28*(AX28/$B43),".")</f>
        <v>0</v>
      </c>
      <c r="AY43" s="101">
        <f>IFERROR(s_RadSpec!$H$28*(AY28/$B43),".")</f>
        <v>0</v>
      </c>
      <c r="AZ43" s="101">
        <f>IFERROR(s_RadSpec!$H$28*(AZ28/$B43),".")</f>
        <v>0</v>
      </c>
      <c r="BA43" s="101">
        <f>IFERROR(s_RadSpec!$H$28*(BA28/$B43),".")</f>
        <v>0</v>
      </c>
      <c r="BB43" s="101">
        <f>IFERROR(s_RadSpec!$H$28*(BB28/$B43),".")</f>
        <v>0</v>
      </c>
      <c r="BC43" s="100">
        <f t="shared" ref="BC43" si="80">IFERROR($B43/BC28,0)</f>
        <v>0</v>
      </c>
      <c r="BD43" s="100">
        <f t="shared" ref="BD43:CB43" si="81">IFERROR($B43/BD28,0)</f>
        <v>0</v>
      </c>
      <c r="BE43" s="100">
        <f t="shared" si="81"/>
        <v>0</v>
      </c>
      <c r="BF43" s="100">
        <f t="shared" si="81"/>
        <v>0</v>
      </c>
      <c r="BG43" s="100">
        <f t="shared" si="81"/>
        <v>0</v>
      </c>
      <c r="BH43" s="100">
        <f t="shared" si="81"/>
        <v>0</v>
      </c>
      <c r="BI43" s="100">
        <f t="shared" si="81"/>
        <v>0</v>
      </c>
      <c r="BJ43" s="100">
        <f t="shared" si="81"/>
        <v>0</v>
      </c>
      <c r="BK43" s="100">
        <f t="shared" si="81"/>
        <v>0</v>
      </c>
      <c r="BL43" s="100">
        <f t="shared" si="81"/>
        <v>0</v>
      </c>
      <c r="BM43" s="100">
        <f t="shared" si="81"/>
        <v>0</v>
      </c>
      <c r="BN43" s="100">
        <f t="shared" si="81"/>
        <v>0</v>
      </c>
      <c r="BO43" s="100">
        <f t="shared" si="81"/>
        <v>0</v>
      </c>
      <c r="BP43" s="100">
        <f t="shared" si="81"/>
        <v>0</v>
      </c>
      <c r="BQ43" s="100">
        <f t="shared" si="81"/>
        <v>0</v>
      </c>
      <c r="BR43" s="100">
        <f t="shared" si="81"/>
        <v>0</v>
      </c>
      <c r="BS43" s="100">
        <f t="shared" si="81"/>
        <v>0</v>
      </c>
      <c r="BT43" s="100">
        <f t="shared" si="81"/>
        <v>0</v>
      </c>
      <c r="BU43" s="100">
        <f t="shared" ref="BU43" si="82">IFERROR($B43/BU28,0)</f>
        <v>0</v>
      </c>
      <c r="BV43" s="100">
        <f t="shared" si="81"/>
        <v>0</v>
      </c>
      <c r="BW43" s="100">
        <f t="shared" si="81"/>
        <v>0</v>
      </c>
      <c r="BX43" s="100">
        <f t="shared" si="81"/>
        <v>0</v>
      </c>
      <c r="BY43" s="100">
        <f t="shared" si="81"/>
        <v>0</v>
      </c>
      <c r="BZ43" s="100">
        <f t="shared" si="81"/>
        <v>0</v>
      </c>
      <c r="CA43" s="100">
        <f t="shared" si="81"/>
        <v>0</v>
      </c>
      <c r="CB43" s="100">
        <f t="shared" si="81"/>
        <v>0</v>
      </c>
      <c r="CC43" s="49">
        <f t="shared" si="2"/>
        <v>0</v>
      </c>
      <c r="CD43" s="101">
        <f>IFERROR(s_RadSpec!$H$28*(CD28/$B43),".")</f>
        <v>0</v>
      </c>
      <c r="CE43" s="101">
        <f>IFERROR(s_RadSpec!$H$28*(CE28/$B43),".")</f>
        <v>0</v>
      </c>
      <c r="CF43" s="101">
        <f>IFERROR(s_RadSpec!$H$28*(CF28/$B43),".")</f>
        <v>0</v>
      </c>
      <c r="CG43" s="101">
        <f>IFERROR(s_RadSpec!$H$28*(CG28/$B43),".")</f>
        <v>0</v>
      </c>
      <c r="CH43" s="101">
        <f>IFERROR(s_RadSpec!$H$28*(CH28/$B43),".")</f>
        <v>0</v>
      </c>
      <c r="CI43" s="101">
        <f>IFERROR(s_RadSpec!$H$28*(CI28/$B43),".")</f>
        <v>0</v>
      </c>
      <c r="CJ43" s="101">
        <f>IFERROR(s_RadSpec!$H$28*(CJ28/$B43),".")</f>
        <v>0</v>
      </c>
      <c r="CK43" s="101">
        <f>IFERROR(s_RadSpec!$H$28*(CK28/$B43),".")</f>
        <v>0</v>
      </c>
      <c r="CL43" s="101">
        <f>IFERROR(s_RadSpec!$H$28*(CL28/$B43),".")</f>
        <v>0</v>
      </c>
      <c r="CM43" s="101">
        <f>IFERROR(s_RadSpec!$H$28*(CM28/$B43),".")</f>
        <v>0</v>
      </c>
      <c r="CN43" s="101">
        <f>IFERROR(s_RadSpec!$H$28*(CN28/$B43),".")</f>
        <v>0</v>
      </c>
      <c r="CO43" s="101">
        <f>IFERROR(s_RadSpec!$H$28*(CO28/$B43),".")</f>
        <v>0</v>
      </c>
      <c r="CP43" s="101">
        <f>IFERROR(s_RadSpec!$H$28*(CP28/$B43),".")</f>
        <v>0</v>
      </c>
      <c r="CQ43" s="101">
        <f>IFERROR(s_RadSpec!$H$28*(CQ28/$B43),".")</f>
        <v>0</v>
      </c>
      <c r="CR43" s="101">
        <f>IFERROR(s_RadSpec!$H$28*(CR28/$B43),".")</f>
        <v>0</v>
      </c>
      <c r="CS43" s="101">
        <f>IFERROR(s_RadSpec!$H$28*(CS28/$B43),".")</f>
        <v>0</v>
      </c>
      <c r="CT43" s="101">
        <f>IFERROR(s_RadSpec!$H$28*(CT28/$B43),".")</f>
        <v>0</v>
      </c>
      <c r="CU43" s="101">
        <f>IFERROR(s_RadSpec!$H$28*(CU28/$B43),".")</f>
        <v>0</v>
      </c>
      <c r="CV43" s="101">
        <f>IFERROR(s_RadSpec!$H$28*(CV28/$B43),".")</f>
        <v>0</v>
      </c>
      <c r="CW43" s="101">
        <f>IFERROR(s_RadSpec!$H$28*(CW28/$B43),".")</f>
        <v>0</v>
      </c>
      <c r="CX43" s="101">
        <f>IFERROR(s_RadSpec!$H$28*(CX28/$B43),".")</f>
        <v>0</v>
      </c>
      <c r="CY43" s="101">
        <f>IFERROR(s_RadSpec!$H$28*(CY28/$B43),".")</f>
        <v>0</v>
      </c>
      <c r="CZ43" s="101">
        <f>IFERROR(s_RadSpec!$H$28*(CZ28/$B43),".")</f>
        <v>0</v>
      </c>
      <c r="DA43" s="101">
        <f>IFERROR(s_RadSpec!$H$28*(DA28/$B43),".")</f>
        <v>0</v>
      </c>
      <c r="DB43" s="101">
        <f>IFERROR(s_RadSpec!$H$28*(DB28/$B43),".")</f>
        <v>0</v>
      </c>
    </row>
    <row r="44" spans="1:106" x14ac:dyDescent="0.25">
      <c r="A44" s="99" t="s">
        <v>1086</v>
      </c>
      <c r="B44" s="90">
        <v>0.99987999999999999</v>
      </c>
      <c r="C44" s="100">
        <f t="shared" ref="C44" si="83">IFERROR($B44/C15,0)</f>
        <v>5.6925154101273871E-5</v>
      </c>
      <c r="D44" s="100">
        <f t="shared" ref="D44:AB44" si="84">IFERROR($B44/D15,0)</f>
        <v>1.4425573518543139E-5</v>
      </c>
      <c r="E44" s="100">
        <f t="shared" si="84"/>
        <v>2.9088591875122203E-5</v>
      </c>
      <c r="F44" s="100">
        <f t="shared" si="84"/>
        <v>1.5472931972584501E-5</v>
      </c>
      <c r="G44" s="100">
        <f t="shared" si="84"/>
        <v>1.4425573518543139E-5</v>
      </c>
      <c r="H44" s="100">
        <f t="shared" si="84"/>
        <v>1.5472931972584501E-5</v>
      </c>
      <c r="I44" s="100">
        <f t="shared" si="84"/>
        <v>2.9088591875122203E-5</v>
      </c>
      <c r="J44" s="100">
        <f t="shared" si="84"/>
        <v>1.5472931972584501E-5</v>
      </c>
      <c r="K44" s="100">
        <f t="shared" si="84"/>
        <v>1.4425573518543139E-5</v>
      </c>
      <c r="L44" s="100">
        <f t="shared" si="84"/>
        <v>1.2582222639430342E-5</v>
      </c>
      <c r="M44" s="100">
        <f t="shared" si="84"/>
        <v>1.5472931972584501E-5</v>
      </c>
      <c r="N44" s="100">
        <f t="shared" si="84"/>
        <v>2.9088591875122203E-5</v>
      </c>
      <c r="O44" s="100">
        <f t="shared" si="84"/>
        <v>1.3441056571744257E-5</v>
      </c>
      <c r="P44" s="100">
        <f t="shared" si="84"/>
        <v>1.5472931972584501E-5</v>
      </c>
      <c r="Q44" s="100">
        <f t="shared" si="84"/>
        <v>1.5472931972584501E-5</v>
      </c>
      <c r="R44" s="100">
        <f t="shared" si="84"/>
        <v>1.4425573518543139E-5</v>
      </c>
      <c r="S44" s="100">
        <f t="shared" si="84"/>
        <v>1.4425573518543139E-5</v>
      </c>
      <c r="T44" s="100">
        <f t="shared" si="84"/>
        <v>1.3441056571744257E-5</v>
      </c>
      <c r="U44" s="100">
        <f t="shared" ref="U44" si="85">IFERROR($B44/U15,0)</f>
        <v>1.5472931972584501E-5</v>
      </c>
      <c r="V44" s="100">
        <f t="shared" si="84"/>
        <v>1.2645064146672823E-5</v>
      </c>
      <c r="W44" s="100">
        <f t="shared" si="84"/>
        <v>1.5472931972584501E-5</v>
      </c>
      <c r="X44" s="100">
        <f t="shared" si="84"/>
        <v>1.3441056571744257E-5</v>
      </c>
      <c r="Y44" s="100">
        <f t="shared" si="84"/>
        <v>1.4425573518543139E-5</v>
      </c>
      <c r="Z44" s="100">
        <f t="shared" si="84"/>
        <v>1.5472931972584501E-5</v>
      </c>
      <c r="AA44" s="100">
        <f t="shared" si="84"/>
        <v>1.2391603400794815E-5</v>
      </c>
      <c r="AB44" s="100">
        <f t="shared" si="84"/>
        <v>1.4635045209351414E-5</v>
      </c>
      <c r="AC44" s="49">
        <f t="shared" si="5"/>
        <v>2.8469409298909179E-9</v>
      </c>
      <c r="AD44" s="101">
        <f>IFERROR(s_RadSpec!$H$15*(AD15/$B44),".")</f>
        <v>7.2145181397360456E-10</v>
      </c>
      <c r="AE44" s="101">
        <f>IFERROR(s_RadSpec!$H$15*(AE15/$B44),".")</f>
        <v>1.4547787197000247E-9</v>
      </c>
      <c r="AF44" s="101">
        <f>IFERROR(s_RadSpec!$H$15*(AF15/$B44),".")</f>
        <v>7.7383230723977745E-10</v>
      </c>
      <c r="AG44" s="101">
        <f>IFERROR(s_RadSpec!$H$15*(AG15/$B44),".")</f>
        <v>7.2145181397360456E-10</v>
      </c>
      <c r="AH44" s="101">
        <f>IFERROR(s_RadSpec!$H$15*(AH15/$B44),".")</f>
        <v>7.7383230723977745E-10</v>
      </c>
      <c r="AI44" s="101">
        <f>IFERROR(s_RadSpec!$H$15*(AI15/$B44),".")</f>
        <v>1.4547787197000247E-9</v>
      </c>
      <c r="AJ44" s="101">
        <f>IFERROR(s_RadSpec!$H$15*(AJ15/$B44),".")</f>
        <v>7.7383230723977745E-10</v>
      </c>
      <c r="AK44" s="101">
        <f>IFERROR(s_RadSpec!$H$15*(AK15/$B44),".")</f>
        <v>7.2145181397360456E-10</v>
      </c>
      <c r="AL44" s="101">
        <f>IFERROR(s_RadSpec!$H$15*(AL15/$B44),".")</f>
        <v>6.2926214582514027E-10</v>
      </c>
      <c r="AM44" s="101">
        <f>IFERROR(s_RadSpec!$H$15*(AM15/$B44),".")</f>
        <v>7.7383230723977745E-10</v>
      </c>
      <c r="AN44" s="101">
        <f>IFERROR(s_RadSpec!$H$15*(AN15/$B44),".")</f>
        <v>1.4547787197000247E-9</v>
      </c>
      <c r="AO44" s="101">
        <f>IFERROR(s_RadSpec!$H$15*(AO15/$B44),".")</f>
        <v>6.7221415030340197E-10</v>
      </c>
      <c r="AP44" s="101">
        <f>IFERROR(s_RadSpec!$H$15*(AP15/$B44),".")</f>
        <v>7.7383230723977745E-10</v>
      </c>
      <c r="AQ44" s="101">
        <f>IFERROR(s_RadSpec!$H$15*(AQ15/$B44),".")</f>
        <v>7.7383230723977745E-10</v>
      </c>
      <c r="AR44" s="101">
        <f>IFERROR(s_RadSpec!$H$15*(AR15/$B44),".")</f>
        <v>7.2145181397360456E-10</v>
      </c>
      <c r="AS44" s="101">
        <f>IFERROR(s_RadSpec!$H$15*(AS15/$B44),".")</f>
        <v>7.2145181397360456E-10</v>
      </c>
      <c r="AT44" s="101">
        <f>IFERROR(s_RadSpec!$H$15*(AT15/$B44),".")</f>
        <v>6.7221415030340197E-10</v>
      </c>
      <c r="AU44" s="101">
        <f>IFERROR(s_RadSpec!$H$15*(AU15/$B44),".")</f>
        <v>7.7383230723977745E-10</v>
      </c>
      <c r="AV44" s="101">
        <f>IFERROR(s_RadSpec!$H$15*(AV15/$B44),".")</f>
        <v>6.3240497542111066E-10</v>
      </c>
      <c r="AW44" s="101">
        <f>IFERROR(s_RadSpec!$H$15*(AW15/$B44),".")</f>
        <v>7.7383230723977745E-10</v>
      </c>
      <c r="AX44" s="101">
        <f>IFERROR(s_RadSpec!$H$15*(AX15/$B44),".")</f>
        <v>6.7221415030340197E-10</v>
      </c>
      <c r="AY44" s="101">
        <f>IFERROR(s_RadSpec!$H$15*(AY15/$B44),".")</f>
        <v>7.2145181397360456E-10</v>
      </c>
      <c r="AZ44" s="101">
        <f>IFERROR(s_RadSpec!$H$15*(AZ15/$B44),".")</f>
        <v>7.7383230723977745E-10</v>
      </c>
      <c r="BA44" s="101">
        <f>IFERROR(s_RadSpec!$H$15*(BA15/$B44),".")</f>
        <v>6.1972889605069684E-10</v>
      </c>
      <c r="BB44" s="101">
        <f>IFERROR(s_RadSpec!$H$15*(BB15/$B44),".")</f>
        <v>7.3192791262683908E-10</v>
      </c>
      <c r="BC44" s="100">
        <f t="shared" ref="BC44" si="86">IFERROR($B44/BC15,0)</f>
        <v>5.6925154101273871E-5</v>
      </c>
      <c r="BD44" s="100">
        <f t="shared" ref="BD44:CB44" si="87">IFERROR($B44/BD15,0)</f>
        <v>1.4425573518543139E-5</v>
      </c>
      <c r="BE44" s="100">
        <f t="shared" si="87"/>
        <v>2.9088591875122203E-5</v>
      </c>
      <c r="BF44" s="100">
        <f t="shared" si="87"/>
        <v>1.5472931972584501E-5</v>
      </c>
      <c r="BG44" s="100">
        <f t="shared" si="87"/>
        <v>1.4425573518543139E-5</v>
      </c>
      <c r="BH44" s="100">
        <f t="shared" si="87"/>
        <v>1.5472931972584501E-5</v>
      </c>
      <c r="BI44" s="100">
        <f t="shared" si="87"/>
        <v>2.9088591875122203E-5</v>
      </c>
      <c r="BJ44" s="100">
        <f t="shared" si="87"/>
        <v>1.5472931972584501E-5</v>
      </c>
      <c r="BK44" s="100">
        <f t="shared" si="87"/>
        <v>1.4425573518543139E-5</v>
      </c>
      <c r="BL44" s="100">
        <f t="shared" si="87"/>
        <v>1.2582222639430342E-5</v>
      </c>
      <c r="BM44" s="100">
        <f t="shared" si="87"/>
        <v>1.5472931972584501E-5</v>
      </c>
      <c r="BN44" s="100">
        <f t="shared" si="87"/>
        <v>2.9088591875122203E-5</v>
      </c>
      <c r="BO44" s="100">
        <f t="shared" si="87"/>
        <v>1.3441056571744257E-5</v>
      </c>
      <c r="BP44" s="100">
        <f t="shared" si="87"/>
        <v>1.5472931972584501E-5</v>
      </c>
      <c r="BQ44" s="100">
        <f t="shared" si="87"/>
        <v>1.5472931972584501E-5</v>
      </c>
      <c r="BR44" s="100">
        <f t="shared" si="87"/>
        <v>1.4425573518543139E-5</v>
      </c>
      <c r="BS44" s="100">
        <f t="shared" si="87"/>
        <v>1.4425573518543139E-5</v>
      </c>
      <c r="BT44" s="100">
        <f t="shared" si="87"/>
        <v>1.3441056571744257E-5</v>
      </c>
      <c r="BU44" s="100">
        <f t="shared" ref="BU44" si="88">IFERROR($B44/BU15,0)</f>
        <v>1.5472931972584501E-5</v>
      </c>
      <c r="BV44" s="100">
        <f t="shared" si="87"/>
        <v>1.2645064146672823E-5</v>
      </c>
      <c r="BW44" s="100">
        <f t="shared" si="87"/>
        <v>1.5472931972584501E-5</v>
      </c>
      <c r="BX44" s="100">
        <f t="shared" si="87"/>
        <v>1.3441056571744257E-5</v>
      </c>
      <c r="BY44" s="100">
        <f t="shared" si="87"/>
        <v>1.4425573518543139E-5</v>
      </c>
      <c r="BZ44" s="100">
        <f t="shared" si="87"/>
        <v>1.5472931972584501E-5</v>
      </c>
      <c r="CA44" s="100">
        <f t="shared" si="87"/>
        <v>1.2391603400794815E-5</v>
      </c>
      <c r="CB44" s="100">
        <f t="shared" si="87"/>
        <v>1.4635045209351414E-5</v>
      </c>
      <c r="CC44" s="49">
        <f t="shared" si="2"/>
        <v>2.8469409298909179E-9</v>
      </c>
      <c r="CD44" s="101">
        <f>IFERROR(s_RadSpec!$H$15*(CD15/$B44),".")</f>
        <v>7.2145181397360456E-10</v>
      </c>
      <c r="CE44" s="101">
        <f>IFERROR(s_RadSpec!$H$15*(CE15/$B44),".")</f>
        <v>1.4547787197000247E-9</v>
      </c>
      <c r="CF44" s="101">
        <f>IFERROR(s_RadSpec!$H$15*(CF15/$B44),".")</f>
        <v>7.7383230723977745E-10</v>
      </c>
      <c r="CG44" s="101">
        <f>IFERROR(s_RadSpec!$H$15*(CG15/$B44),".")</f>
        <v>7.2145181397360456E-10</v>
      </c>
      <c r="CH44" s="101">
        <f>IFERROR(s_RadSpec!$H$15*(CH15/$B44),".")</f>
        <v>7.7383230723977745E-10</v>
      </c>
      <c r="CI44" s="101">
        <f>IFERROR(s_RadSpec!$H$15*(CI15/$B44),".")</f>
        <v>1.4547787197000247E-9</v>
      </c>
      <c r="CJ44" s="101">
        <f>IFERROR(s_RadSpec!$H$15*(CJ15/$B44),".")</f>
        <v>7.7383230723977745E-10</v>
      </c>
      <c r="CK44" s="101">
        <f>IFERROR(s_RadSpec!$H$15*(CK15/$B44),".")</f>
        <v>7.2145181397360456E-10</v>
      </c>
      <c r="CL44" s="101">
        <f>IFERROR(s_RadSpec!$H$15*(CL15/$B44),".")</f>
        <v>6.2926214582514027E-10</v>
      </c>
      <c r="CM44" s="101">
        <f>IFERROR(s_RadSpec!$H$15*(CM15/$B44),".")</f>
        <v>7.7383230723977745E-10</v>
      </c>
      <c r="CN44" s="101">
        <f>IFERROR(s_RadSpec!$H$15*(CN15/$B44),".")</f>
        <v>1.4547787197000247E-9</v>
      </c>
      <c r="CO44" s="101">
        <f>IFERROR(s_RadSpec!$H$15*(CO15/$B44),".")</f>
        <v>6.7221415030340197E-10</v>
      </c>
      <c r="CP44" s="101">
        <f>IFERROR(s_RadSpec!$H$15*(CP15/$B44),".")</f>
        <v>7.7383230723977745E-10</v>
      </c>
      <c r="CQ44" s="101">
        <f>IFERROR(s_RadSpec!$H$15*(CQ15/$B44),".")</f>
        <v>7.7383230723977745E-10</v>
      </c>
      <c r="CR44" s="101">
        <f>IFERROR(s_RadSpec!$H$15*(CR15/$B44),".")</f>
        <v>7.2145181397360456E-10</v>
      </c>
      <c r="CS44" s="101">
        <f>IFERROR(s_RadSpec!$H$15*(CS15/$B44),".")</f>
        <v>7.2145181397360456E-10</v>
      </c>
      <c r="CT44" s="101">
        <f>IFERROR(s_RadSpec!$H$15*(CT15/$B44),".")</f>
        <v>6.7221415030340197E-10</v>
      </c>
      <c r="CU44" s="101">
        <f>IFERROR(s_RadSpec!$H$15*(CU15/$B44),".")</f>
        <v>7.7383230723977745E-10</v>
      </c>
      <c r="CV44" s="101">
        <f>IFERROR(s_RadSpec!$H$15*(CV15/$B44),".")</f>
        <v>6.3240497542111066E-10</v>
      </c>
      <c r="CW44" s="101">
        <f>IFERROR(s_RadSpec!$H$15*(CW15/$B44),".")</f>
        <v>7.7383230723977745E-10</v>
      </c>
      <c r="CX44" s="101">
        <f>IFERROR(s_RadSpec!$H$15*(CX15/$B44),".")</f>
        <v>6.7221415030340197E-10</v>
      </c>
      <c r="CY44" s="101">
        <f>IFERROR(s_RadSpec!$H$15*(CY15/$B44),".")</f>
        <v>7.2145181397360456E-10</v>
      </c>
      <c r="CZ44" s="101">
        <f>IFERROR(s_RadSpec!$H$15*(CZ15/$B44),".")</f>
        <v>7.7383230723977745E-10</v>
      </c>
      <c r="DA44" s="101">
        <f>IFERROR(s_RadSpec!$H$15*(DA15/$B44),".")</f>
        <v>6.1972889605069684E-10</v>
      </c>
      <c r="DB44" s="101">
        <f>IFERROR(s_RadSpec!$H$15*(DB15/$B44),".")</f>
        <v>7.3192791262683908E-10</v>
      </c>
    </row>
    <row r="45" spans="1:106" x14ac:dyDescent="0.25">
      <c r="A45" s="95" t="s">
        <v>20</v>
      </c>
      <c r="B45" s="95" t="s">
        <v>1071</v>
      </c>
      <c r="C45" s="96">
        <f>IFERROR(1/SUM(C46:C47),".")</f>
        <v>152.46684606309401</v>
      </c>
      <c r="D45" s="96">
        <f>IFERROR(1/SUM(D46:D47),".")</f>
        <v>688.45093577107423</v>
      </c>
      <c r="E45" s="96">
        <f t="shared" ref="E45:AB45" si="89">IFERROR(1/SUM(E46:E47),".")</f>
        <v>374.53529325229181</v>
      </c>
      <c r="F45" s="96">
        <f t="shared" si="89"/>
        <v>441.37252907389092</v>
      </c>
      <c r="G45" s="96">
        <f t="shared" si="89"/>
        <v>730.2324090880428</v>
      </c>
      <c r="H45" s="96">
        <f t="shared" si="89"/>
        <v>557.42654318009011</v>
      </c>
      <c r="I45" s="96">
        <f t="shared" si="89"/>
        <v>374.53529325229181</v>
      </c>
      <c r="J45" s="96">
        <f t="shared" si="89"/>
        <v>441.37252907389092</v>
      </c>
      <c r="K45" s="96">
        <f t="shared" si="89"/>
        <v>688.45093577107423</v>
      </c>
      <c r="L45" s="96">
        <f t="shared" si="89"/>
        <v>484.61304169520264</v>
      </c>
      <c r="M45" s="96">
        <f t="shared" si="89"/>
        <v>557.42654318009011</v>
      </c>
      <c r="N45" s="96">
        <f t="shared" si="89"/>
        <v>374.53529325229181</v>
      </c>
      <c r="O45" s="96">
        <f t="shared" si="89"/>
        <v>450.30118972214785</v>
      </c>
      <c r="P45" s="96">
        <f t="shared" si="89"/>
        <v>557.42654318009011</v>
      </c>
      <c r="Q45" s="96">
        <f t="shared" si="89"/>
        <v>441.37252907389092</v>
      </c>
      <c r="R45" s="96">
        <f t="shared" si="89"/>
        <v>688.45093577107423</v>
      </c>
      <c r="S45" s="96">
        <f t="shared" si="89"/>
        <v>688.45093577107423</v>
      </c>
      <c r="T45" s="96">
        <f t="shared" si="89"/>
        <v>450.30118972214785</v>
      </c>
      <c r="U45" s="96">
        <f t="shared" ref="U45" si="90">IFERROR(1/SUM(U46:U47),".")</f>
        <v>557.42654318009011</v>
      </c>
      <c r="V45" s="96">
        <f t="shared" si="89"/>
        <v>387.57775309253697</v>
      </c>
      <c r="W45" s="96">
        <f t="shared" si="89"/>
        <v>557.42654318009011</v>
      </c>
      <c r="X45" s="96">
        <f t="shared" si="89"/>
        <v>450.30118972214785</v>
      </c>
      <c r="Y45" s="96">
        <f t="shared" si="89"/>
        <v>720.77442913080995</v>
      </c>
      <c r="Z45" s="96">
        <f t="shared" si="89"/>
        <v>557.42654318009011</v>
      </c>
      <c r="AA45" s="96">
        <f t="shared" si="89"/>
        <v>747.01895017290792</v>
      </c>
      <c r="AB45" s="96">
        <f t="shared" si="89"/>
        <v>506.67438567250224</v>
      </c>
      <c r="AC45" s="47">
        <f t="shared" si="5"/>
        <v>3.2794014758663624E-7</v>
      </c>
      <c r="AD45" s="97">
        <f t="shared" ref="AD45:BB45" si="91">IFERROR(IF(SUM(AD46:AD47)&gt;0.01,1-EXP(-(SUM(AD46:AD47))),SUM(AD46:AD47)),".")</f>
        <v>7.2626816817380508E-8</v>
      </c>
      <c r="AE45" s="97">
        <f t="shared" si="91"/>
        <v>1.3349876740806736E-7</v>
      </c>
      <c r="AF45" s="97">
        <f t="shared" si="91"/>
        <v>1.1328299045913075E-7</v>
      </c>
      <c r="AG45" s="97">
        <f t="shared" si="91"/>
        <v>6.8471351555654653E-8</v>
      </c>
      <c r="AH45" s="97">
        <f t="shared" si="91"/>
        <v>8.9697917352038067E-8</v>
      </c>
      <c r="AI45" s="97">
        <f t="shared" si="91"/>
        <v>1.3349876740806736E-7</v>
      </c>
      <c r="AJ45" s="97">
        <f t="shared" si="91"/>
        <v>1.1328299045913075E-7</v>
      </c>
      <c r="AK45" s="97">
        <f t="shared" si="91"/>
        <v>7.2626816817380508E-8</v>
      </c>
      <c r="AL45" s="97">
        <f t="shared" si="91"/>
        <v>1.0317510198466247E-7</v>
      </c>
      <c r="AM45" s="97">
        <f t="shared" si="91"/>
        <v>8.9697917352038067E-8</v>
      </c>
      <c r="AN45" s="97">
        <f t="shared" si="91"/>
        <v>1.3349876740806736E-7</v>
      </c>
      <c r="AO45" s="97">
        <f t="shared" si="91"/>
        <v>1.1103679302036005E-7</v>
      </c>
      <c r="AP45" s="97">
        <f t="shared" si="91"/>
        <v>8.9697917352038067E-8</v>
      </c>
      <c r="AQ45" s="97">
        <f t="shared" si="91"/>
        <v>1.1328299045913075E-7</v>
      </c>
      <c r="AR45" s="97">
        <f t="shared" si="91"/>
        <v>7.2626816817380508E-8</v>
      </c>
      <c r="AS45" s="97">
        <f t="shared" si="91"/>
        <v>7.2626816817380508E-8</v>
      </c>
      <c r="AT45" s="97">
        <f t="shared" si="91"/>
        <v>1.1103679302036005E-7</v>
      </c>
      <c r="AU45" s="97">
        <f t="shared" ref="AU45" si="92">IFERROR(IF(SUM(AU46:AU47)&gt;0.01,1-EXP(-(SUM(AU46:AU47))),SUM(AU46:AU47)),".")</f>
        <v>8.9697917352038067E-8</v>
      </c>
      <c r="AV45" s="97">
        <f t="shared" si="91"/>
        <v>1.2900637253052589E-7</v>
      </c>
      <c r="AW45" s="97">
        <f t="shared" si="91"/>
        <v>8.9697917352038067E-8</v>
      </c>
      <c r="AX45" s="97">
        <f t="shared" si="91"/>
        <v>1.1103679302036005E-7</v>
      </c>
      <c r="AY45" s="97">
        <f t="shared" si="91"/>
        <v>6.936983053116295E-8</v>
      </c>
      <c r="AZ45" s="97">
        <f t="shared" si="91"/>
        <v>8.9697917352038067E-8</v>
      </c>
      <c r="BA45" s="97">
        <f t="shared" si="91"/>
        <v>6.6932706310096697E-8</v>
      </c>
      <c r="BB45" s="97">
        <f t="shared" si="91"/>
        <v>9.8682707107120995E-8</v>
      </c>
      <c r="BC45" s="98">
        <f>IFERROR(1/SUM(BC46:BC47),".")</f>
        <v>152.46684606309401</v>
      </c>
      <c r="BD45" s="98">
        <f>IFERROR(1/SUM(BD46:BD47),".")</f>
        <v>688.45093577107423</v>
      </c>
      <c r="BE45" s="98">
        <f t="shared" ref="BE45:CB45" si="93">IFERROR(1/SUM(BE46:BE47),".")</f>
        <v>374.53529325229181</v>
      </c>
      <c r="BF45" s="98">
        <f t="shared" si="93"/>
        <v>441.37252907389092</v>
      </c>
      <c r="BG45" s="98">
        <f t="shared" si="93"/>
        <v>730.2324090880428</v>
      </c>
      <c r="BH45" s="98">
        <f t="shared" si="93"/>
        <v>557.42654318009011</v>
      </c>
      <c r="BI45" s="98">
        <f t="shared" si="93"/>
        <v>374.53529325229181</v>
      </c>
      <c r="BJ45" s="98">
        <f t="shared" si="93"/>
        <v>441.37252907389092</v>
      </c>
      <c r="BK45" s="98">
        <f t="shared" si="93"/>
        <v>688.45093577107423</v>
      </c>
      <c r="BL45" s="98">
        <f t="shared" si="93"/>
        <v>484.61304169520264</v>
      </c>
      <c r="BM45" s="98">
        <f t="shared" si="93"/>
        <v>557.42654318009011</v>
      </c>
      <c r="BN45" s="98">
        <f t="shared" si="93"/>
        <v>374.53529325229181</v>
      </c>
      <c r="BO45" s="98">
        <f t="shared" si="93"/>
        <v>450.30118972214785</v>
      </c>
      <c r="BP45" s="98">
        <f t="shared" si="93"/>
        <v>557.42654318009011</v>
      </c>
      <c r="BQ45" s="98">
        <f t="shared" si="93"/>
        <v>441.37252907389092</v>
      </c>
      <c r="BR45" s="98">
        <f t="shared" si="93"/>
        <v>688.45093577107423</v>
      </c>
      <c r="BS45" s="98">
        <f t="shared" si="93"/>
        <v>688.45093577107423</v>
      </c>
      <c r="BT45" s="98">
        <f t="shared" si="93"/>
        <v>450.30118972214785</v>
      </c>
      <c r="BU45" s="98">
        <f t="shared" ref="BU45" si="94">IFERROR(1/SUM(BU46:BU47),".")</f>
        <v>557.42654318009011</v>
      </c>
      <c r="BV45" s="98">
        <f t="shared" si="93"/>
        <v>387.57775309253697</v>
      </c>
      <c r="BW45" s="98">
        <f t="shared" si="93"/>
        <v>557.42654318009011</v>
      </c>
      <c r="BX45" s="98">
        <f t="shared" si="93"/>
        <v>450.30118972214785</v>
      </c>
      <c r="BY45" s="98">
        <f t="shared" si="93"/>
        <v>720.77442913080995</v>
      </c>
      <c r="BZ45" s="98">
        <f t="shared" si="93"/>
        <v>557.42654318009011</v>
      </c>
      <c r="CA45" s="98">
        <f t="shared" si="93"/>
        <v>747.01895017290792</v>
      </c>
      <c r="CB45" s="98">
        <f t="shared" si="93"/>
        <v>506.67438567250224</v>
      </c>
      <c r="CC45" s="47">
        <f t="shared" si="2"/>
        <v>3.2794014758663624E-7</v>
      </c>
      <c r="CD45" s="97">
        <f t="shared" ref="CD45:DB45" si="95">IFERROR(IF(SUM(CD46:CD47)&gt;0.01,1-EXP(-(SUM(CD46:CD47))),SUM(CD46:CD47)),".")</f>
        <v>7.2626816817380508E-8</v>
      </c>
      <c r="CE45" s="97">
        <f t="shared" si="95"/>
        <v>1.3349876740806736E-7</v>
      </c>
      <c r="CF45" s="97">
        <f t="shared" si="95"/>
        <v>1.1328299045913075E-7</v>
      </c>
      <c r="CG45" s="97">
        <f t="shared" si="95"/>
        <v>6.8471351555654653E-8</v>
      </c>
      <c r="CH45" s="97">
        <f t="shared" si="95"/>
        <v>8.9697917352038067E-8</v>
      </c>
      <c r="CI45" s="97">
        <f t="shared" si="95"/>
        <v>1.3349876740806736E-7</v>
      </c>
      <c r="CJ45" s="97">
        <f t="shared" si="95"/>
        <v>1.1328299045913075E-7</v>
      </c>
      <c r="CK45" s="97">
        <f t="shared" si="95"/>
        <v>7.2626816817380508E-8</v>
      </c>
      <c r="CL45" s="97">
        <f t="shared" si="95"/>
        <v>1.0317510198466247E-7</v>
      </c>
      <c r="CM45" s="97">
        <f t="shared" si="95"/>
        <v>8.9697917352038067E-8</v>
      </c>
      <c r="CN45" s="97">
        <f t="shared" si="95"/>
        <v>1.3349876740806736E-7</v>
      </c>
      <c r="CO45" s="97">
        <f t="shared" si="95"/>
        <v>1.1103679302036005E-7</v>
      </c>
      <c r="CP45" s="97">
        <f t="shared" si="95"/>
        <v>8.9697917352038067E-8</v>
      </c>
      <c r="CQ45" s="97">
        <f t="shared" si="95"/>
        <v>1.1328299045913075E-7</v>
      </c>
      <c r="CR45" s="97">
        <f t="shared" si="95"/>
        <v>7.2626816817380508E-8</v>
      </c>
      <c r="CS45" s="97">
        <f t="shared" si="95"/>
        <v>7.2626816817380508E-8</v>
      </c>
      <c r="CT45" s="97">
        <f t="shared" si="95"/>
        <v>1.1103679302036005E-7</v>
      </c>
      <c r="CU45" s="97">
        <f t="shared" si="95"/>
        <v>8.9697917352038067E-8</v>
      </c>
      <c r="CV45" s="97">
        <f t="shared" si="95"/>
        <v>1.2900637253052589E-7</v>
      </c>
      <c r="CW45" s="97">
        <f t="shared" si="95"/>
        <v>8.9697917352038067E-8</v>
      </c>
      <c r="CX45" s="97">
        <f t="shared" si="95"/>
        <v>1.1103679302036005E-7</v>
      </c>
      <c r="CY45" s="97">
        <f t="shared" si="95"/>
        <v>6.936983053116295E-8</v>
      </c>
      <c r="CZ45" s="97">
        <f t="shared" si="95"/>
        <v>8.9697917352038067E-8</v>
      </c>
      <c r="DA45" s="97">
        <f t="shared" si="95"/>
        <v>6.6932706310096697E-8</v>
      </c>
      <c r="DB45" s="97">
        <f t="shared" si="95"/>
        <v>9.8682707107120995E-8</v>
      </c>
    </row>
    <row r="46" spans="1:106" x14ac:dyDescent="0.25">
      <c r="A46" s="99" t="s">
        <v>1098</v>
      </c>
      <c r="B46" s="90">
        <v>1</v>
      </c>
      <c r="C46" s="100">
        <f t="shared" ref="C46" si="96">IFERROR($B46/C10,0)</f>
        <v>6.5588029517327246E-3</v>
      </c>
      <c r="D46" s="100">
        <f t="shared" ref="D46:AB46" si="97">IFERROR($B46/D10,0)</f>
        <v>1.4525363363476101E-3</v>
      </c>
      <c r="E46" s="100">
        <f t="shared" si="97"/>
        <v>2.6699753481613468E-3</v>
      </c>
      <c r="F46" s="100">
        <f t="shared" si="97"/>
        <v>2.2656598091826152E-3</v>
      </c>
      <c r="G46" s="100">
        <f t="shared" si="97"/>
        <v>1.3694270311130929E-3</v>
      </c>
      <c r="H46" s="100">
        <f t="shared" si="97"/>
        <v>1.7939583470407614E-3</v>
      </c>
      <c r="I46" s="100">
        <f t="shared" si="97"/>
        <v>2.6699753481613468E-3</v>
      </c>
      <c r="J46" s="100">
        <f t="shared" si="97"/>
        <v>2.2656598091826152E-3</v>
      </c>
      <c r="K46" s="100">
        <f t="shared" si="97"/>
        <v>1.4525363363476101E-3</v>
      </c>
      <c r="L46" s="100">
        <f t="shared" si="97"/>
        <v>2.0635020396932487E-3</v>
      </c>
      <c r="M46" s="100">
        <f t="shared" si="97"/>
        <v>1.7939583470407614E-3</v>
      </c>
      <c r="N46" s="100">
        <f t="shared" si="97"/>
        <v>2.6699753481613468E-3</v>
      </c>
      <c r="O46" s="100">
        <f t="shared" si="97"/>
        <v>2.2207358604072005E-3</v>
      </c>
      <c r="P46" s="100">
        <f t="shared" si="97"/>
        <v>1.7939583470407614E-3</v>
      </c>
      <c r="Q46" s="100">
        <f t="shared" si="97"/>
        <v>2.2656598091826152E-3</v>
      </c>
      <c r="R46" s="100">
        <f t="shared" si="97"/>
        <v>1.4525363363476101E-3</v>
      </c>
      <c r="S46" s="100">
        <f t="shared" si="97"/>
        <v>1.4525363363476101E-3</v>
      </c>
      <c r="T46" s="100">
        <f t="shared" si="97"/>
        <v>2.2207358604072005E-3</v>
      </c>
      <c r="U46" s="100">
        <f t="shared" ref="U46" si="98">IFERROR($B46/U10,0)</f>
        <v>1.7939583470407614E-3</v>
      </c>
      <c r="V46" s="100">
        <f t="shared" si="97"/>
        <v>2.5801274506105174E-3</v>
      </c>
      <c r="W46" s="100">
        <f t="shared" si="97"/>
        <v>1.7939583470407614E-3</v>
      </c>
      <c r="X46" s="100">
        <f t="shared" si="97"/>
        <v>2.2207358604072005E-3</v>
      </c>
      <c r="Y46" s="100">
        <f t="shared" si="97"/>
        <v>1.3873966106232589E-3</v>
      </c>
      <c r="Z46" s="100">
        <f t="shared" si="97"/>
        <v>1.7939583470407614E-3</v>
      </c>
      <c r="AA46" s="100">
        <f t="shared" si="97"/>
        <v>1.3386541262019338E-3</v>
      </c>
      <c r="AB46" s="100">
        <f t="shared" si="97"/>
        <v>1.9736541421424198E-3</v>
      </c>
      <c r="AC46" s="49">
        <f t="shared" si="5"/>
        <v>3.2794014758663624E-7</v>
      </c>
      <c r="AD46" s="101">
        <f>IFERROR(s_RadSpec!$H$10*(AD10/$B46),".")</f>
        <v>7.2626816817380508E-8</v>
      </c>
      <c r="AE46" s="101">
        <f>IFERROR(s_RadSpec!$H$10*(AE10/$B46),".")</f>
        <v>1.3349876740806736E-7</v>
      </c>
      <c r="AF46" s="101">
        <f>IFERROR(s_RadSpec!$H$10*(AF10/$B46),".")</f>
        <v>1.1328299045913075E-7</v>
      </c>
      <c r="AG46" s="101">
        <f>IFERROR(s_RadSpec!$H$10*(AG10/$B46),".")</f>
        <v>6.8471351555654653E-8</v>
      </c>
      <c r="AH46" s="101">
        <f>IFERROR(s_RadSpec!$H$10*(AH10/$B46),".")</f>
        <v>8.9697917352038067E-8</v>
      </c>
      <c r="AI46" s="101">
        <f>IFERROR(s_RadSpec!$H$10*(AI10/$B46),".")</f>
        <v>1.3349876740806736E-7</v>
      </c>
      <c r="AJ46" s="101">
        <f>IFERROR(s_RadSpec!$H$10*(AJ10/$B46),".")</f>
        <v>1.1328299045913075E-7</v>
      </c>
      <c r="AK46" s="101">
        <f>IFERROR(s_RadSpec!$H$10*(AK10/$B46),".")</f>
        <v>7.2626816817380508E-8</v>
      </c>
      <c r="AL46" s="101">
        <f>IFERROR(s_RadSpec!$H$10*(AL10/$B46),".")</f>
        <v>1.0317510198466247E-7</v>
      </c>
      <c r="AM46" s="101">
        <f>IFERROR(s_RadSpec!$H$10*(AM10/$B46),".")</f>
        <v>8.9697917352038067E-8</v>
      </c>
      <c r="AN46" s="101">
        <f>IFERROR(s_RadSpec!$H$10*(AN10/$B46),".")</f>
        <v>1.3349876740806736E-7</v>
      </c>
      <c r="AO46" s="101">
        <f>IFERROR(s_RadSpec!$H$10*(AO10/$B46),".")</f>
        <v>1.1103679302036005E-7</v>
      </c>
      <c r="AP46" s="101">
        <f>IFERROR(s_RadSpec!$H$10*(AP10/$B46),".")</f>
        <v>8.9697917352038067E-8</v>
      </c>
      <c r="AQ46" s="101">
        <f>IFERROR(s_RadSpec!$H$10*(AQ10/$B46),".")</f>
        <v>1.1328299045913075E-7</v>
      </c>
      <c r="AR46" s="101">
        <f>IFERROR(s_RadSpec!$H$10*(AR10/$B46),".")</f>
        <v>7.2626816817380508E-8</v>
      </c>
      <c r="AS46" s="101">
        <f>IFERROR(s_RadSpec!$H$10*(AS10/$B46),".")</f>
        <v>7.2626816817380508E-8</v>
      </c>
      <c r="AT46" s="101">
        <f>IFERROR(s_RadSpec!$H$10*(AT10/$B46),".")</f>
        <v>1.1103679302036005E-7</v>
      </c>
      <c r="AU46" s="101">
        <f>IFERROR(s_RadSpec!$H$10*(AU10/$B46),".")</f>
        <v>8.9697917352038067E-8</v>
      </c>
      <c r="AV46" s="101">
        <f>IFERROR(s_RadSpec!$H$10*(AV10/$B46),".")</f>
        <v>1.2900637253052589E-7</v>
      </c>
      <c r="AW46" s="101">
        <f>IFERROR(s_RadSpec!$H$10*(AW10/$B46),".")</f>
        <v>8.9697917352038067E-8</v>
      </c>
      <c r="AX46" s="101">
        <f>IFERROR(s_RadSpec!$H$10*(AX10/$B46),".")</f>
        <v>1.1103679302036005E-7</v>
      </c>
      <c r="AY46" s="101">
        <f>IFERROR(s_RadSpec!$H$10*(AY10/$B46),".")</f>
        <v>6.936983053116295E-8</v>
      </c>
      <c r="AZ46" s="101">
        <f>IFERROR(s_RadSpec!$H$10*(AZ10/$B46),".")</f>
        <v>8.9697917352038067E-8</v>
      </c>
      <c r="BA46" s="101">
        <f>IFERROR(s_RadSpec!$H$10*(BA10/$B46),".")</f>
        <v>6.6932706310096697E-8</v>
      </c>
      <c r="BB46" s="101">
        <f>IFERROR(s_RadSpec!$H$10*(BB10/$B46),".")</f>
        <v>9.8682707107120995E-8</v>
      </c>
      <c r="BC46" s="100">
        <f t="shared" ref="BC46" si="99">IFERROR($B46/BC10,0)</f>
        <v>6.5588029517327246E-3</v>
      </c>
      <c r="BD46" s="100">
        <f t="shared" ref="BD46:CB46" si="100">IFERROR($B46/BD10,0)</f>
        <v>1.4525363363476101E-3</v>
      </c>
      <c r="BE46" s="100">
        <f t="shared" si="100"/>
        <v>2.6699753481613468E-3</v>
      </c>
      <c r="BF46" s="100">
        <f t="shared" si="100"/>
        <v>2.2656598091826152E-3</v>
      </c>
      <c r="BG46" s="100">
        <f t="shared" si="100"/>
        <v>1.3694270311130929E-3</v>
      </c>
      <c r="BH46" s="100">
        <f t="shared" si="100"/>
        <v>1.7939583470407614E-3</v>
      </c>
      <c r="BI46" s="100">
        <f t="shared" si="100"/>
        <v>2.6699753481613468E-3</v>
      </c>
      <c r="BJ46" s="100">
        <f t="shared" si="100"/>
        <v>2.2656598091826152E-3</v>
      </c>
      <c r="BK46" s="100">
        <f t="shared" si="100"/>
        <v>1.4525363363476101E-3</v>
      </c>
      <c r="BL46" s="100">
        <f t="shared" si="100"/>
        <v>2.0635020396932487E-3</v>
      </c>
      <c r="BM46" s="100">
        <f t="shared" si="100"/>
        <v>1.7939583470407614E-3</v>
      </c>
      <c r="BN46" s="100">
        <f t="shared" si="100"/>
        <v>2.6699753481613468E-3</v>
      </c>
      <c r="BO46" s="100">
        <f t="shared" si="100"/>
        <v>2.2207358604072005E-3</v>
      </c>
      <c r="BP46" s="100">
        <f t="shared" si="100"/>
        <v>1.7939583470407614E-3</v>
      </c>
      <c r="BQ46" s="100">
        <f t="shared" si="100"/>
        <v>2.2656598091826152E-3</v>
      </c>
      <c r="BR46" s="100">
        <f t="shared" si="100"/>
        <v>1.4525363363476101E-3</v>
      </c>
      <c r="BS46" s="100">
        <f t="shared" si="100"/>
        <v>1.4525363363476101E-3</v>
      </c>
      <c r="BT46" s="100">
        <f t="shared" si="100"/>
        <v>2.2207358604072005E-3</v>
      </c>
      <c r="BU46" s="100">
        <f t="shared" ref="BU46" si="101">IFERROR($B46/BU10,0)</f>
        <v>1.7939583470407614E-3</v>
      </c>
      <c r="BV46" s="100">
        <f t="shared" si="100"/>
        <v>2.5801274506105174E-3</v>
      </c>
      <c r="BW46" s="100">
        <f t="shared" si="100"/>
        <v>1.7939583470407614E-3</v>
      </c>
      <c r="BX46" s="100">
        <f t="shared" si="100"/>
        <v>2.2207358604072005E-3</v>
      </c>
      <c r="BY46" s="100">
        <f t="shared" si="100"/>
        <v>1.3873966106232589E-3</v>
      </c>
      <c r="BZ46" s="100">
        <f t="shared" si="100"/>
        <v>1.7939583470407614E-3</v>
      </c>
      <c r="CA46" s="100">
        <f t="shared" si="100"/>
        <v>1.3386541262019338E-3</v>
      </c>
      <c r="CB46" s="100">
        <f t="shared" si="100"/>
        <v>1.9736541421424198E-3</v>
      </c>
      <c r="CC46" s="49">
        <f t="shared" si="2"/>
        <v>3.2794014758663624E-7</v>
      </c>
      <c r="CD46" s="101">
        <f>IFERROR(s_RadSpec!$H$10*(CD10/$B46),".")</f>
        <v>7.2626816817380508E-8</v>
      </c>
      <c r="CE46" s="101">
        <f>IFERROR(s_RadSpec!$H$10*(CE10/$B46),".")</f>
        <v>1.3349876740806736E-7</v>
      </c>
      <c r="CF46" s="101">
        <f>IFERROR(s_RadSpec!$H$10*(CF10/$B46),".")</f>
        <v>1.1328299045913075E-7</v>
      </c>
      <c r="CG46" s="101">
        <f>IFERROR(s_RadSpec!$H$10*(CG10/$B46),".")</f>
        <v>6.8471351555654653E-8</v>
      </c>
      <c r="CH46" s="101">
        <f>IFERROR(s_RadSpec!$H$10*(CH10/$B46),".")</f>
        <v>8.9697917352038067E-8</v>
      </c>
      <c r="CI46" s="101">
        <f>IFERROR(s_RadSpec!$H$10*(CI10/$B46),".")</f>
        <v>1.3349876740806736E-7</v>
      </c>
      <c r="CJ46" s="101">
        <f>IFERROR(s_RadSpec!$H$10*(CJ10/$B46),".")</f>
        <v>1.1328299045913075E-7</v>
      </c>
      <c r="CK46" s="101">
        <f>IFERROR(s_RadSpec!$H$10*(CK10/$B46),".")</f>
        <v>7.2626816817380508E-8</v>
      </c>
      <c r="CL46" s="101">
        <f>IFERROR(s_RadSpec!$H$10*(CL10/$B46),".")</f>
        <v>1.0317510198466247E-7</v>
      </c>
      <c r="CM46" s="101">
        <f>IFERROR(s_RadSpec!$H$10*(CM10/$B46),".")</f>
        <v>8.9697917352038067E-8</v>
      </c>
      <c r="CN46" s="101">
        <f>IFERROR(s_RadSpec!$H$10*(CN10/$B46),".")</f>
        <v>1.3349876740806736E-7</v>
      </c>
      <c r="CO46" s="101">
        <f>IFERROR(s_RadSpec!$H$10*(CO10/$B46),".")</f>
        <v>1.1103679302036005E-7</v>
      </c>
      <c r="CP46" s="101">
        <f>IFERROR(s_RadSpec!$H$10*(CP10/$B46),".")</f>
        <v>8.9697917352038067E-8</v>
      </c>
      <c r="CQ46" s="101">
        <f>IFERROR(s_RadSpec!$H$10*(CQ10/$B46),".")</f>
        <v>1.1328299045913075E-7</v>
      </c>
      <c r="CR46" s="101">
        <f>IFERROR(s_RadSpec!$H$10*(CR10/$B46),".")</f>
        <v>7.2626816817380508E-8</v>
      </c>
      <c r="CS46" s="101">
        <f>IFERROR(s_RadSpec!$H$10*(CS10/$B46),".")</f>
        <v>7.2626816817380508E-8</v>
      </c>
      <c r="CT46" s="101">
        <f>IFERROR(s_RadSpec!$H$10*(CT10/$B46),".")</f>
        <v>1.1103679302036005E-7</v>
      </c>
      <c r="CU46" s="101">
        <f>IFERROR(s_RadSpec!$H$10*(CU10/$B46),".")</f>
        <v>8.9697917352038067E-8</v>
      </c>
      <c r="CV46" s="101">
        <f>IFERROR(s_RadSpec!$H$10*(CV10/$B46),".")</f>
        <v>1.2900637253052589E-7</v>
      </c>
      <c r="CW46" s="101">
        <f>IFERROR(s_RadSpec!$H$10*(CW10/$B46),".")</f>
        <v>8.9697917352038067E-8</v>
      </c>
      <c r="CX46" s="101">
        <f>IFERROR(s_RadSpec!$H$10*(CX10/$B46),".")</f>
        <v>1.1103679302036005E-7</v>
      </c>
      <c r="CY46" s="101">
        <f>IFERROR(s_RadSpec!$H$10*(CY10/$B46),".")</f>
        <v>6.936983053116295E-8</v>
      </c>
      <c r="CZ46" s="101">
        <f>IFERROR(s_RadSpec!$H$10*(CZ10/$B46),".")</f>
        <v>8.9697917352038067E-8</v>
      </c>
      <c r="DA46" s="101">
        <f>IFERROR(s_RadSpec!$H$10*(DA10/$B46),".")</f>
        <v>6.6932706310096697E-8</v>
      </c>
      <c r="DB46" s="101">
        <f>IFERROR(s_RadSpec!$H$10*(DB10/$B46),".")</f>
        <v>9.8682707107120995E-8</v>
      </c>
    </row>
    <row r="47" spans="1:106" x14ac:dyDescent="0.25">
      <c r="A47" s="99" t="s">
        <v>1072</v>
      </c>
      <c r="B47" s="103">
        <v>0.94399</v>
      </c>
      <c r="C47" s="100">
        <f t="shared" ref="C47" si="102">IFERROR($B47/C6,0)</f>
        <v>0</v>
      </c>
      <c r="D47" s="100">
        <f t="shared" ref="D47:AB47" si="103">IFERROR($B47/D6,0)</f>
        <v>0</v>
      </c>
      <c r="E47" s="100">
        <f t="shared" si="103"/>
        <v>0</v>
      </c>
      <c r="F47" s="100">
        <f t="shared" si="103"/>
        <v>0</v>
      </c>
      <c r="G47" s="100">
        <f t="shared" si="103"/>
        <v>0</v>
      </c>
      <c r="H47" s="100">
        <f t="shared" si="103"/>
        <v>0</v>
      </c>
      <c r="I47" s="100">
        <f t="shared" si="103"/>
        <v>0</v>
      </c>
      <c r="J47" s="100">
        <f t="shared" si="103"/>
        <v>0</v>
      </c>
      <c r="K47" s="100">
        <f t="shared" si="103"/>
        <v>0</v>
      </c>
      <c r="L47" s="100">
        <f t="shared" si="103"/>
        <v>0</v>
      </c>
      <c r="M47" s="100">
        <f t="shared" si="103"/>
        <v>0</v>
      </c>
      <c r="N47" s="100">
        <f t="shared" si="103"/>
        <v>0</v>
      </c>
      <c r="O47" s="100">
        <f t="shared" si="103"/>
        <v>0</v>
      </c>
      <c r="P47" s="100">
        <f t="shared" si="103"/>
        <v>0</v>
      </c>
      <c r="Q47" s="100">
        <f t="shared" si="103"/>
        <v>0</v>
      </c>
      <c r="R47" s="100">
        <f t="shared" si="103"/>
        <v>0</v>
      </c>
      <c r="S47" s="100">
        <f t="shared" si="103"/>
        <v>0</v>
      </c>
      <c r="T47" s="100">
        <f t="shared" si="103"/>
        <v>0</v>
      </c>
      <c r="U47" s="100">
        <f t="shared" ref="U47" si="104">IFERROR($B47/U6,0)</f>
        <v>0</v>
      </c>
      <c r="V47" s="100">
        <f t="shared" si="103"/>
        <v>0</v>
      </c>
      <c r="W47" s="100">
        <f t="shared" si="103"/>
        <v>0</v>
      </c>
      <c r="X47" s="100">
        <f t="shared" si="103"/>
        <v>0</v>
      </c>
      <c r="Y47" s="100">
        <f t="shared" si="103"/>
        <v>0</v>
      </c>
      <c r="Z47" s="100">
        <f t="shared" si="103"/>
        <v>0</v>
      </c>
      <c r="AA47" s="100">
        <f t="shared" si="103"/>
        <v>0</v>
      </c>
      <c r="AB47" s="100">
        <f t="shared" si="103"/>
        <v>0</v>
      </c>
      <c r="AC47" s="49">
        <f t="shared" si="5"/>
        <v>0</v>
      </c>
      <c r="AD47" s="101">
        <f>IFERROR(s_RadSpec!$H$6*(AD6/$B47),".")</f>
        <v>0</v>
      </c>
      <c r="AE47" s="101">
        <f>IFERROR(s_RadSpec!$H$6*(AE6/$B47),".")</f>
        <v>0</v>
      </c>
      <c r="AF47" s="101">
        <f>IFERROR(s_RadSpec!$H$6*(AF6/$B47),".")</f>
        <v>0</v>
      </c>
      <c r="AG47" s="101">
        <f>IFERROR(s_RadSpec!$H$6*(AG6/$B47),".")</f>
        <v>0</v>
      </c>
      <c r="AH47" s="101">
        <f>IFERROR(s_RadSpec!$H$6*(AH6/$B47),".")</f>
        <v>0</v>
      </c>
      <c r="AI47" s="101">
        <f>IFERROR(s_RadSpec!$H$6*(AI6/$B47),".")</f>
        <v>0</v>
      </c>
      <c r="AJ47" s="101">
        <f>IFERROR(s_RadSpec!$H$6*(AJ6/$B47),".")</f>
        <v>0</v>
      </c>
      <c r="AK47" s="101">
        <f>IFERROR(s_RadSpec!$H$6*(AK6/$B47),".")</f>
        <v>0</v>
      </c>
      <c r="AL47" s="101">
        <f>IFERROR(s_RadSpec!$H$6*(AL6/$B47),".")</f>
        <v>0</v>
      </c>
      <c r="AM47" s="101">
        <f>IFERROR(s_RadSpec!$H$6*(AM6/$B47),".")</f>
        <v>0</v>
      </c>
      <c r="AN47" s="101">
        <f>IFERROR(s_RadSpec!$H$6*(AN6/$B47),".")</f>
        <v>0</v>
      </c>
      <c r="AO47" s="101">
        <f>IFERROR(s_RadSpec!$H$6*(AO6/$B47),".")</f>
        <v>0</v>
      </c>
      <c r="AP47" s="101">
        <f>IFERROR(s_RadSpec!$H$6*(AP6/$B47),".")</f>
        <v>0</v>
      </c>
      <c r="AQ47" s="101">
        <f>IFERROR(s_RadSpec!$H$6*(AQ6/$B47),".")</f>
        <v>0</v>
      </c>
      <c r="AR47" s="101">
        <f>IFERROR(s_RadSpec!$H$6*(AR6/$B47),".")</f>
        <v>0</v>
      </c>
      <c r="AS47" s="101">
        <f>IFERROR(s_RadSpec!$H$6*(AS6/$B47),".")</f>
        <v>0</v>
      </c>
      <c r="AT47" s="101">
        <f>IFERROR(s_RadSpec!$H$6*(AT6/$B47),".")</f>
        <v>0</v>
      </c>
      <c r="AU47" s="101">
        <f>IFERROR(s_RadSpec!$H$6*(AU6/$B47),".")</f>
        <v>0</v>
      </c>
      <c r="AV47" s="101">
        <f>IFERROR(s_RadSpec!$H$6*(AV6/$B47),".")</f>
        <v>0</v>
      </c>
      <c r="AW47" s="101">
        <f>IFERROR(s_RadSpec!$H$6*(AW6/$B47),".")</f>
        <v>0</v>
      </c>
      <c r="AX47" s="101">
        <f>IFERROR(s_RadSpec!$H$6*(AX6/$B47),".")</f>
        <v>0</v>
      </c>
      <c r="AY47" s="101">
        <f>IFERROR(s_RadSpec!$H$6*(AY6/$B47),".")</f>
        <v>0</v>
      </c>
      <c r="AZ47" s="101">
        <f>IFERROR(s_RadSpec!$H$6*(AZ6/$B47),".")</f>
        <v>0</v>
      </c>
      <c r="BA47" s="101">
        <f>IFERROR(s_RadSpec!$H$6*(BA6/$B47),".")</f>
        <v>0</v>
      </c>
      <c r="BB47" s="101">
        <f>IFERROR(s_RadSpec!$H$6*(BB6/$B47),".")</f>
        <v>0</v>
      </c>
      <c r="BC47" s="100">
        <f t="shared" ref="BC47" si="105">IFERROR($B47/BC6,0)</f>
        <v>0</v>
      </c>
      <c r="BD47" s="100">
        <f t="shared" ref="BD47:CB47" si="106">IFERROR($B47/BD6,0)</f>
        <v>0</v>
      </c>
      <c r="BE47" s="100">
        <f t="shared" si="106"/>
        <v>0</v>
      </c>
      <c r="BF47" s="100">
        <f t="shared" si="106"/>
        <v>0</v>
      </c>
      <c r="BG47" s="100">
        <f t="shared" si="106"/>
        <v>0</v>
      </c>
      <c r="BH47" s="100">
        <f t="shared" si="106"/>
        <v>0</v>
      </c>
      <c r="BI47" s="100">
        <f t="shared" si="106"/>
        <v>0</v>
      </c>
      <c r="BJ47" s="100">
        <f t="shared" si="106"/>
        <v>0</v>
      </c>
      <c r="BK47" s="100">
        <f t="shared" si="106"/>
        <v>0</v>
      </c>
      <c r="BL47" s="100">
        <f t="shared" si="106"/>
        <v>0</v>
      </c>
      <c r="BM47" s="100">
        <f t="shared" si="106"/>
        <v>0</v>
      </c>
      <c r="BN47" s="100">
        <f t="shared" si="106"/>
        <v>0</v>
      </c>
      <c r="BO47" s="100">
        <f t="shared" si="106"/>
        <v>0</v>
      </c>
      <c r="BP47" s="100">
        <f t="shared" si="106"/>
        <v>0</v>
      </c>
      <c r="BQ47" s="100">
        <f t="shared" si="106"/>
        <v>0</v>
      </c>
      <c r="BR47" s="100">
        <f t="shared" si="106"/>
        <v>0</v>
      </c>
      <c r="BS47" s="100">
        <f t="shared" si="106"/>
        <v>0</v>
      </c>
      <c r="BT47" s="100">
        <f t="shared" si="106"/>
        <v>0</v>
      </c>
      <c r="BU47" s="100">
        <f t="shared" ref="BU47" si="107">IFERROR($B47/BU6,0)</f>
        <v>0</v>
      </c>
      <c r="BV47" s="100">
        <f t="shared" si="106"/>
        <v>0</v>
      </c>
      <c r="BW47" s="100">
        <f t="shared" si="106"/>
        <v>0</v>
      </c>
      <c r="BX47" s="100">
        <f t="shared" si="106"/>
        <v>0</v>
      </c>
      <c r="BY47" s="100">
        <f t="shared" si="106"/>
        <v>0</v>
      </c>
      <c r="BZ47" s="100">
        <f t="shared" si="106"/>
        <v>0</v>
      </c>
      <c r="CA47" s="100">
        <f t="shared" si="106"/>
        <v>0</v>
      </c>
      <c r="CB47" s="100">
        <f t="shared" si="106"/>
        <v>0</v>
      </c>
      <c r="CC47" s="49">
        <f t="shared" si="2"/>
        <v>0</v>
      </c>
      <c r="CD47" s="101">
        <f>IFERROR(s_RadSpec!$H$6*(CD6/$B47),".")</f>
        <v>0</v>
      </c>
      <c r="CE47" s="101">
        <f>IFERROR(s_RadSpec!$H$6*(CE6/$B47),".")</f>
        <v>0</v>
      </c>
      <c r="CF47" s="101">
        <f>IFERROR(s_RadSpec!$H$6*(CF6/$B47),".")</f>
        <v>0</v>
      </c>
      <c r="CG47" s="101">
        <f>IFERROR(s_RadSpec!$H$6*(CG6/$B47),".")</f>
        <v>0</v>
      </c>
      <c r="CH47" s="101">
        <f>IFERROR(s_RadSpec!$H$6*(CH6/$B47),".")</f>
        <v>0</v>
      </c>
      <c r="CI47" s="101">
        <f>IFERROR(s_RadSpec!$H$6*(CI6/$B47),".")</f>
        <v>0</v>
      </c>
      <c r="CJ47" s="101">
        <f>IFERROR(s_RadSpec!$H$6*(CJ6/$B47),".")</f>
        <v>0</v>
      </c>
      <c r="CK47" s="101">
        <f>IFERROR(s_RadSpec!$H$6*(CK6/$B47),".")</f>
        <v>0</v>
      </c>
      <c r="CL47" s="101">
        <f>IFERROR(s_RadSpec!$H$6*(CL6/$B47),".")</f>
        <v>0</v>
      </c>
      <c r="CM47" s="101">
        <f>IFERROR(s_RadSpec!$H$6*(CM6/$B47),".")</f>
        <v>0</v>
      </c>
      <c r="CN47" s="101">
        <f>IFERROR(s_RadSpec!$H$6*(CN6/$B47),".")</f>
        <v>0</v>
      </c>
      <c r="CO47" s="101">
        <f>IFERROR(s_RadSpec!$H$6*(CO6/$B47),".")</f>
        <v>0</v>
      </c>
      <c r="CP47" s="101">
        <f>IFERROR(s_RadSpec!$H$6*(CP6/$B47),".")</f>
        <v>0</v>
      </c>
      <c r="CQ47" s="101">
        <f>IFERROR(s_RadSpec!$H$6*(CQ6/$B47),".")</f>
        <v>0</v>
      </c>
      <c r="CR47" s="101">
        <f>IFERROR(s_RadSpec!$H$6*(CR6/$B47),".")</f>
        <v>0</v>
      </c>
      <c r="CS47" s="101">
        <f>IFERROR(s_RadSpec!$H$6*(CS6/$B47),".")</f>
        <v>0</v>
      </c>
      <c r="CT47" s="101">
        <f>IFERROR(s_RadSpec!$H$6*(CT6/$B47),".")</f>
        <v>0</v>
      </c>
      <c r="CU47" s="101">
        <f>IFERROR(s_RadSpec!$H$6*(CU6/$B47),".")</f>
        <v>0</v>
      </c>
      <c r="CV47" s="101">
        <f>IFERROR(s_RadSpec!$H$6*(CV6/$B47),".")</f>
        <v>0</v>
      </c>
      <c r="CW47" s="101">
        <f>IFERROR(s_RadSpec!$H$6*(CW6/$B47),".")</f>
        <v>0</v>
      </c>
      <c r="CX47" s="101">
        <f>IFERROR(s_RadSpec!$H$6*(CX6/$B47),".")</f>
        <v>0</v>
      </c>
      <c r="CY47" s="101">
        <f>IFERROR(s_RadSpec!$H$6*(CY6/$B47),".")</f>
        <v>0</v>
      </c>
      <c r="CZ47" s="101">
        <f>IFERROR(s_RadSpec!$H$6*(CZ6/$B47),".")</f>
        <v>0</v>
      </c>
      <c r="DA47" s="101">
        <f>IFERROR(s_RadSpec!$H$6*(DA6/$B47),".")</f>
        <v>0</v>
      </c>
      <c r="DB47" s="101">
        <f>IFERROR(s_RadSpec!$H$6*(DB6/$B47),".")</f>
        <v>0</v>
      </c>
    </row>
    <row r="48" spans="1:106" x14ac:dyDescent="0.25">
      <c r="A48" s="95" t="s">
        <v>33</v>
      </c>
      <c r="B48" s="95" t="s">
        <v>1071</v>
      </c>
      <c r="C48" s="96">
        <f t="shared" ref="C48" si="108">IFERROR(1/SUM(C49:C62),0)</f>
        <v>1.6092883069216015</v>
      </c>
      <c r="D48" s="96">
        <f t="shared" ref="D48:AB48" si="109">IFERROR(1/SUM(D49:D62),0)</f>
        <v>6.6102403098257572</v>
      </c>
      <c r="E48" s="96">
        <f t="shared" si="109"/>
        <v>4.2445312827519803</v>
      </c>
      <c r="F48" s="96">
        <f t="shared" si="109"/>
        <v>5.5263770714421696</v>
      </c>
      <c r="G48" s="96">
        <f t="shared" si="109"/>
        <v>6.6102403098257572</v>
      </c>
      <c r="H48" s="96">
        <f t="shared" si="109"/>
        <v>6.3701615140126755</v>
      </c>
      <c r="I48" s="96">
        <f t="shared" si="109"/>
        <v>4.2445312827519803</v>
      </c>
      <c r="J48" s="96">
        <f t="shared" si="109"/>
        <v>5.5263770714421696</v>
      </c>
      <c r="K48" s="96">
        <f t="shared" si="109"/>
        <v>6.6102403098257572</v>
      </c>
      <c r="L48" s="96">
        <f t="shared" si="109"/>
        <v>7.0048059213282645</v>
      </c>
      <c r="M48" s="96">
        <f t="shared" si="109"/>
        <v>6.3701615140126755</v>
      </c>
      <c r="N48" s="96">
        <f t="shared" si="109"/>
        <v>4.2445312827519803</v>
      </c>
      <c r="O48" s="96">
        <f t="shared" si="109"/>
        <v>6.6985310432930811</v>
      </c>
      <c r="P48" s="96">
        <f t="shared" si="109"/>
        <v>6.3701615140126755</v>
      </c>
      <c r="Q48" s="96">
        <f t="shared" si="109"/>
        <v>5.5263770714421696</v>
      </c>
      <c r="R48" s="96">
        <f t="shared" si="109"/>
        <v>6.6102403098257572</v>
      </c>
      <c r="S48" s="96">
        <f t="shared" si="109"/>
        <v>6.6102403098257572</v>
      </c>
      <c r="T48" s="96">
        <f t="shared" si="109"/>
        <v>6.6985310432930811</v>
      </c>
      <c r="U48" s="96">
        <f t="shared" ref="U48" si="110">IFERROR(1/SUM(U49:U62),0)</f>
        <v>6.3701615140126755</v>
      </c>
      <c r="V48" s="96">
        <f t="shared" si="109"/>
        <v>6.7131348725662381</v>
      </c>
      <c r="W48" s="96">
        <f t="shared" si="109"/>
        <v>6.3701615140126755</v>
      </c>
      <c r="X48" s="96">
        <f t="shared" si="109"/>
        <v>6.6985310432930811</v>
      </c>
      <c r="Y48" s="96">
        <f t="shared" si="109"/>
        <v>6.6102403098257572</v>
      </c>
      <c r="Z48" s="96">
        <f t="shared" si="109"/>
        <v>6.3701615140126755</v>
      </c>
      <c r="AA48" s="96">
        <f t="shared" si="109"/>
        <v>6.2923020569373556</v>
      </c>
      <c r="AB48" s="96">
        <f t="shared" si="109"/>
        <v>6.4848308415363611</v>
      </c>
      <c r="AC48" s="47">
        <f t="shared" si="5"/>
        <v>3.1069636395607968E-5</v>
      </c>
      <c r="AD48" s="97">
        <f t="shared" ref="AD48:AT48" si="111">IFERROR(IF(SUM(AD49:AD62)&gt;0.01,1-EXP(-(SUM(AD49:AD62))),SUM(AD49:AD62)),".")</f>
        <v>7.5640219284882245E-6</v>
      </c>
      <c r="AE48" s="97">
        <f t="shared" si="111"/>
        <v>1.1779864514158608E-5</v>
      </c>
      <c r="AF48" s="97">
        <f t="shared" si="111"/>
        <v>9.0475191495679357E-6</v>
      </c>
      <c r="AG48" s="97">
        <f t="shared" si="111"/>
        <v>7.5640219284882245E-6</v>
      </c>
      <c r="AH48" s="97">
        <f t="shared" si="111"/>
        <v>7.8490949774586462E-6</v>
      </c>
      <c r="AI48" s="97">
        <f t="shared" si="111"/>
        <v>1.1779864514158608E-5</v>
      </c>
      <c r="AJ48" s="97">
        <f t="shared" si="111"/>
        <v>9.0475191495679357E-6</v>
      </c>
      <c r="AK48" s="97">
        <f t="shared" si="111"/>
        <v>7.5640219284882245E-6</v>
      </c>
      <c r="AL48" s="97">
        <f t="shared" si="111"/>
        <v>7.1379568566189544E-6</v>
      </c>
      <c r="AM48" s="97">
        <f t="shared" si="111"/>
        <v>7.8490949774586462E-6</v>
      </c>
      <c r="AN48" s="97">
        <f t="shared" si="111"/>
        <v>1.1779864514158608E-5</v>
      </c>
      <c r="AO48" s="97">
        <f t="shared" si="111"/>
        <v>7.4643234740510685E-6</v>
      </c>
      <c r="AP48" s="97">
        <f t="shared" si="111"/>
        <v>7.8490949774586462E-6</v>
      </c>
      <c r="AQ48" s="97">
        <f t="shared" si="111"/>
        <v>9.0475191495679357E-6</v>
      </c>
      <c r="AR48" s="97">
        <f t="shared" si="111"/>
        <v>7.5640219284882245E-6</v>
      </c>
      <c r="AS48" s="97">
        <f t="shared" si="111"/>
        <v>7.5640219284882245E-6</v>
      </c>
      <c r="AT48" s="97">
        <f t="shared" si="111"/>
        <v>7.4643234740510685E-6</v>
      </c>
      <c r="AU48" s="97">
        <f>IFERROR(IF(SUM(AU49:AU62)&gt;0.01,1-EXP(-(SUM(AU49:AU62))),SUM(AU49:AU62)),".")</f>
        <v>7.8490949774586462E-6</v>
      </c>
      <c r="AV48" s="97">
        <f t="shared" ref="AV48:BB48" si="112">IFERROR(IF(SUM(AV49:AV62)&gt;0.01,1-EXP(-(SUM(AV49:AV62))),SUM(AV49:AV62)),".")</f>
        <v>7.4480854792973317E-6</v>
      </c>
      <c r="AW48" s="97">
        <f t="shared" si="112"/>
        <v>7.8490949774586462E-6</v>
      </c>
      <c r="AX48" s="97">
        <f t="shared" si="112"/>
        <v>7.4643234740510685E-6</v>
      </c>
      <c r="AY48" s="97">
        <f t="shared" si="112"/>
        <v>7.5640219284882245E-6</v>
      </c>
      <c r="AZ48" s="97">
        <f t="shared" si="112"/>
        <v>7.8490949774586462E-6</v>
      </c>
      <c r="BA48" s="97">
        <f t="shared" si="112"/>
        <v>7.9462177307873247E-6</v>
      </c>
      <c r="BB48" s="97">
        <f t="shared" si="112"/>
        <v>7.7103017588737741E-6</v>
      </c>
      <c r="BC48" s="98">
        <f t="shared" ref="BC48" si="113">IFERROR(1/SUM(BC49:BC62),0)</f>
        <v>1.6092883069216015</v>
      </c>
      <c r="BD48" s="98">
        <f t="shared" ref="BD48:CB48" si="114">IFERROR(1/SUM(BD49:BD62),0)</f>
        <v>6.6102403098257572</v>
      </c>
      <c r="BE48" s="98">
        <f t="shared" si="114"/>
        <v>4.2445312827519803</v>
      </c>
      <c r="BF48" s="98">
        <f t="shared" si="114"/>
        <v>5.5263770714421696</v>
      </c>
      <c r="BG48" s="98">
        <f t="shared" si="114"/>
        <v>6.6102403098257572</v>
      </c>
      <c r="BH48" s="98">
        <f t="shared" si="114"/>
        <v>6.3701615140126755</v>
      </c>
      <c r="BI48" s="98">
        <f t="shared" si="114"/>
        <v>4.2445312827519803</v>
      </c>
      <c r="BJ48" s="98">
        <f t="shared" si="114"/>
        <v>5.5263770714421696</v>
      </c>
      <c r="BK48" s="98">
        <f t="shared" si="114"/>
        <v>6.6102403098257572</v>
      </c>
      <c r="BL48" s="98">
        <f t="shared" si="114"/>
        <v>7.0048059213282645</v>
      </c>
      <c r="BM48" s="98">
        <f t="shared" si="114"/>
        <v>6.3701615140126755</v>
      </c>
      <c r="BN48" s="98">
        <f t="shared" si="114"/>
        <v>4.2445312827519803</v>
      </c>
      <c r="BO48" s="98">
        <f t="shared" si="114"/>
        <v>6.6985310432930811</v>
      </c>
      <c r="BP48" s="98">
        <f t="shared" si="114"/>
        <v>6.3701615140126755</v>
      </c>
      <c r="BQ48" s="98">
        <f t="shared" si="114"/>
        <v>5.5263770714421696</v>
      </c>
      <c r="BR48" s="98">
        <f t="shared" si="114"/>
        <v>6.6102403098257572</v>
      </c>
      <c r="BS48" s="98">
        <f t="shared" si="114"/>
        <v>6.6102403098257572</v>
      </c>
      <c r="BT48" s="98">
        <f t="shared" si="114"/>
        <v>6.6985310432930811</v>
      </c>
      <c r="BU48" s="98">
        <f t="shared" ref="BU48" si="115">IFERROR(1/SUM(BU49:BU62),0)</f>
        <v>6.3701615140126755</v>
      </c>
      <c r="BV48" s="98">
        <f t="shared" si="114"/>
        <v>6.7131348725662381</v>
      </c>
      <c r="BW48" s="98">
        <f t="shared" si="114"/>
        <v>6.3701615140126755</v>
      </c>
      <c r="BX48" s="98">
        <f t="shared" si="114"/>
        <v>6.6985310432930811</v>
      </c>
      <c r="BY48" s="98">
        <f t="shared" si="114"/>
        <v>6.6102403098257572</v>
      </c>
      <c r="BZ48" s="98">
        <f t="shared" si="114"/>
        <v>6.3701615140126755</v>
      </c>
      <c r="CA48" s="98">
        <f t="shared" si="114"/>
        <v>6.2923020569373556</v>
      </c>
      <c r="CB48" s="98">
        <f t="shared" si="114"/>
        <v>6.4848308415363611</v>
      </c>
      <c r="CC48" s="47">
        <f t="shared" si="2"/>
        <v>3.1069636395607968E-5</v>
      </c>
      <c r="CD48" s="97">
        <f t="shared" ref="CD48" si="116">IFERROR(IF(SUM(CD49:CD62)&gt;0.01,1-EXP(-(SUM(CD49:CD62))),SUM(CD49:CD62)),".")</f>
        <v>7.5640219284882245E-6</v>
      </c>
      <c r="CE48" s="97">
        <f t="shared" ref="CE48" si="117">IFERROR(IF(SUM(CE49:CE62)&gt;0.01,1-EXP(-(SUM(CE49:CE62))),SUM(CE49:CE62)),".")</f>
        <v>1.1779864514158608E-5</v>
      </c>
      <c r="CF48" s="97">
        <f t="shared" ref="CF48" si="118">IFERROR(IF(SUM(CF49:CF62)&gt;0.01,1-EXP(-(SUM(CF49:CF62))),SUM(CF49:CF62)),".")</f>
        <v>9.0475191495679357E-6</v>
      </c>
      <c r="CG48" s="97">
        <f t="shared" ref="CG48" si="119">IFERROR(IF(SUM(CG49:CG62)&gt;0.01,1-EXP(-(SUM(CG49:CG62))),SUM(CG49:CG62)),".")</f>
        <v>7.5640219284882245E-6</v>
      </c>
      <c r="CH48" s="97">
        <f t="shared" ref="CH48" si="120">IFERROR(IF(SUM(CH49:CH62)&gt;0.01,1-EXP(-(SUM(CH49:CH62))),SUM(CH49:CH62)),".")</f>
        <v>7.8490949774586462E-6</v>
      </c>
      <c r="CI48" s="97">
        <f t="shared" ref="CI48" si="121">IFERROR(IF(SUM(CI49:CI62)&gt;0.01,1-EXP(-(SUM(CI49:CI62))),SUM(CI49:CI62)),".")</f>
        <v>1.1779864514158608E-5</v>
      </c>
      <c r="CJ48" s="97">
        <f t="shared" ref="CJ48" si="122">IFERROR(IF(SUM(CJ49:CJ62)&gt;0.01,1-EXP(-(SUM(CJ49:CJ62))),SUM(CJ49:CJ62)),".")</f>
        <v>9.0475191495679357E-6</v>
      </c>
      <c r="CK48" s="97">
        <f t="shared" ref="CK48" si="123">IFERROR(IF(SUM(CK49:CK62)&gt;0.01,1-EXP(-(SUM(CK49:CK62))),SUM(CK49:CK62)),".")</f>
        <v>7.5640219284882245E-6</v>
      </c>
      <c r="CL48" s="97">
        <f t="shared" ref="CL48" si="124">IFERROR(IF(SUM(CL49:CL62)&gt;0.01,1-EXP(-(SUM(CL49:CL62))),SUM(CL49:CL62)),".")</f>
        <v>7.1379568566189544E-6</v>
      </c>
      <c r="CM48" s="97">
        <f t="shared" ref="CM48" si="125">IFERROR(IF(SUM(CM49:CM62)&gt;0.01,1-EXP(-(SUM(CM49:CM62))),SUM(CM49:CM62)),".")</f>
        <v>7.8490949774586462E-6</v>
      </c>
      <c r="CN48" s="97">
        <f t="shared" ref="CN48" si="126">IFERROR(IF(SUM(CN49:CN62)&gt;0.01,1-EXP(-(SUM(CN49:CN62))),SUM(CN49:CN62)),".")</f>
        <v>1.1779864514158608E-5</v>
      </c>
      <c r="CO48" s="97">
        <f t="shared" ref="CO48" si="127">IFERROR(IF(SUM(CO49:CO62)&gt;0.01,1-EXP(-(SUM(CO49:CO62))),SUM(CO49:CO62)),".")</f>
        <v>7.4643234740510685E-6</v>
      </c>
      <c r="CP48" s="97">
        <f t="shared" ref="CP48" si="128">IFERROR(IF(SUM(CP49:CP62)&gt;0.01,1-EXP(-(SUM(CP49:CP62))),SUM(CP49:CP62)),".")</f>
        <v>7.8490949774586462E-6</v>
      </c>
      <c r="CQ48" s="97">
        <f t="shared" ref="CQ48" si="129">IFERROR(IF(SUM(CQ49:CQ62)&gt;0.01,1-EXP(-(SUM(CQ49:CQ62))),SUM(CQ49:CQ62)),".")</f>
        <v>9.0475191495679357E-6</v>
      </c>
      <c r="CR48" s="97">
        <f t="shared" ref="CR48" si="130">IFERROR(IF(SUM(CR49:CR62)&gt;0.01,1-EXP(-(SUM(CR49:CR62))),SUM(CR49:CR62)),".")</f>
        <v>7.5640219284882245E-6</v>
      </c>
      <c r="CS48" s="97">
        <f t="shared" ref="CS48" si="131">IFERROR(IF(SUM(CS49:CS62)&gt;0.01,1-EXP(-(SUM(CS49:CS62))),SUM(CS49:CS62)),".")</f>
        <v>7.5640219284882245E-6</v>
      </c>
      <c r="CT48" s="97">
        <f t="shared" ref="CT48" si="132">IFERROR(IF(SUM(CT49:CT62)&gt;0.01,1-EXP(-(SUM(CT49:CT62))),SUM(CT49:CT62)),".")</f>
        <v>7.4643234740510685E-6</v>
      </c>
      <c r="CU48" s="97">
        <f t="shared" ref="CU48" si="133">IFERROR(IF(SUM(CU49:CU62)&gt;0.01,1-EXP(-(SUM(CU49:CU62))),SUM(CU49:CU62)),".")</f>
        <v>7.8490949774586462E-6</v>
      </c>
      <c r="CV48" s="97">
        <f t="shared" ref="CV48" si="134">IFERROR(IF(SUM(CV49:CV62)&gt;0.01,1-EXP(-(SUM(CV49:CV62))),SUM(CV49:CV62)),".")</f>
        <v>7.4480854792973317E-6</v>
      </c>
      <c r="CW48" s="97">
        <f t="shared" ref="CW48" si="135">IFERROR(IF(SUM(CW49:CW62)&gt;0.01,1-EXP(-(SUM(CW49:CW62))),SUM(CW49:CW62)),".")</f>
        <v>7.8490949774586462E-6</v>
      </c>
      <c r="CX48" s="97">
        <f t="shared" ref="CX48" si="136">IFERROR(IF(SUM(CX49:CX62)&gt;0.01,1-EXP(-(SUM(CX49:CX62))),SUM(CX49:CX62)),".")</f>
        <v>7.4643234740510685E-6</v>
      </c>
      <c r="CY48" s="97">
        <f t="shared" ref="CY48" si="137">IFERROR(IF(SUM(CY49:CY62)&gt;0.01,1-EXP(-(SUM(CY49:CY62))),SUM(CY49:CY62)),".")</f>
        <v>7.5640219284882245E-6</v>
      </c>
      <c r="CZ48" s="97">
        <f t="shared" ref="CZ48" si="138">IFERROR(IF(SUM(CZ49:CZ62)&gt;0.01,1-EXP(-(SUM(CZ49:CZ62))),SUM(CZ49:CZ62)),".")</f>
        <v>7.8490949774586462E-6</v>
      </c>
      <c r="DA48" s="97">
        <f t="shared" ref="DA48" si="139">IFERROR(IF(SUM(DA49:DA62)&gt;0.01,1-EXP(-(SUM(DA49:DA62))),SUM(DA49:DA62)),".")</f>
        <v>7.9462177307873247E-6</v>
      </c>
      <c r="DB48" s="97">
        <f t="shared" ref="DB48" si="140">IFERROR(IF(SUM(DB49:DB62)&gt;0.01,1-EXP(-(SUM(DB49:DB62))),SUM(DB49:DB62)),".")</f>
        <v>7.7103017588737741E-6</v>
      </c>
    </row>
    <row r="49" spans="1:106" x14ac:dyDescent="0.25">
      <c r="A49" s="99" t="s">
        <v>1100</v>
      </c>
      <c r="B49" s="90">
        <v>1</v>
      </c>
      <c r="C49" s="100">
        <f t="shared" ref="C49" si="141">IFERROR($B49/C23,0)</f>
        <v>8.6660256427892685E-2</v>
      </c>
      <c r="D49" s="100">
        <f t="shared" ref="D49:AB49" si="142">IFERROR($B49/D23,0)</f>
        <v>2.1288698158402113E-2</v>
      </c>
      <c r="E49" s="100">
        <f t="shared" si="142"/>
        <v>4.6328239706045347E-2</v>
      </c>
      <c r="F49" s="100">
        <f t="shared" si="142"/>
        <v>3.9836506712211922E-2</v>
      </c>
      <c r="G49" s="100">
        <f t="shared" si="142"/>
        <v>2.1288698158402113E-2</v>
      </c>
      <c r="H49" s="100">
        <f t="shared" si="142"/>
        <v>2.3452609156346588E-2</v>
      </c>
      <c r="I49" s="100">
        <f t="shared" si="142"/>
        <v>4.6328239706045347E-2</v>
      </c>
      <c r="J49" s="100">
        <f t="shared" si="142"/>
        <v>3.9836506712211922E-2</v>
      </c>
      <c r="K49" s="100">
        <f t="shared" si="142"/>
        <v>2.1288698158402113E-2</v>
      </c>
      <c r="L49" s="100">
        <f t="shared" si="142"/>
        <v>1.8939309074919537E-2</v>
      </c>
      <c r="M49" s="100">
        <f t="shared" si="142"/>
        <v>2.3452609156346588E-2</v>
      </c>
      <c r="N49" s="100">
        <f t="shared" si="142"/>
        <v>4.6328239706045347E-2</v>
      </c>
      <c r="O49" s="100">
        <f t="shared" si="142"/>
        <v>2.2525218728656097E-2</v>
      </c>
      <c r="P49" s="100">
        <f t="shared" si="142"/>
        <v>2.3452609156346588E-2</v>
      </c>
      <c r="Q49" s="100">
        <f t="shared" si="142"/>
        <v>3.9836506712211922E-2</v>
      </c>
      <c r="R49" s="100">
        <f t="shared" si="142"/>
        <v>2.1288698158402113E-2</v>
      </c>
      <c r="S49" s="100">
        <f t="shared" si="142"/>
        <v>2.1288698158402113E-2</v>
      </c>
      <c r="T49" s="100">
        <f t="shared" si="142"/>
        <v>2.2525218728656097E-2</v>
      </c>
      <c r="U49" s="100">
        <f t="shared" ref="U49" si="143">IFERROR($B49/U23,0)</f>
        <v>2.3452609156346588E-2</v>
      </c>
      <c r="V49" s="100">
        <f t="shared" si="142"/>
        <v>2.1597828300965613E-2</v>
      </c>
      <c r="W49" s="100">
        <f t="shared" si="142"/>
        <v>2.3452609156346588E-2</v>
      </c>
      <c r="X49" s="100">
        <f t="shared" si="142"/>
        <v>2.2525218728656097E-2</v>
      </c>
      <c r="Y49" s="100">
        <f t="shared" si="142"/>
        <v>2.1288698158402113E-2</v>
      </c>
      <c r="Z49" s="100">
        <f t="shared" si="142"/>
        <v>2.3452609156346588E-2</v>
      </c>
      <c r="AA49" s="100">
        <f t="shared" si="142"/>
        <v>1.846633995679739E-2</v>
      </c>
      <c r="AB49" s="100">
        <f t="shared" si="142"/>
        <v>2.3452609156346588E-2</v>
      </c>
      <c r="AC49" s="49">
        <f>SUM(AD49,AU49,BA49:BB49)</f>
        <v>4.333012821394634E-6</v>
      </c>
      <c r="AD49" s="101">
        <f>IFERROR(s_RadSpec!$H$23*(AD23/$B49),".")</f>
        <v>1.0644349079201057E-6</v>
      </c>
      <c r="AE49" s="101">
        <f>IFERROR(s_RadSpec!$H$23*(AE23/$B49),".")</f>
        <v>2.3164119853022672E-6</v>
      </c>
      <c r="AF49" s="101">
        <f>IFERROR(s_RadSpec!$H$23*(AF23/$B49),".")</f>
        <v>1.9918253356105958E-6</v>
      </c>
      <c r="AG49" s="101">
        <f>IFERROR(s_RadSpec!$H$23*(AG23/$B49),".")</f>
        <v>1.0644349079201057E-6</v>
      </c>
      <c r="AH49" s="101">
        <f>IFERROR(s_RadSpec!$H$23*(AH23/$B49),".")</f>
        <v>1.1726304578173295E-6</v>
      </c>
      <c r="AI49" s="101">
        <f>IFERROR(s_RadSpec!$H$23*(AI23/$B49),".")</f>
        <v>2.3164119853022672E-6</v>
      </c>
      <c r="AJ49" s="101">
        <f>IFERROR(s_RadSpec!$H$23*(AJ23/$B49),".")</f>
        <v>1.9918253356105958E-6</v>
      </c>
      <c r="AK49" s="101">
        <f>IFERROR(s_RadSpec!$H$23*(AK23/$B49),".")</f>
        <v>1.0644349079201057E-6</v>
      </c>
      <c r="AL49" s="101">
        <f>IFERROR(s_RadSpec!$H$23*(AL23/$B49),".")</f>
        <v>9.4696545374597677E-7</v>
      </c>
      <c r="AM49" s="101">
        <f>IFERROR(s_RadSpec!$H$23*(AM23/$B49),".")</f>
        <v>1.1726304578173295E-6</v>
      </c>
      <c r="AN49" s="101">
        <f>IFERROR(s_RadSpec!$H$23*(AN23/$B49),".")</f>
        <v>2.3164119853022672E-6</v>
      </c>
      <c r="AO49" s="101">
        <f>IFERROR(s_RadSpec!$H$23*(AO23/$B49),".")</f>
        <v>1.1262609364328049E-6</v>
      </c>
      <c r="AP49" s="101">
        <f>IFERROR(s_RadSpec!$H$23*(AP23/$B49),".")</f>
        <v>1.1726304578173295E-6</v>
      </c>
      <c r="AQ49" s="101">
        <f>IFERROR(s_RadSpec!$H$23*(AQ23/$B49),".")</f>
        <v>1.9918253356105958E-6</v>
      </c>
      <c r="AR49" s="101">
        <f>IFERROR(s_RadSpec!$H$23*(AR23/$B49),".")</f>
        <v>1.0644349079201057E-6</v>
      </c>
      <c r="AS49" s="101">
        <f>IFERROR(s_RadSpec!$H$23*(AS23/$B49),".")</f>
        <v>1.0644349079201057E-6</v>
      </c>
      <c r="AT49" s="101">
        <f>IFERROR(s_RadSpec!$H$23*(AT23/$B49),".")</f>
        <v>1.1262609364328049E-6</v>
      </c>
      <c r="AU49" s="101">
        <f>IFERROR(s_RadSpec!$H$23*(AU23/$B49),".")</f>
        <v>1.1726304578173295E-6</v>
      </c>
      <c r="AV49" s="101">
        <f>IFERROR(s_RadSpec!$H$23*(AV23/$B49),".")</f>
        <v>1.0798914150482804E-6</v>
      </c>
      <c r="AW49" s="101">
        <f>IFERROR(s_RadSpec!$H$23*(AW23/$B49),".")</f>
        <v>1.1726304578173295E-6</v>
      </c>
      <c r="AX49" s="101">
        <f>IFERROR(s_RadSpec!$H$23*(AX23/$B49),".")</f>
        <v>1.1262609364328049E-6</v>
      </c>
      <c r="AY49" s="101">
        <f>IFERROR(s_RadSpec!$H$23*(AY23/$B49),".")</f>
        <v>1.0644349079201057E-6</v>
      </c>
      <c r="AZ49" s="101">
        <f>IFERROR(s_RadSpec!$H$23*(AZ23/$B49),".")</f>
        <v>1.1726304578173295E-6</v>
      </c>
      <c r="BA49" s="101">
        <f>IFERROR(s_RadSpec!$H$23*(BA23/$B49),".")</f>
        <v>9.2331699783986932E-7</v>
      </c>
      <c r="BB49" s="101">
        <f>IFERROR(s_RadSpec!$H$23*(BB23/$B49),".")</f>
        <v>1.1726304578173295E-6</v>
      </c>
      <c r="BC49" s="100">
        <f t="shared" ref="BC49" si="144">IFERROR($B49/BC23,0)</f>
        <v>8.6660256427892685E-2</v>
      </c>
      <c r="BD49" s="100">
        <f t="shared" ref="BD49:CB49" si="145">IFERROR($B49/BD23,0)</f>
        <v>2.1288698158402113E-2</v>
      </c>
      <c r="BE49" s="100">
        <f t="shared" si="145"/>
        <v>4.6328239706045347E-2</v>
      </c>
      <c r="BF49" s="100">
        <f t="shared" si="145"/>
        <v>3.9836506712211922E-2</v>
      </c>
      <c r="BG49" s="100">
        <f t="shared" si="145"/>
        <v>2.1288698158402113E-2</v>
      </c>
      <c r="BH49" s="100">
        <f t="shared" si="145"/>
        <v>2.3452609156346588E-2</v>
      </c>
      <c r="BI49" s="100">
        <f t="shared" si="145"/>
        <v>4.6328239706045347E-2</v>
      </c>
      <c r="BJ49" s="100">
        <f t="shared" si="145"/>
        <v>3.9836506712211922E-2</v>
      </c>
      <c r="BK49" s="100">
        <f t="shared" si="145"/>
        <v>2.1288698158402113E-2</v>
      </c>
      <c r="BL49" s="100">
        <f t="shared" si="145"/>
        <v>1.8939309074919537E-2</v>
      </c>
      <c r="BM49" s="100">
        <f t="shared" si="145"/>
        <v>2.3452609156346588E-2</v>
      </c>
      <c r="BN49" s="100">
        <f t="shared" si="145"/>
        <v>4.6328239706045347E-2</v>
      </c>
      <c r="BO49" s="100">
        <f t="shared" si="145"/>
        <v>2.2525218728656097E-2</v>
      </c>
      <c r="BP49" s="100">
        <f t="shared" si="145"/>
        <v>2.3452609156346588E-2</v>
      </c>
      <c r="BQ49" s="100">
        <f t="shared" si="145"/>
        <v>3.9836506712211922E-2</v>
      </c>
      <c r="BR49" s="100">
        <f t="shared" si="145"/>
        <v>2.1288698158402113E-2</v>
      </c>
      <c r="BS49" s="100">
        <f t="shared" si="145"/>
        <v>2.1288698158402113E-2</v>
      </c>
      <c r="BT49" s="100">
        <f t="shared" si="145"/>
        <v>2.2525218728656097E-2</v>
      </c>
      <c r="BU49" s="100">
        <f t="shared" ref="BU49" si="146">IFERROR($B49/BU23,0)</f>
        <v>2.3452609156346588E-2</v>
      </c>
      <c r="BV49" s="100">
        <f t="shared" si="145"/>
        <v>2.1597828300965613E-2</v>
      </c>
      <c r="BW49" s="100">
        <f t="shared" si="145"/>
        <v>2.3452609156346588E-2</v>
      </c>
      <c r="BX49" s="100">
        <f t="shared" si="145"/>
        <v>2.2525218728656097E-2</v>
      </c>
      <c r="BY49" s="100">
        <f t="shared" si="145"/>
        <v>2.1288698158402113E-2</v>
      </c>
      <c r="BZ49" s="100">
        <f t="shared" si="145"/>
        <v>2.3452609156346588E-2</v>
      </c>
      <c r="CA49" s="100">
        <f t="shared" si="145"/>
        <v>1.846633995679739E-2</v>
      </c>
      <c r="CB49" s="100">
        <f t="shared" si="145"/>
        <v>2.3452609156346588E-2</v>
      </c>
      <c r="CC49" s="49">
        <f t="shared" si="2"/>
        <v>4.333012821394634E-6</v>
      </c>
      <c r="CD49" s="101">
        <f>IFERROR(s_RadSpec!$H$23*(CD23/$B49),".")</f>
        <v>1.0644349079201057E-6</v>
      </c>
      <c r="CE49" s="101">
        <f>IFERROR(s_RadSpec!$H$23*(CE23/$B49),".")</f>
        <v>2.3164119853022672E-6</v>
      </c>
      <c r="CF49" s="101">
        <f>IFERROR(s_RadSpec!$H$23*(CF23/$B49),".")</f>
        <v>1.9918253356105958E-6</v>
      </c>
      <c r="CG49" s="101">
        <f>IFERROR(s_RadSpec!$H$23*(CG23/$B49),".")</f>
        <v>1.0644349079201057E-6</v>
      </c>
      <c r="CH49" s="101">
        <f>IFERROR(s_RadSpec!$H$23*(CH23/$B49),".")</f>
        <v>1.1726304578173295E-6</v>
      </c>
      <c r="CI49" s="101">
        <f>IFERROR(s_RadSpec!$H$23*(CI23/$B49),".")</f>
        <v>2.3164119853022672E-6</v>
      </c>
      <c r="CJ49" s="101">
        <f>IFERROR(s_RadSpec!$H$23*(CJ23/$B49),".")</f>
        <v>1.9918253356105958E-6</v>
      </c>
      <c r="CK49" s="101">
        <f>IFERROR(s_RadSpec!$H$23*(CK23/$B49),".")</f>
        <v>1.0644349079201057E-6</v>
      </c>
      <c r="CL49" s="101">
        <f>IFERROR(s_RadSpec!$H$23*(CL23/$B49),".")</f>
        <v>9.4696545374597677E-7</v>
      </c>
      <c r="CM49" s="101">
        <f>IFERROR(s_RadSpec!$H$23*(CM23/$B49),".")</f>
        <v>1.1726304578173295E-6</v>
      </c>
      <c r="CN49" s="101">
        <f>IFERROR(s_RadSpec!$H$23*(CN23/$B49),".")</f>
        <v>2.3164119853022672E-6</v>
      </c>
      <c r="CO49" s="101">
        <f>IFERROR(s_RadSpec!$H$23*(CO23/$B49),".")</f>
        <v>1.1262609364328049E-6</v>
      </c>
      <c r="CP49" s="101">
        <f>IFERROR(s_RadSpec!$H$23*(CP23/$B49),".")</f>
        <v>1.1726304578173295E-6</v>
      </c>
      <c r="CQ49" s="101">
        <f>IFERROR(s_RadSpec!$H$23*(CQ23/$B49),".")</f>
        <v>1.9918253356105958E-6</v>
      </c>
      <c r="CR49" s="101">
        <f>IFERROR(s_RadSpec!$H$23*(CR23/$B49),".")</f>
        <v>1.0644349079201057E-6</v>
      </c>
      <c r="CS49" s="101">
        <f>IFERROR(s_RadSpec!$H$23*(CS23/$B49),".")</f>
        <v>1.0644349079201057E-6</v>
      </c>
      <c r="CT49" s="101">
        <f>IFERROR(s_RadSpec!$H$23*(CT23/$B49),".")</f>
        <v>1.1262609364328049E-6</v>
      </c>
      <c r="CU49" s="101">
        <f>IFERROR(s_RadSpec!$H$23*(CU23/$B49),".")</f>
        <v>1.1726304578173295E-6</v>
      </c>
      <c r="CV49" s="101">
        <f>IFERROR(s_RadSpec!$H$23*(CV23/$B49),".")</f>
        <v>1.0798914150482804E-6</v>
      </c>
      <c r="CW49" s="101">
        <f>IFERROR(s_RadSpec!$H$23*(CW23/$B49),".")</f>
        <v>1.1726304578173295E-6</v>
      </c>
      <c r="CX49" s="101">
        <f>IFERROR(s_RadSpec!$H$23*(CX23/$B49),".")</f>
        <v>1.1262609364328049E-6</v>
      </c>
      <c r="CY49" s="101">
        <f>IFERROR(s_RadSpec!$H$23*(CY23/$B49),".")</f>
        <v>1.0644349079201057E-6</v>
      </c>
      <c r="CZ49" s="101">
        <f>IFERROR(s_RadSpec!$H$23*(CZ23/$B49),".")</f>
        <v>1.1726304578173295E-6</v>
      </c>
      <c r="DA49" s="101">
        <f>IFERROR(s_RadSpec!$H$23*(DA23/$B49),".")</f>
        <v>9.2331699783986932E-7</v>
      </c>
      <c r="DB49" s="101">
        <f>IFERROR(s_RadSpec!$H$23*(DB23/$B49),".")</f>
        <v>1.1726304578173295E-6</v>
      </c>
    </row>
    <row r="50" spans="1:106" x14ac:dyDescent="0.25">
      <c r="A50" s="99" t="s">
        <v>1087</v>
      </c>
      <c r="B50" s="90">
        <v>1</v>
      </c>
      <c r="C50" s="100">
        <f t="shared" ref="C50" si="147">IFERROR($B50/C25,0)</f>
        <v>0</v>
      </c>
      <c r="D50" s="100">
        <f t="shared" ref="D50:AB50" si="148">IFERROR($B50/D25,0)</f>
        <v>0</v>
      </c>
      <c r="E50" s="100">
        <f t="shared" si="148"/>
        <v>0</v>
      </c>
      <c r="F50" s="100">
        <f t="shared" si="148"/>
        <v>0</v>
      </c>
      <c r="G50" s="100">
        <f t="shared" si="148"/>
        <v>0</v>
      </c>
      <c r="H50" s="100">
        <f t="shared" si="148"/>
        <v>0</v>
      </c>
      <c r="I50" s="100">
        <f t="shared" si="148"/>
        <v>0</v>
      </c>
      <c r="J50" s="100">
        <f t="shared" si="148"/>
        <v>0</v>
      </c>
      <c r="K50" s="100">
        <f t="shared" si="148"/>
        <v>0</v>
      </c>
      <c r="L50" s="100">
        <f t="shared" si="148"/>
        <v>0</v>
      </c>
      <c r="M50" s="100">
        <f t="shared" si="148"/>
        <v>0</v>
      </c>
      <c r="N50" s="100">
        <f t="shared" si="148"/>
        <v>0</v>
      </c>
      <c r="O50" s="100">
        <f t="shared" si="148"/>
        <v>0</v>
      </c>
      <c r="P50" s="100">
        <f t="shared" si="148"/>
        <v>0</v>
      </c>
      <c r="Q50" s="100">
        <f t="shared" si="148"/>
        <v>0</v>
      </c>
      <c r="R50" s="100">
        <f t="shared" si="148"/>
        <v>0</v>
      </c>
      <c r="S50" s="100">
        <f t="shared" si="148"/>
        <v>0</v>
      </c>
      <c r="T50" s="100">
        <f t="shared" si="148"/>
        <v>0</v>
      </c>
      <c r="U50" s="100">
        <f t="shared" ref="U50" si="149">IFERROR($B50/U25,0)</f>
        <v>0</v>
      </c>
      <c r="V50" s="100">
        <f t="shared" si="148"/>
        <v>0</v>
      </c>
      <c r="W50" s="100">
        <f t="shared" si="148"/>
        <v>0</v>
      </c>
      <c r="X50" s="100">
        <f t="shared" si="148"/>
        <v>0</v>
      </c>
      <c r="Y50" s="100">
        <f t="shared" si="148"/>
        <v>0</v>
      </c>
      <c r="Z50" s="100">
        <f t="shared" si="148"/>
        <v>0</v>
      </c>
      <c r="AA50" s="100">
        <f t="shared" si="148"/>
        <v>0</v>
      </c>
      <c r="AB50" s="100">
        <f t="shared" si="148"/>
        <v>0</v>
      </c>
      <c r="AC50" s="49">
        <f t="shared" si="5"/>
        <v>0</v>
      </c>
      <c r="AD50" s="101">
        <f>IFERROR(s_RadSpec!$H$25*(AD25/$B50),".")</f>
        <v>0</v>
      </c>
      <c r="AE50" s="101">
        <f>IFERROR(s_RadSpec!$H$25*(AE25/$B50),".")</f>
        <v>0</v>
      </c>
      <c r="AF50" s="101">
        <f>IFERROR(s_RadSpec!$H$25*(AF25/$B50),".")</f>
        <v>0</v>
      </c>
      <c r="AG50" s="101">
        <f>IFERROR(s_RadSpec!$H$25*(AG25/$B50),".")</f>
        <v>0</v>
      </c>
      <c r="AH50" s="101">
        <f>IFERROR(s_RadSpec!$H$25*(AH25/$B50),".")</f>
        <v>0</v>
      </c>
      <c r="AI50" s="101">
        <f>IFERROR(s_RadSpec!$H$25*(AI25/$B50),".")</f>
        <v>0</v>
      </c>
      <c r="AJ50" s="101">
        <f>IFERROR(s_RadSpec!$H$25*(AJ25/$B50),".")</f>
        <v>0</v>
      </c>
      <c r="AK50" s="101">
        <f>IFERROR(s_RadSpec!$H$25*(AK25/$B50),".")</f>
        <v>0</v>
      </c>
      <c r="AL50" s="101">
        <f>IFERROR(s_RadSpec!$H$25*(AL25/$B50),".")</f>
        <v>0</v>
      </c>
      <c r="AM50" s="101">
        <f>IFERROR(s_RadSpec!$H$25*(AM25/$B50),".")</f>
        <v>0</v>
      </c>
      <c r="AN50" s="101">
        <f>IFERROR(s_RadSpec!$H$25*(AN25/$B50),".")</f>
        <v>0</v>
      </c>
      <c r="AO50" s="101">
        <f>IFERROR(s_RadSpec!$H$25*(AO25/$B50),".")</f>
        <v>0</v>
      </c>
      <c r="AP50" s="101">
        <f>IFERROR(s_RadSpec!$H$25*(AP25/$B50),".")</f>
        <v>0</v>
      </c>
      <c r="AQ50" s="101">
        <f>IFERROR(s_RadSpec!$H$25*(AQ25/$B50),".")</f>
        <v>0</v>
      </c>
      <c r="AR50" s="101">
        <f>IFERROR(s_RadSpec!$H$25*(AR25/$B50),".")</f>
        <v>0</v>
      </c>
      <c r="AS50" s="101">
        <f>IFERROR(s_RadSpec!$H$25*(AS25/$B50),".")</f>
        <v>0</v>
      </c>
      <c r="AT50" s="101">
        <f>IFERROR(s_RadSpec!$H$25*(AT25/$B50),".")</f>
        <v>0</v>
      </c>
      <c r="AU50" s="101">
        <f>IFERROR(s_RadSpec!$H$25*(AU25/$B50),".")</f>
        <v>0</v>
      </c>
      <c r="AV50" s="101">
        <f>IFERROR(s_RadSpec!$H$25*(AV25/$B50),".")</f>
        <v>0</v>
      </c>
      <c r="AW50" s="101">
        <f>IFERROR(s_RadSpec!$H$25*(AW25/$B50),".")</f>
        <v>0</v>
      </c>
      <c r="AX50" s="101">
        <f>IFERROR(s_RadSpec!$H$25*(AX25/$B50),".")</f>
        <v>0</v>
      </c>
      <c r="AY50" s="101">
        <f>IFERROR(s_RadSpec!$H$25*(AY25/$B50),".")</f>
        <v>0</v>
      </c>
      <c r="AZ50" s="101">
        <f>IFERROR(s_RadSpec!$H$25*(AZ25/$B50),".")</f>
        <v>0</v>
      </c>
      <c r="BA50" s="101">
        <f>IFERROR(s_RadSpec!$H$25*(BA25/$B50),".")</f>
        <v>0</v>
      </c>
      <c r="BB50" s="101">
        <f>IFERROR(s_RadSpec!$H$25*(BB25/$B50),".")</f>
        <v>0</v>
      </c>
      <c r="BC50" s="100">
        <f t="shared" ref="BC50" si="150">IFERROR($B50/BC25,0)</f>
        <v>0</v>
      </c>
      <c r="BD50" s="100">
        <f t="shared" ref="BD50:CB50" si="151">IFERROR($B50/BD25,0)</f>
        <v>0</v>
      </c>
      <c r="BE50" s="100">
        <f t="shared" si="151"/>
        <v>0</v>
      </c>
      <c r="BF50" s="100">
        <f t="shared" si="151"/>
        <v>0</v>
      </c>
      <c r="BG50" s="100">
        <f t="shared" si="151"/>
        <v>0</v>
      </c>
      <c r="BH50" s="100">
        <f t="shared" si="151"/>
        <v>0</v>
      </c>
      <c r="BI50" s="100">
        <f t="shared" si="151"/>
        <v>0</v>
      </c>
      <c r="BJ50" s="100">
        <f t="shared" si="151"/>
        <v>0</v>
      </c>
      <c r="BK50" s="100">
        <f t="shared" si="151"/>
        <v>0</v>
      </c>
      <c r="BL50" s="100">
        <f t="shared" si="151"/>
        <v>0</v>
      </c>
      <c r="BM50" s="100">
        <f t="shared" si="151"/>
        <v>0</v>
      </c>
      <c r="BN50" s="100">
        <f t="shared" si="151"/>
        <v>0</v>
      </c>
      <c r="BO50" s="100">
        <f t="shared" si="151"/>
        <v>0</v>
      </c>
      <c r="BP50" s="100">
        <f t="shared" si="151"/>
        <v>0</v>
      </c>
      <c r="BQ50" s="100">
        <f t="shared" si="151"/>
        <v>0</v>
      </c>
      <c r="BR50" s="100">
        <f t="shared" si="151"/>
        <v>0</v>
      </c>
      <c r="BS50" s="100">
        <f t="shared" si="151"/>
        <v>0</v>
      </c>
      <c r="BT50" s="100">
        <f t="shared" si="151"/>
        <v>0</v>
      </c>
      <c r="BU50" s="100">
        <f t="shared" ref="BU50" si="152">IFERROR($B50/BU25,0)</f>
        <v>0</v>
      </c>
      <c r="BV50" s="100">
        <f t="shared" si="151"/>
        <v>0</v>
      </c>
      <c r="BW50" s="100">
        <f t="shared" si="151"/>
        <v>0</v>
      </c>
      <c r="BX50" s="100">
        <f t="shared" si="151"/>
        <v>0</v>
      </c>
      <c r="BY50" s="100">
        <f t="shared" si="151"/>
        <v>0</v>
      </c>
      <c r="BZ50" s="100">
        <f t="shared" si="151"/>
        <v>0</v>
      </c>
      <c r="CA50" s="100">
        <f t="shared" si="151"/>
        <v>0</v>
      </c>
      <c r="CB50" s="100">
        <f t="shared" si="151"/>
        <v>0</v>
      </c>
      <c r="CC50" s="49">
        <f t="shared" si="2"/>
        <v>0</v>
      </c>
      <c r="CD50" s="101">
        <f>IFERROR(s_RadSpec!$H$25*(CD25/$B50),".")</f>
        <v>0</v>
      </c>
      <c r="CE50" s="101">
        <f>IFERROR(s_RadSpec!$H$25*(CE25/$B50),".")</f>
        <v>0</v>
      </c>
      <c r="CF50" s="101">
        <f>IFERROR(s_RadSpec!$H$25*(CF25/$B50),".")</f>
        <v>0</v>
      </c>
      <c r="CG50" s="101">
        <f>IFERROR(s_RadSpec!$H$25*(CG25/$B50),".")</f>
        <v>0</v>
      </c>
      <c r="CH50" s="101">
        <f>IFERROR(s_RadSpec!$H$25*(CH25/$B50),".")</f>
        <v>0</v>
      </c>
      <c r="CI50" s="101">
        <f>IFERROR(s_RadSpec!$H$25*(CI25/$B50),".")</f>
        <v>0</v>
      </c>
      <c r="CJ50" s="101">
        <f>IFERROR(s_RadSpec!$H$25*(CJ25/$B50),".")</f>
        <v>0</v>
      </c>
      <c r="CK50" s="101">
        <f>IFERROR(s_RadSpec!$H$25*(CK25/$B50),".")</f>
        <v>0</v>
      </c>
      <c r="CL50" s="101">
        <f>IFERROR(s_RadSpec!$H$25*(CL25/$B50),".")</f>
        <v>0</v>
      </c>
      <c r="CM50" s="101">
        <f>IFERROR(s_RadSpec!$H$25*(CM25/$B50),".")</f>
        <v>0</v>
      </c>
      <c r="CN50" s="101">
        <f>IFERROR(s_RadSpec!$H$25*(CN25/$B50),".")</f>
        <v>0</v>
      </c>
      <c r="CO50" s="101">
        <f>IFERROR(s_RadSpec!$H$25*(CO25/$B50),".")</f>
        <v>0</v>
      </c>
      <c r="CP50" s="101">
        <f>IFERROR(s_RadSpec!$H$25*(CP25/$B50),".")</f>
        <v>0</v>
      </c>
      <c r="CQ50" s="101">
        <f>IFERROR(s_RadSpec!$H$25*(CQ25/$B50),".")</f>
        <v>0</v>
      </c>
      <c r="CR50" s="101">
        <f>IFERROR(s_RadSpec!$H$25*(CR25/$B50),".")</f>
        <v>0</v>
      </c>
      <c r="CS50" s="101">
        <f>IFERROR(s_RadSpec!$H$25*(CS25/$B50),".")</f>
        <v>0</v>
      </c>
      <c r="CT50" s="101">
        <f>IFERROR(s_RadSpec!$H$25*(CT25/$B50),".")</f>
        <v>0</v>
      </c>
      <c r="CU50" s="101">
        <f>IFERROR(s_RadSpec!$H$25*(CU25/$B50),".")</f>
        <v>0</v>
      </c>
      <c r="CV50" s="101">
        <f>IFERROR(s_RadSpec!$H$25*(CV25/$B50),".")</f>
        <v>0</v>
      </c>
      <c r="CW50" s="101">
        <f>IFERROR(s_RadSpec!$H$25*(CW25/$B50),".")</f>
        <v>0</v>
      </c>
      <c r="CX50" s="101">
        <f>IFERROR(s_RadSpec!$H$25*(CX25/$B50),".")</f>
        <v>0</v>
      </c>
      <c r="CY50" s="101">
        <f>IFERROR(s_RadSpec!$H$25*(CY25/$B50),".")</f>
        <v>0</v>
      </c>
      <c r="CZ50" s="101">
        <f>IFERROR(s_RadSpec!$H$25*(CZ25/$B50),".")</f>
        <v>0</v>
      </c>
      <c r="DA50" s="101">
        <f>IFERROR(s_RadSpec!$H$25*(DA25/$B50),".")</f>
        <v>0</v>
      </c>
      <c r="DB50" s="101">
        <f>IFERROR(s_RadSpec!$H$25*(DB25/$B50),".")</f>
        <v>0</v>
      </c>
    </row>
    <row r="51" spans="1:106" x14ac:dyDescent="0.25">
      <c r="A51" s="99" t="s">
        <v>1073</v>
      </c>
      <c r="B51" s="90">
        <v>1</v>
      </c>
      <c r="C51" s="100">
        <f t="shared" ref="C51" si="153">IFERROR($B51/C21,0)</f>
        <v>0</v>
      </c>
      <c r="D51" s="100">
        <f t="shared" ref="D51:AB51" si="154">IFERROR($B51/D21,0)</f>
        <v>0</v>
      </c>
      <c r="E51" s="100">
        <f t="shared" si="154"/>
        <v>0</v>
      </c>
      <c r="F51" s="100">
        <f t="shared" si="154"/>
        <v>0</v>
      </c>
      <c r="G51" s="100">
        <f t="shared" si="154"/>
        <v>0</v>
      </c>
      <c r="H51" s="100">
        <f t="shared" si="154"/>
        <v>0</v>
      </c>
      <c r="I51" s="100">
        <f t="shared" si="154"/>
        <v>0</v>
      </c>
      <c r="J51" s="100">
        <f t="shared" si="154"/>
        <v>0</v>
      </c>
      <c r="K51" s="100">
        <f t="shared" si="154"/>
        <v>0</v>
      </c>
      <c r="L51" s="100">
        <f t="shared" si="154"/>
        <v>0</v>
      </c>
      <c r="M51" s="100">
        <f t="shared" si="154"/>
        <v>0</v>
      </c>
      <c r="N51" s="100">
        <f t="shared" si="154"/>
        <v>0</v>
      </c>
      <c r="O51" s="100">
        <f t="shared" si="154"/>
        <v>0</v>
      </c>
      <c r="P51" s="100">
        <f t="shared" si="154"/>
        <v>0</v>
      </c>
      <c r="Q51" s="100">
        <f t="shared" si="154"/>
        <v>0</v>
      </c>
      <c r="R51" s="100">
        <f t="shared" si="154"/>
        <v>0</v>
      </c>
      <c r="S51" s="100">
        <f t="shared" si="154"/>
        <v>0</v>
      </c>
      <c r="T51" s="100">
        <f t="shared" si="154"/>
        <v>0</v>
      </c>
      <c r="U51" s="100">
        <f t="shared" ref="U51" si="155">IFERROR($B51/U21,0)</f>
        <v>0</v>
      </c>
      <c r="V51" s="100">
        <f t="shared" si="154"/>
        <v>0</v>
      </c>
      <c r="W51" s="100">
        <f t="shared" si="154"/>
        <v>0</v>
      </c>
      <c r="X51" s="100">
        <f t="shared" si="154"/>
        <v>0</v>
      </c>
      <c r="Y51" s="100">
        <f t="shared" si="154"/>
        <v>0</v>
      </c>
      <c r="Z51" s="100">
        <f t="shared" si="154"/>
        <v>0</v>
      </c>
      <c r="AA51" s="100">
        <f t="shared" si="154"/>
        <v>0</v>
      </c>
      <c r="AB51" s="100">
        <f t="shared" si="154"/>
        <v>0</v>
      </c>
      <c r="AC51" s="49">
        <f t="shared" si="5"/>
        <v>0</v>
      </c>
      <c r="AD51" s="101">
        <f>IFERROR(s_RadSpec!$H$21*(AD21/$B51),".")</f>
        <v>0</v>
      </c>
      <c r="AE51" s="101">
        <f>IFERROR(s_RadSpec!$H$21*(AE21/$B51),".")</f>
        <v>0</v>
      </c>
      <c r="AF51" s="101">
        <f>IFERROR(s_RadSpec!$H$21*(AF21/$B51),".")</f>
        <v>0</v>
      </c>
      <c r="AG51" s="101">
        <f>IFERROR(s_RadSpec!$H$21*(AG21/$B51),".")</f>
        <v>0</v>
      </c>
      <c r="AH51" s="101">
        <f>IFERROR(s_RadSpec!$H$21*(AH21/$B51),".")</f>
        <v>0</v>
      </c>
      <c r="AI51" s="101">
        <f>IFERROR(s_RadSpec!$H$21*(AI21/$B51),".")</f>
        <v>0</v>
      </c>
      <c r="AJ51" s="101">
        <f>IFERROR(s_RadSpec!$H$21*(AJ21/$B51),".")</f>
        <v>0</v>
      </c>
      <c r="AK51" s="101">
        <f>IFERROR(s_RadSpec!$H$21*(AK21/$B51),".")</f>
        <v>0</v>
      </c>
      <c r="AL51" s="101">
        <f>IFERROR(s_RadSpec!$H$21*(AL21/$B51),".")</f>
        <v>0</v>
      </c>
      <c r="AM51" s="101">
        <f>IFERROR(s_RadSpec!$H$21*(AM21/$B51),".")</f>
        <v>0</v>
      </c>
      <c r="AN51" s="101">
        <f>IFERROR(s_RadSpec!$H$21*(AN21/$B51),".")</f>
        <v>0</v>
      </c>
      <c r="AO51" s="101">
        <f>IFERROR(s_RadSpec!$H$21*(AO21/$B51),".")</f>
        <v>0</v>
      </c>
      <c r="AP51" s="101">
        <f>IFERROR(s_RadSpec!$H$21*(AP21/$B51),".")</f>
        <v>0</v>
      </c>
      <c r="AQ51" s="101">
        <f>IFERROR(s_RadSpec!$H$21*(AQ21/$B51),".")</f>
        <v>0</v>
      </c>
      <c r="AR51" s="101">
        <f>IFERROR(s_RadSpec!$H$21*(AR21/$B51),".")</f>
        <v>0</v>
      </c>
      <c r="AS51" s="101">
        <f>IFERROR(s_RadSpec!$H$21*(AS21/$B51),".")</f>
        <v>0</v>
      </c>
      <c r="AT51" s="101">
        <f>IFERROR(s_RadSpec!$H$21*(AT21/$B51),".")</f>
        <v>0</v>
      </c>
      <c r="AU51" s="101">
        <f>IFERROR(s_RadSpec!$H$21*(AU21/$B51),".")</f>
        <v>0</v>
      </c>
      <c r="AV51" s="101">
        <f>IFERROR(s_RadSpec!$H$21*(AV21/$B51),".")</f>
        <v>0</v>
      </c>
      <c r="AW51" s="101">
        <f>IFERROR(s_RadSpec!$H$21*(AW21/$B51),".")</f>
        <v>0</v>
      </c>
      <c r="AX51" s="101">
        <f>IFERROR(s_RadSpec!$H$21*(AX21/$B51),".")</f>
        <v>0</v>
      </c>
      <c r="AY51" s="101">
        <f>IFERROR(s_RadSpec!$H$21*(AY21/$B51),".")</f>
        <v>0</v>
      </c>
      <c r="AZ51" s="101">
        <f>IFERROR(s_RadSpec!$H$21*(AZ21/$B51),".")</f>
        <v>0</v>
      </c>
      <c r="BA51" s="101">
        <f>IFERROR(s_RadSpec!$H$21*(BA21/$B51),".")</f>
        <v>0</v>
      </c>
      <c r="BB51" s="101">
        <f>IFERROR(s_RadSpec!$H$21*(BB21/$B51),".")</f>
        <v>0</v>
      </c>
      <c r="BC51" s="100">
        <f t="shared" ref="BC51" si="156">IFERROR($B51/BC21,0)</f>
        <v>0</v>
      </c>
      <c r="BD51" s="100">
        <f t="shared" ref="BD51:CB51" si="157">IFERROR($B51/BD21,0)</f>
        <v>0</v>
      </c>
      <c r="BE51" s="100">
        <f t="shared" si="157"/>
        <v>0</v>
      </c>
      <c r="BF51" s="100">
        <f t="shared" si="157"/>
        <v>0</v>
      </c>
      <c r="BG51" s="100">
        <f t="shared" si="157"/>
        <v>0</v>
      </c>
      <c r="BH51" s="100">
        <f t="shared" si="157"/>
        <v>0</v>
      </c>
      <c r="BI51" s="100">
        <f t="shared" si="157"/>
        <v>0</v>
      </c>
      <c r="BJ51" s="100">
        <f t="shared" si="157"/>
        <v>0</v>
      </c>
      <c r="BK51" s="100">
        <f t="shared" si="157"/>
        <v>0</v>
      </c>
      <c r="BL51" s="100">
        <f t="shared" si="157"/>
        <v>0</v>
      </c>
      <c r="BM51" s="100">
        <f t="shared" si="157"/>
        <v>0</v>
      </c>
      <c r="BN51" s="100">
        <f t="shared" si="157"/>
        <v>0</v>
      </c>
      <c r="BO51" s="100">
        <f t="shared" si="157"/>
        <v>0</v>
      </c>
      <c r="BP51" s="100">
        <f t="shared" si="157"/>
        <v>0</v>
      </c>
      <c r="BQ51" s="100">
        <f t="shared" si="157"/>
        <v>0</v>
      </c>
      <c r="BR51" s="100">
        <f t="shared" si="157"/>
        <v>0</v>
      </c>
      <c r="BS51" s="100">
        <f t="shared" si="157"/>
        <v>0</v>
      </c>
      <c r="BT51" s="100">
        <f t="shared" si="157"/>
        <v>0</v>
      </c>
      <c r="BU51" s="100">
        <f t="shared" ref="BU51" si="158">IFERROR($B51/BU21,0)</f>
        <v>0</v>
      </c>
      <c r="BV51" s="100">
        <f t="shared" si="157"/>
        <v>0</v>
      </c>
      <c r="BW51" s="100">
        <f t="shared" si="157"/>
        <v>0</v>
      </c>
      <c r="BX51" s="100">
        <f t="shared" si="157"/>
        <v>0</v>
      </c>
      <c r="BY51" s="100">
        <f t="shared" si="157"/>
        <v>0</v>
      </c>
      <c r="BZ51" s="100">
        <f t="shared" si="157"/>
        <v>0</v>
      </c>
      <c r="CA51" s="100">
        <f t="shared" si="157"/>
        <v>0</v>
      </c>
      <c r="CB51" s="100">
        <f t="shared" si="157"/>
        <v>0</v>
      </c>
      <c r="CC51" s="49">
        <f t="shared" si="2"/>
        <v>0</v>
      </c>
      <c r="CD51" s="101">
        <f>IFERROR(s_RadSpec!$H$21*(CD21/$B51),".")</f>
        <v>0</v>
      </c>
      <c r="CE51" s="101">
        <f>IFERROR(s_RadSpec!$H$21*(CE21/$B51),".")</f>
        <v>0</v>
      </c>
      <c r="CF51" s="101">
        <f>IFERROR(s_RadSpec!$H$21*(CF21/$B51),".")</f>
        <v>0</v>
      </c>
      <c r="CG51" s="101">
        <f>IFERROR(s_RadSpec!$H$21*(CG21/$B51),".")</f>
        <v>0</v>
      </c>
      <c r="CH51" s="101">
        <f>IFERROR(s_RadSpec!$H$21*(CH21/$B51),".")</f>
        <v>0</v>
      </c>
      <c r="CI51" s="101">
        <f>IFERROR(s_RadSpec!$H$21*(CI21/$B51),".")</f>
        <v>0</v>
      </c>
      <c r="CJ51" s="101">
        <f>IFERROR(s_RadSpec!$H$21*(CJ21/$B51),".")</f>
        <v>0</v>
      </c>
      <c r="CK51" s="101">
        <f>IFERROR(s_RadSpec!$H$21*(CK21/$B51),".")</f>
        <v>0</v>
      </c>
      <c r="CL51" s="101">
        <f>IFERROR(s_RadSpec!$H$21*(CL21/$B51),".")</f>
        <v>0</v>
      </c>
      <c r="CM51" s="101">
        <f>IFERROR(s_RadSpec!$H$21*(CM21/$B51),".")</f>
        <v>0</v>
      </c>
      <c r="CN51" s="101">
        <f>IFERROR(s_RadSpec!$H$21*(CN21/$B51),".")</f>
        <v>0</v>
      </c>
      <c r="CO51" s="101">
        <f>IFERROR(s_RadSpec!$H$21*(CO21/$B51),".")</f>
        <v>0</v>
      </c>
      <c r="CP51" s="101">
        <f>IFERROR(s_RadSpec!$H$21*(CP21/$B51),".")</f>
        <v>0</v>
      </c>
      <c r="CQ51" s="101">
        <f>IFERROR(s_RadSpec!$H$21*(CQ21/$B51),".")</f>
        <v>0</v>
      </c>
      <c r="CR51" s="101">
        <f>IFERROR(s_RadSpec!$H$21*(CR21/$B51),".")</f>
        <v>0</v>
      </c>
      <c r="CS51" s="101">
        <f>IFERROR(s_RadSpec!$H$21*(CS21/$B51),".")</f>
        <v>0</v>
      </c>
      <c r="CT51" s="101">
        <f>IFERROR(s_RadSpec!$H$21*(CT21/$B51),".")</f>
        <v>0</v>
      </c>
      <c r="CU51" s="101">
        <f>IFERROR(s_RadSpec!$H$21*(CU21/$B51),".")</f>
        <v>0</v>
      </c>
      <c r="CV51" s="101">
        <f>IFERROR(s_RadSpec!$H$21*(CV21/$B51),".")</f>
        <v>0</v>
      </c>
      <c r="CW51" s="101">
        <f>IFERROR(s_RadSpec!$H$21*(CW21/$B51),".")</f>
        <v>0</v>
      </c>
      <c r="CX51" s="101">
        <f>IFERROR(s_RadSpec!$H$21*(CX21/$B51),".")</f>
        <v>0</v>
      </c>
      <c r="CY51" s="101">
        <f>IFERROR(s_RadSpec!$H$21*(CY21/$B51),".")</f>
        <v>0</v>
      </c>
      <c r="CZ51" s="101">
        <f>IFERROR(s_RadSpec!$H$21*(CZ21/$B51),".")</f>
        <v>0</v>
      </c>
      <c r="DA51" s="101">
        <f>IFERROR(s_RadSpec!$H$21*(DA21/$B51),".")</f>
        <v>0</v>
      </c>
      <c r="DB51" s="101">
        <f>IFERROR(s_RadSpec!$H$21*(DB21/$B51),".")</f>
        <v>0</v>
      </c>
    </row>
    <row r="52" spans="1:106" x14ac:dyDescent="0.25">
      <c r="A52" s="99" t="s">
        <v>1074</v>
      </c>
      <c r="B52" s="103">
        <v>0.99980000000000002</v>
      </c>
      <c r="C52" s="100">
        <f t="shared" ref="C52" si="159">IFERROR($B52/C17,0)</f>
        <v>7.9157097028176537E-5</v>
      </c>
      <c r="D52" s="100">
        <f t="shared" ref="D52:AB52" si="160">IFERROR($B52/D17,0)</f>
        <v>2.0059436653661341E-5</v>
      </c>
      <c r="E52" s="100">
        <f t="shared" si="160"/>
        <v>4.0449051492695909E-5</v>
      </c>
      <c r="F52" s="100">
        <f t="shared" si="160"/>
        <v>2.1515837713592382E-5</v>
      </c>
      <c r="G52" s="100">
        <f t="shared" si="160"/>
        <v>2.0059436653661341E-5</v>
      </c>
      <c r="H52" s="100">
        <f t="shared" si="160"/>
        <v>2.1515837713592382E-5</v>
      </c>
      <c r="I52" s="100">
        <f t="shared" si="160"/>
        <v>4.0449051492695909E-5</v>
      </c>
      <c r="J52" s="100">
        <f t="shared" si="160"/>
        <v>2.1515837713592382E-5</v>
      </c>
      <c r="K52" s="100">
        <f t="shared" si="160"/>
        <v>2.0059436653661341E-5</v>
      </c>
      <c r="L52" s="100">
        <f t="shared" si="160"/>
        <v>1.7496170788182712E-5</v>
      </c>
      <c r="M52" s="100">
        <f t="shared" si="160"/>
        <v>2.1515837713592382E-5</v>
      </c>
      <c r="N52" s="100">
        <f t="shared" si="160"/>
        <v>4.0449051492695909E-5</v>
      </c>
      <c r="O52" s="100">
        <f t="shared" si="160"/>
        <v>1.8690419657326161E-5</v>
      </c>
      <c r="P52" s="100">
        <f t="shared" si="160"/>
        <v>2.1515837713592382E-5</v>
      </c>
      <c r="Q52" s="100">
        <f t="shared" si="160"/>
        <v>2.1515837713592382E-5</v>
      </c>
      <c r="R52" s="100">
        <f t="shared" si="160"/>
        <v>2.0059436653661341E-5</v>
      </c>
      <c r="S52" s="100">
        <f t="shared" si="160"/>
        <v>2.0059436653661341E-5</v>
      </c>
      <c r="T52" s="100">
        <f t="shared" si="160"/>
        <v>1.8690419657326161E-5</v>
      </c>
      <c r="U52" s="100">
        <f t="shared" ref="U52" si="161">IFERROR($B52/U17,0)</f>
        <v>2.1515837713592382E-5</v>
      </c>
      <c r="V52" s="100">
        <f t="shared" si="160"/>
        <v>1.7583554851778574E-5</v>
      </c>
      <c r="W52" s="100">
        <f t="shared" si="160"/>
        <v>2.1515837713592382E-5</v>
      </c>
      <c r="X52" s="100">
        <f t="shared" si="160"/>
        <v>1.8690419657326161E-5</v>
      </c>
      <c r="Y52" s="100">
        <f t="shared" si="160"/>
        <v>2.0059436653661341E-5</v>
      </c>
      <c r="Z52" s="100">
        <f t="shared" si="160"/>
        <v>2.1515837713592382E-5</v>
      </c>
      <c r="AA52" s="100">
        <f t="shared" si="160"/>
        <v>1.7231105795275262E-5</v>
      </c>
      <c r="AB52" s="100">
        <f t="shared" si="160"/>
        <v>2.0350716865647552E-5</v>
      </c>
      <c r="AC52" s="49">
        <f t="shared" si="5"/>
        <v>3.9594384684186562E-9</v>
      </c>
      <c r="AD52" s="101">
        <f>IFERROR(s_RadSpec!$H$17*(AD17/$B52),".")</f>
        <v>1.0033731418048636E-9</v>
      </c>
      <c r="AE52" s="101">
        <f>IFERROR(s_RadSpec!$H$17*(AE17/$B52),".")</f>
        <v>2.0232617984236928E-9</v>
      </c>
      <c r="AF52" s="101">
        <f>IFERROR(s_RadSpec!$H$17*(AF17/$B52),".")</f>
        <v>1.0762223315633514E-9</v>
      </c>
      <c r="AG52" s="101">
        <f>IFERROR(s_RadSpec!$H$17*(AG17/$B52),".")</f>
        <v>1.0033731418048636E-9</v>
      </c>
      <c r="AH52" s="101">
        <f>IFERROR(s_RadSpec!$H$17*(AH17/$B52),".")</f>
        <v>1.0762223315633514E-9</v>
      </c>
      <c r="AI52" s="101">
        <f>IFERROR(s_RadSpec!$H$17*(AI17/$B52),".")</f>
        <v>2.0232617984236928E-9</v>
      </c>
      <c r="AJ52" s="101">
        <f>IFERROR(s_RadSpec!$H$17*(AJ17/$B52),".")</f>
        <v>1.0762223315633514E-9</v>
      </c>
      <c r="AK52" s="101">
        <f>IFERROR(s_RadSpec!$H$17*(AK17/$B52),".")</f>
        <v>1.0033731418048636E-9</v>
      </c>
      <c r="AL52" s="101">
        <f>IFERROR(s_RadSpec!$H$17*(AL17/$B52),".")</f>
        <v>8.75158567829925E-10</v>
      </c>
      <c r="AM52" s="101">
        <f>IFERROR(s_RadSpec!$H$17*(AM17/$B52),".")</f>
        <v>1.0762223315633514E-9</v>
      </c>
      <c r="AN52" s="101">
        <f>IFERROR(s_RadSpec!$H$17*(AN17/$B52),".")</f>
        <v>2.0232617984236928E-9</v>
      </c>
      <c r="AO52" s="101">
        <f>IFERROR(s_RadSpec!$H$17*(AO17/$B52),".")</f>
        <v>9.3489490343188486E-10</v>
      </c>
      <c r="AP52" s="101">
        <f>IFERROR(s_RadSpec!$H$17*(AP17/$B52),".")</f>
        <v>1.0762223315633514E-9</v>
      </c>
      <c r="AQ52" s="101">
        <f>IFERROR(s_RadSpec!$H$17*(AQ17/$B52),".")</f>
        <v>1.0762223315633514E-9</v>
      </c>
      <c r="AR52" s="101">
        <f>IFERROR(s_RadSpec!$H$17*(AR17/$B52),".")</f>
        <v>1.0033731418048636E-9</v>
      </c>
      <c r="AS52" s="101">
        <f>IFERROR(s_RadSpec!$H$17*(AS17/$B52),".")</f>
        <v>1.0033731418048636E-9</v>
      </c>
      <c r="AT52" s="101">
        <f>IFERROR(s_RadSpec!$H$17*(AT17/$B52),".")</f>
        <v>9.3489490343188486E-10</v>
      </c>
      <c r="AU52" s="101">
        <f>IFERROR(s_RadSpec!$H$17*(AU17/$B52),".")</f>
        <v>1.0762223315633514E-9</v>
      </c>
      <c r="AV52" s="101">
        <f>IFERROR(s_RadSpec!$H$17*(AV17/$B52),".")</f>
        <v>8.7952951921543418E-10</v>
      </c>
      <c r="AW52" s="101">
        <f>IFERROR(s_RadSpec!$H$17*(AW17/$B52),".")</f>
        <v>1.0762223315633514E-9</v>
      </c>
      <c r="AX52" s="101">
        <f>IFERROR(s_RadSpec!$H$17*(AX17/$B52),".")</f>
        <v>9.3489490343188486E-10</v>
      </c>
      <c r="AY52" s="101">
        <f>IFERROR(s_RadSpec!$H$17*(AY17/$B52),".")</f>
        <v>1.0033731418048636E-9</v>
      </c>
      <c r="AZ52" s="101">
        <f>IFERROR(s_RadSpec!$H$17*(AZ17/$B52),".")</f>
        <v>1.0762223315633514E-9</v>
      </c>
      <c r="BA52" s="101">
        <f>IFERROR(s_RadSpec!$H$17*(BA17/$B52),".")</f>
        <v>8.6190001529388006E-10</v>
      </c>
      <c r="BB52" s="101">
        <f>IFERROR(s_RadSpec!$H$17*(BB17/$B52),".")</f>
        <v>1.0179429797565611E-9</v>
      </c>
      <c r="BC52" s="100">
        <f t="shared" ref="BC52" si="162">IFERROR($B52/BC17,0)</f>
        <v>7.9157097028176537E-5</v>
      </c>
      <c r="BD52" s="100">
        <f t="shared" ref="BD52:CB52" si="163">IFERROR($B52/BD17,0)</f>
        <v>2.0059436653661341E-5</v>
      </c>
      <c r="BE52" s="100">
        <f t="shared" si="163"/>
        <v>4.0449051492695909E-5</v>
      </c>
      <c r="BF52" s="100">
        <f t="shared" si="163"/>
        <v>2.1515837713592382E-5</v>
      </c>
      <c r="BG52" s="100">
        <f t="shared" si="163"/>
        <v>2.0059436653661341E-5</v>
      </c>
      <c r="BH52" s="100">
        <f t="shared" si="163"/>
        <v>2.1515837713592382E-5</v>
      </c>
      <c r="BI52" s="100">
        <f t="shared" si="163"/>
        <v>4.0449051492695909E-5</v>
      </c>
      <c r="BJ52" s="100">
        <f t="shared" si="163"/>
        <v>2.1515837713592382E-5</v>
      </c>
      <c r="BK52" s="100">
        <f t="shared" si="163"/>
        <v>2.0059436653661341E-5</v>
      </c>
      <c r="BL52" s="100">
        <f t="shared" si="163"/>
        <v>1.7496170788182712E-5</v>
      </c>
      <c r="BM52" s="100">
        <f t="shared" si="163"/>
        <v>2.1515837713592382E-5</v>
      </c>
      <c r="BN52" s="100">
        <f t="shared" si="163"/>
        <v>4.0449051492695909E-5</v>
      </c>
      <c r="BO52" s="100">
        <f t="shared" si="163"/>
        <v>1.8690419657326161E-5</v>
      </c>
      <c r="BP52" s="100">
        <f t="shared" si="163"/>
        <v>2.1515837713592382E-5</v>
      </c>
      <c r="BQ52" s="100">
        <f t="shared" si="163"/>
        <v>2.1515837713592382E-5</v>
      </c>
      <c r="BR52" s="100">
        <f t="shared" si="163"/>
        <v>2.0059436653661341E-5</v>
      </c>
      <c r="BS52" s="100">
        <f t="shared" si="163"/>
        <v>2.0059436653661341E-5</v>
      </c>
      <c r="BT52" s="100">
        <f t="shared" si="163"/>
        <v>1.8690419657326161E-5</v>
      </c>
      <c r="BU52" s="100">
        <f t="shared" ref="BU52" si="164">IFERROR($B52/BU17,0)</f>
        <v>2.1515837713592382E-5</v>
      </c>
      <c r="BV52" s="100">
        <f t="shared" si="163"/>
        <v>1.7583554851778574E-5</v>
      </c>
      <c r="BW52" s="100">
        <f t="shared" si="163"/>
        <v>2.1515837713592382E-5</v>
      </c>
      <c r="BX52" s="100">
        <f t="shared" si="163"/>
        <v>1.8690419657326161E-5</v>
      </c>
      <c r="BY52" s="100">
        <f t="shared" si="163"/>
        <v>2.0059436653661341E-5</v>
      </c>
      <c r="BZ52" s="100">
        <f t="shared" si="163"/>
        <v>2.1515837713592382E-5</v>
      </c>
      <c r="CA52" s="100">
        <f t="shared" si="163"/>
        <v>1.7231105795275262E-5</v>
      </c>
      <c r="CB52" s="100">
        <f t="shared" si="163"/>
        <v>2.0350716865647552E-5</v>
      </c>
      <c r="CC52" s="49">
        <f t="shared" si="2"/>
        <v>3.9594384684186562E-9</v>
      </c>
      <c r="CD52" s="101">
        <f>IFERROR(s_RadSpec!$H$17*(CD17/$B52),".")</f>
        <v>1.0033731418048636E-9</v>
      </c>
      <c r="CE52" s="101">
        <f>IFERROR(s_RadSpec!$H$17*(CE17/$B52),".")</f>
        <v>2.0232617984236928E-9</v>
      </c>
      <c r="CF52" s="101">
        <f>IFERROR(s_RadSpec!$H$17*(CF17/$B52),".")</f>
        <v>1.0762223315633514E-9</v>
      </c>
      <c r="CG52" s="101">
        <f>IFERROR(s_RadSpec!$H$17*(CG17/$B52),".")</f>
        <v>1.0033731418048636E-9</v>
      </c>
      <c r="CH52" s="101">
        <f>IFERROR(s_RadSpec!$H$17*(CH17/$B52),".")</f>
        <v>1.0762223315633514E-9</v>
      </c>
      <c r="CI52" s="101">
        <f>IFERROR(s_RadSpec!$H$17*(CI17/$B52),".")</f>
        <v>2.0232617984236928E-9</v>
      </c>
      <c r="CJ52" s="101">
        <f>IFERROR(s_RadSpec!$H$17*(CJ17/$B52),".")</f>
        <v>1.0762223315633514E-9</v>
      </c>
      <c r="CK52" s="101">
        <f>IFERROR(s_RadSpec!$H$17*(CK17/$B52),".")</f>
        <v>1.0033731418048636E-9</v>
      </c>
      <c r="CL52" s="101">
        <f>IFERROR(s_RadSpec!$H$17*(CL17/$B52),".")</f>
        <v>8.75158567829925E-10</v>
      </c>
      <c r="CM52" s="101">
        <f>IFERROR(s_RadSpec!$H$17*(CM17/$B52),".")</f>
        <v>1.0762223315633514E-9</v>
      </c>
      <c r="CN52" s="101">
        <f>IFERROR(s_RadSpec!$H$17*(CN17/$B52),".")</f>
        <v>2.0232617984236928E-9</v>
      </c>
      <c r="CO52" s="101">
        <f>IFERROR(s_RadSpec!$H$17*(CO17/$B52),".")</f>
        <v>9.3489490343188486E-10</v>
      </c>
      <c r="CP52" s="101">
        <f>IFERROR(s_RadSpec!$H$17*(CP17/$B52),".")</f>
        <v>1.0762223315633514E-9</v>
      </c>
      <c r="CQ52" s="101">
        <f>IFERROR(s_RadSpec!$H$17*(CQ17/$B52),".")</f>
        <v>1.0762223315633514E-9</v>
      </c>
      <c r="CR52" s="101">
        <f>IFERROR(s_RadSpec!$H$17*(CR17/$B52),".")</f>
        <v>1.0033731418048636E-9</v>
      </c>
      <c r="CS52" s="101">
        <f>IFERROR(s_RadSpec!$H$17*(CS17/$B52),".")</f>
        <v>1.0033731418048636E-9</v>
      </c>
      <c r="CT52" s="101">
        <f>IFERROR(s_RadSpec!$H$17*(CT17/$B52),".")</f>
        <v>9.3489490343188486E-10</v>
      </c>
      <c r="CU52" s="101">
        <f>IFERROR(s_RadSpec!$H$17*(CU17/$B52),".")</f>
        <v>1.0762223315633514E-9</v>
      </c>
      <c r="CV52" s="101">
        <f>IFERROR(s_RadSpec!$H$17*(CV17/$B52),".")</f>
        <v>8.7952951921543418E-10</v>
      </c>
      <c r="CW52" s="101">
        <f>IFERROR(s_RadSpec!$H$17*(CW17/$B52),".")</f>
        <v>1.0762223315633514E-9</v>
      </c>
      <c r="CX52" s="101">
        <f>IFERROR(s_RadSpec!$H$17*(CX17/$B52),".")</f>
        <v>9.3489490343188486E-10</v>
      </c>
      <c r="CY52" s="101">
        <f>IFERROR(s_RadSpec!$H$17*(CY17/$B52),".")</f>
        <v>1.0033731418048636E-9</v>
      </c>
      <c r="CZ52" s="101">
        <f>IFERROR(s_RadSpec!$H$17*(CZ17/$B52),".")</f>
        <v>1.0762223315633514E-9</v>
      </c>
      <c r="DA52" s="101">
        <f>IFERROR(s_RadSpec!$H$17*(DA17/$B52),".")</f>
        <v>8.6190001529388006E-10</v>
      </c>
      <c r="DB52" s="101">
        <f>IFERROR(s_RadSpec!$H$17*(DB17/$B52),".")</f>
        <v>1.0179429797565611E-9</v>
      </c>
    </row>
    <row r="53" spans="1:106" x14ac:dyDescent="0.25">
      <c r="A53" s="99" t="s">
        <v>1088</v>
      </c>
      <c r="B53" s="90">
        <v>2.0000000000000001E-4</v>
      </c>
      <c r="C53" s="100">
        <f t="shared" ref="C53" si="165">IFERROR($B53/C5,0)</f>
        <v>0</v>
      </c>
      <c r="D53" s="100">
        <f t="shared" ref="D53:AB53" si="166">IFERROR($B53/D5,0)</f>
        <v>0</v>
      </c>
      <c r="E53" s="100">
        <f t="shared" si="166"/>
        <v>0</v>
      </c>
      <c r="F53" s="100">
        <f t="shared" si="166"/>
        <v>0</v>
      </c>
      <c r="G53" s="100">
        <f t="shared" si="166"/>
        <v>0</v>
      </c>
      <c r="H53" s="100">
        <f t="shared" si="166"/>
        <v>0</v>
      </c>
      <c r="I53" s="100">
        <f t="shared" si="166"/>
        <v>0</v>
      </c>
      <c r="J53" s="100">
        <f t="shared" si="166"/>
        <v>0</v>
      </c>
      <c r="K53" s="100">
        <f t="shared" si="166"/>
        <v>0</v>
      </c>
      <c r="L53" s="100">
        <f t="shared" si="166"/>
        <v>0</v>
      </c>
      <c r="M53" s="100">
        <f t="shared" si="166"/>
        <v>0</v>
      </c>
      <c r="N53" s="100">
        <f t="shared" si="166"/>
        <v>0</v>
      </c>
      <c r="O53" s="100">
        <f t="shared" si="166"/>
        <v>0</v>
      </c>
      <c r="P53" s="100">
        <f t="shared" si="166"/>
        <v>0</v>
      </c>
      <c r="Q53" s="100">
        <f t="shared" si="166"/>
        <v>0</v>
      </c>
      <c r="R53" s="100">
        <f t="shared" si="166"/>
        <v>0</v>
      </c>
      <c r="S53" s="100">
        <f t="shared" si="166"/>
        <v>0</v>
      </c>
      <c r="T53" s="100">
        <f t="shared" si="166"/>
        <v>0</v>
      </c>
      <c r="U53" s="100">
        <f t="shared" ref="U53" si="167">IFERROR($B53/U5,0)</f>
        <v>0</v>
      </c>
      <c r="V53" s="100">
        <f t="shared" si="166"/>
        <v>0</v>
      </c>
      <c r="W53" s="100">
        <f t="shared" si="166"/>
        <v>0</v>
      </c>
      <c r="X53" s="100">
        <f t="shared" si="166"/>
        <v>0</v>
      </c>
      <c r="Y53" s="100">
        <f t="shared" si="166"/>
        <v>0</v>
      </c>
      <c r="Z53" s="100">
        <f t="shared" si="166"/>
        <v>0</v>
      </c>
      <c r="AA53" s="100">
        <f t="shared" si="166"/>
        <v>0</v>
      </c>
      <c r="AB53" s="100">
        <f t="shared" si="166"/>
        <v>0</v>
      </c>
      <c r="AC53" s="49">
        <f t="shared" si="5"/>
        <v>0</v>
      </c>
      <c r="AD53" s="101">
        <f>IFERROR(s_RadSpec!$H$5*(AD5/$B53),".")</f>
        <v>0</v>
      </c>
      <c r="AE53" s="101">
        <f>IFERROR(s_RadSpec!$H$5*(AE5/$B53),".")</f>
        <v>0</v>
      </c>
      <c r="AF53" s="101">
        <f>IFERROR(s_RadSpec!$H$5*(AF5/$B53),".")</f>
        <v>0</v>
      </c>
      <c r="AG53" s="101">
        <f>IFERROR(s_RadSpec!$H$5*(AG5/$B53),".")</f>
        <v>0</v>
      </c>
      <c r="AH53" s="101">
        <f>IFERROR(s_RadSpec!$H$5*(AH5/$B53),".")</f>
        <v>0</v>
      </c>
      <c r="AI53" s="101">
        <f>IFERROR(s_RadSpec!$H$5*(AI5/$B53),".")</f>
        <v>0</v>
      </c>
      <c r="AJ53" s="101">
        <f>IFERROR(s_RadSpec!$H$5*(AJ5/$B53),".")</f>
        <v>0</v>
      </c>
      <c r="AK53" s="101">
        <f>IFERROR(s_RadSpec!$H$5*(AK5/$B53),".")</f>
        <v>0</v>
      </c>
      <c r="AL53" s="101">
        <f>IFERROR(s_RadSpec!$H$5*(AL5/$B53),".")</f>
        <v>0</v>
      </c>
      <c r="AM53" s="101">
        <f>IFERROR(s_RadSpec!$H$5*(AM5/$B53),".")</f>
        <v>0</v>
      </c>
      <c r="AN53" s="101">
        <f>IFERROR(s_RadSpec!$H$5*(AN5/$B53),".")</f>
        <v>0</v>
      </c>
      <c r="AO53" s="101">
        <f>IFERROR(s_RadSpec!$H$5*(AO5/$B53),".")</f>
        <v>0</v>
      </c>
      <c r="AP53" s="101">
        <f>IFERROR(s_RadSpec!$H$5*(AP5/$B53),".")</f>
        <v>0</v>
      </c>
      <c r="AQ53" s="101">
        <f>IFERROR(s_RadSpec!$H$5*(AQ5/$B53),".")</f>
        <v>0</v>
      </c>
      <c r="AR53" s="101">
        <f>IFERROR(s_RadSpec!$H$5*(AR5/$B53),".")</f>
        <v>0</v>
      </c>
      <c r="AS53" s="101">
        <f>IFERROR(s_RadSpec!$H$5*(AS5/$B53),".")</f>
        <v>0</v>
      </c>
      <c r="AT53" s="101">
        <f>IFERROR(s_RadSpec!$H$5*(AT5/$B53),".")</f>
        <v>0</v>
      </c>
      <c r="AU53" s="101">
        <f>IFERROR(s_RadSpec!$H$5*(AU5/$B53),".")</f>
        <v>0</v>
      </c>
      <c r="AV53" s="101">
        <f>IFERROR(s_RadSpec!$H$5*(AV5/$B53),".")</f>
        <v>0</v>
      </c>
      <c r="AW53" s="101">
        <f>IFERROR(s_RadSpec!$H$5*(AW5/$B53),".")</f>
        <v>0</v>
      </c>
      <c r="AX53" s="101">
        <f>IFERROR(s_RadSpec!$H$5*(AX5/$B53),".")</f>
        <v>0</v>
      </c>
      <c r="AY53" s="101">
        <f>IFERROR(s_RadSpec!$H$5*(AY5/$B53),".")</f>
        <v>0</v>
      </c>
      <c r="AZ53" s="101">
        <f>IFERROR(s_RadSpec!$H$5*(AZ5/$B53),".")</f>
        <v>0</v>
      </c>
      <c r="BA53" s="101">
        <f>IFERROR(s_RadSpec!$H$5*(BA5/$B53),".")</f>
        <v>0</v>
      </c>
      <c r="BB53" s="101">
        <f>IFERROR(s_RadSpec!$H$5*(BB5/$B53),".")</f>
        <v>0</v>
      </c>
      <c r="BC53" s="100">
        <f t="shared" ref="BC53" si="168">IFERROR($B53/BC5,0)</f>
        <v>0</v>
      </c>
      <c r="BD53" s="100">
        <f t="shared" ref="BD53:CB53" si="169">IFERROR($B53/BD5,0)</f>
        <v>0</v>
      </c>
      <c r="BE53" s="100">
        <f t="shared" si="169"/>
        <v>0</v>
      </c>
      <c r="BF53" s="100">
        <f t="shared" si="169"/>
        <v>0</v>
      </c>
      <c r="BG53" s="100">
        <f t="shared" si="169"/>
        <v>0</v>
      </c>
      <c r="BH53" s="100">
        <f t="shared" si="169"/>
        <v>0</v>
      </c>
      <c r="BI53" s="100">
        <f t="shared" si="169"/>
        <v>0</v>
      </c>
      <c r="BJ53" s="100">
        <f t="shared" si="169"/>
        <v>0</v>
      </c>
      <c r="BK53" s="100">
        <f t="shared" si="169"/>
        <v>0</v>
      </c>
      <c r="BL53" s="100">
        <f t="shared" si="169"/>
        <v>0</v>
      </c>
      <c r="BM53" s="100">
        <f t="shared" si="169"/>
        <v>0</v>
      </c>
      <c r="BN53" s="100">
        <f t="shared" si="169"/>
        <v>0</v>
      </c>
      <c r="BO53" s="100">
        <f t="shared" si="169"/>
        <v>0</v>
      </c>
      <c r="BP53" s="100">
        <f t="shared" si="169"/>
        <v>0</v>
      </c>
      <c r="BQ53" s="100">
        <f t="shared" si="169"/>
        <v>0</v>
      </c>
      <c r="BR53" s="100">
        <f t="shared" si="169"/>
        <v>0</v>
      </c>
      <c r="BS53" s="100">
        <f t="shared" si="169"/>
        <v>0</v>
      </c>
      <c r="BT53" s="100">
        <f t="shared" si="169"/>
        <v>0</v>
      </c>
      <c r="BU53" s="100">
        <f t="shared" ref="BU53" si="170">IFERROR($B53/BU5,0)</f>
        <v>0</v>
      </c>
      <c r="BV53" s="100">
        <f t="shared" si="169"/>
        <v>0</v>
      </c>
      <c r="BW53" s="100">
        <f t="shared" si="169"/>
        <v>0</v>
      </c>
      <c r="BX53" s="100">
        <f t="shared" si="169"/>
        <v>0</v>
      </c>
      <c r="BY53" s="100">
        <f t="shared" si="169"/>
        <v>0</v>
      </c>
      <c r="BZ53" s="100">
        <f t="shared" si="169"/>
        <v>0</v>
      </c>
      <c r="CA53" s="100">
        <f t="shared" si="169"/>
        <v>0</v>
      </c>
      <c r="CB53" s="100">
        <f t="shared" si="169"/>
        <v>0</v>
      </c>
      <c r="CC53" s="49">
        <f t="shared" si="2"/>
        <v>0</v>
      </c>
      <c r="CD53" s="101">
        <f>IFERROR(s_RadSpec!$H$5*(CD5/$B53),".")</f>
        <v>0</v>
      </c>
      <c r="CE53" s="101">
        <f>IFERROR(s_RadSpec!$H$5*(CE5/$B53),".")</f>
        <v>0</v>
      </c>
      <c r="CF53" s="101">
        <f>IFERROR(s_RadSpec!$H$5*(CF5/$B53),".")</f>
        <v>0</v>
      </c>
      <c r="CG53" s="101">
        <f>IFERROR(s_RadSpec!$H$5*(CG5/$B53),".")</f>
        <v>0</v>
      </c>
      <c r="CH53" s="101">
        <f>IFERROR(s_RadSpec!$H$5*(CH5/$B53),".")</f>
        <v>0</v>
      </c>
      <c r="CI53" s="101">
        <f>IFERROR(s_RadSpec!$H$5*(CI5/$B53),".")</f>
        <v>0</v>
      </c>
      <c r="CJ53" s="101">
        <f>IFERROR(s_RadSpec!$H$5*(CJ5/$B53),".")</f>
        <v>0</v>
      </c>
      <c r="CK53" s="101">
        <f>IFERROR(s_RadSpec!$H$5*(CK5/$B53),".")</f>
        <v>0</v>
      </c>
      <c r="CL53" s="101">
        <f>IFERROR(s_RadSpec!$H$5*(CL5/$B53),".")</f>
        <v>0</v>
      </c>
      <c r="CM53" s="101">
        <f>IFERROR(s_RadSpec!$H$5*(CM5/$B53),".")</f>
        <v>0</v>
      </c>
      <c r="CN53" s="101">
        <f>IFERROR(s_RadSpec!$H$5*(CN5/$B53),".")</f>
        <v>0</v>
      </c>
      <c r="CO53" s="101">
        <f>IFERROR(s_RadSpec!$H$5*(CO5/$B53),".")</f>
        <v>0</v>
      </c>
      <c r="CP53" s="101">
        <f>IFERROR(s_RadSpec!$H$5*(CP5/$B53),".")</f>
        <v>0</v>
      </c>
      <c r="CQ53" s="101">
        <f>IFERROR(s_RadSpec!$H$5*(CQ5/$B53),".")</f>
        <v>0</v>
      </c>
      <c r="CR53" s="101">
        <f>IFERROR(s_RadSpec!$H$5*(CR5/$B53),".")</f>
        <v>0</v>
      </c>
      <c r="CS53" s="101">
        <f>IFERROR(s_RadSpec!$H$5*(CS5/$B53),".")</f>
        <v>0</v>
      </c>
      <c r="CT53" s="101">
        <f>IFERROR(s_RadSpec!$H$5*(CT5/$B53),".")</f>
        <v>0</v>
      </c>
      <c r="CU53" s="101">
        <f>IFERROR(s_RadSpec!$H$5*(CU5/$B53),".")</f>
        <v>0</v>
      </c>
      <c r="CV53" s="101">
        <f>IFERROR(s_RadSpec!$H$5*(CV5/$B53),".")</f>
        <v>0</v>
      </c>
      <c r="CW53" s="101">
        <f>IFERROR(s_RadSpec!$H$5*(CW5/$B53),".")</f>
        <v>0</v>
      </c>
      <c r="CX53" s="101">
        <f>IFERROR(s_RadSpec!$H$5*(CX5/$B53),".")</f>
        <v>0</v>
      </c>
      <c r="CY53" s="101">
        <f>IFERROR(s_RadSpec!$H$5*(CY5/$B53),".")</f>
        <v>0</v>
      </c>
      <c r="CZ53" s="101">
        <f>IFERROR(s_RadSpec!$H$5*(CZ5/$B53),".")</f>
        <v>0</v>
      </c>
      <c r="DA53" s="101">
        <f>IFERROR(s_RadSpec!$H$5*(DA5/$B53),".")</f>
        <v>0</v>
      </c>
      <c r="DB53" s="101">
        <f>IFERROR(s_RadSpec!$H$5*(DB5/$B53),".")</f>
        <v>0</v>
      </c>
    </row>
    <row r="54" spans="1:106" x14ac:dyDescent="0.25">
      <c r="A54" s="99" t="s">
        <v>1089</v>
      </c>
      <c r="B54" s="90">
        <v>0.99999979999999999</v>
      </c>
      <c r="C54" s="100">
        <f t="shared" ref="C54" si="171">IFERROR($B54/C9,0)</f>
        <v>1.0132995003385274E-4</v>
      </c>
      <c r="D54" s="100">
        <f t="shared" ref="D54:AB54" si="172">IFERROR($B54/D9,0)</f>
        <v>2.5332487508463185E-5</v>
      </c>
      <c r="E54" s="100">
        <f t="shared" si="172"/>
        <v>2.5332487508463185E-5</v>
      </c>
      <c r="F54" s="100">
        <f t="shared" si="172"/>
        <v>2.5332487508463185E-5</v>
      </c>
      <c r="G54" s="100">
        <f t="shared" si="172"/>
        <v>2.5332487508463185E-5</v>
      </c>
      <c r="H54" s="100">
        <f t="shared" si="172"/>
        <v>2.5332487508463185E-5</v>
      </c>
      <c r="I54" s="100">
        <f t="shared" si="172"/>
        <v>2.5332487508463185E-5</v>
      </c>
      <c r="J54" s="100">
        <f t="shared" si="172"/>
        <v>2.5332487508463185E-5</v>
      </c>
      <c r="K54" s="100">
        <f t="shared" si="172"/>
        <v>2.5332487508463185E-5</v>
      </c>
      <c r="L54" s="100">
        <f t="shared" si="172"/>
        <v>2.5332487508463185E-5</v>
      </c>
      <c r="M54" s="100">
        <f t="shared" si="172"/>
        <v>2.5332487508463185E-5</v>
      </c>
      <c r="N54" s="100">
        <f t="shared" si="172"/>
        <v>2.5332487508463185E-5</v>
      </c>
      <c r="O54" s="100">
        <f t="shared" si="172"/>
        <v>2.5332487508463185E-5</v>
      </c>
      <c r="P54" s="100">
        <f t="shared" si="172"/>
        <v>2.5332487508463185E-5</v>
      </c>
      <c r="Q54" s="100">
        <f t="shared" si="172"/>
        <v>2.5332487508463185E-5</v>
      </c>
      <c r="R54" s="100">
        <f t="shared" si="172"/>
        <v>2.5332487508463185E-5</v>
      </c>
      <c r="S54" s="100">
        <f t="shared" si="172"/>
        <v>2.5332487508463185E-5</v>
      </c>
      <c r="T54" s="100">
        <f t="shared" si="172"/>
        <v>2.5332487508463185E-5</v>
      </c>
      <c r="U54" s="100">
        <f t="shared" ref="U54" si="173">IFERROR($B54/U9,0)</f>
        <v>2.5332487508463185E-5</v>
      </c>
      <c r="V54" s="100">
        <f t="shared" si="172"/>
        <v>2.5332487508463185E-5</v>
      </c>
      <c r="W54" s="100">
        <f t="shared" si="172"/>
        <v>2.5332487508463185E-5</v>
      </c>
      <c r="X54" s="100">
        <f t="shared" si="172"/>
        <v>2.5332487508463185E-5</v>
      </c>
      <c r="Y54" s="100">
        <f t="shared" si="172"/>
        <v>2.5332487508463185E-5</v>
      </c>
      <c r="Z54" s="100">
        <f t="shared" si="172"/>
        <v>2.5332487508463185E-5</v>
      </c>
      <c r="AA54" s="100">
        <f t="shared" si="172"/>
        <v>2.5332487508463185E-5</v>
      </c>
      <c r="AB54" s="100">
        <f t="shared" si="172"/>
        <v>2.5332487508463185E-5</v>
      </c>
      <c r="AC54" s="49">
        <f t="shared" si="5"/>
        <v>5.0664995282922455E-9</v>
      </c>
      <c r="AD54" s="101">
        <f>IFERROR(s_RadSpec!$H$9*(AD9/$B54),".")</f>
        <v>1.2666248820730614E-9</v>
      </c>
      <c r="AE54" s="101">
        <f>IFERROR(s_RadSpec!$H$9*(AE9/$B54),".")</f>
        <v>1.2666248820730614E-9</v>
      </c>
      <c r="AF54" s="101">
        <f>IFERROR(s_RadSpec!$H$9*(AF9/$B54),".")</f>
        <v>1.2666248820730614E-9</v>
      </c>
      <c r="AG54" s="101">
        <f>IFERROR(s_RadSpec!$H$9*(AG9/$B54),".")</f>
        <v>1.2666248820730614E-9</v>
      </c>
      <c r="AH54" s="101">
        <f>IFERROR(s_RadSpec!$H$9*(AH9/$B54),".")</f>
        <v>1.2666248820730614E-9</v>
      </c>
      <c r="AI54" s="101">
        <f>IFERROR(s_RadSpec!$H$9*(AI9/$B54),".")</f>
        <v>1.2666248820730614E-9</v>
      </c>
      <c r="AJ54" s="101">
        <f>IFERROR(s_RadSpec!$H$9*(AJ9/$B54),".")</f>
        <v>1.2666248820730614E-9</v>
      </c>
      <c r="AK54" s="101">
        <f>IFERROR(s_RadSpec!$H$9*(AK9/$B54),".")</f>
        <v>1.2666248820730614E-9</v>
      </c>
      <c r="AL54" s="101">
        <f>IFERROR(s_RadSpec!$H$9*(AL9/$B54),".")</f>
        <v>1.2666248820730614E-9</v>
      </c>
      <c r="AM54" s="101">
        <f>IFERROR(s_RadSpec!$H$9*(AM9/$B54),".")</f>
        <v>1.2666248820730614E-9</v>
      </c>
      <c r="AN54" s="101">
        <f>IFERROR(s_RadSpec!$H$9*(AN9/$B54),".")</f>
        <v>1.2666248820730614E-9</v>
      </c>
      <c r="AO54" s="101">
        <f>IFERROR(s_RadSpec!$H$9*(AO9/$B54),".")</f>
        <v>1.2666248820730614E-9</v>
      </c>
      <c r="AP54" s="101">
        <f>IFERROR(s_RadSpec!$H$9*(AP9/$B54),".")</f>
        <v>1.2666248820730614E-9</v>
      </c>
      <c r="AQ54" s="101">
        <f>IFERROR(s_RadSpec!$H$9*(AQ9/$B54),".")</f>
        <v>1.2666248820730614E-9</v>
      </c>
      <c r="AR54" s="101">
        <f>IFERROR(s_RadSpec!$H$9*(AR9/$B54),".")</f>
        <v>1.2666248820730614E-9</v>
      </c>
      <c r="AS54" s="101">
        <f>IFERROR(s_RadSpec!$H$9*(AS9/$B54),".")</f>
        <v>1.2666248820730614E-9</v>
      </c>
      <c r="AT54" s="101">
        <f>IFERROR(s_RadSpec!$H$9*(AT9/$B54),".")</f>
        <v>1.2666248820730614E-9</v>
      </c>
      <c r="AU54" s="101">
        <f>IFERROR(s_RadSpec!$H$9*(AU9/$B54),".")</f>
        <v>1.2666248820730614E-9</v>
      </c>
      <c r="AV54" s="101">
        <f>IFERROR(s_RadSpec!$H$9*(AV9/$B54),".")</f>
        <v>1.2666248820730614E-9</v>
      </c>
      <c r="AW54" s="101">
        <f>IFERROR(s_RadSpec!$H$9*(AW9/$B54),".")</f>
        <v>1.2666248820730614E-9</v>
      </c>
      <c r="AX54" s="101">
        <f>IFERROR(s_RadSpec!$H$9*(AX9/$B54),".")</f>
        <v>1.2666248820730614E-9</v>
      </c>
      <c r="AY54" s="101">
        <f>IFERROR(s_RadSpec!$H$9*(AY9/$B54),".")</f>
        <v>1.2666248820730614E-9</v>
      </c>
      <c r="AZ54" s="101">
        <f>IFERROR(s_RadSpec!$H$9*(AZ9/$B54),".")</f>
        <v>1.2666248820730614E-9</v>
      </c>
      <c r="BA54" s="101">
        <f>IFERROR(s_RadSpec!$H$9*(BA9/$B54),".")</f>
        <v>1.2666248820730614E-9</v>
      </c>
      <c r="BB54" s="101">
        <f>IFERROR(s_RadSpec!$H$9*(BB9/$B54),".")</f>
        <v>1.2666248820730614E-9</v>
      </c>
      <c r="BC54" s="100">
        <f t="shared" ref="BC54" si="174">IFERROR($B54/BC9,0)</f>
        <v>1.0132995003385274E-4</v>
      </c>
      <c r="BD54" s="100">
        <f t="shared" ref="BD54:CB54" si="175">IFERROR($B54/BD9,0)</f>
        <v>2.5332487508463185E-5</v>
      </c>
      <c r="BE54" s="100">
        <f t="shared" si="175"/>
        <v>2.5332487508463185E-5</v>
      </c>
      <c r="BF54" s="100">
        <f t="shared" si="175"/>
        <v>2.5332487508463185E-5</v>
      </c>
      <c r="BG54" s="100">
        <f t="shared" si="175"/>
        <v>2.5332487508463185E-5</v>
      </c>
      <c r="BH54" s="100">
        <f t="shared" si="175"/>
        <v>2.5332487508463185E-5</v>
      </c>
      <c r="BI54" s="100">
        <f t="shared" si="175"/>
        <v>2.5332487508463185E-5</v>
      </c>
      <c r="BJ54" s="100">
        <f t="shared" si="175"/>
        <v>2.5332487508463185E-5</v>
      </c>
      <c r="BK54" s="100">
        <f t="shared" si="175"/>
        <v>2.5332487508463185E-5</v>
      </c>
      <c r="BL54" s="100">
        <f t="shared" si="175"/>
        <v>2.5332487508463185E-5</v>
      </c>
      <c r="BM54" s="100">
        <f t="shared" si="175"/>
        <v>2.5332487508463185E-5</v>
      </c>
      <c r="BN54" s="100">
        <f t="shared" si="175"/>
        <v>2.5332487508463185E-5</v>
      </c>
      <c r="BO54" s="100">
        <f t="shared" si="175"/>
        <v>2.5332487508463185E-5</v>
      </c>
      <c r="BP54" s="100">
        <f t="shared" si="175"/>
        <v>2.5332487508463185E-5</v>
      </c>
      <c r="BQ54" s="100">
        <f t="shared" si="175"/>
        <v>2.5332487508463185E-5</v>
      </c>
      <c r="BR54" s="100">
        <f t="shared" si="175"/>
        <v>2.5332487508463185E-5</v>
      </c>
      <c r="BS54" s="100">
        <f t="shared" si="175"/>
        <v>2.5332487508463185E-5</v>
      </c>
      <c r="BT54" s="100">
        <f t="shared" si="175"/>
        <v>2.5332487508463185E-5</v>
      </c>
      <c r="BU54" s="100">
        <f t="shared" ref="BU54" si="176">IFERROR($B54/BU9,0)</f>
        <v>2.5332487508463185E-5</v>
      </c>
      <c r="BV54" s="100">
        <f t="shared" si="175"/>
        <v>2.5332487508463185E-5</v>
      </c>
      <c r="BW54" s="100">
        <f t="shared" si="175"/>
        <v>2.5332487508463185E-5</v>
      </c>
      <c r="BX54" s="100">
        <f t="shared" si="175"/>
        <v>2.5332487508463185E-5</v>
      </c>
      <c r="BY54" s="100">
        <f t="shared" si="175"/>
        <v>2.5332487508463185E-5</v>
      </c>
      <c r="BZ54" s="100">
        <f t="shared" si="175"/>
        <v>2.5332487508463185E-5</v>
      </c>
      <c r="CA54" s="100">
        <f t="shared" si="175"/>
        <v>2.5332487508463185E-5</v>
      </c>
      <c r="CB54" s="100">
        <f t="shared" si="175"/>
        <v>2.5332487508463185E-5</v>
      </c>
      <c r="CC54" s="49">
        <f t="shared" si="2"/>
        <v>5.0664995282922455E-9</v>
      </c>
      <c r="CD54" s="101">
        <f>IFERROR(s_RadSpec!$H$9*(CD9/$B54),".")</f>
        <v>1.2666248820730614E-9</v>
      </c>
      <c r="CE54" s="101">
        <f>IFERROR(s_RadSpec!$H$9*(CE9/$B54),".")</f>
        <v>1.2666248820730614E-9</v>
      </c>
      <c r="CF54" s="101">
        <f>IFERROR(s_RadSpec!$H$9*(CF9/$B54),".")</f>
        <v>1.2666248820730614E-9</v>
      </c>
      <c r="CG54" s="101">
        <f>IFERROR(s_RadSpec!$H$9*(CG9/$B54),".")</f>
        <v>1.2666248820730614E-9</v>
      </c>
      <c r="CH54" s="101">
        <f>IFERROR(s_RadSpec!$H$9*(CH9/$B54),".")</f>
        <v>1.2666248820730614E-9</v>
      </c>
      <c r="CI54" s="101">
        <f>IFERROR(s_RadSpec!$H$9*(CI9/$B54),".")</f>
        <v>1.2666248820730614E-9</v>
      </c>
      <c r="CJ54" s="101">
        <f>IFERROR(s_RadSpec!$H$9*(CJ9/$B54),".")</f>
        <v>1.2666248820730614E-9</v>
      </c>
      <c r="CK54" s="101">
        <f>IFERROR(s_RadSpec!$H$9*(CK9/$B54),".")</f>
        <v>1.2666248820730614E-9</v>
      </c>
      <c r="CL54" s="101">
        <f>IFERROR(s_RadSpec!$H$9*(CL9/$B54),".")</f>
        <v>1.2666248820730614E-9</v>
      </c>
      <c r="CM54" s="101">
        <f>IFERROR(s_RadSpec!$H$9*(CM9/$B54),".")</f>
        <v>1.2666248820730614E-9</v>
      </c>
      <c r="CN54" s="101">
        <f>IFERROR(s_RadSpec!$H$9*(CN9/$B54),".")</f>
        <v>1.2666248820730614E-9</v>
      </c>
      <c r="CO54" s="101">
        <f>IFERROR(s_RadSpec!$H$9*(CO9/$B54),".")</f>
        <v>1.2666248820730614E-9</v>
      </c>
      <c r="CP54" s="101">
        <f>IFERROR(s_RadSpec!$H$9*(CP9/$B54),".")</f>
        <v>1.2666248820730614E-9</v>
      </c>
      <c r="CQ54" s="101">
        <f>IFERROR(s_RadSpec!$H$9*(CQ9/$B54),".")</f>
        <v>1.2666248820730614E-9</v>
      </c>
      <c r="CR54" s="101">
        <f>IFERROR(s_RadSpec!$H$9*(CR9/$B54),".")</f>
        <v>1.2666248820730614E-9</v>
      </c>
      <c r="CS54" s="101">
        <f>IFERROR(s_RadSpec!$H$9*(CS9/$B54),".")</f>
        <v>1.2666248820730614E-9</v>
      </c>
      <c r="CT54" s="101">
        <f>IFERROR(s_RadSpec!$H$9*(CT9/$B54),".")</f>
        <v>1.2666248820730614E-9</v>
      </c>
      <c r="CU54" s="101">
        <f>IFERROR(s_RadSpec!$H$9*(CU9/$B54),".")</f>
        <v>1.2666248820730614E-9</v>
      </c>
      <c r="CV54" s="101">
        <f>IFERROR(s_RadSpec!$H$9*(CV9/$B54),".")</f>
        <v>1.2666248820730614E-9</v>
      </c>
      <c r="CW54" s="101">
        <f>IFERROR(s_RadSpec!$H$9*(CW9/$B54),".")</f>
        <v>1.2666248820730614E-9</v>
      </c>
      <c r="CX54" s="101">
        <f>IFERROR(s_RadSpec!$H$9*(CX9/$B54),".")</f>
        <v>1.2666248820730614E-9</v>
      </c>
      <c r="CY54" s="101">
        <f>IFERROR(s_RadSpec!$H$9*(CY9/$B54),".")</f>
        <v>1.2666248820730614E-9</v>
      </c>
      <c r="CZ54" s="101">
        <f>IFERROR(s_RadSpec!$H$9*(CZ9/$B54),".")</f>
        <v>1.2666248820730614E-9</v>
      </c>
      <c r="DA54" s="101">
        <f>IFERROR(s_RadSpec!$H$9*(DA9/$B54),".")</f>
        <v>1.2666248820730614E-9</v>
      </c>
      <c r="DB54" s="101">
        <f>IFERROR(s_RadSpec!$H$9*(DB9/$B54),".")</f>
        <v>1.2666248820730614E-9</v>
      </c>
    </row>
    <row r="55" spans="1:106" x14ac:dyDescent="0.25">
      <c r="A55" s="99" t="s">
        <v>1090</v>
      </c>
      <c r="B55" s="90">
        <v>1.9999999999999999E-7</v>
      </c>
      <c r="C55" s="100">
        <f t="shared" ref="C55" si="177">IFERROR($B55/C24,0)</f>
        <v>0</v>
      </c>
      <c r="D55" s="100">
        <f t="shared" ref="D55:AB55" si="178">IFERROR($B55/D24,0)</f>
        <v>0</v>
      </c>
      <c r="E55" s="100">
        <f t="shared" si="178"/>
        <v>0</v>
      </c>
      <c r="F55" s="100">
        <f t="shared" si="178"/>
        <v>0</v>
      </c>
      <c r="G55" s="100">
        <f t="shared" si="178"/>
        <v>0</v>
      </c>
      <c r="H55" s="100">
        <f t="shared" si="178"/>
        <v>0</v>
      </c>
      <c r="I55" s="100">
        <f t="shared" si="178"/>
        <v>0</v>
      </c>
      <c r="J55" s="100">
        <f t="shared" si="178"/>
        <v>0</v>
      </c>
      <c r="K55" s="100">
        <f t="shared" si="178"/>
        <v>0</v>
      </c>
      <c r="L55" s="100">
        <f t="shared" si="178"/>
        <v>0</v>
      </c>
      <c r="M55" s="100">
        <f t="shared" si="178"/>
        <v>0</v>
      </c>
      <c r="N55" s="100">
        <f t="shared" si="178"/>
        <v>0</v>
      </c>
      <c r="O55" s="100">
        <f t="shared" si="178"/>
        <v>0</v>
      </c>
      <c r="P55" s="100">
        <f t="shared" si="178"/>
        <v>0</v>
      </c>
      <c r="Q55" s="100">
        <f t="shared" si="178"/>
        <v>0</v>
      </c>
      <c r="R55" s="100">
        <f t="shared" si="178"/>
        <v>0</v>
      </c>
      <c r="S55" s="100">
        <f t="shared" si="178"/>
        <v>0</v>
      </c>
      <c r="T55" s="100">
        <f t="shared" si="178"/>
        <v>0</v>
      </c>
      <c r="U55" s="100">
        <f t="shared" ref="U55" si="179">IFERROR($B55/U24,0)</f>
        <v>0</v>
      </c>
      <c r="V55" s="100">
        <f t="shared" si="178"/>
        <v>0</v>
      </c>
      <c r="W55" s="100">
        <f t="shared" si="178"/>
        <v>0</v>
      </c>
      <c r="X55" s="100">
        <f t="shared" si="178"/>
        <v>0</v>
      </c>
      <c r="Y55" s="100">
        <f t="shared" si="178"/>
        <v>0</v>
      </c>
      <c r="Z55" s="100">
        <f t="shared" si="178"/>
        <v>0</v>
      </c>
      <c r="AA55" s="100">
        <f t="shared" si="178"/>
        <v>0</v>
      </c>
      <c r="AB55" s="100">
        <f t="shared" si="178"/>
        <v>0</v>
      </c>
      <c r="AC55" s="49">
        <f t="shared" si="5"/>
        <v>0</v>
      </c>
      <c r="AD55" s="101">
        <f>IFERROR(s_RadSpec!$H$24*(AD24/$B55),".")</f>
        <v>0</v>
      </c>
      <c r="AE55" s="101">
        <f>IFERROR(s_RadSpec!$H$24*(AE24/$B55),".")</f>
        <v>0</v>
      </c>
      <c r="AF55" s="101">
        <f>IFERROR(s_RadSpec!$H$24*(AF24/$B55),".")</f>
        <v>0</v>
      </c>
      <c r="AG55" s="101">
        <f>IFERROR(s_RadSpec!$H$24*(AG24/$B55),".")</f>
        <v>0</v>
      </c>
      <c r="AH55" s="101">
        <f>IFERROR(s_RadSpec!$H$24*(AH24/$B55),".")</f>
        <v>0</v>
      </c>
      <c r="AI55" s="101">
        <f>IFERROR(s_RadSpec!$H$24*(AI24/$B55),".")</f>
        <v>0</v>
      </c>
      <c r="AJ55" s="101">
        <f>IFERROR(s_RadSpec!$H$24*(AJ24/$B55),".")</f>
        <v>0</v>
      </c>
      <c r="AK55" s="101">
        <f>IFERROR(s_RadSpec!$H$24*(AK24/$B55),".")</f>
        <v>0</v>
      </c>
      <c r="AL55" s="101">
        <f>IFERROR(s_RadSpec!$H$24*(AL24/$B55),".")</f>
        <v>0</v>
      </c>
      <c r="AM55" s="101">
        <f>IFERROR(s_RadSpec!$H$24*(AM24/$B55),".")</f>
        <v>0</v>
      </c>
      <c r="AN55" s="101">
        <f>IFERROR(s_RadSpec!$H$24*(AN24/$B55),".")</f>
        <v>0</v>
      </c>
      <c r="AO55" s="101">
        <f>IFERROR(s_RadSpec!$H$24*(AO24/$B55),".")</f>
        <v>0</v>
      </c>
      <c r="AP55" s="101">
        <f>IFERROR(s_RadSpec!$H$24*(AP24/$B55),".")</f>
        <v>0</v>
      </c>
      <c r="AQ55" s="101">
        <f>IFERROR(s_RadSpec!$H$24*(AQ24/$B55),".")</f>
        <v>0</v>
      </c>
      <c r="AR55" s="101">
        <f>IFERROR(s_RadSpec!$H$24*(AR24/$B55),".")</f>
        <v>0</v>
      </c>
      <c r="AS55" s="101">
        <f>IFERROR(s_RadSpec!$H$24*(AS24/$B55),".")</f>
        <v>0</v>
      </c>
      <c r="AT55" s="101">
        <f>IFERROR(s_RadSpec!$H$24*(AT24/$B55),".")</f>
        <v>0</v>
      </c>
      <c r="AU55" s="101">
        <f>IFERROR(s_RadSpec!$H$24*(AU24/$B55),".")</f>
        <v>0</v>
      </c>
      <c r="AV55" s="101">
        <f>IFERROR(s_RadSpec!$H$24*(AV24/$B55),".")</f>
        <v>0</v>
      </c>
      <c r="AW55" s="101">
        <f>IFERROR(s_RadSpec!$H$24*(AW24/$B55),".")</f>
        <v>0</v>
      </c>
      <c r="AX55" s="101">
        <f>IFERROR(s_RadSpec!$H$24*(AX24/$B55),".")</f>
        <v>0</v>
      </c>
      <c r="AY55" s="101">
        <f>IFERROR(s_RadSpec!$H$24*(AY24/$B55),".")</f>
        <v>0</v>
      </c>
      <c r="AZ55" s="101">
        <f>IFERROR(s_RadSpec!$H$24*(AZ24/$B55),".")</f>
        <v>0</v>
      </c>
      <c r="BA55" s="101">
        <f>IFERROR(s_RadSpec!$H$24*(BA24/$B55),".")</f>
        <v>0</v>
      </c>
      <c r="BB55" s="101">
        <f>IFERROR(s_RadSpec!$H$24*(BB24/$B55),".")</f>
        <v>0</v>
      </c>
      <c r="BC55" s="100">
        <f t="shared" ref="BC55" si="180">IFERROR($B55/BC24,0)</f>
        <v>0</v>
      </c>
      <c r="BD55" s="100">
        <f t="shared" ref="BD55:CB55" si="181">IFERROR($B55/BD24,0)</f>
        <v>0</v>
      </c>
      <c r="BE55" s="100">
        <f t="shared" si="181"/>
        <v>0</v>
      </c>
      <c r="BF55" s="100">
        <f t="shared" si="181"/>
        <v>0</v>
      </c>
      <c r="BG55" s="100">
        <f t="shared" si="181"/>
        <v>0</v>
      </c>
      <c r="BH55" s="100">
        <f t="shared" si="181"/>
        <v>0</v>
      </c>
      <c r="BI55" s="100">
        <f t="shared" si="181"/>
        <v>0</v>
      </c>
      <c r="BJ55" s="100">
        <f t="shared" si="181"/>
        <v>0</v>
      </c>
      <c r="BK55" s="100">
        <f t="shared" si="181"/>
        <v>0</v>
      </c>
      <c r="BL55" s="100">
        <f t="shared" si="181"/>
        <v>0</v>
      </c>
      <c r="BM55" s="100">
        <f t="shared" si="181"/>
        <v>0</v>
      </c>
      <c r="BN55" s="100">
        <f t="shared" si="181"/>
        <v>0</v>
      </c>
      <c r="BO55" s="100">
        <f t="shared" si="181"/>
        <v>0</v>
      </c>
      <c r="BP55" s="100">
        <f t="shared" si="181"/>
        <v>0</v>
      </c>
      <c r="BQ55" s="100">
        <f t="shared" si="181"/>
        <v>0</v>
      </c>
      <c r="BR55" s="100">
        <f t="shared" si="181"/>
        <v>0</v>
      </c>
      <c r="BS55" s="100">
        <f t="shared" si="181"/>
        <v>0</v>
      </c>
      <c r="BT55" s="100">
        <f t="shared" si="181"/>
        <v>0</v>
      </c>
      <c r="BU55" s="100">
        <f t="shared" ref="BU55" si="182">IFERROR($B55/BU24,0)</f>
        <v>0</v>
      </c>
      <c r="BV55" s="100">
        <f t="shared" si="181"/>
        <v>0</v>
      </c>
      <c r="BW55" s="100">
        <f t="shared" si="181"/>
        <v>0</v>
      </c>
      <c r="BX55" s="100">
        <f t="shared" si="181"/>
        <v>0</v>
      </c>
      <c r="BY55" s="100">
        <f t="shared" si="181"/>
        <v>0</v>
      </c>
      <c r="BZ55" s="100">
        <f t="shared" si="181"/>
        <v>0</v>
      </c>
      <c r="CA55" s="100">
        <f t="shared" si="181"/>
        <v>0</v>
      </c>
      <c r="CB55" s="100">
        <f t="shared" si="181"/>
        <v>0</v>
      </c>
      <c r="CC55" s="49">
        <f t="shared" si="2"/>
        <v>0</v>
      </c>
      <c r="CD55" s="101">
        <f>IFERROR(s_RadSpec!$H$24*(CD24/$B55),".")</f>
        <v>0</v>
      </c>
      <c r="CE55" s="101">
        <f>IFERROR(s_RadSpec!$H$24*(CE24/$B55),".")</f>
        <v>0</v>
      </c>
      <c r="CF55" s="101">
        <f>IFERROR(s_RadSpec!$H$24*(CF24/$B55),".")</f>
        <v>0</v>
      </c>
      <c r="CG55" s="101">
        <f>IFERROR(s_RadSpec!$H$24*(CG24/$B55),".")</f>
        <v>0</v>
      </c>
      <c r="CH55" s="101">
        <f>IFERROR(s_RadSpec!$H$24*(CH24/$B55),".")</f>
        <v>0</v>
      </c>
      <c r="CI55" s="101">
        <f>IFERROR(s_RadSpec!$H$24*(CI24/$B55),".")</f>
        <v>0</v>
      </c>
      <c r="CJ55" s="101">
        <f>IFERROR(s_RadSpec!$H$24*(CJ24/$B55),".")</f>
        <v>0</v>
      </c>
      <c r="CK55" s="101">
        <f>IFERROR(s_RadSpec!$H$24*(CK24/$B55),".")</f>
        <v>0</v>
      </c>
      <c r="CL55" s="101">
        <f>IFERROR(s_RadSpec!$H$24*(CL24/$B55),".")</f>
        <v>0</v>
      </c>
      <c r="CM55" s="101">
        <f>IFERROR(s_RadSpec!$H$24*(CM24/$B55),".")</f>
        <v>0</v>
      </c>
      <c r="CN55" s="101">
        <f>IFERROR(s_RadSpec!$H$24*(CN24/$B55),".")</f>
        <v>0</v>
      </c>
      <c r="CO55" s="101">
        <f>IFERROR(s_RadSpec!$H$24*(CO24/$B55),".")</f>
        <v>0</v>
      </c>
      <c r="CP55" s="101">
        <f>IFERROR(s_RadSpec!$H$24*(CP24/$B55),".")</f>
        <v>0</v>
      </c>
      <c r="CQ55" s="101">
        <f>IFERROR(s_RadSpec!$H$24*(CQ24/$B55),".")</f>
        <v>0</v>
      </c>
      <c r="CR55" s="101">
        <f>IFERROR(s_RadSpec!$H$24*(CR24/$B55),".")</f>
        <v>0</v>
      </c>
      <c r="CS55" s="101">
        <f>IFERROR(s_RadSpec!$H$24*(CS24/$B55),".")</f>
        <v>0</v>
      </c>
      <c r="CT55" s="101">
        <f>IFERROR(s_RadSpec!$H$24*(CT24/$B55),".")</f>
        <v>0</v>
      </c>
      <c r="CU55" s="101">
        <f>IFERROR(s_RadSpec!$H$24*(CU24/$B55),".")</f>
        <v>0</v>
      </c>
      <c r="CV55" s="101">
        <f>IFERROR(s_RadSpec!$H$24*(CV24/$B55),".")</f>
        <v>0</v>
      </c>
      <c r="CW55" s="101">
        <f>IFERROR(s_RadSpec!$H$24*(CW24/$B55),".")</f>
        <v>0</v>
      </c>
      <c r="CX55" s="101">
        <f>IFERROR(s_RadSpec!$H$24*(CX24/$B55),".")</f>
        <v>0</v>
      </c>
      <c r="CY55" s="101">
        <f>IFERROR(s_RadSpec!$H$24*(CY24/$B55),".")</f>
        <v>0</v>
      </c>
      <c r="CZ55" s="101">
        <f>IFERROR(s_RadSpec!$H$24*(CZ24/$B55),".")</f>
        <v>0</v>
      </c>
      <c r="DA55" s="101">
        <f>IFERROR(s_RadSpec!$H$24*(DA24/$B55),".")</f>
        <v>0</v>
      </c>
      <c r="DB55" s="101">
        <f>IFERROR(s_RadSpec!$H$24*(DB24/$B55),".")</f>
        <v>0</v>
      </c>
    </row>
    <row r="56" spans="1:106" x14ac:dyDescent="0.25">
      <c r="A56" s="99" t="s">
        <v>1091</v>
      </c>
      <c r="B56" s="90">
        <v>0.99979000004200003</v>
      </c>
      <c r="C56" s="100">
        <f t="shared" ref="C56" si="183">IFERROR($B56/C20,0)</f>
        <v>0</v>
      </c>
      <c r="D56" s="100">
        <f t="shared" ref="D56:AB56" si="184">IFERROR($B56/D20,0)</f>
        <v>0</v>
      </c>
      <c r="E56" s="100">
        <f t="shared" si="184"/>
        <v>0</v>
      </c>
      <c r="F56" s="100">
        <f t="shared" si="184"/>
        <v>0</v>
      </c>
      <c r="G56" s="100">
        <f t="shared" si="184"/>
        <v>0</v>
      </c>
      <c r="H56" s="100">
        <f t="shared" si="184"/>
        <v>0</v>
      </c>
      <c r="I56" s="100">
        <f t="shared" si="184"/>
        <v>0</v>
      </c>
      <c r="J56" s="100">
        <f t="shared" si="184"/>
        <v>0</v>
      </c>
      <c r="K56" s="100">
        <f t="shared" si="184"/>
        <v>0</v>
      </c>
      <c r="L56" s="100">
        <f t="shared" si="184"/>
        <v>0</v>
      </c>
      <c r="M56" s="100">
        <f t="shared" si="184"/>
        <v>0</v>
      </c>
      <c r="N56" s="100">
        <f t="shared" si="184"/>
        <v>0</v>
      </c>
      <c r="O56" s="100">
        <f t="shared" si="184"/>
        <v>0</v>
      </c>
      <c r="P56" s="100">
        <f t="shared" si="184"/>
        <v>0</v>
      </c>
      <c r="Q56" s="100">
        <f t="shared" si="184"/>
        <v>0</v>
      </c>
      <c r="R56" s="100">
        <f t="shared" si="184"/>
        <v>0</v>
      </c>
      <c r="S56" s="100">
        <f t="shared" si="184"/>
        <v>0</v>
      </c>
      <c r="T56" s="100">
        <f t="shared" si="184"/>
        <v>0</v>
      </c>
      <c r="U56" s="100">
        <f t="shared" ref="U56" si="185">IFERROR($B56/U20,0)</f>
        <v>0</v>
      </c>
      <c r="V56" s="100">
        <f t="shared" si="184"/>
        <v>0</v>
      </c>
      <c r="W56" s="100">
        <f t="shared" si="184"/>
        <v>0</v>
      </c>
      <c r="X56" s="100">
        <f t="shared" si="184"/>
        <v>0</v>
      </c>
      <c r="Y56" s="100">
        <f t="shared" si="184"/>
        <v>0</v>
      </c>
      <c r="Z56" s="100">
        <f t="shared" si="184"/>
        <v>0</v>
      </c>
      <c r="AA56" s="100">
        <f t="shared" si="184"/>
        <v>0</v>
      </c>
      <c r="AB56" s="100">
        <f t="shared" si="184"/>
        <v>0</v>
      </c>
      <c r="AC56" s="49">
        <f t="shared" si="5"/>
        <v>0</v>
      </c>
      <c r="AD56" s="101">
        <f>IFERROR(s_RadSpec!$H$20*(AD20/$B56),".")</f>
        <v>0</v>
      </c>
      <c r="AE56" s="101">
        <f>IFERROR(s_RadSpec!$H$20*(AE20/$B56),".")</f>
        <v>0</v>
      </c>
      <c r="AF56" s="101">
        <f>IFERROR(s_RadSpec!$H$20*(AF20/$B56),".")</f>
        <v>0</v>
      </c>
      <c r="AG56" s="101">
        <f>IFERROR(s_RadSpec!$H$20*(AG20/$B56),".")</f>
        <v>0</v>
      </c>
      <c r="AH56" s="101">
        <f>IFERROR(s_RadSpec!$H$20*(AH20/$B56),".")</f>
        <v>0</v>
      </c>
      <c r="AI56" s="101">
        <f>IFERROR(s_RadSpec!$H$20*(AI20/$B56),".")</f>
        <v>0</v>
      </c>
      <c r="AJ56" s="101">
        <f>IFERROR(s_RadSpec!$H$20*(AJ20/$B56),".")</f>
        <v>0</v>
      </c>
      <c r="AK56" s="101">
        <f>IFERROR(s_RadSpec!$H$20*(AK20/$B56),".")</f>
        <v>0</v>
      </c>
      <c r="AL56" s="101">
        <f>IFERROR(s_RadSpec!$H$20*(AL20/$B56),".")</f>
        <v>0</v>
      </c>
      <c r="AM56" s="101">
        <f>IFERROR(s_RadSpec!$H$20*(AM20/$B56),".")</f>
        <v>0</v>
      </c>
      <c r="AN56" s="101">
        <f>IFERROR(s_RadSpec!$H$20*(AN20/$B56),".")</f>
        <v>0</v>
      </c>
      <c r="AO56" s="101">
        <f>IFERROR(s_RadSpec!$H$20*(AO20/$B56),".")</f>
        <v>0</v>
      </c>
      <c r="AP56" s="101">
        <f>IFERROR(s_RadSpec!$H$20*(AP20/$B56),".")</f>
        <v>0</v>
      </c>
      <c r="AQ56" s="101">
        <f>IFERROR(s_RadSpec!$H$20*(AQ20/$B56),".")</f>
        <v>0</v>
      </c>
      <c r="AR56" s="101">
        <f>IFERROR(s_RadSpec!$H$20*(AR20/$B56),".")</f>
        <v>0</v>
      </c>
      <c r="AS56" s="101">
        <f>IFERROR(s_RadSpec!$H$20*(AS20/$B56),".")</f>
        <v>0</v>
      </c>
      <c r="AT56" s="101">
        <f>IFERROR(s_RadSpec!$H$20*(AT20/$B56),".")</f>
        <v>0</v>
      </c>
      <c r="AU56" s="101">
        <f>IFERROR(s_RadSpec!$H$20*(AU20/$B56),".")</f>
        <v>0</v>
      </c>
      <c r="AV56" s="101">
        <f>IFERROR(s_RadSpec!$H$20*(AV20/$B56),".")</f>
        <v>0</v>
      </c>
      <c r="AW56" s="101">
        <f>IFERROR(s_RadSpec!$H$20*(AW20/$B56),".")</f>
        <v>0</v>
      </c>
      <c r="AX56" s="101">
        <f>IFERROR(s_RadSpec!$H$20*(AX20/$B56),".")</f>
        <v>0</v>
      </c>
      <c r="AY56" s="101">
        <f>IFERROR(s_RadSpec!$H$20*(AY20/$B56),".")</f>
        <v>0</v>
      </c>
      <c r="AZ56" s="101">
        <f>IFERROR(s_RadSpec!$H$20*(AZ20/$B56),".")</f>
        <v>0</v>
      </c>
      <c r="BA56" s="101">
        <f>IFERROR(s_RadSpec!$H$20*(BA20/$B56),".")</f>
        <v>0</v>
      </c>
      <c r="BB56" s="101">
        <f>IFERROR(s_RadSpec!$H$20*(BB20/$B56),".")</f>
        <v>0</v>
      </c>
      <c r="BC56" s="100">
        <f t="shared" ref="BC56" si="186">IFERROR($B56/BC20,0)</f>
        <v>0</v>
      </c>
      <c r="BD56" s="100">
        <f t="shared" ref="BD56:CB56" si="187">IFERROR($B56/BD20,0)</f>
        <v>0</v>
      </c>
      <c r="BE56" s="100">
        <f t="shared" si="187"/>
        <v>0</v>
      </c>
      <c r="BF56" s="100">
        <f t="shared" si="187"/>
        <v>0</v>
      </c>
      <c r="BG56" s="100">
        <f t="shared" si="187"/>
        <v>0</v>
      </c>
      <c r="BH56" s="100">
        <f t="shared" si="187"/>
        <v>0</v>
      </c>
      <c r="BI56" s="100">
        <f t="shared" si="187"/>
        <v>0</v>
      </c>
      <c r="BJ56" s="100">
        <f t="shared" si="187"/>
        <v>0</v>
      </c>
      <c r="BK56" s="100">
        <f t="shared" si="187"/>
        <v>0</v>
      </c>
      <c r="BL56" s="100">
        <f t="shared" si="187"/>
        <v>0</v>
      </c>
      <c r="BM56" s="100">
        <f t="shared" si="187"/>
        <v>0</v>
      </c>
      <c r="BN56" s="100">
        <f t="shared" si="187"/>
        <v>0</v>
      </c>
      <c r="BO56" s="100">
        <f t="shared" si="187"/>
        <v>0</v>
      </c>
      <c r="BP56" s="100">
        <f t="shared" si="187"/>
        <v>0</v>
      </c>
      <c r="BQ56" s="100">
        <f t="shared" si="187"/>
        <v>0</v>
      </c>
      <c r="BR56" s="100">
        <f t="shared" si="187"/>
        <v>0</v>
      </c>
      <c r="BS56" s="100">
        <f t="shared" si="187"/>
        <v>0</v>
      </c>
      <c r="BT56" s="100">
        <f t="shared" si="187"/>
        <v>0</v>
      </c>
      <c r="BU56" s="100">
        <f t="shared" ref="BU56" si="188">IFERROR($B56/BU20,0)</f>
        <v>0</v>
      </c>
      <c r="BV56" s="100">
        <f t="shared" si="187"/>
        <v>0</v>
      </c>
      <c r="BW56" s="100">
        <f t="shared" si="187"/>
        <v>0</v>
      </c>
      <c r="BX56" s="100">
        <f t="shared" si="187"/>
        <v>0</v>
      </c>
      <c r="BY56" s="100">
        <f t="shared" si="187"/>
        <v>0</v>
      </c>
      <c r="BZ56" s="100">
        <f t="shared" si="187"/>
        <v>0</v>
      </c>
      <c r="CA56" s="100">
        <f t="shared" si="187"/>
        <v>0</v>
      </c>
      <c r="CB56" s="100">
        <f t="shared" si="187"/>
        <v>0</v>
      </c>
      <c r="CC56" s="49">
        <f t="shared" si="2"/>
        <v>0</v>
      </c>
      <c r="CD56" s="101">
        <f>IFERROR(s_RadSpec!$H$20*(CD20/$B56),".")</f>
        <v>0</v>
      </c>
      <c r="CE56" s="101">
        <f>IFERROR(s_RadSpec!$H$20*(CE20/$B56),".")</f>
        <v>0</v>
      </c>
      <c r="CF56" s="101">
        <f>IFERROR(s_RadSpec!$H$20*(CF20/$B56),".")</f>
        <v>0</v>
      </c>
      <c r="CG56" s="101">
        <f>IFERROR(s_RadSpec!$H$20*(CG20/$B56),".")</f>
        <v>0</v>
      </c>
      <c r="CH56" s="101">
        <f>IFERROR(s_RadSpec!$H$20*(CH20/$B56),".")</f>
        <v>0</v>
      </c>
      <c r="CI56" s="101">
        <f>IFERROR(s_RadSpec!$H$20*(CI20/$B56),".")</f>
        <v>0</v>
      </c>
      <c r="CJ56" s="101">
        <f>IFERROR(s_RadSpec!$H$20*(CJ20/$B56),".")</f>
        <v>0</v>
      </c>
      <c r="CK56" s="101">
        <f>IFERROR(s_RadSpec!$H$20*(CK20/$B56),".")</f>
        <v>0</v>
      </c>
      <c r="CL56" s="101">
        <f>IFERROR(s_RadSpec!$H$20*(CL20/$B56),".")</f>
        <v>0</v>
      </c>
      <c r="CM56" s="101">
        <f>IFERROR(s_RadSpec!$H$20*(CM20/$B56),".")</f>
        <v>0</v>
      </c>
      <c r="CN56" s="101">
        <f>IFERROR(s_RadSpec!$H$20*(CN20/$B56),".")</f>
        <v>0</v>
      </c>
      <c r="CO56" s="101">
        <f>IFERROR(s_RadSpec!$H$20*(CO20/$B56),".")</f>
        <v>0</v>
      </c>
      <c r="CP56" s="101">
        <f>IFERROR(s_RadSpec!$H$20*(CP20/$B56),".")</f>
        <v>0</v>
      </c>
      <c r="CQ56" s="101">
        <f>IFERROR(s_RadSpec!$H$20*(CQ20/$B56),".")</f>
        <v>0</v>
      </c>
      <c r="CR56" s="101">
        <f>IFERROR(s_RadSpec!$H$20*(CR20/$B56),".")</f>
        <v>0</v>
      </c>
      <c r="CS56" s="101">
        <f>IFERROR(s_RadSpec!$H$20*(CS20/$B56),".")</f>
        <v>0</v>
      </c>
      <c r="CT56" s="101">
        <f>IFERROR(s_RadSpec!$H$20*(CT20/$B56),".")</f>
        <v>0</v>
      </c>
      <c r="CU56" s="101">
        <f>IFERROR(s_RadSpec!$H$20*(CU20/$B56),".")</f>
        <v>0</v>
      </c>
      <c r="CV56" s="101">
        <f>IFERROR(s_RadSpec!$H$20*(CV20/$B56),".")</f>
        <v>0</v>
      </c>
      <c r="CW56" s="101">
        <f>IFERROR(s_RadSpec!$H$20*(CW20/$B56),".")</f>
        <v>0</v>
      </c>
      <c r="CX56" s="101">
        <f>IFERROR(s_RadSpec!$H$20*(CX20/$B56),".")</f>
        <v>0</v>
      </c>
      <c r="CY56" s="101">
        <f>IFERROR(s_RadSpec!$H$20*(CY20/$B56),".")</f>
        <v>0</v>
      </c>
      <c r="CZ56" s="101">
        <f>IFERROR(s_RadSpec!$H$20*(CZ20/$B56),".")</f>
        <v>0</v>
      </c>
      <c r="DA56" s="101">
        <f>IFERROR(s_RadSpec!$H$20*(DA20/$B56),".")</f>
        <v>0</v>
      </c>
      <c r="DB56" s="101">
        <f>IFERROR(s_RadSpec!$H$20*(DB20/$B56),".")</f>
        <v>0</v>
      </c>
    </row>
    <row r="57" spans="1:106" x14ac:dyDescent="0.25">
      <c r="A57" s="99" t="s">
        <v>1092</v>
      </c>
      <c r="B57" s="90">
        <v>2.0999995799999999E-4</v>
      </c>
      <c r="C57" s="100">
        <f t="shared" ref="C57" si="189">IFERROR($B57/C29,0)</f>
        <v>0</v>
      </c>
      <c r="D57" s="100">
        <f t="shared" ref="D57:AB57" si="190">IFERROR($B57/D29,0)</f>
        <v>0</v>
      </c>
      <c r="E57" s="100">
        <f t="shared" si="190"/>
        <v>0</v>
      </c>
      <c r="F57" s="100">
        <f t="shared" si="190"/>
        <v>0</v>
      </c>
      <c r="G57" s="100">
        <f t="shared" si="190"/>
        <v>0</v>
      </c>
      <c r="H57" s="100">
        <f t="shared" si="190"/>
        <v>0</v>
      </c>
      <c r="I57" s="100">
        <f t="shared" si="190"/>
        <v>0</v>
      </c>
      <c r="J57" s="100">
        <f t="shared" si="190"/>
        <v>0</v>
      </c>
      <c r="K57" s="100">
        <f t="shared" si="190"/>
        <v>0</v>
      </c>
      <c r="L57" s="100">
        <f t="shared" si="190"/>
        <v>0</v>
      </c>
      <c r="M57" s="100">
        <f t="shared" si="190"/>
        <v>0</v>
      </c>
      <c r="N57" s="100">
        <f t="shared" si="190"/>
        <v>0</v>
      </c>
      <c r="O57" s="100">
        <f t="shared" si="190"/>
        <v>0</v>
      </c>
      <c r="P57" s="100">
        <f t="shared" si="190"/>
        <v>0</v>
      </c>
      <c r="Q57" s="100">
        <f t="shared" si="190"/>
        <v>0</v>
      </c>
      <c r="R57" s="100">
        <f t="shared" si="190"/>
        <v>0</v>
      </c>
      <c r="S57" s="100">
        <f t="shared" si="190"/>
        <v>0</v>
      </c>
      <c r="T57" s="100">
        <f t="shared" si="190"/>
        <v>0</v>
      </c>
      <c r="U57" s="100">
        <f t="shared" ref="U57" si="191">IFERROR($B57/U29,0)</f>
        <v>0</v>
      </c>
      <c r="V57" s="100">
        <f t="shared" si="190"/>
        <v>0</v>
      </c>
      <c r="W57" s="100">
        <f t="shared" si="190"/>
        <v>0</v>
      </c>
      <c r="X57" s="100">
        <f t="shared" si="190"/>
        <v>0</v>
      </c>
      <c r="Y57" s="100">
        <f t="shared" si="190"/>
        <v>0</v>
      </c>
      <c r="Z57" s="100">
        <f t="shared" si="190"/>
        <v>0</v>
      </c>
      <c r="AA57" s="100">
        <f t="shared" si="190"/>
        <v>0</v>
      </c>
      <c r="AB57" s="100">
        <f t="shared" si="190"/>
        <v>0</v>
      </c>
      <c r="AC57" s="49">
        <f t="shared" si="5"/>
        <v>0</v>
      </c>
      <c r="AD57" s="101">
        <f>IFERROR(s_RadSpec!$H$29*(AD29/$B57),".")</f>
        <v>0</v>
      </c>
      <c r="AE57" s="101">
        <f>IFERROR(s_RadSpec!$H$29*(AE29/$B57),".")</f>
        <v>0</v>
      </c>
      <c r="AF57" s="101">
        <f>IFERROR(s_RadSpec!$H$29*(AF29/$B57),".")</f>
        <v>0</v>
      </c>
      <c r="AG57" s="101">
        <f>IFERROR(s_RadSpec!$H$29*(AG29/$B57),".")</f>
        <v>0</v>
      </c>
      <c r="AH57" s="101">
        <f>IFERROR(s_RadSpec!$H$29*(AH29/$B57),".")</f>
        <v>0</v>
      </c>
      <c r="AI57" s="101">
        <f>IFERROR(s_RadSpec!$H$29*(AI29/$B57),".")</f>
        <v>0</v>
      </c>
      <c r="AJ57" s="101">
        <f>IFERROR(s_RadSpec!$H$29*(AJ29/$B57),".")</f>
        <v>0</v>
      </c>
      <c r="AK57" s="101">
        <f>IFERROR(s_RadSpec!$H$29*(AK29/$B57),".")</f>
        <v>0</v>
      </c>
      <c r="AL57" s="101">
        <f>IFERROR(s_RadSpec!$H$29*(AL29/$B57),".")</f>
        <v>0</v>
      </c>
      <c r="AM57" s="101">
        <f>IFERROR(s_RadSpec!$H$29*(AM29/$B57),".")</f>
        <v>0</v>
      </c>
      <c r="AN57" s="101">
        <f>IFERROR(s_RadSpec!$H$29*(AN29/$B57),".")</f>
        <v>0</v>
      </c>
      <c r="AO57" s="101">
        <f>IFERROR(s_RadSpec!$H$29*(AO29/$B57),".")</f>
        <v>0</v>
      </c>
      <c r="AP57" s="101">
        <f>IFERROR(s_RadSpec!$H$29*(AP29/$B57),".")</f>
        <v>0</v>
      </c>
      <c r="AQ57" s="101">
        <f>IFERROR(s_RadSpec!$H$29*(AQ29/$B57),".")</f>
        <v>0</v>
      </c>
      <c r="AR57" s="101">
        <f>IFERROR(s_RadSpec!$H$29*(AR29/$B57),".")</f>
        <v>0</v>
      </c>
      <c r="AS57" s="101">
        <f>IFERROR(s_RadSpec!$H$29*(AS29/$B57),".")</f>
        <v>0</v>
      </c>
      <c r="AT57" s="101">
        <f>IFERROR(s_RadSpec!$H$29*(AT29/$B57),".")</f>
        <v>0</v>
      </c>
      <c r="AU57" s="101">
        <f>IFERROR(s_RadSpec!$H$29*(AU29/$B57),".")</f>
        <v>0</v>
      </c>
      <c r="AV57" s="101">
        <f>IFERROR(s_RadSpec!$H$29*(AV29/$B57),".")</f>
        <v>0</v>
      </c>
      <c r="AW57" s="101">
        <f>IFERROR(s_RadSpec!$H$29*(AW29/$B57),".")</f>
        <v>0</v>
      </c>
      <c r="AX57" s="101">
        <f>IFERROR(s_RadSpec!$H$29*(AX29/$B57),".")</f>
        <v>0</v>
      </c>
      <c r="AY57" s="101">
        <f>IFERROR(s_RadSpec!$H$29*(AY29/$B57),".")</f>
        <v>0</v>
      </c>
      <c r="AZ57" s="101">
        <f>IFERROR(s_RadSpec!$H$29*(AZ29/$B57),".")</f>
        <v>0</v>
      </c>
      <c r="BA57" s="101">
        <f>IFERROR(s_RadSpec!$H$29*(BA29/$B57),".")</f>
        <v>0</v>
      </c>
      <c r="BB57" s="101">
        <f>IFERROR(s_RadSpec!$H$29*(BB29/$B57),".")</f>
        <v>0</v>
      </c>
      <c r="BC57" s="100">
        <f t="shared" ref="BC57" si="192">IFERROR($B57/BC29,0)</f>
        <v>0</v>
      </c>
      <c r="BD57" s="100">
        <f t="shared" ref="BD57:CB57" si="193">IFERROR($B57/BD29,0)</f>
        <v>0</v>
      </c>
      <c r="BE57" s="100">
        <f t="shared" si="193"/>
        <v>0</v>
      </c>
      <c r="BF57" s="100">
        <f t="shared" si="193"/>
        <v>0</v>
      </c>
      <c r="BG57" s="100">
        <f t="shared" si="193"/>
        <v>0</v>
      </c>
      <c r="BH57" s="100">
        <f t="shared" si="193"/>
        <v>0</v>
      </c>
      <c r="BI57" s="100">
        <f t="shared" si="193"/>
        <v>0</v>
      </c>
      <c r="BJ57" s="100">
        <f t="shared" si="193"/>
        <v>0</v>
      </c>
      <c r="BK57" s="100">
        <f t="shared" si="193"/>
        <v>0</v>
      </c>
      <c r="BL57" s="100">
        <f t="shared" si="193"/>
        <v>0</v>
      </c>
      <c r="BM57" s="100">
        <f t="shared" si="193"/>
        <v>0</v>
      </c>
      <c r="BN57" s="100">
        <f t="shared" si="193"/>
        <v>0</v>
      </c>
      <c r="BO57" s="100">
        <f t="shared" si="193"/>
        <v>0</v>
      </c>
      <c r="BP57" s="100">
        <f t="shared" si="193"/>
        <v>0</v>
      </c>
      <c r="BQ57" s="100">
        <f t="shared" si="193"/>
        <v>0</v>
      </c>
      <c r="BR57" s="100">
        <f t="shared" si="193"/>
        <v>0</v>
      </c>
      <c r="BS57" s="100">
        <f t="shared" si="193"/>
        <v>0</v>
      </c>
      <c r="BT57" s="100">
        <f t="shared" si="193"/>
        <v>0</v>
      </c>
      <c r="BU57" s="100">
        <f t="shared" ref="BU57" si="194">IFERROR($B57/BU29,0)</f>
        <v>0</v>
      </c>
      <c r="BV57" s="100">
        <f t="shared" si="193"/>
        <v>0</v>
      </c>
      <c r="BW57" s="100">
        <f t="shared" si="193"/>
        <v>0</v>
      </c>
      <c r="BX57" s="100">
        <f t="shared" si="193"/>
        <v>0</v>
      </c>
      <c r="BY57" s="100">
        <f t="shared" si="193"/>
        <v>0</v>
      </c>
      <c r="BZ57" s="100">
        <f t="shared" si="193"/>
        <v>0</v>
      </c>
      <c r="CA57" s="100">
        <f t="shared" si="193"/>
        <v>0</v>
      </c>
      <c r="CB57" s="100">
        <f t="shared" si="193"/>
        <v>0</v>
      </c>
      <c r="CC57" s="49">
        <f t="shared" si="2"/>
        <v>0</v>
      </c>
      <c r="CD57" s="101">
        <f>IFERROR(s_RadSpec!$H$29*(CD29/$B57),".")</f>
        <v>0</v>
      </c>
      <c r="CE57" s="101">
        <f>IFERROR(s_RadSpec!$H$29*(CE29/$B57),".")</f>
        <v>0</v>
      </c>
      <c r="CF57" s="101">
        <f>IFERROR(s_RadSpec!$H$29*(CF29/$B57),".")</f>
        <v>0</v>
      </c>
      <c r="CG57" s="101">
        <f>IFERROR(s_RadSpec!$H$29*(CG29/$B57),".")</f>
        <v>0</v>
      </c>
      <c r="CH57" s="101">
        <f>IFERROR(s_RadSpec!$H$29*(CH29/$B57),".")</f>
        <v>0</v>
      </c>
      <c r="CI57" s="101">
        <f>IFERROR(s_RadSpec!$H$29*(CI29/$B57),".")</f>
        <v>0</v>
      </c>
      <c r="CJ57" s="101">
        <f>IFERROR(s_RadSpec!$H$29*(CJ29/$B57),".")</f>
        <v>0</v>
      </c>
      <c r="CK57" s="101">
        <f>IFERROR(s_RadSpec!$H$29*(CK29/$B57),".")</f>
        <v>0</v>
      </c>
      <c r="CL57" s="101">
        <f>IFERROR(s_RadSpec!$H$29*(CL29/$B57),".")</f>
        <v>0</v>
      </c>
      <c r="CM57" s="101">
        <f>IFERROR(s_RadSpec!$H$29*(CM29/$B57),".")</f>
        <v>0</v>
      </c>
      <c r="CN57" s="101">
        <f>IFERROR(s_RadSpec!$H$29*(CN29/$B57),".")</f>
        <v>0</v>
      </c>
      <c r="CO57" s="101">
        <f>IFERROR(s_RadSpec!$H$29*(CO29/$B57),".")</f>
        <v>0</v>
      </c>
      <c r="CP57" s="101">
        <f>IFERROR(s_RadSpec!$H$29*(CP29/$B57),".")</f>
        <v>0</v>
      </c>
      <c r="CQ57" s="101">
        <f>IFERROR(s_RadSpec!$H$29*(CQ29/$B57),".")</f>
        <v>0</v>
      </c>
      <c r="CR57" s="101">
        <f>IFERROR(s_RadSpec!$H$29*(CR29/$B57),".")</f>
        <v>0</v>
      </c>
      <c r="CS57" s="101">
        <f>IFERROR(s_RadSpec!$H$29*(CS29/$B57),".")</f>
        <v>0</v>
      </c>
      <c r="CT57" s="101">
        <f>IFERROR(s_RadSpec!$H$29*(CT29/$B57),".")</f>
        <v>0</v>
      </c>
      <c r="CU57" s="101">
        <f>IFERROR(s_RadSpec!$H$29*(CU29/$B57),".")</f>
        <v>0</v>
      </c>
      <c r="CV57" s="101">
        <f>IFERROR(s_RadSpec!$H$29*(CV29/$B57),".")</f>
        <v>0</v>
      </c>
      <c r="CW57" s="101">
        <f>IFERROR(s_RadSpec!$H$29*(CW29/$B57),".")</f>
        <v>0</v>
      </c>
      <c r="CX57" s="101">
        <f>IFERROR(s_RadSpec!$H$29*(CX29/$B57),".")</f>
        <v>0</v>
      </c>
      <c r="CY57" s="101">
        <f>IFERROR(s_RadSpec!$H$29*(CY29/$B57),".")</f>
        <v>0</v>
      </c>
      <c r="CZ57" s="101">
        <f>IFERROR(s_RadSpec!$H$29*(CZ29/$B57),".")</f>
        <v>0</v>
      </c>
      <c r="DA57" s="101">
        <f>IFERROR(s_RadSpec!$H$29*(DA29/$B57),".")</f>
        <v>0</v>
      </c>
      <c r="DB57" s="101">
        <f>IFERROR(s_RadSpec!$H$29*(DB29/$B57),".")</f>
        <v>0</v>
      </c>
    </row>
    <row r="58" spans="1:106" x14ac:dyDescent="0.25">
      <c r="A58" s="99" t="s">
        <v>1093</v>
      </c>
      <c r="B58" s="90">
        <v>1</v>
      </c>
      <c r="C58" s="100">
        <f t="shared" ref="C58" si="195">IFERROR($B58/C16,0)</f>
        <v>0.19219078056038796</v>
      </c>
      <c r="D58" s="100">
        <f t="shared" ref="D58:AB58" si="196">IFERROR($B58/D16,0)</f>
        <v>4.8703640391164545E-2</v>
      </c>
      <c r="E58" s="100">
        <f t="shared" si="196"/>
        <v>9.820894235852741E-2</v>
      </c>
      <c r="F58" s="100">
        <f t="shared" si="196"/>
        <v>5.2239733388833323E-2</v>
      </c>
      <c r="G58" s="100">
        <f t="shared" si="196"/>
        <v>4.8703640391164545E-2</v>
      </c>
      <c r="H58" s="100">
        <f t="shared" si="196"/>
        <v>5.2239733388833323E-2</v>
      </c>
      <c r="I58" s="100">
        <f t="shared" si="196"/>
        <v>9.820894235852741E-2</v>
      </c>
      <c r="J58" s="100">
        <f t="shared" si="196"/>
        <v>5.2239733388833323E-2</v>
      </c>
      <c r="K58" s="100">
        <f t="shared" si="196"/>
        <v>4.8703640391164545E-2</v>
      </c>
      <c r="L58" s="100">
        <f t="shared" si="196"/>
        <v>4.2480116715267503E-2</v>
      </c>
      <c r="M58" s="100">
        <f t="shared" si="196"/>
        <v>5.2239733388833323E-2</v>
      </c>
      <c r="N58" s="100">
        <f t="shared" si="196"/>
        <v>9.820894235852741E-2</v>
      </c>
      <c r="O58" s="100">
        <f t="shared" si="196"/>
        <v>4.5379712973355892E-2</v>
      </c>
      <c r="P58" s="100">
        <f t="shared" si="196"/>
        <v>5.2239733388833323E-2</v>
      </c>
      <c r="Q58" s="100">
        <f t="shared" si="196"/>
        <v>5.2239733388833323E-2</v>
      </c>
      <c r="R58" s="100">
        <f t="shared" si="196"/>
        <v>4.8703640391164545E-2</v>
      </c>
      <c r="S58" s="100">
        <f t="shared" si="196"/>
        <v>4.8703640391164545E-2</v>
      </c>
      <c r="T58" s="100">
        <f t="shared" si="196"/>
        <v>4.5379712973355892E-2</v>
      </c>
      <c r="U58" s="100">
        <f t="shared" ref="U58" si="197">IFERROR($B58/U16,0)</f>
        <v>5.2239733388833323E-2</v>
      </c>
      <c r="V58" s="100">
        <f t="shared" si="196"/>
        <v>4.2692282295127629E-2</v>
      </c>
      <c r="W58" s="100">
        <f t="shared" si="196"/>
        <v>5.2239733388833323E-2</v>
      </c>
      <c r="X58" s="100">
        <f t="shared" si="196"/>
        <v>4.5379712973355892E-2</v>
      </c>
      <c r="Y58" s="100">
        <f t="shared" si="196"/>
        <v>4.8703640391164545E-2</v>
      </c>
      <c r="Z58" s="100">
        <f t="shared" si="196"/>
        <v>5.2239733388833323E-2</v>
      </c>
      <c r="AA58" s="100">
        <f t="shared" si="196"/>
        <v>4.1836547789691786E-2</v>
      </c>
      <c r="AB58" s="100">
        <f t="shared" si="196"/>
        <v>4.9410858990698303E-2</v>
      </c>
      <c r="AC58" s="49">
        <f t="shared" si="5"/>
        <v>9.609539028019396E-6</v>
      </c>
      <c r="AD58" s="101">
        <f>IFERROR(s_RadSpec!$H$16*(AD16/$B58),".")</f>
        <v>2.4351820195582274E-6</v>
      </c>
      <c r="AE58" s="101">
        <f>IFERROR(s_RadSpec!$H$16*(AE16/$B58),".")</f>
        <v>4.9104471179263705E-6</v>
      </c>
      <c r="AF58" s="101">
        <f>IFERROR(s_RadSpec!$H$16*(AF16/$B58),".")</f>
        <v>2.6119866694416662E-6</v>
      </c>
      <c r="AG58" s="101">
        <f>IFERROR(s_RadSpec!$H$16*(AG16/$B58),".")</f>
        <v>2.4351820195582274E-6</v>
      </c>
      <c r="AH58" s="101">
        <f>IFERROR(s_RadSpec!$H$16*(AH16/$B58),".")</f>
        <v>2.6119866694416662E-6</v>
      </c>
      <c r="AI58" s="101">
        <f>IFERROR(s_RadSpec!$H$16*(AI16/$B58),".")</f>
        <v>4.9104471179263705E-6</v>
      </c>
      <c r="AJ58" s="101">
        <f>IFERROR(s_RadSpec!$H$16*(AJ16/$B58),".")</f>
        <v>2.6119866694416662E-6</v>
      </c>
      <c r="AK58" s="101">
        <f>IFERROR(s_RadSpec!$H$16*(AK16/$B58),".")</f>
        <v>2.4351820195582274E-6</v>
      </c>
      <c r="AL58" s="101">
        <f>IFERROR(s_RadSpec!$H$16*(AL16/$B58),".")</f>
        <v>2.1240058357633753E-6</v>
      </c>
      <c r="AM58" s="101">
        <f>IFERROR(s_RadSpec!$H$16*(AM16/$B58),".")</f>
        <v>2.6119866694416662E-6</v>
      </c>
      <c r="AN58" s="101">
        <f>IFERROR(s_RadSpec!$H$16*(AN16/$B58),".")</f>
        <v>4.9104471179263705E-6</v>
      </c>
      <c r="AO58" s="101">
        <f>IFERROR(s_RadSpec!$H$16*(AO16/$B58),".")</f>
        <v>2.2689856486677947E-6</v>
      </c>
      <c r="AP58" s="101">
        <f>IFERROR(s_RadSpec!$H$16*(AP16/$B58),".")</f>
        <v>2.6119866694416662E-6</v>
      </c>
      <c r="AQ58" s="101">
        <f>IFERROR(s_RadSpec!$H$16*(AQ16/$B58),".")</f>
        <v>2.6119866694416662E-6</v>
      </c>
      <c r="AR58" s="101">
        <f>IFERROR(s_RadSpec!$H$16*(AR16/$B58),".")</f>
        <v>2.4351820195582274E-6</v>
      </c>
      <c r="AS58" s="101">
        <f>IFERROR(s_RadSpec!$H$16*(AS16/$B58),".")</f>
        <v>2.4351820195582274E-6</v>
      </c>
      <c r="AT58" s="101">
        <f>IFERROR(s_RadSpec!$H$16*(AT16/$B58),".")</f>
        <v>2.2689856486677947E-6</v>
      </c>
      <c r="AU58" s="101">
        <f>IFERROR(s_RadSpec!$H$16*(AU16/$B58),".")</f>
        <v>2.6119866694416662E-6</v>
      </c>
      <c r="AV58" s="101">
        <f>IFERROR(s_RadSpec!$H$16*(AV16/$B58),".")</f>
        <v>2.1346141147563814E-6</v>
      </c>
      <c r="AW58" s="101">
        <f>IFERROR(s_RadSpec!$H$16*(AW16/$B58),".")</f>
        <v>2.6119866694416662E-6</v>
      </c>
      <c r="AX58" s="101">
        <f>IFERROR(s_RadSpec!$H$16*(AX16/$B58),".")</f>
        <v>2.2689856486677947E-6</v>
      </c>
      <c r="AY58" s="101">
        <f>IFERROR(s_RadSpec!$H$16*(AY16/$B58),".")</f>
        <v>2.4351820195582274E-6</v>
      </c>
      <c r="AZ58" s="101">
        <f>IFERROR(s_RadSpec!$H$16*(AZ16/$B58),".")</f>
        <v>2.6119866694416662E-6</v>
      </c>
      <c r="BA58" s="101">
        <f>IFERROR(s_RadSpec!$H$16*(BA16/$B58),".")</f>
        <v>2.091827389484589E-6</v>
      </c>
      <c r="BB58" s="101">
        <f>IFERROR(s_RadSpec!$H$16*(BB16/$B58),".")</f>
        <v>2.470542949534915E-6</v>
      </c>
      <c r="BC58" s="100">
        <f t="shared" ref="BC58" si="198">IFERROR($B58/BC16,0)</f>
        <v>0.19219078056038796</v>
      </c>
      <c r="BD58" s="100">
        <f t="shared" ref="BD58:CB58" si="199">IFERROR($B58/BD16,0)</f>
        <v>4.8703640391164545E-2</v>
      </c>
      <c r="BE58" s="100">
        <f t="shared" si="199"/>
        <v>9.820894235852741E-2</v>
      </c>
      <c r="BF58" s="100">
        <f t="shared" si="199"/>
        <v>5.2239733388833323E-2</v>
      </c>
      <c r="BG58" s="100">
        <f t="shared" si="199"/>
        <v>4.8703640391164545E-2</v>
      </c>
      <c r="BH58" s="100">
        <f t="shared" si="199"/>
        <v>5.2239733388833323E-2</v>
      </c>
      <c r="BI58" s="100">
        <f t="shared" si="199"/>
        <v>9.820894235852741E-2</v>
      </c>
      <c r="BJ58" s="100">
        <f t="shared" si="199"/>
        <v>5.2239733388833323E-2</v>
      </c>
      <c r="BK58" s="100">
        <f t="shared" si="199"/>
        <v>4.8703640391164545E-2</v>
      </c>
      <c r="BL58" s="100">
        <f t="shared" si="199"/>
        <v>4.2480116715267503E-2</v>
      </c>
      <c r="BM58" s="100">
        <f t="shared" si="199"/>
        <v>5.2239733388833323E-2</v>
      </c>
      <c r="BN58" s="100">
        <f t="shared" si="199"/>
        <v>9.820894235852741E-2</v>
      </c>
      <c r="BO58" s="100">
        <f t="shared" si="199"/>
        <v>4.5379712973355892E-2</v>
      </c>
      <c r="BP58" s="100">
        <f t="shared" si="199"/>
        <v>5.2239733388833323E-2</v>
      </c>
      <c r="BQ58" s="100">
        <f t="shared" si="199"/>
        <v>5.2239733388833323E-2</v>
      </c>
      <c r="BR58" s="100">
        <f t="shared" si="199"/>
        <v>4.8703640391164545E-2</v>
      </c>
      <c r="BS58" s="100">
        <f t="shared" si="199"/>
        <v>4.8703640391164545E-2</v>
      </c>
      <c r="BT58" s="100">
        <f t="shared" si="199"/>
        <v>4.5379712973355892E-2</v>
      </c>
      <c r="BU58" s="100">
        <f t="shared" ref="BU58" si="200">IFERROR($B58/BU16,0)</f>
        <v>5.2239733388833323E-2</v>
      </c>
      <c r="BV58" s="100">
        <f t="shared" si="199"/>
        <v>4.2692282295127629E-2</v>
      </c>
      <c r="BW58" s="100">
        <f t="shared" si="199"/>
        <v>5.2239733388833323E-2</v>
      </c>
      <c r="BX58" s="100">
        <f t="shared" si="199"/>
        <v>4.5379712973355892E-2</v>
      </c>
      <c r="BY58" s="100">
        <f t="shared" si="199"/>
        <v>4.8703640391164545E-2</v>
      </c>
      <c r="BZ58" s="100">
        <f t="shared" si="199"/>
        <v>5.2239733388833323E-2</v>
      </c>
      <c r="CA58" s="100">
        <f t="shared" si="199"/>
        <v>4.1836547789691786E-2</v>
      </c>
      <c r="CB58" s="100">
        <f t="shared" si="199"/>
        <v>4.9410858990698303E-2</v>
      </c>
      <c r="CC58" s="49">
        <f t="shared" si="2"/>
        <v>9.609539028019396E-6</v>
      </c>
      <c r="CD58" s="101">
        <f>IFERROR(s_RadSpec!$H$16*(CD16/$B58),".")</f>
        <v>2.4351820195582274E-6</v>
      </c>
      <c r="CE58" s="101">
        <f>IFERROR(s_RadSpec!$H$16*(CE16/$B58),".")</f>
        <v>4.9104471179263705E-6</v>
      </c>
      <c r="CF58" s="101">
        <f>IFERROR(s_RadSpec!$H$16*(CF16/$B58),".")</f>
        <v>2.6119866694416662E-6</v>
      </c>
      <c r="CG58" s="101">
        <f>IFERROR(s_RadSpec!$H$16*(CG16/$B58),".")</f>
        <v>2.4351820195582274E-6</v>
      </c>
      <c r="CH58" s="101">
        <f>IFERROR(s_RadSpec!$H$16*(CH16/$B58),".")</f>
        <v>2.6119866694416662E-6</v>
      </c>
      <c r="CI58" s="101">
        <f>IFERROR(s_RadSpec!$H$16*(CI16/$B58),".")</f>
        <v>4.9104471179263705E-6</v>
      </c>
      <c r="CJ58" s="101">
        <f>IFERROR(s_RadSpec!$H$16*(CJ16/$B58),".")</f>
        <v>2.6119866694416662E-6</v>
      </c>
      <c r="CK58" s="101">
        <f>IFERROR(s_RadSpec!$H$16*(CK16/$B58),".")</f>
        <v>2.4351820195582274E-6</v>
      </c>
      <c r="CL58" s="101">
        <f>IFERROR(s_RadSpec!$H$16*(CL16/$B58),".")</f>
        <v>2.1240058357633753E-6</v>
      </c>
      <c r="CM58" s="101">
        <f>IFERROR(s_RadSpec!$H$16*(CM16/$B58),".")</f>
        <v>2.6119866694416662E-6</v>
      </c>
      <c r="CN58" s="101">
        <f>IFERROR(s_RadSpec!$H$16*(CN16/$B58),".")</f>
        <v>4.9104471179263705E-6</v>
      </c>
      <c r="CO58" s="101">
        <f>IFERROR(s_RadSpec!$H$16*(CO16/$B58),".")</f>
        <v>2.2689856486677947E-6</v>
      </c>
      <c r="CP58" s="101">
        <f>IFERROR(s_RadSpec!$H$16*(CP16/$B58),".")</f>
        <v>2.6119866694416662E-6</v>
      </c>
      <c r="CQ58" s="101">
        <f>IFERROR(s_RadSpec!$H$16*(CQ16/$B58),".")</f>
        <v>2.6119866694416662E-6</v>
      </c>
      <c r="CR58" s="101">
        <f>IFERROR(s_RadSpec!$H$16*(CR16/$B58),".")</f>
        <v>2.4351820195582274E-6</v>
      </c>
      <c r="CS58" s="101">
        <f>IFERROR(s_RadSpec!$H$16*(CS16/$B58),".")</f>
        <v>2.4351820195582274E-6</v>
      </c>
      <c r="CT58" s="101">
        <f>IFERROR(s_RadSpec!$H$16*(CT16/$B58),".")</f>
        <v>2.2689856486677947E-6</v>
      </c>
      <c r="CU58" s="101">
        <f>IFERROR(s_RadSpec!$H$16*(CU16/$B58),".")</f>
        <v>2.6119866694416662E-6</v>
      </c>
      <c r="CV58" s="101">
        <f>IFERROR(s_RadSpec!$H$16*(CV16/$B58),".")</f>
        <v>2.1346141147563814E-6</v>
      </c>
      <c r="CW58" s="101">
        <f>IFERROR(s_RadSpec!$H$16*(CW16/$B58),".")</f>
        <v>2.6119866694416662E-6</v>
      </c>
      <c r="CX58" s="101">
        <f>IFERROR(s_RadSpec!$H$16*(CX16/$B58),".")</f>
        <v>2.2689856486677947E-6</v>
      </c>
      <c r="CY58" s="101">
        <f>IFERROR(s_RadSpec!$H$16*(CY16/$B58),".")</f>
        <v>2.4351820195582274E-6</v>
      </c>
      <c r="CZ58" s="101">
        <f>IFERROR(s_RadSpec!$H$16*(CZ16/$B58),".")</f>
        <v>2.6119866694416662E-6</v>
      </c>
      <c r="DA58" s="101">
        <f>IFERROR(s_RadSpec!$H$16*(DA16/$B58),".")</f>
        <v>2.091827389484589E-6</v>
      </c>
      <c r="DB58" s="101">
        <f>IFERROR(s_RadSpec!$H$16*(DB16/$B58),".")</f>
        <v>2.470542949534915E-6</v>
      </c>
    </row>
    <row r="59" spans="1:106" x14ac:dyDescent="0.25">
      <c r="A59" s="99" t="s">
        <v>1094</v>
      </c>
      <c r="B59" s="90">
        <v>1</v>
      </c>
      <c r="C59" s="100">
        <f t="shared" ref="C59" si="201">IFERROR($B59/C7,0)</f>
        <v>4.9746373145810414E-3</v>
      </c>
      <c r="D59" s="100">
        <f t="shared" ref="D59:AB59" si="202">IFERROR($B59/D7,0)</f>
        <v>1.2436593286452604E-3</v>
      </c>
      <c r="E59" s="100">
        <f t="shared" si="202"/>
        <v>1.2436593286452604E-3</v>
      </c>
      <c r="F59" s="100">
        <f t="shared" si="202"/>
        <v>1.2436593286452604E-3</v>
      </c>
      <c r="G59" s="100">
        <f t="shared" si="202"/>
        <v>1.2436593286452604E-3</v>
      </c>
      <c r="H59" s="100">
        <f t="shared" si="202"/>
        <v>1.2436593286452604E-3</v>
      </c>
      <c r="I59" s="100">
        <f t="shared" si="202"/>
        <v>1.2436593286452604E-3</v>
      </c>
      <c r="J59" s="100">
        <f t="shared" si="202"/>
        <v>1.2436593286452604E-3</v>
      </c>
      <c r="K59" s="100">
        <f t="shared" si="202"/>
        <v>1.2436593286452604E-3</v>
      </c>
      <c r="L59" s="100">
        <f t="shared" si="202"/>
        <v>1.2436593286452604E-3</v>
      </c>
      <c r="M59" s="100">
        <f t="shared" si="202"/>
        <v>1.2436593286452604E-3</v>
      </c>
      <c r="N59" s="100">
        <f t="shared" si="202"/>
        <v>1.2436593286452604E-3</v>
      </c>
      <c r="O59" s="100">
        <f t="shared" si="202"/>
        <v>1.2436593286452604E-3</v>
      </c>
      <c r="P59" s="100">
        <f t="shared" si="202"/>
        <v>1.2436593286452604E-3</v>
      </c>
      <c r="Q59" s="100">
        <f t="shared" si="202"/>
        <v>1.2436593286452604E-3</v>
      </c>
      <c r="R59" s="100">
        <f t="shared" si="202"/>
        <v>1.2436593286452604E-3</v>
      </c>
      <c r="S59" s="100">
        <f t="shared" si="202"/>
        <v>1.2436593286452604E-3</v>
      </c>
      <c r="T59" s="100">
        <f t="shared" si="202"/>
        <v>1.2436593286452604E-3</v>
      </c>
      <c r="U59" s="100">
        <f t="shared" ref="U59" si="203">IFERROR($B59/U7,0)</f>
        <v>1.2436593286452604E-3</v>
      </c>
      <c r="V59" s="100">
        <f t="shared" si="202"/>
        <v>1.2436593286452604E-3</v>
      </c>
      <c r="W59" s="100">
        <f t="shared" si="202"/>
        <v>1.2436593286452604E-3</v>
      </c>
      <c r="X59" s="100">
        <f t="shared" si="202"/>
        <v>1.2436593286452604E-3</v>
      </c>
      <c r="Y59" s="100">
        <f t="shared" si="202"/>
        <v>1.2436593286452604E-3</v>
      </c>
      <c r="Z59" s="100">
        <f t="shared" si="202"/>
        <v>1.2436593286452604E-3</v>
      </c>
      <c r="AA59" s="100">
        <f t="shared" si="202"/>
        <v>1.2436593286452604E-3</v>
      </c>
      <c r="AB59" s="100">
        <f t="shared" si="202"/>
        <v>1.2436593286452604E-3</v>
      </c>
      <c r="AC59" s="49">
        <f t="shared" si="5"/>
        <v>2.4873186572905208E-7</v>
      </c>
      <c r="AD59" s="101">
        <f>IFERROR(s_RadSpec!$H$7*(AD7/$B59),".")</f>
        <v>6.2182966432263019E-8</v>
      </c>
      <c r="AE59" s="101">
        <f>IFERROR(s_RadSpec!$H$7*(AE7/$B59),".")</f>
        <v>6.2182966432263019E-8</v>
      </c>
      <c r="AF59" s="101">
        <f>IFERROR(s_RadSpec!$H$7*(AF7/$B59),".")</f>
        <v>6.2182966432263019E-8</v>
      </c>
      <c r="AG59" s="101">
        <f>IFERROR(s_RadSpec!$H$7*(AG7/$B59),".")</f>
        <v>6.2182966432263019E-8</v>
      </c>
      <c r="AH59" s="101">
        <f>IFERROR(s_RadSpec!$H$7*(AH7/$B59),".")</f>
        <v>6.2182966432263019E-8</v>
      </c>
      <c r="AI59" s="101">
        <f>IFERROR(s_RadSpec!$H$7*(AI7/$B59),".")</f>
        <v>6.2182966432263019E-8</v>
      </c>
      <c r="AJ59" s="101">
        <f>IFERROR(s_RadSpec!$H$7*(AJ7/$B59),".")</f>
        <v>6.2182966432263019E-8</v>
      </c>
      <c r="AK59" s="101">
        <f>IFERROR(s_RadSpec!$H$7*(AK7/$B59),".")</f>
        <v>6.2182966432263019E-8</v>
      </c>
      <c r="AL59" s="101">
        <f>IFERROR(s_RadSpec!$H$7*(AL7/$B59),".")</f>
        <v>6.2182966432263019E-8</v>
      </c>
      <c r="AM59" s="101">
        <f>IFERROR(s_RadSpec!$H$7*(AM7/$B59),".")</f>
        <v>6.2182966432263019E-8</v>
      </c>
      <c r="AN59" s="101">
        <f>IFERROR(s_RadSpec!$H$7*(AN7/$B59),".")</f>
        <v>6.2182966432263019E-8</v>
      </c>
      <c r="AO59" s="101">
        <f>IFERROR(s_RadSpec!$H$7*(AO7/$B59),".")</f>
        <v>6.2182966432263019E-8</v>
      </c>
      <c r="AP59" s="101">
        <f>IFERROR(s_RadSpec!$H$7*(AP7/$B59),".")</f>
        <v>6.2182966432263019E-8</v>
      </c>
      <c r="AQ59" s="101">
        <f>IFERROR(s_RadSpec!$H$7*(AQ7/$B59),".")</f>
        <v>6.2182966432263019E-8</v>
      </c>
      <c r="AR59" s="101">
        <f>IFERROR(s_RadSpec!$H$7*(AR7/$B59),".")</f>
        <v>6.2182966432263019E-8</v>
      </c>
      <c r="AS59" s="101">
        <f>IFERROR(s_RadSpec!$H$7*(AS7/$B59),".")</f>
        <v>6.2182966432263019E-8</v>
      </c>
      <c r="AT59" s="101">
        <f>IFERROR(s_RadSpec!$H$7*(AT7/$B59),".")</f>
        <v>6.2182966432263019E-8</v>
      </c>
      <c r="AU59" s="101">
        <f>IFERROR(s_RadSpec!$H$7*(AU7/$B59),".")</f>
        <v>6.2182966432263019E-8</v>
      </c>
      <c r="AV59" s="101">
        <f>IFERROR(s_RadSpec!$H$7*(AV7/$B59),".")</f>
        <v>6.2182966432263019E-8</v>
      </c>
      <c r="AW59" s="101">
        <f>IFERROR(s_RadSpec!$H$7*(AW7/$B59),".")</f>
        <v>6.2182966432263019E-8</v>
      </c>
      <c r="AX59" s="101">
        <f>IFERROR(s_RadSpec!$H$7*(AX7/$B59),".")</f>
        <v>6.2182966432263019E-8</v>
      </c>
      <c r="AY59" s="101">
        <f>IFERROR(s_RadSpec!$H$7*(AY7/$B59),".")</f>
        <v>6.2182966432263019E-8</v>
      </c>
      <c r="AZ59" s="101">
        <f>IFERROR(s_RadSpec!$H$7*(AZ7/$B59),".")</f>
        <v>6.2182966432263019E-8</v>
      </c>
      <c r="BA59" s="101">
        <f>IFERROR(s_RadSpec!$H$7*(BA7/$B59),".")</f>
        <v>6.2182966432263019E-8</v>
      </c>
      <c r="BB59" s="101">
        <f>IFERROR(s_RadSpec!$H$7*(BB7/$B59),".")</f>
        <v>6.2182966432263019E-8</v>
      </c>
      <c r="BC59" s="100">
        <f t="shared" ref="BC59" si="204">IFERROR($B59/BC7,0)</f>
        <v>4.9746373145810414E-3</v>
      </c>
      <c r="BD59" s="100">
        <f t="shared" ref="BD59:CB59" si="205">IFERROR($B59/BD7,0)</f>
        <v>1.2436593286452604E-3</v>
      </c>
      <c r="BE59" s="100">
        <f t="shared" si="205"/>
        <v>1.2436593286452604E-3</v>
      </c>
      <c r="BF59" s="100">
        <f t="shared" si="205"/>
        <v>1.2436593286452604E-3</v>
      </c>
      <c r="BG59" s="100">
        <f t="shared" si="205"/>
        <v>1.2436593286452604E-3</v>
      </c>
      <c r="BH59" s="100">
        <f t="shared" si="205"/>
        <v>1.2436593286452604E-3</v>
      </c>
      <c r="BI59" s="100">
        <f t="shared" si="205"/>
        <v>1.2436593286452604E-3</v>
      </c>
      <c r="BJ59" s="100">
        <f t="shared" si="205"/>
        <v>1.2436593286452604E-3</v>
      </c>
      <c r="BK59" s="100">
        <f t="shared" si="205"/>
        <v>1.2436593286452604E-3</v>
      </c>
      <c r="BL59" s="100">
        <f t="shared" si="205"/>
        <v>1.2436593286452604E-3</v>
      </c>
      <c r="BM59" s="100">
        <f t="shared" si="205"/>
        <v>1.2436593286452604E-3</v>
      </c>
      <c r="BN59" s="100">
        <f t="shared" si="205"/>
        <v>1.2436593286452604E-3</v>
      </c>
      <c r="BO59" s="100">
        <f t="shared" si="205"/>
        <v>1.2436593286452604E-3</v>
      </c>
      <c r="BP59" s="100">
        <f t="shared" si="205"/>
        <v>1.2436593286452604E-3</v>
      </c>
      <c r="BQ59" s="100">
        <f t="shared" si="205"/>
        <v>1.2436593286452604E-3</v>
      </c>
      <c r="BR59" s="100">
        <f t="shared" si="205"/>
        <v>1.2436593286452604E-3</v>
      </c>
      <c r="BS59" s="100">
        <f t="shared" si="205"/>
        <v>1.2436593286452604E-3</v>
      </c>
      <c r="BT59" s="100">
        <f t="shared" si="205"/>
        <v>1.2436593286452604E-3</v>
      </c>
      <c r="BU59" s="100">
        <f t="shared" ref="BU59" si="206">IFERROR($B59/BU7,0)</f>
        <v>1.2436593286452604E-3</v>
      </c>
      <c r="BV59" s="100">
        <f t="shared" si="205"/>
        <v>1.2436593286452604E-3</v>
      </c>
      <c r="BW59" s="100">
        <f t="shared" si="205"/>
        <v>1.2436593286452604E-3</v>
      </c>
      <c r="BX59" s="100">
        <f t="shared" si="205"/>
        <v>1.2436593286452604E-3</v>
      </c>
      <c r="BY59" s="100">
        <f t="shared" si="205"/>
        <v>1.2436593286452604E-3</v>
      </c>
      <c r="BZ59" s="100">
        <f t="shared" si="205"/>
        <v>1.2436593286452604E-3</v>
      </c>
      <c r="CA59" s="100">
        <f t="shared" si="205"/>
        <v>1.2436593286452604E-3</v>
      </c>
      <c r="CB59" s="100">
        <f t="shared" si="205"/>
        <v>1.2436593286452604E-3</v>
      </c>
      <c r="CC59" s="49">
        <f t="shared" si="2"/>
        <v>2.4873186572905208E-7</v>
      </c>
      <c r="CD59" s="101">
        <f>IFERROR(s_RadSpec!$H$7*(CD7/$B59),".")</f>
        <v>6.2182966432263019E-8</v>
      </c>
      <c r="CE59" s="101">
        <f>IFERROR(s_RadSpec!$H$7*(CE7/$B59),".")</f>
        <v>6.2182966432263019E-8</v>
      </c>
      <c r="CF59" s="101">
        <f>IFERROR(s_RadSpec!$H$7*(CF7/$B59),".")</f>
        <v>6.2182966432263019E-8</v>
      </c>
      <c r="CG59" s="101">
        <f>IFERROR(s_RadSpec!$H$7*(CG7/$B59),".")</f>
        <v>6.2182966432263019E-8</v>
      </c>
      <c r="CH59" s="101">
        <f>IFERROR(s_RadSpec!$H$7*(CH7/$B59),".")</f>
        <v>6.2182966432263019E-8</v>
      </c>
      <c r="CI59" s="101">
        <f>IFERROR(s_RadSpec!$H$7*(CI7/$B59),".")</f>
        <v>6.2182966432263019E-8</v>
      </c>
      <c r="CJ59" s="101">
        <f>IFERROR(s_RadSpec!$H$7*(CJ7/$B59),".")</f>
        <v>6.2182966432263019E-8</v>
      </c>
      <c r="CK59" s="101">
        <f>IFERROR(s_RadSpec!$H$7*(CK7/$B59),".")</f>
        <v>6.2182966432263019E-8</v>
      </c>
      <c r="CL59" s="101">
        <f>IFERROR(s_RadSpec!$H$7*(CL7/$B59),".")</f>
        <v>6.2182966432263019E-8</v>
      </c>
      <c r="CM59" s="101">
        <f>IFERROR(s_RadSpec!$H$7*(CM7/$B59),".")</f>
        <v>6.2182966432263019E-8</v>
      </c>
      <c r="CN59" s="101">
        <f>IFERROR(s_RadSpec!$H$7*(CN7/$B59),".")</f>
        <v>6.2182966432263019E-8</v>
      </c>
      <c r="CO59" s="101">
        <f>IFERROR(s_RadSpec!$H$7*(CO7/$B59),".")</f>
        <v>6.2182966432263019E-8</v>
      </c>
      <c r="CP59" s="101">
        <f>IFERROR(s_RadSpec!$H$7*(CP7/$B59),".")</f>
        <v>6.2182966432263019E-8</v>
      </c>
      <c r="CQ59" s="101">
        <f>IFERROR(s_RadSpec!$H$7*(CQ7/$B59),".")</f>
        <v>6.2182966432263019E-8</v>
      </c>
      <c r="CR59" s="101">
        <f>IFERROR(s_RadSpec!$H$7*(CR7/$B59),".")</f>
        <v>6.2182966432263019E-8</v>
      </c>
      <c r="CS59" s="101">
        <f>IFERROR(s_RadSpec!$H$7*(CS7/$B59),".")</f>
        <v>6.2182966432263019E-8</v>
      </c>
      <c r="CT59" s="101">
        <f>IFERROR(s_RadSpec!$H$7*(CT7/$B59),".")</f>
        <v>6.2182966432263019E-8</v>
      </c>
      <c r="CU59" s="101">
        <f>IFERROR(s_RadSpec!$H$7*(CU7/$B59),".")</f>
        <v>6.2182966432263019E-8</v>
      </c>
      <c r="CV59" s="101">
        <f>IFERROR(s_RadSpec!$H$7*(CV7/$B59),".")</f>
        <v>6.2182966432263019E-8</v>
      </c>
      <c r="CW59" s="101">
        <f>IFERROR(s_RadSpec!$H$7*(CW7/$B59),".")</f>
        <v>6.2182966432263019E-8</v>
      </c>
      <c r="CX59" s="101">
        <f>IFERROR(s_RadSpec!$H$7*(CX7/$B59),".")</f>
        <v>6.2182966432263019E-8</v>
      </c>
      <c r="CY59" s="101">
        <f>IFERROR(s_RadSpec!$H$7*(CY7/$B59),".")</f>
        <v>6.2182966432263019E-8</v>
      </c>
      <c r="CZ59" s="101">
        <f>IFERROR(s_RadSpec!$H$7*(CZ7/$B59),".")</f>
        <v>6.2182966432263019E-8</v>
      </c>
      <c r="DA59" s="101">
        <f>IFERROR(s_RadSpec!$H$7*(DA7/$B59),".")</f>
        <v>6.2182966432263019E-8</v>
      </c>
      <c r="DB59" s="101">
        <f>IFERROR(s_RadSpec!$H$7*(DB7/$B59),".")</f>
        <v>6.2182966432263019E-8</v>
      </c>
    </row>
    <row r="60" spans="1:106" x14ac:dyDescent="0.25">
      <c r="A60" s="99" t="s">
        <v>1095</v>
      </c>
      <c r="B60" s="104">
        <v>1.9000000000000001E-8</v>
      </c>
      <c r="C60" s="100">
        <f t="shared" ref="C60" si="207">IFERROR($B60/C12,0)</f>
        <v>0</v>
      </c>
      <c r="D60" s="100">
        <f t="shared" ref="D60:AB60" si="208">IFERROR($B60/D12,0)</f>
        <v>0</v>
      </c>
      <c r="E60" s="100">
        <f t="shared" si="208"/>
        <v>0</v>
      </c>
      <c r="F60" s="100">
        <f t="shared" si="208"/>
        <v>0</v>
      </c>
      <c r="G60" s="100">
        <f t="shared" si="208"/>
        <v>0</v>
      </c>
      <c r="H60" s="100">
        <f t="shared" si="208"/>
        <v>0</v>
      </c>
      <c r="I60" s="100">
        <f t="shared" si="208"/>
        <v>0</v>
      </c>
      <c r="J60" s="100">
        <f t="shared" si="208"/>
        <v>0</v>
      </c>
      <c r="K60" s="100">
        <f t="shared" si="208"/>
        <v>0</v>
      </c>
      <c r="L60" s="100">
        <f t="shared" si="208"/>
        <v>0</v>
      </c>
      <c r="M60" s="100">
        <f t="shared" si="208"/>
        <v>0</v>
      </c>
      <c r="N60" s="100">
        <f t="shared" si="208"/>
        <v>0</v>
      </c>
      <c r="O60" s="100">
        <f t="shared" si="208"/>
        <v>0</v>
      </c>
      <c r="P60" s="100">
        <f t="shared" si="208"/>
        <v>0</v>
      </c>
      <c r="Q60" s="100">
        <f t="shared" si="208"/>
        <v>0</v>
      </c>
      <c r="R60" s="100">
        <f t="shared" si="208"/>
        <v>0</v>
      </c>
      <c r="S60" s="100">
        <f t="shared" si="208"/>
        <v>0</v>
      </c>
      <c r="T60" s="100">
        <f t="shared" si="208"/>
        <v>0</v>
      </c>
      <c r="U60" s="100">
        <f t="shared" ref="U60" si="209">IFERROR($B60/U12,0)</f>
        <v>0</v>
      </c>
      <c r="V60" s="100">
        <f t="shared" si="208"/>
        <v>0</v>
      </c>
      <c r="W60" s="100">
        <f t="shared" si="208"/>
        <v>0</v>
      </c>
      <c r="X60" s="100">
        <f t="shared" si="208"/>
        <v>0</v>
      </c>
      <c r="Y60" s="100">
        <f t="shared" si="208"/>
        <v>0</v>
      </c>
      <c r="Z60" s="100">
        <f t="shared" si="208"/>
        <v>0</v>
      </c>
      <c r="AA60" s="100">
        <f t="shared" si="208"/>
        <v>0</v>
      </c>
      <c r="AB60" s="100">
        <f t="shared" si="208"/>
        <v>0</v>
      </c>
      <c r="AC60" s="49">
        <f t="shared" si="5"/>
        <v>0</v>
      </c>
      <c r="AD60" s="101">
        <f>IFERROR(s_RadSpec!$H$12*(AD12/$B60),".")</f>
        <v>0</v>
      </c>
      <c r="AE60" s="101">
        <f>IFERROR(s_RadSpec!$H$12*(AE12/$B60),".")</f>
        <v>0</v>
      </c>
      <c r="AF60" s="101">
        <f>IFERROR(s_RadSpec!$H$12*(AF12/$B60),".")</f>
        <v>0</v>
      </c>
      <c r="AG60" s="101">
        <f>IFERROR(s_RadSpec!$H$12*(AG12/$B60),".")</f>
        <v>0</v>
      </c>
      <c r="AH60" s="101">
        <f>IFERROR(s_RadSpec!$H$12*(AH12/$B60),".")</f>
        <v>0</v>
      </c>
      <c r="AI60" s="101">
        <f>IFERROR(s_RadSpec!$H$12*(AI12/$B60),".")</f>
        <v>0</v>
      </c>
      <c r="AJ60" s="101">
        <f>IFERROR(s_RadSpec!$H$12*(AJ12/$B60),".")</f>
        <v>0</v>
      </c>
      <c r="AK60" s="101">
        <f>IFERROR(s_RadSpec!$H$12*(AK12/$B60),".")</f>
        <v>0</v>
      </c>
      <c r="AL60" s="101">
        <f>IFERROR(s_RadSpec!$H$12*(AL12/$B60),".")</f>
        <v>0</v>
      </c>
      <c r="AM60" s="101">
        <f>IFERROR(s_RadSpec!$H$12*(AM12/$B60),".")</f>
        <v>0</v>
      </c>
      <c r="AN60" s="101">
        <f>IFERROR(s_RadSpec!$H$12*(AN12/$B60),".")</f>
        <v>0</v>
      </c>
      <c r="AO60" s="101">
        <f>IFERROR(s_RadSpec!$H$12*(AO12/$B60),".")</f>
        <v>0</v>
      </c>
      <c r="AP60" s="101">
        <f>IFERROR(s_RadSpec!$H$12*(AP12/$B60),".")</f>
        <v>0</v>
      </c>
      <c r="AQ60" s="101">
        <f>IFERROR(s_RadSpec!$H$12*(AQ12/$B60),".")</f>
        <v>0</v>
      </c>
      <c r="AR60" s="101">
        <f>IFERROR(s_RadSpec!$H$12*(AR12/$B60),".")</f>
        <v>0</v>
      </c>
      <c r="AS60" s="101">
        <f>IFERROR(s_RadSpec!$H$12*(AS12/$B60),".")</f>
        <v>0</v>
      </c>
      <c r="AT60" s="101">
        <f>IFERROR(s_RadSpec!$H$12*(AT12/$B60),".")</f>
        <v>0</v>
      </c>
      <c r="AU60" s="101">
        <f>IFERROR(s_RadSpec!$H$12*(AU12/$B60),".")</f>
        <v>0</v>
      </c>
      <c r="AV60" s="101">
        <f>IFERROR(s_RadSpec!$H$12*(AV12/$B60),".")</f>
        <v>0</v>
      </c>
      <c r="AW60" s="101">
        <f>IFERROR(s_RadSpec!$H$12*(AW12/$B60),".")</f>
        <v>0</v>
      </c>
      <c r="AX60" s="101">
        <f>IFERROR(s_RadSpec!$H$12*(AX12/$B60),".")</f>
        <v>0</v>
      </c>
      <c r="AY60" s="101">
        <f>IFERROR(s_RadSpec!$H$12*(AY12/$B60),".")</f>
        <v>0</v>
      </c>
      <c r="AZ60" s="101">
        <f>IFERROR(s_RadSpec!$H$12*(AZ12/$B60),".")</f>
        <v>0</v>
      </c>
      <c r="BA60" s="101">
        <f>IFERROR(s_RadSpec!$H$12*(BA12/$B60),".")</f>
        <v>0</v>
      </c>
      <c r="BB60" s="101">
        <f>IFERROR(s_RadSpec!$H$12*(BB12/$B60),".")</f>
        <v>0</v>
      </c>
      <c r="BC60" s="100">
        <f t="shared" ref="BC60" si="210">IFERROR($B60/BC12,0)</f>
        <v>0</v>
      </c>
      <c r="BD60" s="100">
        <f t="shared" ref="BD60:CB60" si="211">IFERROR($B60/BD12,0)</f>
        <v>0</v>
      </c>
      <c r="BE60" s="100">
        <f t="shared" si="211"/>
        <v>0</v>
      </c>
      <c r="BF60" s="100">
        <f t="shared" si="211"/>
        <v>0</v>
      </c>
      <c r="BG60" s="100">
        <f t="shared" si="211"/>
        <v>0</v>
      </c>
      <c r="BH60" s="100">
        <f t="shared" si="211"/>
        <v>0</v>
      </c>
      <c r="BI60" s="100">
        <f t="shared" si="211"/>
        <v>0</v>
      </c>
      <c r="BJ60" s="100">
        <f t="shared" si="211"/>
        <v>0</v>
      </c>
      <c r="BK60" s="100">
        <f t="shared" si="211"/>
        <v>0</v>
      </c>
      <c r="BL60" s="100">
        <f t="shared" si="211"/>
        <v>0</v>
      </c>
      <c r="BM60" s="100">
        <f t="shared" si="211"/>
        <v>0</v>
      </c>
      <c r="BN60" s="100">
        <f t="shared" si="211"/>
        <v>0</v>
      </c>
      <c r="BO60" s="100">
        <f t="shared" si="211"/>
        <v>0</v>
      </c>
      <c r="BP60" s="100">
        <f t="shared" si="211"/>
        <v>0</v>
      </c>
      <c r="BQ60" s="100">
        <f t="shared" si="211"/>
        <v>0</v>
      </c>
      <c r="BR60" s="100">
        <f t="shared" si="211"/>
        <v>0</v>
      </c>
      <c r="BS60" s="100">
        <f t="shared" si="211"/>
        <v>0</v>
      </c>
      <c r="BT60" s="100">
        <f t="shared" si="211"/>
        <v>0</v>
      </c>
      <c r="BU60" s="100">
        <f t="shared" ref="BU60" si="212">IFERROR($B60/BU12,0)</f>
        <v>0</v>
      </c>
      <c r="BV60" s="100">
        <f t="shared" si="211"/>
        <v>0</v>
      </c>
      <c r="BW60" s="100">
        <f t="shared" si="211"/>
        <v>0</v>
      </c>
      <c r="BX60" s="100">
        <f t="shared" si="211"/>
        <v>0</v>
      </c>
      <c r="BY60" s="100">
        <f t="shared" si="211"/>
        <v>0</v>
      </c>
      <c r="BZ60" s="100">
        <f t="shared" si="211"/>
        <v>0</v>
      </c>
      <c r="CA60" s="100">
        <f t="shared" si="211"/>
        <v>0</v>
      </c>
      <c r="CB60" s="100">
        <f t="shared" si="211"/>
        <v>0</v>
      </c>
      <c r="CC60" s="49">
        <f t="shared" si="2"/>
        <v>0</v>
      </c>
      <c r="CD60" s="101">
        <f>IFERROR(s_RadSpec!$H$12*(CD12/$B60),".")</f>
        <v>0</v>
      </c>
      <c r="CE60" s="101">
        <f>IFERROR(s_RadSpec!$H$12*(CE12/$B60),".")</f>
        <v>0</v>
      </c>
      <c r="CF60" s="101">
        <f>IFERROR(s_RadSpec!$H$12*(CF12/$B60),".")</f>
        <v>0</v>
      </c>
      <c r="CG60" s="101">
        <f>IFERROR(s_RadSpec!$H$12*(CG12/$B60),".")</f>
        <v>0</v>
      </c>
      <c r="CH60" s="101">
        <f>IFERROR(s_RadSpec!$H$12*(CH12/$B60),".")</f>
        <v>0</v>
      </c>
      <c r="CI60" s="101">
        <f>IFERROR(s_RadSpec!$H$12*(CI12/$B60),".")</f>
        <v>0</v>
      </c>
      <c r="CJ60" s="101">
        <f>IFERROR(s_RadSpec!$H$12*(CJ12/$B60),".")</f>
        <v>0</v>
      </c>
      <c r="CK60" s="101">
        <f>IFERROR(s_RadSpec!$H$12*(CK12/$B60),".")</f>
        <v>0</v>
      </c>
      <c r="CL60" s="101">
        <f>IFERROR(s_RadSpec!$H$12*(CL12/$B60),".")</f>
        <v>0</v>
      </c>
      <c r="CM60" s="101">
        <f>IFERROR(s_RadSpec!$H$12*(CM12/$B60),".")</f>
        <v>0</v>
      </c>
      <c r="CN60" s="101">
        <f>IFERROR(s_RadSpec!$H$12*(CN12/$B60),".")</f>
        <v>0</v>
      </c>
      <c r="CO60" s="101">
        <f>IFERROR(s_RadSpec!$H$12*(CO12/$B60),".")</f>
        <v>0</v>
      </c>
      <c r="CP60" s="101">
        <f>IFERROR(s_RadSpec!$H$12*(CP12/$B60),".")</f>
        <v>0</v>
      </c>
      <c r="CQ60" s="101">
        <f>IFERROR(s_RadSpec!$H$12*(CQ12/$B60),".")</f>
        <v>0</v>
      </c>
      <c r="CR60" s="101">
        <f>IFERROR(s_RadSpec!$H$12*(CR12/$B60),".")</f>
        <v>0</v>
      </c>
      <c r="CS60" s="101">
        <f>IFERROR(s_RadSpec!$H$12*(CS12/$B60),".")</f>
        <v>0</v>
      </c>
      <c r="CT60" s="101">
        <f>IFERROR(s_RadSpec!$H$12*(CT12/$B60),".")</f>
        <v>0</v>
      </c>
      <c r="CU60" s="101">
        <f>IFERROR(s_RadSpec!$H$12*(CU12/$B60),".")</f>
        <v>0</v>
      </c>
      <c r="CV60" s="101">
        <f>IFERROR(s_RadSpec!$H$12*(CV12/$B60),".")</f>
        <v>0</v>
      </c>
      <c r="CW60" s="101">
        <f>IFERROR(s_RadSpec!$H$12*(CW12/$B60),".")</f>
        <v>0</v>
      </c>
      <c r="CX60" s="101">
        <f>IFERROR(s_RadSpec!$H$12*(CX12/$B60),".")</f>
        <v>0</v>
      </c>
      <c r="CY60" s="101">
        <f>IFERROR(s_RadSpec!$H$12*(CY12/$B60),".")</f>
        <v>0</v>
      </c>
      <c r="CZ60" s="101">
        <f>IFERROR(s_RadSpec!$H$12*(CZ12/$B60),".")</f>
        <v>0</v>
      </c>
      <c r="DA60" s="101">
        <f>IFERROR(s_RadSpec!$H$12*(DA12/$B60),".")</f>
        <v>0</v>
      </c>
      <c r="DB60" s="101">
        <f>IFERROR(s_RadSpec!$H$12*(DB12/$B60),".")</f>
        <v>0</v>
      </c>
    </row>
    <row r="61" spans="1:106" x14ac:dyDescent="0.25">
      <c r="A61" s="99" t="s">
        <v>1096</v>
      </c>
      <c r="B61" s="90">
        <v>1</v>
      </c>
      <c r="C61" s="100">
        <f t="shared" ref="C61" si="213">IFERROR($B61/C18,0)</f>
        <v>0.33738653484936343</v>
      </c>
      <c r="D61" s="100">
        <f t="shared" ref="D61:AB61" si="214">IFERROR($B61/D18,0)</f>
        <v>7.9999040731075E-2</v>
      </c>
      <c r="E61" s="100">
        <f t="shared" si="214"/>
        <v>8.9750651156344216E-2</v>
      </c>
      <c r="F61" s="100">
        <f t="shared" si="214"/>
        <v>8.7583626617395494E-2</v>
      </c>
      <c r="G61" s="100">
        <f t="shared" si="214"/>
        <v>7.9999040731075E-2</v>
      </c>
      <c r="H61" s="100">
        <f t="shared" si="214"/>
        <v>7.9999040731075E-2</v>
      </c>
      <c r="I61" s="100">
        <f t="shared" si="214"/>
        <v>8.9750651156344216E-2</v>
      </c>
      <c r="J61" s="100">
        <f t="shared" si="214"/>
        <v>8.7583626617395494E-2</v>
      </c>
      <c r="K61" s="100">
        <f t="shared" si="214"/>
        <v>7.9999040731075E-2</v>
      </c>
      <c r="L61" s="100">
        <f t="shared" si="214"/>
        <v>8.0053216344548719E-2</v>
      </c>
      <c r="M61" s="100">
        <f t="shared" si="214"/>
        <v>7.9999040731075E-2</v>
      </c>
      <c r="N61" s="100">
        <f t="shared" si="214"/>
        <v>8.9750651156344216E-2</v>
      </c>
      <c r="O61" s="100">
        <f t="shared" si="214"/>
        <v>8.0093848054654013E-2</v>
      </c>
      <c r="P61" s="100">
        <f t="shared" si="214"/>
        <v>7.9999040731075E-2</v>
      </c>
      <c r="Q61" s="100">
        <f t="shared" si="214"/>
        <v>8.7583626617395494E-2</v>
      </c>
      <c r="R61" s="100">
        <f t="shared" si="214"/>
        <v>7.9999040731075E-2</v>
      </c>
      <c r="S61" s="100">
        <f t="shared" si="214"/>
        <v>7.9999040731075E-2</v>
      </c>
      <c r="T61" s="100">
        <f t="shared" si="214"/>
        <v>8.0093848054654013E-2</v>
      </c>
      <c r="U61" s="100">
        <f t="shared" ref="U61" si="215">IFERROR($B61/U18,0)</f>
        <v>7.9999040731075E-2</v>
      </c>
      <c r="V61" s="100">
        <f t="shared" si="214"/>
        <v>8.3385016573182369E-2</v>
      </c>
      <c r="W61" s="100">
        <f t="shared" si="214"/>
        <v>7.9999040731075E-2</v>
      </c>
      <c r="X61" s="100">
        <f t="shared" si="214"/>
        <v>8.0093848054654013E-2</v>
      </c>
      <c r="Y61" s="100">
        <f t="shared" si="214"/>
        <v>7.9999040731075E-2</v>
      </c>
      <c r="Z61" s="100">
        <f t="shared" si="214"/>
        <v>7.9999040731075E-2</v>
      </c>
      <c r="AA61" s="100">
        <f t="shared" si="214"/>
        <v>9.733523704266471E-2</v>
      </c>
      <c r="AB61" s="100">
        <f t="shared" si="214"/>
        <v>8.0053216344548719E-2</v>
      </c>
      <c r="AC61" s="49">
        <f t="shared" si="5"/>
        <v>1.6869326742468172E-5</v>
      </c>
      <c r="AD61" s="101">
        <f>IFERROR(s_RadSpec!$H$18*(AD18/$B61),".")</f>
        <v>3.9999520365537502E-6</v>
      </c>
      <c r="AE61" s="101">
        <f>IFERROR(s_RadSpec!$H$18*(AE18/$B61),".")</f>
        <v>4.4875325578172115E-6</v>
      </c>
      <c r="AF61" s="101">
        <f>IFERROR(s_RadSpec!$H$18*(AF18/$B61),".")</f>
        <v>4.3791813308697751E-6</v>
      </c>
      <c r="AG61" s="101">
        <f>IFERROR(s_RadSpec!$H$18*(AG18/$B61),".")</f>
        <v>3.9999520365537502E-6</v>
      </c>
      <c r="AH61" s="101">
        <f>IFERROR(s_RadSpec!$H$18*(AH18/$B61),".")</f>
        <v>3.9999520365537502E-6</v>
      </c>
      <c r="AI61" s="101">
        <f>IFERROR(s_RadSpec!$H$18*(AI18/$B61),".")</f>
        <v>4.4875325578172115E-6</v>
      </c>
      <c r="AJ61" s="101">
        <f>IFERROR(s_RadSpec!$H$18*(AJ18/$B61),".")</f>
        <v>4.3791813308697751E-6</v>
      </c>
      <c r="AK61" s="101">
        <f>IFERROR(s_RadSpec!$H$18*(AK18/$B61),".")</f>
        <v>3.9999520365537502E-6</v>
      </c>
      <c r="AL61" s="101">
        <f>IFERROR(s_RadSpec!$H$18*(AL18/$B61),".")</f>
        <v>4.0026608172274363E-6</v>
      </c>
      <c r="AM61" s="101">
        <f>IFERROR(s_RadSpec!$H$18*(AM18/$B61),".")</f>
        <v>3.9999520365537502E-6</v>
      </c>
      <c r="AN61" s="101">
        <f>IFERROR(s_RadSpec!$H$18*(AN18/$B61),".")</f>
        <v>4.4875325578172115E-6</v>
      </c>
      <c r="AO61" s="101">
        <f>IFERROR(s_RadSpec!$H$18*(AO18/$B61),".")</f>
        <v>4.0046924027327006E-6</v>
      </c>
      <c r="AP61" s="101">
        <f>IFERROR(s_RadSpec!$H$18*(AP18/$B61),".")</f>
        <v>3.9999520365537502E-6</v>
      </c>
      <c r="AQ61" s="101">
        <f>IFERROR(s_RadSpec!$H$18*(AQ18/$B61),".")</f>
        <v>4.3791813308697751E-6</v>
      </c>
      <c r="AR61" s="101">
        <f>IFERROR(s_RadSpec!$H$18*(AR18/$B61),".")</f>
        <v>3.9999520365537502E-6</v>
      </c>
      <c r="AS61" s="101">
        <f>IFERROR(s_RadSpec!$H$18*(AS18/$B61),".")</f>
        <v>3.9999520365537502E-6</v>
      </c>
      <c r="AT61" s="101">
        <f>IFERROR(s_RadSpec!$H$18*(AT18/$B61),".")</f>
        <v>4.0046924027327006E-6</v>
      </c>
      <c r="AU61" s="101">
        <f>IFERROR(s_RadSpec!$H$18*(AU18/$B61),".")</f>
        <v>3.9999520365537502E-6</v>
      </c>
      <c r="AV61" s="101">
        <f>IFERROR(s_RadSpec!$H$18*(AV18/$B61),".")</f>
        <v>4.1692508286591178E-6</v>
      </c>
      <c r="AW61" s="101">
        <f>IFERROR(s_RadSpec!$H$18*(AW18/$B61),".")</f>
        <v>3.9999520365537502E-6</v>
      </c>
      <c r="AX61" s="101">
        <f>IFERROR(s_RadSpec!$H$18*(AX18/$B61),".")</f>
        <v>4.0046924027327006E-6</v>
      </c>
      <c r="AY61" s="101">
        <f>IFERROR(s_RadSpec!$H$18*(AY18/$B61),".")</f>
        <v>3.9999520365537502E-6</v>
      </c>
      <c r="AZ61" s="101">
        <f>IFERROR(s_RadSpec!$H$18*(AZ18/$B61),".")</f>
        <v>3.9999520365537502E-6</v>
      </c>
      <c r="BA61" s="101">
        <f>IFERROR(s_RadSpec!$H$18*(BA18/$B61),".")</f>
        <v>4.8667618521332364E-6</v>
      </c>
      <c r="BB61" s="101">
        <f>IFERROR(s_RadSpec!$H$18*(BB18/$B61),".")</f>
        <v>4.0026608172274363E-6</v>
      </c>
      <c r="BC61" s="100">
        <f t="shared" ref="BC61" si="216">IFERROR($B61/BC18,0)</f>
        <v>0.33738653484936343</v>
      </c>
      <c r="BD61" s="100">
        <f t="shared" ref="BD61:CB61" si="217">IFERROR($B61/BD18,0)</f>
        <v>7.9999040731075E-2</v>
      </c>
      <c r="BE61" s="100">
        <f t="shared" si="217"/>
        <v>8.9750651156344216E-2</v>
      </c>
      <c r="BF61" s="100">
        <f t="shared" si="217"/>
        <v>8.7583626617395494E-2</v>
      </c>
      <c r="BG61" s="100">
        <f t="shared" si="217"/>
        <v>7.9999040731075E-2</v>
      </c>
      <c r="BH61" s="100">
        <f t="shared" si="217"/>
        <v>7.9999040731075E-2</v>
      </c>
      <c r="BI61" s="100">
        <f t="shared" si="217"/>
        <v>8.9750651156344216E-2</v>
      </c>
      <c r="BJ61" s="100">
        <f t="shared" si="217"/>
        <v>8.7583626617395494E-2</v>
      </c>
      <c r="BK61" s="100">
        <f t="shared" si="217"/>
        <v>7.9999040731075E-2</v>
      </c>
      <c r="BL61" s="100">
        <f t="shared" si="217"/>
        <v>8.0053216344548719E-2</v>
      </c>
      <c r="BM61" s="100">
        <f t="shared" si="217"/>
        <v>7.9999040731075E-2</v>
      </c>
      <c r="BN61" s="100">
        <f t="shared" si="217"/>
        <v>8.9750651156344216E-2</v>
      </c>
      <c r="BO61" s="100">
        <f t="shared" si="217"/>
        <v>8.0093848054654013E-2</v>
      </c>
      <c r="BP61" s="100">
        <f t="shared" si="217"/>
        <v>7.9999040731075E-2</v>
      </c>
      <c r="BQ61" s="100">
        <f t="shared" si="217"/>
        <v>8.7583626617395494E-2</v>
      </c>
      <c r="BR61" s="100">
        <f t="shared" si="217"/>
        <v>7.9999040731075E-2</v>
      </c>
      <c r="BS61" s="100">
        <f t="shared" si="217"/>
        <v>7.9999040731075E-2</v>
      </c>
      <c r="BT61" s="100">
        <f t="shared" si="217"/>
        <v>8.0093848054654013E-2</v>
      </c>
      <c r="BU61" s="100">
        <f t="shared" ref="BU61" si="218">IFERROR($B61/BU18,0)</f>
        <v>7.9999040731075E-2</v>
      </c>
      <c r="BV61" s="100">
        <f t="shared" si="217"/>
        <v>8.3385016573182369E-2</v>
      </c>
      <c r="BW61" s="100">
        <f t="shared" si="217"/>
        <v>7.9999040731075E-2</v>
      </c>
      <c r="BX61" s="100">
        <f t="shared" si="217"/>
        <v>8.0093848054654013E-2</v>
      </c>
      <c r="BY61" s="100">
        <f t="shared" si="217"/>
        <v>7.9999040731075E-2</v>
      </c>
      <c r="BZ61" s="100">
        <f t="shared" si="217"/>
        <v>7.9999040731075E-2</v>
      </c>
      <c r="CA61" s="100">
        <f t="shared" si="217"/>
        <v>9.733523704266471E-2</v>
      </c>
      <c r="CB61" s="100">
        <f t="shared" si="217"/>
        <v>8.0053216344548719E-2</v>
      </c>
      <c r="CC61" s="49">
        <f t="shared" si="2"/>
        <v>1.6869326742468172E-5</v>
      </c>
      <c r="CD61" s="101">
        <f>IFERROR(s_RadSpec!$H$18*(CD18/$B61),".")</f>
        <v>3.9999520365537502E-6</v>
      </c>
      <c r="CE61" s="101">
        <f>IFERROR(s_RadSpec!$H$18*(CE18/$B61),".")</f>
        <v>4.4875325578172115E-6</v>
      </c>
      <c r="CF61" s="101">
        <f>IFERROR(s_RadSpec!$H$18*(CF18/$B61),".")</f>
        <v>4.3791813308697751E-6</v>
      </c>
      <c r="CG61" s="101">
        <f>IFERROR(s_RadSpec!$H$18*(CG18/$B61),".")</f>
        <v>3.9999520365537502E-6</v>
      </c>
      <c r="CH61" s="101">
        <f>IFERROR(s_RadSpec!$H$18*(CH18/$B61),".")</f>
        <v>3.9999520365537502E-6</v>
      </c>
      <c r="CI61" s="101">
        <f>IFERROR(s_RadSpec!$H$18*(CI18/$B61),".")</f>
        <v>4.4875325578172115E-6</v>
      </c>
      <c r="CJ61" s="101">
        <f>IFERROR(s_RadSpec!$H$18*(CJ18/$B61),".")</f>
        <v>4.3791813308697751E-6</v>
      </c>
      <c r="CK61" s="101">
        <f>IFERROR(s_RadSpec!$H$18*(CK18/$B61),".")</f>
        <v>3.9999520365537502E-6</v>
      </c>
      <c r="CL61" s="101">
        <f>IFERROR(s_RadSpec!$H$18*(CL18/$B61),".")</f>
        <v>4.0026608172274363E-6</v>
      </c>
      <c r="CM61" s="101">
        <f>IFERROR(s_RadSpec!$H$18*(CM18/$B61),".")</f>
        <v>3.9999520365537502E-6</v>
      </c>
      <c r="CN61" s="101">
        <f>IFERROR(s_RadSpec!$H$18*(CN18/$B61),".")</f>
        <v>4.4875325578172115E-6</v>
      </c>
      <c r="CO61" s="101">
        <f>IFERROR(s_RadSpec!$H$18*(CO18/$B61),".")</f>
        <v>4.0046924027327006E-6</v>
      </c>
      <c r="CP61" s="101">
        <f>IFERROR(s_RadSpec!$H$18*(CP18/$B61),".")</f>
        <v>3.9999520365537502E-6</v>
      </c>
      <c r="CQ61" s="101">
        <f>IFERROR(s_RadSpec!$H$18*(CQ18/$B61),".")</f>
        <v>4.3791813308697751E-6</v>
      </c>
      <c r="CR61" s="101">
        <f>IFERROR(s_RadSpec!$H$18*(CR18/$B61),".")</f>
        <v>3.9999520365537502E-6</v>
      </c>
      <c r="CS61" s="101">
        <f>IFERROR(s_RadSpec!$H$18*(CS18/$B61),".")</f>
        <v>3.9999520365537502E-6</v>
      </c>
      <c r="CT61" s="101">
        <f>IFERROR(s_RadSpec!$H$18*(CT18/$B61),".")</f>
        <v>4.0046924027327006E-6</v>
      </c>
      <c r="CU61" s="101">
        <f>IFERROR(s_RadSpec!$H$18*(CU18/$B61),".")</f>
        <v>3.9999520365537502E-6</v>
      </c>
      <c r="CV61" s="101">
        <f>IFERROR(s_RadSpec!$H$18*(CV18/$B61),".")</f>
        <v>4.1692508286591178E-6</v>
      </c>
      <c r="CW61" s="101">
        <f>IFERROR(s_RadSpec!$H$18*(CW18/$B61),".")</f>
        <v>3.9999520365537502E-6</v>
      </c>
      <c r="CX61" s="101">
        <f>IFERROR(s_RadSpec!$H$18*(CX18/$B61),".")</f>
        <v>4.0046924027327006E-6</v>
      </c>
      <c r="CY61" s="101">
        <f>IFERROR(s_RadSpec!$H$18*(CY18/$B61),".")</f>
        <v>3.9999520365537502E-6</v>
      </c>
      <c r="CZ61" s="101">
        <f>IFERROR(s_RadSpec!$H$18*(CZ18/$B61),".")</f>
        <v>3.9999520365537502E-6</v>
      </c>
      <c r="DA61" s="101">
        <f>IFERROR(s_RadSpec!$H$18*(DA18/$B61),".")</f>
        <v>4.8667618521332364E-6</v>
      </c>
      <c r="DB61" s="101">
        <f>IFERROR(s_RadSpec!$H$18*(DB18/$B61),".")</f>
        <v>4.0026608172274363E-6</v>
      </c>
    </row>
    <row r="62" spans="1:106" x14ac:dyDescent="0.25">
      <c r="A62" s="99" t="s">
        <v>1097</v>
      </c>
      <c r="B62" s="90">
        <v>1.339E-6</v>
      </c>
      <c r="C62" s="100">
        <f t="shared" ref="C62" si="219">IFERROR($B62/C27,0)</f>
        <v>0</v>
      </c>
      <c r="D62" s="100">
        <f t="shared" ref="D62:AB62" si="220">IFERROR($B62/D27,0)</f>
        <v>0</v>
      </c>
      <c r="E62" s="100">
        <f t="shared" si="220"/>
        <v>0</v>
      </c>
      <c r="F62" s="100">
        <f t="shared" si="220"/>
        <v>0</v>
      </c>
      <c r="G62" s="100">
        <f t="shared" si="220"/>
        <v>0</v>
      </c>
      <c r="H62" s="100">
        <f t="shared" si="220"/>
        <v>0</v>
      </c>
      <c r="I62" s="100">
        <f t="shared" si="220"/>
        <v>0</v>
      </c>
      <c r="J62" s="100">
        <f t="shared" si="220"/>
        <v>0</v>
      </c>
      <c r="K62" s="100">
        <f t="shared" si="220"/>
        <v>0</v>
      </c>
      <c r="L62" s="100">
        <f t="shared" si="220"/>
        <v>0</v>
      </c>
      <c r="M62" s="100">
        <f t="shared" si="220"/>
        <v>0</v>
      </c>
      <c r="N62" s="100">
        <f t="shared" si="220"/>
        <v>0</v>
      </c>
      <c r="O62" s="100">
        <f t="shared" si="220"/>
        <v>0</v>
      </c>
      <c r="P62" s="100">
        <f t="shared" si="220"/>
        <v>0</v>
      </c>
      <c r="Q62" s="100">
        <f t="shared" si="220"/>
        <v>0</v>
      </c>
      <c r="R62" s="100">
        <f t="shared" si="220"/>
        <v>0</v>
      </c>
      <c r="S62" s="100">
        <f t="shared" si="220"/>
        <v>0</v>
      </c>
      <c r="T62" s="100">
        <f t="shared" si="220"/>
        <v>0</v>
      </c>
      <c r="U62" s="100">
        <f t="shared" ref="U62" si="221">IFERROR($B62/U27,0)</f>
        <v>0</v>
      </c>
      <c r="V62" s="100">
        <f t="shared" si="220"/>
        <v>0</v>
      </c>
      <c r="W62" s="100">
        <f t="shared" si="220"/>
        <v>0</v>
      </c>
      <c r="X62" s="100">
        <f t="shared" si="220"/>
        <v>0</v>
      </c>
      <c r="Y62" s="100">
        <f t="shared" si="220"/>
        <v>0</v>
      </c>
      <c r="Z62" s="100">
        <f t="shared" si="220"/>
        <v>0</v>
      </c>
      <c r="AA62" s="100">
        <f t="shared" si="220"/>
        <v>0</v>
      </c>
      <c r="AB62" s="100">
        <f t="shared" si="220"/>
        <v>0</v>
      </c>
      <c r="AC62" s="49">
        <f t="shared" si="5"/>
        <v>0</v>
      </c>
      <c r="AD62" s="101">
        <f>IFERROR(s_RadSpec!$H$27*(AD27/$B62),".")</f>
        <v>0</v>
      </c>
      <c r="AE62" s="101">
        <f>IFERROR(s_RadSpec!$H$27*(AE27/$B62),".")</f>
        <v>0</v>
      </c>
      <c r="AF62" s="101">
        <f>IFERROR(s_RadSpec!$H$27*(AF27/$B62),".")</f>
        <v>0</v>
      </c>
      <c r="AG62" s="101">
        <f>IFERROR(s_RadSpec!$H$27*(AG27/$B62),".")</f>
        <v>0</v>
      </c>
      <c r="AH62" s="101">
        <f>IFERROR(s_RadSpec!$H$27*(AH27/$B62),".")</f>
        <v>0</v>
      </c>
      <c r="AI62" s="101">
        <f>IFERROR(s_RadSpec!$H$27*(AI27/$B62),".")</f>
        <v>0</v>
      </c>
      <c r="AJ62" s="101">
        <f>IFERROR(s_RadSpec!$H$27*(AJ27/$B62),".")</f>
        <v>0</v>
      </c>
      <c r="AK62" s="101">
        <f>IFERROR(s_RadSpec!$H$27*(AK27/$B62),".")</f>
        <v>0</v>
      </c>
      <c r="AL62" s="101">
        <f>IFERROR(s_RadSpec!$H$27*(AL27/$B62),".")</f>
        <v>0</v>
      </c>
      <c r="AM62" s="101">
        <f>IFERROR(s_RadSpec!$H$27*(AM27/$B62),".")</f>
        <v>0</v>
      </c>
      <c r="AN62" s="101">
        <f>IFERROR(s_RadSpec!$H$27*(AN27/$B62),".")</f>
        <v>0</v>
      </c>
      <c r="AO62" s="101">
        <f>IFERROR(s_RadSpec!$H$27*(AO27/$B62),".")</f>
        <v>0</v>
      </c>
      <c r="AP62" s="101">
        <f>IFERROR(s_RadSpec!$H$27*(AP27/$B62),".")</f>
        <v>0</v>
      </c>
      <c r="AQ62" s="101">
        <f>IFERROR(s_RadSpec!$H$27*(AQ27/$B62),".")</f>
        <v>0</v>
      </c>
      <c r="AR62" s="101">
        <f>IFERROR(s_RadSpec!$H$27*(AR27/$B62),".")</f>
        <v>0</v>
      </c>
      <c r="AS62" s="101">
        <f>IFERROR(s_RadSpec!$H$27*(AS27/$B62),".")</f>
        <v>0</v>
      </c>
      <c r="AT62" s="101">
        <f>IFERROR(s_RadSpec!$H$27*(AT27/$B62),".")</f>
        <v>0</v>
      </c>
      <c r="AU62" s="101">
        <f>IFERROR(s_RadSpec!$H$27*(AU27/$B62),".")</f>
        <v>0</v>
      </c>
      <c r="AV62" s="101">
        <f>IFERROR(s_RadSpec!$H$27*(AV27/$B62),".")</f>
        <v>0</v>
      </c>
      <c r="AW62" s="101">
        <f>IFERROR(s_RadSpec!$H$27*(AW27/$B62),".")</f>
        <v>0</v>
      </c>
      <c r="AX62" s="101">
        <f>IFERROR(s_RadSpec!$H$27*(AX27/$B62),".")</f>
        <v>0</v>
      </c>
      <c r="AY62" s="101">
        <f>IFERROR(s_RadSpec!$H$27*(AY27/$B62),".")</f>
        <v>0</v>
      </c>
      <c r="AZ62" s="101">
        <f>IFERROR(s_RadSpec!$H$27*(AZ27/$B62),".")</f>
        <v>0</v>
      </c>
      <c r="BA62" s="101">
        <f>IFERROR(s_RadSpec!$H$27*(BA27/$B62),".")</f>
        <v>0</v>
      </c>
      <c r="BB62" s="101">
        <f>IFERROR(s_RadSpec!$H$27*(BB27/$B62),".")</f>
        <v>0</v>
      </c>
      <c r="BC62" s="100">
        <f t="shared" ref="BC62" si="222">IFERROR($B62/BC27,0)</f>
        <v>0</v>
      </c>
      <c r="BD62" s="100">
        <f t="shared" ref="BD62:CB62" si="223">IFERROR($B62/BD27,0)</f>
        <v>0</v>
      </c>
      <c r="BE62" s="100">
        <f t="shared" si="223"/>
        <v>0</v>
      </c>
      <c r="BF62" s="100">
        <f t="shared" si="223"/>
        <v>0</v>
      </c>
      <c r="BG62" s="100">
        <f t="shared" si="223"/>
        <v>0</v>
      </c>
      <c r="BH62" s="100">
        <f t="shared" si="223"/>
        <v>0</v>
      </c>
      <c r="BI62" s="100">
        <f t="shared" si="223"/>
        <v>0</v>
      </c>
      <c r="BJ62" s="100">
        <f t="shared" si="223"/>
        <v>0</v>
      </c>
      <c r="BK62" s="100">
        <f t="shared" si="223"/>
        <v>0</v>
      </c>
      <c r="BL62" s="100">
        <f t="shared" si="223"/>
        <v>0</v>
      </c>
      <c r="BM62" s="100">
        <f t="shared" si="223"/>
        <v>0</v>
      </c>
      <c r="BN62" s="100">
        <f t="shared" si="223"/>
        <v>0</v>
      </c>
      <c r="BO62" s="100">
        <f t="shared" si="223"/>
        <v>0</v>
      </c>
      <c r="BP62" s="100">
        <f t="shared" si="223"/>
        <v>0</v>
      </c>
      <c r="BQ62" s="100">
        <f t="shared" si="223"/>
        <v>0</v>
      </c>
      <c r="BR62" s="100">
        <f t="shared" si="223"/>
        <v>0</v>
      </c>
      <c r="BS62" s="100">
        <f t="shared" si="223"/>
        <v>0</v>
      </c>
      <c r="BT62" s="100">
        <f t="shared" si="223"/>
        <v>0</v>
      </c>
      <c r="BU62" s="100">
        <f t="shared" ref="BU62" si="224">IFERROR($B62/BU27,0)</f>
        <v>0</v>
      </c>
      <c r="BV62" s="100">
        <f t="shared" si="223"/>
        <v>0</v>
      </c>
      <c r="BW62" s="100">
        <f t="shared" si="223"/>
        <v>0</v>
      </c>
      <c r="BX62" s="100">
        <f t="shared" si="223"/>
        <v>0</v>
      </c>
      <c r="BY62" s="100">
        <f t="shared" si="223"/>
        <v>0</v>
      </c>
      <c r="BZ62" s="100">
        <f t="shared" si="223"/>
        <v>0</v>
      </c>
      <c r="CA62" s="100">
        <f t="shared" si="223"/>
        <v>0</v>
      </c>
      <c r="CB62" s="100">
        <f t="shared" si="223"/>
        <v>0</v>
      </c>
      <c r="CC62" s="49">
        <f t="shared" si="2"/>
        <v>0</v>
      </c>
      <c r="CD62" s="101">
        <f>IFERROR(s_RadSpec!$H$27*(CD27/$B62),".")</f>
        <v>0</v>
      </c>
      <c r="CE62" s="101">
        <f>IFERROR(s_RadSpec!$H$27*(CE27/$B62),".")</f>
        <v>0</v>
      </c>
      <c r="CF62" s="101">
        <f>IFERROR(s_RadSpec!$H$27*(CF27/$B62),".")</f>
        <v>0</v>
      </c>
      <c r="CG62" s="101">
        <f>IFERROR(s_RadSpec!$H$27*(CG27/$B62),".")</f>
        <v>0</v>
      </c>
      <c r="CH62" s="101">
        <f>IFERROR(s_RadSpec!$H$27*(CH27/$B62),".")</f>
        <v>0</v>
      </c>
      <c r="CI62" s="101">
        <f>IFERROR(s_RadSpec!$H$27*(CI27/$B62),".")</f>
        <v>0</v>
      </c>
      <c r="CJ62" s="101">
        <f>IFERROR(s_RadSpec!$H$27*(CJ27/$B62),".")</f>
        <v>0</v>
      </c>
      <c r="CK62" s="101">
        <f>IFERROR(s_RadSpec!$H$27*(CK27/$B62),".")</f>
        <v>0</v>
      </c>
      <c r="CL62" s="101">
        <f>IFERROR(s_RadSpec!$H$27*(CL27/$B62),".")</f>
        <v>0</v>
      </c>
      <c r="CM62" s="101">
        <f>IFERROR(s_RadSpec!$H$27*(CM27/$B62),".")</f>
        <v>0</v>
      </c>
      <c r="CN62" s="101">
        <f>IFERROR(s_RadSpec!$H$27*(CN27/$B62),".")</f>
        <v>0</v>
      </c>
      <c r="CO62" s="101">
        <f>IFERROR(s_RadSpec!$H$27*(CO27/$B62),".")</f>
        <v>0</v>
      </c>
      <c r="CP62" s="101">
        <f>IFERROR(s_RadSpec!$H$27*(CP27/$B62),".")</f>
        <v>0</v>
      </c>
      <c r="CQ62" s="101">
        <f>IFERROR(s_RadSpec!$H$27*(CQ27/$B62),".")</f>
        <v>0</v>
      </c>
      <c r="CR62" s="101">
        <f>IFERROR(s_RadSpec!$H$27*(CR27/$B62),".")</f>
        <v>0</v>
      </c>
      <c r="CS62" s="101">
        <f>IFERROR(s_RadSpec!$H$27*(CS27/$B62),".")</f>
        <v>0</v>
      </c>
      <c r="CT62" s="101">
        <f>IFERROR(s_RadSpec!$H$27*(CT27/$B62),".")</f>
        <v>0</v>
      </c>
      <c r="CU62" s="101">
        <f>IFERROR(s_RadSpec!$H$27*(CU27/$B62),".")</f>
        <v>0</v>
      </c>
      <c r="CV62" s="101">
        <f>IFERROR(s_RadSpec!$H$27*(CV27/$B62),".")</f>
        <v>0</v>
      </c>
      <c r="CW62" s="101">
        <f>IFERROR(s_RadSpec!$H$27*(CW27/$B62),".")</f>
        <v>0</v>
      </c>
      <c r="CX62" s="101">
        <f>IFERROR(s_RadSpec!$H$27*(CX27/$B62),".")</f>
        <v>0</v>
      </c>
      <c r="CY62" s="101">
        <f>IFERROR(s_RadSpec!$H$27*(CY27/$B62),".")</f>
        <v>0</v>
      </c>
      <c r="CZ62" s="101">
        <f>IFERROR(s_RadSpec!$H$27*(CZ27/$B62),".")</f>
        <v>0</v>
      </c>
      <c r="DA62" s="101">
        <f>IFERROR(s_RadSpec!$H$27*(DA27/$B62),".")</f>
        <v>0</v>
      </c>
      <c r="DB62" s="101">
        <f>IFERROR(s_RadSpec!$H$27*(DB27/$B62),".")</f>
        <v>0</v>
      </c>
    </row>
    <row r="63" spans="1:106" x14ac:dyDescent="0.25">
      <c r="A63" s="95" t="s">
        <v>35</v>
      </c>
      <c r="B63" s="95" t="s">
        <v>1071</v>
      </c>
      <c r="C63" s="96">
        <f t="shared" ref="C63" si="225">IFERROR(1/SUM(C64:C76),0)</f>
        <v>1.8700941361019989</v>
      </c>
      <c r="D63" s="96">
        <f t="shared" ref="D63:AB63" si="226">IFERROR(1/SUM(D64:D76),0)</f>
        <v>7.6927969319990295</v>
      </c>
      <c r="E63" s="96">
        <f t="shared" si="226"/>
        <v>5.283484449859726</v>
      </c>
      <c r="F63" s="96">
        <f t="shared" si="226"/>
        <v>7.0864757417656543</v>
      </c>
      <c r="G63" s="96">
        <f t="shared" si="226"/>
        <v>7.6927969319990295</v>
      </c>
      <c r="H63" s="96">
        <f t="shared" si="226"/>
        <v>7.4889940746793879</v>
      </c>
      <c r="I63" s="96">
        <f t="shared" si="226"/>
        <v>5.283484449859726</v>
      </c>
      <c r="J63" s="96">
        <f t="shared" si="226"/>
        <v>7.0864757417656543</v>
      </c>
      <c r="K63" s="96">
        <f t="shared" si="226"/>
        <v>7.6927969319990295</v>
      </c>
      <c r="L63" s="96">
        <f t="shared" si="226"/>
        <v>8.0762513751523652</v>
      </c>
      <c r="M63" s="96">
        <f t="shared" si="226"/>
        <v>7.4889940746793879</v>
      </c>
      <c r="N63" s="96">
        <f t="shared" si="226"/>
        <v>5.283484449859726</v>
      </c>
      <c r="O63" s="96">
        <f t="shared" si="226"/>
        <v>7.8888465768575413</v>
      </c>
      <c r="P63" s="96">
        <f t="shared" si="226"/>
        <v>7.4889940746793879</v>
      </c>
      <c r="Q63" s="96">
        <f t="shared" si="226"/>
        <v>7.0864757417656543</v>
      </c>
      <c r="R63" s="96">
        <f t="shared" si="226"/>
        <v>7.6927969319990295</v>
      </c>
      <c r="S63" s="96">
        <f t="shared" si="226"/>
        <v>7.6927969319990295</v>
      </c>
      <c r="T63" s="96">
        <f t="shared" si="226"/>
        <v>7.8888465768575413</v>
      </c>
      <c r="U63" s="96">
        <f t="shared" ref="U63" si="227">IFERROR(1/SUM(U64:U76),0)</f>
        <v>7.4889940746793879</v>
      </c>
      <c r="V63" s="96">
        <f t="shared" si="226"/>
        <v>7.8515199539314384</v>
      </c>
      <c r="W63" s="96">
        <f t="shared" si="226"/>
        <v>7.4889940746793879</v>
      </c>
      <c r="X63" s="96">
        <f t="shared" si="226"/>
        <v>7.8888465768575413</v>
      </c>
      <c r="Y63" s="96">
        <f t="shared" si="226"/>
        <v>7.6927969319990295</v>
      </c>
      <c r="Z63" s="96">
        <f t="shared" si="226"/>
        <v>7.4889940746793879</v>
      </c>
      <c r="AA63" s="96">
        <f t="shared" si="226"/>
        <v>7.1195655982052521</v>
      </c>
      <c r="AB63" s="96">
        <f t="shared" si="226"/>
        <v>7.6479836344124976</v>
      </c>
      <c r="AC63" s="47">
        <f t="shared" si="5"/>
        <v>2.6736623574213332E-5</v>
      </c>
      <c r="AD63" s="97">
        <f t="shared" ref="AD63:BB63" si="228">IFERROR(IF(SUM(AD64:AD76)&gt;0.01,1-EXP(-(SUM(AD64:AD76))),SUM(AD64:AD76)),".")</f>
        <v>6.4995870205681189E-6</v>
      </c>
      <c r="AE63" s="97">
        <f t="shared" si="228"/>
        <v>9.4634525288563408E-6</v>
      </c>
      <c r="AF63" s="97">
        <f t="shared" si="228"/>
        <v>7.0556938139573407E-6</v>
      </c>
      <c r="AG63" s="97">
        <f t="shared" si="228"/>
        <v>6.4995870205681189E-6</v>
      </c>
      <c r="AH63" s="97">
        <f t="shared" si="228"/>
        <v>6.6764645196413158E-6</v>
      </c>
      <c r="AI63" s="97">
        <f t="shared" si="228"/>
        <v>9.4634525288563408E-6</v>
      </c>
      <c r="AJ63" s="97">
        <f t="shared" si="228"/>
        <v>7.0556938139573407E-6</v>
      </c>
      <c r="AK63" s="97">
        <f t="shared" si="228"/>
        <v>6.4995870205681189E-6</v>
      </c>
      <c r="AL63" s="97">
        <f t="shared" si="228"/>
        <v>6.1909914028729772E-6</v>
      </c>
      <c r="AM63" s="97">
        <f t="shared" si="228"/>
        <v>6.6764645196413158E-6</v>
      </c>
      <c r="AN63" s="97">
        <f t="shared" si="228"/>
        <v>9.4634525288563408E-6</v>
      </c>
      <c r="AO63" s="97">
        <f t="shared" si="228"/>
        <v>6.3380625376182632E-6</v>
      </c>
      <c r="AP63" s="97">
        <f t="shared" si="228"/>
        <v>6.6764645196413158E-6</v>
      </c>
      <c r="AQ63" s="97">
        <f t="shared" si="228"/>
        <v>7.0556938139573407E-6</v>
      </c>
      <c r="AR63" s="97">
        <f t="shared" si="228"/>
        <v>6.4995870205681189E-6</v>
      </c>
      <c r="AS63" s="97">
        <f t="shared" si="228"/>
        <v>6.4995870205681189E-6</v>
      </c>
      <c r="AT63" s="97">
        <f t="shared" si="228"/>
        <v>6.3380625376182632E-6</v>
      </c>
      <c r="AU63" s="97">
        <f t="shared" ref="AU63" si="229">IFERROR(IF(SUM(AU64:AU76)&gt;0.01,1-EXP(-(SUM(AU64:AU76))),SUM(AU64:AU76)),".")</f>
        <v>6.6764645196413158E-6</v>
      </c>
      <c r="AV63" s="97">
        <f t="shared" si="228"/>
        <v>6.3681940642490513E-6</v>
      </c>
      <c r="AW63" s="97">
        <f t="shared" si="228"/>
        <v>6.6764645196413158E-6</v>
      </c>
      <c r="AX63" s="97">
        <f t="shared" si="228"/>
        <v>6.3380625376182632E-6</v>
      </c>
      <c r="AY63" s="97">
        <f t="shared" si="228"/>
        <v>6.4995870205681189E-6</v>
      </c>
      <c r="AZ63" s="97">
        <f t="shared" si="228"/>
        <v>6.6764645196413158E-6</v>
      </c>
      <c r="BA63" s="97">
        <f t="shared" si="228"/>
        <v>7.0229007329474553E-6</v>
      </c>
      <c r="BB63" s="97">
        <f t="shared" si="228"/>
        <v>6.5376713010564438E-6</v>
      </c>
      <c r="BC63" s="98">
        <f t="shared" ref="BC63" si="230">IFERROR(1/SUM(BC64:BC76),0)</f>
        <v>1.8700941361019989</v>
      </c>
      <c r="BD63" s="98">
        <f t="shared" ref="BD63:CB63" si="231">IFERROR(1/SUM(BD64:BD76),0)</f>
        <v>7.6927969319990295</v>
      </c>
      <c r="BE63" s="98">
        <f t="shared" si="231"/>
        <v>5.283484449859726</v>
      </c>
      <c r="BF63" s="98">
        <f t="shared" si="231"/>
        <v>7.0864757417656543</v>
      </c>
      <c r="BG63" s="98">
        <f t="shared" si="231"/>
        <v>7.6927969319990295</v>
      </c>
      <c r="BH63" s="98">
        <f t="shared" si="231"/>
        <v>7.4889940746793879</v>
      </c>
      <c r="BI63" s="98">
        <f t="shared" si="231"/>
        <v>5.283484449859726</v>
      </c>
      <c r="BJ63" s="98">
        <f t="shared" si="231"/>
        <v>7.0864757417656543</v>
      </c>
      <c r="BK63" s="98">
        <f t="shared" si="231"/>
        <v>7.6927969319990295</v>
      </c>
      <c r="BL63" s="98">
        <f t="shared" si="231"/>
        <v>8.0762513751523652</v>
      </c>
      <c r="BM63" s="98">
        <f t="shared" si="231"/>
        <v>7.4889940746793879</v>
      </c>
      <c r="BN63" s="98">
        <f t="shared" si="231"/>
        <v>5.283484449859726</v>
      </c>
      <c r="BO63" s="98">
        <f t="shared" si="231"/>
        <v>7.8888465768575413</v>
      </c>
      <c r="BP63" s="98">
        <f t="shared" si="231"/>
        <v>7.4889940746793879</v>
      </c>
      <c r="BQ63" s="98">
        <f t="shared" si="231"/>
        <v>7.0864757417656543</v>
      </c>
      <c r="BR63" s="98">
        <f t="shared" si="231"/>
        <v>7.6927969319990295</v>
      </c>
      <c r="BS63" s="98">
        <f t="shared" si="231"/>
        <v>7.6927969319990295</v>
      </c>
      <c r="BT63" s="98">
        <f t="shared" si="231"/>
        <v>7.8888465768575413</v>
      </c>
      <c r="BU63" s="98">
        <f t="shared" ref="BU63" si="232">IFERROR(1/SUM(BU64:BU76),0)</f>
        <v>7.4889940746793879</v>
      </c>
      <c r="BV63" s="98">
        <f t="shared" si="231"/>
        <v>7.8515199539314384</v>
      </c>
      <c r="BW63" s="98">
        <f t="shared" si="231"/>
        <v>7.4889940746793879</v>
      </c>
      <c r="BX63" s="98">
        <f t="shared" si="231"/>
        <v>7.8888465768575413</v>
      </c>
      <c r="BY63" s="98">
        <f t="shared" si="231"/>
        <v>7.6927969319990295</v>
      </c>
      <c r="BZ63" s="98">
        <f t="shared" si="231"/>
        <v>7.4889940746793879</v>
      </c>
      <c r="CA63" s="98">
        <f t="shared" si="231"/>
        <v>7.1195655982052521</v>
      </c>
      <c r="CB63" s="98">
        <f t="shared" si="231"/>
        <v>7.6479836344124976</v>
      </c>
      <c r="CC63" s="47">
        <f t="shared" si="2"/>
        <v>2.6736623574213332E-5</v>
      </c>
      <c r="CD63" s="97">
        <f t="shared" ref="CD63:DB63" si="233">IFERROR(IF(SUM(CD64:CD76)&gt;0.01,1-EXP(-(SUM(CD64:CD76))),SUM(CD64:CD76)),".")</f>
        <v>6.4995870205681189E-6</v>
      </c>
      <c r="CE63" s="97">
        <f t="shared" si="233"/>
        <v>9.4634525288563408E-6</v>
      </c>
      <c r="CF63" s="97">
        <f t="shared" si="233"/>
        <v>7.0556938139573407E-6</v>
      </c>
      <c r="CG63" s="97">
        <f t="shared" si="233"/>
        <v>6.4995870205681189E-6</v>
      </c>
      <c r="CH63" s="97">
        <f t="shared" si="233"/>
        <v>6.6764645196413158E-6</v>
      </c>
      <c r="CI63" s="97">
        <f t="shared" si="233"/>
        <v>9.4634525288563408E-6</v>
      </c>
      <c r="CJ63" s="97">
        <f t="shared" si="233"/>
        <v>7.0556938139573407E-6</v>
      </c>
      <c r="CK63" s="97">
        <f t="shared" si="233"/>
        <v>6.4995870205681189E-6</v>
      </c>
      <c r="CL63" s="97">
        <f t="shared" si="233"/>
        <v>6.1909914028729772E-6</v>
      </c>
      <c r="CM63" s="97">
        <f t="shared" si="233"/>
        <v>6.6764645196413158E-6</v>
      </c>
      <c r="CN63" s="97">
        <f t="shared" si="233"/>
        <v>9.4634525288563408E-6</v>
      </c>
      <c r="CO63" s="97">
        <f t="shared" si="233"/>
        <v>6.3380625376182632E-6</v>
      </c>
      <c r="CP63" s="97">
        <f t="shared" si="233"/>
        <v>6.6764645196413158E-6</v>
      </c>
      <c r="CQ63" s="97">
        <f t="shared" si="233"/>
        <v>7.0556938139573407E-6</v>
      </c>
      <c r="CR63" s="97">
        <f t="shared" si="233"/>
        <v>6.4995870205681189E-6</v>
      </c>
      <c r="CS63" s="97">
        <f t="shared" si="233"/>
        <v>6.4995870205681189E-6</v>
      </c>
      <c r="CT63" s="97">
        <f t="shared" si="233"/>
        <v>6.3380625376182632E-6</v>
      </c>
      <c r="CU63" s="97">
        <f t="shared" si="233"/>
        <v>6.6764645196413158E-6</v>
      </c>
      <c r="CV63" s="97">
        <f t="shared" si="233"/>
        <v>6.3681940642490513E-6</v>
      </c>
      <c r="CW63" s="97">
        <f t="shared" si="233"/>
        <v>6.6764645196413158E-6</v>
      </c>
      <c r="CX63" s="97">
        <f t="shared" si="233"/>
        <v>6.3380625376182632E-6</v>
      </c>
      <c r="CY63" s="97">
        <f t="shared" si="233"/>
        <v>6.4995870205681189E-6</v>
      </c>
      <c r="CZ63" s="97">
        <f t="shared" si="233"/>
        <v>6.6764645196413158E-6</v>
      </c>
      <c r="DA63" s="97">
        <f t="shared" si="233"/>
        <v>7.0229007329474553E-6</v>
      </c>
      <c r="DB63" s="97">
        <f t="shared" si="233"/>
        <v>6.5376713010564438E-6</v>
      </c>
    </row>
    <row r="64" spans="1:106" x14ac:dyDescent="0.25">
      <c r="A64" s="99" t="s">
        <v>1087</v>
      </c>
      <c r="B64" s="90">
        <v>1</v>
      </c>
      <c r="C64" s="100">
        <f t="shared" ref="C64" si="234">IFERROR($B64/C25,0)</f>
        <v>0</v>
      </c>
      <c r="D64" s="100">
        <f t="shared" ref="D64:AB64" si="235">IFERROR($B64/D25,0)</f>
        <v>0</v>
      </c>
      <c r="E64" s="100">
        <f t="shared" si="235"/>
        <v>0</v>
      </c>
      <c r="F64" s="100">
        <f t="shared" si="235"/>
        <v>0</v>
      </c>
      <c r="G64" s="100">
        <f t="shared" si="235"/>
        <v>0</v>
      </c>
      <c r="H64" s="100">
        <f t="shared" si="235"/>
        <v>0</v>
      </c>
      <c r="I64" s="100">
        <f t="shared" si="235"/>
        <v>0</v>
      </c>
      <c r="J64" s="100">
        <f t="shared" si="235"/>
        <v>0</v>
      </c>
      <c r="K64" s="100">
        <f t="shared" si="235"/>
        <v>0</v>
      </c>
      <c r="L64" s="100">
        <f t="shared" si="235"/>
        <v>0</v>
      </c>
      <c r="M64" s="100">
        <f t="shared" si="235"/>
        <v>0</v>
      </c>
      <c r="N64" s="100">
        <f t="shared" si="235"/>
        <v>0</v>
      </c>
      <c r="O64" s="100">
        <f t="shared" si="235"/>
        <v>0</v>
      </c>
      <c r="P64" s="100">
        <f t="shared" si="235"/>
        <v>0</v>
      </c>
      <c r="Q64" s="100">
        <f t="shared" si="235"/>
        <v>0</v>
      </c>
      <c r="R64" s="100">
        <f t="shared" si="235"/>
        <v>0</v>
      </c>
      <c r="S64" s="100">
        <f t="shared" si="235"/>
        <v>0</v>
      </c>
      <c r="T64" s="100">
        <f t="shared" si="235"/>
        <v>0</v>
      </c>
      <c r="U64" s="100">
        <f t="shared" ref="U64" si="236">IFERROR($B64/U25,0)</f>
        <v>0</v>
      </c>
      <c r="V64" s="100">
        <f t="shared" si="235"/>
        <v>0</v>
      </c>
      <c r="W64" s="100">
        <f t="shared" si="235"/>
        <v>0</v>
      </c>
      <c r="X64" s="100">
        <f t="shared" si="235"/>
        <v>0</v>
      </c>
      <c r="Y64" s="100">
        <f t="shared" si="235"/>
        <v>0</v>
      </c>
      <c r="Z64" s="100">
        <f t="shared" si="235"/>
        <v>0</v>
      </c>
      <c r="AA64" s="100">
        <f t="shared" si="235"/>
        <v>0</v>
      </c>
      <c r="AB64" s="100">
        <f t="shared" si="235"/>
        <v>0</v>
      </c>
      <c r="AC64" s="49">
        <f t="shared" si="5"/>
        <v>0</v>
      </c>
      <c r="AD64" s="101">
        <f>IFERROR(s_RadSpec!$H$25*(AD25/$B64),".")</f>
        <v>0</v>
      </c>
      <c r="AE64" s="101">
        <f>IFERROR(s_RadSpec!$H$25*(AE25/$B64),".")</f>
        <v>0</v>
      </c>
      <c r="AF64" s="101">
        <f>IFERROR(s_RadSpec!$H$25*(AF25/$B64),".")</f>
        <v>0</v>
      </c>
      <c r="AG64" s="101">
        <f>IFERROR(s_RadSpec!$H$25*(AG25/$B64),".")</f>
        <v>0</v>
      </c>
      <c r="AH64" s="101">
        <f>IFERROR(s_RadSpec!$H$25*(AH25/$B64),".")</f>
        <v>0</v>
      </c>
      <c r="AI64" s="101">
        <f>IFERROR(s_RadSpec!$H$25*(AI25/$B64),".")</f>
        <v>0</v>
      </c>
      <c r="AJ64" s="101">
        <f>IFERROR(s_RadSpec!$H$25*(AJ25/$B64),".")</f>
        <v>0</v>
      </c>
      <c r="AK64" s="101">
        <f>IFERROR(s_RadSpec!$H$25*(AK25/$B64),".")</f>
        <v>0</v>
      </c>
      <c r="AL64" s="101">
        <f>IFERROR(s_RadSpec!$H$25*(AL25/$B64),".")</f>
        <v>0</v>
      </c>
      <c r="AM64" s="101">
        <f>IFERROR(s_RadSpec!$H$25*(AM25/$B64),".")</f>
        <v>0</v>
      </c>
      <c r="AN64" s="101">
        <f>IFERROR(s_RadSpec!$H$25*(AN25/$B64),".")</f>
        <v>0</v>
      </c>
      <c r="AO64" s="101">
        <f>IFERROR(s_RadSpec!$H$25*(AO25/$B64),".")</f>
        <v>0</v>
      </c>
      <c r="AP64" s="101">
        <f>IFERROR(s_RadSpec!$H$25*(AP25/$B64),".")</f>
        <v>0</v>
      </c>
      <c r="AQ64" s="101">
        <f>IFERROR(s_RadSpec!$H$25*(AQ25/$B64),".")</f>
        <v>0</v>
      </c>
      <c r="AR64" s="101">
        <f>IFERROR(s_RadSpec!$H$25*(AR25/$B64),".")</f>
        <v>0</v>
      </c>
      <c r="AS64" s="101">
        <f>IFERROR(s_RadSpec!$H$25*(AS25/$B64),".")</f>
        <v>0</v>
      </c>
      <c r="AT64" s="101">
        <f>IFERROR(s_RadSpec!$H$25*(AT25/$B64),".")</f>
        <v>0</v>
      </c>
      <c r="AU64" s="101">
        <f>IFERROR(s_RadSpec!$H$25*(AU25/$B64),".")</f>
        <v>0</v>
      </c>
      <c r="AV64" s="101">
        <f>IFERROR(s_RadSpec!$H$25*(AV25/$B64),".")</f>
        <v>0</v>
      </c>
      <c r="AW64" s="101">
        <f>IFERROR(s_RadSpec!$H$25*(AW25/$B64),".")</f>
        <v>0</v>
      </c>
      <c r="AX64" s="101">
        <f>IFERROR(s_RadSpec!$H$25*(AX25/$B64),".")</f>
        <v>0</v>
      </c>
      <c r="AY64" s="101">
        <f>IFERROR(s_RadSpec!$H$25*(AY25/$B64),".")</f>
        <v>0</v>
      </c>
      <c r="AZ64" s="101">
        <f>IFERROR(s_RadSpec!$H$25*(AZ25/$B64),".")</f>
        <v>0</v>
      </c>
      <c r="BA64" s="101">
        <f>IFERROR(s_RadSpec!$H$25*(BA25/$B64),".")</f>
        <v>0</v>
      </c>
      <c r="BB64" s="101">
        <f>IFERROR(s_RadSpec!$H$25*(BB25/$B64),".")</f>
        <v>0</v>
      </c>
      <c r="BC64" s="100">
        <f t="shared" ref="BC64" si="237">IFERROR($B64/BC25,0)</f>
        <v>0</v>
      </c>
      <c r="BD64" s="100">
        <f t="shared" ref="BD64:CB64" si="238">IFERROR($B64/BD25,0)</f>
        <v>0</v>
      </c>
      <c r="BE64" s="100">
        <f t="shared" si="238"/>
        <v>0</v>
      </c>
      <c r="BF64" s="100">
        <f t="shared" si="238"/>
        <v>0</v>
      </c>
      <c r="BG64" s="100">
        <f t="shared" si="238"/>
        <v>0</v>
      </c>
      <c r="BH64" s="100">
        <f t="shared" si="238"/>
        <v>0</v>
      </c>
      <c r="BI64" s="100">
        <f t="shared" si="238"/>
        <v>0</v>
      </c>
      <c r="BJ64" s="100">
        <f t="shared" si="238"/>
        <v>0</v>
      </c>
      <c r="BK64" s="100">
        <f t="shared" si="238"/>
        <v>0</v>
      </c>
      <c r="BL64" s="100">
        <f t="shared" si="238"/>
        <v>0</v>
      </c>
      <c r="BM64" s="100">
        <f t="shared" si="238"/>
        <v>0</v>
      </c>
      <c r="BN64" s="100">
        <f t="shared" si="238"/>
        <v>0</v>
      </c>
      <c r="BO64" s="100">
        <f t="shared" si="238"/>
        <v>0</v>
      </c>
      <c r="BP64" s="100">
        <f t="shared" si="238"/>
        <v>0</v>
      </c>
      <c r="BQ64" s="100">
        <f t="shared" si="238"/>
        <v>0</v>
      </c>
      <c r="BR64" s="100">
        <f t="shared" si="238"/>
        <v>0</v>
      </c>
      <c r="BS64" s="100">
        <f t="shared" si="238"/>
        <v>0</v>
      </c>
      <c r="BT64" s="100">
        <f t="shared" si="238"/>
        <v>0</v>
      </c>
      <c r="BU64" s="100">
        <f t="shared" ref="BU64" si="239">IFERROR($B64/BU25,0)</f>
        <v>0</v>
      </c>
      <c r="BV64" s="100">
        <f t="shared" si="238"/>
        <v>0</v>
      </c>
      <c r="BW64" s="100">
        <f t="shared" si="238"/>
        <v>0</v>
      </c>
      <c r="BX64" s="100">
        <f t="shared" si="238"/>
        <v>0</v>
      </c>
      <c r="BY64" s="100">
        <f t="shared" si="238"/>
        <v>0</v>
      </c>
      <c r="BZ64" s="100">
        <f t="shared" si="238"/>
        <v>0</v>
      </c>
      <c r="CA64" s="100">
        <f t="shared" si="238"/>
        <v>0</v>
      </c>
      <c r="CB64" s="100">
        <f t="shared" si="238"/>
        <v>0</v>
      </c>
      <c r="CC64" s="49">
        <f t="shared" si="2"/>
        <v>0</v>
      </c>
      <c r="CD64" s="101">
        <f>IFERROR(s_RadSpec!$H$25*(CD25/$B64),".")</f>
        <v>0</v>
      </c>
      <c r="CE64" s="101">
        <f>IFERROR(s_RadSpec!$H$25*(CE25/$B64),".")</f>
        <v>0</v>
      </c>
      <c r="CF64" s="101">
        <f>IFERROR(s_RadSpec!$H$25*(CF25/$B64),".")</f>
        <v>0</v>
      </c>
      <c r="CG64" s="101">
        <f>IFERROR(s_RadSpec!$H$25*(CG25/$B64),".")</f>
        <v>0</v>
      </c>
      <c r="CH64" s="101">
        <f>IFERROR(s_RadSpec!$H$25*(CH25/$B64),".")</f>
        <v>0</v>
      </c>
      <c r="CI64" s="101">
        <f>IFERROR(s_RadSpec!$H$25*(CI25/$B64),".")</f>
        <v>0</v>
      </c>
      <c r="CJ64" s="101">
        <f>IFERROR(s_RadSpec!$H$25*(CJ25/$B64),".")</f>
        <v>0</v>
      </c>
      <c r="CK64" s="101">
        <f>IFERROR(s_RadSpec!$H$25*(CK25/$B64),".")</f>
        <v>0</v>
      </c>
      <c r="CL64" s="101">
        <f>IFERROR(s_RadSpec!$H$25*(CL25/$B64),".")</f>
        <v>0</v>
      </c>
      <c r="CM64" s="101">
        <f>IFERROR(s_RadSpec!$H$25*(CM25/$B64),".")</f>
        <v>0</v>
      </c>
      <c r="CN64" s="101">
        <f>IFERROR(s_RadSpec!$H$25*(CN25/$B64),".")</f>
        <v>0</v>
      </c>
      <c r="CO64" s="101">
        <f>IFERROR(s_RadSpec!$H$25*(CO25/$B64),".")</f>
        <v>0</v>
      </c>
      <c r="CP64" s="101">
        <f>IFERROR(s_RadSpec!$H$25*(CP25/$B64),".")</f>
        <v>0</v>
      </c>
      <c r="CQ64" s="101">
        <f>IFERROR(s_RadSpec!$H$25*(CQ25/$B64),".")</f>
        <v>0</v>
      </c>
      <c r="CR64" s="101">
        <f>IFERROR(s_RadSpec!$H$25*(CR25/$B64),".")</f>
        <v>0</v>
      </c>
      <c r="CS64" s="101">
        <f>IFERROR(s_RadSpec!$H$25*(CS25/$B64),".")</f>
        <v>0</v>
      </c>
      <c r="CT64" s="101">
        <f>IFERROR(s_RadSpec!$H$25*(CT25/$B64),".")</f>
        <v>0</v>
      </c>
      <c r="CU64" s="101">
        <f>IFERROR(s_RadSpec!$H$25*(CU25/$B64),".")</f>
        <v>0</v>
      </c>
      <c r="CV64" s="101">
        <f>IFERROR(s_RadSpec!$H$25*(CV25/$B64),".")</f>
        <v>0</v>
      </c>
      <c r="CW64" s="101">
        <f>IFERROR(s_RadSpec!$H$25*(CW25/$B64),".")</f>
        <v>0</v>
      </c>
      <c r="CX64" s="101">
        <f>IFERROR(s_RadSpec!$H$25*(CX25/$B64),".")</f>
        <v>0</v>
      </c>
      <c r="CY64" s="101">
        <f>IFERROR(s_RadSpec!$H$25*(CY25/$B64),".")</f>
        <v>0</v>
      </c>
      <c r="CZ64" s="101">
        <f>IFERROR(s_RadSpec!$H$25*(CZ25/$B64),".")</f>
        <v>0</v>
      </c>
      <c r="DA64" s="101">
        <f>IFERROR(s_RadSpec!$H$25*(DA25/$B64),".")</f>
        <v>0</v>
      </c>
      <c r="DB64" s="101">
        <f>IFERROR(s_RadSpec!$H$25*(DB25/$B64),".")</f>
        <v>0</v>
      </c>
    </row>
    <row r="65" spans="1:106" x14ac:dyDescent="0.25">
      <c r="A65" s="99" t="s">
        <v>1073</v>
      </c>
      <c r="B65" s="90">
        <v>1</v>
      </c>
      <c r="C65" s="100">
        <f t="shared" ref="C65" si="240">IFERROR($B65/C21,0)</f>
        <v>0</v>
      </c>
      <c r="D65" s="100">
        <f t="shared" ref="D65:AB65" si="241">IFERROR($B65/D21,0)</f>
        <v>0</v>
      </c>
      <c r="E65" s="100">
        <f t="shared" si="241"/>
        <v>0</v>
      </c>
      <c r="F65" s="100">
        <f t="shared" si="241"/>
        <v>0</v>
      </c>
      <c r="G65" s="100">
        <f t="shared" si="241"/>
        <v>0</v>
      </c>
      <c r="H65" s="100">
        <f t="shared" si="241"/>
        <v>0</v>
      </c>
      <c r="I65" s="100">
        <f t="shared" si="241"/>
        <v>0</v>
      </c>
      <c r="J65" s="100">
        <f t="shared" si="241"/>
        <v>0</v>
      </c>
      <c r="K65" s="100">
        <f t="shared" si="241"/>
        <v>0</v>
      </c>
      <c r="L65" s="100">
        <f t="shared" si="241"/>
        <v>0</v>
      </c>
      <c r="M65" s="100">
        <f t="shared" si="241"/>
        <v>0</v>
      </c>
      <c r="N65" s="100">
        <f t="shared" si="241"/>
        <v>0</v>
      </c>
      <c r="O65" s="100">
        <f t="shared" si="241"/>
        <v>0</v>
      </c>
      <c r="P65" s="100">
        <f t="shared" si="241"/>
        <v>0</v>
      </c>
      <c r="Q65" s="100">
        <f t="shared" si="241"/>
        <v>0</v>
      </c>
      <c r="R65" s="100">
        <f t="shared" si="241"/>
        <v>0</v>
      </c>
      <c r="S65" s="100">
        <f t="shared" si="241"/>
        <v>0</v>
      </c>
      <c r="T65" s="100">
        <f t="shared" si="241"/>
        <v>0</v>
      </c>
      <c r="U65" s="100">
        <f t="shared" ref="U65" si="242">IFERROR($B65/U21,0)</f>
        <v>0</v>
      </c>
      <c r="V65" s="100">
        <f t="shared" si="241"/>
        <v>0</v>
      </c>
      <c r="W65" s="100">
        <f t="shared" si="241"/>
        <v>0</v>
      </c>
      <c r="X65" s="100">
        <f t="shared" si="241"/>
        <v>0</v>
      </c>
      <c r="Y65" s="100">
        <f t="shared" si="241"/>
        <v>0</v>
      </c>
      <c r="Z65" s="100">
        <f t="shared" si="241"/>
        <v>0</v>
      </c>
      <c r="AA65" s="100">
        <f t="shared" si="241"/>
        <v>0</v>
      </c>
      <c r="AB65" s="100">
        <f t="shared" si="241"/>
        <v>0</v>
      </c>
      <c r="AC65" s="49">
        <f t="shared" si="5"/>
        <v>0</v>
      </c>
      <c r="AD65" s="101">
        <f>IFERROR(s_RadSpec!$H$21*(AD21/$B65),".")</f>
        <v>0</v>
      </c>
      <c r="AE65" s="101">
        <f>IFERROR(s_RadSpec!$H$21*(AE21/$B65),".")</f>
        <v>0</v>
      </c>
      <c r="AF65" s="101">
        <f>IFERROR(s_RadSpec!$H$21*(AF21/$B65),".")</f>
        <v>0</v>
      </c>
      <c r="AG65" s="101">
        <f>IFERROR(s_RadSpec!$H$21*(AG21/$B65),".")</f>
        <v>0</v>
      </c>
      <c r="AH65" s="101">
        <f>IFERROR(s_RadSpec!$H$21*(AH21/$B65),".")</f>
        <v>0</v>
      </c>
      <c r="AI65" s="101">
        <f>IFERROR(s_RadSpec!$H$21*(AI21/$B65),".")</f>
        <v>0</v>
      </c>
      <c r="AJ65" s="101">
        <f>IFERROR(s_RadSpec!$H$21*(AJ21/$B65),".")</f>
        <v>0</v>
      </c>
      <c r="AK65" s="101">
        <f>IFERROR(s_RadSpec!$H$21*(AK21/$B65),".")</f>
        <v>0</v>
      </c>
      <c r="AL65" s="101">
        <f>IFERROR(s_RadSpec!$H$21*(AL21/$B65),".")</f>
        <v>0</v>
      </c>
      <c r="AM65" s="101">
        <f>IFERROR(s_RadSpec!$H$21*(AM21/$B65),".")</f>
        <v>0</v>
      </c>
      <c r="AN65" s="101">
        <f>IFERROR(s_RadSpec!$H$21*(AN21/$B65),".")</f>
        <v>0</v>
      </c>
      <c r="AO65" s="101">
        <f>IFERROR(s_RadSpec!$H$21*(AO21/$B65),".")</f>
        <v>0</v>
      </c>
      <c r="AP65" s="101">
        <f>IFERROR(s_RadSpec!$H$21*(AP21/$B65),".")</f>
        <v>0</v>
      </c>
      <c r="AQ65" s="101">
        <f>IFERROR(s_RadSpec!$H$21*(AQ21/$B65),".")</f>
        <v>0</v>
      </c>
      <c r="AR65" s="101">
        <f>IFERROR(s_RadSpec!$H$21*(AR21/$B65),".")</f>
        <v>0</v>
      </c>
      <c r="AS65" s="101">
        <f>IFERROR(s_RadSpec!$H$21*(AS21/$B65),".")</f>
        <v>0</v>
      </c>
      <c r="AT65" s="101">
        <f>IFERROR(s_RadSpec!$H$21*(AT21/$B65),".")</f>
        <v>0</v>
      </c>
      <c r="AU65" s="101">
        <f>IFERROR(s_RadSpec!$H$21*(AU21/$B65),".")</f>
        <v>0</v>
      </c>
      <c r="AV65" s="101">
        <f>IFERROR(s_RadSpec!$H$21*(AV21/$B65),".")</f>
        <v>0</v>
      </c>
      <c r="AW65" s="101">
        <f>IFERROR(s_RadSpec!$H$21*(AW21/$B65),".")</f>
        <v>0</v>
      </c>
      <c r="AX65" s="101">
        <f>IFERROR(s_RadSpec!$H$21*(AX21/$B65),".")</f>
        <v>0</v>
      </c>
      <c r="AY65" s="101">
        <f>IFERROR(s_RadSpec!$H$21*(AY21/$B65),".")</f>
        <v>0</v>
      </c>
      <c r="AZ65" s="101">
        <f>IFERROR(s_RadSpec!$H$21*(AZ21/$B65),".")</f>
        <v>0</v>
      </c>
      <c r="BA65" s="101">
        <f>IFERROR(s_RadSpec!$H$21*(BA21/$B65),".")</f>
        <v>0</v>
      </c>
      <c r="BB65" s="101">
        <f>IFERROR(s_RadSpec!$H$21*(BB21/$B65),".")</f>
        <v>0</v>
      </c>
      <c r="BC65" s="100">
        <f t="shared" ref="BC65" si="243">IFERROR($B65/BC21,0)</f>
        <v>0</v>
      </c>
      <c r="BD65" s="100">
        <f t="shared" ref="BD65:CB65" si="244">IFERROR($B65/BD21,0)</f>
        <v>0</v>
      </c>
      <c r="BE65" s="100">
        <f t="shared" si="244"/>
        <v>0</v>
      </c>
      <c r="BF65" s="100">
        <f t="shared" si="244"/>
        <v>0</v>
      </c>
      <c r="BG65" s="100">
        <f t="shared" si="244"/>
        <v>0</v>
      </c>
      <c r="BH65" s="100">
        <f t="shared" si="244"/>
        <v>0</v>
      </c>
      <c r="BI65" s="100">
        <f t="shared" si="244"/>
        <v>0</v>
      </c>
      <c r="BJ65" s="100">
        <f t="shared" si="244"/>
        <v>0</v>
      </c>
      <c r="BK65" s="100">
        <f t="shared" si="244"/>
        <v>0</v>
      </c>
      <c r="BL65" s="100">
        <f t="shared" si="244"/>
        <v>0</v>
      </c>
      <c r="BM65" s="100">
        <f t="shared" si="244"/>
        <v>0</v>
      </c>
      <c r="BN65" s="100">
        <f t="shared" si="244"/>
        <v>0</v>
      </c>
      <c r="BO65" s="100">
        <f t="shared" si="244"/>
        <v>0</v>
      </c>
      <c r="BP65" s="100">
        <f t="shared" si="244"/>
        <v>0</v>
      </c>
      <c r="BQ65" s="100">
        <f t="shared" si="244"/>
        <v>0</v>
      </c>
      <c r="BR65" s="100">
        <f t="shared" si="244"/>
        <v>0</v>
      </c>
      <c r="BS65" s="100">
        <f t="shared" si="244"/>
        <v>0</v>
      </c>
      <c r="BT65" s="100">
        <f t="shared" si="244"/>
        <v>0</v>
      </c>
      <c r="BU65" s="100">
        <f t="shared" ref="BU65" si="245">IFERROR($B65/BU21,0)</f>
        <v>0</v>
      </c>
      <c r="BV65" s="100">
        <f t="shared" si="244"/>
        <v>0</v>
      </c>
      <c r="BW65" s="100">
        <f t="shared" si="244"/>
        <v>0</v>
      </c>
      <c r="BX65" s="100">
        <f t="shared" si="244"/>
        <v>0</v>
      </c>
      <c r="BY65" s="100">
        <f t="shared" si="244"/>
        <v>0</v>
      </c>
      <c r="BZ65" s="100">
        <f t="shared" si="244"/>
        <v>0</v>
      </c>
      <c r="CA65" s="100">
        <f t="shared" si="244"/>
        <v>0</v>
      </c>
      <c r="CB65" s="100">
        <f t="shared" si="244"/>
        <v>0</v>
      </c>
      <c r="CC65" s="49">
        <f t="shared" si="2"/>
        <v>0</v>
      </c>
      <c r="CD65" s="101">
        <f>IFERROR(s_RadSpec!$H$21*(CD21/$B65),".")</f>
        <v>0</v>
      </c>
      <c r="CE65" s="101">
        <f>IFERROR(s_RadSpec!$H$21*(CE21/$B65),".")</f>
        <v>0</v>
      </c>
      <c r="CF65" s="101">
        <f>IFERROR(s_RadSpec!$H$21*(CF21/$B65),".")</f>
        <v>0</v>
      </c>
      <c r="CG65" s="101">
        <f>IFERROR(s_RadSpec!$H$21*(CG21/$B65),".")</f>
        <v>0</v>
      </c>
      <c r="CH65" s="101">
        <f>IFERROR(s_RadSpec!$H$21*(CH21/$B65),".")</f>
        <v>0</v>
      </c>
      <c r="CI65" s="101">
        <f>IFERROR(s_RadSpec!$H$21*(CI21/$B65),".")</f>
        <v>0</v>
      </c>
      <c r="CJ65" s="101">
        <f>IFERROR(s_RadSpec!$H$21*(CJ21/$B65),".")</f>
        <v>0</v>
      </c>
      <c r="CK65" s="101">
        <f>IFERROR(s_RadSpec!$H$21*(CK21/$B65),".")</f>
        <v>0</v>
      </c>
      <c r="CL65" s="101">
        <f>IFERROR(s_RadSpec!$H$21*(CL21/$B65),".")</f>
        <v>0</v>
      </c>
      <c r="CM65" s="101">
        <f>IFERROR(s_RadSpec!$H$21*(CM21/$B65),".")</f>
        <v>0</v>
      </c>
      <c r="CN65" s="101">
        <f>IFERROR(s_RadSpec!$H$21*(CN21/$B65),".")</f>
        <v>0</v>
      </c>
      <c r="CO65" s="101">
        <f>IFERROR(s_RadSpec!$H$21*(CO21/$B65),".")</f>
        <v>0</v>
      </c>
      <c r="CP65" s="101">
        <f>IFERROR(s_RadSpec!$H$21*(CP21/$B65),".")</f>
        <v>0</v>
      </c>
      <c r="CQ65" s="101">
        <f>IFERROR(s_RadSpec!$H$21*(CQ21/$B65),".")</f>
        <v>0</v>
      </c>
      <c r="CR65" s="101">
        <f>IFERROR(s_RadSpec!$H$21*(CR21/$B65),".")</f>
        <v>0</v>
      </c>
      <c r="CS65" s="101">
        <f>IFERROR(s_RadSpec!$H$21*(CS21/$B65),".")</f>
        <v>0</v>
      </c>
      <c r="CT65" s="101">
        <f>IFERROR(s_RadSpec!$H$21*(CT21/$B65),".")</f>
        <v>0</v>
      </c>
      <c r="CU65" s="101">
        <f>IFERROR(s_RadSpec!$H$21*(CU21/$B65),".")</f>
        <v>0</v>
      </c>
      <c r="CV65" s="101">
        <f>IFERROR(s_RadSpec!$H$21*(CV21/$B65),".")</f>
        <v>0</v>
      </c>
      <c r="CW65" s="101">
        <f>IFERROR(s_RadSpec!$H$21*(CW21/$B65),".")</f>
        <v>0</v>
      </c>
      <c r="CX65" s="101">
        <f>IFERROR(s_RadSpec!$H$21*(CX21/$B65),".")</f>
        <v>0</v>
      </c>
      <c r="CY65" s="101">
        <f>IFERROR(s_RadSpec!$H$21*(CY21/$B65),".")</f>
        <v>0</v>
      </c>
      <c r="CZ65" s="101">
        <f>IFERROR(s_RadSpec!$H$21*(CZ21/$B65),".")</f>
        <v>0</v>
      </c>
      <c r="DA65" s="101">
        <f>IFERROR(s_RadSpec!$H$21*(DA21/$B65),".")</f>
        <v>0</v>
      </c>
      <c r="DB65" s="101">
        <f>IFERROR(s_RadSpec!$H$21*(DB21/$B65),".")</f>
        <v>0</v>
      </c>
    </row>
    <row r="66" spans="1:106" x14ac:dyDescent="0.25">
      <c r="A66" s="99" t="s">
        <v>1074</v>
      </c>
      <c r="B66" s="103">
        <v>0.99980000000000002</v>
      </c>
      <c r="C66" s="100">
        <f t="shared" ref="C66" si="246">IFERROR($B66/C17,0)</f>
        <v>7.9157097028176537E-5</v>
      </c>
      <c r="D66" s="100">
        <f t="shared" ref="D66:AB66" si="247">IFERROR($B66/D17,0)</f>
        <v>2.0059436653661341E-5</v>
      </c>
      <c r="E66" s="100">
        <f t="shared" si="247"/>
        <v>4.0449051492695909E-5</v>
      </c>
      <c r="F66" s="100">
        <f t="shared" si="247"/>
        <v>2.1515837713592382E-5</v>
      </c>
      <c r="G66" s="100">
        <f t="shared" si="247"/>
        <v>2.0059436653661341E-5</v>
      </c>
      <c r="H66" s="100">
        <f t="shared" si="247"/>
        <v>2.1515837713592382E-5</v>
      </c>
      <c r="I66" s="100">
        <f t="shared" si="247"/>
        <v>4.0449051492695909E-5</v>
      </c>
      <c r="J66" s="100">
        <f t="shared" si="247"/>
        <v>2.1515837713592382E-5</v>
      </c>
      <c r="K66" s="100">
        <f t="shared" si="247"/>
        <v>2.0059436653661341E-5</v>
      </c>
      <c r="L66" s="100">
        <f t="shared" si="247"/>
        <v>1.7496170788182712E-5</v>
      </c>
      <c r="M66" s="100">
        <f t="shared" si="247"/>
        <v>2.1515837713592382E-5</v>
      </c>
      <c r="N66" s="100">
        <f t="shared" si="247"/>
        <v>4.0449051492695909E-5</v>
      </c>
      <c r="O66" s="100">
        <f t="shared" si="247"/>
        <v>1.8690419657326161E-5</v>
      </c>
      <c r="P66" s="100">
        <f t="shared" si="247"/>
        <v>2.1515837713592382E-5</v>
      </c>
      <c r="Q66" s="100">
        <f t="shared" si="247"/>
        <v>2.1515837713592382E-5</v>
      </c>
      <c r="R66" s="100">
        <f t="shared" si="247"/>
        <v>2.0059436653661341E-5</v>
      </c>
      <c r="S66" s="100">
        <f t="shared" si="247"/>
        <v>2.0059436653661341E-5</v>
      </c>
      <c r="T66" s="100">
        <f t="shared" si="247"/>
        <v>1.8690419657326161E-5</v>
      </c>
      <c r="U66" s="100">
        <f t="shared" ref="U66" si="248">IFERROR($B66/U17,0)</f>
        <v>2.1515837713592382E-5</v>
      </c>
      <c r="V66" s="100">
        <f t="shared" si="247"/>
        <v>1.7583554851778574E-5</v>
      </c>
      <c r="W66" s="100">
        <f t="shared" si="247"/>
        <v>2.1515837713592382E-5</v>
      </c>
      <c r="X66" s="100">
        <f t="shared" si="247"/>
        <v>1.8690419657326161E-5</v>
      </c>
      <c r="Y66" s="100">
        <f t="shared" si="247"/>
        <v>2.0059436653661341E-5</v>
      </c>
      <c r="Z66" s="100">
        <f t="shared" si="247"/>
        <v>2.1515837713592382E-5</v>
      </c>
      <c r="AA66" s="100">
        <f t="shared" si="247"/>
        <v>1.7231105795275262E-5</v>
      </c>
      <c r="AB66" s="100">
        <f t="shared" si="247"/>
        <v>2.0350716865647552E-5</v>
      </c>
      <c r="AC66" s="49">
        <f t="shared" si="5"/>
        <v>3.9594384684186562E-9</v>
      </c>
      <c r="AD66" s="101">
        <f>IFERROR(s_RadSpec!$H$17*(AD17/$B66),".")</f>
        <v>1.0033731418048636E-9</v>
      </c>
      <c r="AE66" s="101">
        <f>IFERROR(s_RadSpec!$H$17*(AE17/$B66),".")</f>
        <v>2.0232617984236928E-9</v>
      </c>
      <c r="AF66" s="101">
        <f>IFERROR(s_RadSpec!$H$17*(AF17/$B66),".")</f>
        <v>1.0762223315633514E-9</v>
      </c>
      <c r="AG66" s="101">
        <f>IFERROR(s_RadSpec!$H$17*(AG17/$B66),".")</f>
        <v>1.0033731418048636E-9</v>
      </c>
      <c r="AH66" s="101">
        <f>IFERROR(s_RadSpec!$H$17*(AH17/$B66),".")</f>
        <v>1.0762223315633514E-9</v>
      </c>
      <c r="AI66" s="101">
        <f>IFERROR(s_RadSpec!$H$17*(AI17/$B66),".")</f>
        <v>2.0232617984236928E-9</v>
      </c>
      <c r="AJ66" s="101">
        <f>IFERROR(s_RadSpec!$H$17*(AJ17/$B66),".")</f>
        <v>1.0762223315633514E-9</v>
      </c>
      <c r="AK66" s="101">
        <f>IFERROR(s_RadSpec!$H$17*(AK17/$B66),".")</f>
        <v>1.0033731418048636E-9</v>
      </c>
      <c r="AL66" s="101">
        <f>IFERROR(s_RadSpec!$H$17*(AL17/$B66),".")</f>
        <v>8.75158567829925E-10</v>
      </c>
      <c r="AM66" s="101">
        <f>IFERROR(s_RadSpec!$H$17*(AM17/$B66),".")</f>
        <v>1.0762223315633514E-9</v>
      </c>
      <c r="AN66" s="101">
        <f>IFERROR(s_RadSpec!$H$17*(AN17/$B66),".")</f>
        <v>2.0232617984236928E-9</v>
      </c>
      <c r="AO66" s="101">
        <f>IFERROR(s_RadSpec!$H$17*(AO17/$B66),".")</f>
        <v>9.3489490343188486E-10</v>
      </c>
      <c r="AP66" s="101">
        <f>IFERROR(s_RadSpec!$H$17*(AP17/$B66),".")</f>
        <v>1.0762223315633514E-9</v>
      </c>
      <c r="AQ66" s="101">
        <f>IFERROR(s_RadSpec!$H$17*(AQ17/$B66),".")</f>
        <v>1.0762223315633514E-9</v>
      </c>
      <c r="AR66" s="101">
        <f>IFERROR(s_RadSpec!$H$17*(AR17/$B66),".")</f>
        <v>1.0033731418048636E-9</v>
      </c>
      <c r="AS66" s="101">
        <f>IFERROR(s_RadSpec!$H$17*(AS17/$B66),".")</f>
        <v>1.0033731418048636E-9</v>
      </c>
      <c r="AT66" s="101">
        <f>IFERROR(s_RadSpec!$H$17*(AT17/$B66),".")</f>
        <v>9.3489490343188486E-10</v>
      </c>
      <c r="AU66" s="101">
        <f>IFERROR(s_RadSpec!$H$17*(AU17/$B66),".")</f>
        <v>1.0762223315633514E-9</v>
      </c>
      <c r="AV66" s="101">
        <f>IFERROR(s_RadSpec!$H$17*(AV17/$B66),".")</f>
        <v>8.7952951921543418E-10</v>
      </c>
      <c r="AW66" s="101">
        <f>IFERROR(s_RadSpec!$H$17*(AW17/$B66),".")</f>
        <v>1.0762223315633514E-9</v>
      </c>
      <c r="AX66" s="101">
        <f>IFERROR(s_RadSpec!$H$17*(AX17/$B66),".")</f>
        <v>9.3489490343188486E-10</v>
      </c>
      <c r="AY66" s="101">
        <f>IFERROR(s_RadSpec!$H$17*(AY17/$B66),".")</f>
        <v>1.0033731418048636E-9</v>
      </c>
      <c r="AZ66" s="101">
        <f>IFERROR(s_RadSpec!$H$17*(AZ17/$B66),".")</f>
        <v>1.0762223315633514E-9</v>
      </c>
      <c r="BA66" s="101">
        <f>IFERROR(s_RadSpec!$H$17*(BA17/$B66),".")</f>
        <v>8.6190001529388006E-10</v>
      </c>
      <c r="BB66" s="101">
        <f>IFERROR(s_RadSpec!$H$17*(BB17/$B66),".")</f>
        <v>1.0179429797565611E-9</v>
      </c>
      <c r="BC66" s="100">
        <f t="shared" ref="BC66" si="249">IFERROR($B66/BC17,0)</f>
        <v>7.9157097028176537E-5</v>
      </c>
      <c r="BD66" s="100">
        <f t="shared" ref="BD66:CB66" si="250">IFERROR($B66/BD17,0)</f>
        <v>2.0059436653661341E-5</v>
      </c>
      <c r="BE66" s="100">
        <f t="shared" si="250"/>
        <v>4.0449051492695909E-5</v>
      </c>
      <c r="BF66" s="100">
        <f t="shared" si="250"/>
        <v>2.1515837713592382E-5</v>
      </c>
      <c r="BG66" s="100">
        <f t="shared" si="250"/>
        <v>2.0059436653661341E-5</v>
      </c>
      <c r="BH66" s="100">
        <f t="shared" si="250"/>
        <v>2.1515837713592382E-5</v>
      </c>
      <c r="BI66" s="100">
        <f t="shared" si="250"/>
        <v>4.0449051492695909E-5</v>
      </c>
      <c r="BJ66" s="100">
        <f t="shared" si="250"/>
        <v>2.1515837713592382E-5</v>
      </c>
      <c r="BK66" s="100">
        <f t="shared" si="250"/>
        <v>2.0059436653661341E-5</v>
      </c>
      <c r="BL66" s="100">
        <f t="shared" si="250"/>
        <v>1.7496170788182712E-5</v>
      </c>
      <c r="BM66" s="100">
        <f t="shared" si="250"/>
        <v>2.1515837713592382E-5</v>
      </c>
      <c r="BN66" s="100">
        <f t="shared" si="250"/>
        <v>4.0449051492695909E-5</v>
      </c>
      <c r="BO66" s="100">
        <f t="shared" si="250"/>
        <v>1.8690419657326161E-5</v>
      </c>
      <c r="BP66" s="100">
        <f t="shared" si="250"/>
        <v>2.1515837713592382E-5</v>
      </c>
      <c r="BQ66" s="100">
        <f t="shared" si="250"/>
        <v>2.1515837713592382E-5</v>
      </c>
      <c r="BR66" s="100">
        <f t="shared" si="250"/>
        <v>2.0059436653661341E-5</v>
      </c>
      <c r="BS66" s="100">
        <f t="shared" si="250"/>
        <v>2.0059436653661341E-5</v>
      </c>
      <c r="BT66" s="100">
        <f t="shared" si="250"/>
        <v>1.8690419657326161E-5</v>
      </c>
      <c r="BU66" s="100">
        <f t="shared" ref="BU66" si="251">IFERROR($B66/BU17,0)</f>
        <v>2.1515837713592382E-5</v>
      </c>
      <c r="BV66" s="100">
        <f t="shared" si="250"/>
        <v>1.7583554851778574E-5</v>
      </c>
      <c r="BW66" s="100">
        <f t="shared" si="250"/>
        <v>2.1515837713592382E-5</v>
      </c>
      <c r="BX66" s="100">
        <f t="shared" si="250"/>
        <v>1.8690419657326161E-5</v>
      </c>
      <c r="BY66" s="100">
        <f t="shared" si="250"/>
        <v>2.0059436653661341E-5</v>
      </c>
      <c r="BZ66" s="100">
        <f t="shared" si="250"/>
        <v>2.1515837713592382E-5</v>
      </c>
      <c r="CA66" s="100">
        <f t="shared" si="250"/>
        <v>1.7231105795275262E-5</v>
      </c>
      <c r="CB66" s="100">
        <f t="shared" si="250"/>
        <v>2.0350716865647552E-5</v>
      </c>
      <c r="CC66" s="49">
        <f t="shared" si="2"/>
        <v>3.9594384684186562E-9</v>
      </c>
      <c r="CD66" s="101">
        <f>IFERROR(s_RadSpec!$H$17*(CD17/$B66),".")</f>
        <v>1.0033731418048636E-9</v>
      </c>
      <c r="CE66" s="101">
        <f>IFERROR(s_RadSpec!$H$17*(CE17/$B66),".")</f>
        <v>2.0232617984236928E-9</v>
      </c>
      <c r="CF66" s="101">
        <f>IFERROR(s_RadSpec!$H$17*(CF17/$B66),".")</f>
        <v>1.0762223315633514E-9</v>
      </c>
      <c r="CG66" s="101">
        <f>IFERROR(s_RadSpec!$H$17*(CG17/$B66),".")</f>
        <v>1.0033731418048636E-9</v>
      </c>
      <c r="CH66" s="101">
        <f>IFERROR(s_RadSpec!$H$17*(CH17/$B66),".")</f>
        <v>1.0762223315633514E-9</v>
      </c>
      <c r="CI66" s="101">
        <f>IFERROR(s_RadSpec!$H$17*(CI17/$B66),".")</f>
        <v>2.0232617984236928E-9</v>
      </c>
      <c r="CJ66" s="101">
        <f>IFERROR(s_RadSpec!$H$17*(CJ17/$B66),".")</f>
        <v>1.0762223315633514E-9</v>
      </c>
      <c r="CK66" s="101">
        <f>IFERROR(s_RadSpec!$H$17*(CK17/$B66),".")</f>
        <v>1.0033731418048636E-9</v>
      </c>
      <c r="CL66" s="101">
        <f>IFERROR(s_RadSpec!$H$17*(CL17/$B66),".")</f>
        <v>8.75158567829925E-10</v>
      </c>
      <c r="CM66" s="101">
        <f>IFERROR(s_RadSpec!$H$17*(CM17/$B66),".")</f>
        <v>1.0762223315633514E-9</v>
      </c>
      <c r="CN66" s="101">
        <f>IFERROR(s_RadSpec!$H$17*(CN17/$B66),".")</f>
        <v>2.0232617984236928E-9</v>
      </c>
      <c r="CO66" s="101">
        <f>IFERROR(s_RadSpec!$H$17*(CO17/$B66),".")</f>
        <v>9.3489490343188486E-10</v>
      </c>
      <c r="CP66" s="101">
        <f>IFERROR(s_RadSpec!$H$17*(CP17/$B66),".")</f>
        <v>1.0762223315633514E-9</v>
      </c>
      <c r="CQ66" s="101">
        <f>IFERROR(s_RadSpec!$H$17*(CQ17/$B66),".")</f>
        <v>1.0762223315633514E-9</v>
      </c>
      <c r="CR66" s="101">
        <f>IFERROR(s_RadSpec!$H$17*(CR17/$B66),".")</f>
        <v>1.0033731418048636E-9</v>
      </c>
      <c r="CS66" s="101">
        <f>IFERROR(s_RadSpec!$H$17*(CS17/$B66),".")</f>
        <v>1.0033731418048636E-9</v>
      </c>
      <c r="CT66" s="101">
        <f>IFERROR(s_RadSpec!$H$17*(CT17/$B66),".")</f>
        <v>9.3489490343188486E-10</v>
      </c>
      <c r="CU66" s="101">
        <f>IFERROR(s_RadSpec!$H$17*(CU17/$B66),".")</f>
        <v>1.0762223315633514E-9</v>
      </c>
      <c r="CV66" s="101">
        <f>IFERROR(s_RadSpec!$H$17*(CV17/$B66),".")</f>
        <v>8.7952951921543418E-10</v>
      </c>
      <c r="CW66" s="101">
        <f>IFERROR(s_RadSpec!$H$17*(CW17/$B66),".")</f>
        <v>1.0762223315633514E-9</v>
      </c>
      <c r="CX66" s="101">
        <f>IFERROR(s_RadSpec!$H$17*(CX17/$B66),".")</f>
        <v>9.3489490343188486E-10</v>
      </c>
      <c r="CY66" s="101">
        <f>IFERROR(s_RadSpec!$H$17*(CY17/$B66),".")</f>
        <v>1.0033731418048636E-9</v>
      </c>
      <c r="CZ66" s="101">
        <f>IFERROR(s_RadSpec!$H$17*(CZ17/$B66),".")</f>
        <v>1.0762223315633514E-9</v>
      </c>
      <c r="DA66" s="101">
        <f>IFERROR(s_RadSpec!$H$17*(DA17/$B66),".")</f>
        <v>8.6190001529388006E-10</v>
      </c>
      <c r="DB66" s="101">
        <f>IFERROR(s_RadSpec!$H$17*(DB17/$B66),".")</f>
        <v>1.0179429797565611E-9</v>
      </c>
    </row>
    <row r="67" spans="1:106" x14ac:dyDescent="0.25">
      <c r="A67" s="99" t="s">
        <v>1088</v>
      </c>
      <c r="B67" s="90">
        <v>2.0000000000000001E-4</v>
      </c>
      <c r="C67" s="100">
        <f t="shared" ref="C67" si="252">IFERROR($B67/C5,0)</f>
        <v>0</v>
      </c>
      <c r="D67" s="100">
        <f t="shared" ref="D67:AB67" si="253">IFERROR($B67/D5,0)</f>
        <v>0</v>
      </c>
      <c r="E67" s="100">
        <f t="shared" si="253"/>
        <v>0</v>
      </c>
      <c r="F67" s="100">
        <f t="shared" si="253"/>
        <v>0</v>
      </c>
      <c r="G67" s="100">
        <f t="shared" si="253"/>
        <v>0</v>
      </c>
      <c r="H67" s="100">
        <f t="shared" si="253"/>
        <v>0</v>
      </c>
      <c r="I67" s="100">
        <f t="shared" si="253"/>
        <v>0</v>
      </c>
      <c r="J67" s="100">
        <f t="shared" si="253"/>
        <v>0</v>
      </c>
      <c r="K67" s="100">
        <f t="shared" si="253"/>
        <v>0</v>
      </c>
      <c r="L67" s="100">
        <f t="shared" si="253"/>
        <v>0</v>
      </c>
      <c r="M67" s="100">
        <f t="shared" si="253"/>
        <v>0</v>
      </c>
      <c r="N67" s="100">
        <f t="shared" si="253"/>
        <v>0</v>
      </c>
      <c r="O67" s="100">
        <f t="shared" si="253"/>
        <v>0</v>
      </c>
      <c r="P67" s="100">
        <f t="shared" si="253"/>
        <v>0</v>
      </c>
      <c r="Q67" s="100">
        <f t="shared" si="253"/>
        <v>0</v>
      </c>
      <c r="R67" s="100">
        <f t="shared" si="253"/>
        <v>0</v>
      </c>
      <c r="S67" s="100">
        <f t="shared" si="253"/>
        <v>0</v>
      </c>
      <c r="T67" s="100">
        <f t="shared" si="253"/>
        <v>0</v>
      </c>
      <c r="U67" s="100">
        <f t="shared" ref="U67" si="254">IFERROR($B67/U5,0)</f>
        <v>0</v>
      </c>
      <c r="V67" s="100">
        <f t="shared" si="253"/>
        <v>0</v>
      </c>
      <c r="W67" s="100">
        <f t="shared" si="253"/>
        <v>0</v>
      </c>
      <c r="X67" s="100">
        <f t="shared" si="253"/>
        <v>0</v>
      </c>
      <c r="Y67" s="100">
        <f t="shared" si="253"/>
        <v>0</v>
      </c>
      <c r="Z67" s="100">
        <f t="shared" si="253"/>
        <v>0</v>
      </c>
      <c r="AA67" s="100">
        <f t="shared" si="253"/>
        <v>0</v>
      </c>
      <c r="AB67" s="100">
        <f t="shared" si="253"/>
        <v>0</v>
      </c>
      <c r="AC67" s="49">
        <f t="shared" si="5"/>
        <v>0</v>
      </c>
      <c r="AD67" s="101">
        <f>IFERROR(s_RadSpec!$H$5*(AD5/$B67),".")</f>
        <v>0</v>
      </c>
      <c r="AE67" s="101">
        <f>IFERROR(s_RadSpec!$H$5*(AE5/$B67),".")</f>
        <v>0</v>
      </c>
      <c r="AF67" s="101">
        <f>IFERROR(s_RadSpec!$H$5*(AF5/$B67),".")</f>
        <v>0</v>
      </c>
      <c r="AG67" s="101">
        <f>IFERROR(s_RadSpec!$H$5*(AG5/$B67),".")</f>
        <v>0</v>
      </c>
      <c r="AH67" s="101">
        <f>IFERROR(s_RadSpec!$H$5*(AH5/$B67),".")</f>
        <v>0</v>
      </c>
      <c r="AI67" s="101">
        <f>IFERROR(s_RadSpec!$H$5*(AI5/$B67),".")</f>
        <v>0</v>
      </c>
      <c r="AJ67" s="101">
        <f>IFERROR(s_RadSpec!$H$5*(AJ5/$B67),".")</f>
        <v>0</v>
      </c>
      <c r="AK67" s="101">
        <f>IFERROR(s_RadSpec!$H$5*(AK5/$B67),".")</f>
        <v>0</v>
      </c>
      <c r="AL67" s="101">
        <f>IFERROR(s_RadSpec!$H$5*(AL5/$B67),".")</f>
        <v>0</v>
      </c>
      <c r="AM67" s="101">
        <f>IFERROR(s_RadSpec!$H$5*(AM5/$B67),".")</f>
        <v>0</v>
      </c>
      <c r="AN67" s="101">
        <f>IFERROR(s_RadSpec!$H$5*(AN5/$B67),".")</f>
        <v>0</v>
      </c>
      <c r="AO67" s="101">
        <f>IFERROR(s_RadSpec!$H$5*(AO5/$B67),".")</f>
        <v>0</v>
      </c>
      <c r="AP67" s="101">
        <f>IFERROR(s_RadSpec!$H$5*(AP5/$B67),".")</f>
        <v>0</v>
      </c>
      <c r="AQ67" s="101">
        <f>IFERROR(s_RadSpec!$H$5*(AQ5/$B67),".")</f>
        <v>0</v>
      </c>
      <c r="AR67" s="101">
        <f>IFERROR(s_RadSpec!$H$5*(AR5/$B67),".")</f>
        <v>0</v>
      </c>
      <c r="AS67" s="101">
        <f>IFERROR(s_RadSpec!$H$5*(AS5/$B67),".")</f>
        <v>0</v>
      </c>
      <c r="AT67" s="101">
        <f>IFERROR(s_RadSpec!$H$5*(AT5/$B67),".")</f>
        <v>0</v>
      </c>
      <c r="AU67" s="101">
        <f>IFERROR(s_RadSpec!$H$5*(AU5/$B67),".")</f>
        <v>0</v>
      </c>
      <c r="AV67" s="101">
        <f>IFERROR(s_RadSpec!$H$5*(AV5/$B67),".")</f>
        <v>0</v>
      </c>
      <c r="AW67" s="101">
        <f>IFERROR(s_RadSpec!$H$5*(AW5/$B67),".")</f>
        <v>0</v>
      </c>
      <c r="AX67" s="101">
        <f>IFERROR(s_RadSpec!$H$5*(AX5/$B67),".")</f>
        <v>0</v>
      </c>
      <c r="AY67" s="101">
        <f>IFERROR(s_RadSpec!$H$5*(AY5/$B67),".")</f>
        <v>0</v>
      </c>
      <c r="AZ67" s="101">
        <f>IFERROR(s_RadSpec!$H$5*(AZ5/$B67),".")</f>
        <v>0</v>
      </c>
      <c r="BA67" s="101">
        <f>IFERROR(s_RadSpec!$H$5*(BA5/$B67),".")</f>
        <v>0</v>
      </c>
      <c r="BB67" s="101">
        <f>IFERROR(s_RadSpec!$H$5*(BB5/$B67),".")</f>
        <v>0</v>
      </c>
      <c r="BC67" s="100">
        <f t="shared" ref="BC67" si="255">IFERROR($B67/BC5,0)</f>
        <v>0</v>
      </c>
      <c r="BD67" s="100">
        <f t="shared" ref="BD67:CB67" si="256">IFERROR($B67/BD5,0)</f>
        <v>0</v>
      </c>
      <c r="BE67" s="100">
        <f t="shared" si="256"/>
        <v>0</v>
      </c>
      <c r="BF67" s="100">
        <f t="shared" si="256"/>
        <v>0</v>
      </c>
      <c r="BG67" s="100">
        <f t="shared" si="256"/>
        <v>0</v>
      </c>
      <c r="BH67" s="100">
        <f t="shared" si="256"/>
        <v>0</v>
      </c>
      <c r="BI67" s="100">
        <f t="shared" si="256"/>
        <v>0</v>
      </c>
      <c r="BJ67" s="100">
        <f t="shared" si="256"/>
        <v>0</v>
      </c>
      <c r="BK67" s="100">
        <f t="shared" si="256"/>
        <v>0</v>
      </c>
      <c r="BL67" s="100">
        <f t="shared" si="256"/>
        <v>0</v>
      </c>
      <c r="BM67" s="100">
        <f t="shared" si="256"/>
        <v>0</v>
      </c>
      <c r="BN67" s="100">
        <f t="shared" si="256"/>
        <v>0</v>
      </c>
      <c r="BO67" s="100">
        <f t="shared" si="256"/>
        <v>0</v>
      </c>
      <c r="BP67" s="100">
        <f t="shared" si="256"/>
        <v>0</v>
      </c>
      <c r="BQ67" s="100">
        <f t="shared" si="256"/>
        <v>0</v>
      </c>
      <c r="BR67" s="100">
        <f t="shared" si="256"/>
        <v>0</v>
      </c>
      <c r="BS67" s="100">
        <f t="shared" si="256"/>
        <v>0</v>
      </c>
      <c r="BT67" s="100">
        <f t="shared" si="256"/>
        <v>0</v>
      </c>
      <c r="BU67" s="100">
        <f t="shared" ref="BU67" si="257">IFERROR($B67/BU5,0)</f>
        <v>0</v>
      </c>
      <c r="BV67" s="100">
        <f t="shared" si="256"/>
        <v>0</v>
      </c>
      <c r="BW67" s="100">
        <f t="shared" si="256"/>
        <v>0</v>
      </c>
      <c r="BX67" s="100">
        <f t="shared" si="256"/>
        <v>0</v>
      </c>
      <c r="BY67" s="100">
        <f t="shared" si="256"/>
        <v>0</v>
      </c>
      <c r="BZ67" s="100">
        <f t="shared" si="256"/>
        <v>0</v>
      </c>
      <c r="CA67" s="100">
        <f t="shared" si="256"/>
        <v>0</v>
      </c>
      <c r="CB67" s="100">
        <f t="shared" si="256"/>
        <v>0</v>
      </c>
      <c r="CC67" s="49">
        <f t="shared" ref="CC67:CC76" si="258">SUM(CD67,CU67,DA67:DB67)</f>
        <v>0</v>
      </c>
      <c r="CD67" s="101">
        <f>IFERROR(s_RadSpec!$H$5*(CD5/$B67),".")</f>
        <v>0</v>
      </c>
      <c r="CE67" s="101">
        <f>IFERROR(s_RadSpec!$H$5*(CE5/$B67),".")</f>
        <v>0</v>
      </c>
      <c r="CF67" s="101">
        <f>IFERROR(s_RadSpec!$H$5*(CF5/$B67),".")</f>
        <v>0</v>
      </c>
      <c r="CG67" s="101">
        <f>IFERROR(s_RadSpec!$H$5*(CG5/$B67),".")</f>
        <v>0</v>
      </c>
      <c r="CH67" s="101">
        <f>IFERROR(s_RadSpec!$H$5*(CH5/$B67),".")</f>
        <v>0</v>
      </c>
      <c r="CI67" s="101">
        <f>IFERROR(s_RadSpec!$H$5*(CI5/$B67),".")</f>
        <v>0</v>
      </c>
      <c r="CJ67" s="101">
        <f>IFERROR(s_RadSpec!$H$5*(CJ5/$B67),".")</f>
        <v>0</v>
      </c>
      <c r="CK67" s="101">
        <f>IFERROR(s_RadSpec!$H$5*(CK5/$B67),".")</f>
        <v>0</v>
      </c>
      <c r="CL67" s="101">
        <f>IFERROR(s_RadSpec!$H$5*(CL5/$B67),".")</f>
        <v>0</v>
      </c>
      <c r="CM67" s="101">
        <f>IFERROR(s_RadSpec!$H$5*(CM5/$B67),".")</f>
        <v>0</v>
      </c>
      <c r="CN67" s="101">
        <f>IFERROR(s_RadSpec!$H$5*(CN5/$B67),".")</f>
        <v>0</v>
      </c>
      <c r="CO67" s="101">
        <f>IFERROR(s_RadSpec!$H$5*(CO5/$B67),".")</f>
        <v>0</v>
      </c>
      <c r="CP67" s="101">
        <f>IFERROR(s_RadSpec!$H$5*(CP5/$B67),".")</f>
        <v>0</v>
      </c>
      <c r="CQ67" s="101">
        <f>IFERROR(s_RadSpec!$H$5*(CQ5/$B67),".")</f>
        <v>0</v>
      </c>
      <c r="CR67" s="101">
        <f>IFERROR(s_RadSpec!$H$5*(CR5/$B67),".")</f>
        <v>0</v>
      </c>
      <c r="CS67" s="101">
        <f>IFERROR(s_RadSpec!$H$5*(CS5/$B67),".")</f>
        <v>0</v>
      </c>
      <c r="CT67" s="101">
        <f>IFERROR(s_RadSpec!$H$5*(CT5/$B67),".")</f>
        <v>0</v>
      </c>
      <c r="CU67" s="101">
        <f>IFERROR(s_RadSpec!$H$5*(CU5/$B67),".")</f>
        <v>0</v>
      </c>
      <c r="CV67" s="101">
        <f>IFERROR(s_RadSpec!$H$5*(CV5/$B67),".")</f>
        <v>0</v>
      </c>
      <c r="CW67" s="101">
        <f>IFERROR(s_RadSpec!$H$5*(CW5/$B67),".")</f>
        <v>0</v>
      </c>
      <c r="CX67" s="101">
        <f>IFERROR(s_RadSpec!$H$5*(CX5/$B67),".")</f>
        <v>0</v>
      </c>
      <c r="CY67" s="101">
        <f>IFERROR(s_RadSpec!$H$5*(CY5/$B67),".")</f>
        <v>0</v>
      </c>
      <c r="CZ67" s="101">
        <f>IFERROR(s_RadSpec!$H$5*(CZ5/$B67),".")</f>
        <v>0</v>
      </c>
      <c r="DA67" s="101">
        <f>IFERROR(s_RadSpec!$H$5*(DA5/$B67),".")</f>
        <v>0</v>
      </c>
      <c r="DB67" s="101">
        <f>IFERROR(s_RadSpec!$H$5*(DB5/$B67),".")</f>
        <v>0</v>
      </c>
    </row>
    <row r="68" spans="1:106" x14ac:dyDescent="0.25">
      <c r="A68" s="99" t="s">
        <v>1089</v>
      </c>
      <c r="B68" s="90">
        <v>0.99999979999999999</v>
      </c>
      <c r="C68" s="100">
        <f t="shared" ref="C68" si="259">IFERROR($B68/C9,0)</f>
        <v>1.0132995003385274E-4</v>
      </c>
      <c r="D68" s="100">
        <f t="shared" ref="D68:AB68" si="260">IFERROR($B68/D9,0)</f>
        <v>2.5332487508463185E-5</v>
      </c>
      <c r="E68" s="100">
        <f t="shared" si="260"/>
        <v>2.5332487508463185E-5</v>
      </c>
      <c r="F68" s="100">
        <f t="shared" si="260"/>
        <v>2.5332487508463185E-5</v>
      </c>
      <c r="G68" s="100">
        <f t="shared" si="260"/>
        <v>2.5332487508463185E-5</v>
      </c>
      <c r="H68" s="100">
        <f t="shared" si="260"/>
        <v>2.5332487508463185E-5</v>
      </c>
      <c r="I68" s="100">
        <f t="shared" si="260"/>
        <v>2.5332487508463185E-5</v>
      </c>
      <c r="J68" s="100">
        <f t="shared" si="260"/>
        <v>2.5332487508463185E-5</v>
      </c>
      <c r="K68" s="100">
        <f t="shared" si="260"/>
        <v>2.5332487508463185E-5</v>
      </c>
      <c r="L68" s="100">
        <f t="shared" si="260"/>
        <v>2.5332487508463185E-5</v>
      </c>
      <c r="M68" s="100">
        <f t="shared" si="260"/>
        <v>2.5332487508463185E-5</v>
      </c>
      <c r="N68" s="100">
        <f t="shared" si="260"/>
        <v>2.5332487508463185E-5</v>
      </c>
      <c r="O68" s="100">
        <f t="shared" si="260"/>
        <v>2.5332487508463185E-5</v>
      </c>
      <c r="P68" s="100">
        <f t="shared" si="260"/>
        <v>2.5332487508463185E-5</v>
      </c>
      <c r="Q68" s="100">
        <f t="shared" si="260"/>
        <v>2.5332487508463185E-5</v>
      </c>
      <c r="R68" s="100">
        <f t="shared" si="260"/>
        <v>2.5332487508463185E-5</v>
      </c>
      <c r="S68" s="100">
        <f t="shared" si="260"/>
        <v>2.5332487508463185E-5</v>
      </c>
      <c r="T68" s="100">
        <f t="shared" si="260"/>
        <v>2.5332487508463185E-5</v>
      </c>
      <c r="U68" s="100">
        <f t="shared" ref="U68" si="261">IFERROR($B68/U9,0)</f>
        <v>2.5332487508463185E-5</v>
      </c>
      <c r="V68" s="100">
        <f t="shared" si="260"/>
        <v>2.5332487508463185E-5</v>
      </c>
      <c r="W68" s="100">
        <f t="shared" si="260"/>
        <v>2.5332487508463185E-5</v>
      </c>
      <c r="X68" s="100">
        <f t="shared" si="260"/>
        <v>2.5332487508463185E-5</v>
      </c>
      <c r="Y68" s="100">
        <f t="shared" si="260"/>
        <v>2.5332487508463185E-5</v>
      </c>
      <c r="Z68" s="100">
        <f t="shared" si="260"/>
        <v>2.5332487508463185E-5</v>
      </c>
      <c r="AA68" s="100">
        <f t="shared" si="260"/>
        <v>2.5332487508463185E-5</v>
      </c>
      <c r="AB68" s="100">
        <f t="shared" si="260"/>
        <v>2.5332487508463185E-5</v>
      </c>
      <c r="AC68" s="49">
        <f t="shared" si="5"/>
        <v>5.0664995282922455E-9</v>
      </c>
      <c r="AD68" s="101">
        <f>IFERROR(s_RadSpec!$H$9*(AD9/$B68),".")</f>
        <v>1.2666248820730614E-9</v>
      </c>
      <c r="AE68" s="101">
        <f>IFERROR(s_RadSpec!$H$9*(AE9/$B68),".")</f>
        <v>1.2666248820730614E-9</v>
      </c>
      <c r="AF68" s="101">
        <f>IFERROR(s_RadSpec!$H$9*(AF9/$B68),".")</f>
        <v>1.2666248820730614E-9</v>
      </c>
      <c r="AG68" s="101">
        <f>IFERROR(s_RadSpec!$H$9*(AG9/$B68),".")</f>
        <v>1.2666248820730614E-9</v>
      </c>
      <c r="AH68" s="101">
        <f>IFERROR(s_RadSpec!$H$9*(AH9/$B68),".")</f>
        <v>1.2666248820730614E-9</v>
      </c>
      <c r="AI68" s="101">
        <f>IFERROR(s_RadSpec!$H$9*(AI9/$B68),".")</f>
        <v>1.2666248820730614E-9</v>
      </c>
      <c r="AJ68" s="101">
        <f>IFERROR(s_RadSpec!$H$9*(AJ9/$B68),".")</f>
        <v>1.2666248820730614E-9</v>
      </c>
      <c r="AK68" s="101">
        <f>IFERROR(s_RadSpec!$H$9*(AK9/$B68),".")</f>
        <v>1.2666248820730614E-9</v>
      </c>
      <c r="AL68" s="101">
        <f>IFERROR(s_RadSpec!$H$9*(AL9/$B68),".")</f>
        <v>1.2666248820730614E-9</v>
      </c>
      <c r="AM68" s="101">
        <f>IFERROR(s_RadSpec!$H$9*(AM9/$B68),".")</f>
        <v>1.2666248820730614E-9</v>
      </c>
      <c r="AN68" s="101">
        <f>IFERROR(s_RadSpec!$H$9*(AN9/$B68),".")</f>
        <v>1.2666248820730614E-9</v>
      </c>
      <c r="AO68" s="101">
        <f>IFERROR(s_RadSpec!$H$9*(AO9/$B68),".")</f>
        <v>1.2666248820730614E-9</v>
      </c>
      <c r="AP68" s="101">
        <f>IFERROR(s_RadSpec!$H$9*(AP9/$B68),".")</f>
        <v>1.2666248820730614E-9</v>
      </c>
      <c r="AQ68" s="101">
        <f>IFERROR(s_RadSpec!$H$9*(AQ9/$B68),".")</f>
        <v>1.2666248820730614E-9</v>
      </c>
      <c r="AR68" s="101">
        <f>IFERROR(s_RadSpec!$H$9*(AR9/$B68),".")</f>
        <v>1.2666248820730614E-9</v>
      </c>
      <c r="AS68" s="101">
        <f>IFERROR(s_RadSpec!$H$9*(AS9/$B68),".")</f>
        <v>1.2666248820730614E-9</v>
      </c>
      <c r="AT68" s="101">
        <f>IFERROR(s_RadSpec!$H$9*(AT9/$B68),".")</f>
        <v>1.2666248820730614E-9</v>
      </c>
      <c r="AU68" s="101">
        <f>IFERROR(s_RadSpec!$H$9*(AU9/$B68),".")</f>
        <v>1.2666248820730614E-9</v>
      </c>
      <c r="AV68" s="101">
        <f>IFERROR(s_RadSpec!$H$9*(AV9/$B68),".")</f>
        <v>1.2666248820730614E-9</v>
      </c>
      <c r="AW68" s="101">
        <f>IFERROR(s_RadSpec!$H$9*(AW9/$B68),".")</f>
        <v>1.2666248820730614E-9</v>
      </c>
      <c r="AX68" s="101">
        <f>IFERROR(s_RadSpec!$H$9*(AX9/$B68),".")</f>
        <v>1.2666248820730614E-9</v>
      </c>
      <c r="AY68" s="101">
        <f>IFERROR(s_RadSpec!$H$9*(AY9/$B68),".")</f>
        <v>1.2666248820730614E-9</v>
      </c>
      <c r="AZ68" s="101">
        <f>IFERROR(s_RadSpec!$H$9*(AZ9/$B68),".")</f>
        <v>1.2666248820730614E-9</v>
      </c>
      <c r="BA68" s="101">
        <f>IFERROR(s_RadSpec!$H$9*(BA9/$B68),".")</f>
        <v>1.2666248820730614E-9</v>
      </c>
      <c r="BB68" s="101">
        <f>IFERROR(s_RadSpec!$H$9*(BB9/$B68),".")</f>
        <v>1.2666248820730614E-9</v>
      </c>
      <c r="BC68" s="100">
        <f t="shared" ref="BC68" si="262">IFERROR($B68/BC9,0)</f>
        <v>1.0132995003385274E-4</v>
      </c>
      <c r="BD68" s="100">
        <f t="shared" ref="BD68:CB68" si="263">IFERROR($B68/BD9,0)</f>
        <v>2.5332487508463185E-5</v>
      </c>
      <c r="BE68" s="100">
        <f t="shared" si="263"/>
        <v>2.5332487508463185E-5</v>
      </c>
      <c r="BF68" s="100">
        <f t="shared" si="263"/>
        <v>2.5332487508463185E-5</v>
      </c>
      <c r="BG68" s="100">
        <f t="shared" si="263"/>
        <v>2.5332487508463185E-5</v>
      </c>
      <c r="BH68" s="100">
        <f t="shared" si="263"/>
        <v>2.5332487508463185E-5</v>
      </c>
      <c r="BI68" s="100">
        <f t="shared" si="263"/>
        <v>2.5332487508463185E-5</v>
      </c>
      <c r="BJ68" s="100">
        <f t="shared" si="263"/>
        <v>2.5332487508463185E-5</v>
      </c>
      <c r="BK68" s="100">
        <f t="shared" si="263"/>
        <v>2.5332487508463185E-5</v>
      </c>
      <c r="BL68" s="100">
        <f t="shared" si="263"/>
        <v>2.5332487508463185E-5</v>
      </c>
      <c r="BM68" s="100">
        <f t="shared" si="263"/>
        <v>2.5332487508463185E-5</v>
      </c>
      <c r="BN68" s="100">
        <f t="shared" si="263"/>
        <v>2.5332487508463185E-5</v>
      </c>
      <c r="BO68" s="100">
        <f t="shared" si="263"/>
        <v>2.5332487508463185E-5</v>
      </c>
      <c r="BP68" s="100">
        <f t="shared" si="263"/>
        <v>2.5332487508463185E-5</v>
      </c>
      <c r="BQ68" s="100">
        <f t="shared" si="263"/>
        <v>2.5332487508463185E-5</v>
      </c>
      <c r="BR68" s="100">
        <f t="shared" si="263"/>
        <v>2.5332487508463185E-5</v>
      </c>
      <c r="BS68" s="100">
        <f t="shared" si="263"/>
        <v>2.5332487508463185E-5</v>
      </c>
      <c r="BT68" s="100">
        <f t="shared" si="263"/>
        <v>2.5332487508463185E-5</v>
      </c>
      <c r="BU68" s="100">
        <f t="shared" ref="BU68" si="264">IFERROR($B68/BU9,0)</f>
        <v>2.5332487508463185E-5</v>
      </c>
      <c r="BV68" s="100">
        <f t="shared" si="263"/>
        <v>2.5332487508463185E-5</v>
      </c>
      <c r="BW68" s="100">
        <f t="shared" si="263"/>
        <v>2.5332487508463185E-5</v>
      </c>
      <c r="BX68" s="100">
        <f t="shared" si="263"/>
        <v>2.5332487508463185E-5</v>
      </c>
      <c r="BY68" s="100">
        <f t="shared" si="263"/>
        <v>2.5332487508463185E-5</v>
      </c>
      <c r="BZ68" s="100">
        <f t="shared" si="263"/>
        <v>2.5332487508463185E-5</v>
      </c>
      <c r="CA68" s="100">
        <f t="shared" si="263"/>
        <v>2.5332487508463185E-5</v>
      </c>
      <c r="CB68" s="100">
        <f t="shared" si="263"/>
        <v>2.5332487508463185E-5</v>
      </c>
      <c r="CC68" s="49">
        <f t="shared" si="258"/>
        <v>5.0664995282922455E-9</v>
      </c>
      <c r="CD68" s="101">
        <f>IFERROR(s_RadSpec!$H$9*(CD9/$B68),".")</f>
        <v>1.2666248820730614E-9</v>
      </c>
      <c r="CE68" s="101">
        <f>IFERROR(s_RadSpec!$H$9*(CE9/$B68),".")</f>
        <v>1.2666248820730614E-9</v>
      </c>
      <c r="CF68" s="101">
        <f>IFERROR(s_RadSpec!$H$9*(CF9/$B68),".")</f>
        <v>1.2666248820730614E-9</v>
      </c>
      <c r="CG68" s="101">
        <f>IFERROR(s_RadSpec!$H$9*(CG9/$B68),".")</f>
        <v>1.2666248820730614E-9</v>
      </c>
      <c r="CH68" s="101">
        <f>IFERROR(s_RadSpec!$H$9*(CH9/$B68),".")</f>
        <v>1.2666248820730614E-9</v>
      </c>
      <c r="CI68" s="101">
        <f>IFERROR(s_RadSpec!$H$9*(CI9/$B68),".")</f>
        <v>1.2666248820730614E-9</v>
      </c>
      <c r="CJ68" s="101">
        <f>IFERROR(s_RadSpec!$H$9*(CJ9/$B68),".")</f>
        <v>1.2666248820730614E-9</v>
      </c>
      <c r="CK68" s="101">
        <f>IFERROR(s_RadSpec!$H$9*(CK9/$B68),".")</f>
        <v>1.2666248820730614E-9</v>
      </c>
      <c r="CL68" s="101">
        <f>IFERROR(s_RadSpec!$H$9*(CL9/$B68),".")</f>
        <v>1.2666248820730614E-9</v>
      </c>
      <c r="CM68" s="101">
        <f>IFERROR(s_RadSpec!$H$9*(CM9/$B68),".")</f>
        <v>1.2666248820730614E-9</v>
      </c>
      <c r="CN68" s="101">
        <f>IFERROR(s_RadSpec!$H$9*(CN9/$B68),".")</f>
        <v>1.2666248820730614E-9</v>
      </c>
      <c r="CO68" s="101">
        <f>IFERROR(s_RadSpec!$H$9*(CO9/$B68),".")</f>
        <v>1.2666248820730614E-9</v>
      </c>
      <c r="CP68" s="101">
        <f>IFERROR(s_RadSpec!$H$9*(CP9/$B68),".")</f>
        <v>1.2666248820730614E-9</v>
      </c>
      <c r="CQ68" s="101">
        <f>IFERROR(s_RadSpec!$H$9*(CQ9/$B68),".")</f>
        <v>1.2666248820730614E-9</v>
      </c>
      <c r="CR68" s="101">
        <f>IFERROR(s_RadSpec!$H$9*(CR9/$B68),".")</f>
        <v>1.2666248820730614E-9</v>
      </c>
      <c r="CS68" s="101">
        <f>IFERROR(s_RadSpec!$H$9*(CS9/$B68),".")</f>
        <v>1.2666248820730614E-9</v>
      </c>
      <c r="CT68" s="101">
        <f>IFERROR(s_RadSpec!$H$9*(CT9/$B68),".")</f>
        <v>1.2666248820730614E-9</v>
      </c>
      <c r="CU68" s="101">
        <f>IFERROR(s_RadSpec!$H$9*(CU9/$B68),".")</f>
        <v>1.2666248820730614E-9</v>
      </c>
      <c r="CV68" s="101">
        <f>IFERROR(s_RadSpec!$H$9*(CV9/$B68),".")</f>
        <v>1.2666248820730614E-9</v>
      </c>
      <c r="CW68" s="101">
        <f>IFERROR(s_RadSpec!$H$9*(CW9/$B68),".")</f>
        <v>1.2666248820730614E-9</v>
      </c>
      <c r="CX68" s="101">
        <f>IFERROR(s_RadSpec!$H$9*(CX9/$B68),".")</f>
        <v>1.2666248820730614E-9</v>
      </c>
      <c r="CY68" s="101">
        <f>IFERROR(s_RadSpec!$H$9*(CY9/$B68),".")</f>
        <v>1.2666248820730614E-9</v>
      </c>
      <c r="CZ68" s="101">
        <f>IFERROR(s_RadSpec!$H$9*(CZ9/$B68),".")</f>
        <v>1.2666248820730614E-9</v>
      </c>
      <c r="DA68" s="101">
        <f>IFERROR(s_RadSpec!$H$9*(DA9/$B68),".")</f>
        <v>1.2666248820730614E-9</v>
      </c>
      <c r="DB68" s="101">
        <f>IFERROR(s_RadSpec!$H$9*(DB9/$B68),".")</f>
        <v>1.2666248820730614E-9</v>
      </c>
    </row>
    <row r="69" spans="1:106" x14ac:dyDescent="0.25">
      <c r="A69" s="99" t="s">
        <v>1090</v>
      </c>
      <c r="B69" s="90">
        <v>1.9999999999999999E-7</v>
      </c>
      <c r="C69" s="100">
        <f t="shared" ref="C69" si="265">IFERROR($B69/C24,0)</f>
        <v>0</v>
      </c>
      <c r="D69" s="100">
        <f t="shared" ref="D69:AB69" si="266">IFERROR($B69/D24,0)</f>
        <v>0</v>
      </c>
      <c r="E69" s="100">
        <f t="shared" si="266"/>
        <v>0</v>
      </c>
      <c r="F69" s="100">
        <f t="shared" si="266"/>
        <v>0</v>
      </c>
      <c r="G69" s="100">
        <f t="shared" si="266"/>
        <v>0</v>
      </c>
      <c r="H69" s="100">
        <f t="shared" si="266"/>
        <v>0</v>
      </c>
      <c r="I69" s="100">
        <f t="shared" si="266"/>
        <v>0</v>
      </c>
      <c r="J69" s="100">
        <f t="shared" si="266"/>
        <v>0</v>
      </c>
      <c r="K69" s="100">
        <f t="shared" si="266"/>
        <v>0</v>
      </c>
      <c r="L69" s="100">
        <f t="shared" si="266"/>
        <v>0</v>
      </c>
      <c r="M69" s="100">
        <f t="shared" si="266"/>
        <v>0</v>
      </c>
      <c r="N69" s="100">
        <f t="shared" si="266"/>
        <v>0</v>
      </c>
      <c r="O69" s="100">
        <f t="shared" si="266"/>
        <v>0</v>
      </c>
      <c r="P69" s="100">
        <f t="shared" si="266"/>
        <v>0</v>
      </c>
      <c r="Q69" s="100">
        <f t="shared" si="266"/>
        <v>0</v>
      </c>
      <c r="R69" s="100">
        <f t="shared" si="266"/>
        <v>0</v>
      </c>
      <c r="S69" s="100">
        <f t="shared" si="266"/>
        <v>0</v>
      </c>
      <c r="T69" s="100">
        <f t="shared" si="266"/>
        <v>0</v>
      </c>
      <c r="U69" s="100">
        <f t="shared" ref="U69" si="267">IFERROR($B69/U24,0)</f>
        <v>0</v>
      </c>
      <c r="V69" s="100">
        <f t="shared" si="266"/>
        <v>0</v>
      </c>
      <c r="W69" s="100">
        <f t="shared" si="266"/>
        <v>0</v>
      </c>
      <c r="X69" s="100">
        <f t="shared" si="266"/>
        <v>0</v>
      </c>
      <c r="Y69" s="100">
        <f t="shared" si="266"/>
        <v>0</v>
      </c>
      <c r="Z69" s="100">
        <f t="shared" si="266"/>
        <v>0</v>
      </c>
      <c r="AA69" s="100">
        <f t="shared" si="266"/>
        <v>0</v>
      </c>
      <c r="AB69" s="100">
        <f t="shared" si="266"/>
        <v>0</v>
      </c>
      <c r="AC69" s="49">
        <f t="shared" si="5"/>
        <v>0</v>
      </c>
      <c r="AD69" s="101">
        <f>IFERROR(s_RadSpec!$H$24*(AD24/$B69),".")</f>
        <v>0</v>
      </c>
      <c r="AE69" s="101">
        <f>IFERROR(s_RadSpec!$H$24*(AE24/$B69),".")</f>
        <v>0</v>
      </c>
      <c r="AF69" s="101">
        <f>IFERROR(s_RadSpec!$H$24*(AF24/$B69),".")</f>
        <v>0</v>
      </c>
      <c r="AG69" s="101">
        <f>IFERROR(s_RadSpec!$H$24*(AG24/$B69),".")</f>
        <v>0</v>
      </c>
      <c r="AH69" s="101">
        <f>IFERROR(s_RadSpec!$H$24*(AH24/$B69),".")</f>
        <v>0</v>
      </c>
      <c r="AI69" s="101">
        <f>IFERROR(s_RadSpec!$H$24*(AI24/$B69),".")</f>
        <v>0</v>
      </c>
      <c r="AJ69" s="101">
        <f>IFERROR(s_RadSpec!$H$24*(AJ24/$B69),".")</f>
        <v>0</v>
      </c>
      <c r="AK69" s="101">
        <f>IFERROR(s_RadSpec!$H$24*(AK24/$B69),".")</f>
        <v>0</v>
      </c>
      <c r="AL69" s="101">
        <f>IFERROR(s_RadSpec!$H$24*(AL24/$B69),".")</f>
        <v>0</v>
      </c>
      <c r="AM69" s="101">
        <f>IFERROR(s_RadSpec!$H$24*(AM24/$B69),".")</f>
        <v>0</v>
      </c>
      <c r="AN69" s="101">
        <f>IFERROR(s_RadSpec!$H$24*(AN24/$B69),".")</f>
        <v>0</v>
      </c>
      <c r="AO69" s="101">
        <f>IFERROR(s_RadSpec!$H$24*(AO24/$B69),".")</f>
        <v>0</v>
      </c>
      <c r="AP69" s="101">
        <f>IFERROR(s_RadSpec!$H$24*(AP24/$B69),".")</f>
        <v>0</v>
      </c>
      <c r="AQ69" s="101">
        <f>IFERROR(s_RadSpec!$H$24*(AQ24/$B69),".")</f>
        <v>0</v>
      </c>
      <c r="AR69" s="101">
        <f>IFERROR(s_RadSpec!$H$24*(AR24/$B69),".")</f>
        <v>0</v>
      </c>
      <c r="AS69" s="101">
        <f>IFERROR(s_RadSpec!$H$24*(AS24/$B69),".")</f>
        <v>0</v>
      </c>
      <c r="AT69" s="101">
        <f>IFERROR(s_RadSpec!$H$24*(AT24/$B69),".")</f>
        <v>0</v>
      </c>
      <c r="AU69" s="101">
        <f>IFERROR(s_RadSpec!$H$24*(AU24/$B69),".")</f>
        <v>0</v>
      </c>
      <c r="AV69" s="101">
        <f>IFERROR(s_RadSpec!$H$24*(AV24/$B69),".")</f>
        <v>0</v>
      </c>
      <c r="AW69" s="101">
        <f>IFERROR(s_RadSpec!$H$24*(AW24/$B69),".")</f>
        <v>0</v>
      </c>
      <c r="AX69" s="101">
        <f>IFERROR(s_RadSpec!$H$24*(AX24/$B69),".")</f>
        <v>0</v>
      </c>
      <c r="AY69" s="101">
        <f>IFERROR(s_RadSpec!$H$24*(AY24/$B69),".")</f>
        <v>0</v>
      </c>
      <c r="AZ69" s="101">
        <f>IFERROR(s_RadSpec!$H$24*(AZ24/$B69),".")</f>
        <v>0</v>
      </c>
      <c r="BA69" s="101">
        <f>IFERROR(s_RadSpec!$H$24*(BA24/$B69),".")</f>
        <v>0</v>
      </c>
      <c r="BB69" s="101">
        <f>IFERROR(s_RadSpec!$H$24*(BB24/$B69),".")</f>
        <v>0</v>
      </c>
      <c r="BC69" s="100">
        <f t="shared" ref="BC69" si="268">IFERROR($B69/BC24,0)</f>
        <v>0</v>
      </c>
      <c r="BD69" s="100">
        <f t="shared" ref="BD69:CB69" si="269">IFERROR($B69/BD24,0)</f>
        <v>0</v>
      </c>
      <c r="BE69" s="100">
        <f t="shared" si="269"/>
        <v>0</v>
      </c>
      <c r="BF69" s="100">
        <f t="shared" si="269"/>
        <v>0</v>
      </c>
      <c r="BG69" s="100">
        <f t="shared" si="269"/>
        <v>0</v>
      </c>
      <c r="BH69" s="100">
        <f t="shared" si="269"/>
        <v>0</v>
      </c>
      <c r="BI69" s="100">
        <f t="shared" si="269"/>
        <v>0</v>
      </c>
      <c r="BJ69" s="100">
        <f t="shared" si="269"/>
        <v>0</v>
      </c>
      <c r="BK69" s="100">
        <f t="shared" si="269"/>
        <v>0</v>
      </c>
      <c r="BL69" s="100">
        <f t="shared" si="269"/>
        <v>0</v>
      </c>
      <c r="BM69" s="100">
        <f t="shared" si="269"/>
        <v>0</v>
      </c>
      <c r="BN69" s="100">
        <f t="shared" si="269"/>
        <v>0</v>
      </c>
      <c r="BO69" s="100">
        <f t="shared" si="269"/>
        <v>0</v>
      </c>
      <c r="BP69" s="100">
        <f t="shared" si="269"/>
        <v>0</v>
      </c>
      <c r="BQ69" s="100">
        <f t="shared" si="269"/>
        <v>0</v>
      </c>
      <c r="BR69" s="100">
        <f t="shared" si="269"/>
        <v>0</v>
      </c>
      <c r="BS69" s="100">
        <f t="shared" si="269"/>
        <v>0</v>
      </c>
      <c r="BT69" s="100">
        <f t="shared" si="269"/>
        <v>0</v>
      </c>
      <c r="BU69" s="100">
        <f t="shared" ref="BU69" si="270">IFERROR($B69/BU24,0)</f>
        <v>0</v>
      </c>
      <c r="BV69" s="100">
        <f t="shared" si="269"/>
        <v>0</v>
      </c>
      <c r="BW69" s="100">
        <f t="shared" si="269"/>
        <v>0</v>
      </c>
      <c r="BX69" s="100">
        <f t="shared" si="269"/>
        <v>0</v>
      </c>
      <c r="BY69" s="100">
        <f t="shared" si="269"/>
        <v>0</v>
      </c>
      <c r="BZ69" s="100">
        <f t="shared" si="269"/>
        <v>0</v>
      </c>
      <c r="CA69" s="100">
        <f t="shared" si="269"/>
        <v>0</v>
      </c>
      <c r="CB69" s="100">
        <f t="shared" si="269"/>
        <v>0</v>
      </c>
      <c r="CC69" s="49">
        <f t="shared" si="258"/>
        <v>0</v>
      </c>
      <c r="CD69" s="101">
        <f>IFERROR(s_RadSpec!$H$24*(CD24/$B69),".")</f>
        <v>0</v>
      </c>
      <c r="CE69" s="101">
        <f>IFERROR(s_RadSpec!$H$24*(CE24/$B69),".")</f>
        <v>0</v>
      </c>
      <c r="CF69" s="101">
        <f>IFERROR(s_RadSpec!$H$24*(CF24/$B69),".")</f>
        <v>0</v>
      </c>
      <c r="CG69" s="101">
        <f>IFERROR(s_RadSpec!$H$24*(CG24/$B69),".")</f>
        <v>0</v>
      </c>
      <c r="CH69" s="101">
        <f>IFERROR(s_RadSpec!$H$24*(CH24/$B69),".")</f>
        <v>0</v>
      </c>
      <c r="CI69" s="101">
        <f>IFERROR(s_RadSpec!$H$24*(CI24/$B69),".")</f>
        <v>0</v>
      </c>
      <c r="CJ69" s="101">
        <f>IFERROR(s_RadSpec!$H$24*(CJ24/$B69),".")</f>
        <v>0</v>
      </c>
      <c r="CK69" s="101">
        <f>IFERROR(s_RadSpec!$H$24*(CK24/$B69),".")</f>
        <v>0</v>
      </c>
      <c r="CL69" s="101">
        <f>IFERROR(s_RadSpec!$H$24*(CL24/$B69),".")</f>
        <v>0</v>
      </c>
      <c r="CM69" s="101">
        <f>IFERROR(s_RadSpec!$H$24*(CM24/$B69),".")</f>
        <v>0</v>
      </c>
      <c r="CN69" s="101">
        <f>IFERROR(s_RadSpec!$H$24*(CN24/$B69),".")</f>
        <v>0</v>
      </c>
      <c r="CO69" s="101">
        <f>IFERROR(s_RadSpec!$H$24*(CO24/$B69),".")</f>
        <v>0</v>
      </c>
      <c r="CP69" s="101">
        <f>IFERROR(s_RadSpec!$H$24*(CP24/$B69),".")</f>
        <v>0</v>
      </c>
      <c r="CQ69" s="101">
        <f>IFERROR(s_RadSpec!$H$24*(CQ24/$B69),".")</f>
        <v>0</v>
      </c>
      <c r="CR69" s="101">
        <f>IFERROR(s_RadSpec!$H$24*(CR24/$B69),".")</f>
        <v>0</v>
      </c>
      <c r="CS69" s="101">
        <f>IFERROR(s_RadSpec!$H$24*(CS24/$B69),".")</f>
        <v>0</v>
      </c>
      <c r="CT69" s="101">
        <f>IFERROR(s_RadSpec!$H$24*(CT24/$B69),".")</f>
        <v>0</v>
      </c>
      <c r="CU69" s="101">
        <f>IFERROR(s_RadSpec!$H$24*(CU24/$B69),".")</f>
        <v>0</v>
      </c>
      <c r="CV69" s="101">
        <f>IFERROR(s_RadSpec!$H$24*(CV24/$B69),".")</f>
        <v>0</v>
      </c>
      <c r="CW69" s="101">
        <f>IFERROR(s_RadSpec!$H$24*(CW24/$B69),".")</f>
        <v>0</v>
      </c>
      <c r="CX69" s="101">
        <f>IFERROR(s_RadSpec!$H$24*(CX24/$B69),".")</f>
        <v>0</v>
      </c>
      <c r="CY69" s="101">
        <f>IFERROR(s_RadSpec!$H$24*(CY24/$B69),".")</f>
        <v>0</v>
      </c>
      <c r="CZ69" s="101">
        <f>IFERROR(s_RadSpec!$H$24*(CZ24/$B69),".")</f>
        <v>0</v>
      </c>
      <c r="DA69" s="101">
        <f>IFERROR(s_RadSpec!$H$24*(DA24/$B69),".")</f>
        <v>0</v>
      </c>
      <c r="DB69" s="101">
        <f>IFERROR(s_RadSpec!$H$24*(DB24/$B69),".")</f>
        <v>0</v>
      </c>
    </row>
    <row r="70" spans="1:106" x14ac:dyDescent="0.25">
      <c r="A70" s="99" t="s">
        <v>1091</v>
      </c>
      <c r="B70" s="90">
        <v>0.99979000004200003</v>
      </c>
      <c r="C70" s="100">
        <f t="shared" ref="C70" si="271">IFERROR($B70/C20,0)</f>
        <v>0</v>
      </c>
      <c r="D70" s="100">
        <f t="shared" ref="D70:AB70" si="272">IFERROR($B70/D20,0)</f>
        <v>0</v>
      </c>
      <c r="E70" s="100">
        <f t="shared" si="272"/>
        <v>0</v>
      </c>
      <c r="F70" s="100">
        <f t="shared" si="272"/>
        <v>0</v>
      </c>
      <c r="G70" s="100">
        <f t="shared" si="272"/>
        <v>0</v>
      </c>
      <c r="H70" s="100">
        <f t="shared" si="272"/>
        <v>0</v>
      </c>
      <c r="I70" s="100">
        <f t="shared" si="272"/>
        <v>0</v>
      </c>
      <c r="J70" s="100">
        <f t="shared" si="272"/>
        <v>0</v>
      </c>
      <c r="K70" s="100">
        <f t="shared" si="272"/>
        <v>0</v>
      </c>
      <c r="L70" s="100">
        <f t="shared" si="272"/>
        <v>0</v>
      </c>
      <c r="M70" s="100">
        <f t="shared" si="272"/>
        <v>0</v>
      </c>
      <c r="N70" s="100">
        <f t="shared" si="272"/>
        <v>0</v>
      </c>
      <c r="O70" s="100">
        <f t="shared" si="272"/>
        <v>0</v>
      </c>
      <c r="P70" s="100">
        <f t="shared" si="272"/>
        <v>0</v>
      </c>
      <c r="Q70" s="100">
        <f t="shared" si="272"/>
        <v>0</v>
      </c>
      <c r="R70" s="100">
        <f t="shared" si="272"/>
        <v>0</v>
      </c>
      <c r="S70" s="100">
        <f t="shared" si="272"/>
        <v>0</v>
      </c>
      <c r="T70" s="100">
        <f t="shared" si="272"/>
        <v>0</v>
      </c>
      <c r="U70" s="100">
        <f t="shared" ref="U70" si="273">IFERROR($B70/U20,0)</f>
        <v>0</v>
      </c>
      <c r="V70" s="100">
        <f t="shared" si="272"/>
        <v>0</v>
      </c>
      <c r="W70" s="100">
        <f t="shared" si="272"/>
        <v>0</v>
      </c>
      <c r="X70" s="100">
        <f t="shared" si="272"/>
        <v>0</v>
      </c>
      <c r="Y70" s="100">
        <f t="shared" si="272"/>
        <v>0</v>
      </c>
      <c r="Z70" s="100">
        <f t="shared" si="272"/>
        <v>0</v>
      </c>
      <c r="AA70" s="100">
        <f t="shared" si="272"/>
        <v>0</v>
      </c>
      <c r="AB70" s="100">
        <f t="shared" si="272"/>
        <v>0</v>
      </c>
      <c r="AC70" s="49">
        <f t="shared" si="5"/>
        <v>0</v>
      </c>
      <c r="AD70" s="101">
        <f>IFERROR(s_RadSpec!$H$20*(AD20/$B70),".")</f>
        <v>0</v>
      </c>
      <c r="AE70" s="101">
        <f>IFERROR(s_RadSpec!$H$20*(AE20/$B70),".")</f>
        <v>0</v>
      </c>
      <c r="AF70" s="101">
        <f>IFERROR(s_RadSpec!$H$20*(AF20/$B70),".")</f>
        <v>0</v>
      </c>
      <c r="AG70" s="101">
        <f>IFERROR(s_RadSpec!$H$20*(AG20/$B70),".")</f>
        <v>0</v>
      </c>
      <c r="AH70" s="101">
        <f>IFERROR(s_RadSpec!$H$20*(AH20/$B70),".")</f>
        <v>0</v>
      </c>
      <c r="AI70" s="101">
        <f>IFERROR(s_RadSpec!$H$20*(AI20/$B70),".")</f>
        <v>0</v>
      </c>
      <c r="AJ70" s="101">
        <f>IFERROR(s_RadSpec!$H$20*(AJ20/$B70),".")</f>
        <v>0</v>
      </c>
      <c r="AK70" s="101">
        <f>IFERROR(s_RadSpec!$H$20*(AK20/$B70),".")</f>
        <v>0</v>
      </c>
      <c r="AL70" s="101">
        <f>IFERROR(s_RadSpec!$H$20*(AL20/$B70),".")</f>
        <v>0</v>
      </c>
      <c r="AM70" s="101">
        <f>IFERROR(s_RadSpec!$H$20*(AM20/$B70),".")</f>
        <v>0</v>
      </c>
      <c r="AN70" s="101">
        <f>IFERROR(s_RadSpec!$H$20*(AN20/$B70),".")</f>
        <v>0</v>
      </c>
      <c r="AO70" s="101">
        <f>IFERROR(s_RadSpec!$H$20*(AO20/$B70),".")</f>
        <v>0</v>
      </c>
      <c r="AP70" s="101">
        <f>IFERROR(s_RadSpec!$H$20*(AP20/$B70),".")</f>
        <v>0</v>
      </c>
      <c r="AQ70" s="101">
        <f>IFERROR(s_RadSpec!$H$20*(AQ20/$B70),".")</f>
        <v>0</v>
      </c>
      <c r="AR70" s="101">
        <f>IFERROR(s_RadSpec!$H$20*(AR20/$B70),".")</f>
        <v>0</v>
      </c>
      <c r="AS70" s="101">
        <f>IFERROR(s_RadSpec!$H$20*(AS20/$B70),".")</f>
        <v>0</v>
      </c>
      <c r="AT70" s="101">
        <f>IFERROR(s_RadSpec!$H$20*(AT20/$B70),".")</f>
        <v>0</v>
      </c>
      <c r="AU70" s="101">
        <f>IFERROR(s_RadSpec!$H$20*(AU20/$B70),".")</f>
        <v>0</v>
      </c>
      <c r="AV70" s="101">
        <f>IFERROR(s_RadSpec!$H$20*(AV20/$B70),".")</f>
        <v>0</v>
      </c>
      <c r="AW70" s="101">
        <f>IFERROR(s_RadSpec!$H$20*(AW20/$B70),".")</f>
        <v>0</v>
      </c>
      <c r="AX70" s="101">
        <f>IFERROR(s_RadSpec!$H$20*(AX20/$B70),".")</f>
        <v>0</v>
      </c>
      <c r="AY70" s="101">
        <f>IFERROR(s_RadSpec!$H$20*(AY20/$B70),".")</f>
        <v>0</v>
      </c>
      <c r="AZ70" s="101">
        <f>IFERROR(s_RadSpec!$H$20*(AZ20/$B70),".")</f>
        <v>0</v>
      </c>
      <c r="BA70" s="101">
        <f>IFERROR(s_RadSpec!$H$20*(BA20/$B70),".")</f>
        <v>0</v>
      </c>
      <c r="BB70" s="101">
        <f>IFERROR(s_RadSpec!$H$20*(BB20/$B70),".")</f>
        <v>0</v>
      </c>
      <c r="BC70" s="100">
        <f t="shared" ref="BC70" si="274">IFERROR($B70/BC20,0)</f>
        <v>0</v>
      </c>
      <c r="BD70" s="100">
        <f t="shared" ref="BD70:CB70" si="275">IFERROR($B70/BD20,0)</f>
        <v>0</v>
      </c>
      <c r="BE70" s="100">
        <f t="shared" si="275"/>
        <v>0</v>
      </c>
      <c r="BF70" s="100">
        <f t="shared" si="275"/>
        <v>0</v>
      </c>
      <c r="BG70" s="100">
        <f t="shared" si="275"/>
        <v>0</v>
      </c>
      <c r="BH70" s="100">
        <f t="shared" si="275"/>
        <v>0</v>
      </c>
      <c r="BI70" s="100">
        <f t="shared" si="275"/>
        <v>0</v>
      </c>
      <c r="BJ70" s="100">
        <f t="shared" si="275"/>
        <v>0</v>
      </c>
      <c r="BK70" s="100">
        <f t="shared" si="275"/>
        <v>0</v>
      </c>
      <c r="BL70" s="100">
        <f t="shared" si="275"/>
        <v>0</v>
      </c>
      <c r="BM70" s="100">
        <f t="shared" si="275"/>
        <v>0</v>
      </c>
      <c r="BN70" s="100">
        <f t="shared" si="275"/>
        <v>0</v>
      </c>
      <c r="BO70" s="100">
        <f t="shared" si="275"/>
        <v>0</v>
      </c>
      <c r="BP70" s="100">
        <f t="shared" si="275"/>
        <v>0</v>
      </c>
      <c r="BQ70" s="100">
        <f t="shared" si="275"/>
        <v>0</v>
      </c>
      <c r="BR70" s="100">
        <f t="shared" si="275"/>
        <v>0</v>
      </c>
      <c r="BS70" s="100">
        <f t="shared" si="275"/>
        <v>0</v>
      </c>
      <c r="BT70" s="100">
        <f t="shared" si="275"/>
        <v>0</v>
      </c>
      <c r="BU70" s="100">
        <f t="shared" ref="BU70" si="276">IFERROR($B70/BU20,0)</f>
        <v>0</v>
      </c>
      <c r="BV70" s="100">
        <f t="shared" si="275"/>
        <v>0</v>
      </c>
      <c r="BW70" s="100">
        <f t="shared" si="275"/>
        <v>0</v>
      </c>
      <c r="BX70" s="100">
        <f t="shared" si="275"/>
        <v>0</v>
      </c>
      <c r="BY70" s="100">
        <f t="shared" si="275"/>
        <v>0</v>
      </c>
      <c r="BZ70" s="100">
        <f t="shared" si="275"/>
        <v>0</v>
      </c>
      <c r="CA70" s="100">
        <f t="shared" si="275"/>
        <v>0</v>
      </c>
      <c r="CB70" s="100">
        <f t="shared" si="275"/>
        <v>0</v>
      </c>
      <c r="CC70" s="49">
        <f t="shared" si="258"/>
        <v>0</v>
      </c>
      <c r="CD70" s="101">
        <f>IFERROR(s_RadSpec!$H$20*(CD20/$B70),".")</f>
        <v>0</v>
      </c>
      <c r="CE70" s="101">
        <f>IFERROR(s_RadSpec!$H$20*(CE20/$B70),".")</f>
        <v>0</v>
      </c>
      <c r="CF70" s="101">
        <f>IFERROR(s_RadSpec!$H$20*(CF20/$B70),".")</f>
        <v>0</v>
      </c>
      <c r="CG70" s="101">
        <f>IFERROR(s_RadSpec!$H$20*(CG20/$B70),".")</f>
        <v>0</v>
      </c>
      <c r="CH70" s="101">
        <f>IFERROR(s_RadSpec!$H$20*(CH20/$B70),".")</f>
        <v>0</v>
      </c>
      <c r="CI70" s="101">
        <f>IFERROR(s_RadSpec!$H$20*(CI20/$B70),".")</f>
        <v>0</v>
      </c>
      <c r="CJ70" s="101">
        <f>IFERROR(s_RadSpec!$H$20*(CJ20/$B70),".")</f>
        <v>0</v>
      </c>
      <c r="CK70" s="101">
        <f>IFERROR(s_RadSpec!$H$20*(CK20/$B70),".")</f>
        <v>0</v>
      </c>
      <c r="CL70" s="101">
        <f>IFERROR(s_RadSpec!$H$20*(CL20/$B70),".")</f>
        <v>0</v>
      </c>
      <c r="CM70" s="101">
        <f>IFERROR(s_RadSpec!$H$20*(CM20/$B70),".")</f>
        <v>0</v>
      </c>
      <c r="CN70" s="101">
        <f>IFERROR(s_RadSpec!$H$20*(CN20/$B70),".")</f>
        <v>0</v>
      </c>
      <c r="CO70" s="101">
        <f>IFERROR(s_RadSpec!$H$20*(CO20/$B70),".")</f>
        <v>0</v>
      </c>
      <c r="CP70" s="101">
        <f>IFERROR(s_RadSpec!$H$20*(CP20/$B70),".")</f>
        <v>0</v>
      </c>
      <c r="CQ70" s="101">
        <f>IFERROR(s_RadSpec!$H$20*(CQ20/$B70),".")</f>
        <v>0</v>
      </c>
      <c r="CR70" s="101">
        <f>IFERROR(s_RadSpec!$H$20*(CR20/$B70),".")</f>
        <v>0</v>
      </c>
      <c r="CS70" s="101">
        <f>IFERROR(s_RadSpec!$H$20*(CS20/$B70),".")</f>
        <v>0</v>
      </c>
      <c r="CT70" s="101">
        <f>IFERROR(s_RadSpec!$H$20*(CT20/$B70),".")</f>
        <v>0</v>
      </c>
      <c r="CU70" s="101">
        <f>IFERROR(s_RadSpec!$H$20*(CU20/$B70),".")</f>
        <v>0</v>
      </c>
      <c r="CV70" s="101">
        <f>IFERROR(s_RadSpec!$H$20*(CV20/$B70),".")</f>
        <v>0</v>
      </c>
      <c r="CW70" s="101">
        <f>IFERROR(s_RadSpec!$H$20*(CW20/$B70),".")</f>
        <v>0</v>
      </c>
      <c r="CX70" s="101">
        <f>IFERROR(s_RadSpec!$H$20*(CX20/$B70),".")</f>
        <v>0</v>
      </c>
      <c r="CY70" s="101">
        <f>IFERROR(s_RadSpec!$H$20*(CY20/$B70),".")</f>
        <v>0</v>
      </c>
      <c r="CZ70" s="101">
        <f>IFERROR(s_RadSpec!$H$20*(CZ20/$B70),".")</f>
        <v>0</v>
      </c>
      <c r="DA70" s="101">
        <f>IFERROR(s_RadSpec!$H$20*(DA20/$B70),".")</f>
        <v>0</v>
      </c>
      <c r="DB70" s="101">
        <f>IFERROR(s_RadSpec!$H$20*(DB20/$B70),".")</f>
        <v>0</v>
      </c>
    </row>
    <row r="71" spans="1:106" x14ac:dyDescent="0.25">
      <c r="A71" s="99" t="s">
        <v>1092</v>
      </c>
      <c r="B71" s="90">
        <v>2.0999995799999999E-4</v>
      </c>
      <c r="C71" s="100">
        <f t="shared" ref="C71" si="277">IFERROR($B71/C29,0)</f>
        <v>0</v>
      </c>
      <c r="D71" s="100">
        <f t="shared" ref="D71:AB71" si="278">IFERROR($B71/D29,0)</f>
        <v>0</v>
      </c>
      <c r="E71" s="100">
        <f t="shared" si="278"/>
        <v>0</v>
      </c>
      <c r="F71" s="100">
        <f t="shared" si="278"/>
        <v>0</v>
      </c>
      <c r="G71" s="100">
        <f t="shared" si="278"/>
        <v>0</v>
      </c>
      <c r="H71" s="100">
        <f t="shared" si="278"/>
        <v>0</v>
      </c>
      <c r="I71" s="100">
        <f t="shared" si="278"/>
        <v>0</v>
      </c>
      <c r="J71" s="100">
        <f t="shared" si="278"/>
        <v>0</v>
      </c>
      <c r="K71" s="100">
        <f t="shared" si="278"/>
        <v>0</v>
      </c>
      <c r="L71" s="100">
        <f t="shared" si="278"/>
        <v>0</v>
      </c>
      <c r="M71" s="100">
        <f t="shared" si="278"/>
        <v>0</v>
      </c>
      <c r="N71" s="100">
        <f t="shared" si="278"/>
        <v>0</v>
      </c>
      <c r="O71" s="100">
        <f t="shared" si="278"/>
        <v>0</v>
      </c>
      <c r="P71" s="100">
        <f t="shared" si="278"/>
        <v>0</v>
      </c>
      <c r="Q71" s="100">
        <f t="shared" si="278"/>
        <v>0</v>
      </c>
      <c r="R71" s="100">
        <f t="shared" si="278"/>
        <v>0</v>
      </c>
      <c r="S71" s="100">
        <f t="shared" si="278"/>
        <v>0</v>
      </c>
      <c r="T71" s="100">
        <f t="shared" si="278"/>
        <v>0</v>
      </c>
      <c r="U71" s="100">
        <f t="shared" ref="U71" si="279">IFERROR($B71/U29,0)</f>
        <v>0</v>
      </c>
      <c r="V71" s="100">
        <f t="shared" si="278"/>
        <v>0</v>
      </c>
      <c r="W71" s="100">
        <f t="shared" si="278"/>
        <v>0</v>
      </c>
      <c r="X71" s="100">
        <f t="shared" si="278"/>
        <v>0</v>
      </c>
      <c r="Y71" s="100">
        <f t="shared" si="278"/>
        <v>0</v>
      </c>
      <c r="Z71" s="100">
        <f t="shared" si="278"/>
        <v>0</v>
      </c>
      <c r="AA71" s="100">
        <f t="shared" si="278"/>
        <v>0</v>
      </c>
      <c r="AB71" s="100">
        <f t="shared" si="278"/>
        <v>0</v>
      </c>
      <c r="AC71" s="49">
        <f t="shared" si="5"/>
        <v>0</v>
      </c>
      <c r="AD71" s="101">
        <f>IFERROR(s_RadSpec!$H$29*(AD29/$B71),".")</f>
        <v>0</v>
      </c>
      <c r="AE71" s="101">
        <f>IFERROR(s_RadSpec!$H$29*(AE29/$B71),".")</f>
        <v>0</v>
      </c>
      <c r="AF71" s="101">
        <f>IFERROR(s_RadSpec!$H$29*(AF29/$B71),".")</f>
        <v>0</v>
      </c>
      <c r="AG71" s="101">
        <f>IFERROR(s_RadSpec!$H$29*(AG29/$B71),".")</f>
        <v>0</v>
      </c>
      <c r="AH71" s="101">
        <f>IFERROR(s_RadSpec!$H$29*(AH29/$B71),".")</f>
        <v>0</v>
      </c>
      <c r="AI71" s="101">
        <f>IFERROR(s_RadSpec!$H$29*(AI29/$B71),".")</f>
        <v>0</v>
      </c>
      <c r="AJ71" s="101">
        <f>IFERROR(s_RadSpec!$H$29*(AJ29/$B71),".")</f>
        <v>0</v>
      </c>
      <c r="AK71" s="101">
        <f>IFERROR(s_RadSpec!$H$29*(AK29/$B71),".")</f>
        <v>0</v>
      </c>
      <c r="AL71" s="101">
        <f>IFERROR(s_RadSpec!$H$29*(AL29/$B71),".")</f>
        <v>0</v>
      </c>
      <c r="AM71" s="101">
        <f>IFERROR(s_RadSpec!$H$29*(AM29/$B71),".")</f>
        <v>0</v>
      </c>
      <c r="AN71" s="101">
        <f>IFERROR(s_RadSpec!$H$29*(AN29/$B71),".")</f>
        <v>0</v>
      </c>
      <c r="AO71" s="101">
        <f>IFERROR(s_RadSpec!$H$29*(AO29/$B71),".")</f>
        <v>0</v>
      </c>
      <c r="AP71" s="101">
        <f>IFERROR(s_RadSpec!$H$29*(AP29/$B71),".")</f>
        <v>0</v>
      </c>
      <c r="AQ71" s="101">
        <f>IFERROR(s_RadSpec!$H$29*(AQ29/$B71),".")</f>
        <v>0</v>
      </c>
      <c r="AR71" s="101">
        <f>IFERROR(s_RadSpec!$H$29*(AR29/$B71),".")</f>
        <v>0</v>
      </c>
      <c r="AS71" s="101">
        <f>IFERROR(s_RadSpec!$H$29*(AS29/$B71),".")</f>
        <v>0</v>
      </c>
      <c r="AT71" s="101">
        <f>IFERROR(s_RadSpec!$H$29*(AT29/$B71),".")</f>
        <v>0</v>
      </c>
      <c r="AU71" s="101">
        <f>IFERROR(s_RadSpec!$H$29*(AU29/$B71),".")</f>
        <v>0</v>
      </c>
      <c r="AV71" s="101">
        <f>IFERROR(s_RadSpec!$H$29*(AV29/$B71),".")</f>
        <v>0</v>
      </c>
      <c r="AW71" s="101">
        <f>IFERROR(s_RadSpec!$H$29*(AW29/$B71),".")</f>
        <v>0</v>
      </c>
      <c r="AX71" s="101">
        <f>IFERROR(s_RadSpec!$H$29*(AX29/$B71),".")</f>
        <v>0</v>
      </c>
      <c r="AY71" s="101">
        <f>IFERROR(s_RadSpec!$H$29*(AY29/$B71),".")</f>
        <v>0</v>
      </c>
      <c r="AZ71" s="101">
        <f>IFERROR(s_RadSpec!$H$29*(AZ29/$B71),".")</f>
        <v>0</v>
      </c>
      <c r="BA71" s="101">
        <f>IFERROR(s_RadSpec!$H$29*(BA29/$B71),".")</f>
        <v>0</v>
      </c>
      <c r="BB71" s="101">
        <f>IFERROR(s_RadSpec!$H$29*(BB29/$B71),".")</f>
        <v>0</v>
      </c>
      <c r="BC71" s="100">
        <f t="shared" ref="BC71" si="280">IFERROR($B71/BC29,0)</f>
        <v>0</v>
      </c>
      <c r="BD71" s="100">
        <f t="shared" ref="BD71:CB71" si="281">IFERROR($B71/BD29,0)</f>
        <v>0</v>
      </c>
      <c r="BE71" s="100">
        <f t="shared" si="281"/>
        <v>0</v>
      </c>
      <c r="BF71" s="100">
        <f t="shared" si="281"/>
        <v>0</v>
      </c>
      <c r="BG71" s="100">
        <f t="shared" si="281"/>
        <v>0</v>
      </c>
      <c r="BH71" s="100">
        <f t="shared" si="281"/>
        <v>0</v>
      </c>
      <c r="BI71" s="100">
        <f t="shared" si="281"/>
        <v>0</v>
      </c>
      <c r="BJ71" s="100">
        <f t="shared" si="281"/>
        <v>0</v>
      </c>
      <c r="BK71" s="100">
        <f t="shared" si="281"/>
        <v>0</v>
      </c>
      <c r="BL71" s="100">
        <f t="shared" si="281"/>
        <v>0</v>
      </c>
      <c r="BM71" s="100">
        <f t="shared" si="281"/>
        <v>0</v>
      </c>
      <c r="BN71" s="100">
        <f t="shared" si="281"/>
        <v>0</v>
      </c>
      <c r="BO71" s="100">
        <f t="shared" si="281"/>
        <v>0</v>
      </c>
      <c r="BP71" s="100">
        <f t="shared" si="281"/>
        <v>0</v>
      </c>
      <c r="BQ71" s="100">
        <f t="shared" si="281"/>
        <v>0</v>
      </c>
      <c r="BR71" s="100">
        <f t="shared" si="281"/>
        <v>0</v>
      </c>
      <c r="BS71" s="100">
        <f t="shared" si="281"/>
        <v>0</v>
      </c>
      <c r="BT71" s="100">
        <f t="shared" si="281"/>
        <v>0</v>
      </c>
      <c r="BU71" s="100">
        <f t="shared" ref="BU71" si="282">IFERROR($B71/BU29,0)</f>
        <v>0</v>
      </c>
      <c r="BV71" s="100">
        <f t="shared" si="281"/>
        <v>0</v>
      </c>
      <c r="BW71" s="100">
        <f t="shared" si="281"/>
        <v>0</v>
      </c>
      <c r="BX71" s="100">
        <f t="shared" si="281"/>
        <v>0</v>
      </c>
      <c r="BY71" s="100">
        <f t="shared" si="281"/>
        <v>0</v>
      </c>
      <c r="BZ71" s="100">
        <f t="shared" si="281"/>
        <v>0</v>
      </c>
      <c r="CA71" s="100">
        <f t="shared" si="281"/>
        <v>0</v>
      </c>
      <c r="CB71" s="100">
        <f t="shared" si="281"/>
        <v>0</v>
      </c>
      <c r="CC71" s="49">
        <f t="shared" si="258"/>
        <v>0</v>
      </c>
      <c r="CD71" s="101">
        <f>IFERROR(s_RadSpec!$H$29*(CD29/$B71),".")</f>
        <v>0</v>
      </c>
      <c r="CE71" s="101">
        <f>IFERROR(s_RadSpec!$H$29*(CE29/$B71),".")</f>
        <v>0</v>
      </c>
      <c r="CF71" s="101">
        <f>IFERROR(s_RadSpec!$H$29*(CF29/$B71),".")</f>
        <v>0</v>
      </c>
      <c r="CG71" s="101">
        <f>IFERROR(s_RadSpec!$H$29*(CG29/$B71),".")</f>
        <v>0</v>
      </c>
      <c r="CH71" s="101">
        <f>IFERROR(s_RadSpec!$H$29*(CH29/$B71),".")</f>
        <v>0</v>
      </c>
      <c r="CI71" s="101">
        <f>IFERROR(s_RadSpec!$H$29*(CI29/$B71),".")</f>
        <v>0</v>
      </c>
      <c r="CJ71" s="101">
        <f>IFERROR(s_RadSpec!$H$29*(CJ29/$B71),".")</f>
        <v>0</v>
      </c>
      <c r="CK71" s="101">
        <f>IFERROR(s_RadSpec!$H$29*(CK29/$B71),".")</f>
        <v>0</v>
      </c>
      <c r="CL71" s="101">
        <f>IFERROR(s_RadSpec!$H$29*(CL29/$B71),".")</f>
        <v>0</v>
      </c>
      <c r="CM71" s="101">
        <f>IFERROR(s_RadSpec!$H$29*(CM29/$B71),".")</f>
        <v>0</v>
      </c>
      <c r="CN71" s="101">
        <f>IFERROR(s_RadSpec!$H$29*(CN29/$B71),".")</f>
        <v>0</v>
      </c>
      <c r="CO71" s="101">
        <f>IFERROR(s_RadSpec!$H$29*(CO29/$B71),".")</f>
        <v>0</v>
      </c>
      <c r="CP71" s="101">
        <f>IFERROR(s_RadSpec!$H$29*(CP29/$B71),".")</f>
        <v>0</v>
      </c>
      <c r="CQ71" s="101">
        <f>IFERROR(s_RadSpec!$H$29*(CQ29/$B71),".")</f>
        <v>0</v>
      </c>
      <c r="CR71" s="101">
        <f>IFERROR(s_RadSpec!$H$29*(CR29/$B71),".")</f>
        <v>0</v>
      </c>
      <c r="CS71" s="101">
        <f>IFERROR(s_RadSpec!$H$29*(CS29/$B71),".")</f>
        <v>0</v>
      </c>
      <c r="CT71" s="101">
        <f>IFERROR(s_RadSpec!$H$29*(CT29/$B71),".")</f>
        <v>0</v>
      </c>
      <c r="CU71" s="101">
        <f>IFERROR(s_RadSpec!$H$29*(CU29/$B71),".")</f>
        <v>0</v>
      </c>
      <c r="CV71" s="101">
        <f>IFERROR(s_RadSpec!$H$29*(CV29/$B71),".")</f>
        <v>0</v>
      </c>
      <c r="CW71" s="101">
        <f>IFERROR(s_RadSpec!$H$29*(CW29/$B71),".")</f>
        <v>0</v>
      </c>
      <c r="CX71" s="101">
        <f>IFERROR(s_RadSpec!$H$29*(CX29/$B71),".")</f>
        <v>0</v>
      </c>
      <c r="CY71" s="101">
        <f>IFERROR(s_RadSpec!$H$29*(CY29/$B71),".")</f>
        <v>0</v>
      </c>
      <c r="CZ71" s="101">
        <f>IFERROR(s_RadSpec!$H$29*(CZ29/$B71),".")</f>
        <v>0</v>
      </c>
      <c r="DA71" s="101">
        <f>IFERROR(s_RadSpec!$H$29*(DA29/$B71),".")</f>
        <v>0</v>
      </c>
      <c r="DB71" s="101">
        <f>IFERROR(s_RadSpec!$H$29*(DB29/$B71),".")</f>
        <v>0</v>
      </c>
    </row>
    <row r="72" spans="1:106" x14ac:dyDescent="0.25">
      <c r="A72" s="99" t="s">
        <v>1093</v>
      </c>
      <c r="B72" s="90">
        <v>1</v>
      </c>
      <c r="C72" s="100">
        <f t="shared" ref="C72" si="283">IFERROR($B72/C16,0)</f>
        <v>0.19219078056038796</v>
      </c>
      <c r="D72" s="100">
        <f t="shared" ref="D72:AB72" si="284">IFERROR($B72/D16,0)</f>
        <v>4.8703640391164545E-2</v>
      </c>
      <c r="E72" s="100">
        <f t="shared" si="284"/>
        <v>9.820894235852741E-2</v>
      </c>
      <c r="F72" s="100">
        <f t="shared" si="284"/>
        <v>5.2239733388833323E-2</v>
      </c>
      <c r="G72" s="100">
        <f t="shared" si="284"/>
        <v>4.8703640391164545E-2</v>
      </c>
      <c r="H72" s="100">
        <f t="shared" si="284"/>
        <v>5.2239733388833323E-2</v>
      </c>
      <c r="I72" s="100">
        <f t="shared" si="284"/>
        <v>9.820894235852741E-2</v>
      </c>
      <c r="J72" s="100">
        <f t="shared" si="284"/>
        <v>5.2239733388833323E-2</v>
      </c>
      <c r="K72" s="100">
        <f t="shared" si="284"/>
        <v>4.8703640391164545E-2</v>
      </c>
      <c r="L72" s="100">
        <f t="shared" si="284"/>
        <v>4.2480116715267503E-2</v>
      </c>
      <c r="M72" s="100">
        <f t="shared" si="284"/>
        <v>5.2239733388833323E-2</v>
      </c>
      <c r="N72" s="100">
        <f t="shared" si="284"/>
        <v>9.820894235852741E-2</v>
      </c>
      <c r="O72" s="100">
        <f t="shared" si="284"/>
        <v>4.5379712973355892E-2</v>
      </c>
      <c r="P72" s="100">
        <f t="shared" si="284"/>
        <v>5.2239733388833323E-2</v>
      </c>
      <c r="Q72" s="100">
        <f t="shared" si="284"/>
        <v>5.2239733388833323E-2</v>
      </c>
      <c r="R72" s="100">
        <f t="shared" si="284"/>
        <v>4.8703640391164545E-2</v>
      </c>
      <c r="S72" s="100">
        <f t="shared" si="284"/>
        <v>4.8703640391164545E-2</v>
      </c>
      <c r="T72" s="100">
        <f t="shared" si="284"/>
        <v>4.5379712973355892E-2</v>
      </c>
      <c r="U72" s="100">
        <f t="shared" ref="U72" si="285">IFERROR($B72/U16,0)</f>
        <v>5.2239733388833323E-2</v>
      </c>
      <c r="V72" s="100">
        <f t="shared" si="284"/>
        <v>4.2692282295127629E-2</v>
      </c>
      <c r="W72" s="100">
        <f t="shared" si="284"/>
        <v>5.2239733388833323E-2</v>
      </c>
      <c r="X72" s="100">
        <f t="shared" si="284"/>
        <v>4.5379712973355892E-2</v>
      </c>
      <c r="Y72" s="100">
        <f t="shared" si="284"/>
        <v>4.8703640391164545E-2</v>
      </c>
      <c r="Z72" s="100">
        <f t="shared" si="284"/>
        <v>5.2239733388833323E-2</v>
      </c>
      <c r="AA72" s="100">
        <f t="shared" si="284"/>
        <v>4.1836547789691786E-2</v>
      </c>
      <c r="AB72" s="100">
        <f t="shared" si="284"/>
        <v>4.9410858990698303E-2</v>
      </c>
      <c r="AC72" s="49">
        <f t="shared" si="5"/>
        <v>9.609539028019396E-6</v>
      </c>
      <c r="AD72" s="101">
        <f>IFERROR(s_RadSpec!$H$16*(AD16/$B72),".")</f>
        <v>2.4351820195582274E-6</v>
      </c>
      <c r="AE72" s="101">
        <f>IFERROR(s_RadSpec!$H$16*(AE16/$B72),".")</f>
        <v>4.9104471179263705E-6</v>
      </c>
      <c r="AF72" s="101">
        <f>IFERROR(s_RadSpec!$H$16*(AF16/$B72),".")</f>
        <v>2.6119866694416662E-6</v>
      </c>
      <c r="AG72" s="101">
        <f>IFERROR(s_RadSpec!$H$16*(AG16/$B72),".")</f>
        <v>2.4351820195582274E-6</v>
      </c>
      <c r="AH72" s="101">
        <f>IFERROR(s_RadSpec!$H$16*(AH16/$B72),".")</f>
        <v>2.6119866694416662E-6</v>
      </c>
      <c r="AI72" s="101">
        <f>IFERROR(s_RadSpec!$H$16*(AI16/$B72),".")</f>
        <v>4.9104471179263705E-6</v>
      </c>
      <c r="AJ72" s="101">
        <f>IFERROR(s_RadSpec!$H$16*(AJ16/$B72),".")</f>
        <v>2.6119866694416662E-6</v>
      </c>
      <c r="AK72" s="101">
        <f>IFERROR(s_RadSpec!$H$16*(AK16/$B72),".")</f>
        <v>2.4351820195582274E-6</v>
      </c>
      <c r="AL72" s="101">
        <f>IFERROR(s_RadSpec!$H$16*(AL16/$B72),".")</f>
        <v>2.1240058357633753E-6</v>
      </c>
      <c r="AM72" s="101">
        <f>IFERROR(s_RadSpec!$H$16*(AM16/$B72),".")</f>
        <v>2.6119866694416662E-6</v>
      </c>
      <c r="AN72" s="101">
        <f>IFERROR(s_RadSpec!$H$16*(AN16/$B72),".")</f>
        <v>4.9104471179263705E-6</v>
      </c>
      <c r="AO72" s="101">
        <f>IFERROR(s_RadSpec!$H$16*(AO16/$B72),".")</f>
        <v>2.2689856486677947E-6</v>
      </c>
      <c r="AP72" s="101">
        <f>IFERROR(s_RadSpec!$H$16*(AP16/$B72),".")</f>
        <v>2.6119866694416662E-6</v>
      </c>
      <c r="AQ72" s="101">
        <f>IFERROR(s_RadSpec!$H$16*(AQ16/$B72),".")</f>
        <v>2.6119866694416662E-6</v>
      </c>
      <c r="AR72" s="101">
        <f>IFERROR(s_RadSpec!$H$16*(AR16/$B72),".")</f>
        <v>2.4351820195582274E-6</v>
      </c>
      <c r="AS72" s="101">
        <f>IFERROR(s_RadSpec!$H$16*(AS16/$B72),".")</f>
        <v>2.4351820195582274E-6</v>
      </c>
      <c r="AT72" s="101">
        <f>IFERROR(s_RadSpec!$H$16*(AT16/$B72),".")</f>
        <v>2.2689856486677947E-6</v>
      </c>
      <c r="AU72" s="101">
        <f>IFERROR(s_RadSpec!$H$16*(AU16/$B72),".")</f>
        <v>2.6119866694416662E-6</v>
      </c>
      <c r="AV72" s="101">
        <f>IFERROR(s_RadSpec!$H$16*(AV16/$B72),".")</f>
        <v>2.1346141147563814E-6</v>
      </c>
      <c r="AW72" s="101">
        <f>IFERROR(s_RadSpec!$H$16*(AW16/$B72),".")</f>
        <v>2.6119866694416662E-6</v>
      </c>
      <c r="AX72" s="101">
        <f>IFERROR(s_RadSpec!$H$16*(AX16/$B72),".")</f>
        <v>2.2689856486677947E-6</v>
      </c>
      <c r="AY72" s="101">
        <f>IFERROR(s_RadSpec!$H$16*(AY16/$B72),".")</f>
        <v>2.4351820195582274E-6</v>
      </c>
      <c r="AZ72" s="101">
        <f>IFERROR(s_RadSpec!$H$16*(AZ16/$B72),".")</f>
        <v>2.6119866694416662E-6</v>
      </c>
      <c r="BA72" s="101">
        <f>IFERROR(s_RadSpec!$H$16*(BA16/$B72),".")</f>
        <v>2.091827389484589E-6</v>
      </c>
      <c r="BB72" s="101">
        <f>IFERROR(s_RadSpec!$H$16*(BB16/$B72),".")</f>
        <v>2.470542949534915E-6</v>
      </c>
      <c r="BC72" s="100">
        <f t="shared" ref="BC72" si="286">IFERROR($B72/BC16,0)</f>
        <v>0.19219078056038796</v>
      </c>
      <c r="BD72" s="100">
        <f t="shared" ref="BD72:CB72" si="287">IFERROR($B72/BD16,0)</f>
        <v>4.8703640391164545E-2</v>
      </c>
      <c r="BE72" s="100">
        <f t="shared" si="287"/>
        <v>9.820894235852741E-2</v>
      </c>
      <c r="BF72" s="100">
        <f t="shared" si="287"/>
        <v>5.2239733388833323E-2</v>
      </c>
      <c r="BG72" s="100">
        <f t="shared" si="287"/>
        <v>4.8703640391164545E-2</v>
      </c>
      <c r="BH72" s="100">
        <f t="shared" si="287"/>
        <v>5.2239733388833323E-2</v>
      </c>
      <c r="BI72" s="100">
        <f t="shared" si="287"/>
        <v>9.820894235852741E-2</v>
      </c>
      <c r="BJ72" s="100">
        <f t="shared" si="287"/>
        <v>5.2239733388833323E-2</v>
      </c>
      <c r="BK72" s="100">
        <f t="shared" si="287"/>
        <v>4.8703640391164545E-2</v>
      </c>
      <c r="BL72" s="100">
        <f t="shared" si="287"/>
        <v>4.2480116715267503E-2</v>
      </c>
      <c r="BM72" s="100">
        <f t="shared" si="287"/>
        <v>5.2239733388833323E-2</v>
      </c>
      <c r="BN72" s="100">
        <f t="shared" si="287"/>
        <v>9.820894235852741E-2</v>
      </c>
      <c r="BO72" s="100">
        <f t="shared" si="287"/>
        <v>4.5379712973355892E-2</v>
      </c>
      <c r="BP72" s="100">
        <f t="shared" si="287"/>
        <v>5.2239733388833323E-2</v>
      </c>
      <c r="BQ72" s="100">
        <f t="shared" si="287"/>
        <v>5.2239733388833323E-2</v>
      </c>
      <c r="BR72" s="100">
        <f t="shared" si="287"/>
        <v>4.8703640391164545E-2</v>
      </c>
      <c r="BS72" s="100">
        <f t="shared" si="287"/>
        <v>4.8703640391164545E-2</v>
      </c>
      <c r="BT72" s="100">
        <f t="shared" si="287"/>
        <v>4.5379712973355892E-2</v>
      </c>
      <c r="BU72" s="100">
        <f t="shared" ref="BU72" si="288">IFERROR($B72/BU16,0)</f>
        <v>5.2239733388833323E-2</v>
      </c>
      <c r="BV72" s="100">
        <f t="shared" si="287"/>
        <v>4.2692282295127629E-2</v>
      </c>
      <c r="BW72" s="100">
        <f t="shared" si="287"/>
        <v>5.2239733388833323E-2</v>
      </c>
      <c r="BX72" s="100">
        <f t="shared" si="287"/>
        <v>4.5379712973355892E-2</v>
      </c>
      <c r="BY72" s="100">
        <f t="shared" si="287"/>
        <v>4.8703640391164545E-2</v>
      </c>
      <c r="BZ72" s="100">
        <f t="shared" si="287"/>
        <v>5.2239733388833323E-2</v>
      </c>
      <c r="CA72" s="100">
        <f t="shared" si="287"/>
        <v>4.1836547789691786E-2</v>
      </c>
      <c r="CB72" s="100">
        <f t="shared" si="287"/>
        <v>4.9410858990698303E-2</v>
      </c>
      <c r="CC72" s="49">
        <f t="shared" si="258"/>
        <v>9.609539028019396E-6</v>
      </c>
      <c r="CD72" s="101">
        <f>IFERROR(s_RadSpec!$H$16*(CD16/$B72),".")</f>
        <v>2.4351820195582274E-6</v>
      </c>
      <c r="CE72" s="101">
        <f>IFERROR(s_RadSpec!$H$16*(CE16/$B72),".")</f>
        <v>4.9104471179263705E-6</v>
      </c>
      <c r="CF72" s="101">
        <f>IFERROR(s_RadSpec!$H$16*(CF16/$B72),".")</f>
        <v>2.6119866694416662E-6</v>
      </c>
      <c r="CG72" s="101">
        <f>IFERROR(s_RadSpec!$H$16*(CG16/$B72),".")</f>
        <v>2.4351820195582274E-6</v>
      </c>
      <c r="CH72" s="101">
        <f>IFERROR(s_RadSpec!$H$16*(CH16/$B72),".")</f>
        <v>2.6119866694416662E-6</v>
      </c>
      <c r="CI72" s="101">
        <f>IFERROR(s_RadSpec!$H$16*(CI16/$B72),".")</f>
        <v>4.9104471179263705E-6</v>
      </c>
      <c r="CJ72" s="101">
        <f>IFERROR(s_RadSpec!$H$16*(CJ16/$B72),".")</f>
        <v>2.6119866694416662E-6</v>
      </c>
      <c r="CK72" s="101">
        <f>IFERROR(s_RadSpec!$H$16*(CK16/$B72),".")</f>
        <v>2.4351820195582274E-6</v>
      </c>
      <c r="CL72" s="101">
        <f>IFERROR(s_RadSpec!$H$16*(CL16/$B72),".")</f>
        <v>2.1240058357633753E-6</v>
      </c>
      <c r="CM72" s="101">
        <f>IFERROR(s_RadSpec!$H$16*(CM16/$B72),".")</f>
        <v>2.6119866694416662E-6</v>
      </c>
      <c r="CN72" s="101">
        <f>IFERROR(s_RadSpec!$H$16*(CN16/$B72),".")</f>
        <v>4.9104471179263705E-6</v>
      </c>
      <c r="CO72" s="101">
        <f>IFERROR(s_RadSpec!$H$16*(CO16/$B72),".")</f>
        <v>2.2689856486677947E-6</v>
      </c>
      <c r="CP72" s="101">
        <f>IFERROR(s_RadSpec!$H$16*(CP16/$B72),".")</f>
        <v>2.6119866694416662E-6</v>
      </c>
      <c r="CQ72" s="101">
        <f>IFERROR(s_RadSpec!$H$16*(CQ16/$B72),".")</f>
        <v>2.6119866694416662E-6</v>
      </c>
      <c r="CR72" s="101">
        <f>IFERROR(s_RadSpec!$H$16*(CR16/$B72),".")</f>
        <v>2.4351820195582274E-6</v>
      </c>
      <c r="CS72" s="101">
        <f>IFERROR(s_RadSpec!$H$16*(CS16/$B72),".")</f>
        <v>2.4351820195582274E-6</v>
      </c>
      <c r="CT72" s="101">
        <f>IFERROR(s_RadSpec!$H$16*(CT16/$B72),".")</f>
        <v>2.2689856486677947E-6</v>
      </c>
      <c r="CU72" s="101">
        <f>IFERROR(s_RadSpec!$H$16*(CU16/$B72),".")</f>
        <v>2.6119866694416662E-6</v>
      </c>
      <c r="CV72" s="101">
        <f>IFERROR(s_RadSpec!$H$16*(CV16/$B72),".")</f>
        <v>2.1346141147563814E-6</v>
      </c>
      <c r="CW72" s="101">
        <f>IFERROR(s_RadSpec!$H$16*(CW16/$B72),".")</f>
        <v>2.6119866694416662E-6</v>
      </c>
      <c r="CX72" s="101">
        <f>IFERROR(s_RadSpec!$H$16*(CX16/$B72),".")</f>
        <v>2.2689856486677947E-6</v>
      </c>
      <c r="CY72" s="101">
        <f>IFERROR(s_RadSpec!$H$16*(CY16/$B72),".")</f>
        <v>2.4351820195582274E-6</v>
      </c>
      <c r="CZ72" s="101">
        <f>IFERROR(s_RadSpec!$H$16*(CZ16/$B72),".")</f>
        <v>2.6119866694416662E-6</v>
      </c>
      <c r="DA72" s="101">
        <f>IFERROR(s_RadSpec!$H$16*(DA16/$B72),".")</f>
        <v>2.091827389484589E-6</v>
      </c>
      <c r="DB72" s="101">
        <f>IFERROR(s_RadSpec!$H$16*(DB16/$B72),".")</f>
        <v>2.470542949534915E-6</v>
      </c>
    </row>
    <row r="73" spans="1:106" x14ac:dyDescent="0.25">
      <c r="A73" s="99" t="s">
        <v>1094</v>
      </c>
      <c r="B73" s="90">
        <v>1</v>
      </c>
      <c r="C73" s="100">
        <f t="shared" ref="C73" si="289">IFERROR($B73/C7,0)</f>
        <v>4.9746373145810414E-3</v>
      </c>
      <c r="D73" s="100">
        <f t="shared" ref="D73:AB73" si="290">IFERROR($B73/D7,0)</f>
        <v>1.2436593286452604E-3</v>
      </c>
      <c r="E73" s="100">
        <f t="shared" si="290"/>
        <v>1.2436593286452604E-3</v>
      </c>
      <c r="F73" s="100">
        <f t="shared" si="290"/>
        <v>1.2436593286452604E-3</v>
      </c>
      <c r="G73" s="100">
        <f t="shared" si="290"/>
        <v>1.2436593286452604E-3</v>
      </c>
      <c r="H73" s="100">
        <f t="shared" si="290"/>
        <v>1.2436593286452604E-3</v>
      </c>
      <c r="I73" s="100">
        <f t="shared" si="290"/>
        <v>1.2436593286452604E-3</v>
      </c>
      <c r="J73" s="100">
        <f t="shared" si="290"/>
        <v>1.2436593286452604E-3</v>
      </c>
      <c r="K73" s="100">
        <f t="shared" si="290"/>
        <v>1.2436593286452604E-3</v>
      </c>
      <c r="L73" s="100">
        <f t="shared" si="290"/>
        <v>1.2436593286452604E-3</v>
      </c>
      <c r="M73" s="100">
        <f t="shared" si="290"/>
        <v>1.2436593286452604E-3</v>
      </c>
      <c r="N73" s="100">
        <f t="shared" si="290"/>
        <v>1.2436593286452604E-3</v>
      </c>
      <c r="O73" s="100">
        <f t="shared" si="290"/>
        <v>1.2436593286452604E-3</v>
      </c>
      <c r="P73" s="100">
        <f t="shared" si="290"/>
        <v>1.2436593286452604E-3</v>
      </c>
      <c r="Q73" s="100">
        <f t="shared" si="290"/>
        <v>1.2436593286452604E-3</v>
      </c>
      <c r="R73" s="100">
        <f t="shared" si="290"/>
        <v>1.2436593286452604E-3</v>
      </c>
      <c r="S73" s="100">
        <f t="shared" si="290"/>
        <v>1.2436593286452604E-3</v>
      </c>
      <c r="T73" s="100">
        <f t="shared" si="290"/>
        <v>1.2436593286452604E-3</v>
      </c>
      <c r="U73" s="100">
        <f t="shared" ref="U73" si="291">IFERROR($B73/U7,0)</f>
        <v>1.2436593286452604E-3</v>
      </c>
      <c r="V73" s="100">
        <f t="shared" si="290"/>
        <v>1.2436593286452604E-3</v>
      </c>
      <c r="W73" s="100">
        <f t="shared" si="290"/>
        <v>1.2436593286452604E-3</v>
      </c>
      <c r="X73" s="100">
        <f t="shared" si="290"/>
        <v>1.2436593286452604E-3</v>
      </c>
      <c r="Y73" s="100">
        <f t="shared" si="290"/>
        <v>1.2436593286452604E-3</v>
      </c>
      <c r="Z73" s="100">
        <f t="shared" si="290"/>
        <v>1.2436593286452604E-3</v>
      </c>
      <c r="AA73" s="100">
        <f t="shared" si="290"/>
        <v>1.2436593286452604E-3</v>
      </c>
      <c r="AB73" s="100">
        <f t="shared" si="290"/>
        <v>1.2436593286452604E-3</v>
      </c>
      <c r="AC73" s="49">
        <f t="shared" si="5"/>
        <v>2.4873186572905208E-7</v>
      </c>
      <c r="AD73" s="101">
        <f>IFERROR(s_RadSpec!$H$7*(AD7/$B73),".")</f>
        <v>6.2182966432263019E-8</v>
      </c>
      <c r="AE73" s="101">
        <f>IFERROR(s_RadSpec!$H$7*(AE7/$B73),".")</f>
        <v>6.2182966432263019E-8</v>
      </c>
      <c r="AF73" s="101">
        <f>IFERROR(s_RadSpec!$H$7*(AF7/$B73),".")</f>
        <v>6.2182966432263019E-8</v>
      </c>
      <c r="AG73" s="101">
        <f>IFERROR(s_RadSpec!$H$7*(AG7/$B73),".")</f>
        <v>6.2182966432263019E-8</v>
      </c>
      <c r="AH73" s="101">
        <f>IFERROR(s_RadSpec!$H$7*(AH7/$B73),".")</f>
        <v>6.2182966432263019E-8</v>
      </c>
      <c r="AI73" s="101">
        <f>IFERROR(s_RadSpec!$H$7*(AI7/$B73),".")</f>
        <v>6.2182966432263019E-8</v>
      </c>
      <c r="AJ73" s="101">
        <f>IFERROR(s_RadSpec!$H$7*(AJ7/$B73),".")</f>
        <v>6.2182966432263019E-8</v>
      </c>
      <c r="AK73" s="101">
        <f>IFERROR(s_RadSpec!$H$7*(AK7/$B73),".")</f>
        <v>6.2182966432263019E-8</v>
      </c>
      <c r="AL73" s="101">
        <f>IFERROR(s_RadSpec!$H$7*(AL7/$B73),".")</f>
        <v>6.2182966432263019E-8</v>
      </c>
      <c r="AM73" s="101">
        <f>IFERROR(s_RadSpec!$H$7*(AM7/$B73),".")</f>
        <v>6.2182966432263019E-8</v>
      </c>
      <c r="AN73" s="101">
        <f>IFERROR(s_RadSpec!$H$7*(AN7/$B73),".")</f>
        <v>6.2182966432263019E-8</v>
      </c>
      <c r="AO73" s="101">
        <f>IFERROR(s_RadSpec!$H$7*(AO7/$B73),".")</f>
        <v>6.2182966432263019E-8</v>
      </c>
      <c r="AP73" s="101">
        <f>IFERROR(s_RadSpec!$H$7*(AP7/$B73),".")</f>
        <v>6.2182966432263019E-8</v>
      </c>
      <c r="AQ73" s="101">
        <f>IFERROR(s_RadSpec!$H$7*(AQ7/$B73),".")</f>
        <v>6.2182966432263019E-8</v>
      </c>
      <c r="AR73" s="101">
        <f>IFERROR(s_RadSpec!$H$7*(AR7/$B73),".")</f>
        <v>6.2182966432263019E-8</v>
      </c>
      <c r="AS73" s="101">
        <f>IFERROR(s_RadSpec!$H$7*(AS7/$B73),".")</f>
        <v>6.2182966432263019E-8</v>
      </c>
      <c r="AT73" s="101">
        <f>IFERROR(s_RadSpec!$H$7*(AT7/$B73),".")</f>
        <v>6.2182966432263019E-8</v>
      </c>
      <c r="AU73" s="101">
        <f>IFERROR(s_RadSpec!$H$7*(AU7/$B73),".")</f>
        <v>6.2182966432263019E-8</v>
      </c>
      <c r="AV73" s="101">
        <f>IFERROR(s_RadSpec!$H$7*(AV7/$B73),".")</f>
        <v>6.2182966432263019E-8</v>
      </c>
      <c r="AW73" s="101">
        <f>IFERROR(s_RadSpec!$H$7*(AW7/$B73),".")</f>
        <v>6.2182966432263019E-8</v>
      </c>
      <c r="AX73" s="101">
        <f>IFERROR(s_RadSpec!$H$7*(AX7/$B73),".")</f>
        <v>6.2182966432263019E-8</v>
      </c>
      <c r="AY73" s="101">
        <f>IFERROR(s_RadSpec!$H$7*(AY7/$B73),".")</f>
        <v>6.2182966432263019E-8</v>
      </c>
      <c r="AZ73" s="101">
        <f>IFERROR(s_RadSpec!$H$7*(AZ7/$B73),".")</f>
        <v>6.2182966432263019E-8</v>
      </c>
      <c r="BA73" s="101">
        <f>IFERROR(s_RadSpec!$H$7*(BA7/$B73),".")</f>
        <v>6.2182966432263019E-8</v>
      </c>
      <c r="BB73" s="101">
        <f>IFERROR(s_RadSpec!$H$7*(BB7/$B73),".")</f>
        <v>6.2182966432263019E-8</v>
      </c>
      <c r="BC73" s="100">
        <f t="shared" ref="BC73" si="292">IFERROR($B73/BC7,0)</f>
        <v>4.9746373145810414E-3</v>
      </c>
      <c r="BD73" s="100">
        <f t="shared" ref="BD73:CB73" si="293">IFERROR($B73/BD7,0)</f>
        <v>1.2436593286452604E-3</v>
      </c>
      <c r="BE73" s="100">
        <f t="shared" si="293"/>
        <v>1.2436593286452604E-3</v>
      </c>
      <c r="BF73" s="100">
        <f t="shared" si="293"/>
        <v>1.2436593286452604E-3</v>
      </c>
      <c r="BG73" s="100">
        <f t="shared" si="293"/>
        <v>1.2436593286452604E-3</v>
      </c>
      <c r="BH73" s="100">
        <f t="shared" si="293"/>
        <v>1.2436593286452604E-3</v>
      </c>
      <c r="BI73" s="100">
        <f t="shared" si="293"/>
        <v>1.2436593286452604E-3</v>
      </c>
      <c r="BJ73" s="100">
        <f t="shared" si="293"/>
        <v>1.2436593286452604E-3</v>
      </c>
      <c r="BK73" s="100">
        <f t="shared" si="293"/>
        <v>1.2436593286452604E-3</v>
      </c>
      <c r="BL73" s="100">
        <f t="shared" si="293"/>
        <v>1.2436593286452604E-3</v>
      </c>
      <c r="BM73" s="100">
        <f t="shared" si="293"/>
        <v>1.2436593286452604E-3</v>
      </c>
      <c r="BN73" s="100">
        <f t="shared" si="293"/>
        <v>1.2436593286452604E-3</v>
      </c>
      <c r="BO73" s="100">
        <f t="shared" si="293"/>
        <v>1.2436593286452604E-3</v>
      </c>
      <c r="BP73" s="100">
        <f t="shared" si="293"/>
        <v>1.2436593286452604E-3</v>
      </c>
      <c r="BQ73" s="100">
        <f t="shared" si="293"/>
        <v>1.2436593286452604E-3</v>
      </c>
      <c r="BR73" s="100">
        <f t="shared" si="293"/>
        <v>1.2436593286452604E-3</v>
      </c>
      <c r="BS73" s="100">
        <f t="shared" si="293"/>
        <v>1.2436593286452604E-3</v>
      </c>
      <c r="BT73" s="100">
        <f t="shared" si="293"/>
        <v>1.2436593286452604E-3</v>
      </c>
      <c r="BU73" s="100">
        <f t="shared" ref="BU73" si="294">IFERROR($B73/BU7,0)</f>
        <v>1.2436593286452604E-3</v>
      </c>
      <c r="BV73" s="100">
        <f t="shared" si="293"/>
        <v>1.2436593286452604E-3</v>
      </c>
      <c r="BW73" s="100">
        <f t="shared" si="293"/>
        <v>1.2436593286452604E-3</v>
      </c>
      <c r="BX73" s="100">
        <f t="shared" si="293"/>
        <v>1.2436593286452604E-3</v>
      </c>
      <c r="BY73" s="100">
        <f t="shared" si="293"/>
        <v>1.2436593286452604E-3</v>
      </c>
      <c r="BZ73" s="100">
        <f t="shared" si="293"/>
        <v>1.2436593286452604E-3</v>
      </c>
      <c r="CA73" s="100">
        <f t="shared" si="293"/>
        <v>1.2436593286452604E-3</v>
      </c>
      <c r="CB73" s="100">
        <f t="shared" si="293"/>
        <v>1.2436593286452604E-3</v>
      </c>
      <c r="CC73" s="49">
        <f t="shared" si="258"/>
        <v>2.4873186572905208E-7</v>
      </c>
      <c r="CD73" s="101">
        <f>IFERROR(s_RadSpec!$H$7*(CD7/$B73),".")</f>
        <v>6.2182966432263019E-8</v>
      </c>
      <c r="CE73" s="101">
        <f>IFERROR(s_RadSpec!$H$7*(CE7/$B73),".")</f>
        <v>6.2182966432263019E-8</v>
      </c>
      <c r="CF73" s="101">
        <f>IFERROR(s_RadSpec!$H$7*(CF7/$B73),".")</f>
        <v>6.2182966432263019E-8</v>
      </c>
      <c r="CG73" s="101">
        <f>IFERROR(s_RadSpec!$H$7*(CG7/$B73),".")</f>
        <v>6.2182966432263019E-8</v>
      </c>
      <c r="CH73" s="101">
        <f>IFERROR(s_RadSpec!$H$7*(CH7/$B73),".")</f>
        <v>6.2182966432263019E-8</v>
      </c>
      <c r="CI73" s="101">
        <f>IFERROR(s_RadSpec!$H$7*(CI7/$B73),".")</f>
        <v>6.2182966432263019E-8</v>
      </c>
      <c r="CJ73" s="101">
        <f>IFERROR(s_RadSpec!$H$7*(CJ7/$B73),".")</f>
        <v>6.2182966432263019E-8</v>
      </c>
      <c r="CK73" s="101">
        <f>IFERROR(s_RadSpec!$H$7*(CK7/$B73),".")</f>
        <v>6.2182966432263019E-8</v>
      </c>
      <c r="CL73" s="101">
        <f>IFERROR(s_RadSpec!$H$7*(CL7/$B73),".")</f>
        <v>6.2182966432263019E-8</v>
      </c>
      <c r="CM73" s="101">
        <f>IFERROR(s_RadSpec!$H$7*(CM7/$B73),".")</f>
        <v>6.2182966432263019E-8</v>
      </c>
      <c r="CN73" s="101">
        <f>IFERROR(s_RadSpec!$H$7*(CN7/$B73),".")</f>
        <v>6.2182966432263019E-8</v>
      </c>
      <c r="CO73" s="101">
        <f>IFERROR(s_RadSpec!$H$7*(CO7/$B73),".")</f>
        <v>6.2182966432263019E-8</v>
      </c>
      <c r="CP73" s="101">
        <f>IFERROR(s_RadSpec!$H$7*(CP7/$B73),".")</f>
        <v>6.2182966432263019E-8</v>
      </c>
      <c r="CQ73" s="101">
        <f>IFERROR(s_RadSpec!$H$7*(CQ7/$B73),".")</f>
        <v>6.2182966432263019E-8</v>
      </c>
      <c r="CR73" s="101">
        <f>IFERROR(s_RadSpec!$H$7*(CR7/$B73),".")</f>
        <v>6.2182966432263019E-8</v>
      </c>
      <c r="CS73" s="101">
        <f>IFERROR(s_RadSpec!$H$7*(CS7/$B73),".")</f>
        <v>6.2182966432263019E-8</v>
      </c>
      <c r="CT73" s="101">
        <f>IFERROR(s_RadSpec!$H$7*(CT7/$B73),".")</f>
        <v>6.2182966432263019E-8</v>
      </c>
      <c r="CU73" s="101">
        <f>IFERROR(s_RadSpec!$H$7*(CU7/$B73),".")</f>
        <v>6.2182966432263019E-8</v>
      </c>
      <c r="CV73" s="101">
        <f>IFERROR(s_RadSpec!$H$7*(CV7/$B73),".")</f>
        <v>6.2182966432263019E-8</v>
      </c>
      <c r="CW73" s="101">
        <f>IFERROR(s_RadSpec!$H$7*(CW7/$B73),".")</f>
        <v>6.2182966432263019E-8</v>
      </c>
      <c r="CX73" s="101">
        <f>IFERROR(s_RadSpec!$H$7*(CX7/$B73),".")</f>
        <v>6.2182966432263019E-8</v>
      </c>
      <c r="CY73" s="101">
        <f>IFERROR(s_RadSpec!$H$7*(CY7/$B73),".")</f>
        <v>6.2182966432263019E-8</v>
      </c>
      <c r="CZ73" s="101">
        <f>IFERROR(s_RadSpec!$H$7*(CZ7/$B73),".")</f>
        <v>6.2182966432263019E-8</v>
      </c>
      <c r="DA73" s="101">
        <f>IFERROR(s_RadSpec!$H$7*(DA7/$B73),".")</f>
        <v>6.2182966432263019E-8</v>
      </c>
      <c r="DB73" s="101">
        <f>IFERROR(s_RadSpec!$H$7*(DB7/$B73),".")</f>
        <v>6.2182966432263019E-8</v>
      </c>
    </row>
    <row r="74" spans="1:106" x14ac:dyDescent="0.25">
      <c r="A74" s="99" t="s">
        <v>1095</v>
      </c>
      <c r="B74" s="104">
        <v>1.9000000000000001E-8</v>
      </c>
      <c r="C74" s="100">
        <f t="shared" ref="C74" si="295">IFERROR($B74/C12,0)</f>
        <v>0</v>
      </c>
      <c r="D74" s="100">
        <f t="shared" ref="D74:AB74" si="296">IFERROR($B74/D12,0)</f>
        <v>0</v>
      </c>
      <c r="E74" s="100">
        <f t="shared" si="296"/>
        <v>0</v>
      </c>
      <c r="F74" s="100">
        <f t="shared" si="296"/>
        <v>0</v>
      </c>
      <c r="G74" s="100">
        <f t="shared" si="296"/>
        <v>0</v>
      </c>
      <c r="H74" s="100">
        <f t="shared" si="296"/>
        <v>0</v>
      </c>
      <c r="I74" s="100">
        <f t="shared" si="296"/>
        <v>0</v>
      </c>
      <c r="J74" s="100">
        <f t="shared" si="296"/>
        <v>0</v>
      </c>
      <c r="K74" s="100">
        <f t="shared" si="296"/>
        <v>0</v>
      </c>
      <c r="L74" s="100">
        <f t="shared" si="296"/>
        <v>0</v>
      </c>
      <c r="M74" s="100">
        <f t="shared" si="296"/>
        <v>0</v>
      </c>
      <c r="N74" s="100">
        <f t="shared" si="296"/>
        <v>0</v>
      </c>
      <c r="O74" s="100">
        <f t="shared" si="296"/>
        <v>0</v>
      </c>
      <c r="P74" s="100">
        <f t="shared" si="296"/>
        <v>0</v>
      </c>
      <c r="Q74" s="100">
        <f t="shared" si="296"/>
        <v>0</v>
      </c>
      <c r="R74" s="100">
        <f t="shared" si="296"/>
        <v>0</v>
      </c>
      <c r="S74" s="100">
        <f t="shared" si="296"/>
        <v>0</v>
      </c>
      <c r="T74" s="100">
        <f t="shared" si="296"/>
        <v>0</v>
      </c>
      <c r="U74" s="100">
        <f t="shared" ref="U74" si="297">IFERROR($B74/U12,0)</f>
        <v>0</v>
      </c>
      <c r="V74" s="100">
        <f t="shared" si="296"/>
        <v>0</v>
      </c>
      <c r="W74" s="100">
        <f t="shared" si="296"/>
        <v>0</v>
      </c>
      <c r="X74" s="100">
        <f t="shared" si="296"/>
        <v>0</v>
      </c>
      <c r="Y74" s="100">
        <f t="shared" si="296"/>
        <v>0</v>
      </c>
      <c r="Z74" s="100">
        <f t="shared" si="296"/>
        <v>0</v>
      </c>
      <c r="AA74" s="100">
        <f t="shared" si="296"/>
        <v>0</v>
      </c>
      <c r="AB74" s="100">
        <f t="shared" si="296"/>
        <v>0</v>
      </c>
      <c r="AC74" s="49">
        <f t="shared" si="5"/>
        <v>0</v>
      </c>
      <c r="AD74" s="101">
        <f>IFERROR(s_RadSpec!$H$12*(AD12/$B74),".")</f>
        <v>0</v>
      </c>
      <c r="AE74" s="101">
        <f>IFERROR(s_RadSpec!$H$12*(AE12/$B74),".")</f>
        <v>0</v>
      </c>
      <c r="AF74" s="101">
        <f>IFERROR(s_RadSpec!$H$12*(AF12/$B74),".")</f>
        <v>0</v>
      </c>
      <c r="AG74" s="101">
        <f>IFERROR(s_RadSpec!$H$12*(AG12/$B74),".")</f>
        <v>0</v>
      </c>
      <c r="AH74" s="101">
        <f>IFERROR(s_RadSpec!$H$12*(AH12/$B74),".")</f>
        <v>0</v>
      </c>
      <c r="AI74" s="101">
        <f>IFERROR(s_RadSpec!$H$12*(AI12/$B74),".")</f>
        <v>0</v>
      </c>
      <c r="AJ74" s="101">
        <f>IFERROR(s_RadSpec!$H$12*(AJ12/$B74),".")</f>
        <v>0</v>
      </c>
      <c r="AK74" s="101">
        <f>IFERROR(s_RadSpec!$H$12*(AK12/$B74),".")</f>
        <v>0</v>
      </c>
      <c r="AL74" s="101">
        <f>IFERROR(s_RadSpec!$H$12*(AL12/$B74),".")</f>
        <v>0</v>
      </c>
      <c r="AM74" s="101">
        <f>IFERROR(s_RadSpec!$H$12*(AM12/$B74),".")</f>
        <v>0</v>
      </c>
      <c r="AN74" s="101">
        <f>IFERROR(s_RadSpec!$H$12*(AN12/$B74),".")</f>
        <v>0</v>
      </c>
      <c r="AO74" s="101">
        <f>IFERROR(s_RadSpec!$H$12*(AO12/$B74),".")</f>
        <v>0</v>
      </c>
      <c r="AP74" s="101">
        <f>IFERROR(s_RadSpec!$H$12*(AP12/$B74),".")</f>
        <v>0</v>
      </c>
      <c r="AQ74" s="101">
        <f>IFERROR(s_RadSpec!$H$12*(AQ12/$B74),".")</f>
        <v>0</v>
      </c>
      <c r="AR74" s="101">
        <f>IFERROR(s_RadSpec!$H$12*(AR12/$B74),".")</f>
        <v>0</v>
      </c>
      <c r="AS74" s="101">
        <f>IFERROR(s_RadSpec!$H$12*(AS12/$B74),".")</f>
        <v>0</v>
      </c>
      <c r="AT74" s="101">
        <f>IFERROR(s_RadSpec!$H$12*(AT12/$B74),".")</f>
        <v>0</v>
      </c>
      <c r="AU74" s="101">
        <f>IFERROR(s_RadSpec!$H$12*(AU12/$B74),".")</f>
        <v>0</v>
      </c>
      <c r="AV74" s="101">
        <f>IFERROR(s_RadSpec!$H$12*(AV12/$B74),".")</f>
        <v>0</v>
      </c>
      <c r="AW74" s="101">
        <f>IFERROR(s_RadSpec!$H$12*(AW12/$B74),".")</f>
        <v>0</v>
      </c>
      <c r="AX74" s="101">
        <f>IFERROR(s_RadSpec!$H$12*(AX12/$B74),".")</f>
        <v>0</v>
      </c>
      <c r="AY74" s="101">
        <f>IFERROR(s_RadSpec!$H$12*(AY12/$B74),".")</f>
        <v>0</v>
      </c>
      <c r="AZ74" s="101">
        <f>IFERROR(s_RadSpec!$H$12*(AZ12/$B74),".")</f>
        <v>0</v>
      </c>
      <c r="BA74" s="101">
        <f>IFERROR(s_RadSpec!$H$12*(BA12/$B74),".")</f>
        <v>0</v>
      </c>
      <c r="BB74" s="101">
        <f>IFERROR(s_RadSpec!$H$12*(BB12/$B74),".")</f>
        <v>0</v>
      </c>
      <c r="BC74" s="100">
        <f t="shared" ref="BC74" si="298">IFERROR($B74/BC12,0)</f>
        <v>0</v>
      </c>
      <c r="BD74" s="100">
        <f t="shared" ref="BD74:CB74" si="299">IFERROR($B74/BD12,0)</f>
        <v>0</v>
      </c>
      <c r="BE74" s="100">
        <f t="shared" si="299"/>
        <v>0</v>
      </c>
      <c r="BF74" s="100">
        <f t="shared" si="299"/>
        <v>0</v>
      </c>
      <c r="BG74" s="100">
        <f t="shared" si="299"/>
        <v>0</v>
      </c>
      <c r="BH74" s="100">
        <f t="shared" si="299"/>
        <v>0</v>
      </c>
      <c r="BI74" s="100">
        <f t="shared" si="299"/>
        <v>0</v>
      </c>
      <c r="BJ74" s="100">
        <f t="shared" si="299"/>
        <v>0</v>
      </c>
      <c r="BK74" s="100">
        <f t="shared" si="299"/>
        <v>0</v>
      </c>
      <c r="BL74" s="100">
        <f t="shared" si="299"/>
        <v>0</v>
      </c>
      <c r="BM74" s="100">
        <f t="shared" si="299"/>
        <v>0</v>
      </c>
      <c r="BN74" s="100">
        <f t="shared" si="299"/>
        <v>0</v>
      </c>
      <c r="BO74" s="100">
        <f t="shared" si="299"/>
        <v>0</v>
      </c>
      <c r="BP74" s="100">
        <f t="shared" si="299"/>
        <v>0</v>
      </c>
      <c r="BQ74" s="100">
        <f t="shared" si="299"/>
        <v>0</v>
      </c>
      <c r="BR74" s="100">
        <f t="shared" si="299"/>
        <v>0</v>
      </c>
      <c r="BS74" s="100">
        <f t="shared" si="299"/>
        <v>0</v>
      </c>
      <c r="BT74" s="100">
        <f t="shared" si="299"/>
        <v>0</v>
      </c>
      <c r="BU74" s="100">
        <f t="shared" ref="BU74" si="300">IFERROR($B74/BU12,0)</f>
        <v>0</v>
      </c>
      <c r="BV74" s="100">
        <f t="shared" si="299"/>
        <v>0</v>
      </c>
      <c r="BW74" s="100">
        <f t="shared" si="299"/>
        <v>0</v>
      </c>
      <c r="BX74" s="100">
        <f t="shared" si="299"/>
        <v>0</v>
      </c>
      <c r="BY74" s="100">
        <f t="shared" si="299"/>
        <v>0</v>
      </c>
      <c r="BZ74" s="100">
        <f t="shared" si="299"/>
        <v>0</v>
      </c>
      <c r="CA74" s="100">
        <f t="shared" si="299"/>
        <v>0</v>
      </c>
      <c r="CB74" s="100">
        <f t="shared" si="299"/>
        <v>0</v>
      </c>
      <c r="CC74" s="49">
        <f t="shared" si="258"/>
        <v>0</v>
      </c>
      <c r="CD74" s="101">
        <f>IFERROR(s_RadSpec!$H$12*(CD12/$B74),".")</f>
        <v>0</v>
      </c>
      <c r="CE74" s="101">
        <f>IFERROR(s_RadSpec!$H$12*(CE12/$B74),".")</f>
        <v>0</v>
      </c>
      <c r="CF74" s="101">
        <f>IFERROR(s_RadSpec!$H$12*(CF12/$B74),".")</f>
        <v>0</v>
      </c>
      <c r="CG74" s="101">
        <f>IFERROR(s_RadSpec!$H$12*(CG12/$B74),".")</f>
        <v>0</v>
      </c>
      <c r="CH74" s="101">
        <f>IFERROR(s_RadSpec!$H$12*(CH12/$B74),".")</f>
        <v>0</v>
      </c>
      <c r="CI74" s="101">
        <f>IFERROR(s_RadSpec!$H$12*(CI12/$B74),".")</f>
        <v>0</v>
      </c>
      <c r="CJ74" s="101">
        <f>IFERROR(s_RadSpec!$H$12*(CJ12/$B74),".")</f>
        <v>0</v>
      </c>
      <c r="CK74" s="101">
        <f>IFERROR(s_RadSpec!$H$12*(CK12/$B74),".")</f>
        <v>0</v>
      </c>
      <c r="CL74" s="101">
        <f>IFERROR(s_RadSpec!$H$12*(CL12/$B74),".")</f>
        <v>0</v>
      </c>
      <c r="CM74" s="101">
        <f>IFERROR(s_RadSpec!$H$12*(CM12/$B74),".")</f>
        <v>0</v>
      </c>
      <c r="CN74" s="101">
        <f>IFERROR(s_RadSpec!$H$12*(CN12/$B74),".")</f>
        <v>0</v>
      </c>
      <c r="CO74" s="101">
        <f>IFERROR(s_RadSpec!$H$12*(CO12/$B74),".")</f>
        <v>0</v>
      </c>
      <c r="CP74" s="101">
        <f>IFERROR(s_RadSpec!$H$12*(CP12/$B74),".")</f>
        <v>0</v>
      </c>
      <c r="CQ74" s="101">
        <f>IFERROR(s_RadSpec!$H$12*(CQ12/$B74),".")</f>
        <v>0</v>
      </c>
      <c r="CR74" s="101">
        <f>IFERROR(s_RadSpec!$H$12*(CR12/$B74),".")</f>
        <v>0</v>
      </c>
      <c r="CS74" s="101">
        <f>IFERROR(s_RadSpec!$H$12*(CS12/$B74),".")</f>
        <v>0</v>
      </c>
      <c r="CT74" s="101">
        <f>IFERROR(s_RadSpec!$H$12*(CT12/$B74),".")</f>
        <v>0</v>
      </c>
      <c r="CU74" s="101">
        <f>IFERROR(s_RadSpec!$H$12*(CU12/$B74),".")</f>
        <v>0</v>
      </c>
      <c r="CV74" s="101">
        <f>IFERROR(s_RadSpec!$H$12*(CV12/$B74),".")</f>
        <v>0</v>
      </c>
      <c r="CW74" s="101">
        <f>IFERROR(s_RadSpec!$H$12*(CW12/$B74),".")</f>
        <v>0</v>
      </c>
      <c r="CX74" s="101">
        <f>IFERROR(s_RadSpec!$H$12*(CX12/$B74),".")</f>
        <v>0</v>
      </c>
      <c r="CY74" s="101">
        <f>IFERROR(s_RadSpec!$H$12*(CY12/$B74),".")</f>
        <v>0</v>
      </c>
      <c r="CZ74" s="101">
        <f>IFERROR(s_RadSpec!$H$12*(CZ12/$B74),".")</f>
        <v>0</v>
      </c>
      <c r="DA74" s="101">
        <f>IFERROR(s_RadSpec!$H$12*(DA12/$B74),".")</f>
        <v>0</v>
      </c>
      <c r="DB74" s="101">
        <f>IFERROR(s_RadSpec!$H$12*(DB12/$B74),".")</f>
        <v>0</v>
      </c>
    </row>
    <row r="75" spans="1:106" x14ac:dyDescent="0.25">
      <c r="A75" s="99" t="s">
        <v>1096</v>
      </c>
      <c r="B75" s="90">
        <v>1</v>
      </c>
      <c r="C75" s="100">
        <f t="shared" ref="C75" si="301">IFERROR($B75/C18,0)</f>
        <v>0.33738653484936343</v>
      </c>
      <c r="D75" s="100">
        <f t="shared" ref="D75:AB75" si="302">IFERROR($B75/D18,0)</f>
        <v>7.9999040731075E-2</v>
      </c>
      <c r="E75" s="100">
        <f t="shared" si="302"/>
        <v>8.9750651156344216E-2</v>
      </c>
      <c r="F75" s="100">
        <f t="shared" si="302"/>
        <v>8.7583626617395494E-2</v>
      </c>
      <c r="G75" s="100">
        <f t="shared" si="302"/>
        <v>7.9999040731075E-2</v>
      </c>
      <c r="H75" s="100">
        <f t="shared" si="302"/>
        <v>7.9999040731075E-2</v>
      </c>
      <c r="I75" s="100">
        <f t="shared" si="302"/>
        <v>8.9750651156344216E-2</v>
      </c>
      <c r="J75" s="100">
        <f t="shared" si="302"/>
        <v>8.7583626617395494E-2</v>
      </c>
      <c r="K75" s="100">
        <f t="shared" si="302"/>
        <v>7.9999040731075E-2</v>
      </c>
      <c r="L75" s="100">
        <f t="shared" si="302"/>
        <v>8.0053216344548719E-2</v>
      </c>
      <c r="M75" s="100">
        <f t="shared" si="302"/>
        <v>7.9999040731075E-2</v>
      </c>
      <c r="N75" s="100">
        <f t="shared" si="302"/>
        <v>8.9750651156344216E-2</v>
      </c>
      <c r="O75" s="100">
        <f t="shared" si="302"/>
        <v>8.0093848054654013E-2</v>
      </c>
      <c r="P75" s="100">
        <f t="shared" si="302"/>
        <v>7.9999040731075E-2</v>
      </c>
      <c r="Q75" s="100">
        <f t="shared" si="302"/>
        <v>8.7583626617395494E-2</v>
      </c>
      <c r="R75" s="100">
        <f t="shared" si="302"/>
        <v>7.9999040731075E-2</v>
      </c>
      <c r="S75" s="100">
        <f t="shared" si="302"/>
        <v>7.9999040731075E-2</v>
      </c>
      <c r="T75" s="100">
        <f t="shared" si="302"/>
        <v>8.0093848054654013E-2</v>
      </c>
      <c r="U75" s="100">
        <f t="shared" ref="U75" si="303">IFERROR($B75/U18,0)</f>
        <v>7.9999040731075E-2</v>
      </c>
      <c r="V75" s="100">
        <f t="shared" si="302"/>
        <v>8.3385016573182369E-2</v>
      </c>
      <c r="W75" s="100">
        <f t="shared" si="302"/>
        <v>7.9999040731075E-2</v>
      </c>
      <c r="X75" s="100">
        <f t="shared" si="302"/>
        <v>8.0093848054654013E-2</v>
      </c>
      <c r="Y75" s="100">
        <f t="shared" si="302"/>
        <v>7.9999040731075E-2</v>
      </c>
      <c r="Z75" s="100">
        <f t="shared" si="302"/>
        <v>7.9999040731075E-2</v>
      </c>
      <c r="AA75" s="100">
        <f t="shared" si="302"/>
        <v>9.733523704266471E-2</v>
      </c>
      <c r="AB75" s="100">
        <f t="shared" si="302"/>
        <v>8.0053216344548719E-2</v>
      </c>
      <c r="AC75" s="49">
        <f t="shared" si="5"/>
        <v>1.6869326742468172E-5</v>
      </c>
      <c r="AD75" s="101">
        <f>IFERROR(s_RadSpec!$H$18*(AD18/$B75),".")</f>
        <v>3.9999520365537502E-6</v>
      </c>
      <c r="AE75" s="101">
        <f>IFERROR(s_RadSpec!$H$18*(AE18/$B75),".")</f>
        <v>4.4875325578172115E-6</v>
      </c>
      <c r="AF75" s="101">
        <f>IFERROR(s_RadSpec!$H$18*(AF18/$B75),".")</f>
        <v>4.3791813308697751E-6</v>
      </c>
      <c r="AG75" s="101">
        <f>IFERROR(s_RadSpec!$H$18*(AG18/$B75),".")</f>
        <v>3.9999520365537502E-6</v>
      </c>
      <c r="AH75" s="101">
        <f>IFERROR(s_RadSpec!$H$18*(AH18/$B75),".")</f>
        <v>3.9999520365537502E-6</v>
      </c>
      <c r="AI75" s="101">
        <f>IFERROR(s_RadSpec!$H$18*(AI18/$B75),".")</f>
        <v>4.4875325578172115E-6</v>
      </c>
      <c r="AJ75" s="101">
        <f>IFERROR(s_RadSpec!$H$18*(AJ18/$B75),".")</f>
        <v>4.3791813308697751E-6</v>
      </c>
      <c r="AK75" s="101">
        <f>IFERROR(s_RadSpec!$H$18*(AK18/$B75),".")</f>
        <v>3.9999520365537502E-6</v>
      </c>
      <c r="AL75" s="101">
        <f>IFERROR(s_RadSpec!$H$18*(AL18/$B75),".")</f>
        <v>4.0026608172274363E-6</v>
      </c>
      <c r="AM75" s="101">
        <f>IFERROR(s_RadSpec!$H$18*(AM18/$B75),".")</f>
        <v>3.9999520365537502E-6</v>
      </c>
      <c r="AN75" s="101">
        <f>IFERROR(s_RadSpec!$H$18*(AN18/$B75),".")</f>
        <v>4.4875325578172115E-6</v>
      </c>
      <c r="AO75" s="101">
        <f>IFERROR(s_RadSpec!$H$18*(AO18/$B75),".")</f>
        <v>4.0046924027327006E-6</v>
      </c>
      <c r="AP75" s="101">
        <f>IFERROR(s_RadSpec!$H$18*(AP18/$B75),".")</f>
        <v>3.9999520365537502E-6</v>
      </c>
      <c r="AQ75" s="101">
        <f>IFERROR(s_RadSpec!$H$18*(AQ18/$B75),".")</f>
        <v>4.3791813308697751E-6</v>
      </c>
      <c r="AR75" s="101">
        <f>IFERROR(s_RadSpec!$H$18*(AR18/$B75),".")</f>
        <v>3.9999520365537502E-6</v>
      </c>
      <c r="AS75" s="101">
        <f>IFERROR(s_RadSpec!$H$18*(AS18/$B75),".")</f>
        <v>3.9999520365537502E-6</v>
      </c>
      <c r="AT75" s="101">
        <f>IFERROR(s_RadSpec!$H$18*(AT18/$B75),".")</f>
        <v>4.0046924027327006E-6</v>
      </c>
      <c r="AU75" s="101">
        <f>IFERROR(s_RadSpec!$H$18*(AU18/$B75),".")</f>
        <v>3.9999520365537502E-6</v>
      </c>
      <c r="AV75" s="101">
        <f>IFERROR(s_RadSpec!$H$18*(AV18/$B75),".")</f>
        <v>4.1692508286591178E-6</v>
      </c>
      <c r="AW75" s="101">
        <f>IFERROR(s_RadSpec!$H$18*(AW18/$B75),".")</f>
        <v>3.9999520365537502E-6</v>
      </c>
      <c r="AX75" s="101">
        <f>IFERROR(s_RadSpec!$H$18*(AX18/$B75),".")</f>
        <v>4.0046924027327006E-6</v>
      </c>
      <c r="AY75" s="101">
        <f>IFERROR(s_RadSpec!$H$18*(AY18/$B75),".")</f>
        <v>3.9999520365537502E-6</v>
      </c>
      <c r="AZ75" s="101">
        <f>IFERROR(s_RadSpec!$H$18*(AZ18/$B75),".")</f>
        <v>3.9999520365537502E-6</v>
      </c>
      <c r="BA75" s="101">
        <f>IFERROR(s_RadSpec!$H$18*(BA18/$B75),".")</f>
        <v>4.8667618521332364E-6</v>
      </c>
      <c r="BB75" s="101">
        <f>IFERROR(s_RadSpec!$H$18*(BB18/$B75),".")</f>
        <v>4.0026608172274363E-6</v>
      </c>
      <c r="BC75" s="100">
        <f t="shared" ref="BC75" si="304">IFERROR($B75/BC18,0)</f>
        <v>0.33738653484936343</v>
      </c>
      <c r="BD75" s="100">
        <f t="shared" ref="BD75:CB75" si="305">IFERROR($B75/BD18,0)</f>
        <v>7.9999040731075E-2</v>
      </c>
      <c r="BE75" s="100">
        <f t="shared" si="305"/>
        <v>8.9750651156344216E-2</v>
      </c>
      <c r="BF75" s="100">
        <f t="shared" si="305"/>
        <v>8.7583626617395494E-2</v>
      </c>
      <c r="BG75" s="100">
        <f t="shared" si="305"/>
        <v>7.9999040731075E-2</v>
      </c>
      <c r="BH75" s="100">
        <f t="shared" si="305"/>
        <v>7.9999040731075E-2</v>
      </c>
      <c r="BI75" s="100">
        <f t="shared" si="305"/>
        <v>8.9750651156344216E-2</v>
      </c>
      <c r="BJ75" s="100">
        <f t="shared" si="305"/>
        <v>8.7583626617395494E-2</v>
      </c>
      <c r="BK75" s="100">
        <f t="shared" si="305"/>
        <v>7.9999040731075E-2</v>
      </c>
      <c r="BL75" s="100">
        <f t="shared" si="305"/>
        <v>8.0053216344548719E-2</v>
      </c>
      <c r="BM75" s="100">
        <f t="shared" si="305"/>
        <v>7.9999040731075E-2</v>
      </c>
      <c r="BN75" s="100">
        <f t="shared" si="305"/>
        <v>8.9750651156344216E-2</v>
      </c>
      <c r="BO75" s="100">
        <f t="shared" si="305"/>
        <v>8.0093848054654013E-2</v>
      </c>
      <c r="BP75" s="100">
        <f t="shared" si="305"/>
        <v>7.9999040731075E-2</v>
      </c>
      <c r="BQ75" s="100">
        <f t="shared" si="305"/>
        <v>8.7583626617395494E-2</v>
      </c>
      <c r="BR75" s="100">
        <f t="shared" si="305"/>
        <v>7.9999040731075E-2</v>
      </c>
      <c r="BS75" s="100">
        <f t="shared" si="305"/>
        <v>7.9999040731075E-2</v>
      </c>
      <c r="BT75" s="100">
        <f t="shared" si="305"/>
        <v>8.0093848054654013E-2</v>
      </c>
      <c r="BU75" s="100">
        <f t="shared" ref="BU75" si="306">IFERROR($B75/BU18,0)</f>
        <v>7.9999040731075E-2</v>
      </c>
      <c r="BV75" s="100">
        <f t="shared" si="305"/>
        <v>8.3385016573182369E-2</v>
      </c>
      <c r="BW75" s="100">
        <f t="shared" si="305"/>
        <v>7.9999040731075E-2</v>
      </c>
      <c r="BX75" s="100">
        <f t="shared" si="305"/>
        <v>8.0093848054654013E-2</v>
      </c>
      <c r="BY75" s="100">
        <f t="shared" si="305"/>
        <v>7.9999040731075E-2</v>
      </c>
      <c r="BZ75" s="100">
        <f t="shared" si="305"/>
        <v>7.9999040731075E-2</v>
      </c>
      <c r="CA75" s="100">
        <f t="shared" si="305"/>
        <v>9.733523704266471E-2</v>
      </c>
      <c r="CB75" s="100">
        <f t="shared" si="305"/>
        <v>8.0053216344548719E-2</v>
      </c>
      <c r="CC75" s="49">
        <f t="shared" si="258"/>
        <v>1.6869326742468172E-5</v>
      </c>
      <c r="CD75" s="101">
        <f>IFERROR(s_RadSpec!$H$18*(CD18/$B75),".")</f>
        <v>3.9999520365537502E-6</v>
      </c>
      <c r="CE75" s="101">
        <f>IFERROR(s_RadSpec!$H$18*(CE18/$B75),".")</f>
        <v>4.4875325578172115E-6</v>
      </c>
      <c r="CF75" s="101">
        <f>IFERROR(s_RadSpec!$H$18*(CF18/$B75),".")</f>
        <v>4.3791813308697751E-6</v>
      </c>
      <c r="CG75" s="101">
        <f>IFERROR(s_RadSpec!$H$18*(CG18/$B75),".")</f>
        <v>3.9999520365537502E-6</v>
      </c>
      <c r="CH75" s="101">
        <f>IFERROR(s_RadSpec!$H$18*(CH18/$B75),".")</f>
        <v>3.9999520365537502E-6</v>
      </c>
      <c r="CI75" s="101">
        <f>IFERROR(s_RadSpec!$H$18*(CI18/$B75),".")</f>
        <v>4.4875325578172115E-6</v>
      </c>
      <c r="CJ75" s="101">
        <f>IFERROR(s_RadSpec!$H$18*(CJ18/$B75),".")</f>
        <v>4.3791813308697751E-6</v>
      </c>
      <c r="CK75" s="101">
        <f>IFERROR(s_RadSpec!$H$18*(CK18/$B75),".")</f>
        <v>3.9999520365537502E-6</v>
      </c>
      <c r="CL75" s="101">
        <f>IFERROR(s_RadSpec!$H$18*(CL18/$B75),".")</f>
        <v>4.0026608172274363E-6</v>
      </c>
      <c r="CM75" s="101">
        <f>IFERROR(s_RadSpec!$H$18*(CM18/$B75),".")</f>
        <v>3.9999520365537502E-6</v>
      </c>
      <c r="CN75" s="101">
        <f>IFERROR(s_RadSpec!$H$18*(CN18/$B75),".")</f>
        <v>4.4875325578172115E-6</v>
      </c>
      <c r="CO75" s="101">
        <f>IFERROR(s_RadSpec!$H$18*(CO18/$B75),".")</f>
        <v>4.0046924027327006E-6</v>
      </c>
      <c r="CP75" s="101">
        <f>IFERROR(s_RadSpec!$H$18*(CP18/$B75),".")</f>
        <v>3.9999520365537502E-6</v>
      </c>
      <c r="CQ75" s="101">
        <f>IFERROR(s_RadSpec!$H$18*(CQ18/$B75),".")</f>
        <v>4.3791813308697751E-6</v>
      </c>
      <c r="CR75" s="101">
        <f>IFERROR(s_RadSpec!$H$18*(CR18/$B75),".")</f>
        <v>3.9999520365537502E-6</v>
      </c>
      <c r="CS75" s="101">
        <f>IFERROR(s_RadSpec!$H$18*(CS18/$B75),".")</f>
        <v>3.9999520365537502E-6</v>
      </c>
      <c r="CT75" s="101">
        <f>IFERROR(s_RadSpec!$H$18*(CT18/$B75),".")</f>
        <v>4.0046924027327006E-6</v>
      </c>
      <c r="CU75" s="101">
        <f>IFERROR(s_RadSpec!$H$18*(CU18/$B75),".")</f>
        <v>3.9999520365537502E-6</v>
      </c>
      <c r="CV75" s="101">
        <f>IFERROR(s_RadSpec!$H$18*(CV18/$B75),".")</f>
        <v>4.1692508286591178E-6</v>
      </c>
      <c r="CW75" s="101">
        <f>IFERROR(s_RadSpec!$H$18*(CW18/$B75),".")</f>
        <v>3.9999520365537502E-6</v>
      </c>
      <c r="CX75" s="101">
        <f>IFERROR(s_RadSpec!$H$18*(CX18/$B75),".")</f>
        <v>4.0046924027327006E-6</v>
      </c>
      <c r="CY75" s="101">
        <f>IFERROR(s_RadSpec!$H$18*(CY18/$B75),".")</f>
        <v>3.9999520365537502E-6</v>
      </c>
      <c r="CZ75" s="101">
        <f>IFERROR(s_RadSpec!$H$18*(CZ18/$B75),".")</f>
        <v>3.9999520365537502E-6</v>
      </c>
      <c r="DA75" s="101">
        <f>IFERROR(s_RadSpec!$H$18*(DA18/$B75),".")</f>
        <v>4.8667618521332364E-6</v>
      </c>
      <c r="DB75" s="101">
        <f>IFERROR(s_RadSpec!$H$18*(DB18/$B75),".")</f>
        <v>4.0026608172274363E-6</v>
      </c>
    </row>
    <row r="76" spans="1:106" x14ac:dyDescent="0.25">
      <c r="A76" s="99" t="s">
        <v>1097</v>
      </c>
      <c r="B76" s="90">
        <v>1.339E-6</v>
      </c>
      <c r="C76" s="100">
        <f t="shared" ref="C76" si="307">IFERROR($B76/C27,0)</f>
        <v>0</v>
      </c>
      <c r="D76" s="100">
        <f t="shared" ref="D76:AB76" si="308">IFERROR($B76/D27,0)</f>
        <v>0</v>
      </c>
      <c r="E76" s="100">
        <f t="shared" si="308"/>
        <v>0</v>
      </c>
      <c r="F76" s="100">
        <f t="shared" si="308"/>
        <v>0</v>
      </c>
      <c r="G76" s="100">
        <f t="shared" si="308"/>
        <v>0</v>
      </c>
      <c r="H76" s="100">
        <f t="shared" si="308"/>
        <v>0</v>
      </c>
      <c r="I76" s="100">
        <f t="shared" si="308"/>
        <v>0</v>
      </c>
      <c r="J76" s="100">
        <f t="shared" si="308"/>
        <v>0</v>
      </c>
      <c r="K76" s="100">
        <f t="shared" si="308"/>
        <v>0</v>
      </c>
      <c r="L76" s="100">
        <f t="shared" si="308"/>
        <v>0</v>
      </c>
      <c r="M76" s="100">
        <f t="shared" si="308"/>
        <v>0</v>
      </c>
      <c r="N76" s="100">
        <f t="shared" si="308"/>
        <v>0</v>
      </c>
      <c r="O76" s="100">
        <f t="shared" si="308"/>
        <v>0</v>
      </c>
      <c r="P76" s="100">
        <f t="shared" si="308"/>
        <v>0</v>
      </c>
      <c r="Q76" s="100">
        <f t="shared" si="308"/>
        <v>0</v>
      </c>
      <c r="R76" s="100">
        <f t="shared" si="308"/>
        <v>0</v>
      </c>
      <c r="S76" s="100">
        <f t="shared" si="308"/>
        <v>0</v>
      </c>
      <c r="T76" s="100">
        <f t="shared" si="308"/>
        <v>0</v>
      </c>
      <c r="U76" s="100">
        <f t="shared" ref="U76" si="309">IFERROR($B76/U27,0)</f>
        <v>0</v>
      </c>
      <c r="V76" s="100">
        <f t="shared" si="308"/>
        <v>0</v>
      </c>
      <c r="W76" s="100">
        <f t="shared" si="308"/>
        <v>0</v>
      </c>
      <c r="X76" s="100">
        <f t="shared" si="308"/>
        <v>0</v>
      </c>
      <c r="Y76" s="100">
        <f t="shared" si="308"/>
        <v>0</v>
      </c>
      <c r="Z76" s="100">
        <f t="shared" si="308"/>
        <v>0</v>
      </c>
      <c r="AA76" s="100">
        <f t="shared" si="308"/>
        <v>0</v>
      </c>
      <c r="AB76" s="100">
        <f t="shared" si="308"/>
        <v>0</v>
      </c>
      <c r="AC76" s="49">
        <f t="shared" si="5"/>
        <v>0</v>
      </c>
      <c r="AD76" s="101">
        <f>IFERROR(s_RadSpec!$H$27*(AD27/$B76),".")</f>
        <v>0</v>
      </c>
      <c r="AE76" s="101">
        <f>IFERROR(s_RadSpec!$H$27*(AE27/$B76),".")</f>
        <v>0</v>
      </c>
      <c r="AF76" s="101">
        <f>IFERROR(s_RadSpec!$H$27*(AF27/$B76),".")</f>
        <v>0</v>
      </c>
      <c r="AG76" s="101">
        <f>IFERROR(s_RadSpec!$H$27*(AG27/$B76),".")</f>
        <v>0</v>
      </c>
      <c r="AH76" s="101">
        <f>IFERROR(s_RadSpec!$H$27*(AH27/$B76),".")</f>
        <v>0</v>
      </c>
      <c r="AI76" s="101">
        <f>IFERROR(s_RadSpec!$H$27*(AI27/$B76),".")</f>
        <v>0</v>
      </c>
      <c r="AJ76" s="101">
        <f>IFERROR(s_RadSpec!$H$27*(AJ27/$B76),".")</f>
        <v>0</v>
      </c>
      <c r="AK76" s="101">
        <f>IFERROR(s_RadSpec!$H$27*(AK27/$B76),".")</f>
        <v>0</v>
      </c>
      <c r="AL76" s="101">
        <f>IFERROR(s_RadSpec!$H$27*(AL27/$B76),".")</f>
        <v>0</v>
      </c>
      <c r="AM76" s="101">
        <f>IFERROR(s_RadSpec!$H$27*(AM27/$B76),".")</f>
        <v>0</v>
      </c>
      <c r="AN76" s="101">
        <f>IFERROR(s_RadSpec!$H$27*(AN27/$B76),".")</f>
        <v>0</v>
      </c>
      <c r="AO76" s="101">
        <f>IFERROR(s_RadSpec!$H$27*(AO27/$B76),".")</f>
        <v>0</v>
      </c>
      <c r="AP76" s="101">
        <f>IFERROR(s_RadSpec!$H$27*(AP27/$B76),".")</f>
        <v>0</v>
      </c>
      <c r="AQ76" s="101">
        <f>IFERROR(s_RadSpec!$H$27*(AQ27/$B76),".")</f>
        <v>0</v>
      </c>
      <c r="AR76" s="101">
        <f>IFERROR(s_RadSpec!$H$27*(AR27/$B76),".")</f>
        <v>0</v>
      </c>
      <c r="AS76" s="101">
        <f>IFERROR(s_RadSpec!$H$27*(AS27/$B76),".")</f>
        <v>0</v>
      </c>
      <c r="AT76" s="101">
        <f>IFERROR(s_RadSpec!$H$27*(AT27/$B76),".")</f>
        <v>0</v>
      </c>
      <c r="AU76" s="101">
        <f>IFERROR(s_RadSpec!$H$27*(AU27/$B76),".")</f>
        <v>0</v>
      </c>
      <c r="AV76" s="101">
        <f>IFERROR(s_RadSpec!$H$27*(AV27/$B76),".")</f>
        <v>0</v>
      </c>
      <c r="AW76" s="101">
        <f>IFERROR(s_RadSpec!$H$27*(AW27/$B76),".")</f>
        <v>0</v>
      </c>
      <c r="AX76" s="101">
        <f>IFERROR(s_RadSpec!$H$27*(AX27/$B76),".")</f>
        <v>0</v>
      </c>
      <c r="AY76" s="101">
        <f>IFERROR(s_RadSpec!$H$27*(AY27/$B76),".")</f>
        <v>0</v>
      </c>
      <c r="AZ76" s="101">
        <f>IFERROR(s_RadSpec!$H$27*(AZ27/$B76),".")</f>
        <v>0</v>
      </c>
      <c r="BA76" s="101">
        <f>IFERROR(s_RadSpec!$H$27*(BA27/$B76),".")</f>
        <v>0</v>
      </c>
      <c r="BB76" s="101">
        <f>IFERROR(s_RadSpec!$H$27*(BB27/$B76),".")</f>
        <v>0</v>
      </c>
      <c r="BC76" s="100">
        <f t="shared" ref="BC76" si="310">IFERROR($B76/BC27,0)</f>
        <v>0</v>
      </c>
      <c r="BD76" s="100">
        <f t="shared" ref="BD76:CB76" si="311">IFERROR($B76/BD27,0)</f>
        <v>0</v>
      </c>
      <c r="BE76" s="100">
        <f t="shared" si="311"/>
        <v>0</v>
      </c>
      <c r="BF76" s="100">
        <f t="shared" si="311"/>
        <v>0</v>
      </c>
      <c r="BG76" s="100">
        <f t="shared" si="311"/>
        <v>0</v>
      </c>
      <c r="BH76" s="100">
        <f t="shared" si="311"/>
        <v>0</v>
      </c>
      <c r="BI76" s="100">
        <f t="shared" si="311"/>
        <v>0</v>
      </c>
      <c r="BJ76" s="100">
        <f t="shared" si="311"/>
        <v>0</v>
      </c>
      <c r="BK76" s="100">
        <f t="shared" si="311"/>
        <v>0</v>
      </c>
      <c r="BL76" s="100">
        <f t="shared" si="311"/>
        <v>0</v>
      </c>
      <c r="BM76" s="100">
        <f t="shared" si="311"/>
        <v>0</v>
      </c>
      <c r="BN76" s="100">
        <f t="shared" si="311"/>
        <v>0</v>
      </c>
      <c r="BO76" s="100">
        <f t="shared" si="311"/>
        <v>0</v>
      </c>
      <c r="BP76" s="100">
        <f t="shared" si="311"/>
        <v>0</v>
      </c>
      <c r="BQ76" s="100">
        <f t="shared" si="311"/>
        <v>0</v>
      </c>
      <c r="BR76" s="100">
        <f t="shared" si="311"/>
        <v>0</v>
      </c>
      <c r="BS76" s="100">
        <f t="shared" si="311"/>
        <v>0</v>
      </c>
      <c r="BT76" s="100">
        <f t="shared" si="311"/>
        <v>0</v>
      </c>
      <c r="BU76" s="100">
        <f t="shared" ref="BU76" si="312">IFERROR($B76/BU27,0)</f>
        <v>0</v>
      </c>
      <c r="BV76" s="100">
        <f t="shared" si="311"/>
        <v>0</v>
      </c>
      <c r="BW76" s="100">
        <f t="shared" si="311"/>
        <v>0</v>
      </c>
      <c r="BX76" s="100">
        <f t="shared" si="311"/>
        <v>0</v>
      </c>
      <c r="BY76" s="100">
        <f t="shared" si="311"/>
        <v>0</v>
      </c>
      <c r="BZ76" s="100">
        <f t="shared" si="311"/>
        <v>0</v>
      </c>
      <c r="CA76" s="100">
        <f t="shared" si="311"/>
        <v>0</v>
      </c>
      <c r="CB76" s="100">
        <f t="shared" si="311"/>
        <v>0</v>
      </c>
      <c r="CC76" s="49">
        <f t="shared" si="258"/>
        <v>0</v>
      </c>
      <c r="CD76" s="101">
        <f>IFERROR(s_RadSpec!$H$27*(CD27/$B76),".")</f>
        <v>0</v>
      </c>
      <c r="CE76" s="101">
        <f>IFERROR(s_RadSpec!$H$27*(CE27/$B76),".")</f>
        <v>0</v>
      </c>
      <c r="CF76" s="101">
        <f>IFERROR(s_RadSpec!$H$27*(CF27/$B76),".")</f>
        <v>0</v>
      </c>
      <c r="CG76" s="101">
        <f>IFERROR(s_RadSpec!$H$27*(CG27/$B76),".")</f>
        <v>0</v>
      </c>
      <c r="CH76" s="101">
        <f>IFERROR(s_RadSpec!$H$27*(CH27/$B76),".")</f>
        <v>0</v>
      </c>
      <c r="CI76" s="101">
        <f>IFERROR(s_RadSpec!$H$27*(CI27/$B76),".")</f>
        <v>0</v>
      </c>
      <c r="CJ76" s="101">
        <f>IFERROR(s_RadSpec!$H$27*(CJ27/$B76),".")</f>
        <v>0</v>
      </c>
      <c r="CK76" s="101">
        <f>IFERROR(s_RadSpec!$H$27*(CK27/$B76),".")</f>
        <v>0</v>
      </c>
      <c r="CL76" s="101">
        <f>IFERROR(s_RadSpec!$H$27*(CL27/$B76),".")</f>
        <v>0</v>
      </c>
      <c r="CM76" s="101">
        <f>IFERROR(s_RadSpec!$H$27*(CM27/$B76),".")</f>
        <v>0</v>
      </c>
      <c r="CN76" s="101">
        <f>IFERROR(s_RadSpec!$H$27*(CN27/$B76),".")</f>
        <v>0</v>
      </c>
      <c r="CO76" s="101">
        <f>IFERROR(s_RadSpec!$H$27*(CO27/$B76),".")</f>
        <v>0</v>
      </c>
      <c r="CP76" s="101">
        <f>IFERROR(s_RadSpec!$H$27*(CP27/$B76),".")</f>
        <v>0</v>
      </c>
      <c r="CQ76" s="101">
        <f>IFERROR(s_RadSpec!$H$27*(CQ27/$B76),".")</f>
        <v>0</v>
      </c>
      <c r="CR76" s="101">
        <f>IFERROR(s_RadSpec!$H$27*(CR27/$B76),".")</f>
        <v>0</v>
      </c>
      <c r="CS76" s="101">
        <f>IFERROR(s_RadSpec!$H$27*(CS27/$B76),".")</f>
        <v>0</v>
      </c>
      <c r="CT76" s="101">
        <f>IFERROR(s_RadSpec!$H$27*(CT27/$B76),".")</f>
        <v>0</v>
      </c>
      <c r="CU76" s="101">
        <f>IFERROR(s_RadSpec!$H$27*(CU27/$B76),".")</f>
        <v>0</v>
      </c>
      <c r="CV76" s="101">
        <f>IFERROR(s_RadSpec!$H$27*(CV27/$B76),".")</f>
        <v>0</v>
      </c>
      <c r="CW76" s="101">
        <f>IFERROR(s_RadSpec!$H$27*(CW27/$B76),".")</f>
        <v>0</v>
      </c>
      <c r="CX76" s="101">
        <f>IFERROR(s_RadSpec!$H$27*(CX27/$B76),".")</f>
        <v>0</v>
      </c>
      <c r="CY76" s="101">
        <f>IFERROR(s_RadSpec!$H$27*(CY27/$B76),".")</f>
        <v>0</v>
      </c>
      <c r="CZ76" s="101">
        <f>IFERROR(s_RadSpec!$H$27*(CZ27/$B76),".")</f>
        <v>0</v>
      </c>
      <c r="DA76" s="101">
        <f>IFERROR(s_RadSpec!$H$27*(DA27/$B76),".")</f>
        <v>0</v>
      </c>
      <c r="DB76" s="101">
        <f>IFERROR(s_RadSpec!$H$27*(DB27/$B76),".")</f>
        <v>0</v>
      </c>
    </row>
  </sheetData>
  <sheetProtection algorithmName="SHA-512" hashValue="NTzB/qwtcJhxi0qn/ZS8RDxq14ru9gJmXpaKgDQmRQPDKt4TSsQE81lExcA8zJk3wqZysL0nefovmIIymuoNxQ==" saltValue="63nNYTVgnp/7Bkm2rx0Mtw==" spinCount="100000" sheet="1" formatColumns="0" formatRows="0" autoFilter="0"/>
  <autoFilter ref="A1:DB76" xr:uid="{39D6BB68-1553-488F-8118-EF63F6CFFA26}"/>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E30"/>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140625" style="4" bestFit="1" customWidth="1"/>
    <col min="3" max="3" width="10.28515625" style="4" customWidth="1"/>
    <col min="4" max="4" width="12" style="4" bestFit="1" customWidth="1"/>
    <col min="5" max="5" width="8.5703125" style="4" bestFit="1" customWidth="1"/>
    <col min="6" max="6" width="8.5703125" style="5" bestFit="1" customWidth="1"/>
    <col min="7" max="7" width="8.28515625" style="5" bestFit="1" customWidth="1"/>
    <col min="8" max="9" width="8.5703125" style="5" bestFit="1" customWidth="1"/>
    <col min="10" max="10" width="9.7109375" style="5" bestFit="1" customWidth="1"/>
    <col min="11" max="11" width="10.85546875" style="5" bestFit="1" customWidth="1"/>
    <col min="12" max="12" width="9.7109375" style="5" customWidth="1"/>
    <col min="13" max="13" width="10.7109375" style="5" customWidth="1"/>
    <col min="14" max="15" width="10.5703125" style="5" bestFit="1" customWidth="1"/>
    <col min="16" max="16" width="11.5703125" style="5" bestFit="1" customWidth="1"/>
    <col min="17" max="17" width="9.7109375" style="5" customWidth="1"/>
    <col min="18" max="18" width="9.5703125" style="2" bestFit="1" customWidth="1"/>
    <col min="19" max="20" width="10.5703125" style="2" bestFit="1" customWidth="1"/>
    <col min="21" max="21" width="11.5703125" style="2" bestFit="1" customWidth="1"/>
    <col min="22" max="22" width="9.85546875" style="2" customWidth="1"/>
    <col min="23" max="23" width="9.7109375" style="2" customWidth="1"/>
    <col min="24" max="25" width="10.7109375" style="2" customWidth="1"/>
    <col min="26" max="26" width="11.7109375" style="2" bestFit="1" customWidth="1"/>
    <col min="27" max="27" width="10.42578125" style="2" customWidth="1"/>
    <col min="28" max="28" width="10.28515625" style="2" customWidth="1"/>
    <col min="29" max="30" width="11.28515625" style="2" customWidth="1"/>
    <col min="31" max="32" width="12.28515625" style="2" bestFit="1" customWidth="1"/>
    <col min="33" max="33" width="10.5703125" style="2" customWidth="1"/>
    <col min="34" max="34" width="10.85546875" style="2" bestFit="1" customWidth="1"/>
    <col min="35" max="35" width="10.5703125" style="2" bestFit="1" customWidth="1"/>
    <col min="36" max="36" width="10.28515625" style="2" bestFit="1" customWidth="1"/>
    <col min="37" max="37" width="12.85546875" style="2" bestFit="1" customWidth="1"/>
    <col min="38" max="38" width="14.5703125" style="2" bestFit="1" customWidth="1"/>
    <col min="39" max="39" width="10.28515625" style="2" bestFit="1" customWidth="1"/>
    <col min="40" max="40" width="12.42578125" style="2" bestFit="1" customWidth="1"/>
    <col min="41" max="41" width="14.5703125" style="2" bestFit="1" customWidth="1"/>
    <col min="42" max="42" width="16.28515625" style="2" bestFit="1" customWidth="1"/>
    <col min="43" max="43" width="11.5703125" style="2" bestFit="1" customWidth="1"/>
    <col min="44" max="44" width="16.140625" style="2" bestFit="1" customWidth="1"/>
    <col min="45" max="45" width="9.7109375" style="2" bestFit="1" customWidth="1"/>
    <col min="46" max="46" width="9.28515625" style="2" bestFit="1" customWidth="1"/>
    <col min="47" max="47" width="8.5703125" style="2" bestFit="1" customWidth="1"/>
    <col min="48" max="48" width="11.85546875" style="2" bestFit="1" customWidth="1"/>
    <col min="49" max="49" width="11" style="2" bestFit="1" customWidth="1"/>
    <col min="50" max="50" width="12" style="2" bestFit="1" customWidth="1"/>
    <col min="51" max="51" width="8.42578125" style="3" bestFit="1" customWidth="1"/>
    <col min="52" max="52" width="11.42578125" style="3" bestFit="1" customWidth="1"/>
    <col min="53" max="53" width="11.28515625" style="2" bestFit="1" customWidth="1"/>
    <col min="54" max="54" width="10.85546875" style="3" bestFit="1" customWidth="1"/>
    <col min="55" max="55" width="12.42578125" style="3" bestFit="1" customWidth="1"/>
    <col min="56" max="57" width="8.5703125" style="3" bestFit="1" customWidth="1"/>
    <col min="58" max="16384" width="9.140625" style="3"/>
  </cols>
  <sheetData>
    <row r="1" spans="1:57" s="9" customFormat="1" x14ac:dyDescent="0.25">
      <c r="A1" s="78" t="s">
        <v>51</v>
      </c>
      <c r="B1" s="79" t="s">
        <v>348</v>
      </c>
      <c r="C1" s="79" t="s">
        <v>360</v>
      </c>
      <c r="D1" s="78" t="s">
        <v>1491</v>
      </c>
      <c r="E1" s="162" t="s">
        <v>0</v>
      </c>
      <c r="F1" s="162" t="s">
        <v>1</v>
      </c>
      <c r="G1" s="162" t="s">
        <v>2</v>
      </c>
      <c r="H1" s="162" t="s">
        <v>3</v>
      </c>
      <c r="I1" s="162" t="s">
        <v>4</v>
      </c>
      <c r="J1" s="162" t="s">
        <v>5</v>
      </c>
      <c r="K1" s="162" t="s">
        <v>6</v>
      </c>
      <c r="L1" s="162" t="s">
        <v>7</v>
      </c>
      <c r="M1" s="162" t="s">
        <v>8</v>
      </c>
      <c r="N1" s="162" t="s">
        <v>9</v>
      </c>
      <c r="O1" s="162" t="s">
        <v>10</v>
      </c>
      <c r="P1" s="162" t="s">
        <v>11</v>
      </c>
      <c r="Q1" s="162" t="s">
        <v>41</v>
      </c>
      <c r="R1" s="162" t="s">
        <v>42</v>
      </c>
      <c r="S1" s="162" t="s">
        <v>43</v>
      </c>
      <c r="T1" s="162" t="s">
        <v>44</v>
      </c>
      <c r="U1" s="162" t="s">
        <v>45</v>
      </c>
      <c r="V1" s="162" t="s">
        <v>46</v>
      </c>
      <c r="W1" s="162" t="s">
        <v>47</v>
      </c>
      <c r="X1" s="162" t="s">
        <v>48</v>
      </c>
      <c r="Y1" s="162" t="s">
        <v>49</v>
      </c>
      <c r="Z1" s="162" t="s">
        <v>50</v>
      </c>
      <c r="AA1" s="162" t="s">
        <v>361</v>
      </c>
      <c r="AB1" s="162" t="s">
        <v>362</v>
      </c>
      <c r="AC1" s="162" t="s">
        <v>363</v>
      </c>
      <c r="AD1" s="162" t="s">
        <v>364</v>
      </c>
      <c r="AE1" s="162" t="s">
        <v>365</v>
      </c>
      <c r="AF1" s="165" t="s">
        <v>335</v>
      </c>
      <c r="AG1" s="165" t="s">
        <v>336</v>
      </c>
      <c r="AH1" s="8" t="s">
        <v>337</v>
      </c>
      <c r="AI1" s="8" t="s">
        <v>338</v>
      </c>
      <c r="AJ1" s="8" t="s">
        <v>339</v>
      </c>
      <c r="AK1" s="8" t="s">
        <v>1502</v>
      </c>
      <c r="AL1" s="8" t="s">
        <v>340</v>
      </c>
      <c r="AM1" s="8" t="s">
        <v>341</v>
      </c>
      <c r="AN1" s="8" t="s">
        <v>342</v>
      </c>
      <c r="AO1" s="8" t="s">
        <v>1542</v>
      </c>
      <c r="AP1" s="8" t="s">
        <v>1070</v>
      </c>
      <c r="AQ1" s="8" t="s">
        <v>1068</v>
      </c>
      <c r="AR1" s="8" t="s">
        <v>1069</v>
      </c>
      <c r="AS1" s="8" t="s">
        <v>343</v>
      </c>
      <c r="AT1" s="8" t="s">
        <v>344</v>
      </c>
      <c r="AU1" s="166" t="s">
        <v>208</v>
      </c>
      <c r="AV1" s="166" t="s">
        <v>345</v>
      </c>
      <c r="AW1" s="166" t="s">
        <v>346</v>
      </c>
      <c r="AX1" s="167" t="s">
        <v>352</v>
      </c>
      <c r="AY1" s="167" t="s">
        <v>353</v>
      </c>
      <c r="AZ1" s="168" t="s">
        <v>358</v>
      </c>
      <c r="BA1" s="168" t="s">
        <v>357</v>
      </c>
      <c r="BB1" s="168" t="s">
        <v>356</v>
      </c>
      <c r="BC1" s="169" t="s">
        <v>359</v>
      </c>
      <c r="BD1" s="167" t="s">
        <v>371</v>
      </c>
      <c r="BE1" s="167" t="s">
        <v>374</v>
      </c>
    </row>
    <row r="2" spans="1:57" x14ac:dyDescent="0.25">
      <c r="A2" s="42" t="s">
        <v>12</v>
      </c>
      <c r="B2" s="42" t="s">
        <v>1071</v>
      </c>
      <c r="C2" s="42"/>
      <c r="D2" s="42"/>
      <c r="E2" s="15">
        <v>4.8839999999999999E-10</v>
      </c>
      <c r="F2" s="15">
        <v>2.7158000000000001E-10</v>
      </c>
      <c r="G2" s="15">
        <v>4.1217381359999998E-8</v>
      </c>
      <c r="H2" s="15">
        <v>2.8564E-8</v>
      </c>
      <c r="I2" s="15">
        <v>1.8907E-10</v>
      </c>
      <c r="J2" s="15">
        <v>9.0279999999999997E-11</v>
      </c>
      <c r="K2" s="15">
        <v>5.1492535920000001E-11</v>
      </c>
      <c r="L2" s="15">
        <v>1.202660136E-8</v>
      </c>
      <c r="M2" s="15">
        <v>1.1407756824E-13</v>
      </c>
      <c r="N2" s="15">
        <v>1.1545537305600001E-8</v>
      </c>
      <c r="O2" s="15">
        <v>2.9891358720000003E-8</v>
      </c>
      <c r="P2" s="15">
        <v>4.0166513280000001E-8</v>
      </c>
      <c r="Q2" s="15">
        <v>1</v>
      </c>
      <c r="R2" s="15">
        <v>1</v>
      </c>
      <c r="S2" s="15">
        <v>1</v>
      </c>
      <c r="T2" s="15">
        <v>1</v>
      </c>
      <c r="U2" s="15">
        <v>1</v>
      </c>
      <c r="V2" s="15">
        <v>1</v>
      </c>
      <c r="W2" s="15">
        <v>1</v>
      </c>
      <c r="X2" s="15">
        <v>1</v>
      </c>
      <c r="Y2" s="15">
        <v>1</v>
      </c>
      <c r="Z2" s="15">
        <v>1</v>
      </c>
      <c r="AA2" s="105">
        <f t="shared" ref="AA2:AE3" si="0">0.4*V2</f>
        <v>0.4</v>
      </c>
      <c r="AB2" s="105">
        <f t="shared" si="0"/>
        <v>0.4</v>
      </c>
      <c r="AC2" s="105">
        <f t="shared" si="0"/>
        <v>0.4</v>
      </c>
      <c r="AD2" s="105">
        <f t="shared" si="0"/>
        <v>0.4</v>
      </c>
      <c r="AE2" s="105">
        <f t="shared" si="0"/>
        <v>0.4</v>
      </c>
      <c r="AF2" s="15">
        <v>2.7397260273972601E-2</v>
      </c>
      <c r="AG2" s="15">
        <v>225</v>
      </c>
      <c r="AH2" s="2">
        <v>1.9999999999999999E-6</v>
      </c>
      <c r="AI2" s="2">
        <v>2.0000000000000002E-5</v>
      </c>
      <c r="AJ2" s="2">
        <v>15</v>
      </c>
      <c r="AK2" s="2" t="s">
        <v>1503</v>
      </c>
      <c r="AL2" s="2" t="s">
        <v>1503</v>
      </c>
      <c r="AM2" s="2" t="s">
        <v>1503</v>
      </c>
      <c r="AN2" s="2" t="s">
        <v>1503</v>
      </c>
      <c r="AO2" s="2" t="s">
        <v>1503</v>
      </c>
      <c r="AP2" s="2" t="s">
        <v>1503</v>
      </c>
      <c r="AQ2" s="2" t="s">
        <v>1503</v>
      </c>
      <c r="AR2" s="2" t="s">
        <v>1503</v>
      </c>
      <c r="AS2" s="2">
        <v>1E-3</v>
      </c>
      <c r="AT2" s="2">
        <v>0.1</v>
      </c>
      <c r="AU2" s="15">
        <v>1700</v>
      </c>
      <c r="AV2" s="15">
        <v>5.0000000000000001E-4</v>
      </c>
      <c r="AW2" s="15">
        <v>25.294499999999999</v>
      </c>
      <c r="AX2" s="42">
        <v>15</v>
      </c>
      <c r="AY2" s="42">
        <v>225</v>
      </c>
      <c r="AZ2" s="105">
        <f>BB2+lambda_HL</f>
        <v>2.6999999999999999E-5</v>
      </c>
      <c r="BA2" s="105">
        <f>BB2+(0.693/t_w)</f>
        <v>4.9499999999999995E-2</v>
      </c>
      <c r="BB2" s="105">
        <v>0</v>
      </c>
      <c r="BC2" s="15">
        <v>10</v>
      </c>
      <c r="BD2" s="105">
        <f t="shared" ref="BD2" si="1">AT2</f>
        <v>0.1</v>
      </c>
      <c r="BE2" s="105">
        <f t="shared" ref="BE2" si="2">AS2</f>
        <v>1E-3</v>
      </c>
    </row>
    <row r="3" spans="1:57" x14ac:dyDescent="0.25">
      <c r="A3" s="42" t="s">
        <v>13</v>
      </c>
      <c r="B3" s="42" t="s">
        <v>349</v>
      </c>
      <c r="C3" s="42"/>
      <c r="D3" s="42"/>
      <c r="E3" s="15">
        <v>1.8425999999999999E-10</v>
      </c>
      <c r="F3" s="15">
        <v>1.3357000000000001E-10</v>
      </c>
      <c r="G3" s="15">
        <v>2.767285944E-8</v>
      </c>
      <c r="H3" s="15">
        <v>3.7739999999999999E-8</v>
      </c>
      <c r="I3" s="15">
        <v>1.036E-10</v>
      </c>
      <c r="J3" s="15">
        <v>9.1019999999999999E-11</v>
      </c>
      <c r="K3" s="15">
        <v>5.8031270640000001E-11</v>
      </c>
      <c r="L3" s="15">
        <v>1.86820992E-8</v>
      </c>
      <c r="M3" s="15">
        <v>1.319423256E-13</v>
      </c>
      <c r="N3" s="15">
        <v>1.3754695536000001E-8</v>
      </c>
      <c r="O3" s="15">
        <v>2.5781296896000001E-8</v>
      </c>
      <c r="P3" s="15">
        <v>2.767285944E-8</v>
      </c>
      <c r="Q3" s="15">
        <v>1</v>
      </c>
      <c r="R3" s="15">
        <v>1</v>
      </c>
      <c r="S3" s="15">
        <v>1</v>
      </c>
      <c r="T3" s="15">
        <v>1</v>
      </c>
      <c r="U3" s="15">
        <v>1</v>
      </c>
      <c r="V3" s="15">
        <v>1</v>
      </c>
      <c r="W3" s="15">
        <v>1</v>
      </c>
      <c r="X3" s="15">
        <v>1</v>
      </c>
      <c r="Y3" s="15">
        <v>1</v>
      </c>
      <c r="Z3" s="15">
        <v>1</v>
      </c>
      <c r="AA3" s="105">
        <f t="shared" si="0"/>
        <v>0.4</v>
      </c>
      <c r="AB3" s="105">
        <f t="shared" si="0"/>
        <v>0.4</v>
      </c>
      <c r="AC3" s="105">
        <f t="shared" si="0"/>
        <v>0.4</v>
      </c>
      <c r="AD3" s="105">
        <f t="shared" si="0"/>
        <v>0.4</v>
      </c>
      <c r="AE3" s="105">
        <f t="shared" si="0"/>
        <v>0.4</v>
      </c>
      <c r="AF3" s="15">
        <v>432.2</v>
      </c>
      <c r="AG3" s="15">
        <v>241</v>
      </c>
      <c r="AH3" s="2">
        <v>4.2E-7</v>
      </c>
      <c r="AI3" s="2">
        <v>5.0000000000000001E-4</v>
      </c>
      <c r="AJ3" s="2">
        <v>240</v>
      </c>
      <c r="AK3" s="2">
        <v>2400</v>
      </c>
      <c r="AL3" s="2">
        <v>6.0000000000000001E-3</v>
      </c>
      <c r="AM3" s="2">
        <v>3.0000000000000001E-3</v>
      </c>
      <c r="AN3" s="2">
        <v>1.7000000000000001E-4</v>
      </c>
      <c r="AO3" s="239">
        <v>1.1E-4</v>
      </c>
      <c r="AP3" s="2" t="s">
        <v>1503</v>
      </c>
      <c r="AQ3" s="2" t="s">
        <v>1503</v>
      </c>
      <c r="AR3" s="239">
        <v>6.9E-6</v>
      </c>
      <c r="AS3" s="2">
        <v>2.1999999999999999E-5</v>
      </c>
      <c r="AT3" s="2">
        <v>2.5287356321838999E-5</v>
      </c>
      <c r="AU3" s="15">
        <v>4</v>
      </c>
      <c r="AV3" s="15">
        <v>5.0000000000000001E-4</v>
      </c>
      <c r="AW3" s="15">
        <v>1.60342434058306E-3</v>
      </c>
      <c r="AX3" s="42">
        <v>15</v>
      </c>
      <c r="AY3" s="42">
        <v>241</v>
      </c>
      <c r="AZ3" s="105">
        <f t="shared" ref="AZ3" si="3">BB3+lambda_HL</f>
        <v>2.6999999999999999E-5</v>
      </c>
      <c r="BA3" s="105">
        <f>BB3+(0.693/t_w)</f>
        <v>4.9499999999999995E-2</v>
      </c>
      <c r="BB3" s="105">
        <v>0</v>
      </c>
      <c r="BC3" s="15">
        <v>157753</v>
      </c>
      <c r="BD3" s="105">
        <f>AT3</f>
        <v>2.5287356321838999E-5</v>
      </c>
      <c r="BE3" s="105">
        <f>AS3</f>
        <v>2.1999999999999999E-5</v>
      </c>
    </row>
    <row r="4" spans="1:57" x14ac:dyDescent="0.25">
      <c r="A4" s="42" t="s">
        <v>14</v>
      </c>
      <c r="B4" s="42" t="s">
        <v>1071</v>
      </c>
      <c r="C4" s="42"/>
      <c r="D4" s="42"/>
      <c r="E4" s="15">
        <v>0</v>
      </c>
      <c r="F4" s="15">
        <v>0</v>
      </c>
      <c r="G4" s="15">
        <v>9.364402224000001E-10</v>
      </c>
      <c r="H4" s="15">
        <v>0</v>
      </c>
      <c r="I4" s="15">
        <v>0</v>
      </c>
      <c r="J4" s="15">
        <v>0</v>
      </c>
      <c r="K4" s="15">
        <v>9.7613968320000008E-13</v>
      </c>
      <c r="L4" s="15">
        <v>2.125088784E-10</v>
      </c>
      <c r="M4" s="15">
        <v>2.1367650959999998E-15</v>
      </c>
      <c r="N4" s="15">
        <v>2.1671235072E-10</v>
      </c>
      <c r="O4" s="15">
        <v>5.9782717440000002E-10</v>
      </c>
      <c r="P4" s="15">
        <v>8.7805866240000002E-10</v>
      </c>
      <c r="Q4" s="15">
        <v>1</v>
      </c>
      <c r="R4" s="15">
        <v>1</v>
      </c>
      <c r="S4" s="15">
        <v>1</v>
      </c>
      <c r="T4" s="15">
        <v>1</v>
      </c>
      <c r="U4" s="15">
        <v>1</v>
      </c>
      <c r="V4" s="15">
        <v>1</v>
      </c>
      <c r="W4" s="15">
        <v>1</v>
      </c>
      <c r="X4" s="15">
        <v>1</v>
      </c>
      <c r="Y4" s="15">
        <v>1</v>
      </c>
      <c r="Z4" s="15">
        <v>1</v>
      </c>
      <c r="AA4" s="105">
        <f t="shared" ref="AA4:AE5" si="4">0.4*V4</f>
        <v>0.4</v>
      </c>
      <c r="AB4" s="105">
        <f t="shared" si="4"/>
        <v>0.4</v>
      </c>
      <c r="AC4" s="105">
        <f t="shared" si="4"/>
        <v>0.4</v>
      </c>
      <c r="AD4" s="105">
        <f t="shared" si="4"/>
        <v>0.4</v>
      </c>
      <c r="AE4" s="105">
        <f t="shared" si="4"/>
        <v>0.4</v>
      </c>
      <c r="AF4" s="15">
        <v>1.0242262810756E-9</v>
      </c>
      <c r="AG4" s="15">
        <v>217</v>
      </c>
      <c r="AH4" s="2">
        <v>0.01</v>
      </c>
      <c r="AI4" s="2">
        <v>0.01</v>
      </c>
      <c r="AJ4" s="2" t="s">
        <v>1503</v>
      </c>
      <c r="AK4" s="2" t="s">
        <v>1503</v>
      </c>
      <c r="AL4" s="2" t="s">
        <v>1503</v>
      </c>
      <c r="AM4" s="2" t="s">
        <v>1503</v>
      </c>
      <c r="AN4" s="2" t="s">
        <v>1503</v>
      </c>
      <c r="AO4" s="2" t="s">
        <v>1503</v>
      </c>
      <c r="AP4" s="2" t="s">
        <v>1503</v>
      </c>
      <c r="AQ4" s="2" t="s">
        <v>1503</v>
      </c>
      <c r="AR4" s="2" t="s">
        <v>1503</v>
      </c>
      <c r="AS4" s="2">
        <v>0.2</v>
      </c>
      <c r="AT4" s="2">
        <v>0.9</v>
      </c>
      <c r="AU4" s="15">
        <v>10</v>
      </c>
      <c r="AV4" s="15"/>
      <c r="AW4" s="15">
        <v>676608297.21362197</v>
      </c>
      <c r="AX4" s="42">
        <v>15</v>
      </c>
      <c r="AY4" s="42">
        <v>217</v>
      </c>
      <c r="AZ4" s="105">
        <f t="shared" ref="AZ4:AZ5" si="5">BB4+lambda_HL</f>
        <v>2.6999999999999999E-5</v>
      </c>
      <c r="BA4" s="105">
        <f t="shared" ref="BA4:BA5" si="6">BB4+(0.693/t_w)</f>
        <v>4.9499999999999995E-2</v>
      </c>
      <c r="BB4" s="105">
        <v>0</v>
      </c>
      <c r="BC4" s="15">
        <v>3.7384259259259298E-7</v>
      </c>
      <c r="BD4" s="105">
        <f t="shared" ref="BD4:BD5" si="7">AT4</f>
        <v>0.9</v>
      </c>
      <c r="BE4" s="105">
        <f t="shared" ref="BE4:BE5" si="8">AS4</f>
        <v>0.2</v>
      </c>
    </row>
    <row r="5" spans="1:57" x14ac:dyDescent="0.25">
      <c r="A5" s="42" t="s">
        <v>15</v>
      </c>
      <c r="B5" s="42" t="s">
        <v>1071</v>
      </c>
      <c r="C5" s="42">
        <v>1</v>
      </c>
      <c r="D5" s="14">
        <v>1.97331E-4</v>
      </c>
      <c r="E5" s="15">
        <v>0</v>
      </c>
      <c r="F5" s="15">
        <v>0</v>
      </c>
      <c r="G5" s="15">
        <v>2.7439333200000001E-11</v>
      </c>
      <c r="H5" s="15">
        <v>0</v>
      </c>
      <c r="I5" s="15">
        <v>0</v>
      </c>
      <c r="J5" s="15">
        <v>0</v>
      </c>
      <c r="K5" s="15">
        <v>3.0825463680000002E-14</v>
      </c>
      <c r="L5" s="15">
        <v>1.9966493520000001E-11</v>
      </c>
      <c r="M5" s="15">
        <v>5.1259009680000003E-17</v>
      </c>
      <c r="N5" s="15">
        <v>8.3882625408000002E-12</v>
      </c>
      <c r="O5" s="15">
        <v>1.8436896648E-11</v>
      </c>
      <c r="P5" s="15">
        <v>2.5571123280000002E-11</v>
      </c>
      <c r="Q5" s="15">
        <v>0.9</v>
      </c>
      <c r="R5" s="15">
        <v>0.9</v>
      </c>
      <c r="S5" s="15">
        <v>0.9</v>
      </c>
      <c r="T5" s="15">
        <v>0.9</v>
      </c>
      <c r="U5" s="15">
        <v>0.9</v>
      </c>
      <c r="V5" s="15">
        <v>1</v>
      </c>
      <c r="W5" s="15">
        <v>1</v>
      </c>
      <c r="X5" s="15">
        <v>1</v>
      </c>
      <c r="Y5" s="15">
        <v>1</v>
      </c>
      <c r="Z5" s="15">
        <v>1</v>
      </c>
      <c r="AA5" s="105">
        <f t="shared" si="4"/>
        <v>0.4</v>
      </c>
      <c r="AB5" s="105">
        <f t="shared" si="4"/>
        <v>0.4</v>
      </c>
      <c r="AC5" s="105">
        <f t="shared" si="4"/>
        <v>0.4</v>
      </c>
      <c r="AD5" s="105">
        <f t="shared" si="4"/>
        <v>0.4</v>
      </c>
      <c r="AE5" s="105">
        <f t="shared" si="4"/>
        <v>0.4</v>
      </c>
      <c r="AF5" s="15">
        <v>4.7564687975646899E-8</v>
      </c>
      <c r="AG5" s="15">
        <v>218</v>
      </c>
      <c r="AH5" s="2">
        <v>0.01</v>
      </c>
      <c r="AI5" s="2">
        <v>0.01</v>
      </c>
      <c r="AJ5" s="2" t="s">
        <v>1503</v>
      </c>
      <c r="AK5" s="2" t="s">
        <v>1503</v>
      </c>
      <c r="AL5" s="2" t="s">
        <v>1503</v>
      </c>
      <c r="AM5" s="2" t="s">
        <v>1503</v>
      </c>
      <c r="AN5" s="2" t="s">
        <v>1503</v>
      </c>
      <c r="AO5" s="2" t="s">
        <v>1503</v>
      </c>
      <c r="AP5" s="2" t="s">
        <v>1503</v>
      </c>
      <c r="AQ5" s="2" t="s">
        <v>1503</v>
      </c>
      <c r="AR5" s="2" t="s">
        <v>1503</v>
      </c>
      <c r="AS5" s="2">
        <v>0.2</v>
      </c>
      <c r="AT5" s="2">
        <v>0.9</v>
      </c>
      <c r="AU5" s="15">
        <v>10</v>
      </c>
      <c r="AV5" s="15"/>
      <c r="AW5" s="15">
        <v>14569632</v>
      </c>
      <c r="AX5" s="42">
        <v>15</v>
      </c>
      <c r="AY5" s="42">
        <v>218</v>
      </c>
      <c r="AZ5" s="105">
        <f t="shared" si="5"/>
        <v>2.6999999999999999E-5</v>
      </c>
      <c r="BA5" s="105">
        <f t="shared" si="6"/>
        <v>4.9499999999999995E-2</v>
      </c>
      <c r="BB5" s="105">
        <v>0</v>
      </c>
      <c r="BC5" s="15">
        <v>1.7361111111111101E-5</v>
      </c>
      <c r="BD5" s="105">
        <f t="shared" si="7"/>
        <v>0.9</v>
      </c>
      <c r="BE5" s="105">
        <f t="shared" si="8"/>
        <v>0.2</v>
      </c>
    </row>
    <row r="6" spans="1:57" x14ac:dyDescent="0.25">
      <c r="A6" s="42" t="s">
        <v>16</v>
      </c>
      <c r="B6" s="42" t="s">
        <v>1071</v>
      </c>
      <c r="C6" s="42"/>
      <c r="D6" s="42"/>
      <c r="E6" s="15">
        <v>0</v>
      </c>
      <c r="F6" s="15">
        <v>0</v>
      </c>
      <c r="G6" s="15">
        <v>2.6855517600000001E-6</v>
      </c>
      <c r="H6" s="15">
        <v>0</v>
      </c>
      <c r="I6" s="15">
        <v>0</v>
      </c>
      <c r="J6" s="15">
        <v>0</v>
      </c>
      <c r="K6" s="15">
        <v>2.5220833919999999E-9</v>
      </c>
      <c r="L6" s="15">
        <v>5.3594272079999995E-7</v>
      </c>
      <c r="M6" s="15">
        <v>5.4645140159999999E-12</v>
      </c>
      <c r="N6" s="15">
        <v>5.4738550656000004E-7</v>
      </c>
      <c r="O6" s="15">
        <v>1.5436084463999999E-6</v>
      </c>
      <c r="P6" s="15">
        <v>2.3936439600000001E-6</v>
      </c>
      <c r="Q6" s="15">
        <v>1</v>
      </c>
      <c r="R6" s="15">
        <v>1</v>
      </c>
      <c r="S6" s="15">
        <v>1</v>
      </c>
      <c r="T6" s="15">
        <v>1</v>
      </c>
      <c r="U6" s="15">
        <v>1</v>
      </c>
      <c r="V6" s="15">
        <v>1</v>
      </c>
      <c r="W6" s="15">
        <v>1</v>
      </c>
      <c r="X6" s="15">
        <v>1</v>
      </c>
      <c r="Y6" s="15">
        <v>1</v>
      </c>
      <c r="Z6" s="15">
        <v>1</v>
      </c>
      <c r="AA6" s="105">
        <f t="shared" ref="AA6:AE7" si="9">0.4*V6</f>
        <v>0.4</v>
      </c>
      <c r="AB6" s="105">
        <f t="shared" si="9"/>
        <v>0.4</v>
      </c>
      <c r="AC6" s="105">
        <f t="shared" si="9"/>
        <v>0.4</v>
      </c>
      <c r="AD6" s="105">
        <f t="shared" si="9"/>
        <v>0.4</v>
      </c>
      <c r="AE6" s="105">
        <f t="shared" si="9"/>
        <v>0.4</v>
      </c>
      <c r="AF6" s="15">
        <v>4.8554033485540298E-6</v>
      </c>
      <c r="AG6" s="15">
        <v>137</v>
      </c>
      <c r="AH6" s="2">
        <v>1.6000000000000001E-4</v>
      </c>
      <c r="AI6" s="2">
        <v>1.3999999999999999E-4</v>
      </c>
      <c r="AJ6" s="2">
        <v>1.2</v>
      </c>
      <c r="AK6" s="2">
        <v>140</v>
      </c>
      <c r="AL6" s="2">
        <v>1.9E-2</v>
      </c>
      <c r="AM6" s="2">
        <v>0.87</v>
      </c>
      <c r="AN6" s="2" t="s">
        <v>1503</v>
      </c>
      <c r="AO6" s="239">
        <v>5.0000000000000001E-3</v>
      </c>
      <c r="AP6" s="239">
        <v>4.1000000000000002E-2</v>
      </c>
      <c r="AQ6" s="239">
        <v>1.2999999999999999E-5</v>
      </c>
      <c r="AR6" s="239">
        <v>1.0999999999999999E-2</v>
      </c>
      <c r="AS6" s="2">
        <v>1E-3</v>
      </c>
      <c r="AT6" s="2">
        <v>1.1494252873562999E-3</v>
      </c>
      <c r="AU6" s="15">
        <v>0.4</v>
      </c>
      <c r="AV6" s="15"/>
      <c r="AW6" s="15">
        <v>142727.58620689699</v>
      </c>
      <c r="AX6" s="42"/>
      <c r="AY6" s="42">
        <v>137</v>
      </c>
      <c r="AZ6" s="105">
        <f t="shared" ref="AZ6:AZ9" si="10">BB6+lambda_HL</f>
        <v>2.6999999999999999E-5</v>
      </c>
      <c r="BA6" s="105">
        <f t="shared" ref="BA6:BA9" si="11">BB6+(0.693/t_w)</f>
        <v>4.9499999999999995E-2</v>
      </c>
      <c r="BB6" s="105">
        <v>0</v>
      </c>
      <c r="BC6" s="15">
        <v>1.77222222222222E-3</v>
      </c>
      <c r="BD6" s="105">
        <f t="shared" ref="BD6:BD9" si="12">AT6</f>
        <v>1.1494252873562999E-3</v>
      </c>
      <c r="BE6" s="105">
        <f t="shared" ref="BE6:BE9" si="13">AS6</f>
        <v>1E-3</v>
      </c>
    </row>
    <row r="7" spans="1:57" x14ac:dyDescent="0.25">
      <c r="A7" s="42" t="s">
        <v>17</v>
      </c>
      <c r="B7" s="42" t="s">
        <v>1071</v>
      </c>
      <c r="C7" s="42">
        <v>1</v>
      </c>
      <c r="D7" s="14">
        <v>0</v>
      </c>
      <c r="E7" s="15">
        <v>2.4013E-11</v>
      </c>
      <c r="F7" s="15">
        <v>1.3023999999999999E-11</v>
      </c>
      <c r="G7" s="15">
        <v>2.7672859440000002E-9</v>
      </c>
      <c r="H7" s="15">
        <v>4.5510000000000001E-10</v>
      </c>
      <c r="I7" s="15">
        <v>8.9170000000000001E-12</v>
      </c>
      <c r="J7" s="15">
        <v>3.7369999999999999E-12</v>
      </c>
      <c r="K7" s="15">
        <v>5.2893693360000002E-12</v>
      </c>
      <c r="L7" s="15">
        <v>4.8223168560000003E-9</v>
      </c>
      <c r="M7" s="15">
        <v>7.82312904E-15</v>
      </c>
      <c r="N7" s="15">
        <v>9.5465526912000009E-10</v>
      </c>
      <c r="O7" s="15">
        <v>2.0550309120000001E-9</v>
      </c>
      <c r="P7" s="15">
        <v>2.6855517600000001E-9</v>
      </c>
      <c r="Q7" s="15">
        <v>1</v>
      </c>
      <c r="R7" s="15">
        <v>1</v>
      </c>
      <c r="S7" s="15">
        <v>1</v>
      </c>
      <c r="T7" s="15">
        <v>1</v>
      </c>
      <c r="U7" s="15">
        <v>1</v>
      </c>
      <c r="V7" s="15">
        <v>1</v>
      </c>
      <c r="W7" s="15">
        <v>1</v>
      </c>
      <c r="X7" s="15">
        <v>1</v>
      </c>
      <c r="Y7" s="15">
        <v>1</v>
      </c>
      <c r="Z7" s="15">
        <v>1</v>
      </c>
      <c r="AA7" s="105">
        <f t="shared" si="9"/>
        <v>0.4</v>
      </c>
      <c r="AB7" s="105">
        <f t="shared" si="9"/>
        <v>0.4</v>
      </c>
      <c r="AC7" s="105">
        <f t="shared" si="9"/>
        <v>0.4</v>
      </c>
      <c r="AD7" s="105">
        <f t="shared" si="9"/>
        <v>0.4</v>
      </c>
      <c r="AE7" s="105">
        <f t="shared" si="9"/>
        <v>0.4</v>
      </c>
      <c r="AF7" s="15">
        <v>1.37342465753425E-2</v>
      </c>
      <c r="AG7" s="15">
        <v>210</v>
      </c>
      <c r="AH7" s="2">
        <v>1E-3</v>
      </c>
      <c r="AI7" s="2">
        <v>2E-3</v>
      </c>
      <c r="AJ7" s="2">
        <v>15</v>
      </c>
      <c r="AK7" s="2" t="s">
        <v>1503</v>
      </c>
      <c r="AL7" s="2" t="s">
        <v>1503</v>
      </c>
      <c r="AM7" s="2" t="s">
        <v>1503</v>
      </c>
      <c r="AN7" s="2" t="s">
        <v>1503</v>
      </c>
      <c r="AO7" s="2" t="s">
        <v>1503</v>
      </c>
      <c r="AP7" s="2" t="s">
        <v>1503</v>
      </c>
      <c r="AQ7" s="2" t="s">
        <v>1503</v>
      </c>
      <c r="AR7" s="2" t="s">
        <v>1503</v>
      </c>
      <c r="AS7" s="2">
        <v>0.1</v>
      </c>
      <c r="AT7" s="2">
        <v>0.5</v>
      </c>
      <c r="AU7" s="15">
        <v>480</v>
      </c>
      <c r="AV7" s="15">
        <v>0.05</v>
      </c>
      <c r="AW7" s="15">
        <v>50.457809694793497</v>
      </c>
      <c r="AX7" s="42">
        <v>15</v>
      </c>
      <c r="AY7" s="42">
        <v>210</v>
      </c>
      <c r="AZ7" s="105">
        <f t="shared" si="10"/>
        <v>2.6999999999999999E-5</v>
      </c>
      <c r="BA7" s="105">
        <f t="shared" si="11"/>
        <v>4.9499999999999995E-2</v>
      </c>
      <c r="BB7" s="105">
        <v>0</v>
      </c>
      <c r="BC7" s="15">
        <v>5.0129999999999999</v>
      </c>
      <c r="BD7" s="105">
        <f t="shared" si="12"/>
        <v>0.5</v>
      </c>
      <c r="BE7" s="105">
        <f t="shared" si="13"/>
        <v>0.1</v>
      </c>
    </row>
    <row r="8" spans="1:57" x14ac:dyDescent="0.25">
      <c r="A8" s="42" t="s">
        <v>18</v>
      </c>
      <c r="B8" s="42" t="s">
        <v>1071</v>
      </c>
      <c r="C8" s="42"/>
      <c r="D8" s="42"/>
      <c r="E8" s="15">
        <v>1.1914E-12</v>
      </c>
      <c r="F8" s="15">
        <v>7.1780000000000003E-13</v>
      </c>
      <c r="G8" s="15">
        <v>5.4294850800000002E-7</v>
      </c>
      <c r="H8" s="15">
        <v>7.4000000000000003E-11</v>
      </c>
      <c r="I8" s="15">
        <v>5.0689999999999999E-13</v>
      </c>
      <c r="J8" s="15">
        <v>3.1709000000000002E-13</v>
      </c>
      <c r="K8" s="15">
        <v>5.3243982719999998E-10</v>
      </c>
      <c r="L8" s="15">
        <v>1.2026601359999999E-7</v>
      </c>
      <c r="M8" s="15">
        <v>1.1559548879999999E-12</v>
      </c>
      <c r="N8" s="15">
        <v>1.1769722496E-7</v>
      </c>
      <c r="O8" s="15">
        <v>3.2880494591999999E-7</v>
      </c>
      <c r="P8" s="15">
        <v>4.9741089120000005E-7</v>
      </c>
      <c r="Q8" s="15">
        <v>1</v>
      </c>
      <c r="R8" s="15">
        <v>1</v>
      </c>
      <c r="S8" s="15">
        <v>1</v>
      </c>
      <c r="T8" s="15">
        <v>1</v>
      </c>
      <c r="U8" s="15">
        <v>1</v>
      </c>
      <c r="V8" s="15">
        <v>1</v>
      </c>
      <c r="W8" s="15">
        <v>1</v>
      </c>
      <c r="X8" s="15">
        <v>1</v>
      </c>
      <c r="Y8" s="15">
        <v>1</v>
      </c>
      <c r="Z8" s="15">
        <v>1</v>
      </c>
      <c r="AA8" s="105">
        <f t="shared" ref="AA8:AE9" si="14">0.4*V8</f>
        <v>0.4</v>
      </c>
      <c r="AB8" s="105">
        <f t="shared" si="14"/>
        <v>0.4</v>
      </c>
      <c r="AC8" s="105">
        <f t="shared" si="14"/>
        <v>0.4</v>
      </c>
      <c r="AD8" s="105">
        <f t="shared" si="14"/>
        <v>0.4</v>
      </c>
      <c r="AE8" s="105">
        <f t="shared" si="14"/>
        <v>0.4</v>
      </c>
      <c r="AF8" s="15">
        <v>8.6738964992389594E-5</v>
      </c>
      <c r="AG8" s="15">
        <v>213</v>
      </c>
      <c r="AH8" s="2">
        <v>1E-3</v>
      </c>
      <c r="AI8" s="2">
        <v>2E-3</v>
      </c>
      <c r="AJ8" s="2">
        <v>15</v>
      </c>
      <c r="AK8" s="2" t="s">
        <v>1503</v>
      </c>
      <c r="AL8" s="2" t="s">
        <v>1503</v>
      </c>
      <c r="AM8" s="2" t="s">
        <v>1503</v>
      </c>
      <c r="AN8" s="2" t="s">
        <v>1503</v>
      </c>
      <c r="AO8" s="2" t="s">
        <v>1503</v>
      </c>
      <c r="AP8" s="2" t="s">
        <v>1503</v>
      </c>
      <c r="AQ8" s="2" t="s">
        <v>1503</v>
      </c>
      <c r="AR8" s="2" t="s">
        <v>1503</v>
      </c>
      <c r="AS8" s="2">
        <v>0.1</v>
      </c>
      <c r="AT8" s="2">
        <v>0.5</v>
      </c>
      <c r="AU8" s="15">
        <v>480</v>
      </c>
      <c r="AV8" s="15">
        <v>0.05</v>
      </c>
      <c r="AW8" s="15">
        <v>7989.4889230094304</v>
      </c>
      <c r="AX8" s="42">
        <v>15</v>
      </c>
      <c r="AY8" s="42">
        <v>213</v>
      </c>
      <c r="AZ8" s="105">
        <f t="shared" si="10"/>
        <v>2.6999999999999999E-5</v>
      </c>
      <c r="BA8" s="105">
        <f t="shared" si="11"/>
        <v>4.9499999999999995E-2</v>
      </c>
      <c r="BB8" s="105">
        <v>0</v>
      </c>
      <c r="BC8" s="15">
        <v>3.16597222222222E-2</v>
      </c>
      <c r="BD8" s="105">
        <f t="shared" si="12"/>
        <v>0.5</v>
      </c>
      <c r="BE8" s="105">
        <f t="shared" si="13"/>
        <v>0.1</v>
      </c>
    </row>
    <row r="9" spans="1:57" x14ac:dyDescent="0.25">
      <c r="A9" s="42" t="s">
        <v>19</v>
      </c>
      <c r="B9" s="42" t="s">
        <v>1071</v>
      </c>
      <c r="C9" s="42">
        <v>1</v>
      </c>
      <c r="D9" s="14">
        <v>0.81426522800000001</v>
      </c>
      <c r="E9" s="15">
        <v>4.0330000000000001E-13</v>
      </c>
      <c r="F9" s="15">
        <v>2.6529000000000002E-13</v>
      </c>
      <c r="G9" s="15">
        <v>7.3444002480000004E-6</v>
      </c>
      <c r="H9" s="15">
        <v>6.1799999999999996E-11</v>
      </c>
      <c r="I9" s="15">
        <v>1.9202999999999999E-13</v>
      </c>
      <c r="J9" s="15">
        <v>1.4726E-13</v>
      </c>
      <c r="K9" s="15">
        <v>6.6905267759999996E-9</v>
      </c>
      <c r="L9" s="15">
        <v>1.2843943200000001E-6</v>
      </c>
      <c r="M9" s="15">
        <v>1.4478626879999999E-11</v>
      </c>
      <c r="N9" s="15">
        <v>1.3264290432000001E-6</v>
      </c>
      <c r="O9" s="15">
        <v>3.8111482368000001E-6</v>
      </c>
      <c r="P9" s="15">
        <v>6.1417401119999998E-6</v>
      </c>
      <c r="Q9" s="15">
        <v>1</v>
      </c>
      <c r="R9" s="15">
        <v>1</v>
      </c>
      <c r="S9" s="15">
        <v>1</v>
      </c>
      <c r="T9" s="15">
        <v>1</v>
      </c>
      <c r="U9" s="15">
        <v>1</v>
      </c>
      <c r="V9" s="15">
        <v>1</v>
      </c>
      <c r="W9" s="15">
        <v>1</v>
      </c>
      <c r="X9" s="15">
        <v>1</v>
      </c>
      <c r="Y9" s="15">
        <v>1</v>
      </c>
      <c r="Z9" s="15">
        <v>1</v>
      </c>
      <c r="AA9" s="105">
        <f t="shared" si="14"/>
        <v>0.4</v>
      </c>
      <c r="AB9" s="105">
        <f t="shared" si="14"/>
        <v>0.4</v>
      </c>
      <c r="AC9" s="105">
        <f t="shared" si="14"/>
        <v>0.4</v>
      </c>
      <c r="AD9" s="105">
        <f t="shared" si="14"/>
        <v>0.4</v>
      </c>
      <c r="AE9" s="105">
        <f t="shared" si="14"/>
        <v>0.4</v>
      </c>
      <c r="AF9" s="15">
        <v>3.7861491628614902E-5</v>
      </c>
      <c r="AG9" s="15">
        <v>214</v>
      </c>
      <c r="AH9" s="2">
        <v>1E-3</v>
      </c>
      <c r="AI9" s="2">
        <v>2E-3</v>
      </c>
      <c r="AJ9" s="2">
        <v>15</v>
      </c>
      <c r="AK9" s="2" t="s">
        <v>1503</v>
      </c>
      <c r="AL9" s="2" t="s">
        <v>1503</v>
      </c>
      <c r="AM9" s="2" t="s">
        <v>1503</v>
      </c>
      <c r="AN9" s="2" t="s">
        <v>1503</v>
      </c>
      <c r="AO9" s="2" t="s">
        <v>1503</v>
      </c>
      <c r="AP9" s="2" t="s">
        <v>1503</v>
      </c>
      <c r="AQ9" s="2" t="s">
        <v>1503</v>
      </c>
      <c r="AR9" s="2" t="s">
        <v>1503</v>
      </c>
      <c r="AS9" s="2">
        <v>0.1</v>
      </c>
      <c r="AT9" s="2">
        <v>0.5</v>
      </c>
      <c r="AU9" s="15">
        <v>480</v>
      </c>
      <c r="AV9" s="15">
        <v>0.05</v>
      </c>
      <c r="AW9" s="15">
        <v>18303.557788944701</v>
      </c>
      <c r="AX9" s="42">
        <v>15</v>
      </c>
      <c r="AY9" s="42">
        <v>214</v>
      </c>
      <c r="AZ9" s="105">
        <f t="shared" si="10"/>
        <v>2.6999999999999999E-5</v>
      </c>
      <c r="BA9" s="105">
        <f t="shared" si="11"/>
        <v>4.9499999999999995E-2</v>
      </c>
      <c r="BB9" s="105">
        <v>0</v>
      </c>
      <c r="BC9" s="15">
        <v>1.38194444444444E-2</v>
      </c>
      <c r="BD9" s="105">
        <f t="shared" si="12"/>
        <v>0.5</v>
      </c>
      <c r="BE9" s="105">
        <f t="shared" si="13"/>
        <v>0.1</v>
      </c>
    </row>
    <row r="10" spans="1:57" x14ac:dyDescent="0.25">
      <c r="A10" s="42" t="s">
        <v>20</v>
      </c>
      <c r="B10" s="42" t="s">
        <v>349</v>
      </c>
      <c r="C10" s="42"/>
      <c r="D10" s="42"/>
      <c r="E10" s="15">
        <v>4.2549999999999998E-11</v>
      </c>
      <c r="F10" s="15">
        <v>3.7370000000000003E-11</v>
      </c>
      <c r="G10" s="15">
        <v>5.5228955760000004E-10</v>
      </c>
      <c r="H10" s="15">
        <v>1.1248E-10</v>
      </c>
      <c r="I10" s="15">
        <v>3.0487999999999999E-11</v>
      </c>
      <c r="J10" s="15">
        <v>3.1782999999999999E-11</v>
      </c>
      <c r="K10" s="15">
        <v>1.6230073680000001E-12</v>
      </c>
      <c r="L10" s="15">
        <v>5.5345718879999995E-10</v>
      </c>
      <c r="M10" s="15">
        <v>2.2418519040000001E-15</v>
      </c>
      <c r="N10" s="15">
        <v>1.9242562176E-10</v>
      </c>
      <c r="O10" s="15">
        <v>4.2408365184000002E-10</v>
      </c>
      <c r="P10" s="15">
        <v>5.4178087679999995E-10</v>
      </c>
      <c r="Q10" s="15">
        <v>1</v>
      </c>
      <c r="R10" s="15">
        <v>1</v>
      </c>
      <c r="S10" s="15">
        <v>1</v>
      </c>
      <c r="T10" s="15">
        <v>1</v>
      </c>
      <c r="U10" s="15">
        <v>1</v>
      </c>
      <c r="V10" s="15">
        <v>1</v>
      </c>
      <c r="W10" s="15">
        <v>1</v>
      </c>
      <c r="X10" s="15">
        <v>1</v>
      </c>
      <c r="Y10" s="15">
        <v>1</v>
      </c>
      <c r="Z10" s="15">
        <v>1</v>
      </c>
      <c r="AA10" s="105">
        <f t="shared" ref="AA10:AE10" si="15">0.4*V10</f>
        <v>0.4</v>
      </c>
      <c r="AB10" s="105">
        <f t="shared" si="15"/>
        <v>0.4</v>
      </c>
      <c r="AC10" s="105">
        <f t="shared" si="15"/>
        <v>0.4</v>
      </c>
      <c r="AD10" s="105">
        <f t="shared" si="15"/>
        <v>0.4</v>
      </c>
      <c r="AE10" s="105">
        <f t="shared" si="15"/>
        <v>0.4</v>
      </c>
      <c r="AF10" s="15">
        <v>30.167100000000001</v>
      </c>
      <c r="AG10" s="15">
        <v>137</v>
      </c>
      <c r="AH10" s="2">
        <v>4.5999999999999999E-3</v>
      </c>
      <c r="AI10" s="2">
        <v>2.1999999999999999E-2</v>
      </c>
      <c r="AJ10" s="2">
        <v>2500</v>
      </c>
      <c r="AK10" s="2">
        <v>23</v>
      </c>
      <c r="AL10" s="2">
        <v>2.7</v>
      </c>
      <c r="AM10" s="2">
        <v>0.4</v>
      </c>
      <c r="AN10" s="2">
        <v>0.2</v>
      </c>
      <c r="AO10" s="239">
        <v>0.19</v>
      </c>
      <c r="AP10" s="239">
        <v>5.8000000000000003E-2</v>
      </c>
      <c r="AQ10" s="239">
        <v>0.32</v>
      </c>
      <c r="AR10" s="239">
        <v>0.11</v>
      </c>
      <c r="AS10" s="2">
        <v>2.9000000000000001E-2</v>
      </c>
      <c r="AT10" s="2">
        <v>3.3333333333333E-2</v>
      </c>
      <c r="AU10" s="15">
        <v>10</v>
      </c>
      <c r="AV10" s="15">
        <v>1</v>
      </c>
      <c r="AW10" s="15">
        <v>2.2972045705420802E-2</v>
      </c>
      <c r="AX10" s="42">
        <v>200</v>
      </c>
      <c r="AY10" s="42">
        <v>137</v>
      </c>
      <c r="AZ10" s="105">
        <f t="shared" ref="AZ10" si="16">BB10+lambda_HL</f>
        <v>2.6999999999999999E-5</v>
      </c>
      <c r="BA10" s="105">
        <f t="shared" ref="BA10" si="17">BB10+(0.693/t_w)</f>
        <v>4.9499999999999995E-2</v>
      </c>
      <c r="BB10" s="105">
        <v>0</v>
      </c>
      <c r="BC10" s="15">
        <v>11010.9915</v>
      </c>
      <c r="BD10" s="105">
        <f t="shared" ref="BD10" si="18">AT10</f>
        <v>3.3333333333333E-2</v>
      </c>
      <c r="BE10" s="105">
        <f t="shared" ref="BE10" si="19">AS10</f>
        <v>2.9000000000000001E-2</v>
      </c>
    </row>
    <row r="11" spans="1:57" x14ac:dyDescent="0.25">
      <c r="A11" s="42" t="s">
        <v>21</v>
      </c>
      <c r="B11" s="42" t="s">
        <v>1071</v>
      </c>
      <c r="C11" s="42"/>
      <c r="D11" s="42"/>
      <c r="E11" s="15">
        <v>0</v>
      </c>
      <c r="F11" s="15">
        <v>0</v>
      </c>
      <c r="G11" s="15">
        <v>1.0485328176E-7</v>
      </c>
      <c r="H11" s="15">
        <v>0</v>
      </c>
      <c r="I11" s="15">
        <v>0</v>
      </c>
      <c r="J11" s="15">
        <v>0</v>
      </c>
      <c r="K11" s="15">
        <v>1.1524519944E-10</v>
      </c>
      <c r="L11" s="15">
        <v>2.5220833919999999E-8</v>
      </c>
      <c r="M11" s="15">
        <v>2.5337597040000002E-13</v>
      </c>
      <c r="N11" s="15">
        <v>2.5594475903999999E-8</v>
      </c>
      <c r="O11" s="15">
        <v>7.0618334975999998E-8</v>
      </c>
      <c r="P11" s="15">
        <v>1.010000988E-7</v>
      </c>
      <c r="Q11" s="15">
        <v>1</v>
      </c>
      <c r="R11" s="15">
        <v>1</v>
      </c>
      <c r="S11" s="15">
        <v>1</v>
      </c>
      <c r="T11" s="15">
        <v>1</v>
      </c>
      <c r="U11" s="15">
        <v>1</v>
      </c>
      <c r="V11" s="15">
        <v>1</v>
      </c>
      <c r="W11" s="15">
        <v>1</v>
      </c>
      <c r="X11" s="15">
        <v>1</v>
      </c>
      <c r="Y11" s="15">
        <v>1</v>
      </c>
      <c r="Z11" s="15">
        <v>1</v>
      </c>
      <c r="AA11" s="105">
        <f t="shared" ref="AA11:AE11" si="20">0.4*V11</f>
        <v>0.4</v>
      </c>
      <c r="AB11" s="105">
        <f t="shared" si="20"/>
        <v>0.4</v>
      </c>
      <c r="AC11" s="105">
        <f t="shared" si="20"/>
        <v>0.4</v>
      </c>
      <c r="AD11" s="105">
        <f t="shared" si="20"/>
        <v>0.4</v>
      </c>
      <c r="AE11" s="105">
        <f t="shared" si="20"/>
        <v>0.4</v>
      </c>
      <c r="AF11" s="15">
        <v>9.3226788432267907E-6</v>
      </c>
      <c r="AG11" s="15">
        <v>221</v>
      </c>
      <c r="AH11" s="2">
        <v>8.0000000000000002E-3</v>
      </c>
      <c r="AI11" s="2">
        <v>0.03</v>
      </c>
      <c r="AJ11" s="2" t="s">
        <v>1503</v>
      </c>
      <c r="AK11" s="2" t="s">
        <v>1503</v>
      </c>
      <c r="AL11" s="2" t="s">
        <v>1503</v>
      </c>
      <c r="AM11" s="2" t="s">
        <v>1503</v>
      </c>
      <c r="AN11" s="2" t="s">
        <v>1503</v>
      </c>
      <c r="AO11" s="2" t="s">
        <v>1503</v>
      </c>
      <c r="AP11" s="2" t="s">
        <v>1503</v>
      </c>
      <c r="AQ11" s="2" t="s">
        <v>1503</v>
      </c>
      <c r="AR11" s="2" t="s">
        <v>1503</v>
      </c>
      <c r="AS11" s="2">
        <v>0.03</v>
      </c>
      <c r="AT11" s="2">
        <v>0.1</v>
      </c>
      <c r="AU11" s="15">
        <v>250</v>
      </c>
      <c r="AV11" s="15"/>
      <c r="AW11" s="15">
        <v>74334.857142857101</v>
      </c>
      <c r="AX11" s="42">
        <v>15</v>
      </c>
      <c r="AY11" s="42">
        <v>221</v>
      </c>
      <c r="AZ11" s="105">
        <f t="shared" ref="AZ11" si="21">BB11+lambda_HL</f>
        <v>2.6999999999999999E-5</v>
      </c>
      <c r="BA11" s="105">
        <f t="shared" ref="BA11" si="22">BB11+(0.693/t_w)</f>
        <v>4.9499999999999995E-2</v>
      </c>
      <c r="BB11" s="105">
        <v>0</v>
      </c>
      <c r="BC11" s="15">
        <v>3.4027777777777802E-3</v>
      </c>
      <c r="BD11" s="105">
        <f t="shared" ref="BD11" si="23">AT11</f>
        <v>0.1</v>
      </c>
      <c r="BE11" s="105">
        <f t="shared" ref="BE11" si="24">AS11</f>
        <v>0.03</v>
      </c>
    </row>
    <row r="12" spans="1:57" x14ac:dyDescent="0.25">
      <c r="A12" s="42" t="s">
        <v>22</v>
      </c>
      <c r="B12" s="42" t="s">
        <v>1071</v>
      </c>
      <c r="C12" s="42">
        <v>1</v>
      </c>
      <c r="D12" s="14">
        <v>0</v>
      </c>
      <c r="E12" s="15">
        <v>0</v>
      </c>
      <c r="F12" s="15">
        <v>0</v>
      </c>
      <c r="G12" s="15">
        <v>4.8339931680000002E-7</v>
      </c>
      <c r="H12" s="15">
        <v>0</v>
      </c>
      <c r="I12" s="15">
        <v>0</v>
      </c>
      <c r="J12" s="15">
        <v>0</v>
      </c>
      <c r="K12" s="15">
        <v>4.9624325999999998E-10</v>
      </c>
      <c r="L12" s="15">
        <v>1.1174230584E-7</v>
      </c>
      <c r="M12" s="15">
        <v>1.08005886E-12</v>
      </c>
      <c r="N12" s="15">
        <v>1.0985074329599999E-7</v>
      </c>
      <c r="O12" s="15">
        <v>3.0638642687999998E-7</v>
      </c>
      <c r="P12" s="15">
        <v>4.5187327439999998E-7</v>
      </c>
      <c r="Q12" s="15">
        <v>1</v>
      </c>
      <c r="R12" s="15">
        <v>1</v>
      </c>
      <c r="S12" s="15">
        <v>1</v>
      </c>
      <c r="T12" s="15">
        <v>1</v>
      </c>
      <c r="U12" s="15">
        <v>1</v>
      </c>
      <c r="V12" s="15">
        <v>1</v>
      </c>
      <c r="W12" s="15">
        <v>1</v>
      </c>
      <c r="X12" s="15">
        <v>1</v>
      </c>
      <c r="Y12" s="15">
        <v>1</v>
      </c>
      <c r="Z12" s="15">
        <v>1</v>
      </c>
      <c r="AA12" s="105">
        <f t="shared" ref="AA12:AE12" si="25">0.4*V12</f>
        <v>0.4</v>
      </c>
      <c r="AB12" s="105">
        <f t="shared" si="25"/>
        <v>0.4</v>
      </c>
      <c r="AC12" s="105">
        <f t="shared" si="25"/>
        <v>0.4</v>
      </c>
      <c r="AD12" s="105">
        <f t="shared" si="25"/>
        <v>0.4</v>
      </c>
      <c r="AE12" s="105">
        <f t="shared" si="25"/>
        <v>0.4</v>
      </c>
      <c r="AF12" s="15">
        <v>1.5506088280060901E-5</v>
      </c>
      <c r="AG12" s="15">
        <v>206</v>
      </c>
      <c r="AH12" s="2">
        <v>5.0000000000000001E-4</v>
      </c>
      <c r="AI12" s="2">
        <v>0.01</v>
      </c>
      <c r="AJ12" s="2">
        <v>6100</v>
      </c>
      <c r="AK12" s="2">
        <v>750</v>
      </c>
      <c r="AL12" s="2">
        <v>0.03</v>
      </c>
      <c r="AM12" s="2" t="s">
        <v>1503</v>
      </c>
      <c r="AN12" s="2" t="s">
        <v>1503</v>
      </c>
      <c r="AO12" s="2" t="s">
        <v>1503</v>
      </c>
      <c r="AP12" s="2" t="s">
        <v>1503</v>
      </c>
      <c r="AQ12" s="2" t="s">
        <v>1503</v>
      </c>
      <c r="AR12" s="2" t="s">
        <v>1503</v>
      </c>
      <c r="AS12" s="2">
        <v>0.3</v>
      </c>
      <c r="AT12" s="2">
        <v>1</v>
      </c>
      <c r="AU12" s="15">
        <v>6300</v>
      </c>
      <c r="AV12" s="15"/>
      <c r="AW12" s="15">
        <v>44692.122699386498</v>
      </c>
      <c r="AX12" s="42"/>
      <c r="AY12" s="42">
        <v>206</v>
      </c>
      <c r="AZ12" s="105">
        <f t="shared" ref="AZ12" si="26">BB12+lambda_HL</f>
        <v>2.6999999999999999E-5</v>
      </c>
      <c r="BA12" s="105">
        <f t="shared" ref="BA12" si="27">BB12+(0.693/t_w)</f>
        <v>4.9499999999999995E-2</v>
      </c>
      <c r="BB12" s="105">
        <v>0</v>
      </c>
      <c r="BC12" s="15">
        <v>5.6597222222222196E-3</v>
      </c>
      <c r="BD12" s="105">
        <f t="shared" ref="BD12" si="28">AT12</f>
        <v>1</v>
      </c>
      <c r="BE12" s="105">
        <f t="shared" ref="BE12" si="29">AS12</f>
        <v>0.3</v>
      </c>
    </row>
    <row r="13" spans="1:57" x14ac:dyDescent="0.25">
      <c r="A13" s="42" t="s">
        <v>23</v>
      </c>
      <c r="B13" s="42" t="s">
        <v>1071</v>
      </c>
      <c r="C13" s="42"/>
      <c r="D13" s="42"/>
      <c r="E13" s="15">
        <v>1.2469000000000001E-10</v>
      </c>
      <c r="F13" s="15">
        <v>8.2880000000000002E-11</v>
      </c>
      <c r="G13" s="15">
        <v>5.172606216E-8</v>
      </c>
      <c r="H13" s="15">
        <v>2.8675E-8</v>
      </c>
      <c r="I13" s="15">
        <v>6.2159999999999995E-11</v>
      </c>
      <c r="J13" s="15">
        <v>4.6989999999999997E-11</v>
      </c>
      <c r="K13" s="15">
        <v>7.6713369839999998E-11</v>
      </c>
      <c r="L13" s="15">
        <v>2.1017361600000002E-8</v>
      </c>
      <c r="M13" s="15">
        <v>1.716417864E-13</v>
      </c>
      <c r="N13" s="15">
        <v>1.7350999631999999E-8</v>
      </c>
      <c r="O13" s="15">
        <v>4.1287439231999997E-8</v>
      </c>
      <c r="P13" s="15">
        <v>5.1492535920000002E-8</v>
      </c>
      <c r="Q13" s="15">
        <v>1</v>
      </c>
      <c r="R13" s="15">
        <v>1</v>
      </c>
      <c r="S13" s="15">
        <v>1</v>
      </c>
      <c r="T13" s="15">
        <v>1</v>
      </c>
      <c r="U13" s="15">
        <v>1</v>
      </c>
      <c r="V13" s="15">
        <v>1</v>
      </c>
      <c r="W13" s="15">
        <v>1</v>
      </c>
      <c r="X13" s="15">
        <v>1</v>
      </c>
      <c r="Y13" s="15">
        <v>1</v>
      </c>
      <c r="Z13" s="15">
        <v>1</v>
      </c>
      <c r="AA13" s="105">
        <f t="shared" ref="AA13:AE13" si="30">0.4*V13</f>
        <v>0.4</v>
      </c>
      <c r="AB13" s="105">
        <f t="shared" si="30"/>
        <v>0.4</v>
      </c>
      <c r="AC13" s="105">
        <f t="shared" si="30"/>
        <v>0.4</v>
      </c>
      <c r="AD13" s="105">
        <f t="shared" si="30"/>
        <v>0.4</v>
      </c>
      <c r="AE13" s="105">
        <f t="shared" si="30"/>
        <v>0.4</v>
      </c>
      <c r="AF13" s="15">
        <v>2144000</v>
      </c>
      <c r="AG13" s="15">
        <v>237</v>
      </c>
      <c r="AH13" s="2">
        <v>9.9999999999999995E-7</v>
      </c>
      <c r="AI13" s="2">
        <v>1E-4</v>
      </c>
      <c r="AJ13" s="2">
        <v>30</v>
      </c>
      <c r="AK13" s="2">
        <v>9500</v>
      </c>
      <c r="AL13" s="2" t="s">
        <v>1503</v>
      </c>
      <c r="AM13" s="2" t="s">
        <v>1503</v>
      </c>
      <c r="AN13" s="2" t="s">
        <v>1503</v>
      </c>
      <c r="AO13" s="239">
        <v>4.0000000000000002E-4</v>
      </c>
      <c r="AP13" s="2" t="s">
        <v>1503</v>
      </c>
      <c r="AQ13" s="2" t="s">
        <v>1503</v>
      </c>
      <c r="AR13" s="239">
        <v>5.3000000000000001E-5</v>
      </c>
      <c r="AS13" s="2">
        <v>2.8999999999999998E-3</v>
      </c>
      <c r="AT13" s="2">
        <v>3.3333333333333002E-3</v>
      </c>
      <c r="AU13" s="15">
        <v>0.2</v>
      </c>
      <c r="AV13" s="15">
        <v>5.0000000000000001E-4</v>
      </c>
      <c r="AW13" s="15">
        <v>3.2322761194029798E-7</v>
      </c>
      <c r="AX13" s="42">
        <v>15</v>
      </c>
      <c r="AY13" s="42">
        <v>237</v>
      </c>
      <c r="AZ13" s="105">
        <f t="shared" ref="AZ13:AZ14" si="31">BB13+lambda_HL</f>
        <v>2.6999999999999999E-5</v>
      </c>
      <c r="BA13" s="105">
        <f t="shared" ref="BA13:BA14" si="32">BB13+(0.693/t_w)</f>
        <v>4.9499999999999995E-2</v>
      </c>
      <c r="BB13" s="105">
        <v>0</v>
      </c>
      <c r="BC13" s="15">
        <v>782560000</v>
      </c>
      <c r="BD13" s="105">
        <f t="shared" ref="BD13:BD14" si="33">AT13</f>
        <v>3.3333333333333002E-3</v>
      </c>
      <c r="BE13" s="105">
        <f t="shared" ref="BE13:BE14" si="34">AS13</f>
        <v>2.8999999999999998E-3</v>
      </c>
    </row>
    <row r="14" spans="1:57" x14ac:dyDescent="0.25">
      <c r="A14" s="42" t="s">
        <v>24</v>
      </c>
      <c r="B14" s="42" t="s">
        <v>1071</v>
      </c>
      <c r="C14" s="42"/>
      <c r="D14" s="42"/>
      <c r="E14" s="15">
        <v>1.6465000000000001E-11</v>
      </c>
      <c r="F14" s="15">
        <v>8.9539999999999992E-12</v>
      </c>
      <c r="G14" s="15">
        <v>8.0333026560000001E-7</v>
      </c>
      <c r="H14" s="15">
        <v>1.5281E-11</v>
      </c>
      <c r="I14" s="15">
        <v>6.1420000000000003E-12</v>
      </c>
      <c r="J14" s="15">
        <v>2.5825999999999999E-12</v>
      </c>
      <c r="K14" s="15">
        <v>8.5353840720000002E-10</v>
      </c>
      <c r="L14" s="15">
        <v>1.879886232E-7</v>
      </c>
      <c r="M14" s="15">
        <v>1.8682099199999999E-12</v>
      </c>
      <c r="N14" s="15">
        <v>1.9055741183999999E-7</v>
      </c>
      <c r="O14" s="15">
        <v>5.2309877760000005E-7</v>
      </c>
      <c r="P14" s="15">
        <v>7.601279112E-7</v>
      </c>
      <c r="Q14" s="15">
        <v>1</v>
      </c>
      <c r="R14" s="15">
        <v>1</v>
      </c>
      <c r="S14" s="15">
        <v>1</v>
      </c>
      <c r="T14" s="15">
        <v>1</v>
      </c>
      <c r="U14" s="15">
        <v>1</v>
      </c>
      <c r="V14" s="15">
        <v>1</v>
      </c>
      <c r="W14" s="15">
        <v>1</v>
      </c>
      <c r="X14" s="15">
        <v>1</v>
      </c>
      <c r="Y14" s="15">
        <v>1</v>
      </c>
      <c r="Z14" s="15">
        <v>1</v>
      </c>
      <c r="AA14" s="105">
        <f t="shared" ref="AA14:AE14" si="35">0.4*V14</f>
        <v>0.4</v>
      </c>
      <c r="AB14" s="105">
        <f t="shared" si="35"/>
        <v>0.4</v>
      </c>
      <c r="AC14" s="105">
        <f t="shared" si="35"/>
        <v>0.4</v>
      </c>
      <c r="AD14" s="105">
        <f t="shared" si="35"/>
        <v>0.4</v>
      </c>
      <c r="AE14" s="105">
        <f t="shared" si="35"/>
        <v>0.4</v>
      </c>
      <c r="AF14" s="15">
        <v>7.3882191780821893E-2</v>
      </c>
      <c r="AG14" s="15">
        <v>233</v>
      </c>
      <c r="AH14" s="2">
        <v>5.0000000000000004E-6</v>
      </c>
      <c r="AI14" s="2">
        <v>5.0000000000000004E-6</v>
      </c>
      <c r="AJ14" s="2">
        <v>10</v>
      </c>
      <c r="AK14" s="2" t="s">
        <v>1503</v>
      </c>
      <c r="AL14" s="2" t="s">
        <v>1503</v>
      </c>
      <c r="AM14" s="2" t="s">
        <v>1503</v>
      </c>
      <c r="AN14" s="2" t="s">
        <v>1503</v>
      </c>
      <c r="AO14" s="2" t="s">
        <v>1503</v>
      </c>
      <c r="AP14" s="2" t="s">
        <v>1503</v>
      </c>
      <c r="AQ14" s="2" t="s">
        <v>1503</v>
      </c>
      <c r="AR14" s="2" t="s">
        <v>1503</v>
      </c>
      <c r="AS14" s="2">
        <v>0.01</v>
      </c>
      <c r="AT14" s="2">
        <v>0.1</v>
      </c>
      <c r="AU14" s="15">
        <v>2000</v>
      </c>
      <c r="AV14" s="15">
        <v>5.0000000000000001E-4</v>
      </c>
      <c r="AW14" s="15">
        <v>9.3797975303148302</v>
      </c>
      <c r="AX14" s="42">
        <v>300</v>
      </c>
      <c r="AY14" s="42">
        <v>233</v>
      </c>
      <c r="AZ14" s="105">
        <f t="shared" si="31"/>
        <v>2.6999999999999999E-5</v>
      </c>
      <c r="BA14" s="105">
        <f t="shared" si="32"/>
        <v>4.9499999999999995E-2</v>
      </c>
      <c r="BB14" s="105">
        <v>0</v>
      </c>
      <c r="BC14" s="15">
        <v>26.966999999999999</v>
      </c>
      <c r="BD14" s="105">
        <f t="shared" si="33"/>
        <v>0.1</v>
      </c>
      <c r="BE14" s="105">
        <f t="shared" si="34"/>
        <v>0.01</v>
      </c>
    </row>
    <row r="15" spans="1:57" x14ac:dyDescent="0.25">
      <c r="A15" s="42" t="s">
        <v>25</v>
      </c>
      <c r="B15" s="42" t="s">
        <v>1071</v>
      </c>
      <c r="C15" s="42"/>
      <c r="D15" s="42"/>
      <c r="E15" s="15">
        <v>6.2529999999999997E-13</v>
      </c>
      <c r="F15" s="15">
        <v>3.4854E-13</v>
      </c>
      <c r="G15" s="15">
        <v>5.3711035200000002E-10</v>
      </c>
      <c r="H15" s="15">
        <v>2.0794E-13</v>
      </c>
      <c r="I15" s="15">
        <v>2.4087000000000001E-13</v>
      </c>
      <c r="J15" s="15">
        <v>1.221E-13</v>
      </c>
      <c r="K15" s="15">
        <v>1.7047415520000001E-12</v>
      </c>
      <c r="L15" s="15">
        <v>5.6513350080000005E-10</v>
      </c>
      <c r="M15" s="15">
        <v>2.323586088E-15</v>
      </c>
      <c r="N15" s="15">
        <v>1.8425220336000001E-10</v>
      </c>
      <c r="O15" s="15">
        <v>4.1661081215999999E-10</v>
      </c>
      <c r="P15" s="15">
        <v>5.2893693360000005E-10</v>
      </c>
      <c r="Q15" s="15">
        <v>0.9</v>
      </c>
      <c r="R15" s="15">
        <v>0.9</v>
      </c>
      <c r="S15" s="15">
        <v>0.9</v>
      </c>
      <c r="T15" s="15">
        <v>0.9</v>
      </c>
      <c r="U15" s="15">
        <v>0.9</v>
      </c>
      <c r="V15" s="15">
        <v>1</v>
      </c>
      <c r="W15" s="15">
        <v>1</v>
      </c>
      <c r="X15" s="15">
        <v>1</v>
      </c>
      <c r="Y15" s="15">
        <v>1</v>
      </c>
      <c r="Z15" s="15">
        <v>1</v>
      </c>
      <c r="AA15" s="105">
        <f t="shared" ref="AA15:AE17" si="36">0.4*V15</f>
        <v>0.4</v>
      </c>
      <c r="AB15" s="105">
        <f t="shared" si="36"/>
        <v>0.4</v>
      </c>
      <c r="AC15" s="105">
        <f t="shared" si="36"/>
        <v>0.4</v>
      </c>
      <c r="AD15" s="105">
        <f t="shared" si="36"/>
        <v>0.4</v>
      </c>
      <c r="AE15" s="105">
        <f t="shared" si="36"/>
        <v>0.4</v>
      </c>
      <c r="AF15" s="15">
        <v>3.7134703196347002E-4</v>
      </c>
      <c r="AG15" s="15">
        <v>209</v>
      </c>
      <c r="AH15" s="2">
        <v>1.9000000000000001E-4</v>
      </c>
      <c r="AI15" s="2">
        <v>6.9999999999999999E-4</v>
      </c>
      <c r="AJ15" s="2">
        <v>25</v>
      </c>
      <c r="AK15" s="2">
        <v>22</v>
      </c>
      <c r="AL15" s="2" t="s">
        <v>1503</v>
      </c>
      <c r="AM15" s="2" t="s">
        <v>1503</v>
      </c>
      <c r="AN15" s="2" t="s">
        <v>1503</v>
      </c>
      <c r="AO15" s="239">
        <v>7.1000000000000004E-3</v>
      </c>
      <c r="AP15" s="239">
        <v>3.5000000000000003E-2</v>
      </c>
      <c r="AQ15" s="2" t="s">
        <v>1503</v>
      </c>
      <c r="AR15" s="239">
        <v>6.0000000000000001E-3</v>
      </c>
      <c r="AS15" s="2">
        <v>1.0999999999999999E-2</v>
      </c>
      <c r="AT15" s="2">
        <v>1.264367816092E-2</v>
      </c>
      <c r="AU15" s="15">
        <v>150</v>
      </c>
      <c r="AV15" s="15">
        <v>0.2</v>
      </c>
      <c r="AW15" s="15">
        <v>1866.1789117737501</v>
      </c>
      <c r="AX15" s="42"/>
      <c r="AY15" s="42">
        <v>209</v>
      </c>
      <c r="AZ15" s="105">
        <f t="shared" ref="AZ15:AZ21" si="37">BB15+lambda_HL</f>
        <v>2.6999999999999999E-5</v>
      </c>
      <c r="BA15" s="105">
        <f t="shared" ref="BA15:BA21" si="38">BB15+(0.693/t_w)</f>
        <v>4.9499999999999995E-2</v>
      </c>
      <c r="BB15" s="105">
        <v>0</v>
      </c>
      <c r="BC15" s="15">
        <v>0.135541666666667</v>
      </c>
      <c r="BD15" s="105">
        <f t="shared" ref="BD15:BD21" si="39">AT15</f>
        <v>1.264367816092E-2</v>
      </c>
      <c r="BE15" s="105">
        <f t="shared" ref="BE15:BE21" si="40">AS15</f>
        <v>1.0999999999999999E-2</v>
      </c>
    </row>
    <row r="16" spans="1:57" x14ac:dyDescent="0.25">
      <c r="A16" s="42" t="s">
        <v>26</v>
      </c>
      <c r="B16" s="42" t="s">
        <v>1071</v>
      </c>
      <c r="C16" s="42">
        <v>1</v>
      </c>
      <c r="D16" s="14">
        <v>0</v>
      </c>
      <c r="E16" s="15">
        <v>1.7167999999999999E-9</v>
      </c>
      <c r="F16" s="15">
        <v>1.1766000000000001E-9</v>
      </c>
      <c r="G16" s="15">
        <v>1.482891624E-9</v>
      </c>
      <c r="H16" s="15">
        <v>1.5872999999999999E-8</v>
      </c>
      <c r="I16" s="15">
        <v>8.8430000000000004E-10</v>
      </c>
      <c r="J16" s="15">
        <v>5.9940000000000002E-10</v>
      </c>
      <c r="K16" s="15">
        <v>3.9349171439999997E-12</v>
      </c>
      <c r="L16" s="15">
        <v>1.7164178639999999E-9</v>
      </c>
      <c r="M16" s="15">
        <v>9.0841707359999996E-15</v>
      </c>
      <c r="N16" s="15">
        <v>9.5278705920000003E-10</v>
      </c>
      <c r="O16" s="15">
        <v>1.4665447872000001E-9</v>
      </c>
      <c r="P16" s="15">
        <v>1.482891624E-9</v>
      </c>
      <c r="Q16" s="15">
        <v>1</v>
      </c>
      <c r="R16" s="15">
        <v>1</v>
      </c>
      <c r="S16" s="15">
        <v>1</v>
      </c>
      <c r="T16" s="15">
        <v>1</v>
      </c>
      <c r="U16" s="15">
        <v>1</v>
      </c>
      <c r="V16" s="15">
        <v>1</v>
      </c>
      <c r="W16" s="15">
        <v>1</v>
      </c>
      <c r="X16" s="15">
        <v>1</v>
      </c>
      <c r="Y16" s="15">
        <v>1</v>
      </c>
      <c r="Z16" s="15">
        <v>1</v>
      </c>
      <c r="AA16" s="105">
        <f t="shared" si="36"/>
        <v>0.4</v>
      </c>
      <c r="AB16" s="105">
        <f t="shared" si="36"/>
        <v>0.4</v>
      </c>
      <c r="AC16" s="105">
        <f t="shared" si="36"/>
        <v>0.4</v>
      </c>
      <c r="AD16" s="105">
        <f t="shared" si="36"/>
        <v>0.4</v>
      </c>
      <c r="AE16" s="105">
        <f t="shared" si="36"/>
        <v>0.4</v>
      </c>
      <c r="AF16" s="15">
        <v>22.2</v>
      </c>
      <c r="AG16" s="15">
        <v>210</v>
      </c>
      <c r="AH16" s="2">
        <v>1.9000000000000001E-4</v>
      </c>
      <c r="AI16" s="2">
        <v>6.9999999999999999E-4</v>
      </c>
      <c r="AJ16" s="2">
        <v>25</v>
      </c>
      <c r="AK16" s="2">
        <v>22</v>
      </c>
      <c r="AL16" s="2" t="s">
        <v>1503</v>
      </c>
      <c r="AM16" s="2" t="s">
        <v>1503</v>
      </c>
      <c r="AN16" s="2" t="s">
        <v>1503</v>
      </c>
      <c r="AO16" s="239">
        <v>7.1000000000000004E-3</v>
      </c>
      <c r="AP16" s="239">
        <v>3.5000000000000003E-2</v>
      </c>
      <c r="AQ16" s="2" t="s">
        <v>1503</v>
      </c>
      <c r="AR16" s="239">
        <v>6.0000000000000001E-3</v>
      </c>
      <c r="AS16" s="2">
        <v>1.0999999999999999E-2</v>
      </c>
      <c r="AT16" s="2">
        <v>1.264367816092E-2</v>
      </c>
      <c r="AU16" s="15">
        <v>150</v>
      </c>
      <c r="AV16" s="15">
        <v>0.2</v>
      </c>
      <c r="AW16" s="15">
        <v>3.1216216216216199E-2</v>
      </c>
      <c r="AX16" s="42"/>
      <c r="AY16" s="42">
        <v>210</v>
      </c>
      <c r="AZ16" s="105">
        <f t="shared" si="37"/>
        <v>2.6999999999999999E-5</v>
      </c>
      <c r="BA16" s="105">
        <f t="shared" si="38"/>
        <v>4.9499999999999995E-2</v>
      </c>
      <c r="BB16" s="105">
        <v>0</v>
      </c>
      <c r="BC16" s="15">
        <v>8103</v>
      </c>
      <c r="BD16" s="105">
        <f t="shared" si="39"/>
        <v>1.264367816092E-2</v>
      </c>
      <c r="BE16" s="105">
        <f t="shared" si="40"/>
        <v>1.0999999999999999E-2</v>
      </c>
    </row>
    <row r="17" spans="1:57" x14ac:dyDescent="0.25">
      <c r="A17" s="42" t="s">
        <v>27</v>
      </c>
      <c r="B17" s="42" t="s">
        <v>1071</v>
      </c>
      <c r="C17" s="42">
        <v>1</v>
      </c>
      <c r="D17" s="14">
        <v>0.88419985800000001</v>
      </c>
      <c r="E17" s="15">
        <v>7.9180000000000002E-13</v>
      </c>
      <c r="F17" s="15">
        <v>4.8470000000000005E-13</v>
      </c>
      <c r="G17" s="15">
        <v>9.9365415120000007E-7</v>
      </c>
      <c r="H17" s="15">
        <v>7.7700000000000001E-11</v>
      </c>
      <c r="I17" s="15">
        <v>3.4447E-13</v>
      </c>
      <c r="J17" s="15">
        <v>2.2052E-13</v>
      </c>
      <c r="K17" s="15">
        <v>1.0193420376000001E-9</v>
      </c>
      <c r="L17" s="15">
        <v>2.230175592E-7</v>
      </c>
      <c r="M17" s="15">
        <v>2.2301755919999998E-12</v>
      </c>
      <c r="N17" s="15">
        <v>2.2605340032000001E-7</v>
      </c>
      <c r="O17" s="15">
        <v>6.2958674304000002E-7</v>
      </c>
      <c r="P17" s="15">
        <v>9.3060206639999999E-7</v>
      </c>
      <c r="Q17" s="15">
        <v>1</v>
      </c>
      <c r="R17" s="15">
        <v>1</v>
      </c>
      <c r="S17" s="15">
        <v>1</v>
      </c>
      <c r="T17" s="15">
        <v>1</v>
      </c>
      <c r="U17" s="15">
        <v>1</v>
      </c>
      <c r="V17" s="15">
        <v>1</v>
      </c>
      <c r="W17" s="15">
        <v>1</v>
      </c>
      <c r="X17" s="15">
        <v>1</v>
      </c>
      <c r="Y17" s="15">
        <v>1</v>
      </c>
      <c r="Z17" s="15">
        <v>1</v>
      </c>
      <c r="AA17" s="105">
        <f t="shared" si="36"/>
        <v>0.4</v>
      </c>
      <c r="AB17" s="105">
        <f t="shared" si="36"/>
        <v>0.4</v>
      </c>
      <c r="AC17" s="105">
        <f t="shared" si="36"/>
        <v>0.4</v>
      </c>
      <c r="AD17" s="105">
        <f t="shared" si="36"/>
        <v>0.4</v>
      </c>
      <c r="AE17" s="105">
        <f t="shared" si="36"/>
        <v>0.4</v>
      </c>
      <c r="AF17" s="15">
        <v>5.0989345509893397E-5</v>
      </c>
      <c r="AG17" s="15">
        <v>214</v>
      </c>
      <c r="AH17" s="2">
        <v>1.9000000000000001E-4</v>
      </c>
      <c r="AI17" s="2">
        <v>6.9999999999999999E-4</v>
      </c>
      <c r="AJ17" s="2">
        <v>25</v>
      </c>
      <c r="AK17" s="2">
        <v>22</v>
      </c>
      <c r="AL17" s="2" t="s">
        <v>1503</v>
      </c>
      <c r="AM17" s="2" t="s">
        <v>1503</v>
      </c>
      <c r="AN17" s="2" t="s">
        <v>1503</v>
      </c>
      <c r="AO17" s="239">
        <v>7.1000000000000004E-3</v>
      </c>
      <c r="AP17" s="239">
        <v>3.5000000000000003E-2</v>
      </c>
      <c r="AQ17" s="2" t="s">
        <v>1503</v>
      </c>
      <c r="AR17" s="239">
        <v>6.0000000000000001E-3</v>
      </c>
      <c r="AS17" s="2">
        <v>1.0999999999999999E-2</v>
      </c>
      <c r="AT17" s="2">
        <v>1.264367816092E-2</v>
      </c>
      <c r="AU17" s="15">
        <v>150</v>
      </c>
      <c r="AV17" s="15">
        <v>0.2</v>
      </c>
      <c r="AW17" s="15">
        <v>13591.0746268657</v>
      </c>
      <c r="AX17" s="42"/>
      <c r="AY17" s="42">
        <v>214</v>
      </c>
      <c r="AZ17" s="105">
        <f t="shared" si="37"/>
        <v>2.6999999999999999E-5</v>
      </c>
      <c r="BA17" s="105">
        <f t="shared" si="38"/>
        <v>4.9499999999999995E-2</v>
      </c>
      <c r="BB17" s="105">
        <v>0</v>
      </c>
      <c r="BC17" s="15">
        <v>1.8611111111111099E-2</v>
      </c>
      <c r="BD17" s="105">
        <f t="shared" si="39"/>
        <v>1.264367816092E-2</v>
      </c>
      <c r="BE17" s="105">
        <f t="shared" si="40"/>
        <v>1.0999999999999999E-2</v>
      </c>
    </row>
    <row r="18" spans="1:57" x14ac:dyDescent="0.25">
      <c r="A18" s="42" t="s">
        <v>28</v>
      </c>
      <c r="B18" s="42" t="s">
        <v>1071</v>
      </c>
      <c r="C18" s="42">
        <v>1</v>
      </c>
      <c r="D18" s="14">
        <v>0</v>
      </c>
      <c r="E18" s="15">
        <v>3.2744999999999998E-9</v>
      </c>
      <c r="F18" s="15">
        <v>2.2533000000000001E-9</v>
      </c>
      <c r="G18" s="15">
        <v>4.5070564319999998E-11</v>
      </c>
      <c r="H18" s="15">
        <v>1.4504E-8</v>
      </c>
      <c r="I18" s="15">
        <v>1.7760000000000001E-9</v>
      </c>
      <c r="J18" s="15">
        <v>1.4356000000000001E-9</v>
      </c>
      <c r="K18" s="15">
        <v>4.1801196960000001E-14</v>
      </c>
      <c r="L18" s="15">
        <v>8.69885244E-12</v>
      </c>
      <c r="M18" s="15">
        <v>9.0724944239999998E-17</v>
      </c>
      <c r="N18" s="15">
        <v>8.9487255167999993E-12</v>
      </c>
      <c r="O18" s="15">
        <v>2.5407654911999999E-11</v>
      </c>
      <c r="P18" s="15">
        <v>3.9582697679999998E-11</v>
      </c>
      <c r="Q18" s="15">
        <v>1</v>
      </c>
      <c r="R18" s="15">
        <v>1</v>
      </c>
      <c r="S18" s="15">
        <v>1</v>
      </c>
      <c r="T18" s="15">
        <v>1</v>
      </c>
      <c r="U18" s="15">
        <v>1</v>
      </c>
      <c r="V18" s="15">
        <v>1</v>
      </c>
      <c r="W18" s="15">
        <v>1</v>
      </c>
      <c r="X18" s="15">
        <v>1</v>
      </c>
      <c r="Y18" s="15">
        <v>1</v>
      </c>
      <c r="Z18" s="15">
        <v>1</v>
      </c>
      <c r="AA18" s="105">
        <f t="shared" ref="AA18:AE21" si="41">0.4*V18</f>
        <v>0.4</v>
      </c>
      <c r="AB18" s="105">
        <f t="shared" si="41"/>
        <v>0.4</v>
      </c>
      <c r="AC18" s="105">
        <f t="shared" si="41"/>
        <v>0.4</v>
      </c>
      <c r="AD18" s="105">
        <f t="shared" si="41"/>
        <v>0.4</v>
      </c>
      <c r="AE18" s="105">
        <f t="shared" si="41"/>
        <v>0.4</v>
      </c>
      <c r="AF18" s="15">
        <v>0.37911232876712297</v>
      </c>
      <c r="AG18" s="15">
        <v>210</v>
      </c>
      <c r="AH18" s="2">
        <v>2.1000000000000001E-4</v>
      </c>
      <c r="AI18" s="2">
        <v>3.0000000000000001E-3</v>
      </c>
      <c r="AJ18" s="2">
        <v>36</v>
      </c>
      <c r="AK18" s="2" t="s">
        <v>1503</v>
      </c>
      <c r="AL18" s="2">
        <v>2.4</v>
      </c>
      <c r="AM18" s="2">
        <v>3.1</v>
      </c>
      <c r="AN18" s="2" t="s">
        <v>1503</v>
      </c>
      <c r="AO18" s="239">
        <v>0.05</v>
      </c>
      <c r="AP18" s="2" t="s">
        <v>1503</v>
      </c>
      <c r="AQ18" s="2" t="s">
        <v>1503</v>
      </c>
      <c r="AR18" s="239">
        <v>2.3E-3</v>
      </c>
      <c r="AS18" s="2">
        <v>2.4000000000000001E-4</v>
      </c>
      <c r="AT18" s="2">
        <v>2.7586206896552002E-4</v>
      </c>
      <c r="AU18" s="15">
        <v>210</v>
      </c>
      <c r="AV18" s="15"/>
      <c r="AW18" s="15">
        <v>1.8279542695265101</v>
      </c>
      <c r="AX18" s="42">
        <v>15</v>
      </c>
      <c r="AY18" s="42">
        <v>210</v>
      </c>
      <c r="AZ18" s="105">
        <f t="shared" si="37"/>
        <v>2.6999999999999999E-5</v>
      </c>
      <c r="BA18" s="105">
        <f t="shared" si="38"/>
        <v>4.9499999999999995E-2</v>
      </c>
      <c r="BB18" s="105">
        <v>0</v>
      </c>
      <c r="BC18" s="15">
        <v>138.376</v>
      </c>
      <c r="BD18" s="105">
        <f t="shared" si="39"/>
        <v>2.7586206896552002E-4</v>
      </c>
      <c r="BE18" s="105">
        <f t="shared" si="40"/>
        <v>2.4000000000000001E-4</v>
      </c>
    </row>
    <row r="19" spans="1:57" x14ac:dyDescent="0.25">
      <c r="A19" s="42" t="s">
        <v>29</v>
      </c>
      <c r="B19" s="42" t="s">
        <v>1071</v>
      </c>
      <c r="C19" s="42"/>
      <c r="D19" s="42"/>
      <c r="E19" s="15">
        <v>0</v>
      </c>
      <c r="F19" s="15">
        <v>0</v>
      </c>
      <c r="G19" s="15">
        <v>1.728094176E-10</v>
      </c>
      <c r="H19" s="15">
        <v>0</v>
      </c>
      <c r="I19" s="15">
        <v>0</v>
      </c>
      <c r="J19" s="15">
        <v>0</v>
      </c>
      <c r="K19" s="15">
        <v>1.6113310560000001E-13</v>
      </c>
      <c r="L19" s="15">
        <v>3.3627778560000003E-11</v>
      </c>
      <c r="M19" s="15">
        <v>3.491217288E-16</v>
      </c>
      <c r="N19" s="15">
        <v>3.4561883519999999E-11</v>
      </c>
      <c r="O19" s="15">
        <v>9.7333736831999999E-11</v>
      </c>
      <c r="P19" s="15">
        <v>1.51792056E-10</v>
      </c>
      <c r="Q19" s="15">
        <v>1</v>
      </c>
      <c r="R19" s="15">
        <v>1</v>
      </c>
      <c r="S19" s="15">
        <v>1</v>
      </c>
      <c r="T19" s="15">
        <v>1</v>
      </c>
      <c r="U19" s="15">
        <v>1</v>
      </c>
      <c r="V19" s="15">
        <v>1</v>
      </c>
      <c r="W19" s="15">
        <v>1</v>
      </c>
      <c r="X19" s="15">
        <v>1</v>
      </c>
      <c r="Y19" s="15">
        <v>1</v>
      </c>
      <c r="Z19" s="15">
        <v>1</v>
      </c>
      <c r="AA19" s="105">
        <f t="shared" si="41"/>
        <v>0.4</v>
      </c>
      <c r="AB19" s="105">
        <f t="shared" si="41"/>
        <v>0.4</v>
      </c>
      <c r="AC19" s="105">
        <f t="shared" si="41"/>
        <v>0.4</v>
      </c>
      <c r="AD19" s="105">
        <f t="shared" si="41"/>
        <v>0.4</v>
      </c>
      <c r="AE19" s="105">
        <f t="shared" si="41"/>
        <v>0.4</v>
      </c>
      <c r="AF19" s="15">
        <v>1.3318112633181101E-13</v>
      </c>
      <c r="AG19" s="15">
        <v>213</v>
      </c>
      <c r="AH19" s="2">
        <v>2.1000000000000001E-4</v>
      </c>
      <c r="AI19" s="2">
        <v>3.0000000000000001E-3</v>
      </c>
      <c r="AJ19" s="2">
        <v>36</v>
      </c>
      <c r="AK19" s="2" t="s">
        <v>1503</v>
      </c>
      <c r="AL19" s="2">
        <v>2.4</v>
      </c>
      <c r="AM19" s="2">
        <v>3.1</v>
      </c>
      <c r="AN19" s="2" t="s">
        <v>1503</v>
      </c>
      <c r="AO19" s="239">
        <v>0.05</v>
      </c>
      <c r="AP19" s="2" t="s">
        <v>1503</v>
      </c>
      <c r="AQ19" s="2" t="s">
        <v>1503</v>
      </c>
      <c r="AR19" s="239">
        <v>2.3E-3</v>
      </c>
      <c r="AS19" s="2">
        <v>2.4000000000000001E-4</v>
      </c>
      <c r="AT19" s="2">
        <v>2.7586206896552002E-4</v>
      </c>
      <c r="AU19" s="15">
        <v>210</v>
      </c>
      <c r="AV19" s="15"/>
      <c r="AW19" s="15">
        <v>5203440000000</v>
      </c>
      <c r="AX19" s="42">
        <v>15</v>
      </c>
      <c r="AY19" s="42">
        <v>213</v>
      </c>
      <c r="AZ19" s="105">
        <f t="shared" si="37"/>
        <v>2.6999999999999999E-5</v>
      </c>
      <c r="BA19" s="105">
        <f t="shared" si="38"/>
        <v>4.9499999999999995E-2</v>
      </c>
      <c r="BB19" s="105">
        <v>0</v>
      </c>
      <c r="BC19" s="15">
        <v>4.8611111111111103E-11</v>
      </c>
      <c r="BD19" s="105">
        <f t="shared" si="39"/>
        <v>2.7586206896552002E-4</v>
      </c>
      <c r="BE19" s="105">
        <f t="shared" si="40"/>
        <v>2.4000000000000001E-4</v>
      </c>
    </row>
    <row r="20" spans="1:57" x14ac:dyDescent="0.25">
      <c r="A20" s="42" t="s">
        <v>30</v>
      </c>
      <c r="B20" s="42" t="s">
        <v>1071</v>
      </c>
      <c r="C20" s="42">
        <v>1</v>
      </c>
      <c r="D20" s="14">
        <v>0.81426541600000002</v>
      </c>
      <c r="E20" s="15">
        <v>0</v>
      </c>
      <c r="F20" s="15">
        <v>0</v>
      </c>
      <c r="G20" s="15">
        <v>3.8531829600000002E-10</v>
      </c>
      <c r="H20" s="15">
        <v>0</v>
      </c>
      <c r="I20" s="15">
        <v>0</v>
      </c>
      <c r="J20" s="15">
        <v>0</v>
      </c>
      <c r="K20" s="15">
        <v>3.5729514720000002E-13</v>
      </c>
      <c r="L20" s="15">
        <v>7.4261344320000001E-11</v>
      </c>
      <c r="M20" s="15">
        <v>7.741394856E-16</v>
      </c>
      <c r="N20" s="15">
        <v>7.6222964736000004E-11</v>
      </c>
      <c r="O20" s="15">
        <v>2.1484414079999999E-10</v>
      </c>
      <c r="P20" s="15">
        <v>3.3744541680000003E-10</v>
      </c>
      <c r="Q20" s="15">
        <v>1</v>
      </c>
      <c r="R20" s="15">
        <v>1</v>
      </c>
      <c r="S20" s="15">
        <v>1</v>
      </c>
      <c r="T20" s="15">
        <v>1</v>
      </c>
      <c r="U20" s="15">
        <v>1</v>
      </c>
      <c r="V20" s="15">
        <v>1</v>
      </c>
      <c r="W20" s="15">
        <v>1</v>
      </c>
      <c r="X20" s="15">
        <v>1</v>
      </c>
      <c r="Y20" s="15">
        <v>1</v>
      </c>
      <c r="Z20" s="15">
        <v>1</v>
      </c>
      <c r="AA20" s="105">
        <f t="shared" si="41"/>
        <v>0.4</v>
      </c>
      <c r="AB20" s="105">
        <f t="shared" si="41"/>
        <v>0.4</v>
      </c>
      <c r="AC20" s="105">
        <f t="shared" si="41"/>
        <v>0.4</v>
      </c>
      <c r="AD20" s="105">
        <f t="shared" si="41"/>
        <v>0.4</v>
      </c>
      <c r="AE20" s="105">
        <f t="shared" si="41"/>
        <v>0.4</v>
      </c>
      <c r="AF20" s="15">
        <v>5.20991882293252E-12</v>
      </c>
      <c r="AG20" s="15">
        <v>214</v>
      </c>
      <c r="AH20" s="2">
        <v>2.1000000000000001E-4</v>
      </c>
      <c r="AI20" s="2">
        <v>3.0000000000000001E-3</v>
      </c>
      <c r="AJ20" s="2">
        <v>36</v>
      </c>
      <c r="AK20" s="2" t="s">
        <v>1503</v>
      </c>
      <c r="AL20" s="2">
        <v>2.4</v>
      </c>
      <c r="AM20" s="2">
        <v>3.1</v>
      </c>
      <c r="AN20" s="2" t="s">
        <v>1503</v>
      </c>
      <c r="AO20" s="239">
        <v>0.05</v>
      </c>
      <c r="AP20" s="2" t="s">
        <v>1503</v>
      </c>
      <c r="AQ20" s="2" t="s">
        <v>1503</v>
      </c>
      <c r="AR20" s="239">
        <v>2.3E-3</v>
      </c>
      <c r="AS20" s="2">
        <v>2.4000000000000001E-4</v>
      </c>
      <c r="AT20" s="2">
        <v>2.7586206896552002E-4</v>
      </c>
      <c r="AU20" s="15">
        <v>210</v>
      </c>
      <c r="AV20" s="15"/>
      <c r="AW20" s="15">
        <v>133015508216.677</v>
      </c>
      <c r="AX20" s="42">
        <v>15</v>
      </c>
      <c r="AY20" s="42">
        <v>214</v>
      </c>
      <c r="AZ20" s="105">
        <f t="shared" si="37"/>
        <v>2.6999999999999999E-5</v>
      </c>
      <c r="BA20" s="105">
        <f t="shared" si="38"/>
        <v>4.9499999999999995E-2</v>
      </c>
      <c r="BB20" s="105">
        <v>0</v>
      </c>
      <c r="BC20" s="15">
        <v>1.9016203703703698E-9</v>
      </c>
      <c r="BD20" s="105">
        <f t="shared" si="39"/>
        <v>2.7586206896552002E-4</v>
      </c>
      <c r="BE20" s="105">
        <f t="shared" si="40"/>
        <v>2.4000000000000001E-4</v>
      </c>
    </row>
    <row r="21" spans="1:57" x14ac:dyDescent="0.25">
      <c r="A21" s="42" t="s">
        <v>31</v>
      </c>
      <c r="B21" s="42" t="s">
        <v>1071</v>
      </c>
      <c r="C21" s="42">
        <v>1</v>
      </c>
      <c r="D21" s="14">
        <v>0.98676056999999995</v>
      </c>
      <c r="E21" s="15">
        <v>0</v>
      </c>
      <c r="F21" s="15">
        <v>0</v>
      </c>
      <c r="G21" s="15">
        <v>6.8423188320000004E-15</v>
      </c>
      <c r="H21" s="15">
        <v>1.39E-11</v>
      </c>
      <c r="I21" s="15">
        <v>0</v>
      </c>
      <c r="J21" s="15">
        <v>0</v>
      </c>
      <c r="K21" s="15">
        <v>3.9465934560000001E-17</v>
      </c>
      <c r="L21" s="15">
        <v>5.3010456479999998E-15</v>
      </c>
      <c r="M21" s="15">
        <v>5.055843096E-20</v>
      </c>
      <c r="N21" s="15">
        <v>3.1572747648000001E-15</v>
      </c>
      <c r="O21" s="15">
        <v>5.9782717440000002E-15</v>
      </c>
      <c r="P21" s="15">
        <v>6.8189662079999997E-15</v>
      </c>
      <c r="Q21" s="15">
        <v>0.9</v>
      </c>
      <c r="R21" s="15">
        <v>0.9</v>
      </c>
      <c r="S21" s="15">
        <v>0.9</v>
      </c>
      <c r="T21" s="15">
        <v>0.9</v>
      </c>
      <c r="U21" s="15">
        <v>0.9</v>
      </c>
      <c r="V21" s="15">
        <v>1</v>
      </c>
      <c r="W21" s="15">
        <v>1</v>
      </c>
      <c r="X21" s="15">
        <v>1</v>
      </c>
      <c r="Y21" s="15">
        <v>1</v>
      </c>
      <c r="Z21" s="15">
        <v>1</v>
      </c>
      <c r="AA21" s="105">
        <f t="shared" si="41"/>
        <v>0.4</v>
      </c>
      <c r="AB21" s="105">
        <f t="shared" si="41"/>
        <v>0.4</v>
      </c>
      <c r="AC21" s="105">
        <f t="shared" si="41"/>
        <v>0.4</v>
      </c>
      <c r="AD21" s="105">
        <f t="shared" si="41"/>
        <v>0.4</v>
      </c>
      <c r="AE21" s="105">
        <f t="shared" si="41"/>
        <v>0.4</v>
      </c>
      <c r="AF21" s="15">
        <v>5.8980213089802101E-6</v>
      </c>
      <c r="AG21" s="15">
        <v>218</v>
      </c>
      <c r="AH21" s="2">
        <v>2.1000000000000001E-4</v>
      </c>
      <c r="AI21" s="2">
        <v>3.0000000000000001E-3</v>
      </c>
      <c r="AJ21" s="2">
        <v>36</v>
      </c>
      <c r="AK21" s="2" t="s">
        <v>1503</v>
      </c>
      <c r="AL21" s="2">
        <v>2.4</v>
      </c>
      <c r="AM21" s="2">
        <v>3.1</v>
      </c>
      <c r="AN21" s="2" t="s">
        <v>1503</v>
      </c>
      <c r="AO21" s="239">
        <v>0.05</v>
      </c>
      <c r="AP21" s="2" t="s">
        <v>1503</v>
      </c>
      <c r="AQ21" s="2" t="s">
        <v>1503</v>
      </c>
      <c r="AR21" s="239">
        <v>2.3E-3</v>
      </c>
      <c r="AS21" s="2">
        <v>2.4000000000000001E-4</v>
      </c>
      <c r="AT21" s="2">
        <v>2.7586206896552002E-4</v>
      </c>
      <c r="AU21" s="15">
        <v>210</v>
      </c>
      <c r="AV21" s="15"/>
      <c r="AW21" s="15">
        <v>117497.032258065</v>
      </c>
      <c r="AX21" s="42">
        <v>15</v>
      </c>
      <c r="AY21" s="42">
        <v>218</v>
      </c>
      <c r="AZ21" s="105">
        <f t="shared" si="37"/>
        <v>2.6999999999999999E-5</v>
      </c>
      <c r="BA21" s="105">
        <f t="shared" si="38"/>
        <v>4.9499999999999995E-2</v>
      </c>
      <c r="BB21" s="105">
        <v>0</v>
      </c>
      <c r="BC21" s="15">
        <v>2.1527777777777799E-3</v>
      </c>
      <c r="BD21" s="105">
        <f t="shared" si="39"/>
        <v>2.7586206896552002E-4</v>
      </c>
      <c r="BE21" s="105">
        <f t="shared" si="40"/>
        <v>2.4000000000000001E-4</v>
      </c>
    </row>
    <row r="22" spans="1:57" x14ac:dyDescent="0.25">
      <c r="A22" s="42" t="s">
        <v>32</v>
      </c>
      <c r="B22" s="42" t="s">
        <v>1071</v>
      </c>
      <c r="C22" s="42"/>
      <c r="D22" s="42"/>
      <c r="E22" s="15">
        <v>2.4235E-10</v>
      </c>
      <c r="F22" s="15">
        <v>1.5355E-10</v>
      </c>
      <c r="G22" s="15">
        <v>6.106711176E-9</v>
      </c>
      <c r="H22" s="15">
        <v>2.6159E-8</v>
      </c>
      <c r="I22" s="15">
        <v>1.1432999999999999E-10</v>
      </c>
      <c r="J22" s="15">
        <v>7.4369999999999998E-11</v>
      </c>
      <c r="K22" s="15">
        <v>1.844857296E-11</v>
      </c>
      <c r="L22" s="15">
        <v>8.8389681839999997E-9</v>
      </c>
      <c r="M22" s="15">
        <v>4.2385012559999998E-14</v>
      </c>
      <c r="N22" s="15">
        <v>4.4463396095999997E-9</v>
      </c>
      <c r="O22" s="15">
        <v>6.0716822400000003E-9</v>
      </c>
      <c r="P22" s="15">
        <v>6.0950348640000001E-9</v>
      </c>
      <c r="Q22" s="15">
        <v>1</v>
      </c>
      <c r="R22" s="15">
        <v>1</v>
      </c>
      <c r="S22" s="15">
        <v>1</v>
      </c>
      <c r="T22" s="15">
        <v>1</v>
      </c>
      <c r="U22" s="15">
        <v>1</v>
      </c>
      <c r="V22" s="15">
        <v>1</v>
      </c>
      <c r="W22" s="15">
        <v>1</v>
      </c>
      <c r="X22" s="15">
        <v>1</v>
      </c>
      <c r="Y22" s="15">
        <v>1</v>
      </c>
      <c r="Z22" s="15">
        <v>1</v>
      </c>
      <c r="AA22" s="105">
        <f t="shared" ref="AA22:AE23" si="42">0.4*V22</f>
        <v>0.4</v>
      </c>
      <c r="AB22" s="105">
        <f t="shared" si="42"/>
        <v>0.4</v>
      </c>
      <c r="AC22" s="105">
        <f t="shared" si="42"/>
        <v>0.4</v>
      </c>
      <c r="AD22" s="105">
        <f t="shared" si="42"/>
        <v>0.4</v>
      </c>
      <c r="AE22" s="105">
        <f t="shared" si="42"/>
        <v>0.4</v>
      </c>
      <c r="AF22" s="15">
        <v>4.0821917808219199E-2</v>
      </c>
      <c r="AG22" s="15">
        <v>225</v>
      </c>
      <c r="AH22" s="2">
        <v>3.8000000000000002E-4</v>
      </c>
      <c r="AI22" s="2">
        <v>1.6999999999999999E-3</v>
      </c>
      <c r="AJ22" s="2">
        <v>4</v>
      </c>
      <c r="AK22" s="2">
        <v>100</v>
      </c>
      <c r="AL22" s="2" t="s">
        <v>1503</v>
      </c>
      <c r="AM22" s="2" t="s">
        <v>1503</v>
      </c>
      <c r="AN22" s="2" t="s">
        <v>1503</v>
      </c>
      <c r="AO22" s="239">
        <v>5.0000000000000001E-3</v>
      </c>
      <c r="AP22" s="2" t="s">
        <v>1503</v>
      </c>
      <c r="AQ22" s="2" t="s">
        <v>1503</v>
      </c>
      <c r="AR22" s="2" t="s">
        <v>1503</v>
      </c>
      <c r="AS22" s="2">
        <v>1.7000000000000001E-2</v>
      </c>
      <c r="AT22" s="2">
        <v>1.9540229885056999E-2</v>
      </c>
      <c r="AU22" s="15">
        <v>1</v>
      </c>
      <c r="AV22" s="15">
        <v>0.2</v>
      </c>
      <c r="AW22" s="15">
        <v>16.976174496644301</v>
      </c>
      <c r="AX22" s="42"/>
      <c r="AY22" s="42">
        <v>225</v>
      </c>
      <c r="AZ22" s="105">
        <f t="shared" ref="AZ22:AZ23" si="43">BB22+lambda_HL</f>
        <v>2.6999999999999999E-5</v>
      </c>
      <c r="BA22" s="105">
        <f t="shared" ref="BA22:BA23" si="44">BB22+(0.693/t_w)</f>
        <v>4.9499999999999995E-2</v>
      </c>
      <c r="BB22" s="105">
        <v>0</v>
      </c>
      <c r="BC22" s="15">
        <v>14.9</v>
      </c>
      <c r="BD22" s="105">
        <f>AT22</f>
        <v>1.9540229885056999E-2</v>
      </c>
      <c r="BE22" s="105">
        <f t="shared" ref="BE22:BE23" si="45">AS22</f>
        <v>1.7000000000000001E-2</v>
      </c>
    </row>
    <row r="23" spans="1:57" x14ac:dyDescent="0.25">
      <c r="A23" s="42" t="s">
        <v>33</v>
      </c>
      <c r="B23" s="42" t="s">
        <v>349</v>
      </c>
      <c r="C23" s="42"/>
      <c r="D23" s="42"/>
      <c r="E23" s="15">
        <v>6.7709999999999997E-10</v>
      </c>
      <c r="F23" s="15">
        <v>5.1429999999999997E-10</v>
      </c>
      <c r="G23" s="15">
        <v>2.4987307680000001E-8</v>
      </c>
      <c r="H23" s="15">
        <v>2.8156999999999999E-8</v>
      </c>
      <c r="I23" s="15">
        <v>3.8480000000000001E-10</v>
      </c>
      <c r="J23" s="15">
        <v>2.9451999999999998E-10</v>
      </c>
      <c r="K23" s="15">
        <v>2.849020128E-11</v>
      </c>
      <c r="L23" s="15">
        <v>6.2468269200000004E-9</v>
      </c>
      <c r="M23" s="15">
        <v>6.2701795440000005E-14</v>
      </c>
      <c r="N23" s="15">
        <v>6.3332316288000001E-9</v>
      </c>
      <c r="O23" s="15">
        <v>1.7315970695999999E-8</v>
      </c>
      <c r="P23" s="15">
        <v>2.4286728960000001E-8</v>
      </c>
      <c r="Q23" s="15">
        <v>1</v>
      </c>
      <c r="R23" s="15">
        <v>1</v>
      </c>
      <c r="S23" s="15">
        <v>1</v>
      </c>
      <c r="T23" s="15">
        <v>1</v>
      </c>
      <c r="U23" s="15">
        <v>1</v>
      </c>
      <c r="V23" s="15">
        <v>1</v>
      </c>
      <c r="W23" s="15">
        <v>1</v>
      </c>
      <c r="X23" s="15">
        <v>1</v>
      </c>
      <c r="Y23" s="15">
        <v>1</v>
      </c>
      <c r="Z23" s="15">
        <v>1</v>
      </c>
      <c r="AA23" s="105">
        <f t="shared" si="42"/>
        <v>0.4</v>
      </c>
      <c r="AB23" s="105">
        <f t="shared" si="42"/>
        <v>0.4</v>
      </c>
      <c r="AC23" s="105">
        <f t="shared" si="42"/>
        <v>0.4</v>
      </c>
      <c r="AD23" s="105">
        <f t="shared" si="42"/>
        <v>0.4</v>
      </c>
      <c r="AE23" s="105">
        <f t="shared" si="42"/>
        <v>0.4</v>
      </c>
      <c r="AF23" s="15">
        <v>1600</v>
      </c>
      <c r="AG23" s="15">
        <v>226</v>
      </c>
      <c r="AH23" s="2">
        <v>3.8000000000000002E-4</v>
      </c>
      <c r="AI23" s="2">
        <v>1.6999999999999999E-3</v>
      </c>
      <c r="AJ23" s="2">
        <v>4</v>
      </c>
      <c r="AK23" s="2">
        <v>100</v>
      </c>
      <c r="AL23" s="2" t="s">
        <v>1503</v>
      </c>
      <c r="AM23" s="2" t="s">
        <v>1503</v>
      </c>
      <c r="AN23" s="2" t="s">
        <v>1503</v>
      </c>
      <c r="AO23" s="239">
        <v>5.0000000000000001E-3</v>
      </c>
      <c r="AP23" s="2" t="s">
        <v>1503</v>
      </c>
      <c r="AQ23" s="2" t="s">
        <v>1503</v>
      </c>
      <c r="AR23" s="2" t="s">
        <v>1503</v>
      </c>
      <c r="AS23" s="2">
        <v>1.7000000000000001E-2</v>
      </c>
      <c r="AT23" s="2">
        <v>1.9540229885056999E-2</v>
      </c>
      <c r="AU23" s="15">
        <v>1</v>
      </c>
      <c r="AV23" s="15">
        <v>0.2</v>
      </c>
      <c r="AW23" s="15">
        <v>4.3312500000000002E-4</v>
      </c>
      <c r="AX23" s="42">
        <v>5</v>
      </c>
      <c r="AY23" s="42">
        <v>226</v>
      </c>
      <c r="AZ23" s="105">
        <f t="shared" si="43"/>
        <v>2.6999999999999999E-5</v>
      </c>
      <c r="BA23" s="105">
        <f t="shared" si="44"/>
        <v>4.9499999999999995E-2</v>
      </c>
      <c r="BB23" s="105">
        <v>0</v>
      </c>
      <c r="BC23" s="15">
        <v>584000</v>
      </c>
      <c r="BD23" s="105">
        <f t="shared" ref="BD23" si="46">AT23</f>
        <v>1.9540229885056999E-2</v>
      </c>
      <c r="BE23" s="105">
        <f t="shared" si="45"/>
        <v>1.7000000000000001E-2</v>
      </c>
    </row>
    <row r="24" spans="1:57" x14ac:dyDescent="0.25">
      <c r="A24" s="42" t="s">
        <v>34</v>
      </c>
      <c r="B24" s="42" t="s">
        <v>1071</v>
      </c>
      <c r="C24" s="42">
        <v>1</v>
      </c>
      <c r="D24" s="14">
        <v>1.9733000000000001E-7</v>
      </c>
      <c r="E24" s="15">
        <v>0</v>
      </c>
      <c r="F24" s="15">
        <v>0</v>
      </c>
      <c r="G24" s="15">
        <v>3.3861304799999998E-9</v>
      </c>
      <c r="H24" s="15">
        <v>0</v>
      </c>
      <c r="I24" s="15">
        <v>0</v>
      </c>
      <c r="J24" s="15">
        <v>0</v>
      </c>
      <c r="K24" s="15">
        <v>3.187633176E-12</v>
      </c>
      <c r="L24" s="15">
        <v>6.807289896E-10</v>
      </c>
      <c r="M24" s="15">
        <v>6.9240530159999999E-15</v>
      </c>
      <c r="N24" s="15">
        <v>6.9684230016000005E-10</v>
      </c>
      <c r="O24" s="15">
        <v>1.9616204160000001E-9</v>
      </c>
      <c r="P24" s="15">
        <v>3.0358411200000002E-9</v>
      </c>
      <c r="Q24" s="15">
        <v>1</v>
      </c>
      <c r="R24" s="15">
        <v>1</v>
      </c>
      <c r="S24" s="15">
        <v>1</v>
      </c>
      <c r="T24" s="15">
        <v>1</v>
      </c>
      <c r="U24" s="15">
        <v>1</v>
      </c>
      <c r="V24" s="15">
        <v>1</v>
      </c>
      <c r="W24" s="15">
        <v>1</v>
      </c>
      <c r="X24" s="15">
        <v>1</v>
      </c>
      <c r="Y24" s="15">
        <v>1</v>
      </c>
      <c r="Z24" s="15">
        <v>1</v>
      </c>
      <c r="AA24" s="105">
        <f t="shared" ref="AA24:AE25" si="47">0.4*V24</f>
        <v>0.4</v>
      </c>
      <c r="AB24" s="105">
        <f t="shared" si="47"/>
        <v>0.4</v>
      </c>
      <c r="AC24" s="105">
        <f t="shared" si="47"/>
        <v>0.4</v>
      </c>
      <c r="AD24" s="105">
        <f t="shared" si="47"/>
        <v>0.4</v>
      </c>
      <c r="AE24" s="105">
        <f t="shared" si="47"/>
        <v>0.4</v>
      </c>
      <c r="AF24" s="15">
        <v>1.1098427194317601E-9</v>
      </c>
      <c r="AG24" s="15">
        <v>218</v>
      </c>
      <c r="AH24" s="2">
        <v>0</v>
      </c>
      <c r="AI24" s="2">
        <v>0</v>
      </c>
      <c r="AJ24" s="2">
        <v>0</v>
      </c>
      <c r="AK24" s="2" t="s">
        <v>1503</v>
      </c>
      <c r="AL24" s="2" t="s">
        <v>1503</v>
      </c>
      <c r="AM24" s="2" t="s">
        <v>1503</v>
      </c>
      <c r="AN24" s="2" t="s">
        <v>1503</v>
      </c>
      <c r="AO24" s="2" t="s">
        <v>1503</v>
      </c>
      <c r="AP24" s="2" t="s">
        <v>1503</v>
      </c>
      <c r="AQ24" s="2" t="s">
        <v>1503</v>
      </c>
      <c r="AR24" s="2" t="s">
        <v>1503</v>
      </c>
      <c r="AS24" s="2">
        <v>0</v>
      </c>
      <c r="AT24" s="2">
        <v>0</v>
      </c>
      <c r="AU24" s="15">
        <v>0</v>
      </c>
      <c r="AV24" s="15"/>
      <c r="AW24" s="15">
        <v>624412800</v>
      </c>
      <c r="AX24" s="42"/>
      <c r="AY24" s="42">
        <v>218</v>
      </c>
      <c r="AZ24" s="105">
        <f t="shared" ref="AZ24:AZ25" si="48">BB24+lambda_HL</f>
        <v>2.6999999999999999E-5</v>
      </c>
      <c r="BA24" s="105">
        <f t="shared" ref="BA24:BA25" si="49">BB24+(0.693/t_w)</f>
        <v>4.9499999999999995E-2</v>
      </c>
      <c r="BB24" s="105">
        <v>0</v>
      </c>
      <c r="BC24" s="15">
        <v>4.05092592592593E-7</v>
      </c>
      <c r="BD24" s="105">
        <f t="shared" ref="BD24:BD25" si="50">AT24</f>
        <v>0</v>
      </c>
      <c r="BE24" s="105">
        <f t="shared" ref="BE24:BE25" si="51">AS24</f>
        <v>0</v>
      </c>
    </row>
    <row r="25" spans="1:57" x14ac:dyDescent="0.25">
      <c r="A25" s="42" t="s">
        <v>35</v>
      </c>
      <c r="B25" s="42" t="s">
        <v>349</v>
      </c>
      <c r="C25" s="42">
        <v>1</v>
      </c>
      <c r="D25" s="14">
        <v>1</v>
      </c>
      <c r="E25" s="15">
        <v>0</v>
      </c>
      <c r="F25" s="15">
        <v>0</v>
      </c>
      <c r="G25" s="15">
        <v>1.6930652399999999E-9</v>
      </c>
      <c r="H25" s="45">
        <v>2.28E-12</v>
      </c>
      <c r="I25" s="15">
        <v>0</v>
      </c>
      <c r="J25" s="15">
        <v>0</v>
      </c>
      <c r="K25" s="15">
        <v>1.6230073680000001E-12</v>
      </c>
      <c r="L25" s="15">
        <v>3.5028935999999998E-10</v>
      </c>
      <c r="M25" s="15">
        <v>3.5145699120000001E-15</v>
      </c>
      <c r="N25" s="15">
        <v>3.5682809472000002E-10</v>
      </c>
      <c r="O25" s="15">
        <v>1.00696514688E-9</v>
      </c>
      <c r="P25" s="15">
        <v>1.5412731840000001E-9</v>
      </c>
      <c r="Q25" s="15">
        <v>1</v>
      </c>
      <c r="R25" s="15">
        <v>1</v>
      </c>
      <c r="S25" s="15">
        <v>1</v>
      </c>
      <c r="T25" s="15">
        <v>1</v>
      </c>
      <c r="U25" s="15">
        <v>1</v>
      </c>
      <c r="V25" s="15">
        <v>1</v>
      </c>
      <c r="W25" s="15">
        <v>1</v>
      </c>
      <c r="X25" s="15">
        <v>1</v>
      </c>
      <c r="Y25" s="15">
        <v>1</v>
      </c>
      <c r="Z25" s="15">
        <v>1</v>
      </c>
      <c r="AA25" s="105">
        <f t="shared" si="47"/>
        <v>0.4</v>
      </c>
      <c r="AB25" s="105">
        <f t="shared" si="47"/>
        <v>0.4</v>
      </c>
      <c r="AC25" s="105">
        <f t="shared" si="47"/>
        <v>0.4</v>
      </c>
      <c r="AD25" s="105">
        <f t="shared" si="47"/>
        <v>0.4</v>
      </c>
      <c r="AE25" s="105">
        <f t="shared" si="47"/>
        <v>0.4</v>
      </c>
      <c r="AF25" s="15">
        <v>1.04753424657534E-2</v>
      </c>
      <c r="AG25" s="15">
        <v>222</v>
      </c>
      <c r="AH25" s="2">
        <v>0</v>
      </c>
      <c r="AI25" s="2">
        <v>0</v>
      </c>
      <c r="AJ25" s="2">
        <v>0</v>
      </c>
      <c r="AK25" s="2" t="s">
        <v>1503</v>
      </c>
      <c r="AL25" s="2" t="s">
        <v>1503</v>
      </c>
      <c r="AM25" s="2" t="s">
        <v>1503</v>
      </c>
      <c r="AN25" s="2" t="s">
        <v>1503</v>
      </c>
      <c r="AO25" s="2" t="s">
        <v>1503</v>
      </c>
      <c r="AP25" s="2" t="s">
        <v>1503</v>
      </c>
      <c r="AQ25" s="2" t="s">
        <v>1503</v>
      </c>
      <c r="AR25" s="2" t="s">
        <v>1503</v>
      </c>
      <c r="AS25" s="2">
        <v>0</v>
      </c>
      <c r="AT25" s="2">
        <v>0</v>
      </c>
      <c r="AU25" s="15">
        <v>0</v>
      </c>
      <c r="AV25" s="15"/>
      <c r="AW25" s="15">
        <v>66.155355041192607</v>
      </c>
      <c r="AX25" s="42"/>
      <c r="AY25" s="42">
        <v>222</v>
      </c>
      <c r="AZ25" s="105">
        <f t="shared" si="48"/>
        <v>2.6999999999999999E-5</v>
      </c>
      <c r="BA25" s="105">
        <f t="shared" si="49"/>
        <v>4.9499999999999995E-2</v>
      </c>
      <c r="BB25" s="105">
        <v>0</v>
      </c>
      <c r="BC25" s="15">
        <v>3.8235000000000001</v>
      </c>
      <c r="BD25" s="105">
        <f t="shared" si="50"/>
        <v>0</v>
      </c>
      <c r="BE25" s="105">
        <f t="shared" si="51"/>
        <v>0</v>
      </c>
    </row>
    <row r="26" spans="1:57" x14ac:dyDescent="0.25">
      <c r="A26" s="42" t="s">
        <v>36</v>
      </c>
      <c r="B26" s="42" t="s">
        <v>1071</v>
      </c>
      <c r="C26" s="42"/>
      <c r="D26" s="42"/>
      <c r="E26" s="15">
        <v>3.8480000000000001E-10</v>
      </c>
      <c r="F26" s="15">
        <v>2.9045000000000002E-10</v>
      </c>
      <c r="G26" s="15">
        <v>2.241851904E-7</v>
      </c>
      <c r="H26" s="15">
        <v>1.7464000000000001E-7</v>
      </c>
      <c r="I26" s="15">
        <v>2.2347999999999999E-10</v>
      </c>
      <c r="J26" s="15">
        <v>1.9683999999999999E-10</v>
      </c>
      <c r="K26" s="15">
        <v>3.0008121840000002E-10</v>
      </c>
      <c r="L26" s="15">
        <v>7.0758450719999997E-8</v>
      </c>
      <c r="M26" s="15">
        <v>6.6788504639999998E-13</v>
      </c>
      <c r="N26" s="15">
        <v>6.7629199103999999E-8</v>
      </c>
      <c r="O26" s="15">
        <v>1.7059091832000001E-7</v>
      </c>
      <c r="P26" s="15">
        <v>2.2184992799999999E-7</v>
      </c>
      <c r="Q26" s="15">
        <v>1</v>
      </c>
      <c r="R26" s="15">
        <v>1</v>
      </c>
      <c r="S26" s="15">
        <v>1</v>
      </c>
      <c r="T26" s="15">
        <v>1</v>
      </c>
      <c r="U26" s="15">
        <v>1</v>
      </c>
      <c r="V26" s="15">
        <v>1</v>
      </c>
      <c r="W26" s="15">
        <v>1</v>
      </c>
      <c r="X26" s="15">
        <v>1</v>
      </c>
      <c r="Y26" s="15">
        <v>1</v>
      </c>
      <c r="Z26" s="15">
        <v>1</v>
      </c>
      <c r="AA26" s="105">
        <f t="shared" ref="AA26:AE26" si="52">0.4*V26</f>
        <v>0.4</v>
      </c>
      <c r="AB26" s="105">
        <f t="shared" si="52"/>
        <v>0.4</v>
      </c>
      <c r="AC26" s="105">
        <f t="shared" si="52"/>
        <v>0.4</v>
      </c>
      <c r="AD26" s="105">
        <f t="shared" si="52"/>
        <v>0.4</v>
      </c>
      <c r="AE26" s="105">
        <f t="shared" si="52"/>
        <v>0.4</v>
      </c>
      <c r="AF26" s="15">
        <v>7340</v>
      </c>
      <c r="AG26" s="15">
        <v>229</v>
      </c>
      <c r="AH26" s="2">
        <v>5.0000000000000004E-6</v>
      </c>
      <c r="AI26" s="2">
        <v>2.3000000000000001E-4</v>
      </c>
      <c r="AJ26" s="2">
        <v>6</v>
      </c>
      <c r="AK26" s="2">
        <v>2900</v>
      </c>
      <c r="AL26" s="2" t="s">
        <v>1503</v>
      </c>
      <c r="AM26" s="2" t="s">
        <v>1503</v>
      </c>
      <c r="AN26" s="2" t="s">
        <v>1503</v>
      </c>
      <c r="AO26" s="239">
        <v>1E-3</v>
      </c>
      <c r="AP26" s="2" t="s">
        <v>1503</v>
      </c>
      <c r="AQ26" s="2" t="s">
        <v>1503</v>
      </c>
      <c r="AR26" s="2" t="s">
        <v>1503</v>
      </c>
      <c r="AS26" s="2">
        <v>2.0999999999999999E-3</v>
      </c>
      <c r="AT26" s="2">
        <v>2.4137931034482999E-3</v>
      </c>
      <c r="AU26" s="15">
        <v>20</v>
      </c>
      <c r="AV26" s="15">
        <v>5.0000000000000001E-4</v>
      </c>
      <c r="AW26" s="15">
        <v>9.4414168937329696E-5</v>
      </c>
      <c r="AX26" s="42">
        <v>15</v>
      </c>
      <c r="AY26" s="42">
        <v>229</v>
      </c>
      <c r="AZ26" s="105">
        <f t="shared" ref="AZ26" si="53">BB26+lambda_HL</f>
        <v>2.6999999999999999E-5</v>
      </c>
      <c r="BA26" s="105">
        <f t="shared" ref="BA26" si="54">BB26+(0.693/t_w)</f>
        <v>4.9499999999999995E-2</v>
      </c>
      <c r="BB26" s="105">
        <v>0</v>
      </c>
      <c r="BC26" s="15">
        <v>2679100</v>
      </c>
      <c r="BD26" s="105">
        <f t="shared" ref="BD26" si="55">AT26</f>
        <v>2.4137931034482999E-3</v>
      </c>
      <c r="BE26" s="105">
        <f t="shared" ref="BE26" si="56">AS26</f>
        <v>2.0999999999999999E-3</v>
      </c>
    </row>
    <row r="27" spans="1:57" x14ac:dyDescent="0.25">
      <c r="A27" s="42" t="s">
        <v>37</v>
      </c>
      <c r="B27" s="42" t="s">
        <v>1071</v>
      </c>
      <c r="C27" s="42">
        <v>1</v>
      </c>
      <c r="D27" s="14">
        <v>0</v>
      </c>
      <c r="E27" s="15">
        <v>0</v>
      </c>
      <c r="F27" s="15">
        <v>0</v>
      </c>
      <c r="G27" s="15">
        <v>6.106711176E-9</v>
      </c>
      <c r="H27" s="15">
        <v>0</v>
      </c>
      <c r="I27" s="15">
        <v>0</v>
      </c>
      <c r="J27" s="15">
        <v>0</v>
      </c>
      <c r="K27" s="15">
        <v>9.3994311600000004E-12</v>
      </c>
      <c r="L27" s="15">
        <v>8.5704130080000005E-9</v>
      </c>
      <c r="M27" s="15">
        <v>1.4712153119999999E-14</v>
      </c>
      <c r="N27" s="15">
        <v>2.0737130111999998E-9</v>
      </c>
      <c r="O27" s="15">
        <v>4.4089754112000003E-9</v>
      </c>
      <c r="P27" s="15">
        <v>5.8615086239999998E-9</v>
      </c>
      <c r="Q27" s="15">
        <v>1</v>
      </c>
      <c r="R27" s="15">
        <v>1</v>
      </c>
      <c r="S27" s="15">
        <v>1</v>
      </c>
      <c r="T27" s="15">
        <v>1</v>
      </c>
      <c r="U27" s="15">
        <v>1</v>
      </c>
      <c r="V27" s="15">
        <v>1</v>
      </c>
      <c r="W27" s="15">
        <v>1</v>
      </c>
      <c r="X27" s="15">
        <v>1</v>
      </c>
      <c r="Y27" s="15">
        <v>1</v>
      </c>
      <c r="Z27" s="15">
        <v>1</v>
      </c>
      <c r="AA27" s="105">
        <f t="shared" ref="AA27:AE30" si="57">0.4*V27</f>
        <v>0.4</v>
      </c>
      <c r="AB27" s="105">
        <f t="shared" si="57"/>
        <v>0.4</v>
      </c>
      <c r="AC27" s="105">
        <f t="shared" si="57"/>
        <v>0.4</v>
      </c>
      <c r="AD27" s="105">
        <f t="shared" si="57"/>
        <v>0.4</v>
      </c>
      <c r="AE27" s="105">
        <f t="shared" si="57"/>
        <v>0.4</v>
      </c>
      <c r="AF27" s="15">
        <v>7.9908675799086794E-6</v>
      </c>
      <c r="AG27" s="15">
        <v>206</v>
      </c>
      <c r="AH27" s="2">
        <v>2E-3</v>
      </c>
      <c r="AI27" s="2">
        <v>0.04</v>
      </c>
      <c r="AJ27" s="2">
        <v>900</v>
      </c>
      <c r="AK27" s="2" t="s">
        <v>1503</v>
      </c>
      <c r="AL27" s="2" t="s">
        <v>1503</v>
      </c>
      <c r="AM27" s="2" t="s">
        <v>1503</v>
      </c>
      <c r="AN27" s="2" t="s">
        <v>1503</v>
      </c>
      <c r="AO27" s="239">
        <v>0.4</v>
      </c>
      <c r="AP27" s="2" t="s">
        <v>1503</v>
      </c>
      <c r="AQ27" s="2" t="s">
        <v>1503</v>
      </c>
      <c r="AR27" s="2" t="s">
        <v>1503</v>
      </c>
      <c r="AS27" s="2">
        <v>8.0000000000000004E-4</v>
      </c>
      <c r="AT27" s="2">
        <v>8.0000000000000002E-3</v>
      </c>
      <c r="AU27" s="15">
        <v>1500</v>
      </c>
      <c r="AV27" s="15"/>
      <c r="AW27" s="15">
        <v>86724</v>
      </c>
      <c r="AX27" s="42"/>
      <c r="AY27" s="42">
        <v>206</v>
      </c>
      <c r="AZ27" s="105">
        <f t="shared" ref="AZ27:AZ30" si="58">BB27+lambda_HL</f>
        <v>2.6999999999999999E-5</v>
      </c>
      <c r="BA27" s="105">
        <f t="shared" ref="BA27:BA30" si="59">BB27+(0.693/t_w)</f>
        <v>4.9499999999999995E-2</v>
      </c>
      <c r="BB27" s="105">
        <v>0</v>
      </c>
      <c r="BC27" s="15">
        <v>2.9166666666666698E-3</v>
      </c>
      <c r="BD27" s="105">
        <f t="shared" ref="BD27:BD30" si="60">AT27</f>
        <v>8.0000000000000002E-3</v>
      </c>
      <c r="BE27" s="105">
        <f t="shared" ref="BE27:BE30" si="61">AS27</f>
        <v>8.0000000000000004E-4</v>
      </c>
    </row>
    <row r="28" spans="1:57" x14ac:dyDescent="0.25">
      <c r="A28" s="42" t="s">
        <v>38</v>
      </c>
      <c r="B28" s="42" t="s">
        <v>1071</v>
      </c>
      <c r="C28" s="42"/>
      <c r="D28" s="42"/>
      <c r="E28" s="15">
        <v>0</v>
      </c>
      <c r="F28" s="15">
        <v>0</v>
      </c>
      <c r="G28" s="15">
        <v>1.0321859808E-5</v>
      </c>
      <c r="H28" s="15">
        <v>0</v>
      </c>
      <c r="I28" s="15">
        <v>0</v>
      </c>
      <c r="J28" s="15">
        <v>0</v>
      </c>
      <c r="K28" s="15">
        <v>9.5745758399999995E-9</v>
      </c>
      <c r="L28" s="15">
        <v>1.8565336080000001E-6</v>
      </c>
      <c r="M28" s="15">
        <v>2.078383536E-11</v>
      </c>
      <c r="N28" s="15">
        <v>1.9055741184E-6</v>
      </c>
      <c r="O28" s="15">
        <v>5.4738550656000002E-6</v>
      </c>
      <c r="P28" s="15">
        <v>8.710528752E-6</v>
      </c>
      <c r="Q28" s="15">
        <v>1</v>
      </c>
      <c r="R28" s="15">
        <v>1</v>
      </c>
      <c r="S28" s="15">
        <v>1</v>
      </c>
      <c r="T28" s="15">
        <v>1</v>
      </c>
      <c r="U28" s="15">
        <v>1</v>
      </c>
      <c r="V28" s="15">
        <v>1</v>
      </c>
      <c r="W28" s="15">
        <v>1</v>
      </c>
      <c r="X28" s="15">
        <v>1</v>
      </c>
      <c r="Y28" s="15">
        <v>1</v>
      </c>
      <c r="Z28" s="15">
        <v>1</v>
      </c>
      <c r="AA28" s="105">
        <f t="shared" si="57"/>
        <v>0.4</v>
      </c>
      <c r="AB28" s="105">
        <f t="shared" si="57"/>
        <v>0.4</v>
      </c>
      <c r="AC28" s="105">
        <f t="shared" si="57"/>
        <v>0.4</v>
      </c>
      <c r="AD28" s="105">
        <f t="shared" si="57"/>
        <v>0.4</v>
      </c>
      <c r="AE28" s="105">
        <f t="shared" si="57"/>
        <v>0.4</v>
      </c>
      <c r="AF28" s="15">
        <v>4.1114916286149197E-6</v>
      </c>
      <c r="AG28" s="15">
        <v>209</v>
      </c>
      <c r="AH28" s="2">
        <v>2E-3</v>
      </c>
      <c r="AI28" s="2">
        <v>0.04</v>
      </c>
      <c r="AJ28" s="2">
        <v>900</v>
      </c>
      <c r="AK28" s="2" t="s">
        <v>1503</v>
      </c>
      <c r="AL28" s="2" t="s">
        <v>1503</v>
      </c>
      <c r="AM28" s="2" t="s">
        <v>1503</v>
      </c>
      <c r="AN28" s="2" t="s">
        <v>1503</v>
      </c>
      <c r="AO28" s="239">
        <v>0.4</v>
      </c>
      <c r="AP28" s="2" t="s">
        <v>1503</v>
      </c>
      <c r="AQ28" s="2" t="s">
        <v>1503</v>
      </c>
      <c r="AR28" s="2" t="s">
        <v>1503</v>
      </c>
      <c r="AS28" s="2">
        <v>8.0000000000000004E-4</v>
      </c>
      <c r="AT28" s="2">
        <v>8.0000000000000002E-3</v>
      </c>
      <c r="AU28" s="15">
        <v>1500</v>
      </c>
      <c r="AV28" s="15"/>
      <c r="AW28" s="15">
        <v>168551.966682092</v>
      </c>
      <c r="AX28" s="42"/>
      <c r="AY28" s="42">
        <v>209</v>
      </c>
      <c r="AZ28" s="105">
        <f t="shared" si="58"/>
        <v>2.6999999999999999E-5</v>
      </c>
      <c r="BA28" s="105">
        <f t="shared" si="59"/>
        <v>4.9499999999999995E-2</v>
      </c>
      <c r="BB28" s="105">
        <v>0</v>
      </c>
      <c r="BC28" s="15">
        <v>1.5006944444444399E-3</v>
      </c>
      <c r="BD28" s="105">
        <f t="shared" si="60"/>
        <v>8.0000000000000002E-3</v>
      </c>
      <c r="BE28" s="105">
        <f t="shared" si="61"/>
        <v>8.0000000000000004E-4</v>
      </c>
    </row>
    <row r="29" spans="1:57" x14ac:dyDescent="0.25">
      <c r="A29" s="42" t="s">
        <v>39</v>
      </c>
      <c r="B29" s="42" t="s">
        <v>1071</v>
      </c>
      <c r="C29" s="42">
        <v>1</v>
      </c>
      <c r="D29" s="14">
        <v>1.70039E-4</v>
      </c>
      <c r="E29" s="15">
        <v>0</v>
      </c>
      <c r="F29" s="15">
        <v>0</v>
      </c>
      <c r="G29" s="15">
        <v>1.34277588E-5</v>
      </c>
      <c r="H29" s="15">
        <v>0</v>
      </c>
      <c r="I29" s="15">
        <v>0</v>
      </c>
      <c r="J29" s="15">
        <v>0</v>
      </c>
      <c r="K29" s="15">
        <v>1.237689072E-8</v>
      </c>
      <c r="L29" s="15">
        <v>2.4053202719999999E-6</v>
      </c>
      <c r="M29" s="15">
        <v>2.6855517599999999E-11</v>
      </c>
      <c r="N29" s="15">
        <v>2.4847191936000002E-6</v>
      </c>
      <c r="O29" s="15">
        <v>7.1178797952000003E-6</v>
      </c>
      <c r="P29" s="15">
        <v>1.1361051576E-5</v>
      </c>
      <c r="Q29" s="15">
        <v>1</v>
      </c>
      <c r="R29" s="15">
        <v>1</v>
      </c>
      <c r="S29" s="15">
        <v>1</v>
      </c>
      <c r="T29" s="15">
        <v>1</v>
      </c>
      <c r="U29" s="15">
        <v>1</v>
      </c>
      <c r="V29" s="15">
        <v>1</v>
      </c>
      <c r="W29" s="15">
        <v>1</v>
      </c>
      <c r="X29" s="15">
        <v>1</v>
      </c>
      <c r="Y29" s="15">
        <v>1</v>
      </c>
      <c r="Z29" s="15">
        <v>1</v>
      </c>
      <c r="AA29" s="105">
        <f t="shared" si="57"/>
        <v>0.4</v>
      </c>
      <c r="AB29" s="105">
        <f t="shared" si="57"/>
        <v>0.4</v>
      </c>
      <c r="AC29" s="105">
        <f t="shared" si="57"/>
        <v>0.4</v>
      </c>
      <c r="AD29" s="105">
        <f t="shared" si="57"/>
        <v>0.4</v>
      </c>
      <c r="AE29" s="105">
        <f t="shared" si="57"/>
        <v>0.4</v>
      </c>
      <c r="AF29" s="15">
        <v>2.4733637747336398E-6</v>
      </c>
      <c r="AG29" s="15">
        <v>210</v>
      </c>
      <c r="AH29" s="2">
        <v>2E-3</v>
      </c>
      <c r="AI29" s="2">
        <v>0.04</v>
      </c>
      <c r="AJ29" s="2">
        <v>900</v>
      </c>
      <c r="AK29" s="2" t="s">
        <v>1503</v>
      </c>
      <c r="AL29" s="2" t="s">
        <v>1503</v>
      </c>
      <c r="AM29" s="2" t="s">
        <v>1503</v>
      </c>
      <c r="AN29" s="2" t="s">
        <v>1503</v>
      </c>
      <c r="AO29" s="239">
        <v>0.4</v>
      </c>
      <c r="AP29" s="2" t="s">
        <v>1503</v>
      </c>
      <c r="AQ29" s="2" t="s">
        <v>1503</v>
      </c>
      <c r="AR29" s="2" t="s">
        <v>1503</v>
      </c>
      <c r="AS29" s="2">
        <v>8.0000000000000004E-4</v>
      </c>
      <c r="AT29" s="2">
        <v>8.0000000000000002E-3</v>
      </c>
      <c r="AU29" s="15">
        <v>1500</v>
      </c>
      <c r="AV29" s="15"/>
      <c r="AW29" s="15">
        <v>280185.23076923098</v>
      </c>
      <c r="AX29" s="42"/>
      <c r="AY29" s="42">
        <v>210</v>
      </c>
      <c r="AZ29" s="105">
        <f t="shared" si="58"/>
        <v>2.6999999999999999E-5</v>
      </c>
      <c r="BA29" s="105">
        <f t="shared" si="59"/>
        <v>4.9499999999999995E-2</v>
      </c>
      <c r="BB29" s="105">
        <v>0</v>
      </c>
      <c r="BC29" s="15">
        <v>9.0277777777777795E-4</v>
      </c>
      <c r="BD29" s="105">
        <f t="shared" si="60"/>
        <v>8.0000000000000002E-3</v>
      </c>
      <c r="BE29" s="105">
        <f t="shared" si="61"/>
        <v>8.0000000000000004E-4</v>
      </c>
    </row>
    <row r="30" spans="1:57" x14ac:dyDescent="0.25">
      <c r="A30" s="42" t="s">
        <v>40</v>
      </c>
      <c r="B30" s="42" t="s">
        <v>1071</v>
      </c>
      <c r="C30" s="42"/>
      <c r="D30" s="42"/>
      <c r="E30" s="15">
        <v>1.5022E-10</v>
      </c>
      <c r="F30" s="15">
        <v>9.6940000000000003E-11</v>
      </c>
      <c r="G30" s="15">
        <v>7.1108740080000005E-10</v>
      </c>
      <c r="H30" s="15">
        <v>2.8305000000000001E-8</v>
      </c>
      <c r="I30" s="15">
        <v>7.1779999999999997E-11</v>
      </c>
      <c r="J30" s="15">
        <v>5.2169999999999999E-11</v>
      </c>
      <c r="K30" s="15">
        <v>9.3760785359999994E-13</v>
      </c>
      <c r="L30" s="15">
        <v>3.5729514719999999E-10</v>
      </c>
      <c r="M30" s="15">
        <v>2.0900598480000001E-15</v>
      </c>
      <c r="N30" s="15">
        <v>2.0737130111999999E-10</v>
      </c>
      <c r="O30" s="15">
        <v>5.0628488832E-10</v>
      </c>
      <c r="P30" s="15">
        <v>6.8773477679999995E-10</v>
      </c>
      <c r="Q30" s="15">
        <v>1</v>
      </c>
      <c r="R30" s="15">
        <v>1</v>
      </c>
      <c r="S30" s="15">
        <v>1</v>
      </c>
      <c r="T30" s="15">
        <v>1</v>
      </c>
      <c r="U30" s="15">
        <v>1</v>
      </c>
      <c r="V30" s="15">
        <v>1</v>
      </c>
      <c r="W30" s="15">
        <v>1</v>
      </c>
      <c r="X30" s="15">
        <v>1</v>
      </c>
      <c r="Y30" s="15">
        <v>1</v>
      </c>
      <c r="Z30" s="15">
        <v>1</v>
      </c>
      <c r="AA30" s="105">
        <f t="shared" si="57"/>
        <v>0.4</v>
      </c>
      <c r="AB30" s="105">
        <f t="shared" si="57"/>
        <v>0.4</v>
      </c>
      <c r="AC30" s="105">
        <f t="shared" si="57"/>
        <v>0.4</v>
      </c>
      <c r="AD30" s="105">
        <f t="shared" si="57"/>
        <v>0.4</v>
      </c>
      <c r="AE30" s="105">
        <f t="shared" si="57"/>
        <v>0.4</v>
      </c>
      <c r="AF30" s="15">
        <v>159200</v>
      </c>
      <c r="AG30" s="15">
        <v>233</v>
      </c>
      <c r="AH30" s="2">
        <v>1.8E-3</v>
      </c>
      <c r="AI30" s="2">
        <v>3.8999999999999999E-4</v>
      </c>
      <c r="AJ30" s="2">
        <v>0.96</v>
      </c>
      <c r="AK30" s="2">
        <v>170</v>
      </c>
      <c r="AL30" s="2">
        <v>0.75</v>
      </c>
      <c r="AM30" s="2">
        <v>1.1000000000000001</v>
      </c>
      <c r="AN30" s="2">
        <v>4.3999999999999997E-2</v>
      </c>
      <c r="AO30" s="239">
        <v>2E-3</v>
      </c>
      <c r="AP30" s="2" t="s">
        <v>1503</v>
      </c>
      <c r="AQ30" s="2" t="s">
        <v>1503</v>
      </c>
      <c r="AR30" s="239">
        <v>1.4E-3</v>
      </c>
      <c r="AS30" s="2">
        <v>6.1999999999999998E-3</v>
      </c>
      <c r="AT30" s="2">
        <v>7.1264367816092E-3</v>
      </c>
      <c r="AU30" s="15">
        <v>0.4</v>
      </c>
      <c r="AV30" s="15">
        <v>0.02</v>
      </c>
      <c r="AW30" s="15">
        <v>4.3530150753768799E-6</v>
      </c>
      <c r="AX30" s="42">
        <v>289207.91735594597</v>
      </c>
      <c r="AY30" s="42">
        <v>233</v>
      </c>
      <c r="AZ30" s="105">
        <f t="shared" si="58"/>
        <v>2.6999999999999999E-5</v>
      </c>
      <c r="BA30" s="105">
        <f t="shared" si="59"/>
        <v>4.9499999999999995E-2</v>
      </c>
      <c r="BB30" s="105">
        <v>0</v>
      </c>
      <c r="BC30" s="15">
        <v>58108000</v>
      </c>
      <c r="BD30" s="105">
        <f t="shared" si="60"/>
        <v>7.1264367816092E-3</v>
      </c>
      <c r="BE30" s="105">
        <f t="shared" si="61"/>
        <v>6.1999999999999998E-3</v>
      </c>
    </row>
  </sheetData>
  <sheetProtection algorithmName="SHA-512" hashValue="2LH82vKT784qR0txrnO8MKOqiG8XK87vz3BxtyqPmF5Q07ASCvaeRY6C9aE9truR4H+7mCTdN9TnMAcZzWg4Pw==" saltValue="XbAWJJwDIJWW0hZ6vjtkCA==" spinCount="100000" sheet="1" formatColumns="0" formatRows="0" autoFilter="0"/>
  <autoFilter ref="A1:BE30" xr:uid="{00000000-0009-0000-0000-000000000000}"/>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9" tint="-0.499984740745262"/>
  </sheetPr>
  <dimension ref="A1:BF76"/>
  <sheetViews>
    <sheetView zoomScale="85" zoomScaleNormal="85"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5.5703125" style="15" bestFit="1" customWidth="1"/>
    <col min="2" max="2" width="11.85546875" style="15" bestFit="1" customWidth="1"/>
    <col min="3" max="3" width="13.28515625" style="4" customWidth="1"/>
    <col min="4" max="4" width="15.140625" style="15" bestFit="1" customWidth="1"/>
    <col min="5" max="5" width="15.28515625" style="15" bestFit="1" customWidth="1"/>
    <col min="6" max="6" width="15" style="15" bestFit="1" customWidth="1"/>
    <col min="7" max="7" width="19.85546875" style="15" bestFit="1" customWidth="1"/>
    <col min="8" max="8" width="16.7109375" style="15" bestFit="1" customWidth="1"/>
    <col min="9" max="9" width="14.7109375" style="15" bestFit="1" customWidth="1"/>
    <col min="10" max="12" width="14.28515625" style="15" bestFit="1" customWidth="1"/>
    <col min="13" max="13" width="18.42578125" style="15" bestFit="1" customWidth="1"/>
    <col min="14" max="16" width="14.7109375" style="15" bestFit="1" customWidth="1"/>
    <col min="17" max="17" width="19" style="15" bestFit="1" customWidth="1"/>
    <col min="18" max="18" width="14.5703125" style="15" bestFit="1" customWidth="1"/>
    <col min="19" max="19" width="14.140625" style="15" bestFit="1" customWidth="1"/>
    <col min="20" max="21" width="15.7109375" style="15" bestFit="1" customWidth="1"/>
    <col min="22" max="22" width="17" style="15" bestFit="1" customWidth="1"/>
    <col min="23" max="23" width="14.42578125" style="15" bestFit="1" customWidth="1"/>
    <col min="24" max="24" width="13.42578125" style="15" bestFit="1" customWidth="1"/>
    <col min="25" max="26" width="15.28515625" style="15" bestFit="1" customWidth="1"/>
    <col min="27" max="27" width="16.42578125" style="15" bestFit="1" customWidth="1"/>
    <col min="28" max="28" width="13.7109375" style="15" bestFit="1" customWidth="1"/>
    <col min="29" max="29" width="13.85546875" style="15" bestFit="1" customWidth="1"/>
    <col min="30" max="31" width="15.7109375" style="15" bestFit="1" customWidth="1"/>
    <col min="32" max="32" width="17" style="15" bestFit="1" customWidth="1"/>
    <col min="33" max="34" width="14.28515625" style="15" bestFit="1" customWidth="1"/>
    <col min="35" max="35" width="14.5703125" style="15" bestFit="1" customWidth="1"/>
    <col min="36" max="36" width="13.7109375" style="15" bestFit="1" customWidth="1"/>
    <col min="37" max="37" width="13.5703125" style="15" bestFit="1" customWidth="1"/>
    <col min="38" max="38" width="13.85546875" style="15" bestFit="1" customWidth="1"/>
    <col min="39" max="39" width="14.140625" style="15" bestFit="1" customWidth="1"/>
    <col min="40" max="40" width="14.42578125" style="15" bestFit="1" customWidth="1"/>
    <col min="41" max="41" width="13.85546875" style="15" bestFit="1" customWidth="1"/>
    <col min="42" max="42" width="14.5703125" style="15" bestFit="1" customWidth="1"/>
    <col min="43" max="43" width="14.7109375" style="15" bestFit="1" customWidth="1"/>
    <col min="44" max="44" width="15.7109375" style="15" bestFit="1" customWidth="1"/>
    <col min="45" max="45" width="19.28515625" style="15" bestFit="1" customWidth="1"/>
    <col min="46" max="46" width="14.28515625" style="15" bestFit="1" customWidth="1"/>
    <col min="47" max="48" width="14.140625" style="15" bestFit="1" customWidth="1"/>
    <col min="49" max="49" width="15.42578125" style="15" bestFit="1" customWidth="1"/>
    <col min="50" max="50" width="18.5703125" style="15" bestFit="1" customWidth="1"/>
    <col min="51" max="52" width="14.5703125" style="15" bestFit="1" customWidth="1"/>
    <col min="53" max="53" width="16" style="15" bestFit="1" customWidth="1"/>
    <col min="54" max="54" width="19.140625" style="15" bestFit="1" customWidth="1"/>
    <col min="55" max="56" width="14.42578125" style="15" bestFit="1" customWidth="1"/>
    <col min="57" max="57" width="13.85546875" style="15" bestFit="1" customWidth="1"/>
    <col min="58" max="58" width="14.42578125" style="15" bestFit="1" customWidth="1"/>
    <col min="59" max="16384" width="9.140625" style="15"/>
  </cols>
  <sheetData>
    <row r="1" spans="1:58" x14ac:dyDescent="0.25">
      <c r="A1" s="39" t="s">
        <v>51</v>
      </c>
      <c r="B1" s="39" t="s">
        <v>348</v>
      </c>
      <c r="C1" s="78"/>
      <c r="D1" s="15" t="s">
        <v>1165</v>
      </c>
      <c r="E1" s="15" t="s">
        <v>1166</v>
      </c>
      <c r="F1" s="15" t="s">
        <v>1167</v>
      </c>
      <c r="G1" s="15" t="s">
        <v>1171</v>
      </c>
      <c r="H1" s="15" t="s">
        <v>1199</v>
      </c>
      <c r="I1" s="15" t="s">
        <v>1168</v>
      </c>
      <c r="J1" s="43" t="s">
        <v>1221</v>
      </c>
      <c r="K1" s="43" t="s">
        <v>1222</v>
      </c>
      <c r="L1" s="43" t="s">
        <v>1223</v>
      </c>
      <c r="M1" s="43" t="s">
        <v>1224</v>
      </c>
      <c r="N1" s="41" t="s">
        <v>1225</v>
      </c>
      <c r="O1" s="41" t="s">
        <v>1226</v>
      </c>
      <c r="P1" s="41" t="s">
        <v>1227</v>
      </c>
      <c r="Q1" s="41" t="s">
        <v>1228</v>
      </c>
      <c r="R1" s="41" t="s">
        <v>1229</v>
      </c>
      <c r="S1" s="42" t="s">
        <v>1216</v>
      </c>
      <c r="T1" s="42" t="s">
        <v>1217</v>
      </c>
      <c r="U1" s="42" t="s">
        <v>1218</v>
      </c>
      <c r="V1" s="42" t="s">
        <v>1219</v>
      </c>
      <c r="W1" s="42" t="s">
        <v>1220</v>
      </c>
      <c r="X1" s="43" t="s">
        <v>1235</v>
      </c>
      <c r="Y1" s="43" t="s">
        <v>1236</v>
      </c>
      <c r="Z1" s="43" t="s">
        <v>1237</v>
      </c>
      <c r="AA1" s="43" t="s">
        <v>1238</v>
      </c>
      <c r="AB1" s="43" t="s">
        <v>1239</v>
      </c>
      <c r="AC1" s="41" t="s">
        <v>1230</v>
      </c>
      <c r="AD1" s="41" t="s">
        <v>1231</v>
      </c>
      <c r="AE1" s="41" t="s">
        <v>1232</v>
      </c>
      <c r="AF1" s="41" t="s">
        <v>1233</v>
      </c>
      <c r="AG1" s="41" t="s">
        <v>1234</v>
      </c>
      <c r="AH1" s="42" t="s">
        <v>1205</v>
      </c>
      <c r="AI1" s="42" t="s">
        <v>1206</v>
      </c>
      <c r="AJ1" s="42" t="s">
        <v>1207</v>
      </c>
      <c r="AK1" s="43" t="s">
        <v>1240</v>
      </c>
      <c r="AL1" s="43" t="s">
        <v>1241</v>
      </c>
      <c r="AM1" s="41" t="s">
        <v>1242</v>
      </c>
      <c r="AN1" s="41" t="s">
        <v>1243</v>
      </c>
      <c r="AO1" s="41" t="s">
        <v>1244</v>
      </c>
      <c r="AP1" s="15" t="s">
        <v>1200</v>
      </c>
      <c r="AQ1" s="15" t="s">
        <v>1201</v>
      </c>
      <c r="AR1" s="15" t="s">
        <v>1202</v>
      </c>
      <c r="AS1" s="15" t="s">
        <v>1208</v>
      </c>
      <c r="AT1" s="15" t="s">
        <v>1203</v>
      </c>
      <c r="AU1" s="43" t="s">
        <v>1250</v>
      </c>
      <c r="AV1" s="43" t="s">
        <v>1251</v>
      </c>
      <c r="AW1" s="43" t="s">
        <v>1252</v>
      </c>
      <c r="AX1" s="43" t="s">
        <v>1253</v>
      </c>
      <c r="AY1" s="41" t="s">
        <v>1245</v>
      </c>
      <c r="AZ1" s="41" t="s">
        <v>1246</v>
      </c>
      <c r="BA1" s="41" t="s">
        <v>1247</v>
      </c>
      <c r="BB1" s="41" t="s">
        <v>1248</v>
      </c>
      <c r="BC1" s="41" t="s">
        <v>1249</v>
      </c>
      <c r="BD1" s="42" t="s">
        <v>1204</v>
      </c>
      <c r="BE1" s="43" t="s">
        <v>1254</v>
      </c>
      <c r="BF1" s="41" t="s">
        <v>1119</v>
      </c>
    </row>
    <row r="2" spans="1:58" x14ac:dyDescent="0.25">
      <c r="A2" s="44" t="s">
        <v>12</v>
      </c>
      <c r="B2" s="42" t="s">
        <v>1071</v>
      </c>
      <c r="C2" s="42"/>
      <c r="D2" s="15">
        <f>IFERROR(((s_TR/(s_RadSpec!E2*s_IFS_res_adj*(1/1000)))*1),".")</f>
        <v>338.43009049620622</v>
      </c>
      <c r="E2" s="15">
        <f>IFERROR(IF(A2="H-3",(s_TR/((s_RadSpec!F2*s_IFA_res_adj*(1/17)*1000))*1),(s_TR/((s_RadSpec!F2*s_IFA_res_adj*(1/s_PEF_wind)*1000))*1)),".")</f>
        <v>54088.919359933687</v>
      </c>
      <c r="F2" s="15">
        <f>IFERROR((s_TR/(s_RadSpec!G2*s_EF_res*(1/365)*s_ED_res*s_RadSpec!R2*((s_ET_res_o*(1/24)*s_RadSpec!W2)+(s_ET_res_i*(1/24)*s_RadSpec!AB2))))*1,".")</f>
        <v>11395.714891277896</v>
      </c>
      <c r="G2" s="15">
        <f>s_b2s!C2</f>
        <v>20.986926592830603</v>
      </c>
      <c r="H2" s="15">
        <f>s_dir!C2</f>
        <v>0.3043104355960437</v>
      </c>
      <c r="I2" s="15">
        <f>(IF(AND(D2&lt;&gt;".",E2&lt;&gt;".",F2&lt;&gt;".",G2&lt;&gt;"."),1/((1/D2)+(1/E2)+(1/F2)+(1/G2)),IF(AND(D2&lt;&gt;".",E2&lt;&gt;".",F2&lt;&gt;".",G2="."),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19.720065250071258</v>
      </c>
      <c r="J2" s="40">
        <f t="shared" ref="J2:J30" si="0">s_C*s_IFS_res_adj*(1/1000)</f>
        <v>302.5</v>
      </c>
      <c r="K2" s="40">
        <f t="shared" ref="K2:K30" si="1">s_C*s_IFA_res_adj*(1/s_PEF_wind)*1000</f>
        <v>3.2362545583179352E-2</v>
      </c>
      <c r="L2" s="40">
        <f>IFERROR((s_C*s_EF_res*(1/365)*s_ED_res*s_RadSpec!R2*((s_ET_res_o*(1/24)*s_RadSpec!W2)+(s_ET_res_i*(1/24)*s_RadSpec!AB2))),".")</f>
        <v>0.10645058015444912</v>
      </c>
      <c r="M2" s="40">
        <f>s_b2s!AC2</f>
        <v>8772.5</v>
      </c>
      <c r="N2" s="18"/>
      <c r="O2" s="18"/>
      <c r="P2" s="18"/>
      <c r="Q2" s="18"/>
      <c r="R2" s="18"/>
      <c r="S2" s="15">
        <f>IFERROR((s_TR/(s_RadSpec!G2*s_EF_res*(1/365)*s_ED_res*s_RadSpec!R2*((s_ET_res_o*(1/24)*s_RadSpec!W2)+(s_ET_res_i*(1/24)*s_RadSpec!AB2))))*1,".")</f>
        <v>11395.714891277896</v>
      </c>
      <c r="T2" s="15">
        <f>IFERROR((s_TR/(s_RadSpec!N2*s_EF_res*(1/365)*s_ED_res*s_RadSpec!S2*((s_ET_res_o*(1/24)*s_RadSpec!X2)+(s_ET_res_i*(1/24)*s_RadSpec!AC2))))*1,".")</f>
        <v>82257.45271403373</v>
      </c>
      <c r="U2" s="15">
        <f>IFERROR((s_TR/(s_RadSpec!O2*s_EF_res*(1/365)*s_ED_res*s_RadSpec!T2*((s_ET_res_o*(1/24)*s_RadSpec!Y2)+(s_ET_res_i*(1/24)*s_RadSpec!AD2))))*1,".")</f>
        <v>21579.137390865362</v>
      </c>
      <c r="V2" s="15">
        <f>IFERROR((s_TR/(s_RadSpec!P2*s_EF_res*(1/365)*s_ED_res*s_RadSpec!U2*((s_ET_res_o*(1/24)*s_RadSpec!Z2)+(s_ET_res_i*(1/24)*s_RadSpec!AE2))))*1,".")</f>
        <v>13348.489390173792</v>
      </c>
      <c r="W2" s="15">
        <f>IFERROR((s_TR/(s_RadSpec!L2*s_EF_res*(1/365)*s_ED_res*s_RadSpec!Q2*((s_ET_res_o*(1/24)*s_RadSpec!V2)+(s_ET_res_i*(1/24)*s_RadSpec!AA2))))*1,".")</f>
        <v>624892.29776604171</v>
      </c>
      <c r="X2" s="40">
        <f>IFERROR((s_C*s_EF_res*(1/365)*s_ED_res*s_RadSpec!R2*((s_ET_res_o*(1/24)*s_RadSpec!W2)+(s_ET_res_i*(1/24)*s_RadSpec!AB2))),".")</f>
        <v>0.10645058015444912</v>
      </c>
      <c r="Y2" s="40">
        <f>IFERROR((s_C*s_EF_res*(1/365)*s_ED_res*s_RadSpec!S2*((s_ET_res_o*(1/24)*s_RadSpec!X2)+(s_ET_res_i*(1/24)*s_RadSpec!AC2))),".")</f>
        <v>5.264784497160041E-2</v>
      </c>
      <c r="Z2" s="40">
        <f>IFERROR((s_C*s_EF_res*(1/365)*s_ED_res*s_RadSpec!T2*((s_ET_res_o*(1/24)*s_RadSpec!Y2)+(s_ET_res_i*(1/24)*s_RadSpec!AD2))),".")</f>
        <v>7.7515806111696547E-2</v>
      </c>
      <c r="AA2" s="40">
        <f>IFERROR((s_C*s_EF_res*(1/365)*s_ED_res*s_RadSpec!U2*((s_ET_res_o*(1/24)*s_RadSpec!Z2)+(s_ET_res_i*(1/24)*s_RadSpec!AE2))),".")</f>
        <v>9.3255348622441142E-2</v>
      </c>
      <c r="AB2" s="40">
        <f>IFERROR((s_C*s_EF_res*(1/365)*s_ED_res*s_RadSpec!Q2*((s_ET_res_o*(1/24)*s_RadSpec!V2)+(s_ET_res_i*(1/24)*s_RadSpec!AA2))),".")</f>
        <v>6.653067301965453E-3</v>
      </c>
      <c r="AC2" s="18"/>
      <c r="AD2" s="18"/>
      <c r="AE2" s="18"/>
      <c r="AF2" s="18"/>
      <c r="AG2" s="18"/>
      <c r="AH2" s="15">
        <f>IFERROR((s_TR/(s_RadSpec!F2*s_IFA_res_adj)),".")</f>
        <v>0.17459084816597772</v>
      </c>
      <c r="AI2" s="15">
        <f>IFERROR((s_TR/(s_RadSpec!K2*s_EF_res*(1/365)*s_ED_res*s_ET_res*(1/24)*s_GSF_a)),".")</f>
        <v>618624.52266937145</v>
      </c>
      <c r="AJ2" s="15">
        <f>IFERROR(IF(AND(AH2&lt;&gt;".",AI2&lt;&gt;"."),1/((1/AH2)+(1/AI2)),IF(AND(AH2&lt;&gt;".",AI2="."),1/((1/AH2)),IF(AND(AH2=".",AI2&lt;&gt;"."),1/((1/AI2)),IF(AND(AH2=".",AI2="."),".")))),".")</f>
        <v>0.17459079889221871</v>
      </c>
      <c r="AK2" s="40">
        <f t="shared" ref="AK2:AK30" si="2">s_C*s_IFA_res_adj</f>
        <v>10026.041666666666</v>
      </c>
      <c r="AL2" s="40">
        <f t="shared" ref="AL2:AL30" si="3">IFERROR((s_C*s_EF_res*(1/365)*s_ED_res*s_ET_res*(1/24)*s_GSF_a),".")</f>
        <v>1.5696347031963471</v>
      </c>
      <c r="AM2" s="18"/>
      <c r="AN2" s="18"/>
      <c r="AO2" s="18"/>
      <c r="AP2" s="15">
        <f>IFERROR((s_TR/(s_RadSpec!I2*s_IFW_res_adj)),".")</f>
        <v>9.6164479726123577</v>
      </c>
      <c r="AQ2" s="15" t="str">
        <f>IFERROR(IF(AND(s_RadSpec!C2=1,s_RadSpec!D2&lt;&gt;0),(s_TR/(s_RadSpec!F2*s_IFA_res_adj*s_K*s_RadSpec!D2)),"."),".")</f>
        <v>.</v>
      </c>
      <c r="AR2" s="15">
        <f>IFERROR((s_TR/(s_RadSpec!M2*(1/8760)*s_DFA_res_adj)),".")</f>
        <v>174522399.24334234</v>
      </c>
      <c r="AS2" s="15">
        <f>s_b2w!C2</f>
        <v>25.581960661560032</v>
      </c>
      <c r="AT2" s="15">
        <f>(IF(AND(AP2&lt;&gt;".",AQ2&lt;&gt;".",AR2&lt;&gt;".",AS2&lt;&gt;"."),1/((1/AP2)+(1/AQ2)+(1/AR2)+(1/AS2)),IF(AND(AP2&lt;&gt;".",AQ2&lt;&gt;".",AR2&lt;&gt;".",AS2="."), 1/((1/AP2)+(1/AQ2)+(1/AR2)),IF(AND(AP2&lt;&gt;".",AQ2&lt;&gt;".",AR2=".",AS2&lt;&gt;"."),1/((1/AP2)+(1/AQ2)+(1/AS2)),IF(AND(AP2&lt;&gt;".",AQ2=".",AR2&lt;&gt;".",AS2&lt;&gt;"."),1/((1/AP2)+(1/AR2)+(1/AS2)),IF(AND(AP2=".",AQ2&lt;&gt;".",AR2&lt;&gt;".",AS2&lt;&gt;"."),1/((1/AQ2)+(1/AR2)+(1/AS2)),IF(AND(AP2&lt;&gt;".",AQ2&lt;&gt;".",AR2=".",AS2="."),1/((1/AP2)+(1/AQ2)),IF(AND(AP2&lt;&gt;".",AQ2=".",AR2&lt;&gt;".",AS2="."),1/((1/AP2)+(1/AR2)),IF(AND(AP2&lt;&gt;".",AQ2=".",AR2=".",AS2&lt;&gt;"."),1/((1/AP2)+(1/AS2)),IF(AND(AP2=".",AQ2=".",AR2&lt;&gt;".",AS2&lt;&gt;"."),1/((1/AR2)+(1/AS2)),IF(AND(AP2=".",AQ2&lt;&gt;".",AR2=".",AS2&lt;&gt;"."),1/((1/AQ2)+(1/AS2)),IF(AND(AP2=".",AQ2&lt;&gt;".",AR2&lt;&gt;".",AS2="."),1/((1/AQ2)+(1/AR2)),IF(AND(AP2&lt;&gt;".",AQ2=".",AR2=".",AS2="."),1/((1/AP2)),IF(AND(AP2=".",AQ2&lt;&gt;".",AR2=".",AS2="."),1/((1/AQ2)),IF(AND(AP2=".",AQ2=".",AR2&lt;&gt;".",AS2="."),1/((1/AR2)),IF(AND(AP2=".",AQ2=".",AR2=".",AS2&lt;&gt;"."),1/((1/AS2)),IF(AND(AP2=".",AQ2=".",AR2=".",AS2="."),".")))))))))))))))))</f>
        <v>6.9891677900604794</v>
      </c>
      <c r="AU2" s="40">
        <f t="shared" ref="AU2:AU30" si="4">s_C*s_IFW_res_adj</f>
        <v>27500</v>
      </c>
      <c r="AV2" s="40">
        <f>IF(s_RadSpec!D2&lt;&gt;"",s_C*s_IFA_res_adj*s_K*s_RadSpec!D2,0)</f>
        <v>0</v>
      </c>
      <c r="AW2" s="40">
        <f t="shared" ref="AW2:AW30" si="5">s_C*(1/8760)*s_DFA_res_adj</f>
        <v>2.5114155251141552</v>
      </c>
      <c r="AX2" s="40">
        <f>s_b2w!AC2</f>
        <v>8995.9784538842323</v>
      </c>
      <c r="AY2" s="18"/>
      <c r="AZ2" s="18"/>
      <c r="BA2" s="18"/>
      <c r="BB2" s="18"/>
      <c r="BC2" s="18"/>
      <c r="BD2" s="15">
        <f>IFERROR(s_TR/(s_RadSpec!H2*s_EF_res*s_ED_res*s_IRF_res*0.001*s_CF_res_fish),".")</f>
        <v>1.2172417423841748</v>
      </c>
      <c r="BE2" s="40">
        <f t="shared" ref="BE2:BE30" si="6">s_C*s_EF_res*s_ED_res*s_IRF_res*0.001*s_CF_res_fish</f>
        <v>151250</v>
      </c>
      <c r="BF2" s="18"/>
    </row>
    <row r="3" spans="1:58" x14ac:dyDescent="0.25">
      <c r="A3" s="46" t="s">
        <v>13</v>
      </c>
      <c r="B3" s="42" t="s">
        <v>349</v>
      </c>
      <c r="C3" s="42"/>
      <c r="D3" s="15">
        <f>IFERROR(((s_TR/(s_RadSpec!E3*s_IFS_res_adj*(1/1000)))*1),".")</f>
        <v>897.04361336343834</v>
      </c>
      <c r="E3" s="15">
        <f>IFERROR(IF(A3="H-3",(s_TR/((s_RadSpec!F3*s_IFA_res_adj*(1/17)*1000))*1),(s_TR/((s_RadSpec!F3*s_IFA_res_adj*(1/s_PEF_wind)*1000))*1)),".")</f>
        <v>40937.887986145884</v>
      </c>
      <c r="F3" s="15">
        <f>IFERROR((s_TR/(s_RadSpec!G3*s_EF_res*(1/365)*s_ED_res*s_RadSpec!R3*((s_ET_res_o*(1/24)*s_RadSpec!W3)+(s_ET_res_i*(1/24)*s_RadSpec!AB3))))*1,".")</f>
        <v>2226852.5143557284</v>
      </c>
      <c r="G3" s="15">
        <f>s_b2s!C3</f>
        <v>44.663631533305939</v>
      </c>
      <c r="H3" s="15">
        <f>s_dir!C3</f>
        <v>0.61873645353877038</v>
      </c>
      <c r="I3" s="15">
        <f t="shared" ref="I3" si="7">(IF(AND(D3&lt;&gt;".",E3&lt;&gt;".",F3&lt;&gt;".",G3&lt;&gt;"."),1/((1/D3)+(1/E3)+(1/F3)+(1/G3)),IF(AND(D3&lt;&gt;".",E3&lt;&gt;".",F3&lt;&gt;".",G3="."), 1/((1/D3)+(1/E3)+(1/F3)),IF(AND(D3&lt;&gt;".",E3&lt;&gt;".",F3=".",G3&lt;&gt;"."),1/((1/D3)+(1/E3)+(1/G3)),IF(AND(D3&lt;&gt;".",E3=".",F3&lt;&gt;".",G3&lt;&gt;"."),1/((1/D3)+(1/F3)+(1/G3)),IF(AND(D3=".",E3&lt;&gt;".",F3&lt;&gt;".",G3&lt;&gt;"."),1/((1/E3)+(1/F3)+(1/G3)),IF(AND(D3&lt;&gt;".",E3&lt;&gt;".",F3=".",G3="."),1/((1/D3)+(1/E3)),IF(AND(D3&lt;&gt;".",E3=".",F3&lt;&gt;".",G3="."),1/((1/D3)+(1/F3)),IF(AND(D3&lt;&gt;".",E3=".",F3=".",G3&lt;&gt;"."),1/((1/D3)+(1/G3)),IF(AND(D3=".",E3=".",F3&lt;&gt;".",G3&lt;&gt;"."),1/((1/F3)+(1/G3)),IF(AND(D3=".",E3&lt;&gt;".",F3=".",G3&lt;&gt;"."),1/((1/E3)+(1/G3)),IF(AND(D3=".",E3&lt;&gt;".",F3&lt;&gt;".",G3="."),1/((1/E3)+(1/F3)),IF(AND(D3&lt;&gt;".",E3=".",F3=".",G3="."),1/((1/D3)),IF(AND(D3=".",E3&lt;&gt;".",F3=".",G3="."),1/((1/E3)),IF(AND(D3=".",E3=".",F3&lt;&gt;".",G3="."),1/((1/F3)),IF(AND(D3=".",E3=".",F3=".",G3&lt;&gt;"."),1/((1/G3)),IF(AND(D3=".",E3=".",F3=".",G3="."),".")))))))))))))))))</f>
        <v>42.500327585351194</v>
      </c>
      <c r="J3" s="40">
        <f t="shared" si="0"/>
        <v>302.5</v>
      </c>
      <c r="K3" s="40">
        <f t="shared" si="1"/>
        <v>3.2362545583179352E-2</v>
      </c>
      <c r="L3" s="40">
        <f>IFERROR((s_C*s_EF_res*(1/365)*s_ED_res*s_RadSpec!R3*((s_ET_res_o*(1/24)*s_RadSpec!W3)+(s_ET_res_i*(1/24)*s_RadSpec!AB3))),".")</f>
        <v>8.1138040042149577E-4</v>
      </c>
      <c r="M3" s="40">
        <f>s_b2s!AC3</f>
        <v>8381.2162499999995</v>
      </c>
      <c r="N3" s="18"/>
      <c r="O3" s="18"/>
      <c r="P3" s="18"/>
      <c r="Q3" s="18"/>
      <c r="R3" s="18"/>
      <c r="S3" s="15">
        <f>IFERROR((s_TR/(s_RadSpec!G3*s_EF_res*(1/365)*s_ED_res*s_RadSpec!R3*((s_ET_res_o*(1/24)*s_RadSpec!W3)+(s_ET_res_i*(1/24)*s_RadSpec!AB3))))*1,".")</f>
        <v>2226852.5143557284</v>
      </c>
      <c r="T3" s="15">
        <f>IFERROR((s_TR/(s_RadSpec!N3*s_EF_res*(1/365)*s_ED_res*s_RadSpec!S3*((s_ET_res_o*(1/24)*s_RadSpec!X3)+(s_ET_res_i*(1/24)*s_RadSpec!AC3))))*1,".")</f>
        <v>6281930.5456878059</v>
      </c>
      <c r="U3" s="15">
        <f>IFERROR((s_TR/(s_RadSpec!O3*s_EF_res*(1/365)*s_ED_res*s_RadSpec!T3*((s_ET_res_o*(1/24)*s_RadSpec!Y3)+(s_ET_res_i*(1/24)*s_RadSpec!AD3))))*1,".")</f>
        <v>2540916.3913288023</v>
      </c>
      <c r="V3" s="15">
        <f>IFERROR((s_TR/(s_RadSpec!P3*s_EF_res*(1/365)*s_ED_res*s_RadSpec!U3*((s_ET_res_o*(1/24)*s_RadSpec!Z3)+(s_ET_res_i*(1/24)*s_RadSpec!AE3))))*1,".")</f>
        <v>2440185.0795271257</v>
      </c>
      <c r="W3" s="15">
        <f>IFERROR((s_TR/(s_RadSpec!L3*s_EF_res*(1/365)*s_ED_res*s_RadSpec!Q3*((s_ET_res_o*(1/24)*s_RadSpec!V3)+(s_ET_res_i*(1/24)*s_RadSpec!AA3))))*1,".")</f>
        <v>7170884.8302149689</v>
      </c>
      <c r="X3" s="40">
        <f>IFERROR((s_C*s_EF_res*(1/365)*s_ED_res*s_RadSpec!R3*((s_ET_res_o*(1/24)*s_RadSpec!W3)+(s_ET_res_i*(1/24)*s_RadSpec!AB3))),".")</f>
        <v>8.1138040042149577E-4</v>
      </c>
      <c r="Y3" s="40">
        <f>IFERROR((s_C*s_EF_res*(1/365)*s_ED_res*s_RadSpec!S3*((s_ET_res_o*(1/24)*s_RadSpec!X3)+(s_ET_res_i*(1/24)*s_RadSpec!AC3))),".")</f>
        <v>5.7866323723276185E-4</v>
      </c>
      <c r="Z3" s="40">
        <f>IFERROR((s_C*s_EF_res*(1/365)*s_ED_res*s_RadSpec!T3*((s_ET_res_o*(1/24)*s_RadSpec!Y3)+(s_ET_res_i*(1/24)*s_RadSpec!AD3))),".")</f>
        <v>7.6326415865876087E-4</v>
      </c>
      <c r="AA3" s="40">
        <f>IFERROR((s_C*s_EF_res*(1/365)*s_ED_res*s_RadSpec!U3*((s_ET_res_o*(1/24)*s_RadSpec!Z3)+(s_ET_res_i*(1/24)*s_RadSpec!AE3))),".")</f>
        <v>7.4044567354198537E-4</v>
      </c>
      <c r="AB3" s="40">
        <f>IFERROR((s_C*s_EF_res*(1/365)*s_ED_res*s_RadSpec!Q3*((s_ET_res_o*(1/24)*s_RadSpec!V3)+(s_ET_res_i*(1/24)*s_RadSpec!AA3))),".")</f>
        <v>3.7322573593704446E-4</v>
      </c>
      <c r="AC3" s="18"/>
      <c r="AD3" s="18"/>
      <c r="AE3" s="18"/>
      <c r="AF3" s="18"/>
      <c r="AG3" s="18"/>
      <c r="AH3" s="15">
        <f>IFERROR((s_TR/(s_RadSpec!F3*s_IFA_res_adj)),".")</f>
        <v>0.13214130861189685</v>
      </c>
      <c r="AI3" s="15">
        <f>IFERROR((s_TR/(s_RadSpec!K3*s_EF_res*(1/365)*s_ED_res*s_ET_res*(1/24)*s_GSF_a)),".")</f>
        <v>548920.35110099148</v>
      </c>
      <c r="AJ3" s="15">
        <f>IFERROR(IF(AND(AH3&lt;&gt;".",AI3&lt;&gt;"."),1/((1/AH3)+(1/AI3)),IF(AND(AH3&lt;&gt;".",AI3="."),1/((1/AH3)),IF(AND(AH3=".",AI3&lt;&gt;"."),1/((1/AI3)),IF(AND(AH3=".",AI3="."),".")))),".")</f>
        <v>0.13214127680159651</v>
      </c>
      <c r="AK3" s="40">
        <f t="shared" si="2"/>
        <v>10026.041666666666</v>
      </c>
      <c r="AL3" s="40">
        <f t="shared" si="3"/>
        <v>1.5696347031963471</v>
      </c>
      <c r="AM3" s="18"/>
      <c r="AN3" s="18"/>
      <c r="AO3" s="18"/>
      <c r="AP3" s="15">
        <f>IFERROR((s_TR/(s_RadSpec!I3*s_IFW_res_adj)),".")</f>
        <v>17.550017550017554</v>
      </c>
      <c r="AQ3" s="15" t="str">
        <f>IFERROR(IF(AND(s_RadSpec!C3=1,s_RadSpec!D3&lt;&gt;0),(s_TR/(s_RadSpec!F3*s_IFA_res_adj*s_K*s_RadSpec!D3)),"."),".")</f>
        <v>.</v>
      </c>
      <c r="AR3" s="15">
        <f>IFERROR((s_TR/(s_RadSpec!M3*(1/8760)*s_DFA_res_adj)),".")</f>
        <v>150892375.27499598</v>
      </c>
      <c r="AS3" s="15">
        <f>s_b2w!C3</f>
        <v>52.582349436628952</v>
      </c>
      <c r="AT3" s="15">
        <f>(IF(AND(AP3&lt;&gt;".",AQ3&lt;&gt;".",AR3&lt;&gt;".",AS3&lt;&gt;"."),1/((1/AP3)+(1/AQ3)+(1/AR3)+(1/AS3)),IF(AND(AP3&lt;&gt;".",AQ3&lt;&gt;".",AR3&lt;&gt;".",AS3="."), 1/((1/AP3)+(1/AQ3)+(1/AR3)),IF(AND(AP3&lt;&gt;".",AQ3&lt;&gt;".",AR3=".",AS3&lt;&gt;"."),1/((1/AP3)+(1/AQ3)+(1/AS3)),IF(AND(AP3&lt;&gt;".",AQ3=".",AR3&lt;&gt;".",AS3&lt;&gt;"."),1/((1/AP3)+(1/AR3)+(1/AS3)),IF(AND(AP3=".",AQ3&lt;&gt;".",AR3&lt;&gt;".",AS3&lt;&gt;"."),1/((1/AQ3)+(1/AR3)+(1/AS3)),IF(AND(AP3&lt;&gt;".",AQ3&lt;&gt;".",AR3=".",AS3="."),1/((1/AP3)+(1/AQ3)),IF(AND(AP3&lt;&gt;".",AQ3=".",AR3&lt;&gt;".",AS3="."),1/((1/AP3)+(1/AR3)),IF(AND(AP3&lt;&gt;".",AQ3=".",AR3=".",AS3&lt;&gt;"."),1/((1/AP3)+(1/AS3)),IF(AND(AP3=".",AQ3=".",AR3&lt;&gt;".",AS3&lt;&gt;"."),1/((1/AR3)+(1/AS3)),IF(AND(AP3=".",AQ3&lt;&gt;".",AR3=".",AS3&lt;&gt;"."),1/((1/AQ3)+(1/AS3)),IF(AND(AP3=".",AQ3&lt;&gt;".",AR3&lt;&gt;".",AS3="."),1/((1/AQ3)+(1/AR3)),IF(AND(AP3&lt;&gt;".",AQ3=".",AR3=".",AS3="."),1/((1/AP3)),IF(AND(AP3=".",AQ3&lt;&gt;".",AR3=".",AS3="."),1/((1/AQ3)),IF(AND(AP3=".",AQ3=".",AR3&lt;&gt;".",AS3="."),1/((1/AR3)),IF(AND(AP3=".",AQ3=".",AR3=".",AS3&lt;&gt;"."),1/((1/AS3)),IF(AND(AP3=".",AQ3=".",AR3=".",AS3="."),".")))))))))))))))))</f>
        <v>13.158276479344787</v>
      </c>
      <c r="AU3" s="40">
        <f t="shared" si="4"/>
        <v>27500</v>
      </c>
      <c r="AV3" s="40">
        <f>IF(s_RadSpec!D3&lt;&gt;"",s_C*s_IFA_res_adj*s_K*s_RadSpec!D3,0)</f>
        <v>0</v>
      </c>
      <c r="AW3" s="40">
        <f t="shared" si="5"/>
        <v>2.5114155251141552</v>
      </c>
      <c r="AX3" s="40">
        <f>s_b2w!AC3</f>
        <v>8896.2910454763842</v>
      </c>
      <c r="AY3" s="18"/>
      <c r="AZ3" s="18"/>
      <c r="BA3" s="18"/>
      <c r="BB3" s="18"/>
      <c r="BC3" s="18"/>
      <c r="BD3" s="15">
        <f>IFERROR(s_TR/(s_RadSpec!H3*s_EF_res*s_ED_res*s_IRF_res*0.001*s_CF_res_fish),".")</f>
        <v>2.4749458141550811</v>
      </c>
      <c r="BE3" s="40">
        <f t="shared" si="6"/>
        <v>151250</v>
      </c>
      <c r="BF3" s="18"/>
    </row>
    <row r="4" spans="1:58" x14ac:dyDescent="0.25">
      <c r="A4" s="44" t="s">
        <v>14</v>
      </c>
      <c r="B4" s="42" t="s">
        <v>1071</v>
      </c>
      <c r="C4" s="42"/>
      <c r="D4" s="15" t="str">
        <f>IFERROR(((s_TR/(s_RadSpec!E4*s_IFS_res_adj*(1/1000)))*1),".")</f>
        <v>.</v>
      </c>
      <c r="E4" s="15" t="str">
        <f>IFERROR(IF(A4="H-3",(s_TR/((s_RadSpec!F4*s_IFA_res_adj*(1/17)*1000))*1),(s_TR/((s_RadSpec!F4*s_IFA_res_adj*(1/s_PEF_wind)*1000))*1)),".")</f>
        <v>.</v>
      </c>
      <c r="F4" s="15">
        <f>IFERROR((s_TR/(s_RadSpec!G4*s_EF_res*(1/365)*s_ED_res*s_RadSpec!R4*((s_ET_res_o*(1/24)*s_RadSpec!W4)+(s_ET_res_i*(1/24)*s_RadSpec!AB4))))*1,".")</f>
        <v>244975.76807471414</v>
      </c>
      <c r="G4" s="15" t="str">
        <f>s_b2s!C4</f>
        <v>.</v>
      </c>
      <c r="H4" s="15" t="str">
        <f>s_dir!C4</f>
        <v>.</v>
      </c>
      <c r="I4" s="15">
        <f t="shared" ref="I4:I6" si="8">(IF(AND(D4&lt;&gt;".",E4&lt;&gt;".",F4&lt;&gt;".",G4&lt;&gt;"."),1/((1/D4)+(1/E4)+(1/F4)+(1/G4)),IF(AND(D4&lt;&gt;".",E4&lt;&gt;".",F4&lt;&gt;".",G4="."), 1/((1/D4)+(1/E4)+(1/F4)),IF(AND(D4&lt;&gt;".",E4&lt;&gt;".",F4=".",G4&lt;&gt;"."),1/((1/D4)+(1/E4)+(1/G4)),IF(AND(D4&lt;&gt;".",E4=".",F4&lt;&gt;".",G4&lt;&gt;"."),1/((1/D4)+(1/F4)+(1/G4)),IF(AND(D4=".",E4&lt;&gt;".",F4&lt;&gt;".",G4&lt;&gt;"."),1/((1/E4)+(1/F4)+(1/G4)),IF(AND(D4&lt;&gt;".",E4&lt;&gt;".",F4=".",G4="."),1/((1/D4)+(1/E4)),IF(AND(D4&lt;&gt;".",E4=".",F4&lt;&gt;".",G4="."),1/((1/D4)+(1/F4)),IF(AND(D4&lt;&gt;".",E4=".",F4=".",G4&lt;&gt;"."),1/((1/D4)+(1/G4)),IF(AND(D4=".",E4=".",F4&lt;&gt;".",G4&lt;&gt;"."),1/((1/F4)+(1/G4)),IF(AND(D4=".",E4&lt;&gt;".",F4=".",G4&lt;&gt;"."),1/((1/E4)+(1/G4)),IF(AND(D4=".",E4&lt;&gt;".",F4&lt;&gt;".",G4="."),1/((1/E4)+(1/F4)),IF(AND(D4&lt;&gt;".",E4=".",F4=".",G4="."),1/((1/D4)),IF(AND(D4=".",E4&lt;&gt;".",F4=".",G4="."),1/((1/E4)),IF(AND(D4=".",E4=".",F4&lt;&gt;".",G4="."),1/((1/F4)),IF(AND(D4=".",E4=".",F4=".",G4&lt;&gt;"."),1/((1/G4)),IF(AND(D4=".",E4=".",F4=".",G4="."),".")))))))))))))))))</f>
        <v>244975.76807471414</v>
      </c>
      <c r="J4" s="40">
        <f t="shared" si="0"/>
        <v>302.5</v>
      </c>
      <c r="K4" s="40">
        <f t="shared" si="1"/>
        <v>3.2362545583179352E-2</v>
      </c>
      <c r="L4" s="40">
        <f>IFERROR((s_C*s_EF_res*(1/365)*s_ED_res*s_RadSpec!R4*((s_ET_res_o*(1/24)*s_RadSpec!W4)+(s_ET_res_i*(1/24)*s_RadSpec!AB4))),".")</f>
        <v>0.2179549902152641</v>
      </c>
      <c r="M4" s="40">
        <f>s_b2s!AC4</f>
        <v>129167.50000000001</v>
      </c>
      <c r="N4" s="18"/>
      <c r="O4" s="18"/>
      <c r="P4" s="18"/>
      <c r="Q4" s="18"/>
      <c r="R4" s="18"/>
      <c r="S4" s="15">
        <f>IFERROR((s_TR/(s_RadSpec!G4*s_EF_res*(1/365)*s_ED_res*s_RadSpec!R4*((s_ET_res_o*(1/24)*s_RadSpec!W4)+(s_ET_res_i*(1/24)*s_RadSpec!AB4))))*1,".")</f>
        <v>244975.76807471414</v>
      </c>
      <c r="T4" s="15">
        <f>IFERROR((s_TR/(s_RadSpec!N4*s_EF_res*(1/365)*s_ED_res*s_RadSpec!S4*((s_ET_res_o*(1/24)*s_RadSpec!X4)+(s_ET_res_i*(1/24)*s_RadSpec!AC4))))*1,".")</f>
        <v>1727446.4197135651</v>
      </c>
      <c r="U4" s="15">
        <f>IFERROR((s_TR/(s_RadSpec!O4*s_EF_res*(1/365)*s_ED_res*s_RadSpec!T4*((s_ET_res_o*(1/24)*s_RadSpec!Y4)+(s_ET_res_i*(1/24)*s_RadSpec!AD4))))*1,".")</f>
        <v>450467.50016048393</v>
      </c>
      <c r="V4" s="15">
        <f>IFERROR((s_TR/(s_RadSpec!P4*s_EF_res*(1/365)*s_ED_res*s_RadSpec!U4*((s_ET_res_o*(1/24)*s_RadSpec!Z4)+(s_ET_res_i*(1/24)*s_RadSpec!AE4))))*1,".")</f>
        <v>266982.34089589585</v>
      </c>
      <c r="W4" s="15">
        <f>IFERROR((s_TR/(s_RadSpec!L4*s_EF_res*(1/365)*s_ED_res*s_RadSpec!Q4*((s_ET_res_o*(1/24)*s_RadSpec!V4)+(s_ET_res_i*(1/24)*s_RadSpec!AA4))))*1,".")</f>
        <v>3253284.3020638451</v>
      </c>
      <c r="X4" s="40">
        <f>IFERROR((s_C*s_EF_res*(1/365)*s_ED_res*s_RadSpec!R4*((s_ET_res_o*(1/24)*s_RadSpec!W4)+(s_ET_res_i*(1/24)*s_RadSpec!AB4))),".")</f>
        <v>0.2179549902152641</v>
      </c>
      <c r="Y4" s="40">
        <f>IFERROR((s_C*s_EF_res*(1/365)*s_ED_res*s_RadSpec!S4*((s_ET_res_o*(1/24)*s_RadSpec!X4)+(s_ET_res_i*(1/24)*s_RadSpec!AC4))),".")</f>
        <v>0.13356164383561639</v>
      </c>
      <c r="Z4" s="40">
        <f>IFERROR((s_C*s_EF_res*(1/365)*s_ED_res*s_RadSpec!T4*((s_ET_res_o*(1/24)*s_RadSpec!Y4)+(s_ET_res_i*(1/24)*s_RadSpec!AD4))),".")</f>
        <v>0.18566536203522507</v>
      </c>
      <c r="AA4" s="40">
        <f>IFERROR((s_C*s_EF_res*(1/365)*s_ED_res*s_RadSpec!U4*((s_ET_res_o*(1/24)*s_RadSpec!Z4)+(s_ET_res_i*(1/24)*s_RadSpec!AE4))),".")</f>
        <v>0.21328677913684749</v>
      </c>
      <c r="AB4" s="40">
        <f>IFERROR((s_C*s_EF_res*(1/365)*s_ED_res*s_RadSpec!Q4*((s_ET_res_o*(1/24)*s_RadSpec!V4)+(s_ET_res_i*(1/24)*s_RadSpec!AA4))),".")</f>
        <v>7.2322079922185312E-2</v>
      </c>
      <c r="AC4" s="18"/>
      <c r="AD4" s="18"/>
      <c r="AE4" s="18"/>
      <c r="AF4" s="18"/>
      <c r="AG4" s="18"/>
      <c r="AH4" s="15" t="str">
        <f>IFERROR((s_TR/(s_RadSpec!F4*s_IFA_res_adj)),".")</f>
        <v>.</v>
      </c>
      <c r="AI4" s="15">
        <f>IFERROR((s_TR/(s_RadSpec!K4*s_EF_res*(1/365)*s_ED_res*s_ET_res*(1/24)*s_GSF_a)),".")</f>
        <v>32633183.552295782</v>
      </c>
      <c r="AJ4" s="15">
        <f t="shared" ref="AJ4:AJ5" si="9">IFERROR(IF(AND(AH4&lt;&gt;".",AI4&lt;&gt;"."),1/((1/AH4)+(1/AI4)),IF(AND(AH4&lt;&gt;".",AI4="."),1/((1/AH4)),IF(AND(AH4=".",AI4&lt;&gt;"."),1/((1/AI4)),IF(AND(AH4=".",AI4="."),".")))),".")</f>
        <v>32633183.552295785</v>
      </c>
      <c r="AK4" s="40">
        <f t="shared" si="2"/>
        <v>10026.041666666666</v>
      </c>
      <c r="AL4" s="40">
        <f t="shared" si="3"/>
        <v>1.5696347031963471</v>
      </c>
      <c r="AM4" s="18"/>
      <c r="AN4" s="18"/>
      <c r="AO4" s="18"/>
      <c r="AP4" s="15" t="str">
        <f>IFERROR((s_TR/(s_RadSpec!I4*s_IFW_res_adj)),".")</f>
        <v>.</v>
      </c>
      <c r="AQ4" s="15" t="str">
        <f>IFERROR(IF(AND(s_RadSpec!C4=1,s_RadSpec!D4&lt;&gt;0),(s_TR/(s_RadSpec!F4*s_IFA_res_adj*s_K*s_RadSpec!D4)),"."),".")</f>
        <v>.</v>
      </c>
      <c r="AR4" s="15">
        <f>IFERROR((s_TR/(s_RadSpec!M4*(1/8760)*s_DFA_res_adj)),".")</f>
        <v>9317398036.1063118</v>
      </c>
      <c r="AS4" s="15" t="str">
        <f>s_b2w!C4</f>
        <v>.</v>
      </c>
      <c r="AT4" s="15">
        <f t="shared" ref="AT4:AT5" si="10">(IF(AND(AP4&lt;&gt;".",AQ4&lt;&gt;".",AR4&lt;&gt;".",AS4&lt;&gt;"."),1/((1/AP4)+(1/AQ4)+(1/AR4)+(1/AS4)),IF(AND(AP4&lt;&gt;".",AQ4&lt;&gt;".",AR4&lt;&gt;".",AS4="."), 1/((1/AP4)+(1/AQ4)+(1/AR4)),IF(AND(AP4&lt;&gt;".",AQ4&lt;&gt;".",AR4=".",AS4&lt;&gt;"."),1/((1/AP4)+(1/AQ4)+(1/AS4)),IF(AND(AP4&lt;&gt;".",AQ4=".",AR4&lt;&gt;".",AS4&lt;&gt;"."),1/((1/AP4)+(1/AR4)+(1/AS4)),IF(AND(AP4=".",AQ4&lt;&gt;".",AR4&lt;&gt;".",AS4&lt;&gt;"."),1/((1/AQ4)+(1/AR4)+(1/AS4)),IF(AND(AP4&lt;&gt;".",AQ4&lt;&gt;".",AR4=".",AS4="."),1/((1/AP4)+(1/AQ4)),IF(AND(AP4&lt;&gt;".",AQ4=".",AR4&lt;&gt;".",AS4="."),1/((1/AP4)+(1/AR4)),IF(AND(AP4&lt;&gt;".",AQ4=".",AR4=".",AS4&lt;&gt;"."),1/((1/AP4)+(1/AS4)),IF(AND(AP4=".",AQ4=".",AR4&lt;&gt;".",AS4&lt;&gt;"."),1/((1/AR4)+(1/AS4)),IF(AND(AP4=".",AQ4&lt;&gt;".",AR4=".",AS4&lt;&gt;"."),1/((1/AQ4)+(1/AS4)),IF(AND(AP4=".",AQ4&lt;&gt;".",AR4&lt;&gt;".",AS4="."),1/((1/AQ4)+(1/AR4)),IF(AND(AP4&lt;&gt;".",AQ4=".",AR4=".",AS4="."),1/((1/AP4)),IF(AND(AP4=".",AQ4&lt;&gt;".",AR4=".",AS4="."),1/((1/AQ4)),IF(AND(AP4=".",AQ4=".",AR4&lt;&gt;".",AS4="."),1/((1/AR4)),IF(AND(AP4=".",AQ4=".",AR4=".",AS4&lt;&gt;"."),1/((1/AS4)),IF(AND(AP4=".",AQ4=".",AR4=".",AS4="."),".")))))))))))))))))</f>
        <v>9317398036.1063118</v>
      </c>
      <c r="AU4" s="40">
        <f t="shared" si="4"/>
        <v>27500</v>
      </c>
      <c r="AV4" s="40">
        <f>IF(s_RadSpec!D4&lt;&gt;"",s_C*s_IFA_res_adj*s_K*s_RadSpec!D4,0)</f>
        <v>0</v>
      </c>
      <c r="AW4" s="40">
        <f t="shared" si="5"/>
        <v>2.5114155251141552</v>
      </c>
      <c r="AX4" s="40">
        <f>s_b2w!AC4</f>
        <v>31119.356502223021</v>
      </c>
      <c r="AY4" s="18"/>
      <c r="AZ4" s="18"/>
      <c r="BA4" s="18"/>
      <c r="BB4" s="18"/>
      <c r="BC4" s="18"/>
      <c r="BD4" s="15" t="str">
        <f>IFERROR(s_TR/(s_RadSpec!H4*s_EF_res*s_ED_res*s_IRF_res*0.001*s_CF_res_fish),".")</f>
        <v>.</v>
      </c>
      <c r="BE4" s="40">
        <f t="shared" si="6"/>
        <v>151250</v>
      </c>
      <c r="BF4" s="18"/>
    </row>
    <row r="5" spans="1:58" x14ac:dyDescent="0.25">
      <c r="A5" s="44" t="s">
        <v>15</v>
      </c>
      <c r="B5" s="42" t="s">
        <v>1071</v>
      </c>
      <c r="C5" s="249"/>
      <c r="D5" s="15" t="str">
        <f>IFERROR(((s_TR/(s_RadSpec!E5*s_IFS_res_adj*(1/1000)))*1),".")</f>
        <v>.</v>
      </c>
      <c r="E5" s="15" t="str">
        <f>IFERROR(IF(A5="H-3",(s_TR/((s_RadSpec!F5*s_IFA_res_adj*(1/17)*1000))*1),(s_TR/((s_RadSpec!F5*s_IFA_res_adj*(1/s_PEF_wind)*1000))*1)),".")</f>
        <v>.</v>
      </c>
      <c r="F5" s="15" t="str">
        <f>IFERROR((s_TR/(s_RadSpec!G5*s_EF_res*(1/365)*s_ED_res*s_RadSpec!R5*((s_ET_res_o*(1/24)*s_RadSpec!W5)+(s_ET_res_i*(1/24)*s_RadSpec!AB5))))*1,".")</f>
        <v>.</v>
      </c>
      <c r="G5" s="15" t="str">
        <f>s_b2s!C5</f>
        <v>.</v>
      </c>
      <c r="H5" s="15" t="str">
        <f>s_dir!C5</f>
        <v>.</v>
      </c>
      <c r="I5" s="15" t="str">
        <f t="shared" si="8"/>
        <v>.</v>
      </c>
      <c r="J5" s="40">
        <f t="shared" si="0"/>
        <v>302.5</v>
      </c>
      <c r="K5" s="40">
        <f t="shared" si="1"/>
        <v>3.2362545583179352E-2</v>
      </c>
      <c r="L5" s="40">
        <f>IFERROR((s_C*s_EF_res*(1/365)*s_ED_res*s_RadSpec!R5*((s_ET_res_o*(1/24)*s_RadSpec!W5)+(s_ET_res_i*(1/24)*s_RadSpec!AB5))),".")</f>
        <v>0</v>
      </c>
      <c r="M5" s="40">
        <f>s_b2s!AC5</f>
        <v>129167.50000000001</v>
      </c>
      <c r="N5" s="18"/>
      <c r="O5" s="18"/>
      <c r="P5" s="18"/>
      <c r="Q5" s="18"/>
      <c r="R5" s="18"/>
      <c r="S5" s="15" t="str">
        <f>IFERROR((s_TR/(s_RadSpec!G5*s_EF_res*(1/365)*s_ED_res*s_RadSpec!R5*((s_ET_res_o*(1/24)*s_RadSpec!W5)+(s_ET_res_i*(1/24)*s_RadSpec!AB5))))*1,".")</f>
        <v>.</v>
      </c>
      <c r="T5" s="15" t="str">
        <f>IFERROR((s_TR/(s_RadSpec!N5*s_EF_res*(1/365)*s_ED_res*s_RadSpec!S5*((s_ET_res_o*(1/24)*s_RadSpec!X5)+(s_ET_res_i*(1/24)*s_RadSpec!AC5))))*1,".")</f>
        <v>.</v>
      </c>
      <c r="U5" s="15" t="str">
        <f>IFERROR((s_TR/(s_RadSpec!O5*s_EF_res*(1/365)*s_ED_res*s_RadSpec!T5*((s_ET_res_o*(1/24)*s_RadSpec!Y5)+(s_ET_res_i*(1/24)*s_RadSpec!AD5))))*1,".")</f>
        <v>.</v>
      </c>
      <c r="V5" s="15" t="str">
        <f>IFERROR((s_TR/(s_RadSpec!P5*s_EF_res*(1/365)*s_ED_res*s_RadSpec!U5*((s_ET_res_o*(1/24)*s_RadSpec!Z5)+(s_ET_res_i*(1/24)*s_RadSpec!AE5))))*1,".")</f>
        <v>.</v>
      </c>
      <c r="W5" s="15" t="str">
        <f>IFERROR((s_TR/(s_RadSpec!L5*s_EF_res*(1/365)*s_ED_res*s_RadSpec!Q5*((s_ET_res_o*(1/24)*s_RadSpec!V5)+(s_ET_res_i*(1/24)*s_RadSpec!AA5))))*1,".")</f>
        <v>.</v>
      </c>
      <c r="X5" s="40">
        <f>IFERROR((s_C*s_EF_res*(1/365)*s_ED_res*s_RadSpec!R5*((s_ET_res_o*(1/24)*s_RadSpec!W5)+(s_ET_res_i*(1/24)*s_RadSpec!AB5))),".")</f>
        <v>0</v>
      </c>
      <c r="Y5" s="40">
        <f>IFERROR((s_C*s_EF_res*(1/365)*s_ED_res*s_RadSpec!S5*((s_ET_res_o*(1/24)*s_RadSpec!X5)+(s_ET_res_i*(1/24)*s_RadSpec!AC5))),".")</f>
        <v>0</v>
      </c>
      <c r="Z5" s="40">
        <f>IFERROR((s_C*s_EF_res*(1/365)*s_ED_res*s_RadSpec!T5*((s_ET_res_o*(1/24)*s_RadSpec!Y5)+(s_ET_res_i*(1/24)*s_RadSpec!AD5))),".")</f>
        <v>0</v>
      </c>
      <c r="AA5" s="40">
        <f>IFERROR((s_C*s_EF_res*(1/365)*s_ED_res*s_RadSpec!U5*((s_ET_res_o*(1/24)*s_RadSpec!Z5)+(s_ET_res_i*(1/24)*s_RadSpec!AE5))),".")</f>
        <v>0</v>
      </c>
      <c r="AB5" s="40">
        <f>IFERROR((s_C*s_EF_res*(1/365)*s_ED_res*s_RadSpec!Q5*((s_ET_res_o*(1/24)*s_RadSpec!V5)+(s_ET_res_i*(1/24)*s_RadSpec!AA5))),".")</f>
        <v>0</v>
      </c>
      <c r="AC5" s="18"/>
      <c r="AD5" s="18"/>
      <c r="AE5" s="18"/>
      <c r="AF5" s="18"/>
      <c r="AG5" s="18"/>
      <c r="AH5" s="15" t="str">
        <f>IFERROR((s_TR/(s_RadSpec!F5*s_IFA_res_adj)),".")</f>
        <v>.</v>
      </c>
      <c r="AI5" s="15">
        <f>IFERROR((s_TR/(s_RadSpec!K5*s_EF_res*(1/365)*s_ED_res*s_ET_res*(1/24)*s_GSF_a)),".")</f>
        <v>1033384145.8226998</v>
      </c>
      <c r="AJ5" s="15">
        <f t="shared" si="9"/>
        <v>1033384145.8226997</v>
      </c>
      <c r="AK5" s="40">
        <f t="shared" si="2"/>
        <v>10026.041666666666</v>
      </c>
      <c r="AL5" s="40">
        <f t="shared" si="3"/>
        <v>1.5696347031963471</v>
      </c>
      <c r="AM5" s="18"/>
      <c r="AN5" s="18"/>
      <c r="AO5" s="18"/>
      <c r="AP5" s="15" t="str">
        <f>IFERROR((s_TR/(s_RadSpec!I5*s_IFW_res_adj)),".")</f>
        <v>.</v>
      </c>
      <c r="AQ5" s="15" t="str">
        <f>IFERROR(IF(AND(s_RadSpec!C5=1,s_RadSpec!D5&lt;&gt;0),(s_TR/(s_RadSpec!F5*s_IFA_res_adj*s_K*s_RadSpec!D5)),"."),".")</f>
        <v>.</v>
      </c>
      <c r="AR5" s="15">
        <f>IFERROR((s_TR/(s_RadSpec!M5*(1/8760)*s_DFA_res_adj)),".")</f>
        <v>388401786015.36554</v>
      </c>
      <c r="AS5" s="15" t="str">
        <f>s_b2w!C5</f>
        <v>.</v>
      </c>
      <c r="AT5" s="15">
        <f t="shared" si="10"/>
        <v>388401786015.36554</v>
      </c>
      <c r="AU5" s="40">
        <f t="shared" si="4"/>
        <v>27500</v>
      </c>
      <c r="AV5" s="40">
        <f>IF(s_RadSpec!D5&lt;&gt;"",s_C*s_IFA_res_adj*s_K*s_RadSpec!D5,0)</f>
        <v>0.72820143229166667</v>
      </c>
      <c r="AW5" s="40">
        <f t="shared" si="5"/>
        <v>2.5114155251141552</v>
      </c>
      <c r="AX5" s="40">
        <f>s_b2w!AC5</f>
        <v>31119.356502223021</v>
      </c>
      <c r="AY5" s="18"/>
      <c r="AZ5" s="18"/>
      <c r="BA5" s="18"/>
      <c r="BB5" s="18"/>
      <c r="BC5" s="18"/>
      <c r="BD5" s="15" t="str">
        <f>IFERROR(s_TR/(s_RadSpec!H5*s_EF_res*s_ED_res*s_IRF_res*0.001*s_CF_res_fish),".")</f>
        <v>.</v>
      </c>
      <c r="BE5" s="40">
        <f t="shared" si="6"/>
        <v>151250</v>
      </c>
      <c r="BF5" s="18"/>
    </row>
    <row r="6" spans="1:58" x14ac:dyDescent="0.25">
      <c r="A6" s="44" t="s">
        <v>16</v>
      </c>
      <c r="B6" s="42" t="s">
        <v>1071</v>
      </c>
      <c r="C6" s="42"/>
      <c r="D6" s="15" t="str">
        <f>IFERROR(((s_TR/(s_RadSpec!E6*s_IFS_res_adj*(1/1000)))*1),".")</f>
        <v>.</v>
      </c>
      <c r="E6" s="15" t="str">
        <f>IFERROR(IF(A6="H-3",(s_TR/((s_RadSpec!F6*s_IFA_res_adj*(1/17)*1000))*1),(s_TR/((s_RadSpec!F6*s_IFA_res_adj*(1/s_PEF_wind)*1000))*1)),".")</f>
        <v>.</v>
      </c>
      <c r="F6" s="15">
        <f>IFERROR((s_TR/(s_RadSpec!G6*s_EF_res*(1/365)*s_ED_res*s_RadSpec!R6*((s_ET_res_o*(1/24)*s_RadSpec!W6)+(s_ET_res_i*(1/24)*s_RadSpec!AB6))))*1,".")</f>
        <v>43.904415874008492</v>
      </c>
      <c r="G6" s="15" t="str">
        <f>s_b2s!C6</f>
        <v>.</v>
      </c>
      <c r="H6" s="15" t="str">
        <f>s_dir!C6</f>
        <v>.</v>
      </c>
      <c r="I6" s="15">
        <f t="shared" si="8"/>
        <v>43.904415874008492</v>
      </c>
      <c r="J6" s="40">
        <f t="shared" si="0"/>
        <v>302.5</v>
      </c>
      <c r="K6" s="40">
        <f t="shared" si="1"/>
        <v>3.2362545583179352E-2</v>
      </c>
      <c r="L6" s="40">
        <f>IFERROR((s_C*s_EF_res*(1/365)*s_ED_res*s_RadSpec!R6*((s_ET_res_o*(1/24)*s_RadSpec!W6)+(s_ET_res_i*(1/24)*s_RadSpec!AB6))),".")</f>
        <v>0.42406094196234101</v>
      </c>
      <c r="M6" s="40">
        <f>s_b2s!AC6</f>
        <v>11485.924999999999</v>
      </c>
      <c r="N6" s="18"/>
      <c r="O6" s="18"/>
      <c r="P6" s="18"/>
      <c r="Q6" s="18"/>
      <c r="R6" s="18"/>
      <c r="S6" s="15">
        <f>IFERROR((s_TR/(s_RadSpec!G6*s_EF_res*(1/365)*s_ED_res*s_RadSpec!R6*((s_ET_res_o*(1/24)*s_RadSpec!W6)+(s_ET_res_i*(1/24)*s_RadSpec!AB6))))*1,".")</f>
        <v>43.904415874008492</v>
      </c>
      <c r="T6" s="15">
        <f>IFERROR((s_TR/(s_RadSpec!N6*s_EF_res*(1/365)*s_ED_res*s_RadSpec!S6*((s_ET_res_o*(1/24)*s_RadSpec!X6)+(s_ET_res_i*(1/24)*s_RadSpec!AC6))))*1,".")</f>
        <v>402.11854602392913</v>
      </c>
      <c r="U6" s="15">
        <f>IFERROR((s_TR/(s_RadSpec!O6*s_EF_res*(1/365)*s_ED_res*s_RadSpec!T6*((s_ET_res_o*(1/24)*s_RadSpec!Y6)+(s_ET_res_i*(1/24)*s_RadSpec!AD6))))*1,".")</f>
        <v>100.7678061267074</v>
      </c>
      <c r="V6" s="15">
        <f>IFERROR((s_TR/(s_RadSpec!P6*s_EF_res*(1/365)*s_ED_res*s_RadSpec!U6*((s_ET_res_o*(1/24)*s_RadSpec!Z6)+(s_ET_res_i*(1/24)*s_RadSpec!AE6))))*1,".")</f>
        <v>53.738464915260522</v>
      </c>
      <c r="W6" s="15">
        <f>IFERROR((s_TR/(s_RadSpec!L6*s_EF_res*(1/365)*s_ED_res*s_RadSpec!Q6*((s_ET_res_o*(1/24)*s_RadSpec!V6)+(s_ET_res_i*(1/24)*s_RadSpec!AA6))))*1,".")</f>
        <v>689.88204201046369</v>
      </c>
      <c r="X6" s="40">
        <f>IFERROR((s_C*s_EF_res*(1/365)*s_ED_res*s_RadSpec!R6*((s_ET_res_o*(1/24)*s_RadSpec!W6)+(s_ET_res_i*(1/24)*s_RadSpec!AB6))),".")</f>
        <v>0.42406094196234101</v>
      </c>
      <c r="Y6" s="40">
        <f>IFERROR((s_C*s_EF_res*(1/365)*s_ED_res*s_RadSpec!S6*((s_ET_res_o*(1/24)*s_RadSpec!X6)+(s_ET_res_i*(1/24)*s_RadSpec!AC6))),".")</f>
        <v>0.22715516000920916</v>
      </c>
      <c r="Z6" s="40">
        <f>IFERROR((s_C*s_EF_res*(1/365)*s_ED_res*s_RadSpec!T6*((s_ET_res_o*(1/24)*s_RadSpec!Y6)+(s_ET_res_i*(1/24)*s_RadSpec!AD6))),".")</f>
        <v>0.32144824177376063</v>
      </c>
      <c r="AA6" s="40">
        <f>IFERROR((s_C*s_EF_res*(1/365)*s_ED_res*s_RadSpec!U6*((s_ET_res_o*(1/24)*s_RadSpec!Z6)+(s_ET_res_i*(1/24)*s_RadSpec!AE6))),".")</f>
        <v>0.38870953668964331</v>
      </c>
      <c r="AB6" s="40">
        <f>IFERROR((s_C*s_EF_res*(1/365)*s_ED_res*s_RadSpec!Q6*((s_ET_res_o*(1/24)*s_RadSpec!V6)+(s_ET_res_i*(1/24)*s_RadSpec!AA6))),".")</f>
        <v>0.13523116438356159</v>
      </c>
      <c r="AC6" s="18"/>
      <c r="AD6" s="18"/>
      <c r="AE6" s="18"/>
      <c r="AF6" s="18"/>
      <c r="AG6" s="18"/>
      <c r="AH6" s="15" t="str">
        <f>IFERROR((s_TR/(s_RadSpec!F6*s_IFA_res_adj)),".")</f>
        <v>.</v>
      </c>
      <c r="AI6" s="15">
        <f>IFERROR((s_TR/(s_RadSpec!K6*s_EF_res*(1/365)*s_ED_res*s_ET_res*(1/24)*s_GSF_a)),".")</f>
        <v>12630.250671166332</v>
      </c>
      <c r="AJ6" s="15">
        <f t="shared" ref="AJ6:AJ14" si="11">IFERROR(IF(AND(AH6&lt;&gt;".",AI6&lt;&gt;"."),1/((1/AH6)+(1/AI6)),IF(AND(AH6&lt;&gt;".",AI6="."),1/((1/AH6)),IF(AND(AH6=".",AI6&lt;&gt;"."),1/((1/AI6)),IF(AND(AH6=".",AI6="."),".")))),".")</f>
        <v>12630.250671166332</v>
      </c>
      <c r="AK6" s="40">
        <f t="shared" si="2"/>
        <v>10026.041666666666</v>
      </c>
      <c r="AL6" s="40">
        <f t="shared" si="3"/>
        <v>1.5696347031963471</v>
      </c>
      <c r="AM6" s="18"/>
      <c r="AN6" s="18"/>
      <c r="AO6" s="18"/>
      <c r="AP6" s="15" t="str">
        <f>IFERROR((s_TR/(s_RadSpec!I6*s_IFW_res_adj)),".")</f>
        <v>.</v>
      </c>
      <c r="AQ6" s="15" t="str">
        <f>IFERROR(IF(AND(s_RadSpec!C6=1,s_RadSpec!D6&lt;&gt;0),(s_TR/(s_RadSpec!F6*s_IFA_res_adj*s_K*s_RadSpec!D6)),"."),".")</f>
        <v>.</v>
      </c>
      <c r="AR6" s="15">
        <f>IFERROR((s_TR/(s_RadSpec!M6*(1/8760)*s_DFA_res_adj)),".")</f>
        <v>3643341.539759519</v>
      </c>
      <c r="AS6" s="15" t="str">
        <f>s_b2w!C6</f>
        <v>.</v>
      </c>
      <c r="AT6" s="15">
        <f>(IF(AND(AP6&lt;&gt;".",AQ6&lt;&gt;".",AR6&lt;&gt;".",AS6&lt;&gt;"."),1/((1/AP6)+(1/AQ6)+(1/AR6)+(1/AS6)),IF(AND(AP6&lt;&gt;".",AQ6&lt;&gt;".",AR6&lt;&gt;".",AS6="."), 1/((1/AP6)+(1/AQ6)+(1/AR6)),IF(AND(AP6&lt;&gt;".",AQ6&lt;&gt;".",AR6=".",AS6&lt;&gt;"."),1/((1/AP6)+(1/AQ6)+(1/AS6)),IF(AND(AP6&lt;&gt;".",AQ6=".",AR6&lt;&gt;".",AS6&lt;&gt;"."),1/((1/AP6)+(1/AR6)+(1/AS6)),IF(AND(AP6=".",AQ6&lt;&gt;".",AR6&lt;&gt;".",AS6&lt;&gt;"."),1/((1/AQ6)+(1/AR6)+(1/AS6)),IF(AND(AP6&lt;&gt;".",AQ6&lt;&gt;".",AR6=".",AS6="."),1/((1/AP6)+(1/AQ6)),IF(AND(AP6&lt;&gt;".",AQ6=".",AR6&lt;&gt;".",AS6="."),1/((1/AP6)+(1/AR6)),IF(AND(AP6&lt;&gt;".",AQ6=".",AR6=".",AS6&lt;&gt;"."),1/((1/AP6)+(1/AS6)),IF(AND(AP6=".",AQ6=".",AR6&lt;&gt;".",AS6&lt;&gt;"."),1/((1/AR6)+(1/AS6)),IF(AND(AP6=".",AQ6&lt;&gt;".",AR6=".",AS6&lt;&gt;"."),1/((1/AQ6)+(1/AS6)),IF(AND(AP6=".",AQ6&lt;&gt;".",AR6&lt;&gt;".",AS6="."),1/((1/AQ6)+(1/AR6)),IF(AND(AP6&lt;&gt;".",AQ6=".",AR6=".",AS6="."),1/((1/AP6)),IF(AND(AP6=".",AQ6&lt;&gt;".",AR6=".",AS6="."),1/((1/AQ6)),IF(AND(AP6=".",AQ6=".",AR6&lt;&gt;".",AS6="."),1/((1/AR6)),IF(AND(AP6=".",AQ6=".",AR6=".",AS6&lt;&gt;"."),1/((1/AS6)),IF(AND(AP6=".",AQ6=".",AR6=".",AS6="."),".")))))))))))))))))</f>
        <v>3643341.539759519</v>
      </c>
      <c r="AU6" s="40">
        <f t="shared" si="4"/>
        <v>27500</v>
      </c>
      <c r="AV6" s="40">
        <f>IF(s_RadSpec!D6&lt;&gt;"",s_C*s_IFA_res_adj*s_K*s_RadSpec!D6,0)</f>
        <v>0</v>
      </c>
      <c r="AW6" s="40">
        <f t="shared" si="5"/>
        <v>2.5114155251141552</v>
      </c>
      <c r="AX6" s="40">
        <f>s_b2w!AC6</f>
        <v>7735.942276775394</v>
      </c>
      <c r="AY6" s="18"/>
      <c r="AZ6" s="18"/>
      <c r="BA6" s="18"/>
      <c r="BB6" s="18"/>
      <c r="BC6" s="18"/>
      <c r="BD6" s="15" t="str">
        <f>IFERROR(s_TR/(s_RadSpec!H6*s_EF_res*s_ED_res*s_IRF_res*0.001*s_CF_res_fish),".")</f>
        <v>.</v>
      </c>
      <c r="BE6" s="40">
        <f t="shared" si="6"/>
        <v>151250</v>
      </c>
      <c r="BF6" s="18"/>
    </row>
    <row r="7" spans="1:58" x14ac:dyDescent="0.25">
      <c r="A7" s="44" t="s">
        <v>17</v>
      </c>
      <c r="B7" s="42" t="s">
        <v>1071</v>
      </c>
      <c r="C7" s="249"/>
      <c r="D7" s="15">
        <f>IFERROR(((s_TR/(s_RadSpec!E7*s_IFS_res_adj*(1/1000)))*1),".")</f>
        <v>6883.3238744991095</v>
      </c>
      <c r="E7" s="15">
        <f>IFERROR(IF(A7="H-3",(s_TR/((s_RadSpec!F7*s_IFA_res_adj*(1/17)*1000))*1),(s_TR/((s_RadSpec!F7*s_IFA_res_adj*(1/s_PEF_wind)*1000))*1)),".")</f>
        <v>3394849.2476316104</v>
      </c>
      <c r="F7" s="15">
        <f>IFERROR((s_TR/(s_RadSpec!G7*s_EF_res*(1/365)*s_ED_res*s_RadSpec!R7*((s_ET_res_o*(1/24)*s_RadSpec!W7)+(s_ET_res_i*(1/24)*s_RadSpec!AB7))))*1,".")</f>
        <v>92191.610738440344</v>
      </c>
      <c r="G7" s="15">
        <f>s_b2s!C7</f>
        <v>55.908054597390894</v>
      </c>
      <c r="H7" s="15">
        <f>s_dir!C7</f>
        <v>6.345564196803867</v>
      </c>
      <c r="I7" s="15">
        <f t="shared" ref="I7:I9" si="12">(IF(AND(D7&lt;&gt;".",E7&lt;&gt;".",F7&lt;&gt;".",G7&lt;&gt;"."),1/((1/D7)+(1/E7)+(1/F7)+(1/G7)),IF(AND(D7&lt;&gt;".",E7&lt;&gt;".",F7&lt;&gt;".",G7="."), 1/((1/D7)+(1/E7)+(1/F7)),IF(AND(D7&lt;&gt;".",E7&lt;&gt;".",F7=".",G7&lt;&gt;"."),1/((1/D7)+(1/E7)+(1/G7)),IF(AND(D7&lt;&gt;".",E7=".",F7&lt;&gt;".",G7&lt;&gt;"."),1/((1/D7)+(1/F7)+(1/G7)),IF(AND(D7=".",E7&lt;&gt;".",F7&lt;&gt;".",G7&lt;&gt;"."),1/((1/E7)+(1/F7)+(1/G7)),IF(AND(D7&lt;&gt;".",E7&lt;&gt;".",F7=".",G7="."),1/((1/D7)+(1/E7)),IF(AND(D7&lt;&gt;".",E7=".",F7&lt;&gt;".",G7="."),1/((1/D7)+(1/F7)),IF(AND(D7&lt;&gt;".",E7=".",F7=".",G7&lt;&gt;"."),1/((1/D7)+(1/G7)),IF(AND(D7=".",E7=".",F7&lt;&gt;".",G7&lt;&gt;"."),1/((1/F7)+(1/G7)),IF(AND(D7=".",E7&lt;&gt;".",F7=".",G7&lt;&gt;"."),1/((1/E7)+(1/G7)),IF(AND(D7=".",E7&lt;&gt;".",F7&lt;&gt;".",G7="."),1/((1/E7)+(1/F7)),IF(AND(D7&lt;&gt;".",E7=".",F7=".",G7="."),1/((1/D7)),IF(AND(D7=".",E7&lt;&gt;".",F7=".",G7="."),1/((1/E7)),IF(AND(D7=".",E7=".",F7&lt;&gt;".",G7="."),1/((1/F7)),IF(AND(D7=".",E7=".",F7=".",G7&lt;&gt;"."),1/((1/G7)),IF(AND(D7=".",E7=".",F7=".",G7="."),".")))))))))))))))))</f>
        <v>55.423369010464796</v>
      </c>
      <c r="J7" s="40">
        <f t="shared" si="0"/>
        <v>302.5</v>
      </c>
      <c r="K7" s="40">
        <f t="shared" si="1"/>
        <v>3.2362545583179352E-2</v>
      </c>
      <c r="L7" s="40">
        <f>IFERROR((s_C*s_EF_res*(1/365)*s_ED_res*s_RadSpec!R7*((s_ET_res_o*(1/24)*s_RadSpec!W7)+(s_ET_res_i*(1/24)*s_RadSpec!AB7))),".")</f>
        <v>0.19598578116871862</v>
      </c>
      <c r="M7" s="40">
        <f>s_b2s!AC7</f>
        <v>68667.5</v>
      </c>
      <c r="N7" s="18"/>
      <c r="O7" s="18"/>
      <c r="P7" s="18"/>
      <c r="Q7" s="18"/>
      <c r="R7" s="18"/>
      <c r="S7" s="15">
        <f>IFERROR((s_TR/(s_RadSpec!G7*s_EF_res*(1/365)*s_ED_res*s_RadSpec!R7*((s_ET_res_o*(1/24)*s_RadSpec!W7)+(s_ET_res_i*(1/24)*s_RadSpec!AB7))))*1,".")</f>
        <v>92191.610738440344</v>
      </c>
      <c r="T7" s="15">
        <f>IFERROR((s_TR/(s_RadSpec!N7*s_EF_res*(1/365)*s_ED_res*s_RadSpec!S7*((s_ET_res_o*(1/24)*s_RadSpec!X7)+(s_ET_res_i*(1/24)*s_RadSpec!AC7))))*1,".")</f>
        <v>425143.38901385647</v>
      </c>
      <c r="U7" s="15">
        <f>IFERROR((s_TR/(s_RadSpec!O7*s_EF_res*(1/365)*s_ED_res*s_RadSpec!T7*((s_ET_res_o*(1/24)*s_RadSpec!Y7)+(s_ET_res_i*(1/24)*s_RadSpec!AD7))))*1,".")</f>
        <v>144692.94992701543</v>
      </c>
      <c r="V7" s="15">
        <f>IFERROR((s_TR/(s_RadSpec!P7*s_EF_res*(1/365)*s_ED_res*s_RadSpec!U7*((s_ET_res_o*(1/24)*s_RadSpec!Z7)+(s_ET_res_i*(1/24)*s_RadSpec!AE7))))*1,".")</f>
        <v>101853.01908357482</v>
      </c>
      <c r="W7" s="15">
        <f>IFERROR((s_TR/(s_RadSpec!L7*s_EF_res*(1/365)*s_ED_res*s_RadSpec!Q7*((s_ET_res_o*(1/24)*s_RadSpec!V7)+(s_ET_res_i*(1/24)*s_RadSpec!AA7))))*1,".")</f>
        <v>144030.79331160581</v>
      </c>
      <c r="X7" s="40">
        <f>IFERROR((s_C*s_EF_res*(1/365)*s_ED_res*s_RadSpec!R7*((s_ET_res_o*(1/24)*s_RadSpec!W7)+(s_ET_res_i*(1/24)*s_RadSpec!AB7))),".")</f>
        <v>0.19598578116871862</v>
      </c>
      <c r="Y7" s="40">
        <f>IFERROR((s_C*s_EF_res*(1/365)*s_ED_res*s_RadSpec!S7*((s_ET_res_o*(1/24)*s_RadSpec!X7)+(s_ET_res_i*(1/24)*s_RadSpec!AC7))),".")</f>
        <v>0.12319355850674467</v>
      </c>
      <c r="Z7" s="40">
        <f>IFERROR((s_C*s_EF_res*(1/365)*s_ED_res*s_RadSpec!T7*((s_ET_res_o*(1/24)*s_RadSpec!Y7)+(s_ET_res_i*(1/24)*s_RadSpec!AD7))),".")</f>
        <v>0.16815286624203821</v>
      </c>
      <c r="AA7" s="40">
        <f>IFERROR((s_C*s_EF_res*(1/365)*s_ED_res*s_RadSpec!U7*((s_ET_res_o*(1/24)*s_RadSpec!Z7)+(s_ET_res_i*(1/24)*s_RadSpec!AE7))),".")</f>
        <v>0.1827942668696094</v>
      </c>
      <c r="AB7" s="40">
        <f>IFERROR((s_C*s_EF_res*(1/365)*s_ED_res*s_RadSpec!Q7*((s_ET_res_o*(1/24)*s_RadSpec!V7)+(s_ET_res_i*(1/24)*s_RadSpec!AA7))),".")</f>
        <v>7.1987801219878023E-2</v>
      </c>
      <c r="AC7" s="18"/>
      <c r="AD7" s="18"/>
      <c r="AE7" s="18"/>
      <c r="AF7" s="18"/>
      <c r="AG7" s="18"/>
      <c r="AH7" s="15">
        <f>IFERROR((s_TR/(s_RadSpec!F7*s_IFA_res_adj)),".")</f>
        <v>10.958059738547544</v>
      </c>
      <c r="AI7" s="15">
        <f>IFERROR((s_TR/(s_RadSpec!K7*s_EF_res*(1/365)*s_ED_res*s_ET_res*(1/24)*s_GSF_a)),".")</f>
        <v>6022371.1809534831</v>
      </c>
      <c r="AJ7" s="15">
        <f t="shared" si="11"/>
        <v>10.958039799747503</v>
      </c>
      <c r="AK7" s="40">
        <f t="shared" si="2"/>
        <v>10026.041666666666</v>
      </c>
      <c r="AL7" s="40">
        <f t="shared" si="3"/>
        <v>1.5696347031963471</v>
      </c>
      <c r="AM7" s="18"/>
      <c r="AN7" s="18"/>
      <c r="AO7" s="18"/>
      <c r="AP7" s="15">
        <f>IFERROR((s_TR/(s_RadSpec!I7*s_IFW_res_adj)),".")</f>
        <v>203.90061883837819</v>
      </c>
      <c r="AQ7" s="15" t="str">
        <f>IFERROR(IF(AND(s_RadSpec!C7=1,s_RadSpec!D7&lt;&gt;0),(s_TR/(s_RadSpec!F7*s_IFA_res_adj*s_K*s_RadSpec!D7)),"."),".")</f>
        <v>.</v>
      </c>
      <c r="AR7" s="15">
        <f>IFERROR((s_TR/(s_RadSpec!M7*(1/8760)*s_DFA_res_adj)),".")</f>
        <v>2544901254.6379924</v>
      </c>
      <c r="AS7" s="15">
        <f>s_b2w!C7</f>
        <v>201.01967978025729</v>
      </c>
      <c r="AT7" s="15">
        <f>(IF(AND(AP7&lt;&gt;".",AQ7&lt;&gt;".",AR7&lt;&gt;".",AS7&lt;&gt;"."),1/((1/AP7)+(1/AQ7)+(1/AR7)+(1/AS7)),IF(AND(AP7&lt;&gt;".",AQ7&lt;&gt;".",AR7&lt;&gt;".",AS7="."), 1/((1/AP7)+(1/AQ7)+(1/AR7)),IF(AND(AP7&lt;&gt;".",AQ7&lt;&gt;".",AR7=".",AS7&lt;&gt;"."),1/((1/AP7)+(1/AQ7)+(1/AS7)),IF(AND(AP7&lt;&gt;".",AQ7=".",AR7&lt;&gt;".",AS7&lt;&gt;"."),1/((1/AP7)+(1/AR7)+(1/AS7)),IF(AND(AP7=".",AQ7&lt;&gt;".",AR7&lt;&gt;".",AS7&lt;&gt;"."),1/((1/AQ7)+(1/AR7)+(1/AS7)),IF(AND(AP7&lt;&gt;".",AQ7&lt;&gt;".",AR7=".",AS7="."),1/((1/AP7)+(1/AQ7)),IF(AND(AP7&lt;&gt;".",AQ7=".",AR7&lt;&gt;".",AS7="."),1/((1/AP7)+(1/AR7)),IF(AND(AP7&lt;&gt;".",AQ7=".",AR7=".",AS7&lt;&gt;"."),1/((1/AP7)+(1/AS7)),IF(AND(AP7=".",AQ7=".",AR7&lt;&gt;".",AS7&lt;&gt;"."),1/((1/AR7)+(1/AS7)),IF(AND(AP7=".",AQ7&lt;&gt;".",AR7=".",AS7&lt;&gt;"."),1/((1/AQ7)+(1/AS7)),IF(AND(AP7=".",AQ7&lt;&gt;".",AR7&lt;&gt;".",AS7="."),1/((1/AQ7)+(1/AR7)),IF(AND(AP7&lt;&gt;".",AQ7=".",AR7=".",AS7="."),1/((1/AP7)),IF(AND(AP7=".",AQ7&lt;&gt;".",AR7=".",AS7="."),1/((1/AQ7)),IF(AND(AP7=".",AQ7=".",AR7&lt;&gt;".",AS7="."),1/((1/AR7)),IF(AND(AP7=".",AQ7=".",AR7=".",AS7&lt;&gt;"."),1/((1/AS7)),IF(AND(AP7=".",AQ7=".",AR7=".",AS7="."),".")))))))))))))))))</f>
        <v>101.22494628052068</v>
      </c>
      <c r="AU7" s="40">
        <f t="shared" si="4"/>
        <v>27500</v>
      </c>
      <c r="AV7" s="40">
        <f>IF(s_RadSpec!D7&lt;&gt;"",s_C*s_IFA_res_adj*s_K*s_RadSpec!D7,0)</f>
        <v>0</v>
      </c>
      <c r="AW7" s="40">
        <f t="shared" si="5"/>
        <v>2.5114155251141552</v>
      </c>
      <c r="AX7" s="40">
        <f>s_b2w!AC7</f>
        <v>19097.962663471444</v>
      </c>
      <c r="AY7" s="18"/>
      <c r="AZ7" s="18"/>
      <c r="BA7" s="18"/>
      <c r="BB7" s="18"/>
      <c r="BC7" s="18"/>
      <c r="BD7" s="15">
        <f>IFERROR(s_TR/(s_RadSpec!H7*s_EF_res*s_ED_res*s_IRF_res*0.001*s_CF_res_fish),".")</f>
        <v>25.382256787215468</v>
      </c>
      <c r="BE7" s="40">
        <f t="shared" si="6"/>
        <v>151250</v>
      </c>
      <c r="BF7" s="18"/>
    </row>
    <row r="8" spans="1:58" x14ac:dyDescent="0.25">
      <c r="A8" s="44" t="s">
        <v>18</v>
      </c>
      <c r="B8" s="42" t="s">
        <v>1071</v>
      </c>
      <c r="C8" s="42"/>
      <c r="D8" s="15">
        <f>IFERROR(((s_TR/(s_RadSpec!E8*s_IFS_res_adj*(1/1000)))*1),".")</f>
        <v>138735.31660092928</v>
      </c>
      <c r="E8" s="15">
        <f>IFERROR(IF(A8="H-3",(s_TR/((s_RadSpec!F8*s_IFA_res_adj*(1/17)*1000))*1),(s_TR/((s_RadSpec!F8*s_IFA_res_adj*(1/s_PEF_wind)*1000))*1)),".")</f>
        <v>20878322.872934401</v>
      </c>
      <c r="F8" s="15">
        <f>IFERROR((s_TR/(s_RadSpec!G8*s_EF_res*(1/365)*s_ED_res*s_RadSpec!R8*((s_ET_res_o*(1/24)*s_RadSpec!W8)+(s_ET_res_i*(1/24)*s_RadSpec!AB8))))*1,".")</f>
        <v>270.11764044554633</v>
      </c>
      <c r="G8" s="15">
        <f>s_b2s!C8</f>
        <v>1014.4141865093603</v>
      </c>
      <c r="H8" s="15">
        <f>s_dir!C8</f>
        <v>115.13601016881242</v>
      </c>
      <c r="I8" s="15">
        <f t="shared" si="12"/>
        <v>212.98632217982609</v>
      </c>
      <c r="J8" s="40">
        <f t="shared" si="0"/>
        <v>302.5</v>
      </c>
      <c r="K8" s="40">
        <f t="shared" si="1"/>
        <v>3.2362545583179352E-2</v>
      </c>
      <c r="L8" s="40">
        <f>IFERROR((s_C*s_EF_res*(1/365)*s_ED_res*s_RadSpec!R8*((s_ET_res_o*(1/24)*s_RadSpec!W8)+(s_ET_res_i*(1/24)*s_RadSpec!AB8))),".")</f>
        <v>0.34092465753424639</v>
      </c>
      <c r="M8" s="40">
        <f>s_b2s!AC8</f>
        <v>68667.5</v>
      </c>
      <c r="N8" s="18"/>
      <c r="O8" s="18"/>
      <c r="P8" s="18"/>
      <c r="Q8" s="18"/>
      <c r="R8" s="18"/>
      <c r="S8" s="15">
        <f>IFERROR((s_TR/(s_RadSpec!G8*s_EF_res*(1/365)*s_ED_res*s_RadSpec!R8*((s_ET_res_o*(1/24)*s_RadSpec!W8)+(s_ET_res_i*(1/24)*s_RadSpec!AB8))))*1,".")</f>
        <v>270.11764044554633</v>
      </c>
      <c r="T8" s="15">
        <f>IFERROR((s_TR/(s_RadSpec!N8*s_EF_res*(1/365)*s_ED_res*s_RadSpec!S8*((s_ET_res_o*(1/24)*s_RadSpec!X8)+(s_ET_res_i*(1/24)*s_RadSpec!AC8))))*1,".")</f>
        <v>2287.425867713403</v>
      </c>
      <c r="U8" s="15">
        <f>IFERROR((s_TR/(s_RadSpec!O8*s_EF_res*(1/365)*s_ED_res*s_RadSpec!T8*((s_ET_res_o*(1/24)*s_RadSpec!Y8)+(s_ET_res_i*(1/24)*s_RadSpec!AD8))))*1,".")</f>
        <v>597.64377617046227</v>
      </c>
      <c r="V8" s="15">
        <f>IFERROR((s_TR/(s_RadSpec!P8*s_EF_res*(1/365)*s_ED_res*s_RadSpec!U8*((s_ET_res_o*(1/24)*s_RadSpec!Z8)+(s_ET_res_i*(1/24)*s_RadSpec!AE8))))*1,".")</f>
        <v>362.20965503774971</v>
      </c>
      <c r="W8" s="15">
        <f>IFERROR((s_TR/(s_RadSpec!L8*s_EF_res*(1/365)*s_ED_res*s_RadSpec!Q8*((s_ET_res_o*(1/24)*s_RadSpec!V8)+(s_ET_res_i*(1/24)*s_RadSpec!AA8))))*1,".")</f>
        <v>4147.8115190381386</v>
      </c>
      <c r="X8" s="40">
        <f>IFERROR((s_C*s_EF_res*(1/365)*s_ED_res*s_RadSpec!R8*((s_ET_res_o*(1/24)*s_RadSpec!W8)+(s_ET_res_i*(1/24)*s_RadSpec!AB8))),".")</f>
        <v>0.34092465753424639</v>
      </c>
      <c r="Y8" s="40">
        <f>IFERROR((s_C*s_EF_res*(1/365)*s_ED_res*s_RadSpec!S8*((s_ET_res_o*(1/24)*s_RadSpec!X8)+(s_ET_res_i*(1/24)*s_RadSpec!AC8))),".")</f>
        <v>0.18571917808219179</v>
      </c>
      <c r="Z8" s="40">
        <f>IFERROR((s_C*s_EF_res*(1/365)*s_ED_res*s_RadSpec!T8*((s_ET_res_o*(1/24)*s_RadSpec!Y8)+(s_ET_res_i*(1/24)*s_RadSpec!AD8))),".")</f>
        <v>0.25444227005870834</v>
      </c>
      <c r="AA8" s="40">
        <f>IFERROR((s_C*s_EF_res*(1/365)*s_ED_res*s_RadSpec!U8*((s_ET_res_o*(1/24)*s_RadSpec!Z8)+(s_ET_res_i*(1/24)*s_RadSpec!AE8))),".")</f>
        <v>0.27752025853752643</v>
      </c>
      <c r="AB8" s="40">
        <f>IFERROR((s_C*s_EF_res*(1/365)*s_ED_res*s_RadSpec!Q8*((s_ET_res_o*(1/24)*s_RadSpec!V8)+(s_ET_res_i*(1/24)*s_RadSpec!AA8))),".")</f>
        <v>0.10023238747553816</v>
      </c>
      <c r="AC8" s="18"/>
      <c r="AD8" s="18"/>
      <c r="AE8" s="18"/>
      <c r="AF8" s="18"/>
      <c r="AG8" s="18"/>
      <c r="AH8" s="15">
        <f>IFERROR((s_TR/(s_RadSpec!F8*s_IFA_res_adj)),".")</f>
        <v>67.392067392067403</v>
      </c>
      <c r="AI8" s="15">
        <f>IFERROR((s_TR/(s_RadSpec!K8*s_EF_res*(1/365)*s_ED_res*s_ET_res*(1/24)*s_GSF_a)),".")</f>
        <v>59827.503179208943</v>
      </c>
      <c r="AJ8" s="15">
        <f t="shared" si="11"/>
        <v>67.316239715456931</v>
      </c>
      <c r="AK8" s="40">
        <f t="shared" si="2"/>
        <v>10026.041666666666</v>
      </c>
      <c r="AL8" s="40">
        <f t="shared" si="3"/>
        <v>1.5696347031963471</v>
      </c>
      <c r="AM8" s="18"/>
      <c r="AN8" s="18"/>
      <c r="AO8" s="18"/>
      <c r="AP8" s="15">
        <f>IFERROR((s_TR/(s_RadSpec!I8*s_IFW_res_adj)),".")</f>
        <v>3586.8649007335139</v>
      </c>
      <c r="AQ8" s="15" t="str">
        <f>IFERROR(IF(AND(s_RadSpec!C8=1,s_RadSpec!D8&lt;&gt;0),(s_TR/(s_RadSpec!F8*s_IFA_res_adj*s_K*s_RadSpec!D8)),"."),".")</f>
        <v>.</v>
      </c>
      <c r="AR8" s="15">
        <f>IFERROR((s_TR/(s_RadSpec!M8*(1/8760)*s_DFA_res_adj)),".")</f>
        <v>17223069.097044997</v>
      </c>
      <c r="AS8" s="15">
        <f>s_b2w!C8</f>
        <v>3647.3673857036374</v>
      </c>
      <c r="AT8" s="15">
        <f t="shared" ref="AT8:AT9" si="13">(IF(AND(AP8&lt;&gt;".",AQ8&lt;&gt;".",AR8&lt;&gt;".",AS8&lt;&gt;"."),1/((1/AP8)+(1/AQ8)+(1/AR8)+(1/AS8)),IF(AND(AP8&lt;&gt;".",AQ8&lt;&gt;".",AR8&lt;&gt;".",AS8="."), 1/((1/AP8)+(1/AQ8)+(1/AR8)),IF(AND(AP8&lt;&gt;".",AQ8&lt;&gt;".",AR8=".",AS8&lt;&gt;"."),1/((1/AP8)+(1/AQ8)+(1/AS8)),IF(AND(AP8&lt;&gt;".",AQ8=".",AR8&lt;&gt;".",AS8&lt;&gt;"."),1/((1/AP8)+(1/AR8)+(1/AS8)),IF(AND(AP8=".",AQ8&lt;&gt;".",AR8&lt;&gt;".",AS8&lt;&gt;"."),1/((1/AQ8)+(1/AR8)+(1/AS8)),IF(AND(AP8&lt;&gt;".",AQ8&lt;&gt;".",AR8=".",AS8="."),1/((1/AP8)+(1/AQ8)),IF(AND(AP8&lt;&gt;".",AQ8=".",AR8&lt;&gt;".",AS8="."),1/((1/AP8)+(1/AR8)),IF(AND(AP8&lt;&gt;".",AQ8=".",AR8=".",AS8&lt;&gt;"."),1/((1/AP8)+(1/AS8)),IF(AND(AP8=".",AQ8=".",AR8&lt;&gt;".",AS8&lt;&gt;"."),1/((1/AR8)+(1/AS8)),IF(AND(AP8=".",AQ8&lt;&gt;".",AR8=".",AS8&lt;&gt;"."),1/((1/AQ8)+(1/AS8)),IF(AND(AP8=".",AQ8&lt;&gt;".",AR8&lt;&gt;".",AS8="."),1/((1/AQ8)+(1/AR8)),IF(AND(AP8&lt;&gt;".",AQ8=".",AR8=".",AS8="."),1/((1/AP8)),IF(AND(AP8=".",AQ8&lt;&gt;".",AR8=".",AS8="."),1/((1/AQ8)),IF(AND(AP8=".",AQ8=".",AR8&lt;&gt;".",AS8="."),1/((1/AR8)),IF(AND(AP8=".",AQ8=".",AR8=".",AS8&lt;&gt;"."),1/((1/AS8)),IF(AND(AP8=".",AQ8=".",AR8=".",AS8="."),".")))))))))))))))))</f>
        <v>1808.241704244937</v>
      </c>
      <c r="AU8" s="40">
        <f t="shared" si="4"/>
        <v>27500</v>
      </c>
      <c r="AV8" s="40">
        <f>IF(s_RadSpec!D8&lt;&gt;"",s_C*s_IFA_res_adj*s_K*s_RadSpec!D8,0)</f>
        <v>0</v>
      </c>
      <c r="AW8" s="40">
        <f t="shared" si="5"/>
        <v>2.5114155251141552</v>
      </c>
      <c r="AX8" s="40">
        <f>s_b2w!AC8</f>
        <v>19097.962663471444</v>
      </c>
      <c r="AY8" s="18"/>
      <c r="AZ8" s="18"/>
      <c r="BA8" s="18"/>
      <c r="BB8" s="18"/>
      <c r="BC8" s="18"/>
      <c r="BD8" s="15">
        <f>IFERROR(s_TR/(s_RadSpec!H8*s_EF_res*s_ED_res*s_IRF_res*0.001*s_CF_res_fish),".")</f>
        <v>460.54404067524973</v>
      </c>
      <c r="BE8" s="40">
        <f t="shared" si="6"/>
        <v>151250</v>
      </c>
      <c r="BF8" s="18"/>
    </row>
    <row r="9" spans="1:58" x14ac:dyDescent="0.25">
      <c r="A9" s="44" t="s">
        <v>19</v>
      </c>
      <c r="B9" s="42" t="s">
        <v>1071</v>
      </c>
      <c r="C9" s="249"/>
      <c r="D9" s="15">
        <f>IFERROR(((s_TR/(s_RadSpec!E9*s_IFS_res_adj*(1/1000)))*1),".")</f>
        <v>409841.94445412129</v>
      </c>
      <c r="E9" s="15">
        <f>IFERROR(IF(A9="H-3",(s_TR/((s_RadSpec!F9*s_IFA_res_adj*(1/17)*1000))*1),(s_TR/((s_RadSpec!F9*s_IFA_res_adj*(1/s_PEF_wind)*1000))*1)),".")</f>
        <v>24999933.537170645</v>
      </c>
      <c r="F9" s="15">
        <f>IFERROR((s_TR/(s_RadSpec!G9*s_EF_res*(1/365)*s_ED_res*s_RadSpec!R9*((s_ET_res_o*(1/24)*s_RadSpec!W9)+(s_ET_res_i*(1/24)*s_RadSpec!AB9))))*1,".")</f>
        <v>9.8344696590116047</v>
      </c>
      <c r="G9" s="15">
        <f>s_b2s!C9</f>
        <v>2744.7189983656331</v>
      </c>
      <c r="H9" s="15">
        <f>s_dir!C9</f>
        <v>311.52560631449938</v>
      </c>
      <c r="I9" s="15">
        <f t="shared" si="12"/>
        <v>9.7991199150966359</v>
      </c>
      <c r="J9" s="40">
        <f t="shared" si="0"/>
        <v>302.5</v>
      </c>
      <c r="K9" s="40">
        <f t="shared" si="1"/>
        <v>3.2362545583179352E-2</v>
      </c>
      <c r="L9" s="40">
        <f>IFERROR((s_C*s_EF_res*(1/365)*s_ED_res*s_RadSpec!R9*((s_ET_res_o*(1/24)*s_RadSpec!W9)+(s_ET_res_i*(1/24)*s_RadSpec!AB9))),".")</f>
        <v>0.69224961509612748</v>
      </c>
      <c r="M9" s="40">
        <f>s_b2s!AC9</f>
        <v>68667.5</v>
      </c>
      <c r="N9" s="18"/>
      <c r="O9" s="18"/>
      <c r="P9" s="18"/>
      <c r="Q9" s="18"/>
      <c r="R9" s="18"/>
      <c r="S9" s="15">
        <f>IFERROR((s_TR/(s_RadSpec!G9*s_EF_res*(1/365)*s_ED_res*s_RadSpec!R9*((s_ET_res_o*(1/24)*s_RadSpec!W9)+(s_ET_res_i*(1/24)*s_RadSpec!AB9))))*1,".")</f>
        <v>9.8344696590116047</v>
      </c>
      <c r="T9" s="15">
        <f>IFERROR((s_TR/(s_RadSpec!N9*s_EF_res*(1/365)*s_ED_res*s_RadSpec!S9*((s_ET_res_o*(1/24)*s_RadSpec!X9)+(s_ET_res_i*(1/24)*s_RadSpec!AC9))))*1,".")</f>
        <v>111.52922715240959</v>
      </c>
      <c r="U9" s="15">
        <f>IFERROR((s_TR/(s_RadSpec!O9*s_EF_res*(1/365)*s_ED_res*s_RadSpec!T9*((s_ET_res_o*(1/24)*s_RadSpec!Y9)+(s_ET_res_i*(1/24)*s_RadSpec!AD9))))*1,".")</f>
        <v>27.312080459818564</v>
      </c>
      <c r="V9" s="15">
        <f>IFERROR((s_TR/(s_RadSpec!P9*s_EF_res*(1/365)*s_ED_res*s_RadSpec!U9*((s_ET_res_o*(1/24)*s_RadSpec!Z9)+(s_ET_res_i*(1/24)*s_RadSpec!AE9))))*1,".")</f>
        <v>13.97055034487807</v>
      </c>
      <c r="W9" s="15">
        <f>IFERROR((s_TR/(s_RadSpec!L9*s_EF_res*(1/365)*s_ED_res*s_RadSpec!Q9*((s_ET_res_o*(1/24)*s_RadSpec!V9)+(s_ET_res_i*(1/24)*s_RadSpec!AA9))))*1,".")</f>
        <v>204.01468630663638</v>
      </c>
      <c r="X9" s="40">
        <f>IFERROR((s_C*s_EF_res*(1/365)*s_ED_res*s_RadSpec!R9*((s_ET_res_o*(1/24)*s_RadSpec!W9)+(s_ET_res_i*(1/24)*s_RadSpec!AB9))),".")</f>
        <v>0.69224961509612748</v>
      </c>
      <c r="Y9" s="40">
        <f>IFERROR((s_C*s_EF_res*(1/365)*s_ED_res*s_RadSpec!S9*((s_ET_res_o*(1/24)*s_RadSpec!X9)+(s_ET_res_i*(1/24)*s_RadSpec!AC9))),".")</f>
        <v>0.33798489309947494</v>
      </c>
      <c r="Z9" s="40">
        <f>IFERROR((s_C*s_EF_res*(1/365)*s_ED_res*s_RadSpec!T9*((s_ET_res_o*(1/24)*s_RadSpec!Y9)+(s_ET_res_i*(1/24)*s_RadSpec!AD9))),".")</f>
        <v>0.48035175296029681</v>
      </c>
      <c r="AA9" s="40">
        <f>IFERROR((s_C*s_EF_res*(1/365)*s_ED_res*s_RadSpec!U9*((s_ET_res_o*(1/24)*s_RadSpec!Z9)+(s_ET_res_i*(1/24)*s_RadSpec!AE9))),".")</f>
        <v>0.58272688356164382</v>
      </c>
      <c r="AB9" s="40">
        <f>IFERROR((s_C*s_EF_res*(1/365)*s_ED_res*s_RadSpec!Q9*((s_ET_res_o*(1/24)*s_RadSpec!V9)+(s_ET_res_i*(1/24)*s_RadSpec!AA9))),".")</f>
        <v>0.19081398262612756</v>
      </c>
      <c r="AC9" s="18"/>
      <c r="AD9" s="18"/>
      <c r="AE9" s="18"/>
      <c r="AF9" s="18"/>
      <c r="AG9" s="18"/>
      <c r="AH9" s="15">
        <f>IFERROR((s_TR/(s_RadSpec!F9*s_IFA_res_adj)),".")</f>
        <v>80.696003026100129</v>
      </c>
      <c r="AI9" s="15">
        <f>IFERROR((s_TR/(s_RadSpec!K9*s_EF_res*(1/365)*s_ED_res*s_ET_res*(1/24)*s_GSF_a)),".")</f>
        <v>4761.1416142616554</v>
      </c>
      <c r="AJ9" s="15">
        <f t="shared" si="11"/>
        <v>79.351091151910495</v>
      </c>
      <c r="AK9" s="40">
        <f t="shared" si="2"/>
        <v>10026.041666666666</v>
      </c>
      <c r="AL9" s="40">
        <f t="shared" si="3"/>
        <v>1.5696347031963471</v>
      </c>
      <c r="AM9" s="18"/>
      <c r="AN9" s="18"/>
      <c r="AO9" s="18"/>
      <c r="AP9" s="15">
        <f>IFERROR((s_TR/(s_RadSpec!I9*s_IFW_res_adj)),".")</f>
        <v>9468.2175607031113</v>
      </c>
      <c r="AQ9" s="15">
        <f>IFERROR(IF(AND(s_RadSpec!C9=1,s_RadSpec!D9&lt;&gt;0),(s_TR/(s_RadSpec!F9*s_IFA_res_adj*s_K*s_RadSpec!D9)),"."),".")</f>
        <v>3170.4978003179385</v>
      </c>
      <c r="AR9" s="15">
        <f>IFERROR((s_TR/(s_RadSpec!M9*(1/8760)*s_DFA_res_adj)),".")</f>
        <v>1375067.6133931086</v>
      </c>
      <c r="AS9" s="15">
        <f>s_b2w!C9</f>
        <v>9868.7485749861298</v>
      </c>
      <c r="AT9" s="15">
        <f t="shared" si="13"/>
        <v>1911.7476473242136</v>
      </c>
      <c r="AU9" s="40">
        <f t="shared" si="4"/>
        <v>27500</v>
      </c>
      <c r="AV9" s="40">
        <f>IF(s_RadSpec!D9&lt;&gt;"",s_C*s_IFA_res_adj*s_K*s_RadSpec!D9,0)</f>
        <v>255.18437154947915</v>
      </c>
      <c r="AW9" s="40">
        <f t="shared" si="5"/>
        <v>2.5114155251141552</v>
      </c>
      <c r="AX9" s="40">
        <f>s_b2w!AC9</f>
        <v>19097.962663471444</v>
      </c>
      <c r="AY9" s="18"/>
      <c r="AZ9" s="18"/>
      <c r="BA9" s="18"/>
      <c r="BB9" s="18"/>
      <c r="BC9" s="18"/>
      <c r="BD9" s="15">
        <f>IFERROR(s_TR/(s_RadSpec!H9*s_EF_res*s_ED_res*s_IRF_res*0.001*s_CF_res_fish),".")</f>
        <v>1246.102425257998</v>
      </c>
      <c r="BE9" s="40">
        <f t="shared" si="6"/>
        <v>151250</v>
      </c>
      <c r="BF9" s="18"/>
    </row>
    <row r="10" spans="1:58" x14ac:dyDescent="0.25">
      <c r="A10" s="46" t="s">
        <v>20</v>
      </c>
      <c r="B10" s="42" t="s">
        <v>349</v>
      </c>
      <c r="C10" s="42"/>
      <c r="D10" s="15">
        <f>IFERROR(((s_TR/(s_RadSpec!E10*s_IFS_res_adj*(1/1000)))*1),".")</f>
        <v>3884.5888648260193</v>
      </c>
      <c r="E10" s="15">
        <f>IFERROR(IF(A10="H-3",(s_TR/((s_RadSpec!F10*s_IFA_res_adj*(1/17)*1000))*1),(s_TR/((s_RadSpec!F10*s_IFA_res_adj*(1/s_PEF_wind)*1000))*1)),".")</f>
        <v>13735738.732193686</v>
      </c>
      <c r="F10" s="15">
        <f>IFERROR((s_TR/(s_RadSpec!G10*s_EF_res*(1/365)*s_ED_res*s_RadSpec!R10*((s_ET_res_o*(1/24)*s_RadSpec!W10)+(s_ET_res_i*(1/24)*s_RadSpec!AB10))))*1,".")</f>
        <v>250239.94081199373</v>
      </c>
      <c r="G10" s="15">
        <f>s_b2s!C10</f>
        <v>80.033415855915152</v>
      </c>
      <c r="H10" s="15">
        <f>s_dir!C10</f>
        <v>2.2115233636385754</v>
      </c>
      <c r="I10" s="15">
        <f t="shared" ref="I10" si="14">(IF(AND(D10&lt;&gt;".",E10&lt;&gt;".",F10&lt;&gt;".",G10&lt;&gt;"."),1/((1/D10)+(1/E10)+(1/F10)+(1/G10)),IF(AND(D10&lt;&gt;".",E10&lt;&gt;".",F10&lt;&gt;".",G10="."), 1/((1/D10)+(1/E10)+(1/F10)),IF(AND(D10&lt;&gt;".",E10&lt;&gt;".",F10=".",G10&lt;&gt;"."),1/((1/D10)+(1/E10)+(1/G10)),IF(AND(D10&lt;&gt;".",E10=".",F10&lt;&gt;".",G10&lt;&gt;"."),1/((1/D10)+(1/F10)+(1/G10)),IF(AND(D10=".",E10&lt;&gt;".",F10&lt;&gt;".",G10&lt;&gt;"."),1/((1/E10)+(1/F10)+(1/G10)),IF(AND(D10&lt;&gt;".",E10&lt;&gt;".",F10=".",G10="."),1/((1/D10)+(1/E10)),IF(AND(D10&lt;&gt;".",E10=".",F10&lt;&gt;".",G10="."),1/((1/D10)+(1/F10)),IF(AND(D10&lt;&gt;".",E10=".",F10=".",G10&lt;&gt;"."),1/((1/D10)+(1/G10)),IF(AND(D10=".",E10=".",F10&lt;&gt;".",G10&lt;&gt;"."),1/((1/F10)+(1/G10)),IF(AND(D10=".",E10&lt;&gt;".",F10=".",G10&lt;&gt;"."),1/((1/E10)+(1/G10)),IF(AND(D10=".",E10&lt;&gt;".",F10&lt;&gt;".",G10="."),1/((1/E10)+(1/F10)),IF(AND(D10&lt;&gt;".",E10=".",F10=".",G10="."),1/((1/D10)),IF(AND(D10=".",E10&lt;&gt;".",F10=".",G10="."),1/((1/E10)),IF(AND(D10=".",E10=".",F10&lt;&gt;".",G10="."),1/((1/F10)),IF(AND(D10=".",E10=".",F10=".",G10&lt;&gt;"."),1/((1/G10)),IF(AND(D10=".",E10=".",F10=".",G10="."),".")))))))))))))))))</f>
        <v>78.392776127552139</v>
      </c>
      <c r="J10" s="40">
        <f t="shared" si="0"/>
        <v>302.5</v>
      </c>
      <c r="K10" s="40">
        <f t="shared" si="1"/>
        <v>3.2362545583179352E-2</v>
      </c>
      <c r="L10" s="40">
        <f>IFERROR((s_C*s_EF_res*(1/365)*s_ED_res*s_RadSpec!R10*((s_ET_res_o*(1/24)*s_RadSpec!W10)+(s_ET_res_i*(1/24)*s_RadSpec!AB10))),".")</f>
        <v>0.36178165720013361</v>
      </c>
      <c r="M10" s="40">
        <f>s_b2s!AC10</f>
        <v>16717.662500000002</v>
      </c>
      <c r="N10" s="18"/>
      <c r="O10" s="18"/>
      <c r="P10" s="18"/>
      <c r="Q10" s="18"/>
      <c r="R10" s="18"/>
      <c r="S10" s="15">
        <f>IFERROR((s_TR/(s_RadSpec!G10*s_EF_res*(1/365)*s_ED_res*s_RadSpec!R10*((s_ET_res_o*(1/24)*s_RadSpec!W10)+(s_ET_res_i*(1/24)*s_RadSpec!AB10))))*1,".")</f>
        <v>250239.94081199373</v>
      </c>
      <c r="T10" s="15">
        <f>IFERROR((s_TR/(s_RadSpec!N10*s_EF_res*(1/365)*s_ED_res*s_RadSpec!S10*((s_ET_res_o*(1/24)*s_RadSpec!X10)+(s_ET_res_i*(1/24)*s_RadSpec!AC10))))*1,".")</f>
        <v>1119185.4116074338</v>
      </c>
      <c r="U10" s="15">
        <f>IFERROR((s_TR/(s_RadSpec!O10*s_EF_res*(1/365)*s_ED_res*s_RadSpec!T10*((s_ET_res_o*(1/24)*s_RadSpec!Y10)+(s_ET_res_i*(1/24)*s_RadSpec!AD10))))*1,".")</f>
        <v>362652.93662215146</v>
      </c>
      <c r="V10" s="15">
        <f>IFERROR((s_TR/(s_RadSpec!P10*s_EF_res*(1/365)*s_ED_res*s_RadSpec!U10*((s_ET_res_o*(1/24)*s_RadSpec!Z10)+(s_ET_res_i*(1/24)*s_RadSpec!AE10))))*1,".")</f>
        <v>259632.02243473928</v>
      </c>
      <c r="W10" s="15">
        <f>IFERROR((s_TR/(s_RadSpec!L10*s_EF_res*(1/365)*s_ED_res*s_RadSpec!Q10*((s_ET_res_o*(1/24)*s_RadSpec!V10)+(s_ET_res_i*(1/24)*s_RadSpec!AA10))))*1,".")</f>
        <v>654139.24090301187</v>
      </c>
      <c r="X10" s="40">
        <f>IFERROR((s_C*s_EF_res*(1/365)*s_ED_res*s_RadSpec!R10*((s_ET_res_o*(1/24)*s_RadSpec!W10)+(s_ET_res_i*(1/24)*s_RadSpec!AB10))),".")</f>
        <v>0.36178165720013361</v>
      </c>
      <c r="Y10" s="40">
        <f>IFERROR((s_C*s_EF_res*(1/365)*s_ED_res*s_RadSpec!S10*((s_ET_res_o*(1/24)*s_RadSpec!X10)+(s_ET_res_i*(1/24)*s_RadSpec!AC10))),".")</f>
        <v>0.23216944609886844</v>
      </c>
      <c r="Z10" s="40">
        <f>IFERROR((s_C*s_EF_res*(1/365)*s_ED_res*s_RadSpec!T10*((s_ET_res_o*(1/24)*s_RadSpec!Y10)+(s_ET_res_i*(1/24)*s_RadSpec!AD10))),".")</f>
        <v>0.32510771431860408</v>
      </c>
      <c r="AA10" s="40">
        <f>IFERROR((s_C*s_EF_res*(1/365)*s_ED_res*s_RadSpec!U10*((s_ET_res_o*(1/24)*s_RadSpec!Z10)+(s_ET_res_i*(1/24)*s_RadSpec!AE10))),".")</f>
        <v>0.35545782263878878</v>
      </c>
      <c r="AB10" s="40">
        <f>IFERROR((s_C*s_EF_res*(1/365)*s_ED_res*s_RadSpec!Q10*((s_ET_res_o*(1/24)*s_RadSpec!V10)+(s_ET_res_i*(1/24)*s_RadSpec!AA10))),".")</f>
        <v>0.13810702460559629</v>
      </c>
      <c r="AC10" s="18"/>
      <c r="AD10" s="18"/>
      <c r="AE10" s="18"/>
      <c r="AF10" s="18"/>
      <c r="AG10" s="18"/>
      <c r="AH10" s="15">
        <f>IFERROR((s_TR/(s_RadSpec!F10*s_IFA_res_adj)),".")</f>
        <v>44.336886442149606</v>
      </c>
      <c r="AI10" s="15">
        <f>IFERROR((s_TR/(s_RadSpec!K10*s_EF_res*(1/365)*s_ED_res*s_ET_res*(1/24)*s_GSF_a)),".")</f>
        <v>19626864.352316026</v>
      </c>
      <c r="AJ10" s="15">
        <f t="shared" si="11"/>
        <v>44.33678628580148</v>
      </c>
      <c r="AK10" s="40">
        <f t="shared" si="2"/>
        <v>10026.041666666666</v>
      </c>
      <c r="AL10" s="40">
        <f t="shared" si="3"/>
        <v>1.5696347031963471</v>
      </c>
      <c r="AM10" s="18"/>
      <c r="AN10" s="18"/>
      <c r="AO10" s="18"/>
      <c r="AP10" s="15">
        <f>IFERROR((s_TR/(s_RadSpec!I10*s_IFW_res_adj)),".")</f>
        <v>59.635981966079065</v>
      </c>
      <c r="AQ10" s="15" t="str">
        <f>IFERROR(IF(AND(s_RadSpec!C10=1,s_RadSpec!D10&lt;&gt;0),(s_TR/(s_RadSpec!F10*s_IFA_res_adj*s_K*s_RadSpec!D10)),"."),".")</f>
        <v>.</v>
      </c>
      <c r="AR10" s="15">
        <f>IFERROR((s_TR/(s_RadSpec!M10*(1/8760)*s_DFA_res_adj)),".")</f>
        <v>8880645003.1638279</v>
      </c>
      <c r="AS10" s="15">
        <f>s_b2w!C10</f>
        <v>152.46684606309401</v>
      </c>
      <c r="AT10" s="15">
        <f>(IF(AND(AP10&lt;&gt;".",AQ10&lt;&gt;".",AR10&lt;&gt;".",AS10&lt;&gt;"."),1/((1/AP10)+(1/AQ10)+(1/AR10)+(1/AS10)),IF(AND(AP10&lt;&gt;".",AQ10&lt;&gt;".",AR10&lt;&gt;".",AS10="."), 1/((1/AP10)+(1/AQ10)+(1/AR10)),IF(AND(AP10&lt;&gt;".",AQ10&lt;&gt;".",AR10=".",AS10&lt;&gt;"."),1/((1/AP10)+(1/AQ10)+(1/AS10)),IF(AND(AP10&lt;&gt;".",AQ10=".",AR10&lt;&gt;".",AS10&lt;&gt;"."),1/((1/AP10)+(1/AR10)+(1/AS10)),IF(AND(AP10=".",AQ10&lt;&gt;".",AR10&lt;&gt;".",AS10&lt;&gt;"."),1/((1/AQ10)+(1/AR10)+(1/AS10)),IF(AND(AP10&lt;&gt;".",AQ10&lt;&gt;".",AR10=".",AS10="."),1/((1/AP10)+(1/AQ10)),IF(AND(AP10&lt;&gt;".",AQ10=".",AR10&lt;&gt;".",AS10="."),1/((1/AP10)+(1/AR10)),IF(AND(AP10&lt;&gt;".",AQ10=".",AR10=".",AS10&lt;&gt;"."),1/((1/AP10)+(1/AS10)),IF(AND(AP10=".",AQ10=".",AR10&lt;&gt;".",AS10&lt;&gt;"."),1/((1/AR10)+(1/AS10)),IF(AND(AP10=".",AQ10&lt;&gt;".",AR10=".",AS10&lt;&gt;"."),1/((1/AQ10)+(1/AS10)),IF(AND(AP10=".",AQ10&lt;&gt;".",AR10&lt;&gt;".",AS10="."),1/((1/AQ10)+(1/AR10)),IF(AND(AP10&lt;&gt;".",AQ10=".",AR10=".",AS10="."),1/((1/AP10)),IF(AND(AP10=".",AQ10&lt;&gt;".",AR10=".",AS10="."),1/((1/AQ10)),IF(AND(AP10=".",AQ10=".",AR10&lt;&gt;".",AS10="."),1/((1/AR10)),IF(AND(AP10=".",AQ10=".",AR10=".",AS10&lt;&gt;"."),1/((1/AS10)),IF(AND(AP10=".",AQ10=".",AR10=".",AS10="."),".")))))))))))))))))</f>
        <v>42.868405493876352</v>
      </c>
      <c r="AU10" s="40">
        <f t="shared" si="4"/>
        <v>27500</v>
      </c>
      <c r="AV10" s="40">
        <f>IF(s_RadSpec!D10&lt;&gt;"",s_C*s_IFA_res_adj*s_K*s_RadSpec!D10,0)</f>
        <v>0</v>
      </c>
      <c r="AW10" s="40">
        <f t="shared" si="5"/>
        <v>2.5114155251141552</v>
      </c>
      <c r="AX10" s="40">
        <f>s_b2w!AC10</f>
        <v>8775.4923089814365</v>
      </c>
      <c r="AY10" s="18"/>
      <c r="AZ10" s="18"/>
      <c r="BA10" s="18"/>
      <c r="BB10" s="18"/>
      <c r="BC10" s="18"/>
      <c r="BD10" s="15">
        <f>IFERROR(s_TR/(s_RadSpec!H10*s_EF_res*s_ED_res*s_IRF_res*0.001*s_CF_res_fish),".")</f>
        <v>8.8460934545543015</v>
      </c>
      <c r="BE10" s="40">
        <f t="shared" si="6"/>
        <v>151250</v>
      </c>
      <c r="BF10" s="18"/>
    </row>
    <row r="11" spans="1:58" x14ac:dyDescent="0.25">
      <c r="A11" s="44" t="s">
        <v>21</v>
      </c>
      <c r="B11" s="42" t="s">
        <v>1071</v>
      </c>
      <c r="C11" s="42"/>
      <c r="D11" s="15" t="str">
        <f>IFERROR(((s_TR/(s_RadSpec!E11*s_IFS_res_adj*(1/1000)))*1),".")</f>
        <v>.</v>
      </c>
      <c r="E11" s="15" t="str">
        <f>IFERROR(IF(A11="H-3",(s_TR/((s_RadSpec!F11*s_IFA_res_adj*(1/17)*1000))*1),(s_TR/((s_RadSpec!F11*s_IFA_res_adj*(1/s_PEF_wind)*1000))*1)),".")</f>
        <v>.</v>
      </c>
      <c r="F11" s="15">
        <f>IFERROR((s_TR/(s_RadSpec!G11*s_EF_res*(1/365)*s_ED_res*s_RadSpec!R11*((s_ET_res_o*(1/24)*s_RadSpec!W11)+(s_ET_res_i*(1/24)*s_RadSpec!AB11))))*1,".")</f>
        <v>3941.2539723774626</v>
      </c>
      <c r="G11" s="15" t="str">
        <f>s_b2s!C11</f>
        <v>.</v>
      </c>
      <c r="H11" s="15" t="str">
        <f>s_dir!C11</f>
        <v>.</v>
      </c>
      <c r="I11" s="15">
        <f>(IF(AND(D11&lt;&gt;".",E11&lt;&gt;".",F11&lt;&gt;".",G11&lt;&gt;"."),1/((1/D11)+(1/E11)+(1/F11)+(1/G11)),IF(AND(D11&lt;&gt;".",E11&lt;&gt;".",F11&lt;&gt;".",G11="."), 1/((1/D11)+(1/E11)+(1/F11)),IF(AND(D11&lt;&gt;".",E11&lt;&gt;".",F11=".",G11&lt;&gt;"."),1/((1/D11)+(1/E11)+(1/G11)),IF(AND(D11&lt;&gt;".",E11=".",F11&lt;&gt;".",G11&lt;&gt;"."),1/((1/D11)+(1/F11)+(1/G11)),IF(AND(D11=".",E11&lt;&gt;".",F11&lt;&gt;".",G11&lt;&gt;"."),1/((1/E11)+(1/F11)+(1/G11)),IF(AND(D11&lt;&gt;".",E11&lt;&gt;".",F11=".",G11="."),1/((1/D11)+(1/E11)),IF(AND(D11&lt;&gt;".",E11=".",F11&lt;&gt;".",G11="."),1/((1/D11)+(1/F11)),IF(AND(D11&lt;&gt;".",E11=".",F11=".",G11&lt;&gt;"."),1/((1/D11)+(1/G11)),IF(AND(D11=".",E11=".",F11&lt;&gt;".",G11&lt;&gt;"."),1/((1/F11)+(1/G11)),IF(AND(D11=".",E11&lt;&gt;".",F11=".",G11&lt;&gt;"."),1/((1/E11)+(1/G11)),IF(AND(D11=".",E11&lt;&gt;".",F11&lt;&gt;".",G11="."),1/((1/E11)+(1/F11)),IF(AND(D11&lt;&gt;".",E11=".",F11=".",G11="."),1/((1/D11)),IF(AND(D11=".",E11&lt;&gt;".",F11=".",G11="."),1/((1/E11)),IF(AND(D11=".",E11=".",F11&lt;&gt;".",G11="."),1/((1/F11)),IF(AND(D11=".",E11=".",F11=".",G11&lt;&gt;"."),1/((1/G11)),IF(AND(D11=".",E11=".",F11=".",G11="."),".")))))))))))))))))</f>
        <v>3941.2539723774621</v>
      </c>
      <c r="J11" s="40">
        <f t="shared" si="0"/>
        <v>302.5</v>
      </c>
      <c r="K11" s="40">
        <f t="shared" si="1"/>
        <v>3.2362545583179352E-2</v>
      </c>
      <c r="L11" s="40">
        <f>IFERROR((s_C*s_EF_res*(1/365)*s_ED_res*s_RadSpec!R11*((s_ET_res_o*(1/24)*s_RadSpec!W11)+(s_ET_res_i*(1/24)*s_RadSpec!AB11))),".")</f>
        <v>0.12099113618049959</v>
      </c>
      <c r="M11" s="40">
        <f>s_b2s!AC11</f>
        <v>26317.499999999996</v>
      </c>
      <c r="N11" s="18"/>
      <c r="O11" s="18"/>
      <c r="P11" s="18"/>
      <c r="Q11" s="18"/>
      <c r="R11" s="18"/>
      <c r="S11" s="15">
        <f>IFERROR((s_TR/(s_RadSpec!G11*s_EF_res*(1/365)*s_ED_res*s_RadSpec!R11*((s_ET_res_o*(1/24)*s_RadSpec!W11)+(s_ET_res_i*(1/24)*s_RadSpec!AB11))))*1,".")</f>
        <v>3941.2539723774626</v>
      </c>
      <c r="T11" s="15">
        <f>IFERROR((s_TR/(s_RadSpec!N11*s_EF_res*(1/365)*s_ED_res*s_RadSpec!S11*((s_ET_res_o*(1/24)*s_RadSpec!X11)+(s_ET_res_i*(1/24)*s_RadSpec!AC11))))*1,".")</f>
        <v>20430.273847853827</v>
      </c>
      <c r="U11" s="15">
        <f>IFERROR((s_TR/(s_RadSpec!O11*s_EF_res*(1/365)*s_ED_res*s_RadSpec!T11*((s_ET_res_o*(1/24)*s_RadSpec!Y11)+(s_ET_res_i*(1/24)*s_RadSpec!AD11))))*1,".")</f>
        <v>5746.6775171780673</v>
      </c>
      <c r="V11" s="15">
        <f>IFERROR((s_TR/(s_RadSpec!P11*s_EF_res*(1/365)*s_ED_res*s_RadSpec!U11*((s_ET_res_o*(1/24)*s_RadSpec!Z11)+(s_ET_res_i*(1/24)*s_RadSpec!AE11))))*1,".")</f>
        <v>3827.3856838891161</v>
      </c>
      <c r="W11" s="15">
        <f>IFERROR((s_TR/(s_RadSpec!L11*s_EF_res*(1/365)*s_ED_res*s_RadSpec!Q11*((s_ET_res_o*(1/24)*s_RadSpec!V11)+(s_ET_res_i*(1/24)*s_RadSpec!AA11))))*1,".")</f>
        <v>38596.907610122449</v>
      </c>
      <c r="X11" s="40">
        <f>IFERROR((s_C*s_EF_res*(1/365)*s_ED_res*s_RadSpec!R11*((s_ET_res_o*(1/24)*s_RadSpec!W11)+(s_ET_res_i*(1/24)*s_RadSpec!AB11))),".")</f>
        <v>0.12099113618049959</v>
      </c>
      <c r="Y11" s="40">
        <f>IFERROR((s_C*s_EF_res*(1/365)*s_ED_res*s_RadSpec!S11*((s_ET_res_o*(1/24)*s_RadSpec!X11)+(s_ET_res_i*(1/24)*s_RadSpec!AC11))),".")</f>
        <v>9.5620184075342465E-2</v>
      </c>
      <c r="Z11" s="40">
        <f>IFERROR((s_C*s_EF_res*(1/365)*s_ED_res*s_RadSpec!T11*((s_ET_res_o*(1/24)*s_RadSpec!Y11)+(s_ET_res_i*(1/24)*s_RadSpec!AD11))),".")</f>
        <v>0.12320709105560033</v>
      </c>
      <c r="AA11" s="40">
        <f>IFERROR((s_C*s_EF_res*(1/365)*s_ED_res*s_RadSpec!U11*((s_ET_res_o*(1/24)*s_RadSpec!Z11)+(s_ET_res_i*(1/24)*s_RadSpec!AE11))),".")</f>
        <v>0.12934390771449167</v>
      </c>
      <c r="AB11" s="40">
        <f>IFERROR((s_C*s_EF_res*(1/365)*s_ED_res*s_RadSpec!Q11*((s_ET_res_o*(1/24)*s_RadSpec!V11)+(s_ET_res_i*(1/24)*s_RadSpec!AA11))),".")</f>
        <v>5.1363907087552105E-2</v>
      </c>
      <c r="AC11" s="18"/>
      <c r="AD11" s="18"/>
      <c r="AE11" s="18"/>
      <c r="AF11" s="18"/>
      <c r="AG11" s="18"/>
      <c r="AH11" s="15" t="str">
        <f>IFERROR((s_TR/(s_RadSpec!F11*s_IFA_res_adj)),".")</f>
        <v>.</v>
      </c>
      <c r="AI11" s="15">
        <f>IFERROR((s_TR/(s_RadSpec!K11*s_EF_res*(1/365)*s_ED_res*s_ET_res*(1/24)*s_GSF_a)),".")</f>
        <v>276406.7016182298</v>
      </c>
      <c r="AJ11" s="15">
        <f t="shared" si="11"/>
        <v>276406.7016182298</v>
      </c>
      <c r="AK11" s="40">
        <f t="shared" si="2"/>
        <v>10026.041666666666</v>
      </c>
      <c r="AL11" s="40">
        <f t="shared" si="3"/>
        <v>1.5696347031963471</v>
      </c>
      <c r="AM11" s="18"/>
      <c r="AN11" s="18"/>
      <c r="AO11" s="18"/>
      <c r="AP11" s="15" t="str">
        <f>IFERROR((s_TR/(s_RadSpec!I11*s_IFW_res_adj)),".")</f>
        <v>.</v>
      </c>
      <c r="AQ11" s="15" t="str">
        <f>IFERROR(IF(AND(s_RadSpec!C11=1,s_RadSpec!D11&lt;&gt;0),(s_TR/(s_RadSpec!F11*s_IFA_res_adj*s_K*s_RadSpec!D11)),"."),".")</f>
        <v>.</v>
      </c>
      <c r="AR11" s="15">
        <f>IFERROR((s_TR/(s_RadSpec!M11*(1/8760)*s_DFA_res_adj)),".")</f>
        <v>78575292.193891913</v>
      </c>
      <c r="AS11" s="15" t="str">
        <f>s_b2w!C11</f>
        <v>.</v>
      </c>
      <c r="AT11" s="15">
        <f>(IF(AND(AP11&lt;&gt;".",AQ11&lt;&gt;".",AR11&lt;&gt;".",AS11&lt;&gt;"."),1/((1/AP11)+(1/AQ11)+(1/AR11)+(1/AS11)),IF(AND(AP11&lt;&gt;".",AQ11&lt;&gt;".",AR11&lt;&gt;".",AS11="."), 1/((1/AP11)+(1/AQ11)+(1/AR11)),IF(AND(AP11&lt;&gt;".",AQ11&lt;&gt;".",AR11=".",AS11&lt;&gt;"."),1/((1/AP11)+(1/AQ11)+(1/AS11)),IF(AND(AP11&lt;&gt;".",AQ11=".",AR11&lt;&gt;".",AS11&lt;&gt;"."),1/((1/AP11)+(1/AR11)+(1/AS11)),IF(AND(AP11=".",AQ11&lt;&gt;".",AR11&lt;&gt;".",AS11&lt;&gt;"."),1/((1/AQ11)+(1/AR11)+(1/AS11)),IF(AND(AP11&lt;&gt;".",AQ11&lt;&gt;".",AR11=".",AS11="."),1/((1/AP11)+(1/AQ11)),IF(AND(AP11&lt;&gt;".",AQ11=".",AR11&lt;&gt;".",AS11="."),1/((1/AP11)+(1/AR11)),IF(AND(AP11&lt;&gt;".",AQ11=".",AR11=".",AS11&lt;&gt;"."),1/((1/AP11)+(1/AS11)),IF(AND(AP11=".",AQ11=".",AR11&lt;&gt;".",AS11&lt;&gt;"."),1/((1/AR11)+(1/AS11)),IF(AND(AP11=".",AQ11&lt;&gt;".",AR11=".",AS11&lt;&gt;"."),1/((1/AQ11)+(1/AS11)),IF(AND(AP11=".",AQ11&lt;&gt;".",AR11&lt;&gt;".",AS11="."),1/((1/AQ11)+(1/AR11)),IF(AND(AP11&lt;&gt;".",AQ11=".",AR11=".",AS11="."),1/((1/AP11)),IF(AND(AP11=".",AQ11&lt;&gt;".",AR11=".",AS11="."),1/((1/AQ11)),IF(AND(AP11=".",AQ11=".",AR11&lt;&gt;".",AS11="."),1/((1/AR11)),IF(AND(AP11=".",AQ11=".",AR11=".",AS11&lt;&gt;"."),1/((1/AS11)),IF(AND(AP11=".",AQ11=".",AR11=".",AS11="."),".")))))))))))))))))</f>
        <v>78575292.193891913</v>
      </c>
      <c r="AU11" s="40">
        <f t="shared" si="4"/>
        <v>27500</v>
      </c>
      <c r="AV11" s="40">
        <f>IF(s_RadSpec!D11&lt;&gt;"",s_C*s_IFA_res_adj*s_K*s_RadSpec!D11,0)</f>
        <v>0</v>
      </c>
      <c r="AW11" s="40">
        <f t="shared" si="5"/>
        <v>2.5114155251141552</v>
      </c>
      <c r="AX11" s="40">
        <f>s_b2w!AC11</f>
        <v>10682.986976345341</v>
      </c>
      <c r="AY11" s="18"/>
      <c r="AZ11" s="18"/>
      <c r="BA11" s="18"/>
      <c r="BB11" s="18"/>
      <c r="BC11" s="18"/>
      <c r="BD11" s="15" t="str">
        <f>IFERROR(s_TR/(s_RadSpec!H11*s_EF_res*s_ED_res*s_IRF_res*0.001*s_CF_res_fish),".")</f>
        <v>.</v>
      </c>
      <c r="BE11" s="40">
        <f t="shared" si="6"/>
        <v>151250</v>
      </c>
      <c r="BF11" s="18"/>
    </row>
    <row r="12" spans="1:58" x14ac:dyDescent="0.25">
      <c r="A12" s="44" t="s">
        <v>22</v>
      </c>
      <c r="B12" s="42" t="s">
        <v>1071</v>
      </c>
      <c r="C12" s="249"/>
      <c r="D12" s="15" t="str">
        <f>IFERROR(((s_TR/(s_RadSpec!E12*s_IFS_res_adj*(1/1000)))*1),".")</f>
        <v>.</v>
      </c>
      <c r="E12" s="15" t="str">
        <f>IFERROR(IF(A12="H-3",(s_TR/((s_RadSpec!F12*s_IFA_res_adj*(1/17)*1000))*1),(s_TR/((s_RadSpec!F12*s_IFA_res_adj*(1/s_PEF_wind)*1000))*1)),".")</f>
        <v>.</v>
      </c>
      <c r="F12" s="15">
        <f>IFERROR((s_TR/(s_RadSpec!G12*s_EF_res*(1/365)*s_ED_res*s_RadSpec!R12*((s_ET_res_o*(1/24)*s_RadSpec!W12)+(s_ET_res_i*(1/24)*s_RadSpec!AB12))))*1,".")</f>
        <v>409.61108274550901</v>
      </c>
      <c r="G12" s="15" t="str">
        <f>s_b2s!C12</f>
        <v>.</v>
      </c>
      <c r="H12" s="15" t="str">
        <f>s_dir!C12</f>
        <v>.</v>
      </c>
      <c r="I12" s="15">
        <f t="shared" ref="I12" si="15">(IF(AND(D12&lt;&gt;".",E12&lt;&gt;".",F12&lt;&gt;".",G12&lt;&gt;"."),1/((1/D12)+(1/E12)+(1/F12)+(1/G12)),IF(AND(D12&lt;&gt;".",E12&lt;&gt;".",F12&lt;&gt;".",G12="."), 1/((1/D12)+(1/E12)+(1/F12)),IF(AND(D12&lt;&gt;".",E12&lt;&gt;".",F12=".",G12&lt;&gt;"."),1/((1/D12)+(1/E12)+(1/G12)),IF(AND(D12&lt;&gt;".",E12=".",F12&lt;&gt;".",G12&lt;&gt;"."),1/((1/D12)+(1/F12)+(1/G12)),IF(AND(D12=".",E12&lt;&gt;".",F12&lt;&gt;".",G12&lt;&gt;"."),1/((1/E12)+(1/F12)+(1/G12)),IF(AND(D12&lt;&gt;".",E12&lt;&gt;".",F12=".",G12="."),1/((1/D12)+(1/E12)),IF(AND(D12&lt;&gt;".",E12=".",F12&lt;&gt;".",G12="."),1/((1/D12)+(1/F12)),IF(AND(D12&lt;&gt;".",E12=".",F12=".",G12&lt;&gt;"."),1/((1/D12)+(1/G12)),IF(AND(D12=".",E12=".",F12&lt;&gt;".",G12&lt;&gt;"."),1/((1/F12)+(1/G12)),IF(AND(D12=".",E12&lt;&gt;".",F12=".",G12&lt;&gt;"."),1/((1/E12)+(1/G12)),IF(AND(D12=".",E12&lt;&gt;".",F12&lt;&gt;".",G12="."),1/((1/E12)+(1/F12)),IF(AND(D12&lt;&gt;".",E12=".",F12=".",G12="."),1/((1/D12)),IF(AND(D12=".",E12&lt;&gt;".",F12=".",G12="."),1/((1/E12)),IF(AND(D12=".",E12=".",F12&lt;&gt;".",G12="."),1/((1/F12)),IF(AND(D12=".",E12=".",F12=".",G12&lt;&gt;"."),1/((1/G12)),IF(AND(D12=".",E12=".",F12=".",G12="."),".")))))))))))))))))</f>
        <v>409.61108274550895</v>
      </c>
      <c r="J12" s="40">
        <f t="shared" si="0"/>
        <v>302.5</v>
      </c>
      <c r="K12" s="40">
        <f t="shared" si="1"/>
        <v>3.2362545583179352E-2</v>
      </c>
      <c r="L12" s="40">
        <f>IFERROR((s_C*s_EF_res*(1/365)*s_ED_res*s_RadSpec!R12*((s_ET_res_o*(1/24)*s_RadSpec!W12)+(s_ET_res_i*(1/24)*s_RadSpec!AB12))),".")</f>
        <v>0.25251796068285248</v>
      </c>
      <c r="M12" s="40">
        <f>s_b2s!AC12</f>
        <v>189667.5</v>
      </c>
      <c r="N12" s="18"/>
      <c r="O12" s="18"/>
      <c r="P12" s="18"/>
      <c r="Q12" s="18"/>
      <c r="R12" s="18"/>
      <c r="S12" s="15">
        <f>IFERROR((s_TR/(s_RadSpec!G12*s_EF_res*(1/365)*s_ED_res*s_RadSpec!R12*((s_ET_res_o*(1/24)*s_RadSpec!W12)+(s_ET_res_i*(1/24)*s_RadSpec!AB12))))*1,".")</f>
        <v>409.61108274550901</v>
      </c>
      <c r="T12" s="15">
        <f>IFERROR((s_TR/(s_RadSpec!N12*s_EF_res*(1/365)*s_ED_res*s_RadSpec!S12*((s_ET_res_o*(1/24)*s_RadSpec!X12)+(s_ET_res_i*(1/24)*s_RadSpec!AC12))))*1,".")</f>
        <v>3233.7965685451218</v>
      </c>
      <c r="U12" s="15">
        <f>IFERROR((s_TR/(s_RadSpec!O12*s_EF_res*(1/365)*s_ED_res*s_RadSpec!T12*((s_ET_res_o*(1/24)*s_RadSpec!Y12)+(s_ET_res_i*(1/24)*s_RadSpec!AD12))))*1,".")</f>
        <v>840.6915324621408</v>
      </c>
      <c r="V12" s="15">
        <f>IFERROR((s_TR/(s_RadSpec!P12*s_EF_res*(1/365)*s_ED_res*s_RadSpec!U12*((s_ET_res_o*(1/24)*s_RadSpec!Z12)+(s_ET_res_i*(1/24)*s_RadSpec!AE12))))*1,".")</f>
        <v>503.40651827682672</v>
      </c>
      <c r="W12" s="15">
        <f>IFERROR((s_TR/(s_RadSpec!L12*s_EF_res*(1/365)*s_ED_res*s_RadSpec!Q12*((s_ET_res_o*(1/24)*s_RadSpec!V12)+(s_ET_res_i*(1/24)*s_RadSpec!AA12))))*1,".")</f>
        <v>5487.8416272154482</v>
      </c>
      <c r="X12" s="40">
        <f>IFERROR((s_C*s_EF_res*(1/365)*s_ED_res*s_RadSpec!R12*((s_ET_res_o*(1/24)*s_RadSpec!W12)+(s_ET_res_i*(1/24)*s_RadSpec!AB12))),".")</f>
        <v>0.25251796068285248</v>
      </c>
      <c r="Y12" s="40">
        <f>IFERROR((s_C*s_EF_res*(1/365)*s_ED_res*s_RadSpec!S12*((s_ET_res_o*(1/24)*s_RadSpec!X12)+(s_ET_res_i*(1/24)*s_RadSpec!AC12))),".")</f>
        <v>0.14075191377921026</v>
      </c>
      <c r="Z12" s="40">
        <f>IFERROR((s_C*s_EF_res*(1/365)*s_ED_res*s_RadSpec!T12*((s_ET_res_o*(1/24)*s_RadSpec!Y12)+(s_ET_res_i*(1/24)*s_RadSpec!AD12))),".")</f>
        <v>0.1941171065820248</v>
      </c>
      <c r="AA12" s="40">
        <f>IFERROR((s_C*s_EF_res*(1/365)*s_ED_res*s_RadSpec!U12*((s_ET_res_o*(1/24)*s_RadSpec!Z12)+(s_ET_res_i*(1/24)*s_RadSpec!AE12))),".")</f>
        <v>0.21980345443716501</v>
      </c>
      <c r="AB12" s="40">
        <f>IFERROR((s_C*s_EF_res*(1/365)*s_ED_res*s_RadSpec!Q12*((s_ET_res_o*(1/24)*s_RadSpec!V12)+(s_ET_res_i*(1/24)*s_RadSpec!AA12))),".")</f>
        <v>8.1536263551558949E-2</v>
      </c>
      <c r="AC12" s="18"/>
      <c r="AD12" s="18"/>
      <c r="AE12" s="18"/>
      <c r="AF12" s="18"/>
      <c r="AG12" s="18"/>
      <c r="AH12" s="15" t="str">
        <f>IFERROR((s_TR/(s_RadSpec!F12*s_IFA_res_adj)),".")</f>
        <v>.</v>
      </c>
      <c r="AI12" s="15">
        <f>IFERROR((s_TR/(s_RadSpec!K12*s_EF_res*(1/365)*s_ED_res*s_ET_res*(1/24)*s_GSF_a)),".")</f>
        <v>64191.391646398297</v>
      </c>
      <c r="AJ12" s="15">
        <f t="shared" si="11"/>
        <v>64191.391646398297</v>
      </c>
      <c r="AK12" s="40">
        <f t="shared" si="2"/>
        <v>10026.041666666666</v>
      </c>
      <c r="AL12" s="40">
        <f t="shared" si="3"/>
        <v>1.5696347031963471</v>
      </c>
      <c r="AM12" s="18"/>
      <c r="AN12" s="18"/>
      <c r="AO12" s="18"/>
      <c r="AP12" s="15" t="str">
        <f>IFERROR((s_TR/(s_RadSpec!I12*s_IFW_res_adj)),".")</f>
        <v>.</v>
      </c>
      <c r="AQ12" s="15" t="str">
        <f>IFERROR(IF(AND(s_RadSpec!C12=1,s_RadSpec!D12&lt;&gt;0),(s_TR/(s_RadSpec!F12*s_IFA_res_adj*s_K*s_RadSpec!D12)),"."),".")</f>
        <v>.</v>
      </c>
      <c r="AR12" s="15">
        <f>IFERROR((s_TR/(s_RadSpec!M12*(1/8760)*s_DFA_res_adj)),".")</f>
        <v>18433338.817377891</v>
      </c>
      <c r="AS12" s="15" t="str">
        <f>s_b2w!C12</f>
        <v>.</v>
      </c>
      <c r="AT12" s="15">
        <f>(IF(AND(AP12&lt;&gt;".",AQ12&lt;&gt;".",AR12&lt;&gt;".",AS12&lt;&gt;"."),1/((1/AP12)+(1/AQ12)+(1/AR12)+(1/AS12)),IF(AND(AP12&lt;&gt;".",AQ12&lt;&gt;".",AR12&lt;&gt;".",AS12="."), 1/((1/AP12)+(1/AQ12)+(1/AR12)),IF(AND(AP12&lt;&gt;".",AQ12&lt;&gt;".",AR12=".",AS12&lt;&gt;"."),1/((1/AP12)+(1/AQ12)+(1/AS12)),IF(AND(AP12&lt;&gt;".",AQ12=".",AR12&lt;&gt;".",AS12&lt;&gt;"."),1/((1/AP12)+(1/AR12)+(1/AS12)),IF(AND(AP12=".",AQ12&lt;&gt;".",AR12&lt;&gt;".",AS12&lt;&gt;"."),1/((1/AQ12)+(1/AR12)+(1/AS12)),IF(AND(AP12&lt;&gt;".",AQ12&lt;&gt;".",AR12=".",AS12="."),1/((1/AP12)+(1/AQ12)),IF(AND(AP12&lt;&gt;".",AQ12=".",AR12&lt;&gt;".",AS12="."),1/((1/AP12)+(1/AR12)),IF(AND(AP12&lt;&gt;".",AQ12=".",AR12=".",AS12&lt;&gt;"."),1/((1/AP12)+(1/AS12)),IF(AND(AP12=".",AQ12=".",AR12&lt;&gt;".",AS12&lt;&gt;"."),1/((1/AR12)+(1/AS12)),IF(AND(AP12=".",AQ12&lt;&gt;".",AR12=".",AS12&lt;&gt;"."),1/((1/AQ12)+(1/AS12)),IF(AND(AP12=".",AQ12&lt;&gt;".",AR12&lt;&gt;".",AS12="."),1/((1/AQ12)+(1/AR12)),IF(AND(AP12&lt;&gt;".",AQ12=".",AR12=".",AS12="."),1/((1/AP12)),IF(AND(AP12=".",AQ12&lt;&gt;".",AR12=".",AS12="."),1/((1/AQ12)),IF(AND(AP12=".",AQ12=".",AR12&lt;&gt;".",AS12="."),1/((1/AR12)),IF(AND(AP12=".",AQ12=".",AR12=".",AS12&lt;&gt;"."),1/((1/AS12)),IF(AND(AP12=".",AQ12=".",AR12=".",AS12="."),".")))))))))))))))))</f>
        <v>18433338.817377891</v>
      </c>
      <c r="AU12" s="40">
        <f t="shared" si="4"/>
        <v>27500</v>
      </c>
      <c r="AV12" s="40">
        <f>IF(s_RadSpec!D12&lt;&gt;"",s_C*s_IFA_res_adj*s_K*s_RadSpec!D12,0)</f>
        <v>0</v>
      </c>
      <c r="AW12" s="40">
        <f t="shared" si="5"/>
        <v>2.5114155251141552</v>
      </c>
      <c r="AX12" s="40">
        <f>s_b2w!AC12</f>
        <v>43140.750340974599</v>
      </c>
      <c r="AY12" s="18"/>
      <c r="AZ12" s="18"/>
      <c r="BA12" s="18"/>
      <c r="BB12" s="18"/>
      <c r="BC12" s="18"/>
      <c r="BD12" s="15" t="str">
        <f>IFERROR(s_TR/(s_RadSpec!H12*s_EF_res*s_ED_res*s_IRF_res*0.001*s_CF_res_fish),".")</f>
        <v>.</v>
      </c>
      <c r="BE12" s="40">
        <f t="shared" si="6"/>
        <v>151250</v>
      </c>
      <c r="BF12" s="18"/>
    </row>
    <row r="13" spans="1:58" x14ac:dyDescent="0.25">
      <c r="A13" s="44" t="s">
        <v>23</v>
      </c>
      <c r="B13" s="42" t="s">
        <v>1071</v>
      </c>
      <c r="C13" s="42"/>
      <c r="D13" s="15">
        <f>IFERROR(((s_TR/(s_RadSpec!E13*s_IFS_res_adj*(1/1000)))*1),".")</f>
        <v>1325.6015414094722</v>
      </c>
      <c r="E13" s="15">
        <f>IFERROR(IF(A13="H-3",(s_TR/((s_RadSpec!F13*s_IFA_res_adj*(1/17)*1000))*1),(s_TR/((s_RadSpec!F13*s_IFA_res_adj*(1/s_PEF_wind)*1000))*1)),".")</f>
        <v>53879.542897895233</v>
      </c>
      <c r="F13" s="15">
        <f>IFERROR((s_TR/(s_RadSpec!G13*s_EF_res*(1/365)*s_ED_res*s_RadSpec!R13*((s_ET_res_o*(1/24)*s_RadSpec!W13)+(s_ET_res_i*(1/24)*s_RadSpec!AB13))))*1,".")</f>
        <v>29423.496566379523</v>
      </c>
      <c r="G13" s="15">
        <f>s_b2s!C13</f>
        <v>41.897482691982319</v>
      </c>
      <c r="H13" s="15">
        <f>s_dir!C13</f>
        <v>0.997160088069179</v>
      </c>
      <c r="I13" s="15">
        <f t="shared" ref="I13:I14" si="16">(IF(AND(D13&lt;&gt;".",E13&lt;&gt;".",F13&lt;&gt;".",G13&lt;&gt;"."),1/((1/D13)+(1/E13)+(1/F13)+(1/G13)),IF(AND(D13&lt;&gt;".",E13&lt;&gt;".",F13&lt;&gt;".",G13="."), 1/((1/D13)+(1/E13)+(1/F13)),IF(AND(D13&lt;&gt;".",E13&lt;&gt;".",F13=".",G13&lt;&gt;"."),1/((1/D13)+(1/E13)+(1/G13)),IF(AND(D13&lt;&gt;".",E13=".",F13&lt;&gt;".",G13&lt;&gt;"."),1/((1/D13)+(1/F13)+(1/G13)),IF(AND(D13=".",E13&lt;&gt;".",F13&lt;&gt;".",G13&lt;&gt;"."),1/((1/E13)+(1/F13)+(1/G13)),IF(AND(D13&lt;&gt;".",E13&lt;&gt;".",F13=".",G13="."),1/((1/D13)+(1/E13)),IF(AND(D13&lt;&gt;".",E13=".",F13&lt;&gt;".",G13="."),1/((1/D13)+(1/F13)),IF(AND(D13&lt;&gt;".",E13=".",F13=".",G13&lt;&gt;"."),1/((1/D13)+(1/G13)),IF(AND(D13=".",E13=".",F13&lt;&gt;".",G13&lt;&gt;"."),1/((1/F13)+(1/G13)),IF(AND(D13=".",E13&lt;&gt;".",F13=".",G13&lt;&gt;"."),1/((1/E13)+(1/G13)),IF(AND(D13=".",E13&lt;&gt;".",F13&lt;&gt;".",G13="."),1/((1/E13)+(1/F13)),IF(AND(D13&lt;&gt;".",E13=".",F13=".",G13="."),1/((1/D13)),IF(AND(D13=".",E13&lt;&gt;".",F13=".",G13="."),1/((1/E13)),IF(AND(D13=".",E13=".",F13&lt;&gt;".",G13="."),1/((1/F13)),IF(AND(D13=".",E13=".",F13=".",G13&lt;&gt;"."),1/((1/G13)),IF(AND(D13=".",E13=".",F13=".",G13="."),".")))))))))))))))))</f>
        <v>40.527336411320526</v>
      </c>
      <c r="J13" s="40">
        <f t="shared" si="0"/>
        <v>302.5</v>
      </c>
      <c r="K13" s="40">
        <f t="shared" si="1"/>
        <v>3.2362545583179352E-2</v>
      </c>
      <c r="L13" s="40">
        <f>IFERROR((s_C*s_EF_res*(1/365)*s_ED_res*s_RadSpec!R13*((s_ET_res_o*(1/24)*s_RadSpec!W13)+(s_ET_res_i*(1/24)*s_RadSpec!AB13))),".")</f>
        <v>3.2852339766023378E-2</v>
      </c>
      <c r="M13" s="40">
        <f>s_b2s!AC13</f>
        <v>14399</v>
      </c>
      <c r="N13" s="18"/>
      <c r="O13" s="18"/>
      <c r="P13" s="18"/>
      <c r="Q13" s="18"/>
      <c r="R13" s="18"/>
      <c r="S13" s="15">
        <f>IFERROR((s_TR/(s_RadSpec!G13*s_EF_res*(1/365)*s_ED_res*s_RadSpec!R13*((s_ET_res_o*(1/24)*s_RadSpec!W13)+(s_ET_res_i*(1/24)*s_RadSpec!AB13))))*1,".")</f>
        <v>29423.496566379523</v>
      </c>
      <c r="T13" s="15">
        <f>IFERROR((s_TR/(s_RadSpec!N13*s_EF_res*(1/365)*s_ED_res*s_RadSpec!S13*((s_ET_res_o*(1/24)*s_RadSpec!X13)+(s_ET_res_i*(1/24)*s_RadSpec!AC13))))*1,".")</f>
        <v>191289.52904785745</v>
      </c>
      <c r="U13" s="15">
        <f>IFERROR((s_TR/(s_RadSpec!O13*s_EF_res*(1/365)*s_ED_res*s_RadSpec!T13*((s_ET_res_o*(1/24)*s_RadSpec!Y13)+(s_ET_res_i*(1/24)*s_RadSpec!AD13))))*1,".")</f>
        <v>47758.65958493662</v>
      </c>
      <c r="V13" s="15">
        <f>IFERROR((s_TR/(s_RadSpec!P13*s_EF_res*(1/365)*s_ED_res*s_RadSpec!U13*((s_ET_res_o*(1/24)*s_RadSpec!Z13)+(s_ET_res_i*(1/24)*s_RadSpec!AE13))))*1,".")</f>
        <v>31612.069336040844</v>
      </c>
      <c r="W13" s="15">
        <f>IFERROR((s_TR/(s_RadSpec!L13*s_EF_res*(1/365)*s_ED_res*s_RadSpec!Q13*((s_ET_res_o*(1/24)*s_RadSpec!V13)+(s_ET_res_i*(1/24)*s_RadSpec!AA13))))*1,".")</f>
        <v>1519263.7836100368</v>
      </c>
      <c r="X13" s="40">
        <f>IFERROR((s_C*s_EF_res*(1/365)*s_ED_res*s_RadSpec!R13*((s_ET_res_o*(1/24)*s_RadSpec!W13)+(s_ET_res_i*(1/24)*s_RadSpec!AB13))),".")</f>
        <v>3.2852339766023378E-2</v>
      </c>
      <c r="Y13" s="40">
        <f>IFERROR((s_C*s_EF_res*(1/365)*s_ED_res*s_RadSpec!S13*((s_ET_res_o*(1/24)*s_RadSpec!X13)+(s_ET_res_i*(1/24)*s_RadSpec!AC13))),".")</f>
        <v>1.5064485572719321E-2</v>
      </c>
      <c r="Z13" s="40">
        <f>IFERROR((s_C*s_EF_res*(1/365)*s_ED_res*s_RadSpec!T13*((s_ET_res_o*(1/24)*s_RadSpec!Y13)+(s_ET_res_i*(1/24)*s_RadSpec!AD13))),".")</f>
        <v>2.5357120101943298E-2</v>
      </c>
      <c r="AA13" s="40">
        <f>IFERROR((s_C*s_EF_res*(1/365)*s_ED_res*s_RadSpec!U13*((s_ET_res_o*(1/24)*s_RadSpec!Z13)+(s_ET_res_i*(1/24)*s_RadSpec!AE13))),".")</f>
        <v>3.0716575644197684E-2</v>
      </c>
      <c r="AB13" s="40">
        <f>IFERROR((s_C*s_EF_res*(1/365)*s_ED_res*s_RadSpec!Q13*((s_ET_res_o*(1/24)*s_RadSpec!V13)+(s_ET_res_i*(1/24)*s_RadSpec!AA13))),".")</f>
        <v>1.5658805253495275E-3</v>
      </c>
      <c r="AC13" s="18"/>
      <c r="AD13" s="18"/>
      <c r="AE13" s="18"/>
      <c r="AF13" s="18"/>
      <c r="AG13" s="18"/>
      <c r="AH13" s="15">
        <f>IFERROR((s_TR/(s_RadSpec!F13*s_IFA_res_adj)),".")</f>
        <v>0.17391501262469006</v>
      </c>
      <c r="AI13" s="15">
        <f>IFERROR((s_TR/(s_RadSpec!K13*s_EF_res*(1/365)*s_ED_res*s_ET_res*(1/24)*s_GSF_a)),".")</f>
        <v>415241.11795615341</v>
      </c>
      <c r="AJ13" s="15">
        <f t="shared" si="11"/>
        <v>0.17391493978407377</v>
      </c>
      <c r="AK13" s="40">
        <f t="shared" si="2"/>
        <v>10026.041666666666</v>
      </c>
      <c r="AL13" s="40">
        <f t="shared" si="3"/>
        <v>1.5696347031963471</v>
      </c>
      <c r="AM13" s="18"/>
      <c r="AN13" s="18"/>
      <c r="AO13" s="18"/>
      <c r="AP13" s="15">
        <f>IFERROR((s_TR/(s_RadSpec!I13*s_IFW_res_adj)),".")</f>
        <v>29.250029250029254</v>
      </c>
      <c r="AQ13" s="15" t="str">
        <f>IFERROR(IF(AND(s_RadSpec!C13=1,s_RadSpec!D13&lt;&gt;0),(s_TR/(s_RadSpec!F13*s_IFA_res_adj*s_K*s_RadSpec!D13)),"."),".")</f>
        <v>.</v>
      </c>
      <c r="AR13" s="15">
        <f>IFERROR((s_TR/(s_RadSpec!M13*(1/8760)*s_DFA_res_adj)),".")</f>
        <v>115992098.00050713</v>
      </c>
      <c r="AS13" s="15">
        <f>s_b2w!C13</f>
        <v>72.555426051028576</v>
      </c>
      <c r="AT13" s="15">
        <f>(IF(AND(AP13&lt;&gt;".",AQ13&lt;&gt;".",AR13&lt;&gt;".",AS13&lt;&gt;"."),1/((1/AP13)+(1/AQ13)+(1/AR13)+(1/AS13)),IF(AND(AP13&lt;&gt;".",AQ13&lt;&gt;".",AR13&lt;&gt;".",AS13="."), 1/((1/AP13)+(1/AQ13)+(1/AR13)),IF(AND(AP13&lt;&gt;".",AQ13&lt;&gt;".",AR13=".",AS13&lt;&gt;"."),1/((1/AP13)+(1/AQ13)+(1/AS13)),IF(AND(AP13&lt;&gt;".",AQ13=".",AR13&lt;&gt;".",AS13&lt;&gt;"."),1/((1/AP13)+(1/AR13)+(1/AS13)),IF(AND(AP13=".",AQ13&lt;&gt;".",AR13&lt;&gt;".",AS13&lt;&gt;"."),1/((1/AQ13)+(1/AR13)+(1/AS13)),IF(AND(AP13&lt;&gt;".",AQ13&lt;&gt;".",AR13=".",AS13="."),1/((1/AP13)+(1/AQ13)),IF(AND(AP13&lt;&gt;".",AQ13=".",AR13&lt;&gt;".",AS13="."),1/((1/AP13)+(1/AR13)),IF(AND(AP13&lt;&gt;".",AQ13=".",AR13=".",AS13&lt;&gt;"."),1/((1/AP13)+(1/AS13)),IF(AND(AP13=".",AQ13=".",AR13&lt;&gt;".",AS13&lt;&gt;"."),1/((1/AR13)+(1/AS13)),IF(AND(AP13=".",AQ13&lt;&gt;".",AR13=".",AS13&lt;&gt;"."),1/((1/AQ13)+(1/AS13)),IF(AND(AP13=".",AQ13&lt;&gt;".",AR13&lt;&gt;".",AS13="."),1/((1/AQ13)+(1/AR13)),IF(AND(AP13&lt;&gt;".",AQ13=".",AR13=".",AS13="."),1/((1/AP13)),IF(AND(AP13=".",AQ13&lt;&gt;".",AR13=".",AS13="."),1/((1/AQ13)),IF(AND(AP13=".",AQ13=".",AR13&lt;&gt;".",AS13="."),1/((1/AR13)),IF(AND(AP13=".",AQ13=".",AR13=".",AS13&lt;&gt;"."),1/((1/AS13)),IF(AND(AP13=".",AQ13=".",AR13=".",AS13="."),".")))))))))))))))))</f>
        <v>20.846112288917492</v>
      </c>
      <c r="AU13" s="40">
        <f t="shared" si="4"/>
        <v>27500</v>
      </c>
      <c r="AV13" s="40">
        <f>IF(s_RadSpec!D13&lt;&gt;"",s_C*s_IFA_res_adj*s_K*s_RadSpec!D13,0)</f>
        <v>0</v>
      </c>
      <c r="AW13" s="40">
        <f t="shared" si="5"/>
        <v>2.5114155251141552</v>
      </c>
      <c r="AX13" s="40">
        <f>s_b2w!AC13</f>
        <v>8314.7723901112822</v>
      </c>
      <c r="AY13" s="18"/>
      <c r="AZ13" s="18"/>
      <c r="BA13" s="18"/>
      <c r="BB13" s="18"/>
      <c r="BC13" s="18"/>
      <c r="BD13" s="15">
        <f>IFERROR(s_TR/(s_RadSpec!H13*s_EF_res*s_ED_res*s_IRF_res*0.001*s_CF_res_fish),".")</f>
        <v>3.988640352276716</v>
      </c>
      <c r="BE13" s="40">
        <f t="shared" si="6"/>
        <v>151250</v>
      </c>
      <c r="BF13" s="18"/>
    </row>
    <row r="14" spans="1:58" x14ac:dyDescent="0.25">
      <c r="A14" s="44" t="s">
        <v>24</v>
      </c>
      <c r="B14" s="42" t="s">
        <v>1071</v>
      </c>
      <c r="C14" s="42"/>
      <c r="D14" s="15">
        <f>IFERROR(((s_TR/(s_RadSpec!E14*s_IFS_res_adj*(1/1000)))*1),".")</f>
        <v>10038.82515629196</v>
      </c>
      <c r="E14" s="15">
        <f>IFERROR(IF(A14="H-3",(s_TR/((s_RadSpec!F14*s_IFA_res_adj*(1/17)*1000))*1),(s_TR/((s_RadSpec!F14*s_IFA_res_adj*(1/s_PEF_wind)*1000))*1)),".")</f>
        <v>101105679.77207945</v>
      </c>
      <c r="F14" s="15">
        <f>IFERROR((s_TR/(s_RadSpec!G14*s_EF_res*(1/365)*s_ED_res*s_RadSpec!R14*((s_ET_res_o*(1/24)*s_RadSpec!W14)+(s_ET_res_i*(1/24)*s_RadSpec!AB14))))*1,".")</f>
        <v>284.40696241094548</v>
      </c>
      <c r="G14" s="15">
        <f>s_b2s!C14</f>
        <v>392.76219399946564</v>
      </c>
      <c r="H14" s="15">
        <f>s_dir!C14</f>
        <v>9.2299115589874425</v>
      </c>
      <c r="I14" s="15">
        <f t="shared" si="16"/>
        <v>162.29073066805287</v>
      </c>
      <c r="J14" s="40">
        <f t="shared" si="0"/>
        <v>302.5</v>
      </c>
      <c r="K14" s="40">
        <f t="shared" si="1"/>
        <v>3.2362545583179352E-2</v>
      </c>
      <c r="L14" s="40">
        <f>IFERROR((s_C*s_EF_res*(1/365)*s_ED_res*s_RadSpec!R14*((s_ET_res_o*(1/24)*s_RadSpec!W14)+(s_ET_res_i*(1/24)*s_RadSpec!AB14))),".")</f>
        <v>0.21884450737618555</v>
      </c>
      <c r="M14" s="40">
        <f>s_b2s!AC14</f>
        <v>14217.5</v>
      </c>
      <c r="N14" s="18"/>
      <c r="O14" s="18"/>
      <c r="P14" s="18"/>
      <c r="Q14" s="18"/>
      <c r="R14" s="18"/>
      <c r="S14" s="15">
        <f>IFERROR((s_TR/(s_RadSpec!G14*s_EF_res*(1/365)*s_ED_res*s_RadSpec!R14*((s_ET_res_o*(1/24)*s_RadSpec!W14)+(s_ET_res_i*(1/24)*s_RadSpec!AB14))))*1,".")</f>
        <v>284.40696241094548</v>
      </c>
      <c r="T14" s="15">
        <f>IFERROR((s_TR/(s_RadSpec!N14*s_EF_res*(1/365)*s_ED_res*s_RadSpec!S14*((s_ET_res_o*(1/24)*s_RadSpec!X14)+(s_ET_res_i*(1/24)*s_RadSpec!AC14))))*1,".")</f>
        <v>2177.4544715692969</v>
      </c>
      <c r="U14" s="15">
        <f>IFERROR((s_TR/(s_RadSpec!O14*s_EF_res*(1/365)*s_ED_res*s_RadSpec!T14*((s_ET_res_o*(1/24)*s_RadSpec!Y14)+(s_ET_res_i*(1/24)*s_RadSpec!AD14))))*1,".")</f>
        <v>586.45889163405877</v>
      </c>
      <c r="V14" s="15">
        <f>IFERROR((s_TR/(s_RadSpec!P14*s_EF_res*(1/365)*s_ED_res*s_RadSpec!U14*((s_ET_res_o*(1/24)*s_RadSpec!Z14)+(s_ET_res_i*(1/24)*s_RadSpec!AE14))))*1,".")</f>
        <v>353.6598297663308</v>
      </c>
      <c r="W14" s="15">
        <f>IFERROR((s_TR/(s_RadSpec!L14*s_EF_res*(1/365)*s_ED_res*s_RadSpec!Q14*((s_ET_res_o*(1/24)*s_RadSpec!V14)+(s_ET_res_i*(1/24)*s_RadSpec!AA14))))*1,".")</f>
        <v>6158.7061578270932</v>
      </c>
      <c r="X14" s="40">
        <f>IFERROR((s_C*s_EF_res*(1/365)*s_ED_res*s_RadSpec!R14*((s_ET_res_o*(1/24)*s_RadSpec!W14)+(s_ET_res_i*(1/24)*s_RadSpec!AB14))),".")</f>
        <v>0.21884450737618555</v>
      </c>
      <c r="Y14" s="40">
        <f>IFERROR((s_C*s_EF_res*(1/365)*s_ED_res*s_RadSpec!S14*((s_ET_res_o*(1/24)*s_RadSpec!X14)+(s_ET_res_i*(1/24)*s_RadSpec!AC14))),".")</f>
        <v>0.12050222768985229</v>
      </c>
      <c r="Z14" s="40">
        <f>IFERROR((s_C*s_EF_res*(1/365)*s_ED_res*s_RadSpec!T14*((s_ET_res_o*(1/24)*s_RadSpec!Y14)+(s_ET_res_i*(1/24)*s_RadSpec!AD14))),".")</f>
        <v>0.16298540798094094</v>
      </c>
      <c r="AA14" s="40">
        <f>IFERROR((s_C*s_EF_res*(1/365)*s_ED_res*s_RadSpec!U14*((s_ET_res_o*(1/24)*s_RadSpec!Z14)+(s_ET_res_i*(1/24)*s_RadSpec!AE14))),".")</f>
        <v>0.18599342465753421</v>
      </c>
      <c r="AB14" s="40">
        <f>IFERROR((s_C*s_EF_res*(1/365)*s_ED_res*s_RadSpec!Q14*((s_ET_res_o*(1/24)*s_RadSpec!V14)+(s_ET_res_i*(1/24)*s_RadSpec!AA14))),".")</f>
        <v>4.3186593961963012E-2</v>
      </c>
      <c r="AC14" s="18"/>
      <c r="AD14" s="18"/>
      <c r="AE14" s="18"/>
      <c r="AF14" s="18"/>
      <c r="AG14" s="18"/>
      <c r="AH14" s="15">
        <f>IFERROR((s_TR/(s_RadSpec!F14*s_IFA_res_adj)),".")</f>
        <v>326.3538372497211</v>
      </c>
      <c r="AI14" s="15">
        <f>IFERROR((s_TR/(s_RadSpec!K14*s_EF_res*(1/365)*s_ED_res*s_ET_res*(1/24)*s_GSF_a)),".")</f>
        <v>37320.576538603658</v>
      </c>
      <c r="AJ14" s="15">
        <f t="shared" si="11"/>
        <v>323.52474000263368</v>
      </c>
      <c r="AK14" s="40">
        <f t="shared" si="2"/>
        <v>10026.041666666666</v>
      </c>
      <c r="AL14" s="40">
        <f t="shared" si="3"/>
        <v>1.5696347031963471</v>
      </c>
      <c r="AM14" s="18"/>
      <c r="AN14" s="18"/>
      <c r="AO14" s="18"/>
      <c r="AP14" s="15">
        <f>IFERROR((s_TR/(s_RadSpec!I14*s_IFW_res_adj)),".")</f>
        <v>296.02439240993459</v>
      </c>
      <c r="AQ14" s="15" t="str">
        <f>IFERROR(IF(AND(s_RadSpec!C14=1,s_RadSpec!D14&lt;&gt;0),(s_TR/(s_RadSpec!F14*s_IFA_res_adj*s_K*s_RadSpec!D14)),"."),".")</f>
        <v>.</v>
      </c>
      <c r="AR14" s="15">
        <f>IFERROR((s_TR/(s_RadSpec!M14*(1/8760)*s_DFA_res_adj)),".")</f>
        <v>10656774.003796592</v>
      </c>
      <c r="AS14" s="15">
        <f>s_b2w!C14</f>
        <v>674.51302213912368</v>
      </c>
      <c r="AT14" s="15">
        <f>(IF(AND(AP14&lt;&gt;".",AQ14&lt;&gt;".",AR14&lt;&gt;".",AS14&lt;&gt;"."),1/((1/AP14)+(1/AQ14)+(1/AR14)+(1/AS14)),IF(AND(AP14&lt;&gt;".",AQ14&lt;&gt;".",AR14&lt;&gt;".",AS14="."), 1/((1/AP14)+(1/AQ14)+(1/AR14)),IF(AND(AP14&lt;&gt;".",AQ14&lt;&gt;".",AR14=".",AS14&lt;&gt;"."),1/((1/AP14)+(1/AQ14)+(1/AS14)),IF(AND(AP14&lt;&gt;".",AQ14=".",AR14&lt;&gt;".",AS14&lt;&gt;"."),1/((1/AP14)+(1/AR14)+(1/AS14)),IF(AND(AP14=".",AQ14&lt;&gt;".",AR14&lt;&gt;".",AS14&lt;&gt;"."),1/((1/AQ14)+(1/AR14)+(1/AS14)),IF(AND(AP14&lt;&gt;".",AQ14&lt;&gt;".",AR14=".",AS14="."),1/((1/AP14)+(1/AQ14)),IF(AND(AP14&lt;&gt;".",AQ14=".",AR14&lt;&gt;".",AS14="."),1/((1/AP14)+(1/AR14)),IF(AND(AP14&lt;&gt;".",AQ14=".",AR14=".",AS14&lt;&gt;"."),1/((1/AP14)+(1/AS14)),IF(AND(AP14=".",AQ14=".",AR14&lt;&gt;".",AS14&lt;&gt;"."),1/((1/AR14)+(1/AS14)),IF(AND(AP14=".",AQ14&lt;&gt;".",AR14=".",AS14&lt;&gt;"."),1/((1/AQ14)+(1/AS14)),IF(AND(AP14=".",AQ14&lt;&gt;".",AR14&lt;&gt;".",AS14="."),1/((1/AQ14)+(1/AR14)),IF(AND(AP14&lt;&gt;".",AQ14=".",AR14=".",AS14="."),1/((1/AP14)),IF(AND(AP14=".",AQ14&lt;&gt;".",AR14=".",AS14="."),1/((1/AQ14)),IF(AND(AP14=".",AQ14=".",AR14&lt;&gt;".",AS14="."),1/((1/AR14)),IF(AND(AP14=".",AQ14=".",AR14=".",AS14&lt;&gt;"."),1/((1/AS14)),IF(AND(AP14=".",AQ14=".",AR14=".",AS14="."),".")))))))))))))))))</f>
        <v>205.72978421024513</v>
      </c>
      <c r="AU14" s="40">
        <f t="shared" si="4"/>
        <v>27500</v>
      </c>
      <c r="AV14" s="40">
        <f>IF(s_RadSpec!D14&lt;&gt;"",s_C*s_IFA_res_adj*s_K*s_RadSpec!D14,0)</f>
        <v>0</v>
      </c>
      <c r="AW14" s="40">
        <f t="shared" si="5"/>
        <v>2.5114155251141552</v>
      </c>
      <c r="AX14" s="40">
        <f>s_b2w!AC14</f>
        <v>8278.7082085950278</v>
      </c>
      <c r="AY14" s="18"/>
      <c r="AZ14" s="18"/>
      <c r="BA14" s="18"/>
      <c r="BB14" s="18"/>
      <c r="BC14" s="18"/>
      <c r="BD14" s="15">
        <f>IFERROR(s_TR/(s_RadSpec!H14*s_EF_res*s_ED_res*s_IRF_res*0.001*s_CF_res_fish),".")</f>
        <v>36.91964623594977</v>
      </c>
      <c r="BE14" s="40">
        <f t="shared" si="6"/>
        <v>151250</v>
      </c>
      <c r="BF14" s="18"/>
    </row>
    <row r="15" spans="1:58" x14ac:dyDescent="0.25">
      <c r="A15" s="44" t="s">
        <v>25</v>
      </c>
      <c r="B15" s="42" t="s">
        <v>1071</v>
      </c>
      <c r="C15" s="42"/>
      <c r="D15" s="15">
        <f>IFERROR(((s_TR/(s_RadSpec!E15*s_IFS_res_adj*(1/1000)))*1),".")</f>
        <v>264335.92867159302</v>
      </c>
      <c r="E15" s="15">
        <f>IFERROR(IF(A15="H-3",(s_TR/((s_RadSpec!F15*s_IFA_res_adj*(1/17)*1000))*1),(s_TR/((s_RadSpec!F15*s_IFA_res_adj*(1/s_PEF_wind)*1000))*1)),".")</f>
        <v>7430008139.8343067</v>
      </c>
      <c r="F15" s="15" t="str">
        <f>IFERROR((s_TR/(s_RadSpec!G15*s_EF_res*(1/365)*s_ED_res*s_RadSpec!R15*((s_ET_res_o*(1/24)*s_RadSpec!W15)+(s_ET_res_i*(1/24)*s_RadSpec!AB15))))*1,".")</f>
        <v>.</v>
      </c>
      <c r="G15" s="15">
        <f>s_b2s!C15</f>
        <v>10504.668242974389</v>
      </c>
      <c r="H15" s="15">
        <f>s_dir!C15</f>
        <v>237.11662391453939</v>
      </c>
      <c r="I15" s="15">
        <f t="shared" ref="I15:I21" si="17">(IF(AND(D15&lt;&gt;".",E15&lt;&gt;".",F15&lt;&gt;".",G15&lt;&gt;"."),1/((1/D15)+(1/E15)+(1/F15)+(1/G15)),IF(AND(D15&lt;&gt;".",E15&lt;&gt;".",F15&lt;&gt;".",G15="."), 1/((1/D15)+(1/E15)+(1/F15)),IF(AND(D15&lt;&gt;".",E15&lt;&gt;".",F15=".",G15&lt;&gt;"."),1/((1/D15)+(1/E15)+(1/G15)),IF(AND(D15&lt;&gt;".",E15=".",F15&lt;&gt;".",G15&lt;&gt;"."),1/((1/D15)+(1/F15)+(1/G15)),IF(AND(D15=".",E15&lt;&gt;".",F15&lt;&gt;".",G15&lt;&gt;"."),1/((1/E15)+(1/F15)+(1/G15)),IF(AND(D15&lt;&gt;".",E15&lt;&gt;".",F15=".",G15="."),1/((1/D15)+(1/E15)),IF(AND(D15&lt;&gt;".",E15=".",F15&lt;&gt;".",G15="."),1/((1/D15)+(1/F15)),IF(AND(D15&lt;&gt;".",E15=".",F15=".",G15&lt;&gt;"."),1/((1/D15)+(1/G15)),IF(AND(D15=".",E15=".",F15&lt;&gt;".",G15&lt;&gt;"."),1/((1/F15)+(1/G15)),IF(AND(D15=".",E15&lt;&gt;".",F15=".",G15&lt;&gt;"."),1/((1/E15)+(1/G15)),IF(AND(D15=".",E15&lt;&gt;".",F15&lt;&gt;".",G15="."),1/((1/E15)+(1/F15)),IF(AND(D15&lt;&gt;".",E15=".",F15=".",G15="."),1/((1/D15)),IF(AND(D15=".",E15&lt;&gt;".",F15=".",G15="."),1/((1/E15)),IF(AND(D15=".",E15=".",F15&lt;&gt;".",G15="."),1/((1/F15)),IF(AND(D15=".",E15=".",F15=".",G15&lt;&gt;"."),1/((1/G15)),IF(AND(D15=".",E15=".",F15=".",G15="."),".")))))))))))))))))</f>
        <v>10103.156123183564</v>
      </c>
      <c r="J15" s="40">
        <f t="shared" si="0"/>
        <v>302.5</v>
      </c>
      <c r="K15" s="40">
        <f t="shared" si="1"/>
        <v>3.2362545583179352E-2</v>
      </c>
      <c r="L15" s="40">
        <f>IFERROR((s_C*s_EF_res*(1/365)*s_ED_res*s_RadSpec!R15*((s_ET_res_o*(1/24)*s_RadSpec!W15)+(s_ET_res_i*(1/24)*s_RadSpec!AB15))),".")</f>
        <v>0</v>
      </c>
      <c r="M15" s="40">
        <f>s_b2s!AC15</f>
        <v>13656.362499999999</v>
      </c>
      <c r="N15" s="18"/>
      <c r="O15" s="18"/>
      <c r="P15" s="18"/>
      <c r="Q15" s="18"/>
      <c r="R15" s="18"/>
      <c r="S15" s="15" t="str">
        <f>IFERROR((s_TR/(s_RadSpec!G15*s_EF_res*(1/365)*s_ED_res*s_RadSpec!R15*((s_ET_res_o*(1/24)*s_RadSpec!W15)+(s_ET_res_i*(1/24)*s_RadSpec!AB15))))*1,".")</f>
        <v>.</v>
      </c>
      <c r="T15" s="15" t="str">
        <f>IFERROR((s_TR/(s_RadSpec!N15*s_EF_res*(1/365)*s_ED_res*s_RadSpec!S15*((s_ET_res_o*(1/24)*s_RadSpec!X15)+(s_ET_res_i*(1/24)*s_RadSpec!AC15))))*1,".")</f>
        <v>.</v>
      </c>
      <c r="U15" s="15" t="str">
        <f>IFERROR((s_TR/(s_RadSpec!O15*s_EF_res*(1/365)*s_ED_res*s_RadSpec!T15*((s_ET_res_o*(1/24)*s_RadSpec!Y15)+(s_ET_res_i*(1/24)*s_RadSpec!AD15))))*1,".")</f>
        <v>.</v>
      </c>
      <c r="V15" s="15" t="str">
        <f>IFERROR((s_TR/(s_RadSpec!P15*s_EF_res*(1/365)*s_ED_res*s_RadSpec!U15*((s_ET_res_o*(1/24)*s_RadSpec!Z15)+(s_ET_res_i*(1/24)*s_RadSpec!AE15))))*1,".")</f>
        <v>.</v>
      </c>
      <c r="W15" s="15" t="str">
        <f>IFERROR((s_TR/(s_RadSpec!L15*s_EF_res*(1/365)*s_ED_res*s_RadSpec!Q15*((s_ET_res_o*(1/24)*s_RadSpec!V15)+(s_ET_res_i*(1/24)*s_RadSpec!AA15))))*1,".")</f>
        <v>.</v>
      </c>
      <c r="X15" s="40">
        <f>IFERROR((s_C*s_EF_res*(1/365)*s_ED_res*s_RadSpec!R15*((s_ET_res_o*(1/24)*s_RadSpec!W15)+(s_ET_res_i*(1/24)*s_RadSpec!AB15))),".")</f>
        <v>0</v>
      </c>
      <c r="Y15" s="40">
        <f>IFERROR((s_C*s_EF_res*(1/365)*s_ED_res*s_RadSpec!S15*((s_ET_res_o*(1/24)*s_RadSpec!X15)+(s_ET_res_i*(1/24)*s_RadSpec!AC15))),".")</f>
        <v>0</v>
      </c>
      <c r="Z15" s="40">
        <f>IFERROR((s_C*s_EF_res*(1/365)*s_ED_res*s_RadSpec!T15*((s_ET_res_o*(1/24)*s_RadSpec!Y15)+(s_ET_res_i*(1/24)*s_RadSpec!AD15))),".")</f>
        <v>0</v>
      </c>
      <c r="AA15" s="40">
        <f>IFERROR((s_C*s_EF_res*(1/365)*s_ED_res*s_RadSpec!U15*((s_ET_res_o*(1/24)*s_RadSpec!Z15)+(s_ET_res_i*(1/24)*s_RadSpec!AE15))),".")</f>
        <v>0</v>
      </c>
      <c r="AB15" s="40">
        <f>IFERROR((s_C*s_EF_res*(1/365)*s_ED_res*s_RadSpec!Q15*((s_ET_res_o*(1/24)*s_RadSpec!V15)+(s_ET_res_i*(1/24)*s_RadSpec!AA15))),".")</f>
        <v>0</v>
      </c>
      <c r="AC15" s="18"/>
      <c r="AD15" s="18"/>
      <c r="AE15" s="18"/>
      <c r="AF15" s="18"/>
      <c r="AG15" s="18"/>
      <c r="AH15" s="15">
        <f>IFERROR((s_TR/(s_RadSpec!F15*s_IFA_res_adj)),".")</f>
        <v>23982.942132408327</v>
      </c>
      <c r="AI15" s="15">
        <f>IFERROR((s_TR/(s_RadSpec!K15*s_EF_res*(1/365)*s_ED_res*s_ET_res*(1/24)*s_GSF_a)),".")</f>
        <v>18685850.308026899</v>
      </c>
      <c r="AJ15" s="15">
        <f t="shared" ref="AJ15:AJ16" si="18">IFERROR(IF(AND(AH15&lt;&gt;".",AI15&lt;&gt;"."),1/((1/AH15)+(1/AI15)),IF(AND(AH15&lt;&gt;".",AI15="."),1/((1/AH15)),IF(AND(AH15=".",AI15&lt;&gt;"."),1/((1/AI15)),IF(AND(AH15=".",AI15="."),".")))),".")</f>
        <v>23952.19992826166</v>
      </c>
      <c r="AK15" s="40">
        <f t="shared" si="2"/>
        <v>10026.041666666666</v>
      </c>
      <c r="AL15" s="40">
        <f t="shared" si="3"/>
        <v>1.5696347031963471</v>
      </c>
      <c r="AM15" s="18"/>
      <c r="AN15" s="18"/>
      <c r="AO15" s="18"/>
      <c r="AP15" s="15">
        <f>IFERROR((s_TR/(s_RadSpec!I15*s_IFW_res_adj)),".")</f>
        <v>7548.3946451688398</v>
      </c>
      <c r="AQ15" s="15" t="str">
        <f>IFERROR(IF(AND(s_RadSpec!C15=1,s_RadSpec!D15&lt;&gt;0),(s_TR/(s_RadSpec!F15*s_IFA_res_adj*s_K*s_RadSpec!D15)),"."),".")</f>
        <v>.</v>
      </c>
      <c r="AR15" s="15">
        <f>IFERROR((s_TR/(s_RadSpec!M15*(1/8760)*s_DFA_res_adj)),".")</f>
        <v>8568260505.5650988</v>
      </c>
      <c r="AS15" s="15">
        <f>s_b2w!C15</f>
        <v>17564.818502223865</v>
      </c>
      <c r="AT15" s="15">
        <f t="shared" ref="AT15:AT16" si="19">(IF(AND(AP15&lt;&gt;".",AQ15&lt;&gt;".",AR15&lt;&gt;".",AS15&lt;&gt;"."),1/((1/AP15)+(1/AQ15)+(1/AR15)+(1/AS15)),IF(AND(AP15&lt;&gt;".",AQ15&lt;&gt;".",AR15&lt;&gt;".",AS15="."), 1/((1/AP15)+(1/AQ15)+(1/AR15)),IF(AND(AP15&lt;&gt;".",AQ15&lt;&gt;".",AR15=".",AS15&lt;&gt;"."),1/((1/AP15)+(1/AQ15)+(1/AS15)),IF(AND(AP15&lt;&gt;".",AQ15=".",AR15&lt;&gt;".",AS15&lt;&gt;"."),1/((1/AP15)+(1/AR15)+(1/AS15)),IF(AND(AP15=".",AQ15&lt;&gt;".",AR15&lt;&gt;".",AS15&lt;&gt;"."),1/((1/AQ15)+(1/AR15)+(1/AS15)),IF(AND(AP15&lt;&gt;".",AQ15&lt;&gt;".",AR15=".",AS15="."),1/((1/AP15)+(1/AQ15)),IF(AND(AP15&lt;&gt;".",AQ15=".",AR15&lt;&gt;".",AS15="."),1/((1/AP15)+(1/AR15)),IF(AND(AP15&lt;&gt;".",AQ15=".",AR15=".",AS15&lt;&gt;"."),1/((1/AP15)+(1/AS15)),IF(AND(AP15=".",AQ15=".",AR15&lt;&gt;".",AS15&lt;&gt;"."),1/((1/AR15)+(1/AS15)),IF(AND(AP15=".",AQ15&lt;&gt;".",AR15=".",AS15&lt;&gt;"."),1/((1/AQ15)+(1/AS15)),IF(AND(AP15=".",AQ15&lt;&gt;".",AR15&lt;&gt;".",AS15="."),1/((1/AQ15)+(1/AR15)),IF(AND(AP15&lt;&gt;".",AQ15=".",AR15=".",AS15="."),1/((1/AP15)),IF(AND(AP15=".",AQ15&lt;&gt;".",AR15=".",AS15="."),1/((1/AQ15)),IF(AND(AP15=".",AQ15=".",AR15&lt;&gt;".",AS15="."),1/((1/AR15)),IF(AND(AP15=".",AQ15=".",AR15=".",AS15&lt;&gt;"."),1/((1/AS15)),IF(AND(AP15=".",AQ15=".",AR15=".",AS15="."),".")))))))))))))))))</f>
        <v>5279.5354959672313</v>
      </c>
      <c r="AU15" s="40">
        <f t="shared" si="4"/>
        <v>27500</v>
      </c>
      <c r="AV15" s="40">
        <f>IF(s_RadSpec!D15&lt;&gt;"",s_C*s_IFA_res_adj*s_K*s_RadSpec!D15,0)</f>
        <v>0</v>
      </c>
      <c r="AW15" s="40">
        <f t="shared" si="5"/>
        <v>2.5114155251141552</v>
      </c>
      <c r="AX15" s="40">
        <f>s_b2w!AC15</f>
        <v>8167.2097807406062</v>
      </c>
      <c r="AY15" s="18"/>
      <c r="AZ15" s="18"/>
      <c r="BA15" s="18"/>
      <c r="BB15" s="18"/>
      <c r="BC15" s="18"/>
      <c r="BD15" s="15">
        <f>IFERROR(s_TR/(s_RadSpec!H15*s_EF_res*s_ED_res*s_IRF_res*0.001*s_CF_res_fish),".")</f>
        <v>948.46649565815744</v>
      </c>
      <c r="BE15" s="40">
        <f t="shared" si="6"/>
        <v>151250</v>
      </c>
      <c r="BF15" s="18"/>
    </row>
    <row r="16" spans="1:58" x14ac:dyDescent="0.25">
      <c r="A16" s="44" t="s">
        <v>26</v>
      </c>
      <c r="B16" s="42" t="s">
        <v>1071</v>
      </c>
      <c r="C16" s="249"/>
      <c r="D16" s="15">
        <f>IFERROR(((s_TR/(s_RadSpec!E16*s_IFS_res_adj*(1/1000)))*1),".")</f>
        <v>96.277525744610386</v>
      </c>
      <c r="E16" s="15">
        <f>IFERROR(IF(A16="H-3",(s_TR/((s_RadSpec!F16*s_IFA_res_adj*(1/17)*1000))*1),(s_TR/((s_RadSpec!F16*s_IFA_res_adj*(1/s_PEF_wind)*1000))*1)),".")</f>
        <v>97334.838568458756</v>
      </c>
      <c r="F16" s="15">
        <f>IFERROR((s_TR/(s_RadSpec!G16*s_EF_res*(1/365)*s_ED_res*s_RadSpec!R16*((s_ET_res_o*(1/24)*s_RadSpec!W16)+(s_ET_res_i*(1/24)*s_RadSpec!AB16))))*1,".")</f>
        <v>1432910220.5237269</v>
      </c>
      <c r="G16" s="15">
        <f>s_b2s!C16</f>
        <v>3.1117602153716586</v>
      </c>
      <c r="H16" s="15">
        <f>s_dir!C16</f>
        <v>7.0240207461476759E-2</v>
      </c>
      <c r="I16" s="15">
        <f t="shared" si="17"/>
        <v>3.0142413542211357</v>
      </c>
      <c r="J16" s="40">
        <f t="shared" si="0"/>
        <v>302.5</v>
      </c>
      <c r="K16" s="40">
        <f t="shared" si="1"/>
        <v>3.2362545583179352E-2</v>
      </c>
      <c r="L16" s="40">
        <f>IFERROR((s_C*s_EF_res*(1/365)*s_ED_res*s_RadSpec!R16*((s_ET_res_o*(1/24)*s_RadSpec!W16)+(s_ET_res_i*(1/24)*s_RadSpec!AB16))),".")</f>
        <v>2.3531066536203507E-5</v>
      </c>
      <c r="M16" s="40">
        <f>s_b2s!AC16</f>
        <v>13656.362499999999</v>
      </c>
      <c r="N16" s="18"/>
      <c r="O16" s="18"/>
      <c r="P16" s="18"/>
      <c r="Q16" s="18"/>
      <c r="R16" s="18"/>
      <c r="S16" s="15">
        <f>IFERROR((s_TR/(s_RadSpec!G16*s_EF_res*(1/365)*s_ED_res*s_RadSpec!R16*((s_ET_res_o*(1/24)*s_RadSpec!W16)+(s_ET_res_i*(1/24)*s_RadSpec!AB16))))*1,".")</f>
        <v>1432910220.5237269</v>
      </c>
      <c r="T16" s="15">
        <f>IFERROR((s_TR/(s_RadSpec!N16*s_EF_res*(1/365)*s_ED_res*s_RadSpec!S16*((s_ET_res_o*(1/24)*s_RadSpec!X16)+(s_ET_res_i*(1/24)*s_RadSpec!AC16))))*1,".")</f>
        <v>3971806619.7262816</v>
      </c>
      <c r="U16" s="15">
        <f>IFERROR((s_TR/(s_RadSpec!O16*s_EF_res*(1/365)*s_ED_res*s_RadSpec!T16*((s_ET_res_o*(1/24)*s_RadSpec!Y16)+(s_ET_res_i*(1/24)*s_RadSpec!AD16))))*1,".")</f>
        <v>1550154964.3209972</v>
      </c>
      <c r="V16" s="15">
        <f>IFERROR((s_TR/(s_RadSpec!P16*s_EF_res*(1/365)*s_ED_res*s_RadSpec!U16*((s_ET_res_o*(1/24)*s_RadSpec!Z16)+(s_ET_res_i*(1/24)*s_RadSpec!AE16))))*1,".")</f>
        <v>1540987892.4140182</v>
      </c>
      <c r="W16" s="15">
        <f>IFERROR((s_TR/(s_RadSpec!L16*s_EF_res*(1/365)*s_ED_res*s_RadSpec!Q16*((s_ET_res_o*(1/24)*s_RadSpec!V16)+(s_ET_res_i*(1/24)*s_RadSpec!AA16))))*1,".")</f>
        <v>51552043555.780952</v>
      </c>
      <c r="X16" s="40">
        <f>IFERROR((s_C*s_EF_res*(1/365)*s_ED_res*s_RadSpec!R16*((s_ET_res_o*(1/24)*s_RadSpec!W16)+(s_ET_res_i*(1/24)*s_RadSpec!AB16))),".")</f>
        <v>2.3531066536203507E-5</v>
      </c>
      <c r="Y16" s="40">
        <f>IFERROR((s_C*s_EF_res*(1/365)*s_ED_res*s_RadSpec!S16*((s_ET_res_o*(1/24)*s_RadSpec!X16)+(s_ET_res_i*(1/24)*s_RadSpec!AC16))),".")</f>
        <v>1.3212532212125317E-5</v>
      </c>
      <c r="Z16" s="40">
        <f>IFERROR((s_C*s_EF_res*(1/365)*s_ED_res*s_RadSpec!T16*((s_ET_res_o*(1/24)*s_RadSpec!Y16)+(s_ET_res_i*(1/24)*s_RadSpec!AD16))),".")</f>
        <v>2.1993763883746748E-5</v>
      </c>
      <c r="AA16" s="40">
        <f>IFERROR((s_C*s_EF_res*(1/365)*s_ED_res*s_RadSpec!U16*((s_ET_res_o*(1/24)*s_RadSpec!Z16)+(s_ET_res_i*(1/24)*s_RadSpec!AE16))),".")</f>
        <v>2.1880707762557062E-5</v>
      </c>
      <c r="AB16" s="40">
        <f>IFERROR((s_C*s_EF_res*(1/365)*s_ED_res*s_RadSpec!Q16*((s_ET_res_o*(1/24)*s_RadSpec!V16)+(s_ET_res_i*(1/24)*s_RadSpec!AA16))),".")</f>
        <v>5.6506849315068489E-7</v>
      </c>
      <c r="AC16" s="18"/>
      <c r="AD16" s="18"/>
      <c r="AE16" s="18"/>
      <c r="AF16" s="18"/>
      <c r="AG16" s="18"/>
      <c r="AH16" s="15">
        <f>IFERROR((s_TR/(s_RadSpec!F16*s_IFA_res_adj)),".")</f>
        <v>0.31418213236395059</v>
      </c>
      <c r="AI16" s="15">
        <f>IFERROR((s_TR/(s_RadSpec!K16*s_EF_res*(1/365)*s_ED_res*s_ET_res*(1/24)*s_GSF_a)),".")</f>
        <v>8095353.5459107636</v>
      </c>
      <c r="AJ16" s="15">
        <f t="shared" si="18"/>
        <v>0.3141821201704858</v>
      </c>
      <c r="AK16" s="40">
        <f t="shared" si="2"/>
        <v>10026.041666666666</v>
      </c>
      <c r="AL16" s="40">
        <f t="shared" si="3"/>
        <v>1.5696347031963471</v>
      </c>
      <c r="AM16" s="18"/>
      <c r="AN16" s="18"/>
      <c r="AO16" s="18"/>
      <c r="AP16" s="15">
        <f>IFERROR((s_TR/(s_RadSpec!I16*s_IFW_res_adj)),".")</f>
        <v>2.0560690016756964</v>
      </c>
      <c r="AQ16" s="15" t="str">
        <f>IFERROR(IF(AND(s_RadSpec!C16=1,s_RadSpec!D16&lt;&gt;0),(s_TR/(s_RadSpec!F16*s_IFA_res_adj*s_K*s_RadSpec!D16)),"."),".")</f>
        <v>.</v>
      </c>
      <c r="AR16" s="15">
        <f>IFERROR((s_TR/(s_RadSpec!M16*(1/8760)*s_DFA_res_adj)),".")</f>
        <v>2191624473.7885022</v>
      </c>
      <c r="AS16" s="15">
        <f>s_b2w!C16</f>
        <v>5.2031632166965034</v>
      </c>
      <c r="AT16" s="15">
        <f t="shared" si="19"/>
        <v>1.4737181938111472</v>
      </c>
      <c r="AU16" s="40">
        <f t="shared" si="4"/>
        <v>27500</v>
      </c>
      <c r="AV16" s="40">
        <f>IF(s_RadSpec!D16&lt;&gt;"",s_C*s_IFA_res_adj*s_K*s_RadSpec!D16,0)</f>
        <v>0</v>
      </c>
      <c r="AW16" s="40">
        <f t="shared" si="5"/>
        <v>2.5114155251141552</v>
      </c>
      <c r="AX16" s="40">
        <f>s_b2w!AC16</f>
        <v>8167.2097807406062</v>
      </c>
      <c r="AY16" s="18"/>
      <c r="AZ16" s="18"/>
      <c r="BA16" s="18"/>
      <c r="BB16" s="18"/>
      <c r="BC16" s="18"/>
      <c r="BD16" s="15">
        <f>IFERROR(s_TR/(s_RadSpec!H16*s_EF_res*s_ED_res*s_IRF_res*0.001*s_CF_res_fish),".")</f>
        <v>0.28096082984590703</v>
      </c>
      <c r="BE16" s="40">
        <f t="shared" si="6"/>
        <v>151250</v>
      </c>
      <c r="BF16" s="18"/>
    </row>
    <row r="17" spans="1:58" x14ac:dyDescent="0.25">
      <c r="A17" s="44" t="s">
        <v>27</v>
      </c>
      <c r="B17" s="42" t="s">
        <v>1071</v>
      </c>
      <c r="C17" s="249"/>
      <c r="D17" s="15">
        <f>IFERROR(((s_TR/(s_RadSpec!E17*s_IFS_res_adj*(1/1000)))*1),".")</f>
        <v>208751.27077336085</v>
      </c>
      <c r="E17" s="15">
        <f>IFERROR(IF(A17="H-3",(s_TR/((s_RadSpec!F17*s_IFA_res_adj*(1/17)*1000))*1),(s_TR/((s_RadSpec!F17*s_IFA_res_adj*(1/s_PEF_wind)*1000))*1)),".")</f>
        <v>19884117.02184229</v>
      </c>
      <c r="F17" s="15">
        <f>IFERROR((s_TR/(s_RadSpec!G17*s_EF_res*(1/365)*s_ED_res*s_RadSpec!R17*((s_ET_res_o*(1/24)*s_RadSpec!W17)+(s_ET_res_i*(1/24)*s_RadSpec!AB17))))*1,".")</f>
        <v>196.6037768338189</v>
      </c>
      <c r="G17" s="15">
        <f>s_b2s!C17</f>
        <v>7553.7385380777678</v>
      </c>
      <c r="H17" s="15">
        <f>s_dir!C17</f>
        <v>170.50676315076038</v>
      </c>
      <c r="I17" s="15">
        <f t="shared" si="17"/>
        <v>191.43893739328647</v>
      </c>
      <c r="J17" s="40">
        <f t="shared" si="0"/>
        <v>302.5</v>
      </c>
      <c r="K17" s="40">
        <f t="shared" si="1"/>
        <v>3.2362545583179352E-2</v>
      </c>
      <c r="L17" s="40">
        <f>IFERROR((s_C*s_EF_res*(1/365)*s_ED_res*s_RadSpec!R17*((s_ET_res_o*(1/24)*s_RadSpec!W17)+(s_ET_res_i*(1/24)*s_RadSpec!AB17))),".")</f>
        <v>0.2559427880741339</v>
      </c>
      <c r="M17" s="40">
        <f>s_b2s!AC17</f>
        <v>13656.362499999999</v>
      </c>
      <c r="N17" s="18"/>
      <c r="O17" s="18"/>
      <c r="P17" s="18"/>
      <c r="Q17" s="18"/>
      <c r="R17" s="18"/>
      <c r="S17" s="15">
        <f>IFERROR((s_TR/(s_RadSpec!G17*s_EF_res*(1/365)*s_ED_res*s_RadSpec!R17*((s_ET_res_o*(1/24)*s_RadSpec!W17)+(s_ET_res_i*(1/24)*s_RadSpec!AB17))))*1,".")</f>
        <v>196.6037768338189</v>
      </c>
      <c r="T17" s="15">
        <f>IFERROR((s_TR/(s_RadSpec!N17*s_EF_res*(1/365)*s_ED_res*s_RadSpec!S17*((s_ET_res_o*(1/24)*s_RadSpec!X17)+(s_ET_res_i*(1/24)*s_RadSpec!AC17))))*1,".")</f>
        <v>1510.3764993248203</v>
      </c>
      <c r="U17" s="15">
        <f>IFERROR((s_TR/(s_RadSpec!O17*s_EF_res*(1/365)*s_ED_res*s_RadSpec!T17*((s_ET_res_o*(1/24)*s_RadSpec!Y17)+(s_ET_res_i*(1/24)*s_RadSpec!AD17))))*1,".")</f>
        <v>408.57766401245436</v>
      </c>
      <c r="V17" s="15">
        <f>IFERROR((s_TR/(s_RadSpec!P17*s_EF_res*(1/365)*s_ED_res*s_RadSpec!U17*((s_ET_res_o*(1/24)*s_RadSpec!Z17)+(s_ET_res_i*(1/24)*s_RadSpec!AE17))))*1,".")</f>
        <v>245.79950782798039</v>
      </c>
      <c r="W17" s="15">
        <f>IFERROR((s_TR/(s_RadSpec!L17*s_EF_res*(1/365)*s_ED_res*s_RadSpec!Q17*((s_ET_res_o*(1/24)*s_RadSpec!V17)+(s_ET_res_i*(1/24)*s_RadSpec!AA17))))*1,".")</f>
        <v>2933.4828914453938</v>
      </c>
      <c r="X17" s="40">
        <f>IFERROR((s_C*s_EF_res*(1/365)*s_ED_res*s_RadSpec!R17*((s_ET_res_o*(1/24)*s_RadSpec!W17)+(s_ET_res_i*(1/24)*s_RadSpec!AB17))),".")</f>
        <v>0.2559427880741339</v>
      </c>
      <c r="Y17" s="40">
        <f>IFERROR((s_C*s_EF_res*(1/365)*s_ED_res*s_RadSpec!S17*((s_ET_res_o*(1/24)*s_RadSpec!X17)+(s_ET_res_i*(1/24)*s_RadSpec!AC17))),".")</f>
        <v>0.14644472762026117</v>
      </c>
      <c r="Z17" s="40">
        <f>IFERROR((s_C*s_EF_res*(1/365)*s_ED_res*s_RadSpec!T17*((s_ET_res_o*(1/24)*s_RadSpec!Y17)+(s_ET_res_i*(1/24)*s_RadSpec!AD17))),".")</f>
        <v>0.19437473244863013</v>
      </c>
      <c r="AA17" s="40">
        <f>IFERROR((s_C*s_EF_res*(1/365)*s_ED_res*s_RadSpec!U17*((s_ET_res_o*(1/24)*s_RadSpec!Z17)+(s_ET_res_i*(1/24)*s_RadSpec!AE17))),".")</f>
        <v>0.21858732876712333</v>
      </c>
      <c r="AB17" s="40">
        <f>IFERROR((s_C*s_EF_res*(1/365)*s_ED_res*s_RadSpec!Q17*((s_ET_res_o*(1/24)*s_RadSpec!V17)+(s_ET_res_i*(1/24)*s_RadSpec!AA17))),".")</f>
        <v>7.6427100969678322E-2</v>
      </c>
      <c r="AC17" s="18"/>
      <c r="AD17" s="18"/>
      <c r="AE17" s="18"/>
      <c r="AF17" s="18"/>
      <c r="AG17" s="18"/>
      <c r="AH17" s="15">
        <f>IFERROR((s_TR/(s_RadSpec!F17*s_IFA_res_adj)),".")</f>
        <v>64.18292132577848</v>
      </c>
      <c r="AI17" s="15">
        <f>IFERROR((s_TR/(s_RadSpec!K17*s_EF_res*(1/365)*s_ED_res*s_ET_res*(1/24)*s_GSF_a)),".")</f>
        <v>31250.104753401229</v>
      </c>
      <c r="AJ17" s="15">
        <f>IFERROR(IF(AND(AH17&lt;&gt;".",AI17&lt;&gt;"."),1/((1/AH17)+(1/AI17)),IF(AND(AH17&lt;&gt;".",AI17="."),1/((1/AH17)),IF(AND(AH17=".",AI17&lt;&gt;"."),1/((1/AI17)),IF(AND(AH17=".",AI17="."),".")))),".")</f>
        <v>64.051369638168609</v>
      </c>
      <c r="AK17" s="40">
        <f t="shared" si="2"/>
        <v>10026.041666666666</v>
      </c>
      <c r="AL17" s="40">
        <f t="shared" si="3"/>
        <v>1.5696347031963471</v>
      </c>
      <c r="AM17" s="18"/>
      <c r="AN17" s="18"/>
      <c r="AO17" s="18"/>
      <c r="AP17" s="15">
        <f>IFERROR((s_TR/(s_RadSpec!I17*s_IFW_res_adj)),".")</f>
        <v>5278.2007669225723</v>
      </c>
      <c r="AQ17" s="15">
        <f>IFERROR(IF(AND(s_RadSpec!C17=1,s_RadSpec!D17&lt;&gt;0),(s_TR/(s_RadSpec!F17*s_IFA_res_adj*s_K*s_RadSpec!D17)),"."),".")</f>
        <v>743.95058466259979</v>
      </c>
      <c r="AR17" s="15">
        <f>IFERROR((s_TR/(s_RadSpec!M17*(1/8760)*s_DFA_res_adj)),".")</f>
        <v>8927140.5267406031</v>
      </c>
      <c r="AS17" s="15">
        <f>s_b2w!C17</f>
        <v>12630.579411522811</v>
      </c>
      <c r="AT17" s="15">
        <f>(IF(AND(AP17&lt;&gt;".",AQ17&lt;&gt;".",AR17&lt;&gt;".",AS17&lt;&gt;"."),1/((1/AP17)+(1/AQ17)+(1/AR17)+(1/AS17)),IF(AND(AP17&lt;&gt;".",AQ17&lt;&gt;".",AR17&lt;&gt;".",AS17="."), 1/((1/AP17)+(1/AQ17)+(1/AR17)),IF(AND(AP17&lt;&gt;".",AQ17&lt;&gt;".",AR17=".",AS17&lt;&gt;"."),1/((1/AP17)+(1/AQ17)+(1/AS17)),IF(AND(AP17&lt;&gt;".",AQ17=".",AR17&lt;&gt;".",AS17&lt;&gt;"."),1/((1/AP17)+(1/AR17)+(1/AS17)),IF(AND(AP17=".",AQ17&lt;&gt;".",AR17&lt;&gt;".",AS17&lt;&gt;"."),1/((1/AQ17)+(1/AR17)+(1/AS17)),IF(AND(AP17&lt;&gt;".",AQ17&lt;&gt;".",AR17=".",AS17="."),1/((1/AP17)+(1/AQ17)),IF(AND(AP17&lt;&gt;".",AQ17=".",AR17&lt;&gt;".",AS17="."),1/((1/AP17)+(1/AR17)),IF(AND(AP17&lt;&gt;".",AQ17=".",AR17=".",AS17&lt;&gt;"."),1/((1/AP17)+(1/AS17)),IF(AND(AP17=".",AQ17=".",AR17&lt;&gt;".",AS17&lt;&gt;"."),1/((1/AR17)+(1/AS17)),IF(AND(AP17=".",AQ17&lt;&gt;".",AR17=".",AS17&lt;&gt;"."),1/((1/AQ17)+(1/AS17)),IF(AND(AP17=".",AQ17&lt;&gt;".",AR17&lt;&gt;".",AS17="."),1/((1/AQ17)+(1/AR17)),IF(AND(AP17&lt;&gt;".",AQ17=".",AR17=".",AS17="."),1/((1/AP17)),IF(AND(AP17=".",AQ17&lt;&gt;".",AR17=".",AS17="."),1/((1/AQ17)),IF(AND(AP17=".",AQ17=".",AR17&lt;&gt;".",AS17="."),1/((1/AR17)),IF(AND(AP17=".",AQ17=".",AR17=".",AS17&lt;&gt;"."),1/((1/AS17)),IF(AND(AP17=".",AQ17=".",AR17=".",AS17="."),".")))))))))))))))))</f>
        <v>619.99403289145005</v>
      </c>
      <c r="AU17" s="40">
        <f t="shared" si="4"/>
        <v>27500</v>
      </c>
      <c r="AV17" s="40">
        <f>IF(s_RadSpec!D17&lt;&gt;"",s_C*s_IFA_res_adj*s_K*s_RadSpec!D17,0)</f>
        <v>864.97767024739585</v>
      </c>
      <c r="AW17" s="40">
        <f t="shared" si="5"/>
        <v>2.5114155251141552</v>
      </c>
      <c r="AX17" s="40">
        <f>s_b2w!AC17</f>
        <v>8167.2097807406062</v>
      </c>
      <c r="AY17" s="18"/>
      <c r="AZ17" s="18"/>
      <c r="BA17" s="18"/>
      <c r="BB17" s="18"/>
      <c r="BC17" s="18"/>
      <c r="BD17" s="15">
        <f>IFERROR(s_TR/(s_RadSpec!H17*s_EF_res*s_ED_res*s_IRF_res*0.001*s_CF_res_fish),".")</f>
        <v>682.02705260304151</v>
      </c>
      <c r="BE17" s="40">
        <f t="shared" si="6"/>
        <v>151250</v>
      </c>
      <c r="BF17" s="18"/>
    </row>
    <row r="18" spans="1:58" x14ac:dyDescent="0.25">
      <c r="A18" s="44" t="s">
        <v>28</v>
      </c>
      <c r="B18" s="42" t="s">
        <v>1071</v>
      </c>
      <c r="C18" s="249"/>
      <c r="D18" s="15">
        <f>IFERROR(((s_TR/(s_RadSpec!E18*s_IFS_res_adj*(1/1000)))*1),".")</f>
        <v>50.477708412993472</v>
      </c>
      <c r="E18" s="15">
        <f>IFERROR(IF(A18="H-3",(s_TR/((s_RadSpec!F18*s_IFA_res_adj*(1/17)*1000))*1),(s_TR/((s_RadSpec!F18*s_IFA_res_adj*(1/s_PEF_wind)*1000))*1)),".")</f>
        <v>106522.05547415512</v>
      </c>
      <c r="F18" s="15">
        <f>IFERROR((s_TR/(s_RadSpec!G18*s_EF_res*(1/365)*s_ED_res*s_RadSpec!R18*((s_ET_res_o*(1/24)*s_RadSpec!W18)+(s_ET_res_i*(1/24)*s_RadSpec!AB18))))*1,".")</f>
        <v>2207594.1435221666</v>
      </c>
      <c r="G18" s="15">
        <f>s_b2s!C18</f>
        <v>2.1689623101486384</v>
      </c>
      <c r="H18" s="15">
        <f>s_dir!C18</f>
        <v>3.667715266461348E-2</v>
      </c>
      <c r="I18" s="15">
        <f t="shared" si="17"/>
        <v>2.0795618226429542</v>
      </c>
      <c r="J18" s="40">
        <f t="shared" si="0"/>
        <v>302.5</v>
      </c>
      <c r="K18" s="40">
        <f t="shared" si="1"/>
        <v>3.2362545583179352E-2</v>
      </c>
      <c r="L18" s="40">
        <f>IFERROR((s_C*s_EF_res*(1/365)*s_ED_res*s_RadSpec!R18*((s_ET_res_o*(1/24)*s_RadSpec!W18)+(s_ET_res_i*(1/24)*s_RadSpec!AB18))),".")</f>
        <v>0.5025251191841168</v>
      </c>
      <c r="M18" s="40">
        <f>s_b2s!AC18</f>
        <v>10230.549999999999</v>
      </c>
      <c r="N18" s="18"/>
      <c r="O18" s="18"/>
      <c r="P18" s="18"/>
      <c r="Q18" s="18"/>
      <c r="R18" s="18"/>
      <c r="S18" s="15">
        <f>IFERROR((s_TR/(s_RadSpec!G18*s_EF_res*(1/365)*s_ED_res*s_RadSpec!R18*((s_ET_res_o*(1/24)*s_RadSpec!W18)+(s_ET_res_i*(1/24)*s_RadSpec!AB18))))*1,".")</f>
        <v>2207594.1435221666</v>
      </c>
      <c r="T18" s="15">
        <f>IFERROR((s_TR/(s_RadSpec!N18*s_EF_res*(1/365)*s_ED_res*s_RadSpec!S18*((s_ET_res_o*(1/24)*s_RadSpec!X18)+(s_ET_res_i*(1/24)*s_RadSpec!AC18))))*1,".")</f>
        <v>22000529.419718608</v>
      </c>
      <c r="U18" s="15">
        <f>IFERROR((s_TR/(s_RadSpec!O18*s_EF_res*(1/365)*s_ED_res*s_RadSpec!T18*((s_ET_res_o*(1/24)*s_RadSpec!Y18)+(s_ET_res_i*(1/24)*s_RadSpec!AD18))))*1,".")</f>
        <v>5426391.4223511443</v>
      </c>
      <c r="V18" s="15">
        <f>IFERROR((s_TR/(s_RadSpec!P18*s_EF_res*(1/365)*s_ED_res*s_RadSpec!U18*((s_ET_res_o*(1/24)*s_RadSpec!Z18)+(s_ET_res_i*(1/24)*s_RadSpec!AE18))))*1,".")</f>
        <v>2885840.2742966213</v>
      </c>
      <c r="W18" s="15">
        <f>IFERROR((s_TR/(s_RadSpec!L18*s_EF_res*(1/365)*s_ED_res*s_RadSpec!Q18*((s_ET_res_o*(1/24)*s_RadSpec!V18)+(s_ET_res_i*(1/24)*s_RadSpec!AA18))))*1,".")</f>
        <v>38471078.45115196</v>
      </c>
      <c r="X18" s="40">
        <f>IFERROR((s_C*s_EF_res*(1/365)*s_ED_res*s_RadSpec!R18*((s_ET_res_o*(1/24)*s_RadSpec!W18)+(s_ET_res_i*(1/24)*s_RadSpec!AB18))),".")</f>
        <v>0.5025251191841168</v>
      </c>
      <c r="Y18" s="40">
        <f>IFERROR((s_C*s_EF_res*(1/365)*s_ED_res*s_RadSpec!S18*((s_ET_res_o*(1/24)*s_RadSpec!X18)+(s_ET_res_i*(1/24)*s_RadSpec!AC18))),".")</f>
        <v>0.25396606227971363</v>
      </c>
      <c r="Z18" s="40">
        <f>IFERROR((s_C*s_EF_res*(1/365)*s_ED_res*s_RadSpec!T18*((s_ET_res_o*(1/24)*s_RadSpec!Y18)+(s_ET_res_i*(1/24)*s_RadSpec!AD18))),".")</f>
        <v>0.36265553029849845</v>
      </c>
      <c r="AA18" s="40">
        <f>IFERROR((s_C*s_EF_res*(1/365)*s_ED_res*s_RadSpec!U18*((s_ET_res_o*(1/24)*s_RadSpec!Z18)+(s_ET_res_i*(1/24)*s_RadSpec!AE18))),".")</f>
        <v>0.43771590232281099</v>
      </c>
      <c r="AB18" s="40">
        <f>IFERROR((s_C*s_EF_res*(1/365)*s_ED_res*s_RadSpec!Q18*((s_ET_res_o*(1/24)*s_RadSpec!V18)+(s_ET_res_i*(1/24)*s_RadSpec!AA18))),".")</f>
        <v>0.14940794056187603</v>
      </c>
      <c r="AC18" s="18"/>
      <c r="AD18" s="18"/>
      <c r="AE18" s="18"/>
      <c r="AF18" s="18"/>
      <c r="AG18" s="18"/>
      <c r="AH18" s="15">
        <f>IFERROR((s_TR/(s_RadSpec!F18*s_IFA_res_adj)),".")</f>
        <v>0.34383707853095613</v>
      </c>
      <c r="AI18" s="15">
        <f>IFERROR((s_TR/(s_RadSpec!K18*s_EF_res*(1/365)*s_ED_res*s_ET_res*(1/24)*s_GSF_a)),".")</f>
        <v>762048643.84690726</v>
      </c>
      <c r="AJ18" s="15">
        <f t="shared" ref="AJ18" si="20">IFERROR(IF(AND(AH18&lt;&gt;".",AI18&lt;&gt;"."),1/((1/AH18)+(1/AI18)),IF(AND(AH18&lt;&gt;".",AI18="."),1/((1/AH18)),IF(AND(AH18=".",AI18&lt;&gt;"."),1/((1/AI18)),IF(AND(AH18=".",AI18="."),".")))),".")</f>
        <v>0.34383707837581651</v>
      </c>
      <c r="AK18" s="40">
        <f t="shared" si="2"/>
        <v>10026.041666666666</v>
      </c>
      <c r="AL18" s="40">
        <f t="shared" si="3"/>
        <v>1.5696347031963471</v>
      </c>
      <c r="AM18" s="18"/>
      <c r="AN18" s="18"/>
      <c r="AO18" s="18"/>
      <c r="AP18" s="15">
        <f>IFERROR((s_TR/(s_RadSpec!I18*s_IFW_res_adj)),".")</f>
        <v>1.0237510237510239</v>
      </c>
      <c r="AQ18" s="15" t="str">
        <f>IFERROR(IF(AND(s_RadSpec!C18=1,s_RadSpec!D18&lt;&gt;0),(s_TR/(s_RadSpec!F18*s_IFA_res_adj*s_K*s_RadSpec!D18)),"."),".")</f>
        <v>.</v>
      </c>
      <c r="AR18" s="15">
        <f>IFERROR((s_TR/(s_RadSpec!M18*(1/8760)*s_DFA_res_adj)),".")</f>
        <v>219444509730.68918</v>
      </c>
      <c r="AS18" s="15">
        <f>s_b2w!C18</f>
        <v>2.9639594254894632</v>
      </c>
      <c r="AT18" s="15">
        <f t="shared" ref="AT18" si="21">(IF(AND(AP18&lt;&gt;".",AQ18&lt;&gt;".",AR18&lt;&gt;".",AS18&lt;&gt;"."),1/((1/AP18)+(1/AQ18)+(1/AR18)+(1/AS18)),IF(AND(AP18&lt;&gt;".",AQ18&lt;&gt;".",AR18&lt;&gt;".",AS18="."), 1/((1/AP18)+(1/AQ18)+(1/AR18)),IF(AND(AP18&lt;&gt;".",AQ18&lt;&gt;".",AR18=".",AS18&lt;&gt;"."),1/((1/AP18)+(1/AQ18)+(1/AS18)),IF(AND(AP18&lt;&gt;".",AQ18=".",AR18&lt;&gt;".",AS18&lt;&gt;"."),1/((1/AP18)+(1/AR18)+(1/AS18)),IF(AND(AP18=".",AQ18&lt;&gt;".",AR18&lt;&gt;".",AS18&lt;&gt;"."),1/((1/AQ18)+(1/AR18)+(1/AS18)),IF(AND(AP18&lt;&gt;".",AQ18&lt;&gt;".",AR18=".",AS18="."),1/((1/AP18)+(1/AQ18)),IF(AND(AP18&lt;&gt;".",AQ18=".",AR18&lt;&gt;".",AS18="."),1/((1/AP18)+(1/AR18)),IF(AND(AP18&lt;&gt;".",AQ18=".",AR18=".",AS18&lt;&gt;"."),1/((1/AP18)+(1/AS18)),IF(AND(AP18=".",AQ18=".",AR18&lt;&gt;".",AS18&lt;&gt;"."),1/((1/AR18)+(1/AS18)),IF(AND(AP18=".",AQ18&lt;&gt;".",AR18=".",AS18&lt;&gt;"."),1/((1/AQ18)+(1/AS18)),IF(AND(AP18=".",AQ18&lt;&gt;".",AR18&lt;&gt;".",AS18="."),1/((1/AQ18)+(1/AR18)),IF(AND(AP18&lt;&gt;".",AQ18=".",AR18=".",AS18="."),1/((1/AP18)),IF(AND(AP18=".",AQ18&lt;&gt;".",AR18=".",AS18="."),1/((1/AQ18)),IF(AND(AP18=".",AQ18=".",AR18&lt;&gt;".",AS18="."),1/((1/AR18)),IF(AND(AP18=".",AQ18=".",AR18=".",AS18&lt;&gt;"."),1/((1/AS18)),IF(AND(AP18=".",AQ18=".",AR18=".",AS18="."),".")))))))))))))))))</f>
        <v>0.7609269867547046</v>
      </c>
      <c r="AU18" s="40">
        <f t="shared" si="4"/>
        <v>27500</v>
      </c>
      <c r="AV18" s="40">
        <f>IF(s_RadSpec!D18&lt;&gt;"",s_C*s_IFA_res_adj*s_K*s_RadSpec!D18,0)</f>
        <v>0</v>
      </c>
      <c r="AW18" s="40">
        <f t="shared" si="5"/>
        <v>2.5114155251141552</v>
      </c>
      <c r="AX18" s="40">
        <f>s_b2w!AC18</f>
        <v>7486.4983546212979</v>
      </c>
      <c r="AY18" s="18"/>
      <c r="AZ18" s="18"/>
      <c r="BA18" s="18"/>
      <c r="BB18" s="18"/>
      <c r="BC18" s="18"/>
      <c r="BD18" s="15">
        <f>IFERROR(s_TR/(s_RadSpec!H18*s_EF_res*s_ED_res*s_IRF_res*0.001*s_CF_res_fish),".")</f>
        <v>0.14670861065845392</v>
      </c>
      <c r="BE18" s="40">
        <f t="shared" si="6"/>
        <v>151250</v>
      </c>
      <c r="BF18" s="18"/>
    </row>
    <row r="19" spans="1:58" x14ac:dyDescent="0.25">
      <c r="A19" s="44" t="s">
        <v>29</v>
      </c>
      <c r="B19" s="42" t="s">
        <v>1071</v>
      </c>
      <c r="C19" s="42"/>
      <c r="D19" s="15" t="str">
        <f>IFERROR(((s_TR/(s_RadSpec!E19*s_IFS_res_adj*(1/1000)))*1),".")</f>
        <v>.</v>
      </c>
      <c r="E19" s="15" t="str">
        <f>IFERROR(IF(A19="H-3",(s_TR/((s_RadSpec!F19*s_IFA_res_adj*(1/17)*1000))*1),(s_TR/((s_RadSpec!F19*s_IFA_res_adj*(1/s_PEF_wind)*1000))*1)),".")</f>
        <v>.</v>
      </c>
      <c r="F19" s="15">
        <f>IFERROR((s_TR/(s_RadSpec!G19*s_EF_res*(1/365)*s_ED_res*s_RadSpec!R19*((s_ET_res_o*(1/24)*s_RadSpec!W19)+(s_ET_res_i*(1/24)*s_RadSpec!AB19))))*1,".")</f>
        <v>587506.60988743382</v>
      </c>
      <c r="G19" s="15" t="str">
        <f>s_b2s!C19</f>
        <v>.</v>
      </c>
      <c r="H19" s="15" t="str">
        <f>s_dir!C19</f>
        <v>.</v>
      </c>
      <c r="I19" s="15">
        <f t="shared" si="17"/>
        <v>587506.60988743382</v>
      </c>
      <c r="J19" s="40">
        <f t="shared" si="0"/>
        <v>302.5</v>
      </c>
      <c r="K19" s="40">
        <f t="shared" si="1"/>
        <v>3.2362545583179352E-2</v>
      </c>
      <c r="L19" s="40">
        <f>IFERROR((s_C*s_EF_res*(1/365)*s_ED_res*s_RadSpec!R19*((s_ET_res_o*(1/24)*s_RadSpec!W19)+(s_ET_res_i*(1/24)*s_RadSpec!AB19))),".")</f>
        <v>0.49248140900195692</v>
      </c>
      <c r="M19" s="40">
        <f>s_b2s!AC19</f>
        <v>10230.549999999999</v>
      </c>
      <c r="N19" s="18"/>
      <c r="O19" s="18"/>
      <c r="P19" s="18"/>
      <c r="Q19" s="18"/>
      <c r="R19" s="18"/>
      <c r="S19" s="15">
        <f>IFERROR((s_TR/(s_RadSpec!G19*s_EF_res*(1/365)*s_ED_res*s_RadSpec!R19*((s_ET_res_o*(1/24)*s_RadSpec!W19)+(s_ET_res_i*(1/24)*s_RadSpec!AB19))))*1,".")</f>
        <v>587506.60988743382</v>
      </c>
      <c r="T19" s="15">
        <f>IFERROR((s_TR/(s_RadSpec!N19*s_EF_res*(1/365)*s_ED_res*s_RadSpec!S19*((s_ET_res_o*(1/24)*s_RadSpec!X19)+(s_ET_res_i*(1/24)*s_RadSpec!AC19))))*1,".")</f>
        <v>5826313.5880488483</v>
      </c>
      <c r="U19" s="15">
        <f>IFERROR((s_TR/(s_RadSpec!O19*s_EF_res*(1/365)*s_ED_res*s_RadSpec!T19*((s_ET_res_o*(1/24)*s_RadSpec!Y19)+(s_ET_res_i*(1/24)*s_RadSpec!AD19))))*1,".")</f>
        <v>1434121.4247567679</v>
      </c>
      <c r="V19" s="15">
        <f>IFERROR((s_TR/(s_RadSpec!P19*s_EF_res*(1/365)*s_ED_res*s_RadSpec!U19*((s_ET_res_o*(1/24)*s_RadSpec!Z19)+(s_ET_res_i*(1/24)*s_RadSpec!AE19))))*1,".")</f>
        <v>768055.78405741183</v>
      </c>
      <c r="W19" s="15">
        <f>IFERROR((s_TR/(s_RadSpec!L19*s_EF_res*(1/365)*s_ED_res*s_RadSpec!Q19*((s_ET_res_o*(1/24)*s_RadSpec!V19)+(s_ET_res_i*(1/24)*s_RadSpec!AA19))))*1,".")</f>
        <v>10311768.787602646</v>
      </c>
      <c r="X19" s="40">
        <f>IFERROR((s_C*s_EF_res*(1/365)*s_ED_res*s_RadSpec!R19*((s_ET_res_o*(1/24)*s_RadSpec!W19)+(s_ET_res_i*(1/24)*s_RadSpec!AB19))),".")</f>
        <v>0.49248140900195692</v>
      </c>
      <c r="Y19" s="40">
        <f>IFERROR((s_C*s_EF_res*(1/365)*s_ED_res*s_RadSpec!S19*((s_ET_res_o*(1/24)*s_RadSpec!X19)+(s_ET_res_i*(1/24)*s_RadSpec!AC19))),".")</f>
        <v>0.24830115875398759</v>
      </c>
      <c r="Z19" s="40">
        <f>IFERROR((s_C*s_EF_res*(1/365)*s_ED_res*s_RadSpec!T19*((s_ET_res_o*(1/24)*s_RadSpec!Y19)+(s_ET_res_i*(1/24)*s_RadSpec!AD19))),".")</f>
        <v>0.35819596006501025</v>
      </c>
      <c r="AA19" s="40">
        <f>IFERROR((s_C*s_EF_res*(1/365)*s_ED_res*s_RadSpec!U19*((s_ET_res_o*(1/24)*s_RadSpec!Z19)+(s_ET_res_i*(1/24)*s_RadSpec!AE19))),".")</f>
        <v>0.42887249736564814</v>
      </c>
      <c r="AB19" s="40">
        <f>IFERROR((s_C*s_EF_res*(1/365)*s_ED_res*s_RadSpec!Q19*((s_ET_res_o*(1/24)*s_RadSpec!V19)+(s_ET_res_i*(1/24)*s_RadSpec!AA19))),".")</f>
        <v>0.14419116767362553</v>
      </c>
      <c r="AC19" s="18"/>
      <c r="AD19" s="18"/>
      <c r="AE19" s="18"/>
      <c r="AF19" s="18"/>
      <c r="AG19" s="18"/>
      <c r="AH19" s="15" t="str">
        <f>IFERROR((s_TR/(s_RadSpec!F19*s_IFA_res_adj)),".")</f>
        <v>.</v>
      </c>
      <c r="AI19" s="15">
        <f>IFERROR((s_TR/(s_RadSpec!K19*s_EF_res*(1/365)*s_ED_res*s_ET_res*(1/24)*s_GSF_a)),".")</f>
        <v>197690880.0704295</v>
      </c>
      <c r="AJ19" s="15">
        <f t="shared" ref="AJ19:AJ20" si="22">IFERROR(IF(AND(AH19&lt;&gt;".",AI19&lt;&gt;"."),1/((1/AH19)+(1/AI19)),IF(AND(AH19&lt;&gt;".",AI19="."),1/((1/AH19)),IF(AND(AH19=".",AI19&lt;&gt;"."),1/((1/AI19)),IF(AND(AH19=".",AI19="."),".")))),".")</f>
        <v>197690880.0704295</v>
      </c>
      <c r="AK19" s="40">
        <f t="shared" si="2"/>
        <v>10026.041666666666</v>
      </c>
      <c r="AL19" s="40">
        <f t="shared" si="3"/>
        <v>1.5696347031963471</v>
      </c>
      <c r="AM19" s="18"/>
      <c r="AN19" s="18"/>
      <c r="AO19" s="18"/>
      <c r="AP19" s="15" t="str">
        <f>IFERROR((s_TR/(s_RadSpec!I19*s_IFW_res_adj)),".")</f>
        <v>.</v>
      </c>
      <c r="AQ19" s="15" t="str">
        <f>IFERROR(IF(AND(s_RadSpec!C19=1,s_RadSpec!D19&lt;&gt;0),(s_TR/(s_RadSpec!F19*s_IFA_res_adj*s_K*s_RadSpec!D19)),"."),".")</f>
        <v>.</v>
      </c>
      <c r="AR19" s="15">
        <f>IFERROR((s_TR/(s_RadSpec!M19*(1/8760)*s_DFA_res_adj)),".")</f>
        <v>57026215404.931595</v>
      </c>
      <c r="AS19" s="15" t="str">
        <f>s_b2w!C19</f>
        <v>.</v>
      </c>
      <c r="AT19" s="15">
        <f t="shared" ref="AT19:AT20" si="23">(IF(AND(AP19&lt;&gt;".",AQ19&lt;&gt;".",AR19&lt;&gt;".",AS19&lt;&gt;"."),1/((1/AP19)+(1/AQ19)+(1/AR19)+(1/AS19)),IF(AND(AP19&lt;&gt;".",AQ19&lt;&gt;".",AR19&lt;&gt;".",AS19="."), 1/((1/AP19)+(1/AQ19)+(1/AR19)),IF(AND(AP19&lt;&gt;".",AQ19&lt;&gt;".",AR19=".",AS19&lt;&gt;"."),1/((1/AP19)+(1/AQ19)+(1/AS19)),IF(AND(AP19&lt;&gt;".",AQ19=".",AR19&lt;&gt;".",AS19&lt;&gt;"."),1/((1/AP19)+(1/AR19)+(1/AS19)),IF(AND(AP19=".",AQ19&lt;&gt;".",AR19&lt;&gt;".",AS19&lt;&gt;"."),1/((1/AQ19)+(1/AR19)+(1/AS19)),IF(AND(AP19&lt;&gt;".",AQ19&lt;&gt;".",AR19=".",AS19="."),1/((1/AP19)+(1/AQ19)),IF(AND(AP19&lt;&gt;".",AQ19=".",AR19&lt;&gt;".",AS19="."),1/((1/AP19)+(1/AR19)),IF(AND(AP19&lt;&gt;".",AQ19=".",AR19=".",AS19&lt;&gt;"."),1/((1/AP19)+(1/AS19)),IF(AND(AP19=".",AQ19=".",AR19&lt;&gt;".",AS19&lt;&gt;"."),1/((1/AR19)+(1/AS19)),IF(AND(AP19=".",AQ19&lt;&gt;".",AR19=".",AS19&lt;&gt;"."),1/((1/AQ19)+(1/AS19)),IF(AND(AP19=".",AQ19&lt;&gt;".",AR19&lt;&gt;".",AS19="."),1/((1/AQ19)+(1/AR19)),IF(AND(AP19&lt;&gt;".",AQ19=".",AR19=".",AS19="."),1/((1/AP19)),IF(AND(AP19=".",AQ19&lt;&gt;".",AR19=".",AS19="."),1/((1/AQ19)),IF(AND(AP19=".",AQ19=".",AR19&lt;&gt;".",AS19="."),1/((1/AR19)),IF(AND(AP19=".",AQ19=".",AR19=".",AS19&lt;&gt;"."),1/((1/AS19)),IF(AND(AP19=".",AQ19=".",AR19=".",AS19="."),".")))))))))))))))))</f>
        <v>57026215404.931595</v>
      </c>
      <c r="AU19" s="40">
        <f t="shared" si="4"/>
        <v>27500</v>
      </c>
      <c r="AV19" s="40">
        <f>IF(s_RadSpec!D19&lt;&gt;"",s_C*s_IFA_res_adj*s_K*s_RadSpec!D19,0)</f>
        <v>0</v>
      </c>
      <c r="AW19" s="40">
        <f t="shared" si="5"/>
        <v>2.5114155251141552</v>
      </c>
      <c r="AX19" s="40">
        <f>s_b2w!AC19</f>
        <v>7486.4983546212979</v>
      </c>
      <c r="AY19" s="18"/>
      <c r="AZ19" s="18"/>
      <c r="BA19" s="18"/>
      <c r="BB19" s="18"/>
      <c r="BC19" s="18"/>
      <c r="BD19" s="15" t="str">
        <f>IFERROR(s_TR/(s_RadSpec!H19*s_EF_res*s_ED_res*s_IRF_res*0.001*s_CF_res_fish),".")</f>
        <v>.</v>
      </c>
      <c r="BE19" s="40">
        <f t="shared" si="6"/>
        <v>151250</v>
      </c>
      <c r="BF19" s="18"/>
    </row>
    <row r="20" spans="1:58" x14ac:dyDescent="0.25">
      <c r="A20" s="44" t="s">
        <v>30</v>
      </c>
      <c r="B20" s="42" t="s">
        <v>1071</v>
      </c>
      <c r="C20" s="249"/>
      <c r="D20" s="15" t="str">
        <f>IFERROR(((s_TR/(s_RadSpec!E20*s_IFS_res_adj*(1/1000)))*1),".")</f>
        <v>.</v>
      </c>
      <c r="E20" s="15" t="str">
        <f>IFERROR(IF(A20="H-3",(s_TR/((s_RadSpec!F20*s_IFA_res_adj*(1/17)*1000))*1),(s_TR/((s_RadSpec!F20*s_IFA_res_adj*(1/s_PEF_wind)*1000))*1)),".")</f>
        <v>.</v>
      </c>
      <c r="F20" s="15">
        <f>IFERROR((s_TR/(s_RadSpec!G20*s_EF_res*(1/365)*s_ED_res*s_RadSpec!R20*((s_ET_res_o*(1/24)*s_RadSpec!W20)+(s_ET_res_i*(1/24)*s_RadSpec!AB20))))*1,".")</f>
        <v>259088.91381810425</v>
      </c>
      <c r="G20" s="15" t="str">
        <f>s_b2s!C20</f>
        <v>.</v>
      </c>
      <c r="H20" s="15" t="str">
        <f>s_dir!C20</f>
        <v>.</v>
      </c>
      <c r="I20" s="15">
        <f t="shared" si="17"/>
        <v>259088.91381810428</v>
      </c>
      <c r="J20" s="40">
        <f t="shared" si="0"/>
        <v>302.5</v>
      </c>
      <c r="K20" s="40">
        <f t="shared" si="1"/>
        <v>3.2362545583179352E-2</v>
      </c>
      <c r="L20" s="40">
        <f>IFERROR((s_C*s_EF_res*(1/365)*s_ED_res*s_RadSpec!R20*((s_ET_res_o*(1/24)*s_RadSpec!W20)+(s_ET_res_i*(1/24)*s_RadSpec!AB20))),".")</f>
        <v>0.50084292472814607</v>
      </c>
      <c r="M20" s="40">
        <f>s_b2s!AC20</f>
        <v>10230.549999999999</v>
      </c>
      <c r="N20" s="18"/>
      <c r="O20" s="18"/>
      <c r="P20" s="18"/>
      <c r="Q20" s="18"/>
      <c r="R20" s="18"/>
      <c r="S20" s="15">
        <f>IFERROR((s_TR/(s_RadSpec!G20*s_EF_res*(1/365)*s_ED_res*s_RadSpec!R20*((s_ET_res_o*(1/24)*s_RadSpec!W20)+(s_ET_res_i*(1/24)*s_RadSpec!AB20))))*1,".")</f>
        <v>259088.91381810425</v>
      </c>
      <c r="T20" s="15">
        <f>IFERROR((s_TR/(s_RadSpec!N20*s_EF_res*(1/365)*s_ED_res*s_RadSpec!S20*((s_ET_res_o*(1/24)*s_RadSpec!X20)+(s_ET_res_i*(1/24)*s_RadSpec!AC20))))*1,".")</f>
        <v>2582916.6540380456</v>
      </c>
      <c r="U20" s="15">
        <f>IFERROR((s_TR/(s_RadSpec!O20*s_EF_res*(1/365)*s_ED_res*s_RadSpec!T20*((s_ET_res_o*(1/24)*s_RadSpec!Y20)+(s_ET_res_i*(1/24)*s_RadSpec!AD20))))*1,".")</f>
        <v>641167.76579618885</v>
      </c>
      <c r="V20" s="15">
        <f>IFERROR((s_TR/(s_RadSpec!P20*s_EF_res*(1/365)*s_ED_res*s_RadSpec!U20*((s_ET_res_o*(1/24)*s_RadSpec!Z20)+(s_ET_res_i*(1/24)*s_RadSpec!AE20))))*1,".")</f>
        <v>342770.89819299371</v>
      </c>
      <c r="W20" s="15">
        <f>IFERROR((s_TR/(s_RadSpec!L20*s_EF_res*(1/365)*s_ED_res*s_RadSpec!Q20*((s_ET_res_o*(1/24)*s_RadSpec!V20)+(s_ET_res_i*(1/24)*s_RadSpec!AA20))))*1,".")</f>
        <v>4517448.9977753693</v>
      </c>
      <c r="X20" s="40">
        <f>IFERROR((s_C*s_EF_res*(1/365)*s_ED_res*s_RadSpec!R20*((s_ET_res_o*(1/24)*s_RadSpec!W20)+(s_ET_res_i*(1/24)*s_RadSpec!AB20))),".")</f>
        <v>0.50084292472814607</v>
      </c>
      <c r="Y20" s="40">
        <f>IFERROR((s_C*s_EF_res*(1/365)*s_ED_res*s_RadSpec!S20*((s_ET_res_o*(1/24)*s_RadSpec!X20)+(s_ET_res_i*(1/24)*s_RadSpec!AC20))),".")</f>
        <v>0.25396494512039475</v>
      </c>
      <c r="Z20" s="40">
        <f>IFERROR((s_C*s_EF_res*(1/365)*s_ED_res*s_RadSpec!T20*((s_ET_res_o*(1/24)*s_RadSpec!Y20)+(s_ET_res_i*(1/24)*s_RadSpec!AD20))),".")</f>
        <v>0.36297340854149868</v>
      </c>
      <c r="AA20" s="40">
        <f>IFERROR((s_C*s_EF_res*(1/365)*s_ED_res*s_RadSpec!U20*((s_ET_res_o*(1/24)*s_RadSpec!Z20)+(s_ET_res_i*(1/24)*s_RadSpec!AE20))),".")</f>
        <v>0.43227739726027375</v>
      </c>
      <c r="AB20" s="40">
        <f>IFERROR((s_C*s_EF_res*(1/365)*s_ED_res*s_RadSpec!Q20*((s_ET_res_o*(1/24)*s_RadSpec!V20)+(s_ET_res_i*(1/24)*s_RadSpec!AA20))),".")</f>
        <v>0.14904380849043805</v>
      </c>
      <c r="AC20" s="18"/>
      <c r="AD20" s="18"/>
      <c r="AE20" s="18"/>
      <c r="AF20" s="18"/>
      <c r="AG20" s="18"/>
      <c r="AH20" s="15" t="str">
        <f>IFERROR((s_TR/(s_RadSpec!F20*s_IFA_res_adj)),".")</f>
        <v>.</v>
      </c>
      <c r="AI20" s="15">
        <f>IFERROR((s_TR/(s_RadSpec!K20*s_EF_res*(1/365)*s_ED_res*s_ET_res*(1/24)*s_GSF_a)),".")</f>
        <v>89154710.619997621</v>
      </c>
      <c r="AJ20" s="15">
        <f t="shared" si="22"/>
        <v>89154710.619997621</v>
      </c>
      <c r="AK20" s="40">
        <f t="shared" si="2"/>
        <v>10026.041666666666</v>
      </c>
      <c r="AL20" s="40">
        <f t="shared" si="3"/>
        <v>1.5696347031963471</v>
      </c>
      <c r="AM20" s="18"/>
      <c r="AN20" s="18"/>
      <c r="AO20" s="18"/>
      <c r="AP20" s="15" t="str">
        <f>IFERROR((s_TR/(s_RadSpec!I20*s_IFW_res_adj)),".")</f>
        <v>.</v>
      </c>
      <c r="AQ20" s="15" t="str">
        <f>IFERROR(IF(AND(s_RadSpec!C20=1,s_RadSpec!D20&lt;&gt;0),(s_TR/(s_RadSpec!F20*s_IFA_res_adj*s_K*s_RadSpec!D20)),"."),".")</f>
        <v>.</v>
      </c>
      <c r="AR20" s="15">
        <f>IFERROR((s_TR/(s_RadSpec!M20*(1/8760)*s_DFA_res_adj)),".")</f>
        <v>25717704986.537777</v>
      </c>
      <c r="AS20" s="15" t="str">
        <f>s_b2w!C20</f>
        <v>.</v>
      </c>
      <c r="AT20" s="15">
        <f t="shared" si="23"/>
        <v>25717704986.537777</v>
      </c>
      <c r="AU20" s="40">
        <f t="shared" si="4"/>
        <v>27500</v>
      </c>
      <c r="AV20" s="40">
        <f>IF(s_RadSpec!D20&lt;&gt;"",s_C*s_IFA_res_adj*s_K*s_RadSpec!D20,0)</f>
        <v>255.18501822916667</v>
      </c>
      <c r="AW20" s="40">
        <f t="shared" si="5"/>
        <v>2.5114155251141552</v>
      </c>
      <c r="AX20" s="40">
        <f>s_b2w!AC20</f>
        <v>7486.4983546212979</v>
      </c>
      <c r="AY20" s="18"/>
      <c r="AZ20" s="18"/>
      <c r="BA20" s="18"/>
      <c r="BB20" s="18"/>
      <c r="BC20" s="18"/>
      <c r="BD20" s="15" t="str">
        <f>IFERROR(s_TR/(s_RadSpec!H20*s_EF_res*s_ED_res*s_IRF_res*0.001*s_CF_res_fish),".")</f>
        <v>.</v>
      </c>
      <c r="BE20" s="40">
        <f t="shared" si="6"/>
        <v>151250</v>
      </c>
      <c r="BF20" s="18"/>
    </row>
    <row r="21" spans="1:58" x14ac:dyDescent="0.25">
      <c r="A21" s="44" t="s">
        <v>31</v>
      </c>
      <c r="B21" s="42" t="s">
        <v>1071</v>
      </c>
      <c r="C21" s="249"/>
      <c r="D21" s="15" t="str">
        <f>IFERROR(((s_TR/(s_RadSpec!E21*s_IFS_res_adj*(1/1000)))*1),".")</f>
        <v>.</v>
      </c>
      <c r="E21" s="15">
        <f>IFERROR(IF(A21="H-3",(s_TR/((s_RadSpec!F21*s_IFA_res_adj*(1/17)*1000))*1),(s_TR/((s_RadSpec!F21*s_IFA_res_adj*(1/s_PEF_wind)*1000))*1)),".")</f>
        <v>111150783.64008242</v>
      </c>
      <c r="F21" s="15" t="str">
        <f>IFERROR((s_TR/(s_RadSpec!G21*s_EF_res*(1/365)*s_ED_res*s_RadSpec!R21*((s_ET_res_o*(1/24)*s_RadSpec!W21)+(s_ET_res_i*(1/24)*s_RadSpec!AB21))))*1,".")</f>
        <v>.</v>
      </c>
      <c r="G21" s="15" t="str">
        <f>s_b2s!C21</f>
        <v>.</v>
      </c>
      <c r="H21" s="15" t="str">
        <f>s_dir!C21</f>
        <v>.</v>
      </c>
      <c r="I21" s="15">
        <f t="shared" si="17"/>
        <v>111150783.64008242</v>
      </c>
      <c r="J21" s="40">
        <f t="shared" si="0"/>
        <v>302.5</v>
      </c>
      <c r="K21" s="40">
        <f t="shared" si="1"/>
        <v>3.2362545583179352E-2</v>
      </c>
      <c r="L21" s="40">
        <f>IFERROR((s_C*s_EF_res*(1/365)*s_ED_res*s_RadSpec!R21*((s_ET_res_o*(1/24)*s_RadSpec!W21)+(s_ET_res_i*(1/24)*s_RadSpec!AB21))),".")</f>
        <v>0</v>
      </c>
      <c r="M21" s="40">
        <f>s_b2s!AC21</f>
        <v>10230.549999999999</v>
      </c>
      <c r="N21" s="18"/>
      <c r="O21" s="18"/>
      <c r="P21" s="18"/>
      <c r="Q21" s="18"/>
      <c r="R21" s="18"/>
      <c r="S21" s="15" t="str">
        <f>IFERROR((s_TR/(s_RadSpec!G21*s_EF_res*(1/365)*s_ED_res*s_RadSpec!R21*((s_ET_res_o*(1/24)*s_RadSpec!W21)+(s_ET_res_i*(1/24)*s_RadSpec!AB21))))*1,".")</f>
        <v>.</v>
      </c>
      <c r="T21" s="15" t="str">
        <f>IFERROR((s_TR/(s_RadSpec!N21*s_EF_res*(1/365)*s_ED_res*s_RadSpec!S21*((s_ET_res_o*(1/24)*s_RadSpec!X21)+(s_ET_res_i*(1/24)*s_RadSpec!AC21))))*1,".")</f>
        <v>.</v>
      </c>
      <c r="U21" s="15" t="str">
        <f>IFERROR((s_TR/(s_RadSpec!O21*s_EF_res*(1/365)*s_ED_res*s_RadSpec!T21*((s_ET_res_o*(1/24)*s_RadSpec!Y21)+(s_ET_res_i*(1/24)*s_RadSpec!AD21))))*1,".")</f>
        <v>.</v>
      </c>
      <c r="V21" s="15" t="str">
        <f>IFERROR((s_TR/(s_RadSpec!P21*s_EF_res*(1/365)*s_ED_res*s_RadSpec!U21*((s_ET_res_o*(1/24)*s_RadSpec!Z21)+(s_ET_res_i*(1/24)*s_RadSpec!AE21))))*1,".")</f>
        <v>.</v>
      </c>
      <c r="W21" s="15" t="str">
        <f>IFERROR((s_TR/(s_RadSpec!L21*s_EF_res*(1/365)*s_ED_res*s_RadSpec!Q21*((s_ET_res_o*(1/24)*s_RadSpec!V21)+(s_ET_res_i*(1/24)*s_RadSpec!AA21))))*1,".")</f>
        <v>.</v>
      </c>
      <c r="X21" s="40">
        <f>IFERROR((s_C*s_EF_res*(1/365)*s_ED_res*s_RadSpec!R21*((s_ET_res_o*(1/24)*s_RadSpec!W21)+(s_ET_res_i*(1/24)*s_RadSpec!AB21))),".")</f>
        <v>0</v>
      </c>
      <c r="Y21" s="40">
        <f>IFERROR((s_C*s_EF_res*(1/365)*s_ED_res*s_RadSpec!S21*((s_ET_res_o*(1/24)*s_RadSpec!X21)+(s_ET_res_i*(1/24)*s_RadSpec!AC21))),".")</f>
        <v>0</v>
      </c>
      <c r="Z21" s="40">
        <f>IFERROR((s_C*s_EF_res*(1/365)*s_ED_res*s_RadSpec!T21*((s_ET_res_o*(1/24)*s_RadSpec!Y21)+(s_ET_res_i*(1/24)*s_RadSpec!AD21))),".")</f>
        <v>0</v>
      </c>
      <c r="AA21" s="40">
        <f>IFERROR((s_C*s_EF_res*(1/365)*s_ED_res*s_RadSpec!U21*((s_ET_res_o*(1/24)*s_RadSpec!Z21)+(s_ET_res_i*(1/24)*s_RadSpec!AE21))),".")</f>
        <v>0</v>
      </c>
      <c r="AB21" s="40">
        <f>IFERROR((s_C*s_EF_res*(1/365)*s_ED_res*s_RadSpec!Q21*((s_ET_res_o*(1/24)*s_RadSpec!V21)+(s_ET_res_i*(1/24)*s_RadSpec!AA21))),".")</f>
        <v>0</v>
      </c>
      <c r="AC21" s="18"/>
      <c r="AD21" s="18"/>
      <c r="AE21" s="18"/>
      <c r="AF21" s="18"/>
      <c r="AG21" s="18"/>
      <c r="AH21" s="15">
        <f>IFERROR((s_TR/(s_RadSpec!F21*s_IFA_res_adj)),".")</f>
        <v>358.7779127347473</v>
      </c>
      <c r="AI21" s="15">
        <f>IFERROR((s_TR/(s_RadSpec!K21*s_EF_res*(1/365)*s_ED_res*s_ET_res*(1/24)*s_GSF_a)),".")</f>
        <v>807140279577.49329</v>
      </c>
      <c r="AJ21" s="15">
        <f>IFERROR(IF(AND(AH21&lt;&gt;".",AI21&lt;&gt;"."),1/((1/AH21)+(1/AI21)),IF(AND(AH21&lt;&gt;".",AI21="."),1/((1/AH21)),IF(AND(AH21=".",AI21&lt;&gt;"."),1/((1/AI21)),IF(AND(AH21=".",AI21="."),".")))),".")</f>
        <v>358.77791257526872</v>
      </c>
      <c r="AK21" s="40">
        <f t="shared" si="2"/>
        <v>10026.041666666666</v>
      </c>
      <c r="AL21" s="40">
        <f t="shared" si="3"/>
        <v>1.5696347031963471</v>
      </c>
      <c r="AM21" s="18"/>
      <c r="AN21" s="18"/>
      <c r="AO21" s="18"/>
      <c r="AP21" s="15" t="str">
        <f>IFERROR((s_TR/(s_RadSpec!I21*s_IFW_res_adj)),".")</f>
        <v>.</v>
      </c>
      <c r="AQ21" s="15">
        <f>IFERROR(IF(AND(s_RadSpec!C21=1,s_RadSpec!D21&lt;&gt;0),(s_TR/(s_RadSpec!F21*s_IFA_res_adj*s_K*s_RadSpec!D21)),"."),".")</f>
        <v>984.98616869161106</v>
      </c>
      <c r="AR21" s="15">
        <f>IFERROR((s_TR/(s_RadSpec!M21*(1/8760)*s_DFA_res_adj)),".")</f>
        <v>393783796907033.44</v>
      </c>
      <c r="AS21" s="15" t="str">
        <f>s_b2w!C21</f>
        <v>.</v>
      </c>
      <c r="AT21" s="15">
        <f>(IF(AND(AP21&lt;&gt;".",AQ21&lt;&gt;".",AR21&lt;&gt;".",AS21&lt;&gt;"."),1/((1/AP21)+(1/AQ21)+(1/AR21)+(1/AS21)),IF(AND(AP21&lt;&gt;".",AQ21&lt;&gt;".",AR21&lt;&gt;".",AS21="."), 1/((1/AP21)+(1/AQ21)+(1/AR21)),IF(AND(AP21&lt;&gt;".",AQ21&lt;&gt;".",AR21=".",AS21&lt;&gt;"."),1/((1/AP21)+(1/AQ21)+(1/AS21)),IF(AND(AP21&lt;&gt;".",AQ21=".",AR21&lt;&gt;".",AS21&lt;&gt;"."),1/((1/AP21)+(1/AR21)+(1/AS21)),IF(AND(AP21=".",AQ21&lt;&gt;".",AR21&lt;&gt;".",AS21&lt;&gt;"."),1/((1/AQ21)+(1/AR21)+(1/AS21)),IF(AND(AP21&lt;&gt;".",AQ21&lt;&gt;".",AR21=".",AS21="."),1/((1/AP21)+(1/AQ21)),IF(AND(AP21&lt;&gt;".",AQ21=".",AR21&lt;&gt;".",AS21="."),1/((1/AP21)+(1/AR21)),IF(AND(AP21&lt;&gt;".",AQ21=".",AR21=".",AS21&lt;&gt;"."),1/((1/AP21)+(1/AS21)),IF(AND(AP21=".",AQ21=".",AR21&lt;&gt;".",AS21&lt;&gt;"."),1/((1/AR21)+(1/AS21)),IF(AND(AP21=".",AQ21&lt;&gt;".",AR21=".",AS21&lt;&gt;"."),1/((1/AQ21)+(1/AS21)),IF(AND(AP21=".",AQ21&lt;&gt;".",AR21&lt;&gt;".",AS21="."),1/((1/AQ21)+(1/AR21)),IF(AND(AP21&lt;&gt;".",AQ21=".",AR21=".",AS21="."),1/((1/AP21)),IF(AND(AP21=".",AQ21&lt;&gt;".",AR21=".",AS21="."),1/((1/AQ21)),IF(AND(AP21=".",AQ21=".",AR21&lt;&gt;".",AS21="."),1/((1/AR21)),IF(AND(AP21=".",AQ21=".",AR21=".",AS21&lt;&gt;"."),1/((1/AS21)),IF(AND(AP21=".",AQ21=".",AR21=".",AS21="."),".")))))))))))))))))</f>
        <v>984.98616868914723</v>
      </c>
      <c r="AU21" s="40">
        <f t="shared" si="4"/>
        <v>27500</v>
      </c>
      <c r="AV21" s="40">
        <f>IF(s_RadSpec!D21&lt;&gt;"",s_C*s_IFA_res_adj*s_K*s_RadSpec!D21,0)</f>
        <v>3651.9520948567706</v>
      </c>
      <c r="AW21" s="40">
        <f t="shared" si="5"/>
        <v>2.5114155251141552</v>
      </c>
      <c r="AX21" s="40">
        <f>s_b2w!AC21</f>
        <v>7486.4983546212979</v>
      </c>
      <c r="AY21" s="18"/>
      <c r="AZ21" s="18"/>
      <c r="BA21" s="18"/>
      <c r="BB21" s="18"/>
      <c r="BC21" s="18"/>
      <c r="BD21" s="15" t="str">
        <f>IFERROR(s_TR/(s_RadSpec!H21*s_EF_res*s_ED_res*s_IRF_res*0.001*s_CF_res_fish),".")</f>
        <v>.</v>
      </c>
      <c r="BE21" s="40">
        <f t="shared" si="6"/>
        <v>151250</v>
      </c>
      <c r="BF21" s="18"/>
    </row>
    <row r="22" spans="1:58" x14ac:dyDescent="0.25">
      <c r="A22" s="44" t="s">
        <v>32</v>
      </c>
      <c r="B22" s="42" t="s">
        <v>1071</v>
      </c>
      <c r="C22" s="42"/>
      <c r="D22" s="15">
        <f>IFERROR(((s_TR/(s_RadSpec!E22*s_IFS_res_adj*(1/1000)))*1),".")</f>
        <v>682.02705260304151</v>
      </c>
      <c r="E22" s="15">
        <f>IFERROR(IF(A22="H-3",(s_TR/((s_RadSpec!F22*s_IFA_res_adj*(1/17)*1000))*1),(s_TR/((s_RadSpec!F22*s_IFA_res_adj*(1/s_PEF_wind)*1000))*1)),".")</f>
        <v>59061.73372824442</v>
      </c>
      <c r="F22" s="15">
        <f>IFERROR((s_TR/(s_RadSpec!G22*s_EF_res*(1/365)*s_ED_res*s_RadSpec!R22*((s_ET_res_o*(1/24)*s_RadSpec!W22)+(s_ET_res_i*(1/24)*s_RadSpec!AB22))))*1,".")</f>
        <v>69527531758.563843</v>
      </c>
      <c r="G22" s="15">
        <f>s_b2s!C22</f>
        <v>21.775105411876723</v>
      </c>
      <c r="H22" s="15">
        <f>s_dir!C22</f>
        <v>0.53822616801806289</v>
      </c>
      <c r="I22" s="15">
        <f t="shared" ref="I22:I23" si="24">(IF(AND(D22&lt;&gt;".",E22&lt;&gt;".",F22&lt;&gt;".",G22&lt;&gt;"."),1/((1/D22)+(1/E22)+(1/F22)+(1/G22)),IF(AND(D22&lt;&gt;".",E22&lt;&gt;".",F22&lt;&gt;".",G22="."), 1/((1/D22)+(1/E22)+(1/F22)),IF(AND(D22&lt;&gt;".",E22&lt;&gt;".",F22=".",G22&lt;&gt;"."),1/((1/D22)+(1/E22)+(1/G22)),IF(AND(D22&lt;&gt;".",E22=".",F22&lt;&gt;".",G22&lt;&gt;"."),1/((1/D22)+(1/F22)+(1/G22)),IF(AND(D22=".",E22&lt;&gt;".",F22&lt;&gt;".",G22&lt;&gt;"."),1/((1/E22)+(1/F22)+(1/G22)),IF(AND(D22&lt;&gt;".",E22&lt;&gt;".",F22=".",G22="."),1/((1/D22)+(1/E22)),IF(AND(D22&lt;&gt;".",E22=".",F22&lt;&gt;".",G22="."),1/((1/D22)+(1/F22)),IF(AND(D22&lt;&gt;".",E22=".",F22=".",G22&lt;&gt;"."),1/((1/D22)+(1/G22)),IF(AND(D22=".",E22=".",F22&lt;&gt;".",G22&lt;&gt;"."),1/((1/F22)+(1/G22)),IF(AND(D22=".",E22&lt;&gt;".",F22=".",G22&lt;&gt;"."),1/((1/E22)+(1/G22)),IF(AND(D22=".",E22&lt;&gt;".",F22&lt;&gt;".",G22="."),1/((1/E22)+(1/F22)),IF(AND(D22&lt;&gt;".",E22=".",F22=".",G22="."),1/((1/D22)),IF(AND(D22=".",E22&lt;&gt;".",F22=".",G22="."),1/((1/E22)),IF(AND(D22=".",E22=".",F22&lt;&gt;".",G22="."),1/((1/F22)),IF(AND(D22=".",E22=".",F22=".",G22&lt;&gt;"."),1/((1/G22)),IF(AND(D22=".",E22=".",F22=".",G22="."),".")))))))))))))))))</f>
        <v>21.093863792924875</v>
      </c>
      <c r="J22" s="40">
        <f t="shared" si="0"/>
        <v>302.5</v>
      </c>
      <c r="K22" s="40">
        <f t="shared" si="1"/>
        <v>3.2362545583179352E-2</v>
      </c>
      <c r="L22" s="40">
        <f>IFERROR((s_C*s_EF_res*(1/365)*s_ED_res*s_RadSpec!R22*((s_ET_res_o*(1/24)*s_RadSpec!W22)+(s_ET_res_i*(1/24)*s_RadSpec!AB22))),".")</f>
        <v>1.1776217336249564E-7</v>
      </c>
      <c r="M22" s="40">
        <f>s_b2s!AC22</f>
        <v>14954.0875</v>
      </c>
      <c r="N22" s="18"/>
      <c r="O22" s="18"/>
      <c r="P22" s="18"/>
      <c r="Q22" s="18"/>
      <c r="R22" s="18"/>
      <c r="S22" s="15">
        <f>IFERROR((s_TR/(s_RadSpec!G22*s_EF_res*(1/365)*s_ED_res*s_RadSpec!R22*((s_ET_res_o*(1/24)*s_RadSpec!W22)+(s_ET_res_i*(1/24)*s_RadSpec!AB22))))*1,".")</f>
        <v>69527531758.563843</v>
      </c>
      <c r="T22" s="15">
        <f>IFERROR((s_TR/(s_RadSpec!N22*s_EF_res*(1/365)*s_ED_res*s_RadSpec!S22*((s_ET_res_o*(1/24)*s_RadSpec!X22)+(s_ET_res_i*(1/24)*s_RadSpec!AC22))))*1,".")</f>
        <v>87500208535.627396</v>
      </c>
      <c r="U22" s="15">
        <f>IFERROR((s_TR/(s_RadSpec!O22*s_EF_res*(1/365)*s_ED_res*s_RadSpec!T22*((s_ET_res_o*(1/24)*s_RadSpec!Y22)+(s_ET_res_i*(1/24)*s_RadSpec!AD22))))*1,".")</f>
        <v>49228351906.671509</v>
      </c>
      <c r="V22" s="15">
        <f>IFERROR((s_TR/(s_RadSpec!P22*s_EF_res*(1/365)*s_ED_res*s_RadSpec!U22*((s_ET_res_o*(1/24)*s_RadSpec!Z22)+(s_ET_res_i*(1/24)*s_RadSpec!AE22))))*1,".")</f>
        <v>50534108787.692543</v>
      </c>
      <c r="W22" s="15">
        <f>IFERROR((s_TR/(s_RadSpec!L22*s_EF_res*(1/365)*s_ED_res*s_RadSpec!Q22*((s_ET_res_o*(1/24)*s_RadSpec!V22)+(s_ET_res_i*(1/24)*s_RadSpec!AA22))))*1,".")</f>
        <v>247260091637.15802</v>
      </c>
      <c r="X22" s="40">
        <f>IFERROR((s_C*s_EF_res*(1/365)*s_ED_res*s_RadSpec!R22*((s_ET_res_o*(1/24)*s_RadSpec!W22)+(s_ET_res_i*(1/24)*s_RadSpec!AB22))),".")</f>
        <v>1.1776217336249564E-7</v>
      </c>
      <c r="Y22" s="40">
        <f>IFERROR((s_C*s_EF_res*(1/365)*s_ED_res*s_RadSpec!S22*((s_ET_res_o*(1/24)*s_RadSpec!X22)+(s_ET_res_i*(1/24)*s_RadSpec!AC22))),".")</f>
        <v>1.285163212303304E-7</v>
      </c>
      <c r="Z22" s="40">
        <f>IFERROR((s_C*s_EF_res*(1/365)*s_ED_res*s_RadSpec!T22*((s_ET_res_o*(1/24)*s_RadSpec!Y22)+(s_ET_res_i*(1/24)*s_RadSpec!AD22))),".")</f>
        <v>1.6728063680118475E-7</v>
      </c>
      <c r="AA22" s="40">
        <f>IFERROR((s_C*s_EF_res*(1/365)*s_ED_res*s_RadSpec!U22*((s_ET_res_o*(1/24)*s_RadSpec!Z22)+(s_ET_res_i*(1/24)*s_RadSpec!AE22))),".")</f>
        <v>1.6233389129914944E-7</v>
      </c>
      <c r="AB22" s="40">
        <f>IFERROR((s_C*s_EF_res*(1/365)*s_ED_res*s_RadSpec!Q22*((s_ET_res_o*(1/24)*s_RadSpec!V22)+(s_ET_res_i*(1/24)*s_RadSpec!AA22))),".")</f>
        <v>2.2877807838131345E-8</v>
      </c>
      <c r="AC22" s="18"/>
      <c r="AD22" s="18"/>
      <c r="AE22" s="18"/>
      <c r="AF22" s="18"/>
      <c r="AG22" s="18"/>
      <c r="AH22" s="15">
        <f>IFERROR((s_TR/(s_RadSpec!F22*s_IFA_res_adj)),".")</f>
        <v>0.19064234057161925</v>
      </c>
      <c r="AI22" s="15">
        <f>IFERROR((s_TR/(s_RadSpec!K22*s_EF_res*(1/365)*s_ED_res*s_ET_res*(1/24)*s_GSF_a)),".")</f>
        <v>1726667.1803619796</v>
      </c>
      <c r="AJ22" s="15">
        <f t="shared" ref="AJ22:AJ23" si="25">IFERROR(IF(AND(AH22&lt;&gt;".",AI22&lt;&gt;"."),1/((1/AH22)+(1/AI22)),IF(AND(AH22&lt;&gt;".",AI22="."),1/((1/AH22)),IF(AND(AH22=".",AI22&lt;&gt;"."),1/((1/AI22)),IF(AND(AH22=".",AI22="."),".")))),".")</f>
        <v>0.19064231952268842</v>
      </c>
      <c r="AK22" s="40">
        <f t="shared" si="2"/>
        <v>10026.041666666666</v>
      </c>
      <c r="AL22" s="40">
        <f t="shared" si="3"/>
        <v>1.5696347031963471</v>
      </c>
      <c r="AM22" s="18"/>
      <c r="AN22" s="18"/>
      <c r="AO22" s="18"/>
      <c r="AP22" s="15">
        <f>IFERROR((s_TR/(s_RadSpec!I22*s_IFW_res_adj)),".")</f>
        <v>15.902928524287749</v>
      </c>
      <c r="AQ22" s="15" t="str">
        <f>IFERROR(IF(AND(s_RadSpec!C22=1,s_RadSpec!D22&lt;&gt;0),(s_TR/(s_RadSpec!F22*s_IFA_res_adj*s_K*s_RadSpec!D22)),"."),".")</f>
        <v>.</v>
      </c>
      <c r="AR22" s="15">
        <f>IFERROR((s_TR/(s_RadSpec!M22*(1/8760)*s_DFA_res_adj)),".")</f>
        <v>469720066.28304535</v>
      </c>
      <c r="AS22" s="15">
        <f>s_b2w!C22</f>
        <v>38.649753975149792</v>
      </c>
      <c r="AT22" s="15">
        <f t="shared" ref="AT22:AT23" si="26">(IF(AND(AP22&lt;&gt;".",AQ22&lt;&gt;".",AR22&lt;&gt;".",AS22&lt;&gt;"."),1/((1/AP22)+(1/AQ22)+(1/AR22)+(1/AS22)),IF(AND(AP22&lt;&gt;".",AQ22&lt;&gt;".",AR22&lt;&gt;".",AS22="."), 1/((1/AP22)+(1/AQ22)+(1/AR22)),IF(AND(AP22&lt;&gt;".",AQ22&lt;&gt;".",AR22=".",AS22&lt;&gt;"."),1/((1/AP22)+(1/AQ22)+(1/AS22)),IF(AND(AP22&lt;&gt;".",AQ22=".",AR22&lt;&gt;".",AS22&lt;&gt;"."),1/((1/AP22)+(1/AR22)+(1/AS22)),IF(AND(AP22=".",AQ22&lt;&gt;".",AR22&lt;&gt;".",AS22&lt;&gt;"."),1/((1/AQ22)+(1/AR22)+(1/AS22)),IF(AND(AP22&lt;&gt;".",AQ22&lt;&gt;".",AR22=".",AS22="."),1/((1/AP22)+(1/AQ22)),IF(AND(AP22&lt;&gt;".",AQ22=".",AR22&lt;&gt;".",AS22="."),1/((1/AP22)+(1/AR22)),IF(AND(AP22&lt;&gt;".",AQ22=".",AR22=".",AS22&lt;&gt;"."),1/((1/AP22)+(1/AS22)),IF(AND(AP22=".",AQ22=".",AR22&lt;&gt;".",AS22&lt;&gt;"."),1/((1/AR22)+(1/AS22)),IF(AND(AP22=".",AQ22&lt;&gt;".",AR22=".",AS22&lt;&gt;"."),1/((1/AQ22)+(1/AS22)),IF(AND(AP22=".",AQ22&lt;&gt;".",AR22&lt;&gt;".",AS22="."),1/((1/AQ22)+(1/AR22)),IF(AND(AP22&lt;&gt;".",AQ22=".",AR22=".",AS22="."),1/((1/AP22)),IF(AND(AP22=".",AQ22&lt;&gt;".",AR22=".",AS22="."),1/((1/AQ22)),IF(AND(AP22=".",AQ22=".",AR22&lt;&gt;".",AS22="."),1/((1/AR22)),IF(AND(AP22=".",AQ22=".",AR22=".",AS22&lt;&gt;"."),1/((1/AS22)),IF(AND(AP22=".",AQ22=".",AR22=".",AS22="."),".")))))))))))))))))</f>
        <v>11.26698508751109</v>
      </c>
      <c r="AU22" s="40">
        <f t="shared" si="4"/>
        <v>27500</v>
      </c>
      <c r="AV22" s="40">
        <f>IF(s_RadSpec!D22&lt;&gt;"",s_C*s_IFA_res_adj*s_K*s_RadSpec!D22,0)</f>
        <v>0</v>
      </c>
      <c r="AW22" s="40">
        <f t="shared" si="5"/>
        <v>2.5114155251141552</v>
      </c>
      <c r="AX22" s="40">
        <f>s_b2w!AC22</f>
        <v>8425.0686785818289</v>
      </c>
      <c r="AY22" s="18"/>
      <c r="AZ22" s="18"/>
      <c r="BA22" s="18"/>
      <c r="BB22" s="18"/>
      <c r="BC22" s="18"/>
      <c r="BD22" s="15">
        <f>IFERROR(s_TR/(s_RadSpec!H22*s_EF_res*s_ED_res*s_IRF_res*0.001*s_CF_res_fish),".")</f>
        <v>2.1529046720722516</v>
      </c>
      <c r="BE22" s="40">
        <f t="shared" si="6"/>
        <v>151250</v>
      </c>
      <c r="BF22" s="18"/>
    </row>
    <row r="23" spans="1:58" x14ac:dyDescent="0.25">
      <c r="A23" s="46" t="s">
        <v>33</v>
      </c>
      <c r="B23" s="42" t="s">
        <v>349</v>
      </c>
      <c r="C23" s="249"/>
      <c r="D23" s="15">
        <f>IFERROR(((s_TR/(s_RadSpec!E23*s_IFS_res_adj*(1/1000)))*1),".")</f>
        <v>244.11350789890287</v>
      </c>
      <c r="E23" s="15">
        <f>IFERROR(IF(A23="H-3",(s_TR/((s_RadSpec!F23*s_IFA_res_adj*(1/17)*1000))*1),(s_TR/((s_RadSpec!F23*s_IFA_res_adj*(1/s_PEF_wind)*1000))*1)),".")</f>
        <v>54870.756564873598</v>
      </c>
      <c r="F23" s="15">
        <f>IFERROR((s_TR/(s_RadSpec!G23*s_EF_res*(1/365)*s_ED_res*s_RadSpec!R23*((s_ET_res_o*(1/24)*s_RadSpec!W23)+(s_ET_res_i*(1/24)*s_RadSpec!AB23))))*1,".")</f>
        <v>3891.3004221902224</v>
      </c>
      <c r="G23" s="15">
        <f>s_b2s!C23</f>
        <v>6.5012005366394536</v>
      </c>
      <c r="H23" s="15">
        <f>s_dir!C23</f>
        <v>0.16069342426438568</v>
      </c>
      <c r="I23" s="15">
        <f t="shared" si="24"/>
        <v>6.3215357962337633</v>
      </c>
      <c r="J23" s="40">
        <f t="shared" si="0"/>
        <v>302.5</v>
      </c>
      <c r="K23" s="40">
        <f t="shared" si="1"/>
        <v>3.2362545583179352E-2</v>
      </c>
      <c r="L23" s="40">
        <f>IFERROR((s_C*s_EF_res*(1/365)*s_ED_res*s_RadSpec!R23*((s_ET_res_o*(1/24)*s_RadSpec!W23)+(s_ET_res_i*(1/24)*s_RadSpec!AB23))),".")</f>
        <v>0.51422806883657046</v>
      </c>
      <c r="M23" s="40">
        <f>s_b2s!AC23</f>
        <v>14954.0875</v>
      </c>
      <c r="N23" s="18"/>
      <c r="O23" s="18"/>
      <c r="P23" s="18"/>
      <c r="Q23" s="18"/>
      <c r="R23" s="18"/>
      <c r="S23" s="15">
        <f>IFERROR((s_TR/(s_RadSpec!G23*s_EF_res*(1/365)*s_ED_res*s_RadSpec!R23*((s_ET_res_o*(1/24)*s_RadSpec!W23)+(s_ET_res_i*(1/24)*s_RadSpec!AB23))))*1,".")</f>
        <v>3891.3004221902224</v>
      </c>
      <c r="T23" s="15">
        <f>IFERROR((s_TR/(s_RadSpec!N23*s_EF_res*(1/365)*s_ED_res*s_RadSpec!S23*((s_ET_res_o*(1/24)*s_RadSpec!X23)+(s_ET_res_i*(1/24)*s_RadSpec!AC23))))*1,".")</f>
        <v>27328.352196169526</v>
      </c>
      <c r="U23" s="15">
        <f>IFERROR((s_TR/(s_RadSpec!O23*s_EF_res*(1/365)*s_ED_res*s_RadSpec!T23*((s_ET_res_o*(1/24)*s_RadSpec!Y23)+(s_ET_res_i*(1/24)*s_RadSpec!AD23))))*1,".")</f>
        <v>7067.8672017715271</v>
      </c>
      <c r="V23" s="15">
        <f>IFERROR((s_TR/(s_RadSpec!P23*s_EF_res*(1/365)*s_ED_res*s_RadSpec!U23*((s_ET_res_o*(1/24)*s_RadSpec!Z23)+(s_ET_res_i*(1/24)*s_RadSpec!AE23))))*1,".")</f>
        <v>4123.7821823651684</v>
      </c>
      <c r="W23" s="15">
        <f>IFERROR((s_TR/(s_RadSpec!L23*s_EF_res*(1/365)*s_ED_res*s_RadSpec!Q23*((s_ET_res_o*(1/24)*s_RadSpec!V23)+(s_ET_res_i*(1/24)*s_RadSpec!AA23))))*1,".")</f>
        <v>43614.123411133427</v>
      </c>
      <c r="X23" s="40">
        <f>IFERROR((s_C*s_EF_res*(1/365)*s_ED_res*s_RadSpec!R23*((s_ET_res_o*(1/24)*s_RadSpec!W23)+(s_ET_res_i*(1/24)*s_RadSpec!AB23))),".")</f>
        <v>0.51422806883657046</v>
      </c>
      <c r="Y23" s="40">
        <f>IFERROR((s_C*s_EF_res*(1/365)*s_ED_res*s_RadSpec!S23*((s_ET_res_o*(1/24)*s_RadSpec!X23)+(s_ET_res_i*(1/24)*s_RadSpec!AC23))),".")</f>
        <v>0.28888912020652013</v>
      </c>
      <c r="Z23" s="40">
        <f>IFERROR((s_C*s_EF_res*(1/365)*s_ED_res*s_RadSpec!T23*((s_ET_res_o*(1/24)*s_RadSpec!Y23)+(s_ET_res_i*(1/24)*s_RadSpec!AD23))),".")</f>
        <v>0.40854018498405931</v>
      </c>
      <c r="AA23" s="40">
        <f>IFERROR((s_C*s_EF_res*(1/365)*s_ED_res*s_RadSpec!U23*((s_ET_res_o*(1/24)*s_RadSpec!Z23)+(s_ET_res_i*(1/24)*s_RadSpec!AE23))),".")</f>
        <v>0.49923527064769263</v>
      </c>
      <c r="AB23" s="40">
        <f>IFERROR((s_C*s_EF_res*(1/365)*s_ED_res*s_RadSpec!Q23*((s_ET_res_o*(1/24)*s_RadSpec!V23)+(s_ET_res_i*(1/24)*s_RadSpec!AA23))),".")</f>
        <v>0.18351999259533508</v>
      </c>
      <c r="AC23" s="18"/>
      <c r="AD23" s="18"/>
      <c r="AE23" s="18"/>
      <c r="AF23" s="18"/>
      <c r="AG23" s="18"/>
      <c r="AH23" s="15">
        <f>IFERROR((s_TR/(s_RadSpec!F23*s_IFA_res_adj)),".")</f>
        <v>0.17711450037337031</v>
      </c>
      <c r="AI23" s="15">
        <f>IFERROR((s_TR/(s_RadSpec!K23*s_EF_res*(1/365)*s_ED_res*s_ET_res*(1/24)*s_GSF_a)),".")</f>
        <v>1118087.7643327571</v>
      </c>
      <c r="AJ23" s="15">
        <f t="shared" si="25"/>
        <v>0.17711447231694907</v>
      </c>
      <c r="AK23" s="40">
        <f t="shared" si="2"/>
        <v>10026.041666666666</v>
      </c>
      <c r="AL23" s="40">
        <f t="shared" si="3"/>
        <v>1.5696347031963471</v>
      </c>
      <c r="AM23" s="18"/>
      <c r="AN23" s="18"/>
      <c r="AO23" s="18"/>
      <c r="AP23" s="15">
        <f>IFERROR((s_TR/(s_RadSpec!I23*s_IFW_res_adj)),".")</f>
        <v>4.7250047250047249</v>
      </c>
      <c r="AQ23" s="15" t="str">
        <f>IFERROR(IF(AND(s_RadSpec!C23=1,s_RadSpec!D23&lt;&gt;0),(s_TR/(s_RadSpec!F23*s_IFA_res_adj*s_K*s_RadSpec!D23)),"."),".")</f>
        <v>.</v>
      </c>
      <c r="AR23" s="15">
        <f>IFERROR((s_TR/(s_RadSpec!M23*(1/8760)*s_DFA_res_adj)),".")</f>
        <v>317520268.2695446</v>
      </c>
      <c r="AS23" s="15">
        <f>s_b2w!C23</f>
        <v>11.539315035746162</v>
      </c>
      <c r="AT23" s="15">
        <f t="shared" si="26"/>
        <v>3.3523269521020049</v>
      </c>
      <c r="AU23" s="40">
        <f t="shared" si="4"/>
        <v>27500</v>
      </c>
      <c r="AV23" s="40">
        <f>IF(s_RadSpec!D23&lt;&gt;"",s_C*s_IFA_res_adj*s_K*s_RadSpec!D23,0)</f>
        <v>0</v>
      </c>
      <c r="AW23" s="40">
        <f t="shared" si="5"/>
        <v>2.5114155251141552</v>
      </c>
      <c r="AX23" s="40">
        <f>s_b2w!AC23</f>
        <v>8425.0686785818289</v>
      </c>
      <c r="AY23" s="18"/>
      <c r="AZ23" s="18"/>
      <c r="BA23" s="18"/>
      <c r="BB23" s="18"/>
      <c r="BC23" s="18"/>
      <c r="BD23" s="15">
        <f>IFERROR(s_TR/(s_RadSpec!H23*s_EF_res*s_ED_res*s_IRF_res*0.001*s_CF_res_fish),".")</f>
        <v>0.64277369705754273</v>
      </c>
      <c r="BE23" s="40">
        <f t="shared" si="6"/>
        <v>151250</v>
      </c>
      <c r="BF23" s="18"/>
    </row>
    <row r="24" spans="1:58" x14ac:dyDescent="0.25">
      <c r="A24" s="44" t="s">
        <v>34</v>
      </c>
      <c r="B24" s="42" t="s">
        <v>1071</v>
      </c>
      <c r="C24" s="249"/>
      <c r="D24" s="15" t="str">
        <f>IFERROR(((s_TR/(s_RadSpec!E24*s_IFS_res_adj*(1/1000)))*1),".")</f>
        <v>.</v>
      </c>
      <c r="E24" s="15" t="str">
        <f>IFERROR(IF(A24="H-3",(s_TR/((s_RadSpec!F24*s_IFA_res_adj*(1/17)*1000))*1),(s_TR/((s_RadSpec!F24*s_IFA_res_adj*(1/s_PEF_wind)*1000))*1)),".")</f>
        <v>.</v>
      </c>
      <c r="F24" s="15">
        <f>IFERROR((s_TR/(s_RadSpec!G24*s_EF_res*(1/365)*s_ED_res*s_RadSpec!R24*((s_ET_res_o*(1/24)*s_RadSpec!W24)+(s_ET_res_i*(1/24)*s_RadSpec!AB24))))*1,".")</f>
        <v>37643.231990855231</v>
      </c>
      <c r="G24" s="15" t="str">
        <f>s_b2s!C24</f>
        <v>.</v>
      </c>
      <c r="H24" s="15" t="str">
        <f>s_dir!C24</f>
        <v>.</v>
      </c>
      <c r="I24" s="15">
        <f t="shared" ref="I24:I25" si="27">(IF(AND(D24&lt;&gt;".",E24&lt;&gt;".",F24&lt;&gt;".",G24&lt;&gt;"."),1/((1/D24)+(1/E24)+(1/F24)+(1/G24)),IF(AND(D24&lt;&gt;".",E24&lt;&gt;".",F24&lt;&gt;".",G24="."), 1/((1/D24)+(1/E24)+(1/F24)),IF(AND(D24&lt;&gt;".",E24&lt;&gt;".",F24=".",G24&lt;&gt;"."),1/((1/D24)+(1/E24)+(1/G24)),IF(AND(D24&lt;&gt;".",E24=".",F24&lt;&gt;".",G24&lt;&gt;"."),1/((1/D24)+(1/F24)+(1/G24)),IF(AND(D24=".",E24&lt;&gt;".",F24&lt;&gt;".",G24&lt;&gt;"."),1/((1/E24)+(1/F24)+(1/G24)),IF(AND(D24&lt;&gt;".",E24&lt;&gt;".",F24=".",G24="."),1/((1/D24)+(1/E24)),IF(AND(D24&lt;&gt;".",E24=".",F24&lt;&gt;".",G24="."),1/((1/D24)+(1/F24)),IF(AND(D24&lt;&gt;".",E24=".",F24=".",G24&lt;&gt;"."),1/((1/D24)+(1/G24)),IF(AND(D24=".",E24=".",F24&lt;&gt;".",G24&lt;&gt;"."),1/((1/F24)+(1/G24)),IF(AND(D24=".",E24&lt;&gt;".",F24=".",G24&lt;&gt;"."),1/((1/E24)+(1/G24)),IF(AND(D24=".",E24&lt;&gt;".",F24&lt;&gt;".",G24="."),1/((1/E24)+(1/F24)),IF(AND(D24&lt;&gt;".",E24=".",F24=".",G24="."),1/((1/D24)),IF(AND(D24=".",E24&lt;&gt;".",F24=".",G24="."),1/((1/E24)),IF(AND(D24=".",E24=".",F24&lt;&gt;".",G24="."),1/((1/F24)),IF(AND(D24=".",E24=".",F24=".",G24&lt;&gt;"."),1/((1/G24)),IF(AND(D24=".",E24=".",F24=".",G24="."),".")))))))))))))))))</f>
        <v>37643.231990855231</v>
      </c>
      <c r="J24" s="40">
        <f t="shared" si="0"/>
        <v>302.5</v>
      </c>
      <c r="K24" s="40">
        <f t="shared" si="1"/>
        <v>3.2362545583179352E-2</v>
      </c>
      <c r="L24" s="40">
        <f>IFERROR((s_C*s_EF_res*(1/365)*s_ED_res*s_RadSpec!R24*((s_ET_res_o*(1/24)*s_RadSpec!W24)+(s_ET_res_i*(1/24)*s_RadSpec!AB24))),".")</f>
        <v>0.39226486569220154</v>
      </c>
      <c r="M24" s="40">
        <f>s_b2s!AC24</f>
        <v>8167.5000000000009</v>
      </c>
      <c r="N24" s="18"/>
      <c r="O24" s="18"/>
      <c r="P24" s="18"/>
      <c r="Q24" s="18"/>
      <c r="R24" s="18"/>
      <c r="S24" s="15">
        <f>IFERROR((s_TR/(s_RadSpec!G24*s_EF_res*(1/365)*s_ED_res*s_RadSpec!R24*((s_ET_res_o*(1/24)*s_RadSpec!W24)+(s_ET_res_i*(1/24)*s_RadSpec!AB24))))*1,".")</f>
        <v>37643.231990855231</v>
      </c>
      <c r="T24" s="15">
        <f>IFERROR((s_TR/(s_RadSpec!N24*s_EF_res*(1/365)*s_ED_res*s_RadSpec!S24*((s_ET_res_o*(1/24)*s_RadSpec!X24)+(s_ET_res_i*(1/24)*s_RadSpec!AC24))))*1,".")</f>
        <v>331632.79874369752</v>
      </c>
      <c r="U24" s="15">
        <f>IFERROR((s_TR/(s_RadSpec!O24*s_EF_res*(1/365)*s_ED_res*s_RadSpec!T24*((s_ET_res_o*(1/24)*s_RadSpec!Y24)+(s_ET_res_i*(1/24)*s_RadSpec!AD24))))*1,".")</f>
        <v>83180.486800016806</v>
      </c>
      <c r="V24" s="15">
        <f>IFERROR((s_TR/(s_RadSpec!P24*s_EF_res*(1/365)*s_ED_res*s_RadSpec!U24*((s_ET_res_o*(1/24)*s_RadSpec!Z24)+(s_ET_res_i*(1/24)*s_RadSpec!AE24))))*1,".")</f>
        <v>44882.556695528408</v>
      </c>
      <c r="W24" s="15">
        <f>IFERROR((s_TR/(s_RadSpec!L24*s_EF_res*(1/365)*s_ED_res*s_RadSpec!Q24*((s_ET_res_o*(1/24)*s_RadSpec!V24)+(s_ET_res_i*(1/24)*s_RadSpec!AA24))))*1,".")</f>
        <v>564222.4584974309</v>
      </c>
      <c r="X24" s="40">
        <f>IFERROR((s_C*s_EF_res*(1/365)*s_ED_res*s_RadSpec!R24*((s_ET_res_o*(1/24)*s_RadSpec!W24)+(s_ET_res_i*(1/24)*s_RadSpec!AB24))),".")</f>
        <v>0.39226486569220154</v>
      </c>
      <c r="Y24" s="40">
        <f>IFERROR((s_C*s_EF_res*(1/365)*s_ED_res*s_RadSpec!S24*((s_ET_res_o*(1/24)*s_RadSpec!X24)+(s_ET_res_i*(1/24)*s_RadSpec!AC24))),".")</f>
        <v>0.2163605230386052</v>
      </c>
      <c r="Z24" s="40">
        <f>IFERROR((s_C*s_EF_res*(1/365)*s_ED_res*s_RadSpec!T24*((s_ET_res_o*(1/24)*s_RadSpec!Y24)+(s_ET_res_i*(1/24)*s_RadSpec!AD24))),".")</f>
        <v>0.30643161761990928</v>
      </c>
      <c r="AA24" s="40">
        <f>IFERROR((s_C*s_EF_res*(1/365)*s_ED_res*s_RadSpec!U24*((s_ET_res_o*(1/24)*s_RadSpec!Z24)+(s_ET_res_i*(1/24)*s_RadSpec!AE24))),".")</f>
        <v>0.36695547945205476</v>
      </c>
      <c r="AB24" s="40">
        <f>IFERROR((s_C*s_EF_res*(1/365)*s_ED_res*s_RadSpec!Q24*((s_ET_res_o*(1/24)*s_RadSpec!V24)+(s_ET_res_i*(1/24)*s_RadSpec!AA24))),".")</f>
        <v>0.13018033639674009</v>
      </c>
      <c r="AC24" s="18"/>
      <c r="AD24" s="18"/>
      <c r="AE24" s="18"/>
      <c r="AF24" s="18"/>
      <c r="AG24" s="18"/>
      <c r="AH24" s="15" t="str">
        <f>IFERROR((s_TR/(s_RadSpec!F24*s_IFA_res_adj)),".")</f>
        <v>.</v>
      </c>
      <c r="AI24" s="15">
        <f>IFERROR((s_TR/(s_RadSpec!K24*s_EF_res*(1/365)*s_ED_res*s_ET_res*(1/24)*s_GSF_a)),".")</f>
        <v>9993165.3661975376</v>
      </c>
      <c r="AJ24" s="15">
        <f t="shared" ref="AJ24" si="28">IFERROR(IF(AND(AH24&lt;&gt;".",AI24&lt;&gt;"."),1/((1/AH24)+(1/AI24)),IF(AND(AH24&lt;&gt;".",AI24="."),1/((1/AH24)),IF(AND(AH24=".",AI24&lt;&gt;"."),1/((1/AI24)),IF(AND(AH24=".",AI24="."),".")))),".")</f>
        <v>9993165.3661975376</v>
      </c>
      <c r="AK24" s="40">
        <f t="shared" si="2"/>
        <v>10026.041666666666</v>
      </c>
      <c r="AL24" s="40">
        <f t="shared" si="3"/>
        <v>1.5696347031963471</v>
      </c>
      <c r="AM24" s="18"/>
      <c r="AN24" s="18"/>
      <c r="AO24" s="18"/>
      <c r="AP24" s="15" t="str">
        <f>IFERROR((s_TR/(s_RadSpec!I24*s_IFW_res_adj)),".")</f>
        <v>.</v>
      </c>
      <c r="AQ24" s="15" t="str">
        <f>IFERROR(IF(AND(s_RadSpec!C24=1,s_RadSpec!D24&lt;&gt;0),(s_TR/(s_RadSpec!F24*s_IFA_res_adj*s_K*s_RadSpec!D24)),"."),".")</f>
        <v>.</v>
      </c>
      <c r="AR24" s="15">
        <f>IFERROR((s_TR/(s_RadSpec!M24*(1/8760)*s_DFA_res_adj)),".")</f>
        <v>2875352176.4038024</v>
      </c>
      <c r="AS24" s="15" t="str">
        <f>s_b2w!C24</f>
        <v>.</v>
      </c>
      <c r="AT24" s="15">
        <f t="shared" ref="AT24" si="29">(IF(AND(AP24&lt;&gt;".",AQ24&lt;&gt;".",AR24&lt;&gt;".",AS24&lt;&gt;"."),1/((1/AP24)+(1/AQ24)+(1/AR24)+(1/AS24)),IF(AND(AP24&lt;&gt;".",AQ24&lt;&gt;".",AR24&lt;&gt;".",AS24="."), 1/((1/AP24)+(1/AQ24)+(1/AR24)),IF(AND(AP24&lt;&gt;".",AQ24&lt;&gt;".",AR24=".",AS24&lt;&gt;"."),1/((1/AP24)+(1/AQ24)+(1/AS24)),IF(AND(AP24&lt;&gt;".",AQ24=".",AR24&lt;&gt;".",AS24&lt;&gt;"."),1/((1/AP24)+(1/AR24)+(1/AS24)),IF(AND(AP24=".",AQ24&lt;&gt;".",AR24&lt;&gt;".",AS24&lt;&gt;"."),1/((1/AQ24)+(1/AR24)+(1/AS24)),IF(AND(AP24&lt;&gt;".",AQ24&lt;&gt;".",AR24=".",AS24="."),1/((1/AP24)+(1/AQ24)),IF(AND(AP24&lt;&gt;".",AQ24=".",AR24&lt;&gt;".",AS24="."),1/((1/AP24)+(1/AR24)),IF(AND(AP24&lt;&gt;".",AQ24=".",AR24=".",AS24&lt;&gt;"."),1/((1/AP24)+(1/AS24)),IF(AND(AP24=".",AQ24=".",AR24&lt;&gt;".",AS24&lt;&gt;"."),1/((1/AR24)+(1/AS24)),IF(AND(AP24=".",AQ24&lt;&gt;".",AR24=".",AS24&lt;&gt;"."),1/((1/AQ24)+(1/AS24)),IF(AND(AP24=".",AQ24&lt;&gt;".",AR24&lt;&gt;".",AS24="."),1/((1/AQ24)+(1/AR24)),IF(AND(AP24&lt;&gt;".",AQ24=".",AR24=".",AS24="."),1/((1/AP24)),IF(AND(AP24=".",AQ24&lt;&gt;".",AR24=".",AS24="."),1/((1/AQ24)),IF(AND(AP24=".",AQ24=".",AR24&lt;&gt;".",AS24="."),1/((1/AR24)),IF(AND(AP24=".",AQ24=".",AR24=".",AS24&lt;&gt;"."),1/((1/AS24)),IF(AND(AP24=".",AQ24=".",AR24=".",AS24="."),".")))))))))))))))))</f>
        <v>2875352176.4038024</v>
      </c>
      <c r="AU24" s="40">
        <f t="shared" si="4"/>
        <v>27500</v>
      </c>
      <c r="AV24" s="40">
        <f>IF(s_RadSpec!D24&lt;&gt;"",s_C*s_IFA_res_adj*s_K*s_RadSpec!D24,0)</f>
        <v>7.281513020833333E-4</v>
      </c>
      <c r="AW24" s="40">
        <f t="shared" si="5"/>
        <v>2.5114155251141552</v>
      </c>
      <c r="AX24" s="40">
        <f>s_b2w!AC24</f>
        <v>0</v>
      </c>
      <c r="AY24" s="18"/>
      <c r="AZ24" s="18"/>
      <c r="BA24" s="18"/>
      <c r="BB24" s="18"/>
      <c r="BC24" s="18"/>
      <c r="BD24" s="15" t="str">
        <f>IFERROR(s_TR/(s_RadSpec!H24*s_EF_res*s_ED_res*s_IRF_res*0.001*s_CF_res_fish),".")</f>
        <v>.</v>
      </c>
      <c r="BE24" s="40">
        <f t="shared" si="6"/>
        <v>151250</v>
      </c>
      <c r="BF24" s="18"/>
    </row>
    <row r="25" spans="1:58" x14ac:dyDescent="0.25">
      <c r="A25" s="46" t="s">
        <v>35</v>
      </c>
      <c r="B25" s="42" t="s">
        <v>349</v>
      </c>
      <c r="C25" s="249"/>
      <c r="D25" s="15" t="str">
        <f>IFERROR(((s_TR/(s_RadSpec!E25*s_IFS_res_adj*(1/1000)))*1),".")</f>
        <v>.</v>
      </c>
      <c r="E25" s="15">
        <f>IFERROR(IF(A25="H-3",(s_TR/((s_RadSpec!F25*s_IFA_res_adj*(1/17)*1000))*1),(s_TR/((s_RadSpec!F25*s_IFA_res_adj*(1/s_PEF_wind)*1000))*1)),".")</f>
        <v>677629777.45488858</v>
      </c>
      <c r="F25" s="15">
        <f>IFERROR((s_TR/(s_RadSpec!G25*s_EF_res*(1/365)*s_ED_res*s_RadSpec!R25*((s_ET_res_o*(1/24)*s_RadSpec!W25)+(s_ET_res_i*(1/24)*s_RadSpec!AB25))))*1,".")</f>
        <v>83956.797149423059</v>
      </c>
      <c r="G25" s="15" t="str">
        <f>s_b2s!C25</f>
        <v>.</v>
      </c>
      <c r="H25" s="15" t="str">
        <f>s_dir!C25</f>
        <v>.</v>
      </c>
      <c r="I25" s="15">
        <f t="shared" si="27"/>
        <v>83946.396380733655</v>
      </c>
      <c r="J25" s="40">
        <f t="shared" si="0"/>
        <v>302.5</v>
      </c>
      <c r="K25" s="40">
        <f t="shared" si="1"/>
        <v>3.2362545583179352E-2</v>
      </c>
      <c r="L25" s="40">
        <f>IFERROR((s_C*s_EF_res*(1/365)*s_ED_res*s_RadSpec!R25*((s_ET_res_o*(1/24)*s_RadSpec!W25)+(s_ET_res_i*(1/24)*s_RadSpec!AB25))),".")</f>
        <v>0.35175513698630134</v>
      </c>
      <c r="M25" s="40">
        <f>s_b2s!AC25</f>
        <v>8167.5000000000009</v>
      </c>
      <c r="N25" s="18"/>
      <c r="O25" s="18"/>
      <c r="P25" s="18"/>
      <c r="Q25" s="18"/>
      <c r="R25" s="18"/>
      <c r="S25" s="15">
        <f>IFERROR((s_TR/(s_RadSpec!G25*s_EF_res*(1/365)*s_ED_res*s_RadSpec!R25*((s_ET_res_o*(1/24)*s_RadSpec!W25)+(s_ET_res_i*(1/24)*s_RadSpec!AB25))))*1,".")</f>
        <v>83956.797149423059</v>
      </c>
      <c r="T25" s="15">
        <f>IFERROR((s_TR/(s_RadSpec!N25*s_EF_res*(1/365)*s_ED_res*s_RadSpec!S25*((s_ET_res_o*(1/24)*s_RadSpec!X25)+(s_ET_res_i*(1/24)*s_RadSpec!AC25))))*1,".")</f>
        <v>713371.53901271138</v>
      </c>
      <c r="U25" s="15">
        <f>IFERROR((s_TR/(s_RadSpec!O25*s_EF_res*(1/365)*s_ED_res*s_RadSpec!T25*((s_ET_res_o*(1/24)*s_RadSpec!Y25)+(s_ET_res_i*(1/24)*s_RadSpec!AD25))))*1,".")</f>
        <v>181327.84236676019</v>
      </c>
      <c r="V25" s="15">
        <f>IFERROR((s_TR/(s_RadSpec!P25*s_EF_res*(1/365)*s_ED_res*s_RadSpec!U25*((s_ET_res_o*(1/24)*s_RadSpec!Z25)+(s_ET_res_i*(1/24)*s_RadSpec!AE25))))*1,".")</f>
        <v>105788.51654566244</v>
      </c>
      <c r="W25" s="15">
        <f>IFERROR((s_TR/(s_RadSpec!L25*s_EF_res*(1/365)*s_ED_res*s_RadSpec!Q25*((s_ET_res_o*(1/24)*s_RadSpec!V25)+(s_ET_res_i*(1/24)*s_RadSpec!AA25))))*1,".")</f>
        <v>1302871.4370215165</v>
      </c>
      <c r="X25" s="40">
        <f>IFERROR((s_C*s_EF_res*(1/365)*s_ED_res*s_RadSpec!R25*((s_ET_res_o*(1/24)*s_RadSpec!W25)+(s_ET_res_i*(1/24)*s_RadSpec!AB25))),".")</f>
        <v>0.35175513698630134</v>
      </c>
      <c r="Y25" s="40">
        <f>IFERROR((s_C*s_EF_res*(1/365)*s_ED_res*s_RadSpec!S25*((s_ET_res_o*(1/24)*s_RadSpec!X25)+(s_ET_res_i*(1/24)*s_RadSpec!AC25))),".")</f>
        <v>0.19642428671145629</v>
      </c>
      <c r="Z25" s="40">
        <f>IFERROR((s_C*s_EF_res*(1/365)*s_ED_res*s_RadSpec!T25*((s_ET_res_o*(1/24)*s_RadSpec!Y25)+(s_ET_res_i*(1/24)*s_RadSpec!AD25))),".")</f>
        <v>0.27383633364412241</v>
      </c>
      <c r="AA25" s="40">
        <f>IFERROR((s_C*s_EF_res*(1/365)*s_ED_res*s_RadSpec!U25*((s_ET_res_o*(1/24)*s_RadSpec!Z25)+(s_ET_res_i*(1/24)*s_RadSpec!AE25))),".")</f>
        <v>0.3066562742310675</v>
      </c>
      <c r="AB25" s="40">
        <f>IFERROR((s_C*s_EF_res*(1/365)*s_ED_res*s_RadSpec!Q25*((s_ET_res_o*(1/24)*s_RadSpec!V25)+(s_ET_res_i*(1/24)*s_RadSpec!AA25))),".")</f>
        <v>0.1095573440643863</v>
      </c>
      <c r="AC25" s="18"/>
      <c r="AD25" s="18"/>
      <c r="AE25" s="18"/>
      <c r="AF25" s="18"/>
      <c r="AG25" s="18"/>
      <c r="AH25" s="15">
        <f>IFERROR((s_TR/(s_RadSpec!F25*s_IFA_res_adj)),".")</f>
        <v>2187.2863978127139</v>
      </c>
      <c r="AI25" s="15">
        <f>IFERROR((s_TR/(s_RadSpec!K25*s_EF_res*(1/365)*s_ED_res*s_ET_res*(1/24)*s_GSF_a)),".")</f>
        <v>19626864.352316026</v>
      </c>
      <c r="AJ25" s="15">
        <f>IFERROR(IF(AND(AH25&lt;&gt;".",AI25&lt;&gt;"."),1/((1/AH25)+(1/AI25)),IF(AND(AH25&lt;&gt;".",AI25="."),1/((1/AH25)),IF(AND(AH25=".",AI25&lt;&gt;"."),1/((1/AI25)),IF(AND(AH25=".",AI25="."),".")))),".")</f>
        <v>2187.0426661299962</v>
      </c>
      <c r="AK25" s="40">
        <f t="shared" si="2"/>
        <v>10026.041666666666</v>
      </c>
      <c r="AL25" s="40">
        <f t="shared" si="3"/>
        <v>1.5696347031963471</v>
      </c>
      <c r="AM25" s="18"/>
      <c r="AN25" s="18"/>
      <c r="AO25" s="18"/>
      <c r="AP25" s="15" t="str">
        <f>IFERROR((s_TR/(s_RadSpec!I25*s_IFW_res_adj)),".")</f>
        <v>.</v>
      </c>
      <c r="AQ25" s="15">
        <f>IFERROR(IF(AND(s_RadSpec!C25=1,s_RadSpec!D25&lt;&gt;0),(s_TR/(s_RadSpec!F25*s_IFA_res_adj*s_K*s_RadSpec!D25)),"."),".")</f>
        <v>4374.5727956254277</v>
      </c>
      <c r="AR25" s="15">
        <f>IFERROR((s_TR/(s_RadSpec!M25*(1/8760)*s_DFA_res_adj)),".")</f>
        <v>5664730367.4666271</v>
      </c>
      <c r="AS25" s="15" t="str">
        <f>s_b2w!C25</f>
        <v>.</v>
      </c>
      <c r="AT25" s="15">
        <f>(IF(AND(AP25&lt;&gt;".",AQ25&lt;&gt;".",AR25&lt;&gt;".",AS25&lt;&gt;"."),1/((1/AP25)+(1/AQ25)+(1/AR25)+(1/AS25)),IF(AND(AP25&lt;&gt;".",AQ25&lt;&gt;".",AR25&lt;&gt;".",AS25="."), 1/((1/AP25)+(1/AQ25)+(1/AR25)),IF(AND(AP25&lt;&gt;".",AQ25&lt;&gt;".",AR25=".",AS25&lt;&gt;"."),1/((1/AP25)+(1/AQ25)+(1/AS25)),IF(AND(AP25&lt;&gt;".",AQ25=".",AR25&lt;&gt;".",AS25&lt;&gt;"."),1/((1/AP25)+(1/AR25)+(1/AS25)),IF(AND(AP25=".",AQ25&lt;&gt;".",AR25&lt;&gt;".",AS25&lt;&gt;"."),1/((1/AQ25)+(1/AR25)+(1/AS25)),IF(AND(AP25&lt;&gt;".",AQ25&lt;&gt;".",AR25=".",AS25="."),1/((1/AP25)+(1/AQ25)),IF(AND(AP25&lt;&gt;".",AQ25=".",AR25&lt;&gt;".",AS25="."),1/((1/AP25)+(1/AR25)),IF(AND(AP25&lt;&gt;".",AQ25=".",AR25=".",AS25&lt;&gt;"."),1/((1/AP25)+(1/AS25)),IF(AND(AP25=".",AQ25=".",AR25&lt;&gt;".",AS25&lt;&gt;"."),1/((1/AR25)+(1/AS25)),IF(AND(AP25=".",AQ25&lt;&gt;".",AR25=".",AS25&lt;&gt;"."),1/((1/AQ25)+(1/AS25)),IF(AND(AP25=".",AQ25&lt;&gt;".",AR25&lt;&gt;".",AS25="."),1/((1/AQ25)+(1/AR25)),IF(AND(AP25&lt;&gt;".",AQ25=".",AR25=".",AS25="."),1/((1/AP25)),IF(AND(AP25=".",AQ25&lt;&gt;".",AR25=".",AS25="."),1/((1/AQ25)),IF(AND(AP25=".",AQ25=".",AR25&lt;&gt;".",AS25="."),1/((1/AR25)),IF(AND(AP25=".",AQ25=".",AR25=".",AS25&lt;&gt;"."),1/((1/AS25)),IF(AND(AP25=".",AQ25=".",AR25=".",AS25="."),".")))))))))))))))))</f>
        <v>4374.5694173759566</v>
      </c>
      <c r="AU25" s="40">
        <f t="shared" si="4"/>
        <v>27500</v>
      </c>
      <c r="AV25" s="40">
        <f>IF(s_RadSpec!D25&lt;&gt;"",s_C*s_IFA_res_adj*s_K*s_RadSpec!D25,0)</f>
        <v>5013.020833333333</v>
      </c>
      <c r="AW25" s="40">
        <f t="shared" si="5"/>
        <v>2.5114155251141552</v>
      </c>
      <c r="AX25" s="40">
        <f>s_b2w!AC25</f>
        <v>0</v>
      </c>
      <c r="AY25" s="18"/>
      <c r="AZ25" s="18"/>
      <c r="BA25" s="18"/>
      <c r="BB25" s="18"/>
      <c r="BC25" s="18"/>
      <c r="BD25" s="15" t="str">
        <f>IFERROR(s_TR/(s_RadSpec!H25*s_EF_res*s_ED_res*s_IRF_res*0.001*s_CF_res_fish),".")</f>
        <v>.</v>
      </c>
      <c r="BE25" s="40">
        <f t="shared" si="6"/>
        <v>151250</v>
      </c>
      <c r="BF25" s="18"/>
    </row>
    <row r="26" spans="1:58" x14ac:dyDescent="0.25">
      <c r="A26" s="44" t="s">
        <v>36</v>
      </c>
      <c r="B26" s="42" t="s">
        <v>1071</v>
      </c>
      <c r="C26" s="42"/>
      <c r="D26" s="15">
        <f>IFERROR(((s_TR/(s_RadSpec!E26*s_IFS_res_adj*(1/1000)))*1),".")</f>
        <v>429.54588409133862</v>
      </c>
      <c r="E26" s="15">
        <f>IFERROR(IF(A26="H-3",(s_TR/((s_RadSpec!F26*s_IFA_res_adj*(1/17)*1000))*1),(s_TR/((s_RadSpec!F26*s_IFA_res_adj*(1/s_PEF_wind)*1000))*1)),".")</f>
        <v>8846.7469800569506</v>
      </c>
      <c r="F26" s="15">
        <f>IFERROR((s_TR/(s_RadSpec!G26*s_EF_res*(1/365)*s_ED_res*s_RadSpec!R26*((s_ET_res_o*(1/24)*s_RadSpec!W26)+(s_ET_res_i*(1/24)*s_RadSpec!AB26))))*1,".")</f>
        <v>3456.9404207327052</v>
      </c>
      <c r="G26" s="15">
        <f>s_b2s!C26</f>
        <v>19.780323162839576</v>
      </c>
      <c r="H26" s="15">
        <f>s_dir!C26</f>
        <v>0.28453994869744731</v>
      </c>
      <c r="I26" s="15">
        <f t="shared" ref="I26" si="30">(IF(AND(D26&lt;&gt;".",E26&lt;&gt;".",F26&lt;&gt;".",G26&lt;&gt;"."),1/((1/D26)+(1/E26)+(1/F26)+(1/G26)),IF(AND(D26&lt;&gt;".",E26&lt;&gt;".",F26&lt;&gt;".",G26="."), 1/((1/D26)+(1/E26)+(1/F26)),IF(AND(D26&lt;&gt;".",E26&lt;&gt;".",F26=".",G26&lt;&gt;"."),1/((1/D26)+(1/E26)+(1/G26)),IF(AND(D26&lt;&gt;".",E26=".",F26&lt;&gt;".",G26&lt;&gt;"."),1/((1/D26)+(1/F26)+(1/G26)),IF(AND(D26=".",E26&lt;&gt;".",F26&lt;&gt;".",G26&lt;&gt;"."),1/((1/E26)+(1/F26)+(1/G26)),IF(AND(D26&lt;&gt;".",E26&lt;&gt;".",F26=".",G26="."),1/((1/D26)+(1/E26)),IF(AND(D26&lt;&gt;".",E26=".",F26&lt;&gt;".",G26="."),1/((1/D26)+(1/F26)),IF(AND(D26&lt;&gt;".",E26=".",F26=".",G26&lt;&gt;"."),1/((1/D26)+(1/G26)),IF(AND(D26=".",E26=".",F26&lt;&gt;".",G26&lt;&gt;"."),1/((1/F26)+(1/G26)),IF(AND(D26=".",E26&lt;&gt;".",F26=".",G26&lt;&gt;"."),1/((1/E26)+(1/G26)),IF(AND(D26=".",E26&lt;&gt;".",F26&lt;&gt;".",G26="."),1/((1/E26)+(1/F26)),IF(AND(D26&lt;&gt;".",E26=".",F26=".",G26="."),1/((1/D26)),IF(AND(D26=".",E26&lt;&gt;".",F26=".",G26="."),1/((1/E26)),IF(AND(D26=".",E26=".",F26&lt;&gt;".",G26="."),1/((1/F26)),IF(AND(D26=".",E26=".",F26=".",G26&lt;&gt;"."),1/((1/G26)),IF(AND(D26=".",E26=".",F26=".",G26="."),".")))))))))))))))))</f>
        <v>18.766782067754125</v>
      </c>
      <c r="J26" s="40">
        <f t="shared" si="0"/>
        <v>302.5</v>
      </c>
      <c r="K26" s="40">
        <f t="shared" si="1"/>
        <v>3.2362545583179352E-2</v>
      </c>
      <c r="L26" s="40">
        <f>IFERROR((s_C*s_EF_res*(1/365)*s_ED_res*s_RadSpec!R26*((s_ET_res_o*(1/24)*s_RadSpec!W26)+(s_ET_res_i*(1/24)*s_RadSpec!AB26))),".")</f>
        <v>6.451655805293259E-2</v>
      </c>
      <c r="M26" s="40">
        <f>s_b2s!AC26</f>
        <v>8702.9249999999993</v>
      </c>
      <c r="N26" s="18"/>
      <c r="O26" s="18"/>
      <c r="P26" s="18"/>
      <c r="Q26" s="18"/>
      <c r="R26" s="18"/>
      <c r="S26" s="15">
        <f>IFERROR((s_TR/(s_RadSpec!G26*s_EF_res*(1/365)*s_ED_res*s_RadSpec!R26*((s_ET_res_o*(1/24)*s_RadSpec!W26)+(s_ET_res_i*(1/24)*s_RadSpec!AB26))))*1,".")</f>
        <v>3456.9404207327052</v>
      </c>
      <c r="T26" s="15">
        <f>IFERROR((s_TR/(s_RadSpec!N26*s_EF_res*(1/365)*s_ED_res*s_RadSpec!S26*((s_ET_res_o*(1/24)*s_RadSpec!X26)+(s_ET_res_i*(1/24)*s_RadSpec!AC26))))*1,".")</f>
        <v>20922.161613607772</v>
      </c>
      <c r="U26" s="15">
        <f>IFERROR((s_TR/(s_RadSpec!O26*s_EF_res*(1/365)*s_ED_res*s_RadSpec!T26*((s_ET_res_o*(1/24)*s_RadSpec!Y26)+(s_ET_res_i*(1/24)*s_RadSpec!AD26))))*1,".")</f>
        <v>5995.0352261712433</v>
      </c>
      <c r="V26" s="15">
        <f>IFERROR((s_TR/(s_RadSpec!P26*s_EF_res*(1/365)*s_ED_res*s_RadSpec!U26*((s_ET_res_o*(1/24)*s_RadSpec!Z26)+(s_ET_res_i*(1/24)*s_RadSpec!AE26))))*1,".")</f>
        <v>3943.1763459024055</v>
      </c>
      <c r="W26" s="15">
        <f>IFERROR((s_TR/(s_RadSpec!L26*s_EF_res*(1/365)*s_ED_res*s_RadSpec!Q26*((s_ET_res_o*(1/24)*s_RadSpec!V26)+(s_ET_res_i*(1/24)*s_RadSpec!AA26))))*1,".")</f>
        <v>116552.61176957296</v>
      </c>
      <c r="X26" s="40">
        <f>IFERROR((s_C*s_EF_res*(1/365)*s_ED_res*s_RadSpec!R26*((s_ET_res_o*(1/24)*s_RadSpec!W26)+(s_ET_res_i*(1/24)*s_RadSpec!AB26))),".")</f>
        <v>6.451655805293259E-2</v>
      </c>
      <c r="Y26" s="40">
        <f>IFERROR((s_C*s_EF_res*(1/365)*s_ED_res*s_RadSpec!S26*((s_ET_res_o*(1/24)*s_RadSpec!X26)+(s_ET_res_i*(1/24)*s_RadSpec!AC26))),".")</f>
        <v>3.5336961839530327E-2</v>
      </c>
      <c r="Z26" s="40">
        <f>IFERROR((s_C*s_EF_res*(1/365)*s_ED_res*s_RadSpec!T26*((s_ET_res_o*(1/24)*s_RadSpec!Y26)+(s_ET_res_i*(1/24)*s_RadSpec!AD26))),".")</f>
        <v>4.8890261247099345E-2</v>
      </c>
      <c r="AA26" s="40">
        <f>IFERROR((s_C*s_EF_res*(1/365)*s_ED_res*s_RadSpec!U26*((s_ET_res_o*(1/24)*s_RadSpec!Z26)+(s_ET_res_i*(1/24)*s_RadSpec!AE26))),".")</f>
        <v>5.7156353330184248E-2</v>
      </c>
      <c r="AB26" s="40">
        <f>IFERROR((s_C*s_EF_res*(1/365)*s_ED_res*s_RadSpec!Q26*((s_ET_res_o*(1/24)*s_RadSpec!V26)+(s_ET_res_i*(1/24)*s_RadSpec!AA26))),".")</f>
        <v>6.0627502634351925E-3</v>
      </c>
      <c r="AC26" s="18"/>
      <c r="AD26" s="18"/>
      <c r="AE26" s="18"/>
      <c r="AF26" s="18"/>
      <c r="AG26" s="18"/>
      <c r="AH26" s="15">
        <f>IFERROR((s_TR/(s_RadSpec!F26*s_IFA_res_adj)),".")</f>
        <v>2.8555960759350591E-2</v>
      </c>
      <c r="AI26" s="15">
        <f>IFERROR((s_TR/(s_RadSpec!K26*s_EF_res*(1/365)*s_ED_res*s_ET_res*(1/24)*s_GSF_a)),".")</f>
        <v>106153.07957089211</v>
      </c>
      <c r="AJ26" s="15">
        <f>IFERROR(IF(AND(AH26&lt;&gt;".",AI26&lt;&gt;"."),1/((1/AH26)+(1/AI26)),IF(AND(AH26&lt;&gt;".",AI26="."),1/((1/AH26)),IF(AND(AH26=".",AI26&lt;&gt;"."),1/((1/AI26)),IF(AND(AH26=".",AI26="."),".")))),".")</f>
        <v>2.8555953077588753E-2</v>
      </c>
      <c r="AK26" s="40">
        <f t="shared" si="2"/>
        <v>10026.041666666666</v>
      </c>
      <c r="AL26" s="40">
        <f t="shared" si="3"/>
        <v>1.5696347031963471</v>
      </c>
      <c r="AM26" s="18"/>
      <c r="AN26" s="18"/>
      <c r="AO26" s="18"/>
      <c r="AP26" s="15">
        <f>IFERROR((s_TR/(s_RadSpec!I26*s_IFW_res_adj)),".")</f>
        <v>8.1357697251737005</v>
      </c>
      <c r="AQ26" s="15" t="str">
        <f>IFERROR(IF(AND(s_RadSpec!C26=1,s_RadSpec!D26&lt;&gt;0),(s_TR/(s_RadSpec!F26*s_IFA_res_adj*s_K*s_RadSpec!D26)),"."),".")</f>
        <v>.</v>
      </c>
      <c r="AR26" s="15">
        <f>IFERROR((s_TR/(s_RadSpec!M26*(1/8760)*s_DFA_res_adj)),".")</f>
        <v>29809158.052577883</v>
      </c>
      <c r="AS26" s="15">
        <f>s_b2w!C26</f>
        <v>23.965985200355735</v>
      </c>
      <c r="AT26" s="15">
        <f>(IF(AND(AP26&lt;&gt;".",AQ26&lt;&gt;".",AR26&lt;&gt;".",AS26&lt;&gt;"."),1/((1/AP26)+(1/AQ26)+(1/AR26)+(1/AS26)),IF(AND(AP26&lt;&gt;".",AQ26&lt;&gt;".",AR26&lt;&gt;".",AS26="."), 1/((1/AP26)+(1/AQ26)+(1/AR26)),IF(AND(AP26&lt;&gt;".",AQ26&lt;&gt;".",AR26=".",AS26&lt;&gt;"."),1/((1/AP26)+(1/AQ26)+(1/AS26)),IF(AND(AP26&lt;&gt;".",AQ26=".",AR26&lt;&gt;".",AS26&lt;&gt;"."),1/((1/AP26)+(1/AR26)+(1/AS26)),IF(AND(AP26=".",AQ26&lt;&gt;".",AR26&lt;&gt;".",AS26&lt;&gt;"."),1/((1/AQ26)+(1/AR26)+(1/AS26)),IF(AND(AP26&lt;&gt;".",AQ26&lt;&gt;".",AR26=".",AS26="."),1/((1/AP26)+(1/AQ26)),IF(AND(AP26&lt;&gt;".",AQ26=".",AR26&lt;&gt;".",AS26="."),1/((1/AP26)+(1/AR26)),IF(AND(AP26&lt;&gt;".",AQ26=".",AR26=".",AS26&lt;&gt;"."),1/((1/AP26)+(1/AS26)),IF(AND(AP26=".",AQ26=".",AR26&lt;&gt;".",AS26&lt;&gt;"."),1/((1/AR26)+(1/AS26)),IF(AND(AP26=".",AQ26&lt;&gt;".",AR26=".",AS26&lt;&gt;"."),1/((1/AQ26)+(1/AS26)),IF(AND(AP26=".",AQ26&lt;&gt;".",AR26&lt;&gt;".",AS26="."),1/((1/AQ26)+(1/AR26)),IF(AND(AP26&lt;&gt;".",AQ26=".",AR26=".",AS26="."),1/((1/AP26)),IF(AND(AP26=".",AQ26&lt;&gt;".",AR26=".",AS26="."),1/((1/AQ26)),IF(AND(AP26=".",AQ26=".",AR26&lt;&gt;".",AS26="."),1/((1/AR26)),IF(AND(AP26=".",AQ26=".",AR26=".",AS26&lt;&gt;"."),1/((1/AS26)),IF(AND(AP26=".",AQ26=".",AR26=".",AS26="."),".")))))))))))))))))</f>
        <v>6.0738641096160375</v>
      </c>
      <c r="AU26" s="40">
        <f t="shared" si="4"/>
        <v>27500</v>
      </c>
      <c r="AV26" s="40">
        <f>IF(s_RadSpec!D26&lt;&gt;"",s_C*s_IFA_res_adj*s_K*s_RadSpec!D26,0)</f>
        <v>0</v>
      </c>
      <c r="AW26" s="40">
        <f t="shared" si="5"/>
        <v>2.5114155251141552</v>
      </c>
      <c r="AX26" s="40">
        <f>s_b2w!AC26</f>
        <v>7182.9581601928212</v>
      </c>
      <c r="AY26" s="18"/>
      <c r="AZ26" s="18"/>
      <c r="BA26" s="18"/>
      <c r="BB26" s="18"/>
      <c r="BC26" s="18"/>
      <c r="BD26" s="15">
        <f>IFERROR(s_TR/(s_RadSpec!H26*s_EF_res*s_ED_res*s_IRF_res*0.001*s_CF_res_fish),".")</f>
        <v>1.138159794789789</v>
      </c>
      <c r="BE26" s="40">
        <f t="shared" si="6"/>
        <v>151250</v>
      </c>
      <c r="BF26" s="18"/>
    </row>
    <row r="27" spans="1:58" x14ac:dyDescent="0.25">
      <c r="A27" s="44" t="s">
        <v>37</v>
      </c>
      <c r="B27" s="42" t="s">
        <v>1071</v>
      </c>
      <c r="C27" s="249"/>
      <c r="D27" s="15" t="str">
        <f>IFERROR(((s_TR/(s_RadSpec!E27*s_IFS_res_adj*(1/1000)))*1),".")</f>
        <v>.</v>
      </c>
      <c r="E27" s="15" t="str">
        <f>IFERROR(IF(A27="H-3",(s_TR/((s_RadSpec!F27*s_IFA_res_adj*(1/17)*1000))*1),(s_TR/((s_RadSpec!F27*s_IFA_res_adj*(1/s_PEF_wind)*1000))*1)),".")</f>
        <v>.</v>
      </c>
      <c r="F27" s="15">
        <f>IFERROR((s_TR/(s_RadSpec!G27*s_EF_res*(1/365)*s_ED_res*s_RadSpec!R27*((s_ET_res_o*(1/24)*s_RadSpec!W27)+(s_ET_res_i*(1/24)*s_RadSpec!AB27))))*1,".")</f>
        <v>26738.9989443042</v>
      </c>
      <c r="G27" s="15" t="str">
        <f>s_b2s!C27</f>
        <v>.</v>
      </c>
      <c r="H27" s="15" t="str">
        <f>s_dir!C27</f>
        <v>.</v>
      </c>
      <c r="I27" s="15">
        <f t="shared" ref="I27:I29" si="31">(IF(AND(D27&lt;&gt;".",E27&lt;&gt;".",F27&lt;&gt;".",G27&lt;&gt;"."),1/((1/D27)+(1/E27)+(1/F27)+(1/G27)),IF(AND(D27&lt;&gt;".",E27&lt;&gt;".",F27&lt;&gt;".",G27="."), 1/((1/D27)+(1/E27)+(1/F27)),IF(AND(D27&lt;&gt;".",E27&lt;&gt;".",F27=".",G27&lt;&gt;"."),1/((1/D27)+(1/E27)+(1/G27)),IF(AND(D27&lt;&gt;".",E27=".",F27&lt;&gt;".",G27&lt;&gt;"."),1/((1/D27)+(1/F27)+(1/G27)),IF(AND(D27=".",E27&lt;&gt;".",F27&lt;&gt;".",G27&lt;&gt;"."),1/((1/E27)+(1/F27)+(1/G27)),IF(AND(D27&lt;&gt;".",E27&lt;&gt;".",F27=".",G27="."),1/((1/D27)+(1/E27)),IF(AND(D27&lt;&gt;".",E27=".",F27&lt;&gt;".",G27="."),1/((1/D27)+(1/F27)),IF(AND(D27&lt;&gt;".",E27=".",F27=".",G27&lt;&gt;"."),1/((1/D27)+(1/G27)),IF(AND(D27=".",E27=".",F27&lt;&gt;".",G27&lt;&gt;"."),1/((1/F27)+(1/G27)),IF(AND(D27=".",E27&lt;&gt;".",F27=".",G27&lt;&gt;"."),1/((1/E27)+(1/G27)),IF(AND(D27=".",E27&lt;&gt;".",F27&lt;&gt;".",G27="."),1/((1/E27)+(1/F27)),IF(AND(D27&lt;&gt;".",E27=".",F27=".",G27="."),1/((1/D27)),IF(AND(D27=".",E27&lt;&gt;".",F27=".",G27="."),1/((1/E27)),IF(AND(D27=".",E27=".",F27&lt;&gt;".",G27="."),1/((1/F27)),IF(AND(D27=".",E27=".",F27=".",G27&lt;&gt;"."),1/((1/G27)),IF(AND(D27=".",E27=".",F27=".",G27="."),".")))))))))))))))))</f>
        <v>26738.9989443042</v>
      </c>
      <c r="J27" s="40">
        <f t="shared" si="0"/>
        <v>302.5</v>
      </c>
      <c r="K27" s="40">
        <f t="shared" si="1"/>
        <v>3.2362545583179352E-2</v>
      </c>
      <c r="L27" s="40">
        <f>IFERROR((s_C*s_EF_res*(1/365)*s_ED_res*s_RadSpec!R27*((s_ET_res_o*(1/24)*s_RadSpec!W27)+(s_ET_res_i*(1/24)*s_RadSpec!AB27))),".")</f>
        <v>0.30620866792631063</v>
      </c>
      <c r="M27" s="40">
        <f>s_b2s!AC27</f>
        <v>38671.600000000006</v>
      </c>
      <c r="N27" s="18"/>
      <c r="O27" s="18"/>
      <c r="P27" s="18"/>
      <c r="Q27" s="18"/>
      <c r="R27" s="18"/>
      <c r="S27" s="15">
        <f>IFERROR((s_TR/(s_RadSpec!G27*s_EF_res*(1/365)*s_ED_res*s_RadSpec!R27*((s_ET_res_o*(1/24)*s_RadSpec!W27)+(s_ET_res_i*(1/24)*s_RadSpec!AB27))))*1,".")</f>
        <v>26738.9989443042</v>
      </c>
      <c r="T27" s="15">
        <f>IFERROR((s_TR/(s_RadSpec!N27*s_EF_res*(1/365)*s_ED_res*s_RadSpec!S27*((s_ET_res_o*(1/24)*s_RadSpec!X27)+(s_ET_res_i*(1/24)*s_RadSpec!AC27))))*1,".")</f>
        <v>233560.82322213711</v>
      </c>
      <c r="U27" s="15">
        <f>IFERROR((s_TR/(s_RadSpec!O27*s_EF_res*(1/365)*s_ED_res*s_RadSpec!T27*((s_ET_res_o*(1/24)*s_RadSpec!Y27)+(s_ET_res_i*(1/24)*s_RadSpec!AD27))))*1,".")</f>
        <v>67348.002458888557</v>
      </c>
      <c r="V27" s="15">
        <f>IFERROR((s_TR/(s_RadSpec!P27*s_EF_res*(1/365)*s_ED_res*s_RadSpec!U27*((s_ET_res_o*(1/24)*s_RadSpec!Z27)+(s_ET_res_i*(1/24)*s_RadSpec!AE27))))*1,".")</f>
        <v>36852.1578117803</v>
      </c>
      <c r="W27" s="15">
        <f>IFERROR((s_TR/(s_RadSpec!L27*s_EF_res*(1/365)*s_ED_res*s_RadSpec!Q27*((s_ET_res_o*(1/24)*s_RadSpec!V27)+(s_ET_res_i*(1/24)*s_RadSpec!AA27))))*1,".")</f>
        <v>176771.07585015867</v>
      </c>
      <c r="X27" s="40">
        <f>IFERROR((s_C*s_EF_res*(1/365)*s_ED_res*s_RadSpec!R27*((s_ET_res_o*(1/24)*s_RadSpec!W27)+(s_ET_res_i*(1/24)*s_RadSpec!AB27))),".")</f>
        <v>0.30620866792631063</v>
      </c>
      <c r="Y27" s="40">
        <f>IFERROR((s_C*s_EF_res*(1/365)*s_ED_res*s_RadSpec!S27*((s_ET_res_o*(1/24)*s_RadSpec!X27)+(s_ET_res_i*(1/24)*s_RadSpec!AC27))),".")</f>
        <v>0.10323366701791355</v>
      </c>
      <c r="Z27" s="40">
        <f>IFERROR((s_C*s_EF_res*(1/365)*s_ED_res*s_RadSpec!T27*((s_ET_res_o*(1/24)*s_RadSpec!Y27)+(s_ET_res_i*(1/24)*s_RadSpec!AD27))),".")</f>
        <v>0.16838663123654191</v>
      </c>
      <c r="AA27" s="40">
        <f>IFERROR((s_C*s_EF_res*(1/365)*s_ED_res*s_RadSpec!U27*((s_ET_res_o*(1/24)*s_RadSpec!Z27)+(s_ET_res_i*(1/24)*s_RadSpec!AE27))),".")</f>
        <v>0.23147157875574562</v>
      </c>
      <c r="AB27" s="40">
        <f>IFERROR((s_C*s_EF_res*(1/365)*s_ED_res*s_RadSpec!Q27*((s_ET_res_o*(1/24)*s_RadSpec!V27)+(s_ET_res_i*(1/24)*s_RadSpec!AA27))),".")</f>
        <v>3.3003275759380571E-2</v>
      </c>
      <c r="AC27" s="18"/>
      <c r="AD27" s="18"/>
      <c r="AE27" s="18"/>
      <c r="AF27" s="18"/>
      <c r="AG27" s="18"/>
      <c r="AH27" s="15" t="str">
        <f>IFERROR((s_TR/(s_RadSpec!F27*s_IFA_res_adj)),".")</f>
        <v>.</v>
      </c>
      <c r="AI27" s="15">
        <f>IFERROR((s_TR/(s_RadSpec!K27*s_EF_res*(1/365)*s_ED_res*s_ET_res*(1/24)*s_GSF_a)),".")</f>
        <v>3388986.5154930782</v>
      </c>
      <c r="AJ27" s="15">
        <f>IFERROR(IF(AND(AH27&lt;&gt;".",AI27&lt;&gt;"."),1/((1/AH27)+(1/AI27)),IF(AND(AH27&lt;&gt;".",AI27="."),1/((1/AH27)),IF(AND(AH27=".",AI27&lt;&gt;"."),1/((1/AI27)),IF(AND(AH27=".",AI27="."),".")))),".")</f>
        <v>3388986.5154930782</v>
      </c>
      <c r="AK27" s="40">
        <f t="shared" si="2"/>
        <v>10026.041666666666</v>
      </c>
      <c r="AL27" s="40">
        <f t="shared" si="3"/>
        <v>1.5696347031963471</v>
      </c>
      <c r="AM27" s="18"/>
      <c r="AN27" s="18"/>
      <c r="AO27" s="18"/>
      <c r="AP27" s="15" t="str">
        <f>IFERROR((s_TR/(s_RadSpec!I27*s_IFW_res_adj)),".")</f>
        <v>.</v>
      </c>
      <c r="AQ27" s="15" t="str">
        <f>IFERROR(IF(AND(s_RadSpec!C27=1,s_RadSpec!D27&lt;&gt;0),(s_TR/(s_RadSpec!F27*s_IFA_res_adj*s_K*s_RadSpec!D27)),"."),".")</f>
        <v>.</v>
      </c>
      <c r="AR27" s="15">
        <f>IFERROR((s_TR/(s_RadSpec!M27*(1/8760)*s_DFA_res_adj)),".")</f>
        <v>1353241143.3392498</v>
      </c>
      <c r="AS27" s="15" t="str">
        <f>s_b2w!C27</f>
        <v>.</v>
      </c>
      <c r="AT27" s="15">
        <f>(IF(AND(AP27&lt;&gt;".",AQ27&lt;&gt;".",AR27&lt;&gt;".",AS27&lt;&gt;"."),1/((1/AP27)+(1/AQ27)+(1/AR27)+(1/AS27)),IF(AND(AP27&lt;&gt;".",AQ27&lt;&gt;".",AR27&lt;&gt;".",AS27="."), 1/((1/AP27)+(1/AQ27)+(1/AR27)),IF(AND(AP27&lt;&gt;".",AQ27&lt;&gt;".",AR27=".",AS27&lt;&gt;"."),1/((1/AP27)+(1/AQ27)+(1/AS27)),IF(AND(AP27&lt;&gt;".",AQ27=".",AR27&lt;&gt;".",AS27&lt;&gt;"."),1/((1/AP27)+(1/AR27)+(1/AS27)),IF(AND(AP27=".",AQ27&lt;&gt;".",AR27&lt;&gt;".",AS27&lt;&gt;"."),1/((1/AQ27)+(1/AR27)+(1/AS27)),IF(AND(AP27&lt;&gt;".",AQ27&lt;&gt;".",AR27=".",AS27="."),1/((1/AP27)+(1/AQ27)),IF(AND(AP27&lt;&gt;".",AQ27=".",AR27&lt;&gt;".",AS27="."),1/((1/AP27)+(1/AR27)),IF(AND(AP27&lt;&gt;".",AQ27=".",AR27=".",AS27&lt;&gt;"."),1/((1/AP27)+(1/AS27)),IF(AND(AP27=".",AQ27=".",AR27&lt;&gt;".",AS27&lt;&gt;"."),1/((1/AR27)+(1/AS27)),IF(AND(AP27=".",AQ27&lt;&gt;".",AR27=".",AS27&lt;&gt;"."),1/((1/AQ27)+(1/AS27)),IF(AND(AP27=".",AQ27&lt;&gt;".",AR27&lt;&gt;".",AS27="."),1/((1/AQ27)+(1/AR27)),IF(AND(AP27&lt;&gt;".",AQ27=".",AR27=".",AS27="."),1/((1/AP27)),IF(AND(AP27=".",AQ27&lt;&gt;".",AR27=".",AS27="."),1/((1/AQ27)),IF(AND(AP27=".",AQ27=".",AR27&lt;&gt;".",AS27="."),1/((1/AR27)),IF(AND(AP27=".",AQ27=".",AR27=".",AS27&lt;&gt;"."),1/((1/AS27)),IF(AND(AP27=".",AQ27=".",AR27=".",AS27="."),".")))))))))))))))))</f>
        <v>1353241143.3392498</v>
      </c>
      <c r="AU27" s="40">
        <f t="shared" si="4"/>
        <v>27500</v>
      </c>
      <c r="AV27" s="40">
        <f>IF(s_RadSpec!D27&lt;&gt;"",s_C*s_IFA_res_adj*s_K*s_RadSpec!D27,0)</f>
        <v>0</v>
      </c>
      <c r="AW27" s="40">
        <f t="shared" si="5"/>
        <v>2.5114155251141552</v>
      </c>
      <c r="AX27" s="40">
        <f>s_b2w!AC27</f>
        <v>13137.755598218413</v>
      </c>
      <c r="AY27" s="18"/>
      <c r="AZ27" s="18"/>
      <c r="BA27" s="18"/>
      <c r="BB27" s="18"/>
      <c r="BC27" s="18"/>
      <c r="BD27" s="15" t="str">
        <f>IFERROR(s_TR/(s_RadSpec!H27*s_EF_res*s_ED_res*s_IRF_res*0.001*s_CF_res_fish),".")</f>
        <v>.</v>
      </c>
      <c r="BE27" s="40">
        <f t="shared" si="6"/>
        <v>151250</v>
      </c>
      <c r="BF27" s="18"/>
    </row>
    <row r="28" spans="1:58" x14ac:dyDescent="0.25">
      <c r="A28" s="44" t="s">
        <v>38</v>
      </c>
      <c r="B28" s="42" t="s">
        <v>1071</v>
      </c>
      <c r="C28" s="42"/>
      <c r="D28" s="15" t="str">
        <f>IFERROR(((s_TR/(s_RadSpec!E28*s_IFS_res_adj*(1/1000)))*1),".")</f>
        <v>.</v>
      </c>
      <c r="E28" s="15" t="str">
        <f>IFERROR(IF(A28="H-3",(s_TR/((s_RadSpec!F28*s_IFA_res_adj*(1/17)*1000))*1),(s_TR/((s_RadSpec!F28*s_IFA_res_adj*(1/s_PEF_wind)*1000))*1)),".")</f>
        <v>.</v>
      </c>
      <c r="F28" s="15">
        <f>IFERROR((s_TR/(s_RadSpec!G28*s_EF_res*(1/365)*s_ED_res*s_RadSpec!R28*((s_ET_res_o*(1/24)*s_RadSpec!W28)+(s_ET_res_i*(1/24)*s_RadSpec!AB28))))*1,".")</f>
        <v>7.0003007748211061</v>
      </c>
      <c r="G28" s="15" t="str">
        <f>s_b2s!C28</f>
        <v>.</v>
      </c>
      <c r="H28" s="15" t="str">
        <f>s_dir!C28</f>
        <v>.</v>
      </c>
      <c r="I28" s="15">
        <f t="shared" si="31"/>
        <v>7.0003007748211061</v>
      </c>
      <c r="J28" s="40">
        <f t="shared" si="0"/>
        <v>302.5</v>
      </c>
      <c r="K28" s="40">
        <f t="shared" si="1"/>
        <v>3.2362545583179352E-2</v>
      </c>
      <c r="L28" s="40">
        <f>IFERROR((s_C*s_EF_res*(1/365)*s_ED_res*s_RadSpec!R28*((s_ET_res_o*(1/24)*s_RadSpec!W28)+(s_ET_res_i*(1/24)*s_RadSpec!AB28))),".")</f>
        <v>0.69198287671232872</v>
      </c>
      <c r="M28" s="40">
        <f>s_b2s!AC28</f>
        <v>38671.600000000006</v>
      </c>
      <c r="N28" s="18"/>
      <c r="O28" s="18"/>
      <c r="P28" s="18"/>
      <c r="Q28" s="18"/>
      <c r="R28" s="18"/>
      <c r="S28" s="15">
        <f>IFERROR((s_TR/(s_RadSpec!G28*s_EF_res*(1/365)*s_ED_res*s_RadSpec!R28*((s_ET_res_o*(1/24)*s_RadSpec!W28)+(s_ET_res_i*(1/24)*s_RadSpec!AB28))))*1,".")</f>
        <v>7.0003007748211061</v>
      </c>
      <c r="T28" s="15">
        <f>IFERROR((s_TR/(s_RadSpec!N28*s_EF_res*(1/365)*s_ED_res*s_RadSpec!S28*((s_ET_res_o*(1/24)*s_RadSpec!X28)+(s_ET_res_i*(1/24)*s_RadSpec!AC28))))*1,".")</f>
        <v>84.552501983721442</v>
      </c>
      <c r="U28" s="15">
        <f>IFERROR((s_TR/(s_RadSpec!O28*s_EF_res*(1/365)*s_ED_res*s_RadSpec!T28*((s_ET_res_o*(1/24)*s_RadSpec!Y28)+(s_ET_res_i*(1/24)*s_RadSpec!AD28))))*1,".")</f>
        <v>20.436152456118414</v>
      </c>
      <c r="V28" s="15">
        <f>IFERROR((s_TR/(s_RadSpec!P28*s_EF_res*(1/365)*s_ED_res*s_RadSpec!U28*((s_ET_res_o*(1/24)*s_RadSpec!Z28)+(s_ET_res_i*(1/24)*s_RadSpec!AE28))))*1,".")</f>
        <v>11.119030049111526</v>
      </c>
      <c r="W28" s="15">
        <f>IFERROR((s_TR/(s_RadSpec!L28*s_EF_res*(1/365)*s_ED_res*s_RadSpec!Q28*((s_ET_res_o*(1/24)*s_RadSpec!V28)+(s_ET_res_i*(1/24)*s_RadSpec!AA28))))*1,".")</f>
        <v>152.56666978248245</v>
      </c>
      <c r="X28" s="40">
        <f>IFERROR((s_C*s_EF_res*(1/365)*s_ED_res*s_RadSpec!R28*((s_ET_res_o*(1/24)*s_RadSpec!W28)+(s_ET_res_i*(1/24)*s_RadSpec!AB28))),".")</f>
        <v>0.69198287671232872</v>
      </c>
      <c r="Y28" s="40">
        <f>IFERROR((s_C*s_EF_res*(1/365)*s_ED_res*s_RadSpec!S28*((s_ET_res_o*(1/24)*s_RadSpec!X28)+(s_ET_res_i*(1/24)*s_RadSpec!AC28))),".")</f>
        <v>0.31032566554665281</v>
      </c>
      <c r="Z28" s="40">
        <f>IFERROR((s_C*s_EF_res*(1/365)*s_ED_res*s_RadSpec!T28*((s_ET_res_o*(1/24)*s_RadSpec!Y28)+(s_ET_res_i*(1/24)*s_RadSpec!AD28))),".")</f>
        <v>0.44696917808219194</v>
      </c>
      <c r="AA28" s="40">
        <f>IFERROR((s_C*s_EF_res*(1/365)*s_ED_res*s_RadSpec!U28*((s_ET_res_o*(1/24)*s_RadSpec!Z28)+(s_ET_res_i*(1/24)*s_RadSpec!AE28))),".")</f>
        <v>0.51624823730862235</v>
      </c>
      <c r="AB28" s="40">
        <f>IFERROR((s_C*s_EF_res*(1/365)*s_ED_res*s_RadSpec!Q28*((s_ET_res_o*(1/24)*s_RadSpec!V28)+(s_ET_res_i*(1/24)*s_RadSpec!AA28))),".")</f>
        <v>0.17652552926525519</v>
      </c>
      <c r="AC28" s="18"/>
      <c r="AD28" s="18"/>
      <c r="AE28" s="18"/>
      <c r="AF28" s="18"/>
      <c r="AG28" s="18"/>
      <c r="AH28" s="15" t="str">
        <f>IFERROR((s_TR/(s_RadSpec!F28*s_IFA_res_adj)),".")</f>
        <v>.</v>
      </c>
      <c r="AI28" s="15">
        <f>IFERROR((s_TR/(s_RadSpec!K28*s_EF_res*(1/365)*s_ED_res*s_ET_res*(1/24)*s_GSF_a)),".")</f>
        <v>3326.9928597218632</v>
      </c>
      <c r="AJ28" s="15">
        <f t="shared" ref="AJ28:AJ29" si="32">IFERROR(IF(AND(AH28&lt;&gt;".",AI28&lt;&gt;"."),1/((1/AH28)+(1/AI28)),IF(AND(AH28&lt;&gt;".",AI28="."),1/((1/AH28)),IF(AND(AH28=".",AI28&lt;&gt;"."),1/((1/AI28)),IF(AND(AH28=".",AI28="."),".")))),".")</f>
        <v>3326.9928597218632</v>
      </c>
      <c r="AK28" s="40">
        <f t="shared" si="2"/>
        <v>10026.041666666666</v>
      </c>
      <c r="AL28" s="40">
        <f t="shared" si="3"/>
        <v>1.5696347031963471</v>
      </c>
      <c r="AM28" s="18"/>
      <c r="AN28" s="18"/>
      <c r="AO28" s="18"/>
      <c r="AP28" s="15" t="str">
        <f>IFERROR((s_TR/(s_RadSpec!I28*s_IFW_res_adj)),".")</f>
        <v>.</v>
      </c>
      <c r="AQ28" s="15" t="str">
        <f>IFERROR(IF(AND(s_RadSpec!C28=1,s_RadSpec!D28&lt;&gt;0),(s_TR/(s_RadSpec!F28*s_IFA_res_adj*s_K*s_RadSpec!D28)),"."),".")</f>
        <v>.</v>
      </c>
      <c r="AR28" s="15">
        <f>IFERROR((s_TR/(s_RadSpec!M28*(1/8760)*s_DFA_res_adj)),".")</f>
        <v>957912.27000418806</v>
      </c>
      <c r="AS28" s="15" t="str">
        <f>s_b2w!C28</f>
        <v>.</v>
      </c>
      <c r="AT28" s="15">
        <f t="shared" ref="AT28:AT29" si="33">(IF(AND(AP28&lt;&gt;".",AQ28&lt;&gt;".",AR28&lt;&gt;".",AS28&lt;&gt;"."),1/((1/AP28)+(1/AQ28)+(1/AR28)+(1/AS28)),IF(AND(AP28&lt;&gt;".",AQ28&lt;&gt;".",AR28&lt;&gt;".",AS28="."), 1/((1/AP28)+(1/AQ28)+(1/AR28)),IF(AND(AP28&lt;&gt;".",AQ28&lt;&gt;".",AR28=".",AS28&lt;&gt;"."),1/((1/AP28)+(1/AQ28)+(1/AS28)),IF(AND(AP28&lt;&gt;".",AQ28=".",AR28&lt;&gt;".",AS28&lt;&gt;"."),1/((1/AP28)+(1/AR28)+(1/AS28)),IF(AND(AP28=".",AQ28&lt;&gt;".",AR28&lt;&gt;".",AS28&lt;&gt;"."),1/((1/AQ28)+(1/AR28)+(1/AS28)),IF(AND(AP28&lt;&gt;".",AQ28&lt;&gt;".",AR28=".",AS28="."),1/((1/AP28)+(1/AQ28)),IF(AND(AP28&lt;&gt;".",AQ28=".",AR28&lt;&gt;".",AS28="."),1/((1/AP28)+(1/AR28)),IF(AND(AP28&lt;&gt;".",AQ28=".",AR28=".",AS28&lt;&gt;"."),1/((1/AP28)+(1/AS28)),IF(AND(AP28=".",AQ28=".",AR28&lt;&gt;".",AS28&lt;&gt;"."),1/((1/AR28)+(1/AS28)),IF(AND(AP28=".",AQ28&lt;&gt;".",AR28=".",AS28&lt;&gt;"."),1/((1/AQ28)+(1/AS28)),IF(AND(AP28=".",AQ28&lt;&gt;".",AR28&lt;&gt;".",AS28="."),1/((1/AQ28)+(1/AR28)),IF(AND(AP28&lt;&gt;".",AQ28=".",AR28=".",AS28="."),1/((1/AP28)),IF(AND(AP28=".",AQ28&lt;&gt;".",AR28=".",AS28="."),1/((1/AQ28)),IF(AND(AP28=".",AQ28=".",AR28&lt;&gt;".",AS28="."),1/((1/AR28)),IF(AND(AP28=".",AQ28=".",AR28=".",AS28&lt;&gt;"."),1/((1/AS28)),IF(AND(AP28=".",AQ28=".",AR28=".",AS28="."),".")))))))))))))))))</f>
        <v>957912.27000418806</v>
      </c>
      <c r="AU28" s="40">
        <f t="shared" si="4"/>
        <v>27500</v>
      </c>
      <c r="AV28" s="40">
        <f>IF(s_RadSpec!D28&lt;&gt;"",s_C*s_IFA_res_adj*s_K*s_RadSpec!D28,0)</f>
        <v>0</v>
      </c>
      <c r="AW28" s="40">
        <f t="shared" si="5"/>
        <v>2.5114155251141552</v>
      </c>
      <c r="AX28" s="40">
        <f>s_b2w!AC28</f>
        <v>13137.755598218413</v>
      </c>
      <c r="AY28" s="18"/>
      <c r="AZ28" s="18"/>
      <c r="BA28" s="18"/>
      <c r="BB28" s="18"/>
      <c r="BC28" s="18"/>
      <c r="BD28" s="15" t="str">
        <f>IFERROR(s_TR/(s_RadSpec!H28*s_EF_res*s_ED_res*s_IRF_res*0.001*s_CF_res_fish),".")</f>
        <v>.</v>
      </c>
      <c r="BE28" s="40">
        <f t="shared" si="6"/>
        <v>151250</v>
      </c>
      <c r="BF28" s="18"/>
    </row>
    <row r="29" spans="1:58" x14ac:dyDescent="0.25">
      <c r="A29" s="44" t="s">
        <v>39</v>
      </c>
      <c r="B29" s="42" t="s">
        <v>1071</v>
      </c>
      <c r="C29" s="249"/>
      <c r="D29" s="15" t="str">
        <f>IFERROR(((s_TR/(s_RadSpec!E29*s_IFS_res_adj*(1/1000)))*1),".")</f>
        <v>.</v>
      </c>
      <c r="E29" s="15" t="str">
        <f>IFERROR(IF(A29="H-3",(s_TR/((s_RadSpec!F29*s_IFA_res_adj*(1/17)*1000))*1),(s_TR/((s_RadSpec!F29*s_IFA_res_adj*(1/s_PEF_wind)*1000))*1)),".")</f>
        <v>.</v>
      </c>
      <c r="F29" s="15">
        <f>IFERROR((s_TR/(s_RadSpec!G29*s_EF_res*(1/365)*s_ED_res*s_RadSpec!R29*((s_ET_res_o*(1/24)*s_RadSpec!W29)+(s_ET_res_i*(1/24)*s_RadSpec!AB29))))*1,".")</f>
        <v>5.8515060130136289</v>
      </c>
      <c r="G29" s="15" t="str">
        <f>s_b2s!C29</f>
        <v>.</v>
      </c>
      <c r="H29" s="15" t="str">
        <f>s_dir!C29</f>
        <v>.</v>
      </c>
      <c r="I29" s="15">
        <f t="shared" si="31"/>
        <v>5.851506013013628</v>
      </c>
      <c r="J29" s="40">
        <f t="shared" si="0"/>
        <v>302.5</v>
      </c>
      <c r="K29" s="40">
        <f t="shared" si="1"/>
        <v>3.2362545583179352E-2</v>
      </c>
      <c r="L29" s="40">
        <f>IFERROR((s_C*s_EF_res*(1/365)*s_ED_res*s_RadSpec!R29*((s_ET_res_o*(1/24)*s_RadSpec!W29)+(s_ET_res_i*(1/24)*s_RadSpec!AB29))),".")</f>
        <v>0.63635405690200175</v>
      </c>
      <c r="M29" s="40">
        <f>s_b2s!AC29</f>
        <v>38671.600000000006</v>
      </c>
      <c r="N29" s="18"/>
      <c r="O29" s="18"/>
      <c r="P29" s="18"/>
      <c r="Q29" s="18"/>
      <c r="R29" s="18"/>
      <c r="S29" s="15">
        <f>IFERROR((s_TR/(s_RadSpec!G29*s_EF_res*(1/365)*s_ED_res*s_RadSpec!R29*((s_ET_res_o*(1/24)*s_RadSpec!W29)+(s_ET_res_i*(1/24)*s_RadSpec!AB29))))*1,".")</f>
        <v>5.8515060130136289</v>
      </c>
      <c r="T29" s="15">
        <f>IFERROR((s_TR/(s_RadSpec!N29*s_EF_res*(1/365)*s_ED_res*s_RadSpec!S29*((s_ET_res_o*(1/24)*s_RadSpec!X29)+(s_ET_res_i*(1/24)*s_RadSpec!AC29))))*1,".")</f>
        <v>63.101272150168128</v>
      </c>
      <c r="U29" s="15">
        <f>IFERROR((s_TR/(s_RadSpec!O29*s_EF_res*(1/365)*s_ED_res*s_RadSpec!T29*((s_ET_res_o*(1/24)*s_RadSpec!Y29)+(s_ET_res_i*(1/24)*s_RadSpec!AD29))))*1,".")</f>
        <v>15.692281789333094</v>
      </c>
      <c r="V29" s="15">
        <f>IFERROR((s_TR/(s_RadSpec!P29*s_EF_res*(1/365)*s_ED_res*s_RadSpec!U29*((s_ET_res_o*(1/24)*s_RadSpec!Z29)+(s_ET_res_i*(1/24)*s_RadSpec!AE29))))*1,".")</f>
        <v>8.3396200178339086</v>
      </c>
      <c r="W29" s="15">
        <f>IFERROR((s_TR/(s_RadSpec!L29*s_EF_res*(1/365)*s_ED_res*s_RadSpec!Q29*((s_ET_res_o*(1/24)*s_RadSpec!V29)+(s_ET_res_i*(1/24)*s_RadSpec!AA29))))*1,".")</f>
        <v>117.04998415467476</v>
      </c>
      <c r="X29" s="40">
        <f>IFERROR((s_C*s_EF_res*(1/365)*s_ED_res*s_RadSpec!R29*((s_ET_res_o*(1/24)*s_RadSpec!W29)+(s_ET_res_i*(1/24)*s_RadSpec!AB29))),".")</f>
        <v>0.63635405690200175</v>
      </c>
      <c r="Y29" s="40">
        <f>IFERROR((s_C*s_EF_res*(1/365)*s_ED_res*s_RadSpec!S29*((s_ET_res_o*(1/24)*s_RadSpec!X29)+(s_ET_res_i*(1/24)*s_RadSpec!AC29))),".")</f>
        <v>0.31890004068900052</v>
      </c>
      <c r="Z29" s="40">
        <f>IFERROR((s_C*s_EF_res*(1/365)*s_ED_res*s_RadSpec!T29*((s_ET_res_o*(1/24)*s_RadSpec!Y29)+(s_ET_res_i*(1/24)*s_RadSpec!AD29))),".")</f>
        <v>0.4476445038422987</v>
      </c>
      <c r="AA29" s="40">
        <f>IFERROR((s_C*s_EF_res*(1/365)*s_ED_res*s_RadSpec!U29*((s_ET_res_o*(1/24)*s_RadSpec!Z29)+(s_ET_res_i*(1/24)*s_RadSpec!AE29))),".")</f>
        <v>0.52772201228153082</v>
      </c>
      <c r="AB29" s="40">
        <f>IFERROR((s_C*s_EF_res*(1/365)*s_ED_res*s_RadSpec!Q29*((s_ET_res_o*(1/24)*s_RadSpec!V29)+(s_ET_res_i*(1/24)*s_RadSpec!AA29))),".")</f>
        <v>0.17759295499021524</v>
      </c>
      <c r="AC29" s="18"/>
      <c r="AD29" s="18"/>
      <c r="AE29" s="18"/>
      <c r="AF29" s="18"/>
      <c r="AG29" s="18"/>
      <c r="AH29" s="15" t="str">
        <f>IFERROR((s_TR/(s_RadSpec!F29*s_IFA_res_adj)),".")</f>
        <v>.</v>
      </c>
      <c r="AI29" s="15">
        <f>IFERROR((s_TR/(s_RadSpec!K29*s_EF_res*(1/365)*s_ED_res*s_ET_res*(1/24)*s_GSF_a)),".")</f>
        <v>2573.7114575206856</v>
      </c>
      <c r="AJ29" s="15">
        <f t="shared" si="32"/>
        <v>2573.7114575206856</v>
      </c>
      <c r="AK29" s="40">
        <f t="shared" si="2"/>
        <v>10026.041666666666</v>
      </c>
      <c r="AL29" s="40">
        <f t="shared" si="3"/>
        <v>1.5696347031963471</v>
      </c>
      <c r="AM29" s="18"/>
      <c r="AN29" s="18"/>
      <c r="AO29" s="18"/>
      <c r="AP29" s="15" t="str">
        <f>IFERROR((s_TR/(s_RadSpec!I29*s_IFW_res_adj)),".")</f>
        <v>.</v>
      </c>
      <c r="AQ29" s="15" t="str">
        <f>IFERROR(IF(AND(s_RadSpec!C29=1,s_RadSpec!D29&lt;&gt;0),(s_TR/(s_RadSpec!F29*s_IFA_res_adj*s_K*s_RadSpec!D29)),"."),".")</f>
        <v>.</v>
      </c>
      <c r="AR29" s="15">
        <f>IFERROR((s_TR/(s_RadSpec!M29*(1/8760)*s_DFA_res_adj)),".")</f>
        <v>741340.80026411079</v>
      </c>
      <c r="AS29" s="15" t="str">
        <f>s_b2w!C29</f>
        <v>.</v>
      </c>
      <c r="AT29" s="15">
        <f t="shared" si="33"/>
        <v>741340.80026411079</v>
      </c>
      <c r="AU29" s="40">
        <f t="shared" si="4"/>
        <v>27500</v>
      </c>
      <c r="AV29" s="40">
        <f>IF(s_RadSpec!D29&lt;&gt;"",s_C*s_IFA_res_adj*s_K*s_RadSpec!D29,0)</f>
        <v>4.634532747395833E-2</v>
      </c>
      <c r="AW29" s="40">
        <f t="shared" si="5"/>
        <v>2.5114155251141552</v>
      </c>
      <c r="AX29" s="40">
        <f>s_b2w!AC29</f>
        <v>13137.755598218413</v>
      </c>
      <c r="AY29" s="18"/>
      <c r="AZ29" s="18"/>
      <c r="BA29" s="18"/>
      <c r="BB29" s="18"/>
      <c r="BC29" s="18"/>
      <c r="BD29" s="15" t="str">
        <f>IFERROR(s_TR/(s_RadSpec!H29*s_EF_res*s_ED_res*s_IRF_res*0.001*s_CF_res_fish),".")</f>
        <v>.</v>
      </c>
      <c r="BE29" s="40">
        <f t="shared" si="6"/>
        <v>151250</v>
      </c>
      <c r="BF29" s="18"/>
    </row>
    <row r="30" spans="1:58" x14ac:dyDescent="0.25">
      <c r="A30" s="44" t="s">
        <v>40</v>
      </c>
      <c r="B30" s="42" t="s">
        <v>1071</v>
      </c>
      <c r="C30" s="42"/>
      <c r="D30" s="15">
        <f>IFERROR(((s_TR/(s_RadSpec!E30*s_IFS_res_adj*(1/1000)))*1),".")</f>
        <v>1100.3145799384044</v>
      </c>
      <c r="E30" s="15">
        <f>IFERROR(IF(A30="H-3",(s_TR/((s_RadSpec!F30*s_IFA_res_adj*(1/17)*1000))*1),(s_TR/((s_RadSpec!F30*s_IFA_res_adj*(1/s_PEF_wind)*1000))*1)),".")</f>
        <v>54583.850648194522</v>
      </c>
      <c r="F30" s="15">
        <f>IFERROR((s_TR/(s_RadSpec!G30*s_EF_res*(1/365)*s_ED_res*s_RadSpec!R30*((s_ET_res_o*(1/24)*s_RadSpec!W30)+(s_ET_res_i*(1/24)*s_RadSpec!AB30))))*1,".")</f>
        <v>1036966.3933634097</v>
      </c>
      <c r="G30" s="15">
        <f>s_b2s!C30</f>
        <v>44.610170493246052</v>
      </c>
      <c r="H30" s="15">
        <f>s_dir!C30</f>
        <v>0.85253381575380194</v>
      </c>
      <c r="I30" s="15">
        <f>(IF(AND(D30&lt;&gt;".",E30&lt;&gt;".",F30&lt;&gt;".",G30&lt;&gt;"."),1/((1/D30)+(1/E30)+(1/F30)+(1/G30)),IF(AND(D30&lt;&gt;".",E30&lt;&gt;".",F30&lt;&gt;".",G30="."), 1/((1/D30)+(1/E30)+(1/F30)),IF(AND(D30&lt;&gt;".",E30&lt;&gt;".",F30=".",G30&lt;&gt;"."),1/((1/D30)+(1/E30)+(1/G30)),IF(AND(D30&lt;&gt;".",E30=".",F30&lt;&gt;".",G30&lt;&gt;"."),1/((1/D30)+(1/F30)+(1/G30)),IF(AND(D30=".",E30&lt;&gt;".",F30&lt;&gt;".",G30&lt;&gt;"."),1/((1/E30)+(1/F30)+(1/G30)),IF(AND(D30&lt;&gt;".",E30&lt;&gt;".",F30=".",G30="."),1/((1/D30)+(1/E30)),IF(AND(D30&lt;&gt;".",E30=".",F30&lt;&gt;".",G30="."),1/((1/D30)+(1/F30)),IF(AND(D30&lt;&gt;".",E30=".",F30=".",G30&lt;&gt;"."),1/((1/D30)+(1/G30)),IF(AND(D30=".",E30=".",F30&lt;&gt;".",G30&lt;&gt;"."),1/((1/F30)+(1/G30)),IF(AND(D30=".",E30&lt;&gt;".",F30=".",G30&lt;&gt;"."),1/((1/E30)+(1/G30)),IF(AND(D30=".",E30&lt;&gt;".",F30&lt;&gt;".",G30="."),1/((1/E30)+(1/F30)),IF(AND(D30&lt;&gt;".",E30=".",F30=".",G30="."),1/((1/D30)),IF(AND(D30=".",E30&lt;&gt;".",F30=".",G30="."),1/((1/E30)),IF(AND(D30=".",E30=".",F30&lt;&gt;".",G30="."),1/((1/F30)),IF(AND(D30=".",E30=".",F30=".",G30&lt;&gt;"."),1/((1/G30)),IF(AND(D30=".",E30=".",F30=".",G30="."),".")))))))))))))))))</f>
        <v>42.836589875466714</v>
      </c>
      <c r="J30" s="40">
        <f t="shared" si="0"/>
        <v>302.5</v>
      </c>
      <c r="K30" s="40">
        <f t="shared" si="1"/>
        <v>3.2362545583179352E-2</v>
      </c>
      <c r="L30" s="40">
        <f>IFERROR((s_C*s_EF_res*(1/365)*s_ED_res*s_RadSpec!R30*((s_ET_res_o*(1/24)*s_RadSpec!W30)+(s_ET_res_i*(1/24)*s_RadSpec!AB30))),".")</f>
        <v>6.7808219178082191E-2</v>
      </c>
      <c r="M30" s="40">
        <f>s_b2s!AC30</f>
        <v>11562.00375</v>
      </c>
      <c r="N30" s="18"/>
      <c r="O30" s="18"/>
      <c r="P30" s="18"/>
      <c r="Q30" s="18"/>
      <c r="R30" s="18"/>
      <c r="S30" s="15">
        <f>IFERROR((s_TR/(s_RadSpec!G30*s_EF_res*(1/365)*s_ED_res*s_RadSpec!R30*((s_ET_res_o*(1/24)*s_RadSpec!W30)+(s_ET_res_i*(1/24)*s_RadSpec!AB30))))*1,".")</f>
        <v>1036966.3933634097</v>
      </c>
      <c r="T30" s="15">
        <f>IFERROR((s_TR/(s_RadSpec!N30*s_EF_res*(1/365)*s_ED_res*s_RadSpec!S30*((s_ET_res_o*(1/24)*s_RadSpec!X30)+(s_ET_res_i*(1/24)*s_RadSpec!AC30))))*1,".")</f>
        <v>17419821.906456765</v>
      </c>
      <c r="U30" s="15">
        <f>IFERROR((s_TR/(s_RadSpec!O30*s_EF_res*(1/365)*s_ED_res*s_RadSpec!T30*((s_ET_res_o*(1/24)*s_RadSpec!Y30)+(s_ET_res_i*(1/24)*s_RadSpec!AD30))))*1,".")</f>
        <v>2571231.9401023039</v>
      </c>
      <c r="V30" s="15">
        <f>IFERROR((s_TR/(s_RadSpec!P30*s_EF_res*(1/365)*s_ED_res*s_RadSpec!U30*((s_ET_res_o*(1/24)*s_RadSpec!Z30)+(s_ET_res_i*(1/24)*s_RadSpec!AE30))))*1,".")</f>
        <v>1408939.5020022925</v>
      </c>
      <c r="W30" s="15">
        <f>IFERROR((s_TR/(s_RadSpec!L30*s_EF_res*(1/365)*s_ED_res*s_RadSpec!Q30*((s_ET_res_o*(1/24)*s_RadSpec!V30)+(s_ET_res_i*(1/24)*s_RadSpec!AA30))))*1,".")</f>
        <v>247651973.94443786</v>
      </c>
      <c r="X30" s="40">
        <f>IFERROR((s_C*s_EF_res*(1/365)*s_ED_res*s_RadSpec!R30*((s_ET_res_o*(1/24)*s_RadSpec!W30)+(s_ET_res_i*(1/24)*s_RadSpec!AB30))),".")</f>
        <v>6.7808219178082191E-2</v>
      </c>
      <c r="Y30" s="40">
        <f>IFERROR((s_C*s_EF_res*(1/365)*s_ED_res*s_RadSpec!S30*((s_ET_res_o*(1/24)*s_RadSpec!X30)+(s_ET_res_i*(1/24)*s_RadSpec!AC30))),".")</f>
        <v>1.3841324200913245E-2</v>
      </c>
      <c r="Z30" s="40">
        <f>IFERROR((s_C*s_EF_res*(1/365)*s_ED_res*s_RadSpec!T30*((s_ET_res_o*(1/24)*s_RadSpec!Y30)+(s_ET_res_i*(1/24)*s_RadSpec!AD30))),".")</f>
        <v>3.8409069437883803E-2</v>
      </c>
      <c r="AA30" s="40">
        <f>IFERROR((s_C*s_EF_res*(1/365)*s_ED_res*s_RadSpec!U30*((s_ET_res_o*(1/24)*s_RadSpec!Z30)+(s_ET_res_i*(1/24)*s_RadSpec!AE30))),".")</f>
        <v>5.1600828289264072E-2</v>
      </c>
      <c r="AB30" s="40">
        <f>IFERROR((s_C*s_EF_res*(1/365)*s_ED_res*s_RadSpec!Q30*((s_ET_res_o*(1/24)*s_RadSpec!V30)+(s_ET_res_i*(1/24)*s_RadSpec!AA30))),".")</f>
        <v>5.6506849315068495E-4</v>
      </c>
      <c r="AC30" s="18"/>
      <c r="AD30" s="18"/>
      <c r="AE30" s="18"/>
      <c r="AF30" s="18"/>
      <c r="AG30" s="18"/>
      <c r="AH30" s="15">
        <f>IFERROR((s_TR/(s_RadSpec!F30*s_IFA_res_adj)),".")</f>
        <v>0.17618841148252914</v>
      </c>
      <c r="AI30" s="15">
        <f>IFERROR((s_TR/(s_RadSpec!K30*s_EF_res*(1/365)*s_ED_res*s_ET_res*(1/24)*s_GSF_a)),".")</f>
        <v>33974273.287321642</v>
      </c>
      <c r="AJ30" s="15">
        <f>IFERROR(IF(AND(AH30&lt;&gt;".",AI30&lt;&gt;"."),1/((1/AH30)+(1/AI30)),IF(AND(AH30&lt;&gt;".",AI30="."),1/((1/AH30)),IF(AND(AH30=".",AI30&lt;&gt;"."),1/((1/AI30)),IF(AND(AH30=".",AI30="."),".")))),".")</f>
        <v>0.17618841056882731</v>
      </c>
      <c r="AK30" s="40">
        <f t="shared" si="2"/>
        <v>10026.041666666666</v>
      </c>
      <c r="AL30" s="40">
        <f t="shared" si="3"/>
        <v>1.5696347031963471</v>
      </c>
      <c r="AM30" s="18"/>
      <c r="AN30" s="18"/>
      <c r="AO30" s="18"/>
      <c r="AP30" s="15">
        <f>IFERROR((s_TR/(s_RadSpec!I30*s_IFW_res_adj)),".")</f>
        <v>25.329922237138735</v>
      </c>
      <c r="AQ30" s="15" t="str">
        <f>IFERROR(IF(AND(s_RadSpec!C30=1,s_RadSpec!D30&lt;&gt;0),(s_TR/(s_RadSpec!F30*s_IFA_res_adj*s_K*s_RadSpec!D30)),"."),".")</f>
        <v>.</v>
      </c>
      <c r="AR30" s="15">
        <f>IFERROR((s_TR/(s_RadSpec!M30*(1/8760)*s_DFA_res_adj)),".")</f>
        <v>9525608048.086338</v>
      </c>
      <c r="AS30" s="15">
        <f>s_b2w!C30</f>
        <v>66.543545415490399</v>
      </c>
      <c r="AT30" s="15">
        <f>(IF(AND(AP30&lt;&gt;".",AQ30&lt;&gt;".",AR30&lt;&gt;".",AS30&lt;&gt;"."),1/((1/AP30)+(1/AQ30)+(1/AR30)+(1/AS30)),IF(AND(AP30&lt;&gt;".",AQ30&lt;&gt;".",AR30&lt;&gt;".",AS30="."), 1/((1/AP30)+(1/AQ30)+(1/AR30)),IF(AND(AP30&lt;&gt;".",AQ30&lt;&gt;".",AR30=".",AS30&lt;&gt;"."),1/((1/AP30)+(1/AQ30)+(1/AS30)),IF(AND(AP30&lt;&gt;".",AQ30=".",AR30&lt;&gt;".",AS30&lt;&gt;"."),1/((1/AP30)+(1/AR30)+(1/AS30)),IF(AND(AP30=".",AQ30&lt;&gt;".",AR30&lt;&gt;".",AS30&lt;&gt;"."),1/((1/AQ30)+(1/AR30)+(1/AS30)),IF(AND(AP30&lt;&gt;".",AQ30&lt;&gt;".",AR30=".",AS30="."),1/((1/AP30)+(1/AQ30)),IF(AND(AP30&lt;&gt;".",AQ30=".",AR30&lt;&gt;".",AS30="."),1/((1/AP30)+(1/AR30)),IF(AND(AP30&lt;&gt;".",AQ30=".",AR30=".",AS30&lt;&gt;"."),1/((1/AP30)+(1/AS30)),IF(AND(AP30=".",AQ30=".",AR30&lt;&gt;".",AS30&lt;&gt;"."),1/((1/AR30)+(1/AS30)),IF(AND(AP30=".",AQ30&lt;&gt;".",AR30=".",AS30&lt;&gt;"."),1/((1/AQ30)+(1/AS30)),IF(AND(AP30=".",AQ30&lt;&gt;".",AR30&lt;&gt;".",AS30="."),1/((1/AQ30)+(1/AR30)),IF(AND(AP30&lt;&gt;".",AQ30=".",AR30=".",AS30="."),1/((1/AP30)),IF(AND(AP30=".",AQ30&lt;&gt;".",AR30=".",AS30="."),1/((1/AQ30)),IF(AND(AP30=".",AQ30=".",AR30&lt;&gt;".",AS30="."),1/((1/AR30)),IF(AND(AP30=".",AQ30=".",AR30=".",AS30&lt;&gt;"."),1/((1/AS30)),IF(AND(AP30=".",AQ30=".",AR30=".",AS30="."),".")))))))))))))))))</f>
        <v>18.346350372715968</v>
      </c>
      <c r="AU30" s="40">
        <f t="shared" si="4"/>
        <v>27500</v>
      </c>
      <c r="AV30" s="40">
        <f>IF(s_RadSpec!D30&lt;&gt;"",s_C*s_IFA_res_adj*s_K*s_RadSpec!D30,0)</f>
        <v>0</v>
      </c>
      <c r="AW30" s="40">
        <f t="shared" si="5"/>
        <v>2.5114155251141552</v>
      </c>
      <c r="AX30" s="40">
        <f>s_b2w!AC30</f>
        <v>7751.0591795276232</v>
      </c>
      <c r="AY30" s="18"/>
      <c r="AZ30" s="18"/>
      <c r="BA30" s="18"/>
      <c r="BB30" s="18"/>
      <c r="BC30" s="18"/>
      <c r="BD30" s="15">
        <f>IFERROR(s_TR/(s_RadSpec!H30*s_EF_res*s_ED_res*s_IRF_res*0.001*s_CF_res_fish),".")</f>
        <v>3.4101352630152073</v>
      </c>
      <c r="BE30" s="40">
        <f t="shared" si="6"/>
        <v>151250</v>
      </c>
      <c r="BF30" s="18"/>
    </row>
    <row r="31" spans="1:58" x14ac:dyDescent="0.25">
      <c r="A31" s="57" t="s">
        <v>13</v>
      </c>
      <c r="B31" s="57" t="s">
        <v>1255</v>
      </c>
      <c r="C31" s="57"/>
      <c r="D31" s="58">
        <f>1/SUM(1/D32,1/D33,1/D34,1/D35,1/D36,1/D37,1/D38,1/D41,1/D44)</f>
        <v>103.75963743062117</v>
      </c>
      <c r="E31" s="58">
        <f>1/SUM(1/E32,1/E33,1/E34,1/E35,1/E36,1/E37,1/E38,1/E41,1/E44)</f>
        <v>4765.9686979909957</v>
      </c>
      <c r="F31" s="58">
        <f>1/SUM(1/F32,1/F33,1/F34,1/F35,1/F36,1/F37,1/F38,1/F39,1/F40,1/F41,1/F42,1/F43)</f>
        <v>91.955185586136182</v>
      </c>
      <c r="G31" s="58">
        <f>1/SUM(1/G32,1/G33,1/G34,1/G35,1/G36,1/G37,1/G38,1/G41,1/G44)</f>
        <v>4.6204591309810503</v>
      </c>
      <c r="H31" s="58">
        <f>1/SUM(1/H32,1/H33,1/H34,1/H35,1/H36,1/H37,1/H38,1/H41,1/H44)</f>
        <v>7.9543221044372517E-2</v>
      </c>
      <c r="I31" s="59">
        <f>1/SUM(1/I32,1/I33,1/I34,1/I35,1/I36,1/I37,1/I38,1/I39,1/I40,1/I41,1/I42,1/I43,1/I44)</f>
        <v>4.2167217828755241</v>
      </c>
      <c r="J31" s="70"/>
      <c r="K31" s="70"/>
      <c r="L31" s="70"/>
      <c r="M31" s="70"/>
      <c r="N31" s="47">
        <f>IFERROR(IF(SUM(J32:J44)&gt;0.01,1-EXP(-SUM(J32:J44)),SUM(J32:J44)),".")</f>
        <v>4.8188294830378993E-7</v>
      </c>
      <c r="O31" s="47">
        <f t="shared" ref="O31" si="34">IFERROR(IF(SUM(K32:K44)&gt;0.01,1-EXP(-SUM(K32:K44)),SUM(K32:K44)),".")</f>
        <v>1.0491046661946513E-8</v>
      </c>
      <c r="P31" s="47">
        <f>IFERROR(IF(SUM(L32:L44)&gt;0.01,1-EXP(-SUM(L32:L44)),SUM(L32:L44)),".")</f>
        <v>5.4374312532014905E-7</v>
      </c>
      <c r="Q31" s="47">
        <f>IFERROR(IF(SUM(M32:M44)&gt;0.01,1-EXP(-SUM(M32:M44)),SUM(M32:M44)),".")</f>
        <v>1.0821448371695065E-5</v>
      </c>
      <c r="R31" s="47">
        <f>IFERROR(IF(SUM(J32:M44)&gt;0.01,1-EXP(-SUM(J32:M44)),SUM(J32:M44)),".")</f>
        <v>1.1857565491980951E-5</v>
      </c>
      <c r="S31" s="59">
        <f>1/SUM(1/S32,1/S33,1/S34,1/S35,1/S36,1/S37,1/S38,1/S39,1/S40,1/S41,1/S42,1/S43)</f>
        <v>91.955185586136182</v>
      </c>
      <c r="T31" s="59">
        <f>1/SUM(1/T32,1/T33,1/T34,1/T35,1/T36,1/T37,1/T38,1/T39,1/T40,1/T41,1/T42,1/T43)</f>
        <v>794.5226281176507</v>
      </c>
      <c r="U31" s="59">
        <f>1/SUM(1/U32,1/U33,1/U34,1/U35,1/U36,1/U37,1/U38,1/U39,1/U40,1/U41,1/U42,1/U43)</f>
        <v>207.79031754176899</v>
      </c>
      <c r="V31" s="59">
        <f>1/SUM(1/V32,1/V33,1/V34,1/V35,1/V36,1/V37,1/V38,1/V39,1/V40,1/V41,1/V42,1/V43)</f>
        <v>123.53186919998451</v>
      </c>
      <c r="W31" s="59">
        <f>1/SUM(1/W32,1/W33,1/W34,1/W35,1/W36,1/W37,1/W38,1/W39,1/W40,1/W41,1/W42,1/W43)</f>
        <v>1731.003406857254</v>
      </c>
      <c r="X31" s="70"/>
      <c r="Y31" s="73"/>
      <c r="Z31" s="73"/>
      <c r="AA31" s="73"/>
      <c r="AB31" s="73"/>
      <c r="AC31" s="47">
        <f>IFERROR(IF(SUM(X32:X44)&gt;0.01,1-EXP(-SUM(X32:X44)),SUM(X32:X44)),".")</f>
        <v>5.4374312532014905E-7</v>
      </c>
      <c r="AD31" s="47">
        <f t="shared" ref="AD31:AG31" si="35">IFERROR(IF(SUM(Y32:Y44)&gt;0.01,1-EXP(-SUM(Y32:Y44)),SUM(Y32:Y44)),".")</f>
        <v>6.2930869720423052E-8</v>
      </c>
      <c r="AE31" s="47">
        <f t="shared" si="35"/>
        <v>2.4062718894468819E-7</v>
      </c>
      <c r="AF31" s="47">
        <f t="shared" si="35"/>
        <v>4.0475385278154816E-7</v>
      </c>
      <c r="AG31" s="47">
        <f t="shared" si="35"/>
        <v>2.8884980700747522E-8</v>
      </c>
      <c r="AH31" s="58">
        <f>1/SUM(1/AH32,1/AH33,1/AH34,1/AH35,1/AH36,1/AH37,1/AH38,1/AH41,1/AH44)</f>
        <v>1.5383825877118961E-2</v>
      </c>
      <c r="AI31" s="58">
        <f t="shared" ref="AI31" si="36">1/SUM(1/AI32,1/AI33,1/AI34,1/AI35,1/AI36,1/AI37,1/AI38,1/AI39,1/AI40,1/AI41,1/AI42,1/AI43,1/AI44)</f>
        <v>14415.209756149465</v>
      </c>
      <c r="AJ31" s="59">
        <f>1/SUM(1/AJ32,1/AJ33,1/AJ34,1/AJ35,1/AJ36,1/AJ37,1/AJ38,1/AJ39,1/AJ40,1/AJ41,1/AJ42,1/AJ43,1/AJ44)</f>
        <v>1.5383809459609253E-2</v>
      </c>
      <c r="AK31" s="70"/>
      <c r="AL31" s="70"/>
      <c r="AM31" s="47">
        <f>IFERROR(IF(SUM(AK32:AK44)&gt;0.01,1-EXP(-SUM(AK32:AK44)),SUM(AK32:AK44)),".")</f>
        <v>3.2501667920180515E-3</v>
      </c>
      <c r="AN31" s="47">
        <f>IFERROR(IF(SUM(AL32:AL44)&gt;0.01,1-EXP(-SUM(AL32:AL44)),SUM(AL32:AL44)),".")</f>
        <v>3.4685586159209527E-9</v>
      </c>
      <c r="AO31" s="47">
        <f>IFERROR(IF(SUM(AK32:AL44)&gt;0.01,1-EXP(-SUM(AK32:AL44)),SUM(AK32:AL44)),".")</f>
        <v>3.250170260576668E-3</v>
      </c>
      <c r="AP31" s="58">
        <f>1/SUM(1/AP32,1/AP33,1/AP34,1/AP35,1/AP36,1/AP37,1/AP38,1/AP41,1/AP44)</f>
        <v>2.357265654375055</v>
      </c>
      <c r="AQ31" s="58" t="str">
        <f>IFERROR(1/SUM(1/AQ32,1/AQ33,1/AQ34,1/AQ35,1/AQ36,1/AQ37,1/AQ38,1/AQ39,1/AQ40,1/AQ41,1/AQ42,1/AQ43,1/AQ44,1/AQ45),".")</f>
        <v>.</v>
      </c>
      <c r="AR31" s="58">
        <f t="shared" ref="AR31" si="37">1/SUM(1/AR32,1/AR33,1/AR34,1/AR35,1/AR36,1/AR37,1/AR38,1/AR39,1/AR40,1/AR41,1/AR42,1/AR43,1/AR44)</f>
        <v>4107884.4288635957</v>
      </c>
      <c r="AS31" s="58">
        <f>1/SUM(1/AS32,1/AS33,1/AS34,1/AS35,1/AS36,1/AS37,1/AS38,1/AS41,1/AS44)</f>
        <v>6.3966856965849859</v>
      </c>
      <c r="AT31" s="59">
        <f>1/SUM(1/AT32,1/AT33,1/AT34,1/AT35,1/AT36,1/AT37,1/AT38,1/AT39,1/AT40,1/AT41,1/AT42,1/AT43,1/AT44)</f>
        <v>1.7224999965312229</v>
      </c>
      <c r="AU31" s="70"/>
      <c r="AV31" s="70"/>
      <c r="AW31" s="70"/>
      <c r="AX31" s="70"/>
      <c r="AY31" s="47">
        <f>IFERROR(IF(SUM(AU32:AU44)&gt;0.01,1-EXP(-SUM(AU32:AU44)),SUM(AU32:AU44)),".")</f>
        <v>2.1211016207359E-5</v>
      </c>
      <c r="AZ31" s="47">
        <f>IFERROR(IF(SUM(AV32:AV44)&gt;0.01,1-EXP(-SUM(AV32:AV44)),SUM(AV32:AV44)),".")</f>
        <v>0</v>
      </c>
      <c r="BA31" s="47">
        <f>IFERROR(IF(SUM(AW32:AW44)&gt;0.01,1-EXP(-SUM(AW32:AW44)),SUM(AW32:AW44)),".")</f>
        <v>1.2171715360023406E-11</v>
      </c>
      <c r="BB31" s="47">
        <f>IFERROR(IF(SUM(AX32:AX44)&gt;0.01,1-EXP(-SUM(AX32:AX44)),SUM(AX32:AX44)),".")</f>
        <v>7.8165518502354755E-6</v>
      </c>
      <c r="BC31" s="47">
        <f>IFERROR(IF(SUM(AU32:AX44)&gt;0.01,1-EXP(-SUM(AU32:AX44)),SUM(AU32:AX44)),".")</f>
        <v>2.9027580229309842E-5</v>
      </c>
      <c r="BD31" s="59">
        <f>1/SUM(1/BD32,1/BD33,1/BD34,1/BD35,1/BD36,1/BD37,1/BD38,1/BD41,1/BD44)</f>
        <v>0.31817288417749007</v>
      </c>
      <c r="BE31" s="73"/>
      <c r="BF31" s="47">
        <f>IFERROR(IF(SUM(BE32:BE44)&gt;0.01,1-EXP(-SUM(BE32:BE44)),SUM(BE32:BE44)),".")</f>
        <v>1.5714726957092901E-4</v>
      </c>
    </row>
    <row r="32" spans="1:58" x14ac:dyDescent="0.25">
      <c r="A32" s="48" t="s">
        <v>1099</v>
      </c>
      <c r="B32" s="15">
        <v>1</v>
      </c>
      <c r="C32" s="42"/>
      <c r="D32" s="60">
        <f>IFERROR(D3/$B32,0)</f>
        <v>897.04361336343834</v>
      </c>
      <c r="E32" s="60">
        <f>IFERROR(E3/$B32,0)</f>
        <v>40937.887986145884</v>
      </c>
      <c r="F32" s="60">
        <f>IFERROR(F3/$B32,0)</f>
        <v>2226852.5143557284</v>
      </c>
      <c r="G32" s="60">
        <f>IFERROR(G3/$B32,0)</f>
        <v>44.663631533305939</v>
      </c>
      <c r="H32" s="60">
        <f>IFERROR(H3/$B32,0)</f>
        <v>0.61873645353877038</v>
      </c>
      <c r="I32" s="60">
        <f>(IF(AND(D32&lt;&gt;0,E32&lt;&gt;0,F32&lt;&gt;0,G32&lt;&gt;0),1/((1/D32)+(1/E32)+(1/F32)+(1/G32)),IF(AND(D32&lt;&gt;0,E32&lt;&gt;0,F32&lt;&gt;0,G32=0), 1/((1/D32)+(1/E32)+(1/F32)),IF(AND(D32&lt;&gt;0,E32&lt;&gt;0,F32=0,G32&lt;&gt;0),1/((1/D32)+(1/E32)+(1/G32)),IF(AND(D32&lt;&gt;0,E32=0,F32&lt;&gt;0,G32&lt;&gt;0),1/((1/D32)+(1/F32)+(1/G32)),IF(AND(D32=0,E32&lt;&gt;0,F32&lt;&gt;0,G32&lt;&gt;0),1/((1/E32)+(1/F32)+(1/G32)),IF(AND(D32&lt;&gt;0,E32&lt;&gt;0,F32=0,G32=0),1/((1/D32)+(1/E32)),IF(AND(D32&lt;&gt;0,E32=0,F32&lt;&gt;0,G32=0),1/((1/D32)+(1/F32)),IF(AND(D32&lt;&gt;0,E32=0,F32=0,G32&lt;&gt;0),1/((1/D32)+(1/G32)),IF(AND(D32=0,E32=0,F32&lt;&gt;0,G32&lt;&gt;0),1/((1/F32)+(1/G32)),IF(AND(D32=0,E32&lt;&gt;0,F32=0,G32&lt;&gt;0),1/((1/E32)+(1/G32)),IF(AND(D32=0,E32&lt;&gt;0,F32&lt;&gt;0,G32=0),1/((1/E32)+(1/F32)),IF(AND(D32&lt;&gt;0,E32=0,F32=0,G32=0),1/((1/D32)),IF(AND(D32=0,E32&lt;&gt;0,F32=0,G32=0),1/((1/E32)),IF(AND(D32=0,E32=0,F32&lt;&gt;0,G32=0),1/((1/F32)),IF(AND(D32=0,E32=0,F32=0,G32&lt;&gt;0),1/((1/G32)),IF(AND(D32=0,E32=0,F32=0,G32=0),0)))))))))))))))))</f>
        <v>42.500327585351194</v>
      </c>
      <c r="J32" s="71">
        <f>IFERROR(s_RadSpec!$E$3*J3,".")*$B$32</f>
        <v>5.5738649999999995E-8</v>
      </c>
      <c r="K32" s="71">
        <f>IFERROR(s_RadSpec!$F$3*K3,".")*B32</f>
        <v>1.2213624703091888E-9</v>
      </c>
      <c r="L32" s="71">
        <f>IFERROR(s_RadSpec!$G$3*L3,".")*B32</f>
        <v>2.2453215773234968E-11</v>
      </c>
      <c r="M32" s="71">
        <f>s_b2s!AC32</f>
        <v>1.1194790545125001E-6</v>
      </c>
      <c r="N32" s="49">
        <f>IFERROR(IF(J32&gt;0.01,1-EXP(-J32),J32),".")</f>
        <v>5.5738649999999995E-8</v>
      </c>
      <c r="O32" s="49">
        <f>IFERROR(IF(K32&gt;0.01,1-EXP(-K32),K32),".")</f>
        <v>1.2213624703091888E-9</v>
      </c>
      <c r="P32" s="49">
        <f>IFERROR(IF(L32&gt;0.01,1-EXP(-L32),L32),".")</f>
        <v>2.2453215773234968E-11</v>
      </c>
      <c r="Q32" s="49">
        <f>IFERROR(IF(M32&gt;0.01,1-EXP(-M32),M32),".")</f>
        <v>1.1194790545125001E-6</v>
      </c>
      <c r="R32" s="49">
        <f>IFERROR(IF(SUM(J32:M32)&gt;0.01,1-EXP(-SUM(J32:M32)),SUM(J32:M32)),".")</f>
        <v>1.1764615201985825E-6</v>
      </c>
      <c r="S32" s="60">
        <f>IFERROR(S3/$B32,0)</f>
        <v>2226852.5143557284</v>
      </c>
      <c r="T32" s="60">
        <f>IFERROR(T3/$B32,0)</f>
        <v>6281930.5456878059</v>
      </c>
      <c r="U32" s="60">
        <f>IFERROR(U3/$B32,0)</f>
        <v>2540916.3913288023</v>
      </c>
      <c r="V32" s="60">
        <f>IFERROR(V3/$B32,0)</f>
        <v>2440185.0795271257</v>
      </c>
      <c r="W32" s="60">
        <f>IFERROR(W3/$B32,0)</f>
        <v>7170884.8302149689</v>
      </c>
      <c r="X32" s="71">
        <f>IFERROR(s_RadSpec!$G$3*X3,".")*$B$32</f>
        <v>2.2453215773234968E-11</v>
      </c>
      <c r="Y32" s="71">
        <f>IFERROR(s_RadSpec!$N$3*Y3,".")*$B$32</f>
        <v>7.9593366460127786E-12</v>
      </c>
      <c r="Z32" s="71">
        <f>IFERROR(s_RadSpec!$O$3*Z3,".")*$B$32</f>
        <v>1.9677939884457163E-11</v>
      </c>
      <c r="AA32" s="71">
        <f>IFERROR(s_RadSpec!$P$3*AA3,".")*$B$32</f>
        <v>2.0490249046883489E-11</v>
      </c>
      <c r="AB32" s="71">
        <f>IFERROR(s_RadSpec!$L$3*AB3,".")*$B$32</f>
        <v>6.9726402227688695E-12</v>
      </c>
      <c r="AC32" s="49">
        <f>IFERROR(IF(X32&gt;0.01,1-EXP(-X32),X32),".")</f>
        <v>2.2453215773234968E-11</v>
      </c>
      <c r="AD32" s="49">
        <f t="shared" ref="AD32:AG32" si="38">IFERROR(IF(Y32&gt;0.01,1-EXP(-Y32),Y32),".")</f>
        <v>7.9593366460127786E-12</v>
      </c>
      <c r="AE32" s="49">
        <f t="shared" si="38"/>
        <v>1.9677939884457163E-11</v>
      </c>
      <c r="AF32" s="49">
        <f t="shared" si="38"/>
        <v>2.0490249046883489E-11</v>
      </c>
      <c r="AG32" s="49">
        <f t="shared" si="38"/>
        <v>6.9726402227688695E-12</v>
      </c>
      <c r="AH32" s="60">
        <f>IFERROR(AH3/$B32,0)</f>
        <v>0.13214130861189685</v>
      </c>
      <c r="AI32" s="60">
        <f>IFERROR(AI3/$B32,0)</f>
        <v>548920.35110099148</v>
      </c>
      <c r="AJ32" s="60">
        <f t="shared" ref="AJ32:AJ38" si="39">IFERROR(IF(AND(AH32&lt;&gt;0,AI32&lt;&gt;0),1/((1/AH32)+(1/AI32)),IF(AND(AH32&lt;&gt;0,AI32=0),1/((1/AH32)),IF(AND(AH32=0,AI32&lt;&gt;0),1/((1/AI32)),IF(AND(AH32=".",AI32="."),".")))),".")</f>
        <v>0.13214127680159651</v>
      </c>
      <c r="AK32" s="71">
        <f>IFERROR(s_RadSpec!$F$3*AK3,".")*$B$32</f>
        <v>3.7838281249999998E-4</v>
      </c>
      <c r="AL32" s="71">
        <f>IFERROR(s_RadSpec!$K$3*AL3,".")*$B$32</f>
        <v>9.1087896267123289E-11</v>
      </c>
      <c r="AM32" s="49">
        <f>IFERROR(IF(AK32&gt;0.01,1-EXP(-AK32),AK32),".")</f>
        <v>3.7838281249999998E-4</v>
      </c>
      <c r="AN32" s="49">
        <f>IFERROR(IF(AL32&gt;0.01,1-EXP(-AL32),AL32),".")</f>
        <v>9.1087896267123289E-11</v>
      </c>
      <c r="AO32" s="49">
        <f>IFERROR(IF(SUM(AK32:AL32)&gt;0.01,1-EXP(-SUM(AK32:AL32)),SUM(AK32:AL32)),".")</f>
        <v>3.7838290358789626E-4</v>
      </c>
      <c r="AP32" s="60">
        <f>IFERROR(AP3/$B32,".")</f>
        <v>17.550017550017554</v>
      </c>
      <c r="AQ32" s="60" t="str">
        <f>IFERROR(AQ3,".")</f>
        <v>.</v>
      </c>
      <c r="AR32" s="60">
        <f>IFERROR(AR3/$B32,".")</f>
        <v>150892375.27499598</v>
      </c>
      <c r="AS32" s="60">
        <f>IFERROR(AS3/$B32,".")</f>
        <v>52.582349436628952</v>
      </c>
      <c r="AT32" s="60">
        <f t="shared" ref="AT32:AT76" si="40">IF(AND(AP32&lt;&gt;".",AQ32&lt;&gt;".",AR32&lt;&gt;".",AS32&lt;&gt;"."),1/((1/AP32)+(1/AQ32)+(1/AR32)+(1/AS32)),IF(AND(AP32&lt;&gt;".",AQ32&lt;&gt;".",AR32&lt;&gt;".",AS32="."), 1/((1/AP32)+(1/AQ32)+(1/AR32)),IF(AND(AP32&lt;&gt;".",AQ32&lt;&gt;".",AR32=".",AS32&lt;&gt;"."),1/((1/AP32)+(1/AQ32)+(1/AS32)),IF(AND(AP32&lt;&gt;".",AQ32=".",AR32&lt;&gt;".",AS32&lt;&gt;"."),1/((1/AP32)+(1/AR32)+(1/AS32)),IF(AND(AP32=".",AQ32&lt;&gt;".",AR32&lt;&gt;".",AS32&lt;&gt;"."),1/((1/AQ32)+(1/AR32)+(1/AS32)),IF(AND(AP32&lt;&gt;".",AQ32&lt;&gt;".",AR32=".",AS32="."),1/((1/AP32)+(1/AQ32)),IF(AND(AP32&lt;&gt;".",AQ32=".",AR32&lt;&gt;".",AS32="."),1/((1/AP32)+(1/AR32)),IF(AND(AP32&lt;&gt;".",AQ32=".",AR32=".",AS32&lt;&gt;"."),1/((1/AP32)+(1/AS32)),IF(AND(AP32=".",AQ32=".",AR32&lt;&gt;".",AS32&lt;&gt;"."),1/((1/AR32)+(1/AS32)),IF(AND(AP32=".",AQ32&lt;&gt;".",AR32=".",AS32&lt;&gt;"."),1/((1/AQ32)+(1/AS32)),IF(AND(AP32=".",AQ32&lt;&gt;".",AR32&lt;&gt;".",AS32="."),1/((1/AQ32)+(1/AR32)),IF(AND(AP32&lt;&gt;".",AQ32=".",AR32=".",AS32="."),1/((1/AP32)),IF(AND(AP32=".",AQ32&lt;&gt;".",AR32=".",AS32="."),1/((1/AQ32)),IF(AND(AP32=".",AQ32=".",AR32&lt;&gt;".",AS32="."),1/((1/AR32)),IF(AND(AP32=".",AQ32=".",AR32=".",AS32&lt;&gt;"."),1/((1/AS32)),IF(AND(AP32=".",AQ32=".",AR32=".",AS32="."),"."))))))))))))))))</f>
        <v>13.158276479344787</v>
      </c>
      <c r="AU32" s="71">
        <f>IFERROR(s_RadSpec!$I$3*AU3,".")*$B$32</f>
        <v>2.8489999999999997E-6</v>
      </c>
      <c r="AV32" s="71">
        <f>IFERROR(s_RadSpec!$F$3*AV3,".")*$B$32</f>
        <v>0</v>
      </c>
      <c r="AW32" s="71">
        <f>IFERROR(s_RadSpec!$M$3*AW3,".")*$B$32</f>
        <v>3.3136200493150683E-13</v>
      </c>
      <c r="AX32" s="71">
        <f>s_b2w!AC32</f>
        <v>9.5088942460166914E-7</v>
      </c>
      <c r="AY32" s="49">
        <f>IFERROR(IF(AU32&gt;0.01,1-EXP(-AU32),AU32),".")</f>
        <v>2.8489999999999997E-6</v>
      </c>
      <c r="AZ32" s="49">
        <f>IFERROR(IF(AQ32&lt;&gt;0,IF(AV32&gt;0.01,1-EXP(-AV32),AV32),0),".")</f>
        <v>0</v>
      </c>
      <c r="BA32" s="49">
        <f>IFERROR(IF(AW32&gt;0.01,1-EXP(-AW32),AW32),".")</f>
        <v>3.3136200493150683E-13</v>
      </c>
      <c r="BB32" s="49">
        <f>IFERROR(IF(AX32&gt;0.01,1-EXP(-AX32),AX32),".")</f>
        <v>9.5088942460166914E-7</v>
      </c>
      <c r="BC32" s="49">
        <f>IFERROR(IF(SUM(AU32:AX32)&gt;0.01,1-EXP(-SUM(AU32:AX32)),SUM(AU32:AX32)),".")</f>
        <v>3.7998897559636737E-6</v>
      </c>
      <c r="BD32" s="60">
        <f>IFERROR(BD3/$B32,0)</f>
        <v>2.4749458141550811</v>
      </c>
      <c r="BE32" s="71">
        <f>IFERROR(s_RadSpec!$H$3*BE3,".")*$B$32</f>
        <v>2.0202462500000003E-5</v>
      </c>
      <c r="BF32" s="49">
        <f>IFERROR(IF(BE32&gt;0.01,1-EXP(-BE32),BE32),".")</f>
        <v>2.0202462500000003E-5</v>
      </c>
    </row>
    <row r="33" spans="1:58" x14ac:dyDescent="0.25">
      <c r="A33" s="48" t="s">
        <v>1075</v>
      </c>
      <c r="B33" s="15">
        <v>1</v>
      </c>
      <c r="C33" s="42"/>
      <c r="D33" s="60">
        <f t="shared" ref="D33:H34" si="41">IFERROR(D13/$B33,0)</f>
        <v>1325.6015414094722</v>
      </c>
      <c r="E33" s="60">
        <f t="shared" si="41"/>
        <v>53879.542897895233</v>
      </c>
      <c r="F33" s="60">
        <f t="shared" si="41"/>
        <v>29423.496566379523</v>
      </c>
      <c r="G33" s="60">
        <f t="shared" si="41"/>
        <v>41.897482691982319</v>
      </c>
      <c r="H33" s="60">
        <f t="shared" si="41"/>
        <v>0.997160088069179</v>
      </c>
      <c r="I33" s="60">
        <f t="shared" ref="I33:I44" si="42">(IF(AND(D33&lt;&gt;0,E33&lt;&gt;0,F33&lt;&gt;0,G33&lt;&gt;0),1/((1/D33)+(1/E33)+(1/F33)+(1/G33)),IF(AND(D33&lt;&gt;0,E33&lt;&gt;0,F33&lt;&gt;0,G33=0), 1/((1/D33)+(1/E33)+(1/F33)),IF(AND(D33&lt;&gt;0,E33&lt;&gt;0,F33=0,G33&lt;&gt;0),1/((1/D33)+(1/E33)+(1/G33)),IF(AND(D33&lt;&gt;0,E33=0,F33&lt;&gt;0,G33&lt;&gt;0),1/((1/D33)+(1/F33)+(1/G33)),IF(AND(D33=0,E33&lt;&gt;0,F33&lt;&gt;0,G33&lt;&gt;0),1/((1/E33)+(1/F33)+(1/G33)),IF(AND(D33&lt;&gt;0,E33&lt;&gt;0,F33=0,G33=0),1/((1/D33)+(1/E33)),IF(AND(D33&lt;&gt;0,E33=0,F33&lt;&gt;0,G33=0),1/((1/D33)+(1/F33)),IF(AND(D33&lt;&gt;0,E33=0,F33=0,G33&lt;&gt;0),1/((1/D33)+(1/G33)),IF(AND(D33=0,E33=0,F33&lt;&gt;0,G33&lt;&gt;0),1/((1/F33)+(1/G33)),IF(AND(D33=0,E33&lt;&gt;0,F33=0,G33&lt;&gt;0),1/((1/E33)+(1/G33)),IF(AND(D33=0,E33&lt;&gt;0,F33&lt;&gt;0,G33=0),1/((1/E33)+(1/F33)),IF(AND(D33&lt;&gt;0,E33=0,F33=0,G33=0),1/((1/D33)),IF(AND(D33=0,E33&lt;&gt;0,F33=0,G33=0),1/((1/E33)),IF(AND(D33=0,E33=0,F33&lt;&gt;0,G33=0),1/((1/F33)),IF(AND(D33=0,E33=0,F33=0,G33&lt;&gt;0),1/((1/G33)),IF(AND(D33=0,E33=0,F33=0,G33=0),0)))))))))))))))))</f>
        <v>40.527336411320526</v>
      </c>
      <c r="J33" s="71">
        <f>IFERROR(s_RadSpec!$E$13*J13,".")*$B$33</f>
        <v>3.7718725000000003E-8</v>
      </c>
      <c r="K33" s="71">
        <f>IFERROR(s_RadSpec!$F$13*K13,".")*B33</f>
        <v>9.2799599459766788E-10</v>
      </c>
      <c r="L33" s="71">
        <f>IFERROR(s_RadSpec!$G$13*L13,".")*B33</f>
        <v>1.699322168838765E-9</v>
      </c>
      <c r="M33" s="71">
        <f>s_b2s!AC33</f>
        <v>1.19338912E-6</v>
      </c>
      <c r="N33" s="49">
        <f t="shared" ref="N33:N44" si="43">IFERROR(IF(J33&gt;0.01,1-EXP(-J33),J33),".")</f>
        <v>3.7718725000000003E-8</v>
      </c>
      <c r="O33" s="49">
        <f t="shared" ref="O33:O44" si="44">IFERROR(IF(K33&gt;0.01,1-EXP(-K33),K33),".")</f>
        <v>9.2799599459766788E-10</v>
      </c>
      <c r="P33" s="49">
        <f t="shared" ref="P33:P44" si="45">IFERROR(IF(L33&gt;0.01,1-EXP(-L33),L33),".")</f>
        <v>1.699322168838765E-9</v>
      </c>
      <c r="Q33" s="49">
        <f t="shared" ref="Q33:Q76" si="46">IFERROR(IF(M33&gt;0.01,1-EXP(-M33),M33),".")</f>
        <v>1.19338912E-6</v>
      </c>
      <c r="R33" s="49">
        <f t="shared" ref="R33:R44" si="47">IFERROR(IF(SUM(J33:M33)&gt;0.01,1-EXP(-SUM(J33:M33)),SUM(J33:M33)),".")</f>
        <v>1.2337351631634364E-6</v>
      </c>
      <c r="S33" s="60">
        <f t="shared" ref="S33:W34" si="48">IFERROR(S13/$B33,0)</f>
        <v>29423.496566379523</v>
      </c>
      <c r="T33" s="60">
        <f t="shared" si="48"/>
        <v>191289.52904785745</v>
      </c>
      <c r="U33" s="60">
        <f t="shared" si="48"/>
        <v>47758.65958493662</v>
      </c>
      <c r="V33" s="60">
        <f t="shared" si="48"/>
        <v>31612.069336040844</v>
      </c>
      <c r="W33" s="60">
        <f t="shared" si="48"/>
        <v>1519263.7836100368</v>
      </c>
      <c r="X33" s="71">
        <f>IFERROR(s_RadSpec!$G$13*X13,".")*$B$33</f>
        <v>1.699322168838765E-9</v>
      </c>
      <c r="Y33" s="71">
        <f>IFERROR(s_RadSpec!$N$13*Y13,".")*$B$33</f>
        <v>2.6138388362852221E-10</v>
      </c>
      <c r="Z33" s="71">
        <f>IFERROR(s_RadSpec!$O$13*Z13,".")*$B$33</f>
        <v>1.0469305553075095E-9</v>
      </c>
      <c r="AA33" s="71">
        <f>IFERROR(s_RadSpec!$P$13*AA13,".")*$B$33</f>
        <v>1.5816743746982465E-9</v>
      </c>
      <c r="AB33" s="71">
        <f>IFERROR(s_RadSpec!$L$13*AB13,".")*$B$33</f>
        <v>3.2910677223668987E-11</v>
      </c>
      <c r="AC33" s="49">
        <f t="shared" ref="AC33:AC44" si="49">IFERROR(IF(X33&gt;0.01,1-EXP(-X33),X33),".")</f>
        <v>1.699322168838765E-9</v>
      </c>
      <c r="AD33" s="49">
        <f t="shared" ref="AD33:AD44" si="50">IFERROR(IF(Y33&gt;0.01,1-EXP(-Y33),Y33),".")</f>
        <v>2.6138388362852221E-10</v>
      </c>
      <c r="AE33" s="49">
        <f t="shared" ref="AE33:AE44" si="51">IFERROR(IF(Z33&gt;0.01,1-EXP(-Z33),Z33),".")</f>
        <v>1.0469305553075095E-9</v>
      </c>
      <c r="AF33" s="49">
        <f t="shared" ref="AF33:AF44" si="52">IFERROR(IF(AA33&gt;0.01,1-EXP(-AA33),AA33),".")</f>
        <v>1.5816743746982465E-9</v>
      </c>
      <c r="AG33" s="49">
        <f t="shared" ref="AG33:AG44" si="53">IFERROR(IF(AB33&gt;0.01,1-EXP(-AB33),AB33),".")</f>
        <v>3.2910677223668987E-11</v>
      </c>
      <c r="AH33" s="60">
        <f>IFERROR(AH13/$B33,0)</f>
        <v>0.17391501262469006</v>
      </c>
      <c r="AI33" s="60">
        <f>IFERROR(AI13/$B33,0)</f>
        <v>415241.11795615341</v>
      </c>
      <c r="AJ33" s="60">
        <f t="shared" si="39"/>
        <v>0.17391493978407377</v>
      </c>
      <c r="AK33" s="71">
        <f>IFERROR(s_RadSpec!$F$13*AK13,".")*$B$33</f>
        <v>2.8749674479166664E-4</v>
      </c>
      <c r="AL33" s="71">
        <f>IFERROR(s_RadSpec!$K$13*AL13,".")*$B$33</f>
        <v>1.204119675E-10</v>
      </c>
      <c r="AM33" s="49">
        <f t="shared" ref="AM33:AM44" si="54">IFERROR(IF(AK33&gt;0.01,1-EXP(-AK33),AK33),".")</f>
        <v>2.8749674479166664E-4</v>
      </c>
      <c r="AN33" s="49">
        <f t="shared" ref="AN33:AN44" si="55">IFERROR(IF(AL33&gt;0.01,1-EXP(-AL33),AL33),".")</f>
        <v>1.204119675E-10</v>
      </c>
      <c r="AO33" s="49">
        <f t="shared" ref="AO33:AO44" si="56">IFERROR(IF(SUM(AK33:AL33)&gt;0.01,1-EXP(-SUM(AK33:AL33)),SUM(AK33:AL33)),".")</f>
        <v>2.8749686520363415E-4</v>
      </c>
      <c r="AP33" s="60">
        <f>IFERROR(AP13/$B33,".")</f>
        <v>29.250029250029254</v>
      </c>
      <c r="AQ33" s="60" t="str">
        <f>IFERROR(AQ13,".")</f>
        <v>.</v>
      </c>
      <c r="AR33" s="60">
        <f>IFERROR(AR13/$B33,".")</f>
        <v>115992098.00050713</v>
      </c>
      <c r="AS33" s="60">
        <f>IFERROR(AS13/$B33,".")</f>
        <v>72.555426051028576</v>
      </c>
      <c r="AT33" s="60">
        <f t="shared" si="40"/>
        <v>20.846112288917492</v>
      </c>
      <c r="AU33" s="71">
        <f>IFERROR(s_RadSpec!$I$13*AU13,".")*$B$33</f>
        <v>1.7093999999999999E-6</v>
      </c>
      <c r="AV33" s="71">
        <f>IFERROR(s_RadSpec!$F$13*AV13,".")*$B$33</f>
        <v>0</v>
      </c>
      <c r="AW33" s="71">
        <f>IFERROR(s_RadSpec!$M$13*AW13,".")*$B$33</f>
        <v>4.3106384712328765E-13</v>
      </c>
      <c r="AX33" s="71">
        <f>s_b2w!AC33</f>
        <v>6.8912833569242304E-7</v>
      </c>
      <c r="AY33" s="49">
        <f t="shared" ref="AY33:AY44" si="57">IFERROR(IF(AU33&gt;0.01,1-EXP(-AU33),AU33),".")</f>
        <v>1.7093999999999999E-6</v>
      </c>
      <c r="AZ33" s="49">
        <f t="shared" ref="AZ33:AZ44" si="58">IFERROR(IF(AQ33&lt;&gt;0,IF(AV33&gt;0.01,1-EXP(-AV33),AV33),0),".")</f>
        <v>0</v>
      </c>
      <c r="BA33" s="49">
        <f t="shared" ref="BA33:BA44" si="59">IFERROR(IF(AW33&gt;0.01,1-EXP(-AW33),AW33),".")</f>
        <v>4.3106384712328765E-13</v>
      </c>
      <c r="BB33" s="49">
        <f t="shared" ref="BB33:BB76" si="60">IFERROR(IF(AX33&gt;0.01,1-EXP(-AX33),AX33),".")</f>
        <v>6.8912833569242304E-7</v>
      </c>
      <c r="BC33" s="49">
        <f t="shared" ref="BC33:BC76" si="61">IFERROR(IF(SUM(AU33:AX33)&gt;0.01,1-EXP(-SUM(AU33:AX33)),SUM(AU33:AX33)),".")</f>
        <v>2.3985287667562703E-6</v>
      </c>
      <c r="BD33" s="60">
        <f t="shared" ref="BD33" si="62">IFERROR(BD13/$B33,0)</f>
        <v>3.988640352276716</v>
      </c>
      <c r="BE33" s="71">
        <f>IFERROR(s_RadSpec!$H$13*BE13,".")*$B$33</f>
        <v>1.2535600000000001E-5</v>
      </c>
      <c r="BF33" s="49">
        <f t="shared" ref="BF33:BF44" si="63">IFERROR(IF(BE33&gt;0.01,1-EXP(-BE33),BE33),".")</f>
        <v>1.2535600000000001E-5</v>
      </c>
    </row>
    <row r="34" spans="1:58" x14ac:dyDescent="0.25">
      <c r="A34" s="48" t="s">
        <v>1076</v>
      </c>
      <c r="B34" s="15">
        <v>1</v>
      </c>
      <c r="C34" s="42"/>
      <c r="D34" s="60">
        <f t="shared" si="41"/>
        <v>10038.82515629196</v>
      </c>
      <c r="E34" s="60">
        <f t="shared" si="41"/>
        <v>101105679.77207945</v>
      </c>
      <c r="F34" s="60">
        <f t="shared" si="41"/>
        <v>284.40696241094548</v>
      </c>
      <c r="G34" s="60">
        <f t="shared" si="41"/>
        <v>392.76219399946564</v>
      </c>
      <c r="H34" s="60">
        <f t="shared" si="41"/>
        <v>9.2299115589874425</v>
      </c>
      <c r="I34" s="60">
        <f t="shared" si="42"/>
        <v>162.29073066805287</v>
      </c>
      <c r="J34" s="71">
        <f>IFERROR(s_RadSpec!$E$14*J14,".")*$B$34</f>
        <v>4.9806625000000008E-9</v>
      </c>
      <c r="K34" s="71">
        <f>IFERROR(s_RadSpec!$F$14*K14,".")*B33</f>
        <v>4.9453205905656363E-13</v>
      </c>
      <c r="L34" s="71">
        <f>IFERROR(s_RadSpec!$G$14*L14,".")*B33</f>
        <v>1.758044162356123E-7</v>
      </c>
      <c r="M34" s="71">
        <f>s_b2s!AC34</f>
        <v>1.2730349499999998E-7</v>
      </c>
      <c r="N34" s="49">
        <f t="shared" si="43"/>
        <v>4.9806625000000008E-9</v>
      </c>
      <c r="O34" s="49">
        <f t="shared" si="44"/>
        <v>4.9453205905656363E-13</v>
      </c>
      <c r="P34" s="49">
        <f t="shared" si="45"/>
        <v>1.758044162356123E-7</v>
      </c>
      <c r="Q34" s="49">
        <f t="shared" si="46"/>
        <v>1.2730349499999998E-7</v>
      </c>
      <c r="R34" s="49">
        <f t="shared" si="47"/>
        <v>3.0808906826767131E-7</v>
      </c>
      <c r="S34" s="60">
        <f t="shared" si="48"/>
        <v>284.40696241094548</v>
      </c>
      <c r="T34" s="60">
        <f t="shared" si="48"/>
        <v>2177.4544715692969</v>
      </c>
      <c r="U34" s="60">
        <f t="shared" si="48"/>
        <v>586.45889163405877</v>
      </c>
      <c r="V34" s="60">
        <f t="shared" si="48"/>
        <v>353.6598297663308</v>
      </c>
      <c r="W34" s="60">
        <f t="shared" si="48"/>
        <v>6158.7061578270932</v>
      </c>
      <c r="X34" s="71">
        <f>IFERROR(s_RadSpec!$G$14*X14,".")*$B$33</f>
        <v>1.758044162356123E-7</v>
      </c>
      <c r="Y34" s="71">
        <f>IFERROR(s_RadSpec!$N$14*Y14,".")*$B$33</f>
        <v>2.2962592629532635E-8</v>
      </c>
      <c r="Z34" s="71">
        <f>IFERROR(s_RadSpec!$O$14*Z14,".")*$B$33</f>
        <v>8.52574676814675E-8</v>
      </c>
      <c r="AA34" s="71">
        <f>IFERROR(s_RadSpec!$P$14*AA14,".")*$B$33</f>
        <v>1.4137879338186607E-7</v>
      </c>
      <c r="AB34" s="71">
        <f>IFERROR(s_RadSpec!$L$14*AB14,".")*$B$33</f>
        <v>8.1185883396068595E-9</v>
      </c>
      <c r="AC34" s="49">
        <f t="shared" si="49"/>
        <v>1.758044162356123E-7</v>
      </c>
      <c r="AD34" s="49">
        <f t="shared" si="50"/>
        <v>2.2962592629532635E-8</v>
      </c>
      <c r="AE34" s="49">
        <f t="shared" si="51"/>
        <v>8.52574676814675E-8</v>
      </c>
      <c r="AF34" s="49">
        <f t="shared" si="52"/>
        <v>1.4137879338186607E-7</v>
      </c>
      <c r="AG34" s="49">
        <f t="shared" si="53"/>
        <v>8.1185883396068595E-9</v>
      </c>
      <c r="AH34" s="60">
        <f>IFERROR(AH14/$B34,0)</f>
        <v>326.3538372497211</v>
      </c>
      <c r="AI34" s="60">
        <f>IFERROR(AI14/$B34,0)</f>
        <v>37320.576538603658</v>
      </c>
      <c r="AJ34" s="60">
        <f t="shared" si="39"/>
        <v>323.52474000263368</v>
      </c>
      <c r="AK34" s="71">
        <f>IFERROR(s_RadSpec!$F$14*AK14,".")*$B$33</f>
        <v>1.5320794270833332E-7</v>
      </c>
      <c r="AL34" s="71">
        <f>IFERROR(s_RadSpec!$K$14*AL14,".")*$B$33</f>
        <v>1.3397435044520548E-9</v>
      </c>
      <c r="AM34" s="49">
        <f t="shared" si="54"/>
        <v>1.5320794270833332E-7</v>
      </c>
      <c r="AN34" s="49">
        <f t="shared" si="55"/>
        <v>1.3397435044520548E-9</v>
      </c>
      <c r="AO34" s="49">
        <f t="shared" si="56"/>
        <v>1.5454768621278538E-7</v>
      </c>
      <c r="AP34" s="60">
        <f>IFERROR(AP14/$B34,".")</f>
        <v>296.02439240993459</v>
      </c>
      <c r="AQ34" s="60" t="str">
        <f>IFERROR(AQ14,".")</f>
        <v>.</v>
      </c>
      <c r="AR34" s="60">
        <f>IFERROR(AR14/$B34,".")</f>
        <v>10656774.003796592</v>
      </c>
      <c r="AS34" s="60">
        <f>IFERROR(AS14/$B34,".")</f>
        <v>674.51302213912368</v>
      </c>
      <c r="AT34" s="60">
        <f t="shared" si="40"/>
        <v>205.72978421024513</v>
      </c>
      <c r="AU34" s="71">
        <f>IFERROR(s_RadSpec!$I$14*AU14,".")*$B$34</f>
        <v>1.6890500000000002E-7</v>
      </c>
      <c r="AV34" s="71">
        <f>IFERROR(s_RadSpec!$F$14*AV14,".")*$B$34</f>
        <v>0</v>
      </c>
      <c r="AW34" s="71">
        <f>IFERROR(s_RadSpec!$M$14*AW14,".")*$B$34</f>
        <v>4.6918513972602732E-12</v>
      </c>
      <c r="AX34" s="71">
        <f>s_b2w!AC34</f>
        <v>7.4127553299759871E-8</v>
      </c>
      <c r="AY34" s="49">
        <f t="shared" si="57"/>
        <v>1.6890500000000002E-7</v>
      </c>
      <c r="AZ34" s="49">
        <f t="shared" si="58"/>
        <v>0</v>
      </c>
      <c r="BA34" s="49">
        <f t="shared" si="59"/>
        <v>4.6918513972602732E-12</v>
      </c>
      <c r="BB34" s="49">
        <f t="shared" si="60"/>
        <v>7.4127553299759871E-8</v>
      </c>
      <c r="BC34" s="49">
        <f t="shared" si="61"/>
        <v>2.4303724515115716E-7</v>
      </c>
      <c r="BD34" s="60">
        <f t="shared" ref="BD34" si="64">IFERROR(BD14/$B34,0)</f>
        <v>36.91964623594977</v>
      </c>
      <c r="BE34" s="71">
        <f>IFERROR(s_RadSpec!$H$14*BE14,".")*$B$33</f>
        <v>1.3542924999999998E-6</v>
      </c>
      <c r="BF34" s="49">
        <f t="shared" si="63"/>
        <v>1.3542924999999998E-6</v>
      </c>
    </row>
    <row r="35" spans="1:58" x14ac:dyDescent="0.25">
      <c r="A35" s="48" t="s">
        <v>1077</v>
      </c>
      <c r="B35" s="15">
        <v>1</v>
      </c>
      <c r="C35" s="42"/>
      <c r="D35" s="60">
        <f>IFERROR(D30/$B35,0)</f>
        <v>1100.3145799384044</v>
      </c>
      <c r="E35" s="60">
        <f>IFERROR(E30/$B35,0)</f>
        <v>54583.850648194522</v>
      </c>
      <c r="F35" s="60">
        <f>IFERROR(F30/$B35,0)</f>
        <v>1036966.3933634097</v>
      </c>
      <c r="G35" s="60">
        <f>IFERROR(G30/$B35,0)</f>
        <v>44.610170493246052</v>
      </c>
      <c r="H35" s="60">
        <f>IFERROR(H30/$B35,0)</f>
        <v>0.85253381575380194</v>
      </c>
      <c r="I35" s="60">
        <f t="shared" si="42"/>
        <v>42.836589875466714</v>
      </c>
      <c r="J35" s="71">
        <f>IFERROR(s_RadSpec!$E$30*J30,".")*$B$35</f>
        <v>4.544155E-8</v>
      </c>
      <c r="K35" s="71">
        <f>IFERROR(s_RadSpec!$F$30*K30,".")*B35</f>
        <v>9.1602185273189154E-10</v>
      </c>
      <c r="L35" s="71">
        <f>IFERROR(s_RadSpec!$G$30*L30,".")*B35</f>
        <v>4.8217570328219182E-11</v>
      </c>
      <c r="M35" s="71">
        <f>s_b2s!AC35</f>
        <v>1.1208206435250001E-6</v>
      </c>
      <c r="N35" s="49">
        <f t="shared" si="43"/>
        <v>4.544155E-8</v>
      </c>
      <c r="O35" s="49">
        <f t="shared" si="44"/>
        <v>9.1602185273189154E-10</v>
      </c>
      <c r="P35" s="49">
        <f t="shared" si="45"/>
        <v>4.8217570328219182E-11</v>
      </c>
      <c r="Q35" s="49">
        <f t="shared" si="46"/>
        <v>1.1208206435250001E-6</v>
      </c>
      <c r="R35" s="49">
        <f t="shared" si="47"/>
        <v>1.1672264329480602E-6</v>
      </c>
      <c r="S35" s="60">
        <f>IFERROR(S30/$B35,0)</f>
        <v>1036966.3933634097</v>
      </c>
      <c r="T35" s="60">
        <f>IFERROR(T30/$B35,0)</f>
        <v>17419821.906456765</v>
      </c>
      <c r="U35" s="60">
        <f>IFERROR(U30/$B35,0)</f>
        <v>2571231.9401023039</v>
      </c>
      <c r="V35" s="60">
        <f>IFERROR(V30/$B35,0)</f>
        <v>1408939.5020022925</v>
      </c>
      <c r="W35" s="60">
        <f>IFERROR(W30/$B35,0)</f>
        <v>247651973.94443786</v>
      </c>
      <c r="X35" s="71">
        <f>IFERROR(s_RadSpec!$G$30*X30,".")*$B$35</f>
        <v>4.8217570328219182E-11</v>
      </c>
      <c r="Y35" s="71">
        <f>IFERROR(s_RadSpec!$N$30*Y30,".")*$B$35</f>
        <v>2.870293408767124E-12</v>
      </c>
      <c r="Z35" s="71">
        <f>IFERROR(s_RadSpec!$O$30*Z30,".")*$B$35</f>
        <v>1.9445931430834125E-11</v>
      </c>
      <c r="AA35" s="71">
        <f>IFERROR(s_RadSpec!$P$30*AA30,".")*$B$35</f>
        <v>3.5487684126212148E-11</v>
      </c>
      <c r="AB35" s="71">
        <f>IFERROR(s_RadSpec!$L$30*AB30,".")*$B$35</f>
        <v>2.0189623043835616E-13</v>
      </c>
      <c r="AC35" s="49">
        <f t="shared" si="49"/>
        <v>4.8217570328219182E-11</v>
      </c>
      <c r="AD35" s="49">
        <f t="shared" si="50"/>
        <v>2.870293408767124E-12</v>
      </c>
      <c r="AE35" s="49">
        <f t="shared" si="51"/>
        <v>1.9445931430834125E-11</v>
      </c>
      <c r="AF35" s="49">
        <f t="shared" si="52"/>
        <v>3.5487684126212148E-11</v>
      </c>
      <c r="AG35" s="49">
        <f t="shared" si="53"/>
        <v>2.0189623043835616E-13</v>
      </c>
      <c r="AH35" s="60">
        <f>IFERROR(AH30/$B35,0)</f>
        <v>0.17618841148252914</v>
      </c>
      <c r="AI35" s="60">
        <f>IFERROR(AI30/$B35,0)</f>
        <v>33974273.287321642</v>
      </c>
      <c r="AJ35" s="60">
        <f t="shared" si="39"/>
        <v>0.17618841056882731</v>
      </c>
      <c r="AK35" s="71">
        <f>IFERROR(s_RadSpec!$F$30*AK30,".")*$B$35</f>
        <v>2.8378710937499997E-4</v>
      </c>
      <c r="AL35" s="71">
        <f>IFERROR(s_RadSpec!$K$30*AL30,".")*$B$35</f>
        <v>1.4717018249999999E-12</v>
      </c>
      <c r="AM35" s="49">
        <f t="shared" si="54"/>
        <v>2.8378710937499997E-4</v>
      </c>
      <c r="AN35" s="49">
        <f t="shared" si="55"/>
        <v>1.4717018249999999E-12</v>
      </c>
      <c r="AO35" s="49">
        <f t="shared" si="56"/>
        <v>2.837871108467018E-4</v>
      </c>
      <c r="AP35" s="60">
        <f>IFERROR(AP30/$B35,".")</f>
        <v>25.329922237138735</v>
      </c>
      <c r="AQ35" s="60" t="str">
        <f>IFERROR(AQ30,".")</f>
        <v>.</v>
      </c>
      <c r="AR35" s="60">
        <f>IFERROR(AR30/$B35,".")</f>
        <v>9525608048.086338</v>
      </c>
      <c r="AS35" s="60">
        <f>IFERROR(AS30/$B35,".")</f>
        <v>66.543545415490399</v>
      </c>
      <c r="AT35" s="60">
        <f t="shared" si="40"/>
        <v>18.346350372715968</v>
      </c>
      <c r="AU35" s="71">
        <f>IFERROR(s_RadSpec!$I$30*AU30,".")*$B$35</f>
        <v>1.97395E-6</v>
      </c>
      <c r="AV35" s="71">
        <f>IFERROR(s_RadSpec!$F$30*AV30,".")*$B$35</f>
        <v>0</v>
      </c>
      <c r="AW35" s="71">
        <f>IFERROR(s_RadSpec!$M$30*AW30,".")*$B$35</f>
        <v>5.2490087506849315E-15</v>
      </c>
      <c r="AX35" s="71">
        <f>s_b2w!AC35</f>
        <v>7.5138767686340789E-7</v>
      </c>
      <c r="AY35" s="49">
        <f t="shared" si="57"/>
        <v>1.97395E-6</v>
      </c>
      <c r="AZ35" s="49">
        <f t="shared" si="58"/>
        <v>0</v>
      </c>
      <c r="BA35" s="49">
        <f t="shared" si="59"/>
        <v>5.2490087506849315E-15</v>
      </c>
      <c r="BB35" s="49">
        <f t="shared" si="60"/>
        <v>7.5138767686340789E-7</v>
      </c>
      <c r="BC35" s="49">
        <f t="shared" si="61"/>
        <v>2.7253376821124166E-6</v>
      </c>
      <c r="BD35" s="60">
        <f>IFERROR(BD30/$B35,0)</f>
        <v>3.4101352630152073</v>
      </c>
      <c r="BE35" s="71">
        <f>IFERROR(s_RadSpec!$H$30*BE30,".")*$B$35</f>
        <v>1.4662175E-5</v>
      </c>
      <c r="BF35" s="49">
        <f t="shared" si="63"/>
        <v>1.4662175E-5</v>
      </c>
    </row>
    <row r="36" spans="1:58" x14ac:dyDescent="0.25">
      <c r="A36" s="48" t="s">
        <v>1078</v>
      </c>
      <c r="B36" s="15">
        <v>1</v>
      </c>
      <c r="C36" s="42"/>
      <c r="D36" s="60">
        <f>IFERROR(D26/$B36,0)</f>
        <v>429.54588409133862</v>
      </c>
      <c r="E36" s="60">
        <f>IFERROR(E26/$B36,0)</f>
        <v>8846.7469800569506</v>
      </c>
      <c r="F36" s="60">
        <f>IFERROR(F26/$B36,0)</f>
        <v>3456.9404207327052</v>
      </c>
      <c r="G36" s="60">
        <f>IFERROR(G26/$B36,0)</f>
        <v>19.780323162839576</v>
      </c>
      <c r="H36" s="60">
        <f>IFERROR(H26/$B36,0)</f>
        <v>0.28453994869744731</v>
      </c>
      <c r="I36" s="60">
        <f t="shared" si="42"/>
        <v>18.766782067754125</v>
      </c>
      <c r="J36" s="71">
        <f>IFERROR(s_RadSpec!$E$26*J26,".")*$B$37</f>
        <v>1.16402E-7</v>
      </c>
      <c r="K36" s="71">
        <f>IFERROR(s_RadSpec!$F$26*K26,".")*B37</f>
        <v>5.6517949606464422E-9</v>
      </c>
      <c r="L36" s="71">
        <f>IFERROR(s_RadSpec!$G$26*L26,".")*B37</f>
        <v>1.4463656851049347E-8</v>
      </c>
      <c r="M36" s="71">
        <f>s_b2s!AC36</f>
        <v>2.5277645662499998E-6</v>
      </c>
      <c r="N36" s="49">
        <f t="shared" si="43"/>
        <v>1.16402E-7</v>
      </c>
      <c r="O36" s="49">
        <f t="shared" si="44"/>
        <v>5.6517949606464422E-9</v>
      </c>
      <c r="P36" s="49">
        <f t="shared" si="45"/>
        <v>1.4463656851049347E-8</v>
      </c>
      <c r="Q36" s="49">
        <f t="shared" si="46"/>
        <v>2.5277645662499998E-6</v>
      </c>
      <c r="R36" s="49">
        <f t="shared" si="47"/>
        <v>2.6642820180616956E-6</v>
      </c>
      <c r="S36" s="60">
        <f>IFERROR(S26/$B36,0)</f>
        <v>3456.9404207327052</v>
      </c>
      <c r="T36" s="60">
        <f>IFERROR(T26/$B36,0)</f>
        <v>20922.161613607772</v>
      </c>
      <c r="U36" s="60">
        <f>IFERROR(U26/$B36,0)</f>
        <v>5995.0352261712433</v>
      </c>
      <c r="V36" s="60">
        <f>IFERROR(V26/$B36,0)</f>
        <v>3943.1763459024055</v>
      </c>
      <c r="W36" s="60">
        <f>IFERROR(W26/$B36,0)</f>
        <v>116552.61176957296</v>
      </c>
      <c r="X36" s="71">
        <f>IFERROR(s_RadSpec!$G$26*X26,".")*$B$37</f>
        <v>1.4463656851049347E-8</v>
      </c>
      <c r="Y36" s="71">
        <f>IFERROR(s_RadSpec!$N$26*Y26,".")*$B$37</f>
        <v>2.3898104279760467E-9</v>
      </c>
      <c r="Z36" s="71">
        <f>IFERROR(s_RadSpec!$O$26*Z26,".")*$B$37</f>
        <v>8.3402345630473862E-9</v>
      </c>
      <c r="AA36" s="71">
        <f>IFERROR(s_RadSpec!$P$26*AA26,".")*$B$37</f>
        <v>1.2680132871043935E-8</v>
      </c>
      <c r="AB36" s="71">
        <f>IFERROR(s_RadSpec!$L$26*AB26,".")*$B$37</f>
        <v>4.2899081574294607E-10</v>
      </c>
      <c r="AC36" s="49">
        <f t="shared" si="49"/>
        <v>1.4463656851049347E-8</v>
      </c>
      <c r="AD36" s="49">
        <f t="shared" si="50"/>
        <v>2.3898104279760467E-9</v>
      </c>
      <c r="AE36" s="49">
        <f t="shared" si="51"/>
        <v>8.3402345630473862E-9</v>
      </c>
      <c r="AF36" s="49">
        <f t="shared" si="52"/>
        <v>1.2680132871043935E-8</v>
      </c>
      <c r="AG36" s="49">
        <f t="shared" si="53"/>
        <v>4.2899081574294607E-10</v>
      </c>
      <c r="AH36" s="60">
        <f>IFERROR(AH26/$B36,0)</f>
        <v>2.8555960759350591E-2</v>
      </c>
      <c r="AI36" s="60">
        <f>IFERROR(AI26/$B36,0)</f>
        <v>106153.07957089211</v>
      </c>
      <c r="AJ36" s="60">
        <f t="shared" si="39"/>
        <v>2.8555953077588753E-2</v>
      </c>
      <c r="AK36" s="71">
        <f>IFERROR(s_RadSpec!$F$26*AK26,".")*$B$37</f>
        <v>1.7509479166666667E-3</v>
      </c>
      <c r="AL36" s="71">
        <f>IFERROR(s_RadSpec!$K$26*AL26,".")*$B$37</f>
        <v>4.7101789417808225E-10</v>
      </c>
      <c r="AM36" s="49">
        <f t="shared" si="54"/>
        <v>1.7509479166666667E-3</v>
      </c>
      <c r="AN36" s="49">
        <f t="shared" si="55"/>
        <v>4.7101789417808225E-10</v>
      </c>
      <c r="AO36" s="49">
        <f t="shared" si="56"/>
        <v>1.7509483876845609E-3</v>
      </c>
      <c r="AP36" s="60">
        <f>IFERROR(AP26/$B36,".")</f>
        <v>8.1357697251737005</v>
      </c>
      <c r="AQ36" s="60" t="str">
        <f>IFERROR(AQ26,".")</f>
        <v>.</v>
      </c>
      <c r="AR36" s="60">
        <f>IFERROR(AR26/$B36,".")</f>
        <v>29809158.052577883</v>
      </c>
      <c r="AS36" s="60">
        <f>IFERROR(AS26/$B36,".")</f>
        <v>23.965985200355735</v>
      </c>
      <c r="AT36" s="60">
        <f t="shared" si="40"/>
        <v>6.0738641096160375</v>
      </c>
      <c r="AU36" s="71">
        <f>IFERROR(s_RadSpec!$I$26*AU26,".")*$B$37</f>
        <v>6.1456999999999995E-6</v>
      </c>
      <c r="AV36" s="71">
        <f>IFERROR(s_RadSpec!$F$26*AV26,".")*$B$37</f>
        <v>0</v>
      </c>
      <c r="AW36" s="71">
        <f>IFERROR(s_RadSpec!$M$26*AW26,".")*$B$37</f>
        <v>1.6773368745205479E-12</v>
      </c>
      <c r="AX36" s="71">
        <f>s_b2w!AC36</f>
        <v>2.0862901976280048E-6</v>
      </c>
      <c r="AY36" s="49">
        <f t="shared" si="57"/>
        <v>6.1456999999999995E-6</v>
      </c>
      <c r="AZ36" s="49">
        <f t="shared" si="58"/>
        <v>0</v>
      </c>
      <c r="BA36" s="49">
        <f t="shared" si="59"/>
        <v>1.6773368745205479E-12</v>
      </c>
      <c r="BB36" s="49">
        <f t="shared" si="60"/>
        <v>2.0862901976280048E-6</v>
      </c>
      <c r="BC36" s="49">
        <f t="shared" si="61"/>
        <v>8.231991874964879E-6</v>
      </c>
      <c r="BD36" s="60">
        <f>IFERROR(BD26/$B36,0)</f>
        <v>1.138159794789789</v>
      </c>
      <c r="BE36" s="71">
        <f>IFERROR(s_RadSpec!$H$26*BE26,".")*$B$37</f>
        <v>4.3930562500000003E-5</v>
      </c>
      <c r="BF36" s="49">
        <f t="shared" si="63"/>
        <v>4.3930562500000003E-5</v>
      </c>
    </row>
    <row r="37" spans="1:58" x14ac:dyDescent="0.25">
      <c r="A37" s="48" t="s">
        <v>1079</v>
      </c>
      <c r="B37" s="15">
        <v>1</v>
      </c>
      <c r="C37" s="42"/>
      <c r="D37" s="60">
        <f>IFERROR(D22/$B37,0)</f>
        <v>682.02705260304151</v>
      </c>
      <c r="E37" s="60">
        <f>IFERROR(E22/$B37,0)</f>
        <v>59061.73372824442</v>
      </c>
      <c r="F37" s="60">
        <f>IFERROR(F22/$B37,0)</f>
        <v>69527531758.563843</v>
      </c>
      <c r="G37" s="60">
        <f>IFERROR(G22/$B37,0)</f>
        <v>21.775105411876723</v>
      </c>
      <c r="H37" s="60">
        <f>IFERROR(H22/$B37,0)</f>
        <v>0.53822616801806289</v>
      </c>
      <c r="I37" s="60">
        <f t="shared" si="42"/>
        <v>21.093863792924875</v>
      </c>
      <c r="J37" s="71">
        <f>IFERROR(s_RadSpec!$E$22*J22,".")*$B$37</f>
        <v>7.3310874999999997E-8</v>
      </c>
      <c r="K37" s="71">
        <f>IFERROR(s_RadSpec!$F$22*K22,".")*B37</f>
        <v>8.4657182991038862E-10</v>
      </c>
      <c r="L37" s="71">
        <f>IFERROR(s_RadSpec!$G$22*L22,".")*B37</f>
        <v>7.1913958018280162E-16</v>
      </c>
      <c r="M37" s="71">
        <f>s_b2s!AC37</f>
        <v>2.2962001356250001E-6</v>
      </c>
      <c r="N37" s="49">
        <f t="shared" si="43"/>
        <v>7.3310874999999997E-8</v>
      </c>
      <c r="O37" s="49">
        <f t="shared" si="44"/>
        <v>8.4657182991038862E-10</v>
      </c>
      <c r="P37" s="49">
        <f t="shared" si="45"/>
        <v>7.1913958018280162E-16</v>
      </c>
      <c r="Q37" s="49">
        <f t="shared" si="46"/>
        <v>2.2962001356250001E-6</v>
      </c>
      <c r="R37" s="49">
        <f t="shared" si="47"/>
        <v>2.3703575831740502E-6</v>
      </c>
      <c r="S37" s="60">
        <f>IFERROR(S22/$B37,0)</f>
        <v>69527531758.563843</v>
      </c>
      <c r="T37" s="60">
        <f>IFERROR(T22/$B37,0)</f>
        <v>87500208535.627396</v>
      </c>
      <c r="U37" s="60">
        <f>IFERROR(U22/$B37,0)</f>
        <v>49228351906.671509</v>
      </c>
      <c r="V37" s="60">
        <f>IFERROR(V22/$B37,0)</f>
        <v>50534108787.692543</v>
      </c>
      <c r="W37" s="60">
        <f>IFERROR(W22/$B37,0)</f>
        <v>247260091637.15802</v>
      </c>
      <c r="X37" s="71">
        <f>IFERROR(s_RadSpec!$G$22*X22,".")*$B$37</f>
        <v>7.1913958018280162E-16</v>
      </c>
      <c r="Y37" s="71">
        <f>IFERROR(s_RadSpec!$N$22*Y22,".")*$B$37</f>
        <v>5.714272095664954E-16</v>
      </c>
      <c r="Z37" s="71">
        <f>IFERROR(s_RadSpec!$O$22*Z22,".")*$B$37</f>
        <v>1.0156748715616439E-15</v>
      </c>
      <c r="AA37" s="71">
        <f>IFERROR(s_RadSpec!$P$22*AA22,".")*$B$37</f>
        <v>9.8943072707710217E-16</v>
      </c>
      <c r="AB37" s="71">
        <f>IFERROR(s_RadSpec!$L$22*AB22,".")*$B$37</f>
        <v>2.0221621560090878E-16</v>
      </c>
      <c r="AC37" s="49">
        <f t="shared" si="49"/>
        <v>7.1913958018280162E-16</v>
      </c>
      <c r="AD37" s="49">
        <f t="shared" si="50"/>
        <v>5.714272095664954E-16</v>
      </c>
      <c r="AE37" s="49">
        <f t="shared" si="51"/>
        <v>1.0156748715616439E-15</v>
      </c>
      <c r="AF37" s="49">
        <f t="shared" si="52"/>
        <v>9.8943072707710217E-16</v>
      </c>
      <c r="AG37" s="49">
        <f t="shared" si="53"/>
        <v>2.0221621560090878E-16</v>
      </c>
      <c r="AH37" s="60">
        <f>IFERROR(AH22/$B37,0)</f>
        <v>0.19064234057161925</v>
      </c>
      <c r="AI37" s="60">
        <f>IFERROR(AI22/$B37,0)</f>
        <v>1726667.1803619796</v>
      </c>
      <c r="AJ37" s="60">
        <f t="shared" si="39"/>
        <v>0.19064231952268842</v>
      </c>
      <c r="AK37" s="71">
        <f>IFERROR(s_RadSpec!$F$22*AK22,".")*$B$37</f>
        <v>2.6227122395833333E-4</v>
      </c>
      <c r="AL37" s="71">
        <f>IFERROR(s_RadSpec!$K$22*AL22,".")*$B$37</f>
        <v>2.8957520342465756E-11</v>
      </c>
      <c r="AM37" s="49">
        <f t="shared" si="54"/>
        <v>2.6227122395833333E-4</v>
      </c>
      <c r="AN37" s="49">
        <f t="shared" si="55"/>
        <v>2.8957520342465756E-11</v>
      </c>
      <c r="AO37" s="49">
        <f t="shared" si="56"/>
        <v>2.6227125291585369E-4</v>
      </c>
      <c r="AP37" s="60">
        <f>IFERROR(AP22/$B37,".")</f>
        <v>15.902928524287749</v>
      </c>
      <c r="AQ37" s="60" t="str">
        <f>IFERROR(AQ22,".")</f>
        <v>.</v>
      </c>
      <c r="AR37" s="60">
        <f>IFERROR(AR22/$B37,".")</f>
        <v>469720066.28304535</v>
      </c>
      <c r="AS37" s="60">
        <f>IFERROR(AS22/$B37,".")</f>
        <v>38.649753975149792</v>
      </c>
      <c r="AT37" s="60">
        <f t="shared" si="40"/>
        <v>11.26698508751109</v>
      </c>
      <c r="AU37" s="71">
        <f>IFERROR(s_RadSpec!$I$22*AU22,".")*$B$37</f>
        <v>3.144075E-6</v>
      </c>
      <c r="AV37" s="71">
        <f>IFERROR(s_RadSpec!$F$22*AV22,".")*$B$37</f>
        <v>0</v>
      </c>
      <c r="AW37" s="71">
        <f>IFERROR(s_RadSpec!$M$22*AW22,".")*$B$37</f>
        <v>1.0644637857534246E-13</v>
      </c>
      <c r="AX37" s="71">
        <f>s_b2w!AC37</f>
        <v>1.2936692955962397E-6</v>
      </c>
      <c r="AY37" s="49">
        <f t="shared" si="57"/>
        <v>3.144075E-6</v>
      </c>
      <c r="AZ37" s="49">
        <f t="shared" si="58"/>
        <v>0</v>
      </c>
      <c r="BA37" s="49">
        <f t="shared" si="59"/>
        <v>1.0644637857534246E-13</v>
      </c>
      <c r="BB37" s="49">
        <f t="shared" si="60"/>
        <v>1.2936692955962397E-6</v>
      </c>
      <c r="BC37" s="49">
        <f t="shared" si="61"/>
        <v>4.4377444020426183E-6</v>
      </c>
      <c r="BD37" s="60">
        <f>IFERROR(BD22/$B37,0)</f>
        <v>2.1529046720722516</v>
      </c>
      <c r="BE37" s="71">
        <f>IFERROR(s_RadSpec!$H$22*BE22,".")*$B$37</f>
        <v>2.32244375E-5</v>
      </c>
      <c r="BF37" s="49">
        <f t="shared" si="63"/>
        <v>2.32244375E-5</v>
      </c>
    </row>
    <row r="38" spans="1:58" x14ac:dyDescent="0.25">
      <c r="A38" s="48" t="s">
        <v>1080</v>
      </c>
      <c r="B38" s="15">
        <v>1</v>
      </c>
      <c r="C38" s="42"/>
      <c r="D38" s="60">
        <f>IFERROR(D2/$B38,0)</f>
        <v>338.43009049620622</v>
      </c>
      <c r="E38" s="60">
        <f>IFERROR(E2/$B38,0)</f>
        <v>54088.919359933687</v>
      </c>
      <c r="F38" s="60">
        <f>IFERROR(F2/$B38,0)</f>
        <v>11395.714891277896</v>
      </c>
      <c r="G38" s="60">
        <f>IFERROR(G2/$B38,0)</f>
        <v>20.986926592830603</v>
      </c>
      <c r="H38" s="60">
        <f>IFERROR(H2/$B38,0)</f>
        <v>0.3043104355960437</v>
      </c>
      <c r="I38" s="60">
        <f t="shared" si="42"/>
        <v>19.720065250071258</v>
      </c>
      <c r="J38" s="71">
        <f>IFERROR(s_RadSpec!$E$2*J2,".")*$B$38</f>
        <v>1.47741E-7</v>
      </c>
      <c r="K38" s="71">
        <f>IFERROR(s_RadSpec!$F$2*K2,".")*B38</f>
        <v>9.24403752037935E-10</v>
      </c>
      <c r="L38" s="71">
        <f>IFERROR(s_RadSpec!$G$2*L2,".")*B38</f>
        <v>4.3876141582191772E-9</v>
      </c>
      <c r="M38" s="71">
        <f>s_b2s!AC38</f>
        <v>2.3824355500000003E-6</v>
      </c>
      <c r="N38" s="49">
        <f t="shared" si="43"/>
        <v>1.47741E-7</v>
      </c>
      <c r="O38" s="49">
        <f t="shared" si="44"/>
        <v>9.24403752037935E-10</v>
      </c>
      <c r="P38" s="49">
        <f t="shared" si="45"/>
        <v>4.3876141582191772E-9</v>
      </c>
      <c r="Q38" s="49">
        <f t="shared" si="46"/>
        <v>2.3824355500000003E-6</v>
      </c>
      <c r="R38" s="49">
        <f t="shared" si="47"/>
        <v>2.5354885679102574E-6</v>
      </c>
      <c r="S38" s="60">
        <f>IFERROR(S2/$B38,0)</f>
        <v>11395.714891277896</v>
      </c>
      <c r="T38" s="60">
        <f>IFERROR(T2/$B38,0)</f>
        <v>82257.45271403373</v>
      </c>
      <c r="U38" s="60">
        <f>IFERROR(U2/$B38,0)</f>
        <v>21579.137390865362</v>
      </c>
      <c r="V38" s="60">
        <f>IFERROR(V2/$B38,0)</f>
        <v>13348.489390173792</v>
      </c>
      <c r="W38" s="60">
        <f>IFERROR(W2/$B38,0)</f>
        <v>624892.29776604171</v>
      </c>
      <c r="X38" s="71">
        <f>IFERROR(s_RadSpec!$G$2*X2,".")*$B$38</f>
        <v>4.3876141582191772E-9</v>
      </c>
      <c r="Y38" s="71">
        <f>IFERROR(s_RadSpec!$N$2*Y2,".")*$B$38</f>
        <v>6.0784765817905798E-10</v>
      </c>
      <c r="Z38" s="71">
        <f>IFERROR(s_RadSpec!$O$2*Z2,".")*$B$38</f>
        <v>2.31705276695469E-9</v>
      </c>
      <c r="AA38" s="71">
        <f>IFERROR(s_RadSpec!$P$2*AA2,".")*$B$38</f>
        <v>3.745742198874312E-9</v>
      </c>
      <c r="AB38" s="71">
        <f>IFERROR(s_RadSpec!$L$2*AB2,".")*$B$38</f>
        <v>8.0013788261989251E-11</v>
      </c>
      <c r="AC38" s="49">
        <f t="shared" si="49"/>
        <v>4.3876141582191772E-9</v>
      </c>
      <c r="AD38" s="49">
        <f t="shared" si="50"/>
        <v>6.0784765817905798E-10</v>
      </c>
      <c r="AE38" s="49">
        <f t="shared" si="51"/>
        <v>2.31705276695469E-9</v>
      </c>
      <c r="AF38" s="49">
        <f t="shared" si="52"/>
        <v>3.745742198874312E-9</v>
      </c>
      <c r="AG38" s="49">
        <f t="shared" si="53"/>
        <v>8.0013788261989251E-11</v>
      </c>
      <c r="AH38" s="60">
        <f>IFERROR(AH2/$B38,0)</f>
        <v>0.17459084816597772</v>
      </c>
      <c r="AI38" s="60">
        <f>IFERROR(AI2/$B38,0)</f>
        <v>618624.52266937145</v>
      </c>
      <c r="AJ38" s="60">
        <f t="shared" si="39"/>
        <v>0.17459079889221871</v>
      </c>
      <c r="AK38" s="71">
        <f>IFERROR(s_RadSpec!$F$2*AK2,".")*$B$38</f>
        <v>2.8638385416666668E-4</v>
      </c>
      <c r="AL38" s="71">
        <f>IFERROR(s_RadSpec!$K$2*AL2,".")*$B$38</f>
        <v>8.082447133561645E-11</v>
      </c>
      <c r="AM38" s="49">
        <f t="shared" si="54"/>
        <v>2.8638385416666668E-4</v>
      </c>
      <c r="AN38" s="49">
        <f t="shared" si="55"/>
        <v>8.082447133561645E-11</v>
      </c>
      <c r="AO38" s="49">
        <f t="shared" si="56"/>
        <v>2.8638393499113803E-4</v>
      </c>
      <c r="AP38" s="60">
        <f>IFERROR(AP2/$B38,".")</f>
        <v>9.6164479726123577</v>
      </c>
      <c r="AQ38" s="60" t="str">
        <f>IFERROR(AQ2,".")</f>
        <v>.</v>
      </c>
      <c r="AR38" s="60">
        <f>IFERROR(AR2/$B38,".")</f>
        <v>174522399.24334234</v>
      </c>
      <c r="AS38" s="60">
        <f>IFERROR(AS2/$B38,".")</f>
        <v>25.581960661560032</v>
      </c>
      <c r="AT38" s="60">
        <f t="shared" si="40"/>
        <v>6.9891677900604794</v>
      </c>
      <c r="AU38" s="71">
        <f>IFERROR(s_RadSpec!$I$2*AU2,".")*$B$38</f>
        <v>5.1994249999999998E-6</v>
      </c>
      <c r="AV38" s="71">
        <f>IFERROR(s_RadSpec!$F$2*AV2,".")*$B$38</f>
        <v>0</v>
      </c>
      <c r="AW38" s="71">
        <f>IFERROR(s_RadSpec!$M$2*AW2,".")*$B$38</f>
        <v>2.8649617594520547E-13</v>
      </c>
      <c r="AX38" s="71">
        <f>s_b2w!AC38</f>
        <v>1.9545022628047038E-6</v>
      </c>
      <c r="AY38" s="49">
        <f t="shared" si="57"/>
        <v>5.1994249999999998E-6</v>
      </c>
      <c r="AZ38" s="49">
        <f t="shared" si="58"/>
        <v>0</v>
      </c>
      <c r="BA38" s="49">
        <f t="shared" si="59"/>
        <v>2.8649617594520547E-13</v>
      </c>
      <c r="BB38" s="49">
        <f t="shared" si="60"/>
        <v>1.9545022628047038E-6</v>
      </c>
      <c r="BC38" s="49">
        <f t="shared" si="61"/>
        <v>7.1539275493008798E-6</v>
      </c>
      <c r="BD38" s="60">
        <f>IFERROR(BD2/$B38,0)</f>
        <v>1.2172417423841748</v>
      </c>
      <c r="BE38" s="71">
        <f>IFERROR(s_RadSpec!$H$2*BE2,".")*$B$38</f>
        <v>4.1076475000000004E-5</v>
      </c>
      <c r="BF38" s="49">
        <f t="shared" si="63"/>
        <v>4.1076475000000004E-5</v>
      </c>
    </row>
    <row r="39" spans="1:58" x14ac:dyDescent="0.25">
      <c r="A39" s="48" t="s">
        <v>1081</v>
      </c>
      <c r="B39" s="15">
        <v>1</v>
      </c>
      <c r="C39" s="42"/>
      <c r="D39" s="60">
        <f>IFERROR(D11/$B39,0)</f>
        <v>0</v>
      </c>
      <c r="E39" s="60">
        <f>IFERROR(E11/$B39,0)</f>
        <v>0</v>
      </c>
      <c r="F39" s="60">
        <f>IFERROR(F11/$B39,0)</f>
        <v>3941.2539723774626</v>
      </c>
      <c r="G39" s="60">
        <f>IFERROR(G11/$B39,0)</f>
        <v>0</v>
      </c>
      <c r="H39" s="60">
        <f>IFERROR(H11/$B39,0)</f>
        <v>0</v>
      </c>
      <c r="I39" s="60">
        <f t="shared" si="42"/>
        <v>3941.2539723774621</v>
      </c>
      <c r="J39" s="71">
        <f>IFERROR(s_RadSpec!$E$11*J11,".")*$B$39</f>
        <v>0</v>
      </c>
      <c r="K39" s="71">
        <f>IFERROR(s_RadSpec!$F$11*K11,".")*B39</f>
        <v>0</v>
      </c>
      <c r="L39" s="71">
        <f>IFERROR(s_RadSpec!$G$11*L11,".")*B39</f>
        <v>1.2686317692396454E-8</v>
      </c>
      <c r="M39" s="71">
        <f>s_b2s!AC39</f>
        <v>0</v>
      </c>
      <c r="N39" s="49">
        <f t="shared" si="43"/>
        <v>0</v>
      </c>
      <c r="O39" s="49">
        <f t="shared" si="44"/>
        <v>0</v>
      </c>
      <c r="P39" s="49">
        <f t="shared" si="45"/>
        <v>1.2686317692396454E-8</v>
      </c>
      <c r="Q39" s="49">
        <f t="shared" si="46"/>
        <v>0</v>
      </c>
      <c r="R39" s="49">
        <f t="shared" si="47"/>
        <v>1.2686317692396454E-8</v>
      </c>
      <c r="S39" s="60">
        <f>IFERROR(S11/$B39,0)</f>
        <v>3941.2539723774626</v>
      </c>
      <c r="T39" s="60">
        <f>IFERROR(T11/$B39,0)</f>
        <v>20430.273847853827</v>
      </c>
      <c r="U39" s="60">
        <f>IFERROR(U11/$B39,0)</f>
        <v>5746.6775171780673</v>
      </c>
      <c r="V39" s="60">
        <f>IFERROR(V11/$B39,0)</f>
        <v>3827.3856838891161</v>
      </c>
      <c r="W39" s="60">
        <f>IFERROR(W11/$B39,0)</f>
        <v>38596.907610122449</v>
      </c>
      <c r="X39" s="71">
        <f>IFERROR(s_RadSpec!$G$11*X11,".")*$B$39</f>
        <v>1.2686317692396454E-8</v>
      </c>
      <c r="Y39" s="71">
        <f>IFERROR(s_RadSpec!$N$11*Y11,".")*$B$39</f>
        <v>2.4473484972523973E-9</v>
      </c>
      <c r="Z39" s="71">
        <f>IFERROR(s_RadSpec!$O$11*Z11,".")*$B$39</f>
        <v>8.7006796275829183E-9</v>
      </c>
      <c r="AA39" s="71">
        <f>IFERROR(s_RadSpec!$P$11*AA11,".")*$B$39</f>
        <v>1.3063747458341741E-8</v>
      </c>
      <c r="AB39" s="71">
        <f>IFERROR(s_RadSpec!$L$11*AB11,".")*$B$39</f>
        <v>1.2954405701374624E-9</v>
      </c>
      <c r="AC39" s="49">
        <f t="shared" si="49"/>
        <v>1.2686317692396454E-8</v>
      </c>
      <c r="AD39" s="49">
        <f t="shared" si="50"/>
        <v>2.4473484972523973E-9</v>
      </c>
      <c r="AE39" s="49">
        <f t="shared" si="51"/>
        <v>8.7006796275829183E-9</v>
      </c>
      <c r="AF39" s="49">
        <f t="shared" si="52"/>
        <v>1.3063747458341741E-8</v>
      </c>
      <c r="AG39" s="49">
        <f t="shared" si="53"/>
        <v>1.2954405701374624E-9</v>
      </c>
      <c r="AH39" s="60">
        <f>IFERROR(AH11/$B39,0)</f>
        <v>0</v>
      </c>
      <c r="AI39" s="60">
        <f>IFERROR(AI11/$B39,0)</f>
        <v>276406.7016182298</v>
      </c>
      <c r="AJ39" s="60">
        <f>IFERROR(IF(AND(AH39&lt;&gt;0,AI39&lt;&gt;0),1/((1/AH39)+(1/AI39)),IF(AND(AH39&lt;&gt;0,AI39=0),1/((1/AH39)),IF(AND(AH39=0,AI39&lt;&gt;0),1/((1/AI39)),IF(AND(AH39=".",AI39="."),".")))),".")</f>
        <v>276406.7016182298</v>
      </c>
      <c r="AK39" s="71">
        <f>IFERROR(s_RadSpec!$F$11*AK11,".")*$B$39</f>
        <v>0</v>
      </c>
      <c r="AL39" s="71">
        <f>IFERROR(s_RadSpec!$K$11*AL11,".")*$B$39</f>
        <v>1.8089286441780824E-10</v>
      </c>
      <c r="AM39" s="49">
        <f t="shared" si="54"/>
        <v>0</v>
      </c>
      <c r="AN39" s="49">
        <f t="shared" si="55"/>
        <v>1.8089286441780824E-10</v>
      </c>
      <c r="AO39" s="49">
        <f t="shared" si="56"/>
        <v>1.8089286441780824E-10</v>
      </c>
      <c r="AP39" s="60" t="str">
        <f>IFERROR(AP11/$B39,".")</f>
        <v>.</v>
      </c>
      <c r="AQ39" s="60" t="str">
        <f>IFERROR(AQ11,".")</f>
        <v>.</v>
      </c>
      <c r="AR39" s="60">
        <f>IFERROR(AR11/$B39,".")</f>
        <v>78575292.193891913</v>
      </c>
      <c r="AS39" s="60" t="str">
        <f>IFERROR(AS11/$B39,".")</f>
        <v>.</v>
      </c>
      <c r="AT39" s="60">
        <f t="shared" si="40"/>
        <v>78575292.193891913</v>
      </c>
      <c r="AU39" s="71">
        <f>IFERROR(s_RadSpec!$I$11*AU11,".")*$B$39</f>
        <v>0</v>
      </c>
      <c r="AV39" s="71">
        <f>IFERROR(s_RadSpec!$F$11*AV11,".")*$B$39</f>
        <v>0</v>
      </c>
      <c r="AW39" s="71">
        <f>IFERROR(s_RadSpec!$M$11*AW11,".")*$B$39</f>
        <v>6.3633234575342469E-13</v>
      </c>
      <c r="AX39" s="71">
        <f>s_b2w!AC39</f>
        <v>0</v>
      </c>
      <c r="AY39" s="49">
        <f t="shared" si="57"/>
        <v>0</v>
      </c>
      <c r="AZ39" s="49">
        <f t="shared" si="58"/>
        <v>0</v>
      </c>
      <c r="BA39" s="49">
        <f t="shared" si="59"/>
        <v>6.3633234575342469E-13</v>
      </c>
      <c r="BB39" s="49">
        <f t="shared" si="60"/>
        <v>0</v>
      </c>
      <c r="BC39" s="49">
        <f t="shared" si="61"/>
        <v>6.3633234575342469E-13</v>
      </c>
      <c r="BD39" s="60">
        <f>IFERROR(BD11/$B39,0)</f>
        <v>0</v>
      </c>
      <c r="BE39" s="71">
        <f>IFERROR(s_RadSpec!$H$11*BE11,".")*$B$39</f>
        <v>0</v>
      </c>
      <c r="BF39" s="49">
        <f t="shared" si="63"/>
        <v>0</v>
      </c>
    </row>
    <row r="40" spans="1:58" x14ac:dyDescent="0.25">
      <c r="A40" s="48" t="s">
        <v>1082</v>
      </c>
      <c r="B40" s="15">
        <v>1</v>
      </c>
      <c r="C40" s="42"/>
      <c r="D40" s="60">
        <f>IFERROR(D4/$B40,0)</f>
        <v>0</v>
      </c>
      <c r="E40" s="60">
        <f>IFERROR(E4/$B40,0)</f>
        <v>0</v>
      </c>
      <c r="F40" s="60">
        <f>IFERROR(F4/$B40,0)</f>
        <v>244975.76807471414</v>
      </c>
      <c r="G40" s="60">
        <f>IFERROR(G4/$B40,0)</f>
        <v>0</v>
      </c>
      <c r="H40" s="60">
        <f>IFERROR(H4/$B40,0)</f>
        <v>0</v>
      </c>
      <c r="I40" s="60">
        <f t="shared" si="42"/>
        <v>244975.76807471414</v>
      </c>
      <c r="J40" s="71">
        <f>IFERROR(s_RadSpec!$E$4*J4,".")*$B$40</f>
        <v>0</v>
      </c>
      <c r="K40" s="71">
        <f>IFERROR(s_RadSpec!$F$4*K4,".")*B40</f>
        <v>0</v>
      </c>
      <c r="L40" s="71">
        <f>IFERROR(s_RadSpec!$G$4*L4,".")*B40</f>
        <v>2.0410181951037175E-10</v>
      </c>
      <c r="M40" s="71">
        <f>s_b2s!AC40</f>
        <v>0</v>
      </c>
      <c r="N40" s="49">
        <f t="shared" si="43"/>
        <v>0</v>
      </c>
      <c r="O40" s="49">
        <f t="shared" si="44"/>
        <v>0</v>
      </c>
      <c r="P40" s="49">
        <f t="shared" si="45"/>
        <v>2.0410181951037175E-10</v>
      </c>
      <c r="Q40" s="49">
        <f t="shared" si="46"/>
        <v>0</v>
      </c>
      <c r="R40" s="49">
        <f t="shared" si="47"/>
        <v>2.0410181951037175E-10</v>
      </c>
      <c r="S40" s="60">
        <f>IFERROR(S4/$B40,0)</f>
        <v>244975.76807471414</v>
      </c>
      <c r="T40" s="60">
        <f>IFERROR(T4/$B40,0)</f>
        <v>1727446.4197135651</v>
      </c>
      <c r="U40" s="60">
        <f>IFERROR(U4/$B40,0)</f>
        <v>450467.50016048393</v>
      </c>
      <c r="V40" s="60">
        <f>IFERROR(V4/$B40,0)</f>
        <v>266982.34089589585</v>
      </c>
      <c r="W40" s="60">
        <f>IFERROR(W4/$B40,0)</f>
        <v>3253284.3020638451</v>
      </c>
      <c r="X40" s="71">
        <f>IFERROR(s_RadSpec!$G$4*X4,".")*$B$40</f>
        <v>2.0410181951037175E-10</v>
      </c>
      <c r="Y40" s="71">
        <f>IFERROR(s_RadSpec!$N$4*Y4,".")*$B$40</f>
        <v>2.8944457801643825E-11</v>
      </c>
      <c r="Z40" s="71">
        <f>IFERROR(s_RadSpec!$O$4*Z4,".")*$B$40</f>
        <v>1.1099579876947164E-10</v>
      </c>
      <c r="AA40" s="71">
        <f>IFERROR(s_RadSpec!$P$4*AA4,".")*$B$40</f>
        <v>1.8727830399650454E-10</v>
      </c>
      <c r="AB40" s="71">
        <f>IFERROR(s_RadSpec!$L$4*AB4,".")*$B$40</f>
        <v>1.5369084087818759E-11</v>
      </c>
      <c r="AC40" s="49">
        <f t="shared" si="49"/>
        <v>2.0410181951037175E-10</v>
      </c>
      <c r="AD40" s="49">
        <f t="shared" si="50"/>
        <v>2.8944457801643825E-11</v>
      </c>
      <c r="AE40" s="49">
        <f t="shared" si="51"/>
        <v>1.1099579876947164E-10</v>
      </c>
      <c r="AF40" s="49">
        <f t="shared" si="52"/>
        <v>1.8727830399650454E-10</v>
      </c>
      <c r="AG40" s="49">
        <f t="shared" si="53"/>
        <v>1.5369084087818759E-11</v>
      </c>
      <c r="AH40" s="60">
        <f>IFERROR(AH4/$B40,0)</f>
        <v>0</v>
      </c>
      <c r="AI40" s="60">
        <f>IFERROR(AI4/$B40,0)</f>
        <v>32633183.552295782</v>
      </c>
      <c r="AJ40" s="60">
        <f t="shared" ref="AJ40:AJ44" si="65">IFERROR(IF(AND(AH40&lt;&gt;0,AI40&lt;&gt;0),1/((1/AH40)+(1/AI40)),IF(AND(AH40&lt;&gt;0,AI40=0),1/((1/AH40)),IF(AND(AH40=0,AI40&lt;&gt;0),1/((1/AI40)),IF(AND(AH40=".",AI40="."),".")))),".")</f>
        <v>32633183.552295785</v>
      </c>
      <c r="AK40" s="71">
        <f>IFERROR(s_RadSpec!$F$4*AK4,".")*$B$40</f>
        <v>0</v>
      </c>
      <c r="AL40" s="71">
        <f>IFERROR(s_RadSpec!$K$4*AL4,".")*$B$40</f>
        <v>1.5321827219178085E-12</v>
      </c>
      <c r="AM40" s="49">
        <f t="shared" si="54"/>
        <v>0</v>
      </c>
      <c r="AN40" s="49">
        <f t="shared" si="55"/>
        <v>1.5321827219178085E-12</v>
      </c>
      <c r="AO40" s="49">
        <f t="shared" si="56"/>
        <v>1.5321827219178085E-12</v>
      </c>
      <c r="AP40" s="60" t="str">
        <f>IFERROR(AP4/$B40,".")</f>
        <v>.</v>
      </c>
      <c r="AQ40" s="60" t="str">
        <f>IFERROR(AQ4,".")</f>
        <v>.</v>
      </c>
      <c r="AR40" s="60">
        <f>IFERROR(AR4/$B40,".")</f>
        <v>9317398036.1063118</v>
      </c>
      <c r="AS40" s="60" t="str">
        <f>IFERROR(AS4/$B40,".")</f>
        <v>.</v>
      </c>
      <c r="AT40" s="60">
        <f t="shared" si="40"/>
        <v>9317398036.1063118</v>
      </c>
      <c r="AU40" s="71">
        <f>IFERROR(s_RadSpec!$I$4*AU4,".")*$B$40</f>
        <v>0</v>
      </c>
      <c r="AV40" s="71">
        <f>IFERROR(s_RadSpec!$F$4*AV4,".")*$B$40</f>
        <v>0</v>
      </c>
      <c r="AW40" s="71">
        <f>IFERROR(s_RadSpec!$M$4*AW4,".")*$B$40</f>
        <v>5.3663050356164375E-15</v>
      </c>
      <c r="AX40" s="71">
        <f>s_b2w!AC40</f>
        <v>0</v>
      </c>
      <c r="AY40" s="49">
        <f t="shared" si="57"/>
        <v>0</v>
      </c>
      <c r="AZ40" s="49">
        <f t="shared" si="58"/>
        <v>0</v>
      </c>
      <c r="BA40" s="49">
        <f t="shared" si="59"/>
        <v>5.3663050356164375E-15</v>
      </c>
      <c r="BB40" s="49">
        <f t="shared" si="60"/>
        <v>0</v>
      </c>
      <c r="BC40" s="49">
        <f t="shared" si="61"/>
        <v>5.3663050356164375E-15</v>
      </c>
      <c r="BD40" s="60">
        <f>IFERROR(BD4/$B40,0)</f>
        <v>0</v>
      </c>
      <c r="BE40" s="71">
        <f>IFERROR(s_RadSpec!$H$4*BE4,".")*$B$40</f>
        <v>0</v>
      </c>
      <c r="BF40" s="49">
        <f t="shared" si="63"/>
        <v>0</v>
      </c>
    </row>
    <row r="41" spans="1:58" x14ac:dyDescent="0.25">
      <c r="A41" s="48" t="s">
        <v>1083</v>
      </c>
      <c r="B41" s="50">
        <v>0.99987999999999999</v>
      </c>
      <c r="C41" s="84"/>
      <c r="D41" s="60">
        <f>IFERROR(D8/$B41,0)</f>
        <v>138751.96683694972</v>
      </c>
      <c r="E41" s="60">
        <f>IFERROR(E8/$B41,0)</f>
        <v>20880828.572363086</v>
      </c>
      <c r="F41" s="60">
        <f>IFERROR(F8/$B41,0)</f>
        <v>270.15005845256064</v>
      </c>
      <c r="G41" s="60">
        <f>IFERROR(G8/$B41,0)</f>
        <v>1014.5359308210589</v>
      </c>
      <c r="H41" s="60">
        <f>IFERROR(H8/$B41,0)</f>
        <v>115.14982814819021</v>
      </c>
      <c r="I41" s="60">
        <f t="shared" si="42"/>
        <v>213.01188360585877</v>
      </c>
      <c r="J41" s="71">
        <f>IFERROR(s_RadSpec!$E$8*J8,".")*$B$41</f>
        <v>3.6035525217999999E-10</v>
      </c>
      <c r="K41" s="71">
        <f>IFERROR(s_RadSpec!$F$8*K8,".")*B41</f>
        <v>2.3945409937504935E-12</v>
      </c>
      <c r="L41" s="71">
        <f>IFERROR(s_RadSpec!$G$8*L8,".")*B41</f>
        <v>1.8508232160453219E-7</v>
      </c>
      <c r="M41" s="71">
        <f>s_b2s!AC41</f>
        <v>4.9295446953634441E-8</v>
      </c>
      <c r="N41" s="49">
        <f t="shared" si="43"/>
        <v>3.6035525217999999E-10</v>
      </c>
      <c r="O41" s="49">
        <f t="shared" si="44"/>
        <v>2.3945409937504935E-12</v>
      </c>
      <c r="P41" s="49">
        <f t="shared" si="45"/>
        <v>1.8508232160453219E-7</v>
      </c>
      <c r="Q41" s="49">
        <f t="shared" si="46"/>
        <v>4.9295446953634441E-8</v>
      </c>
      <c r="R41" s="49">
        <f t="shared" si="47"/>
        <v>2.347405183513404E-7</v>
      </c>
      <c r="S41" s="60">
        <f>IFERROR(S8/$B41,0)</f>
        <v>270.15005845256064</v>
      </c>
      <c r="T41" s="60">
        <f>IFERROR(T8/$B41,0)</f>
        <v>2287.7003917604143</v>
      </c>
      <c r="U41" s="60">
        <f>IFERROR(U8/$B41,0)</f>
        <v>597.71550203070592</v>
      </c>
      <c r="V41" s="60">
        <f>IFERROR(V8/$B41,0)</f>
        <v>362.25312541279925</v>
      </c>
      <c r="W41" s="60">
        <f>IFERROR(W8/$B41,0)</f>
        <v>4148.3093161560773</v>
      </c>
      <c r="X41" s="71">
        <f>IFERROR(s_RadSpec!$G$8*X8,".")*$B$41</f>
        <v>1.8508232160453219E-7</v>
      </c>
      <c r="Y41" s="71">
        <f>IFERROR(s_RadSpec!$N$8*Y8,".")*$B$41</f>
        <v>2.1856008846300174E-8</v>
      </c>
      <c r="Z41" s="71">
        <f>IFERROR(s_RadSpec!$O$8*Z8,".")*$B$41</f>
        <v>8.3651837421194059E-8</v>
      </c>
      <c r="AA41" s="71">
        <f>IFERROR(s_RadSpec!$P$8*AA8,".")*$B$41</f>
        <v>1.380250341333104E-7</v>
      </c>
      <c r="AB41" s="71">
        <f>IFERROR(s_RadSpec!$L$8*AB8,".")*$B$41</f>
        <v>1.2053103129332506E-8</v>
      </c>
      <c r="AC41" s="49">
        <f t="shared" si="49"/>
        <v>1.8508232160453219E-7</v>
      </c>
      <c r="AD41" s="49">
        <f t="shared" si="50"/>
        <v>2.1856008846300174E-8</v>
      </c>
      <c r="AE41" s="49">
        <f t="shared" si="51"/>
        <v>8.3651837421194059E-8</v>
      </c>
      <c r="AF41" s="49">
        <f t="shared" si="52"/>
        <v>1.380250341333104E-7</v>
      </c>
      <c r="AG41" s="49">
        <f t="shared" si="53"/>
        <v>1.2053103129332506E-8</v>
      </c>
      <c r="AH41" s="60">
        <f>IFERROR(AH8/$B41,0)</f>
        <v>67.400155410716692</v>
      </c>
      <c r="AI41" s="60">
        <f>IFERROR(AI8/$B41,0)</f>
        <v>59834.683341209886</v>
      </c>
      <c r="AJ41" s="60">
        <f t="shared" si="65"/>
        <v>67.324318633692982</v>
      </c>
      <c r="AK41" s="71">
        <f>IFERROR(s_RadSpec!$F$8*AK8,".")*$B$41</f>
        <v>7.4183805208333333E-7</v>
      </c>
      <c r="AL41" s="71">
        <f>IFERROR(s_RadSpec!$K$8*AL8,".")*$B$41</f>
        <v>8.3563574181336991E-10</v>
      </c>
      <c r="AM41" s="49">
        <f t="shared" si="54"/>
        <v>7.4183805208333333E-7</v>
      </c>
      <c r="AN41" s="49">
        <f t="shared" si="55"/>
        <v>8.3563574181336991E-10</v>
      </c>
      <c r="AO41" s="49">
        <f t="shared" si="56"/>
        <v>7.4267368782514673E-7</v>
      </c>
      <c r="AP41" s="60">
        <f>IFERROR(AP8/$B41,".")</f>
        <v>3587.2953761786553</v>
      </c>
      <c r="AQ41" s="60" t="str">
        <f>IFERROR(AQ8,".")</f>
        <v>.</v>
      </c>
      <c r="AR41" s="60">
        <f>IFERROR(AR8/$B41,".")</f>
        <v>17225136.113378603</v>
      </c>
      <c r="AS41" s="60">
        <f>IFERROR(AS8/$B41,".")</f>
        <v>3647.8051223183156</v>
      </c>
      <c r="AT41" s="60">
        <f t="shared" si="40"/>
        <v>1808.4587192912516</v>
      </c>
      <c r="AU41" s="71">
        <f>IFERROR(s_RadSpec!$I$8*AU8,".")*$B$41</f>
        <v>1.393807723E-8</v>
      </c>
      <c r="AV41" s="71">
        <f>IFERROR(s_RadSpec!$F$8*AV8,".")*$B$41</f>
        <v>0</v>
      </c>
      <c r="AW41" s="71">
        <f>IFERROR(s_RadSpec!$M$8*AW8,".")*$B$41</f>
        <v>2.9027346820885476E-12</v>
      </c>
      <c r="AX41" s="71">
        <f>s_b2w!AC41</f>
        <v>1.3710162819378128E-8</v>
      </c>
      <c r="AY41" s="49">
        <f t="shared" si="57"/>
        <v>1.393807723E-8</v>
      </c>
      <c r="AZ41" s="49">
        <f t="shared" si="58"/>
        <v>0</v>
      </c>
      <c r="BA41" s="49">
        <f t="shared" si="59"/>
        <v>2.9027346820885476E-12</v>
      </c>
      <c r="BB41" s="49">
        <f t="shared" si="60"/>
        <v>1.3710162819378128E-8</v>
      </c>
      <c r="BC41" s="49">
        <f t="shared" si="61"/>
        <v>2.7651142784060216E-8</v>
      </c>
      <c r="BD41" s="60">
        <f>IFERROR(BD8/$B41,0)</f>
        <v>460.5993125927609</v>
      </c>
      <c r="BE41" s="71">
        <f>IFERROR(s_RadSpec!$H$8*BE8,".")*$B$41</f>
        <v>1.0855422193E-7</v>
      </c>
      <c r="BF41" s="49">
        <f t="shared" si="63"/>
        <v>1.0855422193E-7</v>
      </c>
    </row>
    <row r="42" spans="1:58" x14ac:dyDescent="0.25">
      <c r="A42" s="48" t="s">
        <v>1084</v>
      </c>
      <c r="B42" s="15">
        <v>0.97898250799999997</v>
      </c>
      <c r="C42" s="42"/>
      <c r="D42" s="60">
        <f>IFERROR(D19/$B42,0)</f>
        <v>0</v>
      </c>
      <c r="E42" s="60">
        <f>IFERROR(E19/$B42,0)</f>
        <v>0</v>
      </c>
      <c r="F42" s="60">
        <f>IFERROR(F19/$B42,0)</f>
        <v>600119.61918264814</v>
      </c>
      <c r="G42" s="60">
        <f>IFERROR(G19/$B42,0)</f>
        <v>0</v>
      </c>
      <c r="H42" s="60">
        <f>IFERROR(H19/$B42,0)</f>
        <v>0</v>
      </c>
      <c r="I42" s="60">
        <f t="shared" si="42"/>
        <v>600119.61918264814</v>
      </c>
      <c r="J42" s="72">
        <f>IFERROR(s_RadSpec!$E$19*J19,".")*$B$42</f>
        <v>0</v>
      </c>
      <c r="K42" s="72">
        <f>IFERROR(s_RadSpec!$F$19*K19,".")*B42</f>
        <v>0</v>
      </c>
      <c r="L42" s="72">
        <f>IFERROR(s_RadSpec!$G$19*L19,".")*B42</f>
        <v>8.3316722869515714E-11</v>
      </c>
      <c r="M42" s="71">
        <f>s_b2s!AC42</f>
        <v>0</v>
      </c>
      <c r="N42" s="49">
        <f t="shared" si="43"/>
        <v>0</v>
      </c>
      <c r="O42" s="49">
        <f t="shared" si="44"/>
        <v>0</v>
      </c>
      <c r="P42" s="49">
        <f t="shared" si="45"/>
        <v>8.3316722869515714E-11</v>
      </c>
      <c r="Q42" s="49">
        <f t="shared" si="46"/>
        <v>0</v>
      </c>
      <c r="R42" s="49">
        <f t="shared" si="47"/>
        <v>8.3316722869515714E-11</v>
      </c>
      <c r="S42" s="60">
        <f>IFERROR(S19/$B42,0)</f>
        <v>600119.61918264814</v>
      </c>
      <c r="T42" s="60">
        <f>IFERROR(T19/$B42,0)</f>
        <v>5951397.0274623623</v>
      </c>
      <c r="U42" s="60">
        <f>IFERROR(U19/$B42,0)</f>
        <v>1464910.1623752075</v>
      </c>
      <c r="V42" s="60">
        <f>IFERROR(V19/$B42,0)</f>
        <v>784544.9512948927</v>
      </c>
      <c r="W42" s="60">
        <f>IFERROR(W19/$B42,0)</f>
        <v>10533149.165932437</v>
      </c>
      <c r="X42" s="72">
        <f>IFERROR(s_RadSpec!$G$19*X19,".")*$B$42</f>
        <v>8.3316722869515714E-11</v>
      </c>
      <c r="Y42" s="72">
        <f>IFERROR(s_RadSpec!$N$19*Y19,".")*$B$42</f>
        <v>8.4013887444037113E-12</v>
      </c>
      <c r="Z42" s="72">
        <f>IFERROR(s_RadSpec!$O$19*Z19,".")*$B$42</f>
        <v>3.4131785882985434E-11</v>
      </c>
      <c r="AA42" s="72">
        <f>IFERROR(s_RadSpec!$P$19*AA19,".")*$B$42</f>
        <v>6.3731211216737713E-11</v>
      </c>
      <c r="AB42" s="72">
        <f>IFERROR(s_RadSpec!$L$19*AB19,".")*$B$42</f>
        <v>4.7469184393320783E-12</v>
      </c>
      <c r="AC42" s="49">
        <f t="shared" si="49"/>
        <v>8.3316722869515714E-11</v>
      </c>
      <c r="AD42" s="49">
        <f t="shared" si="50"/>
        <v>8.4013887444037113E-12</v>
      </c>
      <c r="AE42" s="49">
        <f t="shared" si="51"/>
        <v>3.4131785882985434E-11</v>
      </c>
      <c r="AF42" s="49">
        <f t="shared" si="52"/>
        <v>6.3731211216737713E-11</v>
      </c>
      <c r="AG42" s="49">
        <f t="shared" si="53"/>
        <v>4.7469184393320783E-12</v>
      </c>
      <c r="AH42" s="60">
        <f>IFERROR(AH19/$B42,0)</f>
        <v>0</v>
      </c>
      <c r="AI42" s="60">
        <f>IFERROR(AI19/$B42,0)</f>
        <v>201935048.33329412</v>
      </c>
      <c r="AJ42" s="60">
        <f t="shared" si="65"/>
        <v>201935048.33329412</v>
      </c>
      <c r="AK42" s="72">
        <f>IFERROR(s_RadSpec!$F$19*AK19,".")*$B$42</f>
        <v>0</v>
      </c>
      <c r="AL42" s="72">
        <f>IFERROR(s_RadSpec!$K$19*AL19,".")*$B$42</f>
        <v>2.4760436790286605E-13</v>
      </c>
      <c r="AM42" s="49">
        <f t="shared" si="54"/>
        <v>0</v>
      </c>
      <c r="AN42" s="49">
        <f t="shared" si="55"/>
        <v>2.4760436790286605E-13</v>
      </c>
      <c r="AO42" s="49">
        <f t="shared" si="56"/>
        <v>2.4760436790286605E-13</v>
      </c>
      <c r="AP42" s="60" t="str">
        <f>IFERROR(AP19/$B42,".")</f>
        <v>.</v>
      </c>
      <c r="AQ42" s="60" t="str">
        <f>IFERROR(AQ19,".")</f>
        <v>.</v>
      </c>
      <c r="AR42" s="60">
        <f>IFERROR(AR19/$B42,".")</f>
        <v>58250494711.527161</v>
      </c>
      <c r="AS42" s="60" t="str">
        <f>IFERROR(AS19/$B42,".")</f>
        <v>.</v>
      </c>
      <c r="AT42" s="60">
        <f t="shared" si="40"/>
        <v>58250494711.527153</v>
      </c>
      <c r="AU42" s="72">
        <f>IFERROR(s_RadSpec!$I$19*AU19,".")*$B$42</f>
        <v>0</v>
      </c>
      <c r="AV42" s="72">
        <f>IFERROR(s_RadSpec!$F$19*AV19,".")*$B$42</f>
        <v>0</v>
      </c>
      <c r="AW42" s="72">
        <f>IFERROR(s_RadSpec!$M$19*AW19,".")*$B$42</f>
        <v>8.583618087299356E-16</v>
      </c>
      <c r="AX42" s="71">
        <f>s_b2w!AC42</f>
        <v>0</v>
      </c>
      <c r="AY42" s="49">
        <f t="shared" si="57"/>
        <v>0</v>
      </c>
      <c r="AZ42" s="49">
        <f t="shared" si="58"/>
        <v>0</v>
      </c>
      <c r="BA42" s="49">
        <f t="shared" si="59"/>
        <v>8.583618087299356E-16</v>
      </c>
      <c r="BB42" s="49">
        <f t="shared" si="60"/>
        <v>0</v>
      </c>
      <c r="BC42" s="49">
        <f t="shared" si="61"/>
        <v>8.583618087299356E-16</v>
      </c>
      <c r="BD42" s="60">
        <f>IFERROR(BD19/$B42,0)</f>
        <v>0</v>
      </c>
      <c r="BE42" s="72">
        <f>IFERROR(s_RadSpec!$H$19*BE19,".")*$B$42</f>
        <v>0</v>
      </c>
      <c r="BF42" s="49">
        <f t="shared" si="63"/>
        <v>0</v>
      </c>
    </row>
    <row r="43" spans="1:58" x14ac:dyDescent="0.25">
      <c r="A43" s="48" t="s">
        <v>1085</v>
      </c>
      <c r="B43" s="15">
        <v>2.0897492E-2</v>
      </c>
      <c r="C43" s="42"/>
      <c r="D43" s="60">
        <f>IFERROR(D28/$B43,0)</f>
        <v>0</v>
      </c>
      <c r="E43" s="60">
        <f>IFERROR(E28/$B43,0)</f>
        <v>0</v>
      </c>
      <c r="F43" s="60">
        <f>IFERROR(F28/$B43,0)</f>
        <v>334.9828187430868</v>
      </c>
      <c r="G43" s="60">
        <f>IFERROR(G28/$B43,0)</f>
        <v>0</v>
      </c>
      <c r="H43" s="60">
        <f>IFERROR(H28/$B43,0)</f>
        <v>0</v>
      </c>
      <c r="I43" s="60">
        <f t="shared" si="42"/>
        <v>334.9828187430868</v>
      </c>
      <c r="J43" s="72">
        <f>IFERROR(s_RadSpec!E28*J28,".")*$B$43</f>
        <v>0</v>
      </c>
      <c r="K43" s="72">
        <f>IFERROR(s_RadSpec!H28*K28,".")*B43</f>
        <v>0</v>
      </c>
      <c r="L43" s="72">
        <f>IFERROR(s_RadSpec!G28*L28,".")*B43</f>
        <v>1.4926138656187983E-7</v>
      </c>
      <c r="M43" s="71">
        <f>s_b2s!AC43</f>
        <v>0</v>
      </c>
      <c r="N43" s="49">
        <f t="shared" si="43"/>
        <v>0</v>
      </c>
      <c r="O43" s="49">
        <f t="shared" si="44"/>
        <v>0</v>
      </c>
      <c r="P43" s="49">
        <f t="shared" si="45"/>
        <v>1.4926138656187983E-7</v>
      </c>
      <c r="Q43" s="49">
        <f t="shared" si="46"/>
        <v>0</v>
      </c>
      <c r="R43" s="49">
        <f t="shared" si="47"/>
        <v>1.4926138656187983E-7</v>
      </c>
      <c r="S43" s="60">
        <f>IFERROR(S28/$B43,0)</f>
        <v>334.9828187430868</v>
      </c>
      <c r="T43" s="60">
        <f>IFERROR(T28/$B43,0)</f>
        <v>4046.0597847684994</v>
      </c>
      <c r="U43" s="60">
        <f>IFERROR(U28/$B43,0)</f>
        <v>977.92368845593592</v>
      </c>
      <c r="V43" s="60">
        <f>IFERROR(V28/$B43,0)</f>
        <v>532.07485611725679</v>
      </c>
      <c r="W43" s="60">
        <f>IFERROR(W28/$B43,0)</f>
        <v>7300.716745458376</v>
      </c>
      <c r="X43" s="72">
        <f>IFERROR(s_RadSpec!$G$28*X28,".")*$B$43</f>
        <v>1.4926138656187983E-7</v>
      </c>
      <c r="Y43" s="72">
        <f>IFERROR(s_RadSpec!$N$28*Y28,".")*$B$43</f>
        <v>1.235770172952618E-8</v>
      </c>
      <c r="Z43" s="72">
        <f>IFERROR(s_RadSpec!$O$28*Z28,".")*$B$43</f>
        <v>5.112873385749152E-8</v>
      </c>
      <c r="AA43" s="72">
        <f>IFERROR(s_RadSpec!$P$28*AA28,".")*$B$43</f>
        <v>9.3971739925596413E-8</v>
      </c>
      <c r="AB43" s="72">
        <f>IFERROR(s_RadSpec!$L$28*AB28,".")*$B$43</f>
        <v>6.8486426392455172E-9</v>
      </c>
      <c r="AC43" s="49">
        <f t="shared" si="49"/>
        <v>1.4926138656187983E-7</v>
      </c>
      <c r="AD43" s="49">
        <f t="shared" si="50"/>
        <v>1.235770172952618E-8</v>
      </c>
      <c r="AE43" s="49">
        <f t="shared" si="51"/>
        <v>5.112873385749152E-8</v>
      </c>
      <c r="AF43" s="49">
        <f t="shared" si="52"/>
        <v>9.3971739925596413E-8</v>
      </c>
      <c r="AG43" s="49">
        <f t="shared" si="53"/>
        <v>6.8486426392455172E-9</v>
      </c>
      <c r="AH43" s="60">
        <f>IFERROR(AH28/$B43,0)</f>
        <v>0</v>
      </c>
      <c r="AI43" s="60">
        <f>IFERROR(AI28/$B43,0)</f>
        <v>159205.36587461611</v>
      </c>
      <c r="AJ43" s="60">
        <f t="shared" si="65"/>
        <v>159205.36587461611</v>
      </c>
      <c r="AK43" s="72">
        <f>IFERROR(s_RadSpec!$F$28*AK28,".")*$B$43</f>
        <v>0</v>
      </c>
      <c r="AL43" s="72">
        <f>IFERROR(s_RadSpec!$K$28*AL28,".")*$B$43</f>
        <v>3.1405976629819151E-10</v>
      </c>
      <c r="AM43" s="49">
        <f t="shared" si="54"/>
        <v>0</v>
      </c>
      <c r="AN43" s="49">
        <f t="shared" si="55"/>
        <v>3.1405976629819151E-10</v>
      </c>
      <c r="AO43" s="49">
        <f t="shared" si="56"/>
        <v>3.1405976629819151E-10</v>
      </c>
      <c r="AP43" s="60" t="str">
        <f>IFERROR(AP28/$B43,".")</f>
        <v>.</v>
      </c>
      <c r="AQ43" s="60" t="str">
        <f>IFERROR(AQ28,".")</f>
        <v>.</v>
      </c>
      <c r="AR43" s="60">
        <f>IFERROR(AR28/$B43,".")</f>
        <v>45838623.601539746</v>
      </c>
      <c r="AS43" s="60" t="str">
        <f>IFERROR(AS28/$B43,".")</f>
        <v>.</v>
      </c>
      <c r="AT43" s="60">
        <f t="shared" si="40"/>
        <v>45838623.601539746</v>
      </c>
      <c r="AU43" s="72">
        <f>IFERROR(s_RadSpec!$I$28*AU28,".")*$B$43</f>
        <v>0</v>
      </c>
      <c r="AV43" s="72">
        <f>IFERROR(s_RadSpec!$F$28*AV28,".")*$B$43</f>
        <v>0</v>
      </c>
      <c r="AW43" s="72">
        <f>IFERROR(s_RadSpec!$M$28*AW28,".")*$B$43</f>
        <v>1.0907831883137189E-12</v>
      </c>
      <c r="AX43" s="71">
        <f>s_b2w!AC43</f>
        <v>0</v>
      </c>
      <c r="AY43" s="49">
        <f t="shared" si="57"/>
        <v>0</v>
      </c>
      <c r="AZ43" s="49">
        <f t="shared" si="58"/>
        <v>0</v>
      </c>
      <c r="BA43" s="49">
        <f t="shared" si="59"/>
        <v>1.0907831883137189E-12</v>
      </c>
      <c r="BB43" s="49">
        <f t="shared" si="60"/>
        <v>0</v>
      </c>
      <c r="BC43" s="49">
        <f t="shared" si="61"/>
        <v>1.0907831883137189E-12</v>
      </c>
      <c r="BD43" s="60">
        <f>IFERROR(BD28/$B43,0)</f>
        <v>0</v>
      </c>
      <c r="BE43" s="72">
        <f>IFERROR(s_RadSpec!$H$28*BE28,".")*$B$43</f>
        <v>0</v>
      </c>
      <c r="BF43" s="49">
        <f t="shared" si="63"/>
        <v>0</v>
      </c>
    </row>
    <row r="44" spans="1:58" x14ac:dyDescent="0.25">
      <c r="A44" s="48" t="s">
        <v>1086</v>
      </c>
      <c r="B44" s="15">
        <v>0.99987999999999999</v>
      </c>
      <c r="C44" s="42"/>
      <c r="D44" s="60">
        <f>IFERROR(D15/$B44,0)</f>
        <v>264367.65278992779</v>
      </c>
      <c r="E44" s="60">
        <f>IFERROR(E15/$B44,0)</f>
        <v>7430899847.8160448</v>
      </c>
      <c r="F44" s="60">
        <f>IFERROR(F15/$B44,0)</f>
        <v>0</v>
      </c>
      <c r="G44" s="60">
        <f>IFERROR(G15/$B44,0)</f>
        <v>10505.928954448922</v>
      </c>
      <c r="H44" s="60">
        <f>IFERROR(H15/$B44,0)</f>
        <v>237.1450813242983</v>
      </c>
      <c r="I44" s="60">
        <f t="shared" si="42"/>
        <v>10104.368647421254</v>
      </c>
      <c r="J44" s="71">
        <f>IFERROR(s_RadSpec!$E$15*J15,".")*$B$44</f>
        <v>1.8913055160999999E-10</v>
      </c>
      <c r="K44" s="71">
        <f>IFERROR(s_RadSpec!$F$15*K15,".")*B44</f>
        <v>6.7286601924388865E-15</v>
      </c>
      <c r="L44" s="71">
        <f>IFERROR(s_RadSpec!$G$15*L15,".")*B44</f>
        <v>0</v>
      </c>
      <c r="M44" s="71">
        <f>s_b2s!AC44</f>
        <v>4.7603598289294713E-9</v>
      </c>
      <c r="N44" s="49">
        <f t="shared" si="43"/>
        <v>1.8913055160999999E-10</v>
      </c>
      <c r="O44" s="49">
        <f t="shared" si="44"/>
        <v>6.7286601924388865E-15</v>
      </c>
      <c r="P44" s="49">
        <f t="shared" si="45"/>
        <v>0</v>
      </c>
      <c r="Q44" s="49">
        <f t="shared" si="46"/>
        <v>4.7603598289294713E-9</v>
      </c>
      <c r="R44" s="49">
        <f t="shared" si="47"/>
        <v>4.9494971091996635E-9</v>
      </c>
      <c r="S44" s="60">
        <f>IFERROR(S15/$B44,0)</f>
        <v>0</v>
      </c>
      <c r="T44" s="60">
        <f>IFERROR(T15/$B44,0)</f>
        <v>0</v>
      </c>
      <c r="U44" s="60">
        <f>IFERROR(U15/$B44,0)</f>
        <v>0</v>
      </c>
      <c r="V44" s="60">
        <f>IFERROR(V15/$B44,0)</f>
        <v>0</v>
      </c>
      <c r="W44" s="60">
        <f>IFERROR(W15/$B44,0)</f>
        <v>0</v>
      </c>
      <c r="X44" s="71">
        <f>IFERROR(s_RadSpec!$G$15*X15,".")*$B$44</f>
        <v>0</v>
      </c>
      <c r="Y44" s="71">
        <f>IFERROR(s_RadSpec!$N$15*Y15,".")*$B$44</f>
        <v>0</v>
      </c>
      <c r="Z44" s="71">
        <f>IFERROR(s_RadSpec!$O$15*Z15,".")*$B$44</f>
        <v>0</v>
      </c>
      <c r="AA44" s="71">
        <f>IFERROR(s_RadSpec!$P$15*AA15,".")*$B$44</f>
        <v>0</v>
      </c>
      <c r="AB44" s="71">
        <f>IFERROR(s_RadSpec!$L$15*AB15,".")*$B$44</f>
        <v>0</v>
      </c>
      <c r="AC44" s="49">
        <f t="shared" si="49"/>
        <v>0</v>
      </c>
      <c r="AD44" s="49">
        <f t="shared" si="50"/>
        <v>0</v>
      </c>
      <c r="AE44" s="49">
        <f t="shared" si="51"/>
        <v>0</v>
      </c>
      <c r="AF44" s="49">
        <f t="shared" si="52"/>
        <v>0</v>
      </c>
      <c r="AG44" s="49">
        <f t="shared" si="53"/>
        <v>0</v>
      </c>
      <c r="AH44" s="60">
        <f>IFERROR(AH15/$B44,0)</f>
        <v>23985.820430860029</v>
      </c>
      <c r="AI44" s="60">
        <f>IFERROR(AI15/$B44,0)</f>
        <v>18688092.8791724</v>
      </c>
      <c r="AJ44" s="60">
        <f t="shared" si="65"/>
        <v>23955.074537206125</v>
      </c>
      <c r="AK44" s="71">
        <f>IFERROR(s_RadSpec!$F$15*AK15,".")*$B$44</f>
        <v>2.0845649263541666E-9</v>
      </c>
      <c r="AL44" s="71">
        <f>IFERROR(s_RadSpec!$K$15*AL15,".")*$B$44</f>
        <v>2.6755004014200004E-12</v>
      </c>
      <c r="AM44" s="49">
        <f t="shared" si="54"/>
        <v>2.0845649263541666E-9</v>
      </c>
      <c r="AN44" s="49">
        <f t="shared" si="55"/>
        <v>2.6755004014200004E-12</v>
      </c>
      <c r="AO44" s="49">
        <f t="shared" si="56"/>
        <v>2.0872404267555867E-9</v>
      </c>
      <c r="AP44" s="60">
        <f>IFERROR(AP15/$B44,".")</f>
        <v>7549.3005612361885</v>
      </c>
      <c r="AQ44" s="60" t="str">
        <f>IFERROR(AQ15,".")</f>
        <v>.</v>
      </c>
      <c r="AR44" s="60">
        <f>IFERROR(AR15/$B44,".")</f>
        <v>8569288820.223526</v>
      </c>
      <c r="AS44" s="60">
        <f>IFERROR(AS15/$B44,".")</f>
        <v>17566.926533407874</v>
      </c>
      <c r="AT44" s="60">
        <f t="shared" si="40"/>
        <v>5280.1691162611833</v>
      </c>
      <c r="AU44" s="71">
        <f>IFERROR(s_RadSpec!$I$15*AU15,".")*$B$44</f>
        <v>6.6231301290000003E-9</v>
      </c>
      <c r="AV44" s="71">
        <f>IFERROR(s_RadSpec!$F$15*AV15,".")*$B$44</f>
        <v>0</v>
      </c>
      <c r="AW44" s="71">
        <f>IFERROR(s_RadSpec!$M$15*AW15,".")*$B$44</f>
        <v>5.8347899165214243E-15</v>
      </c>
      <c r="AX44" s="71">
        <f>s_b2w!AC44</f>
        <v>2.8469409298909179E-9</v>
      </c>
      <c r="AY44" s="49">
        <f t="shared" si="57"/>
        <v>6.6231301290000003E-9</v>
      </c>
      <c r="AZ44" s="49">
        <f t="shared" si="58"/>
        <v>0</v>
      </c>
      <c r="BA44" s="49">
        <f t="shared" si="59"/>
        <v>5.8347899165214243E-15</v>
      </c>
      <c r="BB44" s="49">
        <f t="shared" si="60"/>
        <v>2.8469409298909179E-9</v>
      </c>
      <c r="BC44" s="49">
        <f t="shared" si="61"/>
        <v>9.4700768936808342E-9</v>
      </c>
      <c r="BD44" s="60">
        <f>IFERROR(BD15/$B44,0)</f>
        <v>948.5803252971931</v>
      </c>
      <c r="BE44" s="71">
        <f>IFERROR(s_RadSpec!$H$15*BE15,".")*$B$44</f>
        <v>5.2710348999E-8</v>
      </c>
      <c r="BF44" s="49">
        <f t="shared" si="63"/>
        <v>5.2710348999E-8</v>
      </c>
    </row>
    <row r="45" spans="1:58" x14ac:dyDescent="0.25">
      <c r="A45" s="57" t="s">
        <v>20</v>
      </c>
      <c r="B45" s="57" t="s">
        <v>1255</v>
      </c>
      <c r="C45" s="57"/>
      <c r="D45" s="58">
        <f>IFERROR(IF(AND(D46&lt;&gt;0,D47&lt;&gt;0),1/SUM(1/D46,1/D47),IF(AND(D46&lt;&gt;0,D47=0),1/(1/D46),IF(AND(D46=0,D47&lt;&gt;0),1/(1/D47),IF(AND(D46=0,D47=0),".")))),".")</f>
        <v>3884.5888648260193</v>
      </c>
      <c r="E45" s="58">
        <f t="shared" ref="E45:H45" si="66">IFERROR(IF(AND(E46&lt;&gt;0,E47&lt;&gt;0),1/SUM(1/E46,1/E47),IF(AND(E46&lt;&gt;0,E47=0),1/(1/E46),IF(AND(E46=0,E47&lt;&gt;0),1/(1/E47),IF(AND(E46=0,E47=0),".")))),".")</f>
        <v>13735738.732193686</v>
      </c>
      <c r="F45" s="58">
        <f t="shared" si="66"/>
        <v>46.500765207814524</v>
      </c>
      <c r="G45" s="58">
        <f t="shared" si="66"/>
        <v>80.033415855915152</v>
      </c>
      <c r="H45" s="58">
        <f t="shared" si="66"/>
        <v>2.2115233636385754</v>
      </c>
      <c r="I45" s="59">
        <f>IFERROR(IF(AND(I46&lt;&gt;0,I47&lt;&gt;0),1/SUM(1/I46,1/I47),IF(AND(I46&lt;&gt;0,I47=0),1/(1/I46),IF(AND(I46=0,I47&lt;&gt;0),1/(1/I47),IF(AND(I46=0,I47=0),".")))),".")</f>
        <v>29.190855428596286</v>
      </c>
      <c r="J45" s="70"/>
      <c r="K45" s="70"/>
      <c r="L45" s="70"/>
      <c r="M45" s="70"/>
      <c r="N45" s="47">
        <f t="shared" ref="N45:P45" si="67">IFERROR(IF(SUM(J46:J47)&gt;0.01,1-EXP(-SUM(J46:J47)),SUM(J46:J47)),".")</f>
        <v>1.2871374999999999E-8</v>
      </c>
      <c r="O45" s="47">
        <f t="shared" si="67"/>
        <v>3.6401391271960136E-12</v>
      </c>
      <c r="P45" s="47">
        <f t="shared" si="67"/>
        <v>1.0752511227836188E-6</v>
      </c>
      <c r="Q45" s="47">
        <f>IFERROR(IF(SUM(M46:M47)&gt;0.01,1-EXP(-SUM(M46:M47)),SUM(M46:M47)),".")</f>
        <v>6.247390476250001E-7</v>
      </c>
      <c r="R45" s="47">
        <f>IFERROR(IF(SUM(J46:M47)&gt;0.01,1-EXP(-SUM(J46:M47)),SUM(J46:M47)),".")</f>
        <v>1.7128651855477461E-6</v>
      </c>
      <c r="S45" s="59">
        <f t="shared" ref="S45:W45" si="68">IFERROR(IF(AND(S46&lt;&gt;0,S47&lt;&gt;0),1/SUM(1/S46,1/S47),IF(AND(S46&lt;&gt;0,S47=0),1/(1/S46),IF(AND(S46=0,S47&lt;&gt;0),1/(1/S47),IF(AND(S46=0,S47=0),".")))),".")</f>
        <v>46.500765207814524</v>
      </c>
      <c r="T45" s="59">
        <f t="shared" si="68"/>
        <v>425.8154772176643</v>
      </c>
      <c r="U45" s="59">
        <f t="shared" si="68"/>
        <v>106.71527654711068</v>
      </c>
      <c r="V45" s="59">
        <f t="shared" si="68"/>
        <v>56.914463921252036</v>
      </c>
      <c r="W45" s="59">
        <f t="shared" si="68"/>
        <v>729.9994223596384</v>
      </c>
      <c r="X45" s="70"/>
      <c r="Y45" s="70"/>
      <c r="Z45" s="70"/>
      <c r="AA45" s="70"/>
      <c r="AB45" s="70"/>
      <c r="AC45" s="47">
        <f>IFERROR(IF(SUM(X46:X47)&gt;0.01,1-EXP(-SUM(X46:X47)),SUM(X46:X47)),".")</f>
        <v>1.0752511227836188E-6</v>
      </c>
      <c r="AD45" s="47">
        <f t="shared" ref="AD45:AG45" si="69">IFERROR(IF(SUM(Y46:Y47)&gt;0.01,1-EXP(-SUM(Y46:Y47)),SUM(Y46:Y47)),".")</f>
        <v>1.1742175349451068E-7</v>
      </c>
      <c r="AE45" s="47">
        <f t="shared" si="69"/>
        <v>4.6853647966631029E-7</v>
      </c>
      <c r="AF45" s="47">
        <f t="shared" si="69"/>
        <v>8.7851130547730335E-7</v>
      </c>
      <c r="AG45" s="47">
        <f t="shared" si="69"/>
        <v>6.8493204882794058E-8</v>
      </c>
      <c r="AH45" s="58">
        <f t="shared" ref="AH45:AI45" si="70">IFERROR(IF(AND(AH46&lt;&gt;0,AH47&lt;&gt;0),1/SUM(1/AH46,1/AH47),IF(AND(AH46&lt;&gt;0,AH47=0),1/(1/AH46),IF(AND(AH46=0,AH47&lt;&gt;0),1/(1/AH47),IF(AND(AH46=0,AH47=0),".")))),".")</f>
        <v>44.336886442149606</v>
      </c>
      <c r="AI45" s="58">
        <f t="shared" si="70"/>
        <v>13370.52986535405</v>
      </c>
      <c r="AJ45" s="59">
        <f t="shared" ref="AJ45" si="71">IFERROR(IF(AND(AJ46&lt;&gt;0,AJ47&lt;&gt;0),1/SUM(1/AJ46,1/AJ47),IF(AND(AJ46&lt;&gt;0,AJ47=0),1/(1/AJ46),IF(AND(AJ46=0,AJ47&lt;&gt;0),1/(1/AJ47),IF(AND(AJ46=0,AJ47=0),".")))),".")</f>
        <v>44.190350547626402</v>
      </c>
      <c r="AK45" s="70"/>
      <c r="AL45" s="70"/>
      <c r="AM45" s="47">
        <f>IFERROR(IF(SUM(AK46:AK47)&gt;0.01,1-EXP(-SUM(AK46:AK47)),SUM(AK46:AK47)),".")</f>
        <v>1.1277291666666665E-6</v>
      </c>
      <c r="AN45" s="47">
        <f>IFERROR(IF(SUM(AL46:AL47)&gt;0.01,1-EXP(-SUM(AL46:AL47)),SUM(AL46:AL47)),".")</f>
        <v>3.7395675791100005E-9</v>
      </c>
      <c r="AO45" s="47">
        <f t="shared" ref="AO45" si="72">IFERROR(IF(SUM(AM46:AM47)&gt;0.01,1-EXP(-SUM(AM46:AM47)),SUM(AM46:AM47)),".")</f>
        <v>1.1277291666666665E-6</v>
      </c>
      <c r="AP45" s="58">
        <f>IFERROR(IF(AND(AP46&lt;&gt;".",AP47&lt;&gt;"."),1/SUM(1/AP46,1/AP47),IF(AND(AP46&lt;&gt;".",AP47="."),1/(1/AP46),IF(AND(AP46=".",AP47&lt;&gt;"."),1/(1/AP47),IF(AND(AP46=".",AP47="."),".")))),".")</f>
        <v>59.635981966079065</v>
      </c>
      <c r="AQ45" s="58" t="str">
        <f t="shared" ref="AQ45:AT45" si="73">IFERROR(IF(AND(AQ46&lt;&gt;".",AQ47&lt;&gt;"."),1/SUM(1/AQ46,1/AQ47),IF(AND(AQ46&lt;&gt;".",AQ47="."),1/(1/AQ46),IF(AND(AQ46=".",AQ47&lt;&gt;"."),1/(1/AQ47),IF(AND(AQ46=".",AQ47="."),".")))),".")</f>
        <v>.</v>
      </c>
      <c r="AR45" s="58">
        <f t="shared" si="73"/>
        <v>3857836.2458394091</v>
      </c>
      <c r="AS45" s="58">
        <f t="shared" si="73"/>
        <v>152.46684606309401</v>
      </c>
      <c r="AT45" s="59">
        <f t="shared" si="73"/>
        <v>42.867929350941409</v>
      </c>
      <c r="AU45" s="70"/>
      <c r="AV45" s="70"/>
      <c r="AW45" s="70"/>
      <c r="AX45" s="70"/>
      <c r="AY45" s="47">
        <f>IFERROR(IF(SUM(AU46:AU47)&gt;0.01,1-EXP(-SUM(AU46:AU47)),SUM(AU46:AU47)),".")</f>
        <v>8.3841999999999991E-7</v>
      </c>
      <c r="AZ45" s="47">
        <f t="shared" ref="AZ45:BB45" si="74">IFERROR(IF(SUM(AV46:AV47)&gt;0.01,1-EXP(-SUM(AV46:AV47)),SUM(AV46:AV47)),".")</f>
        <v>0</v>
      </c>
      <c r="BA45" s="47">
        <f t="shared" si="74"/>
        <v>1.2960633063138409E-11</v>
      </c>
      <c r="BB45" s="47">
        <f t="shared" si="74"/>
        <v>3.3078708851652713E-7</v>
      </c>
      <c r="BC45" s="47">
        <f>IFERROR(IF(SUM(AU46:AX47)&gt;0.01,1-EXP(-SUM(AU46:AX47)),SUM(AU46:AX47)),".")</f>
        <v>1.1692200491495902E-6</v>
      </c>
      <c r="BD45" s="59">
        <f t="shared" ref="BD45" si="75">IFERROR(IF(AND(BD46&lt;&gt;0,BD47&lt;&gt;0),1/SUM(1/BD46,1/BD47),IF(AND(BD46&lt;&gt;0,BD47=0),1/(1/BD46),IF(AND(BD46=0,BD47&lt;&gt;0),1/(1/BD47),IF(AND(BD46=0,BD47=0),".")))),".")</f>
        <v>8.8460934545543015</v>
      </c>
      <c r="BE45" s="70"/>
      <c r="BF45" s="47">
        <f>IFERROR(IF(SUM(BF46:BF47)&gt;0.01,1-EXP(-SUM(BF46:BF47)),SUM(BF46:BF47)),".")</f>
        <v>5.6522125000000007E-6</v>
      </c>
    </row>
    <row r="46" spans="1:58" x14ac:dyDescent="0.25">
      <c r="A46" s="48" t="s">
        <v>1098</v>
      </c>
      <c r="B46" s="15">
        <v>1</v>
      </c>
      <c r="C46" s="42"/>
      <c r="D46" s="60">
        <f>IFERROR(D10/$B46,0)</f>
        <v>3884.5888648260193</v>
      </c>
      <c r="E46" s="60">
        <f>IFERROR(E10/$B46,0)</f>
        <v>13735738.732193686</v>
      </c>
      <c r="F46" s="60">
        <f>IFERROR(F10/$B46,0)</f>
        <v>250239.94081199373</v>
      </c>
      <c r="G46" s="60">
        <f>IFERROR(G10/$B46,0)</f>
        <v>80.033415855915152</v>
      </c>
      <c r="H46" s="60">
        <f>IFERROR(H10/$B46,0)</f>
        <v>2.2115233636385754</v>
      </c>
      <c r="I46" s="60">
        <f>(IF(AND(D46&lt;&gt;0,E46&lt;&gt;0,F46&lt;&gt;0,G46&lt;&gt;0),1/((1/D46)+(1/E46)+(1/F46)+(1/G46)),IF(AND(D46&lt;&gt;0,E46&lt;&gt;0,F46&lt;&gt;0,G46=0), 1/((1/D46)+(1/E46)+(1/F46)),IF(AND(D46&lt;&gt;0,E46&lt;&gt;0,F46=0,G46&lt;&gt;0),1/((1/D46)+(1/E46)+(1/G46)),IF(AND(D46&lt;&gt;0,E46=0,F46&lt;&gt;0,G46&lt;&gt;0),1/((1/D46)+(1/F46)+(1/G46)),IF(AND(D46=0,E46&lt;&gt;0,F46&lt;&gt;0,G46&lt;&gt;0),1/((1/E46)+(1/F46)+(1/G46)),IF(AND(D46&lt;&gt;0,E46&lt;&gt;0,F46=0,G46=0),1/((1/D46)+(1/E46)),IF(AND(D46&lt;&gt;0,E46=0,F46&lt;&gt;0,G46=0),1/((1/D46)+(1/F46)),IF(AND(D46&lt;&gt;0,E46=0,F46=0,G46&lt;&gt;0),1/((1/D46)+(1/G46)),IF(AND(D46=0,E46=0,F46&lt;&gt;0,G46&lt;&gt;0),1/((1/F46)+(1/G46)),IF(AND(D46=0,E46&lt;&gt;0,F46=0,G46&lt;&gt;0),1/((1/E46)+(1/G46)),IF(AND(D46=0,E46&lt;&gt;0,F46&lt;&gt;0,G46=0),1/((1/E46)+(1/F46)),IF(AND(D46&lt;&gt;0,E46=0,F46=0,G46=0),1/((1/D46)),IF(AND(D46=0,E46&lt;&gt;0,F46=0,G46=0),1/((1/E46)),IF(AND(D46=0,E46=0,F46&lt;&gt;0,G46=0),1/((1/F46)),IF(AND(D46=0,E46=0,F46=0,G46&lt;&gt;0),1/((1/G46)),IF(AND(D46=0,E46=0,F46=0,G46=0),0)))))))))))))))))</f>
        <v>78.392776127552139</v>
      </c>
      <c r="J46" s="71">
        <f>IFERROR(s_RadSpec!$E$10*J10,".")*$B$46</f>
        <v>1.2871374999999999E-8</v>
      </c>
      <c r="K46" s="71">
        <f>IFERROR(s_RadSpec!$F$10*K10,".")*B46</f>
        <v>3.6401391271960136E-12</v>
      </c>
      <c r="L46" s="71">
        <f>IFERROR(s_RadSpec!$G$10*L10,".")*B46</f>
        <v>1.9980823140285665E-10</v>
      </c>
      <c r="M46" s="71">
        <f>s_b2s!AC46</f>
        <v>6.247390476250001E-7</v>
      </c>
      <c r="N46" s="49">
        <f t="shared" ref="N46:N47" si="76">IFERROR(IF(J46&gt;0.01,1-EXP(-J46),J46),".")</f>
        <v>1.2871374999999999E-8</v>
      </c>
      <c r="O46" s="49">
        <f t="shared" ref="O46:O47" si="77">IFERROR(IF(K46&gt;0.01,1-EXP(-K46),K46),".")</f>
        <v>3.6401391271960136E-12</v>
      </c>
      <c r="P46" s="49">
        <f t="shared" ref="P46:P47" si="78">IFERROR(IF(L46&gt;0.01,1-EXP(-L46),L46),".")</f>
        <v>1.9980823140285665E-10</v>
      </c>
      <c r="Q46" s="49">
        <f t="shared" si="46"/>
        <v>6.247390476250001E-7</v>
      </c>
      <c r="R46" s="49">
        <f t="shared" ref="R46:R62" si="79">IFERROR(IF(SUM(J46:M46)&gt;0.01,1-EXP(-SUM(J46:M46)),SUM(J46:M46)),".")</f>
        <v>6.3781387099553019E-7</v>
      </c>
      <c r="S46" s="60">
        <f>IFERROR(S10/$B46,0)</f>
        <v>250239.94081199373</v>
      </c>
      <c r="T46" s="60">
        <f>IFERROR(T10/$B46,0)</f>
        <v>1119185.4116074338</v>
      </c>
      <c r="U46" s="60">
        <f>IFERROR(U10/$B46,0)</f>
        <v>362652.93662215146</v>
      </c>
      <c r="V46" s="60">
        <f>IFERROR(V10/$B46,0)</f>
        <v>259632.02243473928</v>
      </c>
      <c r="W46" s="60">
        <f>IFERROR(W10/$B46,0)</f>
        <v>654139.24090301187</v>
      </c>
      <c r="X46" s="71">
        <f>IFERROR(s_RadSpec!$G$10*X10,".")*$B46</f>
        <v>1.9980823140285665E-10</v>
      </c>
      <c r="Y46" s="71">
        <f>IFERROR(s_RadSpec!$N$10*Y10,".")*$B46</f>
        <v>4.4675350019249564E-11</v>
      </c>
      <c r="Z46" s="71">
        <f>IFERROR(s_RadSpec!$O$10*Z10,".")*$B46</f>
        <v>1.3787286672958909E-10</v>
      </c>
      <c r="AA46" s="71">
        <f>IFERROR(s_RadSpec!$P$10*AA10,".")*$B46</f>
        <v>1.9258025081466185E-10</v>
      </c>
      <c r="AB46" s="71">
        <f>IFERROR(s_RadSpec!$L$10*AB10,".")*$B46</f>
        <v>7.6436325591745741E-11</v>
      </c>
      <c r="AC46" s="49">
        <f t="shared" ref="AC46:AC47" si="80">IFERROR(IF(X46&gt;0.01,1-EXP(-X46),X46),".")</f>
        <v>1.9980823140285665E-10</v>
      </c>
      <c r="AD46" s="49">
        <f t="shared" ref="AD46:AD47" si="81">IFERROR(IF(Y46&gt;0.01,1-EXP(-Y46),Y46),".")</f>
        <v>4.4675350019249564E-11</v>
      </c>
      <c r="AE46" s="49">
        <f t="shared" ref="AE46:AE47" si="82">IFERROR(IF(Z46&gt;0.01,1-EXP(-Z46),Z46),".")</f>
        <v>1.3787286672958909E-10</v>
      </c>
      <c r="AF46" s="49">
        <f t="shared" ref="AF46:AF47" si="83">IFERROR(IF(AA46&gt;0.01,1-EXP(-AA46),AA46),".")</f>
        <v>1.9258025081466185E-10</v>
      </c>
      <c r="AG46" s="49">
        <f t="shared" ref="AG46:AG47" si="84">IFERROR(IF(AB46&gt;0.01,1-EXP(-AB46),AB46),".")</f>
        <v>7.6436325591745741E-11</v>
      </c>
      <c r="AH46" s="60">
        <f>IFERROR(AH10/$B46,0)</f>
        <v>44.336886442149606</v>
      </c>
      <c r="AI46" s="60">
        <f>IFERROR(AI10/$B46,0)</f>
        <v>19626864.352316026</v>
      </c>
      <c r="AJ46" s="60">
        <f t="shared" ref="AJ46:AJ47" si="85">IFERROR(IF(AND(AH46&lt;&gt;0,AI46&lt;&gt;0),1/((1/AH46)+(1/AI46)),IF(AND(AH46&lt;&gt;0,AI46=0),1/((1/AH46)),IF(AND(AH46=0,AI46&lt;&gt;0),1/((1/AI46)),IF(AND(AH46=".",AI46="."),".")))),".")</f>
        <v>44.33678628580148</v>
      </c>
      <c r="AK46" s="71">
        <f>IFERROR(s_RadSpec!$F$10*AK10,".")*$B$46</f>
        <v>1.1277291666666665E-6</v>
      </c>
      <c r="AL46" s="71">
        <f>IFERROR(s_RadSpec!$K$10*AL10,".")*$B$46</f>
        <v>2.5475286883561649E-12</v>
      </c>
      <c r="AM46" s="49">
        <f>IFERROR(IF(AK46&gt;0.01,1-EXP(-AK46),AK46),".")</f>
        <v>1.1277291666666665E-6</v>
      </c>
      <c r="AN46" s="49">
        <f>IFERROR(IF(AL46&gt;0.01,1-EXP(-AL46),AL46),".")</f>
        <v>2.5475286883561649E-12</v>
      </c>
      <c r="AO46" s="49">
        <f>IFERROR(IF(SUM(AK46:AL46)&gt;0.01,1-EXP(-SUM(AK46:AL46)),SUM(AK46:AL46)),".")</f>
        <v>1.1277317141953549E-6</v>
      </c>
      <c r="AP46" s="60">
        <f>IFERROR(AP10/$B46,".")</f>
        <v>59.635981966079065</v>
      </c>
      <c r="AQ46" s="60" t="str">
        <f>IFERROR(AQ10,".")</f>
        <v>.</v>
      </c>
      <c r="AR46" s="60">
        <f>IFERROR(AR10/$B46,".")</f>
        <v>8880645003.1638279</v>
      </c>
      <c r="AS46" s="60">
        <f>IFERROR(AS10/$B46,".")</f>
        <v>152.46684606309401</v>
      </c>
      <c r="AT46" s="60">
        <f t="shared" si="40"/>
        <v>42.868405493876352</v>
      </c>
      <c r="AU46" s="71">
        <f>IFERROR(s_RadSpec!$I$10*AU10,".")*$B$46</f>
        <v>8.3841999999999991E-7</v>
      </c>
      <c r="AV46" s="71">
        <f>IFERROR(s_RadSpec!$F$10*AV10,".")*$B$46</f>
        <v>0</v>
      </c>
      <c r="AW46" s="71">
        <f>IFERROR(s_RadSpec!$M$10*AW10,".")*$B$46</f>
        <v>5.630221676712329E-15</v>
      </c>
      <c r="AX46" s="71">
        <f>s_b2w!AC44</f>
        <v>2.8469409298909179E-9</v>
      </c>
      <c r="AY46" s="49">
        <f t="shared" ref="AY46:AY47" si="86">IFERROR(IF(AU46&gt;0.01,1-EXP(-AU46),AU46),".")</f>
        <v>8.3841999999999991E-7</v>
      </c>
      <c r="AZ46" s="49">
        <f t="shared" ref="AZ46:AZ47" si="87">IFERROR(IF(AQ46&lt;&gt;0,IF(AV46&gt;0.01,1-EXP(-AV46),AV46),0),".")</f>
        <v>0</v>
      </c>
      <c r="BA46" s="49">
        <f t="shared" ref="BA46:BA47" si="88">IFERROR(IF(AW46&gt;0.01,1-EXP(-AW46),AW46),".")</f>
        <v>5.630221676712329E-15</v>
      </c>
      <c r="BB46" s="49">
        <f t="shared" si="60"/>
        <v>2.8469409298909179E-9</v>
      </c>
      <c r="BC46" s="49">
        <f t="shared" si="61"/>
        <v>8.4126694656011245E-7</v>
      </c>
      <c r="BD46" s="60">
        <f>IFERROR(BD10/$B46,0)</f>
        <v>8.8460934545543015</v>
      </c>
      <c r="BE46" s="71">
        <f>IFERROR(s_RadSpec!$H$10*BE10,".")*$B$46</f>
        <v>5.6522125000000007E-6</v>
      </c>
      <c r="BF46" s="49">
        <f t="shared" ref="BF46:BF47" si="89">IFERROR(IF(BE46&gt;0.01,1-EXP(-BE46),BE46),".")</f>
        <v>5.6522125000000007E-6</v>
      </c>
    </row>
    <row r="47" spans="1:58" x14ac:dyDescent="0.25">
      <c r="A47" s="48" t="s">
        <v>1072</v>
      </c>
      <c r="B47" s="51">
        <v>0.94399</v>
      </c>
      <c r="C47" s="85"/>
      <c r="D47" s="60">
        <f>IFERROR(D6/$B$47,0)</f>
        <v>0</v>
      </c>
      <c r="E47" s="60">
        <f>IFERROR(E6/$B$47,0)</f>
        <v>0</v>
      </c>
      <c r="F47" s="60">
        <f>IFERROR(F6/$B$47,0)</f>
        <v>46.509407805176423</v>
      </c>
      <c r="G47" s="60">
        <f>IFERROR(G6/$B$47,0)</f>
        <v>0</v>
      </c>
      <c r="H47" s="60">
        <f>IFERROR(H6/$B$47,0)</f>
        <v>0</v>
      </c>
      <c r="I47" s="60">
        <f>(IF(AND(D47&lt;&gt;0,E47&lt;&gt;0,F47&lt;&gt;0,G47&lt;&gt;0),1/((1/D47)+(1/E47)+(1/F47)+(1/G47)),IF(AND(D47&lt;&gt;0,E47&lt;&gt;0,F47&lt;&gt;0,G47=0), 1/((1/D47)+(1/E47)+(1/F47)),IF(AND(D47&lt;&gt;0,E47&lt;&gt;0,F47=0,G47&lt;&gt;0),1/((1/D47)+(1/E47)+(1/G47)),IF(AND(D47&lt;&gt;0,E47=0,F47&lt;&gt;0,G47&lt;&gt;0),1/((1/D47)+(1/F47)+(1/G47)),IF(AND(D47=0,E47&lt;&gt;0,F47&lt;&gt;0,G47&lt;&gt;0),1/((1/E47)+(1/F47)+(1/G47)),IF(AND(D47&lt;&gt;0,E47&lt;&gt;0,F47=0,G47=0),1/((1/D47)+(1/E47)),IF(AND(D47&lt;&gt;0,E47=0,F47&lt;&gt;0,G47=0),1/((1/D47)+(1/F47)),IF(AND(D47&lt;&gt;0,E47=0,F47=0,G47&lt;&gt;0),1/((1/D47)+(1/G47)),IF(AND(D47=0,E47=0,F47&lt;&gt;0,G47&lt;&gt;0),1/((1/F47)+(1/G47)),IF(AND(D47=0,E47&lt;&gt;0,F47=0,G47&lt;&gt;0),1/((1/E47)+(1/G47)),IF(AND(D47=0,E47&lt;&gt;0,F47&lt;&gt;0,G47=0),1/((1/E47)+(1/F47)),IF(AND(D47&lt;&gt;0,E47=0,F47=0,G47=0),1/((1/D47)),IF(AND(D47=0,E47&lt;&gt;0,F47=0,G47=0),1/((1/E47)),IF(AND(D47=0,E47=0,F47&lt;&gt;0,G47=0),1/((1/F47)),IF(AND(D47=0,E47=0,F47=0,G47&lt;&gt;0),1/((1/G47)),IF(AND(D47=0,E47=0,F47=0,G47=0),0)))))))))))))))))</f>
        <v>46.509407805176423</v>
      </c>
      <c r="J47" s="71">
        <f>IFERROR(s_RadSpec!$E$6*J6,".")*$B$47</f>
        <v>0</v>
      </c>
      <c r="K47" s="71">
        <f>IFERROR(s_RadSpec!$F$6*$K$6,".")*B47</f>
        <v>0</v>
      </c>
      <c r="L47" s="71">
        <f>IFERROR(s_RadSpec!$G$6*$L$6,".")*B47</f>
        <v>1.075051314552216E-6</v>
      </c>
      <c r="M47" s="71">
        <f>s_b2s!AC47</f>
        <v>0</v>
      </c>
      <c r="N47" s="49">
        <f t="shared" si="76"/>
        <v>0</v>
      </c>
      <c r="O47" s="49">
        <f t="shared" si="77"/>
        <v>0</v>
      </c>
      <c r="P47" s="49">
        <f t="shared" si="78"/>
        <v>1.075051314552216E-6</v>
      </c>
      <c r="Q47" s="49">
        <f t="shared" si="46"/>
        <v>0</v>
      </c>
      <c r="R47" s="49">
        <f t="shared" si="79"/>
        <v>1.075051314552216E-6</v>
      </c>
      <c r="S47" s="60">
        <f>IFERROR(S6/$B$47,0)</f>
        <v>46.509407805176423</v>
      </c>
      <c r="T47" s="60">
        <f>IFERROR(T6/$B$47,0)</f>
        <v>425.97754851632868</v>
      </c>
      <c r="U47" s="60">
        <f>IFERROR(U6/$B$47,0)</f>
        <v>106.74668812880158</v>
      </c>
      <c r="V47" s="60">
        <f>IFERROR(V6/$B$47,0)</f>
        <v>56.926942992256826</v>
      </c>
      <c r="W47" s="60">
        <f>IFERROR(W6/$B$47,0)</f>
        <v>730.81498957665201</v>
      </c>
      <c r="X47" s="71">
        <f>IFERROR(s_RadSpec!$G$6*X6,".")*$B47</f>
        <v>1.075051314552216E-6</v>
      </c>
      <c r="Y47" s="71">
        <f>IFERROR(s_RadSpec!$N$6*Y6,".")*$B47</f>
        <v>1.1737707814449143E-7</v>
      </c>
      <c r="Z47" s="71">
        <f>IFERROR(s_RadSpec!$O$6*Z6,".")*$B47</f>
        <v>4.6839860679958069E-7</v>
      </c>
      <c r="AA47" s="71">
        <f>IFERROR(s_RadSpec!$P$6*AA6,".")*$B47</f>
        <v>8.7831872522648864E-7</v>
      </c>
      <c r="AB47" s="71">
        <f>IFERROR(s_RadSpec!$L$6*AB6,".")*$B47</f>
        <v>6.8416768557202309E-8</v>
      </c>
      <c r="AC47" s="49">
        <f t="shared" si="80"/>
        <v>1.075051314552216E-6</v>
      </c>
      <c r="AD47" s="49">
        <f t="shared" si="81"/>
        <v>1.1737707814449143E-7</v>
      </c>
      <c r="AE47" s="49">
        <f t="shared" si="82"/>
        <v>4.6839860679958069E-7</v>
      </c>
      <c r="AF47" s="49">
        <f t="shared" si="83"/>
        <v>8.7831872522648864E-7</v>
      </c>
      <c r="AG47" s="49">
        <f t="shared" si="84"/>
        <v>6.8416768557202309E-8</v>
      </c>
      <c r="AH47" s="60">
        <f>IFERROR(AH6/$B$47,0)</f>
        <v>0</v>
      </c>
      <c r="AI47" s="60">
        <f>IFERROR(AI6/$B$47,0)</f>
        <v>13379.644563148266</v>
      </c>
      <c r="AJ47" s="60">
        <f t="shared" si="85"/>
        <v>13379.644563148266</v>
      </c>
      <c r="AK47" s="71">
        <f>IFERROR(s_RadSpec!$F$6*AK6,".")*$B$47</f>
        <v>0</v>
      </c>
      <c r="AL47" s="71">
        <f>IFERROR(s_RadSpec!$K$6*AL6,".")*$B$47</f>
        <v>3.7370200504216442E-9</v>
      </c>
      <c r="AM47" s="49">
        <f>IFERROR(IF(AK47&gt;0.01,1-EXP(-AK47),AK47),".")</f>
        <v>0</v>
      </c>
      <c r="AN47" s="49">
        <f>IFERROR(IF(AL47&gt;0.01,1-EXP(-AL47),AL47),".")</f>
        <v>3.7370200504216442E-9</v>
      </c>
      <c r="AO47" s="49">
        <f>IFERROR(IF(SUM(AK47:AL47)&gt;0.01,1-EXP(-SUM(AK47:AL47)),SUM(AK47:AL47)),".")</f>
        <v>3.7370200504216442E-9</v>
      </c>
      <c r="AP47" s="60" t="str">
        <f>IFERROR(AP6/$B$47,".")</f>
        <v>.</v>
      </c>
      <c r="AQ47" s="60" t="str">
        <f>IFERROR(AQ6,".")</f>
        <v>.</v>
      </c>
      <c r="AR47" s="60">
        <f>IFERROR(AR6/$B$47,".")</f>
        <v>3859512.8547543078</v>
      </c>
      <c r="AS47" s="60" t="str">
        <f>IFERROR(AS6/$B$47,".")</f>
        <v>.</v>
      </c>
      <c r="AT47" s="60">
        <f t="shared" si="40"/>
        <v>3859512.8547543082</v>
      </c>
      <c r="AU47" s="71">
        <f>IFERROR(s_RadSpec!$I$6*AU6,".")*$B$47</f>
        <v>0</v>
      </c>
      <c r="AV47" s="71">
        <f>IFERROR(s_RadSpec!$F$6*AV6,".")*$B$47</f>
        <v>0</v>
      </c>
      <c r="AW47" s="71">
        <f>IFERROR(s_RadSpec!$M$6*AW6,".")*$B$47</f>
        <v>1.2955002841461697E-11</v>
      </c>
      <c r="AX47" s="71">
        <f>s_b2w!AC45</f>
        <v>3.2794014758663624E-7</v>
      </c>
      <c r="AY47" s="49">
        <f t="shared" si="86"/>
        <v>0</v>
      </c>
      <c r="AZ47" s="49">
        <f t="shared" si="87"/>
        <v>0</v>
      </c>
      <c r="BA47" s="49">
        <f t="shared" si="88"/>
        <v>1.2955002841461697E-11</v>
      </c>
      <c r="BB47" s="49">
        <f t="shared" si="60"/>
        <v>3.2794014758663624E-7</v>
      </c>
      <c r="BC47" s="49">
        <f t="shared" si="61"/>
        <v>3.279531025894777E-7</v>
      </c>
      <c r="BD47" s="60">
        <f>IFERROR(BD6/$B$47,0)</f>
        <v>0</v>
      </c>
      <c r="BE47" s="71">
        <f>IFERROR(s_RadSpec!$H$6*$L$6,".")*$B$47</f>
        <v>0</v>
      </c>
      <c r="BF47" s="49">
        <f t="shared" si="89"/>
        <v>0</v>
      </c>
    </row>
    <row r="48" spans="1:58" x14ac:dyDescent="0.25">
      <c r="A48" s="57" t="s">
        <v>33</v>
      </c>
      <c r="B48" s="57" t="s">
        <v>1255</v>
      </c>
      <c r="C48" s="250"/>
      <c r="D48" s="58">
        <f>1/SUM(1/D49,1/D52,1/D54,1/D58,1/D59,1/D61)</f>
        <v>29.030670515939743</v>
      </c>
      <c r="E48" s="58">
        <f>1/SUM(1/E49,1/E50,1/E51,1/E52,1/E54,1/E58,1/E59,1/E61)</f>
        <v>26122.276536664682</v>
      </c>
      <c r="F48" s="58">
        <f>1/SUM(1/F49,1/F50,1/F52,1/F54,1/F55,1/F56,1/F57,1/F58,1/F59,1/F60,1/F61,1/F62)</f>
        <v>9.3380759262444819</v>
      </c>
      <c r="G48" s="58">
        <f>1/SUM(1/G49,1/G52,1/G54,1/G58,1/G59,1/G61)</f>
        <v>1.0475455387973405</v>
      </c>
      <c r="H48" s="58">
        <f>1/SUM(1/H49,1/H52,1/H54,1/H58,1/H59,1/H61)</f>
        <v>2.0880538965957401E-2</v>
      </c>
      <c r="I48" s="59">
        <f>1/SUM(1/I49,1/I50,1/I51,1/I52,1/I54,1/I55,1/I56,1/I57,1/I58,1/I59,1/I60,1/I61,1/I62)</f>
        <v>0.91225436786624037</v>
      </c>
      <c r="J48" s="70"/>
      <c r="K48" s="70"/>
      <c r="L48" s="70"/>
      <c r="M48" s="70"/>
      <c r="N48" s="47">
        <f t="shared" ref="N48:P48" si="90">IFERROR(IF(SUM(J49:J62)&gt;0.01,1-EXP(-SUM(J49:J62)),SUM(J49:J62)),".")</f>
        <v>1.7223164023217002E-6</v>
      </c>
      <c r="O48" s="47">
        <f t="shared" si="90"/>
        <v>1.914075135443155E-9</v>
      </c>
      <c r="P48" s="47">
        <f t="shared" si="90"/>
        <v>5.3544220881173145E-6</v>
      </c>
      <c r="Q48" s="47">
        <f>IFERROR(IF(SUM(M49:M62)&gt;0.01,1-EXP(-SUM(M49:M62)),SUM(M49:M62)),".")</f>
        <v>4.773062452148471E-5</v>
      </c>
      <c r="R48" s="47">
        <f>IFERROR(IF(SUM(J49:M62)&gt;0.01,1-EXP(-SUM(J49:M62)),SUM(J49:M62)),".")</f>
        <v>5.4809277087059165E-5</v>
      </c>
      <c r="S48" s="59">
        <f t="shared" ref="S48:W48" si="91">1/SUM(1/S49,1/S50,1/S52,1/S54,1/S55,1/S56,1/S57,1/S58,1/S59,1/S60,1/S61,1/S62)</f>
        <v>9.3380759262444819</v>
      </c>
      <c r="T48" s="59">
        <f t="shared" si="91"/>
        <v>103.38782588621307</v>
      </c>
      <c r="U48" s="59">
        <f t="shared" si="91"/>
        <v>25.490766639714227</v>
      </c>
      <c r="V48" s="59">
        <f t="shared" si="91"/>
        <v>13.168831508522139</v>
      </c>
      <c r="W48" s="59">
        <f t="shared" si="91"/>
        <v>189.56947946281608</v>
      </c>
      <c r="X48" s="70"/>
      <c r="Y48" s="70"/>
      <c r="Z48" s="70"/>
      <c r="AA48" s="70"/>
      <c r="AB48" s="70"/>
      <c r="AC48" s="47">
        <f>IFERROR(IF(SUM(X49:X62)&gt;0.01,1-EXP(-SUM(X49:X62)),SUM(X49:X62)),".")</f>
        <v>5.3544220881173145E-6</v>
      </c>
      <c r="AD48" s="47">
        <f t="shared" ref="AD48:AG48" si="92">IFERROR(IF(SUM(Y49:Y62)&gt;0.01,1-EXP(-SUM(Y49:Y62)),SUM(Y49:Y62)),".")</f>
        <v>4.8361593419160564E-7</v>
      </c>
      <c r="AE48" s="47">
        <f t="shared" si="92"/>
        <v>1.9614945563112553E-6</v>
      </c>
      <c r="AF48" s="47">
        <f t="shared" si="92"/>
        <v>3.7968440835196926E-6</v>
      </c>
      <c r="AG48" s="47">
        <f t="shared" si="92"/>
        <v>2.6375553776739405E-7</v>
      </c>
      <c r="AH48" s="58">
        <f>1/SUM(1/AH49,1/AH50,1/AH51,1/AH52,1/AH54,1/AH58,1/AH59,1/AH61)</f>
        <v>8.431875642057747E-2</v>
      </c>
      <c r="AI48" s="58">
        <f t="shared" ref="AI48" si="93">1/SUM(1/AI49,1/AI50,1/AI51,1/AI52,1/AI53,1/AI54,1/AI55,1/AI56,1/AI57,1/AI58,1/AI59,1/AI60,1/AI61,1/AI62)</f>
        <v>4109.2038407422961</v>
      </c>
      <c r="AJ48" s="59">
        <f t="shared" ref="AJ48" si="94">1/SUM(1/AJ49,1/AJ50,1/AJ51,1/AJ52,1/AJ53,1/AJ54,1/AJ55,1/AJ56,1/AJ57,1/AJ58,1/AJ59,1/AJ60,1/AJ61,1/AJ62)</f>
        <v>8.431702627841943E-2</v>
      </c>
      <c r="AK48" s="70"/>
      <c r="AL48" s="70"/>
      <c r="AM48" s="47">
        <f>IFERROR(IF(SUM(AK49:AK62)&gt;0.01,1-EXP(-SUM(AK49:AK62)),SUM(AK49:AK62)),".")</f>
        <v>5.9298787271722391E-4</v>
      </c>
      <c r="AN48" s="47">
        <f>IFERROR(IF(SUM(AL49:AL62)&gt;0.01,1-EXP(-SUM(AL49:AL62)),SUM(AL49:AL62)),".")</f>
        <v>1.2167807180616258E-8</v>
      </c>
      <c r="AO48" s="47">
        <f>IFERROR(IF(SUM(AK49:AL62)&gt;0.01,1-EXP(-SUM(AK49:AL62)),SUM(AK49:AL62)),".")</f>
        <v>5.9300004052440446E-4</v>
      </c>
      <c r="AP48" s="58">
        <f>1/SUM(1/AP49,1/AP52,1/AP54,1/AP58,1/AP59,1/AP61)</f>
        <v>0.59523654086035993</v>
      </c>
      <c r="AQ48" s="58">
        <f>1/SUM(1/AQ50,1/AQ51,1/AQ52,1/AQ54)</f>
        <v>344.42145213017039</v>
      </c>
      <c r="AR48" s="58">
        <f t="shared" ref="AR48" si="95">1/SUM(1/AR49,1/AR50,1/AR51,1/AR52,1/AR53,1/AR54,1/AR55,1/AR56,1/AR57,1/AR58,1/AR59,1/AR60,1/AR61,1/AR62)</f>
        <v>1185207.324452861</v>
      </c>
      <c r="AS48" s="58">
        <f>1/SUM(1/AS49,1/AS52,1/AS54,1/AS58,1/AS59,1/AS61)</f>
        <v>1.6092883069216015</v>
      </c>
      <c r="AT48" s="59">
        <f>1/SUM(1/AT49,1/AT50,1/AT51,1/AT52,1/AT53,1/AT54,1/AT55,1/AT56,1/AT57,1/AT58,1/AT59,1/AT60,1/AT61,1/AT62)</f>
        <v>0.43397101748863448</v>
      </c>
      <c r="AU48" s="70"/>
      <c r="AV48" s="70"/>
      <c r="AW48" s="70"/>
      <c r="AX48" s="70"/>
      <c r="AY48" s="47">
        <f>IFERROR(IF(SUM(AU49:AU62)&gt;0.01,1-EXP(-SUM(AU49:AU62)),SUM(AU49:AU62)),".")</f>
        <v>8.4000219354358837E-5</v>
      </c>
      <c r="AZ48" s="47">
        <f t="shared" ref="AZ48:BA48" si="96">IFERROR(IF(SUM(AV49:AV62)&gt;0.01,1-EXP(-SUM(AV49:AV62)),SUM(AV49:AV62)),".")</f>
        <v>1.4517098075848961E-7</v>
      </c>
      <c r="BA48" s="47">
        <f t="shared" si="96"/>
        <v>4.2186711951921161E-11</v>
      </c>
      <c r="BB48" s="47">
        <f>IFERROR(IF(SUM(AX49:AX62)&gt;0.01,1-EXP(-SUM(AX49:AX62)),SUM(AX49:AX62)),".")</f>
        <v>3.1069636395607968E-5</v>
      </c>
      <c r="BC48" s="47">
        <f>IFERROR(IF(SUM(AU49:AX62)&gt;0.01,1-EXP(-SUM(AU49:AX62)),SUM(AU49:AX62)),".")</f>
        <v>1.1521506891743724E-4</v>
      </c>
      <c r="BD48" s="59">
        <f>1/SUM(1/BD49,1/BD52,1/BD54,1/BD58,1/BD59,1/BD61)</f>
        <v>8.3522155863829606E-2</v>
      </c>
      <c r="BE48" s="70"/>
      <c r="BF48" s="47">
        <f>IFERROR(IF(SUM(BF49:BF62)&gt;0.01,1-EXP(-SUM(BF49:BF62)),SUM(BF49:BF62)),".")</f>
        <v>5.9864355131730002E-4</v>
      </c>
    </row>
    <row r="49" spans="1:58" x14ac:dyDescent="0.25">
      <c r="A49" s="48" t="s">
        <v>1100</v>
      </c>
      <c r="B49" s="15">
        <v>1</v>
      </c>
      <c r="C49" s="249"/>
      <c r="D49" s="60">
        <f>IFERROR(D23/$B49,0)</f>
        <v>244.11350789890287</v>
      </c>
      <c r="E49" s="60">
        <f>IFERROR(E23/$B49,0)</f>
        <v>54870.756564873598</v>
      </c>
      <c r="F49" s="60">
        <f>IFERROR(F23/$B49,0)</f>
        <v>3891.3004221902224</v>
      </c>
      <c r="G49" s="60">
        <f>IFERROR(G23/$B49,0)</f>
        <v>6.5012005366394536</v>
      </c>
      <c r="H49" s="60">
        <f>IFERROR(H23/$B49,0)</f>
        <v>0.16069342426438568</v>
      </c>
      <c r="I49" s="60">
        <f>(IF(AND(D49&lt;&gt;0,E49&lt;&gt;0,F49&lt;&gt;0,G49&lt;&gt;0),1/((1/D49)+(1/E49)+(1/F49)+(1/G49)),IF(AND(D49&lt;&gt;0,E49&lt;&gt;0,F49&lt;&gt;0,G49=0), 1/((1/D49)+(1/E49)+(1/F49)),IF(AND(D49&lt;&gt;0,E49&lt;&gt;0,F49=0,G49&lt;&gt;0),1/((1/D49)+(1/E49)+(1/G49)),IF(AND(D49&lt;&gt;0,E49=0,F49&lt;&gt;0,G49&lt;&gt;0),1/((1/D49)+(1/F49)+(1/G49)),IF(AND(D49=0,E49&lt;&gt;0,F49&lt;&gt;0,G49&lt;&gt;0),1/((1/E49)+(1/F49)+(1/G49)),IF(AND(D49&lt;&gt;0,E49&lt;&gt;0,F49=0,G49=0),1/((1/D49)+(1/E49)),IF(AND(D49&lt;&gt;0,E49=0,F49&lt;&gt;0,G49=0),1/((1/D49)+(1/F49)),IF(AND(D49&lt;&gt;0,E49=0,F49=0,G49&lt;&gt;0),1/((1/D49)+(1/G49)),IF(AND(D49=0,E49=0,F49&lt;&gt;0,G49&lt;&gt;0),1/((1/F49)+(1/G49)),IF(AND(D49=0,E49&lt;&gt;0,F49=0,G49&lt;&gt;0),1/((1/E49)+(1/G49)),IF(AND(D49=0,E49&lt;&gt;0,F49&lt;&gt;0,G49=0),1/((1/E49)+(1/F49)),IF(AND(D49&lt;&gt;0,E49=0,F49=0,G49=0),1/((1/D49)),IF(AND(D49=0,E49&lt;&gt;0,F49=0,G49=0),1/((1/E49)),IF(AND(D49=0,E49=0,F49&lt;&gt;0,G49=0),1/((1/F49)),IF(AND(D49=0,E49=0,F49=0,G49&lt;&gt;0),1/((1/G49)),IF(AND(D49=0,E49=0,F49=0,G49=0),0)))))))))))))))))</f>
        <v>6.3215357962337633</v>
      </c>
      <c r="J49" s="71">
        <f>IFERROR(s_RadSpec!$E$23*J23,".")*$B$49</f>
        <v>2.0482275E-7</v>
      </c>
      <c r="K49" s="71">
        <f>IFERROR(s_RadSpec!$F$23*$K$23,".")*B49</f>
        <v>9.1123219598558097E-10</v>
      </c>
      <c r="L49" s="71">
        <f>IFERROR(s_RadSpec!$G$23*$L$23,".")*B49</f>
        <v>1.2849174973711607E-8</v>
      </c>
      <c r="M49" s="71">
        <f>s_b2s!AC49</f>
        <v>7.6908872012499992E-6</v>
      </c>
      <c r="N49" s="49">
        <f t="shared" ref="N49:N62" si="97">IFERROR(IF(J49&gt;0.01,1-EXP(-J49),J49),".")</f>
        <v>2.0482275E-7</v>
      </c>
      <c r="O49" s="49">
        <f t="shared" ref="O49:O62" si="98">IFERROR(IF(K49&gt;0.01,1-EXP(-K49),K49),".")</f>
        <v>9.1123219598558097E-10</v>
      </c>
      <c r="P49" s="49">
        <f t="shared" ref="P49:P62" si="99">IFERROR(IF(L49&gt;0.01,1-EXP(-L49),L49),".")</f>
        <v>1.2849174973711607E-8</v>
      </c>
      <c r="Q49" s="49">
        <f t="shared" si="46"/>
        <v>7.6908872012499992E-6</v>
      </c>
      <c r="R49" s="49">
        <f t="shared" si="79"/>
        <v>7.9094703584196969E-6</v>
      </c>
      <c r="S49" s="60">
        <f>IFERROR(S23/$B49,0)</f>
        <v>3891.3004221902224</v>
      </c>
      <c r="T49" s="60">
        <f>IFERROR(T23/$B49,0)</f>
        <v>27328.352196169526</v>
      </c>
      <c r="U49" s="60">
        <f>IFERROR(U23/$B49,0)</f>
        <v>7067.8672017715271</v>
      </c>
      <c r="V49" s="60">
        <f>IFERROR(V23/$B49,0)</f>
        <v>4123.7821823651684</v>
      </c>
      <c r="W49" s="60">
        <f>IFERROR(W23/$B49,0)</f>
        <v>43614.123411133427</v>
      </c>
      <c r="X49" s="71">
        <f>IFERROR(s_RadSpec!$G$23*$X$23,".")*$B$49</f>
        <v>1.2849174973711607E-8</v>
      </c>
      <c r="Y49" s="71">
        <f>IFERROR(s_RadSpec!$N$23*$Y$23,".")*$B$49</f>
        <v>1.8296017133081386E-9</v>
      </c>
      <c r="Z49" s="71">
        <f>IFERROR(s_RadSpec!$O$23*$Z$23,".")*$B$49</f>
        <v>7.0742698713223895E-9</v>
      </c>
      <c r="AA49" s="71">
        <f>IFERROR(s_RadSpec!$P$23*$AA$23,".")*$B$49</f>
        <v>1.2124791705492755E-8</v>
      </c>
      <c r="AB49" s="71">
        <f>IFERROR(s_RadSpec!$L$23*$AB$23,".")*$B$49</f>
        <v>1.1464176301027398E-9</v>
      </c>
      <c r="AC49" s="49">
        <f t="shared" ref="AC49:AC62" si="100">IFERROR(IF(X49&gt;0.01,1-EXP(-X49),X49),".")</f>
        <v>1.2849174973711607E-8</v>
      </c>
      <c r="AD49" s="49">
        <f t="shared" ref="AD49:AD62" si="101">IFERROR(IF(Y49&gt;0.01,1-EXP(-Y49),Y49),".")</f>
        <v>1.8296017133081386E-9</v>
      </c>
      <c r="AE49" s="49">
        <f t="shared" ref="AE49:AE62" si="102">IFERROR(IF(Z49&gt;0.01,1-EXP(-Z49),Z49),".")</f>
        <v>7.0742698713223895E-9</v>
      </c>
      <c r="AF49" s="49">
        <f t="shared" ref="AF49:AF62" si="103">IFERROR(IF(AA49&gt;0.01,1-EXP(-AA49),AA49),".")</f>
        <v>1.2124791705492755E-8</v>
      </c>
      <c r="AG49" s="49">
        <f t="shared" ref="AG49:AG62" si="104">IFERROR(IF(AB49&gt;0.01,1-EXP(-AB49),AB49),".")</f>
        <v>1.1464176301027398E-9</v>
      </c>
      <c r="AH49" s="60">
        <f>IFERROR(AH23/$B49,0)</f>
        <v>0.17711450037337031</v>
      </c>
      <c r="AI49" s="60">
        <f>IFERROR(AI23/$B49,0)</f>
        <v>1118087.7643327571</v>
      </c>
      <c r="AJ49" s="60">
        <f t="shared" ref="AJ49:AJ62" si="105">IFERROR(IF(AND(AH49&lt;&gt;0,AI49&lt;&gt;0),1/((1/AH49)+(1/AI49)),IF(AND(AH49&lt;&gt;0,AI49=0),1/((1/AH49)),IF(AND(AH49=0,AI49&lt;&gt;0),1/((1/AI49)),IF(AND(AH49=".",AI49="."),".")))),".")</f>
        <v>0.17711447231694907</v>
      </c>
      <c r="AK49" s="71">
        <f>IFERROR(s_RadSpec!$F$23*AK23,".")*$B$49</f>
        <v>2.8230325520833328E-4</v>
      </c>
      <c r="AL49" s="71">
        <f>IFERROR(s_RadSpec!$K$23*AL23,".")*$B$49</f>
        <v>4.4719208630136992E-11</v>
      </c>
      <c r="AM49" s="49">
        <f t="shared" ref="AM49:AM62" si="106">IFERROR(IF(AK49&gt;0.01,1-EXP(-AK49),AK49),".")</f>
        <v>2.8230325520833328E-4</v>
      </c>
      <c r="AN49" s="49">
        <f t="shared" ref="AN49:AN62" si="107">IFERROR(IF(AL49&gt;0.01,1-EXP(-AL49),AL49),".")</f>
        <v>4.4719208630136992E-11</v>
      </c>
      <c r="AO49" s="49">
        <f t="shared" ref="AO49:AO62" si="108">IFERROR(IF(SUM(AK49:AL49)&gt;0.01,1-EXP(-SUM(AK49:AL49)),SUM(AK49:AL49)),".")</f>
        <v>2.8230329992754192E-4</v>
      </c>
      <c r="AP49" s="60">
        <f>IFERROR(AP23/$B49,".")</f>
        <v>4.7250047250047249</v>
      </c>
      <c r="AQ49" s="60" t="str">
        <f>IFERROR(AQ23,".")</f>
        <v>.</v>
      </c>
      <c r="AR49" s="60">
        <f>IFERROR(AR23/$B49,".")</f>
        <v>317520268.2695446</v>
      </c>
      <c r="AS49" s="60">
        <f>IFERROR(AS23/$B49,".")</f>
        <v>11.539315035746162</v>
      </c>
      <c r="AT49" s="60">
        <f t="shared" si="40"/>
        <v>3.3523269521020049</v>
      </c>
      <c r="AU49" s="71">
        <f>IFERROR(s_RadSpec!$I$23*AU23,".")*$B$49</f>
        <v>1.0582E-5</v>
      </c>
      <c r="AV49" s="71">
        <f>IFERROR(s_RadSpec!$F$23*AV23,".")</f>
        <v>0</v>
      </c>
      <c r="AW49" s="71">
        <f>IFERROR(s_RadSpec!$M$23*AW23,".")*$B$49</f>
        <v>1.5747026252054796E-13</v>
      </c>
      <c r="AX49" s="71">
        <f>s_b2w!AC49</f>
        <v>4.333012821394634E-6</v>
      </c>
      <c r="AY49" s="49">
        <f t="shared" ref="AY49:AY62" si="109">IFERROR(IF(AU49&gt;0.01,1-EXP(-AU49),AU49),".")</f>
        <v>1.0582E-5</v>
      </c>
      <c r="AZ49" s="49">
        <f t="shared" ref="AZ49:AZ62" si="110">IFERROR(IF(AQ49&lt;&gt;0,IF(AV49&gt;0.01,1-EXP(-AV49),AV49),0),".")</f>
        <v>0</v>
      </c>
      <c r="BA49" s="49">
        <f>IFERROR(IF(AW49&gt;0.01,1-EXP(-AW49),AW49),".")</f>
        <v>1.5747026252054796E-13</v>
      </c>
      <c r="BB49" s="49">
        <f t="shared" si="60"/>
        <v>4.333012821394634E-6</v>
      </c>
      <c r="BC49" s="49">
        <f t="shared" si="61"/>
        <v>1.4915012978864896E-5</v>
      </c>
      <c r="BD49" s="60">
        <f>IFERROR(BD23/$B49,0)</f>
        <v>0.64277369705754273</v>
      </c>
      <c r="BE49" s="71">
        <f>IFERROR(s_RadSpec!$H$23*BE23,".")*$B$49</f>
        <v>7.7787874999999993E-5</v>
      </c>
      <c r="BF49" s="49">
        <f t="shared" ref="BF49:BF62" si="111">IFERROR(IF(BE49&gt;0.01,1-EXP(-BE49),BE49),".")</f>
        <v>7.7787874999999993E-5</v>
      </c>
    </row>
    <row r="50" spans="1:58" x14ac:dyDescent="0.25">
      <c r="A50" s="48" t="s">
        <v>1087</v>
      </c>
      <c r="B50" s="15">
        <v>1</v>
      </c>
      <c r="C50" s="249"/>
      <c r="D50" s="60">
        <f>IFERROR(D25/$B50,0)</f>
        <v>0</v>
      </c>
      <c r="E50" s="60">
        <f>IFERROR(E25/$B50,0)</f>
        <v>677629777.45488858</v>
      </c>
      <c r="F50" s="60">
        <f>IFERROR(F25/$B50,0)</f>
        <v>83956.797149423059</v>
      </c>
      <c r="G50" s="60">
        <f>IFERROR(G25/$B50,0)</f>
        <v>0</v>
      </c>
      <c r="H50" s="60">
        <f>IFERROR(H25/$B50,0)</f>
        <v>0</v>
      </c>
      <c r="I50" s="60">
        <f t="shared" ref="I50:I62" si="112">(IF(AND(D50&lt;&gt;0,E50&lt;&gt;0,F50&lt;&gt;0,G50&lt;&gt;0),1/((1/D50)+(1/E50)+(1/F50)+(1/G50)),IF(AND(D50&lt;&gt;0,E50&lt;&gt;0,F50&lt;&gt;0,G50=0), 1/((1/D50)+(1/E50)+(1/F50)),IF(AND(D50&lt;&gt;0,E50&lt;&gt;0,F50=0,G50&lt;&gt;0),1/((1/D50)+(1/E50)+(1/G50)),IF(AND(D50&lt;&gt;0,E50=0,F50&lt;&gt;0,G50&lt;&gt;0),1/((1/D50)+(1/F50)+(1/G50)),IF(AND(D50=0,E50&lt;&gt;0,F50&lt;&gt;0,G50&lt;&gt;0),1/((1/E50)+(1/F50)+(1/G50)),IF(AND(D50&lt;&gt;0,E50&lt;&gt;0,F50=0,G50=0),1/((1/D50)+(1/E50)),IF(AND(D50&lt;&gt;0,E50=0,F50&lt;&gt;0,G50=0),1/((1/D50)+(1/F50)),IF(AND(D50&lt;&gt;0,E50=0,F50=0,G50&lt;&gt;0),1/((1/D50)+(1/G50)),IF(AND(D50=0,E50=0,F50&lt;&gt;0,G50&lt;&gt;0),1/((1/F50)+(1/G50)),IF(AND(D50=0,E50&lt;&gt;0,F50=0,G50&lt;&gt;0),1/((1/E50)+(1/G50)),IF(AND(D50=0,E50&lt;&gt;0,F50&lt;&gt;0,G50=0),1/((1/E50)+(1/F50)),IF(AND(D50&lt;&gt;0,E50=0,F50=0,G50=0),1/((1/D50)),IF(AND(D50=0,E50&lt;&gt;0,F50=0,G50=0),1/((1/E50)),IF(AND(D50=0,E50=0,F50&lt;&gt;0,G50=0),1/((1/F50)),IF(AND(D50=0,E50=0,F50=0,G50&lt;&gt;0),1/((1/G50)),IF(AND(D50=0,E50=0,F50=0,G50=0),0)))))))))))))))))</f>
        <v>83946.396380733655</v>
      </c>
      <c r="J50" s="71">
        <f>IFERROR(s_RadSpec!$E$25*J25,".")*$B$50</f>
        <v>0</v>
      </c>
      <c r="K50" s="71">
        <f>IFERROR(s_RadSpec!$F$25*$K$25,".")*B50</f>
        <v>7.3786603929648917E-14</v>
      </c>
      <c r="L50" s="71">
        <f>IFERROR(s_RadSpec!$G$25*$L$25,".")*B50</f>
        <v>5.9554439542294513E-10</v>
      </c>
      <c r="M50" s="71">
        <f>s_b2s!AC50</f>
        <v>0</v>
      </c>
      <c r="N50" s="49">
        <f t="shared" si="97"/>
        <v>0</v>
      </c>
      <c r="O50" s="49">
        <f t="shared" si="98"/>
        <v>7.3786603929648917E-14</v>
      </c>
      <c r="P50" s="49">
        <f t="shared" si="99"/>
        <v>5.9554439542294513E-10</v>
      </c>
      <c r="Q50" s="49">
        <f t="shared" si="46"/>
        <v>0</v>
      </c>
      <c r="R50" s="49">
        <f t="shared" si="79"/>
        <v>5.9561818202687479E-10</v>
      </c>
      <c r="S50" s="60">
        <f>IFERROR(S25/$B50,0)</f>
        <v>83956.797149423059</v>
      </c>
      <c r="T50" s="60">
        <f>IFERROR(T25/$B50,0)</f>
        <v>713371.53901271138</v>
      </c>
      <c r="U50" s="60">
        <f>IFERROR(U25/$B50,0)</f>
        <v>181327.84236676019</v>
      </c>
      <c r="V50" s="60">
        <f>IFERROR(V25/$B50,0)</f>
        <v>105788.51654566244</v>
      </c>
      <c r="W50" s="60">
        <f>IFERROR(W25/$B50,0)</f>
        <v>1302871.4370215165</v>
      </c>
      <c r="X50" s="71">
        <f>IFERROR(s_RadSpec!$G$25*$X$25,".")*$B$50</f>
        <v>5.9554439542294513E-10</v>
      </c>
      <c r="Y50" s="71">
        <f>IFERROR(s_RadSpec!$N$25*$Y$25,".")*$B$50</f>
        <v>7.0089703983983971E-11</v>
      </c>
      <c r="Z50" s="71">
        <f>IFERROR(s_RadSpec!$O$25*$Z$25,".")*$B$50</f>
        <v>2.757436439290344E-10</v>
      </c>
      <c r="AA50" s="71">
        <f>IFERROR(s_RadSpec!$P$25*$AA$25,".")*$B$50</f>
        <v>4.7264109217769454E-10</v>
      </c>
      <c r="AB50" s="71">
        <f>IFERROR(s_RadSpec!$L$25*$AB$25,".")*$B$50</f>
        <v>3.8376771935613675E-11</v>
      </c>
      <c r="AC50" s="49">
        <f t="shared" si="100"/>
        <v>5.9554439542294513E-10</v>
      </c>
      <c r="AD50" s="49">
        <f t="shared" si="101"/>
        <v>7.0089703983983971E-11</v>
      </c>
      <c r="AE50" s="49">
        <f t="shared" si="102"/>
        <v>2.757436439290344E-10</v>
      </c>
      <c r="AF50" s="49">
        <f t="shared" si="103"/>
        <v>4.7264109217769454E-10</v>
      </c>
      <c r="AG50" s="49">
        <f t="shared" si="104"/>
        <v>3.8376771935613675E-11</v>
      </c>
      <c r="AH50" s="60">
        <f>IFERROR(AH25/$B50,0)</f>
        <v>2187.2863978127139</v>
      </c>
      <c r="AI50" s="60">
        <f>IFERROR(AI25/$B50,0)</f>
        <v>19626864.352316026</v>
      </c>
      <c r="AJ50" s="60">
        <f t="shared" si="105"/>
        <v>2187.0426661299962</v>
      </c>
      <c r="AK50" s="71">
        <f>IFERROR(s_RadSpec!$F$25*AK$25,".")*$B$50</f>
        <v>2.2859374999999997E-8</v>
      </c>
      <c r="AL50" s="71">
        <f>IFERROR(s_RadSpec!$K$25*$AL$25,".")*$B$50</f>
        <v>2.5475286883561649E-12</v>
      </c>
      <c r="AM50" s="49">
        <f t="shared" si="106"/>
        <v>2.2859374999999997E-8</v>
      </c>
      <c r="AN50" s="49">
        <f t="shared" si="107"/>
        <v>2.5475286883561649E-12</v>
      </c>
      <c r="AO50" s="49">
        <f t="shared" si="108"/>
        <v>2.2861922528688354E-8</v>
      </c>
      <c r="AP50" s="60" t="str">
        <f>IFERROR(AP25/$B50,".")</f>
        <v>.</v>
      </c>
      <c r="AQ50" s="60">
        <f>IFERROR(AQ25,".")</f>
        <v>4374.5727956254277</v>
      </c>
      <c r="AR50" s="60">
        <f>IFERROR(AR25/$B50,".")</f>
        <v>5664730367.4666271</v>
      </c>
      <c r="AS50" s="60" t="str">
        <f>IFERROR(AS25/$B50,".")</f>
        <v>.</v>
      </c>
      <c r="AT50" s="60">
        <f t="shared" si="40"/>
        <v>4374.5694173759566</v>
      </c>
      <c r="AU50" s="71">
        <f>IFERROR(s_RadSpec!$I$25*AU25,".")*$B$50</f>
        <v>0</v>
      </c>
      <c r="AV50" s="71">
        <f>IFERROR(s_RadSpec!$F$25*AV25,".")</f>
        <v>1.1429687499999998E-8</v>
      </c>
      <c r="AW50" s="71">
        <f>IFERROR(s_RadSpec!$M$25*AW25,".")*$B$50</f>
        <v>8.8265454410958909E-15</v>
      </c>
      <c r="AX50" s="71">
        <f>s_b2w!AC50</f>
        <v>0</v>
      </c>
      <c r="AY50" s="49">
        <f t="shared" si="109"/>
        <v>0</v>
      </c>
      <c r="AZ50" s="49">
        <f t="shared" si="110"/>
        <v>1.1429687499999998E-8</v>
      </c>
      <c r="BA50" s="49">
        <f t="shared" ref="BA50:BA62" si="113">IFERROR(IF(AW50&gt;0.01,1-EXP(-AW50),AW50),".")</f>
        <v>8.8265454410958909E-15</v>
      </c>
      <c r="BB50" s="49">
        <f t="shared" si="60"/>
        <v>0</v>
      </c>
      <c r="BC50" s="49">
        <f t="shared" si="61"/>
        <v>1.142969632654544E-8</v>
      </c>
      <c r="BD50" s="60">
        <f>IFERROR(BD25/$B50,0)</f>
        <v>0</v>
      </c>
      <c r="BE50" s="71">
        <f>IFERROR(s_RadSpec!$H$25*BE25,".")*$B$50</f>
        <v>0</v>
      </c>
      <c r="BF50" s="49">
        <f t="shared" si="111"/>
        <v>0</v>
      </c>
    </row>
    <row r="51" spans="1:58" x14ac:dyDescent="0.25">
      <c r="A51" s="48" t="s">
        <v>1073</v>
      </c>
      <c r="B51" s="15">
        <v>1</v>
      </c>
      <c r="C51" s="249"/>
      <c r="D51" s="60">
        <f>IFERROR(D21/$B51,0)</f>
        <v>0</v>
      </c>
      <c r="E51" s="60">
        <f>IFERROR(E21/$B51,0)</f>
        <v>111150783.64008242</v>
      </c>
      <c r="F51" s="60">
        <f>IFERROR(F21/$B51,0)</f>
        <v>0</v>
      </c>
      <c r="G51" s="60">
        <f>IFERROR(G21/$B51,0)</f>
        <v>0</v>
      </c>
      <c r="H51" s="60">
        <f>IFERROR(H21/$B51,0)</f>
        <v>0</v>
      </c>
      <c r="I51" s="60">
        <f t="shared" si="112"/>
        <v>111150783.64008242</v>
      </c>
      <c r="J51" s="71">
        <f>IFERROR(s_RadSpec!$E$21*J21,".")*$B$51</f>
        <v>0</v>
      </c>
      <c r="K51" s="71">
        <f>IFERROR(s_RadSpec!$F$21*$K$21,".")*B51</f>
        <v>4.49839383606193E-13</v>
      </c>
      <c r="L51" s="71">
        <f>IFERROR(s_RadSpec!$G$21*$L$21,".")*B51</f>
        <v>0</v>
      </c>
      <c r="M51" s="71">
        <f>s_b2s!AC51</f>
        <v>0</v>
      </c>
      <c r="N51" s="49">
        <f t="shared" si="97"/>
        <v>0</v>
      </c>
      <c r="O51" s="49">
        <f t="shared" si="98"/>
        <v>4.49839383606193E-13</v>
      </c>
      <c r="P51" s="49">
        <f t="shared" si="99"/>
        <v>0</v>
      </c>
      <c r="Q51" s="49">
        <f t="shared" si="46"/>
        <v>0</v>
      </c>
      <c r="R51" s="49">
        <f t="shared" si="79"/>
        <v>4.49839383606193E-13</v>
      </c>
      <c r="S51" s="60">
        <f>IFERROR(S21/$B51,0)</f>
        <v>0</v>
      </c>
      <c r="T51" s="60">
        <f>IFERROR(T21/$B51,0)</f>
        <v>0</v>
      </c>
      <c r="U51" s="60">
        <f>IFERROR(U21/$B51,0)</f>
        <v>0</v>
      </c>
      <c r="V51" s="60">
        <f>IFERROR(V21/$B51,0)</f>
        <v>0</v>
      </c>
      <c r="W51" s="60">
        <f>IFERROR(W21/$B51,0)</f>
        <v>0</v>
      </c>
      <c r="X51" s="71">
        <f>IFERROR(s_RadSpec!$G$21*$X$21,".")*$B$51</f>
        <v>0</v>
      </c>
      <c r="Y51" s="71">
        <f>IFERROR(s_RadSpec!$N$21*$Y$21,".")*$B$51</f>
        <v>0</v>
      </c>
      <c r="Z51" s="71">
        <f>IFERROR(s_RadSpec!$O$21*$Z$21,".")*$B$51</f>
        <v>0</v>
      </c>
      <c r="AA51" s="71">
        <f>IFERROR(s_RadSpec!$P$21*$AA$21,".")*$B$51</f>
        <v>0</v>
      </c>
      <c r="AB51" s="71">
        <f>IFERROR(s_RadSpec!$L$21*$AB$21,".")*$B$51</f>
        <v>0</v>
      </c>
      <c r="AC51" s="49">
        <f t="shared" si="100"/>
        <v>0</v>
      </c>
      <c r="AD51" s="49">
        <f t="shared" si="101"/>
        <v>0</v>
      </c>
      <c r="AE51" s="49">
        <f t="shared" si="102"/>
        <v>0</v>
      </c>
      <c r="AF51" s="49">
        <f t="shared" si="103"/>
        <v>0</v>
      </c>
      <c r="AG51" s="49">
        <f t="shared" si="104"/>
        <v>0</v>
      </c>
      <c r="AH51" s="60">
        <f>IFERROR(AH21/$B51,0)</f>
        <v>358.7779127347473</v>
      </c>
      <c r="AI51" s="60">
        <f>IFERROR(AI21/$B51,0)</f>
        <v>807140279577.49329</v>
      </c>
      <c r="AJ51" s="60">
        <f t="shared" si="105"/>
        <v>358.77791257526872</v>
      </c>
      <c r="AK51" s="71">
        <f>IFERROR(s_RadSpec!$F$21*AK21,".")*$B$51</f>
        <v>1.3936197916666665E-7</v>
      </c>
      <c r="AL51" s="71">
        <f>IFERROR(s_RadSpec!$K$21*$AL$21,".")*$B$51</f>
        <v>6.1947100479452062E-17</v>
      </c>
      <c r="AM51" s="49">
        <f t="shared" si="106"/>
        <v>1.3936197916666665E-7</v>
      </c>
      <c r="AN51" s="49">
        <f t="shared" si="107"/>
        <v>6.1947100479452062E-17</v>
      </c>
      <c r="AO51" s="49">
        <f t="shared" si="108"/>
        <v>1.3936197922861375E-7</v>
      </c>
      <c r="AP51" s="60" t="str">
        <f>IFERROR(AP21/$B51,".")</f>
        <v>.</v>
      </c>
      <c r="AQ51" s="60">
        <f>IFERROR(AQ21,".")</f>
        <v>984.98616869161106</v>
      </c>
      <c r="AR51" s="60">
        <f>IFERROR(AR21/$B51,".")</f>
        <v>393783796907033.44</v>
      </c>
      <c r="AS51" s="60" t="str">
        <f>IFERROR(AS21/$B51,".")</f>
        <v>.</v>
      </c>
      <c r="AT51" s="60">
        <f t="shared" si="40"/>
        <v>984.98616868914723</v>
      </c>
      <c r="AU51" s="71">
        <f>IFERROR(s_RadSpec!$I$21*AU21,".")*$B$51</f>
        <v>0</v>
      </c>
      <c r="AV51" s="71">
        <f>IFERROR(s_RadSpec!$F$21*AV21,".")</f>
        <v>5.0762134118509112E-8</v>
      </c>
      <c r="AW51" s="71">
        <f>IFERROR(s_RadSpec!$M$21*AW21,".")*$B$51</f>
        <v>1.2697322843835616E-19</v>
      </c>
      <c r="AX51" s="71">
        <f>s_b2w!AC51</f>
        <v>0</v>
      </c>
      <c r="AY51" s="49">
        <f t="shared" si="109"/>
        <v>0</v>
      </c>
      <c r="AZ51" s="49">
        <f>IFERROR(IF(AQ51&lt;&gt;0,IF(AV51&gt;0.01,1-EXP(-AV51),AV51),0),".")</f>
        <v>5.0762134118509112E-8</v>
      </c>
      <c r="BA51" s="49">
        <f t="shared" si="113"/>
        <v>1.2697322843835616E-19</v>
      </c>
      <c r="BB51" s="49">
        <f t="shared" si="60"/>
        <v>0</v>
      </c>
      <c r="BC51" s="49">
        <f t="shared" si="61"/>
        <v>5.0762134118636088E-8</v>
      </c>
      <c r="BD51" s="60">
        <f>IFERROR(BD21/$B51,0)</f>
        <v>0</v>
      </c>
      <c r="BE51" s="71">
        <f>IFERROR(s_RadSpec!$H$21*BE21,".")*$B$51</f>
        <v>0</v>
      </c>
      <c r="BF51" s="49">
        <f t="shared" si="111"/>
        <v>0</v>
      </c>
    </row>
    <row r="52" spans="1:58" x14ac:dyDescent="0.25">
      <c r="A52" s="48" t="s">
        <v>1074</v>
      </c>
      <c r="B52" s="51">
        <v>0.99980000000000002</v>
      </c>
      <c r="C52" s="251"/>
      <c r="D52" s="60">
        <f>IFERROR(D17/$B52,0)</f>
        <v>208793.02937923669</v>
      </c>
      <c r="E52" s="60">
        <f>IFERROR(E17/$B52,0)</f>
        <v>19888094.640770443</v>
      </c>
      <c r="F52" s="60">
        <f>IFERROR(F17/$B52,0)</f>
        <v>196.64310545490989</v>
      </c>
      <c r="G52" s="60">
        <f>IFERROR(G17/$B52,0)</f>
        <v>7555.2495879953667</v>
      </c>
      <c r="H52" s="60">
        <f>IFERROR(H17/$B52,0)</f>
        <v>170.54087132502539</v>
      </c>
      <c r="I52" s="60">
        <f t="shared" si="112"/>
        <v>191.47723283985448</v>
      </c>
      <c r="J52" s="71">
        <f>IFERROR(s_RadSpec!$E$17*J17,".")*$B$52</f>
        <v>2.394715961E-10</v>
      </c>
      <c r="K52" s="71">
        <f>IFERROR(s_RadSpec!$F$17*$K$17,".")*B52</f>
        <v>2.5140668778546732E-12</v>
      </c>
      <c r="L52" s="71">
        <f>IFERROR(s_RadSpec!$G$17*$L$17,".")*B52</f>
        <v>2.5426775011679711E-7</v>
      </c>
      <c r="M52" s="71">
        <f>s_b2s!AC52</f>
        <v>6.6205630163532704E-9</v>
      </c>
      <c r="N52" s="49">
        <f t="shared" si="97"/>
        <v>2.394715961E-10</v>
      </c>
      <c r="O52" s="49">
        <f t="shared" si="98"/>
        <v>2.5140668778546732E-12</v>
      </c>
      <c r="P52" s="49">
        <f t="shared" si="99"/>
        <v>2.5426775011679711E-7</v>
      </c>
      <c r="Q52" s="49">
        <f t="shared" si="46"/>
        <v>6.6205630163532704E-9</v>
      </c>
      <c r="R52" s="49">
        <f t="shared" si="79"/>
        <v>2.611302987961282E-7</v>
      </c>
      <c r="S52" s="60">
        <f>IFERROR(S17/$B52,0)</f>
        <v>196.64310545490989</v>
      </c>
      <c r="T52" s="60">
        <f>IFERROR(T17/$B52,0)</f>
        <v>1510.6786350518307</v>
      </c>
      <c r="U52" s="60">
        <f>IFERROR(U17/$B52,0)</f>
        <v>408.6593958916327</v>
      </c>
      <c r="V52" s="60">
        <f>IFERROR(V17/$B52,0)</f>
        <v>245.84867756349308</v>
      </c>
      <c r="W52" s="60">
        <f>IFERROR(W17/$B52,0)</f>
        <v>2934.069705386471</v>
      </c>
      <c r="X52" s="71">
        <f>IFERROR(s_RadSpec!$G$17*$X$17,".")*$B$52</f>
        <v>2.5426775011679711E-7</v>
      </c>
      <c r="Y52" s="71">
        <f>IFERROR(s_RadSpec!$N$17*$Y$17,".")*$B$52</f>
        <v>3.3097707771768762E-8</v>
      </c>
      <c r="Z52" s="71">
        <f>IFERROR(s_RadSpec!$O$17*$Z$17,".")*$B$52</f>
        <v>1.2235127958065812E-7</v>
      </c>
      <c r="AA52" s="71">
        <f>IFERROR(s_RadSpec!$P$17*$AA$17,".")*$B$52</f>
        <v>2.0337713627557322E-7</v>
      </c>
      <c r="AB52" s="71">
        <f>IFERROR(s_RadSpec!$L$17*$AB$17,".")*$B$52</f>
        <v>1.7041176597886613E-8</v>
      </c>
      <c r="AC52" s="49">
        <f t="shared" si="100"/>
        <v>2.5426775011679711E-7</v>
      </c>
      <c r="AD52" s="49">
        <f t="shared" si="101"/>
        <v>3.3097707771768762E-8</v>
      </c>
      <c r="AE52" s="49">
        <f t="shared" si="102"/>
        <v>1.2235127958065812E-7</v>
      </c>
      <c r="AF52" s="49">
        <f t="shared" si="103"/>
        <v>2.0337713627557322E-7</v>
      </c>
      <c r="AG52" s="49">
        <f t="shared" si="104"/>
        <v>1.7041176597886613E-8</v>
      </c>
      <c r="AH52" s="60">
        <f>IFERROR(AH17/$B52,0)</f>
        <v>64.19576047787406</v>
      </c>
      <c r="AI52" s="60">
        <f>IFERROR(AI17/$B52,0)</f>
        <v>31256.35602460615</v>
      </c>
      <c r="AJ52" s="60">
        <f t="shared" si="105"/>
        <v>64.064182474663554</v>
      </c>
      <c r="AK52" s="71">
        <f>IFERROR(s_RadSpec!$F$17*AK17,".")*$B$52</f>
        <v>7.7886763281249992E-7</v>
      </c>
      <c r="AL52" s="71">
        <f>IFERROR(s_RadSpec!$K$17*$AL$17,".")*$B$52</f>
        <v>1.599674637716507E-9</v>
      </c>
      <c r="AM52" s="49">
        <f t="shared" si="106"/>
        <v>7.7886763281249992E-7</v>
      </c>
      <c r="AN52" s="49">
        <f t="shared" si="107"/>
        <v>1.599674637716507E-9</v>
      </c>
      <c r="AO52" s="49">
        <f t="shared" si="108"/>
        <v>7.8046730745021641E-7</v>
      </c>
      <c r="AP52" s="60">
        <f>IFERROR(AP17/$B52,".")</f>
        <v>5279.2566182462215</v>
      </c>
      <c r="AQ52" s="60">
        <f>IFERROR(AQ17,".")</f>
        <v>743.95058466259979</v>
      </c>
      <c r="AR52" s="60">
        <f>IFERROR(AR17/$B52,".")</f>
        <v>8928926.3120030034</v>
      </c>
      <c r="AS52" s="60">
        <f>IFERROR(AS17/$B52,".")</f>
        <v>12633.106032729356</v>
      </c>
      <c r="AT52" s="60">
        <f t="shared" si="40"/>
        <v>620.01469417867042</v>
      </c>
      <c r="AU52" s="71">
        <f>IFERROR(s_RadSpec!$I$17*AU17,".")*$B$52</f>
        <v>9.4710304149999996E-9</v>
      </c>
      <c r="AV52" s="71">
        <f>IFERROR(s_RadSpec!$F$17*AV17,".")</f>
        <v>6.7208764978222662E-8</v>
      </c>
      <c r="AW52" s="71">
        <f>IFERROR(s_RadSpec!$M$17*AW17,".")*$B$52</f>
        <v>5.5997774259583561E-12</v>
      </c>
      <c r="AX52" s="71">
        <f>s_b2w!AC52</f>
        <v>3.9594384684186562E-9</v>
      </c>
      <c r="AY52" s="49">
        <f t="shared" si="109"/>
        <v>9.4710304149999996E-9</v>
      </c>
      <c r="AZ52" s="49">
        <f t="shared" si="110"/>
        <v>6.7208764978222662E-8</v>
      </c>
      <c r="BA52" s="49">
        <f t="shared" si="113"/>
        <v>5.5997774259583561E-12</v>
      </c>
      <c r="BB52" s="49">
        <f t="shared" si="60"/>
        <v>3.9594384684186562E-9</v>
      </c>
      <c r="BC52" s="49">
        <f t="shared" si="61"/>
        <v>8.0644833639067282E-8</v>
      </c>
      <c r="BD52" s="60">
        <f>IFERROR(BD17/$B52,0)</f>
        <v>682.16348530010157</v>
      </c>
      <c r="BE52" s="71">
        <f>IFERROR(s_RadSpec!$H$17*BE17,".")*$B$52</f>
        <v>7.3296212825000017E-8</v>
      </c>
      <c r="BF52" s="49">
        <f t="shared" si="111"/>
        <v>7.3296212825000017E-8</v>
      </c>
    </row>
    <row r="53" spans="1:58" x14ac:dyDescent="0.25">
      <c r="A53" s="48" t="s">
        <v>1088</v>
      </c>
      <c r="B53" s="15">
        <v>2.0000000000000001E-4</v>
      </c>
      <c r="C53" s="249"/>
      <c r="D53" s="60">
        <f>IFERROR(D5/$B53,0)</f>
        <v>0</v>
      </c>
      <c r="E53" s="60">
        <f>IFERROR(E5/$B53,0)</f>
        <v>0</v>
      </c>
      <c r="F53" s="60">
        <f>IFERROR(F5/$B53,0)</f>
        <v>0</v>
      </c>
      <c r="G53" s="60">
        <f>IFERROR(G5/$B53,0)</f>
        <v>0</v>
      </c>
      <c r="H53" s="60">
        <f>IFERROR(H5/$B53,0)</f>
        <v>0</v>
      </c>
      <c r="I53" s="60">
        <f t="shared" si="112"/>
        <v>0</v>
      </c>
      <c r="J53" s="71">
        <f>IFERROR(s_RadSpec!$E$5*J5,".")*$B$53</f>
        <v>0</v>
      </c>
      <c r="K53" s="71">
        <f>IFERROR(s_RadSpec!$F$5*$K$5,".")*B53</f>
        <v>0</v>
      </c>
      <c r="L53" s="71">
        <f>IFERROR(s_RadSpec!$G$5*$L$5,".")*B53</f>
        <v>0</v>
      </c>
      <c r="M53" s="71">
        <f>s_b2s!AC53</f>
        <v>0</v>
      </c>
      <c r="N53" s="49">
        <f t="shared" si="97"/>
        <v>0</v>
      </c>
      <c r="O53" s="49">
        <f t="shared" si="98"/>
        <v>0</v>
      </c>
      <c r="P53" s="49">
        <f t="shared" si="99"/>
        <v>0</v>
      </c>
      <c r="Q53" s="49">
        <f t="shared" si="46"/>
        <v>0</v>
      </c>
      <c r="R53" s="49">
        <f t="shared" si="79"/>
        <v>0</v>
      </c>
      <c r="S53" s="60">
        <f>IFERROR(S5/$B53,0)</f>
        <v>0</v>
      </c>
      <c r="T53" s="60">
        <f>IFERROR(T5/$B53,0)</f>
        <v>0</v>
      </c>
      <c r="U53" s="60">
        <f>IFERROR(U5/$B53,0)</f>
        <v>0</v>
      </c>
      <c r="V53" s="60">
        <f>IFERROR(V5/$B53,0)</f>
        <v>0</v>
      </c>
      <c r="W53" s="60">
        <f>IFERROR(W5/$B53,0)</f>
        <v>0</v>
      </c>
      <c r="X53" s="71">
        <f>IFERROR(s_RadSpec!$G$5*$X$5,".")*$B$53</f>
        <v>0</v>
      </c>
      <c r="Y53" s="71">
        <f>IFERROR(s_RadSpec!$N$5*$Y$5,".")*$B$53</f>
        <v>0</v>
      </c>
      <c r="Z53" s="71">
        <f>IFERROR(s_RadSpec!$O$5*$Z$5,".")*$B$53</f>
        <v>0</v>
      </c>
      <c r="AA53" s="71">
        <f>IFERROR(s_RadSpec!$P$5*$AA$5,".")*$B$53</f>
        <v>0</v>
      </c>
      <c r="AB53" s="71">
        <f>IFERROR(s_RadSpec!$L$5*$AB$5,".")*$B$53</f>
        <v>0</v>
      </c>
      <c r="AC53" s="49">
        <f t="shared" si="100"/>
        <v>0</v>
      </c>
      <c r="AD53" s="49">
        <f t="shared" si="101"/>
        <v>0</v>
      </c>
      <c r="AE53" s="49">
        <f t="shared" si="102"/>
        <v>0</v>
      </c>
      <c r="AF53" s="49">
        <f t="shared" si="103"/>
        <v>0</v>
      </c>
      <c r="AG53" s="49">
        <f t="shared" si="104"/>
        <v>0</v>
      </c>
      <c r="AH53" s="60">
        <f>IFERROR(AH5/$B53,0)</f>
        <v>0</v>
      </c>
      <c r="AI53" s="60">
        <f>IFERROR(AI5/$B53,0)</f>
        <v>5166920729113.499</v>
      </c>
      <c r="AJ53" s="60">
        <f t="shared" si="105"/>
        <v>5166920729113.499</v>
      </c>
      <c r="AK53" s="71">
        <f>IFERROR(s_RadSpec!$F$5*AK5,".")*$B$53</f>
        <v>0</v>
      </c>
      <c r="AL53" s="71">
        <f>IFERROR(s_RadSpec!$K$5*$AL$5,".")*$B$53</f>
        <v>9.6769435068493164E-18</v>
      </c>
      <c r="AM53" s="49">
        <f t="shared" si="106"/>
        <v>0</v>
      </c>
      <c r="AN53" s="49">
        <f t="shared" si="107"/>
        <v>9.6769435068493164E-18</v>
      </c>
      <c r="AO53" s="49">
        <f t="shared" si="108"/>
        <v>9.6769435068493164E-18</v>
      </c>
      <c r="AP53" s="60" t="str">
        <f>IFERROR(AP5/$B53,".")</f>
        <v>.</v>
      </c>
      <c r="AQ53" s="60" t="str">
        <f>IFERROR(AQ5,".")</f>
        <v>.</v>
      </c>
      <c r="AR53" s="60">
        <f>IFERROR(AR5/$B53,".")</f>
        <v>1942008930076827.5</v>
      </c>
      <c r="AS53" s="60" t="str">
        <f>IFERROR(AS5/$B53,".")</f>
        <v>.</v>
      </c>
      <c r="AT53" s="60">
        <f t="shared" si="40"/>
        <v>1942008930076827.5</v>
      </c>
      <c r="AU53" s="71">
        <f>IFERROR(s_RadSpec!$I$5*AU5,".")*$B$53</f>
        <v>0</v>
      </c>
      <c r="AV53" s="71">
        <f>IFERROR(s_RadSpec!$F$5*AV5,".")</f>
        <v>0</v>
      </c>
      <c r="AW53" s="71">
        <f>IFERROR(s_RadSpec!$M$5*AW5,".")*$B$53</f>
        <v>2.5746534542465757E-20</v>
      </c>
      <c r="AX53" s="71">
        <f>s_b2w!AC53</f>
        <v>0</v>
      </c>
      <c r="AY53" s="49">
        <f t="shared" si="109"/>
        <v>0</v>
      </c>
      <c r="AZ53" s="49">
        <f t="shared" si="110"/>
        <v>0</v>
      </c>
      <c r="BA53" s="49">
        <f t="shared" si="113"/>
        <v>2.5746534542465757E-20</v>
      </c>
      <c r="BB53" s="49">
        <f t="shared" si="60"/>
        <v>0</v>
      </c>
      <c r="BC53" s="49">
        <f t="shared" si="61"/>
        <v>2.5746534542465757E-20</v>
      </c>
      <c r="BD53" s="60">
        <f>IFERROR(BD5/$B53,0)</f>
        <v>0</v>
      </c>
      <c r="BE53" s="71">
        <f>IFERROR(s_RadSpec!$H$5*BE5,".")*$B$53</f>
        <v>0</v>
      </c>
      <c r="BF53" s="49">
        <f t="shared" si="111"/>
        <v>0</v>
      </c>
    </row>
    <row r="54" spans="1:58" x14ac:dyDescent="0.25">
      <c r="A54" s="48" t="s">
        <v>1089</v>
      </c>
      <c r="B54" s="15">
        <v>0.99999979999999999</v>
      </c>
      <c r="C54" s="249"/>
      <c r="D54" s="60">
        <f>IFERROR(D9/$B54,0)</f>
        <v>409842.02642252657</v>
      </c>
      <c r="E54" s="60">
        <f>IFERROR(E9/$B54,0)</f>
        <v>24999938.537158351</v>
      </c>
      <c r="F54" s="60">
        <f>IFERROR(F9/$B54,0)</f>
        <v>9.8344716259059304</v>
      </c>
      <c r="G54" s="60">
        <f>IFERROR(G9/$B54,0)</f>
        <v>2744.7195473095426</v>
      </c>
      <c r="H54" s="60">
        <f>IFERROR(H9/$B54,0)</f>
        <v>311.52566861963311</v>
      </c>
      <c r="I54" s="60">
        <f>(IF(AND(D54&lt;&gt;0,E54&lt;&gt;0,F54&lt;&gt;0,G54&lt;&gt;0),1/((1/D54)+(1/E54)+(1/F54)+(1/G54)),IF(AND(D54&lt;&gt;0,E54&lt;&gt;0,F54&lt;&gt;0,G54=0), 1/((1/D54)+(1/E54)+(1/F54)),IF(AND(D54&lt;&gt;0,E54&lt;&gt;0,F54=0,G54&lt;&gt;0),1/((1/D54)+(1/E54)+(1/G54)),IF(AND(D54&lt;&gt;0,E54=0,F54&lt;&gt;0,G54&lt;&gt;0),1/((1/D54)+(1/F54)+(1/G54)),IF(AND(D54=0,E54&lt;&gt;0,F54&lt;&gt;0,G54&lt;&gt;0),1/((1/E54)+(1/F54)+(1/G54)),IF(AND(D54&lt;&gt;0,E54&lt;&gt;0,F54=0,G54=0),1/((1/D54)+(1/E54)),IF(AND(D54&lt;&gt;0,E54=0,F54&lt;&gt;0,G54=0),1/((1/D54)+(1/F54)),IF(AND(D54&lt;&gt;0,E54=0,F54=0,G54&lt;&gt;0),1/((1/D54)+(1/G54)),IF(AND(D54=0,E54=0,F54&lt;&gt;0,G54&lt;&gt;0),1/((1/F54)+(1/G54)),IF(AND(D54=0,E54&lt;&gt;0,F54=0,G54&lt;&gt;0),1/((1/E54)+(1/G54)),IF(AND(D54=0,E54&lt;&gt;0,F54&lt;&gt;0,G54=0),1/((1/E54)+(1/F54)),IF(AND(D54&lt;&gt;0,E54=0,F54=0,G54=0),1/((1/D54)),IF(AND(D54=0,E54&lt;&gt;0,F54=0,G54=0),1/((1/E54)),IF(AND(D54=0,E54=0,F54&lt;&gt;0,G54=0),1/((1/F54)),IF(AND(D54=0,E54=0,F54=0,G54&lt;&gt;0),1/((1/G54)),IF(AND(D54=0,E54=0,F54=0,G54=0),0)))))))))))))))))</f>
        <v>9.7991218749210116</v>
      </c>
      <c r="J54" s="71">
        <f>IFERROR(s_RadSpec!$E$9*J9,".")*$B$54</f>
        <v>1.2199822560035E-10</v>
      </c>
      <c r="K54" s="71">
        <f>IFERROR(s_RadSpec!$F$9*$K$9,".")*B54</f>
        <v>2.0000049170394206E-12</v>
      </c>
      <c r="L54" s="71">
        <f>IFERROR(s_RadSpec!$G$9*$L$9,".")*B54</f>
        <v>5.0841572279582546E-6</v>
      </c>
      <c r="M54" s="71">
        <f>s_b2s!AC54</f>
        <v>1.8216804718360947E-8</v>
      </c>
      <c r="N54" s="49">
        <f t="shared" si="97"/>
        <v>1.2199822560035E-10</v>
      </c>
      <c r="O54" s="49">
        <f t="shared" si="98"/>
        <v>2.0000049170394206E-12</v>
      </c>
      <c r="P54" s="49">
        <f t="shared" si="99"/>
        <v>5.0841572279582546E-6</v>
      </c>
      <c r="Q54" s="49">
        <f t="shared" si="46"/>
        <v>1.8216804718360947E-8</v>
      </c>
      <c r="R54" s="49">
        <f t="shared" si="79"/>
        <v>5.102498030907133E-6</v>
      </c>
      <c r="S54" s="60">
        <f>IFERROR(S9/$B54,0)</f>
        <v>9.8344716259059304</v>
      </c>
      <c r="T54" s="60">
        <f>IFERROR(T9/$B54,0)</f>
        <v>111.52924945825949</v>
      </c>
      <c r="U54" s="60">
        <f>IFERROR(U9/$B54,0)</f>
        <v>27.312085922235749</v>
      </c>
      <c r="V54" s="60">
        <f>IFERROR(V9/$B54,0)</f>
        <v>13.970553138988699</v>
      </c>
      <c r="W54" s="60">
        <f>IFERROR(W9/$B54,0)</f>
        <v>204.0147271095818</v>
      </c>
      <c r="X54" s="71">
        <f>IFERROR(s_RadSpec!$G$9*$X$9,".")*$B$54</f>
        <v>5.0841572279582546E-6</v>
      </c>
      <c r="Y54" s="71">
        <f>IFERROR(s_RadSpec!$N$9*$Y$9,".")*$B$54</f>
        <v>4.4831288870739519E-7</v>
      </c>
      <c r="Z54" s="71">
        <f>IFERROR(s_RadSpec!$O$9*$Z$9,".")*$B$54</f>
        <v>1.8306913702000772E-6</v>
      </c>
      <c r="AA54" s="71">
        <f>IFERROR(s_RadSpec!$P$9*$AA$9,".")*$B$54</f>
        <v>3.578956359319886E-6</v>
      </c>
      <c r="AB54" s="71">
        <f>IFERROR(s_RadSpec!$L$9*$AB$9,".")*$B$54</f>
        <v>2.4508034644549783E-7</v>
      </c>
      <c r="AC54" s="49">
        <f t="shared" si="100"/>
        <v>5.0841572279582546E-6</v>
      </c>
      <c r="AD54" s="49">
        <f t="shared" si="101"/>
        <v>4.4831288870739519E-7</v>
      </c>
      <c r="AE54" s="49">
        <f t="shared" si="102"/>
        <v>1.8306913702000772E-6</v>
      </c>
      <c r="AF54" s="49">
        <f t="shared" si="103"/>
        <v>3.578956359319886E-6</v>
      </c>
      <c r="AG54" s="49">
        <f t="shared" si="104"/>
        <v>2.4508034644549783E-7</v>
      </c>
      <c r="AH54" s="60">
        <f>IFERROR(AH9/$B54,0)</f>
        <v>80.696019165303966</v>
      </c>
      <c r="AI54" s="60">
        <f>IFERROR(AI9/$B54,0)</f>
        <v>4761.142566490169</v>
      </c>
      <c r="AJ54" s="60">
        <f t="shared" si="105"/>
        <v>79.351107022131899</v>
      </c>
      <c r="AK54" s="71">
        <f>IFERROR(s_RadSpec!$F$9*AK9,".")*$B$54</f>
        <v>6.1960925107812488E-7</v>
      </c>
      <c r="AL54" s="71">
        <f>IFERROR(s_RadSpec!$K$9*$AL$9,".")*$B$54</f>
        <v>1.050168090993737E-8</v>
      </c>
      <c r="AM54" s="49">
        <f t="shared" si="106"/>
        <v>6.1960925107812488E-7</v>
      </c>
      <c r="AN54" s="49">
        <f t="shared" si="107"/>
        <v>1.050168090993737E-8</v>
      </c>
      <c r="AO54" s="49">
        <f t="shared" si="108"/>
        <v>6.301109319880622E-7</v>
      </c>
      <c r="AP54" s="60">
        <f>IFERROR(AP9/$B54,".")</f>
        <v>9468.2194543470014</v>
      </c>
      <c r="AQ54" s="60">
        <f>IFERROR(AQ9,".")</f>
        <v>3170.4978003179385</v>
      </c>
      <c r="AR54" s="60">
        <f>IFERROR(AR9/$B54,".")</f>
        <v>1375067.8884066863</v>
      </c>
      <c r="AS54" s="60">
        <f>IFERROR(AS9/$B54,".")</f>
        <v>9868.7505487362396</v>
      </c>
      <c r="AT54" s="60">
        <f t="shared" si="40"/>
        <v>1911.7477991245289</v>
      </c>
      <c r="AU54" s="71">
        <f>IFERROR(s_RadSpec!$I$9*AU9,".")*$B$54</f>
        <v>5.2808239438350001E-9</v>
      </c>
      <c r="AV54" s="71">
        <f>IFERROR(s_RadSpec!$F$9*AV9,".")</f>
        <v>1.5770394161757811E-8</v>
      </c>
      <c r="AW54" s="71">
        <f>IFERROR(s_RadSpec!$M$9*AW9,".")*$B$54</f>
        <v>3.6361841056397453E-11</v>
      </c>
      <c r="AX54" s="71">
        <f>s_b2w!AC54</f>
        <v>5.0664995282922455E-9</v>
      </c>
      <c r="AY54" s="49">
        <f t="shared" si="109"/>
        <v>5.2808239438350001E-9</v>
      </c>
      <c r="AZ54" s="49">
        <f t="shared" si="110"/>
        <v>1.5770394161757811E-8</v>
      </c>
      <c r="BA54" s="49">
        <f t="shared" si="113"/>
        <v>3.6361841056397453E-11</v>
      </c>
      <c r="BB54" s="49">
        <f t="shared" si="60"/>
        <v>5.0664995282922455E-9</v>
      </c>
      <c r="BC54" s="49">
        <f t="shared" si="61"/>
        <v>2.6154079474941458E-8</v>
      </c>
      <c r="BD54" s="60">
        <f>IFERROR(BD9/$B54,0)</f>
        <v>1246.1026744785329</v>
      </c>
      <c r="BE54" s="71">
        <f>IFERROR(s_RadSpec!$H$9*BE9,".")*$B$54</f>
        <v>4.0125104474977501E-8</v>
      </c>
      <c r="BF54" s="49">
        <f t="shared" si="111"/>
        <v>4.0125104474977501E-8</v>
      </c>
    </row>
    <row r="55" spans="1:58" x14ac:dyDescent="0.25">
      <c r="A55" s="48" t="s">
        <v>1090</v>
      </c>
      <c r="B55" s="15">
        <v>1.9999999999999999E-7</v>
      </c>
      <c r="C55" s="249"/>
      <c r="D55" s="60">
        <f>IFERROR(D24/$B55,0)</f>
        <v>0</v>
      </c>
      <c r="E55" s="60">
        <f>IFERROR(E24/$B55,0)</f>
        <v>0</v>
      </c>
      <c r="F55" s="60">
        <f>IFERROR(F24/$B55,0)</f>
        <v>188216159954.27615</v>
      </c>
      <c r="G55" s="60">
        <f>IFERROR(G24/$B55,0)</f>
        <v>0</v>
      </c>
      <c r="H55" s="60">
        <f>IFERROR(H24/$B55,0)</f>
        <v>0</v>
      </c>
      <c r="I55" s="60">
        <f t="shared" si="112"/>
        <v>188216159954.27615</v>
      </c>
      <c r="J55" s="71">
        <f>IFERROR(s_RadSpec!$E$24*J24,".")*$B$55</f>
        <v>0</v>
      </c>
      <c r="K55" s="71">
        <f>IFERROR(s_RadSpec!$F$24*$K$24,".")*B55</f>
        <v>0</v>
      </c>
      <c r="L55" s="71">
        <f>IFERROR(s_RadSpec!$G$24*$L$24,".")*B55</f>
        <v>2.6565200359069395E-16</v>
      </c>
      <c r="M55" s="71">
        <f>s_b2s!AC55</f>
        <v>0</v>
      </c>
      <c r="N55" s="49">
        <f t="shared" si="97"/>
        <v>0</v>
      </c>
      <c r="O55" s="49">
        <f t="shared" si="98"/>
        <v>0</v>
      </c>
      <c r="P55" s="49">
        <f t="shared" si="99"/>
        <v>2.6565200359069395E-16</v>
      </c>
      <c r="Q55" s="49">
        <f t="shared" si="46"/>
        <v>0</v>
      </c>
      <c r="R55" s="49">
        <f t="shared" si="79"/>
        <v>2.6565200359069395E-16</v>
      </c>
      <c r="S55" s="60">
        <f>IFERROR(S24/$B55,0)</f>
        <v>188216159954.27615</v>
      </c>
      <c r="T55" s="60">
        <f>IFERROR(T24/$B55,0)</f>
        <v>1658163993718.4878</v>
      </c>
      <c r="U55" s="60">
        <f>IFERROR(U24/$B55,0)</f>
        <v>415902434000.08405</v>
      </c>
      <c r="V55" s="60">
        <f>IFERROR(V24/$B55,0)</f>
        <v>224412783477.64206</v>
      </c>
      <c r="W55" s="60">
        <f>IFERROR(W24/$B55,0)</f>
        <v>2821112292487.1548</v>
      </c>
      <c r="X55" s="71">
        <f>IFERROR(s_RadSpec!$G$24*$X$24,".")*$B$55</f>
        <v>2.6565200359069395E-16</v>
      </c>
      <c r="Y55" s="71">
        <f>IFERROR(s_RadSpec!$N$24*$Y$24,".")*$B$55</f>
        <v>3.0153832907608467E-17</v>
      </c>
      <c r="Z55" s="71">
        <f>IFERROR(s_RadSpec!$O$24*$Z$24,".")*$B$55</f>
        <v>1.2022050344622388E-16</v>
      </c>
      <c r="AA55" s="71">
        <f>IFERROR(s_RadSpec!$P$24*$AA$24,".")*$B$55</f>
        <v>2.2280370674597259E-16</v>
      </c>
      <c r="AB55" s="71">
        <f>IFERROR(s_RadSpec!$L$24*$AB$24,".")*$B$55</f>
        <v>1.7723505772228197E-17</v>
      </c>
      <c r="AC55" s="49">
        <f t="shared" si="100"/>
        <v>2.6565200359069395E-16</v>
      </c>
      <c r="AD55" s="49">
        <f t="shared" si="101"/>
        <v>3.0153832907608467E-17</v>
      </c>
      <c r="AE55" s="49">
        <f t="shared" si="102"/>
        <v>1.2022050344622388E-16</v>
      </c>
      <c r="AF55" s="49">
        <f t="shared" si="103"/>
        <v>2.2280370674597259E-16</v>
      </c>
      <c r="AG55" s="49">
        <f t="shared" si="104"/>
        <v>1.7723505772228197E-17</v>
      </c>
      <c r="AH55" s="60">
        <f>IFERROR(AH24/$B55,0)</f>
        <v>0</v>
      </c>
      <c r="AI55" s="60">
        <f>IFERROR(AI24/$B55,0)</f>
        <v>49965826830987.688</v>
      </c>
      <c r="AJ55" s="60">
        <f t="shared" si="105"/>
        <v>49965826830987.695</v>
      </c>
      <c r="AK55" s="71">
        <f>IFERROR(s_RadSpec!$F$24*AK24,".")*$B$55</f>
        <v>0</v>
      </c>
      <c r="AL55" s="71">
        <f>IFERROR(s_RadSpec!$K$24*$AL$24,".")*$B$55</f>
        <v>1.0006839308219179E-18</v>
      </c>
      <c r="AM55" s="49">
        <f t="shared" si="106"/>
        <v>0</v>
      </c>
      <c r="AN55" s="49">
        <f t="shared" si="107"/>
        <v>1.0006839308219179E-18</v>
      </c>
      <c r="AO55" s="49">
        <f t="shared" si="108"/>
        <v>1.0006839308219179E-18</v>
      </c>
      <c r="AP55" s="60" t="str">
        <f>IFERROR(AP24/$B55,".")</f>
        <v>.</v>
      </c>
      <c r="AQ55" s="60" t="str">
        <f>IFERROR(AQ24,".")</f>
        <v>.</v>
      </c>
      <c r="AR55" s="60">
        <f>IFERROR(AR24/$B55,".")</f>
        <v>1.4376760882019012E+16</v>
      </c>
      <c r="AS55" s="60" t="str">
        <f>IFERROR(AS24/$B55,".")</f>
        <v>.</v>
      </c>
      <c r="AT55" s="60">
        <f t="shared" si="40"/>
        <v>1.4376760882019012E+16</v>
      </c>
      <c r="AU55" s="71">
        <f>IFERROR(s_RadSpec!$I$24*AU24,".")*$B$55</f>
        <v>0</v>
      </c>
      <c r="AV55" s="71">
        <f>IFERROR(s_RadSpec!$F$24*AV24,".")</f>
        <v>0</v>
      </c>
      <c r="AW55" s="71">
        <f>IFERROR(s_RadSpec!$M$24*AW24,".")*$B$55</f>
        <v>3.4778348482191779E-21</v>
      </c>
      <c r="AX55" s="71">
        <f>s_b2w!AC55</f>
        <v>0</v>
      </c>
      <c r="AY55" s="49">
        <f t="shared" si="109"/>
        <v>0</v>
      </c>
      <c r="AZ55" s="49">
        <f t="shared" si="110"/>
        <v>0</v>
      </c>
      <c r="BA55" s="49">
        <f t="shared" si="113"/>
        <v>3.4778348482191779E-21</v>
      </c>
      <c r="BB55" s="49">
        <f t="shared" si="60"/>
        <v>0</v>
      </c>
      <c r="BC55" s="49">
        <f t="shared" si="61"/>
        <v>3.4778348482191779E-21</v>
      </c>
      <c r="BD55" s="60">
        <f>IFERROR(BD24/$B55,0)</f>
        <v>0</v>
      </c>
      <c r="BE55" s="71">
        <f>IFERROR(s_RadSpec!$H$24*BE24,".")*$B$55</f>
        <v>0</v>
      </c>
      <c r="BF55" s="49">
        <f t="shared" si="111"/>
        <v>0</v>
      </c>
    </row>
    <row r="56" spans="1:58" x14ac:dyDescent="0.25">
      <c r="A56" s="48" t="s">
        <v>1091</v>
      </c>
      <c r="B56" s="15">
        <v>0.99979000004200003</v>
      </c>
      <c r="C56" s="249"/>
      <c r="D56" s="60">
        <f>IFERROR(D20/$B56,0)</f>
        <v>0</v>
      </c>
      <c r="E56" s="60">
        <f>IFERROR(E20/$B56,0)</f>
        <v>0</v>
      </c>
      <c r="F56" s="60">
        <f>IFERROR(F20/$B56,0)</f>
        <v>259143.33390734077</v>
      </c>
      <c r="G56" s="60">
        <f>IFERROR(G20/$B56,0)</f>
        <v>0</v>
      </c>
      <c r="H56" s="60">
        <f>IFERROR(H20/$B56,0)</f>
        <v>0</v>
      </c>
      <c r="I56" s="60">
        <f t="shared" si="112"/>
        <v>259143.33390734077</v>
      </c>
      <c r="J56" s="71">
        <f>IFERROR(s_RadSpec!$E$20*J20,".")*$B$56</f>
        <v>0</v>
      </c>
      <c r="K56" s="71">
        <f>IFERROR(s_RadSpec!$F$20*$K$20,".")*B56</f>
        <v>0</v>
      </c>
      <c r="L56" s="71">
        <f>IFERROR(s_RadSpec!$G$20*$L$20,".")*B56</f>
        <v>1.9294341570012368E-10</v>
      </c>
      <c r="M56" s="71">
        <f>s_b2s!AC56</f>
        <v>0</v>
      </c>
      <c r="N56" s="49">
        <f t="shared" si="97"/>
        <v>0</v>
      </c>
      <c r="O56" s="49">
        <f t="shared" si="98"/>
        <v>0</v>
      </c>
      <c r="P56" s="49">
        <f t="shared" si="99"/>
        <v>1.9294341570012368E-10</v>
      </c>
      <c r="Q56" s="49">
        <f t="shared" si="46"/>
        <v>0</v>
      </c>
      <c r="R56" s="49">
        <f t="shared" si="79"/>
        <v>1.9294341570012368E-10</v>
      </c>
      <c r="S56" s="60">
        <f>IFERROR(S20/$B56,0)</f>
        <v>259143.33390734077</v>
      </c>
      <c r="T56" s="60">
        <f>IFERROR(T20/$B56,0)</f>
        <v>2583459.1803574152</v>
      </c>
      <c r="U56" s="60">
        <f>IFERROR(U20/$B56,0)</f>
        <v>641302.4392815032</v>
      </c>
      <c r="V56" s="60">
        <f>IFERROR(V20/$B56,0)</f>
        <v>342842.89518658351</v>
      </c>
      <c r="W56" s="60">
        <f>IFERROR(W20/$B56,0)</f>
        <v>4518397.8611364355</v>
      </c>
      <c r="X56" s="71">
        <f>IFERROR(s_RadSpec!$G$20*$X$20,".")*$B$56</f>
        <v>1.9294341570012368E-10</v>
      </c>
      <c r="Y56" s="71">
        <f>IFERROR(s_RadSpec!$N$20*$Y$20,".")*$B$56</f>
        <v>1.9353895885083281E-11</v>
      </c>
      <c r="Z56" s="71">
        <f>IFERROR(s_RadSpec!$O$20*$Z$20,".")*$B$56</f>
        <v>7.7966333725501749E-11</v>
      </c>
      <c r="AA56" s="71">
        <f>IFERROR(s_RadSpec!$P$20*$AA$20,".")*$B$56</f>
        <v>1.4583939379227557E-10</v>
      </c>
      <c r="AB56" s="71">
        <f>IFERROR(s_RadSpec!$L$20*$AB$20,".")*$B$56</f>
        <v>1.1065869260885398E-11</v>
      </c>
      <c r="AC56" s="49">
        <f t="shared" si="100"/>
        <v>1.9294341570012368E-10</v>
      </c>
      <c r="AD56" s="49">
        <f t="shared" si="101"/>
        <v>1.9353895885083281E-11</v>
      </c>
      <c r="AE56" s="49">
        <f t="shared" si="102"/>
        <v>7.7966333725501749E-11</v>
      </c>
      <c r="AF56" s="49">
        <f t="shared" si="103"/>
        <v>1.4583939379227557E-10</v>
      </c>
      <c r="AG56" s="49">
        <f t="shared" si="104"/>
        <v>1.1065869260885398E-11</v>
      </c>
      <c r="AH56" s="60">
        <f>IFERROR(AH20/$B56,0)</f>
        <v>0</v>
      </c>
      <c r="AI56" s="60">
        <f>IFERROR(AI20/$B56,0)</f>
        <v>89173437.038030326</v>
      </c>
      <c r="AJ56" s="60">
        <f t="shared" si="105"/>
        <v>89173437.038030326</v>
      </c>
      <c r="AK56" s="71">
        <f>IFERROR(s_RadSpec!$F$20*AK20,".")*$B$56</f>
        <v>0</v>
      </c>
      <c r="AL56" s="71">
        <f>IFERROR(s_RadSpec!$K$20*$AL$20,".")*$B$56</f>
        <v>5.6070508955123276E-13</v>
      </c>
      <c r="AM56" s="49">
        <f t="shared" si="106"/>
        <v>0</v>
      </c>
      <c r="AN56" s="49">
        <f t="shared" si="107"/>
        <v>5.6070508955123276E-13</v>
      </c>
      <c r="AO56" s="49">
        <f t="shared" si="108"/>
        <v>5.6070508955123276E-13</v>
      </c>
      <c r="AP56" s="60" t="str">
        <f>IFERROR(AP20/$B56,".")</f>
        <v>.</v>
      </c>
      <c r="AQ56" s="60" t="str">
        <f>IFERROR(AQ20,".")</f>
        <v>.</v>
      </c>
      <c r="AR56" s="60">
        <f>IFERROR(AR20/$B56,".")</f>
        <v>25723106837.893364</v>
      </c>
      <c r="AS56" s="60" t="str">
        <f>IFERROR(AS20/$B56,".")</f>
        <v>.</v>
      </c>
      <c r="AT56" s="60">
        <f t="shared" si="40"/>
        <v>25723106837.893364</v>
      </c>
      <c r="AU56" s="71">
        <f>IFERROR(s_RadSpec!$I$20*AU20,".")*$B$56</f>
        <v>0</v>
      </c>
      <c r="AV56" s="71">
        <f>IFERROR(s_RadSpec!$F$20*AV20,".")</f>
        <v>0</v>
      </c>
      <c r="AW56" s="71">
        <f>IFERROR(s_RadSpec!$M$20*AW20,".")*$B$56</f>
        <v>1.9437776437776062E-15</v>
      </c>
      <c r="AX56" s="71">
        <f>s_b2w!AC56</f>
        <v>0</v>
      </c>
      <c r="AY56" s="49">
        <f t="shared" si="109"/>
        <v>0</v>
      </c>
      <c r="AZ56" s="49">
        <f t="shared" si="110"/>
        <v>0</v>
      </c>
      <c r="BA56" s="49">
        <f t="shared" si="113"/>
        <v>1.9437776437776062E-15</v>
      </c>
      <c r="BB56" s="49">
        <f t="shared" si="60"/>
        <v>0</v>
      </c>
      <c r="BC56" s="49">
        <f t="shared" si="61"/>
        <v>1.9437776437776062E-15</v>
      </c>
      <c r="BD56" s="60">
        <f>IFERROR(BD20/$B56,0)</f>
        <v>0</v>
      </c>
      <c r="BE56" s="71">
        <f>IFERROR(s_RadSpec!$H$20*BE20,".")*$B$56</f>
        <v>0</v>
      </c>
      <c r="BF56" s="49">
        <f t="shared" si="111"/>
        <v>0</v>
      </c>
    </row>
    <row r="57" spans="1:58" x14ac:dyDescent="0.25">
      <c r="A57" s="48" t="s">
        <v>1092</v>
      </c>
      <c r="B57" s="15">
        <v>2.0999995799999999E-4</v>
      </c>
      <c r="C57" s="249"/>
      <c r="D57" s="60">
        <f>IFERROR(D29/$B57,0)</f>
        <v>0</v>
      </c>
      <c r="E57" s="60">
        <f>IFERROR(E29/$B57,0)</f>
        <v>0</v>
      </c>
      <c r="F57" s="60">
        <f>IFERROR(F29/$B57,0)</f>
        <v>27864.319920547932</v>
      </c>
      <c r="G57" s="60">
        <f>IFERROR(G29/$B57,0)</f>
        <v>0</v>
      </c>
      <c r="H57" s="60">
        <f>IFERROR(H29/$B57,0)</f>
        <v>0</v>
      </c>
      <c r="I57" s="60">
        <f t="shared" si="112"/>
        <v>27864.319920547932</v>
      </c>
      <c r="J57" s="71">
        <f>IFERROR(s_RadSpec!$E$29*J29,".")*$B$57</f>
        <v>0</v>
      </c>
      <c r="K57" s="71">
        <f>IFERROR(s_RadSpec!$F$29*$K$29,".")*B57</f>
        <v>0</v>
      </c>
      <c r="L57" s="71">
        <f>IFERROR(s_RadSpec!$G$29*$L$29,".")*B57</f>
        <v>1.7944094864891572E-9</v>
      </c>
      <c r="M57" s="71">
        <f>s_b2s!AC57</f>
        <v>0</v>
      </c>
      <c r="N57" s="49">
        <f t="shared" si="97"/>
        <v>0</v>
      </c>
      <c r="O57" s="49">
        <f t="shared" si="98"/>
        <v>0</v>
      </c>
      <c r="P57" s="49">
        <f t="shared" si="99"/>
        <v>1.7944094864891572E-9</v>
      </c>
      <c r="Q57" s="49">
        <f t="shared" si="46"/>
        <v>0</v>
      </c>
      <c r="R57" s="49">
        <f t="shared" si="79"/>
        <v>1.7944094864891572E-9</v>
      </c>
      <c r="S57" s="60">
        <f>IFERROR(S29/$B57,0)</f>
        <v>27864.319920547932</v>
      </c>
      <c r="T57" s="60">
        <f>IFERROR(T29/$B57,0)</f>
        <v>300482.30843059567</v>
      </c>
      <c r="U57" s="60">
        <f>IFERROR(U29/$B57,0)</f>
        <v>74725.166322809906</v>
      </c>
      <c r="V57" s="60">
        <f>IFERROR(V29/$B57,0)</f>
        <v>39712.48421789641</v>
      </c>
      <c r="W57" s="60">
        <f>IFERROR(W29/$B57,0)</f>
        <v>557380.98840322043</v>
      </c>
      <c r="X57" s="71">
        <f>IFERROR(s_RadSpec!$G$29*$X$29,".")*$B$57</f>
        <v>1.7944094864891572E-9</v>
      </c>
      <c r="Y57" s="71">
        <f>IFERROR(s_RadSpec!$N$29*$Y$29,".")*$B$57</f>
        <v>1.6639914762751774E-10</v>
      </c>
      <c r="Z57" s="71">
        <f>IFERROR(s_RadSpec!$O$29*$Z$29,".")*$B$57</f>
        <v>6.6911861773584921E-10</v>
      </c>
      <c r="AA57" s="71">
        <f>IFERROR(s_RadSpec!$P$29*$AA$29,".")*$B$57</f>
        <v>1.2590499180473711E-9</v>
      </c>
      <c r="AB57" s="71">
        <f>IFERROR(s_RadSpec!$L$29*$AB$29,".")*$B$57</f>
        <v>8.9705248367439861E-11</v>
      </c>
      <c r="AC57" s="49">
        <f t="shared" si="100"/>
        <v>1.7944094864891572E-9</v>
      </c>
      <c r="AD57" s="49">
        <f t="shared" si="101"/>
        <v>1.6639914762751774E-10</v>
      </c>
      <c r="AE57" s="49">
        <f t="shared" si="102"/>
        <v>6.6911861773584921E-10</v>
      </c>
      <c r="AF57" s="49">
        <f t="shared" si="103"/>
        <v>1.2590499180473711E-9</v>
      </c>
      <c r="AG57" s="49">
        <f t="shared" si="104"/>
        <v>8.9705248367439861E-11</v>
      </c>
      <c r="AH57" s="60">
        <f>IFERROR(AH29/$B57,0)</f>
        <v>0</v>
      </c>
      <c r="AI57" s="60">
        <f>IFERROR(AI29/$B57,0)</f>
        <v>12255771.296490857</v>
      </c>
      <c r="AJ57" s="60">
        <f t="shared" si="105"/>
        <v>12255771.296490857</v>
      </c>
      <c r="AK57" s="71">
        <f>IFERROR(s_RadSpec!$F$29*AK29,".")*$B$57</f>
        <v>0</v>
      </c>
      <c r="AL57" s="71">
        <f>IFERROR(s_RadSpec!$K$29*$AL$29,".")*$B$57</f>
        <v>4.0797105943316913E-12</v>
      </c>
      <c r="AM57" s="49">
        <f t="shared" si="106"/>
        <v>0</v>
      </c>
      <c r="AN57" s="49">
        <f t="shared" si="107"/>
        <v>4.0797105943316913E-12</v>
      </c>
      <c r="AO57" s="49">
        <f t="shared" si="108"/>
        <v>4.0797105943316913E-12</v>
      </c>
      <c r="AP57" s="60" t="str">
        <f>IFERROR(AP29/$B57,".")</f>
        <v>.</v>
      </c>
      <c r="AQ57" s="60" t="str">
        <f>IFERROR(AQ29,".")</f>
        <v>.</v>
      </c>
      <c r="AR57" s="60">
        <f>IFERROR(AR29/$B57,".")</f>
        <v>3530194993.0109549</v>
      </c>
      <c r="AS57" s="60" t="str">
        <f>IFERROR(AS29/$B57,".")</f>
        <v>.</v>
      </c>
      <c r="AT57" s="60">
        <f t="shared" si="40"/>
        <v>3530194993.0109553</v>
      </c>
      <c r="AU57" s="71">
        <f>IFERROR(s_RadSpec!$I$29*AU29,".")*$B$57</f>
        <v>0</v>
      </c>
      <c r="AV57" s="71">
        <f>IFERROR(s_RadSpec!$F$29*AV29,".")</f>
        <v>0</v>
      </c>
      <c r="AW57" s="71">
        <f>IFERROR(s_RadSpec!$M$29*AW29,".")*$B$57</f>
        <v>1.4163523572774169E-14</v>
      </c>
      <c r="AX57" s="71">
        <f>s_b2w!AC57</f>
        <v>0</v>
      </c>
      <c r="AY57" s="49">
        <f t="shared" si="109"/>
        <v>0</v>
      </c>
      <c r="AZ57" s="49">
        <f t="shared" si="110"/>
        <v>0</v>
      </c>
      <c r="BA57" s="49">
        <f t="shared" si="113"/>
        <v>1.4163523572774169E-14</v>
      </c>
      <c r="BB57" s="49">
        <f t="shared" si="60"/>
        <v>0</v>
      </c>
      <c r="BC57" s="49">
        <f t="shared" si="61"/>
        <v>1.4163523572774169E-14</v>
      </c>
      <c r="BD57" s="60">
        <f>IFERROR(BD29/$B57,0)</f>
        <v>0</v>
      </c>
      <c r="BE57" s="71">
        <f>IFERROR(s_RadSpec!$H$29*BE29,".")*$B$57</f>
        <v>0</v>
      </c>
      <c r="BF57" s="49">
        <f t="shared" si="111"/>
        <v>0</v>
      </c>
    </row>
    <row r="58" spans="1:58" x14ac:dyDescent="0.25">
      <c r="A58" s="48" t="s">
        <v>1093</v>
      </c>
      <c r="B58" s="15">
        <v>1</v>
      </c>
      <c r="C58" s="249"/>
      <c r="D58" s="60">
        <f>IFERROR(D16/$B58,0)</f>
        <v>96.277525744610386</v>
      </c>
      <c r="E58" s="60">
        <f>IFERROR(E16/$B58,0)</f>
        <v>97334.838568458756</v>
      </c>
      <c r="F58" s="60">
        <f>IFERROR(F16/$B58,0)</f>
        <v>1432910220.5237269</v>
      </c>
      <c r="G58" s="60">
        <f>IFERROR(G16/$B58,0)</f>
        <v>3.1117602153716586</v>
      </c>
      <c r="H58" s="60">
        <f>IFERROR(H16/$B58,0)</f>
        <v>7.0240207461476759E-2</v>
      </c>
      <c r="I58" s="60">
        <f t="shared" si="112"/>
        <v>3.0142413542211357</v>
      </c>
      <c r="J58" s="71">
        <f>IFERROR(s_RadSpec!$E$16*J16,".")*$B$58</f>
        <v>5.1933199999999998E-7</v>
      </c>
      <c r="K58" s="71">
        <f>IFERROR(s_RadSpec!$F$16*$K$16,".")*B58</f>
        <v>5.1369068604180582E-10</v>
      </c>
      <c r="L58" s="71">
        <f>IFERROR(s_RadSpec!$G$16*$L$16,".")*B58</f>
        <v>3.4894021470322872E-14</v>
      </c>
      <c r="M58" s="71">
        <f>s_b2s!AC58</f>
        <v>1.6068076117500001E-5</v>
      </c>
      <c r="N58" s="49">
        <f t="shared" si="97"/>
        <v>5.1933199999999998E-7</v>
      </c>
      <c r="O58" s="49">
        <f t="shared" si="98"/>
        <v>5.1369068604180582E-10</v>
      </c>
      <c r="P58" s="49">
        <f t="shared" si="99"/>
        <v>3.4894021470322872E-14</v>
      </c>
      <c r="Q58" s="49">
        <f t="shared" si="46"/>
        <v>1.6068076117500001E-5</v>
      </c>
      <c r="R58" s="49">
        <f t="shared" si="79"/>
        <v>1.6587921843080063E-5</v>
      </c>
      <c r="S58" s="60">
        <f>IFERROR(S16/$B58,0)</f>
        <v>1432910220.5237269</v>
      </c>
      <c r="T58" s="60">
        <f>IFERROR(T16/$B58,0)</f>
        <v>3971806619.7262816</v>
      </c>
      <c r="U58" s="60">
        <f>IFERROR(U16/$B58,0)</f>
        <v>1550154964.3209972</v>
      </c>
      <c r="V58" s="60">
        <f>IFERROR(V16/$B58,0)</f>
        <v>1540987892.4140182</v>
      </c>
      <c r="W58" s="60">
        <f>IFERROR(W16/$B58,0)</f>
        <v>51552043555.780952</v>
      </c>
      <c r="X58" s="71">
        <f>IFERROR(s_RadSpec!$G$16*$X$16,".")*$B$58</f>
        <v>3.4894021470322872E-14</v>
      </c>
      <c r="Y58" s="71">
        <f>IFERROR(s_RadSpec!$N$16*$Y$16,".")*$B$58</f>
        <v>1.2588729710976152E-14</v>
      </c>
      <c r="Z58" s="71">
        <f>IFERROR(s_RadSpec!$O$16*$Z$16,".")*$B$58</f>
        <v>3.225483977461642E-14</v>
      </c>
      <c r="AA58" s="71">
        <f>IFERROR(s_RadSpec!$P$16*$AA$16,".")*$B$58</f>
        <v>3.244671826828765E-14</v>
      </c>
      <c r="AB58" s="71">
        <f>IFERROR(s_RadSpec!$L$16*$AB$16,".")*$B$58</f>
        <v>9.6989365602739706E-16</v>
      </c>
      <c r="AC58" s="49">
        <f t="shared" si="100"/>
        <v>3.4894021470322872E-14</v>
      </c>
      <c r="AD58" s="49">
        <f t="shared" si="101"/>
        <v>1.2588729710976152E-14</v>
      </c>
      <c r="AE58" s="49">
        <f t="shared" si="102"/>
        <v>3.225483977461642E-14</v>
      </c>
      <c r="AF58" s="49">
        <f t="shared" si="103"/>
        <v>3.244671826828765E-14</v>
      </c>
      <c r="AG58" s="49">
        <f t="shared" si="104"/>
        <v>9.6989365602739706E-16</v>
      </c>
      <c r="AH58" s="60">
        <f>IFERROR(AH16/$B58,0)</f>
        <v>0.31418213236395059</v>
      </c>
      <c r="AI58" s="60">
        <f>IFERROR(AI16/$B58,0)</f>
        <v>8095353.5459107636</v>
      </c>
      <c r="AJ58" s="60">
        <f t="shared" si="105"/>
        <v>0.3141821201704858</v>
      </c>
      <c r="AK58" s="71">
        <f>IFERROR(s_RadSpec!$F$16*AK16,".")*$B$58</f>
        <v>1.5914335937499999E-4</v>
      </c>
      <c r="AL58" s="71">
        <f>IFERROR(s_RadSpec!$K$16*$AL$16,".")*$B$58</f>
        <v>6.1763825034246576E-12</v>
      </c>
      <c r="AM58" s="49">
        <f t="shared" si="106"/>
        <v>1.5914335937499999E-4</v>
      </c>
      <c r="AN58" s="49">
        <f t="shared" si="107"/>
        <v>6.1763825034246576E-12</v>
      </c>
      <c r="AO58" s="49">
        <f t="shared" si="108"/>
        <v>1.591433655513825E-4</v>
      </c>
      <c r="AP58" s="60">
        <f>IFERROR(AP16/$B58,".")</f>
        <v>2.0560690016756964</v>
      </c>
      <c r="AQ58" s="60" t="str">
        <f>IFERROR(AQ16,".")</f>
        <v>.</v>
      </c>
      <c r="AR58" s="60">
        <f>IFERROR(AR16/$B58,".")</f>
        <v>2191624473.7885022</v>
      </c>
      <c r="AS58" s="60">
        <f>IFERROR(AS16/$B58,".")</f>
        <v>5.2031632166965034</v>
      </c>
      <c r="AT58" s="60">
        <f t="shared" si="40"/>
        <v>1.4737181938111472</v>
      </c>
      <c r="AU58" s="71">
        <f>IFERROR(s_RadSpec!$I$16*AU16,".")*$B$58</f>
        <v>2.431825E-5</v>
      </c>
      <c r="AV58" s="71">
        <f>IFERROR(s_RadSpec!$F$16*AV16,".")</f>
        <v>0</v>
      </c>
      <c r="AW58" s="71">
        <f>IFERROR(s_RadSpec!$M$16*AW16,".")*$B$58</f>
        <v>2.2814127419178081E-14</v>
      </c>
      <c r="AX58" s="71">
        <f>s_b2w!AC58</f>
        <v>9.609539028019396E-6</v>
      </c>
      <c r="AY58" s="49">
        <f t="shared" si="109"/>
        <v>2.431825E-5</v>
      </c>
      <c r="AZ58" s="49">
        <f t="shared" si="110"/>
        <v>0</v>
      </c>
      <c r="BA58" s="49">
        <f t="shared" si="113"/>
        <v>2.2814127419178081E-14</v>
      </c>
      <c r="BB58" s="49">
        <f t="shared" si="60"/>
        <v>9.609539028019396E-6</v>
      </c>
      <c r="BC58" s="49">
        <f t="shared" si="61"/>
        <v>3.3927789050833524E-5</v>
      </c>
      <c r="BD58" s="60">
        <f>IFERROR(BD16/$B58,0)</f>
        <v>0.28096082984590703</v>
      </c>
      <c r="BE58" s="71">
        <f>IFERROR(s_RadSpec!$H$16*BE16,".")*$B$58</f>
        <v>1.7796075E-4</v>
      </c>
      <c r="BF58" s="49">
        <f t="shared" si="111"/>
        <v>1.7796075E-4</v>
      </c>
    </row>
    <row r="59" spans="1:58" x14ac:dyDescent="0.25">
      <c r="A59" s="48" t="s">
        <v>1094</v>
      </c>
      <c r="B59" s="15">
        <v>1</v>
      </c>
      <c r="C59" s="249"/>
      <c r="D59" s="60">
        <f>IFERROR(D7/$B59,0)</f>
        <v>6883.3238744991095</v>
      </c>
      <c r="E59" s="60">
        <f>IFERROR(E7/$B59,0)</f>
        <v>3394849.2476316104</v>
      </c>
      <c r="F59" s="60">
        <f>IFERROR(F7/$B59,0)</f>
        <v>92191.610738440344</v>
      </c>
      <c r="G59" s="60">
        <f>IFERROR(G7/$B59,0)</f>
        <v>55.908054597390894</v>
      </c>
      <c r="H59" s="60">
        <f>IFERROR(H7/$B59,0)</f>
        <v>6.345564196803867</v>
      </c>
      <c r="I59" s="60">
        <f t="shared" si="112"/>
        <v>55.423369010464796</v>
      </c>
      <c r="J59" s="71">
        <f>IFERROR(s_RadSpec!$E$7*J7,".")*$B$59</f>
        <v>7.2639324999999997E-9</v>
      </c>
      <c r="K59" s="71">
        <f>IFERROR(s_RadSpec!$F$7*$K$7,".")*B59</f>
        <v>1.4728194494904925E-11</v>
      </c>
      <c r="L59" s="71">
        <f>IFERROR(s_RadSpec!$G$7*$L$7,".")*B59</f>
        <v>5.4234869745205499E-10</v>
      </c>
      <c r="M59" s="71">
        <f>s_b2s!AC59</f>
        <v>8.9432551999999999E-7</v>
      </c>
      <c r="N59" s="49">
        <f t="shared" si="97"/>
        <v>7.2639324999999997E-9</v>
      </c>
      <c r="O59" s="49">
        <f t="shared" si="98"/>
        <v>1.4728194494904925E-11</v>
      </c>
      <c r="P59" s="49">
        <f t="shared" si="99"/>
        <v>5.4234869745205499E-10</v>
      </c>
      <c r="Q59" s="49">
        <f t="shared" si="46"/>
        <v>8.9432551999999999E-7</v>
      </c>
      <c r="R59" s="49">
        <f t="shared" si="79"/>
        <v>9.0214652939194694E-7</v>
      </c>
      <c r="S59" s="60">
        <f>IFERROR(S7/$B59,0)</f>
        <v>92191.610738440344</v>
      </c>
      <c r="T59" s="60">
        <f>IFERROR(T7/$B59,0)</f>
        <v>425143.38901385647</v>
      </c>
      <c r="U59" s="60">
        <f>IFERROR(U7/$B59,0)</f>
        <v>144692.94992701543</v>
      </c>
      <c r="V59" s="60">
        <f>IFERROR(V7/$B59,0)</f>
        <v>101853.01908357482</v>
      </c>
      <c r="W59" s="60">
        <f>IFERROR(W7/$B59,0)</f>
        <v>144030.79331160581</v>
      </c>
      <c r="X59" s="71">
        <f>IFERROR(s_RadSpec!$G$7*$X$7,".")*$B$59</f>
        <v>5.4234869745205499E-10</v>
      </c>
      <c r="Y59" s="71">
        <f>IFERROR(s_RadSpec!$N$7*$Y$7,".")*$B$59</f>
        <v>1.1760737975010681E-10</v>
      </c>
      <c r="Z59" s="71">
        <f>IFERROR(s_RadSpec!$O$7*$Z$7,".")*$B$59</f>
        <v>3.455593380687898E-10</v>
      </c>
      <c r="AA59" s="71">
        <f>IFERROR(s_RadSpec!$P$7*$AA$7,".")*$B$59</f>
        <v>4.9090346510958919E-10</v>
      </c>
      <c r="AB59" s="71">
        <f>IFERROR(s_RadSpec!$L$7*$AB$7,".")*$B$59</f>
        <v>3.4714798724899516E-10</v>
      </c>
      <c r="AC59" s="49">
        <f t="shared" si="100"/>
        <v>5.4234869745205499E-10</v>
      </c>
      <c r="AD59" s="49">
        <f t="shared" si="101"/>
        <v>1.1760737975010681E-10</v>
      </c>
      <c r="AE59" s="49">
        <f t="shared" si="102"/>
        <v>3.455593380687898E-10</v>
      </c>
      <c r="AF59" s="49">
        <f t="shared" si="103"/>
        <v>4.9090346510958919E-10</v>
      </c>
      <c r="AG59" s="49">
        <f t="shared" si="104"/>
        <v>3.4714798724899516E-10</v>
      </c>
      <c r="AH59" s="60">
        <f>IFERROR(AH7/$B59,0)</f>
        <v>10.958059738547544</v>
      </c>
      <c r="AI59" s="60">
        <f>IFERROR(AI7/$B59,0)</f>
        <v>6022371.1809534831</v>
      </c>
      <c r="AJ59" s="60">
        <f t="shared" si="105"/>
        <v>10.958039799747503</v>
      </c>
      <c r="AK59" s="71">
        <f>IFERROR(s_RadSpec!$F$7*AK7,".")*$B$59</f>
        <v>4.5628515624999995E-6</v>
      </c>
      <c r="AL59" s="71">
        <f>IFERROR(s_RadSpec!$K$7*$AL$7,".")*$B$59</f>
        <v>8.3023776678082202E-12</v>
      </c>
      <c r="AM59" s="49">
        <f t="shared" si="106"/>
        <v>4.5628515624999995E-6</v>
      </c>
      <c r="AN59" s="49">
        <f t="shared" si="107"/>
        <v>8.3023776678082202E-12</v>
      </c>
      <c r="AO59" s="49">
        <f t="shared" si="108"/>
        <v>4.5628598648776677E-6</v>
      </c>
      <c r="AP59" s="60">
        <f>IFERROR(AP7/$B59,".")</f>
        <v>203.90061883837819</v>
      </c>
      <c r="AQ59" s="60" t="str">
        <f>IFERROR(AQ7,".")</f>
        <v>.</v>
      </c>
      <c r="AR59" s="60">
        <f>IFERROR(AR7/$B59,".")</f>
        <v>2544901254.6379924</v>
      </c>
      <c r="AS59" s="60">
        <f>IFERROR(AS7/$B59,".")</f>
        <v>201.01967978025729</v>
      </c>
      <c r="AT59" s="60">
        <f t="shared" si="40"/>
        <v>101.22494628052068</v>
      </c>
      <c r="AU59" s="71">
        <f>IFERROR(s_RadSpec!$I$7*AU7,".")*$B$59</f>
        <v>2.4521750000000001E-7</v>
      </c>
      <c r="AV59" s="71">
        <f>IFERROR(s_RadSpec!$F$7*AV7,".")</f>
        <v>0</v>
      </c>
      <c r="AW59" s="71">
        <f>IFERROR(s_RadSpec!$M$7*AW7,".")*$B$59</f>
        <v>1.9647127726027396E-14</v>
      </c>
      <c r="AX59" s="71">
        <f>s_b2w!AC59</f>
        <v>2.4873186572905208E-7</v>
      </c>
      <c r="AY59" s="49">
        <f t="shared" si="109"/>
        <v>2.4521750000000001E-7</v>
      </c>
      <c r="AZ59" s="49">
        <f t="shared" si="110"/>
        <v>0</v>
      </c>
      <c r="BA59" s="49">
        <f t="shared" si="113"/>
        <v>1.9647127726027396E-14</v>
      </c>
      <c r="BB59" s="49">
        <f t="shared" si="60"/>
        <v>2.4873186572905208E-7</v>
      </c>
      <c r="BC59" s="49">
        <f t="shared" si="61"/>
        <v>4.9394938537617976E-7</v>
      </c>
      <c r="BD59" s="60">
        <f>IFERROR(BD7/$B59,0)</f>
        <v>25.382256787215468</v>
      </c>
      <c r="BE59" s="71">
        <f>IFERROR(s_RadSpec!$H$7*BE7,".")*$B$59</f>
        <v>1.9698799999999998E-6</v>
      </c>
      <c r="BF59" s="49">
        <f t="shared" si="111"/>
        <v>1.9698799999999998E-6</v>
      </c>
    </row>
    <row r="60" spans="1:58" x14ac:dyDescent="0.25">
      <c r="A60" s="48" t="s">
        <v>1095</v>
      </c>
      <c r="B60" s="15">
        <v>1.9000000000000001E-8</v>
      </c>
      <c r="C60" s="252"/>
      <c r="D60" s="60">
        <f>IFERROR(D12/$B60,0)</f>
        <v>0</v>
      </c>
      <c r="E60" s="60">
        <f>IFERROR(E12/$B60,0)</f>
        <v>0</v>
      </c>
      <c r="F60" s="60">
        <f>IFERROR(F12/$B60,0)</f>
        <v>21558478039.237316</v>
      </c>
      <c r="G60" s="60">
        <f>IFERROR(G12/$B60,0)</f>
        <v>0</v>
      </c>
      <c r="H60" s="60">
        <f>IFERROR(H12/$B60,0)</f>
        <v>0</v>
      </c>
      <c r="I60" s="60">
        <f t="shared" si="112"/>
        <v>21558478039.237316</v>
      </c>
      <c r="J60" s="71">
        <f>IFERROR(s_RadSpec!$E$12*J12,".")*$B$60</f>
        <v>0</v>
      </c>
      <c r="K60" s="71">
        <f>IFERROR(s_RadSpec!$F$12*$K$12,".")*B60</f>
        <v>0</v>
      </c>
      <c r="L60" s="71">
        <f>IFERROR(s_RadSpec!$G$12*$L$12,".")*B60</f>
        <v>2.319273183802583E-15</v>
      </c>
      <c r="M60" s="71">
        <f>s_b2s!AC60</f>
        <v>0</v>
      </c>
      <c r="N60" s="49">
        <f t="shared" si="97"/>
        <v>0</v>
      </c>
      <c r="O60" s="49">
        <f t="shared" si="98"/>
        <v>0</v>
      </c>
      <c r="P60" s="49">
        <f t="shared" si="99"/>
        <v>2.319273183802583E-15</v>
      </c>
      <c r="Q60" s="49">
        <f t="shared" si="46"/>
        <v>0</v>
      </c>
      <c r="R60" s="49">
        <f t="shared" si="79"/>
        <v>2.319273183802583E-15</v>
      </c>
      <c r="S60" s="60">
        <f>IFERROR(S12/$B60,0)</f>
        <v>21558478039.237316</v>
      </c>
      <c r="T60" s="60">
        <f>IFERROR(T12/$B60,0)</f>
        <v>170199819397.11166</v>
      </c>
      <c r="U60" s="60">
        <f>IFERROR(U12/$B60,0)</f>
        <v>44246922761.165298</v>
      </c>
      <c r="V60" s="60">
        <f>IFERROR(V12/$B60,0)</f>
        <v>26495079909.306667</v>
      </c>
      <c r="W60" s="60">
        <f>IFERROR(W12/$B60,0)</f>
        <v>288833769853.44464</v>
      </c>
      <c r="X60" s="71">
        <f>IFERROR(s_RadSpec!$G$12*$X$12,".")*$B$60</f>
        <v>2.319273183802583E-15</v>
      </c>
      <c r="Y60" s="71">
        <f>IFERROR(s_RadSpec!$N$12*$Y$12,".")*$B$60</f>
        <v>2.9377234463063428E-16</v>
      </c>
      <c r="Z60" s="71">
        <f>IFERROR(s_RadSpec!$O$12*$Z$12,".")*$B$60</f>
        <v>1.1300220869570635E-15</v>
      </c>
      <c r="AA60" s="71">
        <f>IFERROR(s_RadSpec!$P$12*$AA$12,".")*$B$60</f>
        <v>1.8871428269381062E-15</v>
      </c>
      <c r="AB60" s="71">
        <f>IFERROR(s_RadSpec!$L$12*$AB$12,".")*$B$60</f>
        <v>1.7310995187775377E-16</v>
      </c>
      <c r="AC60" s="49">
        <f t="shared" si="100"/>
        <v>2.319273183802583E-15</v>
      </c>
      <c r="AD60" s="49">
        <f t="shared" si="101"/>
        <v>2.9377234463063428E-16</v>
      </c>
      <c r="AE60" s="49">
        <f t="shared" si="102"/>
        <v>1.1300220869570635E-15</v>
      </c>
      <c r="AF60" s="49">
        <f t="shared" si="103"/>
        <v>1.8871428269381062E-15</v>
      </c>
      <c r="AG60" s="49">
        <f t="shared" si="104"/>
        <v>1.7310995187775377E-16</v>
      </c>
      <c r="AH60" s="60">
        <f>IFERROR(AH12/$B60,0)</f>
        <v>0</v>
      </c>
      <c r="AI60" s="60">
        <f>IFERROR(AI12/$B60,0)</f>
        <v>3378494297178.8574</v>
      </c>
      <c r="AJ60" s="60">
        <f t="shared" si="105"/>
        <v>3378494297178.8574</v>
      </c>
      <c r="AK60" s="71">
        <f>IFERROR(s_RadSpec!$F$12*AK12,".")*$B$60</f>
        <v>0</v>
      </c>
      <c r="AL60" s="71">
        <f>IFERROR(s_RadSpec!$K$12*$AL$12,".")*$B$60</f>
        <v>1.4799492200342468E-17</v>
      </c>
      <c r="AM60" s="49">
        <f t="shared" si="106"/>
        <v>0</v>
      </c>
      <c r="AN60" s="49">
        <f t="shared" si="107"/>
        <v>1.4799492200342468E-17</v>
      </c>
      <c r="AO60" s="49">
        <f t="shared" si="108"/>
        <v>1.4799492200342468E-17</v>
      </c>
      <c r="AP60" s="60" t="str">
        <f>IFERROR(AP12/$B60,".")</f>
        <v>.</v>
      </c>
      <c r="AQ60" s="60" t="str">
        <f>IFERROR(AQ12,".")</f>
        <v>.</v>
      </c>
      <c r="AR60" s="60">
        <f>IFERROR(AR12/$B60,".")</f>
        <v>970175727230415.25</v>
      </c>
      <c r="AS60" s="60" t="str">
        <f>IFERROR(AS12/$B60,".")</f>
        <v>.</v>
      </c>
      <c r="AT60" s="60">
        <f t="shared" si="40"/>
        <v>970175727230415.25</v>
      </c>
      <c r="AU60" s="71">
        <f>IFERROR(s_RadSpec!$I$12*AU12,".")*$B$60</f>
        <v>0</v>
      </c>
      <c r="AV60" s="71">
        <f>IFERROR(s_RadSpec!$F$12*AV12,".")</f>
        <v>0</v>
      </c>
      <c r="AW60" s="71">
        <f>IFERROR(s_RadSpec!$M$12*AW12,".")*$B$60</f>
        <v>5.1537055191780823E-20</v>
      </c>
      <c r="AX60" s="71">
        <f>s_b2w!AC60</f>
        <v>0</v>
      </c>
      <c r="AY60" s="49">
        <f t="shared" si="109"/>
        <v>0</v>
      </c>
      <c r="AZ60" s="49">
        <f t="shared" si="110"/>
        <v>0</v>
      </c>
      <c r="BA60" s="49">
        <f t="shared" si="113"/>
        <v>5.1537055191780823E-20</v>
      </c>
      <c r="BB60" s="49">
        <f t="shared" si="60"/>
        <v>0</v>
      </c>
      <c r="BC60" s="49">
        <f t="shared" si="61"/>
        <v>5.1537055191780823E-20</v>
      </c>
      <c r="BD60" s="60">
        <f>IFERROR(BD12/$B60,0)</f>
        <v>0</v>
      </c>
      <c r="BE60" s="71">
        <f>IFERROR(s_RadSpec!$H$12*BE12,".")*$B$60</f>
        <v>0</v>
      </c>
      <c r="BF60" s="49">
        <f t="shared" si="111"/>
        <v>0</v>
      </c>
    </row>
    <row r="61" spans="1:58" x14ac:dyDescent="0.25">
      <c r="A61" s="48" t="s">
        <v>1096</v>
      </c>
      <c r="B61" s="15">
        <v>1</v>
      </c>
      <c r="C61" s="249"/>
      <c r="D61" s="60">
        <f>IFERROR(D18/$B61,0)</f>
        <v>50.477708412993472</v>
      </c>
      <c r="E61" s="60">
        <f>IFERROR(E18/$B61,0)</f>
        <v>106522.05547415512</v>
      </c>
      <c r="F61" s="60">
        <f>IFERROR(F18/$B61,0)</f>
        <v>2207594.1435221666</v>
      </c>
      <c r="G61" s="60">
        <f>IFERROR(G18/$B61,0)</f>
        <v>2.1689623101486384</v>
      </c>
      <c r="H61" s="60">
        <f>IFERROR(H18/$B61,0)</f>
        <v>3.667715266461348E-2</v>
      </c>
      <c r="I61" s="60">
        <f t="shared" si="112"/>
        <v>2.0795618226429542</v>
      </c>
      <c r="J61" s="71">
        <f>IFERROR(s_RadSpec!$E$18*J18,".")*$B$61</f>
        <v>9.9053624999999987E-7</v>
      </c>
      <c r="K61" s="71">
        <f>IFERROR(s_RadSpec!$F$18*$K$18,".")*B61</f>
        <v>4.6938636113843336E-10</v>
      </c>
      <c r="L61" s="71">
        <f>IFERROR(s_RadSpec!$G$18*$L$18,".")*B61</f>
        <v>2.2649090706603401E-11</v>
      </c>
      <c r="M61" s="71">
        <f>s_b2s!AC61</f>
        <v>2.3052498314999997E-5</v>
      </c>
      <c r="N61" s="49">
        <f t="shared" si="97"/>
        <v>9.9053624999999987E-7</v>
      </c>
      <c r="O61" s="49">
        <f t="shared" si="98"/>
        <v>4.6938636113843336E-10</v>
      </c>
      <c r="P61" s="49">
        <f t="shared" si="99"/>
        <v>2.2649090706603401E-11</v>
      </c>
      <c r="Q61" s="49">
        <f t="shared" si="46"/>
        <v>2.3052498314999997E-5</v>
      </c>
      <c r="R61" s="49">
        <f t="shared" si="79"/>
        <v>2.4043526600451843E-5</v>
      </c>
      <c r="S61" s="60">
        <f>IFERROR(S18/$B61,0)</f>
        <v>2207594.1435221666</v>
      </c>
      <c r="T61" s="60">
        <f>IFERROR(T18/$B61,0)</f>
        <v>22000529.419718608</v>
      </c>
      <c r="U61" s="60">
        <f>IFERROR(U18/$B61,0)</f>
        <v>5426391.4223511443</v>
      </c>
      <c r="V61" s="60">
        <f>IFERROR(V18/$B61,0)</f>
        <v>2885840.2742966213</v>
      </c>
      <c r="W61" s="60">
        <f>IFERROR(W18/$B61,0)</f>
        <v>38471078.45115196</v>
      </c>
      <c r="X61" s="71">
        <f>IFERROR(s_RadSpec!$G$18*$X$18,".")*$B$61</f>
        <v>2.2649090706603401E-11</v>
      </c>
      <c r="Y61" s="71">
        <f>IFERROR(s_RadSpec!$N$18*$Y$18,".")*$B$61</f>
        <v>2.2726725819236913E-12</v>
      </c>
      <c r="Z61" s="71">
        <f>IFERROR(s_RadSpec!$O$18*$Z$18,".")*$B$61</f>
        <v>9.2142265657526079E-12</v>
      </c>
      <c r="AA61" s="71">
        <f>IFERROR(s_RadSpec!$P$18*$AA$18,".")*$B$61</f>
        <v>1.7325976231372237E-11</v>
      </c>
      <c r="AB61" s="71">
        <f>IFERROR(s_RadSpec!$L$18*$AB$18,".")*$B$61</f>
        <v>1.2996776283120504E-12</v>
      </c>
      <c r="AC61" s="49">
        <f t="shared" si="100"/>
        <v>2.2649090706603401E-11</v>
      </c>
      <c r="AD61" s="49">
        <f t="shared" si="101"/>
        <v>2.2726725819236913E-12</v>
      </c>
      <c r="AE61" s="49">
        <f t="shared" si="102"/>
        <v>9.2142265657526079E-12</v>
      </c>
      <c r="AF61" s="49">
        <f t="shared" si="103"/>
        <v>1.7325976231372237E-11</v>
      </c>
      <c r="AG61" s="49">
        <f t="shared" si="104"/>
        <v>1.2996776283120504E-12</v>
      </c>
      <c r="AH61" s="60">
        <f>IFERROR(AH18/$B61,0)</f>
        <v>0.34383707853095613</v>
      </c>
      <c r="AI61" s="60">
        <f>IFERROR(AI18/$B61,0)</f>
        <v>762048643.84690726</v>
      </c>
      <c r="AJ61" s="60">
        <f t="shared" si="105"/>
        <v>0.34383707837581651</v>
      </c>
      <c r="AK61" s="71">
        <f>IFERROR(s_RadSpec!$F$18*AK18,".")*$B$61</f>
        <v>1.4541770833333332E-4</v>
      </c>
      <c r="AL61" s="71">
        <f>IFERROR(s_RadSpec!$K$18*$AL$18,".")*$B$61</f>
        <v>6.5612609383561654E-14</v>
      </c>
      <c r="AM61" s="49">
        <f t="shared" si="106"/>
        <v>1.4541770833333332E-4</v>
      </c>
      <c r="AN61" s="49">
        <f t="shared" si="107"/>
        <v>6.5612609383561654E-14</v>
      </c>
      <c r="AO61" s="49">
        <f t="shared" si="108"/>
        <v>1.4541770839894593E-4</v>
      </c>
      <c r="AP61" s="60">
        <f>IFERROR(AP18/$B61,".")</f>
        <v>1.0237510237510239</v>
      </c>
      <c r="AQ61" s="60" t="str">
        <f>IFERROR(AQ18,".")</f>
        <v>.</v>
      </c>
      <c r="AR61" s="60">
        <f>IFERROR(AR18/$B61,".")</f>
        <v>219444509730.68918</v>
      </c>
      <c r="AS61" s="60">
        <f>IFERROR(AS18/$B61,".")</f>
        <v>2.9639594254894632</v>
      </c>
      <c r="AT61" s="60">
        <f t="shared" si="40"/>
        <v>0.7609269867547046</v>
      </c>
      <c r="AU61" s="71">
        <f>IFERROR(s_RadSpec!$I$18*AU18,".")*$B$61</f>
        <v>4.884E-5</v>
      </c>
      <c r="AV61" s="71">
        <f>IFERROR(s_RadSpec!$F$18*AV18,".")</f>
        <v>0</v>
      </c>
      <c r="AW61" s="71">
        <f>IFERROR(s_RadSpec!$M$18*AW18,".")*$B$61</f>
        <v>2.2784803347945207E-16</v>
      </c>
      <c r="AX61" s="71">
        <f>s_b2w!AC61</f>
        <v>1.6869326742468172E-5</v>
      </c>
      <c r="AY61" s="49">
        <f t="shared" si="109"/>
        <v>4.884E-5</v>
      </c>
      <c r="AZ61" s="49">
        <f t="shared" si="110"/>
        <v>0</v>
      </c>
      <c r="BA61" s="49">
        <f t="shared" si="113"/>
        <v>2.2784803347945207E-16</v>
      </c>
      <c r="BB61" s="49">
        <f t="shared" si="60"/>
        <v>1.6869326742468172E-5</v>
      </c>
      <c r="BC61" s="49">
        <f t="shared" si="61"/>
        <v>6.5709326742696014E-5</v>
      </c>
      <c r="BD61" s="60">
        <f>IFERROR(BD18/$B61,0)</f>
        <v>0.14670861065845392</v>
      </c>
      <c r="BE61" s="71">
        <f>IFERROR(s_RadSpec!$H$18*BE18,".")*$B$61</f>
        <v>3.40811625E-4</v>
      </c>
      <c r="BF61" s="49">
        <f t="shared" si="111"/>
        <v>3.40811625E-4</v>
      </c>
    </row>
    <row r="62" spans="1:58" x14ac:dyDescent="0.25">
      <c r="A62" s="48" t="s">
        <v>1097</v>
      </c>
      <c r="B62" s="15">
        <v>1.339E-6</v>
      </c>
      <c r="C62" s="249"/>
      <c r="D62" s="60">
        <f>IFERROR(D27/$B62,0)</f>
        <v>0</v>
      </c>
      <c r="E62" s="60">
        <f>IFERROR(E27/$B62,0)</f>
        <v>0</v>
      </c>
      <c r="F62" s="60">
        <f>IFERROR(F27/$B62,0)</f>
        <v>19969379346.007618</v>
      </c>
      <c r="G62" s="60">
        <f>IFERROR(G27/$B62,0)</f>
        <v>0</v>
      </c>
      <c r="H62" s="60">
        <f>IFERROR(H27/$B62,0)</f>
        <v>0</v>
      </c>
      <c r="I62" s="60">
        <f t="shared" si="112"/>
        <v>19969379346.007618</v>
      </c>
      <c r="J62" s="71">
        <f>IFERROR(s_RadSpec!$E$27*J27,".")*$B$62</f>
        <v>0</v>
      </c>
      <c r="K62" s="71">
        <f>IFERROR(s_RadSpec!$F$27*$K$27,".")*B62</f>
        <v>0</v>
      </c>
      <c r="L62" s="71">
        <f>IFERROR(s_RadSpec!$G$27*$L$27,".")*B62</f>
        <v>2.5038334508877092E-15</v>
      </c>
      <c r="M62" s="71">
        <f>s_b2s!AC62</f>
        <v>0</v>
      </c>
      <c r="N62" s="49">
        <f t="shared" si="97"/>
        <v>0</v>
      </c>
      <c r="O62" s="49">
        <f t="shared" si="98"/>
        <v>0</v>
      </c>
      <c r="P62" s="49">
        <f t="shared" si="99"/>
        <v>2.5038334508877092E-15</v>
      </c>
      <c r="Q62" s="49">
        <f t="shared" si="46"/>
        <v>0</v>
      </c>
      <c r="R62" s="49">
        <f t="shared" si="79"/>
        <v>2.5038334508877092E-15</v>
      </c>
      <c r="S62" s="60">
        <f>IFERROR(S27/$B62,0)</f>
        <v>19969379346.007618</v>
      </c>
      <c r="T62" s="60">
        <f>IFERROR(T27/$B62,0)</f>
        <v>174429292921.68567</v>
      </c>
      <c r="U62" s="60">
        <f>IFERROR(U27/$B62,0)</f>
        <v>50297238580.200562</v>
      </c>
      <c r="V62" s="60">
        <f>IFERROR(V27/$B62,0)</f>
        <v>27522149224.630547</v>
      </c>
      <c r="W62" s="60">
        <f>IFERROR(W27/$B62,0)</f>
        <v>132017233644.62932</v>
      </c>
      <c r="X62" s="71">
        <f>IFERROR(s_RadSpec!$G$27*$X$27,".")*$B$62</f>
        <v>2.5038334508877092E-15</v>
      </c>
      <c r="Y62" s="71">
        <f>IFERROR(s_RadSpec!$N$27*$Y$27,".")*$B$62</f>
        <v>2.8664910097668479E-16</v>
      </c>
      <c r="Z62" s="71">
        <f>IFERROR(s_RadSpec!$O$27*$Z$27,".")*$B$62</f>
        <v>9.940903598569017E-16</v>
      </c>
      <c r="AA62" s="71">
        <f>IFERROR(s_RadSpec!$P$27*$AA$27,".")*$B$62</f>
        <v>1.816718585162428E-15</v>
      </c>
      <c r="AB62" s="71">
        <f>IFERROR(s_RadSpec!$L$27*$AB$27,".")*$B$62</f>
        <v>3.7873843148836567E-16</v>
      </c>
      <c r="AC62" s="49">
        <f t="shared" si="100"/>
        <v>2.5038334508877092E-15</v>
      </c>
      <c r="AD62" s="49">
        <f t="shared" si="101"/>
        <v>2.8664910097668479E-16</v>
      </c>
      <c r="AE62" s="49">
        <f t="shared" si="102"/>
        <v>9.940903598569017E-16</v>
      </c>
      <c r="AF62" s="49">
        <f t="shared" si="103"/>
        <v>1.816718585162428E-15</v>
      </c>
      <c r="AG62" s="49">
        <f t="shared" si="104"/>
        <v>3.7873843148836567E-16</v>
      </c>
      <c r="AH62" s="60">
        <f>IFERROR(AH27/$B62,0)</f>
        <v>0</v>
      </c>
      <c r="AI62" s="60">
        <f>IFERROR(AI27/$B62,0)</f>
        <v>2530983207985.8687</v>
      </c>
      <c r="AJ62" s="60">
        <f t="shared" si="105"/>
        <v>2530983207985.8687</v>
      </c>
      <c r="AK62" s="71">
        <f>IFERROR(s_RadSpec!$F$27*AK27,".")*$B$62</f>
        <v>0</v>
      </c>
      <c r="AL62" s="71">
        <f>IFERROR(s_RadSpec!$K$27*$AL$27,".")*$B$62</f>
        <v>1.9755168600976031E-17</v>
      </c>
      <c r="AM62" s="49">
        <f t="shared" si="106"/>
        <v>0</v>
      </c>
      <c r="AN62" s="49">
        <f t="shared" si="107"/>
        <v>1.9755168600976031E-17</v>
      </c>
      <c r="AO62" s="49">
        <f t="shared" si="108"/>
        <v>1.9755168600976031E-17</v>
      </c>
      <c r="AP62" s="60" t="str">
        <f>IFERROR(AP27/$B62,".")</f>
        <v>.</v>
      </c>
      <c r="AQ62" s="60" t="str">
        <f>IFERROR(AQ27,".")</f>
        <v>.</v>
      </c>
      <c r="AR62" s="60">
        <f>IFERROR(AR27/$B62,".")</f>
        <v>1010635655966579.4</v>
      </c>
      <c r="AS62" s="60" t="str">
        <f>IFERROR(AS27/$B62,".")</f>
        <v>.</v>
      </c>
      <c r="AT62" s="60">
        <f t="shared" si="40"/>
        <v>1010635655966579.4</v>
      </c>
      <c r="AU62" s="71">
        <f>IFERROR(s_RadSpec!$I$27*AU27,".")*$B$62</f>
        <v>0</v>
      </c>
      <c r="AV62" s="71">
        <f>IFERROR(s_RadSpec!$F$27*AV27,".")</f>
        <v>0</v>
      </c>
      <c r="AW62" s="71">
        <f>IFERROR(s_RadSpec!$M$27*AW27,".")*$B$62</f>
        <v>4.9473813539835614E-20</v>
      </c>
      <c r="AX62" s="71">
        <f>s_b2w!AC62</f>
        <v>0</v>
      </c>
      <c r="AY62" s="49">
        <f t="shared" si="109"/>
        <v>0</v>
      </c>
      <c r="AZ62" s="49">
        <f t="shared" si="110"/>
        <v>0</v>
      </c>
      <c r="BA62" s="49">
        <f t="shared" si="113"/>
        <v>4.9473813539835614E-20</v>
      </c>
      <c r="BB62" s="49">
        <f t="shared" si="60"/>
        <v>0</v>
      </c>
      <c r="BC62" s="49">
        <f t="shared" si="61"/>
        <v>4.9473813539835614E-20</v>
      </c>
      <c r="BD62" s="60">
        <f>IFERROR(BD27/$B62,0)</f>
        <v>0</v>
      </c>
      <c r="BE62" s="71">
        <f>IFERROR(s_RadSpec!$H$27*BE27,".")*$B$62</f>
        <v>0</v>
      </c>
      <c r="BF62" s="49">
        <f t="shared" si="111"/>
        <v>0</v>
      </c>
    </row>
    <row r="63" spans="1:58" x14ac:dyDescent="0.25">
      <c r="A63" s="57" t="s">
        <v>35</v>
      </c>
      <c r="B63" s="57" t="s">
        <v>1255</v>
      </c>
      <c r="C63" s="57"/>
      <c r="D63" s="58">
        <f>1/SUM(1/D66,1/D68,1/D72,1/D73,1/D75)</f>
        <v>32.949066985224057</v>
      </c>
      <c r="E63" s="58">
        <f>1/SUM(1/E64,1/E65,1/E66,1/E68,1/E72,1/E73,1/E75)</f>
        <v>49858.255996741042</v>
      </c>
      <c r="F63" s="58">
        <f>1/SUM(1/F64,1/F66,1/F68,1/F69,1/F70,1/F71,1/F72,1/F73,1/F74,1/F75,1/F76)</f>
        <v>9.3605387051759248</v>
      </c>
      <c r="G63" s="58">
        <f>1/SUM(1/G66,1/G68,1/G72,1/G73,1/G75)</f>
        <v>1.2487595239666274</v>
      </c>
      <c r="H63" s="58">
        <f>1/SUM(1/H66,1/H68,1/H72,1/H73,1/H75)</f>
        <v>2.3998970479463734E-2</v>
      </c>
      <c r="I63" s="59">
        <f>1/SUM(1/I64,1/I65,1/I66,1/I68,1/I69,1/I70,1/I71,1/I72,1/I73,1/I74,1/I75,1/I76)</f>
        <v>1.0661025347090194</v>
      </c>
      <c r="J63" s="70"/>
      <c r="K63" s="70"/>
      <c r="L63" s="70"/>
      <c r="M63" s="70"/>
      <c r="N63" s="47">
        <f t="shared" ref="N63:P63" si="114">IFERROR(IF(SUM(J64:J76)&gt;0.01,1-EXP(-SUM(J64:J76)),SUM(J64:J76)),".")</f>
        <v>1.5174936523217003E-6</v>
      </c>
      <c r="O63" s="47">
        <f t="shared" si="114"/>
        <v>1.0028429394575739E-9</v>
      </c>
      <c r="P63" s="47">
        <f t="shared" si="114"/>
        <v>5.3415729131436027E-6</v>
      </c>
      <c r="Q63" s="47">
        <f>IFERROR(IF(SUM(M64:M76)&gt;0.01,1-EXP(-SUM(M64:M76)),SUM(M64:M76)),".")</f>
        <v>4.0039737320234707E-5</v>
      </c>
      <c r="R63" s="47">
        <f>IFERROR(IF(SUM(J64:M76)&gt;0.01,1-EXP(-SUM(J64:M76)),SUM(J64:M76)),".")</f>
        <v>4.6899806728639477E-5</v>
      </c>
      <c r="S63" s="59">
        <f t="shared" ref="S63:W63" si="115">1/SUM(1/S64,1/S66,1/S68,1/S69,1/S70,1/S71,1/S72,1/S73,1/S74,1/S75,1/S76)</f>
        <v>9.3605387051759248</v>
      </c>
      <c r="T63" s="59">
        <f t="shared" si="115"/>
        <v>103.78044504251746</v>
      </c>
      <c r="U63" s="59">
        <f t="shared" si="115"/>
        <v>25.583033673415926</v>
      </c>
      <c r="V63" s="59">
        <f t="shared" si="115"/>
        <v>13.211019403246828</v>
      </c>
      <c r="W63" s="59">
        <f t="shared" si="115"/>
        <v>190.39704323239098</v>
      </c>
      <c r="X63" s="70"/>
      <c r="Y63" s="70"/>
      <c r="Z63" s="70"/>
      <c r="AA63" s="70"/>
      <c r="AB63" s="70"/>
      <c r="AC63" s="47">
        <f>IFERROR(IF(SUM(X64:X76)&gt;0.01,1-EXP(-SUM(X64:X76)),SUM(X64:X76)),".")</f>
        <v>5.3415729131436027E-6</v>
      </c>
      <c r="AD63" s="47">
        <f t="shared" ref="AD63" si="116">IFERROR(IF(SUM(Y64:Y76)&gt;0.01,1-EXP(-SUM(Y64:Y76)),SUM(Y64:Y76)),".")</f>
        <v>4.8178633247829744E-7</v>
      </c>
      <c r="AE63" s="47">
        <f t="shared" ref="AE63" si="117">IFERROR(IF(SUM(Z64:Z76)&gt;0.01,1-EXP(-SUM(Z64:Z76)),SUM(Z64:Z76)),".")</f>
        <v>1.9544202864399328E-6</v>
      </c>
      <c r="AF63" s="47">
        <f t="shared" ref="AF63" si="118">IFERROR(IF(SUM(AA64:AA76)&gt;0.01,1-EXP(-SUM(AA64:AA76)),SUM(AA64:AA76)),".")</f>
        <v>3.7847192918142E-6</v>
      </c>
      <c r="AG63" s="47">
        <f t="shared" ref="AG63" si="119">IFERROR(IF(SUM(AB64:AB76)&gt;0.01,1-EXP(-SUM(AB64:AB76)),SUM(AB64:AB76)),".")</f>
        <v>2.6260912013729131E-7</v>
      </c>
      <c r="AH63" s="58">
        <f>1/SUM(1/AH64,1/AH65,1/AH66,1/AH68,1/AH72,1/AH73,1/AH75)</f>
        <v>0.16093490691913381</v>
      </c>
      <c r="AI63" s="58">
        <f t="shared" ref="AI63" si="120">1/SUM(1/AI64,1/AI65,1/AI66,1/AI67,1/AI68,1/AI69,1/AI70,1/AI71,1/AI72,1/AI73,1/AI74,1/AI75,1/AI76)</f>
        <v>4124.3617233116993</v>
      </c>
      <c r="AJ63" s="59">
        <f>1/SUM(1/AJ64,1/AJ65,1/AJ66,1/AJ67,1/AJ68,1/AJ69,1/AJ70,1/AJ71,1/AJ72,1/AJ73,1/AJ74,1/AJ75,1/AJ76)</f>
        <v>0.16092862739386232</v>
      </c>
      <c r="AK63" s="70"/>
      <c r="AL63" s="70"/>
      <c r="AM63" s="47">
        <f>IFERROR(IF(SUM(AK64:AK76)&gt;0.01,1-EXP(-SUM(AK64:AK76)),SUM(AK64:AK76)),".")</f>
        <v>3.1068461750889057E-4</v>
      </c>
      <c r="AN63" s="47">
        <f>IFERROR(IF(SUM(AL64:AL76)&gt;0.01,1-EXP(-SUM(AL64:AL76)),SUM(AL64:AL76)),".")</f>
        <v>1.2123087971986121E-8</v>
      </c>
      <c r="AO63" s="47">
        <f>IFERROR(IF(SUM(AK64:AL76)&gt;0.01,1-EXP(-SUM(AK64:AL76)),SUM(AK64:AL76)),".")</f>
        <v>3.106967405968626E-4</v>
      </c>
      <c r="AP63" s="58">
        <f>1/SUM(1/AP66,1/AP68,1/AP72,1/AP73,1/AP75)</f>
        <v>0.6810298647897064</v>
      </c>
      <c r="AQ63" s="58">
        <f>1/SUM(1/AQ64,1/AQ65,1/AQ66,1/AQ68)</f>
        <v>344.42145213017039</v>
      </c>
      <c r="AR63" s="58">
        <f t="shared" ref="AR63" si="121">1/SUM(1/AR64,1/AR65,1/AR66,1/AR67,1/AR68,1/AR69,1/AR70,1/AR71,1/AR72,1/AR73,1/AR74,1/AR75,1/AR76)</f>
        <v>1189647.9210713324</v>
      </c>
      <c r="AS63" s="58">
        <f>1/SUM(1/AS66,1/AS68,1/AS72,1/AS73,1/AS75)</f>
        <v>1.8700941361019989</v>
      </c>
      <c r="AT63" s="59">
        <f>1/SUM(1/AT64,1/AT65,1/AT66,1/AT67,1/AT68,1/AT69,1/AT70,1/AT71,1/AT72,1/AT73,1/AT74,1/AT75,1/AT76)</f>
        <v>0.4985042163991612</v>
      </c>
      <c r="AU63" s="70"/>
      <c r="AV63" s="70"/>
      <c r="AW63" s="70"/>
      <c r="AX63" s="70"/>
      <c r="AY63" s="47">
        <f>IFERROR(IF(SUM(AU64:AU76)&gt;0.01,1-EXP(-SUM(AU64:AU76)),SUM(AU64:AU76)),".")</f>
        <v>7.3418219354358835E-5</v>
      </c>
      <c r="AZ63" s="47">
        <f t="shared" ref="AZ63:BB63" si="122">IFERROR(IF(SUM(AV64:AV76)&gt;0.01,1-EXP(-SUM(AV64:AV76)),SUM(AV64:AV76)),".")</f>
        <v>1.4517098075848961E-7</v>
      </c>
      <c r="BA63" s="47">
        <f t="shared" si="122"/>
        <v>4.2029241689400612E-11</v>
      </c>
      <c r="BB63" s="47">
        <f t="shared" si="122"/>
        <v>2.6736623574213332E-5</v>
      </c>
      <c r="BC63" s="47">
        <f>IFERROR(IF(SUM(AU64:AX76)&gt;0.01,1-EXP(-SUM(AU64:AX76)),SUM(AU64:AX76)),".")</f>
        <v>1.0030005593857235E-4</v>
      </c>
      <c r="BD63" s="59">
        <f>1/SUM(1/BD66,1/BD68,1/BD72,1/BD73,1/BD75)</f>
        <v>9.5995881917854936E-2</v>
      </c>
      <c r="BE63" s="70"/>
      <c r="BF63" s="47">
        <f>IFERROR(IF(SUM(BF64:BF76)&gt;0.01,1-EXP(-SUM(BF64:BF76)),SUM(BF64:BF76)),".")</f>
        <v>5.2085567631729999E-4</v>
      </c>
    </row>
    <row r="64" spans="1:58" x14ac:dyDescent="0.25">
      <c r="A64" s="48" t="s">
        <v>1087</v>
      </c>
      <c r="B64" s="45">
        <v>1</v>
      </c>
      <c r="C64" s="178"/>
      <c r="D64" s="60">
        <f>IFERROR(D25/$B50,0)</f>
        <v>0</v>
      </c>
      <c r="E64" s="60">
        <f>IFERROR(E25/$B50,0)</f>
        <v>677629777.45488858</v>
      </c>
      <c r="F64" s="60">
        <f>IFERROR(F25/$B50,0)</f>
        <v>83956.797149423059</v>
      </c>
      <c r="G64" s="60">
        <f>IFERROR(G25/$B50,0)</f>
        <v>0</v>
      </c>
      <c r="H64" s="60">
        <f>IFERROR(H25/$B50,0)</f>
        <v>0</v>
      </c>
      <c r="I64" s="60">
        <f t="shared" ref="I64:I76" si="123">(IF(AND(D64&lt;&gt;0,E64&lt;&gt;0,F64&lt;&gt;0,G64&lt;&gt;0),1/((1/D64)+(1/E64)+(1/F64)+(1/G64)),IF(AND(D64&lt;&gt;0,E64&lt;&gt;0,F64&lt;&gt;0,G64=0), 1/((1/D64)+(1/E64)+(1/F64)),IF(AND(D64&lt;&gt;0,E64&lt;&gt;0,F64=0,G64&lt;&gt;0),1/((1/D64)+(1/E64)+(1/G64)),IF(AND(D64&lt;&gt;0,E64=0,F64&lt;&gt;0,G64&lt;&gt;0),1/((1/D64)+(1/F64)+(1/G64)),IF(AND(D64=0,E64&lt;&gt;0,F64&lt;&gt;0,G64&lt;&gt;0),1/((1/E64)+(1/F64)+(1/G64)),IF(AND(D64&lt;&gt;0,E64&lt;&gt;0,F64=0,G64=0),1/((1/D64)+(1/E64)),IF(AND(D64&lt;&gt;0,E64=0,F64&lt;&gt;0,G64=0),1/((1/D64)+(1/F64)),IF(AND(D64&lt;&gt;0,E64=0,F64=0,G64&lt;&gt;0),1/((1/D64)+(1/G64)),IF(AND(D64=0,E64=0,F64&lt;&gt;0,G64&lt;&gt;0),1/((1/F64)+(1/G64)),IF(AND(D64=0,E64&lt;&gt;0,F64=0,G64&lt;&gt;0),1/((1/E64)+(1/G64)),IF(AND(D64=0,E64&lt;&gt;0,F64&lt;&gt;0,G64=0),1/((1/E64)+(1/F64)),IF(AND(D64&lt;&gt;0,E64=0,F64=0,G64=0),1/((1/D64)),IF(AND(D64=0,E64&lt;&gt;0,F64=0,G64=0),1/((1/E64)),IF(AND(D64=0,E64=0,F64&lt;&gt;0,G64=0),1/((1/F64)),IF(AND(D64=0,E64=0,F64=0,G64&lt;&gt;0),1/((1/G64)),IF(AND(D64=0,E64=0,F64=0,G64=0),0)))))))))))))))))</f>
        <v>83946.396380733655</v>
      </c>
      <c r="J64" s="71">
        <f>IFERROR(s_RadSpec!$E$25*J25,".")*$B$64</f>
        <v>0</v>
      </c>
      <c r="K64" s="71">
        <f>IFERROR(s_RadSpec!$F$25*$K$25,".")*B64</f>
        <v>7.3786603929648917E-14</v>
      </c>
      <c r="L64" s="71">
        <f>IFERROR(s_RadSpec!$G$25*$L$25,".")*B64</f>
        <v>5.9554439542294513E-10</v>
      </c>
      <c r="M64" s="71">
        <f>s_b2s!AC64</f>
        <v>0</v>
      </c>
      <c r="N64" s="49">
        <f t="shared" ref="N64:N76" si="124">IFERROR(IF(J64&gt;0.01,1-EXP(-J64),J64),".")</f>
        <v>0</v>
      </c>
      <c r="O64" s="49">
        <f t="shared" ref="O64:O76" si="125">IFERROR(IF(K64&gt;0.01,1-EXP(-K64),K64),".")</f>
        <v>7.3786603929648917E-14</v>
      </c>
      <c r="P64" s="49">
        <f t="shared" ref="P64:P76" si="126">IFERROR(IF(L64&gt;0.01,1-EXP(-L64),L64),".")</f>
        <v>5.9554439542294513E-10</v>
      </c>
      <c r="Q64" s="49">
        <f t="shared" si="46"/>
        <v>0</v>
      </c>
      <c r="R64" s="49">
        <f t="shared" ref="R64:R76" si="127">IFERROR(IF(SUM(J64:M64)&gt;0.01,1-EXP(-SUM(J64:M64)),SUM(J64:M64)),".")</f>
        <v>5.9561818202687479E-10</v>
      </c>
      <c r="S64" s="60">
        <f>IFERROR(S25/$B50,0)</f>
        <v>83956.797149423059</v>
      </c>
      <c r="T64" s="60">
        <f>IFERROR(T25/$B50,0)</f>
        <v>713371.53901271138</v>
      </c>
      <c r="U64" s="60">
        <f>IFERROR(U25/$B50,0)</f>
        <v>181327.84236676019</v>
      </c>
      <c r="V64" s="60">
        <f>IFERROR(V25/$B50,0)</f>
        <v>105788.51654566244</v>
      </c>
      <c r="W64" s="60">
        <f>IFERROR(W25/$B50,0)</f>
        <v>1302871.4370215165</v>
      </c>
      <c r="X64" s="71">
        <f>IFERROR(s_RadSpec!$G$25*$X$25,".")*$B$64</f>
        <v>5.9554439542294513E-10</v>
      </c>
      <c r="Y64" s="71">
        <f>IFERROR(s_RadSpec!$N$25*$Y$25,".")*$B$64</f>
        <v>7.0089703983983971E-11</v>
      </c>
      <c r="Z64" s="71">
        <f>IFERROR(s_RadSpec!$O$25*$Z$25,".")*$B$64</f>
        <v>2.757436439290344E-10</v>
      </c>
      <c r="AA64" s="71">
        <f>IFERROR(s_RadSpec!$P$25*$AA$25,".")*$B$64</f>
        <v>4.7264109217769454E-10</v>
      </c>
      <c r="AB64" s="71">
        <f>IFERROR(s_RadSpec!$L$25*$AB$25,".")*$B$64</f>
        <v>3.8376771935613675E-11</v>
      </c>
      <c r="AC64" s="49">
        <f t="shared" ref="AC64:AC76" si="128">IFERROR(IF(X64&gt;0.01,1-EXP(-X64),X64),".")</f>
        <v>5.9554439542294513E-10</v>
      </c>
      <c r="AD64" s="49">
        <f t="shared" ref="AD64:AD76" si="129">IFERROR(IF(Y64&gt;0.01,1-EXP(-Y64),Y64),".")</f>
        <v>7.0089703983983971E-11</v>
      </c>
      <c r="AE64" s="49">
        <f t="shared" ref="AE64:AE76" si="130">IFERROR(IF(Z64&gt;0.01,1-EXP(-Z64),Z64),".")</f>
        <v>2.757436439290344E-10</v>
      </c>
      <c r="AF64" s="49">
        <f t="shared" ref="AF64:AF76" si="131">IFERROR(IF(AA64&gt;0.01,1-EXP(-AA64),AA64),".")</f>
        <v>4.7264109217769454E-10</v>
      </c>
      <c r="AG64" s="49">
        <f t="shared" ref="AG64:AG76" si="132">IFERROR(IF(AB64&gt;0.01,1-EXP(-AB64),AB64),".")</f>
        <v>3.8376771935613675E-11</v>
      </c>
      <c r="AH64" s="60">
        <f>IFERROR(AH25/$B50,0)</f>
        <v>2187.2863978127139</v>
      </c>
      <c r="AI64" s="60">
        <f>IFERROR(AI25/$B50,0)</f>
        <v>19626864.352316026</v>
      </c>
      <c r="AJ64" s="60">
        <f t="shared" ref="AJ64:AJ76" si="133">IFERROR(IF(AND(AH64&lt;&gt;0,AI64&lt;&gt;0),1/((1/AH64)+(1/AI64)),IF(AND(AH64&lt;&gt;0,AI64=0),1/((1/AH64)),IF(AND(AH64=0,AI64&lt;&gt;0),1/((1/AI64)),IF(AND(AH64=".",AI64="."),".")))),".")</f>
        <v>2187.0426661299962</v>
      </c>
      <c r="AK64" s="71">
        <f>IFERROR(s_RadSpec!$F$25*AK25,".")*$B$64</f>
        <v>2.2859374999999997E-8</v>
      </c>
      <c r="AL64" s="71">
        <f>IFERROR(s_RadSpec!$K$25*$AL$25,".")*$B$64</f>
        <v>2.5475286883561649E-12</v>
      </c>
      <c r="AM64" s="49">
        <f t="shared" ref="AM64:AM76" si="134">IFERROR(IF(AK64&gt;0.01,1-EXP(-AK64),AK64),".")</f>
        <v>2.2859374999999997E-8</v>
      </c>
      <c r="AN64" s="49">
        <f t="shared" ref="AN64:AN76" si="135">IFERROR(IF(AL64&gt;0.01,1-EXP(-AL64),AL64),".")</f>
        <v>2.5475286883561649E-12</v>
      </c>
      <c r="AO64" s="49">
        <f t="shared" ref="AO64:AO76" si="136">IFERROR(IF(SUM(AK64:AL64)&gt;0.01,1-EXP(-SUM(AK64:AL64)),SUM(AK64:AL64)),".")</f>
        <v>2.2861922528688354E-8</v>
      </c>
      <c r="AP64" s="60" t="str">
        <f>IFERROR(AP25/$B50,".")</f>
        <v>.</v>
      </c>
      <c r="AQ64" s="60">
        <f>IFERROR(AQ25,".")</f>
        <v>4374.5727956254277</v>
      </c>
      <c r="AR64" s="60">
        <f>IFERROR(AR25/$B50,".")</f>
        <v>5664730367.4666271</v>
      </c>
      <c r="AS64" s="60" t="str">
        <f>IFERROR(AS25/$B50,".")</f>
        <v>.</v>
      </c>
      <c r="AT64" s="60">
        <f t="shared" si="40"/>
        <v>4374.5694173759566</v>
      </c>
      <c r="AU64" s="71">
        <f>IFERROR(s_RadSpec!$I$25*AU25,".")*$B$64</f>
        <v>0</v>
      </c>
      <c r="AV64" s="71">
        <f>IFERROR(s_RadSpec!$F$25*AV25,".")</f>
        <v>1.1429687499999998E-8</v>
      </c>
      <c r="AW64" s="71">
        <f>IFERROR(s_RadSpec!$M$25*AW25,".")*$B$64</f>
        <v>8.8265454410958909E-15</v>
      </c>
      <c r="AX64" s="71">
        <f>s_b2w!AC64</f>
        <v>0</v>
      </c>
      <c r="AY64" s="49">
        <f t="shared" ref="AY64:AY76" si="137">IFERROR(IF(AU64&gt;0.01,1-EXP(-AU64),AU64),".")</f>
        <v>0</v>
      </c>
      <c r="AZ64" s="49">
        <f t="shared" ref="AZ64:AZ76" si="138">IFERROR(IF(AQ64&lt;&gt;0,IF(AV64&gt;0.01,1-EXP(-AV64),AV64),0),".")</f>
        <v>1.1429687499999998E-8</v>
      </c>
      <c r="BA64" s="49">
        <f t="shared" ref="BA64:BA76" si="139">IFERROR(IF(AW64&gt;0.01,1-EXP(-AW64),AW64),".")</f>
        <v>8.8265454410958909E-15</v>
      </c>
      <c r="BB64" s="49">
        <f t="shared" si="60"/>
        <v>0</v>
      </c>
      <c r="BC64" s="49">
        <f t="shared" si="61"/>
        <v>1.142969632654544E-8</v>
      </c>
      <c r="BD64" s="60">
        <f>IFERROR(BD25/$B50,0)</f>
        <v>0</v>
      </c>
      <c r="BE64" s="71">
        <f>IFERROR(s_RadSpec!$H$25*BE25,".")*$B$64</f>
        <v>0</v>
      </c>
      <c r="BF64" s="49">
        <f t="shared" ref="BF64:BF76" si="140">IFERROR(IF(BE64&gt;0.01,1-EXP(-BE64),BE64),".")</f>
        <v>0</v>
      </c>
    </row>
    <row r="65" spans="1:58" x14ac:dyDescent="0.25">
      <c r="A65" s="48" t="s">
        <v>1073</v>
      </c>
      <c r="B65" s="45">
        <v>1</v>
      </c>
      <c r="C65" s="178"/>
      <c r="D65" s="60">
        <f>IFERROR(D21/$B51,0)</f>
        <v>0</v>
      </c>
      <c r="E65" s="60">
        <f>IFERROR(E21/$B51,0)</f>
        <v>111150783.64008242</v>
      </c>
      <c r="F65" s="60">
        <f>IFERROR(F21/$B51,0)</f>
        <v>0</v>
      </c>
      <c r="G65" s="60">
        <f>IFERROR(G21/$B51,0)</f>
        <v>0</v>
      </c>
      <c r="H65" s="60">
        <f>IFERROR(H21/$B51,0)</f>
        <v>0</v>
      </c>
      <c r="I65" s="60">
        <f t="shared" si="123"/>
        <v>111150783.64008242</v>
      </c>
      <c r="J65" s="71">
        <f>IFERROR(s_RadSpec!$E$21*J21,".")*$B$65</f>
        <v>0</v>
      </c>
      <c r="K65" s="71">
        <f>IFERROR(s_RadSpec!$F$21*$K$21,".")*B65</f>
        <v>4.49839383606193E-13</v>
      </c>
      <c r="L65" s="71">
        <f>IFERROR(s_RadSpec!$G$21*$L$21,".")*B65</f>
        <v>0</v>
      </c>
      <c r="M65" s="71">
        <f>s_b2s!AC65</f>
        <v>0</v>
      </c>
      <c r="N65" s="49">
        <f t="shared" si="124"/>
        <v>0</v>
      </c>
      <c r="O65" s="49">
        <f t="shared" si="125"/>
        <v>4.49839383606193E-13</v>
      </c>
      <c r="P65" s="49">
        <f t="shared" si="126"/>
        <v>0</v>
      </c>
      <c r="Q65" s="49">
        <f t="shared" si="46"/>
        <v>0</v>
      </c>
      <c r="R65" s="49">
        <f t="shared" si="127"/>
        <v>4.49839383606193E-13</v>
      </c>
      <c r="S65" s="60">
        <f>IFERROR(S21/$B51,0)</f>
        <v>0</v>
      </c>
      <c r="T65" s="60">
        <f>IFERROR(T21/$B51,0)</f>
        <v>0</v>
      </c>
      <c r="U65" s="60">
        <f>IFERROR(U21/$B51,0)</f>
        <v>0</v>
      </c>
      <c r="V65" s="60">
        <f>IFERROR(V21/$B51,0)</f>
        <v>0</v>
      </c>
      <c r="W65" s="60">
        <f>IFERROR(W21/$B51,0)</f>
        <v>0</v>
      </c>
      <c r="X65" s="71">
        <f>IFERROR(s_RadSpec!$G$21*$X$21,".")*$B$65</f>
        <v>0</v>
      </c>
      <c r="Y65" s="71">
        <f>IFERROR(s_RadSpec!$N$21*$Y$21,".")*$B$65</f>
        <v>0</v>
      </c>
      <c r="Z65" s="71">
        <f>IFERROR(s_RadSpec!$O$21*$Z$21,".")*$B$65</f>
        <v>0</v>
      </c>
      <c r="AA65" s="71">
        <f>IFERROR(s_RadSpec!$P$21*$AA$21,".")*$B$65</f>
        <v>0</v>
      </c>
      <c r="AB65" s="71">
        <f>IFERROR(s_RadSpec!$L$21*$AB$21,".")*$B$65</f>
        <v>0</v>
      </c>
      <c r="AC65" s="49">
        <f t="shared" si="128"/>
        <v>0</v>
      </c>
      <c r="AD65" s="49">
        <f t="shared" si="129"/>
        <v>0</v>
      </c>
      <c r="AE65" s="49">
        <f t="shared" si="130"/>
        <v>0</v>
      </c>
      <c r="AF65" s="49">
        <f t="shared" si="131"/>
        <v>0</v>
      </c>
      <c r="AG65" s="49">
        <f t="shared" si="132"/>
        <v>0</v>
      </c>
      <c r="AH65" s="60">
        <f>IFERROR(AH21/$B51,0)</f>
        <v>358.7779127347473</v>
      </c>
      <c r="AI65" s="60">
        <f>IFERROR(AI21/$B51,0)</f>
        <v>807140279577.49329</v>
      </c>
      <c r="AJ65" s="60">
        <f t="shared" si="133"/>
        <v>358.77791257526872</v>
      </c>
      <c r="AK65" s="71">
        <f>IFERROR(s_RadSpec!$F$21*AK21,".")*$B$65</f>
        <v>1.3936197916666665E-7</v>
      </c>
      <c r="AL65" s="71">
        <f>IFERROR(s_RadSpec!$K$21*$AL$21,".")*$B$65</f>
        <v>6.1947100479452062E-17</v>
      </c>
      <c r="AM65" s="49">
        <f t="shared" si="134"/>
        <v>1.3936197916666665E-7</v>
      </c>
      <c r="AN65" s="49">
        <f t="shared" si="135"/>
        <v>6.1947100479452062E-17</v>
      </c>
      <c r="AO65" s="49">
        <f t="shared" si="136"/>
        <v>1.3936197922861375E-7</v>
      </c>
      <c r="AP65" s="60" t="str">
        <f>IFERROR(AP21/$B51,".")</f>
        <v>.</v>
      </c>
      <c r="AQ65" s="60">
        <f>IFERROR(AQ21,".")</f>
        <v>984.98616869161106</v>
      </c>
      <c r="AR65" s="60">
        <f>IFERROR(AR21/$B51,".")</f>
        <v>393783796907033.44</v>
      </c>
      <c r="AS65" s="60" t="str">
        <f>IFERROR(AS21/$B51,".")</f>
        <v>.</v>
      </c>
      <c r="AT65" s="60">
        <f t="shared" si="40"/>
        <v>984.98616868914723</v>
      </c>
      <c r="AU65" s="71">
        <f>IFERROR(s_RadSpec!$I$21*AU21,".")*$B$65</f>
        <v>0</v>
      </c>
      <c r="AV65" s="71">
        <f>IFERROR(s_RadSpec!$F$21*AV21,".")</f>
        <v>5.0762134118509112E-8</v>
      </c>
      <c r="AW65" s="71">
        <f>IFERROR(s_RadSpec!$M$21*AW21,".")*$B$65</f>
        <v>1.2697322843835616E-19</v>
      </c>
      <c r="AX65" s="71">
        <f>s_b2w!AC65</f>
        <v>0</v>
      </c>
      <c r="AY65" s="49">
        <f t="shared" si="137"/>
        <v>0</v>
      </c>
      <c r="AZ65" s="49">
        <f t="shared" si="138"/>
        <v>5.0762134118509112E-8</v>
      </c>
      <c r="BA65" s="49">
        <f t="shared" si="139"/>
        <v>1.2697322843835616E-19</v>
      </c>
      <c r="BB65" s="49">
        <f t="shared" si="60"/>
        <v>0</v>
      </c>
      <c r="BC65" s="49">
        <f t="shared" si="61"/>
        <v>5.0762134118636088E-8</v>
      </c>
      <c r="BD65" s="60">
        <f>IFERROR(BD21/$B51,0)</f>
        <v>0</v>
      </c>
      <c r="BE65" s="71">
        <f>IFERROR(s_RadSpec!$H$21*BE21,".")*$B$65</f>
        <v>0</v>
      </c>
      <c r="BF65" s="49">
        <f t="shared" si="140"/>
        <v>0</v>
      </c>
    </row>
    <row r="66" spans="1:58" x14ac:dyDescent="0.25">
      <c r="A66" s="48" t="s">
        <v>1074</v>
      </c>
      <c r="B66" s="52">
        <v>0.99980000000000002</v>
      </c>
      <c r="C66" s="181"/>
      <c r="D66" s="60">
        <f>IFERROR(D17/$B52,0)</f>
        <v>208793.02937923669</v>
      </c>
      <c r="E66" s="60">
        <f>IFERROR(E17/$B52,0)</f>
        <v>19888094.640770443</v>
      </c>
      <c r="F66" s="60">
        <f>IFERROR(F17/$B52,0)</f>
        <v>196.64310545490989</v>
      </c>
      <c r="G66" s="60">
        <f>IFERROR(G17/$B52,0)</f>
        <v>7555.2495879953667</v>
      </c>
      <c r="H66" s="60">
        <f>IFERROR(H17/$B52,0)</f>
        <v>170.54087132502539</v>
      </c>
      <c r="I66" s="60">
        <f t="shared" si="123"/>
        <v>191.47723283985448</v>
      </c>
      <c r="J66" s="71">
        <f>IFERROR(s_RadSpec!$E$17*J17,".")*$B$66</f>
        <v>2.394715961E-10</v>
      </c>
      <c r="K66" s="71">
        <f>IFERROR(s_RadSpec!$F$17*$K$17,".")*B66</f>
        <v>2.5140668778546732E-12</v>
      </c>
      <c r="L66" s="71">
        <f>IFERROR(s_RadSpec!$G$17*$L$17,".")*B66</f>
        <v>2.5426775011679711E-7</v>
      </c>
      <c r="M66" s="71">
        <f>s_b2s!AC66</f>
        <v>6.6205630163532704E-9</v>
      </c>
      <c r="N66" s="49">
        <f t="shared" si="124"/>
        <v>2.394715961E-10</v>
      </c>
      <c r="O66" s="49">
        <f t="shared" si="125"/>
        <v>2.5140668778546732E-12</v>
      </c>
      <c r="P66" s="49">
        <f t="shared" si="126"/>
        <v>2.5426775011679711E-7</v>
      </c>
      <c r="Q66" s="49">
        <f t="shared" si="46"/>
        <v>6.6205630163532704E-9</v>
      </c>
      <c r="R66" s="49">
        <f t="shared" si="127"/>
        <v>2.611302987961282E-7</v>
      </c>
      <c r="S66" s="60">
        <f>IFERROR(S17/$B52,0)</f>
        <v>196.64310545490989</v>
      </c>
      <c r="T66" s="60">
        <f>IFERROR(T17/$B52,0)</f>
        <v>1510.6786350518307</v>
      </c>
      <c r="U66" s="60">
        <f>IFERROR(U17/$B52,0)</f>
        <v>408.6593958916327</v>
      </c>
      <c r="V66" s="60">
        <f>IFERROR(V17/$B52,0)</f>
        <v>245.84867756349308</v>
      </c>
      <c r="W66" s="60">
        <f>IFERROR(W17/$B52,0)</f>
        <v>2934.069705386471</v>
      </c>
      <c r="X66" s="71">
        <f>IFERROR(s_RadSpec!$G$17*$X$17,".")*$B$66</f>
        <v>2.5426775011679711E-7</v>
      </c>
      <c r="Y66" s="71">
        <f>IFERROR(s_RadSpec!$N$17*$Y$17,".")*$B$66</f>
        <v>3.3097707771768762E-8</v>
      </c>
      <c r="Z66" s="71">
        <f>IFERROR(s_RadSpec!$O$17*$Z$17,".")*$B$66</f>
        <v>1.2235127958065812E-7</v>
      </c>
      <c r="AA66" s="71">
        <f>IFERROR(s_RadSpec!$P$17*$AA$17,".")*$B$66</f>
        <v>2.0337713627557322E-7</v>
      </c>
      <c r="AB66" s="71">
        <f>IFERROR(s_RadSpec!$L$17*$AB$17,".")*$B$66</f>
        <v>1.7041176597886613E-8</v>
      </c>
      <c r="AC66" s="49">
        <f t="shared" si="128"/>
        <v>2.5426775011679711E-7</v>
      </c>
      <c r="AD66" s="49">
        <f t="shared" si="129"/>
        <v>3.3097707771768762E-8</v>
      </c>
      <c r="AE66" s="49">
        <f t="shared" si="130"/>
        <v>1.2235127958065812E-7</v>
      </c>
      <c r="AF66" s="49">
        <f t="shared" si="131"/>
        <v>2.0337713627557322E-7</v>
      </c>
      <c r="AG66" s="49">
        <f t="shared" si="132"/>
        <v>1.7041176597886613E-8</v>
      </c>
      <c r="AH66" s="60">
        <f>IFERROR(AH17/$B52,0)</f>
        <v>64.19576047787406</v>
      </c>
      <c r="AI66" s="60">
        <f>IFERROR(AI17/$B52,0)</f>
        <v>31256.35602460615</v>
      </c>
      <c r="AJ66" s="60">
        <f t="shared" si="133"/>
        <v>64.064182474663554</v>
      </c>
      <c r="AK66" s="71">
        <f>IFERROR(s_RadSpec!$F$17*AK17,".")*$B$66</f>
        <v>7.7886763281249992E-7</v>
      </c>
      <c r="AL66" s="71">
        <f>IFERROR(s_RadSpec!$K$17*$AL$17,".")*$B$66</f>
        <v>1.599674637716507E-9</v>
      </c>
      <c r="AM66" s="49">
        <f t="shared" si="134"/>
        <v>7.7886763281249992E-7</v>
      </c>
      <c r="AN66" s="49">
        <f t="shared" si="135"/>
        <v>1.599674637716507E-9</v>
      </c>
      <c r="AO66" s="49">
        <f t="shared" si="136"/>
        <v>7.8046730745021641E-7</v>
      </c>
      <c r="AP66" s="60">
        <f>IFERROR(AP17/$B52,".")</f>
        <v>5279.2566182462215</v>
      </c>
      <c r="AQ66" s="60">
        <f>IFERROR(AQ17,".")</f>
        <v>743.95058466259979</v>
      </c>
      <c r="AR66" s="60">
        <f>IFERROR(AR17/$B52,".")</f>
        <v>8928926.3120030034</v>
      </c>
      <c r="AS66" s="60">
        <f>IFERROR(AS17/$B52,".")</f>
        <v>12633.106032729356</v>
      </c>
      <c r="AT66" s="60">
        <f t="shared" si="40"/>
        <v>620.01469417867042</v>
      </c>
      <c r="AU66" s="71">
        <f>IFERROR(s_RadSpec!$I$17*AU17,".")*$B$66</f>
        <v>9.4710304149999996E-9</v>
      </c>
      <c r="AV66" s="71">
        <f>IFERROR(s_RadSpec!$F$17*AV17,".")</f>
        <v>6.7208764978222662E-8</v>
      </c>
      <c r="AW66" s="71">
        <f>IFERROR(s_RadSpec!$M$17*AW17,".")*$B$66</f>
        <v>5.5997774259583561E-12</v>
      </c>
      <c r="AX66" s="71">
        <f>s_b2w!AC66</f>
        <v>3.9594384684186562E-9</v>
      </c>
      <c r="AY66" s="49">
        <f t="shared" si="137"/>
        <v>9.4710304149999996E-9</v>
      </c>
      <c r="AZ66" s="49">
        <f t="shared" si="138"/>
        <v>6.7208764978222662E-8</v>
      </c>
      <c r="BA66" s="49">
        <f t="shared" si="139"/>
        <v>5.5997774259583561E-12</v>
      </c>
      <c r="BB66" s="49">
        <f t="shared" si="60"/>
        <v>3.9594384684186562E-9</v>
      </c>
      <c r="BC66" s="49">
        <f t="shared" si="61"/>
        <v>8.0644833639067282E-8</v>
      </c>
      <c r="BD66" s="60">
        <f>IFERROR(BD17/$B52,0)</f>
        <v>682.16348530010157</v>
      </c>
      <c r="BE66" s="71">
        <f>IFERROR(s_RadSpec!$H$17*BE17,".")*$B$66</f>
        <v>7.3296212825000017E-8</v>
      </c>
      <c r="BF66" s="49">
        <f t="shared" si="140"/>
        <v>7.3296212825000017E-8</v>
      </c>
    </row>
    <row r="67" spans="1:58" x14ac:dyDescent="0.25">
      <c r="A67" s="48" t="s">
        <v>1088</v>
      </c>
      <c r="B67" s="45">
        <v>2.0000000000000001E-4</v>
      </c>
      <c r="C67" s="178"/>
      <c r="D67" s="60">
        <f>IFERROR(D5/$B53,0)</f>
        <v>0</v>
      </c>
      <c r="E67" s="60">
        <f>IFERROR(E5/$B53,0)</f>
        <v>0</v>
      </c>
      <c r="F67" s="60">
        <f>IFERROR(F5/$B53,0)</f>
        <v>0</v>
      </c>
      <c r="G67" s="60">
        <f>IFERROR(G5/$B53,0)</f>
        <v>0</v>
      </c>
      <c r="H67" s="60">
        <f>IFERROR(H5/$B53,0)</f>
        <v>0</v>
      </c>
      <c r="I67" s="60">
        <f t="shared" si="123"/>
        <v>0</v>
      </c>
      <c r="J67" s="71">
        <f>IFERROR(s_RadSpec!$E$5*J5,".")*$B$67</f>
        <v>0</v>
      </c>
      <c r="K67" s="71">
        <f>IFERROR(s_RadSpec!$F$5*$K$5,".")*B67</f>
        <v>0</v>
      </c>
      <c r="L67" s="71">
        <f>IFERROR(s_RadSpec!$G$5*$L$5,".")*B67</f>
        <v>0</v>
      </c>
      <c r="M67" s="71">
        <f>s_b2s!AC67</f>
        <v>0</v>
      </c>
      <c r="N67" s="49">
        <f t="shared" si="124"/>
        <v>0</v>
      </c>
      <c r="O67" s="49">
        <f t="shared" si="125"/>
        <v>0</v>
      </c>
      <c r="P67" s="49">
        <f t="shared" si="126"/>
        <v>0</v>
      </c>
      <c r="Q67" s="49">
        <f t="shared" si="46"/>
        <v>0</v>
      </c>
      <c r="R67" s="49">
        <f t="shared" si="127"/>
        <v>0</v>
      </c>
      <c r="S67" s="60">
        <f>IFERROR(S5/$B53,0)</f>
        <v>0</v>
      </c>
      <c r="T67" s="60">
        <f>IFERROR(T5/$B53,0)</f>
        <v>0</v>
      </c>
      <c r="U67" s="60">
        <f>IFERROR(U5/$B53,0)</f>
        <v>0</v>
      </c>
      <c r="V67" s="60">
        <f>IFERROR(V5/$B53,0)</f>
        <v>0</v>
      </c>
      <c r="W67" s="60">
        <f>IFERROR(W5/$B53,0)</f>
        <v>0</v>
      </c>
      <c r="X67" s="71">
        <f>IFERROR(s_RadSpec!$G$5*$X$5,".")*$B$67</f>
        <v>0</v>
      </c>
      <c r="Y67" s="71">
        <f>IFERROR(s_RadSpec!$N$5*$Y$5,".")*$B$67</f>
        <v>0</v>
      </c>
      <c r="Z67" s="71">
        <f>IFERROR(s_RadSpec!$O$5*$Z$5,".")*$B$67</f>
        <v>0</v>
      </c>
      <c r="AA67" s="71">
        <f>IFERROR(s_RadSpec!$P$5*$AA$5,".")*$B$67</f>
        <v>0</v>
      </c>
      <c r="AB67" s="71">
        <f>IFERROR(s_RadSpec!$L$5*$AB$5,".")*$B$67</f>
        <v>0</v>
      </c>
      <c r="AC67" s="49">
        <f t="shared" si="128"/>
        <v>0</v>
      </c>
      <c r="AD67" s="49">
        <f t="shared" si="129"/>
        <v>0</v>
      </c>
      <c r="AE67" s="49">
        <f t="shared" si="130"/>
        <v>0</v>
      </c>
      <c r="AF67" s="49">
        <f t="shared" si="131"/>
        <v>0</v>
      </c>
      <c r="AG67" s="49">
        <f t="shared" si="132"/>
        <v>0</v>
      </c>
      <c r="AH67" s="60">
        <f>IFERROR(AH5/$B53,0)</f>
        <v>0</v>
      </c>
      <c r="AI67" s="60">
        <f>IFERROR(AI5/$B53,0)</f>
        <v>5166920729113.499</v>
      </c>
      <c r="AJ67" s="60">
        <f t="shared" si="133"/>
        <v>5166920729113.499</v>
      </c>
      <c r="AK67" s="71">
        <f>IFERROR(s_RadSpec!$F$5*AK5,".")*$B$67</f>
        <v>0</v>
      </c>
      <c r="AL67" s="71">
        <f>IFERROR(s_RadSpec!$K$5*$AL$5,".")*$B$67</f>
        <v>9.6769435068493164E-18</v>
      </c>
      <c r="AM67" s="49">
        <f t="shared" si="134"/>
        <v>0</v>
      </c>
      <c r="AN67" s="49">
        <f t="shared" si="135"/>
        <v>9.6769435068493164E-18</v>
      </c>
      <c r="AO67" s="49">
        <f t="shared" si="136"/>
        <v>9.6769435068493164E-18</v>
      </c>
      <c r="AP67" s="60" t="str">
        <f>IFERROR(AP5/$B53,".")</f>
        <v>.</v>
      </c>
      <c r="AQ67" s="60" t="str">
        <f>IFERROR(AQ5,".")</f>
        <v>.</v>
      </c>
      <c r="AR67" s="60">
        <f>IFERROR(AR5/$B53,".")</f>
        <v>1942008930076827.5</v>
      </c>
      <c r="AS67" s="60" t="str">
        <f>IFERROR(AS5/$B53,".")</f>
        <v>.</v>
      </c>
      <c r="AT67" s="60">
        <f t="shared" si="40"/>
        <v>1942008930076827.5</v>
      </c>
      <c r="AU67" s="71">
        <f>IFERROR(s_RadSpec!$I$5*AU5,".")*$B$67</f>
        <v>0</v>
      </c>
      <c r="AV67" s="71">
        <f>IFERROR(s_RadSpec!$F$5*AV5,".")</f>
        <v>0</v>
      </c>
      <c r="AW67" s="71">
        <f>IFERROR(s_RadSpec!$M$5*AW5,".")*$B$67</f>
        <v>2.5746534542465757E-20</v>
      </c>
      <c r="AX67" s="71">
        <f>s_b2w!AC67</f>
        <v>0</v>
      </c>
      <c r="AY67" s="49">
        <f t="shared" si="137"/>
        <v>0</v>
      </c>
      <c r="AZ67" s="49">
        <f t="shared" si="138"/>
        <v>0</v>
      </c>
      <c r="BA67" s="49">
        <f t="shared" si="139"/>
        <v>2.5746534542465757E-20</v>
      </c>
      <c r="BB67" s="49">
        <f t="shared" si="60"/>
        <v>0</v>
      </c>
      <c r="BC67" s="49">
        <f t="shared" si="61"/>
        <v>2.5746534542465757E-20</v>
      </c>
      <c r="BD67" s="60">
        <f>IFERROR(BD5/$B53,0)</f>
        <v>0</v>
      </c>
      <c r="BE67" s="71">
        <f>IFERROR(s_RadSpec!$H$5*BE5,".")*$B$67</f>
        <v>0</v>
      </c>
      <c r="BF67" s="49">
        <f t="shared" si="140"/>
        <v>0</v>
      </c>
    </row>
    <row r="68" spans="1:58" x14ac:dyDescent="0.25">
      <c r="A68" s="48" t="s">
        <v>1089</v>
      </c>
      <c r="B68" s="45">
        <v>0.99999979999999999</v>
      </c>
      <c r="C68" s="178"/>
      <c r="D68" s="60">
        <f>IFERROR(D9/$B54,0)</f>
        <v>409842.02642252657</v>
      </c>
      <c r="E68" s="60">
        <f>IFERROR(E9/$B54,0)</f>
        <v>24999938.537158351</v>
      </c>
      <c r="F68" s="60">
        <f>IFERROR(F9/$B54,0)</f>
        <v>9.8344716259059304</v>
      </c>
      <c r="G68" s="60">
        <f>IFERROR(G9/$B54,0)</f>
        <v>2744.7195473095426</v>
      </c>
      <c r="H68" s="60">
        <f>IFERROR(H9/$B54,0)</f>
        <v>311.52566861963311</v>
      </c>
      <c r="I68" s="60">
        <f t="shared" si="123"/>
        <v>9.7991218749210116</v>
      </c>
      <c r="J68" s="71">
        <f>IFERROR(s_RadSpec!$E$9*J9,".")*$B$68</f>
        <v>1.2199822560035E-10</v>
      </c>
      <c r="K68" s="71">
        <f>IFERROR(s_RadSpec!$F$9*$K$9,".")*B68</f>
        <v>2.0000049170394206E-12</v>
      </c>
      <c r="L68" s="71">
        <f>IFERROR(s_RadSpec!$G$9*$L$9,".")*B68</f>
        <v>5.0841572279582546E-6</v>
      </c>
      <c r="M68" s="71">
        <f>s_b2s!AC68</f>
        <v>1.8216804718360947E-8</v>
      </c>
      <c r="N68" s="49">
        <f t="shared" si="124"/>
        <v>1.2199822560035E-10</v>
      </c>
      <c r="O68" s="49">
        <f t="shared" si="125"/>
        <v>2.0000049170394206E-12</v>
      </c>
      <c r="P68" s="49">
        <f t="shared" si="126"/>
        <v>5.0841572279582546E-6</v>
      </c>
      <c r="Q68" s="49">
        <f t="shared" si="46"/>
        <v>1.8216804718360947E-8</v>
      </c>
      <c r="R68" s="49">
        <f t="shared" si="127"/>
        <v>5.102498030907133E-6</v>
      </c>
      <c r="S68" s="60">
        <f>IFERROR(S9/$B54,0)</f>
        <v>9.8344716259059304</v>
      </c>
      <c r="T68" s="60">
        <f>IFERROR(T9/$B54,0)</f>
        <v>111.52924945825949</v>
      </c>
      <c r="U68" s="60">
        <f>IFERROR(U9/$B54,0)</f>
        <v>27.312085922235749</v>
      </c>
      <c r="V68" s="60">
        <f>IFERROR(V9/$B54,0)</f>
        <v>13.970553138988699</v>
      </c>
      <c r="W68" s="60">
        <f>IFERROR(W9/$B54,0)</f>
        <v>204.0147271095818</v>
      </c>
      <c r="X68" s="71">
        <f>IFERROR(s_RadSpec!$G$9*$X$9,".")*$B$68</f>
        <v>5.0841572279582546E-6</v>
      </c>
      <c r="Y68" s="71">
        <f>IFERROR(s_RadSpec!$N$9*$Y$9,".")*$B$68</f>
        <v>4.4831288870739519E-7</v>
      </c>
      <c r="Z68" s="71">
        <f>IFERROR(s_RadSpec!$O$9*$Z$9,".")*$B$68</f>
        <v>1.8306913702000772E-6</v>
      </c>
      <c r="AA68" s="71">
        <f>IFERROR(s_RadSpec!$P$9*$AA$9,".")*$B$68</f>
        <v>3.578956359319886E-6</v>
      </c>
      <c r="AB68" s="71">
        <f>IFERROR(s_RadSpec!$L$9*$AB$9,".")*$B$68</f>
        <v>2.4508034644549783E-7</v>
      </c>
      <c r="AC68" s="49">
        <f t="shared" si="128"/>
        <v>5.0841572279582546E-6</v>
      </c>
      <c r="AD68" s="49">
        <f t="shared" si="129"/>
        <v>4.4831288870739519E-7</v>
      </c>
      <c r="AE68" s="49">
        <f t="shared" si="130"/>
        <v>1.8306913702000772E-6</v>
      </c>
      <c r="AF68" s="49">
        <f t="shared" si="131"/>
        <v>3.578956359319886E-6</v>
      </c>
      <c r="AG68" s="49">
        <f t="shared" si="132"/>
        <v>2.4508034644549783E-7</v>
      </c>
      <c r="AH68" s="60">
        <f>IFERROR(AH9/$B54,0)</f>
        <v>80.696019165303966</v>
      </c>
      <c r="AI68" s="60">
        <f>IFERROR(AI9/$B54,0)</f>
        <v>4761.142566490169</v>
      </c>
      <c r="AJ68" s="60">
        <f t="shared" si="133"/>
        <v>79.351107022131899</v>
      </c>
      <c r="AK68" s="71">
        <f>IFERROR(s_RadSpec!$F$9*AK9,".")*$B$68</f>
        <v>6.1960925107812488E-7</v>
      </c>
      <c r="AL68" s="71">
        <f>IFERROR(s_RadSpec!$K$9*$AL$9,".")*$B$68</f>
        <v>1.050168090993737E-8</v>
      </c>
      <c r="AM68" s="49">
        <f t="shared" si="134"/>
        <v>6.1960925107812488E-7</v>
      </c>
      <c r="AN68" s="49">
        <f t="shared" si="135"/>
        <v>1.050168090993737E-8</v>
      </c>
      <c r="AO68" s="49">
        <f t="shared" si="136"/>
        <v>6.301109319880622E-7</v>
      </c>
      <c r="AP68" s="60">
        <f>IFERROR(AP9/$B54,".")</f>
        <v>9468.2194543470014</v>
      </c>
      <c r="AQ68" s="60">
        <f>IFERROR(AQ9,".")</f>
        <v>3170.4978003179385</v>
      </c>
      <c r="AR68" s="60">
        <f>IFERROR(AR9/$B54,".")</f>
        <v>1375067.8884066863</v>
      </c>
      <c r="AS68" s="60">
        <f>IFERROR(AS9/$B54,".")</f>
        <v>9868.7505487362396</v>
      </c>
      <c r="AT68" s="60">
        <f t="shared" si="40"/>
        <v>1911.7477991245289</v>
      </c>
      <c r="AU68" s="71">
        <f>IFERROR(s_RadSpec!$I$9*AU9,".")*$B$68</f>
        <v>5.2808239438350001E-9</v>
      </c>
      <c r="AV68" s="71">
        <f>IFERROR(s_RadSpec!$F$9*AV9,".")</f>
        <v>1.5770394161757811E-8</v>
      </c>
      <c r="AW68" s="71">
        <f>IFERROR(s_RadSpec!$M$9*AW9,".")*$B$68</f>
        <v>3.6361841056397453E-11</v>
      </c>
      <c r="AX68" s="71">
        <f>s_b2w!AC68</f>
        <v>5.0664995282922455E-9</v>
      </c>
      <c r="AY68" s="49">
        <f t="shared" si="137"/>
        <v>5.2808239438350001E-9</v>
      </c>
      <c r="AZ68" s="49">
        <f t="shared" si="138"/>
        <v>1.5770394161757811E-8</v>
      </c>
      <c r="BA68" s="49">
        <f t="shared" si="139"/>
        <v>3.6361841056397453E-11</v>
      </c>
      <c r="BB68" s="49">
        <f t="shared" si="60"/>
        <v>5.0664995282922455E-9</v>
      </c>
      <c r="BC68" s="49">
        <f t="shared" si="61"/>
        <v>2.6154079474941458E-8</v>
      </c>
      <c r="BD68" s="60">
        <f>IFERROR(BD9/$B54,0)</f>
        <v>1246.1026744785329</v>
      </c>
      <c r="BE68" s="71">
        <f>IFERROR(s_RadSpec!$H$9*BE9,".")*$B$68</f>
        <v>4.0125104474977501E-8</v>
      </c>
      <c r="BF68" s="49">
        <f t="shared" si="140"/>
        <v>4.0125104474977501E-8</v>
      </c>
    </row>
    <row r="69" spans="1:58" x14ac:dyDescent="0.25">
      <c r="A69" s="48" t="s">
        <v>1090</v>
      </c>
      <c r="B69" s="45">
        <v>1.9999999999999999E-7</v>
      </c>
      <c r="C69" s="178"/>
      <c r="D69" s="60">
        <f>IFERROR(D24/$B55,0)</f>
        <v>0</v>
      </c>
      <c r="E69" s="60">
        <f>IFERROR(E24/$B55,0)</f>
        <v>0</v>
      </c>
      <c r="F69" s="60">
        <f>IFERROR(F24/$B55,0)</f>
        <v>188216159954.27615</v>
      </c>
      <c r="G69" s="60">
        <f>IFERROR(G24/$B55,0)</f>
        <v>0</v>
      </c>
      <c r="H69" s="60">
        <f>IFERROR(H24/$B55,0)</f>
        <v>0</v>
      </c>
      <c r="I69" s="60">
        <f t="shared" si="123"/>
        <v>188216159954.27615</v>
      </c>
      <c r="J69" s="71">
        <f>IFERROR(s_RadSpec!$E$24*J24,".")*$B$69</f>
        <v>0</v>
      </c>
      <c r="K69" s="71">
        <f>IFERROR(s_RadSpec!$F$24*$K$24,".")*B69</f>
        <v>0</v>
      </c>
      <c r="L69" s="71">
        <f>IFERROR(s_RadSpec!$G$24*$L$24,".")*B69</f>
        <v>2.6565200359069395E-16</v>
      </c>
      <c r="M69" s="71">
        <f>s_b2s!AC69</f>
        <v>0</v>
      </c>
      <c r="N69" s="49">
        <f t="shared" si="124"/>
        <v>0</v>
      </c>
      <c r="O69" s="49">
        <f t="shared" si="125"/>
        <v>0</v>
      </c>
      <c r="P69" s="49">
        <f t="shared" si="126"/>
        <v>2.6565200359069395E-16</v>
      </c>
      <c r="Q69" s="49">
        <f t="shared" si="46"/>
        <v>0</v>
      </c>
      <c r="R69" s="49">
        <f t="shared" si="127"/>
        <v>2.6565200359069395E-16</v>
      </c>
      <c r="S69" s="60">
        <f>IFERROR(S24/$B55,0)</f>
        <v>188216159954.27615</v>
      </c>
      <c r="T69" s="60">
        <f>IFERROR(T24/$B55,0)</f>
        <v>1658163993718.4878</v>
      </c>
      <c r="U69" s="60">
        <f>IFERROR(U24/$B55,0)</f>
        <v>415902434000.08405</v>
      </c>
      <c r="V69" s="60">
        <f>IFERROR(V24/$B55,0)</f>
        <v>224412783477.64206</v>
      </c>
      <c r="W69" s="60">
        <f>IFERROR(W24/$B55,0)</f>
        <v>2821112292487.1548</v>
      </c>
      <c r="X69" s="71">
        <f>IFERROR(s_RadSpec!$G$24*$X$24,".")*$B$69</f>
        <v>2.6565200359069395E-16</v>
      </c>
      <c r="Y69" s="71">
        <f>IFERROR(s_RadSpec!$N$24*$Y$24,".")*$B$69</f>
        <v>3.0153832907608467E-17</v>
      </c>
      <c r="Z69" s="71">
        <f>IFERROR(s_RadSpec!$O$24*$Z$24,".")*$B$69</f>
        <v>1.2022050344622388E-16</v>
      </c>
      <c r="AA69" s="71">
        <f>IFERROR(s_RadSpec!$P$24*$AA$24,".")*$B$69</f>
        <v>2.2280370674597259E-16</v>
      </c>
      <c r="AB69" s="71">
        <f>IFERROR(s_RadSpec!$L$24*$AB$24,".")*$B$69</f>
        <v>1.7723505772228197E-17</v>
      </c>
      <c r="AC69" s="49">
        <f t="shared" si="128"/>
        <v>2.6565200359069395E-16</v>
      </c>
      <c r="AD69" s="49">
        <f t="shared" si="129"/>
        <v>3.0153832907608467E-17</v>
      </c>
      <c r="AE69" s="49">
        <f t="shared" si="130"/>
        <v>1.2022050344622388E-16</v>
      </c>
      <c r="AF69" s="49">
        <f t="shared" si="131"/>
        <v>2.2280370674597259E-16</v>
      </c>
      <c r="AG69" s="49">
        <f t="shared" si="132"/>
        <v>1.7723505772228197E-17</v>
      </c>
      <c r="AH69" s="60">
        <f>IFERROR(AH24/$B55,0)</f>
        <v>0</v>
      </c>
      <c r="AI69" s="60">
        <f>IFERROR(AI24/$B55,0)</f>
        <v>49965826830987.688</v>
      </c>
      <c r="AJ69" s="60">
        <f t="shared" si="133"/>
        <v>49965826830987.695</v>
      </c>
      <c r="AK69" s="71">
        <f>IFERROR(s_RadSpec!$F$24*AK24,".")*$B$69</f>
        <v>0</v>
      </c>
      <c r="AL69" s="71">
        <f>IFERROR(s_RadSpec!$K$24*$AL$24,".")*$B$69</f>
        <v>1.0006839308219179E-18</v>
      </c>
      <c r="AM69" s="49">
        <f t="shared" si="134"/>
        <v>0</v>
      </c>
      <c r="AN69" s="49">
        <f t="shared" si="135"/>
        <v>1.0006839308219179E-18</v>
      </c>
      <c r="AO69" s="49">
        <f t="shared" si="136"/>
        <v>1.0006839308219179E-18</v>
      </c>
      <c r="AP69" s="60" t="str">
        <f>IFERROR(AP24/$B55,".")</f>
        <v>.</v>
      </c>
      <c r="AQ69" s="60" t="str">
        <f>IFERROR(AQ24,".")</f>
        <v>.</v>
      </c>
      <c r="AR69" s="60">
        <f>IFERROR(AR24/$B55,".")</f>
        <v>1.4376760882019012E+16</v>
      </c>
      <c r="AS69" s="60" t="str">
        <f>IFERROR(AS24/$B55,".")</f>
        <v>.</v>
      </c>
      <c r="AT69" s="60">
        <f t="shared" si="40"/>
        <v>1.4376760882019012E+16</v>
      </c>
      <c r="AU69" s="71">
        <f>IFERROR(s_RadSpec!$I$24*AU24,".")*$B$69</f>
        <v>0</v>
      </c>
      <c r="AV69" s="71">
        <f>IFERROR(s_RadSpec!$F$24*AV24,".")</f>
        <v>0</v>
      </c>
      <c r="AW69" s="71">
        <f>IFERROR(s_RadSpec!$M$24*AW24,".")*$B$69</f>
        <v>3.4778348482191779E-21</v>
      </c>
      <c r="AX69" s="71">
        <f>s_b2w!AC69</f>
        <v>0</v>
      </c>
      <c r="AY69" s="49">
        <f t="shared" si="137"/>
        <v>0</v>
      </c>
      <c r="AZ69" s="49">
        <f t="shared" si="138"/>
        <v>0</v>
      </c>
      <c r="BA69" s="49">
        <f t="shared" si="139"/>
        <v>3.4778348482191779E-21</v>
      </c>
      <c r="BB69" s="49">
        <f t="shared" si="60"/>
        <v>0</v>
      </c>
      <c r="BC69" s="49">
        <f t="shared" si="61"/>
        <v>3.4778348482191779E-21</v>
      </c>
      <c r="BD69" s="60">
        <f>IFERROR(BD24/$B55,0)</f>
        <v>0</v>
      </c>
      <c r="BE69" s="71">
        <f>IFERROR(s_RadSpec!$H$24*BE24,".")*$B$69</f>
        <v>0</v>
      </c>
      <c r="BF69" s="49">
        <f t="shared" si="140"/>
        <v>0</v>
      </c>
    </row>
    <row r="70" spans="1:58" x14ac:dyDescent="0.25">
      <c r="A70" s="48" t="s">
        <v>1091</v>
      </c>
      <c r="B70" s="45">
        <v>0.99979000004200003</v>
      </c>
      <c r="C70" s="178"/>
      <c r="D70" s="60">
        <f>IFERROR(D20/$B56,0)</f>
        <v>0</v>
      </c>
      <c r="E70" s="60">
        <f>IFERROR(E20/$B56,0)</f>
        <v>0</v>
      </c>
      <c r="F70" s="60">
        <f>IFERROR(F20/$B56,0)</f>
        <v>259143.33390734077</v>
      </c>
      <c r="G70" s="60">
        <f>IFERROR(G20/$B56,0)</f>
        <v>0</v>
      </c>
      <c r="H70" s="60">
        <f>IFERROR(H20/$B56,0)</f>
        <v>0</v>
      </c>
      <c r="I70" s="60">
        <f t="shared" si="123"/>
        <v>259143.33390734077</v>
      </c>
      <c r="J70" s="71">
        <f>IFERROR(s_RadSpec!$E$20*J20,".")*$B$70</f>
        <v>0</v>
      </c>
      <c r="K70" s="71">
        <f>IFERROR(s_RadSpec!$F$20*$K$20,".")*B70</f>
        <v>0</v>
      </c>
      <c r="L70" s="71">
        <f>IFERROR(s_RadSpec!$G$20*$L$20,".")*B70</f>
        <v>1.9294341570012368E-10</v>
      </c>
      <c r="M70" s="71">
        <f>s_b2s!AC70</f>
        <v>0</v>
      </c>
      <c r="N70" s="49">
        <f t="shared" si="124"/>
        <v>0</v>
      </c>
      <c r="O70" s="49">
        <f t="shared" si="125"/>
        <v>0</v>
      </c>
      <c r="P70" s="49">
        <f t="shared" si="126"/>
        <v>1.9294341570012368E-10</v>
      </c>
      <c r="Q70" s="49">
        <f t="shared" si="46"/>
        <v>0</v>
      </c>
      <c r="R70" s="49">
        <f t="shared" si="127"/>
        <v>1.9294341570012368E-10</v>
      </c>
      <c r="S70" s="60">
        <f>IFERROR(S20/$B56,0)</f>
        <v>259143.33390734077</v>
      </c>
      <c r="T70" s="60">
        <f>IFERROR(T20/$B56,0)</f>
        <v>2583459.1803574152</v>
      </c>
      <c r="U70" s="60">
        <f>IFERROR(U20/$B56,0)</f>
        <v>641302.4392815032</v>
      </c>
      <c r="V70" s="60">
        <f>IFERROR(V20/$B56,0)</f>
        <v>342842.89518658351</v>
      </c>
      <c r="W70" s="60">
        <f>IFERROR(W20/$B56,0)</f>
        <v>4518397.8611364355</v>
      </c>
      <c r="X70" s="71">
        <f>IFERROR(s_RadSpec!$G$20*$X$20,".")*$B$70</f>
        <v>1.9294341570012368E-10</v>
      </c>
      <c r="Y70" s="71">
        <f>IFERROR(s_RadSpec!$N$20*$Y$20,".")*$B$70</f>
        <v>1.9353895885083281E-11</v>
      </c>
      <c r="Z70" s="71">
        <f>IFERROR(s_RadSpec!$O$20*$Z$20,".")*$B$70</f>
        <v>7.7966333725501749E-11</v>
      </c>
      <c r="AA70" s="71">
        <f>IFERROR(s_RadSpec!$P$20*$AA$20,".")*$B$70</f>
        <v>1.4583939379227557E-10</v>
      </c>
      <c r="AB70" s="71">
        <f>IFERROR(s_RadSpec!$L$20*$AB$20,".")*$B$70</f>
        <v>1.1065869260885398E-11</v>
      </c>
      <c r="AC70" s="49">
        <f t="shared" si="128"/>
        <v>1.9294341570012368E-10</v>
      </c>
      <c r="AD70" s="49">
        <f t="shared" si="129"/>
        <v>1.9353895885083281E-11</v>
      </c>
      <c r="AE70" s="49">
        <f t="shared" si="130"/>
        <v>7.7966333725501749E-11</v>
      </c>
      <c r="AF70" s="49">
        <f t="shared" si="131"/>
        <v>1.4583939379227557E-10</v>
      </c>
      <c r="AG70" s="49">
        <f t="shared" si="132"/>
        <v>1.1065869260885398E-11</v>
      </c>
      <c r="AH70" s="60">
        <f>IFERROR(AH20/$B56,0)</f>
        <v>0</v>
      </c>
      <c r="AI70" s="60">
        <f>IFERROR(AI20/$B56,0)</f>
        <v>89173437.038030326</v>
      </c>
      <c r="AJ70" s="60">
        <f t="shared" si="133"/>
        <v>89173437.038030326</v>
      </c>
      <c r="AK70" s="71">
        <f>IFERROR(s_RadSpec!$F$20*AK20,".")*$B$70</f>
        <v>0</v>
      </c>
      <c r="AL70" s="71">
        <f>IFERROR(s_RadSpec!$K$20*$AL$20,".")*$B$70</f>
        <v>5.6070508955123276E-13</v>
      </c>
      <c r="AM70" s="49">
        <f t="shared" si="134"/>
        <v>0</v>
      </c>
      <c r="AN70" s="49">
        <f t="shared" si="135"/>
        <v>5.6070508955123276E-13</v>
      </c>
      <c r="AO70" s="49">
        <f t="shared" si="136"/>
        <v>5.6070508955123276E-13</v>
      </c>
      <c r="AP70" s="60" t="str">
        <f>IFERROR(AP20/$B56,".")</f>
        <v>.</v>
      </c>
      <c r="AQ70" s="60" t="str">
        <f>IFERROR(AQ20,".")</f>
        <v>.</v>
      </c>
      <c r="AR70" s="60">
        <f>IFERROR(AR20/$B56,".")</f>
        <v>25723106837.893364</v>
      </c>
      <c r="AS70" s="60" t="str">
        <f>IFERROR(AS20/$B56,".")</f>
        <v>.</v>
      </c>
      <c r="AT70" s="60">
        <f t="shared" si="40"/>
        <v>25723106837.893364</v>
      </c>
      <c r="AU70" s="71">
        <f>IFERROR(s_RadSpec!$I$20*AU20,".")*$B$70</f>
        <v>0</v>
      </c>
      <c r="AV70" s="71">
        <f>IFERROR(s_RadSpec!$F$20*AV20,".")</f>
        <v>0</v>
      </c>
      <c r="AW70" s="71">
        <f>IFERROR(s_RadSpec!$M$20*AW20,".")*$B$70</f>
        <v>1.9437776437776062E-15</v>
      </c>
      <c r="AX70" s="71">
        <f>s_b2w!AC70</f>
        <v>0</v>
      </c>
      <c r="AY70" s="49">
        <f t="shared" si="137"/>
        <v>0</v>
      </c>
      <c r="AZ70" s="49">
        <f t="shared" si="138"/>
        <v>0</v>
      </c>
      <c r="BA70" s="49">
        <f t="shared" si="139"/>
        <v>1.9437776437776062E-15</v>
      </c>
      <c r="BB70" s="49">
        <f t="shared" si="60"/>
        <v>0</v>
      </c>
      <c r="BC70" s="49">
        <f t="shared" si="61"/>
        <v>1.9437776437776062E-15</v>
      </c>
      <c r="BD70" s="60">
        <f>IFERROR(BD20/$B56,0)</f>
        <v>0</v>
      </c>
      <c r="BE70" s="71">
        <f>IFERROR(s_RadSpec!$H$20*BE20,".")*$B$70</f>
        <v>0</v>
      </c>
      <c r="BF70" s="49">
        <f t="shared" si="140"/>
        <v>0</v>
      </c>
    </row>
    <row r="71" spans="1:58" x14ac:dyDescent="0.25">
      <c r="A71" s="48" t="s">
        <v>1092</v>
      </c>
      <c r="B71" s="45">
        <v>2.0999995799999999E-4</v>
      </c>
      <c r="C71" s="178"/>
      <c r="D71" s="60">
        <f>IFERROR(D29/$B57,0)</f>
        <v>0</v>
      </c>
      <c r="E71" s="60">
        <f>IFERROR(E29/$B57,0)</f>
        <v>0</v>
      </c>
      <c r="F71" s="60">
        <f>IFERROR(F29/$B57,0)</f>
        <v>27864.319920547932</v>
      </c>
      <c r="G71" s="60">
        <f>IFERROR(G29/$B57,0)</f>
        <v>0</v>
      </c>
      <c r="H71" s="60">
        <f>IFERROR(H29/$B57,0)</f>
        <v>0</v>
      </c>
      <c r="I71" s="60">
        <f t="shared" si="123"/>
        <v>27864.319920547932</v>
      </c>
      <c r="J71" s="71">
        <f>IFERROR(s_RadSpec!$E$29*J29,".")*$B$71</f>
        <v>0</v>
      </c>
      <c r="K71" s="71">
        <f>IFERROR(s_RadSpec!$F$29*$K$29,".")*B71</f>
        <v>0</v>
      </c>
      <c r="L71" s="71">
        <f>IFERROR(s_RadSpec!$G$29*$L$29,".")*B71</f>
        <v>1.7944094864891572E-9</v>
      </c>
      <c r="M71" s="71">
        <f>s_b2s!AC71</f>
        <v>0</v>
      </c>
      <c r="N71" s="49">
        <f t="shared" si="124"/>
        <v>0</v>
      </c>
      <c r="O71" s="49">
        <f t="shared" si="125"/>
        <v>0</v>
      </c>
      <c r="P71" s="49">
        <f t="shared" si="126"/>
        <v>1.7944094864891572E-9</v>
      </c>
      <c r="Q71" s="49">
        <f t="shared" si="46"/>
        <v>0</v>
      </c>
      <c r="R71" s="49">
        <f t="shared" si="127"/>
        <v>1.7944094864891572E-9</v>
      </c>
      <c r="S71" s="60">
        <f>IFERROR(S29/$B57,0)</f>
        <v>27864.319920547932</v>
      </c>
      <c r="T71" s="60">
        <f>IFERROR(T29/$B57,0)</f>
        <v>300482.30843059567</v>
      </c>
      <c r="U71" s="60">
        <f>IFERROR(U29/$B57,0)</f>
        <v>74725.166322809906</v>
      </c>
      <c r="V71" s="60">
        <f>IFERROR(V29/$B57,0)</f>
        <v>39712.48421789641</v>
      </c>
      <c r="W71" s="60">
        <f>IFERROR(W29/$B57,0)</f>
        <v>557380.98840322043</v>
      </c>
      <c r="X71" s="71">
        <f>IFERROR(s_RadSpec!$G$29*$X$29,".")*$B$71</f>
        <v>1.7944094864891572E-9</v>
      </c>
      <c r="Y71" s="71">
        <f>IFERROR(s_RadSpec!$N$29*$Y$29,".")*$B$71</f>
        <v>1.6639914762751774E-10</v>
      </c>
      <c r="Z71" s="71">
        <f>IFERROR(s_RadSpec!$O$29*$Z$29,".")*$B$71</f>
        <v>6.6911861773584921E-10</v>
      </c>
      <c r="AA71" s="71">
        <f>IFERROR(s_RadSpec!$P$29*$AA$29,".")*$B$71</f>
        <v>1.2590499180473711E-9</v>
      </c>
      <c r="AB71" s="71">
        <f>IFERROR(s_RadSpec!$L$29*$AB$29,".")*$B$71</f>
        <v>8.9705248367439861E-11</v>
      </c>
      <c r="AC71" s="49">
        <f t="shared" si="128"/>
        <v>1.7944094864891572E-9</v>
      </c>
      <c r="AD71" s="49">
        <f t="shared" si="129"/>
        <v>1.6639914762751774E-10</v>
      </c>
      <c r="AE71" s="49">
        <f t="shared" si="130"/>
        <v>6.6911861773584921E-10</v>
      </c>
      <c r="AF71" s="49">
        <f t="shared" si="131"/>
        <v>1.2590499180473711E-9</v>
      </c>
      <c r="AG71" s="49">
        <f t="shared" si="132"/>
        <v>8.9705248367439861E-11</v>
      </c>
      <c r="AH71" s="60">
        <f>IFERROR(AH29/$B57,0)</f>
        <v>0</v>
      </c>
      <c r="AI71" s="60">
        <f>IFERROR(AI29/$B57,0)</f>
        <v>12255771.296490857</v>
      </c>
      <c r="AJ71" s="60">
        <f t="shared" si="133"/>
        <v>12255771.296490857</v>
      </c>
      <c r="AK71" s="71">
        <f>IFERROR(s_RadSpec!$F$29*AK29,".")*$B$71</f>
        <v>0</v>
      </c>
      <c r="AL71" s="71">
        <f>IFERROR(s_RadSpec!$K$29*$AL$29,".")*$B$71</f>
        <v>4.0797105943316913E-12</v>
      </c>
      <c r="AM71" s="49">
        <f t="shared" si="134"/>
        <v>0</v>
      </c>
      <c r="AN71" s="49">
        <f t="shared" si="135"/>
        <v>4.0797105943316913E-12</v>
      </c>
      <c r="AO71" s="49">
        <f t="shared" si="136"/>
        <v>4.0797105943316913E-12</v>
      </c>
      <c r="AP71" s="60" t="str">
        <f>IFERROR(AP29/$B57,".")</f>
        <v>.</v>
      </c>
      <c r="AQ71" s="60" t="str">
        <f>IFERROR(AQ29,".")</f>
        <v>.</v>
      </c>
      <c r="AR71" s="60">
        <f>IFERROR(AR29/$B57,".")</f>
        <v>3530194993.0109549</v>
      </c>
      <c r="AS71" s="60" t="str">
        <f>IFERROR(AS29/$B57,".")</f>
        <v>.</v>
      </c>
      <c r="AT71" s="60">
        <f t="shared" si="40"/>
        <v>3530194993.0109553</v>
      </c>
      <c r="AU71" s="71">
        <f>IFERROR(s_RadSpec!$I$29*AU29,".")*$B$71</f>
        <v>0</v>
      </c>
      <c r="AV71" s="71">
        <f>IFERROR(s_RadSpec!$F$29*AV29,".")</f>
        <v>0</v>
      </c>
      <c r="AW71" s="71">
        <f>IFERROR(s_RadSpec!$M$29*AW29,".")*$B$71</f>
        <v>1.4163523572774169E-14</v>
      </c>
      <c r="AX71" s="71">
        <f>s_b2w!AC71</f>
        <v>0</v>
      </c>
      <c r="AY71" s="49">
        <f t="shared" si="137"/>
        <v>0</v>
      </c>
      <c r="AZ71" s="49">
        <f t="shared" si="138"/>
        <v>0</v>
      </c>
      <c r="BA71" s="49">
        <f t="shared" si="139"/>
        <v>1.4163523572774169E-14</v>
      </c>
      <c r="BB71" s="49">
        <f t="shared" si="60"/>
        <v>0</v>
      </c>
      <c r="BC71" s="49">
        <f t="shared" si="61"/>
        <v>1.4163523572774169E-14</v>
      </c>
      <c r="BD71" s="60">
        <f>IFERROR(BD29/$B57,0)</f>
        <v>0</v>
      </c>
      <c r="BE71" s="71">
        <f>IFERROR(s_RadSpec!$H$29*BE29,".")*$B$71</f>
        <v>0</v>
      </c>
      <c r="BF71" s="49">
        <f t="shared" si="140"/>
        <v>0</v>
      </c>
    </row>
    <row r="72" spans="1:58" x14ac:dyDescent="0.25">
      <c r="A72" s="48" t="s">
        <v>1093</v>
      </c>
      <c r="B72" s="45">
        <v>1</v>
      </c>
      <c r="C72" s="178"/>
      <c r="D72" s="60">
        <f>IFERROR(D16/$B58,0)</f>
        <v>96.277525744610386</v>
      </c>
      <c r="E72" s="60">
        <f>IFERROR(E16/$B58,0)</f>
        <v>97334.838568458756</v>
      </c>
      <c r="F72" s="60">
        <f>IFERROR(F16/$B58,0)</f>
        <v>1432910220.5237269</v>
      </c>
      <c r="G72" s="60">
        <f>IFERROR(G16/$B58,0)</f>
        <v>3.1117602153716586</v>
      </c>
      <c r="H72" s="60">
        <f>IFERROR(H16/$B58,0)</f>
        <v>7.0240207461476759E-2</v>
      </c>
      <c r="I72" s="60">
        <f t="shared" si="123"/>
        <v>3.0142413542211357</v>
      </c>
      <c r="J72" s="71">
        <f>IFERROR(s_RadSpec!$E$16*J16,".")*$B$72</f>
        <v>5.1933199999999998E-7</v>
      </c>
      <c r="K72" s="71">
        <f>IFERROR(s_RadSpec!$F$16*$K$16,".")*B72</f>
        <v>5.1369068604180582E-10</v>
      </c>
      <c r="L72" s="71">
        <f>IFERROR(s_RadSpec!$G$16*$L$16,".")*B72</f>
        <v>3.4894021470322872E-14</v>
      </c>
      <c r="M72" s="71">
        <f>s_b2s!AC72</f>
        <v>1.6068076117500001E-5</v>
      </c>
      <c r="N72" s="49">
        <f t="shared" si="124"/>
        <v>5.1933199999999998E-7</v>
      </c>
      <c r="O72" s="49">
        <f t="shared" si="125"/>
        <v>5.1369068604180582E-10</v>
      </c>
      <c r="P72" s="49">
        <f t="shared" si="126"/>
        <v>3.4894021470322872E-14</v>
      </c>
      <c r="Q72" s="49">
        <f t="shared" si="46"/>
        <v>1.6068076117500001E-5</v>
      </c>
      <c r="R72" s="49">
        <f t="shared" si="127"/>
        <v>1.6587921843080063E-5</v>
      </c>
      <c r="S72" s="60">
        <f>IFERROR(S16/$B58,0)</f>
        <v>1432910220.5237269</v>
      </c>
      <c r="T72" s="60">
        <f>IFERROR(T16/$B58,0)</f>
        <v>3971806619.7262816</v>
      </c>
      <c r="U72" s="60">
        <f>IFERROR(U16/$B58,0)</f>
        <v>1550154964.3209972</v>
      </c>
      <c r="V72" s="60">
        <f>IFERROR(V16/$B58,0)</f>
        <v>1540987892.4140182</v>
      </c>
      <c r="W72" s="60">
        <f>IFERROR(W16/$B58,0)</f>
        <v>51552043555.780952</v>
      </c>
      <c r="X72" s="71">
        <f>IFERROR(s_RadSpec!$G$16*$X$16,".")*$B$72</f>
        <v>3.4894021470322872E-14</v>
      </c>
      <c r="Y72" s="71">
        <f>IFERROR(s_RadSpec!$N$16*$Y$16,".")*$B$72</f>
        <v>1.2588729710976152E-14</v>
      </c>
      <c r="Z72" s="71">
        <f>IFERROR(s_RadSpec!$O$16*$Z$16,".")*$B$72</f>
        <v>3.225483977461642E-14</v>
      </c>
      <c r="AA72" s="71">
        <f>IFERROR(s_RadSpec!$P$16*$AA$16,".")*$B$72</f>
        <v>3.244671826828765E-14</v>
      </c>
      <c r="AB72" s="71">
        <f>IFERROR(s_RadSpec!$L$16*$AB$16,".")*$B$72</f>
        <v>9.6989365602739706E-16</v>
      </c>
      <c r="AC72" s="49">
        <f t="shared" si="128"/>
        <v>3.4894021470322872E-14</v>
      </c>
      <c r="AD72" s="49">
        <f t="shared" si="129"/>
        <v>1.2588729710976152E-14</v>
      </c>
      <c r="AE72" s="49">
        <f t="shared" si="130"/>
        <v>3.225483977461642E-14</v>
      </c>
      <c r="AF72" s="49">
        <f t="shared" si="131"/>
        <v>3.244671826828765E-14</v>
      </c>
      <c r="AG72" s="49">
        <f t="shared" si="132"/>
        <v>9.6989365602739706E-16</v>
      </c>
      <c r="AH72" s="60">
        <f>IFERROR(AH16/$B58,0)</f>
        <v>0.31418213236395059</v>
      </c>
      <c r="AI72" s="60">
        <f>IFERROR(AI16/$B58,0)</f>
        <v>8095353.5459107636</v>
      </c>
      <c r="AJ72" s="60">
        <f t="shared" si="133"/>
        <v>0.3141821201704858</v>
      </c>
      <c r="AK72" s="71">
        <f>IFERROR(s_RadSpec!$F$16*AK16,".")*$B$72</f>
        <v>1.5914335937499999E-4</v>
      </c>
      <c r="AL72" s="71">
        <f>IFERROR(s_RadSpec!$K$16*$AL$16,".")*$B$72</f>
        <v>6.1763825034246576E-12</v>
      </c>
      <c r="AM72" s="49">
        <f t="shared" si="134"/>
        <v>1.5914335937499999E-4</v>
      </c>
      <c r="AN72" s="49">
        <f t="shared" si="135"/>
        <v>6.1763825034246576E-12</v>
      </c>
      <c r="AO72" s="49">
        <f t="shared" si="136"/>
        <v>1.591433655513825E-4</v>
      </c>
      <c r="AP72" s="60">
        <f>IFERROR(AP16/$B58,".")</f>
        <v>2.0560690016756964</v>
      </c>
      <c r="AQ72" s="60" t="str">
        <f>IFERROR(AQ16,".")</f>
        <v>.</v>
      </c>
      <c r="AR72" s="60">
        <f>IFERROR(AR16/$B58,".")</f>
        <v>2191624473.7885022</v>
      </c>
      <c r="AS72" s="60">
        <f>IFERROR(AS16/$B58,".")</f>
        <v>5.2031632166965034</v>
      </c>
      <c r="AT72" s="60">
        <f t="shared" si="40"/>
        <v>1.4737181938111472</v>
      </c>
      <c r="AU72" s="71">
        <f>IFERROR(s_RadSpec!$I$16*AU16,".")*$B$72</f>
        <v>2.431825E-5</v>
      </c>
      <c r="AV72" s="71">
        <f>IFERROR(s_RadSpec!$F$16*AV16,".")</f>
        <v>0</v>
      </c>
      <c r="AW72" s="71">
        <f>IFERROR(s_RadSpec!$M$16*AW16,".")*$B$72</f>
        <v>2.2814127419178081E-14</v>
      </c>
      <c r="AX72" s="71">
        <f>s_b2w!AC72</f>
        <v>9.609539028019396E-6</v>
      </c>
      <c r="AY72" s="49">
        <f t="shared" si="137"/>
        <v>2.431825E-5</v>
      </c>
      <c r="AZ72" s="49">
        <f t="shared" si="138"/>
        <v>0</v>
      </c>
      <c r="BA72" s="49">
        <f t="shared" si="139"/>
        <v>2.2814127419178081E-14</v>
      </c>
      <c r="BB72" s="49">
        <f t="shared" si="60"/>
        <v>9.609539028019396E-6</v>
      </c>
      <c r="BC72" s="49">
        <f t="shared" si="61"/>
        <v>3.3927789050833524E-5</v>
      </c>
      <c r="BD72" s="60">
        <f>IFERROR(BD16/$B58,0)</f>
        <v>0.28096082984590703</v>
      </c>
      <c r="BE72" s="71">
        <f>IFERROR(s_RadSpec!$H$16*BE16,".")*$B$72</f>
        <v>1.7796075E-4</v>
      </c>
      <c r="BF72" s="49">
        <f t="shared" si="140"/>
        <v>1.7796075E-4</v>
      </c>
    </row>
    <row r="73" spans="1:58" x14ac:dyDescent="0.25">
      <c r="A73" s="48" t="s">
        <v>1094</v>
      </c>
      <c r="B73" s="45">
        <v>1</v>
      </c>
      <c r="C73" s="178"/>
      <c r="D73" s="60">
        <f>IFERROR(D7/$B59,0)</f>
        <v>6883.3238744991095</v>
      </c>
      <c r="E73" s="60">
        <f>IFERROR(E7/$B59,0)</f>
        <v>3394849.2476316104</v>
      </c>
      <c r="F73" s="60">
        <f>IFERROR(F7/$B59,0)</f>
        <v>92191.610738440344</v>
      </c>
      <c r="G73" s="60">
        <f>IFERROR(G7/$B59,0)</f>
        <v>55.908054597390894</v>
      </c>
      <c r="H73" s="60">
        <f>IFERROR(H7/$B59,0)</f>
        <v>6.345564196803867</v>
      </c>
      <c r="I73" s="60">
        <f t="shared" si="123"/>
        <v>55.423369010464796</v>
      </c>
      <c r="J73" s="71">
        <f>IFERROR(s_RadSpec!$E$7*J7,".")*$B$73</f>
        <v>7.2639324999999997E-9</v>
      </c>
      <c r="K73" s="71">
        <f>IFERROR(s_RadSpec!$F$7*$K$7,".")*B73</f>
        <v>1.4728194494904925E-11</v>
      </c>
      <c r="L73" s="71">
        <f>IFERROR(s_RadSpec!$G$7*$L$7,".")*B73</f>
        <v>5.4234869745205499E-10</v>
      </c>
      <c r="M73" s="71">
        <f>s_b2s!AC73</f>
        <v>8.9432551999999999E-7</v>
      </c>
      <c r="N73" s="49">
        <f t="shared" si="124"/>
        <v>7.2639324999999997E-9</v>
      </c>
      <c r="O73" s="49">
        <f t="shared" si="125"/>
        <v>1.4728194494904925E-11</v>
      </c>
      <c r="P73" s="49">
        <f t="shared" si="126"/>
        <v>5.4234869745205499E-10</v>
      </c>
      <c r="Q73" s="49">
        <f t="shared" si="46"/>
        <v>8.9432551999999999E-7</v>
      </c>
      <c r="R73" s="49">
        <f t="shared" si="127"/>
        <v>9.0214652939194694E-7</v>
      </c>
      <c r="S73" s="60">
        <f>IFERROR(S7/$B59,0)</f>
        <v>92191.610738440344</v>
      </c>
      <c r="T73" s="60">
        <f>IFERROR(T7/$B59,0)</f>
        <v>425143.38901385647</v>
      </c>
      <c r="U73" s="60">
        <f>IFERROR(U7/$B59,0)</f>
        <v>144692.94992701543</v>
      </c>
      <c r="V73" s="60">
        <f>IFERROR(V7/$B59,0)</f>
        <v>101853.01908357482</v>
      </c>
      <c r="W73" s="60">
        <f>IFERROR(W7/$B59,0)</f>
        <v>144030.79331160581</v>
      </c>
      <c r="X73" s="71">
        <f>IFERROR(s_RadSpec!$G$7*$X$7,".")*$B$73</f>
        <v>5.4234869745205499E-10</v>
      </c>
      <c r="Y73" s="71">
        <f>IFERROR(s_RadSpec!$N$7*$Y$7,".")*$B$73</f>
        <v>1.1760737975010681E-10</v>
      </c>
      <c r="Z73" s="71">
        <f>IFERROR(s_RadSpec!$O$7*$Z$7,".")*$B$73</f>
        <v>3.455593380687898E-10</v>
      </c>
      <c r="AA73" s="71">
        <f>IFERROR(s_RadSpec!$P$7*$AA$7,".")*$B$73</f>
        <v>4.9090346510958919E-10</v>
      </c>
      <c r="AB73" s="71">
        <f>IFERROR(s_RadSpec!$L$7*$AB$7,".")*$B$73</f>
        <v>3.4714798724899516E-10</v>
      </c>
      <c r="AC73" s="49">
        <f t="shared" si="128"/>
        <v>5.4234869745205499E-10</v>
      </c>
      <c r="AD73" s="49">
        <f t="shared" si="129"/>
        <v>1.1760737975010681E-10</v>
      </c>
      <c r="AE73" s="49">
        <f t="shared" si="130"/>
        <v>3.455593380687898E-10</v>
      </c>
      <c r="AF73" s="49">
        <f t="shared" si="131"/>
        <v>4.9090346510958919E-10</v>
      </c>
      <c r="AG73" s="49">
        <f t="shared" si="132"/>
        <v>3.4714798724899516E-10</v>
      </c>
      <c r="AH73" s="60">
        <f>IFERROR(AH7/$B59,0)</f>
        <v>10.958059738547544</v>
      </c>
      <c r="AI73" s="60">
        <f>IFERROR(AI7/$B59,0)</f>
        <v>6022371.1809534831</v>
      </c>
      <c r="AJ73" s="60">
        <f t="shared" si="133"/>
        <v>10.958039799747503</v>
      </c>
      <c r="AK73" s="71">
        <f>IFERROR(s_RadSpec!$F$7*AK7,".")*$B$73</f>
        <v>4.5628515624999995E-6</v>
      </c>
      <c r="AL73" s="71">
        <f>IFERROR(s_RadSpec!$K$7*$AL$7,".")*$B$73</f>
        <v>8.3023776678082202E-12</v>
      </c>
      <c r="AM73" s="49">
        <f t="shared" si="134"/>
        <v>4.5628515624999995E-6</v>
      </c>
      <c r="AN73" s="49">
        <f t="shared" si="135"/>
        <v>8.3023776678082202E-12</v>
      </c>
      <c r="AO73" s="49">
        <f t="shared" si="136"/>
        <v>4.5628598648776677E-6</v>
      </c>
      <c r="AP73" s="60">
        <f>IFERROR(AP7/$B59,".")</f>
        <v>203.90061883837819</v>
      </c>
      <c r="AQ73" s="60" t="str">
        <f>IFERROR(AQ7,".")</f>
        <v>.</v>
      </c>
      <c r="AR73" s="60">
        <f>IFERROR(AR7/$B59,".")</f>
        <v>2544901254.6379924</v>
      </c>
      <c r="AS73" s="60">
        <f>IFERROR(AS7/$B59,".")</f>
        <v>201.01967978025729</v>
      </c>
      <c r="AT73" s="60">
        <f t="shared" si="40"/>
        <v>101.22494628052068</v>
      </c>
      <c r="AU73" s="71">
        <f>IFERROR(s_RadSpec!$I$7*AU7,".")*$B$73</f>
        <v>2.4521750000000001E-7</v>
      </c>
      <c r="AV73" s="71">
        <f>IFERROR(s_RadSpec!$F$7*AV7,".")</f>
        <v>0</v>
      </c>
      <c r="AW73" s="71">
        <f>IFERROR(s_RadSpec!$M$7*AW7,".")*$B$73</f>
        <v>1.9647127726027396E-14</v>
      </c>
      <c r="AX73" s="71">
        <f>s_b2w!AC73</f>
        <v>2.4873186572905208E-7</v>
      </c>
      <c r="AY73" s="49">
        <f t="shared" si="137"/>
        <v>2.4521750000000001E-7</v>
      </c>
      <c r="AZ73" s="49">
        <f t="shared" si="138"/>
        <v>0</v>
      </c>
      <c r="BA73" s="49">
        <f t="shared" si="139"/>
        <v>1.9647127726027396E-14</v>
      </c>
      <c r="BB73" s="49">
        <f t="shared" si="60"/>
        <v>2.4873186572905208E-7</v>
      </c>
      <c r="BC73" s="49">
        <f t="shared" si="61"/>
        <v>4.9394938537617976E-7</v>
      </c>
      <c r="BD73" s="60">
        <f>IFERROR(BD7/$B59,0)</f>
        <v>25.382256787215468</v>
      </c>
      <c r="BE73" s="71">
        <f>IFERROR(s_RadSpec!$H$7*BE7,".")*$B$73</f>
        <v>1.9698799999999998E-6</v>
      </c>
      <c r="BF73" s="49">
        <f t="shared" si="140"/>
        <v>1.9698799999999998E-6</v>
      </c>
    </row>
    <row r="74" spans="1:58" x14ac:dyDescent="0.25">
      <c r="A74" s="48" t="s">
        <v>1095</v>
      </c>
      <c r="B74" s="45">
        <v>1.9000000000000001E-8</v>
      </c>
      <c r="C74" s="182"/>
      <c r="D74" s="60">
        <f>IFERROR(D12/$B60,0)</f>
        <v>0</v>
      </c>
      <c r="E74" s="60">
        <f>IFERROR(E12/$B60,0)</f>
        <v>0</v>
      </c>
      <c r="F74" s="60">
        <f>IFERROR(F12/$B60,0)</f>
        <v>21558478039.237316</v>
      </c>
      <c r="G74" s="60">
        <f>IFERROR(G12/$B60,0)</f>
        <v>0</v>
      </c>
      <c r="H74" s="60">
        <f>IFERROR(H12/$B60,0)</f>
        <v>0</v>
      </c>
      <c r="I74" s="60">
        <f t="shared" si="123"/>
        <v>21558478039.237316</v>
      </c>
      <c r="J74" s="71">
        <f>IFERROR(s_RadSpec!$E$12*J12,".")*$B$74</f>
        <v>0</v>
      </c>
      <c r="K74" s="71">
        <f>IFERROR(s_RadSpec!$F$12*$K$12,".")*B74</f>
        <v>0</v>
      </c>
      <c r="L74" s="71">
        <f>IFERROR(s_RadSpec!$G$12*$L$12,".")*B74</f>
        <v>2.319273183802583E-15</v>
      </c>
      <c r="M74" s="71">
        <f>s_b2s!AC74</f>
        <v>0</v>
      </c>
      <c r="N74" s="49">
        <f t="shared" si="124"/>
        <v>0</v>
      </c>
      <c r="O74" s="49">
        <f t="shared" si="125"/>
        <v>0</v>
      </c>
      <c r="P74" s="49">
        <f t="shared" si="126"/>
        <v>2.319273183802583E-15</v>
      </c>
      <c r="Q74" s="49">
        <f t="shared" si="46"/>
        <v>0</v>
      </c>
      <c r="R74" s="49">
        <f t="shared" si="127"/>
        <v>2.319273183802583E-15</v>
      </c>
      <c r="S74" s="60">
        <f>IFERROR(S12/$B60,0)</f>
        <v>21558478039.237316</v>
      </c>
      <c r="T74" s="60">
        <f>IFERROR(T12/$B60,0)</f>
        <v>170199819397.11166</v>
      </c>
      <c r="U74" s="60">
        <f>IFERROR(U12/$B60,0)</f>
        <v>44246922761.165298</v>
      </c>
      <c r="V74" s="60">
        <f>IFERROR(V12/$B60,0)</f>
        <v>26495079909.306667</v>
      </c>
      <c r="W74" s="60">
        <f>IFERROR(W12/$B60,0)</f>
        <v>288833769853.44464</v>
      </c>
      <c r="X74" s="71">
        <f>IFERROR(s_RadSpec!$G$12*$X$12,".")*$B$74</f>
        <v>2.319273183802583E-15</v>
      </c>
      <c r="Y74" s="71">
        <f>IFERROR(s_RadSpec!$N$12*$Y$12,".")*$B$74</f>
        <v>2.9377234463063428E-16</v>
      </c>
      <c r="Z74" s="71">
        <f>IFERROR(s_RadSpec!$O$12*$Z$12,".")*$B$74</f>
        <v>1.1300220869570635E-15</v>
      </c>
      <c r="AA74" s="71">
        <f>IFERROR(s_RadSpec!$P$12*$AA$12,".")*$B$74</f>
        <v>1.8871428269381062E-15</v>
      </c>
      <c r="AB74" s="71">
        <f>IFERROR(s_RadSpec!$L$12*$AB$12,".")*$B$74</f>
        <v>1.7310995187775377E-16</v>
      </c>
      <c r="AC74" s="49">
        <f t="shared" si="128"/>
        <v>2.319273183802583E-15</v>
      </c>
      <c r="AD74" s="49">
        <f t="shared" si="129"/>
        <v>2.9377234463063428E-16</v>
      </c>
      <c r="AE74" s="49">
        <f t="shared" si="130"/>
        <v>1.1300220869570635E-15</v>
      </c>
      <c r="AF74" s="49">
        <f t="shared" si="131"/>
        <v>1.8871428269381062E-15</v>
      </c>
      <c r="AG74" s="49">
        <f t="shared" si="132"/>
        <v>1.7310995187775377E-16</v>
      </c>
      <c r="AH74" s="60">
        <f>IFERROR(AH12/$B60,0)</f>
        <v>0</v>
      </c>
      <c r="AI74" s="60">
        <f>IFERROR(AI12/$B60,0)</f>
        <v>3378494297178.8574</v>
      </c>
      <c r="AJ74" s="60">
        <f t="shared" si="133"/>
        <v>3378494297178.8574</v>
      </c>
      <c r="AK74" s="71">
        <f>IFERROR(s_RadSpec!$F$12*AK12,".")*$B$74</f>
        <v>0</v>
      </c>
      <c r="AL74" s="71">
        <f>IFERROR(s_RadSpec!$K$12*$AL$12,".")*$B$74</f>
        <v>1.4799492200342468E-17</v>
      </c>
      <c r="AM74" s="49">
        <f t="shared" si="134"/>
        <v>0</v>
      </c>
      <c r="AN74" s="49">
        <f t="shared" si="135"/>
        <v>1.4799492200342468E-17</v>
      </c>
      <c r="AO74" s="49">
        <f t="shared" si="136"/>
        <v>1.4799492200342468E-17</v>
      </c>
      <c r="AP74" s="60" t="str">
        <f>IFERROR(AP12/$B60,".")</f>
        <v>.</v>
      </c>
      <c r="AQ74" s="60" t="str">
        <f>IFERROR(AQ12,".")</f>
        <v>.</v>
      </c>
      <c r="AR74" s="60">
        <f>IFERROR(AR12/$B60,".")</f>
        <v>970175727230415.25</v>
      </c>
      <c r="AS74" s="60" t="str">
        <f>IFERROR(AS12/$B60,".")</f>
        <v>.</v>
      </c>
      <c r="AT74" s="60">
        <f t="shared" si="40"/>
        <v>970175727230415.25</v>
      </c>
      <c r="AU74" s="71">
        <f>IFERROR(s_RadSpec!$I$12*AU12,".")*$B$74</f>
        <v>0</v>
      </c>
      <c r="AV74" s="71">
        <f>IFERROR(s_RadSpec!$F$12*AV12,".")</f>
        <v>0</v>
      </c>
      <c r="AW74" s="71">
        <f>IFERROR(s_RadSpec!$M$12*AW12,".")*$B$74</f>
        <v>5.1537055191780823E-20</v>
      </c>
      <c r="AX74" s="71">
        <f>s_b2w!AC74</f>
        <v>0</v>
      </c>
      <c r="AY74" s="49">
        <f t="shared" si="137"/>
        <v>0</v>
      </c>
      <c r="AZ74" s="49">
        <f t="shared" si="138"/>
        <v>0</v>
      </c>
      <c r="BA74" s="49">
        <f t="shared" si="139"/>
        <v>5.1537055191780823E-20</v>
      </c>
      <c r="BB74" s="49">
        <f t="shared" si="60"/>
        <v>0</v>
      </c>
      <c r="BC74" s="49">
        <f t="shared" si="61"/>
        <v>5.1537055191780823E-20</v>
      </c>
      <c r="BD74" s="60">
        <f>IFERROR(BD12/$B60,0)</f>
        <v>0</v>
      </c>
      <c r="BE74" s="71">
        <f>IFERROR(s_RadSpec!$H$12*BE12,".")*$B$74</f>
        <v>0</v>
      </c>
      <c r="BF74" s="49">
        <f t="shared" si="140"/>
        <v>0</v>
      </c>
    </row>
    <row r="75" spans="1:58" x14ac:dyDescent="0.25">
      <c r="A75" s="48" t="s">
        <v>1096</v>
      </c>
      <c r="B75" s="45">
        <v>1</v>
      </c>
      <c r="C75" s="178"/>
      <c r="D75" s="60">
        <f>IFERROR(D18/$B61,0)</f>
        <v>50.477708412993472</v>
      </c>
      <c r="E75" s="60">
        <f>IFERROR(E18/$B61,0)</f>
        <v>106522.05547415512</v>
      </c>
      <c r="F75" s="60">
        <f>IFERROR(F18/$B61,0)</f>
        <v>2207594.1435221666</v>
      </c>
      <c r="G75" s="60">
        <f>IFERROR(G18/$B61,0)</f>
        <v>2.1689623101486384</v>
      </c>
      <c r="H75" s="60">
        <f>IFERROR(H18/$B61,0)</f>
        <v>3.667715266461348E-2</v>
      </c>
      <c r="I75" s="60">
        <f t="shared" si="123"/>
        <v>2.0795618226429542</v>
      </c>
      <c r="J75" s="71">
        <f>IFERROR(s_RadSpec!$E$18*J18,".")*$B$75</f>
        <v>9.9053624999999987E-7</v>
      </c>
      <c r="K75" s="71">
        <f>IFERROR(s_RadSpec!$F$18*$K$18,".")*B75</f>
        <v>4.6938636113843336E-10</v>
      </c>
      <c r="L75" s="71">
        <f>IFERROR(s_RadSpec!$G$18*$L$18,".")*B75</f>
        <v>2.2649090706603401E-11</v>
      </c>
      <c r="M75" s="71">
        <f>s_b2s!AC75</f>
        <v>2.3052498314999997E-5</v>
      </c>
      <c r="N75" s="49">
        <f t="shared" si="124"/>
        <v>9.9053624999999987E-7</v>
      </c>
      <c r="O75" s="49">
        <f t="shared" si="125"/>
        <v>4.6938636113843336E-10</v>
      </c>
      <c r="P75" s="49">
        <f t="shared" si="126"/>
        <v>2.2649090706603401E-11</v>
      </c>
      <c r="Q75" s="49">
        <f t="shared" si="46"/>
        <v>2.3052498314999997E-5</v>
      </c>
      <c r="R75" s="49">
        <f t="shared" si="127"/>
        <v>2.4043526600451843E-5</v>
      </c>
      <c r="S75" s="60">
        <f>IFERROR(S18/$B61,0)</f>
        <v>2207594.1435221666</v>
      </c>
      <c r="T75" s="60">
        <f>IFERROR(T18/$B61,0)</f>
        <v>22000529.419718608</v>
      </c>
      <c r="U75" s="60">
        <f>IFERROR(U18/$B61,0)</f>
        <v>5426391.4223511443</v>
      </c>
      <c r="V75" s="60">
        <f>IFERROR(V18/$B61,0)</f>
        <v>2885840.2742966213</v>
      </c>
      <c r="W75" s="60">
        <f>IFERROR(W18/$B61,0)</f>
        <v>38471078.45115196</v>
      </c>
      <c r="X75" s="71">
        <f>IFERROR(s_RadSpec!$G$18*$X$18,".")*$B$75</f>
        <v>2.2649090706603401E-11</v>
      </c>
      <c r="Y75" s="71">
        <f>IFERROR(s_RadSpec!$N$18*$Y$18,".")*$B$75</f>
        <v>2.2726725819236913E-12</v>
      </c>
      <c r="Z75" s="71">
        <f>IFERROR(s_RadSpec!$O$18*$Z$18,".")*$B$75</f>
        <v>9.2142265657526079E-12</v>
      </c>
      <c r="AA75" s="71">
        <f>IFERROR(s_RadSpec!$P$18*$AA$18,".")*$B$75</f>
        <v>1.7325976231372237E-11</v>
      </c>
      <c r="AB75" s="71">
        <f>IFERROR(s_RadSpec!$L$18*$AB$18,".")*$B$75</f>
        <v>1.2996776283120504E-12</v>
      </c>
      <c r="AC75" s="49">
        <f t="shared" si="128"/>
        <v>2.2649090706603401E-11</v>
      </c>
      <c r="AD75" s="49">
        <f t="shared" si="129"/>
        <v>2.2726725819236913E-12</v>
      </c>
      <c r="AE75" s="49">
        <f t="shared" si="130"/>
        <v>9.2142265657526079E-12</v>
      </c>
      <c r="AF75" s="49">
        <f t="shared" si="131"/>
        <v>1.7325976231372237E-11</v>
      </c>
      <c r="AG75" s="49">
        <f t="shared" si="132"/>
        <v>1.2996776283120504E-12</v>
      </c>
      <c r="AH75" s="60">
        <f>IFERROR(AH18/$B61,0)</f>
        <v>0.34383707853095613</v>
      </c>
      <c r="AI75" s="60">
        <f>IFERROR(AI18/$B61,0)</f>
        <v>762048643.84690726</v>
      </c>
      <c r="AJ75" s="60">
        <f t="shared" si="133"/>
        <v>0.34383707837581651</v>
      </c>
      <c r="AK75" s="71">
        <f>IFERROR(s_RadSpec!$F$18*AK18,".")*$B$75</f>
        <v>1.4541770833333332E-4</v>
      </c>
      <c r="AL75" s="71">
        <f>IFERROR(s_RadSpec!$K$18*$AL$18,".")*$B$75</f>
        <v>6.5612609383561654E-14</v>
      </c>
      <c r="AM75" s="49">
        <f t="shared" si="134"/>
        <v>1.4541770833333332E-4</v>
      </c>
      <c r="AN75" s="49">
        <f t="shared" si="135"/>
        <v>6.5612609383561654E-14</v>
      </c>
      <c r="AO75" s="49">
        <f t="shared" si="136"/>
        <v>1.4541770839894593E-4</v>
      </c>
      <c r="AP75" s="60">
        <f>IFERROR(AP18/$B61,".")</f>
        <v>1.0237510237510239</v>
      </c>
      <c r="AQ75" s="60" t="str">
        <f>IFERROR(AQ18,".")</f>
        <v>.</v>
      </c>
      <c r="AR75" s="60">
        <f>IFERROR(AR18/$B61,".")</f>
        <v>219444509730.68918</v>
      </c>
      <c r="AS75" s="60">
        <f>IFERROR(AS18/$B61,".")</f>
        <v>2.9639594254894632</v>
      </c>
      <c r="AT75" s="60">
        <f t="shared" si="40"/>
        <v>0.7609269867547046</v>
      </c>
      <c r="AU75" s="71">
        <f>IFERROR(s_RadSpec!$I$18*AU18,".")*$B$75</f>
        <v>4.884E-5</v>
      </c>
      <c r="AV75" s="71">
        <f>IFERROR(s_RadSpec!$F$18*AV18,".")</f>
        <v>0</v>
      </c>
      <c r="AW75" s="71">
        <f>IFERROR(s_RadSpec!$M$18*AW18,".")*$B$75</f>
        <v>2.2784803347945207E-16</v>
      </c>
      <c r="AX75" s="71">
        <f>s_b2w!AC75</f>
        <v>1.6869326742468172E-5</v>
      </c>
      <c r="AY75" s="49">
        <f t="shared" si="137"/>
        <v>4.884E-5</v>
      </c>
      <c r="AZ75" s="49">
        <f t="shared" si="138"/>
        <v>0</v>
      </c>
      <c r="BA75" s="49">
        <f t="shared" si="139"/>
        <v>2.2784803347945207E-16</v>
      </c>
      <c r="BB75" s="49">
        <f t="shared" si="60"/>
        <v>1.6869326742468172E-5</v>
      </c>
      <c r="BC75" s="49">
        <f t="shared" si="61"/>
        <v>6.5709326742696014E-5</v>
      </c>
      <c r="BD75" s="60">
        <f>IFERROR(BD18/$B61,0)</f>
        <v>0.14670861065845392</v>
      </c>
      <c r="BE75" s="71">
        <f>IFERROR(s_RadSpec!$H$18*BE18,".")*$B$75</f>
        <v>3.40811625E-4</v>
      </c>
      <c r="BF75" s="49">
        <f t="shared" si="140"/>
        <v>3.40811625E-4</v>
      </c>
    </row>
    <row r="76" spans="1:58" x14ac:dyDescent="0.25">
      <c r="A76" s="48" t="s">
        <v>1097</v>
      </c>
      <c r="B76" s="45">
        <v>1.339E-6</v>
      </c>
      <c r="C76" s="178"/>
      <c r="D76" s="60">
        <f>IFERROR(D27/$B62,0)</f>
        <v>0</v>
      </c>
      <c r="E76" s="60">
        <f>IFERROR(E27/$B62,0)</f>
        <v>0</v>
      </c>
      <c r="F76" s="60">
        <f>IFERROR(F27/$B62,0)</f>
        <v>19969379346.007618</v>
      </c>
      <c r="G76" s="60">
        <f>IFERROR(G27/$B62,0)</f>
        <v>0</v>
      </c>
      <c r="H76" s="60">
        <f>IFERROR(H27/$B62,0)</f>
        <v>0</v>
      </c>
      <c r="I76" s="60">
        <f t="shared" si="123"/>
        <v>19969379346.007618</v>
      </c>
      <c r="J76" s="71">
        <f>IFERROR(s_RadSpec!$E$27*J27,".")*$B$76</f>
        <v>0</v>
      </c>
      <c r="K76" s="71">
        <f>IFERROR(s_RadSpec!$F$27*$K$27,".")*B76</f>
        <v>0</v>
      </c>
      <c r="L76" s="71">
        <f>IFERROR(s_RadSpec!$G$27*$L$27,".")*B76</f>
        <v>2.5038334508877092E-15</v>
      </c>
      <c r="M76" s="71">
        <f>s_b2s!AC76</f>
        <v>0</v>
      </c>
      <c r="N76" s="49">
        <f t="shared" si="124"/>
        <v>0</v>
      </c>
      <c r="O76" s="49">
        <f t="shared" si="125"/>
        <v>0</v>
      </c>
      <c r="P76" s="49">
        <f t="shared" si="126"/>
        <v>2.5038334508877092E-15</v>
      </c>
      <c r="Q76" s="49">
        <f t="shared" si="46"/>
        <v>0</v>
      </c>
      <c r="R76" s="49">
        <f t="shared" si="127"/>
        <v>2.5038334508877092E-15</v>
      </c>
      <c r="S76" s="60">
        <f>IFERROR(S27/$B62,0)</f>
        <v>19969379346.007618</v>
      </c>
      <c r="T76" s="60">
        <f>IFERROR(T27/$B62,0)</f>
        <v>174429292921.68567</v>
      </c>
      <c r="U76" s="60">
        <f>IFERROR(U27/$B62,0)</f>
        <v>50297238580.200562</v>
      </c>
      <c r="V76" s="60">
        <f>IFERROR(V27/$B62,0)</f>
        <v>27522149224.630547</v>
      </c>
      <c r="W76" s="60">
        <f>IFERROR(W27/$B62,0)</f>
        <v>132017233644.62932</v>
      </c>
      <c r="X76" s="71">
        <f>IFERROR(s_RadSpec!$G$27*$X$27,".")*$B$76</f>
        <v>2.5038334508877092E-15</v>
      </c>
      <c r="Y76" s="71">
        <f>IFERROR(s_RadSpec!$N$27*$Y$27,".")*$B$76</f>
        <v>2.8664910097668479E-16</v>
      </c>
      <c r="Z76" s="71">
        <f>IFERROR(s_RadSpec!$O$27*$Z$27,".")*$B$76</f>
        <v>9.940903598569017E-16</v>
      </c>
      <c r="AA76" s="71">
        <f>IFERROR(s_RadSpec!$P$27*$AA$27,".")*$B$76</f>
        <v>1.816718585162428E-15</v>
      </c>
      <c r="AB76" s="71">
        <f>IFERROR(s_RadSpec!$L$27*$AB$27,".")*$B$76</f>
        <v>3.7873843148836567E-16</v>
      </c>
      <c r="AC76" s="49">
        <f t="shared" si="128"/>
        <v>2.5038334508877092E-15</v>
      </c>
      <c r="AD76" s="49">
        <f t="shared" si="129"/>
        <v>2.8664910097668479E-16</v>
      </c>
      <c r="AE76" s="49">
        <f t="shared" si="130"/>
        <v>9.940903598569017E-16</v>
      </c>
      <c r="AF76" s="49">
        <f t="shared" si="131"/>
        <v>1.816718585162428E-15</v>
      </c>
      <c r="AG76" s="49">
        <f t="shared" si="132"/>
        <v>3.7873843148836567E-16</v>
      </c>
      <c r="AH76" s="60">
        <f>IFERROR(AH27/$B62,0)</f>
        <v>0</v>
      </c>
      <c r="AI76" s="60">
        <f>IFERROR(AI27/$B62,0)</f>
        <v>2530983207985.8687</v>
      </c>
      <c r="AJ76" s="60">
        <f t="shared" si="133"/>
        <v>2530983207985.8687</v>
      </c>
      <c r="AK76" s="71">
        <f>IFERROR(s_RadSpec!$F$27*AK27,".")*$B$76</f>
        <v>0</v>
      </c>
      <c r="AL76" s="71">
        <f>IFERROR(s_RadSpec!$K$27*$AL$27,".")*$B$76</f>
        <v>1.9755168600976031E-17</v>
      </c>
      <c r="AM76" s="49">
        <f t="shared" si="134"/>
        <v>0</v>
      </c>
      <c r="AN76" s="49">
        <f t="shared" si="135"/>
        <v>1.9755168600976031E-17</v>
      </c>
      <c r="AO76" s="49">
        <f t="shared" si="136"/>
        <v>1.9755168600976031E-17</v>
      </c>
      <c r="AP76" s="60" t="str">
        <f>IFERROR(AP27/$B62,".")</f>
        <v>.</v>
      </c>
      <c r="AQ76" s="60" t="str">
        <f>IFERROR(AQ27,".")</f>
        <v>.</v>
      </c>
      <c r="AR76" s="60">
        <f>IFERROR(AR27/$B62,".")</f>
        <v>1010635655966579.4</v>
      </c>
      <c r="AS76" s="60" t="str">
        <f>IFERROR(AS27/$B62,".")</f>
        <v>.</v>
      </c>
      <c r="AT76" s="60">
        <f t="shared" si="40"/>
        <v>1010635655966579.4</v>
      </c>
      <c r="AU76" s="71">
        <f>IFERROR(s_RadSpec!$I$27*AU27,".")*$B$76</f>
        <v>0</v>
      </c>
      <c r="AV76" s="71">
        <f>IFERROR(s_RadSpec!$F$27*AV27,".")</f>
        <v>0</v>
      </c>
      <c r="AW76" s="71">
        <f>IFERROR(s_RadSpec!$M$27*AW27,".")*$B$76</f>
        <v>4.9473813539835614E-20</v>
      </c>
      <c r="AX76" s="71">
        <f>s_b2w!AC76</f>
        <v>0</v>
      </c>
      <c r="AY76" s="49">
        <f t="shared" si="137"/>
        <v>0</v>
      </c>
      <c r="AZ76" s="49">
        <f t="shared" si="138"/>
        <v>0</v>
      </c>
      <c r="BA76" s="49">
        <f t="shared" si="139"/>
        <v>4.9473813539835614E-20</v>
      </c>
      <c r="BB76" s="49">
        <f t="shared" si="60"/>
        <v>0</v>
      </c>
      <c r="BC76" s="49">
        <f t="shared" si="61"/>
        <v>4.9473813539835614E-20</v>
      </c>
      <c r="BD76" s="60">
        <f>IFERROR(BD27/$B62,0)</f>
        <v>0</v>
      </c>
      <c r="BE76" s="71">
        <f>IFERROR(s_RadSpec!$H$27*BE27,".")*$B$76</f>
        <v>0</v>
      </c>
      <c r="BF76" s="49">
        <f t="shared" si="140"/>
        <v>0</v>
      </c>
    </row>
  </sheetData>
  <sheetProtection algorithmName="SHA-512" hashValue="Tmh930sITEZXnPX0lizgt/n9oKXt+IY2/L5wIDmybj6mcuEvouMKVpL/vWVXCnUHrVU7baArMEP+kpUTl6HLew==" saltValue="90G1TF7nE/+SqTSHPi8ycg==" spinCount="100000" sheet="1" formatColumns="0" formatRows="0" autoFilter="0"/>
  <autoFilter ref="A1:BF76" xr:uid="{07DD4F8B-0CD7-41C0-A701-7E5E2F1E8003}"/>
  <pageMargins left="0.7" right="0.7" top="0.75" bottom="0.75" header="0.3" footer="0.3"/>
  <pageSetup orientation="portrait" horizontalDpi="1200" verticalDpi="12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9" tint="-0.499984740745262"/>
  </sheetPr>
  <dimension ref="A1:FO76"/>
  <sheetViews>
    <sheetView zoomScale="85" zoomScaleNormal="85"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15.5703125" defaultRowHeight="15" x14ac:dyDescent="0.25"/>
  <cols>
    <col min="1" max="1" width="15.5703125" style="4" bestFit="1" customWidth="1"/>
    <col min="2" max="2" width="12.28515625" style="4" bestFit="1" customWidth="1"/>
    <col min="3" max="3" width="13.28515625" style="4" customWidth="1"/>
    <col min="4" max="4" width="15.140625" style="3" bestFit="1" customWidth="1"/>
    <col min="5" max="5" width="14.140625" style="3" bestFit="1" customWidth="1"/>
    <col min="6" max="6" width="10.85546875" style="3" bestFit="1" customWidth="1"/>
    <col min="7" max="7" width="11.85546875" style="3" bestFit="1" customWidth="1"/>
    <col min="8" max="8" width="12.28515625" style="3" bestFit="1" customWidth="1"/>
    <col min="9" max="9" width="13.28515625" style="3" bestFit="1" customWidth="1"/>
    <col min="10" max="10" width="11.28515625" style="3" bestFit="1" customWidth="1"/>
    <col min="11" max="11" width="14.140625" style="3" bestFit="1" customWidth="1"/>
    <col min="12" max="12" width="11.7109375" style="3" bestFit="1" customWidth="1"/>
    <col min="13" max="13" width="13.42578125" style="3" bestFit="1" customWidth="1"/>
    <col min="14" max="14" width="13.85546875" style="3" bestFit="1" customWidth="1"/>
    <col min="15" max="15" width="15.140625" style="3" bestFit="1" customWidth="1"/>
    <col min="16" max="16" width="14.42578125" style="3" bestFit="1" customWidth="1"/>
    <col min="17" max="17" width="13.5703125" style="3" bestFit="1" customWidth="1"/>
    <col min="18" max="18" width="10.85546875" style="3" bestFit="1" customWidth="1"/>
    <col min="19" max="19" width="11.5703125" style="3" bestFit="1" customWidth="1"/>
    <col min="20" max="20" width="11.85546875" style="3" bestFit="1" customWidth="1"/>
    <col min="21" max="21" width="12.7109375" style="3" bestFit="1" customWidth="1"/>
    <col min="22" max="22" width="10.85546875" style="3" bestFit="1" customWidth="1"/>
    <col min="23" max="23" width="13.42578125" style="3" bestFit="1" customWidth="1"/>
    <col min="24" max="24" width="11.5703125" style="3" bestFit="1" customWidth="1"/>
    <col min="25" max="25" width="12.7109375" style="3" bestFit="1" customWidth="1"/>
    <col min="26" max="26" width="13.5703125" style="3" bestFit="1" customWidth="1"/>
    <col min="27" max="27" width="14.42578125" style="3" bestFit="1" customWidth="1"/>
    <col min="28" max="28" width="15" style="3" bestFit="1" customWidth="1"/>
    <col min="29" max="29" width="14.140625" style="3" bestFit="1" customWidth="1"/>
    <col min="30" max="30" width="11.42578125" style="3" bestFit="1" customWidth="1"/>
    <col min="31" max="31" width="12.140625" style="3" bestFit="1" customWidth="1"/>
    <col min="32" max="32" width="12.42578125" style="3" bestFit="1" customWidth="1"/>
    <col min="33" max="33" width="13.28515625" style="3" bestFit="1" customWidth="1"/>
    <col min="34" max="34" width="11.42578125" style="3" bestFit="1" customWidth="1"/>
    <col min="35" max="35" width="13.85546875" style="3" bestFit="1" customWidth="1"/>
    <col min="36" max="36" width="12.140625" style="3" bestFit="1" customWidth="1"/>
    <col min="37" max="37" width="13.28515625" style="3" bestFit="1" customWidth="1"/>
    <col min="38" max="38" width="14.140625" style="3" bestFit="1" customWidth="1"/>
    <col min="39" max="39" width="15" style="3" bestFit="1" customWidth="1"/>
    <col min="40" max="40" width="15.140625" style="3" bestFit="1" customWidth="1"/>
    <col min="41" max="41" width="15.28515625" style="3" bestFit="1" customWidth="1"/>
    <col min="42" max="42" width="15" style="2" bestFit="1" customWidth="1"/>
    <col min="43" max="43" width="19.85546875" style="3" bestFit="1" customWidth="1"/>
    <col min="44" max="44" width="15.7109375" style="3" bestFit="1" customWidth="1"/>
    <col min="45" max="45" width="18.85546875" style="3" bestFit="1" customWidth="1"/>
    <col min="46" max="46" width="16.5703125" style="3" bestFit="1" customWidth="1"/>
    <col min="47" max="47" width="17" style="3" bestFit="1" customWidth="1"/>
    <col min="48" max="48" width="18" style="3" bestFit="1" customWidth="1"/>
    <col min="49" max="49" width="18.85546875" style="3" bestFit="1" customWidth="1"/>
    <col min="50" max="50" width="15.42578125" style="3" bestFit="1" customWidth="1"/>
    <col min="51" max="51" width="16.42578125" style="3" bestFit="1" customWidth="1"/>
    <col min="52" max="52" width="18.5703125" style="3" bestFit="1" customWidth="1"/>
    <col min="53" max="53" width="18.140625" style="3" bestFit="1" customWidth="1"/>
    <col min="54" max="54" width="19.85546875" style="3" bestFit="1" customWidth="1"/>
    <col min="55" max="57" width="11.42578125" style="3" bestFit="1" customWidth="1"/>
    <col min="58" max="58" width="15.5703125" style="3" bestFit="1" customWidth="1"/>
    <col min="59" max="59" width="11.7109375" style="3" bestFit="1" customWidth="1"/>
    <col min="60" max="60" width="14.42578125" style="3" bestFit="1" customWidth="1"/>
    <col min="61" max="61" width="12.5703125" style="3" bestFit="1" customWidth="1"/>
    <col min="62" max="62" width="12.7109375" style="3" bestFit="1" customWidth="1"/>
    <col min="63" max="63" width="13.42578125" style="3" bestFit="1" customWidth="1"/>
    <col min="64" max="64" width="14.28515625" style="3" bestFit="1" customWidth="1"/>
    <col min="65" max="65" width="12.140625" style="3" bestFit="1" customWidth="1"/>
    <col min="66" max="66" width="12.5703125" style="3" bestFit="1" customWidth="1"/>
    <col min="67" max="67" width="14.5703125" style="3" bestFit="1" customWidth="1"/>
    <col min="68" max="68" width="13.85546875" style="3" bestFit="1" customWidth="1"/>
    <col min="69" max="69" width="15.42578125" style="3" bestFit="1" customWidth="1"/>
    <col min="70" max="70" width="14.7109375" style="3" bestFit="1" customWidth="1"/>
    <col min="71" max="73" width="14.28515625" style="3" bestFit="1" customWidth="1"/>
    <col min="74" max="74" width="18.42578125" style="3" bestFit="1" customWidth="1"/>
    <col min="75" max="75" width="14.7109375" style="3" bestFit="1" customWidth="1"/>
    <col min="76" max="76" width="17.42578125" style="3" bestFit="1" customWidth="1"/>
    <col min="77" max="77" width="15.42578125" style="3" bestFit="1" customWidth="1"/>
    <col min="78" max="78" width="15.7109375" style="3" bestFit="1" customWidth="1"/>
    <col min="79" max="79" width="16.7109375" style="3" bestFit="1" customWidth="1"/>
    <col min="80" max="80" width="17.5703125" style="3" bestFit="1" customWidth="1"/>
    <col min="81" max="81" width="14.7109375" style="3" bestFit="1" customWidth="1"/>
    <col min="82" max="82" width="15.42578125" style="3" bestFit="1" customWidth="1"/>
    <col min="83" max="83" width="17.5703125" style="3" bestFit="1" customWidth="1"/>
    <col min="84" max="84" width="16.7109375" style="3" bestFit="1" customWidth="1"/>
    <col min="85" max="85" width="18.42578125" style="3" bestFit="1" customWidth="1"/>
    <col min="86" max="88" width="14.7109375" style="3" bestFit="1" customWidth="1"/>
    <col min="89" max="89" width="19" style="3" bestFit="1" customWidth="1"/>
    <col min="90" max="90" width="15.28515625" style="3" bestFit="1" customWidth="1"/>
    <col min="91" max="91" width="18" style="3" bestFit="1" customWidth="1"/>
    <col min="92" max="92" width="16" style="3" bestFit="1" customWidth="1"/>
    <col min="93" max="93" width="16.42578125" style="3" bestFit="1" customWidth="1"/>
    <col min="94" max="94" width="17.28515625" style="3" bestFit="1" customWidth="1"/>
    <col min="95" max="95" width="18.140625" style="3" bestFit="1" customWidth="1"/>
    <col min="96" max="96" width="15.28515625" style="3" bestFit="1" customWidth="1"/>
    <col min="97" max="97" width="16" style="3" bestFit="1" customWidth="1"/>
    <col min="98" max="98" width="18.140625" style="3" bestFit="1" customWidth="1"/>
    <col min="99" max="99" width="17.28515625" style="3" bestFit="1" customWidth="1"/>
    <col min="100" max="100" width="19" style="3" bestFit="1" customWidth="1"/>
    <col min="101" max="101" width="14.5703125" style="3" bestFit="1" customWidth="1"/>
    <col min="102" max="102" width="17" style="3" bestFit="1" customWidth="1"/>
    <col min="103" max="103" width="17.140625" style="3" bestFit="1" customWidth="1"/>
    <col min="104" max="104" width="18.140625" style="3" bestFit="1" customWidth="1"/>
    <col min="105" max="105" width="21.7109375" style="3" bestFit="1" customWidth="1"/>
    <col min="106" max="106" width="17.5703125" style="3" bestFit="1" customWidth="1"/>
    <col min="107" max="107" width="20.7109375" style="3" bestFit="1" customWidth="1"/>
    <col min="108" max="108" width="18.28515625" style="3" bestFit="1" customWidth="1"/>
    <col min="109" max="109" width="18.5703125" style="3" bestFit="1" customWidth="1"/>
    <col min="110" max="110" width="19.5703125" style="3" bestFit="1" customWidth="1"/>
    <col min="111" max="111" width="20.7109375" style="3" bestFit="1" customWidth="1"/>
    <col min="112" max="112" width="17.28515625" style="3" bestFit="1" customWidth="1"/>
    <col min="113" max="113" width="18.140625" style="3" bestFit="1" customWidth="1"/>
    <col min="114" max="114" width="20.42578125" style="3" bestFit="1" customWidth="1"/>
    <col min="115" max="115" width="19.85546875" style="3" bestFit="1" customWidth="1"/>
    <col min="116" max="116" width="21.7109375" style="3" bestFit="1" customWidth="1"/>
    <col min="117" max="118" width="13.140625" style="2" bestFit="1" customWidth="1"/>
    <col min="119" max="119" width="13.7109375" style="2" bestFit="1" customWidth="1"/>
    <col min="120" max="120" width="17.42578125" style="2" bestFit="1" customWidth="1"/>
    <col min="121" max="121" width="13.42578125" style="2" bestFit="1" customWidth="1"/>
    <col min="122" max="122" width="16.140625" style="2" bestFit="1" customWidth="1"/>
    <col min="123" max="123" width="14.28515625" style="2" bestFit="1" customWidth="1"/>
    <col min="124" max="124" width="14.42578125" style="2" bestFit="1" customWidth="1"/>
    <col min="125" max="125" width="15.140625" style="2" bestFit="1" customWidth="1"/>
    <col min="126" max="126" width="16" style="2" bestFit="1" customWidth="1"/>
    <col min="127" max="127" width="13.7109375" style="2" bestFit="1" customWidth="1"/>
    <col min="128" max="128" width="14.28515625" style="2" bestFit="1" customWidth="1"/>
    <col min="129" max="129" width="16.28515625" style="2" bestFit="1" customWidth="1"/>
    <col min="130" max="130" width="15.5703125" style="2" bestFit="1" customWidth="1"/>
    <col min="131" max="131" width="17.28515625" style="2" bestFit="1" customWidth="1"/>
    <col min="132" max="132" width="16.5703125" style="3" bestFit="1" customWidth="1"/>
    <col min="133" max="134" width="16.42578125" style="3" bestFit="1" customWidth="1"/>
    <col min="135" max="135" width="17.85546875" style="3" bestFit="1" customWidth="1"/>
    <col min="136" max="136" width="20.85546875" style="3" bestFit="1" customWidth="1"/>
    <col min="137" max="137" width="17" style="3" bestFit="1" customWidth="1"/>
    <col min="138" max="138" width="19.42578125" style="3" bestFit="1" customWidth="1"/>
    <col min="139" max="139" width="17.5703125" style="3" bestFit="1" customWidth="1"/>
    <col min="140" max="140" width="18" style="3" bestFit="1" customWidth="1"/>
    <col min="141" max="141" width="18.85546875" style="3" bestFit="1" customWidth="1"/>
    <col min="142" max="142" width="20" style="3" bestFit="1" customWidth="1"/>
    <col min="143" max="143" width="17" style="3" bestFit="1" customWidth="1"/>
    <col min="144" max="144" width="17.7109375" style="3" bestFit="1" customWidth="1"/>
    <col min="145" max="145" width="20" style="3" bestFit="1" customWidth="1"/>
    <col min="146" max="146" width="18.85546875" style="3" bestFit="1" customWidth="1"/>
    <col min="147" max="147" width="20.85546875" style="3" bestFit="1" customWidth="1"/>
    <col min="148" max="149" width="17" style="17" bestFit="1" customWidth="1"/>
    <col min="150" max="150" width="18.28515625" style="17" bestFit="1" customWidth="1"/>
    <col min="151" max="151" width="21.42578125" style="17" bestFit="1" customWidth="1"/>
    <col min="152" max="152" width="17.42578125" style="17" bestFit="1" customWidth="1"/>
    <col min="153" max="153" width="20.140625" style="17" bestFit="1" customWidth="1"/>
    <col min="154" max="154" width="18.140625" style="17" bestFit="1" customWidth="1"/>
    <col min="155" max="155" width="18.5703125" style="17" bestFit="1" customWidth="1"/>
    <col min="156" max="156" width="19.28515625" style="17" bestFit="1" customWidth="1"/>
    <col min="157" max="157" width="20.5703125" style="17" bestFit="1" customWidth="1"/>
    <col min="158" max="158" width="17.42578125" style="17" bestFit="1" customWidth="1"/>
    <col min="159" max="159" width="18.28515625" style="17" bestFit="1" customWidth="1"/>
    <col min="160" max="160" width="20.5703125" style="17" bestFit="1" customWidth="1"/>
    <col min="161" max="161" width="19.28515625" style="17" bestFit="1" customWidth="1"/>
    <col min="162" max="162" width="21.42578125" style="17" bestFit="1" customWidth="1"/>
    <col min="163" max="163" width="16.7109375" style="3" bestFit="1" customWidth="1"/>
    <col min="164" max="164" width="14.28515625" style="3" bestFit="1" customWidth="1"/>
    <col min="165" max="165" width="14.5703125" style="3" bestFit="1" customWidth="1"/>
    <col min="166" max="166" width="13.7109375" style="3" bestFit="1" customWidth="1"/>
    <col min="167" max="167" width="13.5703125" style="3" bestFit="1" customWidth="1"/>
    <col min="168" max="168" width="13.85546875" style="3" bestFit="1" customWidth="1"/>
    <col min="169" max="169" width="14.140625" style="3" bestFit="1" customWidth="1"/>
    <col min="170" max="170" width="14.42578125" style="3" bestFit="1" customWidth="1"/>
    <col min="171" max="171" width="13.85546875" style="3" bestFit="1" customWidth="1"/>
    <col min="172" max="16384" width="15.5703125" style="3"/>
  </cols>
  <sheetData>
    <row r="1" spans="1:171" s="14" customFormat="1" x14ac:dyDescent="0.2">
      <c r="A1" s="78" t="s">
        <v>51</v>
      </c>
      <c r="B1" s="79" t="s">
        <v>348</v>
      </c>
      <c r="C1" s="78"/>
      <c r="D1" s="64" t="s">
        <v>1261</v>
      </c>
      <c r="E1" s="64" t="s">
        <v>1262</v>
      </c>
      <c r="F1" s="64" t="s">
        <v>1263</v>
      </c>
      <c r="G1" s="64" t="s">
        <v>1264</v>
      </c>
      <c r="H1" s="64" t="s">
        <v>1265</v>
      </c>
      <c r="I1" s="64" t="s">
        <v>1266</v>
      </c>
      <c r="J1" s="64" t="s">
        <v>1267</v>
      </c>
      <c r="K1" s="64" t="s">
        <v>1510</v>
      </c>
      <c r="L1" s="64" t="s">
        <v>1268</v>
      </c>
      <c r="M1" s="64" t="s">
        <v>1269</v>
      </c>
      <c r="N1" s="64" t="s">
        <v>1270</v>
      </c>
      <c r="O1" s="64" t="s">
        <v>1271</v>
      </c>
      <c r="P1" s="116" t="s">
        <v>1299</v>
      </c>
      <c r="Q1" s="116" t="s">
        <v>1300</v>
      </c>
      <c r="R1" s="116" t="s">
        <v>1301</v>
      </c>
      <c r="S1" s="116" t="s">
        <v>1302</v>
      </c>
      <c r="T1" s="116" t="s">
        <v>1303</v>
      </c>
      <c r="U1" s="116" t="s">
        <v>1304</v>
      </c>
      <c r="V1" s="116" t="s">
        <v>1305</v>
      </c>
      <c r="W1" s="116" t="s">
        <v>1536</v>
      </c>
      <c r="X1" s="116" t="s">
        <v>1306</v>
      </c>
      <c r="Y1" s="116" t="s">
        <v>1307</v>
      </c>
      <c r="Z1" s="116" t="s">
        <v>1308</v>
      </c>
      <c r="AA1" s="116" t="s">
        <v>1309</v>
      </c>
      <c r="AB1" s="117" t="s">
        <v>1310</v>
      </c>
      <c r="AC1" s="117" t="s">
        <v>1311</v>
      </c>
      <c r="AD1" s="117" t="s">
        <v>1312</v>
      </c>
      <c r="AE1" s="117" t="s">
        <v>1313</v>
      </c>
      <c r="AF1" s="117" t="s">
        <v>1314</v>
      </c>
      <c r="AG1" s="117" t="s">
        <v>1315</v>
      </c>
      <c r="AH1" s="117" t="s">
        <v>1316</v>
      </c>
      <c r="AI1" s="117" t="s">
        <v>1543</v>
      </c>
      <c r="AJ1" s="117" t="s">
        <v>1317</v>
      </c>
      <c r="AK1" s="117" t="s">
        <v>1318</v>
      </c>
      <c r="AL1" s="117" t="s">
        <v>1319</v>
      </c>
      <c r="AM1" s="117" t="s">
        <v>1320</v>
      </c>
      <c r="AN1" s="64" t="s">
        <v>1165</v>
      </c>
      <c r="AO1" s="64" t="s">
        <v>1166</v>
      </c>
      <c r="AP1" s="65" t="s">
        <v>1167</v>
      </c>
      <c r="AQ1" s="64" t="s">
        <v>1171</v>
      </c>
      <c r="AR1" s="64" t="s">
        <v>1177</v>
      </c>
      <c r="AS1" s="64" t="s">
        <v>1509</v>
      </c>
      <c r="AT1" s="64" t="s">
        <v>1174</v>
      </c>
      <c r="AU1" s="64" t="s">
        <v>1175</v>
      </c>
      <c r="AV1" s="64" t="s">
        <v>1176</v>
      </c>
      <c r="AW1" s="64" t="s">
        <v>1172</v>
      </c>
      <c r="AX1" s="64" t="s">
        <v>1173</v>
      </c>
      <c r="AY1" s="64" t="s">
        <v>1272</v>
      </c>
      <c r="AZ1" s="64" t="s">
        <v>1274</v>
      </c>
      <c r="BA1" s="64" t="s">
        <v>1273</v>
      </c>
      <c r="BB1" s="64" t="s">
        <v>1275</v>
      </c>
      <c r="BC1" s="38" t="s">
        <v>1178</v>
      </c>
      <c r="BD1" s="38" t="s">
        <v>1179</v>
      </c>
      <c r="BE1" s="38" t="s">
        <v>1180</v>
      </c>
      <c r="BF1" s="38" t="s">
        <v>1181</v>
      </c>
      <c r="BG1" s="38" t="s">
        <v>1187</v>
      </c>
      <c r="BH1" s="38" t="s">
        <v>1511</v>
      </c>
      <c r="BI1" s="38" t="s">
        <v>1184</v>
      </c>
      <c r="BJ1" s="38" t="s">
        <v>1185</v>
      </c>
      <c r="BK1" s="38" t="s">
        <v>1186</v>
      </c>
      <c r="BL1" s="38" t="s">
        <v>1182</v>
      </c>
      <c r="BM1" s="38" t="s">
        <v>1183</v>
      </c>
      <c r="BN1" s="38" t="s">
        <v>1276</v>
      </c>
      <c r="BO1" s="38" t="s">
        <v>1278</v>
      </c>
      <c r="BP1" s="38" t="s">
        <v>1277</v>
      </c>
      <c r="BQ1" s="38" t="s">
        <v>1279</v>
      </c>
      <c r="BR1" s="64" t="s">
        <v>1168</v>
      </c>
      <c r="BS1" s="116" t="s">
        <v>1221</v>
      </c>
      <c r="BT1" s="116" t="s">
        <v>1222</v>
      </c>
      <c r="BU1" s="116" t="s">
        <v>1223</v>
      </c>
      <c r="BV1" s="116" t="s">
        <v>1224</v>
      </c>
      <c r="BW1" s="116" t="s">
        <v>1326</v>
      </c>
      <c r="BX1" s="116" t="s">
        <v>1537</v>
      </c>
      <c r="BY1" s="116" t="s">
        <v>1323</v>
      </c>
      <c r="BZ1" s="116" t="s">
        <v>1324</v>
      </c>
      <c r="CA1" s="116" t="s">
        <v>1325</v>
      </c>
      <c r="CB1" s="116" t="s">
        <v>1321</v>
      </c>
      <c r="CC1" s="116" t="s">
        <v>1322</v>
      </c>
      <c r="CD1" s="116" t="s">
        <v>1327</v>
      </c>
      <c r="CE1" s="116" t="s">
        <v>1329</v>
      </c>
      <c r="CF1" s="116" t="s">
        <v>1328</v>
      </c>
      <c r="CG1" s="116" t="s">
        <v>1330</v>
      </c>
      <c r="CH1" s="117" t="s">
        <v>1225</v>
      </c>
      <c r="CI1" s="117" t="s">
        <v>1226</v>
      </c>
      <c r="CJ1" s="117" t="s">
        <v>1227</v>
      </c>
      <c r="CK1" s="117" t="s">
        <v>1228</v>
      </c>
      <c r="CL1" s="117" t="s">
        <v>1336</v>
      </c>
      <c r="CM1" s="117" t="s">
        <v>1538</v>
      </c>
      <c r="CN1" s="117" t="s">
        <v>1333</v>
      </c>
      <c r="CO1" s="117" t="s">
        <v>1334</v>
      </c>
      <c r="CP1" s="117" t="s">
        <v>1335</v>
      </c>
      <c r="CQ1" s="117" t="s">
        <v>1331</v>
      </c>
      <c r="CR1" s="117" t="s">
        <v>1332</v>
      </c>
      <c r="CS1" s="117" t="s">
        <v>1337</v>
      </c>
      <c r="CT1" s="117" t="s">
        <v>1339</v>
      </c>
      <c r="CU1" s="117" t="s">
        <v>1338</v>
      </c>
      <c r="CV1" s="117" t="s">
        <v>1340</v>
      </c>
      <c r="CW1" s="117" t="s">
        <v>1229</v>
      </c>
      <c r="CX1" s="64" t="s">
        <v>1280</v>
      </c>
      <c r="CY1" s="64" t="s">
        <v>1281</v>
      </c>
      <c r="CZ1" s="64" t="s">
        <v>1282</v>
      </c>
      <c r="DA1" s="64" t="s">
        <v>1283</v>
      </c>
      <c r="DB1" s="64" t="s">
        <v>1289</v>
      </c>
      <c r="DC1" s="64" t="s">
        <v>1512</v>
      </c>
      <c r="DD1" s="64" t="s">
        <v>1286</v>
      </c>
      <c r="DE1" s="64" t="s">
        <v>1287</v>
      </c>
      <c r="DF1" s="64" t="s">
        <v>1288</v>
      </c>
      <c r="DG1" s="64" t="s">
        <v>1284</v>
      </c>
      <c r="DH1" s="64" t="s">
        <v>1285</v>
      </c>
      <c r="DI1" s="64" t="s">
        <v>1290</v>
      </c>
      <c r="DJ1" s="64" t="s">
        <v>1292</v>
      </c>
      <c r="DK1" s="64" t="s">
        <v>1291</v>
      </c>
      <c r="DL1" s="64" t="s">
        <v>1293</v>
      </c>
      <c r="DM1" s="38" t="s">
        <v>1188</v>
      </c>
      <c r="DN1" s="38" t="s">
        <v>1189</v>
      </c>
      <c r="DO1" s="38" t="s">
        <v>1190</v>
      </c>
      <c r="DP1" s="38" t="s">
        <v>1191</v>
      </c>
      <c r="DQ1" s="38" t="s">
        <v>1197</v>
      </c>
      <c r="DR1" s="38" t="s">
        <v>1513</v>
      </c>
      <c r="DS1" s="38" t="s">
        <v>1194</v>
      </c>
      <c r="DT1" s="38" t="s">
        <v>1195</v>
      </c>
      <c r="DU1" s="38" t="s">
        <v>1196</v>
      </c>
      <c r="DV1" s="38" t="s">
        <v>1192</v>
      </c>
      <c r="DW1" s="38" t="s">
        <v>1193</v>
      </c>
      <c r="DX1" s="38" t="s">
        <v>1294</v>
      </c>
      <c r="DY1" s="38" t="s">
        <v>1296</v>
      </c>
      <c r="DZ1" s="38" t="s">
        <v>1295</v>
      </c>
      <c r="EA1" s="38" t="s">
        <v>1297</v>
      </c>
      <c r="EB1" s="64" t="s">
        <v>1298</v>
      </c>
      <c r="EC1" s="116" t="s">
        <v>1341</v>
      </c>
      <c r="ED1" s="116" t="s">
        <v>1342</v>
      </c>
      <c r="EE1" s="116" t="s">
        <v>1343</v>
      </c>
      <c r="EF1" s="116" t="s">
        <v>1344</v>
      </c>
      <c r="EG1" s="116" t="s">
        <v>1345</v>
      </c>
      <c r="EH1" s="116" t="s">
        <v>1539</v>
      </c>
      <c r="EI1" s="116" t="s">
        <v>1346</v>
      </c>
      <c r="EJ1" s="116" t="s">
        <v>1347</v>
      </c>
      <c r="EK1" s="116" t="s">
        <v>1348</v>
      </c>
      <c r="EL1" s="116" t="s">
        <v>1349</v>
      </c>
      <c r="EM1" s="116" t="s">
        <v>1350</v>
      </c>
      <c r="EN1" s="116" t="s">
        <v>1351</v>
      </c>
      <c r="EO1" s="116" t="s">
        <v>1352</v>
      </c>
      <c r="EP1" s="116" t="s">
        <v>1353</v>
      </c>
      <c r="EQ1" s="116" t="s">
        <v>1354</v>
      </c>
      <c r="ER1" s="117" t="s">
        <v>1355</v>
      </c>
      <c r="ES1" s="117" t="s">
        <v>1356</v>
      </c>
      <c r="ET1" s="117" t="s">
        <v>1357</v>
      </c>
      <c r="EU1" s="117" t="s">
        <v>1358</v>
      </c>
      <c r="EV1" s="117" t="s">
        <v>1359</v>
      </c>
      <c r="EW1" s="117" t="s">
        <v>1540</v>
      </c>
      <c r="EX1" s="117" t="s">
        <v>1360</v>
      </c>
      <c r="EY1" s="117" t="s">
        <v>1361</v>
      </c>
      <c r="EZ1" s="117" t="s">
        <v>1362</v>
      </c>
      <c r="FA1" s="117" t="s">
        <v>1363</v>
      </c>
      <c r="FB1" s="117" t="s">
        <v>1364</v>
      </c>
      <c r="FC1" s="117" t="s">
        <v>1365</v>
      </c>
      <c r="FD1" s="117" t="s">
        <v>1366</v>
      </c>
      <c r="FE1" s="117" t="s">
        <v>1367</v>
      </c>
      <c r="FF1" s="117" t="s">
        <v>1368</v>
      </c>
      <c r="FG1" s="117" t="s">
        <v>1369</v>
      </c>
      <c r="FH1" s="64" t="s">
        <v>1205</v>
      </c>
      <c r="FI1" s="64" t="s">
        <v>1206</v>
      </c>
      <c r="FJ1" s="64" t="s">
        <v>1207</v>
      </c>
      <c r="FK1" s="116" t="s">
        <v>1240</v>
      </c>
      <c r="FL1" s="116" t="s">
        <v>1241</v>
      </c>
      <c r="FM1" s="117" t="s">
        <v>1242</v>
      </c>
      <c r="FN1" s="117" t="s">
        <v>1243</v>
      </c>
      <c r="FO1" s="117" t="s">
        <v>1244</v>
      </c>
    </row>
    <row r="2" spans="1:171" customFormat="1" x14ac:dyDescent="0.25">
      <c r="A2" s="44" t="s">
        <v>12</v>
      </c>
      <c r="B2" s="42" t="s">
        <v>1071</v>
      </c>
      <c r="C2" s="42"/>
      <c r="D2" s="15">
        <f>s_dir!AC2</f>
        <v>0.3043104355960437</v>
      </c>
      <c r="E2" s="15">
        <f>IFERROR(s_TR/(s_RadSpec!H2*s_IFP_far_adj*s_CF_far_poultry),".")</f>
        <v>1.2172417423841748</v>
      </c>
      <c r="F2" s="15">
        <f>IFERROR(s_TR/(s_RadSpec!H2*s_IFE_far_adj*s_CF_far_egg),".")</f>
        <v>1.2172417423841748</v>
      </c>
      <c r="G2" s="15">
        <f>IFERROR(s_TR/(s_RadSpec!H2*s_IFB_far_adj*s_CF_far_beef),".")</f>
        <v>1.2172417423841748</v>
      </c>
      <c r="H2" s="15">
        <f>IFERROR(s_TR/(s_RadSpec!H2*s_IFD_far_adj*s_CF_far_dairy),".")</f>
        <v>1.2172417423841748</v>
      </c>
      <c r="I2" s="15">
        <f>IFERROR(s_TR/(s_RadSpec!H2*s_IFSW_far_adj*s_CF_far_swine),".")</f>
        <v>1.2172417423841748</v>
      </c>
      <c r="J2" s="15">
        <f>IFERROR(s_TR/(s_RadSpec!H2*s_IFFI_far_adj*s_CF_far_fish),".")</f>
        <v>1.2172417423841748</v>
      </c>
      <c r="K2" s="15">
        <f>IFERROR(s_TR/(s_RadSpec!H2*s_IFSF_far_adj*s_CF_far_shellfish),".")</f>
        <v>1.2172417423841748</v>
      </c>
      <c r="L2" s="15">
        <f>IFERROR(s_TR/(s_RadSpec!H2*s_IFGO_far_adj*s_CF_far_goat),".")</f>
        <v>1.2172417423841748</v>
      </c>
      <c r="M2" s="15">
        <f>IFERROR(s_TR/(s_RadSpec!H2*s_IFSH_far_adj*s_CF_far_sheep),".")</f>
        <v>1.2172417423841748</v>
      </c>
      <c r="N2" s="15">
        <f>IFERROR(s_TR/(s_RadSpec!H2*s_IFGM_far_adj*s_CF_far_goat_milk),".")</f>
        <v>1.2172417423841748</v>
      </c>
      <c r="O2" s="15">
        <f>IFERROR(s_TR/(s_RadSpec!H2*s_IFSM_far_adj*s_CF_far_sheep_milk),".")</f>
        <v>1.2172417423841748</v>
      </c>
      <c r="P2" s="40">
        <f>s_dir!BC2</f>
        <v>605000</v>
      </c>
      <c r="Q2" s="40">
        <f t="shared" ref="Q2:Q30" si="0">IFERROR(s_C*s_IFP_far_adj*s_CF_far_poultry,".")</f>
        <v>151250</v>
      </c>
      <c r="R2" s="40">
        <f t="shared" ref="R2:R30" si="1">IFERROR(s_C*s_IFE_far_adj*s_CF_far_egg,".")</f>
        <v>151250</v>
      </c>
      <c r="S2" s="40">
        <f t="shared" ref="S2:S30" si="2">IFERROR(s_C*s_IFB_far_adj*s_CF_far_beef,".")</f>
        <v>151250</v>
      </c>
      <c r="T2" s="40">
        <f t="shared" ref="T2:T30" si="3">IFERROR(s_C*s_IFD_far_adj*s_CF_far_dairy,".")</f>
        <v>151250</v>
      </c>
      <c r="U2" s="40">
        <f t="shared" ref="U2:U30" si="4">IFERROR(s_C*s_IFS_far_adj*s_CF_far_swine,".")</f>
        <v>151250</v>
      </c>
      <c r="V2" s="40">
        <f t="shared" ref="V2:V30" si="5">IFERROR(s_C*s_IFFI_far_adj*s_CF_far_fish,".")</f>
        <v>151250</v>
      </c>
      <c r="W2" s="40">
        <f t="shared" ref="W2:W30" si="6">IFERROR(s_C*s_IFSF_far_adj*s_CF_far_shellfish,".")</f>
        <v>151250</v>
      </c>
      <c r="X2" s="40">
        <f t="shared" ref="X2:X30" si="7">IFERROR(s_C*s_IFGO_far_adj*s_CF_far_goat,".")</f>
        <v>151250</v>
      </c>
      <c r="Y2" s="40">
        <f t="shared" ref="Y2:Y30" si="8">IFERROR(s_C*s_IFSH_far_adj*s_CF_far_sheep,".")</f>
        <v>151250</v>
      </c>
      <c r="Z2" s="40">
        <f t="shared" ref="Z2:Z30" si="9">IFERROR(s_C*s_IFGM_far_adj*s_CF_far_goat_milk,".")</f>
        <v>151250</v>
      </c>
      <c r="AA2" s="40">
        <f t="shared" ref="AA2:AA30" si="10">IFERROR(s_C*s_IFSM_far_adj*s_CF_far_sheep_milk,".")</f>
        <v>151250</v>
      </c>
      <c r="AB2" s="5"/>
      <c r="AC2" s="5"/>
      <c r="AD2" s="5"/>
      <c r="AE2" s="5"/>
      <c r="AF2" s="5"/>
      <c r="AG2" s="5"/>
      <c r="AH2" s="5"/>
      <c r="AI2" s="5"/>
      <c r="AJ2" s="5"/>
      <c r="AK2" s="5"/>
      <c r="AL2" s="5"/>
      <c r="AM2" s="5"/>
      <c r="AN2" s="45">
        <f>IFERROR((s_TR/(s_RadSpec!E2*s_IFS_far_adj*(1/1000)))*1,".")</f>
        <v>338.43009049620622</v>
      </c>
      <c r="AO2" s="45">
        <f>IFERROR(IF(A2="H-3",(s_TR/(s_RadSpec!F2*s_IFA_far_adj*(1/17)*1000))*1,(s_TR/(s_RadSpec!F2*s_IFA_far_adj*(1/s_PEF_wind)*1000))*1),".")</f>
        <v>54088.919359933687</v>
      </c>
      <c r="AP2" s="45">
        <f>IFERROR((s_TR/(s_RadSpec!G2*s_EF_far*(1/365)*s_ED_far*s_RadSpec!R2*((s_ET_far_o*(1/24)*s_RadSpec!W2)+(s_ET_far_i*(1/24)*s_RadSpec!AB2))))*1,".")</f>
        <v>8546.7861684584223</v>
      </c>
      <c r="AQ2" s="45">
        <f>s_b2s!BC2</f>
        <v>20.986926592830603</v>
      </c>
      <c r="AR2" s="45">
        <f>IFERROR(((J2*s_RadSpec!AU2)/s_RadSpec!AJ2)*1,".")</f>
        <v>137.95406413687314</v>
      </c>
      <c r="AS2" s="45" t="str">
        <f>IFERROR(((K2*s_RadSpec!AU2)/s_RadSpec!AK2)*1,".")</f>
        <v>.</v>
      </c>
      <c r="AT2" s="45">
        <f>IFERROR((G2/(s_RadSpec!AI2*((s_Q_p_beef*s_f_p_beef*s_f_s_beef*(s_RadSpec!BD2+s_R_es_past))+(s_Q_s_beef*s_f_p_beef))))*1,".")</f>
        <v>608.62087119208741</v>
      </c>
      <c r="AU2" s="45">
        <f>IFERROR(((H2*s_D_milk)/(s_RadSpec!AH2*((s_Q_p_dairy*s_f_p_dairy*s_f_s_dairy*(s_RadSpec!BD2+s_R_es_past))+(s_Q_s_dairy*s_f_p_dairy))))*1,".")</f>
        <v>6268.7949732785019</v>
      </c>
      <c r="AV2" s="45" t="str">
        <f>IFERROR((I2/(s_RadSpec!AN2*((s_Q_p_swine*s_f_p_swine*s_f_s_swine*(s_RadSpec!BD2+s_R_es_past))+(s_Q_s_swine*s_f_p_swine))))*1,".")</f>
        <v>.</v>
      </c>
      <c r="AW2" s="45" t="str">
        <f>IFERROR((E2/(s_RadSpec!AL2*((s_Q_p_poultry*s_f_p_poultry*s_f_s_poultry*(s_RadSpec!BD2+s_R_es_past))+(s_Q_s_poultry*s_f_p_poultry))))*1,".")</f>
        <v>.</v>
      </c>
      <c r="AX2" s="45" t="str">
        <f>IFERROR((F2/(s_RadSpec!AM2*((s_Q_p_poultry*s_f_p_poultry*s_f_s_poultry*(s_RadSpec!BD2+s_R_es_past))+(s_Q_s_poultry*s_f_p_poultry))))*1,".")</f>
        <v>.</v>
      </c>
      <c r="AY2" s="45" t="str">
        <f>IFERROR((L2/(s_RadSpec!AQ2*((s_Q_p_goat*s_f_p_goat*s_f_s_goat*(s_RadSpec!BD2+s_R_es_past))+(s_Q_s_goat*s_f_p_goat))))*1,".")</f>
        <v>.</v>
      </c>
      <c r="AZ2" s="45" t="str">
        <f>IFERROR((N2*s_D_milk/(s_RadSpec!AR2*((s_Q_p_goat_milk*s_f_p_goat_milk*s_f_s_goat_milk*(s_RadSpec!BD2+s_R_es_past))+(s_Q_s_goat_milk*s_f_p_goat_milk))))*1,".")</f>
        <v>.</v>
      </c>
      <c r="BA2" s="45" t="str">
        <f>IFERROR((M2/(s_RadSpec!AO2*((s_Q_p_sheep*s_f_p_sheep*s_f_s_sheep*(s_RadSpec!BD2+s_R_es_past))+(s_Q_s_sheep*s_f_p_sheep))))*1,".")</f>
        <v>.</v>
      </c>
      <c r="BB2" s="45" t="str">
        <f>IFERROR((O2*s_D_milk/(s_RadSpec!AP2*((s_Q_p_sheep_milk*s_f_p_sheep_milk*s_f_s_sheep_milk*(s_RadSpec!BD2+s_R_es_past))+(s_Q_s_sheep_milk*s_f_p_sheep_milk))))*1,".")</f>
        <v>.</v>
      </c>
      <c r="BC2" s="118">
        <f t="shared" ref="BC2:BC30" si="11">IFERROR(1/AN2,".")</f>
        <v>2.9548199999999999E-3</v>
      </c>
      <c r="BD2" s="118">
        <f t="shared" ref="BD2:BD30" si="12">IFERROR(1/AO2,".")</f>
        <v>1.8488075040758699E-5</v>
      </c>
      <c r="BE2" s="118">
        <f t="shared" ref="BE2:BE30" si="13">IFERROR(1/AP2,".")</f>
        <v>1.1700304421917803E-4</v>
      </c>
      <c r="BF2" s="118">
        <f t="shared" ref="BF2:BF30" si="14">IFERROR(1/AQ2,".")</f>
        <v>4.7648710999999996E-2</v>
      </c>
      <c r="BG2" s="118">
        <f t="shared" ref="BG2:BH30" si="15">IFERROR(1/AR2,".")</f>
        <v>7.2487897058823537E-3</v>
      </c>
      <c r="BH2" s="118" t="str">
        <f t="shared" si="15"/>
        <v>.</v>
      </c>
      <c r="BI2" s="118">
        <f t="shared" ref="BI2:BI30" si="16">IFERROR(1/AT2,".")</f>
        <v>1.6430590000000001E-3</v>
      </c>
      <c r="BJ2" s="118">
        <f t="shared" ref="BJ2:BJ30" si="17">IFERROR(1/AU2,".")</f>
        <v>1.595202912621359E-4</v>
      </c>
      <c r="BK2" s="118" t="str">
        <f t="shared" ref="BK2:BK30" si="18">IFERROR(1/AV2,".")</f>
        <v>.</v>
      </c>
      <c r="BL2" s="118" t="str">
        <f t="shared" ref="BL2:BL30" si="19">IFERROR(1/AW2,".")</f>
        <v>.</v>
      </c>
      <c r="BM2" s="118" t="str">
        <f t="shared" ref="BM2:BM30" si="20">IFERROR(1/AX2,".")</f>
        <v>.</v>
      </c>
      <c r="BN2" s="118" t="str">
        <f t="shared" ref="BN2:BN30" si="21">IFERROR(1/AY2,".")</f>
        <v>.</v>
      </c>
      <c r="BO2" s="118" t="str">
        <f t="shared" ref="BO2:BO30" si="22">IFERROR(1/AZ2,".")</f>
        <v>.</v>
      </c>
      <c r="BP2" s="118" t="str">
        <f t="shared" ref="BP2:BP30" si="23">IFERROR(1/BA2,".")</f>
        <v>.</v>
      </c>
      <c r="BQ2" s="118" t="str">
        <f t="shared" ref="BQ2:BQ30" si="24">IFERROR(1/BB2,".")</f>
        <v>.</v>
      </c>
      <c r="BR2" s="15">
        <f>IFERROR(1/(SUMIF(BC2:BQ2,"&lt;&gt;0")),".")</f>
        <v>16.725095476514362</v>
      </c>
      <c r="BS2" s="40">
        <f t="shared" ref="BS2:BS30" si="25">IFERROR(s_C*s_IFS_far_adj*(1/1000),".")</f>
        <v>302.5</v>
      </c>
      <c r="BT2" s="40">
        <f t="shared" ref="BT2:BT30" si="26">IFERROR(s_C*s_IFA_far_adj*(1/s_PEF_wind)*1000,".")</f>
        <v>3.2362545583179352E-2</v>
      </c>
      <c r="BU2" s="40">
        <f>IFERROR((s_C*s_EF_far*(1/365)*s_ED_far*s_RadSpec!R2*((s_ET_far_o*(1/24)*s_RadSpec!W2)+(s_ET_far_i*(1/24)*s_RadSpec!AB2))),".")</f>
        <v>0.14193410687259883</v>
      </c>
      <c r="BV2" s="40">
        <f>s_b2s!CC2</f>
        <v>8772.5</v>
      </c>
      <c r="BW2" s="40">
        <f>IFERROR(((s_C*s_RadSpec!AJ2)/s_RadSpec!AU2)*s_IFFI_far_adj*s_CF_far_fish,0)</f>
        <v>1334.5588235294119</v>
      </c>
      <c r="BX2" s="40">
        <f>IFERROR(((s_C*s_RadSpec!AK2)/s_RadSpec!AU2)*s_IFSF_far_adj*s_CF_far_shellfish,0)</f>
        <v>0</v>
      </c>
      <c r="BY2" s="40">
        <f>(s_C*s_IFB_far_adj*s_CF_far_beef*s_RadSpec!AI2*((s_Q_p_beef*s_f_p_beef*s_f_s_beef*(s_RadSpec!$AT2+s_R_es_past))+(s_Q_s_beef*s_f_p_beef)))</f>
        <v>302.50000000000006</v>
      </c>
      <c r="BZ2" s="40">
        <f>(s_C*s_IFD_far_adj*s_CF_far_dairy*s_RadSpec!AH2*1/s_D_milk*((s_Q_p_dairy*s_f_p_dairy*s_f_s_dairy*(s_RadSpec!$AT2+s_R_es_past))+(s_Q_s_dairy*s_f_p_dairy)))</f>
        <v>29.368932038834949</v>
      </c>
      <c r="CA2" s="40">
        <f>IFERROR((s_C*s_IFSW_far_adj*s_CF_far_swine*s_RadSpec!AN2*((s_Q_p_swine*s_f_p_swine*s_f_s_swine*(s_RadSpec!$AT2+s_R_es_past))+(s_Q_s_swine*s_f_p_swine))),0)</f>
        <v>0</v>
      </c>
      <c r="CB2" s="40">
        <f>IFERROR((s_C*s_IFP_far_adj*s_CF_far_poultry*s_RadSpec!AL2*((s_Q_p_poultry*s_f_p_poultry*s_f_s_poultry*(s_RadSpec!AT2+s_R_es_past))+(s_Q_s_poultry*s_f_p_poultry))),0)</f>
        <v>0</v>
      </c>
      <c r="CC2" s="40">
        <f>IFERROR((s_C*s_IFE_far_adj*s_CF_far_egg*s_RadSpec!AM2*((s_Q_p_egg*s_f_p_egg*s_f_s_egg*(s_RadSpec!$AT2+s_R_es_past))+(s_Q_s_egg*s_f_p_egg))),0)</f>
        <v>0</v>
      </c>
      <c r="CD2" s="40">
        <f>IFERROR((s_C*s_IFGO_far_adj*s_CF_far_goat*s_RadSpec!AQ2*((s_Q_p_goat*s_f_p_goat*s_f_s_goat*(s_RadSpec!$AT2+s_R_es_past))+(s_Q_s_goat*s_f_p_goat))),0)</f>
        <v>0</v>
      </c>
      <c r="CE2" s="40">
        <f>IFERROR((s_C*s_IFGM_far_adj*s_CF_far_goat_milk*s_RadSpec!AR2*1/s_D_milk*((s_Q_p_goat_milk*s_f_p_goat_milk*s_f_s_goat_milk*(s_RadSpec!$AT2+s_R_es_past))+(s_Q_s_goat_milk*s_f_p_goat_milk))),0)</f>
        <v>0</v>
      </c>
      <c r="CF2" s="40">
        <f>IFERROR((s_C*s_IFSH_far_adj*s_CF_far_sheep*s_RadSpec!AO2*((s_Q_p_sheep*s_f_p_sheep*s_f_s_sheep*(s_RadSpec!$AT2+s_R_es_past))+(s_Q_s_sheep*s_f_p_sheep))),0)</f>
        <v>0</v>
      </c>
      <c r="CG2" s="40">
        <f>IFERROR((s_C*s_IFSM_far_adj*s_CF_far_sheep_milk*s_RadSpec!AP2*1/s_D_milk*((s_Q_p_sheep_milk*s_f_p_sheep_milk*s_f_s_sheep_milk*(s_RadSpec!$AT2+s_R_es_past))+(s_Q_s_sheep_milk*s_f_p_sheep_milk))),0)</f>
        <v>0</v>
      </c>
      <c r="CH2" s="18"/>
      <c r="CI2" s="18"/>
      <c r="CJ2" s="18"/>
      <c r="CK2" s="18"/>
      <c r="CL2" s="18"/>
      <c r="CM2" s="18"/>
      <c r="CN2" s="18"/>
      <c r="CO2" s="18"/>
      <c r="CP2" s="18"/>
      <c r="CQ2" s="18"/>
      <c r="CR2" s="18"/>
      <c r="CS2" s="18"/>
      <c r="CT2" s="18"/>
      <c r="CU2" s="18"/>
      <c r="CV2" s="18"/>
      <c r="CW2" s="5"/>
      <c r="CX2" s="15">
        <f>IFERROR(s_TR/(s_RadSpec!I2*s_IFW_far_adj),".")</f>
        <v>9.6164479726123577</v>
      </c>
      <c r="CY2" s="15" t="str">
        <f>IFERROR(IF(AND(s_RadSpec!C2=1,s_RadSpec!D2&lt;&gt;0),s_TR/(s_RadSpec!F2*s_IFA_far_adj*s_K*s_RadSpec!D2),"."),".")</f>
        <v>.</v>
      </c>
      <c r="CZ2" s="15">
        <f>IFERROR((s_TR/(s_RadSpec!M2*(1/8760)*s_DFA_far_adj)),".")</f>
        <v>174522399.24334234</v>
      </c>
      <c r="DA2" s="15">
        <f>s_b2w!BC2</f>
        <v>25.581960661560032</v>
      </c>
      <c r="DB2" s="15">
        <f>IFERROR(J2/(s_RadSpec!AJ2*(1/1000)),".")</f>
        <v>81.149449492278322</v>
      </c>
      <c r="DC2" s="15" t="str">
        <f>IFERROR(K2/(s_RadSpec!AK2*(1/1000)),".")</f>
        <v>.</v>
      </c>
      <c r="DD2" s="15">
        <f>IFERROR(G2/(s_RadSpec!AI2*s_Q_w_beef*(1/1000)),".")</f>
        <v>12172417.423841747</v>
      </c>
      <c r="DE2" s="15">
        <f>IFERROR((H2*s_D_milk)/(s_RadSpec!AH2*s_Q_w_dairy*(1/1000)),".")</f>
        <v>125375899.46557003</v>
      </c>
      <c r="DF2" s="15" t="str">
        <f>IFERROR(I2/(s_RadSpec!AN2*s_Q_w_swine*(1/1000)),".")</f>
        <v>.</v>
      </c>
      <c r="DG2" s="15" t="str">
        <f>IFERROR(E2/(s_RadSpec!AL2*s_Q_w_poultry*(1/1000)),".")</f>
        <v>.</v>
      </c>
      <c r="DH2" s="15" t="str">
        <f>IFERROR(F2/(s_RadSpec!AM2*s_Q_w_poultry*(1/1000)),".")</f>
        <v>.</v>
      </c>
      <c r="DI2" s="15" t="str">
        <f>IFERROR(L2/(s_RadSpec!AQ2*s_Q_w_goat*(1/1000)),".")</f>
        <v>.</v>
      </c>
      <c r="DJ2" s="15" t="str">
        <f>IFERROR(N2*s_D_milk/(s_RadSpec!AR2*s_Q_w_goat_milk*(1/1000)),".")</f>
        <v>.</v>
      </c>
      <c r="DK2" s="15" t="str">
        <f>IFERROR(M2/(s_RadSpec!AO2*s_Q_w_sheep*(1/1000)),".")</f>
        <v>.</v>
      </c>
      <c r="DL2" s="15" t="str">
        <f>IFERROR(O2*s_D_milk/(s_RadSpec!AP2*s_Q_w_sheep_milk*(1/1000)),".")</f>
        <v>.</v>
      </c>
      <c r="DM2" s="118">
        <f t="shared" ref="DM2:DM30" si="27">IFERROR(1/CX2,".")</f>
        <v>0.10398849999999998</v>
      </c>
      <c r="DN2" s="118" t="str">
        <f t="shared" ref="DN2:DN30" si="28">IFERROR(1/CY2,".")</f>
        <v>.</v>
      </c>
      <c r="DO2" s="118">
        <f t="shared" ref="DO2:DO30" si="29">IFERROR(1/CZ2,".")</f>
        <v>5.7299235189041089E-9</v>
      </c>
      <c r="DP2" s="118">
        <f t="shared" ref="DP2:DP30" si="30">IFERROR(1/DA2,".")</f>
        <v>3.9090045256094073E-2</v>
      </c>
      <c r="DQ2" s="118">
        <f t="shared" ref="DQ2:DR30" si="31">IFERROR(1/DB2,".")</f>
        <v>1.2322942500000001E-2</v>
      </c>
      <c r="DR2" s="118" t="str">
        <f t="shared" si="31"/>
        <v>.</v>
      </c>
      <c r="DS2" s="118">
        <f t="shared" ref="DS2:DS30" si="32">IFERROR(1/DD2,".")</f>
        <v>8.2152950000000012E-8</v>
      </c>
      <c r="DT2" s="118">
        <f t="shared" ref="DT2:DT30" si="33">IFERROR(1/DE2,".")</f>
        <v>7.9760145631067945E-9</v>
      </c>
      <c r="DU2" s="118" t="str">
        <f t="shared" ref="DU2:DU30" si="34">IFERROR(1/DF2,".")</f>
        <v>.</v>
      </c>
      <c r="DV2" s="118" t="str">
        <f t="shared" ref="DV2:DV30" si="35">IFERROR(1/DG2,".")</f>
        <v>.</v>
      </c>
      <c r="DW2" s="118" t="str">
        <f t="shared" ref="DW2:DW30" si="36">IFERROR(1/DH2,".")</f>
        <v>.</v>
      </c>
      <c r="DX2" s="118" t="str">
        <f t="shared" ref="DX2:DX30" si="37">IFERROR(1/DI2,".")</f>
        <v>.</v>
      </c>
      <c r="DY2" s="118" t="str">
        <f t="shared" ref="DY2:DY30" si="38">IFERROR(1/DJ2,".")</f>
        <v>.</v>
      </c>
      <c r="DZ2" s="118" t="str">
        <f t="shared" ref="DZ2:DZ30" si="39">IFERROR(1/DK2,".")</f>
        <v>.</v>
      </c>
      <c r="EA2" s="118" t="str">
        <f t="shared" ref="EA2:EA30" si="40">IFERROR(1/DL2,".")</f>
        <v>.</v>
      </c>
      <c r="EB2" s="15">
        <f>IFERROR(1/(SUMIF(DM2:EA2,"&lt;&gt;0")),".")</f>
        <v>6.4349408592744277</v>
      </c>
      <c r="EC2" s="40">
        <f t="shared" ref="EC2:EC30" si="41">IFERROR(s_C*s_IFW_far_adj,".")</f>
        <v>27500</v>
      </c>
      <c r="ED2" s="40">
        <f>IFERROR(IF(s_RadSpec!D2&lt;&gt;"",s_C*s_IFA_far_adj*s_K*s_RadSpec!D2,0),".")</f>
        <v>0</v>
      </c>
      <c r="EE2" s="40">
        <f t="shared" ref="EE2:EE30" si="42">IFERROR((s_C*s_DFA_far_adj*(1/8760)),".")</f>
        <v>2.5114155251141552</v>
      </c>
      <c r="EF2" s="40">
        <f>s_b2w!CC2</f>
        <v>7196.7827631073851</v>
      </c>
      <c r="EG2" s="40">
        <f>IFERROR(s_C*s_RadSpec!AJ2*(1/1000)*s_IFFI_far_adj*s_CF_far_fish,0)</f>
        <v>2268.75</v>
      </c>
      <c r="EH2" s="40">
        <f>IFERROR(s_C*s_RadSpec!AK2*(1/1000)*s_IFSF_far_adj*s_CF_far_shellfish,0)</f>
        <v>0</v>
      </c>
      <c r="EI2" s="40">
        <f>(s_C*s_IFB_far_adj*s_CF_far_beef*s_RadSpec!AI2*s_Q_w_beef*(1/1000))</f>
        <v>1.5125000000000001E-2</v>
      </c>
      <c r="EJ2" s="40">
        <f>(s_C*s_IFD_far_adj*s_CF_far_dairy*s_RadSpec!AH2*(1/s_D_milk)*s_Q_w_dairy*(1/1000))</f>
        <v>1.4684466019417475E-3</v>
      </c>
      <c r="EK2" s="40">
        <f>IFERROR((s_C*s_IFSW_far_adj*s_CF_far_swine*s_RadSpec!AN2*s_Q_w_swine*(1/1000)),0)</f>
        <v>0</v>
      </c>
      <c r="EL2" s="40">
        <f>IFERROR((s_C*s_IFP_far_adj*s_CF_far_poultry*s_RadSpec!AL2*s_Q_w_poultry*(1/1000)),0)</f>
        <v>0</v>
      </c>
      <c r="EM2" s="40">
        <f>IFERROR((s_C*s_IFE_far_adj*s_CF_far_egg*s_RadSpec!AM2*s_Q_w_egg*(1/1000)),0)</f>
        <v>0</v>
      </c>
      <c r="EN2" s="40">
        <f>IFERROR((s_C*s_IFGO_far_adj*s_CF_far_goat*s_RadSpec!AQ2*s_Q_p_goat*(1/1000)),0)</f>
        <v>0</v>
      </c>
      <c r="EO2" s="40">
        <f>IFERROR((s_C*s_IFGM_far_adj*s_CF_far_goat_milk*s_RadSpec!AR2*(1/s_D_milk)*s_Q_p_goat_milk*(1/1000)),0)</f>
        <v>0</v>
      </c>
      <c r="EP2" s="40">
        <f>IFERROR((s_C*s_IFSH_far_adj*s_CF_far_sheep*s_RadSpec!AO2*s_Q_p_sheep*(1/1000)),0)</f>
        <v>0</v>
      </c>
      <c r="EQ2" s="40">
        <f>IFERROR((s_C*s_IFSM_far_adj*s_CF_far_sheep_milk*s_RadSpec!AP2*(1/s_D_milk)*s_Q_p_sheep_milk*(1/1000)),0)</f>
        <v>0</v>
      </c>
      <c r="ER2" s="18"/>
      <c r="ES2" s="18"/>
      <c r="ET2" s="18"/>
      <c r="EU2" s="18"/>
      <c r="EV2" s="18"/>
      <c r="EW2" s="18"/>
      <c r="EX2" s="18"/>
      <c r="EY2" s="18"/>
      <c r="EZ2" s="18"/>
      <c r="FA2" s="18"/>
      <c r="FB2" s="18"/>
      <c r="FC2" s="18"/>
      <c r="FD2" s="18"/>
      <c r="FE2" s="18"/>
      <c r="FF2" s="18"/>
      <c r="FG2" s="5"/>
      <c r="FH2" s="15">
        <f>IFERROR((s_TR/(s_RadSpec!F2*s_IFA_far_adj)),".")</f>
        <v>0.17459084816597772</v>
      </c>
      <c r="FI2" s="15">
        <f>IFERROR((s_TR/(s_RadSpec!K2*s_EF_far*(1/365)*s_ED_far*s_ET_far*(1/24)*s_GSF_a)),".")</f>
        <v>618624.52266937145</v>
      </c>
      <c r="FJ2" s="15">
        <f t="shared" ref="FJ2" si="43">IFERROR(IF(AND(ISNUMBER(FH2),ISNUMBER(FI2)),1/((1/FH2)+(1/FI2)),IF(AND(ISNUMBER(FH2),NOT(ISNUMBER(FI2))),1/((1/FH2)),IF(AND(NOT(ISNUMBER(FH2)),ISNUMBER(FI2)),1/((1/FI2)),IF(AND(NOT(ISNUMBER(FH2)),NOT(ISNUMBER(FI2))),".")))),".")</f>
        <v>0.17459079889221871</v>
      </c>
      <c r="FK2" s="40">
        <f t="shared" ref="FK2:FK30" si="44">s_C*s_IFA_far_adj</f>
        <v>10026.041666666666</v>
      </c>
      <c r="FL2" s="40">
        <f t="shared" ref="FL2:FL30" si="45">s_C*s_EF_far*(1/365)*s_ED_far*s_ET_far*(1/24)*s_GSF_a</f>
        <v>1.5696347031963471</v>
      </c>
      <c r="FM2" s="120"/>
      <c r="FN2" s="120"/>
      <c r="FO2" s="120"/>
    </row>
    <row r="3" spans="1:171" x14ac:dyDescent="0.25">
      <c r="A3" s="46" t="s">
        <v>13</v>
      </c>
      <c r="B3" s="42" t="s">
        <v>349</v>
      </c>
      <c r="C3" s="42"/>
      <c r="D3" s="15">
        <f>s_dir!AC3</f>
        <v>0.61873645353877038</v>
      </c>
      <c r="E3" s="15">
        <f>IFERROR(s_TR/(s_RadSpec!H3*s_IFP_far_adj*s_CF_far_poultry),".")</f>
        <v>2.4749458141550815</v>
      </c>
      <c r="F3" s="15">
        <f>IFERROR(s_TR/(s_RadSpec!H3*s_IFE_far_adj*s_CF_far_egg),".")</f>
        <v>2.4749458141550815</v>
      </c>
      <c r="G3" s="15">
        <f>IFERROR(s_TR/(s_RadSpec!H3*s_IFB_far_adj*s_CF_far_beef),".")</f>
        <v>2.4749458141550815</v>
      </c>
      <c r="H3" s="15">
        <f>IFERROR(s_TR/(s_RadSpec!H3*s_IFD_far_adj*s_CF_far_dairy),".")</f>
        <v>2.4749458141550815</v>
      </c>
      <c r="I3" s="15">
        <f>IFERROR(s_TR/(s_RadSpec!H3*s_IFSW_far_adj*s_CF_far_swine),".")</f>
        <v>2.4749458141550815</v>
      </c>
      <c r="J3" s="15">
        <f>IFERROR(s_TR/(s_RadSpec!H3*s_IFFI_far_adj*s_CF_far_fish),".")</f>
        <v>2.4749458141550815</v>
      </c>
      <c r="K3" s="15">
        <f>IFERROR(s_TR/(s_RadSpec!H3*s_IFSF_far_adj*s_CF_far_shellfish),".")</f>
        <v>2.4749458141550815</v>
      </c>
      <c r="L3" s="15">
        <f>IFERROR(s_TR/(s_RadSpec!H3*s_IFGO_far_adj*s_CF_far_goat),".")</f>
        <v>2.4749458141550815</v>
      </c>
      <c r="M3" s="15">
        <f>IFERROR(s_TR/(s_RadSpec!H3*s_IFSH_far_adj*s_CF_far_sheep),".")</f>
        <v>2.4749458141550815</v>
      </c>
      <c r="N3" s="15">
        <f>IFERROR(s_TR/(s_RadSpec!H3*s_IFGM_far_adj*s_CF_far_goat_milk),".")</f>
        <v>2.4749458141550815</v>
      </c>
      <c r="O3" s="15">
        <f>IFERROR(s_TR/(s_RadSpec!H3*s_IFSM_far_adj*s_CF_far_sheep_milk),".")</f>
        <v>2.4749458141550815</v>
      </c>
      <c r="P3" s="40">
        <f>s_dir!BC3</f>
        <v>605000</v>
      </c>
      <c r="Q3" s="40">
        <f t="shared" si="0"/>
        <v>151250</v>
      </c>
      <c r="R3" s="40">
        <f t="shared" si="1"/>
        <v>151250</v>
      </c>
      <c r="S3" s="40">
        <f t="shared" si="2"/>
        <v>151250</v>
      </c>
      <c r="T3" s="40">
        <f t="shared" si="3"/>
        <v>151250</v>
      </c>
      <c r="U3" s="40">
        <f t="shared" si="4"/>
        <v>151250</v>
      </c>
      <c r="V3" s="40">
        <f t="shared" si="5"/>
        <v>151250</v>
      </c>
      <c r="W3" s="40">
        <f t="shared" si="6"/>
        <v>151250</v>
      </c>
      <c r="X3" s="40">
        <f t="shared" si="7"/>
        <v>151250</v>
      </c>
      <c r="Y3" s="40">
        <f t="shared" si="8"/>
        <v>151250</v>
      </c>
      <c r="Z3" s="40">
        <f t="shared" si="9"/>
        <v>151250</v>
      </c>
      <c r="AA3" s="40">
        <f t="shared" si="10"/>
        <v>151250</v>
      </c>
      <c r="AB3" s="5"/>
      <c r="AC3" s="5"/>
      <c r="AD3" s="5"/>
      <c r="AE3" s="5"/>
      <c r="AF3" s="5"/>
      <c r="AG3" s="5"/>
      <c r="AH3" s="5"/>
      <c r="AI3" s="5"/>
      <c r="AJ3" s="5"/>
      <c r="AK3" s="5"/>
      <c r="AL3" s="5"/>
      <c r="AM3" s="5"/>
      <c r="AN3" s="45">
        <f>IFERROR((s_TR/(s_RadSpec!E3*s_IFS_far_adj*(1/1000)))*1,".")</f>
        <v>897.04361336343834</v>
      </c>
      <c r="AO3" s="45">
        <f>IFERROR(IF(A3="H-3",(s_TR/(s_RadSpec!F3*s_IFA_far_adj*(1/17)*1000))*1,(s_TR/(s_RadSpec!F3*s_IFA_far_adj*(1/s_PEF_wind)*1000))*1),".")</f>
        <v>40937.887986145884</v>
      </c>
      <c r="AP3" s="45">
        <f>IFERROR((s_TR/(s_RadSpec!G3*s_EF_far*(1/365)*s_ED_far*s_RadSpec!R3*((s_ET_far_o*(1/24)*s_RadSpec!W3)+(s_ET_far_i*(1/24)*s_RadSpec!AB3))))*1,".")</f>
        <v>1670139.3857667963</v>
      </c>
      <c r="AQ3" s="45">
        <f>s_b2s!BC3</f>
        <v>44.663631533305939</v>
      </c>
      <c r="AR3" s="45">
        <f>IFERROR(((J3*s_RadSpec!AU3)/s_RadSpec!AJ3)*1,".")</f>
        <v>4.1249096902584693E-2</v>
      </c>
      <c r="AS3" s="45">
        <f>IFERROR(((K3*s_RadSpec!AU3)/s_RadSpec!AK3)*1,".")</f>
        <v>4.1249096902584688E-3</v>
      </c>
      <c r="AT3" s="45">
        <f>IFERROR((G3/(s_RadSpec!AI3*((s_Q_p_beef*s_f_p_beef*s_f_s_beef*(s_RadSpec!AT3+s_R_es_past))+(s_Q_s_beef*s_f_p_beef))))*1,".")</f>
        <v>56.568146525148087</v>
      </c>
      <c r="AU3" s="45">
        <f>IFERROR(((H3*s_D_milk)/(s_RadSpec!AH3*((s_Q_p_dairy*s_f_p_dairy*s_f_s_dairy*(s_RadSpec!AT3+s_R_es_past))+(s_Q_s_dairy*s_f_p_dairy))))*1,".")</f>
        <v>69363.322524883959</v>
      </c>
      <c r="AV3" s="45">
        <f>IFERROR((I3/(s_RadSpec!AN3*((s_Q_p_swine*s_f_p_swine*s_f_s_swine*(s_RadSpec!AT3+s_R_es_past))+(s_Q_s_swine*s_f_p_swine))))*1,".")</f>
        <v>166.37690154455319</v>
      </c>
      <c r="AW3" s="45">
        <f>IFERROR((E3/(s_RadSpec!AL3*((s_Q_p_poultry*s_f_p_poultry*s_f_s_poultry*(s_RadSpec!BD3+s_R_es_past))+(s_Q_s_poultry*s_f_p_poultry))))*1,".")</f>
        <v>4.714012210429007</v>
      </c>
      <c r="AX3" s="45">
        <f>IFERROR((F3/(s_RadSpec!AM3*((s_Q_p_poultry*s_f_p_poultry*s_f_s_poultry*(s_RadSpec!AT3+s_R_es_past))+(s_Q_s_poultry*s_f_p_poultry))))*1,".")</f>
        <v>9.428024420858014</v>
      </c>
      <c r="AY3" s="45" t="str">
        <f>IFERROR((L3/(s_RadSpec!AQ3*((s_Q_p_goat*s_f_p_goat*s_f_s_goat*(s_RadSpec!AT3+s_R_es_past))+(s_Q_s_goat*s_f_p_goat))))*1,".")</f>
        <v>.</v>
      </c>
      <c r="AZ3" s="45">
        <f>IFERROR((N3*s_D_milk/(s_RadSpec!AR3*((s_Q_p_goat_milk*s_f_p_goat_milk*s_f_s_goat_milk*(s_RadSpec!AT3+s_R_es_past))+(s_Q_s_goat_milk*s_f_p_goat_milk))))*1,".")</f>
        <v>4222.1152841233716</v>
      </c>
      <c r="BA3" s="45">
        <f>IFERROR((M3/(s_RadSpec!AO3*((s_Q_p_sheep*s_f_p_sheep*s_f_s_sheep*(s_RadSpec!AT3+s_R_es_past))+(s_Q_s_sheep*s_f_p_sheep))))*1,".")</f>
        <v>257.12793875067314</v>
      </c>
      <c r="BB3" s="45" t="str">
        <f>IFERROR((O3*s_D_milk/(s_RadSpec!AP3*((s_Q_p_sheep_milk*s_f_p_sheep_milk*s_f_s_sheep_milk*(s_RadSpec!AT3+s_R_es_past))+(s_Q_s_sheep_milk*s_f_p_sheep_milk))))*1,".")</f>
        <v>.</v>
      </c>
      <c r="BC3" s="118">
        <f t="shared" si="11"/>
        <v>1.1147729999999997E-3</v>
      </c>
      <c r="BD3" s="118">
        <f t="shared" si="12"/>
        <v>2.4427249406183777E-5</v>
      </c>
      <c r="BE3" s="118">
        <f t="shared" si="13"/>
        <v>5.9875242061959928E-7</v>
      </c>
      <c r="BF3" s="118">
        <f t="shared" si="14"/>
        <v>2.2389581090249994E-2</v>
      </c>
      <c r="BG3" s="118">
        <f t="shared" si="15"/>
        <v>24.242954999999998</v>
      </c>
      <c r="BH3" s="118">
        <f t="shared" si="15"/>
        <v>242.42955000000001</v>
      </c>
      <c r="BI3" s="118">
        <f t="shared" si="16"/>
        <v>1.7677793271084766E-2</v>
      </c>
      <c r="BJ3" s="118">
        <f t="shared" si="17"/>
        <v>1.4416841114282723E-5</v>
      </c>
      <c r="BK3" s="118">
        <f t="shared" si="18"/>
        <v>6.0104497121688206E-3</v>
      </c>
      <c r="BL3" s="118">
        <f t="shared" si="19"/>
        <v>0.21213351925301721</v>
      </c>
      <c r="BM3" s="118">
        <f t="shared" si="20"/>
        <v>0.10606675962650861</v>
      </c>
      <c r="BN3" s="118" t="str">
        <f t="shared" si="21"/>
        <v>.</v>
      </c>
      <c r="BO3" s="118">
        <f t="shared" si="22"/>
        <v>2.3684810402035901E-4</v>
      </c>
      <c r="BP3" s="118">
        <f t="shared" si="23"/>
        <v>3.8891145196386485E-3</v>
      </c>
      <c r="BQ3" s="118" t="str">
        <f t="shared" si="24"/>
        <v>.</v>
      </c>
      <c r="BR3" s="15">
        <f t="shared" ref="BR3:BR66" si="46">IFERROR(1/(SUMIF(BC3:BQ3,"&lt;&gt;0")),".")</f>
        <v>3.7447284061243925E-3</v>
      </c>
      <c r="BS3" s="40">
        <f t="shared" si="25"/>
        <v>302.5</v>
      </c>
      <c r="BT3" s="40">
        <f t="shared" si="26"/>
        <v>3.2362545583179352E-2</v>
      </c>
      <c r="BU3" s="40">
        <f>IFERROR((s_C*s_EF_far*(1/365)*s_ED_far*s_RadSpec!R3*((s_ET_far_o*(1/24)*s_RadSpec!W3)+(s_ET_far_i*(1/24)*s_RadSpec!AB3))),".")</f>
        <v>1.0818405338953278E-3</v>
      </c>
      <c r="BV3" s="40">
        <f>s_b2s!CC3</f>
        <v>8381.2162499999995</v>
      </c>
      <c r="BW3" s="40">
        <f>IFERROR(((s_C*s_RadSpec!AJ3)/s_RadSpec!AU3)*s_IFFI_far_adj*s_CF_far_fish,0)</f>
        <v>9075000</v>
      </c>
      <c r="BX3" s="40">
        <f>IFERROR(((s_C*s_RadSpec!AK3)/s_RadSpec!AU3)*s_IFSF_far_adj*s_CF_far_shellfish,0)</f>
        <v>90750000</v>
      </c>
      <c r="BY3" s="40">
        <f>(s_C*s_IFB_far_adj*s_CF_far_beef*s_RadSpec!AI3*((s_Q_p_beef*s_f_p_beef*s_f_s_beef*(s_RadSpec!$AT3+s_R_es_past))+(s_Q_s_beef*s_f_p_beef)))</f>
        <v>6617.4265445402289</v>
      </c>
      <c r="BZ3" s="40">
        <f>(s_C*s_IFD_far_adj*s_CF_far_dairy*s_RadSpec!AH3*1/s_D_milk*((s_Q_p_dairy*s_f_p_dairy*s_f_s_dairy*(s_RadSpec!$AT3+s_R_es_past))+(s_Q_s_dairy*s_f_p_dairy)))</f>
        <v>5.3967362110813522</v>
      </c>
      <c r="CA3" s="40">
        <f>IFERROR((s_C*s_IFSW_far_adj*s_CF_far_swine*s_RadSpec!AN3*((s_Q_p_swine*s_f_p_swine*s_f_s_swine*(s_RadSpec!$AT3+s_R_es_past))+(s_Q_s_swine*s_f_p_swine))),0)</f>
        <v>2249.9250251436783</v>
      </c>
      <c r="CB3" s="40">
        <f>IFERROR((s_C*s_IFP_far_adj*s_CF_far_poultry*s_RadSpec!AL3*((s_Q_p_poultry*s_f_p_poultry*s_f_s_poultry*(s_RadSpec!AT3+s_R_es_past))+(s_Q_s_poultry*s_f_p_poultry))),0)</f>
        <v>79409.118534482754</v>
      </c>
      <c r="CC3" s="40">
        <f>IFERROR((s_C*s_IFE_far_adj*s_CF_far_egg*s_RadSpec!AM3*((s_Q_p_egg*s_f_p_egg*s_f_s_egg*(s_RadSpec!$AT3+s_R_es_past))+(s_Q_s_egg*s_f_p_egg))),0)</f>
        <v>39704.559267241377</v>
      </c>
      <c r="CD3" s="40">
        <f>IFERROR((s_C*s_IFGO_far_adj*s_CF_far_goat*s_RadSpec!AQ3*((s_Q_p_goat*s_f_p_goat*s_f_s_goat*(s_RadSpec!$AT3+s_R_es_past))+(s_Q_s_goat*s_f_p_goat))),0)</f>
        <v>0</v>
      </c>
      <c r="CE3" s="40">
        <f>IFERROR((s_C*s_IFGM_far_adj*s_CF_far_goat_milk*s_RadSpec!AR3*1/s_D_milk*((s_Q_p_goat_milk*s_f_p_goat_milk*s_f_s_goat_milk*(s_RadSpec!$AT3+s_R_es_past))+(s_Q_s_goat_milk*s_f_p_goat_milk))),0)</f>
        <v>88.660666324907936</v>
      </c>
      <c r="CF3" s="40">
        <f>IFERROR((s_C*s_IFSH_far_adj*s_CF_far_sheep*s_RadSpec!AO3*((s_Q_p_sheep*s_f_p_sheep*s_f_s_sheep*(s_RadSpec!$AT3+s_R_es_past))+(s_Q_s_sheep*s_f_p_sheep))),0)</f>
        <v>1455.8338397988505</v>
      </c>
      <c r="CG3" s="40">
        <f>IFERROR((s_C*s_IFSM_far_adj*s_CF_far_sheep_milk*s_RadSpec!AP3*1/s_D_milk*((s_Q_p_sheep_milk*s_f_p_sheep_milk*s_f_s_sheep_milk*(s_RadSpec!$AT3+s_R_es_past))+(s_Q_s_sheep_milk*s_f_p_sheep_milk))),0)</f>
        <v>0</v>
      </c>
      <c r="CH3" s="18"/>
      <c r="CI3" s="18"/>
      <c r="CJ3" s="18"/>
      <c r="CK3" s="18"/>
      <c r="CL3" s="18"/>
      <c r="CM3" s="18"/>
      <c r="CN3" s="18"/>
      <c r="CO3" s="18"/>
      <c r="CP3" s="18"/>
      <c r="CQ3" s="18"/>
      <c r="CR3" s="18"/>
      <c r="CS3" s="18"/>
      <c r="CT3" s="18"/>
      <c r="CU3" s="18"/>
      <c r="CV3" s="18"/>
      <c r="CW3" s="5"/>
      <c r="CX3" s="15">
        <f>IFERROR(s_TR/(s_RadSpec!I3*s_IFW_far_adj),".")</f>
        <v>17.550017550017554</v>
      </c>
      <c r="CY3" s="15" t="str">
        <f>IFERROR(IF(AND(s_RadSpec!C3=1,s_RadSpec!D3&lt;&gt;0),s_TR/(s_RadSpec!F3*s_IFA_far_adj*s_K*s_RadSpec!D3),"."),".")</f>
        <v>.</v>
      </c>
      <c r="CZ3" s="15">
        <f>IFERROR((s_TR/(s_RadSpec!M3*(1/8760)*s_DFA_far_adj)),".")</f>
        <v>150892375.27499598</v>
      </c>
      <c r="DA3" s="15">
        <f>s_b2w!BC3</f>
        <v>52.582349436628952</v>
      </c>
      <c r="DB3" s="15">
        <f>IFERROR(J3/(s_RadSpec!AJ3*(1/1000)),".")</f>
        <v>10.312274225646174</v>
      </c>
      <c r="DC3" s="15">
        <f>IFERROR(K3/(s_RadSpec!AK3*(1/1000)),".")</f>
        <v>1.0312274225646174</v>
      </c>
      <c r="DD3" s="15">
        <f>IFERROR(G3/(s_RadSpec!AI3*s_Q_w_beef*(1/1000)),".")</f>
        <v>989978.32566203258</v>
      </c>
      <c r="DE3" s="15">
        <f>IFERROR((H3*s_D_milk)/(s_RadSpec!AH3*s_Q_w_dairy*(1/1000)),".")</f>
        <v>1213901994.5617781</v>
      </c>
      <c r="DF3" s="15">
        <f>IFERROR(I3/(s_RadSpec!AN3*s_Q_w_swine*(1/1000)),".")</f>
        <v>2911700.9578295071</v>
      </c>
      <c r="DG3" s="15">
        <f>IFERROR(E3/(s_RadSpec!AL3*s_Q_w_poultry*(1/1000)),".")</f>
        <v>82498.193805169387</v>
      </c>
      <c r="DH3" s="15">
        <f>IFERROR(F3/(s_RadSpec!AM3*s_Q_w_poultry*(1/1000)),".")</f>
        <v>164996.38761033877</v>
      </c>
      <c r="DI3" s="15" t="str">
        <f>IFERROR(L3/(s_RadSpec!AQ3*s_Q_w_goat*(1/1000)),".")</f>
        <v>.</v>
      </c>
      <c r="DJ3" s="15">
        <f>IFERROR(N3*s_D_milk/(s_RadSpec!AR3*s_Q_w_goat_milk*(1/1000)),".")</f>
        <v>73889686.625499547</v>
      </c>
      <c r="DK3" s="15">
        <f>IFERROR(M3/(s_RadSpec!AO3*s_Q_w_sheep*(1/1000)),".")</f>
        <v>4499901.4802819658</v>
      </c>
      <c r="DL3" s="15" t="str">
        <f>IFERROR(O3*s_D_milk/(s_RadSpec!AP3*s_Q_w_sheep_milk*(1/1000)),".")</f>
        <v>.</v>
      </c>
      <c r="DM3" s="118">
        <f t="shared" si="27"/>
        <v>5.6979999999999989E-2</v>
      </c>
      <c r="DN3" s="118" t="str">
        <f t="shared" si="28"/>
        <v>.</v>
      </c>
      <c r="DO3" s="118">
        <f t="shared" si="29"/>
        <v>6.6272400986301368E-9</v>
      </c>
      <c r="DP3" s="118">
        <f t="shared" si="30"/>
        <v>1.901778849203338E-2</v>
      </c>
      <c r="DQ3" s="118">
        <f t="shared" si="31"/>
        <v>9.6971819999999986E-2</v>
      </c>
      <c r="DR3" s="118">
        <f t="shared" si="31"/>
        <v>0.96971819999999986</v>
      </c>
      <c r="DS3" s="118">
        <f t="shared" si="32"/>
        <v>1.010123125E-6</v>
      </c>
      <c r="DT3" s="118">
        <f t="shared" si="33"/>
        <v>8.237897330097087E-10</v>
      </c>
      <c r="DU3" s="118">
        <f t="shared" si="34"/>
        <v>3.4344186250000004E-7</v>
      </c>
      <c r="DV3" s="118">
        <f t="shared" si="35"/>
        <v>1.2121477499999999E-5</v>
      </c>
      <c r="DW3" s="118">
        <f t="shared" si="36"/>
        <v>6.0607387499999996E-6</v>
      </c>
      <c r="DX3" s="118" t="str">
        <f t="shared" si="37"/>
        <v>.</v>
      </c>
      <c r="DY3" s="118">
        <f t="shared" si="38"/>
        <v>1.3533688470873783E-8</v>
      </c>
      <c r="DZ3" s="118">
        <f t="shared" si="39"/>
        <v>2.2222708750000002E-7</v>
      </c>
      <c r="EA3" s="118" t="str">
        <f t="shared" si="40"/>
        <v>.</v>
      </c>
      <c r="EB3" s="15">
        <f t="shared" ref="EB3:EB66" si="47">IFERROR(1/(SUMIF(DM3:EA3,"&lt;&gt;0")),".")</f>
        <v>0.87511451831771436</v>
      </c>
      <c r="EC3" s="40">
        <f t="shared" si="41"/>
        <v>27500</v>
      </c>
      <c r="ED3" s="40">
        <f>IFERROR(IF(s_RadSpec!D3&lt;&gt;"",s_C*s_IFA_far_adj*s_K*s_RadSpec!D3,0),".")</f>
        <v>0</v>
      </c>
      <c r="EE3" s="40">
        <f t="shared" si="42"/>
        <v>2.5114155251141552</v>
      </c>
      <c r="EF3" s="40">
        <f>s_b2w!CC3</f>
        <v>7119.0343984552601</v>
      </c>
      <c r="EG3" s="40">
        <f>IFERROR(s_C*s_RadSpec!AJ3*(1/1000)*s_IFFI_far_adj*s_CF_far_fish,0)</f>
        <v>36300</v>
      </c>
      <c r="EH3" s="40">
        <f>IFERROR(s_C*s_RadSpec!AK3*(1/1000)*s_IFSF_far_adj*s_CF_far_shellfish,0)</f>
        <v>363000</v>
      </c>
      <c r="EI3" s="40">
        <f>(s_C*s_IFB_far_adj*s_CF_far_beef*s_RadSpec!AI3*s_Q_w_beef*(1/1000))</f>
        <v>0.37812499999999999</v>
      </c>
      <c r="EJ3" s="40">
        <f>(s_C*s_IFD_far_adj*s_CF_far_dairy*s_RadSpec!AH3*(1/s_D_milk)*s_Q_w_dairy*(1/1000))</f>
        <v>3.08373786407767E-4</v>
      </c>
      <c r="EK3" s="40">
        <f>IFERROR((s_C*s_IFSW_far_adj*s_CF_far_swine*s_RadSpec!AN3*s_Q_w_swine*(1/1000)),0)</f>
        <v>0.1285625</v>
      </c>
      <c r="EL3" s="40">
        <f>IFERROR((s_C*s_IFP_far_adj*s_CF_far_poultry*s_RadSpec!AL3*s_Q_w_poultry*(1/1000)),0)</f>
        <v>4.5375000000000005</v>
      </c>
      <c r="EM3" s="40">
        <f>IFERROR((s_C*s_IFE_far_adj*s_CF_far_egg*s_RadSpec!AM3*s_Q_w_egg*(1/1000)),0)</f>
        <v>2.2687500000000003</v>
      </c>
      <c r="EN3" s="40">
        <f>IFERROR((s_C*s_IFGO_far_adj*s_CF_far_goat*s_RadSpec!AQ3*s_Q_p_goat*(1/1000)),0)</f>
        <v>0</v>
      </c>
      <c r="EO3" s="40">
        <f>IFERROR((s_C*s_IFGM_far_adj*s_CF_far_goat_milk*s_RadSpec!AR3*(1/s_D_milk)*s_Q_p_goat_milk*(1/1000)),0)</f>
        <v>5.0661407766990291E-3</v>
      </c>
      <c r="EP3" s="40">
        <f>IFERROR((s_C*s_IFSH_far_adj*s_CF_far_sheep*s_RadSpec!AO3*s_Q_p_sheep*(1/1000)),0)</f>
        <v>8.3187499999999998E-2</v>
      </c>
      <c r="EQ3" s="40">
        <f>IFERROR((s_C*s_IFSM_far_adj*s_CF_far_sheep_milk*s_RadSpec!AP3*(1/s_D_milk)*s_Q_p_sheep_milk*(1/1000)),0)</f>
        <v>0</v>
      </c>
      <c r="ER3" s="18"/>
      <c r="ES3" s="18"/>
      <c r="ET3" s="18"/>
      <c r="EU3" s="18"/>
      <c r="EV3" s="18"/>
      <c r="EW3" s="18"/>
      <c r="EX3" s="18"/>
      <c r="EY3" s="18"/>
      <c r="EZ3" s="18"/>
      <c r="FA3" s="18"/>
      <c r="FB3" s="18"/>
      <c r="FC3" s="18"/>
      <c r="FD3" s="18"/>
      <c r="FE3" s="18"/>
      <c r="FF3" s="18"/>
      <c r="FG3" s="5"/>
      <c r="FH3" s="15">
        <f>IFERROR((s_TR/(s_RadSpec!F3*s_IFA_far_adj)),".")</f>
        <v>0.13214130861189685</v>
      </c>
      <c r="FI3" s="15">
        <f>IFERROR((s_TR/(s_RadSpec!K3*s_EF_far*(1/365)*s_ED_far*s_ET_far*(1/24)*s_GSF_a)),".")</f>
        <v>548920.35110099148</v>
      </c>
      <c r="FJ3" s="15">
        <f>IFERROR(IF(AND(ISNUMBER(FH3),ISNUMBER(FI3)),1/((1/FH3)+(1/FI3)),IF(AND(ISNUMBER(FH3),NOT(ISNUMBER(FI3))),1/((1/FH3)),IF(AND(NOT(ISNUMBER(FH3)),ISNUMBER(FI3)),1/((1/FI3)),IF(AND(NOT(ISNUMBER(FH3)),NOT(ISNUMBER(FI3))),".")))),".")</f>
        <v>0.13214127680159651</v>
      </c>
      <c r="FK3" s="40">
        <f t="shared" si="44"/>
        <v>10026.041666666666</v>
      </c>
      <c r="FL3" s="40">
        <f t="shared" si="45"/>
        <v>1.5696347031963471</v>
      </c>
      <c r="FM3" s="4"/>
      <c r="FN3" s="4"/>
      <c r="FO3" s="4"/>
    </row>
    <row r="4" spans="1:171" customFormat="1" x14ac:dyDescent="0.25">
      <c r="A4" s="44" t="s">
        <v>14</v>
      </c>
      <c r="B4" s="42" t="s">
        <v>1071</v>
      </c>
      <c r="C4" s="42"/>
      <c r="D4" s="15" t="str">
        <f>s_dir!AC4</f>
        <v>.</v>
      </c>
      <c r="E4" s="15" t="str">
        <f>IFERROR(s_TR/(s_RadSpec!H4*s_IFP_far_adj*s_CF_far_poultry),".")</f>
        <v>.</v>
      </c>
      <c r="F4" s="15" t="str">
        <f>IFERROR(s_TR/(s_RadSpec!H4*s_IFE_far_adj*s_CF_far_egg),".")</f>
        <v>.</v>
      </c>
      <c r="G4" s="15" t="str">
        <f>IFERROR(s_TR/(s_RadSpec!H4*s_IFB_far_adj*s_CF_far_beef),".")</f>
        <v>.</v>
      </c>
      <c r="H4" s="15" t="str">
        <f>IFERROR(s_TR/(s_RadSpec!H4*s_IFD_far_adj*s_CF_far_dairy),".")</f>
        <v>.</v>
      </c>
      <c r="I4" s="15" t="str">
        <f>IFERROR(s_TR/(s_RadSpec!H4*s_IFSW_far_adj*s_CF_far_swine),".")</f>
        <v>.</v>
      </c>
      <c r="J4" s="15" t="str">
        <f>IFERROR(s_TR/(s_RadSpec!H4*s_IFFI_far_adj*s_CF_far_fish),".")</f>
        <v>.</v>
      </c>
      <c r="K4" s="15" t="str">
        <f>IFERROR(s_TR/(s_RadSpec!H4*s_IFSF_far_adj*s_CF_far_shellfish),".")</f>
        <v>.</v>
      </c>
      <c r="L4" s="15" t="str">
        <f>IFERROR(s_TR/(s_RadSpec!H4*s_IFGO_far_adj*s_CF_far_goat),".")</f>
        <v>.</v>
      </c>
      <c r="M4" s="15" t="str">
        <f>IFERROR(s_TR/(s_RadSpec!H4*s_IFSH_far_adj*s_CF_far_sheep),".")</f>
        <v>.</v>
      </c>
      <c r="N4" s="15" t="str">
        <f>IFERROR(s_TR/(s_RadSpec!H4*s_IFGM_far_adj*s_CF_far_goat_milk),".")</f>
        <v>.</v>
      </c>
      <c r="O4" s="15" t="str">
        <f>IFERROR(s_TR/(s_RadSpec!H4*s_IFSM_far_adj*s_CF_far_sheep_milk),".")</f>
        <v>.</v>
      </c>
      <c r="P4" s="40">
        <f>s_dir!BC4</f>
        <v>605000</v>
      </c>
      <c r="Q4" s="40">
        <f t="shared" si="0"/>
        <v>151250</v>
      </c>
      <c r="R4" s="40">
        <f t="shared" si="1"/>
        <v>151250</v>
      </c>
      <c r="S4" s="40">
        <f t="shared" si="2"/>
        <v>151250</v>
      </c>
      <c r="T4" s="40">
        <f t="shared" si="3"/>
        <v>151250</v>
      </c>
      <c r="U4" s="40">
        <f t="shared" si="4"/>
        <v>151250</v>
      </c>
      <c r="V4" s="40">
        <f t="shared" si="5"/>
        <v>151250</v>
      </c>
      <c r="W4" s="40">
        <f t="shared" si="6"/>
        <v>151250</v>
      </c>
      <c r="X4" s="40">
        <f t="shared" si="7"/>
        <v>151250</v>
      </c>
      <c r="Y4" s="40">
        <f t="shared" si="8"/>
        <v>151250</v>
      </c>
      <c r="Z4" s="40">
        <f t="shared" si="9"/>
        <v>151250</v>
      </c>
      <c r="AA4" s="40">
        <f t="shared" si="10"/>
        <v>151250</v>
      </c>
      <c r="AB4" s="5"/>
      <c r="AC4" s="5"/>
      <c r="AD4" s="5"/>
      <c r="AE4" s="5"/>
      <c r="AF4" s="5"/>
      <c r="AG4" s="5"/>
      <c r="AH4" s="5"/>
      <c r="AI4" s="5"/>
      <c r="AJ4" s="5"/>
      <c r="AK4" s="5"/>
      <c r="AL4" s="5"/>
      <c r="AM4" s="5"/>
      <c r="AN4" s="45" t="str">
        <f>IFERROR((s_TR/(s_RadSpec!E4*s_IFS_far_adj*(1/1000)))*1,".")</f>
        <v>.</v>
      </c>
      <c r="AO4" s="45" t="str">
        <f>IFERROR(IF(A4="H-3",(s_TR/(s_RadSpec!F4*s_IFA_far_adj*(1/17)*1000))*1,(s_TR/(s_RadSpec!F4*s_IFA_far_adj*(1/s_PEF_wind)*1000))*1),".")</f>
        <v>.</v>
      </c>
      <c r="AP4" s="45">
        <f>IFERROR((s_TR/(s_RadSpec!G4*s_EF_far*(1/365)*s_ED_far*s_RadSpec!R4*((s_ET_far_o*(1/24)*s_RadSpec!W4)+(s_ET_far_i*(1/24)*s_RadSpec!AB4))))*1,".")</f>
        <v>183731.82605603558</v>
      </c>
      <c r="AQ4" s="45" t="str">
        <f>s_b2s!BC4</f>
        <v>.</v>
      </c>
      <c r="AR4" s="45" t="str">
        <f>IFERROR(((J4*s_RadSpec!AU4)/s_RadSpec!AJ4)*1,".")</f>
        <v>.</v>
      </c>
      <c r="AS4" s="45" t="str">
        <f>IFERROR(((K4*s_RadSpec!AU4)/s_RadSpec!AK4)*1,".")</f>
        <v>.</v>
      </c>
      <c r="AT4" s="45" t="str">
        <f>IFERROR((G4/(s_RadSpec!AI4*((s_Q_p_beef*s_f_p_beef*s_f_s_beef*(s_RadSpec!BD4+s_R_es_past))+(s_Q_s_beef*s_f_p_beef))))*1,".")</f>
        <v>.</v>
      </c>
      <c r="AU4" s="45" t="str">
        <f>IFERROR(((H4*s_D_milk)/(s_RadSpec!AH4*((s_Q_p_dairy*s_f_p_dairy*s_f_s_dairy*(s_RadSpec!BD4+s_R_es_past))+(s_Q_s_dairy*s_f_p_dairy))))*1,".")</f>
        <v>.</v>
      </c>
      <c r="AV4" s="45" t="str">
        <f>IFERROR((I4/(s_RadSpec!AN4*((s_Q_p_swine*s_f_p_swine*s_f_s_swine*(s_RadSpec!BD4+s_R_es_past))+(s_Q_s_swine*s_f_p_swine))))*1,".")</f>
        <v>.</v>
      </c>
      <c r="AW4" s="45" t="str">
        <f>IFERROR((E4/(s_RadSpec!AL4*((s_Q_p_poultry*s_f_p_poultry*s_f_s_poultry*(s_RadSpec!BD4+s_R_es_past))+(s_Q_s_poultry*s_f_p_poultry))))*1,".")</f>
        <v>.</v>
      </c>
      <c r="AX4" s="45" t="str">
        <f>IFERROR((F4/(s_RadSpec!AM4*((s_Q_p_poultry*s_f_p_poultry*s_f_s_poultry*(s_RadSpec!BD4+s_R_es_past))+(s_Q_s_poultry*s_f_p_poultry))))*1,".")</f>
        <v>.</v>
      </c>
      <c r="AY4" s="45" t="str">
        <f>IFERROR((L4/(s_RadSpec!AQ4*((s_Q_p_goat*s_f_p_goat*s_f_s_goat*(s_RadSpec!BD4+s_R_es_past))+(s_Q_s_goat*s_f_p_goat))))*1,".")</f>
        <v>.</v>
      </c>
      <c r="AZ4" s="45" t="str">
        <f>IFERROR((N4*s_D_milk/(s_RadSpec!AR4*((s_Q_p_goat_milk*s_f_p_goat_milk*s_f_s_goat_milk*(s_RadSpec!BD4+s_R_es_past))+(s_Q_s_goat_milk*s_f_p_goat_milk))))*1,".")</f>
        <v>.</v>
      </c>
      <c r="BA4" s="45" t="str">
        <f>IFERROR((M4/(s_RadSpec!AO4*((s_Q_p_sheep*s_f_p_sheep*s_f_s_sheep*(s_RadSpec!BD4+s_R_es_past))+(s_Q_s_sheep*s_f_p_sheep))))*1,".")</f>
        <v>.</v>
      </c>
      <c r="BB4" s="45" t="str">
        <f>IFERROR((O4*s_D_milk/(s_RadSpec!AP4*((s_Q_p_sheep_milk*s_f_p_sheep_milk*s_f_s_sheep_milk*(s_RadSpec!BD4+s_R_es_past))+(s_Q_s_sheep_milk*s_f_p_sheep_milk))))*1,".")</f>
        <v>.</v>
      </c>
      <c r="BC4" s="118" t="str">
        <f t="shared" si="11"/>
        <v>.</v>
      </c>
      <c r="BD4" s="118" t="str">
        <f t="shared" si="12"/>
        <v>.</v>
      </c>
      <c r="BE4" s="118">
        <f t="shared" si="13"/>
        <v>5.4427151869432477E-6</v>
      </c>
      <c r="BF4" s="118" t="str">
        <f t="shared" si="14"/>
        <v>.</v>
      </c>
      <c r="BG4" s="118" t="str">
        <f t="shared" si="15"/>
        <v>.</v>
      </c>
      <c r="BH4" s="118" t="str">
        <f t="shared" si="15"/>
        <v>.</v>
      </c>
      <c r="BI4" s="118" t="str">
        <f t="shared" si="16"/>
        <v>.</v>
      </c>
      <c r="BJ4" s="118" t="str">
        <f t="shared" si="17"/>
        <v>.</v>
      </c>
      <c r="BK4" s="118" t="str">
        <f t="shared" si="18"/>
        <v>.</v>
      </c>
      <c r="BL4" s="118" t="str">
        <f t="shared" si="19"/>
        <v>.</v>
      </c>
      <c r="BM4" s="118" t="str">
        <f t="shared" si="20"/>
        <v>.</v>
      </c>
      <c r="BN4" s="118" t="str">
        <f t="shared" si="21"/>
        <v>.</v>
      </c>
      <c r="BO4" s="118" t="str">
        <f t="shared" si="22"/>
        <v>.</v>
      </c>
      <c r="BP4" s="118" t="str">
        <f t="shared" si="23"/>
        <v>.</v>
      </c>
      <c r="BQ4" s="118" t="str">
        <f t="shared" si="24"/>
        <v>.</v>
      </c>
      <c r="BR4" s="15">
        <f t="shared" si="46"/>
        <v>183731.82605603558</v>
      </c>
      <c r="BS4" s="40">
        <f t="shared" si="25"/>
        <v>302.5</v>
      </c>
      <c r="BT4" s="40">
        <f t="shared" si="26"/>
        <v>3.2362545583179352E-2</v>
      </c>
      <c r="BU4" s="40">
        <f>IFERROR((s_C*s_EF_far*(1/365)*s_ED_far*s_RadSpec!R4*((s_ET_far_o*(1/24)*s_RadSpec!W4)+(s_ET_far_i*(1/24)*s_RadSpec!AB4))),".")</f>
        <v>0.29060665362035215</v>
      </c>
      <c r="BV4" s="40">
        <f>s_b2s!CC4</f>
        <v>129167.50000000001</v>
      </c>
      <c r="BW4" s="40">
        <f>IFERROR(((s_C*s_RadSpec!AJ4)/s_RadSpec!AU4)*s_IFFI_far_adj*s_CF_far_fish,0)</f>
        <v>0</v>
      </c>
      <c r="BX4" s="40">
        <f>IFERROR(((s_C*s_RadSpec!AK4)/s_RadSpec!AU4)*s_IFSF_far_adj*s_CF_far_shellfish,0)</f>
        <v>0</v>
      </c>
      <c r="BY4" s="40">
        <f>(s_C*s_IFB_far_adj*s_CF_far_beef*s_RadSpec!AI4*((s_Q_p_beef*s_f_p_beef*s_f_s_beef*(s_RadSpec!$AT4+s_R_es_past))+(s_Q_s_beef*s_f_p_beef)))</f>
        <v>302500</v>
      </c>
      <c r="BZ4" s="40">
        <f>(s_C*s_IFD_far_adj*s_CF_far_dairy*s_RadSpec!AH4*1/s_D_milk*((s_Q_p_dairy*s_f_p_dairy*s_f_s_dairy*(s_RadSpec!$AT4+s_R_es_past))+(s_Q_s_dairy*s_f_p_dairy)))</f>
        <v>293689.32038834953</v>
      </c>
      <c r="CA4" s="40">
        <f>IFERROR((s_C*s_IFSW_far_adj*s_CF_far_swine*s_RadSpec!AN4*((s_Q_p_swine*s_f_p_swine*s_f_s_swine*(s_RadSpec!$AT4+s_R_es_past))+(s_Q_s_swine*s_f_p_swine))),0)</f>
        <v>0</v>
      </c>
      <c r="CB4" s="40">
        <f>IFERROR((s_C*s_IFP_far_adj*s_CF_far_poultry*s_RadSpec!AL4*((s_Q_p_poultry*s_f_p_poultry*s_f_s_poultry*(s_RadSpec!AT4+s_R_es_past))+(s_Q_s_poultry*s_f_p_poultry))),0)</f>
        <v>0</v>
      </c>
      <c r="CC4" s="40">
        <f>IFERROR((s_C*s_IFE_far_adj*s_CF_far_egg*s_RadSpec!AM4*((s_Q_p_egg*s_f_p_egg*s_f_s_egg*(s_RadSpec!$AT4+s_R_es_past))+(s_Q_s_egg*s_f_p_egg))),0)</f>
        <v>0</v>
      </c>
      <c r="CD4" s="40">
        <f>IFERROR((s_C*s_IFGO_far_adj*s_CF_far_goat*s_RadSpec!AQ4*((s_Q_p_goat*s_f_p_goat*s_f_s_goat*(s_RadSpec!$AT4+s_R_es_past))+(s_Q_s_goat*s_f_p_goat))),0)</f>
        <v>0</v>
      </c>
      <c r="CE4" s="40">
        <f>IFERROR((s_C*s_IFGM_far_adj*s_CF_far_goat_milk*s_RadSpec!AR4*1/s_D_milk*((s_Q_p_goat_milk*s_f_p_goat_milk*s_f_s_goat_milk*(s_RadSpec!$AT4+s_R_es_past))+(s_Q_s_goat_milk*s_f_p_goat_milk))),0)</f>
        <v>0</v>
      </c>
      <c r="CF4" s="40">
        <f>IFERROR((s_C*s_IFSH_far_adj*s_CF_far_sheep*s_RadSpec!AO4*((s_Q_p_sheep*s_f_p_sheep*s_f_s_sheep*(s_RadSpec!$AT4+s_R_es_past))+(s_Q_s_sheep*s_f_p_sheep))),0)</f>
        <v>0</v>
      </c>
      <c r="CG4" s="40">
        <f>IFERROR((s_C*s_IFSM_far_adj*s_CF_far_sheep_milk*s_RadSpec!AP4*1/s_D_milk*((s_Q_p_sheep_milk*s_f_p_sheep_milk*s_f_s_sheep_milk*(s_RadSpec!$AT4+s_R_es_past))+(s_Q_s_sheep_milk*s_f_p_sheep_milk))),0)</f>
        <v>0</v>
      </c>
      <c r="CH4" s="18"/>
      <c r="CI4" s="18"/>
      <c r="CJ4" s="18"/>
      <c r="CK4" s="18"/>
      <c r="CL4" s="18"/>
      <c r="CM4" s="18"/>
      <c r="CN4" s="18"/>
      <c r="CO4" s="18"/>
      <c r="CP4" s="18"/>
      <c r="CQ4" s="18"/>
      <c r="CR4" s="18"/>
      <c r="CS4" s="18"/>
      <c r="CT4" s="18"/>
      <c r="CU4" s="18"/>
      <c r="CV4" s="18"/>
      <c r="CW4" s="5"/>
      <c r="CX4" s="15" t="str">
        <f>IFERROR(s_TR/(s_RadSpec!I4*s_IFW_far_adj),".")</f>
        <v>.</v>
      </c>
      <c r="CY4" s="15" t="str">
        <f>IFERROR(IF(AND(s_RadSpec!C4=1,s_RadSpec!D4&lt;&gt;0),s_TR/(s_RadSpec!F4*s_IFA_far_adj*s_K*s_RadSpec!D4),"."),".")</f>
        <v>.</v>
      </c>
      <c r="CZ4" s="15">
        <f>IFERROR((s_TR/(s_RadSpec!M4*(1/8760)*s_DFA_far_adj)),".")</f>
        <v>9317398036.1063118</v>
      </c>
      <c r="DA4" s="15" t="str">
        <f>s_b2w!BC4</f>
        <v>.</v>
      </c>
      <c r="DB4" s="15" t="str">
        <f>IFERROR(J4/(s_RadSpec!AJ4*(1/1000)),".")</f>
        <v>.</v>
      </c>
      <c r="DC4" s="15" t="str">
        <f>IFERROR(K4/(s_RadSpec!AK4*(1/1000)),".")</f>
        <v>.</v>
      </c>
      <c r="DD4" s="15" t="str">
        <f>IFERROR(G4/(s_RadSpec!AI4*s_Q_w_beef*(1/1000)),".")</f>
        <v>.</v>
      </c>
      <c r="DE4" s="15" t="str">
        <f>IFERROR((H4*s_D_milk)/(s_RadSpec!AH4*s_Q_w_dairy*(1/1000)),".")</f>
        <v>.</v>
      </c>
      <c r="DF4" s="15" t="str">
        <f>IFERROR(I4/(s_RadSpec!AN4*s_Q_w_swine*(1/1000)),".")</f>
        <v>.</v>
      </c>
      <c r="DG4" s="15" t="str">
        <f>IFERROR(E4/(s_RadSpec!AL4*s_Q_w_poultry*(1/1000)),".")</f>
        <v>.</v>
      </c>
      <c r="DH4" s="15" t="str">
        <f>IFERROR(F4/(s_RadSpec!AM4*s_Q_w_poultry*(1/1000)),".")</f>
        <v>.</v>
      </c>
      <c r="DI4" s="15" t="str">
        <f>IFERROR(L4/(s_RadSpec!AQ4*s_Q_w_goat*(1/1000)),".")</f>
        <v>.</v>
      </c>
      <c r="DJ4" s="15" t="str">
        <f>IFERROR(N4*s_D_milk/(s_RadSpec!AR4*s_Q_w_goat_milk*(1/1000)),".")</f>
        <v>.</v>
      </c>
      <c r="DK4" s="15" t="str">
        <f>IFERROR(M4/(s_RadSpec!AO4*s_Q_w_sheep*(1/1000)),".")</f>
        <v>.</v>
      </c>
      <c r="DL4" s="15" t="str">
        <f>IFERROR(O4*s_D_milk/(s_RadSpec!AP4*s_Q_w_sheep_milk*(1/1000)),".")</f>
        <v>.</v>
      </c>
      <c r="DM4" s="118" t="str">
        <f t="shared" si="27"/>
        <v>.</v>
      </c>
      <c r="DN4" s="118" t="str">
        <f t="shared" si="28"/>
        <v>.</v>
      </c>
      <c r="DO4" s="118">
        <f t="shared" si="29"/>
        <v>1.0732610071232873E-10</v>
      </c>
      <c r="DP4" s="118" t="str">
        <f t="shared" si="30"/>
        <v>.</v>
      </c>
      <c r="DQ4" s="118" t="str">
        <f t="shared" si="31"/>
        <v>.</v>
      </c>
      <c r="DR4" s="118" t="str">
        <f t="shared" si="31"/>
        <v>.</v>
      </c>
      <c r="DS4" s="118" t="str">
        <f t="shared" si="32"/>
        <v>.</v>
      </c>
      <c r="DT4" s="118" t="str">
        <f t="shared" si="33"/>
        <v>.</v>
      </c>
      <c r="DU4" s="118" t="str">
        <f t="shared" si="34"/>
        <v>.</v>
      </c>
      <c r="DV4" s="118" t="str">
        <f t="shared" si="35"/>
        <v>.</v>
      </c>
      <c r="DW4" s="118" t="str">
        <f t="shared" si="36"/>
        <v>.</v>
      </c>
      <c r="DX4" s="118" t="str">
        <f t="shared" si="37"/>
        <v>.</v>
      </c>
      <c r="DY4" s="118" t="str">
        <f t="shared" si="38"/>
        <v>.</v>
      </c>
      <c r="DZ4" s="118" t="str">
        <f t="shared" si="39"/>
        <v>.</v>
      </c>
      <c r="EA4" s="118" t="str">
        <f t="shared" si="40"/>
        <v>.</v>
      </c>
      <c r="EB4" s="15">
        <f t="shared" si="47"/>
        <v>9317398036.1063118</v>
      </c>
      <c r="EC4" s="40">
        <f t="shared" si="41"/>
        <v>27500</v>
      </c>
      <c r="ED4" s="40">
        <f>IFERROR(IF(s_RadSpec!D4&lt;&gt;"",s_C*s_IFA_far_adj*s_K*s_RadSpec!D4,0),".")</f>
        <v>0</v>
      </c>
      <c r="EE4" s="40">
        <f t="shared" si="42"/>
        <v>2.5114155251141552</v>
      </c>
      <c r="EF4" s="40">
        <f>s_b2w!CC4</f>
        <v>31119.356502223021</v>
      </c>
      <c r="EG4" s="40">
        <f>IFERROR(s_C*s_RadSpec!AJ4*(1/1000)*s_IFFI_far_adj*s_CF_far_fish,0)</f>
        <v>0</v>
      </c>
      <c r="EH4" s="40">
        <f>IFERROR(s_C*s_RadSpec!AK4*(1/1000)*s_IFSF_far_adj*s_CF_far_shellfish,0)</f>
        <v>0</v>
      </c>
      <c r="EI4" s="40">
        <f>(s_C*s_IFB_far_adj*s_CF_far_beef*s_RadSpec!AI4*s_Q_w_beef*(1/1000))</f>
        <v>7.5625</v>
      </c>
      <c r="EJ4" s="40">
        <f>(s_C*s_IFD_far_adj*s_CF_far_dairy*s_RadSpec!AH4*(1/s_D_milk)*s_Q_w_dairy*(1/1000))</f>
        <v>7.342233009708738</v>
      </c>
      <c r="EK4" s="40">
        <f>IFERROR((s_C*s_IFSW_far_adj*s_CF_far_swine*s_RadSpec!AN4*s_Q_w_swine*(1/1000)),0)</f>
        <v>0</v>
      </c>
      <c r="EL4" s="40">
        <f>IFERROR((s_C*s_IFP_far_adj*s_CF_far_poultry*s_RadSpec!AL4*s_Q_w_poultry*(1/1000)),0)</f>
        <v>0</v>
      </c>
      <c r="EM4" s="40">
        <f>IFERROR((s_C*s_IFE_far_adj*s_CF_far_egg*s_RadSpec!AM4*s_Q_w_egg*(1/1000)),0)</f>
        <v>0</v>
      </c>
      <c r="EN4" s="40">
        <f>IFERROR((s_C*s_IFGO_far_adj*s_CF_far_goat*s_RadSpec!AQ4*s_Q_p_goat*(1/1000)),0)</f>
        <v>0</v>
      </c>
      <c r="EO4" s="40">
        <f>IFERROR((s_C*s_IFGM_far_adj*s_CF_far_goat_milk*s_RadSpec!AR4*(1/s_D_milk)*s_Q_p_goat_milk*(1/1000)),0)</f>
        <v>0</v>
      </c>
      <c r="EP4" s="40">
        <f>IFERROR((s_C*s_IFSH_far_adj*s_CF_far_sheep*s_RadSpec!AO4*s_Q_p_sheep*(1/1000)),0)</f>
        <v>0</v>
      </c>
      <c r="EQ4" s="40">
        <f>IFERROR((s_C*s_IFSM_far_adj*s_CF_far_sheep_milk*s_RadSpec!AP4*(1/s_D_milk)*s_Q_p_sheep_milk*(1/1000)),0)</f>
        <v>0</v>
      </c>
      <c r="ER4" s="18"/>
      <c r="ES4" s="18"/>
      <c r="ET4" s="18"/>
      <c r="EU4" s="18"/>
      <c r="EV4" s="18"/>
      <c r="EW4" s="18"/>
      <c r="EX4" s="18"/>
      <c r="EY4" s="18"/>
      <c r="EZ4" s="18"/>
      <c r="FA4" s="18"/>
      <c r="FB4" s="18"/>
      <c r="FC4" s="18"/>
      <c r="FD4" s="18"/>
      <c r="FE4" s="18"/>
      <c r="FF4" s="18"/>
      <c r="FG4" s="5"/>
      <c r="FH4" s="15" t="str">
        <f>IFERROR((s_TR/(s_RadSpec!F4*s_IFA_far_adj)),".")</f>
        <v>.</v>
      </c>
      <c r="FI4" s="15">
        <f>IFERROR((s_TR/(s_RadSpec!K4*s_EF_far*(1/365)*s_ED_far*s_ET_far*(1/24)*s_GSF_a)),".")</f>
        <v>32633183.552295782</v>
      </c>
      <c r="FJ4" s="15">
        <f t="shared" ref="FJ4:FJ5" si="48">IFERROR(IF(AND(ISNUMBER(FH4),ISNUMBER(FI4)),1/((1/FH4)+(1/FI4)),IF(AND(ISNUMBER(FH4),NOT(ISNUMBER(FI4))),1/((1/FH4)),IF(AND(NOT(ISNUMBER(FH4)),ISNUMBER(FI4)),1/((1/FI4)),IF(AND(NOT(ISNUMBER(FH4)),NOT(ISNUMBER(FI4))),".")))),".")</f>
        <v>32633183.552295785</v>
      </c>
      <c r="FK4" s="40">
        <f t="shared" si="44"/>
        <v>10026.041666666666</v>
      </c>
      <c r="FL4" s="40">
        <f t="shared" si="45"/>
        <v>1.5696347031963471</v>
      </c>
      <c r="FM4" s="120"/>
      <c r="FN4" s="120"/>
      <c r="FO4" s="120"/>
    </row>
    <row r="5" spans="1:171" customFormat="1" x14ac:dyDescent="0.25">
      <c r="A5" s="44" t="s">
        <v>15</v>
      </c>
      <c r="B5" s="42" t="s">
        <v>1071</v>
      </c>
      <c r="C5" s="249"/>
      <c r="D5" s="15" t="str">
        <f>s_dir!AC5</f>
        <v>.</v>
      </c>
      <c r="E5" s="15" t="str">
        <f>IFERROR(s_TR/(s_RadSpec!H5*s_IFP_far_adj*s_CF_far_poultry),".")</f>
        <v>.</v>
      </c>
      <c r="F5" s="15" t="str">
        <f>IFERROR(s_TR/(s_RadSpec!H5*s_IFE_far_adj*s_CF_far_egg),".")</f>
        <v>.</v>
      </c>
      <c r="G5" s="15" t="str">
        <f>IFERROR(s_TR/(s_RadSpec!H5*s_IFB_far_adj*s_CF_far_beef),".")</f>
        <v>.</v>
      </c>
      <c r="H5" s="15" t="str">
        <f>IFERROR(s_TR/(s_RadSpec!H5*s_IFD_far_adj*s_CF_far_dairy),".")</f>
        <v>.</v>
      </c>
      <c r="I5" s="15" t="str">
        <f>IFERROR(s_TR/(s_RadSpec!H5*s_IFSW_far_adj*s_CF_far_swine),".")</f>
        <v>.</v>
      </c>
      <c r="J5" s="15" t="str">
        <f>IFERROR(s_TR/(s_RadSpec!H5*s_IFFI_far_adj*s_CF_far_fish),".")</f>
        <v>.</v>
      </c>
      <c r="K5" s="15" t="str">
        <f>IFERROR(s_TR/(s_RadSpec!H5*s_IFSF_far_adj*s_CF_far_shellfish),".")</f>
        <v>.</v>
      </c>
      <c r="L5" s="15" t="str">
        <f>IFERROR(s_TR/(s_RadSpec!H5*s_IFGO_far_adj*s_CF_far_goat),".")</f>
        <v>.</v>
      </c>
      <c r="M5" s="15" t="str">
        <f>IFERROR(s_TR/(s_RadSpec!H5*s_IFSH_far_adj*s_CF_far_sheep),".")</f>
        <v>.</v>
      </c>
      <c r="N5" s="15" t="str">
        <f>IFERROR(s_TR/(s_RadSpec!H5*s_IFGM_far_adj*s_CF_far_goat_milk),".")</f>
        <v>.</v>
      </c>
      <c r="O5" s="15" t="str">
        <f>IFERROR(s_TR/(s_RadSpec!H5*s_IFSM_far_adj*s_CF_far_sheep_milk),".")</f>
        <v>.</v>
      </c>
      <c r="P5" s="40">
        <f>s_dir!BC5</f>
        <v>605000</v>
      </c>
      <c r="Q5" s="40">
        <f t="shared" si="0"/>
        <v>151250</v>
      </c>
      <c r="R5" s="40">
        <f t="shared" si="1"/>
        <v>151250</v>
      </c>
      <c r="S5" s="40">
        <f t="shared" si="2"/>
        <v>151250</v>
      </c>
      <c r="T5" s="40">
        <f t="shared" si="3"/>
        <v>151250</v>
      </c>
      <c r="U5" s="40">
        <f t="shared" si="4"/>
        <v>151250</v>
      </c>
      <c r="V5" s="40">
        <f t="shared" si="5"/>
        <v>151250</v>
      </c>
      <c r="W5" s="40">
        <f t="shared" si="6"/>
        <v>151250</v>
      </c>
      <c r="X5" s="40">
        <f t="shared" si="7"/>
        <v>151250</v>
      </c>
      <c r="Y5" s="40">
        <f t="shared" si="8"/>
        <v>151250</v>
      </c>
      <c r="Z5" s="40">
        <f t="shared" si="9"/>
        <v>151250</v>
      </c>
      <c r="AA5" s="40">
        <f t="shared" si="10"/>
        <v>151250</v>
      </c>
      <c r="AB5" s="5"/>
      <c r="AC5" s="5"/>
      <c r="AD5" s="5"/>
      <c r="AE5" s="5"/>
      <c r="AF5" s="5"/>
      <c r="AG5" s="5"/>
      <c r="AH5" s="5"/>
      <c r="AI5" s="5"/>
      <c r="AJ5" s="5"/>
      <c r="AK5" s="5"/>
      <c r="AL5" s="5"/>
      <c r="AM5" s="5"/>
      <c r="AN5" s="45" t="str">
        <f>IFERROR((s_TR/(s_RadSpec!E5*s_IFS_far_adj*(1/1000)))*1,".")</f>
        <v>.</v>
      </c>
      <c r="AO5" s="45" t="str">
        <f>IFERROR(IF(A5="H-3",(s_TR/(s_RadSpec!F5*s_IFA_far_adj*(1/17)*1000))*1,(s_TR/(s_RadSpec!F5*s_IFA_far_adj*(1/s_PEF_wind)*1000))*1),".")</f>
        <v>.</v>
      </c>
      <c r="AP5" s="45" t="str">
        <f>IFERROR((s_TR/(s_RadSpec!G5*s_EF_far*(1/365)*s_ED_far*s_RadSpec!R5*((s_ET_far_o*(1/24)*s_RadSpec!W5)+(s_ET_far_i*(1/24)*s_RadSpec!AB5))))*1,".")</f>
        <v>.</v>
      </c>
      <c r="AQ5" s="45" t="str">
        <f>s_b2s!BC5</f>
        <v>.</v>
      </c>
      <c r="AR5" s="45" t="str">
        <f>IFERROR(((J5*s_RadSpec!AU5)/s_RadSpec!AJ5)*1,".")</f>
        <v>.</v>
      </c>
      <c r="AS5" s="45" t="str">
        <f>IFERROR(((K5*s_RadSpec!AU5)/s_RadSpec!AK5)*1,".")</f>
        <v>.</v>
      </c>
      <c r="AT5" s="45" t="str">
        <f>IFERROR((G5/(s_RadSpec!AI5*((s_Q_p_beef*s_f_p_beef*s_f_s_beef*(s_RadSpec!BD5+s_R_es_past))+(s_Q_s_beef*s_f_p_beef))))*1,".")</f>
        <v>.</v>
      </c>
      <c r="AU5" s="45" t="str">
        <f>IFERROR(((H5*s_D_milk)/(s_RadSpec!AH5*((s_Q_p_dairy*s_f_p_dairy*s_f_s_dairy*(s_RadSpec!BD5+s_R_es_past))+(s_Q_s_dairy*s_f_p_dairy))))*1,".")</f>
        <v>.</v>
      </c>
      <c r="AV5" s="45" t="str">
        <f>IFERROR((I5/(s_RadSpec!AN5*((s_Q_p_swine*s_f_p_swine*s_f_s_swine*(s_RadSpec!BD5+s_R_es_past))+(s_Q_s_swine*s_f_p_swine))))*1,".")</f>
        <v>.</v>
      </c>
      <c r="AW5" s="45" t="str">
        <f>IFERROR((E5/(s_RadSpec!AL5*((s_Q_p_poultry*s_f_p_poultry*s_f_s_poultry*(s_RadSpec!BD5+s_R_es_past))+(s_Q_s_poultry*s_f_p_poultry))))*1,".")</f>
        <v>.</v>
      </c>
      <c r="AX5" s="45" t="str">
        <f>IFERROR((F5/(s_RadSpec!AM5*((s_Q_p_poultry*s_f_p_poultry*s_f_s_poultry*(s_RadSpec!BD5+s_R_es_past))+(s_Q_s_poultry*s_f_p_poultry))))*1,".")</f>
        <v>.</v>
      </c>
      <c r="AY5" s="45" t="str">
        <f>IFERROR((L5/(s_RadSpec!AQ5*((s_Q_p_goat*s_f_p_goat*s_f_s_goat*(s_RadSpec!BD5+s_R_es_past))+(s_Q_s_goat*s_f_p_goat))))*1,".")</f>
        <v>.</v>
      </c>
      <c r="AZ5" s="45" t="str">
        <f>IFERROR((N5*s_D_milk/(s_RadSpec!AR5*((s_Q_p_goat_milk*s_f_p_goat_milk*s_f_s_goat_milk*(s_RadSpec!BD5+s_R_es_past))+(s_Q_s_goat_milk*s_f_p_goat_milk))))*1,".")</f>
        <v>.</v>
      </c>
      <c r="BA5" s="45" t="str">
        <f>IFERROR((M5/(s_RadSpec!AO5*((s_Q_p_sheep*s_f_p_sheep*s_f_s_sheep*(s_RadSpec!BD5+s_R_es_past))+(s_Q_s_sheep*s_f_p_sheep))))*1,".")</f>
        <v>.</v>
      </c>
      <c r="BB5" s="45" t="str">
        <f>IFERROR((O5*s_D_milk/(s_RadSpec!AP5*((s_Q_p_sheep_milk*s_f_p_sheep_milk*s_f_s_sheep_milk*(s_RadSpec!BD5+s_R_es_past))+(s_Q_s_sheep_milk*s_f_p_sheep_milk))))*1,".")</f>
        <v>.</v>
      </c>
      <c r="BC5" s="118" t="str">
        <f t="shared" si="11"/>
        <v>.</v>
      </c>
      <c r="BD5" s="118" t="str">
        <f t="shared" si="12"/>
        <v>.</v>
      </c>
      <c r="BE5" s="118" t="str">
        <f t="shared" si="13"/>
        <v>.</v>
      </c>
      <c r="BF5" s="118" t="str">
        <f t="shared" si="14"/>
        <v>.</v>
      </c>
      <c r="BG5" s="118" t="str">
        <f t="shared" si="15"/>
        <v>.</v>
      </c>
      <c r="BH5" s="118" t="str">
        <f t="shared" si="15"/>
        <v>.</v>
      </c>
      <c r="BI5" s="118" t="str">
        <f t="shared" si="16"/>
        <v>.</v>
      </c>
      <c r="BJ5" s="118" t="str">
        <f t="shared" si="17"/>
        <v>.</v>
      </c>
      <c r="BK5" s="118" t="str">
        <f t="shared" si="18"/>
        <v>.</v>
      </c>
      <c r="BL5" s="118" t="str">
        <f t="shared" si="19"/>
        <v>.</v>
      </c>
      <c r="BM5" s="118" t="str">
        <f t="shared" si="20"/>
        <v>.</v>
      </c>
      <c r="BN5" s="118" t="str">
        <f t="shared" si="21"/>
        <v>.</v>
      </c>
      <c r="BO5" s="118" t="str">
        <f t="shared" si="22"/>
        <v>.</v>
      </c>
      <c r="BP5" s="118" t="str">
        <f t="shared" si="23"/>
        <v>.</v>
      </c>
      <c r="BQ5" s="118" t="str">
        <f t="shared" si="24"/>
        <v>.</v>
      </c>
      <c r="BR5" s="15" t="str">
        <f t="shared" si="46"/>
        <v>.</v>
      </c>
      <c r="BS5" s="40">
        <f t="shared" si="25"/>
        <v>302.5</v>
      </c>
      <c r="BT5" s="40">
        <f t="shared" si="26"/>
        <v>3.2362545583179352E-2</v>
      </c>
      <c r="BU5" s="40">
        <f>IFERROR((s_C*s_EF_far*(1/365)*s_ED_far*s_RadSpec!R5*((s_ET_far_o*(1/24)*s_RadSpec!W5)+(s_ET_far_i*(1/24)*s_RadSpec!AB5))),".")</f>
        <v>0</v>
      </c>
      <c r="BV5" s="40">
        <f>s_b2s!CC5</f>
        <v>129167.50000000001</v>
      </c>
      <c r="BW5" s="40">
        <f>IFERROR(((s_C*s_RadSpec!AJ5)/s_RadSpec!AU5)*s_IFFI_far_adj*s_CF_far_fish,0)</f>
        <v>0</v>
      </c>
      <c r="BX5" s="40">
        <f>IFERROR(((s_C*s_RadSpec!AK5)/s_RadSpec!AU5)*s_IFSF_far_adj*s_CF_far_shellfish,0)</f>
        <v>0</v>
      </c>
      <c r="BY5" s="40">
        <f>(s_C*s_IFB_far_adj*s_CF_far_beef*s_RadSpec!AI5*((s_Q_p_beef*s_f_p_beef*s_f_s_beef*(s_RadSpec!$AT5+s_R_es_past))+(s_Q_s_beef*s_f_p_beef)))</f>
        <v>302500</v>
      </c>
      <c r="BZ5" s="40">
        <f>(s_C*s_IFD_far_adj*s_CF_far_dairy*s_RadSpec!AH5*1/s_D_milk*((s_Q_p_dairy*s_f_p_dairy*s_f_s_dairy*(s_RadSpec!$AT5+s_R_es_past))+(s_Q_s_dairy*s_f_p_dairy)))</f>
        <v>293689.32038834953</v>
      </c>
      <c r="CA5" s="40">
        <f>IFERROR((s_C*s_IFSW_far_adj*s_CF_far_swine*s_RadSpec!AN5*((s_Q_p_swine*s_f_p_swine*s_f_s_swine*(s_RadSpec!$AT5+s_R_es_past))+(s_Q_s_swine*s_f_p_swine))),0)</f>
        <v>0</v>
      </c>
      <c r="CB5" s="40">
        <f>IFERROR((s_C*s_IFP_far_adj*s_CF_far_poultry*s_RadSpec!AL5*((s_Q_p_poultry*s_f_p_poultry*s_f_s_poultry*(s_RadSpec!AT5+s_R_es_past))+(s_Q_s_poultry*s_f_p_poultry))),0)</f>
        <v>0</v>
      </c>
      <c r="CC5" s="40">
        <f>IFERROR((s_C*s_IFE_far_adj*s_CF_far_egg*s_RadSpec!AM5*((s_Q_p_egg*s_f_p_egg*s_f_s_egg*(s_RadSpec!$AT5+s_R_es_past))+(s_Q_s_egg*s_f_p_egg))),0)</f>
        <v>0</v>
      </c>
      <c r="CD5" s="40">
        <f>IFERROR((s_C*s_IFGO_far_adj*s_CF_far_goat*s_RadSpec!AQ5*((s_Q_p_goat*s_f_p_goat*s_f_s_goat*(s_RadSpec!$AT5+s_R_es_past))+(s_Q_s_goat*s_f_p_goat))),0)</f>
        <v>0</v>
      </c>
      <c r="CE5" s="40">
        <f>IFERROR((s_C*s_IFGM_far_adj*s_CF_far_goat_milk*s_RadSpec!AR5*1/s_D_milk*((s_Q_p_goat_milk*s_f_p_goat_milk*s_f_s_goat_milk*(s_RadSpec!$AT5+s_R_es_past))+(s_Q_s_goat_milk*s_f_p_goat_milk))),0)</f>
        <v>0</v>
      </c>
      <c r="CF5" s="40">
        <f>IFERROR((s_C*s_IFSH_far_adj*s_CF_far_sheep*s_RadSpec!AO5*((s_Q_p_sheep*s_f_p_sheep*s_f_s_sheep*(s_RadSpec!$AT5+s_R_es_past))+(s_Q_s_sheep*s_f_p_sheep))),0)</f>
        <v>0</v>
      </c>
      <c r="CG5" s="40">
        <f>IFERROR((s_C*s_IFSM_far_adj*s_CF_far_sheep_milk*s_RadSpec!AP5*1/s_D_milk*((s_Q_p_sheep_milk*s_f_p_sheep_milk*s_f_s_sheep_milk*(s_RadSpec!$AT5+s_R_es_past))+(s_Q_s_sheep_milk*s_f_p_sheep_milk))),0)</f>
        <v>0</v>
      </c>
      <c r="CH5" s="18"/>
      <c r="CI5" s="18"/>
      <c r="CJ5" s="18"/>
      <c r="CK5" s="18"/>
      <c r="CL5" s="18"/>
      <c r="CM5" s="18"/>
      <c r="CN5" s="18"/>
      <c r="CO5" s="18"/>
      <c r="CP5" s="18"/>
      <c r="CQ5" s="18"/>
      <c r="CR5" s="18"/>
      <c r="CS5" s="18"/>
      <c r="CT5" s="18"/>
      <c r="CU5" s="18"/>
      <c r="CV5" s="18"/>
      <c r="CW5" s="5"/>
      <c r="CX5" s="15" t="str">
        <f>IFERROR(s_TR/(s_RadSpec!I5*s_IFW_far_adj),".")</f>
        <v>.</v>
      </c>
      <c r="CY5" s="15" t="str">
        <f>IFERROR(IF(AND(s_RadSpec!C5=1,s_RadSpec!D5&lt;&gt;0),s_TR/(s_RadSpec!F5*s_IFA_far_adj*s_K*s_RadSpec!D5),"."),".")</f>
        <v>.</v>
      </c>
      <c r="CZ5" s="15">
        <f>IFERROR((s_TR/(s_RadSpec!M5*(1/8760)*s_DFA_far_adj)),".")</f>
        <v>388401786015.36554</v>
      </c>
      <c r="DA5" s="15" t="str">
        <f>s_b2w!BC5</f>
        <v>.</v>
      </c>
      <c r="DB5" s="15" t="str">
        <f>IFERROR(J5/(s_RadSpec!AJ5*(1/1000)),".")</f>
        <v>.</v>
      </c>
      <c r="DC5" s="15" t="str">
        <f>IFERROR(K5/(s_RadSpec!AK5*(1/1000)),".")</f>
        <v>.</v>
      </c>
      <c r="DD5" s="15" t="str">
        <f>IFERROR(G5/(s_RadSpec!AI5*s_Q_w_beef*(1/1000)),".")</f>
        <v>.</v>
      </c>
      <c r="DE5" s="15" t="str">
        <f>IFERROR((H5*s_D_milk)/(s_RadSpec!AH5*s_Q_w_dairy*(1/1000)),".")</f>
        <v>.</v>
      </c>
      <c r="DF5" s="15" t="str">
        <f>IFERROR(I5/(s_RadSpec!AN5*s_Q_w_swine*(1/1000)),".")</f>
        <v>.</v>
      </c>
      <c r="DG5" s="15" t="str">
        <f>IFERROR(E5/(s_RadSpec!AL5*s_Q_w_poultry*(1/1000)),".")</f>
        <v>.</v>
      </c>
      <c r="DH5" s="15" t="str">
        <f>IFERROR(F5/(s_RadSpec!AM5*s_Q_w_poultry*(1/1000)),".")</f>
        <v>.</v>
      </c>
      <c r="DI5" s="15" t="str">
        <f>IFERROR(L5/(s_RadSpec!AQ5*s_Q_w_goat*(1/1000)),".")</f>
        <v>.</v>
      </c>
      <c r="DJ5" s="15" t="str">
        <f>IFERROR(N5*s_D_milk/(s_RadSpec!AR5*s_Q_w_goat_milk*(1/1000)),".")</f>
        <v>.</v>
      </c>
      <c r="DK5" s="15" t="str">
        <f>IFERROR(M5/(s_RadSpec!AO5*s_Q_w_sheep*(1/1000)),".")</f>
        <v>.</v>
      </c>
      <c r="DL5" s="15" t="str">
        <f>IFERROR(O5*s_D_milk/(s_RadSpec!AP5*s_Q_w_sheep_milk*(1/1000)),".")</f>
        <v>.</v>
      </c>
      <c r="DM5" s="118" t="str">
        <f t="shared" si="27"/>
        <v>.</v>
      </c>
      <c r="DN5" s="118" t="str">
        <f t="shared" si="28"/>
        <v>.</v>
      </c>
      <c r="DO5" s="118">
        <f t="shared" si="29"/>
        <v>2.5746534542465749E-12</v>
      </c>
      <c r="DP5" s="118" t="str">
        <f t="shared" si="30"/>
        <v>.</v>
      </c>
      <c r="DQ5" s="118" t="str">
        <f t="shared" si="31"/>
        <v>.</v>
      </c>
      <c r="DR5" s="118" t="str">
        <f t="shared" si="31"/>
        <v>.</v>
      </c>
      <c r="DS5" s="118" t="str">
        <f t="shared" si="32"/>
        <v>.</v>
      </c>
      <c r="DT5" s="118" t="str">
        <f t="shared" si="33"/>
        <v>.</v>
      </c>
      <c r="DU5" s="118" t="str">
        <f t="shared" si="34"/>
        <v>.</v>
      </c>
      <c r="DV5" s="118" t="str">
        <f t="shared" si="35"/>
        <v>.</v>
      </c>
      <c r="DW5" s="118" t="str">
        <f t="shared" si="36"/>
        <v>.</v>
      </c>
      <c r="DX5" s="118" t="str">
        <f t="shared" si="37"/>
        <v>.</v>
      </c>
      <c r="DY5" s="118" t="str">
        <f t="shared" si="38"/>
        <v>.</v>
      </c>
      <c r="DZ5" s="118" t="str">
        <f t="shared" si="39"/>
        <v>.</v>
      </c>
      <c r="EA5" s="118" t="str">
        <f t="shared" si="40"/>
        <v>.</v>
      </c>
      <c r="EB5" s="15">
        <f t="shared" si="47"/>
        <v>388401786015.36554</v>
      </c>
      <c r="EC5" s="40">
        <f t="shared" si="41"/>
        <v>27500</v>
      </c>
      <c r="ED5" s="40">
        <f>IFERROR(IF(s_RadSpec!D5&lt;&gt;"",s_C*s_IFA_far_adj*s_K*s_RadSpec!D5,0),".")</f>
        <v>0.72820143229166667</v>
      </c>
      <c r="EE5" s="40">
        <f t="shared" si="42"/>
        <v>2.5114155251141552</v>
      </c>
      <c r="EF5" s="40">
        <f>s_b2w!CC5</f>
        <v>31119.356502223021</v>
      </c>
      <c r="EG5" s="40">
        <f>IFERROR(s_C*s_RadSpec!AJ5*(1/1000)*s_IFFI_far_adj*s_CF_far_fish,0)</f>
        <v>0</v>
      </c>
      <c r="EH5" s="40">
        <f>IFERROR(s_C*s_RadSpec!AK5*(1/1000)*s_IFSF_far_adj*s_CF_far_shellfish,0)</f>
        <v>0</v>
      </c>
      <c r="EI5" s="40">
        <f>(s_C*s_IFB_far_adj*s_CF_far_beef*s_RadSpec!AI5*s_Q_w_beef*(1/1000))</f>
        <v>7.5625</v>
      </c>
      <c r="EJ5" s="40">
        <f>(s_C*s_IFD_far_adj*s_CF_far_dairy*s_RadSpec!AH5*(1/s_D_milk)*s_Q_w_dairy*(1/1000))</f>
        <v>7.342233009708738</v>
      </c>
      <c r="EK5" s="40">
        <f>IFERROR((s_C*s_IFSW_far_adj*s_CF_far_swine*s_RadSpec!AN5*s_Q_w_swine*(1/1000)),0)</f>
        <v>0</v>
      </c>
      <c r="EL5" s="40">
        <f>IFERROR((s_C*s_IFP_far_adj*s_CF_far_poultry*s_RadSpec!AL5*s_Q_w_poultry*(1/1000)),0)</f>
        <v>0</v>
      </c>
      <c r="EM5" s="40">
        <f>IFERROR((s_C*s_IFE_far_adj*s_CF_far_egg*s_RadSpec!AM5*s_Q_w_egg*(1/1000)),0)</f>
        <v>0</v>
      </c>
      <c r="EN5" s="40">
        <f>IFERROR((s_C*s_IFGO_far_adj*s_CF_far_goat*s_RadSpec!AQ5*s_Q_p_goat*(1/1000)),0)</f>
        <v>0</v>
      </c>
      <c r="EO5" s="40">
        <f>IFERROR((s_C*s_IFGM_far_adj*s_CF_far_goat_milk*s_RadSpec!AR5*(1/s_D_milk)*s_Q_p_goat_milk*(1/1000)),0)</f>
        <v>0</v>
      </c>
      <c r="EP5" s="40">
        <f>IFERROR((s_C*s_IFSH_far_adj*s_CF_far_sheep*s_RadSpec!AO5*s_Q_p_sheep*(1/1000)),0)</f>
        <v>0</v>
      </c>
      <c r="EQ5" s="40">
        <f>IFERROR((s_C*s_IFSM_far_adj*s_CF_far_sheep_milk*s_RadSpec!AP5*(1/s_D_milk)*s_Q_p_sheep_milk*(1/1000)),0)</f>
        <v>0</v>
      </c>
      <c r="ER5" s="18"/>
      <c r="ES5" s="18"/>
      <c r="ET5" s="18"/>
      <c r="EU5" s="18"/>
      <c r="EV5" s="18"/>
      <c r="EW5" s="18"/>
      <c r="EX5" s="18"/>
      <c r="EY5" s="18"/>
      <c r="EZ5" s="18"/>
      <c r="FA5" s="18"/>
      <c r="FB5" s="18"/>
      <c r="FC5" s="18"/>
      <c r="FD5" s="18"/>
      <c r="FE5" s="18"/>
      <c r="FF5" s="18"/>
      <c r="FG5" s="5"/>
      <c r="FH5" s="15" t="str">
        <f>IFERROR((s_TR/(s_RadSpec!F5*s_IFA_far_adj)),".")</f>
        <v>.</v>
      </c>
      <c r="FI5" s="15">
        <f>IFERROR((s_TR/(s_RadSpec!K5*s_EF_far*(1/365)*s_ED_far*s_ET_far*(1/24)*s_GSF_a)),".")</f>
        <v>1033384145.8226998</v>
      </c>
      <c r="FJ5" s="15">
        <f t="shared" si="48"/>
        <v>1033384145.8226997</v>
      </c>
      <c r="FK5" s="40">
        <f t="shared" si="44"/>
        <v>10026.041666666666</v>
      </c>
      <c r="FL5" s="40">
        <f t="shared" si="45"/>
        <v>1.5696347031963471</v>
      </c>
      <c r="FM5" s="120"/>
      <c r="FN5" s="120"/>
      <c r="FO5" s="120"/>
    </row>
    <row r="6" spans="1:171" customFormat="1" x14ac:dyDescent="0.25">
      <c r="A6" s="44" t="s">
        <v>16</v>
      </c>
      <c r="B6" s="42" t="s">
        <v>1071</v>
      </c>
      <c r="C6" s="42"/>
      <c r="D6" s="15" t="str">
        <f>s_dir!AC6</f>
        <v>.</v>
      </c>
      <c r="E6" s="15" t="str">
        <f>IFERROR(s_TR/(s_RadSpec!H6*s_IFP_far_adj*s_CF_far_poultry),".")</f>
        <v>.</v>
      </c>
      <c r="F6" s="15" t="str">
        <f>IFERROR(s_TR/(s_RadSpec!H6*s_IFE_far_adj*s_CF_far_egg),".")</f>
        <v>.</v>
      </c>
      <c r="G6" s="15" t="str">
        <f>IFERROR(s_TR/(s_RadSpec!H6*s_IFB_far_adj*s_CF_far_beef),".")</f>
        <v>.</v>
      </c>
      <c r="H6" s="15" t="str">
        <f>IFERROR(s_TR/(s_RadSpec!H6*s_IFD_far_adj*s_CF_far_dairy),".")</f>
        <v>.</v>
      </c>
      <c r="I6" s="15" t="str">
        <f>IFERROR(s_TR/(s_RadSpec!H6*s_IFSW_far_adj*s_CF_far_swine),".")</f>
        <v>.</v>
      </c>
      <c r="J6" s="15" t="str">
        <f>IFERROR(s_TR/(s_RadSpec!H6*s_IFFI_far_adj*s_CF_far_fish),".")</f>
        <v>.</v>
      </c>
      <c r="K6" s="15" t="str">
        <f>IFERROR(s_TR/(s_RadSpec!H6*s_IFSF_far_adj*s_CF_far_shellfish),".")</f>
        <v>.</v>
      </c>
      <c r="L6" s="15" t="str">
        <f>IFERROR(s_TR/(s_RadSpec!H6*s_IFGO_far_adj*s_CF_far_goat),".")</f>
        <v>.</v>
      </c>
      <c r="M6" s="15" t="str">
        <f>IFERROR(s_TR/(s_RadSpec!H6*s_IFSH_far_adj*s_CF_far_sheep),".")</f>
        <v>.</v>
      </c>
      <c r="N6" s="15" t="str">
        <f>IFERROR(s_TR/(s_RadSpec!H6*s_IFGM_far_adj*s_CF_far_goat_milk),".")</f>
        <v>.</v>
      </c>
      <c r="O6" s="15" t="str">
        <f>IFERROR(s_TR/(s_RadSpec!H6*s_IFSM_far_adj*s_CF_far_sheep_milk),".")</f>
        <v>.</v>
      </c>
      <c r="P6" s="40">
        <f>s_dir!BC6</f>
        <v>605000</v>
      </c>
      <c r="Q6" s="40">
        <f t="shared" si="0"/>
        <v>151250</v>
      </c>
      <c r="R6" s="40">
        <f t="shared" si="1"/>
        <v>151250</v>
      </c>
      <c r="S6" s="40">
        <f t="shared" si="2"/>
        <v>151250</v>
      </c>
      <c r="T6" s="40">
        <f t="shared" si="3"/>
        <v>151250</v>
      </c>
      <c r="U6" s="40">
        <f t="shared" si="4"/>
        <v>151250</v>
      </c>
      <c r="V6" s="40">
        <f t="shared" si="5"/>
        <v>151250</v>
      </c>
      <c r="W6" s="40">
        <f t="shared" si="6"/>
        <v>151250</v>
      </c>
      <c r="X6" s="40">
        <f t="shared" si="7"/>
        <v>151250</v>
      </c>
      <c r="Y6" s="40">
        <f t="shared" si="8"/>
        <v>151250</v>
      </c>
      <c r="Z6" s="40">
        <f t="shared" si="9"/>
        <v>151250</v>
      </c>
      <c r="AA6" s="40">
        <f t="shared" si="10"/>
        <v>151250</v>
      </c>
      <c r="AB6" s="5"/>
      <c r="AC6" s="5"/>
      <c r="AD6" s="5"/>
      <c r="AE6" s="5"/>
      <c r="AF6" s="5"/>
      <c r="AG6" s="5"/>
      <c r="AH6" s="5"/>
      <c r="AI6" s="5"/>
      <c r="AJ6" s="5"/>
      <c r="AK6" s="5"/>
      <c r="AL6" s="5"/>
      <c r="AM6" s="5"/>
      <c r="AN6" s="45" t="str">
        <f>IFERROR((s_TR/(s_RadSpec!E6*s_IFS_far_adj*(1/1000)))*1,".")</f>
        <v>.</v>
      </c>
      <c r="AO6" s="45" t="str">
        <f>IFERROR(IF(A6="H-3",(s_TR/(s_RadSpec!F6*s_IFA_far_adj*(1/17)*1000))*1,(s_TR/(s_RadSpec!F6*s_IFA_far_adj*(1/s_PEF_wind)*1000))*1),".")</f>
        <v>.</v>
      </c>
      <c r="AP6" s="45">
        <f>IFERROR((s_TR/(s_RadSpec!G6*s_EF_far*(1/365)*s_ED_far*s_RadSpec!R6*((s_ET_far_o*(1/24)*s_RadSpec!W6)+(s_ET_far_i*(1/24)*s_RadSpec!AB6))))*1,".")</f>
        <v>32.928311905506369</v>
      </c>
      <c r="AQ6" s="45" t="str">
        <f>s_b2s!BC6</f>
        <v>.</v>
      </c>
      <c r="AR6" s="45" t="str">
        <f>IFERROR(((J6*s_RadSpec!AU6)/s_RadSpec!AJ6)*1,".")</f>
        <v>.</v>
      </c>
      <c r="AS6" s="45" t="str">
        <f>IFERROR(((K6*s_RadSpec!AU6)/s_RadSpec!AK6)*1,".")</f>
        <v>.</v>
      </c>
      <c r="AT6" s="45" t="str">
        <f>IFERROR((G6/(s_RadSpec!AI6*((s_Q_p_beef*s_f_p_beef*s_f_s_beef*(s_RadSpec!BD6+s_R_es_past))+(s_Q_s_beef*s_f_p_beef))))*1,".")</f>
        <v>.</v>
      </c>
      <c r="AU6" s="45" t="str">
        <f>IFERROR(((H6*s_D_milk)/(s_RadSpec!AH6*((s_Q_p_dairy*s_f_p_dairy*s_f_s_dairy*(s_RadSpec!BD6+s_R_es_past))+(s_Q_s_dairy*s_f_p_dairy))))*1,".")</f>
        <v>.</v>
      </c>
      <c r="AV6" s="45" t="str">
        <f>IFERROR((I6/(s_RadSpec!AN6*((s_Q_p_swine*s_f_p_swine*s_f_s_swine*(s_RadSpec!BD6+s_R_es_past))+(s_Q_s_swine*s_f_p_swine))))*1,".")</f>
        <v>.</v>
      </c>
      <c r="AW6" s="45" t="str">
        <f>IFERROR((E6/(s_RadSpec!AL6*((s_Q_p_poultry*s_f_p_poultry*s_f_s_poultry*(s_RadSpec!BD6+s_R_es_past))+(s_Q_s_poultry*s_f_p_poultry))))*1,".")</f>
        <v>.</v>
      </c>
      <c r="AX6" s="45" t="str">
        <f>IFERROR((F6/(s_RadSpec!AM6*((s_Q_p_poultry*s_f_p_poultry*s_f_s_poultry*(s_RadSpec!BD6+s_R_es_past))+(s_Q_s_poultry*s_f_p_poultry))))*1,".")</f>
        <v>.</v>
      </c>
      <c r="AY6" s="45" t="str">
        <f>IFERROR((L6/(s_RadSpec!AQ6*((s_Q_p_goat*s_f_p_goat*s_f_s_goat*(s_RadSpec!BD6+s_R_es_past))+(s_Q_s_goat*s_f_p_goat))))*1,".")</f>
        <v>.</v>
      </c>
      <c r="AZ6" s="45" t="str">
        <f>IFERROR((N6*s_D_milk/(s_RadSpec!AR6*((s_Q_p_goat_milk*s_f_p_goat_milk*s_f_s_goat_milk*(s_RadSpec!BD6+s_R_es_past))+(s_Q_s_goat_milk*s_f_p_goat_milk))))*1,".")</f>
        <v>.</v>
      </c>
      <c r="BA6" s="45" t="str">
        <f>IFERROR((M6/(s_RadSpec!AO6*((s_Q_p_sheep*s_f_p_sheep*s_f_s_sheep*(s_RadSpec!BD6+s_R_es_past))+(s_Q_s_sheep*s_f_p_sheep))))*1,".")</f>
        <v>.</v>
      </c>
      <c r="BB6" s="45" t="str">
        <f>IFERROR((O6*s_D_milk/(s_RadSpec!AP6*((s_Q_p_sheep_milk*s_f_p_sheep_milk*s_f_s_sheep_milk*(s_RadSpec!BD6+s_R_es_past))+(s_Q_s_sheep_milk*s_f_p_sheep_milk))))*1,".")</f>
        <v>.</v>
      </c>
      <c r="BC6" s="118" t="str">
        <f t="shared" si="11"/>
        <v>.</v>
      </c>
      <c r="BD6" s="118" t="str">
        <f t="shared" si="12"/>
        <v>.</v>
      </c>
      <c r="BE6" s="118">
        <f t="shared" si="13"/>
        <v>3.0369002907579268E-2</v>
      </c>
      <c r="BF6" s="118" t="str">
        <f t="shared" si="14"/>
        <v>.</v>
      </c>
      <c r="BG6" s="118" t="str">
        <f t="shared" si="15"/>
        <v>.</v>
      </c>
      <c r="BH6" s="118" t="str">
        <f t="shared" si="15"/>
        <v>.</v>
      </c>
      <c r="BI6" s="118" t="str">
        <f t="shared" si="16"/>
        <v>.</v>
      </c>
      <c r="BJ6" s="118" t="str">
        <f t="shared" si="17"/>
        <v>.</v>
      </c>
      <c r="BK6" s="118" t="str">
        <f t="shared" si="18"/>
        <v>.</v>
      </c>
      <c r="BL6" s="118" t="str">
        <f t="shared" si="19"/>
        <v>.</v>
      </c>
      <c r="BM6" s="118" t="str">
        <f t="shared" si="20"/>
        <v>.</v>
      </c>
      <c r="BN6" s="118" t="str">
        <f t="shared" si="21"/>
        <v>.</v>
      </c>
      <c r="BO6" s="118" t="str">
        <f t="shared" si="22"/>
        <v>.</v>
      </c>
      <c r="BP6" s="118" t="str">
        <f t="shared" si="23"/>
        <v>.</v>
      </c>
      <c r="BQ6" s="118" t="str">
        <f t="shared" si="24"/>
        <v>.</v>
      </c>
      <c r="BR6" s="15">
        <f t="shared" si="46"/>
        <v>32.928311905506369</v>
      </c>
      <c r="BS6" s="40">
        <f t="shared" si="25"/>
        <v>302.5</v>
      </c>
      <c r="BT6" s="40">
        <f t="shared" si="26"/>
        <v>3.2362545583179352E-2</v>
      </c>
      <c r="BU6" s="40">
        <f>IFERROR((s_C*s_EF_far*(1/365)*s_ED_far*s_RadSpec!R6*((s_ET_far_o*(1/24)*s_RadSpec!W6)+(s_ET_far_i*(1/24)*s_RadSpec!AB6))),".")</f>
        <v>0.56541458928312127</v>
      </c>
      <c r="BV6" s="40">
        <f>s_b2s!CC6</f>
        <v>11485.924999999999</v>
      </c>
      <c r="BW6" s="40">
        <f>IFERROR(((s_C*s_RadSpec!AJ6)/s_RadSpec!AU6)*s_IFFI_far_adj*s_CF_far_fish,0)</f>
        <v>453750</v>
      </c>
      <c r="BX6" s="40">
        <f>IFERROR(((s_C*s_RadSpec!AK6)/s_RadSpec!AU6)*s_IFSF_far_adj*s_CF_far_shellfish,0)</f>
        <v>52937500</v>
      </c>
      <c r="BY6" s="40">
        <f>(s_C*s_IFB_far_adj*s_CF_far_beef*s_RadSpec!AI6*((s_Q_p_beef*s_f_p_beef*s_f_s_beef*(s_RadSpec!$AT6+s_R_es_past))+(s_Q_s_beef*s_f_p_beef)))</f>
        <v>1855.8548850574709</v>
      </c>
      <c r="BZ6" s="40">
        <f>(s_C*s_IFD_far_adj*s_CF_far_dairy*s_RadSpec!AH6*1/s_D_milk*((s_Q_p_dairy*s_f_p_dairy*s_f_s_dairy*(s_RadSpec!$AT6+s_R_es_past))+(s_Q_s_dairy*s_f_p_dairy)))</f>
        <v>2059.2009820332551</v>
      </c>
      <c r="CA6" s="40">
        <f>IFERROR((s_C*s_IFSW_far_adj*s_CF_far_swine*s_RadSpec!AN6*((s_Q_p_swine*s_f_p_swine*s_f_s_swine*(s_RadSpec!$AT6+s_R_es_past))+(s_Q_s_swine*s_f_p_swine))),0)</f>
        <v>0</v>
      </c>
      <c r="CB6" s="40">
        <f>IFERROR((s_C*s_IFP_far_adj*s_CF_far_poultry*s_RadSpec!AL6*((s_Q_p_poultry*s_f_p_poultry*s_f_s_poultry*(s_RadSpec!AT6+s_R_es_past))+(s_Q_s_poultry*s_f_p_poultry))),0)</f>
        <v>251866.02011494251</v>
      </c>
      <c r="CC6" s="40">
        <f>IFERROR((s_C*s_IFE_far_adj*s_CF_far_egg*s_RadSpec!AM6*((s_Q_p_egg*s_f_p_egg*s_f_s_egg*(s_RadSpec!$AT6+s_R_es_past))+(s_Q_s_egg*s_f_p_egg))),0)</f>
        <v>11532812.5</v>
      </c>
      <c r="CD6" s="40">
        <f>IFERROR((s_C*s_IFGO_far_adj*s_CF_far_goat*s_RadSpec!AQ6*((s_Q_p_goat*s_f_p_goat*s_f_s_goat*(s_RadSpec!$AT6+s_R_es_past))+(s_Q_s_goat*s_f_p_goat))),0)</f>
        <v>172.32938218390802</v>
      </c>
      <c r="CE6" s="40">
        <f>IFERROR((s_C*s_IFGM_far_adj*s_CF_far_goat_milk*s_RadSpec!AR6*1/s_D_milk*((s_Q_p_goat_milk*s_f_p_goat_milk*s_f_s_goat_milk*(s_RadSpec!$AT6+s_R_es_past))+(s_Q_s_goat_milk*s_f_p_goat_milk))),0)</f>
        <v>141570.06751478629</v>
      </c>
      <c r="CF6" s="40">
        <f>IFERROR((s_C*s_IFSH_far_adj*s_CF_far_sheep*s_RadSpec!AO6*((s_Q_p_sheep*s_f_p_sheep*s_f_s_sheep*(s_RadSpec!$AT6+s_R_es_past))+(s_Q_s_sheep*s_f_p_sheep))),0)</f>
        <v>66280.531609195401</v>
      </c>
      <c r="CG6" s="40">
        <f>IFERROR((s_C*s_IFSM_far_adj*s_CF_far_sheep_milk*s_RadSpec!AP6*1/s_D_milk*((s_Q_p_sheep_milk*s_f_p_sheep_milk*s_f_s_sheep_milk*(s_RadSpec!$AT6+s_R_es_past))+(s_Q_s_sheep_milk*s_f_p_sheep_milk))),0)</f>
        <v>527670.25164602161</v>
      </c>
      <c r="CH6" s="18"/>
      <c r="CI6" s="18"/>
      <c r="CJ6" s="18"/>
      <c r="CK6" s="18"/>
      <c r="CL6" s="18"/>
      <c r="CM6" s="18"/>
      <c r="CN6" s="18"/>
      <c r="CO6" s="18"/>
      <c r="CP6" s="18"/>
      <c r="CQ6" s="18"/>
      <c r="CR6" s="18"/>
      <c r="CS6" s="18"/>
      <c r="CT6" s="18"/>
      <c r="CU6" s="18"/>
      <c r="CV6" s="18"/>
      <c r="CW6" s="5"/>
      <c r="CX6" s="15" t="str">
        <f>IFERROR(s_TR/(s_RadSpec!I6*s_IFW_far_adj),".")</f>
        <v>.</v>
      </c>
      <c r="CY6" s="15" t="str">
        <f>IFERROR(IF(AND(s_RadSpec!C6=1,s_RadSpec!D6&lt;&gt;0),s_TR/(s_RadSpec!F6*s_IFA_far_adj*s_K*s_RadSpec!D6),"."),".")</f>
        <v>.</v>
      </c>
      <c r="CZ6" s="15">
        <f>IFERROR((s_TR/(s_RadSpec!M6*(1/8760)*s_DFA_far_adj)),".")</f>
        <v>3643341.539759519</v>
      </c>
      <c r="DA6" s="15" t="str">
        <f>s_b2w!BC6</f>
        <v>.</v>
      </c>
      <c r="DB6" s="15" t="str">
        <f>IFERROR(J6/(s_RadSpec!AJ6*(1/1000)),".")</f>
        <v>.</v>
      </c>
      <c r="DC6" s="15" t="str">
        <f>IFERROR(K6/(s_RadSpec!AK6*(1/1000)),".")</f>
        <v>.</v>
      </c>
      <c r="DD6" s="15" t="str">
        <f>IFERROR(G6/(s_RadSpec!AI6*s_Q_w_beef*(1/1000)),".")</f>
        <v>.</v>
      </c>
      <c r="DE6" s="15" t="str">
        <f>IFERROR((H6*s_D_milk)/(s_RadSpec!AH6*s_Q_w_dairy*(1/1000)),".")</f>
        <v>.</v>
      </c>
      <c r="DF6" s="15" t="str">
        <f>IFERROR(I6/(s_RadSpec!AN6*s_Q_w_swine*(1/1000)),".")</f>
        <v>.</v>
      </c>
      <c r="DG6" s="15" t="str">
        <f>IFERROR(E6/(s_RadSpec!AL6*s_Q_w_poultry*(1/1000)),".")</f>
        <v>.</v>
      </c>
      <c r="DH6" s="15" t="str">
        <f>IFERROR(F6/(s_RadSpec!AM6*s_Q_w_poultry*(1/1000)),".")</f>
        <v>.</v>
      </c>
      <c r="DI6" s="15" t="str">
        <f>IFERROR(L6/(s_RadSpec!AQ6*s_Q_w_goat*(1/1000)),".")</f>
        <v>.</v>
      </c>
      <c r="DJ6" s="15" t="str">
        <f>IFERROR(N6*s_D_milk/(s_RadSpec!AR6*s_Q_w_goat_milk*(1/1000)),".")</f>
        <v>.</v>
      </c>
      <c r="DK6" s="15" t="str">
        <f>IFERROR(M6/(s_RadSpec!AO6*s_Q_w_sheep*(1/1000)),".")</f>
        <v>.</v>
      </c>
      <c r="DL6" s="15" t="str">
        <f>IFERROR(O6*s_D_milk/(s_RadSpec!AP6*s_Q_w_sheep_milk*(1/1000)),".")</f>
        <v>.</v>
      </c>
      <c r="DM6" s="118" t="str">
        <f t="shared" si="27"/>
        <v>.</v>
      </c>
      <c r="DN6" s="118" t="str">
        <f t="shared" si="28"/>
        <v>.</v>
      </c>
      <c r="DO6" s="118">
        <f t="shared" si="29"/>
        <v>2.7447330673972597E-7</v>
      </c>
      <c r="DP6" s="118" t="str">
        <f t="shared" si="30"/>
        <v>.</v>
      </c>
      <c r="DQ6" s="118" t="str">
        <f t="shared" si="31"/>
        <v>.</v>
      </c>
      <c r="DR6" s="118" t="str">
        <f t="shared" si="31"/>
        <v>.</v>
      </c>
      <c r="DS6" s="118" t="str">
        <f t="shared" si="32"/>
        <v>.</v>
      </c>
      <c r="DT6" s="118" t="str">
        <f t="shared" si="33"/>
        <v>.</v>
      </c>
      <c r="DU6" s="118" t="str">
        <f t="shared" si="34"/>
        <v>.</v>
      </c>
      <c r="DV6" s="118" t="str">
        <f t="shared" si="35"/>
        <v>.</v>
      </c>
      <c r="DW6" s="118" t="str">
        <f t="shared" si="36"/>
        <v>.</v>
      </c>
      <c r="DX6" s="118" t="str">
        <f t="shared" si="37"/>
        <v>.</v>
      </c>
      <c r="DY6" s="118" t="str">
        <f t="shared" si="38"/>
        <v>.</v>
      </c>
      <c r="DZ6" s="118" t="str">
        <f t="shared" si="39"/>
        <v>.</v>
      </c>
      <c r="EA6" s="118" t="str">
        <f t="shared" si="40"/>
        <v>.</v>
      </c>
      <c r="EB6" s="15">
        <f t="shared" si="47"/>
        <v>3643341.539759519</v>
      </c>
      <c r="EC6" s="40">
        <f t="shared" si="41"/>
        <v>27500</v>
      </c>
      <c r="ED6" s="40">
        <f>IFERROR(IF(s_RadSpec!D6&lt;&gt;"",s_C*s_IFA_far_adj*s_K*s_RadSpec!D6,0),".")</f>
        <v>0</v>
      </c>
      <c r="EE6" s="40">
        <f t="shared" si="42"/>
        <v>2.5114155251141552</v>
      </c>
      <c r="EF6" s="40">
        <f>s_b2w!CC6</f>
        <v>7735.942276775394</v>
      </c>
      <c r="EG6" s="40">
        <f>IFERROR(s_C*s_RadSpec!AJ6*(1/1000)*s_IFFI_far_adj*s_CF_far_fish,0)</f>
        <v>181.5</v>
      </c>
      <c r="EH6" s="40">
        <f>IFERROR(s_C*s_RadSpec!AK6*(1/1000)*s_IFSF_far_adj*s_CF_far_shellfish,0)</f>
        <v>21175.000000000004</v>
      </c>
      <c r="EI6" s="40">
        <f>(s_C*s_IFB_far_adj*s_CF_far_beef*s_RadSpec!AI6*s_Q_w_beef*(1/1000))</f>
        <v>0.10587499999999998</v>
      </c>
      <c r="EJ6" s="40">
        <f>(s_C*s_IFD_far_adj*s_CF_far_dairy*s_RadSpec!AH6*(1/s_D_milk)*s_Q_w_dairy*(1/1000))</f>
        <v>0.11747572815533983</v>
      </c>
      <c r="EK6" s="40">
        <f>IFERROR((s_C*s_IFSW_far_adj*s_CF_far_swine*s_RadSpec!AN6*s_Q_w_swine*(1/1000)),0)</f>
        <v>0</v>
      </c>
      <c r="EL6" s="40">
        <f>IFERROR((s_C*s_IFP_far_adj*s_CF_far_poultry*s_RadSpec!AL6*s_Q_w_poultry*(1/1000)),0)</f>
        <v>14.36875</v>
      </c>
      <c r="EM6" s="40">
        <f>IFERROR((s_C*s_IFE_far_adj*s_CF_far_egg*s_RadSpec!AM6*s_Q_w_egg*(1/1000)),0)</f>
        <v>657.9375</v>
      </c>
      <c r="EN6" s="40">
        <f>IFERROR((s_C*s_IFGO_far_adj*s_CF_far_goat*s_RadSpec!AQ6*s_Q_p_goat*(1/1000)),0)</f>
        <v>9.8312499999999997E-3</v>
      </c>
      <c r="EO6" s="40">
        <f>IFERROR((s_C*s_IFGM_far_adj*s_CF_far_goat_milk*s_RadSpec!AR6*(1/s_D_milk)*s_Q_p_goat_milk*(1/1000)),0)</f>
        <v>8.0764563106796121</v>
      </c>
      <c r="EP6" s="40">
        <f>IFERROR((s_C*s_IFSH_far_adj*s_CF_far_sheep*s_RadSpec!AO6*s_Q_p_sheep*(1/1000)),0)</f>
        <v>3.78125</v>
      </c>
      <c r="EQ6" s="40">
        <f>IFERROR((s_C*s_IFSM_far_adj*s_CF_far_sheep_milk*s_RadSpec!AP6*(1/s_D_milk)*s_Q_p_sheep_milk*(1/1000)),0)</f>
        <v>30.103155339805824</v>
      </c>
      <c r="ER6" s="18"/>
      <c r="ES6" s="18"/>
      <c r="ET6" s="18"/>
      <c r="EU6" s="18"/>
      <c r="EV6" s="18"/>
      <c r="EW6" s="18"/>
      <c r="EX6" s="18"/>
      <c r="EY6" s="18"/>
      <c r="EZ6" s="18"/>
      <c r="FA6" s="18"/>
      <c r="FB6" s="18"/>
      <c r="FC6" s="18"/>
      <c r="FD6" s="18"/>
      <c r="FE6" s="18"/>
      <c r="FF6" s="18"/>
      <c r="FG6" s="5"/>
      <c r="FH6" s="15" t="str">
        <f>IFERROR((s_TR/(s_RadSpec!F6*s_IFA_far_adj)),".")</f>
        <v>.</v>
      </c>
      <c r="FI6" s="15">
        <f>IFERROR((s_TR/(s_RadSpec!K6*s_EF_far*(1/365)*s_ED_far*s_ET_far*(1/24)*s_GSF_a)),".")</f>
        <v>12630.250671166332</v>
      </c>
      <c r="FJ6" s="15">
        <f t="shared" ref="FJ6:FJ9" si="49">IFERROR(IF(AND(ISNUMBER(FH6),ISNUMBER(FI6)),1/((1/FH6)+(1/FI6)),IF(AND(ISNUMBER(FH6),NOT(ISNUMBER(FI6))),1/((1/FH6)),IF(AND(NOT(ISNUMBER(FH6)),ISNUMBER(FI6)),1/((1/FI6)),IF(AND(NOT(ISNUMBER(FH6)),NOT(ISNUMBER(FI6))),".")))),".")</f>
        <v>12630.250671166332</v>
      </c>
      <c r="FK6" s="40">
        <f t="shared" si="44"/>
        <v>10026.041666666666</v>
      </c>
      <c r="FL6" s="40">
        <f t="shared" si="45"/>
        <v>1.5696347031963471</v>
      </c>
      <c r="FM6" s="120"/>
      <c r="FN6" s="120"/>
      <c r="FO6" s="120"/>
    </row>
    <row r="7" spans="1:171" customFormat="1" x14ac:dyDescent="0.25">
      <c r="A7" s="44" t="s">
        <v>17</v>
      </c>
      <c r="B7" s="42" t="s">
        <v>1071</v>
      </c>
      <c r="C7" s="249"/>
      <c r="D7" s="15">
        <f>s_dir!AC7</f>
        <v>6.345564196803867</v>
      </c>
      <c r="E7" s="15">
        <f>IFERROR(s_TR/(s_RadSpec!H7*s_IFP_far_adj*s_CF_far_poultry),".")</f>
        <v>25.382256787215468</v>
      </c>
      <c r="F7" s="15">
        <f>IFERROR(s_TR/(s_RadSpec!H7*s_IFE_far_adj*s_CF_far_egg),".")</f>
        <v>25.382256787215468</v>
      </c>
      <c r="G7" s="15">
        <f>IFERROR(s_TR/(s_RadSpec!H7*s_IFB_far_adj*s_CF_far_beef),".")</f>
        <v>25.382256787215468</v>
      </c>
      <c r="H7" s="15">
        <f>IFERROR(s_TR/(s_RadSpec!H7*s_IFD_far_adj*s_CF_far_dairy),".")</f>
        <v>25.382256787215468</v>
      </c>
      <c r="I7" s="15">
        <f>IFERROR(s_TR/(s_RadSpec!H7*s_IFSW_far_adj*s_CF_far_swine),".")</f>
        <v>25.382256787215468</v>
      </c>
      <c r="J7" s="15">
        <f>IFERROR(s_TR/(s_RadSpec!H7*s_IFFI_far_adj*s_CF_far_fish),".")</f>
        <v>25.382256787215468</v>
      </c>
      <c r="K7" s="15">
        <f>IFERROR(s_TR/(s_RadSpec!H7*s_IFSF_far_adj*s_CF_far_shellfish),".")</f>
        <v>25.382256787215468</v>
      </c>
      <c r="L7" s="15">
        <f>IFERROR(s_TR/(s_RadSpec!H7*s_IFGO_far_adj*s_CF_far_goat),".")</f>
        <v>25.382256787215468</v>
      </c>
      <c r="M7" s="15">
        <f>IFERROR(s_TR/(s_RadSpec!H7*s_IFSH_far_adj*s_CF_far_sheep),".")</f>
        <v>25.382256787215468</v>
      </c>
      <c r="N7" s="15">
        <f>IFERROR(s_TR/(s_RadSpec!H7*s_IFGM_far_adj*s_CF_far_goat_milk),".")</f>
        <v>25.382256787215468</v>
      </c>
      <c r="O7" s="15">
        <f>IFERROR(s_TR/(s_RadSpec!H7*s_IFSM_far_adj*s_CF_far_sheep_milk),".")</f>
        <v>25.382256787215468</v>
      </c>
      <c r="P7" s="40">
        <f>s_dir!BC7</f>
        <v>605000</v>
      </c>
      <c r="Q7" s="40">
        <f t="shared" si="0"/>
        <v>151250</v>
      </c>
      <c r="R7" s="40">
        <f t="shared" si="1"/>
        <v>151250</v>
      </c>
      <c r="S7" s="40">
        <f t="shared" si="2"/>
        <v>151250</v>
      </c>
      <c r="T7" s="40">
        <f t="shared" si="3"/>
        <v>151250</v>
      </c>
      <c r="U7" s="40">
        <f t="shared" si="4"/>
        <v>151250</v>
      </c>
      <c r="V7" s="40">
        <f t="shared" si="5"/>
        <v>151250</v>
      </c>
      <c r="W7" s="40">
        <f t="shared" si="6"/>
        <v>151250</v>
      </c>
      <c r="X7" s="40">
        <f t="shared" si="7"/>
        <v>151250</v>
      </c>
      <c r="Y7" s="40">
        <f t="shared" si="8"/>
        <v>151250</v>
      </c>
      <c r="Z7" s="40">
        <f t="shared" si="9"/>
        <v>151250</v>
      </c>
      <c r="AA7" s="40">
        <f t="shared" si="10"/>
        <v>151250</v>
      </c>
      <c r="AB7" s="5"/>
      <c r="AC7" s="5"/>
      <c r="AD7" s="5"/>
      <c r="AE7" s="5"/>
      <c r="AF7" s="5"/>
      <c r="AG7" s="5"/>
      <c r="AH7" s="5"/>
      <c r="AI7" s="5"/>
      <c r="AJ7" s="5"/>
      <c r="AK7" s="5"/>
      <c r="AL7" s="5"/>
      <c r="AM7" s="5"/>
      <c r="AN7" s="45">
        <f>IFERROR((s_TR/(s_RadSpec!E7*s_IFS_far_adj*(1/1000)))*1,".")</f>
        <v>6883.3238744991095</v>
      </c>
      <c r="AO7" s="45">
        <f>IFERROR(IF(A7="H-3",(s_TR/(s_RadSpec!F7*s_IFA_far_adj*(1/17)*1000))*1,(s_TR/(s_RadSpec!F7*s_IFA_far_adj*(1/s_PEF_wind)*1000))*1),".")</f>
        <v>3394849.2476316104</v>
      </c>
      <c r="AP7" s="45">
        <f>IFERROR((s_TR/(s_RadSpec!G7*s_EF_far*(1/365)*s_ED_far*s_RadSpec!R7*((s_ET_far_o*(1/24)*s_RadSpec!W7)+(s_ET_far_i*(1/24)*s_RadSpec!AB7))))*1,".")</f>
        <v>69143.708053830254</v>
      </c>
      <c r="AQ7" s="45">
        <f>s_b2s!BC7</f>
        <v>55.908054597390894</v>
      </c>
      <c r="AR7" s="45">
        <f>IFERROR(((J7*s_RadSpec!AU7)/s_RadSpec!AJ7)*1,".")</f>
        <v>812.23221719089497</v>
      </c>
      <c r="AS7" s="45" t="str">
        <f>IFERROR(((K7*s_RadSpec!AU7)/s_RadSpec!AK7)*1,".")</f>
        <v>.</v>
      </c>
      <c r="AT7" s="45">
        <f>IFERROR((G7/(s_RadSpec!AI7*((s_Q_p_beef*s_f_p_beef*s_f_s_beef*(s_RadSpec!BD7+s_R_es_past))+(s_Q_s_beef*s_f_p_beef))))*1,".")</f>
        <v>84.607522624051569</v>
      </c>
      <c r="AU7" s="45">
        <f>IFERROR(((H7*s_D_milk)/(s_RadSpec!AH7*((s_Q_p_dairy*s_f_p_dairy*s_f_s_dairy*(s_RadSpec!BD7+s_R_es_past))+(s_Q_s_dairy*s_f_p_dairy))))*1,".")</f>
        <v>174.29149660554623</v>
      </c>
      <c r="AV7" s="45" t="str">
        <f>IFERROR((I7/(s_RadSpec!AN7*((s_Q_p_swine*s_f_p_swine*s_f_s_swine*(s_RadSpec!BD7+s_R_es_past))+(s_Q_s_swine*s_f_p_swine))))*1,".")</f>
        <v>.</v>
      </c>
      <c r="AW7" s="45" t="str">
        <f>IFERROR((E7/(s_RadSpec!AL7*((s_Q_p_poultry*s_f_p_poultry*s_f_s_poultry*(s_RadSpec!BD7+s_R_es_past))+(s_Q_s_poultry*s_f_p_poultry))))*1,".")</f>
        <v>.</v>
      </c>
      <c r="AX7" s="45" t="str">
        <f>IFERROR((F7/(s_RadSpec!AM7*((s_Q_p_poultry*s_f_p_poultry*s_f_s_poultry*(s_RadSpec!BD7+s_R_es_past))+(s_Q_s_poultry*s_f_p_poultry))))*1,".")</f>
        <v>.</v>
      </c>
      <c r="AY7" s="45" t="str">
        <f>IFERROR((L7/(s_RadSpec!AQ7*((s_Q_p_goat*s_f_p_goat*s_f_s_goat*(s_RadSpec!BD7+s_R_es_past))+(s_Q_s_goat*s_f_p_goat))))*1,".")</f>
        <v>.</v>
      </c>
      <c r="AZ7" s="45" t="str">
        <f>IFERROR((N7*s_D_milk/(s_RadSpec!AR7*((s_Q_p_goat_milk*s_f_p_goat_milk*s_f_s_goat_milk*(s_RadSpec!BD7+s_R_es_past))+(s_Q_s_goat_milk*s_f_p_goat_milk))))*1,".")</f>
        <v>.</v>
      </c>
      <c r="BA7" s="45" t="str">
        <f>IFERROR((M7/(s_RadSpec!AO7*((s_Q_p_sheep*s_f_p_sheep*s_f_s_sheep*(s_RadSpec!BD7+s_R_es_past))+(s_Q_s_sheep*s_f_p_sheep))))*1,".")</f>
        <v>.</v>
      </c>
      <c r="BB7" s="45" t="str">
        <f>IFERROR((O7*s_D_milk/(s_RadSpec!AP7*((s_Q_p_sheep_milk*s_f_p_sheep_milk*s_f_s_sheep_milk*(s_RadSpec!BD7+s_R_es_past))+(s_Q_s_sheep_milk*s_f_p_sheep_milk))))*1,".")</f>
        <v>.</v>
      </c>
      <c r="BC7" s="118">
        <f t="shared" si="11"/>
        <v>1.4527864999999999E-4</v>
      </c>
      <c r="BD7" s="118">
        <f t="shared" si="12"/>
        <v>2.9456388989809843E-7</v>
      </c>
      <c r="BE7" s="118">
        <f t="shared" si="13"/>
        <v>1.4462631932054798E-5</v>
      </c>
      <c r="BF7" s="118">
        <f t="shared" si="14"/>
        <v>1.78865104E-2</v>
      </c>
      <c r="BG7" s="118">
        <f t="shared" si="15"/>
        <v>1.2311749999999999E-3</v>
      </c>
      <c r="BH7" s="118" t="str">
        <f t="shared" si="15"/>
        <v>.</v>
      </c>
      <c r="BI7" s="118">
        <f t="shared" si="16"/>
        <v>1.1819279999999998E-2</v>
      </c>
      <c r="BJ7" s="118">
        <f t="shared" si="17"/>
        <v>5.7375145631067947E-3</v>
      </c>
      <c r="BK7" s="118" t="str">
        <f t="shared" si="18"/>
        <v>.</v>
      </c>
      <c r="BL7" s="118" t="str">
        <f t="shared" si="19"/>
        <v>.</v>
      </c>
      <c r="BM7" s="118" t="str">
        <f t="shared" si="20"/>
        <v>.</v>
      </c>
      <c r="BN7" s="118" t="str">
        <f t="shared" si="21"/>
        <v>.</v>
      </c>
      <c r="BO7" s="118" t="str">
        <f t="shared" si="22"/>
        <v>.</v>
      </c>
      <c r="BP7" s="118" t="str">
        <f t="shared" si="23"/>
        <v>.</v>
      </c>
      <c r="BQ7" s="118" t="str">
        <f t="shared" si="24"/>
        <v>.</v>
      </c>
      <c r="BR7" s="15">
        <f t="shared" si="46"/>
        <v>27.148449709161056</v>
      </c>
      <c r="BS7" s="40">
        <f t="shared" si="25"/>
        <v>302.5</v>
      </c>
      <c r="BT7" s="40">
        <f t="shared" si="26"/>
        <v>3.2362545583179352E-2</v>
      </c>
      <c r="BU7" s="40">
        <f>IFERROR((s_C*s_EF_far*(1/365)*s_ED_far*s_RadSpec!R7*((s_ET_far_o*(1/24)*s_RadSpec!W7)+(s_ET_far_i*(1/24)*s_RadSpec!AB7))),".")</f>
        <v>0.26131437489162485</v>
      </c>
      <c r="BV7" s="40">
        <f>s_b2s!CC7</f>
        <v>68667.5</v>
      </c>
      <c r="BW7" s="40">
        <f>IFERROR(((s_C*s_RadSpec!AJ7)/s_RadSpec!AU7)*s_IFFI_far_adj*s_CF_far_fish,0)</f>
        <v>4726.5625</v>
      </c>
      <c r="BX7" s="40">
        <f>IFERROR(((s_C*s_RadSpec!AK7)/s_RadSpec!AU7)*s_IFSF_far_adj*s_CF_far_shellfish,0)</f>
        <v>0</v>
      </c>
      <c r="BY7" s="40">
        <f>(s_C*s_IFB_far_adj*s_CF_far_beef*s_RadSpec!AI7*((s_Q_p_beef*s_f_p_beef*s_f_s_beef*(s_RadSpec!$AT7+s_R_es_past))+(s_Q_s_beef*s_f_p_beef)))</f>
        <v>45375</v>
      </c>
      <c r="BZ7" s="40">
        <f>(s_C*s_IFD_far_adj*s_CF_far_dairy*s_RadSpec!AH7*1/s_D_milk*((s_Q_p_dairy*s_f_p_dairy*s_f_s_dairy*(s_RadSpec!$AT7+s_R_es_past))+(s_Q_s_dairy*s_f_p_dairy)))</f>
        <v>22026.699029126215</v>
      </c>
      <c r="CA7" s="40">
        <f>IFERROR((s_C*s_IFSW_far_adj*s_CF_far_swine*s_RadSpec!AN7*((s_Q_p_swine*s_f_p_swine*s_f_s_swine*(s_RadSpec!$AT7+s_R_es_past))+(s_Q_s_swine*s_f_p_swine))),0)</f>
        <v>0</v>
      </c>
      <c r="CB7" s="40">
        <f>IFERROR((s_C*s_IFP_far_adj*s_CF_far_poultry*s_RadSpec!AL7*((s_Q_p_poultry*s_f_p_poultry*s_f_s_poultry*(s_RadSpec!AT7+s_R_es_past))+(s_Q_s_poultry*s_f_p_poultry))),0)</f>
        <v>0</v>
      </c>
      <c r="CC7" s="40">
        <f>IFERROR((s_C*s_IFE_far_adj*s_CF_far_egg*s_RadSpec!AM7*((s_Q_p_egg*s_f_p_egg*s_f_s_egg*(s_RadSpec!$AT7+s_R_es_past))+(s_Q_s_egg*s_f_p_egg))),0)</f>
        <v>0</v>
      </c>
      <c r="CD7" s="40">
        <f>IFERROR((s_C*s_IFGO_far_adj*s_CF_far_goat*s_RadSpec!AQ7*((s_Q_p_goat*s_f_p_goat*s_f_s_goat*(s_RadSpec!$AT7+s_R_es_past))+(s_Q_s_goat*s_f_p_goat))),0)</f>
        <v>0</v>
      </c>
      <c r="CE7" s="40">
        <f>IFERROR((s_C*s_IFGM_far_adj*s_CF_far_goat_milk*s_RadSpec!AR7*1/s_D_milk*((s_Q_p_goat_milk*s_f_p_goat_milk*s_f_s_goat_milk*(s_RadSpec!$AT7+s_R_es_past))+(s_Q_s_goat_milk*s_f_p_goat_milk))),0)</f>
        <v>0</v>
      </c>
      <c r="CF7" s="40">
        <f>IFERROR((s_C*s_IFSH_far_adj*s_CF_far_sheep*s_RadSpec!AO7*((s_Q_p_sheep*s_f_p_sheep*s_f_s_sheep*(s_RadSpec!$AT7+s_R_es_past))+(s_Q_s_sheep*s_f_p_sheep))),0)</f>
        <v>0</v>
      </c>
      <c r="CG7" s="40">
        <f>IFERROR((s_C*s_IFSM_far_adj*s_CF_far_sheep_milk*s_RadSpec!AP7*1/s_D_milk*((s_Q_p_sheep_milk*s_f_p_sheep_milk*s_f_s_sheep_milk*(s_RadSpec!$AT7+s_R_es_past))+(s_Q_s_sheep_milk*s_f_p_sheep_milk))),0)</f>
        <v>0</v>
      </c>
      <c r="CH7" s="18"/>
      <c r="CI7" s="18"/>
      <c r="CJ7" s="18"/>
      <c r="CK7" s="18"/>
      <c r="CL7" s="18"/>
      <c r="CM7" s="18"/>
      <c r="CN7" s="18"/>
      <c r="CO7" s="18"/>
      <c r="CP7" s="18"/>
      <c r="CQ7" s="18"/>
      <c r="CR7" s="18"/>
      <c r="CS7" s="18"/>
      <c r="CT7" s="18"/>
      <c r="CU7" s="18"/>
      <c r="CV7" s="18"/>
      <c r="CW7" s="5"/>
      <c r="CX7" s="15">
        <f>IFERROR(s_TR/(s_RadSpec!I7*s_IFW_far_adj),".")</f>
        <v>203.90061883837819</v>
      </c>
      <c r="CY7" s="15" t="str">
        <f>IFERROR(IF(AND(s_RadSpec!C7=1,s_RadSpec!D7&lt;&gt;0),s_TR/(s_RadSpec!F7*s_IFA_far_adj*s_K*s_RadSpec!D7),"."),".")</f>
        <v>.</v>
      </c>
      <c r="CZ7" s="15">
        <f>IFERROR((s_TR/(s_RadSpec!M7*(1/8760)*s_DFA_far_adj)),".")</f>
        <v>2544901254.6379924</v>
      </c>
      <c r="DA7" s="15">
        <f>s_b2w!BC7</f>
        <v>201.01967978025729</v>
      </c>
      <c r="DB7" s="15">
        <f>IFERROR(J7/(s_RadSpec!AJ7*(1/1000)),".")</f>
        <v>1692.1504524810312</v>
      </c>
      <c r="DC7" s="15" t="str">
        <f>IFERROR(K7/(s_RadSpec!AK7*(1/1000)),".")</f>
        <v>.</v>
      </c>
      <c r="DD7" s="15">
        <f>IFERROR(G7/(s_RadSpec!AI7*s_Q_w_beef*(1/1000)),".")</f>
        <v>2538225.6787215467</v>
      </c>
      <c r="DE7" s="15">
        <f>IFERROR((H7*s_D_milk)/(s_RadSpec!AH7*s_Q_w_dairy*(1/1000)),".")</f>
        <v>5228744.8981663864</v>
      </c>
      <c r="DF7" s="15" t="str">
        <f>IFERROR(I7/(s_RadSpec!AN7*s_Q_w_swine*(1/1000)),".")</f>
        <v>.</v>
      </c>
      <c r="DG7" s="15" t="str">
        <f>IFERROR(E7/(s_RadSpec!AL7*s_Q_w_poultry*(1/1000)),".")</f>
        <v>.</v>
      </c>
      <c r="DH7" s="15" t="str">
        <f>IFERROR(F7/(s_RadSpec!AM7*s_Q_w_poultry*(1/1000)),".")</f>
        <v>.</v>
      </c>
      <c r="DI7" s="15" t="str">
        <f>IFERROR(L7/(s_RadSpec!AQ7*s_Q_w_goat*(1/1000)),".")</f>
        <v>.</v>
      </c>
      <c r="DJ7" s="15" t="str">
        <f>IFERROR(N7*s_D_milk/(s_RadSpec!AR7*s_Q_w_goat_milk*(1/1000)),".")</f>
        <v>.</v>
      </c>
      <c r="DK7" s="15" t="str">
        <f>IFERROR(M7/(s_RadSpec!AO7*s_Q_w_sheep*(1/1000)),".")</f>
        <v>.</v>
      </c>
      <c r="DL7" s="15" t="str">
        <f>IFERROR(O7*s_D_milk/(s_RadSpec!AP7*s_Q_w_sheep_milk*(1/1000)),".")</f>
        <v>.</v>
      </c>
      <c r="DM7" s="118">
        <f t="shared" si="27"/>
        <v>4.9043499999999992E-3</v>
      </c>
      <c r="DN7" s="118" t="str">
        <f t="shared" si="28"/>
        <v>.</v>
      </c>
      <c r="DO7" s="118">
        <f t="shared" si="29"/>
        <v>3.9294255452054786E-10</v>
      </c>
      <c r="DP7" s="118">
        <f t="shared" si="30"/>
        <v>4.9746373145810414E-3</v>
      </c>
      <c r="DQ7" s="118">
        <f t="shared" si="31"/>
        <v>5.9096399999999992E-4</v>
      </c>
      <c r="DR7" s="118" t="str">
        <f t="shared" si="31"/>
        <v>.</v>
      </c>
      <c r="DS7" s="118">
        <f t="shared" si="32"/>
        <v>3.9397599999999998E-7</v>
      </c>
      <c r="DT7" s="118">
        <f t="shared" si="33"/>
        <v>1.9125048543689317E-7</v>
      </c>
      <c r="DU7" s="118" t="str">
        <f t="shared" si="34"/>
        <v>.</v>
      </c>
      <c r="DV7" s="118" t="str">
        <f t="shared" si="35"/>
        <v>.</v>
      </c>
      <c r="DW7" s="118" t="str">
        <f t="shared" si="36"/>
        <v>.</v>
      </c>
      <c r="DX7" s="118" t="str">
        <f t="shared" si="37"/>
        <v>.</v>
      </c>
      <c r="DY7" s="118" t="str">
        <f t="shared" si="38"/>
        <v>.</v>
      </c>
      <c r="DZ7" s="118" t="str">
        <f t="shared" si="39"/>
        <v>.</v>
      </c>
      <c r="EA7" s="118" t="str">
        <f t="shared" si="40"/>
        <v>.</v>
      </c>
      <c r="EB7" s="15">
        <f t="shared" si="47"/>
        <v>95.506085915415738</v>
      </c>
      <c r="EC7" s="40">
        <f t="shared" si="41"/>
        <v>27500</v>
      </c>
      <c r="ED7" s="40">
        <f>IFERROR(IF(s_RadSpec!D7&lt;&gt;"",s_C*s_IFA_far_adj*s_K*s_RadSpec!D7,0),".")</f>
        <v>0</v>
      </c>
      <c r="EE7" s="40">
        <f t="shared" si="42"/>
        <v>2.5114155251141552</v>
      </c>
      <c r="EF7" s="40">
        <f>s_b2w!CC7</f>
        <v>19097.962663471444</v>
      </c>
      <c r="EG7" s="40">
        <f>IFERROR(s_C*s_RadSpec!AJ7*(1/1000)*s_IFFI_far_adj*s_CF_far_fish,0)</f>
        <v>2268.75</v>
      </c>
      <c r="EH7" s="40">
        <f>IFERROR(s_C*s_RadSpec!AK7*(1/1000)*s_IFSF_far_adj*s_CF_far_shellfish,0)</f>
        <v>0</v>
      </c>
      <c r="EI7" s="40">
        <f>(s_C*s_IFB_far_adj*s_CF_far_beef*s_RadSpec!AI7*s_Q_w_beef*(1/1000))</f>
        <v>1.5125</v>
      </c>
      <c r="EJ7" s="40">
        <f>(s_C*s_IFD_far_adj*s_CF_far_dairy*s_RadSpec!AH7*(1/s_D_milk)*s_Q_w_dairy*(1/1000))</f>
        <v>0.73422330097087385</v>
      </c>
      <c r="EK7" s="40">
        <f>IFERROR((s_C*s_IFSW_far_adj*s_CF_far_swine*s_RadSpec!AN7*s_Q_w_swine*(1/1000)),0)</f>
        <v>0</v>
      </c>
      <c r="EL7" s="40">
        <f>IFERROR((s_C*s_IFP_far_adj*s_CF_far_poultry*s_RadSpec!AL7*s_Q_w_poultry*(1/1000)),0)</f>
        <v>0</v>
      </c>
      <c r="EM7" s="40">
        <f>IFERROR((s_C*s_IFE_far_adj*s_CF_far_egg*s_RadSpec!AM7*s_Q_w_egg*(1/1000)),0)</f>
        <v>0</v>
      </c>
      <c r="EN7" s="40">
        <f>IFERROR((s_C*s_IFGO_far_adj*s_CF_far_goat*s_RadSpec!AQ7*s_Q_p_goat*(1/1000)),0)</f>
        <v>0</v>
      </c>
      <c r="EO7" s="40">
        <f>IFERROR((s_C*s_IFGM_far_adj*s_CF_far_goat_milk*s_RadSpec!AR7*(1/s_D_milk)*s_Q_p_goat_milk*(1/1000)),0)</f>
        <v>0</v>
      </c>
      <c r="EP7" s="40">
        <f>IFERROR((s_C*s_IFSH_far_adj*s_CF_far_sheep*s_RadSpec!AO7*s_Q_p_sheep*(1/1000)),0)</f>
        <v>0</v>
      </c>
      <c r="EQ7" s="40">
        <f>IFERROR((s_C*s_IFSM_far_adj*s_CF_far_sheep_milk*s_RadSpec!AP7*(1/s_D_milk)*s_Q_p_sheep_milk*(1/1000)),0)</f>
        <v>0</v>
      </c>
      <c r="ER7" s="18"/>
      <c r="ES7" s="18"/>
      <c r="ET7" s="18"/>
      <c r="EU7" s="18"/>
      <c r="EV7" s="18"/>
      <c r="EW7" s="18"/>
      <c r="EX7" s="18"/>
      <c r="EY7" s="18"/>
      <c r="EZ7" s="18"/>
      <c r="FA7" s="18"/>
      <c r="FB7" s="18"/>
      <c r="FC7" s="18"/>
      <c r="FD7" s="18"/>
      <c r="FE7" s="18"/>
      <c r="FF7" s="18"/>
      <c r="FG7" s="5"/>
      <c r="FH7" s="15">
        <f>IFERROR((s_TR/(s_RadSpec!F7*s_IFA_far_adj)),".")</f>
        <v>10.958059738547544</v>
      </c>
      <c r="FI7" s="15">
        <f>IFERROR((s_TR/(s_RadSpec!K7*s_EF_far*(1/365)*s_ED_far*s_ET_far*(1/24)*s_GSF_a)),".")</f>
        <v>6022371.1809534831</v>
      </c>
      <c r="FJ7" s="15">
        <f t="shared" si="49"/>
        <v>10.958039799747503</v>
      </c>
      <c r="FK7" s="40">
        <f t="shared" si="44"/>
        <v>10026.041666666666</v>
      </c>
      <c r="FL7" s="40">
        <f t="shared" si="45"/>
        <v>1.5696347031963471</v>
      </c>
      <c r="FM7" s="120"/>
      <c r="FN7" s="120"/>
      <c r="FO7" s="120"/>
    </row>
    <row r="8" spans="1:171" customFormat="1" x14ac:dyDescent="0.25">
      <c r="A8" s="44" t="s">
        <v>18</v>
      </c>
      <c r="B8" s="42" t="s">
        <v>1071</v>
      </c>
      <c r="C8" s="42"/>
      <c r="D8" s="15">
        <f>s_dir!AC8</f>
        <v>115.13601016881242</v>
      </c>
      <c r="E8" s="15">
        <f>IFERROR(s_TR/(s_RadSpec!H8*s_IFP_far_adj*s_CF_far_poultry),".")</f>
        <v>460.54404067524968</v>
      </c>
      <c r="F8" s="15">
        <f>IFERROR(s_TR/(s_RadSpec!H8*s_IFE_far_adj*s_CF_far_egg),".")</f>
        <v>460.54404067524968</v>
      </c>
      <c r="G8" s="15">
        <f>IFERROR(s_TR/(s_RadSpec!H8*s_IFB_far_adj*s_CF_far_beef),".")</f>
        <v>460.54404067524968</v>
      </c>
      <c r="H8" s="15">
        <f>IFERROR(s_TR/(s_RadSpec!H8*s_IFD_far_adj*s_CF_far_dairy),".")</f>
        <v>460.54404067524968</v>
      </c>
      <c r="I8" s="15">
        <f>IFERROR(s_TR/(s_RadSpec!H8*s_IFSW_far_adj*s_CF_far_swine),".")</f>
        <v>460.54404067524968</v>
      </c>
      <c r="J8" s="15">
        <f>IFERROR(s_TR/(s_RadSpec!H8*s_IFFI_far_adj*s_CF_far_fish),".")</f>
        <v>460.54404067524968</v>
      </c>
      <c r="K8" s="15">
        <f>IFERROR(s_TR/(s_RadSpec!H8*s_IFSF_far_adj*s_CF_far_shellfish),".")</f>
        <v>460.54404067524968</v>
      </c>
      <c r="L8" s="15">
        <f>IFERROR(s_TR/(s_RadSpec!H8*s_IFGO_far_adj*s_CF_far_goat),".")</f>
        <v>460.54404067524968</v>
      </c>
      <c r="M8" s="15">
        <f>IFERROR(s_TR/(s_RadSpec!H8*s_IFSH_far_adj*s_CF_far_sheep),".")</f>
        <v>460.54404067524968</v>
      </c>
      <c r="N8" s="15">
        <f>IFERROR(s_TR/(s_RadSpec!H8*s_IFGM_far_adj*s_CF_far_goat_milk),".")</f>
        <v>460.54404067524968</v>
      </c>
      <c r="O8" s="15">
        <f>IFERROR(s_TR/(s_RadSpec!H8*s_IFSM_far_adj*s_CF_far_sheep_milk),".")</f>
        <v>460.54404067524968</v>
      </c>
      <c r="P8" s="40">
        <f>s_dir!BC8</f>
        <v>605000</v>
      </c>
      <c r="Q8" s="40">
        <f t="shared" si="0"/>
        <v>151250</v>
      </c>
      <c r="R8" s="40">
        <f t="shared" si="1"/>
        <v>151250</v>
      </c>
      <c r="S8" s="40">
        <f t="shared" si="2"/>
        <v>151250</v>
      </c>
      <c r="T8" s="40">
        <f t="shared" si="3"/>
        <v>151250</v>
      </c>
      <c r="U8" s="40">
        <f t="shared" si="4"/>
        <v>151250</v>
      </c>
      <c r="V8" s="40">
        <f t="shared" si="5"/>
        <v>151250</v>
      </c>
      <c r="W8" s="40">
        <f t="shared" si="6"/>
        <v>151250</v>
      </c>
      <c r="X8" s="40">
        <f t="shared" si="7"/>
        <v>151250</v>
      </c>
      <c r="Y8" s="40">
        <f t="shared" si="8"/>
        <v>151250</v>
      </c>
      <c r="Z8" s="40">
        <f t="shared" si="9"/>
        <v>151250</v>
      </c>
      <c r="AA8" s="40">
        <f t="shared" si="10"/>
        <v>151250</v>
      </c>
      <c r="AB8" s="5"/>
      <c r="AC8" s="5"/>
      <c r="AD8" s="5"/>
      <c r="AE8" s="5"/>
      <c r="AF8" s="5"/>
      <c r="AG8" s="5"/>
      <c r="AH8" s="5"/>
      <c r="AI8" s="5"/>
      <c r="AJ8" s="5"/>
      <c r="AK8" s="5"/>
      <c r="AL8" s="5"/>
      <c r="AM8" s="5"/>
      <c r="AN8" s="45">
        <f>IFERROR((s_TR/(s_RadSpec!E8*s_IFS_far_adj*(1/1000)))*1,".")</f>
        <v>138735.31660092928</v>
      </c>
      <c r="AO8" s="45">
        <f>IFERROR(IF(A8="H-3",(s_TR/(s_RadSpec!F8*s_IFA_far_adj*(1/17)*1000))*1,(s_TR/(s_RadSpec!F8*s_IFA_far_adj*(1/s_PEF_wind)*1000))*1),".")</f>
        <v>20878322.872934401</v>
      </c>
      <c r="AP8" s="45">
        <f>IFERROR((s_TR/(s_RadSpec!G8*s_EF_far*(1/365)*s_ED_far*s_RadSpec!R8*((s_ET_far_o*(1/24)*s_RadSpec!W8)+(s_ET_far_i*(1/24)*s_RadSpec!AB8))))*1,".")</f>
        <v>202.58823033415973</v>
      </c>
      <c r="AQ8" s="45">
        <f>s_b2s!BC8</f>
        <v>1014.4141865093603</v>
      </c>
      <c r="AR8" s="45">
        <f>IFERROR(((J8*s_RadSpec!AU8)/s_RadSpec!AJ8)*1,".")</f>
        <v>14737.40930160799</v>
      </c>
      <c r="AS8" s="45" t="str">
        <f>IFERROR(((K8*s_RadSpec!AU8)/s_RadSpec!AK8)*1,".")</f>
        <v>.</v>
      </c>
      <c r="AT8" s="45">
        <f>IFERROR((G8/(s_RadSpec!AI8*((s_Q_p_beef*s_f_p_beef*s_f_s_beef*(s_RadSpec!BD8+s_R_es_past))+(s_Q_s_beef*s_f_p_beef))))*1,".")</f>
        <v>1535.1468022508323</v>
      </c>
      <c r="AU8" s="45">
        <f>IFERROR(((H8*s_D_milk)/(s_RadSpec!AH8*((s_Q_p_dairy*s_f_p_dairy*s_f_s_dairy*(s_RadSpec!BD8+s_R_es_past))+(s_Q_s_dairy*s_f_p_dairy))))*1,".")</f>
        <v>3162.4024126367149</v>
      </c>
      <c r="AV8" s="45" t="str">
        <f>IFERROR((I8/(s_RadSpec!AN8*((s_Q_p_swine*s_f_p_swine*s_f_s_swine*(s_RadSpec!BD8+s_R_es_past))+(s_Q_s_swine*s_f_p_swine))))*1,".")</f>
        <v>.</v>
      </c>
      <c r="AW8" s="45" t="str">
        <f>IFERROR((E8/(s_RadSpec!AL8*((s_Q_p_poultry*s_f_p_poultry*s_f_s_poultry*(s_RadSpec!BD8+s_R_es_past))+(s_Q_s_poultry*s_f_p_poultry))))*1,".")</f>
        <v>.</v>
      </c>
      <c r="AX8" s="45" t="str">
        <f>IFERROR((F8/(s_RadSpec!AM8*((s_Q_p_poultry*s_f_p_poultry*s_f_s_poultry*(s_RadSpec!BD8+s_R_es_past))+(s_Q_s_poultry*s_f_p_poultry))))*1,".")</f>
        <v>.</v>
      </c>
      <c r="AY8" s="45" t="str">
        <f>IFERROR((L8/(s_RadSpec!AQ8*((s_Q_p_goat*s_f_p_goat*s_f_s_goat*(s_RadSpec!BD8+s_R_es_past))+(s_Q_s_goat*s_f_p_goat))))*1,".")</f>
        <v>.</v>
      </c>
      <c r="AZ8" s="45" t="str">
        <f>IFERROR((N8*s_D_milk/(s_RadSpec!AR8*((s_Q_p_goat_milk*s_f_p_goat_milk*s_f_s_goat_milk*(s_RadSpec!BD8+s_R_es_past))+(s_Q_s_goat_milk*s_f_p_goat_milk))))*1,".")</f>
        <v>.</v>
      </c>
      <c r="BA8" s="45" t="str">
        <f>IFERROR((M8/(s_RadSpec!AO8*((s_Q_p_sheep*s_f_p_sheep*s_f_s_sheep*(s_RadSpec!BD8+s_R_es_past))+(s_Q_s_sheep*s_f_p_sheep))))*1,".")</f>
        <v>.</v>
      </c>
      <c r="BB8" s="45" t="str">
        <f>IFERROR((O8*s_D_milk/(s_RadSpec!AP8*((s_Q_p_sheep_milk*s_f_p_sheep_milk*s_f_s_sheep_milk*(s_RadSpec!BD8+s_R_es_past))+(s_Q_s_sheep_milk*s_f_p_sheep_milk))))*1,".")</f>
        <v>.</v>
      </c>
      <c r="BC8" s="118">
        <f t="shared" si="11"/>
        <v>7.2079699999999982E-6</v>
      </c>
      <c r="BD8" s="118">
        <f t="shared" si="12"/>
        <v>4.7896567463105443E-8</v>
      </c>
      <c r="BE8" s="118">
        <f t="shared" si="13"/>
        <v>4.9361209106301342E-3</v>
      </c>
      <c r="BF8" s="118">
        <f t="shared" si="14"/>
        <v>9.8579063000000015E-4</v>
      </c>
      <c r="BG8" s="118">
        <f t="shared" si="15"/>
        <v>6.7854531249999996E-5</v>
      </c>
      <c r="BH8" s="118" t="str">
        <f t="shared" si="15"/>
        <v>.</v>
      </c>
      <c r="BI8" s="118">
        <f t="shared" si="16"/>
        <v>6.5140350000000001E-4</v>
      </c>
      <c r="BJ8" s="118">
        <f t="shared" si="17"/>
        <v>3.1621529126213589E-4</v>
      </c>
      <c r="BK8" s="118" t="str">
        <f t="shared" si="18"/>
        <v>.</v>
      </c>
      <c r="BL8" s="118" t="str">
        <f t="shared" si="19"/>
        <v>.</v>
      </c>
      <c r="BM8" s="118" t="str">
        <f t="shared" si="20"/>
        <v>.</v>
      </c>
      <c r="BN8" s="118" t="str">
        <f t="shared" si="21"/>
        <v>.</v>
      </c>
      <c r="BO8" s="118" t="str">
        <f t="shared" si="22"/>
        <v>.</v>
      </c>
      <c r="BP8" s="118" t="str">
        <f t="shared" si="23"/>
        <v>.</v>
      </c>
      <c r="BQ8" s="118" t="str">
        <f t="shared" si="24"/>
        <v>.</v>
      </c>
      <c r="BR8" s="15">
        <f t="shared" si="46"/>
        <v>143.58242424971104</v>
      </c>
      <c r="BS8" s="40">
        <f t="shared" si="25"/>
        <v>302.5</v>
      </c>
      <c r="BT8" s="40">
        <f t="shared" si="26"/>
        <v>3.2362545583179352E-2</v>
      </c>
      <c r="BU8" s="40">
        <f>IFERROR((s_C*s_EF_far*(1/365)*s_ED_far*s_RadSpec!R8*((s_ET_far_o*(1/24)*s_RadSpec!W8)+(s_ET_far_i*(1/24)*s_RadSpec!AB8))),".")</f>
        <v>0.45456621004566183</v>
      </c>
      <c r="BV8" s="40">
        <f>s_b2s!CC8</f>
        <v>68667.5</v>
      </c>
      <c r="BW8" s="40">
        <f>IFERROR(((s_C*s_RadSpec!AJ8)/s_RadSpec!AU8)*s_IFFI_far_adj*s_CF_far_fish,0)</f>
        <v>4726.5625</v>
      </c>
      <c r="BX8" s="40">
        <f>IFERROR(((s_C*s_RadSpec!AK8)/s_RadSpec!AU8)*s_IFSF_far_adj*s_CF_far_shellfish,0)</f>
        <v>0</v>
      </c>
      <c r="BY8" s="40">
        <f>(s_C*s_IFB_far_adj*s_CF_far_beef*s_RadSpec!AI8*((s_Q_p_beef*s_f_p_beef*s_f_s_beef*(s_RadSpec!$AT8+s_R_es_past))+(s_Q_s_beef*s_f_p_beef)))</f>
        <v>45375</v>
      </c>
      <c r="BZ8" s="40">
        <f>(s_C*s_IFD_far_adj*s_CF_far_dairy*s_RadSpec!AH8*1/s_D_milk*((s_Q_p_dairy*s_f_p_dairy*s_f_s_dairy*(s_RadSpec!$AT8+s_R_es_past))+(s_Q_s_dairy*s_f_p_dairy)))</f>
        <v>22026.699029126215</v>
      </c>
      <c r="CA8" s="40">
        <f>IFERROR((s_C*s_IFSW_far_adj*s_CF_far_swine*s_RadSpec!AN8*((s_Q_p_swine*s_f_p_swine*s_f_s_swine*(s_RadSpec!$AT8+s_R_es_past))+(s_Q_s_swine*s_f_p_swine))),0)</f>
        <v>0</v>
      </c>
      <c r="CB8" s="40">
        <f>IFERROR((s_C*s_IFP_far_adj*s_CF_far_poultry*s_RadSpec!AL8*((s_Q_p_poultry*s_f_p_poultry*s_f_s_poultry*(s_RadSpec!AT8+s_R_es_past))+(s_Q_s_poultry*s_f_p_poultry))),0)</f>
        <v>0</v>
      </c>
      <c r="CC8" s="40">
        <f>IFERROR((s_C*s_IFE_far_adj*s_CF_far_egg*s_RadSpec!AM8*((s_Q_p_egg*s_f_p_egg*s_f_s_egg*(s_RadSpec!$AT8+s_R_es_past))+(s_Q_s_egg*s_f_p_egg))),0)</f>
        <v>0</v>
      </c>
      <c r="CD8" s="40">
        <f>IFERROR((s_C*s_IFGO_far_adj*s_CF_far_goat*s_RadSpec!AQ8*((s_Q_p_goat*s_f_p_goat*s_f_s_goat*(s_RadSpec!$AT8+s_R_es_past))+(s_Q_s_goat*s_f_p_goat))),0)</f>
        <v>0</v>
      </c>
      <c r="CE8" s="40">
        <f>IFERROR((s_C*s_IFGM_far_adj*s_CF_far_goat_milk*s_RadSpec!AR8*1/s_D_milk*((s_Q_p_goat_milk*s_f_p_goat_milk*s_f_s_goat_milk*(s_RadSpec!$AT8+s_R_es_past))+(s_Q_s_goat_milk*s_f_p_goat_milk))),0)</f>
        <v>0</v>
      </c>
      <c r="CF8" s="40">
        <f>IFERROR((s_C*s_IFSH_far_adj*s_CF_far_sheep*s_RadSpec!AO8*((s_Q_p_sheep*s_f_p_sheep*s_f_s_sheep*(s_RadSpec!$AT8+s_R_es_past))+(s_Q_s_sheep*s_f_p_sheep))),0)</f>
        <v>0</v>
      </c>
      <c r="CG8" s="40">
        <f>IFERROR((s_C*s_IFSM_far_adj*s_CF_far_sheep_milk*s_RadSpec!AP8*1/s_D_milk*((s_Q_p_sheep_milk*s_f_p_sheep_milk*s_f_s_sheep_milk*(s_RadSpec!$AT8+s_R_es_past))+(s_Q_s_sheep_milk*s_f_p_sheep_milk))),0)</f>
        <v>0</v>
      </c>
      <c r="CH8" s="18"/>
      <c r="CI8" s="18"/>
      <c r="CJ8" s="18"/>
      <c r="CK8" s="18"/>
      <c r="CL8" s="18"/>
      <c r="CM8" s="18"/>
      <c r="CN8" s="18"/>
      <c r="CO8" s="18"/>
      <c r="CP8" s="18"/>
      <c r="CQ8" s="18"/>
      <c r="CR8" s="18"/>
      <c r="CS8" s="18"/>
      <c r="CT8" s="18"/>
      <c r="CU8" s="18"/>
      <c r="CV8" s="18"/>
      <c r="CW8" s="5"/>
      <c r="CX8" s="15">
        <f>IFERROR(s_TR/(s_RadSpec!I8*s_IFW_far_adj),".")</f>
        <v>3586.8649007335139</v>
      </c>
      <c r="CY8" s="15" t="str">
        <f>IFERROR(IF(AND(s_RadSpec!C8=1,s_RadSpec!D8&lt;&gt;0),s_TR/(s_RadSpec!F8*s_IFA_far_adj*s_K*s_RadSpec!D8),"."),".")</f>
        <v>.</v>
      </c>
      <c r="CZ8" s="15">
        <f>IFERROR((s_TR/(s_RadSpec!M8*(1/8760)*s_DFA_far_adj)),".")</f>
        <v>17223069.097044997</v>
      </c>
      <c r="DA8" s="15">
        <f>s_b2w!BC8</f>
        <v>3647.3673857036374</v>
      </c>
      <c r="DB8" s="15">
        <f>IFERROR(J8/(s_RadSpec!AJ8*(1/1000)),".")</f>
        <v>30702.936045016646</v>
      </c>
      <c r="DC8" s="15" t="str">
        <f>IFERROR(K8/(s_RadSpec!AK8*(1/1000)),".")</f>
        <v>.</v>
      </c>
      <c r="DD8" s="15">
        <f>IFERROR(G8/(s_RadSpec!AI8*s_Q_w_beef*(1/1000)),".")</f>
        <v>46054404.067524962</v>
      </c>
      <c r="DE8" s="15">
        <f>IFERROR((H8*s_D_milk)/(s_RadSpec!AH8*s_Q_w_dairy*(1/1000)),".")</f>
        <v>94872072.379101425</v>
      </c>
      <c r="DF8" s="15" t="str">
        <f>IFERROR(I8/(s_RadSpec!AN8*s_Q_w_swine*(1/1000)),".")</f>
        <v>.</v>
      </c>
      <c r="DG8" s="15" t="str">
        <f>IFERROR(E8/(s_RadSpec!AL8*s_Q_w_poultry*(1/1000)),".")</f>
        <v>.</v>
      </c>
      <c r="DH8" s="15" t="str">
        <f>IFERROR(F8/(s_RadSpec!AM8*s_Q_w_poultry*(1/1000)),".")</f>
        <v>.</v>
      </c>
      <c r="DI8" s="15" t="str">
        <f>IFERROR(L8/(s_RadSpec!AQ8*s_Q_w_goat*(1/1000)),".")</f>
        <v>.</v>
      </c>
      <c r="DJ8" s="15" t="str">
        <f>IFERROR(N8*s_D_milk/(s_RadSpec!AR8*s_Q_w_goat_milk*(1/1000)),".")</f>
        <v>.</v>
      </c>
      <c r="DK8" s="15" t="str">
        <f>IFERROR(M8/(s_RadSpec!AO8*s_Q_w_sheep*(1/1000)),".")</f>
        <v>.</v>
      </c>
      <c r="DL8" s="15" t="str">
        <f>IFERROR(O8*s_D_milk/(s_RadSpec!AP8*s_Q_w_sheep_milk*(1/1000)),".")</f>
        <v>.</v>
      </c>
      <c r="DM8" s="118">
        <f t="shared" si="27"/>
        <v>2.7879499999999998E-4</v>
      </c>
      <c r="DN8" s="118" t="str">
        <f t="shared" si="28"/>
        <v>.</v>
      </c>
      <c r="DO8" s="118">
        <f t="shared" si="29"/>
        <v>5.8061661041095883E-8</v>
      </c>
      <c r="DP8" s="118">
        <f t="shared" si="30"/>
        <v>2.7417035199679604E-4</v>
      </c>
      <c r="DQ8" s="118">
        <f t="shared" si="31"/>
        <v>3.2570175E-5</v>
      </c>
      <c r="DR8" s="118" t="str">
        <f t="shared" si="31"/>
        <v>.</v>
      </c>
      <c r="DS8" s="118">
        <f t="shared" si="32"/>
        <v>2.1713450000000002E-8</v>
      </c>
      <c r="DT8" s="118">
        <f t="shared" si="33"/>
        <v>1.0540509708737865E-8</v>
      </c>
      <c r="DU8" s="118" t="str">
        <f t="shared" si="34"/>
        <v>.</v>
      </c>
      <c r="DV8" s="118" t="str">
        <f t="shared" si="35"/>
        <v>.</v>
      </c>
      <c r="DW8" s="118" t="str">
        <f t="shared" si="36"/>
        <v>.</v>
      </c>
      <c r="DX8" s="118" t="str">
        <f t="shared" si="37"/>
        <v>.</v>
      </c>
      <c r="DY8" s="118" t="str">
        <f t="shared" si="38"/>
        <v>.</v>
      </c>
      <c r="DZ8" s="118" t="str">
        <f t="shared" si="39"/>
        <v>.</v>
      </c>
      <c r="EA8" s="118" t="str">
        <f t="shared" si="40"/>
        <v>.</v>
      </c>
      <c r="EB8" s="15">
        <f t="shared" si="47"/>
        <v>1707.574917681816</v>
      </c>
      <c r="EC8" s="40">
        <f t="shared" si="41"/>
        <v>27500</v>
      </c>
      <c r="ED8" s="40">
        <f>IFERROR(IF(s_RadSpec!D8&lt;&gt;"",s_C*s_IFA_far_adj*s_K*s_RadSpec!D8,0),".")</f>
        <v>0</v>
      </c>
      <c r="EE8" s="40">
        <f t="shared" si="42"/>
        <v>2.5114155251141552</v>
      </c>
      <c r="EF8" s="40">
        <f>s_b2w!CC8</f>
        <v>19097.962663471444</v>
      </c>
      <c r="EG8" s="40">
        <f>IFERROR(s_C*s_RadSpec!AJ8*(1/1000)*s_IFFI_far_adj*s_CF_far_fish,0)</f>
        <v>2268.75</v>
      </c>
      <c r="EH8" s="40">
        <f>IFERROR(s_C*s_RadSpec!AK8*(1/1000)*s_IFSF_far_adj*s_CF_far_shellfish,0)</f>
        <v>0</v>
      </c>
      <c r="EI8" s="40">
        <f>(s_C*s_IFB_far_adj*s_CF_far_beef*s_RadSpec!AI8*s_Q_w_beef*(1/1000))</f>
        <v>1.5125</v>
      </c>
      <c r="EJ8" s="40">
        <f>(s_C*s_IFD_far_adj*s_CF_far_dairy*s_RadSpec!AH8*(1/s_D_milk)*s_Q_w_dairy*(1/1000))</f>
        <v>0.73422330097087385</v>
      </c>
      <c r="EK8" s="40">
        <f>IFERROR((s_C*s_IFSW_far_adj*s_CF_far_swine*s_RadSpec!AN8*s_Q_w_swine*(1/1000)),0)</f>
        <v>0</v>
      </c>
      <c r="EL8" s="40">
        <f>IFERROR((s_C*s_IFP_far_adj*s_CF_far_poultry*s_RadSpec!AL8*s_Q_w_poultry*(1/1000)),0)</f>
        <v>0</v>
      </c>
      <c r="EM8" s="40">
        <f>IFERROR((s_C*s_IFE_far_adj*s_CF_far_egg*s_RadSpec!AM8*s_Q_w_egg*(1/1000)),0)</f>
        <v>0</v>
      </c>
      <c r="EN8" s="40">
        <f>IFERROR((s_C*s_IFGO_far_adj*s_CF_far_goat*s_RadSpec!AQ8*s_Q_p_goat*(1/1000)),0)</f>
        <v>0</v>
      </c>
      <c r="EO8" s="40">
        <f>IFERROR((s_C*s_IFGM_far_adj*s_CF_far_goat_milk*s_RadSpec!AR8*(1/s_D_milk)*s_Q_p_goat_milk*(1/1000)),0)</f>
        <v>0</v>
      </c>
      <c r="EP8" s="40">
        <f>IFERROR((s_C*s_IFSH_far_adj*s_CF_far_sheep*s_RadSpec!AO8*s_Q_p_sheep*(1/1000)),0)</f>
        <v>0</v>
      </c>
      <c r="EQ8" s="40">
        <f>IFERROR((s_C*s_IFSM_far_adj*s_CF_far_sheep_milk*s_RadSpec!AP8*(1/s_D_milk)*s_Q_p_sheep_milk*(1/1000)),0)</f>
        <v>0</v>
      </c>
      <c r="ER8" s="18"/>
      <c r="ES8" s="18"/>
      <c r="ET8" s="18"/>
      <c r="EU8" s="18"/>
      <c r="EV8" s="18"/>
      <c r="EW8" s="18"/>
      <c r="EX8" s="18"/>
      <c r="EY8" s="18"/>
      <c r="EZ8" s="18"/>
      <c r="FA8" s="18"/>
      <c r="FB8" s="18"/>
      <c r="FC8" s="18"/>
      <c r="FD8" s="18"/>
      <c r="FE8" s="18"/>
      <c r="FF8" s="18"/>
      <c r="FG8" s="5"/>
      <c r="FH8" s="15">
        <f>IFERROR((s_TR/(s_RadSpec!F8*s_IFA_far_adj)),".")</f>
        <v>67.392067392067403</v>
      </c>
      <c r="FI8" s="15">
        <f>IFERROR((s_TR/(s_RadSpec!K8*s_EF_far*(1/365)*s_ED_far*s_ET_far*(1/24)*s_GSF_a)),".")</f>
        <v>59827.503179208943</v>
      </c>
      <c r="FJ8" s="15">
        <f t="shared" si="49"/>
        <v>67.316239715456931</v>
      </c>
      <c r="FK8" s="40">
        <f t="shared" si="44"/>
        <v>10026.041666666666</v>
      </c>
      <c r="FL8" s="40">
        <f t="shared" si="45"/>
        <v>1.5696347031963471</v>
      </c>
      <c r="FM8" s="120"/>
      <c r="FN8" s="120"/>
      <c r="FO8" s="120"/>
    </row>
    <row r="9" spans="1:171" customFormat="1" x14ac:dyDescent="0.25">
      <c r="A9" s="44" t="s">
        <v>19</v>
      </c>
      <c r="B9" s="42" t="s">
        <v>1071</v>
      </c>
      <c r="C9" s="249"/>
      <c r="D9" s="15">
        <f>s_dir!AC9</f>
        <v>311.52560631449938</v>
      </c>
      <c r="E9" s="15">
        <f>IFERROR(s_TR/(s_RadSpec!H9*s_IFP_far_adj*s_CF_far_poultry),".")</f>
        <v>1246.1024252579975</v>
      </c>
      <c r="F9" s="15">
        <f>IFERROR(s_TR/(s_RadSpec!H9*s_IFE_far_adj*s_CF_far_egg),".")</f>
        <v>1246.1024252579975</v>
      </c>
      <c r="G9" s="15">
        <f>IFERROR(s_TR/(s_RadSpec!H9*s_IFB_far_adj*s_CF_far_beef),".")</f>
        <v>1246.1024252579975</v>
      </c>
      <c r="H9" s="15">
        <f>IFERROR(s_TR/(s_RadSpec!H9*s_IFD_far_adj*s_CF_far_dairy),".")</f>
        <v>1246.1024252579975</v>
      </c>
      <c r="I9" s="15">
        <f>IFERROR(s_TR/(s_RadSpec!H9*s_IFSW_far_adj*s_CF_far_swine),".")</f>
        <v>1246.1024252579975</v>
      </c>
      <c r="J9" s="15">
        <f>IFERROR(s_TR/(s_RadSpec!H9*s_IFFI_far_adj*s_CF_far_fish),".")</f>
        <v>1246.1024252579975</v>
      </c>
      <c r="K9" s="15">
        <f>IFERROR(s_TR/(s_RadSpec!H9*s_IFSF_far_adj*s_CF_far_shellfish),".")</f>
        <v>1246.1024252579975</v>
      </c>
      <c r="L9" s="15">
        <f>IFERROR(s_TR/(s_RadSpec!H9*s_IFGO_far_adj*s_CF_far_goat),".")</f>
        <v>1246.1024252579975</v>
      </c>
      <c r="M9" s="15">
        <f>IFERROR(s_TR/(s_RadSpec!H9*s_IFSH_far_adj*s_CF_far_sheep),".")</f>
        <v>1246.1024252579975</v>
      </c>
      <c r="N9" s="15">
        <f>IFERROR(s_TR/(s_RadSpec!H9*s_IFGM_far_adj*s_CF_far_goat_milk),".")</f>
        <v>1246.1024252579975</v>
      </c>
      <c r="O9" s="15">
        <f>IFERROR(s_TR/(s_RadSpec!H9*s_IFSM_far_adj*s_CF_far_sheep_milk),".")</f>
        <v>1246.1024252579975</v>
      </c>
      <c r="P9" s="40">
        <f>s_dir!BC9</f>
        <v>605000</v>
      </c>
      <c r="Q9" s="40">
        <f t="shared" si="0"/>
        <v>151250</v>
      </c>
      <c r="R9" s="40">
        <f t="shared" si="1"/>
        <v>151250</v>
      </c>
      <c r="S9" s="40">
        <f t="shared" si="2"/>
        <v>151250</v>
      </c>
      <c r="T9" s="40">
        <f t="shared" si="3"/>
        <v>151250</v>
      </c>
      <c r="U9" s="40">
        <f t="shared" si="4"/>
        <v>151250</v>
      </c>
      <c r="V9" s="40">
        <f t="shared" si="5"/>
        <v>151250</v>
      </c>
      <c r="W9" s="40">
        <f t="shared" si="6"/>
        <v>151250</v>
      </c>
      <c r="X9" s="40">
        <f t="shared" si="7"/>
        <v>151250</v>
      </c>
      <c r="Y9" s="40">
        <f t="shared" si="8"/>
        <v>151250</v>
      </c>
      <c r="Z9" s="40">
        <f t="shared" si="9"/>
        <v>151250</v>
      </c>
      <c r="AA9" s="40">
        <f t="shared" si="10"/>
        <v>151250</v>
      </c>
      <c r="AB9" s="5"/>
      <c r="AC9" s="5"/>
      <c r="AD9" s="5"/>
      <c r="AE9" s="5"/>
      <c r="AF9" s="5"/>
      <c r="AG9" s="5"/>
      <c r="AH9" s="5"/>
      <c r="AI9" s="5"/>
      <c r="AJ9" s="5"/>
      <c r="AK9" s="5"/>
      <c r="AL9" s="5"/>
      <c r="AM9" s="5"/>
      <c r="AN9" s="45">
        <f>IFERROR((s_TR/(s_RadSpec!E9*s_IFS_far_adj*(1/1000)))*1,".")</f>
        <v>409841.94445412129</v>
      </c>
      <c r="AO9" s="45">
        <f>IFERROR(IF(A9="H-3",(s_TR/(s_RadSpec!F9*s_IFA_far_adj*(1/17)*1000))*1,(s_TR/(s_RadSpec!F9*s_IFA_far_adj*(1/s_PEF_wind)*1000))*1),".")</f>
        <v>24999933.537170645</v>
      </c>
      <c r="AP9" s="45">
        <f>IFERROR((s_TR/(s_RadSpec!G9*s_EF_far*(1/365)*s_ED_far*s_RadSpec!R9*((s_ET_far_o*(1/24)*s_RadSpec!W9)+(s_ET_far_i*(1/24)*s_RadSpec!AB9))))*1,".")</f>
        <v>7.375852244258704</v>
      </c>
      <c r="AQ9" s="45">
        <f>s_b2s!BC9</f>
        <v>2744.7189983656331</v>
      </c>
      <c r="AR9" s="45">
        <f>IFERROR(((J9*s_RadSpec!AU9)/s_RadSpec!AJ9)*1,".")</f>
        <v>39875.277608255921</v>
      </c>
      <c r="AS9" s="45" t="str">
        <f>IFERROR(((K9*s_RadSpec!AU9)/s_RadSpec!AK9)*1,".")</f>
        <v>.</v>
      </c>
      <c r="AT9" s="45">
        <f>IFERROR((G9/(s_RadSpec!AI9*((s_Q_p_beef*s_f_p_beef*s_f_s_beef*(s_RadSpec!BD9+s_R_es_past))+(s_Q_s_beef*s_f_p_beef))))*1,".")</f>
        <v>4153.6747508599919</v>
      </c>
      <c r="AU9" s="45">
        <f>IFERROR(((H9*s_D_milk)/(s_RadSpec!AH9*((s_Q_p_dairy*s_f_p_dairy*s_f_s_dairy*(s_RadSpec!BD9+s_R_es_past))+(s_Q_s_dairy*s_f_p_dairy))))*1,".")</f>
        <v>8556.569986771583</v>
      </c>
      <c r="AV9" s="45" t="str">
        <f>IFERROR((I9/(s_RadSpec!AN9*((s_Q_p_swine*s_f_p_swine*s_f_s_swine*(s_RadSpec!BD9+s_R_es_past))+(s_Q_s_swine*s_f_p_swine))))*1,".")</f>
        <v>.</v>
      </c>
      <c r="AW9" s="45" t="str">
        <f>IFERROR((E9/(s_RadSpec!AL9*((s_Q_p_poultry*s_f_p_poultry*s_f_s_poultry*(s_RadSpec!BD9+s_R_es_past))+(s_Q_s_poultry*s_f_p_poultry))))*1,".")</f>
        <v>.</v>
      </c>
      <c r="AX9" s="45" t="str">
        <f>IFERROR((F9/(s_RadSpec!AM9*((s_Q_p_poultry*s_f_p_poultry*s_f_s_poultry*(s_RadSpec!BD9+s_R_es_past))+(s_Q_s_poultry*s_f_p_poultry))))*1,".")</f>
        <v>.</v>
      </c>
      <c r="AY9" s="45" t="str">
        <f>IFERROR((L9/(s_RadSpec!AQ9*((s_Q_p_goat*s_f_p_goat*s_f_s_goat*(s_RadSpec!BD9+s_R_es_past))+(s_Q_s_goat*s_f_p_goat))))*1,".")</f>
        <v>.</v>
      </c>
      <c r="AZ9" s="45" t="str">
        <f>IFERROR((N9*s_D_milk/(s_RadSpec!AR9*((s_Q_p_goat_milk*s_f_p_goat_milk*s_f_s_goat_milk*(s_RadSpec!BD9+s_R_es_past))+(s_Q_s_goat_milk*s_f_p_goat_milk))))*1,".")</f>
        <v>.</v>
      </c>
      <c r="BA9" s="45" t="str">
        <f>IFERROR((M9/(s_RadSpec!AO9*((s_Q_p_sheep*s_f_p_sheep*s_f_s_sheep*(s_RadSpec!BD9+s_R_es_past))+(s_Q_s_sheep*s_f_p_sheep))))*1,".")</f>
        <v>.</v>
      </c>
      <c r="BB9" s="45" t="str">
        <f>IFERROR((O9*s_D_milk/(s_RadSpec!AP9*((s_Q_p_sheep_milk*s_f_p_sheep_milk*s_f_s_sheep_milk*(s_RadSpec!BD9+s_R_es_past))+(s_Q_s_sheep_milk*s_f_p_sheep_milk))))*1,".")</f>
        <v>.</v>
      </c>
      <c r="BC9" s="118">
        <f t="shared" si="11"/>
        <v>2.439965E-6</v>
      </c>
      <c r="BD9" s="118">
        <f t="shared" si="12"/>
        <v>4.0000106340809677E-8</v>
      </c>
      <c r="BE9" s="118">
        <f t="shared" si="13"/>
        <v>0.1355775531943974</v>
      </c>
      <c r="BF9" s="118">
        <f t="shared" si="14"/>
        <v>3.6433602150000007E-4</v>
      </c>
      <c r="BG9" s="118">
        <f t="shared" si="15"/>
        <v>2.5078195312500005E-5</v>
      </c>
      <c r="BH9" s="118" t="str">
        <f t="shared" si="15"/>
        <v>.</v>
      </c>
      <c r="BI9" s="118">
        <f t="shared" si="16"/>
        <v>2.4075067500000004E-4</v>
      </c>
      <c r="BJ9" s="118">
        <f t="shared" si="17"/>
        <v>1.1686925970873788E-4</v>
      </c>
      <c r="BK9" s="118" t="str">
        <f t="shared" si="18"/>
        <v>.</v>
      </c>
      <c r="BL9" s="118" t="str">
        <f t="shared" si="19"/>
        <v>.</v>
      </c>
      <c r="BM9" s="118" t="str">
        <f t="shared" si="20"/>
        <v>.</v>
      </c>
      <c r="BN9" s="118" t="str">
        <f t="shared" si="21"/>
        <v>.</v>
      </c>
      <c r="BO9" s="118" t="str">
        <f t="shared" si="22"/>
        <v>.</v>
      </c>
      <c r="BP9" s="118" t="str">
        <f t="shared" si="23"/>
        <v>.</v>
      </c>
      <c r="BQ9" s="118" t="str">
        <f t="shared" si="24"/>
        <v>.</v>
      </c>
      <c r="BR9" s="15">
        <f t="shared" si="46"/>
        <v>7.3353004632494461</v>
      </c>
      <c r="BS9" s="40">
        <f t="shared" si="25"/>
        <v>302.5</v>
      </c>
      <c r="BT9" s="40">
        <f t="shared" si="26"/>
        <v>3.2362545583179352E-2</v>
      </c>
      <c r="BU9" s="40">
        <f>IFERROR((s_C*s_EF_far*(1/365)*s_ED_far*s_RadSpec!R9*((s_ET_far_o*(1/24)*s_RadSpec!W9)+(s_ET_far_i*(1/24)*s_RadSpec!AB9))),".")</f>
        <v>0.92299948679483668</v>
      </c>
      <c r="BV9" s="40">
        <f>s_b2s!CC9</f>
        <v>68667.5</v>
      </c>
      <c r="BW9" s="40">
        <f>IFERROR(((s_C*s_RadSpec!AJ9)/s_RadSpec!AU9)*s_IFFI_far_adj*s_CF_far_fish,0)</f>
        <v>4726.5625</v>
      </c>
      <c r="BX9" s="40">
        <f>IFERROR(((s_C*s_RadSpec!AK9)/s_RadSpec!AU9)*s_IFSF_far_adj*s_CF_far_shellfish,0)</f>
        <v>0</v>
      </c>
      <c r="BY9" s="40">
        <f>(s_C*s_IFB_far_adj*s_CF_far_beef*s_RadSpec!AI9*((s_Q_p_beef*s_f_p_beef*s_f_s_beef*(s_RadSpec!$AT9+s_R_es_past))+(s_Q_s_beef*s_f_p_beef)))</f>
        <v>45375</v>
      </c>
      <c r="BZ9" s="40">
        <f>(s_C*s_IFD_far_adj*s_CF_far_dairy*s_RadSpec!AH9*1/s_D_milk*((s_Q_p_dairy*s_f_p_dairy*s_f_s_dairy*(s_RadSpec!$AT9+s_R_es_past))+(s_Q_s_dairy*s_f_p_dairy)))</f>
        <v>22026.699029126215</v>
      </c>
      <c r="CA9" s="40">
        <f>IFERROR((s_C*s_IFSW_far_adj*s_CF_far_swine*s_RadSpec!AN9*((s_Q_p_swine*s_f_p_swine*s_f_s_swine*(s_RadSpec!$AT9+s_R_es_past))+(s_Q_s_swine*s_f_p_swine))),0)</f>
        <v>0</v>
      </c>
      <c r="CB9" s="40">
        <f>IFERROR((s_C*s_IFP_far_adj*s_CF_far_poultry*s_RadSpec!AL9*((s_Q_p_poultry*s_f_p_poultry*s_f_s_poultry*(s_RadSpec!AT9+s_R_es_past))+(s_Q_s_poultry*s_f_p_poultry))),0)</f>
        <v>0</v>
      </c>
      <c r="CC9" s="40">
        <f>IFERROR((s_C*s_IFE_far_adj*s_CF_far_egg*s_RadSpec!AM9*((s_Q_p_egg*s_f_p_egg*s_f_s_egg*(s_RadSpec!$AT9+s_R_es_past))+(s_Q_s_egg*s_f_p_egg))),0)</f>
        <v>0</v>
      </c>
      <c r="CD9" s="40">
        <f>IFERROR((s_C*s_IFGO_far_adj*s_CF_far_goat*s_RadSpec!AQ9*((s_Q_p_goat*s_f_p_goat*s_f_s_goat*(s_RadSpec!$AT9+s_R_es_past))+(s_Q_s_goat*s_f_p_goat))),0)</f>
        <v>0</v>
      </c>
      <c r="CE9" s="40">
        <f>IFERROR((s_C*s_IFGM_far_adj*s_CF_far_goat_milk*s_RadSpec!AR9*1/s_D_milk*((s_Q_p_goat_milk*s_f_p_goat_milk*s_f_s_goat_milk*(s_RadSpec!$AT9+s_R_es_past))+(s_Q_s_goat_milk*s_f_p_goat_milk))),0)</f>
        <v>0</v>
      </c>
      <c r="CF9" s="40">
        <f>IFERROR((s_C*s_IFSH_far_adj*s_CF_far_sheep*s_RadSpec!AO9*((s_Q_p_sheep*s_f_p_sheep*s_f_s_sheep*(s_RadSpec!$AT9+s_R_es_past))+(s_Q_s_sheep*s_f_p_sheep))),0)</f>
        <v>0</v>
      </c>
      <c r="CG9" s="40">
        <f>IFERROR((s_C*s_IFSM_far_adj*s_CF_far_sheep_milk*s_RadSpec!AP9*1/s_D_milk*((s_Q_p_sheep_milk*s_f_p_sheep_milk*s_f_s_sheep_milk*(s_RadSpec!$AT9+s_R_es_past))+(s_Q_s_sheep_milk*s_f_p_sheep_milk))),0)</f>
        <v>0</v>
      </c>
      <c r="CH9" s="18"/>
      <c r="CI9" s="18"/>
      <c r="CJ9" s="18"/>
      <c r="CK9" s="18"/>
      <c r="CL9" s="18"/>
      <c r="CM9" s="18"/>
      <c r="CN9" s="18"/>
      <c r="CO9" s="18"/>
      <c r="CP9" s="18"/>
      <c r="CQ9" s="18"/>
      <c r="CR9" s="18"/>
      <c r="CS9" s="18"/>
      <c r="CT9" s="18"/>
      <c r="CU9" s="18"/>
      <c r="CV9" s="18"/>
      <c r="CW9" s="5"/>
      <c r="CX9" s="15">
        <f>IFERROR(s_TR/(s_RadSpec!I9*s_IFW_far_adj),".")</f>
        <v>9468.2175607031113</v>
      </c>
      <c r="CY9" s="15">
        <f>IFERROR(IF(AND(s_RadSpec!C9=1,s_RadSpec!D9&lt;&gt;0),s_TR/(s_RadSpec!F9*s_IFA_far_adj*s_K*s_RadSpec!D9),"."),".")</f>
        <v>3170.4978003179385</v>
      </c>
      <c r="CZ9" s="15">
        <f>IFERROR((s_TR/(s_RadSpec!M9*(1/8760)*s_DFA_far_adj)),".")</f>
        <v>1375067.6133931086</v>
      </c>
      <c r="DA9" s="15">
        <f>s_b2w!BC9</f>
        <v>9868.7485749861298</v>
      </c>
      <c r="DB9" s="15">
        <f>IFERROR(J9/(s_RadSpec!AJ9*(1/1000)),".")</f>
        <v>83073.495017199835</v>
      </c>
      <c r="DC9" s="15" t="str">
        <f>IFERROR(K9/(s_RadSpec!AK9*(1/1000)),".")</f>
        <v>.</v>
      </c>
      <c r="DD9" s="15">
        <f>IFERROR(G9/(s_RadSpec!AI9*s_Q_w_beef*(1/1000)),".")</f>
        <v>124610242.52579974</v>
      </c>
      <c r="DE9" s="15">
        <f>IFERROR((H9*s_D_milk)/(s_RadSpec!AH9*s_Q_w_dairy*(1/1000)),".")</f>
        <v>256697099.60314748</v>
      </c>
      <c r="DF9" s="15" t="str">
        <f>IFERROR(I9/(s_RadSpec!AN9*s_Q_w_swine*(1/1000)),".")</f>
        <v>.</v>
      </c>
      <c r="DG9" s="15" t="str">
        <f>IFERROR(E9/(s_RadSpec!AL9*s_Q_w_poultry*(1/1000)),".")</f>
        <v>.</v>
      </c>
      <c r="DH9" s="15" t="str">
        <f>IFERROR(F9/(s_RadSpec!AM9*s_Q_w_poultry*(1/1000)),".")</f>
        <v>.</v>
      </c>
      <c r="DI9" s="15" t="str">
        <f>IFERROR(L9/(s_RadSpec!AQ9*s_Q_w_goat*(1/1000)),".")</f>
        <v>.</v>
      </c>
      <c r="DJ9" s="15" t="str">
        <f>IFERROR(N9*s_D_milk/(s_RadSpec!AR9*s_Q_w_goat_milk*(1/1000)),".")</f>
        <v>.</v>
      </c>
      <c r="DK9" s="15" t="str">
        <f>IFERROR(M9/(s_RadSpec!AO9*s_Q_w_sheep*(1/1000)),".")</f>
        <v>.</v>
      </c>
      <c r="DL9" s="15" t="str">
        <f>IFERROR(O9*s_D_milk/(s_RadSpec!AP9*s_Q_w_sheep_milk*(1/1000)),".")</f>
        <v>.</v>
      </c>
      <c r="DM9" s="118">
        <f t="shared" si="27"/>
        <v>1.0561649999999998E-4</v>
      </c>
      <c r="DN9" s="118">
        <f t="shared" si="28"/>
        <v>3.1540788323515621E-4</v>
      </c>
      <c r="DO9" s="118">
        <f t="shared" si="29"/>
        <v>7.2723696657534242E-7</v>
      </c>
      <c r="DP9" s="118">
        <f t="shared" si="30"/>
        <v>1.0132997029984681E-4</v>
      </c>
      <c r="DQ9" s="118">
        <f t="shared" si="31"/>
        <v>1.2037533750000002E-5</v>
      </c>
      <c r="DR9" s="118" t="str">
        <f t="shared" si="31"/>
        <v>.</v>
      </c>
      <c r="DS9" s="118">
        <f t="shared" si="32"/>
        <v>8.0250225000000029E-9</v>
      </c>
      <c r="DT9" s="118">
        <f t="shared" si="33"/>
        <v>3.8956419902912627E-9</v>
      </c>
      <c r="DU9" s="118" t="str">
        <f t="shared" si="34"/>
        <v>.</v>
      </c>
      <c r="DV9" s="118" t="str">
        <f t="shared" si="35"/>
        <v>.</v>
      </c>
      <c r="DW9" s="118" t="str">
        <f t="shared" si="36"/>
        <v>.</v>
      </c>
      <c r="DX9" s="118" t="str">
        <f t="shared" si="37"/>
        <v>.</v>
      </c>
      <c r="DY9" s="118" t="str">
        <f t="shared" si="38"/>
        <v>.</v>
      </c>
      <c r="DZ9" s="118" t="str">
        <f t="shared" si="39"/>
        <v>.</v>
      </c>
      <c r="EA9" s="118" t="str">
        <f t="shared" si="40"/>
        <v>.</v>
      </c>
      <c r="EB9" s="15">
        <f t="shared" si="47"/>
        <v>1868.7011518026254</v>
      </c>
      <c r="EC9" s="40">
        <f t="shared" si="41"/>
        <v>27500</v>
      </c>
      <c r="ED9" s="40">
        <f>IFERROR(IF(s_RadSpec!D9&lt;&gt;"",s_C*s_IFA_far_adj*s_K*s_RadSpec!D9,0),".")</f>
        <v>255.18437154947915</v>
      </c>
      <c r="EE9" s="40">
        <f t="shared" si="42"/>
        <v>2.5114155251141552</v>
      </c>
      <c r="EF9" s="40">
        <f>s_b2w!CC9</f>
        <v>19097.962663471444</v>
      </c>
      <c r="EG9" s="40">
        <f>IFERROR(s_C*s_RadSpec!AJ9*(1/1000)*s_IFFI_far_adj*s_CF_far_fish,0)</f>
        <v>2268.75</v>
      </c>
      <c r="EH9" s="40">
        <f>IFERROR(s_C*s_RadSpec!AK9*(1/1000)*s_IFSF_far_adj*s_CF_far_shellfish,0)</f>
        <v>0</v>
      </c>
      <c r="EI9" s="40">
        <f>(s_C*s_IFB_far_adj*s_CF_far_beef*s_RadSpec!AI9*s_Q_w_beef*(1/1000))</f>
        <v>1.5125</v>
      </c>
      <c r="EJ9" s="40">
        <f>(s_C*s_IFD_far_adj*s_CF_far_dairy*s_RadSpec!AH9*(1/s_D_milk)*s_Q_w_dairy*(1/1000))</f>
        <v>0.73422330097087385</v>
      </c>
      <c r="EK9" s="40">
        <f>IFERROR((s_C*s_IFSW_far_adj*s_CF_far_swine*s_RadSpec!AN9*s_Q_w_swine*(1/1000)),0)</f>
        <v>0</v>
      </c>
      <c r="EL9" s="40">
        <f>IFERROR((s_C*s_IFP_far_adj*s_CF_far_poultry*s_RadSpec!AL9*s_Q_w_poultry*(1/1000)),0)</f>
        <v>0</v>
      </c>
      <c r="EM9" s="40">
        <f>IFERROR((s_C*s_IFE_far_adj*s_CF_far_egg*s_RadSpec!AM9*s_Q_w_egg*(1/1000)),0)</f>
        <v>0</v>
      </c>
      <c r="EN9" s="40">
        <f>IFERROR((s_C*s_IFGO_far_adj*s_CF_far_goat*s_RadSpec!AQ9*s_Q_p_goat*(1/1000)),0)</f>
        <v>0</v>
      </c>
      <c r="EO9" s="40">
        <f>IFERROR((s_C*s_IFGM_far_adj*s_CF_far_goat_milk*s_RadSpec!AR9*(1/s_D_milk)*s_Q_p_goat_milk*(1/1000)),0)</f>
        <v>0</v>
      </c>
      <c r="EP9" s="40">
        <f>IFERROR((s_C*s_IFSH_far_adj*s_CF_far_sheep*s_RadSpec!AO9*s_Q_p_sheep*(1/1000)),0)</f>
        <v>0</v>
      </c>
      <c r="EQ9" s="40">
        <f>IFERROR((s_C*s_IFSM_far_adj*s_CF_far_sheep_milk*s_RadSpec!AP9*(1/s_D_milk)*s_Q_p_sheep_milk*(1/1000)),0)</f>
        <v>0</v>
      </c>
      <c r="ER9" s="18"/>
      <c r="ES9" s="18"/>
      <c r="ET9" s="18"/>
      <c r="EU9" s="18"/>
      <c r="EV9" s="18"/>
      <c r="EW9" s="18"/>
      <c r="EX9" s="18"/>
      <c r="EY9" s="18"/>
      <c r="EZ9" s="18"/>
      <c r="FA9" s="18"/>
      <c r="FB9" s="18"/>
      <c r="FC9" s="18"/>
      <c r="FD9" s="18"/>
      <c r="FE9" s="18"/>
      <c r="FF9" s="18"/>
      <c r="FG9" s="5"/>
      <c r="FH9" s="15">
        <f>IFERROR((s_TR/(s_RadSpec!F9*s_IFA_far_adj)),".")</f>
        <v>80.696003026100129</v>
      </c>
      <c r="FI9" s="15">
        <f>IFERROR((s_TR/(s_RadSpec!K9*s_EF_far*(1/365)*s_ED_far*s_ET_far*(1/24)*s_GSF_a)),".")</f>
        <v>4761.1416142616554</v>
      </c>
      <c r="FJ9" s="15">
        <f t="shared" si="49"/>
        <v>79.351091151910495</v>
      </c>
      <c r="FK9" s="40">
        <f t="shared" si="44"/>
        <v>10026.041666666666</v>
      </c>
      <c r="FL9" s="40">
        <f t="shared" si="45"/>
        <v>1.5696347031963471</v>
      </c>
      <c r="FM9" s="120"/>
      <c r="FN9" s="120"/>
      <c r="FO9" s="120"/>
    </row>
    <row r="10" spans="1:171" customFormat="1" x14ac:dyDescent="0.25">
      <c r="A10" s="46" t="s">
        <v>20</v>
      </c>
      <c r="B10" s="42" t="s">
        <v>349</v>
      </c>
      <c r="C10" s="42"/>
      <c r="D10" s="15">
        <f>s_dir!AC10</f>
        <v>2.2115233636385754</v>
      </c>
      <c r="E10" s="15">
        <f>IFERROR(s_TR/(s_RadSpec!H10*s_IFP_far_adj*s_CF_far_poultry),".")</f>
        <v>8.8460934545543015</v>
      </c>
      <c r="F10" s="15">
        <f>IFERROR(s_TR/(s_RadSpec!H10*s_IFE_far_adj*s_CF_far_egg),".")</f>
        <v>8.8460934545543015</v>
      </c>
      <c r="G10" s="15">
        <f>IFERROR(s_TR/(s_RadSpec!H10*s_IFB_far_adj*s_CF_far_beef),".")</f>
        <v>8.8460934545543015</v>
      </c>
      <c r="H10" s="15">
        <f>IFERROR(s_TR/(s_RadSpec!H10*s_IFD_far_adj*s_CF_far_dairy),".")</f>
        <v>8.8460934545543015</v>
      </c>
      <c r="I10" s="15">
        <f>IFERROR(s_TR/(s_RadSpec!H10*s_IFSW_far_adj*s_CF_far_swine),".")</f>
        <v>8.8460934545543015</v>
      </c>
      <c r="J10" s="15">
        <f>IFERROR(s_TR/(s_RadSpec!H10*s_IFFI_far_adj*s_CF_far_fish),".")</f>
        <v>8.8460934545543015</v>
      </c>
      <c r="K10" s="15">
        <f>IFERROR(s_TR/(s_RadSpec!H10*s_IFSF_far_adj*s_CF_far_shellfish),".")</f>
        <v>8.8460934545543015</v>
      </c>
      <c r="L10" s="15">
        <f>IFERROR(s_TR/(s_RadSpec!H10*s_IFGO_far_adj*s_CF_far_goat),".")</f>
        <v>8.8460934545543015</v>
      </c>
      <c r="M10" s="15">
        <f>IFERROR(s_TR/(s_RadSpec!H10*s_IFSH_far_adj*s_CF_far_sheep),".")</f>
        <v>8.8460934545543015</v>
      </c>
      <c r="N10" s="15">
        <f>IFERROR(s_TR/(s_RadSpec!H10*s_IFGM_far_adj*s_CF_far_goat_milk),".")</f>
        <v>8.8460934545543015</v>
      </c>
      <c r="O10" s="15">
        <f>IFERROR(s_TR/(s_RadSpec!H10*s_IFSM_far_adj*s_CF_far_sheep_milk),".")</f>
        <v>8.8460934545543015</v>
      </c>
      <c r="P10" s="40">
        <f>s_dir!BC10</f>
        <v>605000</v>
      </c>
      <c r="Q10" s="40">
        <f t="shared" si="0"/>
        <v>151250</v>
      </c>
      <c r="R10" s="40">
        <f t="shared" si="1"/>
        <v>151250</v>
      </c>
      <c r="S10" s="40">
        <f t="shared" si="2"/>
        <v>151250</v>
      </c>
      <c r="T10" s="40">
        <f t="shared" si="3"/>
        <v>151250</v>
      </c>
      <c r="U10" s="40">
        <f t="shared" si="4"/>
        <v>151250</v>
      </c>
      <c r="V10" s="40">
        <f t="shared" si="5"/>
        <v>151250</v>
      </c>
      <c r="W10" s="40">
        <f t="shared" si="6"/>
        <v>151250</v>
      </c>
      <c r="X10" s="40">
        <f t="shared" si="7"/>
        <v>151250</v>
      </c>
      <c r="Y10" s="40">
        <f t="shared" si="8"/>
        <v>151250</v>
      </c>
      <c r="Z10" s="40">
        <f t="shared" si="9"/>
        <v>151250</v>
      </c>
      <c r="AA10" s="40">
        <f t="shared" si="10"/>
        <v>151250</v>
      </c>
      <c r="AB10" s="5"/>
      <c r="AC10" s="5"/>
      <c r="AD10" s="5"/>
      <c r="AE10" s="5"/>
      <c r="AF10" s="5"/>
      <c r="AG10" s="5"/>
      <c r="AH10" s="5"/>
      <c r="AI10" s="5"/>
      <c r="AJ10" s="5"/>
      <c r="AK10" s="5"/>
      <c r="AL10" s="5"/>
      <c r="AM10" s="5"/>
      <c r="AN10" s="45">
        <f>IFERROR((s_TR/(s_RadSpec!E10*s_IFS_far_adj*(1/1000)))*1,".")</f>
        <v>3884.5888648260193</v>
      </c>
      <c r="AO10" s="45">
        <f>IFERROR(IF(A10="H-3",(s_TR/(s_RadSpec!F10*s_IFA_far_adj*(1/17)*1000))*1,(s_TR/(s_RadSpec!F10*s_IFA_far_adj*(1/s_PEF_wind)*1000))*1),".")</f>
        <v>13735738.732193686</v>
      </c>
      <c r="AP10" s="45">
        <f>IFERROR((s_TR/(s_RadSpec!G10*s_EF_far*(1/365)*s_ED_far*s_RadSpec!R10*((s_ET_far_o*(1/24)*s_RadSpec!W10)+(s_ET_far_i*(1/24)*s_RadSpec!AB10))))*1,".")</f>
        <v>187679.95560899528</v>
      </c>
      <c r="AQ10" s="45">
        <f>s_b2s!BC10</f>
        <v>80.033415855915152</v>
      </c>
      <c r="AR10" s="45">
        <f>IFERROR(((J10*s_RadSpec!AU10)/s_RadSpec!AJ10)*1,".")</f>
        <v>3.5384373818217206E-2</v>
      </c>
      <c r="AS10" s="45">
        <f>IFERROR(((K10*s_RadSpec!AU10)/s_RadSpec!AK10)*1,".")</f>
        <v>3.8461275889366529</v>
      </c>
      <c r="AT10" s="45">
        <f>IFERROR((G10/(s_RadSpec!AI10*((s_Q_p_beef*s_f_p_beef*s_f_s_beef*(s_RadSpec!BD10+s_R_es_past))+(s_Q_s_beef*s_f_p_beef))))*1,".")</f>
        <v>4.3864926220930442</v>
      </c>
      <c r="AU10" s="45">
        <f>IFERROR(((H10*s_D_milk)/(s_RadSpec!AH10*((s_Q_p_dairy*s_f_p_dairy*s_f_s_dairy*(s_RadSpec!BD10+s_R_es_past))+(s_Q_s_dairy*s_f_p_dairy))))*1,".")</f>
        <v>21.60824409057139</v>
      </c>
      <c r="AV10" s="45">
        <f>IFERROR((I10/(s_RadSpec!AN10*((s_Q_p_swine*s_f_p_swine*s_f_s_swine*(s_RadSpec!BD10+s_R_es_past))+(s_Q_s_swine*s_f_p_swine))))*1,".")</f>
        <v>0.48251418843023486</v>
      </c>
      <c r="AW10" s="45">
        <f>IFERROR((E10/(s_RadSpec!AL10*((s_Q_p_poultry*s_f_p_poultry*s_f_s_poultry*(s_RadSpec!BD10+s_R_es_past))+(s_Q_s_poultry*s_f_p_poultry))))*1,".")</f>
        <v>3.5741791735572945E-2</v>
      </c>
      <c r="AX10" s="45">
        <f>IFERROR((F10/(s_RadSpec!AM10*((s_Q_p_poultry*s_f_p_poultry*s_f_s_poultry*(s_RadSpec!BD10+s_R_es_past))+(s_Q_s_poultry*s_f_p_poultry))))*1,".")</f>
        <v>0.24125709421511743</v>
      </c>
      <c r="AY10" s="45">
        <f>IFERROR((L10/(s_RadSpec!AQ10*((s_Q_p_goat*s_f_p_goat*s_f_s_goat*(s_RadSpec!BD10+s_R_es_past))+(s_Q_s_goat*s_f_p_goat))))*1,".")</f>
        <v>0.30157136776889676</v>
      </c>
      <c r="AZ10" s="45">
        <f>IFERROR((N10*s_D_milk/(s_RadSpec!AR10*((s_Q_p_goat_milk*s_f_p_goat_milk*s_f_s_goat_milk*(s_RadSpec!BD10+s_R_es_past))+(s_Q_s_goat_milk*s_f_p_goat_milk))))*1,".")</f>
        <v>0.90361748015116716</v>
      </c>
      <c r="BA10" s="45">
        <f>IFERROR((M10/(s_RadSpec!AO10*((s_Q_p_sheep*s_f_p_sheep*s_f_s_sheep*(s_RadSpec!BD10+s_R_es_past))+(s_Q_s_sheep*s_f_p_sheep))))*1,".")</f>
        <v>0.50790967203182613</v>
      </c>
      <c r="BB10" s="45">
        <f>IFERROR((O10*s_D_milk/(s_RadSpec!AP10*((s_Q_p_sheep_milk*s_f_p_sheep_milk*s_f_s_sheep_milk*(s_RadSpec!BD10+s_R_es_past))+(s_Q_s_sheep_milk*s_f_p_sheep_milk))))*1,".")</f>
        <v>1.7137572899418687</v>
      </c>
      <c r="BC10" s="118">
        <f t="shared" si="11"/>
        <v>2.5742749999999997E-4</v>
      </c>
      <c r="BD10" s="118">
        <f t="shared" si="12"/>
        <v>7.2802782543920272E-8</v>
      </c>
      <c r="BE10" s="118">
        <f t="shared" si="13"/>
        <v>5.3282195040761784E-6</v>
      </c>
      <c r="BF10" s="118">
        <f t="shared" si="14"/>
        <v>1.2494780952499998E-2</v>
      </c>
      <c r="BG10" s="118">
        <f t="shared" si="15"/>
        <v>28.261062499999998</v>
      </c>
      <c r="BH10" s="118">
        <f t="shared" si="15"/>
        <v>0.26000177499999999</v>
      </c>
      <c r="BI10" s="118">
        <f t="shared" si="16"/>
        <v>0.22797257083333319</v>
      </c>
      <c r="BJ10" s="118">
        <f t="shared" si="17"/>
        <v>4.6278633090614855E-2</v>
      </c>
      <c r="BK10" s="118">
        <f t="shared" si="18"/>
        <v>2.0724779166666654</v>
      </c>
      <c r="BL10" s="118">
        <f t="shared" si="19"/>
        <v>27.97845187499999</v>
      </c>
      <c r="BM10" s="118">
        <f t="shared" si="20"/>
        <v>4.1449558333333307</v>
      </c>
      <c r="BN10" s="118">
        <f t="shared" si="21"/>
        <v>3.3159646666666651</v>
      </c>
      <c r="BO10" s="118">
        <f t="shared" si="22"/>
        <v>1.1066629652103552</v>
      </c>
      <c r="BP10" s="118">
        <f t="shared" si="23"/>
        <v>1.9688540208333323</v>
      </c>
      <c r="BQ10" s="118">
        <f t="shared" si="24"/>
        <v>0.58351319983818739</v>
      </c>
      <c r="BR10" s="15">
        <f t="shared" si="46"/>
        <v>1.4290010768132062E-2</v>
      </c>
      <c r="BS10" s="40">
        <f t="shared" si="25"/>
        <v>302.5</v>
      </c>
      <c r="BT10" s="40">
        <f t="shared" si="26"/>
        <v>3.2362545583179352E-2</v>
      </c>
      <c r="BU10" s="40">
        <f>IFERROR((s_C*s_EF_far*(1/365)*s_ED_far*s_RadSpec!R10*((s_ET_far_o*(1/24)*s_RadSpec!W10)+(s_ET_far_i*(1/24)*s_RadSpec!AB10))),".")</f>
        <v>0.48237554293351154</v>
      </c>
      <c r="BV10" s="40">
        <f>s_b2s!CC10</f>
        <v>16717.662500000002</v>
      </c>
      <c r="BW10" s="40">
        <f>IFERROR(((s_C*s_RadSpec!AJ10)/s_RadSpec!AU10)*s_IFFI_far_adj*s_CF_far_fish,0)</f>
        <v>37812500</v>
      </c>
      <c r="BX10" s="40">
        <f>IFERROR(((s_C*s_RadSpec!AK10)/s_RadSpec!AU10)*s_IFSF_far_adj*s_CF_far_shellfish,0)</f>
        <v>347875</v>
      </c>
      <c r="BY10" s="40">
        <f>(s_C*s_IFB_far_adj*s_CF_far_beef*s_RadSpec!AI10*((s_Q_p_beef*s_f_p_beef*s_f_s_beef*(s_RadSpec!$AT10+s_R_es_past))+(s_Q_s_beef*s_f_p_beef)))</f>
        <v>305020.8333333332</v>
      </c>
      <c r="BZ10" s="40">
        <f>(s_C*s_IFD_far_adj*s_CF_far_dairy*s_RadSpec!AH10*1/s_D_milk*((s_Q_p_dairy*s_f_p_dairy*s_f_s_dairy*(s_RadSpec!$AT10+s_R_es_past))+(s_Q_s_dairy*s_f_p_dairy)))</f>
        <v>61919.498381876998</v>
      </c>
      <c r="CA10" s="40">
        <f>IFERROR((s_C*s_IFSW_far_adj*s_CF_far_swine*s_RadSpec!AN10*((s_Q_p_swine*s_f_p_swine*s_f_s_swine*(s_RadSpec!$AT10+s_R_es_past))+(s_Q_s_swine*s_f_p_swine))),0)</f>
        <v>2772916.6666666656</v>
      </c>
      <c r="CB10" s="40">
        <f>IFERROR((s_C*s_IFP_far_adj*s_CF_far_poultry*s_RadSpec!AL10*((s_Q_p_poultry*s_f_p_poultry*s_f_s_poultry*(s_RadSpec!AT10+s_R_es_past))+(s_Q_s_poultry*s_f_p_poultry))),0)</f>
        <v>37434374.999999985</v>
      </c>
      <c r="CC10" s="40">
        <f>IFERROR((s_C*s_IFE_far_adj*s_CF_far_egg*s_RadSpec!AM10*((s_Q_p_egg*s_f_p_egg*s_f_s_egg*(s_RadSpec!$AT10+s_R_es_past))+(s_Q_s_egg*s_f_p_egg))),0)</f>
        <v>5545833.3333333312</v>
      </c>
      <c r="CD10" s="40">
        <f>IFERROR((s_C*s_IFGO_far_adj*s_CF_far_goat*s_RadSpec!AQ10*((s_Q_p_goat*s_f_p_goat*s_f_s_goat*(s_RadSpec!$AT10+s_R_es_past))+(s_Q_s_goat*s_f_p_goat))),0)</f>
        <v>4436666.6666666651</v>
      </c>
      <c r="CE10" s="40">
        <f>IFERROR((s_C*s_IFGM_far_adj*s_CF_far_goat_milk*s_RadSpec!AR10*1/s_D_milk*((s_Q_p_goat_milk*s_f_p_goat_milk*s_f_s_goat_milk*(s_RadSpec!$AT10+s_R_es_past))+(s_Q_s_goat_milk*s_f_p_goat_milk))),0)</f>
        <v>1480683.6569579281</v>
      </c>
      <c r="CF10" s="40">
        <f>IFERROR((s_C*s_IFSH_far_adj*s_CF_far_sheep*s_RadSpec!AO10*((s_Q_p_sheep*s_f_p_sheep*s_f_s_sheep*(s_RadSpec!$AT10+s_R_es_past))+(s_Q_s_sheep*s_f_p_sheep))),0)</f>
        <v>2634270.8333333321</v>
      </c>
      <c r="CG10" s="40">
        <f>IFERROR((s_C*s_IFSM_far_adj*s_CF_far_sheep_milk*s_RadSpec!AP10*1/s_D_milk*((s_Q_p_sheep_milk*s_f_p_sheep_milk*s_f_s_sheep_milk*(s_RadSpec!$AT10+s_R_es_past))+(s_Q_s_sheep_milk*s_f_p_sheep_milk))),0)</f>
        <v>780724.11003236216</v>
      </c>
      <c r="CH10" s="18"/>
      <c r="CI10" s="18"/>
      <c r="CJ10" s="18"/>
      <c r="CK10" s="18"/>
      <c r="CL10" s="18"/>
      <c r="CM10" s="18"/>
      <c r="CN10" s="18"/>
      <c r="CO10" s="18"/>
      <c r="CP10" s="18"/>
      <c r="CQ10" s="18"/>
      <c r="CR10" s="18"/>
      <c r="CS10" s="18"/>
      <c r="CT10" s="18"/>
      <c r="CU10" s="18"/>
      <c r="CV10" s="18"/>
      <c r="CW10" s="5"/>
      <c r="CX10" s="15">
        <f>IFERROR(s_TR/(s_RadSpec!I10*s_IFW_far_adj),".")</f>
        <v>59.635981966079065</v>
      </c>
      <c r="CY10" s="15" t="str">
        <f>IFERROR(IF(AND(s_RadSpec!C10=1,s_RadSpec!D10&lt;&gt;0),s_TR/(s_RadSpec!F10*s_IFA_far_adj*s_K*s_RadSpec!D10),"."),".")</f>
        <v>.</v>
      </c>
      <c r="CZ10" s="15">
        <f>IFERROR((s_TR/(s_RadSpec!M10*(1/8760)*s_DFA_far_adj)),".")</f>
        <v>8880645003.1638279</v>
      </c>
      <c r="DA10" s="15">
        <f>s_b2w!BC10</f>
        <v>152.46684606309401</v>
      </c>
      <c r="DB10" s="15">
        <f>IFERROR(J10/(s_RadSpec!AJ10*(1/1000)),".")</f>
        <v>3.5384373818217205</v>
      </c>
      <c r="DC10" s="15">
        <f>IFERROR(K10/(s_RadSpec!AK10*(1/1000)),".")</f>
        <v>384.61275889366527</v>
      </c>
      <c r="DD10" s="15">
        <f>IFERROR(G10/(s_RadSpec!AI10*s_Q_w_beef*(1/1000)),".")</f>
        <v>80419.031405039117</v>
      </c>
      <c r="DE10" s="15">
        <f>IFERROR((H10*s_D_milk)/(s_RadSpec!AH10*s_Q_w_dairy*(1/1000)),".")</f>
        <v>396151.14166047529</v>
      </c>
      <c r="DF10" s="15">
        <f>IFERROR(I10/(s_RadSpec!AN10*s_Q_w_swine*(1/1000)),".")</f>
        <v>8846.0934545543005</v>
      </c>
      <c r="DG10" s="15">
        <f>IFERROR(E10/(s_RadSpec!AL10*s_Q_w_poultry*(1/1000)),".")</f>
        <v>655.26618181883714</v>
      </c>
      <c r="DH10" s="15">
        <f>IFERROR(F10/(s_RadSpec!AM10*s_Q_w_poultry*(1/1000)),".")</f>
        <v>4423.0467272771502</v>
      </c>
      <c r="DI10" s="15">
        <f>IFERROR(L10/(s_RadSpec!AQ10*s_Q_w_goat*(1/1000)),".")</f>
        <v>5528.8084090964385</v>
      </c>
      <c r="DJ10" s="15">
        <f>IFERROR(N10*s_D_milk/(s_RadSpec!AR10*s_Q_w_goat_milk*(1/1000)),".")</f>
        <v>16566.320469438055</v>
      </c>
      <c r="DK10" s="15">
        <f>IFERROR(M10/(s_RadSpec!AO10*s_Q_w_sheep*(1/1000)),".")</f>
        <v>9311.6773205834761</v>
      </c>
      <c r="DL10" s="15">
        <f>IFERROR(O10*s_D_milk/(s_RadSpec!AP10*s_Q_w_sheep_milk*(1/1000)),".")</f>
        <v>31418.883648934239</v>
      </c>
      <c r="DM10" s="118">
        <f t="shared" si="27"/>
        <v>1.6768399999999996E-2</v>
      </c>
      <c r="DN10" s="118" t="str">
        <f t="shared" si="28"/>
        <v>.</v>
      </c>
      <c r="DO10" s="118">
        <f t="shared" si="29"/>
        <v>1.1260443353424655E-10</v>
      </c>
      <c r="DP10" s="118">
        <f t="shared" si="30"/>
        <v>6.5588029517327246E-3</v>
      </c>
      <c r="DQ10" s="118">
        <f t="shared" si="31"/>
        <v>0.282610625</v>
      </c>
      <c r="DR10" s="118">
        <f t="shared" si="31"/>
        <v>2.6000177499999996E-3</v>
      </c>
      <c r="DS10" s="118">
        <f t="shared" si="32"/>
        <v>1.2434867499999996E-5</v>
      </c>
      <c r="DT10" s="118">
        <f t="shared" si="33"/>
        <v>2.5242890776699025E-6</v>
      </c>
      <c r="DU10" s="118">
        <f t="shared" si="34"/>
        <v>1.1304425E-4</v>
      </c>
      <c r="DV10" s="118">
        <f t="shared" si="35"/>
        <v>1.5260973749999999E-3</v>
      </c>
      <c r="DW10" s="118">
        <f t="shared" si="36"/>
        <v>2.260885E-4</v>
      </c>
      <c r="DX10" s="118">
        <f t="shared" si="37"/>
        <v>1.8087079999999997E-4</v>
      </c>
      <c r="DY10" s="118">
        <f t="shared" si="38"/>
        <v>6.0363434466019413E-5</v>
      </c>
      <c r="DZ10" s="118">
        <f t="shared" si="39"/>
        <v>1.0739203749999998E-4</v>
      </c>
      <c r="EA10" s="118">
        <f t="shared" si="40"/>
        <v>3.1827992718446602E-5</v>
      </c>
      <c r="EB10" s="15">
        <f t="shared" si="47"/>
        <v>3.2175188562122155</v>
      </c>
      <c r="EC10" s="40">
        <f t="shared" si="41"/>
        <v>27500</v>
      </c>
      <c r="ED10" s="40">
        <f>IFERROR(IF(s_RadSpec!D10&lt;&gt;"",s_C*s_IFA_far_adj*s_K*s_RadSpec!D10,0),".")</f>
        <v>0</v>
      </c>
      <c r="EE10" s="40">
        <f t="shared" si="42"/>
        <v>2.5114155251141552</v>
      </c>
      <c r="EF10" s="40">
        <f>s_b2w!CC10</f>
        <v>8775.4923089814365</v>
      </c>
      <c r="EG10" s="40">
        <f>IFERROR(s_C*s_RadSpec!AJ10*(1/1000)*s_IFFI_far_adj*s_CF_far_fish,0)</f>
        <v>378125</v>
      </c>
      <c r="EH10" s="40">
        <f>IFERROR(s_C*s_RadSpec!AK10*(1/1000)*s_IFSF_far_adj*s_CF_far_shellfish,0)</f>
        <v>3478.75</v>
      </c>
      <c r="EI10" s="40">
        <f>(s_C*s_IFB_far_adj*s_CF_far_beef*s_RadSpec!AI10*s_Q_w_beef*(1/1000))</f>
        <v>16.637499999999999</v>
      </c>
      <c r="EJ10" s="40">
        <f>(s_C*s_IFD_far_adj*s_CF_far_dairy*s_RadSpec!AH10*(1/s_D_milk)*s_Q_w_dairy*(1/1000))</f>
        <v>3.3774271844660193</v>
      </c>
      <c r="EK10" s="40">
        <f>IFERROR((s_C*s_IFSW_far_adj*s_CF_far_swine*s_RadSpec!AN10*s_Q_w_swine*(1/1000)),0)</f>
        <v>151.25</v>
      </c>
      <c r="EL10" s="40">
        <f>IFERROR((s_C*s_IFP_far_adj*s_CF_far_poultry*s_RadSpec!AL10*s_Q_w_poultry*(1/1000)),0)</f>
        <v>2041.875</v>
      </c>
      <c r="EM10" s="40">
        <f>IFERROR((s_C*s_IFE_far_adj*s_CF_far_egg*s_RadSpec!AM10*s_Q_w_egg*(1/1000)),0)</f>
        <v>302.5</v>
      </c>
      <c r="EN10" s="40">
        <f>IFERROR((s_C*s_IFGO_far_adj*s_CF_far_goat*s_RadSpec!AQ10*s_Q_p_goat*(1/1000)),0)</f>
        <v>242</v>
      </c>
      <c r="EO10" s="40">
        <f>IFERROR((s_C*s_IFGM_far_adj*s_CF_far_goat_milk*s_RadSpec!AR10*(1/s_D_milk)*s_Q_p_goat_milk*(1/1000)),0)</f>
        <v>80.764563106796103</v>
      </c>
      <c r="EP10" s="40">
        <f>IFERROR((s_C*s_IFSH_far_adj*s_CF_far_sheep*s_RadSpec!AO10*s_Q_p_sheep*(1/1000)),0)</f>
        <v>143.6875</v>
      </c>
      <c r="EQ10" s="40">
        <f>IFERROR((s_C*s_IFSM_far_adj*s_CF_far_sheep_milk*s_RadSpec!AP10*(1/s_D_milk)*s_Q_p_sheep_milk*(1/1000)),0)</f>
        <v>42.584951456310677</v>
      </c>
      <c r="ER10" s="18"/>
      <c r="ES10" s="18"/>
      <c r="ET10" s="18"/>
      <c r="EU10" s="18"/>
      <c r="EV10" s="18"/>
      <c r="EW10" s="18"/>
      <c r="EX10" s="18"/>
      <c r="EY10" s="18"/>
      <c r="EZ10" s="18"/>
      <c r="FA10" s="18"/>
      <c r="FB10" s="18"/>
      <c r="FC10" s="18"/>
      <c r="FD10" s="18"/>
      <c r="FE10" s="18"/>
      <c r="FF10" s="18"/>
      <c r="FG10" s="5"/>
      <c r="FH10" s="15">
        <f>IFERROR((s_TR/(s_RadSpec!F10*s_IFA_far_adj)),".")</f>
        <v>44.336886442149606</v>
      </c>
      <c r="FI10" s="15">
        <f>IFERROR((s_TR/(s_RadSpec!K10*s_EF_far*(1/365)*s_ED_far*s_ET_far*(1/24)*s_GSF_a)),".")</f>
        <v>19626864.352316026</v>
      </c>
      <c r="FJ10" s="15">
        <f t="shared" ref="FJ10" si="50">IFERROR(IF(AND(ISNUMBER(FH10),ISNUMBER(FI10)),1/((1/FH10)+(1/FI10)),IF(AND(ISNUMBER(FH10),NOT(ISNUMBER(FI10))),1/((1/FH10)),IF(AND(NOT(ISNUMBER(FH10)),ISNUMBER(FI10)),1/((1/FI10)),IF(AND(NOT(ISNUMBER(FH10)),NOT(ISNUMBER(FI10))),".")))),".")</f>
        <v>44.33678628580148</v>
      </c>
      <c r="FK10" s="40">
        <f t="shared" si="44"/>
        <v>10026.041666666666</v>
      </c>
      <c r="FL10" s="40">
        <f t="shared" si="45"/>
        <v>1.5696347031963471</v>
      </c>
      <c r="FM10" s="120"/>
      <c r="FN10" s="120"/>
      <c r="FO10" s="120"/>
    </row>
    <row r="11" spans="1:171" customFormat="1" x14ac:dyDescent="0.25">
      <c r="A11" s="44" t="s">
        <v>21</v>
      </c>
      <c r="B11" s="42" t="s">
        <v>1071</v>
      </c>
      <c r="C11" s="42"/>
      <c r="D11" s="15" t="str">
        <f>s_dir!AC11</f>
        <v>.</v>
      </c>
      <c r="E11" s="15" t="str">
        <f>IFERROR(s_TR/(s_RadSpec!H11*s_IFP_far_adj*s_CF_far_poultry),".")</f>
        <v>.</v>
      </c>
      <c r="F11" s="15" t="str">
        <f>IFERROR(s_TR/(s_RadSpec!H11*s_IFE_far_adj*s_CF_far_egg),".")</f>
        <v>.</v>
      </c>
      <c r="G11" s="15" t="str">
        <f>IFERROR(s_TR/(s_RadSpec!H11*s_IFB_far_adj*s_CF_far_beef),".")</f>
        <v>.</v>
      </c>
      <c r="H11" s="15" t="str">
        <f>IFERROR(s_TR/(s_RadSpec!H11*s_IFD_far_adj*s_CF_far_dairy),".")</f>
        <v>.</v>
      </c>
      <c r="I11" s="15" t="str">
        <f>IFERROR(s_TR/(s_RadSpec!H11*s_IFSW_far_adj*s_CF_far_swine),".")</f>
        <v>.</v>
      </c>
      <c r="J11" s="15" t="str">
        <f>IFERROR(s_TR/(s_RadSpec!H11*s_IFFI_far_adj*s_CF_far_fish),".")</f>
        <v>.</v>
      </c>
      <c r="K11" s="15" t="str">
        <f>IFERROR(s_TR/(s_RadSpec!H11*s_IFSF_far_adj*s_CF_far_shellfish),".")</f>
        <v>.</v>
      </c>
      <c r="L11" s="15" t="str">
        <f>IFERROR(s_TR/(s_RadSpec!H11*s_IFGO_far_adj*s_CF_far_goat),".")</f>
        <v>.</v>
      </c>
      <c r="M11" s="15" t="str">
        <f>IFERROR(s_TR/(s_RadSpec!H11*s_IFSH_far_adj*s_CF_far_sheep),".")</f>
        <v>.</v>
      </c>
      <c r="N11" s="15" t="str">
        <f>IFERROR(s_TR/(s_RadSpec!H11*s_IFGM_far_adj*s_CF_far_goat_milk),".")</f>
        <v>.</v>
      </c>
      <c r="O11" s="15" t="str">
        <f>IFERROR(s_TR/(s_RadSpec!H11*s_IFSM_far_adj*s_CF_far_sheep_milk),".")</f>
        <v>.</v>
      </c>
      <c r="P11" s="40">
        <f>s_dir!BC11</f>
        <v>605000</v>
      </c>
      <c r="Q11" s="40">
        <f t="shared" si="0"/>
        <v>151250</v>
      </c>
      <c r="R11" s="40">
        <f t="shared" si="1"/>
        <v>151250</v>
      </c>
      <c r="S11" s="40">
        <f t="shared" si="2"/>
        <v>151250</v>
      </c>
      <c r="T11" s="40">
        <f t="shared" si="3"/>
        <v>151250</v>
      </c>
      <c r="U11" s="40">
        <f t="shared" si="4"/>
        <v>151250</v>
      </c>
      <c r="V11" s="40">
        <f t="shared" si="5"/>
        <v>151250</v>
      </c>
      <c r="W11" s="40">
        <f t="shared" si="6"/>
        <v>151250</v>
      </c>
      <c r="X11" s="40">
        <f t="shared" si="7"/>
        <v>151250</v>
      </c>
      <c r="Y11" s="40">
        <f t="shared" si="8"/>
        <v>151250</v>
      </c>
      <c r="Z11" s="40">
        <f t="shared" si="9"/>
        <v>151250</v>
      </c>
      <c r="AA11" s="40">
        <f t="shared" si="10"/>
        <v>151250</v>
      </c>
      <c r="AB11" s="5"/>
      <c r="AC11" s="5"/>
      <c r="AD11" s="5"/>
      <c r="AE11" s="5"/>
      <c r="AF11" s="5"/>
      <c r="AG11" s="5"/>
      <c r="AH11" s="5"/>
      <c r="AI11" s="5"/>
      <c r="AJ11" s="5"/>
      <c r="AK11" s="5"/>
      <c r="AL11" s="5"/>
      <c r="AM11" s="5"/>
      <c r="AN11" s="45" t="str">
        <f>IFERROR((s_TR/(s_RadSpec!E11*s_IFS_far_adj*(1/1000)))*1,".")</f>
        <v>.</v>
      </c>
      <c r="AO11" s="45" t="str">
        <f>IFERROR(IF(A11="H-3",(s_TR/(s_RadSpec!F11*s_IFA_far_adj*(1/17)*1000))*1,(s_TR/(s_RadSpec!F11*s_IFA_far_adj*(1/s_PEF_wind)*1000))*1),".")</f>
        <v>.</v>
      </c>
      <c r="AP11" s="45">
        <f>IFERROR((s_TR/(s_RadSpec!G11*s_EF_far*(1/365)*s_ED_far*s_RadSpec!R11*((s_ET_far_o*(1/24)*s_RadSpec!W11)+(s_ET_far_i*(1/24)*s_RadSpec!AB11))))*1,".")</f>
        <v>2955.9404792830969</v>
      </c>
      <c r="AQ11" s="45" t="str">
        <f>s_b2s!BC11</f>
        <v>.</v>
      </c>
      <c r="AR11" s="45" t="str">
        <f>IFERROR(((J11*s_RadSpec!AU11)/s_RadSpec!AJ11)*1,".")</f>
        <v>.</v>
      </c>
      <c r="AS11" s="45" t="str">
        <f>IFERROR(((K11*s_RadSpec!AU11)/s_RadSpec!AK11)*1,".")</f>
        <v>.</v>
      </c>
      <c r="AT11" s="45" t="str">
        <f>IFERROR((G11/(s_RadSpec!AI11*((s_Q_p_beef*s_f_p_beef*s_f_s_beef*(s_RadSpec!BD11+s_R_es_past))+(s_Q_s_beef*s_f_p_beef))))*1,".")</f>
        <v>.</v>
      </c>
      <c r="AU11" s="45" t="str">
        <f>IFERROR(((H11*s_D_milk)/(s_RadSpec!AH11*((s_Q_p_dairy*s_f_p_dairy*s_f_s_dairy*(s_RadSpec!BD11+s_R_es_past))+(s_Q_s_dairy*s_f_p_dairy))))*1,".")</f>
        <v>.</v>
      </c>
      <c r="AV11" s="45" t="str">
        <f>IFERROR((I11/(s_RadSpec!AN11*((s_Q_p_swine*s_f_p_swine*s_f_s_swine*(s_RadSpec!BD11+s_R_es_past))+(s_Q_s_swine*s_f_p_swine))))*1,".")</f>
        <v>.</v>
      </c>
      <c r="AW11" s="45" t="str">
        <f>IFERROR((E11/(s_RadSpec!AL11*((s_Q_p_poultry*s_f_p_poultry*s_f_s_poultry*(s_RadSpec!BD11+s_R_es_past))+(s_Q_s_poultry*s_f_p_poultry))))*1,".")</f>
        <v>.</v>
      </c>
      <c r="AX11" s="45" t="str">
        <f>IFERROR((F11/(s_RadSpec!AM11*((s_Q_p_poultry*s_f_p_poultry*s_f_s_poultry*(s_RadSpec!BD11+s_R_es_past))+(s_Q_s_poultry*s_f_p_poultry))))*1,".")</f>
        <v>.</v>
      </c>
      <c r="AY11" s="45" t="str">
        <f>IFERROR((L11/(s_RadSpec!AQ11*((s_Q_p_goat*s_f_p_goat*s_f_s_goat*(s_RadSpec!BD11+s_R_es_past))+(s_Q_s_goat*s_f_p_goat))))*1,".")</f>
        <v>.</v>
      </c>
      <c r="AZ11" s="45" t="str">
        <f>IFERROR((N11*s_D_milk/(s_RadSpec!AR11*((s_Q_p_goat_milk*s_f_p_goat_milk*s_f_s_goat_milk*(s_RadSpec!BD11+s_R_es_past))+(s_Q_s_goat_milk*s_f_p_goat_milk))))*1,".")</f>
        <v>.</v>
      </c>
      <c r="BA11" s="45" t="str">
        <f>IFERROR((M11/(s_RadSpec!AO11*((s_Q_p_sheep*s_f_p_sheep*s_f_s_sheep*(s_RadSpec!BD11+s_R_es_past))+(s_Q_s_sheep*s_f_p_sheep))))*1,".")</f>
        <v>.</v>
      </c>
      <c r="BB11" s="45" t="str">
        <f>IFERROR((O11*s_D_milk/(s_RadSpec!AP11*((s_Q_p_sheep_milk*s_f_p_sheep_milk*s_f_s_sheep_milk*(s_RadSpec!BD11+s_R_es_past))+(s_Q_s_sheep_milk*s_f_p_sheep_milk))))*1,".")</f>
        <v>.</v>
      </c>
      <c r="BC11" s="118" t="str">
        <f t="shared" si="11"/>
        <v>.</v>
      </c>
      <c r="BD11" s="118" t="str">
        <f t="shared" si="12"/>
        <v>.</v>
      </c>
      <c r="BE11" s="118">
        <f t="shared" si="13"/>
        <v>3.3830180513057207E-4</v>
      </c>
      <c r="BF11" s="118" t="str">
        <f t="shared" si="14"/>
        <v>.</v>
      </c>
      <c r="BG11" s="118" t="str">
        <f t="shared" si="15"/>
        <v>.</v>
      </c>
      <c r="BH11" s="118" t="str">
        <f t="shared" si="15"/>
        <v>.</v>
      </c>
      <c r="BI11" s="118" t="str">
        <f t="shared" si="16"/>
        <v>.</v>
      </c>
      <c r="BJ11" s="118" t="str">
        <f t="shared" si="17"/>
        <v>.</v>
      </c>
      <c r="BK11" s="118" t="str">
        <f t="shared" si="18"/>
        <v>.</v>
      </c>
      <c r="BL11" s="118" t="str">
        <f t="shared" si="19"/>
        <v>.</v>
      </c>
      <c r="BM11" s="118" t="str">
        <f t="shared" si="20"/>
        <v>.</v>
      </c>
      <c r="BN11" s="118" t="str">
        <f t="shared" si="21"/>
        <v>.</v>
      </c>
      <c r="BO11" s="118" t="str">
        <f t="shared" si="22"/>
        <v>.</v>
      </c>
      <c r="BP11" s="118" t="str">
        <f t="shared" si="23"/>
        <v>.</v>
      </c>
      <c r="BQ11" s="118" t="str">
        <f t="shared" si="24"/>
        <v>.</v>
      </c>
      <c r="BR11" s="15">
        <f t="shared" si="46"/>
        <v>2955.9404792830969</v>
      </c>
      <c r="BS11" s="40">
        <f t="shared" si="25"/>
        <v>302.5</v>
      </c>
      <c r="BT11" s="40">
        <f t="shared" si="26"/>
        <v>3.2362545583179352E-2</v>
      </c>
      <c r="BU11" s="40">
        <f>IFERROR((s_C*s_EF_far*(1/365)*s_ED_far*s_RadSpec!R11*((s_ET_far_o*(1/24)*s_RadSpec!W11)+(s_ET_far_i*(1/24)*s_RadSpec!AB11))),".")</f>
        <v>0.16132151490733279</v>
      </c>
      <c r="BV11" s="40">
        <f>s_b2s!CC11</f>
        <v>26317.499999999996</v>
      </c>
      <c r="BW11" s="40">
        <f>IFERROR(((s_C*s_RadSpec!AJ11)/s_RadSpec!AU11)*s_IFFI_far_adj*s_CF_far_fish,0)</f>
        <v>0</v>
      </c>
      <c r="BX11" s="40">
        <f>IFERROR(((s_C*s_RadSpec!AK11)/s_RadSpec!AU11)*s_IFSF_far_adj*s_CF_far_shellfish,0)</f>
        <v>0</v>
      </c>
      <c r="BY11" s="40">
        <f>(s_C*s_IFB_far_adj*s_CF_far_beef*s_RadSpec!AI11*((s_Q_p_beef*s_f_p_beef*s_f_s_beef*(s_RadSpec!$AT11+s_R_es_past))+(s_Q_s_beef*s_f_p_beef)))</f>
        <v>453750</v>
      </c>
      <c r="BZ11" s="40">
        <f>(s_C*s_IFD_far_adj*s_CF_far_dairy*s_RadSpec!AH11*1/s_D_milk*((s_Q_p_dairy*s_f_p_dairy*s_f_s_dairy*(s_RadSpec!$AT11+s_R_es_past))+(s_Q_s_dairy*s_f_p_dairy)))</f>
        <v>117475.72815533981</v>
      </c>
      <c r="CA11" s="40">
        <f>IFERROR((s_C*s_IFSW_far_adj*s_CF_far_swine*s_RadSpec!AN11*((s_Q_p_swine*s_f_p_swine*s_f_s_swine*(s_RadSpec!$AT11+s_R_es_past))+(s_Q_s_swine*s_f_p_swine))),0)</f>
        <v>0</v>
      </c>
      <c r="CB11" s="40">
        <f>IFERROR((s_C*s_IFP_far_adj*s_CF_far_poultry*s_RadSpec!AL11*((s_Q_p_poultry*s_f_p_poultry*s_f_s_poultry*(s_RadSpec!AT11+s_R_es_past))+(s_Q_s_poultry*s_f_p_poultry))),0)</f>
        <v>0</v>
      </c>
      <c r="CC11" s="40">
        <f>IFERROR((s_C*s_IFE_far_adj*s_CF_far_egg*s_RadSpec!AM11*((s_Q_p_egg*s_f_p_egg*s_f_s_egg*(s_RadSpec!$AT11+s_R_es_past))+(s_Q_s_egg*s_f_p_egg))),0)</f>
        <v>0</v>
      </c>
      <c r="CD11" s="40">
        <f>IFERROR((s_C*s_IFGO_far_adj*s_CF_far_goat*s_RadSpec!AQ11*((s_Q_p_goat*s_f_p_goat*s_f_s_goat*(s_RadSpec!$AT11+s_R_es_past))+(s_Q_s_goat*s_f_p_goat))),0)</f>
        <v>0</v>
      </c>
      <c r="CE11" s="40">
        <f>IFERROR((s_C*s_IFGM_far_adj*s_CF_far_goat_milk*s_RadSpec!AR11*1/s_D_milk*((s_Q_p_goat_milk*s_f_p_goat_milk*s_f_s_goat_milk*(s_RadSpec!$AT11+s_R_es_past))+(s_Q_s_goat_milk*s_f_p_goat_milk))),0)</f>
        <v>0</v>
      </c>
      <c r="CF11" s="40">
        <f>IFERROR((s_C*s_IFSH_far_adj*s_CF_far_sheep*s_RadSpec!AO11*((s_Q_p_sheep*s_f_p_sheep*s_f_s_sheep*(s_RadSpec!$AT11+s_R_es_past))+(s_Q_s_sheep*s_f_p_sheep))),0)</f>
        <v>0</v>
      </c>
      <c r="CG11" s="40">
        <f>IFERROR((s_C*s_IFSM_far_adj*s_CF_far_sheep_milk*s_RadSpec!AP11*1/s_D_milk*((s_Q_p_sheep_milk*s_f_p_sheep_milk*s_f_s_sheep_milk*(s_RadSpec!$AT11+s_R_es_past))+(s_Q_s_sheep_milk*s_f_p_sheep_milk))),0)</f>
        <v>0</v>
      </c>
      <c r="CH11" s="18"/>
      <c r="CI11" s="18"/>
      <c r="CJ11" s="18"/>
      <c r="CK11" s="18"/>
      <c r="CL11" s="18"/>
      <c r="CM11" s="18"/>
      <c r="CN11" s="18"/>
      <c r="CO11" s="18"/>
      <c r="CP11" s="18"/>
      <c r="CQ11" s="18"/>
      <c r="CR11" s="18"/>
      <c r="CS11" s="18"/>
      <c r="CT11" s="18"/>
      <c r="CU11" s="18"/>
      <c r="CV11" s="18"/>
      <c r="CW11" s="5"/>
      <c r="CX11" s="15" t="str">
        <f>IFERROR(s_TR/(s_RadSpec!I11*s_IFW_far_adj),".")</f>
        <v>.</v>
      </c>
      <c r="CY11" s="15" t="str">
        <f>IFERROR(IF(AND(s_RadSpec!C11=1,s_RadSpec!D11&lt;&gt;0),s_TR/(s_RadSpec!F11*s_IFA_far_adj*s_K*s_RadSpec!D11),"."),".")</f>
        <v>.</v>
      </c>
      <c r="CZ11" s="15">
        <f>IFERROR((s_TR/(s_RadSpec!M11*(1/8760)*s_DFA_far_adj)),".")</f>
        <v>78575292.193891913</v>
      </c>
      <c r="DA11" s="15" t="str">
        <f>s_b2w!BC11</f>
        <v>.</v>
      </c>
      <c r="DB11" s="15" t="str">
        <f>IFERROR(J11/(s_RadSpec!AJ11*(1/1000)),".")</f>
        <v>.</v>
      </c>
      <c r="DC11" s="15" t="str">
        <f>IFERROR(K11/(s_RadSpec!AK11*(1/1000)),".")</f>
        <v>.</v>
      </c>
      <c r="DD11" s="15" t="str">
        <f>IFERROR(G11/(s_RadSpec!AI11*s_Q_w_beef*(1/1000)),".")</f>
        <v>.</v>
      </c>
      <c r="DE11" s="15" t="str">
        <f>IFERROR((H11*s_D_milk)/(s_RadSpec!AH11*s_Q_w_dairy*(1/1000)),".")</f>
        <v>.</v>
      </c>
      <c r="DF11" s="15" t="str">
        <f>IFERROR(I11/(s_RadSpec!AN11*s_Q_w_swine*(1/1000)),".")</f>
        <v>.</v>
      </c>
      <c r="DG11" s="15" t="str">
        <f>IFERROR(E11/(s_RadSpec!AL11*s_Q_w_poultry*(1/1000)),".")</f>
        <v>.</v>
      </c>
      <c r="DH11" s="15" t="str">
        <f>IFERROR(F11/(s_RadSpec!AM11*s_Q_w_poultry*(1/1000)),".")</f>
        <v>.</v>
      </c>
      <c r="DI11" s="15" t="str">
        <f>IFERROR(L11/(s_RadSpec!AQ11*s_Q_w_goat*(1/1000)),".")</f>
        <v>.</v>
      </c>
      <c r="DJ11" s="15" t="str">
        <f>IFERROR(N11*s_D_milk/(s_RadSpec!AR11*s_Q_w_goat_milk*(1/1000)),".")</f>
        <v>.</v>
      </c>
      <c r="DK11" s="15" t="str">
        <f>IFERROR(M11/(s_RadSpec!AO11*s_Q_w_sheep*(1/1000)),".")</f>
        <v>.</v>
      </c>
      <c r="DL11" s="15" t="str">
        <f>IFERROR(O11*s_D_milk/(s_RadSpec!AP11*s_Q_w_sheep_milk*(1/1000)),".")</f>
        <v>.</v>
      </c>
      <c r="DM11" s="118" t="str">
        <f t="shared" si="27"/>
        <v>.</v>
      </c>
      <c r="DN11" s="118" t="str">
        <f t="shared" si="28"/>
        <v>.</v>
      </c>
      <c r="DO11" s="118">
        <f t="shared" si="29"/>
        <v>1.2726646915068493E-8</v>
      </c>
      <c r="DP11" s="118" t="str">
        <f t="shared" si="30"/>
        <v>.</v>
      </c>
      <c r="DQ11" s="118" t="str">
        <f t="shared" si="31"/>
        <v>.</v>
      </c>
      <c r="DR11" s="118" t="str">
        <f t="shared" si="31"/>
        <v>.</v>
      </c>
      <c r="DS11" s="118" t="str">
        <f t="shared" si="32"/>
        <v>.</v>
      </c>
      <c r="DT11" s="118" t="str">
        <f t="shared" si="33"/>
        <v>.</v>
      </c>
      <c r="DU11" s="118" t="str">
        <f t="shared" si="34"/>
        <v>.</v>
      </c>
      <c r="DV11" s="118" t="str">
        <f t="shared" si="35"/>
        <v>.</v>
      </c>
      <c r="DW11" s="118" t="str">
        <f t="shared" si="36"/>
        <v>.</v>
      </c>
      <c r="DX11" s="118" t="str">
        <f t="shared" si="37"/>
        <v>.</v>
      </c>
      <c r="DY11" s="118" t="str">
        <f t="shared" si="38"/>
        <v>.</v>
      </c>
      <c r="DZ11" s="118" t="str">
        <f t="shared" si="39"/>
        <v>.</v>
      </c>
      <c r="EA11" s="118" t="str">
        <f t="shared" si="40"/>
        <v>.</v>
      </c>
      <c r="EB11" s="15">
        <f t="shared" si="47"/>
        <v>78575292.193891913</v>
      </c>
      <c r="EC11" s="40">
        <f t="shared" si="41"/>
        <v>27500</v>
      </c>
      <c r="ED11" s="40">
        <f>IFERROR(IF(s_RadSpec!D11&lt;&gt;"",s_C*s_IFA_far_adj*s_K*s_RadSpec!D11,0),".")</f>
        <v>0</v>
      </c>
      <c r="EE11" s="40">
        <f t="shared" si="42"/>
        <v>2.5114155251141552</v>
      </c>
      <c r="EF11" s="40">
        <f>s_b2w!CC11</f>
        <v>10682.986976345341</v>
      </c>
      <c r="EG11" s="40">
        <f>IFERROR(s_C*s_RadSpec!AJ11*(1/1000)*s_IFFI_far_adj*s_CF_far_fish,0)</f>
        <v>0</v>
      </c>
      <c r="EH11" s="40">
        <f>IFERROR(s_C*s_RadSpec!AK11*(1/1000)*s_IFSF_far_adj*s_CF_far_shellfish,0)</f>
        <v>0</v>
      </c>
      <c r="EI11" s="40">
        <f>(s_C*s_IFB_far_adj*s_CF_far_beef*s_RadSpec!AI11*s_Q_w_beef*(1/1000))</f>
        <v>22.6875</v>
      </c>
      <c r="EJ11" s="40">
        <f>(s_C*s_IFD_far_adj*s_CF_far_dairy*s_RadSpec!AH11*(1/s_D_milk)*s_Q_w_dairy*(1/1000))</f>
        <v>5.8737864077669908</v>
      </c>
      <c r="EK11" s="40">
        <f>IFERROR((s_C*s_IFSW_far_adj*s_CF_far_swine*s_RadSpec!AN11*s_Q_w_swine*(1/1000)),0)</f>
        <v>0</v>
      </c>
      <c r="EL11" s="40">
        <f>IFERROR((s_C*s_IFP_far_adj*s_CF_far_poultry*s_RadSpec!AL11*s_Q_w_poultry*(1/1000)),0)</f>
        <v>0</v>
      </c>
      <c r="EM11" s="40">
        <f>IFERROR((s_C*s_IFE_far_adj*s_CF_far_egg*s_RadSpec!AM11*s_Q_w_egg*(1/1000)),0)</f>
        <v>0</v>
      </c>
      <c r="EN11" s="40">
        <f>IFERROR((s_C*s_IFGO_far_adj*s_CF_far_goat*s_RadSpec!AQ11*s_Q_p_goat*(1/1000)),0)</f>
        <v>0</v>
      </c>
      <c r="EO11" s="40">
        <f>IFERROR((s_C*s_IFGM_far_adj*s_CF_far_goat_milk*s_RadSpec!AR11*(1/s_D_milk)*s_Q_p_goat_milk*(1/1000)),0)</f>
        <v>0</v>
      </c>
      <c r="EP11" s="40">
        <f>IFERROR((s_C*s_IFSH_far_adj*s_CF_far_sheep*s_RadSpec!AO11*s_Q_p_sheep*(1/1000)),0)</f>
        <v>0</v>
      </c>
      <c r="EQ11" s="40">
        <f>IFERROR((s_C*s_IFSM_far_adj*s_CF_far_sheep_milk*s_RadSpec!AP11*(1/s_D_milk)*s_Q_p_sheep_milk*(1/1000)),0)</f>
        <v>0</v>
      </c>
      <c r="ER11" s="18"/>
      <c r="ES11" s="18"/>
      <c r="ET11" s="18"/>
      <c r="EU11" s="18"/>
      <c r="EV11" s="18"/>
      <c r="EW11" s="18"/>
      <c r="EX11" s="18"/>
      <c r="EY11" s="18"/>
      <c r="EZ11" s="18"/>
      <c r="FA11" s="18"/>
      <c r="FB11" s="18"/>
      <c r="FC11" s="18"/>
      <c r="FD11" s="18"/>
      <c r="FE11" s="18"/>
      <c r="FF11" s="18"/>
      <c r="FG11" s="5"/>
      <c r="FH11" s="15" t="str">
        <f>IFERROR((s_TR/(s_RadSpec!F11*s_IFA_far_adj)),".")</f>
        <v>.</v>
      </c>
      <c r="FI11" s="15">
        <f>IFERROR((s_TR/(s_RadSpec!K11*s_EF_far*(1/365)*s_ED_far*s_ET_far*(1/24)*s_GSF_a)),".")</f>
        <v>276406.7016182298</v>
      </c>
      <c r="FJ11" s="15">
        <f t="shared" ref="FJ11" si="51">IFERROR(IF(AND(ISNUMBER(FH11),ISNUMBER(FI11)),1/((1/FH11)+(1/FI11)),IF(AND(ISNUMBER(FH11),NOT(ISNUMBER(FI11))),1/((1/FH11)),IF(AND(NOT(ISNUMBER(FH11)),ISNUMBER(FI11)),1/((1/FI11)),IF(AND(NOT(ISNUMBER(FH11)),NOT(ISNUMBER(FI11))),".")))),".")</f>
        <v>276406.7016182298</v>
      </c>
      <c r="FK11" s="40">
        <f t="shared" si="44"/>
        <v>10026.041666666666</v>
      </c>
      <c r="FL11" s="40">
        <f t="shared" si="45"/>
        <v>1.5696347031963471</v>
      </c>
      <c r="FM11" s="120"/>
      <c r="FN11" s="120"/>
      <c r="FO11" s="120"/>
    </row>
    <row r="12" spans="1:171" customFormat="1" x14ac:dyDescent="0.25">
      <c r="A12" s="44" t="s">
        <v>22</v>
      </c>
      <c r="B12" s="42" t="s">
        <v>1071</v>
      </c>
      <c r="C12" s="249"/>
      <c r="D12" s="15" t="str">
        <f>s_dir!AC12</f>
        <v>.</v>
      </c>
      <c r="E12" s="15" t="str">
        <f>IFERROR(s_TR/(s_RadSpec!H12*s_IFP_far_adj*s_CF_far_poultry),".")</f>
        <v>.</v>
      </c>
      <c r="F12" s="15" t="str">
        <f>IFERROR(s_TR/(s_RadSpec!H12*s_IFE_far_adj*s_CF_far_egg),".")</f>
        <v>.</v>
      </c>
      <c r="G12" s="15" t="str">
        <f>IFERROR(s_TR/(s_RadSpec!H12*s_IFB_far_adj*s_CF_far_beef),".")</f>
        <v>.</v>
      </c>
      <c r="H12" s="15" t="str">
        <f>IFERROR(s_TR/(s_RadSpec!H12*s_IFD_far_adj*s_CF_far_dairy),".")</f>
        <v>.</v>
      </c>
      <c r="I12" s="15" t="str">
        <f>IFERROR(s_TR/(s_RadSpec!H12*s_IFSW_far_adj*s_CF_far_swine),".")</f>
        <v>.</v>
      </c>
      <c r="J12" s="15" t="str">
        <f>IFERROR(s_TR/(s_RadSpec!H12*s_IFFI_far_adj*s_CF_far_fish),".")</f>
        <v>.</v>
      </c>
      <c r="K12" s="15" t="str">
        <f>IFERROR(s_TR/(s_RadSpec!H12*s_IFSF_far_adj*s_CF_far_shellfish),".")</f>
        <v>.</v>
      </c>
      <c r="L12" s="15" t="str">
        <f>IFERROR(s_TR/(s_RadSpec!H12*s_IFGO_far_adj*s_CF_far_goat),".")</f>
        <v>.</v>
      </c>
      <c r="M12" s="15" t="str">
        <f>IFERROR(s_TR/(s_RadSpec!H12*s_IFSH_far_adj*s_CF_far_sheep),".")</f>
        <v>.</v>
      </c>
      <c r="N12" s="15" t="str">
        <f>IFERROR(s_TR/(s_RadSpec!H12*s_IFGM_far_adj*s_CF_far_goat_milk),".")</f>
        <v>.</v>
      </c>
      <c r="O12" s="15" t="str">
        <f>IFERROR(s_TR/(s_RadSpec!H12*s_IFSM_far_adj*s_CF_far_sheep_milk),".")</f>
        <v>.</v>
      </c>
      <c r="P12" s="40">
        <f>s_dir!BC12</f>
        <v>605000</v>
      </c>
      <c r="Q12" s="40">
        <f t="shared" si="0"/>
        <v>151250</v>
      </c>
      <c r="R12" s="40">
        <f t="shared" si="1"/>
        <v>151250</v>
      </c>
      <c r="S12" s="40">
        <f t="shared" si="2"/>
        <v>151250</v>
      </c>
      <c r="T12" s="40">
        <f t="shared" si="3"/>
        <v>151250</v>
      </c>
      <c r="U12" s="40">
        <f t="shared" si="4"/>
        <v>151250</v>
      </c>
      <c r="V12" s="40">
        <f t="shared" si="5"/>
        <v>151250</v>
      </c>
      <c r="W12" s="40">
        <f t="shared" si="6"/>
        <v>151250</v>
      </c>
      <c r="X12" s="40">
        <f t="shared" si="7"/>
        <v>151250</v>
      </c>
      <c r="Y12" s="40">
        <f t="shared" si="8"/>
        <v>151250</v>
      </c>
      <c r="Z12" s="40">
        <f t="shared" si="9"/>
        <v>151250</v>
      </c>
      <c r="AA12" s="40">
        <f t="shared" si="10"/>
        <v>151250</v>
      </c>
      <c r="AB12" s="5"/>
      <c r="AC12" s="5"/>
      <c r="AD12" s="5"/>
      <c r="AE12" s="5"/>
      <c r="AF12" s="5"/>
      <c r="AG12" s="5"/>
      <c r="AH12" s="5"/>
      <c r="AI12" s="5"/>
      <c r="AJ12" s="5"/>
      <c r="AK12" s="5"/>
      <c r="AL12" s="5"/>
      <c r="AM12" s="5"/>
      <c r="AN12" s="45" t="str">
        <f>IFERROR((s_TR/(s_RadSpec!E12*s_IFS_far_adj*(1/1000)))*1,".")</f>
        <v>.</v>
      </c>
      <c r="AO12" s="45" t="str">
        <f>IFERROR(IF(A12="H-3",(s_TR/(s_RadSpec!F12*s_IFA_far_adj*(1/17)*1000))*1,(s_TR/(s_RadSpec!F12*s_IFA_far_adj*(1/s_PEF_wind)*1000))*1),".")</f>
        <v>.</v>
      </c>
      <c r="AP12" s="45">
        <f>IFERROR((s_TR/(s_RadSpec!G12*s_EF_far*(1/365)*s_ED_far*s_RadSpec!R12*((s_ET_far_o*(1/24)*s_RadSpec!W12)+(s_ET_far_i*(1/24)*s_RadSpec!AB12))))*1,".")</f>
        <v>307.2083120591318</v>
      </c>
      <c r="AQ12" s="45" t="str">
        <f>s_b2s!BC12</f>
        <v>.</v>
      </c>
      <c r="AR12" s="45" t="str">
        <f>IFERROR(((J12*s_RadSpec!AU12)/s_RadSpec!AJ12)*1,".")</f>
        <v>.</v>
      </c>
      <c r="AS12" s="45" t="str">
        <f>IFERROR(((K12*s_RadSpec!AU12)/s_RadSpec!AK12)*1,".")</f>
        <v>.</v>
      </c>
      <c r="AT12" s="45" t="str">
        <f>IFERROR((G12/(s_RadSpec!AI12*((s_Q_p_beef*s_f_p_beef*s_f_s_beef*(s_RadSpec!BD12+s_R_es_past))+(s_Q_s_beef*s_f_p_beef))))*1,".")</f>
        <v>.</v>
      </c>
      <c r="AU12" s="45" t="str">
        <f>IFERROR(((H12*s_D_milk)/(s_RadSpec!AH12*((s_Q_p_dairy*s_f_p_dairy*s_f_s_dairy*(s_RadSpec!BD12+s_R_es_past))+(s_Q_s_dairy*s_f_p_dairy))))*1,".")</f>
        <v>.</v>
      </c>
      <c r="AV12" s="45" t="str">
        <f>IFERROR((I12/(s_RadSpec!AN12*((s_Q_p_swine*s_f_p_swine*s_f_s_swine*(s_RadSpec!BD12+s_R_es_past))+(s_Q_s_swine*s_f_p_swine))))*1,".")</f>
        <v>.</v>
      </c>
      <c r="AW12" s="45" t="str">
        <f>IFERROR((E12/(s_RadSpec!AL12*((s_Q_p_poultry*s_f_p_poultry*s_f_s_poultry*(s_RadSpec!BD12+s_R_es_past))+(s_Q_s_poultry*s_f_p_poultry))))*1,".")</f>
        <v>.</v>
      </c>
      <c r="AX12" s="45" t="str">
        <f>IFERROR((F12/(s_RadSpec!AM12*((s_Q_p_poultry*s_f_p_poultry*s_f_s_poultry*(s_RadSpec!BD12+s_R_es_past))+(s_Q_s_poultry*s_f_p_poultry))))*1,".")</f>
        <v>.</v>
      </c>
      <c r="AY12" s="45" t="str">
        <f>IFERROR((L12/(s_RadSpec!AQ12*((s_Q_p_goat*s_f_p_goat*s_f_s_goat*(s_RadSpec!BD12+s_R_es_past))+(s_Q_s_goat*s_f_p_goat))))*1,".")</f>
        <v>.</v>
      </c>
      <c r="AZ12" s="45" t="str">
        <f>IFERROR((N12*s_D_milk/(s_RadSpec!AR12*((s_Q_p_goat_milk*s_f_p_goat_milk*s_f_s_goat_milk*(s_RadSpec!BD12+s_R_es_past))+(s_Q_s_goat_milk*s_f_p_goat_milk))))*1,".")</f>
        <v>.</v>
      </c>
      <c r="BA12" s="45" t="str">
        <f>IFERROR((M12/(s_RadSpec!AO12*((s_Q_p_sheep*s_f_p_sheep*s_f_s_sheep*(s_RadSpec!BD12+s_R_es_past))+(s_Q_s_sheep*s_f_p_sheep))))*1,".")</f>
        <v>.</v>
      </c>
      <c r="BB12" s="45" t="str">
        <f>IFERROR((O12*s_D_milk/(s_RadSpec!AP12*((s_Q_p_sheep_milk*s_f_p_sheep_milk*s_f_s_sheep_milk*(s_RadSpec!BD12+s_R_es_past))+(s_Q_s_sheep_milk*s_f_p_sheep_milk))))*1,".")</f>
        <v>.</v>
      </c>
      <c r="BC12" s="118" t="str">
        <f t="shared" si="11"/>
        <v>.</v>
      </c>
      <c r="BD12" s="118" t="str">
        <f t="shared" si="12"/>
        <v>.</v>
      </c>
      <c r="BE12" s="118">
        <f t="shared" si="13"/>
        <v>3.2551202579685374E-3</v>
      </c>
      <c r="BF12" s="118" t="str">
        <f t="shared" si="14"/>
        <v>.</v>
      </c>
      <c r="BG12" s="118" t="str">
        <f t="shared" si="15"/>
        <v>.</v>
      </c>
      <c r="BH12" s="118" t="str">
        <f t="shared" si="15"/>
        <v>.</v>
      </c>
      <c r="BI12" s="118" t="str">
        <f t="shared" si="16"/>
        <v>.</v>
      </c>
      <c r="BJ12" s="118" t="str">
        <f t="shared" si="17"/>
        <v>.</v>
      </c>
      <c r="BK12" s="118" t="str">
        <f t="shared" si="18"/>
        <v>.</v>
      </c>
      <c r="BL12" s="118" t="str">
        <f t="shared" si="19"/>
        <v>.</v>
      </c>
      <c r="BM12" s="118" t="str">
        <f t="shared" si="20"/>
        <v>.</v>
      </c>
      <c r="BN12" s="118" t="str">
        <f t="shared" si="21"/>
        <v>.</v>
      </c>
      <c r="BO12" s="118" t="str">
        <f t="shared" si="22"/>
        <v>.</v>
      </c>
      <c r="BP12" s="118" t="str">
        <f t="shared" si="23"/>
        <v>.</v>
      </c>
      <c r="BQ12" s="118" t="str">
        <f t="shared" si="24"/>
        <v>.</v>
      </c>
      <c r="BR12" s="15">
        <f t="shared" si="46"/>
        <v>307.2083120591318</v>
      </c>
      <c r="BS12" s="40">
        <f t="shared" si="25"/>
        <v>302.5</v>
      </c>
      <c r="BT12" s="40">
        <f t="shared" si="26"/>
        <v>3.2362545583179352E-2</v>
      </c>
      <c r="BU12" s="40">
        <f>IFERROR((s_C*s_EF_far*(1/365)*s_ED_far*s_RadSpec!R12*((s_ET_far_o*(1/24)*s_RadSpec!W12)+(s_ET_far_i*(1/24)*s_RadSpec!AB12))),".")</f>
        <v>0.33669061424380331</v>
      </c>
      <c r="BV12" s="40">
        <f>s_b2s!CC12</f>
        <v>189667.5</v>
      </c>
      <c r="BW12" s="40">
        <f>IFERROR(((s_C*s_RadSpec!AJ12)/s_RadSpec!AU12)*s_IFFI_far_adj*s_CF_far_fish,0)</f>
        <v>146448.41269841269</v>
      </c>
      <c r="BX12" s="40">
        <f>IFERROR(((s_C*s_RadSpec!AK12)/s_RadSpec!AU12)*s_IFSF_far_adj*s_CF_far_shellfish,0)</f>
        <v>18005.952380952382</v>
      </c>
      <c r="BY12" s="40">
        <f>(s_C*s_IFB_far_adj*s_CF_far_beef*s_RadSpec!AI12*((s_Q_p_beef*s_f_p_beef*s_f_s_beef*(s_RadSpec!$AT12+s_R_es_past))+(s_Q_s_beef*s_f_p_beef)))</f>
        <v>321406.25</v>
      </c>
      <c r="BZ12" s="40">
        <f>(s_C*s_IFD_far_adj*s_CF_far_dairy*s_RadSpec!AH12*1/s_D_milk*((s_Q_p_dairy*s_f_p_dairy*s_f_s_dairy*(s_RadSpec!$AT12+s_R_es_past))+(s_Q_s_dairy*s_f_p_dairy)))</f>
        <v>15602.245145631068</v>
      </c>
      <c r="CA12" s="40">
        <f>IFERROR((s_C*s_IFSW_far_adj*s_CF_far_swine*s_RadSpec!AN12*((s_Q_p_swine*s_f_p_swine*s_f_s_swine*(s_RadSpec!$AT12+s_R_es_past))+(s_Q_s_swine*s_f_p_swine))),0)</f>
        <v>0</v>
      </c>
      <c r="CB12" s="40">
        <f>IFERROR((s_C*s_IFP_far_adj*s_CF_far_poultry*s_RadSpec!AL12*((s_Q_p_poultry*s_f_p_poultry*s_f_s_poultry*(s_RadSpec!AT12+s_R_es_past))+(s_Q_s_poultry*s_f_p_poultry))),0)</f>
        <v>964218.75</v>
      </c>
      <c r="CC12" s="40">
        <f>IFERROR((s_C*s_IFE_far_adj*s_CF_far_egg*s_RadSpec!AM12*((s_Q_p_egg*s_f_p_egg*s_f_s_egg*(s_RadSpec!$AT12+s_R_es_past))+(s_Q_s_egg*s_f_p_egg))),0)</f>
        <v>0</v>
      </c>
      <c r="CD12" s="40">
        <f>IFERROR((s_C*s_IFGO_far_adj*s_CF_far_goat*s_RadSpec!AQ12*((s_Q_p_goat*s_f_p_goat*s_f_s_goat*(s_RadSpec!$AT12+s_R_es_past))+(s_Q_s_goat*s_f_p_goat))),0)</f>
        <v>0</v>
      </c>
      <c r="CE12" s="40">
        <f>IFERROR((s_C*s_IFGM_far_adj*s_CF_far_goat_milk*s_RadSpec!AR12*1/s_D_milk*((s_Q_p_goat_milk*s_f_p_goat_milk*s_f_s_goat_milk*(s_RadSpec!$AT12+s_R_es_past))+(s_Q_s_goat_milk*s_f_p_goat_milk))),0)</f>
        <v>0</v>
      </c>
      <c r="CF12" s="40">
        <f>IFERROR((s_C*s_IFSH_far_adj*s_CF_far_sheep*s_RadSpec!AO12*((s_Q_p_sheep*s_f_p_sheep*s_f_s_sheep*(s_RadSpec!$AT12+s_R_es_past))+(s_Q_s_sheep*s_f_p_sheep))),0)</f>
        <v>0</v>
      </c>
      <c r="CG12" s="40">
        <f>IFERROR((s_C*s_IFSM_far_adj*s_CF_far_sheep_milk*s_RadSpec!AP12*1/s_D_milk*((s_Q_p_sheep_milk*s_f_p_sheep_milk*s_f_s_sheep_milk*(s_RadSpec!$AT12+s_R_es_past))+(s_Q_s_sheep_milk*s_f_p_sheep_milk))),0)</f>
        <v>0</v>
      </c>
      <c r="CH12" s="18"/>
      <c r="CI12" s="18"/>
      <c r="CJ12" s="18"/>
      <c r="CK12" s="18"/>
      <c r="CL12" s="18"/>
      <c r="CM12" s="18"/>
      <c r="CN12" s="18"/>
      <c r="CO12" s="18"/>
      <c r="CP12" s="18"/>
      <c r="CQ12" s="18"/>
      <c r="CR12" s="18"/>
      <c r="CS12" s="18"/>
      <c r="CT12" s="18"/>
      <c r="CU12" s="18"/>
      <c r="CV12" s="18"/>
      <c r="CW12" s="5"/>
      <c r="CX12" s="15" t="str">
        <f>IFERROR(s_TR/(s_RadSpec!I12*s_IFW_far_adj),".")</f>
        <v>.</v>
      </c>
      <c r="CY12" s="15" t="str">
        <f>IFERROR(IF(AND(s_RadSpec!C12=1,s_RadSpec!D12&lt;&gt;0),s_TR/(s_RadSpec!F12*s_IFA_far_adj*s_K*s_RadSpec!D12),"."),".")</f>
        <v>.</v>
      </c>
      <c r="CZ12" s="15">
        <f>IFERROR((s_TR/(s_RadSpec!M12*(1/8760)*s_DFA_far_adj)),".")</f>
        <v>18433338.817377891</v>
      </c>
      <c r="DA12" s="15" t="str">
        <f>s_b2w!BC12</f>
        <v>.</v>
      </c>
      <c r="DB12" s="15" t="str">
        <f>IFERROR(J12/(s_RadSpec!AJ12*(1/1000)),".")</f>
        <v>.</v>
      </c>
      <c r="DC12" s="15" t="str">
        <f>IFERROR(K12/(s_RadSpec!AK12*(1/1000)),".")</f>
        <v>.</v>
      </c>
      <c r="DD12" s="15" t="str">
        <f>IFERROR(G12/(s_RadSpec!AI12*s_Q_w_beef*(1/1000)),".")</f>
        <v>.</v>
      </c>
      <c r="DE12" s="15" t="str">
        <f>IFERROR((H12*s_D_milk)/(s_RadSpec!AH12*s_Q_w_dairy*(1/1000)),".")</f>
        <v>.</v>
      </c>
      <c r="DF12" s="15" t="str">
        <f>IFERROR(I12/(s_RadSpec!AN12*s_Q_w_swine*(1/1000)),".")</f>
        <v>.</v>
      </c>
      <c r="DG12" s="15" t="str">
        <f>IFERROR(E12/(s_RadSpec!AL12*s_Q_w_poultry*(1/1000)),".")</f>
        <v>.</v>
      </c>
      <c r="DH12" s="15" t="str">
        <f>IFERROR(F12/(s_RadSpec!AM12*s_Q_w_poultry*(1/1000)),".")</f>
        <v>.</v>
      </c>
      <c r="DI12" s="15" t="str">
        <f>IFERROR(L12/(s_RadSpec!AQ12*s_Q_w_goat*(1/1000)),".")</f>
        <v>.</v>
      </c>
      <c r="DJ12" s="15" t="str">
        <f>IFERROR(N12*s_D_milk/(s_RadSpec!AR12*s_Q_w_goat_milk*(1/1000)),".")</f>
        <v>.</v>
      </c>
      <c r="DK12" s="15" t="str">
        <f>IFERROR(M12/(s_RadSpec!AO12*s_Q_w_sheep*(1/1000)),".")</f>
        <v>.</v>
      </c>
      <c r="DL12" s="15" t="str">
        <f>IFERROR(O12*s_D_milk/(s_RadSpec!AP12*s_Q_w_sheep_milk*(1/1000)),".")</f>
        <v>.</v>
      </c>
      <c r="DM12" s="118" t="str">
        <f t="shared" si="27"/>
        <v>.</v>
      </c>
      <c r="DN12" s="118" t="str">
        <f t="shared" si="28"/>
        <v>.</v>
      </c>
      <c r="DO12" s="118">
        <f t="shared" si="29"/>
        <v>5.4249531780821903E-8</v>
      </c>
      <c r="DP12" s="118" t="str">
        <f t="shared" si="30"/>
        <v>.</v>
      </c>
      <c r="DQ12" s="118" t="str">
        <f t="shared" si="31"/>
        <v>.</v>
      </c>
      <c r="DR12" s="118" t="str">
        <f t="shared" si="31"/>
        <v>.</v>
      </c>
      <c r="DS12" s="118" t="str">
        <f t="shared" si="32"/>
        <v>.</v>
      </c>
      <c r="DT12" s="118" t="str">
        <f t="shared" si="33"/>
        <v>.</v>
      </c>
      <c r="DU12" s="118" t="str">
        <f t="shared" si="34"/>
        <v>.</v>
      </c>
      <c r="DV12" s="118" t="str">
        <f t="shared" si="35"/>
        <v>.</v>
      </c>
      <c r="DW12" s="118" t="str">
        <f t="shared" si="36"/>
        <v>.</v>
      </c>
      <c r="DX12" s="118" t="str">
        <f t="shared" si="37"/>
        <v>.</v>
      </c>
      <c r="DY12" s="118" t="str">
        <f t="shared" si="38"/>
        <v>.</v>
      </c>
      <c r="DZ12" s="118" t="str">
        <f t="shared" si="39"/>
        <v>.</v>
      </c>
      <c r="EA12" s="118" t="str">
        <f t="shared" si="40"/>
        <v>.</v>
      </c>
      <c r="EB12" s="15">
        <f t="shared" si="47"/>
        <v>18433338.817377891</v>
      </c>
      <c r="EC12" s="40">
        <f t="shared" si="41"/>
        <v>27500</v>
      </c>
      <c r="ED12" s="40">
        <f>IFERROR(IF(s_RadSpec!D12&lt;&gt;"",s_C*s_IFA_far_adj*s_K*s_RadSpec!D12,0),".")</f>
        <v>0</v>
      </c>
      <c r="EE12" s="40">
        <f t="shared" si="42"/>
        <v>2.5114155251141552</v>
      </c>
      <c r="EF12" s="40">
        <f>s_b2w!CC12</f>
        <v>43140.750340974599</v>
      </c>
      <c r="EG12" s="40">
        <f>IFERROR(s_C*s_RadSpec!AJ12*(1/1000)*s_IFFI_far_adj*s_CF_far_fish,0)</f>
        <v>922625</v>
      </c>
      <c r="EH12" s="40">
        <f>IFERROR(s_C*s_RadSpec!AK12*(1/1000)*s_IFSF_far_adj*s_CF_far_shellfish,0)</f>
        <v>113437.5</v>
      </c>
      <c r="EI12" s="40">
        <f>(s_C*s_IFB_far_adj*s_CF_far_beef*s_RadSpec!AI12*s_Q_w_beef*(1/1000))</f>
        <v>7.5625</v>
      </c>
      <c r="EJ12" s="40">
        <f>(s_C*s_IFD_far_adj*s_CF_far_dairy*s_RadSpec!AH12*(1/s_D_milk)*s_Q_w_dairy*(1/1000))</f>
        <v>0.36711165048543692</v>
      </c>
      <c r="EK12" s="40">
        <f>IFERROR((s_C*s_IFSW_far_adj*s_CF_far_swine*s_RadSpec!AN12*s_Q_w_swine*(1/1000)),0)</f>
        <v>0</v>
      </c>
      <c r="EL12" s="40">
        <f>IFERROR((s_C*s_IFP_far_adj*s_CF_far_poultry*s_RadSpec!AL12*s_Q_w_poultry*(1/1000)),0)</f>
        <v>22.6875</v>
      </c>
      <c r="EM12" s="40">
        <f>IFERROR((s_C*s_IFE_far_adj*s_CF_far_egg*s_RadSpec!AM12*s_Q_w_egg*(1/1000)),0)</f>
        <v>0</v>
      </c>
      <c r="EN12" s="40">
        <f>IFERROR((s_C*s_IFGO_far_adj*s_CF_far_goat*s_RadSpec!AQ12*s_Q_p_goat*(1/1000)),0)</f>
        <v>0</v>
      </c>
      <c r="EO12" s="40">
        <f>IFERROR((s_C*s_IFGM_far_adj*s_CF_far_goat_milk*s_RadSpec!AR12*(1/s_D_milk)*s_Q_p_goat_milk*(1/1000)),0)</f>
        <v>0</v>
      </c>
      <c r="EP12" s="40">
        <f>IFERROR((s_C*s_IFSH_far_adj*s_CF_far_sheep*s_RadSpec!AO12*s_Q_p_sheep*(1/1000)),0)</f>
        <v>0</v>
      </c>
      <c r="EQ12" s="40">
        <f>IFERROR((s_C*s_IFSM_far_adj*s_CF_far_sheep_milk*s_RadSpec!AP12*(1/s_D_milk)*s_Q_p_sheep_milk*(1/1000)),0)</f>
        <v>0</v>
      </c>
      <c r="ER12" s="18"/>
      <c r="ES12" s="18"/>
      <c r="ET12" s="18"/>
      <c r="EU12" s="18"/>
      <c r="EV12" s="18"/>
      <c r="EW12" s="18"/>
      <c r="EX12" s="18"/>
      <c r="EY12" s="18"/>
      <c r="EZ12" s="18"/>
      <c r="FA12" s="18"/>
      <c r="FB12" s="18"/>
      <c r="FC12" s="18"/>
      <c r="FD12" s="18"/>
      <c r="FE12" s="18"/>
      <c r="FF12" s="18"/>
      <c r="FG12" s="5"/>
      <c r="FH12" s="15" t="str">
        <f>IFERROR((s_TR/(s_RadSpec!F12*s_IFA_far_adj)),".")</f>
        <v>.</v>
      </c>
      <c r="FI12" s="15">
        <f>IFERROR((s_TR/(s_RadSpec!K12*s_EF_far*(1/365)*s_ED_far*s_ET_far*(1/24)*s_GSF_a)),".")</f>
        <v>64191.391646398297</v>
      </c>
      <c r="FJ12" s="15">
        <f t="shared" ref="FJ12" si="52">IFERROR(IF(AND(ISNUMBER(FH12),ISNUMBER(FI12)),1/((1/FH12)+(1/FI12)),IF(AND(ISNUMBER(FH12),NOT(ISNUMBER(FI12))),1/((1/FH12)),IF(AND(NOT(ISNUMBER(FH12)),ISNUMBER(FI12)),1/((1/FI12)),IF(AND(NOT(ISNUMBER(FH12)),NOT(ISNUMBER(FI12))),".")))),".")</f>
        <v>64191.391646398297</v>
      </c>
      <c r="FK12" s="40">
        <f t="shared" si="44"/>
        <v>10026.041666666666</v>
      </c>
      <c r="FL12" s="40">
        <f t="shared" si="45"/>
        <v>1.5696347031963471</v>
      </c>
      <c r="FM12" s="120"/>
      <c r="FN12" s="120"/>
      <c r="FO12" s="120"/>
    </row>
    <row r="13" spans="1:171" customFormat="1" x14ac:dyDescent="0.25">
      <c r="A13" s="44" t="s">
        <v>23</v>
      </c>
      <c r="B13" s="42" t="s">
        <v>1071</v>
      </c>
      <c r="C13" s="42"/>
      <c r="D13" s="15">
        <f>s_dir!AC13</f>
        <v>0.997160088069179</v>
      </c>
      <c r="E13" s="15">
        <f>IFERROR(s_TR/(s_RadSpec!H13*s_IFP_far_adj*s_CF_far_poultry),".")</f>
        <v>3.988640352276716</v>
      </c>
      <c r="F13" s="15">
        <f>IFERROR(s_TR/(s_RadSpec!H13*s_IFE_far_adj*s_CF_far_egg),".")</f>
        <v>3.988640352276716</v>
      </c>
      <c r="G13" s="15">
        <f>IFERROR(s_TR/(s_RadSpec!H13*s_IFB_far_adj*s_CF_far_beef),".")</f>
        <v>3.988640352276716</v>
      </c>
      <c r="H13" s="15">
        <f>IFERROR(s_TR/(s_RadSpec!H13*s_IFD_far_adj*s_CF_far_dairy),".")</f>
        <v>3.988640352276716</v>
      </c>
      <c r="I13" s="15">
        <f>IFERROR(s_TR/(s_RadSpec!H13*s_IFSW_far_adj*s_CF_far_swine),".")</f>
        <v>3.988640352276716</v>
      </c>
      <c r="J13" s="15">
        <f>IFERROR(s_TR/(s_RadSpec!H13*s_IFFI_far_adj*s_CF_far_fish),".")</f>
        <v>3.988640352276716</v>
      </c>
      <c r="K13" s="15">
        <f>IFERROR(s_TR/(s_RadSpec!H13*s_IFSF_far_adj*s_CF_far_shellfish),".")</f>
        <v>3.988640352276716</v>
      </c>
      <c r="L13" s="15">
        <f>IFERROR(s_TR/(s_RadSpec!H13*s_IFGO_far_adj*s_CF_far_goat),".")</f>
        <v>3.988640352276716</v>
      </c>
      <c r="M13" s="15">
        <f>IFERROR(s_TR/(s_RadSpec!H13*s_IFSH_far_adj*s_CF_far_sheep),".")</f>
        <v>3.988640352276716</v>
      </c>
      <c r="N13" s="15">
        <f>IFERROR(s_TR/(s_RadSpec!H13*s_IFGM_far_adj*s_CF_far_goat_milk),".")</f>
        <v>3.988640352276716</v>
      </c>
      <c r="O13" s="15">
        <f>IFERROR(s_TR/(s_RadSpec!H13*s_IFSM_far_adj*s_CF_far_sheep_milk),".")</f>
        <v>3.988640352276716</v>
      </c>
      <c r="P13" s="40">
        <f>s_dir!BC13</f>
        <v>605000</v>
      </c>
      <c r="Q13" s="40">
        <f t="shared" si="0"/>
        <v>151250</v>
      </c>
      <c r="R13" s="40">
        <f t="shared" si="1"/>
        <v>151250</v>
      </c>
      <c r="S13" s="40">
        <f t="shared" si="2"/>
        <v>151250</v>
      </c>
      <c r="T13" s="40">
        <f t="shared" si="3"/>
        <v>151250</v>
      </c>
      <c r="U13" s="40">
        <f t="shared" si="4"/>
        <v>151250</v>
      </c>
      <c r="V13" s="40">
        <f t="shared" si="5"/>
        <v>151250</v>
      </c>
      <c r="W13" s="40">
        <f t="shared" si="6"/>
        <v>151250</v>
      </c>
      <c r="X13" s="40">
        <f t="shared" si="7"/>
        <v>151250</v>
      </c>
      <c r="Y13" s="40">
        <f t="shared" si="8"/>
        <v>151250</v>
      </c>
      <c r="Z13" s="40">
        <f t="shared" si="9"/>
        <v>151250</v>
      </c>
      <c r="AA13" s="40">
        <f t="shared" si="10"/>
        <v>151250</v>
      </c>
      <c r="AB13" s="5"/>
      <c r="AC13" s="5"/>
      <c r="AD13" s="5"/>
      <c r="AE13" s="5"/>
      <c r="AF13" s="5"/>
      <c r="AG13" s="5"/>
      <c r="AH13" s="5"/>
      <c r="AI13" s="5"/>
      <c r="AJ13" s="5"/>
      <c r="AK13" s="5"/>
      <c r="AL13" s="5"/>
      <c r="AM13" s="5"/>
      <c r="AN13" s="45">
        <f>IFERROR((s_TR/(s_RadSpec!E13*s_IFS_far_adj*(1/1000)))*1,".")</f>
        <v>1325.6015414094722</v>
      </c>
      <c r="AO13" s="45">
        <f>IFERROR(IF(A13="H-3",(s_TR/(s_RadSpec!F13*s_IFA_far_adj*(1/17)*1000))*1,(s_TR/(s_RadSpec!F13*s_IFA_far_adj*(1/s_PEF_wind)*1000))*1),".")</f>
        <v>53879.542897895233</v>
      </c>
      <c r="AP13" s="45">
        <f>IFERROR((s_TR/(s_RadSpec!G13*s_EF_far*(1/365)*s_ED_far*s_RadSpec!R13*((s_ET_far_o*(1/24)*s_RadSpec!W13)+(s_ET_far_i*(1/24)*s_RadSpec!AB13))))*1,".")</f>
        <v>22067.622424784644</v>
      </c>
      <c r="AQ13" s="45">
        <f>s_b2s!BC13</f>
        <v>41.897482691982319</v>
      </c>
      <c r="AR13" s="45">
        <f>IFERROR(((J13*s_RadSpec!AU13)/s_RadSpec!AJ13)*1,".")</f>
        <v>2.6590935681844775E-2</v>
      </c>
      <c r="AS13" s="45">
        <f>IFERROR(((K13*s_RadSpec!AU13)/s_RadSpec!AK13)*1,".")</f>
        <v>8.3971375837404546E-5</v>
      </c>
      <c r="AT13" s="45">
        <f>IFERROR((G13/(s_RadSpec!AI13*((s_Q_p_beef*s_f_p_beef*s_f_s_beef*(s_RadSpec!BD13+s_R_es_past))+(s_Q_s_beef*s_f_p_beef))))*1,".")</f>
        <v>453.68421068550327</v>
      </c>
      <c r="AU13" s="45">
        <f>IFERROR(((H13*s_D_milk)/(s_RadSpec!AH13*((s_Q_p_dairy*s_f_p_dairy*s_f_s_dairy*(s_RadSpec!BD13+s_R_es_past))+(s_Q_s_dairy*s_f_p_dairy))))*1,".")</f>
        <v>46729.473700606839</v>
      </c>
      <c r="AV13" s="45" t="str">
        <f>IFERROR((I13/(s_RadSpec!AN13*((s_Q_p_swine*s_f_p_swine*s_f_s_swine*(s_RadSpec!BD13+s_R_es_past))+(s_Q_s_swine*s_f_p_swine))))*1,".")</f>
        <v>.</v>
      </c>
      <c r="AW13" s="45" t="str">
        <f>IFERROR((E13/(s_RadSpec!AL13*((s_Q_p_poultry*s_f_p_poultry*s_f_s_poultry*(s_RadSpec!BD13+s_R_es_past))+(s_Q_s_poultry*s_f_p_poultry))))*1,".")</f>
        <v>.</v>
      </c>
      <c r="AX13" s="45" t="str">
        <f>IFERROR((F13/(s_RadSpec!AM13*((s_Q_p_poultry*s_f_p_poultry*s_f_s_poultry*(s_RadSpec!BD13+s_R_es_past))+(s_Q_s_poultry*s_f_p_poultry))))*1,".")</f>
        <v>.</v>
      </c>
      <c r="AY13" s="45" t="str">
        <f>IFERROR((L13/(s_RadSpec!AQ13*((s_Q_p_goat*s_f_p_goat*s_f_s_goat*(s_RadSpec!BD13+s_R_es_past))+(s_Q_s_goat*s_f_p_goat))))*1,".")</f>
        <v>.</v>
      </c>
      <c r="AZ13" s="45">
        <f>IFERROR((N13*s_D_milk/(s_RadSpec!AR13*((s_Q_p_goat_milk*s_f_p_goat_milk*s_f_s_goat_milk*(s_RadSpec!BD13+s_R_es_past))+(s_Q_s_goat_milk*s_f_p_goat_milk))))*1,".")</f>
        <v>881.68818303031765</v>
      </c>
      <c r="BA13" s="45">
        <f>IFERROR((M13/(s_RadSpec!AO13*((s_Q_p_sheep*s_f_p_sheep*s_f_s_sheep*(s_RadSpec!BD13+s_R_es_past))+(s_Q_s_sheep*s_f_p_sheep))))*1,".")</f>
        <v>113.42105267137582</v>
      </c>
      <c r="BB13" s="45" t="str">
        <f>IFERROR((O13*s_D_milk/(s_RadSpec!AP13*((s_Q_p_sheep_milk*s_f_p_sheep_milk*s_f_s_sheep_milk*(s_RadSpec!BD13+s_R_es_past))+(s_Q_s_sheep_milk*s_f_p_sheep_milk))))*1,".")</f>
        <v>.</v>
      </c>
      <c r="BC13" s="118">
        <f t="shared" si="11"/>
        <v>7.543745000000001E-4</v>
      </c>
      <c r="BD13" s="118">
        <f t="shared" si="12"/>
        <v>1.8559919891953358E-5</v>
      </c>
      <c r="BE13" s="118">
        <f t="shared" si="13"/>
        <v>4.531525783570039E-5</v>
      </c>
      <c r="BF13" s="118">
        <f t="shared" si="14"/>
        <v>2.3867782399999996E-2</v>
      </c>
      <c r="BG13" s="118">
        <f t="shared" si="15"/>
        <v>37.6068</v>
      </c>
      <c r="BH13" s="118">
        <f t="shared" si="15"/>
        <v>11908.82</v>
      </c>
      <c r="BI13" s="118">
        <f t="shared" si="16"/>
        <v>2.2041763333333331E-3</v>
      </c>
      <c r="BJ13" s="118">
        <f t="shared" si="17"/>
        <v>2.1399770226537213E-5</v>
      </c>
      <c r="BK13" s="118" t="str">
        <f t="shared" si="18"/>
        <v>.</v>
      </c>
      <c r="BL13" s="118" t="str">
        <f t="shared" si="19"/>
        <v>.</v>
      </c>
      <c r="BM13" s="118" t="str">
        <f t="shared" si="20"/>
        <v>.</v>
      </c>
      <c r="BN13" s="118" t="str">
        <f t="shared" si="21"/>
        <v>.</v>
      </c>
      <c r="BO13" s="118">
        <f t="shared" si="22"/>
        <v>1.1341878220064725E-3</v>
      </c>
      <c r="BP13" s="118">
        <f t="shared" si="23"/>
        <v>8.8167053333333325E-3</v>
      </c>
      <c r="BQ13" s="118" t="str">
        <f t="shared" si="24"/>
        <v>.</v>
      </c>
      <c r="BR13" s="15">
        <f t="shared" si="46"/>
        <v>8.3706779533335249E-5</v>
      </c>
      <c r="BS13" s="40">
        <f t="shared" si="25"/>
        <v>302.5</v>
      </c>
      <c r="BT13" s="40">
        <f t="shared" si="26"/>
        <v>3.2362545583179352E-2</v>
      </c>
      <c r="BU13" s="40">
        <f>IFERROR((s_C*s_EF_far*(1/365)*s_ED_far*s_RadSpec!R13*((s_ET_far_o*(1/24)*s_RadSpec!W13)+(s_ET_far_i*(1/24)*s_RadSpec!AB13))),".")</f>
        <v>4.3803119688031168E-2</v>
      </c>
      <c r="BV13" s="40">
        <f>s_b2s!CC13</f>
        <v>14399</v>
      </c>
      <c r="BW13" s="40">
        <f>IFERROR(((s_C*s_RadSpec!AJ13)/s_RadSpec!AU13)*s_IFFI_far_adj*s_CF_far_fish,0)</f>
        <v>22687500</v>
      </c>
      <c r="BX13" s="40">
        <f>IFERROR(((s_C*s_RadSpec!AK13)/s_RadSpec!AU13)*s_IFSF_far_adj*s_CF_far_shellfish,0)</f>
        <v>7184375000</v>
      </c>
      <c r="BY13" s="40">
        <f>(s_C*s_IFB_far_adj*s_CF_far_beef*s_RadSpec!AI13*((s_Q_p_beef*s_f_p_beef*s_f_s_beef*(s_RadSpec!$AT13+s_R_es_past))+(s_Q_s_beef*s_f_p_beef)))</f>
        <v>1329.7395833333333</v>
      </c>
      <c r="BZ13" s="40">
        <f>(s_C*s_IFD_far_adj*s_CF_far_dairy*s_RadSpec!AH13*1/s_D_milk*((s_Q_p_dairy*s_f_p_dairy*s_f_s_dairy*(s_RadSpec!$AT13+s_R_es_past))+(s_Q_s_dairy*s_f_p_dairy)))</f>
        <v>12.910093042071194</v>
      </c>
      <c r="CA13" s="40">
        <f>IFERROR((s_C*s_IFSW_far_adj*s_CF_far_swine*s_RadSpec!AN13*((s_Q_p_swine*s_f_p_swine*s_f_s_swine*(s_RadSpec!$AT13+s_R_es_past))+(s_Q_s_swine*s_f_p_swine))),0)</f>
        <v>0</v>
      </c>
      <c r="CB13" s="40">
        <f>IFERROR((s_C*s_IFP_far_adj*s_CF_far_poultry*s_RadSpec!AL13*((s_Q_p_poultry*s_f_p_poultry*s_f_s_poultry*(s_RadSpec!AT13+s_R_es_past))+(s_Q_s_poultry*s_f_p_poultry))),0)</f>
        <v>0</v>
      </c>
      <c r="CC13" s="40">
        <f>IFERROR((s_C*s_IFE_far_adj*s_CF_far_egg*s_RadSpec!AM13*((s_Q_p_egg*s_f_p_egg*s_f_s_egg*(s_RadSpec!$AT13+s_R_es_past))+(s_Q_s_egg*s_f_p_egg))),0)</f>
        <v>0</v>
      </c>
      <c r="CD13" s="40">
        <f>IFERROR((s_C*s_IFGO_far_adj*s_CF_far_goat*s_RadSpec!AQ13*((s_Q_p_goat*s_f_p_goat*s_f_s_goat*(s_RadSpec!$AT13+s_R_es_past))+(s_Q_s_goat*s_f_p_goat))),0)</f>
        <v>0</v>
      </c>
      <c r="CE13" s="40">
        <f>IFERROR((s_C*s_IFGM_far_adj*s_CF_far_goat_milk*s_RadSpec!AR13*1/s_D_milk*((s_Q_p_goat_milk*s_f_p_goat_milk*s_f_s_goat_milk*(s_RadSpec!$AT13+s_R_es_past))+(s_Q_s_goat_milk*s_f_p_goat_milk))),0)</f>
        <v>684.23493122977334</v>
      </c>
      <c r="CF13" s="40">
        <f>IFERROR((s_C*s_IFSH_far_adj*s_CF_far_sheep*s_RadSpec!AO13*((s_Q_p_sheep*s_f_p_sheep*s_f_s_sheep*(s_RadSpec!$AT13+s_R_es_past))+(s_Q_s_sheep*s_f_p_sheep))),0)</f>
        <v>5318.958333333333</v>
      </c>
      <c r="CG13" s="40">
        <f>IFERROR((s_C*s_IFSM_far_adj*s_CF_far_sheep_milk*s_RadSpec!AP13*1/s_D_milk*((s_Q_p_sheep_milk*s_f_p_sheep_milk*s_f_s_sheep_milk*(s_RadSpec!$AT13+s_R_es_past))+(s_Q_s_sheep_milk*s_f_p_sheep_milk))),0)</f>
        <v>0</v>
      </c>
      <c r="CH13" s="18"/>
      <c r="CI13" s="18"/>
      <c r="CJ13" s="18"/>
      <c r="CK13" s="18"/>
      <c r="CL13" s="18"/>
      <c r="CM13" s="18"/>
      <c r="CN13" s="18"/>
      <c r="CO13" s="18"/>
      <c r="CP13" s="18"/>
      <c r="CQ13" s="18"/>
      <c r="CR13" s="18"/>
      <c r="CS13" s="18"/>
      <c r="CT13" s="18"/>
      <c r="CU13" s="18"/>
      <c r="CV13" s="18"/>
      <c r="CW13" s="5"/>
      <c r="CX13" s="15">
        <f>IFERROR(s_TR/(s_RadSpec!I13*s_IFW_far_adj),".")</f>
        <v>29.250029250029254</v>
      </c>
      <c r="CY13" s="15" t="str">
        <f>IFERROR(IF(AND(s_RadSpec!C13=1,s_RadSpec!D13&lt;&gt;0),s_TR/(s_RadSpec!F13*s_IFA_far_adj*s_K*s_RadSpec!D13),"."),".")</f>
        <v>.</v>
      </c>
      <c r="CZ13" s="15">
        <f>IFERROR((s_TR/(s_RadSpec!M13*(1/8760)*s_DFA_far_adj)),".")</f>
        <v>115992098.00050713</v>
      </c>
      <c r="DA13" s="15">
        <f>s_b2w!BC13</f>
        <v>72.555426051028576</v>
      </c>
      <c r="DB13" s="15">
        <f>IFERROR(J13/(s_RadSpec!AJ13*(1/1000)),".")</f>
        <v>132.95467840922387</v>
      </c>
      <c r="DC13" s="15">
        <f>IFERROR(K13/(s_RadSpec!AK13*(1/1000)),".")</f>
        <v>0.41985687918702275</v>
      </c>
      <c r="DD13" s="15">
        <f>IFERROR(G13/(s_RadSpec!AI13*s_Q_w_beef*(1/1000)),".")</f>
        <v>7977280.7045534328</v>
      </c>
      <c r="DE13" s="15">
        <f>IFERROR((H13*s_D_milk)/(s_RadSpec!AH13*s_Q_w_dairy*(1/1000)),".")</f>
        <v>821659912.56900358</v>
      </c>
      <c r="DF13" s="15" t="str">
        <f>IFERROR(I13/(s_RadSpec!AN13*s_Q_w_swine*(1/1000)),".")</f>
        <v>.</v>
      </c>
      <c r="DG13" s="15" t="str">
        <f>IFERROR(E13/(s_RadSpec!AL13*s_Q_w_poultry*(1/1000)),".")</f>
        <v>.</v>
      </c>
      <c r="DH13" s="15" t="str">
        <f>IFERROR(F13/(s_RadSpec!AM13*s_Q_w_poultry*(1/1000)),".")</f>
        <v>.</v>
      </c>
      <c r="DI13" s="15" t="str">
        <f>IFERROR(L13/(s_RadSpec!AQ13*s_Q_w_goat*(1/1000)),".")</f>
        <v>.</v>
      </c>
      <c r="DJ13" s="15">
        <f>IFERROR(N13*s_D_milk/(s_RadSpec!AR13*s_Q_w_goat_milk*(1/1000)),".")</f>
        <v>15503017.218283085</v>
      </c>
      <c r="DK13" s="15">
        <f>IFERROR(M13/(s_RadSpec!AO13*s_Q_w_sheep*(1/1000)),".")</f>
        <v>1994320.1761383582</v>
      </c>
      <c r="DL13" s="15" t="str">
        <f>IFERROR(O13*s_D_milk/(s_RadSpec!AP13*s_Q_w_sheep_milk*(1/1000)),".")</f>
        <v>.</v>
      </c>
      <c r="DM13" s="118">
        <f t="shared" si="27"/>
        <v>3.4187999999999996E-2</v>
      </c>
      <c r="DN13" s="118" t="str">
        <f t="shared" si="28"/>
        <v>.</v>
      </c>
      <c r="DO13" s="118">
        <f t="shared" si="29"/>
        <v>8.6212769424657525E-9</v>
      </c>
      <c r="DP13" s="118">
        <f t="shared" si="30"/>
        <v>1.3782566713848463E-2</v>
      </c>
      <c r="DQ13" s="118">
        <f t="shared" si="31"/>
        <v>7.5213599999999995E-3</v>
      </c>
      <c r="DR13" s="118">
        <f t="shared" si="31"/>
        <v>2.381764</v>
      </c>
      <c r="DS13" s="118">
        <f t="shared" si="32"/>
        <v>1.2535599999999997E-7</v>
      </c>
      <c r="DT13" s="118">
        <f t="shared" si="33"/>
        <v>1.2170485436893202E-9</v>
      </c>
      <c r="DU13" s="118" t="str">
        <f t="shared" si="34"/>
        <v>.</v>
      </c>
      <c r="DV13" s="118" t="str">
        <f t="shared" si="35"/>
        <v>.</v>
      </c>
      <c r="DW13" s="118" t="str">
        <f t="shared" si="36"/>
        <v>.</v>
      </c>
      <c r="DX13" s="118" t="str">
        <f t="shared" si="37"/>
        <v>.</v>
      </c>
      <c r="DY13" s="118">
        <f t="shared" si="38"/>
        <v>6.4503572815533978E-8</v>
      </c>
      <c r="DZ13" s="118">
        <f t="shared" si="39"/>
        <v>5.014239999999999E-7</v>
      </c>
      <c r="EA13" s="118" t="str">
        <f t="shared" si="40"/>
        <v>.</v>
      </c>
      <c r="EB13" s="15">
        <f t="shared" si="47"/>
        <v>0.41029737639404329</v>
      </c>
      <c r="EC13" s="40">
        <f t="shared" si="41"/>
        <v>27500</v>
      </c>
      <c r="ED13" s="40">
        <f>IFERROR(IF(s_RadSpec!D13&lt;&gt;"",s_C*s_IFA_far_adj*s_K*s_RadSpec!D13,0),".")</f>
        <v>0</v>
      </c>
      <c r="EE13" s="40">
        <f t="shared" si="42"/>
        <v>2.5114155251141552</v>
      </c>
      <c r="EF13" s="40">
        <f>s_b2w!CC13</f>
        <v>8314.7723901112822</v>
      </c>
      <c r="EG13" s="40">
        <f>IFERROR(s_C*s_RadSpec!AJ13*(1/1000)*s_IFFI_far_adj*s_CF_far_fish,0)</f>
        <v>4537.5</v>
      </c>
      <c r="EH13" s="40">
        <f>IFERROR(s_C*s_RadSpec!AK13*(1/1000)*s_IFSF_far_adj*s_CF_far_shellfish,0)</f>
        <v>1436875</v>
      </c>
      <c r="EI13" s="40">
        <f>(s_C*s_IFB_far_adj*s_CF_far_beef*s_RadSpec!AI13*s_Q_w_beef*(1/1000))</f>
        <v>7.5624999999999998E-2</v>
      </c>
      <c r="EJ13" s="40">
        <f>(s_C*s_IFD_far_adj*s_CF_far_dairy*s_RadSpec!AH13*(1/s_D_milk)*s_Q_w_dairy*(1/1000))</f>
        <v>7.3422330097087376E-4</v>
      </c>
      <c r="EK13" s="40">
        <f>IFERROR((s_C*s_IFSW_far_adj*s_CF_far_swine*s_RadSpec!AN13*s_Q_w_swine*(1/1000)),0)</f>
        <v>0</v>
      </c>
      <c r="EL13" s="40">
        <f>IFERROR((s_C*s_IFP_far_adj*s_CF_far_poultry*s_RadSpec!AL13*s_Q_w_poultry*(1/1000)),0)</f>
        <v>0</v>
      </c>
      <c r="EM13" s="40">
        <f>IFERROR((s_C*s_IFE_far_adj*s_CF_far_egg*s_RadSpec!AM13*s_Q_w_egg*(1/1000)),0)</f>
        <v>0</v>
      </c>
      <c r="EN13" s="40">
        <f>IFERROR((s_C*s_IFGO_far_adj*s_CF_far_goat*s_RadSpec!AQ13*s_Q_p_goat*(1/1000)),0)</f>
        <v>0</v>
      </c>
      <c r="EO13" s="40">
        <f>IFERROR((s_C*s_IFGM_far_adj*s_CF_far_goat_milk*s_RadSpec!AR13*(1/s_D_milk)*s_Q_p_goat_milk*(1/1000)),0)</f>
        <v>3.8913834951456311E-2</v>
      </c>
      <c r="EP13" s="40">
        <f>IFERROR((s_C*s_IFSH_far_adj*s_CF_far_sheep*s_RadSpec!AO13*s_Q_p_sheep*(1/1000)),0)</f>
        <v>0.30249999999999999</v>
      </c>
      <c r="EQ13" s="40">
        <f>IFERROR((s_C*s_IFSM_far_adj*s_CF_far_sheep_milk*s_RadSpec!AP13*(1/s_D_milk)*s_Q_p_sheep_milk*(1/1000)),0)</f>
        <v>0</v>
      </c>
      <c r="ER13" s="18"/>
      <c r="ES13" s="18"/>
      <c r="ET13" s="18"/>
      <c r="EU13" s="18"/>
      <c r="EV13" s="18"/>
      <c r="EW13" s="18"/>
      <c r="EX13" s="18"/>
      <c r="EY13" s="18"/>
      <c r="EZ13" s="18"/>
      <c r="FA13" s="18"/>
      <c r="FB13" s="18"/>
      <c r="FC13" s="18"/>
      <c r="FD13" s="18"/>
      <c r="FE13" s="18"/>
      <c r="FF13" s="18"/>
      <c r="FG13" s="5"/>
      <c r="FH13" s="15">
        <f>IFERROR((s_TR/(s_RadSpec!F13*s_IFA_far_adj)),".")</f>
        <v>0.17391501262469006</v>
      </c>
      <c r="FI13" s="15">
        <f>IFERROR((s_TR/(s_RadSpec!K13*s_EF_far*(1/365)*s_ED_far*s_ET_far*(1/24)*s_GSF_a)),".")</f>
        <v>415241.11795615341</v>
      </c>
      <c r="FJ13" s="15">
        <f t="shared" ref="FJ13:FJ14" si="53">IFERROR(IF(AND(ISNUMBER(FH13),ISNUMBER(FI13)),1/((1/FH13)+(1/FI13)),IF(AND(ISNUMBER(FH13),NOT(ISNUMBER(FI13))),1/((1/FH13)),IF(AND(NOT(ISNUMBER(FH13)),ISNUMBER(FI13)),1/((1/FI13)),IF(AND(NOT(ISNUMBER(FH13)),NOT(ISNUMBER(FI13))),".")))),".")</f>
        <v>0.17391493978407377</v>
      </c>
      <c r="FK13" s="40">
        <f t="shared" si="44"/>
        <v>10026.041666666666</v>
      </c>
      <c r="FL13" s="40">
        <f t="shared" si="45"/>
        <v>1.5696347031963471</v>
      </c>
      <c r="FM13" s="120"/>
      <c r="FN13" s="120"/>
      <c r="FO13" s="120"/>
    </row>
    <row r="14" spans="1:171" customFormat="1" x14ac:dyDescent="0.25">
      <c r="A14" s="44" t="s">
        <v>24</v>
      </c>
      <c r="B14" s="42" t="s">
        <v>1071</v>
      </c>
      <c r="C14" s="42"/>
      <c r="D14" s="15">
        <f>s_dir!AC14</f>
        <v>9.2299115589874425</v>
      </c>
      <c r="E14" s="15">
        <f>IFERROR(s_TR/(s_RadSpec!H14*s_IFP_far_adj*s_CF_far_poultry),".")</f>
        <v>36.91964623594977</v>
      </c>
      <c r="F14" s="15">
        <f>IFERROR(s_TR/(s_RadSpec!H14*s_IFE_far_adj*s_CF_far_egg),".")</f>
        <v>36.91964623594977</v>
      </c>
      <c r="G14" s="15">
        <f>IFERROR(s_TR/(s_RadSpec!H14*s_IFB_far_adj*s_CF_far_beef),".")</f>
        <v>36.91964623594977</v>
      </c>
      <c r="H14" s="15">
        <f>IFERROR(s_TR/(s_RadSpec!H14*s_IFD_far_adj*s_CF_far_dairy),".")</f>
        <v>36.91964623594977</v>
      </c>
      <c r="I14" s="15">
        <f>IFERROR(s_TR/(s_RadSpec!H14*s_IFSW_far_adj*s_CF_far_swine),".")</f>
        <v>36.91964623594977</v>
      </c>
      <c r="J14" s="15">
        <f>IFERROR(s_TR/(s_RadSpec!H14*s_IFFI_far_adj*s_CF_far_fish),".")</f>
        <v>36.91964623594977</v>
      </c>
      <c r="K14" s="15">
        <f>IFERROR(s_TR/(s_RadSpec!H14*s_IFSF_far_adj*s_CF_far_shellfish),".")</f>
        <v>36.91964623594977</v>
      </c>
      <c r="L14" s="15">
        <f>IFERROR(s_TR/(s_RadSpec!H14*s_IFGO_far_adj*s_CF_far_goat),".")</f>
        <v>36.91964623594977</v>
      </c>
      <c r="M14" s="15">
        <f>IFERROR(s_TR/(s_RadSpec!H14*s_IFSH_far_adj*s_CF_far_sheep),".")</f>
        <v>36.91964623594977</v>
      </c>
      <c r="N14" s="15">
        <f>IFERROR(s_TR/(s_RadSpec!H14*s_IFGM_far_adj*s_CF_far_goat_milk),".")</f>
        <v>36.91964623594977</v>
      </c>
      <c r="O14" s="15">
        <f>IFERROR(s_TR/(s_RadSpec!H14*s_IFSM_far_adj*s_CF_far_sheep_milk),".")</f>
        <v>36.91964623594977</v>
      </c>
      <c r="P14" s="40">
        <f>s_dir!BC14</f>
        <v>605000</v>
      </c>
      <c r="Q14" s="40">
        <f t="shared" si="0"/>
        <v>151250</v>
      </c>
      <c r="R14" s="40">
        <f t="shared" si="1"/>
        <v>151250</v>
      </c>
      <c r="S14" s="40">
        <f t="shared" si="2"/>
        <v>151250</v>
      </c>
      <c r="T14" s="40">
        <f t="shared" si="3"/>
        <v>151250</v>
      </c>
      <c r="U14" s="40">
        <f t="shared" si="4"/>
        <v>151250</v>
      </c>
      <c r="V14" s="40">
        <f t="shared" si="5"/>
        <v>151250</v>
      </c>
      <c r="W14" s="40">
        <f t="shared" si="6"/>
        <v>151250</v>
      </c>
      <c r="X14" s="40">
        <f t="shared" si="7"/>
        <v>151250</v>
      </c>
      <c r="Y14" s="40">
        <f t="shared" si="8"/>
        <v>151250</v>
      </c>
      <c r="Z14" s="40">
        <f t="shared" si="9"/>
        <v>151250</v>
      </c>
      <c r="AA14" s="40">
        <f t="shared" si="10"/>
        <v>151250</v>
      </c>
      <c r="AB14" s="5"/>
      <c r="AC14" s="5"/>
      <c r="AD14" s="5"/>
      <c r="AE14" s="5"/>
      <c r="AF14" s="5"/>
      <c r="AG14" s="5"/>
      <c r="AH14" s="5"/>
      <c r="AI14" s="5"/>
      <c r="AJ14" s="5"/>
      <c r="AK14" s="5"/>
      <c r="AL14" s="5"/>
      <c r="AM14" s="5"/>
      <c r="AN14" s="45">
        <f>IFERROR((s_TR/(s_RadSpec!E14*s_IFS_far_adj*(1/1000)))*1,".")</f>
        <v>10038.82515629196</v>
      </c>
      <c r="AO14" s="45">
        <f>IFERROR(IF(A14="H-3",(s_TR/(s_RadSpec!F14*s_IFA_far_adj*(1/17)*1000))*1,(s_TR/(s_RadSpec!F14*s_IFA_far_adj*(1/s_PEF_wind)*1000))*1),".")</f>
        <v>101105679.77207945</v>
      </c>
      <c r="AP14" s="45">
        <f>IFERROR((s_TR/(s_RadSpec!G14*s_EF_far*(1/365)*s_ED_far*s_RadSpec!R14*((s_ET_far_o*(1/24)*s_RadSpec!W14)+(s_ET_far_i*(1/24)*s_RadSpec!AB14))))*1,".")</f>
        <v>213.30522180820913</v>
      </c>
      <c r="AQ14" s="45">
        <f>s_b2s!BC14</f>
        <v>392.76219399946564</v>
      </c>
      <c r="AR14" s="45">
        <f>IFERROR(((J14*s_RadSpec!AU14)/s_RadSpec!AJ14)*1,".")</f>
        <v>7383.9292471899535</v>
      </c>
      <c r="AS14" s="45" t="str">
        <f>IFERROR(((K14*s_RadSpec!AU14)/s_RadSpec!AK14)*1,".")</f>
        <v>.</v>
      </c>
      <c r="AT14" s="45">
        <f>IFERROR((G14/(s_RadSpec!AI14*((s_Q_p_beef*s_f_p_beef*s_f_s_beef*(s_RadSpec!BD14+s_R_es_past))+(s_Q_s_beef*s_f_p_beef))))*1,".")</f>
        <v>73839.292471899535</v>
      </c>
      <c r="AU14" s="45">
        <f>IFERROR(((H14*s_D_milk)/(s_RadSpec!AH14*((s_Q_p_dairy*s_f_p_dairy*s_f_s_dairy*(s_RadSpec!BD14+s_R_es_past))+(s_Q_s_dairy*s_f_p_dairy))))*1,".")</f>
        <v>76054.471246056521</v>
      </c>
      <c r="AV14" s="45" t="str">
        <f>IFERROR((I14/(s_RadSpec!AN14*((s_Q_p_swine*s_f_p_swine*s_f_s_swine*(s_RadSpec!BD14+s_R_es_past))+(s_Q_s_swine*s_f_p_swine))))*1,".")</f>
        <v>.</v>
      </c>
      <c r="AW14" s="45" t="str">
        <f>IFERROR((E14/(s_RadSpec!AL14*((s_Q_p_poultry*s_f_p_poultry*s_f_s_poultry*(s_RadSpec!BD14+s_R_es_past))+(s_Q_s_poultry*s_f_p_poultry))))*1,".")</f>
        <v>.</v>
      </c>
      <c r="AX14" s="45" t="str">
        <f>IFERROR((F14/(s_RadSpec!AM14*((s_Q_p_poultry*s_f_p_poultry*s_f_s_poultry*(s_RadSpec!BD14+s_R_es_past))+(s_Q_s_poultry*s_f_p_poultry))))*1,".")</f>
        <v>.</v>
      </c>
      <c r="AY14" s="45" t="str">
        <f>IFERROR((L14/(s_RadSpec!AQ14*((s_Q_p_goat*s_f_p_goat*s_f_s_goat*(s_RadSpec!BD14+s_R_es_past))+(s_Q_s_goat*s_f_p_goat))))*1,".")</f>
        <v>.</v>
      </c>
      <c r="AZ14" s="45" t="str">
        <f>IFERROR((N14*s_D_milk/(s_RadSpec!AR14*((s_Q_p_goat_milk*s_f_p_goat_milk*s_f_s_goat_milk*(s_RadSpec!BD14+s_R_es_past))+(s_Q_s_goat_milk*s_f_p_goat_milk))))*1,".")</f>
        <v>.</v>
      </c>
      <c r="BA14" s="45" t="str">
        <f>IFERROR((M14/(s_RadSpec!AO14*((s_Q_p_sheep*s_f_p_sheep*s_f_s_sheep*(s_RadSpec!BD14+s_R_es_past))+(s_Q_s_sheep*s_f_p_sheep))))*1,".")</f>
        <v>.</v>
      </c>
      <c r="BB14" s="45" t="str">
        <f>IFERROR((O14*s_D_milk/(s_RadSpec!AP14*((s_Q_p_sheep_milk*s_f_p_sheep_milk*s_f_s_sheep_milk*(s_RadSpec!BD14+s_R_es_past))+(s_Q_s_sheep_milk*s_f_p_sheep_milk))))*1,".")</f>
        <v>.</v>
      </c>
      <c r="BC14" s="118">
        <f t="shared" si="11"/>
        <v>9.961325E-5</v>
      </c>
      <c r="BD14" s="118">
        <f t="shared" si="12"/>
        <v>9.8906411811312712E-9</v>
      </c>
      <c r="BE14" s="118">
        <f t="shared" si="13"/>
        <v>4.688117766282994E-3</v>
      </c>
      <c r="BF14" s="118">
        <f t="shared" si="14"/>
        <v>2.5460698999999996E-3</v>
      </c>
      <c r="BG14" s="118">
        <f t="shared" si="15"/>
        <v>1.3542925000000001E-4</v>
      </c>
      <c r="BH14" s="118" t="str">
        <f t="shared" si="15"/>
        <v>.</v>
      </c>
      <c r="BI14" s="118">
        <f t="shared" si="16"/>
        <v>1.3542925E-5</v>
      </c>
      <c r="BJ14" s="118">
        <f t="shared" si="17"/>
        <v>1.3148470873786408E-5</v>
      </c>
      <c r="BK14" s="118" t="str">
        <f t="shared" si="18"/>
        <v>.</v>
      </c>
      <c r="BL14" s="118" t="str">
        <f t="shared" si="19"/>
        <v>.</v>
      </c>
      <c r="BM14" s="118" t="str">
        <f t="shared" si="20"/>
        <v>.</v>
      </c>
      <c r="BN14" s="118" t="str">
        <f t="shared" si="21"/>
        <v>.</v>
      </c>
      <c r="BO14" s="118" t="str">
        <f t="shared" si="22"/>
        <v>.</v>
      </c>
      <c r="BP14" s="118" t="str">
        <f t="shared" si="23"/>
        <v>.</v>
      </c>
      <c r="BQ14" s="118" t="str">
        <f t="shared" si="24"/>
        <v>.</v>
      </c>
      <c r="BR14" s="15">
        <f t="shared" si="46"/>
        <v>133.40570231958779</v>
      </c>
      <c r="BS14" s="40">
        <f t="shared" si="25"/>
        <v>302.5</v>
      </c>
      <c r="BT14" s="40">
        <f t="shared" si="26"/>
        <v>3.2362545583179352E-2</v>
      </c>
      <c r="BU14" s="40">
        <f>IFERROR((s_C*s_EF_far*(1/365)*s_ED_far*s_RadSpec!R14*((s_ET_far_o*(1/24)*s_RadSpec!W14)+(s_ET_far_i*(1/24)*s_RadSpec!AB14))),".")</f>
        <v>0.29179267650158069</v>
      </c>
      <c r="BV14" s="40">
        <f>s_b2s!CC14</f>
        <v>14217.5</v>
      </c>
      <c r="BW14" s="40">
        <f>IFERROR(((s_C*s_RadSpec!AJ14)/s_RadSpec!AU14)*s_IFFI_far_adj*s_CF_far_fish,0)</f>
        <v>756.25</v>
      </c>
      <c r="BX14" s="40">
        <f>IFERROR(((s_C*s_RadSpec!AK14)/s_RadSpec!AU14)*s_IFSF_far_adj*s_CF_far_shellfish,0)</f>
        <v>0</v>
      </c>
      <c r="BY14" s="40">
        <f>(s_C*s_IFB_far_adj*s_CF_far_beef*s_RadSpec!AI14*((s_Q_p_beef*s_f_p_beef*s_f_s_beef*(s_RadSpec!$AT14+s_R_es_past))+(s_Q_s_beef*s_f_p_beef)))</f>
        <v>75.625000000000014</v>
      </c>
      <c r="BZ14" s="40">
        <f>(s_C*s_IFD_far_adj*s_CF_far_dairy*s_RadSpec!AH14*1/s_D_milk*((s_Q_p_dairy*s_f_p_dairy*s_f_s_dairy*(s_RadSpec!$AT14+s_R_es_past))+(s_Q_s_dairy*s_f_p_dairy)))</f>
        <v>73.422330097087382</v>
      </c>
      <c r="CA14" s="40">
        <f>IFERROR((s_C*s_IFSW_far_adj*s_CF_far_swine*s_RadSpec!AN14*((s_Q_p_swine*s_f_p_swine*s_f_s_swine*(s_RadSpec!$AT14+s_R_es_past))+(s_Q_s_swine*s_f_p_swine))),0)</f>
        <v>0</v>
      </c>
      <c r="CB14" s="40">
        <f>IFERROR((s_C*s_IFP_far_adj*s_CF_far_poultry*s_RadSpec!AL14*((s_Q_p_poultry*s_f_p_poultry*s_f_s_poultry*(s_RadSpec!AT14+s_R_es_past))+(s_Q_s_poultry*s_f_p_poultry))),0)</f>
        <v>0</v>
      </c>
      <c r="CC14" s="40">
        <f>IFERROR((s_C*s_IFE_far_adj*s_CF_far_egg*s_RadSpec!AM14*((s_Q_p_egg*s_f_p_egg*s_f_s_egg*(s_RadSpec!$AT14+s_R_es_past))+(s_Q_s_egg*s_f_p_egg))),0)</f>
        <v>0</v>
      </c>
      <c r="CD14" s="40">
        <f>IFERROR((s_C*s_IFGO_far_adj*s_CF_far_goat*s_RadSpec!AQ14*((s_Q_p_goat*s_f_p_goat*s_f_s_goat*(s_RadSpec!$AT14+s_R_es_past))+(s_Q_s_goat*s_f_p_goat))),0)</f>
        <v>0</v>
      </c>
      <c r="CE14" s="40">
        <f>IFERROR((s_C*s_IFGM_far_adj*s_CF_far_goat_milk*s_RadSpec!AR14*1/s_D_milk*((s_Q_p_goat_milk*s_f_p_goat_milk*s_f_s_goat_milk*(s_RadSpec!$AT14+s_R_es_past))+(s_Q_s_goat_milk*s_f_p_goat_milk))),0)</f>
        <v>0</v>
      </c>
      <c r="CF14" s="40">
        <f>IFERROR((s_C*s_IFSH_far_adj*s_CF_far_sheep*s_RadSpec!AO14*((s_Q_p_sheep*s_f_p_sheep*s_f_s_sheep*(s_RadSpec!$AT14+s_R_es_past))+(s_Q_s_sheep*s_f_p_sheep))),0)</f>
        <v>0</v>
      </c>
      <c r="CG14" s="40">
        <f>IFERROR((s_C*s_IFSM_far_adj*s_CF_far_sheep_milk*s_RadSpec!AP14*1/s_D_milk*((s_Q_p_sheep_milk*s_f_p_sheep_milk*s_f_s_sheep_milk*(s_RadSpec!$AT14+s_R_es_past))+(s_Q_s_sheep_milk*s_f_p_sheep_milk))),0)</f>
        <v>0</v>
      </c>
      <c r="CH14" s="18"/>
      <c r="CI14" s="18"/>
      <c r="CJ14" s="18"/>
      <c r="CK14" s="18"/>
      <c r="CL14" s="18"/>
      <c r="CM14" s="18"/>
      <c r="CN14" s="18"/>
      <c r="CO14" s="18"/>
      <c r="CP14" s="18"/>
      <c r="CQ14" s="18"/>
      <c r="CR14" s="18"/>
      <c r="CS14" s="18"/>
      <c r="CT14" s="18"/>
      <c r="CU14" s="18"/>
      <c r="CV14" s="18"/>
      <c r="CW14" s="5"/>
      <c r="CX14" s="15">
        <f>IFERROR(s_TR/(s_RadSpec!I14*s_IFW_far_adj),".")</f>
        <v>296.02439240993459</v>
      </c>
      <c r="CY14" s="15" t="str">
        <f>IFERROR(IF(AND(s_RadSpec!C14=1,s_RadSpec!D14&lt;&gt;0),s_TR/(s_RadSpec!F14*s_IFA_far_adj*s_K*s_RadSpec!D14),"."),".")</f>
        <v>.</v>
      </c>
      <c r="CZ14" s="15">
        <f>IFERROR((s_TR/(s_RadSpec!M14*(1/8760)*s_DFA_far_adj)),".")</f>
        <v>10656774.003796592</v>
      </c>
      <c r="DA14" s="15">
        <f>s_b2w!BC14</f>
        <v>674.51302213912368</v>
      </c>
      <c r="DB14" s="15">
        <f>IFERROR(J14/(s_RadSpec!AJ14*(1/1000)),".")</f>
        <v>3691.9646235949767</v>
      </c>
      <c r="DC14" s="15" t="str">
        <f>IFERROR(K14/(s_RadSpec!AK14*(1/1000)),".")</f>
        <v>.</v>
      </c>
      <c r="DD14" s="15">
        <f>IFERROR(G14/(s_RadSpec!AI14*s_Q_w_beef*(1/1000)),".")</f>
        <v>1476785849.4379907</v>
      </c>
      <c r="DE14" s="15">
        <f>IFERROR((H14*s_D_milk)/(s_RadSpec!AH14*s_Q_w_dairy*(1/1000)),".")</f>
        <v>1521089424.9211304</v>
      </c>
      <c r="DF14" s="15" t="str">
        <f>IFERROR(I14/(s_RadSpec!AN14*s_Q_w_swine*(1/1000)),".")</f>
        <v>.</v>
      </c>
      <c r="DG14" s="15" t="str">
        <f>IFERROR(E14/(s_RadSpec!AL14*s_Q_w_poultry*(1/1000)),".")</f>
        <v>.</v>
      </c>
      <c r="DH14" s="15" t="str">
        <f>IFERROR(F14/(s_RadSpec!AM14*s_Q_w_poultry*(1/1000)),".")</f>
        <v>.</v>
      </c>
      <c r="DI14" s="15" t="str">
        <f>IFERROR(L14/(s_RadSpec!AQ14*s_Q_w_goat*(1/1000)),".")</f>
        <v>.</v>
      </c>
      <c r="DJ14" s="15" t="str">
        <f>IFERROR(N14*s_D_milk/(s_RadSpec!AR14*s_Q_w_goat_milk*(1/1000)),".")</f>
        <v>.</v>
      </c>
      <c r="DK14" s="15" t="str">
        <f>IFERROR(M14/(s_RadSpec!AO14*s_Q_w_sheep*(1/1000)),".")</f>
        <v>.</v>
      </c>
      <c r="DL14" s="15" t="str">
        <f>IFERROR(O14*s_D_milk/(s_RadSpec!AP14*s_Q_w_sheep_milk*(1/1000)),".")</f>
        <v>.</v>
      </c>
      <c r="DM14" s="118">
        <f t="shared" si="27"/>
        <v>3.3780999999999998E-3</v>
      </c>
      <c r="DN14" s="118" t="str">
        <f t="shared" si="28"/>
        <v>.</v>
      </c>
      <c r="DO14" s="118">
        <f t="shared" si="29"/>
        <v>9.3837027945205469E-8</v>
      </c>
      <c r="DP14" s="118">
        <f t="shared" si="30"/>
        <v>1.4825510659951975E-3</v>
      </c>
      <c r="DQ14" s="118">
        <f t="shared" si="31"/>
        <v>2.7085850000000002E-4</v>
      </c>
      <c r="DR14" s="118" t="str">
        <f t="shared" si="31"/>
        <v>.</v>
      </c>
      <c r="DS14" s="118">
        <f t="shared" si="32"/>
        <v>6.7714625000000003E-10</v>
      </c>
      <c r="DT14" s="118">
        <f t="shared" si="33"/>
        <v>6.5742354368932039E-10</v>
      </c>
      <c r="DU14" s="118" t="str">
        <f t="shared" si="34"/>
        <v>.</v>
      </c>
      <c r="DV14" s="118" t="str">
        <f t="shared" si="35"/>
        <v>.</v>
      </c>
      <c r="DW14" s="118" t="str">
        <f t="shared" si="36"/>
        <v>.</v>
      </c>
      <c r="DX14" s="118" t="str">
        <f t="shared" si="37"/>
        <v>.</v>
      </c>
      <c r="DY14" s="118" t="str">
        <f t="shared" si="38"/>
        <v>.</v>
      </c>
      <c r="DZ14" s="118" t="str">
        <f t="shared" si="39"/>
        <v>.</v>
      </c>
      <c r="EA14" s="118" t="str">
        <f t="shared" si="40"/>
        <v>.</v>
      </c>
      <c r="EB14" s="15">
        <f t="shared" si="47"/>
        <v>194.87081549251715</v>
      </c>
      <c r="EC14" s="40">
        <f t="shared" si="41"/>
        <v>27500</v>
      </c>
      <c r="ED14" s="40">
        <f>IFERROR(IF(s_RadSpec!D14&lt;&gt;"",s_C*s_IFA_far_adj*s_K*s_RadSpec!D14,0),".")</f>
        <v>0</v>
      </c>
      <c r="EE14" s="40">
        <f t="shared" si="42"/>
        <v>2.5114155251141552</v>
      </c>
      <c r="EF14" s="40">
        <f>s_b2w!CC14</f>
        <v>8278.7082085950278</v>
      </c>
      <c r="EG14" s="40">
        <f>IFERROR(s_C*s_RadSpec!AJ14*(1/1000)*s_IFFI_far_adj*s_CF_far_fish,0)</f>
        <v>1512.5</v>
      </c>
      <c r="EH14" s="40">
        <f>IFERROR(s_C*s_RadSpec!AK14*(1/1000)*s_IFSF_far_adj*s_CF_far_shellfish,0)</f>
        <v>0</v>
      </c>
      <c r="EI14" s="40">
        <f>(s_C*s_IFB_far_adj*s_CF_far_beef*s_RadSpec!AI14*s_Q_w_beef*(1/1000))</f>
        <v>3.7812500000000003E-3</v>
      </c>
      <c r="EJ14" s="40">
        <f>(s_C*s_IFD_far_adj*s_CF_far_dairy*s_RadSpec!AH14*(1/s_D_milk)*s_Q_w_dairy*(1/1000))</f>
        <v>3.6711165048543696E-3</v>
      </c>
      <c r="EK14" s="40">
        <f>IFERROR((s_C*s_IFSW_far_adj*s_CF_far_swine*s_RadSpec!AN14*s_Q_w_swine*(1/1000)),0)</f>
        <v>0</v>
      </c>
      <c r="EL14" s="40">
        <f>IFERROR((s_C*s_IFP_far_adj*s_CF_far_poultry*s_RadSpec!AL14*s_Q_w_poultry*(1/1000)),0)</f>
        <v>0</v>
      </c>
      <c r="EM14" s="40">
        <f>IFERROR((s_C*s_IFE_far_adj*s_CF_far_egg*s_RadSpec!AM14*s_Q_w_egg*(1/1000)),0)</f>
        <v>0</v>
      </c>
      <c r="EN14" s="40">
        <f>IFERROR((s_C*s_IFGO_far_adj*s_CF_far_goat*s_RadSpec!AQ14*s_Q_p_goat*(1/1000)),0)</f>
        <v>0</v>
      </c>
      <c r="EO14" s="40">
        <f>IFERROR((s_C*s_IFGM_far_adj*s_CF_far_goat_milk*s_RadSpec!AR14*(1/s_D_milk)*s_Q_p_goat_milk*(1/1000)),0)</f>
        <v>0</v>
      </c>
      <c r="EP14" s="40">
        <f>IFERROR((s_C*s_IFSH_far_adj*s_CF_far_sheep*s_RadSpec!AO14*s_Q_p_sheep*(1/1000)),0)</f>
        <v>0</v>
      </c>
      <c r="EQ14" s="40">
        <f>IFERROR((s_C*s_IFSM_far_adj*s_CF_far_sheep_milk*s_RadSpec!AP14*(1/s_D_milk)*s_Q_p_sheep_milk*(1/1000)),0)</f>
        <v>0</v>
      </c>
      <c r="ER14" s="18"/>
      <c r="ES14" s="18"/>
      <c r="ET14" s="18"/>
      <c r="EU14" s="18"/>
      <c r="EV14" s="18"/>
      <c r="EW14" s="18"/>
      <c r="EX14" s="18"/>
      <c r="EY14" s="18"/>
      <c r="EZ14" s="18"/>
      <c r="FA14" s="18"/>
      <c r="FB14" s="18"/>
      <c r="FC14" s="18"/>
      <c r="FD14" s="18"/>
      <c r="FE14" s="18"/>
      <c r="FF14" s="18"/>
      <c r="FG14" s="5"/>
      <c r="FH14" s="15">
        <f>IFERROR((s_TR/(s_RadSpec!F14*s_IFA_far_adj)),".")</f>
        <v>326.3538372497211</v>
      </c>
      <c r="FI14" s="15">
        <f>IFERROR((s_TR/(s_RadSpec!K14*s_EF_far*(1/365)*s_ED_far*s_ET_far*(1/24)*s_GSF_a)),".")</f>
        <v>37320.576538603658</v>
      </c>
      <c r="FJ14" s="15">
        <f t="shared" si="53"/>
        <v>323.52474000263368</v>
      </c>
      <c r="FK14" s="40">
        <f t="shared" si="44"/>
        <v>10026.041666666666</v>
      </c>
      <c r="FL14" s="40">
        <f t="shared" si="45"/>
        <v>1.5696347031963471</v>
      </c>
      <c r="FM14" s="120"/>
      <c r="FN14" s="120"/>
      <c r="FO14" s="120"/>
    </row>
    <row r="15" spans="1:171" customFormat="1" x14ac:dyDescent="0.25">
      <c r="A15" s="44" t="s">
        <v>25</v>
      </c>
      <c r="B15" s="42" t="s">
        <v>1071</v>
      </c>
      <c r="C15" s="42"/>
      <c r="D15" s="15">
        <f>s_dir!AC15</f>
        <v>237.11662391453939</v>
      </c>
      <c r="E15" s="15">
        <f>IFERROR(s_TR/(s_RadSpec!H15*s_IFP_far_adj*s_CF_far_poultry),".")</f>
        <v>948.46649565815756</v>
      </c>
      <c r="F15" s="15">
        <f>IFERROR(s_TR/(s_RadSpec!H15*s_IFE_far_adj*s_CF_far_egg),".")</f>
        <v>948.46649565815756</v>
      </c>
      <c r="G15" s="15">
        <f>IFERROR(s_TR/(s_RadSpec!H15*s_IFB_far_adj*s_CF_far_beef),".")</f>
        <v>948.46649565815756</v>
      </c>
      <c r="H15" s="15">
        <f>IFERROR(s_TR/(s_RadSpec!H15*s_IFD_far_adj*s_CF_far_dairy),".")</f>
        <v>948.46649565815756</v>
      </c>
      <c r="I15" s="15">
        <f>IFERROR(s_TR/(s_RadSpec!H15*s_IFSW_far_adj*s_CF_far_swine),".")</f>
        <v>948.46649565815756</v>
      </c>
      <c r="J15" s="15">
        <f>IFERROR(s_TR/(s_RadSpec!H15*s_IFFI_far_adj*s_CF_far_fish),".")</f>
        <v>948.46649565815756</v>
      </c>
      <c r="K15" s="15">
        <f>IFERROR(s_TR/(s_RadSpec!H15*s_IFSF_far_adj*s_CF_far_shellfish),".")</f>
        <v>948.46649565815756</v>
      </c>
      <c r="L15" s="15">
        <f>IFERROR(s_TR/(s_RadSpec!H15*s_IFGO_far_adj*s_CF_far_goat),".")</f>
        <v>948.46649565815756</v>
      </c>
      <c r="M15" s="15">
        <f>IFERROR(s_TR/(s_RadSpec!H15*s_IFSH_far_adj*s_CF_far_sheep),".")</f>
        <v>948.46649565815756</v>
      </c>
      <c r="N15" s="15">
        <f>IFERROR(s_TR/(s_RadSpec!H15*s_IFGM_far_adj*s_CF_far_goat_milk),".")</f>
        <v>948.46649565815756</v>
      </c>
      <c r="O15" s="15">
        <f>IFERROR(s_TR/(s_RadSpec!H15*s_IFSM_far_adj*s_CF_far_sheep_milk),".")</f>
        <v>948.46649565815756</v>
      </c>
      <c r="P15" s="40">
        <f>s_dir!BC15</f>
        <v>605000</v>
      </c>
      <c r="Q15" s="40">
        <f t="shared" si="0"/>
        <v>151250</v>
      </c>
      <c r="R15" s="40">
        <f t="shared" si="1"/>
        <v>151250</v>
      </c>
      <c r="S15" s="40">
        <f t="shared" si="2"/>
        <v>151250</v>
      </c>
      <c r="T15" s="40">
        <f t="shared" si="3"/>
        <v>151250</v>
      </c>
      <c r="U15" s="40">
        <f t="shared" si="4"/>
        <v>151250</v>
      </c>
      <c r="V15" s="40">
        <f t="shared" si="5"/>
        <v>151250</v>
      </c>
      <c r="W15" s="40">
        <f t="shared" si="6"/>
        <v>151250</v>
      </c>
      <c r="X15" s="40">
        <f t="shared" si="7"/>
        <v>151250</v>
      </c>
      <c r="Y15" s="40">
        <f t="shared" si="8"/>
        <v>151250</v>
      </c>
      <c r="Z15" s="40">
        <f t="shared" si="9"/>
        <v>151250</v>
      </c>
      <c r="AA15" s="40">
        <f t="shared" si="10"/>
        <v>151250</v>
      </c>
      <c r="AB15" s="5"/>
      <c r="AC15" s="5"/>
      <c r="AD15" s="5"/>
      <c r="AE15" s="5"/>
      <c r="AF15" s="5"/>
      <c r="AG15" s="5"/>
      <c r="AH15" s="5"/>
      <c r="AI15" s="5"/>
      <c r="AJ15" s="5"/>
      <c r="AK15" s="5"/>
      <c r="AL15" s="5"/>
      <c r="AM15" s="5"/>
      <c r="AN15" s="45">
        <f>IFERROR((s_TR/(s_RadSpec!E15*s_IFS_far_adj*(1/1000)))*1,".")</f>
        <v>264335.92867159302</v>
      </c>
      <c r="AO15" s="45">
        <f>IFERROR(IF(A15="H-3",(s_TR/(s_RadSpec!F15*s_IFA_far_adj*(1/17)*1000))*1,(s_TR/(s_RadSpec!F15*s_IFA_far_adj*(1/s_PEF_wind)*1000))*1),".")</f>
        <v>7430008139.8343067</v>
      </c>
      <c r="AP15" s="45" t="str">
        <f>IFERROR((s_TR/(s_RadSpec!G15*s_EF_far*(1/365)*s_ED_far*s_RadSpec!R15*((s_ET_far_o*(1/24)*s_RadSpec!W15)+(s_ET_far_i*(1/24)*s_RadSpec!AB15))))*1,".")</f>
        <v>.</v>
      </c>
      <c r="AQ15" s="45">
        <f>s_b2s!BC15</f>
        <v>10504.668242974389</v>
      </c>
      <c r="AR15" s="45">
        <f>IFERROR(((J15*s_RadSpec!AU15)/s_RadSpec!AJ15)*1,".")</f>
        <v>5690.7989739489449</v>
      </c>
      <c r="AS15" s="45">
        <f>IFERROR(((K15*s_RadSpec!AU15)/s_RadSpec!AK15)*1,".")</f>
        <v>6466.8170158510738</v>
      </c>
      <c r="AT15" s="45">
        <f>IFERROR((G15/(s_RadSpec!AI15*((s_Q_p_beef*s_f_p_beef*s_f_s_beef*(s_RadSpec!BD15+s_R_es_past))+(s_Q_s_beef*s_f_p_beef))))*1,".")</f>
        <v>15210.430437282886</v>
      </c>
      <c r="AU15" s="45">
        <f>IFERROR(((H15*s_D_milk)/(s_RadSpec!AH15*((s_Q_p_dairy*s_f_p_dairy*s_f_s_dairy*(s_RadSpec!BD15+s_R_es_past))+(s_Q_s_dairy*s_f_p_dairy))))*1,".")</f>
        <v>57719.58076463663</v>
      </c>
      <c r="AV15" s="45" t="str">
        <f>IFERROR((I15/(s_RadSpec!AN15*((s_Q_p_swine*s_f_p_swine*s_f_s_swine*(s_RadSpec!BD15+s_R_es_past))+(s_Q_s_swine*s_f_p_swine))))*1,".")</f>
        <v>.</v>
      </c>
      <c r="AW15" s="45" t="str">
        <f>IFERROR((E15/(s_RadSpec!AL15*((s_Q_p_poultry*s_f_p_poultry*s_f_s_poultry*(s_RadSpec!BD15+s_R_es_past))+(s_Q_s_poultry*s_f_p_poultry))))*1,".")</f>
        <v>.</v>
      </c>
      <c r="AX15" s="45" t="str">
        <f>IFERROR((F15/(s_RadSpec!AM15*((s_Q_p_poultry*s_f_p_poultry*s_f_s_poultry*(s_RadSpec!BD15+s_R_es_past))+(s_Q_s_poultry*s_f_p_poultry))))*1,".")</f>
        <v>.</v>
      </c>
      <c r="AY15" s="45" t="str">
        <f>IFERROR((L15/(s_RadSpec!AQ15*((s_Q_p_goat*s_f_p_goat*s_f_s_goat*(s_RadSpec!BD15+s_R_es_past))+(s_Q_s_goat*s_f_p_goat))))*1,".")</f>
        <v>.</v>
      </c>
      <c r="AZ15" s="45">
        <f>IFERROR((N15*s_D_milk/(s_RadSpec!AR15*((s_Q_p_goat_milk*s_f_p_goat_milk*s_f_s_goat_milk*(s_RadSpec!BD15+s_R_es_past))+(s_Q_s_goat_milk*s_f_p_goat_milk))))*1,".")</f>
        <v>1827.7867242134932</v>
      </c>
      <c r="BA15" s="45">
        <f>IFERROR((M15/(s_RadSpec!AO15*((s_Q_p_sheep*s_f_p_sheep*s_f_s_sheep*(s_RadSpec!BD15+s_R_es_past))+(s_Q_s_sheep*s_f_p_sheep))))*1,".")</f>
        <v>1499.6199022673268</v>
      </c>
      <c r="BB15" s="45">
        <f>IFERROR((O15*s_D_milk/(s_RadSpec!AP15*((s_Q_p_sheep_milk*s_f_p_sheep_milk*s_f_s_sheep_milk*(s_RadSpec!BD15+s_R_es_past))+(s_Q_s_sheep_milk*s_f_p_sheep_milk))))*1,".")</f>
        <v>313.3348670080274</v>
      </c>
      <c r="BC15" s="118">
        <f t="shared" si="11"/>
        <v>3.7830649999999999E-6</v>
      </c>
      <c r="BD15" s="118">
        <f t="shared" si="12"/>
        <v>1.3458935457132628E-10</v>
      </c>
      <c r="BE15" s="118" t="str">
        <f t="shared" si="13"/>
        <v>.</v>
      </c>
      <c r="BF15" s="118">
        <f t="shared" si="14"/>
        <v>9.5195771714999994E-5</v>
      </c>
      <c r="BG15" s="118">
        <f t="shared" si="15"/>
        <v>1.7572225000000001E-4</v>
      </c>
      <c r="BH15" s="118">
        <f t="shared" si="15"/>
        <v>1.5463558000000001E-4</v>
      </c>
      <c r="BI15" s="118">
        <f t="shared" si="16"/>
        <v>6.574435905172417E-5</v>
      </c>
      <c r="BJ15" s="118">
        <f t="shared" si="17"/>
        <v>1.7325143162035497E-5</v>
      </c>
      <c r="BK15" s="118" t="str">
        <f t="shared" si="18"/>
        <v>.</v>
      </c>
      <c r="BL15" s="118" t="str">
        <f t="shared" si="19"/>
        <v>.</v>
      </c>
      <c r="BM15" s="118" t="str">
        <f t="shared" si="20"/>
        <v>.</v>
      </c>
      <c r="BN15" s="118" t="str">
        <f t="shared" si="21"/>
        <v>.</v>
      </c>
      <c r="BO15" s="118">
        <f t="shared" si="22"/>
        <v>5.4710978406427894E-4</v>
      </c>
      <c r="BP15" s="118">
        <f t="shared" si="23"/>
        <v>6.6683564181034517E-4</v>
      </c>
      <c r="BQ15" s="118">
        <f t="shared" si="24"/>
        <v>3.1914737403749604E-3</v>
      </c>
      <c r="BR15" s="15">
        <f t="shared" si="46"/>
        <v>203.34190510572077</v>
      </c>
      <c r="BS15" s="40">
        <f t="shared" si="25"/>
        <v>302.5</v>
      </c>
      <c r="BT15" s="40">
        <f t="shared" si="26"/>
        <v>3.2362545583179352E-2</v>
      </c>
      <c r="BU15" s="40">
        <f>IFERROR((s_C*s_EF_far*(1/365)*s_ED_far*s_RadSpec!R15*((s_ET_far_o*(1/24)*s_RadSpec!W15)+(s_ET_far_i*(1/24)*s_RadSpec!AB15))),".")</f>
        <v>0</v>
      </c>
      <c r="BV15" s="40">
        <f>s_b2s!CC15</f>
        <v>13656.362499999999</v>
      </c>
      <c r="BW15" s="40">
        <f>IFERROR(((s_C*s_RadSpec!AJ15)/s_RadSpec!AU15)*s_IFFI_far_adj*s_CF_far_fish,0)</f>
        <v>25208.333333333336</v>
      </c>
      <c r="BX15" s="40">
        <f>IFERROR(((s_C*s_RadSpec!AK15)/s_RadSpec!AU15)*s_IFSF_far_adj*s_CF_far_shellfish,0)</f>
        <v>22183.333333333332</v>
      </c>
      <c r="BY15" s="40">
        <f>(s_C*s_IFB_far_adj*s_CF_far_beef*s_RadSpec!AI15*((s_Q_p_beef*s_f_p_beef*s_f_s_beef*(s_RadSpec!$AT15+s_R_es_past))+(s_Q_s_beef*s_f_p_beef)))</f>
        <v>9431.3936781609264</v>
      </c>
      <c r="BZ15" s="40">
        <f>(s_C*s_IFD_far_adj*s_CF_far_dairy*s_RadSpec!AH15*1/s_D_milk*((s_Q_p_dairy*s_f_p_dairy*s_f_s_dairy*(s_RadSpec!$AT15+s_R_es_past))+(s_Q_s_dairy*s_f_p_dairy)))</f>
        <v>2485.3880705278443</v>
      </c>
      <c r="CA15" s="40">
        <f>IFERROR((s_C*s_IFSW_far_adj*s_CF_far_swine*s_RadSpec!AN15*((s_Q_p_swine*s_f_p_swine*s_f_s_swine*(s_RadSpec!$AT15+s_R_es_past))+(s_Q_s_swine*s_f_p_swine))),0)</f>
        <v>0</v>
      </c>
      <c r="CB15" s="40">
        <f>IFERROR((s_C*s_IFP_far_adj*s_CF_far_poultry*s_RadSpec!AL15*((s_Q_p_poultry*s_f_p_poultry*s_f_s_poultry*(s_RadSpec!AT15+s_R_es_past))+(s_Q_s_poultry*s_f_p_poultry))),0)</f>
        <v>0</v>
      </c>
      <c r="CC15" s="40">
        <f>IFERROR((s_C*s_IFE_far_adj*s_CF_far_egg*s_RadSpec!AM15*((s_Q_p_egg*s_f_p_egg*s_f_s_egg*(s_RadSpec!$AT15+s_R_es_past))+(s_Q_s_egg*s_f_p_egg))),0)</f>
        <v>0</v>
      </c>
      <c r="CD15" s="40">
        <f>IFERROR((s_C*s_IFGO_far_adj*s_CF_far_goat*s_RadSpec!AQ15*((s_Q_p_goat*s_f_p_goat*s_f_s_goat*(s_RadSpec!$AT15+s_R_es_past))+(s_Q_s_goat*s_f_p_goat))),0)</f>
        <v>0</v>
      </c>
      <c r="CE15" s="40">
        <f>IFERROR((s_C*s_IFGM_far_adj*s_CF_far_goat_milk*s_RadSpec!AR15*1/s_D_milk*((s_Q_p_goat_milk*s_f_p_goat_milk*s_f_s_goat_milk*(s_RadSpec!$AT15+s_R_es_past))+(s_Q_s_goat_milk*s_f_p_goat_milk))),0)</f>
        <v>78485.939069300352</v>
      </c>
      <c r="CF15" s="40">
        <f>IFERROR((s_C*s_IFSH_far_adj*s_CF_far_sheep*s_RadSpec!AO15*((s_Q_p_sheep*s_f_p_sheep*s_f_s_sheep*(s_RadSpec!$AT15+s_R_es_past))+(s_Q_s_sheep*s_f_p_sheep))),0)</f>
        <v>95661.278735632251</v>
      </c>
      <c r="CG15" s="40">
        <f>IFERROR((s_C*s_IFSM_far_adj*s_CF_far_sheep_milk*s_RadSpec!AP15*1/s_D_milk*((s_Q_p_sheep_milk*s_f_p_sheep_milk*s_f_s_sheep_milk*(s_RadSpec!$AT15+s_R_es_past))+(s_Q_s_sheep_milk*s_f_p_sheep_milk))),0)</f>
        <v>457834.64457091881</v>
      </c>
      <c r="CH15" s="18"/>
      <c r="CI15" s="18"/>
      <c r="CJ15" s="18"/>
      <c r="CK15" s="18"/>
      <c r="CL15" s="18"/>
      <c r="CM15" s="18"/>
      <c r="CN15" s="18"/>
      <c r="CO15" s="18"/>
      <c r="CP15" s="18"/>
      <c r="CQ15" s="18"/>
      <c r="CR15" s="18"/>
      <c r="CS15" s="18"/>
      <c r="CT15" s="18"/>
      <c r="CU15" s="18"/>
      <c r="CV15" s="18"/>
      <c r="CW15" s="5"/>
      <c r="CX15" s="15">
        <f>IFERROR(s_TR/(s_RadSpec!I15*s_IFW_far_adj),".")</f>
        <v>7548.3946451688398</v>
      </c>
      <c r="CY15" s="15" t="str">
        <f>IFERROR(IF(AND(s_RadSpec!C15=1,s_RadSpec!D15&lt;&gt;0),s_TR/(s_RadSpec!F15*s_IFA_far_adj*s_K*s_RadSpec!D15),"."),".")</f>
        <v>.</v>
      </c>
      <c r="CZ15" s="15">
        <f>IFERROR((s_TR/(s_RadSpec!M15*(1/8760)*s_DFA_far_adj)),".")</f>
        <v>8568260505.5650988</v>
      </c>
      <c r="DA15" s="15">
        <f>s_b2w!BC15</f>
        <v>17564.818502223865</v>
      </c>
      <c r="DB15" s="15">
        <f>IFERROR(J15/(s_RadSpec!AJ15*(1/1000)),".")</f>
        <v>37938.6598263263</v>
      </c>
      <c r="DC15" s="15">
        <f>IFERROR(K15/(s_RadSpec!AK15*(1/1000)),".")</f>
        <v>43112.113439007167</v>
      </c>
      <c r="DD15" s="15">
        <f>IFERROR(G15/(s_RadSpec!AI15*s_Q_w_beef*(1/1000)),".")</f>
        <v>270990427.33090216</v>
      </c>
      <c r="DE15" s="15">
        <f>IFERROR((H15*s_D_milk)/(s_RadSpec!AH15*s_Q_w_dairy*(1/1000)),".")</f>
        <v>1028337358.4504234</v>
      </c>
      <c r="DF15" s="15" t="str">
        <f>IFERROR(I15/(s_RadSpec!AN15*s_Q_w_swine*(1/1000)),".")</f>
        <v>.</v>
      </c>
      <c r="DG15" s="15" t="str">
        <f>IFERROR(E15/(s_RadSpec!AL15*s_Q_w_poultry*(1/1000)),".")</f>
        <v>.</v>
      </c>
      <c r="DH15" s="15" t="str">
        <f>IFERROR(F15/(s_RadSpec!AM15*s_Q_w_poultry*(1/1000)),".")</f>
        <v>.</v>
      </c>
      <c r="DI15" s="15" t="str">
        <f>IFERROR(L15/(s_RadSpec!AQ15*s_Q_w_goat*(1/1000)),".")</f>
        <v>.</v>
      </c>
      <c r="DJ15" s="15">
        <f>IFERROR(N15*s_D_milk/(s_RadSpec!AR15*s_Q_w_goat_milk*(1/1000)),".")</f>
        <v>32564016.350930076</v>
      </c>
      <c r="DK15" s="15">
        <f>IFERROR(M15/(s_RadSpec!AO15*s_Q_w_sheep*(1/1000)),".")</f>
        <v>26717366.074877676</v>
      </c>
      <c r="DL15" s="15">
        <f>IFERROR(O15*s_D_milk/(s_RadSpec!AP15*s_Q_w_sheep_milk*(1/1000)),".")</f>
        <v>5582402.8030165834</v>
      </c>
      <c r="DM15" s="118">
        <f t="shared" si="27"/>
        <v>1.3247849999999998E-4</v>
      </c>
      <c r="DN15" s="118" t="str">
        <f t="shared" si="28"/>
        <v>.</v>
      </c>
      <c r="DO15" s="118">
        <f t="shared" si="29"/>
        <v>1.1670980350684931E-10</v>
      </c>
      <c r="DP15" s="118">
        <f t="shared" si="30"/>
        <v>5.693198593958662E-5</v>
      </c>
      <c r="DQ15" s="118">
        <f t="shared" si="31"/>
        <v>2.6358337500000001E-5</v>
      </c>
      <c r="DR15" s="118">
        <f t="shared" si="31"/>
        <v>2.3195336999999996E-5</v>
      </c>
      <c r="DS15" s="118">
        <f t="shared" si="32"/>
        <v>3.6901672499999998E-9</v>
      </c>
      <c r="DT15" s="118">
        <f t="shared" si="33"/>
        <v>9.7244351941747581E-10</v>
      </c>
      <c r="DU15" s="118" t="str">
        <f t="shared" si="34"/>
        <v>.</v>
      </c>
      <c r="DV15" s="118" t="str">
        <f t="shared" si="35"/>
        <v>.</v>
      </c>
      <c r="DW15" s="118" t="str">
        <f t="shared" si="36"/>
        <v>.</v>
      </c>
      <c r="DX15" s="118" t="str">
        <f t="shared" si="37"/>
        <v>.</v>
      </c>
      <c r="DY15" s="118">
        <f t="shared" si="38"/>
        <v>3.07087427184466E-8</v>
      </c>
      <c r="DZ15" s="118">
        <f t="shared" si="39"/>
        <v>3.7428839250000003E-8</v>
      </c>
      <c r="EA15" s="118">
        <f t="shared" si="40"/>
        <v>1.7913433252427187E-7</v>
      </c>
      <c r="EB15" s="15">
        <f t="shared" si="47"/>
        <v>4180.3186874310059</v>
      </c>
      <c r="EC15" s="40">
        <f t="shared" si="41"/>
        <v>27500</v>
      </c>
      <c r="ED15" s="40">
        <f>IFERROR(IF(s_RadSpec!D15&lt;&gt;"",s_C*s_IFA_far_adj*s_K*s_RadSpec!D15,0),".")</f>
        <v>0</v>
      </c>
      <c r="EE15" s="40">
        <f t="shared" si="42"/>
        <v>2.5114155251141552</v>
      </c>
      <c r="EF15" s="40">
        <f>s_b2w!CC15</f>
        <v>8167.2097807406062</v>
      </c>
      <c r="EG15" s="40">
        <f>IFERROR(s_C*s_RadSpec!AJ15*(1/1000)*s_IFFI_far_adj*s_CF_far_fish,0)</f>
        <v>3781.25</v>
      </c>
      <c r="EH15" s="40">
        <f>IFERROR(s_C*s_RadSpec!AK15*(1/1000)*s_IFSF_far_adj*s_CF_far_shellfish,0)</f>
        <v>3327.5</v>
      </c>
      <c r="EI15" s="40">
        <f>(s_C*s_IFB_far_adj*s_CF_far_beef*s_RadSpec!AI15*s_Q_w_beef*(1/1000))</f>
        <v>0.52937500000000004</v>
      </c>
      <c r="EJ15" s="40">
        <f>(s_C*s_IFD_far_adj*s_CF_far_dairy*s_RadSpec!AH15*(1/s_D_milk)*s_Q_w_dairy*(1/1000))</f>
        <v>0.13950242718446604</v>
      </c>
      <c r="EK15" s="40">
        <f>IFERROR((s_C*s_IFSW_far_adj*s_CF_far_swine*s_RadSpec!AN15*s_Q_w_swine*(1/1000)),0)</f>
        <v>0</v>
      </c>
      <c r="EL15" s="40">
        <f>IFERROR((s_C*s_IFP_far_adj*s_CF_far_poultry*s_RadSpec!AL15*s_Q_w_poultry*(1/1000)),0)</f>
        <v>0</v>
      </c>
      <c r="EM15" s="40">
        <f>IFERROR((s_C*s_IFE_far_adj*s_CF_far_egg*s_RadSpec!AM15*s_Q_w_egg*(1/1000)),0)</f>
        <v>0</v>
      </c>
      <c r="EN15" s="40">
        <f>IFERROR((s_C*s_IFGO_far_adj*s_CF_far_goat*s_RadSpec!AQ15*s_Q_p_goat*(1/1000)),0)</f>
        <v>0</v>
      </c>
      <c r="EO15" s="40">
        <f>IFERROR((s_C*s_IFGM_far_adj*s_CF_far_goat_milk*s_RadSpec!AR15*(1/s_D_milk)*s_Q_p_goat_milk*(1/1000)),0)</f>
        <v>4.4053398058252435</v>
      </c>
      <c r="EP15" s="40">
        <f>IFERROR((s_C*s_IFSH_far_adj*s_CF_far_sheep*s_RadSpec!AO15*s_Q_p_sheep*(1/1000)),0)</f>
        <v>5.3693749999999998</v>
      </c>
      <c r="EQ15" s="40">
        <f>IFERROR((s_C*s_IFSM_far_adj*s_CF_far_sheep_milk*s_RadSpec!AP15*(1/s_D_milk)*s_Q_p_sheep_milk*(1/1000)),0)</f>
        <v>25.697815533980588</v>
      </c>
      <c r="ER15" s="18"/>
      <c r="ES15" s="18"/>
      <c r="ET15" s="18"/>
      <c r="EU15" s="18"/>
      <c r="EV15" s="18"/>
      <c r="EW15" s="18"/>
      <c r="EX15" s="18"/>
      <c r="EY15" s="18"/>
      <c r="EZ15" s="18"/>
      <c r="FA15" s="18"/>
      <c r="FB15" s="18"/>
      <c r="FC15" s="18"/>
      <c r="FD15" s="18"/>
      <c r="FE15" s="18"/>
      <c r="FF15" s="18"/>
      <c r="FG15" s="5"/>
      <c r="FH15" s="15">
        <f>IFERROR((s_TR/(s_RadSpec!F15*s_IFA_far_adj)),".")</f>
        <v>23982.942132408327</v>
      </c>
      <c r="FI15" s="15">
        <f>IFERROR((s_TR/(s_RadSpec!K15*s_EF_far*(1/365)*s_ED_far*s_ET_far*(1/24)*s_GSF_a)),".")</f>
        <v>18685850.308026899</v>
      </c>
      <c r="FJ15" s="15">
        <f t="shared" ref="FJ15:FJ17" si="54">IFERROR(IF(AND(ISNUMBER(FH15),ISNUMBER(FI15)),1/((1/FH15)+(1/FI15)),IF(AND(ISNUMBER(FH15),NOT(ISNUMBER(FI15))),1/((1/FH15)),IF(AND(NOT(ISNUMBER(FH15)),ISNUMBER(FI15)),1/((1/FI15)),IF(AND(NOT(ISNUMBER(FH15)),NOT(ISNUMBER(FI15))),".")))),".")</f>
        <v>23952.19992826166</v>
      </c>
      <c r="FK15" s="40">
        <f t="shared" si="44"/>
        <v>10026.041666666666</v>
      </c>
      <c r="FL15" s="40">
        <f t="shared" si="45"/>
        <v>1.5696347031963471</v>
      </c>
      <c r="FM15" s="120"/>
      <c r="FN15" s="120"/>
      <c r="FO15" s="120"/>
    </row>
    <row r="16" spans="1:171" customFormat="1" x14ac:dyDescent="0.25">
      <c r="A16" s="44" t="s">
        <v>26</v>
      </c>
      <c r="B16" s="42" t="s">
        <v>1071</v>
      </c>
      <c r="C16" s="249"/>
      <c r="D16" s="15">
        <f>s_dir!AC16</f>
        <v>7.0240207461476759E-2</v>
      </c>
      <c r="E16" s="15">
        <f>IFERROR(s_TR/(s_RadSpec!H16*s_IFP_far_adj*s_CF_far_poultry),".")</f>
        <v>0.28096082984590703</v>
      </c>
      <c r="F16" s="15">
        <f>IFERROR(s_TR/(s_RadSpec!H16*s_IFE_far_adj*s_CF_far_egg),".")</f>
        <v>0.28096082984590703</v>
      </c>
      <c r="G16" s="15">
        <f>IFERROR(s_TR/(s_RadSpec!H16*s_IFB_far_adj*s_CF_far_beef),".")</f>
        <v>0.28096082984590703</v>
      </c>
      <c r="H16" s="15">
        <f>IFERROR(s_TR/(s_RadSpec!H16*s_IFD_far_adj*s_CF_far_dairy),".")</f>
        <v>0.28096082984590703</v>
      </c>
      <c r="I16" s="15">
        <f>IFERROR(s_TR/(s_RadSpec!H16*s_IFSW_far_adj*s_CF_far_swine),".")</f>
        <v>0.28096082984590703</v>
      </c>
      <c r="J16" s="15">
        <f>IFERROR(s_TR/(s_RadSpec!H16*s_IFFI_far_adj*s_CF_far_fish),".")</f>
        <v>0.28096082984590703</v>
      </c>
      <c r="K16" s="15">
        <f>IFERROR(s_TR/(s_RadSpec!H16*s_IFSF_far_adj*s_CF_far_shellfish),".")</f>
        <v>0.28096082984590703</v>
      </c>
      <c r="L16" s="15">
        <f>IFERROR(s_TR/(s_RadSpec!H16*s_IFGO_far_adj*s_CF_far_goat),".")</f>
        <v>0.28096082984590703</v>
      </c>
      <c r="M16" s="15">
        <f>IFERROR(s_TR/(s_RadSpec!H16*s_IFSH_far_adj*s_CF_far_sheep),".")</f>
        <v>0.28096082984590703</v>
      </c>
      <c r="N16" s="15">
        <f>IFERROR(s_TR/(s_RadSpec!H16*s_IFGM_far_adj*s_CF_far_goat_milk),".")</f>
        <v>0.28096082984590703</v>
      </c>
      <c r="O16" s="15">
        <f>IFERROR(s_TR/(s_RadSpec!H16*s_IFSM_far_adj*s_CF_far_sheep_milk),".")</f>
        <v>0.28096082984590703</v>
      </c>
      <c r="P16" s="40">
        <f>s_dir!BC16</f>
        <v>605000</v>
      </c>
      <c r="Q16" s="40">
        <f t="shared" si="0"/>
        <v>151250</v>
      </c>
      <c r="R16" s="40">
        <f t="shared" si="1"/>
        <v>151250</v>
      </c>
      <c r="S16" s="40">
        <f t="shared" si="2"/>
        <v>151250</v>
      </c>
      <c r="T16" s="40">
        <f t="shared" si="3"/>
        <v>151250</v>
      </c>
      <c r="U16" s="40">
        <f t="shared" si="4"/>
        <v>151250</v>
      </c>
      <c r="V16" s="40">
        <f t="shared" si="5"/>
        <v>151250</v>
      </c>
      <c r="W16" s="40">
        <f t="shared" si="6"/>
        <v>151250</v>
      </c>
      <c r="X16" s="40">
        <f t="shared" si="7"/>
        <v>151250</v>
      </c>
      <c r="Y16" s="40">
        <f t="shared" si="8"/>
        <v>151250</v>
      </c>
      <c r="Z16" s="40">
        <f t="shared" si="9"/>
        <v>151250</v>
      </c>
      <c r="AA16" s="40">
        <f t="shared" si="10"/>
        <v>151250</v>
      </c>
      <c r="AB16" s="5"/>
      <c r="AC16" s="5"/>
      <c r="AD16" s="5"/>
      <c r="AE16" s="5"/>
      <c r="AF16" s="5"/>
      <c r="AG16" s="5"/>
      <c r="AH16" s="5"/>
      <c r="AI16" s="5"/>
      <c r="AJ16" s="5"/>
      <c r="AK16" s="5"/>
      <c r="AL16" s="5"/>
      <c r="AM16" s="5"/>
      <c r="AN16" s="45">
        <f>IFERROR((s_TR/(s_RadSpec!E16*s_IFS_far_adj*(1/1000)))*1,".")</f>
        <v>96.277525744610386</v>
      </c>
      <c r="AO16" s="45">
        <f>IFERROR(IF(A16="H-3",(s_TR/(s_RadSpec!F16*s_IFA_far_adj*(1/17)*1000))*1,(s_TR/(s_RadSpec!F16*s_IFA_far_adj*(1/s_PEF_wind)*1000))*1),".")</f>
        <v>97334.838568458756</v>
      </c>
      <c r="AP16" s="45">
        <f>IFERROR((s_TR/(s_RadSpec!G16*s_EF_far*(1/365)*s_ED_far*s_RadSpec!R16*((s_ET_far_o*(1/24)*s_RadSpec!W16)+(s_ET_far_i*(1/24)*s_RadSpec!AB16))))*1,".")</f>
        <v>1074682665.3927948</v>
      </c>
      <c r="AQ16" s="45">
        <f>s_b2s!BC16</f>
        <v>3.1117602153716586</v>
      </c>
      <c r="AR16" s="45">
        <f>IFERROR(((J16*s_RadSpec!AU16)/s_RadSpec!AJ16)*1,".")</f>
        <v>1.6857649790754423</v>
      </c>
      <c r="AS16" s="45">
        <f>IFERROR(((K16*s_RadSpec!AU16)/s_RadSpec!AK16)*1,".")</f>
        <v>1.915642021676639</v>
      </c>
      <c r="AT16" s="45">
        <f>IFERROR((G16/(s_RadSpec!AI16*((s_Q_p_beef*s_f_p_beef*s_f_s_beef*(s_RadSpec!BD16+s_R_es_past))+(s_Q_s_beef*s_f_p_beef))))*1,".")</f>
        <v>4.5057312804781375</v>
      </c>
      <c r="AU16" s="45">
        <f>IFERROR(((H16*s_D_milk)/(s_RadSpec!AH16*((s_Q_p_dairy*s_f_p_dairy*s_f_s_dairy*(s_RadSpec!BD16+s_R_es_past))+(s_Q_s_dairy*s_f_p_dairy))))*1,".")</f>
        <v>17.098064490656512</v>
      </c>
      <c r="AV16" s="45" t="str">
        <f>IFERROR((I16/(s_RadSpec!AN16*((s_Q_p_swine*s_f_p_swine*s_f_s_swine*(s_RadSpec!BD16+s_R_es_past))+(s_Q_s_swine*s_f_p_swine))))*1,".")</f>
        <v>.</v>
      </c>
      <c r="AW16" s="45" t="str">
        <f>IFERROR((E16/(s_RadSpec!AL16*((s_Q_p_poultry*s_f_p_poultry*s_f_s_poultry*(s_RadSpec!BD16+s_R_es_past))+(s_Q_s_poultry*s_f_p_poultry))))*1,".")</f>
        <v>.</v>
      </c>
      <c r="AX16" s="45" t="str">
        <f>IFERROR((F16/(s_RadSpec!AM16*((s_Q_p_poultry*s_f_p_poultry*s_f_s_poultry*(s_RadSpec!BD16+s_R_es_past))+(s_Q_s_poultry*s_f_p_poultry))))*1,".")</f>
        <v>.</v>
      </c>
      <c r="AY16" s="45" t="str">
        <f>IFERROR((L16/(s_RadSpec!AQ16*((s_Q_p_goat*s_f_p_goat*s_f_s_goat*(s_RadSpec!BD16+s_R_es_past))+(s_Q_s_goat*s_f_p_goat))))*1,".")</f>
        <v>.</v>
      </c>
      <c r="AZ16" s="45">
        <f>IFERROR((N16*s_D_milk/(s_RadSpec!AR16*((s_Q_p_goat_milk*s_f_p_goat_milk*s_f_s_goat_milk*(s_RadSpec!BD16+s_R_es_past))+(s_Q_s_goat_milk*s_f_p_goat_milk))))*1,".")</f>
        <v>0.54143870887078949</v>
      </c>
      <c r="BA16" s="45">
        <f>IFERROR((M16/(s_RadSpec!AO16*((s_Q_p_sheep*s_f_p_sheep*s_f_s_sheep*(s_RadSpec!BD16+s_R_es_past))+(s_Q_s_sheep*s_f_p_sheep))))*1,".")</f>
        <v>0.44422702765277411</v>
      </c>
      <c r="BB16" s="45">
        <f>IFERROR((O16*s_D_milk/(s_RadSpec!AP16*((s_Q_p_sheep_milk*s_f_p_sheep_milk*s_f_s_sheep_milk*(s_RadSpec!BD16+s_R_es_past))+(s_Q_s_sheep_milk*s_f_p_sheep_milk))))*1,".")</f>
        <v>9.2818064377849632E-2</v>
      </c>
      <c r="BC16" s="118">
        <f t="shared" si="11"/>
        <v>1.0386639999999999E-2</v>
      </c>
      <c r="BD16" s="118">
        <f t="shared" si="12"/>
        <v>1.0273813720836116E-5</v>
      </c>
      <c r="BE16" s="118">
        <f t="shared" si="13"/>
        <v>9.3050723920861008E-10</v>
      </c>
      <c r="BF16" s="118">
        <f t="shared" si="14"/>
        <v>0.32136152234999998</v>
      </c>
      <c r="BG16" s="118">
        <f t="shared" si="15"/>
        <v>0.59320249999999997</v>
      </c>
      <c r="BH16" s="118">
        <f t="shared" si="15"/>
        <v>0.52201819999999999</v>
      </c>
      <c r="BI16" s="118">
        <f t="shared" si="16"/>
        <v>0.2219395560344829</v>
      </c>
      <c r="BJ16" s="118">
        <f t="shared" si="17"/>
        <v>5.8486152075661234E-2</v>
      </c>
      <c r="BK16" s="118" t="str">
        <f t="shared" si="18"/>
        <v>.</v>
      </c>
      <c r="BL16" s="118" t="str">
        <f t="shared" si="19"/>
        <v>.</v>
      </c>
      <c r="BM16" s="118" t="str">
        <f t="shared" si="20"/>
        <v>.</v>
      </c>
      <c r="BN16" s="118" t="str">
        <f t="shared" si="21"/>
        <v>.</v>
      </c>
      <c r="BO16" s="118">
        <f t="shared" si="22"/>
        <v>1.846931118178776</v>
      </c>
      <c r="BP16" s="118">
        <f t="shared" si="23"/>
        <v>2.251101211206898</v>
      </c>
      <c r="BQ16" s="118">
        <f t="shared" si="24"/>
        <v>10.77376485604286</v>
      </c>
      <c r="BR16" s="15">
        <f t="shared" si="46"/>
        <v>6.0243859804498763E-2</v>
      </c>
      <c r="BS16" s="40">
        <f t="shared" si="25"/>
        <v>302.5</v>
      </c>
      <c r="BT16" s="40">
        <f t="shared" si="26"/>
        <v>3.2362545583179352E-2</v>
      </c>
      <c r="BU16" s="40">
        <f>IFERROR((s_C*s_EF_far*(1/365)*s_ED_far*s_RadSpec!R16*((s_ET_far_o*(1/24)*s_RadSpec!W16)+(s_ET_far_i*(1/24)*s_RadSpec!AB16))),".")</f>
        <v>3.137475538160468E-5</v>
      </c>
      <c r="BV16" s="40">
        <f>s_b2s!CC16</f>
        <v>13656.362499999999</v>
      </c>
      <c r="BW16" s="40">
        <f>IFERROR(((s_C*s_RadSpec!AJ16)/s_RadSpec!AU16)*s_IFFI_far_adj*s_CF_far_fish,0)</f>
        <v>25208.333333333336</v>
      </c>
      <c r="BX16" s="40">
        <f>IFERROR(((s_C*s_RadSpec!AK16)/s_RadSpec!AU16)*s_IFSF_far_adj*s_CF_far_shellfish,0)</f>
        <v>22183.333333333332</v>
      </c>
      <c r="BY16" s="40">
        <f>(s_C*s_IFB_far_adj*s_CF_far_beef*s_RadSpec!AI16*((s_Q_p_beef*s_f_p_beef*s_f_s_beef*(s_RadSpec!$AT16+s_R_es_past))+(s_Q_s_beef*s_f_p_beef)))</f>
        <v>9431.3936781609264</v>
      </c>
      <c r="BZ16" s="40">
        <f>(s_C*s_IFD_far_adj*s_CF_far_dairy*s_RadSpec!AH16*1/s_D_milk*((s_Q_p_dairy*s_f_p_dairy*s_f_s_dairy*(s_RadSpec!$AT16+s_R_es_past))+(s_Q_s_dairy*s_f_p_dairy)))</f>
        <v>2485.3880705278443</v>
      </c>
      <c r="CA16" s="40">
        <f>IFERROR((s_C*s_IFSW_far_adj*s_CF_far_swine*s_RadSpec!AN16*((s_Q_p_swine*s_f_p_swine*s_f_s_swine*(s_RadSpec!$AT16+s_R_es_past))+(s_Q_s_swine*s_f_p_swine))),0)</f>
        <v>0</v>
      </c>
      <c r="CB16" s="40">
        <f>IFERROR((s_C*s_IFP_far_adj*s_CF_far_poultry*s_RadSpec!AL16*((s_Q_p_poultry*s_f_p_poultry*s_f_s_poultry*(s_RadSpec!AT16+s_R_es_past))+(s_Q_s_poultry*s_f_p_poultry))),0)</f>
        <v>0</v>
      </c>
      <c r="CC16" s="40">
        <f>IFERROR((s_C*s_IFE_far_adj*s_CF_far_egg*s_RadSpec!AM16*((s_Q_p_egg*s_f_p_egg*s_f_s_egg*(s_RadSpec!$AT16+s_R_es_past))+(s_Q_s_egg*s_f_p_egg))),0)</f>
        <v>0</v>
      </c>
      <c r="CD16" s="40">
        <f>IFERROR((s_C*s_IFGO_far_adj*s_CF_far_goat*s_RadSpec!AQ16*((s_Q_p_goat*s_f_p_goat*s_f_s_goat*(s_RadSpec!$AT16+s_R_es_past))+(s_Q_s_goat*s_f_p_goat))),0)</f>
        <v>0</v>
      </c>
      <c r="CE16" s="40">
        <f>IFERROR((s_C*s_IFGM_far_adj*s_CF_far_goat_milk*s_RadSpec!AR16*1/s_D_milk*((s_Q_p_goat_milk*s_f_p_goat_milk*s_f_s_goat_milk*(s_RadSpec!$AT16+s_R_es_past))+(s_Q_s_goat_milk*s_f_p_goat_milk))),0)</f>
        <v>78485.939069300352</v>
      </c>
      <c r="CF16" s="40">
        <f>IFERROR((s_C*s_IFSH_far_adj*s_CF_far_sheep*s_RadSpec!AO16*((s_Q_p_sheep*s_f_p_sheep*s_f_s_sheep*(s_RadSpec!$AT16+s_R_es_past))+(s_Q_s_sheep*s_f_p_sheep))),0)</f>
        <v>95661.278735632251</v>
      </c>
      <c r="CG16" s="40">
        <f>IFERROR((s_C*s_IFSM_far_adj*s_CF_far_sheep_milk*s_RadSpec!AP16*1/s_D_milk*((s_Q_p_sheep_milk*s_f_p_sheep_milk*s_f_s_sheep_milk*(s_RadSpec!$AT16+s_R_es_past))+(s_Q_s_sheep_milk*s_f_p_sheep_milk))),0)</f>
        <v>457834.64457091881</v>
      </c>
      <c r="CH16" s="18"/>
      <c r="CI16" s="18"/>
      <c r="CJ16" s="18"/>
      <c r="CK16" s="18"/>
      <c r="CL16" s="18"/>
      <c r="CM16" s="18"/>
      <c r="CN16" s="18"/>
      <c r="CO16" s="18"/>
      <c r="CP16" s="18"/>
      <c r="CQ16" s="18"/>
      <c r="CR16" s="18"/>
      <c r="CS16" s="18"/>
      <c r="CT16" s="18"/>
      <c r="CU16" s="18"/>
      <c r="CV16" s="18"/>
      <c r="CW16" s="5"/>
      <c r="CX16" s="15">
        <f>IFERROR(s_TR/(s_RadSpec!I16*s_IFW_far_adj),".")</f>
        <v>2.0560690016756964</v>
      </c>
      <c r="CY16" s="15" t="str">
        <f>IFERROR(IF(AND(s_RadSpec!C16=1,s_RadSpec!D16&lt;&gt;0),s_TR/(s_RadSpec!F16*s_IFA_far_adj*s_K*s_RadSpec!D16),"."),".")</f>
        <v>.</v>
      </c>
      <c r="CZ16" s="15">
        <f>IFERROR((s_TR/(s_RadSpec!M16*(1/8760)*s_DFA_far_adj)),".")</f>
        <v>2191624473.7885022</v>
      </c>
      <c r="DA16" s="15">
        <f>s_b2w!BC16</f>
        <v>5.2031632166965034</v>
      </c>
      <c r="DB16" s="15">
        <f>IFERROR(J16/(s_RadSpec!AJ16*(1/1000)),".")</f>
        <v>11.238433193836281</v>
      </c>
      <c r="DC16" s="15">
        <f>IFERROR(K16/(s_RadSpec!AK16*(1/1000)),".")</f>
        <v>12.770946811177593</v>
      </c>
      <c r="DD16" s="15">
        <f>IFERROR(G16/(s_RadSpec!AI16*s_Q_w_beef*(1/1000)),".")</f>
        <v>80274.522813116302</v>
      </c>
      <c r="DE16" s="15">
        <f>IFERROR((H16*s_D_milk)/(s_RadSpec!AH16*s_Q_w_dairy*(1/1000)),".")</f>
        <v>304620.68920135178</v>
      </c>
      <c r="DF16" s="15" t="str">
        <f>IFERROR(I16/(s_RadSpec!AN16*s_Q_w_swine*(1/1000)),".")</f>
        <v>.</v>
      </c>
      <c r="DG16" s="15" t="str">
        <f>IFERROR(E16/(s_RadSpec!AL16*s_Q_w_poultry*(1/1000)),".")</f>
        <v>.</v>
      </c>
      <c r="DH16" s="15" t="str">
        <f>IFERROR(F16/(s_RadSpec!AM16*s_Q_w_poultry*(1/1000)),".")</f>
        <v>.</v>
      </c>
      <c r="DI16" s="15" t="str">
        <f>IFERROR(L16/(s_RadSpec!AQ16*s_Q_w_goat*(1/1000)),".")</f>
        <v>.</v>
      </c>
      <c r="DJ16" s="15">
        <f>IFERROR(N16*s_D_milk/(s_RadSpec!AR16*s_Q_w_goat_milk*(1/1000)),".")</f>
        <v>9646.3218247094755</v>
      </c>
      <c r="DK16" s="15">
        <f>IFERROR(M16/(s_RadSpec!AO16*s_Q_w_sheep*(1/1000)),".")</f>
        <v>7914.389573124141</v>
      </c>
      <c r="DL16" s="15">
        <f>IFERROR(O16*s_D_milk/(s_RadSpec!AP16*s_Q_w_sheep_milk*(1/1000)),".")</f>
        <v>1653.6551699501954</v>
      </c>
      <c r="DM16" s="118">
        <f t="shared" si="27"/>
        <v>0.48636499999999994</v>
      </c>
      <c r="DN16" s="118" t="str">
        <f t="shared" si="28"/>
        <v>.</v>
      </c>
      <c r="DO16" s="118">
        <f t="shared" si="29"/>
        <v>4.5628254838356158E-10</v>
      </c>
      <c r="DP16" s="118">
        <f t="shared" si="30"/>
        <v>0.19219078056038796</v>
      </c>
      <c r="DQ16" s="118">
        <f t="shared" si="31"/>
        <v>8.8980375E-2</v>
      </c>
      <c r="DR16" s="118">
        <f t="shared" si="31"/>
        <v>7.8302730000000001E-2</v>
      </c>
      <c r="DS16" s="118">
        <f t="shared" si="32"/>
        <v>1.2457252499999999E-5</v>
      </c>
      <c r="DT16" s="118">
        <f t="shared" si="33"/>
        <v>3.2827711165048549E-6</v>
      </c>
      <c r="DU16" s="118" t="str">
        <f t="shared" si="34"/>
        <v>.</v>
      </c>
      <c r="DV16" s="118" t="str">
        <f t="shared" si="35"/>
        <v>.</v>
      </c>
      <c r="DW16" s="118" t="str">
        <f t="shared" si="36"/>
        <v>.</v>
      </c>
      <c r="DX16" s="118" t="str">
        <f t="shared" si="37"/>
        <v>.</v>
      </c>
      <c r="DY16" s="118">
        <f t="shared" si="38"/>
        <v>1.036664563106796E-4</v>
      </c>
      <c r="DZ16" s="118">
        <f t="shared" si="39"/>
        <v>1.2635213250000003E-4</v>
      </c>
      <c r="EA16" s="118">
        <f t="shared" si="40"/>
        <v>6.0472099514563115E-4</v>
      </c>
      <c r="EB16" s="15">
        <f t="shared" si="47"/>
        <v>1.1810706979444872</v>
      </c>
      <c r="EC16" s="40">
        <f t="shared" si="41"/>
        <v>27500</v>
      </c>
      <c r="ED16" s="40">
        <f>IFERROR(IF(s_RadSpec!D16&lt;&gt;"",s_C*s_IFA_far_adj*s_K*s_RadSpec!D16,0),".")</f>
        <v>0</v>
      </c>
      <c r="EE16" s="40">
        <f t="shared" si="42"/>
        <v>2.5114155251141552</v>
      </c>
      <c r="EF16" s="40">
        <f>s_b2w!CC16</f>
        <v>8167.2097807406062</v>
      </c>
      <c r="EG16" s="40">
        <f>IFERROR(s_C*s_RadSpec!AJ16*(1/1000)*s_IFFI_far_adj*s_CF_far_fish,0)</f>
        <v>3781.25</v>
      </c>
      <c r="EH16" s="40">
        <f>IFERROR(s_C*s_RadSpec!AK16*(1/1000)*s_IFSF_far_adj*s_CF_far_shellfish,0)</f>
        <v>3327.5</v>
      </c>
      <c r="EI16" s="40">
        <f>(s_C*s_IFB_far_adj*s_CF_far_beef*s_RadSpec!AI16*s_Q_w_beef*(1/1000))</f>
        <v>0.52937500000000004</v>
      </c>
      <c r="EJ16" s="40">
        <f>(s_C*s_IFD_far_adj*s_CF_far_dairy*s_RadSpec!AH16*(1/s_D_milk)*s_Q_w_dairy*(1/1000))</f>
        <v>0.13950242718446604</v>
      </c>
      <c r="EK16" s="40">
        <f>IFERROR((s_C*s_IFSW_far_adj*s_CF_far_swine*s_RadSpec!AN16*s_Q_w_swine*(1/1000)),0)</f>
        <v>0</v>
      </c>
      <c r="EL16" s="40">
        <f>IFERROR((s_C*s_IFP_far_adj*s_CF_far_poultry*s_RadSpec!AL16*s_Q_w_poultry*(1/1000)),0)</f>
        <v>0</v>
      </c>
      <c r="EM16" s="40">
        <f>IFERROR((s_C*s_IFE_far_adj*s_CF_far_egg*s_RadSpec!AM16*s_Q_w_egg*(1/1000)),0)</f>
        <v>0</v>
      </c>
      <c r="EN16" s="40">
        <f>IFERROR((s_C*s_IFGO_far_adj*s_CF_far_goat*s_RadSpec!AQ16*s_Q_p_goat*(1/1000)),0)</f>
        <v>0</v>
      </c>
      <c r="EO16" s="40">
        <f>IFERROR((s_C*s_IFGM_far_adj*s_CF_far_goat_milk*s_RadSpec!AR16*(1/s_D_milk)*s_Q_p_goat_milk*(1/1000)),0)</f>
        <v>4.4053398058252435</v>
      </c>
      <c r="EP16" s="40">
        <f>IFERROR((s_C*s_IFSH_far_adj*s_CF_far_sheep*s_RadSpec!AO16*s_Q_p_sheep*(1/1000)),0)</f>
        <v>5.3693749999999998</v>
      </c>
      <c r="EQ16" s="40">
        <f>IFERROR((s_C*s_IFSM_far_adj*s_CF_far_sheep_milk*s_RadSpec!AP16*(1/s_D_milk)*s_Q_p_sheep_milk*(1/1000)),0)</f>
        <v>25.697815533980588</v>
      </c>
      <c r="ER16" s="18"/>
      <c r="ES16" s="18"/>
      <c r="ET16" s="18"/>
      <c r="EU16" s="18"/>
      <c r="EV16" s="18"/>
      <c r="EW16" s="18"/>
      <c r="EX16" s="18"/>
      <c r="EY16" s="18"/>
      <c r="EZ16" s="18"/>
      <c r="FA16" s="18"/>
      <c r="FB16" s="18"/>
      <c r="FC16" s="18"/>
      <c r="FD16" s="18"/>
      <c r="FE16" s="18"/>
      <c r="FF16" s="18"/>
      <c r="FG16" s="5"/>
      <c r="FH16" s="15">
        <f>IFERROR((s_TR/(s_RadSpec!F16*s_IFA_far_adj)),".")</f>
        <v>0.31418213236395059</v>
      </c>
      <c r="FI16" s="15">
        <f>IFERROR((s_TR/(s_RadSpec!K16*s_EF_far*(1/365)*s_ED_far*s_ET_far*(1/24)*s_GSF_a)),".")</f>
        <v>8095353.5459107636</v>
      </c>
      <c r="FJ16" s="15">
        <f t="shared" si="54"/>
        <v>0.3141821201704858</v>
      </c>
      <c r="FK16" s="40">
        <f t="shared" si="44"/>
        <v>10026.041666666666</v>
      </c>
      <c r="FL16" s="40">
        <f t="shared" si="45"/>
        <v>1.5696347031963471</v>
      </c>
      <c r="FM16" s="120"/>
      <c r="FN16" s="120"/>
      <c r="FO16" s="120"/>
    </row>
    <row r="17" spans="1:171" customFormat="1" x14ac:dyDescent="0.25">
      <c r="A17" s="44" t="s">
        <v>27</v>
      </c>
      <c r="B17" s="42" t="s">
        <v>1071</v>
      </c>
      <c r="C17" s="249"/>
      <c r="D17" s="15">
        <f>s_dir!AC17</f>
        <v>170.50676315076038</v>
      </c>
      <c r="E17" s="15">
        <f>IFERROR(s_TR/(s_RadSpec!H17*s_IFP_far_adj*s_CF_far_poultry),".")</f>
        <v>682.02705260304151</v>
      </c>
      <c r="F17" s="15">
        <f>IFERROR(s_TR/(s_RadSpec!H17*s_IFE_far_adj*s_CF_far_egg),".")</f>
        <v>682.02705260304151</v>
      </c>
      <c r="G17" s="15">
        <f>IFERROR(s_TR/(s_RadSpec!H17*s_IFB_far_adj*s_CF_far_beef),".")</f>
        <v>682.02705260304151</v>
      </c>
      <c r="H17" s="15">
        <f>IFERROR(s_TR/(s_RadSpec!H17*s_IFD_far_adj*s_CF_far_dairy),".")</f>
        <v>682.02705260304151</v>
      </c>
      <c r="I17" s="15">
        <f>IFERROR(s_TR/(s_RadSpec!H17*s_IFSW_far_adj*s_CF_far_swine),".")</f>
        <v>682.02705260304151</v>
      </c>
      <c r="J17" s="15">
        <f>IFERROR(s_TR/(s_RadSpec!H17*s_IFFI_far_adj*s_CF_far_fish),".")</f>
        <v>682.02705260304151</v>
      </c>
      <c r="K17" s="15">
        <f>IFERROR(s_TR/(s_RadSpec!H17*s_IFSF_far_adj*s_CF_far_shellfish),".")</f>
        <v>682.02705260304151</v>
      </c>
      <c r="L17" s="15">
        <f>IFERROR(s_TR/(s_RadSpec!H17*s_IFGO_far_adj*s_CF_far_goat),".")</f>
        <v>682.02705260304151</v>
      </c>
      <c r="M17" s="15">
        <f>IFERROR(s_TR/(s_RadSpec!H17*s_IFSH_far_adj*s_CF_far_sheep),".")</f>
        <v>682.02705260304151</v>
      </c>
      <c r="N17" s="15">
        <f>IFERROR(s_TR/(s_RadSpec!H17*s_IFGM_far_adj*s_CF_far_goat_milk),".")</f>
        <v>682.02705260304151</v>
      </c>
      <c r="O17" s="15">
        <f>IFERROR(s_TR/(s_RadSpec!H17*s_IFSM_far_adj*s_CF_far_sheep_milk),".")</f>
        <v>682.02705260304151</v>
      </c>
      <c r="P17" s="40">
        <f>s_dir!BC17</f>
        <v>605000</v>
      </c>
      <c r="Q17" s="40">
        <f t="shared" si="0"/>
        <v>151250</v>
      </c>
      <c r="R17" s="40">
        <f t="shared" si="1"/>
        <v>151250</v>
      </c>
      <c r="S17" s="40">
        <f t="shared" si="2"/>
        <v>151250</v>
      </c>
      <c r="T17" s="40">
        <f t="shared" si="3"/>
        <v>151250</v>
      </c>
      <c r="U17" s="40">
        <f t="shared" si="4"/>
        <v>151250</v>
      </c>
      <c r="V17" s="40">
        <f t="shared" si="5"/>
        <v>151250</v>
      </c>
      <c r="W17" s="40">
        <f t="shared" si="6"/>
        <v>151250</v>
      </c>
      <c r="X17" s="40">
        <f t="shared" si="7"/>
        <v>151250</v>
      </c>
      <c r="Y17" s="40">
        <f t="shared" si="8"/>
        <v>151250</v>
      </c>
      <c r="Z17" s="40">
        <f t="shared" si="9"/>
        <v>151250</v>
      </c>
      <c r="AA17" s="40">
        <f t="shared" si="10"/>
        <v>151250</v>
      </c>
      <c r="AB17" s="5"/>
      <c r="AC17" s="5"/>
      <c r="AD17" s="5"/>
      <c r="AE17" s="5"/>
      <c r="AF17" s="5"/>
      <c r="AG17" s="5"/>
      <c r="AH17" s="5"/>
      <c r="AI17" s="5"/>
      <c r="AJ17" s="5"/>
      <c r="AK17" s="5"/>
      <c r="AL17" s="5"/>
      <c r="AM17" s="5"/>
      <c r="AN17" s="45">
        <f>IFERROR((s_TR/(s_RadSpec!E17*s_IFS_far_adj*(1/1000)))*1,".")</f>
        <v>208751.27077336085</v>
      </c>
      <c r="AO17" s="45">
        <f>IFERROR(IF(A17="H-3",(s_TR/(s_RadSpec!F17*s_IFA_far_adj*(1/17)*1000))*1,(s_TR/(s_RadSpec!F17*s_IFA_far_adj*(1/s_PEF_wind)*1000))*1),".")</f>
        <v>19884117.02184229</v>
      </c>
      <c r="AP17" s="45">
        <f>IFERROR((s_TR/(s_RadSpec!G17*s_EF_far*(1/365)*s_ED_far*s_RadSpec!R17*((s_ET_far_o*(1/24)*s_RadSpec!W17)+(s_ET_far_i*(1/24)*s_RadSpec!AB17))))*1,".")</f>
        <v>147.45283262536418</v>
      </c>
      <c r="AQ17" s="45">
        <f>s_b2s!BC17</f>
        <v>7553.7385380777678</v>
      </c>
      <c r="AR17" s="45">
        <f>IFERROR(((J17*s_RadSpec!AU17)/s_RadSpec!AJ17)*1,".")</f>
        <v>4092.1623156182491</v>
      </c>
      <c r="AS17" s="45">
        <f>IFERROR(((K17*s_RadSpec!AU17)/s_RadSpec!AK17)*1,".")</f>
        <v>4650.1844495661926</v>
      </c>
      <c r="AT17" s="45">
        <f>IFERROR((G17/(s_RadSpec!AI17*((s_Q_p_beef*s_f_p_beef*s_f_s_beef*(s_RadSpec!BD17+s_R_es_past))+(s_Q_s_beef*s_f_p_beef))))*1,".")</f>
        <v>10937.576696122502</v>
      </c>
      <c r="AU17" s="45">
        <f>IFERROR(((H17*s_D_milk)/(s_RadSpec!AH17*((s_Q_p_dairy*s_f_p_dairy*s_f_s_dairy*(s_RadSpec!BD17+s_R_es_past))+(s_Q_s_dairy*s_f_p_dairy))))*1,".")</f>
        <v>41505.225252128017</v>
      </c>
      <c r="AV17" s="45" t="str">
        <f>IFERROR((I17/(s_RadSpec!AN17*((s_Q_p_swine*s_f_p_swine*s_f_s_swine*(s_RadSpec!BD17+s_R_es_past))+(s_Q_s_swine*s_f_p_swine))))*1,".")</f>
        <v>.</v>
      </c>
      <c r="AW17" s="45" t="str">
        <f>IFERROR((E17/(s_RadSpec!AL17*((s_Q_p_poultry*s_f_p_poultry*s_f_s_poultry*(s_RadSpec!BD17+s_R_es_past))+(s_Q_s_poultry*s_f_p_poultry))))*1,".")</f>
        <v>.</v>
      </c>
      <c r="AX17" s="45" t="str">
        <f>IFERROR((F17/(s_RadSpec!AM17*((s_Q_p_poultry*s_f_p_poultry*s_f_s_poultry*(s_RadSpec!BD17+s_R_es_past))+(s_Q_s_poultry*s_f_p_poultry))))*1,".")</f>
        <v>.</v>
      </c>
      <c r="AY17" s="45" t="str">
        <f>IFERROR((L17/(s_RadSpec!AQ17*((s_Q_p_goat*s_f_p_goat*s_f_s_goat*(s_RadSpec!BD17+s_R_es_past))+(s_Q_s_goat*s_f_p_goat))))*1,".")</f>
        <v>.</v>
      </c>
      <c r="AZ17" s="45">
        <f>IFERROR((N17*s_D_milk/(s_RadSpec!AR17*((s_Q_p_goat_milk*s_f_p_goat_milk*s_f_s_goat_milk*(s_RadSpec!BD17+s_R_es_past))+(s_Q_s_goat_milk*s_f_p_goat_milk))))*1,".")</f>
        <v>1314.3321329840539</v>
      </c>
      <c r="BA17" s="45">
        <f>IFERROR((M17/(s_RadSpec!AO17*((s_Q_p_sheep*s_f_p_sheep*s_f_s_sheep*(s_RadSpec!BD17+s_R_es_past))+(s_Q_s_sheep*s_f_p_sheep))))*1,".")</f>
        <v>1078.3526320120775</v>
      </c>
      <c r="BB17" s="45">
        <f>IFERROR((O17*s_D_milk/(s_RadSpec!AP17*((s_Q_p_sheep_milk*s_f_p_sheep_milk*s_f_s_sheep_milk*(s_RadSpec!BD17+s_R_es_past))+(s_Q_s_sheep_milk*s_f_p_sheep_milk))))*1,".")</f>
        <v>225.31407994012352</v>
      </c>
      <c r="BC17" s="118">
        <f t="shared" si="11"/>
        <v>4.7903899999999992E-6</v>
      </c>
      <c r="BD17" s="118">
        <f t="shared" si="12"/>
        <v>5.0291395836260707E-8</v>
      </c>
      <c r="BE17" s="118">
        <f t="shared" si="13"/>
        <v>6.7818297023883988E-3</v>
      </c>
      <c r="BF17" s="118">
        <f t="shared" si="14"/>
        <v>1.3238477807499998E-4</v>
      </c>
      <c r="BG17" s="118">
        <f t="shared" si="15"/>
        <v>2.4436958333333333E-4</v>
      </c>
      <c r="BH17" s="118">
        <f t="shared" si="15"/>
        <v>2.1504523333333331E-4</v>
      </c>
      <c r="BI17" s="118">
        <f t="shared" si="16"/>
        <v>9.1427930316092016E-5</v>
      </c>
      <c r="BJ17" s="118">
        <f t="shared" si="17"/>
        <v>2.4093351955696925E-5</v>
      </c>
      <c r="BK17" s="118" t="str">
        <f t="shared" si="18"/>
        <v>.</v>
      </c>
      <c r="BL17" s="118" t="str">
        <f t="shared" si="19"/>
        <v>.</v>
      </c>
      <c r="BM17" s="118" t="str">
        <f t="shared" si="20"/>
        <v>.</v>
      </c>
      <c r="BN17" s="118" t="str">
        <f t="shared" si="21"/>
        <v>.</v>
      </c>
      <c r="BO17" s="118">
        <f t="shared" si="22"/>
        <v>7.6084269333779762E-4</v>
      </c>
      <c r="BP17" s="118">
        <f t="shared" si="23"/>
        <v>9.2734043606321908E-4</v>
      </c>
      <c r="BQ17" s="118">
        <f t="shared" si="24"/>
        <v>4.4382490444704863E-3</v>
      </c>
      <c r="BR17" s="15">
        <f t="shared" si="46"/>
        <v>73.419156518630473</v>
      </c>
      <c r="BS17" s="40">
        <f t="shared" si="25"/>
        <v>302.5</v>
      </c>
      <c r="BT17" s="40">
        <f t="shared" si="26"/>
        <v>3.2362545583179352E-2</v>
      </c>
      <c r="BU17" s="40">
        <f>IFERROR((s_C*s_EF_far*(1/365)*s_ED_far*s_RadSpec!R17*((s_ET_far_o*(1/24)*s_RadSpec!W17)+(s_ET_far_i*(1/24)*s_RadSpec!AB17))),".")</f>
        <v>0.34125705076551183</v>
      </c>
      <c r="BV17" s="40">
        <f>s_b2s!CC17</f>
        <v>13656.362499999999</v>
      </c>
      <c r="BW17" s="40">
        <f>IFERROR(((s_C*s_RadSpec!AJ17)/s_RadSpec!AU17)*s_IFFI_far_adj*s_CF_far_fish,0)</f>
        <v>25208.333333333336</v>
      </c>
      <c r="BX17" s="40">
        <f>IFERROR(((s_C*s_RadSpec!AK17)/s_RadSpec!AU17)*s_IFSF_far_adj*s_CF_far_shellfish,0)</f>
        <v>22183.333333333332</v>
      </c>
      <c r="BY17" s="40">
        <f>(s_C*s_IFB_far_adj*s_CF_far_beef*s_RadSpec!AI17*((s_Q_p_beef*s_f_p_beef*s_f_s_beef*(s_RadSpec!$AT17+s_R_es_past))+(s_Q_s_beef*s_f_p_beef)))</f>
        <v>9431.3936781609264</v>
      </c>
      <c r="BZ17" s="40">
        <f>(s_C*s_IFD_far_adj*s_CF_far_dairy*s_RadSpec!AH17*1/s_D_milk*((s_Q_p_dairy*s_f_p_dairy*s_f_s_dairy*(s_RadSpec!$AT17+s_R_es_past))+(s_Q_s_dairy*s_f_p_dairy)))</f>
        <v>2485.3880705278443</v>
      </c>
      <c r="CA17" s="40">
        <f>IFERROR((s_C*s_IFSW_far_adj*s_CF_far_swine*s_RadSpec!AN17*((s_Q_p_swine*s_f_p_swine*s_f_s_swine*(s_RadSpec!$AT17+s_R_es_past))+(s_Q_s_swine*s_f_p_swine))),0)</f>
        <v>0</v>
      </c>
      <c r="CB17" s="40">
        <f>IFERROR((s_C*s_IFP_far_adj*s_CF_far_poultry*s_RadSpec!AL17*((s_Q_p_poultry*s_f_p_poultry*s_f_s_poultry*(s_RadSpec!AT17+s_R_es_past))+(s_Q_s_poultry*s_f_p_poultry))),0)</f>
        <v>0</v>
      </c>
      <c r="CC17" s="40">
        <f>IFERROR((s_C*s_IFE_far_adj*s_CF_far_egg*s_RadSpec!AM17*((s_Q_p_egg*s_f_p_egg*s_f_s_egg*(s_RadSpec!$AT17+s_R_es_past))+(s_Q_s_egg*s_f_p_egg))),0)</f>
        <v>0</v>
      </c>
      <c r="CD17" s="40">
        <f>IFERROR((s_C*s_IFGO_far_adj*s_CF_far_goat*s_RadSpec!AQ17*((s_Q_p_goat*s_f_p_goat*s_f_s_goat*(s_RadSpec!$AT17+s_R_es_past))+(s_Q_s_goat*s_f_p_goat))),0)</f>
        <v>0</v>
      </c>
      <c r="CE17" s="40">
        <f>IFERROR((s_C*s_IFGM_far_adj*s_CF_far_goat_milk*s_RadSpec!AR17*1/s_D_milk*((s_Q_p_goat_milk*s_f_p_goat_milk*s_f_s_goat_milk*(s_RadSpec!$AT17+s_R_es_past))+(s_Q_s_goat_milk*s_f_p_goat_milk))),0)</f>
        <v>78485.939069300352</v>
      </c>
      <c r="CF17" s="40">
        <f>IFERROR((s_C*s_IFSH_far_adj*s_CF_far_sheep*s_RadSpec!AO17*((s_Q_p_sheep*s_f_p_sheep*s_f_s_sheep*(s_RadSpec!$AT17+s_R_es_past))+(s_Q_s_sheep*s_f_p_sheep))),0)</f>
        <v>95661.278735632251</v>
      </c>
      <c r="CG17" s="40">
        <f>IFERROR((s_C*s_IFSM_far_adj*s_CF_far_sheep_milk*s_RadSpec!AP17*1/s_D_milk*((s_Q_p_sheep_milk*s_f_p_sheep_milk*s_f_s_sheep_milk*(s_RadSpec!$AT17+s_R_es_past))+(s_Q_s_sheep_milk*s_f_p_sheep_milk))),0)</f>
        <v>457834.64457091881</v>
      </c>
      <c r="CH17" s="18"/>
      <c r="CI17" s="18"/>
      <c r="CJ17" s="18"/>
      <c r="CK17" s="18"/>
      <c r="CL17" s="18"/>
      <c r="CM17" s="18"/>
      <c r="CN17" s="18"/>
      <c r="CO17" s="18"/>
      <c r="CP17" s="18"/>
      <c r="CQ17" s="18"/>
      <c r="CR17" s="18"/>
      <c r="CS17" s="18"/>
      <c r="CT17" s="18"/>
      <c r="CU17" s="18"/>
      <c r="CV17" s="18"/>
      <c r="CW17" s="5"/>
      <c r="CX17" s="15">
        <f>IFERROR(s_TR/(s_RadSpec!I17*s_IFW_far_adj),".")</f>
        <v>5278.2007669225723</v>
      </c>
      <c r="CY17" s="15">
        <f>IFERROR(IF(AND(s_RadSpec!C17=1,s_RadSpec!D17&lt;&gt;0),s_TR/(s_RadSpec!F17*s_IFA_far_adj*s_K*s_RadSpec!D17),"."),".")</f>
        <v>743.95058466259979</v>
      </c>
      <c r="CZ17" s="15">
        <f>IFERROR((s_TR/(s_RadSpec!M17*(1/8760)*s_DFA_far_adj)),".")</f>
        <v>8927140.5267406031</v>
      </c>
      <c r="DA17" s="15">
        <f>s_b2w!BC17</f>
        <v>12630.579411522811</v>
      </c>
      <c r="DB17" s="15">
        <f>IFERROR(J17/(s_RadSpec!AJ17*(1/1000)),".")</f>
        <v>27281.082104121659</v>
      </c>
      <c r="DC17" s="15">
        <f>IFERROR(K17/(s_RadSpec!AK17*(1/1000)),".")</f>
        <v>31001.229663774615</v>
      </c>
      <c r="DD17" s="15">
        <f>IFERROR(G17/(s_RadSpec!AI17*s_Q_w_beef*(1/1000)),".")</f>
        <v>194864872.17229757</v>
      </c>
      <c r="DE17" s="15">
        <f>IFERROR((H17*s_D_milk)/(s_RadSpec!AH17*s_Q_w_dairy*(1/1000)),".")</f>
        <v>739460909.66435015</v>
      </c>
      <c r="DF17" s="15" t="str">
        <f>IFERROR(I17/(s_RadSpec!AN17*s_Q_w_swine*(1/1000)),".")</f>
        <v>.</v>
      </c>
      <c r="DG17" s="15" t="str">
        <f>IFERROR(E17/(s_RadSpec!AL17*s_Q_w_poultry*(1/1000)),".")</f>
        <v>.</v>
      </c>
      <c r="DH17" s="15" t="str">
        <f>IFERROR(F17/(s_RadSpec!AM17*s_Q_w_poultry*(1/1000)),".")</f>
        <v>.</v>
      </c>
      <c r="DI17" s="15" t="str">
        <f>IFERROR(L17/(s_RadSpec!AQ17*s_Q_w_goat*(1/1000)),".")</f>
        <v>.</v>
      </c>
      <c r="DJ17" s="15">
        <f>IFERROR(N17*s_D_milk/(s_RadSpec!AR17*s_Q_w_goat_milk*(1/1000)),".")</f>
        <v>23416262.13937109</v>
      </c>
      <c r="DK17" s="15">
        <f>IFERROR(M17/(s_RadSpec!AO17*s_Q_w_sheep*(1/1000)),".")</f>
        <v>19212029.650789902</v>
      </c>
      <c r="DL17" s="15">
        <f>IFERROR(O17*s_D_milk/(s_RadSpec!AP17*s_Q_w_sheep_milk*(1/1000)),".")</f>
        <v>4014216.3667493295</v>
      </c>
      <c r="DM17" s="118">
        <f t="shared" si="27"/>
        <v>1.8945849999999997E-4</v>
      </c>
      <c r="DN17" s="118">
        <f t="shared" si="28"/>
        <v>1.3441752995644529E-3</v>
      </c>
      <c r="DO17" s="118">
        <f t="shared" si="29"/>
        <v>1.1201795210958901E-7</v>
      </c>
      <c r="DP17" s="118">
        <f t="shared" si="30"/>
        <v>7.9172931614499432E-5</v>
      </c>
      <c r="DQ17" s="118">
        <f t="shared" si="31"/>
        <v>3.6655437500000001E-5</v>
      </c>
      <c r="DR17" s="118">
        <f t="shared" si="31"/>
        <v>3.2256784999999998E-5</v>
      </c>
      <c r="DS17" s="118">
        <f t="shared" si="32"/>
        <v>5.1317612500000001E-9</v>
      </c>
      <c r="DT17" s="118">
        <f t="shared" si="33"/>
        <v>1.3523365291262137E-9</v>
      </c>
      <c r="DU17" s="118" t="str">
        <f t="shared" si="34"/>
        <v>.</v>
      </c>
      <c r="DV17" s="118" t="str">
        <f t="shared" si="35"/>
        <v>.</v>
      </c>
      <c r="DW17" s="118" t="str">
        <f t="shared" si="36"/>
        <v>.</v>
      </c>
      <c r="DX17" s="118" t="str">
        <f t="shared" si="37"/>
        <v>.</v>
      </c>
      <c r="DY17" s="118">
        <f t="shared" si="38"/>
        <v>4.2705364077669905E-8</v>
      </c>
      <c r="DZ17" s="118">
        <f t="shared" si="39"/>
        <v>5.2050721250000002E-8</v>
      </c>
      <c r="EA17" s="118">
        <f t="shared" si="40"/>
        <v>2.4911462378640781E-7</v>
      </c>
      <c r="EB17" s="15">
        <f t="shared" si="47"/>
        <v>594.4662351694958</v>
      </c>
      <c r="EC17" s="40">
        <f t="shared" si="41"/>
        <v>27500</v>
      </c>
      <c r="ED17" s="40">
        <f>IFERROR(IF(s_RadSpec!D17&lt;&gt;"",s_C*s_IFA_far_adj*s_K*s_RadSpec!D17,0),".")</f>
        <v>864.97767024739585</v>
      </c>
      <c r="EE17" s="40">
        <f t="shared" si="42"/>
        <v>2.5114155251141552</v>
      </c>
      <c r="EF17" s="40">
        <f>s_b2w!CC17</f>
        <v>8167.2097807406062</v>
      </c>
      <c r="EG17" s="40">
        <f>IFERROR(s_C*s_RadSpec!AJ17*(1/1000)*s_IFFI_far_adj*s_CF_far_fish,0)</f>
        <v>3781.25</v>
      </c>
      <c r="EH17" s="40">
        <f>IFERROR(s_C*s_RadSpec!AK17*(1/1000)*s_IFSF_far_adj*s_CF_far_shellfish,0)</f>
        <v>3327.5</v>
      </c>
      <c r="EI17" s="40">
        <f>(s_C*s_IFB_far_adj*s_CF_far_beef*s_RadSpec!AI17*s_Q_w_beef*(1/1000))</f>
        <v>0.52937500000000004</v>
      </c>
      <c r="EJ17" s="40">
        <f>(s_C*s_IFD_far_adj*s_CF_far_dairy*s_RadSpec!AH17*(1/s_D_milk)*s_Q_w_dairy*(1/1000))</f>
        <v>0.13950242718446604</v>
      </c>
      <c r="EK17" s="40">
        <f>IFERROR((s_C*s_IFSW_far_adj*s_CF_far_swine*s_RadSpec!AN17*s_Q_w_swine*(1/1000)),0)</f>
        <v>0</v>
      </c>
      <c r="EL17" s="40">
        <f>IFERROR((s_C*s_IFP_far_adj*s_CF_far_poultry*s_RadSpec!AL17*s_Q_w_poultry*(1/1000)),0)</f>
        <v>0</v>
      </c>
      <c r="EM17" s="40">
        <f>IFERROR((s_C*s_IFE_far_adj*s_CF_far_egg*s_RadSpec!AM17*s_Q_w_egg*(1/1000)),0)</f>
        <v>0</v>
      </c>
      <c r="EN17" s="40">
        <f>IFERROR((s_C*s_IFGO_far_adj*s_CF_far_goat*s_RadSpec!AQ17*s_Q_p_goat*(1/1000)),0)</f>
        <v>0</v>
      </c>
      <c r="EO17" s="40">
        <f>IFERROR((s_C*s_IFGM_far_adj*s_CF_far_goat_milk*s_RadSpec!AR17*(1/s_D_milk)*s_Q_p_goat_milk*(1/1000)),0)</f>
        <v>4.4053398058252435</v>
      </c>
      <c r="EP17" s="40">
        <f>IFERROR((s_C*s_IFSH_far_adj*s_CF_far_sheep*s_RadSpec!AO17*s_Q_p_sheep*(1/1000)),0)</f>
        <v>5.3693749999999998</v>
      </c>
      <c r="EQ17" s="40">
        <f>IFERROR((s_C*s_IFSM_far_adj*s_CF_far_sheep_milk*s_RadSpec!AP17*(1/s_D_milk)*s_Q_p_sheep_milk*(1/1000)),0)</f>
        <v>25.697815533980588</v>
      </c>
      <c r="ER17" s="18"/>
      <c r="ES17" s="18"/>
      <c r="ET17" s="18"/>
      <c r="EU17" s="18"/>
      <c r="EV17" s="18"/>
      <c r="EW17" s="18"/>
      <c r="EX17" s="18"/>
      <c r="EY17" s="18"/>
      <c r="EZ17" s="18"/>
      <c r="FA17" s="18"/>
      <c r="FB17" s="18"/>
      <c r="FC17" s="18"/>
      <c r="FD17" s="18"/>
      <c r="FE17" s="18"/>
      <c r="FF17" s="18"/>
      <c r="FG17" s="5"/>
      <c r="FH17" s="15">
        <f>IFERROR((s_TR/(s_RadSpec!F17*s_IFA_far_adj)),".")</f>
        <v>64.18292132577848</v>
      </c>
      <c r="FI17" s="15">
        <f>IFERROR((s_TR/(s_RadSpec!K17*s_EF_far*(1/365)*s_ED_far*s_ET_far*(1/24)*s_GSF_a)),".")</f>
        <v>31250.104753401229</v>
      </c>
      <c r="FJ17" s="15">
        <f t="shared" si="54"/>
        <v>64.051369638168609</v>
      </c>
      <c r="FK17" s="40">
        <f t="shared" si="44"/>
        <v>10026.041666666666</v>
      </c>
      <c r="FL17" s="40">
        <f t="shared" si="45"/>
        <v>1.5696347031963471</v>
      </c>
      <c r="FM17" s="120"/>
      <c r="FN17" s="120"/>
      <c r="FO17" s="120"/>
    </row>
    <row r="18" spans="1:171" customFormat="1" x14ac:dyDescent="0.25">
      <c r="A18" s="44" t="s">
        <v>28</v>
      </c>
      <c r="B18" s="42" t="s">
        <v>1071</v>
      </c>
      <c r="C18" s="249"/>
      <c r="D18" s="15">
        <f>s_dir!AC18</f>
        <v>3.667715266461348E-2</v>
      </c>
      <c r="E18" s="15">
        <f>IFERROR(s_TR/(s_RadSpec!H18*s_IFP_far_adj*s_CF_far_poultry),".")</f>
        <v>0.14670861065845392</v>
      </c>
      <c r="F18" s="15">
        <f>IFERROR(s_TR/(s_RadSpec!H18*s_IFE_far_adj*s_CF_far_egg),".")</f>
        <v>0.14670861065845392</v>
      </c>
      <c r="G18" s="15">
        <f>IFERROR(s_TR/(s_RadSpec!H18*s_IFB_far_adj*s_CF_far_beef),".")</f>
        <v>0.14670861065845392</v>
      </c>
      <c r="H18" s="15">
        <f>IFERROR(s_TR/(s_RadSpec!H18*s_IFD_far_adj*s_CF_far_dairy),".")</f>
        <v>0.14670861065845392</v>
      </c>
      <c r="I18" s="15">
        <f>IFERROR(s_TR/(s_RadSpec!H18*s_IFSW_far_adj*s_CF_far_swine),".")</f>
        <v>0.14670861065845392</v>
      </c>
      <c r="J18" s="15">
        <f>IFERROR(s_TR/(s_RadSpec!H18*s_IFFI_far_adj*s_CF_far_fish),".")</f>
        <v>0.14670861065845392</v>
      </c>
      <c r="K18" s="15">
        <f>IFERROR(s_TR/(s_RadSpec!H18*s_IFSF_far_adj*s_CF_far_shellfish),".")</f>
        <v>0.14670861065845392</v>
      </c>
      <c r="L18" s="15">
        <f>IFERROR(s_TR/(s_RadSpec!H18*s_IFGO_far_adj*s_CF_far_goat),".")</f>
        <v>0.14670861065845392</v>
      </c>
      <c r="M18" s="15">
        <f>IFERROR(s_TR/(s_RadSpec!H18*s_IFSH_far_adj*s_CF_far_sheep),".")</f>
        <v>0.14670861065845392</v>
      </c>
      <c r="N18" s="15">
        <f>IFERROR(s_TR/(s_RadSpec!H18*s_IFGM_far_adj*s_CF_far_goat_milk),".")</f>
        <v>0.14670861065845392</v>
      </c>
      <c r="O18" s="15">
        <f>IFERROR(s_TR/(s_RadSpec!H18*s_IFSM_far_adj*s_CF_far_sheep_milk),".")</f>
        <v>0.14670861065845392</v>
      </c>
      <c r="P18" s="40">
        <f>s_dir!BC18</f>
        <v>605000</v>
      </c>
      <c r="Q18" s="40">
        <f t="shared" si="0"/>
        <v>151250</v>
      </c>
      <c r="R18" s="40">
        <f t="shared" si="1"/>
        <v>151250</v>
      </c>
      <c r="S18" s="40">
        <f t="shared" si="2"/>
        <v>151250</v>
      </c>
      <c r="T18" s="40">
        <f t="shared" si="3"/>
        <v>151250</v>
      </c>
      <c r="U18" s="40">
        <f t="shared" si="4"/>
        <v>151250</v>
      </c>
      <c r="V18" s="40">
        <f t="shared" si="5"/>
        <v>151250</v>
      </c>
      <c r="W18" s="40">
        <f t="shared" si="6"/>
        <v>151250</v>
      </c>
      <c r="X18" s="40">
        <f t="shared" si="7"/>
        <v>151250</v>
      </c>
      <c r="Y18" s="40">
        <f t="shared" si="8"/>
        <v>151250</v>
      </c>
      <c r="Z18" s="40">
        <f t="shared" si="9"/>
        <v>151250</v>
      </c>
      <c r="AA18" s="40">
        <f t="shared" si="10"/>
        <v>151250</v>
      </c>
      <c r="AB18" s="5"/>
      <c r="AC18" s="5"/>
      <c r="AD18" s="5"/>
      <c r="AE18" s="5"/>
      <c r="AF18" s="5"/>
      <c r="AG18" s="5"/>
      <c r="AH18" s="5"/>
      <c r="AI18" s="5"/>
      <c r="AJ18" s="5"/>
      <c r="AK18" s="5"/>
      <c r="AL18" s="5"/>
      <c r="AM18" s="5"/>
      <c r="AN18" s="45">
        <f>IFERROR((s_TR/(s_RadSpec!E18*s_IFS_far_adj*(1/1000)))*1,".")</f>
        <v>50.477708412993472</v>
      </c>
      <c r="AO18" s="45">
        <f>IFERROR(IF(A18="H-3",(s_TR/(s_RadSpec!F18*s_IFA_far_adj*(1/17)*1000))*1,(s_TR/(s_RadSpec!F18*s_IFA_far_adj*(1/s_PEF_wind)*1000))*1),".")</f>
        <v>106522.05547415512</v>
      </c>
      <c r="AP18" s="45">
        <f>IFERROR((s_TR/(s_RadSpec!G18*s_EF_far*(1/365)*s_ED_far*s_RadSpec!R18*((s_ET_far_o*(1/24)*s_RadSpec!W18)+(s_ET_far_i*(1/24)*s_RadSpec!AB18))))*1,".")</f>
        <v>1655695.6076416252</v>
      </c>
      <c r="AQ18" s="45">
        <f>s_b2s!BC18</f>
        <v>2.1689623101486384</v>
      </c>
      <c r="AR18" s="45">
        <f>IFERROR(((J18*s_RadSpec!AU18)/s_RadSpec!AJ18)*1,".")</f>
        <v>0.85580022884098117</v>
      </c>
      <c r="AS18" s="45" t="str">
        <f>IFERROR(((K18*s_RadSpec!AU18)/s_RadSpec!AK18)*1,".")</f>
        <v>.</v>
      </c>
      <c r="AT18" s="45">
        <f>IFERROR((G18/(s_RadSpec!AI18*((s_Q_p_beef*s_f_p_beef*s_f_s_beef*(s_RadSpec!BD18+s_R_es_past))+(s_Q_s_beef*s_f_p_beef))))*1,".")</f>
        <v>0.55866977993502243</v>
      </c>
      <c r="AU18" s="45">
        <f>IFERROR(((H18*s_D_milk)/(s_RadSpec!AH18*((s_Q_p_dairy*s_f_p_dairy*s_f_s_dairy*(s_RadSpec!BD18+s_R_es_past))+(s_Q_s_dairy*s_f_p_dairy))))*1,".")</f>
        <v>8.2204267619010452</v>
      </c>
      <c r="AV18" s="45" t="str">
        <f>IFERROR((I18/(s_RadSpec!AN18*((s_Q_p_swine*s_f_p_swine*s_f_s_swine*(s_RadSpec!BD18+s_R_es_past))+(s_Q_s_swine*s_f_p_swine))))*1,".")</f>
        <v>.</v>
      </c>
      <c r="AW18" s="45">
        <f>IFERROR((E18/(s_RadSpec!AL18*((s_Q_p_poultry*s_f_p_poultry*s_f_s_poultry*(s_RadSpec!BD18+s_R_es_past))+(s_Q_s_poultry*s_f_p_poultry))))*1,".")</f>
        <v>6.9833722491877798E-4</v>
      </c>
      <c r="AX18" s="45">
        <f>IFERROR((F18/(s_RadSpec!AM18*((s_Q_p_poultry*s_f_p_poultry*s_f_s_poultry*(s_RadSpec!BD18+s_R_es_past))+(s_Q_s_poultry*s_f_p_poultry))))*1,".")</f>
        <v>5.4064817413066683E-4</v>
      </c>
      <c r="AY18" s="45" t="str">
        <f>IFERROR((L18/(s_RadSpec!AQ18*((s_Q_p_goat*s_f_p_goat*s_f_s_goat*(s_RadSpec!BD18+s_R_es_past))+(s_Q_s_goat*s_f_p_goat))))*1,".")</f>
        <v>.</v>
      </c>
      <c r="AZ18" s="45">
        <f>IFERROR((N18*s_D_milk/(s_RadSpec!AR18*((s_Q_p_goat_milk*s_f_p_goat_milk*s_f_s_goat_milk*(s_RadSpec!BD18+s_R_es_past))+(s_Q_s_goat_milk*s_f_p_goat_milk))))*1,".")</f>
        <v>0.75056070434748678</v>
      </c>
      <c r="BA18" s="45">
        <f>IFERROR((M18/(s_RadSpec!AO18*((s_Q_p_sheep*s_f_p_sheep*s_f_s_sheep*(s_RadSpec!BD18+s_R_es_past))+(s_Q_s_sheep*s_f_p_sheep))))*1,".")</f>
        <v>3.3520186796101345E-2</v>
      </c>
      <c r="BB18" s="45" t="str">
        <f>IFERROR((O18*s_D_milk/(s_RadSpec!AP18*((s_Q_p_sheep_milk*s_f_p_sheep_milk*s_f_s_sheep_milk*(s_RadSpec!BD18+s_R_es_past))+(s_Q_s_sheep_milk*s_f_p_sheep_milk))))*1,".")</f>
        <v>.</v>
      </c>
      <c r="BC18" s="118">
        <f t="shared" si="11"/>
        <v>1.9810724999999998E-2</v>
      </c>
      <c r="BD18" s="118">
        <f t="shared" si="12"/>
        <v>9.3877272227686661E-6</v>
      </c>
      <c r="BE18" s="118">
        <f t="shared" si="13"/>
        <v>6.0397575217609061E-7</v>
      </c>
      <c r="BF18" s="118">
        <f t="shared" si="14"/>
        <v>0.46104996630000006</v>
      </c>
      <c r="BG18" s="118">
        <f t="shared" si="15"/>
        <v>1.1684970000000001</v>
      </c>
      <c r="BH18" s="118" t="str">
        <f t="shared" si="15"/>
        <v>.</v>
      </c>
      <c r="BI18" s="118">
        <f t="shared" si="16"/>
        <v>1.7899661587500002</v>
      </c>
      <c r="BJ18" s="118">
        <f t="shared" si="17"/>
        <v>0.12164818554611651</v>
      </c>
      <c r="BK18" s="118" t="str">
        <f t="shared" si="18"/>
        <v>.</v>
      </c>
      <c r="BL18" s="118">
        <f t="shared" si="19"/>
        <v>1431.9729270000003</v>
      </c>
      <c r="BM18" s="118">
        <f t="shared" si="20"/>
        <v>1849.6316973750004</v>
      </c>
      <c r="BN18" s="118" t="str">
        <f t="shared" si="21"/>
        <v>.</v>
      </c>
      <c r="BO18" s="118">
        <f t="shared" si="22"/>
        <v>1.3323372702669902</v>
      </c>
      <c r="BP18" s="118">
        <f t="shared" si="23"/>
        <v>29.832769312500002</v>
      </c>
      <c r="BQ18" s="118" t="str">
        <f t="shared" si="24"/>
        <v>.</v>
      </c>
      <c r="BR18" s="15">
        <f t="shared" si="46"/>
        <v>3.0153808125483615E-4</v>
      </c>
      <c r="BS18" s="40">
        <f t="shared" si="25"/>
        <v>302.5</v>
      </c>
      <c r="BT18" s="40">
        <f t="shared" si="26"/>
        <v>3.2362545583179352E-2</v>
      </c>
      <c r="BU18" s="40">
        <f>IFERROR((s_C*s_EF_far*(1/365)*s_ED_far*s_RadSpec!R18*((s_ET_far_o*(1/24)*s_RadSpec!W18)+(s_ET_far_i*(1/24)*s_RadSpec!AB18))),".")</f>
        <v>0.67003349224548903</v>
      </c>
      <c r="BV18" s="40">
        <f>s_b2s!CC18</f>
        <v>10230.549999999999</v>
      </c>
      <c r="BW18" s="40">
        <f>IFERROR(((s_C*s_RadSpec!AJ18)/s_RadSpec!AU18)*s_IFFI_far_adj*s_CF_far_fish,0)</f>
        <v>25928.571428571428</v>
      </c>
      <c r="BX18" s="40">
        <f>IFERROR(((s_C*s_RadSpec!AK18)/s_RadSpec!AU18)*s_IFSF_far_adj*s_CF_far_shellfish,0)</f>
        <v>0</v>
      </c>
      <c r="BY18" s="40">
        <f>(s_C*s_IFB_far_adj*s_CF_far_beef*s_RadSpec!AI18*((s_Q_p_beef*s_f_p_beef*s_f_s_beef*(s_RadSpec!$AT18+s_R_es_past))+(s_Q_s_beef*s_f_p_beef)))</f>
        <v>39718.771551724145</v>
      </c>
      <c r="BZ18" s="40">
        <f>(s_C*s_IFD_far_adj*s_CF_far_dairy*s_RadSpec!AH18*1/s_D_milk*((s_Q_p_dairy*s_f_p_dairy*s_f_s_dairy*(s_RadSpec!$AT18+s_R_es_past))+(s_Q_s_dairy*s_f_p_dairy)))</f>
        <v>2699.3339889521262</v>
      </c>
      <c r="CA18" s="40">
        <f>IFERROR((s_C*s_IFSW_far_adj*s_CF_far_swine*s_RadSpec!AN18*((s_Q_p_swine*s_f_p_swine*s_f_s_swine*(s_RadSpec!$AT18+s_R_es_past))+(s_Q_s_swine*s_f_p_swine))),0)</f>
        <v>0</v>
      </c>
      <c r="CB18" s="40">
        <f>IFERROR((s_C*s_IFP_far_adj*s_CF_far_poultry*s_RadSpec!AL18*((s_Q_p_poultry*s_f_p_poultry*s_f_s_poultry*(s_RadSpec!AT18+s_R_es_past))+(s_Q_s_poultry*s_f_p_poultry))),0)</f>
        <v>31775017.241379313</v>
      </c>
      <c r="CC18" s="40">
        <f>IFERROR((s_C*s_IFE_far_adj*s_CF_far_egg*s_RadSpec!AM18*((s_Q_p_egg*s_f_p_egg*s_f_s_egg*(s_RadSpec!$AT18+s_R_es_past))+(s_Q_s_egg*s_f_p_egg))),0)</f>
        <v>41042730.603448279</v>
      </c>
      <c r="CD18" s="40">
        <f>IFERROR((s_C*s_IFGO_far_adj*s_CF_far_goat*s_RadSpec!AQ18*((s_Q_p_goat*s_f_p_goat*s_f_s_goat*(s_RadSpec!$AT18+s_R_es_past))+(s_Q_s_goat*s_f_p_goat))),0)</f>
        <v>0</v>
      </c>
      <c r="CE18" s="40">
        <f>IFERROR((s_C*s_IFGM_far_adj*s_CF_far_goat_milk*s_RadSpec!AR18*1/s_D_milk*((s_Q_p_goat_milk*s_f_p_goat_milk*s_f_s_goat_milk*(s_RadSpec!$AT18+s_R_es_past))+(s_Q_s_goat_milk*s_f_p_goat_milk))),0)</f>
        <v>29564.134164713763</v>
      </c>
      <c r="CF18" s="40">
        <f>IFERROR((s_C*s_IFSH_far_adj*s_CF_far_sheep*s_RadSpec!AO18*((s_Q_p_sheep*s_f_p_sheep*s_f_s_sheep*(s_RadSpec!$AT18+s_R_es_past))+(s_Q_s_sheep*s_f_p_sheep))),0)</f>
        <v>661979.52586206899</v>
      </c>
      <c r="CG18" s="40">
        <f>IFERROR((s_C*s_IFSM_far_adj*s_CF_far_sheep_milk*s_RadSpec!AP18*1/s_D_milk*((s_Q_p_sheep_milk*s_f_p_sheep_milk*s_f_s_sheep_milk*(s_RadSpec!$AT18+s_R_es_past))+(s_Q_s_sheep_milk*s_f_p_sheep_milk))),0)</f>
        <v>0</v>
      </c>
      <c r="CH18" s="18"/>
      <c r="CI18" s="18"/>
      <c r="CJ18" s="18"/>
      <c r="CK18" s="18"/>
      <c r="CL18" s="18"/>
      <c r="CM18" s="18"/>
      <c r="CN18" s="18"/>
      <c r="CO18" s="18"/>
      <c r="CP18" s="18"/>
      <c r="CQ18" s="18"/>
      <c r="CR18" s="18"/>
      <c r="CS18" s="18"/>
      <c r="CT18" s="18"/>
      <c r="CU18" s="18"/>
      <c r="CV18" s="18"/>
      <c r="CW18" s="5"/>
      <c r="CX18" s="15">
        <f>IFERROR(s_TR/(s_RadSpec!I18*s_IFW_far_adj),".")</f>
        <v>1.0237510237510239</v>
      </c>
      <c r="CY18" s="15" t="str">
        <f>IFERROR(IF(AND(s_RadSpec!C18=1,s_RadSpec!D18&lt;&gt;0),s_TR/(s_RadSpec!F18*s_IFA_far_adj*s_K*s_RadSpec!D18),"."),".")</f>
        <v>.</v>
      </c>
      <c r="CZ18" s="15">
        <f>IFERROR((s_TR/(s_RadSpec!M18*(1/8760)*s_DFA_far_adj)),".")</f>
        <v>219444509730.68918</v>
      </c>
      <c r="DA18" s="15">
        <f>s_b2w!BC18</f>
        <v>2.9639594254894632</v>
      </c>
      <c r="DB18" s="15">
        <f>IFERROR(J18/(s_RadSpec!AJ18*(1/1000)),".")</f>
        <v>4.0752391849570531</v>
      </c>
      <c r="DC18" s="15" t="str">
        <f>IFERROR(K18/(s_RadSpec!AK18*(1/1000)),".")</f>
        <v>.</v>
      </c>
      <c r="DD18" s="15">
        <f>IFERROR(G18/(s_RadSpec!AI18*s_Q_w_beef*(1/1000)),".")</f>
        <v>9780.5740438969278</v>
      </c>
      <c r="DE18" s="15">
        <f>IFERROR((H18*s_D_milk)/(s_RadSpec!AH18*s_Q_w_dairy*(1/1000)),".")</f>
        <v>143914.16093162622</v>
      </c>
      <c r="DF18" s="15" t="str">
        <f>IFERROR(I18/(s_RadSpec!AN18*s_Q_w_swine*(1/1000)),".")</f>
        <v>.</v>
      </c>
      <c r="DG18" s="15">
        <f>IFERROR(E18/(s_RadSpec!AL18*s_Q_w_poultry*(1/1000)),".")</f>
        <v>12.22571755487116</v>
      </c>
      <c r="DH18" s="15">
        <f>IFERROR(F18/(s_RadSpec!AM18*s_Q_w_poultry*(1/1000)),".")</f>
        <v>9.4650716553841239</v>
      </c>
      <c r="DI18" s="15" t="str">
        <f>IFERROR(L18/(s_RadSpec!AQ18*s_Q_w_goat*(1/1000)),".")</f>
        <v>.</v>
      </c>
      <c r="DJ18" s="15">
        <f>IFERROR(N18*s_D_milk/(s_RadSpec!AR18*s_Q_w_goat_milk*(1/1000)),".")</f>
        <v>13139.988606800656</v>
      </c>
      <c r="DK18" s="15">
        <f>IFERROR(M18/(s_RadSpec!AO18*s_Q_w_sheep*(1/1000)),".")</f>
        <v>586.83444263381568</v>
      </c>
      <c r="DL18" s="15" t="str">
        <f>IFERROR(O18*s_D_milk/(s_RadSpec!AP18*s_Q_w_sheep_milk*(1/1000)),".")</f>
        <v>.</v>
      </c>
      <c r="DM18" s="118">
        <f t="shared" si="27"/>
        <v>0.97679999999999989</v>
      </c>
      <c r="DN18" s="118" t="str">
        <f t="shared" si="28"/>
        <v>.</v>
      </c>
      <c r="DO18" s="118">
        <f t="shared" si="29"/>
        <v>4.55696066958904E-12</v>
      </c>
      <c r="DP18" s="118">
        <f t="shared" si="30"/>
        <v>0.33738653484936343</v>
      </c>
      <c r="DQ18" s="118">
        <f t="shared" si="31"/>
        <v>0.24538437000000002</v>
      </c>
      <c r="DR18" s="118" t="str">
        <f t="shared" si="31"/>
        <v>.</v>
      </c>
      <c r="DS18" s="118">
        <f t="shared" si="32"/>
        <v>1.0224348750000001E-4</v>
      </c>
      <c r="DT18" s="118">
        <f t="shared" si="33"/>
        <v>6.9485865291262143E-6</v>
      </c>
      <c r="DU18" s="118" t="str">
        <f t="shared" si="34"/>
        <v>.</v>
      </c>
      <c r="DV18" s="118">
        <f t="shared" si="35"/>
        <v>8.1794789999999992E-2</v>
      </c>
      <c r="DW18" s="118">
        <f t="shared" si="36"/>
        <v>0.10565160375</v>
      </c>
      <c r="DX18" s="118" t="str">
        <f t="shared" si="37"/>
        <v>.</v>
      </c>
      <c r="DY18" s="118">
        <f t="shared" si="38"/>
        <v>7.6103566747572808E-5</v>
      </c>
      <c r="DZ18" s="118">
        <f t="shared" si="39"/>
        <v>1.704058125E-3</v>
      </c>
      <c r="EA18" s="118" t="str">
        <f t="shared" si="40"/>
        <v>.</v>
      </c>
      <c r="EB18" s="15">
        <f t="shared" si="47"/>
        <v>0.57178580608921636</v>
      </c>
      <c r="EC18" s="40">
        <f t="shared" si="41"/>
        <v>27500</v>
      </c>
      <c r="ED18" s="40">
        <f>IFERROR(IF(s_RadSpec!D18&lt;&gt;"",s_C*s_IFA_far_adj*s_K*s_RadSpec!D18,0),".")</f>
        <v>0</v>
      </c>
      <c r="EE18" s="40">
        <f t="shared" si="42"/>
        <v>2.5114155251141552</v>
      </c>
      <c r="EF18" s="40">
        <f>s_b2w!CC18</f>
        <v>7486.4983546212979</v>
      </c>
      <c r="EG18" s="40">
        <f>IFERROR(s_C*s_RadSpec!AJ18*(1/1000)*s_IFFI_far_adj*s_CF_far_fish,0)</f>
        <v>5445</v>
      </c>
      <c r="EH18" s="40">
        <f>IFERROR(s_C*s_RadSpec!AK18*(1/1000)*s_IFSF_far_adj*s_CF_far_shellfish,0)</f>
        <v>0</v>
      </c>
      <c r="EI18" s="40">
        <f>(s_C*s_IFB_far_adj*s_CF_far_beef*s_RadSpec!AI18*s_Q_w_beef*(1/1000))</f>
        <v>2.2687500000000003</v>
      </c>
      <c r="EJ18" s="40">
        <f>(s_C*s_IFD_far_adj*s_CF_far_dairy*s_RadSpec!AH18*(1/s_D_milk)*s_Q_w_dairy*(1/1000))</f>
        <v>0.15418689320388351</v>
      </c>
      <c r="EK18" s="40">
        <f>IFERROR((s_C*s_IFSW_far_adj*s_CF_far_swine*s_RadSpec!AN18*s_Q_w_swine*(1/1000)),0)</f>
        <v>0</v>
      </c>
      <c r="EL18" s="40">
        <f>IFERROR((s_C*s_IFP_far_adj*s_CF_far_poultry*s_RadSpec!AL18*s_Q_w_poultry*(1/1000)),0)</f>
        <v>1815</v>
      </c>
      <c r="EM18" s="40">
        <f>IFERROR((s_C*s_IFE_far_adj*s_CF_far_egg*s_RadSpec!AM18*s_Q_w_egg*(1/1000)),0)</f>
        <v>2344.375</v>
      </c>
      <c r="EN18" s="40">
        <f>IFERROR((s_C*s_IFGO_far_adj*s_CF_far_goat*s_RadSpec!AQ18*s_Q_p_goat*(1/1000)),0)</f>
        <v>0</v>
      </c>
      <c r="EO18" s="40">
        <f>IFERROR((s_C*s_IFGM_far_adj*s_CF_far_goat_milk*s_RadSpec!AR18*(1/s_D_milk)*s_Q_p_goat_milk*(1/1000)),0)</f>
        <v>1.6887135922330097</v>
      </c>
      <c r="EP18" s="40">
        <f>IFERROR((s_C*s_IFSH_far_adj*s_CF_far_sheep*s_RadSpec!AO18*s_Q_p_sheep*(1/1000)),0)</f>
        <v>37.8125</v>
      </c>
      <c r="EQ18" s="40">
        <f>IFERROR((s_C*s_IFSM_far_adj*s_CF_far_sheep_milk*s_RadSpec!AP18*(1/s_D_milk)*s_Q_p_sheep_milk*(1/1000)),0)</f>
        <v>0</v>
      </c>
      <c r="ER18" s="18"/>
      <c r="ES18" s="18"/>
      <c r="ET18" s="18"/>
      <c r="EU18" s="18"/>
      <c r="EV18" s="18"/>
      <c r="EW18" s="18"/>
      <c r="EX18" s="18"/>
      <c r="EY18" s="18"/>
      <c r="EZ18" s="18"/>
      <c r="FA18" s="18"/>
      <c r="FB18" s="18"/>
      <c r="FC18" s="18"/>
      <c r="FD18" s="18"/>
      <c r="FE18" s="18"/>
      <c r="FF18" s="18"/>
      <c r="FG18" s="5"/>
      <c r="FH18" s="15">
        <f>IFERROR((s_TR/(s_RadSpec!F18*s_IFA_far_adj)),".")</f>
        <v>0.34383707853095613</v>
      </c>
      <c r="FI18" s="15">
        <f>IFERROR((s_TR/(s_RadSpec!K18*s_EF_far*(1/365)*s_ED_far*s_ET_far*(1/24)*s_GSF_a)),".")</f>
        <v>762048643.84690726</v>
      </c>
      <c r="FJ18" s="15">
        <f t="shared" ref="FJ18:FJ21" si="55">IFERROR(IF(AND(ISNUMBER(FH18),ISNUMBER(FI18)),1/((1/FH18)+(1/FI18)),IF(AND(ISNUMBER(FH18),NOT(ISNUMBER(FI18))),1/((1/FH18)),IF(AND(NOT(ISNUMBER(FH18)),ISNUMBER(FI18)),1/((1/FI18)),IF(AND(NOT(ISNUMBER(FH18)),NOT(ISNUMBER(FI18))),".")))),".")</f>
        <v>0.34383707837581651</v>
      </c>
      <c r="FK18" s="40">
        <f t="shared" si="44"/>
        <v>10026.041666666666</v>
      </c>
      <c r="FL18" s="40">
        <f t="shared" si="45"/>
        <v>1.5696347031963471</v>
      </c>
      <c r="FM18" s="120"/>
      <c r="FN18" s="120"/>
      <c r="FO18" s="120"/>
    </row>
    <row r="19" spans="1:171" customFormat="1" x14ac:dyDescent="0.25">
      <c r="A19" s="44" t="s">
        <v>29</v>
      </c>
      <c r="B19" s="42" t="s">
        <v>1071</v>
      </c>
      <c r="C19" s="42"/>
      <c r="D19" s="15" t="str">
        <f>s_dir!AC19</f>
        <v>.</v>
      </c>
      <c r="E19" s="15" t="str">
        <f>IFERROR(s_TR/(s_RadSpec!H19*s_IFP_far_adj*s_CF_far_poultry),".")</f>
        <v>.</v>
      </c>
      <c r="F19" s="15" t="str">
        <f>IFERROR(s_TR/(s_RadSpec!H19*s_IFE_far_adj*s_CF_far_egg),".")</f>
        <v>.</v>
      </c>
      <c r="G19" s="15" t="str">
        <f>IFERROR(s_TR/(s_RadSpec!H19*s_IFB_far_adj*s_CF_far_beef),".")</f>
        <v>.</v>
      </c>
      <c r="H19" s="15" t="str">
        <f>IFERROR(s_TR/(s_RadSpec!H19*s_IFD_far_adj*s_CF_far_dairy),".")</f>
        <v>.</v>
      </c>
      <c r="I19" s="15" t="str">
        <f>IFERROR(s_TR/(s_RadSpec!H19*s_IFSW_far_adj*s_CF_far_swine),".")</f>
        <v>.</v>
      </c>
      <c r="J19" s="15" t="str">
        <f>IFERROR(s_TR/(s_RadSpec!H19*s_IFFI_far_adj*s_CF_far_fish),".")</f>
        <v>.</v>
      </c>
      <c r="K19" s="15" t="str">
        <f>IFERROR(s_TR/(s_RadSpec!H19*s_IFSF_far_adj*s_CF_far_shellfish),".")</f>
        <v>.</v>
      </c>
      <c r="L19" s="15" t="str">
        <f>IFERROR(s_TR/(s_RadSpec!H19*s_IFGO_far_adj*s_CF_far_goat),".")</f>
        <v>.</v>
      </c>
      <c r="M19" s="15" t="str">
        <f>IFERROR(s_TR/(s_RadSpec!H19*s_IFSH_far_adj*s_CF_far_sheep),".")</f>
        <v>.</v>
      </c>
      <c r="N19" s="15" t="str">
        <f>IFERROR(s_TR/(s_RadSpec!H19*s_IFGM_far_adj*s_CF_far_goat_milk),".")</f>
        <v>.</v>
      </c>
      <c r="O19" s="15" t="str">
        <f>IFERROR(s_TR/(s_RadSpec!H19*s_IFSM_far_adj*s_CF_far_sheep_milk),".")</f>
        <v>.</v>
      </c>
      <c r="P19" s="40">
        <f>s_dir!BC19</f>
        <v>605000</v>
      </c>
      <c r="Q19" s="40">
        <f t="shared" si="0"/>
        <v>151250</v>
      </c>
      <c r="R19" s="40">
        <f t="shared" si="1"/>
        <v>151250</v>
      </c>
      <c r="S19" s="40">
        <f t="shared" si="2"/>
        <v>151250</v>
      </c>
      <c r="T19" s="40">
        <f t="shared" si="3"/>
        <v>151250</v>
      </c>
      <c r="U19" s="40">
        <f t="shared" si="4"/>
        <v>151250</v>
      </c>
      <c r="V19" s="40">
        <f t="shared" si="5"/>
        <v>151250</v>
      </c>
      <c r="W19" s="40">
        <f t="shared" si="6"/>
        <v>151250</v>
      </c>
      <c r="X19" s="40">
        <f t="shared" si="7"/>
        <v>151250</v>
      </c>
      <c r="Y19" s="40">
        <f t="shared" si="8"/>
        <v>151250</v>
      </c>
      <c r="Z19" s="40">
        <f t="shared" si="9"/>
        <v>151250</v>
      </c>
      <c r="AA19" s="40">
        <f t="shared" si="10"/>
        <v>151250</v>
      </c>
      <c r="AB19" s="5"/>
      <c r="AC19" s="5"/>
      <c r="AD19" s="5"/>
      <c r="AE19" s="5"/>
      <c r="AF19" s="5"/>
      <c r="AG19" s="5"/>
      <c r="AH19" s="5"/>
      <c r="AI19" s="5"/>
      <c r="AJ19" s="5"/>
      <c r="AK19" s="5"/>
      <c r="AL19" s="5"/>
      <c r="AM19" s="5"/>
      <c r="AN19" s="45" t="str">
        <f>IFERROR((s_TR/(s_RadSpec!E19*s_IFS_far_adj*(1/1000)))*1,".")</f>
        <v>.</v>
      </c>
      <c r="AO19" s="45" t="str">
        <f>IFERROR(IF(A19="H-3",(s_TR/(s_RadSpec!F19*s_IFA_far_adj*(1/17)*1000))*1,(s_TR/(s_RadSpec!F19*s_IFA_far_adj*(1/s_PEF_wind)*1000))*1),".")</f>
        <v>.</v>
      </c>
      <c r="AP19" s="45">
        <f>IFERROR((s_TR/(s_RadSpec!G19*s_EF_far*(1/365)*s_ED_far*s_RadSpec!R19*((s_ET_far_o*(1/24)*s_RadSpec!W19)+(s_ET_far_i*(1/24)*s_RadSpec!AB19))))*1,".")</f>
        <v>440629.95741557545</v>
      </c>
      <c r="AQ19" s="45" t="str">
        <f>s_b2s!BC19</f>
        <v>.</v>
      </c>
      <c r="AR19" s="45" t="str">
        <f>IFERROR(((J19*s_RadSpec!AU19)/s_RadSpec!AJ19)*1,".")</f>
        <v>.</v>
      </c>
      <c r="AS19" s="45" t="str">
        <f>IFERROR(((K19*s_RadSpec!AU19)/s_RadSpec!AK19)*1,".")</f>
        <v>.</v>
      </c>
      <c r="AT19" s="45" t="str">
        <f>IFERROR((G19/(s_RadSpec!AI19*((s_Q_p_beef*s_f_p_beef*s_f_s_beef*(s_RadSpec!BD19+s_R_es_past))+(s_Q_s_beef*s_f_p_beef))))*1,".")</f>
        <v>.</v>
      </c>
      <c r="AU19" s="45" t="str">
        <f>IFERROR(((H19*s_D_milk)/(s_RadSpec!AH19*((s_Q_p_dairy*s_f_p_dairy*s_f_s_dairy*(s_RadSpec!BD19+s_R_es_past))+(s_Q_s_dairy*s_f_p_dairy))))*1,".")</f>
        <v>.</v>
      </c>
      <c r="AV19" s="45" t="str">
        <f>IFERROR((I19/(s_RadSpec!AN19*((s_Q_p_swine*s_f_p_swine*s_f_s_swine*(s_RadSpec!BD19+s_R_es_past))+(s_Q_s_swine*s_f_p_swine))))*1,".")</f>
        <v>.</v>
      </c>
      <c r="AW19" s="45" t="str">
        <f>IFERROR((E19/(s_RadSpec!AL19*((s_Q_p_poultry*s_f_p_poultry*s_f_s_poultry*(s_RadSpec!BD19+s_R_es_past))+(s_Q_s_poultry*s_f_p_poultry))))*1,".")</f>
        <v>.</v>
      </c>
      <c r="AX19" s="45" t="str">
        <f>IFERROR((F19/(s_RadSpec!AM19*((s_Q_p_poultry*s_f_p_poultry*s_f_s_poultry*(s_RadSpec!BD19+s_R_es_past))+(s_Q_s_poultry*s_f_p_poultry))))*1,".")</f>
        <v>.</v>
      </c>
      <c r="AY19" s="45" t="str">
        <f>IFERROR((L19/(s_RadSpec!AQ19*((s_Q_p_goat*s_f_p_goat*s_f_s_goat*(s_RadSpec!BD19+s_R_es_past))+(s_Q_s_goat*s_f_p_goat))))*1,".")</f>
        <v>.</v>
      </c>
      <c r="AZ19" s="45" t="str">
        <f>IFERROR((N19*s_D_milk/(s_RadSpec!AR19*((s_Q_p_goat_milk*s_f_p_goat_milk*s_f_s_goat_milk*(s_RadSpec!BD19+s_R_es_past))+(s_Q_s_goat_milk*s_f_p_goat_milk))))*1,".")</f>
        <v>.</v>
      </c>
      <c r="BA19" s="45" t="str">
        <f>IFERROR((M19/(s_RadSpec!AO19*((s_Q_p_sheep*s_f_p_sheep*s_f_s_sheep*(s_RadSpec!BD19+s_R_es_past))+(s_Q_s_sheep*s_f_p_sheep))))*1,".")</f>
        <v>.</v>
      </c>
      <c r="BB19" s="45" t="str">
        <f>IFERROR((O19*s_D_milk/(s_RadSpec!AP19*((s_Q_p_sheep_milk*s_f_p_sheep_milk*s_f_s_sheep_milk*(s_RadSpec!BD19+s_R_es_past))+(s_Q_s_sheep_milk*s_f_p_sheep_milk))))*1,".")</f>
        <v>.</v>
      </c>
      <c r="BC19" s="118" t="str">
        <f t="shared" si="11"/>
        <v>.</v>
      </c>
      <c r="BD19" s="118" t="str">
        <f t="shared" si="12"/>
        <v>.</v>
      </c>
      <c r="BE19" s="118">
        <f t="shared" si="13"/>
        <v>2.2694780124921481E-6</v>
      </c>
      <c r="BF19" s="118" t="str">
        <f t="shared" si="14"/>
        <v>.</v>
      </c>
      <c r="BG19" s="118" t="str">
        <f t="shared" si="15"/>
        <v>.</v>
      </c>
      <c r="BH19" s="118" t="str">
        <f t="shared" si="15"/>
        <v>.</v>
      </c>
      <c r="BI19" s="118" t="str">
        <f t="shared" si="16"/>
        <v>.</v>
      </c>
      <c r="BJ19" s="118" t="str">
        <f t="shared" si="17"/>
        <v>.</v>
      </c>
      <c r="BK19" s="118" t="str">
        <f t="shared" si="18"/>
        <v>.</v>
      </c>
      <c r="BL19" s="118" t="str">
        <f t="shared" si="19"/>
        <v>.</v>
      </c>
      <c r="BM19" s="118" t="str">
        <f t="shared" si="20"/>
        <v>.</v>
      </c>
      <c r="BN19" s="118" t="str">
        <f t="shared" si="21"/>
        <v>.</v>
      </c>
      <c r="BO19" s="118" t="str">
        <f t="shared" si="22"/>
        <v>.</v>
      </c>
      <c r="BP19" s="118" t="str">
        <f t="shared" si="23"/>
        <v>.</v>
      </c>
      <c r="BQ19" s="118" t="str">
        <f t="shared" si="24"/>
        <v>.</v>
      </c>
      <c r="BR19" s="15">
        <f t="shared" si="46"/>
        <v>440629.95741557545</v>
      </c>
      <c r="BS19" s="40">
        <f t="shared" si="25"/>
        <v>302.5</v>
      </c>
      <c r="BT19" s="40">
        <f t="shared" si="26"/>
        <v>3.2362545583179352E-2</v>
      </c>
      <c r="BU19" s="40">
        <f>IFERROR((s_C*s_EF_far*(1/365)*s_ED_far*s_RadSpec!R19*((s_ET_far_o*(1/24)*s_RadSpec!W19)+(s_ET_far_i*(1/24)*s_RadSpec!AB19))),".")</f>
        <v>0.65664187866927581</v>
      </c>
      <c r="BV19" s="40">
        <f>s_b2s!CC19</f>
        <v>10230.549999999999</v>
      </c>
      <c r="BW19" s="40">
        <f>IFERROR(((s_C*s_RadSpec!AJ19)/s_RadSpec!AU19)*s_IFFI_far_adj*s_CF_far_fish,0)</f>
        <v>25928.571428571428</v>
      </c>
      <c r="BX19" s="40">
        <f>IFERROR(((s_C*s_RadSpec!AK19)/s_RadSpec!AU19)*s_IFSF_far_adj*s_CF_far_shellfish,0)</f>
        <v>0</v>
      </c>
      <c r="BY19" s="40">
        <f>(s_C*s_IFB_far_adj*s_CF_far_beef*s_RadSpec!AI19*((s_Q_p_beef*s_f_p_beef*s_f_s_beef*(s_RadSpec!$AT19+s_R_es_past))+(s_Q_s_beef*s_f_p_beef)))</f>
        <v>39718.771551724145</v>
      </c>
      <c r="BZ19" s="40">
        <f>(s_C*s_IFD_far_adj*s_CF_far_dairy*s_RadSpec!AH19*1/s_D_milk*((s_Q_p_dairy*s_f_p_dairy*s_f_s_dairy*(s_RadSpec!$AT19+s_R_es_past))+(s_Q_s_dairy*s_f_p_dairy)))</f>
        <v>2699.3339889521262</v>
      </c>
      <c r="CA19" s="40">
        <f>IFERROR((s_C*s_IFSW_far_adj*s_CF_far_swine*s_RadSpec!AN19*((s_Q_p_swine*s_f_p_swine*s_f_s_swine*(s_RadSpec!$AT19+s_R_es_past))+(s_Q_s_swine*s_f_p_swine))),0)</f>
        <v>0</v>
      </c>
      <c r="CB19" s="40">
        <f>IFERROR((s_C*s_IFP_far_adj*s_CF_far_poultry*s_RadSpec!AL19*((s_Q_p_poultry*s_f_p_poultry*s_f_s_poultry*(s_RadSpec!AT19+s_R_es_past))+(s_Q_s_poultry*s_f_p_poultry))),0)</f>
        <v>31775017.241379313</v>
      </c>
      <c r="CC19" s="40">
        <f>IFERROR((s_C*s_IFE_far_adj*s_CF_far_egg*s_RadSpec!AM19*((s_Q_p_egg*s_f_p_egg*s_f_s_egg*(s_RadSpec!$AT19+s_R_es_past))+(s_Q_s_egg*s_f_p_egg))),0)</f>
        <v>41042730.603448279</v>
      </c>
      <c r="CD19" s="40">
        <f>IFERROR((s_C*s_IFGO_far_adj*s_CF_far_goat*s_RadSpec!AQ19*((s_Q_p_goat*s_f_p_goat*s_f_s_goat*(s_RadSpec!$AT19+s_R_es_past))+(s_Q_s_goat*s_f_p_goat))),0)</f>
        <v>0</v>
      </c>
      <c r="CE19" s="40">
        <f>IFERROR((s_C*s_IFGM_far_adj*s_CF_far_goat_milk*s_RadSpec!AR19*1/s_D_milk*((s_Q_p_goat_milk*s_f_p_goat_milk*s_f_s_goat_milk*(s_RadSpec!$AT19+s_R_es_past))+(s_Q_s_goat_milk*s_f_p_goat_milk))),0)</f>
        <v>29564.134164713763</v>
      </c>
      <c r="CF19" s="40">
        <f>IFERROR((s_C*s_IFSH_far_adj*s_CF_far_sheep*s_RadSpec!AO19*((s_Q_p_sheep*s_f_p_sheep*s_f_s_sheep*(s_RadSpec!$AT19+s_R_es_past))+(s_Q_s_sheep*s_f_p_sheep))),0)</f>
        <v>661979.52586206899</v>
      </c>
      <c r="CG19" s="40">
        <f>IFERROR((s_C*s_IFSM_far_adj*s_CF_far_sheep_milk*s_RadSpec!AP19*1/s_D_milk*((s_Q_p_sheep_milk*s_f_p_sheep_milk*s_f_s_sheep_milk*(s_RadSpec!$AT19+s_R_es_past))+(s_Q_s_sheep_milk*s_f_p_sheep_milk))),0)</f>
        <v>0</v>
      </c>
      <c r="CH19" s="18"/>
      <c r="CI19" s="18"/>
      <c r="CJ19" s="18"/>
      <c r="CK19" s="18"/>
      <c r="CL19" s="18"/>
      <c r="CM19" s="18"/>
      <c r="CN19" s="18"/>
      <c r="CO19" s="18"/>
      <c r="CP19" s="18"/>
      <c r="CQ19" s="18"/>
      <c r="CR19" s="18"/>
      <c r="CS19" s="18"/>
      <c r="CT19" s="18"/>
      <c r="CU19" s="18"/>
      <c r="CV19" s="18"/>
      <c r="CW19" s="5"/>
      <c r="CX19" s="15" t="str">
        <f>IFERROR(s_TR/(s_RadSpec!I19*s_IFW_far_adj),".")</f>
        <v>.</v>
      </c>
      <c r="CY19" s="15" t="str">
        <f>IFERROR(IF(AND(s_RadSpec!C19=1,s_RadSpec!D19&lt;&gt;0),s_TR/(s_RadSpec!F19*s_IFA_far_adj*s_K*s_RadSpec!D19),"."),".")</f>
        <v>.</v>
      </c>
      <c r="CZ19" s="15">
        <f>IFERROR((s_TR/(s_RadSpec!M19*(1/8760)*s_DFA_far_adj)),".")</f>
        <v>57026215404.931595</v>
      </c>
      <c r="DA19" s="15" t="str">
        <f>s_b2w!BC19</f>
        <v>.</v>
      </c>
      <c r="DB19" s="15" t="str">
        <f>IFERROR(J19/(s_RadSpec!AJ19*(1/1000)),".")</f>
        <v>.</v>
      </c>
      <c r="DC19" s="15" t="str">
        <f>IFERROR(K19/(s_RadSpec!AK19*(1/1000)),".")</f>
        <v>.</v>
      </c>
      <c r="DD19" s="15" t="str">
        <f>IFERROR(G19/(s_RadSpec!AI19*s_Q_w_beef*(1/1000)),".")</f>
        <v>.</v>
      </c>
      <c r="DE19" s="15" t="str">
        <f>IFERROR((H19*s_D_milk)/(s_RadSpec!AH19*s_Q_w_dairy*(1/1000)),".")</f>
        <v>.</v>
      </c>
      <c r="DF19" s="15" t="str">
        <f>IFERROR(I19/(s_RadSpec!AN19*s_Q_w_swine*(1/1000)),".")</f>
        <v>.</v>
      </c>
      <c r="DG19" s="15" t="str">
        <f>IFERROR(E19/(s_RadSpec!AL19*s_Q_w_poultry*(1/1000)),".")</f>
        <v>.</v>
      </c>
      <c r="DH19" s="15" t="str">
        <f>IFERROR(F19/(s_RadSpec!AM19*s_Q_w_poultry*(1/1000)),".")</f>
        <v>.</v>
      </c>
      <c r="DI19" s="15" t="str">
        <f>IFERROR(L19/(s_RadSpec!AQ19*s_Q_w_goat*(1/1000)),".")</f>
        <v>.</v>
      </c>
      <c r="DJ19" s="15" t="str">
        <f>IFERROR(N19*s_D_milk/(s_RadSpec!AR19*s_Q_w_goat_milk*(1/1000)),".")</f>
        <v>.</v>
      </c>
      <c r="DK19" s="15" t="str">
        <f>IFERROR(M19/(s_RadSpec!AO19*s_Q_w_sheep*(1/1000)),".")</f>
        <v>.</v>
      </c>
      <c r="DL19" s="15" t="str">
        <f>IFERROR(O19*s_D_milk/(s_RadSpec!AP19*s_Q_w_sheep_milk*(1/1000)),".")</f>
        <v>.</v>
      </c>
      <c r="DM19" s="118" t="str">
        <f t="shared" si="27"/>
        <v>.</v>
      </c>
      <c r="DN19" s="118" t="str">
        <f t="shared" si="28"/>
        <v>.</v>
      </c>
      <c r="DO19" s="118">
        <f t="shared" si="29"/>
        <v>1.7535794597260272E-11</v>
      </c>
      <c r="DP19" s="118" t="str">
        <f t="shared" si="30"/>
        <v>.</v>
      </c>
      <c r="DQ19" s="118" t="str">
        <f t="shared" si="31"/>
        <v>.</v>
      </c>
      <c r="DR19" s="118" t="str">
        <f t="shared" si="31"/>
        <v>.</v>
      </c>
      <c r="DS19" s="118" t="str">
        <f t="shared" si="32"/>
        <v>.</v>
      </c>
      <c r="DT19" s="118" t="str">
        <f t="shared" si="33"/>
        <v>.</v>
      </c>
      <c r="DU19" s="118" t="str">
        <f t="shared" si="34"/>
        <v>.</v>
      </c>
      <c r="DV19" s="118" t="str">
        <f t="shared" si="35"/>
        <v>.</v>
      </c>
      <c r="DW19" s="118" t="str">
        <f t="shared" si="36"/>
        <v>.</v>
      </c>
      <c r="DX19" s="118" t="str">
        <f t="shared" si="37"/>
        <v>.</v>
      </c>
      <c r="DY19" s="118" t="str">
        <f t="shared" si="38"/>
        <v>.</v>
      </c>
      <c r="DZ19" s="118" t="str">
        <f t="shared" si="39"/>
        <v>.</v>
      </c>
      <c r="EA19" s="118" t="str">
        <f t="shared" si="40"/>
        <v>.</v>
      </c>
      <c r="EB19" s="15">
        <f t="shared" si="47"/>
        <v>57026215404.931595</v>
      </c>
      <c r="EC19" s="40">
        <f t="shared" si="41"/>
        <v>27500</v>
      </c>
      <c r="ED19" s="40">
        <f>IFERROR(IF(s_RadSpec!D19&lt;&gt;"",s_C*s_IFA_far_adj*s_K*s_RadSpec!D19,0),".")</f>
        <v>0</v>
      </c>
      <c r="EE19" s="40">
        <f t="shared" si="42"/>
        <v>2.5114155251141552</v>
      </c>
      <c r="EF19" s="40">
        <f>s_b2w!CC19</f>
        <v>7486.4983546212979</v>
      </c>
      <c r="EG19" s="40">
        <f>IFERROR(s_C*s_RadSpec!AJ19*(1/1000)*s_IFFI_far_adj*s_CF_far_fish,0)</f>
        <v>5445</v>
      </c>
      <c r="EH19" s="40">
        <f>IFERROR(s_C*s_RadSpec!AK19*(1/1000)*s_IFSF_far_adj*s_CF_far_shellfish,0)</f>
        <v>0</v>
      </c>
      <c r="EI19" s="40">
        <f>(s_C*s_IFB_far_adj*s_CF_far_beef*s_RadSpec!AI19*s_Q_w_beef*(1/1000))</f>
        <v>2.2687500000000003</v>
      </c>
      <c r="EJ19" s="40">
        <f>(s_C*s_IFD_far_adj*s_CF_far_dairy*s_RadSpec!AH19*(1/s_D_milk)*s_Q_w_dairy*(1/1000))</f>
        <v>0.15418689320388351</v>
      </c>
      <c r="EK19" s="40">
        <f>IFERROR((s_C*s_IFSW_far_adj*s_CF_far_swine*s_RadSpec!AN19*s_Q_w_swine*(1/1000)),0)</f>
        <v>0</v>
      </c>
      <c r="EL19" s="40">
        <f>IFERROR((s_C*s_IFP_far_adj*s_CF_far_poultry*s_RadSpec!AL19*s_Q_w_poultry*(1/1000)),0)</f>
        <v>1815</v>
      </c>
      <c r="EM19" s="40">
        <f>IFERROR((s_C*s_IFE_far_adj*s_CF_far_egg*s_RadSpec!AM19*s_Q_w_egg*(1/1000)),0)</f>
        <v>2344.375</v>
      </c>
      <c r="EN19" s="40">
        <f>IFERROR((s_C*s_IFGO_far_adj*s_CF_far_goat*s_RadSpec!AQ19*s_Q_p_goat*(1/1000)),0)</f>
        <v>0</v>
      </c>
      <c r="EO19" s="40">
        <f>IFERROR((s_C*s_IFGM_far_adj*s_CF_far_goat_milk*s_RadSpec!AR19*(1/s_D_milk)*s_Q_p_goat_milk*(1/1000)),0)</f>
        <v>1.6887135922330097</v>
      </c>
      <c r="EP19" s="40">
        <f>IFERROR((s_C*s_IFSH_far_adj*s_CF_far_sheep*s_RadSpec!AO19*s_Q_p_sheep*(1/1000)),0)</f>
        <v>37.8125</v>
      </c>
      <c r="EQ19" s="40">
        <f>IFERROR((s_C*s_IFSM_far_adj*s_CF_far_sheep_milk*s_RadSpec!AP19*(1/s_D_milk)*s_Q_p_sheep_milk*(1/1000)),0)</f>
        <v>0</v>
      </c>
      <c r="ER19" s="18"/>
      <c r="ES19" s="18"/>
      <c r="ET19" s="18"/>
      <c r="EU19" s="18"/>
      <c r="EV19" s="18"/>
      <c r="EW19" s="18"/>
      <c r="EX19" s="18"/>
      <c r="EY19" s="18"/>
      <c r="EZ19" s="18"/>
      <c r="FA19" s="18"/>
      <c r="FB19" s="18"/>
      <c r="FC19" s="18"/>
      <c r="FD19" s="18"/>
      <c r="FE19" s="18"/>
      <c r="FF19" s="18"/>
      <c r="FG19" s="5"/>
      <c r="FH19" s="15" t="str">
        <f>IFERROR((s_TR/(s_RadSpec!F19*s_IFA_far_adj)),".")</f>
        <v>.</v>
      </c>
      <c r="FI19" s="15">
        <f>IFERROR((s_TR/(s_RadSpec!K19*s_EF_far*(1/365)*s_ED_far*s_ET_far*(1/24)*s_GSF_a)),".")</f>
        <v>197690880.0704295</v>
      </c>
      <c r="FJ19" s="15">
        <f t="shared" si="55"/>
        <v>197690880.0704295</v>
      </c>
      <c r="FK19" s="40">
        <f t="shared" si="44"/>
        <v>10026.041666666666</v>
      </c>
      <c r="FL19" s="40">
        <f t="shared" si="45"/>
        <v>1.5696347031963471</v>
      </c>
      <c r="FM19" s="120"/>
      <c r="FN19" s="120"/>
      <c r="FO19" s="120"/>
    </row>
    <row r="20" spans="1:171" customFormat="1" x14ac:dyDescent="0.25">
      <c r="A20" s="44" t="s">
        <v>30</v>
      </c>
      <c r="B20" s="42" t="s">
        <v>1071</v>
      </c>
      <c r="C20" s="249"/>
      <c r="D20" s="15" t="str">
        <f>s_dir!AC20</f>
        <v>.</v>
      </c>
      <c r="E20" s="15" t="str">
        <f>IFERROR(s_TR/(s_RadSpec!H20*s_IFP_far_adj*s_CF_far_poultry),".")</f>
        <v>.</v>
      </c>
      <c r="F20" s="15" t="str">
        <f>IFERROR(s_TR/(s_RadSpec!H20*s_IFE_far_adj*s_CF_far_egg),".")</f>
        <v>.</v>
      </c>
      <c r="G20" s="15" t="str">
        <f>IFERROR(s_TR/(s_RadSpec!H20*s_IFB_far_adj*s_CF_far_beef),".")</f>
        <v>.</v>
      </c>
      <c r="H20" s="15" t="str">
        <f>IFERROR(s_TR/(s_RadSpec!H20*s_IFD_far_adj*s_CF_far_dairy),".")</f>
        <v>.</v>
      </c>
      <c r="I20" s="15" t="str">
        <f>IFERROR(s_TR/(s_RadSpec!H20*s_IFSW_far_adj*s_CF_far_swine),".")</f>
        <v>.</v>
      </c>
      <c r="J20" s="15" t="str">
        <f>IFERROR(s_TR/(s_RadSpec!H20*s_IFFI_far_adj*s_CF_far_fish),".")</f>
        <v>.</v>
      </c>
      <c r="K20" s="15" t="str">
        <f>IFERROR(s_TR/(s_RadSpec!H20*s_IFSF_far_adj*s_CF_far_shellfish),".")</f>
        <v>.</v>
      </c>
      <c r="L20" s="15" t="str">
        <f>IFERROR(s_TR/(s_RadSpec!H20*s_IFGO_far_adj*s_CF_far_goat),".")</f>
        <v>.</v>
      </c>
      <c r="M20" s="15" t="str">
        <f>IFERROR(s_TR/(s_RadSpec!H20*s_IFSH_far_adj*s_CF_far_sheep),".")</f>
        <v>.</v>
      </c>
      <c r="N20" s="15" t="str">
        <f>IFERROR(s_TR/(s_RadSpec!H20*s_IFGM_far_adj*s_CF_far_goat_milk),".")</f>
        <v>.</v>
      </c>
      <c r="O20" s="15" t="str">
        <f>IFERROR(s_TR/(s_RadSpec!H20*s_IFSM_far_adj*s_CF_far_sheep_milk),".")</f>
        <v>.</v>
      </c>
      <c r="P20" s="40">
        <f>s_dir!BC20</f>
        <v>605000</v>
      </c>
      <c r="Q20" s="40">
        <f t="shared" si="0"/>
        <v>151250</v>
      </c>
      <c r="R20" s="40">
        <f t="shared" si="1"/>
        <v>151250</v>
      </c>
      <c r="S20" s="40">
        <f t="shared" si="2"/>
        <v>151250</v>
      </c>
      <c r="T20" s="40">
        <f t="shared" si="3"/>
        <v>151250</v>
      </c>
      <c r="U20" s="40">
        <f t="shared" si="4"/>
        <v>151250</v>
      </c>
      <c r="V20" s="40">
        <f t="shared" si="5"/>
        <v>151250</v>
      </c>
      <c r="W20" s="40">
        <f t="shared" si="6"/>
        <v>151250</v>
      </c>
      <c r="X20" s="40">
        <f t="shared" si="7"/>
        <v>151250</v>
      </c>
      <c r="Y20" s="40">
        <f t="shared" si="8"/>
        <v>151250</v>
      </c>
      <c r="Z20" s="40">
        <f t="shared" si="9"/>
        <v>151250</v>
      </c>
      <c r="AA20" s="40">
        <f t="shared" si="10"/>
        <v>151250</v>
      </c>
      <c r="AB20" s="5"/>
      <c r="AC20" s="5"/>
      <c r="AD20" s="5"/>
      <c r="AE20" s="5"/>
      <c r="AF20" s="5"/>
      <c r="AG20" s="5"/>
      <c r="AH20" s="5"/>
      <c r="AI20" s="5"/>
      <c r="AJ20" s="5"/>
      <c r="AK20" s="5"/>
      <c r="AL20" s="5"/>
      <c r="AM20" s="5"/>
      <c r="AN20" s="45" t="str">
        <f>IFERROR((s_TR/(s_RadSpec!E20*s_IFS_far_adj*(1/1000)))*1,".")</f>
        <v>.</v>
      </c>
      <c r="AO20" s="45" t="str">
        <f>IFERROR(IF(A20="H-3",(s_TR/(s_RadSpec!F20*s_IFA_far_adj*(1/17)*1000))*1,(s_TR/(s_RadSpec!F20*s_IFA_far_adj*(1/s_PEF_wind)*1000))*1),".")</f>
        <v>.</v>
      </c>
      <c r="AP20" s="45">
        <f>IFERROR((s_TR/(s_RadSpec!G20*s_EF_far*(1/365)*s_ED_far*s_RadSpec!R20*((s_ET_far_o*(1/24)*s_RadSpec!W20)+(s_ET_far_i*(1/24)*s_RadSpec!AB20))))*1,".")</f>
        <v>194316.6853635782</v>
      </c>
      <c r="AQ20" s="45" t="str">
        <f>s_b2s!BC20</f>
        <v>.</v>
      </c>
      <c r="AR20" s="45" t="str">
        <f>IFERROR(((J20*s_RadSpec!AU20)/s_RadSpec!AJ20)*1,".")</f>
        <v>.</v>
      </c>
      <c r="AS20" s="45" t="str">
        <f>IFERROR(((K20*s_RadSpec!AU20)/s_RadSpec!AK20)*1,".")</f>
        <v>.</v>
      </c>
      <c r="AT20" s="45" t="str">
        <f>IFERROR((G20/(s_RadSpec!AI20*((s_Q_p_beef*s_f_p_beef*s_f_s_beef*(s_RadSpec!BD20+s_R_es_past))+(s_Q_s_beef*s_f_p_beef))))*1,".")</f>
        <v>.</v>
      </c>
      <c r="AU20" s="45" t="str">
        <f>IFERROR(((H20*s_D_milk)/(s_RadSpec!AH20*((s_Q_p_dairy*s_f_p_dairy*s_f_s_dairy*(s_RadSpec!BD20+s_R_es_past))+(s_Q_s_dairy*s_f_p_dairy))))*1,".")</f>
        <v>.</v>
      </c>
      <c r="AV20" s="45" t="str">
        <f>IFERROR((I20/(s_RadSpec!AN20*((s_Q_p_swine*s_f_p_swine*s_f_s_swine*(s_RadSpec!BD20+s_R_es_past))+(s_Q_s_swine*s_f_p_swine))))*1,".")</f>
        <v>.</v>
      </c>
      <c r="AW20" s="45" t="str">
        <f>IFERROR((E20/(s_RadSpec!AL20*((s_Q_p_poultry*s_f_p_poultry*s_f_s_poultry*(s_RadSpec!BD20+s_R_es_past))+(s_Q_s_poultry*s_f_p_poultry))))*1,".")</f>
        <v>.</v>
      </c>
      <c r="AX20" s="45" t="str">
        <f>IFERROR((F20/(s_RadSpec!AM20*((s_Q_p_poultry*s_f_p_poultry*s_f_s_poultry*(s_RadSpec!BD20+s_R_es_past))+(s_Q_s_poultry*s_f_p_poultry))))*1,".")</f>
        <v>.</v>
      </c>
      <c r="AY20" s="45" t="str">
        <f>IFERROR((L20/(s_RadSpec!AQ20*((s_Q_p_goat*s_f_p_goat*s_f_s_goat*(s_RadSpec!BD20+s_R_es_past))+(s_Q_s_goat*s_f_p_goat))))*1,".")</f>
        <v>.</v>
      </c>
      <c r="AZ20" s="45" t="str">
        <f>IFERROR((N20*s_D_milk/(s_RadSpec!AR20*((s_Q_p_goat_milk*s_f_p_goat_milk*s_f_s_goat_milk*(s_RadSpec!BD20+s_R_es_past))+(s_Q_s_goat_milk*s_f_p_goat_milk))))*1,".")</f>
        <v>.</v>
      </c>
      <c r="BA20" s="45" t="str">
        <f>IFERROR((M20/(s_RadSpec!AO20*((s_Q_p_sheep*s_f_p_sheep*s_f_s_sheep*(s_RadSpec!BD20+s_R_es_past))+(s_Q_s_sheep*s_f_p_sheep))))*1,".")</f>
        <v>.</v>
      </c>
      <c r="BB20" s="45" t="str">
        <f>IFERROR((O20*s_D_milk/(s_RadSpec!AP20*((s_Q_p_sheep_milk*s_f_p_sheep_milk*s_f_s_sheep_milk*(s_RadSpec!BD20+s_R_es_past))+(s_Q_s_sheep_milk*s_f_p_sheep_milk))))*1,".")</f>
        <v>.</v>
      </c>
      <c r="BC20" s="118" t="str">
        <f t="shared" si="11"/>
        <v>.</v>
      </c>
      <c r="BD20" s="118" t="str">
        <f t="shared" si="12"/>
        <v>.</v>
      </c>
      <c r="BE20" s="118">
        <f t="shared" si="13"/>
        <v>5.1462384618641469E-6</v>
      </c>
      <c r="BF20" s="118" t="str">
        <f t="shared" si="14"/>
        <v>.</v>
      </c>
      <c r="BG20" s="118" t="str">
        <f t="shared" si="15"/>
        <v>.</v>
      </c>
      <c r="BH20" s="118" t="str">
        <f t="shared" si="15"/>
        <v>.</v>
      </c>
      <c r="BI20" s="118" t="str">
        <f t="shared" si="16"/>
        <v>.</v>
      </c>
      <c r="BJ20" s="118" t="str">
        <f t="shared" si="17"/>
        <v>.</v>
      </c>
      <c r="BK20" s="118" t="str">
        <f t="shared" si="18"/>
        <v>.</v>
      </c>
      <c r="BL20" s="118" t="str">
        <f t="shared" si="19"/>
        <v>.</v>
      </c>
      <c r="BM20" s="118" t="str">
        <f t="shared" si="20"/>
        <v>.</v>
      </c>
      <c r="BN20" s="118" t="str">
        <f t="shared" si="21"/>
        <v>.</v>
      </c>
      <c r="BO20" s="118" t="str">
        <f t="shared" si="22"/>
        <v>.</v>
      </c>
      <c r="BP20" s="118" t="str">
        <f t="shared" si="23"/>
        <v>.</v>
      </c>
      <c r="BQ20" s="118" t="str">
        <f t="shared" si="24"/>
        <v>.</v>
      </c>
      <c r="BR20" s="15">
        <f t="shared" si="46"/>
        <v>194316.6853635782</v>
      </c>
      <c r="BS20" s="40">
        <f t="shared" si="25"/>
        <v>302.5</v>
      </c>
      <c r="BT20" s="40">
        <f t="shared" si="26"/>
        <v>3.2362545583179352E-2</v>
      </c>
      <c r="BU20" s="40">
        <f>IFERROR((s_C*s_EF_far*(1/365)*s_ED_far*s_RadSpec!R20*((s_ET_far_o*(1/24)*s_RadSpec!W20)+(s_ET_far_i*(1/24)*s_RadSpec!AB20))),".")</f>
        <v>0.66779056630419464</v>
      </c>
      <c r="BV20" s="40">
        <f>s_b2s!CC20</f>
        <v>10230.549999999999</v>
      </c>
      <c r="BW20" s="40">
        <f>IFERROR(((s_C*s_RadSpec!AJ20)/s_RadSpec!AU20)*s_IFFI_far_adj*s_CF_far_fish,0)</f>
        <v>25928.571428571428</v>
      </c>
      <c r="BX20" s="40">
        <f>IFERROR(((s_C*s_RadSpec!AK20)/s_RadSpec!AU20)*s_IFSF_far_adj*s_CF_far_shellfish,0)</f>
        <v>0</v>
      </c>
      <c r="BY20" s="40">
        <f>(s_C*s_IFB_far_adj*s_CF_far_beef*s_RadSpec!AI20*((s_Q_p_beef*s_f_p_beef*s_f_s_beef*(s_RadSpec!$AT20+s_R_es_past))+(s_Q_s_beef*s_f_p_beef)))</f>
        <v>39718.771551724145</v>
      </c>
      <c r="BZ20" s="40">
        <f>(s_C*s_IFD_far_adj*s_CF_far_dairy*s_RadSpec!AH20*1/s_D_milk*((s_Q_p_dairy*s_f_p_dairy*s_f_s_dairy*(s_RadSpec!$AT20+s_R_es_past))+(s_Q_s_dairy*s_f_p_dairy)))</f>
        <v>2699.3339889521262</v>
      </c>
      <c r="CA20" s="40">
        <f>IFERROR((s_C*s_IFSW_far_adj*s_CF_far_swine*s_RadSpec!AN20*((s_Q_p_swine*s_f_p_swine*s_f_s_swine*(s_RadSpec!$AT20+s_R_es_past))+(s_Q_s_swine*s_f_p_swine))),0)</f>
        <v>0</v>
      </c>
      <c r="CB20" s="40">
        <f>IFERROR((s_C*s_IFP_far_adj*s_CF_far_poultry*s_RadSpec!AL20*((s_Q_p_poultry*s_f_p_poultry*s_f_s_poultry*(s_RadSpec!AT20+s_R_es_past))+(s_Q_s_poultry*s_f_p_poultry))),0)</f>
        <v>31775017.241379313</v>
      </c>
      <c r="CC20" s="40">
        <f>IFERROR((s_C*s_IFE_far_adj*s_CF_far_egg*s_RadSpec!AM20*((s_Q_p_egg*s_f_p_egg*s_f_s_egg*(s_RadSpec!$AT20+s_R_es_past))+(s_Q_s_egg*s_f_p_egg))),0)</f>
        <v>41042730.603448279</v>
      </c>
      <c r="CD20" s="40">
        <f>IFERROR((s_C*s_IFGO_far_adj*s_CF_far_goat*s_RadSpec!AQ20*((s_Q_p_goat*s_f_p_goat*s_f_s_goat*(s_RadSpec!$AT20+s_R_es_past))+(s_Q_s_goat*s_f_p_goat))),0)</f>
        <v>0</v>
      </c>
      <c r="CE20" s="40">
        <f>IFERROR((s_C*s_IFGM_far_adj*s_CF_far_goat_milk*s_RadSpec!AR20*1/s_D_milk*((s_Q_p_goat_milk*s_f_p_goat_milk*s_f_s_goat_milk*(s_RadSpec!$AT20+s_R_es_past))+(s_Q_s_goat_milk*s_f_p_goat_milk))),0)</f>
        <v>29564.134164713763</v>
      </c>
      <c r="CF20" s="40">
        <f>IFERROR((s_C*s_IFSH_far_adj*s_CF_far_sheep*s_RadSpec!AO20*((s_Q_p_sheep*s_f_p_sheep*s_f_s_sheep*(s_RadSpec!$AT20+s_R_es_past))+(s_Q_s_sheep*s_f_p_sheep))),0)</f>
        <v>661979.52586206899</v>
      </c>
      <c r="CG20" s="40">
        <f>IFERROR((s_C*s_IFSM_far_adj*s_CF_far_sheep_milk*s_RadSpec!AP20*1/s_D_milk*((s_Q_p_sheep_milk*s_f_p_sheep_milk*s_f_s_sheep_milk*(s_RadSpec!$AT20+s_R_es_past))+(s_Q_s_sheep_milk*s_f_p_sheep_milk))),0)</f>
        <v>0</v>
      </c>
      <c r="CH20" s="18"/>
      <c r="CI20" s="18"/>
      <c r="CJ20" s="18"/>
      <c r="CK20" s="18"/>
      <c r="CL20" s="18"/>
      <c r="CM20" s="18"/>
      <c r="CN20" s="18"/>
      <c r="CO20" s="18"/>
      <c r="CP20" s="18"/>
      <c r="CQ20" s="18"/>
      <c r="CR20" s="18"/>
      <c r="CS20" s="18"/>
      <c r="CT20" s="18"/>
      <c r="CU20" s="18"/>
      <c r="CV20" s="18"/>
      <c r="CW20" s="5"/>
      <c r="CX20" s="15" t="str">
        <f>IFERROR(s_TR/(s_RadSpec!I20*s_IFW_far_adj),".")</f>
        <v>.</v>
      </c>
      <c r="CY20" s="15" t="str">
        <f>IFERROR(IF(AND(s_RadSpec!C20=1,s_RadSpec!D20&lt;&gt;0),s_TR/(s_RadSpec!F20*s_IFA_far_adj*s_K*s_RadSpec!D20),"."),".")</f>
        <v>.</v>
      </c>
      <c r="CZ20" s="15">
        <f>IFERROR((s_TR/(s_RadSpec!M20*(1/8760)*s_DFA_far_adj)),".")</f>
        <v>25717704986.537777</v>
      </c>
      <c r="DA20" s="15" t="str">
        <f>s_b2w!BC20</f>
        <v>.</v>
      </c>
      <c r="DB20" s="15" t="str">
        <f>IFERROR(J20/(s_RadSpec!AJ20*(1/1000)),".")</f>
        <v>.</v>
      </c>
      <c r="DC20" s="15" t="str">
        <f>IFERROR(K20/(s_RadSpec!AK20*(1/1000)),".")</f>
        <v>.</v>
      </c>
      <c r="DD20" s="15" t="str">
        <f>IFERROR(G20/(s_RadSpec!AI20*s_Q_w_beef*(1/1000)),".")</f>
        <v>.</v>
      </c>
      <c r="DE20" s="15" t="str">
        <f>IFERROR((H20*s_D_milk)/(s_RadSpec!AH20*s_Q_w_dairy*(1/1000)),".")</f>
        <v>.</v>
      </c>
      <c r="DF20" s="15" t="str">
        <f>IFERROR(I20/(s_RadSpec!AN20*s_Q_w_swine*(1/1000)),".")</f>
        <v>.</v>
      </c>
      <c r="DG20" s="15" t="str">
        <f>IFERROR(E20/(s_RadSpec!AL20*s_Q_w_poultry*(1/1000)),".")</f>
        <v>.</v>
      </c>
      <c r="DH20" s="15" t="str">
        <f>IFERROR(F20/(s_RadSpec!AM20*s_Q_w_poultry*(1/1000)),".")</f>
        <v>.</v>
      </c>
      <c r="DI20" s="15" t="str">
        <f>IFERROR(L20/(s_RadSpec!AQ20*s_Q_w_goat*(1/1000)),".")</f>
        <v>.</v>
      </c>
      <c r="DJ20" s="15" t="str">
        <f>IFERROR(N20*s_D_milk/(s_RadSpec!AR20*s_Q_w_goat_milk*(1/1000)),".")</f>
        <v>.</v>
      </c>
      <c r="DK20" s="15" t="str">
        <f>IFERROR(M20/(s_RadSpec!AO20*s_Q_w_sheep*(1/1000)),".")</f>
        <v>.</v>
      </c>
      <c r="DL20" s="15" t="str">
        <f>IFERROR(O20*s_D_milk/(s_RadSpec!AP20*s_Q_w_sheep_milk*(1/1000)),".")</f>
        <v>.</v>
      </c>
      <c r="DM20" s="118" t="str">
        <f t="shared" si="27"/>
        <v>.</v>
      </c>
      <c r="DN20" s="118" t="str">
        <f t="shared" si="28"/>
        <v>.</v>
      </c>
      <c r="DO20" s="118">
        <f t="shared" si="29"/>
        <v>3.8883718454794518E-11</v>
      </c>
      <c r="DP20" s="118" t="str">
        <f t="shared" si="30"/>
        <v>.</v>
      </c>
      <c r="DQ20" s="118" t="str">
        <f t="shared" si="31"/>
        <v>.</v>
      </c>
      <c r="DR20" s="118" t="str">
        <f t="shared" si="31"/>
        <v>.</v>
      </c>
      <c r="DS20" s="118" t="str">
        <f t="shared" si="32"/>
        <v>.</v>
      </c>
      <c r="DT20" s="118" t="str">
        <f t="shared" si="33"/>
        <v>.</v>
      </c>
      <c r="DU20" s="118" t="str">
        <f t="shared" si="34"/>
        <v>.</v>
      </c>
      <c r="DV20" s="118" t="str">
        <f t="shared" si="35"/>
        <v>.</v>
      </c>
      <c r="DW20" s="118" t="str">
        <f t="shared" si="36"/>
        <v>.</v>
      </c>
      <c r="DX20" s="118" t="str">
        <f t="shared" si="37"/>
        <v>.</v>
      </c>
      <c r="DY20" s="118" t="str">
        <f t="shared" si="38"/>
        <v>.</v>
      </c>
      <c r="DZ20" s="118" t="str">
        <f t="shared" si="39"/>
        <v>.</v>
      </c>
      <c r="EA20" s="118" t="str">
        <f t="shared" si="40"/>
        <v>.</v>
      </c>
      <c r="EB20" s="15">
        <f t="shared" si="47"/>
        <v>25717704986.537777</v>
      </c>
      <c r="EC20" s="40">
        <f t="shared" si="41"/>
        <v>27500</v>
      </c>
      <c r="ED20" s="40">
        <f>IFERROR(IF(s_RadSpec!D20&lt;&gt;"",s_C*s_IFA_far_adj*s_K*s_RadSpec!D20,0),".")</f>
        <v>255.18501822916667</v>
      </c>
      <c r="EE20" s="40">
        <f t="shared" si="42"/>
        <v>2.5114155251141552</v>
      </c>
      <c r="EF20" s="40">
        <f>s_b2w!CC20</f>
        <v>7486.4983546212979</v>
      </c>
      <c r="EG20" s="40">
        <f>IFERROR(s_C*s_RadSpec!AJ20*(1/1000)*s_IFFI_far_adj*s_CF_far_fish,0)</f>
        <v>5445</v>
      </c>
      <c r="EH20" s="40">
        <f>IFERROR(s_C*s_RadSpec!AK20*(1/1000)*s_IFSF_far_adj*s_CF_far_shellfish,0)</f>
        <v>0</v>
      </c>
      <c r="EI20" s="40">
        <f>(s_C*s_IFB_far_adj*s_CF_far_beef*s_RadSpec!AI20*s_Q_w_beef*(1/1000))</f>
        <v>2.2687500000000003</v>
      </c>
      <c r="EJ20" s="40">
        <f>(s_C*s_IFD_far_adj*s_CF_far_dairy*s_RadSpec!AH20*(1/s_D_milk)*s_Q_w_dairy*(1/1000))</f>
        <v>0.15418689320388351</v>
      </c>
      <c r="EK20" s="40">
        <f>IFERROR((s_C*s_IFSW_far_adj*s_CF_far_swine*s_RadSpec!AN20*s_Q_w_swine*(1/1000)),0)</f>
        <v>0</v>
      </c>
      <c r="EL20" s="40">
        <f>IFERROR((s_C*s_IFP_far_adj*s_CF_far_poultry*s_RadSpec!AL20*s_Q_w_poultry*(1/1000)),0)</f>
        <v>1815</v>
      </c>
      <c r="EM20" s="40">
        <f>IFERROR((s_C*s_IFE_far_adj*s_CF_far_egg*s_RadSpec!AM20*s_Q_w_egg*(1/1000)),0)</f>
        <v>2344.375</v>
      </c>
      <c r="EN20" s="40">
        <f>IFERROR((s_C*s_IFGO_far_adj*s_CF_far_goat*s_RadSpec!AQ20*s_Q_p_goat*(1/1000)),0)</f>
        <v>0</v>
      </c>
      <c r="EO20" s="40">
        <f>IFERROR((s_C*s_IFGM_far_adj*s_CF_far_goat_milk*s_RadSpec!AR20*(1/s_D_milk)*s_Q_p_goat_milk*(1/1000)),0)</f>
        <v>1.6887135922330097</v>
      </c>
      <c r="EP20" s="40">
        <f>IFERROR((s_C*s_IFSH_far_adj*s_CF_far_sheep*s_RadSpec!AO20*s_Q_p_sheep*(1/1000)),0)</f>
        <v>37.8125</v>
      </c>
      <c r="EQ20" s="40">
        <f>IFERROR((s_C*s_IFSM_far_adj*s_CF_far_sheep_milk*s_RadSpec!AP20*(1/s_D_milk)*s_Q_p_sheep_milk*(1/1000)),0)</f>
        <v>0</v>
      </c>
      <c r="ER20" s="18"/>
      <c r="ES20" s="18"/>
      <c r="ET20" s="18"/>
      <c r="EU20" s="18"/>
      <c r="EV20" s="18"/>
      <c r="EW20" s="18"/>
      <c r="EX20" s="18"/>
      <c r="EY20" s="18"/>
      <c r="EZ20" s="18"/>
      <c r="FA20" s="18"/>
      <c r="FB20" s="18"/>
      <c r="FC20" s="18"/>
      <c r="FD20" s="18"/>
      <c r="FE20" s="18"/>
      <c r="FF20" s="18"/>
      <c r="FG20" s="5"/>
      <c r="FH20" s="15" t="str">
        <f>IFERROR((s_TR/(s_RadSpec!F20*s_IFA_far_adj)),".")</f>
        <v>.</v>
      </c>
      <c r="FI20" s="15">
        <f>IFERROR((s_TR/(s_RadSpec!K20*s_EF_far*(1/365)*s_ED_far*s_ET_far*(1/24)*s_GSF_a)),".")</f>
        <v>89154710.619997621</v>
      </c>
      <c r="FJ20" s="15">
        <f t="shared" si="55"/>
        <v>89154710.619997621</v>
      </c>
      <c r="FK20" s="40">
        <f t="shared" si="44"/>
        <v>10026.041666666666</v>
      </c>
      <c r="FL20" s="40">
        <f t="shared" si="45"/>
        <v>1.5696347031963471</v>
      </c>
      <c r="FM20" s="120"/>
      <c r="FN20" s="120"/>
      <c r="FO20" s="120"/>
    </row>
    <row r="21" spans="1:171" customFormat="1" x14ac:dyDescent="0.25">
      <c r="A21" s="44" t="s">
        <v>31</v>
      </c>
      <c r="B21" s="42" t="s">
        <v>1071</v>
      </c>
      <c r="C21" s="249"/>
      <c r="D21" s="15" t="str">
        <f>s_dir!AC21</f>
        <v>.</v>
      </c>
      <c r="E21" s="15" t="str">
        <f>IFERROR(s_TR/(s_RadSpec!H21*s_IFP_far_adj*s_CF_far_poultry),".")</f>
        <v>.</v>
      </c>
      <c r="F21" s="15" t="str">
        <f>IFERROR(s_TR/(s_RadSpec!H21*s_IFE_far_adj*s_CF_far_egg),".")</f>
        <v>.</v>
      </c>
      <c r="G21" s="15" t="str">
        <f>IFERROR(s_TR/(s_RadSpec!H21*s_IFB_far_adj*s_CF_far_beef),".")</f>
        <v>.</v>
      </c>
      <c r="H21" s="15" t="str">
        <f>IFERROR(s_TR/(s_RadSpec!H21*s_IFD_far_adj*s_CF_far_dairy),".")</f>
        <v>.</v>
      </c>
      <c r="I21" s="15" t="str">
        <f>IFERROR(s_TR/(s_RadSpec!H21*s_IFSW_far_adj*s_CF_far_swine),".")</f>
        <v>.</v>
      </c>
      <c r="J21" s="15" t="str">
        <f>IFERROR(s_TR/(s_RadSpec!H21*s_IFFI_far_adj*s_CF_far_fish),".")</f>
        <v>.</v>
      </c>
      <c r="K21" s="15" t="str">
        <f>IFERROR(s_TR/(s_RadSpec!H21*s_IFSF_far_adj*s_CF_far_shellfish),".")</f>
        <v>.</v>
      </c>
      <c r="L21" s="15" t="str">
        <f>IFERROR(s_TR/(s_RadSpec!H21*s_IFGO_far_adj*s_CF_far_goat),".")</f>
        <v>.</v>
      </c>
      <c r="M21" s="15" t="str">
        <f>IFERROR(s_TR/(s_RadSpec!H21*s_IFSH_far_adj*s_CF_far_sheep),".")</f>
        <v>.</v>
      </c>
      <c r="N21" s="15" t="str">
        <f>IFERROR(s_TR/(s_RadSpec!H21*s_IFGM_far_adj*s_CF_far_goat_milk),".")</f>
        <v>.</v>
      </c>
      <c r="O21" s="15" t="str">
        <f>IFERROR(s_TR/(s_RadSpec!H21*s_IFSM_far_adj*s_CF_far_sheep_milk),".")</f>
        <v>.</v>
      </c>
      <c r="P21" s="40">
        <f>s_dir!BC21</f>
        <v>605000</v>
      </c>
      <c r="Q21" s="40">
        <f t="shared" si="0"/>
        <v>151250</v>
      </c>
      <c r="R21" s="40">
        <f t="shared" si="1"/>
        <v>151250</v>
      </c>
      <c r="S21" s="40">
        <f t="shared" si="2"/>
        <v>151250</v>
      </c>
      <c r="T21" s="40">
        <f t="shared" si="3"/>
        <v>151250</v>
      </c>
      <c r="U21" s="40">
        <f t="shared" si="4"/>
        <v>151250</v>
      </c>
      <c r="V21" s="40">
        <f t="shared" si="5"/>
        <v>151250</v>
      </c>
      <c r="W21" s="40">
        <f t="shared" si="6"/>
        <v>151250</v>
      </c>
      <c r="X21" s="40">
        <f t="shared" si="7"/>
        <v>151250</v>
      </c>
      <c r="Y21" s="40">
        <f t="shared" si="8"/>
        <v>151250</v>
      </c>
      <c r="Z21" s="40">
        <f t="shared" si="9"/>
        <v>151250</v>
      </c>
      <c r="AA21" s="40">
        <f t="shared" si="10"/>
        <v>151250</v>
      </c>
      <c r="AB21" s="5"/>
      <c r="AC21" s="5"/>
      <c r="AD21" s="5"/>
      <c r="AE21" s="5"/>
      <c r="AF21" s="5"/>
      <c r="AG21" s="5"/>
      <c r="AH21" s="5"/>
      <c r="AI21" s="5"/>
      <c r="AJ21" s="5"/>
      <c r="AK21" s="5"/>
      <c r="AL21" s="5"/>
      <c r="AM21" s="5"/>
      <c r="AN21" s="45" t="str">
        <f>IFERROR((s_TR/(s_RadSpec!E21*s_IFS_far_adj*(1/1000)))*1,".")</f>
        <v>.</v>
      </c>
      <c r="AO21" s="45">
        <f>IFERROR(IF(A21="H-3",(s_TR/(s_RadSpec!F21*s_IFA_far_adj*(1/17)*1000))*1,(s_TR/(s_RadSpec!F21*s_IFA_far_adj*(1/s_PEF_wind)*1000))*1),".")</f>
        <v>111150783.64008242</v>
      </c>
      <c r="AP21" s="45" t="str">
        <f>IFERROR((s_TR/(s_RadSpec!G21*s_EF_far*(1/365)*s_ED_far*s_RadSpec!R21*((s_ET_far_o*(1/24)*s_RadSpec!W21)+(s_ET_far_i*(1/24)*s_RadSpec!AB21))))*1,".")</f>
        <v>.</v>
      </c>
      <c r="AQ21" s="45" t="str">
        <f>s_b2s!BC21</f>
        <v>.</v>
      </c>
      <c r="AR21" s="45" t="str">
        <f>IFERROR(((J21*s_RadSpec!AU21)/s_RadSpec!AJ21)*1,".")</f>
        <v>.</v>
      </c>
      <c r="AS21" s="45" t="str">
        <f>IFERROR(((K21*s_RadSpec!AU21)/s_RadSpec!AK21)*1,".")</f>
        <v>.</v>
      </c>
      <c r="AT21" s="45" t="str">
        <f>IFERROR((G21/(s_RadSpec!AI21*((s_Q_p_beef*s_f_p_beef*s_f_s_beef*(s_RadSpec!BD21+s_R_es_past))+(s_Q_s_beef*s_f_p_beef))))*1,".")</f>
        <v>.</v>
      </c>
      <c r="AU21" s="45" t="str">
        <f>IFERROR(((H21*s_D_milk)/(s_RadSpec!AH21*((s_Q_p_dairy*s_f_p_dairy*s_f_s_dairy*(s_RadSpec!BD21+s_R_es_past))+(s_Q_s_dairy*s_f_p_dairy))))*1,".")</f>
        <v>.</v>
      </c>
      <c r="AV21" s="45" t="str">
        <f>IFERROR((I21/(s_RadSpec!AN21*((s_Q_p_swine*s_f_p_swine*s_f_s_swine*(s_RadSpec!BD21+s_R_es_past))+(s_Q_s_swine*s_f_p_swine))))*1,".")</f>
        <v>.</v>
      </c>
      <c r="AW21" s="45" t="str">
        <f>IFERROR((E21/(s_RadSpec!AL21*((s_Q_p_poultry*s_f_p_poultry*s_f_s_poultry*(s_RadSpec!BD21+s_R_es_past))+(s_Q_s_poultry*s_f_p_poultry))))*1,".")</f>
        <v>.</v>
      </c>
      <c r="AX21" s="45" t="str">
        <f>IFERROR((F21/(s_RadSpec!AM21*((s_Q_p_poultry*s_f_p_poultry*s_f_s_poultry*(s_RadSpec!BD21+s_R_es_past))+(s_Q_s_poultry*s_f_p_poultry))))*1,".")</f>
        <v>.</v>
      </c>
      <c r="AY21" s="45" t="str">
        <f>IFERROR((L21/(s_RadSpec!AQ21*((s_Q_p_goat*s_f_p_goat*s_f_s_goat*(s_RadSpec!BD21+s_R_es_past))+(s_Q_s_goat*s_f_p_goat))))*1,".")</f>
        <v>.</v>
      </c>
      <c r="AZ21" s="45" t="str">
        <f>IFERROR((N21*s_D_milk/(s_RadSpec!AR21*((s_Q_p_goat_milk*s_f_p_goat_milk*s_f_s_goat_milk*(s_RadSpec!BD21+s_R_es_past))+(s_Q_s_goat_milk*s_f_p_goat_milk))))*1,".")</f>
        <v>.</v>
      </c>
      <c r="BA21" s="45" t="str">
        <f>IFERROR((M21/(s_RadSpec!AO21*((s_Q_p_sheep*s_f_p_sheep*s_f_s_sheep*(s_RadSpec!BD21+s_R_es_past))+(s_Q_s_sheep*s_f_p_sheep))))*1,".")</f>
        <v>.</v>
      </c>
      <c r="BB21" s="45" t="str">
        <f>IFERROR((O21*s_D_milk/(s_RadSpec!AP21*((s_Q_p_sheep_milk*s_f_p_sheep_milk*s_f_s_sheep_milk*(s_RadSpec!BD21+s_R_es_past))+(s_Q_s_sheep_milk*s_f_p_sheep_milk))))*1,".")</f>
        <v>.</v>
      </c>
      <c r="BC21" s="118" t="str">
        <f t="shared" si="11"/>
        <v>.</v>
      </c>
      <c r="BD21" s="118">
        <f t="shared" si="12"/>
        <v>8.9967876721238607E-9</v>
      </c>
      <c r="BE21" s="118" t="str">
        <f t="shared" si="13"/>
        <v>.</v>
      </c>
      <c r="BF21" s="118" t="str">
        <f t="shared" si="14"/>
        <v>.</v>
      </c>
      <c r="BG21" s="118" t="str">
        <f t="shared" si="15"/>
        <v>.</v>
      </c>
      <c r="BH21" s="118" t="str">
        <f t="shared" si="15"/>
        <v>.</v>
      </c>
      <c r="BI21" s="118" t="str">
        <f t="shared" si="16"/>
        <v>.</v>
      </c>
      <c r="BJ21" s="118" t="str">
        <f t="shared" si="17"/>
        <v>.</v>
      </c>
      <c r="BK21" s="118" t="str">
        <f t="shared" si="18"/>
        <v>.</v>
      </c>
      <c r="BL21" s="118" t="str">
        <f t="shared" si="19"/>
        <v>.</v>
      </c>
      <c r="BM21" s="118" t="str">
        <f t="shared" si="20"/>
        <v>.</v>
      </c>
      <c r="BN21" s="118" t="str">
        <f t="shared" si="21"/>
        <v>.</v>
      </c>
      <c r="BO21" s="118" t="str">
        <f t="shared" si="22"/>
        <v>.</v>
      </c>
      <c r="BP21" s="118" t="str">
        <f t="shared" si="23"/>
        <v>.</v>
      </c>
      <c r="BQ21" s="118" t="str">
        <f t="shared" si="24"/>
        <v>.</v>
      </c>
      <c r="BR21" s="15">
        <f t="shared" si="46"/>
        <v>111150783.64008242</v>
      </c>
      <c r="BS21" s="40">
        <f t="shared" si="25"/>
        <v>302.5</v>
      </c>
      <c r="BT21" s="40">
        <f t="shared" si="26"/>
        <v>3.2362545583179352E-2</v>
      </c>
      <c r="BU21" s="40">
        <f>IFERROR((s_C*s_EF_far*(1/365)*s_ED_far*s_RadSpec!R21*((s_ET_far_o*(1/24)*s_RadSpec!W21)+(s_ET_far_i*(1/24)*s_RadSpec!AB21))),".")</f>
        <v>0</v>
      </c>
      <c r="BV21" s="40">
        <f>s_b2s!CC21</f>
        <v>10230.549999999999</v>
      </c>
      <c r="BW21" s="40">
        <f>IFERROR(((s_C*s_RadSpec!AJ21)/s_RadSpec!AU21)*s_IFFI_far_adj*s_CF_far_fish,0)</f>
        <v>25928.571428571428</v>
      </c>
      <c r="BX21" s="40">
        <f>IFERROR(((s_C*s_RadSpec!AK21)/s_RadSpec!AU21)*s_IFSF_far_adj*s_CF_far_shellfish,0)</f>
        <v>0</v>
      </c>
      <c r="BY21" s="40">
        <f>(s_C*s_IFB_far_adj*s_CF_far_beef*s_RadSpec!AI21*((s_Q_p_beef*s_f_p_beef*s_f_s_beef*(s_RadSpec!$AT21+s_R_es_past))+(s_Q_s_beef*s_f_p_beef)))</f>
        <v>39718.771551724145</v>
      </c>
      <c r="BZ21" s="40">
        <f>(s_C*s_IFD_far_adj*s_CF_far_dairy*s_RadSpec!AH21*1/s_D_milk*((s_Q_p_dairy*s_f_p_dairy*s_f_s_dairy*(s_RadSpec!$AT21+s_R_es_past))+(s_Q_s_dairy*s_f_p_dairy)))</f>
        <v>2699.3339889521262</v>
      </c>
      <c r="CA21" s="40">
        <f>IFERROR((s_C*s_IFSW_far_adj*s_CF_far_swine*s_RadSpec!AN21*((s_Q_p_swine*s_f_p_swine*s_f_s_swine*(s_RadSpec!$AT21+s_R_es_past))+(s_Q_s_swine*s_f_p_swine))),0)</f>
        <v>0</v>
      </c>
      <c r="CB21" s="40">
        <f>IFERROR((s_C*s_IFP_far_adj*s_CF_far_poultry*s_RadSpec!AL21*((s_Q_p_poultry*s_f_p_poultry*s_f_s_poultry*(s_RadSpec!AT21+s_R_es_past))+(s_Q_s_poultry*s_f_p_poultry))),0)</f>
        <v>31775017.241379313</v>
      </c>
      <c r="CC21" s="40">
        <f>IFERROR((s_C*s_IFE_far_adj*s_CF_far_egg*s_RadSpec!AM21*((s_Q_p_egg*s_f_p_egg*s_f_s_egg*(s_RadSpec!$AT21+s_R_es_past))+(s_Q_s_egg*s_f_p_egg))),0)</f>
        <v>41042730.603448279</v>
      </c>
      <c r="CD21" s="40">
        <f>IFERROR((s_C*s_IFGO_far_adj*s_CF_far_goat*s_RadSpec!AQ21*((s_Q_p_goat*s_f_p_goat*s_f_s_goat*(s_RadSpec!$AT21+s_R_es_past))+(s_Q_s_goat*s_f_p_goat))),0)</f>
        <v>0</v>
      </c>
      <c r="CE21" s="40">
        <f>IFERROR((s_C*s_IFGM_far_adj*s_CF_far_goat_milk*s_RadSpec!AR21*1/s_D_milk*((s_Q_p_goat_milk*s_f_p_goat_milk*s_f_s_goat_milk*(s_RadSpec!$AT21+s_R_es_past))+(s_Q_s_goat_milk*s_f_p_goat_milk))),0)</f>
        <v>29564.134164713763</v>
      </c>
      <c r="CF21" s="40">
        <f>IFERROR((s_C*s_IFSH_far_adj*s_CF_far_sheep*s_RadSpec!AO21*((s_Q_p_sheep*s_f_p_sheep*s_f_s_sheep*(s_RadSpec!$AT21+s_R_es_past))+(s_Q_s_sheep*s_f_p_sheep))),0)</f>
        <v>661979.52586206899</v>
      </c>
      <c r="CG21" s="40">
        <f>IFERROR((s_C*s_IFSM_far_adj*s_CF_far_sheep_milk*s_RadSpec!AP21*1/s_D_milk*((s_Q_p_sheep_milk*s_f_p_sheep_milk*s_f_s_sheep_milk*(s_RadSpec!$AT21+s_R_es_past))+(s_Q_s_sheep_milk*s_f_p_sheep_milk))),0)</f>
        <v>0</v>
      </c>
      <c r="CH21" s="18"/>
      <c r="CI21" s="18"/>
      <c r="CJ21" s="18"/>
      <c r="CK21" s="18"/>
      <c r="CL21" s="18"/>
      <c r="CM21" s="18"/>
      <c r="CN21" s="18"/>
      <c r="CO21" s="18"/>
      <c r="CP21" s="18"/>
      <c r="CQ21" s="18"/>
      <c r="CR21" s="18"/>
      <c r="CS21" s="18"/>
      <c r="CT21" s="18"/>
      <c r="CU21" s="18"/>
      <c r="CV21" s="18"/>
      <c r="CW21" s="5"/>
      <c r="CX21" s="15" t="str">
        <f>IFERROR(s_TR/(s_RadSpec!I21*s_IFW_far_adj),".")</f>
        <v>.</v>
      </c>
      <c r="CY21" s="15">
        <f>IFERROR(IF(AND(s_RadSpec!C21=1,s_RadSpec!D21&lt;&gt;0),s_TR/(s_RadSpec!F21*s_IFA_far_adj*s_K*s_RadSpec!D21),"."),".")</f>
        <v>984.98616869161106</v>
      </c>
      <c r="CZ21" s="15">
        <f>IFERROR((s_TR/(s_RadSpec!M21*(1/8760)*s_DFA_far_adj)),".")</f>
        <v>393783796907033.44</v>
      </c>
      <c r="DA21" s="15" t="str">
        <f>s_b2w!BC21</f>
        <v>.</v>
      </c>
      <c r="DB21" s="15" t="str">
        <f>IFERROR(J21/(s_RadSpec!AJ21*(1/1000)),".")</f>
        <v>.</v>
      </c>
      <c r="DC21" s="15" t="str">
        <f>IFERROR(K21/(s_RadSpec!AK21*(1/1000)),".")</f>
        <v>.</v>
      </c>
      <c r="DD21" s="15" t="str">
        <f>IFERROR(G21/(s_RadSpec!AI21*s_Q_w_beef*(1/1000)),".")</f>
        <v>.</v>
      </c>
      <c r="DE21" s="15" t="str">
        <f>IFERROR((H21*s_D_milk)/(s_RadSpec!AH21*s_Q_w_dairy*(1/1000)),".")</f>
        <v>.</v>
      </c>
      <c r="DF21" s="15" t="str">
        <f>IFERROR(I21/(s_RadSpec!AN21*s_Q_w_swine*(1/1000)),".")</f>
        <v>.</v>
      </c>
      <c r="DG21" s="15" t="str">
        <f>IFERROR(E21/(s_RadSpec!AL21*s_Q_w_poultry*(1/1000)),".")</f>
        <v>.</v>
      </c>
      <c r="DH21" s="15" t="str">
        <f>IFERROR(F21/(s_RadSpec!AM21*s_Q_w_poultry*(1/1000)),".")</f>
        <v>.</v>
      </c>
      <c r="DI21" s="15" t="str">
        <f>IFERROR(L21/(s_RadSpec!AQ21*s_Q_w_goat*(1/1000)),".")</f>
        <v>.</v>
      </c>
      <c r="DJ21" s="15" t="str">
        <f>IFERROR(N21*s_D_milk/(s_RadSpec!AR21*s_Q_w_goat_milk*(1/1000)),".")</f>
        <v>.</v>
      </c>
      <c r="DK21" s="15" t="str">
        <f>IFERROR(M21/(s_RadSpec!AO21*s_Q_w_sheep*(1/1000)),".")</f>
        <v>.</v>
      </c>
      <c r="DL21" s="15" t="str">
        <f>IFERROR(O21*s_D_milk/(s_RadSpec!AP21*s_Q_w_sheep_milk*(1/1000)),".")</f>
        <v>.</v>
      </c>
      <c r="DM21" s="118" t="str">
        <f t="shared" si="27"/>
        <v>.</v>
      </c>
      <c r="DN21" s="118">
        <f>IFERROR(1/CY21,".")</f>
        <v>1.0152426823701822E-3</v>
      </c>
      <c r="DO21" s="118">
        <f t="shared" si="29"/>
        <v>2.5394645687671228E-15</v>
      </c>
      <c r="DP21" s="118" t="str">
        <f t="shared" si="30"/>
        <v>.</v>
      </c>
      <c r="DQ21" s="118" t="str">
        <f t="shared" si="31"/>
        <v>.</v>
      </c>
      <c r="DR21" s="118" t="str">
        <f t="shared" si="31"/>
        <v>.</v>
      </c>
      <c r="DS21" s="118" t="str">
        <f t="shared" si="32"/>
        <v>.</v>
      </c>
      <c r="DT21" s="118" t="str">
        <f t="shared" si="33"/>
        <v>.</v>
      </c>
      <c r="DU21" s="118" t="str">
        <f t="shared" si="34"/>
        <v>.</v>
      </c>
      <c r="DV21" s="118" t="str">
        <f t="shared" si="35"/>
        <v>.</v>
      </c>
      <c r="DW21" s="118" t="str">
        <f t="shared" si="36"/>
        <v>.</v>
      </c>
      <c r="DX21" s="118" t="str">
        <f t="shared" si="37"/>
        <v>.</v>
      </c>
      <c r="DY21" s="118" t="str">
        <f t="shared" si="38"/>
        <v>.</v>
      </c>
      <c r="DZ21" s="118" t="str">
        <f t="shared" si="39"/>
        <v>.</v>
      </c>
      <c r="EA21" s="118" t="str">
        <f t="shared" si="40"/>
        <v>.</v>
      </c>
      <c r="EB21" s="15">
        <f>IFERROR(1/(SUMIF(DM21:EA21,"&lt;&gt;0")),".")</f>
        <v>984.98616868914723</v>
      </c>
      <c r="EC21" s="40">
        <f t="shared" si="41"/>
        <v>27500</v>
      </c>
      <c r="ED21" s="40">
        <f>IFERROR(IF(s_RadSpec!D21&lt;&gt;"",s_C*s_IFA_far_adj*s_K*s_RadSpec!D21,0),".")</f>
        <v>3651.9520948567706</v>
      </c>
      <c r="EE21" s="40">
        <f t="shared" si="42"/>
        <v>2.5114155251141552</v>
      </c>
      <c r="EF21" s="40">
        <f>s_b2w!CC21</f>
        <v>7486.4983546212979</v>
      </c>
      <c r="EG21" s="40">
        <f>IFERROR(s_C*s_RadSpec!AJ21*(1/1000)*s_IFFI_far_adj*s_CF_far_fish,0)</f>
        <v>5445</v>
      </c>
      <c r="EH21" s="40">
        <f>IFERROR(s_C*s_RadSpec!AK21*(1/1000)*s_IFSF_far_adj*s_CF_far_shellfish,0)</f>
        <v>0</v>
      </c>
      <c r="EI21" s="40">
        <f>(s_C*s_IFB_far_adj*s_CF_far_beef*s_RadSpec!AI21*s_Q_w_beef*(1/1000))</f>
        <v>2.2687500000000003</v>
      </c>
      <c r="EJ21" s="40">
        <f>(s_C*s_IFD_far_adj*s_CF_far_dairy*s_RadSpec!AH21*(1/s_D_milk)*s_Q_w_dairy*(1/1000))</f>
        <v>0.15418689320388351</v>
      </c>
      <c r="EK21" s="40">
        <f>IFERROR((s_C*s_IFSW_far_adj*s_CF_far_swine*s_RadSpec!AN21*s_Q_w_swine*(1/1000)),0)</f>
        <v>0</v>
      </c>
      <c r="EL21" s="40">
        <f>IFERROR((s_C*s_IFP_far_adj*s_CF_far_poultry*s_RadSpec!AL21*s_Q_w_poultry*(1/1000)),0)</f>
        <v>1815</v>
      </c>
      <c r="EM21" s="40">
        <f>IFERROR((s_C*s_IFE_far_adj*s_CF_far_egg*s_RadSpec!AM21*s_Q_w_egg*(1/1000)),0)</f>
        <v>2344.375</v>
      </c>
      <c r="EN21" s="40">
        <f>IFERROR((s_C*s_IFGO_far_adj*s_CF_far_goat*s_RadSpec!AQ21*s_Q_p_goat*(1/1000)),0)</f>
        <v>0</v>
      </c>
      <c r="EO21" s="40">
        <f>IFERROR((s_C*s_IFGM_far_adj*s_CF_far_goat_milk*s_RadSpec!AR21*(1/s_D_milk)*s_Q_p_goat_milk*(1/1000)),0)</f>
        <v>1.6887135922330097</v>
      </c>
      <c r="EP21" s="40">
        <f>IFERROR((s_C*s_IFSH_far_adj*s_CF_far_sheep*s_RadSpec!AO21*s_Q_p_sheep*(1/1000)),0)</f>
        <v>37.8125</v>
      </c>
      <c r="EQ21" s="40">
        <f>IFERROR((s_C*s_IFSM_far_adj*s_CF_far_sheep_milk*s_RadSpec!AP21*(1/s_D_milk)*s_Q_p_sheep_milk*(1/1000)),0)</f>
        <v>0</v>
      </c>
      <c r="ER21" s="18"/>
      <c r="ES21" s="18"/>
      <c r="ET21" s="18"/>
      <c r="EU21" s="18"/>
      <c r="EV21" s="18"/>
      <c r="EW21" s="18"/>
      <c r="EX21" s="18"/>
      <c r="EY21" s="18"/>
      <c r="EZ21" s="18"/>
      <c r="FA21" s="18"/>
      <c r="FB21" s="18"/>
      <c r="FC21" s="18"/>
      <c r="FD21" s="18"/>
      <c r="FE21" s="18"/>
      <c r="FF21" s="18"/>
      <c r="FG21" s="5"/>
      <c r="FH21" s="15">
        <f>IFERROR((s_TR/(s_RadSpec!F21*s_IFA_far_adj)),".")</f>
        <v>358.7779127347473</v>
      </c>
      <c r="FI21" s="15">
        <f>IFERROR((s_TR/(s_RadSpec!K21*s_EF_far*(1/365)*s_ED_far*s_ET_far*(1/24)*s_GSF_a)),".")</f>
        <v>807140279577.49329</v>
      </c>
      <c r="FJ21" s="15">
        <f t="shared" si="55"/>
        <v>358.77791257526872</v>
      </c>
      <c r="FK21" s="40">
        <f t="shared" si="44"/>
        <v>10026.041666666666</v>
      </c>
      <c r="FL21" s="40">
        <f t="shared" si="45"/>
        <v>1.5696347031963471</v>
      </c>
      <c r="FM21" s="120"/>
      <c r="FN21" s="120"/>
      <c r="FO21" s="120"/>
    </row>
    <row r="22" spans="1:171" customFormat="1" x14ac:dyDescent="0.25">
      <c r="A22" s="44" t="s">
        <v>32</v>
      </c>
      <c r="B22" s="42" t="s">
        <v>1071</v>
      </c>
      <c r="C22" s="42"/>
      <c r="D22" s="15">
        <f>s_dir!AC22</f>
        <v>0.53822616801806289</v>
      </c>
      <c r="E22" s="15">
        <f>IFERROR(s_TR/(s_RadSpec!H22*s_IFP_far_adj*s_CF_far_poultry),".")</f>
        <v>2.1529046720722516</v>
      </c>
      <c r="F22" s="15">
        <f>IFERROR(s_TR/(s_RadSpec!H22*s_IFE_far_adj*s_CF_far_egg),".")</f>
        <v>2.1529046720722516</v>
      </c>
      <c r="G22" s="15">
        <f>IFERROR(s_TR/(s_RadSpec!H22*s_IFB_far_adj*s_CF_far_beef),".")</f>
        <v>2.1529046720722516</v>
      </c>
      <c r="H22" s="15">
        <f>IFERROR(s_TR/(s_RadSpec!H22*s_IFD_far_adj*s_CF_far_dairy),".")</f>
        <v>2.1529046720722516</v>
      </c>
      <c r="I22" s="15">
        <f>IFERROR(s_TR/(s_RadSpec!H22*s_IFSW_far_adj*s_CF_far_swine),".")</f>
        <v>2.1529046720722516</v>
      </c>
      <c r="J22" s="15">
        <f>IFERROR(s_TR/(s_RadSpec!H22*s_IFFI_far_adj*s_CF_far_fish),".")</f>
        <v>2.1529046720722516</v>
      </c>
      <c r="K22" s="15">
        <f>IFERROR(s_TR/(s_RadSpec!H22*s_IFSF_far_adj*s_CF_far_shellfish),".")</f>
        <v>2.1529046720722516</v>
      </c>
      <c r="L22" s="15">
        <f>IFERROR(s_TR/(s_RadSpec!H22*s_IFGO_far_adj*s_CF_far_goat),".")</f>
        <v>2.1529046720722516</v>
      </c>
      <c r="M22" s="15">
        <f>IFERROR(s_TR/(s_RadSpec!H22*s_IFSH_far_adj*s_CF_far_sheep),".")</f>
        <v>2.1529046720722516</v>
      </c>
      <c r="N22" s="15">
        <f>IFERROR(s_TR/(s_RadSpec!H22*s_IFGM_far_adj*s_CF_far_goat_milk),".")</f>
        <v>2.1529046720722516</v>
      </c>
      <c r="O22" s="15">
        <f>IFERROR(s_TR/(s_RadSpec!H22*s_IFSM_far_adj*s_CF_far_sheep_milk),".")</f>
        <v>2.1529046720722516</v>
      </c>
      <c r="P22" s="40">
        <f>s_dir!BC22</f>
        <v>605000</v>
      </c>
      <c r="Q22" s="40">
        <f t="shared" si="0"/>
        <v>151250</v>
      </c>
      <c r="R22" s="40">
        <f t="shared" si="1"/>
        <v>151250</v>
      </c>
      <c r="S22" s="40">
        <f t="shared" si="2"/>
        <v>151250</v>
      </c>
      <c r="T22" s="40">
        <f t="shared" si="3"/>
        <v>151250</v>
      </c>
      <c r="U22" s="40">
        <f t="shared" si="4"/>
        <v>151250</v>
      </c>
      <c r="V22" s="40">
        <f t="shared" si="5"/>
        <v>151250</v>
      </c>
      <c r="W22" s="40">
        <f t="shared" si="6"/>
        <v>151250</v>
      </c>
      <c r="X22" s="40">
        <f t="shared" si="7"/>
        <v>151250</v>
      </c>
      <c r="Y22" s="40">
        <f t="shared" si="8"/>
        <v>151250</v>
      </c>
      <c r="Z22" s="40">
        <f t="shared" si="9"/>
        <v>151250</v>
      </c>
      <c r="AA22" s="40">
        <f t="shared" si="10"/>
        <v>151250</v>
      </c>
      <c r="AB22" s="5"/>
      <c r="AC22" s="5"/>
      <c r="AD22" s="5"/>
      <c r="AE22" s="5"/>
      <c r="AF22" s="5"/>
      <c r="AG22" s="5"/>
      <c r="AH22" s="5"/>
      <c r="AI22" s="5"/>
      <c r="AJ22" s="5"/>
      <c r="AK22" s="5"/>
      <c r="AL22" s="5"/>
      <c r="AM22" s="5"/>
      <c r="AN22" s="45">
        <f>IFERROR((s_TR/(s_RadSpec!E22*s_IFS_far_adj*(1/1000)))*1,".")</f>
        <v>682.02705260304151</v>
      </c>
      <c r="AO22" s="45">
        <f>IFERROR(IF(A22="H-3",(s_TR/(s_RadSpec!F22*s_IFA_far_adj*(1/17)*1000))*1,(s_TR/(s_RadSpec!F22*s_IFA_far_adj*(1/s_PEF_wind)*1000))*1),".")</f>
        <v>59061.73372824442</v>
      </c>
      <c r="AP22" s="45">
        <f>IFERROR((s_TR/(s_RadSpec!G22*s_EF_far*(1/365)*s_ED_far*s_RadSpec!R22*((s_ET_far_o*(1/24)*s_RadSpec!W22)+(s_ET_far_i*(1/24)*s_RadSpec!AB22))))*1,".")</f>
        <v>52145648818.922874</v>
      </c>
      <c r="AQ22" s="45">
        <f>s_b2s!BC22</f>
        <v>21.775105411876723</v>
      </c>
      <c r="AR22" s="45">
        <f>IFERROR(((J22*s_RadSpec!AU22)/s_RadSpec!AJ22)*1,".")</f>
        <v>0.53822616801806289</v>
      </c>
      <c r="AS22" s="45">
        <f>IFERROR(((K22*s_RadSpec!AU22)/s_RadSpec!AK22)*1,".")</f>
        <v>2.1529046720722516E-2</v>
      </c>
      <c r="AT22" s="45">
        <f>IFERROR((G22/(s_RadSpec!AI22*((s_Q_p_beef*s_f_p_beef*s_f_s_beef*(s_RadSpec!BD22+s_R_es_past))+(s_Q_s_beef*s_f_p_beef))))*1,".")</f>
        <v>14.080263594834506</v>
      </c>
      <c r="AU22" s="45">
        <f>IFERROR(((H22*s_D_milk)/(s_RadSpec!AH22*((s_Q_p_dairy*s_f_p_dairy*s_f_s_dairy*(s_RadSpec!BD22+s_R_es_past))+(s_Q_s_dairy*s_f_p_dairy))))*1,".")</f>
        <v>64.880372511987417</v>
      </c>
      <c r="AV22" s="45" t="str">
        <f>IFERROR((I22/(s_RadSpec!AN22*((s_Q_p_swine*s_f_p_swine*s_f_s_swine*(s_RadSpec!BD22+s_R_es_past))+(s_Q_s_swine*s_f_p_swine))))*1,".")</f>
        <v>.</v>
      </c>
      <c r="AW22" s="45" t="str">
        <f>IFERROR((E22/(s_RadSpec!AL22*((s_Q_p_poultry*s_f_p_poultry*s_f_s_poultry*(s_RadSpec!BD22+s_R_es_past))+(s_Q_s_poultry*s_f_p_poultry))))*1,".")</f>
        <v>.</v>
      </c>
      <c r="AX22" s="45" t="str">
        <f>IFERROR((F22/(s_RadSpec!AM22*((s_Q_p_poultry*s_f_p_poultry*s_f_s_poultry*(s_RadSpec!BD22+s_R_es_past))+(s_Q_s_poultry*s_f_p_poultry))))*1,".")</f>
        <v>.</v>
      </c>
      <c r="AY22" s="45" t="str">
        <f>IFERROR((L22/(s_RadSpec!AQ22*((s_Q_p_goat*s_f_p_goat*s_f_s_goat*(s_RadSpec!BD22+s_R_es_past))+(s_Q_s_goat*s_f_p_goat))))*1,".")</f>
        <v>.</v>
      </c>
      <c r="AZ22" s="45" t="str">
        <f>IFERROR((N22*s_D_milk/(s_RadSpec!AR22*((s_Q_p_goat_milk*s_f_p_goat_milk*s_f_s_goat_milk*(s_RadSpec!BD22+s_R_es_past))+(s_Q_s_goat_milk*s_f_p_goat_milk))))*1,".")</f>
        <v>.</v>
      </c>
      <c r="BA22" s="45">
        <f>IFERROR((M22/(s_RadSpec!AO22*((s_Q_p_sheep*s_f_p_sheep*s_f_s_sheep*(s_RadSpec!BD22+s_R_es_past))+(s_Q_s_sheep*s_f_p_sheep))))*1,".")</f>
        <v>4.7872896222437324</v>
      </c>
      <c r="BB22" s="45" t="str">
        <f>IFERROR((O22*s_D_milk/(s_RadSpec!AP22*((s_Q_p_sheep_milk*s_f_p_sheep_milk*s_f_s_sheep_milk*(s_RadSpec!BD22+s_R_es_past))+(s_Q_s_sheep_milk*s_f_p_sheep_milk))))*1,".")</f>
        <v>.</v>
      </c>
      <c r="BC22" s="118">
        <f t="shared" si="11"/>
        <v>1.4662175000000001E-3</v>
      </c>
      <c r="BD22" s="118">
        <f t="shared" si="12"/>
        <v>1.6931436598207773E-5</v>
      </c>
      <c r="BE22" s="118">
        <f t="shared" si="13"/>
        <v>1.9177055471541376E-11</v>
      </c>
      <c r="BF22" s="118">
        <f t="shared" si="14"/>
        <v>4.5924002712499995E-2</v>
      </c>
      <c r="BG22" s="118">
        <f t="shared" si="15"/>
        <v>1.857955</v>
      </c>
      <c r="BH22" s="118">
        <f t="shared" si="15"/>
        <v>46.448874999999994</v>
      </c>
      <c r="BI22" s="118">
        <f t="shared" si="16"/>
        <v>7.102139766522983E-2</v>
      </c>
      <c r="BJ22" s="118">
        <f t="shared" si="17"/>
        <v>1.5412981789141826E-2</v>
      </c>
      <c r="BK22" s="118" t="str">
        <f t="shared" si="18"/>
        <v>.</v>
      </c>
      <c r="BL22" s="118" t="str">
        <f t="shared" si="19"/>
        <v>.</v>
      </c>
      <c r="BM22" s="118" t="str">
        <f t="shared" si="20"/>
        <v>.</v>
      </c>
      <c r="BN22" s="118" t="str">
        <f t="shared" si="21"/>
        <v>.</v>
      </c>
      <c r="BO22" s="118" t="str">
        <f t="shared" si="22"/>
        <v>.</v>
      </c>
      <c r="BP22" s="118">
        <f t="shared" si="23"/>
        <v>0.20888646372126421</v>
      </c>
      <c r="BQ22" s="118" t="str">
        <f t="shared" si="24"/>
        <v>.</v>
      </c>
      <c r="BR22" s="15">
        <f t="shared" si="46"/>
        <v>2.0555171335903698E-2</v>
      </c>
      <c r="BS22" s="40">
        <f t="shared" si="25"/>
        <v>302.5</v>
      </c>
      <c r="BT22" s="40">
        <f t="shared" si="26"/>
        <v>3.2362545583179352E-2</v>
      </c>
      <c r="BU22" s="40">
        <f>IFERROR((s_C*s_EF_far*(1/365)*s_ED_far*s_RadSpec!R22*((s_ET_far_o*(1/24)*s_RadSpec!W22)+(s_ET_far_i*(1/24)*s_RadSpec!AB22))),".")</f>
        <v>1.5701623114999418E-7</v>
      </c>
      <c r="BV22" s="40">
        <f>s_b2s!CC22</f>
        <v>14954.0875</v>
      </c>
      <c r="BW22" s="40">
        <f>IFERROR(((s_C*s_RadSpec!AJ22)/s_RadSpec!AU22)*s_IFFI_far_adj*s_CF_far_fish,0)</f>
        <v>605000</v>
      </c>
      <c r="BX22" s="40">
        <f>IFERROR(((s_C*s_RadSpec!AK22)/s_RadSpec!AU22)*s_IFSF_far_adj*s_CF_far_shellfish,0)</f>
        <v>15125000</v>
      </c>
      <c r="BY22" s="40">
        <f>(s_C*s_IFB_far_adj*s_CF_far_beef*s_RadSpec!AI22*((s_Q_p_beef*s_f_p_beef*s_f_s_beef*(s_RadSpec!$AT22+s_R_es_past))+(s_Q_s_beef*s_f_p_beef)))</f>
        <v>23126.472701149411</v>
      </c>
      <c r="BZ22" s="40">
        <f>(s_C*s_IFD_far_adj*s_CF_far_dairy*s_RadSpec!AH22*1/s_D_milk*((s_Q_p_dairy*s_f_p_dairy*s_f_s_dairy*(s_RadSpec!$AT22+s_R_es_past))+(s_Q_s_dairy*s_f_p_dairy)))</f>
        <v>5018.8804262917047</v>
      </c>
      <c r="CA22" s="40">
        <f>IFERROR((s_C*s_IFSW_far_adj*s_CF_far_swine*s_RadSpec!AN22*((s_Q_p_swine*s_f_p_swine*s_f_s_swine*(s_RadSpec!$AT22+s_R_es_past))+(s_Q_s_swine*s_f_p_swine))),0)</f>
        <v>0</v>
      </c>
      <c r="CB22" s="40">
        <f>IFERROR((s_C*s_IFP_far_adj*s_CF_far_poultry*s_RadSpec!AL22*((s_Q_p_poultry*s_f_p_poultry*s_f_s_poultry*(s_RadSpec!AT22+s_R_es_past))+(s_Q_s_poultry*s_f_p_poultry))),0)</f>
        <v>0</v>
      </c>
      <c r="CC22" s="40">
        <f>IFERROR((s_C*s_IFE_far_adj*s_CF_far_egg*s_RadSpec!AM22*((s_Q_p_egg*s_f_p_egg*s_f_s_egg*(s_RadSpec!$AT22+s_R_es_past))+(s_Q_s_egg*s_f_p_egg))),0)</f>
        <v>0</v>
      </c>
      <c r="CD22" s="40">
        <f>IFERROR((s_C*s_IFGO_far_adj*s_CF_far_goat*s_RadSpec!AQ22*((s_Q_p_goat*s_f_p_goat*s_f_s_goat*(s_RadSpec!$AT22+s_R_es_past))+(s_Q_s_goat*s_f_p_goat))),0)</f>
        <v>0</v>
      </c>
      <c r="CE22" s="40">
        <f>IFERROR((s_C*s_IFGM_far_adj*s_CF_far_goat_milk*s_RadSpec!AR22*1/s_D_milk*((s_Q_p_goat_milk*s_f_p_goat_milk*s_f_s_goat_milk*(s_RadSpec!$AT22+s_R_es_past))+(s_Q_s_goat_milk*s_f_p_goat_milk))),0)</f>
        <v>0</v>
      </c>
      <c r="CF22" s="40">
        <f>IFERROR((s_C*s_IFSH_far_adj*s_CF_far_sheep*s_RadSpec!AO22*((s_Q_p_sheep*s_f_p_sheep*s_f_s_sheep*(s_RadSpec!$AT22+s_R_es_past))+(s_Q_s_sheep*s_f_p_sheep))),0)</f>
        <v>68019.037356321787</v>
      </c>
      <c r="CG22" s="40">
        <f>IFERROR((s_C*s_IFSM_far_adj*s_CF_far_sheep_milk*s_RadSpec!AP22*1/s_D_milk*((s_Q_p_sheep_milk*s_f_p_sheep_milk*s_f_s_sheep_milk*(s_RadSpec!$AT22+s_R_es_past))+(s_Q_s_sheep_milk*s_f_p_sheep_milk))),0)</f>
        <v>0</v>
      </c>
      <c r="CH22" s="18"/>
      <c r="CI22" s="18"/>
      <c r="CJ22" s="18"/>
      <c r="CK22" s="18"/>
      <c r="CL22" s="18"/>
      <c r="CM22" s="18"/>
      <c r="CN22" s="18"/>
      <c r="CO22" s="18"/>
      <c r="CP22" s="18"/>
      <c r="CQ22" s="18"/>
      <c r="CR22" s="18"/>
      <c r="CS22" s="18"/>
      <c r="CT22" s="18"/>
      <c r="CU22" s="18"/>
      <c r="CV22" s="18"/>
      <c r="CW22" s="5"/>
      <c r="CX22" s="15">
        <f>IFERROR(s_TR/(s_RadSpec!I22*s_IFW_far_adj),".")</f>
        <v>15.902928524287749</v>
      </c>
      <c r="CY22" s="15" t="str">
        <f>IFERROR(IF(AND(s_RadSpec!C22=1,s_RadSpec!D22&lt;&gt;0),s_TR/(s_RadSpec!F22*s_IFA_far_adj*s_K*s_RadSpec!D22),"."),".")</f>
        <v>.</v>
      </c>
      <c r="CZ22" s="15">
        <f>IFERROR((s_TR/(s_RadSpec!M22*(1/8760)*s_DFA_far_adj)),".")</f>
        <v>469720066.28304535</v>
      </c>
      <c r="DA22" s="15">
        <f>s_b2w!BC22</f>
        <v>38.649753975149792</v>
      </c>
      <c r="DB22" s="15">
        <f>IFERROR(J22/(s_RadSpec!AJ22*(1/1000)),".")</f>
        <v>538.22616801806282</v>
      </c>
      <c r="DC22" s="15">
        <f>IFERROR(K22/(s_RadSpec!AK22*(1/1000)),".")</f>
        <v>21.529046720722516</v>
      </c>
      <c r="DD22" s="15">
        <f>IFERROR(G22/(s_RadSpec!AI22*s_Q_w_beef*(1/1000)),".")</f>
        <v>253282.90259673554</v>
      </c>
      <c r="DE22" s="15">
        <f>IFERROR((H22*s_D_milk)/(s_RadSpec!AH22*s_Q_w_dairy*(1/1000)),".")</f>
        <v>1167100.9538075889</v>
      </c>
      <c r="DF22" s="15" t="str">
        <f>IFERROR(I22/(s_RadSpec!AN22*s_Q_w_swine*(1/1000)),".")</f>
        <v>.</v>
      </c>
      <c r="DG22" s="15" t="str">
        <f>IFERROR(E22/(s_RadSpec!AL22*s_Q_w_poultry*(1/1000)),".")</f>
        <v>.</v>
      </c>
      <c r="DH22" s="15" t="str">
        <f>IFERROR(F22/(s_RadSpec!AM22*s_Q_w_poultry*(1/1000)),".")</f>
        <v>.</v>
      </c>
      <c r="DI22" s="15" t="str">
        <f>IFERROR(L22/(s_RadSpec!AQ22*s_Q_w_goat*(1/1000)),".")</f>
        <v>.</v>
      </c>
      <c r="DJ22" s="15" t="str">
        <f>IFERROR(N22*s_D_milk/(s_RadSpec!AR22*s_Q_w_goat_milk*(1/1000)),".")</f>
        <v>.</v>
      </c>
      <c r="DK22" s="15">
        <f>IFERROR(M22/(s_RadSpec!AO22*s_Q_w_sheep*(1/1000)),".")</f>
        <v>86116.186882890062</v>
      </c>
      <c r="DL22" s="15" t="str">
        <f>IFERROR(O22*s_D_milk/(s_RadSpec!AP22*s_Q_w_sheep_milk*(1/1000)),".")</f>
        <v>.</v>
      </c>
      <c r="DM22" s="118">
        <f t="shared" si="27"/>
        <v>6.2881499999999993E-2</v>
      </c>
      <c r="DN22" s="118" t="str">
        <f t="shared" si="28"/>
        <v>.</v>
      </c>
      <c r="DO22" s="118">
        <f t="shared" si="29"/>
        <v>2.1289275715068494E-9</v>
      </c>
      <c r="DP22" s="118">
        <f t="shared" si="30"/>
        <v>2.5873385911924795E-2</v>
      </c>
      <c r="DQ22" s="118">
        <f t="shared" si="31"/>
        <v>1.8579550000000001E-3</v>
      </c>
      <c r="DR22" s="118">
        <f t="shared" si="31"/>
        <v>4.6448875000000001E-2</v>
      </c>
      <c r="DS22" s="118">
        <f t="shared" si="32"/>
        <v>3.9481543749999991E-6</v>
      </c>
      <c r="DT22" s="118">
        <f t="shared" si="33"/>
        <v>8.5682390776699035E-7</v>
      </c>
      <c r="DU22" s="118" t="str">
        <f t="shared" si="34"/>
        <v>.</v>
      </c>
      <c r="DV22" s="118" t="str">
        <f t="shared" si="35"/>
        <v>.</v>
      </c>
      <c r="DW22" s="118" t="str">
        <f t="shared" si="36"/>
        <v>.</v>
      </c>
      <c r="DX22" s="118" t="str">
        <f t="shared" si="37"/>
        <v>.</v>
      </c>
      <c r="DY22" s="118" t="str">
        <f t="shared" si="38"/>
        <v>.</v>
      </c>
      <c r="DZ22" s="118">
        <f t="shared" si="39"/>
        <v>1.161221875E-5</v>
      </c>
      <c r="EA22" s="118" t="str">
        <f t="shared" si="40"/>
        <v>.</v>
      </c>
      <c r="EB22" s="15">
        <f t="shared" si="47"/>
        <v>7.2951094517342376</v>
      </c>
      <c r="EC22" s="40">
        <f t="shared" si="41"/>
        <v>27500</v>
      </c>
      <c r="ED22" s="40">
        <f>IFERROR(IF(s_RadSpec!D22&lt;&gt;"",s_C*s_IFA_far_adj*s_K*s_RadSpec!D22,0),".")</f>
        <v>0</v>
      </c>
      <c r="EE22" s="40">
        <f t="shared" si="42"/>
        <v>2.5114155251141552</v>
      </c>
      <c r="EF22" s="40">
        <f>s_b2w!CC22</f>
        <v>8425.0686785818289</v>
      </c>
      <c r="EG22" s="40">
        <f>IFERROR(s_C*s_RadSpec!AJ22*(1/1000)*s_IFFI_far_adj*s_CF_far_fish,0)</f>
        <v>605</v>
      </c>
      <c r="EH22" s="40">
        <f>IFERROR(s_C*s_RadSpec!AK22*(1/1000)*s_IFSF_far_adj*s_CF_far_shellfish,0)</f>
        <v>15125</v>
      </c>
      <c r="EI22" s="40">
        <f>(s_C*s_IFB_far_adj*s_CF_far_beef*s_RadSpec!AI22*s_Q_w_beef*(1/1000))</f>
        <v>1.285625</v>
      </c>
      <c r="EJ22" s="40">
        <f>(s_C*s_IFD_far_adj*s_CF_far_dairy*s_RadSpec!AH22*(1/s_D_milk)*s_Q_w_dairy*(1/1000))</f>
        <v>0.27900485436893208</v>
      </c>
      <c r="EK22" s="40">
        <f>IFERROR((s_C*s_IFSW_far_adj*s_CF_far_swine*s_RadSpec!AN22*s_Q_w_swine*(1/1000)),0)</f>
        <v>0</v>
      </c>
      <c r="EL22" s="40">
        <f>IFERROR((s_C*s_IFP_far_adj*s_CF_far_poultry*s_RadSpec!AL22*s_Q_w_poultry*(1/1000)),0)</f>
        <v>0</v>
      </c>
      <c r="EM22" s="40">
        <f>IFERROR((s_C*s_IFE_far_adj*s_CF_far_egg*s_RadSpec!AM22*s_Q_w_egg*(1/1000)),0)</f>
        <v>0</v>
      </c>
      <c r="EN22" s="40">
        <f>IFERROR((s_C*s_IFGO_far_adj*s_CF_far_goat*s_RadSpec!AQ22*s_Q_p_goat*(1/1000)),0)</f>
        <v>0</v>
      </c>
      <c r="EO22" s="40">
        <f>IFERROR((s_C*s_IFGM_far_adj*s_CF_far_goat_milk*s_RadSpec!AR22*(1/s_D_milk)*s_Q_p_goat_milk*(1/1000)),0)</f>
        <v>0</v>
      </c>
      <c r="EP22" s="40">
        <f>IFERROR((s_C*s_IFSH_far_adj*s_CF_far_sheep*s_RadSpec!AO22*s_Q_p_sheep*(1/1000)),0)</f>
        <v>3.78125</v>
      </c>
      <c r="EQ22" s="40">
        <f>IFERROR((s_C*s_IFSM_far_adj*s_CF_far_sheep_milk*s_RadSpec!AP22*(1/s_D_milk)*s_Q_p_sheep_milk*(1/1000)),0)</f>
        <v>0</v>
      </c>
      <c r="ER22" s="18"/>
      <c r="ES22" s="18"/>
      <c r="ET22" s="18"/>
      <c r="EU22" s="18"/>
      <c r="EV22" s="18"/>
      <c r="EW22" s="18"/>
      <c r="EX22" s="18"/>
      <c r="EY22" s="18"/>
      <c r="EZ22" s="18"/>
      <c r="FA22" s="18"/>
      <c r="FB22" s="18"/>
      <c r="FC22" s="18"/>
      <c r="FD22" s="18"/>
      <c r="FE22" s="18"/>
      <c r="FF22" s="18"/>
      <c r="FG22" s="5"/>
      <c r="FH22" s="15">
        <f>IFERROR((s_TR/(s_RadSpec!F22*s_IFA_far_adj)),".")</f>
        <v>0.19064234057161925</v>
      </c>
      <c r="FI22" s="15">
        <f>IFERROR((s_TR/(s_RadSpec!K22*s_EF_far*(1/365)*s_ED_far*s_ET_far*(1/24)*s_GSF_a)),".")</f>
        <v>1726667.1803619796</v>
      </c>
      <c r="FJ22" s="15">
        <f t="shared" ref="FJ22:FJ23" si="56">IFERROR(IF(AND(ISNUMBER(FH22),ISNUMBER(FI22)),1/((1/FH22)+(1/FI22)),IF(AND(ISNUMBER(FH22),NOT(ISNUMBER(FI22))),1/((1/FH22)),IF(AND(NOT(ISNUMBER(FH22)),ISNUMBER(FI22)),1/((1/FI22)),IF(AND(NOT(ISNUMBER(FH22)),NOT(ISNUMBER(FI22))),".")))),".")</f>
        <v>0.19064231952268842</v>
      </c>
      <c r="FK22" s="40">
        <f t="shared" si="44"/>
        <v>10026.041666666666</v>
      </c>
      <c r="FL22" s="40">
        <f t="shared" si="45"/>
        <v>1.5696347031963471</v>
      </c>
      <c r="FM22" s="120"/>
      <c r="FN22" s="120"/>
      <c r="FO22" s="120"/>
    </row>
    <row r="23" spans="1:171" customFormat="1" x14ac:dyDescent="0.25">
      <c r="A23" s="46" t="s">
        <v>33</v>
      </c>
      <c r="B23" s="42" t="s">
        <v>349</v>
      </c>
      <c r="C23" s="249"/>
      <c r="D23" s="15">
        <f>s_dir!AC23</f>
        <v>0.16069342426438568</v>
      </c>
      <c r="E23" s="15">
        <f>IFERROR(s_TR/(s_RadSpec!H23*s_IFP_far_adj*s_CF_far_poultry),".")</f>
        <v>0.64277369705754273</v>
      </c>
      <c r="F23" s="15">
        <f>IFERROR(s_TR/(s_RadSpec!H23*s_IFE_far_adj*s_CF_far_egg),".")</f>
        <v>0.64277369705754273</v>
      </c>
      <c r="G23" s="15">
        <f>IFERROR(s_TR/(s_RadSpec!H23*s_IFB_far_adj*s_CF_far_beef),".")</f>
        <v>0.64277369705754273</v>
      </c>
      <c r="H23" s="15">
        <f>IFERROR(s_TR/(s_RadSpec!H23*s_IFD_far_adj*s_CF_far_dairy),".")</f>
        <v>0.64277369705754273</v>
      </c>
      <c r="I23" s="15">
        <f>IFERROR(s_TR/(s_RadSpec!H23*s_IFSW_far_adj*s_CF_far_swine),".")</f>
        <v>0.64277369705754273</v>
      </c>
      <c r="J23" s="15">
        <f>IFERROR(s_TR/(s_RadSpec!H23*s_IFFI_far_adj*s_CF_far_fish),".")</f>
        <v>0.64277369705754273</v>
      </c>
      <c r="K23" s="15">
        <f>IFERROR(s_TR/(s_RadSpec!H23*s_IFSF_far_adj*s_CF_far_shellfish),".")</f>
        <v>0.64277369705754273</v>
      </c>
      <c r="L23" s="15">
        <f>IFERROR(s_TR/(s_RadSpec!H23*s_IFGO_far_adj*s_CF_far_goat),".")</f>
        <v>0.64277369705754273</v>
      </c>
      <c r="M23" s="15">
        <f>IFERROR(s_TR/(s_RadSpec!H23*s_IFSH_far_adj*s_CF_far_sheep),".")</f>
        <v>0.64277369705754273</v>
      </c>
      <c r="N23" s="15">
        <f>IFERROR(s_TR/(s_RadSpec!H23*s_IFGM_far_adj*s_CF_far_goat_milk),".")</f>
        <v>0.64277369705754273</v>
      </c>
      <c r="O23" s="15">
        <f>IFERROR(s_TR/(s_RadSpec!H23*s_IFSM_far_adj*s_CF_far_sheep_milk),".")</f>
        <v>0.64277369705754273</v>
      </c>
      <c r="P23" s="40">
        <f>s_dir!BC23</f>
        <v>605000</v>
      </c>
      <c r="Q23" s="40">
        <f t="shared" si="0"/>
        <v>151250</v>
      </c>
      <c r="R23" s="40">
        <f t="shared" si="1"/>
        <v>151250</v>
      </c>
      <c r="S23" s="40">
        <f t="shared" si="2"/>
        <v>151250</v>
      </c>
      <c r="T23" s="40">
        <f t="shared" si="3"/>
        <v>151250</v>
      </c>
      <c r="U23" s="40">
        <f t="shared" si="4"/>
        <v>151250</v>
      </c>
      <c r="V23" s="40">
        <f t="shared" si="5"/>
        <v>151250</v>
      </c>
      <c r="W23" s="40">
        <f t="shared" si="6"/>
        <v>151250</v>
      </c>
      <c r="X23" s="40">
        <f t="shared" si="7"/>
        <v>151250</v>
      </c>
      <c r="Y23" s="40">
        <f t="shared" si="8"/>
        <v>151250</v>
      </c>
      <c r="Z23" s="40">
        <f t="shared" si="9"/>
        <v>151250</v>
      </c>
      <c r="AA23" s="40">
        <f t="shared" si="10"/>
        <v>151250</v>
      </c>
      <c r="AB23" s="5"/>
      <c r="AC23" s="5"/>
      <c r="AD23" s="5"/>
      <c r="AE23" s="5"/>
      <c r="AF23" s="5"/>
      <c r="AG23" s="5"/>
      <c r="AH23" s="5"/>
      <c r="AI23" s="5"/>
      <c r="AJ23" s="5"/>
      <c r="AK23" s="5"/>
      <c r="AL23" s="5"/>
      <c r="AM23" s="5"/>
      <c r="AN23" s="45">
        <f>IFERROR((s_TR/(s_RadSpec!E23*s_IFS_far_adj*(1/1000)))*1,".")</f>
        <v>244.11350789890287</v>
      </c>
      <c r="AO23" s="45">
        <f>IFERROR(IF(A23="H-3",(s_TR/(s_RadSpec!F23*s_IFA_far_adj*(1/17)*1000))*1,(s_TR/(s_RadSpec!F23*s_IFA_far_adj*(1/s_PEF_wind)*1000))*1),".")</f>
        <v>54870.756564873598</v>
      </c>
      <c r="AP23" s="45">
        <f>IFERROR((s_TR/(s_RadSpec!G23*s_EF_far*(1/365)*s_ED_far*s_RadSpec!R23*((s_ET_far_o*(1/24)*s_RadSpec!W23)+(s_ET_far_i*(1/24)*s_RadSpec!AB23))))*1,".")</f>
        <v>2918.4753166426667</v>
      </c>
      <c r="AQ23" s="45">
        <f>s_b2s!BC23</f>
        <v>6.5012005366394536</v>
      </c>
      <c r="AR23" s="45">
        <f>IFERROR(((J23*s_RadSpec!AU23)/s_RadSpec!AJ23)*1,".")</f>
        <v>0.16069342426438568</v>
      </c>
      <c r="AS23" s="45">
        <f>IFERROR(((K23*s_RadSpec!AU23)/s_RadSpec!AK23)*1,".")</f>
        <v>6.4277369705754272E-3</v>
      </c>
      <c r="AT23" s="45">
        <f>IFERROR((G23/(s_RadSpec!AI23*((s_Q_p_beef*s_f_p_beef*s_f_s_beef*(s_RadSpec!BD23+s_R_es_past))+(s_Q_s_beef*s_f_p_beef))))*1,".")</f>
        <v>4.2038197063714531</v>
      </c>
      <c r="AU23" s="45">
        <f>IFERROR(((H23*s_D_milk)/(s_RadSpec!AH23*((s_Q_p_dairy*s_f_p_dairy*s_f_s_dairy*(s_RadSpec!BD23+s_R_es_past))+(s_Q_s_dairy*s_f_p_dairy))))*1,".")</f>
        <v>19.370758699622144</v>
      </c>
      <c r="AV23" s="45" t="str">
        <f>IFERROR((I23/(s_RadSpec!AN23*((s_Q_p_swine*s_f_p_swine*s_f_s_swine*(s_RadSpec!BD23+s_R_es_past))+(s_Q_s_swine*s_f_p_swine))))*1,".")</f>
        <v>.</v>
      </c>
      <c r="AW23" s="45" t="str">
        <f>IFERROR((E23/(s_RadSpec!AL23*((s_Q_p_poultry*s_f_p_poultry*s_f_s_poultry*(s_RadSpec!BD23+s_R_es_past))+(s_Q_s_poultry*s_f_p_poultry))))*1,".")</f>
        <v>.</v>
      </c>
      <c r="AX23" s="45" t="str">
        <f>IFERROR((F23/(s_RadSpec!AM23*((s_Q_p_poultry*s_f_p_poultry*s_f_s_poultry*(s_RadSpec!BD23+s_R_es_past))+(s_Q_s_poultry*s_f_p_poultry))))*1,".")</f>
        <v>.</v>
      </c>
      <c r="AY23" s="45" t="str">
        <f>IFERROR((L23/(s_RadSpec!AQ23*((s_Q_p_goat*s_f_p_goat*s_f_s_goat*(s_RadSpec!BD23+s_R_es_past))+(s_Q_s_goat*s_f_p_goat))))*1,".")</f>
        <v>.</v>
      </c>
      <c r="AZ23" s="45" t="str">
        <f>IFERROR((N23*s_D_milk/(s_RadSpec!AR23*((s_Q_p_goat_milk*s_f_p_goat_milk*s_f_s_goat_milk*(s_RadSpec!BD23+s_R_es_past))+(s_Q_s_goat_milk*s_f_p_goat_milk))))*1,".")</f>
        <v>.</v>
      </c>
      <c r="BA23" s="45">
        <f>IFERROR((M23/(s_RadSpec!AO23*((s_Q_p_sheep*s_f_p_sheep*s_f_s_sheep*(s_RadSpec!BD23+s_R_es_past))+(s_Q_s_sheep*s_f_p_sheep))))*1,".")</f>
        <v>1.429298700166294</v>
      </c>
      <c r="BB23" s="45" t="str">
        <f>IFERROR((O23*s_D_milk/(s_RadSpec!AP23*((s_Q_p_sheep_milk*s_f_p_sheep_milk*s_f_s_sheep_milk*(s_RadSpec!BD23+s_R_es_past))+(s_Q_s_sheep_milk*s_f_p_sheep_milk))))*1,".")</f>
        <v>.</v>
      </c>
      <c r="BC23" s="118">
        <f t="shared" si="11"/>
        <v>4.0964549999999997E-3</v>
      </c>
      <c r="BD23" s="118">
        <f t="shared" si="12"/>
        <v>1.8224643919711619E-5</v>
      </c>
      <c r="BE23" s="118">
        <f t="shared" si="13"/>
        <v>3.4264466596564273E-4</v>
      </c>
      <c r="BF23" s="118">
        <f t="shared" si="14"/>
        <v>0.15381774402499998</v>
      </c>
      <c r="BG23" s="118">
        <f t="shared" si="15"/>
        <v>6.2230299999999996</v>
      </c>
      <c r="BH23" s="118">
        <f t="shared" si="15"/>
        <v>155.57575</v>
      </c>
      <c r="BI23" s="118">
        <f t="shared" si="16"/>
        <v>0.23787889820402283</v>
      </c>
      <c r="BJ23" s="118">
        <f t="shared" si="17"/>
        <v>5.1624204064836476E-2</v>
      </c>
      <c r="BK23" s="118" t="str">
        <f t="shared" si="18"/>
        <v>.</v>
      </c>
      <c r="BL23" s="118" t="str">
        <f t="shared" si="19"/>
        <v>.</v>
      </c>
      <c r="BM23" s="118" t="str">
        <f t="shared" si="20"/>
        <v>.</v>
      </c>
      <c r="BN23" s="118" t="str">
        <f t="shared" si="21"/>
        <v>.</v>
      </c>
      <c r="BO23" s="118" t="str">
        <f t="shared" si="22"/>
        <v>.</v>
      </c>
      <c r="BP23" s="118">
        <f t="shared" si="23"/>
        <v>0.69964381824712596</v>
      </c>
      <c r="BQ23" s="118" t="str">
        <f t="shared" si="24"/>
        <v>.</v>
      </c>
      <c r="BR23" s="15">
        <f t="shared" si="46"/>
        <v>6.1369948350709158E-3</v>
      </c>
      <c r="BS23" s="40">
        <f t="shared" si="25"/>
        <v>302.5</v>
      </c>
      <c r="BT23" s="40">
        <f t="shared" si="26"/>
        <v>3.2362545583179352E-2</v>
      </c>
      <c r="BU23" s="40">
        <f>IFERROR((s_C*s_EF_far*(1/365)*s_ED_far*s_RadSpec!R23*((s_ET_far_o*(1/24)*s_RadSpec!W23)+(s_ET_far_i*(1/24)*s_RadSpec!AB23))),".")</f>
        <v>0.68563742511542736</v>
      </c>
      <c r="BV23" s="40">
        <f>s_b2s!CC23</f>
        <v>14954.0875</v>
      </c>
      <c r="BW23" s="40">
        <f>IFERROR(((s_C*s_RadSpec!AJ23)/s_RadSpec!AU23)*s_IFFI_far_adj*s_CF_far_fish,0)</f>
        <v>605000</v>
      </c>
      <c r="BX23" s="40">
        <f>IFERROR(((s_C*s_RadSpec!AK23)/s_RadSpec!AU23)*s_IFSF_far_adj*s_CF_far_shellfish,0)</f>
        <v>15125000</v>
      </c>
      <c r="BY23" s="40">
        <f>(s_C*s_IFB_far_adj*s_CF_far_beef*s_RadSpec!AI23*((s_Q_p_beef*s_f_p_beef*s_f_s_beef*(s_RadSpec!$AT23+s_R_es_past))+(s_Q_s_beef*s_f_p_beef)))</f>
        <v>23126.472701149411</v>
      </c>
      <c r="BZ23" s="40">
        <f>(s_C*s_IFD_far_adj*s_CF_far_dairy*s_RadSpec!AH23*1/s_D_milk*((s_Q_p_dairy*s_f_p_dairy*s_f_s_dairy*(s_RadSpec!$AT23+s_R_es_past))+(s_Q_s_dairy*s_f_p_dairy)))</f>
        <v>5018.8804262917047</v>
      </c>
      <c r="CA23" s="40">
        <f>IFERROR((s_C*s_IFSW_far_adj*s_CF_far_swine*s_RadSpec!AN23*((s_Q_p_swine*s_f_p_swine*s_f_s_swine*(s_RadSpec!$AT23+s_R_es_past))+(s_Q_s_swine*s_f_p_swine))),0)</f>
        <v>0</v>
      </c>
      <c r="CB23" s="40">
        <f>IFERROR((s_C*s_IFP_far_adj*s_CF_far_poultry*s_RadSpec!AL23*((s_Q_p_poultry*s_f_p_poultry*s_f_s_poultry*(s_RadSpec!AT23+s_R_es_past))+(s_Q_s_poultry*s_f_p_poultry))),0)</f>
        <v>0</v>
      </c>
      <c r="CC23" s="40">
        <f>IFERROR((s_C*s_IFE_far_adj*s_CF_far_egg*s_RadSpec!AM23*((s_Q_p_egg*s_f_p_egg*s_f_s_egg*(s_RadSpec!$AT23+s_R_es_past))+(s_Q_s_egg*s_f_p_egg))),0)</f>
        <v>0</v>
      </c>
      <c r="CD23" s="40">
        <f>IFERROR((s_C*s_IFGO_far_adj*s_CF_far_goat*s_RadSpec!AQ23*((s_Q_p_goat*s_f_p_goat*s_f_s_goat*(s_RadSpec!$AT23+s_R_es_past))+(s_Q_s_goat*s_f_p_goat))),0)</f>
        <v>0</v>
      </c>
      <c r="CE23" s="40">
        <f>IFERROR((s_C*s_IFGM_far_adj*s_CF_far_goat_milk*s_RadSpec!AR23*1/s_D_milk*((s_Q_p_goat_milk*s_f_p_goat_milk*s_f_s_goat_milk*(s_RadSpec!$AT23+s_R_es_past))+(s_Q_s_goat_milk*s_f_p_goat_milk))),0)</f>
        <v>0</v>
      </c>
      <c r="CF23" s="40">
        <f>IFERROR((s_C*s_IFSH_far_adj*s_CF_far_sheep*s_RadSpec!AO23*((s_Q_p_sheep*s_f_p_sheep*s_f_s_sheep*(s_RadSpec!$AT23+s_R_es_past))+(s_Q_s_sheep*s_f_p_sheep))),0)</f>
        <v>68019.037356321787</v>
      </c>
      <c r="CG23" s="40">
        <f>IFERROR((s_C*s_IFSM_far_adj*s_CF_far_sheep_milk*s_RadSpec!AP23*1/s_D_milk*((s_Q_p_sheep_milk*s_f_p_sheep_milk*s_f_s_sheep_milk*(s_RadSpec!$AT23+s_R_es_past))+(s_Q_s_sheep_milk*s_f_p_sheep_milk))),0)</f>
        <v>0</v>
      </c>
      <c r="CH23" s="18"/>
      <c r="CI23" s="18"/>
      <c r="CJ23" s="18"/>
      <c r="CK23" s="18"/>
      <c r="CL23" s="18"/>
      <c r="CM23" s="18"/>
      <c r="CN23" s="18"/>
      <c r="CO23" s="18"/>
      <c r="CP23" s="18"/>
      <c r="CQ23" s="18"/>
      <c r="CR23" s="18"/>
      <c r="CS23" s="18"/>
      <c r="CT23" s="18"/>
      <c r="CU23" s="18"/>
      <c r="CV23" s="18"/>
      <c r="CW23" s="5"/>
      <c r="CX23" s="15">
        <f>IFERROR(s_TR/(s_RadSpec!I23*s_IFW_far_adj),".")</f>
        <v>4.7250047250047249</v>
      </c>
      <c r="CY23" s="15" t="str">
        <f>IFERROR(IF(AND(s_RadSpec!C23=1,s_RadSpec!D23&lt;&gt;0),s_TR/(s_RadSpec!F23*s_IFA_far_adj*s_K*s_RadSpec!D23),"."),".")</f>
        <v>.</v>
      </c>
      <c r="CZ23" s="15">
        <f>IFERROR((s_TR/(s_RadSpec!M23*(1/8760)*s_DFA_far_adj)),".")</f>
        <v>317520268.2695446</v>
      </c>
      <c r="DA23" s="15">
        <f>s_b2w!BC23</f>
        <v>11.539315035746162</v>
      </c>
      <c r="DB23" s="15">
        <f>IFERROR(J23/(s_RadSpec!AJ23*(1/1000)),".")</f>
        <v>160.69342426438567</v>
      </c>
      <c r="DC23" s="15">
        <f>IFERROR(K23/(s_RadSpec!AK23*(1/1000)),".")</f>
        <v>6.4277369705754266</v>
      </c>
      <c r="DD23" s="15">
        <f>IFERROR(G23/(s_RadSpec!AI23*s_Q_w_beef*(1/1000)),".")</f>
        <v>75620.434947946225</v>
      </c>
      <c r="DE23" s="15">
        <f>IFERROR((H23*s_D_milk)/(s_RadSpec!AH23*s_Q_w_dairy*(1/1000)),".")</f>
        <v>348451.00419435202</v>
      </c>
      <c r="DF23" s="15" t="str">
        <f>IFERROR(I23/(s_RadSpec!AN23*s_Q_w_swine*(1/1000)),".")</f>
        <v>.</v>
      </c>
      <c r="DG23" s="15" t="str">
        <f>IFERROR(E23/(s_RadSpec!AL23*s_Q_w_poultry*(1/1000)),".")</f>
        <v>.</v>
      </c>
      <c r="DH23" s="15" t="str">
        <f>IFERROR(F23/(s_RadSpec!AM23*s_Q_w_poultry*(1/1000)),".")</f>
        <v>.</v>
      </c>
      <c r="DI23" s="15" t="str">
        <f>IFERROR(L23/(s_RadSpec!AQ23*s_Q_w_goat*(1/1000)),".")</f>
        <v>.</v>
      </c>
      <c r="DJ23" s="15" t="str">
        <f>IFERROR(N23*s_D_milk/(s_RadSpec!AR23*s_Q_w_goat_milk*(1/1000)),".")</f>
        <v>.</v>
      </c>
      <c r="DK23" s="15">
        <f>IFERROR(M23/(s_RadSpec!AO23*s_Q_w_sheep*(1/1000)),".")</f>
        <v>25710.947882301709</v>
      </c>
      <c r="DL23" s="15" t="str">
        <f>IFERROR(O23*s_D_milk/(s_RadSpec!AP23*s_Q_w_sheep_milk*(1/1000)),".")</f>
        <v>.</v>
      </c>
      <c r="DM23" s="118">
        <f t="shared" si="27"/>
        <v>0.21163999999999999</v>
      </c>
      <c r="DN23" s="118" t="str">
        <f t="shared" si="28"/>
        <v>.</v>
      </c>
      <c r="DO23" s="118">
        <f t="shared" si="29"/>
        <v>3.149405250410959E-9</v>
      </c>
      <c r="DP23" s="118">
        <f t="shared" si="30"/>
        <v>8.6660256427892685E-2</v>
      </c>
      <c r="DQ23" s="118">
        <f t="shared" si="31"/>
        <v>6.2230300000000001E-3</v>
      </c>
      <c r="DR23" s="118">
        <f t="shared" si="31"/>
        <v>0.15557575000000001</v>
      </c>
      <c r="DS23" s="118">
        <f t="shared" si="32"/>
        <v>1.3223938749999996E-5</v>
      </c>
      <c r="DT23" s="118">
        <f t="shared" si="33"/>
        <v>2.8698439320388358E-6</v>
      </c>
      <c r="DU23" s="118" t="str">
        <f t="shared" si="34"/>
        <v>.</v>
      </c>
      <c r="DV23" s="118" t="str">
        <f t="shared" si="35"/>
        <v>.</v>
      </c>
      <c r="DW23" s="118" t="str">
        <f t="shared" si="36"/>
        <v>.</v>
      </c>
      <c r="DX23" s="118" t="str">
        <f t="shared" si="37"/>
        <v>.</v>
      </c>
      <c r="DY23" s="118" t="str">
        <f t="shared" si="38"/>
        <v>.</v>
      </c>
      <c r="DZ23" s="118">
        <f t="shared" si="39"/>
        <v>3.8893937499999996E-5</v>
      </c>
      <c r="EA23" s="118" t="str">
        <f t="shared" si="40"/>
        <v>.</v>
      </c>
      <c r="EB23" s="15">
        <f>IFERROR(1/(SUMIF(DM23:EA23,"&lt;&gt;0")),".")</f>
        <v>2.1731853698490418</v>
      </c>
      <c r="EC23" s="40">
        <f t="shared" si="41"/>
        <v>27500</v>
      </c>
      <c r="ED23" s="40">
        <f>IFERROR(IF(s_RadSpec!D23&lt;&gt;"",s_C*s_IFA_far_adj*s_K*s_RadSpec!D23,0),".")</f>
        <v>0</v>
      </c>
      <c r="EE23" s="40">
        <f t="shared" si="42"/>
        <v>2.5114155251141552</v>
      </c>
      <c r="EF23" s="40">
        <f>s_b2w!CC23</f>
        <v>8425.0686785818289</v>
      </c>
      <c r="EG23" s="40">
        <f>IFERROR(s_C*s_RadSpec!AJ23*(1/1000)*s_IFFI_far_adj*s_CF_far_fish,0)</f>
        <v>605</v>
      </c>
      <c r="EH23" s="40">
        <f>IFERROR(s_C*s_RadSpec!AK23*(1/1000)*s_IFSF_far_adj*s_CF_far_shellfish,0)</f>
        <v>15125</v>
      </c>
      <c r="EI23" s="40">
        <f>(s_C*s_IFB_far_adj*s_CF_far_beef*s_RadSpec!AI23*s_Q_w_beef*(1/1000))</f>
        <v>1.285625</v>
      </c>
      <c r="EJ23" s="40">
        <f>(s_C*s_IFD_far_adj*s_CF_far_dairy*s_RadSpec!AH23*(1/s_D_milk)*s_Q_w_dairy*(1/1000))</f>
        <v>0.27900485436893208</v>
      </c>
      <c r="EK23" s="40">
        <f>IFERROR((s_C*s_IFSW_far_adj*s_CF_far_swine*s_RadSpec!AN23*s_Q_w_swine*(1/1000)),0)</f>
        <v>0</v>
      </c>
      <c r="EL23" s="40">
        <f>IFERROR((s_C*s_IFP_far_adj*s_CF_far_poultry*s_RadSpec!AL23*s_Q_w_poultry*(1/1000)),0)</f>
        <v>0</v>
      </c>
      <c r="EM23" s="40">
        <f>IFERROR((s_C*s_IFE_far_adj*s_CF_far_egg*s_RadSpec!AM23*s_Q_w_egg*(1/1000)),0)</f>
        <v>0</v>
      </c>
      <c r="EN23" s="40">
        <f>IFERROR((s_C*s_IFGO_far_adj*s_CF_far_goat*s_RadSpec!AQ23*s_Q_p_goat*(1/1000)),0)</f>
        <v>0</v>
      </c>
      <c r="EO23" s="40">
        <f>IFERROR((s_C*s_IFGM_far_adj*s_CF_far_goat_milk*s_RadSpec!AR23*(1/s_D_milk)*s_Q_p_goat_milk*(1/1000)),0)</f>
        <v>0</v>
      </c>
      <c r="EP23" s="40">
        <f>IFERROR((s_C*s_IFSH_far_adj*s_CF_far_sheep*s_RadSpec!AO23*s_Q_p_sheep*(1/1000)),0)</f>
        <v>3.78125</v>
      </c>
      <c r="EQ23" s="40">
        <f>IFERROR((s_C*s_IFSM_far_adj*s_CF_far_sheep_milk*s_RadSpec!AP23*(1/s_D_milk)*s_Q_p_sheep_milk*(1/1000)),0)</f>
        <v>0</v>
      </c>
      <c r="ER23" s="18"/>
      <c r="ES23" s="18"/>
      <c r="ET23" s="18"/>
      <c r="EU23" s="18"/>
      <c r="EV23" s="18"/>
      <c r="EW23" s="18"/>
      <c r="EX23" s="18"/>
      <c r="EY23" s="18"/>
      <c r="EZ23" s="18"/>
      <c r="FA23" s="18"/>
      <c r="FB23" s="18"/>
      <c r="FC23" s="18"/>
      <c r="FD23" s="18"/>
      <c r="FE23" s="18"/>
      <c r="FF23" s="18"/>
      <c r="FG23" s="5"/>
      <c r="FH23" s="15">
        <f>IFERROR((s_TR/(s_RadSpec!F23*s_IFA_far_adj)),".")</f>
        <v>0.17711450037337031</v>
      </c>
      <c r="FI23" s="15">
        <f>IFERROR((s_TR/(s_RadSpec!K23*s_EF_far*(1/365)*s_ED_far*s_ET_far*(1/24)*s_GSF_a)),".")</f>
        <v>1118087.7643327571</v>
      </c>
      <c r="FJ23" s="15">
        <f t="shared" si="56"/>
        <v>0.17711447231694907</v>
      </c>
      <c r="FK23" s="40">
        <f t="shared" si="44"/>
        <v>10026.041666666666</v>
      </c>
      <c r="FL23" s="40">
        <f t="shared" si="45"/>
        <v>1.5696347031963471</v>
      </c>
      <c r="FM23" s="120"/>
      <c r="FN23" s="120"/>
      <c r="FO23" s="120"/>
    </row>
    <row r="24" spans="1:171" customFormat="1" x14ac:dyDescent="0.25">
      <c r="A24" s="44" t="s">
        <v>34</v>
      </c>
      <c r="B24" s="42" t="s">
        <v>1071</v>
      </c>
      <c r="C24" s="249"/>
      <c r="D24" s="15" t="str">
        <f>s_dir!AC24</f>
        <v>.</v>
      </c>
      <c r="E24" s="15" t="str">
        <f>IFERROR(s_TR/(s_RadSpec!H24*s_IFP_far_adj*s_CF_far_poultry),".")</f>
        <v>.</v>
      </c>
      <c r="F24" s="15" t="str">
        <f>IFERROR(s_TR/(s_RadSpec!H24*s_IFE_far_adj*s_CF_far_egg),".")</f>
        <v>.</v>
      </c>
      <c r="G24" s="15" t="str">
        <f>IFERROR(s_TR/(s_RadSpec!H24*s_IFB_far_adj*s_CF_far_beef),".")</f>
        <v>.</v>
      </c>
      <c r="H24" s="15" t="str">
        <f>IFERROR(s_TR/(s_RadSpec!H24*s_IFD_far_adj*s_CF_far_dairy),".")</f>
        <v>.</v>
      </c>
      <c r="I24" s="15" t="str">
        <f>IFERROR(s_TR/(s_RadSpec!H24*s_IFSW_far_adj*s_CF_far_swine),".")</f>
        <v>.</v>
      </c>
      <c r="J24" s="15" t="str">
        <f>IFERROR(s_TR/(s_RadSpec!H24*s_IFFI_far_adj*s_CF_far_fish),".")</f>
        <v>.</v>
      </c>
      <c r="K24" s="15" t="str">
        <f>IFERROR(s_TR/(s_RadSpec!H24*s_IFSF_far_adj*s_CF_far_shellfish),".")</f>
        <v>.</v>
      </c>
      <c r="L24" s="15" t="str">
        <f>IFERROR(s_TR/(s_RadSpec!H24*s_IFGO_far_adj*s_CF_far_goat),".")</f>
        <v>.</v>
      </c>
      <c r="M24" s="15" t="str">
        <f>IFERROR(s_TR/(s_RadSpec!H24*s_IFSH_far_adj*s_CF_far_sheep),".")</f>
        <v>.</v>
      </c>
      <c r="N24" s="15" t="str">
        <f>IFERROR(s_TR/(s_RadSpec!H24*s_IFGM_far_adj*s_CF_far_goat_milk),".")</f>
        <v>.</v>
      </c>
      <c r="O24" s="15" t="str">
        <f>IFERROR(s_TR/(s_RadSpec!H24*s_IFSM_far_adj*s_CF_far_sheep_milk),".")</f>
        <v>.</v>
      </c>
      <c r="P24" s="40">
        <f>s_dir!BC24</f>
        <v>605000</v>
      </c>
      <c r="Q24" s="40">
        <f t="shared" si="0"/>
        <v>151250</v>
      </c>
      <c r="R24" s="40">
        <f t="shared" si="1"/>
        <v>151250</v>
      </c>
      <c r="S24" s="40">
        <f t="shared" si="2"/>
        <v>151250</v>
      </c>
      <c r="T24" s="40">
        <f t="shared" si="3"/>
        <v>151250</v>
      </c>
      <c r="U24" s="40">
        <f t="shared" si="4"/>
        <v>151250</v>
      </c>
      <c r="V24" s="40">
        <f t="shared" si="5"/>
        <v>151250</v>
      </c>
      <c r="W24" s="40">
        <f t="shared" si="6"/>
        <v>151250</v>
      </c>
      <c r="X24" s="40">
        <f t="shared" si="7"/>
        <v>151250</v>
      </c>
      <c r="Y24" s="40">
        <f t="shared" si="8"/>
        <v>151250</v>
      </c>
      <c r="Z24" s="40">
        <f t="shared" si="9"/>
        <v>151250</v>
      </c>
      <c r="AA24" s="40">
        <f t="shared" si="10"/>
        <v>151250</v>
      </c>
      <c r="AB24" s="5"/>
      <c r="AC24" s="5"/>
      <c r="AD24" s="5"/>
      <c r="AE24" s="5"/>
      <c r="AF24" s="5"/>
      <c r="AG24" s="5"/>
      <c r="AH24" s="5"/>
      <c r="AI24" s="5"/>
      <c r="AJ24" s="5"/>
      <c r="AK24" s="5"/>
      <c r="AL24" s="5"/>
      <c r="AM24" s="5"/>
      <c r="AN24" s="45" t="str">
        <f>IFERROR((s_TR/(s_RadSpec!E24*s_IFS_far_adj*(1/1000)))*1,".")</f>
        <v>.</v>
      </c>
      <c r="AO24" s="45" t="str">
        <f>IFERROR(IF(A24="H-3",(s_TR/(s_RadSpec!F24*s_IFA_far_adj*(1/17)*1000))*1,(s_TR/(s_RadSpec!F24*s_IFA_far_adj*(1/s_PEF_wind)*1000))*1),".")</f>
        <v>.</v>
      </c>
      <c r="AP24" s="45">
        <f>IFERROR((s_TR/(s_RadSpec!G24*s_EF_far*(1/365)*s_ED_far*s_RadSpec!R24*((s_ET_far_o*(1/24)*s_RadSpec!W24)+(s_ET_far_i*(1/24)*s_RadSpec!AB24))))*1,".")</f>
        <v>28232.42399314143</v>
      </c>
      <c r="AQ24" s="45" t="str">
        <f>s_b2s!BC24</f>
        <v>.</v>
      </c>
      <c r="AR24" s="45" t="str">
        <f>IFERROR(((J24*s_RadSpec!AU24)/s_RadSpec!AJ24)*1,".")</f>
        <v>.</v>
      </c>
      <c r="AS24" s="45" t="str">
        <f>IFERROR(((K24*s_RadSpec!AU24)/s_RadSpec!AK24)*1,".")</f>
        <v>.</v>
      </c>
      <c r="AT24" s="45" t="str">
        <f>IFERROR((G24/(s_RadSpec!AI24*((s_Q_p_beef*s_f_p_beef*s_f_s_beef*(s_RadSpec!BD24+s_R_es_past))+(s_Q_s_beef*s_f_p_beef))))*1,".")</f>
        <v>.</v>
      </c>
      <c r="AU24" s="45" t="str">
        <f>IFERROR(((H24*s_D_milk)/(s_RadSpec!AH24*((s_Q_p_dairy*s_f_p_dairy*s_f_s_dairy*(s_RadSpec!BD24+s_R_es_past))+(s_Q_s_dairy*s_f_p_dairy))))*1,".")</f>
        <v>.</v>
      </c>
      <c r="AV24" s="45" t="str">
        <f>IFERROR((I24/(s_RadSpec!AN24*((s_Q_p_swine*s_f_p_swine*s_f_s_swine*(s_RadSpec!BD24+s_R_es_past))+(s_Q_s_swine*s_f_p_swine))))*1,".")</f>
        <v>.</v>
      </c>
      <c r="AW24" s="45" t="str">
        <f>IFERROR((E24/(s_RadSpec!AL24*((s_Q_p_poultry*s_f_p_poultry*s_f_s_poultry*(s_RadSpec!BD24+s_R_es_past))+(s_Q_s_poultry*s_f_p_poultry))))*1,".")</f>
        <v>.</v>
      </c>
      <c r="AX24" s="45" t="str">
        <f>IFERROR((F24/(s_RadSpec!AM24*((s_Q_p_poultry*s_f_p_poultry*s_f_s_poultry*(s_RadSpec!BD24+s_R_es_past))+(s_Q_s_poultry*s_f_p_poultry))))*1,".")</f>
        <v>.</v>
      </c>
      <c r="AY24" s="45" t="str">
        <f>IFERROR((L24/(s_RadSpec!AQ24*((s_Q_p_goat*s_f_p_goat*s_f_s_goat*(s_RadSpec!BD24+s_R_es_past))+(s_Q_s_goat*s_f_p_goat))))*1,".")</f>
        <v>.</v>
      </c>
      <c r="AZ24" s="45" t="str">
        <f>IFERROR((N24*s_D_milk/(s_RadSpec!AR24*((s_Q_p_goat_milk*s_f_p_goat_milk*s_f_s_goat_milk*(s_RadSpec!BD24+s_R_es_past))+(s_Q_s_goat_milk*s_f_p_goat_milk))))*1,".")</f>
        <v>.</v>
      </c>
      <c r="BA24" s="45" t="str">
        <f>IFERROR((M24/(s_RadSpec!AO24*((s_Q_p_sheep*s_f_p_sheep*s_f_s_sheep*(s_RadSpec!BD24+s_R_es_past))+(s_Q_s_sheep*s_f_p_sheep))))*1,".")</f>
        <v>.</v>
      </c>
      <c r="BB24" s="45" t="str">
        <f>IFERROR((O24*s_D_milk/(s_RadSpec!AP24*((s_Q_p_sheep_milk*s_f_p_sheep_milk*s_f_s_sheep_milk*(s_RadSpec!BD24+s_R_es_past))+(s_Q_s_sheep_milk*s_f_p_sheep_milk))))*1,".")</f>
        <v>.</v>
      </c>
      <c r="BC24" s="118" t="str">
        <f t="shared" si="11"/>
        <v>.</v>
      </c>
      <c r="BD24" s="118" t="str">
        <f t="shared" si="12"/>
        <v>.</v>
      </c>
      <c r="BE24" s="118">
        <f t="shared" si="13"/>
        <v>3.5420267145425854E-5</v>
      </c>
      <c r="BF24" s="118" t="str">
        <f t="shared" si="14"/>
        <v>.</v>
      </c>
      <c r="BG24" s="118" t="str">
        <f t="shared" si="15"/>
        <v>.</v>
      </c>
      <c r="BH24" s="118" t="str">
        <f t="shared" si="15"/>
        <v>.</v>
      </c>
      <c r="BI24" s="118" t="str">
        <f t="shared" si="16"/>
        <v>.</v>
      </c>
      <c r="BJ24" s="118" t="str">
        <f t="shared" si="17"/>
        <v>.</v>
      </c>
      <c r="BK24" s="118" t="str">
        <f t="shared" si="18"/>
        <v>.</v>
      </c>
      <c r="BL24" s="118" t="str">
        <f t="shared" si="19"/>
        <v>.</v>
      </c>
      <c r="BM24" s="118" t="str">
        <f t="shared" si="20"/>
        <v>.</v>
      </c>
      <c r="BN24" s="118" t="str">
        <f t="shared" si="21"/>
        <v>.</v>
      </c>
      <c r="BO24" s="118" t="str">
        <f t="shared" si="22"/>
        <v>.</v>
      </c>
      <c r="BP24" s="118" t="str">
        <f t="shared" si="23"/>
        <v>.</v>
      </c>
      <c r="BQ24" s="118" t="str">
        <f t="shared" si="24"/>
        <v>.</v>
      </c>
      <c r="BR24" s="15">
        <f t="shared" si="46"/>
        <v>28232.42399314143</v>
      </c>
      <c r="BS24" s="40">
        <f t="shared" si="25"/>
        <v>302.5</v>
      </c>
      <c r="BT24" s="40">
        <f t="shared" si="26"/>
        <v>3.2362545583179352E-2</v>
      </c>
      <c r="BU24" s="40">
        <f>IFERROR((s_C*s_EF_far*(1/365)*s_ED_far*s_RadSpec!R24*((s_ET_far_o*(1/24)*s_RadSpec!W24)+(s_ET_far_i*(1/24)*s_RadSpec!AB24))),".")</f>
        <v>0.52301982092293531</v>
      </c>
      <c r="BV24" s="40">
        <f>s_b2s!CC24</f>
        <v>8167.5000000000009</v>
      </c>
      <c r="BW24" s="40">
        <f>IFERROR(((s_C*s_RadSpec!AJ24)/s_RadSpec!AU24)*s_IFFI_far_adj*s_CF_far_fish,0)</f>
        <v>0</v>
      </c>
      <c r="BX24" s="40">
        <f>IFERROR(((s_C*s_RadSpec!AK24)/s_RadSpec!AU24)*s_IFSF_far_adj*s_CF_far_shellfish,0)</f>
        <v>0</v>
      </c>
      <c r="BY24" s="40">
        <f>(s_C*s_IFB_far_adj*s_CF_far_beef*s_RadSpec!AI24*((s_Q_p_beef*s_f_p_beef*s_f_s_beef*(s_RadSpec!$AT24+s_R_es_past))+(s_Q_s_beef*s_f_p_beef)))</f>
        <v>0</v>
      </c>
      <c r="BZ24" s="40">
        <f>(s_C*s_IFD_far_adj*s_CF_far_dairy*s_RadSpec!AH24*1/s_D_milk*((s_Q_p_dairy*s_f_p_dairy*s_f_s_dairy*(s_RadSpec!$AT24+s_R_es_past))+(s_Q_s_dairy*s_f_p_dairy)))</f>
        <v>0</v>
      </c>
      <c r="CA24" s="40">
        <f>IFERROR((s_C*s_IFSW_far_adj*s_CF_far_swine*s_RadSpec!AN24*((s_Q_p_swine*s_f_p_swine*s_f_s_swine*(s_RadSpec!$AT24+s_R_es_past))+(s_Q_s_swine*s_f_p_swine))),0)</f>
        <v>0</v>
      </c>
      <c r="CB24" s="40">
        <f>IFERROR((s_C*s_IFP_far_adj*s_CF_far_poultry*s_RadSpec!AL24*((s_Q_p_poultry*s_f_p_poultry*s_f_s_poultry*(s_RadSpec!AT24+s_R_es_past))+(s_Q_s_poultry*s_f_p_poultry))),0)</f>
        <v>0</v>
      </c>
      <c r="CC24" s="40">
        <f>IFERROR((s_C*s_IFE_far_adj*s_CF_far_egg*s_RadSpec!AM24*((s_Q_p_egg*s_f_p_egg*s_f_s_egg*(s_RadSpec!$AT24+s_R_es_past))+(s_Q_s_egg*s_f_p_egg))),0)</f>
        <v>0</v>
      </c>
      <c r="CD24" s="40">
        <f>IFERROR((s_C*s_IFGO_far_adj*s_CF_far_goat*s_RadSpec!AQ24*((s_Q_p_goat*s_f_p_goat*s_f_s_goat*(s_RadSpec!$AT24+s_R_es_past))+(s_Q_s_goat*s_f_p_goat))),0)</f>
        <v>0</v>
      </c>
      <c r="CE24" s="40">
        <f>IFERROR((s_C*s_IFGM_far_adj*s_CF_far_goat_milk*s_RadSpec!AR24*1/s_D_milk*((s_Q_p_goat_milk*s_f_p_goat_milk*s_f_s_goat_milk*(s_RadSpec!$AT24+s_R_es_past))+(s_Q_s_goat_milk*s_f_p_goat_milk))),0)</f>
        <v>0</v>
      </c>
      <c r="CF24" s="40">
        <f>IFERROR((s_C*s_IFSH_far_adj*s_CF_far_sheep*s_RadSpec!AO24*((s_Q_p_sheep*s_f_p_sheep*s_f_s_sheep*(s_RadSpec!$AT24+s_R_es_past))+(s_Q_s_sheep*s_f_p_sheep))),0)</f>
        <v>0</v>
      </c>
      <c r="CG24" s="40">
        <f>IFERROR((s_C*s_IFSM_far_adj*s_CF_far_sheep_milk*s_RadSpec!AP24*1/s_D_milk*((s_Q_p_sheep_milk*s_f_p_sheep_milk*s_f_s_sheep_milk*(s_RadSpec!$AT24+s_R_es_past))+(s_Q_s_sheep_milk*s_f_p_sheep_milk))),0)</f>
        <v>0</v>
      </c>
      <c r="CH24" s="18"/>
      <c r="CI24" s="18"/>
      <c r="CJ24" s="18"/>
      <c r="CK24" s="18"/>
      <c r="CL24" s="18"/>
      <c r="CM24" s="18"/>
      <c r="CN24" s="18"/>
      <c r="CO24" s="18"/>
      <c r="CP24" s="18"/>
      <c r="CQ24" s="18"/>
      <c r="CR24" s="18"/>
      <c r="CS24" s="18"/>
      <c r="CT24" s="18"/>
      <c r="CU24" s="18"/>
      <c r="CV24" s="18"/>
      <c r="CW24" s="5"/>
      <c r="CX24" s="15" t="str">
        <f>IFERROR(s_TR/(s_RadSpec!I24*s_IFW_far_adj),".")</f>
        <v>.</v>
      </c>
      <c r="CY24" s="15" t="str">
        <f>IFERROR(IF(AND(s_RadSpec!C24=1,s_RadSpec!D24&lt;&gt;0),s_TR/(s_RadSpec!F24*s_IFA_far_adj*s_K*s_RadSpec!D24),"."),".")</f>
        <v>.</v>
      </c>
      <c r="CZ24" s="15">
        <f>IFERROR((s_TR/(s_RadSpec!M24*(1/8760)*s_DFA_far_adj)),".")</f>
        <v>2875352176.4038024</v>
      </c>
      <c r="DA24" s="15" t="str">
        <f>s_b2w!BC24</f>
        <v>.</v>
      </c>
      <c r="DB24" s="15" t="str">
        <f>IFERROR(J24/(s_RadSpec!AJ24*(1/1000)),".")</f>
        <v>.</v>
      </c>
      <c r="DC24" s="15" t="str">
        <f>IFERROR(K24/(s_RadSpec!AK24*(1/1000)),".")</f>
        <v>.</v>
      </c>
      <c r="DD24" s="15" t="str">
        <f>IFERROR(G24/(s_RadSpec!AI24*s_Q_w_beef*(1/1000)),".")</f>
        <v>.</v>
      </c>
      <c r="DE24" s="15" t="str">
        <f>IFERROR((H24*s_D_milk)/(s_RadSpec!AH24*s_Q_w_dairy*(1/1000)),".")</f>
        <v>.</v>
      </c>
      <c r="DF24" s="15" t="str">
        <f>IFERROR(I24/(s_RadSpec!AN24*s_Q_w_swine*(1/1000)),".")</f>
        <v>.</v>
      </c>
      <c r="DG24" s="15" t="str">
        <f>IFERROR(E24/(s_RadSpec!AL24*s_Q_w_poultry*(1/1000)),".")</f>
        <v>.</v>
      </c>
      <c r="DH24" s="15" t="str">
        <f>IFERROR(F24/(s_RadSpec!AM24*s_Q_w_poultry*(1/1000)),".")</f>
        <v>.</v>
      </c>
      <c r="DI24" s="15" t="str">
        <f>IFERROR(L24/(s_RadSpec!AQ24*s_Q_w_goat*(1/1000)),".")</f>
        <v>.</v>
      </c>
      <c r="DJ24" s="15" t="str">
        <f>IFERROR(N24*s_D_milk/(s_RadSpec!AR24*s_Q_w_goat_milk*(1/1000)),".")</f>
        <v>.</v>
      </c>
      <c r="DK24" s="15" t="str">
        <f>IFERROR(M24/(s_RadSpec!AO24*s_Q_w_sheep*(1/1000)),".")</f>
        <v>.</v>
      </c>
      <c r="DL24" s="15" t="str">
        <f>IFERROR(O24*s_D_milk/(s_RadSpec!AP24*s_Q_w_sheep_milk*(1/1000)),".")</f>
        <v>.</v>
      </c>
      <c r="DM24" s="118" t="str">
        <f t="shared" si="27"/>
        <v>.</v>
      </c>
      <c r="DN24" s="118" t="str">
        <f t="shared" si="28"/>
        <v>.</v>
      </c>
      <c r="DO24" s="118">
        <f t="shared" si="29"/>
        <v>3.4778348482191776E-10</v>
      </c>
      <c r="DP24" s="118" t="str">
        <f t="shared" si="30"/>
        <v>.</v>
      </c>
      <c r="DQ24" s="118" t="str">
        <f t="shared" si="31"/>
        <v>.</v>
      </c>
      <c r="DR24" s="118" t="str">
        <f t="shared" si="31"/>
        <v>.</v>
      </c>
      <c r="DS24" s="118" t="str">
        <f t="shared" si="32"/>
        <v>.</v>
      </c>
      <c r="DT24" s="118" t="str">
        <f t="shared" si="33"/>
        <v>.</v>
      </c>
      <c r="DU24" s="118" t="str">
        <f t="shared" si="34"/>
        <v>.</v>
      </c>
      <c r="DV24" s="118" t="str">
        <f t="shared" si="35"/>
        <v>.</v>
      </c>
      <c r="DW24" s="118" t="str">
        <f t="shared" si="36"/>
        <v>.</v>
      </c>
      <c r="DX24" s="118" t="str">
        <f t="shared" si="37"/>
        <v>.</v>
      </c>
      <c r="DY24" s="118" t="str">
        <f t="shared" si="38"/>
        <v>.</v>
      </c>
      <c r="DZ24" s="118" t="str">
        <f t="shared" si="39"/>
        <v>.</v>
      </c>
      <c r="EA24" s="118" t="str">
        <f t="shared" si="40"/>
        <v>.</v>
      </c>
      <c r="EB24" s="15">
        <f t="shared" si="47"/>
        <v>2875352176.4038024</v>
      </c>
      <c r="EC24" s="40">
        <f t="shared" si="41"/>
        <v>27500</v>
      </c>
      <c r="ED24" s="40">
        <f>IFERROR(IF(s_RadSpec!D24&lt;&gt;"",s_C*s_IFA_far_adj*s_K*s_RadSpec!D24,0),".")</f>
        <v>7.281513020833333E-4</v>
      </c>
      <c r="EE24" s="40">
        <f t="shared" si="42"/>
        <v>2.5114155251141552</v>
      </c>
      <c r="EF24" s="40">
        <f>s_b2w!CC24</f>
        <v>0</v>
      </c>
      <c r="EG24" s="40">
        <f>IFERROR(s_C*s_RadSpec!AJ24*(1/1000)*s_IFFI_far_adj*s_CF_far_fish,0)</f>
        <v>0</v>
      </c>
      <c r="EH24" s="40">
        <f>IFERROR(s_C*s_RadSpec!AK24*(1/1000)*s_IFSF_far_adj*s_CF_far_shellfish,0)</f>
        <v>0</v>
      </c>
      <c r="EI24" s="40">
        <f>(s_C*s_IFB_far_adj*s_CF_far_beef*s_RadSpec!AI24*s_Q_w_beef*(1/1000))</f>
        <v>0</v>
      </c>
      <c r="EJ24" s="40">
        <f>(s_C*s_IFD_far_adj*s_CF_far_dairy*s_RadSpec!AH24*(1/s_D_milk)*s_Q_w_dairy*(1/1000))</f>
        <v>0</v>
      </c>
      <c r="EK24" s="40">
        <f>IFERROR((s_C*s_IFSW_far_adj*s_CF_far_swine*s_RadSpec!AN24*s_Q_w_swine*(1/1000)),0)</f>
        <v>0</v>
      </c>
      <c r="EL24" s="40">
        <f>IFERROR((s_C*s_IFP_far_adj*s_CF_far_poultry*s_RadSpec!AL24*s_Q_w_poultry*(1/1000)),0)</f>
        <v>0</v>
      </c>
      <c r="EM24" s="40">
        <f>IFERROR((s_C*s_IFE_far_adj*s_CF_far_egg*s_RadSpec!AM24*s_Q_w_egg*(1/1000)),0)</f>
        <v>0</v>
      </c>
      <c r="EN24" s="40">
        <f>IFERROR((s_C*s_IFGO_far_adj*s_CF_far_goat*s_RadSpec!AQ24*s_Q_p_goat*(1/1000)),0)</f>
        <v>0</v>
      </c>
      <c r="EO24" s="40">
        <f>IFERROR((s_C*s_IFGM_far_adj*s_CF_far_goat_milk*s_RadSpec!AR24*(1/s_D_milk)*s_Q_p_goat_milk*(1/1000)),0)</f>
        <v>0</v>
      </c>
      <c r="EP24" s="40">
        <f>IFERROR((s_C*s_IFSH_far_adj*s_CF_far_sheep*s_RadSpec!AO24*s_Q_p_sheep*(1/1000)),0)</f>
        <v>0</v>
      </c>
      <c r="EQ24" s="40">
        <f>IFERROR((s_C*s_IFSM_far_adj*s_CF_far_sheep_milk*s_RadSpec!AP24*(1/s_D_milk)*s_Q_p_sheep_milk*(1/1000)),0)</f>
        <v>0</v>
      </c>
      <c r="ER24" s="18"/>
      <c r="ES24" s="18"/>
      <c r="ET24" s="18"/>
      <c r="EU24" s="18"/>
      <c r="EV24" s="18"/>
      <c r="EW24" s="18"/>
      <c r="EX24" s="18"/>
      <c r="EY24" s="18"/>
      <c r="EZ24" s="18"/>
      <c r="FA24" s="18"/>
      <c r="FB24" s="18"/>
      <c r="FC24" s="18"/>
      <c r="FD24" s="18"/>
      <c r="FE24" s="18"/>
      <c r="FF24" s="18"/>
      <c r="FG24" s="5"/>
      <c r="FH24" s="15" t="str">
        <f>IFERROR((s_TR/(s_RadSpec!F24*s_IFA_far_adj)),".")</f>
        <v>.</v>
      </c>
      <c r="FI24" s="15">
        <f>IFERROR((s_TR/(s_RadSpec!K24*s_EF_far*(1/365)*s_ED_far*s_ET_far*(1/24)*s_GSF_a)),".")</f>
        <v>9993165.3661975376</v>
      </c>
      <c r="FJ24" s="15">
        <f t="shared" ref="FJ24:FJ25" si="57">IFERROR(IF(AND(ISNUMBER(FH24),ISNUMBER(FI24)),1/((1/FH24)+(1/FI24)),IF(AND(ISNUMBER(FH24),NOT(ISNUMBER(FI24))),1/((1/FH24)),IF(AND(NOT(ISNUMBER(FH24)),ISNUMBER(FI24)),1/((1/FI24)),IF(AND(NOT(ISNUMBER(FH24)),NOT(ISNUMBER(FI24))),".")))),".")</f>
        <v>9993165.3661975376</v>
      </c>
      <c r="FK24" s="40">
        <f t="shared" si="44"/>
        <v>10026.041666666666</v>
      </c>
      <c r="FL24" s="40">
        <f t="shared" si="45"/>
        <v>1.5696347031963471</v>
      </c>
      <c r="FM24" s="120"/>
      <c r="FN24" s="120"/>
      <c r="FO24" s="120"/>
    </row>
    <row r="25" spans="1:171" customFormat="1" x14ac:dyDescent="0.25">
      <c r="A25" s="46" t="s">
        <v>35</v>
      </c>
      <c r="B25" s="42" t="s">
        <v>349</v>
      </c>
      <c r="C25" s="249"/>
      <c r="D25" s="15" t="str">
        <f>s_dir!AC25</f>
        <v>.</v>
      </c>
      <c r="E25" s="15" t="str">
        <f>IFERROR(s_TR/(s_RadSpec!H25*s_IFP_far_adj*s_CF_far_poultry),".")</f>
        <v>.</v>
      </c>
      <c r="F25" s="15" t="str">
        <f>IFERROR(s_TR/(s_RadSpec!H25*s_IFE_far_adj*s_CF_far_egg),".")</f>
        <v>.</v>
      </c>
      <c r="G25" s="15" t="str">
        <f>IFERROR(s_TR/(s_RadSpec!H25*s_IFB_far_adj*s_CF_far_beef),".")</f>
        <v>.</v>
      </c>
      <c r="H25" s="15" t="str">
        <f>IFERROR(s_TR/(s_RadSpec!H25*s_IFD_far_adj*s_CF_far_dairy),".")</f>
        <v>.</v>
      </c>
      <c r="I25" s="15" t="str">
        <f>IFERROR(s_TR/(s_RadSpec!H25*s_IFSW_far_adj*s_CF_far_swine),".")</f>
        <v>.</v>
      </c>
      <c r="J25" s="15" t="str">
        <f>IFERROR(s_TR/(s_RadSpec!H25*s_IFFI_far_adj*s_CF_far_fish),".")</f>
        <v>.</v>
      </c>
      <c r="K25" s="15" t="str">
        <f>IFERROR(s_TR/(s_RadSpec!H25*s_IFSF_far_adj*s_CF_far_shellfish),".")</f>
        <v>.</v>
      </c>
      <c r="L25" s="15" t="str">
        <f>IFERROR(s_TR/(s_RadSpec!H25*s_IFGO_far_adj*s_CF_far_goat),".")</f>
        <v>.</v>
      </c>
      <c r="M25" s="15" t="str">
        <f>IFERROR(s_TR/(s_RadSpec!H25*s_IFSH_far_adj*s_CF_far_sheep),".")</f>
        <v>.</v>
      </c>
      <c r="N25" s="15" t="str">
        <f>IFERROR(s_TR/(s_RadSpec!H25*s_IFGM_far_adj*s_CF_far_goat_milk),".")</f>
        <v>.</v>
      </c>
      <c r="O25" s="15" t="str">
        <f>IFERROR(s_TR/(s_RadSpec!H25*s_IFSM_far_adj*s_CF_far_sheep_milk),".")</f>
        <v>.</v>
      </c>
      <c r="P25" s="40">
        <f>s_dir!BC25</f>
        <v>605000</v>
      </c>
      <c r="Q25" s="40">
        <f t="shared" si="0"/>
        <v>151250</v>
      </c>
      <c r="R25" s="40">
        <f t="shared" si="1"/>
        <v>151250</v>
      </c>
      <c r="S25" s="40">
        <f t="shared" si="2"/>
        <v>151250</v>
      </c>
      <c r="T25" s="40">
        <f t="shared" si="3"/>
        <v>151250</v>
      </c>
      <c r="U25" s="40">
        <f t="shared" si="4"/>
        <v>151250</v>
      </c>
      <c r="V25" s="40">
        <f t="shared" si="5"/>
        <v>151250</v>
      </c>
      <c r="W25" s="40">
        <f t="shared" si="6"/>
        <v>151250</v>
      </c>
      <c r="X25" s="40">
        <f t="shared" si="7"/>
        <v>151250</v>
      </c>
      <c r="Y25" s="40">
        <f t="shared" si="8"/>
        <v>151250</v>
      </c>
      <c r="Z25" s="40">
        <f t="shared" si="9"/>
        <v>151250</v>
      </c>
      <c r="AA25" s="40">
        <f t="shared" si="10"/>
        <v>151250</v>
      </c>
      <c r="AB25" s="5"/>
      <c r="AC25" s="5"/>
      <c r="AD25" s="5"/>
      <c r="AE25" s="5"/>
      <c r="AF25" s="5"/>
      <c r="AG25" s="5"/>
      <c r="AH25" s="5"/>
      <c r="AI25" s="5"/>
      <c r="AJ25" s="5"/>
      <c r="AK25" s="5"/>
      <c r="AL25" s="5"/>
      <c r="AM25" s="5"/>
      <c r="AN25" s="45" t="str">
        <f>IFERROR((s_TR/(s_RadSpec!E25*s_IFS_far_adj*(1/1000)))*1,".")</f>
        <v>.</v>
      </c>
      <c r="AO25" s="45">
        <f>IFERROR(IF(A25="H-3",(s_TR/(s_RadSpec!F25*s_IFA_far_adj*(1/17)*1000))*1,(s_TR/(s_RadSpec!F25*s_IFA_far_adj*(1/s_PEF_wind)*1000))*1),".")</f>
        <v>677629777.45488858</v>
      </c>
      <c r="AP25" s="45">
        <f>IFERROR((s_TR/(s_RadSpec!G25*s_EF_far*(1/365)*s_ED_far*s_RadSpec!R25*((s_ET_far_o*(1/24)*s_RadSpec!W25)+(s_ET_far_i*(1/24)*s_RadSpec!AB25))))*1,".")</f>
        <v>62967.597862067298</v>
      </c>
      <c r="AQ25" s="45" t="str">
        <f>s_b2s!BC25</f>
        <v>.</v>
      </c>
      <c r="AR25" s="45" t="str">
        <f>IFERROR(((J25*s_RadSpec!AU25)/s_RadSpec!AJ25)*1,".")</f>
        <v>.</v>
      </c>
      <c r="AS25" s="45" t="str">
        <f>IFERROR(((K25*s_RadSpec!AU25)/s_RadSpec!AK25)*1,".")</f>
        <v>.</v>
      </c>
      <c r="AT25" s="45" t="str">
        <f>IFERROR((G25/(s_RadSpec!AI25*((s_Q_p_beef*s_f_p_beef*s_f_s_beef*(s_RadSpec!BD25+s_R_es_past))+(s_Q_s_beef*s_f_p_beef))))*1,".")</f>
        <v>.</v>
      </c>
      <c r="AU25" s="45" t="str">
        <f>IFERROR(((H25*s_D_milk)/(s_RadSpec!AH25*((s_Q_p_dairy*s_f_p_dairy*s_f_s_dairy*(s_RadSpec!BD25+s_R_es_past))+(s_Q_s_dairy*s_f_p_dairy))))*1,".")</f>
        <v>.</v>
      </c>
      <c r="AV25" s="45" t="str">
        <f>IFERROR((I25/(s_RadSpec!AN25*((s_Q_p_swine*s_f_p_swine*s_f_s_swine*(s_RadSpec!BD25+s_R_es_past))+(s_Q_s_swine*s_f_p_swine))))*1,".")</f>
        <v>.</v>
      </c>
      <c r="AW25" s="45" t="str">
        <f>IFERROR((E25/(s_RadSpec!AL25*((s_Q_p_poultry*s_f_p_poultry*s_f_s_poultry*(s_RadSpec!BD25+s_R_es_past))+(s_Q_s_poultry*s_f_p_poultry))))*1,".")</f>
        <v>.</v>
      </c>
      <c r="AX25" s="45" t="str">
        <f>IFERROR((F25/(s_RadSpec!AM25*((s_Q_p_poultry*s_f_p_poultry*s_f_s_poultry*(s_RadSpec!BD25+s_R_es_past))+(s_Q_s_poultry*s_f_p_poultry))))*1,".")</f>
        <v>.</v>
      </c>
      <c r="AY25" s="45" t="str">
        <f>IFERROR((L25/(s_RadSpec!AQ25*((s_Q_p_goat*s_f_p_goat*s_f_s_goat*(s_RadSpec!BD25+s_R_es_past))+(s_Q_s_goat*s_f_p_goat))))*1,".")</f>
        <v>.</v>
      </c>
      <c r="AZ25" s="45" t="str">
        <f>IFERROR((N25*s_D_milk/(s_RadSpec!AR25*((s_Q_p_goat_milk*s_f_p_goat_milk*s_f_s_goat_milk*(s_RadSpec!BD25+s_R_es_past))+(s_Q_s_goat_milk*s_f_p_goat_milk))))*1,".")</f>
        <v>.</v>
      </c>
      <c r="BA25" s="45" t="str">
        <f>IFERROR((M25/(s_RadSpec!AO25*((s_Q_p_sheep*s_f_p_sheep*s_f_s_sheep*(s_RadSpec!BD25+s_R_es_past))+(s_Q_s_sheep*s_f_p_sheep))))*1,".")</f>
        <v>.</v>
      </c>
      <c r="BB25" s="45" t="str">
        <f>IFERROR((O25*s_D_milk/(s_RadSpec!AP25*((s_Q_p_sheep_milk*s_f_p_sheep_milk*s_f_s_sheep_milk*(s_RadSpec!BD25+s_R_es_past))+(s_Q_s_sheep_milk*s_f_p_sheep_milk))))*1,".")</f>
        <v>.</v>
      </c>
      <c r="BC25" s="118" t="str">
        <f t="shared" si="11"/>
        <v>.</v>
      </c>
      <c r="BD25" s="118">
        <f t="shared" si="12"/>
        <v>1.4757320785929782E-9</v>
      </c>
      <c r="BE25" s="118">
        <f t="shared" si="13"/>
        <v>1.5881183877945204E-5</v>
      </c>
      <c r="BF25" s="118" t="str">
        <f t="shared" si="14"/>
        <v>.</v>
      </c>
      <c r="BG25" s="118" t="str">
        <f t="shared" si="15"/>
        <v>.</v>
      </c>
      <c r="BH25" s="118" t="str">
        <f t="shared" si="15"/>
        <v>.</v>
      </c>
      <c r="BI25" s="118" t="str">
        <f t="shared" si="16"/>
        <v>.</v>
      </c>
      <c r="BJ25" s="118" t="str">
        <f t="shared" si="17"/>
        <v>.</v>
      </c>
      <c r="BK25" s="118" t="str">
        <f t="shared" si="18"/>
        <v>.</v>
      </c>
      <c r="BL25" s="118" t="str">
        <f t="shared" si="19"/>
        <v>.</v>
      </c>
      <c r="BM25" s="118" t="str">
        <f t="shared" si="20"/>
        <v>.</v>
      </c>
      <c r="BN25" s="118" t="str">
        <f t="shared" si="21"/>
        <v>.</v>
      </c>
      <c r="BO25" s="118" t="str">
        <f t="shared" si="22"/>
        <v>.</v>
      </c>
      <c r="BP25" s="118" t="str">
        <f t="shared" si="23"/>
        <v>.</v>
      </c>
      <c r="BQ25" s="118" t="str">
        <f t="shared" si="24"/>
        <v>.</v>
      </c>
      <c r="BR25" s="15">
        <f t="shared" si="46"/>
        <v>62961.747248482498</v>
      </c>
      <c r="BS25" s="40">
        <f t="shared" si="25"/>
        <v>302.5</v>
      </c>
      <c r="BT25" s="40">
        <f t="shared" si="26"/>
        <v>3.2362545583179352E-2</v>
      </c>
      <c r="BU25" s="40">
        <f>IFERROR((s_C*s_EF_far*(1/365)*s_ED_far*s_RadSpec!R25*((s_ET_far_o*(1/24)*s_RadSpec!W25)+(s_ET_far_i*(1/24)*s_RadSpec!AB25))),".")</f>
        <v>0.46900684931506842</v>
      </c>
      <c r="BV25" s="40">
        <f>s_b2s!CC25</f>
        <v>8167.5000000000009</v>
      </c>
      <c r="BW25" s="40">
        <f>IFERROR(((s_C*s_RadSpec!AJ25)/s_RadSpec!AU25)*s_IFFI_far_adj*s_CF_far_fish,0)</f>
        <v>0</v>
      </c>
      <c r="BX25" s="40">
        <f>IFERROR(((s_C*s_RadSpec!AK25)/s_RadSpec!AU25)*s_IFSF_far_adj*s_CF_far_shellfish,0)</f>
        <v>0</v>
      </c>
      <c r="BY25" s="40">
        <f>(s_C*s_IFB_far_adj*s_CF_far_beef*s_RadSpec!AI25*((s_Q_p_beef*s_f_p_beef*s_f_s_beef*(s_RadSpec!$AT25+s_R_es_past))+(s_Q_s_beef*s_f_p_beef)))</f>
        <v>0</v>
      </c>
      <c r="BZ25" s="40">
        <f>(s_C*s_IFD_far_adj*s_CF_far_dairy*s_RadSpec!AH25*1/s_D_milk*((s_Q_p_dairy*s_f_p_dairy*s_f_s_dairy*(s_RadSpec!$AT25+s_R_es_past))+(s_Q_s_dairy*s_f_p_dairy)))</f>
        <v>0</v>
      </c>
      <c r="CA25" s="40">
        <f>IFERROR((s_C*s_IFSW_far_adj*s_CF_far_swine*s_RadSpec!AN25*((s_Q_p_swine*s_f_p_swine*s_f_s_swine*(s_RadSpec!$AT25+s_R_es_past))+(s_Q_s_swine*s_f_p_swine))),0)</f>
        <v>0</v>
      </c>
      <c r="CB25" s="40">
        <f>IFERROR((s_C*s_IFP_far_adj*s_CF_far_poultry*s_RadSpec!AL25*((s_Q_p_poultry*s_f_p_poultry*s_f_s_poultry*(s_RadSpec!AT25+s_R_es_past))+(s_Q_s_poultry*s_f_p_poultry))),0)</f>
        <v>0</v>
      </c>
      <c r="CC25" s="40">
        <f>IFERROR((s_C*s_IFE_far_adj*s_CF_far_egg*s_RadSpec!AM25*((s_Q_p_egg*s_f_p_egg*s_f_s_egg*(s_RadSpec!$AT25+s_R_es_past))+(s_Q_s_egg*s_f_p_egg))),0)</f>
        <v>0</v>
      </c>
      <c r="CD25" s="40">
        <f>IFERROR((s_C*s_IFGO_far_adj*s_CF_far_goat*s_RadSpec!AQ25*((s_Q_p_goat*s_f_p_goat*s_f_s_goat*(s_RadSpec!$AT25+s_R_es_past))+(s_Q_s_goat*s_f_p_goat))),0)</f>
        <v>0</v>
      </c>
      <c r="CE25" s="40">
        <f>IFERROR((s_C*s_IFGM_far_adj*s_CF_far_goat_milk*s_RadSpec!AR25*1/s_D_milk*((s_Q_p_goat_milk*s_f_p_goat_milk*s_f_s_goat_milk*(s_RadSpec!$AT25+s_R_es_past))+(s_Q_s_goat_milk*s_f_p_goat_milk))),0)</f>
        <v>0</v>
      </c>
      <c r="CF25" s="40">
        <f>IFERROR((s_C*s_IFSH_far_adj*s_CF_far_sheep*s_RadSpec!AO25*((s_Q_p_sheep*s_f_p_sheep*s_f_s_sheep*(s_RadSpec!$AT25+s_R_es_past))+(s_Q_s_sheep*s_f_p_sheep))),0)</f>
        <v>0</v>
      </c>
      <c r="CG25" s="40">
        <f>IFERROR((s_C*s_IFSM_far_adj*s_CF_far_sheep_milk*s_RadSpec!AP25*1/s_D_milk*((s_Q_p_sheep_milk*s_f_p_sheep_milk*s_f_s_sheep_milk*(s_RadSpec!$AT25+s_R_es_past))+(s_Q_s_sheep_milk*s_f_p_sheep_milk))),0)</f>
        <v>0</v>
      </c>
      <c r="CH25" s="18"/>
      <c r="CI25" s="18"/>
      <c r="CJ25" s="18"/>
      <c r="CK25" s="18"/>
      <c r="CL25" s="18"/>
      <c r="CM25" s="18"/>
      <c r="CN25" s="18"/>
      <c r="CO25" s="18"/>
      <c r="CP25" s="18"/>
      <c r="CQ25" s="18"/>
      <c r="CR25" s="18"/>
      <c r="CS25" s="18"/>
      <c r="CT25" s="18"/>
      <c r="CU25" s="18"/>
      <c r="CV25" s="18"/>
      <c r="CW25" s="5"/>
      <c r="CX25" s="15" t="str">
        <f>IFERROR(s_TR/(s_RadSpec!I25*s_IFW_far_adj),".")</f>
        <v>.</v>
      </c>
      <c r="CY25" s="15">
        <f>IFERROR(IF(AND(s_RadSpec!C25=1,s_RadSpec!D25&lt;&gt;0),s_TR/(s_RadSpec!F25*s_IFA_far_adj*s_K*s_RadSpec!D25),"."),".")</f>
        <v>4374.5727956254277</v>
      </c>
      <c r="CZ25" s="15">
        <f>IFERROR((s_TR/(s_RadSpec!M25*(1/8760)*s_DFA_far_adj)),".")</f>
        <v>5664730367.4666271</v>
      </c>
      <c r="DA25" s="15" t="str">
        <f>s_b2w!BC25</f>
        <v>.</v>
      </c>
      <c r="DB25" s="15" t="str">
        <f>IFERROR(J25/(s_RadSpec!AJ25*(1/1000)),".")</f>
        <v>.</v>
      </c>
      <c r="DC25" s="15" t="str">
        <f>IFERROR(K25/(s_RadSpec!AK25*(1/1000)),".")</f>
        <v>.</v>
      </c>
      <c r="DD25" s="15" t="str">
        <f>IFERROR(G25/(s_RadSpec!AI25*s_Q_w_beef*(1/1000)),".")</f>
        <v>.</v>
      </c>
      <c r="DE25" s="15" t="str">
        <f>IFERROR((H25*s_D_milk)/(s_RadSpec!AH25*s_Q_w_dairy*(1/1000)),".")</f>
        <v>.</v>
      </c>
      <c r="DF25" s="15" t="str">
        <f>IFERROR(I25/(s_RadSpec!AN25*s_Q_w_swine*(1/1000)),".")</f>
        <v>.</v>
      </c>
      <c r="DG25" s="15" t="str">
        <f>IFERROR(E25/(s_RadSpec!AL25*s_Q_w_poultry*(1/1000)),".")</f>
        <v>.</v>
      </c>
      <c r="DH25" s="15" t="str">
        <f>IFERROR(F25/(s_RadSpec!AM25*s_Q_w_poultry*(1/1000)),".")</f>
        <v>.</v>
      </c>
      <c r="DI25" s="15" t="str">
        <f>IFERROR(L25/(s_RadSpec!AQ25*s_Q_w_goat*(1/1000)),".")</f>
        <v>.</v>
      </c>
      <c r="DJ25" s="15" t="str">
        <f>IFERROR(N25*s_D_milk/(s_RadSpec!AR25*s_Q_w_goat_milk*(1/1000)),".")</f>
        <v>.</v>
      </c>
      <c r="DK25" s="15" t="str">
        <f>IFERROR(M25/(s_RadSpec!AO25*s_Q_w_sheep*(1/1000)),".")</f>
        <v>.</v>
      </c>
      <c r="DL25" s="15" t="str">
        <f>IFERROR(O25*s_D_milk/(s_RadSpec!AP25*s_Q_w_sheep_milk*(1/1000)),".")</f>
        <v>.</v>
      </c>
      <c r="DM25" s="118" t="str">
        <f t="shared" si="27"/>
        <v>.</v>
      </c>
      <c r="DN25" s="118">
        <f t="shared" si="28"/>
        <v>2.2859374999999998E-4</v>
      </c>
      <c r="DO25" s="118">
        <f t="shared" si="29"/>
        <v>1.765309088219178E-10</v>
      </c>
      <c r="DP25" s="118" t="str">
        <f t="shared" si="30"/>
        <v>.</v>
      </c>
      <c r="DQ25" s="118" t="str">
        <f t="shared" si="31"/>
        <v>.</v>
      </c>
      <c r="DR25" s="118" t="str">
        <f t="shared" si="31"/>
        <v>.</v>
      </c>
      <c r="DS25" s="118" t="str">
        <f t="shared" si="32"/>
        <v>.</v>
      </c>
      <c r="DT25" s="118" t="str">
        <f t="shared" si="33"/>
        <v>.</v>
      </c>
      <c r="DU25" s="118" t="str">
        <f t="shared" si="34"/>
        <v>.</v>
      </c>
      <c r="DV25" s="118" t="str">
        <f t="shared" si="35"/>
        <v>.</v>
      </c>
      <c r="DW25" s="118" t="str">
        <f t="shared" si="36"/>
        <v>.</v>
      </c>
      <c r="DX25" s="118" t="str">
        <f t="shared" si="37"/>
        <v>.</v>
      </c>
      <c r="DY25" s="118" t="str">
        <f t="shared" si="38"/>
        <v>.</v>
      </c>
      <c r="DZ25" s="118" t="str">
        <f t="shared" si="39"/>
        <v>.</v>
      </c>
      <c r="EA25" s="118" t="str">
        <f t="shared" si="40"/>
        <v>.</v>
      </c>
      <c r="EB25" s="15">
        <f t="shared" si="47"/>
        <v>4374.5694173759566</v>
      </c>
      <c r="EC25" s="40">
        <f t="shared" si="41"/>
        <v>27500</v>
      </c>
      <c r="ED25" s="40">
        <f>IFERROR(IF(s_RadSpec!D25&lt;&gt;"",s_C*s_IFA_far_adj*s_K*s_RadSpec!D25,0),".")</f>
        <v>5013.020833333333</v>
      </c>
      <c r="EE25" s="40">
        <f t="shared" si="42"/>
        <v>2.5114155251141552</v>
      </c>
      <c r="EF25" s="40">
        <f>s_b2w!CC25</f>
        <v>0</v>
      </c>
      <c r="EG25" s="40">
        <f>IFERROR(s_C*s_RadSpec!AJ25*(1/1000)*s_IFFI_far_adj*s_CF_far_fish,0)</f>
        <v>0</v>
      </c>
      <c r="EH25" s="40">
        <f>IFERROR(s_C*s_RadSpec!AK25*(1/1000)*s_IFSF_far_adj*s_CF_far_shellfish,0)</f>
        <v>0</v>
      </c>
      <c r="EI25" s="40">
        <f>(s_C*s_IFB_far_adj*s_CF_far_beef*s_RadSpec!AI25*s_Q_w_beef*(1/1000))</f>
        <v>0</v>
      </c>
      <c r="EJ25" s="40">
        <f>(s_C*s_IFD_far_adj*s_CF_far_dairy*s_RadSpec!AH25*(1/s_D_milk)*s_Q_w_dairy*(1/1000))</f>
        <v>0</v>
      </c>
      <c r="EK25" s="40">
        <f>IFERROR((s_C*s_IFSW_far_adj*s_CF_far_swine*s_RadSpec!AN25*s_Q_w_swine*(1/1000)),0)</f>
        <v>0</v>
      </c>
      <c r="EL25" s="40">
        <f>IFERROR((s_C*s_IFP_far_adj*s_CF_far_poultry*s_RadSpec!AL25*s_Q_w_poultry*(1/1000)),0)</f>
        <v>0</v>
      </c>
      <c r="EM25" s="40">
        <f>IFERROR((s_C*s_IFE_far_adj*s_CF_far_egg*s_RadSpec!AM25*s_Q_w_egg*(1/1000)),0)</f>
        <v>0</v>
      </c>
      <c r="EN25" s="40">
        <f>IFERROR((s_C*s_IFGO_far_adj*s_CF_far_goat*s_RadSpec!AQ25*s_Q_p_goat*(1/1000)),0)</f>
        <v>0</v>
      </c>
      <c r="EO25" s="40">
        <f>IFERROR((s_C*s_IFGM_far_adj*s_CF_far_goat_milk*s_RadSpec!AR25*(1/s_D_milk)*s_Q_p_goat_milk*(1/1000)),0)</f>
        <v>0</v>
      </c>
      <c r="EP25" s="40">
        <f>IFERROR((s_C*s_IFSH_far_adj*s_CF_far_sheep*s_RadSpec!AO25*s_Q_p_sheep*(1/1000)),0)</f>
        <v>0</v>
      </c>
      <c r="EQ25" s="40">
        <f>IFERROR((s_C*s_IFSM_far_adj*s_CF_far_sheep_milk*s_RadSpec!AP25*(1/s_D_milk)*s_Q_p_sheep_milk*(1/1000)),0)</f>
        <v>0</v>
      </c>
      <c r="ER25" s="18"/>
      <c r="ES25" s="18"/>
      <c r="ET25" s="18"/>
      <c r="EU25" s="18"/>
      <c r="EV25" s="18"/>
      <c r="EW25" s="18"/>
      <c r="EX25" s="18"/>
      <c r="EY25" s="18"/>
      <c r="EZ25" s="18"/>
      <c r="FA25" s="18"/>
      <c r="FB25" s="18"/>
      <c r="FC25" s="18"/>
      <c r="FD25" s="18"/>
      <c r="FE25" s="18"/>
      <c r="FF25" s="18"/>
      <c r="FG25" s="5"/>
      <c r="FH25" s="15">
        <f>IFERROR((s_TR/(s_RadSpec!F25*s_IFA_far_adj)),".")</f>
        <v>2187.2863978127139</v>
      </c>
      <c r="FI25" s="15">
        <f>IFERROR((s_TR/(s_RadSpec!K25*s_EF_far*(1/365)*s_ED_far*s_ET_far*(1/24)*s_GSF_a)),".")</f>
        <v>19626864.352316026</v>
      </c>
      <c r="FJ25" s="15">
        <f t="shared" si="57"/>
        <v>2187.0426661299962</v>
      </c>
      <c r="FK25" s="40">
        <f t="shared" si="44"/>
        <v>10026.041666666666</v>
      </c>
      <c r="FL25" s="40">
        <f t="shared" si="45"/>
        <v>1.5696347031963471</v>
      </c>
      <c r="FM25" s="120"/>
      <c r="FN25" s="120"/>
      <c r="FO25" s="120"/>
    </row>
    <row r="26" spans="1:171" customFormat="1" x14ac:dyDescent="0.25">
      <c r="A26" s="44" t="s">
        <v>36</v>
      </c>
      <c r="B26" s="42" t="s">
        <v>1071</v>
      </c>
      <c r="C26" s="42"/>
      <c r="D26" s="15">
        <f>s_dir!AC26</f>
        <v>0.28453994869744731</v>
      </c>
      <c r="E26" s="15">
        <f>IFERROR(s_TR/(s_RadSpec!H26*s_IFP_far_adj*s_CF_far_poultry),".")</f>
        <v>1.1381597947897892</v>
      </c>
      <c r="F26" s="15">
        <f>IFERROR(s_TR/(s_RadSpec!H26*s_IFE_far_adj*s_CF_far_egg),".")</f>
        <v>1.1381597947897892</v>
      </c>
      <c r="G26" s="15">
        <f>IFERROR(s_TR/(s_RadSpec!H26*s_IFB_far_adj*s_CF_far_beef),".")</f>
        <v>1.1381597947897892</v>
      </c>
      <c r="H26" s="15">
        <f>IFERROR(s_TR/(s_RadSpec!H26*s_IFD_far_adj*s_CF_far_dairy),".")</f>
        <v>1.1381597947897892</v>
      </c>
      <c r="I26" s="15">
        <f>IFERROR(s_TR/(s_RadSpec!H26*s_IFSW_far_adj*s_CF_far_swine),".")</f>
        <v>1.1381597947897892</v>
      </c>
      <c r="J26" s="15">
        <f>IFERROR(s_TR/(s_RadSpec!H26*s_IFFI_far_adj*s_CF_far_fish),".")</f>
        <v>1.1381597947897892</v>
      </c>
      <c r="K26" s="15">
        <f>IFERROR(s_TR/(s_RadSpec!H26*s_IFSF_far_adj*s_CF_far_shellfish),".")</f>
        <v>1.1381597947897892</v>
      </c>
      <c r="L26" s="15">
        <f>IFERROR(s_TR/(s_RadSpec!H26*s_IFGO_far_adj*s_CF_far_goat),".")</f>
        <v>1.1381597947897892</v>
      </c>
      <c r="M26" s="15">
        <f>IFERROR(s_TR/(s_RadSpec!H26*s_IFSH_far_adj*s_CF_far_sheep),".")</f>
        <v>1.1381597947897892</v>
      </c>
      <c r="N26" s="15">
        <f>IFERROR(s_TR/(s_RadSpec!H26*s_IFGM_far_adj*s_CF_far_goat_milk),".")</f>
        <v>1.1381597947897892</v>
      </c>
      <c r="O26" s="15">
        <f>IFERROR(s_TR/(s_RadSpec!H26*s_IFSM_far_adj*s_CF_far_sheep_milk),".")</f>
        <v>1.1381597947897892</v>
      </c>
      <c r="P26" s="40">
        <f>s_dir!BC26</f>
        <v>605000</v>
      </c>
      <c r="Q26" s="40">
        <f t="shared" si="0"/>
        <v>151250</v>
      </c>
      <c r="R26" s="40">
        <f t="shared" si="1"/>
        <v>151250</v>
      </c>
      <c r="S26" s="40">
        <f t="shared" si="2"/>
        <v>151250</v>
      </c>
      <c r="T26" s="40">
        <f t="shared" si="3"/>
        <v>151250</v>
      </c>
      <c r="U26" s="40">
        <f t="shared" si="4"/>
        <v>151250</v>
      </c>
      <c r="V26" s="40">
        <f t="shared" si="5"/>
        <v>151250</v>
      </c>
      <c r="W26" s="40">
        <f t="shared" si="6"/>
        <v>151250</v>
      </c>
      <c r="X26" s="40">
        <f t="shared" si="7"/>
        <v>151250</v>
      </c>
      <c r="Y26" s="40">
        <f t="shared" si="8"/>
        <v>151250</v>
      </c>
      <c r="Z26" s="40">
        <f t="shared" si="9"/>
        <v>151250</v>
      </c>
      <c r="AA26" s="40">
        <f t="shared" si="10"/>
        <v>151250</v>
      </c>
      <c r="AB26" s="5"/>
      <c r="AC26" s="5"/>
      <c r="AD26" s="5"/>
      <c r="AE26" s="5"/>
      <c r="AF26" s="5"/>
      <c r="AG26" s="5"/>
      <c r="AH26" s="5"/>
      <c r="AI26" s="5"/>
      <c r="AJ26" s="5"/>
      <c r="AK26" s="5"/>
      <c r="AL26" s="5"/>
      <c r="AM26" s="5"/>
      <c r="AN26" s="45">
        <f>IFERROR((s_TR/(s_RadSpec!E26*s_IFS_far_adj*(1/1000)))*1,".")</f>
        <v>429.54588409133862</v>
      </c>
      <c r="AO26" s="45">
        <f>IFERROR(IF(A26="H-3",(s_TR/(s_RadSpec!F26*s_IFA_far_adj*(1/17)*1000))*1,(s_TR/(s_RadSpec!F26*s_IFA_far_adj*(1/s_PEF_wind)*1000))*1),".")</f>
        <v>8846.7469800569506</v>
      </c>
      <c r="AP26" s="45">
        <f>IFERROR((s_TR/(s_RadSpec!G26*s_EF_far*(1/365)*s_ED_far*s_RadSpec!R26*((s_ET_far_o*(1/24)*s_RadSpec!W26)+(s_ET_far_i*(1/24)*s_RadSpec!AB26))))*1,".")</f>
        <v>2592.7053155495291</v>
      </c>
      <c r="AQ26" s="45">
        <f>s_b2s!BC26</f>
        <v>19.780323162839576</v>
      </c>
      <c r="AR26" s="45">
        <f>IFERROR(((J26*s_RadSpec!AU26)/s_RadSpec!AJ26)*1,".")</f>
        <v>3.7938659826326311</v>
      </c>
      <c r="AS26" s="45">
        <f>IFERROR(((K26*s_RadSpec!AU26)/s_RadSpec!AK26)*1,".")</f>
        <v>7.8493778951019954E-3</v>
      </c>
      <c r="AT26" s="45">
        <f>IFERROR((G26/(s_RadSpec!AI26*((s_Q_p_beef*s_f_p_beef*s_f_s_beef*(s_RadSpec!BD26+s_R_es_past))+(s_Q_s_beef*s_f_p_beef))))*1,".")</f>
        <v>56.360178521532326</v>
      </c>
      <c r="AU26" s="45">
        <f>IFERROR(((H26*s_D_milk)/(s_RadSpec!AH26*((s_Q_p_dairy*s_f_p_dairy*s_f_s_dairy*(s_RadSpec!BD26+s_R_es_past))+(s_Q_s_dairy*s_f_p_dairy))))*1,".")</f>
        <v>2670.3452583502017</v>
      </c>
      <c r="AV26" s="45" t="str">
        <f>IFERROR((I26/(s_RadSpec!AN26*((s_Q_p_swine*s_f_p_swine*s_f_s_swine*(s_RadSpec!BD26+s_R_es_past))+(s_Q_s_swine*s_f_p_swine))))*1,".")</f>
        <v>.</v>
      </c>
      <c r="AW26" s="45" t="str">
        <f>IFERROR((E26/(s_RadSpec!AL26*((s_Q_p_poultry*s_f_p_poultry*s_f_s_poultry*(s_RadSpec!BD26+s_R_es_past))+(s_Q_s_poultry*s_f_p_poultry))))*1,".")</f>
        <v>.</v>
      </c>
      <c r="AX26" s="45" t="str">
        <f>IFERROR((F26/(s_RadSpec!AM26*((s_Q_p_poultry*s_f_p_poultry*s_f_s_poultry*(s_RadSpec!BD26+s_R_es_past))+(s_Q_s_poultry*s_f_p_poultry))))*1,".")</f>
        <v>.</v>
      </c>
      <c r="AY26" s="45" t="str">
        <f>IFERROR((L26/(s_RadSpec!AQ26*((s_Q_p_goat*s_f_p_goat*s_f_s_goat*(s_RadSpec!BD26+s_R_es_past))+(s_Q_s_goat*s_f_p_goat))))*1,".")</f>
        <v>.</v>
      </c>
      <c r="AZ26" s="45" t="str">
        <f>IFERROR((N26*s_D_milk/(s_RadSpec!AR26*((s_Q_p_goat_milk*s_f_p_goat_milk*s_f_s_goat_milk*(s_RadSpec!BD26+s_R_es_past))+(s_Q_s_goat_milk*s_f_p_goat_milk))))*1,".")</f>
        <v>.</v>
      </c>
      <c r="BA26" s="45">
        <f>IFERROR((M26/(s_RadSpec!AO26*((s_Q_p_sheep*s_f_p_sheep*s_f_s_sheep*(s_RadSpec!BD26+s_R_es_past))+(s_Q_s_sheep*s_f_p_sheep))))*1,".")</f>
        <v>12.962841059952435</v>
      </c>
      <c r="BB26" s="45" t="str">
        <f>IFERROR((O26*s_D_milk/(s_RadSpec!AP26*((s_Q_p_sheep_milk*s_f_p_sheep_milk*s_f_s_sheep_milk*(s_RadSpec!BD26+s_R_es_past))+(s_Q_s_sheep_milk*s_f_p_sheep_milk))))*1,".")</f>
        <v>.</v>
      </c>
      <c r="BC26" s="118">
        <f t="shared" si="11"/>
        <v>2.32804E-3</v>
      </c>
      <c r="BD26" s="118">
        <f t="shared" si="12"/>
        <v>1.1303589921292884E-4</v>
      </c>
      <c r="BE26" s="118">
        <f t="shared" si="13"/>
        <v>3.856975160279825E-4</v>
      </c>
      <c r="BF26" s="118">
        <f t="shared" si="14"/>
        <v>5.0555291324999994E-2</v>
      </c>
      <c r="BG26" s="118">
        <f t="shared" si="15"/>
        <v>0.2635833749999999</v>
      </c>
      <c r="BH26" s="118">
        <f t="shared" si="15"/>
        <v>127.39863124999997</v>
      </c>
      <c r="BI26" s="118">
        <f t="shared" si="16"/>
        <v>1.774302399730603E-2</v>
      </c>
      <c r="BJ26" s="118">
        <f t="shared" si="17"/>
        <v>3.7448341066496476E-4</v>
      </c>
      <c r="BK26" s="118" t="str">
        <f t="shared" si="18"/>
        <v>.</v>
      </c>
      <c r="BL26" s="118" t="str">
        <f t="shared" si="19"/>
        <v>.</v>
      </c>
      <c r="BM26" s="118" t="str">
        <f t="shared" si="20"/>
        <v>.</v>
      </c>
      <c r="BN26" s="118" t="str">
        <f t="shared" si="21"/>
        <v>.</v>
      </c>
      <c r="BO26" s="118" t="str">
        <f t="shared" si="22"/>
        <v>.</v>
      </c>
      <c r="BP26" s="118">
        <f t="shared" si="23"/>
        <v>7.7143582596982743E-2</v>
      </c>
      <c r="BQ26" s="118" t="str">
        <f t="shared" si="24"/>
        <v>.</v>
      </c>
      <c r="BR26" s="15">
        <f t="shared" si="46"/>
        <v>7.8240614089554687E-3</v>
      </c>
      <c r="BS26" s="40">
        <f t="shared" si="25"/>
        <v>302.5</v>
      </c>
      <c r="BT26" s="40">
        <f t="shared" si="26"/>
        <v>3.2362545583179352E-2</v>
      </c>
      <c r="BU26" s="40">
        <f>IFERROR((s_C*s_EF_far*(1/365)*s_ED_far*s_RadSpec!R26*((s_ET_far_o*(1/24)*s_RadSpec!W26)+(s_ET_far_i*(1/24)*s_RadSpec!AB26))),".")</f>
        <v>8.6022077403910116E-2</v>
      </c>
      <c r="BV26" s="40">
        <f>s_b2s!CC26</f>
        <v>8702.9249999999993</v>
      </c>
      <c r="BW26" s="40">
        <f>IFERROR(((s_C*s_RadSpec!AJ26)/s_RadSpec!AU26)*s_IFFI_far_adj*s_CF_far_fish,0)</f>
        <v>45375</v>
      </c>
      <c r="BX26" s="40">
        <f>IFERROR(((s_C*s_RadSpec!AK26)/s_RadSpec!AU26)*s_IFSF_far_adj*s_CF_far_shellfish,0)</f>
        <v>21931250</v>
      </c>
      <c r="BY26" s="40">
        <f>(s_C*s_IFB_far_adj*s_CF_far_beef*s_RadSpec!AI26*((s_Q_p_beef*s_f_p_beef*s_f_s_beef*(s_RadSpec!$AT26+s_R_es_past))+(s_Q_s_beef*s_f_p_beef)))</f>
        <v>3054.4024784482758</v>
      </c>
      <c r="BZ26" s="40">
        <f>(s_C*s_IFD_far_adj*s_CF_far_dairy*s_RadSpec!AH26*1/s_D_milk*((s_Q_p_dairy*s_f_p_dairy*s_f_s_dairy*(s_RadSpec!$AT26+s_R_es_past))+(s_Q_s_dairy*s_f_p_dairy)))</f>
        <v>64.466071727485769</v>
      </c>
      <c r="CA26" s="40">
        <f>IFERROR((s_C*s_IFSW_far_adj*s_CF_far_swine*s_RadSpec!AN26*((s_Q_p_swine*s_f_p_swine*s_f_s_swine*(s_RadSpec!$AT26+s_R_es_past))+(s_Q_s_swine*s_f_p_swine))),0)</f>
        <v>0</v>
      </c>
      <c r="CB26" s="40">
        <f>IFERROR((s_C*s_IFP_far_adj*s_CF_far_poultry*s_RadSpec!AL26*((s_Q_p_poultry*s_f_p_poultry*s_f_s_poultry*(s_RadSpec!AT26+s_R_es_past))+(s_Q_s_poultry*s_f_p_poultry))),0)</f>
        <v>0</v>
      </c>
      <c r="CC26" s="40">
        <f>IFERROR((s_C*s_IFE_far_adj*s_CF_far_egg*s_RadSpec!AM26*((s_Q_p_egg*s_f_p_egg*s_f_s_egg*(s_RadSpec!$AT26+s_R_es_past))+(s_Q_s_egg*s_f_p_egg))),0)</f>
        <v>0</v>
      </c>
      <c r="CD26" s="40">
        <f>IFERROR((s_C*s_IFGO_far_adj*s_CF_far_goat*s_RadSpec!AQ26*((s_Q_p_goat*s_f_p_goat*s_f_s_goat*(s_RadSpec!$AT26+s_R_es_past))+(s_Q_s_goat*s_f_p_goat))),0)</f>
        <v>0</v>
      </c>
      <c r="CE26" s="40">
        <f>IFERROR((s_C*s_IFGM_far_adj*s_CF_far_goat_milk*s_RadSpec!AR26*1/s_D_milk*((s_Q_p_goat_milk*s_f_p_goat_milk*s_f_s_goat_milk*(s_RadSpec!$AT26+s_R_es_past))+(s_Q_s_goat_milk*s_f_p_goat_milk))),0)</f>
        <v>0</v>
      </c>
      <c r="CF26" s="40">
        <f>IFERROR((s_C*s_IFSH_far_adj*s_CF_far_sheep*s_RadSpec!AO26*((s_Q_p_sheep*s_f_p_sheep*s_f_s_sheep*(s_RadSpec!$AT26+s_R_es_past))+(s_Q_s_sheep*s_f_p_sheep))),0)</f>
        <v>13280.010775862069</v>
      </c>
      <c r="CG26" s="40">
        <f>IFERROR((s_C*s_IFSM_far_adj*s_CF_far_sheep_milk*s_RadSpec!AP26*1/s_D_milk*((s_Q_p_sheep_milk*s_f_p_sheep_milk*s_f_s_sheep_milk*(s_RadSpec!$AT26+s_R_es_past))+(s_Q_s_sheep_milk*s_f_p_sheep_milk))),0)</f>
        <v>0</v>
      </c>
      <c r="CH26" s="18"/>
      <c r="CI26" s="18"/>
      <c r="CJ26" s="18"/>
      <c r="CK26" s="18"/>
      <c r="CL26" s="18"/>
      <c r="CM26" s="18"/>
      <c r="CN26" s="18"/>
      <c r="CO26" s="18"/>
      <c r="CP26" s="18"/>
      <c r="CQ26" s="18"/>
      <c r="CR26" s="18"/>
      <c r="CS26" s="18"/>
      <c r="CT26" s="18"/>
      <c r="CU26" s="18"/>
      <c r="CV26" s="18"/>
      <c r="CW26" s="5"/>
      <c r="CX26" s="15">
        <f>IFERROR(s_TR/(s_RadSpec!I26*s_IFW_far_adj),".")</f>
        <v>8.1357697251737005</v>
      </c>
      <c r="CY26" s="15" t="str">
        <f>IFERROR(IF(AND(s_RadSpec!C26=1,s_RadSpec!D26&lt;&gt;0),s_TR/(s_RadSpec!F26*s_IFA_far_adj*s_K*s_RadSpec!D26),"."),".")</f>
        <v>.</v>
      </c>
      <c r="CZ26" s="15">
        <f>IFERROR((s_TR/(s_RadSpec!M26*(1/8760)*s_DFA_far_adj)),".")</f>
        <v>29809158.052577883</v>
      </c>
      <c r="DA26" s="15">
        <f>s_b2w!BC26</f>
        <v>23.965985200355735</v>
      </c>
      <c r="DB26" s="15">
        <f>IFERROR(J26/(s_RadSpec!AJ26*(1/1000)),".")</f>
        <v>189.69329913163153</v>
      </c>
      <c r="DC26" s="15">
        <f>IFERROR(K26/(s_RadSpec!AK26*(1/1000)),".")</f>
        <v>0.39246889475509977</v>
      </c>
      <c r="DD26" s="15">
        <f>IFERROR(G26/(s_RadSpec!AI26*s_Q_w_beef*(1/1000)),".")</f>
        <v>989704.16938242537</v>
      </c>
      <c r="DE26" s="15">
        <f>IFERROR((H26*s_D_milk)/(s_RadSpec!AH26*s_Q_w_dairy*(1/1000)),".")</f>
        <v>46892183.545339309</v>
      </c>
      <c r="DF26" s="15" t="str">
        <f>IFERROR(I26/(s_RadSpec!AN26*s_Q_w_swine*(1/1000)),".")</f>
        <v>.</v>
      </c>
      <c r="DG26" s="15" t="str">
        <f>IFERROR(E26/(s_RadSpec!AL26*s_Q_w_poultry*(1/1000)),".")</f>
        <v>.</v>
      </c>
      <c r="DH26" s="15" t="str">
        <f>IFERROR(F26/(s_RadSpec!AM26*s_Q_w_poultry*(1/1000)),".")</f>
        <v>.</v>
      </c>
      <c r="DI26" s="15" t="str">
        <f>IFERROR(L26/(s_RadSpec!AQ26*s_Q_w_goat*(1/1000)),".")</f>
        <v>.</v>
      </c>
      <c r="DJ26" s="15" t="str">
        <f>IFERROR(N26*s_D_milk/(s_RadSpec!AR26*s_Q_w_goat_milk*(1/1000)),".")</f>
        <v>.</v>
      </c>
      <c r="DK26" s="15">
        <f>IFERROR(M26/(s_RadSpec!AO26*s_Q_w_sheep*(1/1000)),".")</f>
        <v>227631.95895795783</v>
      </c>
      <c r="DL26" s="15" t="str">
        <f>IFERROR(O26*s_D_milk/(s_RadSpec!AP26*s_Q_w_sheep_milk*(1/1000)),".")</f>
        <v>.</v>
      </c>
      <c r="DM26" s="118">
        <f t="shared" si="27"/>
        <v>0.12291399999999997</v>
      </c>
      <c r="DN26" s="118" t="str">
        <f t="shared" si="28"/>
        <v>.</v>
      </c>
      <c r="DO26" s="118">
        <f t="shared" si="29"/>
        <v>3.3546737490410955E-8</v>
      </c>
      <c r="DP26" s="118">
        <f t="shared" si="30"/>
        <v>4.1725803952560092E-2</v>
      </c>
      <c r="DQ26" s="118">
        <f t="shared" si="31"/>
        <v>5.2716674999999987E-3</v>
      </c>
      <c r="DR26" s="118">
        <f t="shared" si="31"/>
        <v>2.5479726249999994</v>
      </c>
      <c r="DS26" s="118">
        <f t="shared" si="32"/>
        <v>1.0104029374999998E-6</v>
      </c>
      <c r="DT26" s="118">
        <f t="shared" si="33"/>
        <v>2.132551577669903E-8</v>
      </c>
      <c r="DU26" s="118" t="str">
        <f t="shared" si="34"/>
        <v>.</v>
      </c>
      <c r="DV26" s="118" t="str">
        <f t="shared" si="35"/>
        <v>.</v>
      </c>
      <c r="DW26" s="118" t="str">
        <f t="shared" si="36"/>
        <v>.</v>
      </c>
      <c r="DX26" s="118" t="str">
        <f t="shared" si="37"/>
        <v>.</v>
      </c>
      <c r="DY26" s="118" t="str">
        <f t="shared" si="38"/>
        <v>.</v>
      </c>
      <c r="DZ26" s="118">
        <f t="shared" si="39"/>
        <v>4.393056249999999E-6</v>
      </c>
      <c r="EA26" s="118" t="str">
        <f t="shared" si="40"/>
        <v>.</v>
      </c>
      <c r="EB26" s="15">
        <f t="shared" si="47"/>
        <v>0.36793253730263281</v>
      </c>
      <c r="EC26" s="40">
        <f t="shared" si="41"/>
        <v>27500</v>
      </c>
      <c r="ED26" s="40">
        <f>IFERROR(IF(s_RadSpec!D26&lt;&gt;"",s_C*s_IFA_far_adj*s_K*s_RadSpec!D26,0),".")</f>
        <v>0</v>
      </c>
      <c r="EE26" s="40">
        <f t="shared" si="42"/>
        <v>2.5114155251141552</v>
      </c>
      <c r="EF26" s="40">
        <f>s_b2w!CC26</f>
        <v>7182.9581601928212</v>
      </c>
      <c r="EG26" s="40">
        <f>IFERROR(s_C*s_RadSpec!AJ26*(1/1000)*s_IFFI_far_adj*s_CF_far_fish,0)</f>
        <v>907.5</v>
      </c>
      <c r="EH26" s="40">
        <f>IFERROR(s_C*s_RadSpec!AK26*(1/1000)*s_IFSF_far_adj*s_CF_far_shellfish,0)</f>
        <v>438625</v>
      </c>
      <c r="EI26" s="40">
        <f>(s_C*s_IFB_far_adj*s_CF_far_beef*s_RadSpec!AI26*s_Q_w_beef*(1/1000))</f>
        <v>0.17393749999999999</v>
      </c>
      <c r="EJ26" s="40">
        <f>(s_C*s_IFD_far_adj*s_CF_far_dairy*s_RadSpec!AH26*(1/s_D_milk)*s_Q_w_dairy*(1/1000))</f>
        <v>3.6711165048543696E-3</v>
      </c>
      <c r="EK26" s="40">
        <f>IFERROR((s_C*s_IFSW_far_adj*s_CF_far_swine*s_RadSpec!AN26*s_Q_w_swine*(1/1000)),0)</f>
        <v>0</v>
      </c>
      <c r="EL26" s="40">
        <f>IFERROR((s_C*s_IFP_far_adj*s_CF_far_poultry*s_RadSpec!AL26*s_Q_w_poultry*(1/1000)),0)</f>
        <v>0</v>
      </c>
      <c r="EM26" s="40">
        <f>IFERROR((s_C*s_IFE_far_adj*s_CF_far_egg*s_RadSpec!AM26*s_Q_w_egg*(1/1000)),0)</f>
        <v>0</v>
      </c>
      <c r="EN26" s="40">
        <f>IFERROR((s_C*s_IFGO_far_adj*s_CF_far_goat*s_RadSpec!AQ26*s_Q_p_goat*(1/1000)),0)</f>
        <v>0</v>
      </c>
      <c r="EO26" s="40">
        <f>IFERROR((s_C*s_IFGM_far_adj*s_CF_far_goat_milk*s_RadSpec!AR26*(1/s_D_milk)*s_Q_p_goat_milk*(1/1000)),0)</f>
        <v>0</v>
      </c>
      <c r="EP26" s="40">
        <f>IFERROR((s_C*s_IFSH_far_adj*s_CF_far_sheep*s_RadSpec!AO26*s_Q_p_sheep*(1/1000)),0)</f>
        <v>0.75624999999999998</v>
      </c>
      <c r="EQ26" s="40">
        <f>IFERROR((s_C*s_IFSM_far_adj*s_CF_far_sheep_milk*s_RadSpec!AP26*(1/s_D_milk)*s_Q_p_sheep_milk*(1/1000)),0)</f>
        <v>0</v>
      </c>
      <c r="ER26" s="18"/>
      <c r="ES26" s="18"/>
      <c r="ET26" s="18"/>
      <c r="EU26" s="18"/>
      <c r="EV26" s="18"/>
      <c r="EW26" s="18"/>
      <c r="EX26" s="18"/>
      <c r="EY26" s="18"/>
      <c r="EZ26" s="18"/>
      <c r="FA26" s="18"/>
      <c r="FB26" s="18"/>
      <c r="FC26" s="18"/>
      <c r="FD26" s="18"/>
      <c r="FE26" s="18"/>
      <c r="FF26" s="18"/>
      <c r="FG26" s="5"/>
      <c r="FH26" s="15">
        <f>IFERROR((s_TR/(s_RadSpec!F26*s_IFA_far_adj)),".")</f>
        <v>2.8555960759350591E-2</v>
      </c>
      <c r="FI26" s="15">
        <f>IFERROR((s_TR/(s_RadSpec!K26*s_EF_far*(1/365)*s_ED_far*s_ET_far*(1/24)*s_GSF_a)),".")</f>
        <v>106153.07957089211</v>
      </c>
      <c r="FJ26" s="15">
        <f t="shared" ref="FJ26:FJ29" si="58">IFERROR(IF(AND(ISNUMBER(FH26),ISNUMBER(FI26)),1/((1/FH26)+(1/FI26)),IF(AND(ISNUMBER(FH26),NOT(ISNUMBER(FI26))),1/((1/FH26)),IF(AND(NOT(ISNUMBER(FH26)),ISNUMBER(FI26)),1/((1/FI26)),IF(AND(NOT(ISNUMBER(FH26)),NOT(ISNUMBER(FI26))),".")))),".")</f>
        <v>2.8555953077588753E-2</v>
      </c>
      <c r="FK26" s="40">
        <f t="shared" si="44"/>
        <v>10026.041666666666</v>
      </c>
      <c r="FL26" s="40">
        <f t="shared" si="45"/>
        <v>1.5696347031963471</v>
      </c>
      <c r="FM26" s="120"/>
      <c r="FN26" s="120"/>
      <c r="FO26" s="120"/>
    </row>
    <row r="27" spans="1:171" customFormat="1" x14ac:dyDescent="0.25">
      <c r="A27" s="44" t="s">
        <v>37</v>
      </c>
      <c r="B27" s="42" t="s">
        <v>1071</v>
      </c>
      <c r="C27" s="249"/>
      <c r="D27" s="15" t="str">
        <f>s_dir!AC27</f>
        <v>.</v>
      </c>
      <c r="E27" s="15" t="str">
        <f>IFERROR(s_TR/(s_RadSpec!H27*s_IFP_far_adj*s_CF_far_poultry),".")</f>
        <v>.</v>
      </c>
      <c r="F27" s="15" t="str">
        <f>IFERROR(s_TR/(s_RadSpec!H27*s_IFE_far_adj*s_CF_far_egg),".")</f>
        <v>.</v>
      </c>
      <c r="G27" s="15" t="str">
        <f>IFERROR(s_TR/(s_RadSpec!H27*s_IFB_far_adj*s_CF_far_beef),".")</f>
        <v>.</v>
      </c>
      <c r="H27" s="15" t="str">
        <f>IFERROR(s_TR/(s_RadSpec!H27*s_IFD_far_adj*s_CF_far_dairy),".")</f>
        <v>.</v>
      </c>
      <c r="I27" s="15" t="str">
        <f>IFERROR(s_TR/(s_RadSpec!H27*s_IFSW_far_adj*s_CF_far_swine),".")</f>
        <v>.</v>
      </c>
      <c r="J27" s="15" t="str">
        <f>IFERROR(s_TR/(s_RadSpec!H27*s_IFFI_far_adj*s_CF_far_fish),".")</f>
        <v>.</v>
      </c>
      <c r="K27" s="15" t="str">
        <f>IFERROR(s_TR/(s_RadSpec!H27*s_IFSF_far_adj*s_CF_far_shellfish),".")</f>
        <v>.</v>
      </c>
      <c r="L27" s="15" t="str">
        <f>IFERROR(s_TR/(s_RadSpec!H27*s_IFGO_far_adj*s_CF_far_goat),".")</f>
        <v>.</v>
      </c>
      <c r="M27" s="15" t="str">
        <f>IFERROR(s_TR/(s_RadSpec!H27*s_IFSH_far_adj*s_CF_far_sheep),".")</f>
        <v>.</v>
      </c>
      <c r="N27" s="15" t="str">
        <f>IFERROR(s_TR/(s_RadSpec!H27*s_IFGM_far_adj*s_CF_far_goat_milk),".")</f>
        <v>.</v>
      </c>
      <c r="O27" s="15" t="str">
        <f>IFERROR(s_TR/(s_RadSpec!H27*s_IFSM_far_adj*s_CF_far_sheep_milk),".")</f>
        <v>.</v>
      </c>
      <c r="P27" s="40">
        <f>s_dir!BC27</f>
        <v>605000</v>
      </c>
      <c r="Q27" s="40">
        <f t="shared" si="0"/>
        <v>151250</v>
      </c>
      <c r="R27" s="40">
        <f t="shared" si="1"/>
        <v>151250</v>
      </c>
      <c r="S27" s="40">
        <f t="shared" si="2"/>
        <v>151250</v>
      </c>
      <c r="T27" s="40">
        <f t="shared" si="3"/>
        <v>151250</v>
      </c>
      <c r="U27" s="40">
        <f t="shared" si="4"/>
        <v>151250</v>
      </c>
      <c r="V27" s="40">
        <f t="shared" si="5"/>
        <v>151250</v>
      </c>
      <c r="W27" s="40">
        <f t="shared" si="6"/>
        <v>151250</v>
      </c>
      <c r="X27" s="40">
        <f t="shared" si="7"/>
        <v>151250</v>
      </c>
      <c r="Y27" s="40">
        <f t="shared" si="8"/>
        <v>151250</v>
      </c>
      <c r="Z27" s="40">
        <f t="shared" si="9"/>
        <v>151250</v>
      </c>
      <c r="AA27" s="40">
        <f t="shared" si="10"/>
        <v>151250</v>
      </c>
      <c r="AB27" s="5"/>
      <c r="AC27" s="5"/>
      <c r="AD27" s="5"/>
      <c r="AE27" s="5"/>
      <c r="AF27" s="5"/>
      <c r="AG27" s="5"/>
      <c r="AH27" s="5"/>
      <c r="AI27" s="5"/>
      <c r="AJ27" s="5"/>
      <c r="AK27" s="5"/>
      <c r="AL27" s="5"/>
      <c r="AM27" s="5"/>
      <c r="AN27" s="45" t="str">
        <f>IFERROR((s_TR/(s_RadSpec!E27*s_IFS_far_adj*(1/1000)))*1,".")</f>
        <v>.</v>
      </c>
      <c r="AO27" s="45" t="str">
        <f>IFERROR(IF(A27="H-3",(s_TR/(s_RadSpec!F27*s_IFA_far_adj*(1/17)*1000))*1,(s_TR/(s_RadSpec!F27*s_IFA_far_adj*(1/s_PEF_wind)*1000))*1),".")</f>
        <v>.</v>
      </c>
      <c r="AP27" s="45">
        <f>IFERROR((s_TR/(s_RadSpec!G27*s_EF_far*(1/365)*s_ED_far*s_RadSpec!R27*((s_ET_far_o*(1/24)*s_RadSpec!W27)+(s_ET_far_i*(1/24)*s_RadSpec!AB27))))*1,".")</f>
        <v>20054.24920822815</v>
      </c>
      <c r="AQ27" s="45" t="str">
        <f>s_b2s!BC27</f>
        <v>.</v>
      </c>
      <c r="AR27" s="45" t="str">
        <f>IFERROR(((J27*s_RadSpec!AU27)/s_RadSpec!AJ27)*1,".")</f>
        <v>.</v>
      </c>
      <c r="AS27" s="45" t="str">
        <f>IFERROR(((K27*s_RadSpec!AU27)/s_RadSpec!AK27)*1,".")</f>
        <v>.</v>
      </c>
      <c r="AT27" s="45" t="str">
        <f>IFERROR((G27/(s_RadSpec!AI27*((s_Q_p_beef*s_f_p_beef*s_f_s_beef*(s_RadSpec!BD27+s_R_es_past))+(s_Q_s_beef*s_f_p_beef))))*1,".")</f>
        <v>.</v>
      </c>
      <c r="AU27" s="45" t="str">
        <f>IFERROR(((H27*s_D_milk)/(s_RadSpec!AH27*((s_Q_p_dairy*s_f_p_dairy*s_f_s_dairy*(s_RadSpec!BD27+s_R_es_past))+(s_Q_s_dairy*s_f_p_dairy))))*1,".")</f>
        <v>.</v>
      </c>
      <c r="AV27" s="45" t="str">
        <f>IFERROR((I27/(s_RadSpec!AN27*((s_Q_p_swine*s_f_p_swine*s_f_s_swine*(s_RadSpec!BD27+s_R_es_past))+(s_Q_s_swine*s_f_p_swine))))*1,".")</f>
        <v>.</v>
      </c>
      <c r="AW27" s="45" t="str">
        <f>IFERROR((E27/(s_RadSpec!AL27*((s_Q_p_poultry*s_f_p_poultry*s_f_s_poultry*(s_RadSpec!BD27+s_R_es_past))+(s_Q_s_poultry*s_f_p_poultry))))*1,".")</f>
        <v>.</v>
      </c>
      <c r="AX27" s="45" t="str">
        <f>IFERROR((F27/(s_RadSpec!AM27*((s_Q_p_poultry*s_f_p_poultry*s_f_s_poultry*(s_RadSpec!BD27+s_R_es_past))+(s_Q_s_poultry*s_f_p_poultry))))*1,".")</f>
        <v>.</v>
      </c>
      <c r="AY27" s="45" t="str">
        <f>IFERROR((L27/(s_RadSpec!AQ27*((s_Q_p_goat*s_f_p_goat*s_f_s_goat*(s_RadSpec!BD27+s_R_es_past))+(s_Q_s_goat*s_f_p_goat))))*1,".")</f>
        <v>.</v>
      </c>
      <c r="AZ27" s="45" t="str">
        <f>IFERROR((N27*s_D_milk/(s_RadSpec!AR27*((s_Q_p_goat_milk*s_f_p_goat_milk*s_f_s_goat_milk*(s_RadSpec!BD27+s_R_es_past))+(s_Q_s_goat_milk*s_f_p_goat_milk))))*1,".")</f>
        <v>.</v>
      </c>
      <c r="BA27" s="45" t="str">
        <f>IFERROR((M27/(s_RadSpec!AO27*((s_Q_p_sheep*s_f_p_sheep*s_f_s_sheep*(s_RadSpec!BD27+s_R_es_past))+(s_Q_s_sheep*s_f_p_sheep))))*1,".")</f>
        <v>.</v>
      </c>
      <c r="BB27" s="45" t="str">
        <f>IFERROR((O27*s_D_milk/(s_RadSpec!AP27*((s_Q_p_sheep_milk*s_f_p_sheep_milk*s_f_s_sheep_milk*(s_RadSpec!BD27+s_R_es_past))+(s_Q_s_sheep_milk*s_f_p_sheep_milk))))*1,".")</f>
        <v>.</v>
      </c>
      <c r="BC27" s="118" t="str">
        <f t="shared" si="11"/>
        <v>.</v>
      </c>
      <c r="BD27" s="118" t="str">
        <f t="shared" si="12"/>
        <v>.</v>
      </c>
      <c r="BE27" s="118">
        <f t="shared" si="13"/>
        <v>4.9864743856364636E-5</v>
      </c>
      <c r="BF27" s="118" t="str">
        <f t="shared" si="14"/>
        <v>.</v>
      </c>
      <c r="BG27" s="118" t="str">
        <f t="shared" si="15"/>
        <v>.</v>
      </c>
      <c r="BH27" s="118" t="str">
        <f t="shared" si="15"/>
        <v>.</v>
      </c>
      <c r="BI27" s="118" t="str">
        <f t="shared" si="16"/>
        <v>.</v>
      </c>
      <c r="BJ27" s="118" t="str">
        <f t="shared" si="17"/>
        <v>.</v>
      </c>
      <c r="BK27" s="118" t="str">
        <f t="shared" si="18"/>
        <v>.</v>
      </c>
      <c r="BL27" s="118" t="str">
        <f t="shared" si="19"/>
        <v>.</v>
      </c>
      <c r="BM27" s="118" t="str">
        <f t="shared" si="20"/>
        <v>.</v>
      </c>
      <c r="BN27" s="118" t="str">
        <f t="shared" si="21"/>
        <v>.</v>
      </c>
      <c r="BO27" s="118" t="str">
        <f t="shared" si="22"/>
        <v>.</v>
      </c>
      <c r="BP27" s="118" t="str">
        <f t="shared" si="23"/>
        <v>.</v>
      </c>
      <c r="BQ27" s="118" t="str">
        <f t="shared" si="24"/>
        <v>.</v>
      </c>
      <c r="BR27" s="15">
        <f t="shared" si="46"/>
        <v>20054.24920822815</v>
      </c>
      <c r="BS27" s="40">
        <f t="shared" si="25"/>
        <v>302.5</v>
      </c>
      <c r="BT27" s="40">
        <f t="shared" si="26"/>
        <v>3.2362545583179352E-2</v>
      </c>
      <c r="BU27" s="40">
        <f>IFERROR((s_C*s_EF_far*(1/365)*s_ED_far*s_RadSpec!R27*((s_ET_far_o*(1/24)*s_RadSpec!W27)+(s_ET_far_i*(1/24)*s_RadSpec!AB27))),".")</f>
        <v>0.40827822390174751</v>
      </c>
      <c r="BV27" s="40">
        <f>s_b2s!CC27</f>
        <v>38671.600000000006</v>
      </c>
      <c r="BW27" s="40">
        <f>IFERROR(((s_C*s_RadSpec!AJ27)/s_RadSpec!AU27)*s_IFFI_far_adj*s_CF_far_fish,0)</f>
        <v>90750</v>
      </c>
      <c r="BX27" s="40">
        <f>IFERROR(((s_C*s_RadSpec!AK27)/s_RadSpec!AU27)*s_IFSF_far_adj*s_CF_far_shellfish,0)</f>
        <v>0</v>
      </c>
      <c r="BY27" s="40">
        <f>(s_C*s_IFB_far_adj*s_CF_far_beef*s_RadSpec!AI27*((s_Q_p_beef*s_f_p_beef*s_f_s_beef*(s_RadSpec!$AT27+s_R_es_past))+(s_Q_s_beef*s_f_p_beef)))</f>
        <v>535425</v>
      </c>
      <c r="BZ27" s="40">
        <f>(s_C*s_IFD_far_adj*s_CF_far_dairy*s_RadSpec!AH27*1/s_D_milk*((s_Q_p_dairy*s_f_p_dairy*s_f_s_dairy*(s_RadSpec!$AT27+s_R_es_past))+(s_Q_s_dairy*s_f_p_dairy)))</f>
        <v>25991.504854368934</v>
      </c>
      <c r="CA27" s="40">
        <f>IFERROR((s_C*s_IFSW_far_adj*s_CF_far_swine*s_RadSpec!AN27*((s_Q_p_swine*s_f_p_swine*s_f_s_swine*(s_RadSpec!$AT27+s_R_es_past))+(s_Q_s_swine*s_f_p_swine))),0)</f>
        <v>0</v>
      </c>
      <c r="CB27" s="40">
        <f>IFERROR((s_C*s_IFP_far_adj*s_CF_far_poultry*s_RadSpec!AL27*((s_Q_p_poultry*s_f_p_poultry*s_f_s_poultry*(s_RadSpec!AT27+s_R_es_past))+(s_Q_s_poultry*s_f_p_poultry))),0)</f>
        <v>0</v>
      </c>
      <c r="CC27" s="40">
        <f>IFERROR((s_C*s_IFE_far_adj*s_CF_far_egg*s_RadSpec!AM27*((s_Q_p_egg*s_f_p_egg*s_f_s_egg*(s_RadSpec!$AT27+s_R_es_past))+(s_Q_s_egg*s_f_p_egg))),0)</f>
        <v>0</v>
      </c>
      <c r="CD27" s="40">
        <f>IFERROR((s_C*s_IFGO_far_adj*s_CF_far_goat*s_RadSpec!AQ27*((s_Q_p_goat*s_f_p_goat*s_f_s_goat*(s_RadSpec!$AT27+s_R_es_past))+(s_Q_s_goat*s_f_p_goat))),0)</f>
        <v>0</v>
      </c>
      <c r="CE27" s="40">
        <f>IFERROR((s_C*s_IFGM_far_adj*s_CF_far_goat_milk*s_RadSpec!AR27*1/s_D_milk*((s_Q_p_goat_milk*s_f_p_goat_milk*s_f_s_goat_milk*(s_RadSpec!$AT27+s_R_es_past))+(s_Q_s_goat_milk*s_f_p_goat_milk))),0)</f>
        <v>0</v>
      </c>
      <c r="CF27" s="40">
        <f>IFERROR((s_C*s_IFSH_far_adj*s_CF_far_sheep*s_RadSpec!AO27*((s_Q_p_sheep*s_f_p_sheep*s_f_s_sheep*(s_RadSpec!$AT27+s_R_es_past))+(s_Q_s_sheep*s_f_p_sheep))),0)</f>
        <v>5354250</v>
      </c>
      <c r="CG27" s="40">
        <f>IFERROR((s_C*s_IFSM_far_adj*s_CF_far_sheep_milk*s_RadSpec!AP27*1/s_D_milk*((s_Q_p_sheep_milk*s_f_p_sheep_milk*s_f_s_sheep_milk*(s_RadSpec!$AT27+s_R_es_past))+(s_Q_s_sheep_milk*s_f_p_sheep_milk))),0)</f>
        <v>0</v>
      </c>
      <c r="CH27" s="18"/>
      <c r="CI27" s="18"/>
      <c r="CJ27" s="18"/>
      <c r="CK27" s="18"/>
      <c r="CL27" s="18"/>
      <c r="CM27" s="18"/>
      <c r="CN27" s="18"/>
      <c r="CO27" s="18"/>
      <c r="CP27" s="18"/>
      <c r="CQ27" s="18"/>
      <c r="CR27" s="18"/>
      <c r="CS27" s="18"/>
      <c r="CT27" s="18"/>
      <c r="CU27" s="18"/>
      <c r="CV27" s="18"/>
      <c r="CW27" s="5"/>
      <c r="CX27" s="15" t="str">
        <f>IFERROR(s_TR/(s_RadSpec!I27*s_IFW_far_adj),".")</f>
        <v>.</v>
      </c>
      <c r="CY27" s="15" t="str">
        <f>IFERROR(IF(AND(s_RadSpec!C27=1,s_RadSpec!D27&lt;&gt;0),s_TR/(s_RadSpec!F27*s_IFA_far_adj*s_K*s_RadSpec!D27),"."),".")</f>
        <v>.</v>
      </c>
      <c r="CZ27" s="15">
        <f>IFERROR((s_TR/(s_RadSpec!M27*(1/8760)*s_DFA_far_adj)),".")</f>
        <v>1353241143.3392498</v>
      </c>
      <c r="DA27" s="15" t="str">
        <f>s_b2w!BC27</f>
        <v>.</v>
      </c>
      <c r="DB27" s="15" t="str">
        <f>IFERROR(J27/(s_RadSpec!AJ27*(1/1000)),".")</f>
        <v>.</v>
      </c>
      <c r="DC27" s="15" t="str">
        <f>IFERROR(K27/(s_RadSpec!AK27*(1/1000)),".")</f>
        <v>.</v>
      </c>
      <c r="DD27" s="15" t="str">
        <f>IFERROR(G27/(s_RadSpec!AI27*s_Q_w_beef*(1/1000)),".")</f>
        <v>.</v>
      </c>
      <c r="DE27" s="15" t="str">
        <f>IFERROR((H27*s_D_milk)/(s_RadSpec!AH27*s_Q_w_dairy*(1/1000)),".")</f>
        <v>.</v>
      </c>
      <c r="DF27" s="15" t="str">
        <f>IFERROR(I27/(s_RadSpec!AN27*s_Q_w_swine*(1/1000)),".")</f>
        <v>.</v>
      </c>
      <c r="DG27" s="15" t="str">
        <f>IFERROR(E27/(s_RadSpec!AL27*s_Q_w_poultry*(1/1000)),".")</f>
        <v>.</v>
      </c>
      <c r="DH27" s="15" t="str">
        <f>IFERROR(F27/(s_RadSpec!AM27*s_Q_w_poultry*(1/1000)),".")</f>
        <v>.</v>
      </c>
      <c r="DI27" s="15" t="str">
        <f>IFERROR(L27/(s_RadSpec!AQ27*s_Q_w_goat*(1/1000)),".")</f>
        <v>.</v>
      </c>
      <c r="DJ27" s="15" t="str">
        <f>IFERROR(N27*s_D_milk/(s_RadSpec!AR27*s_Q_w_goat_milk*(1/1000)),".")</f>
        <v>.</v>
      </c>
      <c r="DK27" s="15" t="str">
        <f>IFERROR(M27/(s_RadSpec!AO27*s_Q_w_sheep*(1/1000)),".")</f>
        <v>.</v>
      </c>
      <c r="DL27" s="15" t="str">
        <f>IFERROR(O27*s_D_milk/(s_RadSpec!AP27*s_Q_w_sheep_milk*(1/1000)),".")</f>
        <v>.</v>
      </c>
      <c r="DM27" s="118" t="str">
        <f t="shared" si="27"/>
        <v>.</v>
      </c>
      <c r="DN27" s="118" t="str">
        <f t="shared" si="28"/>
        <v>.</v>
      </c>
      <c r="DO27" s="118">
        <f t="shared" si="29"/>
        <v>7.3896659506849305E-10</v>
      </c>
      <c r="DP27" s="118" t="str">
        <f t="shared" si="30"/>
        <v>.</v>
      </c>
      <c r="DQ27" s="118" t="str">
        <f t="shared" si="31"/>
        <v>.</v>
      </c>
      <c r="DR27" s="118" t="str">
        <f t="shared" si="31"/>
        <v>.</v>
      </c>
      <c r="DS27" s="118" t="str">
        <f t="shared" si="32"/>
        <v>.</v>
      </c>
      <c r="DT27" s="118" t="str">
        <f t="shared" si="33"/>
        <v>.</v>
      </c>
      <c r="DU27" s="118" t="str">
        <f t="shared" si="34"/>
        <v>.</v>
      </c>
      <c r="DV27" s="118" t="str">
        <f t="shared" si="35"/>
        <v>.</v>
      </c>
      <c r="DW27" s="118" t="str">
        <f t="shared" si="36"/>
        <v>.</v>
      </c>
      <c r="DX27" s="118" t="str">
        <f t="shared" si="37"/>
        <v>.</v>
      </c>
      <c r="DY27" s="118" t="str">
        <f t="shared" si="38"/>
        <v>.</v>
      </c>
      <c r="DZ27" s="118" t="str">
        <f t="shared" si="39"/>
        <v>.</v>
      </c>
      <c r="EA27" s="118" t="str">
        <f t="shared" si="40"/>
        <v>.</v>
      </c>
      <c r="EB27" s="15">
        <f t="shared" si="47"/>
        <v>1353241143.3392498</v>
      </c>
      <c r="EC27" s="40">
        <f t="shared" si="41"/>
        <v>27500</v>
      </c>
      <c r="ED27" s="40">
        <f>IFERROR(IF(s_RadSpec!D27&lt;&gt;"",s_C*s_IFA_far_adj*s_K*s_RadSpec!D27,0),".")</f>
        <v>0</v>
      </c>
      <c r="EE27" s="40">
        <f t="shared" si="42"/>
        <v>2.5114155251141552</v>
      </c>
      <c r="EF27" s="40">
        <f>s_b2w!CC27</f>
        <v>13137.755598218413</v>
      </c>
      <c r="EG27" s="40">
        <f>IFERROR(s_C*s_RadSpec!AJ27*(1/1000)*s_IFFI_far_adj*s_CF_far_fish,0)</f>
        <v>136125</v>
      </c>
      <c r="EH27" s="40">
        <f>IFERROR(s_C*s_RadSpec!AK27*(1/1000)*s_IFSF_far_adj*s_CF_far_shellfish,0)</f>
        <v>0</v>
      </c>
      <c r="EI27" s="40">
        <f>(s_C*s_IFB_far_adj*s_CF_far_beef*s_RadSpec!AI27*s_Q_w_beef*(1/1000))</f>
        <v>30.25</v>
      </c>
      <c r="EJ27" s="40">
        <f>(s_C*s_IFD_far_adj*s_CF_far_dairy*s_RadSpec!AH27*(1/s_D_milk)*s_Q_w_dairy*(1/1000))</f>
        <v>1.4684466019417477</v>
      </c>
      <c r="EK27" s="40">
        <f>IFERROR((s_C*s_IFSW_far_adj*s_CF_far_swine*s_RadSpec!AN27*s_Q_w_swine*(1/1000)),0)</f>
        <v>0</v>
      </c>
      <c r="EL27" s="40">
        <f>IFERROR((s_C*s_IFP_far_adj*s_CF_far_poultry*s_RadSpec!AL27*s_Q_w_poultry*(1/1000)),0)</f>
        <v>0</v>
      </c>
      <c r="EM27" s="40">
        <f>IFERROR((s_C*s_IFE_far_adj*s_CF_far_egg*s_RadSpec!AM27*s_Q_w_egg*(1/1000)),0)</f>
        <v>0</v>
      </c>
      <c r="EN27" s="40">
        <f>IFERROR((s_C*s_IFGO_far_adj*s_CF_far_goat*s_RadSpec!AQ27*s_Q_p_goat*(1/1000)),0)</f>
        <v>0</v>
      </c>
      <c r="EO27" s="40">
        <f>IFERROR((s_C*s_IFGM_far_adj*s_CF_far_goat_milk*s_RadSpec!AR27*(1/s_D_milk)*s_Q_p_goat_milk*(1/1000)),0)</f>
        <v>0</v>
      </c>
      <c r="EP27" s="40">
        <f>IFERROR((s_C*s_IFSH_far_adj*s_CF_far_sheep*s_RadSpec!AO27*s_Q_p_sheep*(1/1000)),0)</f>
        <v>302.5</v>
      </c>
      <c r="EQ27" s="40">
        <f>IFERROR((s_C*s_IFSM_far_adj*s_CF_far_sheep_milk*s_RadSpec!AP27*(1/s_D_milk)*s_Q_p_sheep_milk*(1/1000)),0)</f>
        <v>0</v>
      </c>
      <c r="ER27" s="18"/>
      <c r="ES27" s="18"/>
      <c r="ET27" s="18"/>
      <c r="EU27" s="18"/>
      <c r="EV27" s="18"/>
      <c r="EW27" s="18"/>
      <c r="EX27" s="18"/>
      <c r="EY27" s="18"/>
      <c r="EZ27" s="18"/>
      <c r="FA27" s="18"/>
      <c r="FB27" s="18"/>
      <c r="FC27" s="18"/>
      <c r="FD27" s="18"/>
      <c r="FE27" s="18"/>
      <c r="FF27" s="18"/>
      <c r="FG27" s="5"/>
      <c r="FH27" s="15" t="str">
        <f>IFERROR((s_TR/(s_RadSpec!F27*s_IFA_far_adj)),".")</f>
        <v>.</v>
      </c>
      <c r="FI27" s="15">
        <f>IFERROR((s_TR/(s_RadSpec!K27*s_EF_far*(1/365)*s_ED_far*s_ET_far*(1/24)*s_GSF_a)),".")</f>
        <v>3388986.5154930782</v>
      </c>
      <c r="FJ27" s="15">
        <f t="shared" si="58"/>
        <v>3388986.5154930782</v>
      </c>
      <c r="FK27" s="40">
        <f t="shared" si="44"/>
        <v>10026.041666666666</v>
      </c>
      <c r="FL27" s="40">
        <f t="shared" si="45"/>
        <v>1.5696347031963471</v>
      </c>
      <c r="FM27" s="120"/>
      <c r="FN27" s="120"/>
      <c r="FO27" s="120"/>
    </row>
    <row r="28" spans="1:171" customFormat="1" x14ac:dyDescent="0.25">
      <c r="A28" s="44" t="s">
        <v>38</v>
      </c>
      <c r="B28" s="42" t="s">
        <v>1071</v>
      </c>
      <c r="C28" s="42"/>
      <c r="D28" s="15" t="str">
        <f>s_dir!AC28</f>
        <v>.</v>
      </c>
      <c r="E28" s="15" t="str">
        <f>IFERROR(s_TR/(s_RadSpec!H28*s_IFP_far_adj*s_CF_far_poultry),".")</f>
        <v>.</v>
      </c>
      <c r="F28" s="15" t="str">
        <f>IFERROR(s_TR/(s_RadSpec!H28*s_IFE_far_adj*s_CF_far_egg),".")</f>
        <v>.</v>
      </c>
      <c r="G28" s="15" t="str">
        <f>IFERROR(s_TR/(s_RadSpec!H28*s_IFB_far_adj*s_CF_far_beef),".")</f>
        <v>.</v>
      </c>
      <c r="H28" s="15" t="str">
        <f>IFERROR(s_TR/(s_RadSpec!H28*s_IFD_far_adj*s_CF_far_dairy),".")</f>
        <v>.</v>
      </c>
      <c r="I28" s="15" t="str">
        <f>IFERROR(s_TR/(s_RadSpec!H28*s_IFSW_far_adj*s_CF_far_swine),".")</f>
        <v>.</v>
      </c>
      <c r="J28" s="15" t="str">
        <f>IFERROR(s_TR/(s_RadSpec!H28*s_IFFI_far_adj*s_CF_far_fish),".")</f>
        <v>.</v>
      </c>
      <c r="K28" s="15" t="str">
        <f>IFERROR(s_TR/(s_RadSpec!H28*s_IFSF_far_adj*s_CF_far_shellfish),".")</f>
        <v>.</v>
      </c>
      <c r="L28" s="15" t="str">
        <f>IFERROR(s_TR/(s_RadSpec!H28*s_IFGO_far_adj*s_CF_far_goat),".")</f>
        <v>.</v>
      </c>
      <c r="M28" s="15" t="str">
        <f>IFERROR(s_TR/(s_RadSpec!H28*s_IFSH_far_adj*s_CF_far_sheep),".")</f>
        <v>.</v>
      </c>
      <c r="N28" s="15" t="str">
        <f>IFERROR(s_TR/(s_RadSpec!H28*s_IFGM_far_adj*s_CF_far_goat_milk),".")</f>
        <v>.</v>
      </c>
      <c r="O28" s="15" t="str">
        <f>IFERROR(s_TR/(s_RadSpec!H28*s_IFSM_far_adj*s_CF_far_sheep_milk),".")</f>
        <v>.</v>
      </c>
      <c r="P28" s="40">
        <f>s_dir!BC28</f>
        <v>605000</v>
      </c>
      <c r="Q28" s="40">
        <f t="shared" si="0"/>
        <v>151250</v>
      </c>
      <c r="R28" s="40">
        <f t="shared" si="1"/>
        <v>151250</v>
      </c>
      <c r="S28" s="40">
        <f t="shared" si="2"/>
        <v>151250</v>
      </c>
      <c r="T28" s="40">
        <f t="shared" si="3"/>
        <v>151250</v>
      </c>
      <c r="U28" s="40">
        <f t="shared" si="4"/>
        <v>151250</v>
      </c>
      <c r="V28" s="40">
        <f t="shared" si="5"/>
        <v>151250</v>
      </c>
      <c r="W28" s="40">
        <f t="shared" si="6"/>
        <v>151250</v>
      </c>
      <c r="X28" s="40">
        <f t="shared" si="7"/>
        <v>151250</v>
      </c>
      <c r="Y28" s="40">
        <f t="shared" si="8"/>
        <v>151250</v>
      </c>
      <c r="Z28" s="40">
        <f t="shared" si="9"/>
        <v>151250</v>
      </c>
      <c r="AA28" s="40">
        <f t="shared" si="10"/>
        <v>151250</v>
      </c>
      <c r="AB28" s="5"/>
      <c r="AC28" s="5"/>
      <c r="AD28" s="5"/>
      <c r="AE28" s="5"/>
      <c r="AF28" s="5"/>
      <c r="AG28" s="5"/>
      <c r="AH28" s="5"/>
      <c r="AI28" s="5"/>
      <c r="AJ28" s="5"/>
      <c r="AK28" s="5"/>
      <c r="AL28" s="5"/>
      <c r="AM28" s="5"/>
      <c r="AN28" s="45" t="str">
        <f>IFERROR((s_TR/(s_RadSpec!E28*s_IFS_far_adj*(1/1000)))*1,".")</f>
        <v>.</v>
      </c>
      <c r="AO28" s="45" t="str">
        <f>IFERROR(IF(A28="H-3",(s_TR/(s_RadSpec!F28*s_IFA_far_adj*(1/17)*1000))*1,(s_TR/(s_RadSpec!F28*s_IFA_far_adj*(1/s_PEF_wind)*1000))*1),".")</f>
        <v>.</v>
      </c>
      <c r="AP28" s="45">
        <f>IFERROR((s_TR/(s_RadSpec!G28*s_EF_far*(1/365)*s_ED_far*s_RadSpec!R28*((s_ET_far_o*(1/24)*s_RadSpec!W28)+(s_ET_far_i*(1/24)*s_RadSpec!AB28))))*1,".")</f>
        <v>5.2502255811158296</v>
      </c>
      <c r="AQ28" s="45" t="str">
        <f>s_b2s!BC28</f>
        <v>.</v>
      </c>
      <c r="AR28" s="45" t="str">
        <f>IFERROR(((J28*s_RadSpec!AU28)/s_RadSpec!AJ28)*1,".")</f>
        <v>.</v>
      </c>
      <c r="AS28" s="45" t="str">
        <f>IFERROR(((K28*s_RadSpec!AU28)/s_RadSpec!AK28)*1,".")</f>
        <v>.</v>
      </c>
      <c r="AT28" s="45" t="str">
        <f>IFERROR((G28/(s_RadSpec!AI28*((s_Q_p_beef*s_f_p_beef*s_f_s_beef*(s_RadSpec!BD28+s_R_es_past))+(s_Q_s_beef*s_f_p_beef))))*1,".")</f>
        <v>.</v>
      </c>
      <c r="AU28" s="45" t="str">
        <f>IFERROR(((H28*s_D_milk)/(s_RadSpec!AH28*((s_Q_p_dairy*s_f_p_dairy*s_f_s_dairy*(s_RadSpec!BD28+s_R_es_past))+(s_Q_s_dairy*s_f_p_dairy))))*1,".")</f>
        <v>.</v>
      </c>
      <c r="AV28" s="45" t="str">
        <f>IFERROR((I28/(s_RadSpec!AN28*((s_Q_p_swine*s_f_p_swine*s_f_s_swine*(s_RadSpec!BD28+s_R_es_past))+(s_Q_s_swine*s_f_p_swine))))*1,".")</f>
        <v>.</v>
      </c>
      <c r="AW28" s="45" t="str">
        <f>IFERROR((E28/(s_RadSpec!AL28*((s_Q_p_poultry*s_f_p_poultry*s_f_s_poultry*(s_RadSpec!BD28+s_R_es_past))+(s_Q_s_poultry*s_f_p_poultry))))*1,".")</f>
        <v>.</v>
      </c>
      <c r="AX28" s="45" t="str">
        <f>IFERROR((F28/(s_RadSpec!AM28*((s_Q_p_poultry*s_f_p_poultry*s_f_s_poultry*(s_RadSpec!BD28+s_R_es_past))+(s_Q_s_poultry*s_f_p_poultry))))*1,".")</f>
        <v>.</v>
      </c>
      <c r="AY28" s="45" t="str">
        <f>IFERROR((L28/(s_RadSpec!AQ28*((s_Q_p_goat*s_f_p_goat*s_f_s_goat*(s_RadSpec!BD28+s_R_es_past))+(s_Q_s_goat*s_f_p_goat))))*1,".")</f>
        <v>.</v>
      </c>
      <c r="AZ28" s="45" t="str">
        <f>IFERROR((N28*s_D_milk/(s_RadSpec!AR28*((s_Q_p_goat_milk*s_f_p_goat_milk*s_f_s_goat_milk*(s_RadSpec!BD28+s_R_es_past))+(s_Q_s_goat_milk*s_f_p_goat_milk))))*1,".")</f>
        <v>.</v>
      </c>
      <c r="BA28" s="45" t="str">
        <f>IFERROR((M28/(s_RadSpec!AO28*((s_Q_p_sheep*s_f_p_sheep*s_f_s_sheep*(s_RadSpec!BD28+s_R_es_past))+(s_Q_s_sheep*s_f_p_sheep))))*1,".")</f>
        <v>.</v>
      </c>
      <c r="BB28" s="45" t="str">
        <f>IFERROR((O28*s_D_milk/(s_RadSpec!AP28*((s_Q_p_sheep_milk*s_f_p_sheep_milk*s_f_s_sheep_milk*(s_RadSpec!BD28+s_R_es_past))+(s_Q_s_sheep_milk*s_f_p_sheep_milk))))*1,".")</f>
        <v>.</v>
      </c>
      <c r="BC28" s="118" t="str">
        <f t="shared" si="11"/>
        <v>.</v>
      </c>
      <c r="BD28" s="118" t="str">
        <f t="shared" si="12"/>
        <v>.</v>
      </c>
      <c r="BE28" s="118">
        <f t="shared" si="13"/>
        <v>0.19046800647896545</v>
      </c>
      <c r="BF28" s="118" t="str">
        <f t="shared" si="14"/>
        <v>.</v>
      </c>
      <c r="BG28" s="118" t="str">
        <f t="shared" si="15"/>
        <v>.</v>
      </c>
      <c r="BH28" s="118" t="str">
        <f t="shared" si="15"/>
        <v>.</v>
      </c>
      <c r="BI28" s="118" t="str">
        <f t="shared" si="16"/>
        <v>.</v>
      </c>
      <c r="BJ28" s="118" t="str">
        <f t="shared" si="17"/>
        <v>.</v>
      </c>
      <c r="BK28" s="118" t="str">
        <f t="shared" si="18"/>
        <v>.</v>
      </c>
      <c r="BL28" s="118" t="str">
        <f t="shared" si="19"/>
        <v>.</v>
      </c>
      <c r="BM28" s="118" t="str">
        <f t="shared" si="20"/>
        <v>.</v>
      </c>
      <c r="BN28" s="118" t="str">
        <f t="shared" si="21"/>
        <v>.</v>
      </c>
      <c r="BO28" s="118" t="str">
        <f t="shared" si="22"/>
        <v>.</v>
      </c>
      <c r="BP28" s="118" t="str">
        <f t="shared" si="23"/>
        <v>.</v>
      </c>
      <c r="BQ28" s="118" t="str">
        <f t="shared" si="24"/>
        <v>.</v>
      </c>
      <c r="BR28" s="15">
        <f t="shared" si="46"/>
        <v>5.2502255811158296</v>
      </c>
      <c r="BS28" s="40">
        <f t="shared" si="25"/>
        <v>302.5</v>
      </c>
      <c r="BT28" s="40">
        <f t="shared" si="26"/>
        <v>3.2362545583179352E-2</v>
      </c>
      <c r="BU28" s="40">
        <f>IFERROR((s_C*s_EF_far*(1/365)*s_ED_far*s_RadSpec!R28*((s_ET_far_o*(1/24)*s_RadSpec!W28)+(s_ET_far_i*(1/24)*s_RadSpec!AB28))),".")</f>
        <v>0.92264383561643837</v>
      </c>
      <c r="BV28" s="40">
        <f>s_b2s!CC28</f>
        <v>38671.600000000006</v>
      </c>
      <c r="BW28" s="40">
        <f>IFERROR(((s_C*s_RadSpec!AJ28)/s_RadSpec!AU28)*s_IFFI_far_adj*s_CF_far_fish,0)</f>
        <v>90750</v>
      </c>
      <c r="BX28" s="40">
        <f>IFERROR(((s_C*s_RadSpec!AK28)/s_RadSpec!AU28)*s_IFSF_far_adj*s_CF_far_shellfish,0)</f>
        <v>0</v>
      </c>
      <c r="BY28" s="40">
        <f>(s_C*s_IFB_far_adj*s_CF_far_beef*s_RadSpec!AI28*((s_Q_p_beef*s_f_p_beef*s_f_s_beef*(s_RadSpec!$AT28+s_R_es_past))+(s_Q_s_beef*s_f_p_beef)))</f>
        <v>535425</v>
      </c>
      <c r="BZ28" s="40">
        <f>(s_C*s_IFD_far_adj*s_CF_far_dairy*s_RadSpec!AH28*1/s_D_milk*((s_Q_p_dairy*s_f_p_dairy*s_f_s_dairy*(s_RadSpec!$AT28+s_R_es_past))+(s_Q_s_dairy*s_f_p_dairy)))</f>
        <v>25991.504854368934</v>
      </c>
      <c r="CA28" s="40">
        <f>IFERROR((s_C*s_IFSW_far_adj*s_CF_far_swine*s_RadSpec!AN28*((s_Q_p_swine*s_f_p_swine*s_f_s_swine*(s_RadSpec!$AT28+s_R_es_past))+(s_Q_s_swine*s_f_p_swine))),0)</f>
        <v>0</v>
      </c>
      <c r="CB28" s="40">
        <f>IFERROR((s_C*s_IFP_far_adj*s_CF_far_poultry*s_RadSpec!AL28*((s_Q_p_poultry*s_f_p_poultry*s_f_s_poultry*(s_RadSpec!AT28+s_R_es_past))+(s_Q_s_poultry*s_f_p_poultry))),0)</f>
        <v>0</v>
      </c>
      <c r="CC28" s="40">
        <f>IFERROR((s_C*s_IFE_far_adj*s_CF_far_egg*s_RadSpec!AM28*((s_Q_p_egg*s_f_p_egg*s_f_s_egg*(s_RadSpec!$AT28+s_R_es_past))+(s_Q_s_egg*s_f_p_egg))),0)</f>
        <v>0</v>
      </c>
      <c r="CD28" s="40">
        <f>IFERROR((s_C*s_IFGO_far_adj*s_CF_far_goat*s_RadSpec!AQ28*((s_Q_p_goat*s_f_p_goat*s_f_s_goat*(s_RadSpec!$AT28+s_R_es_past))+(s_Q_s_goat*s_f_p_goat))),0)</f>
        <v>0</v>
      </c>
      <c r="CE28" s="40">
        <f>IFERROR((s_C*s_IFGM_far_adj*s_CF_far_goat_milk*s_RadSpec!AR28*1/s_D_milk*((s_Q_p_goat_milk*s_f_p_goat_milk*s_f_s_goat_milk*(s_RadSpec!$AT28+s_R_es_past))+(s_Q_s_goat_milk*s_f_p_goat_milk))),0)</f>
        <v>0</v>
      </c>
      <c r="CF28" s="40">
        <f>IFERROR((s_C*s_IFSH_far_adj*s_CF_far_sheep*s_RadSpec!AO28*((s_Q_p_sheep*s_f_p_sheep*s_f_s_sheep*(s_RadSpec!$AT28+s_R_es_past))+(s_Q_s_sheep*s_f_p_sheep))),0)</f>
        <v>5354250</v>
      </c>
      <c r="CG28" s="40">
        <f>IFERROR((s_C*s_IFSM_far_adj*s_CF_far_sheep_milk*s_RadSpec!AP28*1/s_D_milk*((s_Q_p_sheep_milk*s_f_p_sheep_milk*s_f_s_sheep_milk*(s_RadSpec!$AT28+s_R_es_past))+(s_Q_s_sheep_milk*s_f_p_sheep_milk))),0)</f>
        <v>0</v>
      </c>
      <c r="CH28" s="18"/>
      <c r="CI28" s="18"/>
      <c r="CJ28" s="18"/>
      <c r="CK28" s="18"/>
      <c r="CL28" s="18"/>
      <c r="CM28" s="18"/>
      <c r="CN28" s="18"/>
      <c r="CO28" s="18"/>
      <c r="CP28" s="18"/>
      <c r="CQ28" s="18"/>
      <c r="CR28" s="18"/>
      <c r="CS28" s="18"/>
      <c r="CT28" s="18"/>
      <c r="CU28" s="18"/>
      <c r="CV28" s="18"/>
      <c r="CW28" s="5"/>
      <c r="CX28" s="15" t="str">
        <f>IFERROR(s_TR/(s_RadSpec!I28*s_IFW_far_adj),".")</f>
        <v>.</v>
      </c>
      <c r="CY28" s="15" t="str">
        <f>IFERROR(IF(AND(s_RadSpec!C28=1,s_RadSpec!D28&lt;&gt;0),s_TR/(s_RadSpec!F28*s_IFA_far_adj*s_K*s_RadSpec!D28),"."),".")</f>
        <v>.</v>
      </c>
      <c r="CZ28" s="15">
        <f>IFERROR((s_TR/(s_RadSpec!M28*(1/8760)*s_DFA_far_adj)),".")</f>
        <v>957912.27000418806</v>
      </c>
      <c r="DA28" s="15" t="str">
        <f>s_b2w!BC28</f>
        <v>.</v>
      </c>
      <c r="DB28" s="15" t="str">
        <f>IFERROR(J28/(s_RadSpec!AJ28*(1/1000)),".")</f>
        <v>.</v>
      </c>
      <c r="DC28" s="15" t="str">
        <f>IFERROR(K28/(s_RadSpec!AK28*(1/1000)),".")</f>
        <v>.</v>
      </c>
      <c r="DD28" s="15" t="str">
        <f>IFERROR(G28/(s_RadSpec!AI28*s_Q_w_beef*(1/1000)),".")</f>
        <v>.</v>
      </c>
      <c r="DE28" s="15" t="str">
        <f>IFERROR((H28*s_D_milk)/(s_RadSpec!AH28*s_Q_w_dairy*(1/1000)),".")</f>
        <v>.</v>
      </c>
      <c r="DF28" s="15" t="str">
        <f>IFERROR(I28/(s_RadSpec!AN28*s_Q_w_swine*(1/1000)),".")</f>
        <v>.</v>
      </c>
      <c r="DG28" s="15" t="str">
        <f>IFERROR(E28/(s_RadSpec!AL28*s_Q_w_poultry*(1/1000)),".")</f>
        <v>.</v>
      </c>
      <c r="DH28" s="15" t="str">
        <f>IFERROR(F28/(s_RadSpec!AM28*s_Q_w_poultry*(1/1000)),".")</f>
        <v>.</v>
      </c>
      <c r="DI28" s="15" t="str">
        <f>IFERROR(L28/(s_RadSpec!AQ28*s_Q_w_goat*(1/1000)),".")</f>
        <v>.</v>
      </c>
      <c r="DJ28" s="15" t="str">
        <f>IFERROR(N28*s_D_milk/(s_RadSpec!AR28*s_Q_w_goat_milk*(1/1000)),".")</f>
        <v>.</v>
      </c>
      <c r="DK28" s="15" t="str">
        <f>IFERROR(M28/(s_RadSpec!AO28*s_Q_w_sheep*(1/1000)),".")</f>
        <v>.</v>
      </c>
      <c r="DL28" s="15" t="str">
        <f>IFERROR(O28*s_D_milk/(s_RadSpec!AP28*s_Q_w_sheep_milk*(1/1000)),".")</f>
        <v>.</v>
      </c>
      <c r="DM28" s="118" t="str">
        <f t="shared" si="27"/>
        <v>.</v>
      </c>
      <c r="DN28" s="118" t="str">
        <f t="shared" si="28"/>
        <v>.</v>
      </c>
      <c r="DO28" s="118">
        <f t="shared" si="29"/>
        <v>1.0439369358904109E-6</v>
      </c>
      <c r="DP28" s="118" t="str">
        <f t="shared" si="30"/>
        <v>.</v>
      </c>
      <c r="DQ28" s="118" t="str">
        <f t="shared" si="31"/>
        <v>.</v>
      </c>
      <c r="DR28" s="118" t="str">
        <f t="shared" si="31"/>
        <v>.</v>
      </c>
      <c r="DS28" s="118" t="str">
        <f t="shared" si="32"/>
        <v>.</v>
      </c>
      <c r="DT28" s="118" t="str">
        <f t="shared" si="33"/>
        <v>.</v>
      </c>
      <c r="DU28" s="118" t="str">
        <f t="shared" si="34"/>
        <v>.</v>
      </c>
      <c r="DV28" s="118" t="str">
        <f t="shared" si="35"/>
        <v>.</v>
      </c>
      <c r="DW28" s="118" t="str">
        <f t="shared" si="36"/>
        <v>.</v>
      </c>
      <c r="DX28" s="118" t="str">
        <f t="shared" si="37"/>
        <v>.</v>
      </c>
      <c r="DY28" s="118" t="str">
        <f t="shared" si="38"/>
        <v>.</v>
      </c>
      <c r="DZ28" s="118" t="str">
        <f t="shared" si="39"/>
        <v>.</v>
      </c>
      <c r="EA28" s="118" t="str">
        <f t="shared" si="40"/>
        <v>.</v>
      </c>
      <c r="EB28" s="15">
        <f t="shared" si="47"/>
        <v>957912.27000418806</v>
      </c>
      <c r="EC28" s="40">
        <f t="shared" si="41"/>
        <v>27500</v>
      </c>
      <c r="ED28" s="40">
        <f>IFERROR(IF(s_RadSpec!D28&lt;&gt;"",s_C*s_IFA_far_adj*s_K*s_RadSpec!D28,0),".")</f>
        <v>0</v>
      </c>
      <c r="EE28" s="40">
        <f t="shared" si="42"/>
        <v>2.5114155251141552</v>
      </c>
      <c r="EF28" s="40">
        <f>s_b2w!CC28</f>
        <v>13137.755598218413</v>
      </c>
      <c r="EG28" s="40">
        <f>IFERROR(s_C*s_RadSpec!AJ28*(1/1000)*s_IFFI_far_adj*s_CF_far_fish,0)</f>
        <v>136125</v>
      </c>
      <c r="EH28" s="40">
        <f>IFERROR(s_C*s_RadSpec!AK28*(1/1000)*s_IFSF_far_adj*s_CF_far_shellfish,0)</f>
        <v>0</v>
      </c>
      <c r="EI28" s="40">
        <f>(s_C*s_IFB_far_adj*s_CF_far_beef*s_RadSpec!AI28*s_Q_w_beef*(1/1000))</f>
        <v>30.25</v>
      </c>
      <c r="EJ28" s="40">
        <f>(s_C*s_IFD_far_adj*s_CF_far_dairy*s_RadSpec!AH28*(1/s_D_milk)*s_Q_w_dairy*(1/1000))</f>
        <v>1.4684466019417477</v>
      </c>
      <c r="EK28" s="40">
        <f>IFERROR((s_C*s_IFSW_far_adj*s_CF_far_swine*s_RadSpec!AN28*s_Q_w_swine*(1/1000)),0)</f>
        <v>0</v>
      </c>
      <c r="EL28" s="40">
        <f>IFERROR((s_C*s_IFP_far_adj*s_CF_far_poultry*s_RadSpec!AL28*s_Q_w_poultry*(1/1000)),0)</f>
        <v>0</v>
      </c>
      <c r="EM28" s="40">
        <f>IFERROR((s_C*s_IFE_far_adj*s_CF_far_egg*s_RadSpec!AM28*s_Q_w_egg*(1/1000)),0)</f>
        <v>0</v>
      </c>
      <c r="EN28" s="40">
        <f>IFERROR((s_C*s_IFGO_far_adj*s_CF_far_goat*s_RadSpec!AQ28*s_Q_p_goat*(1/1000)),0)</f>
        <v>0</v>
      </c>
      <c r="EO28" s="40">
        <f>IFERROR((s_C*s_IFGM_far_adj*s_CF_far_goat_milk*s_RadSpec!AR28*(1/s_D_milk)*s_Q_p_goat_milk*(1/1000)),0)</f>
        <v>0</v>
      </c>
      <c r="EP28" s="40">
        <f>IFERROR((s_C*s_IFSH_far_adj*s_CF_far_sheep*s_RadSpec!AO28*s_Q_p_sheep*(1/1000)),0)</f>
        <v>302.5</v>
      </c>
      <c r="EQ28" s="40">
        <f>IFERROR((s_C*s_IFSM_far_adj*s_CF_far_sheep_milk*s_RadSpec!AP28*(1/s_D_milk)*s_Q_p_sheep_milk*(1/1000)),0)</f>
        <v>0</v>
      </c>
      <c r="ER28" s="18"/>
      <c r="ES28" s="18"/>
      <c r="ET28" s="18"/>
      <c r="EU28" s="18"/>
      <c r="EV28" s="18"/>
      <c r="EW28" s="18"/>
      <c r="EX28" s="18"/>
      <c r="EY28" s="18"/>
      <c r="EZ28" s="18"/>
      <c r="FA28" s="18"/>
      <c r="FB28" s="18"/>
      <c r="FC28" s="18"/>
      <c r="FD28" s="18"/>
      <c r="FE28" s="18"/>
      <c r="FF28" s="18"/>
      <c r="FG28" s="5"/>
      <c r="FH28" s="15" t="str">
        <f>IFERROR((s_TR/(s_RadSpec!F28*s_IFA_far_adj)),".")</f>
        <v>.</v>
      </c>
      <c r="FI28" s="15">
        <f>IFERROR((s_TR/(s_RadSpec!K28*s_EF_far*(1/365)*s_ED_far*s_ET_far*(1/24)*s_GSF_a)),".")</f>
        <v>3326.9928597218632</v>
      </c>
      <c r="FJ28" s="15">
        <f t="shared" si="58"/>
        <v>3326.9928597218632</v>
      </c>
      <c r="FK28" s="40">
        <f t="shared" si="44"/>
        <v>10026.041666666666</v>
      </c>
      <c r="FL28" s="40">
        <f t="shared" si="45"/>
        <v>1.5696347031963471</v>
      </c>
      <c r="FM28" s="120"/>
      <c r="FN28" s="120"/>
      <c r="FO28" s="120"/>
    </row>
    <row r="29" spans="1:171" customFormat="1" x14ac:dyDescent="0.25">
      <c r="A29" s="44" t="s">
        <v>39</v>
      </c>
      <c r="B29" s="42" t="s">
        <v>1071</v>
      </c>
      <c r="C29" s="249"/>
      <c r="D29" s="15" t="str">
        <f>s_dir!AC29</f>
        <v>.</v>
      </c>
      <c r="E29" s="15" t="str">
        <f>IFERROR(s_TR/(s_RadSpec!H29*s_IFP_far_adj*s_CF_far_poultry),".")</f>
        <v>.</v>
      </c>
      <c r="F29" s="15" t="str">
        <f>IFERROR(s_TR/(s_RadSpec!H29*s_IFE_far_adj*s_CF_far_egg),".")</f>
        <v>.</v>
      </c>
      <c r="G29" s="15" t="str">
        <f>IFERROR(s_TR/(s_RadSpec!H29*s_IFB_far_adj*s_CF_far_beef),".")</f>
        <v>.</v>
      </c>
      <c r="H29" s="15" t="str">
        <f>IFERROR(s_TR/(s_RadSpec!H29*s_IFD_far_adj*s_CF_far_dairy),".")</f>
        <v>.</v>
      </c>
      <c r="I29" s="15" t="str">
        <f>IFERROR(s_TR/(s_RadSpec!H29*s_IFSW_far_adj*s_CF_far_swine),".")</f>
        <v>.</v>
      </c>
      <c r="J29" s="15" t="str">
        <f>IFERROR(s_TR/(s_RadSpec!H29*s_IFFI_far_adj*s_CF_far_fish),".")</f>
        <v>.</v>
      </c>
      <c r="K29" s="15" t="str">
        <f>IFERROR(s_TR/(s_RadSpec!H29*s_IFSF_far_adj*s_CF_far_shellfish),".")</f>
        <v>.</v>
      </c>
      <c r="L29" s="15" t="str">
        <f>IFERROR(s_TR/(s_RadSpec!H29*s_IFGO_far_adj*s_CF_far_goat),".")</f>
        <v>.</v>
      </c>
      <c r="M29" s="15" t="str">
        <f>IFERROR(s_TR/(s_RadSpec!H29*s_IFSH_far_adj*s_CF_far_sheep),".")</f>
        <v>.</v>
      </c>
      <c r="N29" s="15" t="str">
        <f>IFERROR(s_TR/(s_RadSpec!H29*s_IFGM_far_adj*s_CF_far_goat_milk),".")</f>
        <v>.</v>
      </c>
      <c r="O29" s="15" t="str">
        <f>IFERROR(s_TR/(s_RadSpec!H29*s_IFSM_far_adj*s_CF_far_sheep_milk),".")</f>
        <v>.</v>
      </c>
      <c r="P29" s="40">
        <f>s_dir!BC29</f>
        <v>605000</v>
      </c>
      <c r="Q29" s="40">
        <f t="shared" si="0"/>
        <v>151250</v>
      </c>
      <c r="R29" s="40">
        <f t="shared" si="1"/>
        <v>151250</v>
      </c>
      <c r="S29" s="40">
        <f t="shared" si="2"/>
        <v>151250</v>
      </c>
      <c r="T29" s="40">
        <f t="shared" si="3"/>
        <v>151250</v>
      </c>
      <c r="U29" s="40">
        <f t="shared" si="4"/>
        <v>151250</v>
      </c>
      <c r="V29" s="40">
        <f t="shared" si="5"/>
        <v>151250</v>
      </c>
      <c r="W29" s="40">
        <f t="shared" si="6"/>
        <v>151250</v>
      </c>
      <c r="X29" s="40">
        <f t="shared" si="7"/>
        <v>151250</v>
      </c>
      <c r="Y29" s="40">
        <f t="shared" si="8"/>
        <v>151250</v>
      </c>
      <c r="Z29" s="40">
        <f t="shared" si="9"/>
        <v>151250</v>
      </c>
      <c r="AA29" s="40">
        <f t="shared" si="10"/>
        <v>151250</v>
      </c>
      <c r="AB29" s="5"/>
      <c r="AC29" s="5"/>
      <c r="AD29" s="5"/>
      <c r="AE29" s="5"/>
      <c r="AF29" s="5"/>
      <c r="AG29" s="5"/>
      <c r="AH29" s="5"/>
      <c r="AI29" s="5"/>
      <c r="AJ29" s="5"/>
      <c r="AK29" s="5"/>
      <c r="AL29" s="5"/>
      <c r="AM29" s="5"/>
      <c r="AN29" s="45" t="str">
        <f>IFERROR((s_TR/(s_RadSpec!E29*s_IFS_far_adj*(1/1000)))*1,".")</f>
        <v>.</v>
      </c>
      <c r="AO29" s="45" t="str">
        <f>IFERROR(IF(A29="H-3",(s_TR/(s_RadSpec!F29*s_IFA_far_adj*(1/17)*1000))*1,(s_TR/(s_RadSpec!F29*s_IFA_far_adj*(1/s_PEF_wind)*1000))*1),".")</f>
        <v>.</v>
      </c>
      <c r="AP29" s="45">
        <f>IFERROR((s_TR/(s_RadSpec!G29*s_EF_far*(1/365)*s_ED_far*s_RadSpec!R29*((s_ET_far_o*(1/24)*s_RadSpec!W29)+(s_ET_far_i*(1/24)*s_RadSpec!AB29))))*1,".")</f>
        <v>4.3886295097602215</v>
      </c>
      <c r="AQ29" s="45" t="str">
        <f>s_b2s!BC29</f>
        <v>.</v>
      </c>
      <c r="AR29" s="45" t="str">
        <f>IFERROR(((J29*s_RadSpec!AU29)/s_RadSpec!AJ29)*1,".")</f>
        <v>.</v>
      </c>
      <c r="AS29" s="45" t="str">
        <f>IFERROR(((K29*s_RadSpec!AU29)/s_RadSpec!AK29)*1,".")</f>
        <v>.</v>
      </c>
      <c r="AT29" s="45" t="str">
        <f>IFERROR((G29/(s_RadSpec!AI29*((s_Q_p_beef*s_f_p_beef*s_f_s_beef*(s_RadSpec!BD29+s_R_es_past))+(s_Q_s_beef*s_f_p_beef))))*1,".")</f>
        <v>.</v>
      </c>
      <c r="AU29" s="45" t="str">
        <f>IFERROR(((H29*s_D_milk)/(s_RadSpec!AH29*((s_Q_p_dairy*s_f_p_dairy*s_f_s_dairy*(s_RadSpec!BD29+s_R_es_past))+(s_Q_s_dairy*s_f_p_dairy))))*1,".")</f>
        <v>.</v>
      </c>
      <c r="AV29" s="45" t="str">
        <f>IFERROR((I29/(s_RadSpec!AN29*((s_Q_p_swine*s_f_p_swine*s_f_s_swine*(s_RadSpec!BD29+s_R_es_past))+(s_Q_s_swine*s_f_p_swine))))*1,".")</f>
        <v>.</v>
      </c>
      <c r="AW29" s="45" t="str">
        <f>IFERROR((E29/(s_RadSpec!AL29*((s_Q_p_poultry*s_f_p_poultry*s_f_s_poultry*(s_RadSpec!BD29+s_R_es_past))+(s_Q_s_poultry*s_f_p_poultry))))*1,".")</f>
        <v>.</v>
      </c>
      <c r="AX29" s="45" t="str">
        <f>IFERROR((F29/(s_RadSpec!AM29*((s_Q_p_poultry*s_f_p_poultry*s_f_s_poultry*(s_RadSpec!BD29+s_R_es_past))+(s_Q_s_poultry*s_f_p_poultry))))*1,".")</f>
        <v>.</v>
      </c>
      <c r="AY29" s="45" t="str">
        <f>IFERROR((L29/(s_RadSpec!AQ29*((s_Q_p_goat*s_f_p_goat*s_f_s_goat*(s_RadSpec!BD29+s_R_es_past))+(s_Q_s_goat*s_f_p_goat))))*1,".")</f>
        <v>.</v>
      </c>
      <c r="AZ29" s="45" t="str">
        <f>IFERROR((N29*s_D_milk/(s_RadSpec!AR29*((s_Q_p_goat_milk*s_f_p_goat_milk*s_f_s_goat_milk*(s_RadSpec!BD29+s_R_es_past))+(s_Q_s_goat_milk*s_f_p_goat_milk))))*1,".")</f>
        <v>.</v>
      </c>
      <c r="BA29" s="45" t="str">
        <f>IFERROR((M29/(s_RadSpec!AO29*((s_Q_p_sheep*s_f_p_sheep*s_f_s_sheep*(s_RadSpec!BD29+s_R_es_past))+(s_Q_s_sheep*s_f_p_sheep))))*1,".")</f>
        <v>.</v>
      </c>
      <c r="BB29" s="45" t="str">
        <f>IFERROR((O29*s_D_milk/(s_RadSpec!AP29*((s_Q_p_sheep_milk*s_f_p_sheep_milk*s_f_s_sheep_milk*(s_RadSpec!BD29+s_R_es_past))+(s_Q_s_sheep_milk*s_f_p_sheep_milk))))*1,".")</f>
        <v>.</v>
      </c>
      <c r="BC29" s="118" t="str">
        <f t="shared" si="11"/>
        <v>.</v>
      </c>
      <c r="BD29" s="118" t="str">
        <f t="shared" si="12"/>
        <v>.</v>
      </c>
      <c r="BE29" s="118">
        <f t="shared" si="13"/>
        <v>0.22786156766617474</v>
      </c>
      <c r="BF29" s="118" t="str">
        <f t="shared" si="14"/>
        <v>.</v>
      </c>
      <c r="BG29" s="118" t="str">
        <f t="shared" si="15"/>
        <v>.</v>
      </c>
      <c r="BH29" s="118" t="str">
        <f t="shared" si="15"/>
        <v>.</v>
      </c>
      <c r="BI29" s="118" t="str">
        <f t="shared" si="16"/>
        <v>.</v>
      </c>
      <c r="BJ29" s="118" t="str">
        <f t="shared" si="17"/>
        <v>.</v>
      </c>
      <c r="BK29" s="118" t="str">
        <f t="shared" si="18"/>
        <v>.</v>
      </c>
      <c r="BL29" s="118" t="str">
        <f t="shared" si="19"/>
        <v>.</v>
      </c>
      <c r="BM29" s="118" t="str">
        <f t="shared" si="20"/>
        <v>.</v>
      </c>
      <c r="BN29" s="118" t="str">
        <f t="shared" si="21"/>
        <v>.</v>
      </c>
      <c r="BO29" s="118" t="str">
        <f t="shared" si="22"/>
        <v>.</v>
      </c>
      <c r="BP29" s="118" t="str">
        <f t="shared" si="23"/>
        <v>.</v>
      </c>
      <c r="BQ29" s="118" t="str">
        <f t="shared" si="24"/>
        <v>.</v>
      </c>
      <c r="BR29" s="15">
        <f t="shared" si="46"/>
        <v>4.3886295097602215</v>
      </c>
      <c r="BS29" s="40">
        <f t="shared" si="25"/>
        <v>302.5</v>
      </c>
      <c r="BT29" s="40">
        <f t="shared" si="26"/>
        <v>3.2362545583179352E-2</v>
      </c>
      <c r="BU29" s="40">
        <f>IFERROR((s_C*s_EF_far*(1/365)*s_ED_far*s_RadSpec!R29*((s_ET_far_o*(1/24)*s_RadSpec!W29)+(s_ET_far_i*(1/24)*s_RadSpec!AB29))),".")</f>
        <v>0.84847207586933571</v>
      </c>
      <c r="BV29" s="40">
        <f>s_b2s!CC29</f>
        <v>38671.600000000006</v>
      </c>
      <c r="BW29" s="40">
        <f>IFERROR(((s_C*s_RadSpec!AJ29)/s_RadSpec!AU29)*s_IFFI_far_adj*s_CF_far_fish,0)</f>
        <v>90750</v>
      </c>
      <c r="BX29" s="40">
        <f>IFERROR(((s_C*s_RadSpec!AK29)/s_RadSpec!AU29)*s_IFSF_far_adj*s_CF_far_shellfish,0)</f>
        <v>0</v>
      </c>
      <c r="BY29" s="40">
        <f>(s_C*s_IFB_far_adj*s_CF_far_beef*s_RadSpec!AI29*((s_Q_p_beef*s_f_p_beef*s_f_s_beef*(s_RadSpec!$AT29+s_R_es_past))+(s_Q_s_beef*s_f_p_beef)))</f>
        <v>535425</v>
      </c>
      <c r="BZ29" s="40">
        <f>(s_C*s_IFD_far_adj*s_CF_far_dairy*s_RadSpec!AH29*1/s_D_milk*((s_Q_p_dairy*s_f_p_dairy*s_f_s_dairy*(s_RadSpec!$AT29+s_R_es_past))+(s_Q_s_dairy*s_f_p_dairy)))</f>
        <v>25991.504854368934</v>
      </c>
      <c r="CA29" s="40">
        <f>IFERROR((s_C*s_IFSW_far_adj*s_CF_far_swine*s_RadSpec!AN29*((s_Q_p_swine*s_f_p_swine*s_f_s_swine*(s_RadSpec!$AT29+s_R_es_past))+(s_Q_s_swine*s_f_p_swine))),0)</f>
        <v>0</v>
      </c>
      <c r="CB29" s="40">
        <f>IFERROR((s_C*s_IFP_far_adj*s_CF_far_poultry*s_RadSpec!AL29*((s_Q_p_poultry*s_f_p_poultry*s_f_s_poultry*(s_RadSpec!AT29+s_R_es_past))+(s_Q_s_poultry*s_f_p_poultry))),0)</f>
        <v>0</v>
      </c>
      <c r="CC29" s="40">
        <f>IFERROR((s_C*s_IFE_far_adj*s_CF_far_egg*s_RadSpec!AM29*((s_Q_p_egg*s_f_p_egg*s_f_s_egg*(s_RadSpec!$AT29+s_R_es_past))+(s_Q_s_egg*s_f_p_egg))),0)</f>
        <v>0</v>
      </c>
      <c r="CD29" s="40">
        <f>IFERROR((s_C*s_IFGO_far_adj*s_CF_far_goat*s_RadSpec!AQ29*((s_Q_p_goat*s_f_p_goat*s_f_s_goat*(s_RadSpec!$AT29+s_R_es_past))+(s_Q_s_goat*s_f_p_goat))),0)</f>
        <v>0</v>
      </c>
      <c r="CE29" s="40">
        <f>IFERROR((s_C*s_IFGM_far_adj*s_CF_far_goat_milk*s_RadSpec!AR29*1/s_D_milk*((s_Q_p_goat_milk*s_f_p_goat_milk*s_f_s_goat_milk*(s_RadSpec!$AT29+s_R_es_past))+(s_Q_s_goat_milk*s_f_p_goat_milk))),0)</f>
        <v>0</v>
      </c>
      <c r="CF29" s="40">
        <f>IFERROR((s_C*s_IFSH_far_adj*s_CF_far_sheep*s_RadSpec!AO29*((s_Q_p_sheep*s_f_p_sheep*s_f_s_sheep*(s_RadSpec!$AT29+s_R_es_past))+(s_Q_s_sheep*s_f_p_sheep))),0)</f>
        <v>5354250</v>
      </c>
      <c r="CG29" s="40">
        <f>IFERROR((s_C*s_IFSM_far_adj*s_CF_far_sheep_milk*s_RadSpec!AP29*1/s_D_milk*((s_Q_p_sheep_milk*s_f_p_sheep_milk*s_f_s_sheep_milk*(s_RadSpec!$AT29+s_R_es_past))+(s_Q_s_sheep_milk*s_f_p_sheep_milk))),0)</f>
        <v>0</v>
      </c>
      <c r="CH29" s="18"/>
      <c r="CI29" s="18"/>
      <c r="CJ29" s="18"/>
      <c r="CK29" s="18"/>
      <c r="CL29" s="18"/>
      <c r="CM29" s="18"/>
      <c r="CN29" s="18"/>
      <c r="CO29" s="18"/>
      <c r="CP29" s="18"/>
      <c r="CQ29" s="18"/>
      <c r="CR29" s="18"/>
      <c r="CS29" s="18"/>
      <c r="CT29" s="18"/>
      <c r="CU29" s="18"/>
      <c r="CV29" s="18"/>
      <c r="CW29" s="5"/>
      <c r="CX29" s="15" t="str">
        <f>IFERROR(s_TR/(s_RadSpec!I29*s_IFW_far_adj),".")</f>
        <v>.</v>
      </c>
      <c r="CY29" s="15" t="str">
        <f>IFERROR(IF(AND(s_RadSpec!C29=1,s_RadSpec!D29&lt;&gt;0),s_TR/(s_RadSpec!F29*s_IFA_far_adj*s_K*s_RadSpec!D29),"."),".")</f>
        <v>.</v>
      </c>
      <c r="CZ29" s="15">
        <f>IFERROR((s_TR/(s_RadSpec!M29*(1/8760)*s_DFA_far_adj)),".")</f>
        <v>741340.80026411079</v>
      </c>
      <c r="DA29" s="15" t="str">
        <f>s_b2w!BC29</f>
        <v>.</v>
      </c>
      <c r="DB29" s="15" t="str">
        <f>IFERROR(J29/(s_RadSpec!AJ29*(1/1000)),".")</f>
        <v>.</v>
      </c>
      <c r="DC29" s="15" t="str">
        <f>IFERROR(K29/(s_RadSpec!AK29*(1/1000)),".")</f>
        <v>.</v>
      </c>
      <c r="DD29" s="15" t="str">
        <f>IFERROR(G29/(s_RadSpec!AI29*s_Q_w_beef*(1/1000)),".")</f>
        <v>.</v>
      </c>
      <c r="DE29" s="15" t="str">
        <f>IFERROR((H29*s_D_milk)/(s_RadSpec!AH29*s_Q_w_dairy*(1/1000)),".")</f>
        <v>.</v>
      </c>
      <c r="DF29" s="15" t="str">
        <f>IFERROR(I29/(s_RadSpec!AN29*s_Q_w_swine*(1/1000)),".")</f>
        <v>.</v>
      </c>
      <c r="DG29" s="15" t="str">
        <f>IFERROR(E29/(s_RadSpec!AL29*s_Q_w_poultry*(1/1000)),".")</f>
        <v>.</v>
      </c>
      <c r="DH29" s="15" t="str">
        <f>IFERROR(F29/(s_RadSpec!AM29*s_Q_w_poultry*(1/1000)),".")</f>
        <v>.</v>
      </c>
      <c r="DI29" s="15" t="str">
        <f>IFERROR(L29/(s_RadSpec!AQ29*s_Q_w_goat*(1/1000)),".")</f>
        <v>.</v>
      </c>
      <c r="DJ29" s="15" t="str">
        <f>IFERROR(N29*s_D_milk/(s_RadSpec!AR29*s_Q_w_goat_milk*(1/1000)),".")</f>
        <v>.</v>
      </c>
      <c r="DK29" s="15" t="str">
        <f>IFERROR(M29/(s_RadSpec!AO29*s_Q_w_sheep*(1/1000)),".")</f>
        <v>.</v>
      </c>
      <c r="DL29" s="15" t="str">
        <f>IFERROR(O29*s_D_milk/(s_RadSpec!AP29*s_Q_w_sheep_milk*(1/1000)),".")</f>
        <v>.</v>
      </c>
      <c r="DM29" s="118" t="str">
        <f t="shared" si="27"/>
        <v>.</v>
      </c>
      <c r="DN29" s="118" t="str">
        <f t="shared" si="28"/>
        <v>.</v>
      </c>
      <c r="DO29" s="118">
        <f t="shared" si="29"/>
        <v>1.3489072767123285E-6</v>
      </c>
      <c r="DP29" s="118" t="str">
        <f t="shared" si="30"/>
        <v>.</v>
      </c>
      <c r="DQ29" s="118" t="str">
        <f t="shared" si="31"/>
        <v>.</v>
      </c>
      <c r="DR29" s="118" t="str">
        <f t="shared" si="31"/>
        <v>.</v>
      </c>
      <c r="DS29" s="118" t="str">
        <f t="shared" si="32"/>
        <v>.</v>
      </c>
      <c r="DT29" s="118" t="str">
        <f t="shared" si="33"/>
        <v>.</v>
      </c>
      <c r="DU29" s="118" t="str">
        <f t="shared" si="34"/>
        <v>.</v>
      </c>
      <c r="DV29" s="118" t="str">
        <f t="shared" si="35"/>
        <v>.</v>
      </c>
      <c r="DW29" s="118" t="str">
        <f t="shared" si="36"/>
        <v>.</v>
      </c>
      <c r="DX29" s="118" t="str">
        <f t="shared" si="37"/>
        <v>.</v>
      </c>
      <c r="DY29" s="118" t="str">
        <f t="shared" si="38"/>
        <v>.</v>
      </c>
      <c r="DZ29" s="118" t="str">
        <f t="shared" si="39"/>
        <v>.</v>
      </c>
      <c r="EA29" s="118" t="str">
        <f t="shared" si="40"/>
        <v>.</v>
      </c>
      <c r="EB29" s="15">
        <f t="shared" si="47"/>
        <v>741340.80026411079</v>
      </c>
      <c r="EC29" s="40">
        <f t="shared" si="41"/>
        <v>27500</v>
      </c>
      <c r="ED29" s="40">
        <f>IFERROR(IF(s_RadSpec!D29&lt;&gt;"",s_C*s_IFA_far_adj*s_K*s_RadSpec!D29,0),".")</f>
        <v>4.634532747395833E-2</v>
      </c>
      <c r="EE29" s="40">
        <f t="shared" si="42"/>
        <v>2.5114155251141552</v>
      </c>
      <c r="EF29" s="40">
        <f>s_b2w!CC29</f>
        <v>13137.755598218413</v>
      </c>
      <c r="EG29" s="40">
        <f>IFERROR(s_C*s_RadSpec!AJ29*(1/1000)*s_IFFI_far_adj*s_CF_far_fish,0)</f>
        <v>136125</v>
      </c>
      <c r="EH29" s="40">
        <f>IFERROR(s_C*s_RadSpec!AK29*(1/1000)*s_IFSF_far_adj*s_CF_far_shellfish,0)</f>
        <v>0</v>
      </c>
      <c r="EI29" s="40">
        <f>(s_C*s_IFB_far_adj*s_CF_far_beef*s_RadSpec!AI29*s_Q_w_beef*(1/1000))</f>
        <v>30.25</v>
      </c>
      <c r="EJ29" s="40">
        <f>(s_C*s_IFD_far_adj*s_CF_far_dairy*s_RadSpec!AH29*(1/s_D_milk)*s_Q_w_dairy*(1/1000))</f>
        <v>1.4684466019417477</v>
      </c>
      <c r="EK29" s="40">
        <f>IFERROR((s_C*s_IFSW_far_adj*s_CF_far_swine*s_RadSpec!AN29*s_Q_w_swine*(1/1000)),0)</f>
        <v>0</v>
      </c>
      <c r="EL29" s="40">
        <f>IFERROR((s_C*s_IFP_far_adj*s_CF_far_poultry*s_RadSpec!AL29*s_Q_w_poultry*(1/1000)),0)</f>
        <v>0</v>
      </c>
      <c r="EM29" s="40">
        <f>IFERROR((s_C*s_IFE_far_adj*s_CF_far_egg*s_RadSpec!AM29*s_Q_w_egg*(1/1000)),0)</f>
        <v>0</v>
      </c>
      <c r="EN29" s="40">
        <f>IFERROR((s_C*s_IFGO_far_adj*s_CF_far_goat*s_RadSpec!AQ29*s_Q_p_goat*(1/1000)),0)</f>
        <v>0</v>
      </c>
      <c r="EO29" s="40">
        <f>IFERROR((s_C*s_IFGM_far_adj*s_CF_far_goat_milk*s_RadSpec!AR29*(1/s_D_milk)*s_Q_p_goat_milk*(1/1000)),0)</f>
        <v>0</v>
      </c>
      <c r="EP29" s="40">
        <f>IFERROR((s_C*s_IFSH_far_adj*s_CF_far_sheep*s_RadSpec!AO29*s_Q_p_sheep*(1/1000)),0)</f>
        <v>302.5</v>
      </c>
      <c r="EQ29" s="40">
        <f>IFERROR((s_C*s_IFSM_far_adj*s_CF_far_sheep_milk*s_RadSpec!AP29*(1/s_D_milk)*s_Q_p_sheep_milk*(1/1000)),0)</f>
        <v>0</v>
      </c>
      <c r="ER29" s="18"/>
      <c r="ES29" s="18"/>
      <c r="ET29" s="18"/>
      <c r="EU29" s="18"/>
      <c r="EV29" s="18"/>
      <c r="EW29" s="18"/>
      <c r="EX29" s="18"/>
      <c r="EY29" s="18"/>
      <c r="EZ29" s="18"/>
      <c r="FA29" s="18"/>
      <c r="FB29" s="18"/>
      <c r="FC29" s="18"/>
      <c r="FD29" s="18"/>
      <c r="FE29" s="18"/>
      <c r="FF29" s="18"/>
      <c r="FG29" s="5"/>
      <c r="FH29" s="15" t="str">
        <f>IFERROR((s_TR/(s_RadSpec!F29*s_IFA_far_adj)),".")</f>
        <v>.</v>
      </c>
      <c r="FI29" s="15">
        <f>IFERROR((s_TR/(s_RadSpec!K29*s_EF_far*(1/365)*s_ED_far*s_ET_far*(1/24)*s_GSF_a)),".")</f>
        <v>2573.7114575206856</v>
      </c>
      <c r="FJ29" s="15">
        <f t="shared" si="58"/>
        <v>2573.7114575206856</v>
      </c>
      <c r="FK29" s="40">
        <f t="shared" si="44"/>
        <v>10026.041666666666</v>
      </c>
      <c r="FL29" s="40">
        <f t="shared" si="45"/>
        <v>1.5696347031963471</v>
      </c>
      <c r="FM29" s="120"/>
      <c r="FN29" s="120"/>
      <c r="FO29" s="120"/>
    </row>
    <row r="30" spans="1:171" customFormat="1" x14ac:dyDescent="0.25">
      <c r="A30" s="44" t="s">
        <v>40</v>
      </c>
      <c r="B30" s="42" t="s">
        <v>1071</v>
      </c>
      <c r="C30" s="42"/>
      <c r="D30" s="15">
        <f>s_dir!AC30</f>
        <v>0.85253381575380194</v>
      </c>
      <c r="E30" s="15">
        <f>IFERROR(s_TR/(s_RadSpec!H30*s_IFP_far_adj*s_CF_far_poultry),".")</f>
        <v>3.4101352630152078</v>
      </c>
      <c r="F30" s="15">
        <f>IFERROR(s_TR/(s_RadSpec!H30*s_IFE_far_adj*s_CF_far_egg),".")</f>
        <v>3.4101352630152078</v>
      </c>
      <c r="G30" s="15">
        <f>IFERROR(s_TR/(s_RadSpec!H30*s_IFB_far_adj*s_CF_far_beef),".")</f>
        <v>3.4101352630152078</v>
      </c>
      <c r="H30" s="15">
        <f>IFERROR(s_TR/(s_RadSpec!H30*s_IFD_far_adj*s_CF_far_dairy),".")</f>
        <v>3.4101352630152078</v>
      </c>
      <c r="I30" s="15">
        <f>IFERROR(s_TR/(s_RadSpec!H30*s_IFSW_far_adj*s_CF_far_swine),".")</f>
        <v>3.4101352630152078</v>
      </c>
      <c r="J30" s="15">
        <f>IFERROR(s_TR/(s_RadSpec!H30*s_IFFI_far_adj*s_CF_far_fish),".")</f>
        <v>3.4101352630152078</v>
      </c>
      <c r="K30" s="15">
        <f>IFERROR(s_TR/(s_RadSpec!H30*s_IFSF_far_adj*s_CF_far_shellfish),".")</f>
        <v>3.4101352630152078</v>
      </c>
      <c r="L30" s="15">
        <f>IFERROR(s_TR/(s_RadSpec!H30*s_IFGO_far_adj*s_CF_far_goat),".")</f>
        <v>3.4101352630152078</v>
      </c>
      <c r="M30" s="15">
        <f>IFERROR(s_TR/(s_RadSpec!H30*s_IFSH_far_adj*s_CF_far_sheep),".")</f>
        <v>3.4101352630152078</v>
      </c>
      <c r="N30" s="15">
        <f>IFERROR(s_TR/(s_RadSpec!H30*s_IFGM_far_adj*s_CF_far_goat_milk),".")</f>
        <v>3.4101352630152078</v>
      </c>
      <c r="O30" s="15">
        <f>IFERROR(s_TR/(s_RadSpec!H30*s_IFSM_far_adj*s_CF_far_sheep_milk),".")</f>
        <v>3.4101352630152078</v>
      </c>
      <c r="P30" s="40">
        <f>s_dir!BC30</f>
        <v>605000</v>
      </c>
      <c r="Q30" s="40">
        <f t="shared" si="0"/>
        <v>151250</v>
      </c>
      <c r="R30" s="40">
        <f t="shared" si="1"/>
        <v>151250</v>
      </c>
      <c r="S30" s="40">
        <f t="shared" si="2"/>
        <v>151250</v>
      </c>
      <c r="T30" s="40">
        <f t="shared" si="3"/>
        <v>151250</v>
      </c>
      <c r="U30" s="40">
        <f t="shared" si="4"/>
        <v>151250</v>
      </c>
      <c r="V30" s="40">
        <f t="shared" si="5"/>
        <v>151250</v>
      </c>
      <c r="W30" s="40">
        <f t="shared" si="6"/>
        <v>151250</v>
      </c>
      <c r="X30" s="40">
        <f t="shared" si="7"/>
        <v>151250</v>
      </c>
      <c r="Y30" s="40">
        <f t="shared" si="8"/>
        <v>151250</v>
      </c>
      <c r="Z30" s="40">
        <f t="shared" si="9"/>
        <v>151250</v>
      </c>
      <c r="AA30" s="40">
        <f t="shared" si="10"/>
        <v>151250</v>
      </c>
      <c r="AB30" s="5"/>
      <c r="AC30" s="5"/>
      <c r="AD30" s="5"/>
      <c r="AE30" s="5"/>
      <c r="AF30" s="5"/>
      <c r="AG30" s="5"/>
      <c r="AH30" s="5"/>
      <c r="AI30" s="5"/>
      <c r="AJ30" s="5"/>
      <c r="AK30" s="5"/>
      <c r="AL30" s="5"/>
      <c r="AM30" s="5"/>
      <c r="AN30" s="45">
        <f>IFERROR((s_TR/(s_RadSpec!E30*s_IFS_far_adj*(1/1000)))*1,".")</f>
        <v>1100.3145799384044</v>
      </c>
      <c r="AO30" s="45">
        <f>IFERROR(IF(A30="H-3",(s_TR/(s_RadSpec!F30*s_IFA_far_adj*(1/17)*1000))*1,(s_TR/(s_RadSpec!F30*s_IFA_far_adj*(1/s_PEF_wind)*1000))*1),".")</f>
        <v>54583.850648194522</v>
      </c>
      <c r="AP30" s="45">
        <f>IFERROR((s_TR/(s_RadSpec!G30*s_EF_far*(1/365)*s_ED_far*s_RadSpec!R30*((s_ET_far_o*(1/24)*s_RadSpec!W30)+(s_ET_far_i*(1/24)*s_RadSpec!AB30))))*1,".")</f>
        <v>777724.79502255726</v>
      </c>
      <c r="AQ30" s="45">
        <f>s_b2s!BC30</f>
        <v>44.610170493246052</v>
      </c>
      <c r="AR30" s="45">
        <f>IFERROR(((J30*s_RadSpec!AU30)/s_RadSpec!AJ30)*1,".")</f>
        <v>1.4208896929230035</v>
      </c>
      <c r="AS30" s="45">
        <f>IFERROR(((K30*s_RadSpec!AU30)/s_RadSpec!AK30)*1,".")</f>
        <v>8.0238476776828428E-3</v>
      </c>
      <c r="AT30" s="45">
        <f>IFERROR((G30/(s_RadSpec!AI30*((s_Q_p_beef*s_f_p_beef*s_f_s_beef*(s_RadSpec!BD30+s_R_es_past))+(s_Q_s_beef*s_f_p_beef))))*1,".")</f>
        <v>98.923599707353247</v>
      </c>
      <c r="AU30" s="45">
        <f>IFERROR(((H30*s_D_milk)/(s_RadSpec!AH30*((s_Q_p_dairy*s_f_p_dairy*s_f_s_dairy*(s_RadSpec!BD30+s_R_es_past))+(s_Q_s_dairy*s_f_p_dairy))))*1,".")</f>
        <v>22.076450001357664</v>
      </c>
      <c r="AV30" s="45">
        <f>IFERROR((I30/(s_RadSpec!AN30*((s_Q_p_swine*s_f_p_swine*s_f_s_swine*(s_RadSpec!BD30+s_R_es_past))+(s_Q_s_swine*s_f_p_swine))))*1,".")</f>
        <v>0.87682281558790376</v>
      </c>
      <c r="AW30" s="45">
        <f>IFERROR((E30/(s_RadSpec!AL30*((s_Q_p_poultry*s_f_p_poultry*s_f_s_poultry*(s_RadSpec!BD30+s_R_es_past))+(s_Q_s_poultry*s_f_p_poultry))))*1,".")</f>
        <v>5.1440271847823682E-2</v>
      </c>
      <c r="AX30" s="45">
        <f>IFERROR((F30/(s_RadSpec!AM30*((s_Q_p_poultry*s_f_p_poultry*s_f_s_poultry*(s_RadSpec!BD30+s_R_es_past))+(s_Q_s_poultry*s_f_p_poultry))))*1,".")</f>
        <v>3.5072912623516146E-2</v>
      </c>
      <c r="AY30" s="45" t="str">
        <f>IFERROR((L30/(s_RadSpec!AQ30*((s_Q_p_goat*s_f_p_goat*s_f_s_goat*(s_RadSpec!BD30+s_R_es_past))+(s_Q_s_goat*s_f_p_goat))))*1,".")</f>
        <v>.</v>
      </c>
      <c r="AZ30" s="45">
        <f>IFERROR((N30*s_D_milk/(s_RadSpec!AR30*((s_Q_p_goat_milk*s_f_p_goat_milk*s_f_s_goat_milk*(s_RadSpec!BD30+s_R_es_past))+(s_Q_s_goat_milk*s_f_p_goat_milk))))*1,".")</f>
        <v>28.384007144602709</v>
      </c>
      <c r="BA30" s="45">
        <f>IFERROR((M30/(s_RadSpec!AO30*((s_Q_p_sheep*s_f_p_sheep*s_f_s_sheep*(s_RadSpec!BD30+s_R_es_past))+(s_Q_s_sheep*s_f_p_sheep))))*1,".")</f>
        <v>19.29010194293388</v>
      </c>
      <c r="BB30" s="45" t="str">
        <f>IFERROR((O30*s_D_milk/(s_RadSpec!AP30*((s_Q_p_sheep_milk*s_f_p_sheep_milk*s_f_s_sheep_milk*(s_RadSpec!BD30+s_R_es_past))+(s_Q_s_sheep_milk*s_f_p_sheep_milk))))*1,".")</f>
        <v>.</v>
      </c>
      <c r="BC30" s="118">
        <f t="shared" si="11"/>
        <v>9.0883099999999992E-4</v>
      </c>
      <c r="BD30" s="118">
        <f t="shared" si="12"/>
        <v>1.8320437054637829E-5</v>
      </c>
      <c r="BE30" s="118">
        <f t="shared" si="13"/>
        <v>1.2858018754191781E-6</v>
      </c>
      <c r="BF30" s="118">
        <f t="shared" si="14"/>
        <v>2.2416412870499999E-2</v>
      </c>
      <c r="BG30" s="118">
        <f t="shared" si="15"/>
        <v>0.70378439999999987</v>
      </c>
      <c r="BH30" s="118">
        <f t="shared" si="15"/>
        <v>124.62848749999998</v>
      </c>
      <c r="BI30" s="118">
        <f t="shared" si="16"/>
        <v>1.0108811274137928E-2</v>
      </c>
      <c r="BJ30" s="118">
        <f t="shared" si="17"/>
        <v>4.5297137897556072E-2</v>
      </c>
      <c r="BK30" s="118">
        <f t="shared" si="18"/>
        <v>1.1404812719540227</v>
      </c>
      <c r="BL30" s="118">
        <f t="shared" si="19"/>
        <v>19.44002168103448</v>
      </c>
      <c r="BM30" s="118">
        <f t="shared" si="20"/>
        <v>28.512031798850572</v>
      </c>
      <c r="BN30" s="118" t="str">
        <f t="shared" si="21"/>
        <v>.</v>
      </c>
      <c r="BO30" s="118">
        <f t="shared" si="22"/>
        <v>3.5231107253654727E-2</v>
      </c>
      <c r="BP30" s="118">
        <f t="shared" si="23"/>
        <v>5.1840057816091953E-2</v>
      </c>
      <c r="BQ30" s="118" t="str">
        <f t="shared" si="24"/>
        <v>.</v>
      </c>
      <c r="BR30" s="15">
        <f t="shared" si="46"/>
        <v>5.7276842859552502E-3</v>
      </c>
      <c r="BS30" s="40">
        <f t="shared" si="25"/>
        <v>302.5</v>
      </c>
      <c r="BT30" s="40">
        <f t="shared" si="26"/>
        <v>3.2362545583179352E-2</v>
      </c>
      <c r="BU30" s="40">
        <f>IFERROR((s_C*s_EF_far*(1/365)*s_ED_far*s_RadSpec!R30*((s_ET_far_o*(1/24)*s_RadSpec!W30)+(s_ET_far_i*(1/24)*s_RadSpec!AB30))),".")</f>
        <v>9.0410958904109578E-2</v>
      </c>
      <c r="BV30" s="40">
        <f>s_b2s!CC30</f>
        <v>11562.00375</v>
      </c>
      <c r="BW30" s="40">
        <f>IFERROR(((s_C*s_RadSpec!AJ30)/s_RadSpec!AU30)*s_IFFI_far_adj*s_CF_far_fish,0)</f>
        <v>362999.99999999994</v>
      </c>
      <c r="BX30" s="40">
        <f>IFERROR(((s_C*s_RadSpec!AK30)/s_RadSpec!AU30)*s_IFSF_far_adj*s_CF_far_shellfish,0)</f>
        <v>64281250</v>
      </c>
      <c r="BY30" s="40">
        <f>(s_C*s_IFB_far_adj*s_CF_far_beef*s_RadSpec!AI30*((s_Q_p_beef*s_f_p_beef*s_f_s_beef*(s_RadSpec!$AT30+s_R_es_past))+(s_Q_s_beef*s_f_p_beef)))</f>
        <v>5213.9525862068958</v>
      </c>
      <c r="BZ30" s="40">
        <f>(s_C*s_IFD_far_adj*s_CF_far_dairy*s_RadSpec!AH30*1/s_D_milk*((s_Q_p_dairy*s_f_p_dairy*s_f_s_dairy*(s_RadSpec!$AT30+s_R_es_past))+(s_Q_s_dairy*s_f_p_dairy)))</f>
        <v>23363.491797790422</v>
      </c>
      <c r="CA30" s="40">
        <f>IFERROR((s_C*s_IFSW_far_adj*s_CF_far_swine*s_RadSpec!AN30*((s_Q_p_swine*s_f_p_swine*s_f_s_swine*(s_RadSpec!$AT30+s_R_es_past))+(s_Q_s_swine*s_f_p_swine))),0)</f>
        <v>588240.80459770118</v>
      </c>
      <c r="CB30" s="40">
        <f>IFERROR((s_C*s_IFP_far_adj*s_CF_far_poultry*s_RadSpec!AL30*((s_Q_p_poultry*s_f_p_poultry*s_f_s_poultry*(s_RadSpec!AT30+s_R_es_past))+(s_Q_s_poultry*s_f_p_poultry))),0)</f>
        <v>10026831.896551725</v>
      </c>
      <c r="CC30" s="40">
        <f>IFERROR((s_C*s_IFE_far_adj*s_CF_far_egg*s_RadSpec!AM30*((s_Q_p_egg*s_f_p_egg*s_f_s_egg*(s_RadSpec!$AT30+s_R_es_past))+(s_Q_s_egg*s_f_p_egg))),0)</f>
        <v>14706020.114942528</v>
      </c>
      <c r="CD30" s="40">
        <f>IFERROR((s_C*s_IFGO_far_adj*s_CF_far_goat*s_RadSpec!AQ30*((s_Q_p_goat*s_f_p_goat*s_f_s_goat*(s_RadSpec!$AT30+s_R_es_past))+(s_Q_s_goat*s_f_p_goat))),0)</f>
        <v>0</v>
      </c>
      <c r="CE30" s="40">
        <f>IFERROR((s_C*s_IFGM_far_adj*s_CF_far_goat_milk*s_RadSpec!AR30*1/s_D_milk*((s_Q_p_goat_milk*s_f_p_goat_milk*s_f_s_goat_milk*(s_RadSpec!$AT30+s_R_es_past))+(s_Q_s_goat_milk*s_f_p_goat_milk))),0)</f>
        <v>18171.604731614774</v>
      </c>
      <c r="CF30" s="40">
        <f>IFERROR((s_C*s_IFSH_far_adj*s_CF_far_sheep*s_RadSpec!AO30*((s_Q_p_sheep*s_f_p_sheep*s_f_s_sheep*(s_RadSpec!$AT30+s_R_es_past))+(s_Q_s_sheep*s_f_p_sheep))),0)</f>
        <v>26738.218390804599</v>
      </c>
      <c r="CG30" s="40">
        <f>IFERROR((s_C*s_IFSM_far_adj*s_CF_far_sheep_milk*s_RadSpec!AP30*1/s_D_milk*((s_Q_p_sheep_milk*s_f_p_sheep_milk*s_f_s_sheep_milk*(s_RadSpec!$AT30+s_R_es_past))+(s_Q_s_sheep_milk*s_f_p_sheep_milk))),0)</f>
        <v>0</v>
      </c>
      <c r="CH30" s="18"/>
      <c r="CI30" s="18"/>
      <c r="CJ30" s="18"/>
      <c r="CK30" s="18"/>
      <c r="CL30" s="18"/>
      <c r="CM30" s="18"/>
      <c r="CN30" s="18"/>
      <c r="CO30" s="18"/>
      <c r="CP30" s="18"/>
      <c r="CQ30" s="18"/>
      <c r="CR30" s="18"/>
      <c r="CS30" s="18"/>
      <c r="CT30" s="18"/>
      <c r="CU30" s="18"/>
      <c r="CV30" s="18"/>
      <c r="CW30" s="5"/>
      <c r="CX30" s="15">
        <f>IFERROR(s_TR/(s_RadSpec!I30*s_IFW_far_adj),".")</f>
        <v>25.329922237138735</v>
      </c>
      <c r="CY30" s="15" t="str">
        <f>IFERROR(IF(AND(s_RadSpec!C30=1,s_RadSpec!D30&lt;&gt;0),s_TR/(s_RadSpec!F30*s_IFA_far_adj*s_K*s_RadSpec!D30),"."),".")</f>
        <v>.</v>
      </c>
      <c r="CZ30" s="15">
        <f>IFERROR((s_TR/(s_RadSpec!M30*(1/8760)*s_DFA_far_adj)),".")</f>
        <v>9525608048.086338</v>
      </c>
      <c r="DA30" s="15">
        <f>s_b2w!BC30</f>
        <v>66.543545415490399</v>
      </c>
      <c r="DB30" s="15">
        <f>IFERROR(J30/(s_RadSpec!AJ30*(1/1000)),".")</f>
        <v>3552.2242323075079</v>
      </c>
      <c r="DC30" s="15">
        <f>IFERROR(K30/(s_RadSpec!AK30*(1/1000)),".")</f>
        <v>20.059619194207102</v>
      </c>
      <c r="DD30" s="15">
        <f>IFERROR(G30/(s_RadSpec!AI30*s_Q_w_beef*(1/1000)),".")</f>
        <v>1748787.3143667732</v>
      </c>
      <c r="DE30" s="15">
        <f>IFERROR((H30*s_D_milk)/(s_RadSpec!AH30*s_Q_w_dairy*(1/1000)),".")</f>
        <v>390271.03565618489</v>
      </c>
      <c r="DF30" s="15">
        <f>IFERROR(I30/(s_RadSpec!AN30*s_Q_w_swine*(1/1000)),".")</f>
        <v>15500.614831887309</v>
      </c>
      <c r="DG30" s="15">
        <f>IFERROR(E30/(s_RadSpec!AL30*s_Q_w_poultry*(1/1000)),".")</f>
        <v>909.36940347072209</v>
      </c>
      <c r="DH30" s="15">
        <f>IFERROR(F30/(s_RadSpec!AM30*s_Q_w_poultry*(1/1000)),".")</f>
        <v>620.02459327549241</v>
      </c>
      <c r="DI30" s="15" t="str">
        <f>IFERROR(L30/(s_RadSpec!AQ30*s_Q_w_goat*(1/1000)),".")</f>
        <v>.</v>
      </c>
      <c r="DJ30" s="15">
        <f>IFERROR(N30*s_D_milk/(s_RadSpec!AR30*s_Q_w_goat_milk*(1/1000)),".")</f>
        <v>501777.0458436663</v>
      </c>
      <c r="DK30" s="15">
        <f>IFERROR(M30/(s_RadSpec!AO30*s_Q_w_sheep*(1/1000)),".")</f>
        <v>341013.52630152076</v>
      </c>
      <c r="DL30" s="15" t="str">
        <f>IFERROR(O30*s_D_milk/(s_RadSpec!AP30*s_Q_w_sheep_milk*(1/1000)),".")</f>
        <v>.</v>
      </c>
      <c r="DM30" s="118">
        <f t="shared" si="27"/>
        <v>3.9478999999999993E-2</v>
      </c>
      <c r="DN30" s="118" t="str">
        <f t="shared" si="28"/>
        <v>.</v>
      </c>
      <c r="DO30" s="118">
        <f t="shared" si="29"/>
        <v>1.0498017501369863E-10</v>
      </c>
      <c r="DP30" s="118">
        <f t="shared" si="30"/>
        <v>1.5027753537268155E-2</v>
      </c>
      <c r="DQ30" s="118">
        <f t="shared" si="31"/>
        <v>2.8151376E-4</v>
      </c>
      <c r="DR30" s="118">
        <f t="shared" si="31"/>
        <v>4.9851395000000007E-2</v>
      </c>
      <c r="DS30" s="118">
        <f t="shared" si="32"/>
        <v>5.7182482499999992E-7</v>
      </c>
      <c r="DT30" s="118">
        <f t="shared" si="33"/>
        <v>2.5623218446601941E-6</v>
      </c>
      <c r="DU30" s="118">
        <f t="shared" si="34"/>
        <v>6.4513569999999996E-5</v>
      </c>
      <c r="DV30" s="118">
        <f t="shared" si="35"/>
        <v>1.0996631249999998E-3</v>
      </c>
      <c r="DW30" s="118">
        <f t="shared" si="36"/>
        <v>1.6128392499999997E-3</v>
      </c>
      <c r="DX30" s="118" t="str">
        <f t="shared" si="37"/>
        <v>.</v>
      </c>
      <c r="DY30" s="118">
        <f t="shared" si="38"/>
        <v>1.992916990291262E-6</v>
      </c>
      <c r="DZ30" s="118">
        <f t="shared" si="39"/>
        <v>2.932435E-6</v>
      </c>
      <c r="EA30" s="118" t="str">
        <f t="shared" si="40"/>
        <v>.</v>
      </c>
      <c r="EB30" s="15">
        <f t="shared" si="47"/>
        <v>9.3088428238420793</v>
      </c>
      <c r="EC30" s="40">
        <f t="shared" si="41"/>
        <v>27500</v>
      </c>
      <c r="ED30" s="40">
        <f>IFERROR(IF(s_RadSpec!D30&lt;&gt;"",s_C*s_IFA_far_adj*s_K*s_RadSpec!D30,0),".")</f>
        <v>0</v>
      </c>
      <c r="EE30" s="40">
        <f t="shared" si="42"/>
        <v>2.5114155251141552</v>
      </c>
      <c r="EF30" s="40">
        <f>s_b2w!CC30</f>
        <v>7751.0591795276232</v>
      </c>
      <c r="EG30" s="40">
        <f>IFERROR(s_C*s_RadSpec!AJ30*(1/1000)*s_IFFI_far_adj*s_CF_far_fish,0)</f>
        <v>145.19999999999999</v>
      </c>
      <c r="EH30" s="40">
        <f>IFERROR(s_C*s_RadSpec!AK30*(1/1000)*s_IFSF_far_adj*s_CF_far_shellfish,0)</f>
        <v>25712.5</v>
      </c>
      <c r="EI30" s="40">
        <f>(s_C*s_IFB_far_adj*s_CF_far_beef*s_RadSpec!AI30*s_Q_w_beef*(1/1000))</f>
        <v>0.29493750000000002</v>
      </c>
      <c r="EJ30" s="40">
        <f>(s_C*s_IFD_far_adj*s_CF_far_dairy*s_RadSpec!AH30*(1/s_D_milk)*s_Q_w_dairy*(1/1000))</f>
        <v>1.3216019417475731</v>
      </c>
      <c r="EK30" s="40">
        <f>IFERROR((s_C*s_IFSW_far_adj*s_CF_far_swine*s_RadSpec!AN30*s_Q_w_swine*(1/1000)),0)</f>
        <v>33.274999999999999</v>
      </c>
      <c r="EL30" s="40">
        <f>IFERROR((s_C*s_IFP_far_adj*s_CF_far_poultry*s_RadSpec!AL30*s_Q_w_poultry*(1/1000)),0)</f>
        <v>567.1875</v>
      </c>
      <c r="EM30" s="40">
        <f>IFERROR((s_C*s_IFE_far_adj*s_CF_far_egg*s_RadSpec!AM30*s_Q_w_egg*(1/1000)),0)</f>
        <v>831.875</v>
      </c>
      <c r="EN30" s="40">
        <f>IFERROR((s_C*s_IFGO_far_adj*s_CF_far_goat*s_RadSpec!AQ30*s_Q_p_goat*(1/1000)),0)</f>
        <v>0</v>
      </c>
      <c r="EO30" s="40">
        <f>IFERROR((s_C*s_IFGM_far_adj*s_CF_far_goat_milk*s_RadSpec!AR30*(1/s_D_milk)*s_Q_p_goat_milk*(1/1000)),0)</f>
        <v>1.0279126213592233</v>
      </c>
      <c r="EP30" s="40">
        <f>IFERROR((s_C*s_IFSH_far_adj*s_CF_far_sheep*s_RadSpec!AO30*s_Q_p_sheep*(1/1000)),0)</f>
        <v>1.5125</v>
      </c>
      <c r="EQ30" s="40">
        <f>IFERROR((s_C*s_IFSM_far_adj*s_CF_far_sheep_milk*s_RadSpec!AP30*(1/s_D_milk)*s_Q_p_sheep_milk*(1/1000)),0)</f>
        <v>0</v>
      </c>
      <c r="ER30" s="18"/>
      <c r="ES30" s="18"/>
      <c r="ET30" s="18"/>
      <c r="EU30" s="18"/>
      <c r="EV30" s="18"/>
      <c r="EW30" s="18"/>
      <c r="EX30" s="18"/>
      <c r="EY30" s="18"/>
      <c r="EZ30" s="18"/>
      <c r="FA30" s="18"/>
      <c r="FB30" s="18"/>
      <c r="FC30" s="18"/>
      <c r="FD30" s="18"/>
      <c r="FE30" s="18"/>
      <c r="FF30" s="18"/>
      <c r="FG30" s="5"/>
      <c r="FH30" s="15">
        <f>IFERROR((s_TR/(s_RadSpec!F30*s_IFA_far_adj)),".")</f>
        <v>0.17618841148252914</v>
      </c>
      <c r="FI30" s="15">
        <f>IFERROR((s_TR/(s_RadSpec!K30*s_EF_far*(1/365)*s_ED_far*s_ET_far*(1/24)*s_GSF_a)),".")</f>
        <v>33974273.287321642</v>
      </c>
      <c r="FJ30" s="15">
        <f t="shared" ref="FJ30" si="59">IFERROR(IF(AND(ISNUMBER(FH30),ISNUMBER(FI30)),1/((1/FH30)+(1/FI30)),IF(AND(ISNUMBER(FH30),NOT(ISNUMBER(FI30))),1/((1/FH30)),IF(AND(NOT(ISNUMBER(FH30)),ISNUMBER(FI30)),1/((1/FI30)),IF(AND(NOT(ISNUMBER(FH30)),NOT(ISNUMBER(FI30))),".")))),".")</f>
        <v>0.17618841056882731</v>
      </c>
      <c r="FK30" s="40">
        <f t="shared" si="44"/>
        <v>10026.041666666666</v>
      </c>
      <c r="FL30" s="40">
        <f t="shared" si="45"/>
        <v>1.5696347031963471</v>
      </c>
      <c r="FM30" s="120"/>
      <c r="FN30" s="120"/>
      <c r="FO30" s="120"/>
    </row>
    <row r="31" spans="1:171" x14ac:dyDescent="0.25">
      <c r="A31" s="82" t="s">
        <v>13</v>
      </c>
      <c r="B31" s="82" t="s">
        <v>1071</v>
      </c>
      <c r="C31" s="57"/>
      <c r="D31" s="58">
        <f>1/SUM(1/D32,1/D33,1/D34,1/D35,1/D36,1/D37,1/D38,1/D41,1/D44)</f>
        <v>7.9543221044372517E-2</v>
      </c>
      <c r="E31" s="58">
        <f t="shared" ref="E31:O31" si="60">1/SUM(1/E32,1/E33,1/E34,1/E35,1/E36,1/E37,1/E38,1/E41,1/E44)</f>
        <v>0.31817288417749007</v>
      </c>
      <c r="F31" s="58">
        <f t="shared" si="60"/>
        <v>0.31817288417749007</v>
      </c>
      <c r="G31" s="58">
        <f t="shared" si="60"/>
        <v>0.31817288417749007</v>
      </c>
      <c r="H31" s="58">
        <f t="shared" si="60"/>
        <v>0.31817288417749007</v>
      </c>
      <c r="I31" s="58">
        <f t="shared" si="60"/>
        <v>0.31817288417749007</v>
      </c>
      <c r="J31" s="58">
        <f t="shared" si="60"/>
        <v>0.31817288417749007</v>
      </c>
      <c r="K31" s="58">
        <f>1/SUM(1/K32,1/K33,1/K34,1/K35,1/K36,1/K37,1/K38,1/K41,1/K44)</f>
        <v>0.31817288417749007</v>
      </c>
      <c r="L31" s="58">
        <f t="shared" si="60"/>
        <v>0.31817288417749007</v>
      </c>
      <c r="M31" s="58">
        <f t="shared" si="60"/>
        <v>0.31817288417749007</v>
      </c>
      <c r="N31" s="58">
        <f t="shared" si="60"/>
        <v>0.31817288417749007</v>
      </c>
      <c r="O31" s="58">
        <f t="shared" si="60"/>
        <v>0.31817288417749007</v>
      </c>
      <c r="P31" s="73"/>
      <c r="Q31" s="73"/>
      <c r="R31" s="73"/>
      <c r="S31" s="73"/>
      <c r="T31" s="73"/>
      <c r="U31" s="73"/>
      <c r="V31" s="73"/>
      <c r="W31" s="73"/>
      <c r="X31" s="73"/>
      <c r="Y31" s="73"/>
      <c r="Z31" s="73"/>
      <c r="AA31" s="73"/>
      <c r="AB31" s="47">
        <f t="shared" ref="AB31:AM31" si="61">IFERROR(IF(SUM(P32:P44)&gt;0.01,1-EXP(-SUM(P32:P44)),SUM(P32:P44)),".")</f>
        <v>6.2858923312557509E-4</v>
      </c>
      <c r="AC31" s="47">
        <f t="shared" si="61"/>
        <v>1.5714726957092901E-4</v>
      </c>
      <c r="AD31" s="47">
        <f t="shared" si="61"/>
        <v>1.5714726957092901E-4</v>
      </c>
      <c r="AE31" s="47">
        <f t="shared" si="61"/>
        <v>1.5714726957092901E-4</v>
      </c>
      <c r="AF31" s="47">
        <f t="shared" si="61"/>
        <v>1.5714726957092901E-4</v>
      </c>
      <c r="AG31" s="47">
        <f t="shared" si="61"/>
        <v>1.5714726957092901E-4</v>
      </c>
      <c r="AH31" s="47">
        <f t="shared" si="61"/>
        <v>1.5714726957092901E-4</v>
      </c>
      <c r="AI31" s="47">
        <f t="shared" si="61"/>
        <v>1.5714726957092901E-4</v>
      </c>
      <c r="AJ31" s="47">
        <f t="shared" si="61"/>
        <v>1.5714726957092901E-4</v>
      </c>
      <c r="AK31" s="47">
        <f t="shared" si="61"/>
        <v>1.5714726957092901E-4</v>
      </c>
      <c r="AL31" s="47">
        <f t="shared" si="61"/>
        <v>1.5714726957092901E-4</v>
      </c>
      <c r="AM31" s="47">
        <f t="shared" si="61"/>
        <v>1.5714726957092901E-4</v>
      </c>
      <c r="AN31" s="58">
        <f>1/SUM(1/AN32,1/AN33,1/AN34,1/AN35,1/AN36,1/AN37,1/AN38,1/AN41,1/AN44)</f>
        <v>103.75963743062117</v>
      </c>
      <c r="AO31" s="58">
        <f>1/SUM(1/AO32,1/AO33,1/AO34,1/AO35,1/AO36,1/AO37,1/AO38,1/AO41,1/AO44)</f>
        <v>4765.9686979909957</v>
      </c>
      <c r="AP31" s="58">
        <f>1/SUM(1/AP32,1/AP33,1/AP34,1/AP35,1/AP36,1/AP37,1/AP38,1/AP41,1/AP43,1/AP39,1/AP40,1/AP42)</f>
        <v>68.966389189602125</v>
      </c>
      <c r="AQ31" s="58">
        <f t="shared" ref="AQ31" si="62">1/SUM(1/AQ32,1/AQ33,1/AQ34,1/AQ35,1/AQ36,1/AQ37,1/AQ38,1/AQ41,1/AQ44)</f>
        <v>4.6204591309810503</v>
      </c>
      <c r="AR31" s="58">
        <f>1/SUM(1/AR32,1/AR33,1/AR34,1/AR35,1/AR36,1/AR37,1/AR38,1/AR41,1/AR44)</f>
        <v>1.5460083056641535E-2</v>
      </c>
      <c r="AS31" s="58">
        <f>1/SUM(1/AS32,1/AS33,1/AS35,1/AS36,1/AS37,1/AS44)</f>
        <v>8.0323054838964488E-5</v>
      </c>
      <c r="AT31" s="58">
        <f>1/SUM(1/AT32,1/AT33,1/AT34,1/AT35,1/AT36,1/AT37,1/AT38,1/AT41,1/AT44)</f>
        <v>8.2556704344316199</v>
      </c>
      <c r="AU31" s="58">
        <f>1/SUM(1/AU32,1/AU33,1/AU34,1/AU35,1/AU36,1/AU37,1/AU38,1/AU41,1/AU44)</f>
        <v>16.226762151975208</v>
      </c>
      <c r="AV31" s="58">
        <f>1/SUM(1/AV32,1/AV35)</f>
        <v>0.8722260973212298</v>
      </c>
      <c r="AW31" s="58">
        <f>1/SUM(1/AW32,1/AW35)</f>
        <v>5.0885004204799411E-2</v>
      </c>
      <c r="AX31" s="58">
        <f>1/SUM(1/AX32,1/AX35)</f>
        <v>3.4942922499083574E-2</v>
      </c>
      <c r="AY31" s="119" t="str">
        <f>IFERROR(1/SUM(1/AY32,1/AY33,1/AY34,1/AY35,1/AY36,1/AY37,1/AY38,1/AY41,1/AY44),".")</f>
        <v>.</v>
      </c>
      <c r="AZ31" s="58">
        <f>1/SUM(1/AZ32,1/AZ33,1/AZ35,1/AZ44)</f>
        <v>26.918489269761885</v>
      </c>
      <c r="BA31" s="58">
        <f>1/SUM(1/BA32,1/BA33,1/BA35,1/BA36,1/BA37,1/BA44)</f>
        <v>2.8470344239305829</v>
      </c>
      <c r="BB31" s="58">
        <f>1/SUM(1/BB44)</f>
        <v>313.37247170463195</v>
      </c>
      <c r="BC31" s="118">
        <f t="shared" ref="BC31:BC76" si="63">IFERROR(1/AN31,".")</f>
        <v>9.6376589660757978E-3</v>
      </c>
      <c r="BD31" s="118">
        <f t="shared" ref="BD31:BD76" si="64">IFERROR(1/AO31,".")</f>
        <v>2.0982093323893025E-4</v>
      </c>
      <c r="BE31" s="118">
        <f t="shared" ref="BE31:BE76" si="65">IFERROR(1/AP31,".")</f>
        <v>1.4499816675203975E-2</v>
      </c>
      <c r="BF31" s="118">
        <f t="shared" ref="BF31:BF76" si="66">IFERROR(1/AQ31,".")</f>
        <v>0.21642870798159675</v>
      </c>
      <c r="BG31" s="118">
        <f t="shared" ref="BG31:BG76" si="67">IFERROR(1/AR31,".")</f>
        <v>64.682705541507914</v>
      </c>
      <c r="BH31" s="118">
        <f t="shared" ref="BH31:BH76" si="68">IFERROR(1/AS31,".")</f>
        <v>12449.725698367025</v>
      </c>
      <c r="BI31" s="118">
        <f t="shared" ref="BI31:BI76" si="69">IFERROR(1/AT31,".")</f>
        <v>0.12112886626740052</v>
      </c>
      <c r="BJ31" s="118">
        <f t="shared" ref="BJ31:BJ76" si="70">IFERROR(1/AU31,".")</f>
        <v>6.1626588880411649E-2</v>
      </c>
      <c r="BK31" s="118">
        <f t="shared" ref="BK31:BK76" si="71">IFERROR(1/AV31,".")</f>
        <v>1.1464917216661916</v>
      </c>
      <c r="BL31" s="118">
        <f t="shared" ref="BL31:BL76" si="72">IFERROR(1/AW31,".")</f>
        <v>19.652155200287499</v>
      </c>
      <c r="BM31" s="118">
        <f t="shared" ref="BM31:BM76" si="73">IFERROR(1/AX31,".")</f>
        <v>28.61809855847708</v>
      </c>
      <c r="BN31" s="118" t="str">
        <f t="shared" ref="BN31:BN76" si="74">IFERROR(1/AY31,".")</f>
        <v>.</v>
      </c>
      <c r="BO31" s="118">
        <f t="shared" ref="BO31:BO76" si="75">IFERROR(1/AZ31,".")</f>
        <v>3.7149187310571749E-2</v>
      </c>
      <c r="BP31" s="118">
        <f t="shared" ref="BP31:BP76" si="76">IFERROR(1/BA31,".")</f>
        <v>0.3512426796088442</v>
      </c>
      <c r="BQ31" s="118">
        <f t="shared" ref="BQ31:BQ76" si="77">IFERROR(1/BB31,".")</f>
        <v>3.1910907635261153E-3</v>
      </c>
      <c r="BR31" s="59">
        <f t="shared" si="46"/>
        <v>7.9588430627862522E-5</v>
      </c>
      <c r="BS31" s="73"/>
      <c r="BT31" s="73"/>
      <c r="BU31" s="73"/>
      <c r="BV31" s="73"/>
      <c r="BW31" s="73"/>
      <c r="BX31" s="73"/>
      <c r="BY31" s="73"/>
      <c r="BZ31" s="73"/>
      <c r="CA31" s="73"/>
      <c r="CB31" s="73"/>
      <c r="CC31" s="73"/>
      <c r="CD31" s="73"/>
      <c r="CE31" s="73"/>
      <c r="CF31" s="73"/>
      <c r="CG31" s="73"/>
      <c r="CH31" s="47">
        <f t="shared" ref="CH31:CV31" si="78">IFERROR(IF(SUM(BS32:BS44)&gt;0.01,1-EXP(-SUM(BS32:BS44)),SUM(BS32:BS44)),".")</f>
        <v>4.8188294830378993E-7</v>
      </c>
      <c r="CI31" s="47">
        <f t="shared" si="78"/>
        <v>1.0491046661946513E-8</v>
      </c>
      <c r="CJ31" s="47">
        <f t="shared" si="78"/>
        <v>7.2499083376019856E-7</v>
      </c>
      <c r="CK31" s="47">
        <f t="shared" si="78"/>
        <v>1.0821448371695065E-5</v>
      </c>
      <c r="CL31" s="47">
        <f t="shared" si="78"/>
        <v>3.234135277075396E-3</v>
      </c>
      <c r="CM31" s="47">
        <f t="shared" si="78"/>
        <v>0.46339138424245674</v>
      </c>
      <c r="CN31" s="47">
        <f t="shared" si="78"/>
        <v>6.0564433133700272E-6</v>
      </c>
      <c r="CO31" s="47">
        <f t="shared" si="78"/>
        <v>3.0813294440205822E-6</v>
      </c>
      <c r="CP31" s="47">
        <f t="shared" si="78"/>
        <v>5.7324586083309599E-5</v>
      </c>
      <c r="CQ31" s="47">
        <f t="shared" si="78"/>
        <v>9.8260776001437514E-4</v>
      </c>
      <c r="CR31" s="47">
        <f t="shared" si="78"/>
        <v>1.4309049279238541E-3</v>
      </c>
      <c r="CS31" s="47">
        <f t="shared" si="78"/>
        <v>0</v>
      </c>
      <c r="CT31" s="47">
        <f t="shared" si="78"/>
        <v>1.8574593655285876E-6</v>
      </c>
      <c r="CU31" s="47">
        <f t="shared" si="78"/>
        <v>1.7562133980442211E-5</v>
      </c>
      <c r="CV31" s="47">
        <f t="shared" si="78"/>
        <v>1.595545381763058E-7</v>
      </c>
      <c r="CW31" s="47">
        <f>IFERROR(IF(SUM(BS32:CG44)&gt;0.01,1-EXP(-SUM(BS32:CG44)),SUM(BS32:CG44)),".")</f>
        <v>0.46646575084843878</v>
      </c>
      <c r="CX31" s="59">
        <f t="shared" ref="CX31" si="79">1/SUM(1/CX32,1/CX33,1/CX34,1/CX35,1/CX36,1/CX37,1/CX38,1/CX41,1/CX44)</f>
        <v>2.357265654375055</v>
      </c>
      <c r="CY31" s="58" t="str">
        <f>IFERROR(1/SUM(1/CY32,1/CY33,1/CY34,1/CY35,1/CY36,1/CY37,1/CY38,1/CY39,1/CY40,1/CY41,1/CY42,1/CY43,1/CY44,1/CY45),".")</f>
        <v>.</v>
      </c>
      <c r="CZ31" s="59">
        <f>1/SUM(1/CZ32,1/CZ33,1/CZ34,1/CZ35,1/CZ36,1/CZ37,1/CZ38,1/CZ41,1/CZ44,1/CZ39,1/CZ40,1/CZ42,1/CZ43)</f>
        <v>4107884.4288635948</v>
      </c>
      <c r="DA31" s="59">
        <f>1/SUM(1/DA32,1/DA33,1/DA34,1/DA35,1/DA36,1/DA37,1/DA38,1/DA41,1/DA44)</f>
        <v>6.3966856965849859</v>
      </c>
      <c r="DB31" s="59">
        <f>1/SUM(1/DB32,1/DB33,1/DB34,1/DB35,1/DB36,1/DB37,1/DB38,1/DB41,1/DB44)</f>
        <v>8.0284503423357432</v>
      </c>
      <c r="DC31" s="59">
        <f>1/SUM(1/DC32,1/DC33,1/DC35,1/DC36,1/DC37,1/DC44)</f>
        <v>0.16678401902816645</v>
      </c>
      <c r="DD31" s="59">
        <f>1/SUM(1/DD32,1/DD33,1/DD34,1/DD35,1/DD36,1/DD37,1/DD38,1/DD41,1/DD44)</f>
        <v>147621.26211052478</v>
      </c>
      <c r="DE31" s="59">
        <f>1/SUM(1/DE32,1/DE33,1/DE34,1/DE35,1/DE36,1/DE37,1/DE38,1/DE41,1/DE44)</f>
        <v>288795.55971737806</v>
      </c>
      <c r="DF31" s="59">
        <f>1/SUM(1/DF32,1/DF35)</f>
        <v>15418.533344090047</v>
      </c>
      <c r="DG31" s="59">
        <f>1/SUM(1/DG32,1/DG35)</f>
        <v>899.45480244227451</v>
      </c>
      <c r="DH31" s="59">
        <f>1/SUM(1/DH32,1/DH35)</f>
        <v>617.70338313000389</v>
      </c>
      <c r="DI31" s="59" t="str">
        <f>(IFERROR(1/SUM(1/DI32,1/DI33,1/DI34,1/DI35,1/DI36,1/DI37,1/DI38,1/DI41,1/DI44),"."))</f>
        <v>.</v>
      </c>
      <c r="DJ31" s="59">
        <f>1/SUM(1/DJ32,1/DJ33,1/DJ35,1/DJ44)</f>
        <v>475814.5126568079</v>
      </c>
      <c r="DK31" s="59">
        <f>1/SUM(1/DK32,1/DK33,1/DK35,1/DK36,1/DK37,1/DK44)</f>
        <v>50764.551108240164</v>
      </c>
      <c r="DL31" s="59">
        <f>1/SUM(1/DL44)</f>
        <v>5583072.7717491938</v>
      </c>
      <c r="DM31" s="118">
        <f t="shared" ref="DM31:DM76" si="80">IFERROR(1/CX31,".")</f>
        <v>0.42422032414717992</v>
      </c>
      <c r="DN31" s="118" t="str">
        <f t="shared" ref="DN31:DN76" si="81">IFERROR(1/CY31,".")</f>
        <v>.</v>
      </c>
      <c r="DO31" s="118">
        <f t="shared" ref="DO31:DO76" si="82">IFERROR(1/CZ31,".")</f>
        <v>2.4343430720046814E-7</v>
      </c>
      <c r="DP31" s="118">
        <f t="shared" ref="DP31:DP76" si="83">IFERROR(1/DA31,".")</f>
        <v>0.15633095753537998</v>
      </c>
      <c r="DQ31" s="118">
        <f t="shared" ref="DQ31:DQ76" si="84">IFERROR(1/DB31,".")</f>
        <v>0.12455703870107848</v>
      </c>
      <c r="DR31" s="118">
        <f t="shared" ref="DR31:DR76" si="85">IFERROR(1/DC31,".")</f>
        <v>5.9957782875535592</v>
      </c>
      <c r="DS31" s="118">
        <f t="shared" ref="DS31:DS76" si="86">IFERROR(1/DD31,".")</f>
        <v>6.7740919275659282E-6</v>
      </c>
      <c r="DT31" s="118">
        <f t="shared" ref="DT31:DT76" si="87">IFERROR(1/DE31,".")</f>
        <v>3.4626571162611464E-6</v>
      </c>
      <c r="DU31" s="118">
        <f t="shared" ref="DU31:DU76" si="88">IFERROR(1/DF31,".")</f>
        <v>6.4857011862500002E-5</v>
      </c>
      <c r="DV31" s="118">
        <f t="shared" ref="DV31:DV76" si="89">IFERROR(1/DG31,".")</f>
        <v>1.1117846024999998E-3</v>
      </c>
      <c r="DW31" s="118">
        <f t="shared" ref="DW31:DW76" si="90">IFERROR(1/DH31,".")</f>
        <v>1.6188999887499997E-3</v>
      </c>
      <c r="DX31" s="118" t="str">
        <f t="shared" ref="DX31:DX76" si="91">IFERROR(1/DI31,".")</f>
        <v>.</v>
      </c>
      <c r="DY31" s="118">
        <f t="shared" ref="DY31:DY76" si="92">IFERROR(1/DJ31,".")</f>
        <v>2.10165930924699E-6</v>
      </c>
      <c r="DZ31" s="118">
        <f t="shared" ref="DZ31:DZ76" si="93">IFERROR(1/DK31,".")</f>
        <v>1.9698785435289287E-5</v>
      </c>
      <c r="EA31" s="118">
        <f t="shared" ref="EA31:EA76" si="94">IFERROR(1/DL31,".")</f>
        <v>1.7911283640436893E-7</v>
      </c>
      <c r="EB31" s="59">
        <f t="shared" si="47"/>
        <v>0.14917102804697377</v>
      </c>
      <c r="EC31" s="70"/>
      <c r="ED31" s="70"/>
      <c r="EE31" s="70"/>
      <c r="EF31" s="70"/>
      <c r="EG31" s="70"/>
      <c r="EH31" s="70"/>
      <c r="EI31" s="70"/>
      <c r="EJ31" s="70"/>
      <c r="EK31" s="70"/>
      <c r="EL31" s="70"/>
      <c r="EM31" s="70"/>
      <c r="EN31" s="70"/>
      <c r="EO31" s="70"/>
      <c r="EP31" s="70"/>
      <c r="EQ31" s="70"/>
      <c r="ER31" s="47">
        <f>IFERROR(IF(SUM(EC32:EC44)&gt;0.01,1-EXP(-SUM(EC32:EC44)),SUM(EC32:EC44)),".")</f>
        <v>2.1211016207359E-5</v>
      </c>
      <c r="ES31" s="47">
        <f t="shared" ref="ES31:FF31" si="95">IFERROR(IF(SUM(ED32:ED44)&gt;0.01,1-EXP(-SUM(ED32:ED44)),SUM(ED32:ED44)),".")</f>
        <v>0</v>
      </c>
      <c r="ET31" s="47">
        <f t="shared" si="95"/>
        <v>1.2171715360023406E-11</v>
      </c>
      <c r="EU31" s="47">
        <f t="shared" si="95"/>
        <v>7.8165518502354755E-6</v>
      </c>
      <c r="EV31" s="47">
        <f t="shared" si="95"/>
        <v>6.2278519350539246E-6</v>
      </c>
      <c r="EW31" s="47">
        <f t="shared" si="95"/>
        <v>2.9978891437767795E-4</v>
      </c>
      <c r="EX31" s="47">
        <f t="shared" si="95"/>
        <v>3.3870459637829655E-10</v>
      </c>
      <c r="EY31" s="47">
        <f t="shared" si="95"/>
        <v>1.7313285581305736E-10</v>
      </c>
      <c r="EZ31" s="47">
        <f t="shared" si="95"/>
        <v>3.242850593125E-9</v>
      </c>
      <c r="FA31" s="47">
        <f t="shared" si="95"/>
        <v>5.5589230125000003E-8</v>
      </c>
      <c r="FB31" s="47">
        <f t="shared" si="95"/>
        <v>8.0944999437499993E-8</v>
      </c>
      <c r="FC31" s="47">
        <f t="shared" si="95"/>
        <v>0</v>
      </c>
      <c r="FD31" s="47">
        <f t="shared" si="95"/>
        <v>1.0508296546234953E-10</v>
      </c>
      <c r="FE31" s="47">
        <f t="shared" si="95"/>
        <v>9.8493927176446451E-10</v>
      </c>
      <c r="FF31" s="47">
        <f t="shared" si="95"/>
        <v>8.9556418202184496E-12</v>
      </c>
      <c r="FG31" s="47">
        <f>IFERROR(IF(SUM(EC32:EQ44)&gt;0.01,1-EXP(-SUM(EC32:EQ44)),SUM(EC32:EQ44)),".")</f>
        <v>3.3518573443752859E-4</v>
      </c>
      <c r="FH31" s="59">
        <f>1/SUM(1/FH32,1/FH33,1/FH34,1/FH35,1/FH36,1/FH37,1/FH38,1/FH41,1/FH44)</f>
        <v>1.5383825877118961E-2</v>
      </c>
      <c r="FI31" s="59">
        <f t="shared" ref="FI31:FJ31" si="96">1/SUM(1/FI32,1/FI33,1/FI34,1/FI35,1/FI36,1/FI37,1/FI38,1/FI41,1/FI44,1/FI39,1/FI40,1/FI42,1/FI43)</f>
        <v>14415.209756149468</v>
      </c>
      <c r="FJ31" s="59">
        <f t="shared" si="96"/>
        <v>1.5383809459609253E-2</v>
      </c>
      <c r="FK31" s="70"/>
      <c r="FL31" s="70"/>
      <c r="FM31" s="47">
        <f>IFERROR(IF(SUM(FK32:FK44)&gt;0.01,1-EXP(-SUM(FK32:FK44)),SUM(FK32:FK44)),".")</f>
        <v>3.2501667920180515E-3</v>
      </c>
      <c r="FN31" s="47">
        <f>IFERROR(IF(SUM(FL32:FL44)&gt;0.01,1-EXP(-SUM(FL32:FL44)),SUM(FL32:FL44)),".")</f>
        <v>3.4685586159209527E-9</v>
      </c>
      <c r="FO31" s="47">
        <f>IFERROR(IF(SUM(FK32:FL44)&gt;0.01,1-EXP(-SUM(FK32:FL44)),SUM(FK32:FL44)),".")</f>
        <v>3.250170260576668E-3</v>
      </c>
    </row>
    <row r="32" spans="1:171" x14ac:dyDescent="0.25">
      <c r="A32" s="83" t="s">
        <v>1099</v>
      </c>
      <c r="B32" s="42">
        <v>1</v>
      </c>
      <c r="C32" s="42"/>
      <c r="D32" s="60">
        <f>IFERROR(D3/$B32,0)</f>
        <v>0.61873645353877038</v>
      </c>
      <c r="E32" s="60">
        <f t="shared" ref="E32:O32" si="97">IFERROR(E3/$B32,0)</f>
        <v>2.4749458141550815</v>
      </c>
      <c r="F32" s="60">
        <f t="shared" si="97"/>
        <v>2.4749458141550815</v>
      </c>
      <c r="G32" s="60">
        <f t="shared" si="97"/>
        <v>2.4749458141550815</v>
      </c>
      <c r="H32" s="60">
        <f t="shared" si="97"/>
        <v>2.4749458141550815</v>
      </c>
      <c r="I32" s="60">
        <f t="shared" si="97"/>
        <v>2.4749458141550815</v>
      </c>
      <c r="J32" s="60">
        <f t="shared" si="97"/>
        <v>2.4749458141550815</v>
      </c>
      <c r="K32" s="60">
        <f t="shared" ref="K32" si="98">IFERROR(K3/$B32,0)</f>
        <v>2.4749458141550815</v>
      </c>
      <c r="L32" s="60">
        <f t="shared" si="97"/>
        <v>2.4749458141550815</v>
      </c>
      <c r="M32" s="60">
        <f t="shared" si="97"/>
        <v>2.4749458141550815</v>
      </c>
      <c r="N32" s="60">
        <f t="shared" si="97"/>
        <v>2.4749458141550815</v>
      </c>
      <c r="O32" s="60">
        <f t="shared" si="97"/>
        <v>2.4749458141550815</v>
      </c>
      <c r="P32" s="71">
        <f>s_dir!BC32</f>
        <v>8.080985000000001E-5</v>
      </c>
      <c r="Q32" s="71">
        <f>IFERROR(s_RadSpec!$H$3*Q3,".")*$B$32</f>
        <v>2.0202462500000003E-5</v>
      </c>
      <c r="R32" s="71">
        <f>IFERROR(s_RadSpec!$H$3*R3,".")*$B$32</f>
        <v>2.0202462500000003E-5</v>
      </c>
      <c r="S32" s="71">
        <f>IFERROR(s_RadSpec!$H$3*S3,".")*$B$32</f>
        <v>2.0202462500000003E-5</v>
      </c>
      <c r="T32" s="71">
        <f>IFERROR(s_RadSpec!$H$3*T3,".")*$B$32</f>
        <v>2.0202462500000003E-5</v>
      </c>
      <c r="U32" s="71">
        <f>IFERROR(s_RadSpec!$H$3*U3,".")*$B$32</f>
        <v>2.0202462500000003E-5</v>
      </c>
      <c r="V32" s="71">
        <f>IFERROR(s_RadSpec!$H$3*V3,".")*$B$32</f>
        <v>2.0202462500000003E-5</v>
      </c>
      <c r="W32" s="71">
        <f>IFERROR(s_RadSpec!$H$3*W3,".")*$B$32</f>
        <v>2.0202462500000003E-5</v>
      </c>
      <c r="X32" s="71">
        <f>IFERROR(s_RadSpec!$H$3*X3,".")*$B$32</f>
        <v>2.0202462500000003E-5</v>
      </c>
      <c r="Y32" s="71">
        <f>IFERROR(s_RadSpec!$H$3*Y3,".")*$B$32</f>
        <v>2.0202462500000003E-5</v>
      </c>
      <c r="Z32" s="71">
        <f>IFERROR(s_RadSpec!$H$3*Z3,".")*$B$32</f>
        <v>2.0202462500000003E-5</v>
      </c>
      <c r="AA32" s="71">
        <f>IFERROR(s_RadSpec!$H$3*AA3,".")*$B$32</f>
        <v>2.0202462500000003E-5</v>
      </c>
      <c r="AB32" s="49">
        <f t="shared" ref="AB32" si="99">IFERROR(IF(P32&gt;0.01,1-EXP(-P32),P32),".")</f>
        <v>8.080985000000001E-5</v>
      </c>
      <c r="AC32" s="49">
        <f t="shared" ref="AC32" si="100">IFERROR(IF(Q32&gt;0.01,1-EXP(-Q32),Q32),".")</f>
        <v>2.0202462500000003E-5</v>
      </c>
      <c r="AD32" s="49">
        <f t="shared" ref="AD32" si="101">IFERROR(IF(R32&gt;0.01,1-EXP(-R32),R32),".")</f>
        <v>2.0202462500000003E-5</v>
      </c>
      <c r="AE32" s="49">
        <f t="shared" ref="AE32" si="102">IFERROR(IF(S32&gt;0.01,1-EXP(-S32),S32),".")</f>
        <v>2.0202462500000003E-5</v>
      </c>
      <c r="AF32" s="49">
        <f t="shared" ref="AF32:AM32" si="103">IFERROR(IF(T32&gt;0.01,1-EXP(-T32),T32),".")</f>
        <v>2.0202462500000003E-5</v>
      </c>
      <c r="AG32" s="49">
        <f t="shared" si="103"/>
        <v>2.0202462500000003E-5</v>
      </c>
      <c r="AH32" s="49">
        <f t="shared" si="103"/>
        <v>2.0202462500000003E-5</v>
      </c>
      <c r="AI32" s="49">
        <f t="shared" si="103"/>
        <v>2.0202462500000003E-5</v>
      </c>
      <c r="AJ32" s="49">
        <f t="shared" si="103"/>
        <v>2.0202462500000003E-5</v>
      </c>
      <c r="AK32" s="49">
        <f t="shared" si="103"/>
        <v>2.0202462500000003E-5</v>
      </c>
      <c r="AL32" s="49">
        <f t="shared" si="103"/>
        <v>2.0202462500000003E-5</v>
      </c>
      <c r="AM32" s="49">
        <f t="shared" si="103"/>
        <v>2.0202462500000003E-5</v>
      </c>
      <c r="AN32" s="60">
        <f t="shared" ref="AN32:BB32" si="104">IFERROR(AN3/$B32,0)</f>
        <v>897.04361336343834</v>
      </c>
      <c r="AO32" s="60">
        <f t="shared" si="104"/>
        <v>40937.887986145884</v>
      </c>
      <c r="AP32" s="60">
        <f t="shared" si="104"/>
        <v>1670139.3857667963</v>
      </c>
      <c r="AQ32" s="60">
        <f t="shared" si="104"/>
        <v>44.663631533305939</v>
      </c>
      <c r="AR32" s="60">
        <f>IFERROR(AR3/$B32,0)</f>
        <v>4.1249096902584693E-2</v>
      </c>
      <c r="AS32" s="60">
        <f>IFERROR(AS3/$B32,0)</f>
        <v>4.1249096902584688E-3</v>
      </c>
      <c r="AT32" s="60">
        <f>IFERROR(AT3/$B32,0)</f>
        <v>56.568146525148087</v>
      </c>
      <c r="AU32" s="60">
        <f>IFERROR(AU3/$B32,0)</f>
        <v>69363.322524883959</v>
      </c>
      <c r="AV32" s="60">
        <f>IFERROR(AV3/$B32,0)</f>
        <v>166.37690154455319</v>
      </c>
      <c r="AW32" s="60">
        <f t="shared" si="104"/>
        <v>4.714012210429007</v>
      </c>
      <c r="AX32" s="60">
        <f t="shared" si="104"/>
        <v>9.428024420858014</v>
      </c>
      <c r="AY32" s="60">
        <f t="shared" si="104"/>
        <v>0</v>
      </c>
      <c r="AZ32" s="60">
        <f>IFERROR(AZ3/$B32,0)</f>
        <v>4222.1152841233716</v>
      </c>
      <c r="BA32" s="60">
        <f t="shared" si="104"/>
        <v>257.12793875067314</v>
      </c>
      <c r="BB32" s="60">
        <f t="shared" si="104"/>
        <v>0</v>
      </c>
      <c r="BC32" s="118">
        <f t="shared" si="63"/>
        <v>1.1147729999999997E-3</v>
      </c>
      <c r="BD32" s="118">
        <f t="shared" si="64"/>
        <v>2.4427249406183777E-5</v>
      </c>
      <c r="BE32" s="118">
        <f t="shared" si="65"/>
        <v>5.9875242061959928E-7</v>
      </c>
      <c r="BF32" s="118">
        <f t="shared" si="66"/>
        <v>2.2389581090249994E-2</v>
      </c>
      <c r="BG32" s="118">
        <f t="shared" si="67"/>
        <v>24.242954999999998</v>
      </c>
      <c r="BH32" s="118">
        <f t="shared" si="68"/>
        <v>242.42955000000001</v>
      </c>
      <c r="BI32" s="118">
        <f t="shared" si="69"/>
        <v>1.7677793271084766E-2</v>
      </c>
      <c r="BJ32" s="118">
        <f t="shared" si="70"/>
        <v>1.4416841114282723E-5</v>
      </c>
      <c r="BK32" s="118">
        <f t="shared" si="71"/>
        <v>6.0104497121688206E-3</v>
      </c>
      <c r="BL32" s="118">
        <f t="shared" si="72"/>
        <v>0.21213351925301721</v>
      </c>
      <c r="BM32" s="118">
        <f t="shared" si="73"/>
        <v>0.10606675962650861</v>
      </c>
      <c r="BN32" s="118" t="str">
        <f t="shared" si="74"/>
        <v>.</v>
      </c>
      <c r="BO32" s="118">
        <f t="shared" si="75"/>
        <v>2.3684810402035901E-4</v>
      </c>
      <c r="BP32" s="118">
        <f t="shared" si="76"/>
        <v>3.8891145196386485E-3</v>
      </c>
      <c r="BQ32" s="118" t="str">
        <f t="shared" si="77"/>
        <v>.</v>
      </c>
      <c r="BR32" s="60">
        <f t="shared" si="46"/>
        <v>3.7447284061243925E-3</v>
      </c>
      <c r="BS32" s="71">
        <f>IFERROR(s_RadSpec!$E$3*BS3,".")*$B$32</f>
        <v>5.5738649999999995E-8</v>
      </c>
      <c r="BT32" s="71">
        <f>IFERROR(s_RadSpec!$F$3*BT3,".")*$B$32</f>
        <v>1.2213624703091888E-9</v>
      </c>
      <c r="BU32" s="71">
        <f>IFERROR(s_RadSpec!$G$3*BU3,".")*$B$32</f>
        <v>2.9937621030979961E-11</v>
      </c>
      <c r="BV32" s="71">
        <f>s_b2s!CC32</f>
        <v>1.1194790545125001E-6</v>
      </c>
      <c r="BW32" s="71">
        <f>IFERROR(s_RadSpec!$H$3*BW3,".")*$B$32</f>
        <v>1.21214775E-3</v>
      </c>
      <c r="BX32" s="71">
        <f>IFERROR(s_RadSpec!$H$3*BX3,".")*$B$32</f>
        <v>1.2121477500000002E-2</v>
      </c>
      <c r="BY32" s="71">
        <f>IFERROR(s_RadSpec!$H$3*BY3,".")*$B$32</f>
        <v>8.8388966355423844E-7</v>
      </c>
      <c r="BZ32" s="71">
        <f>IFERROR(s_RadSpec!$H$3*BZ3,".")*$B$32</f>
        <v>7.2084205571413627E-10</v>
      </c>
      <c r="CA32" s="71">
        <f>IFERROR(s_RadSpec!$H$3*CA3,".")*$B$32</f>
        <v>3.0052248560844114E-7</v>
      </c>
      <c r="CB32" s="71">
        <f>IFERROR(s_RadSpec!$H$3*CB3,".")*$B$32</f>
        <v>1.0606675962650862E-5</v>
      </c>
      <c r="CC32" s="71">
        <f>IFERROR(s_RadSpec!$H$3*CC3,".")*$B$32</f>
        <v>5.303337981325431E-6</v>
      </c>
      <c r="CD32" s="71">
        <f>IFERROR(s_RadSpec!$H$3*CD3,".")*$B$32</f>
        <v>0</v>
      </c>
      <c r="CE32" s="71">
        <f>IFERROR(s_RadSpec!$H$3*CE3,".")*$B$32</f>
        <v>1.1842405201017954E-8</v>
      </c>
      <c r="CF32" s="71">
        <f>IFERROR(s_RadSpec!$H$3*CF3,".")*$B$32</f>
        <v>1.9445572598193249E-7</v>
      </c>
      <c r="CG32" s="71">
        <f>IFERROR(s_RadSpec!$H$3*CG3,".")*$B$32</f>
        <v>0</v>
      </c>
      <c r="CH32" s="49">
        <f t="shared" ref="CH32" si="105">IFERROR(IF(BS32&gt;0.01,1-EXP(-BS32),BS32),".")</f>
        <v>5.5738649999999995E-8</v>
      </c>
      <c r="CI32" s="49">
        <f t="shared" ref="CI32" si="106">IFERROR(IF(BT32&gt;0.01,1-EXP(-BT32),BT32),".")</f>
        <v>1.2213624703091888E-9</v>
      </c>
      <c r="CJ32" s="49">
        <f t="shared" ref="CJ32" si="107">IFERROR(IF(BU32&gt;0.01,1-EXP(-BU32),BU32),".")</f>
        <v>2.9937621030979961E-11</v>
      </c>
      <c r="CK32" s="49">
        <f t="shared" ref="CK32" si="108">IFERROR(IF(BV32&gt;0.01,1-EXP(-BV32),BV32),".")</f>
        <v>1.1194790545125001E-6</v>
      </c>
      <c r="CL32" s="49">
        <f t="shared" ref="CL32:CM32" si="109">IFERROR(IF(BW32&gt;0.01,1-EXP(-BW32),BW32),".")</f>
        <v>1.21214775E-3</v>
      </c>
      <c r="CM32" s="49">
        <f t="shared" si="109"/>
        <v>1.2048308329483892E-2</v>
      </c>
      <c r="CN32" s="49">
        <f t="shared" ref="CN32:CN44" si="110">IFERROR(IF(BY32&gt;0.01,1-EXP(-BY32),BY32),".")</f>
        <v>8.8388966355423844E-7</v>
      </c>
      <c r="CO32" s="49">
        <f t="shared" ref="CO32:CO44" si="111">IFERROR(IF(BZ32&gt;0.01,1-EXP(-BZ32),BZ32),".")</f>
        <v>7.2084205571413627E-10</v>
      </c>
      <c r="CP32" s="49">
        <f t="shared" ref="CP32:CP44" si="112">IFERROR(IF(CA32&gt;0.01,1-EXP(-CA32),CA32),".")</f>
        <v>3.0052248560844114E-7</v>
      </c>
      <c r="CQ32" s="49">
        <f t="shared" ref="CQ32:CQ44" si="113">IFERROR(IF(CB32&gt;0.01,1-EXP(-CB32),CB32),".")</f>
        <v>1.0606675962650862E-5</v>
      </c>
      <c r="CR32" s="49">
        <f t="shared" ref="CR32:CR44" si="114">IFERROR(IF(CC32&gt;0.01,1-EXP(-CC32),CC32),".")</f>
        <v>5.303337981325431E-6</v>
      </c>
      <c r="CS32" s="49">
        <f t="shared" ref="CS32:CS44" si="115">IFERROR(IF(CD32&gt;0.01,1-EXP(-CD32),CD32),".")</f>
        <v>0</v>
      </c>
      <c r="CT32" s="49">
        <f t="shared" ref="CT32:CT44" si="116">IFERROR(IF(CE32&gt;0.01,1-EXP(-CE32),CE32),".")</f>
        <v>1.1842405201017954E-8</v>
      </c>
      <c r="CU32" s="49">
        <f t="shared" ref="CU32:CU44" si="117">IFERROR(IF(CF32&gt;0.01,1-EXP(-CF32),CF32),".")</f>
        <v>1.9445572598193249E-7</v>
      </c>
      <c r="CV32" s="49">
        <f t="shared" ref="CV32:CV44" si="118">IFERROR(IF(CG32&gt;0.01,1-EXP(-CG32),CG32),".")</f>
        <v>0</v>
      </c>
      <c r="CW32" s="49">
        <f t="shared" ref="CW32:CW44" si="119">IFERROR(IF(SUM(BS32:CG32)&gt;0.01,1-EXP(-SUM(BS32:CG32)),SUM(BS32:CG32)),".")</f>
        <v>1.3263359246351802E-2</v>
      </c>
      <c r="CX32" s="60">
        <f t="shared" ref="CX32:DL32" si="120">IFERROR(CX3/$B32,0)</f>
        <v>17.550017550017554</v>
      </c>
      <c r="CY32" s="60" t="str">
        <f>IFERROR(CY3,".")</f>
        <v>.</v>
      </c>
      <c r="CZ32" s="60">
        <f t="shared" si="120"/>
        <v>150892375.27499598</v>
      </c>
      <c r="DA32" s="60">
        <f t="shared" si="120"/>
        <v>52.582349436628952</v>
      </c>
      <c r="DB32" s="60">
        <f>IFERROR(DB3/$B32,0)</f>
        <v>10.312274225646174</v>
      </c>
      <c r="DC32" s="60">
        <f>IFERROR(DC3/$B32,0)</f>
        <v>1.0312274225646174</v>
      </c>
      <c r="DD32" s="60">
        <f>IFERROR(DD3/$B32,0)</f>
        <v>989978.32566203258</v>
      </c>
      <c r="DE32" s="60">
        <f>IFERROR(DE3/$B32,0)</f>
        <v>1213901994.5617781</v>
      </c>
      <c r="DF32" s="60">
        <f>IFERROR(DF3/$B32,0)</f>
        <v>2911700.9578295071</v>
      </c>
      <c r="DG32" s="60">
        <f t="shared" si="120"/>
        <v>82498.193805169387</v>
      </c>
      <c r="DH32" s="60">
        <f t="shared" si="120"/>
        <v>164996.38761033877</v>
      </c>
      <c r="DI32" s="60">
        <f t="shared" si="120"/>
        <v>0</v>
      </c>
      <c r="DJ32" s="60">
        <f>IFERROR(DJ3/$B32,0)</f>
        <v>73889686.625499547</v>
      </c>
      <c r="DK32" s="60">
        <f t="shared" si="120"/>
        <v>4499901.4802819658</v>
      </c>
      <c r="DL32" s="60">
        <f t="shared" si="120"/>
        <v>0</v>
      </c>
      <c r="DM32" s="118">
        <f t="shared" si="80"/>
        <v>5.6979999999999989E-2</v>
      </c>
      <c r="DN32" s="118" t="str">
        <f t="shared" si="81"/>
        <v>.</v>
      </c>
      <c r="DO32" s="118">
        <f t="shared" si="82"/>
        <v>6.6272400986301368E-9</v>
      </c>
      <c r="DP32" s="118">
        <f t="shared" si="83"/>
        <v>1.901778849203338E-2</v>
      </c>
      <c r="DQ32" s="118">
        <f t="shared" si="84"/>
        <v>9.6971819999999986E-2</v>
      </c>
      <c r="DR32" s="118">
        <f t="shared" si="85"/>
        <v>0.96971819999999986</v>
      </c>
      <c r="DS32" s="118">
        <f t="shared" si="86"/>
        <v>1.010123125E-6</v>
      </c>
      <c r="DT32" s="118">
        <f t="shared" si="87"/>
        <v>8.237897330097087E-10</v>
      </c>
      <c r="DU32" s="118">
        <f t="shared" si="88"/>
        <v>3.4344186250000004E-7</v>
      </c>
      <c r="DV32" s="118">
        <f t="shared" si="89"/>
        <v>1.2121477499999999E-5</v>
      </c>
      <c r="DW32" s="118">
        <f t="shared" si="90"/>
        <v>6.0607387499999996E-6</v>
      </c>
      <c r="DX32" s="118" t="str">
        <f t="shared" si="91"/>
        <v>.</v>
      </c>
      <c r="DY32" s="118">
        <f t="shared" si="92"/>
        <v>1.3533688470873783E-8</v>
      </c>
      <c r="DZ32" s="118">
        <f t="shared" si="93"/>
        <v>2.2222708750000002E-7</v>
      </c>
      <c r="EA32" s="118" t="str">
        <f t="shared" si="94"/>
        <v>.</v>
      </c>
      <c r="EB32" s="60">
        <f t="shared" si="47"/>
        <v>0.87511451831771436</v>
      </c>
      <c r="EC32" s="71">
        <f>IFERROR(s_RadSpec!$I$3*EC3,".")*$B$32</f>
        <v>2.8489999999999997E-6</v>
      </c>
      <c r="ED32" s="71">
        <f>IFERROR(s_RadSpec!$F$3*ED3,".")*$B$32</f>
        <v>0</v>
      </c>
      <c r="EE32" s="71">
        <f>IFERROR(s_RadSpec!$M$3*EE3,".")*$B$32</f>
        <v>3.3136200493150683E-13</v>
      </c>
      <c r="EF32" s="71">
        <f>s_b2w!CC32</f>
        <v>9.5088942460166914E-7</v>
      </c>
      <c r="EG32" s="71">
        <f>IFERROR(s_RadSpec!$H$3*EG3,".")*$B$32</f>
        <v>4.848591E-6</v>
      </c>
      <c r="EH32" s="71">
        <f>IFERROR(s_RadSpec!$H$3*EH3,".")*$B$32</f>
        <v>4.8485910000000003E-5</v>
      </c>
      <c r="EI32" s="71">
        <f>IFERROR(s_RadSpec!$H$3*EI3,".")*$B$32</f>
        <v>5.0506156250000004E-11</v>
      </c>
      <c r="EJ32" s="71">
        <f>IFERROR(s_RadSpec!$H$3*EJ3,".")*$B$32</f>
        <v>4.1189486650485441E-14</v>
      </c>
      <c r="EK32" s="71">
        <f>IFERROR(s_RadSpec!$H$3*EK3,".")*$B$32</f>
        <v>1.7172093125E-11</v>
      </c>
      <c r="EL32" s="71">
        <f>IFERROR(s_RadSpec!$H$3*EL3,".")*$B$32</f>
        <v>6.0607387500000016E-10</v>
      </c>
      <c r="EM32" s="71">
        <f>IFERROR(s_RadSpec!$H$3*EM3,".")*$B$32</f>
        <v>3.0303693750000008E-10</v>
      </c>
      <c r="EN32" s="71">
        <f>IFERROR(s_RadSpec!$H$3*EN3,".")*$B$32</f>
        <v>0</v>
      </c>
      <c r="EO32" s="71">
        <f>IFERROR(s_RadSpec!$H$3*EO3,".")*$B$32</f>
        <v>6.7668442354368939E-13</v>
      </c>
      <c r="EP32" s="71">
        <f>IFERROR(s_RadSpec!$H$3*EP3,".")*$B$32</f>
        <v>1.1111354375E-11</v>
      </c>
      <c r="EQ32" s="71">
        <f>IFERROR(s_RadSpec!$H$3*EQ3,".")*$B$32</f>
        <v>0</v>
      </c>
      <c r="ER32" s="49">
        <f t="shared" ref="ER32:ER44" si="121">IFERROR(IF(EC32&gt;0.01,1-EXP(-EC32),EC32),".")</f>
        <v>2.8489999999999997E-6</v>
      </c>
      <c r="ES32" s="49">
        <f t="shared" ref="ES32" si="122">IFERROR(IF(ED32&gt;0.01,1-EXP(-ED32),ED32),".")</f>
        <v>0</v>
      </c>
      <c r="ET32" s="49">
        <f t="shared" ref="ET32" si="123">IFERROR(IF(EE32&gt;0.01,1-EXP(-EE32),EE32),".")</f>
        <v>3.3136200493150683E-13</v>
      </c>
      <c r="EU32" s="49">
        <f t="shared" ref="EU32" si="124">IFERROR(IF(EF32&gt;0.01,1-EXP(-EF32),EF32),".")</f>
        <v>9.5088942460166914E-7</v>
      </c>
      <c r="EV32" s="49">
        <f t="shared" ref="EV32:EW32" si="125">IFERROR(IF(EG32&gt;0.01,1-EXP(-EG32),EG32),".")</f>
        <v>4.848591E-6</v>
      </c>
      <c r="EW32" s="49">
        <f t="shared" si="125"/>
        <v>4.8485910000000003E-5</v>
      </c>
      <c r="EX32" s="49">
        <f t="shared" ref="EX32:EX44" si="126">IFERROR(IF(EI32&gt;0.01,1-EXP(-EI32),EI32),".")</f>
        <v>5.0506156250000004E-11</v>
      </c>
      <c r="EY32" s="49">
        <f t="shared" ref="EY32:EY44" si="127">IFERROR(IF(EJ32&gt;0.01,1-EXP(-EJ32),EJ32),".")</f>
        <v>4.1189486650485441E-14</v>
      </c>
      <c r="EZ32" s="49">
        <f t="shared" ref="EZ32:EZ44" si="128">IFERROR(IF(EK32&gt;0.01,1-EXP(-EK32),EK32),".")</f>
        <v>1.7172093125E-11</v>
      </c>
      <c r="FA32" s="49">
        <f t="shared" ref="FA32:FA44" si="129">IFERROR(IF(EL32&gt;0.01,1-EXP(-EL32),EL32),".")</f>
        <v>6.0607387500000016E-10</v>
      </c>
      <c r="FB32" s="49">
        <f t="shared" ref="FB32:FB44" si="130">IFERROR(IF(EM32&gt;0.01,1-EXP(-EM32),EM32),".")</f>
        <v>3.0303693750000008E-10</v>
      </c>
      <c r="FC32" s="49">
        <f t="shared" ref="FC32:FC44" si="131">IFERROR(IF(EN32&gt;0.01,1-EXP(-EN32),EN32),".")</f>
        <v>0</v>
      </c>
      <c r="FD32" s="49">
        <f t="shared" ref="FD32:FD44" si="132">IFERROR(IF(EO32&gt;0.01,1-EXP(-EO32),EO32),".")</f>
        <v>6.7668442354368939E-13</v>
      </c>
      <c r="FE32" s="49">
        <f t="shared" ref="FE32:FE44" si="133">IFERROR(IF(EP32&gt;0.01,1-EXP(-EP32),EP32),".")</f>
        <v>1.1111354375E-11</v>
      </c>
      <c r="FF32" s="49">
        <f t="shared" ref="FF32:FF44" si="134">IFERROR(IF(EQ32&gt;0.01,1-EXP(-EQ32),EQ32),".")</f>
        <v>0</v>
      </c>
      <c r="FG32" s="49">
        <f t="shared" ref="FG32:FG44" si="135">IFERROR(IF(SUM(EC32:EQ32)&gt;0.01,1-EXP(-SUM(EC32:EQ32)),SUM(EC32:EQ32)),".")</f>
        <v>5.7135379374253841E-5</v>
      </c>
      <c r="FH32" s="60">
        <f>IFERROR(FH3/$B32,0)</f>
        <v>0.13214130861189685</v>
      </c>
      <c r="FI32" s="60">
        <f>IFERROR(FI3/$B32,0)</f>
        <v>548920.35110099148</v>
      </c>
      <c r="FJ32" s="60">
        <f>IFERROR(FJ3/$B32,0)</f>
        <v>0.13214127680159651</v>
      </c>
      <c r="FK32" s="71">
        <f>IFERROR(s_RadSpec!$F$3*FK3,".")*$B$32</f>
        <v>3.7838281249999998E-4</v>
      </c>
      <c r="FL32" s="71">
        <f>IFERROR(s_RadSpec!$K$3*FL3,".")*$B$32</f>
        <v>9.1087896267123289E-11</v>
      </c>
      <c r="FM32" s="49">
        <f>IFERROR(IF(FK32&gt;0.01,1-EXP(-FK32),FK32),".")</f>
        <v>3.7838281249999998E-4</v>
      </c>
      <c r="FN32" s="49">
        <f>IFERROR(IF(FL32&gt;0.01,1-EXP(-FL32),FL32),".")</f>
        <v>9.1087896267123289E-11</v>
      </c>
      <c r="FO32" s="49">
        <f>IFERROR(IF(SUM(FK32:FL32)&gt;0.01,1-EXP(-SUM(FK32:FL32)),SUM(FK32:FL32)),".")</f>
        <v>3.7838290358789626E-4</v>
      </c>
    </row>
    <row r="33" spans="1:171" x14ac:dyDescent="0.25">
      <c r="A33" s="83" t="s">
        <v>1075</v>
      </c>
      <c r="B33" s="42">
        <v>1</v>
      </c>
      <c r="C33" s="42"/>
      <c r="D33" s="60">
        <f t="shared" ref="D33:O33" si="136">IFERROR(D13/$B33,0)</f>
        <v>0.997160088069179</v>
      </c>
      <c r="E33" s="60">
        <f t="shared" si="136"/>
        <v>3.988640352276716</v>
      </c>
      <c r="F33" s="60">
        <f t="shared" si="136"/>
        <v>3.988640352276716</v>
      </c>
      <c r="G33" s="60">
        <f t="shared" si="136"/>
        <v>3.988640352276716</v>
      </c>
      <c r="H33" s="60">
        <f t="shared" si="136"/>
        <v>3.988640352276716</v>
      </c>
      <c r="I33" s="60">
        <f t="shared" si="136"/>
        <v>3.988640352276716</v>
      </c>
      <c r="J33" s="60">
        <f t="shared" si="136"/>
        <v>3.988640352276716</v>
      </c>
      <c r="K33" s="60">
        <f t="shared" ref="K33" si="137">IFERROR(K13/$B33,0)</f>
        <v>3.988640352276716</v>
      </c>
      <c r="L33" s="60">
        <f t="shared" si="136"/>
        <v>3.988640352276716</v>
      </c>
      <c r="M33" s="60">
        <f t="shared" si="136"/>
        <v>3.988640352276716</v>
      </c>
      <c r="N33" s="60">
        <f t="shared" si="136"/>
        <v>3.988640352276716</v>
      </c>
      <c r="O33" s="60">
        <f t="shared" si="136"/>
        <v>3.988640352276716</v>
      </c>
      <c r="P33" s="71">
        <f>s_dir!BC33</f>
        <v>5.0142400000000003E-5</v>
      </c>
      <c r="Q33" s="71">
        <f>IFERROR(s_RadSpec!$H$13*Q13,".")*$B$33</f>
        <v>1.2535600000000001E-5</v>
      </c>
      <c r="R33" s="71">
        <f>IFERROR(s_RadSpec!$H$13*R13,".")*$B$33</f>
        <v>1.2535600000000001E-5</v>
      </c>
      <c r="S33" s="71">
        <f>IFERROR(s_RadSpec!$H$13*S13,".")*$B$33</f>
        <v>1.2535600000000001E-5</v>
      </c>
      <c r="T33" s="71">
        <f>IFERROR(s_RadSpec!$H$13*T13,".")*$B$33</f>
        <v>1.2535600000000001E-5</v>
      </c>
      <c r="U33" s="71">
        <f>IFERROR(s_RadSpec!$H$13*U13,".")*$B$33</f>
        <v>1.2535600000000001E-5</v>
      </c>
      <c r="V33" s="71">
        <f>IFERROR(s_RadSpec!$H$13*V13,".")*$B$33</f>
        <v>1.2535600000000001E-5</v>
      </c>
      <c r="W33" s="71">
        <f>IFERROR(s_RadSpec!$H$13*W13,".")*$B$33</f>
        <v>1.2535600000000001E-5</v>
      </c>
      <c r="X33" s="71">
        <f>IFERROR(s_RadSpec!$H$13*X13,".")*$B$33</f>
        <v>1.2535600000000001E-5</v>
      </c>
      <c r="Y33" s="71">
        <f>IFERROR(s_RadSpec!$H$13*Y13,".")*$B$33</f>
        <v>1.2535600000000001E-5</v>
      </c>
      <c r="Z33" s="71">
        <f>IFERROR(s_RadSpec!$H$13*Z13,".")*$B$33</f>
        <v>1.2535600000000001E-5</v>
      </c>
      <c r="AA33" s="71">
        <f>IFERROR(s_RadSpec!$H$13*AA13,".")*$B$33</f>
        <v>1.2535600000000001E-5</v>
      </c>
      <c r="AB33" s="49">
        <f t="shared" ref="AB33:AB44" si="138">IFERROR(IF(P33&gt;0.01,1-EXP(-P33),P33),".")</f>
        <v>5.0142400000000003E-5</v>
      </c>
      <c r="AC33" s="49">
        <f t="shared" ref="AC33:AC44" si="139">IFERROR(IF(Q33&gt;0.01,1-EXP(-Q33),Q33),".")</f>
        <v>1.2535600000000001E-5</v>
      </c>
      <c r="AD33" s="49">
        <f t="shared" ref="AD33:AD44" si="140">IFERROR(IF(R33&gt;0.01,1-EXP(-R33),R33),".")</f>
        <v>1.2535600000000001E-5</v>
      </c>
      <c r="AE33" s="49">
        <f t="shared" ref="AE33:AE44" si="141">IFERROR(IF(S33&gt;0.01,1-EXP(-S33),S33),".")</f>
        <v>1.2535600000000001E-5</v>
      </c>
      <c r="AF33" s="49">
        <f t="shared" ref="AF33:AF44" si="142">IFERROR(IF(T33&gt;0.01,1-EXP(-T33),T33),".")</f>
        <v>1.2535600000000001E-5</v>
      </c>
      <c r="AG33" s="49">
        <f t="shared" ref="AG33:AG44" si="143">IFERROR(IF(U33&gt;0.01,1-EXP(-U33),U33),".")</f>
        <v>1.2535600000000001E-5</v>
      </c>
      <c r="AH33" s="49">
        <f t="shared" ref="AH33:AH44" si="144">IFERROR(IF(V33&gt;0.01,1-EXP(-V33),V33),".")</f>
        <v>1.2535600000000001E-5</v>
      </c>
      <c r="AI33" s="49">
        <f t="shared" ref="AI33:AI44" si="145">IFERROR(IF(W33&gt;0.01,1-EXP(-W33),W33),".")</f>
        <v>1.2535600000000001E-5</v>
      </c>
      <c r="AJ33" s="49">
        <f t="shared" ref="AJ33:AJ44" si="146">IFERROR(IF(X33&gt;0.01,1-EXP(-X33),X33),".")</f>
        <v>1.2535600000000001E-5</v>
      </c>
      <c r="AK33" s="49">
        <f t="shared" ref="AK33:AK44" si="147">IFERROR(IF(Y33&gt;0.01,1-EXP(-Y33),Y33),".")</f>
        <v>1.2535600000000001E-5</v>
      </c>
      <c r="AL33" s="49">
        <f t="shared" ref="AL33:AL44" si="148">IFERROR(IF(Z33&gt;0.01,1-EXP(-Z33),Z33),".")</f>
        <v>1.2535600000000001E-5</v>
      </c>
      <c r="AM33" s="49">
        <f t="shared" ref="AM33:AM44" si="149">IFERROR(IF(AA33&gt;0.01,1-EXP(-AA33),AA33),".")</f>
        <v>1.2535600000000001E-5</v>
      </c>
      <c r="AN33" s="60">
        <f t="shared" ref="AN33:BB33" si="150">IFERROR(AN13/$B33,0)</f>
        <v>1325.6015414094722</v>
      </c>
      <c r="AO33" s="60">
        <f t="shared" si="150"/>
        <v>53879.542897895233</v>
      </c>
      <c r="AP33" s="60">
        <f t="shared" si="150"/>
        <v>22067.622424784644</v>
      </c>
      <c r="AQ33" s="60">
        <f t="shared" si="150"/>
        <v>41.897482691982319</v>
      </c>
      <c r="AR33" s="60">
        <f t="shared" ref="AR33:AV34" si="151">IFERROR(AR13/$B33,0)</f>
        <v>2.6590935681844775E-2</v>
      </c>
      <c r="AS33" s="60">
        <f t="shared" ref="AS33" si="152">IFERROR(AS13/$B33,0)</f>
        <v>8.3971375837404546E-5</v>
      </c>
      <c r="AT33" s="60">
        <f t="shared" si="151"/>
        <v>453.68421068550327</v>
      </c>
      <c r="AU33" s="60">
        <f t="shared" si="151"/>
        <v>46729.473700606839</v>
      </c>
      <c r="AV33" s="60">
        <f t="shared" si="151"/>
        <v>0</v>
      </c>
      <c r="AW33" s="60">
        <f t="shared" si="150"/>
        <v>0</v>
      </c>
      <c r="AX33" s="60">
        <f t="shared" si="150"/>
        <v>0</v>
      </c>
      <c r="AY33" s="60">
        <f t="shared" si="150"/>
        <v>0</v>
      </c>
      <c r="AZ33" s="60">
        <f>IFERROR(AZ13/$B33,0)</f>
        <v>881.68818303031765</v>
      </c>
      <c r="BA33" s="60">
        <f t="shared" si="150"/>
        <v>113.42105267137582</v>
      </c>
      <c r="BB33" s="60">
        <f t="shared" si="150"/>
        <v>0</v>
      </c>
      <c r="BC33" s="118">
        <f t="shared" si="63"/>
        <v>7.543745000000001E-4</v>
      </c>
      <c r="BD33" s="118">
        <f t="shared" si="64"/>
        <v>1.8559919891953358E-5</v>
      </c>
      <c r="BE33" s="118">
        <f t="shared" si="65"/>
        <v>4.531525783570039E-5</v>
      </c>
      <c r="BF33" s="118">
        <f t="shared" si="66"/>
        <v>2.3867782399999996E-2</v>
      </c>
      <c r="BG33" s="118">
        <f t="shared" si="67"/>
        <v>37.6068</v>
      </c>
      <c r="BH33" s="118">
        <f t="shared" si="68"/>
        <v>11908.82</v>
      </c>
      <c r="BI33" s="118">
        <f t="shared" si="69"/>
        <v>2.2041763333333331E-3</v>
      </c>
      <c r="BJ33" s="118">
        <f t="shared" si="70"/>
        <v>2.1399770226537213E-5</v>
      </c>
      <c r="BK33" s="118" t="str">
        <f t="shared" si="71"/>
        <v>.</v>
      </c>
      <c r="BL33" s="118" t="str">
        <f t="shared" si="72"/>
        <v>.</v>
      </c>
      <c r="BM33" s="118" t="str">
        <f t="shared" si="73"/>
        <v>.</v>
      </c>
      <c r="BN33" s="118" t="str">
        <f t="shared" si="74"/>
        <v>.</v>
      </c>
      <c r="BO33" s="118">
        <f t="shared" si="75"/>
        <v>1.1341878220064725E-3</v>
      </c>
      <c r="BP33" s="118">
        <f t="shared" si="76"/>
        <v>8.8167053333333325E-3</v>
      </c>
      <c r="BQ33" s="118" t="str">
        <f t="shared" si="77"/>
        <v>.</v>
      </c>
      <c r="BR33" s="60">
        <f t="shared" si="46"/>
        <v>8.3706779533335249E-5</v>
      </c>
      <c r="BS33" s="71">
        <f>IFERROR(s_RadSpec!$E$13*BS13,".")*$B$33</f>
        <v>3.7718725000000003E-8</v>
      </c>
      <c r="BT33" s="71">
        <f>IFERROR(s_RadSpec!$F$13*BT13,".")*$B$33</f>
        <v>9.2799599459766788E-10</v>
      </c>
      <c r="BU33" s="71">
        <f>IFERROR(s_RadSpec!$G$13*BU13,".")*$B$33</f>
        <v>2.2657628917850199E-9</v>
      </c>
      <c r="BV33" s="71">
        <f>s_b2s!CC33</f>
        <v>1.19338912E-6</v>
      </c>
      <c r="BW33" s="71">
        <f>IFERROR(s_RadSpec!$H$13*BW13,".")*$B$33</f>
        <v>1.8803400000000001E-3</v>
      </c>
      <c r="BX33" s="71">
        <f>IFERROR(s_RadSpec!$H$13*BX13,".")*$B$33</f>
        <v>0.595441</v>
      </c>
      <c r="BY33" s="71">
        <f>IFERROR(s_RadSpec!$H$13*BY13,".")*$B$33</f>
        <v>1.1020881666666666E-7</v>
      </c>
      <c r="BZ33" s="71">
        <f>IFERROR(s_RadSpec!$H$13*BZ13,".")*$B$33</f>
        <v>1.0699885113268607E-9</v>
      </c>
      <c r="CA33" s="71">
        <f>IFERROR(s_RadSpec!$H$13*CA13,".")*$B$33</f>
        <v>0</v>
      </c>
      <c r="CB33" s="71">
        <f>IFERROR(s_RadSpec!$H$13*CB13,".")*$B$33</f>
        <v>0</v>
      </c>
      <c r="CC33" s="71">
        <f>IFERROR(s_RadSpec!$H$13*CC13,".")*$B$33</f>
        <v>0</v>
      </c>
      <c r="CD33" s="71">
        <f>IFERROR(s_RadSpec!$H$13*CD13,".")*$B$33</f>
        <v>0</v>
      </c>
      <c r="CE33" s="71">
        <f>IFERROR(s_RadSpec!$H$13*CE13,".")*$B$33</f>
        <v>5.6709391100323619E-8</v>
      </c>
      <c r="CF33" s="71">
        <f>IFERROR(s_RadSpec!$H$13*CF13,".")*$B$33</f>
        <v>4.4083526666666665E-7</v>
      </c>
      <c r="CG33" s="71">
        <f>IFERROR(s_RadSpec!$H$13*CG13,".")*$B$33</f>
        <v>0</v>
      </c>
      <c r="CH33" s="49">
        <f t="shared" ref="CH33:CH44" si="153">IFERROR(IF(BS33&gt;0.01,1-EXP(-BS33),BS33),".")</f>
        <v>3.7718725000000003E-8</v>
      </c>
      <c r="CI33" s="49">
        <f t="shared" ref="CI33:CI44" si="154">IFERROR(IF(BT33&gt;0.01,1-EXP(-BT33),BT33),".")</f>
        <v>9.2799599459766788E-10</v>
      </c>
      <c r="CJ33" s="49">
        <f t="shared" ref="CJ33:CJ44" si="155">IFERROR(IF(BU33&gt;0.01,1-EXP(-BU33),BU33),".")</f>
        <v>2.2657628917850199E-9</v>
      </c>
      <c r="CK33" s="49">
        <f t="shared" ref="CK33:CK44" si="156">IFERROR(IF(BV33&gt;0.01,1-EXP(-BV33),BV33),".")</f>
        <v>1.19338912E-6</v>
      </c>
      <c r="CL33" s="49">
        <f t="shared" ref="CL33:CM44" si="157">IFERROR(IF(BW33&gt;0.01,1-EXP(-BW33),BW33),".")</f>
        <v>1.8803400000000001E-3</v>
      </c>
      <c r="CM33" s="49">
        <f t="shared" si="157"/>
        <v>0.44868061959738159</v>
      </c>
      <c r="CN33" s="49">
        <f t="shared" si="110"/>
        <v>1.1020881666666666E-7</v>
      </c>
      <c r="CO33" s="49">
        <f t="shared" si="111"/>
        <v>1.0699885113268607E-9</v>
      </c>
      <c r="CP33" s="49">
        <f t="shared" si="112"/>
        <v>0</v>
      </c>
      <c r="CQ33" s="49">
        <f t="shared" si="113"/>
        <v>0</v>
      </c>
      <c r="CR33" s="49">
        <f t="shared" si="114"/>
        <v>0</v>
      </c>
      <c r="CS33" s="49">
        <f t="shared" si="115"/>
        <v>0</v>
      </c>
      <c r="CT33" s="49">
        <f t="shared" si="116"/>
        <v>5.6709391100323619E-8</v>
      </c>
      <c r="CU33" s="49">
        <f t="shared" si="117"/>
        <v>4.4083526666666665E-7</v>
      </c>
      <c r="CV33" s="49">
        <f t="shared" si="118"/>
        <v>0</v>
      </c>
      <c r="CW33" s="49">
        <f t="shared" si="119"/>
        <v>0.44971732768840578</v>
      </c>
      <c r="CX33" s="60">
        <f t="shared" ref="CX33:DL33" si="158">IFERROR(CX13/$B33,0)</f>
        <v>29.250029250029254</v>
      </c>
      <c r="CY33" s="60" t="str">
        <f>IFERROR(CY13,".")</f>
        <v>.</v>
      </c>
      <c r="CZ33" s="60">
        <f t="shared" si="158"/>
        <v>115992098.00050713</v>
      </c>
      <c r="DA33" s="60">
        <f t="shared" si="158"/>
        <v>72.555426051028576</v>
      </c>
      <c r="DB33" s="60">
        <f t="shared" ref="DB33:DF34" si="159">IFERROR(DB13/$B33,0)</f>
        <v>132.95467840922387</v>
      </c>
      <c r="DC33" s="60">
        <f t="shared" si="159"/>
        <v>0.41985687918702275</v>
      </c>
      <c r="DD33" s="60">
        <f t="shared" si="159"/>
        <v>7977280.7045534328</v>
      </c>
      <c r="DE33" s="60">
        <f t="shared" si="159"/>
        <v>821659912.56900358</v>
      </c>
      <c r="DF33" s="60">
        <f t="shared" si="159"/>
        <v>0</v>
      </c>
      <c r="DG33" s="60">
        <f t="shared" si="158"/>
        <v>0</v>
      </c>
      <c r="DH33" s="60">
        <f t="shared" si="158"/>
        <v>0</v>
      </c>
      <c r="DI33" s="60">
        <f t="shared" si="158"/>
        <v>0</v>
      </c>
      <c r="DJ33" s="60">
        <f>IFERROR(DJ13/$B33,0)</f>
        <v>15503017.218283085</v>
      </c>
      <c r="DK33" s="60">
        <f t="shared" si="158"/>
        <v>1994320.1761383582</v>
      </c>
      <c r="DL33" s="60">
        <f t="shared" si="158"/>
        <v>0</v>
      </c>
      <c r="DM33" s="118">
        <f t="shared" si="80"/>
        <v>3.4187999999999996E-2</v>
      </c>
      <c r="DN33" s="118" t="str">
        <f t="shared" si="81"/>
        <v>.</v>
      </c>
      <c r="DO33" s="118">
        <f t="shared" si="82"/>
        <v>8.6212769424657525E-9</v>
      </c>
      <c r="DP33" s="118">
        <f t="shared" si="83"/>
        <v>1.3782566713848463E-2</v>
      </c>
      <c r="DQ33" s="118">
        <f t="shared" si="84"/>
        <v>7.5213599999999995E-3</v>
      </c>
      <c r="DR33" s="118">
        <f t="shared" si="85"/>
        <v>2.381764</v>
      </c>
      <c r="DS33" s="118">
        <f t="shared" si="86"/>
        <v>1.2535599999999997E-7</v>
      </c>
      <c r="DT33" s="118">
        <f t="shared" si="87"/>
        <v>1.2170485436893202E-9</v>
      </c>
      <c r="DU33" s="118" t="str">
        <f t="shared" si="88"/>
        <v>.</v>
      </c>
      <c r="DV33" s="118" t="str">
        <f t="shared" si="89"/>
        <v>.</v>
      </c>
      <c r="DW33" s="118" t="str">
        <f t="shared" si="90"/>
        <v>.</v>
      </c>
      <c r="DX33" s="118" t="str">
        <f t="shared" si="91"/>
        <v>.</v>
      </c>
      <c r="DY33" s="118">
        <f t="shared" si="92"/>
        <v>6.4503572815533978E-8</v>
      </c>
      <c r="DZ33" s="118">
        <f t="shared" si="93"/>
        <v>5.014239999999999E-7</v>
      </c>
      <c r="EA33" s="118" t="str">
        <f t="shared" si="94"/>
        <v>.</v>
      </c>
      <c r="EB33" s="60">
        <f t="shared" si="47"/>
        <v>0.41029737639404329</v>
      </c>
      <c r="EC33" s="71">
        <f>IFERROR(s_RadSpec!$I$13*EC13,".")*$B$33</f>
        <v>1.7093999999999999E-6</v>
      </c>
      <c r="ED33" s="71">
        <f>IFERROR(s_RadSpec!$F$13*ED13,".")*$B$33</f>
        <v>0</v>
      </c>
      <c r="EE33" s="71">
        <f>IFERROR(s_RadSpec!$M$13*EE13,".")*$B$33</f>
        <v>4.3106384712328765E-13</v>
      </c>
      <c r="EF33" s="71">
        <f>s_b2w!CC33</f>
        <v>6.8912833569242304E-7</v>
      </c>
      <c r="EG33" s="71">
        <f>IFERROR(s_RadSpec!$H$13*EG13,".")*$B$33</f>
        <v>3.76068E-7</v>
      </c>
      <c r="EH33" s="71">
        <f>IFERROR(s_RadSpec!$H$13*EH13,".")*$B$33</f>
        <v>1.1908820000000001E-4</v>
      </c>
      <c r="EI33" s="71">
        <f>IFERROR(s_RadSpec!$H$13*EI13,".")*$B$33</f>
        <v>6.2677999999999996E-12</v>
      </c>
      <c r="EJ33" s="71">
        <f>IFERROR(s_RadSpec!$H$13*EJ13,".")*$B$33</f>
        <v>6.0852427184466022E-14</v>
      </c>
      <c r="EK33" s="71">
        <f>IFERROR(s_RadSpec!$H$13*EK13,".")*$B$33</f>
        <v>0</v>
      </c>
      <c r="EL33" s="71">
        <f>IFERROR(s_RadSpec!$H$13*EL13,".")*$B$33</f>
        <v>0</v>
      </c>
      <c r="EM33" s="71">
        <f>IFERROR(s_RadSpec!$H$13*EM13,".")*$B$33</f>
        <v>0</v>
      </c>
      <c r="EN33" s="71">
        <f>IFERROR(s_RadSpec!$H$13*EN13,".")*$B$33</f>
        <v>0</v>
      </c>
      <c r="EO33" s="71">
        <f>IFERROR(s_RadSpec!$H$13*EO13,".")*$B$33</f>
        <v>3.2251786407766993E-12</v>
      </c>
      <c r="EP33" s="71">
        <f>IFERROR(s_RadSpec!$H$13*EP13,".")*$B$33</f>
        <v>2.5071199999999998E-11</v>
      </c>
      <c r="EQ33" s="71">
        <f>IFERROR(s_RadSpec!$H$13*EQ13,".")*$B$33</f>
        <v>0</v>
      </c>
      <c r="ER33" s="49">
        <f t="shared" si="121"/>
        <v>1.7093999999999999E-6</v>
      </c>
      <c r="ES33" s="49">
        <f t="shared" ref="ES33:ES44" si="160">IFERROR(IF(ED33&gt;0.01,1-EXP(-ED33),ED33),".")</f>
        <v>0</v>
      </c>
      <c r="ET33" s="49">
        <f t="shared" ref="ET33:ET44" si="161">IFERROR(IF(EE33&gt;0.01,1-EXP(-EE33),EE33),".")</f>
        <v>4.3106384712328765E-13</v>
      </c>
      <c r="EU33" s="49">
        <f t="shared" ref="EU33:EU44" si="162">IFERROR(IF(EF33&gt;0.01,1-EXP(-EF33),EF33),".")</f>
        <v>6.8912833569242304E-7</v>
      </c>
      <c r="EV33" s="49">
        <f t="shared" ref="EV33:EW44" si="163">IFERROR(IF(EG33&gt;0.01,1-EXP(-EG33),EG33),".")</f>
        <v>3.76068E-7</v>
      </c>
      <c r="EW33" s="49">
        <f t="shared" si="163"/>
        <v>1.1908820000000001E-4</v>
      </c>
      <c r="EX33" s="49">
        <f t="shared" si="126"/>
        <v>6.2677999999999996E-12</v>
      </c>
      <c r="EY33" s="49">
        <f t="shared" si="127"/>
        <v>6.0852427184466022E-14</v>
      </c>
      <c r="EZ33" s="49">
        <f t="shared" si="128"/>
        <v>0</v>
      </c>
      <c r="FA33" s="49">
        <f t="shared" si="129"/>
        <v>0</v>
      </c>
      <c r="FB33" s="49">
        <f t="shared" si="130"/>
        <v>0</v>
      </c>
      <c r="FC33" s="49">
        <f t="shared" si="131"/>
        <v>0</v>
      </c>
      <c r="FD33" s="49">
        <f t="shared" si="132"/>
        <v>3.2251786407766993E-12</v>
      </c>
      <c r="FE33" s="49">
        <f t="shared" si="133"/>
        <v>2.5071199999999998E-11</v>
      </c>
      <c r="FF33" s="49">
        <f t="shared" si="134"/>
        <v>0</v>
      </c>
      <c r="FG33" s="49">
        <f t="shared" si="135"/>
        <v>1.2186283139178736E-4</v>
      </c>
      <c r="FH33" s="60">
        <f t="shared" ref="FH33:FJ34" si="164">IFERROR(FH13/$B33,0)</f>
        <v>0.17391501262469006</v>
      </c>
      <c r="FI33" s="60">
        <f t="shared" si="164"/>
        <v>415241.11795615341</v>
      </c>
      <c r="FJ33" s="60">
        <f t="shared" si="164"/>
        <v>0.17391493978407377</v>
      </c>
      <c r="FK33" s="71">
        <f>IFERROR(s_RadSpec!$F$13*FK13,".")*$B$33</f>
        <v>2.8749674479166664E-4</v>
      </c>
      <c r="FL33" s="71">
        <f>IFERROR(s_RadSpec!$K$13*FL13,".")*$B$33</f>
        <v>1.204119675E-10</v>
      </c>
      <c r="FM33" s="49">
        <f t="shared" ref="FM33:FN44" si="165">IFERROR(IF(FK33&gt;0.01,1-EXP(-FK33),FK33),".")</f>
        <v>2.8749674479166664E-4</v>
      </c>
      <c r="FN33" s="49">
        <f t="shared" si="165"/>
        <v>1.204119675E-10</v>
      </c>
      <c r="FO33" s="49">
        <f t="shared" ref="FO33:FO44" si="166">IFERROR(IF(SUM(FK33:FL33)&gt;0.01,1-EXP(-SUM(FK33:FL33)),SUM(FK33:FL33)),".")</f>
        <v>2.8749686520363415E-4</v>
      </c>
    </row>
    <row r="34" spans="1:171" x14ac:dyDescent="0.25">
      <c r="A34" s="83" t="s">
        <v>1076</v>
      </c>
      <c r="B34" s="42">
        <v>1</v>
      </c>
      <c r="C34" s="42"/>
      <c r="D34" s="60">
        <f t="shared" ref="D34:O34" si="167">IFERROR(D14/$B34,0)</f>
        <v>9.2299115589874425</v>
      </c>
      <c r="E34" s="60">
        <f t="shared" si="167"/>
        <v>36.91964623594977</v>
      </c>
      <c r="F34" s="60">
        <f t="shared" si="167"/>
        <v>36.91964623594977</v>
      </c>
      <c r="G34" s="60">
        <f t="shared" si="167"/>
        <v>36.91964623594977</v>
      </c>
      <c r="H34" s="60">
        <f t="shared" si="167"/>
        <v>36.91964623594977</v>
      </c>
      <c r="I34" s="60">
        <f t="shared" si="167"/>
        <v>36.91964623594977</v>
      </c>
      <c r="J34" s="60">
        <f t="shared" si="167"/>
        <v>36.91964623594977</v>
      </c>
      <c r="K34" s="60">
        <f t="shared" ref="K34" si="168">IFERROR(K14/$B34,0)</f>
        <v>36.91964623594977</v>
      </c>
      <c r="L34" s="60">
        <f t="shared" si="167"/>
        <v>36.91964623594977</v>
      </c>
      <c r="M34" s="60">
        <f t="shared" si="167"/>
        <v>36.91964623594977</v>
      </c>
      <c r="N34" s="60">
        <f t="shared" si="167"/>
        <v>36.91964623594977</v>
      </c>
      <c r="O34" s="60">
        <f t="shared" si="167"/>
        <v>36.91964623594977</v>
      </c>
      <c r="P34" s="71">
        <f>s_dir!BC34</f>
        <v>5.4171699999999992E-6</v>
      </c>
      <c r="Q34" s="71">
        <f>IFERROR(s_RadSpec!$H$14*Q14,".")*$B$34</f>
        <v>1.3542924999999998E-6</v>
      </c>
      <c r="R34" s="71">
        <f>IFERROR(s_RadSpec!$H$14*R14,".")*$B$34</f>
        <v>1.3542924999999998E-6</v>
      </c>
      <c r="S34" s="71">
        <f>IFERROR(s_RadSpec!$H$14*S14,".")*$B$34</f>
        <v>1.3542924999999998E-6</v>
      </c>
      <c r="T34" s="71">
        <f>IFERROR(s_RadSpec!$H$14*T14,".")*$B$34</f>
        <v>1.3542924999999998E-6</v>
      </c>
      <c r="U34" s="71">
        <f>IFERROR(s_RadSpec!$H$14*U14,".")*$B$34</f>
        <v>1.3542924999999998E-6</v>
      </c>
      <c r="V34" s="71">
        <f>IFERROR(s_RadSpec!$H$14*V14,".")*$B$34</f>
        <v>1.3542924999999998E-6</v>
      </c>
      <c r="W34" s="71">
        <f>IFERROR(s_RadSpec!$H$14*W14,".")*$B$34</f>
        <v>1.3542924999999998E-6</v>
      </c>
      <c r="X34" s="71">
        <f>IFERROR(s_RadSpec!$H$14*X14,".")*$B$34</f>
        <v>1.3542924999999998E-6</v>
      </c>
      <c r="Y34" s="71">
        <f>IFERROR(s_RadSpec!$H$14*Y14,".")*$B$34</f>
        <v>1.3542924999999998E-6</v>
      </c>
      <c r="Z34" s="71">
        <f>IFERROR(s_RadSpec!$H$14*Z14,".")*$B$34</f>
        <v>1.3542924999999998E-6</v>
      </c>
      <c r="AA34" s="71">
        <f>IFERROR(s_RadSpec!$H$14*AA14,".")*$B$34</f>
        <v>1.3542924999999998E-6</v>
      </c>
      <c r="AB34" s="49">
        <f t="shared" si="138"/>
        <v>5.4171699999999992E-6</v>
      </c>
      <c r="AC34" s="49">
        <f t="shared" si="139"/>
        <v>1.3542924999999998E-6</v>
      </c>
      <c r="AD34" s="49">
        <f t="shared" si="140"/>
        <v>1.3542924999999998E-6</v>
      </c>
      <c r="AE34" s="49">
        <f t="shared" si="141"/>
        <v>1.3542924999999998E-6</v>
      </c>
      <c r="AF34" s="49">
        <f t="shared" si="142"/>
        <v>1.3542924999999998E-6</v>
      </c>
      <c r="AG34" s="49">
        <f t="shared" si="143"/>
        <v>1.3542924999999998E-6</v>
      </c>
      <c r="AH34" s="49">
        <f t="shared" si="144"/>
        <v>1.3542924999999998E-6</v>
      </c>
      <c r="AI34" s="49">
        <f t="shared" si="145"/>
        <v>1.3542924999999998E-6</v>
      </c>
      <c r="AJ34" s="49">
        <f t="shared" si="146"/>
        <v>1.3542924999999998E-6</v>
      </c>
      <c r="AK34" s="49">
        <f t="shared" si="147"/>
        <v>1.3542924999999998E-6</v>
      </c>
      <c r="AL34" s="49">
        <f t="shared" si="148"/>
        <v>1.3542924999999998E-6</v>
      </c>
      <c r="AM34" s="49">
        <f t="shared" si="149"/>
        <v>1.3542924999999998E-6</v>
      </c>
      <c r="AN34" s="60">
        <f t="shared" ref="AN34:BB34" si="169">IFERROR(AN14/$B34,0)</f>
        <v>10038.82515629196</v>
      </c>
      <c r="AO34" s="60">
        <f t="shared" si="169"/>
        <v>101105679.77207945</v>
      </c>
      <c r="AP34" s="60">
        <f t="shared" si="169"/>
        <v>213.30522180820913</v>
      </c>
      <c r="AQ34" s="60">
        <f t="shared" si="169"/>
        <v>392.76219399946564</v>
      </c>
      <c r="AR34" s="60">
        <f t="shared" si="151"/>
        <v>7383.9292471899535</v>
      </c>
      <c r="AS34" s="60">
        <f t="shared" ref="AS34" si="170">IFERROR(AS14/$B34,0)</f>
        <v>0</v>
      </c>
      <c r="AT34" s="60">
        <f t="shared" si="151"/>
        <v>73839.292471899535</v>
      </c>
      <c r="AU34" s="60">
        <f t="shared" si="151"/>
        <v>76054.471246056521</v>
      </c>
      <c r="AV34" s="60">
        <f t="shared" si="151"/>
        <v>0</v>
      </c>
      <c r="AW34" s="60">
        <f t="shared" si="169"/>
        <v>0</v>
      </c>
      <c r="AX34" s="60">
        <f t="shared" si="169"/>
        <v>0</v>
      </c>
      <c r="AY34" s="60">
        <f t="shared" si="169"/>
        <v>0</v>
      </c>
      <c r="AZ34" s="60">
        <f>IFERROR(AZ14/$B34,0)</f>
        <v>0</v>
      </c>
      <c r="BA34" s="60">
        <f t="shared" si="169"/>
        <v>0</v>
      </c>
      <c r="BB34" s="60">
        <f t="shared" si="169"/>
        <v>0</v>
      </c>
      <c r="BC34" s="118">
        <f t="shared" si="63"/>
        <v>9.961325E-5</v>
      </c>
      <c r="BD34" s="118">
        <f t="shared" si="64"/>
        <v>9.8906411811312712E-9</v>
      </c>
      <c r="BE34" s="118">
        <f t="shared" si="65"/>
        <v>4.688117766282994E-3</v>
      </c>
      <c r="BF34" s="118">
        <f t="shared" si="66"/>
        <v>2.5460698999999996E-3</v>
      </c>
      <c r="BG34" s="118">
        <f t="shared" si="67"/>
        <v>1.3542925000000001E-4</v>
      </c>
      <c r="BH34" s="118" t="str">
        <f t="shared" si="68"/>
        <v>.</v>
      </c>
      <c r="BI34" s="118">
        <f t="shared" si="69"/>
        <v>1.3542925E-5</v>
      </c>
      <c r="BJ34" s="118">
        <f t="shared" si="70"/>
        <v>1.3148470873786408E-5</v>
      </c>
      <c r="BK34" s="118" t="str">
        <f t="shared" si="71"/>
        <v>.</v>
      </c>
      <c r="BL34" s="118" t="str">
        <f t="shared" si="72"/>
        <v>.</v>
      </c>
      <c r="BM34" s="118" t="str">
        <f t="shared" si="73"/>
        <v>.</v>
      </c>
      <c r="BN34" s="118" t="str">
        <f t="shared" si="74"/>
        <v>.</v>
      </c>
      <c r="BO34" s="118" t="str">
        <f t="shared" si="75"/>
        <v>.</v>
      </c>
      <c r="BP34" s="118" t="str">
        <f t="shared" si="76"/>
        <v>.</v>
      </c>
      <c r="BQ34" s="118" t="str">
        <f t="shared" si="77"/>
        <v>.</v>
      </c>
      <c r="BR34" s="60">
        <f t="shared" si="46"/>
        <v>133.40570231958779</v>
      </c>
      <c r="BS34" s="71">
        <f>IFERROR(s_RadSpec!$E$14*BS14,".")*$B$34</f>
        <v>4.9806625000000008E-9</v>
      </c>
      <c r="BT34" s="71">
        <f>IFERROR(s_RadSpec!$F$14*BT14,".")*$B$34</f>
        <v>4.9453205905656363E-13</v>
      </c>
      <c r="BU34" s="71">
        <f>IFERROR(s_RadSpec!$G$14*BU14,".")*$B$34</f>
        <v>2.344058883141497E-7</v>
      </c>
      <c r="BV34" s="71">
        <f>s_b2s!CC34</f>
        <v>1.2730349499999998E-7</v>
      </c>
      <c r="BW34" s="71">
        <f>IFERROR(s_RadSpec!$H$14*BW14,".")*$B$34</f>
        <v>6.7714624999999992E-9</v>
      </c>
      <c r="BX34" s="71">
        <f>IFERROR(s_RadSpec!$H$14*BX14,".")*$B$34</f>
        <v>0</v>
      </c>
      <c r="BY34" s="71">
        <f>IFERROR(s_RadSpec!$H$14*BY14,".")*$B$34</f>
        <v>6.7714625000000003E-10</v>
      </c>
      <c r="BZ34" s="71">
        <f>IFERROR(s_RadSpec!$H$14*BZ14,".")*$B$34</f>
        <v>6.5742354368932039E-10</v>
      </c>
      <c r="CA34" s="71">
        <f>IFERROR(s_RadSpec!$H$14*CA14,".")*$B$34</f>
        <v>0</v>
      </c>
      <c r="CB34" s="71">
        <f>IFERROR(s_RadSpec!$H$14*CB14,".")*$B$34</f>
        <v>0</v>
      </c>
      <c r="CC34" s="71">
        <f>IFERROR(s_RadSpec!$H$14*CC14,".")*$B$34</f>
        <v>0</v>
      </c>
      <c r="CD34" s="71">
        <f>IFERROR(s_RadSpec!$H$14*CD14,".")*$B$34</f>
        <v>0</v>
      </c>
      <c r="CE34" s="71">
        <f>IFERROR(s_RadSpec!$H$14*CE14,".")*$B$34</f>
        <v>0</v>
      </c>
      <c r="CF34" s="71">
        <f>IFERROR(s_RadSpec!$H$14*CF14,".")*$B$34</f>
        <v>0</v>
      </c>
      <c r="CG34" s="71">
        <f>IFERROR(s_RadSpec!$H$14*CG14,".")*$B$34</f>
        <v>0</v>
      </c>
      <c r="CH34" s="49">
        <f t="shared" si="153"/>
        <v>4.9806625000000008E-9</v>
      </c>
      <c r="CI34" s="49">
        <f t="shared" si="154"/>
        <v>4.9453205905656363E-13</v>
      </c>
      <c r="CJ34" s="49">
        <f t="shared" si="155"/>
        <v>2.344058883141497E-7</v>
      </c>
      <c r="CK34" s="49">
        <f t="shared" si="156"/>
        <v>1.2730349499999998E-7</v>
      </c>
      <c r="CL34" s="49">
        <f t="shared" si="157"/>
        <v>6.7714624999999992E-9</v>
      </c>
      <c r="CM34" s="49">
        <f t="shared" si="157"/>
        <v>0</v>
      </c>
      <c r="CN34" s="49">
        <f t="shared" si="110"/>
        <v>6.7714625000000003E-10</v>
      </c>
      <c r="CO34" s="49">
        <f t="shared" si="111"/>
        <v>6.5742354368932039E-10</v>
      </c>
      <c r="CP34" s="49">
        <f t="shared" si="112"/>
        <v>0</v>
      </c>
      <c r="CQ34" s="49">
        <f t="shared" si="113"/>
        <v>0</v>
      </c>
      <c r="CR34" s="49">
        <f t="shared" si="114"/>
        <v>0</v>
      </c>
      <c r="CS34" s="49">
        <f t="shared" si="115"/>
        <v>0</v>
      </c>
      <c r="CT34" s="49">
        <f t="shared" si="116"/>
        <v>0</v>
      </c>
      <c r="CU34" s="49">
        <f t="shared" si="117"/>
        <v>0</v>
      </c>
      <c r="CV34" s="49">
        <f t="shared" si="118"/>
        <v>0</v>
      </c>
      <c r="CW34" s="49">
        <f t="shared" si="119"/>
        <v>3.7479657263989803E-7</v>
      </c>
      <c r="CX34" s="60">
        <f t="shared" ref="CX34:DL34" si="171">IFERROR(CX14/$B34,0)</f>
        <v>296.02439240993459</v>
      </c>
      <c r="CY34" s="60" t="str">
        <f>IFERROR(CY14,".")</f>
        <v>.</v>
      </c>
      <c r="CZ34" s="60">
        <f t="shared" si="171"/>
        <v>10656774.003796592</v>
      </c>
      <c r="DA34" s="60">
        <f t="shared" si="171"/>
        <v>674.51302213912368</v>
      </c>
      <c r="DB34" s="60">
        <f t="shared" si="159"/>
        <v>3691.9646235949767</v>
      </c>
      <c r="DC34" s="60">
        <f t="shared" si="159"/>
        <v>0</v>
      </c>
      <c r="DD34" s="60">
        <f t="shared" si="159"/>
        <v>1476785849.4379907</v>
      </c>
      <c r="DE34" s="60">
        <f t="shared" si="159"/>
        <v>1521089424.9211304</v>
      </c>
      <c r="DF34" s="60">
        <f t="shared" si="159"/>
        <v>0</v>
      </c>
      <c r="DG34" s="60">
        <f t="shared" si="171"/>
        <v>0</v>
      </c>
      <c r="DH34" s="60">
        <f t="shared" si="171"/>
        <v>0</v>
      </c>
      <c r="DI34" s="60">
        <f t="shared" si="171"/>
        <v>0</v>
      </c>
      <c r="DJ34" s="60">
        <f>IFERROR(DJ14/$B34,0)</f>
        <v>0</v>
      </c>
      <c r="DK34" s="60">
        <f t="shared" si="171"/>
        <v>0</v>
      </c>
      <c r="DL34" s="60">
        <f t="shared" si="171"/>
        <v>0</v>
      </c>
      <c r="DM34" s="118">
        <f t="shared" si="80"/>
        <v>3.3780999999999998E-3</v>
      </c>
      <c r="DN34" s="118" t="str">
        <f t="shared" si="81"/>
        <v>.</v>
      </c>
      <c r="DO34" s="118">
        <f t="shared" si="82"/>
        <v>9.3837027945205469E-8</v>
      </c>
      <c r="DP34" s="118">
        <f t="shared" si="83"/>
        <v>1.4825510659951975E-3</v>
      </c>
      <c r="DQ34" s="118">
        <f t="shared" si="84"/>
        <v>2.7085850000000002E-4</v>
      </c>
      <c r="DR34" s="118" t="str">
        <f t="shared" si="85"/>
        <v>.</v>
      </c>
      <c r="DS34" s="118">
        <f t="shared" si="86"/>
        <v>6.7714625000000003E-10</v>
      </c>
      <c r="DT34" s="118">
        <f t="shared" si="87"/>
        <v>6.5742354368932039E-10</v>
      </c>
      <c r="DU34" s="118" t="str">
        <f t="shared" si="88"/>
        <v>.</v>
      </c>
      <c r="DV34" s="118" t="str">
        <f t="shared" si="89"/>
        <v>.</v>
      </c>
      <c r="DW34" s="118" t="str">
        <f t="shared" si="90"/>
        <v>.</v>
      </c>
      <c r="DX34" s="118" t="str">
        <f t="shared" si="91"/>
        <v>.</v>
      </c>
      <c r="DY34" s="118" t="str">
        <f t="shared" si="92"/>
        <v>.</v>
      </c>
      <c r="DZ34" s="118" t="str">
        <f t="shared" si="93"/>
        <v>.</v>
      </c>
      <c r="EA34" s="118" t="str">
        <f t="shared" si="94"/>
        <v>.</v>
      </c>
      <c r="EB34" s="60">
        <f t="shared" si="47"/>
        <v>194.87081549251715</v>
      </c>
      <c r="EC34" s="71">
        <f>IFERROR(s_RadSpec!$I$14*EC14,".")*$B$34</f>
        <v>1.6890500000000002E-7</v>
      </c>
      <c r="ED34" s="71">
        <f>IFERROR(s_RadSpec!$F$14*ED14,".")*$B$34</f>
        <v>0</v>
      </c>
      <c r="EE34" s="71">
        <f>IFERROR(s_RadSpec!$M$14*EE14,".")*$B$34</f>
        <v>4.6918513972602732E-12</v>
      </c>
      <c r="EF34" s="71">
        <f>s_b2w!CC34</f>
        <v>7.4127553299759871E-8</v>
      </c>
      <c r="EG34" s="71">
        <f>IFERROR(s_RadSpec!$H$14*EG14,".")*$B$34</f>
        <v>1.3542924999999998E-8</v>
      </c>
      <c r="EH34" s="71">
        <f>IFERROR(s_RadSpec!$H$14*EH14,".")*$B$34</f>
        <v>0</v>
      </c>
      <c r="EI34" s="71">
        <f>IFERROR(s_RadSpec!$H$14*EI14,".")*$B$34</f>
        <v>3.3857312500000001E-14</v>
      </c>
      <c r="EJ34" s="71">
        <f>IFERROR(s_RadSpec!$H$14*EJ14,".")*$B$34</f>
        <v>3.2871177184466022E-14</v>
      </c>
      <c r="EK34" s="71">
        <f>IFERROR(s_RadSpec!$H$14*EK14,".")*$B$34</f>
        <v>0</v>
      </c>
      <c r="EL34" s="71">
        <f>IFERROR(s_RadSpec!$H$14*EL14,".")*$B$34</f>
        <v>0</v>
      </c>
      <c r="EM34" s="71">
        <f>IFERROR(s_RadSpec!$H$14*EM14,".")*$B$34</f>
        <v>0</v>
      </c>
      <c r="EN34" s="71">
        <f>IFERROR(s_RadSpec!$H$14*EN14,".")*$B$34</f>
        <v>0</v>
      </c>
      <c r="EO34" s="71">
        <f>IFERROR(s_RadSpec!$H$14*EO14,".")*$B$34</f>
        <v>0</v>
      </c>
      <c r="EP34" s="71">
        <f>IFERROR(s_RadSpec!$H$14*EP14,".")*$B$34</f>
        <v>0</v>
      </c>
      <c r="EQ34" s="71">
        <f>IFERROR(s_RadSpec!$H$14*EQ14,".")*$B$34</f>
        <v>0</v>
      </c>
      <c r="ER34" s="49">
        <f t="shared" si="121"/>
        <v>1.6890500000000002E-7</v>
      </c>
      <c r="ES34" s="49">
        <f t="shared" si="160"/>
        <v>0</v>
      </c>
      <c r="ET34" s="49">
        <f t="shared" si="161"/>
        <v>4.6918513972602732E-12</v>
      </c>
      <c r="EU34" s="49">
        <f t="shared" si="162"/>
        <v>7.4127553299759871E-8</v>
      </c>
      <c r="EV34" s="49">
        <f t="shared" si="163"/>
        <v>1.3542924999999998E-8</v>
      </c>
      <c r="EW34" s="49">
        <f t="shared" si="163"/>
        <v>0</v>
      </c>
      <c r="EX34" s="49">
        <f t="shared" si="126"/>
        <v>3.3857312500000001E-14</v>
      </c>
      <c r="EY34" s="49">
        <f t="shared" si="127"/>
        <v>3.2871177184466022E-14</v>
      </c>
      <c r="EZ34" s="49">
        <f t="shared" si="128"/>
        <v>0</v>
      </c>
      <c r="FA34" s="49">
        <f t="shared" si="129"/>
        <v>0</v>
      </c>
      <c r="FB34" s="49">
        <f t="shared" si="130"/>
        <v>0</v>
      </c>
      <c r="FC34" s="49">
        <f t="shared" si="131"/>
        <v>0</v>
      </c>
      <c r="FD34" s="49">
        <f t="shared" si="132"/>
        <v>0</v>
      </c>
      <c r="FE34" s="49">
        <f t="shared" si="133"/>
        <v>0</v>
      </c>
      <c r="FF34" s="49">
        <f t="shared" si="134"/>
        <v>0</v>
      </c>
      <c r="FG34" s="49">
        <f t="shared" si="135"/>
        <v>2.5658023687964689E-7</v>
      </c>
      <c r="FH34" s="60">
        <f t="shared" si="164"/>
        <v>326.3538372497211</v>
      </c>
      <c r="FI34" s="60">
        <f t="shared" si="164"/>
        <v>37320.576538603658</v>
      </c>
      <c r="FJ34" s="60">
        <f t="shared" si="164"/>
        <v>323.52474000263368</v>
      </c>
      <c r="FK34" s="71">
        <f>IFERROR(s_RadSpec!$F$14*FK14,".")*$B$34</f>
        <v>1.5320794270833332E-7</v>
      </c>
      <c r="FL34" s="71">
        <f>IFERROR(s_RadSpec!$K$14*FL14,".")*$B$34</f>
        <v>1.3397435044520548E-9</v>
      </c>
      <c r="FM34" s="49">
        <f t="shared" si="165"/>
        <v>1.5320794270833332E-7</v>
      </c>
      <c r="FN34" s="49">
        <f t="shared" si="165"/>
        <v>1.3397435044520548E-9</v>
      </c>
      <c r="FO34" s="49">
        <f t="shared" si="166"/>
        <v>1.5454768621278538E-7</v>
      </c>
    </row>
    <row r="35" spans="1:171" x14ac:dyDescent="0.25">
      <c r="A35" s="83" t="s">
        <v>1077</v>
      </c>
      <c r="B35" s="42">
        <v>1</v>
      </c>
      <c r="C35" s="42"/>
      <c r="D35" s="60">
        <f t="shared" ref="D35:O35" si="172">IFERROR(D30/$B35,0)</f>
        <v>0.85253381575380194</v>
      </c>
      <c r="E35" s="60">
        <f t="shared" si="172"/>
        <v>3.4101352630152078</v>
      </c>
      <c r="F35" s="60">
        <f t="shared" si="172"/>
        <v>3.4101352630152078</v>
      </c>
      <c r="G35" s="60">
        <f t="shared" si="172"/>
        <v>3.4101352630152078</v>
      </c>
      <c r="H35" s="60">
        <f t="shared" si="172"/>
        <v>3.4101352630152078</v>
      </c>
      <c r="I35" s="60">
        <f t="shared" si="172"/>
        <v>3.4101352630152078</v>
      </c>
      <c r="J35" s="60">
        <f t="shared" si="172"/>
        <v>3.4101352630152078</v>
      </c>
      <c r="K35" s="60">
        <f t="shared" ref="K35" si="173">IFERROR(K30/$B35,0)</f>
        <v>3.4101352630152078</v>
      </c>
      <c r="L35" s="60">
        <f t="shared" si="172"/>
        <v>3.4101352630152078</v>
      </c>
      <c r="M35" s="60">
        <f t="shared" si="172"/>
        <v>3.4101352630152078</v>
      </c>
      <c r="N35" s="60">
        <f t="shared" si="172"/>
        <v>3.4101352630152078</v>
      </c>
      <c r="O35" s="60">
        <f t="shared" si="172"/>
        <v>3.4101352630152078</v>
      </c>
      <c r="P35" s="71">
        <f>s_dir!BC35</f>
        <v>5.86487E-5</v>
      </c>
      <c r="Q35" s="71">
        <f>IFERROR(s_RadSpec!$H$30*Q30,".")*$B$35</f>
        <v>1.4662175E-5</v>
      </c>
      <c r="R35" s="71">
        <f>IFERROR(s_RadSpec!$H$30*R30,".")*$B$35</f>
        <v>1.4662175E-5</v>
      </c>
      <c r="S35" s="71">
        <f>IFERROR(s_RadSpec!$H$30*S30,".")*$B$35</f>
        <v>1.4662175E-5</v>
      </c>
      <c r="T35" s="71">
        <f>IFERROR(s_RadSpec!$H$30*T30,".")*$B$35</f>
        <v>1.4662175E-5</v>
      </c>
      <c r="U35" s="71">
        <f>IFERROR(s_RadSpec!$H$30*U30,".")*$B$35</f>
        <v>1.4662175E-5</v>
      </c>
      <c r="V35" s="71">
        <f>IFERROR(s_RadSpec!$H$30*V30,".")*$B$35</f>
        <v>1.4662175E-5</v>
      </c>
      <c r="W35" s="71">
        <f>IFERROR(s_RadSpec!$H$30*W30,".")*$B$35</f>
        <v>1.4662175E-5</v>
      </c>
      <c r="X35" s="71">
        <f>IFERROR(s_RadSpec!$H$30*X30,".")*$B$35</f>
        <v>1.4662175E-5</v>
      </c>
      <c r="Y35" s="71">
        <f>IFERROR(s_RadSpec!$H$30*Y30,".")*$B$35</f>
        <v>1.4662175E-5</v>
      </c>
      <c r="Z35" s="71">
        <f>IFERROR(s_RadSpec!$H$30*Z30,".")*$B$35</f>
        <v>1.4662175E-5</v>
      </c>
      <c r="AA35" s="71">
        <f>IFERROR(s_RadSpec!$H$30*AA30,".")*$B$35</f>
        <v>1.4662175E-5</v>
      </c>
      <c r="AB35" s="49">
        <f t="shared" si="138"/>
        <v>5.86487E-5</v>
      </c>
      <c r="AC35" s="49">
        <f t="shared" si="139"/>
        <v>1.4662175E-5</v>
      </c>
      <c r="AD35" s="49">
        <f t="shared" si="140"/>
        <v>1.4662175E-5</v>
      </c>
      <c r="AE35" s="49">
        <f t="shared" si="141"/>
        <v>1.4662175E-5</v>
      </c>
      <c r="AF35" s="49">
        <f t="shared" si="142"/>
        <v>1.4662175E-5</v>
      </c>
      <c r="AG35" s="49">
        <f t="shared" si="143"/>
        <v>1.4662175E-5</v>
      </c>
      <c r="AH35" s="49">
        <f t="shared" si="144"/>
        <v>1.4662175E-5</v>
      </c>
      <c r="AI35" s="49">
        <f t="shared" si="145"/>
        <v>1.4662175E-5</v>
      </c>
      <c r="AJ35" s="49">
        <f t="shared" si="146"/>
        <v>1.4662175E-5</v>
      </c>
      <c r="AK35" s="49">
        <f t="shared" si="147"/>
        <v>1.4662175E-5</v>
      </c>
      <c r="AL35" s="49">
        <f t="shared" si="148"/>
        <v>1.4662175E-5</v>
      </c>
      <c r="AM35" s="49">
        <f t="shared" si="149"/>
        <v>1.4662175E-5</v>
      </c>
      <c r="AN35" s="60">
        <f t="shared" ref="AN35:BB35" si="174">IFERROR(AN30/$B35,0)</f>
        <v>1100.3145799384044</v>
      </c>
      <c r="AO35" s="60">
        <f t="shared" si="174"/>
        <v>54583.850648194522</v>
      </c>
      <c r="AP35" s="60">
        <f t="shared" si="174"/>
        <v>777724.79502255726</v>
      </c>
      <c r="AQ35" s="60">
        <f t="shared" si="174"/>
        <v>44.610170493246052</v>
      </c>
      <c r="AR35" s="60">
        <f>IFERROR(AR30/$B35,0)</f>
        <v>1.4208896929230035</v>
      </c>
      <c r="AS35" s="60">
        <f>IFERROR(AS30/$B35,0)</f>
        <v>8.0238476776828428E-3</v>
      </c>
      <c r="AT35" s="60">
        <f>IFERROR(AT30/$B35,0)</f>
        <v>98.923599707353247</v>
      </c>
      <c r="AU35" s="60">
        <f>IFERROR(AU30/$B35,0)</f>
        <v>22.076450001357664</v>
      </c>
      <c r="AV35" s="60">
        <f>IFERROR(AV30/$B35,0)</f>
        <v>0.87682281558790376</v>
      </c>
      <c r="AW35" s="60">
        <f t="shared" si="174"/>
        <v>5.1440271847823682E-2</v>
      </c>
      <c r="AX35" s="60">
        <f t="shared" si="174"/>
        <v>3.5072912623516146E-2</v>
      </c>
      <c r="AY35" s="60">
        <f t="shared" si="174"/>
        <v>0</v>
      </c>
      <c r="AZ35" s="60">
        <f>IFERROR(AZ30/$B35,0)</f>
        <v>28.384007144602709</v>
      </c>
      <c r="BA35" s="60">
        <f t="shared" si="174"/>
        <v>19.29010194293388</v>
      </c>
      <c r="BB35" s="60">
        <f t="shared" si="174"/>
        <v>0</v>
      </c>
      <c r="BC35" s="118">
        <f t="shared" si="63"/>
        <v>9.0883099999999992E-4</v>
      </c>
      <c r="BD35" s="118">
        <f t="shared" si="64"/>
        <v>1.8320437054637829E-5</v>
      </c>
      <c r="BE35" s="118">
        <f t="shared" si="65"/>
        <v>1.2858018754191781E-6</v>
      </c>
      <c r="BF35" s="118">
        <f t="shared" si="66"/>
        <v>2.2416412870499999E-2</v>
      </c>
      <c r="BG35" s="118">
        <f t="shared" si="67"/>
        <v>0.70378439999999987</v>
      </c>
      <c r="BH35" s="118">
        <f t="shared" si="68"/>
        <v>124.62848749999998</v>
      </c>
      <c r="BI35" s="118">
        <f t="shared" si="69"/>
        <v>1.0108811274137928E-2</v>
      </c>
      <c r="BJ35" s="118">
        <f t="shared" si="70"/>
        <v>4.5297137897556072E-2</v>
      </c>
      <c r="BK35" s="118">
        <f t="shared" si="71"/>
        <v>1.1404812719540227</v>
      </c>
      <c r="BL35" s="118">
        <f t="shared" si="72"/>
        <v>19.44002168103448</v>
      </c>
      <c r="BM35" s="118">
        <f t="shared" si="73"/>
        <v>28.512031798850572</v>
      </c>
      <c r="BN35" s="118" t="str">
        <f t="shared" si="74"/>
        <v>.</v>
      </c>
      <c r="BO35" s="118">
        <f t="shared" si="75"/>
        <v>3.5231107253654727E-2</v>
      </c>
      <c r="BP35" s="118">
        <f t="shared" si="76"/>
        <v>5.1840057816091953E-2</v>
      </c>
      <c r="BQ35" s="118" t="str">
        <f t="shared" si="77"/>
        <v>.</v>
      </c>
      <c r="BR35" s="60">
        <f t="shared" si="46"/>
        <v>5.7276842859552502E-3</v>
      </c>
      <c r="BS35" s="71">
        <f>IFERROR(s_RadSpec!$E$30*BS30,".")*$B$35</f>
        <v>4.544155E-8</v>
      </c>
      <c r="BT35" s="71">
        <f>IFERROR(s_RadSpec!$F$30*BT30,".")*$B$35</f>
        <v>9.1602185273189154E-10</v>
      </c>
      <c r="BU35" s="71">
        <f>IFERROR(s_RadSpec!$G$30*BU30,".")*$B$35</f>
        <v>6.4290093770958905E-11</v>
      </c>
      <c r="BV35" s="71">
        <f>s_b2s!CC35</f>
        <v>1.1208206435250001E-6</v>
      </c>
      <c r="BW35" s="71">
        <f>IFERROR(s_RadSpec!$H$30*BW30,".")*$B$35</f>
        <v>3.5189219999999993E-5</v>
      </c>
      <c r="BX35" s="71">
        <f>IFERROR(s_RadSpec!$H$30*BX30,".")*$B$35</f>
        <v>6.231424375E-3</v>
      </c>
      <c r="BY35" s="71">
        <f>IFERROR(s_RadSpec!$H$30*BY30,".")*$B$35</f>
        <v>5.0544056370689646E-7</v>
      </c>
      <c r="BZ35" s="71">
        <f>IFERROR(s_RadSpec!$H$30*BZ30,".")*$B$35</f>
        <v>2.2648568948778038E-6</v>
      </c>
      <c r="CA35" s="71">
        <f>IFERROR(s_RadSpec!$H$30*CA30,".")*$B$35</f>
        <v>5.7024063597701156E-5</v>
      </c>
      <c r="CB35" s="71">
        <f>IFERROR(s_RadSpec!$H$30*CB30,".")*$B$35</f>
        <v>9.7200108405172425E-4</v>
      </c>
      <c r="CC35" s="71">
        <f>IFERROR(s_RadSpec!$H$30*CC30,".")*$B$35</f>
        <v>1.4256015899425287E-3</v>
      </c>
      <c r="CD35" s="71">
        <f>IFERROR(s_RadSpec!$H$30*CD30,".")*$B$35</f>
        <v>0</v>
      </c>
      <c r="CE35" s="71">
        <f>IFERROR(s_RadSpec!$H$30*CE30,".")*$B$35</f>
        <v>1.7615553626827364E-6</v>
      </c>
      <c r="CF35" s="71">
        <f>IFERROR(s_RadSpec!$H$30*CF30,".")*$B$35</f>
        <v>2.5920028908045979E-6</v>
      </c>
      <c r="CG35" s="71">
        <f>IFERROR(s_RadSpec!$H$30*CG30,".")*$B$35</f>
        <v>0</v>
      </c>
      <c r="CH35" s="49">
        <f t="shared" si="153"/>
        <v>4.544155E-8</v>
      </c>
      <c r="CI35" s="49">
        <f t="shared" si="154"/>
        <v>9.1602185273189154E-10</v>
      </c>
      <c r="CJ35" s="49">
        <f t="shared" si="155"/>
        <v>6.4290093770958905E-11</v>
      </c>
      <c r="CK35" s="49">
        <f t="shared" si="156"/>
        <v>1.1208206435250001E-6</v>
      </c>
      <c r="CL35" s="49">
        <f t="shared" si="157"/>
        <v>3.5189219999999993E-5</v>
      </c>
      <c r="CM35" s="49">
        <f t="shared" si="157"/>
        <v>6.231424375E-3</v>
      </c>
      <c r="CN35" s="49">
        <f t="shared" si="110"/>
        <v>5.0544056370689646E-7</v>
      </c>
      <c r="CO35" s="49">
        <f t="shared" si="111"/>
        <v>2.2648568948778038E-6</v>
      </c>
      <c r="CP35" s="49">
        <f t="shared" si="112"/>
        <v>5.7024063597701156E-5</v>
      </c>
      <c r="CQ35" s="49">
        <f t="shared" si="113"/>
        <v>9.7200108405172425E-4</v>
      </c>
      <c r="CR35" s="49">
        <f t="shared" si="114"/>
        <v>1.4256015899425287E-3</v>
      </c>
      <c r="CS35" s="49">
        <f t="shared" si="115"/>
        <v>0</v>
      </c>
      <c r="CT35" s="49">
        <f t="shared" si="116"/>
        <v>1.7615553626827364E-6</v>
      </c>
      <c r="CU35" s="49">
        <f t="shared" si="117"/>
        <v>2.5920028908045979E-6</v>
      </c>
      <c r="CV35" s="49">
        <f t="shared" si="118"/>
        <v>0</v>
      </c>
      <c r="CW35" s="49">
        <f t="shared" si="119"/>
        <v>8.7295314308094979E-3</v>
      </c>
      <c r="CX35" s="60">
        <f t="shared" ref="CX35:DL35" si="175">IFERROR(CX30/$B35,0)</f>
        <v>25.329922237138735</v>
      </c>
      <c r="CY35" s="60" t="str">
        <f>IFERROR(CY30,".")</f>
        <v>.</v>
      </c>
      <c r="CZ35" s="60">
        <f t="shared" si="175"/>
        <v>9525608048.086338</v>
      </c>
      <c r="DA35" s="60">
        <f t="shared" si="175"/>
        <v>66.543545415490399</v>
      </c>
      <c r="DB35" s="60">
        <f>IFERROR(DB30/$B35,0)</f>
        <v>3552.2242323075079</v>
      </c>
      <c r="DC35" s="60">
        <f>IFERROR(DC30/$B35,0)</f>
        <v>20.059619194207102</v>
      </c>
      <c r="DD35" s="60">
        <f>IFERROR(DD30/$B35,0)</f>
        <v>1748787.3143667732</v>
      </c>
      <c r="DE35" s="60">
        <f>IFERROR(DE30/$B35,0)</f>
        <v>390271.03565618489</v>
      </c>
      <c r="DF35" s="60">
        <f>IFERROR(DF30/$B35,0)</f>
        <v>15500.614831887309</v>
      </c>
      <c r="DG35" s="60">
        <f t="shared" si="175"/>
        <v>909.36940347072209</v>
      </c>
      <c r="DH35" s="60">
        <f t="shared" si="175"/>
        <v>620.02459327549241</v>
      </c>
      <c r="DI35" s="60">
        <f t="shared" si="175"/>
        <v>0</v>
      </c>
      <c r="DJ35" s="60">
        <f>IFERROR(DJ30/$B35,0)</f>
        <v>501777.0458436663</v>
      </c>
      <c r="DK35" s="60">
        <f t="shared" si="175"/>
        <v>341013.52630152076</v>
      </c>
      <c r="DL35" s="60">
        <f t="shared" si="175"/>
        <v>0</v>
      </c>
      <c r="DM35" s="118">
        <f t="shared" si="80"/>
        <v>3.9478999999999993E-2</v>
      </c>
      <c r="DN35" s="118" t="str">
        <f t="shared" si="81"/>
        <v>.</v>
      </c>
      <c r="DO35" s="118">
        <f t="shared" si="82"/>
        <v>1.0498017501369863E-10</v>
      </c>
      <c r="DP35" s="118">
        <f t="shared" si="83"/>
        <v>1.5027753537268155E-2</v>
      </c>
      <c r="DQ35" s="118">
        <f t="shared" si="84"/>
        <v>2.8151376E-4</v>
      </c>
      <c r="DR35" s="118">
        <f t="shared" si="85"/>
        <v>4.9851395000000007E-2</v>
      </c>
      <c r="DS35" s="118">
        <f t="shared" si="86"/>
        <v>5.7182482499999992E-7</v>
      </c>
      <c r="DT35" s="118">
        <f t="shared" si="87"/>
        <v>2.5623218446601941E-6</v>
      </c>
      <c r="DU35" s="118">
        <f t="shared" si="88"/>
        <v>6.4513569999999996E-5</v>
      </c>
      <c r="DV35" s="118">
        <f t="shared" si="89"/>
        <v>1.0996631249999998E-3</v>
      </c>
      <c r="DW35" s="118">
        <f t="shared" si="90"/>
        <v>1.6128392499999997E-3</v>
      </c>
      <c r="DX35" s="118" t="str">
        <f t="shared" si="91"/>
        <v>.</v>
      </c>
      <c r="DY35" s="118">
        <f t="shared" si="92"/>
        <v>1.992916990291262E-6</v>
      </c>
      <c r="DZ35" s="118">
        <f t="shared" si="93"/>
        <v>2.932435E-6</v>
      </c>
      <c r="EA35" s="118" t="str">
        <f t="shared" si="94"/>
        <v>.</v>
      </c>
      <c r="EB35" s="60">
        <f t="shared" si="47"/>
        <v>9.3088428238420793</v>
      </c>
      <c r="EC35" s="71">
        <f>IFERROR(s_RadSpec!$I$30*EC30,".")*$B$35</f>
        <v>1.97395E-6</v>
      </c>
      <c r="ED35" s="71">
        <f>IFERROR(s_RadSpec!$F$30*ED30,".")*$B$35</f>
        <v>0</v>
      </c>
      <c r="EE35" s="71">
        <f>IFERROR(s_RadSpec!$M$30*EE30,".")*$B$35</f>
        <v>5.2490087506849315E-15</v>
      </c>
      <c r="EF35" s="71">
        <f>s_b2w!CC35</f>
        <v>7.5138767686340789E-7</v>
      </c>
      <c r="EG35" s="71">
        <f>IFERROR(s_RadSpec!$H$30*EG30,".")*$B$35</f>
        <v>1.4075688E-8</v>
      </c>
      <c r="EH35" s="71">
        <f>IFERROR(s_RadSpec!$H$30*EH30,".")*$B$35</f>
        <v>2.4925697500000002E-6</v>
      </c>
      <c r="EI35" s="71">
        <f>IFERROR(s_RadSpec!$H$30*EI30,".")*$B$35</f>
        <v>2.8591241250000002E-11</v>
      </c>
      <c r="EJ35" s="71">
        <f>IFERROR(s_RadSpec!$H$30*EJ30,".")*$B$35</f>
        <v>1.2811609223300973E-10</v>
      </c>
      <c r="EK35" s="71">
        <f>IFERROR(s_RadSpec!$H$30*EK30,".")*$B$35</f>
        <v>3.2256784999999999E-9</v>
      </c>
      <c r="EL35" s="71">
        <f>IFERROR(s_RadSpec!$H$30*EL30,".")*$B$35</f>
        <v>5.4983156250000001E-8</v>
      </c>
      <c r="EM35" s="71">
        <f>IFERROR(s_RadSpec!$H$30*EM30,".")*$B$35</f>
        <v>8.0641962499999998E-8</v>
      </c>
      <c r="EN35" s="71">
        <f>IFERROR(s_RadSpec!$H$30*EN30,".")*$B$35</f>
        <v>0</v>
      </c>
      <c r="EO35" s="71">
        <f>IFERROR(s_RadSpec!$H$30*EO30,".")*$B$35</f>
        <v>9.964584951456312E-11</v>
      </c>
      <c r="EP35" s="71">
        <f>IFERROR(s_RadSpec!$H$30*EP30,".")*$B$35</f>
        <v>1.4662175E-10</v>
      </c>
      <c r="EQ35" s="71">
        <f>IFERROR(s_RadSpec!$H$30*EQ30,".")*$B$35</f>
        <v>0</v>
      </c>
      <c r="ER35" s="49">
        <f t="shared" si="121"/>
        <v>1.97395E-6</v>
      </c>
      <c r="ES35" s="49">
        <f t="shared" si="160"/>
        <v>0</v>
      </c>
      <c r="ET35" s="49">
        <f t="shared" si="161"/>
        <v>5.2490087506849315E-15</v>
      </c>
      <c r="EU35" s="49">
        <f t="shared" si="162"/>
        <v>7.5138767686340789E-7</v>
      </c>
      <c r="EV35" s="49">
        <f t="shared" si="163"/>
        <v>1.4075688E-8</v>
      </c>
      <c r="EW35" s="49">
        <f t="shared" si="163"/>
        <v>2.4925697500000002E-6</v>
      </c>
      <c r="EX35" s="49">
        <f t="shared" si="126"/>
        <v>2.8591241250000002E-11</v>
      </c>
      <c r="EY35" s="49">
        <f t="shared" si="127"/>
        <v>1.2811609223300973E-10</v>
      </c>
      <c r="EZ35" s="49">
        <f t="shared" si="128"/>
        <v>3.2256784999999999E-9</v>
      </c>
      <c r="FA35" s="49">
        <f t="shared" si="129"/>
        <v>5.4983156250000001E-8</v>
      </c>
      <c r="FB35" s="49">
        <f t="shared" si="130"/>
        <v>8.0641962499999998E-8</v>
      </c>
      <c r="FC35" s="49">
        <f t="shared" si="131"/>
        <v>0</v>
      </c>
      <c r="FD35" s="49">
        <f t="shared" si="132"/>
        <v>9.964584951456312E-11</v>
      </c>
      <c r="FE35" s="49">
        <f t="shared" si="133"/>
        <v>1.4662175E-10</v>
      </c>
      <c r="FF35" s="49">
        <f t="shared" si="134"/>
        <v>0</v>
      </c>
      <c r="FG35" s="49">
        <f t="shared" si="135"/>
        <v>5.3712368922954137E-6</v>
      </c>
      <c r="FH35" s="60">
        <f>IFERROR(FH30/$B35,0)</f>
        <v>0.17618841148252914</v>
      </c>
      <c r="FI35" s="60">
        <f>IFERROR(FI30/$B35,0)</f>
        <v>33974273.287321642</v>
      </c>
      <c r="FJ35" s="60">
        <f>IFERROR(FJ30/$B35,0)</f>
        <v>0.17618841056882731</v>
      </c>
      <c r="FK35" s="71">
        <f>IFERROR(s_RadSpec!$F$30*FK30,".")*$B$35</f>
        <v>2.8378710937499997E-4</v>
      </c>
      <c r="FL35" s="71">
        <f>IFERROR(s_RadSpec!$K$30*FL30,".")*$B$35</f>
        <v>1.4717018249999999E-12</v>
      </c>
      <c r="FM35" s="49">
        <f t="shared" si="165"/>
        <v>2.8378710937499997E-4</v>
      </c>
      <c r="FN35" s="49">
        <f t="shared" si="165"/>
        <v>1.4717018249999999E-12</v>
      </c>
      <c r="FO35" s="49">
        <f t="shared" si="166"/>
        <v>2.837871108467018E-4</v>
      </c>
    </row>
    <row r="36" spans="1:171" x14ac:dyDescent="0.25">
      <c r="A36" s="83" t="s">
        <v>1078</v>
      </c>
      <c r="B36" s="42">
        <v>1</v>
      </c>
      <c r="C36" s="42"/>
      <c r="D36" s="60">
        <f t="shared" ref="D36:O36" si="176">IFERROR(D26/$B36,0)</f>
        <v>0.28453994869744731</v>
      </c>
      <c r="E36" s="60">
        <f t="shared" si="176"/>
        <v>1.1381597947897892</v>
      </c>
      <c r="F36" s="60">
        <f t="shared" si="176"/>
        <v>1.1381597947897892</v>
      </c>
      <c r="G36" s="60">
        <f t="shared" si="176"/>
        <v>1.1381597947897892</v>
      </c>
      <c r="H36" s="60">
        <f t="shared" si="176"/>
        <v>1.1381597947897892</v>
      </c>
      <c r="I36" s="60">
        <f t="shared" si="176"/>
        <v>1.1381597947897892</v>
      </c>
      <c r="J36" s="60">
        <f t="shared" si="176"/>
        <v>1.1381597947897892</v>
      </c>
      <c r="K36" s="60">
        <f t="shared" ref="K36" si="177">IFERROR(K26/$B36,0)</f>
        <v>1.1381597947897892</v>
      </c>
      <c r="L36" s="60">
        <f t="shared" si="176"/>
        <v>1.1381597947897892</v>
      </c>
      <c r="M36" s="60">
        <f t="shared" si="176"/>
        <v>1.1381597947897892</v>
      </c>
      <c r="N36" s="60">
        <f t="shared" si="176"/>
        <v>1.1381597947897892</v>
      </c>
      <c r="O36" s="60">
        <f t="shared" si="176"/>
        <v>1.1381597947897892</v>
      </c>
      <c r="P36" s="71">
        <f>s_dir!BC36</f>
        <v>1.7572225000000001E-4</v>
      </c>
      <c r="Q36" s="71">
        <f>IFERROR(s_RadSpec!$H$26*Q26,".")*$B$37</f>
        <v>4.3930562500000003E-5</v>
      </c>
      <c r="R36" s="71">
        <f>IFERROR(s_RadSpec!$H$26*R26,".")*$B$37</f>
        <v>4.3930562500000003E-5</v>
      </c>
      <c r="S36" s="71">
        <f>IFERROR(s_RadSpec!$H$26*S26,".")*$B$37</f>
        <v>4.3930562500000003E-5</v>
      </c>
      <c r="T36" s="71">
        <f>IFERROR(s_RadSpec!$H$26*T26,".")*$B$37</f>
        <v>4.3930562500000003E-5</v>
      </c>
      <c r="U36" s="71">
        <f>IFERROR(s_RadSpec!$H$26*U26,".")*$B$37</f>
        <v>4.3930562500000003E-5</v>
      </c>
      <c r="V36" s="71">
        <f>IFERROR(s_RadSpec!$H$26*V26,".")*$B$37</f>
        <v>4.3930562500000003E-5</v>
      </c>
      <c r="W36" s="71">
        <f>IFERROR(s_RadSpec!$H$26*W26,".")*$B$37</f>
        <v>4.3930562500000003E-5</v>
      </c>
      <c r="X36" s="71">
        <f>IFERROR(s_RadSpec!$H$26*X26,".")*$B$37</f>
        <v>4.3930562500000003E-5</v>
      </c>
      <c r="Y36" s="71">
        <f>IFERROR(s_RadSpec!$H$26*Y26,".")*$B$37</f>
        <v>4.3930562500000003E-5</v>
      </c>
      <c r="Z36" s="71">
        <f>IFERROR(s_RadSpec!$H$26*Z26,".")*$B$37</f>
        <v>4.3930562500000003E-5</v>
      </c>
      <c r="AA36" s="71">
        <f>IFERROR(s_RadSpec!$H$26*AA26,".")*$B$37</f>
        <v>4.3930562500000003E-5</v>
      </c>
      <c r="AB36" s="49">
        <f t="shared" si="138"/>
        <v>1.7572225000000001E-4</v>
      </c>
      <c r="AC36" s="49">
        <f t="shared" si="139"/>
        <v>4.3930562500000003E-5</v>
      </c>
      <c r="AD36" s="49">
        <f t="shared" si="140"/>
        <v>4.3930562500000003E-5</v>
      </c>
      <c r="AE36" s="49">
        <f t="shared" si="141"/>
        <v>4.3930562500000003E-5</v>
      </c>
      <c r="AF36" s="49">
        <f t="shared" si="142"/>
        <v>4.3930562500000003E-5</v>
      </c>
      <c r="AG36" s="49">
        <f t="shared" si="143"/>
        <v>4.3930562500000003E-5</v>
      </c>
      <c r="AH36" s="49">
        <f t="shared" si="144"/>
        <v>4.3930562500000003E-5</v>
      </c>
      <c r="AI36" s="49">
        <f t="shared" si="145"/>
        <v>4.3930562500000003E-5</v>
      </c>
      <c r="AJ36" s="49">
        <f t="shared" si="146"/>
        <v>4.3930562500000003E-5</v>
      </c>
      <c r="AK36" s="49">
        <f t="shared" si="147"/>
        <v>4.3930562500000003E-5</v>
      </c>
      <c r="AL36" s="49">
        <f t="shared" si="148"/>
        <v>4.3930562500000003E-5</v>
      </c>
      <c r="AM36" s="49">
        <f t="shared" si="149"/>
        <v>4.3930562500000003E-5</v>
      </c>
      <c r="AN36" s="60">
        <f t="shared" ref="AN36:BB36" si="178">IFERROR(AN26/$B36,0)</f>
        <v>429.54588409133862</v>
      </c>
      <c r="AO36" s="60">
        <f t="shared" si="178"/>
        <v>8846.7469800569506</v>
      </c>
      <c r="AP36" s="60">
        <f t="shared" si="178"/>
        <v>2592.7053155495291</v>
      </c>
      <c r="AQ36" s="60">
        <f t="shared" si="178"/>
        <v>19.780323162839576</v>
      </c>
      <c r="AR36" s="60">
        <f>IFERROR(AR26/$B36,0)</f>
        <v>3.7938659826326311</v>
      </c>
      <c r="AS36" s="60">
        <f>IFERROR(AS26/$B36,0)</f>
        <v>7.8493778951019954E-3</v>
      </c>
      <c r="AT36" s="60">
        <f>IFERROR(AT26/$B36,0)</f>
        <v>56.360178521532326</v>
      </c>
      <c r="AU36" s="60">
        <f>IFERROR(AU26/$B36,0)</f>
        <v>2670.3452583502017</v>
      </c>
      <c r="AV36" s="60">
        <f>IFERROR(AV26/$B36,0)</f>
        <v>0</v>
      </c>
      <c r="AW36" s="60">
        <f t="shared" si="178"/>
        <v>0</v>
      </c>
      <c r="AX36" s="60">
        <f t="shared" si="178"/>
        <v>0</v>
      </c>
      <c r="AY36" s="60">
        <f t="shared" si="178"/>
        <v>0</v>
      </c>
      <c r="AZ36" s="60">
        <f>IFERROR(AZ26/$B36,0)</f>
        <v>0</v>
      </c>
      <c r="BA36" s="60">
        <f t="shared" si="178"/>
        <v>12.962841059952435</v>
      </c>
      <c r="BB36" s="60">
        <f t="shared" si="178"/>
        <v>0</v>
      </c>
      <c r="BC36" s="118">
        <f t="shared" si="63"/>
        <v>2.32804E-3</v>
      </c>
      <c r="BD36" s="118">
        <f t="shared" si="64"/>
        <v>1.1303589921292884E-4</v>
      </c>
      <c r="BE36" s="118">
        <f t="shared" si="65"/>
        <v>3.856975160279825E-4</v>
      </c>
      <c r="BF36" s="118">
        <f t="shared" si="66"/>
        <v>5.0555291324999994E-2</v>
      </c>
      <c r="BG36" s="118">
        <f t="shared" si="67"/>
        <v>0.2635833749999999</v>
      </c>
      <c r="BH36" s="118">
        <f t="shared" si="68"/>
        <v>127.39863124999997</v>
      </c>
      <c r="BI36" s="118">
        <f t="shared" si="69"/>
        <v>1.774302399730603E-2</v>
      </c>
      <c r="BJ36" s="118">
        <f t="shared" si="70"/>
        <v>3.7448341066496476E-4</v>
      </c>
      <c r="BK36" s="118" t="str">
        <f t="shared" si="71"/>
        <v>.</v>
      </c>
      <c r="BL36" s="118" t="str">
        <f t="shared" si="72"/>
        <v>.</v>
      </c>
      <c r="BM36" s="118" t="str">
        <f t="shared" si="73"/>
        <v>.</v>
      </c>
      <c r="BN36" s="118" t="str">
        <f t="shared" si="74"/>
        <v>.</v>
      </c>
      <c r="BO36" s="118" t="str">
        <f t="shared" si="75"/>
        <v>.</v>
      </c>
      <c r="BP36" s="118">
        <f t="shared" si="76"/>
        <v>7.7143582596982743E-2</v>
      </c>
      <c r="BQ36" s="118" t="str">
        <f t="shared" si="77"/>
        <v>.</v>
      </c>
      <c r="BR36" s="60">
        <f t="shared" si="46"/>
        <v>7.8240614089554687E-3</v>
      </c>
      <c r="BS36" s="71">
        <f>IFERROR(s_RadSpec!$E$26*BS26,".")*$B$37</f>
        <v>1.16402E-7</v>
      </c>
      <c r="BT36" s="71">
        <f>IFERROR(s_RadSpec!$F$26*BT26,".")*$B$37</f>
        <v>5.6517949606464422E-9</v>
      </c>
      <c r="BU36" s="71">
        <f>IFERROR(s_RadSpec!$G$26*BU26,".")*$B$37</f>
        <v>1.9284875801399127E-8</v>
      </c>
      <c r="BV36" s="71">
        <f>s_b2s!CC36</f>
        <v>2.5277645662499998E-6</v>
      </c>
      <c r="BW36" s="71">
        <f>IFERROR(s_RadSpec!$H$26*BW26,".")*$B$37</f>
        <v>1.317916875E-5</v>
      </c>
      <c r="BX36" s="71">
        <f>IFERROR(s_RadSpec!$H$26*BX26,".")*$B$37</f>
        <v>6.3699315625000003E-3</v>
      </c>
      <c r="BY36" s="71">
        <f>IFERROR(s_RadSpec!$H$26*BY26,".")*$B$37</f>
        <v>8.8715119986530171E-7</v>
      </c>
      <c r="BZ36" s="71">
        <f>IFERROR(s_RadSpec!$H$26*BZ26,".")*$B$37</f>
        <v>1.8724170533248243E-8</v>
      </c>
      <c r="CA36" s="71">
        <f>IFERROR(s_RadSpec!$H$26*CA26,".")*$B$37</f>
        <v>0</v>
      </c>
      <c r="CB36" s="71">
        <f>IFERROR(s_RadSpec!$H$26*CB26,".")*$B$37</f>
        <v>0</v>
      </c>
      <c r="CC36" s="71">
        <f>IFERROR(s_RadSpec!$H$26*CC26,".")*$B$37</f>
        <v>0</v>
      </c>
      <c r="CD36" s="71">
        <f>IFERROR(s_RadSpec!$H$26*CD26,".")*$B$37</f>
        <v>0</v>
      </c>
      <c r="CE36" s="71">
        <f>IFERROR(s_RadSpec!$H$26*CE26,".")*$B$37</f>
        <v>0</v>
      </c>
      <c r="CF36" s="71">
        <f>IFERROR(s_RadSpec!$H$26*CF26,".")*$B$37</f>
        <v>3.8571791298491379E-6</v>
      </c>
      <c r="CG36" s="71">
        <f>IFERROR(s_RadSpec!$H$26*CG26,".")*$B$37</f>
        <v>0</v>
      </c>
      <c r="CH36" s="49">
        <f t="shared" si="153"/>
        <v>1.16402E-7</v>
      </c>
      <c r="CI36" s="49">
        <f t="shared" si="154"/>
        <v>5.6517949606464422E-9</v>
      </c>
      <c r="CJ36" s="49">
        <f t="shared" si="155"/>
        <v>1.9284875801399127E-8</v>
      </c>
      <c r="CK36" s="49">
        <f t="shared" si="156"/>
        <v>2.5277645662499998E-6</v>
      </c>
      <c r="CL36" s="49">
        <f t="shared" si="157"/>
        <v>1.317916875E-5</v>
      </c>
      <c r="CM36" s="49">
        <f t="shared" si="157"/>
        <v>6.3699315625000003E-3</v>
      </c>
      <c r="CN36" s="49">
        <f t="shared" si="110"/>
        <v>8.8715119986530171E-7</v>
      </c>
      <c r="CO36" s="49">
        <f t="shared" si="111"/>
        <v>1.8724170533248243E-8</v>
      </c>
      <c r="CP36" s="49">
        <f t="shared" si="112"/>
        <v>0</v>
      </c>
      <c r="CQ36" s="49">
        <f t="shared" si="113"/>
        <v>0</v>
      </c>
      <c r="CR36" s="49">
        <f t="shared" si="114"/>
        <v>0</v>
      </c>
      <c r="CS36" s="49">
        <f t="shared" si="115"/>
        <v>0</v>
      </c>
      <c r="CT36" s="49">
        <f t="shared" si="116"/>
        <v>0</v>
      </c>
      <c r="CU36" s="49">
        <f t="shared" si="117"/>
        <v>3.8571791298491379E-6</v>
      </c>
      <c r="CV36" s="49">
        <f t="shared" si="118"/>
        <v>0</v>
      </c>
      <c r="CW36" s="49">
        <f t="shared" si="119"/>
        <v>6.3905428889872596E-3</v>
      </c>
      <c r="CX36" s="60">
        <f t="shared" ref="CX36:DL36" si="179">IFERROR(CX26/$B36,0)</f>
        <v>8.1357697251737005</v>
      </c>
      <c r="CY36" s="60" t="str">
        <f>IFERROR(CY26,".")</f>
        <v>.</v>
      </c>
      <c r="CZ36" s="60">
        <f t="shared" si="179"/>
        <v>29809158.052577883</v>
      </c>
      <c r="DA36" s="60">
        <f t="shared" si="179"/>
        <v>23.965985200355735</v>
      </c>
      <c r="DB36" s="60">
        <f>IFERROR(DB26/$B36,0)</f>
        <v>189.69329913163153</v>
      </c>
      <c r="DC36" s="60">
        <f>IFERROR(DC26/$B36,0)</f>
        <v>0.39246889475509977</v>
      </c>
      <c r="DD36" s="60">
        <f>IFERROR(DD26/$B36,0)</f>
        <v>989704.16938242537</v>
      </c>
      <c r="DE36" s="60">
        <f>IFERROR(DE26/$B36,0)</f>
        <v>46892183.545339309</v>
      </c>
      <c r="DF36" s="60">
        <f>IFERROR(DF26/$B36,0)</f>
        <v>0</v>
      </c>
      <c r="DG36" s="60">
        <f t="shared" si="179"/>
        <v>0</v>
      </c>
      <c r="DH36" s="60">
        <f t="shared" si="179"/>
        <v>0</v>
      </c>
      <c r="DI36" s="60">
        <f t="shared" si="179"/>
        <v>0</v>
      </c>
      <c r="DJ36" s="60">
        <f>IFERROR(DJ26/$B36,0)</f>
        <v>0</v>
      </c>
      <c r="DK36" s="60">
        <f t="shared" si="179"/>
        <v>227631.95895795783</v>
      </c>
      <c r="DL36" s="60">
        <f t="shared" si="179"/>
        <v>0</v>
      </c>
      <c r="DM36" s="118">
        <f t="shared" si="80"/>
        <v>0.12291399999999997</v>
      </c>
      <c r="DN36" s="118" t="str">
        <f t="shared" si="81"/>
        <v>.</v>
      </c>
      <c r="DO36" s="118">
        <f t="shared" si="82"/>
        <v>3.3546737490410955E-8</v>
      </c>
      <c r="DP36" s="118">
        <f t="shared" si="83"/>
        <v>4.1725803952560092E-2</v>
      </c>
      <c r="DQ36" s="118">
        <f t="shared" si="84"/>
        <v>5.2716674999999987E-3</v>
      </c>
      <c r="DR36" s="118">
        <f t="shared" si="85"/>
        <v>2.5479726249999994</v>
      </c>
      <c r="DS36" s="118">
        <f t="shared" si="86"/>
        <v>1.0104029374999998E-6</v>
      </c>
      <c r="DT36" s="118">
        <f t="shared" si="87"/>
        <v>2.132551577669903E-8</v>
      </c>
      <c r="DU36" s="118" t="str">
        <f t="shared" si="88"/>
        <v>.</v>
      </c>
      <c r="DV36" s="118" t="str">
        <f t="shared" si="89"/>
        <v>.</v>
      </c>
      <c r="DW36" s="118" t="str">
        <f t="shared" si="90"/>
        <v>.</v>
      </c>
      <c r="DX36" s="118" t="str">
        <f t="shared" si="91"/>
        <v>.</v>
      </c>
      <c r="DY36" s="118" t="str">
        <f t="shared" si="92"/>
        <v>.</v>
      </c>
      <c r="DZ36" s="118">
        <f t="shared" si="93"/>
        <v>4.393056249999999E-6</v>
      </c>
      <c r="EA36" s="118" t="str">
        <f t="shared" si="94"/>
        <v>.</v>
      </c>
      <c r="EB36" s="60">
        <f t="shared" si="47"/>
        <v>0.36793253730263281</v>
      </c>
      <c r="EC36" s="71">
        <f>IFERROR(s_RadSpec!$I$26*EC26,".")*$B$37</f>
        <v>6.1456999999999995E-6</v>
      </c>
      <c r="ED36" s="71">
        <f>IFERROR(s_RadSpec!$F$26*ED26,".")*$B$37</f>
        <v>0</v>
      </c>
      <c r="EE36" s="71">
        <f>IFERROR(s_RadSpec!$M$26*EE26,".")*$B$37</f>
        <v>1.6773368745205479E-12</v>
      </c>
      <c r="EF36" s="71">
        <f>s_b2w!CC36</f>
        <v>2.0862901976280048E-6</v>
      </c>
      <c r="EG36" s="71">
        <f>IFERROR(s_RadSpec!$H$26*EG26,".")*$B$37</f>
        <v>2.63583375E-7</v>
      </c>
      <c r="EH36" s="71">
        <f>IFERROR(s_RadSpec!$H$26*EH26,".")*$B$37</f>
        <v>1.2739863125E-4</v>
      </c>
      <c r="EI36" s="71">
        <f>IFERROR(s_RadSpec!$H$26*EI26,".")*$B$37</f>
        <v>5.0520146874999999E-11</v>
      </c>
      <c r="EJ36" s="71">
        <f>IFERROR(s_RadSpec!$H$26*EJ26,".")*$B$37</f>
        <v>1.0662757888349517E-12</v>
      </c>
      <c r="EK36" s="71">
        <f>IFERROR(s_RadSpec!$H$26*EK26,".")*$B$37</f>
        <v>0</v>
      </c>
      <c r="EL36" s="71">
        <f>IFERROR(s_RadSpec!$H$26*EL26,".")*$B$37</f>
        <v>0</v>
      </c>
      <c r="EM36" s="71">
        <f>IFERROR(s_RadSpec!$H$26*EM26,".")*$B$37</f>
        <v>0</v>
      </c>
      <c r="EN36" s="71">
        <f>IFERROR(s_RadSpec!$H$26*EN26,".")*$B$37</f>
        <v>0</v>
      </c>
      <c r="EO36" s="71">
        <f>IFERROR(s_RadSpec!$H$26*EO26,".")*$B$37</f>
        <v>0</v>
      </c>
      <c r="EP36" s="71">
        <f>IFERROR(s_RadSpec!$H$26*EP26,".")*$B$37</f>
        <v>2.196528125E-10</v>
      </c>
      <c r="EQ36" s="71">
        <f>IFERROR(s_RadSpec!$H$26*EQ26,".")*$B$37</f>
        <v>0</v>
      </c>
      <c r="ER36" s="49">
        <f t="shared" si="121"/>
        <v>6.1456999999999995E-6</v>
      </c>
      <c r="ES36" s="49">
        <f t="shared" si="160"/>
        <v>0</v>
      </c>
      <c r="ET36" s="49">
        <f t="shared" si="161"/>
        <v>1.6773368745205479E-12</v>
      </c>
      <c r="EU36" s="49">
        <f t="shared" si="162"/>
        <v>2.0862901976280048E-6</v>
      </c>
      <c r="EV36" s="49">
        <f t="shared" si="163"/>
        <v>2.63583375E-7</v>
      </c>
      <c r="EW36" s="49">
        <f t="shared" si="163"/>
        <v>1.2739863125E-4</v>
      </c>
      <c r="EX36" s="49">
        <f t="shared" si="126"/>
        <v>5.0520146874999999E-11</v>
      </c>
      <c r="EY36" s="49">
        <f t="shared" si="127"/>
        <v>1.0662757888349517E-12</v>
      </c>
      <c r="EZ36" s="49">
        <f t="shared" si="128"/>
        <v>0</v>
      </c>
      <c r="FA36" s="49">
        <f t="shared" si="129"/>
        <v>0</v>
      </c>
      <c r="FB36" s="49">
        <f t="shared" si="130"/>
        <v>0</v>
      </c>
      <c r="FC36" s="49">
        <f t="shared" si="131"/>
        <v>0</v>
      </c>
      <c r="FD36" s="49">
        <f t="shared" si="132"/>
        <v>0</v>
      </c>
      <c r="FE36" s="49">
        <f t="shared" si="133"/>
        <v>2.196528125E-10</v>
      </c>
      <c r="FF36" s="49">
        <f t="shared" si="134"/>
        <v>0</v>
      </c>
      <c r="FG36" s="49">
        <f t="shared" si="135"/>
        <v>1.3589447773920004E-4</v>
      </c>
      <c r="FH36" s="60">
        <f>IFERROR(FH26/$B36,0)</f>
        <v>2.8555960759350591E-2</v>
      </c>
      <c r="FI36" s="60">
        <f>IFERROR(FI26/$B36,0)</f>
        <v>106153.07957089211</v>
      </c>
      <c r="FJ36" s="60">
        <f>IFERROR(FJ26/$B36,0)</f>
        <v>2.8555953077588753E-2</v>
      </c>
      <c r="FK36" s="71">
        <f>IFERROR(s_RadSpec!$F$26*FK26,".")*$B$37</f>
        <v>1.7509479166666667E-3</v>
      </c>
      <c r="FL36" s="71">
        <f>IFERROR(s_RadSpec!$K$26*FL26,".")*$B$37</f>
        <v>4.7101789417808225E-10</v>
      </c>
      <c r="FM36" s="49">
        <f t="shared" si="165"/>
        <v>1.7509479166666667E-3</v>
      </c>
      <c r="FN36" s="49">
        <f t="shared" si="165"/>
        <v>4.7101789417808225E-10</v>
      </c>
      <c r="FO36" s="49">
        <f t="shared" si="166"/>
        <v>1.7509483876845609E-3</v>
      </c>
    </row>
    <row r="37" spans="1:171" x14ac:dyDescent="0.25">
      <c r="A37" s="83" t="s">
        <v>1079</v>
      </c>
      <c r="B37" s="42">
        <v>1</v>
      </c>
      <c r="C37" s="42"/>
      <c r="D37" s="60">
        <f t="shared" ref="D37:O37" si="180">IFERROR(D22/$B37,0)</f>
        <v>0.53822616801806289</v>
      </c>
      <c r="E37" s="60">
        <f t="shared" si="180"/>
        <v>2.1529046720722516</v>
      </c>
      <c r="F37" s="60">
        <f t="shared" si="180"/>
        <v>2.1529046720722516</v>
      </c>
      <c r="G37" s="60">
        <f t="shared" si="180"/>
        <v>2.1529046720722516</v>
      </c>
      <c r="H37" s="60">
        <f t="shared" si="180"/>
        <v>2.1529046720722516</v>
      </c>
      <c r="I37" s="60">
        <f t="shared" si="180"/>
        <v>2.1529046720722516</v>
      </c>
      <c r="J37" s="60">
        <f t="shared" si="180"/>
        <v>2.1529046720722516</v>
      </c>
      <c r="K37" s="60">
        <f t="shared" ref="K37" si="181">IFERROR(K22/$B37,0)</f>
        <v>2.1529046720722516</v>
      </c>
      <c r="L37" s="60">
        <f t="shared" si="180"/>
        <v>2.1529046720722516</v>
      </c>
      <c r="M37" s="60">
        <f t="shared" si="180"/>
        <v>2.1529046720722516</v>
      </c>
      <c r="N37" s="60">
        <f t="shared" si="180"/>
        <v>2.1529046720722516</v>
      </c>
      <c r="O37" s="60">
        <f t="shared" si="180"/>
        <v>2.1529046720722516</v>
      </c>
      <c r="P37" s="71">
        <f>s_dir!BC37</f>
        <v>9.289775E-5</v>
      </c>
      <c r="Q37" s="71">
        <f>IFERROR(s_RadSpec!$H$22*Q22,".")*$B$37</f>
        <v>2.32244375E-5</v>
      </c>
      <c r="R37" s="71">
        <f>IFERROR(s_RadSpec!$H$22*R22,".")*$B$37</f>
        <v>2.32244375E-5</v>
      </c>
      <c r="S37" s="71">
        <f>IFERROR(s_RadSpec!$H$22*S22,".")*$B$37</f>
        <v>2.32244375E-5</v>
      </c>
      <c r="T37" s="71">
        <f>IFERROR(s_RadSpec!$H$22*T22,".")*$B$37</f>
        <v>2.32244375E-5</v>
      </c>
      <c r="U37" s="71">
        <f>IFERROR(s_RadSpec!$H$22*U22,".")*$B$37</f>
        <v>2.32244375E-5</v>
      </c>
      <c r="V37" s="71">
        <f>IFERROR(s_RadSpec!$H$22*V22,".")*$B$37</f>
        <v>2.32244375E-5</v>
      </c>
      <c r="W37" s="71">
        <f>IFERROR(s_RadSpec!$H$22*W22,".")*$B$37</f>
        <v>2.32244375E-5</v>
      </c>
      <c r="X37" s="71">
        <f>IFERROR(s_RadSpec!$H$22*X22,".")*$B$37</f>
        <v>2.32244375E-5</v>
      </c>
      <c r="Y37" s="71">
        <f>IFERROR(s_RadSpec!$H$22*Y22,".")*$B$37</f>
        <v>2.32244375E-5</v>
      </c>
      <c r="Z37" s="71">
        <f>IFERROR(s_RadSpec!$H$22*Z22,".")*$B$37</f>
        <v>2.32244375E-5</v>
      </c>
      <c r="AA37" s="71">
        <f>IFERROR(s_RadSpec!$H$22*AA22,".")*$B$37</f>
        <v>2.32244375E-5</v>
      </c>
      <c r="AB37" s="49">
        <f t="shared" si="138"/>
        <v>9.289775E-5</v>
      </c>
      <c r="AC37" s="49">
        <f t="shared" si="139"/>
        <v>2.32244375E-5</v>
      </c>
      <c r="AD37" s="49">
        <f t="shared" si="140"/>
        <v>2.32244375E-5</v>
      </c>
      <c r="AE37" s="49">
        <f t="shared" si="141"/>
        <v>2.32244375E-5</v>
      </c>
      <c r="AF37" s="49">
        <f t="shared" si="142"/>
        <v>2.32244375E-5</v>
      </c>
      <c r="AG37" s="49">
        <f t="shared" si="143"/>
        <v>2.32244375E-5</v>
      </c>
      <c r="AH37" s="49">
        <f t="shared" si="144"/>
        <v>2.32244375E-5</v>
      </c>
      <c r="AI37" s="49">
        <f t="shared" si="145"/>
        <v>2.32244375E-5</v>
      </c>
      <c r="AJ37" s="49">
        <f t="shared" si="146"/>
        <v>2.32244375E-5</v>
      </c>
      <c r="AK37" s="49">
        <f t="shared" si="147"/>
        <v>2.32244375E-5</v>
      </c>
      <c r="AL37" s="49">
        <f t="shared" si="148"/>
        <v>2.32244375E-5</v>
      </c>
      <c r="AM37" s="49">
        <f t="shared" si="149"/>
        <v>2.32244375E-5</v>
      </c>
      <c r="AN37" s="60">
        <f t="shared" ref="AN37:BB37" si="182">IFERROR(AN22/$B37,0)</f>
        <v>682.02705260304151</v>
      </c>
      <c r="AO37" s="60">
        <f t="shared" si="182"/>
        <v>59061.73372824442</v>
      </c>
      <c r="AP37" s="60">
        <f t="shared" si="182"/>
        <v>52145648818.922874</v>
      </c>
      <c r="AQ37" s="60">
        <f t="shared" si="182"/>
        <v>21.775105411876723</v>
      </c>
      <c r="AR37" s="60">
        <f>IFERROR(AR22/$B37,0)</f>
        <v>0.53822616801806289</v>
      </c>
      <c r="AS37" s="60">
        <f>IFERROR(AS22/$B37,0)</f>
        <v>2.1529046720722516E-2</v>
      </c>
      <c r="AT37" s="60">
        <f>IFERROR(AT22/$B37,0)</f>
        <v>14.080263594834506</v>
      </c>
      <c r="AU37" s="60">
        <f>IFERROR(AU22/$B37,0)</f>
        <v>64.880372511987417</v>
      </c>
      <c r="AV37" s="60">
        <f>IFERROR(AV22/$B37,0)</f>
        <v>0</v>
      </c>
      <c r="AW37" s="60">
        <f t="shared" si="182"/>
        <v>0</v>
      </c>
      <c r="AX37" s="60">
        <f t="shared" si="182"/>
        <v>0</v>
      </c>
      <c r="AY37" s="60">
        <f t="shared" si="182"/>
        <v>0</v>
      </c>
      <c r="AZ37" s="60">
        <f>IFERROR(AZ22/$B37,0)</f>
        <v>0</v>
      </c>
      <c r="BA37" s="60">
        <f t="shared" si="182"/>
        <v>4.7872896222437324</v>
      </c>
      <c r="BB37" s="60">
        <f t="shared" si="182"/>
        <v>0</v>
      </c>
      <c r="BC37" s="118">
        <f t="shared" si="63"/>
        <v>1.4662175000000001E-3</v>
      </c>
      <c r="BD37" s="118">
        <f t="shared" si="64"/>
        <v>1.6931436598207773E-5</v>
      </c>
      <c r="BE37" s="118">
        <f t="shared" si="65"/>
        <v>1.9177055471541376E-11</v>
      </c>
      <c r="BF37" s="118">
        <f t="shared" si="66"/>
        <v>4.5924002712499995E-2</v>
      </c>
      <c r="BG37" s="118">
        <f t="shared" si="67"/>
        <v>1.857955</v>
      </c>
      <c r="BH37" s="118">
        <f t="shared" si="68"/>
        <v>46.448874999999994</v>
      </c>
      <c r="BI37" s="118">
        <f t="shared" si="69"/>
        <v>7.102139766522983E-2</v>
      </c>
      <c r="BJ37" s="118">
        <f t="shared" si="70"/>
        <v>1.5412981789141826E-2</v>
      </c>
      <c r="BK37" s="118" t="str">
        <f t="shared" si="71"/>
        <v>.</v>
      </c>
      <c r="BL37" s="118" t="str">
        <f t="shared" si="72"/>
        <v>.</v>
      </c>
      <c r="BM37" s="118" t="str">
        <f t="shared" si="73"/>
        <v>.</v>
      </c>
      <c r="BN37" s="118" t="str">
        <f t="shared" si="74"/>
        <v>.</v>
      </c>
      <c r="BO37" s="118" t="str">
        <f t="shared" si="75"/>
        <v>.</v>
      </c>
      <c r="BP37" s="118">
        <f t="shared" si="76"/>
        <v>0.20888646372126421</v>
      </c>
      <c r="BQ37" s="118" t="str">
        <f t="shared" si="77"/>
        <v>.</v>
      </c>
      <c r="BR37" s="60">
        <f t="shared" si="46"/>
        <v>2.0555171335903698E-2</v>
      </c>
      <c r="BS37" s="71">
        <f>IFERROR(s_RadSpec!$E$22*BS22,".")*$B$37</f>
        <v>7.3310874999999997E-8</v>
      </c>
      <c r="BT37" s="71">
        <f>IFERROR(s_RadSpec!$F$22*BT22,".")*$B$37</f>
        <v>8.4657182991038862E-10</v>
      </c>
      <c r="BU37" s="71">
        <f>IFERROR(s_RadSpec!$G$22*BU22,".")*$B$37</f>
        <v>9.5885277357706876E-16</v>
      </c>
      <c r="BV37" s="71">
        <f>s_b2s!CC37</f>
        <v>2.2962001356250001E-6</v>
      </c>
      <c r="BW37" s="71">
        <f>IFERROR(s_RadSpec!$H$22*BW22,".")*$B$37</f>
        <v>9.289775E-5</v>
      </c>
      <c r="BX37" s="71">
        <f>IFERROR(s_RadSpec!$H$22*BX22,".")*$B$37</f>
        <v>2.32244375E-3</v>
      </c>
      <c r="BY37" s="71">
        <f>IFERROR(s_RadSpec!$H$22*BY22,".")*$B$37</f>
        <v>3.5510698832614921E-6</v>
      </c>
      <c r="BZ37" s="71">
        <f>IFERROR(s_RadSpec!$H$22*BZ22,".")*$B$37</f>
        <v>7.7064908945709123E-7</v>
      </c>
      <c r="CA37" s="71">
        <f>IFERROR(s_RadSpec!$H$22*CA22,".")*$B$37</f>
        <v>0</v>
      </c>
      <c r="CB37" s="71">
        <f>IFERROR(s_RadSpec!$H$22*CB22,".")*$B$37</f>
        <v>0</v>
      </c>
      <c r="CC37" s="71">
        <f>IFERROR(s_RadSpec!$H$22*CC22,".")*$B$37</f>
        <v>0</v>
      </c>
      <c r="CD37" s="71">
        <f>IFERROR(s_RadSpec!$H$22*CD22,".")*$B$37</f>
        <v>0</v>
      </c>
      <c r="CE37" s="71">
        <f>IFERROR(s_RadSpec!$H$22*CE22,".")*$B$37</f>
        <v>0</v>
      </c>
      <c r="CF37" s="71">
        <f>IFERROR(s_RadSpec!$H$22*CF22,".")*$B$37</f>
        <v>1.044432318606321E-5</v>
      </c>
      <c r="CG37" s="71">
        <f>IFERROR(s_RadSpec!$H$22*CG22,".")*$B$37</f>
        <v>0</v>
      </c>
      <c r="CH37" s="49">
        <f t="shared" si="153"/>
        <v>7.3310874999999997E-8</v>
      </c>
      <c r="CI37" s="49">
        <f t="shared" si="154"/>
        <v>8.4657182991038862E-10</v>
      </c>
      <c r="CJ37" s="49">
        <f t="shared" si="155"/>
        <v>9.5885277357706876E-16</v>
      </c>
      <c r="CK37" s="49">
        <f t="shared" si="156"/>
        <v>2.2962001356250001E-6</v>
      </c>
      <c r="CL37" s="49">
        <f t="shared" si="157"/>
        <v>9.289775E-5</v>
      </c>
      <c r="CM37" s="49">
        <f t="shared" si="157"/>
        <v>2.32244375E-3</v>
      </c>
      <c r="CN37" s="49">
        <f t="shared" si="110"/>
        <v>3.5510698832614921E-6</v>
      </c>
      <c r="CO37" s="49">
        <f t="shared" si="111"/>
        <v>7.7064908945709123E-7</v>
      </c>
      <c r="CP37" s="49">
        <f t="shared" si="112"/>
        <v>0</v>
      </c>
      <c r="CQ37" s="49">
        <f t="shared" si="113"/>
        <v>0</v>
      </c>
      <c r="CR37" s="49">
        <f t="shared" si="114"/>
        <v>0</v>
      </c>
      <c r="CS37" s="49">
        <f t="shared" si="115"/>
        <v>0</v>
      </c>
      <c r="CT37" s="49">
        <f t="shared" si="116"/>
        <v>0</v>
      </c>
      <c r="CU37" s="49">
        <f t="shared" si="117"/>
        <v>1.044432318606321E-5</v>
      </c>
      <c r="CV37" s="49">
        <f t="shared" si="118"/>
        <v>0</v>
      </c>
      <c r="CW37" s="49">
        <f t="shared" si="119"/>
        <v>2.4324778997421958E-3</v>
      </c>
      <c r="CX37" s="60">
        <f t="shared" ref="CX37:DL37" si="183">IFERROR(CX22/$B37,0)</f>
        <v>15.902928524287749</v>
      </c>
      <c r="CY37" s="60" t="str">
        <f>IFERROR(CY22,".")</f>
        <v>.</v>
      </c>
      <c r="CZ37" s="60">
        <f t="shared" si="183"/>
        <v>469720066.28304535</v>
      </c>
      <c r="DA37" s="60">
        <f t="shared" si="183"/>
        <v>38.649753975149792</v>
      </c>
      <c r="DB37" s="60">
        <f>IFERROR(DB22/$B37,0)</f>
        <v>538.22616801806282</v>
      </c>
      <c r="DC37" s="60">
        <f>IFERROR(DC22/$B37,0)</f>
        <v>21.529046720722516</v>
      </c>
      <c r="DD37" s="60">
        <f>IFERROR(DD22/$B37,0)</f>
        <v>253282.90259673554</v>
      </c>
      <c r="DE37" s="60">
        <f>IFERROR(DE22/$B37,0)</f>
        <v>1167100.9538075889</v>
      </c>
      <c r="DF37" s="60">
        <f>IFERROR(DF22/$B37,0)</f>
        <v>0</v>
      </c>
      <c r="DG37" s="60">
        <f t="shared" si="183"/>
        <v>0</v>
      </c>
      <c r="DH37" s="60">
        <f t="shared" si="183"/>
        <v>0</v>
      </c>
      <c r="DI37" s="60">
        <f t="shared" si="183"/>
        <v>0</v>
      </c>
      <c r="DJ37" s="60">
        <f>IFERROR(DJ22/$B37,0)</f>
        <v>0</v>
      </c>
      <c r="DK37" s="60">
        <f t="shared" si="183"/>
        <v>86116.186882890062</v>
      </c>
      <c r="DL37" s="60">
        <f t="shared" si="183"/>
        <v>0</v>
      </c>
      <c r="DM37" s="118">
        <f t="shared" si="80"/>
        <v>6.2881499999999993E-2</v>
      </c>
      <c r="DN37" s="118" t="str">
        <f t="shared" si="81"/>
        <v>.</v>
      </c>
      <c r="DO37" s="118">
        <f t="shared" si="82"/>
        <v>2.1289275715068494E-9</v>
      </c>
      <c r="DP37" s="118">
        <f t="shared" si="83"/>
        <v>2.5873385911924795E-2</v>
      </c>
      <c r="DQ37" s="118">
        <f t="shared" si="84"/>
        <v>1.8579550000000001E-3</v>
      </c>
      <c r="DR37" s="118">
        <f t="shared" si="85"/>
        <v>4.6448875000000001E-2</v>
      </c>
      <c r="DS37" s="118">
        <f t="shared" si="86"/>
        <v>3.9481543749999991E-6</v>
      </c>
      <c r="DT37" s="118">
        <f t="shared" si="87"/>
        <v>8.5682390776699035E-7</v>
      </c>
      <c r="DU37" s="118" t="str">
        <f t="shared" si="88"/>
        <v>.</v>
      </c>
      <c r="DV37" s="118" t="str">
        <f t="shared" si="89"/>
        <v>.</v>
      </c>
      <c r="DW37" s="118" t="str">
        <f t="shared" si="90"/>
        <v>.</v>
      </c>
      <c r="DX37" s="118" t="str">
        <f t="shared" si="91"/>
        <v>.</v>
      </c>
      <c r="DY37" s="118" t="str">
        <f t="shared" si="92"/>
        <v>.</v>
      </c>
      <c r="DZ37" s="118">
        <f t="shared" si="93"/>
        <v>1.161221875E-5</v>
      </c>
      <c r="EA37" s="118" t="str">
        <f t="shared" si="94"/>
        <v>.</v>
      </c>
      <c r="EB37" s="60">
        <f t="shared" si="47"/>
        <v>7.2951094517342376</v>
      </c>
      <c r="EC37" s="71">
        <f>IFERROR(s_RadSpec!$I$22*EC22,".")*$B$37</f>
        <v>3.144075E-6</v>
      </c>
      <c r="ED37" s="71">
        <f>IFERROR(s_RadSpec!$F$22*ED22,".")*$B$37</f>
        <v>0</v>
      </c>
      <c r="EE37" s="71">
        <f>IFERROR(s_RadSpec!$M$22*EE22,".")*$B$37</f>
        <v>1.0644637857534246E-13</v>
      </c>
      <c r="EF37" s="71">
        <f>s_b2w!CC37</f>
        <v>1.2936692955962397E-6</v>
      </c>
      <c r="EG37" s="71">
        <f>IFERROR(s_RadSpec!$H$22*EG22,".")*$B$37</f>
        <v>9.2897749999999996E-8</v>
      </c>
      <c r="EH37" s="71">
        <f>IFERROR(s_RadSpec!$H$22*EH22,".")*$B$37</f>
        <v>2.3224437500000001E-6</v>
      </c>
      <c r="EI37" s="71">
        <f>IFERROR(s_RadSpec!$H$22*EI22,".")*$B$37</f>
        <v>1.9740771875000002E-10</v>
      </c>
      <c r="EJ37" s="71">
        <f>IFERROR(s_RadSpec!$H$22*EJ22,".")*$B$37</f>
        <v>4.2841195388349519E-11</v>
      </c>
      <c r="EK37" s="71">
        <f>IFERROR(s_RadSpec!$H$22*EK22,".")*$B$37</f>
        <v>0</v>
      </c>
      <c r="EL37" s="71">
        <f>IFERROR(s_RadSpec!$H$22*EL22,".")*$B$37</f>
        <v>0</v>
      </c>
      <c r="EM37" s="71">
        <f>IFERROR(s_RadSpec!$H$22*EM22,".")*$B$37</f>
        <v>0</v>
      </c>
      <c r="EN37" s="71">
        <f>IFERROR(s_RadSpec!$H$22*EN22,".")*$B$37</f>
        <v>0</v>
      </c>
      <c r="EO37" s="71">
        <f>IFERROR(s_RadSpec!$H$22*EO22,".")*$B$37</f>
        <v>0</v>
      </c>
      <c r="EP37" s="71">
        <f>IFERROR(s_RadSpec!$H$22*EP22,".")*$B$37</f>
        <v>5.8061093750000001E-10</v>
      </c>
      <c r="EQ37" s="71">
        <f>IFERROR(s_RadSpec!$H$22*EQ22,".")*$B$37</f>
        <v>0</v>
      </c>
      <c r="ER37" s="49">
        <f t="shared" si="121"/>
        <v>3.144075E-6</v>
      </c>
      <c r="ES37" s="49">
        <f t="shared" si="160"/>
        <v>0</v>
      </c>
      <c r="ET37" s="49">
        <f t="shared" si="161"/>
        <v>1.0644637857534246E-13</v>
      </c>
      <c r="EU37" s="49">
        <f t="shared" si="162"/>
        <v>1.2936692955962397E-6</v>
      </c>
      <c r="EV37" s="49">
        <f t="shared" si="163"/>
        <v>9.2897749999999996E-8</v>
      </c>
      <c r="EW37" s="49">
        <f t="shared" si="163"/>
        <v>2.3224437500000001E-6</v>
      </c>
      <c r="EX37" s="49">
        <f t="shared" si="126"/>
        <v>1.9740771875000002E-10</v>
      </c>
      <c r="EY37" s="49">
        <f t="shared" si="127"/>
        <v>4.2841195388349519E-11</v>
      </c>
      <c r="EZ37" s="49">
        <f t="shared" si="128"/>
        <v>0</v>
      </c>
      <c r="FA37" s="49">
        <f t="shared" si="129"/>
        <v>0</v>
      </c>
      <c r="FB37" s="49">
        <f t="shared" si="130"/>
        <v>0</v>
      </c>
      <c r="FC37" s="49">
        <f t="shared" si="131"/>
        <v>0</v>
      </c>
      <c r="FD37" s="49">
        <f t="shared" si="132"/>
        <v>0</v>
      </c>
      <c r="FE37" s="49">
        <f t="shared" si="133"/>
        <v>5.8061093750000001E-10</v>
      </c>
      <c r="FF37" s="49">
        <f t="shared" si="134"/>
        <v>0</v>
      </c>
      <c r="FG37" s="49">
        <f t="shared" si="135"/>
        <v>6.8539067618942567E-6</v>
      </c>
      <c r="FH37" s="60">
        <f>IFERROR(FH22/$B37,0)</f>
        <v>0.19064234057161925</v>
      </c>
      <c r="FI37" s="60">
        <f>IFERROR(FI22/$B37,0)</f>
        <v>1726667.1803619796</v>
      </c>
      <c r="FJ37" s="60">
        <f>IFERROR(FJ22/$B37,0)</f>
        <v>0.19064231952268842</v>
      </c>
      <c r="FK37" s="71">
        <f>IFERROR(s_RadSpec!$F$22*FK22,".")*$B$37</f>
        <v>2.6227122395833333E-4</v>
      </c>
      <c r="FL37" s="71">
        <f>IFERROR(s_RadSpec!$K$22*FL22,".")*$B$37</f>
        <v>2.8957520342465756E-11</v>
      </c>
      <c r="FM37" s="49">
        <f t="shared" si="165"/>
        <v>2.6227122395833333E-4</v>
      </c>
      <c r="FN37" s="49">
        <f t="shared" si="165"/>
        <v>2.8957520342465756E-11</v>
      </c>
      <c r="FO37" s="49">
        <f t="shared" si="166"/>
        <v>2.6227125291585369E-4</v>
      </c>
    </row>
    <row r="38" spans="1:171" x14ac:dyDescent="0.25">
      <c r="A38" s="83" t="s">
        <v>1080</v>
      </c>
      <c r="B38" s="42">
        <v>1</v>
      </c>
      <c r="C38" s="42"/>
      <c r="D38" s="60">
        <f t="shared" ref="D38:O38" si="184">IFERROR(D2/$B38,0)</f>
        <v>0.3043104355960437</v>
      </c>
      <c r="E38" s="60">
        <f t="shared" si="184"/>
        <v>1.2172417423841748</v>
      </c>
      <c r="F38" s="60">
        <f t="shared" si="184"/>
        <v>1.2172417423841748</v>
      </c>
      <c r="G38" s="60">
        <f t="shared" si="184"/>
        <v>1.2172417423841748</v>
      </c>
      <c r="H38" s="60">
        <f t="shared" si="184"/>
        <v>1.2172417423841748</v>
      </c>
      <c r="I38" s="60">
        <f t="shared" si="184"/>
        <v>1.2172417423841748</v>
      </c>
      <c r="J38" s="60">
        <f t="shared" si="184"/>
        <v>1.2172417423841748</v>
      </c>
      <c r="K38" s="60">
        <f t="shared" ref="K38" si="185">IFERROR(K2/$B38,0)</f>
        <v>1.2172417423841748</v>
      </c>
      <c r="L38" s="60">
        <f t="shared" si="184"/>
        <v>1.2172417423841748</v>
      </c>
      <c r="M38" s="60">
        <f t="shared" si="184"/>
        <v>1.2172417423841748</v>
      </c>
      <c r="N38" s="60">
        <f t="shared" si="184"/>
        <v>1.2172417423841748</v>
      </c>
      <c r="O38" s="60">
        <f t="shared" si="184"/>
        <v>1.2172417423841748</v>
      </c>
      <c r="P38" s="71">
        <f>s_dir!BC38</f>
        <v>1.6430590000000002E-4</v>
      </c>
      <c r="Q38" s="71">
        <f>IFERROR(s_RadSpec!$H$2*Q2,".")*$B$38</f>
        <v>4.1076475000000004E-5</v>
      </c>
      <c r="R38" s="71">
        <f>IFERROR(s_RadSpec!$H$2*R2,".")*$B$38</f>
        <v>4.1076475000000004E-5</v>
      </c>
      <c r="S38" s="71">
        <f>IFERROR(s_RadSpec!$H$2*S2,".")*$B$38</f>
        <v>4.1076475000000004E-5</v>
      </c>
      <c r="T38" s="71">
        <f>IFERROR(s_RadSpec!$H$2*T2,".")*$B$38</f>
        <v>4.1076475000000004E-5</v>
      </c>
      <c r="U38" s="71">
        <f>IFERROR(s_RadSpec!$H$2*U2,".")*$B$38</f>
        <v>4.1076475000000004E-5</v>
      </c>
      <c r="V38" s="71">
        <f>IFERROR(s_RadSpec!$H$2*V2,".")*$B$38</f>
        <v>4.1076475000000004E-5</v>
      </c>
      <c r="W38" s="71">
        <f>IFERROR(s_RadSpec!$H$2*W2,".")*$B$38</f>
        <v>4.1076475000000004E-5</v>
      </c>
      <c r="X38" s="71">
        <f>IFERROR(s_RadSpec!$H$2*X2,".")*$B$38</f>
        <v>4.1076475000000004E-5</v>
      </c>
      <c r="Y38" s="71">
        <f>IFERROR(s_RadSpec!$H$2*Y2,".")*$B$38</f>
        <v>4.1076475000000004E-5</v>
      </c>
      <c r="Z38" s="71">
        <f>IFERROR(s_RadSpec!$H$2*Z2,".")*$B$38</f>
        <v>4.1076475000000004E-5</v>
      </c>
      <c r="AA38" s="71">
        <f>IFERROR(s_RadSpec!$H$2*AA2,".")*$B$38</f>
        <v>4.1076475000000004E-5</v>
      </c>
      <c r="AB38" s="49">
        <f t="shared" si="138"/>
        <v>1.6430590000000002E-4</v>
      </c>
      <c r="AC38" s="49">
        <f t="shared" si="139"/>
        <v>4.1076475000000004E-5</v>
      </c>
      <c r="AD38" s="49">
        <f t="shared" si="140"/>
        <v>4.1076475000000004E-5</v>
      </c>
      <c r="AE38" s="49">
        <f t="shared" si="141"/>
        <v>4.1076475000000004E-5</v>
      </c>
      <c r="AF38" s="49">
        <f t="shared" si="142"/>
        <v>4.1076475000000004E-5</v>
      </c>
      <c r="AG38" s="49">
        <f t="shared" si="143"/>
        <v>4.1076475000000004E-5</v>
      </c>
      <c r="AH38" s="49">
        <f t="shared" si="144"/>
        <v>4.1076475000000004E-5</v>
      </c>
      <c r="AI38" s="49">
        <f t="shared" si="145"/>
        <v>4.1076475000000004E-5</v>
      </c>
      <c r="AJ38" s="49">
        <f t="shared" si="146"/>
        <v>4.1076475000000004E-5</v>
      </c>
      <c r="AK38" s="49">
        <f t="shared" si="147"/>
        <v>4.1076475000000004E-5</v>
      </c>
      <c r="AL38" s="49">
        <f t="shared" si="148"/>
        <v>4.1076475000000004E-5</v>
      </c>
      <c r="AM38" s="49">
        <f t="shared" si="149"/>
        <v>4.1076475000000004E-5</v>
      </c>
      <c r="AN38" s="60">
        <f t="shared" ref="AN38:BB38" si="186">IFERROR(AN2/$B38,0)</f>
        <v>338.43009049620622</v>
      </c>
      <c r="AO38" s="60">
        <f t="shared" si="186"/>
        <v>54088.919359933687</v>
      </c>
      <c r="AP38" s="60">
        <f t="shared" si="186"/>
        <v>8546.7861684584223</v>
      </c>
      <c r="AQ38" s="60">
        <f t="shared" si="186"/>
        <v>20.986926592830603</v>
      </c>
      <c r="AR38" s="60">
        <f>IFERROR(AR2/$B38,0)</f>
        <v>137.95406413687314</v>
      </c>
      <c r="AS38" s="60">
        <f>IFERROR(AS2/$B38,0)</f>
        <v>0</v>
      </c>
      <c r="AT38" s="60">
        <f>IFERROR(AT2/$B38,0)</f>
        <v>608.62087119208741</v>
      </c>
      <c r="AU38" s="60">
        <f>IFERROR(AU2/$B38,0)</f>
        <v>6268.7949732785019</v>
      </c>
      <c r="AV38" s="60">
        <f>IFERROR(AV2/$B38,0)</f>
        <v>0</v>
      </c>
      <c r="AW38" s="60">
        <f t="shared" si="186"/>
        <v>0</v>
      </c>
      <c r="AX38" s="60">
        <f t="shared" si="186"/>
        <v>0</v>
      </c>
      <c r="AY38" s="60">
        <f t="shared" si="186"/>
        <v>0</v>
      </c>
      <c r="AZ38" s="60">
        <f>IFERROR(AZ2/$B38,0)</f>
        <v>0</v>
      </c>
      <c r="BA38" s="60">
        <f t="shared" si="186"/>
        <v>0</v>
      </c>
      <c r="BB38" s="60">
        <f t="shared" si="186"/>
        <v>0</v>
      </c>
      <c r="BC38" s="118">
        <f t="shared" si="63"/>
        <v>2.9548199999999999E-3</v>
      </c>
      <c r="BD38" s="118">
        <f t="shared" si="64"/>
        <v>1.8488075040758699E-5</v>
      </c>
      <c r="BE38" s="118">
        <f t="shared" si="65"/>
        <v>1.1700304421917803E-4</v>
      </c>
      <c r="BF38" s="118">
        <f t="shared" si="66"/>
        <v>4.7648710999999996E-2</v>
      </c>
      <c r="BG38" s="118">
        <f t="shared" si="67"/>
        <v>7.2487897058823537E-3</v>
      </c>
      <c r="BH38" s="118" t="str">
        <f t="shared" si="68"/>
        <v>.</v>
      </c>
      <c r="BI38" s="118">
        <f t="shared" si="69"/>
        <v>1.6430590000000001E-3</v>
      </c>
      <c r="BJ38" s="118">
        <f t="shared" si="70"/>
        <v>1.595202912621359E-4</v>
      </c>
      <c r="BK38" s="118" t="str">
        <f t="shared" si="71"/>
        <v>.</v>
      </c>
      <c r="BL38" s="118" t="str">
        <f t="shared" si="72"/>
        <v>.</v>
      </c>
      <c r="BM38" s="118" t="str">
        <f t="shared" si="73"/>
        <v>.</v>
      </c>
      <c r="BN38" s="118" t="str">
        <f t="shared" si="74"/>
        <v>.</v>
      </c>
      <c r="BO38" s="118" t="str">
        <f t="shared" si="75"/>
        <v>.</v>
      </c>
      <c r="BP38" s="118" t="str">
        <f t="shared" si="76"/>
        <v>.</v>
      </c>
      <c r="BQ38" s="118" t="str">
        <f t="shared" si="77"/>
        <v>.</v>
      </c>
      <c r="BR38" s="60">
        <f t="shared" si="46"/>
        <v>16.725095476514362</v>
      </c>
      <c r="BS38" s="71">
        <f>IFERROR(s_RadSpec!$E$2*BS2,".")*$B$38</f>
        <v>1.47741E-7</v>
      </c>
      <c r="BT38" s="71">
        <f>IFERROR(s_RadSpec!$F$2*BT2,".")*$B$38</f>
        <v>9.24403752037935E-10</v>
      </c>
      <c r="BU38" s="71">
        <f>IFERROR(s_RadSpec!$G$2*BU2,".")*$B$38</f>
        <v>5.8501522109589023E-9</v>
      </c>
      <c r="BV38" s="71">
        <f>s_b2s!CC38</f>
        <v>2.3824355500000003E-6</v>
      </c>
      <c r="BW38" s="71">
        <f>IFERROR(s_RadSpec!$H$2*BW2,".")*$B$38</f>
        <v>3.6243948529411768E-7</v>
      </c>
      <c r="BX38" s="71">
        <f>IFERROR(s_RadSpec!$H$2*BX2,".")*$B$38</f>
        <v>0</v>
      </c>
      <c r="BY38" s="71">
        <f>IFERROR(s_RadSpec!$H$2*BY2,".")*$B$38</f>
        <v>8.2152950000000012E-8</v>
      </c>
      <c r="BZ38" s="71">
        <f>IFERROR(s_RadSpec!$H$2*BZ2,".")*$B$38</f>
        <v>7.9760145631067962E-9</v>
      </c>
      <c r="CA38" s="71">
        <f>IFERROR(s_RadSpec!$H$2*CA2,".")*$B$38</f>
        <v>0</v>
      </c>
      <c r="CB38" s="71">
        <f>IFERROR(s_RadSpec!$H$2*CB2,".")*$B$38</f>
        <v>0</v>
      </c>
      <c r="CC38" s="71">
        <f>IFERROR(s_RadSpec!$H$2*CC2,".")*$B$38</f>
        <v>0</v>
      </c>
      <c r="CD38" s="71">
        <f>IFERROR(s_RadSpec!$H$2*CD2,".")*$B$38</f>
        <v>0</v>
      </c>
      <c r="CE38" s="71">
        <f>IFERROR(s_RadSpec!$H$2*CE2,".")*$B$38</f>
        <v>0</v>
      </c>
      <c r="CF38" s="71">
        <f>IFERROR(s_RadSpec!$H$2*CF2,".")*$B$38</f>
        <v>0</v>
      </c>
      <c r="CG38" s="71">
        <f>IFERROR(s_RadSpec!$H$2*CG2,".")*$B$38</f>
        <v>0</v>
      </c>
      <c r="CH38" s="49">
        <f t="shared" si="153"/>
        <v>1.47741E-7</v>
      </c>
      <c r="CI38" s="49">
        <f t="shared" si="154"/>
        <v>9.24403752037935E-10</v>
      </c>
      <c r="CJ38" s="49">
        <f t="shared" si="155"/>
        <v>5.8501522109589023E-9</v>
      </c>
      <c r="CK38" s="49">
        <f t="shared" si="156"/>
        <v>2.3824355500000003E-6</v>
      </c>
      <c r="CL38" s="49">
        <f t="shared" si="157"/>
        <v>3.6243948529411768E-7</v>
      </c>
      <c r="CM38" s="49">
        <f t="shared" si="157"/>
        <v>0</v>
      </c>
      <c r="CN38" s="49">
        <f t="shared" si="110"/>
        <v>8.2152950000000012E-8</v>
      </c>
      <c r="CO38" s="49">
        <f t="shared" si="111"/>
        <v>7.9760145631067962E-9</v>
      </c>
      <c r="CP38" s="49">
        <f t="shared" si="112"/>
        <v>0</v>
      </c>
      <c r="CQ38" s="49">
        <f t="shared" si="113"/>
        <v>0</v>
      </c>
      <c r="CR38" s="49">
        <f t="shared" si="114"/>
        <v>0</v>
      </c>
      <c r="CS38" s="49">
        <f t="shared" si="115"/>
        <v>0</v>
      </c>
      <c r="CT38" s="49">
        <f t="shared" si="116"/>
        <v>0</v>
      </c>
      <c r="CU38" s="49">
        <f t="shared" si="117"/>
        <v>0</v>
      </c>
      <c r="CV38" s="49">
        <f t="shared" si="118"/>
        <v>0</v>
      </c>
      <c r="CW38" s="49">
        <f t="shared" si="119"/>
        <v>2.9895195558202221E-6</v>
      </c>
      <c r="CX38" s="60">
        <f t="shared" ref="CX38:DL38" si="187">IFERROR(CX2/$B38,0)</f>
        <v>9.6164479726123577</v>
      </c>
      <c r="CY38" s="60" t="str">
        <f>IFERROR(CY2,".")</f>
        <v>.</v>
      </c>
      <c r="CZ38" s="60">
        <f t="shared" si="187"/>
        <v>174522399.24334234</v>
      </c>
      <c r="DA38" s="60">
        <f t="shared" si="187"/>
        <v>25.581960661560032</v>
      </c>
      <c r="DB38" s="60">
        <f>IFERROR(DB2/$B38,0)</f>
        <v>81.149449492278322</v>
      </c>
      <c r="DC38" s="60">
        <f>IFERROR(DC2/$B38,0)</f>
        <v>0</v>
      </c>
      <c r="DD38" s="60">
        <f>IFERROR(DD2/$B38,0)</f>
        <v>12172417.423841747</v>
      </c>
      <c r="DE38" s="60">
        <f>IFERROR(DE2/$B38,0)</f>
        <v>125375899.46557003</v>
      </c>
      <c r="DF38" s="60">
        <f>IFERROR(DF2/$B38,0)</f>
        <v>0</v>
      </c>
      <c r="DG38" s="60">
        <f t="shared" si="187"/>
        <v>0</v>
      </c>
      <c r="DH38" s="60">
        <f t="shared" si="187"/>
        <v>0</v>
      </c>
      <c r="DI38" s="60">
        <f t="shared" si="187"/>
        <v>0</v>
      </c>
      <c r="DJ38" s="60">
        <f>IFERROR(DJ2/$B38,0)</f>
        <v>0</v>
      </c>
      <c r="DK38" s="60">
        <f t="shared" si="187"/>
        <v>0</v>
      </c>
      <c r="DL38" s="60">
        <f t="shared" si="187"/>
        <v>0</v>
      </c>
      <c r="DM38" s="118">
        <f t="shared" si="80"/>
        <v>0.10398849999999998</v>
      </c>
      <c r="DN38" s="118" t="str">
        <f t="shared" si="81"/>
        <v>.</v>
      </c>
      <c r="DO38" s="118">
        <f t="shared" si="82"/>
        <v>5.7299235189041089E-9</v>
      </c>
      <c r="DP38" s="118">
        <f t="shared" si="83"/>
        <v>3.9090045256094073E-2</v>
      </c>
      <c r="DQ38" s="118">
        <f t="shared" si="84"/>
        <v>1.2322942500000001E-2</v>
      </c>
      <c r="DR38" s="118" t="str">
        <f t="shared" si="85"/>
        <v>.</v>
      </c>
      <c r="DS38" s="118">
        <f t="shared" si="86"/>
        <v>8.2152950000000012E-8</v>
      </c>
      <c r="DT38" s="118">
        <f t="shared" si="87"/>
        <v>7.9760145631067945E-9</v>
      </c>
      <c r="DU38" s="118" t="str">
        <f t="shared" si="88"/>
        <v>.</v>
      </c>
      <c r="DV38" s="118" t="str">
        <f t="shared" si="89"/>
        <v>.</v>
      </c>
      <c r="DW38" s="118" t="str">
        <f t="shared" si="90"/>
        <v>.</v>
      </c>
      <c r="DX38" s="118" t="str">
        <f t="shared" si="91"/>
        <v>.</v>
      </c>
      <c r="DY38" s="118" t="str">
        <f t="shared" si="92"/>
        <v>.</v>
      </c>
      <c r="DZ38" s="118" t="str">
        <f t="shared" si="93"/>
        <v>.</v>
      </c>
      <c r="EA38" s="118" t="str">
        <f t="shared" si="94"/>
        <v>.</v>
      </c>
      <c r="EB38" s="60">
        <f t="shared" si="47"/>
        <v>6.4349408592744277</v>
      </c>
      <c r="EC38" s="71">
        <f>IFERROR(s_RadSpec!$I$2*EC2,".")*$B$38</f>
        <v>5.1994249999999998E-6</v>
      </c>
      <c r="ED38" s="71">
        <f>IFERROR(s_RadSpec!$F$2*ED2,".")*$B$38</f>
        <v>0</v>
      </c>
      <c r="EE38" s="71">
        <f>IFERROR(s_RadSpec!$M$2*EE2,".")*$B$38</f>
        <v>2.8649617594520547E-13</v>
      </c>
      <c r="EF38" s="71">
        <f>s_b2w!CC38</f>
        <v>1.9545022628047038E-6</v>
      </c>
      <c r="EG38" s="71">
        <f>IFERROR(s_RadSpec!$H$2*EG2,".")*$B$38</f>
        <v>6.1614712499999997E-7</v>
      </c>
      <c r="EH38" s="71">
        <f>IFERROR(s_RadSpec!$H$2*EH2,".")*$B$38</f>
        <v>0</v>
      </c>
      <c r="EI38" s="71">
        <f>IFERROR(s_RadSpec!$H$2*EI2,".")*$B$38</f>
        <v>4.1076475000000007E-12</v>
      </c>
      <c r="EJ38" s="71">
        <f>IFERROR(s_RadSpec!$H$2*EJ2,".")*$B$38</f>
        <v>3.9880072815533981E-13</v>
      </c>
      <c r="EK38" s="71">
        <f>IFERROR(s_RadSpec!$H$2*EK2,".")*$B$38</f>
        <v>0</v>
      </c>
      <c r="EL38" s="71">
        <f>IFERROR(s_RadSpec!$H$2*EL2,".")*$B$38</f>
        <v>0</v>
      </c>
      <c r="EM38" s="71">
        <f>IFERROR(s_RadSpec!$H$2*EM2,".")*$B$38</f>
        <v>0</v>
      </c>
      <c r="EN38" s="71">
        <f>IFERROR(s_RadSpec!$H$2*EN2,".")*$B$38</f>
        <v>0</v>
      </c>
      <c r="EO38" s="71">
        <f>IFERROR(s_RadSpec!$H$2*EO2,".")*$B$38</f>
        <v>0</v>
      </c>
      <c r="EP38" s="71">
        <f>IFERROR(s_RadSpec!$H$2*EP2,".")*$B$38</f>
        <v>0</v>
      </c>
      <c r="EQ38" s="71">
        <f>IFERROR(s_RadSpec!$H$2*EQ2,".")*$B$38</f>
        <v>0</v>
      </c>
      <c r="ER38" s="49">
        <f t="shared" si="121"/>
        <v>5.1994249999999998E-6</v>
      </c>
      <c r="ES38" s="49">
        <f t="shared" si="160"/>
        <v>0</v>
      </c>
      <c r="ET38" s="49">
        <f t="shared" si="161"/>
        <v>2.8649617594520547E-13</v>
      </c>
      <c r="EU38" s="49">
        <f t="shared" si="162"/>
        <v>1.9545022628047038E-6</v>
      </c>
      <c r="EV38" s="49">
        <f t="shared" si="163"/>
        <v>6.1614712499999997E-7</v>
      </c>
      <c r="EW38" s="49">
        <f t="shared" si="163"/>
        <v>0</v>
      </c>
      <c r="EX38" s="49">
        <f t="shared" si="126"/>
        <v>4.1076475000000007E-12</v>
      </c>
      <c r="EY38" s="49">
        <f t="shared" si="127"/>
        <v>3.9880072815533981E-13</v>
      </c>
      <c r="EZ38" s="49">
        <f t="shared" si="128"/>
        <v>0</v>
      </c>
      <c r="FA38" s="49">
        <f t="shared" si="129"/>
        <v>0</v>
      </c>
      <c r="FB38" s="49">
        <f t="shared" si="130"/>
        <v>0</v>
      </c>
      <c r="FC38" s="49">
        <f t="shared" si="131"/>
        <v>0</v>
      </c>
      <c r="FD38" s="49">
        <f t="shared" si="132"/>
        <v>0</v>
      </c>
      <c r="FE38" s="49">
        <f t="shared" si="133"/>
        <v>0</v>
      </c>
      <c r="FF38" s="49">
        <f t="shared" si="134"/>
        <v>0</v>
      </c>
      <c r="FG38" s="49">
        <f t="shared" si="135"/>
        <v>7.770079180749109E-6</v>
      </c>
      <c r="FH38" s="60">
        <f>IFERROR(FH2/$B38,0)</f>
        <v>0.17459084816597772</v>
      </c>
      <c r="FI38" s="60">
        <f>IFERROR(FI2/$B38,0)</f>
        <v>618624.52266937145</v>
      </c>
      <c r="FJ38" s="60">
        <f>IFERROR(FJ2/$B38,0)</f>
        <v>0.17459079889221871</v>
      </c>
      <c r="FK38" s="71">
        <f>IFERROR(s_RadSpec!$F$2*FK2,".")*$B$38</f>
        <v>2.8638385416666668E-4</v>
      </c>
      <c r="FL38" s="71">
        <f>IFERROR(s_RadSpec!$K$2*FL2,".")*$B$38</f>
        <v>8.082447133561645E-11</v>
      </c>
      <c r="FM38" s="49">
        <f t="shared" si="165"/>
        <v>2.8638385416666668E-4</v>
      </c>
      <c r="FN38" s="49">
        <f t="shared" si="165"/>
        <v>8.082447133561645E-11</v>
      </c>
      <c r="FO38" s="49">
        <f t="shared" si="166"/>
        <v>2.8638393499113803E-4</v>
      </c>
    </row>
    <row r="39" spans="1:171" x14ac:dyDescent="0.25">
      <c r="A39" s="83" t="s">
        <v>1081</v>
      </c>
      <c r="B39" s="42">
        <v>1</v>
      </c>
      <c r="C39" s="42"/>
      <c r="D39" s="60">
        <f t="shared" ref="D39:O39" si="188">IFERROR(D11/$B39,0)</f>
        <v>0</v>
      </c>
      <c r="E39" s="60">
        <f t="shared" si="188"/>
        <v>0</v>
      </c>
      <c r="F39" s="60">
        <f t="shared" si="188"/>
        <v>0</v>
      </c>
      <c r="G39" s="60">
        <f t="shared" si="188"/>
        <v>0</v>
      </c>
      <c r="H39" s="60">
        <f t="shared" si="188"/>
        <v>0</v>
      </c>
      <c r="I39" s="60">
        <f t="shared" si="188"/>
        <v>0</v>
      </c>
      <c r="J39" s="60">
        <f t="shared" si="188"/>
        <v>0</v>
      </c>
      <c r="K39" s="60">
        <f t="shared" ref="K39" si="189">IFERROR(K11/$B39,0)</f>
        <v>0</v>
      </c>
      <c r="L39" s="60">
        <f t="shared" si="188"/>
        <v>0</v>
      </c>
      <c r="M39" s="60">
        <f t="shared" si="188"/>
        <v>0</v>
      </c>
      <c r="N39" s="60">
        <f t="shared" si="188"/>
        <v>0</v>
      </c>
      <c r="O39" s="60">
        <f t="shared" si="188"/>
        <v>0</v>
      </c>
      <c r="P39" s="71">
        <f>s_dir!BC39</f>
        <v>0</v>
      </c>
      <c r="Q39" s="71">
        <f>IFERROR(s_RadSpec!$H$11*Q11,".")*$B$39</f>
        <v>0</v>
      </c>
      <c r="R39" s="71">
        <f>IFERROR(s_RadSpec!$H$11*R11,".")*$B$39</f>
        <v>0</v>
      </c>
      <c r="S39" s="71">
        <f>IFERROR(s_RadSpec!$H$11*S11,".")*$B$39</f>
        <v>0</v>
      </c>
      <c r="T39" s="71">
        <f>IFERROR(s_RadSpec!$H$11*T11,".")*$B$39</f>
        <v>0</v>
      </c>
      <c r="U39" s="71">
        <f>IFERROR(s_RadSpec!$H$11*U11,".")*$B$39</f>
        <v>0</v>
      </c>
      <c r="V39" s="71">
        <f>IFERROR(s_RadSpec!$H$11*V11,".")*$B$39</f>
        <v>0</v>
      </c>
      <c r="W39" s="71">
        <f>IFERROR(s_RadSpec!$H$11*W11,".")*$B$39</f>
        <v>0</v>
      </c>
      <c r="X39" s="71">
        <f>IFERROR(s_RadSpec!$H$11*X11,".")*$B$39</f>
        <v>0</v>
      </c>
      <c r="Y39" s="71">
        <f>IFERROR(s_RadSpec!$H$11*Y11,".")*$B$39</f>
        <v>0</v>
      </c>
      <c r="Z39" s="71">
        <f>IFERROR(s_RadSpec!$H$11*Z11,".")*$B$39</f>
        <v>0</v>
      </c>
      <c r="AA39" s="71">
        <f>IFERROR(s_RadSpec!$H$11*AA11,".")*$B$39</f>
        <v>0</v>
      </c>
      <c r="AB39" s="49">
        <f t="shared" si="138"/>
        <v>0</v>
      </c>
      <c r="AC39" s="49">
        <f t="shared" si="139"/>
        <v>0</v>
      </c>
      <c r="AD39" s="49">
        <f t="shared" si="140"/>
        <v>0</v>
      </c>
      <c r="AE39" s="49">
        <f t="shared" si="141"/>
        <v>0</v>
      </c>
      <c r="AF39" s="49">
        <f t="shared" si="142"/>
        <v>0</v>
      </c>
      <c r="AG39" s="49">
        <f t="shared" si="143"/>
        <v>0</v>
      </c>
      <c r="AH39" s="49">
        <f t="shared" si="144"/>
        <v>0</v>
      </c>
      <c r="AI39" s="49">
        <f t="shared" si="145"/>
        <v>0</v>
      </c>
      <c r="AJ39" s="49">
        <f t="shared" si="146"/>
        <v>0</v>
      </c>
      <c r="AK39" s="49">
        <f t="shared" si="147"/>
        <v>0</v>
      </c>
      <c r="AL39" s="49">
        <f t="shared" si="148"/>
        <v>0</v>
      </c>
      <c r="AM39" s="49">
        <f t="shared" si="149"/>
        <v>0</v>
      </c>
      <c r="AN39" s="60">
        <f t="shared" ref="AN39:BB39" si="190">IFERROR(AN11/$B39,0)</f>
        <v>0</v>
      </c>
      <c r="AO39" s="60">
        <f t="shared" si="190"/>
        <v>0</v>
      </c>
      <c r="AP39" s="60">
        <f t="shared" si="190"/>
        <v>2955.9404792830969</v>
      </c>
      <c r="AQ39" s="60">
        <f t="shared" si="190"/>
        <v>0</v>
      </c>
      <c r="AR39" s="60">
        <f>IFERROR(AR11/$B39,0)</f>
        <v>0</v>
      </c>
      <c r="AS39" s="60">
        <f>IFERROR(AS11/$B39,0)</f>
        <v>0</v>
      </c>
      <c r="AT39" s="60">
        <f>IFERROR(AT11/$B39,0)</f>
        <v>0</v>
      </c>
      <c r="AU39" s="60">
        <f>IFERROR(AU11/$B39,0)</f>
        <v>0</v>
      </c>
      <c r="AV39" s="60">
        <f>IFERROR(AV11/$B39,0)</f>
        <v>0</v>
      </c>
      <c r="AW39" s="60">
        <f t="shared" si="190"/>
        <v>0</v>
      </c>
      <c r="AX39" s="60">
        <f t="shared" si="190"/>
        <v>0</v>
      </c>
      <c r="AY39" s="60">
        <f t="shared" si="190"/>
        <v>0</v>
      </c>
      <c r="AZ39" s="60">
        <f>IFERROR(AZ11/$B39,0)</f>
        <v>0</v>
      </c>
      <c r="BA39" s="60">
        <f t="shared" si="190"/>
        <v>0</v>
      </c>
      <c r="BB39" s="60">
        <f t="shared" si="190"/>
        <v>0</v>
      </c>
      <c r="BC39" s="118" t="str">
        <f t="shared" si="63"/>
        <v>.</v>
      </c>
      <c r="BD39" s="118" t="str">
        <f t="shared" si="64"/>
        <v>.</v>
      </c>
      <c r="BE39" s="118">
        <f t="shared" si="65"/>
        <v>3.3830180513057207E-4</v>
      </c>
      <c r="BF39" s="118" t="str">
        <f t="shared" si="66"/>
        <v>.</v>
      </c>
      <c r="BG39" s="118" t="str">
        <f t="shared" si="67"/>
        <v>.</v>
      </c>
      <c r="BH39" s="118" t="str">
        <f t="shared" si="68"/>
        <v>.</v>
      </c>
      <c r="BI39" s="118" t="str">
        <f t="shared" si="69"/>
        <v>.</v>
      </c>
      <c r="BJ39" s="118" t="str">
        <f t="shared" si="70"/>
        <v>.</v>
      </c>
      <c r="BK39" s="118" t="str">
        <f t="shared" si="71"/>
        <v>.</v>
      </c>
      <c r="BL39" s="118" t="str">
        <f t="shared" si="72"/>
        <v>.</v>
      </c>
      <c r="BM39" s="118" t="str">
        <f t="shared" si="73"/>
        <v>.</v>
      </c>
      <c r="BN39" s="118" t="str">
        <f t="shared" si="74"/>
        <v>.</v>
      </c>
      <c r="BO39" s="118" t="str">
        <f t="shared" si="75"/>
        <v>.</v>
      </c>
      <c r="BP39" s="118" t="str">
        <f t="shared" si="76"/>
        <v>.</v>
      </c>
      <c r="BQ39" s="118" t="str">
        <f t="shared" si="77"/>
        <v>.</v>
      </c>
      <c r="BR39" s="60">
        <f t="shared" si="46"/>
        <v>2955.9404792830969</v>
      </c>
      <c r="BS39" s="71">
        <f>IFERROR(s_RadSpec!$E$11*BS11,".")*$B$39</f>
        <v>0</v>
      </c>
      <c r="BT39" s="71">
        <f>IFERROR(s_RadSpec!$F$11*BT11,".")*$B$39</f>
        <v>0</v>
      </c>
      <c r="BU39" s="71">
        <f>IFERROR(s_RadSpec!$G$11*BU11,".")*$B$39</f>
        <v>1.6915090256528605E-8</v>
      </c>
      <c r="BV39" s="71">
        <f>s_b2s!CC39</f>
        <v>0</v>
      </c>
      <c r="BW39" s="71">
        <f>IFERROR(s_RadSpec!$H$11*BW11,".")*$B$39</f>
        <v>0</v>
      </c>
      <c r="BX39" s="71">
        <f>IFERROR(s_RadSpec!$H$11*BX11,".")*$B$39</f>
        <v>0</v>
      </c>
      <c r="BY39" s="71">
        <f>IFERROR(s_RadSpec!$H$11*BY11,".")*$B$39</f>
        <v>0</v>
      </c>
      <c r="BZ39" s="71">
        <f>IFERROR(s_RadSpec!$H$11*BZ11,".")*$B$39</f>
        <v>0</v>
      </c>
      <c r="CA39" s="71">
        <f>IFERROR(s_RadSpec!$H$11*CA11,".")*$B$39</f>
        <v>0</v>
      </c>
      <c r="CB39" s="71">
        <f>IFERROR(s_RadSpec!$H$11*CB11,".")*$B$39</f>
        <v>0</v>
      </c>
      <c r="CC39" s="71">
        <f>IFERROR(s_RadSpec!$H$11*CC11,".")*$B$39</f>
        <v>0</v>
      </c>
      <c r="CD39" s="71">
        <f>IFERROR(s_RadSpec!$H$11*CD11,".")*$B$39</f>
        <v>0</v>
      </c>
      <c r="CE39" s="71">
        <f>IFERROR(s_RadSpec!$H$11*CE11,".")*$B$39</f>
        <v>0</v>
      </c>
      <c r="CF39" s="71">
        <f>IFERROR(s_RadSpec!$H$11*CF11,".")*$B$39</f>
        <v>0</v>
      </c>
      <c r="CG39" s="71">
        <f>IFERROR(s_RadSpec!$H$11*CG11,".")*$B$39</f>
        <v>0</v>
      </c>
      <c r="CH39" s="49">
        <f t="shared" si="153"/>
        <v>0</v>
      </c>
      <c r="CI39" s="49">
        <f t="shared" si="154"/>
        <v>0</v>
      </c>
      <c r="CJ39" s="49">
        <f t="shared" si="155"/>
        <v>1.6915090256528605E-8</v>
      </c>
      <c r="CK39" s="49">
        <f t="shared" si="156"/>
        <v>0</v>
      </c>
      <c r="CL39" s="49">
        <f t="shared" si="157"/>
        <v>0</v>
      </c>
      <c r="CM39" s="49">
        <f t="shared" si="157"/>
        <v>0</v>
      </c>
      <c r="CN39" s="49">
        <f t="shared" si="110"/>
        <v>0</v>
      </c>
      <c r="CO39" s="49">
        <f t="shared" si="111"/>
        <v>0</v>
      </c>
      <c r="CP39" s="49">
        <f t="shared" si="112"/>
        <v>0</v>
      </c>
      <c r="CQ39" s="49">
        <f t="shared" si="113"/>
        <v>0</v>
      </c>
      <c r="CR39" s="49">
        <f t="shared" si="114"/>
        <v>0</v>
      </c>
      <c r="CS39" s="49">
        <f t="shared" si="115"/>
        <v>0</v>
      </c>
      <c r="CT39" s="49">
        <f t="shared" si="116"/>
        <v>0</v>
      </c>
      <c r="CU39" s="49">
        <f t="shared" si="117"/>
        <v>0</v>
      </c>
      <c r="CV39" s="49">
        <f t="shared" si="118"/>
        <v>0</v>
      </c>
      <c r="CW39" s="49">
        <f t="shared" si="119"/>
        <v>1.6915090256528605E-8</v>
      </c>
      <c r="CX39" s="60">
        <f t="shared" ref="CX39:DL39" si="191">IFERROR(CX11/$B39,0)</f>
        <v>0</v>
      </c>
      <c r="CY39" s="60" t="str">
        <f>IFERROR(CY11,".")</f>
        <v>.</v>
      </c>
      <c r="CZ39" s="60">
        <f t="shared" si="191"/>
        <v>78575292.193891913</v>
      </c>
      <c r="DA39" s="60">
        <f t="shared" si="191"/>
        <v>0</v>
      </c>
      <c r="DB39" s="60">
        <f>IFERROR(DB11/$B39,0)</f>
        <v>0</v>
      </c>
      <c r="DC39" s="60">
        <f>IFERROR(DC11/$B39,0)</f>
        <v>0</v>
      </c>
      <c r="DD39" s="60">
        <f>IFERROR(DD11/$B39,0)</f>
        <v>0</v>
      </c>
      <c r="DE39" s="60">
        <f>IFERROR(DE11/$B39,0)</f>
        <v>0</v>
      </c>
      <c r="DF39" s="60">
        <f>IFERROR(DF11/$B39,0)</f>
        <v>0</v>
      </c>
      <c r="DG39" s="60">
        <f t="shared" si="191"/>
        <v>0</v>
      </c>
      <c r="DH39" s="60">
        <f t="shared" si="191"/>
        <v>0</v>
      </c>
      <c r="DI39" s="60">
        <f t="shared" si="191"/>
        <v>0</v>
      </c>
      <c r="DJ39" s="60">
        <f>IFERROR(DJ11/$B39,0)</f>
        <v>0</v>
      </c>
      <c r="DK39" s="60">
        <f t="shared" si="191"/>
        <v>0</v>
      </c>
      <c r="DL39" s="60">
        <f t="shared" si="191"/>
        <v>0</v>
      </c>
      <c r="DM39" s="118" t="str">
        <f t="shared" si="80"/>
        <v>.</v>
      </c>
      <c r="DN39" s="118" t="str">
        <f t="shared" si="81"/>
        <v>.</v>
      </c>
      <c r="DO39" s="118">
        <f t="shared" si="82"/>
        <v>1.2726646915068493E-8</v>
      </c>
      <c r="DP39" s="118" t="str">
        <f t="shared" si="83"/>
        <v>.</v>
      </c>
      <c r="DQ39" s="118" t="str">
        <f t="shared" si="84"/>
        <v>.</v>
      </c>
      <c r="DR39" s="118" t="str">
        <f t="shared" si="85"/>
        <v>.</v>
      </c>
      <c r="DS39" s="118" t="str">
        <f t="shared" si="86"/>
        <v>.</v>
      </c>
      <c r="DT39" s="118" t="str">
        <f t="shared" si="87"/>
        <v>.</v>
      </c>
      <c r="DU39" s="118" t="str">
        <f t="shared" si="88"/>
        <v>.</v>
      </c>
      <c r="DV39" s="118" t="str">
        <f t="shared" si="89"/>
        <v>.</v>
      </c>
      <c r="DW39" s="118" t="str">
        <f t="shared" si="90"/>
        <v>.</v>
      </c>
      <c r="DX39" s="118" t="str">
        <f t="shared" si="91"/>
        <v>.</v>
      </c>
      <c r="DY39" s="118" t="str">
        <f t="shared" si="92"/>
        <v>.</v>
      </c>
      <c r="DZ39" s="118" t="str">
        <f t="shared" si="93"/>
        <v>.</v>
      </c>
      <c r="EA39" s="118" t="str">
        <f t="shared" si="94"/>
        <v>.</v>
      </c>
      <c r="EB39" s="60">
        <f t="shared" si="47"/>
        <v>78575292.193891913</v>
      </c>
      <c r="EC39" s="71">
        <f>IFERROR(s_RadSpec!$I$11*EC11,".")*$B$39</f>
        <v>0</v>
      </c>
      <c r="ED39" s="71">
        <f>IFERROR(s_RadSpec!$F$11*ED11,".")*$B$39</f>
        <v>0</v>
      </c>
      <c r="EE39" s="71">
        <f>IFERROR(s_RadSpec!$M$11*EE11,".")*$B$39</f>
        <v>6.3633234575342469E-13</v>
      </c>
      <c r="EF39" s="71">
        <f>s_b2w!CC39</f>
        <v>0</v>
      </c>
      <c r="EG39" s="71">
        <f>IFERROR(s_RadSpec!$H$11*EG11,".")*$B$39</f>
        <v>0</v>
      </c>
      <c r="EH39" s="71">
        <f>IFERROR(s_RadSpec!$H$11*EH11,".")*$B$39</f>
        <v>0</v>
      </c>
      <c r="EI39" s="71">
        <f>IFERROR(s_RadSpec!$H$11*EI11,".")*$B$39</f>
        <v>0</v>
      </c>
      <c r="EJ39" s="71">
        <f>IFERROR(s_RadSpec!$H$11*EJ11,".")*$B$39</f>
        <v>0</v>
      </c>
      <c r="EK39" s="71">
        <f>IFERROR(s_RadSpec!$H$11*EK11,".")*$B$39</f>
        <v>0</v>
      </c>
      <c r="EL39" s="71">
        <f>IFERROR(s_RadSpec!$H$11*EL11,".")*$B$39</f>
        <v>0</v>
      </c>
      <c r="EM39" s="71">
        <f>IFERROR(s_RadSpec!$H$11*EM11,".")*$B$39</f>
        <v>0</v>
      </c>
      <c r="EN39" s="71">
        <f>IFERROR(s_RadSpec!$H$11*EN11,".")*$B$39</f>
        <v>0</v>
      </c>
      <c r="EO39" s="71">
        <f>IFERROR(s_RadSpec!$H$11*EO11,".")*$B$39</f>
        <v>0</v>
      </c>
      <c r="EP39" s="71">
        <f>IFERROR(s_RadSpec!$H$11*EP11,".")*$B$39</f>
        <v>0</v>
      </c>
      <c r="EQ39" s="71">
        <f>IFERROR(s_RadSpec!$H$11*EQ11,".")*$B$39</f>
        <v>0</v>
      </c>
      <c r="ER39" s="49">
        <f t="shared" si="121"/>
        <v>0</v>
      </c>
      <c r="ES39" s="49">
        <f t="shared" si="160"/>
        <v>0</v>
      </c>
      <c r="ET39" s="49">
        <f t="shared" si="161"/>
        <v>6.3633234575342469E-13</v>
      </c>
      <c r="EU39" s="49">
        <f t="shared" si="162"/>
        <v>0</v>
      </c>
      <c r="EV39" s="49">
        <f t="shared" si="163"/>
        <v>0</v>
      </c>
      <c r="EW39" s="49">
        <f t="shared" si="163"/>
        <v>0</v>
      </c>
      <c r="EX39" s="49">
        <f t="shared" si="126"/>
        <v>0</v>
      </c>
      <c r="EY39" s="49">
        <f t="shared" si="127"/>
        <v>0</v>
      </c>
      <c r="EZ39" s="49">
        <f t="shared" si="128"/>
        <v>0</v>
      </c>
      <c r="FA39" s="49">
        <f t="shared" si="129"/>
        <v>0</v>
      </c>
      <c r="FB39" s="49">
        <f t="shared" si="130"/>
        <v>0</v>
      </c>
      <c r="FC39" s="49">
        <f t="shared" si="131"/>
        <v>0</v>
      </c>
      <c r="FD39" s="49">
        <f t="shared" si="132"/>
        <v>0</v>
      </c>
      <c r="FE39" s="49">
        <f t="shared" si="133"/>
        <v>0</v>
      </c>
      <c r="FF39" s="49">
        <f t="shared" si="134"/>
        <v>0</v>
      </c>
      <c r="FG39" s="49">
        <f t="shared" si="135"/>
        <v>6.3633234575342469E-13</v>
      </c>
      <c r="FH39" s="60">
        <f>IFERROR(FH11/$B39,0)</f>
        <v>0</v>
      </c>
      <c r="FI39" s="60">
        <f>IFERROR(FI11/$B39,0)</f>
        <v>276406.7016182298</v>
      </c>
      <c r="FJ39" s="60">
        <f>IFERROR(FJ11/$B39,0)</f>
        <v>276406.7016182298</v>
      </c>
      <c r="FK39" s="71">
        <f>IFERROR(s_RadSpec!$F$11*FK11,".")*$B$39</f>
        <v>0</v>
      </c>
      <c r="FL39" s="71">
        <f>IFERROR(s_RadSpec!$K$11*FL11,".")*$B$39</f>
        <v>1.8089286441780824E-10</v>
      </c>
      <c r="FM39" s="49">
        <f t="shared" si="165"/>
        <v>0</v>
      </c>
      <c r="FN39" s="49">
        <f t="shared" si="165"/>
        <v>1.8089286441780824E-10</v>
      </c>
      <c r="FO39" s="49">
        <f t="shared" si="166"/>
        <v>1.8089286441780824E-10</v>
      </c>
    </row>
    <row r="40" spans="1:171" x14ac:dyDescent="0.25">
      <c r="A40" s="83" t="s">
        <v>1082</v>
      </c>
      <c r="B40" s="42">
        <v>1</v>
      </c>
      <c r="C40" s="42"/>
      <c r="D40" s="60">
        <f t="shared" ref="D40:O40" si="192">IFERROR(D4/$B40,0)</f>
        <v>0</v>
      </c>
      <c r="E40" s="60">
        <f t="shared" si="192"/>
        <v>0</v>
      </c>
      <c r="F40" s="60">
        <f t="shared" si="192"/>
        <v>0</v>
      </c>
      <c r="G40" s="60">
        <f t="shared" si="192"/>
        <v>0</v>
      </c>
      <c r="H40" s="60">
        <f t="shared" si="192"/>
        <v>0</v>
      </c>
      <c r="I40" s="60">
        <f t="shared" si="192"/>
        <v>0</v>
      </c>
      <c r="J40" s="60">
        <f t="shared" si="192"/>
        <v>0</v>
      </c>
      <c r="K40" s="60">
        <f t="shared" ref="K40" si="193">IFERROR(K4/$B40,0)</f>
        <v>0</v>
      </c>
      <c r="L40" s="60">
        <f t="shared" si="192"/>
        <v>0</v>
      </c>
      <c r="M40" s="60">
        <f t="shared" si="192"/>
        <v>0</v>
      </c>
      <c r="N40" s="60">
        <f t="shared" si="192"/>
        <v>0</v>
      </c>
      <c r="O40" s="60">
        <f t="shared" si="192"/>
        <v>0</v>
      </c>
      <c r="P40" s="71">
        <f>s_dir!BC40</f>
        <v>0</v>
      </c>
      <c r="Q40" s="71">
        <f>IFERROR(s_RadSpec!$H$4*Q4,".")*$B$40</f>
        <v>0</v>
      </c>
      <c r="R40" s="71">
        <f>IFERROR(s_RadSpec!$H$4*R4,".")*$B$40</f>
        <v>0</v>
      </c>
      <c r="S40" s="71">
        <f>IFERROR(s_RadSpec!$H$4*S4,".")*$B$40</f>
        <v>0</v>
      </c>
      <c r="T40" s="71">
        <f>IFERROR(s_RadSpec!$H$4*T4,".")*$B$40</f>
        <v>0</v>
      </c>
      <c r="U40" s="71">
        <f>IFERROR(s_RadSpec!$H$4*U4,".")*$B$40</f>
        <v>0</v>
      </c>
      <c r="V40" s="71">
        <f>IFERROR(s_RadSpec!$H$4*V4,".")*$B$40</f>
        <v>0</v>
      </c>
      <c r="W40" s="71">
        <f>IFERROR(s_RadSpec!$H$4*W4,".")*$B$40</f>
        <v>0</v>
      </c>
      <c r="X40" s="71">
        <f>IFERROR(s_RadSpec!$H$4*X4,".")*$B$40</f>
        <v>0</v>
      </c>
      <c r="Y40" s="71">
        <f>IFERROR(s_RadSpec!$H$4*Y4,".")*$B$40</f>
        <v>0</v>
      </c>
      <c r="Z40" s="71">
        <f>IFERROR(s_RadSpec!$H$4*Z4,".")*$B$40</f>
        <v>0</v>
      </c>
      <c r="AA40" s="71">
        <f>IFERROR(s_RadSpec!$H$4*AA4,".")*$B$40</f>
        <v>0</v>
      </c>
      <c r="AB40" s="49">
        <f t="shared" si="138"/>
        <v>0</v>
      </c>
      <c r="AC40" s="49">
        <f t="shared" si="139"/>
        <v>0</v>
      </c>
      <c r="AD40" s="49">
        <f t="shared" si="140"/>
        <v>0</v>
      </c>
      <c r="AE40" s="49">
        <f t="shared" si="141"/>
        <v>0</v>
      </c>
      <c r="AF40" s="49">
        <f t="shared" si="142"/>
        <v>0</v>
      </c>
      <c r="AG40" s="49">
        <f t="shared" si="143"/>
        <v>0</v>
      </c>
      <c r="AH40" s="49">
        <f t="shared" si="144"/>
        <v>0</v>
      </c>
      <c r="AI40" s="49">
        <f t="shared" si="145"/>
        <v>0</v>
      </c>
      <c r="AJ40" s="49">
        <f t="shared" si="146"/>
        <v>0</v>
      </c>
      <c r="AK40" s="49">
        <f t="shared" si="147"/>
        <v>0</v>
      </c>
      <c r="AL40" s="49">
        <f t="shared" si="148"/>
        <v>0</v>
      </c>
      <c r="AM40" s="49">
        <f t="shared" si="149"/>
        <v>0</v>
      </c>
      <c r="AN40" s="60">
        <f t="shared" ref="AN40:BB40" si="194">IFERROR(AN4/$B40,0)</f>
        <v>0</v>
      </c>
      <c r="AO40" s="60">
        <f t="shared" si="194"/>
        <v>0</v>
      </c>
      <c r="AP40" s="60">
        <f t="shared" si="194"/>
        <v>183731.82605603558</v>
      </c>
      <c r="AQ40" s="60">
        <f t="shared" si="194"/>
        <v>0</v>
      </c>
      <c r="AR40" s="60">
        <f>IFERROR(AR4/$B40,0)</f>
        <v>0</v>
      </c>
      <c r="AS40" s="60">
        <f>IFERROR(AS4/$B40,0)</f>
        <v>0</v>
      </c>
      <c r="AT40" s="60">
        <f>IFERROR(AT4/$B40,0)</f>
        <v>0</v>
      </c>
      <c r="AU40" s="60">
        <f>IFERROR(AU4/$B40,0)</f>
        <v>0</v>
      </c>
      <c r="AV40" s="60">
        <f>IFERROR(AV4/$B40,0)</f>
        <v>0</v>
      </c>
      <c r="AW40" s="60">
        <f t="shared" si="194"/>
        <v>0</v>
      </c>
      <c r="AX40" s="60">
        <f t="shared" si="194"/>
        <v>0</v>
      </c>
      <c r="AY40" s="60">
        <f t="shared" si="194"/>
        <v>0</v>
      </c>
      <c r="AZ40" s="60">
        <f>IFERROR(AZ4/$B40,0)</f>
        <v>0</v>
      </c>
      <c r="BA40" s="60">
        <f t="shared" si="194"/>
        <v>0</v>
      </c>
      <c r="BB40" s="60">
        <f t="shared" si="194"/>
        <v>0</v>
      </c>
      <c r="BC40" s="118" t="str">
        <f t="shared" si="63"/>
        <v>.</v>
      </c>
      <c r="BD40" s="118" t="str">
        <f t="shared" si="64"/>
        <v>.</v>
      </c>
      <c r="BE40" s="118">
        <f t="shared" si="65"/>
        <v>5.4427151869432477E-6</v>
      </c>
      <c r="BF40" s="118" t="str">
        <f t="shared" si="66"/>
        <v>.</v>
      </c>
      <c r="BG40" s="118" t="str">
        <f t="shared" si="67"/>
        <v>.</v>
      </c>
      <c r="BH40" s="118" t="str">
        <f t="shared" si="68"/>
        <v>.</v>
      </c>
      <c r="BI40" s="118" t="str">
        <f t="shared" si="69"/>
        <v>.</v>
      </c>
      <c r="BJ40" s="118" t="str">
        <f t="shared" si="70"/>
        <v>.</v>
      </c>
      <c r="BK40" s="118" t="str">
        <f t="shared" si="71"/>
        <v>.</v>
      </c>
      <c r="BL40" s="118" t="str">
        <f t="shared" si="72"/>
        <v>.</v>
      </c>
      <c r="BM40" s="118" t="str">
        <f t="shared" si="73"/>
        <v>.</v>
      </c>
      <c r="BN40" s="118" t="str">
        <f t="shared" si="74"/>
        <v>.</v>
      </c>
      <c r="BO40" s="118" t="str">
        <f t="shared" si="75"/>
        <v>.</v>
      </c>
      <c r="BP40" s="118" t="str">
        <f t="shared" si="76"/>
        <v>.</v>
      </c>
      <c r="BQ40" s="118" t="str">
        <f t="shared" si="77"/>
        <v>.</v>
      </c>
      <c r="BR40" s="60">
        <f t="shared" si="46"/>
        <v>183731.82605603558</v>
      </c>
      <c r="BS40" s="71">
        <f>IFERROR(s_RadSpec!$E$4*BS4,".")*$B$40</f>
        <v>0</v>
      </c>
      <c r="BT40" s="71">
        <f>IFERROR(s_RadSpec!$F$4*BT4,".")*$B$40</f>
        <v>0</v>
      </c>
      <c r="BU40" s="71">
        <f>IFERROR(s_RadSpec!$G$4*BU4,".")*$B$40</f>
        <v>2.7213575934716237E-10</v>
      </c>
      <c r="BV40" s="71">
        <f>s_b2s!CC40</f>
        <v>0</v>
      </c>
      <c r="BW40" s="71">
        <f>IFERROR(s_RadSpec!$H$4*BW4,".")*$B$40</f>
        <v>0</v>
      </c>
      <c r="BX40" s="71">
        <f>IFERROR(s_RadSpec!$H$4*BX4,".")*$B$40</f>
        <v>0</v>
      </c>
      <c r="BY40" s="71">
        <f>IFERROR(s_RadSpec!$H$4*BY4,".")*$B$40</f>
        <v>0</v>
      </c>
      <c r="BZ40" s="71">
        <f>IFERROR(s_RadSpec!$H$4*BZ4,".")*$B$40</f>
        <v>0</v>
      </c>
      <c r="CA40" s="71">
        <f>IFERROR(s_RadSpec!$H$4*CA4,".")*$B$40</f>
        <v>0</v>
      </c>
      <c r="CB40" s="71">
        <f>IFERROR(s_RadSpec!$H$4*CB4,".")*$B$40</f>
        <v>0</v>
      </c>
      <c r="CC40" s="71">
        <f>IFERROR(s_RadSpec!$H$4*CC4,".")*$B$40</f>
        <v>0</v>
      </c>
      <c r="CD40" s="71">
        <f>IFERROR(s_RadSpec!$H$4*CD4,".")*$B$40</f>
        <v>0</v>
      </c>
      <c r="CE40" s="71">
        <f>IFERROR(s_RadSpec!$H$4*CE4,".")*$B$40</f>
        <v>0</v>
      </c>
      <c r="CF40" s="71">
        <f>IFERROR(s_RadSpec!$H$4*CF4,".")*$B$40</f>
        <v>0</v>
      </c>
      <c r="CG40" s="71">
        <f>IFERROR(s_RadSpec!$H$4*CG4,".")*$B$40</f>
        <v>0</v>
      </c>
      <c r="CH40" s="49">
        <f t="shared" si="153"/>
        <v>0</v>
      </c>
      <c r="CI40" s="49">
        <f t="shared" si="154"/>
        <v>0</v>
      </c>
      <c r="CJ40" s="49">
        <f t="shared" si="155"/>
        <v>2.7213575934716237E-10</v>
      </c>
      <c r="CK40" s="49">
        <f t="shared" si="156"/>
        <v>0</v>
      </c>
      <c r="CL40" s="49">
        <f t="shared" si="157"/>
        <v>0</v>
      </c>
      <c r="CM40" s="49">
        <f t="shared" si="157"/>
        <v>0</v>
      </c>
      <c r="CN40" s="49">
        <f t="shared" si="110"/>
        <v>0</v>
      </c>
      <c r="CO40" s="49">
        <f t="shared" si="111"/>
        <v>0</v>
      </c>
      <c r="CP40" s="49">
        <f t="shared" si="112"/>
        <v>0</v>
      </c>
      <c r="CQ40" s="49">
        <f t="shared" si="113"/>
        <v>0</v>
      </c>
      <c r="CR40" s="49">
        <f t="shared" si="114"/>
        <v>0</v>
      </c>
      <c r="CS40" s="49">
        <f t="shared" si="115"/>
        <v>0</v>
      </c>
      <c r="CT40" s="49">
        <f t="shared" si="116"/>
        <v>0</v>
      </c>
      <c r="CU40" s="49">
        <f t="shared" si="117"/>
        <v>0</v>
      </c>
      <c r="CV40" s="49">
        <f t="shared" si="118"/>
        <v>0</v>
      </c>
      <c r="CW40" s="49">
        <f t="shared" si="119"/>
        <v>2.7213575934716237E-10</v>
      </c>
      <c r="CX40" s="60">
        <f t="shared" ref="CX40:DL40" si="195">IFERROR(CX4/$B40,0)</f>
        <v>0</v>
      </c>
      <c r="CY40" s="60" t="str">
        <f>IFERROR(CY4,".")</f>
        <v>.</v>
      </c>
      <c r="CZ40" s="60">
        <f t="shared" si="195"/>
        <v>9317398036.1063118</v>
      </c>
      <c r="DA40" s="60">
        <f t="shared" si="195"/>
        <v>0</v>
      </c>
      <c r="DB40" s="60">
        <f>IFERROR(DB4/$B40,0)</f>
        <v>0</v>
      </c>
      <c r="DC40" s="60">
        <f>IFERROR(DC4/$B40,0)</f>
        <v>0</v>
      </c>
      <c r="DD40" s="60">
        <f>IFERROR(DD4/$B40,0)</f>
        <v>0</v>
      </c>
      <c r="DE40" s="60">
        <f>IFERROR(DE4/$B40,0)</f>
        <v>0</v>
      </c>
      <c r="DF40" s="60">
        <f>IFERROR(DF4/$B40,0)</f>
        <v>0</v>
      </c>
      <c r="DG40" s="60">
        <f t="shared" si="195"/>
        <v>0</v>
      </c>
      <c r="DH40" s="60">
        <f t="shared" si="195"/>
        <v>0</v>
      </c>
      <c r="DI40" s="60">
        <f t="shared" si="195"/>
        <v>0</v>
      </c>
      <c r="DJ40" s="60">
        <f>IFERROR(DJ4/$B40,0)</f>
        <v>0</v>
      </c>
      <c r="DK40" s="60">
        <f t="shared" si="195"/>
        <v>0</v>
      </c>
      <c r="DL40" s="60">
        <f t="shared" si="195"/>
        <v>0</v>
      </c>
      <c r="DM40" s="118" t="str">
        <f t="shared" si="80"/>
        <v>.</v>
      </c>
      <c r="DN40" s="118" t="str">
        <f t="shared" si="81"/>
        <v>.</v>
      </c>
      <c r="DO40" s="118">
        <f t="shared" si="82"/>
        <v>1.0732610071232873E-10</v>
      </c>
      <c r="DP40" s="118" t="str">
        <f t="shared" si="83"/>
        <v>.</v>
      </c>
      <c r="DQ40" s="118" t="str">
        <f t="shared" si="84"/>
        <v>.</v>
      </c>
      <c r="DR40" s="118" t="str">
        <f t="shared" si="85"/>
        <v>.</v>
      </c>
      <c r="DS40" s="118" t="str">
        <f t="shared" si="86"/>
        <v>.</v>
      </c>
      <c r="DT40" s="118" t="str">
        <f t="shared" si="87"/>
        <v>.</v>
      </c>
      <c r="DU40" s="118" t="str">
        <f t="shared" si="88"/>
        <v>.</v>
      </c>
      <c r="DV40" s="118" t="str">
        <f t="shared" si="89"/>
        <v>.</v>
      </c>
      <c r="DW40" s="118" t="str">
        <f t="shared" si="90"/>
        <v>.</v>
      </c>
      <c r="DX40" s="118" t="str">
        <f t="shared" si="91"/>
        <v>.</v>
      </c>
      <c r="DY40" s="118" t="str">
        <f t="shared" si="92"/>
        <v>.</v>
      </c>
      <c r="DZ40" s="118" t="str">
        <f t="shared" si="93"/>
        <v>.</v>
      </c>
      <c r="EA40" s="118" t="str">
        <f t="shared" si="94"/>
        <v>.</v>
      </c>
      <c r="EB40" s="60">
        <f t="shared" si="47"/>
        <v>9317398036.1063118</v>
      </c>
      <c r="EC40" s="71">
        <f>IFERROR(s_RadSpec!$I$4*EC4,".")*$B$40</f>
        <v>0</v>
      </c>
      <c r="ED40" s="71">
        <f>IFERROR(s_RadSpec!$F$4*ED4,".")*$B$40</f>
        <v>0</v>
      </c>
      <c r="EE40" s="71">
        <f>IFERROR(s_RadSpec!$M$4*EE4,".")*$B$40</f>
        <v>5.3663050356164375E-15</v>
      </c>
      <c r="EF40" s="71">
        <f>s_b2w!CC40</f>
        <v>0</v>
      </c>
      <c r="EG40" s="71">
        <f>IFERROR(s_RadSpec!$H$4*EG4,".")*$B$40</f>
        <v>0</v>
      </c>
      <c r="EH40" s="71">
        <f>IFERROR(s_RadSpec!$H$4*EH4,".")*$B$40</f>
        <v>0</v>
      </c>
      <c r="EI40" s="71">
        <f>IFERROR(s_RadSpec!$H$4*EI4,".")*$B$40</f>
        <v>0</v>
      </c>
      <c r="EJ40" s="71">
        <f>IFERROR(s_RadSpec!$H$4*EJ4,".")*$B$40</f>
        <v>0</v>
      </c>
      <c r="EK40" s="71">
        <f>IFERROR(s_RadSpec!$H$4*EK4,".")*$B$40</f>
        <v>0</v>
      </c>
      <c r="EL40" s="71">
        <f>IFERROR(s_RadSpec!$H$4*EL4,".")*$B$40</f>
        <v>0</v>
      </c>
      <c r="EM40" s="71">
        <f>IFERROR(s_RadSpec!$H$4*EM4,".")*$B$40</f>
        <v>0</v>
      </c>
      <c r="EN40" s="71">
        <f>IFERROR(s_RadSpec!$H$4*EN4,".")*$B$40</f>
        <v>0</v>
      </c>
      <c r="EO40" s="71">
        <f>IFERROR(s_RadSpec!$H$4*EO4,".")*$B$40</f>
        <v>0</v>
      </c>
      <c r="EP40" s="71">
        <f>IFERROR(s_RadSpec!$H$4*EP4,".")*$B$40</f>
        <v>0</v>
      </c>
      <c r="EQ40" s="71">
        <f>IFERROR(s_RadSpec!$H$4*EQ4,".")*$B$40</f>
        <v>0</v>
      </c>
      <c r="ER40" s="49">
        <f t="shared" si="121"/>
        <v>0</v>
      </c>
      <c r="ES40" s="49">
        <f t="shared" si="160"/>
        <v>0</v>
      </c>
      <c r="ET40" s="49">
        <f t="shared" si="161"/>
        <v>5.3663050356164375E-15</v>
      </c>
      <c r="EU40" s="49">
        <f t="shared" si="162"/>
        <v>0</v>
      </c>
      <c r="EV40" s="49">
        <f t="shared" si="163"/>
        <v>0</v>
      </c>
      <c r="EW40" s="49">
        <f t="shared" si="163"/>
        <v>0</v>
      </c>
      <c r="EX40" s="49">
        <f t="shared" si="126"/>
        <v>0</v>
      </c>
      <c r="EY40" s="49">
        <f t="shared" si="127"/>
        <v>0</v>
      </c>
      <c r="EZ40" s="49">
        <f t="shared" si="128"/>
        <v>0</v>
      </c>
      <c r="FA40" s="49">
        <f t="shared" si="129"/>
        <v>0</v>
      </c>
      <c r="FB40" s="49">
        <f t="shared" si="130"/>
        <v>0</v>
      </c>
      <c r="FC40" s="49">
        <f t="shared" si="131"/>
        <v>0</v>
      </c>
      <c r="FD40" s="49">
        <f t="shared" si="132"/>
        <v>0</v>
      </c>
      <c r="FE40" s="49">
        <f t="shared" si="133"/>
        <v>0</v>
      </c>
      <c r="FF40" s="49">
        <f t="shared" si="134"/>
        <v>0</v>
      </c>
      <c r="FG40" s="49">
        <f t="shared" si="135"/>
        <v>5.3663050356164375E-15</v>
      </c>
      <c r="FH40" s="60">
        <f>IFERROR(FH4/$B40,0)</f>
        <v>0</v>
      </c>
      <c r="FI40" s="60">
        <f>IFERROR(FI4/$B40,0)</f>
        <v>32633183.552295782</v>
      </c>
      <c r="FJ40" s="60">
        <f>IFERROR(FJ4/$B40,0)</f>
        <v>32633183.552295785</v>
      </c>
      <c r="FK40" s="71">
        <f>IFERROR(s_RadSpec!$F$4*FK4,".")*$B$40</f>
        <v>0</v>
      </c>
      <c r="FL40" s="71">
        <f>IFERROR(s_RadSpec!$K$4*FL4,".")*$B$40</f>
        <v>1.5321827219178085E-12</v>
      </c>
      <c r="FM40" s="49">
        <f t="shared" si="165"/>
        <v>0</v>
      </c>
      <c r="FN40" s="49">
        <f t="shared" si="165"/>
        <v>1.5321827219178085E-12</v>
      </c>
      <c r="FO40" s="49">
        <f t="shared" si="166"/>
        <v>1.5321827219178085E-12</v>
      </c>
    </row>
    <row r="41" spans="1:171" x14ac:dyDescent="0.25">
      <c r="A41" s="83" t="s">
        <v>1083</v>
      </c>
      <c r="B41" s="84">
        <v>0.99987999999999999</v>
      </c>
      <c r="C41" s="84"/>
      <c r="D41" s="60">
        <f t="shared" ref="D41:O41" si="196">IFERROR(D8/$B41,0)</f>
        <v>115.14982814819021</v>
      </c>
      <c r="E41" s="60">
        <f t="shared" si="196"/>
        <v>460.59931259276084</v>
      </c>
      <c r="F41" s="60">
        <f t="shared" si="196"/>
        <v>460.59931259276084</v>
      </c>
      <c r="G41" s="60">
        <f t="shared" si="196"/>
        <v>460.59931259276084</v>
      </c>
      <c r="H41" s="60">
        <f t="shared" si="196"/>
        <v>460.59931259276084</v>
      </c>
      <c r="I41" s="60">
        <f t="shared" si="196"/>
        <v>460.59931259276084</v>
      </c>
      <c r="J41" s="60">
        <f t="shared" si="196"/>
        <v>460.59931259276084</v>
      </c>
      <c r="K41" s="60">
        <f t="shared" ref="K41" si="197">IFERROR(K8/$B41,0)</f>
        <v>460.59931259276084</v>
      </c>
      <c r="L41" s="60">
        <f t="shared" si="196"/>
        <v>460.59931259276084</v>
      </c>
      <c r="M41" s="60">
        <f t="shared" si="196"/>
        <v>460.59931259276084</v>
      </c>
      <c r="N41" s="60">
        <f t="shared" si="196"/>
        <v>460.59931259276084</v>
      </c>
      <c r="O41" s="60">
        <f t="shared" si="196"/>
        <v>460.59931259276084</v>
      </c>
      <c r="P41" s="71">
        <f>s_dir!BC41</f>
        <v>4.3432111853422418E-7</v>
      </c>
      <c r="Q41" s="71">
        <f>IFERROR(s_RadSpec!$H$8*Q8,".")*$B$41</f>
        <v>1.0855422193E-7</v>
      </c>
      <c r="R41" s="71">
        <f>IFERROR(s_RadSpec!$H$8*R8,".")*$B$41</f>
        <v>1.0855422193E-7</v>
      </c>
      <c r="S41" s="71">
        <f>IFERROR(s_RadSpec!$H$8*S8,".")*$B$41</f>
        <v>1.0855422193E-7</v>
      </c>
      <c r="T41" s="71">
        <f>IFERROR(s_RadSpec!$H$8*T8,".")*$B$41</f>
        <v>1.0855422193E-7</v>
      </c>
      <c r="U41" s="71">
        <f>IFERROR(s_RadSpec!$H$8*U8,".")*$B$41</f>
        <v>1.0855422193E-7</v>
      </c>
      <c r="V41" s="71">
        <f>IFERROR(s_RadSpec!$H$8*V8,".")*$B$41</f>
        <v>1.0855422193E-7</v>
      </c>
      <c r="W41" s="71">
        <f>IFERROR(s_RadSpec!$H$8*W8,".")*$B$41</f>
        <v>1.0855422193E-7</v>
      </c>
      <c r="X41" s="71">
        <f>IFERROR(s_RadSpec!$H$8*X8,".")*$B$41</f>
        <v>1.0855422193E-7</v>
      </c>
      <c r="Y41" s="71">
        <f>IFERROR(s_RadSpec!$H$8*Y8,".")*$B$41</f>
        <v>1.0855422193E-7</v>
      </c>
      <c r="Z41" s="71">
        <f>IFERROR(s_RadSpec!$H$8*Z8,".")*$B$41</f>
        <v>1.0855422193E-7</v>
      </c>
      <c r="AA41" s="71">
        <f>IFERROR(s_RadSpec!$H$8*AA8,".")*$B$41</f>
        <v>1.0855422193E-7</v>
      </c>
      <c r="AB41" s="49">
        <f t="shared" si="138"/>
        <v>4.3432111853422418E-7</v>
      </c>
      <c r="AC41" s="49">
        <f t="shared" si="139"/>
        <v>1.0855422193E-7</v>
      </c>
      <c r="AD41" s="49">
        <f t="shared" si="140"/>
        <v>1.0855422193E-7</v>
      </c>
      <c r="AE41" s="49">
        <f t="shared" si="141"/>
        <v>1.0855422193E-7</v>
      </c>
      <c r="AF41" s="49">
        <f t="shared" si="142"/>
        <v>1.0855422193E-7</v>
      </c>
      <c r="AG41" s="49">
        <f t="shared" si="143"/>
        <v>1.0855422193E-7</v>
      </c>
      <c r="AH41" s="49">
        <f t="shared" si="144"/>
        <v>1.0855422193E-7</v>
      </c>
      <c r="AI41" s="49">
        <f t="shared" si="145"/>
        <v>1.0855422193E-7</v>
      </c>
      <c r="AJ41" s="49">
        <f t="shared" si="146"/>
        <v>1.0855422193E-7</v>
      </c>
      <c r="AK41" s="49">
        <f t="shared" si="147"/>
        <v>1.0855422193E-7</v>
      </c>
      <c r="AL41" s="49">
        <f t="shared" si="148"/>
        <v>1.0855422193E-7</v>
      </c>
      <c r="AM41" s="49">
        <f t="shared" si="149"/>
        <v>1.0855422193E-7</v>
      </c>
      <c r="AN41" s="60">
        <f t="shared" ref="AN41:BB41" si="198">IFERROR(AN8/$B41,0)</f>
        <v>138751.96683694972</v>
      </c>
      <c r="AO41" s="60">
        <f t="shared" si="198"/>
        <v>20880828.572363086</v>
      </c>
      <c r="AP41" s="60">
        <f t="shared" si="198"/>
        <v>202.61254383942045</v>
      </c>
      <c r="AQ41" s="60">
        <f t="shared" si="198"/>
        <v>1014.5359308210589</v>
      </c>
      <c r="AR41" s="60">
        <f>IFERROR(AR8/$B41,0)</f>
        <v>14739.178002968347</v>
      </c>
      <c r="AS41" s="60">
        <f>IFERROR(AS8/$B41,0)</f>
        <v>0</v>
      </c>
      <c r="AT41" s="60">
        <f>IFERROR(AT8/$B41,0)</f>
        <v>1535.3310419758693</v>
      </c>
      <c r="AU41" s="60">
        <f>IFERROR(AU8/$B41,0)</f>
        <v>3162.7819464702911</v>
      </c>
      <c r="AV41" s="60">
        <f>IFERROR(AV8/$B41,0)</f>
        <v>0</v>
      </c>
      <c r="AW41" s="60">
        <f t="shared" si="198"/>
        <v>0</v>
      </c>
      <c r="AX41" s="60">
        <f t="shared" si="198"/>
        <v>0</v>
      </c>
      <c r="AY41" s="60">
        <f t="shared" si="198"/>
        <v>0</v>
      </c>
      <c r="AZ41" s="60">
        <f>IFERROR(AZ8/$B41,0)</f>
        <v>0</v>
      </c>
      <c r="BA41" s="60">
        <f t="shared" si="198"/>
        <v>0</v>
      </c>
      <c r="BB41" s="60">
        <f t="shared" si="198"/>
        <v>0</v>
      </c>
      <c r="BC41" s="118">
        <f t="shared" si="63"/>
        <v>7.2071050435999981E-6</v>
      </c>
      <c r="BD41" s="118">
        <f t="shared" si="64"/>
        <v>4.789081987500987E-8</v>
      </c>
      <c r="BE41" s="118">
        <f t="shared" si="65"/>
        <v>4.9355285761208591E-3</v>
      </c>
      <c r="BF41" s="118">
        <f t="shared" si="66"/>
        <v>9.8567233512440017E-4</v>
      </c>
      <c r="BG41" s="118">
        <f t="shared" si="67"/>
        <v>6.7846388706249995E-5</v>
      </c>
      <c r="BH41" s="118" t="str">
        <f t="shared" si="68"/>
        <v>.</v>
      </c>
      <c r="BI41" s="118">
        <f t="shared" si="69"/>
        <v>6.5132533158000002E-4</v>
      </c>
      <c r="BJ41" s="118">
        <f t="shared" si="70"/>
        <v>3.1617734542718442E-4</v>
      </c>
      <c r="BK41" s="118" t="str">
        <f t="shared" si="71"/>
        <v>.</v>
      </c>
      <c r="BL41" s="118" t="str">
        <f t="shared" si="72"/>
        <v>.</v>
      </c>
      <c r="BM41" s="118" t="str">
        <f t="shared" si="73"/>
        <v>.</v>
      </c>
      <c r="BN41" s="118" t="str">
        <f t="shared" si="74"/>
        <v>.</v>
      </c>
      <c r="BO41" s="118" t="str">
        <f t="shared" si="75"/>
        <v>.</v>
      </c>
      <c r="BP41" s="118" t="str">
        <f t="shared" si="76"/>
        <v>.</v>
      </c>
      <c r="BQ41" s="118" t="str">
        <f t="shared" si="77"/>
        <v>.</v>
      </c>
      <c r="BR41" s="60">
        <f t="shared" si="46"/>
        <v>143.59965620845605</v>
      </c>
      <c r="BS41" s="71">
        <f>IFERROR(s_RadSpec!$E$8*BS8,".")*$B$41</f>
        <v>3.6035525217999999E-10</v>
      </c>
      <c r="BT41" s="71">
        <f>IFERROR(s_RadSpec!$F$8*BT8,".")*$B$41</f>
        <v>2.3945409937504935E-12</v>
      </c>
      <c r="BU41" s="71">
        <f>IFERROR(s_RadSpec!$G$8*BU8,".")*$B$41</f>
        <v>2.4677642880604291E-7</v>
      </c>
      <c r="BV41" s="71">
        <f>s_b2s!CC41</f>
        <v>4.9295446953634441E-8</v>
      </c>
      <c r="BW41" s="71">
        <f>IFERROR(s_RadSpec!$H$8*BW8,".")*$B$41</f>
        <v>3.3923194353124999E-9</v>
      </c>
      <c r="BX41" s="71">
        <f>IFERROR(s_RadSpec!$H$8*BX8,".")*$B$41</f>
        <v>0</v>
      </c>
      <c r="BY41" s="71">
        <f>IFERROR(s_RadSpec!$H$8*BY8,".")*$B$41</f>
        <v>3.2566266578999999E-8</v>
      </c>
      <c r="BZ41" s="71">
        <f>IFERROR(s_RadSpec!$H$8*BZ8,".")*$B$41</f>
        <v>1.5808867271359224E-8</v>
      </c>
      <c r="CA41" s="71">
        <f>IFERROR(s_RadSpec!$H$8*CA8,".")*$B$41</f>
        <v>0</v>
      </c>
      <c r="CB41" s="71">
        <f>IFERROR(s_RadSpec!$H$8*CB8,".")*$B$41</f>
        <v>0</v>
      </c>
      <c r="CC41" s="71">
        <f>IFERROR(s_RadSpec!$H$8*CC8,".")*$B$41</f>
        <v>0</v>
      </c>
      <c r="CD41" s="71">
        <f>IFERROR(s_RadSpec!$H$8*CD8,".")*$B$41</f>
        <v>0</v>
      </c>
      <c r="CE41" s="71">
        <f>IFERROR(s_RadSpec!$H$8*CE8,".")*$B$41</f>
        <v>0</v>
      </c>
      <c r="CF41" s="71">
        <f>IFERROR(s_RadSpec!$H$8*CF8,".")*$B$41</f>
        <v>0</v>
      </c>
      <c r="CG41" s="71">
        <f>IFERROR(s_RadSpec!$H$8*CG8,".")*$B$41</f>
        <v>0</v>
      </c>
      <c r="CH41" s="49">
        <f t="shared" si="153"/>
        <v>3.6035525217999999E-10</v>
      </c>
      <c r="CI41" s="49">
        <f t="shared" si="154"/>
        <v>2.3945409937504935E-12</v>
      </c>
      <c r="CJ41" s="49">
        <f t="shared" si="155"/>
        <v>2.4677642880604291E-7</v>
      </c>
      <c r="CK41" s="49">
        <f t="shared" si="156"/>
        <v>4.9295446953634441E-8</v>
      </c>
      <c r="CL41" s="49">
        <f t="shared" si="157"/>
        <v>3.3923194353124999E-9</v>
      </c>
      <c r="CM41" s="49">
        <f t="shared" si="157"/>
        <v>0</v>
      </c>
      <c r="CN41" s="49">
        <f t="shared" si="110"/>
        <v>3.2566266578999999E-8</v>
      </c>
      <c r="CO41" s="49">
        <f t="shared" si="111"/>
        <v>1.5808867271359224E-8</v>
      </c>
      <c r="CP41" s="49">
        <f t="shared" si="112"/>
        <v>0</v>
      </c>
      <c r="CQ41" s="49">
        <f t="shared" si="113"/>
        <v>0</v>
      </c>
      <c r="CR41" s="49">
        <f t="shared" si="114"/>
        <v>0</v>
      </c>
      <c r="CS41" s="49">
        <f t="shared" si="115"/>
        <v>0</v>
      </c>
      <c r="CT41" s="49">
        <f t="shared" si="116"/>
        <v>0</v>
      </c>
      <c r="CU41" s="49">
        <f t="shared" si="117"/>
        <v>0</v>
      </c>
      <c r="CV41" s="49">
        <f t="shared" si="118"/>
        <v>0</v>
      </c>
      <c r="CW41" s="49">
        <f t="shared" si="119"/>
        <v>3.4820207883852278E-7</v>
      </c>
      <c r="CX41" s="60">
        <f t="shared" ref="CX41:DL41" si="199">IFERROR(CX8/$B41,0)</f>
        <v>3587.2953761786553</v>
      </c>
      <c r="CY41" s="60" t="str">
        <f>IFERROR(CY8,".")</f>
        <v>.</v>
      </c>
      <c r="CZ41" s="60">
        <f t="shared" si="199"/>
        <v>17225136.113378603</v>
      </c>
      <c r="DA41" s="60">
        <f t="shared" si="199"/>
        <v>3647.8051223183156</v>
      </c>
      <c r="DB41" s="60">
        <f>IFERROR(DB8/$B41,0)</f>
        <v>30706.620839517389</v>
      </c>
      <c r="DC41" s="60">
        <f>IFERROR(DC8/$B41,0)</f>
        <v>0</v>
      </c>
      <c r="DD41" s="60">
        <f>IFERROR(DD8/$B41,0)</f>
        <v>46059931.259276077</v>
      </c>
      <c r="DE41" s="60">
        <f>IFERROR(DE8/$B41,0)</f>
        <v>94883458.394108713</v>
      </c>
      <c r="DF41" s="60">
        <f>IFERROR(DF8/$B41,0)</f>
        <v>0</v>
      </c>
      <c r="DG41" s="60">
        <f t="shared" si="199"/>
        <v>0</v>
      </c>
      <c r="DH41" s="60">
        <f t="shared" si="199"/>
        <v>0</v>
      </c>
      <c r="DI41" s="60">
        <f t="shared" si="199"/>
        <v>0</v>
      </c>
      <c r="DJ41" s="60">
        <f>IFERROR(DJ8/$B41,0)</f>
        <v>0</v>
      </c>
      <c r="DK41" s="60">
        <f t="shared" si="199"/>
        <v>0</v>
      </c>
      <c r="DL41" s="60">
        <f t="shared" si="199"/>
        <v>0</v>
      </c>
      <c r="DM41" s="118">
        <f t="shared" si="80"/>
        <v>2.7876154460000001E-4</v>
      </c>
      <c r="DN41" s="118" t="str">
        <f t="shared" si="81"/>
        <v>.</v>
      </c>
      <c r="DO41" s="118">
        <f t="shared" si="82"/>
        <v>5.8054693641770954E-8</v>
      </c>
      <c r="DP41" s="118">
        <f t="shared" si="83"/>
        <v>2.7413745155455642E-4</v>
      </c>
      <c r="DQ41" s="118">
        <f t="shared" si="84"/>
        <v>3.2566266578999997E-5</v>
      </c>
      <c r="DR41" s="118" t="str">
        <f t="shared" si="85"/>
        <v>.</v>
      </c>
      <c r="DS41" s="118">
        <f t="shared" si="86"/>
        <v>2.1710844386000003E-8</v>
      </c>
      <c r="DT41" s="118">
        <f t="shared" si="87"/>
        <v>1.0539244847572818E-8</v>
      </c>
      <c r="DU41" s="118" t="str">
        <f t="shared" si="88"/>
        <v>.</v>
      </c>
      <c r="DV41" s="118" t="str">
        <f t="shared" si="89"/>
        <v>.</v>
      </c>
      <c r="DW41" s="118" t="str">
        <f t="shared" si="90"/>
        <v>.</v>
      </c>
      <c r="DX41" s="118" t="str">
        <f t="shared" si="91"/>
        <v>.</v>
      </c>
      <c r="DY41" s="118" t="str">
        <f t="shared" si="92"/>
        <v>.</v>
      </c>
      <c r="DZ41" s="118" t="str">
        <f t="shared" si="93"/>
        <v>.</v>
      </c>
      <c r="EA41" s="118" t="str">
        <f t="shared" si="94"/>
        <v>.</v>
      </c>
      <c r="EB41" s="60">
        <f t="shared" si="47"/>
        <v>1707.7798512639674</v>
      </c>
      <c r="EC41" s="71">
        <f>IFERROR(s_RadSpec!$I$8*EC8,".")*$B$41</f>
        <v>1.393807723E-8</v>
      </c>
      <c r="ED41" s="71">
        <f>IFERROR(s_RadSpec!$F$8*ED8,".")*$B$41</f>
        <v>0</v>
      </c>
      <c r="EE41" s="71">
        <f>IFERROR(s_RadSpec!$M$8*EE8,".")*$B$41</f>
        <v>2.9027346820885476E-12</v>
      </c>
      <c r="EF41" s="71">
        <f>s_b2w!CC41</f>
        <v>1.3710162819378128E-8</v>
      </c>
      <c r="EG41" s="71">
        <f>IFERROR(s_RadSpec!$H$8*EG8,".")*$B$41</f>
        <v>1.62831332895E-9</v>
      </c>
      <c r="EH41" s="71">
        <f>IFERROR(s_RadSpec!$H$8*EH8,".")*$B$41</f>
        <v>0</v>
      </c>
      <c r="EI41" s="71">
        <f>IFERROR(s_RadSpec!$H$8*EI8,".")*$B$41</f>
        <v>1.0855422192999999E-12</v>
      </c>
      <c r="EJ41" s="71">
        <f>IFERROR(s_RadSpec!$H$8*EJ8,".")*$B$41</f>
        <v>5.2696224237864086E-13</v>
      </c>
      <c r="EK41" s="71">
        <f>IFERROR(s_RadSpec!$H$8*EK8,".")*$B$41</f>
        <v>0</v>
      </c>
      <c r="EL41" s="71">
        <f>IFERROR(s_RadSpec!$H$8*EL8,".")*$B$41</f>
        <v>0</v>
      </c>
      <c r="EM41" s="71">
        <f>IFERROR(s_RadSpec!$H$8*EM8,".")*$B$41</f>
        <v>0</v>
      </c>
      <c r="EN41" s="71">
        <f>IFERROR(s_RadSpec!$H$8*EN8,".")*$B$41</f>
        <v>0</v>
      </c>
      <c r="EO41" s="71">
        <f>IFERROR(s_RadSpec!$H$8*EO8,".")*$B$41</f>
        <v>0</v>
      </c>
      <c r="EP41" s="71">
        <f>IFERROR(s_RadSpec!$H$8*EP8,".")*$B$41</f>
        <v>0</v>
      </c>
      <c r="EQ41" s="71">
        <f>IFERROR(s_RadSpec!$H$8*EQ8,".")*$B$41</f>
        <v>0</v>
      </c>
      <c r="ER41" s="49">
        <f t="shared" si="121"/>
        <v>1.393807723E-8</v>
      </c>
      <c r="ES41" s="49">
        <f t="shared" si="160"/>
        <v>0</v>
      </c>
      <c r="ET41" s="49">
        <f t="shared" si="161"/>
        <v>2.9027346820885476E-12</v>
      </c>
      <c r="EU41" s="49">
        <f t="shared" si="162"/>
        <v>1.3710162819378128E-8</v>
      </c>
      <c r="EV41" s="49">
        <f t="shared" si="163"/>
        <v>1.62831332895E-9</v>
      </c>
      <c r="EW41" s="49">
        <f t="shared" si="163"/>
        <v>0</v>
      </c>
      <c r="EX41" s="49">
        <f t="shared" si="126"/>
        <v>1.0855422192999999E-12</v>
      </c>
      <c r="EY41" s="49">
        <f t="shared" si="127"/>
        <v>5.2696224237864086E-13</v>
      </c>
      <c r="EZ41" s="49">
        <f t="shared" si="128"/>
        <v>0</v>
      </c>
      <c r="FA41" s="49">
        <f t="shared" si="129"/>
        <v>0</v>
      </c>
      <c r="FB41" s="49">
        <f t="shared" si="130"/>
        <v>0</v>
      </c>
      <c r="FC41" s="49">
        <f t="shared" si="131"/>
        <v>0</v>
      </c>
      <c r="FD41" s="49">
        <f t="shared" si="132"/>
        <v>0</v>
      </c>
      <c r="FE41" s="49">
        <f t="shared" si="133"/>
        <v>0</v>
      </c>
      <c r="FF41" s="49">
        <f t="shared" si="134"/>
        <v>0</v>
      </c>
      <c r="FG41" s="49">
        <f t="shared" si="135"/>
        <v>2.9281068617471892E-8</v>
      </c>
      <c r="FH41" s="60">
        <f>IFERROR(FH8/$B41,0)</f>
        <v>67.400155410716692</v>
      </c>
      <c r="FI41" s="60">
        <f>IFERROR(FI8/$B41,0)</f>
        <v>59834.683341209886</v>
      </c>
      <c r="FJ41" s="60">
        <f>IFERROR(FJ8/$B41,0)</f>
        <v>67.324318633692968</v>
      </c>
      <c r="FK41" s="71">
        <f>IFERROR(s_RadSpec!$F$8*FK8,".")*$B$41</f>
        <v>7.4183805208333333E-7</v>
      </c>
      <c r="FL41" s="71">
        <f>IFERROR(s_RadSpec!$K$8*FL8,".")*$B$41</f>
        <v>8.3563574181336991E-10</v>
      </c>
      <c r="FM41" s="49">
        <f t="shared" si="165"/>
        <v>7.4183805208333333E-7</v>
      </c>
      <c r="FN41" s="49">
        <f t="shared" si="165"/>
        <v>8.3563574181336991E-10</v>
      </c>
      <c r="FO41" s="49">
        <f t="shared" si="166"/>
        <v>7.4267368782514673E-7</v>
      </c>
    </row>
    <row r="42" spans="1:171" x14ac:dyDescent="0.25">
      <c r="A42" s="83" t="s">
        <v>1084</v>
      </c>
      <c r="B42" s="42">
        <v>0.97898250799999997</v>
      </c>
      <c r="C42" s="42"/>
      <c r="D42" s="60">
        <f t="shared" ref="D42:O42" si="200">IFERROR(D19/$B42,0)</f>
        <v>0</v>
      </c>
      <c r="E42" s="60">
        <f t="shared" si="200"/>
        <v>0</v>
      </c>
      <c r="F42" s="60">
        <f t="shared" si="200"/>
        <v>0</v>
      </c>
      <c r="G42" s="60">
        <f t="shared" si="200"/>
        <v>0</v>
      </c>
      <c r="H42" s="60">
        <f t="shared" si="200"/>
        <v>0</v>
      </c>
      <c r="I42" s="60">
        <f t="shared" si="200"/>
        <v>0</v>
      </c>
      <c r="J42" s="60">
        <f t="shared" si="200"/>
        <v>0</v>
      </c>
      <c r="K42" s="60">
        <f t="shared" ref="K42" si="201">IFERROR(K19/$B42,0)</f>
        <v>0</v>
      </c>
      <c r="L42" s="60">
        <f t="shared" si="200"/>
        <v>0</v>
      </c>
      <c r="M42" s="60">
        <f t="shared" si="200"/>
        <v>0</v>
      </c>
      <c r="N42" s="60">
        <f t="shared" si="200"/>
        <v>0</v>
      </c>
      <c r="O42" s="60">
        <f t="shared" si="200"/>
        <v>0</v>
      </c>
      <c r="P42" s="71">
        <f>s_dir!BC42</f>
        <v>0</v>
      </c>
      <c r="Q42" s="72">
        <f>IFERROR(s_RadSpec!$H$19*Q19,".")*$B$42</f>
        <v>0</v>
      </c>
      <c r="R42" s="72">
        <f>IFERROR(s_RadSpec!$H$19*R19,".")*$B$42</f>
        <v>0</v>
      </c>
      <c r="S42" s="72">
        <f>IFERROR(s_RadSpec!$H$19*S19,".")*$B$42</f>
        <v>0</v>
      </c>
      <c r="T42" s="72">
        <f>IFERROR(s_RadSpec!$H$19*T19,".")*$B$42</f>
        <v>0</v>
      </c>
      <c r="U42" s="72">
        <f>IFERROR(s_RadSpec!$H$19*U19,".")*$B$42</f>
        <v>0</v>
      </c>
      <c r="V42" s="72">
        <f>IFERROR(s_RadSpec!$H$19*V19,".")*$B$42</f>
        <v>0</v>
      </c>
      <c r="W42" s="72">
        <f>IFERROR(s_RadSpec!$H$19*W19,".")*$B$42</f>
        <v>0</v>
      </c>
      <c r="X42" s="72">
        <f>IFERROR(s_RadSpec!$H$19*X19,".")*$B$42</f>
        <v>0</v>
      </c>
      <c r="Y42" s="72">
        <f>IFERROR(s_RadSpec!$H$19*Y19,".")*$B$42</f>
        <v>0</v>
      </c>
      <c r="Z42" s="72">
        <f>IFERROR(s_RadSpec!$H$19*Z19,".")*$B$42</f>
        <v>0</v>
      </c>
      <c r="AA42" s="72">
        <f>IFERROR(s_RadSpec!$H$19*AA19,".")*$B$42</f>
        <v>0</v>
      </c>
      <c r="AB42" s="49">
        <f t="shared" si="138"/>
        <v>0</v>
      </c>
      <c r="AC42" s="49">
        <f t="shared" si="139"/>
        <v>0</v>
      </c>
      <c r="AD42" s="49">
        <f t="shared" si="140"/>
        <v>0</v>
      </c>
      <c r="AE42" s="49">
        <f t="shared" si="141"/>
        <v>0</v>
      </c>
      <c r="AF42" s="49">
        <f t="shared" si="142"/>
        <v>0</v>
      </c>
      <c r="AG42" s="49">
        <f t="shared" si="143"/>
        <v>0</v>
      </c>
      <c r="AH42" s="49">
        <f t="shared" si="144"/>
        <v>0</v>
      </c>
      <c r="AI42" s="49">
        <f t="shared" si="145"/>
        <v>0</v>
      </c>
      <c r="AJ42" s="49">
        <f t="shared" si="146"/>
        <v>0</v>
      </c>
      <c r="AK42" s="49">
        <f t="shared" si="147"/>
        <v>0</v>
      </c>
      <c r="AL42" s="49">
        <f t="shared" si="148"/>
        <v>0</v>
      </c>
      <c r="AM42" s="49">
        <f t="shared" si="149"/>
        <v>0</v>
      </c>
      <c r="AN42" s="60">
        <f t="shared" ref="AN42:BB42" si="202">IFERROR(AN19/$B42,0)</f>
        <v>0</v>
      </c>
      <c r="AO42" s="60">
        <f t="shared" si="202"/>
        <v>0</v>
      </c>
      <c r="AP42" s="60">
        <f t="shared" si="202"/>
        <v>450089.71438698622</v>
      </c>
      <c r="AQ42" s="60">
        <f t="shared" si="202"/>
        <v>0</v>
      </c>
      <c r="AR42" s="60">
        <f>IFERROR(AR19/$B42,0)</f>
        <v>0</v>
      </c>
      <c r="AS42" s="60">
        <f>IFERROR(AS19/$B42,0)</f>
        <v>0</v>
      </c>
      <c r="AT42" s="60">
        <f>IFERROR(AT19/$B42,0)</f>
        <v>0</v>
      </c>
      <c r="AU42" s="60">
        <f>IFERROR(AU19/$B42,0)</f>
        <v>0</v>
      </c>
      <c r="AV42" s="60">
        <f>IFERROR(AV19/$B42,0)</f>
        <v>0</v>
      </c>
      <c r="AW42" s="60">
        <f t="shared" si="202"/>
        <v>0</v>
      </c>
      <c r="AX42" s="60">
        <f t="shared" si="202"/>
        <v>0</v>
      </c>
      <c r="AY42" s="60">
        <f t="shared" si="202"/>
        <v>0</v>
      </c>
      <c r="AZ42" s="60">
        <f>IFERROR(AZ19/$B42,0)</f>
        <v>0</v>
      </c>
      <c r="BA42" s="60">
        <f t="shared" si="202"/>
        <v>0</v>
      </c>
      <c r="BB42" s="60">
        <f t="shared" si="202"/>
        <v>0</v>
      </c>
      <c r="BC42" s="118" t="str">
        <f t="shared" si="63"/>
        <v>.</v>
      </c>
      <c r="BD42" s="118" t="str">
        <f t="shared" si="64"/>
        <v>.</v>
      </c>
      <c r="BE42" s="118">
        <f t="shared" si="65"/>
        <v>2.2217792765204186E-6</v>
      </c>
      <c r="BF42" s="118" t="str">
        <f t="shared" si="66"/>
        <v>.</v>
      </c>
      <c r="BG42" s="118" t="str">
        <f t="shared" si="67"/>
        <v>.</v>
      </c>
      <c r="BH42" s="118" t="str">
        <f t="shared" si="68"/>
        <v>.</v>
      </c>
      <c r="BI42" s="118" t="str">
        <f t="shared" si="69"/>
        <v>.</v>
      </c>
      <c r="BJ42" s="118" t="str">
        <f t="shared" si="70"/>
        <v>.</v>
      </c>
      <c r="BK42" s="118" t="str">
        <f t="shared" si="71"/>
        <v>.</v>
      </c>
      <c r="BL42" s="118" t="str">
        <f t="shared" si="72"/>
        <v>.</v>
      </c>
      <c r="BM42" s="118" t="str">
        <f t="shared" si="73"/>
        <v>.</v>
      </c>
      <c r="BN42" s="118" t="str">
        <f t="shared" si="74"/>
        <v>.</v>
      </c>
      <c r="BO42" s="118" t="str">
        <f t="shared" si="75"/>
        <v>.</v>
      </c>
      <c r="BP42" s="118" t="str">
        <f t="shared" si="76"/>
        <v>.</v>
      </c>
      <c r="BQ42" s="118" t="str">
        <f t="shared" si="77"/>
        <v>.</v>
      </c>
      <c r="BR42" s="60">
        <f t="shared" si="46"/>
        <v>450089.71438698616</v>
      </c>
      <c r="BS42" s="72">
        <f>IFERROR(s_RadSpec!$E$19*BS19,".")*$B$42</f>
        <v>0</v>
      </c>
      <c r="BT42" s="72">
        <f>IFERROR(s_RadSpec!$F$19*BT19,".")*$B$42</f>
        <v>0</v>
      </c>
      <c r="BU42" s="72">
        <f>IFERROR(s_RadSpec!$G$19*BU19,".")*$B$42</f>
        <v>1.1108896382602093E-10</v>
      </c>
      <c r="BV42" s="71">
        <f>s_b2s!CC42</f>
        <v>0</v>
      </c>
      <c r="BW42" s="72">
        <f>IFERROR(s_RadSpec!$H$19*BW19,".")*$B$42</f>
        <v>0</v>
      </c>
      <c r="BX42" s="72">
        <f>IFERROR(s_RadSpec!$H$19*BX19,".")*$B$42</f>
        <v>0</v>
      </c>
      <c r="BY42" s="72">
        <f>IFERROR(s_RadSpec!$H$19*BY19,".")*$B$42</f>
        <v>0</v>
      </c>
      <c r="BZ42" s="72">
        <f>IFERROR(s_RadSpec!$H$19*BZ19,".")*$B$42</f>
        <v>0</v>
      </c>
      <c r="CA42" s="72">
        <f>IFERROR(s_RadSpec!$H$19*CA19,".")*$B$42</f>
        <v>0</v>
      </c>
      <c r="CB42" s="72">
        <f>IFERROR(s_RadSpec!$H$19*CB19,".")*$B$42</f>
        <v>0</v>
      </c>
      <c r="CC42" s="72">
        <f>IFERROR(s_RadSpec!$H$19*CC19,".")*$B$42</f>
        <v>0</v>
      </c>
      <c r="CD42" s="72">
        <f>IFERROR(s_RadSpec!$H$19*CD19,".")*$B$42</f>
        <v>0</v>
      </c>
      <c r="CE42" s="72">
        <f>IFERROR(s_RadSpec!$H$19*CE19,".")*$B$42</f>
        <v>0</v>
      </c>
      <c r="CF42" s="72">
        <f>IFERROR(s_RadSpec!$H$19*CF19,".")*$B$42</f>
        <v>0</v>
      </c>
      <c r="CG42" s="72">
        <f>IFERROR(s_RadSpec!$H$19*CG19,".")*$B$42</f>
        <v>0</v>
      </c>
      <c r="CH42" s="49">
        <f t="shared" si="153"/>
        <v>0</v>
      </c>
      <c r="CI42" s="49">
        <f t="shared" si="154"/>
        <v>0</v>
      </c>
      <c r="CJ42" s="49">
        <f t="shared" si="155"/>
        <v>1.1108896382602093E-10</v>
      </c>
      <c r="CK42" s="49">
        <f t="shared" si="156"/>
        <v>0</v>
      </c>
      <c r="CL42" s="49">
        <f t="shared" si="157"/>
        <v>0</v>
      </c>
      <c r="CM42" s="49">
        <f t="shared" si="157"/>
        <v>0</v>
      </c>
      <c r="CN42" s="49">
        <f t="shared" si="110"/>
        <v>0</v>
      </c>
      <c r="CO42" s="49">
        <f t="shared" si="111"/>
        <v>0</v>
      </c>
      <c r="CP42" s="49">
        <f t="shared" si="112"/>
        <v>0</v>
      </c>
      <c r="CQ42" s="49">
        <f t="shared" si="113"/>
        <v>0</v>
      </c>
      <c r="CR42" s="49">
        <f t="shared" si="114"/>
        <v>0</v>
      </c>
      <c r="CS42" s="49">
        <f t="shared" si="115"/>
        <v>0</v>
      </c>
      <c r="CT42" s="49">
        <f t="shared" si="116"/>
        <v>0</v>
      </c>
      <c r="CU42" s="49">
        <f t="shared" si="117"/>
        <v>0</v>
      </c>
      <c r="CV42" s="49">
        <f t="shared" si="118"/>
        <v>0</v>
      </c>
      <c r="CW42" s="49">
        <f t="shared" si="119"/>
        <v>1.1108896382602093E-10</v>
      </c>
      <c r="CX42" s="60">
        <f t="shared" ref="CX42:DL42" si="203">IFERROR(CX19/$B42,0)</f>
        <v>0</v>
      </c>
      <c r="CY42" s="60" t="str">
        <f>IFERROR(CY19,".")</f>
        <v>.</v>
      </c>
      <c r="CZ42" s="60">
        <f t="shared" si="203"/>
        <v>58250494711.527161</v>
      </c>
      <c r="DA42" s="60">
        <f t="shared" si="203"/>
        <v>0</v>
      </c>
      <c r="DB42" s="60">
        <f>IFERROR(DB19/$B42,0)</f>
        <v>0</v>
      </c>
      <c r="DC42" s="60">
        <f>IFERROR(DC19/$B42,0)</f>
        <v>0</v>
      </c>
      <c r="DD42" s="60">
        <f>IFERROR(DD19/$B42,0)</f>
        <v>0</v>
      </c>
      <c r="DE42" s="60">
        <f>IFERROR(DE19/$B42,0)</f>
        <v>0</v>
      </c>
      <c r="DF42" s="60">
        <f>IFERROR(DF19/$B42,0)</f>
        <v>0</v>
      </c>
      <c r="DG42" s="60">
        <f t="shared" si="203"/>
        <v>0</v>
      </c>
      <c r="DH42" s="60">
        <f t="shared" si="203"/>
        <v>0</v>
      </c>
      <c r="DI42" s="60">
        <f t="shared" si="203"/>
        <v>0</v>
      </c>
      <c r="DJ42" s="60">
        <f>IFERROR(DJ19/$B42,0)</f>
        <v>0</v>
      </c>
      <c r="DK42" s="60">
        <f t="shared" si="203"/>
        <v>0</v>
      </c>
      <c r="DL42" s="60">
        <f t="shared" si="203"/>
        <v>0</v>
      </c>
      <c r="DM42" s="118" t="str">
        <f t="shared" si="80"/>
        <v>.</v>
      </c>
      <c r="DN42" s="118" t="str">
        <f t="shared" si="81"/>
        <v>.</v>
      </c>
      <c r="DO42" s="118">
        <f t="shared" si="82"/>
        <v>1.7167236174598713E-11</v>
      </c>
      <c r="DP42" s="118" t="str">
        <f t="shared" si="83"/>
        <v>.</v>
      </c>
      <c r="DQ42" s="118" t="str">
        <f t="shared" si="84"/>
        <v>.</v>
      </c>
      <c r="DR42" s="118" t="str">
        <f t="shared" si="85"/>
        <v>.</v>
      </c>
      <c r="DS42" s="118" t="str">
        <f t="shared" si="86"/>
        <v>.</v>
      </c>
      <c r="DT42" s="118" t="str">
        <f t="shared" si="87"/>
        <v>.</v>
      </c>
      <c r="DU42" s="118" t="str">
        <f t="shared" si="88"/>
        <v>.</v>
      </c>
      <c r="DV42" s="118" t="str">
        <f t="shared" si="89"/>
        <v>.</v>
      </c>
      <c r="DW42" s="118" t="str">
        <f t="shared" si="90"/>
        <v>.</v>
      </c>
      <c r="DX42" s="118" t="str">
        <f t="shared" si="91"/>
        <v>.</v>
      </c>
      <c r="DY42" s="118" t="str">
        <f t="shared" si="92"/>
        <v>.</v>
      </c>
      <c r="DZ42" s="118" t="str">
        <f t="shared" si="93"/>
        <v>.</v>
      </c>
      <c r="EA42" s="118" t="str">
        <f t="shared" si="94"/>
        <v>.</v>
      </c>
      <c r="EB42" s="60">
        <f t="shared" si="47"/>
        <v>58250494711.527153</v>
      </c>
      <c r="EC42" s="72">
        <f>IFERROR(s_RadSpec!$I$19*EC19,".")*$B$42</f>
        <v>0</v>
      </c>
      <c r="ED42" s="72">
        <f>IFERROR(s_RadSpec!$F$19*ED19,".")*$B$42</f>
        <v>0</v>
      </c>
      <c r="EE42" s="72">
        <f>IFERROR(s_RadSpec!$M$19*EE19,".")*$B$42</f>
        <v>8.583618087299356E-16</v>
      </c>
      <c r="EF42" s="71">
        <f>s_b2w!CC42</f>
        <v>0</v>
      </c>
      <c r="EG42" s="72">
        <f>IFERROR(s_RadSpec!$H$19*EG19,".")*$B$42</f>
        <v>0</v>
      </c>
      <c r="EH42" s="72">
        <f>IFERROR(s_RadSpec!$H$19*EH19,".")*$B$42</f>
        <v>0</v>
      </c>
      <c r="EI42" s="72">
        <f>IFERROR(s_RadSpec!$H$19*EI19,".")*$B$42</f>
        <v>0</v>
      </c>
      <c r="EJ42" s="72">
        <f>IFERROR(s_RadSpec!$H$19*EJ19,".")*$B$42</f>
        <v>0</v>
      </c>
      <c r="EK42" s="72">
        <f>IFERROR(s_RadSpec!$H$19*EK19,".")*$B$42</f>
        <v>0</v>
      </c>
      <c r="EL42" s="72">
        <f>IFERROR(s_RadSpec!$H$19*EL19,".")*$B$42</f>
        <v>0</v>
      </c>
      <c r="EM42" s="72">
        <f>IFERROR(s_RadSpec!$H$19*EM19,".")*$B$42</f>
        <v>0</v>
      </c>
      <c r="EN42" s="72">
        <f>IFERROR(s_RadSpec!$H$19*EN19,".")*$B$42</f>
        <v>0</v>
      </c>
      <c r="EO42" s="72">
        <f>IFERROR(s_RadSpec!$H$19*EO19,".")*$B$42</f>
        <v>0</v>
      </c>
      <c r="EP42" s="72">
        <f>IFERROR(s_RadSpec!$H$19*EP19,".")*$B$42</f>
        <v>0</v>
      </c>
      <c r="EQ42" s="72">
        <f>IFERROR(s_RadSpec!$H$19*EQ19,".")*$B$42</f>
        <v>0</v>
      </c>
      <c r="ER42" s="49">
        <f t="shared" si="121"/>
        <v>0</v>
      </c>
      <c r="ES42" s="49">
        <f t="shared" si="160"/>
        <v>0</v>
      </c>
      <c r="ET42" s="49">
        <f t="shared" si="161"/>
        <v>8.583618087299356E-16</v>
      </c>
      <c r="EU42" s="49">
        <f t="shared" si="162"/>
        <v>0</v>
      </c>
      <c r="EV42" s="49">
        <f t="shared" si="163"/>
        <v>0</v>
      </c>
      <c r="EW42" s="49">
        <f t="shared" si="163"/>
        <v>0</v>
      </c>
      <c r="EX42" s="49">
        <f t="shared" si="126"/>
        <v>0</v>
      </c>
      <c r="EY42" s="49">
        <f t="shared" si="127"/>
        <v>0</v>
      </c>
      <c r="EZ42" s="49">
        <f t="shared" si="128"/>
        <v>0</v>
      </c>
      <c r="FA42" s="49">
        <f t="shared" si="129"/>
        <v>0</v>
      </c>
      <c r="FB42" s="49">
        <f t="shared" si="130"/>
        <v>0</v>
      </c>
      <c r="FC42" s="49">
        <f t="shared" si="131"/>
        <v>0</v>
      </c>
      <c r="FD42" s="49">
        <f t="shared" si="132"/>
        <v>0</v>
      </c>
      <c r="FE42" s="49">
        <f t="shared" si="133"/>
        <v>0</v>
      </c>
      <c r="FF42" s="49">
        <f t="shared" si="134"/>
        <v>0</v>
      </c>
      <c r="FG42" s="49">
        <f t="shared" si="135"/>
        <v>8.583618087299356E-16</v>
      </c>
      <c r="FH42" s="60">
        <f>IFERROR(FH19/$B42,0)</f>
        <v>0</v>
      </c>
      <c r="FI42" s="60">
        <f>IFERROR(FI19/$B42,0)</f>
        <v>201935048.33329412</v>
      </c>
      <c r="FJ42" s="60">
        <f>IFERROR(FJ19/$B42,0)</f>
        <v>201935048.33329412</v>
      </c>
      <c r="FK42" s="72">
        <f>IFERROR(s_RadSpec!$F$19*FK19,".")*$B$42</f>
        <v>0</v>
      </c>
      <c r="FL42" s="72">
        <f>IFERROR(s_RadSpec!$K$19*FL19,".")*$B$42</f>
        <v>2.4760436790286605E-13</v>
      </c>
      <c r="FM42" s="49">
        <f t="shared" si="165"/>
        <v>0</v>
      </c>
      <c r="FN42" s="49">
        <f t="shared" si="165"/>
        <v>2.4760436790286605E-13</v>
      </c>
      <c r="FO42" s="49">
        <f t="shared" si="166"/>
        <v>2.4760436790286605E-13</v>
      </c>
    </row>
    <row r="43" spans="1:171" x14ac:dyDescent="0.25">
      <c r="A43" s="83" t="s">
        <v>1085</v>
      </c>
      <c r="B43" s="42">
        <v>2.0897492E-2</v>
      </c>
      <c r="C43" s="42"/>
      <c r="D43" s="60">
        <f t="shared" ref="D43:O43" si="204">IFERROR(D28/$B43,0)</f>
        <v>0</v>
      </c>
      <c r="E43" s="60">
        <f t="shared" si="204"/>
        <v>0</v>
      </c>
      <c r="F43" s="60">
        <f t="shared" si="204"/>
        <v>0</v>
      </c>
      <c r="G43" s="60">
        <f t="shared" si="204"/>
        <v>0</v>
      </c>
      <c r="H43" s="60">
        <f t="shared" si="204"/>
        <v>0</v>
      </c>
      <c r="I43" s="60">
        <f t="shared" si="204"/>
        <v>0</v>
      </c>
      <c r="J43" s="60">
        <f t="shared" si="204"/>
        <v>0</v>
      </c>
      <c r="K43" s="60">
        <f t="shared" ref="K43" si="205">IFERROR(K28/$B43,0)</f>
        <v>0</v>
      </c>
      <c r="L43" s="60">
        <f t="shared" si="204"/>
        <v>0</v>
      </c>
      <c r="M43" s="60">
        <f t="shared" si="204"/>
        <v>0</v>
      </c>
      <c r="N43" s="60">
        <f t="shared" si="204"/>
        <v>0</v>
      </c>
      <c r="O43" s="60">
        <f t="shared" si="204"/>
        <v>0</v>
      </c>
      <c r="P43" s="71">
        <f>s_dir!BC43</f>
        <v>0</v>
      </c>
      <c r="Q43" s="72">
        <f>IFERROR(s_RadSpec!$H$28*Q28,".")*$B$43</f>
        <v>0</v>
      </c>
      <c r="R43" s="72">
        <f>IFERROR(s_RadSpec!$H$28*R28,".")*$B$43</f>
        <v>0</v>
      </c>
      <c r="S43" s="72">
        <f>IFERROR(s_RadSpec!$H$28*S28,".")*$B$43</f>
        <v>0</v>
      </c>
      <c r="T43" s="72">
        <f>IFERROR(s_RadSpec!$H$28*T28,".")*$B$43</f>
        <v>0</v>
      </c>
      <c r="U43" s="72">
        <f>IFERROR(s_RadSpec!$H$28*U28,".")*$B$43</f>
        <v>0</v>
      </c>
      <c r="V43" s="72">
        <f>IFERROR(s_RadSpec!$H$28*V28,".")*$B$43</f>
        <v>0</v>
      </c>
      <c r="W43" s="72">
        <f>IFERROR(s_RadSpec!$H$28*W28,".")*$B$43</f>
        <v>0</v>
      </c>
      <c r="X43" s="72">
        <f>IFERROR(s_RadSpec!$H$28*X28,".")*$B$43</f>
        <v>0</v>
      </c>
      <c r="Y43" s="72">
        <f>IFERROR(s_RadSpec!$H$28*Y28,".")*$B$43</f>
        <v>0</v>
      </c>
      <c r="Z43" s="72">
        <f>IFERROR(s_RadSpec!$H$28*Z28,".")*$B$43</f>
        <v>0</v>
      </c>
      <c r="AA43" s="72">
        <f>IFERROR(s_RadSpec!$H$28*AA28,".")*$B$43</f>
        <v>0</v>
      </c>
      <c r="AB43" s="49">
        <f t="shared" si="138"/>
        <v>0</v>
      </c>
      <c r="AC43" s="49">
        <f t="shared" si="139"/>
        <v>0</v>
      </c>
      <c r="AD43" s="49">
        <f t="shared" si="140"/>
        <v>0</v>
      </c>
      <c r="AE43" s="49">
        <f t="shared" si="141"/>
        <v>0</v>
      </c>
      <c r="AF43" s="49">
        <f t="shared" si="142"/>
        <v>0</v>
      </c>
      <c r="AG43" s="49">
        <f t="shared" si="143"/>
        <v>0</v>
      </c>
      <c r="AH43" s="49">
        <f t="shared" si="144"/>
        <v>0</v>
      </c>
      <c r="AI43" s="49">
        <f t="shared" si="145"/>
        <v>0</v>
      </c>
      <c r="AJ43" s="49">
        <f t="shared" si="146"/>
        <v>0</v>
      </c>
      <c r="AK43" s="49">
        <f t="shared" si="147"/>
        <v>0</v>
      </c>
      <c r="AL43" s="49">
        <f t="shared" si="148"/>
        <v>0</v>
      </c>
      <c r="AM43" s="49">
        <f t="shared" si="149"/>
        <v>0</v>
      </c>
      <c r="AN43" s="60">
        <f t="shared" ref="AN43:BB43" si="206">IFERROR(AN28/$B43,0)</f>
        <v>0</v>
      </c>
      <c r="AO43" s="60">
        <f t="shared" si="206"/>
        <v>0</v>
      </c>
      <c r="AP43" s="60">
        <f t="shared" si="206"/>
        <v>251.2371140573151</v>
      </c>
      <c r="AQ43" s="60">
        <f t="shared" si="206"/>
        <v>0</v>
      </c>
      <c r="AR43" s="60">
        <f>IFERROR(AR28/$B43,0)</f>
        <v>0</v>
      </c>
      <c r="AS43" s="60">
        <f>IFERROR(AS28/$B43,0)</f>
        <v>0</v>
      </c>
      <c r="AT43" s="60">
        <f>IFERROR(AT28/$B43,0)</f>
        <v>0</v>
      </c>
      <c r="AU43" s="60">
        <f>IFERROR(AU28/$B43,0)</f>
        <v>0</v>
      </c>
      <c r="AV43" s="60">
        <f>IFERROR(AV28/$B43,0)</f>
        <v>0</v>
      </c>
      <c r="AW43" s="60">
        <f t="shared" si="206"/>
        <v>0</v>
      </c>
      <c r="AX43" s="60">
        <f t="shared" si="206"/>
        <v>0</v>
      </c>
      <c r="AY43" s="60">
        <f t="shared" si="206"/>
        <v>0</v>
      </c>
      <c r="AZ43" s="60">
        <f>IFERROR(AZ28/$B43,0)</f>
        <v>0</v>
      </c>
      <c r="BA43" s="60">
        <f t="shared" si="206"/>
        <v>0</v>
      </c>
      <c r="BB43" s="60">
        <f t="shared" si="206"/>
        <v>0</v>
      </c>
      <c r="BC43" s="118" t="str">
        <f t="shared" si="63"/>
        <v>.</v>
      </c>
      <c r="BD43" s="118" t="str">
        <f t="shared" si="64"/>
        <v>.</v>
      </c>
      <c r="BE43" s="118">
        <f t="shared" si="65"/>
        <v>3.980303641650129E-3</v>
      </c>
      <c r="BF43" s="118" t="str">
        <f t="shared" si="66"/>
        <v>.</v>
      </c>
      <c r="BG43" s="118" t="str">
        <f t="shared" si="67"/>
        <v>.</v>
      </c>
      <c r="BH43" s="118" t="str">
        <f t="shared" si="68"/>
        <v>.</v>
      </c>
      <c r="BI43" s="118" t="str">
        <f t="shared" si="69"/>
        <v>.</v>
      </c>
      <c r="BJ43" s="118" t="str">
        <f t="shared" si="70"/>
        <v>.</v>
      </c>
      <c r="BK43" s="118" t="str">
        <f t="shared" si="71"/>
        <v>.</v>
      </c>
      <c r="BL43" s="118" t="str">
        <f t="shared" si="72"/>
        <v>.</v>
      </c>
      <c r="BM43" s="118" t="str">
        <f t="shared" si="73"/>
        <v>.</v>
      </c>
      <c r="BN43" s="118" t="str">
        <f t="shared" si="74"/>
        <v>.</v>
      </c>
      <c r="BO43" s="118" t="str">
        <f t="shared" si="75"/>
        <v>.</v>
      </c>
      <c r="BP43" s="118" t="str">
        <f t="shared" si="76"/>
        <v>.</v>
      </c>
      <c r="BQ43" s="118" t="str">
        <f t="shared" si="77"/>
        <v>.</v>
      </c>
      <c r="BR43" s="60">
        <f t="shared" si="46"/>
        <v>251.23711405731507</v>
      </c>
      <c r="BS43" s="72">
        <f>IFERROR(s_RadSpec!$E$28*BS28,".")*$B$43</f>
        <v>0</v>
      </c>
      <c r="BT43" s="72">
        <f>IFERROR(s_RadSpec!$F$28*BT28,".")*$B$43</f>
        <v>0</v>
      </c>
      <c r="BU43" s="72">
        <f>IFERROR(s_RadSpec!$G$28*BU28,".")*$B$43</f>
        <v>1.9901518208250645E-7</v>
      </c>
      <c r="BV43" s="71">
        <f>s_b2s!CC43</f>
        <v>0</v>
      </c>
      <c r="BW43" s="72">
        <f>IFERROR(s_RadSpec!$H$28*BW28,".")*$B$43</f>
        <v>0</v>
      </c>
      <c r="BX43" s="72">
        <f>IFERROR(s_RadSpec!$H$28*BX28,".")*$B$43</f>
        <v>0</v>
      </c>
      <c r="BY43" s="72">
        <f>IFERROR(s_RadSpec!$H$28*BY28,".")*$B$43</f>
        <v>0</v>
      </c>
      <c r="BZ43" s="72">
        <f>IFERROR(s_RadSpec!$H$28*BZ28,".")*$B$43</f>
        <v>0</v>
      </c>
      <c r="CA43" s="72">
        <f>IFERROR(s_RadSpec!$H$28*CA28,".")*$B$43</f>
        <v>0</v>
      </c>
      <c r="CB43" s="72">
        <f>IFERROR(s_RadSpec!$H$28*CB28,".")*$B$43</f>
        <v>0</v>
      </c>
      <c r="CC43" s="72">
        <f>IFERROR(s_RadSpec!$H$28*CC28,".")*$B$43</f>
        <v>0</v>
      </c>
      <c r="CD43" s="72">
        <f>IFERROR(s_RadSpec!$H$28*CD28,".")*$B$43</f>
        <v>0</v>
      </c>
      <c r="CE43" s="72">
        <f>IFERROR(s_RadSpec!$H$28*CE28,".")*$B$43</f>
        <v>0</v>
      </c>
      <c r="CF43" s="72">
        <f>IFERROR(s_RadSpec!$H$28*CF28,".")*$B$43</f>
        <v>0</v>
      </c>
      <c r="CG43" s="72">
        <f>IFERROR(s_RadSpec!$H$28*CG28,".")*$B$43</f>
        <v>0</v>
      </c>
      <c r="CH43" s="49">
        <f t="shared" si="153"/>
        <v>0</v>
      </c>
      <c r="CI43" s="49">
        <f t="shared" si="154"/>
        <v>0</v>
      </c>
      <c r="CJ43" s="49">
        <f t="shared" si="155"/>
        <v>1.9901518208250645E-7</v>
      </c>
      <c r="CK43" s="49">
        <f t="shared" si="156"/>
        <v>0</v>
      </c>
      <c r="CL43" s="49">
        <f t="shared" si="157"/>
        <v>0</v>
      </c>
      <c r="CM43" s="49">
        <f t="shared" si="157"/>
        <v>0</v>
      </c>
      <c r="CN43" s="49">
        <f t="shared" si="110"/>
        <v>0</v>
      </c>
      <c r="CO43" s="49">
        <f t="shared" si="111"/>
        <v>0</v>
      </c>
      <c r="CP43" s="49">
        <f t="shared" si="112"/>
        <v>0</v>
      </c>
      <c r="CQ43" s="49">
        <f t="shared" si="113"/>
        <v>0</v>
      </c>
      <c r="CR43" s="49">
        <f t="shared" si="114"/>
        <v>0</v>
      </c>
      <c r="CS43" s="49">
        <f t="shared" si="115"/>
        <v>0</v>
      </c>
      <c r="CT43" s="49">
        <f t="shared" si="116"/>
        <v>0</v>
      </c>
      <c r="CU43" s="49">
        <f t="shared" si="117"/>
        <v>0</v>
      </c>
      <c r="CV43" s="49">
        <f t="shared" si="118"/>
        <v>0</v>
      </c>
      <c r="CW43" s="49">
        <f t="shared" si="119"/>
        <v>1.9901518208250645E-7</v>
      </c>
      <c r="CX43" s="60">
        <f t="shared" ref="CX43:DL43" si="207">IFERROR(CX28/$B43,0)</f>
        <v>0</v>
      </c>
      <c r="CY43" s="60" t="str">
        <f>IFERROR(CY28,".")</f>
        <v>.</v>
      </c>
      <c r="CZ43" s="60">
        <f t="shared" si="207"/>
        <v>45838623.601539746</v>
      </c>
      <c r="DA43" s="60">
        <f t="shared" si="207"/>
        <v>0</v>
      </c>
      <c r="DB43" s="60">
        <f>IFERROR(DB28/$B43,0)</f>
        <v>0</v>
      </c>
      <c r="DC43" s="60">
        <f>IFERROR(DC28/$B43,0)</f>
        <v>0</v>
      </c>
      <c r="DD43" s="60">
        <f>IFERROR(DD28/$B43,0)</f>
        <v>0</v>
      </c>
      <c r="DE43" s="60">
        <f>IFERROR(DE28/$B43,0)</f>
        <v>0</v>
      </c>
      <c r="DF43" s="60">
        <f>IFERROR(DF28/$B43,0)</f>
        <v>0</v>
      </c>
      <c r="DG43" s="60">
        <f t="shared" si="207"/>
        <v>0</v>
      </c>
      <c r="DH43" s="60">
        <f t="shared" si="207"/>
        <v>0</v>
      </c>
      <c r="DI43" s="60">
        <f t="shared" si="207"/>
        <v>0</v>
      </c>
      <c r="DJ43" s="60">
        <f>IFERROR(DJ28/$B43,0)</f>
        <v>0</v>
      </c>
      <c r="DK43" s="60">
        <f t="shared" si="207"/>
        <v>0</v>
      </c>
      <c r="DL43" s="60">
        <f t="shared" si="207"/>
        <v>0</v>
      </c>
      <c r="DM43" s="118" t="str">
        <f t="shared" si="80"/>
        <v>.</v>
      </c>
      <c r="DN43" s="118" t="str">
        <f t="shared" si="81"/>
        <v>.</v>
      </c>
      <c r="DO43" s="118">
        <f t="shared" si="82"/>
        <v>2.1815663766274374E-8</v>
      </c>
      <c r="DP43" s="118" t="str">
        <f t="shared" si="83"/>
        <v>.</v>
      </c>
      <c r="DQ43" s="118" t="str">
        <f t="shared" si="84"/>
        <v>.</v>
      </c>
      <c r="DR43" s="118" t="str">
        <f t="shared" si="85"/>
        <v>.</v>
      </c>
      <c r="DS43" s="118" t="str">
        <f t="shared" si="86"/>
        <v>.</v>
      </c>
      <c r="DT43" s="118" t="str">
        <f t="shared" si="87"/>
        <v>.</v>
      </c>
      <c r="DU43" s="118" t="str">
        <f t="shared" si="88"/>
        <v>.</v>
      </c>
      <c r="DV43" s="118" t="str">
        <f t="shared" si="89"/>
        <v>.</v>
      </c>
      <c r="DW43" s="118" t="str">
        <f t="shared" si="90"/>
        <v>.</v>
      </c>
      <c r="DX43" s="118" t="str">
        <f t="shared" si="91"/>
        <v>.</v>
      </c>
      <c r="DY43" s="118" t="str">
        <f t="shared" si="92"/>
        <v>.</v>
      </c>
      <c r="DZ43" s="118" t="str">
        <f t="shared" si="93"/>
        <v>.</v>
      </c>
      <c r="EA43" s="118" t="str">
        <f t="shared" si="94"/>
        <v>.</v>
      </c>
      <c r="EB43" s="60">
        <f t="shared" si="47"/>
        <v>45838623.601539746</v>
      </c>
      <c r="EC43" s="72">
        <f>IFERROR(s_RadSpec!$I$28*EC28,".")*$B$43</f>
        <v>0</v>
      </c>
      <c r="ED43" s="72">
        <f>IFERROR(s_RadSpec!$F$28*ED28,".")*$B$43</f>
        <v>0</v>
      </c>
      <c r="EE43" s="72">
        <f>IFERROR(s_RadSpec!$M$28*EE28,".")*$B$43</f>
        <v>1.0907831883137189E-12</v>
      </c>
      <c r="EF43" s="71">
        <f>s_b2w!CC43</f>
        <v>0</v>
      </c>
      <c r="EG43" s="72">
        <f>IFERROR(s_RadSpec!$H$28*EG28,".")*$B$43</f>
        <v>0</v>
      </c>
      <c r="EH43" s="72">
        <f>IFERROR(s_RadSpec!$H$28*EH28,".")*$B$43</f>
        <v>0</v>
      </c>
      <c r="EI43" s="72">
        <f>IFERROR(s_RadSpec!$H$28*EI28,".")*$B$43</f>
        <v>0</v>
      </c>
      <c r="EJ43" s="72">
        <f>IFERROR(s_RadSpec!$H$28*EJ28,".")*$B$43</f>
        <v>0</v>
      </c>
      <c r="EK43" s="72">
        <f>IFERROR(s_RadSpec!$H$28*EK28,".")*$B$43</f>
        <v>0</v>
      </c>
      <c r="EL43" s="72">
        <f>IFERROR(s_RadSpec!$H$28*EL28,".")*$B$43</f>
        <v>0</v>
      </c>
      <c r="EM43" s="72">
        <f>IFERROR(s_RadSpec!$H$28*EM28,".")*$B$43</f>
        <v>0</v>
      </c>
      <c r="EN43" s="72">
        <f>IFERROR(s_RadSpec!$H$28*EN28,".")*$B$43</f>
        <v>0</v>
      </c>
      <c r="EO43" s="72">
        <f>IFERROR(s_RadSpec!$H$28*EO28,".")*$B$43</f>
        <v>0</v>
      </c>
      <c r="EP43" s="72">
        <f>IFERROR(s_RadSpec!$H$28*EP28,".")*$B$43</f>
        <v>0</v>
      </c>
      <c r="EQ43" s="72">
        <f>IFERROR(s_RadSpec!$H$28*EQ28,".")*$B$43</f>
        <v>0</v>
      </c>
      <c r="ER43" s="49">
        <f t="shared" si="121"/>
        <v>0</v>
      </c>
      <c r="ES43" s="49">
        <f t="shared" si="160"/>
        <v>0</v>
      </c>
      <c r="ET43" s="49">
        <f t="shared" si="161"/>
        <v>1.0907831883137189E-12</v>
      </c>
      <c r="EU43" s="49">
        <f t="shared" si="162"/>
        <v>0</v>
      </c>
      <c r="EV43" s="49">
        <f t="shared" si="163"/>
        <v>0</v>
      </c>
      <c r="EW43" s="49">
        <f t="shared" si="163"/>
        <v>0</v>
      </c>
      <c r="EX43" s="49">
        <f t="shared" si="126"/>
        <v>0</v>
      </c>
      <c r="EY43" s="49">
        <f t="shared" si="127"/>
        <v>0</v>
      </c>
      <c r="EZ43" s="49">
        <f t="shared" si="128"/>
        <v>0</v>
      </c>
      <c r="FA43" s="49">
        <f t="shared" si="129"/>
        <v>0</v>
      </c>
      <c r="FB43" s="49">
        <f t="shared" si="130"/>
        <v>0</v>
      </c>
      <c r="FC43" s="49">
        <f t="shared" si="131"/>
        <v>0</v>
      </c>
      <c r="FD43" s="49">
        <f t="shared" si="132"/>
        <v>0</v>
      </c>
      <c r="FE43" s="49">
        <f t="shared" si="133"/>
        <v>0</v>
      </c>
      <c r="FF43" s="49">
        <f t="shared" si="134"/>
        <v>0</v>
      </c>
      <c r="FG43" s="49">
        <f t="shared" si="135"/>
        <v>1.0907831883137189E-12</v>
      </c>
      <c r="FH43" s="60">
        <f>IFERROR(FH28/$B43,0)</f>
        <v>0</v>
      </c>
      <c r="FI43" s="60">
        <f>IFERROR(FI28/$B43,0)</f>
        <v>159205.36587461611</v>
      </c>
      <c r="FJ43" s="60">
        <f>IFERROR(FJ28/$B43,0)</f>
        <v>159205.36587461611</v>
      </c>
      <c r="FK43" s="72">
        <f>IFERROR(s_RadSpec!$F$28*FK28,".")*$B$43</f>
        <v>0</v>
      </c>
      <c r="FL43" s="72">
        <f>IFERROR(s_RadSpec!$K$28*FL28,".")*$B$43</f>
        <v>3.1405976629819151E-10</v>
      </c>
      <c r="FM43" s="49">
        <f t="shared" si="165"/>
        <v>0</v>
      </c>
      <c r="FN43" s="49">
        <f t="shared" si="165"/>
        <v>3.1405976629819151E-10</v>
      </c>
      <c r="FO43" s="49">
        <f t="shared" si="166"/>
        <v>3.1405976629819151E-10</v>
      </c>
    </row>
    <row r="44" spans="1:171" x14ac:dyDescent="0.25">
      <c r="A44" s="83" t="s">
        <v>1086</v>
      </c>
      <c r="B44" s="42">
        <v>0.99987999999999999</v>
      </c>
      <c r="C44" s="42"/>
      <c r="D44" s="60">
        <f t="shared" ref="D44:O44" si="208">IFERROR(D15/$B44,0)</f>
        <v>237.1450813242983</v>
      </c>
      <c r="E44" s="60">
        <f t="shared" si="208"/>
        <v>948.58032529719321</v>
      </c>
      <c r="F44" s="60">
        <f t="shared" si="208"/>
        <v>948.58032529719321</v>
      </c>
      <c r="G44" s="60">
        <f t="shared" si="208"/>
        <v>948.58032529719321</v>
      </c>
      <c r="H44" s="60">
        <f t="shared" si="208"/>
        <v>948.58032529719321</v>
      </c>
      <c r="I44" s="60">
        <f t="shared" si="208"/>
        <v>948.58032529719321</v>
      </c>
      <c r="J44" s="60">
        <f t="shared" si="208"/>
        <v>948.58032529719321</v>
      </c>
      <c r="K44" s="60">
        <f t="shared" ref="K44" si="209">IFERROR(K15/$B44,0)</f>
        <v>948.58032529719321</v>
      </c>
      <c r="L44" s="60">
        <f t="shared" si="208"/>
        <v>948.58032529719321</v>
      </c>
      <c r="M44" s="60">
        <f t="shared" si="208"/>
        <v>948.58032529719321</v>
      </c>
      <c r="N44" s="60">
        <f t="shared" si="208"/>
        <v>948.58032529719321</v>
      </c>
      <c r="O44" s="60">
        <f t="shared" si="208"/>
        <v>948.58032529719321</v>
      </c>
      <c r="P44" s="71">
        <f>s_dir!BC44</f>
        <v>2.1089200704084491E-7</v>
      </c>
      <c r="Q44" s="71">
        <f>IFERROR(s_RadSpec!$H$15*Q15,".")*$B$44</f>
        <v>5.2710348999E-8</v>
      </c>
      <c r="R44" s="71">
        <f>IFERROR(s_RadSpec!$H$15*R15,".")*$B$44</f>
        <v>5.2710348999E-8</v>
      </c>
      <c r="S44" s="71">
        <f>IFERROR(s_RadSpec!$H$15*S15,".")*$B$44</f>
        <v>5.2710348999E-8</v>
      </c>
      <c r="T44" s="71">
        <f>IFERROR(s_RadSpec!$H$15*T15,".")*$B$44</f>
        <v>5.2710348999E-8</v>
      </c>
      <c r="U44" s="71">
        <f>IFERROR(s_RadSpec!$H$15*U15,".")*$B$44</f>
        <v>5.2710348999E-8</v>
      </c>
      <c r="V44" s="71">
        <f>IFERROR(s_RadSpec!$H$15*V15,".")*$B$44</f>
        <v>5.2710348999E-8</v>
      </c>
      <c r="W44" s="71">
        <f>IFERROR(s_RadSpec!$H$15*W15,".")*$B$44</f>
        <v>5.2710348999E-8</v>
      </c>
      <c r="X44" s="71">
        <f>IFERROR(s_RadSpec!$H$15*X15,".")*$B$44</f>
        <v>5.2710348999E-8</v>
      </c>
      <c r="Y44" s="71">
        <f>IFERROR(s_RadSpec!$H$15*Y15,".")*$B$44</f>
        <v>5.2710348999E-8</v>
      </c>
      <c r="Z44" s="71">
        <f>IFERROR(s_RadSpec!$H$15*Z15,".")*$B$44</f>
        <v>5.2710348999E-8</v>
      </c>
      <c r="AA44" s="71">
        <f>IFERROR(s_RadSpec!$H$15*AA15,".")*$B$44</f>
        <v>5.2710348999E-8</v>
      </c>
      <c r="AB44" s="49">
        <f t="shared" si="138"/>
        <v>2.1089200704084491E-7</v>
      </c>
      <c r="AC44" s="49">
        <f t="shared" si="139"/>
        <v>5.2710348999E-8</v>
      </c>
      <c r="AD44" s="49">
        <f t="shared" si="140"/>
        <v>5.2710348999E-8</v>
      </c>
      <c r="AE44" s="49">
        <f t="shared" si="141"/>
        <v>5.2710348999E-8</v>
      </c>
      <c r="AF44" s="49">
        <f t="shared" si="142"/>
        <v>5.2710348999E-8</v>
      </c>
      <c r="AG44" s="49">
        <f t="shared" si="143"/>
        <v>5.2710348999E-8</v>
      </c>
      <c r="AH44" s="49">
        <f t="shared" si="144"/>
        <v>5.2710348999E-8</v>
      </c>
      <c r="AI44" s="49">
        <f t="shared" si="145"/>
        <v>5.2710348999E-8</v>
      </c>
      <c r="AJ44" s="49">
        <f t="shared" si="146"/>
        <v>5.2710348999E-8</v>
      </c>
      <c r="AK44" s="49">
        <f t="shared" si="147"/>
        <v>5.2710348999E-8</v>
      </c>
      <c r="AL44" s="49">
        <f t="shared" si="148"/>
        <v>5.2710348999E-8</v>
      </c>
      <c r="AM44" s="49">
        <f t="shared" si="149"/>
        <v>5.2710348999E-8</v>
      </c>
      <c r="AN44" s="60">
        <f t="shared" ref="AN44:BB44" si="210">IFERROR(AN15/$B44,0)</f>
        <v>264367.65278992779</v>
      </c>
      <c r="AO44" s="60">
        <f t="shared" si="210"/>
        <v>7430899847.8160448</v>
      </c>
      <c r="AP44" s="60">
        <f t="shared" si="210"/>
        <v>0</v>
      </c>
      <c r="AQ44" s="60">
        <f t="shared" si="210"/>
        <v>10505.928954448922</v>
      </c>
      <c r="AR44" s="60">
        <f>IFERROR(AR15/$B44,0)</f>
        <v>5691.4819517831593</v>
      </c>
      <c r="AS44" s="60">
        <f>IFERROR(AS15/$B44,0)</f>
        <v>6467.5931270263172</v>
      </c>
      <c r="AT44" s="60">
        <f>IFERROR(AT15/$B44,0)</f>
        <v>15212.255907991846</v>
      </c>
      <c r="AU44" s="60">
        <f>IFERROR(AU15/$B44,0)</f>
        <v>57726.5079455901</v>
      </c>
      <c r="AV44" s="60">
        <f>IFERROR(AV15/$B44,0)</f>
        <v>0</v>
      </c>
      <c r="AW44" s="60">
        <f t="shared" si="210"/>
        <v>0</v>
      </c>
      <c r="AX44" s="60">
        <f t="shared" si="210"/>
        <v>0</v>
      </c>
      <c r="AY44" s="60">
        <f t="shared" si="210"/>
        <v>0</v>
      </c>
      <c r="AZ44" s="60">
        <f>IFERROR(AZ15/$B44,0)</f>
        <v>1828.0060849436866</v>
      </c>
      <c r="BA44" s="60">
        <f t="shared" si="210"/>
        <v>1499.799878252717</v>
      </c>
      <c r="BB44" s="60">
        <f t="shared" si="210"/>
        <v>313.37247170463195</v>
      </c>
      <c r="BC44" s="118">
        <f t="shared" si="63"/>
        <v>3.7826110322000004E-6</v>
      </c>
      <c r="BD44" s="118">
        <f t="shared" si="64"/>
        <v>1.3457320384877773E-10</v>
      </c>
      <c r="BE44" s="118" t="str">
        <f t="shared" si="65"/>
        <v>.</v>
      </c>
      <c r="BF44" s="118">
        <f t="shared" si="66"/>
        <v>9.51843482223942E-5</v>
      </c>
      <c r="BG44" s="118">
        <f t="shared" si="67"/>
        <v>1.7570116333E-4</v>
      </c>
      <c r="BH44" s="118">
        <f t="shared" si="68"/>
        <v>1.5461702373039998E-4</v>
      </c>
      <c r="BI44" s="118">
        <f t="shared" si="69"/>
        <v>6.5736469728637967E-5</v>
      </c>
      <c r="BJ44" s="118">
        <f t="shared" si="70"/>
        <v>1.7323064144856056E-5</v>
      </c>
      <c r="BK44" s="118" t="str">
        <f t="shared" si="71"/>
        <v>.</v>
      </c>
      <c r="BL44" s="118" t="str">
        <f t="shared" si="72"/>
        <v>.</v>
      </c>
      <c r="BM44" s="118" t="str">
        <f t="shared" si="73"/>
        <v>.</v>
      </c>
      <c r="BN44" s="118" t="str">
        <f t="shared" si="74"/>
        <v>.</v>
      </c>
      <c r="BO44" s="118">
        <f t="shared" si="75"/>
        <v>5.4704413089019116E-4</v>
      </c>
      <c r="BP44" s="118">
        <f t="shared" si="76"/>
        <v>6.6675562153332806E-4</v>
      </c>
      <c r="BQ44" s="118">
        <f t="shared" si="77"/>
        <v>3.1910907635261153E-3</v>
      </c>
      <c r="BR44" s="60">
        <f t="shared" si="46"/>
        <v>203.36630906280828</v>
      </c>
      <c r="BS44" s="71">
        <f>IFERROR(s_RadSpec!$E$15*BS15,".")*$B$44</f>
        <v>1.8913055160999999E-10</v>
      </c>
      <c r="BT44" s="71">
        <f>IFERROR(s_RadSpec!$F$15*BT15,".")*$B$44</f>
        <v>6.7286601924388865E-15</v>
      </c>
      <c r="BU44" s="71">
        <f>IFERROR(s_RadSpec!$G$15*BU15,".")*$B$44</f>
        <v>0</v>
      </c>
      <c r="BV44" s="71">
        <f>s_b2s!CC44</f>
        <v>4.7603598289294713E-9</v>
      </c>
      <c r="BW44" s="71">
        <f>IFERROR(s_RadSpec!$H$15*BW15,".")*$B$44</f>
        <v>8.7850581665000017E-9</v>
      </c>
      <c r="BX44" s="71">
        <f>IFERROR(s_RadSpec!$H$15*BX15,".")*$B$44</f>
        <v>7.7308511865200005E-9</v>
      </c>
      <c r="BY44" s="71">
        <f>IFERROR(s_RadSpec!$H$15*BY15,".")*$B$44</f>
        <v>3.2868234864318986E-9</v>
      </c>
      <c r="BZ44" s="71">
        <f>IFERROR(s_RadSpec!$H$15*BZ15,".")*$B$44</f>
        <v>8.6615320724280269E-10</v>
      </c>
      <c r="CA44" s="71">
        <f>IFERROR(s_RadSpec!$H$15*CA15,".")*$B$44</f>
        <v>0</v>
      </c>
      <c r="CB44" s="71">
        <f>IFERROR(s_RadSpec!$H$15*CB15,".")*$B$44</f>
        <v>0</v>
      </c>
      <c r="CC44" s="71">
        <f>IFERROR(s_RadSpec!$H$15*CC15,".")*$B$44</f>
        <v>0</v>
      </c>
      <c r="CD44" s="71">
        <f>IFERROR(s_RadSpec!$H$15*CD15,".")*$B$44</f>
        <v>0</v>
      </c>
      <c r="CE44" s="71">
        <f>IFERROR(s_RadSpec!$H$15*CE15,".")*$B$44</f>
        <v>2.7352206544509557E-8</v>
      </c>
      <c r="CF44" s="71">
        <f>IFERROR(s_RadSpec!$H$15*CF15,".")*$B$44</f>
        <v>3.3337781076666405E-8</v>
      </c>
      <c r="CG44" s="71">
        <f>IFERROR(s_RadSpec!$H$15*CG15,".")*$B$44</f>
        <v>1.595545381763058E-7</v>
      </c>
      <c r="CH44" s="49">
        <f t="shared" si="153"/>
        <v>1.8913055160999999E-10</v>
      </c>
      <c r="CI44" s="49">
        <f t="shared" si="154"/>
        <v>6.7286601924388865E-15</v>
      </c>
      <c r="CJ44" s="49">
        <f t="shared" si="155"/>
        <v>0</v>
      </c>
      <c r="CK44" s="49">
        <f t="shared" si="156"/>
        <v>4.7603598289294713E-9</v>
      </c>
      <c r="CL44" s="49">
        <f t="shared" si="157"/>
        <v>8.7850581665000017E-9</v>
      </c>
      <c r="CM44" s="49">
        <f t="shared" si="157"/>
        <v>7.7308511865200005E-9</v>
      </c>
      <c r="CN44" s="49">
        <f t="shared" si="110"/>
        <v>3.2868234864318986E-9</v>
      </c>
      <c r="CO44" s="49">
        <f t="shared" si="111"/>
        <v>8.6615320724280269E-10</v>
      </c>
      <c r="CP44" s="49">
        <f t="shared" si="112"/>
        <v>0</v>
      </c>
      <c r="CQ44" s="49">
        <f t="shared" si="113"/>
        <v>0</v>
      </c>
      <c r="CR44" s="49">
        <f t="shared" si="114"/>
        <v>0</v>
      </c>
      <c r="CS44" s="49">
        <f t="shared" si="115"/>
        <v>0</v>
      </c>
      <c r="CT44" s="49">
        <f t="shared" si="116"/>
        <v>2.7352206544509557E-8</v>
      </c>
      <c r="CU44" s="49">
        <f t="shared" si="117"/>
        <v>3.3337781076666405E-8</v>
      </c>
      <c r="CV44" s="49">
        <f t="shared" si="118"/>
        <v>1.595545381763058E-7</v>
      </c>
      <c r="CW44" s="49">
        <f t="shared" si="119"/>
        <v>2.458629089533761E-7</v>
      </c>
      <c r="CX44" s="60">
        <f t="shared" ref="CX44:DL44" si="211">IFERROR(CX15/$B44,0)</f>
        <v>7549.3005612361885</v>
      </c>
      <c r="CY44" s="60" t="str">
        <f>IFERROR(CY15,".")</f>
        <v>.</v>
      </c>
      <c r="CZ44" s="60">
        <f t="shared" si="211"/>
        <v>8569288820.223526</v>
      </c>
      <c r="DA44" s="60">
        <f t="shared" si="211"/>
        <v>17566.926533407874</v>
      </c>
      <c r="DB44" s="60">
        <f>IFERROR(DB15/$B44,0)</f>
        <v>37943.213011887725</v>
      </c>
      <c r="DC44" s="60">
        <f>IFERROR(DC15/$B44,0)</f>
        <v>43117.287513508789</v>
      </c>
      <c r="DD44" s="60">
        <f>IFERROR(DD15/$B44,0)</f>
        <v>271022950.08491236</v>
      </c>
      <c r="DE44" s="60">
        <f>IFERROR(DE15/$B44,0)</f>
        <v>1028460773.7432725</v>
      </c>
      <c r="DF44" s="60">
        <f>IFERROR(DF15/$B44,0)</f>
        <v>0</v>
      </c>
      <c r="DG44" s="60">
        <f t="shared" si="211"/>
        <v>0</v>
      </c>
      <c r="DH44" s="60">
        <f t="shared" si="211"/>
        <v>0</v>
      </c>
      <c r="DI44" s="60">
        <f t="shared" si="211"/>
        <v>0</v>
      </c>
      <c r="DJ44" s="60">
        <f>IFERROR(DJ15/$B44,0)</f>
        <v>32567924.501870301</v>
      </c>
      <c r="DK44" s="60">
        <f t="shared" si="211"/>
        <v>26720572.543582905</v>
      </c>
      <c r="DL44" s="60">
        <f t="shared" si="211"/>
        <v>5583072.7717491938</v>
      </c>
      <c r="DM44" s="118">
        <f t="shared" si="80"/>
        <v>1.3246260257999997E-4</v>
      </c>
      <c r="DN44" s="118" t="str">
        <f t="shared" si="81"/>
        <v>.</v>
      </c>
      <c r="DO44" s="118">
        <f t="shared" si="82"/>
        <v>1.1669579833042847E-10</v>
      </c>
      <c r="DP44" s="118">
        <f t="shared" si="83"/>
        <v>5.6925154101273871E-5</v>
      </c>
      <c r="DQ44" s="118">
        <f t="shared" si="84"/>
        <v>2.6355174499500001E-5</v>
      </c>
      <c r="DR44" s="118">
        <f t="shared" si="85"/>
        <v>2.3192553559559994E-5</v>
      </c>
      <c r="DS44" s="118">
        <f t="shared" si="86"/>
        <v>3.6897244299299995E-9</v>
      </c>
      <c r="DT44" s="118">
        <f t="shared" si="87"/>
        <v>9.7232682619514561E-10</v>
      </c>
      <c r="DU44" s="118" t="str">
        <f t="shared" si="88"/>
        <v>.</v>
      </c>
      <c r="DV44" s="118" t="str">
        <f t="shared" si="89"/>
        <v>.</v>
      </c>
      <c r="DW44" s="118" t="str">
        <f t="shared" si="90"/>
        <v>.</v>
      </c>
      <c r="DX44" s="118" t="str">
        <f t="shared" si="91"/>
        <v>.</v>
      </c>
      <c r="DY44" s="118">
        <f t="shared" si="92"/>
        <v>3.0705057669320383E-8</v>
      </c>
      <c r="DZ44" s="118">
        <f t="shared" si="93"/>
        <v>3.7424347789290003E-8</v>
      </c>
      <c r="EA44" s="118">
        <f t="shared" si="94"/>
        <v>1.7911283640436893E-7</v>
      </c>
      <c r="EB44" s="60">
        <f t="shared" si="47"/>
        <v>4180.8203858773113</v>
      </c>
      <c r="EC44" s="71">
        <f>IFERROR(s_RadSpec!$I$15*EC15,".")*$B$44</f>
        <v>6.6231301290000003E-9</v>
      </c>
      <c r="ED44" s="71">
        <f>IFERROR(s_RadSpec!$F$15*ED15,".")*$B$44</f>
        <v>0</v>
      </c>
      <c r="EE44" s="71">
        <f>IFERROR(s_RadSpec!$M$15*EE15,".")*$B$44</f>
        <v>5.8347899165214243E-15</v>
      </c>
      <c r="EF44" s="71">
        <f>s_b2w!CC44</f>
        <v>2.8469409298909179E-9</v>
      </c>
      <c r="EG44" s="71">
        <f>IFERROR(s_RadSpec!$H$15*EG15,".")*$B$44</f>
        <v>1.3177587249749999E-9</v>
      </c>
      <c r="EH44" s="71">
        <f>IFERROR(s_RadSpec!$H$15*EH15,".")*$B$44</f>
        <v>1.1596276779780001E-9</v>
      </c>
      <c r="EI44" s="71">
        <f>IFERROR(s_RadSpec!$H$15*EI15,".")*$B$44</f>
        <v>1.8448622149649999E-13</v>
      </c>
      <c r="EJ44" s="71">
        <f>IFERROR(s_RadSpec!$H$15*EJ15,".")*$B$44</f>
        <v>4.8616341309757286E-14</v>
      </c>
      <c r="EK44" s="71">
        <f>IFERROR(s_RadSpec!$H$15*EK15,".")*$B$44</f>
        <v>0</v>
      </c>
      <c r="EL44" s="71">
        <f>IFERROR(s_RadSpec!$H$15*EL15,".")*$B$44</f>
        <v>0</v>
      </c>
      <c r="EM44" s="71">
        <f>IFERROR(s_RadSpec!$H$15*EM15,".")*$B$44</f>
        <v>0</v>
      </c>
      <c r="EN44" s="71">
        <f>IFERROR(s_RadSpec!$H$15*EN15,".")*$B$44</f>
        <v>0</v>
      </c>
      <c r="EO44" s="71">
        <f>IFERROR(s_RadSpec!$H$15*EO15,".")*$B$44</f>
        <v>1.5352528834660197E-12</v>
      </c>
      <c r="EP44" s="71">
        <f>IFERROR(s_RadSpec!$H$15*EP15,".")*$B$44</f>
        <v>1.8712173894644997E-12</v>
      </c>
      <c r="EQ44" s="71">
        <f>IFERROR(s_RadSpec!$H$15*EQ15,".")*$B$44</f>
        <v>8.9556418202184496E-12</v>
      </c>
      <c r="ER44" s="49">
        <f t="shared" si="121"/>
        <v>6.6231301290000003E-9</v>
      </c>
      <c r="ES44" s="49">
        <f t="shared" si="160"/>
        <v>0</v>
      </c>
      <c r="ET44" s="49">
        <f t="shared" si="161"/>
        <v>5.8347899165214243E-15</v>
      </c>
      <c r="EU44" s="49">
        <f t="shared" si="162"/>
        <v>2.8469409298909179E-9</v>
      </c>
      <c r="EV44" s="49">
        <f t="shared" si="163"/>
        <v>1.3177587249749999E-9</v>
      </c>
      <c r="EW44" s="49">
        <f t="shared" si="163"/>
        <v>1.1596276779780001E-9</v>
      </c>
      <c r="EX44" s="49">
        <f t="shared" si="126"/>
        <v>1.8448622149649999E-13</v>
      </c>
      <c r="EY44" s="49">
        <f t="shared" si="127"/>
        <v>4.8616341309757286E-14</v>
      </c>
      <c r="EZ44" s="49">
        <f t="shared" si="128"/>
        <v>0</v>
      </c>
      <c r="FA44" s="49">
        <f t="shared" si="129"/>
        <v>0</v>
      </c>
      <c r="FB44" s="49">
        <f t="shared" si="130"/>
        <v>0</v>
      </c>
      <c r="FC44" s="49">
        <f t="shared" si="131"/>
        <v>0</v>
      </c>
      <c r="FD44" s="49">
        <f t="shared" si="132"/>
        <v>1.5352528834660197E-12</v>
      </c>
      <c r="FE44" s="49">
        <f t="shared" si="133"/>
        <v>1.8712173894644997E-12</v>
      </c>
      <c r="FF44" s="49">
        <f t="shared" si="134"/>
        <v>8.9556418202184496E-12</v>
      </c>
      <c r="FG44" s="49">
        <f t="shared" si="135"/>
        <v>1.1960058511289788E-8</v>
      </c>
      <c r="FH44" s="60">
        <f>IFERROR(FH15/$B44,0)</f>
        <v>23985.820430860029</v>
      </c>
      <c r="FI44" s="60">
        <f>IFERROR(FI15/$B44,0)</f>
        <v>18688092.8791724</v>
      </c>
      <c r="FJ44" s="60">
        <f>IFERROR(FJ15/$B44,0)</f>
        <v>23955.074537206125</v>
      </c>
      <c r="FK44" s="71">
        <f>IFERROR(s_RadSpec!$F$15*FK15,".")*$B$44</f>
        <v>2.0845649263541666E-9</v>
      </c>
      <c r="FL44" s="71">
        <f>IFERROR(s_RadSpec!$K$15*FL15,".")*$B$44</f>
        <v>2.6755004014200004E-12</v>
      </c>
      <c r="FM44" s="49">
        <f t="shared" si="165"/>
        <v>2.0845649263541666E-9</v>
      </c>
      <c r="FN44" s="49">
        <f t="shared" si="165"/>
        <v>2.6755004014200004E-12</v>
      </c>
      <c r="FO44" s="49">
        <f t="shared" si="166"/>
        <v>2.0872404267555867E-9</v>
      </c>
    </row>
    <row r="45" spans="1:171" x14ac:dyDescent="0.25">
      <c r="A45" s="82" t="s">
        <v>20</v>
      </c>
      <c r="B45" s="82" t="s">
        <v>1071</v>
      </c>
      <c r="C45" s="57"/>
      <c r="D45" s="58">
        <f>IFERROR(IF(AND(D46&lt;&gt;0,D47&lt;&gt;0),1/SUM(1/D46,1/D47),IF(AND(D46&lt;&gt;0,D47=0),1/(1/D46),IF(AND(D46=0,D47&lt;&gt;0),1/(1/D47),IF(AND(D46=0,D47=0),".")))),".")</f>
        <v>2.2115233636385754</v>
      </c>
      <c r="E45" s="58">
        <f t="shared" ref="E45:O45" si="212">IFERROR(IF(AND(E46&lt;&gt;0,E47&lt;&gt;0),1/SUM(1/E46,1/E47),IF(AND(E46&lt;&gt;0,E47=0),1/(1/E46),IF(AND(E46=0,E47&lt;&gt;0),1/(1/E47),IF(AND(E46=0,E47=0),".")))),".")</f>
        <v>8.8460934545543015</v>
      </c>
      <c r="F45" s="58">
        <f t="shared" si="212"/>
        <v>8.8460934545543015</v>
      </c>
      <c r="G45" s="58">
        <f t="shared" si="212"/>
        <v>8.8460934545543015</v>
      </c>
      <c r="H45" s="58">
        <f t="shared" si="212"/>
        <v>8.8460934545543015</v>
      </c>
      <c r="I45" s="58">
        <f t="shared" si="212"/>
        <v>8.8460934545543015</v>
      </c>
      <c r="J45" s="58">
        <f t="shared" si="212"/>
        <v>8.8460934545543015</v>
      </c>
      <c r="K45" s="58">
        <f t="shared" ref="K45" si="213">IFERROR(IF(AND(K46&lt;&gt;0,K47&lt;&gt;0),1/SUM(1/K46,1/K47),IF(AND(K46&lt;&gt;0,K47=0),1/(1/K46),IF(AND(K46=0,K47&lt;&gt;0),1/(1/K47),IF(AND(K46=0,K47=0),".")))),".")</f>
        <v>8.8460934545543015</v>
      </c>
      <c r="L45" s="58">
        <f t="shared" si="212"/>
        <v>8.8460934545543015</v>
      </c>
      <c r="M45" s="58">
        <f t="shared" si="212"/>
        <v>8.8460934545543015</v>
      </c>
      <c r="N45" s="58">
        <f t="shared" si="212"/>
        <v>8.8460934545543015</v>
      </c>
      <c r="O45" s="58">
        <f t="shared" si="212"/>
        <v>8.8460934545543015</v>
      </c>
      <c r="P45" s="73"/>
      <c r="Q45" s="70"/>
      <c r="R45" s="70"/>
      <c r="S45" s="70"/>
      <c r="T45" s="70"/>
      <c r="U45" s="70"/>
      <c r="V45" s="70"/>
      <c r="W45" s="70"/>
      <c r="X45" s="70"/>
      <c r="Y45" s="70"/>
      <c r="Z45" s="70"/>
      <c r="AA45" s="70"/>
      <c r="AB45" s="47">
        <f t="shared" ref="AB45:AM45" si="214">IFERROR(IF(SUM(P46:P47)&gt;0.01,1-EXP(-SUM(P46:P47)),SUM(P46:P47)),".")</f>
        <v>2.2608850000000003E-5</v>
      </c>
      <c r="AC45" s="47">
        <f t="shared" si="214"/>
        <v>5.6522125000000007E-6</v>
      </c>
      <c r="AD45" s="47">
        <f t="shared" si="214"/>
        <v>5.6522125000000007E-6</v>
      </c>
      <c r="AE45" s="47">
        <f t="shared" si="214"/>
        <v>5.6522125000000007E-6</v>
      </c>
      <c r="AF45" s="47">
        <f t="shared" si="214"/>
        <v>5.6522125000000007E-6</v>
      </c>
      <c r="AG45" s="47">
        <f t="shared" si="214"/>
        <v>5.6522125000000007E-6</v>
      </c>
      <c r="AH45" s="47">
        <f t="shared" si="214"/>
        <v>5.6522125000000007E-6</v>
      </c>
      <c r="AI45" s="47">
        <f t="shared" si="214"/>
        <v>5.6522125000000007E-6</v>
      </c>
      <c r="AJ45" s="47">
        <f t="shared" si="214"/>
        <v>5.6522125000000007E-6</v>
      </c>
      <c r="AK45" s="47">
        <f t="shared" si="214"/>
        <v>5.6522125000000007E-6</v>
      </c>
      <c r="AL45" s="47">
        <f t="shared" si="214"/>
        <v>5.6522125000000007E-6</v>
      </c>
      <c r="AM45" s="47">
        <f t="shared" si="214"/>
        <v>5.6522125000000007E-6</v>
      </c>
      <c r="AN45" s="58">
        <f t="shared" ref="AN45:BB45" si="215">IFERROR(IF(AND(AN46&lt;&gt;0,AN47&lt;&gt;0),1/SUM(1/AN46,1/AN47),IF(AND(AN46&lt;&gt;0,AN47=0),1/(1/AN46),IF(AND(AN46=0,AN47&lt;&gt;0),1/(1/AN47),IF(AND(AN46=0,AN47=0),".")))),".")</f>
        <v>3884.5888648260193</v>
      </c>
      <c r="AO45" s="58">
        <f t="shared" si="215"/>
        <v>13735738.732193686</v>
      </c>
      <c r="AP45" s="58">
        <f>IFERROR(IF(AND(AP46&lt;&gt;0,AP47&lt;&gt;0),1/SUM(1/AP46,1/AP47),IF(AND(AP46&lt;&gt;0,AP47=0),1/(1/AP46),IF(AND(AP46=0,AP47&lt;&gt;0),1/(1/AP47),IF(AND(AP46=0,AP47=0),".")))),".")</f>
        <v>34.875573905860897</v>
      </c>
      <c r="AQ45" s="58">
        <f t="shared" si="215"/>
        <v>80.033415855915152</v>
      </c>
      <c r="AR45" s="58">
        <f>IFERROR(IF(AND(AR46&lt;&gt;0,AR47&lt;&gt;0),1/SUM(1/AR46,1/AR47),IF(AND(AR46&lt;&gt;0,AR47=0),1/(1/AR46),IF(AND(AR46=0,AR47&lt;&gt;0),1/(1/AR47),IF(AND(AR46=0,AR47=0),".")))),".")</f>
        <v>3.5384373818217206E-2</v>
      </c>
      <c r="AS45" s="58">
        <f>IFERROR(IF(AND(AS46&lt;&gt;0,AS47&lt;&gt;0),1/SUM(1/AS46,1/AS47),IF(AND(AS46&lt;&gt;0,AS47=0),1/(1/AS46),IF(AND(AS46=0,AS47&lt;&gt;0),1/(1/AS47),IF(AND(AS46=0,AS47=0),".")))),".")</f>
        <v>3.8461275889366524</v>
      </c>
      <c r="AT45" s="58">
        <f>IFERROR(IF(AND(AT46&lt;&gt;0,AT47&lt;&gt;0),1/SUM(1/AT46,1/AT47),IF(AND(AT46&lt;&gt;0,AT47=0),1/(1/AT46),IF(AND(AT46=0,AT47&lt;&gt;0),1/(1/AT47),IF(AND(AT46=0,AT47=0),".")))),".")</f>
        <v>4.3864926220930442</v>
      </c>
      <c r="AU45" s="58">
        <f>IFERROR(IF(AND(AU46&lt;&gt;0,AU47&lt;&gt;0),1/SUM(1/AU46,1/AU47),IF(AND(AU46&lt;&gt;0,AU47=0),1/(1/AU46),IF(AND(AU46=0,AU47&lt;&gt;0),1/(1/AU47),IF(AND(AU46=0,AU47=0),".")))),".")</f>
        <v>21.60824409057139</v>
      </c>
      <c r="AV45" s="58">
        <f>IFERROR(IF(AND(AV46&lt;&gt;0,AV47&lt;&gt;0),1/SUM(1/AV46,1/AV47),IF(AND(AV46&lt;&gt;0,AV47=0),1/(1/AV46),IF(AND(AV46=0,AV47&lt;&gt;0),1/(1/AV47),IF(AND(AV46=0,AV47=0),".")))),".")</f>
        <v>0.48251418843023486</v>
      </c>
      <c r="AW45" s="58">
        <f t="shared" si="215"/>
        <v>3.5741791735572945E-2</v>
      </c>
      <c r="AX45" s="58">
        <f t="shared" si="215"/>
        <v>0.24125709421511743</v>
      </c>
      <c r="AY45" s="58">
        <f t="shared" si="215"/>
        <v>0.30157136776889676</v>
      </c>
      <c r="AZ45" s="58">
        <f>IFERROR(IF(AND(AZ46&lt;&gt;0,AZ47&lt;&gt;0),1/SUM(1/AZ46,1/AZ47),IF(AND(AZ46&lt;&gt;0,AZ47=0),1/(1/AZ46),IF(AND(AZ46=0,AZ47&lt;&gt;0),1/(1/AZ47),IF(AND(AZ46=0,AZ47=0),".")))),".")</f>
        <v>0.90361748015116716</v>
      </c>
      <c r="BA45" s="58">
        <f t="shared" si="215"/>
        <v>0.50790967203182613</v>
      </c>
      <c r="BB45" s="58">
        <f t="shared" si="215"/>
        <v>1.7137572899418685</v>
      </c>
      <c r="BC45" s="118">
        <f t="shared" si="63"/>
        <v>2.5742749999999997E-4</v>
      </c>
      <c r="BD45" s="118">
        <f t="shared" si="64"/>
        <v>7.2802782543920272E-8</v>
      </c>
      <c r="BE45" s="118">
        <f t="shared" si="65"/>
        <v>2.867336327422983E-2</v>
      </c>
      <c r="BF45" s="118">
        <f t="shared" si="66"/>
        <v>1.2494780952499998E-2</v>
      </c>
      <c r="BG45" s="118">
        <f t="shared" si="67"/>
        <v>28.261062499999998</v>
      </c>
      <c r="BH45" s="118">
        <f t="shared" si="68"/>
        <v>0.26000177499999999</v>
      </c>
      <c r="BI45" s="118">
        <f t="shared" si="69"/>
        <v>0.22797257083333319</v>
      </c>
      <c r="BJ45" s="118">
        <f t="shared" si="70"/>
        <v>4.6278633090614855E-2</v>
      </c>
      <c r="BK45" s="118">
        <f t="shared" si="71"/>
        <v>2.0724779166666654</v>
      </c>
      <c r="BL45" s="118">
        <f t="shared" si="72"/>
        <v>27.97845187499999</v>
      </c>
      <c r="BM45" s="118">
        <f t="shared" si="73"/>
        <v>4.1449558333333307</v>
      </c>
      <c r="BN45" s="118">
        <f t="shared" si="74"/>
        <v>3.3159646666666651</v>
      </c>
      <c r="BO45" s="118">
        <f t="shared" si="75"/>
        <v>1.1066629652103552</v>
      </c>
      <c r="BP45" s="118">
        <f t="shared" si="76"/>
        <v>1.9688540208333323</v>
      </c>
      <c r="BQ45" s="118">
        <f t="shared" si="77"/>
        <v>0.58351319983818739</v>
      </c>
      <c r="BR45" s="59">
        <f t="shared" si="46"/>
        <v>1.4284159026275041E-2</v>
      </c>
      <c r="BS45" s="70"/>
      <c r="BT45" s="70"/>
      <c r="BU45" s="70"/>
      <c r="BV45" s="73"/>
      <c r="BW45" s="70"/>
      <c r="BX45" s="70"/>
      <c r="BY45" s="70"/>
      <c r="BZ45" s="70"/>
      <c r="CA45" s="70"/>
      <c r="CB45" s="70"/>
      <c r="CC45" s="70"/>
      <c r="CD45" s="70"/>
      <c r="CE45" s="70"/>
      <c r="CF45" s="70"/>
      <c r="CG45" s="70"/>
      <c r="CH45" s="47">
        <f t="shared" ref="CH45:CV45" si="216">IFERROR(IF(SUM(BS46:BS47)&gt;0.01,1-EXP(-SUM(BS46:BS47)),SUM(BS46:BS47)),".")</f>
        <v>1.2871374999999999E-8</v>
      </c>
      <c r="CI45" s="47">
        <f t="shared" si="216"/>
        <v>3.6401391271960136E-12</v>
      </c>
      <c r="CJ45" s="47">
        <f t="shared" si="216"/>
        <v>1.4336681637114915E-6</v>
      </c>
      <c r="CK45" s="47">
        <f t="shared" si="216"/>
        <v>6.247390476250001E-7</v>
      </c>
      <c r="CL45" s="47">
        <f t="shared" si="216"/>
        <v>1.4130531250000002E-3</v>
      </c>
      <c r="CM45" s="47">
        <f t="shared" si="216"/>
        <v>1.300008875E-5</v>
      </c>
      <c r="CN45" s="47">
        <f t="shared" si="216"/>
        <v>1.1398628541666663E-5</v>
      </c>
      <c r="CO45" s="47">
        <f t="shared" si="216"/>
        <v>2.3139316545307435E-6</v>
      </c>
      <c r="CP45" s="47">
        <f t="shared" si="216"/>
        <v>1.036238958333333E-4</v>
      </c>
      <c r="CQ45" s="47">
        <f t="shared" si="216"/>
        <v>1.3989225937499996E-3</v>
      </c>
      <c r="CR45" s="47">
        <f t="shared" si="216"/>
        <v>2.0724779166666661E-4</v>
      </c>
      <c r="CS45" s="47">
        <f t="shared" si="216"/>
        <v>1.6579823333333327E-4</v>
      </c>
      <c r="CT45" s="47">
        <f t="shared" si="216"/>
        <v>5.5333148260517775E-5</v>
      </c>
      <c r="CU45" s="47">
        <f t="shared" si="216"/>
        <v>9.8442701041666629E-5</v>
      </c>
      <c r="CV45" s="47">
        <f t="shared" si="216"/>
        <v>2.9175659991909375E-5</v>
      </c>
      <c r="CW45" s="47">
        <f>IFERROR(IF(SUM(BS46:CG47)&gt;0.01,1-EXP(-SUM(BS46:CG47)),SUM(BS46:CG47)),".")</f>
        <v>3.5003810800501001E-3</v>
      </c>
      <c r="CX45" s="59">
        <f t="shared" ref="CX45" si="217">IFERROR(IF(AND(CX46&lt;&gt;0,CX47&lt;&gt;0),1/SUM(1/CX46,1/CX47),IF(AND(CX46&lt;&gt;0,CX47=0),1/(1/CX46),IF(AND(CX46=0,CX47&lt;&gt;0),1/(1/CX47),IF(AND(CX46=0,CX47=0),".")))),".")</f>
        <v>59.635981966079065</v>
      </c>
      <c r="CY45" s="58" t="str">
        <f>IFERROR(IF(AND(CY46&lt;&gt;0,CY47&lt;&gt;0),1/SUM(1/CY46,1/CY47),IF(AND(CY46&lt;&gt;0,CY47=0),1/(1/CY46),IF(AND(CY46=0,CY47&lt;&gt;0),1/(1/CY47),IF(AND(CY46=0,CY47=0),".")))),".")</f>
        <v>.</v>
      </c>
      <c r="CZ45" s="59">
        <f t="shared" ref="CZ45" si="218">IFERROR(IF(AND(CZ46&lt;&gt;0,CZ47&lt;&gt;0),1/SUM(1/CZ46,1/CZ47),IF(AND(CZ46&lt;&gt;0,CZ47=0),1/(1/CZ46),IF(AND(CZ46=0,CZ47&lt;&gt;0),1/(1/CZ47),IF(AND(CZ46=0,CZ47=0),".")))),".")</f>
        <v>3857836.2458394091</v>
      </c>
      <c r="DA45" s="59">
        <f t="shared" ref="DA45" si="219">IFERROR(IF(AND(DA46&lt;&gt;0,DA47&lt;&gt;0),1/SUM(1/DA46,1/DA47),IF(AND(DA46&lt;&gt;0,DA47=0),1/(1/DA46),IF(AND(DA46=0,DA47&lt;&gt;0),1/(1/DA47),IF(AND(DA46=0,DA47=0),".")))),".")</f>
        <v>152.46684606309401</v>
      </c>
      <c r="DB45" s="59">
        <f t="shared" ref="DB45" si="220">IFERROR(IF(AND(DB46&lt;&gt;0,DB47&lt;&gt;0),1/SUM(1/DB46,1/DB47),IF(AND(DB46&lt;&gt;0,DB47=0),1/(1/DB46),IF(AND(DB46=0,DB47&lt;&gt;0),1/(1/DB47),IF(AND(DB46=0,DB47=0),".")))),".")</f>
        <v>3.5384373818217201</v>
      </c>
      <c r="DC45" s="59">
        <f>IFERROR(IF(AND(DC46&lt;&gt;0,DC47&lt;&gt;0),1/SUM(1/DC46,1/DC47),IF(AND(DC46&lt;&gt;0,DC47=0),1/(1/DC46),IF(AND(DC46=0,DC47&lt;&gt;0),1/(1/DC47),IF(AND(DC46=0,DC47=0),".")))),".")</f>
        <v>384.61275889366527</v>
      </c>
      <c r="DD45" s="59">
        <f t="shared" ref="DD45" si="221">IFERROR(IF(AND(DD46&lt;&gt;0,DD47&lt;&gt;0),1/SUM(1/DD46,1/DD47),IF(AND(DD46&lt;&gt;0,DD47=0),1/(1/DD46),IF(AND(DD46=0,DD47&lt;&gt;0),1/(1/DD47),IF(AND(DD46=0,DD47=0),".")))),".")</f>
        <v>80419.031405039117</v>
      </c>
      <c r="DE45" s="59">
        <f t="shared" ref="DE45" si="222">IFERROR(IF(AND(DE46&lt;&gt;0,DE47&lt;&gt;0),1/SUM(1/DE46,1/DE47),IF(AND(DE46&lt;&gt;0,DE47=0),1/(1/DE46),IF(AND(DE46=0,DE47&lt;&gt;0),1/(1/DE47),IF(AND(DE46=0,DE47=0),".")))),".")</f>
        <v>396151.14166047529</v>
      </c>
      <c r="DF45" s="59">
        <f t="shared" ref="DF45" si="223">IFERROR(IF(AND(DF46&lt;&gt;0,DF47&lt;&gt;0),1/SUM(1/DF46,1/DF47),IF(AND(DF46&lt;&gt;0,DF47=0),1/(1/DF46),IF(AND(DF46=0,DF47&lt;&gt;0),1/(1/DF47),IF(AND(DF46=0,DF47=0),".")))),".")</f>
        <v>8846.0934545543005</v>
      </c>
      <c r="DG45" s="59">
        <f t="shared" ref="DG45" si="224">IFERROR(IF(AND(DG46&lt;&gt;0,DG47&lt;&gt;0),1/SUM(1/DG46,1/DG47),IF(AND(DG46&lt;&gt;0,DG47=0),1/(1/DG46),IF(AND(DG46=0,DG47&lt;&gt;0),1/(1/DG47),IF(AND(DG46=0,DG47=0),".")))),".")</f>
        <v>655.26618181883714</v>
      </c>
      <c r="DH45" s="59">
        <f t="shared" ref="DH45" si="225">IFERROR(IF(AND(DH46&lt;&gt;0,DH47&lt;&gt;0),1/SUM(1/DH46,1/DH47),IF(AND(DH46&lt;&gt;0,DH47=0),1/(1/DH46),IF(AND(DH46=0,DH47&lt;&gt;0),1/(1/DH47),IF(AND(DH46=0,DH47=0),".")))),".")</f>
        <v>4423.0467272771502</v>
      </c>
      <c r="DI45" s="59">
        <f t="shared" ref="DI45" si="226">IFERROR(IF(AND(DI46&lt;&gt;0,DI47&lt;&gt;0),1/SUM(1/DI46,1/DI47),IF(AND(DI46&lt;&gt;0,DI47=0),1/(1/DI46),IF(AND(DI46=0,DI47&lt;&gt;0),1/(1/DI47),IF(AND(DI46=0,DI47=0),".")))),".")</f>
        <v>5528.8084090964385</v>
      </c>
      <c r="DJ45" s="59">
        <f t="shared" ref="DJ45" si="227">IFERROR(IF(AND(DJ46&lt;&gt;0,DJ47&lt;&gt;0),1/SUM(1/DJ46,1/DJ47),IF(AND(DJ46&lt;&gt;0,DJ47=0),1/(1/DJ46),IF(AND(DJ46=0,DJ47&lt;&gt;0),1/(1/DJ47),IF(AND(DJ46=0,DJ47=0),".")))),".")</f>
        <v>16566.320469438055</v>
      </c>
      <c r="DK45" s="59">
        <f t="shared" ref="DK45" si="228">IFERROR(IF(AND(DK46&lt;&gt;0,DK47&lt;&gt;0),1/SUM(1/DK46,1/DK47),IF(AND(DK46&lt;&gt;0,DK47=0),1/(1/DK46),IF(AND(DK46=0,DK47&lt;&gt;0),1/(1/DK47),IF(AND(DK46=0,DK47=0),".")))),".")</f>
        <v>9311.6773205834761</v>
      </c>
      <c r="DL45" s="59">
        <f t="shared" ref="DL45" si="229">IFERROR(IF(AND(DL46&lt;&gt;0,DL47&lt;&gt;0),1/SUM(1/DL46,1/DL47),IF(AND(DL46&lt;&gt;0,DL47=0),1/(1/DL46),IF(AND(DL46=0,DL47&lt;&gt;0),1/(1/DL47),IF(AND(DL46=0,DL47=0),".")))),".")</f>
        <v>31418.883648934239</v>
      </c>
      <c r="DM45" s="118">
        <f t="shared" si="80"/>
        <v>1.6768399999999996E-2</v>
      </c>
      <c r="DN45" s="118" t="str">
        <f t="shared" si="81"/>
        <v>.</v>
      </c>
      <c r="DO45" s="118">
        <f t="shared" si="82"/>
        <v>2.5921266126276817E-7</v>
      </c>
      <c r="DP45" s="118">
        <f t="shared" si="83"/>
        <v>6.5588029517327246E-3</v>
      </c>
      <c r="DQ45" s="118">
        <f t="shared" si="84"/>
        <v>0.282610625</v>
      </c>
      <c r="DR45" s="118">
        <f t="shared" si="85"/>
        <v>2.6000177499999996E-3</v>
      </c>
      <c r="DS45" s="118">
        <f t="shared" si="86"/>
        <v>1.2434867499999996E-5</v>
      </c>
      <c r="DT45" s="118">
        <f t="shared" si="87"/>
        <v>2.5242890776699025E-6</v>
      </c>
      <c r="DU45" s="118">
        <f t="shared" si="88"/>
        <v>1.1304425E-4</v>
      </c>
      <c r="DV45" s="118">
        <f t="shared" si="89"/>
        <v>1.5260973749999999E-3</v>
      </c>
      <c r="DW45" s="118">
        <f t="shared" si="90"/>
        <v>2.260885E-4</v>
      </c>
      <c r="DX45" s="118">
        <f t="shared" si="91"/>
        <v>1.8087079999999997E-4</v>
      </c>
      <c r="DY45" s="118">
        <f t="shared" si="92"/>
        <v>6.0363434466019413E-5</v>
      </c>
      <c r="DZ45" s="118">
        <f t="shared" si="93"/>
        <v>1.0739203749999998E-4</v>
      </c>
      <c r="EA45" s="118">
        <f t="shared" si="94"/>
        <v>3.1827992718446602E-5</v>
      </c>
      <c r="EB45" s="59">
        <f t="shared" si="47"/>
        <v>3.2175161738998752</v>
      </c>
      <c r="EC45" s="70"/>
      <c r="ED45" s="70"/>
      <c r="EE45" s="70"/>
      <c r="EF45" s="73"/>
      <c r="EG45" s="70"/>
      <c r="EH45" s="70"/>
      <c r="EI45" s="70"/>
      <c r="EJ45" s="70"/>
      <c r="EK45" s="70"/>
      <c r="EL45" s="70"/>
      <c r="EM45" s="70"/>
      <c r="EN45" s="70"/>
      <c r="EO45" s="70"/>
      <c r="EP45" s="70"/>
      <c r="EQ45" s="70"/>
      <c r="ER45" s="47">
        <f>IFERROR(IF(SUM(EC46:EC47)&gt;0.01,1-EXP(-SUM(EC46:EC47)),SUM(EC46:EC47)),".")</f>
        <v>8.3841999999999991E-7</v>
      </c>
      <c r="ES45" s="47">
        <f t="shared" ref="ES45:FF45" si="230">IFERROR(IF(SUM(ED46:ED47)&gt;0.01,1-EXP(-SUM(ED46:ED47)),SUM(ED46:ED47)),".")</f>
        <v>0</v>
      </c>
      <c r="ET45" s="47">
        <f t="shared" si="230"/>
        <v>1.2960633063138409E-11</v>
      </c>
      <c r="EU45" s="47">
        <f t="shared" si="230"/>
        <v>3.2794014758663624E-7</v>
      </c>
      <c r="EV45" s="47">
        <f t="shared" si="230"/>
        <v>1.413053125E-5</v>
      </c>
      <c r="EW45" s="47">
        <f t="shared" si="230"/>
        <v>1.3000088750000002E-7</v>
      </c>
      <c r="EX45" s="47">
        <f t="shared" si="230"/>
        <v>6.2174337500000001E-10</v>
      </c>
      <c r="EY45" s="47">
        <f t="shared" si="230"/>
        <v>1.2621445388349515E-10</v>
      </c>
      <c r="EZ45" s="47">
        <f t="shared" si="230"/>
        <v>5.6522125000000007E-9</v>
      </c>
      <c r="FA45" s="47">
        <f t="shared" si="230"/>
        <v>7.6304868750000008E-8</v>
      </c>
      <c r="FB45" s="47">
        <f t="shared" si="230"/>
        <v>1.1304425000000001E-8</v>
      </c>
      <c r="FC45" s="47">
        <f t="shared" si="230"/>
        <v>9.0435400000000004E-9</v>
      </c>
      <c r="FD45" s="47">
        <f t="shared" si="230"/>
        <v>3.0181717233009705E-9</v>
      </c>
      <c r="FE45" s="47">
        <f t="shared" si="230"/>
        <v>5.3696018750000003E-9</v>
      </c>
      <c r="FF45" s="47">
        <f t="shared" si="230"/>
        <v>1.59139963592233E-9</v>
      </c>
      <c r="FG45" s="47">
        <f>IFERROR(IF(SUM(EC46:EQ47)&gt;0.01,1-EXP(-SUM(EC46:EQ47)),SUM(EC46:EQ47)),".")</f>
        <v>1.5539937423032809E-5</v>
      </c>
      <c r="FH45" s="59">
        <f t="shared" ref="FH45:FJ45" si="231">IFERROR(IF(AND(FH46&lt;&gt;0,FH47&lt;&gt;0),1/SUM(1/FH46,1/FH47),IF(AND(FH46&lt;&gt;0,FH47=0),1/(1/FH46),IF(AND(FH46=0,FH47&lt;&gt;0),1/(1/FH47),IF(AND(FH46=0,FH47=0),".")))),".")</f>
        <v>44.336886442149606</v>
      </c>
      <c r="FI45" s="59">
        <f t="shared" si="231"/>
        <v>13370.52986535405</v>
      </c>
      <c r="FJ45" s="59">
        <f t="shared" si="231"/>
        <v>44.190350547626402</v>
      </c>
      <c r="FK45" s="70"/>
      <c r="FL45" s="70"/>
      <c r="FM45" s="47">
        <f>IFERROR(IF(SUM(FK46:FK47)&gt;0.01,1-EXP(-SUM(FK46:FK47)),SUM(FK46:FK47)),".")</f>
        <v>1.1277291666666665E-6</v>
      </c>
      <c r="FN45" s="47">
        <f>IFERROR(IF(SUM(FL46:FL47)&gt;0.01,1-EXP(-SUM(FL46:FL47)),SUM(FL46:FL47)),".")</f>
        <v>3.7395675791100005E-9</v>
      </c>
      <c r="FO45" s="47">
        <f t="shared" ref="FO45" si="232">IFERROR(IF(SUM(FM46:FM47)&gt;0.01,1-EXP(-SUM(FM46:FM47)),SUM(FM46:FM47)),".")</f>
        <v>1.1277291666666665E-6</v>
      </c>
    </row>
    <row r="46" spans="1:171" x14ac:dyDescent="0.25">
      <c r="A46" s="83" t="s">
        <v>1098</v>
      </c>
      <c r="B46" s="42">
        <v>1</v>
      </c>
      <c r="C46" s="42"/>
      <c r="D46" s="60">
        <f t="shared" ref="D46:O46" si="233">IFERROR(D10/$B46,0)</f>
        <v>2.2115233636385754</v>
      </c>
      <c r="E46" s="60">
        <f t="shared" si="233"/>
        <v>8.8460934545543015</v>
      </c>
      <c r="F46" s="60">
        <f t="shared" si="233"/>
        <v>8.8460934545543015</v>
      </c>
      <c r="G46" s="60">
        <f t="shared" si="233"/>
        <v>8.8460934545543015</v>
      </c>
      <c r="H46" s="60">
        <f t="shared" si="233"/>
        <v>8.8460934545543015</v>
      </c>
      <c r="I46" s="60">
        <f t="shared" si="233"/>
        <v>8.8460934545543015</v>
      </c>
      <c r="J46" s="60">
        <f t="shared" si="233"/>
        <v>8.8460934545543015</v>
      </c>
      <c r="K46" s="60">
        <f t="shared" ref="K46" si="234">IFERROR(K10/$B46,0)</f>
        <v>8.8460934545543015</v>
      </c>
      <c r="L46" s="60">
        <f t="shared" si="233"/>
        <v>8.8460934545543015</v>
      </c>
      <c r="M46" s="60">
        <f t="shared" si="233"/>
        <v>8.8460934545543015</v>
      </c>
      <c r="N46" s="60">
        <f t="shared" si="233"/>
        <v>8.8460934545543015</v>
      </c>
      <c r="O46" s="60">
        <f t="shared" si="233"/>
        <v>8.8460934545543015</v>
      </c>
      <c r="P46" s="71">
        <f>s_dir!BC46</f>
        <v>2.2608850000000003E-5</v>
      </c>
      <c r="Q46" s="71">
        <f>IFERROR(s_RadSpec!$H$10*Q10,".")*$B$46</f>
        <v>5.6522125000000007E-6</v>
      </c>
      <c r="R46" s="71">
        <f>IFERROR(s_RadSpec!$H$10*R10,".")*$B$46</f>
        <v>5.6522125000000007E-6</v>
      </c>
      <c r="S46" s="71">
        <f>IFERROR(s_RadSpec!$H$10*S10,".")*$B$46</f>
        <v>5.6522125000000007E-6</v>
      </c>
      <c r="T46" s="71">
        <f>IFERROR(s_RadSpec!$H$10*T10,".")*$B$46</f>
        <v>5.6522125000000007E-6</v>
      </c>
      <c r="U46" s="71">
        <f>IFERROR(s_RadSpec!$H$10*U10,".")*$B$46</f>
        <v>5.6522125000000007E-6</v>
      </c>
      <c r="V46" s="71">
        <f>IFERROR(s_RadSpec!$H$10*V10,".")*$B$46</f>
        <v>5.6522125000000007E-6</v>
      </c>
      <c r="W46" s="71">
        <f>IFERROR(s_RadSpec!$H$10*W10,".")*$B$46</f>
        <v>5.6522125000000007E-6</v>
      </c>
      <c r="X46" s="71">
        <f>IFERROR(s_RadSpec!$H$10*X10,".")*$B$46</f>
        <v>5.6522125000000007E-6</v>
      </c>
      <c r="Y46" s="71">
        <f>IFERROR(s_RadSpec!$H$10*Y10,".")*$B$46</f>
        <v>5.6522125000000007E-6</v>
      </c>
      <c r="Z46" s="71">
        <f>IFERROR(s_RadSpec!$H$10*Z10,".")*$B$46</f>
        <v>5.6522125000000007E-6</v>
      </c>
      <c r="AA46" s="71">
        <f>IFERROR(s_RadSpec!$H$10*AA10,".")*$B$46</f>
        <v>5.6522125000000007E-6</v>
      </c>
      <c r="AB46" s="49">
        <f t="shared" ref="AB46:AB47" si="235">IFERROR(IF(P46&gt;0.01,1-EXP(-P46),P46),".")</f>
        <v>2.2608850000000003E-5</v>
      </c>
      <c r="AC46" s="49">
        <f t="shared" ref="AC46:AC47" si="236">IFERROR(IF(Q46&gt;0.01,1-EXP(-Q46),Q46),".")</f>
        <v>5.6522125000000007E-6</v>
      </c>
      <c r="AD46" s="49">
        <f t="shared" ref="AD46:AD47" si="237">IFERROR(IF(R46&gt;0.01,1-EXP(-R46),R46),".")</f>
        <v>5.6522125000000007E-6</v>
      </c>
      <c r="AE46" s="49">
        <f t="shared" ref="AE46:AE47" si="238">IFERROR(IF(S46&gt;0.01,1-EXP(-S46),S46),".")</f>
        <v>5.6522125000000007E-6</v>
      </c>
      <c r="AF46" s="49">
        <f t="shared" ref="AF46:AF47" si="239">IFERROR(IF(T46&gt;0.01,1-EXP(-T46),T46),".")</f>
        <v>5.6522125000000007E-6</v>
      </c>
      <c r="AG46" s="49">
        <f t="shared" ref="AG46:AM47" si="240">IFERROR(IF(U46&gt;0.01,1-EXP(-U46),U46),".")</f>
        <v>5.6522125000000007E-6</v>
      </c>
      <c r="AH46" s="49">
        <f t="shared" si="240"/>
        <v>5.6522125000000007E-6</v>
      </c>
      <c r="AI46" s="49">
        <f t="shared" si="240"/>
        <v>5.6522125000000007E-6</v>
      </c>
      <c r="AJ46" s="49">
        <f t="shared" si="240"/>
        <v>5.6522125000000007E-6</v>
      </c>
      <c r="AK46" s="49">
        <f t="shared" si="240"/>
        <v>5.6522125000000007E-6</v>
      </c>
      <c r="AL46" s="49">
        <f t="shared" si="240"/>
        <v>5.6522125000000007E-6</v>
      </c>
      <c r="AM46" s="49">
        <f t="shared" si="240"/>
        <v>5.6522125000000007E-6</v>
      </c>
      <c r="AN46" s="60">
        <f t="shared" ref="AN46:BB46" si="241">IFERROR(AN10/$B46,0)</f>
        <v>3884.5888648260193</v>
      </c>
      <c r="AO46" s="60">
        <f t="shared" si="241"/>
        <v>13735738.732193686</v>
      </c>
      <c r="AP46" s="60">
        <f t="shared" si="241"/>
        <v>187679.95560899528</v>
      </c>
      <c r="AQ46" s="60">
        <f t="shared" si="241"/>
        <v>80.033415855915152</v>
      </c>
      <c r="AR46" s="60">
        <f>IFERROR(AR10/$B46,0)</f>
        <v>3.5384373818217206E-2</v>
      </c>
      <c r="AS46" s="60">
        <f>IFERROR(AS10/$B46,0)</f>
        <v>3.8461275889366529</v>
      </c>
      <c r="AT46" s="60">
        <f>IFERROR(AT10/$B46,0)</f>
        <v>4.3864926220930442</v>
      </c>
      <c r="AU46" s="60">
        <f>IFERROR(AU10/$B46,0)</f>
        <v>21.60824409057139</v>
      </c>
      <c r="AV46" s="60">
        <f>IFERROR(AV10/$B46,0)</f>
        <v>0.48251418843023486</v>
      </c>
      <c r="AW46" s="60">
        <f t="shared" si="241"/>
        <v>3.5741791735572945E-2</v>
      </c>
      <c r="AX46" s="60">
        <f t="shared" si="241"/>
        <v>0.24125709421511743</v>
      </c>
      <c r="AY46" s="60">
        <f t="shared" si="241"/>
        <v>0.30157136776889676</v>
      </c>
      <c r="AZ46" s="60">
        <f>IFERROR(AZ10/$B46,0)</f>
        <v>0.90361748015116716</v>
      </c>
      <c r="BA46" s="60">
        <f t="shared" si="241"/>
        <v>0.50790967203182613</v>
      </c>
      <c r="BB46" s="60">
        <f t="shared" si="241"/>
        <v>1.7137572899418687</v>
      </c>
      <c r="BC46" s="118">
        <f t="shared" si="63"/>
        <v>2.5742749999999997E-4</v>
      </c>
      <c r="BD46" s="118">
        <f t="shared" si="64"/>
        <v>7.2802782543920272E-8</v>
      </c>
      <c r="BE46" s="118">
        <f t="shared" si="65"/>
        <v>5.3282195040761784E-6</v>
      </c>
      <c r="BF46" s="118">
        <f t="shared" si="66"/>
        <v>1.2494780952499998E-2</v>
      </c>
      <c r="BG46" s="118">
        <f t="shared" si="67"/>
        <v>28.261062499999998</v>
      </c>
      <c r="BH46" s="118">
        <f t="shared" si="68"/>
        <v>0.26000177499999999</v>
      </c>
      <c r="BI46" s="118">
        <f t="shared" si="69"/>
        <v>0.22797257083333319</v>
      </c>
      <c r="BJ46" s="118">
        <f t="shared" si="70"/>
        <v>4.6278633090614855E-2</v>
      </c>
      <c r="BK46" s="118">
        <f t="shared" si="71"/>
        <v>2.0724779166666654</v>
      </c>
      <c r="BL46" s="118">
        <f t="shared" si="72"/>
        <v>27.97845187499999</v>
      </c>
      <c r="BM46" s="118">
        <f t="shared" si="73"/>
        <v>4.1449558333333307</v>
      </c>
      <c r="BN46" s="118">
        <f t="shared" si="74"/>
        <v>3.3159646666666651</v>
      </c>
      <c r="BO46" s="118">
        <f t="shared" si="75"/>
        <v>1.1066629652103552</v>
      </c>
      <c r="BP46" s="118">
        <f t="shared" si="76"/>
        <v>1.9688540208333323</v>
      </c>
      <c r="BQ46" s="118">
        <f t="shared" si="77"/>
        <v>0.58351319983818739</v>
      </c>
      <c r="BR46" s="60">
        <f t="shared" si="46"/>
        <v>1.4290010768132062E-2</v>
      </c>
      <c r="BS46" s="71">
        <f>IFERROR(s_RadSpec!$E$10*BS10,".")*$B$46</f>
        <v>1.2871374999999999E-8</v>
      </c>
      <c r="BT46" s="71">
        <f>IFERROR(s_RadSpec!$F$10*BT10,".")*$B$46</f>
        <v>3.6401391271960136E-12</v>
      </c>
      <c r="BU46" s="71">
        <f>IFERROR(s_RadSpec!$G$10*BU10,".")*$B$46</f>
        <v>2.6641097520380889E-10</v>
      </c>
      <c r="BV46" s="71">
        <f>s_b2s!CC46</f>
        <v>6.247390476250001E-7</v>
      </c>
      <c r="BW46" s="71">
        <f>IFERROR(s_RadSpec!$H$10*BW10,".")*$B$46</f>
        <v>1.4130531250000002E-3</v>
      </c>
      <c r="BX46" s="71">
        <f>IFERROR(s_RadSpec!$H$10*BX10,".")*$B$46</f>
        <v>1.300008875E-5</v>
      </c>
      <c r="BY46" s="71">
        <f>IFERROR(s_RadSpec!$H$10*BY10,".")*$B$46</f>
        <v>1.1398628541666663E-5</v>
      </c>
      <c r="BZ46" s="71">
        <f>IFERROR(s_RadSpec!$H$10*BZ10,".")*$B$46</f>
        <v>2.3139316545307435E-6</v>
      </c>
      <c r="CA46" s="71">
        <f>IFERROR(s_RadSpec!$H$10*CA10,".")*$B$46</f>
        <v>1.036238958333333E-4</v>
      </c>
      <c r="CB46" s="71">
        <f>IFERROR(s_RadSpec!$H$10*CB10,".")*$B$46</f>
        <v>1.3989225937499996E-3</v>
      </c>
      <c r="CC46" s="71">
        <f>IFERROR(s_RadSpec!$H$10*CC10,".")*$B$46</f>
        <v>2.0724779166666661E-4</v>
      </c>
      <c r="CD46" s="71">
        <f>IFERROR(s_RadSpec!$H$10*CD10,".")*$B$46</f>
        <v>1.6579823333333327E-4</v>
      </c>
      <c r="CE46" s="71">
        <f>IFERROR(s_RadSpec!$H$10*CE10,".")*$B$46</f>
        <v>5.5333148260517775E-5</v>
      </c>
      <c r="CF46" s="71">
        <f>IFERROR(s_RadSpec!$H$10*CF10,".")*$B$46</f>
        <v>9.8442701041666629E-5</v>
      </c>
      <c r="CG46" s="71">
        <f>IFERROR(s_RadSpec!$H$10*CG10,".")*$B$46</f>
        <v>2.9175659991909375E-5</v>
      </c>
      <c r="CH46" s="49">
        <f t="shared" ref="CH46:CH47" si="242">IFERROR(IF(BS46&gt;0.01,1-EXP(-BS46),BS46),".")</f>
        <v>1.2871374999999999E-8</v>
      </c>
      <c r="CI46" s="49">
        <f t="shared" ref="CI46:CI47" si="243">IFERROR(IF(BT46&gt;0.01,1-EXP(-BT46),BT46),".")</f>
        <v>3.6401391271960136E-12</v>
      </c>
      <c r="CJ46" s="49">
        <f t="shared" ref="CJ46:CJ47" si="244">IFERROR(IF(BU46&gt;0.01,1-EXP(-BU46),BU46),".")</f>
        <v>2.6641097520380889E-10</v>
      </c>
      <c r="CK46" s="49">
        <f t="shared" ref="CK46:CK47" si="245">IFERROR(IF(BV46&gt;0.01,1-EXP(-BV46),BV46),".")</f>
        <v>6.247390476250001E-7</v>
      </c>
      <c r="CL46" s="49">
        <f t="shared" ref="CL46:CM47" si="246">IFERROR(IF(BW46&gt;0.01,1-EXP(-BW46),BW46),".")</f>
        <v>1.4130531250000002E-3</v>
      </c>
      <c r="CM46" s="49">
        <f t="shared" si="246"/>
        <v>1.300008875E-5</v>
      </c>
      <c r="CN46" s="49">
        <f t="shared" ref="CN46:CV47" si="247">IFERROR(IF(BY46&gt;0.01,1-EXP(-BY46),BY46),".")</f>
        <v>1.1398628541666663E-5</v>
      </c>
      <c r="CO46" s="49">
        <f t="shared" si="247"/>
        <v>2.3139316545307435E-6</v>
      </c>
      <c r="CP46" s="49">
        <f t="shared" si="247"/>
        <v>1.036238958333333E-4</v>
      </c>
      <c r="CQ46" s="49">
        <f t="shared" si="247"/>
        <v>1.3989225937499996E-3</v>
      </c>
      <c r="CR46" s="49">
        <f t="shared" si="247"/>
        <v>2.0724779166666661E-4</v>
      </c>
      <c r="CS46" s="49">
        <f t="shared" si="247"/>
        <v>1.6579823333333327E-4</v>
      </c>
      <c r="CT46" s="49">
        <f t="shared" si="247"/>
        <v>5.5333148260517775E-5</v>
      </c>
      <c r="CU46" s="49">
        <f t="shared" si="247"/>
        <v>9.8442701041666629E-5</v>
      </c>
      <c r="CV46" s="49">
        <f t="shared" si="247"/>
        <v>2.9175659991909375E-5</v>
      </c>
      <c r="CW46" s="49">
        <f>IFERROR(IF(SUM(BS46:CG46)&gt;0.01,1-EXP(-SUM(BS46:CG46)),SUM(BS46:CG46)),".")</f>
        <v>3.4989476782973637E-3</v>
      </c>
      <c r="CX46" s="60">
        <f t="shared" ref="CX46:DL46" si="248">IFERROR(CX10/$B46,0)</f>
        <v>59.635981966079065</v>
      </c>
      <c r="CY46" s="60" t="str">
        <f>IFERROR(CY10,".")</f>
        <v>.</v>
      </c>
      <c r="CZ46" s="60">
        <f t="shared" si="248"/>
        <v>8880645003.1638279</v>
      </c>
      <c r="DA46" s="60">
        <f t="shared" si="248"/>
        <v>152.46684606309401</v>
      </c>
      <c r="DB46" s="60">
        <f>IFERROR(DB10/$B46,0)</f>
        <v>3.5384373818217205</v>
      </c>
      <c r="DC46" s="60">
        <f>IFERROR(DC10/$B46,0)</f>
        <v>384.61275889366527</v>
      </c>
      <c r="DD46" s="60">
        <f>IFERROR(DD10/$B46,0)</f>
        <v>80419.031405039117</v>
      </c>
      <c r="DE46" s="60">
        <f>IFERROR(DE10/$B46,0)</f>
        <v>396151.14166047529</v>
      </c>
      <c r="DF46" s="60">
        <f>IFERROR(DF10/$B46,0)</f>
        <v>8846.0934545543005</v>
      </c>
      <c r="DG46" s="60">
        <f t="shared" si="248"/>
        <v>655.26618181883714</v>
      </c>
      <c r="DH46" s="60">
        <f t="shared" si="248"/>
        <v>4423.0467272771502</v>
      </c>
      <c r="DI46" s="60">
        <f t="shared" si="248"/>
        <v>5528.8084090964385</v>
      </c>
      <c r="DJ46" s="60">
        <f>IFERROR(DJ10/$B46,0)</f>
        <v>16566.320469438055</v>
      </c>
      <c r="DK46" s="60">
        <f t="shared" si="248"/>
        <v>9311.6773205834761</v>
      </c>
      <c r="DL46" s="60">
        <f t="shared" si="248"/>
        <v>31418.883648934239</v>
      </c>
      <c r="DM46" s="118">
        <f t="shared" si="80"/>
        <v>1.6768399999999996E-2</v>
      </c>
      <c r="DN46" s="118" t="str">
        <f t="shared" si="81"/>
        <v>.</v>
      </c>
      <c r="DO46" s="118">
        <f t="shared" si="82"/>
        <v>1.1260443353424655E-10</v>
      </c>
      <c r="DP46" s="118">
        <f t="shared" si="83"/>
        <v>6.5588029517327246E-3</v>
      </c>
      <c r="DQ46" s="118">
        <f t="shared" si="84"/>
        <v>0.282610625</v>
      </c>
      <c r="DR46" s="118">
        <f t="shared" si="85"/>
        <v>2.6000177499999996E-3</v>
      </c>
      <c r="DS46" s="118">
        <f t="shared" si="86"/>
        <v>1.2434867499999996E-5</v>
      </c>
      <c r="DT46" s="118">
        <f t="shared" si="87"/>
        <v>2.5242890776699025E-6</v>
      </c>
      <c r="DU46" s="118">
        <f t="shared" si="88"/>
        <v>1.1304425E-4</v>
      </c>
      <c r="DV46" s="118">
        <f t="shared" si="89"/>
        <v>1.5260973749999999E-3</v>
      </c>
      <c r="DW46" s="118">
        <f t="shared" si="90"/>
        <v>2.260885E-4</v>
      </c>
      <c r="DX46" s="118">
        <f t="shared" si="91"/>
        <v>1.8087079999999997E-4</v>
      </c>
      <c r="DY46" s="118">
        <f t="shared" si="92"/>
        <v>6.0363434466019413E-5</v>
      </c>
      <c r="DZ46" s="118">
        <f t="shared" si="93"/>
        <v>1.0739203749999998E-4</v>
      </c>
      <c r="EA46" s="118">
        <f t="shared" si="94"/>
        <v>3.1827992718446602E-5</v>
      </c>
      <c r="EB46" s="60">
        <f t="shared" si="47"/>
        <v>3.2175188562122155</v>
      </c>
      <c r="EC46" s="71">
        <f>IFERROR(s_RadSpec!$I$10*EC10,".")*$B$46</f>
        <v>8.3841999999999991E-7</v>
      </c>
      <c r="ED46" s="71">
        <f>IFERROR(s_RadSpec!$F$10*ED10,".")*$B$46</f>
        <v>0</v>
      </c>
      <c r="EE46" s="71">
        <f>IFERROR(s_RadSpec!$M$10*EE10,".")*$B$46</f>
        <v>5.630221676712329E-15</v>
      </c>
      <c r="EF46" s="71">
        <f>s_b2w!CC46</f>
        <v>3.2794014758663624E-7</v>
      </c>
      <c r="EG46" s="71">
        <f>IFERROR(s_RadSpec!$H$10*EG10,".")*$B$46</f>
        <v>1.413053125E-5</v>
      </c>
      <c r="EH46" s="71">
        <f>IFERROR(s_RadSpec!$H$10*EH10,".")*$B$46</f>
        <v>1.3000088750000002E-7</v>
      </c>
      <c r="EI46" s="71">
        <f>IFERROR(s_RadSpec!$H$10*EI10,".")*$B$46</f>
        <v>6.2174337500000001E-10</v>
      </c>
      <c r="EJ46" s="71">
        <f>IFERROR(s_RadSpec!$H$10*EJ10,".")*$B$46</f>
        <v>1.2621445388349515E-10</v>
      </c>
      <c r="EK46" s="71">
        <f>IFERROR(s_RadSpec!$H$10*EK10,".")*$B$46</f>
        <v>5.6522125000000007E-9</v>
      </c>
      <c r="EL46" s="71">
        <f>IFERROR(s_RadSpec!$H$10*EL10,".")*$B$46</f>
        <v>7.6304868750000008E-8</v>
      </c>
      <c r="EM46" s="71">
        <f>IFERROR(s_RadSpec!$H$10*EM10,".")*$B$46</f>
        <v>1.1304425000000001E-8</v>
      </c>
      <c r="EN46" s="71">
        <f>IFERROR(s_RadSpec!$H$10*EN10,".")*$B$46</f>
        <v>9.0435400000000004E-9</v>
      </c>
      <c r="EO46" s="71">
        <f>IFERROR(s_RadSpec!$H$10*EO10,".")*$B$46</f>
        <v>3.0181717233009705E-9</v>
      </c>
      <c r="EP46" s="71">
        <f>IFERROR(s_RadSpec!$H$10*EP10,".")*$B$46</f>
        <v>5.3696018750000003E-9</v>
      </c>
      <c r="EQ46" s="71">
        <f>IFERROR(s_RadSpec!$H$10*EQ10,".")*$B$46</f>
        <v>1.59139963592233E-9</v>
      </c>
      <c r="ER46" s="49">
        <f>IFERROR(IF(EC46&gt;0.01,1-EXP(-EC46),EC46),".")</f>
        <v>8.3841999999999991E-7</v>
      </c>
      <c r="ES46" s="49">
        <f t="shared" ref="ES46:ES47" si="249">IFERROR(IF(ED46&gt;0.01,1-EXP(-ED46),ED46),".")</f>
        <v>0</v>
      </c>
      <c r="ET46" s="49">
        <f t="shared" ref="ET46:ET47" si="250">IFERROR(IF(EE46&gt;0.01,1-EXP(-EE46),EE46),".")</f>
        <v>5.630221676712329E-15</v>
      </c>
      <c r="EU46" s="49">
        <f t="shared" ref="EU46:EU47" si="251">IFERROR(IF(EF46&gt;0.01,1-EXP(-EF46),EF46),".")</f>
        <v>3.2794014758663624E-7</v>
      </c>
      <c r="EV46" s="49">
        <f t="shared" ref="EV46:EW47" si="252">IFERROR(IF(EG46&gt;0.01,1-EXP(-EG46),EG46),".")</f>
        <v>1.413053125E-5</v>
      </c>
      <c r="EW46" s="49">
        <f t="shared" si="252"/>
        <v>1.3000088750000002E-7</v>
      </c>
      <c r="EX46" s="49">
        <f t="shared" ref="EX46:EX47" si="253">IFERROR(IF(EI46&gt;0.01,1-EXP(-EI46),EI46),".")</f>
        <v>6.2174337500000001E-10</v>
      </c>
      <c r="EY46" s="49">
        <f t="shared" ref="EY46:EY47" si="254">IFERROR(IF(EJ46&gt;0.01,1-EXP(-EJ46),EJ46),".")</f>
        <v>1.2621445388349515E-10</v>
      </c>
      <c r="EZ46" s="49">
        <f t="shared" ref="EZ46:EZ47" si="255">IFERROR(IF(EK46&gt;0.01,1-EXP(-EK46),EK46),".")</f>
        <v>5.6522125000000007E-9</v>
      </c>
      <c r="FA46" s="49">
        <f t="shared" ref="FA46:FA47" si="256">IFERROR(IF(EL46&gt;0.01,1-EXP(-EL46),EL46),".")</f>
        <v>7.6304868750000008E-8</v>
      </c>
      <c r="FB46" s="49">
        <f t="shared" ref="FB46:FB47" si="257">IFERROR(IF(EM46&gt;0.01,1-EXP(-EM46),EM46),".")</f>
        <v>1.1304425000000001E-8</v>
      </c>
      <c r="FC46" s="49">
        <f t="shared" ref="FC46:FC47" si="258">IFERROR(IF(EN46&gt;0.01,1-EXP(-EN46),EN46),".")</f>
        <v>9.0435400000000004E-9</v>
      </c>
      <c r="FD46" s="49">
        <f t="shared" ref="FD46:FD47" si="259">IFERROR(IF(EO46&gt;0.01,1-EXP(-EO46),EO46),".")</f>
        <v>3.0181717233009705E-9</v>
      </c>
      <c r="FE46" s="49">
        <f t="shared" ref="FE46:FE47" si="260">IFERROR(IF(EP46&gt;0.01,1-EXP(-EP46),EP46),".")</f>
        <v>5.3696018750000003E-9</v>
      </c>
      <c r="FF46" s="49">
        <f t="shared" ref="FF46:FF47" si="261">IFERROR(IF(EQ46&gt;0.01,1-EXP(-EQ46),EQ46),".")</f>
        <v>1.59139963592233E-9</v>
      </c>
      <c r="FG46" s="49">
        <f>IFERROR(IF(SUM(EC46:EQ46)&gt;0.01,1-EXP(-SUM(EC46:EQ46)),SUM(EC46:EQ46)),".")</f>
        <v>1.5539924468029968E-5</v>
      </c>
      <c r="FH46" s="60">
        <f>IFERROR(FH10/$B46,0)</f>
        <v>44.336886442149606</v>
      </c>
      <c r="FI46" s="60">
        <f>IFERROR(FI10/$B46,0)</f>
        <v>19626864.352316026</v>
      </c>
      <c r="FJ46" s="60">
        <f>IFERROR(FJ10/$B46,0)</f>
        <v>44.33678628580148</v>
      </c>
      <c r="FK46" s="71">
        <f>IFERROR(s_RadSpec!$F$10*FK10,".")*$B$46</f>
        <v>1.1277291666666665E-6</v>
      </c>
      <c r="FL46" s="71">
        <f>IFERROR(s_RadSpec!$K$10*FL10,".")*$B$46</f>
        <v>2.5475286883561649E-12</v>
      </c>
      <c r="FM46" s="49">
        <f>IFERROR(IF(FK46&gt;0.01,1-EXP(-FK46),FK46),".")</f>
        <v>1.1277291666666665E-6</v>
      </c>
      <c r="FN46" s="49">
        <f>IFERROR(IF(FL46&gt;0.01,1-EXP(-FL46),FL46),".")</f>
        <v>2.5475286883561649E-12</v>
      </c>
      <c r="FO46" s="49">
        <f>IFERROR(IF(SUM(FK46:FL46)&gt;0.01,1-EXP(-SUM(FK46:FL46)),SUM(FK46:FL46)),".")</f>
        <v>1.1277317141953549E-6</v>
      </c>
    </row>
    <row r="47" spans="1:171" x14ac:dyDescent="0.25">
      <c r="A47" s="83" t="s">
        <v>1072</v>
      </c>
      <c r="B47" s="85">
        <v>0.94399</v>
      </c>
      <c r="C47" s="85"/>
      <c r="D47" s="60">
        <f t="shared" ref="D47:O47" si="262">IFERROR(D6/$B$47,0)</f>
        <v>0</v>
      </c>
      <c r="E47" s="60">
        <f t="shared" si="262"/>
        <v>0</v>
      </c>
      <c r="F47" s="60">
        <f t="shared" si="262"/>
        <v>0</v>
      </c>
      <c r="G47" s="60">
        <f t="shared" si="262"/>
        <v>0</v>
      </c>
      <c r="H47" s="60">
        <f t="shared" si="262"/>
        <v>0</v>
      </c>
      <c r="I47" s="60">
        <f t="shared" si="262"/>
        <v>0</v>
      </c>
      <c r="J47" s="60">
        <f t="shared" si="262"/>
        <v>0</v>
      </c>
      <c r="K47" s="60">
        <f t="shared" ref="K47" si="263">IFERROR(K6/$B$47,0)</f>
        <v>0</v>
      </c>
      <c r="L47" s="60">
        <f t="shared" si="262"/>
        <v>0</v>
      </c>
      <c r="M47" s="60">
        <f t="shared" si="262"/>
        <v>0</v>
      </c>
      <c r="N47" s="60">
        <f t="shared" si="262"/>
        <v>0</v>
      </c>
      <c r="O47" s="60">
        <f t="shared" si="262"/>
        <v>0</v>
      </c>
      <c r="P47" s="71">
        <f>s_dir!BC47</f>
        <v>0</v>
      </c>
      <c r="Q47" s="71">
        <f>IFERROR(s_RadSpec!$H$6*Q6,".")*$B$47</f>
        <v>0</v>
      </c>
      <c r="R47" s="71">
        <f>IFERROR(s_RadSpec!$H$6*R6,".")*$B$47</f>
        <v>0</v>
      </c>
      <c r="S47" s="71">
        <f>IFERROR(s_RadSpec!$H$6*S6,".")*$B$47</f>
        <v>0</v>
      </c>
      <c r="T47" s="71">
        <f>IFERROR(s_RadSpec!$H$6*T6,".")*$B$47</f>
        <v>0</v>
      </c>
      <c r="U47" s="71">
        <f>IFERROR(s_RadSpec!$H$6*U6,".")*$B$47</f>
        <v>0</v>
      </c>
      <c r="V47" s="71">
        <f>IFERROR(s_RadSpec!$H$6*V6,".")*$B$47</f>
        <v>0</v>
      </c>
      <c r="W47" s="71">
        <f>IFERROR(s_RadSpec!$H$6*W6,".")*$B$47</f>
        <v>0</v>
      </c>
      <c r="X47" s="71">
        <f>IFERROR(s_RadSpec!$H$6*X6,".")*$B$47</f>
        <v>0</v>
      </c>
      <c r="Y47" s="71">
        <f>IFERROR(s_RadSpec!$H$6*Y6,".")*$B$47</f>
        <v>0</v>
      </c>
      <c r="Z47" s="71">
        <f>IFERROR(s_RadSpec!$H$6*Z6,".")*$B$47</f>
        <v>0</v>
      </c>
      <c r="AA47" s="71">
        <f>IFERROR(s_RadSpec!$H$6*AA6,".")*$B$47</f>
        <v>0</v>
      </c>
      <c r="AB47" s="49">
        <f t="shared" si="235"/>
        <v>0</v>
      </c>
      <c r="AC47" s="49">
        <f t="shared" si="236"/>
        <v>0</v>
      </c>
      <c r="AD47" s="49">
        <f t="shared" si="237"/>
        <v>0</v>
      </c>
      <c r="AE47" s="49">
        <f t="shared" si="238"/>
        <v>0</v>
      </c>
      <c r="AF47" s="49">
        <f t="shared" si="239"/>
        <v>0</v>
      </c>
      <c r="AG47" s="49">
        <f t="shared" si="240"/>
        <v>0</v>
      </c>
      <c r="AH47" s="49">
        <f t="shared" si="240"/>
        <v>0</v>
      </c>
      <c r="AI47" s="49">
        <f t="shared" si="240"/>
        <v>0</v>
      </c>
      <c r="AJ47" s="49">
        <f t="shared" si="240"/>
        <v>0</v>
      </c>
      <c r="AK47" s="49">
        <f t="shared" si="240"/>
        <v>0</v>
      </c>
      <c r="AL47" s="49">
        <f t="shared" si="240"/>
        <v>0</v>
      </c>
      <c r="AM47" s="49">
        <f t="shared" si="240"/>
        <v>0</v>
      </c>
      <c r="AN47" s="60">
        <f t="shared" ref="AN47:BB47" si="264">IFERROR(AN6/$B$47,0)</f>
        <v>0</v>
      </c>
      <c r="AO47" s="60">
        <f t="shared" si="264"/>
        <v>0</v>
      </c>
      <c r="AP47" s="60">
        <f t="shared" si="264"/>
        <v>34.882055853882321</v>
      </c>
      <c r="AQ47" s="60">
        <f t="shared" si="264"/>
        <v>0</v>
      </c>
      <c r="AR47" s="60">
        <f>IFERROR(AR6/$B$47,0)</f>
        <v>0</v>
      </c>
      <c r="AS47" s="60">
        <f>IFERROR(AS6/$B$47,0)</f>
        <v>0</v>
      </c>
      <c r="AT47" s="60">
        <f>IFERROR(AT6/$B$47,0)</f>
        <v>0</v>
      </c>
      <c r="AU47" s="60">
        <f>IFERROR(AU6/$B$47,0)</f>
        <v>0</v>
      </c>
      <c r="AV47" s="60">
        <f>IFERROR(AV6/$B$47,0)</f>
        <v>0</v>
      </c>
      <c r="AW47" s="60">
        <f t="shared" si="264"/>
        <v>0</v>
      </c>
      <c r="AX47" s="60">
        <f t="shared" si="264"/>
        <v>0</v>
      </c>
      <c r="AY47" s="60">
        <f t="shared" si="264"/>
        <v>0</v>
      </c>
      <c r="AZ47" s="60">
        <f>IFERROR(AZ6/$B$47,0)</f>
        <v>0</v>
      </c>
      <c r="BA47" s="60">
        <f t="shared" si="264"/>
        <v>0</v>
      </c>
      <c r="BB47" s="60">
        <f t="shared" si="264"/>
        <v>0</v>
      </c>
      <c r="BC47" s="118" t="str">
        <f t="shared" si="63"/>
        <v>.</v>
      </c>
      <c r="BD47" s="118" t="str">
        <f t="shared" si="64"/>
        <v>.</v>
      </c>
      <c r="BE47" s="118">
        <f t="shared" si="65"/>
        <v>2.8668035054725753E-2</v>
      </c>
      <c r="BF47" s="118" t="str">
        <f t="shared" si="66"/>
        <v>.</v>
      </c>
      <c r="BG47" s="118" t="str">
        <f t="shared" si="67"/>
        <v>.</v>
      </c>
      <c r="BH47" s="118" t="str">
        <f t="shared" si="68"/>
        <v>.</v>
      </c>
      <c r="BI47" s="118" t="str">
        <f t="shared" si="69"/>
        <v>.</v>
      </c>
      <c r="BJ47" s="118" t="str">
        <f t="shared" si="70"/>
        <v>.</v>
      </c>
      <c r="BK47" s="118" t="str">
        <f t="shared" si="71"/>
        <v>.</v>
      </c>
      <c r="BL47" s="118" t="str">
        <f t="shared" si="72"/>
        <v>.</v>
      </c>
      <c r="BM47" s="118" t="str">
        <f t="shared" si="73"/>
        <v>.</v>
      </c>
      <c r="BN47" s="118" t="str">
        <f t="shared" si="74"/>
        <v>.</v>
      </c>
      <c r="BO47" s="118" t="str">
        <f t="shared" si="75"/>
        <v>.</v>
      </c>
      <c r="BP47" s="118" t="str">
        <f t="shared" si="76"/>
        <v>.</v>
      </c>
      <c r="BQ47" s="118" t="str">
        <f t="shared" si="77"/>
        <v>.</v>
      </c>
      <c r="BR47" s="60">
        <f t="shared" si="46"/>
        <v>34.882055853882321</v>
      </c>
      <c r="BS47" s="71">
        <f>IFERROR(s_RadSpec!$E$6*BS6,".")*$B$47</f>
        <v>0</v>
      </c>
      <c r="BT47" s="71">
        <f>IFERROR(s_RadSpec!$F$6*BT6,".")*$B$47</f>
        <v>0</v>
      </c>
      <c r="BU47" s="71">
        <f>IFERROR(s_RadSpec!$G$6*BU6,".")*$B$47</f>
        <v>1.4334017527362877E-6</v>
      </c>
      <c r="BV47" s="71">
        <f>s_b2s!CC47</f>
        <v>0</v>
      </c>
      <c r="BW47" s="71">
        <f>IFERROR(s_RadSpec!$H$6*BW6,".")*$B$47</f>
        <v>0</v>
      </c>
      <c r="BX47" s="71">
        <f>IFERROR(s_RadSpec!$H$6*BX6,".")*$B$47</f>
        <v>0</v>
      </c>
      <c r="BY47" s="71">
        <f>IFERROR(s_RadSpec!$H$6*BY6,".")*$B$47</f>
        <v>0</v>
      </c>
      <c r="BZ47" s="71">
        <f>IFERROR(s_RadSpec!$H$6*BZ6,".")*$B$47</f>
        <v>0</v>
      </c>
      <c r="CA47" s="71">
        <f>IFERROR(s_RadSpec!$H$6*CA6,".")*$B$47</f>
        <v>0</v>
      </c>
      <c r="CB47" s="71">
        <f>IFERROR(s_RadSpec!$H$6*CB6,".")*$B$47</f>
        <v>0</v>
      </c>
      <c r="CC47" s="71">
        <f>IFERROR(s_RadSpec!$H$6*CC6,".")*$B$47</f>
        <v>0</v>
      </c>
      <c r="CD47" s="71">
        <f>IFERROR(s_RadSpec!$H$6*CD6,".")*$B$47</f>
        <v>0</v>
      </c>
      <c r="CE47" s="71">
        <f>IFERROR(s_RadSpec!$H$6*CE6,".")*$B$47</f>
        <v>0</v>
      </c>
      <c r="CF47" s="71">
        <f>IFERROR(s_RadSpec!$H$6*CF6,".")*$B$47</f>
        <v>0</v>
      </c>
      <c r="CG47" s="71">
        <f>IFERROR(s_RadSpec!$H$6*CG6,".")*$B$47</f>
        <v>0</v>
      </c>
      <c r="CH47" s="49">
        <f t="shared" si="242"/>
        <v>0</v>
      </c>
      <c r="CI47" s="49">
        <f t="shared" si="243"/>
        <v>0</v>
      </c>
      <c r="CJ47" s="49">
        <f t="shared" si="244"/>
        <v>1.4334017527362877E-6</v>
      </c>
      <c r="CK47" s="49">
        <f t="shared" si="245"/>
        <v>0</v>
      </c>
      <c r="CL47" s="49">
        <f t="shared" si="246"/>
        <v>0</v>
      </c>
      <c r="CM47" s="49">
        <f t="shared" si="246"/>
        <v>0</v>
      </c>
      <c r="CN47" s="49">
        <f t="shared" si="247"/>
        <v>0</v>
      </c>
      <c r="CO47" s="49">
        <f t="shared" si="247"/>
        <v>0</v>
      </c>
      <c r="CP47" s="49">
        <f t="shared" si="247"/>
        <v>0</v>
      </c>
      <c r="CQ47" s="49">
        <f t="shared" si="247"/>
        <v>0</v>
      </c>
      <c r="CR47" s="49">
        <f t="shared" si="247"/>
        <v>0</v>
      </c>
      <c r="CS47" s="49">
        <f t="shared" si="247"/>
        <v>0</v>
      </c>
      <c r="CT47" s="49">
        <f t="shared" si="247"/>
        <v>0</v>
      </c>
      <c r="CU47" s="49">
        <f t="shared" si="247"/>
        <v>0</v>
      </c>
      <c r="CV47" s="49">
        <f t="shared" si="247"/>
        <v>0</v>
      </c>
      <c r="CW47" s="49">
        <f>IFERROR(IF(SUM(BS47:CG47)&gt;0.01,1-EXP(-SUM(BS47:CG47)),SUM(BS47:CG47)),".")</f>
        <v>1.4334017527362877E-6</v>
      </c>
      <c r="CX47" s="60">
        <f t="shared" ref="CX47:DL47" si="265">IFERROR(CX6/$B$47,0)</f>
        <v>0</v>
      </c>
      <c r="CY47" s="60" t="str">
        <f>IFERROR(CY6,".")</f>
        <v>.</v>
      </c>
      <c r="CZ47" s="60">
        <f t="shared" si="265"/>
        <v>3859512.8547543078</v>
      </c>
      <c r="DA47" s="60">
        <f t="shared" si="265"/>
        <v>0</v>
      </c>
      <c r="DB47" s="60">
        <f>IFERROR(DB6/$B$47,0)</f>
        <v>0</v>
      </c>
      <c r="DC47" s="60">
        <f>IFERROR(DC6/$B$47,0)</f>
        <v>0</v>
      </c>
      <c r="DD47" s="60">
        <f>IFERROR(DD6/$B$47,0)</f>
        <v>0</v>
      </c>
      <c r="DE47" s="60">
        <f>IFERROR(DE6/$B$47,0)</f>
        <v>0</v>
      </c>
      <c r="DF47" s="60">
        <f>IFERROR(DF6/$B$47,0)</f>
        <v>0</v>
      </c>
      <c r="DG47" s="60">
        <f t="shared" si="265"/>
        <v>0</v>
      </c>
      <c r="DH47" s="60">
        <f t="shared" si="265"/>
        <v>0</v>
      </c>
      <c r="DI47" s="60">
        <f t="shared" si="265"/>
        <v>0</v>
      </c>
      <c r="DJ47" s="60">
        <f>IFERROR(DJ6/$B$47,0)</f>
        <v>0</v>
      </c>
      <c r="DK47" s="60">
        <f t="shared" si="265"/>
        <v>0</v>
      </c>
      <c r="DL47" s="60">
        <f t="shared" si="265"/>
        <v>0</v>
      </c>
      <c r="DM47" s="118" t="str">
        <f t="shared" si="80"/>
        <v>.</v>
      </c>
      <c r="DN47" s="118" t="str">
        <f t="shared" si="81"/>
        <v>.</v>
      </c>
      <c r="DO47" s="118">
        <f t="shared" si="82"/>
        <v>2.591000568292339E-7</v>
      </c>
      <c r="DP47" s="118" t="str">
        <f t="shared" si="83"/>
        <v>.</v>
      </c>
      <c r="DQ47" s="118" t="str">
        <f t="shared" si="84"/>
        <v>.</v>
      </c>
      <c r="DR47" s="118" t="str">
        <f t="shared" si="85"/>
        <v>.</v>
      </c>
      <c r="DS47" s="118" t="str">
        <f t="shared" si="86"/>
        <v>.</v>
      </c>
      <c r="DT47" s="118" t="str">
        <f t="shared" si="87"/>
        <v>.</v>
      </c>
      <c r="DU47" s="118" t="str">
        <f t="shared" si="88"/>
        <v>.</v>
      </c>
      <c r="DV47" s="118" t="str">
        <f t="shared" si="89"/>
        <v>.</v>
      </c>
      <c r="DW47" s="118" t="str">
        <f t="shared" si="90"/>
        <v>.</v>
      </c>
      <c r="DX47" s="118" t="str">
        <f t="shared" si="91"/>
        <v>.</v>
      </c>
      <c r="DY47" s="118" t="str">
        <f t="shared" si="92"/>
        <v>.</v>
      </c>
      <c r="DZ47" s="118" t="str">
        <f t="shared" si="93"/>
        <v>.</v>
      </c>
      <c r="EA47" s="118" t="str">
        <f t="shared" si="94"/>
        <v>.</v>
      </c>
      <c r="EB47" s="60">
        <f t="shared" si="47"/>
        <v>3859512.8547543082</v>
      </c>
      <c r="EC47" s="71">
        <f>IFERROR(s_RadSpec!$I$6*EC6,".")*$B$47</f>
        <v>0</v>
      </c>
      <c r="ED47" s="71">
        <f>IFERROR(s_RadSpec!$F$6*ED6,".")*$B$47</f>
        <v>0</v>
      </c>
      <c r="EE47" s="71">
        <f>IFERROR(s_RadSpec!$M$6*EE6,".")*$B$47</f>
        <v>1.2955002841461697E-11</v>
      </c>
      <c r="EF47" s="71">
        <f>s_b2w!CC47</f>
        <v>0</v>
      </c>
      <c r="EG47" s="71">
        <f>IFERROR(s_RadSpec!$H$6*EG6,".")*$B$47</f>
        <v>0</v>
      </c>
      <c r="EH47" s="71">
        <f>IFERROR(s_RadSpec!$H$6*EH6,".")*$B$47</f>
        <v>0</v>
      </c>
      <c r="EI47" s="71">
        <f>IFERROR(s_RadSpec!$H$6*EI6,".")*$B$47</f>
        <v>0</v>
      </c>
      <c r="EJ47" s="71">
        <f>IFERROR(s_RadSpec!$H$6*EJ6,".")*$B$47</f>
        <v>0</v>
      </c>
      <c r="EK47" s="71">
        <f>IFERROR(s_RadSpec!$H$6*EK6,".")*$B$47</f>
        <v>0</v>
      </c>
      <c r="EL47" s="71">
        <f>IFERROR(s_RadSpec!$H$6*EL6,".")*$B$47</f>
        <v>0</v>
      </c>
      <c r="EM47" s="71">
        <f>IFERROR(s_RadSpec!$H$6*EM6,".")*$B$47</f>
        <v>0</v>
      </c>
      <c r="EN47" s="71">
        <f>IFERROR(s_RadSpec!$H$6*EN6,".")*$B$47</f>
        <v>0</v>
      </c>
      <c r="EO47" s="71">
        <f>IFERROR(s_RadSpec!$H$6*EO6,".")*$B$47</f>
        <v>0</v>
      </c>
      <c r="EP47" s="71">
        <f>IFERROR(s_RadSpec!$H$6*EP6,".")*$B$47</f>
        <v>0</v>
      </c>
      <c r="EQ47" s="71">
        <f>IFERROR(s_RadSpec!$H$6*EQ6,".")*$B$47</f>
        <v>0</v>
      </c>
      <c r="ER47" s="49">
        <f>IFERROR(IF(EC47&gt;0.01,1-EXP(-EC47),EC47),".")</f>
        <v>0</v>
      </c>
      <c r="ES47" s="49">
        <f t="shared" si="249"/>
        <v>0</v>
      </c>
      <c r="ET47" s="49">
        <f t="shared" si="250"/>
        <v>1.2955002841461697E-11</v>
      </c>
      <c r="EU47" s="49">
        <f t="shared" si="251"/>
        <v>0</v>
      </c>
      <c r="EV47" s="49">
        <f t="shared" si="252"/>
        <v>0</v>
      </c>
      <c r="EW47" s="49">
        <f t="shared" si="252"/>
        <v>0</v>
      </c>
      <c r="EX47" s="49">
        <f t="shared" si="253"/>
        <v>0</v>
      </c>
      <c r="EY47" s="49">
        <f t="shared" si="254"/>
        <v>0</v>
      </c>
      <c r="EZ47" s="49">
        <f t="shared" si="255"/>
        <v>0</v>
      </c>
      <c r="FA47" s="49">
        <f t="shared" si="256"/>
        <v>0</v>
      </c>
      <c r="FB47" s="49">
        <f t="shared" si="257"/>
        <v>0</v>
      </c>
      <c r="FC47" s="49">
        <f t="shared" si="258"/>
        <v>0</v>
      </c>
      <c r="FD47" s="49">
        <f t="shared" si="259"/>
        <v>0</v>
      </c>
      <c r="FE47" s="49">
        <f t="shared" si="260"/>
        <v>0</v>
      </c>
      <c r="FF47" s="49">
        <f t="shared" si="261"/>
        <v>0</v>
      </c>
      <c r="FG47" s="49">
        <f>IFERROR(IF(SUM(EC47:EQ47)&gt;0.01,1-EXP(-SUM(EC47:EQ47)),SUM(EC47:EQ47)),".")</f>
        <v>1.2955002841461697E-11</v>
      </c>
      <c r="FH47" s="60">
        <f>IFERROR(FH6/$B$47,0)</f>
        <v>0</v>
      </c>
      <c r="FI47" s="60">
        <f>IFERROR(FI6/$B$47,0)</f>
        <v>13379.644563148266</v>
      </c>
      <c r="FJ47" s="60">
        <f>IFERROR(FJ6/$B$47,0)</f>
        <v>13379.644563148266</v>
      </c>
      <c r="FK47" s="71">
        <f>IFERROR(s_RadSpec!$F$6*FK6,".")*$B$47</f>
        <v>0</v>
      </c>
      <c r="FL47" s="71">
        <f>IFERROR(s_RadSpec!$K$6*FL6,".")*$B$47</f>
        <v>3.7370200504216442E-9</v>
      </c>
      <c r="FM47" s="49">
        <f>IFERROR(IF(FK47&gt;0.01,1-EXP(-FK47),FK47),".")</f>
        <v>0</v>
      </c>
      <c r="FN47" s="49">
        <f>IFERROR(IF(FL47&gt;0.01,1-EXP(-FL47),FL47),".")</f>
        <v>3.7370200504216442E-9</v>
      </c>
      <c r="FO47" s="49">
        <f>IFERROR(IF(SUM(FK47:FL47)&gt;0.01,1-EXP(-SUM(FK47:FL47)),SUM(FK47:FL47)),".")</f>
        <v>3.7370200504216442E-9</v>
      </c>
    </row>
    <row r="48" spans="1:171" x14ac:dyDescent="0.25">
      <c r="A48" s="82" t="s">
        <v>33</v>
      </c>
      <c r="B48" s="82" t="s">
        <v>1071</v>
      </c>
      <c r="C48" s="250"/>
      <c r="D48" s="58">
        <f>1/SUM(1/D49,1/D52,1/D54,1/D58,1/D59,1/D61)</f>
        <v>2.0880538965957401E-2</v>
      </c>
      <c r="E48" s="58">
        <f>1/SUM(1/E49,1/E52,1/E54,1/E58,1/E59,1/E61)</f>
        <v>8.3522155863829606E-2</v>
      </c>
      <c r="F48" s="58">
        <f t="shared" ref="F48:O48" si="266">1/SUM(1/F49,1/F52,1/F54,1/F58,1/F59,1/F61)</f>
        <v>8.3522155863829606E-2</v>
      </c>
      <c r="G48" s="58">
        <f t="shared" si="266"/>
        <v>8.3522155863829606E-2</v>
      </c>
      <c r="H48" s="58">
        <f t="shared" si="266"/>
        <v>8.3522155863829606E-2</v>
      </c>
      <c r="I48" s="58">
        <f t="shared" si="266"/>
        <v>8.3522155863829606E-2</v>
      </c>
      <c r="J48" s="58">
        <f t="shared" si="266"/>
        <v>8.3522155863829606E-2</v>
      </c>
      <c r="K48" s="58">
        <f t="shared" ref="K48" si="267">1/SUM(1/K49,1/K52,1/K54,1/K58,1/K59,1/K61)</f>
        <v>8.3522155863829606E-2</v>
      </c>
      <c r="L48" s="58">
        <f t="shared" si="266"/>
        <v>8.3522155863829606E-2</v>
      </c>
      <c r="M48" s="58">
        <f t="shared" si="266"/>
        <v>8.3522155863829606E-2</v>
      </c>
      <c r="N48" s="58">
        <f t="shared" si="266"/>
        <v>8.3522155863829606E-2</v>
      </c>
      <c r="O48" s="58">
        <f t="shared" si="266"/>
        <v>8.3522155863829606E-2</v>
      </c>
      <c r="P48" s="73"/>
      <c r="Q48" s="70"/>
      <c r="R48" s="70"/>
      <c r="S48" s="70"/>
      <c r="T48" s="70"/>
      <c r="U48" s="70"/>
      <c r="V48" s="70"/>
      <c r="W48" s="70"/>
      <c r="X48" s="70"/>
      <c r="Y48" s="70"/>
      <c r="Z48" s="70"/>
      <c r="AA48" s="70"/>
      <c r="AB48" s="47">
        <f t="shared" ref="AB48:AM48" si="268">IFERROR(IF(SUM(P49:P62)&gt;0.01,1-EXP(-SUM(P49:P62)),SUM(P49:P62)),".")</f>
        <v>2.3945743226425321E-3</v>
      </c>
      <c r="AC48" s="47">
        <f t="shared" si="268"/>
        <v>5.9864355131730002E-4</v>
      </c>
      <c r="AD48" s="47">
        <f t="shared" si="268"/>
        <v>5.9864355131730002E-4</v>
      </c>
      <c r="AE48" s="47">
        <f t="shared" si="268"/>
        <v>5.9864355131730002E-4</v>
      </c>
      <c r="AF48" s="47">
        <f t="shared" si="268"/>
        <v>5.9864355131730002E-4</v>
      </c>
      <c r="AG48" s="47">
        <f t="shared" si="268"/>
        <v>5.9864355131730002E-4</v>
      </c>
      <c r="AH48" s="47">
        <f t="shared" si="268"/>
        <v>5.9864355131730002E-4</v>
      </c>
      <c r="AI48" s="47">
        <f t="shared" si="268"/>
        <v>5.9864355131730002E-4</v>
      </c>
      <c r="AJ48" s="47">
        <f t="shared" si="268"/>
        <v>5.9864355131730002E-4</v>
      </c>
      <c r="AK48" s="47">
        <f t="shared" si="268"/>
        <v>5.9864355131730002E-4</v>
      </c>
      <c r="AL48" s="47">
        <f t="shared" si="268"/>
        <v>5.9864355131730002E-4</v>
      </c>
      <c r="AM48" s="47">
        <f t="shared" si="268"/>
        <v>5.9864355131730002E-4</v>
      </c>
      <c r="AN48" s="58">
        <f t="shared" ref="AN48:AP48" si="269">1/SUM(1/AN49,1/AN52,1/AN54,1/AN58,1/AN59,1/AN61)</f>
        <v>29.030670515939743</v>
      </c>
      <c r="AO48" s="58">
        <f t="shared" si="269"/>
        <v>26129.424660339748</v>
      </c>
      <c r="AP48" s="58">
        <f t="shared" si="269"/>
        <v>7.0069369984027885</v>
      </c>
      <c r="AQ48" s="58">
        <f>1/SUM(1/AQ49,1/AQ52,1/AQ54,1/AQ58,1/AQ59,1/AQ61)</f>
        <v>1.0475455387973405</v>
      </c>
      <c r="AR48" s="58">
        <f>1/SUM(1/AR49,1/AR52,1/AR54,1/AR58,1/AR59,1/AR61)</f>
        <v>0.12521552606756986</v>
      </c>
      <c r="AS48" s="58">
        <f>1/SUM(1/AS49,1/AS52,1/AS58)</f>
        <v>6.4062326718501176E-3</v>
      </c>
      <c r="AT48" s="58">
        <f>1/SUM(1/AT49,1/AT52,1/AT54,1/AT58,1/AT59,1/AT61)</f>
        <v>0.44209914712607323</v>
      </c>
      <c r="AU48" s="58">
        <f>1/SUM(1/AU49,1/AU52,1/AU54,1/AU58,1/AU59,1/AU61)</f>
        <v>4.2080986589008829</v>
      </c>
      <c r="AV48" s="119" t="str">
        <f>IFERROR(1/SUM(1/AV49,1/AV52,1/AV54,1/AV58,1/AV59,1/AV61),".")</f>
        <v>.</v>
      </c>
      <c r="AW48" s="58">
        <f>1/SUM(1/AW61)</f>
        <v>6.9833722491877798E-4</v>
      </c>
      <c r="AX48" s="58">
        <f>1/SUM(1/AX61)</f>
        <v>5.4064817413066683E-4</v>
      </c>
      <c r="AY48" s="119" t="str">
        <f>IFERROR(1/SUM(1/AY49,1/AY52,1/AY54,1/AY58,1/AY59,1/AY61),".")</f>
        <v>.</v>
      </c>
      <c r="AZ48" s="58">
        <f>1/SUM(1/AZ52,1/AZ58,1/AZ61)</f>
        <v>0.31446253325573947</v>
      </c>
      <c r="BA48" s="58">
        <f>1/SUM(1/BA49,1/BA52,1/BA58,1/BA61)</f>
        <v>3.0502273466939678E-2</v>
      </c>
      <c r="BB48" s="58">
        <f>1/SUM(1/BB52,1/BB58)</f>
        <v>9.277985139137114E-2</v>
      </c>
      <c r="BC48" s="118">
        <f t="shared" si="63"/>
        <v>3.4446328046434008E-2</v>
      </c>
      <c r="BD48" s="118">
        <f t="shared" si="64"/>
        <v>3.8271030189112379E-5</v>
      </c>
      <c r="BE48" s="118">
        <f t="shared" si="65"/>
        <v>0.14271571161949181</v>
      </c>
      <c r="BF48" s="118">
        <f t="shared" si="66"/>
        <v>0.95461243732475221</v>
      </c>
      <c r="BG48" s="118">
        <f t="shared" si="67"/>
        <v>7.9862300738997138</v>
      </c>
      <c r="BH48" s="118">
        <f t="shared" si="68"/>
        <v>156.09798320222427</v>
      </c>
      <c r="BI48" s="118">
        <f t="shared" si="69"/>
        <v>2.2619360532600856</v>
      </c>
      <c r="BJ48" s="118">
        <f t="shared" si="70"/>
        <v>0.2376370140193412</v>
      </c>
      <c r="BK48" s="118" t="str">
        <f t="shared" si="71"/>
        <v>.</v>
      </c>
      <c r="BL48" s="118">
        <f t="shared" si="72"/>
        <v>1431.9729270000003</v>
      </c>
      <c r="BM48" s="118">
        <f t="shared" si="73"/>
        <v>1849.6316973750004</v>
      </c>
      <c r="BN48" s="118" t="str">
        <f t="shared" si="74"/>
        <v>.</v>
      </c>
      <c r="BO48" s="118">
        <f t="shared" si="75"/>
        <v>3.1800290789705654</v>
      </c>
      <c r="BP48" s="118">
        <f t="shared" si="76"/>
        <v>32.784441496922</v>
      </c>
      <c r="BQ48" s="118">
        <f t="shared" si="77"/>
        <v>10.778202217437521</v>
      </c>
      <c r="BR48" s="59">
        <f t="shared" si="46"/>
        <v>2.8603604387948651E-4</v>
      </c>
      <c r="BS48" s="70"/>
      <c r="BT48" s="70"/>
      <c r="BU48" s="70"/>
      <c r="BV48" s="73"/>
      <c r="BW48" s="70"/>
      <c r="BX48" s="70"/>
      <c r="BY48" s="70"/>
      <c r="BZ48" s="70"/>
      <c r="CA48" s="70"/>
      <c r="CB48" s="70"/>
      <c r="CC48" s="70"/>
      <c r="CD48" s="70"/>
      <c r="CE48" s="70"/>
      <c r="CF48" s="70"/>
      <c r="CG48" s="70"/>
      <c r="CH48" s="47">
        <f t="shared" ref="CH48:CV48" si="270">IFERROR(IF(SUM(BS49:BS62)&gt;0.01,1-EXP(-SUM(BS49:BS62)),SUM(BS49:BS62)),".")</f>
        <v>1.7223164023217002E-6</v>
      </c>
      <c r="CI48" s="47">
        <f t="shared" si="270"/>
        <v>1.914075135443155E-9</v>
      </c>
      <c r="CJ48" s="47">
        <f t="shared" si="270"/>
        <v>7.1392294508230849E-6</v>
      </c>
      <c r="CK48" s="47">
        <f t="shared" si="270"/>
        <v>4.773062452148471E-5</v>
      </c>
      <c r="CL48" s="47">
        <f t="shared" si="270"/>
        <v>3.9931150369498564E-4</v>
      </c>
      <c r="CM48" s="47">
        <f t="shared" si="270"/>
        <v>7.8048991601112139E-3</v>
      </c>
      <c r="CN48" s="47">
        <f t="shared" si="270"/>
        <v>1.130968026630043E-4</v>
      </c>
      <c r="CO48" s="47">
        <f t="shared" si="270"/>
        <v>1.1881850700967061E-5</v>
      </c>
      <c r="CP48" s="47">
        <f t="shared" si="270"/>
        <v>0</v>
      </c>
      <c r="CQ48" s="47">
        <f t="shared" si="270"/>
        <v>6.9095557260125395E-2</v>
      </c>
      <c r="CR48" s="47">
        <f t="shared" si="270"/>
        <v>8.833400074108555E-2</v>
      </c>
      <c r="CS48" s="47">
        <f t="shared" si="270"/>
        <v>0</v>
      </c>
      <c r="CT48" s="47">
        <f t="shared" si="270"/>
        <v>1.5900145394852827E-4</v>
      </c>
      <c r="CU48" s="47">
        <f t="shared" si="270"/>
        <v>1.6392220748461001E-3</v>
      </c>
      <c r="CV48" s="47">
        <f t="shared" si="270"/>
        <v>5.3891011087187622E-4</v>
      </c>
      <c r="CW48" s="47">
        <f>IFERROR(IF(SUM(BS49:CG62)&gt;0.01,1-EXP(-SUM(BS49:CG62)),SUM(BS49:CG62)),".")</f>
        <v>0.16037771438982751</v>
      </c>
      <c r="CX48" s="59">
        <f>1/SUM(1/CX49,1/CX52,1/CX54,1/CX58,1/CX59,1/CX61)</f>
        <v>0.59523654086035993</v>
      </c>
      <c r="CY48" s="58">
        <f>1/SUM(1/CY50,1/CY51,1/CY52,1/CY54)</f>
        <v>344.42145213017039</v>
      </c>
      <c r="CZ48" s="59">
        <f>1/SUM(1/CZ49,1/CZ50,1/CZ51,1/CZ52,1/CZ53,1/CZ54,1/CZ55,1/CZ58,1/CZ61,1/CZ56,1/CZ57,1/CZ59,1/CZ60,1/CZ62)</f>
        <v>1185207.324452861</v>
      </c>
      <c r="DA48" s="59">
        <f t="shared" ref="DA48" si="271">1/SUM(1/DA49,1/DA52,1/DA54,1/DA58,1/DA59,1/DA61)</f>
        <v>1.6092883069216015</v>
      </c>
      <c r="DB48" s="59">
        <f t="shared" ref="DB48" si="272">1/SUM(1/DB49,1/DB52,1/DB54,1/DB58,1/DB59,1/DB61)</f>
        <v>2.9305968037639238</v>
      </c>
      <c r="DC48" s="59">
        <f>1/SUM(1/DC49,1/DC52,1/DC58)</f>
        <v>4.2751352132227156</v>
      </c>
      <c r="DD48" s="59">
        <f t="shared" ref="DD48" si="273">1/SUM(1/DD49,1/DD52,1/DD54,1/DD58,1/DD59,1/DD61)</f>
        <v>7792.3002571124889</v>
      </c>
      <c r="DE48" s="59">
        <f t="shared" ref="DE48" si="274">1/SUM(1/DE49,1/DE52,1/DE54,1/DE58,1/DE59,1/DE61)</f>
        <v>75200.975903176077</v>
      </c>
      <c r="DF48" s="59" t="str">
        <f>(IFERROR(1/SUM(1/DF49,1/DF50,1/DF51,1/DF52,1/DF53,1/DF54,1/DF55,1/DF58,1/DF61),"."))</f>
        <v>.</v>
      </c>
      <c r="DG48" s="59">
        <f>1/SUM(1/DG61)</f>
        <v>12.225717554871162</v>
      </c>
      <c r="DH48" s="59">
        <f>1/SUM(1/DH61)</f>
        <v>9.4650716553841239</v>
      </c>
      <c r="DI48" s="59" t="str">
        <f>(IFERROR(1/SUM(1/DI49,1/DI50,1/DI51,1/DI52,1/DI53,1/DI54,1/DI55,1/DI58,1/DI61),"."))</f>
        <v>.</v>
      </c>
      <c r="DJ48" s="59">
        <f>1/SUM(1/DJ52,1/DJ58,1/DJ61)</f>
        <v>5561.3418264312386</v>
      </c>
      <c r="DK48" s="59">
        <f>1/SUM(1/DK49,1/DK52,1/DK58,1/DK61)</f>
        <v>534.94351751183262</v>
      </c>
      <c r="DL48" s="59">
        <f>1/SUM(1/DL52,1/DL58)</f>
        <v>1652.9743638692566</v>
      </c>
      <c r="DM48" s="118">
        <f t="shared" si="80"/>
        <v>1.6800043870871764</v>
      </c>
      <c r="DN48" s="118">
        <f t="shared" si="81"/>
        <v>2.9034196151697914E-3</v>
      </c>
      <c r="DO48" s="118">
        <f t="shared" si="82"/>
        <v>8.4373423903842297E-7</v>
      </c>
      <c r="DP48" s="118">
        <f t="shared" si="83"/>
        <v>0.62139269619928716</v>
      </c>
      <c r="DQ48" s="118">
        <f t="shared" si="84"/>
        <v>0.34122742463775502</v>
      </c>
      <c r="DR48" s="118">
        <f t="shared" si="85"/>
        <v>0.23391073033364301</v>
      </c>
      <c r="DS48" s="118">
        <f t="shared" si="86"/>
        <v>1.2833181050579275E-4</v>
      </c>
      <c r="DT48" s="118">
        <f t="shared" si="87"/>
        <v>1.3297699770379781E-5</v>
      </c>
      <c r="DU48" s="118" t="str">
        <f t="shared" si="88"/>
        <v>.</v>
      </c>
      <c r="DV48" s="118">
        <f t="shared" si="89"/>
        <v>8.1794789999999992E-2</v>
      </c>
      <c r="DW48" s="118">
        <f t="shared" si="90"/>
        <v>0.10565160375</v>
      </c>
      <c r="DX48" s="118" t="str">
        <f t="shared" si="91"/>
        <v>.</v>
      </c>
      <c r="DY48" s="118">
        <f t="shared" si="92"/>
        <v>1.7981271988125726E-4</v>
      </c>
      <c r="DZ48" s="118">
        <f t="shared" si="93"/>
        <v>1.8693562353111056E-3</v>
      </c>
      <c r="EA48" s="118">
        <f t="shared" si="94"/>
        <v>6.0497005994649279E-4</v>
      </c>
      <c r="EB48" s="59">
        <f t="shared" si="47"/>
        <v>0.32576667859922326</v>
      </c>
      <c r="EC48" s="70"/>
      <c r="ED48" s="70"/>
      <c r="EE48" s="70"/>
      <c r="EF48" s="73"/>
      <c r="EG48" s="70"/>
      <c r="EH48" s="70"/>
      <c r="EI48" s="70"/>
      <c r="EJ48" s="70"/>
      <c r="EK48" s="70"/>
      <c r="EL48" s="70"/>
      <c r="EM48" s="70"/>
      <c r="EN48" s="70"/>
      <c r="EO48" s="70"/>
      <c r="EP48" s="70"/>
      <c r="EQ48" s="70"/>
      <c r="ER48" s="47">
        <f>IFERROR(IF(SUM(EC49:EC62)&gt;0.01,1-EXP(-SUM(EC49:EC62)),SUM(EC49:EC62)),".")</f>
        <v>8.4000219354358837E-5</v>
      </c>
      <c r="ES48" s="47">
        <f t="shared" ref="ES48:FF48" si="275">IFERROR(IF(SUM(ED49:ED62)&gt;0.01,1-EXP(-SUM(ED49:ED62)),SUM(ED49:ED62)),".")</f>
        <v>1.4517098075848961E-7</v>
      </c>
      <c r="ET48" s="47">
        <f t="shared" si="275"/>
        <v>4.2186711951921161E-11</v>
      </c>
      <c r="EU48" s="47">
        <f t="shared" si="275"/>
        <v>3.1069636395607968E-5</v>
      </c>
      <c r="EV48" s="47">
        <f t="shared" si="275"/>
        <v>1.7061371231887751E-5</v>
      </c>
      <c r="EW48" s="47">
        <f t="shared" si="275"/>
        <v>1.1695536516682151E-5</v>
      </c>
      <c r="EX48" s="47">
        <f t="shared" si="275"/>
        <v>6.4165905252896384E-9</v>
      </c>
      <c r="EY48" s="47">
        <f t="shared" si="275"/>
        <v>6.6488498851898893E-10</v>
      </c>
      <c r="EZ48" s="47">
        <f t="shared" si="275"/>
        <v>0</v>
      </c>
      <c r="FA48" s="47">
        <f t="shared" si="275"/>
        <v>4.0897394999999997E-6</v>
      </c>
      <c r="FB48" s="47">
        <f t="shared" si="275"/>
        <v>5.2825801875000004E-6</v>
      </c>
      <c r="FC48" s="47">
        <f t="shared" si="275"/>
        <v>0</v>
      </c>
      <c r="FD48" s="47">
        <f t="shared" si="275"/>
        <v>8.9906359940628655E-9</v>
      </c>
      <c r="FE48" s="47">
        <f t="shared" si="275"/>
        <v>9.3467811765555289E-8</v>
      </c>
      <c r="FF48" s="47">
        <f t="shared" si="275"/>
        <v>3.0248502997324645E-8</v>
      </c>
      <c r="FG48" s="47">
        <f>IFERROR(IF(SUM(EC49:EQ62)&gt;0.01,1-EXP(-SUM(EC49:EQ62)),SUM(EC49:EQ62)),".")</f>
        <v>1.5348408477977791E-4</v>
      </c>
      <c r="FH48" s="59">
        <f>1/SUM(1/FH49,1/FH50,1/FH51,1/FH52,1/FH54,1/FH58,1/FH59,1/FH61)</f>
        <v>8.431875642057747E-2</v>
      </c>
      <c r="FI48" s="59">
        <f t="shared" ref="FI48:FJ48" si="276">1/SUM(1/FI49,1/FI50,1/FI51,1/FI52,1/FI53,1/FI54,1/FI55,1/FI58,1/FI61,1/FI56,1/FI57,1/FI59,1/FI60,1/FI62)</f>
        <v>4109.2038407422961</v>
      </c>
      <c r="FJ48" s="59">
        <f t="shared" si="276"/>
        <v>8.431702627841943E-2</v>
      </c>
      <c r="FK48" s="70"/>
      <c r="FL48" s="70"/>
      <c r="FM48" s="47">
        <f>IFERROR(IF(SUM(FK49:FK62)&gt;0.01,1-EXP(-SUM(FK49:FK62)),SUM(FK49:FK62)),".")</f>
        <v>5.9298787271722391E-4</v>
      </c>
      <c r="FN48" s="47">
        <f>IFERROR(IF(SUM(FL49:FL62)&gt;0.01,1-EXP(-SUM(FL49:FL62)),SUM(FL49:FL62)),".")</f>
        <v>1.2167807180616258E-8</v>
      </c>
      <c r="FO48" s="47">
        <f>IFERROR(IF(SUM(FK49:FL62)&gt;0.01,1-EXP(-SUM(FK49:FL62)),SUM(FK49:FL62)),".")</f>
        <v>5.9300004052440446E-4</v>
      </c>
    </row>
    <row r="49" spans="1:171" x14ac:dyDescent="0.25">
      <c r="A49" s="83" t="s">
        <v>1100</v>
      </c>
      <c r="B49" s="42">
        <v>1</v>
      </c>
      <c r="C49" s="249"/>
      <c r="D49" s="60">
        <f t="shared" ref="D49:O49" si="277">IFERROR(D23/$B49,0)</f>
        <v>0.16069342426438568</v>
      </c>
      <c r="E49" s="60">
        <f t="shared" si="277"/>
        <v>0.64277369705754273</v>
      </c>
      <c r="F49" s="60">
        <f t="shared" si="277"/>
        <v>0.64277369705754273</v>
      </c>
      <c r="G49" s="60">
        <f t="shared" si="277"/>
        <v>0.64277369705754273</v>
      </c>
      <c r="H49" s="60">
        <f t="shared" si="277"/>
        <v>0.64277369705754273</v>
      </c>
      <c r="I49" s="60">
        <f t="shared" si="277"/>
        <v>0.64277369705754273</v>
      </c>
      <c r="J49" s="60">
        <f t="shared" si="277"/>
        <v>0.64277369705754273</v>
      </c>
      <c r="K49" s="60">
        <f t="shared" ref="K49" si="278">IFERROR(K23/$B49,0)</f>
        <v>0.64277369705754273</v>
      </c>
      <c r="L49" s="60">
        <f t="shared" si="277"/>
        <v>0.64277369705754273</v>
      </c>
      <c r="M49" s="60">
        <f t="shared" si="277"/>
        <v>0.64277369705754273</v>
      </c>
      <c r="N49" s="60">
        <f t="shared" si="277"/>
        <v>0.64277369705754273</v>
      </c>
      <c r="O49" s="60">
        <f t="shared" si="277"/>
        <v>0.64277369705754273</v>
      </c>
      <c r="P49" s="71">
        <f>s_dir!BC49</f>
        <v>3.1115149999999997E-4</v>
      </c>
      <c r="Q49" s="71">
        <f>IFERROR(s_RadSpec!$H$23*Q23,".")*$B$49</f>
        <v>7.7787874999999993E-5</v>
      </c>
      <c r="R49" s="71">
        <f>IFERROR(s_RadSpec!$H$23*R23,".")*$B$49</f>
        <v>7.7787874999999993E-5</v>
      </c>
      <c r="S49" s="71">
        <f>IFERROR(s_RadSpec!$H$23*S23,".")*$B$49</f>
        <v>7.7787874999999993E-5</v>
      </c>
      <c r="T49" s="71">
        <f>IFERROR(s_RadSpec!$H$23*T23,".")*$B$49</f>
        <v>7.7787874999999993E-5</v>
      </c>
      <c r="U49" s="71">
        <f>IFERROR(s_RadSpec!$H$23*U23,".")*$B$49</f>
        <v>7.7787874999999993E-5</v>
      </c>
      <c r="V49" s="71">
        <f>IFERROR(s_RadSpec!$H$23*V23,".")*$B$49</f>
        <v>7.7787874999999993E-5</v>
      </c>
      <c r="W49" s="71">
        <f>IFERROR(s_RadSpec!$H$23*W23,".")*$B$49</f>
        <v>7.7787874999999993E-5</v>
      </c>
      <c r="X49" s="71">
        <f>IFERROR(s_RadSpec!$H$23*X23,".")*$B$49</f>
        <v>7.7787874999999993E-5</v>
      </c>
      <c r="Y49" s="71">
        <f>IFERROR(s_RadSpec!$H$23*Y23,".")*$B$49</f>
        <v>7.7787874999999993E-5</v>
      </c>
      <c r="Z49" s="71">
        <f>IFERROR(s_RadSpec!$H$23*Z23,".")*$B$49</f>
        <v>7.7787874999999993E-5</v>
      </c>
      <c r="AA49" s="71">
        <f>IFERROR(s_RadSpec!$H$23*AA23,".")*$B$49</f>
        <v>7.7787874999999993E-5</v>
      </c>
      <c r="AB49" s="49">
        <f t="shared" ref="AB49:AB62" si="279">IFERROR(IF(P49&gt;0.01,1-EXP(-P49),P49),".")</f>
        <v>3.1115149999999997E-4</v>
      </c>
      <c r="AC49" s="49">
        <f t="shared" ref="AC49:AC62" si="280">IFERROR(IF(Q49&gt;0.01,1-EXP(-Q49),Q49),".")</f>
        <v>7.7787874999999993E-5</v>
      </c>
      <c r="AD49" s="49">
        <f t="shared" ref="AD49:AD62" si="281">IFERROR(IF(R49&gt;0.01,1-EXP(-R49),R49),".")</f>
        <v>7.7787874999999993E-5</v>
      </c>
      <c r="AE49" s="49">
        <f t="shared" ref="AE49:AE62" si="282">IFERROR(IF(S49&gt;0.01,1-EXP(-S49),S49),".")</f>
        <v>7.7787874999999993E-5</v>
      </c>
      <c r="AF49" s="49">
        <f t="shared" ref="AF49:AF62" si="283">IFERROR(IF(T49&gt;0.01,1-EXP(-T49),T49),".")</f>
        <v>7.7787874999999993E-5</v>
      </c>
      <c r="AG49" s="49">
        <f t="shared" ref="AG49:AG62" si="284">IFERROR(IF(U49&gt;0.01,1-EXP(-U49),U49),".")</f>
        <v>7.7787874999999993E-5</v>
      </c>
      <c r="AH49" s="49">
        <f t="shared" ref="AH49:AI62" si="285">IFERROR(IF(V49&gt;0.01,1-EXP(-V49),V49),".")</f>
        <v>7.7787874999999993E-5</v>
      </c>
      <c r="AI49" s="49">
        <f t="shared" si="285"/>
        <v>7.7787874999999993E-5</v>
      </c>
      <c r="AJ49" s="49">
        <f t="shared" ref="AJ49:AJ62" si="286">IFERROR(IF(X49&gt;0.01,1-EXP(-X49),X49),".")</f>
        <v>7.7787874999999993E-5</v>
      </c>
      <c r="AK49" s="49">
        <f t="shared" ref="AK49:AK62" si="287">IFERROR(IF(Y49&gt;0.01,1-EXP(-Y49),Y49),".")</f>
        <v>7.7787874999999993E-5</v>
      </c>
      <c r="AL49" s="49">
        <f t="shared" ref="AL49:AL62" si="288">IFERROR(IF(Z49&gt;0.01,1-EXP(-Z49),Z49),".")</f>
        <v>7.7787874999999993E-5</v>
      </c>
      <c r="AM49" s="49">
        <f t="shared" ref="AM49:AM62" si="289">IFERROR(IF(AA49&gt;0.01,1-EXP(-AA49),AA49),".")</f>
        <v>7.7787874999999993E-5</v>
      </c>
      <c r="AN49" s="60">
        <f t="shared" ref="AN49:BB49" si="290">IFERROR(AN23/$B49,0)</f>
        <v>244.11350789890287</v>
      </c>
      <c r="AO49" s="60">
        <f t="shared" si="290"/>
        <v>54870.756564873598</v>
      </c>
      <c r="AP49" s="60">
        <f t="shared" si="290"/>
        <v>2918.4753166426667</v>
      </c>
      <c r="AQ49" s="60">
        <f t="shared" si="290"/>
        <v>6.5012005366394536</v>
      </c>
      <c r="AR49" s="60">
        <f>IFERROR(AR23/$B49,0)</f>
        <v>0.16069342426438568</v>
      </c>
      <c r="AS49" s="60">
        <f>IFERROR(AS23/$B49,0)</f>
        <v>6.4277369705754272E-3</v>
      </c>
      <c r="AT49" s="60">
        <f>IFERROR(AT23/$B49,0)</f>
        <v>4.2038197063714531</v>
      </c>
      <c r="AU49" s="60">
        <f>IFERROR(AU23/$B49,0)</f>
        <v>19.370758699622144</v>
      </c>
      <c r="AV49" s="60">
        <f>IFERROR(AV23/$B49,0)</f>
        <v>0</v>
      </c>
      <c r="AW49" s="60">
        <f t="shared" si="290"/>
        <v>0</v>
      </c>
      <c r="AX49" s="60">
        <f t="shared" si="290"/>
        <v>0</v>
      </c>
      <c r="AY49" s="60">
        <f t="shared" si="290"/>
        <v>0</v>
      </c>
      <c r="AZ49" s="60">
        <f>IFERROR(AZ23/$B49,0)</f>
        <v>0</v>
      </c>
      <c r="BA49" s="60">
        <f t="shared" si="290"/>
        <v>1.429298700166294</v>
      </c>
      <c r="BB49" s="60">
        <f t="shared" si="290"/>
        <v>0</v>
      </c>
      <c r="BC49" s="118">
        <f t="shared" si="63"/>
        <v>4.0964549999999997E-3</v>
      </c>
      <c r="BD49" s="118">
        <f t="shared" si="64"/>
        <v>1.8224643919711619E-5</v>
      </c>
      <c r="BE49" s="118">
        <f t="shared" si="65"/>
        <v>3.4264466596564273E-4</v>
      </c>
      <c r="BF49" s="118">
        <f t="shared" si="66"/>
        <v>0.15381774402499998</v>
      </c>
      <c r="BG49" s="118">
        <f t="shared" si="67"/>
        <v>6.2230299999999996</v>
      </c>
      <c r="BH49" s="118">
        <f t="shared" si="68"/>
        <v>155.57575</v>
      </c>
      <c r="BI49" s="118">
        <f t="shared" si="69"/>
        <v>0.23787889820402283</v>
      </c>
      <c r="BJ49" s="118">
        <f t="shared" si="70"/>
        <v>5.1624204064836476E-2</v>
      </c>
      <c r="BK49" s="118" t="str">
        <f t="shared" si="71"/>
        <v>.</v>
      </c>
      <c r="BL49" s="118" t="str">
        <f t="shared" si="72"/>
        <v>.</v>
      </c>
      <c r="BM49" s="118" t="str">
        <f t="shared" si="73"/>
        <v>.</v>
      </c>
      <c r="BN49" s="118" t="str">
        <f t="shared" si="74"/>
        <v>.</v>
      </c>
      <c r="BO49" s="118" t="str">
        <f t="shared" si="75"/>
        <v>.</v>
      </c>
      <c r="BP49" s="118">
        <f t="shared" si="76"/>
        <v>0.69964381824712596</v>
      </c>
      <c r="BQ49" s="118" t="str">
        <f t="shared" si="77"/>
        <v>.</v>
      </c>
      <c r="BR49" s="60">
        <f t="shared" si="46"/>
        <v>6.1369948350709158E-3</v>
      </c>
      <c r="BS49" s="71">
        <f>IFERROR(s_RadSpec!$E$23*BS23,".")*$B$49</f>
        <v>2.0482275E-7</v>
      </c>
      <c r="BT49" s="71">
        <f>IFERROR(s_RadSpec!$F$23*BT23,".")*$B$49</f>
        <v>9.1123219598558097E-10</v>
      </c>
      <c r="BU49" s="71">
        <f>IFERROR(s_RadSpec!$G$23*BU23,".")*$B$49</f>
        <v>1.7132233298282145E-8</v>
      </c>
      <c r="BV49" s="71">
        <f>s_b2s!CC49</f>
        <v>7.6908872012499992E-6</v>
      </c>
      <c r="BW49" s="71">
        <f>IFERROR(s_RadSpec!$H$23*BW23,".")*$B$49</f>
        <v>3.1115149999999997E-4</v>
      </c>
      <c r="BX49" s="71">
        <f>IFERROR(s_RadSpec!$H$23*BX23,".")*$B$49</f>
        <v>7.7787874999999994E-3</v>
      </c>
      <c r="BY49" s="71">
        <f>IFERROR(s_RadSpec!$H$23*BY23,".")*$B$49</f>
        <v>1.1893944910201141E-5</v>
      </c>
      <c r="BZ49" s="71">
        <f>IFERROR(s_RadSpec!$H$23*BZ23,".")*$B$49</f>
        <v>2.5812102032418235E-6</v>
      </c>
      <c r="CA49" s="71">
        <f>IFERROR(s_RadSpec!$H$23*CA23,".")*$B$49</f>
        <v>0</v>
      </c>
      <c r="CB49" s="71">
        <f>IFERROR(s_RadSpec!$H$23*CB23,".")*$B$49</f>
        <v>0</v>
      </c>
      <c r="CC49" s="71">
        <f>IFERROR(s_RadSpec!$H$23*CC23,".")*$B$49</f>
        <v>0</v>
      </c>
      <c r="CD49" s="71">
        <f>IFERROR(s_RadSpec!$H$23*CD23,".")*$B$49</f>
        <v>0</v>
      </c>
      <c r="CE49" s="71">
        <f>IFERROR(s_RadSpec!$H$23*CE23,".")*$B$49</f>
        <v>0</v>
      </c>
      <c r="CF49" s="71">
        <f>IFERROR(s_RadSpec!$H$23*CF23,".")*$B$49</f>
        <v>3.4982190912356295E-5</v>
      </c>
      <c r="CG49" s="71">
        <f>IFERROR(s_RadSpec!$H$23*CG23,".")*$B$49</f>
        <v>0</v>
      </c>
      <c r="CH49" s="49">
        <f t="shared" ref="CH49:CH62" si="291">IFERROR(IF(BS49&gt;0.01,1-EXP(-BS49),BS49),".")</f>
        <v>2.0482275E-7</v>
      </c>
      <c r="CI49" s="49">
        <f t="shared" ref="CI49:CI62" si="292">IFERROR(IF(BT49&gt;0.01,1-EXP(-BT49),BT49),".")</f>
        <v>9.1123219598558097E-10</v>
      </c>
      <c r="CJ49" s="49">
        <f t="shared" ref="CJ49:CJ62" si="293">IFERROR(IF(BU49&gt;0.01,1-EXP(-BU49),BU49),".")</f>
        <v>1.7132233298282145E-8</v>
      </c>
      <c r="CK49" s="49">
        <f t="shared" ref="CK49:CK62" si="294">IFERROR(IF(BV49&gt;0.01,1-EXP(-BV49),BV49),".")</f>
        <v>7.6908872012499992E-6</v>
      </c>
      <c r="CL49" s="49">
        <f t="shared" ref="CL49:CM62" si="295">IFERROR(IF(BW49&gt;0.01,1-EXP(-BW49),BW49),".")</f>
        <v>3.1115149999999997E-4</v>
      </c>
      <c r="CM49" s="49">
        <f t="shared" si="295"/>
        <v>7.7787874999999994E-3</v>
      </c>
      <c r="CN49" s="49">
        <f t="shared" ref="CN49:CN62" si="296">IFERROR(IF(BY49&gt;0.01,1-EXP(-BY49),BY49),".")</f>
        <v>1.1893944910201141E-5</v>
      </c>
      <c r="CO49" s="49">
        <f t="shared" ref="CO49:CO62" si="297">IFERROR(IF(BZ49&gt;0.01,1-EXP(-BZ49),BZ49),".")</f>
        <v>2.5812102032418235E-6</v>
      </c>
      <c r="CP49" s="49">
        <f t="shared" ref="CP49:CP62" si="298">IFERROR(IF(CA49&gt;0.01,1-EXP(-CA49),CA49),".")</f>
        <v>0</v>
      </c>
      <c r="CQ49" s="49">
        <f t="shared" ref="CQ49:CQ62" si="299">IFERROR(IF(CB49&gt;0.01,1-EXP(-CB49),CB49),".")</f>
        <v>0</v>
      </c>
      <c r="CR49" s="49">
        <f t="shared" ref="CR49:CR62" si="300">IFERROR(IF(CC49&gt;0.01,1-EXP(-CC49),CC49),".")</f>
        <v>0</v>
      </c>
      <c r="CS49" s="49">
        <f t="shared" ref="CS49:CS62" si="301">IFERROR(IF(CD49&gt;0.01,1-EXP(-CD49),CD49),".")</f>
        <v>0</v>
      </c>
      <c r="CT49" s="49">
        <f t="shared" ref="CT49:CT62" si="302">IFERROR(IF(CE49&gt;0.01,1-EXP(-CE49),CE49),".")</f>
        <v>0</v>
      </c>
      <c r="CU49" s="49">
        <f t="shared" ref="CU49:CU62" si="303">IFERROR(IF(CF49&gt;0.01,1-EXP(-CF49),CF49),".")</f>
        <v>3.4982190912356295E-5</v>
      </c>
      <c r="CV49" s="49">
        <f t="shared" ref="CV49:CV62" si="304">IFERROR(IF(CG49&gt;0.01,1-EXP(-CG49),CG49),".")</f>
        <v>0</v>
      </c>
      <c r="CW49" s="49">
        <f t="shared" ref="CW49:CW62" si="305">IFERROR(IF(SUM(BS49:CG49)&gt;0.01,1-EXP(-SUM(BS49:CG49)),SUM(BS49:CG49)),".")</f>
        <v>8.1473100994425424E-3</v>
      </c>
      <c r="CX49" s="60">
        <f t="shared" ref="CX49:DL49" si="306">IFERROR(CX23/$B49,0)</f>
        <v>4.7250047250047249</v>
      </c>
      <c r="CY49" s="60" t="str">
        <f>IFERROR(CY23,".")</f>
        <v>.</v>
      </c>
      <c r="CZ49" s="60">
        <f t="shared" si="306"/>
        <v>317520268.2695446</v>
      </c>
      <c r="DA49" s="60">
        <f t="shared" si="306"/>
        <v>11.539315035746162</v>
      </c>
      <c r="DB49" s="60">
        <f>IFERROR(DB23/$B49,0)</f>
        <v>160.69342426438567</v>
      </c>
      <c r="DC49" s="60">
        <f>IFERROR(DC23/$B49,0)</f>
        <v>6.4277369705754266</v>
      </c>
      <c r="DD49" s="60">
        <f>IFERROR(DD23/$B49,0)</f>
        <v>75620.434947946225</v>
      </c>
      <c r="DE49" s="60">
        <f>IFERROR(DE23/$B49,0)</f>
        <v>348451.00419435202</v>
      </c>
      <c r="DF49" s="60">
        <f>IFERROR(DF23/$B49,0)</f>
        <v>0</v>
      </c>
      <c r="DG49" s="60">
        <f t="shared" si="306"/>
        <v>0</v>
      </c>
      <c r="DH49" s="60">
        <f t="shared" si="306"/>
        <v>0</v>
      </c>
      <c r="DI49" s="60">
        <f t="shared" si="306"/>
        <v>0</v>
      </c>
      <c r="DJ49" s="60">
        <f>IFERROR(DJ23/$B49,0)</f>
        <v>0</v>
      </c>
      <c r="DK49" s="60">
        <f t="shared" si="306"/>
        <v>25710.947882301709</v>
      </c>
      <c r="DL49" s="60">
        <f t="shared" si="306"/>
        <v>0</v>
      </c>
      <c r="DM49" s="118">
        <f t="shared" si="80"/>
        <v>0.21163999999999999</v>
      </c>
      <c r="DN49" s="118" t="str">
        <f t="shared" si="81"/>
        <v>.</v>
      </c>
      <c r="DO49" s="118">
        <f t="shared" si="82"/>
        <v>3.149405250410959E-9</v>
      </c>
      <c r="DP49" s="118">
        <f t="shared" si="83"/>
        <v>8.6660256427892685E-2</v>
      </c>
      <c r="DQ49" s="118">
        <f t="shared" si="84"/>
        <v>6.2230300000000001E-3</v>
      </c>
      <c r="DR49" s="118">
        <f t="shared" si="85"/>
        <v>0.15557575000000001</v>
      </c>
      <c r="DS49" s="118">
        <f t="shared" si="86"/>
        <v>1.3223938749999996E-5</v>
      </c>
      <c r="DT49" s="118">
        <f t="shared" si="87"/>
        <v>2.8698439320388358E-6</v>
      </c>
      <c r="DU49" s="118" t="str">
        <f t="shared" si="88"/>
        <v>.</v>
      </c>
      <c r="DV49" s="118" t="str">
        <f t="shared" si="89"/>
        <v>.</v>
      </c>
      <c r="DW49" s="118" t="str">
        <f t="shared" si="90"/>
        <v>.</v>
      </c>
      <c r="DX49" s="118" t="str">
        <f t="shared" si="91"/>
        <v>.</v>
      </c>
      <c r="DY49" s="118" t="str">
        <f t="shared" si="92"/>
        <v>.</v>
      </c>
      <c r="DZ49" s="118">
        <f t="shared" si="93"/>
        <v>3.8893937499999996E-5</v>
      </c>
      <c r="EA49" s="118" t="str">
        <f t="shared" si="94"/>
        <v>.</v>
      </c>
      <c r="EB49" s="60">
        <f t="shared" si="47"/>
        <v>2.1731853698490418</v>
      </c>
      <c r="EC49" s="71">
        <f>IFERROR(s_RadSpec!$I$23*EC23,".")*$B$49</f>
        <v>1.0582E-5</v>
      </c>
      <c r="ED49" s="71">
        <f>IFERROR(s_RadSpec!$F$23*ED23,".")</f>
        <v>0</v>
      </c>
      <c r="EE49" s="71">
        <f>IFERROR(s_RadSpec!$M$23*EE23,".")*$B$49</f>
        <v>1.5747026252054796E-13</v>
      </c>
      <c r="EF49" s="71">
        <f>s_b2w!CC49</f>
        <v>4.333012821394634E-6</v>
      </c>
      <c r="EG49" s="71">
        <f>IFERROR(s_RadSpec!$H$23*EG23,".")*$B$49</f>
        <v>3.1115149999999997E-7</v>
      </c>
      <c r="EH49" s="71">
        <f>IFERROR(s_RadSpec!$H$23*EH23,".")*$B$49</f>
        <v>7.7787874999999999E-6</v>
      </c>
      <c r="EI49" s="71">
        <f>IFERROR(s_RadSpec!$H$23*EI23,".")*$B$49</f>
        <v>6.6119693750000001E-10</v>
      </c>
      <c r="EJ49" s="71">
        <f>IFERROR(s_RadSpec!$H$23*EJ23,".")*$B$49</f>
        <v>1.4349219660194175E-10</v>
      </c>
      <c r="EK49" s="71">
        <f>IFERROR(s_RadSpec!$H$23*EK23,".")*$B$49</f>
        <v>0</v>
      </c>
      <c r="EL49" s="71">
        <f>IFERROR(s_RadSpec!$H$23*EL23,".")*$B$49</f>
        <v>0</v>
      </c>
      <c r="EM49" s="71">
        <f>IFERROR(s_RadSpec!$H$23*EM23,".")*$B$49</f>
        <v>0</v>
      </c>
      <c r="EN49" s="71">
        <f>IFERROR(s_RadSpec!$H$23*EN23,".")*$B$49</f>
        <v>0</v>
      </c>
      <c r="EO49" s="71">
        <f>IFERROR(s_RadSpec!$H$23*EO23,".")*$B$49</f>
        <v>0</v>
      </c>
      <c r="EP49" s="71">
        <f>IFERROR(s_RadSpec!$H$23*EP23,".")*$B$49</f>
        <v>1.944696875E-9</v>
      </c>
      <c r="EQ49" s="71">
        <f>IFERROR(s_RadSpec!$H$23*EQ23,".")*$B$49</f>
        <v>0</v>
      </c>
      <c r="ER49" s="49">
        <f t="shared" ref="ER49:ER62" si="307">IFERROR(IF(EC49&gt;0.01,1-EXP(-EC49),EC49),".")</f>
        <v>1.0582E-5</v>
      </c>
      <c r="ES49" s="49">
        <f t="shared" ref="ES49:ES62" si="308">IFERROR(IF(ED49&gt;0.01,1-EXP(-ED49),ED49),".")</f>
        <v>0</v>
      </c>
      <c r="ET49" s="49">
        <f t="shared" ref="ET49:ET62" si="309">IFERROR(IF(EE49&gt;0.01,1-EXP(-EE49),EE49),".")</f>
        <v>1.5747026252054796E-13</v>
      </c>
      <c r="EU49" s="49">
        <f t="shared" ref="EU49:EU62" si="310">IFERROR(IF(EF49&gt;0.01,1-EXP(-EF49),EF49),".")</f>
        <v>4.333012821394634E-6</v>
      </c>
      <c r="EV49" s="49">
        <f t="shared" ref="EV49:EW62" si="311">IFERROR(IF(EG49&gt;0.01,1-EXP(-EG49),EG49),".")</f>
        <v>3.1115149999999997E-7</v>
      </c>
      <c r="EW49" s="49">
        <f t="shared" si="311"/>
        <v>7.7787874999999999E-6</v>
      </c>
      <c r="EX49" s="49">
        <f t="shared" ref="EX49:EX62" si="312">IFERROR(IF(EI49&gt;0.01,1-EXP(-EI49),EI49),".")</f>
        <v>6.6119693750000001E-10</v>
      </c>
      <c r="EY49" s="49">
        <f t="shared" ref="EY49:EY62" si="313">IFERROR(IF(EJ49&gt;0.01,1-EXP(-EJ49),EJ49),".")</f>
        <v>1.4349219660194175E-10</v>
      </c>
      <c r="EZ49" s="49">
        <f t="shared" ref="EZ49:EZ62" si="314">IFERROR(IF(EK49&gt;0.01,1-EXP(-EK49),EK49),".")</f>
        <v>0</v>
      </c>
      <c r="FA49" s="49">
        <f t="shared" ref="FA49:FA62" si="315">IFERROR(IF(EL49&gt;0.01,1-EXP(-EL49),EL49),".")</f>
        <v>0</v>
      </c>
      <c r="FB49" s="49">
        <f t="shared" ref="FB49:FB62" si="316">IFERROR(IF(EM49&gt;0.01,1-EXP(-EM49),EM49),".")</f>
        <v>0</v>
      </c>
      <c r="FC49" s="49">
        <f t="shared" ref="FC49:FC62" si="317">IFERROR(IF(EN49&gt;0.01,1-EXP(-EN49),EN49),".")</f>
        <v>0</v>
      </c>
      <c r="FD49" s="49">
        <f t="shared" ref="FD49:FD62" si="318">IFERROR(IF(EO49&gt;0.01,1-EXP(-EO49),EO49),".")</f>
        <v>0</v>
      </c>
      <c r="FE49" s="49">
        <f t="shared" ref="FE49:FE62" si="319">IFERROR(IF(EP49&gt;0.01,1-EXP(-EP49),EP49),".")</f>
        <v>1.944696875E-9</v>
      </c>
      <c r="FF49" s="49">
        <f t="shared" ref="FF49:FF62" si="320">IFERROR(IF(EQ49&gt;0.01,1-EXP(-EQ49),EQ49),".")</f>
        <v>0</v>
      </c>
      <c r="FG49" s="49">
        <f t="shared" ref="FG49:FG62" si="321">IFERROR(IF(SUM(EC49:EQ49)&gt;0.01,1-EXP(-SUM(EC49:EQ49)),SUM(EC49:EQ49)),".")</f>
        <v>2.3007701364874E-5</v>
      </c>
      <c r="FH49" s="60">
        <f>IFERROR(FH23/$B49,0)</f>
        <v>0.17711450037337031</v>
      </c>
      <c r="FI49" s="60">
        <f>IFERROR(FI23/$B49,0)</f>
        <v>1118087.7643327571</v>
      </c>
      <c r="FJ49" s="60">
        <f>IFERROR(FJ23/$B49,0)</f>
        <v>0.17711447231694907</v>
      </c>
      <c r="FK49" s="71">
        <f>IFERROR(s_RadSpec!$F$23*FK23,".")*$B$49</f>
        <v>2.8230325520833328E-4</v>
      </c>
      <c r="FL49" s="71">
        <f>IFERROR(s_RadSpec!$K$23*FL23,".")*$B$49</f>
        <v>4.4719208630136992E-11</v>
      </c>
      <c r="FM49" s="49">
        <f t="shared" ref="FM49:FN62" si="322">IFERROR(IF(FK49&gt;0.01,1-EXP(-FK49),FK49),".")</f>
        <v>2.8230325520833328E-4</v>
      </c>
      <c r="FN49" s="49">
        <f t="shared" si="322"/>
        <v>4.4719208630136992E-11</v>
      </c>
      <c r="FO49" s="49">
        <f t="shared" ref="FO49:FO62" si="323">IFERROR(IF(SUM(FK49:FL49)&gt;0.01,1-EXP(-SUM(FK49:FL49)),SUM(FK49:FL49)),".")</f>
        <v>2.8230329992754192E-4</v>
      </c>
    </row>
    <row r="50" spans="1:171" x14ac:dyDescent="0.25">
      <c r="A50" s="83" t="s">
        <v>1087</v>
      </c>
      <c r="B50" s="42">
        <v>1</v>
      </c>
      <c r="C50" s="249"/>
      <c r="D50" s="60">
        <f t="shared" ref="D50:O50" si="324">IFERROR(D25/$B50,0)</f>
        <v>0</v>
      </c>
      <c r="E50" s="60">
        <f t="shared" si="324"/>
        <v>0</v>
      </c>
      <c r="F50" s="60">
        <f t="shared" si="324"/>
        <v>0</v>
      </c>
      <c r="G50" s="60">
        <f t="shared" si="324"/>
        <v>0</v>
      </c>
      <c r="H50" s="60">
        <f t="shared" si="324"/>
        <v>0</v>
      </c>
      <c r="I50" s="60">
        <f t="shared" si="324"/>
        <v>0</v>
      </c>
      <c r="J50" s="60">
        <f t="shared" si="324"/>
        <v>0</v>
      </c>
      <c r="K50" s="60">
        <f t="shared" ref="K50" si="325">IFERROR(K25/$B50,0)</f>
        <v>0</v>
      </c>
      <c r="L50" s="60">
        <f t="shared" si="324"/>
        <v>0</v>
      </c>
      <c r="M50" s="60">
        <f t="shared" si="324"/>
        <v>0</v>
      </c>
      <c r="N50" s="60">
        <f t="shared" si="324"/>
        <v>0</v>
      </c>
      <c r="O50" s="60">
        <f t="shared" si="324"/>
        <v>0</v>
      </c>
      <c r="P50" s="71">
        <f>s_dir!BC50</f>
        <v>0</v>
      </c>
      <c r="Q50" s="71">
        <f>IFERROR(s_RadSpec!$H$25*Q25,".")*$B$50</f>
        <v>0</v>
      </c>
      <c r="R50" s="71">
        <f>IFERROR(s_RadSpec!$H$25*R25,".")*$B$50</f>
        <v>0</v>
      </c>
      <c r="S50" s="71">
        <f>IFERROR(s_RadSpec!$H$25*S25,".")*$B$50</f>
        <v>0</v>
      </c>
      <c r="T50" s="71">
        <f>IFERROR(s_RadSpec!$H$25*T25,".")*$B$50</f>
        <v>0</v>
      </c>
      <c r="U50" s="71">
        <f>IFERROR(s_RadSpec!$H$25*U25,".")*$B$50</f>
        <v>0</v>
      </c>
      <c r="V50" s="71">
        <f>IFERROR(s_RadSpec!$H$25*V25,".")*$B$50</f>
        <v>0</v>
      </c>
      <c r="W50" s="71">
        <f>IFERROR(s_RadSpec!$H$25*W25,".")*$B$50</f>
        <v>0</v>
      </c>
      <c r="X50" s="71">
        <f>IFERROR(s_RadSpec!$H$25*X25,".")*$B$50</f>
        <v>0</v>
      </c>
      <c r="Y50" s="71">
        <f>IFERROR(s_RadSpec!$H$25*Y25,".")*$B$50</f>
        <v>0</v>
      </c>
      <c r="Z50" s="71">
        <f>IFERROR(s_RadSpec!$H$25*Z25,".")*$B$50</f>
        <v>0</v>
      </c>
      <c r="AA50" s="71">
        <f>IFERROR(s_RadSpec!$H$25*AA25,".")*$B$50</f>
        <v>0</v>
      </c>
      <c r="AB50" s="49">
        <f t="shared" si="279"/>
        <v>0</v>
      </c>
      <c r="AC50" s="49">
        <f t="shared" si="280"/>
        <v>0</v>
      </c>
      <c r="AD50" s="49">
        <f t="shared" si="281"/>
        <v>0</v>
      </c>
      <c r="AE50" s="49">
        <f t="shared" si="282"/>
        <v>0</v>
      </c>
      <c r="AF50" s="49">
        <f t="shared" si="283"/>
        <v>0</v>
      </c>
      <c r="AG50" s="49">
        <f t="shared" si="284"/>
        <v>0</v>
      </c>
      <c r="AH50" s="49">
        <f t="shared" si="285"/>
        <v>0</v>
      </c>
      <c r="AI50" s="49">
        <f t="shared" si="285"/>
        <v>0</v>
      </c>
      <c r="AJ50" s="49">
        <f t="shared" si="286"/>
        <v>0</v>
      </c>
      <c r="AK50" s="49">
        <f t="shared" si="287"/>
        <v>0</v>
      </c>
      <c r="AL50" s="49">
        <f t="shared" si="288"/>
        <v>0</v>
      </c>
      <c r="AM50" s="49">
        <f t="shared" si="289"/>
        <v>0</v>
      </c>
      <c r="AN50" s="60">
        <f t="shared" ref="AN50:BB50" si="326">IFERROR(AN25/$B50,0)</f>
        <v>0</v>
      </c>
      <c r="AO50" s="60">
        <f t="shared" si="326"/>
        <v>677629777.45488858</v>
      </c>
      <c r="AP50" s="60">
        <f t="shared" si="326"/>
        <v>62967.597862067298</v>
      </c>
      <c r="AQ50" s="60">
        <f t="shared" si="326"/>
        <v>0</v>
      </c>
      <c r="AR50" s="60">
        <f>IFERROR(AR25/$B50,0)</f>
        <v>0</v>
      </c>
      <c r="AS50" s="60">
        <f>IFERROR(AS25/$B50,0)</f>
        <v>0</v>
      </c>
      <c r="AT50" s="60">
        <f>IFERROR(AT25/$B50,0)</f>
        <v>0</v>
      </c>
      <c r="AU50" s="60">
        <f>IFERROR(AU25/$B50,0)</f>
        <v>0</v>
      </c>
      <c r="AV50" s="60">
        <f>IFERROR(AV25/$B50,0)</f>
        <v>0</v>
      </c>
      <c r="AW50" s="60">
        <f t="shared" si="326"/>
        <v>0</v>
      </c>
      <c r="AX50" s="60">
        <f t="shared" si="326"/>
        <v>0</v>
      </c>
      <c r="AY50" s="60">
        <f t="shared" si="326"/>
        <v>0</v>
      </c>
      <c r="AZ50" s="60">
        <f>IFERROR(AZ25/$B50,0)</f>
        <v>0</v>
      </c>
      <c r="BA50" s="60">
        <f t="shared" si="326"/>
        <v>0</v>
      </c>
      <c r="BB50" s="60">
        <f t="shared" si="326"/>
        <v>0</v>
      </c>
      <c r="BC50" s="118" t="str">
        <f t="shared" si="63"/>
        <v>.</v>
      </c>
      <c r="BD50" s="118">
        <f t="shared" si="64"/>
        <v>1.4757320785929782E-9</v>
      </c>
      <c r="BE50" s="118">
        <f t="shared" si="65"/>
        <v>1.5881183877945204E-5</v>
      </c>
      <c r="BF50" s="118" t="str">
        <f t="shared" si="66"/>
        <v>.</v>
      </c>
      <c r="BG50" s="118" t="str">
        <f t="shared" si="67"/>
        <v>.</v>
      </c>
      <c r="BH50" s="118" t="str">
        <f t="shared" si="68"/>
        <v>.</v>
      </c>
      <c r="BI50" s="118" t="str">
        <f t="shared" si="69"/>
        <v>.</v>
      </c>
      <c r="BJ50" s="118" t="str">
        <f t="shared" si="70"/>
        <v>.</v>
      </c>
      <c r="BK50" s="118" t="str">
        <f t="shared" si="71"/>
        <v>.</v>
      </c>
      <c r="BL50" s="118" t="str">
        <f t="shared" si="72"/>
        <v>.</v>
      </c>
      <c r="BM50" s="118" t="str">
        <f t="shared" si="73"/>
        <v>.</v>
      </c>
      <c r="BN50" s="118" t="str">
        <f t="shared" si="74"/>
        <v>.</v>
      </c>
      <c r="BO50" s="118" t="str">
        <f t="shared" si="75"/>
        <v>.</v>
      </c>
      <c r="BP50" s="118" t="str">
        <f t="shared" si="76"/>
        <v>.</v>
      </c>
      <c r="BQ50" s="118" t="str">
        <f t="shared" si="77"/>
        <v>.</v>
      </c>
      <c r="BR50" s="60">
        <f t="shared" si="46"/>
        <v>62961.747248482498</v>
      </c>
      <c r="BS50" s="71">
        <f>IFERROR(s_RadSpec!$E$25*BS25,".")*$B$50</f>
        <v>0</v>
      </c>
      <c r="BT50" s="71">
        <f>IFERROR(s_RadSpec!$F$25*BT25,".")*$B$50</f>
        <v>7.3786603929648917E-14</v>
      </c>
      <c r="BU50" s="71">
        <f>IFERROR(s_RadSpec!$G$25*BU25,".")*$B$50</f>
        <v>7.9405919389726007E-10</v>
      </c>
      <c r="BV50" s="71">
        <f>s_b2s!CC50</f>
        <v>0</v>
      </c>
      <c r="BW50" s="71">
        <f>IFERROR(s_RadSpec!$H$25*BW25,".")*$B$50</f>
        <v>0</v>
      </c>
      <c r="BX50" s="71">
        <f>IFERROR(s_RadSpec!$H$25*BX25,".")*$B$50</f>
        <v>0</v>
      </c>
      <c r="BY50" s="71">
        <f>IFERROR(s_RadSpec!$H$25*BY25,".")*$B$50</f>
        <v>0</v>
      </c>
      <c r="BZ50" s="71">
        <f>IFERROR(s_RadSpec!$H$25*BZ25,".")*$B$50</f>
        <v>0</v>
      </c>
      <c r="CA50" s="71">
        <f>IFERROR(s_RadSpec!$H$25*CA25,".")*$B$50</f>
        <v>0</v>
      </c>
      <c r="CB50" s="71">
        <f>IFERROR(s_RadSpec!$H$25*CB25,".")*$B$50</f>
        <v>0</v>
      </c>
      <c r="CC50" s="71">
        <f>IFERROR(s_RadSpec!$H$25*CC25,".")*$B$50</f>
        <v>0</v>
      </c>
      <c r="CD50" s="71">
        <f>IFERROR(s_RadSpec!$H$25*CD25,".")*$B$50</f>
        <v>0</v>
      </c>
      <c r="CE50" s="71">
        <f>IFERROR(s_RadSpec!$H$25*CE25,".")*$B$50</f>
        <v>0</v>
      </c>
      <c r="CF50" s="71">
        <f>IFERROR(s_RadSpec!$H$25*CF25,".")*$B$50</f>
        <v>0</v>
      </c>
      <c r="CG50" s="71">
        <f>IFERROR(s_RadSpec!$H$25*CG25,".")*$B$50</f>
        <v>0</v>
      </c>
      <c r="CH50" s="49">
        <f t="shared" si="291"/>
        <v>0</v>
      </c>
      <c r="CI50" s="49">
        <f t="shared" si="292"/>
        <v>7.3786603929648917E-14</v>
      </c>
      <c r="CJ50" s="49">
        <f t="shared" si="293"/>
        <v>7.9405919389726007E-10</v>
      </c>
      <c r="CK50" s="49">
        <f t="shared" si="294"/>
        <v>0</v>
      </c>
      <c r="CL50" s="49">
        <f t="shared" si="295"/>
        <v>0</v>
      </c>
      <c r="CM50" s="49">
        <f t="shared" si="295"/>
        <v>0</v>
      </c>
      <c r="CN50" s="49">
        <f t="shared" si="296"/>
        <v>0</v>
      </c>
      <c r="CO50" s="49">
        <f t="shared" si="297"/>
        <v>0</v>
      </c>
      <c r="CP50" s="49">
        <f t="shared" si="298"/>
        <v>0</v>
      </c>
      <c r="CQ50" s="49">
        <f t="shared" si="299"/>
        <v>0</v>
      </c>
      <c r="CR50" s="49">
        <f t="shared" si="300"/>
        <v>0</v>
      </c>
      <c r="CS50" s="49">
        <f t="shared" si="301"/>
        <v>0</v>
      </c>
      <c r="CT50" s="49">
        <f t="shared" si="302"/>
        <v>0</v>
      </c>
      <c r="CU50" s="49">
        <f t="shared" si="303"/>
        <v>0</v>
      </c>
      <c r="CV50" s="49">
        <f t="shared" si="304"/>
        <v>0</v>
      </c>
      <c r="CW50" s="49">
        <f t="shared" si="305"/>
        <v>7.9413298050118973E-10</v>
      </c>
      <c r="CX50" s="60">
        <f t="shared" ref="CX50:DL50" si="327">IFERROR(CX25/$B50,0)</f>
        <v>0</v>
      </c>
      <c r="CY50" s="60">
        <f>IFERROR(CY25,".")</f>
        <v>4374.5727956254277</v>
      </c>
      <c r="CZ50" s="60">
        <f t="shared" si="327"/>
        <v>5664730367.4666271</v>
      </c>
      <c r="DA50" s="60">
        <f t="shared" si="327"/>
        <v>0</v>
      </c>
      <c r="DB50" s="60">
        <f>IFERROR(DB25/$B50,0)</f>
        <v>0</v>
      </c>
      <c r="DC50" s="60">
        <f>IFERROR(DC25/$B50,0)</f>
        <v>0</v>
      </c>
      <c r="DD50" s="60">
        <f>IFERROR(DD25/$B50,0)</f>
        <v>0</v>
      </c>
      <c r="DE50" s="60">
        <f>IFERROR(DE25/$B50,0)</f>
        <v>0</v>
      </c>
      <c r="DF50" s="60">
        <f>IFERROR(DF25/$B50,0)</f>
        <v>0</v>
      </c>
      <c r="DG50" s="60">
        <f t="shared" si="327"/>
        <v>0</v>
      </c>
      <c r="DH50" s="60">
        <f t="shared" si="327"/>
        <v>0</v>
      </c>
      <c r="DI50" s="60">
        <f t="shared" si="327"/>
        <v>0</v>
      </c>
      <c r="DJ50" s="60">
        <f>IFERROR(DJ25/$B50,0)</f>
        <v>0</v>
      </c>
      <c r="DK50" s="60">
        <f t="shared" si="327"/>
        <v>0</v>
      </c>
      <c r="DL50" s="60">
        <f t="shared" si="327"/>
        <v>0</v>
      </c>
      <c r="DM50" s="118" t="str">
        <f t="shared" si="80"/>
        <v>.</v>
      </c>
      <c r="DN50" s="118">
        <f t="shared" si="81"/>
        <v>2.2859374999999998E-4</v>
      </c>
      <c r="DO50" s="118">
        <f t="shared" si="82"/>
        <v>1.765309088219178E-10</v>
      </c>
      <c r="DP50" s="118" t="str">
        <f t="shared" si="83"/>
        <v>.</v>
      </c>
      <c r="DQ50" s="118" t="str">
        <f t="shared" si="84"/>
        <v>.</v>
      </c>
      <c r="DR50" s="118" t="str">
        <f t="shared" si="85"/>
        <v>.</v>
      </c>
      <c r="DS50" s="118" t="str">
        <f t="shared" si="86"/>
        <v>.</v>
      </c>
      <c r="DT50" s="118" t="str">
        <f t="shared" si="87"/>
        <v>.</v>
      </c>
      <c r="DU50" s="118" t="str">
        <f t="shared" si="88"/>
        <v>.</v>
      </c>
      <c r="DV50" s="118" t="str">
        <f t="shared" si="89"/>
        <v>.</v>
      </c>
      <c r="DW50" s="118" t="str">
        <f t="shared" si="90"/>
        <v>.</v>
      </c>
      <c r="DX50" s="118" t="str">
        <f t="shared" si="91"/>
        <v>.</v>
      </c>
      <c r="DY50" s="118" t="str">
        <f t="shared" si="92"/>
        <v>.</v>
      </c>
      <c r="DZ50" s="118" t="str">
        <f t="shared" si="93"/>
        <v>.</v>
      </c>
      <c r="EA50" s="118" t="str">
        <f t="shared" si="94"/>
        <v>.</v>
      </c>
      <c r="EB50" s="60">
        <f t="shared" si="47"/>
        <v>4374.5694173759566</v>
      </c>
      <c r="EC50" s="71">
        <f>IFERROR(s_RadSpec!$I$25*EC25,".")*$B$50</f>
        <v>0</v>
      </c>
      <c r="ED50" s="71">
        <f>IFERROR(s_RadSpec!$F$25*ED25,".")</f>
        <v>1.1429687499999998E-8</v>
      </c>
      <c r="EE50" s="71">
        <f>IFERROR(s_RadSpec!$M$25*EE25,".")*$B$50</f>
        <v>8.8265454410958909E-15</v>
      </c>
      <c r="EF50" s="71">
        <f>s_b2w!CC50</f>
        <v>0</v>
      </c>
      <c r="EG50" s="71">
        <f>IFERROR(s_RadSpec!$H$25*EG25,".")*$B$50</f>
        <v>0</v>
      </c>
      <c r="EH50" s="71">
        <f>IFERROR(s_RadSpec!$H$25*EH25,".")*$B$50</f>
        <v>0</v>
      </c>
      <c r="EI50" s="71">
        <f>IFERROR(s_RadSpec!$H$25*EI25,".")*$B$50</f>
        <v>0</v>
      </c>
      <c r="EJ50" s="71">
        <f>IFERROR(s_RadSpec!$H$25*EJ25,".")*$B$50</f>
        <v>0</v>
      </c>
      <c r="EK50" s="71">
        <f>IFERROR(s_RadSpec!$H$25*EK25,".")*$B$50</f>
        <v>0</v>
      </c>
      <c r="EL50" s="71">
        <f>IFERROR(s_RadSpec!$H$25*EL25,".")*$B$50</f>
        <v>0</v>
      </c>
      <c r="EM50" s="71">
        <f>IFERROR(s_RadSpec!$H$25*EM25,".")*$B$50</f>
        <v>0</v>
      </c>
      <c r="EN50" s="71">
        <f>IFERROR(s_RadSpec!$H$25*EN25,".")*$B$50</f>
        <v>0</v>
      </c>
      <c r="EO50" s="71">
        <f>IFERROR(s_RadSpec!$H$25*EO25,".")*$B$50</f>
        <v>0</v>
      </c>
      <c r="EP50" s="71">
        <f>IFERROR(s_RadSpec!$H$25*EP25,".")*$B$50</f>
        <v>0</v>
      </c>
      <c r="EQ50" s="71">
        <f>IFERROR(s_RadSpec!$H$25*EQ25,".")*$B$50</f>
        <v>0</v>
      </c>
      <c r="ER50" s="49">
        <f t="shared" si="307"/>
        <v>0</v>
      </c>
      <c r="ES50" s="49">
        <f t="shared" si="308"/>
        <v>1.1429687499999998E-8</v>
      </c>
      <c r="ET50" s="49">
        <f t="shared" si="309"/>
        <v>8.8265454410958909E-15</v>
      </c>
      <c r="EU50" s="49">
        <f t="shared" si="310"/>
        <v>0</v>
      </c>
      <c r="EV50" s="49">
        <f t="shared" si="311"/>
        <v>0</v>
      </c>
      <c r="EW50" s="49">
        <f t="shared" si="311"/>
        <v>0</v>
      </c>
      <c r="EX50" s="49">
        <f t="shared" si="312"/>
        <v>0</v>
      </c>
      <c r="EY50" s="49">
        <f t="shared" si="313"/>
        <v>0</v>
      </c>
      <c r="EZ50" s="49">
        <f t="shared" si="314"/>
        <v>0</v>
      </c>
      <c r="FA50" s="49">
        <f t="shared" si="315"/>
        <v>0</v>
      </c>
      <c r="FB50" s="49">
        <f t="shared" si="316"/>
        <v>0</v>
      </c>
      <c r="FC50" s="49">
        <f t="shared" si="317"/>
        <v>0</v>
      </c>
      <c r="FD50" s="49">
        <f t="shared" si="318"/>
        <v>0</v>
      </c>
      <c r="FE50" s="49">
        <f t="shared" si="319"/>
        <v>0</v>
      </c>
      <c r="FF50" s="49">
        <f t="shared" si="320"/>
        <v>0</v>
      </c>
      <c r="FG50" s="49">
        <f t="shared" si="321"/>
        <v>1.142969632654544E-8</v>
      </c>
      <c r="FH50" s="60">
        <f>IFERROR(FH25/$B50,0)</f>
        <v>2187.2863978127139</v>
      </c>
      <c r="FI50" s="60">
        <f>IFERROR(FI25/$B50,0)</f>
        <v>19626864.352316026</v>
      </c>
      <c r="FJ50" s="60">
        <f>IFERROR(FJ25/$B50,0)</f>
        <v>2187.0426661299962</v>
      </c>
      <c r="FK50" s="71">
        <f>IFERROR(s_RadSpec!$F$25*FK25,".")*$B$50</f>
        <v>2.2859374999999997E-8</v>
      </c>
      <c r="FL50" s="71">
        <f>IFERROR(s_RadSpec!$K$25*FL25,".")*$B$50</f>
        <v>2.5475286883561649E-12</v>
      </c>
      <c r="FM50" s="49">
        <f t="shared" si="322"/>
        <v>2.2859374999999997E-8</v>
      </c>
      <c r="FN50" s="49">
        <f t="shared" si="322"/>
        <v>2.5475286883561649E-12</v>
      </c>
      <c r="FO50" s="49">
        <f t="shared" si="323"/>
        <v>2.2861922528688354E-8</v>
      </c>
    </row>
    <row r="51" spans="1:171" x14ac:dyDescent="0.25">
      <c r="A51" s="83" t="s">
        <v>1073</v>
      </c>
      <c r="B51" s="42">
        <v>1</v>
      </c>
      <c r="C51" s="249"/>
      <c r="D51" s="60">
        <f t="shared" ref="D51:O51" si="328">IFERROR(D21/$B51,0)</f>
        <v>0</v>
      </c>
      <c r="E51" s="60">
        <f t="shared" si="328"/>
        <v>0</v>
      </c>
      <c r="F51" s="60">
        <f t="shared" si="328"/>
        <v>0</v>
      </c>
      <c r="G51" s="60">
        <f t="shared" si="328"/>
        <v>0</v>
      </c>
      <c r="H51" s="60">
        <f t="shared" si="328"/>
        <v>0</v>
      </c>
      <c r="I51" s="60">
        <f t="shared" si="328"/>
        <v>0</v>
      </c>
      <c r="J51" s="60">
        <f t="shared" si="328"/>
        <v>0</v>
      </c>
      <c r="K51" s="60">
        <f t="shared" ref="K51" si="329">IFERROR(K21/$B51,0)</f>
        <v>0</v>
      </c>
      <c r="L51" s="60">
        <f t="shared" si="328"/>
        <v>0</v>
      </c>
      <c r="M51" s="60">
        <f t="shared" si="328"/>
        <v>0</v>
      </c>
      <c r="N51" s="60">
        <f t="shared" si="328"/>
        <v>0</v>
      </c>
      <c r="O51" s="60">
        <f t="shared" si="328"/>
        <v>0</v>
      </c>
      <c r="P51" s="71">
        <f>s_dir!BC51</f>
        <v>0</v>
      </c>
      <c r="Q51" s="71">
        <f>IFERROR(s_RadSpec!$H$21*Q21,".")*$B$51</f>
        <v>0</v>
      </c>
      <c r="R51" s="71">
        <f>IFERROR(s_RadSpec!$H$21*R21,".")*$B$51</f>
        <v>0</v>
      </c>
      <c r="S51" s="71">
        <f>IFERROR(s_RadSpec!$H$21*S21,".")*$B$51</f>
        <v>0</v>
      </c>
      <c r="T51" s="71">
        <f>IFERROR(s_RadSpec!$H$21*T21,".")*$B$51</f>
        <v>0</v>
      </c>
      <c r="U51" s="71">
        <f>IFERROR(s_RadSpec!$H$21*U21,".")*$B$51</f>
        <v>0</v>
      </c>
      <c r="V51" s="71">
        <f>IFERROR(s_RadSpec!$H$21*V21,".")*$B$51</f>
        <v>0</v>
      </c>
      <c r="W51" s="71">
        <f>IFERROR(s_RadSpec!$H$21*W21,".")*$B$51</f>
        <v>0</v>
      </c>
      <c r="X51" s="71">
        <f>IFERROR(s_RadSpec!$H$21*X21,".")*$B$51</f>
        <v>0</v>
      </c>
      <c r="Y51" s="71">
        <f>IFERROR(s_RadSpec!$H$21*Y21,".")*$B$51</f>
        <v>0</v>
      </c>
      <c r="Z51" s="71">
        <f>IFERROR(s_RadSpec!$H$21*Z21,".")*$B$51</f>
        <v>0</v>
      </c>
      <c r="AA51" s="71">
        <f>IFERROR(s_RadSpec!$H$21*AA21,".")*$B$51</f>
        <v>0</v>
      </c>
      <c r="AB51" s="49">
        <f t="shared" si="279"/>
        <v>0</v>
      </c>
      <c r="AC51" s="49">
        <f t="shared" si="280"/>
        <v>0</v>
      </c>
      <c r="AD51" s="49">
        <f t="shared" si="281"/>
        <v>0</v>
      </c>
      <c r="AE51" s="49">
        <f t="shared" si="282"/>
        <v>0</v>
      </c>
      <c r="AF51" s="49">
        <f t="shared" si="283"/>
        <v>0</v>
      </c>
      <c r="AG51" s="49">
        <f t="shared" si="284"/>
        <v>0</v>
      </c>
      <c r="AH51" s="49">
        <f t="shared" si="285"/>
        <v>0</v>
      </c>
      <c r="AI51" s="49">
        <f t="shared" si="285"/>
        <v>0</v>
      </c>
      <c r="AJ51" s="49">
        <f t="shared" si="286"/>
        <v>0</v>
      </c>
      <c r="AK51" s="49">
        <f t="shared" si="287"/>
        <v>0</v>
      </c>
      <c r="AL51" s="49">
        <f t="shared" si="288"/>
        <v>0</v>
      </c>
      <c r="AM51" s="49">
        <f t="shared" si="289"/>
        <v>0</v>
      </c>
      <c r="AN51" s="60">
        <f t="shared" ref="AN51:BB51" si="330">IFERROR(AN21/$B51,0)</f>
        <v>0</v>
      </c>
      <c r="AO51" s="60">
        <f t="shared" si="330"/>
        <v>111150783.64008242</v>
      </c>
      <c r="AP51" s="60">
        <f t="shared" si="330"/>
        <v>0</v>
      </c>
      <c r="AQ51" s="60">
        <f t="shared" si="330"/>
        <v>0</v>
      </c>
      <c r="AR51" s="60">
        <f>IFERROR(AR21/$B51,0)</f>
        <v>0</v>
      </c>
      <c r="AS51" s="60">
        <f>IFERROR(AS21/$B51,0)</f>
        <v>0</v>
      </c>
      <c r="AT51" s="60">
        <f>IFERROR(AT21/$B51,0)</f>
        <v>0</v>
      </c>
      <c r="AU51" s="60">
        <f>IFERROR(AU21/$B51,0)</f>
        <v>0</v>
      </c>
      <c r="AV51" s="60">
        <f>IFERROR(AV21/$B51,0)</f>
        <v>0</v>
      </c>
      <c r="AW51" s="60">
        <f t="shared" si="330"/>
        <v>0</v>
      </c>
      <c r="AX51" s="60">
        <f t="shared" si="330"/>
        <v>0</v>
      </c>
      <c r="AY51" s="60">
        <f t="shared" si="330"/>
        <v>0</v>
      </c>
      <c r="AZ51" s="60">
        <f>IFERROR(AZ21/$B51,0)</f>
        <v>0</v>
      </c>
      <c r="BA51" s="60">
        <f t="shared" si="330"/>
        <v>0</v>
      </c>
      <c r="BB51" s="60">
        <f t="shared" si="330"/>
        <v>0</v>
      </c>
      <c r="BC51" s="118" t="str">
        <f t="shared" si="63"/>
        <v>.</v>
      </c>
      <c r="BD51" s="118">
        <f t="shared" si="64"/>
        <v>8.9967876721238607E-9</v>
      </c>
      <c r="BE51" s="118" t="str">
        <f t="shared" si="65"/>
        <v>.</v>
      </c>
      <c r="BF51" s="118" t="str">
        <f t="shared" si="66"/>
        <v>.</v>
      </c>
      <c r="BG51" s="118" t="str">
        <f t="shared" si="67"/>
        <v>.</v>
      </c>
      <c r="BH51" s="118" t="str">
        <f t="shared" si="68"/>
        <v>.</v>
      </c>
      <c r="BI51" s="118" t="str">
        <f t="shared" si="69"/>
        <v>.</v>
      </c>
      <c r="BJ51" s="118" t="str">
        <f t="shared" si="70"/>
        <v>.</v>
      </c>
      <c r="BK51" s="118" t="str">
        <f t="shared" si="71"/>
        <v>.</v>
      </c>
      <c r="BL51" s="118" t="str">
        <f t="shared" si="72"/>
        <v>.</v>
      </c>
      <c r="BM51" s="118" t="str">
        <f t="shared" si="73"/>
        <v>.</v>
      </c>
      <c r="BN51" s="118" t="str">
        <f t="shared" si="74"/>
        <v>.</v>
      </c>
      <c r="BO51" s="118" t="str">
        <f t="shared" si="75"/>
        <v>.</v>
      </c>
      <c r="BP51" s="118" t="str">
        <f t="shared" si="76"/>
        <v>.</v>
      </c>
      <c r="BQ51" s="118" t="str">
        <f t="shared" si="77"/>
        <v>.</v>
      </c>
      <c r="BR51" s="60">
        <f t="shared" si="46"/>
        <v>111150783.64008242</v>
      </c>
      <c r="BS51" s="71">
        <f>IFERROR(s_RadSpec!$E$21*BS21,".")*$B$51</f>
        <v>0</v>
      </c>
      <c r="BT51" s="71">
        <f>IFERROR(s_RadSpec!$F$21*BT21,".")*$B$51</f>
        <v>4.49839383606193E-13</v>
      </c>
      <c r="BU51" s="71">
        <f>IFERROR(s_RadSpec!$G$21*BU21,".")*$B$51</f>
        <v>0</v>
      </c>
      <c r="BV51" s="71">
        <f>s_b2s!CC51</f>
        <v>0</v>
      </c>
      <c r="BW51" s="71">
        <f>IFERROR(s_RadSpec!$H$21*BW21,".")*$B$51</f>
        <v>0</v>
      </c>
      <c r="BX51" s="71">
        <f>IFERROR(s_RadSpec!$H$21*BX21,".")*$B$51</f>
        <v>0</v>
      </c>
      <c r="BY51" s="71">
        <f>IFERROR(s_RadSpec!$H$21*BY21,".")*$B$51</f>
        <v>0</v>
      </c>
      <c r="BZ51" s="71">
        <f>IFERROR(s_RadSpec!$H$21*BZ21,".")*$B$51</f>
        <v>0</v>
      </c>
      <c r="CA51" s="71">
        <f>IFERROR(s_RadSpec!$H$21*CA21,".")*$B$51</f>
        <v>0</v>
      </c>
      <c r="CB51" s="71">
        <f>IFERROR(s_RadSpec!$H$21*CB21,".")*$B$51</f>
        <v>0</v>
      </c>
      <c r="CC51" s="71">
        <f>IFERROR(s_RadSpec!$H$21*CC21,".")*$B$51</f>
        <v>0</v>
      </c>
      <c r="CD51" s="71">
        <f>IFERROR(s_RadSpec!$H$21*CD21,".")*$B$51</f>
        <v>0</v>
      </c>
      <c r="CE51" s="71">
        <f>IFERROR(s_RadSpec!$H$21*CE21,".")*$B$51</f>
        <v>0</v>
      </c>
      <c r="CF51" s="71">
        <f>IFERROR(s_RadSpec!$H$21*CF21,".")*$B$51</f>
        <v>0</v>
      </c>
      <c r="CG51" s="71">
        <f>IFERROR(s_RadSpec!$H$21*CG21,".")*$B$51</f>
        <v>0</v>
      </c>
      <c r="CH51" s="49">
        <f t="shared" si="291"/>
        <v>0</v>
      </c>
      <c r="CI51" s="49">
        <f t="shared" si="292"/>
        <v>4.49839383606193E-13</v>
      </c>
      <c r="CJ51" s="49">
        <f t="shared" si="293"/>
        <v>0</v>
      </c>
      <c r="CK51" s="49">
        <f t="shared" si="294"/>
        <v>0</v>
      </c>
      <c r="CL51" s="49">
        <f t="shared" si="295"/>
        <v>0</v>
      </c>
      <c r="CM51" s="49">
        <f t="shared" si="295"/>
        <v>0</v>
      </c>
      <c r="CN51" s="49">
        <f t="shared" si="296"/>
        <v>0</v>
      </c>
      <c r="CO51" s="49">
        <f t="shared" si="297"/>
        <v>0</v>
      </c>
      <c r="CP51" s="49">
        <f t="shared" si="298"/>
        <v>0</v>
      </c>
      <c r="CQ51" s="49">
        <f t="shared" si="299"/>
        <v>0</v>
      </c>
      <c r="CR51" s="49">
        <f t="shared" si="300"/>
        <v>0</v>
      </c>
      <c r="CS51" s="49">
        <f t="shared" si="301"/>
        <v>0</v>
      </c>
      <c r="CT51" s="49">
        <f t="shared" si="302"/>
        <v>0</v>
      </c>
      <c r="CU51" s="49">
        <f t="shared" si="303"/>
        <v>0</v>
      </c>
      <c r="CV51" s="49">
        <f t="shared" si="304"/>
        <v>0</v>
      </c>
      <c r="CW51" s="49">
        <f t="shared" si="305"/>
        <v>4.49839383606193E-13</v>
      </c>
      <c r="CX51" s="60">
        <f t="shared" ref="CX51:DL51" si="331">IFERROR(CX21/$B51,0)</f>
        <v>0</v>
      </c>
      <c r="CY51" s="60">
        <f>IFERROR(CY21,".")</f>
        <v>984.98616869161106</v>
      </c>
      <c r="CZ51" s="60">
        <f t="shared" si="331"/>
        <v>393783796907033.44</v>
      </c>
      <c r="DA51" s="60">
        <f t="shared" si="331"/>
        <v>0</v>
      </c>
      <c r="DB51" s="60">
        <f>IFERROR(DB21/$B51,0)</f>
        <v>0</v>
      </c>
      <c r="DC51" s="60">
        <f>IFERROR(DC21/$B51,0)</f>
        <v>0</v>
      </c>
      <c r="DD51" s="60">
        <f>IFERROR(DD21/$B51,0)</f>
        <v>0</v>
      </c>
      <c r="DE51" s="60">
        <f>IFERROR(DE21/$B51,0)</f>
        <v>0</v>
      </c>
      <c r="DF51" s="60">
        <f>IFERROR(DF21/$B51,0)</f>
        <v>0</v>
      </c>
      <c r="DG51" s="60">
        <f t="shared" si="331"/>
        <v>0</v>
      </c>
      <c r="DH51" s="60">
        <f t="shared" si="331"/>
        <v>0</v>
      </c>
      <c r="DI51" s="60">
        <f t="shared" si="331"/>
        <v>0</v>
      </c>
      <c r="DJ51" s="60">
        <f>IFERROR(DJ21/$B51,0)</f>
        <v>0</v>
      </c>
      <c r="DK51" s="60">
        <f t="shared" si="331"/>
        <v>0</v>
      </c>
      <c r="DL51" s="60">
        <f t="shared" si="331"/>
        <v>0</v>
      </c>
      <c r="DM51" s="118" t="str">
        <f t="shared" si="80"/>
        <v>.</v>
      </c>
      <c r="DN51" s="118">
        <f t="shared" si="81"/>
        <v>1.0152426823701822E-3</v>
      </c>
      <c r="DO51" s="118">
        <f t="shared" si="82"/>
        <v>2.5394645687671228E-15</v>
      </c>
      <c r="DP51" s="118" t="str">
        <f t="shared" si="83"/>
        <v>.</v>
      </c>
      <c r="DQ51" s="118" t="str">
        <f t="shared" si="84"/>
        <v>.</v>
      </c>
      <c r="DR51" s="118" t="str">
        <f t="shared" si="85"/>
        <v>.</v>
      </c>
      <c r="DS51" s="118" t="str">
        <f t="shared" si="86"/>
        <v>.</v>
      </c>
      <c r="DT51" s="118" t="str">
        <f t="shared" si="87"/>
        <v>.</v>
      </c>
      <c r="DU51" s="118" t="str">
        <f t="shared" si="88"/>
        <v>.</v>
      </c>
      <c r="DV51" s="118" t="str">
        <f t="shared" si="89"/>
        <v>.</v>
      </c>
      <c r="DW51" s="118" t="str">
        <f t="shared" si="90"/>
        <v>.</v>
      </c>
      <c r="DX51" s="118" t="str">
        <f t="shared" si="91"/>
        <v>.</v>
      </c>
      <c r="DY51" s="118" t="str">
        <f t="shared" si="92"/>
        <v>.</v>
      </c>
      <c r="DZ51" s="118" t="str">
        <f t="shared" si="93"/>
        <v>.</v>
      </c>
      <c r="EA51" s="118" t="str">
        <f t="shared" si="94"/>
        <v>.</v>
      </c>
      <c r="EB51" s="60">
        <f t="shared" si="47"/>
        <v>984.98616868914723</v>
      </c>
      <c r="EC51" s="71">
        <f>IFERROR(s_RadSpec!$I$21*EC21,".")*$B$51</f>
        <v>0</v>
      </c>
      <c r="ED51" s="71">
        <f>IFERROR(s_RadSpec!$F$21*ED21,".")</f>
        <v>5.0762134118509112E-8</v>
      </c>
      <c r="EE51" s="71">
        <f>IFERROR(s_RadSpec!$M$21*EE21,".")*$B$51</f>
        <v>1.2697322843835616E-19</v>
      </c>
      <c r="EF51" s="71">
        <f>s_b2w!CC51</f>
        <v>0</v>
      </c>
      <c r="EG51" s="71">
        <f>IFERROR(s_RadSpec!$H$21*EG21,".")*$B$51</f>
        <v>0</v>
      </c>
      <c r="EH51" s="71">
        <f>IFERROR(s_RadSpec!$H$21*EH21,".")*$B$51</f>
        <v>0</v>
      </c>
      <c r="EI51" s="71">
        <f>IFERROR(s_RadSpec!$H$21*EI21,".")*$B$51</f>
        <v>0</v>
      </c>
      <c r="EJ51" s="71">
        <f>IFERROR(s_RadSpec!$H$21*EJ21,".")*$B$51</f>
        <v>0</v>
      </c>
      <c r="EK51" s="71">
        <f>IFERROR(s_RadSpec!$H$21*EK21,".")*$B$51</f>
        <v>0</v>
      </c>
      <c r="EL51" s="71">
        <f>IFERROR(s_RadSpec!$H$21*EL21,".")*$B$51</f>
        <v>0</v>
      </c>
      <c r="EM51" s="71">
        <f>IFERROR(s_RadSpec!$H$21*EM21,".")*$B$51</f>
        <v>0</v>
      </c>
      <c r="EN51" s="71">
        <f>IFERROR(s_RadSpec!$H$21*EN21,".")*$B$51</f>
        <v>0</v>
      </c>
      <c r="EO51" s="71">
        <f>IFERROR(s_RadSpec!$H$21*EO21,".")*$B$51</f>
        <v>0</v>
      </c>
      <c r="EP51" s="71">
        <f>IFERROR(s_RadSpec!$H$21*EP21,".")*$B$51</f>
        <v>0</v>
      </c>
      <c r="EQ51" s="71">
        <f>IFERROR(s_RadSpec!$H$21*EQ21,".")*$B$51</f>
        <v>0</v>
      </c>
      <c r="ER51" s="49">
        <f t="shared" si="307"/>
        <v>0</v>
      </c>
      <c r="ES51" s="49">
        <f t="shared" si="308"/>
        <v>5.0762134118509112E-8</v>
      </c>
      <c r="ET51" s="49">
        <f t="shared" si="309"/>
        <v>1.2697322843835616E-19</v>
      </c>
      <c r="EU51" s="49">
        <f t="shared" si="310"/>
        <v>0</v>
      </c>
      <c r="EV51" s="49">
        <f t="shared" si="311"/>
        <v>0</v>
      </c>
      <c r="EW51" s="49">
        <f t="shared" si="311"/>
        <v>0</v>
      </c>
      <c r="EX51" s="49">
        <f t="shared" si="312"/>
        <v>0</v>
      </c>
      <c r="EY51" s="49">
        <f t="shared" si="313"/>
        <v>0</v>
      </c>
      <c r="EZ51" s="49">
        <f t="shared" si="314"/>
        <v>0</v>
      </c>
      <c r="FA51" s="49">
        <f t="shared" si="315"/>
        <v>0</v>
      </c>
      <c r="FB51" s="49">
        <f t="shared" si="316"/>
        <v>0</v>
      </c>
      <c r="FC51" s="49">
        <f t="shared" si="317"/>
        <v>0</v>
      </c>
      <c r="FD51" s="49">
        <f t="shared" si="318"/>
        <v>0</v>
      </c>
      <c r="FE51" s="49">
        <f t="shared" si="319"/>
        <v>0</v>
      </c>
      <c r="FF51" s="49">
        <f t="shared" si="320"/>
        <v>0</v>
      </c>
      <c r="FG51" s="49">
        <f t="shared" si="321"/>
        <v>5.0762134118636088E-8</v>
      </c>
      <c r="FH51" s="60">
        <f>IFERROR(FH21/$B51,0)</f>
        <v>358.7779127347473</v>
      </c>
      <c r="FI51" s="60">
        <f>IFERROR(FI21/$B51,0)</f>
        <v>807140279577.49329</v>
      </c>
      <c r="FJ51" s="60">
        <f>IFERROR(FJ21/$B51,0)</f>
        <v>358.77791257526872</v>
      </c>
      <c r="FK51" s="71">
        <f>IFERROR(s_RadSpec!$F$21*FK21,".")*$B$51</f>
        <v>1.3936197916666665E-7</v>
      </c>
      <c r="FL51" s="71">
        <f>IFERROR(s_RadSpec!$K$21*FL21,".")*$B$51</f>
        <v>6.1947100479452062E-17</v>
      </c>
      <c r="FM51" s="49">
        <f t="shared" si="322"/>
        <v>1.3936197916666665E-7</v>
      </c>
      <c r="FN51" s="49">
        <f t="shared" si="322"/>
        <v>6.1947100479452062E-17</v>
      </c>
      <c r="FO51" s="49">
        <f t="shared" si="323"/>
        <v>1.3936197922861375E-7</v>
      </c>
    </row>
    <row r="52" spans="1:171" x14ac:dyDescent="0.25">
      <c r="A52" s="83" t="s">
        <v>1074</v>
      </c>
      <c r="B52" s="85">
        <v>0.99980000000000002</v>
      </c>
      <c r="C52" s="251"/>
      <c r="D52" s="60">
        <f t="shared" ref="D52:O52" si="332">IFERROR(D17/$B52,0)</f>
        <v>170.54087132502539</v>
      </c>
      <c r="E52" s="60">
        <f t="shared" si="332"/>
        <v>682.16348530010157</v>
      </c>
      <c r="F52" s="60">
        <f t="shared" si="332"/>
        <v>682.16348530010157</v>
      </c>
      <c r="G52" s="60">
        <f t="shared" si="332"/>
        <v>682.16348530010157</v>
      </c>
      <c r="H52" s="60">
        <f t="shared" si="332"/>
        <v>682.16348530010157</v>
      </c>
      <c r="I52" s="60">
        <f t="shared" si="332"/>
        <v>682.16348530010157</v>
      </c>
      <c r="J52" s="60">
        <f t="shared" si="332"/>
        <v>682.16348530010157</v>
      </c>
      <c r="K52" s="60">
        <f t="shared" ref="K52" si="333">IFERROR(K17/$B52,0)</f>
        <v>682.16348530010157</v>
      </c>
      <c r="L52" s="60">
        <f t="shared" si="332"/>
        <v>682.16348530010157</v>
      </c>
      <c r="M52" s="60">
        <f t="shared" si="332"/>
        <v>682.16348530010157</v>
      </c>
      <c r="N52" s="60">
        <f t="shared" si="332"/>
        <v>682.16348530010157</v>
      </c>
      <c r="O52" s="60">
        <f t="shared" si="332"/>
        <v>682.16348530010157</v>
      </c>
      <c r="P52" s="71">
        <f>s_dir!BC52</f>
        <v>2.9330216043208645E-7</v>
      </c>
      <c r="Q52" s="71">
        <f>IFERROR(s_RadSpec!$H$17*Q17,".")*$B$52</f>
        <v>7.3296212825000017E-8</v>
      </c>
      <c r="R52" s="71">
        <f>IFERROR(s_RadSpec!$H$17*R17,".")*$B$52</f>
        <v>7.3296212825000017E-8</v>
      </c>
      <c r="S52" s="71">
        <f>IFERROR(s_RadSpec!$H$17*S17,".")*$B$52</f>
        <v>7.3296212825000017E-8</v>
      </c>
      <c r="T52" s="71">
        <f>IFERROR(s_RadSpec!$H$17*T17,".")*$B$52</f>
        <v>7.3296212825000017E-8</v>
      </c>
      <c r="U52" s="71">
        <f>IFERROR(s_RadSpec!$H$17*U17,".")*$B$52</f>
        <v>7.3296212825000017E-8</v>
      </c>
      <c r="V52" s="71">
        <f>IFERROR(s_RadSpec!$H$17*V17,".")*$B$52</f>
        <v>7.3296212825000017E-8</v>
      </c>
      <c r="W52" s="71">
        <f>IFERROR(s_RadSpec!$H$17*W17,".")*$B$52</f>
        <v>7.3296212825000017E-8</v>
      </c>
      <c r="X52" s="71">
        <f>IFERROR(s_RadSpec!$H$17*X17,".")*$B$52</f>
        <v>7.3296212825000017E-8</v>
      </c>
      <c r="Y52" s="71">
        <f>IFERROR(s_RadSpec!$H$17*Y17,".")*$B$52</f>
        <v>7.3296212825000017E-8</v>
      </c>
      <c r="Z52" s="71">
        <f>IFERROR(s_RadSpec!$H$17*Z17,".")*$B$52</f>
        <v>7.3296212825000017E-8</v>
      </c>
      <c r="AA52" s="71">
        <f>IFERROR(s_RadSpec!$H$17*AA17,".")*$B$52</f>
        <v>7.3296212825000017E-8</v>
      </c>
      <c r="AB52" s="49">
        <f t="shared" si="279"/>
        <v>2.9330216043208645E-7</v>
      </c>
      <c r="AC52" s="49">
        <f t="shared" si="280"/>
        <v>7.3296212825000017E-8</v>
      </c>
      <c r="AD52" s="49">
        <f t="shared" si="281"/>
        <v>7.3296212825000017E-8</v>
      </c>
      <c r="AE52" s="49">
        <f t="shared" si="282"/>
        <v>7.3296212825000017E-8</v>
      </c>
      <c r="AF52" s="49">
        <f t="shared" si="283"/>
        <v>7.3296212825000017E-8</v>
      </c>
      <c r="AG52" s="49">
        <f t="shared" si="284"/>
        <v>7.3296212825000017E-8</v>
      </c>
      <c r="AH52" s="49">
        <f t="shared" si="285"/>
        <v>7.3296212825000017E-8</v>
      </c>
      <c r="AI52" s="49">
        <f t="shared" si="285"/>
        <v>7.3296212825000017E-8</v>
      </c>
      <c r="AJ52" s="49">
        <f t="shared" si="286"/>
        <v>7.3296212825000017E-8</v>
      </c>
      <c r="AK52" s="49">
        <f t="shared" si="287"/>
        <v>7.3296212825000017E-8</v>
      </c>
      <c r="AL52" s="49">
        <f t="shared" si="288"/>
        <v>7.3296212825000017E-8</v>
      </c>
      <c r="AM52" s="49">
        <f t="shared" si="289"/>
        <v>7.3296212825000017E-8</v>
      </c>
      <c r="AN52" s="60">
        <f t="shared" ref="AN52:BB52" si="334">IFERROR(AN17/$B52,0)</f>
        <v>208793.02937923669</v>
      </c>
      <c r="AO52" s="60">
        <f t="shared" si="334"/>
        <v>19888094.640770443</v>
      </c>
      <c r="AP52" s="60">
        <f t="shared" si="334"/>
        <v>147.48232909118241</v>
      </c>
      <c r="AQ52" s="60">
        <f t="shared" si="334"/>
        <v>7555.2495879953667</v>
      </c>
      <c r="AR52" s="60">
        <f>IFERROR(AR17/$B52,0)</f>
        <v>4092.9809118006092</v>
      </c>
      <c r="AS52" s="60">
        <f>IFERROR(AS17/$B52,0)</f>
        <v>4651.1146725006929</v>
      </c>
      <c r="AT52" s="60">
        <f>IFERROR(AT17/$B52,0)</f>
        <v>10939.764649052311</v>
      </c>
      <c r="AU52" s="60">
        <f>IFERROR(AU17/$B52,0)</f>
        <v>41513.527957719562</v>
      </c>
      <c r="AV52" s="60">
        <f>IFERROR(AV17/$B52,0)</f>
        <v>0</v>
      </c>
      <c r="AW52" s="60">
        <f t="shared" si="334"/>
        <v>0</v>
      </c>
      <c r="AX52" s="60">
        <f t="shared" si="334"/>
        <v>0</v>
      </c>
      <c r="AY52" s="60">
        <f t="shared" si="334"/>
        <v>0</v>
      </c>
      <c r="AZ52" s="60">
        <f>IFERROR(AZ17/$B52,0)</f>
        <v>1314.5950519944529</v>
      </c>
      <c r="BA52" s="60">
        <f t="shared" si="334"/>
        <v>1078.5683456812137</v>
      </c>
      <c r="BB52" s="60">
        <f t="shared" si="334"/>
        <v>225.35915177047761</v>
      </c>
      <c r="BC52" s="118">
        <f t="shared" si="63"/>
        <v>4.7894319219999998E-6</v>
      </c>
      <c r="BD52" s="118">
        <f t="shared" si="64"/>
        <v>5.028133755709346E-8</v>
      </c>
      <c r="BE52" s="118">
        <f t="shared" si="65"/>
        <v>6.780473336447922E-3</v>
      </c>
      <c r="BF52" s="118">
        <f t="shared" si="66"/>
        <v>1.3235830111938497E-4</v>
      </c>
      <c r="BG52" s="118">
        <f t="shared" si="67"/>
        <v>2.4432070941666665E-4</v>
      </c>
      <c r="BH52" s="118">
        <f t="shared" si="68"/>
        <v>2.1500222428666663E-4</v>
      </c>
      <c r="BI52" s="118">
        <f t="shared" si="69"/>
        <v>9.140964473002881E-5</v>
      </c>
      <c r="BJ52" s="118">
        <f t="shared" si="70"/>
        <v>2.4088533285305788E-5</v>
      </c>
      <c r="BK52" s="118" t="str">
        <f t="shared" si="71"/>
        <v>.</v>
      </c>
      <c r="BL52" s="118" t="str">
        <f t="shared" si="72"/>
        <v>.</v>
      </c>
      <c r="BM52" s="118" t="str">
        <f t="shared" si="73"/>
        <v>.</v>
      </c>
      <c r="BN52" s="118" t="str">
        <f t="shared" si="74"/>
        <v>.</v>
      </c>
      <c r="BO52" s="118">
        <f t="shared" si="75"/>
        <v>7.6069052479913E-4</v>
      </c>
      <c r="BP52" s="118">
        <f t="shared" si="76"/>
        <v>9.2715496797600644E-4</v>
      </c>
      <c r="BQ52" s="118">
        <f t="shared" si="77"/>
        <v>4.4373613946615924E-3</v>
      </c>
      <c r="BR52" s="60">
        <f t="shared" si="46"/>
        <v>73.433843287287928</v>
      </c>
      <c r="BS52" s="71">
        <f>IFERROR(s_RadSpec!$E$17*BS17,".")*$B$52</f>
        <v>2.394715961E-10</v>
      </c>
      <c r="BT52" s="71">
        <f>IFERROR(s_RadSpec!$F$17*BT17,".")*$B$52</f>
        <v>2.5140668778546732E-12</v>
      </c>
      <c r="BU52" s="71">
        <f>IFERROR(s_RadSpec!$G$17*BU17,".")*$B$52</f>
        <v>3.3902366682239613E-7</v>
      </c>
      <c r="BV52" s="71">
        <f>s_b2s!CC52</f>
        <v>6.6205630163532704E-9</v>
      </c>
      <c r="BW52" s="71">
        <f>IFERROR(s_RadSpec!$H$17*BW17,".")*$B$52</f>
        <v>1.2216035470833335E-8</v>
      </c>
      <c r="BX52" s="71">
        <f>IFERROR(s_RadSpec!$H$17*BX17,".")*$B$52</f>
        <v>1.0750111214333335E-8</v>
      </c>
      <c r="BY52" s="71">
        <f>IFERROR(s_RadSpec!$H$17*BY17,".")*$B$52</f>
        <v>4.570482236501441E-9</v>
      </c>
      <c r="BZ52" s="71">
        <f>IFERROR(s_RadSpec!$H$17*BZ17,".")*$B$52</f>
        <v>1.2044266642652894E-9</v>
      </c>
      <c r="CA52" s="71">
        <f>IFERROR(s_RadSpec!$H$17*CA17,".")*$B$52</f>
        <v>0</v>
      </c>
      <c r="CB52" s="71">
        <f>IFERROR(s_RadSpec!$H$17*CB17,".")*$B$52</f>
        <v>0</v>
      </c>
      <c r="CC52" s="71">
        <f>IFERROR(s_RadSpec!$H$17*CC17,".")*$B$52</f>
        <v>0</v>
      </c>
      <c r="CD52" s="71">
        <f>IFERROR(s_RadSpec!$H$17*CD17,".")*$B$52</f>
        <v>0</v>
      </c>
      <c r="CE52" s="71">
        <f>IFERROR(s_RadSpec!$H$17*CE17,".")*$B$52</f>
        <v>3.803452623995651E-8</v>
      </c>
      <c r="CF52" s="71">
        <f>IFERROR(s_RadSpec!$H$17*CF17,".")*$B$52</f>
        <v>4.6357748398800327E-8</v>
      </c>
      <c r="CG52" s="71">
        <f>IFERROR(s_RadSpec!$H$17*CG17,".")*$B$52</f>
        <v>2.2186806973307967E-7</v>
      </c>
      <c r="CH52" s="49">
        <f t="shared" si="291"/>
        <v>2.394715961E-10</v>
      </c>
      <c r="CI52" s="49">
        <f t="shared" si="292"/>
        <v>2.5140668778546732E-12</v>
      </c>
      <c r="CJ52" s="49">
        <f t="shared" si="293"/>
        <v>3.3902366682239613E-7</v>
      </c>
      <c r="CK52" s="49">
        <f t="shared" si="294"/>
        <v>6.6205630163532704E-9</v>
      </c>
      <c r="CL52" s="49">
        <f t="shared" si="295"/>
        <v>1.2216035470833335E-8</v>
      </c>
      <c r="CM52" s="49">
        <f t="shared" si="295"/>
        <v>1.0750111214333335E-8</v>
      </c>
      <c r="CN52" s="49">
        <f t="shared" si="296"/>
        <v>4.570482236501441E-9</v>
      </c>
      <c r="CO52" s="49">
        <f t="shared" si="297"/>
        <v>1.2044266642652894E-9</v>
      </c>
      <c r="CP52" s="49">
        <f t="shared" si="298"/>
        <v>0</v>
      </c>
      <c r="CQ52" s="49">
        <f t="shared" si="299"/>
        <v>0</v>
      </c>
      <c r="CR52" s="49">
        <f t="shared" si="300"/>
        <v>0</v>
      </c>
      <c r="CS52" s="49">
        <f t="shared" si="301"/>
        <v>0</v>
      </c>
      <c r="CT52" s="49">
        <f t="shared" si="302"/>
        <v>3.803452623995651E-8</v>
      </c>
      <c r="CU52" s="49">
        <f t="shared" si="303"/>
        <v>4.6357748398800327E-8</v>
      </c>
      <c r="CV52" s="49">
        <f t="shared" si="304"/>
        <v>2.2186806973307967E-7</v>
      </c>
      <c r="CW52" s="49">
        <f t="shared" si="305"/>
        <v>6.8088761545949714E-7</v>
      </c>
      <c r="CX52" s="60">
        <f t="shared" ref="CX52:DL52" si="335">IFERROR(CX17/$B52,0)</f>
        <v>5279.2566182462215</v>
      </c>
      <c r="CY52" s="60">
        <f>IFERROR(CY17,".")</f>
        <v>743.95058466259979</v>
      </c>
      <c r="CZ52" s="60">
        <f t="shared" si="335"/>
        <v>8928926.3120030034</v>
      </c>
      <c r="DA52" s="60">
        <f t="shared" si="335"/>
        <v>12633.106032729356</v>
      </c>
      <c r="DB52" s="60">
        <f>IFERROR(DB17/$B52,0)</f>
        <v>27286.539412004058</v>
      </c>
      <c r="DC52" s="60">
        <f>IFERROR(DC17/$B52,0)</f>
        <v>31007.431150004617</v>
      </c>
      <c r="DD52" s="60">
        <f>IFERROR(DD17/$B52,0)</f>
        <v>194903852.94288614</v>
      </c>
      <c r="DE52" s="60">
        <f>IFERROR(DE17/$B52,0)</f>
        <v>739608831.43063629</v>
      </c>
      <c r="DF52" s="60">
        <f>IFERROR(DF17/$B52,0)</f>
        <v>0</v>
      </c>
      <c r="DG52" s="60">
        <f t="shared" si="335"/>
        <v>0</v>
      </c>
      <c r="DH52" s="60">
        <f t="shared" si="335"/>
        <v>0</v>
      </c>
      <c r="DI52" s="60">
        <f t="shared" si="335"/>
        <v>0</v>
      </c>
      <c r="DJ52" s="60">
        <f>IFERROR(DJ17/$B52,0)</f>
        <v>23420946.328636818</v>
      </c>
      <c r="DK52" s="60">
        <f t="shared" si="335"/>
        <v>19215872.825354971</v>
      </c>
      <c r="DL52" s="60">
        <f t="shared" si="335"/>
        <v>4015019.370623454</v>
      </c>
      <c r="DM52" s="118">
        <f t="shared" si="80"/>
        <v>1.8942060829999998E-4</v>
      </c>
      <c r="DN52" s="118">
        <f t="shared" si="81"/>
        <v>1.3441752995644529E-3</v>
      </c>
      <c r="DO52" s="118">
        <f t="shared" si="82"/>
        <v>1.1199554851916708E-7</v>
      </c>
      <c r="DP52" s="118">
        <f t="shared" si="83"/>
        <v>7.9157097028176537E-5</v>
      </c>
      <c r="DQ52" s="118">
        <f t="shared" si="84"/>
        <v>3.6648106412500006E-5</v>
      </c>
      <c r="DR52" s="118">
        <f t="shared" si="85"/>
        <v>3.2250333642999999E-5</v>
      </c>
      <c r="DS52" s="118">
        <f t="shared" si="86"/>
        <v>5.1307348977500005E-9</v>
      </c>
      <c r="DT52" s="118">
        <f t="shared" si="87"/>
        <v>1.3520660618203885E-9</v>
      </c>
      <c r="DU52" s="118" t="str">
        <f t="shared" si="88"/>
        <v>.</v>
      </c>
      <c r="DV52" s="118" t="str">
        <f t="shared" si="89"/>
        <v>.</v>
      </c>
      <c r="DW52" s="118" t="str">
        <f t="shared" si="90"/>
        <v>.</v>
      </c>
      <c r="DX52" s="118" t="str">
        <f t="shared" si="91"/>
        <v>.</v>
      </c>
      <c r="DY52" s="118">
        <f t="shared" si="92"/>
        <v>4.2696823004854374E-8</v>
      </c>
      <c r="DZ52" s="118">
        <f t="shared" si="93"/>
        <v>5.2040311105750003E-8</v>
      </c>
      <c r="EA52" s="118">
        <f t="shared" si="94"/>
        <v>2.4906480086165054E-7</v>
      </c>
      <c r="EB52" s="60">
        <f t="shared" si="47"/>
        <v>594.49012572662605</v>
      </c>
      <c r="EC52" s="71">
        <f>IFERROR(s_RadSpec!$I$17*EC17,".")*$B$52</f>
        <v>9.4710304149999996E-9</v>
      </c>
      <c r="ED52" s="71">
        <f>IFERROR(s_RadSpec!$F$17*ED17,".")</f>
        <v>6.7208764978222662E-8</v>
      </c>
      <c r="EE52" s="71">
        <f>IFERROR(s_RadSpec!$M$17*EE17,".")*$B$52</f>
        <v>5.5997774259583561E-12</v>
      </c>
      <c r="EF52" s="71">
        <f>s_b2w!CC52</f>
        <v>3.9594384684186562E-9</v>
      </c>
      <c r="EG52" s="71">
        <f>IFERROR(s_RadSpec!$H$17*EG17,".")*$B$52</f>
        <v>1.8324053206250002E-9</v>
      </c>
      <c r="EH52" s="71">
        <f>IFERROR(s_RadSpec!$H$17*EH17,".")*$B$52</f>
        <v>1.6125166821500002E-9</v>
      </c>
      <c r="EI52" s="71">
        <f>IFERROR(s_RadSpec!$H$17*EI17,".")*$B$52</f>
        <v>2.5653674488750009E-13</v>
      </c>
      <c r="EJ52" s="71">
        <f>IFERROR(s_RadSpec!$H$17*EJ17,".")*$B$52</f>
        <v>6.760330309101943E-14</v>
      </c>
      <c r="EK52" s="71">
        <f>IFERROR(s_RadSpec!$H$17*EK17,".")*$B$52</f>
        <v>0</v>
      </c>
      <c r="EL52" s="71">
        <f>IFERROR(s_RadSpec!$H$17*EL17,".")*$B$52</f>
        <v>0</v>
      </c>
      <c r="EM52" s="71">
        <f>IFERROR(s_RadSpec!$H$17*EM17,".")*$B$52</f>
        <v>0</v>
      </c>
      <c r="EN52" s="71">
        <f>IFERROR(s_RadSpec!$H$17*EN17,".")*$B$52</f>
        <v>0</v>
      </c>
      <c r="EO52" s="71">
        <f>IFERROR(s_RadSpec!$H$17*EO17,".")*$B$52</f>
        <v>2.134841150242719E-12</v>
      </c>
      <c r="EP52" s="71">
        <f>IFERROR(s_RadSpec!$H$17*EP17,".")*$B$52</f>
        <v>2.6020155552875001E-12</v>
      </c>
      <c r="EQ52" s="71">
        <f>IFERROR(s_RadSpec!$H$17*EQ17,".")*$B$52</f>
        <v>1.2453240043082528E-11</v>
      </c>
      <c r="ER52" s="49">
        <f t="shared" si="307"/>
        <v>9.4710304149999996E-9</v>
      </c>
      <c r="ES52" s="49">
        <f t="shared" si="308"/>
        <v>6.7208764978222662E-8</v>
      </c>
      <c r="ET52" s="49">
        <f t="shared" si="309"/>
        <v>5.5997774259583561E-12</v>
      </c>
      <c r="EU52" s="49">
        <f t="shared" si="310"/>
        <v>3.9594384684186562E-9</v>
      </c>
      <c r="EV52" s="49">
        <f t="shared" si="311"/>
        <v>1.8324053206250002E-9</v>
      </c>
      <c r="EW52" s="49">
        <f t="shared" si="311"/>
        <v>1.6125166821500002E-9</v>
      </c>
      <c r="EX52" s="49">
        <f t="shared" si="312"/>
        <v>2.5653674488750009E-13</v>
      </c>
      <c r="EY52" s="49">
        <f t="shared" si="313"/>
        <v>6.760330309101943E-14</v>
      </c>
      <c r="EZ52" s="49">
        <f t="shared" si="314"/>
        <v>0</v>
      </c>
      <c r="FA52" s="49">
        <f t="shared" si="315"/>
        <v>0</v>
      </c>
      <c r="FB52" s="49">
        <f t="shared" si="316"/>
        <v>0</v>
      </c>
      <c r="FC52" s="49">
        <f t="shared" si="317"/>
        <v>0</v>
      </c>
      <c r="FD52" s="49">
        <f t="shared" si="318"/>
        <v>2.134841150242719E-12</v>
      </c>
      <c r="FE52" s="49">
        <f t="shared" si="319"/>
        <v>2.6020155552875001E-12</v>
      </c>
      <c r="FF52" s="49">
        <f t="shared" si="320"/>
        <v>1.2453240043082528E-11</v>
      </c>
      <c r="FG52" s="49">
        <f t="shared" si="321"/>
        <v>8.4107269878638866E-8</v>
      </c>
      <c r="FH52" s="60">
        <f>IFERROR(FH17/$B52,0)</f>
        <v>64.19576047787406</v>
      </c>
      <c r="FI52" s="60">
        <f>IFERROR(FI17/$B52,0)</f>
        <v>31256.35602460615</v>
      </c>
      <c r="FJ52" s="60">
        <f>IFERROR(FJ17/$B52,0)</f>
        <v>64.064182474663539</v>
      </c>
      <c r="FK52" s="71">
        <f>IFERROR(s_RadSpec!$F$17*FK17,".")*$B$52</f>
        <v>7.7886763281249992E-7</v>
      </c>
      <c r="FL52" s="71">
        <f>IFERROR(s_RadSpec!$K$17*FL17,".")*$B$52</f>
        <v>1.599674637716507E-9</v>
      </c>
      <c r="FM52" s="49">
        <f t="shared" si="322"/>
        <v>7.7886763281249992E-7</v>
      </c>
      <c r="FN52" s="49">
        <f t="shared" si="322"/>
        <v>1.599674637716507E-9</v>
      </c>
      <c r="FO52" s="49">
        <f t="shared" si="323"/>
        <v>7.8046730745021641E-7</v>
      </c>
    </row>
    <row r="53" spans="1:171" x14ac:dyDescent="0.25">
      <c r="A53" s="83" t="s">
        <v>1088</v>
      </c>
      <c r="B53" s="42">
        <v>2.0000000000000001E-4</v>
      </c>
      <c r="C53" s="249"/>
      <c r="D53" s="60">
        <f t="shared" ref="D53:O53" si="336">IFERROR(D5/$B53,0)</f>
        <v>0</v>
      </c>
      <c r="E53" s="60">
        <f t="shared" si="336"/>
        <v>0</v>
      </c>
      <c r="F53" s="60">
        <f t="shared" si="336"/>
        <v>0</v>
      </c>
      <c r="G53" s="60">
        <f t="shared" si="336"/>
        <v>0</v>
      </c>
      <c r="H53" s="60">
        <f t="shared" si="336"/>
        <v>0</v>
      </c>
      <c r="I53" s="60">
        <f t="shared" si="336"/>
        <v>0</v>
      </c>
      <c r="J53" s="60">
        <f t="shared" si="336"/>
        <v>0</v>
      </c>
      <c r="K53" s="60">
        <f t="shared" ref="K53" si="337">IFERROR(K5/$B53,0)</f>
        <v>0</v>
      </c>
      <c r="L53" s="60">
        <f t="shared" si="336"/>
        <v>0</v>
      </c>
      <c r="M53" s="60">
        <f t="shared" si="336"/>
        <v>0</v>
      </c>
      <c r="N53" s="60">
        <f t="shared" si="336"/>
        <v>0</v>
      </c>
      <c r="O53" s="60">
        <f t="shared" si="336"/>
        <v>0</v>
      </c>
      <c r="P53" s="71">
        <f>s_dir!BC53</f>
        <v>0</v>
      </c>
      <c r="Q53" s="71">
        <f>IFERROR(s_RadSpec!$H$5*Q5,".")*$B$53</f>
        <v>0</v>
      </c>
      <c r="R53" s="71">
        <f>IFERROR(s_RadSpec!$H$5*R5,".")*$B$53</f>
        <v>0</v>
      </c>
      <c r="S53" s="71">
        <f>IFERROR(s_RadSpec!$H$5*S5,".")*$B$53</f>
        <v>0</v>
      </c>
      <c r="T53" s="71">
        <f>IFERROR(s_RadSpec!$H$5*T5,".")*$B$53</f>
        <v>0</v>
      </c>
      <c r="U53" s="71">
        <f>IFERROR(s_RadSpec!$H$5*U5,".")*$B$53</f>
        <v>0</v>
      </c>
      <c r="V53" s="71">
        <f>IFERROR(s_RadSpec!$H$5*V5,".")*$B$53</f>
        <v>0</v>
      </c>
      <c r="W53" s="71">
        <f>IFERROR(s_RadSpec!$H$5*W5,".")*$B$53</f>
        <v>0</v>
      </c>
      <c r="X53" s="71">
        <f>IFERROR(s_RadSpec!$H$5*X5,".")*$B$53</f>
        <v>0</v>
      </c>
      <c r="Y53" s="71">
        <f>IFERROR(s_RadSpec!$H$5*Y5,".")*$B$53</f>
        <v>0</v>
      </c>
      <c r="Z53" s="71">
        <f>IFERROR(s_RadSpec!$H$5*Z5,".")*$B$53</f>
        <v>0</v>
      </c>
      <c r="AA53" s="71">
        <f>IFERROR(s_RadSpec!$H$5*AA5,".")*$B$53</f>
        <v>0</v>
      </c>
      <c r="AB53" s="49">
        <f t="shared" si="279"/>
        <v>0</v>
      </c>
      <c r="AC53" s="49">
        <f t="shared" si="280"/>
        <v>0</v>
      </c>
      <c r="AD53" s="49">
        <f t="shared" si="281"/>
        <v>0</v>
      </c>
      <c r="AE53" s="49">
        <f t="shared" si="282"/>
        <v>0</v>
      </c>
      <c r="AF53" s="49">
        <f t="shared" si="283"/>
        <v>0</v>
      </c>
      <c r="AG53" s="49">
        <f t="shared" si="284"/>
        <v>0</v>
      </c>
      <c r="AH53" s="49">
        <f t="shared" si="285"/>
        <v>0</v>
      </c>
      <c r="AI53" s="49">
        <f t="shared" si="285"/>
        <v>0</v>
      </c>
      <c r="AJ53" s="49">
        <f t="shared" si="286"/>
        <v>0</v>
      </c>
      <c r="AK53" s="49">
        <f t="shared" si="287"/>
        <v>0</v>
      </c>
      <c r="AL53" s="49">
        <f t="shared" si="288"/>
        <v>0</v>
      </c>
      <c r="AM53" s="49">
        <f t="shared" si="289"/>
        <v>0</v>
      </c>
      <c r="AN53" s="60">
        <f t="shared" ref="AN53:BB53" si="338">IFERROR(AN5/$B53,0)</f>
        <v>0</v>
      </c>
      <c r="AO53" s="60">
        <f t="shared" si="338"/>
        <v>0</v>
      </c>
      <c r="AP53" s="60">
        <f t="shared" si="338"/>
        <v>0</v>
      </c>
      <c r="AQ53" s="60">
        <f t="shared" si="338"/>
        <v>0</v>
      </c>
      <c r="AR53" s="60">
        <f>IFERROR(AR5/$B53,0)</f>
        <v>0</v>
      </c>
      <c r="AS53" s="60">
        <f>IFERROR(AS5/$B53,0)</f>
        <v>0</v>
      </c>
      <c r="AT53" s="60">
        <f>IFERROR(AT5/$B53,0)</f>
        <v>0</v>
      </c>
      <c r="AU53" s="60">
        <f>IFERROR(AU5/$B53,0)</f>
        <v>0</v>
      </c>
      <c r="AV53" s="60">
        <f>IFERROR(AV5/$B53,0)</f>
        <v>0</v>
      </c>
      <c r="AW53" s="60">
        <f t="shared" si="338"/>
        <v>0</v>
      </c>
      <c r="AX53" s="60">
        <f t="shared" si="338"/>
        <v>0</v>
      </c>
      <c r="AY53" s="60">
        <f t="shared" si="338"/>
        <v>0</v>
      </c>
      <c r="AZ53" s="60">
        <f>IFERROR(AZ5/$B53,0)</f>
        <v>0</v>
      </c>
      <c r="BA53" s="60">
        <f t="shared" si="338"/>
        <v>0</v>
      </c>
      <c r="BB53" s="60">
        <f t="shared" si="338"/>
        <v>0</v>
      </c>
      <c r="BC53" s="118" t="str">
        <f t="shared" si="63"/>
        <v>.</v>
      </c>
      <c r="BD53" s="118" t="str">
        <f t="shared" si="64"/>
        <v>.</v>
      </c>
      <c r="BE53" s="118" t="str">
        <f t="shared" si="65"/>
        <v>.</v>
      </c>
      <c r="BF53" s="118" t="str">
        <f t="shared" si="66"/>
        <v>.</v>
      </c>
      <c r="BG53" s="118" t="str">
        <f t="shared" si="67"/>
        <v>.</v>
      </c>
      <c r="BH53" s="118" t="str">
        <f t="shared" si="68"/>
        <v>.</v>
      </c>
      <c r="BI53" s="118" t="str">
        <f t="shared" si="69"/>
        <v>.</v>
      </c>
      <c r="BJ53" s="118" t="str">
        <f t="shared" si="70"/>
        <v>.</v>
      </c>
      <c r="BK53" s="118" t="str">
        <f t="shared" si="71"/>
        <v>.</v>
      </c>
      <c r="BL53" s="118" t="str">
        <f t="shared" si="72"/>
        <v>.</v>
      </c>
      <c r="BM53" s="118" t="str">
        <f t="shared" si="73"/>
        <v>.</v>
      </c>
      <c r="BN53" s="118" t="str">
        <f t="shared" si="74"/>
        <v>.</v>
      </c>
      <c r="BO53" s="118" t="str">
        <f t="shared" si="75"/>
        <v>.</v>
      </c>
      <c r="BP53" s="118" t="str">
        <f t="shared" si="76"/>
        <v>.</v>
      </c>
      <c r="BQ53" s="118" t="str">
        <f t="shared" si="77"/>
        <v>.</v>
      </c>
      <c r="BR53" s="60" t="str">
        <f t="shared" si="46"/>
        <v>.</v>
      </c>
      <c r="BS53" s="71">
        <f>IFERROR(s_RadSpec!$E$5*BS5,".")*$B$53</f>
        <v>0</v>
      </c>
      <c r="BT53" s="71">
        <f>IFERROR(s_RadSpec!$F$5*BT5,".")*$B$53</f>
        <v>0</v>
      </c>
      <c r="BU53" s="71">
        <f>IFERROR(s_RadSpec!$G$5*BU5,".")*$B$53</f>
        <v>0</v>
      </c>
      <c r="BV53" s="71">
        <f>s_b2s!CC53</f>
        <v>0</v>
      </c>
      <c r="BW53" s="71">
        <f>IFERROR(s_RadSpec!$H$5*BW5,".")*$B$53</f>
        <v>0</v>
      </c>
      <c r="BX53" s="71">
        <f>IFERROR(s_RadSpec!$H$5*BX5,".")*$B$53</f>
        <v>0</v>
      </c>
      <c r="BY53" s="71">
        <f>IFERROR(s_RadSpec!$H$5*BY5,".")*$B$53</f>
        <v>0</v>
      </c>
      <c r="BZ53" s="71">
        <f>IFERROR(s_RadSpec!$H$5*BZ5,".")*$B$53</f>
        <v>0</v>
      </c>
      <c r="CA53" s="71">
        <f>IFERROR(s_RadSpec!$H$5*CA5,".")*$B$53</f>
        <v>0</v>
      </c>
      <c r="CB53" s="71">
        <f>IFERROR(s_RadSpec!$H$5*CB5,".")*$B$53</f>
        <v>0</v>
      </c>
      <c r="CC53" s="71">
        <f>IFERROR(s_RadSpec!$H$5*CC5,".")*$B$53</f>
        <v>0</v>
      </c>
      <c r="CD53" s="71">
        <f>IFERROR(s_RadSpec!$H$5*CD5,".")*$B$53</f>
        <v>0</v>
      </c>
      <c r="CE53" s="71">
        <f>IFERROR(s_RadSpec!$H$5*CE5,".")*$B$53</f>
        <v>0</v>
      </c>
      <c r="CF53" s="71">
        <f>IFERROR(s_RadSpec!$H$5*CF5,".")*$B$53</f>
        <v>0</v>
      </c>
      <c r="CG53" s="71">
        <f>IFERROR(s_RadSpec!$H$5*CG5,".")*$B$53</f>
        <v>0</v>
      </c>
      <c r="CH53" s="49">
        <f t="shared" si="291"/>
        <v>0</v>
      </c>
      <c r="CI53" s="49">
        <f t="shared" si="292"/>
        <v>0</v>
      </c>
      <c r="CJ53" s="49">
        <f t="shared" si="293"/>
        <v>0</v>
      </c>
      <c r="CK53" s="49">
        <f t="shared" si="294"/>
        <v>0</v>
      </c>
      <c r="CL53" s="49">
        <f t="shared" si="295"/>
        <v>0</v>
      </c>
      <c r="CM53" s="49">
        <f t="shared" si="295"/>
        <v>0</v>
      </c>
      <c r="CN53" s="49">
        <f t="shared" si="296"/>
        <v>0</v>
      </c>
      <c r="CO53" s="49">
        <f t="shared" si="297"/>
        <v>0</v>
      </c>
      <c r="CP53" s="49">
        <f t="shared" si="298"/>
        <v>0</v>
      </c>
      <c r="CQ53" s="49">
        <f t="shared" si="299"/>
        <v>0</v>
      </c>
      <c r="CR53" s="49">
        <f t="shared" si="300"/>
        <v>0</v>
      </c>
      <c r="CS53" s="49">
        <f t="shared" si="301"/>
        <v>0</v>
      </c>
      <c r="CT53" s="49">
        <f t="shared" si="302"/>
        <v>0</v>
      </c>
      <c r="CU53" s="49">
        <f t="shared" si="303"/>
        <v>0</v>
      </c>
      <c r="CV53" s="49">
        <f t="shared" si="304"/>
        <v>0</v>
      </c>
      <c r="CW53" s="49">
        <f t="shared" si="305"/>
        <v>0</v>
      </c>
      <c r="CX53" s="60">
        <f t="shared" ref="CX53:DL53" si="339">IFERROR(CX5/$B53,0)</f>
        <v>0</v>
      </c>
      <c r="CY53" s="60" t="str">
        <f>IFERROR(CY5,".")</f>
        <v>.</v>
      </c>
      <c r="CZ53" s="60">
        <f t="shared" si="339"/>
        <v>1942008930076827.5</v>
      </c>
      <c r="DA53" s="60">
        <f t="shared" si="339"/>
        <v>0</v>
      </c>
      <c r="DB53" s="60">
        <f>IFERROR(DB5/$B53,0)</f>
        <v>0</v>
      </c>
      <c r="DC53" s="60">
        <f>IFERROR(DC5/$B53,0)</f>
        <v>0</v>
      </c>
      <c r="DD53" s="60">
        <f>IFERROR(DD5/$B53,0)</f>
        <v>0</v>
      </c>
      <c r="DE53" s="60">
        <f>IFERROR(DE5/$B53,0)</f>
        <v>0</v>
      </c>
      <c r="DF53" s="60">
        <f>IFERROR(DF5/$B53,0)</f>
        <v>0</v>
      </c>
      <c r="DG53" s="60">
        <f t="shared" si="339"/>
        <v>0</v>
      </c>
      <c r="DH53" s="60">
        <f t="shared" si="339"/>
        <v>0</v>
      </c>
      <c r="DI53" s="60">
        <f t="shared" si="339"/>
        <v>0</v>
      </c>
      <c r="DJ53" s="60">
        <f>IFERROR(DJ5/$B53,0)</f>
        <v>0</v>
      </c>
      <c r="DK53" s="60">
        <f t="shared" si="339"/>
        <v>0</v>
      </c>
      <c r="DL53" s="60">
        <f t="shared" si="339"/>
        <v>0</v>
      </c>
      <c r="DM53" s="118" t="str">
        <f t="shared" si="80"/>
        <v>.</v>
      </c>
      <c r="DN53" s="118" t="str">
        <f t="shared" si="81"/>
        <v>.</v>
      </c>
      <c r="DO53" s="118">
        <f t="shared" si="82"/>
        <v>5.149306908493151E-16</v>
      </c>
      <c r="DP53" s="118" t="str">
        <f t="shared" si="83"/>
        <v>.</v>
      </c>
      <c r="DQ53" s="118" t="str">
        <f t="shared" si="84"/>
        <v>.</v>
      </c>
      <c r="DR53" s="118" t="str">
        <f t="shared" si="85"/>
        <v>.</v>
      </c>
      <c r="DS53" s="118" t="str">
        <f t="shared" si="86"/>
        <v>.</v>
      </c>
      <c r="DT53" s="118" t="str">
        <f t="shared" si="87"/>
        <v>.</v>
      </c>
      <c r="DU53" s="118" t="str">
        <f t="shared" si="88"/>
        <v>.</v>
      </c>
      <c r="DV53" s="118" t="str">
        <f t="shared" si="89"/>
        <v>.</v>
      </c>
      <c r="DW53" s="118" t="str">
        <f t="shared" si="90"/>
        <v>.</v>
      </c>
      <c r="DX53" s="118" t="str">
        <f t="shared" si="91"/>
        <v>.</v>
      </c>
      <c r="DY53" s="118" t="str">
        <f t="shared" si="92"/>
        <v>.</v>
      </c>
      <c r="DZ53" s="118" t="str">
        <f t="shared" si="93"/>
        <v>.</v>
      </c>
      <c r="EA53" s="118" t="str">
        <f t="shared" si="94"/>
        <v>.</v>
      </c>
      <c r="EB53" s="60">
        <f t="shared" si="47"/>
        <v>1942008930076827.5</v>
      </c>
      <c r="EC53" s="71">
        <f>IFERROR(s_RadSpec!$I$5*EC5,".")*$B$53</f>
        <v>0</v>
      </c>
      <c r="ED53" s="71">
        <f>IFERROR(s_RadSpec!$F$5*ED5,".")</f>
        <v>0</v>
      </c>
      <c r="EE53" s="71">
        <f>IFERROR(s_RadSpec!$M$5*EE5,".")*$B$53</f>
        <v>2.5746534542465757E-20</v>
      </c>
      <c r="EF53" s="71">
        <f>s_b2w!CC53</f>
        <v>0</v>
      </c>
      <c r="EG53" s="71">
        <f>IFERROR(s_RadSpec!$H$5*EG5,".")*$B$53</f>
        <v>0</v>
      </c>
      <c r="EH53" s="71">
        <f>IFERROR(s_RadSpec!$H$5*EH5,".")*$B$53</f>
        <v>0</v>
      </c>
      <c r="EI53" s="71">
        <f>IFERROR(s_RadSpec!$H$5*EI5,".")*$B$53</f>
        <v>0</v>
      </c>
      <c r="EJ53" s="71">
        <f>IFERROR(s_RadSpec!$H$5*EJ5,".")*$B$53</f>
        <v>0</v>
      </c>
      <c r="EK53" s="71">
        <f>IFERROR(s_RadSpec!$H$5*EK5,".")*$B$53</f>
        <v>0</v>
      </c>
      <c r="EL53" s="71">
        <f>IFERROR(s_RadSpec!$H$5*EL5,".")*$B$53</f>
        <v>0</v>
      </c>
      <c r="EM53" s="71">
        <f>IFERROR(s_RadSpec!$H$5*EM5,".")*$B$53</f>
        <v>0</v>
      </c>
      <c r="EN53" s="71">
        <f>IFERROR(s_RadSpec!$H$5*EN5,".")*$B$53</f>
        <v>0</v>
      </c>
      <c r="EO53" s="71">
        <f>IFERROR(s_RadSpec!$H$5*EO5,".")*$B$53</f>
        <v>0</v>
      </c>
      <c r="EP53" s="71">
        <f>IFERROR(s_RadSpec!$H$5*EP5,".")*$B$53</f>
        <v>0</v>
      </c>
      <c r="EQ53" s="71">
        <f>IFERROR(s_RadSpec!$H$5*EQ5,".")*$B$53</f>
        <v>0</v>
      </c>
      <c r="ER53" s="49">
        <f t="shared" si="307"/>
        <v>0</v>
      </c>
      <c r="ES53" s="49">
        <f t="shared" si="308"/>
        <v>0</v>
      </c>
      <c r="ET53" s="49">
        <f t="shared" si="309"/>
        <v>2.5746534542465757E-20</v>
      </c>
      <c r="EU53" s="49">
        <f t="shared" si="310"/>
        <v>0</v>
      </c>
      <c r="EV53" s="49">
        <f t="shared" si="311"/>
        <v>0</v>
      </c>
      <c r="EW53" s="49">
        <f t="shared" si="311"/>
        <v>0</v>
      </c>
      <c r="EX53" s="49">
        <f t="shared" si="312"/>
        <v>0</v>
      </c>
      <c r="EY53" s="49">
        <f t="shared" si="313"/>
        <v>0</v>
      </c>
      <c r="EZ53" s="49">
        <f t="shared" si="314"/>
        <v>0</v>
      </c>
      <c r="FA53" s="49">
        <f t="shared" si="315"/>
        <v>0</v>
      </c>
      <c r="FB53" s="49">
        <f t="shared" si="316"/>
        <v>0</v>
      </c>
      <c r="FC53" s="49">
        <f t="shared" si="317"/>
        <v>0</v>
      </c>
      <c r="FD53" s="49">
        <f t="shared" si="318"/>
        <v>0</v>
      </c>
      <c r="FE53" s="49">
        <f t="shared" si="319"/>
        <v>0</v>
      </c>
      <c r="FF53" s="49">
        <f t="shared" si="320"/>
        <v>0</v>
      </c>
      <c r="FG53" s="49">
        <f t="shared" si="321"/>
        <v>2.5746534542465757E-20</v>
      </c>
      <c r="FH53" s="60">
        <f>IFERROR(FH5/$B53,0)</f>
        <v>0</v>
      </c>
      <c r="FI53" s="60">
        <f>IFERROR(FI5/$B53,0)</f>
        <v>5166920729113.499</v>
      </c>
      <c r="FJ53" s="60">
        <f>IFERROR(FJ5/$B53,0)</f>
        <v>5166920729113.498</v>
      </c>
      <c r="FK53" s="71">
        <f>IFERROR(s_RadSpec!$F$5*FK5,".")*$B$53</f>
        <v>0</v>
      </c>
      <c r="FL53" s="71">
        <f>IFERROR(s_RadSpec!$K$5*FL5,".")*$B$53</f>
        <v>9.6769435068493164E-18</v>
      </c>
      <c r="FM53" s="49">
        <f t="shared" si="322"/>
        <v>0</v>
      </c>
      <c r="FN53" s="49">
        <f t="shared" si="322"/>
        <v>9.6769435068493164E-18</v>
      </c>
      <c r="FO53" s="49">
        <f t="shared" si="323"/>
        <v>9.6769435068493164E-18</v>
      </c>
    </row>
    <row r="54" spans="1:171" x14ac:dyDescent="0.25">
      <c r="A54" s="83" t="s">
        <v>1089</v>
      </c>
      <c r="B54" s="42">
        <v>0.99999979999999999</v>
      </c>
      <c r="C54" s="249"/>
      <c r="D54" s="60">
        <f t="shared" ref="D54:O54" si="340">IFERROR(D9/$B54,0)</f>
        <v>311.52566861963311</v>
      </c>
      <c r="E54" s="60">
        <f t="shared" si="340"/>
        <v>1246.1026744785324</v>
      </c>
      <c r="F54" s="60">
        <f t="shared" si="340"/>
        <v>1246.1026744785324</v>
      </c>
      <c r="G54" s="60">
        <f t="shared" si="340"/>
        <v>1246.1026744785324</v>
      </c>
      <c r="H54" s="60">
        <f t="shared" si="340"/>
        <v>1246.1026744785324</v>
      </c>
      <c r="I54" s="60">
        <f t="shared" si="340"/>
        <v>1246.1026744785324</v>
      </c>
      <c r="J54" s="60">
        <f t="shared" si="340"/>
        <v>1246.1026744785324</v>
      </c>
      <c r="K54" s="60">
        <f t="shared" ref="K54" si="341">IFERROR(K9/$B54,0)</f>
        <v>1246.1026744785324</v>
      </c>
      <c r="L54" s="60">
        <f t="shared" si="340"/>
        <v>1246.1026744785324</v>
      </c>
      <c r="M54" s="60">
        <f t="shared" si="340"/>
        <v>1246.1026744785324</v>
      </c>
      <c r="N54" s="60">
        <f t="shared" si="340"/>
        <v>1246.1026744785324</v>
      </c>
      <c r="O54" s="60">
        <f t="shared" si="340"/>
        <v>1246.1026744785324</v>
      </c>
      <c r="P54" s="71">
        <f>s_dir!BC54</f>
        <v>1.6050048210009644E-7</v>
      </c>
      <c r="Q54" s="71">
        <f>IFERROR(s_RadSpec!$H$9*Q9,".")*$B$54</f>
        <v>4.0125104474977501E-8</v>
      </c>
      <c r="R54" s="71">
        <f>IFERROR(s_RadSpec!$H$9*R9,".")*$B$54</f>
        <v>4.0125104474977501E-8</v>
      </c>
      <c r="S54" s="71">
        <f>IFERROR(s_RadSpec!$H$9*S9,".")*$B$54</f>
        <v>4.0125104474977501E-8</v>
      </c>
      <c r="T54" s="71">
        <f>IFERROR(s_RadSpec!$H$9*T9,".")*$B$54</f>
        <v>4.0125104474977501E-8</v>
      </c>
      <c r="U54" s="71">
        <f>IFERROR(s_RadSpec!$H$9*U9,".")*$B$54</f>
        <v>4.0125104474977501E-8</v>
      </c>
      <c r="V54" s="71">
        <f>IFERROR(s_RadSpec!$H$9*V9,".")*$B$54</f>
        <v>4.0125104474977501E-8</v>
      </c>
      <c r="W54" s="71">
        <f>IFERROR(s_RadSpec!$H$9*W9,".")*$B$54</f>
        <v>4.0125104474977501E-8</v>
      </c>
      <c r="X54" s="71">
        <f>IFERROR(s_RadSpec!$H$9*X9,".")*$B$54</f>
        <v>4.0125104474977501E-8</v>
      </c>
      <c r="Y54" s="71">
        <f>IFERROR(s_RadSpec!$H$9*Y9,".")*$B$54</f>
        <v>4.0125104474977501E-8</v>
      </c>
      <c r="Z54" s="71">
        <f>IFERROR(s_RadSpec!$H$9*Z9,".")*$B$54</f>
        <v>4.0125104474977501E-8</v>
      </c>
      <c r="AA54" s="71">
        <f>IFERROR(s_RadSpec!$H$9*AA9,".")*$B$54</f>
        <v>4.0125104474977501E-8</v>
      </c>
      <c r="AB54" s="49">
        <f t="shared" si="279"/>
        <v>1.6050048210009644E-7</v>
      </c>
      <c r="AC54" s="49">
        <f t="shared" si="280"/>
        <v>4.0125104474977501E-8</v>
      </c>
      <c r="AD54" s="49">
        <f t="shared" si="281"/>
        <v>4.0125104474977501E-8</v>
      </c>
      <c r="AE54" s="49">
        <f t="shared" si="282"/>
        <v>4.0125104474977501E-8</v>
      </c>
      <c r="AF54" s="49">
        <f t="shared" si="283"/>
        <v>4.0125104474977501E-8</v>
      </c>
      <c r="AG54" s="49">
        <f t="shared" si="284"/>
        <v>4.0125104474977501E-8</v>
      </c>
      <c r="AH54" s="49">
        <f t="shared" si="285"/>
        <v>4.0125104474977501E-8</v>
      </c>
      <c r="AI54" s="49">
        <f t="shared" si="285"/>
        <v>4.0125104474977501E-8</v>
      </c>
      <c r="AJ54" s="49">
        <f t="shared" si="286"/>
        <v>4.0125104474977501E-8</v>
      </c>
      <c r="AK54" s="49">
        <f t="shared" si="287"/>
        <v>4.0125104474977501E-8</v>
      </c>
      <c r="AL54" s="49">
        <f t="shared" si="288"/>
        <v>4.0125104474977501E-8</v>
      </c>
      <c r="AM54" s="49">
        <f t="shared" si="289"/>
        <v>4.0125104474977501E-8</v>
      </c>
      <c r="AN54" s="60">
        <f t="shared" ref="AN54:BB54" si="342">IFERROR(AN9/$B54,0)</f>
        <v>409842.02642252657</v>
      </c>
      <c r="AO54" s="60">
        <f t="shared" si="342"/>
        <v>24999938.537158351</v>
      </c>
      <c r="AP54" s="60">
        <f t="shared" si="342"/>
        <v>7.3758537194294478</v>
      </c>
      <c r="AQ54" s="60">
        <f t="shared" si="342"/>
        <v>2744.7195473095426</v>
      </c>
      <c r="AR54" s="60">
        <f>IFERROR(AR9/$B54,0)</f>
        <v>39875.285583313038</v>
      </c>
      <c r="AS54" s="60">
        <f>IFERROR(AS9/$B54,0)</f>
        <v>0</v>
      </c>
      <c r="AT54" s="60">
        <f>IFERROR(AT9/$B54,0)</f>
        <v>4153.6755815951083</v>
      </c>
      <c r="AU54" s="60">
        <f>IFERROR(AU9/$B54,0)</f>
        <v>8556.5716980859233</v>
      </c>
      <c r="AV54" s="60">
        <f>IFERROR(AV9/$B54,0)</f>
        <v>0</v>
      </c>
      <c r="AW54" s="60">
        <f t="shared" si="342"/>
        <v>0</v>
      </c>
      <c r="AX54" s="60">
        <f t="shared" si="342"/>
        <v>0</v>
      </c>
      <c r="AY54" s="60">
        <f t="shared" si="342"/>
        <v>0</v>
      </c>
      <c r="AZ54" s="60">
        <f>IFERROR(AZ9/$B54,0)</f>
        <v>0</v>
      </c>
      <c r="BA54" s="60">
        <f t="shared" si="342"/>
        <v>0</v>
      </c>
      <c r="BB54" s="60">
        <f t="shared" si="342"/>
        <v>0</v>
      </c>
      <c r="BC54" s="118">
        <f t="shared" si="63"/>
        <v>2.4399645120069998E-6</v>
      </c>
      <c r="BD54" s="118">
        <f t="shared" si="64"/>
        <v>4.0000098340788412E-8</v>
      </c>
      <c r="BE54" s="118">
        <f t="shared" si="65"/>
        <v>0.13557752607888679</v>
      </c>
      <c r="BF54" s="118">
        <f t="shared" si="66"/>
        <v>3.6433594863279577E-4</v>
      </c>
      <c r="BG54" s="118">
        <f t="shared" si="67"/>
        <v>2.5078190296860941E-5</v>
      </c>
      <c r="BH54" s="118" t="str">
        <f t="shared" si="68"/>
        <v>.</v>
      </c>
      <c r="BI54" s="118">
        <f t="shared" si="69"/>
        <v>2.4075062684986504E-4</v>
      </c>
      <c r="BJ54" s="118">
        <f t="shared" si="70"/>
        <v>1.1686923633488593E-4</v>
      </c>
      <c r="BK54" s="118" t="str">
        <f t="shared" si="71"/>
        <v>.</v>
      </c>
      <c r="BL54" s="118" t="str">
        <f t="shared" si="72"/>
        <v>.</v>
      </c>
      <c r="BM54" s="118" t="str">
        <f t="shared" si="73"/>
        <v>.</v>
      </c>
      <c r="BN54" s="118" t="str">
        <f t="shared" si="74"/>
        <v>.</v>
      </c>
      <c r="BO54" s="118" t="str">
        <f t="shared" si="75"/>
        <v>.</v>
      </c>
      <c r="BP54" s="118" t="str">
        <f t="shared" si="76"/>
        <v>.</v>
      </c>
      <c r="BQ54" s="118" t="str">
        <f t="shared" si="77"/>
        <v>.</v>
      </c>
      <c r="BR54" s="60">
        <f t="shared" si="46"/>
        <v>7.3353019303098304</v>
      </c>
      <c r="BS54" s="71">
        <f>IFERROR(s_RadSpec!$E$9*BS9,".")*$B$54</f>
        <v>1.2199822560035E-10</v>
      </c>
      <c r="BT54" s="71">
        <f>IFERROR(s_RadSpec!$F$9*BT9,".")*$B$54</f>
        <v>2.0000049170394206E-12</v>
      </c>
      <c r="BU54" s="71">
        <f>IFERROR(s_RadSpec!$G$9*BU9,".")*$B$54</f>
        <v>6.778876303944339E-6</v>
      </c>
      <c r="BV54" s="71">
        <f>s_b2s!CC54</f>
        <v>1.8216804718360947E-8</v>
      </c>
      <c r="BW54" s="71">
        <f>IFERROR(s_RadSpec!$H$9*BW9,".")*$B$54</f>
        <v>1.2539095148430469E-9</v>
      </c>
      <c r="BX54" s="71">
        <f>IFERROR(s_RadSpec!$H$9*BX9,".")*$B$54</f>
        <v>0</v>
      </c>
      <c r="BY54" s="71">
        <f>IFERROR(s_RadSpec!$H$9*BY9,".")*$B$54</f>
        <v>1.203753134249325E-8</v>
      </c>
      <c r="BZ54" s="71">
        <f>IFERROR(s_RadSpec!$H$9*BZ9,".")*$B$54</f>
        <v>5.8434618167442968E-9</v>
      </c>
      <c r="CA54" s="71">
        <f>IFERROR(s_RadSpec!$H$9*CA9,".")*$B$54</f>
        <v>0</v>
      </c>
      <c r="CB54" s="71">
        <f>IFERROR(s_RadSpec!$H$9*CB9,".")*$B$54</f>
        <v>0</v>
      </c>
      <c r="CC54" s="71">
        <f>IFERROR(s_RadSpec!$H$9*CC9,".")*$B$54</f>
        <v>0</v>
      </c>
      <c r="CD54" s="71">
        <f>IFERROR(s_RadSpec!$H$9*CD9,".")*$B$54</f>
        <v>0</v>
      </c>
      <c r="CE54" s="71">
        <f>IFERROR(s_RadSpec!$H$9*CE9,".")*$B$54</f>
        <v>0</v>
      </c>
      <c r="CF54" s="71">
        <f>IFERROR(s_RadSpec!$H$9*CF9,".")*$B$54</f>
        <v>0</v>
      </c>
      <c r="CG54" s="71">
        <f>IFERROR(s_RadSpec!$H$9*CG9,".")*$B$54</f>
        <v>0</v>
      </c>
      <c r="CH54" s="49">
        <f t="shared" si="291"/>
        <v>1.2199822560035E-10</v>
      </c>
      <c r="CI54" s="49">
        <f t="shared" si="292"/>
        <v>2.0000049170394206E-12</v>
      </c>
      <c r="CJ54" s="49">
        <f t="shared" si="293"/>
        <v>6.778876303944339E-6</v>
      </c>
      <c r="CK54" s="49">
        <f t="shared" si="294"/>
        <v>1.8216804718360947E-8</v>
      </c>
      <c r="CL54" s="49">
        <f t="shared" si="295"/>
        <v>1.2539095148430469E-9</v>
      </c>
      <c r="CM54" s="49">
        <f t="shared" si="295"/>
        <v>0</v>
      </c>
      <c r="CN54" s="49">
        <f t="shared" si="296"/>
        <v>1.203753134249325E-8</v>
      </c>
      <c r="CO54" s="49">
        <f t="shared" si="297"/>
        <v>5.8434618167442968E-9</v>
      </c>
      <c r="CP54" s="49">
        <f t="shared" si="298"/>
        <v>0</v>
      </c>
      <c r="CQ54" s="49">
        <f t="shared" si="299"/>
        <v>0</v>
      </c>
      <c r="CR54" s="49">
        <f t="shared" si="300"/>
        <v>0</v>
      </c>
      <c r="CS54" s="49">
        <f t="shared" si="301"/>
        <v>0</v>
      </c>
      <c r="CT54" s="49">
        <f t="shared" si="302"/>
        <v>0</v>
      </c>
      <c r="CU54" s="49">
        <f t="shared" si="303"/>
        <v>0</v>
      </c>
      <c r="CV54" s="49">
        <f t="shared" si="304"/>
        <v>0</v>
      </c>
      <c r="CW54" s="49">
        <f t="shared" si="305"/>
        <v>6.8163520095672981E-6</v>
      </c>
      <c r="CX54" s="60">
        <f t="shared" ref="CX54:DL54" si="343">IFERROR(CX9/$B54,0)</f>
        <v>9468.2194543470014</v>
      </c>
      <c r="CY54" s="60">
        <f>IFERROR(CY9,".")</f>
        <v>3170.4978003179385</v>
      </c>
      <c r="CZ54" s="60">
        <f t="shared" si="343"/>
        <v>1375067.8884066863</v>
      </c>
      <c r="DA54" s="60">
        <f t="shared" si="343"/>
        <v>9868.7505487362396</v>
      </c>
      <c r="DB54" s="60">
        <f>IFERROR(DB9/$B54,0)</f>
        <v>83073.511631902162</v>
      </c>
      <c r="DC54" s="60">
        <f>IFERROR(DC9/$B54,0)</f>
        <v>0</v>
      </c>
      <c r="DD54" s="60">
        <f>IFERROR(DD9/$B54,0)</f>
        <v>124610267.44785322</v>
      </c>
      <c r="DE54" s="60">
        <f>IFERROR(DE9/$B54,0)</f>
        <v>256697150.94257766</v>
      </c>
      <c r="DF54" s="60">
        <f>IFERROR(DF9/$B54,0)</f>
        <v>0</v>
      </c>
      <c r="DG54" s="60">
        <f t="shared" si="343"/>
        <v>0</v>
      </c>
      <c r="DH54" s="60">
        <f t="shared" si="343"/>
        <v>0</v>
      </c>
      <c r="DI54" s="60">
        <f t="shared" si="343"/>
        <v>0</v>
      </c>
      <c r="DJ54" s="60">
        <f>IFERROR(DJ9/$B54,0)</f>
        <v>0</v>
      </c>
      <c r="DK54" s="60">
        <f t="shared" si="343"/>
        <v>0</v>
      </c>
      <c r="DL54" s="60">
        <f t="shared" si="343"/>
        <v>0</v>
      </c>
      <c r="DM54" s="118">
        <f t="shared" si="80"/>
        <v>1.056164788767E-4</v>
      </c>
      <c r="DN54" s="118">
        <f t="shared" si="81"/>
        <v>3.1540788323515621E-4</v>
      </c>
      <c r="DO54" s="118">
        <f t="shared" si="82"/>
        <v>7.2723682112794915E-7</v>
      </c>
      <c r="DP54" s="118">
        <f t="shared" si="83"/>
        <v>1.0132995003385274E-4</v>
      </c>
      <c r="DQ54" s="118">
        <f t="shared" si="84"/>
        <v>1.2037531342493252E-5</v>
      </c>
      <c r="DR54" s="118" t="str">
        <f t="shared" si="85"/>
        <v>.</v>
      </c>
      <c r="DS54" s="118">
        <f t="shared" si="86"/>
        <v>8.0250208949955018E-9</v>
      </c>
      <c r="DT54" s="118">
        <f t="shared" si="87"/>
        <v>3.8956412111628648E-9</v>
      </c>
      <c r="DU54" s="118" t="str">
        <f t="shared" si="88"/>
        <v>.</v>
      </c>
      <c r="DV54" s="118" t="str">
        <f t="shared" si="89"/>
        <v>.</v>
      </c>
      <c r="DW54" s="118" t="str">
        <f t="shared" si="90"/>
        <v>.</v>
      </c>
      <c r="DX54" s="118" t="str">
        <f t="shared" si="91"/>
        <v>.</v>
      </c>
      <c r="DY54" s="118" t="str">
        <f t="shared" si="92"/>
        <v>.</v>
      </c>
      <c r="DZ54" s="118" t="str">
        <f t="shared" si="93"/>
        <v>.</v>
      </c>
      <c r="EA54" s="118" t="str">
        <f t="shared" si="94"/>
        <v>.</v>
      </c>
      <c r="EB54" s="60">
        <f t="shared" si="47"/>
        <v>1868.7013052592274</v>
      </c>
      <c r="EC54" s="71">
        <f>IFERROR(s_RadSpec!$I$9*EC9,".")*$B$54</f>
        <v>5.2808239438350001E-9</v>
      </c>
      <c r="ED54" s="71">
        <f>IFERROR(s_RadSpec!$F$9*ED9,".")</f>
        <v>1.5770394161757811E-8</v>
      </c>
      <c r="EE54" s="71">
        <f>IFERROR(s_RadSpec!$M$9*EE9,".")*$B$54</f>
        <v>3.6361841056397453E-11</v>
      </c>
      <c r="EF54" s="71">
        <f>s_b2w!CC54</f>
        <v>5.0664995282922455E-9</v>
      </c>
      <c r="EG54" s="71">
        <f>IFERROR(s_RadSpec!$H$9*EG9,".")*$B$54</f>
        <v>6.0187656712466262E-10</v>
      </c>
      <c r="EH54" s="71">
        <f>IFERROR(s_RadSpec!$H$9*EH9,".")*$B$54</f>
        <v>0</v>
      </c>
      <c r="EI54" s="71">
        <f>IFERROR(s_RadSpec!$H$9*EI9,".")*$B$54</f>
        <v>4.0125104474977503E-13</v>
      </c>
      <c r="EJ54" s="71">
        <f>IFERROR(s_RadSpec!$H$9*EJ9,".")*$B$54</f>
        <v>1.9478206055814324E-13</v>
      </c>
      <c r="EK54" s="71">
        <f>IFERROR(s_RadSpec!$H$9*EK9,".")*$B$54</f>
        <v>0</v>
      </c>
      <c r="EL54" s="71">
        <f>IFERROR(s_RadSpec!$H$9*EL9,".")*$B$54</f>
        <v>0</v>
      </c>
      <c r="EM54" s="71">
        <f>IFERROR(s_RadSpec!$H$9*EM9,".")*$B$54</f>
        <v>0</v>
      </c>
      <c r="EN54" s="71">
        <f>IFERROR(s_RadSpec!$H$9*EN9,".")*$B$54</f>
        <v>0</v>
      </c>
      <c r="EO54" s="71">
        <f>IFERROR(s_RadSpec!$H$9*EO9,".")*$B$54</f>
        <v>0</v>
      </c>
      <c r="EP54" s="71">
        <f>IFERROR(s_RadSpec!$H$9*EP9,".")*$B$54</f>
        <v>0</v>
      </c>
      <c r="EQ54" s="71">
        <f>IFERROR(s_RadSpec!$H$9*EQ9,".")*$B$54</f>
        <v>0</v>
      </c>
      <c r="ER54" s="49">
        <f t="shared" si="307"/>
        <v>5.2808239438350001E-9</v>
      </c>
      <c r="ES54" s="49">
        <f t="shared" si="308"/>
        <v>1.5770394161757811E-8</v>
      </c>
      <c r="ET54" s="49">
        <f t="shared" si="309"/>
        <v>3.6361841056397453E-11</v>
      </c>
      <c r="EU54" s="49">
        <f t="shared" si="310"/>
        <v>5.0664995282922455E-9</v>
      </c>
      <c r="EV54" s="49">
        <f t="shared" si="311"/>
        <v>6.0187656712466262E-10</v>
      </c>
      <c r="EW54" s="49">
        <f t="shared" si="311"/>
        <v>0</v>
      </c>
      <c r="EX54" s="49">
        <f t="shared" si="312"/>
        <v>4.0125104474977503E-13</v>
      </c>
      <c r="EY54" s="49">
        <f t="shared" si="313"/>
        <v>1.9478206055814324E-13</v>
      </c>
      <c r="EZ54" s="49">
        <f t="shared" si="314"/>
        <v>0</v>
      </c>
      <c r="FA54" s="49">
        <f t="shared" si="315"/>
        <v>0</v>
      </c>
      <c r="FB54" s="49">
        <f t="shared" si="316"/>
        <v>0</v>
      </c>
      <c r="FC54" s="49">
        <f t="shared" si="317"/>
        <v>0</v>
      </c>
      <c r="FD54" s="49">
        <f t="shared" si="318"/>
        <v>0</v>
      </c>
      <c r="FE54" s="49">
        <f t="shared" si="319"/>
        <v>0</v>
      </c>
      <c r="FF54" s="49">
        <f t="shared" si="320"/>
        <v>0</v>
      </c>
      <c r="FG54" s="49">
        <f t="shared" si="321"/>
        <v>2.675655207517143E-8</v>
      </c>
      <c r="FH54" s="60">
        <f>IFERROR(FH9/$B54,0)</f>
        <v>80.696019165303966</v>
      </c>
      <c r="FI54" s="60">
        <f>IFERROR(FI9/$B54,0)</f>
        <v>4761.142566490169</v>
      </c>
      <c r="FJ54" s="60">
        <f>IFERROR(FJ9/$B54,0)</f>
        <v>79.351107022131899</v>
      </c>
      <c r="FK54" s="71">
        <f>IFERROR(s_RadSpec!$F$9*FK9,".")*$B$54</f>
        <v>6.1960925107812488E-7</v>
      </c>
      <c r="FL54" s="71">
        <f>IFERROR(s_RadSpec!$K$9*FL9,".")*$B$54</f>
        <v>1.050168090993737E-8</v>
      </c>
      <c r="FM54" s="49">
        <f t="shared" si="322"/>
        <v>6.1960925107812488E-7</v>
      </c>
      <c r="FN54" s="49">
        <f t="shared" si="322"/>
        <v>1.050168090993737E-8</v>
      </c>
      <c r="FO54" s="49">
        <f t="shared" si="323"/>
        <v>6.301109319880622E-7</v>
      </c>
    </row>
    <row r="55" spans="1:171" x14ac:dyDescent="0.25">
      <c r="A55" s="83" t="s">
        <v>1090</v>
      </c>
      <c r="B55" s="42">
        <v>1.9999999999999999E-7</v>
      </c>
      <c r="C55" s="249"/>
      <c r="D55" s="60">
        <f t="shared" ref="D55:O55" si="344">IFERROR(D24/$B55,0)</f>
        <v>0</v>
      </c>
      <c r="E55" s="60">
        <f t="shared" si="344"/>
        <v>0</v>
      </c>
      <c r="F55" s="60">
        <f t="shared" si="344"/>
        <v>0</v>
      </c>
      <c r="G55" s="60">
        <f t="shared" si="344"/>
        <v>0</v>
      </c>
      <c r="H55" s="60">
        <f t="shared" si="344"/>
        <v>0</v>
      </c>
      <c r="I55" s="60">
        <f t="shared" si="344"/>
        <v>0</v>
      </c>
      <c r="J55" s="60">
        <f t="shared" si="344"/>
        <v>0</v>
      </c>
      <c r="K55" s="60">
        <f t="shared" ref="K55" si="345">IFERROR(K24/$B55,0)</f>
        <v>0</v>
      </c>
      <c r="L55" s="60">
        <f t="shared" si="344"/>
        <v>0</v>
      </c>
      <c r="M55" s="60">
        <f t="shared" si="344"/>
        <v>0</v>
      </c>
      <c r="N55" s="60">
        <f t="shared" si="344"/>
        <v>0</v>
      </c>
      <c r="O55" s="60">
        <f t="shared" si="344"/>
        <v>0</v>
      </c>
      <c r="P55" s="71">
        <f>s_dir!BC55</f>
        <v>0</v>
      </c>
      <c r="Q55" s="71">
        <f>IFERROR(s_RadSpec!$H$24*Q24,".")*$B$55</f>
        <v>0</v>
      </c>
      <c r="R55" s="71">
        <f>IFERROR(s_RadSpec!$H$24*R24,".")*$B$55</f>
        <v>0</v>
      </c>
      <c r="S55" s="71">
        <f>IFERROR(s_RadSpec!$H$24*S24,".")*$B$55</f>
        <v>0</v>
      </c>
      <c r="T55" s="71">
        <f>IFERROR(s_RadSpec!$H$24*T24,".")*$B$55</f>
        <v>0</v>
      </c>
      <c r="U55" s="71">
        <f>IFERROR(s_RadSpec!$H$24*U24,".")*$B$55</f>
        <v>0</v>
      </c>
      <c r="V55" s="71">
        <f>IFERROR(s_RadSpec!$H$24*V24,".")*$B$55</f>
        <v>0</v>
      </c>
      <c r="W55" s="71">
        <f>IFERROR(s_RadSpec!$H$24*W24,".")*$B$55</f>
        <v>0</v>
      </c>
      <c r="X55" s="71">
        <f>IFERROR(s_RadSpec!$H$24*X24,".")*$B$55</f>
        <v>0</v>
      </c>
      <c r="Y55" s="71">
        <f>IFERROR(s_RadSpec!$H$24*Y24,".")*$B$55</f>
        <v>0</v>
      </c>
      <c r="Z55" s="71">
        <f>IFERROR(s_RadSpec!$H$24*Z24,".")*$B$55</f>
        <v>0</v>
      </c>
      <c r="AA55" s="71">
        <f>IFERROR(s_RadSpec!$H$24*AA24,".")*$B$55</f>
        <v>0</v>
      </c>
      <c r="AB55" s="49">
        <f t="shared" si="279"/>
        <v>0</v>
      </c>
      <c r="AC55" s="49">
        <f t="shared" si="280"/>
        <v>0</v>
      </c>
      <c r="AD55" s="49">
        <f t="shared" si="281"/>
        <v>0</v>
      </c>
      <c r="AE55" s="49">
        <f t="shared" si="282"/>
        <v>0</v>
      </c>
      <c r="AF55" s="49">
        <f t="shared" si="283"/>
        <v>0</v>
      </c>
      <c r="AG55" s="49">
        <f t="shared" si="284"/>
        <v>0</v>
      </c>
      <c r="AH55" s="49">
        <f t="shared" si="285"/>
        <v>0</v>
      </c>
      <c r="AI55" s="49">
        <f t="shared" si="285"/>
        <v>0</v>
      </c>
      <c r="AJ55" s="49">
        <f t="shared" si="286"/>
        <v>0</v>
      </c>
      <c r="AK55" s="49">
        <f t="shared" si="287"/>
        <v>0</v>
      </c>
      <c r="AL55" s="49">
        <f t="shared" si="288"/>
        <v>0</v>
      </c>
      <c r="AM55" s="49">
        <f t="shared" si="289"/>
        <v>0</v>
      </c>
      <c r="AN55" s="60">
        <f t="shared" ref="AN55:BB55" si="346">IFERROR(AN24/$B55,0)</f>
        <v>0</v>
      </c>
      <c r="AO55" s="60">
        <f t="shared" si="346"/>
        <v>0</v>
      </c>
      <c r="AP55" s="60">
        <f t="shared" si="346"/>
        <v>141162119965.70715</v>
      </c>
      <c r="AQ55" s="60">
        <f t="shared" si="346"/>
        <v>0</v>
      </c>
      <c r="AR55" s="60">
        <f>IFERROR(AR24/$B55,0)</f>
        <v>0</v>
      </c>
      <c r="AS55" s="60">
        <f>IFERROR(AS24/$B55,0)</f>
        <v>0</v>
      </c>
      <c r="AT55" s="60">
        <f>IFERROR(AT24/$B55,0)</f>
        <v>0</v>
      </c>
      <c r="AU55" s="60">
        <f>IFERROR(AU24/$B55,0)</f>
        <v>0</v>
      </c>
      <c r="AV55" s="60">
        <f>IFERROR(AV24/$B55,0)</f>
        <v>0</v>
      </c>
      <c r="AW55" s="60">
        <f t="shared" si="346"/>
        <v>0</v>
      </c>
      <c r="AX55" s="60">
        <f t="shared" si="346"/>
        <v>0</v>
      </c>
      <c r="AY55" s="60">
        <f t="shared" si="346"/>
        <v>0</v>
      </c>
      <c r="AZ55" s="60">
        <f>IFERROR(AZ24/$B55,0)</f>
        <v>0</v>
      </c>
      <c r="BA55" s="60">
        <f t="shared" si="346"/>
        <v>0</v>
      </c>
      <c r="BB55" s="60">
        <f t="shared" si="346"/>
        <v>0</v>
      </c>
      <c r="BC55" s="118" t="str">
        <f t="shared" si="63"/>
        <v>.</v>
      </c>
      <c r="BD55" s="118" t="str">
        <f t="shared" si="64"/>
        <v>.</v>
      </c>
      <c r="BE55" s="118">
        <f t="shared" si="65"/>
        <v>7.0840534290851706E-12</v>
      </c>
      <c r="BF55" s="118" t="str">
        <f t="shared" si="66"/>
        <v>.</v>
      </c>
      <c r="BG55" s="118" t="str">
        <f t="shared" si="67"/>
        <v>.</v>
      </c>
      <c r="BH55" s="118" t="str">
        <f t="shared" si="68"/>
        <v>.</v>
      </c>
      <c r="BI55" s="118" t="str">
        <f t="shared" si="69"/>
        <v>.</v>
      </c>
      <c r="BJ55" s="118" t="str">
        <f t="shared" si="70"/>
        <v>.</v>
      </c>
      <c r="BK55" s="118" t="str">
        <f t="shared" si="71"/>
        <v>.</v>
      </c>
      <c r="BL55" s="118" t="str">
        <f t="shared" si="72"/>
        <v>.</v>
      </c>
      <c r="BM55" s="118" t="str">
        <f t="shared" si="73"/>
        <v>.</v>
      </c>
      <c r="BN55" s="118" t="str">
        <f t="shared" si="74"/>
        <v>.</v>
      </c>
      <c r="BO55" s="118" t="str">
        <f t="shared" si="75"/>
        <v>.</v>
      </c>
      <c r="BP55" s="118" t="str">
        <f t="shared" si="76"/>
        <v>.</v>
      </c>
      <c r="BQ55" s="118" t="str">
        <f t="shared" si="77"/>
        <v>.</v>
      </c>
      <c r="BR55" s="60">
        <f t="shared" si="46"/>
        <v>141162119965.70715</v>
      </c>
      <c r="BS55" s="71">
        <f>IFERROR(s_RadSpec!$E$24*BS24,".")*$B$55</f>
        <v>0</v>
      </c>
      <c r="BT55" s="71">
        <f>IFERROR(s_RadSpec!$F$24*BT24,".")*$B$55</f>
        <v>0</v>
      </c>
      <c r="BU55" s="71">
        <f>IFERROR(s_RadSpec!$G$24*BU24,".")*$B$55</f>
        <v>3.5420267145425855E-16</v>
      </c>
      <c r="BV55" s="71">
        <f>s_b2s!CC55</f>
        <v>0</v>
      </c>
      <c r="BW55" s="71">
        <f>IFERROR(s_RadSpec!$H$24*BW24,".")*$B$55</f>
        <v>0</v>
      </c>
      <c r="BX55" s="71">
        <f>IFERROR(s_RadSpec!$H$24*BX24,".")*$B$55</f>
        <v>0</v>
      </c>
      <c r="BY55" s="71">
        <f>IFERROR(s_RadSpec!$H$24*BY24,".")*$B$55</f>
        <v>0</v>
      </c>
      <c r="BZ55" s="71">
        <f>IFERROR(s_RadSpec!$H$24*BZ24,".")*$B$55</f>
        <v>0</v>
      </c>
      <c r="CA55" s="71">
        <f>IFERROR(s_RadSpec!$H$24*CA24,".")*$B$55</f>
        <v>0</v>
      </c>
      <c r="CB55" s="71">
        <f>IFERROR(s_RadSpec!$H$24*CB24,".")*$B$55</f>
        <v>0</v>
      </c>
      <c r="CC55" s="71">
        <f>IFERROR(s_RadSpec!$H$24*CC24,".")*$B$55</f>
        <v>0</v>
      </c>
      <c r="CD55" s="71">
        <f>IFERROR(s_RadSpec!$H$24*CD24,".")*$B$55</f>
        <v>0</v>
      </c>
      <c r="CE55" s="71">
        <f>IFERROR(s_RadSpec!$H$24*CE24,".")*$B$55</f>
        <v>0</v>
      </c>
      <c r="CF55" s="71">
        <f>IFERROR(s_RadSpec!$H$24*CF24,".")*$B$55</f>
        <v>0</v>
      </c>
      <c r="CG55" s="71">
        <f>IFERROR(s_RadSpec!$H$24*CG24,".")*$B$55</f>
        <v>0</v>
      </c>
      <c r="CH55" s="49">
        <f t="shared" si="291"/>
        <v>0</v>
      </c>
      <c r="CI55" s="49">
        <f t="shared" si="292"/>
        <v>0</v>
      </c>
      <c r="CJ55" s="49">
        <f t="shared" si="293"/>
        <v>3.5420267145425855E-16</v>
      </c>
      <c r="CK55" s="49">
        <f t="shared" si="294"/>
        <v>0</v>
      </c>
      <c r="CL55" s="49">
        <f t="shared" si="295"/>
        <v>0</v>
      </c>
      <c r="CM55" s="49">
        <f t="shared" si="295"/>
        <v>0</v>
      </c>
      <c r="CN55" s="49">
        <f t="shared" si="296"/>
        <v>0</v>
      </c>
      <c r="CO55" s="49">
        <f t="shared" si="297"/>
        <v>0</v>
      </c>
      <c r="CP55" s="49">
        <f t="shared" si="298"/>
        <v>0</v>
      </c>
      <c r="CQ55" s="49">
        <f t="shared" si="299"/>
        <v>0</v>
      </c>
      <c r="CR55" s="49">
        <f t="shared" si="300"/>
        <v>0</v>
      </c>
      <c r="CS55" s="49">
        <f t="shared" si="301"/>
        <v>0</v>
      </c>
      <c r="CT55" s="49">
        <f t="shared" si="302"/>
        <v>0</v>
      </c>
      <c r="CU55" s="49">
        <f t="shared" si="303"/>
        <v>0</v>
      </c>
      <c r="CV55" s="49">
        <f t="shared" si="304"/>
        <v>0</v>
      </c>
      <c r="CW55" s="49">
        <f t="shared" si="305"/>
        <v>3.5420267145425855E-16</v>
      </c>
      <c r="CX55" s="60">
        <f t="shared" ref="CX55:DL55" si="347">IFERROR(CX24/$B55,0)</f>
        <v>0</v>
      </c>
      <c r="CY55" s="60" t="str">
        <f>IFERROR(CY24,".")</f>
        <v>.</v>
      </c>
      <c r="CZ55" s="60">
        <f t="shared" si="347"/>
        <v>1.4376760882019012E+16</v>
      </c>
      <c r="DA55" s="60">
        <f t="shared" si="347"/>
        <v>0</v>
      </c>
      <c r="DB55" s="60">
        <f>IFERROR(DB24/$B55,0)</f>
        <v>0</v>
      </c>
      <c r="DC55" s="60">
        <f>IFERROR(DC24/$B55,0)</f>
        <v>0</v>
      </c>
      <c r="DD55" s="60">
        <f>IFERROR(DD24/$B55,0)</f>
        <v>0</v>
      </c>
      <c r="DE55" s="60">
        <f>IFERROR(DE24/$B55,0)</f>
        <v>0</v>
      </c>
      <c r="DF55" s="60">
        <f>IFERROR(DF24/$B55,0)</f>
        <v>0</v>
      </c>
      <c r="DG55" s="60">
        <f t="shared" si="347"/>
        <v>0</v>
      </c>
      <c r="DH55" s="60">
        <f t="shared" si="347"/>
        <v>0</v>
      </c>
      <c r="DI55" s="60">
        <f t="shared" si="347"/>
        <v>0</v>
      </c>
      <c r="DJ55" s="60">
        <f>IFERROR(DJ24/$B55,0)</f>
        <v>0</v>
      </c>
      <c r="DK55" s="60">
        <f t="shared" si="347"/>
        <v>0</v>
      </c>
      <c r="DL55" s="60">
        <f t="shared" si="347"/>
        <v>0</v>
      </c>
      <c r="DM55" s="118" t="str">
        <f t="shared" si="80"/>
        <v>.</v>
      </c>
      <c r="DN55" s="118" t="str">
        <f t="shared" si="81"/>
        <v>.</v>
      </c>
      <c r="DO55" s="118">
        <f t="shared" si="82"/>
        <v>6.9556696964383555E-17</v>
      </c>
      <c r="DP55" s="118" t="str">
        <f t="shared" si="83"/>
        <v>.</v>
      </c>
      <c r="DQ55" s="118" t="str">
        <f t="shared" si="84"/>
        <v>.</v>
      </c>
      <c r="DR55" s="118" t="str">
        <f t="shared" si="85"/>
        <v>.</v>
      </c>
      <c r="DS55" s="118" t="str">
        <f t="shared" si="86"/>
        <v>.</v>
      </c>
      <c r="DT55" s="118" t="str">
        <f t="shared" si="87"/>
        <v>.</v>
      </c>
      <c r="DU55" s="118" t="str">
        <f t="shared" si="88"/>
        <v>.</v>
      </c>
      <c r="DV55" s="118" t="str">
        <f t="shared" si="89"/>
        <v>.</v>
      </c>
      <c r="DW55" s="118" t="str">
        <f t="shared" si="90"/>
        <v>.</v>
      </c>
      <c r="DX55" s="118" t="str">
        <f t="shared" si="91"/>
        <v>.</v>
      </c>
      <c r="DY55" s="118" t="str">
        <f t="shared" si="92"/>
        <v>.</v>
      </c>
      <c r="DZ55" s="118" t="str">
        <f t="shared" si="93"/>
        <v>.</v>
      </c>
      <c r="EA55" s="118" t="str">
        <f t="shared" si="94"/>
        <v>.</v>
      </c>
      <c r="EB55" s="60">
        <f t="shared" si="47"/>
        <v>1.4376760882019012E+16</v>
      </c>
      <c r="EC55" s="71">
        <f>IFERROR(s_RadSpec!$I$24*EC24,".")*$B$55</f>
        <v>0</v>
      </c>
      <c r="ED55" s="71">
        <f>IFERROR(s_RadSpec!$F$24*ED24,".")</f>
        <v>0</v>
      </c>
      <c r="EE55" s="71">
        <f>IFERROR(s_RadSpec!$M$24*EE24,".")*$B$55</f>
        <v>3.4778348482191779E-21</v>
      </c>
      <c r="EF55" s="71">
        <f>s_b2w!CC55</f>
        <v>0</v>
      </c>
      <c r="EG55" s="71">
        <f>IFERROR(s_RadSpec!$H$24*EG24,".")*$B$55</f>
        <v>0</v>
      </c>
      <c r="EH55" s="71">
        <f>IFERROR(s_RadSpec!$H$24*EH24,".")*$B$55</f>
        <v>0</v>
      </c>
      <c r="EI55" s="71">
        <f>IFERROR(s_RadSpec!$H$24*EI24,".")*$B$55</f>
        <v>0</v>
      </c>
      <c r="EJ55" s="71">
        <f>IFERROR(s_RadSpec!$H$24*EJ24,".")*$B$55</f>
        <v>0</v>
      </c>
      <c r="EK55" s="71">
        <f>IFERROR(s_RadSpec!$H$24*EK24,".")*$B$55</f>
        <v>0</v>
      </c>
      <c r="EL55" s="71">
        <f>IFERROR(s_RadSpec!$H$24*EL24,".")*$B$55</f>
        <v>0</v>
      </c>
      <c r="EM55" s="71">
        <f>IFERROR(s_RadSpec!$H$24*EM24,".")*$B$55</f>
        <v>0</v>
      </c>
      <c r="EN55" s="71">
        <f>IFERROR(s_RadSpec!$H$24*EN24,".")*$B$55</f>
        <v>0</v>
      </c>
      <c r="EO55" s="71">
        <f>IFERROR(s_RadSpec!$H$24*EO24,".")*$B$55</f>
        <v>0</v>
      </c>
      <c r="EP55" s="71">
        <f>IFERROR(s_RadSpec!$H$24*EP24,".")*$B$55</f>
        <v>0</v>
      </c>
      <c r="EQ55" s="71">
        <f>IFERROR(s_RadSpec!$H$24*EQ24,".")*$B$55</f>
        <v>0</v>
      </c>
      <c r="ER55" s="49">
        <f t="shared" si="307"/>
        <v>0</v>
      </c>
      <c r="ES55" s="49">
        <f t="shared" si="308"/>
        <v>0</v>
      </c>
      <c r="ET55" s="49">
        <f t="shared" si="309"/>
        <v>3.4778348482191779E-21</v>
      </c>
      <c r="EU55" s="49">
        <f t="shared" si="310"/>
        <v>0</v>
      </c>
      <c r="EV55" s="49">
        <f t="shared" si="311"/>
        <v>0</v>
      </c>
      <c r="EW55" s="49">
        <f t="shared" si="311"/>
        <v>0</v>
      </c>
      <c r="EX55" s="49">
        <f t="shared" si="312"/>
        <v>0</v>
      </c>
      <c r="EY55" s="49">
        <f t="shared" si="313"/>
        <v>0</v>
      </c>
      <c r="EZ55" s="49">
        <f t="shared" si="314"/>
        <v>0</v>
      </c>
      <c r="FA55" s="49">
        <f t="shared" si="315"/>
        <v>0</v>
      </c>
      <c r="FB55" s="49">
        <f t="shared" si="316"/>
        <v>0</v>
      </c>
      <c r="FC55" s="49">
        <f t="shared" si="317"/>
        <v>0</v>
      </c>
      <c r="FD55" s="49">
        <f t="shared" si="318"/>
        <v>0</v>
      </c>
      <c r="FE55" s="49">
        <f t="shared" si="319"/>
        <v>0</v>
      </c>
      <c r="FF55" s="49">
        <f t="shared" si="320"/>
        <v>0</v>
      </c>
      <c r="FG55" s="49">
        <f t="shared" si="321"/>
        <v>3.4778348482191779E-21</v>
      </c>
      <c r="FH55" s="60">
        <f>IFERROR(FH24/$B55,0)</f>
        <v>0</v>
      </c>
      <c r="FI55" s="60">
        <f>IFERROR(FI24/$B55,0)</f>
        <v>49965826830987.688</v>
      </c>
      <c r="FJ55" s="60">
        <f>IFERROR(FJ24/$B55,0)</f>
        <v>49965826830987.688</v>
      </c>
      <c r="FK55" s="71">
        <f>IFERROR(s_RadSpec!$F$24*FK24,".")*$B$55</f>
        <v>0</v>
      </c>
      <c r="FL55" s="71">
        <f>IFERROR(s_RadSpec!$K$24*FL24,".")*$B$55</f>
        <v>1.0006839308219179E-18</v>
      </c>
      <c r="FM55" s="49">
        <f t="shared" si="322"/>
        <v>0</v>
      </c>
      <c r="FN55" s="49">
        <f t="shared" si="322"/>
        <v>1.0006839308219179E-18</v>
      </c>
      <c r="FO55" s="49">
        <f t="shared" si="323"/>
        <v>1.0006839308219179E-18</v>
      </c>
    </row>
    <row r="56" spans="1:171" x14ac:dyDescent="0.25">
      <c r="A56" s="83" t="s">
        <v>1091</v>
      </c>
      <c r="B56" s="42">
        <v>0.99979000004200003</v>
      </c>
      <c r="C56" s="249"/>
      <c r="D56" s="60">
        <f t="shared" ref="D56:O56" si="348">IFERROR(D20/$B56,0)</f>
        <v>0</v>
      </c>
      <c r="E56" s="60">
        <f t="shared" si="348"/>
        <v>0</v>
      </c>
      <c r="F56" s="60">
        <f t="shared" si="348"/>
        <v>0</v>
      </c>
      <c r="G56" s="60">
        <f t="shared" si="348"/>
        <v>0</v>
      </c>
      <c r="H56" s="60">
        <f t="shared" si="348"/>
        <v>0</v>
      </c>
      <c r="I56" s="60">
        <f t="shared" si="348"/>
        <v>0</v>
      </c>
      <c r="J56" s="60">
        <f t="shared" si="348"/>
        <v>0</v>
      </c>
      <c r="K56" s="60">
        <f t="shared" ref="K56" si="349">IFERROR(K20/$B56,0)</f>
        <v>0</v>
      </c>
      <c r="L56" s="60">
        <f t="shared" si="348"/>
        <v>0</v>
      </c>
      <c r="M56" s="60">
        <f t="shared" si="348"/>
        <v>0</v>
      </c>
      <c r="N56" s="60">
        <f t="shared" si="348"/>
        <v>0</v>
      </c>
      <c r="O56" s="60">
        <f t="shared" si="348"/>
        <v>0</v>
      </c>
      <c r="P56" s="71">
        <f>s_dir!BC56</f>
        <v>0</v>
      </c>
      <c r="Q56" s="71">
        <f>IFERROR(s_RadSpec!$H$20*Q20,".")*$B$56</f>
        <v>0</v>
      </c>
      <c r="R56" s="71">
        <f>IFERROR(s_RadSpec!$H$20*R20,".")*$B$56</f>
        <v>0</v>
      </c>
      <c r="S56" s="71">
        <f>IFERROR(s_RadSpec!$H$20*S20,".")*$B$56</f>
        <v>0</v>
      </c>
      <c r="T56" s="71">
        <f>IFERROR(s_RadSpec!$H$20*T20,".")*$B$56</f>
        <v>0</v>
      </c>
      <c r="U56" s="71">
        <f>IFERROR(s_RadSpec!$H$20*U20,".")*$B$56</f>
        <v>0</v>
      </c>
      <c r="V56" s="71">
        <f>IFERROR(s_RadSpec!$H$20*V20,".")*$B$56</f>
        <v>0</v>
      </c>
      <c r="W56" s="71">
        <f>IFERROR(s_RadSpec!$H$20*W20,".")*$B$56</f>
        <v>0</v>
      </c>
      <c r="X56" s="71">
        <f>IFERROR(s_RadSpec!$H$20*X20,".")*$B$56</f>
        <v>0</v>
      </c>
      <c r="Y56" s="71">
        <f>IFERROR(s_RadSpec!$H$20*Y20,".")*$B$56</f>
        <v>0</v>
      </c>
      <c r="Z56" s="71">
        <f>IFERROR(s_RadSpec!$H$20*Z20,".")*$B$56</f>
        <v>0</v>
      </c>
      <c r="AA56" s="71">
        <f>IFERROR(s_RadSpec!$H$20*AA20,".")*$B$56</f>
        <v>0</v>
      </c>
      <c r="AB56" s="49">
        <f t="shared" si="279"/>
        <v>0</v>
      </c>
      <c r="AC56" s="49">
        <f t="shared" si="280"/>
        <v>0</v>
      </c>
      <c r="AD56" s="49">
        <f t="shared" si="281"/>
        <v>0</v>
      </c>
      <c r="AE56" s="49">
        <f t="shared" si="282"/>
        <v>0</v>
      </c>
      <c r="AF56" s="49">
        <f t="shared" si="283"/>
        <v>0</v>
      </c>
      <c r="AG56" s="49">
        <f t="shared" si="284"/>
        <v>0</v>
      </c>
      <c r="AH56" s="49">
        <f t="shared" si="285"/>
        <v>0</v>
      </c>
      <c r="AI56" s="49">
        <f t="shared" si="285"/>
        <v>0</v>
      </c>
      <c r="AJ56" s="49">
        <f t="shared" si="286"/>
        <v>0</v>
      </c>
      <c r="AK56" s="49">
        <f t="shared" si="287"/>
        <v>0</v>
      </c>
      <c r="AL56" s="49">
        <f t="shared" si="288"/>
        <v>0</v>
      </c>
      <c r="AM56" s="49">
        <f t="shared" si="289"/>
        <v>0</v>
      </c>
      <c r="AN56" s="60">
        <f t="shared" ref="AN56:BB56" si="350">IFERROR(AN20/$B56,0)</f>
        <v>0</v>
      </c>
      <c r="AO56" s="60">
        <f t="shared" si="350"/>
        <v>0</v>
      </c>
      <c r="AP56" s="60">
        <f t="shared" si="350"/>
        <v>194357.50043050558</v>
      </c>
      <c r="AQ56" s="60">
        <f t="shared" si="350"/>
        <v>0</v>
      </c>
      <c r="AR56" s="60">
        <f>IFERROR(AR20/$B56,0)</f>
        <v>0</v>
      </c>
      <c r="AS56" s="60">
        <f>IFERROR(AS20/$B56,0)</f>
        <v>0</v>
      </c>
      <c r="AT56" s="60">
        <f>IFERROR(AT20/$B56,0)</f>
        <v>0</v>
      </c>
      <c r="AU56" s="60">
        <f>IFERROR(AU20/$B56,0)</f>
        <v>0</v>
      </c>
      <c r="AV56" s="60">
        <f>IFERROR(AV20/$B56,0)</f>
        <v>0</v>
      </c>
      <c r="AW56" s="60">
        <f t="shared" si="350"/>
        <v>0</v>
      </c>
      <c r="AX56" s="60">
        <f t="shared" si="350"/>
        <v>0</v>
      </c>
      <c r="AY56" s="60">
        <f t="shared" si="350"/>
        <v>0</v>
      </c>
      <c r="AZ56" s="60">
        <f>IFERROR(AZ20/$B56,0)</f>
        <v>0</v>
      </c>
      <c r="BA56" s="60">
        <f t="shared" si="350"/>
        <v>0</v>
      </c>
      <c r="BB56" s="60">
        <f t="shared" si="350"/>
        <v>0</v>
      </c>
      <c r="BC56" s="118" t="str">
        <f t="shared" si="63"/>
        <v>.</v>
      </c>
      <c r="BD56" s="118" t="str">
        <f t="shared" si="64"/>
        <v>.</v>
      </c>
      <c r="BE56" s="118">
        <f t="shared" si="65"/>
        <v>5.1451577520032979E-6</v>
      </c>
      <c r="BF56" s="118" t="str">
        <f t="shared" si="66"/>
        <v>.</v>
      </c>
      <c r="BG56" s="118" t="str">
        <f t="shared" si="67"/>
        <v>.</v>
      </c>
      <c r="BH56" s="118" t="str">
        <f t="shared" si="68"/>
        <v>.</v>
      </c>
      <c r="BI56" s="118" t="str">
        <f t="shared" si="69"/>
        <v>.</v>
      </c>
      <c r="BJ56" s="118" t="str">
        <f t="shared" si="70"/>
        <v>.</v>
      </c>
      <c r="BK56" s="118" t="str">
        <f t="shared" si="71"/>
        <v>.</v>
      </c>
      <c r="BL56" s="118" t="str">
        <f t="shared" si="72"/>
        <v>.</v>
      </c>
      <c r="BM56" s="118" t="str">
        <f t="shared" si="73"/>
        <v>.</v>
      </c>
      <c r="BN56" s="118" t="str">
        <f t="shared" si="74"/>
        <v>.</v>
      </c>
      <c r="BO56" s="118" t="str">
        <f t="shared" si="75"/>
        <v>.</v>
      </c>
      <c r="BP56" s="118" t="str">
        <f t="shared" si="76"/>
        <v>.</v>
      </c>
      <c r="BQ56" s="118" t="str">
        <f t="shared" si="77"/>
        <v>.</v>
      </c>
      <c r="BR56" s="60">
        <f t="shared" si="46"/>
        <v>194357.50043050558</v>
      </c>
      <c r="BS56" s="71">
        <f>IFERROR(s_RadSpec!$E$20*BS20,".")*$B$56</f>
        <v>0</v>
      </c>
      <c r="BT56" s="71">
        <f>IFERROR(s_RadSpec!$F$20*BT20,".")*$B$56</f>
        <v>0</v>
      </c>
      <c r="BU56" s="71">
        <f>IFERROR(s_RadSpec!$G$20*BU20,".")*$B$56</f>
        <v>2.5725788760016485E-10</v>
      </c>
      <c r="BV56" s="71">
        <f>s_b2s!CC56</f>
        <v>0</v>
      </c>
      <c r="BW56" s="71">
        <f>IFERROR(s_RadSpec!$H$20*BW20,".")*$B$56</f>
        <v>0</v>
      </c>
      <c r="BX56" s="71">
        <f>IFERROR(s_RadSpec!$H$20*BX20,".")*$B$56</f>
        <v>0</v>
      </c>
      <c r="BY56" s="71">
        <f>IFERROR(s_RadSpec!$H$20*BY20,".")*$B$56</f>
        <v>0</v>
      </c>
      <c r="BZ56" s="71">
        <f>IFERROR(s_RadSpec!$H$20*BZ20,".")*$B$56</f>
        <v>0</v>
      </c>
      <c r="CA56" s="71">
        <f>IFERROR(s_RadSpec!$H$20*CA20,".")*$B$56</f>
        <v>0</v>
      </c>
      <c r="CB56" s="71">
        <f>IFERROR(s_RadSpec!$H$20*CB20,".")*$B$56</f>
        <v>0</v>
      </c>
      <c r="CC56" s="71">
        <f>IFERROR(s_RadSpec!$H$20*CC20,".")*$B$56</f>
        <v>0</v>
      </c>
      <c r="CD56" s="71">
        <f>IFERROR(s_RadSpec!$H$20*CD20,".")*$B$56</f>
        <v>0</v>
      </c>
      <c r="CE56" s="71">
        <f>IFERROR(s_RadSpec!$H$20*CE20,".")*$B$56</f>
        <v>0</v>
      </c>
      <c r="CF56" s="71">
        <f>IFERROR(s_RadSpec!$H$20*CF20,".")*$B$56</f>
        <v>0</v>
      </c>
      <c r="CG56" s="71">
        <f>IFERROR(s_RadSpec!$H$20*CG20,".")*$B$56</f>
        <v>0</v>
      </c>
      <c r="CH56" s="49">
        <f t="shared" si="291"/>
        <v>0</v>
      </c>
      <c r="CI56" s="49">
        <f t="shared" si="292"/>
        <v>0</v>
      </c>
      <c r="CJ56" s="49">
        <f t="shared" si="293"/>
        <v>2.5725788760016485E-10</v>
      </c>
      <c r="CK56" s="49">
        <f t="shared" si="294"/>
        <v>0</v>
      </c>
      <c r="CL56" s="49">
        <f t="shared" si="295"/>
        <v>0</v>
      </c>
      <c r="CM56" s="49">
        <f t="shared" si="295"/>
        <v>0</v>
      </c>
      <c r="CN56" s="49">
        <f t="shared" si="296"/>
        <v>0</v>
      </c>
      <c r="CO56" s="49">
        <f t="shared" si="297"/>
        <v>0</v>
      </c>
      <c r="CP56" s="49">
        <f t="shared" si="298"/>
        <v>0</v>
      </c>
      <c r="CQ56" s="49">
        <f t="shared" si="299"/>
        <v>0</v>
      </c>
      <c r="CR56" s="49">
        <f t="shared" si="300"/>
        <v>0</v>
      </c>
      <c r="CS56" s="49">
        <f t="shared" si="301"/>
        <v>0</v>
      </c>
      <c r="CT56" s="49">
        <f t="shared" si="302"/>
        <v>0</v>
      </c>
      <c r="CU56" s="49">
        <f t="shared" si="303"/>
        <v>0</v>
      </c>
      <c r="CV56" s="49">
        <f t="shared" si="304"/>
        <v>0</v>
      </c>
      <c r="CW56" s="49">
        <f t="shared" si="305"/>
        <v>2.5725788760016485E-10</v>
      </c>
      <c r="CX56" s="60">
        <f t="shared" ref="CX56:DL56" si="351">IFERROR(CX20/$B56,0)</f>
        <v>0</v>
      </c>
      <c r="CY56" s="60" t="str">
        <f>IFERROR(CY20,".")</f>
        <v>.</v>
      </c>
      <c r="CZ56" s="60">
        <f t="shared" si="351"/>
        <v>25723106837.893364</v>
      </c>
      <c r="DA56" s="60">
        <f t="shared" si="351"/>
        <v>0</v>
      </c>
      <c r="DB56" s="60">
        <f>IFERROR(DB20/$B56,0)</f>
        <v>0</v>
      </c>
      <c r="DC56" s="60">
        <f>IFERROR(DC20/$B56,0)</f>
        <v>0</v>
      </c>
      <c r="DD56" s="60">
        <f>IFERROR(DD20/$B56,0)</f>
        <v>0</v>
      </c>
      <c r="DE56" s="60">
        <f>IFERROR(DE20/$B56,0)</f>
        <v>0</v>
      </c>
      <c r="DF56" s="60">
        <f>IFERROR(DF20/$B56,0)</f>
        <v>0</v>
      </c>
      <c r="DG56" s="60">
        <f t="shared" si="351"/>
        <v>0</v>
      </c>
      <c r="DH56" s="60">
        <f t="shared" si="351"/>
        <v>0</v>
      </c>
      <c r="DI56" s="60">
        <f t="shared" si="351"/>
        <v>0</v>
      </c>
      <c r="DJ56" s="60">
        <f>IFERROR(DJ20/$B56,0)</f>
        <v>0</v>
      </c>
      <c r="DK56" s="60">
        <f t="shared" si="351"/>
        <v>0</v>
      </c>
      <c r="DL56" s="60">
        <f t="shared" si="351"/>
        <v>0</v>
      </c>
      <c r="DM56" s="118" t="str">
        <f t="shared" si="80"/>
        <v>.</v>
      </c>
      <c r="DN56" s="118" t="str">
        <f t="shared" si="81"/>
        <v>.</v>
      </c>
      <c r="DO56" s="118">
        <f t="shared" si="82"/>
        <v>3.8875552875552128E-11</v>
      </c>
      <c r="DP56" s="118" t="str">
        <f t="shared" si="83"/>
        <v>.</v>
      </c>
      <c r="DQ56" s="118" t="str">
        <f t="shared" si="84"/>
        <v>.</v>
      </c>
      <c r="DR56" s="118" t="str">
        <f t="shared" si="85"/>
        <v>.</v>
      </c>
      <c r="DS56" s="118" t="str">
        <f t="shared" si="86"/>
        <v>.</v>
      </c>
      <c r="DT56" s="118" t="str">
        <f t="shared" si="87"/>
        <v>.</v>
      </c>
      <c r="DU56" s="118" t="str">
        <f t="shared" si="88"/>
        <v>.</v>
      </c>
      <c r="DV56" s="118" t="str">
        <f t="shared" si="89"/>
        <v>.</v>
      </c>
      <c r="DW56" s="118" t="str">
        <f t="shared" si="90"/>
        <v>.</v>
      </c>
      <c r="DX56" s="118" t="str">
        <f t="shared" si="91"/>
        <v>.</v>
      </c>
      <c r="DY56" s="118" t="str">
        <f t="shared" si="92"/>
        <v>.</v>
      </c>
      <c r="DZ56" s="118" t="str">
        <f t="shared" si="93"/>
        <v>.</v>
      </c>
      <c r="EA56" s="118" t="str">
        <f t="shared" si="94"/>
        <v>.</v>
      </c>
      <c r="EB56" s="60">
        <f t="shared" si="47"/>
        <v>25723106837.893364</v>
      </c>
      <c r="EC56" s="71">
        <f>IFERROR(s_RadSpec!$I$20*EC20,".")*$B$56</f>
        <v>0</v>
      </c>
      <c r="ED56" s="71">
        <f>IFERROR(s_RadSpec!$F$20*ED20,".")</f>
        <v>0</v>
      </c>
      <c r="EE56" s="71">
        <f>IFERROR(s_RadSpec!$M$20*EE20,".")*$B$56</f>
        <v>1.9437776437776062E-15</v>
      </c>
      <c r="EF56" s="71">
        <f>s_b2w!CC56</f>
        <v>0</v>
      </c>
      <c r="EG56" s="71">
        <f>IFERROR(s_RadSpec!$H$20*EG20,".")*$B$56</f>
        <v>0</v>
      </c>
      <c r="EH56" s="71">
        <f>IFERROR(s_RadSpec!$H$20*EH20,".")*$B$56</f>
        <v>0</v>
      </c>
      <c r="EI56" s="71">
        <f>IFERROR(s_RadSpec!$H$20*EI20,".")*$B$56</f>
        <v>0</v>
      </c>
      <c r="EJ56" s="71">
        <f>IFERROR(s_RadSpec!$H$20*EJ20,".")*$B$56</f>
        <v>0</v>
      </c>
      <c r="EK56" s="71">
        <f>IFERROR(s_RadSpec!$H$20*EK20,".")*$B$56</f>
        <v>0</v>
      </c>
      <c r="EL56" s="71">
        <f>IFERROR(s_RadSpec!$H$20*EL20,".")*$B$56</f>
        <v>0</v>
      </c>
      <c r="EM56" s="71">
        <f>IFERROR(s_RadSpec!$H$20*EM20,".")*$B$56</f>
        <v>0</v>
      </c>
      <c r="EN56" s="71">
        <f>IFERROR(s_RadSpec!$H$20*EN20,".")*$B$56</f>
        <v>0</v>
      </c>
      <c r="EO56" s="71">
        <f>IFERROR(s_RadSpec!$H$20*EO20,".")*$B$56</f>
        <v>0</v>
      </c>
      <c r="EP56" s="71">
        <f>IFERROR(s_RadSpec!$H$20*EP20,".")*$B$56</f>
        <v>0</v>
      </c>
      <c r="EQ56" s="71">
        <f>IFERROR(s_RadSpec!$H$20*EQ20,".")*$B$56</f>
        <v>0</v>
      </c>
      <c r="ER56" s="49">
        <f t="shared" si="307"/>
        <v>0</v>
      </c>
      <c r="ES56" s="49">
        <f t="shared" si="308"/>
        <v>0</v>
      </c>
      <c r="ET56" s="49">
        <f t="shared" si="309"/>
        <v>1.9437776437776062E-15</v>
      </c>
      <c r="EU56" s="49">
        <f t="shared" si="310"/>
        <v>0</v>
      </c>
      <c r="EV56" s="49">
        <f t="shared" si="311"/>
        <v>0</v>
      </c>
      <c r="EW56" s="49">
        <f t="shared" si="311"/>
        <v>0</v>
      </c>
      <c r="EX56" s="49">
        <f t="shared" si="312"/>
        <v>0</v>
      </c>
      <c r="EY56" s="49">
        <f t="shared" si="313"/>
        <v>0</v>
      </c>
      <c r="EZ56" s="49">
        <f t="shared" si="314"/>
        <v>0</v>
      </c>
      <c r="FA56" s="49">
        <f t="shared" si="315"/>
        <v>0</v>
      </c>
      <c r="FB56" s="49">
        <f t="shared" si="316"/>
        <v>0</v>
      </c>
      <c r="FC56" s="49">
        <f t="shared" si="317"/>
        <v>0</v>
      </c>
      <c r="FD56" s="49">
        <f t="shared" si="318"/>
        <v>0</v>
      </c>
      <c r="FE56" s="49">
        <f t="shared" si="319"/>
        <v>0</v>
      </c>
      <c r="FF56" s="49">
        <f t="shared" si="320"/>
        <v>0</v>
      </c>
      <c r="FG56" s="49">
        <f t="shared" si="321"/>
        <v>1.9437776437776062E-15</v>
      </c>
      <c r="FH56" s="60">
        <f>IFERROR(FH20/$B56,0)</f>
        <v>0</v>
      </c>
      <c r="FI56" s="60">
        <f>IFERROR(FI20/$B56,0)</f>
        <v>89173437.038030326</v>
      </c>
      <c r="FJ56" s="60">
        <f>IFERROR(FJ20/$B56,0)</f>
        <v>89173437.038030326</v>
      </c>
      <c r="FK56" s="71">
        <f>IFERROR(s_RadSpec!$F$20*FK20,".")*$B$56</f>
        <v>0</v>
      </c>
      <c r="FL56" s="71">
        <f>IFERROR(s_RadSpec!$K$20*FL20,".")*$B$56</f>
        <v>5.6070508955123276E-13</v>
      </c>
      <c r="FM56" s="49">
        <f t="shared" si="322"/>
        <v>0</v>
      </c>
      <c r="FN56" s="49">
        <f t="shared" si="322"/>
        <v>5.6070508955123276E-13</v>
      </c>
      <c r="FO56" s="49">
        <f t="shared" si="323"/>
        <v>5.6070508955123276E-13</v>
      </c>
    </row>
    <row r="57" spans="1:171" x14ac:dyDescent="0.25">
      <c r="A57" s="83" t="s">
        <v>1092</v>
      </c>
      <c r="B57" s="42">
        <v>2.0999995799999999E-4</v>
      </c>
      <c r="C57" s="249"/>
      <c r="D57" s="60">
        <f t="shared" ref="D57:O57" si="352">IFERROR(D29/$B57,0)</f>
        <v>0</v>
      </c>
      <c r="E57" s="60">
        <f t="shared" si="352"/>
        <v>0</v>
      </c>
      <c r="F57" s="60">
        <f t="shared" si="352"/>
        <v>0</v>
      </c>
      <c r="G57" s="60">
        <f t="shared" si="352"/>
        <v>0</v>
      </c>
      <c r="H57" s="60">
        <f t="shared" si="352"/>
        <v>0</v>
      </c>
      <c r="I57" s="60">
        <f t="shared" si="352"/>
        <v>0</v>
      </c>
      <c r="J57" s="60">
        <f t="shared" si="352"/>
        <v>0</v>
      </c>
      <c r="K57" s="60">
        <f t="shared" ref="K57" si="353">IFERROR(K29/$B57,0)</f>
        <v>0</v>
      </c>
      <c r="L57" s="60">
        <f t="shared" si="352"/>
        <v>0</v>
      </c>
      <c r="M57" s="60">
        <f t="shared" si="352"/>
        <v>0</v>
      </c>
      <c r="N57" s="60">
        <f t="shared" si="352"/>
        <v>0</v>
      </c>
      <c r="O57" s="60">
        <f t="shared" si="352"/>
        <v>0</v>
      </c>
      <c r="P57" s="71">
        <f>s_dir!BC57</f>
        <v>0</v>
      </c>
      <c r="Q57" s="71">
        <f>IFERROR(s_RadSpec!$H$29*Q29,".")*$B$57</f>
        <v>0</v>
      </c>
      <c r="R57" s="71">
        <f>IFERROR(s_RadSpec!$H$29*R29,".")*$B$57</f>
        <v>0</v>
      </c>
      <c r="S57" s="71">
        <f>IFERROR(s_RadSpec!$H$29*S29,".")*$B$57</f>
        <v>0</v>
      </c>
      <c r="T57" s="71">
        <f>IFERROR(s_RadSpec!$H$29*T29,".")*$B$57</f>
        <v>0</v>
      </c>
      <c r="U57" s="71">
        <f>IFERROR(s_RadSpec!$H$29*U29,".")*$B$57</f>
        <v>0</v>
      </c>
      <c r="V57" s="71">
        <f>IFERROR(s_RadSpec!$H$29*V29,".")*$B$57</f>
        <v>0</v>
      </c>
      <c r="W57" s="71">
        <f>IFERROR(s_RadSpec!$H$29*W29,".")*$B$57</f>
        <v>0</v>
      </c>
      <c r="X57" s="71">
        <f>IFERROR(s_RadSpec!$H$29*X29,".")*$B$57</f>
        <v>0</v>
      </c>
      <c r="Y57" s="71">
        <f>IFERROR(s_RadSpec!$H$29*Y29,".")*$B$57</f>
        <v>0</v>
      </c>
      <c r="Z57" s="71">
        <f>IFERROR(s_RadSpec!$H$29*Z29,".")*$B$57</f>
        <v>0</v>
      </c>
      <c r="AA57" s="71">
        <f>IFERROR(s_RadSpec!$H$29*AA29,".")*$B$57</f>
        <v>0</v>
      </c>
      <c r="AB57" s="49">
        <f t="shared" si="279"/>
        <v>0</v>
      </c>
      <c r="AC57" s="49">
        <f t="shared" si="280"/>
        <v>0</v>
      </c>
      <c r="AD57" s="49">
        <f t="shared" si="281"/>
        <v>0</v>
      </c>
      <c r="AE57" s="49">
        <f t="shared" si="282"/>
        <v>0</v>
      </c>
      <c r="AF57" s="49">
        <f t="shared" si="283"/>
        <v>0</v>
      </c>
      <c r="AG57" s="49">
        <f t="shared" si="284"/>
        <v>0</v>
      </c>
      <c r="AH57" s="49">
        <f t="shared" si="285"/>
        <v>0</v>
      </c>
      <c r="AI57" s="49">
        <f t="shared" si="285"/>
        <v>0</v>
      </c>
      <c r="AJ57" s="49">
        <f t="shared" si="286"/>
        <v>0</v>
      </c>
      <c r="AK57" s="49">
        <f t="shared" si="287"/>
        <v>0</v>
      </c>
      <c r="AL57" s="49">
        <f t="shared" si="288"/>
        <v>0</v>
      </c>
      <c r="AM57" s="49">
        <f t="shared" si="289"/>
        <v>0</v>
      </c>
      <c r="AN57" s="60">
        <f t="shared" ref="AN57:BB57" si="354">IFERROR(AN29/$B57,0)</f>
        <v>0</v>
      </c>
      <c r="AO57" s="60">
        <f t="shared" si="354"/>
        <v>0</v>
      </c>
      <c r="AP57" s="60">
        <f t="shared" si="354"/>
        <v>20898.239940410949</v>
      </c>
      <c r="AQ57" s="60">
        <f t="shared" si="354"/>
        <v>0</v>
      </c>
      <c r="AR57" s="60">
        <f>IFERROR(AR29/$B57,0)</f>
        <v>0</v>
      </c>
      <c r="AS57" s="60">
        <f>IFERROR(AS29/$B57,0)</f>
        <v>0</v>
      </c>
      <c r="AT57" s="60">
        <f>IFERROR(AT29/$B57,0)</f>
        <v>0</v>
      </c>
      <c r="AU57" s="60">
        <f>IFERROR(AU29/$B57,0)</f>
        <v>0</v>
      </c>
      <c r="AV57" s="60">
        <f>IFERROR(AV29/$B57,0)</f>
        <v>0</v>
      </c>
      <c r="AW57" s="60">
        <f t="shared" si="354"/>
        <v>0</v>
      </c>
      <c r="AX57" s="60">
        <f t="shared" si="354"/>
        <v>0</v>
      </c>
      <c r="AY57" s="60">
        <f t="shared" si="354"/>
        <v>0</v>
      </c>
      <c r="AZ57" s="60">
        <f>IFERROR(AZ29/$B57,0)</f>
        <v>0</v>
      </c>
      <c r="BA57" s="60">
        <f t="shared" si="354"/>
        <v>0</v>
      </c>
      <c r="BB57" s="60">
        <f t="shared" si="354"/>
        <v>0</v>
      </c>
      <c r="BC57" s="118" t="str">
        <f t="shared" si="63"/>
        <v>.</v>
      </c>
      <c r="BD57" s="118" t="str">
        <f t="shared" si="64"/>
        <v>.</v>
      </c>
      <c r="BE57" s="118">
        <f t="shared" si="65"/>
        <v>4.7850919639710851E-5</v>
      </c>
      <c r="BF57" s="118" t="str">
        <f t="shared" si="66"/>
        <v>.</v>
      </c>
      <c r="BG57" s="118" t="str">
        <f t="shared" si="67"/>
        <v>.</v>
      </c>
      <c r="BH57" s="118" t="str">
        <f t="shared" si="68"/>
        <v>.</v>
      </c>
      <c r="BI57" s="118" t="str">
        <f t="shared" si="69"/>
        <v>.</v>
      </c>
      <c r="BJ57" s="118" t="str">
        <f t="shared" si="70"/>
        <v>.</v>
      </c>
      <c r="BK57" s="118" t="str">
        <f t="shared" si="71"/>
        <v>.</v>
      </c>
      <c r="BL57" s="118" t="str">
        <f t="shared" si="72"/>
        <v>.</v>
      </c>
      <c r="BM57" s="118" t="str">
        <f t="shared" si="73"/>
        <v>.</v>
      </c>
      <c r="BN57" s="118" t="str">
        <f t="shared" si="74"/>
        <v>.</v>
      </c>
      <c r="BO57" s="118" t="str">
        <f t="shared" si="75"/>
        <v>.</v>
      </c>
      <c r="BP57" s="118" t="str">
        <f t="shared" si="76"/>
        <v>.</v>
      </c>
      <c r="BQ57" s="118" t="str">
        <f t="shared" si="77"/>
        <v>.</v>
      </c>
      <c r="BR57" s="60">
        <f t="shared" si="46"/>
        <v>20898.239940410949</v>
      </c>
      <c r="BS57" s="71">
        <f>IFERROR(s_RadSpec!$E$29*BS29,".")*$B$57</f>
        <v>0</v>
      </c>
      <c r="BT57" s="71">
        <f>IFERROR(s_RadSpec!$F$29*BT29,".")*$B$57</f>
        <v>0</v>
      </c>
      <c r="BU57" s="71">
        <f>IFERROR(s_RadSpec!$G$29*BU29,".")*$B$57</f>
        <v>2.3925459819855431E-9</v>
      </c>
      <c r="BV57" s="71">
        <f>s_b2s!CC57</f>
        <v>0</v>
      </c>
      <c r="BW57" s="71">
        <f>IFERROR(s_RadSpec!$H$29*BW29,".")*$B$57</f>
        <v>0</v>
      </c>
      <c r="BX57" s="71">
        <f>IFERROR(s_RadSpec!$H$29*BX29,".")*$B$57</f>
        <v>0</v>
      </c>
      <c r="BY57" s="71">
        <f>IFERROR(s_RadSpec!$H$29*BY29,".")*$B$57</f>
        <v>0</v>
      </c>
      <c r="BZ57" s="71">
        <f>IFERROR(s_RadSpec!$H$29*BZ29,".")*$B$57</f>
        <v>0</v>
      </c>
      <c r="CA57" s="71">
        <f>IFERROR(s_RadSpec!$H$29*CA29,".")*$B$57</f>
        <v>0</v>
      </c>
      <c r="CB57" s="71">
        <f>IFERROR(s_RadSpec!$H$29*CB29,".")*$B$57</f>
        <v>0</v>
      </c>
      <c r="CC57" s="71">
        <f>IFERROR(s_RadSpec!$H$29*CC29,".")*$B$57</f>
        <v>0</v>
      </c>
      <c r="CD57" s="71">
        <f>IFERROR(s_RadSpec!$H$29*CD29,".")*$B$57</f>
        <v>0</v>
      </c>
      <c r="CE57" s="71">
        <f>IFERROR(s_RadSpec!$H$29*CE29,".")*$B$57</f>
        <v>0</v>
      </c>
      <c r="CF57" s="71">
        <f>IFERROR(s_RadSpec!$H$29*CF29,".")*$B$57</f>
        <v>0</v>
      </c>
      <c r="CG57" s="71">
        <f>IFERROR(s_RadSpec!$H$29*CG29,".")*$B$57</f>
        <v>0</v>
      </c>
      <c r="CH57" s="49">
        <f t="shared" si="291"/>
        <v>0</v>
      </c>
      <c r="CI57" s="49">
        <f t="shared" si="292"/>
        <v>0</v>
      </c>
      <c r="CJ57" s="49">
        <f t="shared" si="293"/>
        <v>2.3925459819855431E-9</v>
      </c>
      <c r="CK57" s="49">
        <f t="shared" si="294"/>
        <v>0</v>
      </c>
      <c r="CL57" s="49">
        <f t="shared" si="295"/>
        <v>0</v>
      </c>
      <c r="CM57" s="49">
        <f t="shared" si="295"/>
        <v>0</v>
      </c>
      <c r="CN57" s="49">
        <f t="shared" si="296"/>
        <v>0</v>
      </c>
      <c r="CO57" s="49">
        <f t="shared" si="297"/>
        <v>0</v>
      </c>
      <c r="CP57" s="49">
        <f t="shared" si="298"/>
        <v>0</v>
      </c>
      <c r="CQ57" s="49">
        <f t="shared" si="299"/>
        <v>0</v>
      </c>
      <c r="CR57" s="49">
        <f t="shared" si="300"/>
        <v>0</v>
      </c>
      <c r="CS57" s="49">
        <f t="shared" si="301"/>
        <v>0</v>
      </c>
      <c r="CT57" s="49">
        <f t="shared" si="302"/>
        <v>0</v>
      </c>
      <c r="CU57" s="49">
        <f t="shared" si="303"/>
        <v>0</v>
      </c>
      <c r="CV57" s="49">
        <f t="shared" si="304"/>
        <v>0</v>
      </c>
      <c r="CW57" s="49">
        <f t="shared" si="305"/>
        <v>2.3925459819855431E-9</v>
      </c>
      <c r="CX57" s="60">
        <f t="shared" ref="CX57:DL57" si="355">IFERROR(CX29/$B57,0)</f>
        <v>0</v>
      </c>
      <c r="CY57" s="60" t="str">
        <f>IFERROR(CY29,".")</f>
        <v>.</v>
      </c>
      <c r="CZ57" s="60">
        <f t="shared" si="355"/>
        <v>3530194993.0109549</v>
      </c>
      <c r="DA57" s="60">
        <f t="shared" si="355"/>
        <v>0</v>
      </c>
      <c r="DB57" s="60">
        <f>IFERROR(DB29/$B57,0)</f>
        <v>0</v>
      </c>
      <c r="DC57" s="60">
        <f>IFERROR(DC29/$B57,0)</f>
        <v>0</v>
      </c>
      <c r="DD57" s="60">
        <f>IFERROR(DD29/$B57,0)</f>
        <v>0</v>
      </c>
      <c r="DE57" s="60">
        <f>IFERROR(DE29/$B57,0)</f>
        <v>0</v>
      </c>
      <c r="DF57" s="60">
        <f>IFERROR(DF29/$B57,0)</f>
        <v>0</v>
      </c>
      <c r="DG57" s="60">
        <f t="shared" si="355"/>
        <v>0</v>
      </c>
      <c r="DH57" s="60">
        <f t="shared" si="355"/>
        <v>0</v>
      </c>
      <c r="DI57" s="60">
        <f t="shared" si="355"/>
        <v>0</v>
      </c>
      <c r="DJ57" s="60">
        <f>IFERROR(DJ29/$B57,0)</f>
        <v>0</v>
      </c>
      <c r="DK57" s="60">
        <f t="shared" si="355"/>
        <v>0</v>
      </c>
      <c r="DL57" s="60">
        <f t="shared" si="355"/>
        <v>0</v>
      </c>
      <c r="DM57" s="118" t="str">
        <f t="shared" si="80"/>
        <v>.</v>
      </c>
      <c r="DN57" s="118" t="str">
        <f t="shared" si="81"/>
        <v>.</v>
      </c>
      <c r="DO57" s="118">
        <f t="shared" si="82"/>
        <v>2.8327047145548335E-10</v>
      </c>
      <c r="DP57" s="118" t="str">
        <f t="shared" si="83"/>
        <v>.</v>
      </c>
      <c r="DQ57" s="118" t="str">
        <f t="shared" si="84"/>
        <v>.</v>
      </c>
      <c r="DR57" s="118" t="str">
        <f t="shared" si="85"/>
        <v>.</v>
      </c>
      <c r="DS57" s="118" t="str">
        <f t="shared" si="86"/>
        <v>.</v>
      </c>
      <c r="DT57" s="118" t="str">
        <f t="shared" si="87"/>
        <v>.</v>
      </c>
      <c r="DU57" s="118" t="str">
        <f t="shared" si="88"/>
        <v>.</v>
      </c>
      <c r="DV57" s="118" t="str">
        <f t="shared" si="89"/>
        <v>.</v>
      </c>
      <c r="DW57" s="118" t="str">
        <f t="shared" si="90"/>
        <v>.</v>
      </c>
      <c r="DX57" s="118" t="str">
        <f t="shared" si="91"/>
        <v>.</v>
      </c>
      <c r="DY57" s="118" t="str">
        <f t="shared" si="92"/>
        <v>.</v>
      </c>
      <c r="DZ57" s="118" t="str">
        <f t="shared" si="93"/>
        <v>.</v>
      </c>
      <c r="EA57" s="118" t="str">
        <f t="shared" si="94"/>
        <v>.</v>
      </c>
      <c r="EB57" s="60">
        <f t="shared" si="47"/>
        <v>3530194993.0109553</v>
      </c>
      <c r="EC57" s="71">
        <f>IFERROR(s_RadSpec!$I$29*EC29,".")*$B$57</f>
        <v>0</v>
      </c>
      <c r="ED57" s="71">
        <f>IFERROR(s_RadSpec!$F$29*ED29,".")</f>
        <v>0</v>
      </c>
      <c r="EE57" s="71">
        <f>IFERROR(s_RadSpec!$M$29*EE29,".")*$B$57</f>
        <v>1.4163523572774169E-14</v>
      </c>
      <c r="EF57" s="71">
        <f>s_b2w!CC57</f>
        <v>0</v>
      </c>
      <c r="EG57" s="71">
        <f>IFERROR(s_RadSpec!$H$29*EG29,".")*$B$57</f>
        <v>0</v>
      </c>
      <c r="EH57" s="71">
        <f>IFERROR(s_RadSpec!$H$29*EH29,".")*$B$57</f>
        <v>0</v>
      </c>
      <c r="EI57" s="71">
        <f>IFERROR(s_RadSpec!$H$29*EI29,".")*$B$57</f>
        <v>0</v>
      </c>
      <c r="EJ57" s="71">
        <f>IFERROR(s_RadSpec!$H$29*EJ29,".")*$B$57</f>
        <v>0</v>
      </c>
      <c r="EK57" s="71">
        <f>IFERROR(s_RadSpec!$H$29*EK29,".")*$B$57</f>
        <v>0</v>
      </c>
      <c r="EL57" s="71">
        <f>IFERROR(s_RadSpec!$H$29*EL29,".")*$B$57</f>
        <v>0</v>
      </c>
      <c r="EM57" s="71">
        <f>IFERROR(s_RadSpec!$H$29*EM29,".")*$B$57</f>
        <v>0</v>
      </c>
      <c r="EN57" s="71">
        <f>IFERROR(s_RadSpec!$H$29*EN29,".")*$B$57</f>
        <v>0</v>
      </c>
      <c r="EO57" s="71">
        <f>IFERROR(s_RadSpec!$H$29*EO29,".")*$B$57</f>
        <v>0</v>
      </c>
      <c r="EP57" s="71">
        <f>IFERROR(s_RadSpec!$H$29*EP29,".")*$B$57</f>
        <v>0</v>
      </c>
      <c r="EQ57" s="71">
        <f>IFERROR(s_RadSpec!$H$29*EQ29,".")*$B$57</f>
        <v>0</v>
      </c>
      <c r="ER57" s="49">
        <f t="shared" si="307"/>
        <v>0</v>
      </c>
      <c r="ES57" s="49">
        <f t="shared" si="308"/>
        <v>0</v>
      </c>
      <c r="ET57" s="49">
        <f t="shared" si="309"/>
        <v>1.4163523572774169E-14</v>
      </c>
      <c r="EU57" s="49">
        <f t="shared" si="310"/>
        <v>0</v>
      </c>
      <c r="EV57" s="49">
        <f t="shared" si="311"/>
        <v>0</v>
      </c>
      <c r="EW57" s="49">
        <f t="shared" si="311"/>
        <v>0</v>
      </c>
      <c r="EX57" s="49">
        <f t="shared" si="312"/>
        <v>0</v>
      </c>
      <c r="EY57" s="49">
        <f t="shared" si="313"/>
        <v>0</v>
      </c>
      <c r="EZ57" s="49">
        <f t="shared" si="314"/>
        <v>0</v>
      </c>
      <c r="FA57" s="49">
        <f t="shared" si="315"/>
        <v>0</v>
      </c>
      <c r="FB57" s="49">
        <f t="shared" si="316"/>
        <v>0</v>
      </c>
      <c r="FC57" s="49">
        <f t="shared" si="317"/>
        <v>0</v>
      </c>
      <c r="FD57" s="49">
        <f t="shared" si="318"/>
        <v>0</v>
      </c>
      <c r="FE57" s="49">
        <f t="shared" si="319"/>
        <v>0</v>
      </c>
      <c r="FF57" s="49">
        <f t="shared" si="320"/>
        <v>0</v>
      </c>
      <c r="FG57" s="49">
        <f t="shared" si="321"/>
        <v>1.4163523572774169E-14</v>
      </c>
      <c r="FH57" s="60">
        <f>IFERROR(FH29/$B57,0)</f>
        <v>0</v>
      </c>
      <c r="FI57" s="60">
        <f>IFERROR(FI29/$B57,0)</f>
        <v>12255771.296490857</v>
      </c>
      <c r="FJ57" s="60">
        <f>IFERROR(FJ29/$B57,0)</f>
        <v>12255771.296490857</v>
      </c>
      <c r="FK57" s="71">
        <f>IFERROR(s_RadSpec!$F$29*FK29,".")*$B$57</f>
        <v>0</v>
      </c>
      <c r="FL57" s="71">
        <f>IFERROR(s_RadSpec!$K$29*FL29,".")*$B$57</f>
        <v>4.0797105943316913E-12</v>
      </c>
      <c r="FM57" s="49">
        <f t="shared" si="322"/>
        <v>0</v>
      </c>
      <c r="FN57" s="49">
        <f t="shared" si="322"/>
        <v>4.0797105943316913E-12</v>
      </c>
      <c r="FO57" s="49">
        <f t="shared" si="323"/>
        <v>4.0797105943316913E-12</v>
      </c>
    </row>
    <row r="58" spans="1:171" x14ac:dyDescent="0.25">
      <c r="A58" s="83" t="s">
        <v>1093</v>
      </c>
      <c r="B58" s="42">
        <v>1</v>
      </c>
      <c r="C58" s="249"/>
      <c r="D58" s="60">
        <f t="shared" ref="D58:O58" si="356">IFERROR(D16/$B58,0)</f>
        <v>7.0240207461476759E-2</v>
      </c>
      <c r="E58" s="60">
        <f t="shared" si="356"/>
        <v>0.28096082984590703</v>
      </c>
      <c r="F58" s="60">
        <f t="shared" si="356"/>
        <v>0.28096082984590703</v>
      </c>
      <c r="G58" s="60">
        <f t="shared" si="356"/>
        <v>0.28096082984590703</v>
      </c>
      <c r="H58" s="60">
        <f t="shared" si="356"/>
        <v>0.28096082984590703</v>
      </c>
      <c r="I58" s="60">
        <f t="shared" si="356"/>
        <v>0.28096082984590703</v>
      </c>
      <c r="J58" s="60">
        <f t="shared" si="356"/>
        <v>0.28096082984590703</v>
      </c>
      <c r="K58" s="60">
        <f t="shared" ref="K58" si="357">IFERROR(K16/$B58,0)</f>
        <v>0.28096082984590703</v>
      </c>
      <c r="L58" s="60">
        <f t="shared" si="356"/>
        <v>0.28096082984590703</v>
      </c>
      <c r="M58" s="60">
        <f t="shared" si="356"/>
        <v>0.28096082984590703</v>
      </c>
      <c r="N58" s="60">
        <f t="shared" si="356"/>
        <v>0.28096082984590703</v>
      </c>
      <c r="O58" s="60">
        <f t="shared" si="356"/>
        <v>0.28096082984590703</v>
      </c>
      <c r="P58" s="71">
        <f>s_dir!BC58</f>
        <v>7.1184299999999998E-4</v>
      </c>
      <c r="Q58" s="71">
        <f>IFERROR(s_RadSpec!$H$16*Q16,".")*$B$58</f>
        <v>1.7796075E-4</v>
      </c>
      <c r="R58" s="71">
        <f>IFERROR(s_RadSpec!$H$16*R16,".")*$B$58</f>
        <v>1.7796075E-4</v>
      </c>
      <c r="S58" s="71">
        <f>IFERROR(s_RadSpec!$H$16*S16,".")*$B$58</f>
        <v>1.7796075E-4</v>
      </c>
      <c r="T58" s="71">
        <f>IFERROR(s_RadSpec!$H$16*T16,".")*$B$58</f>
        <v>1.7796075E-4</v>
      </c>
      <c r="U58" s="71">
        <f>IFERROR(s_RadSpec!$H$16*U16,".")*$B$58</f>
        <v>1.7796075E-4</v>
      </c>
      <c r="V58" s="71">
        <f>IFERROR(s_RadSpec!$H$16*V16,".")*$B$58</f>
        <v>1.7796075E-4</v>
      </c>
      <c r="W58" s="71">
        <f>IFERROR(s_RadSpec!$H$16*W16,".")*$B$58</f>
        <v>1.7796075E-4</v>
      </c>
      <c r="X58" s="71">
        <f>IFERROR(s_RadSpec!$H$16*X16,".")*$B$58</f>
        <v>1.7796075E-4</v>
      </c>
      <c r="Y58" s="71">
        <f>IFERROR(s_RadSpec!$H$16*Y16,".")*$B$58</f>
        <v>1.7796075E-4</v>
      </c>
      <c r="Z58" s="71">
        <f>IFERROR(s_RadSpec!$H$16*Z16,".")*$B$58</f>
        <v>1.7796075E-4</v>
      </c>
      <c r="AA58" s="71">
        <f>IFERROR(s_RadSpec!$H$16*AA16,".")*$B$58</f>
        <v>1.7796075E-4</v>
      </c>
      <c r="AB58" s="49">
        <f t="shared" si="279"/>
        <v>7.1184299999999998E-4</v>
      </c>
      <c r="AC58" s="49">
        <f t="shared" si="280"/>
        <v>1.7796075E-4</v>
      </c>
      <c r="AD58" s="49">
        <f t="shared" si="281"/>
        <v>1.7796075E-4</v>
      </c>
      <c r="AE58" s="49">
        <f t="shared" si="282"/>
        <v>1.7796075E-4</v>
      </c>
      <c r="AF58" s="49">
        <f t="shared" si="283"/>
        <v>1.7796075E-4</v>
      </c>
      <c r="AG58" s="49">
        <f t="shared" si="284"/>
        <v>1.7796075E-4</v>
      </c>
      <c r="AH58" s="49">
        <f t="shared" si="285"/>
        <v>1.7796075E-4</v>
      </c>
      <c r="AI58" s="49">
        <f t="shared" si="285"/>
        <v>1.7796075E-4</v>
      </c>
      <c r="AJ58" s="49">
        <f t="shared" si="286"/>
        <v>1.7796075E-4</v>
      </c>
      <c r="AK58" s="49">
        <f t="shared" si="287"/>
        <v>1.7796075E-4</v>
      </c>
      <c r="AL58" s="49">
        <f t="shared" si="288"/>
        <v>1.7796075E-4</v>
      </c>
      <c r="AM58" s="49">
        <f t="shared" si="289"/>
        <v>1.7796075E-4</v>
      </c>
      <c r="AN58" s="60">
        <f t="shared" ref="AN58:BB58" si="358">IFERROR(AN16/$B58,0)</f>
        <v>96.277525744610386</v>
      </c>
      <c r="AO58" s="60">
        <f t="shared" si="358"/>
        <v>97334.838568458756</v>
      </c>
      <c r="AP58" s="60">
        <f t="shared" si="358"/>
        <v>1074682665.3927948</v>
      </c>
      <c r="AQ58" s="60">
        <f t="shared" si="358"/>
        <v>3.1117602153716586</v>
      </c>
      <c r="AR58" s="60">
        <f>IFERROR(AR16/$B58,0)</f>
        <v>1.6857649790754423</v>
      </c>
      <c r="AS58" s="60">
        <f>IFERROR(AS16/$B58,0)</f>
        <v>1.915642021676639</v>
      </c>
      <c r="AT58" s="60">
        <f>IFERROR(AT16/$B58,0)</f>
        <v>4.5057312804781375</v>
      </c>
      <c r="AU58" s="60">
        <f>IFERROR(AU16/$B58,0)</f>
        <v>17.098064490656512</v>
      </c>
      <c r="AV58" s="60">
        <f>IFERROR(AV16/$B58,0)</f>
        <v>0</v>
      </c>
      <c r="AW58" s="60">
        <f t="shared" si="358"/>
        <v>0</v>
      </c>
      <c r="AX58" s="60">
        <f t="shared" si="358"/>
        <v>0</v>
      </c>
      <c r="AY58" s="60">
        <f t="shared" si="358"/>
        <v>0</v>
      </c>
      <c r="AZ58" s="60">
        <f>IFERROR(AZ16/$B58,0)</f>
        <v>0.54143870887078949</v>
      </c>
      <c r="BA58" s="60">
        <f t="shared" si="358"/>
        <v>0.44422702765277411</v>
      </c>
      <c r="BB58" s="60">
        <f t="shared" si="358"/>
        <v>9.2818064377849632E-2</v>
      </c>
      <c r="BC58" s="118">
        <f t="shared" si="63"/>
        <v>1.0386639999999999E-2</v>
      </c>
      <c r="BD58" s="118">
        <f t="shared" si="64"/>
        <v>1.0273813720836116E-5</v>
      </c>
      <c r="BE58" s="118">
        <f t="shared" si="65"/>
        <v>9.3050723920861008E-10</v>
      </c>
      <c r="BF58" s="118">
        <f t="shared" si="66"/>
        <v>0.32136152234999998</v>
      </c>
      <c r="BG58" s="118">
        <f t="shared" si="67"/>
        <v>0.59320249999999997</v>
      </c>
      <c r="BH58" s="118">
        <f t="shared" si="68"/>
        <v>0.52201819999999999</v>
      </c>
      <c r="BI58" s="118">
        <f t="shared" si="69"/>
        <v>0.2219395560344829</v>
      </c>
      <c r="BJ58" s="118">
        <f t="shared" si="70"/>
        <v>5.8486152075661234E-2</v>
      </c>
      <c r="BK58" s="118" t="str">
        <f t="shared" si="71"/>
        <v>.</v>
      </c>
      <c r="BL58" s="118" t="str">
        <f t="shared" si="72"/>
        <v>.</v>
      </c>
      <c r="BM58" s="118" t="str">
        <f t="shared" si="73"/>
        <v>.</v>
      </c>
      <c r="BN58" s="118" t="str">
        <f t="shared" si="74"/>
        <v>.</v>
      </c>
      <c r="BO58" s="118">
        <f t="shared" si="75"/>
        <v>1.846931118178776</v>
      </c>
      <c r="BP58" s="118">
        <f t="shared" si="76"/>
        <v>2.251101211206898</v>
      </c>
      <c r="BQ58" s="118">
        <f t="shared" si="77"/>
        <v>10.77376485604286</v>
      </c>
      <c r="BR58" s="60">
        <f t="shared" si="46"/>
        <v>6.0243859804498763E-2</v>
      </c>
      <c r="BS58" s="71">
        <f>IFERROR(s_RadSpec!$E$16*BS16,".")*$B$58</f>
        <v>5.1933199999999998E-7</v>
      </c>
      <c r="BT58" s="71">
        <f>IFERROR(s_RadSpec!$F$16*BT16,".")*$B$58</f>
        <v>5.1369068604180582E-10</v>
      </c>
      <c r="BU58" s="71">
        <f>IFERROR(s_RadSpec!$G$16*BU16,".")*$B$58</f>
        <v>4.6525361960430504E-14</v>
      </c>
      <c r="BV58" s="71">
        <f>s_b2s!CC58</f>
        <v>1.6068076117500001E-5</v>
      </c>
      <c r="BW58" s="71">
        <f>IFERROR(s_RadSpec!$H$16*BW16,".")*$B$58</f>
        <v>2.9660125000000003E-5</v>
      </c>
      <c r="BX58" s="71">
        <f>IFERROR(s_RadSpec!$H$16*BX16,".")*$B$58</f>
        <v>2.610091E-5</v>
      </c>
      <c r="BY58" s="71">
        <f>IFERROR(s_RadSpec!$H$16*BY16,".")*$B$58</f>
        <v>1.1096977801724146E-5</v>
      </c>
      <c r="BZ58" s="71">
        <f>IFERROR(s_RadSpec!$H$16*BZ16,".")*$B$58</f>
        <v>2.9243076037830619E-6</v>
      </c>
      <c r="CA58" s="71">
        <f>IFERROR(s_RadSpec!$H$16*CA16,".")*$B$58</f>
        <v>0</v>
      </c>
      <c r="CB58" s="71">
        <f>IFERROR(s_RadSpec!$H$16*CB16,".")*$B$58</f>
        <v>0</v>
      </c>
      <c r="CC58" s="71">
        <f>IFERROR(s_RadSpec!$H$16*CC16,".")*$B$58</f>
        <v>0</v>
      </c>
      <c r="CD58" s="71">
        <f>IFERROR(s_RadSpec!$H$16*CD16,".")*$B$58</f>
        <v>0</v>
      </c>
      <c r="CE58" s="71">
        <f>IFERROR(s_RadSpec!$H$16*CE16,".")*$B$58</f>
        <v>9.2346555908938795E-5</v>
      </c>
      <c r="CF58" s="71">
        <f>IFERROR(s_RadSpec!$H$16*CF16,".")*$B$58</f>
        <v>1.1255506056034492E-4</v>
      </c>
      <c r="CG58" s="71">
        <f>IFERROR(s_RadSpec!$H$16*CG16,".")*$B$58</f>
        <v>5.3868824280214314E-4</v>
      </c>
      <c r="CH58" s="49">
        <f t="shared" si="291"/>
        <v>5.1933199999999998E-7</v>
      </c>
      <c r="CI58" s="49">
        <f t="shared" si="292"/>
        <v>5.1369068604180582E-10</v>
      </c>
      <c r="CJ58" s="49">
        <f t="shared" si="293"/>
        <v>4.6525361960430504E-14</v>
      </c>
      <c r="CK58" s="49">
        <f t="shared" si="294"/>
        <v>1.6068076117500001E-5</v>
      </c>
      <c r="CL58" s="49">
        <f t="shared" si="295"/>
        <v>2.9660125000000003E-5</v>
      </c>
      <c r="CM58" s="49">
        <f t="shared" si="295"/>
        <v>2.610091E-5</v>
      </c>
      <c r="CN58" s="49">
        <f t="shared" si="296"/>
        <v>1.1096977801724146E-5</v>
      </c>
      <c r="CO58" s="49">
        <f t="shared" si="297"/>
        <v>2.9243076037830619E-6</v>
      </c>
      <c r="CP58" s="49">
        <f t="shared" si="298"/>
        <v>0</v>
      </c>
      <c r="CQ58" s="49">
        <f t="shared" si="299"/>
        <v>0</v>
      </c>
      <c r="CR58" s="49">
        <f t="shared" si="300"/>
        <v>0</v>
      </c>
      <c r="CS58" s="49">
        <f t="shared" si="301"/>
        <v>0</v>
      </c>
      <c r="CT58" s="49">
        <f t="shared" si="302"/>
        <v>9.2346555908938795E-5</v>
      </c>
      <c r="CU58" s="49">
        <f t="shared" si="303"/>
        <v>1.1255506056034492E-4</v>
      </c>
      <c r="CV58" s="49">
        <f t="shared" si="304"/>
        <v>5.3868824280214314E-4</v>
      </c>
      <c r="CW58" s="49">
        <f t="shared" si="305"/>
        <v>8.2996010153164543E-4</v>
      </c>
      <c r="CX58" s="60">
        <f t="shared" ref="CX58:DL58" si="359">IFERROR(CX16/$B58,0)</f>
        <v>2.0560690016756964</v>
      </c>
      <c r="CY58" s="60" t="str">
        <f>IFERROR(CY16,".")</f>
        <v>.</v>
      </c>
      <c r="CZ58" s="60">
        <f t="shared" si="359"/>
        <v>2191624473.7885022</v>
      </c>
      <c r="DA58" s="60">
        <f t="shared" si="359"/>
        <v>5.2031632166965034</v>
      </c>
      <c r="DB58" s="60">
        <f>IFERROR(DB16/$B58,0)</f>
        <v>11.238433193836281</v>
      </c>
      <c r="DC58" s="60">
        <f>IFERROR(DC16/$B58,0)</f>
        <v>12.770946811177593</v>
      </c>
      <c r="DD58" s="60">
        <f>IFERROR(DD16/$B58,0)</f>
        <v>80274.522813116302</v>
      </c>
      <c r="DE58" s="60">
        <f>IFERROR(DE16/$B58,0)</f>
        <v>304620.68920135178</v>
      </c>
      <c r="DF58" s="60">
        <f>IFERROR(DF16/$B58,0)</f>
        <v>0</v>
      </c>
      <c r="DG58" s="60">
        <f t="shared" si="359"/>
        <v>0</v>
      </c>
      <c r="DH58" s="60">
        <f t="shared" si="359"/>
        <v>0</v>
      </c>
      <c r="DI58" s="60">
        <f t="shared" si="359"/>
        <v>0</v>
      </c>
      <c r="DJ58" s="60">
        <f>IFERROR(DJ16/$B58,0)</f>
        <v>9646.3218247094755</v>
      </c>
      <c r="DK58" s="60">
        <f t="shared" si="359"/>
        <v>7914.389573124141</v>
      </c>
      <c r="DL58" s="60">
        <f t="shared" si="359"/>
        <v>1653.6551699501954</v>
      </c>
      <c r="DM58" s="118">
        <f t="shared" si="80"/>
        <v>0.48636499999999994</v>
      </c>
      <c r="DN58" s="118" t="str">
        <f t="shared" si="81"/>
        <v>.</v>
      </c>
      <c r="DO58" s="118">
        <f t="shared" si="82"/>
        <v>4.5628254838356158E-10</v>
      </c>
      <c r="DP58" s="118">
        <f t="shared" si="83"/>
        <v>0.19219078056038796</v>
      </c>
      <c r="DQ58" s="118">
        <f t="shared" si="84"/>
        <v>8.8980375E-2</v>
      </c>
      <c r="DR58" s="118">
        <f t="shared" si="85"/>
        <v>7.8302730000000001E-2</v>
      </c>
      <c r="DS58" s="118">
        <f t="shared" si="86"/>
        <v>1.2457252499999999E-5</v>
      </c>
      <c r="DT58" s="118">
        <f t="shared" si="87"/>
        <v>3.2827711165048549E-6</v>
      </c>
      <c r="DU58" s="118" t="str">
        <f t="shared" si="88"/>
        <v>.</v>
      </c>
      <c r="DV58" s="118" t="str">
        <f t="shared" si="89"/>
        <v>.</v>
      </c>
      <c r="DW58" s="118" t="str">
        <f t="shared" si="90"/>
        <v>.</v>
      </c>
      <c r="DX58" s="118" t="str">
        <f t="shared" si="91"/>
        <v>.</v>
      </c>
      <c r="DY58" s="118">
        <f t="shared" si="92"/>
        <v>1.036664563106796E-4</v>
      </c>
      <c r="DZ58" s="118">
        <f t="shared" si="93"/>
        <v>1.2635213250000003E-4</v>
      </c>
      <c r="EA58" s="118">
        <f t="shared" si="94"/>
        <v>6.0472099514563115E-4</v>
      </c>
      <c r="EB58" s="60">
        <f t="shared" si="47"/>
        <v>1.1810706979444872</v>
      </c>
      <c r="EC58" s="71">
        <f>IFERROR(s_RadSpec!$I$16*EC16,".")*$B$58</f>
        <v>2.431825E-5</v>
      </c>
      <c r="ED58" s="71">
        <f>IFERROR(s_RadSpec!$F$16*ED16,".")</f>
        <v>0</v>
      </c>
      <c r="EE58" s="71">
        <f>IFERROR(s_RadSpec!$M$16*EE16,".")*$B$58</f>
        <v>2.2814127419178081E-14</v>
      </c>
      <c r="EF58" s="71">
        <f>s_b2w!CC58</f>
        <v>9.609539028019396E-6</v>
      </c>
      <c r="EG58" s="71">
        <f>IFERROR(s_RadSpec!$H$16*EG16,".")*$B$58</f>
        <v>4.4490187500000006E-6</v>
      </c>
      <c r="EH58" s="71">
        <f>IFERROR(s_RadSpec!$H$16*EH16,".")*$B$58</f>
        <v>3.9151364999999998E-6</v>
      </c>
      <c r="EI58" s="71">
        <f>IFERROR(s_RadSpec!$H$16*EI16,".")*$B$58</f>
        <v>6.2286262500000007E-10</v>
      </c>
      <c r="EJ58" s="71">
        <f>IFERROR(s_RadSpec!$H$16*EJ16,".")*$B$58</f>
        <v>1.6413855582524275E-10</v>
      </c>
      <c r="EK58" s="71">
        <f>IFERROR(s_RadSpec!$H$16*EK16,".")*$B$58</f>
        <v>0</v>
      </c>
      <c r="EL58" s="71">
        <f>IFERROR(s_RadSpec!$H$16*EL16,".")*$B$58</f>
        <v>0</v>
      </c>
      <c r="EM58" s="71">
        <f>IFERROR(s_RadSpec!$H$16*EM16,".")*$B$58</f>
        <v>0</v>
      </c>
      <c r="EN58" s="71">
        <f>IFERROR(s_RadSpec!$H$16*EN16,".")*$B$58</f>
        <v>0</v>
      </c>
      <c r="EO58" s="71">
        <f>IFERROR(s_RadSpec!$H$16*EO16,".")*$B$58</f>
        <v>5.1833228155339816E-9</v>
      </c>
      <c r="EP58" s="71">
        <f>IFERROR(s_RadSpec!$H$16*EP16,".")*$B$58</f>
        <v>6.3176066249999998E-9</v>
      </c>
      <c r="EQ58" s="71">
        <f>IFERROR(s_RadSpec!$H$16*EQ16,".")*$B$58</f>
        <v>3.023604975728156E-8</v>
      </c>
      <c r="ER58" s="49">
        <f t="shared" si="307"/>
        <v>2.431825E-5</v>
      </c>
      <c r="ES58" s="49">
        <f t="shared" si="308"/>
        <v>0</v>
      </c>
      <c r="ET58" s="49">
        <f t="shared" si="309"/>
        <v>2.2814127419178081E-14</v>
      </c>
      <c r="EU58" s="49">
        <f t="shared" si="310"/>
        <v>9.609539028019396E-6</v>
      </c>
      <c r="EV58" s="49">
        <f t="shared" si="311"/>
        <v>4.4490187500000006E-6</v>
      </c>
      <c r="EW58" s="49">
        <f t="shared" si="311"/>
        <v>3.9151364999999998E-6</v>
      </c>
      <c r="EX58" s="49">
        <f t="shared" si="312"/>
        <v>6.2286262500000007E-10</v>
      </c>
      <c r="EY58" s="49">
        <f t="shared" si="313"/>
        <v>1.6413855582524275E-10</v>
      </c>
      <c r="EZ58" s="49">
        <f t="shared" si="314"/>
        <v>0</v>
      </c>
      <c r="FA58" s="49">
        <f t="shared" si="315"/>
        <v>0</v>
      </c>
      <c r="FB58" s="49">
        <f t="shared" si="316"/>
        <v>0</v>
      </c>
      <c r="FC58" s="49">
        <f t="shared" si="317"/>
        <v>0</v>
      </c>
      <c r="FD58" s="49">
        <f t="shared" si="318"/>
        <v>5.1833228155339816E-9</v>
      </c>
      <c r="FE58" s="49">
        <f t="shared" si="319"/>
        <v>6.3176066249999998E-9</v>
      </c>
      <c r="FF58" s="49">
        <f t="shared" si="320"/>
        <v>3.023604975728156E-8</v>
      </c>
      <c r="FG58" s="49">
        <f t="shared" si="321"/>
        <v>4.2334468281212165E-5</v>
      </c>
      <c r="FH58" s="60">
        <f>IFERROR(FH16/$B58,0)</f>
        <v>0.31418213236395059</v>
      </c>
      <c r="FI58" s="60">
        <f>IFERROR(FI16/$B58,0)</f>
        <v>8095353.5459107636</v>
      </c>
      <c r="FJ58" s="60">
        <f>IFERROR(FJ16/$B58,0)</f>
        <v>0.3141821201704858</v>
      </c>
      <c r="FK58" s="71">
        <f>IFERROR(s_RadSpec!$F$16*FK16,".")*$B$58</f>
        <v>1.5914335937499999E-4</v>
      </c>
      <c r="FL58" s="71">
        <f>IFERROR(s_RadSpec!$K$16*FL16,".")*$B$58</f>
        <v>6.1763825034246576E-12</v>
      </c>
      <c r="FM58" s="49">
        <f t="shared" si="322"/>
        <v>1.5914335937499999E-4</v>
      </c>
      <c r="FN58" s="49">
        <f t="shared" si="322"/>
        <v>6.1763825034246576E-12</v>
      </c>
      <c r="FO58" s="49">
        <f t="shared" si="323"/>
        <v>1.591433655513825E-4</v>
      </c>
    </row>
    <row r="59" spans="1:171" x14ac:dyDescent="0.25">
      <c r="A59" s="83" t="s">
        <v>1094</v>
      </c>
      <c r="B59" s="42">
        <v>1</v>
      </c>
      <c r="C59" s="249"/>
      <c r="D59" s="60">
        <f t="shared" ref="D59:O59" si="360">IFERROR(D7/$B59,0)</f>
        <v>6.345564196803867</v>
      </c>
      <c r="E59" s="60">
        <f t="shared" si="360"/>
        <v>25.382256787215468</v>
      </c>
      <c r="F59" s="60">
        <f t="shared" si="360"/>
        <v>25.382256787215468</v>
      </c>
      <c r="G59" s="60">
        <f t="shared" si="360"/>
        <v>25.382256787215468</v>
      </c>
      <c r="H59" s="60">
        <f t="shared" si="360"/>
        <v>25.382256787215468</v>
      </c>
      <c r="I59" s="60">
        <f t="shared" si="360"/>
        <v>25.382256787215468</v>
      </c>
      <c r="J59" s="60">
        <f t="shared" si="360"/>
        <v>25.382256787215468</v>
      </c>
      <c r="K59" s="60">
        <f t="shared" ref="K59" si="361">IFERROR(K7/$B59,0)</f>
        <v>25.382256787215468</v>
      </c>
      <c r="L59" s="60">
        <f t="shared" si="360"/>
        <v>25.382256787215468</v>
      </c>
      <c r="M59" s="60">
        <f t="shared" si="360"/>
        <v>25.382256787215468</v>
      </c>
      <c r="N59" s="60">
        <f t="shared" si="360"/>
        <v>25.382256787215468</v>
      </c>
      <c r="O59" s="60">
        <f t="shared" si="360"/>
        <v>25.382256787215468</v>
      </c>
      <c r="P59" s="71">
        <f>s_dir!BC59</f>
        <v>7.8795199999999994E-6</v>
      </c>
      <c r="Q59" s="71">
        <f>IFERROR(s_RadSpec!$H$7*Q7,".")*$B$59</f>
        <v>1.9698799999999998E-6</v>
      </c>
      <c r="R59" s="71">
        <f>IFERROR(s_RadSpec!$H$7*R7,".")*$B$59</f>
        <v>1.9698799999999998E-6</v>
      </c>
      <c r="S59" s="71">
        <f>IFERROR(s_RadSpec!$H$7*S7,".")*$B$59</f>
        <v>1.9698799999999998E-6</v>
      </c>
      <c r="T59" s="71">
        <f>IFERROR(s_RadSpec!$H$7*T7,".")*$B$59</f>
        <v>1.9698799999999998E-6</v>
      </c>
      <c r="U59" s="71">
        <f>IFERROR(s_RadSpec!$H$7*U7,".")*$B$59</f>
        <v>1.9698799999999998E-6</v>
      </c>
      <c r="V59" s="71">
        <f>IFERROR(s_RadSpec!$H$7*V7,".")*$B$59</f>
        <v>1.9698799999999998E-6</v>
      </c>
      <c r="W59" s="71">
        <f>IFERROR(s_RadSpec!$H$7*W7,".")*$B$59</f>
        <v>1.9698799999999998E-6</v>
      </c>
      <c r="X59" s="71">
        <f>IFERROR(s_RadSpec!$H$7*X7,".")*$B$59</f>
        <v>1.9698799999999998E-6</v>
      </c>
      <c r="Y59" s="71">
        <f>IFERROR(s_RadSpec!$H$7*Y7,".")*$B$59</f>
        <v>1.9698799999999998E-6</v>
      </c>
      <c r="Z59" s="71">
        <f>IFERROR(s_RadSpec!$H$7*Z7,".")*$B$59</f>
        <v>1.9698799999999998E-6</v>
      </c>
      <c r="AA59" s="71">
        <f>IFERROR(s_RadSpec!$H$7*AA7,".")*$B$59</f>
        <v>1.9698799999999998E-6</v>
      </c>
      <c r="AB59" s="49">
        <f t="shared" si="279"/>
        <v>7.8795199999999994E-6</v>
      </c>
      <c r="AC59" s="49">
        <f t="shared" si="280"/>
        <v>1.9698799999999998E-6</v>
      </c>
      <c r="AD59" s="49">
        <f t="shared" si="281"/>
        <v>1.9698799999999998E-6</v>
      </c>
      <c r="AE59" s="49">
        <f t="shared" si="282"/>
        <v>1.9698799999999998E-6</v>
      </c>
      <c r="AF59" s="49">
        <f t="shared" si="283"/>
        <v>1.9698799999999998E-6</v>
      </c>
      <c r="AG59" s="49">
        <f t="shared" si="284"/>
        <v>1.9698799999999998E-6</v>
      </c>
      <c r="AH59" s="49">
        <f t="shared" si="285"/>
        <v>1.9698799999999998E-6</v>
      </c>
      <c r="AI59" s="49">
        <f t="shared" si="285"/>
        <v>1.9698799999999998E-6</v>
      </c>
      <c r="AJ59" s="49">
        <f t="shared" si="286"/>
        <v>1.9698799999999998E-6</v>
      </c>
      <c r="AK59" s="49">
        <f t="shared" si="287"/>
        <v>1.9698799999999998E-6</v>
      </c>
      <c r="AL59" s="49">
        <f t="shared" si="288"/>
        <v>1.9698799999999998E-6</v>
      </c>
      <c r="AM59" s="49">
        <f t="shared" si="289"/>
        <v>1.9698799999999998E-6</v>
      </c>
      <c r="AN59" s="60">
        <f t="shared" ref="AN59:BB59" si="362">IFERROR(AN7/$B59,0)</f>
        <v>6883.3238744991095</v>
      </c>
      <c r="AO59" s="60">
        <f t="shared" si="362"/>
        <v>3394849.2476316104</v>
      </c>
      <c r="AP59" s="60">
        <f t="shared" si="362"/>
        <v>69143.708053830254</v>
      </c>
      <c r="AQ59" s="60">
        <f t="shared" si="362"/>
        <v>55.908054597390894</v>
      </c>
      <c r="AR59" s="60">
        <f>IFERROR(AR7/$B59,0)</f>
        <v>812.23221719089497</v>
      </c>
      <c r="AS59" s="60">
        <f>IFERROR(AS7/$B59,0)</f>
        <v>0</v>
      </c>
      <c r="AT59" s="60">
        <f>IFERROR(AT7/$B59,0)</f>
        <v>84.607522624051569</v>
      </c>
      <c r="AU59" s="60">
        <f>IFERROR(AU7/$B59,0)</f>
        <v>174.29149660554623</v>
      </c>
      <c r="AV59" s="60">
        <f>IFERROR(AV7/$B59,0)</f>
        <v>0</v>
      </c>
      <c r="AW59" s="60">
        <f t="shared" si="362"/>
        <v>0</v>
      </c>
      <c r="AX59" s="60">
        <f t="shared" si="362"/>
        <v>0</v>
      </c>
      <c r="AY59" s="60">
        <f t="shared" si="362"/>
        <v>0</v>
      </c>
      <c r="AZ59" s="60">
        <f>IFERROR(AZ7/$B59,0)</f>
        <v>0</v>
      </c>
      <c r="BA59" s="60">
        <f t="shared" si="362"/>
        <v>0</v>
      </c>
      <c r="BB59" s="60">
        <f t="shared" si="362"/>
        <v>0</v>
      </c>
      <c r="BC59" s="118">
        <f t="shared" si="63"/>
        <v>1.4527864999999999E-4</v>
      </c>
      <c r="BD59" s="118">
        <f t="shared" si="64"/>
        <v>2.9456388989809843E-7</v>
      </c>
      <c r="BE59" s="118">
        <f t="shared" si="65"/>
        <v>1.4462631932054798E-5</v>
      </c>
      <c r="BF59" s="118">
        <f t="shared" si="66"/>
        <v>1.78865104E-2</v>
      </c>
      <c r="BG59" s="118">
        <f t="shared" si="67"/>
        <v>1.2311749999999999E-3</v>
      </c>
      <c r="BH59" s="118" t="str">
        <f t="shared" si="68"/>
        <v>.</v>
      </c>
      <c r="BI59" s="118">
        <f t="shared" si="69"/>
        <v>1.1819279999999998E-2</v>
      </c>
      <c r="BJ59" s="118">
        <f t="shared" si="70"/>
        <v>5.7375145631067947E-3</v>
      </c>
      <c r="BK59" s="118" t="str">
        <f t="shared" si="71"/>
        <v>.</v>
      </c>
      <c r="BL59" s="118" t="str">
        <f t="shared" si="72"/>
        <v>.</v>
      </c>
      <c r="BM59" s="118" t="str">
        <f t="shared" si="73"/>
        <v>.</v>
      </c>
      <c r="BN59" s="118" t="str">
        <f t="shared" si="74"/>
        <v>.</v>
      </c>
      <c r="BO59" s="118" t="str">
        <f t="shared" si="75"/>
        <v>.</v>
      </c>
      <c r="BP59" s="118" t="str">
        <f t="shared" si="76"/>
        <v>.</v>
      </c>
      <c r="BQ59" s="118" t="str">
        <f t="shared" si="77"/>
        <v>.</v>
      </c>
      <c r="BR59" s="60">
        <f t="shared" si="46"/>
        <v>27.148449709161056</v>
      </c>
      <c r="BS59" s="71">
        <f>IFERROR(s_RadSpec!$E$7*BS7,".")*$B$59</f>
        <v>7.2639324999999997E-9</v>
      </c>
      <c r="BT59" s="71">
        <f>IFERROR(s_RadSpec!$F$7*BT7,".")*$B$59</f>
        <v>1.4728194494904925E-11</v>
      </c>
      <c r="BU59" s="71">
        <f>IFERROR(s_RadSpec!$G$7*BU7,".")*$B$59</f>
        <v>7.2313159660274002E-10</v>
      </c>
      <c r="BV59" s="71">
        <f>s_b2s!CC59</f>
        <v>8.9432551999999999E-7</v>
      </c>
      <c r="BW59" s="71">
        <f>IFERROR(s_RadSpec!$H$7*BW7,".")*$B$59</f>
        <v>6.1558749999999995E-8</v>
      </c>
      <c r="BX59" s="71">
        <f>IFERROR(s_RadSpec!$H$7*BX7,".")*$B$59</f>
        <v>0</v>
      </c>
      <c r="BY59" s="71">
        <f>IFERROR(s_RadSpec!$H$7*BY7,".")*$B$59</f>
        <v>5.90964E-7</v>
      </c>
      <c r="BZ59" s="71">
        <f>IFERROR(s_RadSpec!$H$7*BZ7,".")*$B$59</f>
        <v>2.8687572815533981E-7</v>
      </c>
      <c r="CA59" s="71">
        <f>IFERROR(s_RadSpec!$H$7*CA7,".")*$B$59</f>
        <v>0</v>
      </c>
      <c r="CB59" s="71">
        <f>IFERROR(s_RadSpec!$H$7*CB7,".")*$B$59</f>
        <v>0</v>
      </c>
      <c r="CC59" s="71">
        <f>IFERROR(s_RadSpec!$H$7*CC7,".")*$B$59</f>
        <v>0</v>
      </c>
      <c r="CD59" s="71">
        <f>IFERROR(s_RadSpec!$H$7*CD7,".")*$B$59</f>
        <v>0</v>
      </c>
      <c r="CE59" s="71">
        <f>IFERROR(s_RadSpec!$H$7*CE7,".")*$B$59</f>
        <v>0</v>
      </c>
      <c r="CF59" s="71">
        <f>IFERROR(s_RadSpec!$H$7*CF7,".")*$B$59</f>
        <v>0</v>
      </c>
      <c r="CG59" s="71">
        <f>IFERROR(s_RadSpec!$H$7*CG7,".")*$B$59</f>
        <v>0</v>
      </c>
      <c r="CH59" s="49">
        <f t="shared" si="291"/>
        <v>7.2639324999999997E-9</v>
      </c>
      <c r="CI59" s="49">
        <f t="shared" si="292"/>
        <v>1.4728194494904925E-11</v>
      </c>
      <c r="CJ59" s="49">
        <f t="shared" si="293"/>
        <v>7.2313159660274002E-10</v>
      </c>
      <c r="CK59" s="49">
        <f t="shared" si="294"/>
        <v>8.9432551999999999E-7</v>
      </c>
      <c r="CL59" s="49">
        <f t="shared" si="295"/>
        <v>6.1558749999999995E-8</v>
      </c>
      <c r="CM59" s="49">
        <f t="shared" si="295"/>
        <v>0</v>
      </c>
      <c r="CN59" s="49">
        <f t="shared" si="296"/>
        <v>5.90964E-7</v>
      </c>
      <c r="CO59" s="49">
        <f t="shared" si="297"/>
        <v>2.8687572815533981E-7</v>
      </c>
      <c r="CP59" s="49">
        <f t="shared" si="298"/>
        <v>0</v>
      </c>
      <c r="CQ59" s="49">
        <f t="shared" si="299"/>
        <v>0</v>
      </c>
      <c r="CR59" s="49">
        <f t="shared" si="300"/>
        <v>0</v>
      </c>
      <c r="CS59" s="49">
        <f t="shared" si="301"/>
        <v>0</v>
      </c>
      <c r="CT59" s="49">
        <f t="shared" si="302"/>
        <v>0</v>
      </c>
      <c r="CU59" s="49">
        <f t="shared" si="303"/>
        <v>0</v>
      </c>
      <c r="CV59" s="49">
        <f t="shared" si="304"/>
        <v>0</v>
      </c>
      <c r="CW59" s="49">
        <f t="shared" si="305"/>
        <v>1.8417257904464374E-6</v>
      </c>
      <c r="CX59" s="60">
        <f t="shared" ref="CX59:DL59" si="363">IFERROR(CX7/$B59,0)</f>
        <v>203.90061883837819</v>
      </c>
      <c r="CY59" s="60" t="str">
        <f>IFERROR(CY7,".")</f>
        <v>.</v>
      </c>
      <c r="CZ59" s="60">
        <f t="shared" si="363"/>
        <v>2544901254.6379924</v>
      </c>
      <c r="DA59" s="60">
        <f t="shared" si="363"/>
        <v>201.01967978025729</v>
      </c>
      <c r="DB59" s="60">
        <f>IFERROR(DB7/$B59,0)</f>
        <v>1692.1504524810312</v>
      </c>
      <c r="DC59" s="60">
        <f>IFERROR(DC7/$B59,0)</f>
        <v>0</v>
      </c>
      <c r="DD59" s="60">
        <f>IFERROR(DD7/$B59,0)</f>
        <v>2538225.6787215467</v>
      </c>
      <c r="DE59" s="60">
        <f>IFERROR(DE7/$B59,0)</f>
        <v>5228744.8981663864</v>
      </c>
      <c r="DF59" s="60">
        <f>IFERROR(DF7/$B59,0)</f>
        <v>0</v>
      </c>
      <c r="DG59" s="60">
        <f t="shared" si="363"/>
        <v>0</v>
      </c>
      <c r="DH59" s="60">
        <f t="shared" si="363"/>
        <v>0</v>
      </c>
      <c r="DI59" s="60">
        <f t="shared" si="363"/>
        <v>0</v>
      </c>
      <c r="DJ59" s="60">
        <f>IFERROR(DJ7/$B59,0)</f>
        <v>0</v>
      </c>
      <c r="DK59" s="60">
        <f t="shared" si="363"/>
        <v>0</v>
      </c>
      <c r="DL59" s="60">
        <f t="shared" si="363"/>
        <v>0</v>
      </c>
      <c r="DM59" s="118">
        <f t="shared" si="80"/>
        <v>4.9043499999999992E-3</v>
      </c>
      <c r="DN59" s="118" t="str">
        <f t="shared" si="81"/>
        <v>.</v>
      </c>
      <c r="DO59" s="118">
        <f t="shared" si="82"/>
        <v>3.9294255452054786E-10</v>
      </c>
      <c r="DP59" s="118">
        <f t="shared" si="83"/>
        <v>4.9746373145810414E-3</v>
      </c>
      <c r="DQ59" s="118">
        <f t="shared" si="84"/>
        <v>5.9096399999999992E-4</v>
      </c>
      <c r="DR59" s="118" t="str">
        <f t="shared" si="85"/>
        <v>.</v>
      </c>
      <c r="DS59" s="118">
        <f t="shared" si="86"/>
        <v>3.9397599999999998E-7</v>
      </c>
      <c r="DT59" s="118">
        <f t="shared" si="87"/>
        <v>1.9125048543689317E-7</v>
      </c>
      <c r="DU59" s="118" t="str">
        <f t="shared" si="88"/>
        <v>.</v>
      </c>
      <c r="DV59" s="118" t="str">
        <f t="shared" si="89"/>
        <v>.</v>
      </c>
      <c r="DW59" s="118" t="str">
        <f t="shared" si="90"/>
        <v>.</v>
      </c>
      <c r="DX59" s="118" t="str">
        <f t="shared" si="91"/>
        <v>.</v>
      </c>
      <c r="DY59" s="118" t="str">
        <f t="shared" si="92"/>
        <v>.</v>
      </c>
      <c r="DZ59" s="118" t="str">
        <f t="shared" si="93"/>
        <v>.</v>
      </c>
      <c r="EA59" s="118" t="str">
        <f t="shared" si="94"/>
        <v>.</v>
      </c>
      <c r="EB59" s="60">
        <f t="shared" si="47"/>
        <v>95.506085915415738</v>
      </c>
      <c r="EC59" s="71">
        <f>IFERROR(s_RadSpec!$I$7*EC7,".")*$B$59</f>
        <v>2.4521750000000001E-7</v>
      </c>
      <c r="ED59" s="71">
        <f>IFERROR(s_RadSpec!$F$7*ED7,".")</f>
        <v>0</v>
      </c>
      <c r="EE59" s="71">
        <f>IFERROR(s_RadSpec!$M$7*EE7,".")*$B$59</f>
        <v>1.9647127726027396E-14</v>
      </c>
      <c r="EF59" s="71">
        <f>s_b2w!CC59</f>
        <v>2.4873186572905208E-7</v>
      </c>
      <c r="EG59" s="71">
        <f>IFERROR(s_RadSpec!$H$7*EG7,".")*$B$59</f>
        <v>2.9548199999999999E-8</v>
      </c>
      <c r="EH59" s="71">
        <f>IFERROR(s_RadSpec!$H$7*EH7,".")*$B$59</f>
        <v>0</v>
      </c>
      <c r="EI59" s="71">
        <f>IFERROR(s_RadSpec!$H$7*EI7,".")*$B$59</f>
        <v>1.9698799999999999E-11</v>
      </c>
      <c r="EJ59" s="71">
        <f>IFERROR(s_RadSpec!$H$7*EJ7,".")*$B$59</f>
        <v>9.562524271844661E-12</v>
      </c>
      <c r="EK59" s="71">
        <f>IFERROR(s_RadSpec!$H$7*EK7,".")*$B$59</f>
        <v>0</v>
      </c>
      <c r="EL59" s="71">
        <f>IFERROR(s_RadSpec!$H$7*EL7,".")*$B$59</f>
        <v>0</v>
      </c>
      <c r="EM59" s="71">
        <f>IFERROR(s_RadSpec!$H$7*EM7,".")*$B$59</f>
        <v>0</v>
      </c>
      <c r="EN59" s="71">
        <f>IFERROR(s_RadSpec!$H$7*EN7,".")*$B$59</f>
        <v>0</v>
      </c>
      <c r="EO59" s="71">
        <f>IFERROR(s_RadSpec!$H$7*EO7,".")*$B$59</f>
        <v>0</v>
      </c>
      <c r="EP59" s="71">
        <f>IFERROR(s_RadSpec!$H$7*EP7,".")*$B$59</f>
        <v>0</v>
      </c>
      <c r="EQ59" s="71">
        <f>IFERROR(s_RadSpec!$H$7*EQ7,".")*$B$59</f>
        <v>0</v>
      </c>
      <c r="ER59" s="49">
        <f t="shared" si="307"/>
        <v>2.4521750000000001E-7</v>
      </c>
      <c r="ES59" s="49">
        <f t="shared" si="308"/>
        <v>0</v>
      </c>
      <c r="ET59" s="49">
        <f t="shared" si="309"/>
        <v>1.9647127726027396E-14</v>
      </c>
      <c r="EU59" s="49">
        <f t="shared" si="310"/>
        <v>2.4873186572905208E-7</v>
      </c>
      <c r="EV59" s="49">
        <f t="shared" si="311"/>
        <v>2.9548199999999999E-8</v>
      </c>
      <c r="EW59" s="49">
        <f t="shared" si="311"/>
        <v>0</v>
      </c>
      <c r="EX59" s="49">
        <f t="shared" si="312"/>
        <v>1.9698799999999999E-11</v>
      </c>
      <c r="EY59" s="49">
        <f t="shared" si="313"/>
        <v>9.562524271844661E-12</v>
      </c>
      <c r="EZ59" s="49">
        <f t="shared" si="314"/>
        <v>0</v>
      </c>
      <c r="FA59" s="49">
        <f t="shared" si="315"/>
        <v>0</v>
      </c>
      <c r="FB59" s="49">
        <f t="shared" si="316"/>
        <v>0</v>
      </c>
      <c r="FC59" s="49">
        <f t="shared" si="317"/>
        <v>0</v>
      </c>
      <c r="FD59" s="49">
        <f t="shared" si="318"/>
        <v>0</v>
      </c>
      <c r="FE59" s="49">
        <f t="shared" si="319"/>
        <v>0</v>
      </c>
      <c r="FF59" s="49">
        <f t="shared" si="320"/>
        <v>0</v>
      </c>
      <c r="FG59" s="49">
        <f t="shared" si="321"/>
        <v>5.235268467004517E-7</v>
      </c>
      <c r="FH59" s="60">
        <f>IFERROR(FH7/$B59,0)</f>
        <v>10.958059738547544</v>
      </c>
      <c r="FI59" s="60">
        <f>IFERROR(FI7/$B59,0)</f>
        <v>6022371.1809534831</v>
      </c>
      <c r="FJ59" s="60">
        <f>IFERROR(FJ7/$B59,0)</f>
        <v>10.958039799747503</v>
      </c>
      <c r="FK59" s="71">
        <f>IFERROR(s_RadSpec!$F$7*FK7,".")*$B$59</f>
        <v>4.5628515624999995E-6</v>
      </c>
      <c r="FL59" s="71">
        <f>IFERROR(s_RadSpec!$K$7*FL7,".")*$B$59</f>
        <v>8.3023776678082202E-12</v>
      </c>
      <c r="FM59" s="49">
        <f t="shared" si="322"/>
        <v>4.5628515624999995E-6</v>
      </c>
      <c r="FN59" s="49">
        <f t="shared" si="322"/>
        <v>8.3023776678082202E-12</v>
      </c>
      <c r="FO59" s="49">
        <f t="shared" si="323"/>
        <v>4.5628598648776677E-6</v>
      </c>
    </row>
    <row r="60" spans="1:171" x14ac:dyDescent="0.25">
      <c r="A60" s="83" t="s">
        <v>1095</v>
      </c>
      <c r="B60" s="86">
        <v>1.9000000000000001E-8</v>
      </c>
      <c r="C60" s="252"/>
      <c r="D60" s="60">
        <f t="shared" ref="D60:O60" si="364">IFERROR(D12/$B60,0)</f>
        <v>0</v>
      </c>
      <c r="E60" s="60">
        <f t="shared" si="364"/>
        <v>0</v>
      </c>
      <c r="F60" s="60">
        <f t="shared" si="364"/>
        <v>0</v>
      </c>
      <c r="G60" s="60">
        <f t="shared" si="364"/>
        <v>0</v>
      </c>
      <c r="H60" s="60">
        <f t="shared" si="364"/>
        <v>0</v>
      </c>
      <c r="I60" s="60">
        <f t="shared" si="364"/>
        <v>0</v>
      </c>
      <c r="J60" s="60">
        <f t="shared" si="364"/>
        <v>0</v>
      </c>
      <c r="K60" s="60">
        <f t="shared" ref="K60" si="365">IFERROR(K12/$B60,0)</f>
        <v>0</v>
      </c>
      <c r="L60" s="60">
        <f t="shared" si="364"/>
        <v>0</v>
      </c>
      <c r="M60" s="60">
        <f t="shared" si="364"/>
        <v>0</v>
      </c>
      <c r="N60" s="60">
        <f t="shared" si="364"/>
        <v>0</v>
      </c>
      <c r="O60" s="60">
        <f t="shared" si="364"/>
        <v>0</v>
      </c>
      <c r="P60" s="71">
        <f>s_dir!BC60</f>
        <v>0</v>
      </c>
      <c r="Q60" s="71">
        <f>IFERROR(s_RadSpec!$H$12*Q12,".")*$B$60</f>
        <v>0</v>
      </c>
      <c r="R60" s="71">
        <f>IFERROR(s_RadSpec!$H$12*R12,".")*$B$60</f>
        <v>0</v>
      </c>
      <c r="S60" s="71">
        <f>IFERROR(s_RadSpec!$H$12*S12,".")*$B$60</f>
        <v>0</v>
      </c>
      <c r="T60" s="71">
        <f>IFERROR(s_RadSpec!$H$12*T12,".")*$B$60</f>
        <v>0</v>
      </c>
      <c r="U60" s="71">
        <f>IFERROR(s_RadSpec!$H$12*U12,".")*$B$60</f>
        <v>0</v>
      </c>
      <c r="V60" s="71">
        <f>IFERROR(s_RadSpec!$H$12*V12,".")*$B$60</f>
        <v>0</v>
      </c>
      <c r="W60" s="71">
        <f>IFERROR(s_RadSpec!$H$12*W12,".")*$B$60</f>
        <v>0</v>
      </c>
      <c r="X60" s="71">
        <f>IFERROR(s_RadSpec!$H$12*X12,".")*$B$60</f>
        <v>0</v>
      </c>
      <c r="Y60" s="71">
        <f>IFERROR(s_RadSpec!$H$12*Y12,".")*$B$60</f>
        <v>0</v>
      </c>
      <c r="Z60" s="71">
        <f>IFERROR(s_RadSpec!$H$12*Z12,".")*$B$60</f>
        <v>0</v>
      </c>
      <c r="AA60" s="71">
        <f>IFERROR(s_RadSpec!$H$12*AA12,".")*$B$60</f>
        <v>0</v>
      </c>
      <c r="AB60" s="49">
        <f t="shared" si="279"/>
        <v>0</v>
      </c>
      <c r="AC60" s="49">
        <f t="shared" si="280"/>
        <v>0</v>
      </c>
      <c r="AD60" s="49">
        <f t="shared" si="281"/>
        <v>0</v>
      </c>
      <c r="AE60" s="49">
        <f t="shared" si="282"/>
        <v>0</v>
      </c>
      <c r="AF60" s="49">
        <f t="shared" si="283"/>
        <v>0</v>
      </c>
      <c r="AG60" s="49">
        <f t="shared" si="284"/>
        <v>0</v>
      </c>
      <c r="AH60" s="49">
        <f t="shared" si="285"/>
        <v>0</v>
      </c>
      <c r="AI60" s="49">
        <f t="shared" si="285"/>
        <v>0</v>
      </c>
      <c r="AJ60" s="49">
        <f t="shared" si="286"/>
        <v>0</v>
      </c>
      <c r="AK60" s="49">
        <f t="shared" si="287"/>
        <v>0</v>
      </c>
      <c r="AL60" s="49">
        <f t="shared" si="288"/>
        <v>0</v>
      </c>
      <c r="AM60" s="49">
        <f t="shared" si="289"/>
        <v>0</v>
      </c>
      <c r="AN60" s="60">
        <f t="shared" ref="AN60:BB60" si="366">IFERROR(AN12/$B60,0)</f>
        <v>0</v>
      </c>
      <c r="AO60" s="60">
        <f t="shared" si="366"/>
        <v>0</v>
      </c>
      <c r="AP60" s="60">
        <f t="shared" si="366"/>
        <v>16168858529.427988</v>
      </c>
      <c r="AQ60" s="60">
        <f t="shared" si="366"/>
        <v>0</v>
      </c>
      <c r="AR60" s="60">
        <f>IFERROR(AR12/$B60,0)</f>
        <v>0</v>
      </c>
      <c r="AS60" s="60">
        <f>IFERROR(AS12/$B60,0)</f>
        <v>0</v>
      </c>
      <c r="AT60" s="60">
        <f>IFERROR(AT12/$B60,0)</f>
        <v>0</v>
      </c>
      <c r="AU60" s="60">
        <f>IFERROR(AU12/$B60,0)</f>
        <v>0</v>
      </c>
      <c r="AV60" s="60">
        <f>IFERROR(AV12/$B60,0)</f>
        <v>0</v>
      </c>
      <c r="AW60" s="60">
        <f t="shared" si="366"/>
        <v>0</v>
      </c>
      <c r="AX60" s="60">
        <f t="shared" si="366"/>
        <v>0</v>
      </c>
      <c r="AY60" s="60">
        <f t="shared" si="366"/>
        <v>0</v>
      </c>
      <c r="AZ60" s="60">
        <f>IFERROR(AZ12/$B60,0)</f>
        <v>0</v>
      </c>
      <c r="BA60" s="60">
        <f t="shared" si="366"/>
        <v>0</v>
      </c>
      <c r="BB60" s="60">
        <f t="shared" si="366"/>
        <v>0</v>
      </c>
      <c r="BC60" s="118" t="str">
        <f t="shared" si="63"/>
        <v>.</v>
      </c>
      <c r="BD60" s="118" t="str">
        <f t="shared" si="64"/>
        <v>.</v>
      </c>
      <c r="BE60" s="118">
        <f t="shared" si="65"/>
        <v>6.1847284901402218E-11</v>
      </c>
      <c r="BF60" s="118" t="str">
        <f t="shared" si="66"/>
        <v>.</v>
      </c>
      <c r="BG60" s="118" t="str">
        <f t="shared" si="67"/>
        <v>.</v>
      </c>
      <c r="BH60" s="118" t="str">
        <f t="shared" si="68"/>
        <v>.</v>
      </c>
      <c r="BI60" s="118" t="str">
        <f t="shared" si="69"/>
        <v>.</v>
      </c>
      <c r="BJ60" s="118" t="str">
        <f t="shared" si="70"/>
        <v>.</v>
      </c>
      <c r="BK60" s="118" t="str">
        <f t="shared" si="71"/>
        <v>.</v>
      </c>
      <c r="BL60" s="118" t="str">
        <f t="shared" si="72"/>
        <v>.</v>
      </c>
      <c r="BM60" s="118" t="str">
        <f t="shared" si="73"/>
        <v>.</v>
      </c>
      <c r="BN60" s="118" t="str">
        <f t="shared" si="74"/>
        <v>.</v>
      </c>
      <c r="BO60" s="118" t="str">
        <f t="shared" si="75"/>
        <v>.</v>
      </c>
      <c r="BP60" s="118" t="str">
        <f t="shared" si="76"/>
        <v>.</v>
      </c>
      <c r="BQ60" s="118" t="str">
        <f t="shared" si="77"/>
        <v>.</v>
      </c>
      <c r="BR60" s="60">
        <f t="shared" si="46"/>
        <v>16168858529.427986</v>
      </c>
      <c r="BS60" s="71">
        <f>IFERROR(s_RadSpec!$E$12*BS12,".")*$B$60</f>
        <v>0</v>
      </c>
      <c r="BT60" s="71">
        <f>IFERROR(s_RadSpec!$F$12*BT12,".")*$B$60</f>
        <v>0</v>
      </c>
      <c r="BU60" s="71">
        <f>IFERROR(s_RadSpec!$G$12*BU12,".")*$B$60</f>
        <v>3.0923642450701108E-15</v>
      </c>
      <c r="BV60" s="71">
        <f>s_b2s!CC60</f>
        <v>0</v>
      </c>
      <c r="BW60" s="71">
        <f>IFERROR(s_RadSpec!$H$12*BW12,".")*$B$60</f>
        <v>0</v>
      </c>
      <c r="BX60" s="71">
        <f>IFERROR(s_RadSpec!$H$12*BX12,".")*$B$60</f>
        <v>0</v>
      </c>
      <c r="BY60" s="71">
        <f>IFERROR(s_RadSpec!$H$12*BY12,".")*$B$60</f>
        <v>0</v>
      </c>
      <c r="BZ60" s="71">
        <f>IFERROR(s_RadSpec!$H$12*BZ12,".")*$B$60</f>
        <v>0</v>
      </c>
      <c r="CA60" s="71">
        <f>IFERROR(s_RadSpec!$H$12*CA12,".")*$B$60</f>
        <v>0</v>
      </c>
      <c r="CB60" s="71">
        <f>IFERROR(s_RadSpec!$H$12*CB12,".")*$B$60</f>
        <v>0</v>
      </c>
      <c r="CC60" s="71">
        <f>IFERROR(s_RadSpec!$H$12*CC12,".")*$B$60</f>
        <v>0</v>
      </c>
      <c r="CD60" s="71">
        <f>IFERROR(s_RadSpec!$H$12*CD12,".")*$B$60</f>
        <v>0</v>
      </c>
      <c r="CE60" s="71">
        <f>IFERROR(s_RadSpec!$H$12*CE12,".")*$B$60</f>
        <v>0</v>
      </c>
      <c r="CF60" s="71">
        <f>IFERROR(s_RadSpec!$H$12*CF12,".")*$B$60</f>
        <v>0</v>
      </c>
      <c r="CG60" s="71">
        <f>IFERROR(s_RadSpec!$H$12*CG12,".")*$B$60</f>
        <v>0</v>
      </c>
      <c r="CH60" s="49">
        <f t="shared" si="291"/>
        <v>0</v>
      </c>
      <c r="CI60" s="49">
        <f t="shared" si="292"/>
        <v>0</v>
      </c>
      <c r="CJ60" s="49">
        <f t="shared" si="293"/>
        <v>3.0923642450701108E-15</v>
      </c>
      <c r="CK60" s="49">
        <f t="shared" si="294"/>
        <v>0</v>
      </c>
      <c r="CL60" s="49">
        <f t="shared" si="295"/>
        <v>0</v>
      </c>
      <c r="CM60" s="49">
        <f t="shared" si="295"/>
        <v>0</v>
      </c>
      <c r="CN60" s="49">
        <f t="shared" si="296"/>
        <v>0</v>
      </c>
      <c r="CO60" s="49">
        <f t="shared" si="297"/>
        <v>0</v>
      </c>
      <c r="CP60" s="49">
        <f t="shared" si="298"/>
        <v>0</v>
      </c>
      <c r="CQ60" s="49">
        <f t="shared" si="299"/>
        <v>0</v>
      </c>
      <c r="CR60" s="49">
        <f t="shared" si="300"/>
        <v>0</v>
      </c>
      <c r="CS60" s="49">
        <f t="shared" si="301"/>
        <v>0</v>
      </c>
      <c r="CT60" s="49">
        <f t="shared" si="302"/>
        <v>0</v>
      </c>
      <c r="CU60" s="49">
        <f t="shared" si="303"/>
        <v>0</v>
      </c>
      <c r="CV60" s="49">
        <f t="shared" si="304"/>
        <v>0</v>
      </c>
      <c r="CW60" s="49">
        <f t="shared" si="305"/>
        <v>3.0923642450701108E-15</v>
      </c>
      <c r="CX60" s="60">
        <f t="shared" ref="CX60:DL60" si="367">IFERROR(CX12/$B60,0)</f>
        <v>0</v>
      </c>
      <c r="CY60" s="60" t="str">
        <f>IFERROR(CY12,".")</f>
        <v>.</v>
      </c>
      <c r="CZ60" s="60">
        <f t="shared" si="367"/>
        <v>970175727230415.25</v>
      </c>
      <c r="DA60" s="60">
        <f t="shared" si="367"/>
        <v>0</v>
      </c>
      <c r="DB60" s="60">
        <f>IFERROR(DB12/$B60,0)</f>
        <v>0</v>
      </c>
      <c r="DC60" s="60">
        <f>IFERROR(DC12/$B60,0)</f>
        <v>0</v>
      </c>
      <c r="DD60" s="60">
        <f>IFERROR(DD12/$B60,0)</f>
        <v>0</v>
      </c>
      <c r="DE60" s="60">
        <f>IFERROR(DE12/$B60,0)</f>
        <v>0</v>
      </c>
      <c r="DF60" s="60">
        <f>IFERROR(DF12/$B60,0)</f>
        <v>0</v>
      </c>
      <c r="DG60" s="60">
        <f t="shared" si="367"/>
        <v>0</v>
      </c>
      <c r="DH60" s="60">
        <f t="shared" si="367"/>
        <v>0</v>
      </c>
      <c r="DI60" s="60">
        <f t="shared" si="367"/>
        <v>0</v>
      </c>
      <c r="DJ60" s="60">
        <f>IFERROR(DJ12/$B60,0)</f>
        <v>0</v>
      </c>
      <c r="DK60" s="60">
        <f t="shared" si="367"/>
        <v>0</v>
      </c>
      <c r="DL60" s="60">
        <f t="shared" si="367"/>
        <v>0</v>
      </c>
      <c r="DM60" s="118" t="str">
        <f t="shared" si="80"/>
        <v>.</v>
      </c>
      <c r="DN60" s="118" t="str">
        <f t="shared" si="81"/>
        <v>.</v>
      </c>
      <c r="DO60" s="118">
        <f t="shared" si="82"/>
        <v>1.0307411038356163E-15</v>
      </c>
      <c r="DP60" s="118" t="str">
        <f t="shared" si="83"/>
        <v>.</v>
      </c>
      <c r="DQ60" s="118" t="str">
        <f t="shared" si="84"/>
        <v>.</v>
      </c>
      <c r="DR60" s="118" t="str">
        <f t="shared" si="85"/>
        <v>.</v>
      </c>
      <c r="DS60" s="118" t="str">
        <f t="shared" si="86"/>
        <v>.</v>
      </c>
      <c r="DT60" s="118" t="str">
        <f t="shared" si="87"/>
        <v>.</v>
      </c>
      <c r="DU60" s="118" t="str">
        <f t="shared" si="88"/>
        <v>.</v>
      </c>
      <c r="DV60" s="118" t="str">
        <f t="shared" si="89"/>
        <v>.</v>
      </c>
      <c r="DW60" s="118" t="str">
        <f t="shared" si="90"/>
        <v>.</v>
      </c>
      <c r="DX60" s="118" t="str">
        <f t="shared" si="91"/>
        <v>.</v>
      </c>
      <c r="DY60" s="118" t="str">
        <f t="shared" si="92"/>
        <v>.</v>
      </c>
      <c r="DZ60" s="118" t="str">
        <f t="shared" si="93"/>
        <v>.</v>
      </c>
      <c r="EA60" s="118" t="str">
        <f t="shared" si="94"/>
        <v>.</v>
      </c>
      <c r="EB60" s="60">
        <f t="shared" si="47"/>
        <v>970175727230415.25</v>
      </c>
      <c r="EC60" s="71">
        <f>IFERROR(s_RadSpec!$I$12*EC12,".")*$B$60</f>
        <v>0</v>
      </c>
      <c r="ED60" s="71">
        <f>IFERROR(s_RadSpec!$F$12*ED12,".")</f>
        <v>0</v>
      </c>
      <c r="EE60" s="71">
        <f>IFERROR(s_RadSpec!$M$12*EE12,".")*$B$60</f>
        <v>5.1537055191780823E-20</v>
      </c>
      <c r="EF60" s="71">
        <f>s_b2w!CC60</f>
        <v>0</v>
      </c>
      <c r="EG60" s="71">
        <f>IFERROR(s_RadSpec!$H$12*EG12,".")*$B$60</f>
        <v>0</v>
      </c>
      <c r="EH60" s="71">
        <f>IFERROR(s_RadSpec!$H$12*EH12,".")*$B$60</f>
        <v>0</v>
      </c>
      <c r="EI60" s="71">
        <f>IFERROR(s_RadSpec!$H$12*EI12,".")*$B$60</f>
        <v>0</v>
      </c>
      <c r="EJ60" s="71">
        <f>IFERROR(s_RadSpec!$H$12*EJ12,".")*$B$60</f>
        <v>0</v>
      </c>
      <c r="EK60" s="71">
        <f>IFERROR(s_RadSpec!$H$12*EK12,".")*$B$60</f>
        <v>0</v>
      </c>
      <c r="EL60" s="71">
        <f>IFERROR(s_RadSpec!$H$12*EL12,".")*$B$60</f>
        <v>0</v>
      </c>
      <c r="EM60" s="71">
        <f>IFERROR(s_RadSpec!$H$12*EM12,".")*$B$60</f>
        <v>0</v>
      </c>
      <c r="EN60" s="71">
        <f>IFERROR(s_RadSpec!$H$12*EN12,".")*$B$60</f>
        <v>0</v>
      </c>
      <c r="EO60" s="71">
        <f>IFERROR(s_RadSpec!$H$12*EO12,".")*$B$60</f>
        <v>0</v>
      </c>
      <c r="EP60" s="71">
        <f>IFERROR(s_RadSpec!$H$12*EP12,".")*$B$60</f>
        <v>0</v>
      </c>
      <c r="EQ60" s="71">
        <f>IFERROR(s_RadSpec!$H$12*EQ12,".")*$B$60</f>
        <v>0</v>
      </c>
      <c r="ER60" s="49">
        <f t="shared" si="307"/>
        <v>0</v>
      </c>
      <c r="ES60" s="49">
        <f t="shared" si="308"/>
        <v>0</v>
      </c>
      <c r="ET60" s="49">
        <f t="shared" si="309"/>
        <v>5.1537055191780823E-20</v>
      </c>
      <c r="EU60" s="49">
        <f t="shared" si="310"/>
        <v>0</v>
      </c>
      <c r="EV60" s="49">
        <f t="shared" si="311"/>
        <v>0</v>
      </c>
      <c r="EW60" s="49">
        <f t="shared" si="311"/>
        <v>0</v>
      </c>
      <c r="EX60" s="49">
        <f t="shared" si="312"/>
        <v>0</v>
      </c>
      <c r="EY60" s="49">
        <f t="shared" si="313"/>
        <v>0</v>
      </c>
      <c r="EZ60" s="49">
        <f t="shared" si="314"/>
        <v>0</v>
      </c>
      <c r="FA60" s="49">
        <f t="shared" si="315"/>
        <v>0</v>
      </c>
      <c r="FB60" s="49">
        <f t="shared" si="316"/>
        <v>0</v>
      </c>
      <c r="FC60" s="49">
        <f t="shared" si="317"/>
        <v>0</v>
      </c>
      <c r="FD60" s="49">
        <f t="shared" si="318"/>
        <v>0</v>
      </c>
      <c r="FE60" s="49">
        <f t="shared" si="319"/>
        <v>0</v>
      </c>
      <c r="FF60" s="49">
        <f t="shared" si="320"/>
        <v>0</v>
      </c>
      <c r="FG60" s="49">
        <f t="shared" si="321"/>
        <v>5.1537055191780823E-20</v>
      </c>
      <c r="FH60" s="60">
        <f>IFERROR(FH12/$B60,0)</f>
        <v>0</v>
      </c>
      <c r="FI60" s="60">
        <f>IFERROR(FI12/$B60,0)</f>
        <v>3378494297178.8574</v>
      </c>
      <c r="FJ60" s="60">
        <f>IFERROR(FJ12/$B60,0)</f>
        <v>3378494297178.8574</v>
      </c>
      <c r="FK60" s="71">
        <f>IFERROR(s_RadSpec!$F$12*FK12,".")*$B$60</f>
        <v>0</v>
      </c>
      <c r="FL60" s="71">
        <f>IFERROR(s_RadSpec!$K$12*FL12,".")*$B$60</f>
        <v>1.4799492200342468E-17</v>
      </c>
      <c r="FM60" s="49">
        <f t="shared" si="322"/>
        <v>0</v>
      </c>
      <c r="FN60" s="49">
        <f t="shared" si="322"/>
        <v>1.4799492200342468E-17</v>
      </c>
      <c r="FO60" s="49">
        <f t="shared" si="323"/>
        <v>1.4799492200342468E-17</v>
      </c>
    </row>
    <row r="61" spans="1:171" x14ac:dyDescent="0.25">
      <c r="A61" s="83" t="s">
        <v>1096</v>
      </c>
      <c r="B61" s="42">
        <v>1</v>
      </c>
      <c r="C61" s="249"/>
      <c r="D61" s="60">
        <f t="shared" ref="D61:O61" si="368">IFERROR(D18/$B61,0)</f>
        <v>3.667715266461348E-2</v>
      </c>
      <c r="E61" s="60">
        <f t="shared" si="368"/>
        <v>0.14670861065845392</v>
      </c>
      <c r="F61" s="60">
        <f t="shared" si="368"/>
        <v>0.14670861065845392</v>
      </c>
      <c r="G61" s="60">
        <f t="shared" si="368"/>
        <v>0.14670861065845392</v>
      </c>
      <c r="H61" s="60">
        <f t="shared" si="368"/>
        <v>0.14670861065845392</v>
      </c>
      <c r="I61" s="60">
        <f t="shared" si="368"/>
        <v>0.14670861065845392</v>
      </c>
      <c r="J61" s="60">
        <f t="shared" si="368"/>
        <v>0.14670861065845392</v>
      </c>
      <c r="K61" s="60">
        <f t="shared" ref="K61" si="369">IFERROR(K18/$B61,0)</f>
        <v>0.14670861065845392</v>
      </c>
      <c r="L61" s="60">
        <f t="shared" si="368"/>
        <v>0.14670861065845392</v>
      </c>
      <c r="M61" s="60">
        <f t="shared" si="368"/>
        <v>0.14670861065845392</v>
      </c>
      <c r="N61" s="60">
        <f t="shared" si="368"/>
        <v>0.14670861065845392</v>
      </c>
      <c r="O61" s="60">
        <f t="shared" si="368"/>
        <v>0.14670861065845392</v>
      </c>
      <c r="P61" s="71">
        <f>s_dir!BC61</f>
        <v>1.3632465E-3</v>
      </c>
      <c r="Q61" s="71">
        <f>IFERROR(s_RadSpec!$H$18*Q18,".")*$B$61</f>
        <v>3.40811625E-4</v>
      </c>
      <c r="R61" s="71">
        <f>IFERROR(s_RadSpec!$H$18*R18,".")*$B$61</f>
        <v>3.40811625E-4</v>
      </c>
      <c r="S61" s="71">
        <f>IFERROR(s_RadSpec!$H$18*S18,".")*$B$61</f>
        <v>3.40811625E-4</v>
      </c>
      <c r="T61" s="71">
        <f>IFERROR(s_RadSpec!$H$18*T18,".")*$B$61</f>
        <v>3.40811625E-4</v>
      </c>
      <c r="U61" s="71">
        <f>IFERROR(s_RadSpec!$H$18*U18,".")*$B$61</f>
        <v>3.40811625E-4</v>
      </c>
      <c r="V61" s="71">
        <f>IFERROR(s_RadSpec!$H$18*V18,".")*$B$61</f>
        <v>3.40811625E-4</v>
      </c>
      <c r="W61" s="71">
        <f>IFERROR(s_RadSpec!$H$18*W18,".")*$B$61</f>
        <v>3.40811625E-4</v>
      </c>
      <c r="X61" s="71">
        <f>IFERROR(s_RadSpec!$H$18*X18,".")*$B$61</f>
        <v>3.40811625E-4</v>
      </c>
      <c r="Y61" s="71">
        <f>IFERROR(s_RadSpec!$H$18*Y18,".")*$B$61</f>
        <v>3.40811625E-4</v>
      </c>
      <c r="Z61" s="71">
        <f>IFERROR(s_RadSpec!$H$18*Z18,".")*$B$61</f>
        <v>3.40811625E-4</v>
      </c>
      <c r="AA61" s="71">
        <f>IFERROR(s_RadSpec!$H$18*AA18,".")*$B$61</f>
        <v>3.40811625E-4</v>
      </c>
      <c r="AB61" s="49">
        <f t="shared" si="279"/>
        <v>1.3632465E-3</v>
      </c>
      <c r="AC61" s="49">
        <f t="shared" si="280"/>
        <v>3.40811625E-4</v>
      </c>
      <c r="AD61" s="49">
        <f t="shared" si="281"/>
        <v>3.40811625E-4</v>
      </c>
      <c r="AE61" s="49">
        <f t="shared" si="282"/>
        <v>3.40811625E-4</v>
      </c>
      <c r="AF61" s="49">
        <f t="shared" si="283"/>
        <v>3.40811625E-4</v>
      </c>
      <c r="AG61" s="49">
        <f t="shared" si="284"/>
        <v>3.40811625E-4</v>
      </c>
      <c r="AH61" s="49">
        <f t="shared" si="285"/>
        <v>3.40811625E-4</v>
      </c>
      <c r="AI61" s="49">
        <f t="shared" si="285"/>
        <v>3.40811625E-4</v>
      </c>
      <c r="AJ61" s="49">
        <f t="shared" si="286"/>
        <v>3.40811625E-4</v>
      </c>
      <c r="AK61" s="49">
        <f t="shared" si="287"/>
        <v>3.40811625E-4</v>
      </c>
      <c r="AL61" s="49">
        <f t="shared" si="288"/>
        <v>3.40811625E-4</v>
      </c>
      <c r="AM61" s="49">
        <f t="shared" si="289"/>
        <v>3.40811625E-4</v>
      </c>
      <c r="AN61" s="60">
        <f t="shared" ref="AN61:BB61" si="370">IFERROR(AN18/$B61,0)</f>
        <v>50.477708412993472</v>
      </c>
      <c r="AO61" s="60">
        <f t="shared" si="370"/>
        <v>106522.05547415512</v>
      </c>
      <c r="AP61" s="60">
        <f t="shared" si="370"/>
        <v>1655695.6076416252</v>
      </c>
      <c r="AQ61" s="60">
        <f t="shared" si="370"/>
        <v>2.1689623101486384</v>
      </c>
      <c r="AR61" s="60">
        <f>IFERROR(AR18/$B61,0)</f>
        <v>0.85580022884098117</v>
      </c>
      <c r="AS61" s="60">
        <f>IFERROR(AS18/$B61,0)</f>
        <v>0</v>
      </c>
      <c r="AT61" s="60">
        <f>IFERROR(AT18/$B61,0)</f>
        <v>0.55866977993502243</v>
      </c>
      <c r="AU61" s="60">
        <f>IFERROR(AU18/$B61,0)</f>
        <v>8.2204267619010452</v>
      </c>
      <c r="AV61" s="60">
        <f>IFERROR(AV18/$B61,0)</f>
        <v>0</v>
      </c>
      <c r="AW61" s="60">
        <f t="shared" si="370"/>
        <v>6.9833722491877798E-4</v>
      </c>
      <c r="AX61" s="60">
        <f t="shared" si="370"/>
        <v>5.4064817413066683E-4</v>
      </c>
      <c r="AY61" s="60">
        <f t="shared" si="370"/>
        <v>0</v>
      </c>
      <c r="AZ61" s="60">
        <f>IFERROR(AZ18/$B61,0)</f>
        <v>0.75056070434748678</v>
      </c>
      <c r="BA61" s="60">
        <f t="shared" si="370"/>
        <v>3.3520186796101345E-2</v>
      </c>
      <c r="BB61" s="60">
        <f t="shared" si="370"/>
        <v>0</v>
      </c>
      <c r="BC61" s="118">
        <f t="shared" si="63"/>
        <v>1.9810724999999998E-2</v>
      </c>
      <c r="BD61" s="118">
        <f t="shared" si="64"/>
        <v>9.3877272227686661E-6</v>
      </c>
      <c r="BE61" s="118">
        <f t="shared" si="65"/>
        <v>6.0397575217609061E-7</v>
      </c>
      <c r="BF61" s="118">
        <f t="shared" si="66"/>
        <v>0.46104996630000006</v>
      </c>
      <c r="BG61" s="118">
        <f t="shared" si="67"/>
        <v>1.1684970000000001</v>
      </c>
      <c r="BH61" s="118" t="str">
        <f t="shared" si="68"/>
        <v>.</v>
      </c>
      <c r="BI61" s="118">
        <f t="shared" si="69"/>
        <v>1.7899661587500002</v>
      </c>
      <c r="BJ61" s="118">
        <f t="shared" si="70"/>
        <v>0.12164818554611651</v>
      </c>
      <c r="BK61" s="118" t="str">
        <f t="shared" si="71"/>
        <v>.</v>
      </c>
      <c r="BL61" s="118">
        <f t="shared" si="72"/>
        <v>1431.9729270000003</v>
      </c>
      <c r="BM61" s="118">
        <f t="shared" si="73"/>
        <v>1849.6316973750004</v>
      </c>
      <c r="BN61" s="118" t="str">
        <f t="shared" si="74"/>
        <v>.</v>
      </c>
      <c r="BO61" s="118">
        <f t="shared" si="75"/>
        <v>1.3323372702669902</v>
      </c>
      <c r="BP61" s="118">
        <f t="shared" si="76"/>
        <v>29.832769312500002</v>
      </c>
      <c r="BQ61" s="118" t="str">
        <f t="shared" si="77"/>
        <v>.</v>
      </c>
      <c r="BR61" s="60">
        <f t="shared" si="46"/>
        <v>3.0153808125483615E-4</v>
      </c>
      <c r="BS61" s="71">
        <f>IFERROR(s_RadSpec!$E$18*BS18,".")*$B$61</f>
        <v>9.9053624999999987E-7</v>
      </c>
      <c r="BT61" s="71">
        <f>IFERROR(s_RadSpec!$F$18*BT18,".")*$B$61</f>
        <v>4.6938636113843336E-10</v>
      </c>
      <c r="BU61" s="71">
        <f>IFERROR(s_RadSpec!$G$18*BU18,".")*$B$61</f>
        <v>3.0198787608804531E-11</v>
      </c>
      <c r="BV61" s="71">
        <f>s_b2s!CC61</f>
        <v>2.3052498314999997E-5</v>
      </c>
      <c r="BW61" s="71">
        <f>IFERROR(s_RadSpec!$H$18*BW18,".")*$B$61</f>
        <v>5.842485E-5</v>
      </c>
      <c r="BX61" s="71">
        <f>IFERROR(s_RadSpec!$H$18*BX18,".")*$B$61</f>
        <v>0</v>
      </c>
      <c r="BY61" s="71">
        <f>IFERROR(s_RadSpec!$H$18*BY18,".")*$B$61</f>
        <v>8.9498307937500019E-5</v>
      </c>
      <c r="BZ61" s="71">
        <f>IFERROR(s_RadSpec!$H$18*BZ18,".")*$B$61</f>
        <v>6.0824092773058264E-6</v>
      </c>
      <c r="CA61" s="71">
        <f>IFERROR(s_RadSpec!$H$18*CA18,".")*$B$61</f>
        <v>0</v>
      </c>
      <c r="CB61" s="71">
        <f>IFERROR(s_RadSpec!$H$18*CB18,".")*$B$61</f>
        <v>7.1598646350000003E-2</v>
      </c>
      <c r="CC61" s="71">
        <f>IFERROR(s_RadSpec!$H$18*CC18,".")*$B$61</f>
        <v>9.2481584868750008E-2</v>
      </c>
      <c r="CD61" s="71">
        <f>IFERROR(s_RadSpec!$H$18*CD18,".")*$B$61</f>
        <v>0</v>
      </c>
      <c r="CE61" s="71">
        <f>IFERROR(s_RadSpec!$H$18*CE18,".")*$B$61</f>
        <v>6.661686351334953E-5</v>
      </c>
      <c r="CF61" s="71">
        <f>IFERROR(s_RadSpec!$H$18*CF18,".")*$B$61</f>
        <v>1.4916384656250001E-3</v>
      </c>
      <c r="CG61" s="71">
        <f>IFERROR(s_RadSpec!$H$18*CG18,".")*$B$61</f>
        <v>0</v>
      </c>
      <c r="CH61" s="49">
        <f t="shared" si="291"/>
        <v>9.9053624999999987E-7</v>
      </c>
      <c r="CI61" s="49">
        <f t="shared" si="292"/>
        <v>4.6938636113843336E-10</v>
      </c>
      <c r="CJ61" s="49">
        <f t="shared" si="293"/>
        <v>3.0198787608804531E-11</v>
      </c>
      <c r="CK61" s="49">
        <f t="shared" si="294"/>
        <v>2.3052498314999997E-5</v>
      </c>
      <c r="CL61" s="49">
        <f t="shared" si="295"/>
        <v>5.842485E-5</v>
      </c>
      <c r="CM61" s="49">
        <f t="shared" si="295"/>
        <v>0</v>
      </c>
      <c r="CN61" s="49">
        <f t="shared" si="296"/>
        <v>8.9498307937500019E-5</v>
      </c>
      <c r="CO61" s="49">
        <f t="shared" si="297"/>
        <v>6.0824092773058264E-6</v>
      </c>
      <c r="CP61" s="49">
        <f t="shared" si="298"/>
        <v>0</v>
      </c>
      <c r="CQ61" s="49">
        <f t="shared" si="299"/>
        <v>6.9095557260125395E-2</v>
      </c>
      <c r="CR61" s="49">
        <f t="shared" si="300"/>
        <v>8.833400074108555E-2</v>
      </c>
      <c r="CS61" s="49">
        <f t="shared" si="301"/>
        <v>0</v>
      </c>
      <c r="CT61" s="49">
        <f t="shared" si="302"/>
        <v>6.661686351334953E-5</v>
      </c>
      <c r="CU61" s="49">
        <f t="shared" si="303"/>
        <v>1.4916384656250001E-3</v>
      </c>
      <c r="CV61" s="49">
        <f t="shared" si="304"/>
        <v>0</v>
      </c>
      <c r="CW61" s="49">
        <f t="shared" si="305"/>
        <v>0.15279834876688481</v>
      </c>
      <c r="CX61" s="60">
        <f t="shared" ref="CX61:DL61" si="371">IFERROR(CX18/$B61,0)</f>
        <v>1.0237510237510239</v>
      </c>
      <c r="CY61" s="60" t="str">
        <f>IFERROR(CY18,".")</f>
        <v>.</v>
      </c>
      <c r="CZ61" s="60">
        <f t="shared" si="371"/>
        <v>219444509730.68918</v>
      </c>
      <c r="DA61" s="60">
        <f t="shared" si="371"/>
        <v>2.9639594254894632</v>
      </c>
      <c r="DB61" s="60">
        <f>IFERROR(DB18/$B61,0)</f>
        <v>4.0752391849570531</v>
      </c>
      <c r="DC61" s="60">
        <f>IFERROR(DC18/$B61,0)</f>
        <v>0</v>
      </c>
      <c r="DD61" s="60">
        <f>IFERROR(DD18/$B61,0)</f>
        <v>9780.5740438969278</v>
      </c>
      <c r="DE61" s="60">
        <f>IFERROR(DE18/$B61,0)</f>
        <v>143914.16093162622</v>
      </c>
      <c r="DF61" s="60">
        <f>IFERROR(DF18/$B61,0)</f>
        <v>0</v>
      </c>
      <c r="DG61" s="60">
        <f t="shared" si="371"/>
        <v>12.22571755487116</v>
      </c>
      <c r="DH61" s="60">
        <f t="shared" si="371"/>
        <v>9.4650716553841239</v>
      </c>
      <c r="DI61" s="60">
        <f t="shared" si="371"/>
        <v>0</v>
      </c>
      <c r="DJ61" s="60">
        <f>IFERROR(DJ18/$B61,0)</f>
        <v>13139.988606800656</v>
      </c>
      <c r="DK61" s="60">
        <f t="shared" si="371"/>
        <v>586.83444263381568</v>
      </c>
      <c r="DL61" s="60">
        <f t="shared" si="371"/>
        <v>0</v>
      </c>
      <c r="DM61" s="118">
        <f t="shared" si="80"/>
        <v>0.97679999999999989</v>
      </c>
      <c r="DN61" s="118" t="str">
        <f t="shared" si="81"/>
        <v>.</v>
      </c>
      <c r="DO61" s="118">
        <f t="shared" si="82"/>
        <v>4.55696066958904E-12</v>
      </c>
      <c r="DP61" s="118">
        <f t="shared" si="83"/>
        <v>0.33738653484936343</v>
      </c>
      <c r="DQ61" s="118">
        <f t="shared" si="84"/>
        <v>0.24538437000000002</v>
      </c>
      <c r="DR61" s="118" t="str">
        <f t="shared" si="85"/>
        <v>.</v>
      </c>
      <c r="DS61" s="118">
        <f t="shared" si="86"/>
        <v>1.0224348750000001E-4</v>
      </c>
      <c r="DT61" s="118">
        <f t="shared" si="87"/>
        <v>6.9485865291262143E-6</v>
      </c>
      <c r="DU61" s="118" t="str">
        <f t="shared" si="88"/>
        <v>.</v>
      </c>
      <c r="DV61" s="118">
        <f t="shared" si="89"/>
        <v>8.1794789999999992E-2</v>
      </c>
      <c r="DW61" s="118">
        <f t="shared" si="90"/>
        <v>0.10565160375</v>
      </c>
      <c r="DX61" s="118" t="str">
        <f t="shared" si="91"/>
        <v>.</v>
      </c>
      <c r="DY61" s="118">
        <f t="shared" si="92"/>
        <v>7.6103566747572808E-5</v>
      </c>
      <c r="DZ61" s="118">
        <f t="shared" si="93"/>
        <v>1.704058125E-3</v>
      </c>
      <c r="EA61" s="118" t="str">
        <f t="shared" si="94"/>
        <v>.</v>
      </c>
      <c r="EB61" s="60">
        <f t="shared" si="47"/>
        <v>0.57178580608921636</v>
      </c>
      <c r="EC61" s="71">
        <f>IFERROR(s_RadSpec!$I$18*EC18,".")*$B$61</f>
        <v>4.884E-5</v>
      </c>
      <c r="ED61" s="71">
        <f>IFERROR(s_RadSpec!$F$18*ED18,".")</f>
        <v>0</v>
      </c>
      <c r="EE61" s="71">
        <f>IFERROR(s_RadSpec!$M$18*EE18,".")*$B$61</f>
        <v>2.2784803347945207E-16</v>
      </c>
      <c r="EF61" s="71">
        <f>s_b2w!CC61</f>
        <v>1.6869326742468172E-5</v>
      </c>
      <c r="EG61" s="71">
        <f>IFERROR(s_RadSpec!$H$18*EG18,".")*$B$61</f>
        <v>1.22692185E-5</v>
      </c>
      <c r="EH61" s="71">
        <f>IFERROR(s_RadSpec!$H$18*EH18,".")*$B$61</f>
        <v>0</v>
      </c>
      <c r="EI61" s="71">
        <f>IFERROR(s_RadSpec!$H$18*EI18,".")*$B$61</f>
        <v>5.1121743750000011E-9</v>
      </c>
      <c r="EJ61" s="71">
        <f>IFERROR(s_RadSpec!$H$18*EJ18,".")*$B$61</f>
        <v>3.4742932645631072E-10</v>
      </c>
      <c r="EK61" s="71">
        <f>IFERROR(s_RadSpec!$H$18*EK18,".")*$B$61</f>
        <v>0</v>
      </c>
      <c r="EL61" s="71">
        <f>IFERROR(s_RadSpec!$H$18*EL18,".")*$B$61</f>
        <v>4.0897394999999997E-6</v>
      </c>
      <c r="EM61" s="71">
        <f>IFERROR(s_RadSpec!$H$18*EM18,".")*$B$61</f>
        <v>5.2825801875000004E-6</v>
      </c>
      <c r="EN61" s="71">
        <f>IFERROR(s_RadSpec!$H$18*EN18,".")*$B$61</f>
        <v>0</v>
      </c>
      <c r="EO61" s="71">
        <f>IFERROR(s_RadSpec!$H$18*EO18,".")*$B$61</f>
        <v>3.8051783373786406E-9</v>
      </c>
      <c r="EP61" s="71">
        <f>IFERROR(s_RadSpec!$H$18*EP18,".")*$B$61</f>
        <v>8.5202906250000003E-8</v>
      </c>
      <c r="EQ61" s="71">
        <f>IFERROR(s_RadSpec!$H$18*EQ18,".")*$B$61</f>
        <v>0</v>
      </c>
      <c r="ER61" s="49">
        <f t="shared" si="307"/>
        <v>4.884E-5</v>
      </c>
      <c r="ES61" s="49">
        <f t="shared" si="308"/>
        <v>0</v>
      </c>
      <c r="ET61" s="49">
        <f t="shared" si="309"/>
        <v>2.2784803347945207E-16</v>
      </c>
      <c r="EU61" s="49">
        <f t="shared" si="310"/>
        <v>1.6869326742468172E-5</v>
      </c>
      <c r="EV61" s="49">
        <f t="shared" si="311"/>
        <v>1.22692185E-5</v>
      </c>
      <c r="EW61" s="49">
        <f t="shared" si="311"/>
        <v>0</v>
      </c>
      <c r="EX61" s="49">
        <f t="shared" si="312"/>
        <v>5.1121743750000011E-9</v>
      </c>
      <c r="EY61" s="49">
        <f t="shared" si="313"/>
        <v>3.4742932645631072E-10</v>
      </c>
      <c r="EZ61" s="49">
        <f t="shared" si="314"/>
        <v>0</v>
      </c>
      <c r="FA61" s="49">
        <f t="shared" si="315"/>
        <v>4.0897394999999997E-6</v>
      </c>
      <c r="FB61" s="49">
        <f t="shared" si="316"/>
        <v>5.2825801875000004E-6</v>
      </c>
      <c r="FC61" s="49">
        <f t="shared" si="317"/>
        <v>0</v>
      </c>
      <c r="FD61" s="49">
        <f t="shared" si="318"/>
        <v>3.8051783373786406E-9</v>
      </c>
      <c r="FE61" s="49">
        <f t="shared" si="319"/>
        <v>8.5202906250000003E-8</v>
      </c>
      <c r="FF61" s="49">
        <f t="shared" si="320"/>
        <v>0</v>
      </c>
      <c r="FG61" s="49">
        <f t="shared" si="321"/>
        <v>8.7445332618484825E-5</v>
      </c>
      <c r="FH61" s="60">
        <f>IFERROR(FH18/$B61,0)</f>
        <v>0.34383707853095613</v>
      </c>
      <c r="FI61" s="60">
        <f>IFERROR(FI18/$B61,0)</f>
        <v>762048643.84690726</v>
      </c>
      <c r="FJ61" s="60">
        <f>IFERROR(FJ18/$B61,0)</f>
        <v>0.34383707837581651</v>
      </c>
      <c r="FK61" s="71">
        <f>IFERROR(s_RadSpec!$F$18*FK18,".")*$B$61</f>
        <v>1.4541770833333332E-4</v>
      </c>
      <c r="FL61" s="71">
        <f>IFERROR(s_RadSpec!$K$18*FL18,".")*$B$61</f>
        <v>6.5612609383561654E-14</v>
      </c>
      <c r="FM61" s="49">
        <f t="shared" si="322"/>
        <v>1.4541770833333332E-4</v>
      </c>
      <c r="FN61" s="49">
        <f t="shared" si="322"/>
        <v>6.5612609383561654E-14</v>
      </c>
      <c r="FO61" s="49">
        <f t="shared" si="323"/>
        <v>1.4541770839894593E-4</v>
      </c>
    </row>
    <row r="62" spans="1:171" x14ac:dyDescent="0.25">
      <c r="A62" s="83" t="s">
        <v>1097</v>
      </c>
      <c r="B62" s="42">
        <v>1.339E-6</v>
      </c>
      <c r="C62" s="249"/>
      <c r="D62" s="60">
        <f t="shared" ref="D62:O62" si="372">IFERROR(D27/$B62,0)</f>
        <v>0</v>
      </c>
      <c r="E62" s="60">
        <f t="shared" si="372"/>
        <v>0</v>
      </c>
      <c r="F62" s="60">
        <f t="shared" si="372"/>
        <v>0</v>
      </c>
      <c r="G62" s="60">
        <f t="shared" si="372"/>
        <v>0</v>
      </c>
      <c r="H62" s="60">
        <f t="shared" si="372"/>
        <v>0</v>
      </c>
      <c r="I62" s="60">
        <f t="shared" si="372"/>
        <v>0</v>
      </c>
      <c r="J62" s="60">
        <f t="shared" si="372"/>
        <v>0</v>
      </c>
      <c r="K62" s="60">
        <f t="shared" ref="K62" si="373">IFERROR(K27/$B62,0)</f>
        <v>0</v>
      </c>
      <c r="L62" s="60">
        <f t="shared" si="372"/>
        <v>0</v>
      </c>
      <c r="M62" s="60">
        <f t="shared" si="372"/>
        <v>0</v>
      </c>
      <c r="N62" s="60">
        <f t="shared" si="372"/>
        <v>0</v>
      </c>
      <c r="O62" s="60">
        <f t="shared" si="372"/>
        <v>0</v>
      </c>
      <c r="P62" s="71">
        <f>s_dir!BC62</f>
        <v>0</v>
      </c>
      <c r="Q62" s="71">
        <f>IFERROR(s_RadSpec!$H$27*Q27,".")*$B$62</f>
        <v>0</v>
      </c>
      <c r="R62" s="71">
        <f>IFERROR(s_RadSpec!$H$27*R27,".")*$B$62</f>
        <v>0</v>
      </c>
      <c r="S62" s="71">
        <f>IFERROR(s_RadSpec!$H$27*S27,".")*$B$62</f>
        <v>0</v>
      </c>
      <c r="T62" s="71">
        <f>IFERROR(s_RadSpec!$H$27*T27,".")*$B$62</f>
        <v>0</v>
      </c>
      <c r="U62" s="71">
        <f>IFERROR(s_RadSpec!$H$27*U27,".")*$B$62</f>
        <v>0</v>
      </c>
      <c r="V62" s="71">
        <f>IFERROR(s_RadSpec!$H$27*V27,".")*$B$62</f>
        <v>0</v>
      </c>
      <c r="W62" s="71">
        <f>IFERROR(s_RadSpec!$H$27*W27,".")*$B$62</f>
        <v>0</v>
      </c>
      <c r="X62" s="71">
        <f>IFERROR(s_RadSpec!$H$27*X27,".")*$B$62</f>
        <v>0</v>
      </c>
      <c r="Y62" s="71">
        <f>IFERROR(s_RadSpec!$H$27*Y27,".")*$B$62</f>
        <v>0</v>
      </c>
      <c r="Z62" s="71">
        <f>IFERROR(s_RadSpec!$H$27*Z27,".")*$B$62</f>
        <v>0</v>
      </c>
      <c r="AA62" s="71">
        <f>IFERROR(s_RadSpec!$H$27*AA27,".")*$B$62</f>
        <v>0</v>
      </c>
      <c r="AB62" s="49">
        <f t="shared" si="279"/>
        <v>0</v>
      </c>
      <c r="AC62" s="49">
        <f t="shared" si="280"/>
        <v>0</v>
      </c>
      <c r="AD62" s="49">
        <f t="shared" si="281"/>
        <v>0</v>
      </c>
      <c r="AE62" s="49">
        <f t="shared" si="282"/>
        <v>0</v>
      </c>
      <c r="AF62" s="49">
        <f t="shared" si="283"/>
        <v>0</v>
      </c>
      <c r="AG62" s="49">
        <f t="shared" si="284"/>
        <v>0</v>
      </c>
      <c r="AH62" s="49">
        <f t="shared" si="285"/>
        <v>0</v>
      </c>
      <c r="AI62" s="49">
        <f t="shared" si="285"/>
        <v>0</v>
      </c>
      <c r="AJ62" s="49">
        <f t="shared" si="286"/>
        <v>0</v>
      </c>
      <c r="AK62" s="49">
        <f t="shared" si="287"/>
        <v>0</v>
      </c>
      <c r="AL62" s="49">
        <f t="shared" si="288"/>
        <v>0</v>
      </c>
      <c r="AM62" s="49">
        <f t="shared" si="289"/>
        <v>0</v>
      </c>
      <c r="AN62" s="60">
        <f t="shared" ref="AN62:BB62" si="374">IFERROR(AN27/$B62,0)</f>
        <v>0</v>
      </c>
      <c r="AO62" s="60">
        <f t="shared" si="374"/>
        <v>0</v>
      </c>
      <c r="AP62" s="60">
        <f t="shared" si="374"/>
        <v>14977034509.505713</v>
      </c>
      <c r="AQ62" s="60">
        <f t="shared" si="374"/>
        <v>0</v>
      </c>
      <c r="AR62" s="60">
        <f>IFERROR(AR27/$B62,0)</f>
        <v>0</v>
      </c>
      <c r="AS62" s="60">
        <f>IFERROR(AS27/$B62,0)</f>
        <v>0</v>
      </c>
      <c r="AT62" s="60">
        <f>IFERROR(AT27/$B62,0)</f>
        <v>0</v>
      </c>
      <c r="AU62" s="60">
        <f>IFERROR(AU27/$B62,0)</f>
        <v>0</v>
      </c>
      <c r="AV62" s="60">
        <f>IFERROR(AV27/$B62,0)</f>
        <v>0</v>
      </c>
      <c r="AW62" s="60">
        <f t="shared" si="374"/>
        <v>0</v>
      </c>
      <c r="AX62" s="60">
        <f t="shared" si="374"/>
        <v>0</v>
      </c>
      <c r="AY62" s="60">
        <f t="shared" si="374"/>
        <v>0</v>
      </c>
      <c r="AZ62" s="60">
        <f>IFERROR(AZ27/$B62,0)</f>
        <v>0</v>
      </c>
      <c r="BA62" s="60">
        <f t="shared" si="374"/>
        <v>0</v>
      </c>
      <c r="BB62" s="60">
        <f t="shared" si="374"/>
        <v>0</v>
      </c>
      <c r="BC62" s="118" t="str">
        <f t="shared" si="63"/>
        <v>.</v>
      </c>
      <c r="BD62" s="118" t="str">
        <f t="shared" si="64"/>
        <v>.</v>
      </c>
      <c r="BE62" s="118">
        <f t="shared" si="65"/>
        <v>6.6768892023672254E-11</v>
      </c>
      <c r="BF62" s="118" t="str">
        <f t="shared" si="66"/>
        <v>.</v>
      </c>
      <c r="BG62" s="118" t="str">
        <f t="shared" si="67"/>
        <v>.</v>
      </c>
      <c r="BH62" s="118" t="str">
        <f t="shared" si="68"/>
        <v>.</v>
      </c>
      <c r="BI62" s="118" t="str">
        <f t="shared" si="69"/>
        <v>.</v>
      </c>
      <c r="BJ62" s="118" t="str">
        <f t="shared" si="70"/>
        <v>.</v>
      </c>
      <c r="BK62" s="118" t="str">
        <f t="shared" si="71"/>
        <v>.</v>
      </c>
      <c r="BL62" s="118" t="str">
        <f t="shared" si="72"/>
        <v>.</v>
      </c>
      <c r="BM62" s="118" t="str">
        <f t="shared" si="73"/>
        <v>.</v>
      </c>
      <c r="BN62" s="118" t="str">
        <f t="shared" si="74"/>
        <v>.</v>
      </c>
      <c r="BO62" s="118" t="str">
        <f t="shared" si="75"/>
        <v>.</v>
      </c>
      <c r="BP62" s="118" t="str">
        <f t="shared" si="76"/>
        <v>.</v>
      </c>
      <c r="BQ62" s="118" t="str">
        <f t="shared" si="77"/>
        <v>.</v>
      </c>
      <c r="BR62" s="60">
        <f t="shared" si="46"/>
        <v>14977034509.505713</v>
      </c>
      <c r="BS62" s="71">
        <f>IFERROR(s_RadSpec!$E$27*BS27,".")*$B$62</f>
        <v>0</v>
      </c>
      <c r="BT62" s="71">
        <f>IFERROR(s_RadSpec!$F$27*BT27,".")*$B$62</f>
        <v>0</v>
      </c>
      <c r="BU62" s="71">
        <f>IFERROR(s_RadSpec!$G$27*BU27,".")*$B$62</f>
        <v>3.3384446011836123E-15</v>
      </c>
      <c r="BV62" s="71">
        <f>s_b2s!CC62</f>
        <v>0</v>
      </c>
      <c r="BW62" s="71">
        <f>IFERROR(s_RadSpec!$H$27*BW27,".")*$B$62</f>
        <v>0</v>
      </c>
      <c r="BX62" s="71">
        <f>IFERROR(s_RadSpec!$H$27*BX27,".")*$B$62</f>
        <v>0</v>
      </c>
      <c r="BY62" s="71">
        <f>IFERROR(s_RadSpec!$H$27*BY27,".")*$B$62</f>
        <v>0</v>
      </c>
      <c r="BZ62" s="71">
        <f>IFERROR(s_RadSpec!$H$27*BZ27,".")*$B$62</f>
        <v>0</v>
      </c>
      <c r="CA62" s="71">
        <f>IFERROR(s_RadSpec!$H$27*CA27,".")*$B$62</f>
        <v>0</v>
      </c>
      <c r="CB62" s="71">
        <f>IFERROR(s_RadSpec!$H$27*CB27,".")*$B$62</f>
        <v>0</v>
      </c>
      <c r="CC62" s="71">
        <f>IFERROR(s_RadSpec!$H$27*CC27,".")*$B$62</f>
        <v>0</v>
      </c>
      <c r="CD62" s="71">
        <f>IFERROR(s_RadSpec!$H$27*CD27,".")*$B$62</f>
        <v>0</v>
      </c>
      <c r="CE62" s="71">
        <f>IFERROR(s_RadSpec!$H$27*CE27,".")*$B$62</f>
        <v>0</v>
      </c>
      <c r="CF62" s="71">
        <f>IFERROR(s_RadSpec!$H$27*CF27,".")*$B$62</f>
        <v>0</v>
      </c>
      <c r="CG62" s="71">
        <f>IFERROR(s_RadSpec!$H$27*CG27,".")*$B$62</f>
        <v>0</v>
      </c>
      <c r="CH62" s="49">
        <f t="shared" si="291"/>
        <v>0</v>
      </c>
      <c r="CI62" s="49">
        <f t="shared" si="292"/>
        <v>0</v>
      </c>
      <c r="CJ62" s="49">
        <f t="shared" si="293"/>
        <v>3.3384446011836123E-15</v>
      </c>
      <c r="CK62" s="49">
        <f t="shared" si="294"/>
        <v>0</v>
      </c>
      <c r="CL62" s="49">
        <f t="shared" si="295"/>
        <v>0</v>
      </c>
      <c r="CM62" s="49">
        <f t="shared" si="295"/>
        <v>0</v>
      </c>
      <c r="CN62" s="49">
        <f t="shared" si="296"/>
        <v>0</v>
      </c>
      <c r="CO62" s="49">
        <f t="shared" si="297"/>
        <v>0</v>
      </c>
      <c r="CP62" s="49">
        <f t="shared" si="298"/>
        <v>0</v>
      </c>
      <c r="CQ62" s="49">
        <f t="shared" si="299"/>
        <v>0</v>
      </c>
      <c r="CR62" s="49">
        <f t="shared" si="300"/>
        <v>0</v>
      </c>
      <c r="CS62" s="49">
        <f t="shared" si="301"/>
        <v>0</v>
      </c>
      <c r="CT62" s="49">
        <f t="shared" si="302"/>
        <v>0</v>
      </c>
      <c r="CU62" s="49">
        <f t="shared" si="303"/>
        <v>0</v>
      </c>
      <c r="CV62" s="49">
        <f t="shared" si="304"/>
        <v>0</v>
      </c>
      <c r="CW62" s="49">
        <f t="shared" si="305"/>
        <v>3.3384446011836123E-15</v>
      </c>
      <c r="CX62" s="60">
        <f t="shared" ref="CX62:DL62" si="375">IFERROR(CX27/$B62,0)</f>
        <v>0</v>
      </c>
      <c r="CY62" s="60" t="str">
        <f>IFERROR(CY27,".")</f>
        <v>.</v>
      </c>
      <c r="CZ62" s="60">
        <f t="shared" si="375"/>
        <v>1010635655966579.4</v>
      </c>
      <c r="DA62" s="60">
        <f t="shared" si="375"/>
        <v>0</v>
      </c>
      <c r="DB62" s="60">
        <f>IFERROR(DB27/$B62,0)</f>
        <v>0</v>
      </c>
      <c r="DC62" s="60">
        <f>IFERROR(DC27/$B62,0)</f>
        <v>0</v>
      </c>
      <c r="DD62" s="60">
        <f>IFERROR(DD27/$B62,0)</f>
        <v>0</v>
      </c>
      <c r="DE62" s="60">
        <f>IFERROR(DE27/$B62,0)</f>
        <v>0</v>
      </c>
      <c r="DF62" s="60">
        <f>IFERROR(DF27/$B62,0)</f>
        <v>0</v>
      </c>
      <c r="DG62" s="60">
        <f t="shared" si="375"/>
        <v>0</v>
      </c>
      <c r="DH62" s="60">
        <f t="shared" si="375"/>
        <v>0</v>
      </c>
      <c r="DI62" s="60">
        <f t="shared" si="375"/>
        <v>0</v>
      </c>
      <c r="DJ62" s="60">
        <f>IFERROR(DJ27/$B62,0)</f>
        <v>0</v>
      </c>
      <c r="DK62" s="60">
        <f t="shared" si="375"/>
        <v>0</v>
      </c>
      <c r="DL62" s="60">
        <f t="shared" si="375"/>
        <v>0</v>
      </c>
      <c r="DM62" s="118" t="str">
        <f t="shared" si="80"/>
        <v>.</v>
      </c>
      <c r="DN62" s="118" t="str">
        <f t="shared" si="81"/>
        <v>.</v>
      </c>
      <c r="DO62" s="118">
        <f t="shared" si="82"/>
        <v>9.8947627079671218E-16</v>
      </c>
      <c r="DP62" s="118" t="str">
        <f t="shared" si="83"/>
        <v>.</v>
      </c>
      <c r="DQ62" s="118" t="str">
        <f t="shared" si="84"/>
        <v>.</v>
      </c>
      <c r="DR62" s="118" t="str">
        <f t="shared" si="85"/>
        <v>.</v>
      </c>
      <c r="DS62" s="118" t="str">
        <f t="shared" si="86"/>
        <v>.</v>
      </c>
      <c r="DT62" s="118" t="str">
        <f t="shared" si="87"/>
        <v>.</v>
      </c>
      <c r="DU62" s="118" t="str">
        <f t="shared" si="88"/>
        <v>.</v>
      </c>
      <c r="DV62" s="118" t="str">
        <f t="shared" si="89"/>
        <v>.</v>
      </c>
      <c r="DW62" s="118" t="str">
        <f t="shared" si="90"/>
        <v>.</v>
      </c>
      <c r="DX62" s="118" t="str">
        <f t="shared" si="91"/>
        <v>.</v>
      </c>
      <c r="DY62" s="118" t="str">
        <f t="shared" si="92"/>
        <v>.</v>
      </c>
      <c r="DZ62" s="118" t="str">
        <f t="shared" si="93"/>
        <v>.</v>
      </c>
      <c r="EA62" s="118" t="str">
        <f t="shared" si="94"/>
        <v>.</v>
      </c>
      <c r="EB62" s="60">
        <f t="shared" si="47"/>
        <v>1010635655966579.4</v>
      </c>
      <c r="EC62" s="71">
        <f>IFERROR(s_RadSpec!$I$27*EC27,".")*$B$62</f>
        <v>0</v>
      </c>
      <c r="ED62" s="71">
        <f>IFERROR(s_RadSpec!$F$27*ED27,".")</f>
        <v>0</v>
      </c>
      <c r="EE62" s="71">
        <f>IFERROR(s_RadSpec!$M$27*EE27,".")*$B$62</f>
        <v>4.9473813539835614E-20</v>
      </c>
      <c r="EF62" s="71">
        <f>s_b2w!CC62</f>
        <v>0</v>
      </c>
      <c r="EG62" s="71">
        <f>IFERROR(s_RadSpec!$H$27*EG27,".")*$B$62</f>
        <v>0</v>
      </c>
      <c r="EH62" s="71">
        <f>IFERROR(s_RadSpec!$H$27*EH27,".")*$B$62</f>
        <v>0</v>
      </c>
      <c r="EI62" s="71">
        <f>IFERROR(s_RadSpec!$H$27*EI27,".")*$B$62</f>
        <v>0</v>
      </c>
      <c r="EJ62" s="71">
        <f>IFERROR(s_RadSpec!$H$27*EJ27,".")*$B$62</f>
        <v>0</v>
      </c>
      <c r="EK62" s="71">
        <f>IFERROR(s_RadSpec!$H$27*EK27,".")*$B$62</f>
        <v>0</v>
      </c>
      <c r="EL62" s="71">
        <f>IFERROR(s_RadSpec!$H$27*EL27,".")*$B$62</f>
        <v>0</v>
      </c>
      <c r="EM62" s="71">
        <f>IFERROR(s_RadSpec!$H$27*EM27,".")*$B$62</f>
        <v>0</v>
      </c>
      <c r="EN62" s="71">
        <f>IFERROR(s_RadSpec!$H$27*EN27,".")*$B$62</f>
        <v>0</v>
      </c>
      <c r="EO62" s="71">
        <f>IFERROR(s_RadSpec!$H$27*EO27,".")*$B$62</f>
        <v>0</v>
      </c>
      <c r="EP62" s="71">
        <f>IFERROR(s_RadSpec!$H$27*EP27,".")*$B$62</f>
        <v>0</v>
      </c>
      <c r="EQ62" s="71">
        <f>IFERROR(s_RadSpec!$H$27*EQ27,".")*$B$62</f>
        <v>0</v>
      </c>
      <c r="ER62" s="49">
        <f t="shared" si="307"/>
        <v>0</v>
      </c>
      <c r="ES62" s="49">
        <f t="shared" si="308"/>
        <v>0</v>
      </c>
      <c r="ET62" s="49">
        <f t="shared" si="309"/>
        <v>4.9473813539835614E-20</v>
      </c>
      <c r="EU62" s="49">
        <f t="shared" si="310"/>
        <v>0</v>
      </c>
      <c r="EV62" s="49">
        <f t="shared" si="311"/>
        <v>0</v>
      </c>
      <c r="EW62" s="49">
        <f t="shared" si="311"/>
        <v>0</v>
      </c>
      <c r="EX62" s="49">
        <f t="shared" si="312"/>
        <v>0</v>
      </c>
      <c r="EY62" s="49">
        <f t="shared" si="313"/>
        <v>0</v>
      </c>
      <c r="EZ62" s="49">
        <f t="shared" si="314"/>
        <v>0</v>
      </c>
      <c r="FA62" s="49">
        <f t="shared" si="315"/>
        <v>0</v>
      </c>
      <c r="FB62" s="49">
        <f t="shared" si="316"/>
        <v>0</v>
      </c>
      <c r="FC62" s="49">
        <f t="shared" si="317"/>
        <v>0</v>
      </c>
      <c r="FD62" s="49">
        <f t="shared" si="318"/>
        <v>0</v>
      </c>
      <c r="FE62" s="49">
        <f t="shared" si="319"/>
        <v>0</v>
      </c>
      <c r="FF62" s="49">
        <f t="shared" si="320"/>
        <v>0</v>
      </c>
      <c r="FG62" s="49">
        <f t="shared" si="321"/>
        <v>4.9473813539835614E-20</v>
      </c>
      <c r="FH62" s="60">
        <f>IFERROR(FH27/$B62,0)</f>
        <v>0</v>
      </c>
      <c r="FI62" s="60">
        <f>IFERROR(FI27/$B62,0)</f>
        <v>2530983207985.8687</v>
      </c>
      <c r="FJ62" s="60">
        <f>IFERROR(FJ27/$B62,0)</f>
        <v>2530983207985.8687</v>
      </c>
      <c r="FK62" s="71">
        <f>IFERROR(s_RadSpec!$F$27*FK27,".")*$B$62</f>
        <v>0</v>
      </c>
      <c r="FL62" s="71">
        <f>IFERROR(s_RadSpec!$K$27*FL27,".")*$B$62</f>
        <v>1.9755168600976031E-17</v>
      </c>
      <c r="FM62" s="49">
        <f t="shared" si="322"/>
        <v>0</v>
      </c>
      <c r="FN62" s="49">
        <f t="shared" si="322"/>
        <v>1.9755168600976031E-17</v>
      </c>
      <c r="FO62" s="49">
        <f t="shared" si="323"/>
        <v>1.9755168600976031E-17</v>
      </c>
    </row>
    <row r="63" spans="1:171" x14ac:dyDescent="0.25">
      <c r="A63" s="82" t="s">
        <v>35</v>
      </c>
      <c r="B63" s="82" t="s">
        <v>1071</v>
      </c>
      <c r="C63" s="57"/>
      <c r="D63" s="58">
        <f>1/SUM(1/D66,1/D68,1/D72,1/D73,1/D75)</f>
        <v>2.3998970479463734E-2</v>
      </c>
      <c r="E63" s="58">
        <f t="shared" ref="E63:O63" si="376">1/SUM(1/E66,1/E68,1/E72,1/E73,1/E75)</f>
        <v>9.5995881917854936E-2</v>
      </c>
      <c r="F63" s="58">
        <f t="shared" si="376"/>
        <v>9.5995881917854936E-2</v>
      </c>
      <c r="G63" s="58">
        <f t="shared" si="376"/>
        <v>9.5995881917854936E-2</v>
      </c>
      <c r="H63" s="58">
        <f t="shared" si="376"/>
        <v>9.5995881917854936E-2</v>
      </c>
      <c r="I63" s="58">
        <f t="shared" si="376"/>
        <v>9.5995881917854936E-2</v>
      </c>
      <c r="J63" s="58">
        <f t="shared" si="376"/>
        <v>9.5995881917854936E-2</v>
      </c>
      <c r="K63" s="58">
        <f t="shared" ref="K63" si="377">1/SUM(1/K66,1/K68,1/K72,1/K73,1/K75)</f>
        <v>9.5995881917854936E-2</v>
      </c>
      <c r="L63" s="58">
        <f t="shared" si="376"/>
        <v>9.5995881917854936E-2</v>
      </c>
      <c r="M63" s="58">
        <f t="shared" si="376"/>
        <v>9.5995881917854936E-2</v>
      </c>
      <c r="N63" s="58">
        <f t="shared" si="376"/>
        <v>9.5995881917854936E-2</v>
      </c>
      <c r="O63" s="58">
        <f t="shared" si="376"/>
        <v>9.5995881917854936E-2</v>
      </c>
      <c r="P63" s="73"/>
      <c r="Q63" s="70"/>
      <c r="R63" s="70"/>
      <c r="S63" s="70"/>
      <c r="T63" s="70"/>
      <c r="U63" s="70"/>
      <c r="V63" s="70"/>
      <c r="W63" s="70"/>
      <c r="X63" s="70"/>
      <c r="Y63" s="70"/>
      <c r="Z63" s="70"/>
      <c r="AA63" s="70"/>
      <c r="AB63" s="47">
        <f t="shared" ref="AB63:AM63" si="378">IFERROR(IF(SUM(P64:P76)&gt;0.01,1-EXP(-SUM(P64:P76)),SUM(P64:P76)),".")</f>
        <v>2.0834228226425319E-3</v>
      </c>
      <c r="AC63" s="47">
        <f t="shared" si="378"/>
        <v>5.2085567631729999E-4</v>
      </c>
      <c r="AD63" s="47">
        <f t="shared" si="378"/>
        <v>5.2085567631729999E-4</v>
      </c>
      <c r="AE63" s="47">
        <f t="shared" si="378"/>
        <v>5.2085567631729999E-4</v>
      </c>
      <c r="AF63" s="47">
        <f t="shared" si="378"/>
        <v>5.2085567631729999E-4</v>
      </c>
      <c r="AG63" s="47">
        <f t="shared" si="378"/>
        <v>5.2085567631729999E-4</v>
      </c>
      <c r="AH63" s="47">
        <f t="shared" si="378"/>
        <v>5.2085567631729999E-4</v>
      </c>
      <c r="AI63" s="47">
        <f t="shared" si="378"/>
        <v>5.2085567631729999E-4</v>
      </c>
      <c r="AJ63" s="47">
        <f t="shared" si="378"/>
        <v>5.2085567631729999E-4</v>
      </c>
      <c r="AK63" s="47">
        <f t="shared" si="378"/>
        <v>5.2085567631729999E-4</v>
      </c>
      <c r="AL63" s="47">
        <f t="shared" si="378"/>
        <v>5.2085567631729999E-4</v>
      </c>
      <c r="AM63" s="47">
        <f t="shared" si="378"/>
        <v>5.2085567631729999E-4</v>
      </c>
      <c r="AN63" s="58">
        <f t="shared" ref="AN63:AQ63" si="379">1/SUM(1/AN66,1/AN68,1/AN72,1/AN73,1/AN75)</f>
        <v>32.949066985224057</v>
      </c>
      <c r="AO63" s="58">
        <f t="shared" si="379"/>
        <v>49884.302664885872</v>
      </c>
      <c r="AP63" s="58">
        <f t="shared" si="379"/>
        <v>7.0238003675682759</v>
      </c>
      <c r="AQ63" s="58">
        <f t="shared" si="379"/>
        <v>1.2487595239666274</v>
      </c>
      <c r="AR63" s="58">
        <f>1/SUM(1/AR66,1/AR68,1/AR72,1/AR73,1/AR75)</f>
        <v>0.56715061143814205</v>
      </c>
      <c r="AS63" s="58">
        <f>1/SUM(1/AS66,1/AS72)</f>
        <v>1.9148533562033534</v>
      </c>
      <c r="AT63" s="58">
        <f>1/SUM(1/AT66,1/AT68,1/AT72,1/AT73,1/AT75)</f>
        <v>0.4940571947299095</v>
      </c>
      <c r="AU63" s="58">
        <f>1/SUM(1/AU66,1/AU68,1/AU72,1/AU73,1/AU75)</f>
        <v>5.3759738388156242</v>
      </c>
      <c r="AV63" s="119" t="str">
        <f>IFERROR(1/SUM(1/AV66,1/AV68,1/AV72,1/AV73,1/AV75),".")</f>
        <v>.</v>
      </c>
      <c r="AW63" s="58">
        <f>1/SUM(1/AW75)</f>
        <v>6.9833722491877798E-4</v>
      </c>
      <c r="AX63" s="58">
        <f>1/SUM(1/AX75)</f>
        <v>5.4064817413066683E-4</v>
      </c>
      <c r="AY63" s="119" t="str">
        <f>IFERROR(1/SUM(1/AY66,1/AY68,1/AY72,1/AY73,1/AY75),".")</f>
        <v>.</v>
      </c>
      <c r="AZ63" s="58">
        <f>1/SUM(1/AZ66,1/AZ72,1/AZ75)</f>
        <v>0.31446253325573947</v>
      </c>
      <c r="BA63" s="58">
        <f>1/SUM(1/BA66,1/BA72,1/BA75)</f>
        <v>3.1167408628063404E-2</v>
      </c>
      <c r="BB63" s="58">
        <f>1/SUM(1/BB66,1/BB72)</f>
        <v>9.277985139137114E-2</v>
      </c>
      <c r="BC63" s="118">
        <f t="shared" si="63"/>
        <v>3.0349873046434002E-2</v>
      </c>
      <c r="BD63" s="118">
        <f t="shared" si="64"/>
        <v>2.0046386269400764E-5</v>
      </c>
      <c r="BE63" s="118">
        <f t="shared" si="65"/>
        <v>0.1423730669535262</v>
      </c>
      <c r="BF63" s="118">
        <f t="shared" si="66"/>
        <v>0.80079469329975228</v>
      </c>
      <c r="BG63" s="118">
        <f t="shared" si="67"/>
        <v>1.763200073899714</v>
      </c>
      <c r="BH63" s="118">
        <f t="shared" si="68"/>
        <v>0.52223320222428671</v>
      </c>
      <c r="BI63" s="118">
        <f t="shared" si="69"/>
        <v>2.0240571550560631</v>
      </c>
      <c r="BJ63" s="118">
        <f t="shared" si="70"/>
        <v>0.18601280995450473</v>
      </c>
      <c r="BK63" s="118" t="str">
        <f t="shared" si="71"/>
        <v>.</v>
      </c>
      <c r="BL63" s="118">
        <f t="shared" si="72"/>
        <v>1431.9729270000003</v>
      </c>
      <c r="BM63" s="118">
        <f t="shared" si="73"/>
        <v>1849.6316973750004</v>
      </c>
      <c r="BN63" s="118" t="str">
        <f t="shared" si="74"/>
        <v>.</v>
      </c>
      <c r="BO63" s="118">
        <f t="shared" si="75"/>
        <v>3.1800290789705654</v>
      </c>
      <c r="BP63" s="118">
        <f t="shared" si="76"/>
        <v>32.084797678674875</v>
      </c>
      <c r="BQ63" s="118">
        <f t="shared" si="77"/>
        <v>10.778202217437521</v>
      </c>
      <c r="BR63" s="59">
        <f t="shared" si="46"/>
        <v>3.0001949878287801E-4</v>
      </c>
      <c r="BS63" s="70"/>
      <c r="BT63" s="70"/>
      <c r="BU63" s="70"/>
      <c r="BV63" s="73"/>
      <c r="BW63" s="70"/>
      <c r="BX63" s="70"/>
      <c r="BY63" s="70"/>
      <c r="BZ63" s="70"/>
      <c r="CA63" s="70"/>
      <c r="CB63" s="70"/>
      <c r="CC63" s="70"/>
      <c r="CD63" s="70"/>
      <c r="CE63" s="70"/>
      <c r="CF63" s="70"/>
      <c r="CG63" s="70"/>
      <c r="CH63" s="47">
        <f t="shared" ref="CH63:CV63" si="380">IFERROR(IF(SUM(BS64:BS76)&gt;0.01,1-EXP(-SUM(BS64:BS76)),SUM(BS64:BS76)),".")</f>
        <v>1.5174936523217003E-6</v>
      </c>
      <c r="CI63" s="47">
        <f t="shared" si="380"/>
        <v>1.0028429394575739E-9</v>
      </c>
      <c r="CJ63" s="47">
        <f t="shared" si="380"/>
        <v>7.1220972175248025E-6</v>
      </c>
      <c r="CK63" s="47">
        <f t="shared" si="380"/>
        <v>4.0039737320234707E-5</v>
      </c>
      <c r="CL63" s="47">
        <f t="shared" si="380"/>
        <v>8.8160003694985679E-5</v>
      </c>
      <c r="CM63" s="47">
        <f t="shared" si="380"/>
        <v>2.6111660111214335E-5</v>
      </c>
      <c r="CN63" s="47">
        <f t="shared" si="380"/>
        <v>1.0120285775280316E-4</v>
      </c>
      <c r="CO63" s="47">
        <f t="shared" si="380"/>
        <v>9.3006404977252366E-6</v>
      </c>
      <c r="CP63" s="47">
        <f t="shared" si="380"/>
        <v>0</v>
      </c>
      <c r="CQ63" s="47">
        <f t="shared" si="380"/>
        <v>6.9095557260125395E-2</v>
      </c>
      <c r="CR63" s="47">
        <f t="shared" si="380"/>
        <v>8.833400074108555E-2</v>
      </c>
      <c r="CS63" s="47">
        <f t="shared" si="380"/>
        <v>0</v>
      </c>
      <c r="CT63" s="47">
        <f t="shared" si="380"/>
        <v>1.5900145394852827E-4</v>
      </c>
      <c r="CU63" s="47">
        <f t="shared" si="380"/>
        <v>1.6042398839337438E-3</v>
      </c>
      <c r="CV63" s="47">
        <f t="shared" si="380"/>
        <v>5.3891011087187622E-4</v>
      </c>
      <c r="CW63" s="47">
        <f>IFERROR(IF(SUM(BS64:CG76)&gt;0.01,1-EXP(-SUM(BS64:CG76)),SUM(BS64:CG76)),".")</f>
        <v>0.15350910892725955</v>
      </c>
      <c r="CX63" s="59">
        <f t="shared" ref="CX63:DA63" si="381">1/SUM(1/CX66,1/CX68,1/CX72,1/CX73,1/CX75)</f>
        <v>0.6810298647897064</v>
      </c>
      <c r="CY63" s="58">
        <f>1/SUM(1/CY64,1/CY65,1/CY66,1/CY68)</f>
        <v>344.42145213017039</v>
      </c>
      <c r="CZ63" s="59">
        <f>1/SUM(1/CZ64,1/CZ65,1/CZ66,1/CZ67,1/CZ68,1/CZ69,1/CZ70,1/CZ73,1/CZ76,1/CZ71,1/CZ72,1/CZ74,1/CZ75)</f>
        <v>1189647.9210713324</v>
      </c>
      <c r="DA63" s="59">
        <f t="shared" si="381"/>
        <v>1.8700941361019989</v>
      </c>
      <c r="DB63" s="59">
        <f>1/SUM(1/DB66,1/DB68,1/DB72,1/DB73,1/DB75)</f>
        <v>2.9850354682102429</v>
      </c>
      <c r="DC63" s="59">
        <f>1/SUM(1/DC66,1/DC72)</f>
        <v>12.76568904135569</v>
      </c>
      <c r="DD63" s="59">
        <f>1/SUM(1/DD66,1/DD68,1/DD72,1/DD73,1/DD75)</f>
        <v>8687.5031633071212</v>
      </c>
      <c r="DE63" s="59">
        <f>1/SUM(1/DE66,1/DE68,1/DE72,1/DE73,1/DE75)</f>
        <v>95896.991241787095</v>
      </c>
      <c r="DF63" s="59" t="str">
        <f>(IFERROR(1/SUM(1/DF64,1/DF65,1/DF66,1/DF67,1/DF68,1/DF69,1/DF70,1/DF73,1/DF76),"."))</f>
        <v>.</v>
      </c>
      <c r="DG63" s="59">
        <f>1/SUM(1/DG75)</f>
        <v>12.225717554871162</v>
      </c>
      <c r="DH63" s="59">
        <f>1/SUM(1/DH75)</f>
        <v>9.4650716553841239</v>
      </c>
      <c r="DI63" s="59" t="str">
        <f>(IFERROR(1/SUM(1/DI64,1/DI65,1/DI66,1/DI67,1/DI68,1/DI69,1/DI70,1/DI73,1/DI76),"."))</f>
        <v>.</v>
      </c>
      <c r="DJ63" s="59">
        <f t="shared" ref="DJ63" si="382">1/SUM(1/DJ66,1/DJ72,1/DJ75)</f>
        <v>5561.3418264312386</v>
      </c>
      <c r="DK63" s="59">
        <f>1/SUM(1/DK66,1/DK72,1/DK75)</f>
        <v>546.31007762127354</v>
      </c>
      <c r="DL63" s="59">
        <f>1/SUM(1/DL66,1/DL72)</f>
        <v>1652.9743638692566</v>
      </c>
      <c r="DM63" s="118">
        <f t="shared" si="80"/>
        <v>1.4683643870871765</v>
      </c>
      <c r="DN63" s="118">
        <f t="shared" si="81"/>
        <v>2.9034196151697914E-3</v>
      </c>
      <c r="DO63" s="118">
        <f t="shared" si="82"/>
        <v>8.4058483378801199E-7</v>
      </c>
      <c r="DP63" s="118">
        <f t="shared" si="83"/>
        <v>0.5347324397713944</v>
      </c>
      <c r="DQ63" s="118">
        <f t="shared" si="84"/>
        <v>0.335004394637755</v>
      </c>
      <c r="DR63" s="118">
        <f t="shared" si="85"/>
        <v>7.8334980333643001E-2</v>
      </c>
      <c r="DS63" s="118">
        <f t="shared" si="86"/>
        <v>1.1510787175579275E-4</v>
      </c>
      <c r="DT63" s="118">
        <f t="shared" si="87"/>
        <v>1.0427855838340945E-5</v>
      </c>
      <c r="DU63" s="118" t="str">
        <f t="shared" si="88"/>
        <v>.</v>
      </c>
      <c r="DV63" s="118">
        <f t="shared" si="89"/>
        <v>8.1794789999999992E-2</v>
      </c>
      <c r="DW63" s="118">
        <f t="shared" si="90"/>
        <v>0.10565160375</v>
      </c>
      <c r="DX63" s="118" t="str">
        <f t="shared" si="91"/>
        <v>.</v>
      </c>
      <c r="DY63" s="118">
        <f t="shared" si="92"/>
        <v>1.7981271988125726E-4</v>
      </c>
      <c r="DZ63" s="118">
        <f t="shared" si="93"/>
        <v>1.830462297811106E-3</v>
      </c>
      <c r="EA63" s="118">
        <f t="shared" si="94"/>
        <v>6.0497005994649279E-4</v>
      </c>
      <c r="EB63" s="59">
        <f t="shared" si="47"/>
        <v>0.38321111682441772</v>
      </c>
      <c r="EC63" s="70"/>
      <c r="ED63" s="70"/>
      <c r="EE63" s="70"/>
      <c r="EF63" s="73"/>
      <c r="EG63" s="70"/>
      <c r="EH63" s="70"/>
      <c r="EI63" s="70"/>
      <c r="EJ63" s="70"/>
      <c r="EK63" s="70"/>
      <c r="EL63" s="70"/>
      <c r="EM63" s="70"/>
      <c r="EN63" s="70"/>
      <c r="EO63" s="70"/>
      <c r="EP63" s="70"/>
      <c r="EQ63" s="70"/>
      <c r="ER63" s="47">
        <f>IFERROR(IF(SUM(EC64:EC76)&gt;0.01,1-EXP(-SUM(EC64:EC76)),SUM(EC64:EC76)),".")</f>
        <v>7.3418219354358835E-5</v>
      </c>
      <c r="ES63" s="47">
        <f t="shared" ref="ES63:FF63" si="383">IFERROR(IF(SUM(ED64:ED76)&gt;0.01,1-EXP(-SUM(ED64:ED76)),SUM(ED64:ED76)),".")</f>
        <v>1.4517098075848961E-7</v>
      </c>
      <c r="ET63" s="47">
        <f t="shared" si="383"/>
        <v>4.2029241689400612E-11</v>
      </c>
      <c r="EU63" s="47">
        <f t="shared" si="383"/>
        <v>2.6736623574213332E-5</v>
      </c>
      <c r="EV63" s="47">
        <f t="shared" si="383"/>
        <v>1.6750219731887749E-5</v>
      </c>
      <c r="EW63" s="47">
        <f t="shared" si="383"/>
        <v>3.9167490166821496E-6</v>
      </c>
      <c r="EX63" s="47">
        <f t="shared" si="383"/>
        <v>5.7553935877896386E-9</v>
      </c>
      <c r="EY63" s="47">
        <f t="shared" si="383"/>
        <v>5.2139279191704733E-10</v>
      </c>
      <c r="EZ63" s="47">
        <f t="shared" si="383"/>
        <v>0</v>
      </c>
      <c r="FA63" s="47">
        <f t="shared" si="383"/>
        <v>4.0897394999999997E-6</v>
      </c>
      <c r="FB63" s="47">
        <f t="shared" si="383"/>
        <v>5.2825801875000004E-6</v>
      </c>
      <c r="FC63" s="47">
        <f t="shared" si="383"/>
        <v>0</v>
      </c>
      <c r="FD63" s="47">
        <f t="shared" si="383"/>
        <v>8.9906359940628655E-9</v>
      </c>
      <c r="FE63" s="47">
        <f t="shared" si="383"/>
        <v>9.1523114890555295E-8</v>
      </c>
      <c r="FF63" s="47">
        <f t="shared" si="383"/>
        <v>3.0248502997324645E-8</v>
      </c>
      <c r="FG63" s="47">
        <f>IFERROR(IF(SUM(EC64:EQ76)&gt;0.01,1-EXP(-SUM(EC64:EQ76)),SUM(EC64:EQ76)),".")</f>
        <v>1.3047638341490389E-4</v>
      </c>
      <c r="FH63" s="59">
        <f>1/SUM(1/FH64,1/FH65,1/FH66,1/FH68,1/FH73,1/FH72,1/FH75)</f>
        <v>0.16093490691913381</v>
      </c>
      <c r="FI63" s="59">
        <f t="shared" ref="FI63:FJ63" si="384">1/SUM(1/FI64,1/FI65,1/FI66,1/FI67,1/FI68,1/FI69,1/FI70,1/FI73,1/FI76,1/FI71,1/FI72,1/FI74,1/FI75)</f>
        <v>4124.3617233116993</v>
      </c>
      <c r="FJ63" s="59">
        <f t="shared" si="384"/>
        <v>0.16092862739386232</v>
      </c>
      <c r="FK63" s="70"/>
      <c r="FL63" s="70"/>
      <c r="FM63" s="47">
        <f>IFERROR(IF(SUM(FK64:FK76)&gt;0.01,1-EXP(-SUM(FK64:FK76)),SUM(FK64:FK76)),".")</f>
        <v>3.1068461750889057E-4</v>
      </c>
      <c r="FN63" s="47">
        <f>IFERROR(IF(SUM(FL64:FL76)&gt;0.01,1-EXP(-SUM(FL64:FL76)),SUM(FL64:FL76)),".")</f>
        <v>1.2123087971986121E-8</v>
      </c>
      <c r="FO63" s="47">
        <f>IFERROR(IF(SUM(FK64:FL76)&gt;0.01,1-EXP(-SUM(FK64:FL76)),SUM(FK64:FL76)),".")</f>
        <v>3.106967405968626E-4</v>
      </c>
    </row>
    <row r="64" spans="1:171" x14ac:dyDescent="0.25">
      <c r="A64" s="83" t="s">
        <v>1087</v>
      </c>
      <c r="B64" s="42">
        <v>1</v>
      </c>
      <c r="C64" s="178"/>
      <c r="D64" s="60">
        <f t="shared" ref="D64:O64" si="385">IFERROR(D25/$B50,0)</f>
        <v>0</v>
      </c>
      <c r="E64" s="60">
        <f t="shared" si="385"/>
        <v>0</v>
      </c>
      <c r="F64" s="60">
        <f t="shared" si="385"/>
        <v>0</v>
      </c>
      <c r="G64" s="60">
        <f t="shared" si="385"/>
        <v>0</v>
      </c>
      <c r="H64" s="60">
        <f t="shared" si="385"/>
        <v>0</v>
      </c>
      <c r="I64" s="60">
        <f t="shared" si="385"/>
        <v>0</v>
      </c>
      <c r="J64" s="60">
        <f t="shared" si="385"/>
        <v>0</v>
      </c>
      <c r="K64" s="60">
        <f t="shared" ref="K64" si="386">IFERROR(K25/$B50,0)</f>
        <v>0</v>
      </c>
      <c r="L64" s="60">
        <f t="shared" si="385"/>
        <v>0</v>
      </c>
      <c r="M64" s="60">
        <f t="shared" si="385"/>
        <v>0</v>
      </c>
      <c r="N64" s="60">
        <f t="shared" si="385"/>
        <v>0</v>
      </c>
      <c r="O64" s="60">
        <f t="shared" si="385"/>
        <v>0</v>
      </c>
      <c r="P64" s="71">
        <f>s_dir!BC64</f>
        <v>0</v>
      </c>
      <c r="Q64" s="71">
        <f>IFERROR(s_RadSpec!$H$25*Q25,".")*$B$64</f>
        <v>0</v>
      </c>
      <c r="R64" s="71">
        <f>IFERROR(s_RadSpec!$H$25*R25,".")*$B$64</f>
        <v>0</v>
      </c>
      <c r="S64" s="71">
        <f>IFERROR(s_RadSpec!$H$25*S25,".")*$B$64</f>
        <v>0</v>
      </c>
      <c r="T64" s="71">
        <f>IFERROR(s_RadSpec!$H$25*T25,".")*$B$64</f>
        <v>0</v>
      </c>
      <c r="U64" s="71">
        <f>IFERROR(s_RadSpec!$H$25*U25,".")*$B$64</f>
        <v>0</v>
      </c>
      <c r="V64" s="71">
        <f>IFERROR(s_RadSpec!$H$25*V25,".")*$B$64</f>
        <v>0</v>
      </c>
      <c r="W64" s="71">
        <f>IFERROR(s_RadSpec!$H$25*W25,".")*$B$64</f>
        <v>0</v>
      </c>
      <c r="X64" s="71">
        <f>IFERROR(s_RadSpec!$H$25*X25,".")*$B$64</f>
        <v>0</v>
      </c>
      <c r="Y64" s="71">
        <f>IFERROR(s_RadSpec!$H$25*Y25,".")*$B$64</f>
        <v>0</v>
      </c>
      <c r="Z64" s="71">
        <f>IFERROR(s_RadSpec!$H$25*Z25,".")*$B$64</f>
        <v>0</v>
      </c>
      <c r="AA64" s="71">
        <f>IFERROR(s_RadSpec!$H$25*AA25,".")*$B$64</f>
        <v>0</v>
      </c>
      <c r="AB64" s="49">
        <f t="shared" ref="AB64:AB76" si="387">IFERROR(IF(P64&gt;0.01,1-EXP(-P64),P64),".")</f>
        <v>0</v>
      </c>
      <c r="AC64" s="49">
        <f t="shared" ref="AC64:AC76" si="388">IFERROR(IF(Q64&gt;0.01,1-EXP(-Q64),Q64),".")</f>
        <v>0</v>
      </c>
      <c r="AD64" s="49">
        <f t="shared" ref="AD64:AD76" si="389">IFERROR(IF(R64&gt;0.01,1-EXP(-R64),R64),".")</f>
        <v>0</v>
      </c>
      <c r="AE64" s="49">
        <f t="shared" ref="AE64:AE76" si="390">IFERROR(IF(S64&gt;0.01,1-EXP(-S64),S64),".")</f>
        <v>0</v>
      </c>
      <c r="AF64" s="49">
        <f t="shared" ref="AF64:AF76" si="391">IFERROR(IF(T64&gt;0.01,1-EXP(-T64),T64),".")</f>
        <v>0</v>
      </c>
      <c r="AG64" s="49">
        <f t="shared" ref="AG64:AG76" si="392">IFERROR(IF(U64&gt;0.01,1-EXP(-U64),U64),".")</f>
        <v>0</v>
      </c>
      <c r="AH64" s="49">
        <f t="shared" ref="AH64:AI76" si="393">IFERROR(IF(V64&gt;0.01,1-EXP(-V64),V64),".")</f>
        <v>0</v>
      </c>
      <c r="AI64" s="49">
        <f t="shared" si="393"/>
        <v>0</v>
      </c>
      <c r="AJ64" s="49">
        <f t="shared" ref="AJ64:AJ76" si="394">IFERROR(IF(X64&gt;0.01,1-EXP(-X64),X64),".")</f>
        <v>0</v>
      </c>
      <c r="AK64" s="49">
        <f t="shared" ref="AK64:AK76" si="395">IFERROR(IF(Y64&gt;0.01,1-EXP(-Y64),Y64),".")</f>
        <v>0</v>
      </c>
      <c r="AL64" s="49">
        <f t="shared" ref="AL64:AL76" si="396">IFERROR(IF(Z64&gt;0.01,1-EXP(-Z64),Z64),".")</f>
        <v>0</v>
      </c>
      <c r="AM64" s="49">
        <f t="shared" ref="AM64:AM76" si="397">IFERROR(IF(AA64&gt;0.01,1-EXP(-AA64),AA64),".")</f>
        <v>0</v>
      </c>
      <c r="AN64" s="60">
        <f t="shared" ref="AN64:BB64" si="398">IFERROR(AN25/$B50,0)</f>
        <v>0</v>
      </c>
      <c r="AO64" s="60">
        <f t="shared" si="398"/>
        <v>677629777.45488858</v>
      </c>
      <c r="AP64" s="60">
        <f t="shared" si="398"/>
        <v>62967.597862067298</v>
      </c>
      <c r="AQ64" s="60">
        <f t="shared" si="398"/>
        <v>0</v>
      </c>
      <c r="AR64" s="60">
        <f>IFERROR(AR25/$B50,0)</f>
        <v>0</v>
      </c>
      <c r="AS64" s="60">
        <f>IFERROR(AS25/$B50,0)</f>
        <v>0</v>
      </c>
      <c r="AT64" s="60">
        <f>IFERROR(AT25/$B50,0)</f>
        <v>0</v>
      </c>
      <c r="AU64" s="60">
        <f>IFERROR(AU25/$B50,0)</f>
        <v>0</v>
      </c>
      <c r="AV64" s="60">
        <f>IFERROR(AV25/$B50,0)</f>
        <v>0</v>
      </c>
      <c r="AW64" s="60">
        <f t="shared" si="398"/>
        <v>0</v>
      </c>
      <c r="AX64" s="60">
        <f t="shared" si="398"/>
        <v>0</v>
      </c>
      <c r="AY64" s="60">
        <f t="shared" si="398"/>
        <v>0</v>
      </c>
      <c r="AZ64" s="60">
        <f>IFERROR(AZ25/$B50,0)</f>
        <v>0</v>
      </c>
      <c r="BA64" s="60">
        <f t="shared" si="398"/>
        <v>0</v>
      </c>
      <c r="BB64" s="60">
        <f t="shared" si="398"/>
        <v>0</v>
      </c>
      <c r="BC64" s="118" t="str">
        <f t="shared" si="63"/>
        <v>.</v>
      </c>
      <c r="BD64" s="118">
        <f t="shared" si="64"/>
        <v>1.4757320785929782E-9</v>
      </c>
      <c r="BE64" s="118">
        <f t="shared" si="65"/>
        <v>1.5881183877945204E-5</v>
      </c>
      <c r="BF64" s="118" t="str">
        <f t="shared" si="66"/>
        <v>.</v>
      </c>
      <c r="BG64" s="118" t="str">
        <f t="shared" si="67"/>
        <v>.</v>
      </c>
      <c r="BH64" s="118" t="str">
        <f t="shared" si="68"/>
        <v>.</v>
      </c>
      <c r="BI64" s="118" t="str">
        <f t="shared" si="69"/>
        <v>.</v>
      </c>
      <c r="BJ64" s="118" t="str">
        <f t="shared" si="70"/>
        <v>.</v>
      </c>
      <c r="BK64" s="118" t="str">
        <f t="shared" si="71"/>
        <v>.</v>
      </c>
      <c r="BL64" s="118" t="str">
        <f t="shared" si="72"/>
        <v>.</v>
      </c>
      <c r="BM64" s="118" t="str">
        <f t="shared" si="73"/>
        <v>.</v>
      </c>
      <c r="BN64" s="118" t="str">
        <f t="shared" si="74"/>
        <v>.</v>
      </c>
      <c r="BO64" s="118" t="str">
        <f t="shared" si="75"/>
        <v>.</v>
      </c>
      <c r="BP64" s="118" t="str">
        <f t="shared" si="76"/>
        <v>.</v>
      </c>
      <c r="BQ64" s="118" t="str">
        <f t="shared" si="77"/>
        <v>.</v>
      </c>
      <c r="BR64" s="60">
        <f t="shared" si="46"/>
        <v>62961.747248482498</v>
      </c>
      <c r="BS64" s="71">
        <f>IFERROR(s_RadSpec!$E$25*BS25,".")*$B$64</f>
        <v>0</v>
      </c>
      <c r="BT64" s="71">
        <f>IFERROR(s_RadSpec!$F$25*BT25,".")*$B$64</f>
        <v>7.3786603929648917E-14</v>
      </c>
      <c r="BU64" s="71">
        <f>IFERROR(s_RadSpec!$G$25*BU25,".")*$B$64</f>
        <v>7.9405919389726007E-10</v>
      </c>
      <c r="BV64" s="71">
        <f>s_b2s!CC64</f>
        <v>0</v>
      </c>
      <c r="BW64" s="71">
        <f>IFERROR(s_RadSpec!$H$25*BW25,".")*$B$64</f>
        <v>0</v>
      </c>
      <c r="BX64" s="71">
        <f>IFERROR(s_RadSpec!$H$25*BX25,".")*$B$64</f>
        <v>0</v>
      </c>
      <c r="BY64" s="71">
        <f>IFERROR(s_RadSpec!$H$25*BY25,".")*$B$64</f>
        <v>0</v>
      </c>
      <c r="BZ64" s="71">
        <f>IFERROR(s_RadSpec!$H$25*BZ25,".")*$B$64</f>
        <v>0</v>
      </c>
      <c r="CA64" s="71">
        <f>IFERROR(s_RadSpec!$H$25*CA25,".")*$B$64</f>
        <v>0</v>
      </c>
      <c r="CB64" s="71">
        <f>IFERROR(s_RadSpec!$H$25*CB25,".")*$B$64</f>
        <v>0</v>
      </c>
      <c r="CC64" s="71">
        <f>IFERROR(s_RadSpec!$H$25*CC25,".")*$B$64</f>
        <v>0</v>
      </c>
      <c r="CD64" s="71">
        <f>IFERROR(s_RadSpec!$H$25*CD25,".")*$B$64</f>
        <v>0</v>
      </c>
      <c r="CE64" s="71">
        <f>IFERROR(s_RadSpec!$H$25*CE25,".")*$B$64</f>
        <v>0</v>
      </c>
      <c r="CF64" s="71">
        <f>IFERROR(s_RadSpec!$H$25*CF25,".")*$B$64</f>
        <v>0</v>
      </c>
      <c r="CG64" s="71">
        <f>IFERROR(s_RadSpec!$H$25*CG25,".")*$B$64</f>
        <v>0</v>
      </c>
      <c r="CH64" s="49">
        <f t="shared" ref="CH64:CH76" si="399">IFERROR(IF(BS64&gt;0.01,1-EXP(-BS64),BS64),".")</f>
        <v>0</v>
      </c>
      <c r="CI64" s="49">
        <f t="shared" ref="CI64:CI76" si="400">IFERROR(IF(BT64&gt;0.01,1-EXP(-BT64),BT64),".")</f>
        <v>7.3786603929648917E-14</v>
      </c>
      <c r="CJ64" s="49">
        <f t="shared" ref="CJ64:CJ76" si="401">IFERROR(IF(BU64&gt;0.01,1-EXP(-BU64),BU64),".")</f>
        <v>7.9405919389726007E-10</v>
      </c>
      <c r="CK64" s="49">
        <f t="shared" ref="CK64:CK76" si="402">IFERROR(IF(BV64&gt;0.01,1-EXP(-BV64),BV64),".")</f>
        <v>0</v>
      </c>
      <c r="CL64" s="49">
        <f t="shared" ref="CL64:CM76" si="403">IFERROR(IF(BW64&gt;0.01,1-EXP(-BW64),BW64),".")</f>
        <v>0</v>
      </c>
      <c r="CM64" s="49">
        <f t="shared" si="403"/>
        <v>0</v>
      </c>
      <c r="CN64" s="49">
        <f t="shared" ref="CN64:CN76" si="404">IFERROR(IF(BY64&gt;0.01,1-EXP(-BY64),BY64),".")</f>
        <v>0</v>
      </c>
      <c r="CO64" s="49">
        <f t="shared" ref="CO64:CO76" si="405">IFERROR(IF(BZ64&gt;0.01,1-EXP(-BZ64),BZ64),".")</f>
        <v>0</v>
      </c>
      <c r="CP64" s="49">
        <f t="shared" ref="CP64:CP76" si="406">IFERROR(IF(CA64&gt;0.01,1-EXP(-CA64),CA64),".")</f>
        <v>0</v>
      </c>
      <c r="CQ64" s="49">
        <f t="shared" ref="CQ64:CQ76" si="407">IFERROR(IF(CB64&gt;0.01,1-EXP(-CB64),CB64),".")</f>
        <v>0</v>
      </c>
      <c r="CR64" s="49">
        <f t="shared" ref="CR64:CR76" si="408">IFERROR(IF(CC64&gt;0.01,1-EXP(-CC64),CC64),".")</f>
        <v>0</v>
      </c>
      <c r="CS64" s="49">
        <f t="shared" ref="CS64:CS76" si="409">IFERROR(IF(CD64&gt;0.01,1-EXP(-CD64),CD64),".")</f>
        <v>0</v>
      </c>
      <c r="CT64" s="49">
        <f t="shared" ref="CT64:CT76" si="410">IFERROR(IF(CE64&gt;0.01,1-EXP(-CE64),CE64),".")</f>
        <v>0</v>
      </c>
      <c r="CU64" s="49">
        <f t="shared" ref="CU64:CU76" si="411">IFERROR(IF(CF64&gt;0.01,1-EXP(-CF64),CF64),".")</f>
        <v>0</v>
      </c>
      <c r="CV64" s="49">
        <f t="shared" ref="CV64:CV76" si="412">IFERROR(IF(CG64&gt;0.01,1-EXP(-CG64),CG64),".")</f>
        <v>0</v>
      </c>
      <c r="CW64" s="49">
        <f t="shared" ref="CW64:CW76" si="413">IFERROR(IF(SUM(BS64:CG64)&gt;0.01,1-EXP(-SUM(BS64:CG64)),SUM(BS64:CG64)),".")</f>
        <v>7.9413298050118973E-10</v>
      </c>
      <c r="CX64" s="60">
        <f t="shared" ref="CX64:DL64" si="414">IFERROR(CX25/$B50,0)</f>
        <v>0</v>
      </c>
      <c r="CY64" s="60">
        <f>IFERROR(CY25,".")</f>
        <v>4374.5727956254277</v>
      </c>
      <c r="CZ64" s="60">
        <f t="shared" si="414"/>
        <v>5664730367.4666271</v>
      </c>
      <c r="DA64" s="60">
        <f t="shared" si="414"/>
        <v>0</v>
      </c>
      <c r="DB64" s="60">
        <f>IFERROR(DB25/$B50,0)</f>
        <v>0</v>
      </c>
      <c r="DC64" s="60">
        <f>IFERROR(DC25/$B50,0)</f>
        <v>0</v>
      </c>
      <c r="DD64" s="60">
        <f>IFERROR(DD25/$B50,0)</f>
        <v>0</v>
      </c>
      <c r="DE64" s="60">
        <f>IFERROR(DE25/$B50,0)</f>
        <v>0</v>
      </c>
      <c r="DF64" s="60">
        <f>IFERROR(DF25/$B50,0)</f>
        <v>0</v>
      </c>
      <c r="DG64" s="60">
        <f t="shared" si="414"/>
        <v>0</v>
      </c>
      <c r="DH64" s="60">
        <f t="shared" si="414"/>
        <v>0</v>
      </c>
      <c r="DI64" s="60">
        <f t="shared" si="414"/>
        <v>0</v>
      </c>
      <c r="DJ64" s="60">
        <f>IFERROR(DJ25/$B50,0)</f>
        <v>0</v>
      </c>
      <c r="DK64" s="60">
        <f t="shared" si="414"/>
        <v>0</v>
      </c>
      <c r="DL64" s="60">
        <f t="shared" si="414"/>
        <v>0</v>
      </c>
      <c r="DM64" s="118" t="str">
        <f t="shared" si="80"/>
        <v>.</v>
      </c>
      <c r="DN64" s="118">
        <f t="shared" si="81"/>
        <v>2.2859374999999998E-4</v>
      </c>
      <c r="DO64" s="118">
        <f t="shared" si="82"/>
        <v>1.765309088219178E-10</v>
      </c>
      <c r="DP64" s="118" t="str">
        <f t="shared" si="83"/>
        <v>.</v>
      </c>
      <c r="DQ64" s="118" t="str">
        <f t="shared" si="84"/>
        <v>.</v>
      </c>
      <c r="DR64" s="118" t="str">
        <f t="shared" si="85"/>
        <v>.</v>
      </c>
      <c r="DS64" s="118" t="str">
        <f t="shared" si="86"/>
        <v>.</v>
      </c>
      <c r="DT64" s="118" t="str">
        <f t="shared" si="87"/>
        <v>.</v>
      </c>
      <c r="DU64" s="118" t="str">
        <f t="shared" si="88"/>
        <v>.</v>
      </c>
      <c r="DV64" s="118" t="str">
        <f t="shared" si="89"/>
        <v>.</v>
      </c>
      <c r="DW64" s="118" t="str">
        <f t="shared" si="90"/>
        <v>.</v>
      </c>
      <c r="DX64" s="118" t="str">
        <f t="shared" si="91"/>
        <v>.</v>
      </c>
      <c r="DY64" s="118" t="str">
        <f t="shared" si="92"/>
        <v>.</v>
      </c>
      <c r="DZ64" s="118" t="str">
        <f t="shared" si="93"/>
        <v>.</v>
      </c>
      <c r="EA64" s="118" t="str">
        <f t="shared" si="94"/>
        <v>.</v>
      </c>
      <c r="EB64" s="60">
        <f t="shared" si="47"/>
        <v>4374.5694173759566</v>
      </c>
      <c r="EC64" s="71">
        <f>IFERROR(s_RadSpec!$I$25*EC25,".")*$B$64</f>
        <v>0</v>
      </c>
      <c r="ED64" s="71">
        <f>IFERROR(s_RadSpec!$F$25*ED25,".")</f>
        <v>1.1429687499999998E-8</v>
      </c>
      <c r="EE64" s="71">
        <f>IFERROR(s_RadSpec!$M$25*EE25,".")*$B$64</f>
        <v>8.8265454410958909E-15</v>
      </c>
      <c r="EF64" s="71">
        <f>s_b2w!CC64</f>
        <v>0</v>
      </c>
      <c r="EG64" s="71">
        <f>IFERROR(s_RadSpec!$H$25*EG25,".")*$B$64</f>
        <v>0</v>
      </c>
      <c r="EH64" s="71">
        <f>IFERROR(s_RadSpec!$H$25*EH25,".")*$B$64</f>
        <v>0</v>
      </c>
      <c r="EI64" s="71">
        <f>IFERROR(s_RadSpec!$H$25*EI25,".")*$B$64</f>
        <v>0</v>
      </c>
      <c r="EJ64" s="71">
        <f>IFERROR(s_RadSpec!$H$25*EJ25,".")*$B$64</f>
        <v>0</v>
      </c>
      <c r="EK64" s="71">
        <f>IFERROR(s_RadSpec!$H$25*EK25,".")*$B$64</f>
        <v>0</v>
      </c>
      <c r="EL64" s="71">
        <f>IFERROR(s_RadSpec!$H$25*EL25,".")*$B$64</f>
        <v>0</v>
      </c>
      <c r="EM64" s="71">
        <f>IFERROR(s_RadSpec!$H$25*EM25,".")*$B$64</f>
        <v>0</v>
      </c>
      <c r="EN64" s="71">
        <f>IFERROR(s_RadSpec!$H$25*EN25,".")*$B$64</f>
        <v>0</v>
      </c>
      <c r="EO64" s="71">
        <f>IFERROR(s_RadSpec!$H$25*EO25,".")*$B$64</f>
        <v>0</v>
      </c>
      <c r="EP64" s="71">
        <f>IFERROR(s_RadSpec!$H$25*EP25,".")*$B$64</f>
        <v>0</v>
      </c>
      <c r="EQ64" s="71">
        <f>IFERROR(s_RadSpec!$H$25*EQ25,".")*$B$64</f>
        <v>0</v>
      </c>
      <c r="ER64" s="49">
        <f t="shared" ref="ER64:ER76" si="415">IFERROR(IF(EC64&gt;0.01,1-EXP(-EC64),EC64),".")</f>
        <v>0</v>
      </c>
      <c r="ES64" s="49">
        <f t="shared" ref="ES64:ES76" si="416">IFERROR(IF(ED64&gt;0.01,1-EXP(-ED64),ED64),".")</f>
        <v>1.1429687499999998E-8</v>
      </c>
      <c r="ET64" s="49">
        <f t="shared" ref="ET64:ET76" si="417">IFERROR(IF(EE64&gt;0.01,1-EXP(-EE64),EE64),".")</f>
        <v>8.8265454410958909E-15</v>
      </c>
      <c r="EU64" s="49">
        <f t="shared" ref="EU64:EU76" si="418">IFERROR(IF(EF64&gt;0.01,1-EXP(-EF64),EF64),".")</f>
        <v>0</v>
      </c>
      <c r="EV64" s="49">
        <f t="shared" ref="EV64:EW76" si="419">IFERROR(IF(EG64&gt;0.01,1-EXP(-EG64),EG64),".")</f>
        <v>0</v>
      </c>
      <c r="EW64" s="49">
        <f t="shared" si="419"/>
        <v>0</v>
      </c>
      <c r="EX64" s="49">
        <f t="shared" ref="EX64:EX76" si="420">IFERROR(IF(EI64&gt;0.01,1-EXP(-EI64),EI64),".")</f>
        <v>0</v>
      </c>
      <c r="EY64" s="49">
        <f t="shared" ref="EY64:EY76" si="421">IFERROR(IF(EJ64&gt;0.01,1-EXP(-EJ64),EJ64),".")</f>
        <v>0</v>
      </c>
      <c r="EZ64" s="49">
        <f t="shared" ref="EZ64:EZ76" si="422">IFERROR(IF(EK64&gt;0.01,1-EXP(-EK64),EK64),".")</f>
        <v>0</v>
      </c>
      <c r="FA64" s="49">
        <f t="shared" ref="FA64:FA76" si="423">IFERROR(IF(EL64&gt;0.01,1-EXP(-EL64),EL64),".")</f>
        <v>0</v>
      </c>
      <c r="FB64" s="49">
        <f t="shared" ref="FB64:FB76" si="424">IFERROR(IF(EM64&gt;0.01,1-EXP(-EM64),EM64),".")</f>
        <v>0</v>
      </c>
      <c r="FC64" s="49">
        <f t="shared" ref="FC64:FC76" si="425">IFERROR(IF(EN64&gt;0.01,1-EXP(-EN64),EN64),".")</f>
        <v>0</v>
      </c>
      <c r="FD64" s="49">
        <f t="shared" ref="FD64:FD76" si="426">IFERROR(IF(EO64&gt;0.01,1-EXP(-EO64),EO64),".")</f>
        <v>0</v>
      </c>
      <c r="FE64" s="49">
        <f t="shared" ref="FE64:FE76" si="427">IFERROR(IF(EP64&gt;0.01,1-EXP(-EP64),EP64),".")</f>
        <v>0</v>
      </c>
      <c r="FF64" s="49">
        <f t="shared" ref="FF64:FF76" si="428">IFERROR(IF(EQ64&gt;0.01,1-EXP(-EQ64),EQ64),".")</f>
        <v>0</v>
      </c>
      <c r="FG64" s="49">
        <f t="shared" ref="FG64:FG76" si="429">IFERROR(IF(SUM(EC64:EQ64)&gt;0.01,1-EXP(-SUM(EC64:EQ64)),SUM(EC64:EQ64)),".")</f>
        <v>1.142969632654544E-8</v>
      </c>
      <c r="FH64" s="60">
        <f>IFERROR(FH25/$B50,0)</f>
        <v>2187.2863978127139</v>
      </c>
      <c r="FI64" s="60">
        <f>IFERROR(FI25/$B50,0)</f>
        <v>19626864.352316026</v>
      </c>
      <c r="FJ64" s="60">
        <f>IFERROR(FJ25/$B50,0)</f>
        <v>2187.0426661299962</v>
      </c>
      <c r="FK64" s="71">
        <f>IFERROR(s_RadSpec!$F$25*FK25,".")*$B$64</f>
        <v>2.2859374999999997E-8</v>
      </c>
      <c r="FL64" s="71">
        <f>IFERROR(s_RadSpec!$K$25*FL25,".")*$B$64</f>
        <v>2.5475286883561649E-12</v>
      </c>
      <c r="FM64" s="49">
        <f t="shared" ref="FM64:FN76" si="430">IFERROR(IF(FK64&gt;0.01,1-EXP(-FK64),FK64),".")</f>
        <v>2.2859374999999997E-8</v>
      </c>
      <c r="FN64" s="49">
        <f t="shared" si="430"/>
        <v>2.5475286883561649E-12</v>
      </c>
      <c r="FO64" s="49">
        <f t="shared" ref="FO64:FO76" si="431">IFERROR(IF(SUM(FK64:FL64)&gt;0.01,1-EXP(-SUM(FK64:FL64)),SUM(FK64:FL64)),".")</f>
        <v>2.2861922528688354E-8</v>
      </c>
    </row>
    <row r="65" spans="1:171" x14ac:dyDescent="0.25">
      <c r="A65" s="83" t="s">
        <v>1073</v>
      </c>
      <c r="B65" s="42">
        <v>1</v>
      </c>
      <c r="C65" s="178"/>
      <c r="D65" s="60">
        <f t="shared" ref="D65:O65" si="432">IFERROR(D21/$B51,0)</f>
        <v>0</v>
      </c>
      <c r="E65" s="60">
        <f t="shared" si="432"/>
        <v>0</v>
      </c>
      <c r="F65" s="60">
        <f t="shared" si="432"/>
        <v>0</v>
      </c>
      <c r="G65" s="60">
        <f t="shared" si="432"/>
        <v>0</v>
      </c>
      <c r="H65" s="60">
        <f t="shared" si="432"/>
        <v>0</v>
      </c>
      <c r="I65" s="60">
        <f t="shared" si="432"/>
        <v>0</v>
      </c>
      <c r="J65" s="60">
        <f t="shared" si="432"/>
        <v>0</v>
      </c>
      <c r="K65" s="60">
        <f t="shared" ref="K65" si="433">IFERROR(K21/$B51,0)</f>
        <v>0</v>
      </c>
      <c r="L65" s="60">
        <f t="shared" si="432"/>
        <v>0</v>
      </c>
      <c r="M65" s="60">
        <f t="shared" si="432"/>
        <v>0</v>
      </c>
      <c r="N65" s="60">
        <f t="shared" si="432"/>
        <v>0</v>
      </c>
      <c r="O65" s="60">
        <f t="shared" si="432"/>
        <v>0</v>
      </c>
      <c r="P65" s="71">
        <f>s_dir!BC65</f>
        <v>0</v>
      </c>
      <c r="Q65" s="71">
        <f>IFERROR(s_RadSpec!$H$21*Q21,".")*$B$65</f>
        <v>0</v>
      </c>
      <c r="R65" s="71">
        <f>IFERROR(s_RadSpec!$H$21*R21,".")*$B$65</f>
        <v>0</v>
      </c>
      <c r="S65" s="71">
        <f>IFERROR(s_RadSpec!$H$21*S21,".")*$B$65</f>
        <v>0</v>
      </c>
      <c r="T65" s="71">
        <f>IFERROR(s_RadSpec!$H$21*T21,".")*$B$65</f>
        <v>0</v>
      </c>
      <c r="U65" s="71">
        <f>IFERROR(s_RadSpec!$H$21*U21,".")*$B$65</f>
        <v>0</v>
      </c>
      <c r="V65" s="71">
        <f>IFERROR(s_RadSpec!$H$21*V21,".")*$B$65</f>
        <v>0</v>
      </c>
      <c r="W65" s="71">
        <f>IFERROR(s_RadSpec!$H$21*W21,".")*$B$65</f>
        <v>0</v>
      </c>
      <c r="X65" s="71">
        <f>IFERROR(s_RadSpec!$H$21*X21,".")*$B$65</f>
        <v>0</v>
      </c>
      <c r="Y65" s="71">
        <f>IFERROR(s_RadSpec!$H$21*Y21,".")*$B$65</f>
        <v>0</v>
      </c>
      <c r="Z65" s="71">
        <f>IFERROR(s_RadSpec!$H$21*Z21,".")*$B$65</f>
        <v>0</v>
      </c>
      <c r="AA65" s="71">
        <f>IFERROR(s_RadSpec!$H$21*AA21,".")*$B$65</f>
        <v>0</v>
      </c>
      <c r="AB65" s="49">
        <f t="shared" si="387"/>
        <v>0</v>
      </c>
      <c r="AC65" s="49">
        <f t="shared" si="388"/>
        <v>0</v>
      </c>
      <c r="AD65" s="49">
        <f t="shared" si="389"/>
        <v>0</v>
      </c>
      <c r="AE65" s="49">
        <f t="shared" si="390"/>
        <v>0</v>
      </c>
      <c r="AF65" s="49">
        <f t="shared" si="391"/>
        <v>0</v>
      </c>
      <c r="AG65" s="49">
        <f t="shared" si="392"/>
        <v>0</v>
      </c>
      <c r="AH65" s="49">
        <f t="shared" si="393"/>
        <v>0</v>
      </c>
      <c r="AI65" s="49">
        <f t="shared" si="393"/>
        <v>0</v>
      </c>
      <c r="AJ65" s="49">
        <f t="shared" si="394"/>
        <v>0</v>
      </c>
      <c r="AK65" s="49">
        <f t="shared" si="395"/>
        <v>0</v>
      </c>
      <c r="AL65" s="49">
        <f t="shared" si="396"/>
        <v>0</v>
      </c>
      <c r="AM65" s="49">
        <f t="shared" si="397"/>
        <v>0</v>
      </c>
      <c r="AN65" s="60">
        <f t="shared" ref="AN65:BB65" si="434">IFERROR(AN21/$B51,0)</f>
        <v>0</v>
      </c>
      <c r="AO65" s="60">
        <f t="shared" si="434"/>
        <v>111150783.64008242</v>
      </c>
      <c r="AP65" s="60">
        <f t="shared" si="434"/>
        <v>0</v>
      </c>
      <c r="AQ65" s="60">
        <f t="shared" si="434"/>
        <v>0</v>
      </c>
      <c r="AR65" s="60">
        <f>IFERROR(AR21/$B51,0)</f>
        <v>0</v>
      </c>
      <c r="AS65" s="60">
        <f>IFERROR(AS21/$B51,0)</f>
        <v>0</v>
      </c>
      <c r="AT65" s="60">
        <f>IFERROR(AT21/$B51,0)</f>
        <v>0</v>
      </c>
      <c r="AU65" s="60">
        <f>IFERROR(AU21/$B51,0)</f>
        <v>0</v>
      </c>
      <c r="AV65" s="60">
        <f>IFERROR(AV21/$B51,0)</f>
        <v>0</v>
      </c>
      <c r="AW65" s="60">
        <f t="shared" si="434"/>
        <v>0</v>
      </c>
      <c r="AX65" s="60">
        <f t="shared" si="434"/>
        <v>0</v>
      </c>
      <c r="AY65" s="60">
        <f t="shared" si="434"/>
        <v>0</v>
      </c>
      <c r="AZ65" s="60">
        <f>IFERROR(AZ21/$B51,0)</f>
        <v>0</v>
      </c>
      <c r="BA65" s="60">
        <f t="shared" si="434"/>
        <v>0</v>
      </c>
      <c r="BB65" s="60">
        <f t="shared" si="434"/>
        <v>0</v>
      </c>
      <c r="BC65" s="118" t="str">
        <f t="shared" si="63"/>
        <v>.</v>
      </c>
      <c r="BD65" s="118">
        <f t="shared" si="64"/>
        <v>8.9967876721238607E-9</v>
      </c>
      <c r="BE65" s="118" t="str">
        <f t="shared" si="65"/>
        <v>.</v>
      </c>
      <c r="BF65" s="118" t="str">
        <f t="shared" si="66"/>
        <v>.</v>
      </c>
      <c r="BG65" s="118" t="str">
        <f t="shared" si="67"/>
        <v>.</v>
      </c>
      <c r="BH65" s="118" t="str">
        <f t="shared" si="68"/>
        <v>.</v>
      </c>
      <c r="BI65" s="118" t="str">
        <f t="shared" si="69"/>
        <v>.</v>
      </c>
      <c r="BJ65" s="118" t="str">
        <f t="shared" si="70"/>
        <v>.</v>
      </c>
      <c r="BK65" s="118" t="str">
        <f t="shared" si="71"/>
        <v>.</v>
      </c>
      <c r="BL65" s="118" t="str">
        <f t="shared" si="72"/>
        <v>.</v>
      </c>
      <c r="BM65" s="118" t="str">
        <f t="shared" si="73"/>
        <v>.</v>
      </c>
      <c r="BN65" s="118" t="str">
        <f t="shared" si="74"/>
        <v>.</v>
      </c>
      <c r="BO65" s="118" t="str">
        <f t="shared" si="75"/>
        <v>.</v>
      </c>
      <c r="BP65" s="118" t="str">
        <f t="shared" si="76"/>
        <v>.</v>
      </c>
      <c r="BQ65" s="118" t="str">
        <f t="shared" si="77"/>
        <v>.</v>
      </c>
      <c r="BR65" s="60">
        <f t="shared" si="46"/>
        <v>111150783.64008242</v>
      </c>
      <c r="BS65" s="71">
        <f>IFERROR(s_RadSpec!$E$21*BS21,".")*$B$65</f>
        <v>0</v>
      </c>
      <c r="BT65" s="71">
        <f>IFERROR(s_RadSpec!$F$21*BT21,".")*$B$65</f>
        <v>4.49839383606193E-13</v>
      </c>
      <c r="BU65" s="71">
        <f>IFERROR(s_RadSpec!$G$21*BU21,".")*$B$65</f>
        <v>0</v>
      </c>
      <c r="BV65" s="71">
        <f>s_b2s!CC65</f>
        <v>0</v>
      </c>
      <c r="BW65" s="71">
        <f>IFERROR(s_RadSpec!$H$21*BW21,".")*$B$65</f>
        <v>0</v>
      </c>
      <c r="BX65" s="71">
        <f>IFERROR(s_RadSpec!$H$21*BX21,".")*$B$65</f>
        <v>0</v>
      </c>
      <c r="BY65" s="71">
        <f>IFERROR(s_RadSpec!$H$21*BY21,".")*$B$65</f>
        <v>0</v>
      </c>
      <c r="BZ65" s="71">
        <f>IFERROR(s_RadSpec!$H$21*BZ21,".")*$B$65</f>
        <v>0</v>
      </c>
      <c r="CA65" s="71">
        <f>IFERROR(s_RadSpec!$H$21*CA21,".")*$B$65</f>
        <v>0</v>
      </c>
      <c r="CB65" s="71">
        <f>IFERROR(s_RadSpec!$H$21*CB21,".")*$B$65</f>
        <v>0</v>
      </c>
      <c r="CC65" s="71">
        <f>IFERROR(s_RadSpec!$H$21*CC21,".")*$B$65</f>
        <v>0</v>
      </c>
      <c r="CD65" s="71">
        <f>IFERROR(s_RadSpec!$H$21*CD21,".")*$B$65</f>
        <v>0</v>
      </c>
      <c r="CE65" s="71">
        <f>IFERROR(s_RadSpec!$H$21*CE21,".")*$B$65</f>
        <v>0</v>
      </c>
      <c r="CF65" s="71">
        <f>IFERROR(s_RadSpec!$H$21*CF21,".")*$B$65</f>
        <v>0</v>
      </c>
      <c r="CG65" s="71">
        <f>IFERROR(s_RadSpec!$H$21*CG21,".")*$B$65</f>
        <v>0</v>
      </c>
      <c r="CH65" s="49">
        <f t="shared" si="399"/>
        <v>0</v>
      </c>
      <c r="CI65" s="49">
        <f t="shared" si="400"/>
        <v>4.49839383606193E-13</v>
      </c>
      <c r="CJ65" s="49">
        <f t="shared" si="401"/>
        <v>0</v>
      </c>
      <c r="CK65" s="49">
        <f t="shared" si="402"/>
        <v>0</v>
      </c>
      <c r="CL65" s="49">
        <f t="shared" si="403"/>
        <v>0</v>
      </c>
      <c r="CM65" s="49">
        <f t="shared" si="403"/>
        <v>0</v>
      </c>
      <c r="CN65" s="49">
        <f t="shared" si="404"/>
        <v>0</v>
      </c>
      <c r="CO65" s="49">
        <f t="shared" si="405"/>
        <v>0</v>
      </c>
      <c r="CP65" s="49">
        <f t="shared" si="406"/>
        <v>0</v>
      </c>
      <c r="CQ65" s="49">
        <f t="shared" si="407"/>
        <v>0</v>
      </c>
      <c r="CR65" s="49">
        <f t="shared" si="408"/>
        <v>0</v>
      </c>
      <c r="CS65" s="49">
        <f t="shared" si="409"/>
        <v>0</v>
      </c>
      <c r="CT65" s="49">
        <f t="shared" si="410"/>
        <v>0</v>
      </c>
      <c r="CU65" s="49">
        <f t="shared" si="411"/>
        <v>0</v>
      </c>
      <c r="CV65" s="49">
        <f t="shared" si="412"/>
        <v>0</v>
      </c>
      <c r="CW65" s="49">
        <f t="shared" si="413"/>
        <v>4.49839383606193E-13</v>
      </c>
      <c r="CX65" s="60">
        <f t="shared" ref="CX65:DL65" si="435">IFERROR(CX21/$B51,0)</f>
        <v>0</v>
      </c>
      <c r="CY65" s="60">
        <f>IFERROR(CY21,".")</f>
        <v>984.98616869161106</v>
      </c>
      <c r="CZ65" s="60">
        <f t="shared" si="435"/>
        <v>393783796907033.44</v>
      </c>
      <c r="DA65" s="60">
        <f t="shared" si="435"/>
        <v>0</v>
      </c>
      <c r="DB65" s="60">
        <f>IFERROR(DB21/$B51,0)</f>
        <v>0</v>
      </c>
      <c r="DC65" s="60">
        <f>IFERROR(DC21/$B51,0)</f>
        <v>0</v>
      </c>
      <c r="DD65" s="60">
        <f>IFERROR(DD21/$B51,0)</f>
        <v>0</v>
      </c>
      <c r="DE65" s="60">
        <f>IFERROR(DE21/$B51,0)</f>
        <v>0</v>
      </c>
      <c r="DF65" s="60">
        <f>IFERROR(DF21/$B51,0)</f>
        <v>0</v>
      </c>
      <c r="DG65" s="60">
        <f t="shared" si="435"/>
        <v>0</v>
      </c>
      <c r="DH65" s="60">
        <f t="shared" si="435"/>
        <v>0</v>
      </c>
      <c r="DI65" s="60">
        <f t="shared" si="435"/>
        <v>0</v>
      </c>
      <c r="DJ65" s="60">
        <f>IFERROR(DJ21/$B51,0)</f>
        <v>0</v>
      </c>
      <c r="DK65" s="60">
        <f t="shared" si="435"/>
        <v>0</v>
      </c>
      <c r="DL65" s="60">
        <f t="shared" si="435"/>
        <v>0</v>
      </c>
      <c r="DM65" s="118" t="str">
        <f t="shared" si="80"/>
        <v>.</v>
      </c>
      <c r="DN65" s="118">
        <f t="shared" si="81"/>
        <v>1.0152426823701822E-3</v>
      </c>
      <c r="DO65" s="118">
        <f t="shared" si="82"/>
        <v>2.5394645687671228E-15</v>
      </c>
      <c r="DP65" s="118" t="str">
        <f t="shared" si="83"/>
        <v>.</v>
      </c>
      <c r="DQ65" s="118" t="str">
        <f t="shared" si="84"/>
        <v>.</v>
      </c>
      <c r="DR65" s="118" t="str">
        <f t="shared" si="85"/>
        <v>.</v>
      </c>
      <c r="DS65" s="118" t="str">
        <f t="shared" si="86"/>
        <v>.</v>
      </c>
      <c r="DT65" s="118" t="str">
        <f t="shared" si="87"/>
        <v>.</v>
      </c>
      <c r="DU65" s="118" t="str">
        <f t="shared" si="88"/>
        <v>.</v>
      </c>
      <c r="DV65" s="118" t="str">
        <f t="shared" si="89"/>
        <v>.</v>
      </c>
      <c r="DW65" s="118" t="str">
        <f t="shared" si="90"/>
        <v>.</v>
      </c>
      <c r="DX65" s="118" t="str">
        <f t="shared" si="91"/>
        <v>.</v>
      </c>
      <c r="DY65" s="118" t="str">
        <f t="shared" si="92"/>
        <v>.</v>
      </c>
      <c r="DZ65" s="118" t="str">
        <f t="shared" si="93"/>
        <v>.</v>
      </c>
      <c r="EA65" s="118" t="str">
        <f t="shared" si="94"/>
        <v>.</v>
      </c>
      <c r="EB65" s="60">
        <f t="shared" si="47"/>
        <v>984.98616868914723</v>
      </c>
      <c r="EC65" s="71">
        <f>IFERROR(s_RadSpec!$I$21*EC21,".")*$B$65</f>
        <v>0</v>
      </c>
      <c r="ED65" s="71">
        <f>IFERROR(s_RadSpec!$F$21*ED21,".")</f>
        <v>5.0762134118509112E-8</v>
      </c>
      <c r="EE65" s="71">
        <f>IFERROR(s_RadSpec!$M$21*EE21,".")*$B$65</f>
        <v>1.2697322843835616E-19</v>
      </c>
      <c r="EF65" s="71">
        <f>s_b2w!CC65</f>
        <v>0</v>
      </c>
      <c r="EG65" s="71">
        <f>IFERROR(s_RadSpec!$H$21*EG21,".")*$B$65</f>
        <v>0</v>
      </c>
      <c r="EH65" s="71">
        <f>IFERROR(s_RadSpec!$H$21*EH21,".")*$B$65</f>
        <v>0</v>
      </c>
      <c r="EI65" s="71">
        <f>IFERROR(s_RadSpec!$H$21*EI21,".")*$B$65</f>
        <v>0</v>
      </c>
      <c r="EJ65" s="71">
        <f>IFERROR(s_RadSpec!$H$21*EJ21,".")*$B$65</f>
        <v>0</v>
      </c>
      <c r="EK65" s="71">
        <f>IFERROR(s_RadSpec!$H$21*EK21,".")*$B$65</f>
        <v>0</v>
      </c>
      <c r="EL65" s="71">
        <f>IFERROR(s_RadSpec!$H$21*EL21,".")*$B$65</f>
        <v>0</v>
      </c>
      <c r="EM65" s="71">
        <f>IFERROR(s_RadSpec!$H$21*EM21,".")*$B$65</f>
        <v>0</v>
      </c>
      <c r="EN65" s="71">
        <f>IFERROR(s_RadSpec!$H$21*EN21,".")*$B$65</f>
        <v>0</v>
      </c>
      <c r="EO65" s="71">
        <f>IFERROR(s_RadSpec!$H$21*EO21,".")*$B$65</f>
        <v>0</v>
      </c>
      <c r="EP65" s="71">
        <f>IFERROR(s_RadSpec!$H$21*EP21,".")*$B$65</f>
        <v>0</v>
      </c>
      <c r="EQ65" s="71">
        <f>IFERROR(s_RadSpec!$H$21*EQ21,".")*$B$65</f>
        <v>0</v>
      </c>
      <c r="ER65" s="49">
        <f t="shared" si="415"/>
        <v>0</v>
      </c>
      <c r="ES65" s="49">
        <f t="shared" si="416"/>
        <v>5.0762134118509112E-8</v>
      </c>
      <c r="ET65" s="49">
        <f t="shared" si="417"/>
        <v>1.2697322843835616E-19</v>
      </c>
      <c r="EU65" s="49">
        <f t="shared" si="418"/>
        <v>0</v>
      </c>
      <c r="EV65" s="49">
        <f t="shared" si="419"/>
        <v>0</v>
      </c>
      <c r="EW65" s="49">
        <f t="shared" si="419"/>
        <v>0</v>
      </c>
      <c r="EX65" s="49">
        <f t="shared" si="420"/>
        <v>0</v>
      </c>
      <c r="EY65" s="49">
        <f t="shared" si="421"/>
        <v>0</v>
      </c>
      <c r="EZ65" s="49">
        <f t="shared" si="422"/>
        <v>0</v>
      </c>
      <c r="FA65" s="49">
        <f t="shared" si="423"/>
        <v>0</v>
      </c>
      <c r="FB65" s="49">
        <f t="shared" si="424"/>
        <v>0</v>
      </c>
      <c r="FC65" s="49">
        <f t="shared" si="425"/>
        <v>0</v>
      </c>
      <c r="FD65" s="49">
        <f t="shared" si="426"/>
        <v>0</v>
      </c>
      <c r="FE65" s="49">
        <f t="shared" si="427"/>
        <v>0</v>
      </c>
      <c r="FF65" s="49">
        <f t="shared" si="428"/>
        <v>0</v>
      </c>
      <c r="FG65" s="49">
        <f t="shared" si="429"/>
        <v>5.0762134118636088E-8</v>
      </c>
      <c r="FH65" s="60">
        <f>IFERROR(FH21/$B51,0)</f>
        <v>358.7779127347473</v>
      </c>
      <c r="FI65" s="60">
        <f>IFERROR(FI21/$B51,0)</f>
        <v>807140279577.49329</v>
      </c>
      <c r="FJ65" s="60">
        <f>IFERROR(FJ21/$B51,0)</f>
        <v>358.77791257526872</v>
      </c>
      <c r="FK65" s="71">
        <f>IFERROR(s_RadSpec!$F$21*FK21,".")*$B$65</f>
        <v>1.3936197916666665E-7</v>
      </c>
      <c r="FL65" s="71">
        <f>IFERROR(s_RadSpec!$K$21*FL21,".")*$B$65</f>
        <v>6.1947100479452062E-17</v>
      </c>
      <c r="FM65" s="49">
        <f t="shared" si="430"/>
        <v>1.3936197916666665E-7</v>
      </c>
      <c r="FN65" s="49">
        <f t="shared" si="430"/>
        <v>6.1947100479452062E-17</v>
      </c>
      <c r="FO65" s="49">
        <f t="shared" si="431"/>
        <v>1.3936197922861375E-7</v>
      </c>
    </row>
    <row r="66" spans="1:171" x14ac:dyDescent="0.25">
      <c r="A66" s="83" t="s">
        <v>1074</v>
      </c>
      <c r="B66" s="85">
        <v>0.99980000000000002</v>
      </c>
      <c r="C66" s="181"/>
      <c r="D66" s="60">
        <f t="shared" ref="D66:O66" si="436">IFERROR(D17/$B52,0)</f>
        <v>170.54087132502539</v>
      </c>
      <c r="E66" s="60">
        <f t="shared" si="436"/>
        <v>682.16348530010157</v>
      </c>
      <c r="F66" s="60">
        <f t="shared" si="436"/>
        <v>682.16348530010157</v>
      </c>
      <c r="G66" s="60">
        <f t="shared" si="436"/>
        <v>682.16348530010157</v>
      </c>
      <c r="H66" s="60">
        <f t="shared" si="436"/>
        <v>682.16348530010157</v>
      </c>
      <c r="I66" s="60">
        <f t="shared" si="436"/>
        <v>682.16348530010157</v>
      </c>
      <c r="J66" s="60">
        <f t="shared" si="436"/>
        <v>682.16348530010157</v>
      </c>
      <c r="K66" s="60">
        <f t="shared" ref="K66" si="437">IFERROR(K17/$B52,0)</f>
        <v>682.16348530010157</v>
      </c>
      <c r="L66" s="60">
        <f t="shared" si="436"/>
        <v>682.16348530010157</v>
      </c>
      <c r="M66" s="60">
        <f t="shared" si="436"/>
        <v>682.16348530010157</v>
      </c>
      <c r="N66" s="60">
        <f t="shared" si="436"/>
        <v>682.16348530010157</v>
      </c>
      <c r="O66" s="60">
        <f t="shared" si="436"/>
        <v>682.16348530010157</v>
      </c>
      <c r="P66" s="71">
        <f>s_dir!BC66</f>
        <v>2.9330216043208645E-7</v>
      </c>
      <c r="Q66" s="71">
        <f>IFERROR(s_RadSpec!$H$17*Q17,".")*$B$66</f>
        <v>7.3296212825000017E-8</v>
      </c>
      <c r="R66" s="71">
        <f>IFERROR(s_RadSpec!$H$17*R17,".")*$B$66</f>
        <v>7.3296212825000017E-8</v>
      </c>
      <c r="S66" s="71">
        <f>IFERROR(s_RadSpec!$H$17*S17,".")*$B$66</f>
        <v>7.3296212825000017E-8</v>
      </c>
      <c r="T66" s="71">
        <f>IFERROR(s_RadSpec!$H$17*T17,".")*$B$66</f>
        <v>7.3296212825000017E-8</v>
      </c>
      <c r="U66" s="71">
        <f>IFERROR(s_RadSpec!$H$17*U17,".")*$B$66</f>
        <v>7.3296212825000017E-8</v>
      </c>
      <c r="V66" s="71">
        <f>IFERROR(s_RadSpec!$H$17*V17,".")*$B$66</f>
        <v>7.3296212825000017E-8</v>
      </c>
      <c r="W66" s="71">
        <f>IFERROR(s_RadSpec!$H$17*W17,".")*$B$66</f>
        <v>7.3296212825000017E-8</v>
      </c>
      <c r="X66" s="71">
        <f>IFERROR(s_RadSpec!$H$17*X17,".")*$B$66</f>
        <v>7.3296212825000017E-8</v>
      </c>
      <c r="Y66" s="71">
        <f>IFERROR(s_RadSpec!$H$17*Y17,".")*$B$66</f>
        <v>7.3296212825000017E-8</v>
      </c>
      <c r="Z66" s="71">
        <f>IFERROR(s_RadSpec!$H$17*Z17,".")*$B$66</f>
        <v>7.3296212825000017E-8</v>
      </c>
      <c r="AA66" s="71">
        <f>IFERROR(s_RadSpec!$H$17*AA17,".")*$B$66</f>
        <v>7.3296212825000017E-8</v>
      </c>
      <c r="AB66" s="49">
        <f t="shared" si="387"/>
        <v>2.9330216043208645E-7</v>
      </c>
      <c r="AC66" s="49">
        <f t="shared" si="388"/>
        <v>7.3296212825000017E-8</v>
      </c>
      <c r="AD66" s="49">
        <f t="shared" si="389"/>
        <v>7.3296212825000017E-8</v>
      </c>
      <c r="AE66" s="49">
        <f t="shared" si="390"/>
        <v>7.3296212825000017E-8</v>
      </c>
      <c r="AF66" s="49">
        <f t="shared" si="391"/>
        <v>7.3296212825000017E-8</v>
      </c>
      <c r="AG66" s="49">
        <f t="shared" si="392"/>
        <v>7.3296212825000017E-8</v>
      </c>
      <c r="AH66" s="49">
        <f t="shared" si="393"/>
        <v>7.3296212825000017E-8</v>
      </c>
      <c r="AI66" s="49">
        <f t="shared" si="393"/>
        <v>7.3296212825000017E-8</v>
      </c>
      <c r="AJ66" s="49">
        <f t="shared" si="394"/>
        <v>7.3296212825000017E-8</v>
      </c>
      <c r="AK66" s="49">
        <f t="shared" si="395"/>
        <v>7.3296212825000017E-8</v>
      </c>
      <c r="AL66" s="49">
        <f t="shared" si="396"/>
        <v>7.3296212825000017E-8</v>
      </c>
      <c r="AM66" s="49">
        <f t="shared" si="397"/>
        <v>7.3296212825000017E-8</v>
      </c>
      <c r="AN66" s="60">
        <f t="shared" ref="AN66:BB66" si="438">IFERROR(AN17/$B52,0)</f>
        <v>208793.02937923669</v>
      </c>
      <c r="AO66" s="60">
        <f t="shared" si="438"/>
        <v>19888094.640770443</v>
      </c>
      <c r="AP66" s="60">
        <f t="shared" si="438"/>
        <v>147.48232909118241</v>
      </c>
      <c r="AQ66" s="60">
        <f t="shared" si="438"/>
        <v>7555.2495879953667</v>
      </c>
      <c r="AR66" s="60">
        <f>IFERROR(AR17/$B52,0)</f>
        <v>4092.9809118006092</v>
      </c>
      <c r="AS66" s="60">
        <f>IFERROR(AS17/$B52,0)</f>
        <v>4651.1146725006929</v>
      </c>
      <c r="AT66" s="60">
        <f>IFERROR(AT17/$B52,0)</f>
        <v>10939.764649052311</v>
      </c>
      <c r="AU66" s="60">
        <f>IFERROR(AU17/$B52,0)</f>
        <v>41513.527957719562</v>
      </c>
      <c r="AV66" s="60">
        <f>IFERROR(AV17/$B52,0)</f>
        <v>0</v>
      </c>
      <c r="AW66" s="60">
        <f t="shared" si="438"/>
        <v>0</v>
      </c>
      <c r="AX66" s="60">
        <f t="shared" si="438"/>
        <v>0</v>
      </c>
      <c r="AY66" s="60">
        <f t="shared" si="438"/>
        <v>0</v>
      </c>
      <c r="AZ66" s="60">
        <f>IFERROR(AZ17/$B52,0)</f>
        <v>1314.5950519944529</v>
      </c>
      <c r="BA66" s="60">
        <f t="shared" si="438"/>
        <v>1078.5683456812137</v>
      </c>
      <c r="BB66" s="60">
        <f t="shared" si="438"/>
        <v>225.35915177047761</v>
      </c>
      <c r="BC66" s="118">
        <f t="shared" si="63"/>
        <v>4.7894319219999998E-6</v>
      </c>
      <c r="BD66" s="118">
        <f t="shared" si="64"/>
        <v>5.028133755709346E-8</v>
      </c>
      <c r="BE66" s="118">
        <f t="shared" si="65"/>
        <v>6.780473336447922E-3</v>
      </c>
      <c r="BF66" s="118">
        <f t="shared" si="66"/>
        <v>1.3235830111938497E-4</v>
      </c>
      <c r="BG66" s="118">
        <f t="shared" si="67"/>
        <v>2.4432070941666665E-4</v>
      </c>
      <c r="BH66" s="118">
        <f t="shared" si="68"/>
        <v>2.1500222428666663E-4</v>
      </c>
      <c r="BI66" s="118">
        <f t="shared" si="69"/>
        <v>9.140964473002881E-5</v>
      </c>
      <c r="BJ66" s="118">
        <f t="shared" si="70"/>
        <v>2.4088533285305788E-5</v>
      </c>
      <c r="BK66" s="118" t="str">
        <f t="shared" si="71"/>
        <v>.</v>
      </c>
      <c r="BL66" s="118" t="str">
        <f t="shared" si="72"/>
        <v>.</v>
      </c>
      <c r="BM66" s="118" t="str">
        <f t="shared" si="73"/>
        <v>.</v>
      </c>
      <c r="BN66" s="118" t="str">
        <f t="shared" si="74"/>
        <v>.</v>
      </c>
      <c r="BO66" s="118">
        <f t="shared" si="75"/>
        <v>7.6069052479913E-4</v>
      </c>
      <c r="BP66" s="118">
        <f t="shared" si="76"/>
        <v>9.2715496797600644E-4</v>
      </c>
      <c r="BQ66" s="118">
        <f t="shared" si="77"/>
        <v>4.4373613946615924E-3</v>
      </c>
      <c r="BR66" s="60">
        <f t="shared" si="46"/>
        <v>73.433843287287928</v>
      </c>
      <c r="BS66" s="71">
        <f>IFERROR(s_RadSpec!$E$17*BS17,".")*$B$66</f>
        <v>2.394715961E-10</v>
      </c>
      <c r="BT66" s="71">
        <f>IFERROR(s_RadSpec!$F$17*BT17,".")*$B$66</f>
        <v>2.5140668778546732E-12</v>
      </c>
      <c r="BU66" s="71">
        <f>IFERROR(s_RadSpec!$G$17*BU17,".")*$B$66</f>
        <v>3.3902366682239613E-7</v>
      </c>
      <c r="BV66" s="71">
        <f>s_b2s!CC66</f>
        <v>6.6205630163532704E-9</v>
      </c>
      <c r="BW66" s="71">
        <f>IFERROR(s_RadSpec!$H$17*BW17,".")*$B$66</f>
        <v>1.2216035470833335E-8</v>
      </c>
      <c r="BX66" s="71">
        <f>IFERROR(s_RadSpec!$H$17*BX17,".")*$B$66</f>
        <v>1.0750111214333335E-8</v>
      </c>
      <c r="BY66" s="71">
        <f>IFERROR(s_RadSpec!$H$17*BY17,".")*$B$66</f>
        <v>4.570482236501441E-9</v>
      </c>
      <c r="BZ66" s="71">
        <f>IFERROR(s_RadSpec!$H$17*BZ17,".")*$B$66</f>
        <v>1.2044266642652894E-9</v>
      </c>
      <c r="CA66" s="71">
        <f>IFERROR(s_RadSpec!$H$17*CA17,".")*$B$66</f>
        <v>0</v>
      </c>
      <c r="CB66" s="71">
        <f>IFERROR(s_RadSpec!$H$17*CB17,".")*$B$66</f>
        <v>0</v>
      </c>
      <c r="CC66" s="71">
        <f>IFERROR(s_RadSpec!$H$17*CC17,".")*$B$66</f>
        <v>0</v>
      </c>
      <c r="CD66" s="71">
        <f>IFERROR(s_RadSpec!$H$17*CD17,".")*$B$66</f>
        <v>0</v>
      </c>
      <c r="CE66" s="71">
        <f>IFERROR(s_RadSpec!$H$17*CE17,".")*$B$66</f>
        <v>3.803452623995651E-8</v>
      </c>
      <c r="CF66" s="71">
        <f>IFERROR(s_RadSpec!$H$17*CF17,".")*$B$66</f>
        <v>4.6357748398800327E-8</v>
      </c>
      <c r="CG66" s="71">
        <f>IFERROR(s_RadSpec!$H$17*CG17,".")*$B$66</f>
        <v>2.2186806973307967E-7</v>
      </c>
      <c r="CH66" s="49">
        <f t="shared" si="399"/>
        <v>2.394715961E-10</v>
      </c>
      <c r="CI66" s="49">
        <f t="shared" si="400"/>
        <v>2.5140668778546732E-12</v>
      </c>
      <c r="CJ66" s="49">
        <f t="shared" si="401"/>
        <v>3.3902366682239613E-7</v>
      </c>
      <c r="CK66" s="49">
        <f t="shared" si="402"/>
        <v>6.6205630163532704E-9</v>
      </c>
      <c r="CL66" s="49">
        <f t="shared" si="403"/>
        <v>1.2216035470833335E-8</v>
      </c>
      <c r="CM66" s="49">
        <f t="shared" si="403"/>
        <v>1.0750111214333335E-8</v>
      </c>
      <c r="CN66" s="49">
        <f t="shared" si="404"/>
        <v>4.570482236501441E-9</v>
      </c>
      <c r="CO66" s="49">
        <f t="shared" si="405"/>
        <v>1.2044266642652894E-9</v>
      </c>
      <c r="CP66" s="49">
        <f t="shared" si="406"/>
        <v>0</v>
      </c>
      <c r="CQ66" s="49">
        <f t="shared" si="407"/>
        <v>0</v>
      </c>
      <c r="CR66" s="49">
        <f t="shared" si="408"/>
        <v>0</v>
      </c>
      <c r="CS66" s="49">
        <f t="shared" si="409"/>
        <v>0</v>
      </c>
      <c r="CT66" s="49">
        <f t="shared" si="410"/>
        <v>3.803452623995651E-8</v>
      </c>
      <c r="CU66" s="49">
        <f t="shared" si="411"/>
        <v>4.6357748398800327E-8</v>
      </c>
      <c r="CV66" s="49">
        <f t="shared" si="412"/>
        <v>2.2186806973307967E-7</v>
      </c>
      <c r="CW66" s="49">
        <f t="shared" si="413"/>
        <v>6.8088761545949714E-7</v>
      </c>
      <c r="CX66" s="60">
        <f t="shared" ref="CX66:DL66" si="439">IFERROR(CX17/$B52,0)</f>
        <v>5279.2566182462215</v>
      </c>
      <c r="CY66" s="60">
        <f>IFERROR(CY17,".")</f>
        <v>743.95058466259979</v>
      </c>
      <c r="CZ66" s="60">
        <f t="shared" si="439"/>
        <v>8928926.3120030034</v>
      </c>
      <c r="DA66" s="60">
        <f t="shared" si="439"/>
        <v>12633.106032729356</v>
      </c>
      <c r="DB66" s="60">
        <f>IFERROR(DB17/$B52,0)</f>
        <v>27286.539412004058</v>
      </c>
      <c r="DC66" s="60">
        <f>IFERROR(DC17/$B52,0)</f>
        <v>31007.431150004617</v>
      </c>
      <c r="DD66" s="60">
        <f>IFERROR(DD17/$B52,0)</f>
        <v>194903852.94288614</v>
      </c>
      <c r="DE66" s="60">
        <f>IFERROR(DE17/$B52,0)</f>
        <v>739608831.43063629</v>
      </c>
      <c r="DF66" s="60">
        <f>IFERROR(DF17/$B52,0)</f>
        <v>0</v>
      </c>
      <c r="DG66" s="60">
        <f t="shared" si="439"/>
        <v>0</v>
      </c>
      <c r="DH66" s="60">
        <f t="shared" si="439"/>
        <v>0</v>
      </c>
      <c r="DI66" s="60">
        <f t="shared" si="439"/>
        <v>0</v>
      </c>
      <c r="DJ66" s="60">
        <f>IFERROR(DJ17/$B52,0)</f>
        <v>23420946.328636818</v>
      </c>
      <c r="DK66" s="60">
        <f t="shared" si="439"/>
        <v>19215872.825354971</v>
      </c>
      <c r="DL66" s="60">
        <f t="shared" si="439"/>
        <v>4015019.370623454</v>
      </c>
      <c r="DM66" s="118">
        <f t="shared" si="80"/>
        <v>1.8942060829999998E-4</v>
      </c>
      <c r="DN66" s="118">
        <f t="shared" si="81"/>
        <v>1.3441752995644529E-3</v>
      </c>
      <c r="DO66" s="118">
        <f t="shared" si="82"/>
        <v>1.1199554851916708E-7</v>
      </c>
      <c r="DP66" s="118">
        <f t="shared" si="83"/>
        <v>7.9157097028176537E-5</v>
      </c>
      <c r="DQ66" s="118">
        <f t="shared" si="84"/>
        <v>3.6648106412500006E-5</v>
      </c>
      <c r="DR66" s="118">
        <f t="shared" si="85"/>
        <v>3.2250333642999999E-5</v>
      </c>
      <c r="DS66" s="118">
        <f t="shared" si="86"/>
        <v>5.1307348977500005E-9</v>
      </c>
      <c r="DT66" s="118">
        <f t="shared" si="87"/>
        <v>1.3520660618203885E-9</v>
      </c>
      <c r="DU66" s="118" t="str">
        <f t="shared" si="88"/>
        <v>.</v>
      </c>
      <c r="DV66" s="118" t="str">
        <f t="shared" si="89"/>
        <v>.</v>
      </c>
      <c r="DW66" s="118" t="str">
        <f t="shared" si="90"/>
        <v>.</v>
      </c>
      <c r="DX66" s="118" t="str">
        <f t="shared" si="91"/>
        <v>.</v>
      </c>
      <c r="DY66" s="118">
        <f t="shared" si="92"/>
        <v>4.2696823004854374E-8</v>
      </c>
      <c r="DZ66" s="118">
        <f t="shared" si="93"/>
        <v>5.2040311105750003E-8</v>
      </c>
      <c r="EA66" s="118">
        <f t="shared" si="94"/>
        <v>2.4906480086165054E-7</v>
      </c>
      <c r="EB66" s="60">
        <f t="shared" si="47"/>
        <v>594.49012572662605</v>
      </c>
      <c r="EC66" s="71">
        <f>IFERROR(s_RadSpec!$I$17*EC17,".")*$B$66</f>
        <v>9.4710304149999996E-9</v>
      </c>
      <c r="ED66" s="71">
        <f>IFERROR(s_RadSpec!$F$17*ED17,".")</f>
        <v>6.7208764978222662E-8</v>
      </c>
      <c r="EE66" s="71">
        <f>IFERROR(s_RadSpec!$M$17*EE17,".")*$B$66</f>
        <v>5.5997774259583561E-12</v>
      </c>
      <c r="EF66" s="71">
        <f>s_b2w!CC66</f>
        <v>3.9594384684186562E-9</v>
      </c>
      <c r="EG66" s="71">
        <f>IFERROR(s_RadSpec!$H$17*EG17,".")*$B$66</f>
        <v>1.8324053206250002E-9</v>
      </c>
      <c r="EH66" s="71">
        <f>IFERROR(s_RadSpec!$H$17*EH17,".")*$B$66</f>
        <v>1.6125166821500002E-9</v>
      </c>
      <c r="EI66" s="71">
        <f>IFERROR(s_RadSpec!$H$17*EI17,".")*$B$66</f>
        <v>2.5653674488750009E-13</v>
      </c>
      <c r="EJ66" s="71">
        <f>IFERROR(s_RadSpec!$H$17*EJ17,".")*$B$66</f>
        <v>6.760330309101943E-14</v>
      </c>
      <c r="EK66" s="71">
        <f>IFERROR(s_RadSpec!$H$17*EK17,".")*$B$66</f>
        <v>0</v>
      </c>
      <c r="EL66" s="71">
        <f>IFERROR(s_RadSpec!$H$17*EL17,".")*$B$66</f>
        <v>0</v>
      </c>
      <c r="EM66" s="71">
        <f>IFERROR(s_RadSpec!$H$17*EM17,".")*$B$66</f>
        <v>0</v>
      </c>
      <c r="EN66" s="71">
        <f>IFERROR(s_RadSpec!$H$17*EN17,".")*$B$66</f>
        <v>0</v>
      </c>
      <c r="EO66" s="71">
        <f>IFERROR(s_RadSpec!$H$17*EO17,".")*$B$66</f>
        <v>2.134841150242719E-12</v>
      </c>
      <c r="EP66" s="71">
        <f>IFERROR(s_RadSpec!$H$17*EP17,".")*$B$66</f>
        <v>2.6020155552875001E-12</v>
      </c>
      <c r="EQ66" s="71">
        <f>IFERROR(s_RadSpec!$H$17*EQ17,".")*$B$66</f>
        <v>1.2453240043082528E-11</v>
      </c>
      <c r="ER66" s="49">
        <f t="shared" si="415"/>
        <v>9.4710304149999996E-9</v>
      </c>
      <c r="ES66" s="49">
        <f t="shared" si="416"/>
        <v>6.7208764978222662E-8</v>
      </c>
      <c r="ET66" s="49">
        <f t="shared" si="417"/>
        <v>5.5997774259583561E-12</v>
      </c>
      <c r="EU66" s="49">
        <f t="shared" si="418"/>
        <v>3.9594384684186562E-9</v>
      </c>
      <c r="EV66" s="49">
        <f t="shared" si="419"/>
        <v>1.8324053206250002E-9</v>
      </c>
      <c r="EW66" s="49">
        <f t="shared" si="419"/>
        <v>1.6125166821500002E-9</v>
      </c>
      <c r="EX66" s="49">
        <f t="shared" si="420"/>
        <v>2.5653674488750009E-13</v>
      </c>
      <c r="EY66" s="49">
        <f t="shared" si="421"/>
        <v>6.760330309101943E-14</v>
      </c>
      <c r="EZ66" s="49">
        <f t="shared" si="422"/>
        <v>0</v>
      </c>
      <c r="FA66" s="49">
        <f t="shared" si="423"/>
        <v>0</v>
      </c>
      <c r="FB66" s="49">
        <f t="shared" si="424"/>
        <v>0</v>
      </c>
      <c r="FC66" s="49">
        <f t="shared" si="425"/>
        <v>0</v>
      </c>
      <c r="FD66" s="49">
        <f t="shared" si="426"/>
        <v>2.134841150242719E-12</v>
      </c>
      <c r="FE66" s="49">
        <f t="shared" si="427"/>
        <v>2.6020155552875001E-12</v>
      </c>
      <c r="FF66" s="49">
        <f t="shared" si="428"/>
        <v>1.2453240043082528E-11</v>
      </c>
      <c r="FG66" s="49">
        <f t="shared" si="429"/>
        <v>8.4107269878638866E-8</v>
      </c>
      <c r="FH66" s="60">
        <f>IFERROR(FH17/$B52,0)</f>
        <v>64.19576047787406</v>
      </c>
      <c r="FI66" s="60">
        <f>IFERROR(FI17/$B52,0)</f>
        <v>31256.35602460615</v>
      </c>
      <c r="FJ66" s="60">
        <f>IFERROR(FJ17/$B52,0)</f>
        <v>64.064182474663539</v>
      </c>
      <c r="FK66" s="71">
        <f>IFERROR(s_RadSpec!$F$17*FK17,".")*$B$66</f>
        <v>7.7886763281249992E-7</v>
      </c>
      <c r="FL66" s="71">
        <f>IFERROR(s_RadSpec!$K$17*FL17,".")*$B$66</f>
        <v>1.599674637716507E-9</v>
      </c>
      <c r="FM66" s="49">
        <f t="shared" si="430"/>
        <v>7.7886763281249992E-7</v>
      </c>
      <c r="FN66" s="49">
        <f t="shared" si="430"/>
        <v>1.599674637716507E-9</v>
      </c>
      <c r="FO66" s="49">
        <f t="shared" si="431"/>
        <v>7.8046730745021641E-7</v>
      </c>
    </row>
    <row r="67" spans="1:171" x14ac:dyDescent="0.25">
      <c r="A67" s="83" t="s">
        <v>1088</v>
      </c>
      <c r="B67" s="42">
        <v>2.0000000000000001E-4</v>
      </c>
      <c r="C67" s="178"/>
      <c r="D67" s="60">
        <f t="shared" ref="D67:O67" si="440">IFERROR(D5/$B53,0)</f>
        <v>0</v>
      </c>
      <c r="E67" s="60">
        <f t="shared" si="440"/>
        <v>0</v>
      </c>
      <c r="F67" s="60">
        <f t="shared" si="440"/>
        <v>0</v>
      </c>
      <c r="G67" s="60">
        <f t="shared" si="440"/>
        <v>0</v>
      </c>
      <c r="H67" s="60">
        <f t="shared" si="440"/>
        <v>0</v>
      </c>
      <c r="I67" s="60">
        <f t="shared" si="440"/>
        <v>0</v>
      </c>
      <c r="J67" s="60">
        <f t="shared" si="440"/>
        <v>0</v>
      </c>
      <c r="K67" s="60">
        <f t="shared" ref="K67" si="441">IFERROR(K5/$B53,0)</f>
        <v>0</v>
      </c>
      <c r="L67" s="60">
        <f t="shared" si="440"/>
        <v>0</v>
      </c>
      <c r="M67" s="60">
        <f t="shared" si="440"/>
        <v>0</v>
      </c>
      <c r="N67" s="60">
        <f t="shared" si="440"/>
        <v>0</v>
      </c>
      <c r="O67" s="60">
        <f t="shared" si="440"/>
        <v>0</v>
      </c>
      <c r="P67" s="71">
        <f>s_dir!BC67</f>
        <v>0</v>
      </c>
      <c r="Q67" s="71">
        <f>IFERROR(s_RadSpec!$H$5*Q5,".")*$B$67</f>
        <v>0</v>
      </c>
      <c r="R67" s="71">
        <f>IFERROR(s_RadSpec!$H$5*R5,".")*$B$67</f>
        <v>0</v>
      </c>
      <c r="S67" s="71">
        <f>IFERROR(s_RadSpec!$H$5*S5,".")*$B$67</f>
        <v>0</v>
      </c>
      <c r="T67" s="71">
        <f>IFERROR(s_RadSpec!$H$5*T5,".")*$B$67</f>
        <v>0</v>
      </c>
      <c r="U67" s="71">
        <f>IFERROR(s_RadSpec!$H$5*U5,".")*$B$67</f>
        <v>0</v>
      </c>
      <c r="V67" s="71">
        <f>IFERROR(s_RadSpec!$H$5*V5,".")*$B$67</f>
        <v>0</v>
      </c>
      <c r="W67" s="71">
        <f>IFERROR(s_RadSpec!$H$5*W5,".")*$B$67</f>
        <v>0</v>
      </c>
      <c r="X67" s="71">
        <f>IFERROR(s_RadSpec!$H$5*X5,".")*$B$67</f>
        <v>0</v>
      </c>
      <c r="Y67" s="71">
        <f>IFERROR(s_RadSpec!$H$5*Y5,".")*$B$67</f>
        <v>0</v>
      </c>
      <c r="Z67" s="71">
        <f>IFERROR(s_RadSpec!$H$5*Z5,".")*$B$67</f>
        <v>0</v>
      </c>
      <c r="AA67" s="71">
        <f>IFERROR(s_RadSpec!$H$5*AA5,".")*$B$67</f>
        <v>0</v>
      </c>
      <c r="AB67" s="49">
        <f t="shared" si="387"/>
        <v>0</v>
      </c>
      <c r="AC67" s="49">
        <f t="shared" si="388"/>
        <v>0</v>
      </c>
      <c r="AD67" s="49">
        <f t="shared" si="389"/>
        <v>0</v>
      </c>
      <c r="AE67" s="49">
        <f t="shared" si="390"/>
        <v>0</v>
      </c>
      <c r="AF67" s="49">
        <f t="shared" si="391"/>
        <v>0</v>
      </c>
      <c r="AG67" s="49">
        <f t="shared" si="392"/>
        <v>0</v>
      </c>
      <c r="AH67" s="49">
        <f t="shared" si="393"/>
        <v>0</v>
      </c>
      <c r="AI67" s="49">
        <f t="shared" si="393"/>
        <v>0</v>
      </c>
      <c r="AJ67" s="49">
        <f t="shared" si="394"/>
        <v>0</v>
      </c>
      <c r="AK67" s="49">
        <f t="shared" si="395"/>
        <v>0</v>
      </c>
      <c r="AL67" s="49">
        <f t="shared" si="396"/>
        <v>0</v>
      </c>
      <c r="AM67" s="49">
        <f t="shared" si="397"/>
        <v>0</v>
      </c>
      <c r="AN67" s="60">
        <f t="shared" ref="AN67:BB67" si="442">IFERROR(AN5/$B53,0)</f>
        <v>0</v>
      </c>
      <c r="AO67" s="60">
        <f t="shared" si="442"/>
        <v>0</v>
      </c>
      <c r="AP67" s="60">
        <f t="shared" si="442"/>
        <v>0</v>
      </c>
      <c r="AQ67" s="60">
        <f t="shared" si="442"/>
        <v>0</v>
      </c>
      <c r="AR67" s="60">
        <f>IFERROR(AR5/$B53,0)</f>
        <v>0</v>
      </c>
      <c r="AS67" s="60">
        <f>IFERROR(AS5/$B53,0)</f>
        <v>0</v>
      </c>
      <c r="AT67" s="60">
        <f>IFERROR(AT5/$B53,0)</f>
        <v>0</v>
      </c>
      <c r="AU67" s="60">
        <f>IFERROR(AU5/$B53,0)</f>
        <v>0</v>
      </c>
      <c r="AV67" s="60">
        <f>IFERROR(AV5/$B53,0)</f>
        <v>0</v>
      </c>
      <c r="AW67" s="60">
        <f t="shared" si="442"/>
        <v>0</v>
      </c>
      <c r="AX67" s="60">
        <f t="shared" si="442"/>
        <v>0</v>
      </c>
      <c r="AY67" s="60">
        <f t="shared" si="442"/>
        <v>0</v>
      </c>
      <c r="AZ67" s="60">
        <f>IFERROR(AZ5/$B53,0)</f>
        <v>0</v>
      </c>
      <c r="BA67" s="60">
        <f t="shared" si="442"/>
        <v>0</v>
      </c>
      <c r="BB67" s="60">
        <f t="shared" si="442"/>
        <v>0</v>
      </c>
      <c r="BC67" s="118" t="str">
        <f t="shared" si="63"/>
        <v>.</v>
      </c>
      <c r="BD67" s="118" t="str">
        <f t="shared" si="64"/>
        <v>.</v>
      </c>
      <c r="BE67" s="118" t="str">
        <f t="shared" si="65"/>
        <v>.</v>
      </c>
      <c r="BF67" s="118" t="str">
        <f t="shared" si="66"/>
        <v>.</v>
      </c>
      <c r="BG67" s="118" t="str">
        <f t="shared" si="67"/>
        <v>.</v>
      </c>
      <c r="BH67" s="118" t="str">
        <f t="shared" si="68"/>
        <v>.</v>
      </c>
      <c r="BI67" s="118" t="str">
        <f t="shared" si="69"/>
        <v>.</v>
      </c>
      <c r="BJ67" s="118" t="str">
        <f t="shared" si="70"/>
        <v>.</v>
      </c>
      <c r="BK67" s="118" t="str">
        <f t="shared" si="71"/>
        <v>.</v>
      </c>
      <c r="BL67" s="118" t="str">
        <f t="shared" si="72"/>
        <v>.</v>
      </c>
      <c r="BM67" s="118" t="str">
        <f t="shared" si="73"/>
        <v>.</v>
      </c>
      <c r="BN67" s="118" t="str">
        <f t="shared" si="74"/>
        <v>.</v>
      </c>
      <c r="BO67" s="118" t="str">
        <f t="shared" si="75"/>
        <v>.</v>
      </c>
      <c r="BP67" s="118" t="str">
        <f t="shared" si="76"/>
        <v>.</v>
      </c>
      <c r="BQ67" s="118" t="str">
        <f t="shared" si="77"/>
        <v>.</v>
      </c>
      <c r="BR67" s="60" t="str">
        <f t="shared" ref="BR67:BR76" si="443">IFERROR(1/(SUMIF(BC67:BQ67,"&lt;&gt;0")),".")</f>
        <v>.</v>
      </c>
      <c r="BS67" s="71">
        <f>IFERROR(s_RadSpec!$E$5*BS5,".")*$B$67</f>
        <v>0</v>
      </c>
      <c r="BT67" s="71">
        <f>IFERROR(s_RadSpec!$F$5*BT5,".")*$B$67</f>
        <v>0</v>
      </c>
      <c r="BU67" s="71">
        <f>IFERROR(s_RadSpec!$G$5*BU5,".")*$B$67</f>
        <v>0</v>
      </c>
      <c r="BV67" s="71">
        <f>s_b2s!CC67</f>
        <v>0</v>
      </c>
      <c r="BW67" s="71">
        <f>IFERROR(s_RadSpec!$H$5*BW5,".")*$B$67</f>
        <v>0</v>
      </c>
      <c r="BX67" s="71">
        <f>IFERROR(s_RadSpec!$H$5*BX5,".")*$B$67</f>
        <v>0</v>
      </c>
      <c r="BY67" s="71">
        <f>IFERROR(s_RadSpec!$H$5*BY5,".")*$B$67</f>
        <v>0</v>
      </c>
      <c r="BZ67" s="71">
        <f>IFERROR(s_RadSpec!$H$5*BZ5,".")*$B$67</f>
        <v>0</v>
      </c>
      <c r="CA67" s="71">
        <f>IFERROR(s_RadSpec!$H$5*CA5,".")*$B$67</f>
        <v>0</v>
      </c>
      <c r="CB67" s="71">
        <f>IFERROR(s_RadSpec!$H$5*CB5,".")*$B$67</f>
        <v>0</v>
      </c>
      <c r="CC67" s="71">
        <f>IFERROR(s_RadSpec!$H$5*CC5,".")*$B$67</f>
        <v>0</v>
      </c>
      <c r="CD67" s="71">
        <f>IFERROR(s_RadSpec!$H$5*CD5,".")*$B$67</f>
        <v>0</v>
      </c>
      <c r="CE67" s="71">
        <f>IFERROR(s_RadSpec!$H$5*CE5,".")*$B$67</f>
        <v>0</v>
      </c>
      <c r="CF67" s="71">
        <f>IFERROR(s_RadSpec!$H$5*CF5,".")*$B$67</f>
        <v>0</v>
      </c>
      <c r="CG67" s="71">
        <f>IFERROR(s_RadSpec!$H$5*CG5,".")*$B$67</f>
        <v>0</v>
      </c>
      <c r="CH67" s="49">
        <f t="shared" si="399"/>
        <v>0</v>
      </c>
      <c r="CI67" s="49">
        <f t="shared" si="400"/>
        <v>0</v>
      </c>
      <c r="CJ67" s="49">
        <f t="shared" si="401"/>
        <v>0</v>
      </c>
      <c r="CK67" s="49">
        <f t="shared" si="402"/>
        <v>0</v>
      </c>
      <c r="CL67" s="49">
        <f t="shared" si="403"/>
        <v>0</v>
      </c>
      <c r="CM67" s="49">
        <f t="shared" si="403"/>
        <v>0</v>
      </c>
      <c r="CN67" s="49">
        <f t="shared" si="404"/>
        <v>0</v>
      </c>
      <c r="CO67" s="49">
        <f t="shared" si="405"/>
        <v>0</v>
      </c>
      <c r="CP67" s="49">
        <f t="shared" si="406"/>
        <v>0</v>
      </c>
      <c r="CQ67" s="49">
        <f t="shared" si="407"/>
        <v>0</v>
      </c>
      <c r="CR67" s="49">
        <f t="shared" si="408"/>
        <v>0</v>
      </c>
      <c r="CS67" s="49">
        <f t="shared" si="409"/>
        <v>0</v>
      </c>
      <c r="CT67" s="49">
        <f t="shared" si="410"/>
        <v>0</v>
      </c>
      <c r="CU67" s="49">
        <f t="shared" si="411"/>
        <v>0</v>
      </c>
      <c r="CV67" s="49">
        <f t="shared" si="412"/>
        <v>0</v>
      </c>
      <c r="CW67" s="49">
        <f t="shared" si="413"/>
        <v>0</v>
      </c>
      <c r="CX67" s="60">
        <f t="shared" ref="CX67:DL67" si="444">IFERROR(CX5/$B53,0)</f>
        <v>0</v>
      </c>
      <c r="CY67" s="60" t="str">
        <f>IFERROR(CY5,".")</f>
        <v>.</v>
      </c>
      <c r="CZ67" s="60">
        <f t="shared" si="444"/>
        <v>1942008930076827.5</v>
      </c>
      <c r="DA67" s="60">
        <f t="shared" si="444"/>
        <v>0</v>
      </c>
      <c r="DB67" s="60">
        <f>IFERROR(DB5/$B53,0)</f>
        <v>0</v>
      </c>
      <c r="DC67" s="60">
        <f>IFERROR(DC5/$B53,0)</f>
        <v>0</v>
      </c>
      <c r="DD67" s="60">
        <f>IFERROR(DD5/$B53,0)</f>
        <v>0</v>
      </c>
      <c r="DE67" s="60">
        <f>IFERROR(DE5/$B53,0)</f>
        <v>0</v>
      </c>
      <c r="DF67" s="60">
        <f>IFERROR(DF5/$B53,0)</f>
        <v>0</v>
      </c>
      <c r="DG67" s="60">
        <f t="shared" si="444"/>
        <v>0</v>
      </c>
      <c r="DH67" s="60">
        <f t="shared" si="444"/>
        <v>0</v>
      </c>
      <c r="DI67" s="60">
        <f t="shared" si="444"/>
        <v>0</v>
      </c>
      <c r="DJ67" s="60">
        <f>IFERROR(DJ5/$B53,0)</f>
        <v>0</v>
      </c>
      <c r="DK67" s="60">
        <f t="shared" si="444"/>
        <v>0</v>
      </c>
      <c r="DL67" s="60">
        <f t="shared" si="444"/>
        <v>0</v>
      </c>
      <c r="DM67" s="118" t="str">
        <f t="shared" si="80"/>
        <v>.</v>
      </c>
      <c r="DN67" s="118" t="str">
        <f t="shared" si="81"/>
        <v>.</v>
      </c>
      <c r="DO67" s="118">
        <f t="shared" si="82"/>
        <v>5.149306908493151E-16</v>
      </c>
      <c r="DP67" s="118" t="str">
        <f t="shared" si="83"/>
        <v>.</v>
      </c>
      <c r="DQ67" s="118" t="str">
        <f t="shared" si="84"/>
        <v>.</v>
      </c>
      <c r="DR67" s="118" t="str">
        <f t="shared" si="85"/>
        <v>.</v>
      </c>
      <c r="DS67" s="118" t="str">
        <f t="shared" si="86"/>
        <v>.</v>
      </c>
      <c r="DT67" s="118" t="str">
        <f t="shared" si="87"/>
        <v>.</v>
      </c>
      <c r="DU67" s="118" t="str">
        <f t="shared" si="88"/>
        <v>.</v>
      </c>
      <c r="DV67" s="118" t="str">
        <f t="shared" si="89"/>
        <v>.</v>
      </c>
      <c r="DW67" s="118" t="str">
        <f t="shared" si="90"/>
        <v>.</v>
      </c>
      <c r="DX67" s="118" t="str">
        <f t="shared" si="91"/>
        <v>.</v>
      </c>
      <c r="DY67" s="118" t="str">
        <f t="shared" si="92"/>
        <v>.</v>
      </c>
      <c r="DZ67" s="118" t="str">
        <f t="shared" si="93"/>
        <v>.</v>
      </c>
      <c r="EA67" s="118" t="str">
        <f t="shared" si="94"/>
        <v>.</v>
      </c>
      <c r="EB67" s="60">
        <f t="shared" ref="EB67:EB76" si="445">IFERROR(1/(SUMIF(DM67:EA67,"&lt;&gt;0")),".")</f>
        <v>1942008930076827.5</v>
      </c>
      <c r="EC67" s="71">
        <f>IFERROR(s_RadSpec!$I$5*EC5,".")*$B$67</f>
        <v>0</v>
      </c>
      <c r="ED67" s="71">
        <f>IFERROR(s_RadSpec!$F$5*ED5,".")</f>
        <v>0</v>
      </c>
      <c r="EE67" s="71">
        <f>IFERROR(s_RadSpec!$M$5*EE5,".")*$B$67</f>
        <v>2.5746534542465757E-20</v>
      </c>
      <c r="EF67" s="71">
        <f>s_b2w!CC67</f>
        <v>0</v>
      </c>
      <c r="EG67" s="71">
        <f>IFERROR(s_RadSpec!$H$5*EG5,".")*$B$67</f>
        <v>0</v>
      </c>
      <c r="EH67" s="71">
        <f>IFERROR(s_RadSpec!$H$5*EH5,".")*$B$67</f>
        <v>0</v>
      </c>
      <c r="EI67" s="71">
        <f>IFERROR(s_RadSpec!$H$5*EI5,".")*$B$67</f>
        <v>0</v>
      </c>
      <c r="EJ67" s="71">
        <f>IFERROR(s_RadSpec!$H$5*EJ5,".")*$B$67</f>
        <v>0</v>
      </c>
      <c r="EK67" s="71">
        <f>IFERROR(s_RadSpec!$H$5*EK5,".")*$B$67</f>
        <v>0</v>
      </c>
      <c r="EL67" s="71">
        <f>IFERROR(s_RadSpec!$H$5*EL5,".")*$B$67</f>
        <v>0</v>
      </c>
      <c r="EM67" s="71">
        <f>IFERROR(s_RadSpec!$H$5*EM5,".")*$B$67</f>
        <v>0</v>
      </c>
      <c r="EN67" s="71">
        <f>IFERROR(s_RadSpec!$H$5*EN5,".")*$B$67</f>
        <v>0</v>
      </c>
      <c r="EO67" s="71">
        <f>IFERROR(s_RadSpec!$H$5*EO5,".")*$B$67</f>
        <v>0</v>
      </c>
      <c r="EP67" s="71">
        <f>IFERROR(s_RadSpec!$H$5*EP5,".")*$B$67</f>
        <v>0</v>
      </c>
      <c r="EQ67" s="71">
        <f>IFERROR(s_RadSpec!$H$5*EQ5,".")*$B$67</f>
        <v>0</v>
      </c>
      <c r="ER67" s="49">
        <f t="shared" si="415"/>
        <v>0</v>
      </c>
      <c r="ES67" s="49">
        <f t="shared" si="416"/>
        <v>0</v>
      </c>
      <c r="ET67" s="49">
        <f t="shared" si="417"/>
        <v>2.5746534542465757E-20</v>
      </c>
      <c r="EU67" s="49">
        <f t="shared" si="418"/>
        <v>0</v>
      </c>
      <c r="EV67" s="49">
        <f t="shared" si="419"/>
        <v>0</v>
      </c>
      <c r="EW67" s="49">
        <f t="shared" si="419"/>
        <v>0</v>
      </c>
      <c r="EX67" s="49">
        <f t="shared" si="420"/>
        <v>0</v>
      </c>
      <c r="EY67" s="49">
        <f t="shared" si="421"/>
        <v>0</v>
      </c>
      <c r="EZ67" s="49">
        <f t="shared" si="422"/>
        <v>0</v>
      </c>
      <c r="FA67" s="49">
        <f t="shared" si="423"/>
        <v>0</v>
      </c>
      <c r="FB67" s="49">
        <f t="shared" si="424"/>
        <v>0</v>
      </c>
      <c r="FC67" s="49">
        <f t="shared" si="425"/>
        <v>0</v>
      </c>
      <c r="FD67" s="49">
        <f t="shared" si="426"/>
        <v>0</v>
      </c>
      <c r="FE67" s="49">
        <f t="shared" si="427"/>
        <v>0</v>
      </c>
      <c r="FF67" s="49">
        <f t="shared" si="428"/>
        <v>0</v>
      </c>
      <c r="FG67" s="49">
        <f t="shared" si="429"/>
        <v>2.5746534542465757E-20</v>
      </c>
      <c r="FH67" s="60">
        <f>IFERROR(FH5/$B53,0)</f>
        <v>0</v>
      </c>
      <c r="FI67" s="60">
        <f>IFERROR(FI5/$B53,0)</f>
        <v>5166920729113.499</v>
      </c>
      <c r="FJ67" s="60">
        <f>IFERROR(FJ5/$B53,0)</f>
        <v>5166920729113.498</v>
      </c>
      <c r="FK67" s="71">
        <f>IFERROR(s_RadSpec!$F$5*FK5,".")*$B$67</f>
        <v>0</v>
      </c>
      <c r="FL67" s="71">
        <f>IFERROR(s_RadSpec!$K$5*FL5,".")*$B$67</f>
        <v>9.6769435068493164E-18</v>
      </c>
      <c r="FM67" s="49">
        <f t="shared" si="430"/>
        <v>0</v>
      </c>
      <c r="FN67" s="49">
        <f t="shared" si="430"/>
        <v>9.6769435068493164E-18</v>
      </c>
      <c r="FO67" s="49">
        <f t="shared" si="431"/>
        <v>9.6769435068493164E-18</v>
      </c>
    </row>
    <row r="68" spans="1:171" x14ac:dyDescent="0.25">
      <c r="A68" s="83" t="s">
        <v>1089</v>
      </c>
      <c r="B68" s="42">
        <v>0.99999979999999999</v>
      </c>
      <c r="C68" s="178"/>
      <c r="D68" s="60">
        <f t="shared" ref="D68:O68" si="446">IFERROR(D9/$B54,0)</f>
        <v>311.52566861963311</v>
      </c>
      <c r="E68" s="60">
        <f t="shared" si="446"/>
        <v>1246.1026744785324</v>
      </c>
      <c r="F68" s="60">
        <f t="shared" si="446"/>
        <v>1246.1026744785324</v>
      </c>
      <c r="G68" s="60">
        <f t="shared" si="446"/>
        <v>1246.1026744785324</v>
      </c>
      <c r="H68" s="60">
        <f t="shared" si="446"/>
        <v>1246.1026744785324</v>
      </c>
      <c r="I68" s="60">
        <f t="shared" si="446"/>
        <v>1246.1026744785324</v>
      </c>
      <c r="J68" s="60">
        <f t="shared" si="446"/>
        <v>1246.1026744785324</v>
      </c>
      <c r="K68" s="60">
        <f t="shared" ref="K68" si="447">IFERROR(K9/$B54,0)</f>
        <v>1246.1026744785324</v>
      </c>
      <c r="L68" s="60">
        <f t="shared" si="446"/>
        <v>1246.1026744785324</v>
      </c>
      <c r="M68" s="60">
        <f t="shared" si="446"/>
        <v>1246.1026744785324</v>
      </c>
      <c r="N68" s="60">
        <f t="shared" si="446"/>
        <v>1246.1026744785324</v>
      </c>
      <c r="O68" s="60">
        <f t="shared" si="446"/>
        <v>1246.1026744785324</v>
      </c>
      <c r="P68" s="71">
        <f>s_dir!BC68</f>
        <v>1.6050048210009644E-7</v>
      </c>
      <c r="Q68" s="71">
        <f>IFERROR(s_RadSpec!$H$9*Q9,".")*$B$68</f>
        <v>4.0125104474977501E-8</v>
      </c>
      <c r="R68" s="71">
        <f>IFERROR(s_RadSpec!$H$9*R9,".")*$B$68</f>
        <v>4.0125104474977501E-8</v>
      </c>
      <c r="S68" s="71">
        <f>IFERROR(s_RadSpec!$H$9*S9,".")*$B$68</f>
        <v>4.0125104474977501E-8</v>
      </c>
      <c r="T68" s="71">
        <f>IFERROR(s_RadSpec!$H$9*T9,".")*$B$68</f>
        <v>4.0125104474977501E-8</v>
      </c>
      <c r="U68" s="71">
        <f>IFERROR(s_RadSpec!$H$9*U9,".")*$B$68</f>
        <v>4.0125104474977501E-8</v>
      </c>
      <c r="V68" s="71">
        <f>IFERROR(s_RadSpec!$H$9*V9,".")*$B$68</f>
        <v>4.0125104474977501E-8</v>
      </c>
      <c r="W68" s="71">
        <f>IFERROR(s_RadSpec!$H$9*W9,".")*$B$68</f>
        <v>4.0125104474977501E-8</v>
      </c>
      <c r="X68" s="71">
        <f>IFERROR(s_RadSpec!$H$9*X9,".")*$B$68</f>
        <v>4.0125104474977501E-8</v>
      </c>
      <c r="Y68" s="71">
        <f>IFERROR(s_RadSpec!$H$9*Y9,".")*$B$68</f>
        <v>4.0125104474977501E-8</v>
      </c>
      <c r="Z68" s="71">
        <f>IFERROR(s_RadSpec!$H$9*Z9,".")*$B$68</f>
        <v>4.0125104474977501E-8</v>
      </c>
      <c r="AA68" s="71">
        <f>IFERROR(s_RadSpec!$H$9*AA9,".")*$B$68</f>
        <v>4.0125104474977501E-8</v>
      </c>
      <c r="AB68" s="49">
        <f t="shared" si="387"/>
        <v>1.6050048210009644E-7</v>
      </c>
      <c r="AC68" s="49">
        <f t="shared" si="388"/>
        <v>4.0125104474977501E-8</v>
      </c>
      <c r="AD68" s="49">
        <f t="shared" si="389"/>
        <v>4.0125104474977501E-8</v>
      </c>
      <c r="AE68" s="49">
        <f t="shared" si="390"/>
        <v>4.0125104474977501E-8</v>
      </c>
      <c r="AF68" s="49">
        <f t="shared" si="391"/>
        <v>4.0125104474977501E-8</v>
      </c>
      <c r="AG68" s="49">
        <f t="shared" si="392"/>
        <v>4.0125104474977501E-8</v>
      </c>
      <c r="AH68" s="49">
        <f t="shared" si="393"/>
        <v>4.0125104474977501E-8</v>
      </c>
      <c r="AI68" s="49">
        <f t="shared" si="393"/>
        <v>4.0125104474977501E-8</v>
      </c>
      <c r="AJ68" s="49">
        <f t="shared" si="394"/>
        <v>4.0125104474977501E-8</v>
      </c>
      <c r="AK68" s="49">
        <f t="shared" si="395"/>
        <v>4.0125104474977501E-8</v>
      </c>
      <c r="AL68" s="49">
        <f t="shared" si="396"/>
        <v>4.0125104474977501E-8</v>
      </c>
      <c r="AM68" s="49">
        <f t="shared" si="397"/>
        <v>4.0125104474977501E-8</v>
      </c>
      <c r="AN68" s="60">
        <f t="shared" ref="AN68:BB68" si="448">IFERROR(AN9/$B54,0)</f>
        <v>409842.02642252657</v>
      </c>
      <c r="AO68" s="60">
        <f t="shared" si="448"/>
        <v>24999938.537158351</v>
      </c>
      <c r="AP68" s="60">
        <f t="shared" si="448"/>
        <v>7.3758537194294478</v>
      </c>
      <c r="AQ68" s="60">
        <f t="shared" si="448"/>
        <v>2744.7195473095426</v>
      </c>
      <c r="AR68" s="60">
        <f>IFERROR(AR9/$B54,0)</f>
        <v>39875.285583313038</v>
      </c>
      <c r="AS68" s="60">
        <f>IFERROR(AS9/$B54,0)</f>
        <v>0</v>
      </c>
      <c r="AT68" s="60">
        <f>IFERROR(AT9/$B54,0)</f>
        <v>4153.6755815951083</v>
      </c>
      <c r="AU68" s="60">
        <f>IFERROR(AU9/$B54,0)</f>
        <v>8556.5716980859233</v>
      </c>
      <c r="AV68" s="60">
        <f>IFERROR(AV9/$B54,0)</f>
        <v>0</v>
      </c>
      <c r="AW68" s="60">
        <f t="shared" si="448"/>
        <v>0</v>
      </c>
      <c r="AX68" s="60">
        <f t="shared" si="448"/>
        <v>0</v>
      </c>
      <c r="AY68" s="60">
        <f t="shared" si="448"/>
        <v>0</v>
      </c>
      <c r="AZ68" s="60">
        <f>IFERROR(AZ9/$B54,0)</f>
        <v>0</v>
      </c>
      <c r="BA68" s="60">
        <f t="shared" si="448"/>
        <v>0</v>
      </c>
      <c r="BB68" s="60">
        <f t="shared" si="448"/>
        <v>0</v>
      </c>
      <c r="BC68" s="118">
        <f t="shared" si="63"/>
        <v>2.4399645120069998E-6</v>
      </c>
      <c r="BD68" s="118">
        <f t="shared" si="64"/>
        <v>4.0000098340788412E-8</v>
      </c>
      <c r="BE68" s="118">
        <f t="shared" si="65"/>
        <v>0.13557752607888679</v>
      </c>
      <c r="BF68" s="118">
        <f t="shared" si="66"/>
        <v>3.6433594863279577E-4</v>
      </c>
      <c r="BG68" s="118">
        <f t="shared" si="67"/>
        <v>2.5078190296860941E-5</v>
      </c>
      <c r="BH68" s="118" t="str">
        <f t="shared" si="68"/>
        <v>.</v>
      </c>
      <c r="BI68" s="118">
        <f t="shared" si="69"/>
        <v>2.4075062684986504E-4</v>
      </c>
      <c r="BJ68" s="118">
        <f t="shared" si="70"/>
        <v>1.1686923633488593E-4</v>
      </c>
      <c r="BK68" s="118" t="str">
        <f t="shared" si="71"/>
        <v>.</v>
      </c>
      <c r="BL68" s="118" t="str">
        <f t="shared" si="72"/>
        <v>.</v>
      </c>
      <c r="BM68" s="118" t="str">
        <f t="shared" si="73"/>
        <v>.</v>
      </c>
      <c r="BN68" s="118" t="str">
        <f t="shared" si="74"/>
        <v>.</v>
      </c>
      <c r="BO68" s="118" t="str">
        <f t="shared" si="75"/>
        <v>.</v>
      </c>
      <c r="BP68" s="118" t="str">
        <f t="shared" si="76"/>
        <v>.</v>
      </c>
      <c r="BQ68" s="118" t="str">
        <f t="shared" si="77"/>
        <v>.</v>
      </c>
      <c r="BR68" s="60">
        <f t="shared" si="443"/>
        <v>7.3353019303098304</v>
      </c>
      <c r="BS68" s="71">
        <f>IFERROR(s_RadSpec!$E$9*BS9,".")*$B$68</f>
        <v>1.2199822560035E-10</v>
      </c>
      <c r="BT68" s="71">
        <f>IFERROR(s_RadSpec!$F$9*BT9,".")*$B$68</f>
        <v>2.0000049170394206E-12</v>
      </c>
      <c r="BU68" s="71">
        <f>IFERROR(s_RadSpec!$G$9*BU9,".")*$B$68</f>
        <v>6.778876303944339E-6</v>
      </c>
      <c r="BV68" s="71">
        <f>s_b2s!CC68</f>
        <v>1.8216804718360947E-8</v>
      </c>
      <c r="BW68" s="71">
        <f>IFERROR(s_RadSpec!$H$9*BW9,".")*$B$68</f>
        <v>1.2539095148430469E-9</v>
      </c>
      <c r="BX68" s="71">
        <f>IFERROR(s_RadSpec!$H$9*BX9,".")*$B$68</f>
        <v>0</v>
      </c>
      <c r="BY68" s="71">
        <f>IFERROR(s_RadSpec!$H$9*BY9,".")*$B$68</f>
        <v>1.203753134249325E-8</v>
      </c>
      <c r="BZ68" s="71">
        <f>IFERROR(s_RadSpec!$H$9*BZ9,".")*$B$68</f>
        <v>5.8434618167442968E-9</v>
      </c>
      <c r="CA68" s="71">
        <f>IFERROR(s_RadSpec!$H$9*CA9,".")*$B$68</f>
        <v>0</v>
      </c>
      <c r="CB68" s="71">
        <f>IFERROR(s_RadSpec!$H$9*CB9,".")*$B$68</f>
        <v>0</v>
      </c>
      <c r="CC68" s="71">
        <f>IFERROR(s_RadSpec!$H$9*CC9,".")*$B$68</f>
        <v>0</v>
      </c>
      <c r="CD68" s="71">
        <f>IFERROR(s_RadSpec!$H$9*CD9,".")*$B$68</f>
        <v>0</v>
      </c>
      <c r="CE68" s="71">
        <f>IFERROR(s_RadSpec!$H$9*CE9,".")*$B$68</f>
        <v>0</v>
      </c>
      <c r="CF68" s="71">
        <f>IFERROR(s_RadSpec!$H$9*CF9,".")*$B$68</f>
        <v>0</v>
      </c>
      <c r="CG68" s="71">
        <f>IFERROR(s_RadSpec!$H$9*CG9,".")*$B$68</f>
        <v>0</v>
      </c>
      <c r="CH68" s="49">
        <f t="shared" si="399"/>
        <v>1.2199822560035E-10</v>
      </c>
      <c r="CI68" s="49">
        <f t="shared" si="400"/>
        <v>2.0000049170394206E-12</v>
      </c>
      <c r="CJ68" s="49">
        <f t="shared" si="401"/>
        <v>6.778876303944339E-6</v>
      </c>
      <c r="CK68" s="49">
        <f t="shared" si="402"/>
        <v>1.8216804718360947E-8</v>
      </c>
      <c r="CL68" s="49">
        <f t="shared" si="403"/>
        <v>1.2539095148430469E-9</v>
      </c>
      <c r="CM68" s="49">
        <f t="shared" si="403"/>
        <v>0</v>
      </c>
      <c r="CN68" s="49">
        <f t="shared" si="404"/>
        <v>1.203753134249325E-8</v>
      </c>
      <c r="CO68" s="49">
        <f t="shared" si="405"/>
        <v>5.8434618167442968E-9</v>
      </c>
      <c r="CP68" s="49">
        <f t="shared" si="406"/>
        <v>0</v>
      </c>
      <c r="CQ68" s="49">
        <f t="shared" si="407"/>
        <v>0</v>
      </c>
      <c r="CR68" s="49">
        <f t="shared" si="408"/>
        <v>0</v>
      </c>
      <c r="CS68" s="49">
        <f t="shared" si="409"/>
        <v>0</v>
      </c>
      <c r="CT68" s="49">
        <f t="shared" si="410"/>
        <v>0</v>
      </c>
      <c r="CU68" s="49">
        <f t="shared" si="411"/>
        <v>0</v>
      </c>
      <c r="CV68" s="49">
        <f t="shared" si="412"/>
        <v>0</v>
      </c>
      <c r="CW68" s="49">
        <f t="shared" si="413"/>
        <v>6.8163520095672981E-6</v>
      </c>
      <c r="CX68" s="60">
        <f t="shared" ref="CX68:DL68" si="449">IFERROR(CX9/$B54,0)</f>
        <v>9468.2194543470014</v>
      </c>
      <c r="CY68" s="60">
        <f>IFERROR(CY9,".")</f>
        <v>3170.4978003179385</v>
      </c>
      <c r="CZ68" s="60">
        <f t="shared" si="449"/>
        <v>1375067.8884066863</v>
      </c>
      <c r="DA68" s="60">
        <f t="shared" si="449"/>
        <v>9868.7505487362396</v>
      </c>
      <c r="DB68" s="60">
        <f>IFERROR(DB9/$B54,0)</f>
        <v>83073.511631902162</v>
      </c>
      <c r="DC68" s="60">
        <f>IFERROR(DC9/$B54,0)</f>
        <v>0</v>
      </c>
      <c r="DD68" s="60">
        <f>IFERROR(DD9/$B54,0)</f>
        <v>124610267.44785322</v>
      </c>
      <c r="DE68" s="60">
        <f>IFERROR(DE9/$B54,0)</f>
        <v>256697150.94257766</v>
      </c>
      <c r="DF68" s="60">
        <f>IFERROR(DF9/$B54,0)</f>
        <v>0</v>
      </c>
      <c r="DG68" s="60">
        <f t="shared" si="449"/>
        <v>0</v>
      </c>
      <c r="DH68" s="60">
        <f t="shared" si="449"/>
        <v>0</v>
      </c>
      <c r="DI68" s="60">
        <f t="shared" si="449"/>
        <v>0</v>
      </c>
      <c r="DJ68" s="60">
        <f>IFERROR(DJ9/$B54,0)</f>
        <v>0</v>
      </c>
      <c r="DK68" s="60">
        <f t="shared" si="449"/>
        <v>0</v>
      </c>
      <c r="DL68" s="60">
        <f t="shared" si="449"/>
        <v>0</v>
      </c>
      <c r="DM68" s="118">
        <f t="shared" si="80"/>
        <v>1.056164788767E-4</v>
      </c>
      <c r="DN68" s="118">
        <f t="shared" si="81"/>
        <v>3.1540788323515621E-4</v>
      </c>
      <c r="DO68" s="118">
        <f t="shared" si="82"/>
        <v>7.2723682112794915E-7</v>
      </c>
      <c r="DP68" s="118">
        <f t="shared" si="83"/>
        <v>1.0132995003385274E-4</v>
      </c>
      <c r="DQ68" s="118">
        <f t="shared" si="84"/>
        <v>1.2037531342493252E-5</v>
      </c>
      <c r="DR68" s="118" t="str">
        <f t="shared" si="85"/>
        <v>.</v>
      </c>
      <c r="DS68" s="118">
        <f t="shared" si="86"/>
        <v>8.0250208949955018E-9</v>
      </c>
      <c r="DT68" s="118">
        <f t="shared" si="87"/>
        <v>3.8956412111628648E-9</v>
      </c>
      <c r="DU68" s="118" t="str">
        <f t="shared" si="88"/>
        <v>.</v>
      </c>
      <c r="DV68" s="118" t="str">
        <f t="shared" si="89"/>
        <v>.</v>
      </c>
      <c r="DW68" s="118" t="str">
        <f t="shared" si="90"/>
        <v>.</v>
      </c>
      <c r="DX68" s="118" t="str">
        <f t="shared" si="91"/>
        <v>.</v>
      </c>
      <c r="DY68" s="118" t="str">
        <f t="shared" si="92"/>
        <v>.</v>
      </c>
      <c r="DZ68" s="118" t="str">
        <f t="shared" si="93"/>
        <v>.</v>
      </c>
      <c r="EA68" s="118" t="str">
        <f t="shared" si="94"/>
        <v>.</v>
      </c>
      <c r="EB68" s="60">
        <f t="shared" si="445"/>
        <v>1868.7013052592274</v>
      </c>
      <c r="EC68" s="71">
        <f>IFERROR(s_RadSpec!$I$9*EC9,".")*$B$68</f>
        <v>5.2808239438350001E-9</v>
      </c>
      <c r="ED68" s="71">
        <f>IFERROR(s_RadSpec!$F$9*ED9,".")</f>
        <v>1.5770394161757811E-8</v>
      </c>
      <c r="EE68" s="71">
        <f>IFERROR(s_RadSpec!$M$9*EE9,".")*$B$68</f>
        <v>3.6361841056397453E-11</v>
      </c>
      <c r="EF68" s="71">
        <f>s_b2w!CC68</f>
        <v>5.0664995282922455E-9</v>
      </c>
      <c r="EG68" s="71">
        <f>IFERROR(s_RadSpec!$H$9*EG9,".")*$B$68</f>
        <v>6.0187656712466262E-10</v>
      </c>
      <c r="EH68" s="71">
        <f>IFERROR(s_RadSpec!$H$9*EH9,".")*$B$68</f>
        <v>0</v>
      </c>
      <c r="EI68" s="71">
        <f>IFERROR(s_RadSpec!$H$9*EI9,".")*$B$68</f>
        <v>4.0125104474977503E-13</v>
      </c>
      <c r="EJ68" s="71">
        <f>IFERROR(s_RadSpec!$H$9*EJ9,".")*$B$68</f>
        <v>1.9478206055814324E-13</v>
      </c>
      <c r="EK68" s="71">
        <f>IFERROR(s_RadSpec!$H$9*EK9,".")*$B$68</f>
        <v>0</v>
      </c>
      <c r="EL68" s="71">
        <f>IFERROR(s_RadSpec!$H$9*EL9,".")*$B$68</f>
        <v>0</v>
      </c>
      <c r="EM68" s="71">
        <f>IFERROR(s_RadSpec!$H$9*EM9,".")*$B$68</f>
        <v>0</v>
      </c>
      <c r="EN68" s="71">
        <f>IFERROR(s_RadSpec!$H$9*EN9,".")*$B$68</f>
        <v>0</v>
      </c>
      <c r="EO68" s="71">
        <f>IFERROR(s_RadSpec!$H$9*EO9,".")*$B$68</f>
        <v>0</v>
      </c>
      <c r="EP68" s="71">
        <f>IFERROR(s_RadSpec!$H$9*EP9,".")*$B$68</f>
        <v>0</v>
      </c>
      <c r="EQ68" s="71">
        <f>IFERROR(s_RadSpec!$H$9*EQ9,".")*$B$68</f>
        <v>0</v>
      </c>
      <c r="ER68" s="49">
        <f t="shared" si="415"/>
        <v>5.2808239438350001E-9</v>
      </c>
      <c r="ES68" s="49">
        <f t="shared" si="416"/>
        <v>1.5770394161757811E-8</v>
      </c>
      <c r="ET68" s="49">
        <f t="shared" si="417"/>
        <v>3.6361841056397453E-11</v>
      </c>
      <c r="EU68" s="49">
        <f t="shared" si="418"/>
        <v>5.0664995282922455E-9</v>
      </c>
      <c r="EV68" s="49">
        <f t="shared" si="419"/>
        <v>6.0187656712466262E-10</v>
      </c>
      <c r="EW68" s="49">
        <f t="shared" si="419"/>
        <v>0</v>
      </c>
      <c r="EX68" s="49">
        <f t="shared" si="420"/>
        <v>4.0125104474977503E-13</v>
      </c>
      <c r="EY68" s="49">
        <f t="shared" si="421"/>
        <v>1.9478206055814324E-13</v>
      </c>
      <c r="EZ68" s="49">
        <f t="shared" si="422"/>
        <v>0</v>
      </c>
      <c r="FA68" s="49">
        <f t="shared" si="423"/>
        <v>0</v>
      </c>
      <c r="FB68" s="49">
        <f t="shared" si="424"/>
        <v>0</v>
      </c>
      <c r="FC68" s="49">
        <f t="shared" si="425"/>
        <v>0</v>
      </c>
      <c r="FD68" s="49">
        <f t="shared" si="426"/>
        <v>0</v>
      </c>
      <c r="FE68" s="49">
        <f t="shared" si="427"/>
        <v>0</v>
      </c>
      <c r="FF68" s="49">
        <f t="shared" si="428"/>
        <v>0</v>
      </c>
      <c r="FG68" s="49">
        <f t="shared" si="429"/>
        <v>2.675655207517143E-8</v>
      </c>
      <c r="FH68" s="60">
        <f>IFERROR(FH9/$B54,0)</f>
        <v>80.696019165303966</v>
      </c>
      <c r="FI68" s="60">
        <f>IFERROR(FI9/$B54,0)</f>
        <v>4761.142566490169</v>
      </c>
      <c r="FJ68" s="60">
        <f>IFERROR(FJ9/$B54,0)</f>
        <v>79.351107022131899</v>
      </c>
      <c r="FK68" s="71">
        <f>IFERROR(s_RadSpec!$F$9*FK9,".")*$B$68</f>
        <v>6.1960925107812488E-7</v>
      </c>
      <c r="FL68" s="71">
        <f>IFERROR(s_RadSpec!$K$9*FL9,".")*$B$68</f>
        <v>1.050168090993737E-8</v>
      </c>
      <c r="FM68" s="49">
        <f t="shared" si="430"/>
        <v>6.1960925107812488E-7</v>
      </c>
      <c r="FN68" s="49">
        <f t="shared" si="430"/>
        <v>1.050168090993737E-8</v>
      </c>
      <c r="FO68" s="49">
        <f t="shared" si="431"/>
        <v>6.301109319880622E-7</v>
      </c>
    </row>
    <row r="69" spans="1:171" x14ac:dyDescent="0.25">
      <c r="A69" s="83" t="s">
        <v>1090</v>
      </c>
      <c r="B69" s="42">
        <v>1.9999999999999999E-7</v>
      </c>
      <c r="C69" s="178"/>
      <c r="D69" s="60">
        <f t="shared" ref="D69:O69" si="450">IFERROR(D24/$B55,0)</f>
        <v>0</v>
      </c>
      <c r="E69" s="60">
        <f t="shared" si="450"/>
        <v>0</v>
      </c>
      <c r="F69" s="60">
        <f>IFERROR(F24/$B55,0)</f>
        <v>0</v>
      </c>
      <c r="G69" s="60">
        <f t="shared" si="450"/>
        <v>0</v>
      </c>
      <c r="H69" s="60">
        <f t="shared" si="450"/>
        <v>0</v>
      </c>
      <c r="I69" s="60">
        <f t="shared" si="450"/>
        <v>0</v>
      </c>
      <c r="J69" s="60">
        <f t="shared" si="450"/>
        <v>0</v>
      </c>
      <c r="K69" s="60">
        <f t="shared" ref="K69" si="451">IFERROR(K24/$B55,0)</f>
        <v>0</v>
      </c>
      <c r="L69" s="60">
        <f t="shared" si="450"/>
        <v>0</v>
      </c>
      <c r="M69" s="60">
        <f t="shared" si="450"/>
        <v>0</v>
      </c>
      <c r="N69" s="60">
        <f t="shared" si="450"/>
        <v>0</v>
      </c>
      <c r="O69" s="60">
        <f t="shared" si="450"/>
        <v>0</v>
      </c>
      <c r="P69" s="71">
        <f>s_dir!BC69</f>
        <v>0</v>
      </c>
      <c r="Q69" s="71">
        <f>IFERROR(s_RadSpec!$H$24*Q24,".")*$B$69</f>
        <v>0</v>
      </c>
      <c r="R69" s="71">
        <f>IFERROR(s_RadSpec!$H$24*R24,".")*$B$69</f>
        <v>0</v>
      </c>
      <c r="S69" s="71">
        <f>IFERROR(s_RadSpec!$H$24*S24,".")*$B$69</f>
        <v>0</v>
      </c>
      <c r="T69" s="71">
        <f>IFERROR(s_RadSpec!$H$24*T24,".")*$B$69</f>
        <v>0</v>
      </c>
      <c r="U69" s="71">
        <f>IFERROR(s_RadSpec!$H$24*U24,".")*$B$69</f>
        <v>0</v>
      </c>
      <c r="V69" s="71">
        <f>IFERROR(s_RadSpec!$H$24*V24,".")*$B$69</f>
        <v>0</v>
      </c>
      <c r="W69" s="71">
        <f>IFERROR(s_RadSpec!$H$24*W24,".")*$B$69</f>
        <v>0</v>
      </c>
      <c r="X69" s="71">
        <f>IFERROR(s_RadSpec!$H$24*X24,".")*$B$69</f>
        <v>0</v>
      </c>
      <c r="Y69" s="71">
        <f>IFERROR(s_RadSpec!$H$24*Y24,".")*$B$69</f>
        <v>0</v>
      </c>
      <c r="Z69" s="71">
        <f>IFERROR(s_RadSpec!$H$24*Z24,".")*$B$69</f>
        <v>0</v>
      </c>
      <c r="AA69" s="71">
        <f>IFERROR(s_RadSpec!$H$24*AA24,".")*$B$69</f>
        <v>0</v>
      </c>
      <c r="AB69" s="49">
        <f t="shared" si="387"/>
        <v>0</v>
      </c>
      <c r="AC69" s="49">
        <f t="shared" si="388"/>
        <v>0</v>
      </c>
      <c r="AD69" s="49">
        <f t="shared" si="389"/>
        <v>0</v>
      </c>
      <c r="AE69" s="49">
        <f t="shared" si="390"/>
        <v>0</v>
      </c>
      <c r="AF69" s="49">
        <f t="shared" si="391"/>
        <v>0</v>
      </c>
      <c r="AG69" s="49">
        <f t="shared" si="392"/>
        <v>0</v>
      </c>
      <c r="AH69" s="49">
        <f t="shared" si="393"/>
        <v>0</v>
      </c>
      <c r="AI69" s="49">
        <f t="shared" si="393"/>
        <v>0</v>
      </c>
      <c r="AJ69" s="49">
        <f t="shared" si="394"/>
        <v>0</v>
      </c>
      <c r="AK69" s="49">
        <f t="shared" si="395"/>
        <v>0</v>
      </c>
      <c r="AL69" s="49">
        <f t="shared" si="396"/>
        <v>0</v>
      </c>
      <c r="AM69" s="49">
        <f t="shared" si="397"/>
        <v>0</v>
      </c>
      <c r="AN69" s="60">
        <f t="shared" ref="AN69:BB69" si="452">IFERROR(AN24/$B55,0)</f>
        <v>0</v>
      </c>
      <c r="AO69" s="60">
        <f t="shared" si="452"/>
        <v>0</v>
      </c>
      <c r="AP69" s="60">
        <f t="shared" si="452"/>
        <v>141162119965.70715</v>
      </c>
      <c r="AQ69" s="60">
        <f t="shared" si="452"/>
        <v>0</v>
      </c>
      <c r="AR69" s="60">
        <f>IFERROR(AR24/$B55,0)</f>
        <v>0</v>
      </c>
      <c r="AS69" s="60">
        <f>IFERROR(AS24/$B55,0)</f>
        <v>0</v>
      </c>
      <c r="AT69" s="60">
        <f>IFERROR(AT24/$B55,0)</f>
        <v>0</v>
      </c>
      <c r="AU69" s="60">
        <f>IFERROR(AU24/$B55,0)</f>
        <v>0</v>
      </c>
      <c r="AV69" s="60">
        <f>IFERROR(AV24/$B55,0)</f>
        <v>0</v>
      </c>
      <c r="AW69" s="60">
        <f t="shared" si="452"/>
        <v>0</v>
      </c>
      <c r="AX69" s="60">
        <f t="shared" si="452"/>
        <v>0</v>
      </c>
      <c r="AY69" s="60">
        <f t="shared" si="452"/>
        <v>0</v>
      </c>
      <c r="AZ69" s="60">
        <f>IFERROR(AZ24/$B55,0)</f>
        <v>0</v>
      </c>
      <c r="BA69" s="60">
        <f t="shared" si="452"/>
        <v>0</v>
      </c>
      <c r="BB69" s="60">
        <f t="shared" si="452"/>
        <v>0</v>
      </c>
      <c r="BC69" s="118" t="str">
        <f t="shared" si="63"/>
        <v>.</v>
      </c>
      <c r="BD69" s="118" t="str">
        <f t="shared" si="64"/>
        <v>.</v>
      </c>
      <c r="BE69" s="118">
        <f t="shared" si="65"/>
        <v>7.0840534290851706E-12</v>
      </c>
      <c r="BF69" s="118" t="str">
        <f t="shared" si="66"/>
        <v>.</v>
      </c>
      <c r="BG69" s="118" t="str">
        <f t="shared" si="67"/>
        <v>.</v>
      </c>
      <c r="BH69" s="118" t="str">
        <f t="shared" si="68"/>
        <v>.</v>
      </c>
      <c r="BI69" s="118" t="str">
        <f t="shared" si="69"/>
        <v>.</v>
      </c>
      <c r="BJ69" s="118" t="str">
        <f t="shared" si="70"/>
        <v>.</v>
      </c>
      <c r="BK69" s="118" t="str">
        <f t="shared" si="71"/>
        <v>.</v>
      </c>
      <c r="BL69" s="118" t="str">
        <f t="shared" si="72"/>
        <v>.</v>
      </c>
      <c r="BM69" s="118" t="str">
        <f t="shared" si="73"/>
        <v>.</v>
      </c>
      <c r="BN69" s="118" t="str">
        <f t="shared" si="74"/>
        <v>.</v>
      </c>
      <c r="BO69" s="118" t="str">
        <f t="shared" si="75"/>
        <v>.</v>
      </c>
      <c r="BP69" s="118" t="str">
        <f t="shared" si="76"/>
        <v>.</v>
      </c>
      <c r="BQ69" s="118" t="str">
        <f t="shared" si="77"/>
        <v>.</v>
      </c>
      <c r="BR69" s="60">
        <f t="shared" si="443"/>
        <v>141162119965.70715</v>
      </c>
      <c r="BS69" s="71">
        <f>IFERROR(s_RadSpec!$E$24*BS24,".")*$B$69</f>
        <v>0</v>
      </c>
      <c r="BT69" s="71">
        <f>IFERROR(s_RadSpec!$F$24*BT24,".")*$B$69</f>
        <v>0</v>
      </c>
      <c r="BU69" s="71">
        <f>IFERROR(s_RadSpec!$G$24*BU24,".")*$B$69</f>
        <v>3.5420267145425855E-16</v>
      </c>
      <c r="BV69" s="71">
        <f>s_b2s!CC69</f>
        <v>0</v>
      </c>
      <c r="BW69" s="71">
        <f>IFERROR(s_RadSpec!$H$24*BW24,".")*$B$69</f>
        <v>0</v>
      </c>
      <c r="BX69" s="71">
        <f>IFERROR(s_RadSpec!$H$24*BX24,".")*$B$69</f>
        <v>0</v>
      </c>
      <c r="BY69" s="71">
        <f>IFERROR(s_RadSpec!$H$24*BY24,".")*$B$69</f>
        <v>0</v>
      </c>
      <c r="BZ69" s="71">
        <f>IFERROR(s_RadSpec!$H$24*BZ24,".")*$B$69</f>
        <v>0</v>
      </c>
      <c r="CA69" s="71">
        <f>IFERROR(s_RadSpec!$H$24*CA24,".")*$B$69</f>
        <v>0</v>
      </c>
      <c r="CB69" s="71">
        <f>IFERROR(s_RadSpec!$H$24*CB24,".")*$B$69</f>
        <v>0</v>
      </c>
      <c r="CC69" s="71">
        <f>IFERROR(s_RadSpec!$H$24*CC24,".")*$B$69</f>
        <v>0</v>
      </c>
      <c r="CD69" s="71">
        <f>IFERROR(s_RadSpec!$H$24*CD24,".")*$B$69</f>
        <v>0</v>
      </c>
      <c r="CE69" s="71">
        <f>IFERROR(s_RadSpec!$H$24*CE24,".")*$B$69</f>
        <v>0</v>
      </c>
      <c r="CF69" s="71">
        <f>IFERROR(s_RadSpec!$H$24*CF24,".")*$B$69</f>
        <v>0</v>
      </c>
      <c r="CG69" s="71">
        <f>IFERROR(s_RadSpec!$H$24*CG24,".")*$B$69</f>
        <v>0</v>
      </c>
      <c r="CH69" s="49">
        <f t="shared" si="399"/>
        <v>0</v>
      </c>
      <c r="CI69" s="49">
        <f t="shared" si="400"/>
        <v>0</v>
      </c>
      <c r="CJ69" s="49">
        <f t="shared" si="401"/>
        <v>3.5420267145425855E-16</v>
      </c>
      <c r="CK69" s="49">
        <f t="shared" si="402"/>
        <v>0</v>
      </c>
      <c r="CL69" s="49">
        <f t="shared" si="403"/>
        <v>0</v>
      </c>
      <c r="CM69" s="49">
        <f t="shared" si="403"/>
        <v>0</v>
      </c>
      <c r="CN69" s="49">
        <f t="shared" si="404"/>
        <v>0</v>
      </c>
      <c r="CO69" s="49">
        <f t="shared" si="405"/>
        <v>0</v>
      </c>
      <c r="CP69" s="49">
        <f t="shared" si="406"/>
        <v>0</v>
      </c>
      <c r="CQ69" s="49">
        <f t="shared" si="407"/>
        <v>0</v>
      </c>
      <c r="CR69" s="49">
        <f t="shared" si="408"/>
        <v>0</v>
      </c>
      <c r="CS69" s="49">
        <f t="shared" si="409"/>
        <v>0</v>
      </c>
      <c r="CT69" s="49">
        <f t="shared" si="410"/>
        <v>0</v>
      </c>
      <c r="CU69" s="49">
        <f t="shared" si="411"/>
        <v>0</v>
      </c>
      <c r="CV69" s="49">
        <f t="shared" si="412"/>
        <v>0</v>
      </c>
      <c r="CW69" s="49">
        <f t="shared" si="413"/>
        <v>3.5420267145425855E-16</v>
      </c>
      <c r="CX69" s="60">
        <f t="shared" ref="CX69:DL69" si="453">IFERROR(CX24/$B55,0)</f>
        <v>0</v>
      </c>
      <c r="CY69" s="60" t="str">
        <f>IFERROR(CY24,".")</f>
        <v>.</v>
      </c>
      <c r="CZ69" s="60">
        <f t="shared" si="453"/>
        <v>1.4376760882019012E+16</v>
      </c>
      <c r="DA69" s="60">
        <f t="shared" si="453"/>
        <v>0</v>
      </c>
      <c r="DB69" s="60">
        <f>IFERROR(DB24/$B55,0)</f>
        <v>0</v>
      </c>
      <c r="DC69" s="60">
        <f>IFERROR(DC24/$B55,0)</f>
        <v>0</v>
      </c>
      <c r="DD69" s="60">
        <f>IFERROR(DD24/$B55,0)</f>
        <v>0</v>
      </c>
      <c r="DE69" s="60">
        <f>IFERROR(DE24/$B55,0)</f>
        <v>0</v>
      </c>
      <c r="DF69" s="60">
        <f>IFERROR(DF24/$B55,0)</f>
        <v>0</v>
      </c>
      <c r="DG69" s="60">
        <f t="shared" si="453"/>
        <v>0</v>
      </c>
      <c r="DH69" s="60">
        <f t="shared" si="453"/>
        <v>0</v>
      </c>
      <c r="DI69" s="60">
        <f t="shared" si="453"/>
        <v>0</v>
      </c>
      <c r="DJ69" s="60">
        <f>IFERROR(DJ24/$B55,0)</f>
        <v>0</v>
      </c>
      <c r="DK69" s="60">
        <f t="shared" si="453"/>
        <v>0</v>
      </c>
      <c r="DL69" s="60">
        <f t="shared" si="453"/>
        <v>0</v>
      </c>
      <c r="DM69" s="118" t="str">
        <f t="shared" si="80"/>
        <v>.</v>
      </c>
      <c r="DN69" s="118" t="str">
        <f t="shared" si="81"/>
        <v>.</v>
      </c>
      <c r="DO69" s="118">
        <f t="shared" si="82"/>
        <v>6.9556696964383555E-17</v>
      </c>
      <c r="DP69" s="118" t="str">
        <f t="shared" si="83"/>
        <v>.</v>
      </c>
      <c r="DQ69" s="118" t="str">
        <f t="shared" si="84"/>
        <v>.</v>
      </c>
      <c r="DR69" s="118" t="str">
        <f t="shared" si="85"/>
        <v>.</v>
      </c>
      <c r="DS69" s="118" t="str">
        <f t="shared" si="86"/>
        <v>.</v>
      </c>
      <c r="DT69" s="118" t="str">
        <f t="shared" si="87"/>
        <v>.</v>
      </c>
      <c r="DU69" s="118" t="str">
        <f t="shared" si="88"/>
        <v>.</v>
      </c>
      <c r="DV69" s="118" t="str">
        <f t="shared" si="89"/>
        <v>.</v>
      </c>
      <c r="DW69" s="118" t="str">
        <f t="shared" si="90"/>
        <v>.</v>
      </c>
      <c r="DX69" s="118" t="str">
        <f t="shared" si="91"/>
        <v>.</v>
      </c>
      <c r="DY69" s="118" t="str">
        <f t="shared" si="92"/>
        <v>.</v>
      </c>
      <c r="DZ69" s="118" t="str">
        <f t="shared" si="93"/>
        <v>.</v>
      </c>
      <c r="EA69" s="118" t="str">
        <f t="shared" si="94"/>
        <v>.</v>
      </c>
      <c r="EB69" s="60">
        <f t="shared" si="445"/>
        <v>1.4376760882019012E+16</v>
      </c>
      <c r="EC69" s="71">
        <f>IFERROR(s_RadSpec!$I$24*EC24,".")*$B$69</f>
        <v>0</v>
      </c>
      <c r="ED69" s="71">
        <f>IFERROR(s_RadSpec!$F$24*ED24,".")</f>
        <v>0</v>
      </c>
      <c r="EE69" s="71">
        <f>IFERROR(s_RadSpec!$M$24*EE24,".")*$B$69</f>
        <v>3.4778348482191779E-21</v>
      </c>
      <c r="EF69" s="71">
        <f>s_b2w!CC69</f>
        <v>0</v>
      </c>
      <c r="EG69" s="71">
        <f>IFERROR(s_RadSpec!$H$24*EG24,".")*$B$69</f>
        <v>0</v>
      </c>
      <c r="EH69" s="71">
        <f>IFERROR(s_RadSpec!$H$24*EH24,".")*$B$69</f>
        <v>0</v>
      </c>
      <c r="EI69" s="71">
        <f>IFERROR(s_RadSpec!$H$24*EI24,".")*$B$69</f>
        <v>0</v>
      </c>
      <c r="EJ69" s="71">
        <f>IFERROR(s_RadSpec!$H$24*EJ24,".")*$B$69</f>
        <v>0</v>
      </c>
      <c r="EK69" s="71">
        <f>IFERROR(s_RadSpec!$H$24*EK24,".")*$B$69</f>
        <v>0</v>
      </c>
      <c r="EL69" s="71">
        <f>IFERROR(s_RadSpec!$H$24*EL24,".")*$B$69</f>
        <v>0</v>
      </c>
      <c r="EM69" s="71">
        <f>IFERROR(s_RadSpec!$H$24*EM24,".")*$B$69</f>
        <v>0</v>
      </c>
      <c r="EN69" s="71">
        <f>IFERROR(s_RadSpec!$H$24*EN24,".")*$B$69</f>
        <v>0</v>
      </c>
      <c r="EO69" s="71">
        <f>IFERROR(s_RadSpec!$H$24*EO24,".")*$B$69</f>
        <v>0</v>
      </c>
      <c r="EP69" s="71">
        <f>IFERROR(s_RadSpec!$H$24*EP24,".")*$B$69</f>
        <v>0</v>
      </c>
      <c r="EQ69" s="71">
        <f>IFERROR(s_RadSpec!$H$24*EQ24,".")*$B$69</f>
        <v>0</v>
      </c>
      <c r="ER69" s="49">
        <f t="shared" si="415"/>
        <v>0</v>
      </c>
      <c r="ES69" s="49">
        <f t="shared" si="416"/>
        <v>0</v>
      </c>
      <c r="ET69" s="49">
        <f t="shared" si="417"/>
        <v>3.4778348482191779E-21</v>
      </c>
      <c r="EU69" s="49">
        <f t="shared" si="418"/>
        <v>0</v>
      </c>
      <c r="EV69" s="49">
        <f t="shared" si="419"/>
        <v>0</v>
      </c>
      <c r="EW69" s="49">
        <f t="shared" si="419"/>
        <v>0</v>
      </c>
      <c r="EX69" s="49">
        <f t="shared" si="420"/>
        <v>0</v>
      </c>
      <c r="EY69" s="49">
        <f t="shared" si="421"/>
        <v>0</v>
      </c>
      <c r="EZ69" s="49">
        <f t="shared" si="422"/>
        <v>0</v>
      </c>
      <c r="FA69" s="49">
        <f t="shared" si="423"/>
        <v>0</v>
      </c>
      <c r="FB69" s="49">
        <f t="shared" si="424"/>
        <v>0</v>
      </c>
      <c r="FC69" s="49">
        <f t="shared" si="425"/>
        <v>0</v>
      </c>
      <c r="FD69" s="49">
        <f t="shared" si="426"/>
        <v>0</v>
      </c>
      <c r="FE69" s="49">
        <f t="shared" si="427"/>
        <v>0</v>
      </c>
      <c r="FF69" s="49">
        <f t="shared" si="428"/>
        <v>0</v>
      </c>
      <c r="FG69" s="49">
        <f t="shared" si="429"/>
        <v>3.4778348482191779E-21</v>
      </c>
      <c r="FH69" s="60">
        <f>IFERROR(FH24/$B55,0)</f>
        <v>0</v>
      </c>
      <c r="FI69" s="60">
        <f>IFERROR(FI24/$B55,0)</f>
        <v>49965826830987.688</v>
      </c>
      <c r="FJ69" s="60">
        <f>IFERROR(FJ24/$B55,0)</f>
        <v>49965826830987.688</v>
      </c>
      <c r="FK69" s="71">
        <f>IFERROR(s_RadSpec!$F$24*FK24,".")*$B$69</f>
        <v>0</v>
      </c>
      <c r="FL69" s="71">
        <f>IFERROR(s_RadSpec!$K$24*FL24,".")*$B$69</f>
        <v>1.0006839308219179E-18</v>
      </c>
      <c r="FM69" s="49">
        <f t="shared" si="430"/>
        <v>0</v>
      </c>
      <c r="FN69" s="49">
        <f t="shared" si="430"/>
        <v>1.0006839308219179E-18</v>
      </c>
      <c r="FO69" s="49">
        <f t="shared" si="431"/>
        <v>1.0006839308219179E-18</v>
      </c>
    </row>
    <row r="70" spans="1:171" x14ac:dyDescent="0.25">
      <c r="A70" s="83" t="s">
        <v>1091</v>
      </c>
      <c r="B70" s="42">
        <v>0.99979000004200003</v>
      </c>
      <c r="C70" s="178"/>
      <c r="D70" s="60">
        <f t="shared" ref="D70:O70" si="454">IFERROR(D20/$B56,0)</f>
        <v>0</v>
      </c>
      <c r="E70" s="60">
        <f t="shared" si="454"/>
        <v>0</v>
      </c>
      <c r="F70" s="60">
        <f t="shared" si="454"/>
        <v>0</v>
      </c>
      <c r="G70" s="60">
        <f t="shared" si="454"/>
        <v>0</v>
      </c>
      <c r="H70" s="60">
        <f t="shared" si="454"/>
        <v>0</v>
      </c>
      <c r="I70" s="60">
        <f t="shared" si="454"/>
        <v>0</v>
      </c>
      <c r="J70" s="60">
        <f t="shared" si="454"/>
        <v>0</v>
      </c>
      <c r="K70" s="60">
        <f t="shared" ref="K70" si="455">IFERROR(K20/$B56,0)</f>
        <v>0</v>
      </c>
      <c r="L70" s="60">
        <f t="shared" si="454"/>
        <v>0</v>
      </c>
      <c r="M70" s="60">
        <f t="shared" si="454"/>
        <v>0</v>
      </c>
      <c r="N70" s="60">
        <f t="shared" si="454"/>
        <v>0</v>
      </c>
      <c r="O70" s="60">
        <f t="shared" si="454"/>
        <v>0</v>
      </c>
      <c r="P70" s="71">
        <f>s_dir!BC70</f>
        <v>0</v>
      </c>
      <c r="Q70" s="71">
        <f>IFERROR(s_RadSpec!$H$20*Q20,".")*$B$70</f>
        <v>0</v>
      </c>
      <c r="R70" s="71">
        <f>IFERROR(s_RadSpec!$H$20*R20,".")*$B$70</f>
        <v>0</v>
      </c>
      <c r="S70" s="71">
        <f>IFERROR(s_RadSpec!$H$20*S20,".")*$B$70</f>
        <v>0</v>
      </c>
      <c r="T70" s="71">
        <f>IFERROR(s_RadSpec!$H$20*T20,".")*$B$70</f>
        <v>0</v>
      </c>
      <c r="U70" s="71">
        <f>IFERROR(s_RadSpec!$H$20*U20,".")*$B$70</f>
        <v>0</v>
      </c>
      <c r="V70" s="71">
        <f>IFERROR(s_RadSpec!$H$20*V20,".")*$B$70</f>
        <v>0</v>
      </c>
      <c r="W70" s="71">
        <f>IFERROR(s_RadSpec!$H$20*W20,".")*$B$70</f>
        <v>0</v>
      </c>
      <c r="X70" s="71">
        <f>IFERROR(s_RadSpec!$H$20*X20,".")*$B$70</f>
        <v>0</v>
      </c>
      <c r="Y70" s="71">
        <f>IFERROR(s_RadSpec!$H$20*Y20,".")*$B$70</f>
        <v>0</v>
      </c>
      <c r="Z70" s="71">
        <f>IFERROR(s_RadSpec!$H$20*Z20,".")*$B$70</f>
        <v>0</v>
      </c>
      <c r="AA70" s="71">
        <f>IFERROR(s_RadSpec!$H$20*AA20,".")*$B$70</f>
        <v>0</v>
      </c>
      <c r="AB70" s="49">
        <f t="shared" si="387"/>
        <v>0</v>
      </c>
      <c r="AC70" s="49">
        <f t="shared" si="388"/>
        <v>0</v>
      </c>
      <c r="AD70" s="49">
        <f t="shared" si="389"/>
        <v>0</v>
      </c>
      <c r="AE70" s="49">
        <f t="shared" si="390"/>
        <v>0</v>
      </c>
      <c r="AF70" s="49">
        <f t="shared" si="391"/>
        <v>0</v>
      </c>
      <c r="AG70" s="49">
        <f t="shared" si="392"/>
        <v>0</v>
      </c>
      <c r="AH70" s="49">
        <f t="shared" si="393"/>
        <v>0</v>
      </c>
      <c r="AI70" s="49">
        <f t="shared" si="393"/>
        <v>0</v>
      </c>
      <c r="AJ70" s="49">
        <f t="shared" si="394"/>
        <v>0</v>
      </c>
      <c r="AK70" s="49">
        <f t="shared" si="395"/>
        <v>0</v>
      </c>
      <c r="AL70" s="49">
        <f t="shared" si="396"/>
        <v>0</v>
      </c>
      <c r="AM70" s="49">
        <f t="shared" si="397"/>
        <v>0</v>
      </c>
      <c r="AN70" s="60">
        <f t="shared" ref="AN70:BB70" si="456">IFERROR(AN20/$B56,0)</f>
        <v>0</v>
      </c>
      <c r="AO70" s="60">
        <f t="shared" si="456"/>
        <v>0</v>
      </c>
      <c r="AP70" s="60">
        <f t="shared" si="456"/>
        <v>194357.50043050558</v>
      </c>
      <c r="AQ70" s="60">
        <f t="shared" si="456"/>
        <v>0</v>
      </c>
      <c r="AR70" s="60">
        <f>IFERROR(AR20/$B56,0)</f>
        <v>0</v>
      </c>
      <c r="AS70" s="60">
        <f>IFERROR(AS20/$B56,0)</f>
        <v>0</v>
      </c>
      <c r="AT70" s="60">
        <f>IFERROR(AT20/$B56,0)</f>
        <v>0</v>
      </c>
      <c r="AU70" s="60">
        <f>IFERROR(AU20/$B56,0)</f>
        <v>0</v>
      </c>
      <c r="AV70" s="60">
        <f>IFERROR(AV20/$B56,0)</f>
        <v>0</v>
      </c>
      <c r="AW70" s="60">
        <f t="shared" si="456"/>
        <v>0</v>
      </c>
      <c r="AX70" s="60">
        <f t="shared" si="456"/>
        <v>0</v>
      </c>
      <c r="AY70" s="60">
        <f t="shared" si="456"/>
        <v>0</v>
      </c>
      <c r="AZ70" s="60">
        <f>IFERROR(AZ20/$B56,0)</f>
        <v>0</v>
      </c>
      <c r="BA70" s="60">
        <f t="shared" si="456"/>
        <v>0</v>
      </c>
      <c r="BB70" s="60">
        <f t="shared" si="456"/>
        <v>0</v>
      </c>
      <c r="BC70" s="118" t="str">
        <f t="shared" si="63"/>
        <v>.</v>
      </c>
      <c r="BD70" s="118" t="str">
        <f t="shared" si="64"/>
        <v>.</v>
      </c>
      <c r="BE70" s="118">
        <f t="shared" si="65"/>
        <v>5.1451577520032979E-6</v>
      </c>
      <c r="BF70" s="118" t="str">
        <f t="shared" si="66"/>
        <v>.</v>
      </c>
      <c r="BG70" s="118" t="str">
        <f t="shared" si="67"/>
        <v>.</v>
      </c>
      <c r="BH70" s="118" t="str">
        <f t="shared" si="68"/>
        <v>.</v>
      </c>
      <c r="BI70" s="118" t="str">
        <f t="shared" si="69"/>
        <v>.</v>
      </c>
      <c r="BJ70" s="118" t="str">
        <f t="shared" si="70"/>
        <v>.</v>
      </c>
      <c r="BK70" s="118" t="str">
        <f t="shared" si="71"/>
        <v>.</v>
      </c>
      <c r="BL70" s="118" t="str">
        <f t="shared" si="72"/>
        <v>.</v>
      </c>
      <c r="BM70" s="118" t="str">
        <f t="shared" si="73"/>
        <v>.</v>
      </c>
      <c r="BN70" s="118" t="str">
        <f t="shared" si="74"/>
        <v>.</v>
      </c>
      <c r="BO70" s="118" t="str">
        <f t="shared" si="75"/>
        <v>.</v>
      </c>
      <c r="BP70" s="118" t="str">
        <f t="shared" si="76"/>
        <v>.</v>
      </c>
      <c r="BQ70" s="118" t="str">
        <f t="shared" si="77"/>
        <v>.</v>
      </c>
      <c r="BR70" s="60">
        <f t="shared" si="443"/>
        <v>194357.50043050558</v>
      </c>
      <c r="BS70" s="71">
        <f>IFERROR(s_RadSpec!$E$20*BS20,".")*$B$70</f>
        <v>0</v>
      </c>
      <c r="BT70" s="71">
        <f>IFERROR(s_RadSpec!$F$20*BT20,".")*$B$70</f>
        <v>0</v>
      </c>
      <c r="BU70" s="71">
        <f>IFERROR(s_RadSpec!$G$20*BU20,".")*$B$70</f>
        <v>2.5725788760016485E-10</v>
      </c>
      <c r="BV70" s="71">
        <f>s_b2s!CC70</f>
        <v>0</v>
      </c>
      <c r="BW70" s="71">
        <f>IFERROR(s_RadSpec!$H$20*BW20,".")*$B$70</f>
        <v>0</v>
      </c>
      <c r="BX70" s="71">
        <f>IFERROR(s_RadSpec!$H$20*BX20,".")*$B$70</f>
        <v>0</v>
      </c>
      <c r="BY70" s="71">
        <f>IFERROR(s_RadSpec!$H$20*BY20,".")*$B$70</f>
        <v>0</v>
      </c>
      <c r="BZ70" s="71">
        <f>IFERROR(s_RadSpec!$H$20*BZ20,".")*$B$70</f>
        <v>0</v>
      </c>
      <c r="CA70" s="71">
        <f>IFERROR(s_RadSpec!$H$20*CA20,".")*$B$70</f>
        <v>0</v>
      </c>
      <c r="CB70" s="71">
        <f>IFERROR(s_RadSpec!$H$20*CB20,".")*$B$70</f>
        <v>0</v>
      </c>
      <c r="CC70" s="71">
        <f>IFERROR(s_RadSpec!$H$20*CC20,".")*$B$70</f>
        <v>0</v>
      </c>
      <c r="CD70" s="71">
        <f>IFERROR(s_RadSpec!$H$20*CD20,".")*$B$70</f>
        <v>0</v>
      </c>
      <c r="CE70" s="71">
        <f>IFERROR(s_RadSpec!$H$20*CE20,".")*$B$70</f>
        <v>0</v>
      </c>
      <c r="CF70" s="71">
        <f>IFERROR(s_RadSpec!$H$20*CF20,".")*$B$70</f>
        <v>0</v>
      </c>
      <c r="CG70" s="71">
        <f>IFERROR(s_RadSpec!$H$20*CG20,".")*$B$70</f>
        <v>0</v>
      </c>
      <c r="CH70" s="49">
        <f t="shared" si="399"/>
        <v>0</v>
      </c>
      <c r="CI70" s="49">
        <f t="shared" si="400"/>
        <v>0</v>
      </c>
      <c r="CJ70" s="49">
        <f t="shared" si="401"/>
        <v>2.5725788760016485E-10</v>
      </c>
      <c r="CK70" s="49">
        <f t="shared" si="402"/>
        <v>0</v>
      </c>
      <c r="CL70" s="49">
        <f t="shared" si="403"/>
        <v>0</v>
      </c>
      <c r="CM70" s="49">
        <f t="shared" si="403"/>
        <v>0</v>
      </c>
      <c r="CN70" s="49">
        <f t="shared" si="404"/>
        <v>0</v>
      </c>
      <c r="CO70" s="49">
        <f t="shared" si="405"/>
        <v>0</v>
      </c>
      <c r="CP70" s="49">
        <f t="shared" si="406"/>
        <v>0</v>
      </c>
      <c r="CQ70" s="49">
        <f t="shared" si="407"/>
        <v>0</v>
      </c>
      <c r="CR70" s="49">
        <f t="shared" si="408"/>
        <v>0</v>
      </c>
      <c r="CS70" s="49">
        <f t="shared" si="409"/>
        <v>0</v>
      </c>
      <c r="CT70" s="49">
        <f t="shared" si="410"/>
        <v>0</v>
      </c>
      <c r="CU70" s="49">
        <f t="shared" si="411"/>
        <v>0</v>
      </c>
      <c r="CV70" s="49">
        <f t="shared" si="412"/>
        <v>0</v>
      </c>
      <c r="CW70" s="49">
        <f t="shared" si="413"/>
        <v>2.5725788760016485E-10</v>
      </c>
      <c r="CX70" s="60">
        <f t="shared" ref="CX70:DL70" si="457">IFERROR(CX20/$B56,0)</f>
        <v>0</v>
      </c>
      <c r="CY70" s="60" t="str">
        <f>IFERROR(CY20,".")</f>
        <v>.</v>
      </c>
      <c r="CZ70" s="60">
        <f t="shared" si="457"/>
        <v>25723106837.893364</v>
      </c>
      <c r="DA70" s="60">
        <f t="shared" si="457"/>
        <v>0</v>
      </c>
      <c r="DB70" s="60">
        <f>IFERROR(DB20/$B56,0)</f>
        <v>0</v>
      </c>
      <c r="DC70" s="60">
        <f>IFERROR(DC20/$B56,0)</f>
        <v>0</v>
      </c>
      <c r="DD70" s="60">
        <f>IFERROR(DD20/$B56,0)</f>
        <v>0</v>
      </c>
      <c r="DE70" s="60">
        <f>IFERROR(DE20/$B56,0)</f>
        <v>0</v>
      </c>
      <c r="DF70" s="60">
        <f>IFERROR(DF20/$B56,0)</f>
        <v>0</v>
      </c>
      <c r="DG70" s="60">
        <f t="shared" si="457"/>
        <v>0</v>
      </c>
      <c r="DH70" s="60">
        <f t="shared" si="457"/>
        <v>0</v>
      </c>
      <c r="DI70" s="60">
        <f t="shared" si="457"/>
        <v>0</v>
      </c>
      <c r="DJ70" s="60">
        <f>IFERROR(DJ20/$B56,0)</f>
        <v>0</v>
      </c>
      <c r="DK70" s="60">
        <f t="shared" si="457"/>
        <v>0</v>
      </c>
      <c r="DL70" s="60">
        <f t="shared" si="457"/>
        <v>0</v>
      </c>
      <c r="DM70" s="118" t="str">
        <f t="shared" si="80"/>
        <v>.</v>
      </c>
      <c r="DN70" s="118" t="str">
        <f t="shared" si="81"/>
        <v>.</v>
      </c>
      <c r="DO70" s="118">
        <f t="shared" si="82"/>
        <v>3.8875552875552128E-11</v>
      </c>
      <c r="DP70" s="118" t="str">
        <f t="shared" si="83"/>
        <v>.</v>
      </c>
      <c r="DQ70" s="118" t="str">
        <f t="shared" si="84"/>
        <v>.</v>
      </c>
      <c r="DR70" s="118" t="str">
        <f t="shared" si="85"/>
        <v>.</v>
      </c>
      <c r="DS70" s="118" t="str">
        <f t="shared" si="86"/>
        <v>.</v>
      </c>
      <c r="DT70" s="118" t="str">
        <f t="shared" si="87"/>
        <v>.</v>
      </c>
      <c r="DU70" s="118" t="str">
        <f t="shared" si="88"/>
        <v>.</v>
      </c>
      <c r="DV70" s="118" t="str">
        <f t="shared" si="89"/>
        <v>.</v>
      </c>
      <c r="DW70" s="118" t="str">
        <f t="shared" si="90"/>
        <v>.</v>
      </c>
      <c r="DX70" s="118" t="str">
        <f t="shared" si="91"/>
        <v>.</v>
      </c>
      <c r="DY70" s="118" t="str">
        <f t="shared" si="92"/>
        <v>.</v>
      </c>
      <c r="DZ70" s="118" t="str">
        <f t="shared" si="93"/>
        <v>.</v>
      </c>
      <c r="EA70" s="118" t="str">
        <f t="shared" si="94"/>
        <v>.</v>
      </c>
      <c r="EB70" s="60">
        <f t="shared" si="445"/>
        <v>25723106837.893364</v>
      </c>
      <c r="EC70" s="71">
        <f>IFERROR(s_RadSpec!$I$20*EC20,".")*$B$70</f>
        <v>0</v>
      </c>
      <c r="ED70" s="71">
        <f>IFERROR(s_RadSpec!$F$20*ED20,".")</f>
        <v>0</v>
      </c>
      <c r="EE70" s="71">
        <f>IFERROR(s_RadSpec!$M$20*EE20,".")*$B$70</f>
        <v>1.9437776437776062E-15</v>
      </c>
      <c r="EF70" s="71">
        <f>s_b2w!CC70</f>
        <v>0</v>
      </c>
      <c r="EG70" s="71">
        <f>IFERROR(s_RadSpec!$H$20*EG20,".")*$B$70</f>
        <v>0</v>
      </c>
      <c r="EH70" s="71">
        <f>IFERROR(s_RadSpec!$H$20*EH20,".")*$B$70</f>
        <v>0</v>
      </c>
      <c r="EI70" s="71">
        <f>IFERROR(s_RadSpec!$H$20*EI20,".")*$B$70</f>
        <v>0</v>
      </c>
      <c r="EJ70" s="71">
        <f>IFERROR(s_RadSpec!$H$20*EJ20,".")*$B$70</f>
        <v>0</v>
      </c>
      <c r="EK70" s="71">
        <f>IFERROR(s_RadSpec!$H$20*EK20,".")*$B$70</f>
        <v>0</v>
      </c>
      <c r="EL70" s="71">
        <f>IFERROR(s_RadSpec!$H$20*EL20,".")*$B$70</f>
        <v>0</v>
      </c>
      <c r="EM70" s="71">
        <f>IFERROR(s_RadSpec!$H$20*EM20,".")*$B$70</f>
        <v>0</v>
      </c>
      <c r="EN70" s="71">
        <f>IFERROR(s_RadSpec!$H$20*EN20,".")*$B$70</f>
        <v>0</v>
      </c>
      <c r="EO70" s="71">
        <f>IFERROR(s_RadSpec!$H$20*EO20,".")*$B$70</f>
        <v>0</v>
      </c>
      <c r="EP70" s="71">
        <f>IFERROR(s_RadSpec!$H$20*EP20,".")*$B$70</f>
        <v>0</v>
      </c>
      <c r="EQ70" s="71">
        <f>IFERROR(s_RadSpec!$H$20*EQ20,".")*$B$70</f>
        <v>0</v>
      </c>
      <c r="ER70" s="49">
        <f t="shared" si="415"/>
        <v>0</v>
      </c>
      <c r="ES70" s="49">
        <f t="shared" si="416"/>
        <v>0</v>
      </c>
      <c r="ET70" s="49">
        <f t="shared" si="417"/>
        <v>1.9437776437776062E-15</v>
      </c>
      <c r="EU70" s="49">
        <f t="shared" si="418"/>
        <v>0</v>
      </c>
      <c r="EV70" s="49">
        <f t="shared" si="419"/>
        <v>0</v>
      </c>
      <c r="EW70" s="49">
        <f t="shared" si="419"/>
        <v>0</v>
      </c>
      <c r="EX70" s="49">
        <f t="shared" si="420"/>
        <v>0</v>
      </c>
      <c r="EY70" s="49">
        <f t="shared" si="421"/>
        <v>0</v>
      </c>
      <c r="EZ70" s="49">
        <f t="shared" si="422"/>
        <v>0</v>
      </c>
      <c r="FA70" s="49">
        <f t="shared" si="423"/>
        <v>0</v>
      </c>
      <c r="FB70" s="49">
        <f t="shared" si="424"/>
        <v>0</v>
      </c>
      <c r="FC70" s="49">
        <f t="shared" si="425"/>
        <v>0</v>
      </c>
      <c r="FD70" s="49">
        <f t="shared" si="426"/>
        <v>0</v>
      </c>
      <c r="FE70" s="49">
        <f t="shared" si="427"/>
        <v>0</v>
      </c>
      <c r="FF70" s="49">
        <f t="shared" si="428"/>
        <v>0</v>
      </c>
      <c r="FG70" s="49">
        <f t="shared" si="429"/>
        <v>1.9437776437776062E-15</v>
      </c>
      <c r="FH70" s="60">
        <f>IFERROR(FH20/$B56,0)</f>
        <v>0</v>
      </c>
      <c r="FI70" s="60">
        <f>IFERROR(FI20/$B56,0)</f>
        <v>89173437.038030326</v>
      </c>
      <c r="FJ70" s="60">
        <f>IFERROR(FJ20/$B56,0)</f>
        <v>89173437.038030326</v>
      </c>
      <c r="FK70" s="71">
        <f>IFERROR(s_RadSpec!$F$20*FK20,".")*$B$70</f>
        <v>0</v>
      </c>
      <c r="FL70" s="71">
        <f>IFERROR(s_RadSpec!$K$20*FL20,".")*$B$70</f>
        <v>5.6070508955123276E-13</v>
      </c>
      <c r="FM70" s="49">
        <f t="shared" si="430"/>
        <v>0</v>
      </c>
      <c r="FN70" s="49">
        <f t="shared" si="430"/>
        <v>5.6070508955123276E-13</v>
      </c>
      <c r="FO70" s="49">
        <f t="shared" si="431"/>
        <v>5.6070508955123276E-13</v>
      </c>
    </row>
    <row r="71" spans="1:171" x14ac:dyDescent="0.25">
      <c r="A71" s="83" t="s">
        <v>1092</v>
      </c>
      <c r="B71" s="42">
        <v>2.0999995799999999E-4</v>
      </c>
      <c r="C71" s="178"/>
      <c r="D71" s="60">
        <f t="shared" ref="D71:O71" si="458">IFERROR(D29/$B57,0)</f>
        <v>0</v>
      </c>
      <c r="E71" s="60">
        <f t="shared" si="458"/>
        <v>0</v>
      </c>
      <c r="F71" s="60">
        <f t="shared" si="458"/>
        <v>0</v>
      </c>
      <c r="G71" s="60">
        <f t="shared" si="458"/>
        <v>0</v>
      </c>
      <c r="H71" s="60">
        <f t="shared" si="458"/>
        <v>0</v>
      </c>
      <c r="I71" s="60">
        <f t="shared" si="458"/>
        <v>0</v>
      </c>
      <c r="J71" s="60">
        <f t="shared" si="458"/>
        <v>0</v>
      </c>
      <c r="K71" s="60">
        <f t="shared" ref="K71" si="459">IFERROR(K29/$B57,0)</f>
        <v>0</v>
      </c>
      <c r="L71" s="60">
        <f t="shared" si="458"/>
        <v>0</v>
      </c>
      <c r="M71" s="60">
        <f t="shared" si="458"/>
        <v>0</v>
      </c>
      <c r="N71" s="60">
        <f t="shared" si="458"/>
        <v>0</v>
      </c>
      <c r="O71" s="60">
        <f t="shared" si="458"/>
        <v>0</v>
      </c>
      <c r="P71" s="71">
        <f>s_dir!BC71</f>
        <v>0</v>
      </c>
      <c r="Q71" s="71">
        <f>IFERROR(s_RadSpec!$H$29*Q29,".")*$B$71</f>
        <v>0</v>
      </c>
      <c r="R71" s="71">
        <f>IFERROR(s_RadSpec!$H$29*R29,".")*$B$71</f>
        <v>0</v>
      </c>
      <c r="S71" s="71">
        <f>IFERROR(s_RadSpec!$H$29*S29,".")*$B$71</f>
        <v>0</v>
      </c>
      <c r="T71" s="71">
        <f>IFERROR(s_RadSpec!$H$29*T29,".")*$B$71</f>
        <v>0</v>
      </c>
      <c r="U71" s="71">
        <f>IFERROR(s_RadSpec!$H$29*U29,".")*$B$71</f>
        <v>0</v>
      </c>
      <c r="V71" s="71">
        <f>IFERROR(s_RadSpec!$H$29*V29,".")*$B$71</f>
        <v>0</v>
      </c>
      <c r="W71" s="71">
        <f>IFERROR(s_RadSpec!$H$29*W29,".")*$B$71</f>
        <v>0</v>
      </c>
      <c r="X71" s="71">
        <f>IFERROR(s_RadSpec!$H$29*X29,".")*$B$71</f>
        <v>0</v>
      </c>
      <c r="Y71" s="71">
        <f>IFERROR(s_RadSpec!$H$29*Y29,".")*$B$71</f>
        <v>0</v>
      </c>
      <c r="Z71" s="71">
        <f>IFERROR(s_RadSpec!$H$29*Z29,".")*$B$71</f>
        <v>0</v>
      </c>
      <c r="AA71" s="71">
        <f>IFERROR(s_RadSpec!$H$29*AA29,".")*$B$71</f>
        <v>0</v>
      </c>
      <c r="AB71" s="49">
        <f t="shared" si="387"/>
        <v>0</v>
      </c>
      <c r="AC71" s="49">
        <f t="shared" si="388"/>
        <v>0</v>
      </c>
      <c r="AD71" s="49">
        <f t="shared" si="389"/>
        <v>0</v>
      </c>
      <c r="AE71" s="49">
        <f t="shared" si="390"/>
        <v>0</v>
      </c>
      <c r="AF71" s="49">
        <f t="shared" si="391"/>
        <v>0</v>
      </c>
      <c r="AG71" s="49">
        <f t="shared" si="392"/>
        <v>0</v>
      </c>
      <c r="AH71" s="49">
        <f t="shared" si="393"/>
        <v>0</v>
      </c>
      <c r="AI71" s="49">
        <f t="shared" si="393"/>
        <v>0</v>
      </c>
      <c r="AJ71" s="49">
        <f t="shared" si="394"/>
        <v>0</v>
      </c>
      <c r="AK71" s="49">
        <f t="shared" si="395"/>
        <v>0</v>
      </c>
      <c r="AL71" s="49">
        <f t="shared" si="396"/>
        <v>0</v>
      </c>
      <c r="AM71" s="49">
        <f t="shared" si="397"/>
        <v>0</v>
      </c>
      <c r="AN71" s="60">
        <f t="shared" ref="AN71:BB71" si="460">IFERROR(AN29/$B57,0)</f>
        <v>0</v>
      </c>
      <c r="AO71" s="60">
        <f t="shared" si="460"/>
        <v>0</v>
      </c>
      <c r="AP71" s="60">
        <f t="shared" si="460"/>
        <v>20898.239940410949</v>
      </c>
      <c r="AQ71" s="60">
        <f t="shared" si="460"/>
        <v>0</v>
      </c>
      <c r="AR71" s="60">
        <f>IFERROR(AR29/$B57,0)</f>
        <v>0</v>
      </c>
      <c r="AS71" s="60">
        <f>IFERROR(AS29/$B57,0)</f>
        <v>0</v>
      </c>
      <c r="AT71" s="60">
        <f>IFERROR(AT29/$B57,0)</f>
        <v>0</v>
      </c>
      <c r="AU71" s="60">
        <f>IFERROR(AU29/$B57,0)</f>
        <v>0</v>
      </c>
      <c r="AV71" s="60">
        <f>IFERROR(AV29/$B57,0)</f>
        <v>0</v>
      </c>
      <c r="AW71" s="60">
        <f t="shared" si="460"/>
        <v>0</v>
      </c>
      <c r="AX71" s="60">
        <f t="shared" si="460"/>
        <v>0</v>
      </c>
      <c r="AY71" s="60">
        <f t="shared" si="460"/>
        <v>0</v>
      </c>
      <c r="AZ71" s="60">
        <f>IFERROR(AZ29/$B57,0)</f>
        <v>0</v>
      </c>
      <c r="BA71" s="60">
        <f t="shared" si="460"/>
        <v>0</v>
      </c>
      <c r="BB71" s="60">
        <f t="shared" si="460"/>
        <v>0</v>
      </c>
      <c r="BC71" s="118" t="str">
        <f t="shared" si="63"/>
        <v>.</v>
      </c>
      <c r="BD71" s="118" t="str">
        <f t="shared" si="64"/>
        <v>.</v>
      </c>
      <c r="BE71" s="118">
        <f t="shared" si="65"/>
        <v>4.7850919639710851E-5</v>
      </c>
      <c r="BF71" s="118" t="str">
        <f t="shared" si="66"/>
        <v>.</v>
      </c>
      <c r="BG71" s="118" t="str">
        <f t="shared" si="67"/>
        <v>.</v>
      </c>
      <c r="BH71" s="118" t="str">
        <f t="shared" si="68"/>
        <v>.</v>
      </c>
      <c r="BI71" s="118" t="str">
        <f t="shared" si="69"/>
        <v>.</v>
      </c>
      <c r="BJ71" s="118" t="str">
        <f t="shared" si="70"/>
        <v>.</v>
      </c>
      <c r="BK71" s="118" t="str">
        <f t="shared" si="71"/>
        <v>.</v>
      </c>
      <c r="BL71" s="118" t="str">
        <f t="shared" si="72"/>
        <v>.</v>
      </c>
      <c r="BM71" s="118" t="str">
        <f t="shared" si="73"/>
        <v>.</v>
      </c>
      <c r="BN71" s="118" t="str">
        <f t="shared" si="74"/>
        <v>.</v>
      </c>
      <c r="BO71" s="118" t="str">
        <f t="shared" si="75"/>
        <v>.</v>
      </c>
      <c r="BP71" s="118" t="str">
        <f t="shared" si="76"/>
        <v>.</v>
      </c>
      <c r="BQ71" s="118" t="str">
        <f t="shared" si="77"/>
        <v>.</v>
      </c>
      <c r="BR71" s="60">
        <f t="shared" si="443"/>
        <v>20898.239940410949</v>
      </c>
      <c r="BS71" s="71">
        <f>IFERROR(s_RadSpec!$E$29*BS29,".")*$B$71</f>
        <v>0</v>
      </c>
      <c r="BT71" s="71">
        <f>IFERROR(s_RadSpec!$F$29*BT29,".")*$B$71</f>
        <v>0</v>
      </c>
      <c r="BU71" s="71">
        <f>IFERROR(s_RadSpec!$G$29*BU29,".")*$B$71</f>
        <v>2.3925459819855431E-9</v>
      </c>
      <c r="BV71" s="71">
        <f>s_b2s!CC71</f>
        <v>0</v>
      </c>
      <c r="BW71" s="71">
        <f>IFERROR(s_RadSpec!$H$29*BW29,".")*$B$71</f>
        <v>0</v>
      </c>
      <c r="BX71" s="71">
        <f>IFERROR(s_RadSpec!$H$29*BX29,".")*$B$71</f>
        <v>0</v>
      </c>
      <c r="BY71" s="71">
        <f>IFERROR(s_RadSpec!$H$29*BY29,".")*$B$71</f>
        <v>0</v>
      </c>
      <c r="BZ71" s="71">
        <f>IFERROR(s_RadSpec!$H$29*BZ29,".")*$B$71</f>
        <v>0</v>
      </c>
      <c r="CA71" s="71">
        <f>IFERROR(s_RadSpec!$H$29*CA29,".")*$B$71</f>
        <v>0</v>
      </c>
      <c r="CB71" s="71">
        <f>IFERROR(s_RadSpec!$H$29*CB29,".")*$B$71</f>
        <v>0</v>
      </c>
      <c r="CC71" s="71">
        <f>IFERROR(s_RadSpec!$H$29*CC29,".")*$B$71</f>
        <v>0</v>
      </c>
      <c r="CD71" s="71">
        <f>IFERROR(s_RadSpec!$H$29*CD29,".")*$B$71</f>
        <v>0</v>
      </c>
      <c r="CE71" s="71">
        <f>IFERROR(s_RadSpec!$H$29*CE29,".")*$B$71</f>
        <v>0</v>
      </c>
      <c r="CF71" s="71">
        <f>IFERROR(s_RadSpec!$H$29*CF29,".")*$B$71</f>
        <v>0</v>
      </c>
      <c r="CG71" s="71">
        <f>IFERROR(s_RadSpec!$H$29*CG29,".")*$B$71</f>
        <v>0</v>
      </c>
      <c r="CH71" s="49">
        <f t="shared" si="399"/>
        <v>0</v>
      </c>
      <c r="CI71" s="49">
        <f t="shared" si="400"/>
        <v>0</v>
      </c>
      <c r="CJ71" s="49">
        <f t="shared" si="401"/>
        <v>2.3925459819855431E-9</v>
      </c>
      <c r="CK71" s="49">
        <f t="shared" si="402"/>
        <v>0</v>
      </c>
      <c r="CL71" s="49">
        <f t="shared" si="403"/>
        <v>0</v>
      </c>
      <c r="CM71" s="49">
        <f t="shared" si="403"/>
        <v>0</v>
      </c>
      <c r="CN71" s="49">
        <f t="shared" si="404"/>
        <v>0</v>
      </c>
      <c r="CO71" s="49">
        <f t="shared" si="405"/>
        <v>0</v>
      </c>
      <c r="CP71" s="49">
        <f t="shared" si="406"/>
        <v>0</v>
      </c>
      <c r="CQ71" s="49">
        <f t="shared" si="407"/>
        <v>0</v>
      </c>
      <c r="CR71" s="49">
        <f t="shared" si="408"/>
        <v>0</v>
      </c>
      <c r="CS71" s="49">
        <f t="shared" si="409"/>
        <v>0</v>
      </c>
      <c r="CT71" s="49">
        <f t="shared" si="410"/>
        <v>0</v>
      </c>
      <c r="CU71" s="49">
        <f t="shared" si="411"/>
        <v>0</v>
      </c>
      <c r="CV71" s="49">
        <f t="shared" si="412"/>
        <v>0</v>
      </c>
      <c r="CW71" s="49">
        <f t="shared" si="413"/>
        <v>2.3925459819855431E-9</v>
      </c>
      <c r="CX71" s="60">
        <f t="shared" ref="CX71:DL71" si="461">IFERROR(CX29/$B57,0)</f>
        <v>0</v>
      </c>
      <c r="CY71" s="60" t="str">
        <f>IFERROR(CY29,".")</f>
        <v>.</v>
      </c>
      <c r="CZ71" s="60">
        <f t="shared" si="461"/>
        <v>3530194993.0109549</v>
      </c>
      <c r="DA71" s="60">
        <f t="shared" si="461"/>
        <v>0</v>
      </c>
      <c r="DB71" s="60">
        <f>IFERROR(DB29/$B57,0)</f>
        <v>0</v>
      </c>
      <c r="DC71" s="60">
        <f>IFERROR(DC29/$B57,0)</f>
        <v>0</v>
      </c>
      <c r="DD71" s="60">
        <f>IFERROR(DD29/$B57,0)</f>
        <v>0</v>
      </c>
      <c r="DE71" s="60">
        <f>IFERROR(DE29/$B57,0)</f>
        <v>0</v>
      </c>
      <c r="DF71" s="60">
        <f>IFERROR(DF29/$B57,0)</f>
        <v>0</v>
      </c>
      <c r="DG71" s="60">
        <f t="shared" si="461"/>
        <v>0</v>
      </c>
      <c r="DH71" s="60">
        <f t="shared" si="461"/>
        <v>0</v>
      </c>
      <c r="DI71" s="60">
        <f t="shared" si="461"/>
        <v>0</v>
      </c>
      <c r="DJ71" s="60">
        <f>IFERROR(DJ29/$B57,0)</f>
        <v>0</v>
      </c>
      <c r="DK71" s="60">
        <f t="shared" si="461"/>
        <v>0</v>
      </c>
      <c r="DL71" s="60">
        <f t="shared" si="461"/>
        <v>0</v>
      </c>
      <c r="DM71" s="118" t="str">
        <f t="shared" si="80"/>
        <v>.</v>
      </c>
      <c r="DN71" s="118" t="str">
        <f t="shared" si="81"/>
        <v>.</v>
      </c>
      <c r="DO71" s="118">
        <f t="shared" si="82"/>
        <v>2.8327047145548335E-10</v>
      </c>
      <c r="DP71" s="118" t="str">
        <f t="shared" si="83"/>
        <v>.</v>
      </c>
      <c r="DQ71" s="118" t="str">
        <f t="shared" si="84"/>
        <v>.</v>
      </c>
      <c r="DR71" s="118" t="str">
        <f t="shared" si="85"/>
        <v>.</v>
      </c>
      <c r="DS71" s="118" t="str">
        <f t="shared" si="86"/>
        <v>.</v>
      </c>
      <c r="DT71" s="118" t="str">
        <f t="shared" si="87"/>
        <v>.</v>
      </c>
      <c r="DU71" s="118" t="str">
        <f t="shared" si="88"/>
        <v>.</v>
      </c>
      <c r="DV71" s="118" t="str">
        <f t="shared" si="89"/>
        <v>.</v>
      </c>
      <c r="DW71" s="118" t="str">
        <f t="shared" si="90"/>
        <v>.</v>
      </c>
      <c r="DX71" s="118" t="str">
        <f t="shared" si="91"/>
        <v>.</v>
      </c>
      <c r="DY71" s="118" t="str">
        <f t="shared" si="92"/>
        <v>.</v>
      </c>
      <c r="DZ71" s="118" t="str">
        <f t="shared" si="93"/>
        <v>.</v>
      </c>
      <c r="EA71" s="118" t="str">
        <f t="shared" si="94"/>
        <v>.</v>
      </c>
      <c r="EB71" s="60">
        <f t="shared" si="445"/>
        <v>3530194993.0109553</v>
      </c>
      <c r="EC71" s="71">
        <f>IFERROR(s_RadSpec!$I$29*EC29,".")*$B$71</f>
        <v>0</v>
      </c>
      <c r="ED71" s="71">
        <f>IFERROR(s_RadSpec!$F$29*ED29,".")</f>
        <v>0</v>
      </c>
      <c r="EE71" s="71">
        <f>IFERROR(s_RadSpec!$M$29*EE29,".")*$B$71</f>
        <v>1.4163523572774169E-14</v>
      </c>
      <c r="EF71" s="71">
        <f>s_b2w!CC71</f>
        <v>0</v>
      </c>
      <c r="EG71" s="71">
        <f>IFERROR(s_RadSpec!$H$29*EG29,".")*$B$71</f>
        <v>0</v>
      </c>
      <c r="EH71" s="71">
        <f>IFERROR(s_RadSpec!$H$29*EH29,".")*$B$71</f>
        <v>0</v>
      </c>
      <c r="EI71" s="71">
        <f>IFERROR(s_RadSpec!$H$29*EI29,".")*$B$71</f>
        <v>0</v>
      </c>
      <c r="EJ71" s="71">
        <f>IFERROR(s_RadSpec!$H$29*EJ29,".")*$B$71</f>
        <v>0</v>
      </c>
      <c r="EK71" s="71">
        <f>IFERROR(s_RadSpec!$H$29*EK29,".")*$B$71</f>
        <v>0</v>
      </c>
      <c r="EL71" s="71">
        <f>IFERROR(s_RadSpec!$H$29*EL29,".")*$B$71</f>
        <v>0</v>
      </c>
      <c r="EM71" s="71">
        <f>IFERROR(s_RadSpec!$H$29*EM29,".")*$B$71</f>
        <v>0</v>
      </c>
      <c r="EN71" s="71">
        <f>IFERROR(s_RadSpec!$H$29*EN29,".")*$B$71</f>
        <v>0</v>
      </c>
      <c r="EO71" s="71">
        <f>IFERROR(s_RadSpec!$H$29*EO29,".")*$B$71</f>
        <v>0</v>
      </c>
      <c r="EP71" s="71">
        <f>IFERROR(s_RadSpec!$H$29*EP29,".")*$B$71</f>
        <v>0</v>
      </c>
      <c r="EQ71" s="71">
        <f>IFERROR(s_RadSpec!$H$29*EQ29,".")*$B$71</f>
        <v>0</v>
      </c>
      <c r="ER71" s="49">
        <f t="shared" si="415"/>
        <v>0</v>
      </c>
      <c r="ES71" s="49">
        <f t="shared" si="416"/>
        <v>0</v>
      </c>
      <c r="ET71" s="49">
        <f t="shared" si="417"/>
        <v>1.4163523572774169E-14</v>
      </c>
      <c r="EU71" s="49">
        <f t="shared" si="418"/>
        <v>0</v>
      </c>
      <c r="EV71" s="49">
        <f t="shared" si="419"/>
        <v>0</v>
      </c>
      <c r="EW71" s="49">
        <f t="shared" si="419"/>
        <v>0</v>
      </c>
      <c r="EX71" s="49">
        <f t="shared" si="420"/>
        <v>0</v>
      </c>
      <c r="EY71" s="49">
        <f t="shared" si="421"/>
        <v>0</v>
      </c>
      <c r="EZ71" s="49">
        <f t="shared" si="422"/>
        <v>0</v>
      </c>
      <c r="FA71" s="49">
        <f t="shared" si="423"/>
        <v>0</v>
      </c>
      <c r="FB71" s="49">
        <f t="shared" si="424"/>
        <v>0</v>
      </c>
      <c r="FC71" s="49">
        <f t="shared" si="425"/>
        <v>0</v>
      </c>
      <c r="FD71" s="49">
        <f t="shared" si="426"/>
        <v>0</v>
      </c>
      <c r="FE71" s="49">
        <f t="shared" si="427"/>
        <v>0</v>
      </c>
      <c r="FF71" s="49">
        <f t="shared" si="428"/>
        <v>0</v>
      </c>
      <c r="FG71" s="49">
        <f t="shared" si="429"/>
        <v>1.4163523572774169E-14</v>
      </c>
      <c r="FH71" s="60">
        <f>IFERROR(FH29/$B57,0)</f>
        <v>0</v>
      </c>
      <c r="FI71" s="60">
        <f>IFERROR(FI29/$B57,0)</f>
        <v>12255771.296490857</v>
      </c>
      <c r="FJ71" s="60">
        <f>IFERROR(FJ29/$B57,0)</f>
        <v>12255771.296490857</v>
      </c>
      <c r="FK71" s="71">
        <f>IFERROR(s_RadSpec!$F$29*FK29,".")*$B$71</f>
        <v>0</v>
      </c>
      <c r="FL71" s="71">
        <f>IFERROR(s_RadSpec!$K$29*FL29,".")*$B$71</f>
        <v>4.0797105943316913E-12</v>
      </c>
      <c r="FM71" s="49">
        <f t="shared" si="430"/>
        <v>0</v>
      </c>
      <c r="FN71" s="49">
        <f t="shared" si="430"/>
        <v>4.0797105943316913E-12</v>
      </c>
      <c r="FO71" s="49">
        <f t="shared" si="431"/>
        <v>4.0797105943316913E-12</v>
      </c>
    </row>
    <row r="72" spans="1:171" x14ac:dyDescent="0.25">
      <c r="A72" s="83" t="s">
        <v>1093</v>
      </c>
      <c r="B72" s="42">
        <v>1</v>
      </c>
      <c r="C72" s="178"/>
      <c r="D72" s="60">
        <f t="shared" ref="D72:O72" si="462">IFERROR(D16/$B58,0)</f>
        <v>7.0240207461476759E-2</v>
      </c>
      <c r="E72" s="60">
        <f t="shared" si="462"/>
        <v>0.28096082984590703</v>
      </c>
      <c r="F72" s="60">
        <f t="shared" si="462"/>
        <v>0.28096082984590703</v>
      </c>
      <c r="G72" s="60">
        <f t="shared" si="462"/>
        <v>0.28096082984590703</v>
      </c>
      <c r="H72" s="60">
        <f t="shared" si="462"/>
        <v>0.28096082984590703</v>
      </c>
      <c r="I72" s="60">
        <f t="shared" si="462"/>
        <v>0.28096082984590703</v>
      </c>
      <c r="J72" s="60">
        <f t="shared" si="462"/>
        <v>0.28096082984590703</v>
      </c>
      <c r="K72" s="60">
        <f t="shared" ref="K72" si="463">IFERROR(K16/$B58,0)</f>
        <v>0.28096082984590703</v>
      </c>
      <c r="L72" s="60">
        <f t="shared" si="462"/>
        <v>0.28096082984590703</v>
      </c>
      <c r="M72" s="60">
        <f t="shared" si="462"/>
        <v>0.28096082984590703</v>
      </c>
      <c r="N72" s="60">
        <f t="shared" si="462"/>
        <v>0.28096082984590703</v>
      </c>
      <c r="O72" s="60">
        <f t="shared" si="462"/>
        <v>0.28096082984590703</v>
      </c>
      <c r="P72" s="71">
        <f>s_dir!BC72</f>
        <v>7.1184299999999998E-4</v>
      </c>
      <c r="Q72" s="71">
        <f>IFERROR(s_RadSpec!$H$16*Q16,".")*$B$72</f>
        <v>1.7796075E-4</v>
      </c>
      <c r="R72" s="71">
        <f>IFERROR(s_RadSpec!$H$16*R16,".")*$B$72</f>
        <v>1.7796075E-4</v>
      </c>
      <c r="S72" s="71">
        <f>IFERROR(s_RadSpec!$H$16*S16,".")*$B$72</f>
        <v>1.7796075E-4</v>
      </c>
      <c r="T72" s="71">
        <f>IFERROR(s_RadSpec!$H$16*T16,".")*$B$72</f>
        <v>1.7796075E-4</v>
      </c>
      <c r="U72" s="71">
        <f>IFERROR(s_RadSpec!$H$16*U16,".")*$B$72</f>
        <v>1.7796075E-4</v>
      </c>
      <c r="V72" s="71">
        <f>IFERROR(s_RadSpec!$H$16*V16,".")*$B$72</f>
        <v>1.7796075E-4</v>
      </c>
      <c r="W72" s="71">
        <f>IFERROR(s_RadSpec!$H$16*W16,".")*$B$72</f>
        <v>1.7796075E-4</v>
      </c>
      <c r="X72" s="71">
        <f>IFERROR(s_RadSpec!$H$16*X16,".")*$B$72</f>
        <v>1.7796075E-4</v>
      </c>
      <c r="Y72" s="71">
        <f>IFERROR(s_RadSpec!$H$16*Y16,".")*$B$72</f>
        <v>1.7796075E-4</v>
      </c>
      <c r="Z72" s="71">
        <f>IFERROR(s_RadSpec!$H$16*Z16,".")*$B$72</f>
        <v>1.7796075E-4</v>
      </c>
      <c r="AA72" s="71">
        <f>IFERROR(s_RadSpec!$H$16*AA16,".")*$B$72</f>
        <v>1.7796075E-4</v>
      </c>
      <c r="AB72" s="49">
        <f t="shared" si="387"/>
        <v>7.1184299999999998E-4</v>
      </c>
      <c r="AC72" s="49">
        <f t="shared" si="388"/>
        <v>1.7796075E-4</v>
      </c>
      <c r="AD72" s="49">
        <f t="shared" si="389"/>
        <v>1.7796075E-4</v>
      </c>
      <c r="AE72" s="49">
        <f t="shared" si="390"/>
        <v>1.7796075E-4</v>
      </c>
      <c r="AF72" s="49">
        <f t="shared" si="391"/>
        <v>1.7796075E-4</v>
      </c>
      <c r="AG72" s="49">
        <f t="shared" si="392"/>
        <v>1.7796075E-4</v>
      </c>
      <c r="AH72" s="49">
        <f t="shared" si="393"/>
        <v>1.7796075E-4</v>
      </c>
      <c r="AI72" s="49">
        <f t="shared" si="393"/>
        <v>1.7796075E-4</v>
      </c>
      <c r="AJ72" s="49">
        <f t="shared" si="394"/>
        <v>1.7796075E-4</v>
      </c>
      <c r="AK72" s="49">
        <f t="shared" si="395"/>
        <v>1.7796075E-4</v>
      </c>
      <c r="AL72" s="49">
        <f t="shared" si="396"/>
        <v>1.7796075E-4</v>
      </c>
      <c r="AM72" s="49">
        <f t="shared" si="397"/>
        <v>1.7796075E-4</v>
      </c>
      <c r="AN72" s="60">
        <f t="shared" ref="AN72:BB72" si="464">IFERROR(AN16/$B58,0)</f>
        <v>96.277525744610386</v>
      </c>
      <c r="AO72" s="60">
        <f t="shared" si="464"/>
        <v>97334.838568458756</v>
      </c>
      <c r="AP72" s="60">
        <f t="shared" si="464"/>
        <v>1074682665.3927948</v>
      </c>
      <c r="AQ72" s="60">
        <f t="shared" si="464"/>
        <v>3.1117602153716586</v>
      </c>
      <c r="AR72" s="60">
        <f>IFERROR(AR16/$B58,0)</f>
        <v>1.6857649790754423</v>
      </c>
      <c r="AS72" s="60">
        <f>IFERROR(AS16/$B58,0)</f>
        <v>1.915642021676639</v>
      </c>
      <c r="AT72" s="60">
        <f>IFERROR(AT16/$B58,0)</f>
        <v>4.5057312804781375</v>
      </c>
      <c r="AU72" s="60">
        <f>IFERROR(AU16/$B58,0)</f>
        <v>17.098064490656512</v>
      </c>
      <c r="AV72" s="60">
        <f>IFERROR(AV16/$B58,0)</f>
        <v>0</v>
      </c>
      <c r="AW72" s="60">
        <f t="shared" si="464"/>
        <v>0</v>
      </c>
      <c r="AX72" s="60">
        <f t="shared" si="464"/>
        <v>0</v>
      </c>
      <c r="AY72" s="60">
        <f t="shared" si="464"/>
        <v>0</v>
      </c>
      <c r="AZ72" s="60">
        <f>IFERROR(AZ16/$B58,0)</f>
        <v>0.54143870887078949</v>
      </c>
      <c r="BA72" s="60">
        <f t="shared" si="464"/>
        <v>0.44422702765277411</v>
      </c>
      <c r="BB72" s="60">
        <f t="shared" si="464"/>
        <v>9.2818064377849632E-2</v>
      </c>
      <c r="BC72" s="118">
        <f t="shared" si="63"/>
        <v>1.0386639999999999E-2</v>
      </c>
      <c r="BD72" s="118">
        <f t="shared" si="64"/>
        <v>1.0273813720836116E-5</v>
      </c>
      <c r="BE72" s="118">
        <f t="shared" si="65"/>
        <v>9.3050723920861008E-10</v>
      </c>
      <c r="BF72" s="118">
        <f t="shared" si="66"/>
        <v>0.32136152234999998</v>
      </c>
      <c r="BG72" s="118">
        <f t="shared" si="67"/>
        <v>0.59320249999999997</v>
      </c>
      <c r="BH72" s="118">
        <f t="shared" si="68"/>
        <v>0.52201819999999999</v>
      </c>
      <c r="BI72" s="118">
        <f t="shared" si="69"/>
        <v>0.2219395560344829</v>
      </c>
      <c r="BJ72" s="118">
        <f t="shared" si="70"/>
        <v>5.8486152075661234E-2</v>
      </c>
      <c r="BK72" s="118" t="str">
        <f t="shared" si="71"/>
        <v>.</v>
      </c>
      <c r="BL72" s="118" t="str">
        <f t="shared" si="72"/>
        <v>.</v>
      </c>
      <c r="BM72" s="118" t="str">
        <f t="shared" si="73"/>
        <v>.</v>
      </c>
      <c r="BN72" s="118" t="str">
        <f t="shared" si="74"/>
        <v>.</v>
      </c>
      <c r="BO72" s="118">
        <f t="shared" si="75"/>
        <v>1.846931118178776</v>
      </c>
      <c r="BP72" s="118">
        <f t="shared" si="76"/>
        <v>2.251101211206898</v>
      </c>
      <c r="BQ72" s="118">
        <f t="shared" si="77"/>
        <v>10.77376485604286</v>
      </c>
      <c r="BR72" s="60">
        <f t="shared" si="443"/>
        <v>6.0243859804498763E-2</v>
      </c>
      <c r="BS72" s="71">
        <f>IFERROR(s_RadSpec!$E$16*BS16,".")*$B$72</f>
        <v>5.1933199999999998E-7</v>
      </c>
      <c r="BT72" s="71">
        <f>IFERROR(s_RadSpec!$F$16*BT16,".")*$B$72</f>
        <v>5.1369068604180582E-10</v>
      </c>
      <c r="BU72" s="71">
        <f>IFERROR(s_RadSpec!$G$16*BU16,".")*$B$72</f>
        <v>4.6525361960430504E-14</v>
      </c>
      <c r="BV72" s="71">
        <f>s_b2s!CC72</f>
        <v>1.6068076117500001E-5</v>
      </c>
      <c r="BW72" s="71">
        <f>IFERROR(s_RadSpec!$H$16*BW16,".")*$B$72</f>
        <v>2.9660125000000003E-5</v>
      </c>
      <c r="BX72" s="71">
        <f>IFERROR(s_RadSpec!$H$16*BX16,".")*$B$72</f>
        <v>2.610091E-5</v>
      </c>
      <c r="BY72" s="71">
        <f>IFERROR(s_RadSpec!$H$16*BY16,".")*$B$72</f>
        <v>1.1096977801724146E-5</v>
      </c>
      <c r="BZ72" s="71">
        <f>IFERROR(s_RadSpec!$H$16*BZ16,".")*$B$72</f>
        <v>2.9243076037830619E-6</v>
      </c>
      <c r="CA72" s="71">
        <f>IFERROR(s_RadSpec!$H$16*CA16,".")*$B$72</f>
        <v>0</v>
      </c>
      <c r="CB72" s="71">
        <f>IFERROR(s_RadSpec!$H$16*CB16,".")*$B$72</f>
        <v>0</v>
      </c>
      <c r="CC72" s="71">
        <f>IFERROR(s_RadSpec!$H$16*CC16,".")*$B$72</f>
        <v>0</v>
      </c>
      <c r="CD72" s="71">
        <f>IFERROR(s_RadSpec!$H$16*CD16,".")*$B$72</f>
        <v>0</v>
      </c>
      <c r="CE72" s="71">
        <f>IFERROR(s_RadSpec!$H$16*CE16,".")*$B$72</f>
        <v>9.2346555908938795E-5</v>
      </c>
      <c r="CF72" s="71">
        <f>IFERROR(s_RadSpec!$H$16*CF16,".")*$B$72</f>
        <v>1.1255506056034492E-4</v>
      </c>
      <c r="CG72" s="71">
        <f>IFERROR(s_RadSpec!$H$16*CG16,".")*$B$72</f>
        <v>5.3868824280214314E-4</v>
      </c>
      <c r="CH72" s="49">
        <f t="shared" si="399"/>
        <v>5.1933199999999998E-7</v>
      </c>
      <c r="CI72" s="49">
        <f t="shared" si="400"/>
        <v>5.1369068604180582E-10</v>
      </c>
      <c r="CJ72" s="49">
        <f t="shared" si="401"/>
        <v>4.6525361960430504E-14</v>
      </c>
      <c r="CK72" s="49">
        <f t="shared" si="402"/>
        <v>1.6068076117500001E-5</v>
      </c>
      <c r="CL72" s="49">
        <f t="shared" si="403"/>
        <v>2.9660125000000003E-5</v>
      </c>
      <c r="CM72" s="49">
        <f t="shared" si="403"/>
        <v>2.610091E-5</v>
      </c>
      <c r="CN72" s="49">
        <f t="shared" si="404"/>
        <v>1.1096977801724146E-5</v>
      </c>
      <c r="CO72" s="49">
        <f t="shared" si="405"/>
        <v>2.9243076037830619E-6</v>
      </c>
      <c r="CP72" s="49">
        <f t="shared" si="406"/>
        <v>0</v>
      </c>
      <c r="CQ72" s="49">
        <f t="shared" si="407"/>
        <v>0</v>
      </c>
      <c r="CR72" s="49">
        <f t="shared" si="408"/>
        <v>0</v>
      </c>
      <c r="CS72" s="49">
        <f t="shared" si="409"/>
        <v>0</v>
      </c>
      <c r="CT72" s="49">
        <f t="shared" si="410"/>
        <v>9.2346555908938795E-5</v>
      </c>
      <c r="CU72" s="49">
        <f t="shared" si="411"/>
        <v>1.1255506056034492E-4</v>
      </c>
      <c r="CV72" s="49">
        <f t="shared" si="412"/>
        <v>5.3868824280214314E-4</v>
      </c>
      <c r="CW72" s="49">
        <f t="shared" si="413"/>
        <v>8.2996010153164543E-4</v>
      </c>
      <c r="CX72" s="60">
        <f t="shared" ref="CX72:DL72" si="465">IFERROR(CX16/$B58,0)</f>
        <v>2.0560690016756964</v>
      </c>
      <c r="CY72" s="60" t="str">
        <f>IFERROR(CY16,".")</f>
        <v>.</v>
      </c>
      <c r="CZ72" s="60">
        <f t="shared" si="465"/>
        <v>2191624473.7885022</v>
      </c>
      <c r="DA72" s="60">
        <f t="shared" si="465"/>
        <v>5.2031632166965034</v>
      </c>
      <c r="DB72" s="60">
        <f>IFERROR(DB16/$B58,0)</f>
        <v>11.238433193836281</v>
      </c>
      <c r="DC72" s="60">
        <f>IFERROR(DC16/$B58,0)</f>
        <v>12.770946811177593</v>
      </c>
      <c r="DD72" s="60">
        <f>IFERROR(DD16/$B58,0)</f>
        <v>80274.522813116302</v>
      </c>
      <c r="DE72" s="60">
        <f>IFERROR(DE16/$B58,0)</f>
        <v>304620.68920135178</v>
      </c>
      <c r="DF72" s="60">
        <f>IFERROR(DF16/$B58,0)</f>
        <v>0</v>
      </c>
      <c r="DG72" s="60">
        <f t="shared" si="465"/>
        <v>0</v>
      </c>
      <c r="DH72" s="60">
        <f t="shared" si="465"/>
        <v>0</v>
      </c>
      <c r="DI72" s="60">
        <f t="shared" si="465"/>
        <v>0</v>
      </c>
      <c r="DJ72" s="60">
        <f>IFERROR(DJ16/$B58,0)</f>
        <v>9646.3218247094755</v>
      </c>
      <c r="DK72" s="60">
        <f t="shared" si="465"/>
        <v>7914.389573124141</v>
      </c>
      <c r="DL72" s="60">
        <f t="shared" si="465"/>
        <v>1653.6551699501954</v>
      </c>
      <c r="DM72" s="118">
        <f t="shared" si="80"/>
        <v>0.48636499999999994</v>
      </c>
      <c r="DN72" s="118" t="str">
        <f t="shared" si="81"/>
        <v>.</v>
      </c>
      <c r="DO72" s="118">
        <f t="shared" si="82"/>
        <v>4.5628254838356158E-10</v>
      </c>
      <c r="DP72" s="118">
        <f t="shared" si="83"/>
        <v>0.19219078056038796</v>
      </c>
      <c r="DQ72" s="118">
        <f t="shared" si="84"/>
        <v>8.8980375E-2</v>
      </c>
      <c r="DR72" s="118">
        <f t="shared" si="85"/>
        <v>7.8302730000000001E-2</v>
      </c>
      <c r="DS72" s="118">
        <f t="shared" si="86"/>
        <v>1.2457252499999999E-5</v>
      </c>
      <c r="DT72" s="118">
        <f t="shared" si="87"/>
        <v>3.2827711165048549E-6</v>
      </c>
      <c r="DU72" s="118" t="str">
        <f t="shared" si="88"/>
        <v>.</v>
      </c>
      <c r="DV72" s="118" t="str">
        <f t="shared" si="89"/>
        <v>.</v>
      </c>
      <c r="DW72" s="118" t="str">
        <f t="shared" si="90"/>
        <v>.</v>
      </c>
      <c r="DX72" s="118" t="str">
        <f t="shared" si="91"/>
        <v>.</v>
      </c>
      <c r="DY72" s="118">
        <f t="shared" si="92"/>
        <v>1.036664563106796E-4</v>
      </c>
      <c r="DZ72" s="118">
        <f t="shared" si="93"/>
        <v>1.2635213250000003E-4</v>
      </c>
      <c r="EA72" s="118">
        <f t="shared" si="94"/>
        <v>6.0472099514563115E-4</v>
      </c>
      <c r="EB72" s="60">
        <f t="shared" si="445"/>
        <v>1.1810706979444872</v>
      </c>
      <c r="EC72" s="71">
        <f>IFERROR(s_RadSpec!$I$16*EC16,".")*$B$72</f>
        <v>2.431825E-5</v>
      </c>
      <c r="ED72" s="71">
        <f>IFERROR(s_RadSpec!$F$16*ED16,".")</f>
        <v>0</v>
      </c>
      <c r="EE72" s="71">
        <f>IFERROR(s_RadSpec!$M$16*EE16,".")*$B$72</f>
        <v>2.2814127419178081E-14</v>
      </c>
      <c r="EF72" s="71">
        <f>s_b2w!CC72</f>
        <v>9.609539028019396E-6</v>
      </c>
      <c r="EG72" s="71">
        <f>IFERROR(s_RadSpec!$H$16*EG16,".")*$B$72</f>
        <v>4.4490187500000006E-6</v>
      </c>
      <c r="EH72" s="71">
        <f>IFERROR(s_RadSpec!$H$16*EH16,".")*$B$72</f>
        <v>3.9151364999999998E-6</v>
      </c>
      <c r="EI72" s="71">
        <f>IFERROR(s_RadSpec!$H$16*EI16,".")*$B$72</f>
        <v>6.2286262500000007E-10</v>
      </c>
      <c r="EJ72" s="71">
        <f>IFERROR(s_RadSpec!$H$16*EJ16,".")*$B$72</f>
        <v>1.6413855582524275E-10</v>
      </c>
      <c r="EK72" s="71">
        <f>IFERROR(s_RadSpec!$H$16*EK16,".")*$B$72</f>
        <v>0</v>
      </c>
      <c r="EL72" s="71">
        <f>IFERROR(s_RadSpec!$H$16*EL16,".")*$B$72</f>
        <v>0</v>
      </c>
      <c r="EM72" s="71">
        <f>IFERROR(s_RadSpec!$H$16*EM16,".")*$B$72</f>
        <v>0</v>
      </c>
      <c r="EN72" s="71">
        <f>IFERROR(s_RadSpec!$H$16*EN16,".")*$B$72</f>
        <v>0</v>
      </c>
      <c r="EO72" s="71">
        <f>IFERROR(s_RadSpec!$H$16*EO16,".")*$B$72</f>
        <v>5.1833228155339816E-9</v>
      </c>
      <c r="EP72" s="71">
        <f>IFERROR(s_RadSpec!$H$16*EP16,".")*$B$72</f>
        <v>6.3176066249999998E-9</v>
      </c>
      <c r="EQ72" s="71">
        <f>IFERROR(s_RadSpec!$H$16*EQ16,".")*$B$72</f>
        <v>3.023604975728156E-8</v>
      </c>
      <c r="ER72" s="49">
        <f t="shared" si="415"/>
        <v>2.431825E-5</v>
      </c>
      <c r="ES72" s="49">
        <f t="shared" si="416"/>
        <v>0</v>
      </c>
      <c r="ET72" s="49">
        <f t="shared" si="417"/>
        <v>2.2814127419178081E-14</v>
      </c>
      <c r="EU72" s="49">
        <f t="shared" si="418"/>
        <v>9.609539028019396E-6</v>
      </c>
      <c r="EV72" s="49">
        <f t="shared" si="419"/>
        <v>4.4490187500000006E-6</v>
      </c>
      <c r="EW72" s="49">
        <f t="shared" si="419"/>
        <v>3.9151364999999998E-6</v>
      </c>
      <c r="EX72" s="49">
        <f t="shared" si="420"/>
        <v>6.2286262500000007E-10</v>
      </c>
      <c r="EY72" s="49">
        <f t="shared" si="421"/>
        <v>1.6413855582524275E-10</v>
      </c>
      <c r="EZ72" s="49">
        <f t="shared" si="422"/>
        <v>0</v>
      </c>
      <c r="FA72" s="49">
        <f t="shared" si="423"/>
        <v>0</v>
      </c>
      <c r="FB72" s="49">
        <f t="shared" si="424"/>
        <v>0</v>
      </c>
      <c r="FC72" s="49">
        <f t="shared" si="425"/>
        <v>0</v>
      </c>
      <c r="FD72" s="49">
        <f t="shared" si="426"/>
        <v>5.1833228155339816E-9</v>
      </c>
      <c r="FE72" s="49">
        <f t="shared" si="427"/>
        <v>6.3176066249999998E-9</v>
      </c>
      <c r="FF72" s="49">
        <f t="shared" si="428"/>
        <v>3.023604975728156E-8</v>
      </c>
      <c r="FG72" s="49">
        <f t="shared" si="429"/>
        <v>4.2334468281212165E-5</v>
      </c>
      <c r="FH72" s="60">
        <f>IFERROR(FH16/$B58,0)</f>
        <v>0.31418213236395059</v>
      </c>
      <c r="FI72" s="60">
        <f>IFERROR(FI16/$B58,0)</f>
        <v>8095353.5459107636</v>
      </c>
      <c r="FJ72" s="60">
        <f>IFERROR(FJ16/$B58,0)</f>
        <v>0.3141821201704858</v>
      </c>
      <c r="FK72" s="71">
        <f>IFERROR(s_RadSpec!$F$16*FK16,".")*$B$72</f>
        <v>1.5914335937499999E-4</v>
      </c>
      <c r="FL72" s="71">
        <f>IFERROR(s_RadSpec!$K$16*FL16,".")*$B$72</f>
        <v>6.1763825034246576E-12</v>
      </c>
      <c r="FM72" s="49">
        <f t="shared" si="430"/>
        <v>1.5914335937499999E-4</v>
      </c>
      <c r="FN72" s="49">
        <f t="shared" si="430"/>
        <v>6.1763825034246576E-12</v>
      </c>
      <c r="FO72" s="49">
        <f t="shared" si="431"/>
        <v>1.591433655513825E-4</v>
      </c>
    </row>
    <row r="73" spans="1:171" x14ac:dyDescent="0.25">
      <c r="A73" s="83" t="s">
        <v>1094</v>
      </c>
      <c r="B73" s="42">
        <v>1</v>
      </c>
      <c r="C73" s="178"/>
      <c r="D73" s="60">
        <f t="shared" ref="D73:O73" si="466">IFERROR(D7/$B59,0)</f>
        <v>6.345564196803867</v>
      </c>
      <c r="E73" s="60">
        <f t="shared" si="466"/>
        <v>25.382256787215468</v>
      </c>
      <c r="F73" s="60">
        <f t="shared" si="466"/>
        <v>25.382256787215468</v>
      </c>
      <c r="G73" s="60">
        <f t="shared" si="466"/>
        <v>25.382256787215468</v>
      </c>
      <c r="H73" s="60">
        <f t="shared" si="466"/>
        <v>25.382256787215468</v>
      </c>
      <c r="I73" s="60">
        <f t="shared" si="466"/>
        <v>25.382256787215468</v>
      </c>
      <c r="J73" s="60">
        <f t="shared" si="466"/>
        <v>25.382256787215468</v>
      </c>
      <c r="K73" s="60">
        <f t="shared" ref="K73" si="467">IFERROR(K7/$B59,0)</f>
        <v>25.382256787215468</v>
      </c>
      <c r="L73" s="60">
        <f t="shared" si="466"/>
        <v>25.382256787215468</v>
      </c>
      <c r="M73" s="60">
        <f t="shared" si="466"/>
        <v>25.382256787215468</v>
      </c>
      <c r="N73" s="60">
        <f t="shared" si="466"/>
        <v>25.382256787215468</v>
      </c>
      <c r="O73" s="60">
        <f t="shared" si="466"/>
        <v>25.382256787215468</v>
      </c>
      <c r="P73" s="71">
        <f>s_dir!BC73</f>
        <v>7.8795199999999994E-6</v>
      </c>
      <c r="Q73" s="71">
        <f>IFERROR(s_RadSpec!$H$7*Q7,".")*$B$73</f>
        <v>1.9698799999999998E-6</v>
      </c>
      <c r="R73" s="71">
        <f>IFERROR(s_RadSpec!$H$7*R7,".")*$B$73</f>
        <v>1.9698799999999998E-6</v>
      </c>
      <c r="S73" s="71">
        <f>IFERROR(s_RadSpec!$H$7*S7,".")*$B$73</f>
        <v>1.9698799999999998E-6</v>
      </c>
      <c r="T73" s="71">
        <f>IFERROR(s_RadSpec!$H$7*T7,".")*$B$73</f>
        <v>1.9698799999999998E-6</v>
      </c>
      <c r="U73" s="71">
        <f>IFERROR(s_RadSpec!$H$7*U7,".")*$B$73</f>
        <v>1.9698799999999998E-6</v>
      </c>
      <c r="V73" s="71">
        <f>IFERROR(s_RadSpec!$H$7*V7,".")*$B$73</f>
        <v>1.9698799999999998E-6</v>
      </c>
      <c r="W73" s="71">
        <f>IFERROR(s_RadSpec!$H$7*W7,".")*$B$73</f>
        <v>1.9698799999999998E-6</v>
      </c>
      <c r="X73" s="71">
        <f>IFERROR(s_RadSpec!$H$7*X7,".")*$B$73</f>
        <v>1.9698799999999998E-6</v>
      </c>
      <c r="Y73" s="71">
        <f>IFERROR(s_RadSpec!$H$7*Y7,".")*$B$73</f>
        <v>1.9698799999999998E-6</v>
      </c>
      <c r="Z73" s="71">
        <f>IFERROR(s_RadSpec!$H$7*Z7,".")*$B$73</f>
        <v>1.9698799999999998E-6</v>
      </c>
      <c r="AA73" s="71">
        <f>IFERROR(s_RadSpec!$H$7*AA7,".")*$B$73</f>
        <v>1.9698799999999998E-6</v>
      </c>
      <c r="AB73" s="49">
        <f t="shared" si="387"/>
        <v>7.8795199999999994E-6</v>
      </c>
      <c r="AC73" s="49">
        <f t="shared" si="388"/>
        <v>1.9698799999999998E-6</v>
      </c>
      <c r="AD73" s="49">
        <f t="shared" si="389"/>
        <v>1.9698799999999998E-6</v>
      </c>
      <c r="AE73" s="49">
        <f t="shared" si="390"/>
        <v>1.9698799999999998E-6</v>
      </c>
      <c r="AF73" s="49">
        <f t="shared" si="391"/>
        <v>1.9698799999999998E-6</v>
      </c>
      <c r="AG73" s="49">
        <f t="shared" si="392"/>
        <v>1.9698799999999998E-6</v>
      </c>
      <c r="AH73" s="49">
        <f t="shared" si="393"/>
        <v>1.9698799999999998E-6</v>
      </c>
      <c r="AI73" s="49">
        <f t="shared" si="393"/>
        <v>1.9698799999999998E-6</v>
      </c>
      <c r="AJ73" s="49">
        <f t="shared" si="394"/>
        <v>1.9698799999999998E-6</v>
      </c>
      <c r="AK73" s="49">
        <f t="shared" si="395"/>
        <v>1.9698799999999998E-6</v>
      </c>
      <c r="AL73" s="49">
        <f t="shared" si="396"/>
        <v>1.9698799999999998E-6</v>
      </c>
      <c r="AM73" s="49">
        <f t="shared" si="397"/>
        <v>1.9698799999999998E-6</v>
      </c>
      <c r="AN73" s="60">
        <f t="shared" ref="AN73:BB73" si="468">IFERROR(AN7/$B59,0)</f>
        <v>6883.3238744991095</v>
      </c>
      <c r="AO73" s="60">
        <f t="shared" si="468"/>
        <v>3394849.2476316104</v>
      </c>
      <c r="AP73" s="60">
        <f t="shared" si="468"/>
        <v>69143.708053830254</v>
      </c>
      <c r="AQ73" s="60">
        <f t="shared" si="468"/>
        <v>55.908054597390894</v>
      </c>
      <c r="AR73" s="60">
        <f>IFERROR(AR7/$B59,0)</f>
        <v>812.23221719089497</v>
      </c>
      <c r="AS73" s="60">
        <f>IFERROR(AS7/$B59,0)</f>
        <v>0</v>
      </c>
      <c r="AT73" s="60">
        <f>IFERROR(AT7/$B59,0)</f>
        <v>84.607522624051569</v>
      </c>
      <c r="AU73" s="60">
        <f>IFERROR(AU7/$B59,0)</f>
        <v>174.29149660554623</v>
      </c>
      <c r="AV73" s="60">
        <f>IFERROR(AV7/$B59,0)</f>
        <v>0</v>
      </c>
      <c r="AW73" s="60">
        <f t="shared" si="468"/>
        <v>0</v>
      </c>
      <c r="AX73" s="60">
        <f t="shared" si="468"/>
        <v>0</v>
      </c>
      <c r="AY73" s="60">
        <f t="shared" si="468"/>
        <v>0</v>
      </c>
      <c r="AZ73" s="60">
        <f>IFERROR(AZ7/$B59,0)</f>
        <v>0</v>
      </c>
      <c r="BA73" s="60">
        <f t="shared" si="468"/>
        <v>0</v>
      </c>
      <c r="BB73" s="60">
        <f t="shared" si="468"/>
        <v>0</v>
      </c>
      <c r="BC73" s="118">
        <f t="shared" si="63"/>
        <v>1.4527864999999999E-4</v>
      </c>
      <c r="BD73" s="118">
        <f t="shared" si="64"/>
        <v>2.9456388989809843E-7</v>
      </c>
      <c r="BE73" s="118">
        <f t="shared" si="65"/>
        <v>1.4462631932054798E-5</v>
      </c>
      <c r="BF73" s="118">
        <f t="shared" si="66"/>
        <v>1.78865104E-2</v>
      </c>
      <c r="BG73" s="118">
        <f t="shared" si="67"/>
        <v>1.2311749999999999E-3</v>
      </c>
      <c r="BH73" s="118" t="str">
        <f t="shared" si="68"/>
        <v>.</v>
      </c>
      <c r="BI73" s="118">
        <f t="shared" si="69"/>
        <v>1.1819279999999998E-2</v>
      </c>
      <c r="BJ73" s="118">
        <f t="shared" si="70"/>
        <v>5.7375145631067947E-3</v>
      </c>
      <c r="BK73" s="118" t="str">
        <f t="shared" si="71"/>
        <v>.</v>
      </c>
      <c r="BL73" s="118" t="str">
        <f t="shared" si="72"/>
        <v>.</v>
      </c>
      <c r="BM73" s="118" t="str">
        <f t="shared" si="73"/>
        <v>.</v>
      </c>
      <c r="BN73" s="118" t="str">
        <f t="shared" si="74"/>
        <v>.</v>
      </c>
      <c r="BO73" s="118" t="str">
        <f t="shared" si="75"/>
        <v>.</v>
      </c>
      <c r="BP73" s="118" t="str">
        <f t="shared" si="76"/>
        <v>.</v>
      </c>
      <c r="BQ73" s="118" t="str">
        <f t="shared" si="77"/>
        <v>.</v>
      </c>
      <c r="BR73" s="60">
        <f t="shared" si="443"/>
        <v>27.148449709161056</v>
      </c>
      <c r="BS73" s="71">
        <f>IFERROR(s_RadSpec!$E$7*BS7,".")*$B$73</f>
        <v>7.2639324999999997E-9</v>
      </c>
      <c r="BT73" s="71">
        <f>IFERROR(s_RadSpec!$F$7*BT7,".")*$B$73</f>
        <v>1.4728194494904925E-11</v>
      </c>
      <c r="BU73" s="71">
        <f>IFERROR(s_RadSpec!$G$7*BU7,".")*$B$73</f>
        <v>7.2313159660274002E-10</v>
      </c>
      <c r="BV73" s="71">
        <f>s_b2s!CC73</f>
        <v>8.9432551999999999E-7</v>
      </c>
      <c r="BW73" s="71">
        <f>IFERROR(s_RadSpec!$H$7*BW7,".")*$B$73</f>
        <v>6.1558749999999995E-8</v>
      </c>
      <c r="BX73" s="71">
        <f>IFERROR(s_RadSpec!$H$7*BX7,".")*$B$73</f>
        <v>0</v>
      </c>
      <c r="BY73" s="71">
        <f>IFERROR(s_RadSpec!$H$7*BY7,".")*$B$73</f>
        <v>5.90964E-7</v>
      </c>
      <c r="BZ73" s="71">
        <f>IFERROR(s_RadSpec!$H$7*BZ7,".")*$B$73</f>
        <v>2.8687572815533981E-7</v>
      </c>
      <c r="CA73" s="71">
        <f>IFERROR(s_RadSpec!$H$7*CA7,".")*$B$73</f>
        <v>0</v>
      </c>
      <c r="CB73" s="71">
        <f>IFERROR(s_RadSpec!$H$7*CB7,".")*$B$73</f>
        <v>0</v>
      </c>
      <c r="CC73" s="71">
        <f>IFERROR(s_RadSpec!$H$7*CC7,".")*$B$73</f>
        <v>0</v>
      </c>
      <c r="CD73" s="71">
        <f>IFERROR(s_RadSpec!$H$7*CD7,".")*$B$73</f>
        <v>0</v>
      </c>
      <c r="CE73" s="71">
        <f>IFERROR(s_RadSpec!$H$7*CE7,".")*$B$73</f>
        <v>0</v>
      </c>
      <c r="CF73" s="71">
        <f>IFERROR(s_RadSpec!$H$7*CF7,".")*$B$73</f>
        <v>0</v>
      </c>
      <c r="CG73" s="71">
        <f>IFERROR(s_RadSpec!$H$7*CG7,".")*$B$73</f>
        <v>0</v>
      </c>
      <c r="CH73" s="49">
        <f t="shared" si="399"/>
        <v>7.2639324999999997E-9</v>
      </c>
      <c r="CI73" s="49">
        <f t="shared" si="400"/>
        <v>1.4728194494904925E-11</v>
      </c>
      <c r="CJ73" s="49">
        <f t="shared" si="401"/>
        <v>7.2313159660274002E-10</v>
      </c>
      <c r="CK73" s="49">
        <f t="shared" si="402"/>
        <v>8.9432551999999999E-7</v>
      </c>
      <c r="CL73" s="49">
        <f t="shared" si="403"/>
        <v>6.1558749999999995E-8</v>
      </c>
      <c r="CM73" s="49">
        <f t="shared" si="403"/>
        <v>0</v>
      </c>
      <c r="CN73" s="49">
        <f t="shared" si="404"/>
        <v>5.90964E-7</v>
      </c>
      <c r="CO73" s="49">
        <f t="shared" si="405"/>
        <v>2.8687572815533981E-7</v>
      </c>
      <c r="CP73" s="49">
        <f t="shared" si="406"/>
        <v>0</v>
      </c>
      <c r="CQ73" s="49">
        <f t="shared" si="407"/>
        <v>0</v>
      </c>
      <c r="CR73" s="49">
        <f t="shared" si="408"/>
        <v>0</v>
      </c>
      <c r="CS73" s="49">
        <f t="shared" si="409"/>
        <v>0</v>
      </c>
      <c r="CT73" s="49">
        <f t="shared" si="410"/>
        <v>0</v>
      </c>
      <c r="CU73" s="49">
        <f t="shared" si="411"/>
        <v>0</v>
      </c>
      <c r="CV73" s="49">
        <f t="shared" si="412"/>
        <v>0</v>
      </c>
      <c r="CW73" s="49">
        <f t="shared" si="413"/>
        <v>1.8417257904464374E-6</v>
      </c>
      <c r="CX73" s="60">
        <f t="shared" ref="CX73:DL73" si="469">IFERROR(CX7/$B59,0)</f>
        <v>203.90061883837819</v>
      </c>
      <c r="CY73" s="60" t="str">
        <f>IFERROR(CY7,".")</f>
        <v>.</v>
      </c>
      <c r="CZ73" s="60">
        <f t="shared" si="469"/>
        <v>2544901254.6379924</v>
      </c>
      <c r="DA73" s="60">
        <f t="shared" si="469"/>
        <v>201.01967978025729</v>
      </c>
      <c r="DB73" s="60">
        <f>IFERROR(DB7/$B59,0)</f>
        <v>1692.1504524810312</v>
      </c>
      <c r="DC73" s="60">
        <f>IFERROR(DC7/$B59,0)</f>
        <v>0</v>
      </c>
      <c r="DD73" s="60">
        <f>IFERROR(DD7/$B59,0)</f>
        <v>2538225.6787215467</v>
      </c>
      <c r="DE73" s="60">
        <f>IFERROR(DE7/$B59,0)</f>
        <v>5228744.8981663864</v>
      </c>
      <c r="DF73" s="60">
        <f>IFERROR(DF7/$B59,0)</f>
        <v>0</v>
      </c>
      <c r="DG73" s="60">
        <f t="shared" si="469"/>
        <v>0</v>
      </c>
      <c r="DH73" s="60">
        <f t="shared" si="469"/>
        <v>0</v>
      </c>
      <c r="DI73" s="60">
        <f t="shared" si="469"/>
        <v>0</v>
      </c>
      <c r="DJ73" s="60">
        <f>IFERROR(DJ7/$B59,0)</f>
        <v>0</v>
      </c>
      <c r="DK73" s="60">
        <f t="shared" si="469"/>
        <v>0</v>
      </c>
      <c r="DL73" s="60">
        <f t="shared" si="469"/>
        <v>0</v>
      </c>
      <c r="DM73" s="118">
        <f t="shared" si="80"/>
        <v>4.9043499999999992E-3</v>
      </c>
      <c r="DN73" s="118" t="str">
        <f t="shared" si="81"/>
        <v>.</v>
      </c>
      <c r="DO73" s="118">
        <f t="shared" si="82"/>
        <v>3.9294255452054786E-10</v>
      </c>
      <c r="DP73" s="118">
        <f t="shared" si="83"/>
        <v>4.9746373145810414E-3</v>
      </c>
      <c r="DQ73" s="118">
        <f t="shared" si="84"/>
        <v>5.9096399999999992E-4</v>
      </c>
      <c r="DR73" s="118" t="str">
        <f t="shared" si="85"/>
        <v>.</v>
      </c>
      <c r="DS73" s="118">
        <f t="shared" si="86"/>
        <v>3.9397599999999998E-7</v>
      </c>
      <c r="DT73" s="118">
        <f t="shared" si="87"/>
        <v>1.9125048543689317E-7</v>
      </c>
      <c r="DU73" s="118" t="str">
        <f t="shared" si="88"/>
        <v>.</v>
      </c>
      <c r="DV73" s="118" t="str">
        <f t="shared" si="89"/>
        <v>.</v>
      </c>
      <c r="DW73" s="118" t="str">
        <f t="shared" si="90"/>
        <v>.</v>
      </c>
      <c r="DX73" s="118" t="str">
        <f t="shared" si="91"/>
        <v>.</v>
      </c>
      <c r="DY73" s="118" t="str">
        <f t="shared" si="92"/>
        <v>.</v>
      </c>
      <c r="DZ73" s="118" t="str">
        <f t="shared" si="93"/>
        <v>.</v>
      </c>
      <c r="EA73" s="118" t="str">
        <f t="shared" si="94"/>
        <v>.</v>
      </c>
      <c r="EB73" s="60">
        <f t="shared" si="445"/>
        <v>95.506085915415738</v>
      </c>
      <c r="EC73" s="71">
        <f>IFERROR(s_RadSpec!$I$7*EC7,".")*$B$73</f>
        <v>2.4521750000000001E-7</v>
      </c>
      <c r="ED73" s="71">
        <f>IFERROR(s_RadSpec!$F$7*ED7,".")</f>
        <v>0</v>
      </c>
      <c r="EE73" s="71">
        <f>IFERROR(s_RadSpec!$M$7*EE7,".")*$B$73</f>
        <v>1.9647127726027396E-14</v>
      </c>
      <c r="EF73" s="71">
        <f>s_b2w!CC73</f>
        <v>2.4873186572905208E-7</v>
      </c>
      <c r="EG73" s="71">
        <f>IFERROR(s_RadSpec!$H$7*EG7,".")*$B$73</f>
        <v>2.9548199999999999E-8</v>
      </c>
      <c r="EH73" s="71">
        <f>IFERROR(s_RadSpec!$H$7*EH7,".")*$B$73</f>
        <v>0</v>
      </c>
      <c r="EI73" s="71">
        <f>IFERROR(s_RadSpec!$H$7*EI7,".")*$B$73</f>
        <v>1.9698799999999999E-11</v>
      </c>
      <c r="EJ73" s="71">
        <f>IFERROR(s_RadSpec!$H$7*EJ7,".")*$B$73</f>
        <v>9.562524271844661E-12</v>
      </c>
      <c r="EK73" s="71">
        <f>IFERROR(s_RadSpec!$H$7*EK7,".")*$B$73</f>
        <v>0</v>
      </c>
      <c r="EL73" s="71">
        <f>IFERROR(s_RadSpec!$H$7*EL7,".")*$B$73</f>
        <v>0</v>
      </c>
      <c r="EM73" s="71">
        <f>IFERROR(s_RadSpec!$H$7*EM7,".")*$B$73</f>
        <v>0</v>
      </c>
      <c r="EN73" s="71">
        <f>IFERROR(s_RadSpec!$H$7*EN7,".")*$B$73</f>
        <v>0</v>
      </c>
      <c r="EO73" s="71">
        <f>IFERROR(s_RadSpec!$H$7*EO7,".")*$B$73</f>
        <v>0</v>
      </c>
      <c r="EP73" s="71">
        <f>IFERROR(s_RadSpec!$H$7*EP7,".")*$B$73</f>
        <v>0</v>
      </c>
      <c r="EQ73" s="71">
        <f>IFERROR(s_RadSpec!$H$7*EQ7,".")*$B$73</f>
        <v>0</v>
      </c>
      <c r="ER73" s="49">
        <f t="shared" si="415"/>
        <v>2.4521750000000001E-7</v>
      </c>
      <c r="ES73" s="49">
        <f t="shared" si="416"/>
        <v>0</v>
      </c>
      <c r="ET73" s="49">
        <f t="shared" si="417"/>
        <v>1.9647127726027396E-14</v>
      </c>
      <c r="EU73" s="49">
        <f t="shared" si="418"/>
        <v>2.4873186572905208E-7</v>
      </c>
      <c r="EV73" s="49">
        <f t="shared" si="419"/>
        <v>2.9548199999999999E-8</v>
      </c>
      <c r="EW73" s="49">
        <f t="shared" si="419"/>
        <v>0</v>
      </c>
      <c r="EX73" s="49">
        <f t="shared" si="420"/>
        <v>1.9698799999999999E-11</v>
      </c>
      <c r="EY73" s="49">
        <f t="shared" si="421"/>
        <v>9.562524271844661E-12</v>
      </c>
      <c r="EZ73" s="49">
        <f t="shared" si="422"/>
        <v>0</v>
      </c>
      <c r="FA73" s="49">
        <f t="shared" si="423"/>
        <v>0</v>
      </c>
      <c r="FB73" s="49">
        <f t="shared" si="424"/>
        <v>0</v>
      </c>
      <c r="FC73" s="49">
        <f t="shared" si="425"/>
        <v>0</v>
      </c>
      <c r="FD73" s="49">
        <f t="shared" si="426"/>
        <v>0</v>
      </c>
      <c r="FE73" s="49">
        <f t="shared" si="427"/>
        <v>0</v>
      </c>
      <c r="FF73" s="49">
        <f t="shared" si="428"/>
        <v>0</v>
      </c>
      <c r="FG73" s="49">
        <f t="shared" si="429"/>
        <v>5.235268467004517E-7</v>
      </c>
      <c r="FH73" s="60">
        <f>IFERROR(FH7/$B59,0)</f>
        <v>10.958059738547544</v>
      </c>
      <c r="FI73" s="60">
        <f>IFERROR(FI7/$B59,0)</f>
        <v>6022371.1809534831</v>
      </c>
      <c r="FJ73" s="60">
        <f>IFERROR(FJ7/$B59,0)</f>
        <v>10.958039799747503</v>
      </c>
      <c r="FK73" s="71">
        <f>IFERROR(s_RadSpec!$F$7*FK7,".")*$B$73</f>
        <v>4.5628515624999995E-6</v>
      </c>
      <c r="FL73" s="71">
        <f>IFERROR(s_RadSpec!$K$7*FL7,".")*$B$73</f>
        <v>8.3023776678082202E-12</v>
      </c>
      <c r="FM73" s="49">
        <f t="shared" si="430"/>
        <v>4.5628515624999995E-6</v>
      </c>
      <c r="FN73" s="49">
        <f t="shared" si="430"/>
        <v>8.3023776678082202E-12</v>
      </c>
      <c r="FO73" s="49">
        <f t="shared" si="431"/>
        <v>4.5628598648776677E-6</v>
      </c>
    </row>
    <row r="74" spans="1:171" x14ac:dyDescent="0.25">
      <c r="A74" s="83" t="s">
        <v>1095</v>
      </c>
      <c r="B74" s="86">
        <v>1.9000000000000001E-8</v>
      </c>
      <c r="C74" s="182"/>
      <c r="D74" s="60">
        <f t="shared" ref="D74:O74" si="470">IFERROR(D12/$B60,0)</f>
        <v>0</v>
      </c>
      <c r="E74" s="60">
        <f t="shared" si="470"/>
        <v>0</v>
      </c>
      <c r="F74" s="60">
        <f t="shared" si="470"/>
        <v>0</v>
      </c>
      <c r="G74" s="60">
        <f t="shared" si="470"/>
        <v>0</v>
      </c>
      <c r="H74" s="60">
        <f t="shared" si="470"/>
        <v>0</v>
      </c>
      <c r="I74" s="60">
        <f t="shared" si="470"/>
        <v>0</v>
      </c>
      <c r="J74" s="60">
        <f t="shared" si="470"/>
        <v>0</v>
      </c>
      <c r="K74" s="60">
        <f t="shared" ref="K74" si="471">IFERROR(K12/$B60,0)</f>
        <v>0</v>
      </c>
      <c r="L74" s="60">
        <f t="shared" si="470"/>
        <v>0</v>
      </c>
      <c r="M74" s="60">
        <f t="shared" si="470"/>
        <v>0</v>
      </c>
      <c r="N74" s="60">
        <f t="shared" si="470"/>
        <v>0</v>
      </c>
      <c r="O74" s="60">
        <f t="shared" si="470"/>
        <v>0</v>
      </c>
      <c r="P74" s="71">
        <f>s_dir!BC74</f>
        <v>0</v>
      </c>
      <c r="Q74" s="71">
        <f>IFERROR(s_RadSpec!$H$12*Q12,".")*$B$74</f>
        <v>0</v>
      </c>
      <c r="R74" s="71">
        <f>IFERROR(s_RadSpec!$H$12*R12,".")*$B$74</f>
        <v>0</v>
      </c>
      <c r="S74" s="71">
        <f>IFERROR(s_RadSpec!$H$12*S12,".")*$B$74</f>
        <v>0</v>
      </c>
      <c r="T74" s="71">
        <f>IFERROR(s_RadSpec!$H$12*T12,".")*$B$74</f>
        <v>0</v>
      </c>
      <c r="U74" s="71">
        <f>IFERROR(s_RadSpec!$H$12*U12,".")*$B$74</f>
        <v>0</v>
      </c>
      <c r="V74" s="71">
        <f>IFERROR(s_RadSpec!$H$12*V12,".")*$B$74</f>
        <v>0</v>
      </c>
      <c r="W74" s="71">
        <f>IFERROR(s_RadSpec!$H$12*W12,".")*$B$74</f>
        <v>0</v>
      </c>
      <c r="X74" s="71">
        <f>IFERROR(s_RadSpec!$H$12*X12,".")*$B$74</f>
        <v>0</v>
      </c>
      <c r="Y74" s="71">
        <f>IFERROR(s_RadSpec!$H$12*Y12,".")*$B$74</f>
        <v>0</v>
      </c>
      <c r="Z74" s="71">
        <f>IFERROR(s_RadSpec!$H$12*Z12,".")*$B$74</f>
        <v>0</v>
      </c>
      <c r="AA74" s="71">
        <f>IFERROR(s_RadSpec!$H$12*AA12,".")*$B$74</f>
        <v>0</v>
      </c>
      <c r="AB74" s="49">
        <f t="shared" si="387"/>
        <v>0</v>
      </c>
      <c r="AC74" s="49">
        <f t="shared" si="388"/>
        <v>0</v>
      </c>
      <c r="AD74" s="49">
        <f t="shared" si="389"/>
        <v>0</v>
      </c>
      <c r="AE74" s="49">
        <f t="shared" si="390"/>
        <v>0</v>
      </c>
      <c r="AF74" s="49">
        <f t="shared" si="391"/>
        <v>0</v>
      </c>
      <c r="AG74" s="49">
        <f t="shared" si="392"/>
        <v>0</v>
      </c>
      <c r="AH74" s="49">
        <f t="shared" si="393"/>
        <v>0</v>
      </c>
      <c r="AI74" s="49">
        <f t="shared" si="393"/>
        <v>0</v>
      </c>
      <c r="AJ74" s="49">
        <f t="shared" si="394"/>
        <v>0</v>
      </c>
      <c r="AK74" s="49">
        <f t="shared" si="395"/>
        <v>0</v>
      </c>
      <c r="AL74" s="49">
        <f t="shared" si="396"/>
        <v>0</v>
      </c>
      <c r="AM74" s="49">
        <f t="shared" si="397"/>
        <v>0</v>
      </c>
      <c r="AN74" s="60">
        <f t="shared" ref="AN74:BB74" si="472">IFERROR(AN12/$B60,0)</f>
        <v>0</v>
      </c>
      <c r="AO74" s="60">
        <f t="shared" si="472"/>
        <v>0</v>
      </c>
      <c r="AP74" s="60">
        <f t="shared" si="472"/>
        <v>16168858529.427988</v>
      </c>
      <c r="AQ74" s="60">
        <f t="shared" si="472"/>
        <v>0</v>
      </c>
      <c r="AR74" s="60">
        <f>IFERROR(AR12/$B60,0)</f>
        <v>0</v>
      </c>
      <c r="AS74" s="60">
        <f>IFERROR(AS12/$B60,0)</f>
        <v>0</v>
      </c>
      <c r="AT74" s="60">
        <f>IFERROR(AT12/$B60,0)</f>
        <v>0</v>
      </c>
      <c r="AU74" s="60">
        <f>IFERROR(AU12/$B60,0)</f>
        <v>0</v>
      </c>
      <c r="AV74" s="60">
        <f>IFERROR(AV12/$B60,0)</f>
        <v>0</v>
      </c>
      <c r="AW74" s="60">
        <f t="shared" si="472"/>
        <v>0</v>
      </c>
      <c r="AX74" s="60">
        <f t="shared" si="472"/>
        <v>0</v>
      </c>
      <c r="AY74" s="60">
        <f t="shared" si="472"/>
        <v>0</v>
      </c>
      <c r="AZ74" s="60">
        <f>IFERROR(AZ12/$B60,0)</f>
        <v>0</v>
      </c>
      <c r="BA74" s="60">
        <f t="shared" si="472"/>
        <v>0</v>
      </c>
      <c r="BB74" s="60">
        <f t="shared" si="472"/>
        <v>0</v>
      </c>
      <c r="BC74" s="118" t="str">
        <f t="shared" si="63"/>
        <v>.</v>
      </c>
      <c r="BD74" s="118" t="str">
        <f t="shared" si="64"/>
        <v>.</v>
      </c>
      <c r="BE74" s="118">
        <f t="shared" si="65"/>
        <v>6.1847284901402218E-11</v>
      </c>
      <c r="BF74" s="118" t="str">
        <f t="shared" si="66"/>
        <v>.</v>
      </c>
      <c r="BG74" s="118" t="str">
        <f t="shared" si="67"/>
        <v>.</v>
      </c>
      <c r="BH74" s="118" t="str">
        <f t="shared" si="68"/>
        <v>.</v>
      </c>
      <c r="BI74" s="118" t="str">
        <f t="shared" si="69"/>
        <v>.</v>
      </c>
      <c r="BJ74" s="118" t="str">
        <f t="shared" si="70"/>
        <v>.</v>
      </c>
      <c r="BK74" s="118" t="str">
        <f t="shared" si="71"/>
        <v>.</v>
      </c>
      <c r="BL74" s="118" t="str">
        <f t="shared" si="72"/>
        <v>.</v>
      </c>
      <c r="BM74" s="118" t="str">
        <f t="shared" si="73"/>
        <v>.</v>
      </c>
      <c r="BN74" s="118" t="str">
        <f t="shared" si="74"/>
        <v>.</v>
      </c>
      <c r="BO74" s="118" t="str">
        <f t="shared" si="75"/>
        <v>.</v>
      </c>
      <c r="BP74" s="118" t="str">
        <f t="shared" si="76"/>
        <v>.</v>
      </c>
      <c r="BQ74" s="118" t="str">
        <f t="shared" si="77"/>
        <v>.</v>
      </c>
      <c r="BR74" s="60">
        <f t="shared" si="443"/>
        <v>16168858529.427986</v>
      </c>
      <c r="BS74" s="71">
        <f>IFERROR(s_RadSpec!$E$12*BS12,".")*$B$74</f>
        <v>0</v>
      </c>
      <c r="BT74" s="71">
        <f>IFERROR(s_RadSpec!$F$12*BT12,".")*$B$74</f>
        <v>0</v>
      </c>
      <c r="BU74" s="71">
        <f>IFERROR(s_RadSpec!$G$12*BU12,".")*$B$74</f>
        <v>3.0923642450701108E-15</v>
      </c>
      <c r="BV74" s="71">
        <f>s_b2s!CC74</f>
        <v>0</v>
      </c>
      <c r="BW74" s="71">
        <f>IFERROR(s_RadSpec!$H$12*BW12,".")*$B$74</f>
        <v>0</v>
      </c>
      <c r="BX74" s="71">
        <f>IFERROR(s_RadSpec!$H$12*BX12,".")*$B$74</f>
        <v>0</v>
      </c>
      <c r="BY74" s="71">
        <f>IFERROR(s_RadSpec!$H$12*BY12,".")*$B$74</f>
        <v>0</v>
      </c>
      <c r="BZ74" s="71">
        <f>IFERROR(s_RadSpec!$H$12*BZ12,".")*$B$74</f>
        <v>0</v>
      </c>
      <c r="CA74" s="71">
        <f>IFERROR(s_RadSpec!$H$12*CA12,".")*$B$74</f>
        <v>0</v>
      </c>
      <c r="CB74" s="71">
        <f>IFERROR(s_RadSpec!$H$12*CB12,".")*$B$74</f>
        <v>0</v>
      </c>
      <c r="CC74" s="71">
        <f>IFERROR(s_RadSpec!$H$12*CC12,".")*$B$74</f>
        <v>0</v>
      </c>
      <c r="CD74" s="71">
        <f>IFERROR(s_RadSpec!$H$12*CD12,".")*$B$74</f>
        <v>0</v>
      </c>
      <c r="CE74" s="71">
        <f>IFERROR(s_RadSpec!$H$12*CE12,".")*$B$74</f>
        <v>0</v>
      </c>
      <c r="CF74" s="71">
        <f>IFERROR(s_RadSpec!$H$12*CF12,".")*$B$74</f>
        <v>0</v>
      </c>
      <c r="CG74" s="71">
        <f>IFERROR(s_RadSpec!$H$12*CG12,".")*$B$74</f>
        <v>0</v>
      </c>
      <c r="CH74" s="49">
        <f t="shared" si="399"/>
        <v>0</v>
      </c>
      <c r="CI74" s="49">
        <f t="shared" si="400"/>
        <v>0</v>
      </c>
      <c r="CJ74" s="49">
        <f t="shared" si="401"/>
        <v>3.0923642450701108E-15</v>
      </c>
      <c r="CK74" s="49">
        <f t="shared" si="402"/>
        <v>0</v>
      </c>
      <c r="CL74" s="49">
        <f t="shared" si="403"/>
        <v>0</v>
      </c>
      <c r="CM74" s="49">
        <f t="shared" si="403"/>
        <v>0</v>
      </c>
      <c r="CN74" s="49">
        <f t="shared" si="404"/>
        <v>0</v>
      </c>
      <c r="CO74" s="49">
        <f t="shared" si="405"/>
        <v>0</v>
      </c>
      <c r="CP74" s="49">
        <f t="shared" si="406"/>
        <v>0</v>
      </c>
      <c r="CQ74" s="49">
        <f t="shared" si="407"/>
        <v>0</v>
      </c>
      <c r="CR74" s="49">
        <f t="shared" si="408"/>
        <v>0</v>
      </c>
      <c r="CS74" s="49">
        <f t="shared" si="409"/>
        <v>0</v>
      </c>
      <c r="CT74" s="49">
        <f t="shared" si="410"/>
        <v>0</v>
      </c>
      <c r="CU74" s="49">
        <f t="shared" si="411"/>
        <v>0</v>
      </c>
      <c r="CV74" s="49">
        <f t="shared" si="412"/>
        <v>0</v>
      </c>
      <c r="CW74" s="49">
        <f t="shared" si="413"/>
        <v>3.0923642450701108E-15</v>
      </c>
      <c r="CX74" s="60">
        <f t="shared" ref="CX74:DL74" si="473">IFERROR(CX12/$B60,0)</f>
        <v>0</v>
      </c>
      <c r="CY74" s="60" t="str">
        <f>IFERROR(CY12,".")</f>
        <v>.</v>
      </c>
      <c r="CZ74" s="60">
        <f t="shared" si="473"/>
        <v>970175727230415.25</v>
      </c>
      <c r="DA74" s="60">
        <f t="shared" si="473"/>
        <v>0</v>
      </c>
      <c r="DB74" s="60">
        <f>IFERROR(DB12/$B60,0)</f>
        <v>0</v>
      </c>
      <c r="DC74" s="60">
        <f>IFERROR(DC12/$B60,0)</f>
        <v>0</v>
      </c>
      <c r="DD74" s="60">
        <f>IFERROR(DD12/$B60,0)</f>
        <v>0</v>
      </c>
      <c r="DE74" s="60">
        <f>IFERROR(DE12/$B60,0)</f>
        <v>0</v>
      </c>
      <c r="DF74" s="60">
        <f>IFERROR(DF12/$B60,0)</f>
        <v>0</v>
      </c>
      <c r="DG74" s="60">
        <f t="shared" si="473"/>
        <v>0</v>
      </c>
      <c r="DH74" s="60">
        <f t="shared" si="473"/>
        <v>0</v>
      </c>
      <c r="DI74" s="60">
        <f t="shared" si="473"/>
        <v>0</v>
      </c>
      <c r="DJ74" s="60">
        <f>IFERROR(DJ12/$B60,0)</f>
        <v>0</v>
      </c>
      <c r="DK74" s="60">
        <f t="shared" si="473"/>
        <v>0</v>
      </c>
      <c r="DL74" s="60">
        <f t="shared" si="473"/>
        <v>0</v>
      </c>
      <c r="DM74" s="118" t="str">
        <f t="shared" si="80"/>
        <v>.</v>
      </c>
      <c r="DN74" s="118" t="str">
        <f t="shared" si="81"/>
        <v>.</v>
      </c>
      <c r="DO74" s="118">
        <f t="shared" si="82"/>
        <v>1.0307411038356163E-15</v>
      </c>
      <c r="DP74" s="118" t="str">
        <f t="shared" si="83"/>
        <v>.</v>
      </c>
      <c r="DQ74" s="118" t="str">
        <f t="shared" si="84"/>
        <v>.</v>
      </c>
      <c r="DR74" s="118" t="str">
        <f t="shared" si="85"/>
        <v>.</v>
      </c>
      <c r="DS74" s="118" t="str">
        <f t="shared" si="86"/>
        <v>.</v>
      </c>
      <c r="DT74" s="118" t="str">
        <f t="shared" si="87"/>
        <v>.</v>
      </c>
      <c r="DU74" s="118" t="str">
        <f t="shared" si="88"/>
        <v>.</v>
      </c>
      <c r="DV74" s="118" t="str">
        <f t="shared" si="89"/>
        <v>.</v>
      </c>
      <c r="DW74" s="118" t="str">
        <f t="shared" si="90"/>
        <v>.</v>
      </c>
      <c r="DX74" s="118" t="str">
        <f t="shared" si="91"/>
        <v>.</v>
      </c>
      <c r="DY74" s="118" t="str">
        <f t="shared" si="92"/>
        <v>.</v>
      </c>
      <c r="DZ74" s="118" t="str">
        <f t="shared" si="93"/>
        <v>.</v>
      </c>
      <c r="EA74" s="118" t="str">
        <f t="shared" si="94"/>
        <v>.</v>
      </c>
      <c r="EB74" s="60">
        <f t="shared" si="445"/>
        <v>970175727230415.25</v>
      </c>
      <c r="EC74" s="71">
        <f>IFERROR(s_RadSpec!$I$12*EC12,".")*$B$74</f>
        <v>0</v>
      </c>
      <c r="ED74" s="71">
        <f>IFERROR(s_RadSpec!$F$12*ED12,".")</f>
        <v>0</v>
      </c>
      <c r="EE74" s="71">
        <f>IFERROR(s_RadSpec!$M$12*EE12,".")*$B$74</f>
        <v>5.1537055191780823E-20</v>
      </c>
      <c r="EF74" s="71">
        <f>s_b2w!CC74</f>
        <v>0</v>
      </c>
      <c r="EG74" s="71">
        <f>IFERROR(s_RadSpec!$H$12*EG12,".")*$B$74</f>
        <v>0</v>
      </c>
      <c r="EH74" s="71">
        <f>IFERROR(s_RadSpec!$H$12*EH12,".")*$B$74</f>
        <v>0</v>
      </c>
      <c r="EI74" s="71">
        <f>IFERROR(s_RadSpec!$H$12*EI12,".")*$B$74</f>
        <v>0</v>
      </c>
      <c r="EJ74" s="71">
        <f>IFERROR(s_RadSpec!$H$12*EJ12,".")*$B$74</f>
        <v>0</v>
      </c>
      <c r="EK74" s="71">
        <f>IFERROR(s_RadSpec!$H$12*EK12,".")*$B$74</f>
        <v>0</v>
      </c>
      <c r="EL74" s="71">
        <f>IFERROR(s_RadSpec!$H$12*EL12,".")*$B$74</f>
        <v>0</v>
      </c>
      <c r="EM74" s="71">
        <f>IFERROR(s_RadSpec!$H$12*EM12,".")*$B$74</f>
        <v>0</v>
      </c>
      <c r="EN74" s="71">
        <f>IFERROR(s_RadSpec!$H$12*EN12,".")*$B$74</f>
        <v>0</v>
      </c>
      <c r="EO74" s="71">
        <f>IFERROR(s_RadSpec!$H$12*EO12,".")*$B$74</f>
        <v>0</v>
      </c>
      <c r="EP74" s="71">
        <f>IFERROR(s_RadSpec!$H$12*EP12,".")*$B$74</f>
        <v>0</v>
      </c>
      <c r="EQ74" s="71">
        <f>IFERROR(s_RadSpec!$H$12*EQ12,".")*$B$74</f>
        <v>0</v>
      </c>
      <c r="ER74" s="49">
        <f t="shared" si="415"/>
        <v>0</v>
      </c>
      <c r="ES74" s="49">
        <f t="shared" si="416"/>
        <v>0</v>
      </c>
      <c r="ET74" s="49">
        <f t="shared" si="417"/>
        <v>5.1537055191780823E-20</v>
      </c>
      <c r="EU74" s="49">
        <f t="shared" si="418"/>
        <v>0</v>
      </c>
      <c r="EV74" s="49">
        <f t="shared" si="419"/>
        <v>0</v>
      </c>
      <c r="EW74" s="49">
        <f t="shared" si="419"/>
        <v>0</v>
      </c>
      <c r="EX74" s="49">
        <f t="shared" si="420"/>
        <v>0</v>
      </c>
      <c r="EY74" s="49">
        <f t="shared" si="421"/>
        <v>0</v>
      </c>
      <c r="EZ74" s="49">
        <f t="shared" si="422"/>
        <v>0</v>
      </c>
      <c r="FA74" s="49">
        <f t="shared" si="423"/>
        <v>0</v>
      </c>
      <c r="FB74" s="49">
        <f t="shared" si="424"/>
        <v>0</v>
      </c>
      <c r="FC74" s="49">
        <f t="shared" si="425"/>
        <v>0</v>
      </c>
      <c r="FD74" s="49">
        <f t="shared" si="426"/>
        <v>0</v>
      </c>
      <c r="FE74" s="49">
        <f t="shared" si="427"/>
        <v>0</v>
      </c>
      <c r="FF74" s="49">
        <f t="shared" si="428"/>
        <v>0</v>
      </c>
      <c r="FG74" s="49">
        <f t="shared" si="429"/>
        <v>5.1537055191780823E-20</v>
      </c>
      <c r="FH74" s="60">
        <f>IFERROR(FH12/$B60,0)</f>
        <v>0</v>
      </c>
      <c r="FI74" s="60">
        <f>IFERROR(FI12/$B60,0)</f>
        <v>3378494297178.8574</v>
      </c>
      <c r="FJ74" s="60">
        <f>IFERROR(FJ12/$B60,0)</f>
        <v>3378494297178.8574</v>
      </c>
      <c r="FK74" s="71">
        <f>IFERROR(s_RadSpec!$F$12*FK12,".")*$B$74</f>
        <v>0</v>
      </c>
      <c r="FL74" s="71">
        <f>IFERROR(s_RadSpec!$K$12*FL12,".")*$B$74</f>
        <v>1.4799492200342468E-17</v>
      </c>
      <c r="FM74" s="49">
        <f t="shared" si="430"/>
        <v>0</v>
      </c>
      <c r="FN74" s="49">
        <f t="shared" si="430"/>
        <v>1.4799492200342468E-17</v>
      </c>
      <c r="FO74" s="49">
        <f t="shared" si="431"/>
        <v>1.4799492200342468E-17</v>
      </c>
    </row>
    <row r="75" spans="1:171" x14ac:dyDescent="0.25">
      <c r="A75" s="83" t="s">
        <v>1096</v>
      </c>
      <c r="B75" s="42">
        <v>1</v>
      </c>
      <c r="C75" s="178"/>
      <c r="D75" s="60">
        <f t="shared" ref="D75:O75" si="474">IFERROR(D18/$B61,0)</f>
        <v>3.667715266461348E-2</v>
      </c>
      <c r="E75" s="60">
        <f t="shared" si="474"/>
        <v>0.14670861065845392</v>
      </c>
      <c r="F75" s="60">
        <f t="shared" si="474"/>
        <v>0.14670861065845392</v>
      </c>
      <c r="G75" s="60">
        <f t="shared" si="474"/>
        <v>0.14670861065845392</v>
      </c>
      <c r="H75" s="60">
        <f t="shared" si="474"/>
        <v>0.14670861065845392</v>
      </c>
      <c r="I75" s="60">
        <f t="shared" si="474"/>
        <v>0.14670861065845392</v>
      </c>
      <c r="J75" s="60">
        <f t="shared" si="474"/>
        <v>0.14670861065845392</v>
      </c>
      <c r="K75" s="60">
        <f t="shared" ref="K75" si="475">IFERROR(K18/$B61,0)</f>
        <v>0.14670861065845392</v>
      </c>
      <c r="L75" s="60">
        <f t="shared" si="474"/>
        <v>0.14670861065845392</v>
      </c>
      <c r="M75" s="60">
        <f t="shared" si="474"/>
        <v>0.14670861065845392</v>
      </c>
      <c r="N75" s="60">
        <f t="shared" si="474"/>
        <v>0.14670861065845392</v>
      </c>
      <c r="O75" s="60">
        <f t="shared" si="474"/>
        <v>0.14670861065845392</v>
      </c>
      <c r="P75" s="71">
        <f>s_dir!BC75</f>
        <v>1.3632465E-3</v>
      </c>
      <c r="Q75" s="71">
        <f>IFERROR(s_RadSpec!$H$18*Q18,".")*$B$75</f>
        <v>3.40811625E-4</v>
      </c>
      <c r="R75" s="71">
        <f>IFERROR(s_RadSpec!$H$18*R18,".")*$B$75</f>
        <v>3.40811625E-4</v>
      </c>
      <c r="S75" s="71">
        <f>IFERROR(s_RadSpec!$H$18*S18,".")*$B$75</f>
        <v>3.40811625E-4</v>
      </c>
      <c r="T75" s="71">
        <f>IFERROR(s_RadSpec!$H$18*T18,".")*$B$75</f>
        <v>3.40811625E-4</v>
      </c>
      <c r="U75" s="71">
        <f>IFERROR(s_RadSpec!$H$18*U18,".")*$B$75</f>
        <v>3.40811625E-4</v>
      </c>
      <c r="V75" s="71">
        <f>IFERROR(s_RadSpec!$H$18*V18,".")*$B$75</f>
        <v>3.40811625E-4</v>
      </c>
      <c r="W75" s="71">
        <f>IFERROR(s_RadSpec!$H$18*W18,".")*$B$75</f>
        <v>3.40811625E-4</v>
      </c>
      <c r="X75" s="71">
        <f>IFERROR(s_RadSpec!$H$18*X18,".")*$B$75</f>
        <v>3.40811625E-4</v>
      </c>
      <c r="Y75" s="71">
        <f>IFERROR(s_RadSpec!$H$18*Y18,".")*$B$75</f>
        <v>3.40811625E-4</v>
      </c>
      <c r="Z75" s="71">
        <f>IFERROR(s_RadSpec!$H$18*Z18,".")*$B$75</f>
        <v>3.40811625E-4</v>
      </c>
      <c r="AA75" s="71">
        <f>IFERROR(s_RadSpec!$H$18*AA18,".")*$B$75</f>
        <v>3.40811625E-4</v>
      </c>
      <c r="AB75" s="49">
        <f t="shared" si="387"/>
        <v>1.3632465E-3</v>
      </c>
      <c r="AC75" s="49">
        <f t="shared" si="388"/>
        <v>3.40811625E-4</v>
      </c>
      <c r="AD75" s="49">
        <f t="shared" si="389"/>
        <v>3.40811625E-4</v>
      </c>
      <c r="AE75" s="49">
        <f t="shared" si="390"/>
        <v>3.40811625E-4</v>
      </c>
      <c r="AF75" s="49">
        <f t="shared" si="391"/>
        <v>3.40811625E-4</v>
      </c>
      <c r="AG75" s="49">
        <f t="shared" si="392"/>
        <v>3.40811625E-4</v>
      </c>
      <c r="AH75" s="49">
        <f t="shared" si="393"/>
        <v>3.40811625E-4</v>
      </c>
      <c r="AI75" s="49">
        <f t="shared" si="393"/>
        <v>3.40811625E-4</v>
      </c>
      <c r="AJ75" s="49">
        <f t="shared" si="394"/>
        <v>3.40811625E-4</v>
      </c>
      <c r="AK75" s="49">
        <f t="shared" si="395"/>
        <v>3.40811625E-4</v>
      </c>
      <c r="AL75" s="49">
        <f t="shared" si="396"/>
        <v>3.40811625E-4</v>
      </c>
      <c r="AM75" s="49">
        <f t="shared" si="397"/>
        <v>3.40811625E-4</v>
      </c>
      <c r="AN75" s="60">
        <f t="shared" ref="AN75:BB75" si="476">IFERROR(AN18/$B61,0)</f>
        <v>50.477708412993472</v>
      </c>
      <c r="AO75" s="60">
        <f t="shared" si="476"/>
        <v>106522.05547415512</v>
      </c>
      <c r="AP75" s="60">
        <f t="shared" si="476"/>
        <v>1655695.6076416252</v>
      </c>
      <c r="AQ75" s="60">
        <f t="shared" si="476"/>
        <v>2.1689623101486384</v>
      </c>
      <c r="AR75" s="60">
        <f>IFERROR(AR18/$B61,0)</f>
        <v>0.85580022884098117</v>
      </c>
      <c r="AS75" s="60">
        <f>IFERROR(AS18/$B61,0)</f>
        <v>0</v>
      </c>
      <c r="AT75" s="60">
        <f>IFERROR(AT18/$B61,0)</f>
        <v>0.55866977993502243</v>
      </c>
      <c r="AU75" s="60">
        <f>IFERROR(AU18/$B61,0)</f>
        <v>8.2204267619010452</v>
      </c>
      <c r="AV75" s="60">
        <f>IFERROR(AV18/$B61,0)</f>
        <v>0</v>
      </c>
      <c r="AW75" s="60">
        <f t="shared" si="476"/>
        <v>6.9833722491877798E-4</v>
      </c>
      <c r="AX75" s="60">
        <f t="shared" si="476"/>
        <v>5.4064817413066683E-4</v>
      </c>
      <c r="AY75" s="60">
        <f t="shared" si="476"/>
        <v>0</v>
      </c>
      <c r="AZ75" s="60">
        <f>IFERROR(AZ18/$B61,0)</f>
        <v>0.75056070434748678</v>
      </c>
      <c r="BA75" s="60">
        <f t="shared" si="476"/>
        <v>3.3520186796101345E-2</v>
      </c>
      <c r="BB75" s="60">
        <f t="shared" si="476"/>
        <v>0</v>
      </c>
      <c r="BC75" s="118">
        <f t="shared" si="63"/>
        <v>1.9810724999999998E-2</v>
      </c>
      <c r="BD75" s="118">
        <f t="shared" si="64"/>
        <v>9.3877272227686661E-6</v>
      </c>
      <c r="BE75" s="118">
        <f t="shared" si="65"/>
        <v>6.0397575217609061E-7</v>
      </c>
      <c r="BF75" s="118">
        <f t="shared" si="66"/>
        <v>0.46104996630000006</v>
      </c>
      <c r="BG75" s="118">
        <f t="shared" si="67"/>
        <v>1.1684970000000001</v>
      </c>
      <c r="BH75" s="118" t="str">
        <f t="shared" si="68"/>
        <v>.</v>
      </c>
      <c r="BI75" s="118">
        <f t="shared" si="69"/>
        <v>1.7899661587500002</v>
      </c>
      <c r="BJ75" s="118">
        <f t="shared" si="70"/>
        <v>0.12164818554611651</v>
      </c>
      <c r="BK75" s="118" t="str">
        <f t="shared" si="71"/>
        <v>.</v>
      </c>
      <c r="BL75" s="118">
        <f t="shared" si="72"/>
        <v>1431.9729270000003</v>
      </c>
      <c r="BM75" s="118">
        <f t="shared" si="73"/>
        <v>1849.6316973750004</v>
      </c>
      <c r="BN75" s="118" t="str">
        <f t="shared" si="74"/>
        <v>.</v>
      </c>
      <c r="BO75" s="118">
        <f t="shared" si="75"/>
        <v>1.3323372702669902</v>
      </c>
      <c r="BP75" s="118">
        <f t="shared" si="76"/>
        <v>29.832769312500002</v>
      </c>
      <c r="BQ75" s="118" t="str">
        <f t="shared" si="77"/>
        <v>.</v>
      </c>
      <c r="BR75" s="60">
        <f t="shared" si="443"/>
        <v>3.0153808125483615E-4</v>
      </c>
      <c r="BS75" s="71">
        <f>IFERROR(s_RadSpec!$E$18*BS18,".")*$B$75</f>
        <v>9.9053624999999987E-7</v>
      </c>
      <c r="BT75" s="71">
        <f>IFERROR(s_RadSpec!$F$18*BT18,".")*$B$75</f>
        <v>4.6938636113843336E-10</v>
      </c>
      <c r="BU75" s="71">
        <f>IFERROR(s_RadSpec!$G$18*BU18,".")*$B$75</f>
        <v>3.0198787608804531E-11</v>
      </c>
      <c r="BV75" s="71">
        <f>s_b2s!CC75</f>
        <v>2.3052498314999997E-5</v>
      </c>
      <c r="BW75" s="71">
        <f>IFERROR(s_RadSpec!$H$18*BW18,".")*$B$75</f>
        <v>5.842485E-5</v>
      </c>
      <c r="BX75" s="71">
        <f>IFERROR(s_RadSpec!$H$18*BX18,".")*$B$75</f>
        <v>0</v>
      </c>
      <c r="BY75" s="71">
        <f>IFERROR(s_RadSpec!$H$18*BY18,".")*$B$75</f>
        <v>8.9498307937500019E-5</v>
      </c>
      <c r="BZ75" s="71">
        <f>IFERROR(s_RadSpec!$H$18*BZ18,".")*$B$75</f>
        <v>6.0824092773058264E-6</v>
      </c>
      <c r="CA75" s="71">
        <f>IFERROR(s_RadSpec!$H$18*CA18,".")*$B$75</f>
        <v>0</v>
      </c>
      <c r="CB75" s="71">
        <f>IFERROR(s_RadSpec!$H$18*CB18,".")*$B$75</f>
        <v>7.1598646350000003E-2</v>
      </c>
      <c r="CC75" s="71">
        <f>IFERROR(s_RadSpec!$H$18*CC18,".")*$B$75</f>
        <v>9.2481584868750008E-2</v>
      </c>
      <c r="CD75" s="71">
        <f>IFERROR(s_RadSpec!$H$18*CD18,".")*$B$75</f>
        <v>0</v>
      </c>
      <c r="CE75" s="71">
        <f>IFERROR(s_RadSpec!$H$18*CE18,".")*$B$75</f>
        <v>6.661686351334953E-5</v>
      </c>
      <c r="CF75" s="71">
        <f>IFERROR(s_RadSpec!$H$18*CF18,".")*$B$75</f>
        <v>1.4916384656250001E-3</v>
      </c>
      <c r="CG75" s="71">
        <f>IFERROR(s_RadSpec!$H$18*CG18,".")*$B$75</f>
        <v>0</v>
      </c>
      <c r="CH75" s="49">
        <f t="shared" si="399"/>
        <v>9.9053624999999987E-7</v>
      </c>
      <c r="CI75" s="49">
        <f t="shared" si="400"/>
        <v>4.6938636113843336E-10</v>
      </c>
      <c r="CJ75" s="49">
        <f t="shared" si="401"/>
        <v>3.0198787608804531E-11</v>
      </c>
      <c r="CK75" s="49">
        <f t="shared" si="402"/>
        <v>2.3052498314999997E-5</v>
      </c>
      <c r="CL75" s="49">
        <f t="shared" si="403"/>
        <v>5.842485E-5</v>
      </c>
      <c r="CM75" s="49">
        <f t="shared" si="403"/>
        <v>0</v>
      </c>
      <c r="CN75" s="49">
        <f t="shared" si="404"/>
        <v>8.9498307937500019E-5</v>
      </c>
      <c r="CO75" s="49">
        <f t="shared" si="405"/>
        <v>6.0824092773058264E-6</v>
      </c>
      <c r="CP75" s="49">
        <f t="shared" si="406"/>
        <v>0</v>
      </c>
      <c r="CQ75" s="49">
        <f t="shared" si="407"/>
        <v>6.9095557260125395E-2</v>
      </c>
      <c r="CR75" s="49">
        <f t="shared" si="408"/>
        <v>8.833400074108555E-2</v>
      </c>
      <c r="CS75" s="49">
        <f t="shared" si="409"/>
        <v>0</v>
      </c>
      <c r="CT75" s="49">
        <f t="shared" si="410"/>
        <v>6.661686351334953E-5</v>
      </c>
      <c r="CU75" s="49">
        <f t="shared" si="411"/>
        <v>1.4916384656250001E-3</v>
      </c>
      <c r="CV75" s="49">
        <f t="shared" si="412"/>
        <v>0</v>
      </c>
      <c r="CW75" s="49">
        <f t="shared" si="413"/>
        <v>0.15279834876688481</v>
      </c>
      <c r="CX75" s="60">
        <f t="shared" ref="CX75:DL75" si="477">IFERROR(CX18/$B61,0)</f>
        <v>1.0237510237510239</v>
      </c>
      <c r="CY75" s="60" t="str">
        <f>IFERROR(CY18,".")</f>
        <v>.</v>
      </c>
      <c r="CZ75" s="60">
        <f t="shared" si="477"/>
        <v>219444509730.68918</v>
      </c>
      <c r="DA75" s="60">
        <f t="shared" si="477"/>
        <v>2.9639594254894632</v>
      </c>
      <c r="DB75" s="60">
        <f>IFERROR(DB18/$B61,0)</f>
        <v>4.0752391849570531</v>
      </c>
      <c r="DC75" s="60">
        <f>IFERROR(DC18/$B61,0)</f>
        <v>0</v>
      </c>
      <c r="DD75" s="60">
        <f>IFERROR(DD18/$B61,0)</f>
        <v>9780.5740438969278</v>
      </c>
      <c r="DE75" s="60">
        <f>IFERROR(DE18/$B61,0)</f>
        <v>143914.16093162622</v>
      </c>
      <c r="DF75" s="60">
        <f>IFERROR(DF18/$B61,0)</f>
        <v>0</v>
      </c>
      <c r="DG75" s="60">
        <f t="shared" si="477"/>
        <v>12.22571755487116</v>
      </c>
      <c r="DH75" s="60">
        <f t="shared" si="477"/>
        <v>9.4650716553841239</v>
      </c>
      <c r="DI75" s="60">
        <f t="shared" si="477"/>
        <v>0</v>
      </c>
      <c r="DJ75" s="60">
        <f>IFERROR(DJ18/$B61,0)</f>
        <v>13139.988606800656</v>
      </c>
      <c r="DK75" s="60">
        <f t="shared" si="477"/>
        <v>586.83444263381568</v>
      </c>
      <c r="DL75" s="60">
        <f t="shared" si="477"/>
        <v>0</v>
      </c>
      <c r="DM75" s="118">
        <f t="shared" si="80"/>
        <v>0.97679999999999989</v>
      </c>
      <c r="DN75" s="118" t="str">
        <f t="shared" si="81"/>
        <v>.</v>
      </c>
      <c r="DO75" s="118">
        <f t="shared" si="82"/>
        <v>4.55696066958904E-12</v>
      </c>
      <c r="DP75" s="118">
        <f t="shared" si="83"/>
        <v>0.33738653484936343</v>
      </c>
      <c r="DQ75" s="118">
        <f t="shared" si="84"/>
        <v>0.24538437000000002</v>
      </c>
      <c r="DR75" s="118" t="str">
        <f t="shared" si="85"/>
        <v>.</v>
      </c>
      <c r="DS75" s="118">
        <f t="shared" si="86"/>
        <v>1.0224348750000001E-4</v>
      </c>
      <c r="DT75" s="118">
        <f t="shared" si="87"/>
        <v>6.9485865291262143E-6</v>
      </c>
      <c r="DU75" s="118" t="str">
        <f t="shared" si="88"/>
        <v>.</v>
      </c>
      <c r="DV75" s="118">
        <f t="shared" si="89"/>
        <v>8.1794789999999992E-2</v>
      </c>
      <c r="DW75" s="118">
        <f t="shared" si="90"/>
        <v>0.10565160375</v>
      </c>
      <c r="DX75" s="118" t="str">
        <f t="shared" si="91"/>
        <v>.</v>
      </c>
      <c r="DY75" s="118">
        <f t="shared" si="92"/>
        <v>7.6103566747572808E-5</v>
      </c>
      <c r="DZ75" s="118">
        <f t="shared" si="93"/>
        <v>1.704058125E-3</v>
      </c>
      <c r="EA75" s="118" t="str">
        <f t="shared" si="94"/>
        <v>.</v>
      </c>
      <c r="EB75" s="60">
        <f t="shared" si="445"/>
        <v>0.57178580608921636</v>
      </c>
      <c r="EC75" s="71">
        <f>IFERROR(s_RadSpec!$I$18*EC18,".")*$B$75</f>
        <v>4.884E-5</v>
      </c>
      <c r="ED75" s="71">
        <f>IFERROR(s_RadSpec!$F$18*ED18,".")</f>
        <v>0</v>
      </c>
      <c r="EE75" s="71">
        <f>IFERROR(s_RadSpec!$M$18*EE18,".")*$B$75</f>
        <v>2.2784803347945207E-16</v>
      </c>
      <c r="EF75" s="71">
        <f>s_b2w!CC75</f>
        <v>1.6869326742468172E-5</v>
      </c>
      <c r="EG75" s="71">
        <f>IFERROR(s_RadSpec!$H$18*EG18,".")*$B$75</f>
        <v>1.22692185E-5</v>
      </c>
      <c r="EH75" s="71">
        <f>IFERROR(s_RadSpec!$H$18*EH18,".")*$B$75</f>
        <v>0</v>
      </c>
      <c r="EI75" s="71">
        <f>IFERROR(s_RadSpec!$H$18*EI18,".")*$B$75</f>
        <v>5.1121743750000011E-9</v>
      </c>
      <c r="EJ75" s="71">
        <f>IFERROR(s_RadSpec!$H$18*EJ18,".")*$B$75</f>
        <v>3.4742932645631072E-10</v>
      </c>
      <c r="EK75" s="71">
        <f>IFERROR(s_RadSpec!$H$18*EK18,".")*$B$75</f>
        <v>0</v>
      </c>
      <c r="EL75" s="71">
        <f>IFERROR(s_RadSpec!$H$18*EL18,".")*$B$75</f>
        <v>4.0897394999999997E-6</v>
      </c>
      <c r="EM75" s="71">
        <f>IFERROR(s_RadSpec!$H$18*EM18,".")*$B$75</f>
        <v>5.2825801875000004E-6</v>
      </c>
      <c r="EN75" s="71">
        <f>IFERROR(s_RadSpec!$H$18*EN18,".")*$B$75</f>
        <v>0</v>
      </c>
      <c r="EO75" s="71">
        <f>IFERROR(s_RadSpec!$H$18*EO18,".")*$B$75</f>
        <v>3.8051783373786406E-9</v>
      </c>
      <c r="EP75" s="71">
        <f>IFERROR(s_RadSpec!$H$18*EP18,".")*$B$75</f>
        <v>8.5202906250000003E-8</v>
      </c>
      <c r="EQ75" s="71">
        <f>IFERROR(s_RadSpec!$H$18*EQ18,".")*$B$75</f>
        <v>0</v>
      </c>
      <c r="ER75" s="49">
        <f t="shared" si="415"/>
        <v>4.884E-5</v>
      </c>
      <c r="ES75" s="49">
        <f t="shared" si="416"/>
        <v>0</v>
      </c>
      <c r="ET75" s="49">
        <f t="shared" si="417"/>
        <v>2.2784803347945207E-16</v>
      </c>
      <c r="EU75" s="49">
        <f t="shared" si="418"/>
        <v>1.6869326742468172E-5</v>
      </c>
      <c r="EV75" s="49">
        <f t="shared" si="419"/>
        <v>1.22692185E-5</v>
      </c>
      <c r="EW75" s="49">
        <f t="shared" si="419"/>
        <v>0</v>
      </c>
      <c r="EX75" s="49">
        <f t="shared" si="420"/>
        <v>5.1121743750000011E-9</v>
      </c>
      <c r="EY75" s="49">
        <f t="shared" si="421"/>
        <v>3.4742932645631072E-10</v>
      </c>
      <c r="EZ75" s="49">
        <f t="shared" si="422"/>
        <v>0</v>
      </c>
      <c r="FA75" s="49">
        <f t="shared" si="423"/>
        <v>4.0897394999999997E-6</v>
      </c>
      <c r="FB75" s="49">
        <f t="shared" si="424"/>
        <v>5.2825801875000004E-6</v>
      </c>
      <c r="FC75" s="49">
        <f t="shared" si="425"/>
        <v>0</v>
      </c>
      <c r="FD75" s="49">
        <f t="shared" si="426"/>
        <v>3.8051783373786406E-9</v>
      </c>
      <c r="FE75" s="49">
        <f t="shared" si="427"/>
        <v>8.5202906250000003E-8</v>
      </c>
      <c r="FF75" s="49">
        <f t="shared" si="428"/>
        <v>0</v>
      </c>
      <c r="FG75" s="49">
        <f t="shared" si="429"/>
        <v>8.7445332618484825E-5</v>
      </c>
      <c r="FH75" s="60">
        <f>IFERROR(FH18/$B61,0)</f>
        <v>0.34383707853095613</v>
      </c>
      <c r="FI75" s="60">
        <f>IFERROR(FI18/$B61,0)</f>
        <v>762048643.84690726</v>
      </c>
      <c r="FJ75" s="60">
        <f>IFERROR(FJ18/$B61,0)</f>
        <v>0.34383707837581651</v>
      </c>
      <c r="FK75" s="71">
        <f>IFERROR(s_RadSpec!$F$18*FK18,".")*$B$75</f>
        <v>1.4541770833333332E-4</v>
      </c>
      <c r="FL75" s="71">
        <f>IFERROR(s_RadSpec!$K$18*FL18,".")*$B$75</f>
        <v>6.5612609383561654E-14</v>
      </c>
      <c r="FM75" s="49">
        <f t="shared" si="430"/>
        <v>1.4541770833333332E-4</v>
      </c>
      <c r="FN75" s="49">
        <f t="shared" si="430"/>
        <v>6.5612609383561654E-14</v>
      </c>
      <c r="FO75" s="49">
        <f t="shared" si="431"/>
        <v>1.4541770839894593E-4</v>
      </c>
    </row>
    <row r="76" spans="1:171" x14ac:dyDescent="0.25">
      <c r="A76" s="83" t="s">
        <v>1097</v>
      </c>
      <c r="B76" s="42">
        <v>1.339E-6</v>
      </c>
      <c r="C76" s="178"/>
      <c r="D76" s="60">
        <f t="shared" ref="D76:O76" si="478">IFERROR(D27/$B62,0)</f>
        <v>0</v>
      </c>
      <c r="E76" s="60">
        <f t="shared" si="478"/>
        <v>0</v>
      </c>
      <c r="F76" s="60">
        <f t="shared" si="478"/>
        <v>0</v>
      </c>
      <c r="G76" s="60">
        <f t="shared" si="478"/>
        <v>0</v>
      </c>
      <c r="H76" s="60">
        <f t="shared" si="478"/>
        <v>0</v>
      </c>
      <c r="I76" s="60">
        <f t="shared" si="478"/>
        <v>0</v>
      </c>
      <c r="J76" s="60">
        <f t="shared" si="478"/>
        <v>0</v>
      </c>
      <c r="K76" s="60">
        <f t="shared" ref="K76" si="479">IFERROR(K27/$B62,0)</f>
        <v>0</v>
      </c>
      <c r="L76" s="60">
        <f t="shared" si="478"/>
        <v>0</v>
      </c>
      <c r="M76" s="60">
        <f t="shared" si="478"/>
        <v>0</v>
      </c>
      <c r="N76" s="60">
        <f t="shared" si="478"/>
        <v>0</v>
      </c>
      <c r="O76" s="60">
        <f t="shared" si="478"/>
        <v>0</v>
      </c>
      <c r="P76" s="71">
        <f>s_dir!BC76</f>
        <v>0</v>
      </c>
      <c r="Q76" s="71">
        <f>IFERROR(s_RadSpec!$H$27*Q27,".")*$B$76</f>
        <v>0</v>
      </c>
      <c r="R76" s="71">
        <f>IFERROR(s_RadSpec!$H$27*R27,".")*$B$76</f>
        <v>0</v>
      </c>
      <c r="S76" s="71">
        <f>IFERROR(s_RadSpec!$H$27*S27,".")*$B$76</f>
        <v>0</v>
      </c>
      <c r="T76" s="71">
        <f>IFERROR(s_RadSpec!$H$27*T27,".")*$B$76</f>
        <v>0</v>
      </c>
      <c r="U76" s="71">
        <f>IFERROR(s_RadSpec!$H$27*U27,".")*$B$76</f>
        <v>0</v>
      </c>
      <c r="V76" s="71">
        <f>IFERROR(s_RadSpec!$H$27*V27,".")*$B$76</f>
        <v>0</v>
      </c>
      <c r="W76" s="71">
        <f>IFERROR(s_RadSpec!$H$27*W27,".")*$B$76</f>
        <v>0</v>
      </c>
      <c r="X76" s="71">
        <f>IFERROR(s_RadSpec!$H$27*X27,".")*$B$76</f>
        <v>0</v>
      </c>
      <c r="Y76" s="71">
        <f>IFERROR(s_RadSpec!$H$27*Y27,".")*$B$76</f>
        <v>0</v>
      </c>
      <c r="Z76" s="71">
        <f>IFERROR(s_RadSpec!$H$27*Z27,".")*$B$76</f>
        <v>0</v>
      </c>
      <c r="AA76" s="71">
        <f>IFERROR(s_RadSpec!$H$27*AA27,".")*$B$76</f>
        <v>0</v>
      </c>
      <c r="AB76" s="49">
        <f t="shared" si="387"/>
        <v>0</v>
      </c>
      <c r="AC76" s="49">
        <f t="shared" si="388"/>
        <v>0</v>
      </c>
      <c r="AD76" s="49">
        <f t="shared" si="389"/>
        <v>0</v>
      </c>
      <c r="AE76" s="49">
        <f t="shared" si="390"/>
        <v>0</v>
      </c>
      <c r="AF76" s="49">
        <f t="shared" si="391"/>
        <v>0</v>
      </c>
      <c r="AG76" s="49">
        <f t="shared" si="392"/>
        <v>0</v>
      </c>
      <c r="AH76" s="49">
        <f t="shared" si="393"/>
        <v>0</v>
      </c>
      <c r="AI76" s="49">
        <f t="shared" si="393"/>
        <v>0</v>
      </c>
      <c r="AJ76" s="49">
        <f t="shared" si="394"/>
        <v>0</v>
      </c>
      <c r="AK76" s="49">
        <f t="shared" si="395"/>
        <v>0</v>
      </c>
      <c r="AL76" s="49">
        <f t="shared" si="396"/>
        <v>0</v>
      </c>
      <c r="AM76" s="49">
        <f t="shared" si="397"/>
        <v>0</v>
      </c>
      <c r="AN76" s="60">
        <f t="shared" ref="AN76:BB76" si="480">IFERROR(AN27/$B62,0)</f>
        <v>0</v>
      </c>
      <c r="AO76" s="60">
        <f t="shared" si="480"/>
        <v>0</v>
      </c>
      <c r="AP76" s="60">
        <f t="shared" si="480"/>
        <v>14977034509.505713</v>
      </c>
      <c r="AQ76" s="60">
        <f t="shared" si="480"/>
        <v>0</v>
      </c>
      <c r="AR76" s="60">
        <f>IFERROR(AR27/$B62,0)</f>
        <v>0</v>
      </c>
      <c r="AS76" s="60">
        <f>IFERROR(AS27/$B62,0)</f>
        <v>0</v>
      </c>
      <c r="AT76" s="60">
        <f>IFERROR(AT27/$B62,0)</f>
        <v>0</v>
      </c>
      <c r="AU76" s="60">
        <f>IFERROR(AU27/$B62,0)</f>
        <v>0</v>
      </c>
      <c r="AV76" s="60">
        <f>IFERROR(AV27/$B62,0)</f>
        <v>0</v>
      </c>
      <c r="AW76" s="60">
        <f t="shared" si="480"/>
        <v>0</v>
      </c>
      <c r="AX76" s="60">
        <f t="shared" si="480"/>
        <v>0</v>
      </c>
      <c r="AY76" s="60">
        <f t="shared" si="480"/>
        <v>0</v>
      </c>
      <c r="AZ76" s="60">
        <f>IFERROR(AZ27/$B62,0)</f>
        <v>0</v>
      </c>
      <c r="BA76" s="60">
        <f t="shared" si="480"/>
        <v>0</v>
      </c>
      <c r="BB76" s="60">
        <f t="shared" si="480"/>
        <v>0</v>
      </c>
      <c r="BC76" s="118" t="str">
        <f t="shared" si="63"/>
        <v>.</v>
      </c>
      <c r="BD76" s="118" t="str">
        <f t="shared" si="64"/>
        <v>.</v>
      </c>
      <c r="BE76" s="118">
        <f t="shared" si="65"/>
        <v>6.6768892023672254E-11</v>
      </c>
      <c r="BF76" s="118" t="str">
        <f t="shared" si="66"/>
        <v>.</v>
      </c>
      <c r="BG76" s="118" t="str">
        <f t="shared" si="67"/>
        <v>.</v>
      </c>
      <c r="BH76" s="118" t="str">
        <f t="shared" si="68"/>
        <v>.</v>
      </c>
      <c r="BI76" s="118" t="str">
        <f t="shared" si="69"/>
        <v>.</v>
      </c>
      <c r="BJ76" s="118" t="str">
        <f t="shared" si="70"/>
        <v>.</v>
      </c>
      <c r="BK76" s="118" t="str">
        <f t="shared" si="71"/>
        <v>.</v>
      </c>
      <c r="BL76" s="118" t="str">
        <f t="shared" si="72"/>
        <v>.</v>
      </c>
      <c r="BM76" s="118" t="str">
        <f t="shared" si="73"/>
        <v>.</v>
      </c>
      <c r="BN76" s="118" t="str">
        <f t="shared" si="74"/>
        <v>.</v>
      </c>
      <c r="BO76" s="118" t="str">
        <f t="shared" si="75"/>
        <v>.</v>
      </c>
      <c r="BP76" s="118" t="str">
        <f t="shared" si="76"/>
        <v>.</v>
      </c>
      <c r="BQ76" s="118" t="str">
        <f t="shared" si="77"/>
        <v>.</v>
      </c>
      <c r="BR76" s="60">
        <f t="shared" si="443"/>
        <v>14977034509.505713</v>
      </c>
      <c r="BS76" s="71">
        <f>IFERROR(s_RadSpec!$E$27*BS27,".")*$B$76</f>
        <v>0</v>
      </c>
      <c r="BT76" s="71">
        <f>IFERROR(s_RadSpec!$F$27*BT27,".")*$B$76</f>
        <v>0</v>
      </c>
      <c r="BU76" s="71">
        <f>IFERROR(s_RadSpec!$G$27*BU27,".")*$B$76</f>
        <v>3.3384446011836123E-15</v>
      </c>
      <c r="BV76" s="71">
        <f>s_b2s!CC76</f>
        <v>0</v>
      </c>
      <c r="BW76" s="71">
        <f>IFERROR(s_RadSpec!$H$27*BW27,".")*$B$76</f>
        <v>0</v>
      </c>
      <c r="BX76" s="71">
        <f>IFERROR(s_RadSpec!$H$27*BX27,".")*$B$76</f>
        <v>0</v>
      </c>
      <c r="BY76" s="71">
        <f>IFERROR(s_RadSpec!$H$27*BY27,".")*$B$76</f>
        <v>0</v>
      </c>
      <c r="BZ76" s="71">
        <f>IFERROR(s_RadSpec!$H$27*BZ27,".")*$B$76</f>
        <v>0</v>
      </c>
      <c r="CA76" s="71">
        <f>IFERROR(s_RadSpec!$H$27*CA27,".")*$B$76</f>
        <v>0</v>
      </c>
      <c r="CB76" s="71">
        <f>IFERROR(s_RadSpec!$H$27*CB27,".")*$B$76</f>
        <v>0</v>
      </c>
      <c r="CC76" s="71">
        <f>IFERROR(s_RadSpec!$H$27*CC27,".")*$B$76</f>
        <v>0</v>
      </c>
      <c r="CD76" s="71">
        <f>IFERROR(s_RadSpec!$H$27*CD27,".")*$B$76</f>
        <v>0</v>
      </c>
      <c r="CE76" s="71">
        <f>IFERROR(s_RadSpec!$H$27*CE27,".")*$B$76</f>
        <v>0</v>
      </c>
      <c r="CF76" s="71">
        <f>IFERROR(s_RadSpec!$H$27*CF27,".")*$B$76</f>
        <v>0</v>
      </c>
      <c r="CG76" s="71">
        <f>IFERROR(s_RadSpec!$H$27*CG27,".")*$B$76</f>
        <v>0</v>
      </c>
      <c r="CH76" s="49">
        <f t="shared" si="399"/>
        <v>0</v>
      </c>
      <c r="CI76" s="49">
        <f t="shared" si="400"/>
        <v>0</v>
      </c>
      <c r="CJ76" s="49">
        <f t="shared" si="401"/>
        <v>3.3384446011836123E-15</v>
      </c>
      <c r="CK76" s="49">
        <f t="shared" si="402"/>
        <v>0</v>
      </c>
      <c r="CL76" s="49">
        <f t="shared" si="403"/>
        <v>0</v>
      </c>
      <c r="CM76" s="49">
        <f t="shared" si="403"/>
        <v>0</v>
      </c>
      <c r="CN76" s="49">
        <f t="shared" si="404"/>
        <v>0</v>
      </c>
      <c r="CO76" s="49">
        <f t="shared" si="405"/>
        <v>0</v>
      </c>
      <c r="CP76" s="49">
        <f t="shared" si="406"/>
        <v>0</v>
      </c>
      <c r="CQ76" s="49">
        <f t="shared" si="407"/>
        <v>0</v>
      </c>
      <c r="CR76" s="49">
        <f t="shared" si="408"/>
        <v>0</v>
      </c>
      <c r="CS76" s="49">
        <f t="shared" si="409"/>
        <v>0</v>
      </c>
      <c r="CT76" s="49">
        <f t="shared" si="410"/>
        <v>0</v>
      </c>
      <c r="CU76" s="49">
        <f t="shared" si="411"/>
        <v>0</v>
      </c>
      <c r="CV76" s="49">
        <f t="shared" si="412"/>
        <v>0</v>
      </c>
      <c r="CW76" s="49">
        <f t="shared" si="413"/>
        <v>3.3384446011836123E-15</v>
      </c>
      <c r="CX76" s="60">
        <f t="shared" ref="CX76:DL76" si="481">IFERROR(CX27/$B62,0)</f>
        <v>0</v>
      </c>
      <c r="CY76" s="60" t="str">
        <f>IFERROR(CY27,".")</f>
        <v>.</v>
      </c>
      <c r="CZ76" s="60">
        <f t="shared" si="481"/>
        <v>1010635655966579.4</v>
      </c>
      <c r="DA76" s="60">
        <f t="shared" si="481"/>
        <v>0</v>
      </c>
      <c r="DB76" s="60">
        <f>IFERROR(DB27/$B62,0)</f>
        <v>0</v>
      </c>
      <c r="DC76" s="60">
        <f>IFERROR(DC27/$B62,0)</f>
        <v>0</v>
      </c>
      <c r="DD76" s="60">
        <f>IFERROR(DD27/$B62,0)</f>
        <v>0</v>
      </c>
      <c r="DE76" s="60">
        <f>IFERROR(DE27/$B62,0)</f>
        <v>0</v>
      </c>
      <c r="DF76" s="60">
        <f>IFERROR(DF27/$B62,0)</f>
        <v>0</v>
      </c>
      <c r="DG76" s="60">
        <f t="shared" si="481"/>
        <v>0</v>
      </c>
      <c r="DH76" s="60">
        <f t="shared" si="481"/>
        <v>0</v>
      </c>
      <c r="DI76" s="60">
        <f t="shared" si="481"/>
        <v>0</v>
      </c>
      <c r="DJ76" s="60">
        <f>IFERROR(DJ27/$B62,0)</f>
        <v>0</v>
      </c>
      <c r="DK76" s="60">
        <f t="shared" si="481"/>
        <v>0</v>
      </c>
      <c r="DL76" s="60">
        <f t="shared" si="481"/>
        <v>0</v>
      </c>
      <c r="DM76" s="118" t="str">
        <f t="shared" si="80"/>
        <v>.</v>
      </c>
      <c r="DN76" s="118" t="str">
        <f t="shared" si="81"/>
        <v>.</v>
      </c>
      <c r="DO76" s="118">
        <f t="shared" si="82"/>
        <v>9.8947627079671218E-16</v>
      </c>
      <c r="DP76" s="118" t="str">
        <f t="shared" si="83"/>
        <v>.</v>
      </c>
      <c r="DQ76" s="118" t="str">
        <f t="shared" si="84"/>
        <v>.</v>
      </c>
      <c r="DR76" s="118" t="str">
        <f t="shared" si="85"/>
        <v>.</v>
      </c>
      <c r="DS76" s="118" t="str">
        <f t="shared" si="86"/>
        <v>.</v>
      </c>
      <c r="DT76" s="118" t="str">
        <f t="shared" si="87"/>
        <v>.</v>
      </c>
      <c r="DU76" s="118" t="str">
        <f t="shared" si="88"/>
        <v>.</v>
      </c>
      <c r="DV76" s="118" t="str">
        <f t="shared" si="89"/>
        <v>.</v>
      </c>
      <c r="DW76" s="118" t="str">
        <f t="shared" si="90"/>
        <v>.</v>
      </c>
      <c r="DX76" s="118" t="str">
        <f t="shared" si="91"/>
        <v>.</v>
      </c>
      <c r="DY76" s="118" t="str">
        <f t="shared" si="92"/>
        <v>.</v>
      </c>
      <c r="DZ76" s="118" t="str">
        <f t="shared" si="93"/>
        <v>.</v>
      </c>
      <c r="EA76" s="118" t="str">
        <f t="shared" si="94"/>
        <v>.</v>
      </c>
      <c r="EB76" s="60">
        <f t="shared" si="445"/>
        <v>1010635655966579.4</v>
      </c>
      <c r="EC76" s="71">
        <f>IFERROR(s_RadSpec!$I$27*EC27,".")*$B$76</f>
        <v>0</v>
      </c>
      <c r="ED76" s="71">
        <f>IFERROR(s_RadSpec!$F$27*ED27,".")</f>
        <v>0</v>
      </c>
      <c r="EE76" s="71">
        <f>IFERROR(s_RadSpec!$M$27*EE27,".")*$B$76</f>
        <v>4.9473813539835614E-20</v>
      </c>
      <c r="EF76" s="71">
        <f>s_b2w!CC76</f>
        <v>0</v>
      </c>
      <c r="EG76" s="71">
        <f>IFERROR(s_RadSpec!$H$27*EG27,".")*$B$76</f>
        <v>0</v>
      </c>
      <c r="EH76" s="71">
        <f>IFERROR(s_RadSpec!$H$27*EH27,".")*$B$76</f>
        <v>0</v>
      </c>
      <c r="EI76" s="71">
        <f>IFERROR(s_RadSpec!$H$27*EI27,".")*$B$76</f>
        <v>0</v>
      </c>
      <c r="EJ76" s="71">
        <f>IFERROR(s_RadSpec!$H$27*EJ27,".")*$B$76</f>
        <v>0</v>
      </c>
      <c r="EK76" s="71">
        <f>IFERROR(s_RadSpec!$H$27*EK27,".")*$B$76</f>
        <v>0</v>
      </c>
      <c r="EL76" s="71">
        <f>IFERROR(s_RadSpec!$H$27*EL27,".")*$B$76</f>
        <v>0</v>
      </c>
      <c r="EM76" s="71">
        <f>IFERROR(s_RadSpec!$H$27*EM27,".")*$B$76</f>
        <v>0</v>
      </c>
      <c r="EN76" s="71">
        <f>IFERROR(s_RadSpec!$H$27*EN27,".")*$B$76</f>
        <v>0</v>
      </c>
      <c r="EO76" s="71">
        <f>IFERROR(s_RadSpec!$H$27*EO27,".")*$B$76</f>
        <v>0</v>
      </c>
      <c r="EP76" s="71">
        <f>IFERROR(s_RadSpec!$H$27*EP27,".")*$B$76</f>
        <v>0</v>
      </c>
      <c r="EQ76" s="71">
        <f>IFERROR(s_RadSpec!$H$27*EQ27,".")*$B$76</f>
        <v>0</v>
      </c>
      <c r="ER76" s="49">
        <f t="shared" si="415"/>
        <v>0</v>
      </c>
      <c r="ES76" s="49">
        <f t="shared" si="416"/>
        <v>0</v>
      </c>
      <c r="ET76" s="49">
        <f t="shared" si="417"/>
        <v>4.9473813539835614E-20</v>
      </c>
      <c r="EU76" s="49">
        <f t="shared" si="418"/>
        <v>0</v>
      </c>
      <c r="EV76" s="49">
        <f t="shared" si="419"/>
        <v>0</v>
      </c>
      <c r="EW76" s="49">
        <f t="shared" si="419"/>
        <v>0</v>
      </c>
      <c r="EX76" s="49">
        <f t="shared" si="420"/>
        <v>0</v>
      </c>
      <c r="EY76" s="49">
        <f t="shared" si="421"/>
        <v>0</v>
      </c>
      <c r="EZ76" s="49">
        <f t="shared" si="422"/>
        <v>0</v>
      </c>
      <c r="FA76" s="49">
        <f t="shared" si="423"/>
        <v>0</v>
      </c>
      <c r="FB76" s="49">
        <f t="shared" si="424"/>
        <v>0</v>
      </c>
      <c r="FC76" s="49">
        <f t="shared" si="425"/>
        <v>0</v>
      </c>
      <c r="FD76" s="49">
        <f t="shared" si="426"/>
        <v>0</v>
      </c>
      <c r="FE76" s="49">
        <f t="shared" si="427"/>
        <v>0</v>
      </c>
      <c r="FF76" s="49">
        <f t="shared" si="428"/>
        <v>0</v>
      </c>
      <c r="FG76" s="49">
        <f t="shared" si="429"/>
        <v>4.9473813539835614E-20</v>
      </c>
      <c r="FH76" s="60">
        <f>IFERROR(FH27/$B62,0)</f>
        <v>0</v>
      </c>
      <c r="FI76" s="60">
        <f>IFERROR(FI27/$B62,0)</f>
        <v>2530983207985.8687</v>
      </c>
      <c r="FJ76" s="60">
        <f>IFERROR(FJ27/$B62,0)</f>
        <v>2530983207985.8687</v>
      </c>
      <c r="FK76" s="71">
        <f>IFERROR(s_RadSpec!$F$27*FK27,".")*$B$76</f>
        <v>0</v>
      </c>
      <c r="FL76" s="71">
        <f>IFERROR(s_RadSpec!$K$27*FL27,".")*$B$76</f>
        <v>1.9755168600976031E-17</v>
      </c>
      <c r="FM76" s="49">
        <f t="shared" si="430"/>
        <v>0</v>
      </c>
      <c r="FN76" s="49">
        <f t="shared" si="430"/>
        <v>1.9755168600976031E-17</v>
      </c>
      <c r="FO76" s="49">
        <f t="shared" si="431"/>
        <v>1.9755168600976031E-17</v>
      </c>
    </row>
  </sheetData>
  <sheetProtection algorithmName="SHA-512" hashValue="E6p1L46gZNdGrc0WOYDlBjBMPL/Wt55RwCjESFYc/otKfGaH1rKswOKXdQghIhRBMfjkcLLRx3QBWkdwPgHvaQ==" saltValue="hgiI8PBp/gnwXa35enmw5Q==" spinCount="100000" sheet="1" formatColumns="0" formatRows="0" autoFilter="0"/>
  <autoFilter ref="A1:FO76" xr:uid="{8028F647-26EC-40E7-8F65-1DCF467D9183}"/>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9" tint="-0.499984740745262"/>
  </sheetPr>
  <dimension ref="A1:BT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15" bestFit="1" customWidth="1"/>
    <col min="2" max="2" width="11.5703125" style="15" bestFit="1" customWidth="1"/>
    <col min="3" max="3" width="13.28515625" style="4" customWidth="1"/>
    <col min="4" max="4" width="14.42578125" style="15" bestFit="1" customWidth="1"/>
    <col min="5" max="5" width="14.5703125" style="15" bestFit="1" customWidth="1"/>
    <col min="6" max="6" width="14.28515625" style="15" bestFit="1" customWidth="1"/>
    <col min="7" max="7" width="20.140625" style="3" bestFit="1" customWidth="1"/>
    <col min="8" max="8" width="19.28515625" style="3" bestFit="1" customWidth="1"/>
    <col min="9" max="10" width="10" style="3" bestFit="1" customWidth="1"/>
    <col min="11" max="11" width="9.85546875" style="3" bestFit="1" customWidth="1"/>
    <col min="12" max="12" width="11.7109375" style="3" bestFit="1" customWidth="1"/>
    <col min="13" max="13" width="10.7109375" style="3" bestFit="1" customWidth="1"/>
    <col min="14" max="14" width="14.140625" style="3" bestFit="1" customWidth="1"/>
    <col min="15" max="15" width="14.28515625" style="15" bestFit="1" customWidth="1"/>
    <col min="16" max="16" width="14.42578125" style="15" bestFit="1" customWidth="1"/>
    <col min="17" max="17" width="14.140625" style="15" bestFit="1" customWidth="1"/>
    <col min="18" max="18" width="20.140625" style="17" bestFit="1" customWidth="1"/>
    <col min="19" max="19" width="18.85546875" style="17" bestFit="1" customWidth="1"/>
    <col min="20" max="21" width="14.5703125" style="15" bestFit="1" customWidth="1"/>
    <col min="22" max="22" width="14.42578125" style="15" bestFit="1" customWidth="1"/>
    <col min="23" max="23" width="20.7109375" style="3" bestFit="1" customWidth="1"/>
    <col min="24" max="24" width="19.42578125" style="3" bestFit="1" customWidth="1"/>
    <col min="25" max="25" width="14.28515625" style="15" bestFit="1" customWidth="1"/>
    <col min="26" max="26" width="13.5703125" style="15" bestFit="1" customWidth="1"/>
    <col min="27" max="28" width="15.42578125" style="15" bestFit="1" customWidth="1"/>
    <col min="29" max="29" width="16.42578125" style="15" bestFit="1" customWidth="1"/>
    <col min="30" max="30" width="13.85546875" style="15" bestFit="1" customWidth="1"/>
    <col min="31" max="31" width="13.140625" style="15" bestFit="1" customWidth="1"/>
    <col min="32" max="33" width="14.85546875" style="15" bestFit="1" customWidth="1"/>
    <col min="34" max="34" width="16" style="15" bestFit="1" customWidth="1"/>
    <col min="35" max="36" width="13.5703125" style="15" bestFit="1" customWidth="1"/>
    <col min="37" max="38" width="15.42578125" style="15" bestFit="1" customWidth="1"/>
    <col min="39" max="39" width="16.42578125" style="15" bestFit="1" customWidth="1"/>
    <col min="40" max="40" width="14.140625" style="15" bestFit="1" customWidth="1"/>
    <col min="41" max="41" width="13.85546875" style="15" bestFit="1" customWidth="1"/>
    <col min="42" max="42" width="14.140625" style="15" bestFit="1" customWidth="1"/>
    <col min="43" max="43" width="13.28515625" style="15" bestFit="1" customWidth="1"/>
    <col min="44" max="44" width="13.42578125" style="15" bestFit="1" customWidth="1"/>
    <col min="45" max="45" width="13.85546875" style="15" bestFit="1" customWidth="1"/>
    <col min="46" max="46" width="14" style="15" bestFit="1" customWidth="1"/>
    <col min="47" max="47" width="14.28515625" style="15" bestFit="1" customWidth="1"/>
    <col min="48" max="48" width="13.7109375" style="15" bestFit="1" customWidth="1"/>
    <col min="49" max="49" width="14.28515625" style="15" bestFit="1" customWidth="1"/>
    <col min="50" max="50" width="15.5703125" style="15" bestFit="1" customWidth="1"/>
    <col min="51" max="51" width="20.28515625" style="3" bestFit="1" customWidth="1"/>
    <col min="52" max="52" width="19.28515625" style="3" bestFit="1" customWidth="1"/>
    <col min="53" max="53" width="10" style="3" bestFit="1" customWidth="1"/>
    <col min="54" max="54" width="9.85546875" style="3" bestFit="1" customWidth="1"/>
    <col min="55" max="55" width="11.7109375" style="3" bestFit="1" customWidth="1"/>
    <col min="56" max="56" width="10.7109375" style="3" bestFit="1" customWidth="1"/>
    <col min="57" max="57" width="14" style="3" bestFit="1" customWidth="1"/>
    <col min="58" max="58" width="14.42578125" style="15" bestFit="1" customWidth="1"/>
    <col min="59" max="59" width="15.7109375" style="15" bestFit="1" customWidth="1"/>
    <col min="60" max="60" width="20.7109375" style="17" bestFit="1" customWidth="1"/>
    <col min="61" max="61" width="19.42578125" style="17" bestFit="1" customWidth="1"/>
    <col min="62" max="62" width="15" style="15" bestFit="1" customWidth="1"/>
    <col min="63" max="63" width="16.28515625" style="15" bestFit="1" customWidth="1"/>
    <col min="64" max="64" width="21.28515625" style="3" bestFit="1" customWidth="1"/>
    <col min="65" max="65" width="20.140625" style="3" bestFit="1" customWidth="1"/>
    <col min="66" max="66" width="14.85546875" style="15" bestFit="1" customWidth="1"/>
    <col min="67" max="67" width="15.85546875" style="3" bestFit="1" customWidth="1"/>
    <col min="68" max="68" width="14.85546875" style="3" bestFit="1" customWidth="1"/>
    <col min="69" max="69" width="16.140625" style="17" bestFit="1" customWidth="1"/>
    <col min="70" max="70" width="14.85546875" style="17" bestFit="1" customWidth="1"/>
    <col min="71" max="71" width="16.7109375" style="3" bestFit="1" customWidth="1"/>
    <col min="72" max="72" width="15.42578125" style="3" bestFit="1" customWidth="1"/>
    <col min="73" max="16384" width="9.140625" style="3"/>
  </cols>
  <sheetData>
    <row r="1" spans="1:72" x14ac:dyDescent="0.25">
      <c r="A1" s="39" t="s">
        <v>51</v>
      </c>
      <c r="B1" s="39" t="s">
        <v>348</v>
      </c>
      <c r="C1" s="78"/>
      <c r="D1" s="15" t="s">
        <v>1165</v>
      </c>
      <c r="E1" s="15" t="s">
        <v>1166</v>
      </c>
      <c r="F1" s="15" t="s">
        <v>1167</v>
      </c>
      <c r="G1" s="2" t="s">
        <v>1215</v>
      </c>
      <c r="H1" s="2" t="s">
        <v>1214</v>
      </c>
      <c r="I1" s="243" t="s">
        <v>1178</v>
      </c>
      <c r="J1" s="244" t="s">
        <v>1179</v>
      </c>
      <c r="K1" s="244" t="s">
        <v>1180</v>
      </c>
      <c r="L1" s="244" t="s">
        <v>1545</v>
      </c>
      <c r="M1" s="244" t="s">
        <v>1546</v>
      </c>
      <c r="N1" s="2" t="s">
        <v>1168</v>
      </c>
      <c r="O1" s="40" t="s">
        <v>1221</v>
      </c>
      <c r="P1" s="40" t="s">
        <v>1222</v>
      </c>
      <c r="Q1" s="40" t="s">
        <v>1223</v>
      </c>
      <c r="R1" s="16" t="s">
        <v>1376</v>
      </c>
      <c r="S1" s="16" t="s">
        <v>1379</v>
      </c>
      <c r="T1" s="41" t="s">
        <v>1225</v>
      </c>
      <c r="U1" s="41" t="s">
        <v>1226</v>
      </c>
      <c r="V1" s="41" t="s">
        <v>1227</v>
      </c>
      <c r="W1" s="69" t="s">
        <v>1382</v>
      </c>
      <c r="X1" s="69" t="s">
        <v>1385</v>
      </c>
      <c r="Y1" s="41" t="s">
        <v>1229</v>
      </c>
      <c r="Z1" s="42" t="s">
        <v>1216</v>
      </c>
      <c r="AA1" s="42" t="s">
        <v>1217</v>
      </c>
      <c r="AB1" s="42" t="s">
        <v>1218</v>
      </c>
      <c r="AC1" s="42" t="s">
        <v>1219</v>
      </c>
      <c r="AD1" s="42" t="s">
        <v>1220</v>
      </c>
      <c r="AE1" s="43" t="s">
        <v>1235</v>
      </c>
      <c r="AF1" s="43" t="s">
        <v>1236</v>
      </c>
      <c r="AG1" s="43" t="s">
        <v>1237</v>
      </c>
      <c r="AH1" s="43" t="s">
        <v>1238</v>
      </c>
      <c r="AI1" s="43" t="s">
        <v>1239</v>
      </c>
      <c r="AJ1" s="41" t="s">
        <v>1230</v>
      </c>
      <c r="AK1" s="41" t="s">
        <v>1231</v>
      </c>
      <c r="AL1" s="41" t="s">
        <v>1232</v>
      </c>
      <c r="AM1" s="41" t="s">
        <v>1233</v>
      </c>
      <c r="AN1" s="41" t="s">
        <v>1234</v>
      </c>
      <c r="AO1" s="42" t="s">
        <v>1205</v>
      </c>
      <c r="AP1" s="42" t="s">
        <v>1206</v>
      </c>
      <c r="AQ1" s="42" t="s">
        <v>1207</v>
      </c>
      <c r="AR1" s="43" t="s">
        <v>1240</v>
      </c>
      <c r="AS1" s="43" t="s">
        <v>1241</v>
      </c>
      <c r="AT1" s="41" t="s">
        <v>1242</v>
      </c>
      <c r="AU1" s="41" t="s">
        <v>1243</v>
      </c>
      <c r="AV1" s="41" t="s">
        <v>1244</v>
      </c>
      <c r="AW1" s="15" t="s">
        <v>1169</v>
      </c>
      <c r="AX1" s="15" t="s">
        <v>1209</v>
      </c>
      <c r="AY1" s="2" t="s">
        <v>1212</v>
      </c>
      <c r="AZ1" s="2" t="s">
        <v>1213</v>
      </c>
      <c r="BA1" s="244" t="s">
        <v>1178</v>
      </c>
      <c r="BB1" s="244" t="s">
        <v>1180</v>
      </c>
      <c r="BC1" s="244" t="s">
        <v>1545</v>
      </c>
      <c r="BD1" s="244" t="s">
        <v>1546</v>
      </c>
      <c r="BE1" s="2" t="s">
        <v>1198</v>
      </c>
      <c r="BF1" s="43" t="s">
        <v>1370</v>
      </c>
      <c r="BG1" s="43" t="s">
        <v>1371</v>
      </c>
      <c r="BH1" s="16" t="s">
        <v>1377</v>
      </c>
      <c r="BI1" s="16" t="s">
        <v>1380</v>
      </c>
      <c r="BJ1" s="41" t="s">
        <v>1372</v>
      </c>
      <c r="BK1" s="41" t="s">
        <v>1373</v>
      </c>
      <c r="BL1" s="69" t="s">
        <v>1383</v>
      </c>
      <c r="BM1" s="69" t="s">
        <v>1386</v>
      </c>
      <c r="BN1" s="41" t="s">
        <v>1374</v>
      </c>
      <c r="BO1" s="2" t="s">
        <v>1210</v>
      </c>
      <c r="BP1" s="2" t="s">
        <v>1211</v>
      </c>
      <c r="BQ1" s="16" t="s">
        <v>1375</v>
      </c>
      <c r="BR1" s="16" t="s">
        <v>1378</v>
      </c>
      <c r="BS1" s="69" t="s">
        <v>1381</v>
      </c>
      <c r="BT1" s="69" t="s">
        <v>1384</v>
      </c>
    </row>
    <row r="2" spans="1:72" customFormat="1" x14ac:dyDescent="0.25">
      <c r="A2" s="44" t="s">
        <v>12</v>
      </c>
      <c r="B2" s="42" t="s">
        <v>1071</v>
      </c>
      <c r="C2" s="42"/>
      <c r="D2" s="15">
        <f>IFERROR(((s_TR/(s_RadSpec!E2*s_IFS_rec_adj*(1/1000)))*1),".")</f>
        <v>338.43009049620622</v>
      </c>
      <c r="E2" s="15">
        <f>IFERROR(IF(A2="H-3",(s_TR/((s_RadSpec!F2*s_IFA_rec_adj*(1/17)*1000))*1),(s_TR/((s_RadSpec!F2*s_IFA_rec_adj*(1/s_PEF_wind)*1000))*1)),".")</f>
        <v>54088.919359933687</v>
      </c>
      <c r="F2" s="2">
        <f>IFERROR((s_TR/(s_RadSpec!G2*s_EF_rec*(1/365)*s_ED_rec*s_RadSpec!R2*s_ET_rec*(1/24)*s_RadSpec!W2)),".")</f>
        <v>20512.286804300216</v>
      </c>
      <c r="G2" s="2">
        <f>IFERROR((BO2/(s_RadSpec!AI2*((s_Q_p_game*s_f_p_game*s_f_s_game*(s_RadSpec!BD2+s_R_es_past))+(s_Q_s_game*s_f_p_game)))),".")</f>
        <v>190194.02224752729</v>
      </c>
      <c r="H2" s="2" t="str">
        <f>IFERROR((BO2/(s_RadSpec!AL2*((s_Q_p_fowl*s_f_p_fowl*s_f_s_fowl*(s_RadSpec!BD2+s_R_es_past))+(s_Q_s_fowl*s_f_p_fowl)))),".")</f>
        <v>.</v>
      </c>
      <c r="I2" s="244">
        <f>IFERROR(1/D2,0)</f>
        <v>2.9548199999999999E-3</v>
      </c>
      <c r="J2" s="244">
        <f t="shared" ref="J2:M2" si="0">IFERROR(1/E2,0)</f>
        <v>1.8488075040758699E-5</v>
      </c>
      <c r="K2" s="244">
        <f t="shared" si="0"/>
        <v>4.8751268424657509E-5</v>
      </c>
      <c r="L2" s="244">
        <f t="shared" si="0"/>
        <v>5.2577888000000007E-6</v>
      </c>
      <c r="M2" s="244">
        <f t="shared" si="0"/>
        <v>0</v>
      </c>
      <c r="N2" s="2">
        <f>IFERROR(1/SUM(I2:M2),0)</f>
        <v>330.32548501176529</v>
      </c>
      <c r="O2" s="40">
        <f t="shared" ref="O2:O30" si="1">s_C*s_IFS_rec_adj*(1/1000)</f>
        <v>302.5</v>
      </c>
      <c r="P2" s="40">
        <f t="shared" ref="P2:P30" si="2">s_C*s_IFA_rec_adj*(1/s_PEF_wind)*1000</f>
        <v>3.2362545583179352E-2</v>
      </c>
      <c r="Q2" s="40">
        <f>IFERROR((s_C*s_EF_rec*(1/365)*s_ED_rec*s_RadSpec!R2*s_ET_rec*(1/24)*s_RadSpec!W2),".")</f>
        <v>5.9139211196916168E-2</v>
      </c>
      <c r="R2" s="19">
        <f>IFERROR((s_C*s_IRGL_rec*s_EF_rec*s_ED_rec*s_CF_game*s_RadSpec!AI2)*((s_Q_p_game*s_f_p_game*s_f_s_game*(s_RadSpec!BD2+s_R_es_past))+(s_Q_s_game*s_f_p_game)),".")</f>
        <v>0.96800000000000019</v>
      </c>
      <c r="S2" s="19">
        <f>IFERROR((s_C*s_IRGF_rec*s_EF_rec*s_ED_rec*s_CF_fowl*s_RadSpec!AL2)*((s_Q_p_fowl*s_f_p_fowl*s_f_s_fowl*(s_RadSpec!BD2+s_R_es_past))+(s_Q_s_fowl*s_f_p_fowl)),0)</f>
        <v>0</v>
      </c>
      <c r="T2" s="18"/>
      <c r="U2" s="18"/>
      <c r="V2" s="18"/>
      <c r="W2" s="5"/>
      <c r="X2" s="5"/>
      <c r="Y2" s="5"/>
      <c r="Z2" s="15">
        <f>IFERROR((s_TR/(s_RadSpec!G2*s_EF_rec*(1/365)*s_ED_rec*s_RadSpec!R2*s_ET_rec*(1/24)*s_RadSpec!W2)),".")</f>
        <v>20512.286804300216</v>
      </c>
      <c r="AA2" s="15">
        <f>IFERROR((s_TR/(s_RadSpec!N2*s_EF_rec*(1/365)*s_ED_rec*s_RadSpec!S2*s_ET_rec*(1/24)*s_RadSpec!X2)),".")</f>
        <v>148063.41488526075</v>
      </c>
      <c r="AB2" s="15">
        <f>IFERROR((s_TR/(s_RadSpec!O2*s_EF_rec*(1/365)*s_ED_rec*s_RadSpec!T2*s_ET_rec*(1/24)*s_RadSpec!Y2)),".")</f>
        <v>38842.447303557659</v>
      </c>
      <c r="AC2" s="15">
        <f>IFERROR((s_TR/(s_RadSpec!P2*s_EF_rec*(1/365)*s_ED_rec*s_RadSpec!U2*s_ET_rec*(1/24)*s_RadSpec!Z2)),".")</f>
        <v>24027.280902312828</v>
      </c>
      <c r="AD2" s="15">
        <f>IFERROR((s_TR/(s_RadSpec!L2*s_EF_rec*(1/365)*s_ED_rec*s_RadSpec!Q2*s_ET_rec*(1/24)*s_RadSpec!V2)),".")</f>
        <v>1124806.135978875</v>
      </c>
      <c r="AE2" s="40">
        <f>IFERROR((s_C*s_EF_rec*(1/365)*s_ED_rec*s_RadSpec!R2*s_ET_rec*(1/24)*s_RadSpec!W2),".")</f>
        <v>5.9139211196916168E-2</v>
      </c>
      <c r="AF2" s="40">
        <f>IFERROR((s_C*s_EF_rec*(1/365)*s_ED_rec*s_RadSpec!S2*s_ET_rec*(1/24)*s_RadSpec!X2),".")</f>
        <v>2.9248802762000228E-2</v>
      </c>
      <c r="AG2" s="40">
        <f>IFERROR((s_C*s_EF_rec*(1/365)*s_ED_rec*s_RadSpec!T2*s_ET_rec*(1/24)*s_RadSpec!Y2),".")</f>
        <v>4.3064336728720308E-2</v>
      </c>
      <c r="AH2" s="40">
        <f>IFERROR((s_C*s_EF_rec*(1/365)*s_ED_rec*s_RadSpec!U2*s_ET_rec*(1/24)*s_RadSpec!Z2),".")</f>
        <v>5.1808527012467298E-2</v>
      </c>
      <c r="AI2" s="40">
        <f>IFERROR((s_C*s_EF_rec*(1/365)*s_ED_rec*s_RadSpec!Q2*s_ET_rec*(1/24)*s_RadSpec!V2),".")</f>
        <v>3.6961485010919191E-3</v>
      </c>
      <c r="AJ2" s="18"/>
      <c r="AK2" s="18"/>
      <c r="AL2" s="18"/>
      <c r="AM2" s="18"/>
      <c r="AN2" s="18"/>
      <c r="AO2" s="15">
        <f>IFERROR((s_TR/(s_RadSpec!F2*s_IFA_rec_adj)),".")</f>
        <v>0.17459084816597772</v>
      </c>
      <c r="AP2" s="15">
        <f>IFERROR((s_TR/(s_RadSpec!K2*s_EF_rec*(1/365)*s_ED_rec*s_ET_rec*(1/24)*s_GSF_a)),".")</f>
        <v>618624.52266937145</v>
      </c>
      <c r="AQ2" s="15">
        <f>IFERROR(IF(AND(AO2&lt;&gt;".",AP2&lt;&gt;"."),1/((1/AO2)+(1/AP2)),IF(AND(AO2&lt;&gt;".",AP2="."),1/((1/AO2)),IF(AND(AO2=".",AP2&lt;&gt;"."),1/((1/AP2)),IF(AND(AO2=".",AP2="."),".")))),".")</f>
        <v>0.17459079889221871</v>
      </c>
      <c r="AR2" s="40">
        <f t="shared" ref="AR2:AR30" si="3">s_C*s_IFA_rec_adj</f>
        <v>10026.041666666666</v>
      </c>
      <c r="AS2" s="40">
        <f t="shared" ref="AS2:AS30" si="4">IFERROR((s_C*s_EF_rec*(1/365)*s_ED_rec*s_ET_rec*(1/24)*s_GSF_a),".")</f>
        <v>1.5696347031963471</v>
      </c>
      <c r="AT2" s="45"/>
      <c r="AU2" s="45"/>
      <c r="AV2" s="45"/>
      <c r="AW2" s="15">
        <f>IFERROR((s_TR/(s_RadSpec!I2*s_IFW_rec_adj)),".")</f>
        <v>6.0102799828827225</v>
      </c>
      <c r="AX2" s="15">
        <f>IFERROR((s_TR/(s_RadSpec!M2*(1/8760)*s_DFA_rec_adj)),".")</f>
        <v>174522399.24334234</v>
      </c>
      <c r="AY2" s="2">
        <f>IFERROR(BO2/(s_RadSpec!AI2*s_Q_w_game*(1/1000)),".")</f>
        <v>836853697.8891201</v>
      </c>
      <c r="AZ2" s="2" t="str">
        <f>IFERROR(BO2/(s_RadSpec!AL2*s_Q_w_fowl*(1/1000)),".")</f>
        <v>.</v>
      </c>
      <c r="BA2" s="244">
        <f t="shared" ref="BA2:BA31" si="5">IFERROR(1/AW2,0)</f>
        <v>0.16638159999999999</v>
      </c>
      <c r="BB2" s="244">
        <f t="shared" ref="BB2:BB31" si="6">IFERROR(1/AX2,0)</f>
        <v>5.7299235189041089E-9</v>
      </c>
      <c r="BC2" s="244">
        <f t="shared" ref="BC2:BC31" si="7">IFERROR(1/AY2,0)</f>
        <v>1.1949520000000001E-9</v>
      </c>
      <c r="BD2" s="244">
        <f t="shared" ref="BD2:BD31" si="8">IFERROR(1/AZ2,0)</f>
        <v>0</v>
      </c>
      <c r="BE2" s="2">
        <f>IFERROR(1/SUM(BA2:BD2),0)</f>
        <v>6.0102797327322319</v>
      </c>
      <c r="BF2" s="40">
        <f t="shared" ref="BF2:BF30" si="9">s_C*s_IFW_rec_adj</f>
        <v>44000</v>
      </c>
      <c r="BG2" s="40">
        <f t="shared" ref="BG2:BG30" si="10">s_C*(1/8760)*s_DFA_rec_adj</f>
        <v>2.5114155251141552</v>
      </c>
      <c r="BH2" s="19">
        <f>IFERROR(s_C*s_RadSpec!AI2*s_Q_w_game*(1/1000)*s_EF_rec*s_ED_rec*s_IRGL_rec*s_CF_game,".")</f>
        <v>2.2000000000000003E-4</v>
      </c>
      <c r="BI2" s="19">
        <f>IFERROR(s_C*s_RadSpec!AL2*s_Q_w_fowl*(1/1000)*s_EF_rec*s_ED_rec*s_IRGL_rec*s_CF_fowl,0)</f>
        <v>0</v>
      </c>
      <c r="BJ2" s="18"/>
      <c r="BK2" s="18"/>
      <c r="BL2" s="5"/>
      <c r="BM2" s="5"/>
      <c r="BN2" s="18"/>
      <c r="BO2" s="2">
        <f>IFERROR(s_TR/(s_RadSpec!H2*s_EF_rec*s_ED_rec*s_IRGL_rec*s_CF_game),".")</f>
        <v>33.474147915564807</v>
      </c>
      <c r="BP2" s="2">
        <f>IFERROR(s_TR/(s_RadSpec!H2*s_EF_rec*s_ED_rec*s_IRGF_rec*s_CF_fowl),".")</f>
        <v>33.474147915564807</v>
      </c>
      <c r="BQ2" s="19">
        <f t="shared" ref="BQ2:BQ30" si="11">IFERROR(s_C*s_EF_rec*s_ED_rec*s_IRGL_rec*s_CF_game,".")</f>
        <v>5500</v>
      </c>
      <c r="BR2" s="19">
        <f t="shared" ref="BR2:BR30" si="12">IFERROR(s_C*s_EF_rec*s_ED_rec*s_IRGF_rec*s_CF_fowl,".")</f>
        <v>5500</v>
      </c>
      <c r="BS2" s="5"/>
      <c r="BT2" s="5"/>
    </row>
    <row r="3" spans="1:72" x14ac:dyDescent="0.25">
      <c r="A3" s="46" t="s">
        <v>13</v>
      </c>
      <c r="B3" s="42" t="s">
        <v>349</v>
      </c>
      <c r="C3" s="42"/>
      <c r="D3" s="15">
        <f>IFERROR(((s_TR/(s_RadSpec!E3*s_IFS_rec_adj*(1/1000)))*1),".")</f>
        <v>897.04361336343834</v>
      </c>
      <c r="E3" s="15">
        <f>IFERROR(IF(A3="H-3",(s_TR/((s_RadSpec!F3*s_IFA_rec_adj*(1/17)*1000))*1),(s_TR/((s_RadSpec!F3*s_IFA_rec_adj*(1/s_PEF_wind)*1000))*1)),".")</f>
        <v>40937.887986145884</v>
      </c>
      <c r="F3" s="2">
        <f>IFERROR((s_TR/(s_RadSpec!G3*s_EF_rec*(1/365)*s_ED_rec*s_RadSpec!R3*s_ET_rec*(1/24)*s_RadSpec!W3)),".")</f>
        <v>4008334.5258403104</v>
      </c>
      <c r="G3" s="2">
        <f>IFERROR((BO3/(s_RadSpec!AI3*((s_Q_p_game*s_f_p_game*s_f_s_game*(s_RadSpec!BD3+s_R_es_past))+(s_Q_s_game*s_f_p_game)))),".")</f>
        <v>17014.822212444142</v>
      </c>
      <c r="H3" s="2">
        <f>IFERROR((BO3/(s_RadSpec!AL3*((s_Q_p_fowl*s_f_p_fowl*s_f_s_fowl*(s_RadSpec!BD3+s_R_es_past))+(s_Q_s_fowl*s_f_p_fowl)))),".")</f>
        <v>1417.901851037012</v>
      </c>
      <c r="I3" s="244">
        <f t="shared" ref="I3:I66" si="13">IFERROR(1/D3,0)</f>
        <v>1.1147729999999997E-3</v>
      </c>
      <c r="J3" s="244">
        <f t="shared" ref="J3:J66" si="14">IFERROR(1/E3,0)</f>
        <v>2.4427249406183777E-5</v>
      </c>
      <c r="K3" s="244">
        <f t="shared" ref="K3:K66" si="15">IFERROR(1/F3,0)</f>
        <v>2.4948017525816641E-7</v>
      </c>
      <c r="L3" s="244">
        <f t="shared" ref="L3:L66" si="16">IFERROR(1/G3,0)</f>
        <v>5.8772286158160934E-5</v>
      </c>
      <c r="M3" s="244">
        <f t="shared" ref="M3:M66" si="17">IFERROR(1/H3,0)</f>
        <v>7.0526743389793113E-4</v>
      </c>
      <c r="N3" s="2">
        <f t="shared" ref="N3:N66" si="18">IFERROR(1/SUM(I3:M3),0)</f>
        <v>525.35095489519108</v>
      </c>
      <c r="O3" s="40">
        <f t="shared" si="1"/>
        <v>302.5</v>
      </c>
      <c r="P3" s="40">
        <f t="shared" si="2"/>
        <v>3.2362545583179352E-2</v>
      </c>
      <c r="Q3" s="40">
        <f>IFERROR((s_C*s_EF_rec*(1/365)*s_ED_rec*s_RadSpec!R3*s_ET_rec*(1/24)*s_RadSpec!W3),".")</f>
        <v>4.507668891230533E-4</v>
      </c>
      <c r="R3" s="19">
        <f>IFERROR((s_C*s_IRGL_rec*s_EF_rec*s_ED_rec*s_CF_game*s_RadSpec!AI3)*((s_Q_p_game*s_f_p_game*s_f_s_game*(s_RadSpec!BD3+s_R_es_past))+(s_Q_s_game*s_f_p_game)),".")</f>
        <v>22.000556321839078</v>
      </c>
      <c r="S3" s="19">
        <f>IFERROR((s_C*s_IRGF_rec*s_EF_rec*s_ED_rec*s_CF_fowl*s_RadSpec!AL3)*((s_Q_p_fowl*s_f_p_fowl*s_f_s_fowl*(s_RadSpec!BD3+s_R_es_past))+(s_Q_s_fowl*s_f_p_fowl)),0)</f>
        <v>264.00667586206896</v>
      </c>
      <c r="T3" s="18"/>
      <c r="U3" s="18"/>
      <c r="V3" s="18"/>
      <c r="W3" s="5"/>
      <c r="X3" s="5"/>
      <c r="Y3" s="18"/>
      <c r="Z3" s="15">
        <f>IFERROR((s_TR/(s_RadSpec!G3*s_EF_rec*(1/365)*s_ED_rec*s_RadSpec!R3*s_ET_rec*(1/24)*s_RadSpec!W3)),".")</f>
        <v>4008334.5258403104</v>
      </c>
      <c r="AA3" s="15">
        <f>IFERROR((s_TR/(s_RadSpec!N3*s_EF_rec*(1/365)*s_ED_rec*s_RadSpec!S3*s_ET_rec*(1/24)*s_RadSpec!X3)),".")</f>
        <v>11307474.982238051</v>
      </c>
      <c r="AB3" s="15">
        <f>IFERROR((s_TR/(s_RadSpec!O3*s_EF_rec*(1/365)*s_ED_rec*s_RadSpec!T3*s_ET_rec*(1/24)*s_RadSpec!Y3)),".")</f>
        <v>4573649.5043918435</v>
      </c>
      <c r="AC3" s="15">
        <f>IFERROR((s_TR/(s_RadSpec!P3*s_EF_rec*(1/365)*s_ED_rec*s_RadSpec!U3*s_ET_rec*(1/24)*s_RadSpec!Z3)),".")</f>
        <v>4392333.1431488255</v>
      </c>
      <c r="AD3" s="15">
        <f>IFERROR((s_TR/(s_RadSpec!L3*s_EF_rec*(1/365)*s_ED_rec*s_RadSpec!Q3*s_ET_rec*(1/24)*s_RadSpec!V3)),".")</f>
        <v>12907592.694386944</v>
      </c>
      <c r="AE3" s="40">
        <f>IFERROR((s_C*s_EF_rec*(1/365)*s_ED_rec*s_RadSpec!R3*s_ET_rec*(1/24)*s_RadSpec!W3),".")</f>
        <v>4.507668891230533E-4</v>
      </c>
      <c r="AF3" s="40">
        <f>IFERROR((s_C*s_EF_rec*(1/365)*s_ED_rec*s_RadSpec!S3*s_ET_rec*(1/24)*s_RadSpec!X3),".")</f>
        <v>3.2147957624042327E-4</v>
      </c>
      <c r="AG3" s="40">
        <f>IFERROR((s_C*s_EF_rec*(1/365)*s_ED_rec*s_RadSpec!T3*s_ET_rec*(1/24)*s_RadSpec!Y3),".")</f>
        <v>4.2403564369931159E-4</v>
      </c>
      <c r="AH3" s="40">
        <f>IFERROR((s_C*s_EF_rec*(1/365)*s_ED_rec*s_RadSpec!U3*s_ET_rec*(1/24)*s_RadSpec!Z3),".")</f>
        <v>4.1135870752332526E-4</v>
      </c>
      <c r="AI3" s="40">
        <f>IFERROR((s_C*s_EF_rec*(1/365)*s_ED_rec*s_RadSpec!Q3*s_ET_rec*(1/24)*s_RadSpec!V3),".")</f>
        <v>2.0734763107613583E-4</v>
      </c>
      <c r="AJ3" s="18"/>
      <c r="AK3" s="18"/>
      <c r="AL3" s="18"/>
      <c r="AM3" s="18"/>
      <c r="AN3" s="18"/>
      <c r="AO3" s="15">
        <f>IFERROR((s_TR/(s_RadSpec!F3*s_IFA_rec_adj)),".")</f>
        <v>0.13214130861189685</v>
      </c>
      <c r="AP3" s="15">
        <f>IFERROR((s_TR/(s_RadSpec!K3*s_EF_rec*(1/365)*s_ED_rec*s_ET_rec*(1/24)*s_GSF_a)),".")</f>
        <v>548920.35110099148</v>
      </c>
      <c r="AQ3" s="15">
        <f>IFERROR(IF(AND(AO3&lt;&gt;".",AP3&lt;&gt;"."),1/((1/AO3)+(1/AP3)),IF(AND(AO3&lt;&gt;".",AP3="."),1/((1/AO3)),IF(AND(AO3=".",AP3&lt;&gt;"."),1/((1/AP3)),IF(AND(AO3=".",AP3="."),".")))),".")</f>
        <v>0.13214127680159651</v>
      </c>
      <c r="AR3" s="40">
        <f t="shared" si="3"/>
        <v>10026.041666666666</v>
      </c>
      <c r="AS3" s="40">
        <f t="shared" si="4"/>
        <v>1.5696347031963471</v>
      </c>
      <c r="AT3" s="45"/>
      <c r="AU3" s="45"/>
      <c r="AV3" s="45"/>
      <c r="AW3" s="15">
        <f>IFERROR((s_TR/(s_RadSpec!I3*s_IFW_rec_adj)),".")</f>
        <v>10.96876096876097</v>
      </c>
      <c r="AX3" s="15">
        <f>IFERROR((s_TR/(s_RadSpec!M3*(1/8760)*s_DFA_rec_adj)),".")</f>
        <v>150892375.27499598</v>
      </c>
      <c r="AY3" s="2">
        <f>IFERROR(BO3/(s_RadSpec!AI3*s_Q_w_game*(1/1000)),".")</f>
        <v>68061009.889264733</v>
      </c>
      <c r="AZ3" s="2">
        <f>IFERROR(BO3/(s_RadSpec!AL3*s_Q_w_fowl*(1/1000)),".")</f>
        <v>5671750.8241053931</v>
      </c>
      <c r="BA3" s="244">
        <f t="shared" si="5"/>
        <v>9.1167999999999985E-2</v>
      </c>
      <c r="BB3" s="244">
        <f t="shared" si="6"/>
        <v>6.6272400986301368E-9</v>
      </c>
      <c r="BC3" s="244">
        <f t="shared" si="7"/>
        <v>1.4692700000000002E-8</v>
      </c>
      <c r="BD3" s="244">
        <f t="shared" si="8"/>
        <v>1.7631240000000005E-7</v>
      </c>
      <c r="BE3" s="2">
        <f t="shared" ref="BE3:BE66" si="19">IFERROR(1/SUM(BA3:BD3),0)</f>
        <v>10.968737190931041</v>
      </c>
      <c r="BF3" s="40">
        <f t="shared" si="9"/>
        <v>44000</v>
      </c>
      <c r="BG3" s="40">
        <f t="shared" si="10"/>
        <v>2.5114155251141552</v>
      </c>
      <c r="BH3" s="19">
        <f>IFERROR(s_C*s_RadSpec!AI3*s_Q_w_game*(1/1000)*s_EF_rec*s_ED_rec*s_IRGL_rec*s_CF_game,".")</f>
        <v>5.5000000000000005E-3</v>
      </c>
      <c r="BI3" s="19">
        <f>IFERROR(s_C*s_RadSpec!AL3*s_Q_w_fowl*(1/1000)*s_EF_rec*s_ED_rec*s_IRGL_rec*s_CF_fowl,0)</f>
        <v>6.6000000000000003E-2</v>
      </c>
      <c r="BJ3" s="18"/>
      <c r="BK3" s="18"/>
      <c r="BL3" s="5"/>
      <c r="BM3" s="5"/>
      <c r="BN3" s="18"/>
      <c r="BO3" s="2">
        <f>IFERROR(s_TR/(s_RadSpec!H3*s_EF_rec*s_ED_rec*s_IRGL_rec*s_CF_game),".")</f>
        <v>68.061009889264724</v>
      </c>
      <c r="BP3" s="2">
        <f>IFERROR(s_TR/(s_RadSpec!H3*s_EF_rec*s_ED_rec*s_IRGF_rec*s_CF_fowl),".")</f>
        <v>68.061009889264724</v>
      </c>
      <c r="BQ3" s="19">
        <f t="shared" si="11"/>
        <v>5500</v>
      </c>
      <c r="BR3" s="19">
        <f t="shared" si="12"/>
        <v>5500</v>
      </c>
      <c r="BS3" s="5"/>
      <c r="BT3" s="5"/>
    </row>
    <row r="4" spans="1:72" customFormat="1" x14ac:dyDescent="0.25">
      <c r="A4" s="44" t="s">
        <v>14</v>
      </c>
      <c r="B4" s="42" t="s">
        <v>1071</v>
      </c>
      <c r="C4" s="42"/>
      <c r="D4" s="15" t="str">
        <f>IFERROR(((s_TR/(s_RadSpec!E4*s_IFS_rec_adj*(1/1000)))*1),".")</f>
        <v>.</v>
      </c>
      <c r="E4" s="15" t="str">
        <f>IFERROR(IF(A4="H-3",(s_TR/((s_RadSpec!F4*s_IFA_rec_adj*(1/17)*1000))*1),(s_TR/((s_RadSpec!F4*s_IFA_rec_adj*(1/s_PEF_wind)*1000))*1)),".")</f>
        <v>.</v>
      </c>
      <c r="F4" s="2">
        <f>IFERROR((s_TR/(s_RadSpec!G4*s_EF_rec*(1/365)*s_ED_rec*s_RadSpec!R4*s_ET_rec*(1/24)*s_RadSpec!W4)),".")</f>
        <v>440956.38253448543</v>
      </c>
      <c r="G4" s="2" t="str">
        <f>IFERROR((BO4/(s_RadSpec!AI4*((s_Q_p_game*s_f_p_game*s_f_s_game*(s_RadSpec!BD4+s_R_es_past))+(s_Q_s_game*s_f_p_game)))),".")</f>
        <v>.</v>
      </c>
      <c r="H4" s="2" t="str">
        <f>IFERROR((BO4/(s_RadSpec!AL4*((s_Q_p_fowl*s_f_p_fowl*s_f_s_fowl*(s_RadSpec!BD4+s_R_es_past))+(s_Q_s_fowl*s_f_p_fowl)))),".")</f>
        <v>.</v>
      </c>
      <c r="I4" s="244">
        <f t="shared" si="13"/>
        <v>0</v>
      </c>
      <c r="J4" s="244">
        <f t="shared" si="14"/>
        <v>0</v>
      </c>
      <c r="K4" s="244">
        <f t="shared" si="15"/>
        <v>2.2677979945596866E-6</v>
      </c>
      <c r="L4" s="244">
        <f t="shared" si="16"/>
        <v>0</v>
      </c>
      <c r="M4" s="244">
        <f t="shared" si="17"/>
        <v>0</v>
      </c>
      <c r="N4" s="2">
        <f t="shared" si="18"/>
        <v>440956.38253448543</v>
      </c>
      <c r="O4" s="40">
        <f t="shared" si="1"/>
        <v>302.5</v>
      </c>
      <c r="P4" s="40">
        <f t="shared" si="2"/>
        <v>3.2362545583179352E-2</v>
      </c>
      <c r="Q4" s="40">
        <f>IFERROR((s_C*s_EF_rec*(1/365)*s_ED_rec*s_RadSpec!R4*s_ET_rec*(1/24)*s_RadSpec!W4),".")</f>
        <v>0.12108610567514672</v>
      </c>
      <c r="R4" s="19">
        <f>IFERROR((s_C*s_IRGL_rec*s_EF_rec*s_ED_rec*s_CF_game*s_RadSpec!AI4)*((s_Q_p_game*s_f_p_game*s_f_s_game*(s_RadSpec!BD4+s_R_es_past))+(s_Q_s_game*s_f_p_game)),".")</f>
        <v>836</v>
      </c>
      <c r="S4" s="19">
        <f>IFERROR((s_C*s_IRGF_rec*s_EF_rec*s_ED_rec*s_CF_fowl*s_RadSpec!AL4)*((s_Q_p_fowl*s_f_p_fowl*s_f_s_fowl*(s_RadSpec!BD4+s_R_es_past))+(s_Q_s_fowl*s_f_p_fowl)),0)</f>
        <v>0</v>
      </c>
      <c r="T4" s="18"/>
      <c r="U4" s="18"/>
      <c r="V4" s="18"/>
      <c r="W4" s="5"/>
      <c r="X4" s="5"/>
      <c r="Y4" s="18"/>
      <c r="Z4" s="15">
        <f>IFERROR((s_TR/(s_RadSpec!G4*s_EF_rec*(1/365)*s_ED_rec*s_RadSpec!R4*s_ET_rec*(1/24)*s_RadSpec!W4)),".")</f>
        <v>440956.38253448543</v>
      </c>
      <c r="AA4" s="15">
        <f>IFERROR((s_TR/(s_RadSpec!N4*s_EF_rec*(1/365)*s_ED_rec*s_RadSpec!S4*s_ET_rec*(1/24)*s_RadSpec!X4)),".")</f>
        <v>3109403.5554844174</v>
      </c>
      <c r="AB4" s="15">
        <f>IFERROR((s_TR/(s_RadSpec!O4*s_EF_rec*(1/365)*s_ED_rec*s_RadSpec!T4*s_ET_rec*(1/24)*s_RadSpec!Y4)),".")</f>
        <v>810841.500288871</v>
      </c>
      <c r="AC4" s="15">
        <f>IFERROR((s_TR/(s_RadSpec!P4*s_EF_rec*(1/365)*s_ED_rec*s_RadSpec!U4*s_ET_rec*(1/24)*s_RadSpec!Z4)),".")</f>
        <v>480568.21361261251</v>
      </c>
      <c r="AD4" s="15">
        <f>IFERROR((s_TR/(s_RadSpec!L4*s_EF_rec*(1/365)*s_ED_rec*s_RadSpec!Q4*s_ET_rec*(1/24)*s_RadSpec!V4)),".")</f>
        <v>5855911.7437149212</v>
      </c>
      <c r="AE4" s="40">
        <f>IFERROR((s_C*s_EF_rec*(1/365)*s_ED_rec*s_RadSpec!R4*s_ET_rec*(1/24)*s_RadSpec!W4),".")</f>
        <v>0.12108610567514672</v>
      </c>
      <c r="AF4" s="40">
        <f>IFERROR((s_C*s_EF_rec*(1/365)*s_ED_rec*s_RadSpec!S4*s_ET_rec*(1/24)*s_RadSpec!X4),".")</f>
        <v>7.4200913242009101E-2</v>
      </c>
      <c r="AG4" s="40">
        <f>IFERROR((s_C*s_EF_rec*(1/365)*s_ED_rec*s_RadSpec!T4*s_ET_rec*(1/24)*s_RadSpec!Y4),".")</f>
        <v>0.10314742335290283</v>
      </c>
      <c r="AH4" s="40">
        <f>IFERROR((s_C*s_EF_rec*(1/365)*s_ED_rec*s_RadSpec!U4*s_ET_rec*(1/24)*s_RadSpec!Z4),".")</f>
        <v>0.1184926550760264</v>
      </c>
      <c r="AI4" s="40">
        <f>IFERROR((s_C*s_EF_rec*(1/365)*s_ED_rec*s_RadSpec!Q4*s_ET_rec*(1/24)*s_RadSpec!V4),".")</f>
        <v>4.0178933290102956E-2</v>
      </c>
      <c r="AJ4" s="18"/>
      <c r="AK4" s="18"/>
      <c r="AL4" s="18"/>
      <c r="AM4" s="18"/>
      <c r="AN4" s="18"/>
      <c r="AO4" s="15" t="str">
        <f>IFERROR((s_TR/(s_RadSpec!F4*s_IFA_rec_adj)),".")</f>
        <v>.</v>
      </c>
      <c r="AP4" s="15">
        <f>IFERROR((s_TR/(s_RadSpec!K4*s_EF_rec*(1/365)*s_ED_rec*s_ET_rec*(1/24)*s_GSF_a)),".")</f>
        <v>32633183.552295782</v>
      </c>
      <c r="AQ4" s="15">
        <f t="shared" ref="AQ4:AQ16" si="20">IFERROR(IF(AND(AO4&lt;&gt;".",AP4&lt;&gt;"."),1/((1/AO4)+(1/AP4)),IF(AND(AO4&lt;&gt;".",AP4="."),1/((1/AO4)),IF(AND(AO4=".",AP4&lt;&gt;"."),1/((1/AP4)),IF(AND(AO4=".",AP4="."),".")))),".")</f>
        <v>32633183.552295785</v>
      </c>
      <c r="AR4" s="40">
        <f t="shared" si="3"/>
        <v>10026.041666666666</v>
      </c>
      <c r="AS4" s="40">
        <f t="shared" si="4"/>
        <v>1.5696347031963471</v>
      </c>
      <c r="AT4" s="45"/>
      <c r="AU4" s="45"/>
      <c r="AV4" s="45"/>
      <c r="AW4" s="15" t="str">
        <f>IFERROR((s_TR/(s_RadSpec!I4*s_IFW_rec_adj)),".")</f>
        <v>.</v>
      </c>
      <c r="AX4" s="15">
        <f>IFERROR((s_TR/(s_RadSpec!M4*(1/8760)*s_DFA_rec_adj)),".")</f>
        <v>9317398036.1063118</v>
      </c>
      <c r="AY4" s="2" t="str">
        <f>IFERROR(BO4/(s_RadSpec!AI4*s_Q_w_game*(1/1000)),".")</f>
        <v>.</v>
      </c>
      <c r="AZ4" s="2" t="str">
        <f>IFERROR(BO4/(s_RadSpec!AL4*s_Q_w_fowl*(1/1000)),".")</f>
        <v>.</v>
      </c>
      <c r="BA4" s="244">
        <f t="shared" si="5"/>
        <v>0</v>
      </c>
      <c r="BB4" s="244">
        <f t="shared" si="6"/>
        <v>1.0732610071232873E-10</v>
      </c>
      <c r="BC4" s="244">
        <f t="shared" si="7"/>
        <v>0</v>
      </c>
      <c r="BD4" s="244">
        <f t="shared" si="8"/>
        <v>0</v>
      </c>
      <c r="BE4" s="2">
        <f t="shared" si="19"/>
        <v>9317398036.1063118</v>
      </c>
      <c r="BF4" s="40">
        <f t="shared" si="9"/>
        <v>44000</v>
      </c>
      <c r="BG4" s="40">
        <f t="shared" si="10"/>
        <v>2.5114155251141552</v>
      </c>
      <c r="BH4" s="19">
        <f>IFERROR(s_C*s_RadSpec!AI4*s_Q_w_game*(1/1000)*s_EF_rec*s_ED_rec*s_IRGL_rec*s_CF_game,".")</f>
        <v>0.11000000000000001</v>
      </c>
      <c r="BI4" s="19">
        <f>IFERROR(s_C*s_RadSpec!AL4*s_Q_w_fowl*(1/1000)*s_EF_rec*s_ED_rec*s_IRGL_rec*s_CF_fowl,0)</f>
        <v>0</v>
      </c>
      <c r="BJ4" s="18"/>
      <c r="BK4" s="18"/>
      <c r="BL4" s="5"/>
      <c r="BM4" s="5"/>
      <c r="BN4" s="18"/>
      <c r="BO4" s="2" t="str">
        <f>IFERROR(s_TR/(s_RadSpec!H4*s_EF_rec*s_ED_rec*s_IRGL_rec*s_CF_game),".")</f>
        <v>.</v>
      </c>
      <c r="BP4" s="2" t="str">
        <f>IFERROR(s_TR/(s_RadSpec!H4*s_EF_rec*s_ED_rec*s_IRGF_rec*s_CF_fowl),".")</f>
        <v>.</v>
      </c>
      <c r="BQ4" s="19">
        <f t="shared" si="11"/>
        <v>5500</v>
      </c>
      <c r="BR4" s="19">
        <f t="shared" si="12"/>
        <v>5500</v>
      </c>
      <c r="BS4" s="5"/>
      <c r="BT4" s="5"/>
    </row>
    <row r="5" spans="1:72" customFormat="1" x14ac:dyDescent="0.25">
      <c r="A5" s="44" t="s">
        <v>15</v>
      </c>
      <c r="B5" s="42" t="s">
        <v>1071</v>
      </c>
      <c r="C5" s="249"/>
      <c r="D5" s="15" t="str">
        <f>IFERROR(((s_TR/(s_RadSpec!E5*s_IFS_rec_adj*(1/1000)))*1),".")</f>
        <v>.</v>
      </c>
      <c r="E5" s="15" t="str">
        <f>IFERROR(IF(A5="H-3",(s_TR/((s_RadSpec!F5*s_IFA_rec_adj*(1/17)*1000))*1),(s_TR/((s_RadSpec!F5*s_IFA_rec_adj*(1/s_PEF_wind)*1000))*1)),".")</f>
        <v>.</v>
      </c>
      <c r="F5" s="2" t="str">
        <f>IFERROR((s_TR/(s_RadSpec!G5*s_EF_rec*(1/365)*s_ED_rec*s_RadSpec!R5*s_ET_rec*(1/24)*s_RadSpec!W5)),".")</f>
        <v>.</v>
      </c>
      <c r="G5" s="2" t="str">
        <f>IFERROR((BO5/(s_RadSpec!AI5*((s_Q_p_game*s_f_p_game*s_f_s_game*(s_RadSpec!BD5+s_R_es_past))+(s_Q_s_game*s_f_p_game)))),".")</f>
        <v>.</v>
      </c>
      <c r="H5" s="2" t="str">
        <f>IFERROR((BO5/(s_RadSpec!AL5*((s_Q_p_fowl*s_f_p_fowl*s_f_s_fowl*(s_RadSpec!BD5+s_R_es_past))+(s_Q_s_fowl*s_f_p_fowl)))),".")</f>
        <v>.</v>
      </c>
      <c r="I5" s="244">
        <f t="shared" si="13"/>
        <v>0</v>
      </c>
      <c r="J5" s="244">
        <f t="shared" si="14"/>
        <v>0</v>
      </c>
      <c r="K5" s="244">
        <f t="shared" si="15"/>
        <v>0</v>
      </c>
      <c r="L5" s="244">
        <f t="shared" si="16"/>
        <v>0</v>
      </c>
      <c r="M5" s="244">
        <f t="shared" si="17"/>
        <v>0</v>
      </c>
      <c r="N5" s="2">
        <f t="shared" si="18"/>
        <v>0</v>
      </c>
      <c r="O5" s="40">
        <f t="shared" si="1"/>
        <v>302.5</v>
      </c>
      <c r="P5" s="40">
        <f t="shared" si="2"/>
        <v>3.2362545583179352E-2</v>
      </c>
      <c r="Q5" s="40">
        <f>IFERROR((s_C*s_EF_rec*(1/365)*s_ED_rec*s_RadSpec!R5*s_ET_rec*(1/24)*s_RadSpec!W5),".")</f>
        <v>0</v>
      </c>
      <c r="R5" s="19">
        <f>IFERROR((s_C*s_IRGL_rec*s_EF_rec*s_ED_rec*s_CF_game*s_RadSpec!AI5)*((s_Q_p_game*s_f_p_game*s_f_s_game*(s_RadSpec!BD5+s_R_es_past))+(s_Q_s_game*s_f_p_game)),".")</f>
        <v>836</v>
      </c>
      <c r="S5" s="19">
        <f>IFERROR((s_C*s_IRGF_rec*s_EF_rec*s_ED_rec*s_CF_fowl*s_RadSpec!AL5)*((s_Q_p_fowl*s_f_p_fowl*s_f_s_fowl*(s_RadSpec!BD5+s_R_es_past))+(s_Q_s_fowl*s_f_p_fowl)),0)</f>
        <v>0</v>
      </c>
      <c r="T5" s="18"/>
      <c r="U5" s="18"/>
      <c r="V5" s="18"/>
      <c r="W5" s="5"/>
      <c r="X5" s="5"/>
      <c r="Y5" s="18"/>
      <c r="Z5" s="15" t="str">
        <f>IFERROR((s_TR/(s_RadSpec!G5*s_EF_rec*(1/365)*s_ED_rec*s_RadSpec!R5*s_ET_rec*(1/24)*s_RadSpec!W5)),".")</f>
        <v>.</v>
      </c>
      <c r="AA5" s="15" t="str">
        <f>IFERROR((s_TR/(s_RadSpec!N5*s_EF_rec*(1/365)*s_ED_rec*s_RadSpec!S5*s_ET_rec*(1/24)*s_RadSpec!X5)),".")</f>
        <v>.</v>
      </c>
      <c r="AB5" s="15" t="str">
        <f>IFERROR((s_TR/(s_RadSpec!O5*s_EF_rec*(1/365)*s_ED_rec*s_RadSpec!T5*s_ET_rec*(1/24)*s_RadSpec!Y5)),".")</f>
        <v>.</v>
      </c>
      <c r="AC5" s="15" t="str">
        <f>IFERROR((s_TR/(s_RadSpec!P5*s_EF_rec*(1/365)*s_ED_rec*s_RadSpec!U5*s_ET_rec*(1/24)*s_RadSpec!Z5)),".")</f>
        <v>.</v>
      </c>
      <c r="AD5" s="15" t="str">
        <f>IFERROR((s_TR/(s_RadSpec!L5*s_EF_rec*(1/365)*s_ED_rec*s_RadSpec!Q5*s_ET_rec*(1/24)*s_RadSpec!V5)),".")</f>
        <v>.</v>
      </c>
      <c r="AE5" s="40">
        <f>IFERROR((s_C*s_EF_rec*(1/365)*s_ED_rec*s_RadSpec!R5*s_ET_rec*(1/24)*s_RadSpec!W5),".")</f>
        <v>0</v>
      </c>
      <c r="AF5" s="40">
        <f>IFERROR((s_C*s_EF_rec*(1/365)*s_ED_rec*s_RadSpec!S5*s_ET_rec*(1/24)*s_RadSpec!X5),".")</f>
        <v>0</v>
      </c>
      <c r="AG5" s="40">
        <f>IFERROR((s_C*s_EF_rec*(1/365)*s_ED_rec*s_RadSpec!T5*s_ET_rec*(1/24)*s_RadSpec!Y5),".")</f>
        <v>0</v>
      </c>
      <c r="AH5" s="40">
        <f>IFERROR((s_C*s_EF_rec*(1/365)*s_ED_rec*s_RadSpec!U5*s_ET_rec*(1/24)*s_RadSpec!Z5),".")</f>
        <v>0</v>
      </c>
      <c r="AI5" s="40">
        <f>IFERROR((s_C*s_EF_rec*(1/365)*s_ED_rec*s_RadSpec!Q5*s_ET_rec*(1/24)*s_RadSpec!V5),".")</f>
        <v>0</v>
      </c>
      <c r="AJ5" s="18"/>
      <c r="AK5" s="18"/>
      <c r="AL5" s="18"/>
      <c r="AM5" s="18"/>
      <c r="AN5" s="18"/>
      <c r="AO5" s="15" t="str">
        <f>IFERROR((s_TR/(s_RadSpec!F5*s_IFA_rec_adj)),".")</f>
        <v>.</v>
      </c>
      <c r="AP5" s="15">
        <f>IFERROR((s_TR/(s_RadSpec!K5*s_EF_rec*(1/365)*s_ED_rec*s_ET_rec*(1/24)*s_GSF_a)),".")</f>
        <v>1033384145.8226998</v>
      </c>
      <c r="AQ5" s="15">
        <f t="shared" si="20"/>
        <v>1033384145.8226997</v>
      </c>
      <c r="AR5" s="40">
        <f t="shared" si="3"/>
        <v>10026.041666666666</v>
      </c>
      <c r="AS5" s="40">
        <f t="shared" si="4"/>
        <v>1.5696347031963471</v>
      </c>
      <c r="AT5" s="45"/>
      <c r="AU5" s="45"/>
      <c r="AV5" s="45"/>
      <c r="AW5" s="15" t="str">
        <f>IFERROR((s_TR/(s_RadSpec!I5*s_IFW_rec_adj)),".")</f>
        <v>.</v>
      </c>
      <c r="AX5" s="15">
        <f>IFERROR((s_TR/(s_RadSpec!M5*(1/8760)*s_DFA_rec_adj)),".")</f>
        <v>388401786015.36554</v>
      </c>
      <c r="AY5" s="2" t="str">
        <f>IFERROR(BO5/(s_RadSpec!AI5*s_Q_w_game*(1/1000)),".")</f>
        <v>.</v>
      </c>
      <c r="AZ5" s="2" t="str">
        <f>IFERROR(BO5/(s_RadSpec!AL5*s_Q_w_fowl*(1/1000)),".")</f>
        <v>.</v>
      </c>
      <c r="BA5" s="244">
        <f t="shared" si="5"/>
        <v>0</v>
      </c>
      <c r="BB5" s="244">
        <f t="shared" si="6"/>
        <v>2.5746534542465749E-12</v>
      </c>
      <c r="BC5" s="244">
        <f t="shared" si="7"/>
        <v>0</v>
      </c>
      <c r="BD5" s="244">
        <f t="shared" si="8"/>
        <v>0</v>
      </c>
      <c r="BE5" s="2">
        <f t="shared" si="19"/>
        <v>388401786015.36554</v>
      </c>
      <c r="BF5" s="40">
        <f t="shared" si="9"/>
        <v>44000</v>
      </c>
      <c r="BG5" s="40">
        <f t="shared" si="10"/>
        <v>2.5114155251141552</v>
      </c>
      <c r="BH5" s="19">
        <f>IFERROR(s_C*s_RadSpec!AI5*s_Q_w_game*(1/1000)*s_EF_rec*s_ED_rec*s_IRGL_rec*s_CF_game,".")</f>
        <v>0.11000000000000001</v>
      </c>
      <c r="BI5" s="19">
        <f>IFERROR(s_C*s_RadSpec!AL5*s_Q_w_fowl*(1/1000)*s_EF_rec*s_ED_rec*s_IRGL_rec*s_CF_fowl,0)</f>
        <v>0</v>
      </c>
      <c r="BJ5" s="18"/>
      <c r="BK5" s="18"/>
      <c r="BL5" s="5"/>
      <c r="BM5" s="5"/>
      <c r="BN5" s="18"/>
      <c r="BO5" s="2" t="str">
        <f>IFERROR(s_TR/(s_RadSpec!H5*s_EF_rec*s_ED_rec*s_IRGL_rec*s_CF_game),".")</f>
        <v>.</v>
      </c>
      <c r="BP5" s="2" t="str">
        <f>IFERROR(s_TR/(s_RadSpec!H5*s_EF_rec*s_ED_rec*s_IRGF_rec*s_CF_fowl),".")</f>
        <v>.</v>
      </c>
      <c r="BQ5" s="19">
        <f t="shared" si="11"/>
        <v>5500</v>
      </c>
      <c r="BR5" s="19">
        <f t="shared" si="12"/>
        <v>5500</v>
      </c>
      <c r="BS5" s="5"/>
      <c r="BT5" s="5"/>
    </row>
    <row r="6" spans="1:72" customFormat="1" x14ac:dyDescent="0.25">
      <c r="A6" s="44" t="s">
        <v>16</v>
      </c>
      <c r="B6" s="42" t="s">
        <v>1071</v>
      </c>
      <c r="C6" s="42"/>
      <c r="D6" s="15" t="str">
        <f>IFERROR(((s_TR/(s_RadSpec!E6*s_IFS_rec_adj*(1/1000)))*1),".")</f>
        <v>.</v>
      </c>
      <c r="E6" s="15" t="str">
        <f>IFERROR(IF(A6="H-3",(s_TR/((s_RadSpec!F6*s_IFA_rec_adj*(1/17)*1000))*1),(s_TR/((s_RadSpec!F6*s_IFA_rec_adj*(1/s_PEF_wind)*1000))*1)),".")</f>
        <v>.</v>
      </c>
      <c r="F6" s="2">
        <f>IFERROR((s_TR/(s_RadSpec!G6*s_EF_rec*(1/365)*s_ED_rec*s_RadSpec!R6*s_ET_rec*(1/24)*s_RadSpec!W6)),".")</f>
        <v>79.027948573215298</v>
      </c>
      <c r="G6" s="2" t="str">
        <f>IFERROR((BO6/(s_RadSpec!AI6*((s_Q_p_game*s_f_p_game*s_f_s_game*(s_RadSpec!BD6+s_R_es_past))+(s_Q_s_game*s_f_p_game)))),".")</f>
        <v>.</v>
      </c>
      <c r="H6" s="2" t="str">
        <f>IFERROR((BO6/(s_RadSpec!AL6*((s_Q_p_fowl*s_f_p_fowl*s_f_s_fowl*(s_RadSpec!BD6+s_R_es_past))+(s_Q_s_fowl*s_f_p_fowl)))),".")</f>
        <v>.</v>
      </c>
      <c r="I6" s="244">
        <f t="shared" si="13"/>
        <v>0</v>
      </c>
      <c r="J6" s="244">
        <f t="shared" si="14"/>
        <v>0</v>
      </c>
      <c r="K6" s="244">
        <f t="shared" si="15"/>
        <v>1.265375121149136E-2</v>
      </c>
      <c r="L6" s="244">
        <f t="shared" si="16"/>
        <v>0</v>
      </c>
      <c r="M6" s="244">
        <f t="shared" si="17"/>
        <v>0</v>
      </c>
      <c r="N6" s="2">
        <f t="shared" si="18"/>
        <v>79.027948573215298</v>
      </c>
      <c r="O6" s="40">
        <f t="shared" si="1"/>
        <v>302.5</v>
      </c>
      <c r="P6" s="40">
        <f t="shared" si="2"/>
        <v>3.2362545583179352E-2</v>
      </c>
      <c r="Q6" s="40">
        <f>IFERROR((s_C*s_EF_rec*(1/365)*s_ED_rec*s_RadSpec!R6*s_ET_rec*(1/24)*s_RadSpec!W6),".")</f>
        <v>0.23558941220130053</v>
      </c>
      <c r="R6" s="19">
        <f>IFERROR((s_C*s_IRGL_rec*s_EF_rec*s_ED_rec*s_CF_game*s_RadSpec!AI6)*((s_Q_p_game*s_f_p_game*s_f_s_game*(s_RadSpec!BD6+s_R_es_past))+(s_Q_s_game*s_f_p_game)),".")</f>
        <v>6.1670804597701139</v>
      </c>
      <c r="S6" s="19">
        <f>IFERROR((s_C*s_IRGF_rec*s_EF_rec*s_ED_rec*s_CF_fowl*s_RadSpec!AL6)*((s_Q_p_fowl*s_f_p_fowl*s_f_s_fowl*(s_RadSpec!BD6+s_R_es_past))+(s_Q_s_fowl*s_f_p_fowl)),0)</f>
        <v>836.96091954022984</v>
      </c>
      <c r="T6" s="18"/>
      <c r="U6" s="18"/>
      <c r="V6" s="18"/>
      <c r="W6" s="5"/>
      <c r="X6" s="5"/>
      <c r="Y6" s="18"/>
      <c r="Z6" s="15">
        <f>IFERROR((s_TR/(s_RadSpec!G6*s_EF_rec*(1/365)*s_ED_rec*s_RadSpec!R6*s_ET_rec*(1/24)*s_RadSpec!W6)),".")</f>
        <v>79.027948573215298</v>
      </c>
      <c r="AA6" s="15">
        <f>IFERROR((s_TR/(s_RadSpec!N6*s_EF_rec*(1/365)*s_ED_rec*s_RadSpec!S6*s_ET_rec*(1/24)*s_RadSpec!X6)),".")</f>
        <v>723.81338284307242</v>
      </c>
      <c r="AB6" s="15">
        <f>IFERROR((s_TR/(s_RadSpec!O6*s_EF_rec*(1/365)*s_ED_rec*s_RadSpec!T6*s_ET_rec*(1/24)*s_RadSpec!Y6)),".")</f>
        <v>181.38205102807333</v>
      </c>
      <c r="AC6" s="15">
        <f>IFERROR((s_TR/(s_RadSpec!P6*s_EF_rec*(1/365)*s_ED_rec*s_RadSpec!U6*s_ET_rec*(1/24)*s_RadSpec!Z6)),".")</f>
        <v>96.72923684746894</v>
      </c>
      <c r="AD6" s="15">
        <f>IFERROR((s_TR/(s_RadSpec!L6*s_EF_rec*(1/365)*s_ED_rec*s_RadSpec!Q6*s_ET_rec*(1/24)*s_RadSpec!V6)),".")</f>
        <v>1241.7876756188346</v>
      </c>
      <c r="AE6" s="40">
        <f>IFERROR((s_C*s_EF_rec*(1/365)*s_ED_rec*s_RadSpec!R6*s_ET_rec*(1/24)*s_RadSpec!W6),".")</f>
        <v>0.23558941220130053</v>
      </c>
      <c r="AF6" s="40">
        <f>IFERROR((s_C*s_EF_rec*(1/365)*s_ED_rec*s_RadSpec!S6*s_ET_rec*(1/24)*s_RadSpec!X6),".")</f>
        <v>0.12619731111622731</v>
      </c>
      <c r="AG6" s="40">
        <f>IFERROR((s_C*s_EF_rec*(1/365)*s_ED_rec*s_RadSpec!T6*s_ET_rec*(1/24)*s_RadSpec!Y6),".")</f>
        <v>0.17858235654097812</v>
      </c>
      <c r="AH6" s="40">
        <f>IFERROR((s_C*s_EF_rec*(1/365)*s_ED_rec*s_RadSpec!U6*s_ET_rec*(1/24)*s_RadSpec!Z6),".")</f>
        <v>0.21594974260535738</v>
      </c>
      <c r="AI6" s="40">
        <f>IFERROR((s_C*s_EF_rec*(1/365)*s_ED_rec*s_RadSpec!Q6*s_ET_rec*(1/24)*s_RadSpec!V6),".")</f>
        <v>7.5128424657534221E-2</v>
      </c>
      <c r="AJ6" s="18"/>
      <c r="AK6" s="18"/>
      <c r="AL6" s="18"/>
      <c r="AM6" s="18"/>
      <c r="AN6" s="18"/>
      <c r="AO6" s="15" t="str">
        <f>IFERROR((s_TR/(s_RadSpec!F6*s_IFA_rec_adj)),".")</f>
        <v>.</v>
      </c>
      <c r="AP6" s="15">
        <f>IFERROR((s_TR/(s_RadSpec!K6*s_EF_rec*(1/365)*s_ED_rec*s_ET_rec*(1/24)*s_GSF_a)),".")</f>
        <v>12630.250671166332</v>
      </c>
      <c r="AQ6" s="15">
        <f t="shared" si="20"/>
        <v>12630.250671166332</v>
      </c>
      <c r="AR6" s="40">
        <f t="shared" si="3"/>
        <v>10026.041666666666</v>
      </c>
      <c r="AS6" s="40">
        <f t="shared" si="4"/>
        <v>1.5696347031963471</v>
      </c>
      <c r="AT6" s="45"/>
      <c r="AU6" s="45"/>
      <c r="AV6" s="45"/>
      <c r="AW6" s="15" t="str">
        <f>IFERROR((s_TR/(s_RadSpec!I6*s_IFW_rec_adj)),".")</f>
        <v>.</v>
      </c>
      <c r="AX6" s="15">
        <f>IFERROR((s_TR/(s_RadSpec!M6*(1/8760)*s_DFA_rec_adj)),".")</f>
        <v>3643341.539759519</v>
      </c>
      <c r="AY6" s="2" t="str">
        <f>IFERROR(BO6/(s_RadSpec!AI6*s_Q_w_game*(1/1000)),".")</f>
        <v>.</v>
      </c>
      <c r="AZ6" s="2" t="str">
        <f>IFERROR(BO6/(s_RadSpec!AL6*s_Q_w_fowl*(1/1000)),".")</f>
        <v>.</v>
      </c>
      <c r="BA6" s="244">
        <f t="shared" si="5"/>
        <v>0</v>
      </c>
      <c r="BB6" s="244">
        <f t="shared" si="6"/>
        <v>2.7447330673972597E-7</v>
      </c>
      <c r="BC6" s="244">
        <f t="shared" si="7"/>
        <v>0</v>
      </c>
      <c r="BD6" s="244">
        <f t="shared" si="8"/>
        <v>0</v>
      </c>
      <c r="BE6" s="2">
        <f t="shared" si="19"/>
        <v>3643341.539759519</v>
      </c>
      <c r="BF6" s="40">
        <f t="shared" si="9"/>
        <v>44000</v>
      </c>
      <c r="BG6" s="40">
        <f t="shared" si="10"/>
        <v>2.5114155251141552</v>
      </c>
      <c r="BH6" s="19">
        <f>IFERROR(s_C*s_RadSpec!AI6*s_Q_w_game*(1/1000)*s_EF_rec*s_ED_rec*s_IRGL_rec*s_CF_game,".")</f>
        <v>1.5399999999999997E-3</v>
      </c>
      <c r="BI6" s="19">
        <f>IFERROR(s_C*s_RadSpec!AL6*s_Q_w_fowl*(1/1000)*s_EF_rec*s_ED_rec*s_IRGL_rec*s_CF_fowl,0)</f>
        <v>0.20900000000000002</v>
      </c>
      <c r="BJ6" s="18"/>
      <c r="BK6" s="18"/>
      <c r="BL6" s="5"/>
      <c r="BM6" s="5"/>
      <c r="BN6" s="18"/>
      <c r="BO6" s="2" t="str">
        <f>IFERROR(s_TR/(s_RadSpec!H6*s_EF_rec*s_ED_rec*s_IRGL_rec*s_CF_game),".")</f>
        <v>.</v>
      </c>
      <c r="BP6" s="2" t="str">
        <f>IFERROR(s_TR/(s_RadSpec!H6*s_EF_rec*s_ED_rec*s_IRGF_rec*s_CF_fowl),".")</f>
        <v>.</v>
      </c>
      <c r="BQ6" s="19">
        <f t="shared" si="11"/>
        <v>5500</v>
      </c>
      <c r="BR6" s="19">
        <f t="shared" si="12"/>
        <v>5500</v>
      </c>
      <c r="BS6" s="5"/>
      <c r="BT6" s="5"/>
    </row>
    <row r="7" spans="1:72" customFormat="1" x14ac:dyDescent="0.25">
      <c r="A7" s="44" t="s">
        <v>17</v>
      </c>
      <c r="B7" s="42" t="s">
        <v>1071</v>
      </c>
      <c r="C7" s="249"/>
      <c r="D7" s="15">
        <f>IFERROR(((s_TR/(s_RadSpec!E7*s_IFS_rec_adj*(1/1000)))*1),".")</f>
        <v>6883.3238744991095</v>
      </c>
      <c r="E7" s="15">
        <f>IFERROR(IF(A7="H-3",(s_TR/((s_RadSpec!F7*s_IFA_rec_adj*(1/17)*1000))*1),(s_TR/((s_RadSpec!F7*s_IFA_rec_adj*(1/s_PEF_wind)*1000))*1)),".")</f>
        <v>3394849.2476316104</v>
      </c>
      <c r="F7" s="2">
        <f>IFERROR((s_TR/(s_RadSpec!G7*s_EF_rec*(1/365)*s_ED_rec*s_RadSpec!R7*s_ET_rec*(1/24)*s_RadSpec!W7)),".")</f>
        <v>165944.89932919262</v>
      </c>
      <c r="G7" s="2">
        <f>IFERROR((BO7/(s_RadSpec!AI7*((s_Q_p_game*s_f_p_game*s_f_s_game*(s_RadSpec!BD7+s_R_es_past))+(s_Q_s_game*s_f_p_game)))),".")</f>
        <v>29083.835902017723</v>
      </c>
      <c r="H7" s="2" t="str">
        <f>IFERROR((BO7/(s_RadSpec!AL7*((s_Q_p_fowl*s_f_p_fowl*s_f_s_fowl*(s_RadSpec!BD7+s_R_es_past))+(s_Q_s_fowl*s_f_p_fowl)))),".")</f>
        <v>.</v>
      </c>
      <c r="I7" s="244">
        <f t="shared" si="13"/>
        <v>1.4527864999999999E-4</v>
      </c>
      <c r="J7" s="244">
        <f t="shared" si="14"/>
        <v>2.9456388989809843E-7</v>
      </c>
      <c r="K7" s="244">
        <f t="shared" si="15"/>
        <v>6.026096638356166E-6</v>
      </c>
      <c r="L7" s="244">
        <f t="shared" si="16"/>
        <v>3.4383359999999997E-5</v>
      </c>
      <c r="M7" s="244">
        <f t="shared" si="17"/>
        <v>0</v>
      </c>
      <c r="N7" s="2">
        <f t="shared" si="18"/>
        <v>5376.8450423884051</v>
      </c>
      <c r="O7" s="40">
        <f t="shared" si="1"/>
        <v>302.5</v>
      </c>
      <c r="P7" s="40">
        <f t="shared" si="2"/>
        <v>3.2362545583179352E-2</v>
      </c>
      <c r="Q7" s="40">
        <f>IFERROR((s_C*s_EF_rec*(1/365)*s_ED_rec*s_RadSpec!R7*s_ET_rec*(1/24)*s_RadSpec!W7),".")</f>
        <v>0.108880989538177</v>
      </c>
      <c r="R7" s="19">
        <f>IFERROR((s_C*s_IRGL_rec*s_EF_rec*s_ED_rec*s_CF_game*s_RadSpec!AI7)*((s_Q_p_game*s_f_p_game*s_f_s_game*(s_RadSpec!BD7+s_R_es_past))+(s_Q_s_game*s_f_p_game)),".")</f>
        <v>132</v>
      </c>
      <c r="S7" s="19">
        <f>IFERROR((s_C*s_IRGF_rec*s_EF_rec*s_ED_rec*s_CF_fowl*s_RadSpec!AL7)*((s_Q_p_fowl*s_f_p_fowl*s_f_s_fowl*(s_RadSpec!BD7+s_R_es_past))+(s_Q_s_fowl*s_f_p_fowl)),0)</f>
        <v>0</v>
      </c>
      <c r="T7" s="18"/>
      <c r="U7" s="18"/>
      <c r="V7" s="18"/>
      <c r="W7" s="5"/>
      <c r="X7" s="5"/>
      <c r="Y7" s="18"/>
      <c r="Z7" s="15">
        <f>IFERROR((s_TR/(s_RadSpec!G7*s_EF_rec*(1/365)*s_ED_rec*s_RadSpec!R7*s_ET_rec*(1/24)*s_RadSpec!W7)),".")</f>
        <v>165944.89932919262</v>
      </c>
      <c r="AA7" s="15">
        <f>IFERROR((s_TR/(s_RadSpec!N7*s_EF_rec*(1/365)*s_ED_rec*s_RadSpec!S7*s_ET_rec*(1/24)*s_RadSpec!X7)),".")</f>
        <v>765258.1002249415</v>
      </c>
      <c r="AB7" s="15">
        <f>IFERROR((s_TR/(s_RadSpec!O7*s_EF_rec*(1/365)*s_ED_rec*s_RadSpec!T7*s_ET_rec*(1/24)*s_RadSpec!Y7)),".")</f>
        <v>260447.30986862781</v>
      </c>
      <c r="AC7" s="15">
        <f>IFERROR((s_TR/(s_RadSpec!P7*s_EF_rec*(1/365)*s_ED_rec*s_RadSpec!U7*s_ET_rec*(1/24)*s_RadSpec!Z7)),".")</f>
        <v>183335.43435043469</v>
      </c>
      <c r="AD7" s="15">
        <f>IFERROR((s_TR/(s_RadSpec!L7*s_EF_rec*(1/365)*s_ED_rec*s_RadSpec!Q7*s_ET_rec*(1/24)*s_RadSpec!V7)),".")</f>
        <v>259255.42796089043</v>
      </c>
      <c r="AE7" s="40">
        <f>IFERROR((s_C*s_EF_rec*(1/365)*s_ED_rec*s_RadSpec!R7*s_ET_rec*(1/24)*s_RadSpec!W7),".")</f>
        <v>0.108880989538177</v>
      </c>
      <c r="AF7" s="40">
        <f>IFERROR((s_C*s_EF_rec*(1/365)*s_ED_rec*s_RadSpec!S7*s_ET_rec*(1/24)*s_RadSpec!X7),".")</f>
        <v>6.8440865837080367E-2</v>
      </c>
      <c r="AG7" s="40">
        <f>IFERROR((s_C*s_EF_rec*(1/365)*s_ED_rec*s_RadSpec!T7*s_ET_rec*(1/24)*s_RadSpec!Y7),".")</f>
        <v>9.3418259023354558E-2</v>
      </c>
      <c r="AH7" s="40">
        <f>IFERROR((s_C*s_EF_rec*(1/365)*s_ED_rec*s_RadSpec!U7*s_ET_rec*(1/24)*s_RadSpec!Z7),".")</f>
        <v>0.10155237048311633</v>
      </c>
      <c r="AI7" s="40">
        <f>IFERROR((s_C*s_EF_rec*(1/365)*s_ED_rec*s_RadSpec!Q7*s_ET_rec*(1/24)*s_RadSpec!V7),".")</f>
        <v>3.9993222899932242E-2</v>
      </c>
      <c r="AJ7" s="18"/>
      <c r="AK7" s="18"/>
      <c r="AL7" s="18"/>
      <c r="AM7" s="18"/>
      <c r="AN7" s="18"/>
      <c r="AO7" s="15">
        <f>IFERROR((s_TR/(s_RadSpec!F7*s_IFA_rec_adj)),".")</f>
        <v>10.958059738547544</v>
      </c>
      <c r="AP7" s="15">
        <f>IFERROR((s_TR/(s_RadSpec!K7*s_EF_rec*(1/365)*s_ED_rec*s_ET_rec*(1/24)*s_GSF_a)),".")</f>
        <v>6022371.1809534831</v>
      </c>
      <c r="AQ7" s="15">
        <f t="shared" si="20"/>
        <v>10.958039799747503</v>
      </c>
      <c r="AR7" s="40">
        <f t="shared" si="3"/>
        <v>10026.041666666666</v>
      </c>
      <c r="AS7" s="40">
        <f t="shared" si="4"/>
        <v>1.5696347031963471</v>
      </c>
      <c r="AT7" s="45"/>
      <c r="AU7" s="45"/>
      <c r="AV7" s="45"/>
      <c r="AW7" s="15">
        <f>IFERROR((s_TR/(s_RadSpec!I7*s_IFW_rec_adj)),".")</f>
        <v>127.43788677398636</v>
      </c>
      <c r="AX7" s="15">
        <f>IFERROR((s_TR/(s_RadSpec!M7*(1/8760)*s_DFA_rec_adj)),".")</f>
        <v>2544901254.6379924</v>
      </c>
      <c r="AY7" s="2">
        <f>IFERROR(BO7/(s_RadSpec!AI7*s_Q_w_game*(1/1000)),".")</f>
        <v>174503015.41210636</v>
      </c>
      <c r="AZ7" s="2" t="str">
        <f>IFERROR(BO7/(s_RadSpec!AL7*s_Q_w_fowl*(1/1000)),".")</f>
        <v>.</v>
      </c>
      <c r="BA7" s="244">
        <f t="shared" si="5"/>
        <v>7.84696E-3</v>
      </c>
      <c r="BB7" s="244">
        <f t="shared" si="6"/>
        <v>3.9294255452054786E-10</v>
      </c>
      <c r="BC7" s="244">
        <f t="shared" si="7"/>
        <v>5.7305599999999989E-9</v>
      </c>
      <c r="BD7" s="244">
        <f t="shared" si="8"/>
        <v>0</v>
      </c>
      <c r="BE7" s="2">
        <f t="shared" si="19"/>
        <v>127.4377873258413</v>
      </c>
      <c r="BF7" s="40">
        <f t="shared" si="9"/>
        <v>44000</v>
      </c>
      <c r="BG7" s="40">
        <f t="shared" si="10"/>
        <v>2.5114155251141552</v>
      </c>
      <c r="BH7" s="19">
        <f>IFERROR(s_C*s_RadSpec!AI7*s_Q_w_game*(1/1000)*s_EF_rec*s_ED_rec*s_IRGL_rec*s_CF_game,".")</f>
        <v>2.2000000000000002E-2</v>
      </c>
      <c r="BI7" s="19">
        <f>IFERROR(s_C*s_RadSpec!AL7*s_Q_w_fowl*(1/1000)*s_EF_rec*s_ED_rec*s_IRGL_rec*s_CF_fowl,0)</f>
        <v>0</v>
      </c>
      <c r="BJ7" s="18"/>
      <c r="BK7" s="18"/>
      <c r="BL7" s="5"/>
      <c r="BM7" s="5"/>
      <c r="BN7" s="18"/>
      <c r="BO7" s="2">
        <f>IFERROR(s_TR/(s_RadSpec!H7*s_EF_rec*s_ED_rec*s_IRGL_rec*s_CF_game),".")</f>
        <v>698.0120616484254</v>
      </c>
      <c r="BP7" s="2">
        <f>IFERROR(s_TR/(s_RadSpec!H7*s_EF_rec*s_ED_rec*s_IRGF_rec*s_CF_fowl),".")</f>
        <v>698.0120616484254</v>
      </c>
      <c r="BQ7" s="19">
        <f t="shared" si="11"/>
        <v>5500</v>
      </c>
      <c r="BR7" s="19">
        <f t="shared" si="12"/>
        <v>5500</v>
      </c>
      <c r="BS7" s="5"/>
      <c r="BT7" s="5"/>
    </row>
    <row r="8" spans="1:72" customFormat="1" x14ac:dyDescent="0.25">
      <c r="A8" s="44" t="s">
        <v>18</v>
      </c>
      <c r="B8" s="42" t="s">
        <v>1071</v>
      </c>
      <c r="C8" s="42"/>
      <c r="D8" s="15">
        <f>IFERROR(((s_TR/(s_RadSpec!E8*s_IFS_rec_adj*(1/1000)))*1),".")</f>
        <v>138735.31660092928</v>
      </c>
      <c r="E8" s="15">
        <f>IFERROR(IF(A8="H-3",(s_TR/((s_RadSpec!F8*s_IFA_rec_adj*(1/17)*1000))*1),(s_TR/((s_RadSpec!F8*s_IFA_rec_adj*(1/s_PEF_wind)*1000))*1)),".")</f>
        <v>20878322.872934401</v>
      </c>
      <c r="F8" s="2">
        <f>IFERROR((s_TR/(s_RadSpec!G8*s_EF_rec*(1/365)*s_ED_rec*s_RadSpec!R8*s_ET_rec*(1/24)*s_RadSpec!W8)),".")</f>
        <v>486.21175280198338</v>
      </c>
      <c r="G8" s="2">
        <f>IFERROR((BO8/(s_RadSpec!AI8*((s_Q_p_game*s_f_p_game*s_f_s_game*(s_RadSpec!BD8+s_R_es_past))+(s_Q_s_game*s_f_p_game)))),".")</f>
        <v>527706.71327372361</v>
      </c>
      <c r="H8" s="2" t="str">
        <f>IFERROR((BO8/(s_RadSpec!AL8*((s_Q_p_fowl*s_f_p_fowl*s_f_s_fowl*(s_RadSpec!BD8+s_R_es_past))+(s_Q_s_fowl*s_f_p_fowl)))),".")</f>
        <v>.</v>
      </c>
      <c r="I8" s="244">
        <f t="shared" si="13"/>
        <v>7.2079699999999982E-6</v>
      </c>
      <c r="J8" s="244">
        <f t="shared" si="14"/>
        <v>4.7896567463105443E-8</v>
      </c>
      <c r="K8" s="244">
        <f t="shared" si="15"/>
        <v>2.0567170460958893E-3</v>
      </c>
      <c r="L8" s="244">
        <f t="shared" si="16"/>
        <v>1.8949919999999998E-6</v>
      </c>
      <c r="M8" s="244">
        <f t="shared" si="17"/>
        <v>0</v>
      </c>
      <c r="N8" s="2">
        <f t="shared" si="18"/>
        <v>484.05805508796897</v>
      </c>
      <c r="O8" s="40">
        <f t="shared" si="1"/>
        <v>302.5</v>
      </c>
      <c r="P8" s="40">
        <f t="shared" si="2"/>
        <v>3.2362545583179352E-2</v>
      </c>
      <c r="Q8" s="40">
        <f>IFERROR((s_C*s_EF_rec*(1/365)*s_ED_rec*s_RadSpec!R8*s_ET_rec*(1/24)*s_RadSpec!W8),".")</f>
        <v>0.18940258751902578</v>
      </c>
      <c r="R8" s="19">
        <f>IFERROR((s_C*s_IRGL_rec*s_EF_rec*s_ED_rec*s_CF_game*s_RadSpec!AI8)*((s_Q_p_game*s_f_p_game*s_f_s_game*(s_RadSpec!BD8+s_R_es_past))+(s_Q_s_game*s_f_p_game)),".")</f>
        <v>132</v>
      </c>
      <c r="S8" s="19">
        <f>IFERROR((s_C*s_IRGF_rec*s_EF_rec*s_ED_rec*s_CF_fowl*s_RadSpec!AL8)*((s_Q_p_fowl*s_f_p_fowl*s_f_s_fowl*(s_RadSpec!BD8+s_R_es_past))+(s_Q_s_fowl*s_f_p_fowl)),0)</f>
        <v>0</v>
      </c>
      <c r="T8" s="18"/>
      <c r="U8" s="18"/>
      <c r="V8" s="18"/>
      <c r="W8" s="5"/>
      <c r="X8" s="5"/>
      <c r="Y8" s="18"/>
      <c r="Z8" s="15">
        <f>IFERROR((s_TR/(s_RadSpec!G8*s_EF_rec*(1/365)*s_ED_rec*s_RadSpec!R8*s_ET_rec*(1/24)*s_RadSpec!W8)),".")</f>
        <v>486.21175280198338</v>
      </c>
      <c r="AA8" s="15">
        <f>IFERROR((s_TR/(s_RadSpec!N8*s_EF_rec*(1/365)*s_ED_rec*s_RadSpec!S8*s_ET_rec*(1/24)*s_RadSpec!X8)),".")</f>
        <v>4117.366561884126</v>
      </c>
      <c r="AB8" s="15">
        <f>IFERROR((s_TR/(s_RadSpec!O8*s_EF_rec*(1/365)*s_ED_rec*s_RadSpec!T8*s_ET_rec*(1/24)*s_RadSpec!Y8)),".")</f>
        <v>1075.7587971068322</v>
      </c>
      <c r="AC8" s="15">
        <f>IFERROR((s_TR/(s_RadSpec!P8*s_EF_rec*(1/365)*s_ED_rec*s_RadSpec!U8*s_ET_rec*(1/24)*s_RadSpec!Z8)),".")</f>
        <v>651.97737906794941</v>
      </c>
      <c r="AD8" s="15">
        <f>IFERROR((s_TR/(s_RadSpec!L8*s_EF_rec*(1/365)*s_ED_rec*s_RadSpec!Q8*s_ET_rec*(1/24)*s_RadSpec!V8)),".")</f>
        <v>7466.0607342686508</v>
      </c>
      <c r="AE8" s="40">
        <f>IFERROR((s_C*s_EF_rec*(1/365)*s_ED_rec*s_RadSpec!R8*s_ET_rec*(1/24)*s_RadSpec!W8),".")</f>
        <v>0.18940258751902578</v>
      </c>
      <c r="AF8" s="40">
        <f>IFERROR((s_C*s_EF_rec*(1/365)*s_ED_rec*s_RadSpec!S8*s_ET_rec*(1/24)*s_RadSpec!X8),".")</f>
        <v>0.10317732115677321</v>
      </c>
      <c r="AG8" s="40">
        <f>IFERROR((s_C*s_EF_rec*(1/365)*s_ED_rec*s_RadSpec!T8*s_ET_rec*(1/24)*s_RadSpec!Y8),".")</f>
        <v>0.14135681669928243</v>
      </c>
      <c r="AH8" s="40">
        <f>IFERROR((s_C*s_EF_rec*(1/365)*s_ED_rec*s_RadSpec!U8*s_ET_rec*(1/24)*s_RadSpec!Z8),".")</f>
        <v>0.15417792140973691</v>
      </c>
      <c r="AI8" s="40">
        <f>IFERROR((s_C*s_EF_rec*(1/365)*s_ED_rec*s_RadSpec!Q8*s_ET_rec*(1/24)*s_RadSpec!V8),".")</f>
        <v>5.5684659708632317E-2</v>
      </c>
      <c r="AJ8" s="18"/>
      <c r="AK8" s="18"/>
      <c r="AL8" s="18"/>
      <c r="AM8" s="18"/>
      <c r="AN8" s="18"/>
      <c r="AO8" s="15">
        <f>IFERROR((s_TR/(s_RadSpec!F8*s_IFA_rec_adj)),".")</f>
        <v>67.392067392067403</v>
      </c>
      <c r="AP8" s="15">
        <f>IFERROR((s_TR/(s_RadSpec!K8*s_EF_rec*(1/365)*s_ED_rec*s_ET_rec*(1/24)*s_GSF_a)),".")</f>
        <v>59827.503179208943</v>
      </c>
      <c r="AQ8" s="15">
        <f t="shared" si="20"/>
        <v>67.316239715456931</v>
      </c>
      <c r="AR8" s="40">
        <f t="shared" si="3"/>
        <v>10026.041666666666</v>
      </c>
      <c r="AS8" s="40">
        <f t="shared" si="4"/>
        <v>1.5696347031963471</v>
      </c>
      <c r="AT8" s="45"/>
      <c r="AU8" s="45"/>
      <c r="AV8" s="45"/>
      <c r="AW8" s="15">
        <f>IFERROR((s_TR/(s_RadSpec!I8*s_IFW_rec_adj)),".")</f>
        <v>2241.7905629584461</v>
      </c>
      <c r="AX8" s="15">
        <f>IFERROR((s_TR/(s_RadSpec!M8*(1/8760)*s_DFA_rec_adj)),".")</f>
        <v>17223069.097044997</v>
      </c>
      <c r="AY8" s="2">
        <f>IFERROR(BO8/(s_RadSpec!AI8*s_Q_w_game*(1/1000)),".")</f>
        <v>3166240279.6423416</v>
      </c>
      <c r="AZ8" s="2" t="str">
        <f>IFERROR(BO8/(s_RadSpec!AL8*s_Q_w_fowl*(1/1000)),".")</f>
        <v>.</v>
      </c>
      <c r="BA8" s="244">
        <f t="shared" si="5"/>
        <v>4.4607199999999999E-4</v>
      </c>
      <c r="BB8" s="244">
        <f t="shared" si="6"/>
        <v>5.8061661041095883E-8</v>
      </c>
      <c r="BC8" s="244">
        <f t="shared" si="7"/>
        <v>3.15832E-10</v>
      </c>
      <c r="BD8" s="244">
        <f t="shared" si="8"/>
        <v>0</v>
      </c>
      <c r="BE8" s="2">
        <f t="shared" si="19"/>
        <v>2241.4972179642673</v>
      </c>
      <c r="BF8" s="40">
        <f t="shared" si="9"/>
        <v>44000</v>
      </c>
      <c r="BG8" s="40">
        <f t="shared" si="10"/>
        <v>2.5114155251141552</v>
      </c>
      <c r="BH8" s="19">
        <f>IFERROR(s_C*s_RadSpec!AI8*s_Q_w_game*(1/1000)*s_EF_rec*s_ED_rec*s_IRGL_rec*s_CF_game,".")</f>
        <v>2.2000000000000002E-2</v>
      </c>
      <c r="BI8" s="19">
        <f>IFERROR(s_C*s_RadSpec!AL8*s_Q_w_fowl*(1/1000)*s_EF_rec*s_ED_rec*s_IRGL_rec*s_CF_fowl,0)</f>
        <v>0</v>
      </c>
      <c r="BJ8" s="18"/>
      <c r="BK8" s="18"/>
      <c r="BL8" s="5"/>
      <c r="BM8" s="5"/>
      <c r="BN8" s="18"/>
      <c r="BO8" s="2">
        <f>IFERROR(s_TR/(s_RadSpec!H8*s_EF_rec*s_ED_rec*s_IRGL_rec*s_CF_game),".")</f>
        <v>12664.961118569367</v>
      </c>
      <c r="BP8" s="2">
        <f>IFERROR(s_TR/(s_RadSpec!H8*s_EF_rec*s_ED_rec*s_IRGF_rec*s_CF_fowl),".")</f>
        <v>12664.961118569367</v>
      </c>
      <c r="BQ8" s="19">
        <f t="shared" si="11"/>
        <v>5500</v>
      </c>
      <c r="BR8" s="19">
        <f t="shared" si="12"/>
        <v>5500</v>
      </c>
      <c r="BS8" s="5"/>
      <c r="BT8" s="5"/>
    </row>
    <row r="9" spans="1:72" customFormat="1" x14ac:dyDescent="0.25">
      <c r="A9" s="44" t="s">
        <v>19</v>
      </c>
      <c r="B9" s="42" t="s">
        <v>1071</v>
      </c>
      <c r="C9" s="249"/>
      <c r="D9" s="15">
        <f>IFERROR(((s_TR/(s_RadSpec!E9*s_IFS_rec_adj*(1/1000)))*1),".")</f>
        <v>409841.94445412129</v>
      </c>
      <c r="E9" s="15">
        <f>IFERROR(IF(A9="H-3",(s_TR/((s_RadSpec!F9*s_IFA_rec_adj*(1/17)*1000))*1),(s_TR/((s_RadSpec!F9*s_IFA_rec_adj*(1/s_PEF_wind)*1000))*1)),".")</f>
        <v>24999933.537170645</v>
      </c>
      <c r="F9" s="2">
        <f>IFERROR((s_TR/(s_RadSpec!G9*s_EF_rec*(1/365)*s_ED_rec*s_RadSpec!R9*s_ET_rec*(1/24)*s_RadSpec!W9)),".")</f>
        <v>17.702045386220892</v>
      </c>
      <c r="G9" s="2">
        <f>IFERROR((BO9/(s_RadSpec!AI9*((s_Q_p_game*s_f_p_game*s_f_s_game*(s_RadSpec!BD9+s_R_es_past))+(s_Q_s_game*s_f_p_game)))),".")</f>
        <v>1427825.6956081223</v>
      </c>
      <c r="H9" s="2" t="str">
        <f>IFERROR((BO9/(s_RadSpec!AL9*((s_Q_p_fowl*s_f_p_fowl*s_f_s_fowl*(s_RadSpec!BD9+s_R_es_past))+(s_Q_s_fowl*s_f_p_fowl)))),".")</f>
        <v>.</v>
      </c>
      <c r="I9" s="244">
        <f t="shared" si="13"/>
        <v>2.439965E-6</v>
      </c>
      <c r="J9" s="244">
        <f t="shared" si="14"/>
        <v>4.0000106340809677E-8</v>
      </c>
      <c r="K9" s="244">
        <f t="shared" si="15"/>
        <v>5.6490647164332247E-2</v>
      </c>
      <c r="L9" s="244">
        <f t="shared" si="16"/>
        <v>7.0036560000000004E-7</v>
      </c>
      <c r="M9" s="244">
        <f t="shared" si="17"/>
        <v>0</v>
      </c>
      <c r="N9" s="2">
        <f t="shared" si="18"/>
        <v>17.701048846227</v>
      </c>
      <c r="O9" s="40">
        <f t="shared" si="1"/>
        <v>302.5</v>
      </c>
      <c r="P9" s="40">
        <f t="shared" si="2"/>
        <v>3.2362545583179352E-2</v>
      </c>
      <c r="Q9" s="40">
        <f>IFERROR((s_C*s_EF_rec*(1/365)*s_ED_rec*s_RadSpec!R9*s_ET_rec*(1/24)*s_RadSpec!W9),".")</f>
        <v>0.38458311949784862</v>
      </c>
      <c r="R9" s="19">
        <f>IFERROR((s_C*s_IRGL_rec*s_EF_rec*s_ED_rec*s_CF_game*s_RadSpec!AI9)*((s_Q_p_game*s_f_p_game*s_f_s_game*(s_RadSpec!BD9+s_R_es_past))+(s_Q_s_game*s_f_p_game)),".")</f>
        <v>132</v>
      </c>
      <c r="S9" s="19">
        <f>IFERROR((s_C*s_IRGF_rec*s_EF_rec*s_ED_rec*s_CF_fowl*s_RadSpec!AL9)*((s_Q_p_fowl*s_f_p_fowl*s_f_s_fowl*(s_RadSpec!BD9+s_R_es_past))+(s_Q_s_fowl*s_f_p_fowl)),0)</f>
        <v>0</v>
      </c>
      <c r="T9" s="18"/>
      <c r="U9" s="18"/>
      <c r="V9" s="18"/>
      <c r="W9" s="5"/>
      <c r="X9" s="5"/>
      <c r="Y9" s="18"/>
      <c r="Z9" s="15">
        <f>IFERROR((s_TR/(s_RadSpec!G9*s_EF_rec*(1/365)*s_ED_rec*s_RadSpec!R9*s_ET_rec*(1/24)*s_RadSpec!W9)),".")</f>
        <v>17.702045386220892</v>
      </c>
      <c r="AA9" s="15">
        <f>IFERROR((s_TR/(s_RadSpec!N9*s_EF_rec*(1/365)*s_ED_rec*s_RadSpec!S9*s_ET_rec*(1/24)*s_RadSpec!X9)),".")</f>
        <v>200.75260887433728</v>
      </c>
      <c r="AB9" s="15">
        <f>IFERROR((s_TR/(s_RadSpec!O9*s_EF_rec*(1/365)*s_ED_rec*s_RadSpec!T9*s_ET_rec*(1/24)*s_RadSpec!Y9)),".")</f>
        <v>49.161744827673417</v>
      </c>
      <c r="AC9" s="15">
        <f>IFERROR((s_TR/(s_RadSpec!P9*s_EF_rec*(1/365)*s_ED_rec*s_RadSpec!U9*s_ET_rec*(1/24)*s_RadSpec!Z9)),".")</f>
        <v>25.146990620780524</v>
      </c>
      <c r="AD9" s="15">
        <f>IFERROR((s_TR/(s_RadSpec!L9*s_EF_rec*(1/365)*s_ED_rec*s_RadSpec!Q9*s_ET_rec*(1/24)*s_RadSpec!V9)),".")</f>
        <v>367.22643535194544</v>
      </c>
      <c r="AE9" s="40">
        <f>IFERROR((s_C*s_EF_rec*(1/365)*s_ED_rec*s_RadSpec!R9*s_ET_rec*(1/24)*s_RadSpec!W9),".")</f>
        <v>0.38458311949784862</v>
      </c>
      <c r="AF9" s="40">
        <f>IFERROR((s_C*s_EF_rec*(1/365)*s_ED_rec*s_RadSpec!S9*s_ET_rec*(1/24)*s_RadSpec!X9),".")</f>
        <v>0.18776938505526386</v>
      </c>
      <c r="AG9" s="40">
        <f>IFERROR((s_C*s_EF_rec*(1/365)*s_ED_rec*s_RadSpec!T9*s_ET_rec*(1/24)*s_RadSpec!Y9),".")</f>
        <v>0.26686208497794273</v>
      </c>
      <c r="AH9" s="40">
        <f>IFERROR((s_C*s_EF_rec*(1/365)*s_ED_rec*s_RadSpec!U9*s_ET_rec*(1/24)*s_RadSpec!Z9),".")</f>
        <v>0.32373715753424653</v>
      </c>
      <c r="AI9" s="40">
        <f>IFERROR((s_C*s_EF_rec*(1/365)*s_ED_rec*s_RadSpec!Q9*s_ET_rec*(1/24)*s_RadSpec!V9),".")</f>
        <v>0.10600776812562641</v>
      </c>
      <c r="AJ9" s="18"/>
      <c r="AK9" s="18"/>
      <c r="AL9" s="18"/>
      <c r="AM9" s="18"/>
      <c r="AN9" s="18"/>
      <c r="AO9" s="15">
        <f>IFERROR((s_TR/(s_RadSpec!F9*s_IFA_rec_adj)),".")</f>
        <v>80.696003026100129</v>
      </c>
      <c r="AP9" s="15">
        <f>IFERROR((s_TR/(s_RadSpec!K9*s_EF_rec*(1/365)*s_ED_rec*s_ET_rec*(1/24)*s_GSF_a)),".")</f>
        <v>4761.1416142616554</v>
      </c>
      <c r="AQ9" s="15">
        <f t="shared" si="20"/>
        <v>79.351091151910495</v>
      </c>
      <c r="AR9" s="40">
        <f t="shared" si="3"/>
        <v>10026.041666666666</v>
      </c>
      <c r="AS9" s="40">
        <f t="shared" si="4"/>
        <v>1.5696347031963471</v>
      </c>
      <c r="AT9" s="45"/>
      <c r="AU9" s="45"/>
      <c r="AV9" s="45"/>
      <c r="AW9" s="15">
        <f>IFERROR((s_TR/(s_RadSpec!I9*s_IFW_rec_adj)),".")</f>
        <v>5917.6359754394443</v>
      </c>
      <c r="AX9" s="15">
        <f>IFERROR((s_TR/(s_RadSpec!M9*(1/8760)*s_DFA_rec_adj)),".")</f>
        <v>1375067.6133931086</v>
      </c>
      <c r="AY9" s="2">
        <f>IFERROR(BO9/(s_RadSpec!AI9*s_Q_w_game*(1/1000)),".")</f>
        <v>8566954173.6487341</v>
      </c>
      <c r="AZ9" s="2" t="str">
        <f>IFERROR(BO9/(s_RadSpec!AL9*s_Q_w_fowl*(1/1000)),".")</f>
        <v>.</v>
      </c>
      <c r="BA9" s="244">
        <f t="shared" si="5"/>
        <v>1.6898639999999999E-4</v>
      </c>
      <c r="BB9" s="244">
        <f t="shared" si="6"/>
        <v>7.2723696657534242E-7</v>
      </c>
      <c r="BC9" s="244">
        <f t="shared" si="7"/>
        <v>1.167276E-10</v>
      </c>
      <c r="BD9" s="244">
        <f t="shared" si="8"/>
        <v>0</v>
      </c>
      <c r="BE9" s="2">
        <f t="shared" si="19"/>
        <v>5892.2743633494956</v>
      </c>
      <c r="BF9" s="40">
        <f t="shared" si="9"/>
        <v>44000</v>
      </c>
      <c r="BG9" s="40">
        <f t="shared" si="10"/>
        <v>2.5114155251141552</v>
      </c>
      <c r="BH9" s="19">
        <f>IFERROR(s_C*s_RadSpec!AI9*s_Q_w_game*(1/1000)*s_EF_rec*s_ED_rec*s_IRGL_rec*s_CF_game,".")</f>
        <v>2.2000000000000002E-2</v>
      </c>
      <c r="BI9" s="19">
        <f>IFERROR(s_C*s_RadSpec!AL9*s_Q_w_fowl*(1/1000)*s_EF_rec*s_ED_rec*s_IRGL_rec*s_CF_fowl,0)</f>
        <v>0</v>
      </c>
      <c r="BJ9" s="18"/>
      <c r="BK9" s="18"/>
      <c r="BL9" s="5"/>
      <c r="BM9" s="5"/>
      <c r="BN9" s="18"/>
      <c r="BO9" s="2">
        <f>IFERROR(s_TR/(s_RadSpec!H9*s_EF_rec*s_ED_rec*s_IRGL_rec*s_CF_game),".")</f>
        <v>34267.816694594934</v>
      </c>
      <c r="BP9" s="2">
        <f>IFERROR(s_TR/(s_RadSpec!H9*s_EF_rec*s_ED_rec*s_IRGF_rec*s_CF_fowl),".")</f>
        <v>34267.816694594934</v>
      </c>
      <c r="BQ9" s="19">
        <f t="shared" si="11"/>
        <v>5500</v>
      </c>
      <c r="BR9" s="19">
        <f t="shared" si="12"/>
        <v>5500</v>
      </c>
      <c r="BS9" s="5"/>
      <c r="BT9" s="5"/>
    </row>
    <row r="10" spans="1:72" customFormat="1" x14ac:dyDescent="0.25">
      <c r="A10" s="46" t="s">
        <v>20</v>
      </c>
      <c r="B10" s="42" t="s">
        <v>349</v>
      </c>
      <c r="C10" s="42"/>
      <c r="D10" s="15">
        <f>IFERROR(((s_TR/(s_RadSpec!E10*s_IFS_rec_adj*(1/1000)))*1),".")</f>
        <v>3884.5888648260193</v>
      </c>
      <c r="E10" s="15">
        <f>IFERROR(IF(A10="H-3",(s_TR/((s_RadSpec!F10*s_IFA_rec_adj*(1/17)*1000))*1),(s_TR/((s_RadSpec!F10*s_IFA_rec_adj*(1/s_PEF_wind)*1000))*1)),".")</f>
        <v>13735738.732193686</v>
      </c>
      <c r="F10" s="2">
        <f>IFERROR((s_TR/(s_RadSpec!G10*s_EF_rec*(1/365)*s_ED_rec*s_RadSpec!R10*s_ET_rec*(1/24)*s_RadSpec!W10)),".")</f>
        <v>450431.89346158871</v>
      </c>
      <c r="G10" s="2">
        <f>IFERROR((BO10/(s_RadSpec!AI10*((s_Q_p_game*s_f_p_game*s_f_s_game*(s_RadSpec!BD10+s_R_es_past))+(s_Q_s_game*s_f_p_game)))),".")</f>
        <v>1337.6149376846229</v>
      </c>
      <c r="H10" s="2">
        <f>IFERROR((BO10/(s_RadSpec!AL10*((s_Q_p_fowl*s_f_p_fowl*s_f_s_fowl*(s_RadSpec!BD10+s_R_es_past))+(s_Q_s_fowl*s_f_p_fowl)))),".")</f>
        <v>10.899084677430258</v>
      </c>
      <c r="I10" s="244">
        <f t="shared" si="13"/>
        <v>2.5742749999999997E-4</v>
      </c>
      <c r="J10" s="244">
        <f t="shared" si="14"/>
        <v>7.2802782543920272E-8</v>
      </c>
      <c r="K10" s="244">
        <f t="shared" si="15"/>
        <v>2.2200914600317409E-6</v>
      </c>
      <c r="L10" s="244">
        <f t="shared" si="16"/>
        <v>7.4759930666666618E-4</v>
      </c>
      <c r="M10" s="244">
        <f t="shared" si="17"/>
        <v>9.1750823999999967E-2</v>
      </c>
      <c r="N10" s="2">
        <f t="shared" si="18"/>
        <v>10.780724582247091</v>
      </c>
      <c r="O10" s="40">
        <f t="shared" si="1"/>
        <v>302.5</v>
      </c>
      <c r="P10" s="40">
        <f t="shared" si="2"/>
        <v>3.2362545583179352E-2</v>
      </c>
      <c r="Q10" s="40">
        <f>IFERROR((s_C*s_EF_rec*(1/365)*s_ED_rec*s_RadSpec!R10*s_ET_rec*(1/24)*s_RadSpec!W10),".")</f>
        <v>0.20098980955562981</v>
      </c>
      <c r="R10" s="19">
        <f>IFERROR((s_C*s_IRGL_rec*s_EF_rec*s_ED_rec*s_CF_game*s_RadSpec!AI10)*((s_Q_p_game*s_f_p_game*s_f_s_game*(s_RadSpec!BD10+s_R_es_past))+(s_Q_s_game*s_f_p_game)),".")</f>
        <v>1000.2666666666663</v>
      </c>
      <c r="S10" s="19">
        <f>IFERROR((s_C*s_IRGF_rec*s_EF_rec*s_ED_rec*s_CF_fowl*s_RadSpec!AL10)*((s_Q_p_fowl*s_f_p_fowl*s_f_s_fowl*(s_RadSpec!BD10+s_R_es_past))+(s_Q_s_fowl*s_f_p_fowl)),0)</f>
        <v>122759.99999999997</v>
      </c>
      <c r="T10" s="18"/>
      <c r="U10" s="18"/>
      <c r="V10" s="18"/>
      <c r="W10" s="5"/>
      <c r="X10" s="5"/>
      <c r="Y10" s="18"/>
      <c r="Z10" s="15">
        <f>IFERROR((s_TR/(s_RadSpec!G10*s_EF_rec*(1/365)*s_ED_rec*s_RadSpec!R10*s_ET_rec*(1/24)*s_RadSpec!W10)),".")</f>
        <v>450431.89346158871</v>
      </c>
      <c r="AA10" s="15">
        <f>IFERROR((s_TR/(s_RadSpec!N10*s_EF_rec*(1/365)*s_ED_rec*s_RadSpec!S10*s_ET_rec*(1/24)*s_RadSpec!X10)),".")</f>
        <v>2014533.7408933809</v>
      </c>
      <c r="AB10" s="15">
        <f>IFERROR((s_TR/(s_RadSpec!O10*s_EF_rec*(1/365)*s_ED_rec*s_RadSpec!T10*s_ET_rec*(1/24)*s_RadSpec!Y10)),".")</f>
        <v>652775.28591987269</v>
      </c>
      <c r="AC10" s="15">
        <f>IFERROR((s_TR/(s_RadSpec!P10*s_EF_rec*(1/365)*s_ED_rec*s_RadSpec!U10*s_ET_rec*(1/24)*s_RadSpec!Z10)),".")</f>
        <v>467337.64038253075</v>
      </c>
      <c r="AD10" s="15">
        <f>IFERROR((s_TR/(s_RadSpec!L10*s_EF_rec*(1/365)*s_ED_rec*s_RadSpec!Q10*s_ET_rec*(1/24)*s_RadSpec!V10)),".")</f>
        <v>1177450.6336254212</v>
      </c>
      <c r="AE10" s="40">
        <f>IFERROR((s_C*s_EF_rec*(1/365)*s_ED_rec*s_RadSpec!R10*s_ET_rec*(1/24)*s_RadSpec!W10),".")</f>
        <v>0.20098980955562981</v>
      </c>
      <c r="AF10" s="40">
        <f>IFERROR((s_C*s_EF_rec*(1/365)*s_ED_rec*s_RadSpec!S10*s_ET_rec*(1/24)*s_RadSpec!X10),".")</f>
        <v>0.12898302561048247</v>
      </c>
      <c r="AG10" s="40">
        <f>IFERROR((s_C*s_EF_rec*(1/365)*s_ED_rec*s_RadSpec!T10*s_ET_rec*(1/24)*s_RadSpec!Y10),".")</f>
        <v>0.18061539684366892</v>
      </c>
      <c r="AH10" s="40">
        <f>IFERROR((s_C*s_EF_rec*(1/365)*s_ED_rec*s_RadSpec!U10*s_ET_rec*(1/24)*s_RadSpec!Z10),".")</f>
        <v>0.1974765681326604</v>
      </c>
      <c r="AI10" s="40">
        <f>IFERROR((s_C*s_EF_rec*(1/365)*s_ED_rec*s_RadSpec!Q10*s_ET_rec*(1/24)*s_RadSpec!V10),".")</f>
        <v>7.6726124780886834E-2</v>
      </c>
      <c r="AJ10" s="18"/>
      <c r="AK10" s="18"/>
      <c r="AL10" s="18"/>
      <c r="AM10" s="18"/>
      <c r="AN10" s="18"/>
      <c r="AO10" s="15">
        <f>IFERROR((s_TR/(s_RadSpec!F10*s_IFA_rec_adj)),".")</f>
        <v>44.336886442149606</v>
      </c>
      <c r="AP10" s="15">
        <f>IFERROR((s_TR/(s_RadSpec!K10*s_EF_rec*(1/365)*s_ED_rec*s_ET_rec*(1/24)*s_GSF_a)),".")</f>
        <v>19626864.352316026</v>
      </c>
      <c r="AQ10" s="15">
        <f t="shared" si="20"/>
        <v>44.33678628580148</v>
      </c>
      <c r="AR10" s="40">
        <f t="shared" si="3"/>
        <v>10026.041666666666</v>
      </c>
      <c r="AS10" s="40">
        <f t="shared" si="4"/>
        <v>1.5696347031963471</v>
      </c>
      <c r="AT10" s="45"/>
      <c r="AU10" s="45"/>
      <c r="AV10" s="45"/>
      <c r="AW10" s="15">
        <f>IFERROR((s_TR/(s_RadSpec!I10*s_IFW_rec_adj)),".")</f>
        <v>37.272488728799409</v>
      </c>
      <c r="AX10" s="15">
        <f>IFERROR((s_TR/(s_RadSpec!M10*(1/8760)*s_DFA_rec_adj)),".")</f>
        <v>8880645003.1638279</v>
      </c>
      <c r="AY10" s="2">
        <f>IFERROR(BO10/(s_RadSpec!AI10*s_Q_w_game*(1/1000)),".")</f>
        <v>5528808.4090964384</v>
      </c>
      <c r="AZ10" s="2">
        <f>IFERROR(BO10/(s_RadSpec!AL10*s_Q_w_fowl*(1/1000)),".")</f>
        <v>45049.550000045056</v>
      </c>
      <c r="BA10" s="244">
        <f t="shared" si="5"/>
        <v>2.682944E-2</v>
      </c>
      <c r="BB10" s="244">
        <f t="shared" si="6"/>
        <v>1.1260443353424655E-10</v>
      </c>
      <c r="BC10" s="244">
        <f t="shared" si="7"/>
        <v>1.8087079999999999E-7</v>
      </c>
      <c r="BD10" s="244">
        <f t="shared" si="8"/>
        <v>2.2197779999999998E-5</v>
      </c>
      <c r="BE10" s="2">
        <f t="shared" si="19"/>
        <v>37.241425201441885</v>
      </c>
      <c r="BF10" s="40">
        <f t="shared" si="9"/>
        <v>44000</v>
      </c>
      <c r="BG10" s="40">
        <f t="shared" si="10"/>
        <v>2.5114155251141552</v>
      </c>
      <c r="BH10" s="19">
        <f>IFERROR(s_C*s_RadSpec!AI10*s_Q_w_game*(1/1000)*s_EF_rec*s_ED_rec*s_IRGL_rec*s_CF_game,".")</f>
        <v>0.24199999999999999</v>
      </c>
      <c r="BI10" s="19">
        <f>IFERROR(s_C*s_RadSpec!AL10*s_Q_w_fowl*(1/1000)*s_EF_rec*s_ED_rec*s_IRGL_rec*s_CF_fowl,0)</f>
        <v>29.699999999999996</v>
      </c>
      <c r="BJ10" s="18"/>
      <c r="BK10" s="18"/>
      <c r="BL10" s="5"/>
      <c r="BM10" s="5"/>
      <c r="BN10" s="18"/>
      <c r="BO10" s="2">
        <f>IFERROR(s_TR/(s_RadSpec!H10*s_EF_rec*s_ED_rec*s_IRGL_rec*s_CF_game),".")</f>
        <v>243.2675700002433</v>
      </c>
      <c r="BP10" s="2">
        <f>IFERROR(s_TR/(s_RadSpec!H10*s_EF_rec*s_ED_rec*s_IRGF_rec*s_CF_fowl),".")</f>
        <v>243.2675700002433</v>
      </c>
      <c r="BQ10" s="19">
        <f t="shared" si="11"/>
        <v>5500</v>
      </c>
      <c r="BR10" s="19">
        <f t="shared" si="12"/>
        <v>5500</v>
      </c>
      <c r="BS10" s="5"/>
      <c r="BT10" s="5"/>
    </row>
    <row r="11" spans="1:72" customFormat="1" x14ac:dyDescent="0.25">
      <c r="A11" s="44" t="s">
        <v>21</v>
      </c>
      <c r="B11" s="42" t="s">
        <v>1071</v>
      </c>
      <c r="C11" s="42"/>
      <c r="D11" s="15" t="str">
        <f>IFERROR(((s_TR/(s_RadSpec!E11*s_IFS_rec_adj*(1/1000)))*1),".")</f>
        <v>.</v>
      </c>
      <c r="E11" s="15" t="str">
        <f>IFERROR(IF(A11="H-3",(s_TR/((s_RadSpec!F11*s_IFA_rec_adj*(1/17)*1000))*1),(s_TR/((s_RadSpec!F11*s_IFA_rec_adj*(1/s_PEF_wind)*1000))*1)),".")</f>
        <v>.</v>
      </c>
      <c r="F11" s="2">
        <f>IFERROR((s_TR/(s_RadSpec!G11*s_EF_rec*(1/365)*s_ED_rec*s_RadSpec!R11*s_ET_rec*(1/24)*s_RadSpec!W11)),".")</f>
        <v>7094.2571502794317</v>
      </c>
      <c r="G11" s="2" t="str">
        <f>IFERROR((BO11/(s_RadSpec!AI11*((s_Q_p_game*s_f_p_game*s_f_s_game*(s_RadSpec!BD11+s_R_es_past))+(s_Q_s_game*s_f_p_game)))),".")</f>
        <v>.</v>
      </c>
      <c r="H11" s="2" t="str">
        <f>IFERROR((BO11/(s_RadSpec!AL11*((s_Q_p_fowl*s_f_p_fowl*s_f_s_fowl*(s_RadSpec!BD11+s_R_es_past))+(s_Q_s_fowl*s_f_p_fowl)))),".")</f>
        <v>.</v>
      </c>
      <c r="I11" s="244">
        <f t="shared" si="13"/>
        <v>0</v>
      </c>
      <c r="J11" s="244">
        <f t="shared" si="14"/>
        <v>0</v>
      </c>
      <c r="K11" s="244">
        <f t="shared" si="15"/>
        <v>1.409590854710717E-4</v>
      </c>
      <c r="L11" s="244">
        <f t="shared" si="16"/>
        <v>0</v>
      </c>
      <c r="M11" s="244">
        <f t="shared" si="17"/>
        <v>0</v>
      </c>
      <c r="N11" s="2">
        <f t="shared" si="18"/>
        <v>7094.2571502794317</v>
      </c>
      <c r="O11" s="40">
        <f t="shared" si="1"/>
        <v>302.5</v>
      </c>
      <c r="P11" s="40">
        <f t="shared" si="2"/>
        <v>3.2362545583179352E-2</v>
      </c>
      <c r="Q11" s="40">
        <f>IFERROR((s_C*s_EF_rec*(1/365)*s_ED_rec*s_RadSpec!R11*s_ET_rec*(1/24)*s_RadSpec!W11),".")</f>
        <v>6.7217297878055346E-2</v>
      </c>
      <c r="R11" s="19">
        <f>IFERROR((s_C*s_IRGL_rec*s_EF_rec*s_ED_rec*s_CF_game*s_RadSpec!AI11)*((s_Q_p_game*s_f_p_game*s_f_s_game*(s_RadSpec!BD11+s_R_es_past))+(s_Q_s_game*s_f_p_game)),".")</f>
        <v>1452.0000000000002</v>
      </c>
      <c r="S11" s="19">
        <f>IFERROR((s_C*s_IRGF_rec*s_EF_rec*s_ED_rec*s_CF_fowl*s_RadSpec!AL11)*((s_Q_p_fowl*s_f_p_fowl*s_f_s_fowl*(s_RadSpec!BD11+s_R_es_past))+(s_Q_s_fowl*s_f_p_fowl)),0)</f>
        <v>0</v>
      </c>
      <c r="T11" s="18"/>
      <c r="U11" s="18"/>
      <c r="V11" s="18"/>
      <c r="W11" s="5"/>
      <c r="X11" s="5"/>
      <c r="Y11" s="18"/>
      <c r="Z11" s="15">
        <f>IFERROR((s_TR/(s_RadSpec!G11*s_EF_rec*(1/365)*s_ED_rec*s_RadSpec!R11*s_ET_rec*(1/24)*s_RadSpec!W11)),".")</f>
        <v>7094.2571502794317</v>
      </c>
      <c r="AA11" s="15">
        <f>IFERROR((s_TR/(s_RadSpec!N11*s_EF_rec*(1/365)*s_ED_rec*s_RadSpec!S11*s_ET_rec*(1/24)*s_RadSpec!X11)),".")</f>
        <v>36774.492926136889</v>
      </c>
      <c r="AB11" s="15">
        <f>IFERROR((s_TR/(s_RadSpec!O11*s_EF_rec*(1/365)*s_ED_rec*s_RadSpec!T11*s_ET_rec*(1/24)*s_RadSpec!Y11)),".")</f>
        <v>10344.019530920519</v>
      </c>
      <c r="AC11" s="15">
        <f>IFERROR((s_TR/(s_RadSpec!P11*s_EF_rec*(1/365)*s_ED_rec*s_RadSpec!U11*s_ET_rec*(1/24)*s_RadSpec!Z11)),".")</f>
        <v>6889.2942310004073</v>
      </c>
      <c r="AD11" s="15">
        <f>IFERROR((s_TR/(s_RadSpec!L11*s_EF_rec*(1/365)*s_ED_rec*s_RadSpec!Q11*s_ET_rec*(1/24)*s_RadSpec!V11)),".")</f>
        <v>69474.433698220411</v>
      </c>
      <c r="AE11" s="40">
        <f>IFERROR((s_C*s_EF_rec*(1/365)*s_ED_rec*s_RadSpec!R11*s_ET_rec*(1/24)*s_RadSpec!W11),".")</f>
        <v>6.7217297878055346E-2</v>
      </c>
      <c r="AF11" s="40">
        <f>IFERROR((s_C*s_EF_rec*(1/365)*s_ED_rec*s_RadSpec!S11*s_ET_rec*(1/24)*s_RadSpec!X11),".")</f>
        <v>5.3122324486301366E-2</v>
      </c>
      <c r="AG11" s="40">
        <f>IFERROR((s_C*s_EF_rec*(1/365)*s_ED_rec*s_RadSpec!T11*s_ET_rec*(1/24)*s_RadSpec!Y11),".")</f>
        <v>6.8448383919777964E-2</v>
      </c>
      <c r="AH11" s="40">
        <f>IFERROR((s_C*s_EF_rec*(1/365)*s_ED_rec*s_RadSpec!U11*s_ET_rec*(1/24)*s_RadSpec!Z11),".")</f>
        <v>7.1857726508050931E-2</v>
      </c>
      <c r="AI11" s="40">
        <f>IFERROR((s_C*s_EF_rec*(1/365)*s_ED_rec*s_RadSpec!Q11*s_ET_rec*(1/24)*s_RadSpec!V11),".")</f>
        <v>2.8535503937528954E-2</v>
      </c>
      <c r="AJ11" s="18"/>
      <c r="AK11" s="18"/>
      <c r="AL11" s="18"/>
      <c r="AM11" s="18"/>
      <c r="AN11" s="18"/>
      <c r="AO11" s="15" t="str">
        <f>IFERROR((s_TR/(s_RadSpec!F11*s_IFA_rec_adj)),".")</f>
        <v>.</v>
      </c>
      <c r="AP11" s="15">
        <f>IFERROR((s_TR/(s_RadSpec!K11*s_EF_rec*(1/365)*s_ED_rec*s_ET_rec*(1/24)*s_GSF_a)),".")</f>
        <v>276406.7016182298</v>
      </c>
      <c r="AQ11" s="15">
        <f t="shared" si="20"/>
        <v>276406.7016182298</v>
      </c>
      <c r="AR11" s="40">
        <f t="shared" si="3"/>
        <v>10026.041666666666</v>
      </c>
      <c r="AS11" s="40">
        <f t="shared" si="4"/>
        <v>1.5696347031963471</v>
      </c>
      <c r="AT11" s="45"/>
      <c r="AU11" s="45"/>
      <c r="AV11" s="45"/>
      <c r="AW11" s="15" t="str">
        <f>IFERROR((s_TR/(s_RadSpec!I11*s_IFW_rec_adj)),".")</f>
        <v>.</v>
      </c>
      <c r="AX11" s="15">
        <f>IFERROR((s_TR/(s_RadSpec!M11*(1/8760)*s_DFA_rec_adj)),".")</f>
        <v>78575292.193891913</v>
      </c>
      <c r="AY11" s="2" t="str">
        <f>IFERROR(BO11/(s_RadSpec!AI11*s_Q_w_game*(1/1000)),".")</f>
        <v>.</v>
      </c>
      <c r="AZ11" s="2" t="str">
        <f>IFERROR(BO11/(s_RadSpec!AL11*s_Q_w_fowl*(1/1000)),".")</f>
        <v>.</v>
      </c>
      <c r="BA11" s="244">
        <f t="shared" si="5"/>
        <v>0</v>
      </c>
      <c r="BB11" s="244">
        <f t="shared" si="6"/>
        <v>1.2726646915068493E-8</v>
      </c>
      <c r="BC11" s="244">
        <f t="shared" si="7"/>
        <v>0</v>
      </c>
      <c r="BD11" s="244">
        <f t="shared" si="8"/>
        <v>0</v>
      </c>
      <c r="BE11" s="2">
        <f t="shared" si="19"/>
        <v>78575292.193891913</v>
      </c>
      <c r="BF11" s="40">
        <f t="shared" si="9"/>
        <v>44000</v>
      </c>
      <c r="BG11" s="40">
        <f t="shared" si="10"/>
        <v>2.5114155251141552</v>
      </c>
      <c r="BH11" s="19">
        <f>IFERROR(s_C*s_RadSpec!AI11*s_Q_w_game*(1/1000)*s_EF_rec*s_ED_rec*s_IRGL_rec*s_CF_game,".")</f>
        <v>0.32999999999999996</v>
      </c>
      <c r="BI11" s="19">
        <f>IFERROR(s_C*s_RadSpec!AL11*s_Q_w_fowl*(1/1000)*s_EF_rec*s_ED_rec*s_IRGL_rec*s_CF_fowl,0)</f>
        <v>0</v>
      </c>
      <c r="BJ11" s="18"/>
      <c r="BK11" s="18"/>
      <c r="BL11" s="5"/>
      <c r="BM11" s="5"/>
      <c r="BN11" s="18"/>
      <c r="BO11" s="2" t="str">
        <f>IFERROR(s_TR/(s_RadSpec!H11*s_EF_rec*s_ED_rec*s_IRGL_rec*s_CF_game),".")</f>
        <v>.</v>
      </c>
      <c r="BP11" s="2" t="str">
        <f>IFERROR(s_TR/(s_RadSpec!H11*s_EF_rec*s_ED_rec*s_IRGF_rec*s_CF_fowl),".")</f>
        <v>.</v>
      </c>
      <c r="BQ11" s="19">
        <f t="shared" si="11"/>
        <v>5500</v>
      </c>
      <c r="BR11" s="19">
        <f t="shared" si="12"/>
        <v>5500</v>
      </c>
      <c r="BS11" s="5"/>
      <c r="BT11" s="5"/>
    </row>
    <row r="12" spans="1:72" customFormat="1" x14ac:dyDescent="0.25">
      <c r="A12" s="44" t="s">
        <v>22</v>
      </c>
      <c r="B12" s="42" t="s">
        <v>1071</v>
      </c>
      <c r="C12" s="249"/>
      <c r="D12" s="15" t="str">
        <f>IFERROR(((s_TR/(s_RadSpec!E12*s_IFS_rec_adj*(1/1000)))*1),".")</f>
        <v>.</v>
      </c>
      <c r="E12" s="15" t="str">
        <f>IFERROR(IF(A12="H-3",(s_TR/((s_RadSpec!F12*s_IFA_rec_adj*(1/17)*1000))*1),(s_TR/((s_RadSpec!F12*s_IFA_rec_adj*(1/s_PEF_wind)*1000))*1)),".")</f>
        <v>.</v>
      </c>
      <c r="F12" s="2">
        <f>IFERROR((s_TR/(s_RadSpec!G12*s_EF_rec*(1/365)*s_ED_rec*s_RadSpec!R12*s_ET_rec*(1/24)*s_RadSpec!W12)),".")</f>
        <v>737.29994894191623</v>
      </c>
      <c r="G12" s="2" t="str">
        <f>IFERROR((BO12/(s_RadSpec!AI12*((s_Q_p_game*s_f_p_game*s_f_s_game*(s_RadSpec!BD12+s_R_es_past))+(s_Q_s_game*s_f_p_game)))),".")</f>
        <v>.</v>
      </c>
      <c r="H12" s="2" t="str">
        <f>IFERROR((BO12/(s_RadSpec!AL12*((s_Q_p_fowl*s_f_p_fowl*s_f_s_fowl*(s_RadSpec!BD12+s_R_es_past))+(s_Q_s_fowl*s_f_p_fowl)))),".")</f>
        <v>.</v>
      </c>
      <c r="I12" s="244">
        <f t="shared" si="13"/>
        <v>0</v>
      </c>
      <c r="J12" s="244">
        <f t="shared" si="14"/>
        <v>0</v>
      </c>
      <c r="K12" s="244">
        <f t="shared" si="15"/>
        <v>1.3563001074868907E-3</v>
      </c>
      <c r="L12" s="244">
        <f t="shared" si="16"/>
        <v>0</v>
      </c>
      <c r="M12" s="244">
        <f t="shared" si="17"/>
        <v>0</v>
      </c>
      <c r="N12" s="2">
        <f t="shared" si="18"/>
        <v>737.29994894191623</v>
      </c>
      <c r="O12" s="40">
        <f t="shared" si="1"/>
        <v>302.5</v>
      </c>
      <c r="P12" s="40">
        <f t="shared" si="2"/>
        <v>3.2362545583179352E-2</v>
      </c>
      <c r="Q12" s="40">
        <f>IFERROR((s_C*s_EF_rec*(1/365)*s_ED_rec*s_RadSpec!R12*s_ET_rec*(1/24)*s_RadSpec!W12),".")</f>
        <v>0.14028775593491802</v>
      </c>
      <c r="R12" s="19">
        <f>IFERROR((s_C*s_IRGL_rec*s_EF_rec*s_ED_rec*s_CF_game*s_RadSpec!AI12)*((s_Q_p_game*s_f_p_game*s_f_s_game*(s_RadSpec!BD12+s_R_es_past))+(s_Q_s_game*s_f_p_game)),".")</f>
        <v>880</v>
      </c>
      <c r="S12" s="19">
        <f>IFERROR((s_C*s_IRGF_rec*s_EF_rec*s_ED_rec*s_CF_fowl*s_RadSpec!AL12)*((s_Q_p_fowl*s_f_p_fowl*s_f_s_fowl*(s_RadSpec!BD12+s_R_es_past))+(s_Q_s_fowl*s_f_p_fowl)),0)</f>
        <v>2640</v>
      </c>
      <c r="T12" s="18"/>
      <c r="U12" s="18"/>
      <c r="V12" s="18"/>
      <c r="W12" s="5"/>
      <c r="X12" s="5"/>
      <c r="Y12" s="18"/>
      <c r="Z12" s="15">
        <f>IFERROR((s_TR/(s_RadSpec!G12*s_EF_rec*(1/365)*s_ED_rec*s_RadSpec!R12*s_ET_rec*(1/24)*s_RadSpec!W12)),".")</f>
        <v>737.29994894191623</v>
      </c>
      <c r="AA12" s="15">
        <f>IFERROR((s_TR/(s_RadSpec!N12*s_EF_rec*(1/365)*s_ED_rec*s_RadSpec!S12*s_ET_rec*(1/24)*s_RadSpec!X12)),".")</f>
        <v>5820.8338233812192</v>
      </c>
      <c r="AB12" s="15">
        <f>IFERROR((s_TR/(s_RadSpec!O12*s_EF_rec*(1/365)*s_ED_rec*s_RadSpec!T12*s_ET_rec*(1/24)*s_RadSpec!Y12)),".")</f>
        <v>1513.2447584318531</v>
      </c>
      <c r="AC12" s="15">
        <f>IFERROR((s_TR/(s_RadSpec!P12*s_EF_rec*(1/365)*s_ED_rec*s_RadSpec!U12*s_ET_rec*(1/24)*s_RadSpec!Z12)),".")</f>
        <v>906.13173289828796</v>
      </c>
      <c r="AD12" s="15">
        <f>IFERROR((s_TR/(s_RadSpec!L12*s_EF_rec*(1/365)*s_ED_rec*s_RadSpec!Q12*s_ET_rec*(1/24)*s_RadSpec!V12)),".")</f>
        <v>9878.1149289878067</v>
      </c>
      <c r="AE12" s="40">
        <f>IFERROR((s_C*s_EF_rec*(1/365)*s_ED_rec*s_RadSpec!R12*s_ET_rec*(1/24)*s_RadSpec!W12),".")</f>
        <v>0.14028775593491802</v>
      </c>
      <c r="AF12" s="40">
        <f>IFERROR((s_C*s_EF_rec*(1/365)*s_ED_rec*s_RadSpec!S12*s_ET_rec*(1/24)*s_RadSpec!X12),".")</f>
        <v>7.8195507655116819E-2</v>
      </c>
      <c r="AG12" s="40">
        <f>IFERROR((s_C*s_EF_rec*(1/365)*s_ED_rec*s_RadSpec!T12*s_ET_rec*(1/24)*s_RadSpec!Y12),".")</f>
        <v>0.10784283699001378</v>
      </c>
      <c r="AH12" s="40">
        <f>IFERROR((s_C*s_EF_rec*(1/365)*s_ED_rec*s_RadSpec!U12*s_ET_rec*(1/24)*s_RadSpec!Z12),".")</f>
        <v>0.12211303024286946</v>
      </c>
      <c r="AI12" s="40">
        <f>IFERROR((s_C*s_EF_rec*(1/365)*s_ED_rec*s_RadSpec!Q12*s_ET_rec*(1/24)*s_RadSpec!V12),".")</f>
        <v>4.5297924195310521E-2</v>
      </c>
      <c r="AJ12" s="18"/>
      <c r="AK12" s="18"/>
      <c r="AL12" s="18"/>
      <c r="AM12" s="18"/>
      <c r="AN12" s="18"/>
      <c r="AO12" s="15" t="str">
        <f>IFERROR((s_TR/(s_RadSpec!F12*s_IFA_rec_adj)),".")</f>
        <v>.</v>
      </c>
      <c r="AP12" s="15">
        <f>IFERROR((s_TR/(s_RadSpec!K12*s_EF_rec*(1/365)*s_ED_rec*s_ET_rec*(1/24)*s_GSF_a)),".")</f>
        <v>64191.391646398297</v>
      </c>
      <c r="AQ12" s="15">
        <f t="shared" si="20"/>
        <v>64191.391646398297</v>
      </c>
      <c r="AR12" s="40">
        <f t="shared" si="3"/>
        <v>10026.041666666666</v>
      </c>
      <c r="AS12" s="40">
        <f t="shared" si="4"/>
        <v>1.5696347031963471</v>
      </c>
      <c r="AT12" s="45"/>
      <c r="AU12" s="45"/>
      <c r="AV12" s="45"/>
      <c r="AW12" s="15" t="str">
        <f>IFERROR((s_TR/(s_RadSpec!I12*s_IFW_rec_adj)),".")</f>
        <v>.</v>
      </c>
      <c r="AX12" s="15">
        <f>IFERROR((s_TR/(s_RadSpec!M12*(1/8760)*s_DFA_rec_adj)),".")</f>
        <v>18433338.817377891</v>
      </c>
      <c r="AY12" s="2" t="str">
        <f>IFERROR(BO12/(s_RadSpec!AI12*s_Q_w_game*(1/1000)),".")</f>
        <v>.</v>
      </c>
      <c r="AZ12" s="2" t="str">
        <f>IFERROR(BO12/(s_RadSpec!AL12*s_Q_w_fowl*(1/1000)),".")</f>
        <v>.</v>
      </c>
      <c r="BA12" s="244">
        <f t="shared" si="5"/>
        <v>0</v>
      </c>
      <c r="BB12" s="244">
        <f t="shared" si="6"/>
        <v>5.4249531780821903E-8</v>
      </c>
      <c r="BC12" s="244">
        <f t="shared" si="7"/>
        <v>0</v>
      </c>
      <c r="BD12" s="244">
        <f t="shared" si="8"/>
        <v>0</v>
      </c>
      <c r="BE12" s="2">
        <f t="shared" si="19"/>
        <v>18433338.817377891</v>
      </c>
      <c r="BF12" s="40">
        <f t="shared" si="9"/>
        <v>44000</v>
      </c>
      <c r="BG12" s="40">
        <f t="shared" si="10"/>
        <v>2.5114155251141552</v>
      </c>
      <c r="BH12" s="19">
        <f>IFERROR(s_C*s_RadSpec!AI12*s_Q_w_game*(1/1000)*s_EF_rec*s_ED_rec*s_IRGL_rec*s_CF_game,".")</f>
        <v>0.11000000000000001</v>
      </c>
      <c r="BI12" s="19">
        <f>IFERROR(s_C*s_RadSpec!AL12*s_Q_w_fowl*(1/1000)*s_EF_rec*s_ED_rec*s_IRGL_rec*s_CF_fowl,0)</f>
        <v>0.32999999999999996</v>
      </c>
      <c r="BJ12" s="18"/>
      <c r="BK12" s="18"/>
      <c r="BL12" s="5"/>
      <c r="BM12" s="5"/>
      <c r="BN12" s="18"/>
      <c r="BO12" s="2" t="str">
        <f>IFERROR(s_TR/(s_RadSpec!H12*s_EF_rec*s_ED_rec*s_IRGL_rec*s_CF_game),".")</f>
        <v>.</v>
      </c>
      <c r="BP12" s="2" t="str">
        <f>IFERROR(s_TR/(s_RadSpec!H12*s_EF_rec*s_ED_rec*s_IRGF_rec*s_CF_fowl),".")</f>
        <v>.</v>
      </c>
      <c r="BQ12" s="19">
        <f t="shared" si="11"/>
        <v>5500</v>
      </c>
      <c r="BR12" s="19">
        <f t="shared" si="12"/>
        <v>5500</v>
      </c>
      <c r="BS12" s="5"/>
      <c r="BT12" s="5"/>
    </row>
    <row r="13" spans="1:72" customFormat="1" x14ac:dyDescent="0.25">
      <c r="A13" s="44" t="s">
        <v>23</v>
      </c>
      <c r="B13" s="42" t="s">
        <v>1071</v>
      </c>
      <c r="C13" s="42"/>
      <c r="D13" s="15">
        <f>IFERROR(((s_TR/(s_RadSpec!E13*s_IFS_rec_adj*(1/1000)))*1),".")</f>
        <v>1325.6015414094722</v>
      </c>
      <c r="E13" s="15">
        <f>IFERROR(IF(A13="H-3",(s_TR/((s_RadSpec!F13*s_IFA_rec_adj*(1/17)*1000))*1),(s_TR/((s_RadSpec!F13*s_IFA_rec_adj*(1/s_PEF_wind)*1000))*1)),".")</f>
        <v>53879.542897895233</v>
      </c>
      <c r="F13" s="2">
        <f>IFERROR((s_TR/(s_RadSpec!G13*s_EF_rec*(1/365)*s_ED_rec*s_RadSpec!R13*s_ET_rec*(1/24)*s_RadSpec!W13)),".")</f>
        <v>52962.293819483144</v>
      </c>
      <c r="G13" s="2">
        <f>IFERROR((BO13/(s_RadSpec!AI13*((s_Q_p_game*s_f_p_game*s_f_s_game*(s_RadSpec!BD13+s_R_es_past))+(s_Q_s_game*s_f_p_game)))),".")</f>
        <v>136653.99878024458</v>
      </c>
      <c r="H13" s="2" t="str">
        <f>IFERROR((BO13/(s_RadSpec!AL13*((s_Q_p_fowl*s_f_p_fowl*s_f_s_fowl*(s_RadSpec!BD13+s_R_es_past))+(s_Q_s_fowl*s_f_p_fowl)))),".")</f>
        <v>.</v>
      </c>
      <c r="I13" s="244">
        <f t="shared" si="13"/>
        <v>7.543745000000001E-4</v>
      </c>
      <c r="J13" s="244">
        <f t="shared" si="14"/>
        <v>1.8559919891953358E-5</v>
      </c>
      <c r="K13" s="244">
        <f t="shared" si="15"/>
        <v>1.888135743154183E-5</v>
      </c>
      <c r="L13" s="244">
        <f t="shared" si="16"/>
        <v>7.3177514666666687E-6</v>
      </c>
      <c r="M13" s="244">
        <f t="shared" si="17"/>
        <v>0</v>
      </c>
      <c r="N13" s="2">
        <f t="shared" si="18"/>
        <v>1251.3553292075449</v>
      </c>
      <c r="O13" s="40">
        <f t="shared" si="1"/>
        <v>302.5</v>
      </c>
      <c r="P13" s="40">
        <f t="shared" si="2"/>
        <v>3.2362545583179352E-2</v>
      </c>
      <c r="Q13" s="40">
        <f>IFERROR((s_C*s_EF_rec*(1/365)*s_ED_rec*s_RadSpec!R13*s_ET_rec*(1/24)*s_RadSpec!W13),".")</f>
        <v>1.8251299870012987E-2</v>
      </c>
      <c r="R13" s="19">
        <f>IFERROR((s_C*s_IRGL_rec*s_EF_rec*s_ED_rec*s_CF_game*s_RadSpec!AI13)*((s_Q_p_game*s_f_p_game*s_f_s_game*(s_RadSpec!BD13+s_R_es_past))+(s_Q_s_game*s_f_p_game)),".")</f>
        <v>4.4146666666666672</v>
      </c>
      <c r="S13" s="19">
        <f>IFERROR((s_C*s_IRGF_rec*s_EF_rec*s_ED_rec*s_CF_fowl*s_RadSpec!AL13)*((s_Q_p_fowl*s_f_p_fowl*s_f_s_fowl*(s_RadSpec!BD13+s_R_es_past))+(s_Q_s_fowl*s_f_p_fowl)),0)</f>
        <v>0</v>
      </c>
      <c r="T13" s="18"/>
      <c r="U13" s="18"/>
      <c r="V13" s="18"/>
      <c r="W13" s="5"/>
      <c r="X13" s="5"/>
      <c r="Y13" s="18"/>
      <c r="Z13" s="15">
        <f>IFERROR((s_TR/(s_RadSpec!G13*s_EF_rec*(1/365)*s_ED_rec*s_RadSpec!R13*s_ET_rec*(1/24)*s_RadSpec!W13)),".")</f>
        <v>52962.293819483144</v>
      </c>
      <c r="AA13" s="15">
        <f>IFERROR((s_TR/(s_RadSpec!N13*s_EF_rec*(1/365)*s_ED_rec*s_RadSpec!S13*s_ET_rec*(1/24)*s_RadSpec!X13)),".")</f>
        <v>344321.15228614345</v>
      </c>
      <c r="AB13" s="15">
        <f>IFERROR((s_TR/(s_RadSpec!O13*s_EF_rec*(1/365)*s_ED_rec*s_RadSpec!T13*s_ET_rec*(1/24)*s_RadSpec!Y13)),".")</f>
        <v>85965.587252885904</v>
      </c>
      <c r="AC13" s="15">
        <f>IFERROR((s_TR/(s_RadSpec!P13*s_EF_rec*(1/365)*s_ED_rec*s_RadSpec!U13*s_ET_rec*(1/24)*s_RadSpec!Z13)),".")</f>
        <v>56901.724804873505</v>
      </c>
      <c r="AD13" s="15">
        <f>IFERROR((s_TR/(s_RadSpec!L13*s_EF_rec*(1/365)*s_ED_rec*s_RadSpec!Q13*s_ET_rec*(1/24)*s_RadSpec!V13)),".")</f>
        <v>2734674.8104980662</v>
      </c>
      <c r="AE13" s="40">
        <f>IFERROR((s_C*s_EF_rec*(1/365)*s_ED_rec*s_RadSpec!R13*s_ET_rec*(1/24)*s_RadSpec!W13),".")</f>
        <v>1.8251299870012987E-2</v>
      </c>
      <c r="AF13" s="40">
        <f>IFERROR((s_C*s_EF_rec*(1/365)*s_ED_rec*s_RadSpec!S13*s_ET_rec*(1/24)*s_RadSpec!X13),".")</f>
        <v>8.3691586515107341E-3</v>
      </c>
      <c r="AG13" s="40">
        <f>IFERROR((s_C*s_EF_rec*(1/365)*s_ED_rec*s_RadSpec!T13*s_ET_rec*(1/24)*s_RadSpec!Y13),".")</f>
        <v>1.4087288945524055E-2</v>
      </c>
      <c r="AH13" s="40">
        <f>IFERROR((s_C*s_EF_rec*(1/365)*s_ED_rec*s_RadSpec!U13*s_ET_rec*(1/24)*s_RadSpec!Z13),".")</f>
        <v>1.7064764246776488E-2</v>
      </c>
      <c r="AI13" s="40">
        <f>IFERROR((s_C*s_EF_rec*(1/365)*s_ED_rec*s_RadSpec!Q13*s_ET_rec*(1/24)*s_RadSpec!V13),".")</f>
        <v>8.6993362519418194E-4</v>
      </c>
      <c r="AJ13" s="18"/>
      <c r="AK13" s="18"/>
      <c r="AL13" s="18"/>
      <c r="AM13" s="18"/>
      <c r="AN13" s="18"/>
      <c r="AO13" s="15">
        <f>IFERROR((s_TR/(s_RadSpec!F13*s_IFA_rec_adj)),".")</f>
        <v>0.17391501262469006</v>
      </c>
      <c r="AP13" s="15">
        <f>IFERROR((s_TR/(s_RadSpec!K13*s_EF_rec*(1/365)*s_ED_rec*s_ET_rec*(1/24)*s_GSF_a)),".")</f>
        <v>415241.11795615341</v>
      </c>
      <c r="AQ13" s="15">
        <f t="shared" si="20"/>
        <v>0.17391493978407377</v>
      </c>
      <c r="AR13" s="40">
        <f t="shared" si="3"/>
        <v>10026.041666666666</v>
      </c>
      <c r="AS13" s="40">
        <f t="shared" si="4"/>
        <v>1.5696347031963471</v>
      </c>
      <c r="AT13" s="45"/>
      <c r="AU13" s="45"/>
      <c r="AV13" s="45"/>
      <c r="AW13" s="15">
        <f>IFERROR((s_TR/(s_RadSpec!I13*s_IFW_rec_adj)),".")</f>
        <v>18.281268281268286</v>
      </c>
      <c r="AX13" s="15">
        <f>IFERROR((s_TR/(s_RadSpec!M13*(1/8760)*s_DFA_rec_adj)),".")</f>
        <v>115992098.00050713</v>
      </c>
      <c r="AY13" s="2">
        <f>IFERROR(BO13/(s_RadSpec!AI13*s_Q_w_game*(1/1000)),".")</f>
        <v>548438048.43804836</v>
      </c>
      <c r="AZ13" s="2" t="str">
        <f>IFERROR(BO13/(s_RadSpec!AL13*s_Q_w_fowl*(1/1000)),".")</f>
        <v>.</v>
      </c>
      <c r="BA13" s="244">
        <f t="shared" si="5"/>
        <v>5.4700799999999987E-2</v>
      </c>
      <c r="BB13" s="244">
        <f t="shared" si="6"/>
        <v>8.6212769424657525E-9</v>
      </c>
      <c r="BC13" s="244">
        <f t="shared" si="7"/>
        <v>1.8233600000000002E-9</v>
      </c>
      <c r="BD13" s="244">
        <f t="shared" si="8"/>
        <v>0</v>
      </c>
      <c r="BE13" s="2">
        <f t="shared" si="19"/>
        <v>18.281264790621467</v>
      </c>
      <c r="BF13" s="40">
        <f t="shared" si="9"/>
        <v>44000</v>
      </c>
      <c r="BG13" s="40">
        <f t="shared" si="10"/>
        <v>2.5114155251141552</v>
      </c>
      <c r="BH13" s="19">
        <f>IFERROR(s_C*s_RadSpec!AI13*s_Q_w_game*(1/1000)*s_EF_rec*s_ED_rec*s_IRGL_rec*s_CF_game,".")</f>
        <v>1.0999999999999998E-3</v>
      </c>
      <c r="BI13" s="19">
        <f>IFERROR(s_C*s_RadSpec!AL13*s_Q_w_fowl*(1/1000)*s_EF_rec*s_ED_rec*s_IRGL_rec*s_CF_fowl,0)</f>
        <v>0</v>
      </c>
      <c r="BJ13" s="18"/>
      <c r="BK13" s="18"/>
      <c r="BL13" s="5"/>
      <c r="BM13" s="5"/>
      <c r="BN13" s="18"/>
      <c r="BO13" s="2">
        <f>IFERROR(s_TR/(s_RadSpec!H13*s_EF_rec*s_ED_rec*s_IRGL_rec*s_CF_game),".")</f>
        <v>109.68760968760968</v>
      </c>
      <c r="BP13" s="2">
        <f>IFERROR(s_TR/(s_RadSpec!H13*s_EF_rec*s_ED_rec*s_IRGF_rec*s_CF_fowl),".")</f>
        <v>109.68760968760968</v>
      </c>
      <c r="BQ13" s="19">
        <f t="shared" si="11"/>
        <v>5500</v>
      </c>
      <c r="BR13" s="19">
        <f t="shared" si="12"/>
        <v>5500</v>
      </c>
      <c r="BS13" s="5"/>
      <c r="BT13" s="5"/>
    </row>
    <row r="14" spans="1:72" customFormat="1" x14ac:dyDescent="0.25">
      <c r="A14" s="44" t="s">
        <v>24</v>
      </c>
      <c r="B14" s="42" t="s">
        <v>1071</v>
      </c>
      <c r="C14" s="42"/>
      <c r="D14" s="15">
        <f>IFERROR(((s_TR/(s_RadSpec!E14*s_IFS_rec_adj*(1/1000)))*1),".")</f>
        <v>10038.82515629196</v>
      </c>
      <c r="E14" s="15">
        <f>IFERROR(IF(A14="H-3",(s_TR/((s_RadSpec!F14*s_IFA_rec_adj*(1/17)*1000))*1),(s_TR/((s_RadSpec!F14*s_IFA_rec_adj*(1/s_PEF_wind)*1000))*1)),".")</f>
        <v>101105679.77207945</v>
      </c>
      <c r="F14" s="2">
        <f>IFERROR((s_TR/(s_RadSpec!G14*s_EF_rec*(1/365)*s_ED_rec*s_RadSpec!R14*s_ET_rec*(1/24)*s_RadSpec!W14)),".")</f>
        <v>511.93253233970188</v>
      </c>
      <c r="G14" s="2">
        <f>IFERROR((BO14/(s_RadSpec!AI14*((s_Q_p_game*s_f_p_game*s_f_s_game*(s_RadSpec!BD14+s_R_es_past))+(s_Q_s_game*s_f_p_game)))),".")</f>
        <v>23074778.897468604</v>
      </c>
      <c r="H14" s="2" t="str">
        <f>IFERROR((BO14/(s_RadSpec!AL14*((s_Q_p_fowl*s_f_p_fowl*s_f_s_fowl*(s_RadSpec!BD14+s_R_es_past))+(s_Q_s_fowl*s_f_p_fowl)))),".")</f>
        <v>.</v>
      </c>
      <c r="I14" s="244">
        <f t="shared" si="13"/>
        <v>9.961325E-5</v>
      </c>
      <c r="J14" s="244">
        <f t="shared" si="14"/>
        <v>9.8906411811312712E-9</v>
      </c>
      <c r="K14" s="244">
        <f t="shared" si="15"/>
        <v>1.9533824026179143E-3</v>
      </c>
      <c r="L14" s="244">
        <f t="shared" si="16"/>
        <v>4.3337360000000002E-8</v>
      </c>
      <c r="M14" s="244">
        <f t="shared" si="17"/>
        <v>0</v>
      </c>
      <c r="N14" s="2">
        <f t="shared" si="18"/>
        <v>487.0804633245998</v>
      </c>
      <c r="O14" s="40">
        <f t="shared" si="1"/>
        <v>302.5</v>
      </c>
      <c r="P14" s="40">
        <f t="shared" si="2"/>
        <v>3.2362545583179352E-2</v>
      </c>
      <c r="Q14" s="40">
        <f>IFERROR((s_C*s_EF_rec*(1/365)*s_ED_rec*s_RadSpec!R14*s_ET_rec*(1/24)*s_RadSpec!W14),".")</f>
        <v>0.12158028187565864</v>
      </c>
      <c r="R14" s="19">
        <f>IFERROR((s_C*s_IRGL_rec*s_EF_rec*s_ED_rec*s_CF_game*s_RadSpec!AI14)*((s_Q_p_game*s_f_p_game*s_f_s_game*(s_RadSpec!BD14+s_R_es_past))+(s_Q_s_game*s_f_p_game)),".")</f>
        <v>0.24200000000000005</v>
      </c>
      <c r="S14" s="19">
        <f>IFERROR((s_C*s_IRGF_rec*s_EF_rec*s_ED_rec*s_CF_fowl*s_RadSpec!AL14)*((s_Q_p_fowl*s_f_p_fowl*s_f_s_fowl*(s_RadSpec!BD14+s_R_es_past))+(s_Q_s_fowl*s_f_p_fowl)),0)</f>
        <v>0</v>
      </c>
      <c r="T14" s="18"/>
      <c r="U14" s="18"/>
      <c r="V14" s="18"/>
      <c r="W14" s="5"/>
      <c r="X14" s="5"/>
      <c r="Y14" s="18"/>
      <c r="Z14" s="15">
        <f>IFERROR((s_TR/(s_RadSpec!G14*s_EF_rec*(1/365)*s_ED_rec*s_RadSpec!R14*s_ET_rec*(1/24)*s_RadSpec!W14)),".")</f>
        <v>511.93253233970188</v>
      </c>
      <c r="AA14" s="15">
        <f>IFERROR((s_TR/(s_RadSpec!N14*s_EF_rec*(1/365)*s_ED_rec*s_RadSpec!S14*s_ET_rec*(1/24)*s_RadSpec!X14)),".")</f>
        <v>3919.4180488247334</v>
      </c>
      <c r="AB14" s="15">
        <f>IFERROR((s_TR/(s_RadSpec!O14*s_EF_rec*(1/365)*s_ED_rec*s_RadSpec!T14*s_ET_rec*(1/24)*s_RadSpec!Y14)),".")</f>
        <v>1055.6260049413058</v>
      </c>
      <c r="AC14" s="15">
        <f>IFERROR((s_TR/(s_RadSpec!P14*s_EF_rec*(1/365)*s_ED_rec*s_RadSpec!U14*s_ET_rec*(1/24)*s_RadSpec!Z14)),".")</f>
        <v>636.58769357939536</v>
      </c>
      <c r="AD14" s="15">
        <f>IFERROR((s_TR/(s_RadSpec!L14*s_EF_rec*(1/365)*s_ED_rec*s_RadSpec!Q14*s_ET_rec*(1/24)*s_RadSpec!V14)),".")</f>
        <v>11085.671084088766</v>
      </c>
      <c r="AE14" s="40">
        <f>IFERROR((s_C*s_EF_rec*(1/365)*s_ED_rec*s_RadSpec!R14*s_ET_rec*(1/24)*s_RadSpec!W14),".")</f>
        <v>0.12158028187565864</v>
      </c>
      <c r="AF14" s="40">
        <f>IFERROR((s_C*s_EF_rec*(1/365)*s_ED_rec*s_RadSpec!S14*s_ET_rec*(1/24)*s_RadSpec!X14),".")</f>
        <v>6.6945682049917937E-2</v>
      </c>
      <c r="AG14" s="40">
        <f>IFERROR((s_C*s_EF_rec*(1/365)*s_ED_rec*s_RadSpec!T14*s_ET_rec*(1/24)*s_RadSpec!Y14),".")</f>
        <v>9.0547448878300518E-2</v>
      </c>
      <c r="AH14" s="40">
        <f>IFERROR((s_C*s_EF_rec*(1/365)*s_ED_rec*s_RadSpec!U14*s_ET_rec*(1/24)*s_RadSpec!Z14),".")</f>
        <v>0.10332968036529679</v>
      </c>
      <c r="AI14" s="40">
        <f>IFERROR((s_C*s_EF_rec*(1/365)*s_ED_rec*s_RadSpec!Q14*s_ET_rec*(1/24)*s_RadSpec!V14),".")</f>
        <v>2.3992552201090561E-2</v>
      </c>
      <c r="AJ14" s="18"/>
      <c r="AK14" s="18"/>
      <c r="AL14" s="18"/>
      <c r="AM14" s="18"/>
      <c r="AN14" s="18"/>
      <c r="AO14" s="15">
        <f>IFERROR((s_TR/(s_RadSpec!F14*s_IFA_rec_adj)),".")</f>
        <v>326.3538372497211</v>
      </c>
      <c r="AP14" s="15">
        <f>IFERROR((s_TR/(s_RadSpec!K14*s_EF_rec*(1/365)*s_ED_rec*s_ET_rec*(1/24)*s_GSF_a)),".")</f>
        <v>37320.576538603658</v>
      </c>
      <c r="AQ14" s="15">
        <f t="shared" si="20"/>
        <v>323.52474000263368</v>
      </c>
      <c r="AR14" s="40">
        <f t="shared" si="3"/>
        <v>10026.041666666666</v>
      </c>
      <c r="AS14" s="40">
        <f t="shared" si="4"/>
        <v>1.5696347031963471</v>
      </c>
      <c r="AT14" s="45"/>
      <c r="AU14" s="45"/>
      <c r="AV14" s="45"/>
      <c r="AW14" s="15">
        <f>IFERROR((s_TR/(s_RadSpec!I14*s_IFW_rec_adj)),".")</f>
        <v>185.01524525620911</v>
      </c>
      <c r="AX14" s="15">
        <f>IFERROR((s_TR/(s_RadSpec!M14*(1/8760)*s_DFA_rec_adj)),".")</f>
        <v>10656774.003796592</v>
      </c>
      <c r="AY14" s="2">
        <f>IFERROR(BO14/(s_RadSpec!AI14*s_Q_w_game*(1/1000)),".")</f>
        <v>101529027148.86186</v>
      </c>
      <c r="AZ14" s="2" t="str">
        <f>IFERROR(BO14/(s_RadSpec!AL14*s_Q_w_fowl*(1/1000)),".")</f>
        <v>.</v>
      </c>
      <c r="BA14" s="244">
        <f t="shared" si="5"/>
        <v>5.4049600000000003E-3</v>
      </c>
      <c r="BB14" s="244">
        <f t="shared" si="6"/>
        <v>9.3837027945205469E-8</v>
      </c>
      <c r="BC14" s="244">
        <f t="shared" si="7"/>
        <v>9.8493999999999996E-12</v>
      </c>
      <c r="BD14" s="244">
        <f t="shared" si="8"/>
        <v>0</v>
      </c>
      <c r="BE14" s="2">
        <f t="shared" si="19"/>
        <v>185.01203287322082</v>
      </c>
      <c r="BF14" s="40">
        <f t="shared" si="9"/>
        <v>44000</v>
      </c>
      <c r="BG14" s="40">
        <f t="shared" si="10"/>
        <v>2.5114155251141552</v>
      </c>
      <c r="BH14" s="19">
        <f>IFERROR(s_C*s_RadSpec!AI14*s_Q_w_game*(1/1000)*s_EF_rec*s_ED_rec*s_IRGL_rec*s_CF_game,".")</f>
        <v>5.5000000000000009E-5</v>
      </c>
      <c r="BI14" s="19">
        <f>IFERROR(s_C*s_RadSpec!AL14*s_Q_w_fowl*(1/1000)*s_EF_rec*s_ED_rec*s_IRGL_rec*s_CF_fowl,0)</f>
        <v>0</v>
      </c>
      <c r="BJ14" s="18"/>
      <c r="BK14" s="18"/>
      <c r="BL14" s="5"/>
      <c r="BM14" s="5"/>
      <c r="BN14" s="18"/>
      <c r="BO14" s="2">
        <f>IFERROR(s_TR/(s_RadSpec!H14*s_EF_rec*s_ED_rec*s_IRGL_rec*s_CF_game),".")</f>
        <v>1015.2902714886187</v>
      </c>
      <c r="BP14" s="2">
        <f>IFERROR(s_TR/(s_RadSpec!H14*s_EF_rec*s_ED_rec*s_IRGF_rec*s_CF_fowl),".")</f>
        <v>1015.2902714886187</v>
      </c>
      <c r="BQ14" s="19">
        <f t="shared" si="11"/>
        <v>5500</v>
      </c>
      <c r="BR14" s="19">
        <f t="shared" si="12"/>
        <v>5500</v>
      </c>
      <c r="BS14" s="5"/>
      <c r="BT14" s="5"/>
    </row>
    <row r="15" spans="1:72" customFormat="1" x14ac:dyDescent="0.25">
      <c r="A15" s="44" t="s">
        <v>25</v>
      </c>
      <c r="B15" s="42" t="s">
        <v>1071</v>
      </c>
      <c r="C15" s="42"/>
      <c r="D15" s="15">
        <f>IFERROR(((s_TR/(s_RadSpec!E15*s_IFS_rec_adj*(1/1000)))*1),".")</f>
        <v>264335.92867159302</v>
      </c>
      <c r="E15" s="15">
        <f>IFERROR(IF(A15="H-3",(s_TR/((s_RadSpec!F15*s_IFA_rec_adj*(1/17)*1000))*1),(s_TR/((s_RadSpec!F15*s_IFA_rec_adj*(1/s_PEF_wind)*1000))*1)),".")</f>
        <v>7430008139.8343067</v>
      </c>
      <c r="F15" s="2" t="str">
        <f>IFERROR((s_TR/(s_RadSpec!G15*s_EF_rec*(1/365)*s_ED_rec*s_RadSpec!R15*s_ET_rec*(1/24)*s_RadSpec!W15)),".")</f>
        <v>.</v>
      </c>
      <c r="G15" s="2">
        <f>IFERROR((BO15/(s_RadSpec!AI15*((s_Q_p_game*s_f_p_game*s_f_s_game*(s_RadSpec!BD15+s_R_es_past))+(s_Q_s_game*s_f_p_game)))),".")</f>
        <v>4599493.4548040796</v>
      </c>
      <c r="H15" s="2" t="str">
        <f>IFERROR((BO15/(s_RadSpec!AL15*((s_Q_p_fowl*s_f_p_fowl*s_f_s_fowl*(s_RadSpec!BD15+s_R_es_past))+(s_Q_s_fowl*s_f_p_fowl)))),".")</f>
        <v>.</v>
      </c>
      <c r="I15" s="244">
        <f t="shared" si="13"/>
        <v>3.7830649999999999E-6</v>
      </c>
      <c r="J15" s="244">
        <f t="shared" si="14"/>
        <v>1.3458935457132628E-10</v>
      </c>
      <c r="K15" s="244">
        <f t="shared" si="15"/>
        <v>0</v>
      </c>
      <c r="L15" s="244">
        <f t="shared" si="16"/>
        <v>2.1741524579310356E-7</v>
      </c>
      <c r="M15" s="244">
        <f t="shared" si="17"/>
        <v>0</v>
      </c>
      <c r="N15" s="2">
        <f t="shared" si="18"/>
        <v>249961.57870896038</v>
      </c>
      <c r="O15" s="40">
        <f t="shared" si="1"/>
        <v>302.5</v>
      </c>
      <c r="P15" s="40">
        <f t="shared" si="2"/>
        <v>3.2362545583179352E-2</v>
      </c>
      <c r="Q15" s="40">
        <f>IFERROR((s_C*s_EF_rec*(1/365)*s_ED_rec*s_RadSpec!R15*s_ET_rec*(1/24)*s_RadSpec!W15),".")</f>
        <v>0</v>
      </c>
      <c r="R15" s="19">
        <f>IFERROR((s_C*s_IRGL_rec*s_EF_rec*s_ED_rec*s_CF_game*s_RadSpec!AI15)*((s_Q_p_game*s_f_p_game*s_f_s_game*(s_RadSpec!BD15+s_R_es_past))+(s_Q_s_game*s_f_p_game)),".")</f>
        <v>31.18942528735634</v>
      </c>
      <c r="S15" s="19">
        <f>IFERROR((s_C*s_IRGF_rec*s_EF_rec*s_ED_rec*s_CF_fowl*s_RadSpec!AL15)*((s_Q_p_fowl*s_f_p_fowl*s_f_s_fowl*(s_RadSpec!BD15+s_R_es_past))+(s_Q_s_fowl*s_f_p_fowl)),0)</f>
        <v>0</v>
      </c>
      <c r="T15" s="18"/>
      <c r="U15" s="18"/>
      <c r="V15" s="18"/>
      <c r="W15" s="5"/>
      <c r="X15" s="5"/>
      <c r="Y15" s="18"/>
      <c r="Z15" s="15" t="str">
        <f>IFERROR((s_TR/(s_RadSpec!G15*s_EF_rec*(1/365)*s_ED_rec*s_RadSpec!R15*s_ET_rec*(1/24)*s_RadSpec!W15)),".")</f>
        <v>.</v>
      </c>
      <c r="AA15" s="15" t="str">
        <f>IFERROR((s_TR/(s_RadSpec!N15*s_EF_rec*(1/365)*s_ED_rec*s_RadSpec!S15*s_ET_rec*(1/24)*s_RadSpec!X15)),".")</f>
        <v>.</v>
      </c>
      <c r="AB15" s="15" t="str">
        <f>IFERROR((s_TR/(s_RadSpec!O15*s_EF_rec*(1/365)*s_ED_rec*s_RadSpec!T15*s_ET_rec*(1/24)*s_RadSpec!Y15)),".")</f>
        <v>.</v>
      </c>
      <c r="AC15" s="15" t="str">
        <f>IFERROR((s_TR/(s_RadSpec!P15*s_EF_rec*(1/365)*s_ED_rec*s_RadSpec!U15*s_ET_rec*(1/24)*s_RadSpec!Z15)),".")</f>
        <v>.</v>
      </c>
      <c r="AD15" s="15" t="str">
        <f>IFERROR((s_TR/(s_RadSpec!L15*s_EF_rec*(1/365)*s_ED_rec*s_RadSpec!Q15*s_ET_rec*(1/24)*s_RadSpec!V15)),".")</f>
        <v>.</v>
      </c>
      <c r="AE15" s="40">
        <f>IFERROR((s_C*s_EF_rec*(1/365)*s_ED_rec*s_RadSpec!R15*s_ET_rec*(1/24)*s_RadSpec!W15),".")</f>
        <v>0</v>
      </c>
      <c r="AF15" s="40">
        <f>IFERROR((s_C*s_EF_rec*(1/365)*s_ED_rec*s_RadSpec!S15*s_ET_rec*(1/24)*s_RadSpec!X15),".")</f>
        <v>0</v>
      </c>
      <c r="AG15" s="40">
        <f>IFERROR((s_C*s_EF_rec*(1/365)*s_ED_rec*s_RadSpec!T15*s_ET_rec*(1/24)*s_RadSpec!Y15),".")</f>
        <v>0</v>
      </c>
      <c r="AH15" s="40">
        <f>IFERROR((s_C*s_EF_rec*(1/365)*s_ED_rec*s_RadSpec!U15*s_ET_rec*(1/24)*s_RadSpec!Z15),".")</f>
        <v>0</v>
      </c>
      <c r="AI15" s="40">
        <f>IFERROR((s_C*s_EF_rec*(1/365)*s_ED_rec*s_RadSpec!Q15*s_ET_rec*(1/24)*s_RadSpec!V15),".")</f>
        <v>0</v>
      </c>
      <c r="AJ15" s="18"/>
      <c r="AK15" s="18"/>
      <c r="AL15" s="18"/>
      <c r="AM15" s="18"/>
      <c r="AN15" s="18"/>
      <c r="AO15" s="15">
        <f>IFERROR((s_TR/(s_RadSpec!F15*s_IFA_rec_adj)),".")</f>
        <v>23982.942132408327</v>
      </c>
      <c r="AP15" s="15">
        <f>IFERROR((s_TR/(s_RadSpec!K15*s_EF_rec*(1/365)*s_ED_rec*s_ET_rec*(1/24)*s_GSF_a)),".")</f>
        <v>18685850.308026899</v>
      </c>
      <c r="AQ15" s="15">
        <f t="shared" si="20"/>
        <v>23952.19992826166</v>
      </c>
      <c r="AR15" s="40">
        <f t="shared" si="3"/>
        <v>10026.041666666666</v>
      </c>
      <c r="AS15" s="40">
        <f t="shared" si="4"/>
        <v>1.5696347031963471</v>
      </c>
      <c r="AT15" s="45"/>
      <c r="AU15" s="45"/>
      <c r="AV15" s="45"/>
      <c r="AW15" s="15">
        <f>IFERROR((s_TR/(s_RadSpec!I15*s_IFW_rec_adj)),".")</f>
        <v>4717.7466532305243</v>
      </c>
      <c r="AX15" s="15">
        <f>IFERROR((s_TR/(s_RadSpec!M15*(1/8760)*s_DFA_rec_adj)),".")</f>
        <v>8568260505.5650988</v>
      </c>
      <c r="AY15" s="2">
        <f>IFERROR(BO15/(s_RadSpec!AI15*s_Q_w_game*(1/1000)),".")</f>
        <v>18630591878.999523</v>
      </c>
      <c r="AZ15" s="2" t="str">
        <f>IFERROR(BO15/(s_RadSpec!AL15*s_Q_w_fowl*(1/1000)),".")</f>
        <v>.</v>
      </c>
      <c r="BA15" s="244">
        <f t="shared" si="5"/>
        <v>2.1196559999999998E-4</v>
      </c>
      <c r="BB15" s="244">
        <f t="shared" si="6"/>
        <v>1.1670980350684931E-10</v>
      </c>
      <c r="BC15" s="244">
        <f t="shared" si="7"/>
        <v>5.367516E-11</v>
      </c>
      <c r="BD15" s="244">
        <f t="shared" si="8"/>
        <v>0</v>
      </c>
      <c r="BE15" s="2">
        <f t="shared" si="19"/>
        <v>4717.7428609526969</v>
      </c>
      <c r="BF15" s="40">
        <f t="shared" si="9"/>
        <v>44000</v>
      </c>
      <c r="BG15" s="40">
        <f t="shared" si="10"/>
        <v>2.5114155251141552</v>
      </c>
      <c r="BH15" s="19">
        <f>IFERROR(s_C*s_RadSpec!AI15*s_Q_w_game*(1/1000)*s_EF_rec*s_ED_rec*s_IRGL_rec*s_CF_game,".")</f>
        <v>7.6999999999999994E-3</v>
      </c>
      <c r="BI15" s="19">
        <f>IFERROR(s_C*s_RadSpec!AL15*s_Q_w_fowl*(1/1000)*s_EF_rec*s_ED_rec*s_IRGL_rec*s_CF_fowl,0)</f>
        <v>0</v>
      </c>
      <c r="BJ15" s="18"/>
      <c r="BK15" s="18"/>
      <c r="BL15" s="5"/>
      <c r="BM15" s="5"/>
      <c r="BN15" s="18"/>
      <c r="BO15" s="2">
        <f>IFERROR(s_TR/(s_RadSpec!H15*s_EF_rec*s_ED_rec*s_IRGL_rec*s_CF_game),".")</f>
        <v>26082.828630599332</v>
      </c>
      <c r="BP15" s="2">
        <f>IFERROR(s_TR/(s_RadSpec!H15*s_EF_rec*s_ED_rec*s_IRGF_rec*s_CF_fowl),".")</f>
        <v>26082.828630599332</v>
      </c>
      <c r="BQ15" s="19">
        <f t="shared" si="11"/>
        <v>5500</v>
      </c>
      <c r="BR15" s="19">
        <f t="shared" si="12"/>
        <v>5500</v>
      </c>
      <c r="BS15" s="5"/>
      <c r="BT15" s="5"/>
    </row>
    <row r="16" spans="1:72" customFormat="1" x14ac:dyDescent="0.25">
      <c r="A16" s="44" t="s">
        <v>26</v>
      </c>
      <c r="B16" s="42" t="s">
        <v>1071</v>
      </c>
      <c r="C16" s="249"/>
      <c r="D16" s="15">
        <f>IFERROR(((s_TR/(s_RadSpec!E16*s_IFS_rec_adj*(1/1000)))*1),".")</f>
        <v>96.277525744610386</v>
      </c>
      <c r="E16" s="15">
        <f>IFERROR(IF(A16="H-3",(s_TR/((s_RadSpec!F16*s_IFA_rec_adj*(1/17)*1000))*1),(s_TR/((s_RadSpec!F16*s_IFA_rec_adj*(1/s_PEF_wind)*1000))*1)),".")</f>
        <v>97334.838568458756</v>
      </c>
      <c r="F16" s="2">
        <f>IFERROR((s_TR/(s_RadSpec!G16*s_EF_rec*(1/365)*s_ED_rec*s_RadSpec!R16*s_ET_rec*(1/24)*s_RadSpec!W16)),".")</f>
        <v>2579238396.942708</v>
      </c>
      <c r="G16" s="2">
        <f>IFERROR((BO16/(s_RadSpec!AI16*((s_Q_p_game*s_f_p_game*s_f_s_game*(s_RadSpec!BD16+s_R_es_past))+(s_Q_s_game*s_f_p_game)))),".")</f>
        <v>1362.4914573664912</v>
      </c>
      <c r="H16" s="2" t="str">
        <f>IFERROR((BO16/(s_RadSpec!AL16*((s_Q_p_fowl*s_f_p_fowl*s_f_s_fowl*(s_RadSpec!BD16+s_R_es_past))+(s_Q_s_fowl*s_f_p_fowl)))),".")</f>
        <v>.</v>
      </c>
      <c r="I16" s="244">
        <f t="shared" si="13"/>
        <v>1.0386639999999999E-2</v>
      </c>
      <c r="J16" s="244">
        <f t="shared" si="14"/>
        <v>1.0273813720836116E-5</v>
      </c>
      <c r="K16" s="244">
        <f t="shared" si="15"/>
        <v>3.8771134967025413E-10</v>
      </c>
      <c r="L16" s="244">
        <f t="shared" si="16"/>
        <v>7.339495558620695E-4</v>
      </c>
      <c r="M16" s="244">
        <f t="shared" si="17"/>
        <v>0</v>
      </c>
      <c r="N16" s="2">
        <f t="shared" si="18"/>
        <v>89.840287492934436</v>
      </c>
      <c r="O16" s="40">
        <f t="shared" si="1"/>
        <v>302.5</v>
      </c>
      <c r="P16" s="40">
        <f t="shared" si="2"/>
        <v>3.2362545583179352E-2</v>
      </c>
      <c r="Q16" s="40">
        <f>IFERROR((s_C*s_EF_rec*(1/365)*s_ED_rec*s_RadSpec!R16*s_ET_rec*(1/24)*s_RadSpec!W16),".")</f>
        <v>1.3072814742335284E-5</v>
      </c>
      <c r="R16" s="19">
        <f>IFERROR((s_C*s_IRGL_rec*s_EF_rec*s_ED_rec*s_CF_game*s_RadSpec!AI16)*((s_Q_p_game*s_f_p_game*s_f_s_game*(s_RadSpec!BD16+s_R_es_past))+(s_Q_s_game*s_f_p_game)),".")</f>
        <v>31.18942528735634</v>
      </c>
      <c r="S16" s="19">
        <f>IFERROR((s_C*s_IRGF_rec*s_EF_rec*s_ED_rec*s_CF_fowl*s_RadSpec!AL16)*((s_Q_p_fowl*s_f_p_fowl*s_f_s_fowl*(s_RadSpec!BD16+s_R_es_past))+(s_Q_s_fowl*s_f_p_fowl)),0)</f>
        <v>0</v>
      </c>
      <c r="T16" s="18"/>
      <c r="U16" s="18"/>
      <c r="V16" s="18"/>
      <c r="W16" s="5"/>
      <c r="X16" s="5"/>
      <c r="Y16" s="18"/>
      <c r="Z16" s="15">
        <f>IFERROR((s_TR/(s_RadSpec!G16*s_EF_rec*(1/365)*s_ED_rec*s_RadSpec!R16*s_ET_rec*(1/24)*s_RadSpec!W16)),".")</f>
        <v>2579238396.942708</v>
      </c>
      <c r="AA16" s="15">
        <f>IFERROR((s_TR/(s_RadSpec!N16*s_EF_rec*(1/365)*s_ED_rec*s_RadSpec!S16*s_ET_rec*(1/24)*s_RadSpec!X16)),".")</f>
        <v>7149251915.5073071</v>
      </c>
      <c r="AB16" s="15">
        <f>IFERROR((s_TR/(s_RadSpec!O16*s_EF_rec*(1/365)*s_ED_rec*s_RadSpec!T16*s_ET_rec*(1/24)*s_RadSpec!Y16)),".")</f>
        <v>2790278935.7777948</v>
      </c>
      <c r="AC16" s="15">
        <f>IFERROR((s_TR/(s_RadSpec!P16*s_EF_rec*(1/365)*s_ED_rec*s_RadSpec!U16*s_ET_rec*(1/24)*s_RadSpec!Z16)),".")</f>
        <v>2773778206.345232</v>
      </c>
      <c r="AD16" s="15">
        <f>IFERROR((s_TR/(s_RadSpec!L16*s_EF_rec*(1/365)*s_ED_rec*s_RadSpec!Q16*s_ET_rec*(1/24)*s_RadSpec!V16)),".")</f>
        <v>92793678400.405716</v>
      </c>
      <c r="AE16" s="40">
        <f>IFERROR((s_C*s_EF_rec*(1/365)*s_ED_rec*s_RadSpec!R16*s_ET_rec*(1/24)*s_RadSpec!W16),".")</f>
        <v>1.3072814742335284E-5</v>
      </c>
      <c r="AF16" s="40">
        <f>IFERROR((s_C*s_EF_rec*(1/365)*s_ED_rec*s_RadSpec!S16*s_ET_rec*(1/24)*s_RadSpec!X16),".")</f>
        <v>7.3402956734029545E-6</v>
      </c>
      <c r="AG16" s="40">
        <f>IFERROR((s_C*s_EF_rec*(1/365)*s_ED_rec*s_RadSpec!T16*s_ET_rec*(1/24)*s_RadSpec!Y16),".")</f>
        <v>1.2218757713192639E-5</v>
      </c>
      <c r="AH16" s="40">
        <f>IFERROR((s_C*s_EF_rec*(1/365)*s_ED_rec*s_RadSpec!U16*s_ET_rec*(1/24)*s_RadSpec!Z16),".")</f>
        <v>1.2155948756976146E-5</v>
      </c>
      <c r="AI16" s="40">
        <f>IFERROR((s_C*s_EF_rec*(1/365)*s_ED_rec*s_RadSpec!Q16*s_ET_rec*(1/24)*s_RadSpec!V16),".")</f>
        <v>3.1392694063926939E-7</v>
      </c>
      <c r="AJ16" s="18"/>
      <c r="AK16" s="18"/>
      <c r="AL16" s="18"/>
      <c r="AM16" s="18"/>
      <c r="AN16" s="18"/>
      <c r="AO16" s="15">
        <f>IFERROR((s_TR/(s_RadSpec!F16*s_IFA_rec_adj)),".")</f>
        <v>0.31418213236395059</v>
      </c>
      <c r="AP16" s="15">
        <f>IFERROR((s_TR/(s_RadSpec!K16*s_EF_rec*(1/365)*s_ED_rec*s_ET_rec*(1/24)*s_GSF_a)),".")</f>
        <v>8095353.5459107636</v>
      </c>
      <c r="AQ16" s="15">
        <f t="shared" si="20"/>
        <v>0.3141821201704858</v>
      </c>
      <c r="AR16" s="40">
        <f t="shared" si="3"/>
        <v>10026.041666666666</v>
      </c>
      <c r="AS16" s="40">
        <f t="shared" si="4"/>
        <v>1.5696347031963471</v>
      </c>
      <c r="AT16" s="45"/>
      <c r="AU16" s="45"/>
      <c r="AV16" s="45"/>
      <c r="AW16" s="15">
        <f>IFERROR((s_TR/(s_RadSpec!I16*s_IFW_rec_adj)),".")</f>
        <v>1.2850431260473103</v>
      </c>
      <c r="AX16" s="15">
        <f>IFERROR((s_TR/(s_RadSpec!M16*(1/8760)*s_DFA_rec_adj)),".")</f>
        <v>2191624473.7885022</v>
      </c>
      <c r="AY16" s="2">
        <f>IFERROR(BO16/(s_RadSpec!AI16*s_Q_w_game*(1/1000)),".")</f>
        <v>5518873.4434017446</v>
      </c>
      <c r="AZ16" s="2" t="str">
        <f>IFERROR(BO16/(s_RadSpec!AL16*s_Q_w_fowl*(1/1000)),".")</f>
        <v>.</v>
      </c>
      <c r="BA16" s="244">
        <f t="shared" si="5"/>
        <v>0.77818399999999988</v>
      </c>
      <c r="BB16" s="244">
        <f t="shared" si="6"/>
        <v>4.5628254838356158E-10</v>
      </c>
      <c r="BC16" s="244">
        <f t="shared" si="7"/>
        <v>1.8119640000000002E-7</v>
      </c>
      <c r="BD16" s="244">
        <f t="shared" si="8"/>
        <v>0</v>
      </c>
      <c r="BE16" s="2">
        <f t="shared" si="19"/>
        <v>1.285042826077796</v>
      </c>
      <c r="BF16" s="40">
        <f t="shared" si="9"/>
        <v>44000</v>
      </c>
      <c r="BG16" s="40">
        <f t="shared" si="10"/>
        <v>2.5114155251141552</v>
      </c>
      <c r="BH16" s="19">
        <f>IFERROR(s_C*s_RadSpec!AI16*s_Q_w_game*(1/1000)*s_EF_rec*s_ED_rec*s_IRGL_rec*s_CF_game,".")</f>
        <v>7.6999999999999994E-3</v>
      </c>
      <c r="BI16" s="19">
        <f>IFERROR(s_C*s_RadSpec!AL16*s_Q_w_fowl*(1/1000)*s_EF_rec*s_ED_rec*s_IRGL_rec*s_CF_fowl,0)</f>
        <v>0</v>
      </c>
      <c r="BJ16" s="18"/>
      <c r="BK16" s="18"/>
      <c r="BL16" s="5"/>
      <c r="BM16" s="5"/>
      <c r="BN16" s="18"/>
      <c r="BO16" s="2">
        <f>IFERROR(s_TR/(s_RadSpec!H16*s_EF_rec*s_ED_rec*s_IRGL_rec*s_CF_game),".")</f>
        <v>7.7264228207624424</v>
      </c>
      <c r="BP16" s="2">
        <f>IFERROR(s_TR/(s_RadSpec!H16*s_EF_rec*s_ED_rec*s_IRGF_rec*s_CF_fowl),".")</f>
        <v>7.7264228207624424</v>
      </c>
      <c r="BQ16" s="19">
        <f t="shared" si="11"/>
        <v>5500</v>
      </c>
      <c r="BR16" s="19">
        <f t="shared" si="12"/>
        <v>5500</v>
      </c>
      <c r="BS16" s="5"/>
      <c r="BT16" s="5"/>
    </row>
    <row r="17" spans="1:72" customFormat="1" x14ac:dyDescent="0.25">
      <c r="A17" s="44" t="s">
        <v>27</v>
      </c>
      <c r="B17" s="42" t="s">
        <v>1071</v>
      </c>
      <c r="C17" s="249"/>
      <c r="D17" s="15">
        <f>IFERROR(((s_TR/(s_RadSpec!E17*s_IFS_rec_adj*(1/1000)))*1),".")</f>
        <v>208751.27077336085</v>
      </c>
      <c r="E17" s="15">
        <f>IFERROR(IF(A17="H-3",(s_TR/((s_RadSpec!F17*s_IFA_rec_adj*(1/17)*1000))*1),(s_TR/((s_RadSpec!F17*s_IFA_rec_adj*(1/s_PEF_wind)*1000))*1)),".")</f>
        <v>19884117.02184229</v>
      </c>
      <c r="F17" s="2">
        <f>IFERROR((s_TR/(s_RadSpec!G17*s_EF_rec*(1/365)*s_ED_rec*s_RadSpec!R17*s_ET_rec*(1/24)*s_RadSpec!W17)),".")</f>
        <v>353.88679830087409</v>
      </c>
      <c r="G17" s="2">
        <f>IFERROR((BO17/(s_RadSpec!AI17*((s_Q_p_game*s_f_p_game*s_f_s_game*(s_RadSpec!BD17+s_R_es_past))+(s_Q_s_game*s_f_p_game)))),".")</f>
        <v>3307422.0110117891</v>
      </c>
      <c r="H17" s="2" t="str">
        <f>IFERROR((BO17/(s_RadSpec!AL17*((s_Q_p_fowl*s_f_p_fowl*s_f_s_fowl*(s_RadSpec!BD17+s_R_es_past))+(s_Q_s_fowl*s_f_p_fowl)))),".")</f>
        <v>.</v>
      </c>
      <c r="I17" s="244">
        <f t="shared" si="13"/>
        <v>4.7903899999999992E-6</v>
      </c>
      <c r="J17" s="244">
        <f t="shared" si="14"/>
        <v>5.0291395836260707E-8</v>
      </c>
      <c r="K17" s="244">
        <f t="shared" si="15"/>
        <v>2.8257623759951659E-3</v>
      </c>
      <c r="L17" s="244">
        <f t="shared" si="16"/>
        <v>3.0235028873563228E-7</v>
      </c>
      <c r="M17" s="244">
        <f t="shared" si="17"/>
        <v>0</v>
      </c>
      <c r="N17" s="2">
        <f t="shared" si="18"/>
        <v>353.24387642454587</v>
      </c>
      <c r="O17" s="40">
        <f t="shared" si="1"/>
        <v>302.5</v>
      </c>
      <c r="P17" s="40">
        <f t="shared" si="2"/>
        <v>3.2362545583179352E-2</v>
      </c>
      <c r="Q17" s="40">
        <f>IFERROR((s_C*s_EF_rec*(1/365)*s_ED_rec*s_RadSpec!R17*s_ET_rec*(1/24)*s_RadSpec!W17),".")</f>
        <v>0.14219043781896326</v>
      </c>
      <c r="R17" s="19">
        <f>IFERROR((s_C*s_IRGL_rec*s_EF_rec*s_ED_rec*s_CF_game*s_RadSpec!AI17)*((s_Q_p_game*s_f_p_game*s_f_s_game*(s_RadSpec!BD17+s_R_es_past))+(s_Q_s_game*s_f_p_game)),".")</f>
        <v>31.18942528735634</v>
      </c>
      <c r="S17" s="19">
        <f>IFERROR((s_C*s_IRGF_rec*s_EF_rec*s_ED_rec*s_CF_fowl*s_RadSpec!AL17)*((s_Q_p_fowl*s_f_p_fowl*s_f_s_fowl*(s_RadSpec!BD17+s_R_es_past))+(s_Q_s_fowl*s_f_p_fowl)),0)</f>
        <v>0</v>
      </c>
      <c r="T17" s="18"/>
      <c r="U17" s="18"/>
      <c r="V17" s="18"/>
      <c r="W17" s="5"/>
      <c r="X17" s="5"/>
      <c r="Y17" s="18"/>
      <c r="Z17" s="15">
        <f>IFERROR((s_TR/(s_RadSpec!G17*s_EF_rec*(1/365)*s_ED_rec*s_RadSpec!R17*s_ET_rec*(1/24)*s_RadSpec!W17)),".")</f>
        <v>353.88679830087409</v>
      </c>
      <c r="AA17" s="15">
        <f>IFERROR((s_TR/(s_RadSpec!N17*s_EF_rec*(1/365)*s_ED_rec*s_RadSpec!S17*s_ET_rec*(1/24)*s_RadSpec!X17)),".")</f>
        <v>2718.6776987846765</v>
      </c>
      <c r="AB17" s="15">
        <f>IFERROR((s_TR/(s_RadSpec!O17*s_EF_rec*(1/365)*s_ED_rec*s_RadSpec!T17*s_ET_rec*(1/24)*s_RadSpec!Y17)),".")</f>
        <v>735.43979522241784</v>
      </c>
      <c r="AC17" s="15">
        <f>IFERROR((s_TR/(s_RadSpec!P17*s_EF_rec*(1/365)*s_ED_rec*s_RadSpec!U17*s_ET_rec*(1/24)*s_RadSpec!Z17)),".")</f>
        <v>442.43911409036474</v>
      </c>
      <c r="AD17" s="15">
        <f>IFERROR((s_TR/(s_RadSpec!L17*s_EF_rec*(1/365)*s_ED_rec*s_RadSpec!Q17*s_ET_rec*(1/24)*s_RadSpec!V17)),".")</f>
        <v>5280.26920460171</v>
      </c>
      <c r="AE17" s="40">
        <f>IFERROR((s_C*s_EF_rec*(1/365)*s_ED_rec*s_RadSpec!R17*s_ET_rec*(1/24)*s_RadSpec!W17),".")</f>
        <v>0.14219043781896326</v>
      </c>
      <c r="AF17" s="40">
        <f>IFERROR((s_C*s_EF_rec*(1/365)*s_ED_rec*s_RadSpec!S17*s_ET_rec*(1/24)*s_RadSpec!X17),".")</f>
        <v>8.1358182011256233E-2</v>
      </c>
      <c r="AG17" s="40">
        <f>IFERROR((s_C*s_EF_rec*(1/365)*s_ED_rec*s_RadSpec!T17*s_ET_rec*(1/24)*s_RadSpec!Y17),".")</f>
        <v>0.10798596247146117</v>
      </c>
      <c r="AH17" s="40">
        <f>IFERROR((s_C*s_EF_rec*(1/365)*s_ED_rec*s_RadSpec!U17*s_ET_rec*(1/24)*s_RadSpec!Z17),".")</f>
        <v>0.12143740487062409</v>
      </c>
      <c r="AI17" s="40">
        <f>IFERROR((s_C*s_EF_rec*(1/365)*s_ED_rec*s_RadSpec!Q17*s_ET_rec*(1/24)*s_RadSpec!V17),".")</f>
        <v>4.2459500538710171E-2</v>
      </c>
      <c r="AJ17" s="18"/>
      <c r="AK17" s="18"/>
      <c r="AL17" s="18"/>
      <c r="AM17" s="18"/>
      <c r="AN17" s="18"/>
      <c r="AO17" s="15">
        <f>IFERROR((s_TR/(s_RadSpec!F17*s_IFA_rec_adj)),".")</f>
        <v>64.18292132577848</v>
      </c>
      <c r="AP17" s="15">
        <f>IFERROR((s_TR/(s_RadSpec!K17*s_EF_rec*(1/365)*s_ED_rec*s_ET_rec*(1/24)*s_GSF_a)),".")</f>
        <v>31250.104753401229</v>
      </c>
      <c r="AQ17" s="15">
        <f>IFERROR(IF(AND(AO17&lt;&gt;".",AP17&lt;&gt;"."),1/((1/AO17)+(1/AP17)),IF(AND(AO17&lt;&gt;".",AP17="."),1/((1/AO17)),IF(AND(AO17=".",AP17&lt;&gt;"."),1/((1/AP17)),IF(AND(AO17=".",AP17="."),".")))),".")</f>
        <v>64.051369638168609</v>
      </c>
      <c r="AR17" s="40">
        <f t="shared" si="3"/>
        <v>10026.041666666666</v>
      </c>
      <c r="AS17" s="40">
        <f t="shared" si="4"/>
        <v>1.5696347031963471</v>
      </c>
      <c r="AT17" s="45"/>
      <c r="AU17" s="45"/>
      <c r="AV17" s="45"/>
      <c r="AW17" s="15">
        <f>IFERROR((s_TR/(s_RadSpec!I17*s_IFW_rec_adj)),".")</f>
        <v>3298.8754793266075</v>
      </c>
      <c r="AX17" s="15">
        <f>IFERROR((s_TR/(s_RadSpec!M17*(1/8760)*s_DFA_rec_adj)),".")</f>
        <v>8927140.5267406031</v>
      </c>
      <c r="AY17" s="2">
        <f>IFERROR(BO17/(s_RadSpec!AI17*s_Q_w_game*(1/1000)),".")</f>
        <v>13396959961.845461</v>
      </c>
      <c r="AZ17" s="2" t="str">
        <f>IFERROR(BO17/(s_RadSpec!AL17*s_Q_w_fowl*(1/1000)),".")</f>
        <v>.</v>
      </c>
      <c r="BA17" s="244">
        <f t="shared" si="5"/>
        <v>3.0313359999999996E-4</v>
      </c>
      <c r="BB17" s="244">
        <f t="shared" si="6"/>
        <v>1.1201795210958901E-7</v>
      </c>
      <c r="BC17" s="244">
        <f t="shared" si="7"/>
        <v>7.4643799999999984E-11</v>
      </c>
      <c r="BD17" s="244">
        <f t="shared" si="8"/>
        <v>0</v>
      </c>
      <c r="BE17" s="2">
        <f t="shared" si="19"/>
        <v>3297.6560736595566</v>
      </c>
      <c r="BF17" s="40">
        <f t="shared" si="9"/>
        <v>44000</v>
      </c>
      <c r="BG17" s="40">
        <f t="shared" si="10"/>
        <v>2.5114155251141552</v>
      </c>
      <c r="BH17" s="19">
        <f>IFERROR(s_C*s_RadSpec!AI17*s_Q_w_game*(1/1000)*s_EF_rec*s_ED_rec*s_IRGL_rec*s_CF_game,".")</f>
        <v>7.6999999999999994E-3</v>
      </c>
      <c r="BI17" s="19">
        <f>IFERROR(s_C*s_RadSpec!AL17*s_Q_w_fowl*(1/1000)*s_EF_rec*s_ED_rec*s_IRGL_rec*s_CF_fowl,0)</f>
        <v>0</v>
      </c>
      <c r="BJ17" s="18"/>
      <c r="BK17" s="18"/>
      <c r="BL17" s="5"/>
      <c r="BM17" s="5"/>
      <c r="BN17" s="18"/>
      <c r="BO17" s="2">
        <f>IFERROR(s_TR/(s_RadSpec!H17*s_EF_rec*s_ED_rec*s_IRGL_rec*s_CF_game),".")</f>
        <v>18755.743946583643</v>
      </c>
      <c r="BP17" s="2">
        <f>IFERROR(s_TR/(s_RadSpec!H17*s_EF_rec*s_ED_rec*s_IRGF_rec*s_CF_fowl),".")</f>
        <v>18755.743946583643</v>
      </c>
      <c r="BQ17" s="19">
        <f t="shared" si="11"/>
        <v>5500</v>
      </c>
      <c r="BR17" s="19">
        <f t="shared" si="12"/>
        <v>5500</v>
      </c>
      <c r="BS17" s="5"/>
      <c r="BT17" s="5"/>
    </row>
    <row r="18" spans="1:72" customFormat="1" x14ac:dyDescent="0.25">
      <c r="A18" s="44" t="s">
        <v>28</v>
      </c>
      <c r="B18" s="42" t="s">
        <v>1071</v>
      </c>
      <c r="C18" s="249"/>
      <c r="D18" s="15">
        <f>IFERROR(((s_TR/(s_RadSpec!E18*s_IFS_rec_adj*(1/1000)))*1),".")</f>
        <v>50.477708412993472</v>
      </c>
      <c r="E18" s="15">
        <f>IFERROR(IF(A18="H-3",(s_TR/((s_RadSpec!F18*s_IFA_rec_adj*(1/17)*1000))*1),(s_TR/((s_RadSpec!F18*s_IFA_rec_adj*(1/s_PEF_wind)*1000))*1)),".")</f>
        <v>106522.05547415512</v>
      </c>
      <c r="F18" s="2">
        <f>IFERROR((s_TR/(s_RadSpec!G18*s_EF_rec*(1/365)*s_ED_rec*s_RadSpec!R18*s_ET_rec*(1/24)*s_RadSpec!W18)),".")</f>
        <v>3973669.4583399002</v>
      </c>
      <c r="G18" s="2">
        <f>IFERROR((BO18/(s_RadSpec!AI18*((s_Q_p_game*s_f_p_game*s_f_s_game*(s_RadSpec!BD18+s_R_es_past))+(s_Q_s_game*s_f_p_game)))),".")</f>
        <v>168.05725575720061</v>
      </c>
      <c r="H18" s="2">
        <f>IFERROR((BO18/(s_RadSpec!AL18*((s_Q_p_fowl*s_f_p_fowl*s_f_s_fowl*(s_RadSpec!BD18+s_R_es_past))+(s_Q_s_fowl*s_f_p_fowl)))),".")</f>
        <v>0.21007156969650076</v>
      </c>
      <c r="I18" s="244">
        <f t="shared" si="13"/>
        <v>1.9810724999999998E-2</v>
      </c>
      <c r="J18" s="244">
        <f t="shared" si="14"/>
        <v>9.3877272227686661E-6</v>
      </c>
      <c r="K18" s="244">
        <f t="shared" si="15"/>
        <v>2.5165656340670445E-7</v>
      </c>
      <c r="L18" s="244">
        <f t="shared" si="16"/>
        <v>5.9503530240000001E-3</v>
      </c>
      <c r="M18" s="244">
        <f t="shared" si="17"/>
        <v>4.7602824192000002</v>
      </c>
      <c r="N18" s="2">
        <f t="shared" si="18"/>
        <v>0.20894042992359474</v>
      </c>
      <c r="O18" s="40">
        <f t="shared" si="1"/>
        <v>302.5</v>
      </c>
      <c r="P18" s="40">
        <f t="shared" si="2"/>
        <v>3.2362545583179352E-2</v>
      </c>
      <c r="Q18" s="40">
        <f>IFERROR((s_C*s_EF_rec*(1/365)*s_ED_rec*s_RadSpec!R18*s_ET_rec*(1/24)*s_RadSpec!W18),".")</f>
        <v>0.2791806217689537</v>
      </c>
      <c r="R18" s="19">
        <f>IFERROR((s_C*s_IRGL_rec*s_EF_rec*s_ED_rec*s_CF_game*s_RadSpec!AI18)*((s_Q_p_game*s_f_p_game*s_f_s_game*(s_RadSpec!BD18+s_R_es_past))+(s_Q_s_game*s_f_p_game)),".")</f>
        <v>132.03641379310346</v>
      </c>
      <c r="S18" s="19">
        <f>IFERROR((s_C*s_IRGF_rec*s_EF_rec*s_ED_rec*s_CF_fowl*s_RadSpec!AL18)*((s_Q_p_fowl*s_f_p_fowl*s_f_s_fowl*(s_RadSpec!BD18+s_R_es_past))+(s_Q_s_fowl*s_f_p_fowl)),0)</f>
        <v>105629.13103448277</v>
      </c>
      <c r="T18" s="18"/>
      <c r="U18" s="18"/>
      <c r="V18" s="18"/>
      <c r="W18" s="5"/>
      <c r="X18" s="5"/>
      <c r="Y18" s="18"/>
      <c r="Z18" s="15">
        <f>IFERROR((s_TR/(s_RadSpec!G18*s_EF_rec*(1/365)*s_ED_rec*s_RadSpec!R18*s_ET_rec*(1/24)*s_RadSpec!W18)),".")</f>
        <v>3973669.4583399002</v>
      </c>
      <c r="AA18" s="15">
        <f>IFERROR((s_TR/(s_RadSpec!N18*s_EF_rec*(1/365)*s_ED_rec*s_RadSpec!S18*s_ET_rec*(1/24)*s_RadSpec!X18)),".")</f>
        <v>39600952.955493495</v>
      </c>
      <c r="AB18" s="15">
        <f>IFERROR((s_TR/(s_RadSpec!O18*s_EF_rec*(1/365)*s_ED_rec*s_RadSpec!T18*s_ET_rec*(1/24)*s_RadSpec!Y18)),".")</f>
        <v>9767504.56023206</v>
      </c>
      <c r="AC18" s="15">
        <f>IFERROR((s_TR/(s_RadSpec!P18*s_EF_rec*(1/365)*s_ED_rec*s_RadSpec!U18*s_ET_rec*(1/24)*s_RadSpec!Z18)),".")</f>
        <v>5194512.4937339183</v>
      </c>
      <c r="AD18" s="15">
        <f>IFERROR((s_TR/(s_RadSpec!L18*s_EF_rec*(1/365)*s_ED_rec*s_RadSpec!Q18*s_ET_rec*(1/24)*s_RadSpec!V18)),".")</f>
        <v>69247941.212073535</v>
      </c>
      <c r="AE18" s="40">
        <f>IFERROR((s_C*s_EF_rec*(1/365)*s_ED_rec*s_RadSpec!R18*s_ET_rec*(1/24)*s_RadSpec!W18),".")</f>
        <v>0.2791806217689537</v>
      </c>
      <c r="AF18" s="40">
        <f>IFERROR((s_C*s_EF_rec*(1/365)*s_ED_rec*s_RadSpec!S18*s_ET_rec*(1/24)*s_RadSpec!X18),".")</f>
        <v>0.14109225682206311</v>
      </c>
      <c r="AG18" s="40">
        <f>IFERROR((s_C*s_EF_rec*(1/365)*s_ED_rec*s_RadSpec!T18*s_ET_rec*(1/24)*s_RadSpec!Y18),".")</f>
        <v>0.20147529461027694</v>
      </c>
      <c r="AH18" s="40">
        <f>IFERROR((s_C*s_EF_rec*(1/365)*s_ED_rec*s_RadSpec!U18*s_ET_rec*(1/24)*s_RadSpec!Z18),".")</f>
        <v>0.24317550129045054</v>
      </c>
      <c r="AI18" s="40">
        <f>IFERROR((s_C*s_EF_rec*(1/365)*s_ED_rec*s_RadSpec!Q18*s_ET_rec*(1/24)*s_RadSpec!V18),".")</f>
        <v>8.3004411423264465E-2</v>
      </c>
      <c r="AJ18" s="18"/>
      <c r="AK18" s="18"/>
      <c r="AL18" s="18"/>
      <c r="AM18" s="18"/>
      <c r="AN18" s="18"/>
      <c r="AO18" s="15">
        <f>IFERROR((s_TR/(s_RadSpec!F18*s_IFA_rec_adj)),".")</f>
        <v>0.34383707853095613</v>
      </c>
      <c r="AP18" s="15">
        <f>IFERROR((s_TR/(s_RadSpec!K18*s_EF_rec*(1/365)*s_ED_rec*s_ET_rec*(1/24)*s_GSF_a)),".")</f>
        <v>762048643.84690726</v>
      </c>
      <c r="AQ18" s="15">
        <f t="shared" ref="AQ18:AQ20" si="21">IFERROR(IF(AND(AO18&lt;&gt;".",AP18&lt;&gt;"."),1/((1/AO18)+(1/AP18)),IF(AND(AO18&lt;&gt;".",AP18="."),1/((1/AO18)),IF(AND(AO18=".",AP18&lt;&gt;"."),1/((1/AP18)),IF(AND(AO18=".",AP18="."),".")))),".")</f>
        <v>0.34383707837581651</v>
      </c>
      <c r="AR18" s="40">
        <f t="shared" si="3"/>
        <v>10026.041666666666</v>
      </c>
      <c r="AS18" s="40">
        <f t="shared" si="4"/>
        <v>1.5696347031963471</v>
      </c>
      <c r="AT18" s="45"/>
      <c r="AU18" s="45"/>
      <c r="AV18" s="45"/>
      <c r="AW18" s="15">
        <f>IFERROR((s_TR/(s_RadSpec!I18*s_IFW_rec_adj)),".")</f>
        <v>0.63984438984438985</v>
      </c>
      <c r="AX18" s="15">
        <f>IFERROR((s_TR/(s_RadSpec!M18*(1/8760)*s_DFA_rec_adj)),".")</f>
        <v>219444509730.68918</v>
      </c>
      <c r="AY18" s="2">
        <f>IFERROR(BO18/(s_RadSpec!AI18*s_Q_w_game*(1/1000)),".")</f>
        <v>672414.46551791381</v>
      </c>
      <c r="AZ18" s="2">
        <f>IFERROR(BO18/(s_RadSpec!AL18*s_Q_w_fowl*(1/1000)),".")</f>
        <v>840.51808189739234</v>
      </c>
      <c r="BA18" s="244">
        <f t="shared" si="5"/>
        <v>1.56288</v>
      </c>
      <c r="BB18" s="244">
        <f t="shared" si="6"/>
        <v>4.55696066958904E-12</v>
      </c>
      <c r="BC18" s="244">
        <f t="shared" si="7"/>
        <v>1.487178E-6</v>
      </c>
      <c r="BD18" s="244">
        <f t="shared" si="8"/>
        <v>1.1897423999999998E-3</v>
      </c>
      <c r="BE18" s="2">
        <f t="shared" si="19"/>
        <v>0.63935707088410232</v>
      </c>
      <c r="BF18" s="40">
        <f t="shared" si="9"/>
        <v>44000</v>
      </c>
      <c r="BG18" s="40">
        <f t="shared" si="10"/>
        <v>2.5114155251141552</v>
      </c>
      <c r="BH18" s="19">
        <f>IFERROR(s_C*s_RadSpec!AI18*s_Q_w_game*(1/1000)*s_EF_rec*s_ED_rec*s_IRGL_rec*s_CF_game,".")</f>
        <v>3.3000000000000002E-2</v>
      </c>
      <c r="BI18" s="19">
        <f>IFERROR(s_C*s_RadSpec!AL18*s_Q_w_fowl*(1/1000)*s_EF_rec*s_ED_rec*s_IRGL_rec*s_CF_fowl,0)</f>
        <v>26.400000000000002</v>
      </c>
      <c r="BJ18" s="18"/>
      <c r="BK18" s="18"/>
      <c r="BL18" s="5"/>
      <c r="BM18" s="5"/>
      <c r="BN18" s="18"/>
      <c r="BO18" s="2">
        <f>IFERROR(s_TR/(s_RadSpec!H18*s_EF_rec*s_ED_rec*s_IRGL_rec*s_CF_game),".")</f>
        <v>4.034486793107483</v>
      </c>
      <c r="BP18" s="2">
        <f>IFERROR(s_TR/(s_RadSpec!H18*s_EF_rec*s_ED_rec*s_IRGF_rec*s_CF_fowl),".")</f>
        <v>4.034486793107483</v>
      </c>
      <c r="BQ18" s="19">
        <f t="shared" si="11"/>
        <v>5500</v>
      </c>
      <c r="BR18" s="19">
        <f t="shared" si="12"/>
        <v>5500</v>
      </c>
      <c r="BS18" s="5"/>
      <c r="BT18" s="5"/>
    </row>
    <row r="19" spans="1:72" customFormat="1" x14ac:dyDescent="0.25">
      <c r="A19" s="44" t="s">
        <v>29</v>
      </c>
      <c r="B19" s="42" t="s">
        <v>1071</v>
      </c>
      <c r="C19" s="42"/>
      <c r="D19" s="15" t="str">
        <f>IFERROR(((s_TR/(s_RadSpec!E19*s_IFS_rec_adj*(1/1000)))*1),".")</f>
        <v>.</v>
      </c>
      <c r="E19" s="15" t="str">
        <f>IFERROR(IF(A19="H-3",(s_TR/((s_RadSpec!F19*s_IFA_rec_adj*(1/17)*1000))*1),(s_TR/((s_RadSpec!F19*s_IFA_rec_adj*(1/s_PEF_wind)*1000))*1)),".")</f>
        <v>.</v>
      </c>
      <c r="F19" s="2">
        <f>IFERROR((s_TR/(s_RadSpec!G19*s_EF_rec*(1/365)*s_ED_rec*s_RadSpec!R19*s_ET_rec*(1/24)*s_RadSpec!W19)),".")</f>
        <v>1057511.897797381</v>
      </c>
      <c r="G19" s="2" t="str">
        <f>IFERROR((BO19/(s_RadSpec!AI19*((s_Q_p_game*s_f_p_game*s_f_s_game*(s_RadSpec!BD19+s_R_es_past))+(s_Q_s_game*s_f_p_game)))),".")</f>
        <v>.</v>
      </c>
      <c r="H19" s="2" t="str">
        <f>IFERROR((BO19/(s_RadSpec!AL19*((s_Q_p_fowl*s_f_p_fowl*s_f_s_fowl*(s_RadSpec!BD19+s_R_es_past))+(s_Q_s_fowl*s_f_p_fowl)))),".")</f>
        <v>.</v>
      </c>
      <c r="I19" s="244">
        <f t="shared" si="13"/>
        <v>0</v>
      </c>
      <c r="J19" s="244">
        <f t="shared" si="14"/>
        <v>0</v>
      </c>
      <c r="K19" s="244">
        <f t="shared" si="15"/>
        <v>9.4561583853839506E-7</v>
      </c>
      <c r="L19" s="244">
        <f t="shared" si="16"/>
        <v>0</v>
      </c>
      <c r="M19" s="244">
        <f t="shared" si="17"/>
        <v>0</v>
      </c>
      <c r="N19" s="2">
        <f t="shared" si="18"/>
        <v>1057511.897797381</v>
      </c>
      <c r="O19" s="40">
        <f t="shared" si="1"/>
        <v>302.5</v>
      </c>
      <c r="P19" s="40">
        <f t="shared" si="2"/>
        <v>3.2362545583179352E-2</v>
      </c>
      <c r="Q19" s="40">
        <f>IFERROR((s_C*s_EF_rec*(1/365)*s_ED_rec*s_RadSpec!R19*s_ET_rec*(1/24)*s_RadSpec!W19),".")</f>
        <v>0.27360078277886496</v>
      </c>
      <c r="R19" s="19">
        <f>IFERROR((s_C*s_IRGL_rec*s_EF_rec*s_ED_rec*s_CF_game*s_RadSpec!AI19)*((s_Q_p_game*s_f_p_game*s_f_s_game*(s_RadSpec!BD19+s_R_es_past))+(s_Q_s_game*s_f_p_game)),".")</f>
        <v>132.03641379310346</v>
      </c>
      <c r="S19" s="19">
        <f>IFERROR((s_C*s_IRGF_rec*s_EF_rec*s_ED_rec*s_CF_fowl*s_RadSpec!AL19)*((s_Q_p_fowl*s_f_p_fowl*s_f_s_fowl*(s_RadSpec!BD19+s_R_es_past))+(s_Q_s_fowl*s_f_p_fowl)),0)</f>
        <v>105629.13103448277</v>
      </c>
      <c r="T19" s="18"/>
      <c r="U19" s="18"/>
      <c r="V19" s="18"/>
      <c r="W19" s="5"/>
      <c r="X19" s="5"/>
      <c r="Y19" s="18"/>
      <c r="Z19" s="15">
        <f>IFERROR((s_TR/(s_RadSpec!G19*s_EF_rec*(1/365)*s_ED_rec*s_RadSpec!R19*s_ET_rec*(1/24)*s_RadSpec!W19)),".")</f>
        <v>1057511.897797381</v>
      </c>
      <c r="AA19" s="15">
        <f>IFERROR((s_TR/(s_RadSpec!N19*s_EF_rec*(1/365)*s_ED_rec*s_RadSpec!S19*s_ET_rec*(1/24)*s_RadSpec!X19)),".")</f>
        <v>10487364.458487926</v>
      </c>
      <c r="AB19" s="15">
        <f>IFERROR((s_TR/(s_RadSpec!O19*s_EF_rec*(1/365)*s_ED_rec*s_RadSpec!T19*s_ET_rec*(1/24)*s_RadSpec!Y19)),".")</f>
        <v>2581418.5645621819</v>
      </c>
      <c r="AC19" s="15">
        <f>IFERROR((s_TR/(s_RadSpec!P19*s_EF_rec*(1/365)*s_ED_rec*s_RadSpec!U19*s_ET_rec*(1/24)*s_RadSpec!Z19)),".")</f>
        <v>1382500.4113033414</v>
      </c>
      <c r="AD19" s="15">
        <f>IFERROR((s_TR/(s_RadSpec!L19*s_EF_rec*(1/365)*s_ED_rec*s_RadSpec!Q19*s_ET_rec*(1/24)*s_RadSpec!V19)),".")</f>
        <v>18561183.817684766</v>
      </c>
      <c r="AE19" s="40">
        <f>IFERROR((s_C*s_EF_rec*(1/365)*s_ED_rec*s_RadSpec!R19*s_ET_rec*(1/24)*s_RadSpec!W19),".")</f>
        <v>0.27360078277886496</v>
      </c>
      <c r="AF19" s="40">
        <f>IFERROR((s_C*s_EF_rec*(1/365)*s_ED_rec*s_RadSpec!S19*s_ET_rec*(1/24)*s_RadSpec!X19),".")</f>
        <v>0.13794508819665977</v>
      </c>
      <c r="AG19" s="40">
        <f>IFERROR((s_C*s_EF_rec*(1/365)*s_ED_rec*s_RadSpec!T19*s_ET_rec*(1/24)*s_RadSpec!Y19),".")</f>
        <v>0.19899775559167238</v>
      </c>
      <c r="AH19" s="40">
        <f>IFERROR((s_C*s_EF_rec*(1/365)*s_ED_rec*s_RadSpec!U19*s_ET_rec*(1/24)*s_RadSpec!Z19),".")</f>
        <v>0.23826249853647119</v>
      </c>
      <c r="AI19" s="40">
        <f>IFERROR((s_C*s_EF_rec*(1/365)*s_ED_rec*s_RadSpec!Q19*s_ET_rec*(1/24)*s_RadSpec!V19),".")</f>
        <v>8.0106204263125314E-2</v>
      </c>
      <c r="AJ19" s="18"/>
      <c r="AK19" s="18"/>
      <c r="AL19" s="18"/>
      <c r="AM19" s="18"/>
      <c r="AN19" s="18"/>
      <c r="AO19" s="15" t="str">
        <f>IFERROR((s_TR/(s_RadSpec!F19*s_IFA_rec_adj)),".")</f>
        <v>.</v>
      </c>
      <c r="AP19" s="15">
        <f>IFERROR((s_TR/(s_RadSpec!K19*s_EF_rec*(1/365)*s_ED_rec*s_ET_rec*(1/24)*s_GSF_a)),".")</f>
        <v>197690880.0704295</v>
      </c>
      <c r="AQ19" s="15">
        <f t="shared" si="21"/>
        <v>197690880.0704295</v>
      </c>
      <c r="AR19" s="40">
        <f t="shared" si="3"/>
        <v>10026.041666666666</v>
      </c>
      <c r="AS19" s="40">
        <f t="shared" si="4"/>
        <v>1.5696347031963471</v>
      </c>
      <c r="AT19" s="45"/>
      <c r="AU19" s="45"/>
      <c r="AV19" s="45"/>
      <c r="AW19" s="15" t="str">
        <f>IFERROR((s_TR/(s_RadSpec!I19*s_IFW_rec_adj)),".")</f>
        <v>.</v>
      </c>
      <c r="AX19" s="15">
        <f>IFERROR((s_TR/(s_RadSpec!M19*(1/8760)*s_DFA_rec_adj)),".")</f>
        <v>57026215404.931595</v>
      </c>
      <c r="AY19" s="2" t="str">
        <f>IFERROR(BO19/(s_RadSpec!AI19*s_Q_w_game*(1/1000)),".")</f>
        <v>.</v>
      </c>
      <c r="AZ19" s="2" t="str">
        <f>IFERROR(BO19/(s_RadSpec!AL19*s_Q_w_fowl*(1/1000)),".")</f>
        <v>.</v>
      </c>
      <c r="BA19" s="244">
        <f t="shared" si="5"/>
        <v>0</v>
      </c>
      <c r="BB19" s="244">
        <f t="shared" si="6"/>
        <v>1.7535794597260272E-11</v>
      </c>
      <c r="BC19" s="244">
        <f t="shared" si="7"/>
        <v>0</v>
      </c>
      <c r="BD19" s="244">
        <f t="shared" si="8"/>
        <v>0</v>
      </c>
      <c r="BE19" s="2">
        <f t="shared" si="19"/>
        <v>57026215404.931595</v>
      </c>
      <c r="BF19" s="40">
        <f t="shared" si="9"/>
        <v>44000</v>
      </c>
      <c r="BG19" s="40">
        <f t="shared" si="10"/>
        <v>2.5114155251141552</v>
      </c>
      <c r="BH19" s="19">
        <f>IFERROR(s_C*s_RadSpec!AI19*s_Q_w_game*(1/1000)*s_EF_rec*s_ED_rec*s_IRGL_rec*s_CF_game,".")</f>
        <v>3.3000000000000002E-2</v>
      </c>
      <c r="BI19" s="19">
        <f>IFERROR(s_C*s_RadSpec!AL19*s_Q_w_fowl*(1/1000)*s_EF_rec*s_ED_rec*s_IRGL_rec*s_CF_fowl,0)</f>
        <v>26.400000000000002</v>
      </c>
      <c r="BJ19" s="18"/>
      <c r="BK19" s="18"/>
      <c r="BL19" s="5"/>
      <c r="BM19" s="5"/>
      <c r="BN19" s="18"/>
      <c r="BO19" s="2" t="str">
        <f>IFERROR(s_TR/(s_RadSpec!H19*s_EF_rec*s_ED_rec*s_IRGL_rec*s_CF_game),".")</f>
        <v>.</v>
      </c>
      <c r="BP19" s="2" t="str">
        <f>IFERROR(s_TR/(s_RadSpec!H19*s_EF_rec*s_ED_rec*s_IRGF_rec*s_CF_fowl),".")</f>
        <v>.</v>
      </c>
      <c r="BQ19" s="19">
        <f t="shared" si="11"/>
        <v>5500</v>
      </c>
      <c r="BR19" s="19">
        <f t="shared" si="12"/>
        <v>5500</v>
      </c>
      <c r="BS19" s="5"/>
      <c r="BT19" s="5"/>
    </row>
    <row r="20" spans="1:72" customFormat="1" x14ac:dyDescent="0.25">
      <c r="A20" s="44" t="s">
        <v>30</v>
      </c>
      <c r="B20" s="42" t="s">
        <v>1071</v>
      </c>
      <c r="C20" s="249"/>
      <c r="D20" s="15" t="str">
        <f>IFERROR(((s_TR/(s_RadSpec!E20*s_IFS_rec_adj*(1/1000)))*1),".")</f>
        <v>.</v>
      </c>
      <c r="E20" s="15" t="str">
        <f>IFERROR(IF(A20="H-3",(s_TR/((s_RadSpec!F20*s_IFA_rec_adj*(1/17)*1000))*1),(s_TR/((s_RadSpec!F20*s_IFA_rec_adj*(1/s_PEF_wind)*1000))*1)),".")</f>
        <v>.</v>
      </c>
      <c r="F20" s="2">
        <f>IFERROR((s_TR/(s_RadSpec!G20*s_EF_rec*(1/365)*s_ED_rec*s_RadSpec!R20*s_ET_rec*(1/24)*s_RadSpec!W20)),".")</f>
        <v>466360.04487258772</v>
      </c>
      <c r="G20" s="2" t="str">
        <f>IFERROR((BO20/(s_RadSpec!AI20*((s_Q_p_game*s_f_p_game*s_f_s_game*(s_RadSpec!BD20+s_R_es_past))+(s_Q_s_game*s_f_p_game)))),".")</f>
        <v>.</v>
      </c>
      <c r="H20" s="2" t="str">
        <f>IFERROR((BO20/(s_RadSpec!AL20*((s_Q_p_fowl*s_f_p_fowl*s_f_s_fowl*(s_RadSpec!BD20+s_R_es_past))+(s_Q_s_fowl*s_f_p_fowl)))),".")</f>
        <v>.</v>
      </c>
      <c r="I20" s="244">
        <f t="shared" si="13"/>
        <v>0</v>
      </c>
      <c r="J20" s="244">
        <f t="shared" si="14"/>
        <v>0</v>
      </c>
      <c r="K20" s="244">
        <f t="shared" si="15"/>
        <v>2.1442660257767274E-6</v>
      </c>
      <c r="L20" s="244">
        <f t="shared" si="16"/>
        <v>0</v>
      </c>
      <c r="M20" s="244">
        <f t="shared" si="17"/>
        <v>0</v>
      </c>
      <c r="N20" s="2">
        <f t="shared" si="18"/>
        <v>466360.04487258778</v>
      </c>
      <c r="O20" s="40">
        <f t="shared" si="1"/>
        <v>302.5</v>
      </c>
      <c r="P20" s="40">
        <f t="shared" si="2"/>
        <v>3.2362545583179352E-2</v>
      </c>
      <c r="Q20" s="40">
        <f>IFERROR((s_C*s_EF_rec*(1/365)*s_ED_rec*s_RadSpec!R20*s_ET_rec*(1/24)*s_RadSpec!W20),".")</f>
        <v>0.27824606929341444</v>
      </c>
      <c r="R20" s="19">
        <f>IFERROR((s_C*s_IRGL_rec*s_EF_rec*s_ED_rec*s_CF_game*s_RadSpec!AI20)*((s_Q_p_game*s_f_p_game*s_f_s_game*(s_RadSpec!BD20+s_R_es_past))+(s_Q_s_game*s_f_p_game)),".")</f>
        <v>132.03641379310346</v>
      </c>
      <c r="S20" s="19">
        <f>IFERROR((s_C*s_IRGF_rec*s_EF_rec*s_ED_rec*s_CF_fowl*s_RadSpec!AL20)*((s_Q_p_fowl*s_f_p_fowl*s_f_s_fowl*(s_RadSpec!BD20+s_R_es_past))+(s_Q_s_fowl*s_f_p_fowl)),0)</f>
        <v>105629.13103448277</v>
      </c>
      <c r="T20" s="18"/>
      <c r="U20" s="18"/>
      <c r="V20" s="18"/>
      <c r="W20" s="5"/>
      <c r="X20" s="5"/>
      <c r="Y20" s="18"/>
      <c r="Z20" s="15">
        <f>IFERROR((s_TR/(s_RadSpec!G20*s_EF_rec*(1/365)*s_ED_rec*s_RadSpec!R20*s_ET_rec*(1/24)*s_RadSpec!W20)),".")</f>
        <v>466360.04487258772</v>
      </c>
      <c r="AA20" s="15">
        <f>IFERROR((s_TR/(s_RadSpec!N20*s_EF_rec*(1/365)*s_ED_rec*s_RadSpec!S20*s_ET_rec*(1/24)*s_RadSpec!X20)),".")</f>
        <v>4649249.9772684826</v>
      </c>
      <c r="AB20" s="15">
        <f>IFERROR((s_TR/(s_RadSpec!O20*s_EF_rec*(1/365)*s_ED_rec*s_RadSpec!T20*s_ET_rec*(1/24)*s_RadSpec!Y20)),".")</f>
        <v>1154101.9784331401</v>
      </c>
      <c r="AC20" s="15">
        <f>IFERROR((s_TR/(s_RadSpec!P20*s_EF_rec*(1/365)*s_ED_rec*s_RadSpec!U20*s_ET_rec*(1/24)*s_RadSpec!Z20)),".")</f>
        <v>616987.6167473885</v>
      </c>
      <c r="AD20" s="15">
        <f>IFERROR((s_TR/(s_RadSpec!L20*s_EF_rec*(1/365)*s_ED_rec*s_RadSpec!Q20*s_ET_rec*(1/24)*s_RadSpec!V20)),".")</f>
        <v>8131408.1959956642</v>
      </c>
      <c r="AE20" s="40">
        <f>IFERROR((s_C*s_EF_rec*(1/365)*s_ED_rec*s_RadSpec!R20*s_ET_rec*(1/24)*s_RadSpec!W20),".")</f>
        <v>0.27824606929341444</v>
      </c>
      <c r="AF20" s="40">
        <f>IFERROR((s_C*s_EF_rec*(1/365)*s_ED_rec*s_RadSpec!S20*s_ET_rec*(1/24)*s_RadSpec!X20),".")</f>
        <v>0.14109163617799708</v>
      </c>
      <c r="AG20" s="40">
        <f>IFERROR((s_C*s_EF_rec*(1/365)*s_ED_rec*s_RadSpec!T20*s_ET_rec*(1/24)*s_RadSpec!Y20),".")</f>
        <v>0.20165189363416594</v>
      </c>
      <c r="AH20" s="40">
        <f>IFERROR((s_C*s_EF_rec*(1/365)*s_ED_rec*s_RadSpec!U20*s_ET_rec*(1/24)*s_RadSpec!Z20),".")</f>
        <v>0.24015410958904096</v>
      </c>
      <c r="AI20" s="40">
        <f>IFERROR((s_C*s_EF_rec*(1/365)*s_ED_rec*s_RadSpec!Q20*s_ET_rec*(1/24)*s_RadSpec!V20),".")</f>
        <v>8.2802115828021119E-2</v>
      </c>
      <c r="AJ20" s="18"/>
      <c r="AK20" s="18"/>
      <c r="AL20" s="18"/>
      <c r="AM20" s="18"/>
      <c r="AN20" s="18"/>
      <c r="AO20" s="15" t="str">
        <f>IFERROR((s_TR/(s_RadSpec!F20*s_IFA_rec_adj)),".")</f>
        <v>.</v>
      </c>
      <c r="AP20" s="15">
        <f>IFERROR((s_TR/(s_RadSpec!K20*s_EF_rec*(1/365)*s_ED_rec*s_ET_rec*(1/24)*s_GSF_a)),".")</f>
        <v>89154710.619997621</v>
      </c>
      <c r="AQ20" s="15">
        <f t="shared" si="21"/>
        <v>89154710.619997621</v>
      </c>
      <c r="AR20" s="40">
        <f t="shared" si="3"/>
        <v>10026.041666666666</v>
      </c>
      <c r="AS20" s="40">
        <f t="shared" si="4"/>
        <v>1.5696347031963471</v>
      </c>
      <c r="AT20" s="45"/>
      <c r="AU20" s="45"/>
      <c r="AV20" s="45"/>
      <c r="AW20" s="15" t="str">
        <f>IFERROR((s_TR/(s_RadSpec!I20*s_IFW_rec_adj)),".")</f>
        <v>.</v>
      </c>
      <c r="AX20" s="15">
        <f>IFERROR((s_TR/(s_RadSpec!M20*(1/8760)*s_DFA_rec_adj)),".")</f>
        <v>25717704986.537777</v>
      </c>
      <c r="AY20" s="2" t="str">
        <f>IFERROR(BO20/(s_RadSpec!AI20*s_Q_w_game*(1/1000)),".")</f>
        <v>.</v>
      </c>
      <c r="AZ20" s="2" t="str">
        <f>IFERROR(BO20/(s_RadSpec!AL20*s_Q_w_fowl*(1/1000)),".")</f>
        <v>.</v>
      </c>
      <c r="BA20" s="244">
        <f t="shared" si="5"/>
        <v>0</v>
      </c>
      <c r="BB20" s="244">
        <f t="shared" si="6"/>
        <v>3.8883718454794518E-11</v>
      </c>
      <c r="BC20" s="244">
        <f t="shared" si="7"/>
        <v>0</v>
      </c>
      <c r="BD20" s="244">
        <f t="shared" si="8"/>
        <v>0</v>
      </c>
      <c r="BE20" s="2">
        <f t="shared" si="19"/>
        <v>25717704986.537777</v>
      </c>
      <c r="BF20" s="40">
        <f t="shared" si="9"/>
        <v>44000</v>
      </c>
      <c r="BG20" s="40">
        <f t="shared" si="10"/>
        <v>2.5114155251141552</v>
      </c>
      <c r="BH20" s="19">
        <f>IFERROR(s_C*s_RadSpec!AI20*s_Q_w_game*(1/1000)*s_EF_rec*s_ED_rec*s_IRGL_rec*s_CF_game,".")</f>
        <v>3.3000000000000002E-2</v>
      </c>
      <c r="BI20" s="19">
        <f>IFERROR(s_C*s_RadSpec!AL20*s_Q_w_fowl*(1/1000)*s_EF_rec*s_ED_rec*s_IRGL_rec*s_CF_fowl,0)</f>
        <v>26.400000000000002</v>
      </c>
      <c r="BJ20" s="18"/>
      <c r="BK20" s="18"/>
      <c r="BL20" s="5"/>
      <c r="BM20" s="5"/>
      <c r="BN20" s="18"/>
      <c r="BO20" s="2" t="str">
        <f>IFERROR(s_TR/(s_RadSpec!H20*s_EF_rec*s_ED_rec*s_IRGL_rec*s_CF_game),".")</f>
        <v>.</v>
      </c>
      <c r="BP20" s="2" t="str">
        <f>IFERROR(s_TR/(s_RadSpec!H20*s_EF_rec*s_ED_rec*s_IRGF_rec*s_CF_fowl),".")</f>
        <v>.</v>
      </c>
      <c r="BQ20" s="19">
        <f t="shared" si="11"/>
        <v>5500</v>
      </c>
      <c r="BR20" s="19">
        <f t="shared" si="12"/>
        <v>5500</v>
      </c>
      <c r="BS20" s="5"/>
      <c r="BT20" s="5"/>
    </row>
    <row r="21" spans="1:72" customFormat="1" x14ac:dyDescent="0.25">
      <c r="A21" s="44" t="s">
        <v>31</v>
      </c>
      <c r="B21" s="42" t="s">
        <v>1071</v>
      </c>
      <c r="C21" s="249"/>
      <c r="D21" s="15" t="str">
        <f>IFERROR(((s_TR/(s_RadSpec!E21*s_IFS_rec_adj*(1/1000)))*1),".")</f>
        <v>.</v>
      </c>
      <c r="E21" s="15">
        <f>IFERROR(IF(A21="H-3",(s_TR/((s_RadSpec!F21*s_IFA_rec_adj*(1/17)*1000))*1),(s_TR/((s_RadSpec!F21*s_IFA_rec_adj*(1/s_PEF_wind)*1000))*1)),".")</f>
        <v>111150783.64008242</v>
      </c>
      <c r="F21" s="2" t="str">
        <f>IFERROR((s_TR/(s_RadSpec!G21*s_EF_rec*(1/365)*s_ED_rec*s_RadSpec!R21*s_ET_rec*(1/24)*s_RadSpec!W21)),".")</f>
        <v>.</v>
      </c>
      <c r="G21" s="2" t="str">
        <f>IFERROR((BO21/(s_RadSpec!AI21*((s_Q_p_game*s_f_p_game*s_f_s_game*(s_RadSpec!BD21+s_R_es_past))+(s_Q_s_game*s_f_p_game)))),".")</f>
        <v>.</v>
      </c>
      <c r="H21" s="2" t="str">
        <f>IFERROR((BO21/(s_RadSpec!AL21*((s_Q_p_fowl*s_f_p_fowl*s_f_s_fowl*(s_RadSpec!BD21+s_R_es_past))+(s_Q_s_fowl*s_f_p_fowl)))),".")</f>
        <v>.</v>
      </c>
      <c r="I21" s="244">
        <f t="shared" si="13"/>
        <v>0</v>
      </c>
      <c r="J21" s="244">
        <f t="shared" si="14"/>
        <v>8.9967876721238607E-9</v>
      </c>
      <c r="K21" s="244">
        <f t="shared" si="15"/>
        <v>0</v>
      </c>
      <c r="L21" s="244">
        <f t="shared" si="16"/>
        <v>0</v>
      </c>
      <c r="M21" s="244">
        <f t="shared" si="17"/>
        <v>0</v>
      </c>
      <c r="N21" s="2">
        <f t="shared" si="18"/>
        <v>111150783.64008242</v>
      </c>
      <c r="O21" s="40">
        <f t="shared" si="1"/>
        <v>302.5</v>
      </c>
      <c r="P21" s="40">
        <f t="shared" si="2"/>
        <v>3.2362545583179352E-2</v>
      </c>
      <c r="Q21" s="40">
        <f>IFERROR((s_C*s_EF_rec*(1/365)*s_ED_rec*s_RadSpec!R21*s_ET_rec*(1/24)*s_RadSpec!W21),".")</f>
        <v>0</v>
      </c>
      <c r="R21" s="19">
        <f>IFERROR((s_C*s_IRGL_rec*s_EF_rec*s_ED_rec*s_CF_game*s_RadSpec!AI21)*((s_Q_p_game*s_f_p_game*s_f_s_game*(s_RadSpec!BD21+s_R_es_past))+(s_Q_s_game*s_f_p_game)),".")</f>
        <v>132.03641379310346</v>
      </c>
      <c r="S21" s="19">
        <f>IFERROR((s_C*s_IRGF_rec*s_EF_rec*s_ED_rec*s_CF_fowl*s_RadSpec!AL21)*((s_Q_p_fowl*s_f_p_fowl*s_f_s_fowl*(s_RadSpec!BD21+s_R_es_past))+(s_Q_s_fowl*s_f_p_fowl)),0)</f>
        <v>105629.13103448277</v>
      </c>
      <c r="T21" s="18"/>
      <c r="U21" s="18"/>
      <c r="V21" s="18"/>
      <c r="W21" s="5"/>
      <c r="X21" s="5"/>
      <c r="Y21" s="18"/>
      <c r="Z21" s="15" t="str">
        <f>IFERROR((s_TR/(s_RadSpec!G21*s_EF_rec*(1/365)*s_ED_rec*s_RadSpec!R21*s_ET_rec*(1/24)*s_RadSpec!W21)),".")</f>
        <v>.</v>
      </c>
      <c r="AA21" s="15" t="str">
        <f>IFERROR((s_TR/(s_RadSpec!N21*s_EF_rec*(1/365)*s_ED_rec*s_RadSpec!S21*s_ET_rec*(1/24)*s_RadSpec!X21)),".")</f>
        <v>.</v>
      </c>
      <c r="AB21" s="15" t="str">
        <f>IFERROR((s_TR/(s_RadSpec!O21*s_EF_rec*(1/365)*s_ED_rec*s_RadSpec!T21*s_ET_rec*(1/24)*s_RadSpec!Y21)),".")</f>
        <v>.</v>
      </c>
      <c r="AC21" s="15" t="str">
        <f>IFERROR((s_TR/(s_RadSpec!P21*s_EF_rec*(1/365)*s_ED_rec*s_RadSpec!U21*s_ET_rec*(1/24)*s_RadSpec!Z21)),".")</f>
        <v>.</v>
      </c>
      <c r="AD21" s="15" t="str">
        <f>IFERROR((s_TR/(s_RadSpec!L21*s_EF_rec*(1/365)*s_ED_rec*s_RadSpec!Q21*s_ET_rec*(1/24)*s_RadSpec!V21)),".")</f>
        <v>.</v>
      </c>
      <c r="AE21" s="40">
        <f>IFERROR((s_C*s_EF_rec*(1/365)*s_ED_rec*s_RadSpec!R21*s_ET_rec*(1/24)*s_RadSpec!W21),".")</f>
        <v>0</v>
      </c>
      <c r="AF21" s="40">
        <f>IFERROR((s_C*s_EF_rec*(1/365)*s_ED_rec*s_RadSpec!S21*s_ET_rec*(1/24)*s_RadSpec!X21),".")</f>
        <v>0</v>
      </c>
      <c r="AG21" s="40">
        <f>IFERROR((s_C*s_EF_rec*(1/365)*s_ED_rec*s_RadSpec!T21*s_ET_rec*(1/24)*s_RadSpec!Y21),".")</f>
        <v>0</v>
      </c>
      <c r="AH21" s="40">
        <f>IFERROR((s_C*s_EF_rec*(1/365)*s_ED_rec*s_RadSpec!U21*s_ET_rec*(1/24)*s_RadSpec!Z21),".")</f>
        <v>0</v>
      </c>
      <c r="AI21" s="40">
        <f>IFERROR((s_C*s_EF_rec*(1/365)*s_ED_rec*s_RadSpec!Q21*s_ET_rec*(1/24)*s_RadSpec!V21),".")</f>
        <v>0</v>
      </c>
      <c r="AJ21" s="18"/>
      <c r="AK21" s="18"/>
      <c r="AL21" s="18"/>
      <c r="AM21" s="18"/>
      <c r="AN21" s="18"/>
      <c r="AO21" s="15">
        <f>IFERROR((s_TR/(s_RadSpec!F21*s_IFA_rec_adj)),".")</f>
        <v>358.7779127347473</v>
      </c>
      <c r="AP21" s="15">
        <f>IFERROR((s_TR/(s_RadSpec!K21*s_EF_rec*(1/365)*s_ED_rec*s_ET_rec*(1/24)*s_GSF_a)),".")</f>
        <v>807140279577.49329</v>
      </c>
      <c r="AQ21" s="15">
        <f>IFERROR(IF(AND(AO21&lt;&gt;".",AP21&lt;&gt;"."),1/((1/AO21)+(1/AP21)),IF(AND(AO21&lt;&gt;".",AP21="."),1/((1/AO21)),IF(AND(AO21=".",AP21&lt;&gt;"."),1/((1/AP21)),IF(AND(AO21=".",AP21="."),".")))),".")</f>
        <v>358.77791257526872</v>
      </c>
      <c r="AR21" s="40">
        <f t="shared" si="3"/>
        <v>10026.041666666666</v>
      </c>
      <c r="AS21" s="40">
        <f t="shared" si="4"/>
        <v>1.5696347031963471</v>
      </c>
      <c r="AT21" s="45"/>
      <c r="AU21" s="45"/>
      <c r="AV21" s="45"/>
      <c r="AW21" s="15" t="str">
        <f>IFERROR((s_TR/(s_RadSpec!I21*s_IFW_rec_adj)),".")</f>
        <v>.</v>
      </c>
      <c r="AX21" s="15">
        <f>IFERROR((s_TR/(s_RadSpec!M21*(1/8760)*s_DFA_rec_adj)),".")</f>
        <v>393783796907033.44</v>
      </c>
      <c r="AY21" s="2" t="str">
        <f>IFERROR(BO21/(s_RadSpec!AI21*s_Q_w_game*(1/1000)),".")</f>
        <v>.</v>
      </c>
      <c r="AZ21" s="2" t="str">
        <f>IFERROR(BO21/(s_RadSpec!AL21*s_Q_w_fowl*(1/1000)),".")</f>
        <v>.</v>
      </c>
      <c r="BA21" s="244">
        <f t="shared" si="5"/>
        <v>0</v>
      </c>
      <c r="BB21" s="244">
        <f t="shared" si="6"/>
        <v>2.5394645687671228E-15</v>
      </c>
      <c r="BC21" s="244">
        <f t="shared" si="7"/>
        <v>0</v>
      </c>
      <c r="BD21" s="244">
        <f t="shared" si="8"/>
        <v>0</v>
      </c>
      <c r="BE21" s="2">
        <f t="shared" si="19"/>
        <v>393783796907033.44</v>
      </c>
      <c r="BF21" s="40">
        <f t="shared" si="9"/>
        <v>44000</v>
      </c>
      <c r="BG21" s="40">
        <f t="shared" si="10"/>
        <v>2.5114155251141552</v>
      </c>
      <c r="BH21" s="19">
        <f>IFERROR(s_C*s_RadSpec!AI21*s_Q_w_game*(1/1000)*s_EF_rec*s_ED_rec*s_IRGL_rec*s_CF_game,".")</f>
        <v>3.3000000000000002E-2</v>
      </c>
      <c r="BI21" s="19">
        <f>IFERROR(s_C*s_RadSpec!AL21*s_Q_w_fowl*(1/1000)*s_EF_rec*s_ED_rec*s_IRGL_rec*s_CF_fowl,0)</f>
        <v>26.400000000000002</v>
      </c>
      <c r="BJ21" s="18"/>
      <c r="BK21" s="18"/>
      <c r="BL21" s="5"/>
      <c r="BM21" s="5"/>
      <c r="BN21" s="18"/>
      <c r="BO21" s="2" t="str">
        <f>IFERROR(s_TR/(s_RadSpec!H21*s_EF_rec*s_ED_rec*s_IRGL_rec*s_CF_game),".")</f>
        <v>.</v>
      </c>
      <c r="BP21" s="2" t="str">
        <f>IFERROR(s_TR/(s_RadSpec!H21*s_EF_rec*s_ED_rec*s_IRGF_rec*s_CF_fowl),".")</f>
        <v>.</v>
      </c>
      <c r="BQ21" s="19">
        <f t="shared" si="11"/>
        <v>5500</v>
      </c>
      <c r="BR21" s="19">
        <f t="shared" si="12"/>
        <v>5500</v>
      </c>
      <c r="BS21" s="5"/>
      <c r="BT21" s="5"/>
    </row>
    <row r="22" spans="1:72" customFormat="1" x14ac:dyDescent="0.25">
      <c r="A22" s="44" t="s">
        <v>32</v>
      </c>
      <c r="B22" s="42" t="s">
        <v>1071</v>
      </c>
      <c r="C22" s="42"/>
      <c r="D22" s="15">
        <f>IFERROR(((s_TR/(s_RadSpec!E22*s_IFS_rec_adj*(1/1000)))*1),".")</f>
        <v>682.02705260304151</v>
      </c>
      <c r="E22" s="15">
        <f>IFERROR(IF(A22="H-3",(s_TR/((s_RadSpec!F22*s_IFA_rec_adj*(1/17)*1000))*1),(s_TR/((s_RadSpec!F22*s_IFA_rec_adj*(1/s_PEF_wind)*1000))*1)),".")</f>
        <v>59061.73372824442</v>
      </c>
      <c r="F22" s="2">
        <f>IFERROR((s_TR/(s_RadSpec!G22*s_EF_rec*(1/365)*s_ED_rec*s_RadSpec!R22*s_ET_rec*(1/24)*s_RadSpec!W22)),".")</f>
        <v>125149557165.41487</v>
      </c>
      <c r="G22" s="2">
        <f>IFERROR((BO22/(s_RadSpec!AI22*((s_Q_p_game*s_f_p_game*s_f_s_game*(s_RadSpec!BD22+s_R_es_past))+(s_Q_s_game*s_f_p_game)))),".")</f>
        <v>4269.8657304304543</v>
      </c>
      <c r="H22" s="2" t="str">
        <f>IFERROR((BO22/(s_RadSpec!AL22*((s_Q_p_fowl*s_f_p_fowl*s_f_s_fowl*(s_RadSpec!BD22+s_R_es_past))+(s_Q_s_fowl*s_f_p_fowl)))),".")</f>
        <v>.</v>
      </c>
      <c r="I22" s="244">
        <f t="shared" si="13"/>
        <v>1.4662175000000001E-3</v>
      </c>
      <c r="J22" s="244">
        <f t="shared" si="14"/>
        <v>1.6931436598207773E-5</v>
      </c>
      <c r="K22" s="244">
        <f t="shared" si="15"/>
        <v>7.9904397798089089E-12</v>
      </c>
      <c r="L22" s="244">
        <f t="shared" si="16"/>
        <v>2.3419940183908028E-4</v>
      </c>
      <c r="M22" s="244">
        <f t="shared" si="17"/>
        <v>0</v>
      </c>
      <c r="N22" s="2">
        <f t="shared" si="18"/>
        <v>582.29304618373385</v>
      </c>
      <c r="O22" s="40">
        <f t="shared" si="1"/>
        <v>302.5</v>
      </c>
      <c r="P22" s="40">
        <f t="shared" si="2"/>
        <v>3.2362545583179352E-2</v>
      </c>
      <c r="Q22" s="40">
        <f>IFERROR((s_C*s_EF_rec*(1/365)*s_ED_rec*s_RadSpec!R22*s_ET_rec*(1/24)*s_RadSpec!W22),".")</f>
        <v>6.5423429645830922E-8</v>
      </c>
      <c r="R22" s="19">
        <f>IFERROR((s_C*s_IRGL_rec*s_EF_rec*s_ED_rec*s_CF_game*s_RadSpec!AI22)*((s_Q_p_game*s_f_p_game*s_f_s_game*(s_RadSpec!BD22+s_R_es_past))+(s_Q_s_game*s_f_p_game)),".")</f>
        <v>76.261609195402258</v>
      </c>
      <c r="S22" s="19">
        <f>IFERROR((s_C*s_IRGF_rec*s_EF_rec*s_ED_rec*s_CF_fowl*s_RadSpec!AL22)*((s_Q_p_fowl*s_f_p_fowl*s_f_s_fowl*(s_RadSpec!BD22+s_R_es_past))+(s_Q_s_fowl*s_f_p_fowl)),0)</f>
        <v>0</v>
      </c>
      <c r="T22" s="18"/>
      <c r="U22" s="18"/>
      <c r="V22" s="18"/>
      <c r="W22" s="5"/>
      <c r="X22" s="5"/>
      <c r="Y22" s="18"/>
      <c r="Z22" s="15">
        <f>IFERROR((s_TR/(s_RadSpec!G22*s_EF_rec*(1/365)*s_ED_rec*s_RadSpec!R22*s_ET_rec*(1/24)*s_RadSpec!W22)),".")</f>
        <v>125149557165.41487</v>
      </c>
      <c r="AA22" s="15">
        <f>IFERROR((s_TR/(s_RadSpec!N22*s_EF_rec*(1/365)*s_ED_rec*s_RadSpec!S22*s_ET_rec*(1/24)*s_RadSpec!X22)),".")</f>
        <v>157500375364.1293</v>
      </c>
      <c r="AB22" s="15">
        <f>IFERROR((s_TR/(s_RadSpec!O22*s_EF_rec*(1/365)*s_ED_rec*s_RadSpec!T22*s_ET_rec*(1/24)*s_RadSpec!Y22)),".")</f>
        <v>88611033432.008713</v>
      </c>
      <c r="AC22" s="15">
        <f>IFERROR((s_TR/(s_RadSpec!P22*s_EF_rec*(1/365)*s_ED_rec*s_RadSpec!U22*s_ET_rec*(1/24)*s_RadSpec!Z22)),".")</f>
        <v>90961395817.846573</v>
      </c>
      <c r="AD22" s="15">
        <f>IFERROR((s_TR/(s_RadSpec!L22*s_EF_rec*(1/365)*s_ED_rec*s_RadSpec!Q22*s_ET_rec*(1/24)*s_RadSpec!V22)),".")</f>
        <v>445068164946.88446</v>
      </c>
      <c r="AE22" s="40">
        <f>IFERROR((s_C*s_EF_rec*(1/365)*s_ED_rec*s_RadSpec!R22*s_ET_rec*(1/24)*s_RadSpec!W22),".")</f>
        <v>6.5423429645830922E-8</v>
      </c>
      <c r="AF22" s="40">
        <f>IFERROR((s_C*s_EF_rec*(1/365)*s_ED_rec*s_RadSpec!S22*s_ET_rec*(1/24)*s_RadSpec!X22),".")</f>
        <v>7.1397956239072456E-8</v>
      </c>
      <c r="AG22" s="40">
        <f>IFERROR((s_C*s_EF_rec*(1/365)*s_ED_rec*s_RadSpec!T22*s_ET_rec*(1/24)*s_RadSpec!Y22),".")</f>
        <v>9.2933687111769299E-8</v>
      </c>
      <c r="AH22" s="40">
        <f>IFERROR((s_C*s_EF_rec*(1/365)*s_ED_rec*s_RadSpec!U22*s_ET_rec*(1/24)*s_RadSpec!Z22),".")</f>
        <v>9.0185495166194143E-8</v>
      </c>
      <c r="AI22" s="40">
        <f>IFERROR((s_C*s_EF_rec*(1/365)*s_ED_rec*s_RadSpec!Q22*s_ET_rec*(1/24)*s_RadSpec!V22),".")</f>
        <v>1.2709893243406301E-8</v>
      </c>
      <c r="AJ22" s="18"/>
      <c r="AK22" s="18"/>
      <c r="AL22" s="18"/>
      <c r="AM22" s="18"/>
      <c r="AN22" s="18"/>
      <c r="AO22" s="15">
        <f>IFERROR((s_TR/(s_RadSpec!F22*s_IFA_rec_adj)),".")</f>
        <v>0.19064234057161925</v>
      </c>
      <c r="AP22" s="15">
        <f>IFERROR((s_TR/(s_RadSpec!K22*s_EF_rec*(1/365)*s_ED_rec*s_ET_rec*(1/24)*s_GSF_a)),".")</f>
        <v>1726667.1803619796</v>
      </c>
      <c r="AQ22" s="15">
        <f t="shared" ref="AQ22:AQ24" si="22">IFERROR(IF(AND(AO22&lt;&gt;".",AP22&lt;&gt;"."),1/((1/AO22)+(1/AP22)),IF(AND(AO22&lt;&gt;".",AP22="."),1/((1/AO22)),IF(AND(AO22=".",AP22&lt;&gt;"."),1/((1/AP22)),IF(AND(AO22=".",AP22="."),".")))),".")</f>
        <v>0.19064231952268842</v>
      </c>
      <c r="AR22" s="40">
        <f t="shared" si="3"/>
        <v>10026.041666666666</v>
      </c>
      <c r="AS22" s="40">
        <f t="shared" si="4"/>
        <v>1.5696347031963471</v>
      </c>
      <c r="AT22" s="45"/>
      <c r="AU22" s="45"/>
      <c r="AV22" s="45"/>
      <c r="AW22" s="15">
        <f>IFERROR((s_TR/(s_RadSpec!I22*s_IFW_rec_adj)),".")</f>
        <v>9.9393303276798441</v>
      </c>
      <c r="AX22" s="15">
        <f>IFERROR((s_TR/(s_RadSpec!M22*(1/8760)*s_DFA_rec_adj)),".")</f>
        <v>469720066.28304535</v>
      </c>
      <c r="AY22" s="2">
        <f>IFERROR(BO22/(s_RadSpec!AI22*s_Q_w_game*(1/1000)),".")</f>
        <v>17413199.553525563</v>
      </c>
      <c r="AZ22" s="2" t="str">
        <f>IFERROR(BO22/(s_RadSpec!AL22*s_Q_w_fowl*(1/1000)),".")</f>
        <v>.</v>
      </c>
      <c r="BA22" s="244">
        <f t="shared" si="5"/>
        <v>0.10061039999999997</v>
      </c>
      <c r="BB22" s="244">
        <f t="shared" si="6"/>
        <v>2.1289275715068494E-9</v>
      </c>
      <c r="BC22" s="244">
        <f t="shared" si="7"/>
        <v>5.74277E-8</v>
      </c>
      <c r="BD22" s="244">
        <f t="shared" si="8"/>
        <v>0</v>
      </c>
      <c r="BE22" s="2">
        <f t="shared" si="19"/>
        <v>9.9393244440669744</v>
      </c>
      <c r="BF22" s="40">
        <f t="shared" si="9"/>
        <v>44000</v>
      </c>
      <c r="BG22" s="40">
        <f t="shared" si="10"/>
        <v>2.5114155251141552</v>
      </c>
      <c r="BH22" s="19">
        <f>IFERROR(s_C*s_RadSpec!AI22*s_Q_w_game*(1/1000)*s_EF_rec*s_ED_rec*s_IRGL_rec*s_CF_game,".")</f>
        <v>1.8699999999999998E-2</v>
      </c>
      <c r="BI22" s="19">
        <f>IFERROR(s_C*s_RadSpec!AL22*s_Q_w_fowl*(1/1000)*s_EF_rec*s_ED_rec*s_IRGL_rec*s_CF_fowl,0)</f>
        <v>0</v>
      </c>
      <c r="BJ22" s="18"/>
      <c r="BK22" s="18"/>
      <c r="BL22" s="5"/>
      <c r="BM22" s="5"/>
      <c r="BN22" s="18"/>
      <c r="BO22" s="2">
        <f>IFERROR(s_TR/(s_RadSpec!H22*s_EF_rec*s_ED_rec*s_IRGL_rec*s_CF_game),".")</f>
        <v>59.204878481986917</v>
      </c>
      <c r="BP22" s="2">
        <f>IFERROR(s_TR/(s_RadSpec!H22*s_EF_rec*s_ED_rec*s_IRGF_rec*s_CF_fowl),".")</f>
        <v>59.204878481986917</v>
      </c>
      <c r="BQ22" s="19">
        <f t="shared" si="11"/>
        <v>5500</v>
      </c>
      <c r="BR22" s="19">
        <f t="shared" si="12"/>
        <v>5500</v>
      </c>
      <c r="BS22" s="5"/>
      <c r="BT22" s="5"/>
    </row>
    <row r="23" spans="1:72" customFormat="1" x14ac:dyDescent="0.25">
      <c r="A23" s="46" t="s">
        <v>33</v>
      </c>
      <c r="B23" s="42" t="s">
        <v>349</v>
      </c>
      <c r="C23" s="249"/>
      <c r="D23" s="15">
        <f>IFERROR(((s_TR/(s_RadSpec!E23*s_IFS_rec_adj*(1/1000)))*1),".")</f>
        <v>244.11350789890287</v>
      </c>
      <c r="E23" s="15">
        <f>IFERROR(IF(A23="H-3",(s_TR/((s_RadSpec!F23*s_IFA_rec_adj*(1/17)*1000))*1),(s_TR/((s_RadSpec!F23*s_IFA_rec_adj*(1/s_PEF_wind)*1000))*1)),".")</f>
        <v>54870.756564873598</v>
      </c>
      <c r="F23" s="2">
        <f>IFERROR((s_TR/(s_RadSpec!G23*s_EF_rec*(1/365)*s_ED_rec*s_RadSpec!R23*s_ET_rec*(1/24)*s_RadSpec!W23)),".")</f>
        <v>7004.3407599423999</v>
      </c>
      <c r="G23" s="2">
        <f>IFERROR((BO23/(s_RadSpec!AI23*((s_Q_p_game*s_f_p_game*s_f_s_game*(s_RadSpec!BD23+s_R_es_past))+(s_Q_s_game*s_f_p_game)))),".")</f>
        <v>1274.8160274306751</v>
      </c>
      <c r="H23" s="2" t="str">
        <f>IFERROR((BO23/(s_RadSpec!AL23*((s_Q_p_fowl*s_f_p_fowl*s_f_s_fowl*(s_RadSpec!BD23+s_R_es_past))+(s_Q_s_fowl*s_f_p_fowl)))),".")</f>
        <v>.</v>
      </c>
      <c r="I23" s="244">
        <f t="shared" si="13"/>
        <v>4.0964549999999997E-3</v>
      </c>
      <c r="J23" s="244">
        <f t="shared" si="14"/>
        <v>1.8224643919711619E-5</v>
      </c>
      <c r="K23" s="244">
        <f t="shared" si="15"/>
        <v>1.4276861081901783E-4</v>
      </c>
      <c r="L23" s="244">
        <f t="shared" si="16"/>
        <v>7.8442691218390747E-4</v>
      </c>
      <c r="M23" s="244">
        <f t="shared" si="17"/>
        <v>0</v>
      </c>
      <c r="N23" s="2">
        <f t="shared" si="18"/>
        <v>198.33890504876598</v>
      </c>
      <c r="O23" s="40">
        <f t="shared" si="1"/>
        <v>302.5</v>
      </c>
      <c r="P23" s="40">
        <f t="shared" si="2"/>
        <v>3.2362545583179352E-2</v>
      </c>
      <c r="Q23" s="40">
        <f>IFERROR((s_C*s_EF_rec*(1/365)*s_ED_rec*s_RadSpec!R23*s_ET_rec*(1/24)*s_RadSpec!W23),".")</f>
        <v>0.28568226046476142</v>
      </c>
      <c r="R23" s="19">
        <f>IFERROR((s_C*s_IRGL_rec*s_EF_rec*s_ED_rec*s_CF_game*s_RadSpec!AI23)*((s_Q_p_game*s_f_p_game*s_f_s_game*(s_RadSpec!BD23+s_R_es_past))+(s_Q_s_game*s_f_p_game)),".")</f>
        <v>76.261609195402258</v>
      </c>
      <c r="S23" s="19">
        <f>IFERROR((s_C*s_IRGF_rec*s_EF_rec*s_ED_rec*s_CF_fowl*s_RadSpec!AL23)*((s_Q_p_fowl*s_f_p_fowl*s_f_s_fowl*(s_RadSpec!BD23+s_R_es_past))+(s_Q_s_fowl*s_f_p_fowl)),0)</f>
        <v>0</v>
      </c>
      <c r="T23" s="18"/>
      <c r="U23" s="18"/>
      <c r="V23" s="18"/>
      <c r="W23" s="5"/>
      <c r="X23" s="5"/>
      <c r="Y23" s="18"/>
      <c r="Z23" s="15">
        <f>IFERROR((s_TR/(s_RadSpec!G23*s_EF_rec*(1/365)*s_ED_rec*s_RadSpec!R23*s_ET_rec*(1/24)*s_RadSpec!W23)),".")</f>
        <v>7004.3407599423999</v>
      </c>
      <c r="AA23" s="15">
        <f>IFERROR((s_TR/(s_RadSpec!N23*s_EF_rec*(1/365)*s_ED_rec*s_RadSpec!S23*s_ET_rec*(1/24)*s_RadSpec!X23)),".")</f>
        <v>49191.033953105143</v>
      </c>
      <c r="AB23" s="15">
        <f>IFERROR((s_TR/(s_RadSpec!O23*s_EF_rec*(1/365)*s_ED_rec*s_RadSpec!T23*s_ET_rec*(1/24)*s_RadSpec!Y23)),".")</f>
        <v>12722.160963188748</v>
      </c>
      <c r="AC23" s="15">
        <f>IFERROR((s_TR/(s_RadSpec!P23*s_EF_rec*(1/365)*s_ED_rec*s_RadSpec!U23*s_ET_rec*(1/24)*s_RadSpec!Z23)),".")</f>
        <v>7422.8079282573035</v>
      </c>
      <c r="AD23" s="15">
        <f>IFERROR((s_TR/(s_RadSpec!L23*s_EF_rec*(1/365)*s_ED_rec*s_RadSpec!Q23*s_ET_rec*(1/24)*s_RadSpec!V23)),".")</f>
        <v>78505.422140040173</v>
      </c>
      <c r="AE23" s="40">
        <f>IFERROR((s_C*s_EF_rec*(1/365)*s_ED_rec*s_RadSpec!R23*s_ET_rec*(1/24)*s_RadSpec!W23),".")</f>
        <v>0.28568226046476142</v>
      </c>
      <c r="AF23" s="40">
        <f>IFERROR((s_C*s_EF_rec*(1/365)*s_ED_rec*s_RadSpec!S23*s_ET_rec*(1/24)*s_RadSpec!X23),".")</f>
        <v>0.16049395567028898</v>
      </c>
      <c r="AG23" s="40">
        <f>IFERROR((s_C*s_EF_rec*(1/365)*s_ED_rec*s_RadSpec!T23*s_ET_rec*(1/24)*s_RadSpec!Y23),".")</f>
        <v>0.22696676943558849</v>
      </c>
      <c r="AH23" s="40">
        <f>IFERROR((s_C*s_EF_rec*(1/365)*s_ED_rec*s_RadSpec!U23*s_ET_rec*(1/24)*s_RadSpec!Z23),".")</f>
        <v>0.27735292813760698</v>
      </c>
      <c r="AI23" s="40">
        <f>IFERROR((s_C*s_EF_rec*(1/365)*s_ED_rec*s_RadSpec!Q23*s_ET_rec*(1/24)*s_RadSpec!V23),".")</f>
        <v>0.10195555144185282</v>
      </c>
      <c r="AJ23" s="18"/>
      <c r="AK23" s="18"/>
      <c r="AL23" s="18"/>
      <c r="AM23" s="18"/>
      <c r="AN23" s="18"/>
      <c r="AO23" s="15">
        <f>IFERROR((s_TR/(s_RadSpec!F23*s_IFA_rec_adj)),".")</f>
        <v>0.17711450037337031</v>
      </c>
      <c r="AP23" s="15">
        <f>IFERROR((s_TR/(s_RadSpec!K23*s_EF_rec*(1/365)*s_ED_rec*s_ET_rec*(1/24)*s_GSF_a)),".")</f>
        <v>1118087.7643327571</v>
      </c>
      <c r="AQ23" s="15">
        <f t="shared" si="22"/>
        <v>0.17711447231694907</v>
      </c>
      <c r="AR23" s="40">
        <f t="shared" si="3"/>
        <v>10026.041666666666</v>
      </c>
      <c r="AS23" s="40">
        <f t="shared" si="4"/>
        <v>1.5696347031963471</v>
      </c>
      <c r="AT23" s="45"/>
      <c r="AU23" s="45"/>
      <c r="AV23" s="45"/>
      <c r="AW23" s="15">
        <f>IFERROR((s_TR/(s_RadSpec!I23*s_IFW_rec_adj)),".")</f>
        <v>2.9531279531279533</v>
      </c>
      <c r="AX23" s="15">
        <f>IFERROR((s_TR/(s_RadSpec!M23*(1/8760)*s_DFA_rec_adj)),".")</f>
        <v>317520268.2695446</v>
      </c>
      <c r="AY23" s="2">
        <f>IFERROR(BO23/(s_RadSpec!AI23*s_Q_w_game*(1/1000)),".")</f>
        <v>5198904.9026713017</v>
      </c>
      <c r="AZ23" s="2" t="str">
        <f>IFERROR(BO23/(s_RadSpec!AL23*s_Q_w_fowl*(1/1000)),".")</f>
        <v>.</v>
      </c>
      <c r="BA23" s="244">
        <f t="shared" si="5"/>
        <v>0.33862399999999998</v>
      </c>
      <c r="BB23" s="244">
        <f t="shared" si="6"/>
        <v>3.149405250410959E-9</v>
      </c>
      <c r="BC23" s="244">
        <f t="shared" si="7"/>
        <v>1.9234819999999998E-7</v>
      </c>
      <c r="BD23" s="244">
        <f t="shared" si="8"/>
        <v>0</v>
      </c>
      <c r="BE23" s="2">
        <f t="shared" si="19"/>
        <v>2.9531262482012219</v>
      </c>
      <c r="BF23" s="40">
        <f t="shared" si="9"/>
        <v>44000</v>
      </c>
      <c r="BG23" s="40">
        <f t="shared" si="10"/>
        <v>2.5114155251141552</v>
      </c>
      <c r="BH23" s="19">
        <f>IFERROR(s_C*s_RadSpec!AI23*s_Q_w_game*(1/1000)*s_EF_rec*s_ED_rec*s_IRGL_rec*s_CF_game,".")</f>
        <v>1.8699999999999998E-2</v>
      </c>
      <c r="BI23" s="19">
        <f>IFERROR(s_C*s_RadSpec!AL23*s_Q_w_fowl*(1/1000)*s_EF_rec*s_ED_rec*s_IRGL_rec*s_CF_fowl,0)</f>
        <v>0</v>
      </c>
      <c r="BJ23" s="18"/>
      <c r="BK23" s="18"/>
      <c r="BL23" s="5"/>
      <c r="BM23" s="5"/>
      <c r="BN23" s="18"/>
      <c r="BO23" s="2">
        <f>IFERROR(s_TR/(s_RadSpec!H23*s_EF_rec*s_ED_rec*s_IRGL_rec*s_CF_game),".")</f>
        <v>17.676276669082426</v>
      </c>
      <c r="BP23" s="2">
        <f>IFERROR(s_TR/(s_RadSpec!H23*s_EF_rec*s_ED_rec*s_IRGF_rec*s_CF_fowl),".")</f>
        <v>17.676276669082426</v>
      </c>
      <c r="BQ23" s="19">
        <f t="shared" si="11"/>
        <v>5500</v>
      </c>
      <c r="BR23" s="19">
        <f t="shared" si="12"/>
        <v>5500</v>
      </c>
      <c r="BS23" s="5"/>
      <c r="BT23" s="5"/>
    </row>
    <row r="24" spans="1:72" customFormat="1" x14ac:dyDescent="0.25">
      <c r="A24" s="44" t="s">
        <v>34</v>
      </c>
      <c r="B24" s="42" t="s">
        <v>1071</v>
      </c>
      <c r="C24" s="249"/>
      <c r="D24" s="15" t="str">
        <f>IFERROR(((s_TR/(s_RadSpec!E24*s_IFS_rec_adj*(1/1000)))*1),".")</f>
        <v>.</v>
      </c>
      <c r="E24" s="15" t="str">
        <f>IFERROR(IF(A24="H-3",(s_TR/((s_RadSpec!F24*s_IFA_rec_adj*(1/17)*1000))*1),(s_TR/((s_RadSpec!F24*s_IFA_rec_adj*(1/s_PEF_wind)*1000))*1)),".")</f>
        <v>.</v>
      </c>
      <c r="F24" s="2">
        <f>IFERROR((s_TR/(s_RadSpec!G24*s_EF_rec*(1/365)*s_ED_rec*s_RadSpec!R24*s_ET_rec*(1/24)*s_RadSpec!W24)),".")</f>
        <v>67757.817583539436</v>
      </c>
      <c r="G24" s="2" t="str">
        <f>IFERROR((BO24/(s_RadSpec!AI24*((s_Q_p_game*s_f_p_game*s_f_s_game*(s_RadSpec!BD24+s_R_es_past))+(s_Q_s_game*s_f_p_game)))),".")</f>
        <v>.</v>
      </c>
      <c r="H24" s="2" t="str">
        <f>IFERROR((BO24/(s_RadSpec!AL24*((s_Q_p_fowl*s_f_p_fowl*s_f_s_fowl*(s_RadSpec!BD24+s_R_es_past))+(s_Q_s_fowl*s_f_p_fowl)))),".")</f>
        <v>.</v>
      </c>
      <c r="I24" s="244">
        <f t="shared" si="13"/>
        <v>0</v>
      </c>
      <c r="J24" s="244">
        <f t="shared" si="14"/>
        <v>0</v>
      </c>
      <c r="K24" s="244">
        <f t="shared" si="15"/>
        <v>1.4758444643927438E-5</v>
      </c>
      <c r="L24" s="244">
        <f t="shared" si="16"/>
        <v>0</v>
      </c>
      <c r="M24" s="244">
        <f t="shared" si="17"/>
        <v>0</v>
      </c>
      <c r="N24" s="2">
        <f t="shared" si="18"/>
        <v>67757.817583539436</v>
      </c>
      <c r="O24" s="40">
        <f t="shared" si="1"/>
        <v>302.5</v>
      </c>
      <c r="P24" s="40">
        <f t="shared" si="2"/>
        <v>3.2362545583179352E-2</v>
      </c>
      <c r="Q24" s="40">
        <f>IFERROR((s_C*s_EF_rec*(1/365)*s_ED_rec*s_RadSpec!R24*s_ET_rec*(1/24)*s_RadSpec!W24),".")</f>
        <v>0.21792492538455643</v>
      </c>
      <c r="R24" s="19">
        <f>IFERROR((s_C*s_IRGL_rec*s_EF_rec*s_ED_rec*s_CF_game*s_RadSpec!AI24)*((s_Q_p_game*s_f_p_game*s_f_s_game*(s_RadSpec!BD24+s_R_es_past))+(s_Q_s_game*s_f_p_game)),".")</f>
        <v>0</v>
      </c>
      <c r="S24" s="19">
        <f>IFERROR((s_C*s_IRGF_rec*s_EF_rec*s_ED_rec*s_CF_fowl*s_RadSpec!AL24)*((s_Q_p_fowl*s_f_p_fowl*s_f_s_fowl*(s_RadSpec!BD24+s_R_es_past))+(s_Q_s_fowl*s_f_p_fowl)),0)</f>
        <v>0</v>
      </c>
      <c r="T24" s="18"/>
      <c r="U24" s="18"/>
      <c r="V24" s="18"/>
      <c r="W24" s="5"/>
      <c r="X24" s="5"/>
      <c r="Y24" s="18"/>
      <c r="Z24" s="15">
        <f>IFERROR((s_TR/(s_RadSpec!G24*s_EF_rec*(1/365)*s_ED_rec*s_RadSpec!R24*s_ET_rec*(1/24)*s_RadSpec!W24)),".")</f>
        <v>67757.817583539436</v>
      </c>
      <c r="AA24" s="15">
        <f>IFERROR((s_TR/(s_RadSpec!N24*s_EF_rec*(1/365)*s_ED_rec*s_RadSpec!S24*s_ET_rec*(1/24)*s_RadSpec!X24)),".")</f>
        <v>596939.03773865546</v>
      </c>
      <c r="AB24" s="15">
        <f>IFERROR((s_TR/(s_RadSpec!O24*s_EF_rec*(1/365)*s_ED_rec*s_RadSpec!T24*s_ET_rec*(1/24)*s_RadSpec!Y24)),".")</f>
        <v>149724.87624003022</v>
      </c>
      <c r="AC24" s="15">
        <f>IFERROR((s_TR/(s_RadSpec!P24*s_EF_rec*(1/365)*s_ED_rec*s_RadSpec!U24*s_ET_rec*(1/24)*s_RadSpec!Z24)),".")</f>
        <v>80788.602051951122</v>
      </c>
      <c r="AD24" s="15">
        <f>IFERROR((s_TR/(s_RadSpec!L24*s_EF_rec*(1/365)*s_ED_rec*s_RadSpec!Q24*s_ET_rec*(1/24)*s_RadSpec!V24)),".")</f>
        <v>1015600.4252953754</v>
      </c>
      <c r="AE24" s="40">
        <f>IFERROR((s_C*s_EF_rec*(1/365)*s_ED_rec*s_RadSpec!R24*s_ET_rec*(1/24)*s_RadSpec!W24),".")</f>
        <v>0.21792492538455643</v>
      </c>
      <c r="AF24" s="40">
        <f>IFERROR((s_C*s_EF_rec*(1/365)*s_ED_rec*s_RadSpec!S24*s_ET_rec*(1/24)*s_RadSpec!X24),".")</f>
        <v>0.12020029057700288</v>
      </c>
      <c r="AG24" s="40">
        <f>IFERROR((s_C*s_EF_rec*(1/365)*s_ED_rec*s_RadSpec!T24*s_ET_rec*(1/24)*s_RadSpec!Y24),".")</f>
        <v>0.17023978756661626</v>
      </c>
      <c r="AH24" s="40">
        <f>IFERROR((s_C*s_EF_rec*(1/365)*s_ED_rec*s_RadSpec!U24*s_ET_rec*(1/24)*s_RadSpec!Z24),".")</f>
        <v>0.20386415525114154</v>
      </c>
      <c r="AI24" s="40">
        <f>IFERROR((s_C*s_EF_rec*(1/365)*s_ED_rec*s_RadSpec!Q24*s_ET_rec*(1/24)*s_RadSpec!V24),".")</f>
        <v>7.2322409109300073E-2</v>
      </c>
      <c r="AJ24" s="18"/>
      <c r="AK24" s="18"/>
      <c r="AL24" s="18"/>
      <c r="AM24" s="18"/>
      <c r="AN24" s="18"/>
      <c r="AO24" s="15" t="str">
        <f>IFERROR((s_TR/(s_RadSpec!F24*s_IFA_rec_adj)),".")</f>
        <v>.</v>
      </c>
      <c r="AP24" s="15">
        <f>IFERROR((s_TR/(s_RadSpec!K24*s_EF_rec*(1/365)*s_ED_rec*s_ET_rec*(1/24)*s_GSF_a)),".")</f>
        <v>9993165.3661975376</v>
      </c>
      <c r="AQ24" s="15">
        <f t="shared" si="22"/>
        <v>9993165.3661975376</v>
      </c>
      <c r="AR24" s="40">
        <f t="shared" si="3"/>
        <v>10026.041666666666</v>
      </c>
      <c r="AS24" s="40">
        <f t="shared" si="4"/>
        <v>1.5696347031963471</v>
      </c>
      <c r="AT24" s="45"/>
      <c r="AU24" s="45"/>
      <c r="AV24" s="45"/>
      <c r="AW24" s="15" t="str">
        <f>IFERROR((s_TR/(s_RadSpec!I24*s_IFW_rec_adj)),".")</f>
        <v>.</v>
      </c>
      <c r="AX24" s="15">
        <f>IFERROR((s_TR/(s_RadSpec!M24*(1/8760)*s_DFA_rec_adj)),".")</f>
        <v>2875352176.4038024</v>
      </c>
      <c r="AY24" s="2" t="str">
        <f>IFERROR(BO24/(s_RadSpec!AI24*s_Q_w_game*(1/1000)),".")</f>
        <v>.</v>
      </c>
      <c r="AZ24" s="2" t="str">
        <f>IFERROR(BO24/(s_RadSpec!AL24*s_Q_w_fowl*(1/1000)),".")</f>
        <v>.</v>
      </c>
      <c r="BA24" s="244">
        <f t="shared" si="5"/>
        <v>0</v>
      </c>
      <c r="BB24" s="244">
        <f t="shared" si="6"/>
        <v>3.4778348482191776E-10</v>
      </c>
      <c r="BC24" s="244">
        <f t="shared" si="7"/>
        <v>0</v>
      </c>
      <c r="BD24" s="244">
        <f t="shared" si="8"/>
        <v>0</v>
      </c>
      <c r="BE24" s="2">
        <f t="shared" si="19"/>
        <v>2875352176.4038024</v>
      </c>
      <c r="BF24" s="40">
        <f t="shared" si="9"/>
        <v>44000</v>
      </c>
      <c r="BG24" s="40">
        <f t="shared" si="10"/>
        <v>2.5114155251141552</v>
      </c>
      <c r="BH24" s="19">
        <f>IFERROR(s_C*s_RadSpec!AI24*s_Q_w_game*(1/1000)*s_EF_rec*s_ED_rec*s_IRGL_rec*s_CF_game,".")</f>
        <v>0</v>
      </c>
      <c r="BI24" s="19">
        <f>IFERROR(s_C*s_RadSpec!AL24*s_Q_w_fowl*(1/1000)*s_EF_rec*s_ED_rec*s_IRGL_rec*s_CF_fowl,0)</f>
        <v>0</v>
      </c>
      <c r="BJ24" s="18"/>
      <c r="BK24" s="18"/>
      <c r="BL24" s="5"/>
      <c r="BM24" s="5"/>
      <c r="BN24" s="18"/>
      <c r="BO24" s="2" t="str">
        <f>IFERROR(s_TR/(s_RadSpec!H24*s_EF_rec*s_ED_rec*s_IRGL_rec*s_CF_game),".")</f>
        <v>.</v>
      </c>
      <c r="BP24" s="2" t="str">
        <f>IFERROR(s_TR/(s_RadSpec!H24*s_EF_rec*s_ED_rec*s_IRGF_rec*s_CF_fowl),".")</f>
        <v>.</v>
      </c>
      <c r="BQ24" s="19">
        <f t="shared" si="11"/>
        <v>5500</v>
      </c>
      <c r="BR24" s="19">
        <f t="shared" si="12"/>
        <v>5500</v>
      </c>
      <c r="BS24" s="5"/>
      <c r="BT24" s="5"/>
    </row>
    <row r="25" spans="1:72" customFormat="1" x14ac:dyDescent="0.25">
      <c r="A25" s="46" t="s">
        <v>35</v>
      </c>
      <c r="B25" s="42" t="s">
        <v>349</v>
      </c>
      <c r="C25" s="249"/>
      <c r="D25" s="15" t="str">
        <f>IFERROR(((s_TR/(s_RadSpec!E25*s_IFS_rec_adj*(1/1000)))*1),".")</f>
        <v>.</v>
      </c>
      <c r="E25" s="15">
        <f>IFERROR(IF(A25="H-3",(s_TR/((s_RadSpec!F25*s_IFA_rec_adj*(1/17)*1000))*1),(s_TR/((s_RadSpec!F25*s_IFA_rec_adj*(1/s_PEF_wind)*1000))*1)),".")</f>
        <v>677629777.45488858</v>
      </c>
      <c r="F25" s="2">
        <f>IFERROR((s_TR/(s_RadSpec!G25*s_EF_rec*(1/365)*s_ED_rec*s_RadSpec!R25*s_ET_rec*(1/24)*s_RadSpec!W25)),".")</f>
        <v>151122.2348689615</v>
      </c>
      <c r="G25" s="2" t="str">
        <f>IFERROR((BO25/(s_RadSpec!AI25*((s_Q_p_game*s_f_p_game*s_f_s_game*(s_RadSpec!BD25+s_R_es_past))+(s_Q_s_game*s_f_p_game)))),".")</f>
        <v>.</v>
      </c>
      <c r="H25" s="2" t="str">
        <f>IFERROR((BO25/(s_RadSpec!AL25*((s_Q_p_fowl*s_f_p_fowl*s_f_s_fowl*(s_RadSpec!BD25+s_R_es_past))+(s_Q_s_fowl*s_f_p_fowl)))),".")</f>
        <v>.</v>
      </c>
      <c r="I25" s="244">
        <f t="shared" si="13"/>
        <v>0</v>
      </c>
      <c r="J25" s="244">
        <f t="shared" si="14"/>
        <v>1.4757320785929782E-9</v>
      </c>
      <c r="K25" s="244">
        <f t="shared" si="15"/>
        <v>6.6171599491438349E-6</v>
      </c>
      <c r="L25" s="244">
        <f t="shared" si="16"/>
        <v>0</v>
      </c>
      <c r="M25" s="244">
        <f t="shared" si="17"/>
        <v>0</v>
      </c>
      <c r="N25" s="2">
        <f t="shared" si="18"/>
        <v>151088.53971779652</v>
      </c>
      <c r="O25" s="40">
        <f t="shared" si="1"/>
        <v>302.5</v>
      </c>
      <c r="P25" s="40">
        <f t="shared" si="2"/>
        <v>3.2362545583179352E-2</v>
      </c>
      <c r="Q25" s="40">
        <f>IFERROR((s_C*s_EF_rec*(1/365)*s_ED_rec*s_RadSpec!R25*s_ET_rec*(1/24)*s_RadSpec!W25),".")</f>
        <v>0.19541952054794517</v>
      </c>
      <c r="R25" s="19">
        <f>IFERROR((s_C*s_IRGL_rec*s_EF_rec*s_ED_rec*s_CF_game*s_RadSpec!AI25)*((s_Q_p_game*s_f_p_game*s_f_s_game*(s_RadSpec!BD25+s_R_es_past))+(s_Q_s_game*s_f_p_game)),".")</f>
        <v>0</v>
      </c>
      <c r="S25" s="19">
        <f>IFERROR((s_C*s_IRGF_rec*s_EF_rec*s_ED_rec*s_CF_fowl*s_RadSpec!AL25)*((s_Q_p_fowl*s_f_p_fowl*s_f_s_fowl*(s_RadSpec!BD25+s_R_es_past))+(s_Q_s_fowl*s_f_p_fowl)),0)</f>
        <v>0</v>
      </c>
      <c r="T25" s="18"/>
      <c r="U25" s="18"/>
      <c r="V25" s="18"/>
      <c r="W25" s="5"/>
      <c r="X25" s="5"/>
      <c r="Y25" s="18"/>
      <c r="Z25" s="15">
        <f>IFERROR((s_TR/(s_RadSpec!G25*s_EF_rec*(1/365)*s_ED_rec*s_RadSpec!R25*s_ET_rec*(1/24)*s_RadSpec!W25)),".")</f>
        <v>151122.2348689615</v>
      </c>
      <c r="AA25" s="15">
        <f>IFERROR((s_TR/(s_RadSpec!N25*s_EF_rec*(1/365)*s_ED_rec*s_RadSpec!S25*s_ET_rec*(1/24)*s_RadSpec!X25)),".")</f>
        <v>1284068.7702228804</v>
      </c>
      <c r="AB25" s="15">
        <f>IFERROR((s_TR/(s_RadSpec!O25*s_EF_rec*(1/365)*s_ED_rec*s_RadSpec!T25*s_ET_rec*(1/24)*s_RadSpec!Y25)),".")</f>
        <v>326390.11626016838</v>
      </c>
      <c r="AC25" s="15">
        <f>IFERROR((s_TR/(s_RadSpec!P25*s_EF_rec*(1/365)*s_ED_rec*s_RadSpec!U25*s_ET_rec*(1/24)*s_RadSpec!Z25)),".")</f>
        <v>190419.32978219242</v>
      </c>
      <c r="AD25" s="15">
        <f>IFERROR((s_TR/(s_RadSpec!L25*s_EF_rec*(1/365)*s_ED_rec*s_RadSpec!Q25*s_ET_rec*(1/24)*s_RadSpec!V25)),".")</f>
        <v>2345168.5866387296</v>
      </c>
      <c r="AE25" s="40">
        <f>IFERROR((s_C*s_EF_rec*(1/365)*s_ED_rec*s_RadSpec!R25*s_ET_rec*(1/24)*s_RadSpec!W25),".")</f>
        <v>0.19541952054794517</v>
      </c>
      <c r="AF25" s="40">
        <f>IFERROR((s_C*s_EF_rec*(1/365)*s_ED_rec*s_RadSpec!S25*s_ET_rec*(1/24)*s_RadSpec!X25),".")</f>
        <v>0.10912460372858682</v>
      </c>
      <c r="AG25" s="40">
        <f>IFERROR((s_C*s_EF_rec*(1/365)*s_ED_rec*s_RadSpec!T25*s_ET_rec*(1/24)*s_RadSpec!Y25),".")</f>
        <v>0.1521312964689569</v>
      </c>
      <c r="AH25" s="40">
        <f>IFERROR((s_C*s_EF_rec*(1/365)*s_ED_rec*s_RadSpec!U25*s_ET_rec*(1/24)*s_RadSpec!Z25),".")</f>
        <v>0.17036459679503746</v>
      </c>
      <c r="AI25" s="40">
        <f>IFERROR((s_C*s_EF_rec*(1/365)*s_ED_rec*s_RadSpec!Q25*s_ET_rec*(1/24)*s_RadSpec!V25),".")</f>
        <v>6.0865191146881291E-2</v>
      </c>
      <c r="AJ25" s="18"/>
      <c r="AK25" s="18"/>
      <c r="AL25" s="18"/>
      <c r="AM25" s="18"/>
      <c r="AN25" s="18"/>
      <c r="AO25" s="15">
        <f>IFERROR((s_TR/(s_RadSpec!F25*s_IFA_rec_adj)),".")</f>
        <v>2187.2863978127139</v>
      </c>
      <c r="AP25" s="15">
        <f>IFERROR((s_TR/(s_RadSpec!K25*s_EF_rec*(1/365)*s_ED_rec*s_ET_rec*(1/24)*s_GSF_a)),".")</f>
        <v>19626864.352316026</v>
      </c>
      <c r="AQ25" s="15">
        <f>IFERROR(IF(AND(AO25&lt;&gt;".",AP25&lt;&gt;"."),1/((1/AO25)+(1/AP25)),IF(AND(AO25&lt;&gt;".",AP25="."),1/((1/AO25)),IF(AND(AO25=".",AP25&lt;&gt;"."),1/((1/AP25)),IF(AND(AO25=".",AP25="."),".")))),".")</f>
        <v>2187.0426661299962</v>
      </c>
      <c r="AR25" s="40">
        <f t="shared" si="3"/>
        <v>10026.041666666666</v>
      </c>
      <c r="AS25" s="40">
        <f t="shared" si="4"/>
        <v>1.5696347031963471</v>
      </c>
      <c r="AT25" s="45"/>
      <c r="AU25" s="45"/>
      <c r="AV25" s="45"/>
      <c r="AW25" s="15" t="str">
        <f>IFERROR((s_TR/(s_RadSpec!I25*s_IFW_rec_adj)),".")</f>
        <v>.</v>
      </c>
      <c r="AX25" s="15">
        <f>IFERROR((s_TR/(s_RadSpec!M25*(1/8760)*s_DFA_rec_adj)),".")</f>
        <v>5664730367.4666271</v>
      </c>
      <c r="AY25" s="2" t="str">
        <f>IFERROR(BO25/(s_RadSpec!AI25*s_Q_w_game*(1/1000)),".")</f>
        <v>.</v>
      </c>
      <c r="AZ25" s="2" t="str">
        <f>IFERROR(BO25/(s_RadSpec!AL25*s_Q_w_fowl*(1/1000)),".")</f>
        <v>.</v>
      </c>
      <c r="BA25" s="244">
        <f t="shared" si="5"/>
        <v>0</v>
      </c>
      <c r="BB25" s="244">
        <f t="shared" si="6"/>
        <v>1.765309088219178E-10</v>
      </c>
      <c r="BC25" s="244">
        <f t="shared" si="7"/>
        <v>0</v>
      </c>
      <c r="BD25" s="244">
        <f t="shared" si="8"/>
        <v>0</v>
      </c>
      <c r="BE25" s="2">
        <f t="shared" si="19"/>
        <v>5664730367.4666271</v>
      </c>
      <c r="BF25" s="40">
        <f t="shared" si="9"/>
        <v>44000</v>
      </c>
      <c r="BG25" s="40">
        <f t="shared" si="10"/>
        <v>2.5114155251141552</v>
      </c>
      <c r="BH25" s="19">
        <f>IFERROR(s_C*s_RadSpec!AI25*s_Q_w_game*(1/1000)*s_EF_rec*s_ED_rec*s_IRGL_rec*s_CF_game,".")</f>
        <v>0</v>
      </c>
      <c r="BI25" s="19">
        <f>IFERROR(s_C*s_RadSpec!AL25*s_Q_w_fowl*(1/1000)*s_EF_rec*s_ED_rec*s_IRGL_rec*s_CF_fowl,0)</f>
        <v>0</v>
      </c>
      <c r="BJ25" s="18"/>
      <c r="BK25" s="18"/>
      <c r="BL25" s="5"/>
      <c r="BM25" s="5"/>
      <c r="BN25" s="18"/>
      <c r="BO25" s="2" t="str">
        <f>IFERROR(s_TR/(s_RadSpec!H25*s_EF_rec*s_ED_rec*s_IRGL_rec*s_CF_game),".")</f>
        <v>.</v>
      </c>
      <c r="BP25" s="2" t="str">
        <f>IFERROR(s_TR/(s_RadSpec!H25*s_EF_rec*s_ED_rec*s_IRGF_rec*s_CF_fowl),".")</f>
        <v>.</v>
      </c>
      <c r="BQ25" s="19">
        <f t="shared" si="11"/>
        <v>5500</v>
      </c>
      <c r="BR25" s="19">
        <f t="shared" si="12"/>
        <v>5500</v>
      </c>
      <c r="BS25" s="5"/>
      <c r="BT25" s="5"/>
    </row>
    <row r="26" spans="1:72" customFormat="1" x14ac:dyDescent="0.25">
      <c r="A26" s="44" t="s">
        <v>36</v>
      </c>
      <c r="B26" s="42" t="s">
        <v>1071</v>
      </c>
      <c r="C26" s="42"/>
      <c r="D26" s="15">
        <f>IFERROR(((s_TR/(s_RadSpec!E26*s_IFS_rec_adj*(1/1000)))*1),".")</f>
        <v>429.54588409133862</v>
      </c>
      <c r="E26" s="15">
        <f>IFERROR(IF(A26="H-3",(s_TR/((s_RadSpec!F26*s_IFA_rec_adj*(1/17)*1000))*1),(s_TR/((s_RadSpec!F26*s_IFA_rec_adj*(1/s_PEF_wind)*1000))*1)),".")</f>
        <v>8846.7469800569506</v>
      </c>
      <c r="F26" s="2">
        <f>IFERROR((s_TR/(s_RadSpec!G26*s_EF_rec*(1/365)*s_ED_rec*s_RadSpec!R26*s_ET_rec*(1/24)*s_RadSpec!W26)),".")</f>
        <v>6222.4927573188697</v>
      </c>
      <c r="G26" s="2">
        <f>IFERROR((BO26/(s_RadSpec!AI26*((s_Q_p_game*s_f_p_game*s_f_s_game*(s_RadSpec!BD26+s_R_es_past))+(s_Q_s_game*s_f_p_game)))),".")</f>
        <v>16969.579357638544</v>
      </c>
      <c r="H26" s="2" t="str">
        <f>IFERROR((BO26/(s_RadSpec!AL26*((s_Q_p_fowl*s_f_p_fowl*s_f_s_fowl*(s_RadSpec!BD26+s_R_es_past))+(s_Q_s_fowl*s_f_p_fowl)))),".")</f>
        <v>.</v>
      </c>
      <c r="I26" s="244">
        <f t="shared" si="13"/>
        <v>2.32804E-3</v>
      </c>
      <c r="J26" s="244">
        <f t="shared" si="14"/>
        <v>1.1303589921292884E-4</v>
      </c>
      <c r="K26" s="244">
        <f t="shared" si="15"/>
        <v>1.6070729834499273E-4</v>
      </c>
      <c r="L26" s="244">
        <f t="shared" si="16"/>
        <v>5.892897984827587E-5</v>
      </c>
      <c r="M26" s="244">
        <f t="shared" si="17"/>
        <v>0</v>
      </c>
      <c r="N26" s="2">
        <f t="shared" si="18"/>
        <v>375.83922398357743</v>
      </c>
      <c r="O26" s="40">
        <f t="shared" si="1"/>
        <v>302.5</v>
      </c>
      <c r="P26" s="40">
        <f t="shared" si="2"/>
        <v>3.2362545583179352E-2</v>
      </c>
      <c r="Q26" s="40">
        <f>IFERROR((s_C*s_EF_rec*(1/365)*s_ED_rec*s_RadSpec!R26*s_ET_rec*(1/24)*s_RadSpec!W26),".")</f>
        <v>3.5842532251629221E-2</v>
      </c>
      <c r="R26" s="19">
        <f>IFERROR((s_C*s_IRGL_rec*s_EF_rec*s_ED_rec*s_CF_game*s_RadSpec!AI26)*((s_Q_p_game*s_f_p_game*s_f_s_game*(s_RadSpec!BD26+s_R_es_past))+(s_Q_s_game*s_f_p_game)),".")</f>
        <v>10.144427586206897</v>
      </c>
      <c r="S26" s="19">
        <f>IFERROR((s_C*s_IRGF_rec*s_EF_rec*s_ED_rec*s_CF_fowl*s_RadSpec!AL26)*((s_Q_p_fowl*s_f_p_fowl*s_f_s_fowl*(s_RadSpec!BD26+s_R_es_past))+(s_Q_s_fowl*s_f_p_fowl)),0)</f>
        <v>0</v>
      </c>
      <c r="T26" s="18"/>
      <c r="U26" s="18"/>
      <c r="V26" s="18"/>
      <c r="W26" s="5"/>
      <c r="X26" s="5"/>
      <c r="Y26" s="18"/>
      <c r="Z26" s="15">
        <f>IFERROR((s_TR/(s_RadSpec!G26*s_EF_rec*(1/365)*s_ED_rec*s_RadSpec!R26*s_ET_rec*(1/24)*s_RadSpec!W26)),".")</f>
        <v>6222.4927573188697</v>
      </c>
      <c r="AA26" s="15">
        <f>IFERROR((s_TR/(s_RadSpec!N26*s_EF_rec*(1/365)*s_ED_rec*s_RadSpec!S26*s_ET_rec*(1/24)*s_RadSpec!X26)),".")</f>
        <v>37659.890904493994</v>
      </c>
      <c r="AB26" s="15">
        <f>IFERROR((s_TR/(s_RadSpec!O26*s_EF_rec*(1/365)*s_ED_rec*s_RadSpec!T26*s_ET_rec*(1/24)*s_RadSpec!Y26)),".")</f>
        <v>10791.063407108235</v>
      </c>
      <c r="AC26" s="15">
        <f>IFERROR((s_TR/(s_RadSpec!P26*s_EF_rec*(1/365)*s_ED_rec*s_RadSpec!U26*s_ET_rec*(1/24)*s_RadSpec!Z26)),".")</f>
        <v>7097.7174226243296</v>
      </c>
      <c r="AD26" s="15">
        <f>IFERROR((s_TR/(s_RadSpec!L26*s_EF_rec*(1/365)*s_ED_rec*s_RadSpec!Q26*s_ET_rec*(1/24)*s_RadSpec!V26)),".")</f>
        <v>209794.7011852313</v>
      </c>
      <c r="AE26" s="40">
        <f>IFERROR((s_C*s_EF_rec*(1/365)*s_ED_rec*s_RadSpec!R26*s_ET_rec*(1/24)*s_RadSpec!W26),".")</f>
        <v>3.5842532251629221E-2</v>
      </c>
      <c r="AF26" s="40">
        <f>IFERROR((s_C*s_EF_rec*(1/365)*s_ED_rec*s_RadSpec!S26*s_ET_rec*(1/24)*s_RadSpec!X26),".")</f>
        <v>1.9631645466405737E-2</v>
      </c>
      <c r="AG26" s="40">
        <f>IFERROR((s_C*s_EF_rec*(1/365)*s_ED_rec*s_RadSpec!T26*s_ET_rec*(1/24)*s_RadSpec!Y26),".")</f>
        <v>2.7161256248388523E-2</v>
      </c>
      <c r="AH26" s="40">
        <f>IFERROR((s_C*s_EF_rec*(1/365)*s_ED_rec*s_RadSpec!U26*s_ET_rec*(1/24)*s_RadSpec!Z26),".")</f>
        <v>3.1753529627880139E-2</v>
      </c>
      <c r="AI26" s="40">
        <f>IFERROR((s_C*s_EF_rec*(1/365)*s_ED_rec*s_RadSpec!Q26*s_ET_rec*(1/24)*s_RadSpec!V26),".")</f>
        <v>3.3681945907973292E-3</v>
      </c>
      <c r="AJ26" s="18"/>
      <c r="AK26" s="18"/>
      <c r="AL26" s="18"/>
      <c r="AM26" s="18"/>
      <c r="AN26" s="18"/>
      <c r="AO26" s="15">
        <f>IFERROR((s_TR/(s_RadSpec!F26*s_IFA_rec_adj)),".")</f>
        <v>2.8555960759350591E-2</v>
      </c>
      <c r="AP26" s="15">
        <f>IFERROR((s_TR/(s_RadSpec!K26*s_EF_rec*(1/365)*s_ED_rec*s_ET_rec*(1/24)*s_GSF_a)),".")</f>
        <v>106153.07957089211</v>
      </c>
      <c r="AQ26" s="15">
        <f>IFERROR(IF(AND(AO26&lt;&gt;".",AP26&lt;&gt;"."),1/((1/AO26)+(1/AP26)),IF(AND(AO26&lt;&gt;".",AP26="."),1/((1/AO26)),IF(AND(AO26=".",AP26&lt;&gt;"."),1/((1/AP26)),IF(AND(AO26=".",AP26="."),".")))),".")</f>
        <v>2.8555953077588753E-2</v>
      </c>
      <c r="AR26" s="40">
        <f t="shared" si="3"/>
        <v>10026.041666666666</v>
      </c>
      <c r="AS26" s="40">
        <f t="shared" si="4"/>
        <v>1.5696347031963471</v>
      </c>
      <c r="AT26" s="45"/>
      <c r="AU26" s="45"/>
      <c r="AV26" s="45"/>
      <c r="AW26" s="15">
        <f>IFERROR((s_TR/(s_RadSpec!I26*s_IFW_rec_adj)),".")</f>
        <v>5.084856078233563</v>
      </c>
      <c r="AX26" s="15">
        <f>IFERROR((s_TR/(s_RadSpec!M26*(1/8760)*s_DFA_rec_adj)),".")</f>
        <v>29809158.052577883</v>
      </c>
      <c r="AY26" s="2">
        <f>IFERROR(BO26/(s_RadSpec!AI26*s_Q_w_game*(1/1000)),".")</f>
        <v>68042161.645041719</v>
      </c>
      <c r="AZ26" s="2" t="str">
        <f>IFERROR(BO26/(s_RadSpec!AL26*s_Q_w_fowl*(1/1000)),".")</f>
        <v>.</v>
      </c>
      <c r="BA26" s="244">
        <f t="shared" si="5"/>
        <v>0.19666239999999996</v>
      </c>
      <c r="BB26" s="244">
        <f t="shared" si="6"/>
        <v>3.3546737490410955E-8</v>
      </c>
      <c r="BC26" s="244">
        <f t="shared" si="7"/>
        <v>1.4696770000000004E-8</v>
      </c>
      <c r="BD26" s="244">
        <f t="shared" si="8"/>
        <v>0</v>
      </c>
      <c r="BE26" s="2">
        <f t="shared" si="19"/>
        <v>5.0848548308612527</v>
      </c>
      <c r="BF26" s="40">
        <f t="shared" si="9"/>
        <v>44000</v>
      </c>
      <c r="BG26" s="40">
        <f t="shared" si="10"/>
        <v>2.5114155251141552</v>
      </c>
      <c r="BH26" s="19">
        <f>IFERROR(s_C*s_RadSpec!AI26*s_Q_w_game*(1/1000)*s_EF_rec*s_ED_rec*s_IRGL_rec*s_CF_game,".")</f>
        <v>2.5300000000000001E-3</v>
      </c>
      <c r="BI26" s="19">
        <f>IFERROR(s_C*s_RadSpec!AL26*s_Q_w_fowl*(1/1000)*s_EF_rec*s_ED_rec*s_IRGL_rec*s_CF_fowl,0)</f>
        <v>0</v>
      </c>
      <c r="BJ26" s="18"/>
      <c r="BK26" s="18"/>
      <c r="BL26" s="5"/>
      <c r="BM26" s="5"/>
      <c r="BN26" s="18"/>
      <c r="BO26" s="2">
        <f>IFERROR(s_TR/(s_RadSpec!H26*s_EF_rec*s_ED_rec*s_IRGL_rec*s_CF_game),".")</f>
        <v>31.299394356719194</v>
      </c>
      <c r="BP26" s="2">
        <f>IFERROR(s_TR/(s_RadSpec!H26*s_EF_rec*s_ED_rec*s_IRGF_rec*s_CF_fowl),".")</f>
        <v>31.299394356719194</v>
      </c>
      <c r="BQ26" s="19">
        <f t="shared" si="11"/>
        <v>5500</v>
      </c>
      <c r="BR26" s="19">
        <f t="shared" si="12"/>
        <v>5500</v>
      </c>
      <c r="BS26" s="5"/>
      <c r="BT26" s="5"/>
    </row>
    <row r="27" spans="1:72" customFormat="1" x14ac:dyDescent="0.25">
      <c r="A27" s="44" t="s">
        <v>37</v>
      </c>
      <c r="B27" s="42" t="s">
        <v>1071</v>
      </c>
      <c r="C27" s="249"/>
      <c r="D27" s="15" t="str">
        <f>IFERROR(((s_TR/(s_RadSpec!E27*s_IFS_rec_adj*(1/1000)))*1),".")</f>
        <v>.</v>
      </c>
      <c r="E27" s="15" t="str">
        <f>IFERROR(IF(A27="H-3",(s_TR/((s_RadSpec!F27*s_IFA_rec_adj*(1/17)*1000))*1),(s_TR/((s_RadSpec!F27*s_IFA_rec_adj*(1/s_PEF_wind)*1000))*1)),".")</f>
        <v>.</v>
      </c>
      <c r="F27" s="2">
        <f>IFERROR((s_TR/(s_RadSpec!G27*s_EF_rec*(1/365)*s_ED_rec*s_RadSpec!R27*s_ET_rec*(1/24)*s_RadSpec!W27)),".")</f>
        <v>48130.198099747562</v>
      </c>
      <c r="G27" s="2" t="str">
        <f>IFERROR((BO27/(s_RadSpec!AI27*((s_Q_p_game*s_f_p_game*s_f_s_game*(s_RadSpec!BD27+s_R_es_past))+(s_Q_s_game*s_f_p_game)))),".")</f>
        <v>.</v>
      </c>
      <c r="H27" s="2" t="str">
        <f>IFERROR((BO27/(s_RadSpec!AL27*((s_Q_p_fowl*s_f_p_fowl*s_f_s_fowl*(s_RadSpec!BD27+s_R_es_past))+(s_Q_s_fowl*s_f_p_fowl)))),".")</f>
        <v>.</v>
      </c>
      <c r="I27" s="244">
        <f t="shared" si="13"/>
        <v>0</v>
      </c>
      <c r="J27" s="244">
        <f t="shared" si="14"/>
        <v>0</v>
      </c>
      <c r="K27" s="244">
        <f t="shared" si="15"/>
        <v>2.0776976606818597E-5</v>
      </c>
      <c r="L27" s="244">
        <f t="shared" si="16"/>
        <v>0</v>
      </c>
      <c r="M27" s="244">
        <f t="shared" si="17"/>
        <v>0</v>
      </c>
      <c r="N27" s="2">
        <f t="shared" si="18"/>
        <v>48130.198099747562</v>
      </c>
      <c r="O27" s="40">
        <f t="shared" si="1"/>
        <v>302.5</v>
      </c>
      <c r="P27" s="40">
        <f t="shared" si="2"/>
        <v>3.2362545583179352E-2</v>
      </c>
      <c r="Q27" s="40">
        <f>IFERROR((s_C*s_EF_rec*(1/365)*s_ED_rec*s_RadSpec!R27*s_ET_rec*(1/24)*s_RadSpec!W27),".")</f>
        <v>0.17011592662572814</v>
      </c>
      <c r="R27" s="19">
        <f>IFERROR((s_C*s_IRGL_rec*s_EF_rec*s_ED_rec*s_CF_game*s_RadSpec!AI27)*((s_Q_p_game*s_f_p_game*s_f_s_game*(s_RadSpec!BD27+s_R_es_past))+(s_Q_s_game*s_f_p_game)),".")</f>
        <v>1774.08</v>
      </c>
      <c r="S27" s="19">
        <f>IFERROR((s_C*s_IRGF_rec*s_EF_rec*s_ED_rec*s_CF_fowl*s_RadSpec!AL27)*((s_Q_p_fowl*s_f_p_fowl*s_f_s_fowl*(s_RadSpec!BD27+s_R_es_past))+(s_Q_s_fowl*s_f_p_fowl)),0)</f>
        <v>0</v>
      </c>
      <c r="T27" s="18"/>
      <c r="U27" s="18"/>
      <c r="V27" s="18"/>
      <c r="W27" s="5"/>
      <c r="X27" s="5"/>
      <c r="Y27" s="18"/>
      <c r="Z27" s="15">
        <f>IFERROR((s_TR/(s_RadSpec!G27*s_EF_rec*(1/365)*s_ED_rec*s_RadSpec!R27*s_ET_rec*(1/24)*s_RadSpec!W27)),".")</f>
        <v>48130.198099747562</v>
      </c>
      <c r="AA27" s="15">
        <f>IFERROR((s_TR/(s_RadSpec!N27*s_EF_rec*(1/365)*s_ED_rec*s_RadSpec!S27*s_ET_rec*(1/24)*s_RadSpec!X27)),".")</f>
        <v>420409.48179984686</v>
      </c>
      <c r="AB27" s="15">
        <f>IFERROR((s_TR/(s_RadSpec!O27*s_EF_rec*(1/365)*s_ED_rec*s_RadSpec!T27*s_ET_rec*(1/24)*s_RadSpec!Y27)),".")</f>
        <v>121226.40442599941</v>
      </c>
      <c r="AC27" s="15">
        <f>IFERROR((s_TR/(s_RadSpec!P27*s_EF_rec*(1/365)*s_ED_rec*s_RadSpec!U27*s_ET_rec*(1/24)*s_RadSpec!Z27)),".")</f>
        <v>66333.884061204531</v>
      </c>
      <c r="AD27" s="15">
        <f>IFERROR((s_TR/(s_RadSpec!L27*s_EF_rec*(1/365)*s_ED_rec*s_RadSpec!Q27*s_ET_rec*(1/24)*s_RadSpec!V27)),".")</f>
        <v>318187.93653028557</v>
      </c>
      <c r="AE27" s="40">
        <f>IFERROR((s_C*s_EF_rec*(1/365)*s_ED_rec*s_RadSpec!R27*s_ET_rec*(1/24)*s_RadSpec!W27),".")</f>
        <v>0.17011592662572814</v>
      </c>
      <c r="AF27" s="40">
        <f>IFERROR((s_C*s_EF_rec*(1/365)*s_ED_rec*s_RadSpec!S27*s_ET_rec*(1/24)*s_RadSpec!X27),".")</f>
        <v>5.7352037232174191E-2</v>
      </c>
      <c r="AG27" s="40">
        <f>IFERROR((s_C*s_EF_rec*(1/365)*s_ED_rec*s_RadSpec!T27*s_ET_rec*(1/24)*s_RadSpec!Y27),".")</f>
        <v>9.35481284647455E-2</v>
      </c>
      <c r="AH27" s="40">
        <f>IFERROR((s_C*s_EF_rec*(1/365)*s_ED_rec*s_RadSpec!U27*s_ET_rec*(1/24)*s_RadSpec!Z27),".")</f>
        <v>0.12859532153096978</v>
      </c>
      <c r="AI27" s="40">
        <f>IFERROR((s_C*s_EF_rec*(1/365)*s_ED_rec*s_RadSpec!Q27*s_ET_rec*(1/24)*s_RadSpec!V27),".")</f>
        <v>1.8335153199655872E-2</v>
      </c>
      <c r="AJ27" s="18"/>
      <c r="AK27" s="18"/>
      <c r="AL27" s="18"/>
      <c r="AM27" s="18"/>
      <c r="AN27" s="18"/>
      <c r="AO27" s="15" t="str">
        <f>IFERROR((s_TR/(s_RadSpec!F27*s_IFA_rec_adj)),".")</f>
        <v>.</v>
      </c>
      <c r="AP27" s="15">
        <f>IFERROR((s_TR/(s_RadSpec!K27*s_EF_rec*(1/365)*s_ED_rec*s_ET_rec*(1/24)*s_GSF_a)),".")</f>
        <v>3388986.5154930782</v>
      </c>
      <c r="AQ27" s="15">
        <f>IFERROR(IF(AND(AO27&lt;&gt;".",AP27&lt;&gt;"."),1/((1/AO27)+(1/AP27)),IF(AND(AO27&lt;&gt;".",AP27="."),1/((1/AO27)),IF(AND(AO27=".",AP27&lt;&gt;"."),1/((1/AP27)),IF(AND(AO27=".",AP27="."),".")))),".")</f>
        <v>3388986.5154930782</v>
      </c>
      <c r="AR27" s="40">
        <f t="shared" si="3"/>
        <v>10026.041666666666</v>
      </c>
      <c r="AS27" s="40">
        <f t="shared" si="4"/>
        <v>1.5696347031963471</v>
      </c>
      <c r="AT27" s="45"/>
      <c r="AU27" s="45"/>
      <c r="AV27" s="45"/>
      <c r="AW27" s="15" t="str">
        <f>IFERROR((s_TR/(s_RadSpec!I27*s_IFW_rec_adj)),".")</f>
        <v>.</v>
      </c>
      <c r="AX27" s="15">
        <f>IFERROR((s_TR/(s_RadSpec!M27*(1/8760)*s_DFA_rec_adj)),".")</f>
        <v>1353241143.3392498</v>
      </c>
      <c r="AY27" s="2" t="str">
        <f>IFERROR(BO27/(s_RadSpec!AI27*s_Q_w_game*(1/1000)),".")</f>
        <v>.</v>
      </c>
      <c r="AZ27" s="2" t="str">
        <f>IFERROR(BO27/(s_RadSpec!AL27*s_Q_w_fowl*(1/1000)),".")</f>
        <v>.</v>
      </c>
      <c r="BA27" s="244">
        <f t="shared" si="5"/>
        <v>0</v>
      </c>
      <c r="BB27" s="244">
        <f t="shared" si="6"/>
        <v>7.3896659506849305E-10</v>
      </c>
      <c r="BC27" s="244">
        <f t="shared" si="7"/>
        <v>0</v>
      </c>
      <c r="BD27" s="244">
        <f t="shared" si="8"/>
        <v>0</v>
      </c>
      <c r="BE27" s="2">
        <f t="shared" si="19"/>
        <v>1353241143.3392498</v>
      </c>
      <c r="BF27" s="40">
        <f t="shared" si="9"/>
        <v>44000</v>
      </c>
      <c r="BG27" s="40">
        <f t="shared" si="10"/>
        <v>2.5114155251141552</v>
      </c>
      <c r="BH27" s="19">
        <f>IFERROR(s_C*s_RadSpec!AI27*s_Q_w_game*(1/1000)*s_EF_rec*s_ED_rec*s_IRGL_rec*s_CF_game,".")</f>
        <v>0.44000000000000006</v>
      </c>
      <c r="BI27" s="19">
        <f>IFERROR(s_C*s_RadSpec!AL27*s_Q_w_fowl*(1/1000)*s_EF_rec*s_ED_rec*s_IRGL_rec*s_CF_fowl,0)</f>
        <v>0</v>
      </c>
      <c r="BJ27" s="18"/>
      <c r="BK27" s="18"/>
      <c r="BL27" s="5"/>
      <c r="BM27" s="5"/>
      <c r="BN27" s="18"/>
      <c r="BO27" s="2" t="str">
        <f>IFERROR(s_TR/(s_RadSpec!H27*s_EF_rec*s_ED_rec*s_IRGL_rec*s_CF_game),".")</f>
        <v>.</v>
      </c>
      <c r="BP27" s="2" t="str">
        <f>IFERROR(s_TR/(s_RadSpec!H27*s_EF_rec*s_ED_rec*s_IRGF_rec*s_CF_fowl),".")</f>
        <v>.</v>
      </c>
      <c r="BQ27" s="19">
        <f t="shared" si="11"/>
        <v>5500</v>
      </c>
      <c r="BR27" s="19">
        <f t="shared" si="12"/>
        <v>5500</v>
      </c>
      <c r="BS27" s="5"/>
      <c r="BT27" s="5"/>
    </row>
    <row r="28" spans="1:72" customFormat="1" x14ac:dyDescent="0.25">
      <c r="A28" s="44" t="s">
        <v>38</v>
      </c>
      <c r="B28" s="42" t="s">
        <v>1071</v>
      </c>
      <c r="C28" s="42"/>
      <c r="D28" s="15" t="str">
        <f>IFERROR(((s_TR/(s_RadSpec!E28*s_IFS_rec_adj*(1/1000)))*1),".")</f>
        <v>.</v>
      </c>
      <c r="E28" s="15" t="str">
        <f>IFERROR(IF(A28="H-3",(s_TR/((s_RadSpec!F28*s_IFA_rec_adj*(1/17)*1000))*1),(s_TR/((s_RadSpec!F28*s_IFA_rec_adj*(1/s_PEF_wind)*1000))*1)),".")</f>
        <v>.</v>
      </c>
      <c r="F28" s="2">
        <f>IFERROR((s_TR/(s_RadSpec!G28*s_EF_rec*(1/365)*s_ED_rec*s_RadSpec!R28*s_ET_rec*(1/24)*s_RadSpec!W28)),".")</f>
        <v>12.600541394677991</v>
      </c>
      <c r="G28" s="2" t="str">
        <f>IFERROR((BO28/(s_RadSpec!AI28*((s_Q_p_game*s_f_p_game*s_f_s_game*(s_RadSpec!BD28+s_R_es_past))+(s_Q_s_game*s_f_p_game)))),".")</f>
        <v>.</v>
      </c>
      <c r="H28" s="2" t="str">
        <f>IFERROR((BO28/(s_RadSpec!AL28*((s_Q_p_fowl*s_f_p_fowl*s_f_s_fowl*(s_RadSpec!BD28+s_R_es_past))+(s_Q_s_fowl*s_f_p_fowl)))),".")</f>
        <v>.</v>
      </c>
      <c r="I28" s="244">
        <f t="shared" si="13"/>
        <v>0</v>
      </c>
      <c r="J28" s="244">
        <f t="shared" si="14"/>
        <v>0</v>
      </c>
      <c r="K28" s="244">
        <f t="shared" si="15"/>
        <v>7.9361669366235607E-2</v>
      </c>
      <c r="L28" s="244">
        <f t="shared" si="16"/>
        <v>0</v>
      </c>
      <c r="M28" s="244">
        <f t="shared" si="17"/>
        <v>0</v>
      </c>
      <c r="N28" s="2">
        <f t="shared" si="18"/>
        <v>12.600541394677991</v>
      </c>
      <c r="O28" s="40">
        <f t="shared" si="1"/>
        <v>302.5</v>
      </c>
      <c r="P28" s="40">
        <f t="shared" si="2"/>
        <v>3.2362545583179352E-2</v>
      </c>
      <c r="Q28" s="40">
        <f>IFERROR((s_C*s_EF_rec*(1/365)*s_ED_rec*s_RadSpec!R28*s_ET_rec*(1/24)*s_RadSpec!W28),".")</f>
        <v>0.38443493150684932</v>
      </c>
      <c r="R28" s="19">
        <f>IFERROR((s_C*s_IRGL_rec*s_EF_rec*s_ED_rec*s_CF_game*s_RadSpec!AI28)*((s_Q_p_game*s_f_p_game*s_f_s_game*(s_RadSpec!BD28+s_R_es_past))+(s_Q_s_game*s_f_p_game)),".")</f>
        <v>1774.08</v>
      </c>
      <c r="S28" s="19">
        <f>IFERROR((s_C*s_IRGF_rec*s_EF_rec*s_ED_rec*s_CF_fowl*s_RadSpec!AL28)*((s_Q_p_fowl*s_f_p_fowl*s_f_s_fowl*(s_RadSpec!BD28+s_R_es_past))+(s_Q_s_fowl*s_f_p_fowl)),0)</f>
        <v>0</v>
      </c>
      <c r="T28" s="18"/>
      <c r="U28" s="18"/>
      <c r="V28" s="18"/>
      <c r="W28" s="5"/>
      <c r="X28" s="5"/>
      <c r="Y28" s="18"/>
      <c r="Z28" s="15">
        <f>IFERROR((s_TR/(s_RadSpec!G28*s_EF_rec*(1/365)*s_ED_rec*s_RadSpec!R28*s_ET_rec*(1/24)*s_RadSpec!W28)),".")</f>
        <v>12.600541394677991</v>
      </c>
      <c r="AA28" s="15">
        <f>IFERROR((s_TR/(s_RadSpec!N28*s_EF_rec*(1/365)*s_ED_rec*s_RadSpec!S28*s_ET_rec*(1/24)*s_RadSpec!X28)),".")</f>
        <v>152.1945035706986</v>
      </c>
      <c r="AB28" s="15">
        <f>IFERROR((s_TR/(s_RadSpec!O28*s_EF_rec*(1/365)*s_ED_rec*s_RadSpec!T28*s_ET_rec*(1/24)*s_RadSpec!Y28)),".")</f>
        <v>36.785074421013142</v>
      </c>
      <c r="AC28" s="15">
        <f>IFERROR((s_TR/(s_RadSpec!P28*s_EF_rec*(1/365)*s_ED_rec*s_RadSpec!U28*s_ET_rec*(1/24)*s_RadSpec!Z28)),".")</f>
        <v>20.014254088400751</v>
      </c>
      <c r="AD28" s="15">
        <f>IFERROR((s_TR/(s_RadSpec!L28*s_EF_rec*(1/365)*s_ED_rec*s_RadSpec!Q28*s_ET_rec*(1/24)*s_RadSpec!V28)),".")</f>
        <v>274.62000560846838</v>
      </c>
      <c r="AE28" s="40">
        <f>IFERROR((s_C*s_EF_rec*(1/365)*s_ED_rec*s_RadSpec!R28*s_ET_rec*(1/24)*s_RadSpec!W28),".")</f>
        <v>0.38443493150684932</v>
      </c>
      <c r="AF28" s="40">
        <f>IFERROR((s_C*s_EF_rec*(1/365)*s_ED_rec*s_RadSpec!S28*s_ET_rec*(1/24)*s_RadSpec!X28),".")</f>
        <v>0.17240314752591823</v>
      </c>
      <c r="AG28" s="40">
        <f>IFERROR((s_C*s_EF_rec*(1/365)*s_ED_rec*s_RadSpec!T28*s_ET_rec*(1/24)*s_RadSpec!Y28),".")</f>
        <v>0.24831621004566218</v>
      </c>
      <c r="AH28" s="40">
        <f>IFERROR((s_C*s_EF_rec*(1/365)*s_ED_rec*s_RadSpec!U28*s_ET_rec*(1/24)*s_RadSpec!Z28),".")</f>
        <v>0.28680457628256789</v>
      </c>
      <c r="AI28" s="40">
        <f>IFERROR((s_C*s_EF_rec*(1/365)*s_ED_rec*s_RadSpec!Q28*s_ET_rec*(1/24)*s_RadSpec!V28),".")</f>
        <v>9.8069738480697347E-2</v>
      </c>
      <c r="AJ28" s="18"/>
      <c r="AK28" s="18"/>
      <c r="AL28" s="18"/>
      <c r="AM28" s="18"/>
      <c r="AN28" s="18"/>
      <c r="AO28" s="15" t="str">
        <f>IFERROR((s_TR/(s_RadSpec!F28*s_IFA_rec_adj)),".")</f>
        <v>.</v>
      </c>
      <c r="AP28" s="15">
        <f>IFERROR((s_TR/(s_RadSpec!K28*s_EF_rec*(1/365)*s_ED_rec*s_ET_rec*(1/24)*s_GSF_a)),".")</f>
        <v>3326.9928597218632</v>
      </c>
      <c r="AQ28" s="15">
        <f t="shared" ref="AQ28:AQ29" si="23">IFERROR(IF(AND(AO28&lt;&gt;".",AP28&lt;&gt;"."),1/((1/AO28)+(1/AP28)),IF(AND(AO28&lt;&gt;".",AP28="."),1/((1/AO28)),IF(AND(AO28=".",AP28&lt;&gt;"."),1/((1/AP28)),IF(AND(AO28=".",AP28="."),".")))),".")</f>
        <v>3326.9928597218632</v>
      </c>
      <c r="AR28" s="40">
        <f t="shared" si="3"/>
        <v>10026.041666666666</v>
      </c>
      <c r="AS28" s="40">
        <f t="shared" si="4"/>
        <v>1.5696347031963471</v>
      </c>
      <c r="AT28" s="45"/>
      <c r="AU28" s="45"/>
      <c r="AV28" s="45"/>
      <c r="AW28" s="15" t="str">
        <f>IFERROR((s_TR/(s_RadSpec!I28*s_IFW_rec_adj)),".")</f>
        <v>.</v>
      </c>
      <c r="AX28" s="15">
        <f>IFERROR((s_TR/(s_RadSpec!M28*(1/8760)*s_DFA_rec_adj)),".")</f>
        <v>957912.27000418806</v>
      </c>
      <c r="AY28" s="2" t="str">
        <f>IFERROR(BO28/(s_RadSpec!AI28*s_Q_w_game*(1/1000)),".")</f>
        <v>.</v>
      </c>
      <c r="AZ28" s="2" t="str">
        <f>IFERROR(BO28/(s_RadSpec!AL28*s_Q_w_fowl*(1/1000)),".")</f>
        <v>.</v>
      </c>
      <c r="BA28" s="244">
        <f t="shared" si="5"/>
        <v>0</v>
      </c>
      <c r="BB28" s="244">
        <f t="shared" si="6"/>
        <v>1.0439369358904109E-6</v>
      </c>
      <c r="BC28" s="244">
        <f t="shared" si="7"/>
        <v>0</v>
      </c>
      <c r="BD28" s="244">
        <f t="shared" si="8"/>
        <v>0</v>
      </c>
      <c r="BE28" s="2">
        <f t="shared" si="19"/>
        <v>957912.27000418806</v>
      </c>
      <c r="BF28" s="40">
        <f t="shared" si="9"/>
        <v>44000</v>
      </c>
      <c r="BG28" s="40">
        <f t="shared" si="10"/>
        <v>2.5114155251141552</v>
      </c>
      <c r="BH28" s="19">
        <f>IFERROR(s_C*s_RadSpec!AI28*s_Q_w_game*(1/1000)*s_EF_rec*s_ED_rec*s_IRGL_rec*s_CF_game,".")</f>
        <v>0.44000000000000006</v>
      </c>
      <c r="BI28" s="19">
        <f>IFERROR(s_C*s_RadSpec!AL28*s_Q_w_fowl*(1/1000)*s_EF_rec*s_ED_rec*s_IRGL_rec*s_CF_fowl,0)</f>
        <v>0</v>
      </c>
      <c r="BJ28" s="18"/>
      <c r="BK28" s="18"/>
      <c r="BL28" s="5"/>
      <c r="BM28" s="5"/>
      <c r="BN28" s="18"/>
      <c r="BO28" s="2" t="str">
        <f>IFERROR(s_TR/(s_RadSpec!H28*s_EF_rec*s_ED_rec*s_IRGL_rec*s_CF_game),".")</f>
        <v>.</v>
      </c>
      <c r="BP28" s="2" t="str">
        <f>IFERROR(s_TR/(s_RadSpec!H28*s_EF_rec*s_ED_rec*s_IRGF_rec*s_CF_fowl),".")</f>
        <v>.</v>
      </c>
      <c r="BQ28" s="19">
        <f t="shared" si="11"/>
        <v>5500</v>
      </c>
      <c r="BR28" s="19">
        <f t="shared" si="12"/>
        <v>5500</v>
      </c>
      <c r="BS28" s="5"/>
      <c r="BT28" s="5"/>
    </row>
    <row r="29" spans="1:72" customFormat="1" x14ac:dyDescent="0.25">
      <c r="A29" s="44" t="s">
        <v>39</v>
      </c>
      <c r="B29" s="42" t="s">
        <v>1071</v>
      </c>
      <c r="C29" s="249"/>
      <c r="D29" s="15" t="str">
        <f>IFERROR(((s_TR/(s_RadSpec!E29*s_IFS_rec_adj*(1/1000)))*1),".")</f>
        <v>.</v>
      </c>
      <c r="E29" s="15" t="str">
        <f>IFERROR(IF(A29="H-3",(s_TR/((s_RadSpec!F29*s_IFA_rec_adj*(1/17)*1000))*1),(s_TR/((s_RadSpec!F29*s_IFA_rec_adj*(1/s_PEF_wind)*1000))*1)),".")</f>
        <v>.</v>
      </c>
      <c r="F29" s="2">
        <f>IFERROR((s_TR/(s_RadSpec!G29*s_EF_rec*(1/365)*s_ED_rec*s_RadSpec!R29*s_ET_rec*(1/24)*s_RadSpec!W29)),".")</f>
        <v>10.532710823424532</v>
      </c>
      <c r="G29" s="2" t="str">
        <f>IFERROR((BO29/(s_RadSpec!AI29*((s_Q_p_game*s_f_p_game*s_f_s_game*(s_RadSpec!BD29+s_R_es_past))+(s_Q_s_game*s_f_p_game)))),".")</f>
        <v>.</v>
      </c>
      <c r="H29" s="2" t="str">
        <f>IFERROR((BO29/(s_RadSpec!AL29*((s_Q_p_fowl*s_f_p_fowl*s_f_s_fowl*(s_RadSpec!BD29+s_R_es_past))+(s_Q_s_fowl*s_f_p_fowl)))),".")</f>
        <v>.</v>
      </c>
      <c r="I29" s="244">
        <f t="shared" si="13"/>
        <v>0</v>
      </c>
      <c r="J29" s="244">
        <f t="shared" si="14"/>
        <v>0</v>
      </c>
      <c r="K29" s="244">
        <f t="shared" si="15"/>
        <v>9.4942319860906135E-2</v>
      </c>
      <c r="L29" s="244">
        <f t="shared" si="16"/>
        <v>0</v>
      </c>
      <c r="M29" s="244">
        <f t="shared" si="17"/>
        <v>0</v>
      </c>
      <c r="N29" s="2">
        <f t="shared" si="18"/>
        <v>10.532710823424532</v>
      </c>
      <c r="O29" s="40">
        <f t="shared" si="1"/>
        <v>302.5</v>
      </c>
      <c r="P29" s="40">
        <f t="shared" si="2"/>
        <v>3.2362545583179352E-2</v>
      </c>
      <c r="Q29" s="40">
        <f>IFERROR((s_C*s_EF_rec*(1/365)*s_ED_rec*s_RadSpec!R29*s_ET_rec*(1/24)*s_RadSpec!W29),".")</f>
        <v>0.35353003161222318</v>
      </c>
      <c r="R29" s="19">
        <f>IFERROR((s_C*s_IRGL_rec*s_EF_rec*s_ED_rec*s_CF_game*s_RadSpec!AI29)*((s_Q_p_game*s_f_p_game*s_f_s_game*(s_RadSpec!BD29+s_R_es_past))+(s_Q_s_game*s_f_p_game)),".")</f>
        <v>1774.08</v>
      </c>
      <c r="S29" s="19">
        <f>IFERROR((s_C*s_IRGF_rec*s_EF_rec*s_ED_rec*s_CF_fowl*s_RadSpec!AL29)*((s_Q_p_fowl*s_f_p_fowl*s_f_s_fowl*(s_RadSpec!BD29+s_R_es_past))+(s_Q_s_fowl*s_f_p_fowl)),0)</f>
        <v>0</v>
      </c>
      <c r="T29" s="18"/>
      <c r="U29" s="18"/>
      <c r="V29" s="18"/>
      <c r="W29" s="5"/>
      <c r="X29" s="5"/>
      <c r="Y29" s="18"/>
      <c r="Z29" s="15">
        <f>IFERROR((s_TR/(s_RadSpec!G29*s_EF_rec*(1/365)*s_ED_rec*s_RadSpec!R29*s_ET_rec*(1/24)*s_RadSpec!W29)),".")</f>
        <v>10.532710823424532</v>
      </c>
      <c r="AA29" s="15">
        <f>IFERROR((s_TR/(s_RadSpec!N29*s_EF_rec*(1/365)*s_ED_rec*s_RadSpec!S29*s_ET_rec*(1/24)*s_RadSpec!X29)),".")</f>
        <v>113.58228987030263</v>
      </c>
      <c r="AB29" s="15">
        <f>IFERROR((s_TR/(s_RadSpec!O29*s_EF_rec*(1/365)*s_ED_rec*s_RadSpec!T29*s_ET_rec*(1/24)*s_RadSpec!Y29)),".")</f>
        <v>28.246107220799573</v>
      </c>
      <c r="AC29" s="15">
        <f>IFERROR((s_TR/(s_RadSpec!P29*s_EF_rec*(1/365)*s_ED_rec*s_RadSpec!U29*s_ET_rec*(1/24)*s_RadSpec!Z29)),".")</f>
        <v>15.011316032101041</v>
      </c>
      <c r="AD29" s="15">
        <f>IFERROR((s_TR/(s_RadSpec!L29*s_EF_rec*(1/365)*s_ED_rec*s_RadSpec!Q29*s_ET_rec*(1/24)*s_RadSpec!V29)),".")</f>
        <v>210.68997147841458</v>
      </c>
      <c r="AE29" s="40">
        <f>IFERROR((s_C*s_EF_rec*(1/365)*s_ED_rec*s_RadSpec!R29*s_ET_rec*(1/24)*s_RadSpec!W29),".")</f>
        <v>0.35353003161222318</v>
      </c>
      <c r="AF29" s="40">
        <f>IFERROR((s_C*s_EF_rec*(1/365)*s_ED_rec*s_RadSpec!S29*s_ET_rec*(1/24)*s_RadSpec!X29),".")</f>
        <v>0.17716668927166696</v>
      </c>
      <c r="AG29" s="40">
        <f>IFERROR((s_C*s_EF_rec*(1/365)*s_ED_rec*s_RadSpec!T29*s_ET_rec*(1/24)*s_RadSpec!Y29),".")</f>
        <v>0.24869139102349924</v>
      </c>
      <c r="AH29" s="40">
        <f>IFERROR((s_C*s_EF_rec*(1/365)*s_ED_rec*s_RadSpec!U29*s_ET_rec*(1/24)*s_RadSpec!Z29),".")</f>
        <v>0.29317889571196154</v>
      </c>
      <c r="AI29" s="40">
        <f>IFERROR((s_C*s_EF_rec*(1/365)*s_ED_rec*s_RadSpec!Q29*s_ET_rec*(1/24)*s_RadSpec!V29),".")</f>
        <v>9.8662752772341808E-2</v>
      </c>
      <c r="AJ29" s="18"/>
      <c r="AK29" s="18"/>
      <c r="AL29" s="18"/>
      <c r="AM29" s="18"/>
      <c r="AN29" s="18"/>
      <c r="AO29" s="15" t="str">
        <f>IFERROR((s_TR/(s_RadSpec!F29*s_IFA_rec_adj)),".")</f>
        <v>.</v>
      </c>
      <c r="AP29" s="15">
        <f>IFERROR((s_TR/(s_RadSpec!K29*s_EF_rec*(1/365)*s_ED_rec*s_ET_rec*(1/24)*s_GSF_a)),".")</f>
        <v>2573.7114575206856</v>
      </c>
      <c r="AQ29" s="15">
        <f t="shared" si="23"/>
        <v>2573.7114575206856</v>
      </c>
      <c r="AR29" s="40">
        <f t="shared" si="3"/>
        <v>10026.041666666666</v>
      </c>
      <c r="AS29" s="40">
        <f t="shared" si="4"/>
        <v>1.5696347031963471</v>
      </c>
      <c r="AT29" s="45"/>
      <c r="AU29" s="45"/>
      <c r="AV29" s="45"/>
      <c r="AW29" s="15" t="str">
        <f>IFERROR((s_TR/(s_RadSpec!I29*s_IFW_rec_adj)),".")</f>
        <v>.</v>
      </c>
      <c r="AX29" s="15">
        <f>IFERROR((s_TR/(s_RadSpec!M29*(1/8760)*s_DFA_rec_adj)),".")</f>
        <v>741340.80026411079</v>
      </c>
      <c r="AY29" s="2" t="str">
        <f>IFERROR(BO29/(s_RadSpec!AI29*s_Q_w_game*(1/1000)),".")</f>
        <v>.</v>
      </c>
      <c r="AZ29" s="2" t="str">
        <f>IFERROR(BO29/(s_RadSpec!AL29*s_Q_w_fowl*(1/1000)),".")</f>
        <v>.</v>
      </c>
      <c r="BA29" s="244">
        <f t="shared" si="5"/>
        <v>0</v>
      </c>
      <c r="BB29" s="244">
        <f t="shared" si="6"/>
        <v>1.3489072767123285E-6</v>
      </c>
      <c r="BC29" s="244">
        <f t="shared" si="7"/>
        <v>0</v>
      </c>
      <c r="BD29" s="244">
        <f t="shared" si="8"/>
        <v>0</v>
      </c>
      <c r="BE29" s="2">
        <f t="shared" si="19"/>
        <v>741340.80026411079</v>
      </c>
      <c r="BF29" s="40">
        <f t="shared" si="9"/>
        <v>44000</v>
      </c>
      <c r="BG29" s="40">
        <f t="shared" si="10"/>
        <v>2.5114155251141552</v>
      </c>
      <c r="BH29" s="19">
        <f>IFERROR(s_C*s_RadSpec!AI29*s_Q_w_game*(1/1000)*s_EF_rec*s_ED_rec*s_IRGL_rec*s_CF_game,".")</f>
        <v>0.44000000000000006</v>
      </c>
      <c r="BI29" s="19">
        <f>IFERROR(s_C*s_RadSpec!AL29*s_Q_w_fowl*(1/1000)*s_EF_rec*s_ED_rec*s_IRGL_rec*s_CF_fowl,0)</f>
        <v>0</v>
      </c>
      <c r="BJ29" s="18"/>
      <c r="BK29" s="18"/>
      <c r="BL29" s="5"/>
      <c r="BM29" s="5"/>
      <c r="BN29" s="18"/>
      <c r="BO29" s="2" t="str">
        <f>IFERROR(s_TR/(s_RadSpec!H29*s_EF_rec*s_ED_rec*s_IRGL_rec*s_CF_game),".")</f>
        <v>.</v>
      </c>
      <c r="BP29" s="2" t="str">
        <f>IFERROR(s_TR/(s_RadSpec!H29*s_EF_rec*s_ED_rec*s_IRGF_rec*s_CF_fowl),".")</f>
        <v>.</v>
      </c>
      <c r="BQ29" s="19">
        <f t="shared" si="11"/>
        <v>5500</v>
      </c>
      <c r="BR29" s="19">
        <f t="shared" si="12"/>
        <v>5500</v>
      </c>
      <c r="BS29" s="5"/>
      <c r="BT29" s="5"/>
    </row>
    <row r="30" spans="1:72" customFormat="1" x14ac:dyDescent="0.25">
      <c r="A30" s="44" t="s">
        <v>40</v>
      </c>
      <c r="B30" s="42" t="s">
        <v>1071</v>
      </c>
      <c r="C30" s="42"/>
      <c r="D30" s="15">
        <f>IFERROR(((s_TR/(s_RadSpec!E30*s_IFS_rec_adj*(1/1000)))*1),".")</f>
        <v>1100.3145799384044</v>
      </c>
      <c r="E30" s="15">
        <f>IFERROR(IF(A30="H-3",(s_TR/((s_RadSpec!F30*s_IFA_rec_adj*(1/17)*1000))*1),(s_TR/((s_RadSpec!F30*s_IFA_rec_adj*(1/s_PEF_wind)*1000))*1)),".")</f>
        <v>54583.850648194522</v>
      </c>
      <c r="F30" s="2">
        <f>IFERROR((s_TR/(s_RadSpec!G30*s_EF_rec*(1/365)*s_ED_rec*s_RadSpec!R30*s_ET_rec*(1/24)*s_RadSpec!W30)),".")</f>
        <v>1866539.5080541375</v>
      </c>
      <c r="G30" s="2">
        <f>IFERROR((BO30/(s_RadSpec!AI30*((s_Q_p_game*s_f_p_game*s_f_s_game*(s_RadSpec!BD30+s_R_es_past))+(s_Q_s_game*s_f_p_game)))),".")</f>
        <v>29844.596336613395</v>
      </c>
      <c r="H30" s="2">
        <f>IFERROR((BO30/(s_RadSpec!AL30*((s_Q_p_fowl*s_f_p_fowl*s_f_s_fowl*(s_RadSpec!BD30+s_R_es_past))+(s_Q_s_fowl*s_f_p_fowl)))),".")</f>
        <v>15.519190095038965</v>
      </c>
      <c r="I30" s="244">
        <f t="shared" si="13"/>
        <v>9.0883099999999992E-4</v>
      </c>
      <c r="J30" s="244">
        <f t="shared" si="14"/>
        <v>1.8320437054637829E-5</v>
      </c>
      <c r="K30" s="244">
        <f t="shared" si="15"/>
        <v>5.3575078142465752E-7</v>
      </c>
      <c r="L30" s="244">
        <f t="shared" si="16"/>
        <v>3.3506903183448272E-5</v>
      </c>
      <c r="M30" s="244">
        <f t="shared" si="17"/>
        <v>6.4436352275862058E-2</v>
      </c>
      <c r="N30" s="2">
        <f t="shared" si="18"/>
        <v>15.291093558617316</v>
      </c>
      <c r="O30" s="40">
        <f t="shared" si="1"/>
        <v>302.5</v>
      </c>
      <c r="P30" s="40">
        <f t="shared" si="2"/>
        <v>3.2362545583179352E-2</v>
      </c>
      <c r="Q30" s="40">
        <f>IFERROR((s_C*s_EF_rec*(1/365)*s_ED_rec*s_RadSpec!R30*s_ET_rec*(1/24)*s_RadSpec!W30),".")</f>
        <v>3.7671232876712334E-2</v>
      </c>
      <c r="R30" s="19">
        <f>IFERROR((s_C*s_IRGL_rec*s_EF_rec*s_ED_rec*s_CF_game*s_RadSpec!AI30)*((s_Q_p_game*s_f_p_game*s_f_s_game*(s_RadSpec!BD30+s_R_es_past))+(s_Q_s_game*s_f_p_game)),".")</f>
        <v>17.282289655172413</v>
      </c>
      <c r="S30" s="19">
        <f>IFERROR((s_C*s_IRGF_rec*s_EF_rec*s_ED_rec*s_CF_fowl*s_RadSpec!AL30)*((s_Q_p_fowl*s_f_p_fowl*s_f_s_fowl*(s_RadSpec!BD30+s_R_es_past))+(s_Q_s_fowl*s_f_p_fowl)),0)</f>
        <v>33235.172413793101</v>
      </c>
      <c r="T30" s="18"/>
      <c r="U30" s="18"/>
      <c r="V30" s="18"/>
      <c r="W30" s="5"/>
      <c r="X30" s="5"/>
      <c r="Y30" s="18"/>
      <c r="Z30" s="15">
        <f>IFERROR((s_TR/(s_RadSpec!G30*s_EF_rec*(1/365)*s_ED_rec*s_RadSpec!R30*s_ET_rec*(1/24)*s_RadSpec!W30)),".")</f>
        <v>1866539.5080541375</v>
      </c>
      <c r="AA30" s="15">
        <f>IFERROR((s_TR/(s_RadSpec!N30*s_EF_rec*(1/365)*s_ED_rec*s_RadSpec!S30*s_ET_rec*(1/24)*s_RadSpec!X30)),".")</f>
        <v>31355679.431622181</v>
      </c>
      <c r="AB30" s="15">
        <f>IFERROR((s_TR/(s_RadSpec!O30*s_EF_rec*(1/365)*s_ED_rec*s_RadSpec!T30*s_ET_rec*(1/24)*s_RadSpec!Y30)),".")</f>
        <v>4628217.4921841472</v>
      </c>
      <c r="AC30" s="15">
        <f>IFERROR((s_TR/(s_RadSpec!P30*s_EF_rec*(1/365)*s_ED_rec*s_RadSpec!U30*s_ET_rec*(1/24)*s_RadSpec!Z30)),".")</f>
        <v>2536091.1036041267</v>
      </c>
      <c r="AD30" s="15">
        <f>IFERROR((s_TR/(s_RadSpec!L30*s_EF_rec*(1/365)*s_ED_rec*s_RadSpec!Q30*s_ET_rec*(1/24)*s_RadSpec!V30)),".")</f>
        <v>445773553.09998822</v>
      </c>
      <c r="AE30" s="40">
        <f>IFERROR((s_C*s_EF_rec*(1/365)*s_ED_rec*s_RadSpec!R30*s_ET_rec*(1/24)*s_RadSpec!W30),".")</f>
        <v>3.7671232876712334E-2</v>
      </c>
      <c r="AF30" s="40">
        <f>IFERROR((s_C*s_EF_rec*(1/365)*s_ED_rec*s_RadSpec!S30*s_ET_rec*(1/24)*s_RadSpec!X30),".")</f>
        <v>7.6896245560629127E-3</v>
      </c>
      <c r="AG30" s="40">
        <f>IFERROR((s_C*s_EF_rec*(1/365)*s_ED_rec*s_RadSpec!T30*s_ET_rec*(1/24)*s_RadSpec!Y30),".")</f>
        <v>2.1338371909935448E-2</v>
      </c>
      <c r="AH30" s="40">
        <f>IFERROR((s_C*s_EF_rec*(1/365)*s_ED_rec*s_RadSpec!U30*s_ET_rec*(1/24)*s_RadSpec!Z30),".")</f>
        <v>2.8667126827368928E-2</v>
      </c>
      <c r="AI30" s="40">
        <f>IFERROR((s_C*s_EF_rec*(1/365)*s_ED_rec*s_RadSpec!Q30*s_ET_rec*(1/24)*s_RadSpec!V30),".")</f>
        <v>3.1392694063926945E-4</v>
      </c>
      <c r="AJ30" s="18"/>
      <c r="AK30" s="18"/>
      <c r="AL30" s="18"/>
      <c r="AM30" s="18"/>
      <c r="AN30" s="18"/>
      <c r="AO30" s="15">
        <f>IFERROR((s_TR/(s_RadSpec!F30*s_IFA_rec_adj)),".")</f>
        <v>0.17618841148252914</v>
      </c>
      <c r="AP30" s="15">
        <f>IFERROR((s_TR/(s_RadSpec!K30*s_EF_rec*(1/365)*s_ED_rec*s_ET_rec*(1/24)*s_GSF_a)),".")</f>
        <v>33974273.287321642</v>
      </c>
      <c r="AQ30" s="15">
        <f>IFERROR(IF(AND(AO30&lt;&gt;".",AP30&lt;&gt;"."),1/((1/AO30)+(1/AP30)),IF(AND(AO30&lt;&gt;".",AP30="."),1/((1/AO30)),IF(AND(AO30=".",AP30&lt;&gt;"."),1/((1/AP30)),IF(AND(AO30=".",AP30="."),".")))),".")</f>
        <v>0.17618841056882731</v>
      </c>
      <c r="AR30" s="40">
        <f t="shared" si="3"/>
        <v>10026.041666666666</v>
      </c>
      <c r="AS30" s="40">
        <f t="shared" si="4"/>
        <v>1.5696347031963471</v>
      </c>
      <c r="AT30" s="45"/>
      <c r="AU30" s="45"/>
      <c r="AV30" s="45"/>
      <c r="AW30" s="15">
        <f>IFERROR((s_TR/(s_RadSpec!I30*s_IFW_rec_adj)),".")</f>
        <v>15.831201398211709</v>
      </c>
      <c r="AX30" s="15">
        <f>IFERROR((s_TR/(s_RadSpec!M30*(1/8760)*s_DFA_rec_adj)),".")</f>
        <v>9525608048.086338</v>
      </c>
      <c r="AY30" s="2">
        <f>IFERROR(BO30/(s_RadSpec!AI30*s_Q_w_game*(1/1000)),".")</f>
        <v>120229127.86271565</v>
      </c>
      <c r="AZ30" s="2">
        <f>IFERROR(BO30/(s_RadSpec!AL30*s_Q_w_fowl*(1/1000)),".")</f>
        <v>62519.146488612132</v>
      </c>
      <c r="BA30" s="244">
        <f t="shared" si="5"/>
        <v>6.3166399999999998E-2</v>
      </c>
      <c r="BB30" s="244">
        <f t="shared" si="6"/>
        <v>1.0498017501369863E-10</v>
      </c>
      <c r="BC30" s="244">
        <f t="shared" si="7"/>
        <v>8.3174519999999995E-9</v>
      </c>
      <c r="BD30" s="244">
        <f t="shared" si="8"/>
        <v>1.5995100000000002E-5</v>
      </c>
      <c r="BE30" s="2">
        <f>IFERROR(1/SUM(BA30:BD30),0)</f>
        <v>15.827191500319573</v>
      </c>
      <c r="BF30" s="40">
        <f t="shared" si="9"/>
        <v>44000</v>
      </c>
      <c r="BG30" s="40">
        <f t="shared" si="10"/>
        <v>2.5114155251141552</v>
      </c>
      <c r="BH30" s="19">
        <f>IFERROR(s_C*s_RadSpec!AI30*s_Q_w_game*(1/1000)*s_EF_rec*s_ED_rec*s_IRGL_rec*s_CF_game,".")</f>
        <v>4.2900000000000004E-3</v>
      </c>
      <c r="BI30" s="19">
        <f>IFERROR(s_C*s_RadSpec!AL30*s_Q_w_fowl*(1/1000)*s_EF_rec*s_ED_rec*s_IRGL_rec*s_CF_fowl,0)</f>
        <v>8.25</v>
      </c>
      <c r="BJ30" s="18"/>
      <c r="BK30" s="18"/>
      <c r="BL30" s="5"/>
      <c r="BM30" s="5"/>
      <c r="BN30" s="18"/>
      <c r="BO30" s="2">
        <f>IFERROR(s_TR/(s_RadSpec!H30*s_EF_rec*s_ED_rec*s_IRGL_rec*s_CF_game),".")</f>
        <v>93.778719732918205</v>
      </c>
      <c r="BP30" s="2">
        <f>IFERROR(s_TR/(s_RadSpec!H30*s_EF_rec*s_ED_rec*s_IRGF_rec*s_CF_fowl),".")</f>
        <v>93.778719732918205</v>
      </c>
      <c r="BQ30" s="19">
        <f t="shared" si="11"/>
        <v>5500</v>
      </c>
      <c r="BR30" s="19">
        <f t="shared" si="12"/>
        <v>5500</v>
      </c>
      <c r="BS30" s="5"/>
      <c r="BT30" s="5"/>
    </row>
    <row r="31" spans="1:72" x14ac:dyDescent="0.25">
      <c r="A31" s="57" t="s">
        <v>13</v>
      </c>
      <c r="B31" s="57" t="s">
        <v>1255</v>
      </c>
      <c r="C31" s="57"/>
      <c r="D31" s="58">
        <f>1/SUM(1/D32,1/D33,1/D34,1/D35,1/D36,1/D37,1/D38,1/D41,1/D44)</f>
        <v>103.75963743062117</v>
      </c>
      <c r="E31" s="58">
        <f>1/SUM(1/E32,1/E33,1/E34,1/E35,1/E36,1/E37,1/E38,1/E41,1/E44)</f>
        <v>4765.9686979909957</v>
      </c>
      <c r="F31" s="58">
        <f>1/SUM(1/F32,1/F33,1/F34,1/F35,1/F36,1/F37,1/F38,1/F39,1/F40,1/F41,1/F42,1/F43)</f>
        <v>165.51933405504511</v>
      </c>
      <c r="G31" s="61">
        <f>1/SUM(1/G32,1/G33,1/G34,1/G35,1/G36,1/G37,1/G38,1/G41,1/G44)</f>
        <v>2499.1340349836287</v>
      </c>
      <c r="H31" s="61">
        <f>1/SUM(1/H32,1/H35)</f>
        <v>15.351168798926453</v>
      </c>
      <c r="I31" s="244">
        <f t="shared" si="13"/>
        <v>9.6376589660757978E-3</v>
      </c>
      <c r="J31" s="244">
        <f t="shared" si="14"/>
        <v>2.0982093323893025E-4</v>
      </c>
      <c r="K31" s="244">
        <f t="shared" si="15"/>
        <v>6.0415902813349886E-3</v>
      </c>
      <c r="L31" s="244">
        <f t="shared" si="16"/>
        <v>4.0013860241255557E-4</v>
      </c>
      <c r="M31" s="244">
        <f t="shared" si="17"/>
        <v>6.5141619709759985E-2</v>
      </c>
      <c r="N31" s="59">
        <f>1/SUM(1/N32,1/N33,1/N34,1/N35,1/N36,1/N37,1/N38,1/N39,1/N40,1/N41,1/N42,1/N43,1/N44)</f>
        <v>12.280361363241505</v>
      </c>
      <c r="O31" s="70"/>
      <c r="P31" s="70"/>
      <c r="Q31" s="70"/>
      <c r="R31" s="70"/>
      <c r="S31" s="70"/>
      <c r="T31" s="47">
        <f>IFERROR(IF(SUM(O32:O44)&gt;0.01,1-EXP(-SUM(O32:O44)),SUM(O32:O44)),".")</f>
        <v>4.8188294830378993E-7</v>
      </c>
      <c r="U31" s="47">
        <f>IFERROR(IF(SUM(P32:P44)&gt;0.01,1-EXP(-SUM(P32:P44)),SUM(P32:P44)),".")</f>
        <v>1.0491046661946513E-8</v>
      </c>
      <c r="V31" s="47">
        <f>IFERROR(IF(SUM(Q32:Q44)&gt;0.01,1-EXP(-SUM(Q32:Q44)),SUM(Q32:Q44)),".")</f>
        <v>3.0207951406674943E-7</v>
      </c>
      <c r="W31" s="47">
        <f>IFERROR(IF(SUM(R32:R44)&gt;0.01,1-EXP(-SUM(R32:R44)),SUM(R32:R44)),".")</f>
        <v>2.0006930120627781E-8</v>
      </c>
      <c r="X31" s="47">
        <f>IFERROR(IF(SUM(S32:S44)&gt;0.01,1-EXP(-SUM(S32:S44)),SUM(S32:S44)),".")</f>
        <v>3.2570809854879999E-6</v>
      </c>
      <c r="Y31" s="47">
        <f>IFERROR(IF(SUM(O32:S44)&gt;0.01,1-EXP(-SUM(O32:S44)),SUM(O32:S44)),".")</f>
        <v>4.0715414246411135E-6</v>
      </c>
      <c r="Z31" s="59">
        <f>1/SUM(1/Z32,1/Z33,1/Z34,1/Z35,1/Z36,1/Z37,1/Z38,1/Z39,1/Z40,1/Z41,1/Z42,1/Z43)</f>
        <v>165.51933405504511</v>
      </c>
      <c r="AA31" s="59">
        <f>1/SUM(1/AA32,1/AA33,1/AA34,1/AA35,1/AA36,1/AA37,1/AA38,1/AA39,1/AA40,1/AA41,1/AA42,1/AA43)</f>
        <v>1430.140730611771</v>
      </c>
      <c r="AB31" s="59">
        <f>1/SUM(1/AB32,1/AB33,1/AB34,1/AB35,1/AB36,1/AB37,1/AB38,1/AB39,1/AB40,1/AB41,1/AB42,1/AB43)</f>
        <v>374.0225715751842</v>
      </c>
      <c r="AC31" s="59">
        <f>1/SUM(1/AC32,1/AC33,1/AC34,1/AC35,1/AC36,1/AC37,1/AC38,1/AC39,1/AC40,1/AC41,1/AC42,1/AC43)</f>
        <v>222.35736455997207</v>
      </c>
      <c r="AD31" s="59">
        <f>1/SUM(1/AD32,1/AD33,1/AD34,1/AD35,1/AD36,1/AD37,1/AD38,1/AD39,1/AD40,1/AD41,1/AD42,1/AD43)</f>
        <v>3115.8061323430579</v>
      </c>
      <c r="AE31" s="70"/>
      <c r="AF31" s="73"/>
      <c r="AG31" s="73"/>
      <c r="AH31" s="73"/>
      <c r="AI31" s="73"/>
      <c r="AJ31" s="47">
        <f>IFERROR(IF(SUM(AE32:AE44)&gt;0.01,1-EXP(-SUM(AE32:AE44)),SUM(AE32:AE44)),".")</f>
        <v>3.0207951406674943E-7</v>
      </c>
      <c r="AK31" s="47">
        <f t="shared" ref="AK31:AN31" si="24">IFERROR(IF(SUM(AF32:AF44)&gt;0.01,1-EXP(-SUM(AF32:AF44)),SUM(AF32:AF44)),".")</f>
        <v>3.4961594289123912E-8</v>
      </c>
      <c r="AL31" s="47">
        <f t="shared" si="24"/>
        <v>1.3368177163593789E-7</v>
      </c>
      <c r="AM31" s="47">
        <f t="shared" si="24"/>
        <v>2.2486325154530457E-7</v>
      </c>
      <c r="AN31" s="47">
        <f t="shared" si="24"/>
        <v>1.6047211500415292E-8</v>
      </c>
      <c r="AO31" s="58">
        <f>1/SUM(1/AO32,1/AO33,1/AO34,1/AO35,1/AO36,1/AO37,1/AO38,1/AO41,1/AO44)</f>
        <v>1.5383825877118961E-2</v>
      </c>
      <c r="AP31" s="58">
        <f t="shared" ref="AP31" si="25">1/SUM(1/AP32,1/AP33,1/AP34,1/AP35,1/AP36,1/AP37,1/AP38,1/AP39,1/AP40,1/AP41,1/AP42,1/AP43,1/AP44)</f>
        <v>14415.209756149465</v>
      </c>
      <c r="AQ31" s="59">
        <f>1/SUM(1/AQ32,1/AQ33,1/AQ34,1/AQ35,1/AQ36,1/AQ37,1/AQ38,1/AQ39,1/AQ40,1/AQ41,1/AQ42,1/AQ43,1/AQ44)</f>
        <v>1.5383809459609253E-2</v>
      </c>
      <c r="AR31" s="70"/>
      <c r="AS31" s="70"/>
      <c r="AT31" s="47">
        <f>IFERROR(IF(SUM(AR32:AR44)&gt;0.01,1-EXP(-SUM(AR32:AR44)),SUM(AR32:AR44)),".")</f>
        <v>3.2501667920180515E-3</v>
      </c>
      <c r="AU31" s="47">
        <f>IFERROR(IF(SUM(AS32:AS44)&gt;0.01,1-EXP(-SUM(AS32:AS44)),SUM(AS32:AS44)),".")</f>
        <v>3.4685586159209527E-9</v>
      </c>
      <c r="AV31" s="47">
        <f>IFERROR(IF(SUM(AR32:AS44)&gt;0.01,1-EXP(-SUM(AR32:AS44)),SUM(AR32:AS44)),".")</f>
        <v>3.250170260576668E-3</v>
      </c>
      <c r="AW31" s="58">
        <f>1/SUM(1/AW32,1/AW33,1/AW34,1/AW35,1/AW36,1/AW37,1/AW38,1/AW41,1/AW44)</f>
        <v>1.4732910339844092</v>
      </c>
      <c r="AX31" s="58">
        <f t="shared" ref="AX31" si="26">1/SUM(1/AX32,1/AX33,1/AX34,1/AX35,1/AX36,1/AX37,1/AX38,1/AX39,1/AX40,1/AX41,1/AX42,1/AX43,1/AX44)</f>
        <v>4107884.4288635957</v>
      </c>
      <c r="AY31" s="61">
        <f>1/SUM(1/AY32,1/AY33,1/AY34,1/AY35,1/AY36,1/AY37,1/AY38,1/AY41,1/AY44)</f>
        <v>10148961.770098576</v>
      </c>
      <c r="AZ31" s="61">
        <f>1/SUM(1/AZ32,1/AZ35)</f>
        <v>61837.517667906352</v>
      </c>
      <c r="BA31" s="244">
        <f t="shared" si="5"/>
        <v>0.67875251863548791</v>
      </c>
      <c r="BB31" s="244">
        <f t="shared" si="6"/>
        <v>2.4343430720046809E-7</v>
      </c>
      <c r="BC31" s="244">
        <f t="shared" si="7"/>
        <v>9.8532246219140808E-8</v>
      </c>
      <c r="BD31" s="244">
        <f t="shared" si="8"/>
        <v>1.6171412400000002E-5</v>
      </c>
      <c r="BE31" s="62">
        <f>1/SUM(1/BE32,1/BE33,1/BE34,1/BE35,1/BE36,1/BE37,1/BE38,1/BE39,1/BE40,1/BE41,1/BE42,1/BE43,1/BE44)</f>
        <v>1.4732551911394864</v>
      </c>
      <c r="BF31" s="70"/>
      <c r="BG31" s="70"/>
      <c r="BH31" s="70"/>
      <c r="BI31" s="70"/>
      <c r="BJ31" s="47">
        <f>IFERROR(IF(SUM(BF32:BF44)&gt;0.01,1-EXP(-SUM(BF32:BF44)),SUM(BF32:BF44)),".")</f>
        <v>3.3937625931774399E-5</v>
      </c>
      <c r="BK31" s="47">
        <f>IFERROR(IF(SUM(BG32:BG44)&gt;0.01,1-EXP(-SUM(BG32:BG44)),SUM(BG32:BG44)),".")</f>
        <v>1.2171715360023406E-11</v>
      </c>
      <c r="BL31" s="47">
        <f>IFERROR(IF(SUM(BH32:BH44)&gt;0.01,1-EXP(-SUM(BH32:BH44)),SUM(BH32:BH44)),".")</f>
        <v>4.926612310957039E-12</v>
      </c>
      <c r="BM31" s="47">
        <f>IFERROR(IF(SUM(BI32:BI44)&gt;0.01,1-EXP(-SUM(BI32:BI44)),SUM(BI32:BI44)),".")</f>
        <v>8.0857062E-10</v>
      </c>
      <c r="BN31" s="47">
        <f>IFERROR(IF(SUM(BF32:BG44)&gt;0.01,1-EXP(-SUM(BF32:BG44)),SUM(BF32:BG44)),".")</f>
        <v>3.3937638103489763E-5</v>
      </c>
      <c r="BO31" s="61">
        <f>1/SUM(1/BO32,1/BO33,1/BO34,1/BO35,1/BO36,1/BO37,1/BO38,1/BO41,1/BO44)</f>
        <v>8.749754314880974</v>
      </c>
      <c r="BP31" s="61">
        <f>1/SUM(1/BP32,1/BP33,1/BP34,1/BP35,1/BP36,1/BP37,1/BP38,1/BP41,1/BP44)</f>
        <v>8.749754314880974</v>
      </c>
      <c r="BQ31" s="70"/>
      <c r="BR31" s="70"/>
      <c r="BS31" s="47">
        <f>IFERROR(IF(SUM(BQ32:BQ44)&gt;0.01,1-EXP(-SUM(BQ32:BQ44)),SUM(BQ32:BQ44)),".")</f>
        <v>5.7144461662155994E-6</v>
      </c>
      <c r="BT31" s="47">
        <f t="shared" ref="BT31" si="27">IFERROR(IF(SUM(BR32:BR44)&gt;0.01,1-EXP(-SUM(BR32:BR44)),SUM(BR32:BR44)),".")</f>
        <v>5.7144461662155994E-6</v>
      </c>
    </row>
    <row r="32" spans="1:72" x14ac:dyDescent="0.25">
      <c r="A32" s="48" t="s">
        <v>1099</v>
      </c>
      <c r="B32" s="15">
        <v>1</v>
      </c>
      <c r="C32" s="42"/>
      <c r="D32" s="60">
        <f>IFERROR(D3/$B32,0)</f>
        <v>897.04361336343834</v>
      </c>
      <c r="E32" s="60">
        <f>IFERROR(E3/$B32,0)</f>
        <v>40937.887986145884</v>
      </c>
      <c r="F32" s="60">
        <f>IFERROR(F3/$B32,0)</f>
        <v>4008334.5258403104</v>
      </c>
      <c r="G32" s="63">
        <f>IFERROR(G3/$B32,0)</f>
        <v>17014.822212444142</v>
      </c>
      <c r="H32" s="63">
        <f>IFERROR(H3/$B32,0)</f>
        <v>1417.901851037012</v>
      </c>
      <c r="I32" s="244">
        <f t="shared" si="13"/>
        <v>1.1147729999999997E-3</v>
      </c>
      <c r="J32" s="244">
        <f t="shared" si="14"/>
        <v>2.4427249406183777E-5</v>
      </c>
      <c r="K32" s="244">
        <f t="shared" si="15"/>
        <v>2.4948017525816641E-7</v>
      </c>
      <c r="L32" s="244">
        <f t="shared" si="16"/>
        <v>5.8772286158160934E-5</v>
      </c>
      <c r="M32" s="244">
        <f t="shared" si="17"/>
        <v>7.0526743389793113E-4</v>
      </c>
      <c r="N32" s="63">
        <f t="shared" si="18"/>
        <v>525.35095489519108</v>
      </c>
      <c r="O32" s="71">
        <f>IFERROR(s_RadSpec!$E$3*O3,".")*$B$32</f>
        <v>5.5738649999999995E-8</v>
      </c>
      <c r="P32" s="71">
        <f>IFERROR(s_RadSpec!$F$3*P3,".")*B32</f>
        <v>1.2213624703091888E-9</v>
      </c>
      <c r="Q32" s="71">
        <f>IFERROR(s_RadSpec!$G$3*Q3,".")*B32</f>
        <v>1.2474008762908319E-11</v>
      </c>
      <c r="R32" s="71">
        <f>IFERROR(s_RadSpec!$H$3*R3,".")*$B$32</f>
        <v>2.9386143079080458E-9</v>
      </c>
      <c r="S32" s="71">
        <f>IFERROR(s_RadSpec!$H$3*S3,".")*$B$32</f>
        <v>3.5263371694896551E-8</v>
      </c>
      <c r="T32" s="49">
        <f t="shared" ref="T32:T44" si="28">IFERROR(IF(O32&gt;0.01,1-EXP(-O32),O32),".")</f>
        <v>5.5738649999999995E-8</v>
      </c>
      <c r="U32" s="49">
        <f t="shared" ref="U32:U44" si="29">IFERROR(IF(P32&gt;0.01,1-EXP(-P32),P32),".")</f>
        <v>1.2213624703091888E-9</v>
      </c>
      <c r="V32" s="49">
        <f t="shared" ref="V32:V44" si="30">IFERROR(IF(Q32&gt;0.01,1-EXP(-Q32),Q32),".")</f>
        <v>1.2474008762908319E-11</v>
      </c>
      <c r="W32" s="49">
        <f t="shared" ref="W32:W44" si="31">IFERROR(IF(R32&gt;0.01,1-EXP(-R32),R32),".")</f>
        <v>2.9386143079080458E-9</v>
      </c>
      <c r="X32" s="49">
        <f t="shared" ref="X32:X44" si="32">IFERROR(IF(S32&gt;0.01,1-EXP(-S32),S32),".")</f>
        <v>3.5263371694896551E-8</v>
      </c>
      <c r="Y32" s="49">
        <f>IFERROR(IF(SUM(O32:S32)&gt;0.01,1-EXP(-SUM(O32:S32)),SUM(O32:S32)),".")</f>
        <v>9.5174472481876694E-8</v>
      </c>
      <c r="Z32" s="60">
        <f>IFERROR(Z3/$B32,0)</f>
        <v>4008334.5258403104</v>
      </c>
      <c r="AA32" s="60">
        <f>IFERROR(AA3/$B32,0)</f>
        <v>11307474.982238051</v>
      </c>
      <c r="AB32" s="60">
        <f>IFERROR(AB3/$B32,0)</f>
        <v>4573649.5043918435</v>
      </c>
      <c r="AC32" s="60">
        <f>IFERROR(AC3/$B32,0)</f>
        <v>4392333.1431488255</v>
      </c>
      <c r="AD32" s="60">
        <f>IFERROR(AD3/$B32,0)</f>
        <v>12907592.694386944</v>
      </c>
      <c r="AE32" s="71">
        <f>IFERROR(s_RadSpec!$G$3*AE3,".")*$B$32</f>
        <v>1.2474008762908319E-11</v>
      </c>
      <c r="AF32" s="71">
        <f>IFERROR(s_RadSpec!$N$3*AF3,".")*$B$32</f>
        <v>4.4218536922293222E-12</v>
      </c>
      <c r="AG32" s="71">
        <f>IFERROR(s_RadSpec!$O$3*AG3,".")*$B$32</f>
        <v>1.0932188824698424E-11</v>
      </c>
      <c r="AH32" s="71">
        <f>IFERROR(s_RadSpec!$P$3*AH3,".")*$B$32</f>
        <v>1.138347169271305E-11</v>
      </c>
      <c r="AI32" s="71">
        <f>IFERROR(s_RadSpec!$L$3*AI3,".")*$B$32</f>
        <v>3.8736890126493724E-12</v>
      </c>
      <c r="AJ32" s="49">
        <f>IFERROR(IF(AE32&gt;0.01,1-EXP(-AE32),AE32),".")</f>
        <v>1.2474008762908319E-11</v>
      </c>
      <c r="AK32" s="49">
        <f t="shared" ref="AK32:AN44" si="33">IFERROR(IF(AF32&gt;0.01,1-EXP(-AF32),AF32),".")</f>
        <v>4.4218536922293222E-12</v>
      </c>
      <c r="AL32" s="49">
        <f t="shared" si="33"/>
        <v>1.0932188824698424E-11</v>
      </c>
      <c r="AM32" s="49">
        <f t="shared" si="33"/>
        <v>1.138347169271305E-11</v>
      </c>
      <c r="AN32" s="49">
        <f t="shared" si="33"/>
        <v>3.8736890126493724E-12</v>
      </c>
      <c r="AO32" s="60">
        <f>IFERROR(AO3/$B32,0)</f>
        <v>0.13214130861189685</v>
      </c>
      <c r="AP32" s="60">
        <f>IFERROR(AP3/$B32,0)</f>
        <v>548920.35110099148</v>
      </c>
      <c r="AQ32" s="60">
        <f t="shared" ref="AQ32:AQ38" si="34">IFERROR(IF(AND(AO32&lt;&gt;0,AP32&lt;&gt;0),1/((1/AO32)+(1/AP32)),IF(AND(AO32&lt;&gt;0,AP32=0),1/((1/AO32)),IF(AND(AO32=0,AP32&lt;&gt;0),1/((1/AP32)),IF(AND(AO32=".",AP32="."),".")))),".")</f>
        <v>0.13214127680159651</v>
      </c>
      <c r="AR32" s="71">
        <f>IFERROR(s_RadSpec!$F$3*AR3,".")*$B$32</f>
        <v>3.7838281249999998E-4</v>
      </c>
      <c r="AS32" s="71">
        <f>IFERROR(s_RadSpec!$K$3*AS3,".")*$B$32</f>
        <v>9.1087896267123289E-11</v>
      </c>
      <c r="AT32" s="49">
        <f>IFERROR(IF(AR32&gt;0.01,1-EXP(-AR32),AR32),".")</f>
        <v>3.7838281249999998E-4</v>
      </c>
      <c r="AU32" s="49">
        <f>IFERROR(IF(AS32&gt;0.01,1-EXP(-AS32),AS32),".")</f>
        <v>9.1087896267123289E-11</v>
      </c>
      <c r="AV32" s="49">
        <f>IFERROR(IF(SUM(AR32:AS32)&gt;0.01,1-EXP(-SUM(AR32:AS32)),SUM(AR32:AS32)),".")</f>
        <v>3.7838290358789626E-4</v>
      </c>
      <c r="AW32" s="60">
        <f>IFERROR(AW3/$B32,0)</f>
        <v>10.96876096876097</v>
      </c>
      <c r="AX32" s="60">
        <f>IFERROR(AX3/$B32,0)</f>
        <v>150892375.27499598</v>
      </c>
      <c r="AY32" s="63">
        <f>IFERROR(AY3/$B32,0)</f>
        <v>68061009.889264733</v>
      </c>
      <c r="AZ32" s="63">
        <f>IFERROR(AZ3/$B32,0)</f>
        <v>5671750.8241053931</v>
      </c>
      <c r="BA32" s="244">
        <f>IFERROR(1/AW32,0)</f>
        <v>9.1167999999999985E-2</v>
      </c>
      <c r="BB32" s="244">
        <f t="shared" ref="BB32:BD32" si="35">IFERROR(1/AX32,0)</f>
        <v>6.6272400986301368E-9</v>
      </c>
      <c r="BC32" s="244">
        <f t="shared" si="35"/>
        <v>1.4692700000000002E-8</v>
      </c>
      <c r="BD32" s="244">
        <f t="shared" si="35"/>
        <v>1.7631240000000005E-7</v>
      </c>
      <c r="BE32" s="63">
        <f>IFERROR(1/SUM(BA32:BD32),0)</f>
        <v>10.968737190931041</v>
      </c>
      <c r="BF32" s="71">
        <f>IFERROR(s_RadSpec!$I$3*BF3,".")*$B$32</f>
        <v>4.5583999999999994E-6</v>
      </c>
      <c r="BG32" s="71">
        <f>IFERROR(s_RadSpec!$M$3*BG3,".")*$B$32</f>
        <v>3.3136200493150683E-13</v>
      </c>
      <c r="BH32" s="71">
        <f>IFERROR(s_RadSpec!$H$3*BH3,".")*$B$32</f>
        <v>7.3463500000000013E-13</v>
      </c>
      <c r="BI32" s="71">
        <f>IFERROR(s_RadSpec!$H$3*BI3,".")*$B$32</f>
        <v>8.8156200000000016E-12</v>
      </c>
      <c r="BJ32" s="49">
        <f t="shared" ref="BJ32:BJ44" si="36">IFERROR(IF(BF32&gt;0.01,1-EXP(-BF32),BF32),".")</f>
        <v>4.5583999999999994E-6</v>
      </c>
      <c r="BK32" s="49">
        <f t="shared" ref="BK32:BK44" si="37">IFERROR(IF(BG32&gt;0.01,1-EXP(-BG32),BG32),".")</f>
        <v>3.3136200493150683E-13</v>
      </c>
      <c r="BL32" s="49">
        <f t="shared" ref="BL32:BL44" si="38">IFERROR(IF(BH32&gt;0.01,1-EXP(-BH32),BH32),".")</f>
        <v>7.3463500000000013E-13</v>
      </c>
      <c r="BM32" s="49">
        <f t="shared" ref="BM32:BM44" si="39">IFERROR(IF(BI32&gt;0.01,1-EXP(-BI32),BI32),".")</f>
        <v>8.8156200000000016E-12</v>
      </c>
      <c r="BN32" s="49">
        <f t="shared" ref="BN32:BN44" si="40">IFERROR(IF(SUM(BF32:BG32)&gt;0.01,1-EXP(-SUM(BF32:BG32)),SUM(BF32:BG32)),".")</f>
        <v>4.558400331362004E-6</v>
      </c>
      <c r="BO32" s="63">
        <f t="shared" ref="BO32:BP32" si="41">IFERROR(BO3/$B32,0)</f>
        <v>68.061009889264724</v>
      </c>
      <c r="BP32" s="63">
        <f t="shared" si="41"/>
        <v>68.061009889264724</v>
      </c>
      <c r="BQ32" s="71">
        <f>IFERROR(s_RadSpec!$H$3*BQ3,".")*$B$32</f>
        <v>7.3463500000000004E-7</v>
      </c>
      <c r="BR32" s="71">
        <f>IFERROR(s_RadSpec!$H$3*BR3,".")*$B$32</f>
        <v>7.3463500000000004E-7</v>
      </c>
      <c r="BS32" s="49">
        <f t="shared" ref="BS32:BS44" si="42">IFERROR(IF(BQ32&gt;0.01,1-EXP(-BQ32),BQ32),".")</f>
        <v>7.3463500000000004E-7</v>
      </c>
      <c r="BT32" s="49">
        <f t="shared" ref="BT32:BT44" si="43">IFERROR(IF(BR32&gt;0.01,1-EXP(-BR32),BR32),".")</f>
        <v>7.3463500000000004E-7</v>
      </c>
    </row>
    <row r="33" spans="1:72" x14ac:dyDescent="0.25">
      <c r="A33" s="48" t="s">
        <v>1075</v>
      </c>
      <c r="B33" s="15">
        <v>1</v>
      </c>
      <c r="C33" s="42"/>
      <c r="D33" s="60">
        <f t="shared" ref="D33:F34" si="44">IFERROR(D13/$B33,0)</f>
        <v>1325.6015414094722</v>
      </c>
      <c r="E33" s="60">
        <f t="shared" si="44"/>
        <v>53879.542897895233</v>
      </c>
      <c r="F33" s="60">
        <f t="shared" si="44"/>
        <v>52962.293819483144</v>
      </c>
      <c r="G33" s="63">
        <f>IFERROR(G13/$B33,0)</f>
        <v>136653.99878024458</v>
      </c>
      <c r="H33" s="63">
        <f>IFERROR(H13/$B33,0)</f>
        <v>0</v>
      </c>
      <c r="I33" s="244">
        <f t="shared" si="13"/>
        <v>7.543745000000001E-4</v>
      </c>
      <c r="J33" s="244">
        <f t="shared" si="14"/>
        <v>1.8559919891953358E-5</v>
      </c>
      <c r="K33" s="244">
        <f t="shared" si="15"/>
        <v>1.888135743154183E-5</v>
      </c>
      <c r="L33" s="244">
        <f t="shared" si="16"/>
        <v>7.3177514666666687E-6</v>
      </c>
      <c r="M33" s="244">
        <f t="shared" si="17"/>
        <v>0</v>
      </c>
      <c r="N33" s="63">
        <f t="shared" si="18"/>
        <v>1251.3553292075449</v>
      </c>
      <c r="O33" s="71">
        <f>IFERROR(s_RadSpec!$E$13*O13,".")*$B$33</f>
        <v>3.7718725000000003E-8</v>
      </c>
      <c r="P33" s="71">
        <f>IFERROR(s_RadSpec!$F$13*P13,".")*B33</f>
        <v>9.2799599459766788E-10</v>
      </c>
      <c r="Q33" s="71">
        <f>IFERROR(s_RadSpec!$G$13*Q13,".")*B33</f>
        <v>9.4406787157709165E-10</v>
      </c>
      <c r="R33" s="71">
        <f>IFERROR(s_RadSpec!$H$13*R13,".")*$B$33</f>
        <v>3.658875733333334E-10</v>
      </c>
      <c r="S33" s="71">
        <f>IFERROR(s_RadSpec!$H$13*S13,".")*$B$33</f>
        <v>0</v>
      </c>
      <c r="T33" s="49">
        <f t="shared" si="28"/>
        <v>3.7718725000000003E-8</v>
      </c>
      <c r="U33" s="49">
        <f t="shared" si="29"/>
        <v>9.2799599459766788E-10</v>
      </c>
      <c r="V33" s="49">
        <f t="shared" si="30"/>
        <v>9.4406787157709165E-10</v>
      </c>
      <c r="W33" s="49">
        <f t="shared" si="31"/>
        <v>3.658875733333334E-10</v>
      </c>
      <c r="X33" s="49">
        <f t="shared" si="32"/>
        <v>0</v>
      </c>
      <c r="Y33" s="49">
        <f t="shared" ref="Y33:Y76" si="45">IFERROR(IF(SUM(O33:S33)&gt;0.01,1-EXP(-SUM(O33:S33)),SUM(O33:S33)),".")</f>
        <v>3.9956676439508099E-8</v>
      </c>
      <c r="Z33" s="60">
        <f t="shared" ref="Z33:AD34" si="46">IFERROR(Z13/$B33,0)</f>
        <v>52962.293819483144</v>
      </c>
      <c r="AA33" s="60">
        <f t="shared" si="46"/>
        <v>344321.15228614345</v>
      </c>
      <c r="AB33" s="60">
        <f t="shared" si="46"/>
        <v>85965.587252885904</v>
      </c>
      <c r="AC33" s="60">
        <f t="shared" si="46"/>
        <v>56901.724804873505</v>
      </c>
      <c r="AD33" s="60">
        <f t="shared" si="46"/>
        <v>2734674.8104980662</v>
      </c>
      <c r="AE33" s="71">
        <f>IFERROR(s_RadSpec!$G$13*AE13,".")*$B$33</f>
        <v>9.4406787157709165E-10</v>
      </c>
      <c r="AF33" s="71">
        <f>IFERROR(s_RadSpec!$N$13*AF13,".")*$B$33</f>
        <v>1.4521326868251237E-10</v>
      </c>
      <c r="AG33" s="71">
        <f>IFERROR(s_RadSpec!$O$13*AG13,".")*$B$33</f>
        <v>5.8162808628194976E-10</v>
      </c>
      <c r="AH33" s="71">
        <f>IFERROR(s_RadSpec!$P$13*AH13,".")*$B$33</f>
        <v>8.7870798594347009E-10</v>
      </c>
      <c r="AI33" s="71">
        <f>IFERROR(s_RadSpec!$L$13*AI13,".")*$B$33</f>
        <v>1.8283709568704994E-11</v>
      </c>
      <c r="AJ33" s="49">
        <f t="shared" ref="AJ33:AJ44" si="47">IFERROR(IF(AE33&gt;0.01,1-EXP(-AE33),AE33),".")</f>
        <v>9.4406787157709165E-10</v>
      </c>
      <c r="AK33" s="49">
        <f t="shared" si="33"/>
        <v>1.4521326868251237E-10</v>
      </c>
      <c r="AL33" s="49">
        <f t="shared" si="33"/>
        <v>5.8162808628194976E-10</v>
      </c>
      <c r="AM33" s="49">
        <f t="shared" si="33"/>
        <v>8.7870798594347009E-10</v>
      </c>
      <c r="AN33" s="49">
        <f t="shared" si="33"/>
        <v>1.8283709568704994E-11</v>
      </c>
      <c r="AO33" s="60">
        <f>IFERROR(AO13/$B33,0)</f>
        <v>0.17391501262469006</v>
      </c>
      <c r="AP33" s="60">
        <f>IFERROR(AP13/$B33,0)</f>
        <v>415241.11795615341</v>
      </c>
      <c r="AQ33" s="60">
        <f t="shared" si="34"/>
        <v>0.17391493978407377</v>
      </c>
      <c r="AR33" s="71">
        <f>IFERROR(s_RadSpec!$F$13*AR13,".")*$B$33</f>
        <v>2.8749674479166664E-4</v>
      </c>
      <c r="AS33" s="71">
        <f>IFERROR(s_RadSpec!$K$13*AS13,".")*$B$33</f>
        <v>1.204119675E-10</v>
      </c>
      <c r="AT33" s="49">
        <f t="shared" ref="AT33:AU44" si="48">IFERROR(IF(AR33&gt;0.01,1-EXP(-AR33),AR33),".")</f>
        <v>2.8749674479166664E-4</v>
      </c>
      <c r="AU33" s="49">
        <f t="shared" si="48"/>
        <v>1.204119675E-10</v>
      </c>
      <c r="AV33" s="49">
        <f t="shared" ref="AV33:AV44" si="49">IFERROR(IF(SUM(AR33:AS33)&gt;0.01,1-EXP(-SUM(AR33:AS33)),SUM(AR33:AS33)),".")</f>
        <v>2.8749686520363415E-4</v>
      </c>
      <c r="AW33" s="60">
        <f t="shared" ref="AW33:AX34" si="50">IFERROR(AW13/$B33,0)</f>
        <v>18.281268281268286</v>
      </c>
      <c r="AX33" s="60">
        <f t="shared" si="50"/>
        <v>115992098.00050713</v>
      </c>
      <c r="AY33" s="63">
        <f>IFERROR(AY13/$B33,0)</f>
        <v>548438048.43804836</v>
      </c>
      <c r="AZ33" s="63">
        <f>IFERROR(AZ13/$B33,0)</f>
        <v>0</v>
      </c>
      <c r="BA33" s="244">
        <f t="shared" ref="BA33:BA76" si="51">IFERROR(1/AW33,0)</f>
        <v>5.4700799999999987E-2</v>
      </c>
      <c r="BB33" s="244">
        <f t="shared" ref="BB33:BB76" si="52">IFERROR(1/AX33,0)</f>
        <v>8.6212769424657525E-9</v>
      </c>
      <c r="BC33" s="244">
        <f t="shared" ref="BC33:BC76" si="53">IFERROR(1/AY33,0)</f>
        <v>1.8233600000000002E-9</v>
      </c>
      <c r="BD33" s="244">
        <f t="shared" ref="BD33:BD76" si="54">IFERROR(1/AZ33,0)</f>
        <v>0</v>
      </c>
      <c r="BE33" s="63">
        <f t="shared" si="19"/>
        <v>18.281264790621467</v>
      </c>
      <c r="BF33" s="71">
        <f>IFERROR(s_RadSpec!$I$13*BF13,".")*$B$33</f>
        <v>2.7350399999999999E-6</v>
      </c>
      <c r="BG33" s="71">
        <f>IFERROR(s_RadSpec!$M$13*BG13,".")*$B$33</f>
        <v>4.3106384712328765E-13</v>
      </c>
      <c r="BH33" s="71">
        <f>IFERROR(s_RadSpec!$H$13*BH13,".")*$B$33</f>
        <v>9.1167999999999986E-14</v>
      </c>
      <c r="BI33" s="71">
        <f>IFERROR(s_RadSpec!$H$13*BI13,".")*$B$33</f>
        <v>0</v>
      </c>
      <c r="BJ33" s="49">
        <f t="shared" si="36"/>
        <v>2.7350399999999999E-6</v>
      </c>
      <c r="BK33" s="49">
        <f t="shared" si="37"/>
        <v>4.3106384712328765E-13</v>
      </c>
      <c r="BL33" s="49">
        <f t="shared" si="38"/>
        <v>9.1167999999999986E-14</v>
      </c>
      <c r="BM33" s="49">
        <f t="shared" si="39"/>
        <v>0</v>
      </c>
      <c r="BN33" s="49">
        <f t="shared" si="40"/>
        <v>2.7350404310638471E-6</v>
      </c>
      <c r="BO33" s="63">
        <f t="shared" ref="BO33:BP34" si="55">IFERROR(BO13/$B33,0)</f>
        <v>109.68760968760968</v>
      </c>
      <c r="BP33" s="63">
        <f t="shared" si="55"/>
        <v>109.68760968760968</v>
      </c>
      <c r="BQ33" s="71">
        <f>IFERROR(s_RadSpec!$H$13*BQ13,".")*$B$33</f>
        <v>4.5584000000000004E-7</v>
      </c>
      <c r="BR33" s="71">
        <f>IFERROR(s_RadSpec!$H$13*BR13,".")*$B$33</f>
        <v>4.5584000000000004E-7</v>
      </c>
      <c r="BS33" s="49">
        <f t="shared" si="42"/>
        <v>4.5584000000000004E-7</v>
      </c>
      <c r="BT33" s="49">
        <f t="shared" si="43"/>
        <v>4.5584000000000004E-7</v>
      </c>
    </row>
    <row r="34" spans="1:72" x14ac:dyDescent="0.25">
      <c r="A34" s="48" t="s">
        <v>1076</v>
      </c>
      <c r="B34" s="15">
        <v>1</v>
      </c>
      <c r="C34" s="42"/>
      <c r="D34" s="60">
        <f t="shared" si="44"/>
        <v>10038.82515629196</v>
      </c>
      <c r="E34" s="60">
        <f t="shared" si="44"/>
        <v>101105679.77207945</v>
      </c>
      <c r="F34" s="60">
        <f t="shared" si="44"/>
        <v>511.93253233970188</v>
      </c>
      <c r="G34" s="63">
        <f>IFERROR(G14/$B34,0)</f>
        <v>23074778.897468604</v>
      </c>
      <c r="H34" s="63">
        <f>IFERROR(H14/$B34,0)</f>
        <v>0</v>
      </c>
      <c r="I34" s="244">
        <f t="shared" si="13"/>
        <v>9.961325E-5</v>
      </c>
      <c r="J34" s="244">
        <f t="shared" si="14"/>
        <v>9.8906411811312712E-9</v>
      </c>
      <c r="K34" s="244">
        <f t="shared" si="15"/>
        <v>1.9533824026179143E-3</v>
      </c>
      <c r="L34" s="244">
        <f t="shared" si="16"/>
        <v>4.3337360000000002E-8</v>
      </c>
      <c r="M34" s="244">
        <f t="shared" si="17"/>
        <v>0</v>
      </c>
      <c r="N34" s="63">
        <f t="shared" si="18"/>
        <v>487.0804633245998</v>
      </c>
      <c r="O34" s="71">
        <f>IFERROR(s_RadSpec!$E$14*O14,".")*$B$34</f>
        <v>4.9806625000000008E-9</v>
      </c>
      <c r="P34" s="71">
        <f>IFERROR(s_RadSpec!$F$14*P14,".")*B33</f>
        <v>4.9453205905656363E-13</v>
      </c>
      <c r="Q34" s="71">
        <f>IFERROR(s_RadSpec!$G$14*Q14,".")*B33</f>
        <v>9.7669120130895718E-8</v>
      </c>
      <c r="R34" s="71">
        <f>IFERROR(s_RadSpec!$H$14*R14,".")*$B$34</f>
        <v>2.1668680000000001E-12</v>
      </c>
      <c r="S34" s="71">
        <f>IFERROR(s_RadSpec!$H$14*S14,".")*$B$34</f>
        <v>0</v>
      </c>
      <c r="T34" s="49">
        <f t="shared" si="28"/>
        <v>4.9806625000000008E-9</v>
      </c>
      <c r="U34" s="49">
        <f t="shared" si="29"/>
        <v>4.9453205905656363E-13</v>
      </c>
      <c r="V34" s="49">
        <f t="shared" si="30"/>
        <v>9.7669120130895718E-8</v>
      </c>
      <c r="W34" s="49">
        <f t="shared" si="31"/>
        <v>2.1668680000000001E-12</v>
      </c>
      <c r="X34" s="49">
        <f t="shared" si="32"/>
        <v>0</v>
      </c>
      <c r="Y34" s="49">
        <f t="shared" si="45"/>
        <v>1.0265244403095477E-7</v>
      </c>
      <c r="Z34" s="60">
        <f t="shared" si="46"/>
        <v>511.93253233970188</v>
      </c>
      <c r="AA34" s="60">
        <f t="shared" si="46"/>
        <v>3919.4180488247334</v>
      </c>
      <c r="AB34" s="60">
        <f t="shared" si="46"/>
        <v>1055.6260049413058</v>
      </c>
      <c r="AC34" s="60">
        <f t="shared" si="46"/>
        <v>636.58769357939536</v>
      </c>
      <c r="AD34" s="60">
        <f t="shared" si="46"/>
        <v>11085.671084088766</v>
      </c>
      <c r="AE34" s="71">
        <f>IFERROR(s_RadSpec!$G$14*AE14,".")*$B$33</f>
        <v>9.7669120130895718E-8</v>
      </c>
      <c r="AF34" s="71">
        <f>IFERROR(s_RadSpec!$N$14*AF14,".")*$B$33</f>
        <v>1.2756995905295906E-8</v>
      </c>
      <c r="AG34" s="71">
        <f>IFERROR(s_RadSpec!$O$14*AG14,".")*$B$33</f>
        <v>4.7365259823037497E-8</v>
      </c>
      <c r="AH34" s="71">
        <f>IFERROR(s_RadSpec!$P$14*AH14,".")*$B$33</f>
        <v>7.8543774101036703E-8</v>
      </c>
      <c r="AI34" s="71">
        <f>IFERROR(s_RadSpec!$L$14*AI14,".")*$B$33</f>
        <v>4.5103268553371442E-9</v>
      </c>
      <c r="AJ34" s="49">
        <f t="shared" si="47"/>
        <v>9.7669120130895718E-8</v>
      </c>
      <c r="AK34" s="49">
        <f t="shared" si="33"/>
        <v>1.2756995905295906E-8</v>
      </c>
      <c r="AL34" s="49">
        <f t="shared" si="33"/>
        <v>4.7365259823037497E-8</v>
      </c>
      <c r="AM34" s="49">
        <f t="shared" si="33"/>
        <v>7.8543774101036703E-8</v>
      </c>
      <c r="AN34" s="49">
        <f t="shared" si="33"/>
        <v>4.5103268553371442E-9</v>
      </c>
      <c r="AO34" s="60">
        <f>IFERROR(AO14/$B34,0)</f>
        <v>326.3538372497211</v>
      </c>
      <c r="AP34" s="60">
        <f>IFERROR(AP14/$B34,0)</f>
        <v>37320.576538603658</v>
      </c>
      <c r="AQ34" s="60">
        <f t="shared" si="34"/>
        <v>323.52474000263368</v>
      </c>
      <c r="AR34" s="71">
        <f>IFERROR(s_RadSpec!$F$14*AR14,".")*$B$33</f>
        <v>1.5320794270833332E-7</v>
      </c>
      <c r="AS34" s="71">
        <f>IFERROR(s_RadSpec!$K$14*AS14,".")*$B$33</f>
        <v>1.3397435044520548E-9</v>
      </c>
      <c r="AT34" s="49">
        <f t="shared" si="48"/>
        <v>1.5320794270833332E-7</v>
      </c>
      <c r="AU34" s="49">
        <f t="shared" si="48"/>
        <v>1.3397435044520548E-9</v>
      </c>
      <c r="AV34" s="49">
        <f t="shared" si="49"/>
        <v>1.5454768621278538E-7</v>
      </c>
      <c r="AW34" s="60">
        <f t="shared" si="50"/>
        <v>185.01524525620911</v>
      </c>
      <c r="AX34" s="60">
        <f t="shared" si="50"/>
        <v>10656774.003796592</v>
      </c>
      <c r="AY34" s="63">
        <f>IFERROR(AY14/$B34,0)</f>
        <v>101529027148.86186</v>
      </c>
      <c r="AZ34" s="63">
        <f>IFERROR(AZ14/$B34,0)</f>
        <v>0</v>
      </c>
      <c r="BA34" s="244">
        <f t="shared" si="51"/>
        <v>5.4049600000000003E-3</v>
      </c>
      <c r="BB34" s="244">
        <f t="shared" si="52"/>
        <v>9.3837027945205469E-8</v>
      </c>
      <c r="BC34" s="244">
        <f t="shared" si="53"/>
        <v>9.8493999999999996E-12</v>
      </c>
      <c r="BD34" s="244">
        <f t="shared" si="54"/>
        <v>0</v>
      </c>
      <c r="BE34" s="63">
        <f t="shared" si="19"/>
        <v>185.01203287322082</v>
      </c>
      <c r="BF34" s="71">
        <f>IFERROR(s_RadSpec!$I$14*BF14,".")*$B$34</f>
        <v>2.7024800000000003E-7</v>
      </c>
      <c r="BG34" s="71">
        <f>IFERROR(s_RadSpec!$M$14*BG14,".")*$B$34</f>
        <v>4.6918513972602732E-12</v>
      </c>
      <c r="BH34" s="71">
        <f>IFERROR(s_RadSpec!$H$14*BH14,".")*$B$34</f>
        <v>4.9246999999999999E-16</v>
      </c>
      <c r="BI34" s="71">
        <f>IFERROR(s_RadSpec!$H$14*BI14,".")*$B$34</f>
        <v>0</v>
      </c>
      <c r="BJ34" s="49">
        <f t="shared" si="36"/>
        <v>2.7024800000000003E-7</v>
      </c>
      <c r="BK34" s="49">
        <f t="shared" si="37"/>
        <v>4.6918513972602732E-12</v>
      </c>
      <c r="BL34" s="49">
        <f t="shared" si="38"/>
        <v>4.9246999999999999E-16</v>
      </c>
      <c r="BM34" s="49">
        <f t="shared" si="39"/>
        <v>0</v>
      </c>
      <c r="BN34" s="49">
        <f t="shared" si="40"/>
        <v>2.7025269185139728E-7</v>
      </c>
      <c r="BO34" s="63">
        <f t="shared" si="55"/>
        <v>1015.2902714886187</v>
      </c>
      <c r="BP34" s="63">
        <f t="shared" si="55"/>
        <v>1015.2902714886187</v>
      </c>
      <c r="BQ34" s="71">
        <f>IFERROR(s_RadSpec!$H$14*BQ14,".")*$B$34</f>
        <v>4.9246999999999998E-8</v>
      </c>
      <c r="BR34" s="71">
        <f>IFERROR(s_RadSpec!$H$14*BR14,".")*$B$34</f>
        <v>4.9246999999999998E-8</v>
      </c>
      <c r="BS34" s="49">
        <f t="shared" si="42"/>
        <v>4.9246999999999998E-8</v>
      </c>
      <c r="BT34" s="49">
        <f t="shared" si="43"/>
        <v>4.9246999999999998E-8</v>
      </c>
    </row>
    <row r="35" spans="1:72" x14ac:dyDescent="0.25">
      <c r="A35" s="48" t="s">
        <v>1077</v>
      </c>
      <c r="B35" s="15">
        <v>1</v>
      </c>
      <c r="C35" s="42"/>
      <c r="D35" s="60">
        <f>IFERROR(D30/$B35,0)</f>
        <v>1100.3145799384044</v>
      </c>
      <c r="E35" s="60">
        <f>IFERROR(E30/$B35,0)</f>
        <v>54583.850648194522</v>
      </c>
      <c r="F35" s="60">
        <f>IFERROR(F30/$B35,0)</f>
        <v>1866539.5080541375</v>
      </c>
      <c r="G35" s="63">
        <f>IFERROR(G30/$B35,0)</f>
        <v>29844.596336613395</v>
      </c>
      <c r="H35" s="63">
        <f>IFERROR(H30/$B35,0)</f>
        <v>15.519190095038965</v>
      </c>
      <c r="I35" s="244">
        <f t="shared" si="13"/>
        <v>9.0883099999999992E-4</v>
      </c>
      <c r="J35" s="244">
        <f t="shared" si="14"/>
        <v>1.8320437054637829E-5</v>
      </c>
      <c r="K35" s="244">
        <f t="shared" si="15"/>
        <v>5.3575078142465752E-7</v>
      </c>
      <c r="L35" s="244">
        <f t="shared" si="16"/>
        <v>3.3506903183448272E-5</v>
      </c>
      <c r="M35" s="244">
        <f t="shared" si="17"/>
        <v>6.4436352275862058E-2</v>
      </c>
      <c r="N35" s="63">
        <f t="shared" si="18"/>
        <v>15.291093558617316</v>
      </c>
      <c r="O35" s="71">
        <f>IFERROR(s_RadSpec!$E$30*O30,".")*$B$35</f>
        <v>4.544155E-8</v>
      </c>
      <c r="P35" s="71">
        <f>IFERROR(s_RadSpec!$F$30*P30,".")*B35</f>
        <v>9.1602185273189154E-10</v>
      </c>
      <c r="Q35" s="71">
        <f>IFERROR(s_RadSpec!$G$30*Q30,".")*B35</f>
        <v>2.6787539071232881E-11</v>
      </c>
      <c r="R35" s="71">
        <f>IFERROR(s_RadSpec!$H$30*R30,".")*$B$35</f>
        <v>1.6753451591724138E-9</v>
      </c>
      <c r="S35" s="71">
        <f>IFERROR(s_RadSpec!$H$30*S30,".")*$B$35</f>
        <v>3.2218176137931033E-6</v>
      </c>
      <c r="T35" s="49">
        <f t="shared" si="28"/>
        <v>4.544155E-8</v>
      </c>
      <c r="U35" s="49">
        <f t="shared" si="29"/>
        <v>9.1602185273189154E-10</v>
      </c>
      <c r="V35" s="49">
        <f t="shared" si="30"/>
        <v>2.6787539071232881E-11</v>
      </c>
      <c r="W35" s="49">
        <f t="shared" si="31"/>
        <v>1.6753451591724138E-9</v>
      </c>
      <c r="X35" s="49">
        <f t="shared" si="32"/>
        <v>3.2218176137931033E-6</v>
      </c>
      <c r="Y35" s="49">
        <f t="shared" si="45"/>
        <v>3.2698773183440787E-6</v>
      </c>
      <c r="Z35" s="60">
        <f>IFERROR(Z30/$B35,0)</f>
        <v>1866539.5080541375</v>
      </c>
      <c r="AA35" s="60">
        <f>IFERROR(AA30/$B35,0)</f>
        <v>31355679.431622181</v>
      </c>
      <c r="AB35" s="60">
        <f>IFERROR(AB30/$B35,0)</f>
        <v>4628217.4921841472</v>
      </c>
      <c r="AC35" s="60">
        <f>IFERROR(AC30/$B35,0)</f>
        <v>2536091.1036041267</v>
      </c>
      <c r="AD35" s="60">
        <f>IFERROR(AD30/$B35,0)</f>
        <v>445773553.09998822</v>
      </c>
      <c r="AE35" s="71">
        <f>IFERROR(s_RadSpec!$G$30*AE30,".")*$B$35</f>
        <v>2.6787539071232881E-11</v>
      </c>
      <c r="AF35" s="71">
        <f>IFERROR(s_RadSpec!$N$30*AF30,".")*$B$35</f>
        <v>1.5946074493150686E-12</v>
      </c>
      <c r="AG35" s="71">
        <f>IFERROR(s_RadSpec!$O$30*AG30,".")*$B$35</f>
        <v>1.0803295239352294E-11</v>
      </c>
      <c r="AH35" s="71">
        <f>IFERROR(s_RadSpec!$P$30*AH30,".")*$B$35</f>
        <v>1.9715380070117861E-11</v>
      </c>
      <c r="AI35" s="71">
        <f>IFERROR(s_RadSpec!$L$30*AI30,".")*$B$35</f>
        <v>1.1216457246575343E-13</v>
      </c>
      <c r="AJ35" s="49">
        <f t="shared" si="47"/>
        <v>2.6787539071232881E-11</v>
      </c>
      <c r="AK35" s="49">
        <f t="shared" si="33"/>
        <v>1.5946074493150686E-12</v>
      </c>
      <c r="AL35" s="49">
        <f t="shared" si="33"/>
        <v>1.0803295239352294E-11</v>
      </c>
      <c r="AM35" s="49">
        <f t="shared" si="33"/>
        <v>1.9715380070117861E-11</v>
      </c>
      <c r="AN35" s="49">
        <f t="shared" si="33"/>
        <v>1.1216457246575343E-13</v>
      </c>
      <c r="AO35" s="60">
        <f>IFERROR(AO30/$B35,0)</f>
        <v>0.17618841148252914</v>
      </c>
      <c r="AP35" s="60">
        <f>IFERROR(AP30/$B35,0)</f>
        <v>33974273.287321642</v>
      </c>
      <c r="AQ35" s="60">
        <f t="shared" si="34"/>
        <v>0.17618841056882731</v>
      </c>
      <c r="AR35" s="71">
        <f>IFERROR(s_RadSpec!$F$30*AR30,".")*$B$35</f>
        <v>2.8378710937499997E-4</v>
      </c>
      <c r="AS35" s="71">
        <f>IFERROR(s_RadSpec!$K$30*AS30,".")*$B$35</f>
        <v>1.4717018249999999E-12</v>
      </c>
      <c r="AT35" s="49">
        <f t="shared" si="48"/>
        <v>2.8378710937499997E-4</v>
      </c>
      <c r="AU35" s="49">
        <f t="shared" si="48"/>
        <v>1.4717018249999999E-12</v>
      </c>
      <c r="AV35" s="49">
        <f t="shared" si="49"/>
        <v>2.837871108467018E-4</v>
      </c>
      <c r="AW35" s="60">
        <f>IFERROR(AW30/$B35,0)</f>
        <v>15.831201398211709</v>
      </c>
      <c r="AX35" s="60">
        <f>IFERROR(AX30/$B35,0)</f>
        <v>9525608048.086338</v>
      </c>
      <c r="AY35" s="63">
        <f>IFERROR(AY30/$B35,0)</f>
        <v>120229127.86271565</v>
      </c>
      <c r="AZ35" s="63">
        <f>IFERROR(AZ30/$B35,0)</f>
        <v>62519.146488612132</v>
      </c>
      <c r="BA35" s="244">
        <f t="shared" si="51"/>
        <v>6.3166399999999998E-2</v>
      </c>
      <c r="BB35" s="244">
        <f t="shared" si="52"/>
        <v>1.0498017501369863E-10</v>
      </c>
      <c r="BC35" s="244">
        <f t="shared" si="53"/>
        <v>8.3174519999999995E-9</v>
      </c>
      <c r="BD35" s="244">
        <f t="shared" si="54"/>
        <v>1.5995100000000002E-5</v>
      </c>
      <c r="BE35" s="63">
        <f t="shared" si="19"/>
        <v>15.827191500319573</v>
      </c>
      <c r="BF35" s="71">
        <f>IFERROR(s_RadSpec!$I$30*BF30,".")*$B$35</f>
        <v>3.15832E-6</v>
      </c>
      <c r="BG35" s="71">
        <f>IFERROR(s_RadSpec!$M$30*BG30,".")*$B$35</f>
        <v>5.2490087506849315E-15</v>
      </c>
      <c r="BH35" s="71">
        <f>IFERROR(s_RadSpec!$H$30*BH30,".")*$B$35</f>
        <v>4.1587260000000006E-13</v>
      </c>
      <c r="BI35" s="71">
        <f>IFERROR(s_RadSpec!$H$30*BI30,".")*$B$35</f>
        <v>7.99755E-10</v>
      </c>
      <c r="BJ35" s="49">
        <f t="shared" si="36"/>
        <v>3.15832E-6</v>
      </c>
      <c r="BK35" s="49">
        <f t="shared" si="37"/>
        <v>5.2490087506849315E-15</v>
      </c>
      <c r="BL35" s="49">
        <f t="shared" si="38"/>
        <v>4.1587260000000006E-13</v>
      </c>
      <c r="BM35" s="49">
        <f t="shared" si="39"/>
        <v>7.99755E-10</v>
      </c>
      <c r="BN35" s="49">
        <f t="shared" si="40"/>
        <v>3.1583200052490086E-6</v>
      </c>
      <c r="BO35" s="63">
        <f t="shared" ref="BO35:BP35" si="56">IFERROR(BO30/$B35,0)</f>
        <v>93.778719732918205</v>
      </c>
      <c r="BP35" s="63">
        <f t="shared" si="56"/>
        <v>93.778719732918205</v>
      </c>
      <c r="BQ35" s="71">
        <f>IFERROR(s_RadSpec!$H$30*BQ30,".")*$B$35</f>
        <v>5.3317000000000006E-7</v>
      </c>
      <c r="BR35" s="71">
        <f>IFERROR(s_RadSpec!$H$30*BR30,".")*$B$35</f>
        <v>5.3317000000000006E-7</v>
      </c>
      <c r="BS35" s="49">
        <f t="shared" si="42"/>
        <v>5.3317000000000006E-7</v>
      </c>
      <c r="BT35" s="49">
        <f t="shared" si="43"/>
        <v>5.3317000000000006E-7</v>
      </c>
    </row>
    <row r="36" spans="1:72" x14ac:dyDescent="0.25">
      <c r="A36" s="48" t="s">
        <v>1078</v>
      </c>
      <c r="B36" s="15">
        <v>1</v>
      </c>
      <c r="C36" s="42"/>
      <c r="D36" s="60">
        <f>IFERROR(D26/$B36,0)</f>
        <v>429.54588409133862</v>
      </c>
      <c r="E36" s="60">
        <f>IFERROR(E26/$B36,0)</f>
        <v>8846.7469800569506</v>
      </c>
      <c r="F36" s="60">
        <f>IFERROR(F26/$B36,0)</f>
        <v>6222.4927573188697</v>
      </c>
      <c r="G36" s="63">
        <f>IFERROR(G26/$B36,0)</f>
        <v>16969.579357638544</v>
      </c>
      <c r="H36" s="63">
        <f>IFERROR(H26/$B36,0)</f>
        <v>0</v>
      </c>
      <c r="I36" s="244">
        <f t="shared" si="13"/>
        <v>2.32804E-3</v>
      </c>
      <c r="J36" s="244">
        <f t="shared" si="14"/>
        <v>1.1303589921292884E-4</v>
      </c>
      <c r="K36" s="244">
        <f t="shared" si="15"/>
        <v>1.6070729834499273E-4</v>
      </c>
      <c r="L36" s="244">
        <f t="shared" si="16"/>
        <v>5.892897984827587E-5</v>
      </c>
      <c r="M36" s="244">
        <f t="shared" si="17"/>
        <v>0</v>
      </c>
      <c r="N36" s="63">
        <f t="shared" si="18"/>
        <v>375.83922398357743</v>
      </c>
      <c r="O36" s="71">
        <f>IFERROR(s_RadSpec!$E$26*O26,".")*$B$37</f>
        <v>1.16402E-7</v>
      </c>
      <c r="P36" s="71">
        <f>IFERROR(s_RadSpec!$F$26*P26,".")*B37</f>
        <v>5.6517949606464422E-9</v>
      </c>
      <c r="Q36" s="71">
        <f>IFERROR(s_RadSpec!$G$26*Q26,".")*B37</f>
        <v>8.0353649172496384E-9</v>
      </c>
      <c r="R36" s="71">
        <f>IFERROR(s_RadSpec!$H$26*R26,".")*$B$37</f>
        <v>2.9464489924137934E-9</v>
      </c>
      <c r="S36" s="71">
        <f>IFERROR(s_RadSpec!$H$26*S26,".")*$B$37</f>
        <v>0</v>
      </c>
      <c r="T36" s="49">
        <f t="shared" si="28"/>
        <v>1.16402E-7</v>
      </c>
      <c r="U36" s="49">
        <f t="shared" si="29"/>
        <v>5.6517949606464422E-9</v>
      </c>
      <c r="V36" s="49">
        <f t="shared" si="30"/>
        <v>8.0353649172496384E-9</v>
      </c>
      <c r="W36" s="49">
        <f t="shared" si="31"/>
        <v>2.9464489924137934E-9</v>
      </c>
      <c r="X36" s="49">
        <f t="shared" si="32"/>
        <v>0</v>
      </c>
      <c r="Y36" s="49">
        <f t="shared" si="45"/>
        <v>1.3303560887030984E-7</v>
      </c>
      <c r="Z36" s="60">
        <f>IFERROR(Z26/$B36,0)</f>
        <v>6222.4927573188697</v>
      </c>
      <c r="AA36" s="60">
        <f>IFERROR(AA26/$B36,0)</f>
        <v>37659.890904493994</v>
      </c>
      <c r="AB36" s="60">
        <f>IFERROR(AB26/$B36,0)</f>
        <v>10791.063407108235</v>
      </c>
      <c r="AC36" s="60">
        <f>IFERROR(AC26/$B36,0)</f>
        <v>7097.7174226243296</v>
      </c>
      <c r="AD36" s="60">
        <f>IFERROR(AD26/$B36,0)</f>
        <v>209794.7011852313</v>
      </c>
      <c r="AE36" s="71">
        <f>IFERROR(s_RadSpec!$G$26*AE26,".")*$B$37</f>
        <v>8.0353649172496384E-9</v>
      </c>
      <c r="AF36" s="71">
        <f>IFERROR(s_RadSpec!$N$26*AF26,".")*$B$37</f>
        <v>1.3276724599866926E-9</v>
      </c>
      <c r="AG36" s="71">
        <f>IFERROR(s_RadSpec!$O$26*AG26,".")*$B$37</f>
        <v>4.6334636461374369E-9</v>
      </c>
      <c r="AH36" s="71">
        <f>IFERROR(s_RadSpec!$P$26*AH26,".")*$B$37</f>
        <v>7.0445182616910753E-9</v>
      </c>
      <c r="AI36" s="71">
        <f>IFERROR(s_RadSpec!$L$26*AI26,".")*$B$37</f>
        <v>2.3832823096830338E-10</v>
      </c>
      <c r="AJ36" s="49">
        <f t="shared" si="47"/>
        <v>8.0353649172496384E-9</v>
      </c>
      <c r="AK36" s="49">
        <f t="shared" si="33"/>
        <v>1.3276724599866926E-9</v>
      </c>
      <c r="AL36" s="49">
        <f t="shared" si="33"/>
        <v>4.6334636461374369E-9</v>
      </c>
      <c r="AM36" s="49">
        <f t="shared" si="33"/>
        <v>7.0445182616910753E-9</v>
      </c>
      <c r="AN36" s="49">
        <f t="shared" si="33"/>
        <v>2.3832823096830338E-10</v>
      </c>
      <c r="AO36" s="60">
        <f>IFERROR(AO26/$B36,0)</f>
        <v>2.8555960759350591E-2</v>
      </c>
      <c r="AP36" s="60">
        <f>IFERROR(AP26/$B36,0)</f>
        <v>106153.07957089211</v>
      </c>
      <c r="AQ36" s="60">
        <f t="shared" si="34"/>
        <v>2.8555953077588753E-2</v>
      </c>
      <c r="AR36" s="71">
        <f>IFERROR(s_RadSpec!$F$26*AR26,".")*$B$37</f>
        <v>1.7509479166666667E-3</v>
      </c>
      <c r="AS36" s="71">
        <f>IFERROR(s_RadSpec!$K$26*AS26,".")*$B$37</f>
        <v>4.7101789417808225E-10</v>
      </c>
      <c r="AT36" s="49">
        <f t="shared" si="48"/>
        <v>1.7509479166666667E-3</v>
      </c>
      <c r="AU36" s="49">
        <f t="shared" si="48"/>
        <v>4.7101789417808225E-10</v>
      </c>
      <c r="AV36" s="49">
        <f t="shared" si="49"/>
        <v>1.7509483876845609E-3</v>
      </c>
      <c r="AW36" s="60">
        <f>IFERROR(AW26/$B36,0)</f>
        <v>5.084856078233563</v>
      </c>
      <c r="AX36" s="60">
        <f>IFERROR(AX26/$B36,0)</f>
        <v>29809158.052577883</v>
      </c>
      <c r="AY36" s="63">
        <f>IFERROR(AY26/$B36,0)</f>
        <v>68042161.645041719</v>
      </c>
      <c r="AZ36" s="63">
        <f>IFERROR(AZ26/$B36,0)</f>
        <v>0</v>
      </c>
      <c r="BA36" s="244">
        <f t="shared" si="51"/>
        <v>0.19666239999999996</v>
      </c>
      <c r="BB36" s="244">
        <f t="shared" si="52"/>
        <v>3.3546737490410955E-8</v>
      </c>
      <c r="BC36" s="244">
        <f t="shared" si="53"/>
        <v>1.4696770000000004E-8</v>
      </c>
      <c r="BD36" s="244">
        <f t="shared" si="54"/>
        <v>0</v>
      </c>
      <c r="BE36" s="63">
        <f t="shared" si="19"/>
        <v>5.0848548308612527</v>
      </c>
      <c r="BF36" s="71">
        <f>IFERROR(s_RadSpec!$I$26*BF26,".")*$B$37</f>
        <v>9.8331199999999988E-6</v>
      </c>
      <c r="BG36" s="71">
        <f>IFERROR(s_RadSpec!$M$26*BG26,".")*$B$37</f>
        <v>1.6773368745205479E-12</v>
      </c>
      <c r="BH36" s="71">
        <f>IFERROR(s_RadSpec!$H$26*BH26,".")*$B$37</f>
        <v>7.3483850000000007E-13</v>
      </c>
      <c r="BI36" s="71">
        <f>IFERROR(s_RadSpec!$H$26*BI26,".")*$B$37</f>
        <v>0</v>
      </c>
      <c r="BJ36" s="49">
        <f t="shared" si="36"/>
        <v>9.8331199999999988E-6</v>
      </c>
      <c r="BK36" s="49">
        <f t="shared" si="37"/>
        <v>1.6773368745205479E-12</v>
      </c>
      <c r="BL36" s="49">
        <f t="shared" si="38"/>
        <v>7.3483850000000007E-13</v>
      </c>
      <c r="BM36" s="49">
        <f t="shared" si="39"/>
        <v>0</v>
      </c>
      <c r="BN36" s="49">
        <f t="shared" si="40"/>
        <v>9.833121677336874E-6</v>
      </c>
      <c r="BO36" s="63">
        <f t="shared" ref="BO36:BP36" si="57">IFERROR(BO26/$B36,0)</f>
        <v>31.299394356719194</v>
      </c>
      <c r="BP36" s="63">
        <f t="shared" si="57"/>
        <v>31.299394356719194</v>
      </c>
      <c r="BQ36" s="71">
        <f>IFERROR(s_RadSpec!$H$26*BQ26,".")*$B$37</f>
        <v>1.5974750000000001E-6</v>
      </c>
      <c r="BR36" s="71">
        <f>IFERROR(s_RadSpec!$H$26*BR26,".")*$B$37</f>
        <v>1.5974750000000001E-6</v>
      </c>
      <c r="BS36" s="49">
        <f t="shared" si="42"/>
        <v>1.5974750000000001E-6</v>
      </c>
      <c r="BT36" s="49">
        <f t="shared" si="43"/>
        <v>1.5974750000000001E-6</v>
      </c>
    </row>
    <row r="37" spans="1:72" x14ac:dyDescent="0.25">
      <c r="A37" s="48" t="s">
        <v>1079</v>
      </c>
      <c r="B37" s="15">
        <v>1</v>
      </c>
      <c r="C37" s="42"/>
      <c r="D37" s="60">
        <f>IFERROR(D22/$B37,0)</f>
        <v>682.02705260304151</v>
      </c>
      <c r="E37" s="60">
        <f>IFERROR(E22/$B37,0)</f>
        <v>59061.73372824442</v>
      </c>
      <c r="F37" s="60">
        <f>IFERROR(F22/$B37,0)</f>
        <v>125149557165.41487</v>
      </c>
      <c r="G37" s="63">
        <f>IFERROR(G22/$B37,0)</f>
        <v>4269.8657304304543</v>
      </c>
      <c r="H37" s="63">
        <f>IFERROR(H22/$B37,0)</f>
        <v>0</v>
      </c>
      <c r="I37" s="244">
        <f t="shared" si="13"/>
        <v>1.4662175000000001E-3</v>
      </c>
      <c r="J37" s="244">
        <f t="shared" si="14"/>
        <v>1.6931436598207773E-5</v>
      </c>
      <c r="K37" s="244">
        <f t="shared" si="15"/>
        <v>7.9904397798089089E-12</v>
      </c>
      <c r="L37" s="244">
        <f t="shared" si="16"/>
        <v>2.3419940183908028E-4</v>
      </c>
      <c r="M37" s="244">
        <f t="shared" si="17"/>
        <v>0</v>
      </c>
      <c r="N37" s="63">
        <f t="shared" si="18"/>
        <v>582.29304618373385</v>
      </c>
      <c r="O37" s="71">
        <f>IFERROR(s_RadSpec!$E$22*O22,".")*$B$37</f>
        <v>7.3310874999999997E-8</v>
      </c>
      <c r="P37" s="71">
        <f>IFERROR(s_RadSpec!$F$22*P22,".")*B37</f>
        <v>8.4657182991038862E-10</v>
      </c>
      <c r="Q37" s="71">
        <f>IFERROR(s_RadSpec!$G$22*Q22,".")*B37</f>
        <v>3.9952198899044541E-16</v>
      </c>
      <c r="R37" s="71">
        <f>IFERROR(s_RadSpec!$H$22*R22,".")*$B$37</f>
        <v>1.1709970091954017E-8</v>
      </c>
      <c r="S37" s="71">
        <f>IFERROR(s_RadSpec!$H$22*S22,".")*$B$37</f>
        <v>0</v>
      </c>
      <c r="T37" s="49">
        <f t="shared" si="28"/>
        <v>7.3310874999999997E-8</v>
      </c>
      <c r="U37" s="49">
        <f t="shared" si="29"/>
        <v>8.4657182991038862E-10</v>
      </c>
      <c r="V37" s="49">
        <f t="shared" si="30"/>
        <v>3.9952198899044541E-16</v>
      </c>
      <c r="W37" s="49">
        <f t="shared" si="31"/>
        <v>1.1709970091954017E-8</v>
      </c>
      <c r="X37" s="49">
        <f t="shared" si="32"/>
        <v>0</v>
      </c>
      <c r="Y37" s="49">
        <f t="shared" si="45"/>
        <v>8.586741732138639E-8</v>
      </c>
      <c r="Z37" s="60">
        <f>IFERROR(Z22/$B37,0)</f>
        <v>125149557165.41487</v>
      </c>
      <c r="AA37" s="60">
        <f>IFERROR(AA22/$B37,0)</f>
        <v>157500375364.1293</v>
      </c>
      <c r="AB37" s="60">
        <f>IFERROR(AB22/$B37,0)</f>
        <v>88611033432.008713</v>
      </c>
      <c r="AC37" s="60">
        <f>IFERROR(AC22/$B37,0)</f>
        <v>90961395817.846573</v>
      </c>
      <c r="AD37" s="60">
        <f>IFERROR(AD22/$B37,0)</f>
        <v>445068164946.88446</v>
      </c>
      <c r="AE37" s="71">
        <f>IFERROR(s_RadSpec!$G$22*AE22,".")*$B$37</f>
        <v>3.9952198899044541E-16</v>
      </c>
      <c r="AF37" s="71">
        <f>IFERROR(s_RadSpec!$N$22*AF22,".")*$B$37</f>
        <v>3.1745956087027531E-16</v>
      </c>
      <c r="AG37" s="71">
        <f>IFERROR(s_RadSpec!$O$22*AG22,".")*$B$37</f>
        <v>5.6426381753424655E-16</v>
      </c>
      <c r="AH37" s="71">
        <f>IFERROR(s_RadSpec!$P$22*AH22,".")*$B$37</f>
        <v>5.4968373726505682E-16</v>
      </c>
      <c r="AI37" s="71">
        <f>IFERROR(s_RadSpec!$L$22*AI22,".")*$B$37</f>
        <v>1.1234234200050485E-16</v>
      </c>
      <c r="AJ37" s="49">
        <f t="shared" si="47"/>
        <v>3.9952198899044541E-16</v>
      </c>
      <c r="AK37" s="49">
        <f t="shared" si="33"/>
        <v>3.1745956087027531E-16</v>
      </c>
      <c r="AL37" s="49">
        <f t="shared" si="33"/>
        <v>5.6426381753424655E-16</v>
      </c>
      <c r="AM37" s="49">
        <f t="shared" si="33"/>
        <v>5.4968373726505682E-16</v>
      </c>
      <c r="AN37" s="49">
        <f t="shared" si="33"/>
        <v>1.1234234200050485E-16</v>
      </c>
      <c r="AO37" s="60">
        <f>IFERROR(AO22/$B37,0)</f>
        <v>0.19064234057161925</v>
      </c>
      <c r="AP37" s="60">
        <f>IFERROR(AP22/$B37,0)</f>
        <v>1726667.1803619796</v>
      </c>
      <c r="AQ37" s="60">
        <f t="shared" si="34"/>
        <v>0.19064231952268842</v>
      </c>
      <c r="AR37" s="71">
        <f>IFERROR(s_RadSpec!$F$22*AR22,".")*$B$37</f>
        <v>2.6227122395833333E-4</v>
      </c>
      <c r="AS37" s="71">
        <f>IFERROR(s_RadSpec!$K$22*AS22,".")*$B$37</f>
        <v>2.8957520342465756E-11</v>
      </c>
      <c r="AT37" s="49">
        <f t="shared" si="48"/>
        <v>2.6227122395833333E-4</v>
      </c>
      <c r="AU37" s="49">
        <f t="shared" si="48"/>
        <v>2.8957520342465756E-11</v>
      </c>
      <c r="AV37" s="49">
        <f t="shared" si="49"/>
        <v>2.6227125291585369E-4</v>
      </c>
      <c r="AW37" s="60">
        <f>IFERROR(AW22/$B37,0)</f>
        <v>9.9393303276798441</v>
      </c>
      <c r="AX37" s="60">
        <f>IFERROR(AX22/$B37,0)</f>
        <v>469720066.28304535</v>
      </c>
      <c r="AY37" s="63">
        <f>IFERROR(AY22/$B37,0)</f>
        <v>17413199.553525563</v>
      </c>
      <c r="AZ37" s="63">
        <f>IFERROR(AZ22/$B37,0)</f>
        <v>0</v>
      </c>
      <c r="BA37" s="244">
        <f t="shared" si="51"/>
        <v>0.10061039999999997</v>
      </c>
      <c r="BB37" s="244">
        <f t="shared" si="52"/>
        <v>2.1289275715068494E-9</v>
      </c>
      <c r="BC37" s="244">
        <f t="shared" si="53"/>
        <v>5.74277E-8</v>
      </c>
      <c r="BD37" s="244">
        <f t="shared" si="54"/>
        <v>0</v>
      </c>
      <c r="BE37" s="63">
        <f t="shared" si="19"/>
        <v>9.9393244440669744</v>
      </c>
      <c r="BF37" s="71">
        <f>IFERROR(s_RadSpec!$I$22*BF22,".")*$B$37</f>
        <v>5.0305200000000001E-6</v>
      </c>
      <c r="BG37" s="71">
        <f>IFERROR(s_RadSpec!$M$22*BG22,".")*$B$37</f>
        <v>1.0644637857534246E-13</v>
      </c>
      <c r="BH37" s="71">
        <f>IFERROR(s_RadSpec!$H$22*BH22,".")*$B$37</f>
        <v>2.8713849999999999E-12</v>
      </c>
      <c r="BI37" s="71">
        <f>IFERROR(s_RadSpec!$H$22*BI22,".")*$B$37</f>
        <v>0</v>
      </c>
      <c r="BJ37" s="49">
        <f t="shared" si="36"/>
        <v>5.0305200000000001E-6</v>
      </c>
      <c r="BK37" s="49">
        <f t="shared" si="37"/>
        <v>1.0644637857534246E-13</v>
      </c>
      <c r="BL37" s="49">
        <f t="shared" si="38"/>
        <v>2.8713849999999999E-12</v>
      </c>
      <c r="BM37" s="49">
        <f t="shared" si="39"/>
        <v>0</v>
      </c>
      <c r="BN37" s="49">
        <f t="shared" si="40"/>
        <v>5.030520106446379E-6</v>
      </c>
      <c r="BO37" s="63">
        <f t="shared" ref="BO37:BP37" si="58">IFERROR(BO22/$B37,0)</f>
        <v>59.204878481986917</v>
      </c>
      <c r="BP37" s="63">
        <f t="shared" si="58"/>
        <v>59.204878481986917</v>
      </c>
      <c r="BQ37" s="71">
        <f>IFERROR(s_RadSpec!$H$22*BQ22,".")*$B$37</f>
        <v>8.4452499999999997E-7</v>
      </c>
      <c r="BR37" s="71">
        <f>IFERROR(s_RadSpec!$H$22*BR22,".")*$B$37</f>
        <v>8.4452499999999997E-7</v>
      </c>
      <c r="BS37" s="49">
        <f t="shared" si="42"/>
        <v>8.4452499999999997E-7</v>
      </c>
      <c r="BT37" s="49">
        <f t="shared" si="43"/>
        <v>8.4452499999999997E-7</v>
      </c>
    </row>
    <row r="38" spans="1:72" x14ac:dyDescent="0.25">
      <c r="A38" s="48" t="s">
        <v>1080</v>
      </c>
      <c r="B38" s="15">
        <v>1</v>
      </c>
      <c r="C38" s="42"/>
      <c r="D38" s="60">
        <f>IFERROR(D2/$B38,0)</f>
        <v>338.43009049620622</v>
      </c>
      <c r="E38" s="60">
        <f>IFERROR(E2/$B38,0)</f>
        <v>54088.919359933687</v>
      </c>
      <c r="F38" s="60">
        <f>IFERROR(F2/$B38,0)</f>
        <v>20512.286804300216</v>
      </c>
      <c r="G38" s="63">
        <f>IFERROR(G2/$B38,0)</f>
        <v>190194.02224752729</v>
      </c>
      <c r="H38" s="63">
        <f>IFERROR(H2/$B38,0)</f>
        <v>0</v>
      </c>
      <c r="I38" s="244">
        <f t="shared" si="13"/>
        <v>2.9548199999999999E-3</v>
      </c>
      <c r="J38" s="244">
        <f t="shared" si="14"/>
        <v>1.8488075040758699E-5</v>
      </c>
      <c r="K38" s="244">
        <f t="shared" si="15"/>
        <v>4.8751268424657509E-5</v>
      </c>
      <c r="L38" s="244">
        <f t="shared" si="16"/>
        <v>5.2577888000000007E-6</v>
      </c>
      <c r="M38" s="244">
        <f t="shared" si="17"/>
        <v>0</v>
      </c>
      <c r="N38" s="63">
        <f t="shared" si="18"/>
        <v>330.32548501176529</v>
      </c>
      <c r="O38" s="71">
        <f>IFERROR(s_RadSpec!$E$2*O2,".")*$B$38</f>
        <v>1.47741E-7</v>
      </c>
      <c r="P38" s="71">
        <f>IFERROR(s_RadSpec!$F$2*P2,".")*B38</f>
        <v>9.24403752037935E-10</v>
      </c>
      <c r="Q38" s="71">
        <f>IFERROR(s_RadSpec!$G$2*Q2,".")*B38</f>
        <v>2.4375634212328754E-9</v>
      </c>
      <c r="R38" s="71">
        <f>IFERROR(s_RadSpec!$H$2*R2,".")*$B$38</f>
        <v>2.6288944000000005E-10</v>
      </c>
      <c r="S38" s="71">
        <f>IFERROR(s_RadSpec!$H$2*S2,".")*$B$38</f>
        <v>0</v>
      </c>
      <c r="T38" s="49">
        <f t="shared" si="28"/>
        <v>1.47741E-7</v>
      </c>
      <c r="U38" s="49">
        <f t="shared" si="29"/>
        <v>9.24403752037935E-10</v>
      </c>
      <c r="V38" s="49">
        <f t="shared" si="30"/>
        <v>2.4375634212328754E-9</v>
      </c>
      <c r="W38" s="49">
        <f t="shared" si="31"/>
        <v>2.6288944000000005E-10</v>
      </c>
      <c r="X38" s="49">
        <f t="shared" si="32"/>
        <v>0</v>
      </c>
      <c r="Y38" s="49">
        <f t="shared" si="45"/>
        <v>1.5136585661327082E-7</v>
      </c>
      <c r="Z38" s="60">
        <f>IFERROR(Z2/$B38,0)</f>
        <v>20512.286804300216</v>
      </c>
      <c r="AA38" s="60">
        <f>IFERROR(AA2/$B38,0)</f>
        <v>148063.41488526075</v>
      </c>
      <c r="AB38" s="60">
        <f>IFERROR(AB2/$B38,0)</f>
        <v>38842.447303557659</v>
      </c>
      <c r="AC38" s="60">
        <f>IFERROR(AC2/$B38,0)</f>
        <v>24027.280902312828</v>
      </c>
      <c r="AD38" s="60">
        <f>IFERROR(AD2/$B38,0)</f>
        <v>1124806.135978875</v>
      </c>
      <c r="AE38" s="71">
        <f>IFERROR(s_RadSpec!$G$2*AE2,".")*$B$38</f>
        <v>2.4375634212328754E-9</v>
      </c>
      <c r="AF38" s="71">
        <f>IFERROR(s_RadSpec!$N$2*AF2,".")*$B$38</f>
        <v>3.3769314343280996E-10</v>
      </c>
      <c r="AG38" s="71">
        <f>IFERROR(s_RadSpec!$O$2*AG2,".")*$B$38</f>
        <v>1.2872515371970502E-9</v>
      </c>
      <c r="AH38" s="71">
        <f>IFERROR(s_RadSpec!$P$2*AH2,".")*$B$38</f>
        <v>2.0809678882635064E-9</v>
      </c>
      <c r="AI38" s="71">
        <f>IFERROR(s_RadSpec!$L$2*AI2,".")*$B$38</f>
        <v>4.4452104589994035E-11</v>
      </c>
      <c r="AJ38" s="49">
        <f t="shared" si="47"/>
        <v>2.4375634212328754E-9</v>
      </c>
      <c r="AK38" s="49">
        <f t="shared" si="33"/>
        <v>3.3769314343280996E-10</v>
      </c>
      <c r="AL38" s="49">
        <f t="shared" si="33"/>
        <v>1.2872515371970502E-9</v>
      </c>
      <c r="AM38" s="49">
        <f t="shared" si="33"/>
        <v>2.0809678882635064E-9</v>
      </c>
      <c r="AN38" s="49">
        <f t="shared" si="33"/>
        <v>4.4452104589994035E-11</v>
      </c>
      <c r="AO38" s="60">
        <f>IFERROR(AO2/$B38,0)</f>
        <v>0.17459084816597772</v>
      </c>
      <c r="AP38" s="60">
        <f>IFERROR(AP2/$B38,0)</f>
        <v>618624.52266937145</v>
      </c>
      <c r="AQ38" s="60">
        <f t="shared" si="34"/>
        <v>0.17459079889221871</v>
      </c>
      <c r="AR38" s="71">
        <f>IFERROR(s_RadSpec!$F$2*AR2,".")*$B$38</f>
        <v>2.8638385416666668E-4</v>
      </c>
      <c r="AS38" s="71">
        <f>IFERROR(s_RadSpec!$K$2*AS2,".")*$B$38</f>
        <v>8.082447133561645E-11</v>
      </c>
      <c r="AT38" s="49">
        <f t="shared" si="48"/>
        <v>2.8638385416666668E-4</v>
      </c>
      <c r="AU38" s="49">
        <f t="shared" si="48"/>
        <v>8.082447133561645E-11</v>
      </c>
      <c r="AV38" s="49">
        <f t="shared" si="49"/>
        <v>2.8638393499113803E-4</v>
      </c>
      <c r="AW38" s="60">
        <f>IFERROR(AW2/$B38,0)</f>
        <v>6.0102799828827225</v>
      </c>
      <c r="AX38" s="60">
        <f>IFERROR(AX2/$B38,0)</f>
        <v>174522399.24334234</v>
      </c>
      <c r="AY38" s="63">
        <f>IFERROR(AY2/$B38,0)</f>
        <v>836853697.8891201</v>
      </c>
      <c r="AZ38" s="63">
        <f>IFERROR(AZ2/$B38,0)</f>
        <v>0</v>
      </c>
      <c r="BA38" s="244">
        <f t="shared" si="51"/>
        <v>0.16638159999999999</v>
      </c>
      <c r="BB38" s="244">
        <f t="shared" si="52"/>
        <v>5.7299235189041089E-9</v>
      </c>
      <c r="BC38" s="244">
        <f t="shared" si="53"/>
        <v>1.1949520000000001E-9</v>
      </c>
      <c r="BD38" s="244">
        <f t="shared" si="54"/>
        <v>0</v>
      </c>
      <c r="BE38" s="63">
        <f t="shared" si="19"/>
        <v>6.0102797327322319</v>
      </c>
      <c r="BF38" s="71">
        <f>IFERROR(s_RadSpec!$I$2*BF2,".")*$B$38</f>
        <v>8.31908E-6</v>
      </c>
      <c r="BG38" s="71">
        <f>IFERROR(s_RadSpec!$M$2*BG2,".")*$B$38</f>
        <v>2.8649617594520547E-13</v>
      </c>
      <c r="BH38" s="71">
        <f>IFERROR(s_RadSpec!$H$2*BH2,".")*$B$38</f>
        <v>5.9747600000000013E-14</v>
      </c>
      <c r="BI38" s="71">
        <f>IFERROR(s_RadSpec!$H$2*BI2,".")*$B$38</f>
        <v>0</v>
      </c>
      <c r="BJ38" s="49">
        <f t="shared" si="36"/>
        <v>8.31908E-6</v>
      </c>
      <c r="BK38" s="49">
        <f t="shared" si="37"/>
        <v>2.8649617594520547E-13</v>
      </c>
      <c r="BL38" s="49">
        <f t="shared" si="38"/>
        <v>5.9747600000000013E-14</v>
      </c>
      <c r="BM38" s="49">
        <f t="shared" si="39"/>
        <v>0</v>
      </c>
      <c r="BN38" s="49">
        <f t="shared" si="40"/>
        <v>8.3190802864961753E-6</v>
      </c>
      <c r="BO38" s="63">
        <f t="shared" ref="BO38:BP38" si="59">IFERROR(BO2/$B38,0)</f>
        <v>33.474147915564807</v>
      </c>
      <c r="BP38" s="63">
        <f t="shared" si="59"/>
        <v>33.474147915564807</v>
      </c>
      <c r="BQ38" s="71">
        <f>IFERROR(s_RadSpec!$H$2*BQ2,".")*$B$38</f>
        <v>1.4936900000000001E-6</v>
      </c>
      <c r="BR38" s="71">
        <f>IFERROR(s_RadSpec!$H$2*BR2,".")*$B$38</f>
        <v>1.4936900000000001E-6</v>
      </c>
      <c r="BS38" s="49">
        <f t="shared" si="42"/>
        <v>1.4936900000000001E-6</v>
      </c>
      <c r="BT38" s="49">
        <f t="shared" si="43"/>
        <v>1.4936900000000001E-6</v>
      </c>
    </row>
    <row r="39" spans="1:72" x14ac:dyDescent="0.25">
      <c r="A39" s="48" t="s">
        <v>1081</v>
      </c>
      <c r="B39" s="15">
        <v>1</v>
      </c>
      <c r="C39" s="42"/>
      <c r="D39" s="60">
        <f>IFERROR(D11/$B39,0)</f>
        <v>0</v>
      </c>
      <c r="E39" s="60">
        <f>IFERROR(E11/$B39,0)</f>
        <v>0</v>
      </c>
      <c r="F39" s="60">
        <f>IFERROR(F11/$B39,0)</f>
        <v>7094.2571502794317</v>
      </c>
      <c r="G39" s="63">
        <f>IFERROR(G11/$B39,0)</f>
        <v>0</v>
      </c>
      <c r="H39" s="63">
        <f>IFERROR(H11/$B39,0)</f>
        <v>0</v>
      </c>
      <c r="I39" s="244">
        <f t="shared" si="13"/>
        <v>0</v>
      </c>
      <c r="J39" s="244">
        <f t="shared" si="14"/>
        <v>0</v>
      </c>
      <c r="K39" s="244">
        <f t="shared" si="15"/>
        <v>1.409590854710717E-4</v>
      </c>
      <c r="L39" s="244">
        <f t="shared" si="16"/>
        <v>0</v>
      </c>
      <c r="M39" s="244">
        <f t="shared" si="17"/>
        <v>0</v>
      </c>
      <c r="N39" s="63">
        <f t="shared" si="18"/>
        <v>7094.2571502794317</v>
      </c>
      <c r="O39" s="71">
        <f>IFERROR(s_RadSpec!$E$11*O11,".")*$B$39</f>
        <v>0</v>
      </c>
      <c r="P39" s="71">
        <f>IFERROR(s_RadSpec!$F$11*P11,".")*B39</f>
        <v>0</v>
      </c>
      <c r="Q39" s="71">
        <f>IFERROR(s_RadSpec!$G$11*Q11,".")*B39</f>
        <v>7.0479542735535874E-9</v>
      </c>
      <c r="R39" s="71">
        <f>IFERROR(s_RadSpec!$H$11*R11,".")*$B$39</f>
        <v>0</v>
      </c>
      <c r="S39" s="71">
        <f>IFERROR(s_RadSpec!$H$11*S11,".")*$B$39</f>
        <v>0</v>
      </c>
      <c r="T39" s="49">
        <f t="shared" si="28"/>
        <v>0</v>
      </c>
      <c r="U39" s="49">
        <f t="shared" si="29"/>
        <v>0</v>
      </c>
      <c r="V39" s="49">
        <f t="shared" si="30"/>
        <v>7.0479542735535874E-9</v>
      </c>
      <c r="W39" s="49">
        <f t="shared" si="31"/>
        <v>0</v>
      </c>
      <c r="X39" s="49">
        <f t="shared" si="32"/>
        <v>0</v>
      </c>
      <c r="Y39" s="49">
        <f t="shared" si="45"/>
        <v>7.0479542735535874E-9</v>
      </c>
      <c r="Z39" s="60">
        <f>IFERROR(Z11/$B39,0)</f>
        <v>7094.2571502794317</v>
      </c>
      <c r="AA39" s="60">
        <f>IFERROR(AA11/$B39,0)</f>
        <v>36774.492926136889</v>
      </c>
      <c r="AB39" s="60">
        <f>IFERROR(AB11/$B39,0)</f>
        <v>10344.019530920519</v>
      </c>
      <c r="AC39" s="60">
        <f>IFERROR(AC11/$B39,0)</f>
        <v>6889.2942310004073</v>
      </c>
      <c r="AD39" s="60">
        <f>IFERROR(AD11/$B39,0)</f>
        <v>69474.433698220411</v>
      </c>
      <c r="AE39" s="71">
        <f>IFERROR(s_RadSpec!$G$11*AE11,".")*$B$39</f>
        <v>7.0479542735535874E-9</v>
      </c>
      <c r="AF39" s="71">
        <f>IFERROR(s_RadSpec!$N$11*AF11,".")*$B$39</f>
        <v>1.3596380540291094E-9</v>
      </c>
      <c r="AG39" s="71">
        <f>IFERROR(s_RadSpec!$O$11*AG11,".")*$B$39</f>
        <v>4.8337109042127317E-9</v>
      </c>
      <c r="AH39" s="71">
        <f>IFERROR(s_RadSpec!$P$11*AH11,".")*$B$39</f>
        <v>7.2576374768565235E-9</v>
      </c>
      <c r="AI39" s="71">
        <f>IFERROR(s_RadSpec!$L$11*AI11,".")*$B$39</f>
        <v>7.196892056319238E-10</v>
      </c>
      <c r="AJ39" s="49">
        <f t="shared" si="47"/>
        <v>7.0479542735535874E-9</v>
      </c>
      <c r="AK39" s="49">
        <f t="shared" si="33"/>
        <v>1.3596380540291094E-9</v>
      </c>
      <c r="AL39" s="49">
        <f t="shared" si="33"/>
        <v>4.8337109042127317E-9</v>
      </c>
      <c r="AM39" s="49">
        <f t="shared" si="33"/>
        <v>7.2576374768565235E-9</v>
      </c>
      <c r="AN39" s="49">
        <f t="shared" si="33"/>
        <v>7.196892056319238E-10</v>
      </c>
      <c r="AO39" s="60">
        <f>IFERROR(AO11/$B39,0)</f>
        <v>0</v>
      </c>
      <c r="AP39" s="60">
        <f>IFERROR(AP11/$B39,0)</f>
        <v>276406.7016182298</v>
      </c>
      <c r="AQ39" s="60">
        <f>IFERROR(IF(AND(AO39&lt;&gt;0,AP39&lt;&gt;0),1/((1/AO39)+(1/AP39)),IF(AND(AO39&lt;&gt;0,AP39=0),1/((1/AO39)),IF(AND(AO39=0,AP39&lt;&gt;0),1/((1/AP39)),IF(AND(AO39=".",AP39="."),".")))),".")</f>
        <v>276406.7016182298</v>
      </c>
      <c r="AR39" s="71">
        <f>IFERROR(s_RadSpec!$F$11*AR11,".")*$B$39</f>
        <v>0</v>
      </c>
      <c r="AS39" s="71">
        <f>IFERROR(s_RadSpec!$K$11*AS11,".")*$B$39</f>
        <v>1.8089286441780824E-10</v>
      </c>
      <c r="AT39" s="49">
        <f t="shared" si="48"/>
        <v>0</v>
      </c>
      <c r="AU39" s="49">
        <f t="shared" si="48"/>
        <v>1.8089286441780824E-10</v>
      </c>
      <c r="AV39" s="49">
        <f t="shared" si="49"/>
        <v>1.8089286441780824E-10</v>
      </c>
      <c r="AW39" s="60">
        <f>IFERROR(AW11/$B39,0)</f>
        <v>0</v>
      </c>
      <c r="AX39" s="60">
        <f>IFERROR(AX11/$B39,0)</f>
        <v>78575292.193891913</v>
      </c>
      <c r="AY39" s="63">
        <f>IFERROR(AY11/$B39,0)</f>
        <v>0</v>
      </c>
      <c r="AZ39" s="63">
        <f>IFERROR(AZ11/$B39,0)</f>
        <v>0</v>
      </c>
      <c r="BA39" s="244">
        <f t="shared" si="51"/>
        <v>0</v>
      </c>
      <c r="BB39" s="244">
        <f t="shared" si="52"/>
        <v>1.2726646915068493E-8</v>
      </c>
      <c r="BC39" s="244">
        <f t="shared" si="53"/>
        <v>0</v>
      </c>
      <c r="BD39" s="244">
        <f t="shared" si="54"/>
        <v>0</v>
      </c>
      <c r="BE39" s="63">
        <f t="shared" si="19"/>
        <v>78575292.193891913</v>
      </c>
      <c r="BF39" s="71">
        <f>IFERROR(s_RadSpec!$I$11*BF11,".")*$B$39</f>
        <v>0</v>
      </c>
      <c r="BG39" s="71">
        <f>IFERROR(s_RadSpec!$M$11*BG11,".")*$B$39</f>
        <v>6.3633234575342469E-13</v>
      </c>
      <c r="BH39" s="71">
        <f>IFERROR(s_RadSpec!$H$11*BH11,".")*$B$39</f>
        <v>0</v>
      </c>
      <c r="BI39" s="71">
        <f>IFERROR(s_RadSpec!$H$11*BI11,".")*$B$39</f>
        <v>0</v>
      </c>
      <c r="BJ39" s="49">
        <f t="shared" si="36"/>
        <v>0</v>
      </c>
      <c r="BK39" s="49">
        <f t="shared" si="37"/>
        <v>6.3633234575342469E-13</v>
      </c>
      <c r="BL39" s="49">
        <f t="shared" si="38"/>
        <v>0</v>
      </c>
      <c r="BM39" s="49">
        <f t="shared" si="39"/>
        <v>0</v>
      </c>
      <c r="BN39" s="49">
        <f t="shared" si="40"/>
        <v>6.3633234575342469E-13</v>
      </c>
      <c r="BO39" s="63">
        <f t="shared" ref="BO39:BP39" si="60">IFERROR(BO11/$B39,0)</f>
        <v>0</v>
      </c>
      <c r="BP39" s="63">
        <f t="shared" si="60"/>
        <v>0</v>
      </c>
      <c r="BQ39" s="71">
        <f>IFERROR(s_RadSpec!$H$11*BQ11,".")*$B$39</f>
        <v>0</v>
      </c>
      <c r="BR39" s="71">
        <f>IFERROR(s_RadSpec!$H$11*BR11,".")*$B$39</f>
        <v>0</v>
      </c>
      <c r="BS39" s="49">
        <f t="shared" si="42"/>
        <v>0</v>
      </c>
      <c r="BT39" s="49">
        <f t="shared" si="43"/>
        <v>0</v>
      </c>
    </row>
    <row r="40" spans="1:72" x14ac:dyDescent="0.25">
      <c r="A40" s="48" t="s">
        <v>1082</v>
      </c>
      <c r="B40" s="15">
        <v>1</v>
      </c>
      <c r="C40" s="42"/>
      <c r="D40" s="60">
        <f>IFERROR(D4/$B40,0)</f>
        <v>0</v>
      </c>
      <c r="E40" s="60">
        <f>IFERROR(E4/$B40,0)</f>
        <v>0</v>
      </c>
      <c r="F40" s="60">
        <f>IFERROR(F4/$B40,0)</f>
        <v>440956.38253448543</v>
      </c>
      <c r="G40" s="63">
        <f>IFERROR(G4/$B40,0)</f>
        <v>0</v>
      </c>
      <c r="H40" s="63">
        <f>IFERROR(H4/$B40,0)</f>
        <v>0</v>
      </c>
      <c r="I40" s="244">
        <f t="shared" si="13"/>
        <v>0</v>
      </c>
      <c r="J40" s="244">
        <f t="shared" si="14"/>
        <v>0</v>
      </c>
      <c r="K40" s="244">
        <f t="shared" si="15"/>
        <v>2.2677979945596866E-6</v>
      </c>
      <c r="L40" s="244">
        <f t="shared" si="16"/>
        <v>0</v>
      </c>
      <c r="M40" s="244">
        <f t="shared" si="17"/>
        <v>0</v>
      </c>
      <c r="N40" s="63">
        <f t="shared" si="18"/>
        <v>440956.38253448543</v>
      </c>
      <c r="O40" s="71">
        <f>IFERROR(s_RadSpec!$E$4*O4,".")*$B$40</f>
        <v>0</v>
      </c>
      <c r="P40" s="71">
        <f>IFERROR(s_RadSpec!$F$4*P4,".")*B40</f>
        <v>0</v>
      </c>
      <c r="Q40" s="71">
        <f>IFERROR(s_RadSpec!$G$4*Q4,".")*B40</f>
        <v>1.1338989972798431E-10</v>
      </c>
      <c r="R40" s="71">
        <f>IFERROR(s_RadSpec!$H$4*R4,".")*$B$40</f>
        <v>0</v>
      </c>
      <c r="S40" s="71">
        <f>IFERROR(s_RadSpec!$H$4*S4,".")*$B$40</f>
        <v>0</v>
      </c>
      <c r="T40" s="49">
        <f t="shared" si="28"/>
        <v>0</v>
      </c>
      <c r="U40" s="49">
        <f t="shared" si="29"/>
        <v>0</v>
      </c>
      <c r="V40" s="49">
        <f t="shared" si="30"/>
        <v>1.1338989972798431E-10</v>
      </c>
      <c r="W40" s="49">
        <f t="shared" si="31"/>
        <v>0</v>
      </c>
      <c r="X40" s="49">
        <f t="shared" si="32"/>
        <v>0</v>
      </c>
      <c r="Y40" s="49">
        <f t="shared" si="45"/>
        <v>1.1338989972798431E-10</v>
      </c>
      <c r="Z40" s="60">
        <f>IFERROR(Z4/$B40,0)</f>
        <v>440956.38253448543</v>
      </c>
      <c r="AA40" s="60">
        <f>IFERROR(AA4/$B40,0)</f>
        <v>3109403.5554844174</v>
      </c>
      <c r="AB40" s="60">
        <f>IFERROR(AB4/$B40,0)</f>
        <v>810841.500288871</v>
      </c>
      <c r="AC40" s="60">
        <f>IFERROR(AC4/$B40,0)</f>
        <v>480568.21361261251</v>
      </c>
      <c r="AD40" s="60">
        <f>IFERROR(AD4/$B40,0)</f>
        <v>5855911.7437149212</v>
      </c>
      <c r="AE40" s="71">
        <f>IFERROR(s_RadSpec!$G$4*AE4,".")*$B$40</f>
        <v>1.1338989972798431E-10</v>
      </c>
      <c r="AF40" s="71">
        <f>IFERROR(s_RadSpec!$N$4*AF4,".")*$B$40</f>
        <v>1.6080254334246569E-11</v>
      </c>
      <c r="AG40" s="71">
        <f>IFERROR(s_RadSpec!$O$4*AG4,".")*$B$40</f>
        <v>6.1664332649706482E-11</v>
      </c>
      <c r="AH40" s="71">
        <f>IFERROR(s_RadSpec!$P$4*AH4,".")*$B$40</f>
        <v>1.0404350222028031E-10</v>
      </c>
      <c r="AI40" s="71">
        <f>IFERROR(s_RadSpec!$L$4*AI4,".")*$B$40</f>
        <v>8.5383800487882004E-12</v>
      </c>
      <c r="AJ40" s="49">
        <f t="shared" si="47"/>
        <v>1.1338989972798431E-10</v>
      </c>
      <c r="AK40" s="49">
        <f t="shared" si="33"/>
        <v>1.6080254334246569E-11</v>
      </c>
      <c r="AL40" s="49">
        <f t="shared" si="33"/>
        <v>6.1664332649706482E-11</v>
      </c>
      <c r="AM40" s="49">
        <f t="shared" si="33"/>
        <v>1.0404350222028031E-10</v>
      </c>
      <c r="AN40" s="49">
        <f t="shared" si="33"/>
        <v>8.5383800487882004E-12</v>
      </c>
      <c r="AO40" s="60">
        <f>IFERROR(AO4/$B40,0)</f>
        <v>0</v>
      </c>
      <c r="AP40" s="60">
        <f>IFERROR(AP4/$B40,0)</f>
        <v>32633183.552295782</v>
      </c>
      <c r="AQ40" s="60">
        <f t="shared" ref="AQ40:AQ44" si="61">IFERROR(IF(AND(AO40&lt;&gt;0,AP40&lt;&gt;0),1/((1/AO40)+(1/AP40)),IF(AND(AO40&lt;&gt;0,AP40=0),1/((1/AO40)),IF(AND(AO40=0,AP40&lt;&gt;0),1/((1/AP40)),IF(AND(AO40=".",AP40="."),".")))),".")</f>
        <v>32633183.552295785</v>
      </c>
      <c r="AR40" s="71">
        <f>IFERROR(s_RadSpec!$F$4*AR4,".")*$B$40</f>
        <v>0</v>
      </c>
      <c r="AS40" s="71">
        <f>IFERROR(s_RadSpec!$K$4*AS4,".")*$B$40</f>
        <v>1.5321827219178085E-12</v>
      </c>
      <c r="AT40" s="49">
        <f t="shared" si="48"/>
        <v>0</v>
      </c>
      <c r="AU40" s="49">
        <f t="shared" si="48"/>
        <v>1.5321827219178085E-12</v>
      </c>
      <c r="AV40" s="49">
        <f t="shared" si="49"/>
        <v>1.5321827219178085E-12</v>
      </c>
      <c r="AW40" s="60">
        <f>IFERROR(AW4/$B40,0)</f>
        <v>0</v>
      </c>
      <c r="AX40" s="60">
        <f>IFERROR(AX4/$B40,0)</f>
        <v>9317398036.1063118</v>
      </c>
      <c r="AY40" s="63">
        <f>IFERROR(AY4/$B40,0)</f>
        <v>0</v>
      </c>
      <c r="AZ40" s="63">
        <f>IFERROR(AZ4/$B40,0)</f>
        <v>0</v>
      </c>
      <c r="BA40" s="244">
        <f t="shared" si="51"/>
        <v>0</v>
      </c>
      <c r="BB40" s="244">
        <f t="shared" si="52"/>
        <v>1.0732610071232873E-10</v>
      </c>
      <c r="BC40" s="244">
        <f t="shared" si="53"/>
        <v>0</v>
      </c>
      <c r="BD40" s="244">
        <f t="shared" si="54"/>
        <v>0</v>
      </c>
      <c r="BE40" s="63">
        <f t="shared" si="19"/>
        <v>9317398036.1063118</v>
      </c>
      <c r="BF40" s="71">
        <f>IFERROR(s_RadSpec!$I$4*BF4,".")*$B$40</f>
        <v>0</v>
      </c>
      <c r="BG40" s="71">
        <f>IFERROR(s_RadSpec!$M$4*BG4,".")*$B$40</f>
        <v>5.3663050356164375E-15</v>
      </c>
      <c r="BH40" s="71">
        <f>IFERROR(s_RadSpec!$H$4*BH4,".")*$B$40</f>
        <v>0</v>
      </c>
      <c r="BI40" s="71">
        <f>IFERROR(s_RadSpec!$H$4*BI4,".")*$B$40</f>
        <v>0</v>
      </c>
      <c r="BJ40" s="49">
        <f t="shared" si="36"/>
        <v>0</v>
      </c>
      <c r="BK40" s="49">
        <f t="shared" si="37"/>
        <v>5.3663050356164375E-15</v>
      </c>
      <c r="BL40" s="49">
        <f t="shared" si="38"/>
        <v>0</v>
      </c>
      <c r="BM40" s="49">
        <f t="shared" si="39"/>
        <v>0</v>
      </c>
      <c r="BN40" s="49">
        <f t="shared" si="40"/>
        <v>5.3663050356164375E-15</v>
      </c>
      <c r="BO40" s="63">
        <f t="shared" ref="BO40:BP40" si="62">IFERROR(BO4/$B40,0)</f>
        <v>0</v>
      </c>
      <c r="BP40" s="63">
        <f t="shared" si="62"/>
        <v>0</v>
      </c>
      <c r="BQ40" s="71">
        <f>IFERROR(s_RadSpec!$H$4*BQ4,".")*$B$40</f>
        <v>0</v>
      </c>
      <c r="BR40" s="71">
        <f>IFERROR(s_RadSpec!$H$4*BR4,".")*$B$40</f>
        <v>0</v>
      </c>
      <c r="BS40" s="49">
        <f t="shared" si="42"/>
        <v>0</v>
      </c>
      <c r="BT40" s="49">
        <f t="shared" si="43"/>
        <v>0</v>
      </c>
    </row>
    <row r="41" spans="1:72" x14ac:dyDescent="0.25">
      <c r="A41" s="48" t="s">
        <v>1083</v>
      </c>
      <c r="B41" s="50">
        <v>0.99987999999999999</v>
      </c>
      <c r="C41" s="84"/>
      <c r="D41" s="60">
        <f>IFERROR(D8/$B41,0)</f>
        <v>138751.96683694972</v>
      </c>
      <c r="E41" s="60">
        <f>IFERROR(E8/$B41,0)</f>
        <v>20880828.572363086</v>
      </c>
      <c r="F41" s="60">
        <f>IFERROR(F8/$B41,0)</f>
        <v>486.27010521460915</v>
      </c>
      <c r="G41" s="63">
        <f>IFERROR(G8/$B41,0)</f>
        <v>527770.0456792051</v>
      </c>
      <c r="H41" s="63">
        <f>IFERROR(H8/$B41,0)</f>
        <v>0</v>
      </c>
      <c r="I41" s="244">
        <f t="shared" si="13"/>
        <v>7.2071050435999981E-6</v>
      </c>
      <c r="J41" s="244">
        <f t="shared" si="14"/>
        <v>4.789081987500987E-8</v>
      </c>
      <c r="K41" s="244">
        <f t="shared" si="15"/>
        <v>2.056470240050358E-3</v>
      </c>
      <c r="L41" s="244">
        <f t="shared" si="16"/>
        <v>1.89476460096E-6</v>
      </c>
      <c r="M41" s="244">
        <f t="shared" si="17"/>
        <v>0</v>
      </c>
      <c r="N41" s="63">
        <f t="shared" si="18"/>
        <v>484.11614902585205</v>
      </c>
      <c r="O41" s="71">
        <f>IFERROR(s_RadSpec!$E$8*O8,".")*$B$41</f>
        <v>3.6035525217999999E-10</v>
      </c>
      <c r="P41" s="71">
        <f>IFERROR(s_RadSpec!$F$8*P8,".")*B41</f>
        <v>2.3945409937504935E-12</v>
      </c>
      <c r="Q41" s="71">
        <f>IFERROR(s_RadSpec!$G$8*Q8,".")*B41</f>
        <v>1.028235120025179E-7</v>
      </c>
      <c r="R41" s="71">
        <f>IFERROR(s_RadSpec!$H$8*R8,".")*$B$41</f>
        <v>9.4738230048000011E-11</v>
      </c>
      <c r="S41" s="71">
        <f>IFERROR(s_RadSpec!$H$8*S8,".")*$B$41</f>
        <v>0</v>
      </c>
      <c r="T41" s="49">
        <f t="shared" si="28"/>
        <v>3.6035525217999999E-10</v>
      </c>
      <c r="U41" s="49">
        <f t="shared" si="29"/>
        <v>2.3945409937504935E-12</v>
      </c>
      <c r="V41" s="49">
        <f t="shared" si="30"/>
        <v>1.028235120025179E-7</v>
      </c>
      <c r="W41" s="49">
        <f t="shared" si="31"/>
        <v>9.4738230048000011E-11</v>
      </c>
      <c r="X41" s="49">
        <f t="shared" si="32"/>
        <v>0</v>
      </c>
      <c r="Y41" s="49">
        <f t="shared" si="45"/>
        <v>1.0328100002573965E-7</v>
      </c>
      <c r="Z41" s="60">
        <f>IFERROR(Z8/$B41,0)</f>
        <v>486.27010521460915</v>
      </c>
      <c r="AA41" s="60">
        <f>IFERROR(AA8/$B41,0)</f>
        <v>4117.8607051687459</v>
      </c>
      <c r="AB41" s="60">
        <f>IFERROR(AB8/$B41,0)</f>
        <v>1075.8879036552707</v>
      </c>
      <c r="AC41" s="60">
        <f>IFERROR(AC8/$B41,0)</f>
        <v>652.0556257430386</v>
      </c>
      <c r="AD41" s="60">
        <f>IFERROR(AD8/$B41,0)</f>
        <v>7466.9567690809408</v>
      </c>
      <c r="AE41" s="71">
        <f>IFERROR(s_RadSpec!$G$8*AE8,".")*$B$41</f>
        <v>1.028235120025179E-7</v>
      </c>
      <c r="AF41" s="71">
        <f>IFERROR(s_RadSpec!$N$8*AF8,".")*$B$41</f>
        <v>1.2142227136833428E-8</v>
      </c>
      <c r="AG41" s="71">
        <f>IFERROR(s_RadSpec!$O$8*AG8,".")*$B$41</f>
        <v>4.6473243011774489E-8</v>
      </c>
      <c r="AH41" s="71">
        <f>IFERROR(s_RadSpec!$P$8*AH8,".")*$B$41</f>
        <v>7.6680574518505792E-8</v>
      </c>
      <c r="AI41" s="71">
        <f>IFERROR(s_RadSpec!$L$8*AI8,".")*$B$41</f>
        <v>6.6961684051847258E-9</v>
      </c>
      <c r="AJ41" s="49">
        <f t="shared" si="47"/>
        <v>1.028235120025179E-7</v>
      </c>
      <c r="AK41" s="49">
        <f t="shared" si="33"/>
        <v>1.2142227136833428E-8</v>
      </c>
      <c r="AL41" s="49">
        <f t="shared" si="33"/>
        <v>4.6473243011774489E-8</v>
      </c>
      <c r="AM41" s="49">
        <f t="shared" si="33"/>
        <v>7.6680574518505792E-8</v>
      </c>
      <c r="AN41" s="49">
        <f t="shared" si="33"/>
        <v>6.6961684051847258E-9</v>
      </c>
      <c r="AO41" s="60">
        <f>IFERROR(AO8/$B41,0)</f>
        <v>67.400155410716692</v>
      </c>
      <c r="AP41" s="60">
        <f>IFERROR(AP8/$B41,0)</f>
        <v>59834.683341209886</v>
      </c>
      <c r="AQ41" s="60">
        <f t="shared" si="61"/>
        <v>67.324318633692982</v>
      </c>
      <c r="AR41" s="71">
        <f>IFERROR(s_RadSpec!$F$8*AR8,".")*$B$41</f>
        <v>7.4183805208333333E-7</v>
      </c>
      <c r="AS41" s="71">
        <f>IFERROR(s_RadSpec!$K$8*AS8,".")*$B$41</f>
        <v>8.3563574181336991E-10</v>
      </c>
      <c r="AT41" s="49">
        <f t="shared" si="48"/>
        <v>7.4183805208333333E-7</v>
      </c>
      <c r="AU41" s="49">
        <f t="shared" si="48"/>
        <v>8.3563574181336991E-10</v>
      </c>
      <c r="AV41" s="49">
        <f t="shared" si="49"/>
        <v>7.4267368782514673E-7</v>
      </c>
      <c r="AW41" s="60">
        <f>IFERROR(AW8/$B41,0)</f>
        <v>2242.0596101116594</v>
      </c>
      <c r="AX41" s="60">
        <f>IFERROR(AX8/$B41,0)</f>
        <v>17225136.113378603</v>
      </c>
      <c r="AY41" s="63">
        <f>IFERROR(AY8/$B41,0)</f>
        <v>3166620274.0752306</v>
      </c>
      <c r="AZ41" s="63">
        <f>IFERROR(AZ8/$B41,0)</f>
        <v>0</v>
      </c>
      <c r="BA41" s="244">
        <f t="shared" si="51"/>
        <v>4.4601847136000003E-4</v>
      </c>
      <c r="BB41" s="244">
        <f t="shared" si="52"/>
        <v>5.8054693641770954E-8</v>
      </c>
      <c r="BC41" s="244">
        <f t="shared" si="53"/>
        <v>3.1579410016000001E-10</v>
      </c>
      <c r="BD41" s="244">
        <f t="shared" si="54"/>
        <v>0</v>
      </c>
      <c r="BE41" s="63">
        <f t="shared" si="19"/>
        <v>2241.7662299118565</v>
      </c>
      <c r="BF41" s="71">
        <f>IFERROR(s_RadSpec!$I$8*BF8,".")*$B$41</f>
        <v>2.2300923568E-8</v>
      </c>
      <c r="BG41" s="71">
        <f>IFERROR(s_RadSpec!$M$8*BG8,".")*$B$41</f>
        <v>2.9027346820885476E-12</v>
      </c>
      <c r="BH41" s="71">
        <f>IFERROR(s_RadSpec!$H$8*BH8,".")*$B$41</f>
        <v>1.5789705008000003E-14</v>
      </c>
      <c r="BI41" s="71">
        <f>IFERROR(s_RadSpec!$H$8*BI8,".")*$B$41</f>
        <v>0</v>
      </c>
      <c r="BJ41" s="49">
        <f t="shared" si="36"/>
        <v>2.2300923568E-8</v>
      </c>
      <c r="BK41" s="49">
        <f t="shared" si="37"/>
        <v>2.9027346820885476E-12</v>
      </c>
      <c r="BL41" s="49">
        <f t="shared" si="38"/>
        <v>1.5789705008000003E-14</v>
      </c>
      <c r="BM41" s="49">
        <f t="shared" si="39"/>
        <v>0</v>
      </c>
      <c r="BN41" s="49">
        <f t="shared" si="40"/>
        <v>2.2303826302682088E-8</v>
      </c>
      <c r="BO41" s="63">
        <f t="shared" ref="BO41:BP41" si="63">IFERROR(BO8/$B41,0)</f>
        <v>12666.481096300922</v>
      </c>
      <c r="BP41" s="63">
        <f t="shared" si="63"/>
        <v>12666.481096300922</v>
      </c>
      <c r="BQ41" s="71">
        <f>IFERROR(s_RadSpec!$H$8*BQ8,".")*$B$41</f>
        <v>3.9474262520000002E-9</v>
      </c>
      <c r="BR41" s="71">
        <f>IFERROR(s_RadSpec!$H$8*BR8,".")*$B$41</f>
        <v>3.9474262520000002E-9</v>
      </c>
      <c r="BS41" s="49">
        <f t="shared" si="42"/>
        <v>3.9474262520000002E-9</v>
      </c>
      <c r="BT41" s="49">
        <f t="shared" si="43"/>
        <v>3.9474262520000002E-9</v>
      </c>
    </row>
    <row r="42" spans="1:72" x14ac:dyDescent="0.25">
      <c r="A42" s="48" t="s">
        <v>1084</v>
      </c>
      <c r="B42" s="15">
        <v>0.97898250799999997</v>
      </c>
      <c r="C42" s="42"/>
      <c r="D42" s="60">
        <f>IFERROR(D19/$B42,0)</f>
        <v>0</v>
      </c>
      <c r="E42" s="60">
        <f>IFERROR(E19/$B42,0)</f>
        <v>0</v>
      </c>
      <c r="F42" s="60">
        <f>IFERROR(F19/$B42,0)</f>
        <v>1080215.314528767</v>
      </c>
      <c r="G42" s="63">
        <f>IFERROR(G19/$B42,0)</f>
        <v>0</v>
      </c>
      <c r="H42" s="63">
        <f>IFERROR(H19/$B42,0)</f>
        <v>0</v>
      </c>
      <c r="I42" s="244">
        <f t="shared" si="13"/>
        <v>0</v>
      </c>
      <c r="J42" s="244">
        <f t="shared" si="14"/>
        <v>0</v>
      </c>
      <c r="K42" s="244">
        <f t="shared" si="15"/>
        <v>9.2574136521684097E-7</v>
      </c>
      <c r="L42" s="244">
        <f t="shared" si="16"/>
        <v>0</v>
      </c>
      <c r="M42" s="244">
        <f t="shared" si="17"/>
        <v>0</v>
      </c>
      <c r="N42" s="63">
        <f t="shared" si="18"/>
        <v>1080215.314528767</v>
      </c>
      <c r="O42" s="72">
        <f>IFERROR(s_RadSpec!$E$19*O19,".")*$B$42</f>
        <v>0</v>
      </c>
      <c r="P42" s="72">
        <f>IFERROR(s_RadSpec!$F$19*P19,".")*B42</f>
        <v>0</v>
      </c>
      <c r="Q42" s="72">
        <f>IFERROR(s_RadSpec!$G$19*Q19,".")*B42</f>
        <v>4.6287068260842065E-11</v>
      </c>
      <c r="R42" s="72">
        <f>IFERROR(s_RadSpec!$H$19*R19,".")*$B$42</f>
        <v>0</v>
      </c>
      <c r="S42" s="72">
        <f>IFERROR(s_RadSpec!$H$19*S19,".")*$B$42</f>
        <v>0</v>
      </c>
      <c r="T42" s="49">
        <f t="shared" si="28"/>
        <v>0</v>
      </c>
      <c r="U42" s="49">
        <f t="shared" si="29"/>
        <v>0</v>
      </c>
      <c r="V42" s="49">
        <f t="shared" si="30"/>
        <v>4.6287068260842065E-11</v>
      </c>
      <c r="W42" s="49">
        <f t="shared" si="31"/>
        <v>0</v>
      </c>
      <c r="X42" s="49">
        <f t="shared" si="32"/>
        <v>0</v>
      </c>
      <c r="Y42" s="49">
        <f t="shared" si="45"/>
        <v>4.6287068260842065E-11</v>
      </c>
      <c r="Z42" s="60">
        <f>IFERROR(Z19/$B42,0)</f>
        <v>1080215.314528767</v>
      </c>
      <c r="AA42" s="60">
        <f>IFERROR(AA19/$B42,0)</f>
        <v>10712514.649432251</v>
      </c>
      <c r="AB42" s="60">
        <f>IFERROR(AB19/$B42,0)</f>
        <v>2636838.2922753734</v>
      </c>
      <c r="AC42" s="60">
        <f>IFERROR(AC19/$B42,0)</f>
        <v>1412180.912330807</v>
      </c>
      <c r="AD42" s="60">
        <f>IFERROR(AD19/$B42,0)</f>
        <v>18959668.49867839</v>
      </c>
      <c r="AE42" s="72">
        <f>IFERROR(s_RadSpec!$G$19*AE19,".")*$B$42</f>
        <v>4.6287068260842065E-11</v>
      </c>
      <c r="AF42" s="72">
        <f>IFERROR(s_RadSpec!$N$19*AF19,".")*$B$42</f>
        <v>4.6674381913353949E-12</v>
      </c>
      <c r="AG42" s="72">
        <f>IFERROR(s_RadSpec!$O$19*AG19,".")*$B$42</f>
        <v>1.8962103268325242E-11</v>
      </c>
      <c r="AH42" s="72">
        <f>IFERROR(s_RadSpec!$P$19*AH19,".")*$B$42</f>
        <v>3.5406228453743169E-11</v>
      </c>
      <c r="AI42" s="72">
        <f>IFERROR(s_RadSpec!$L$19*AI19,".")*$B$42</f>
        <v>2.6371769107400437E-12</v>
      </c>
      <c r="AJ42" s="49">
        <f t="shared" si="47"/>
        <v>4.6287068260842065E-11</v>
      </c>
      <c r="AK42" s="49">
        <f t="shared" si="33"/>
        <v>4.6674381913353949E-12</v>
      </c>
      <c r="AL42" s="49">
        <f t="shared" si="33"/>
        <v>1.8962103268325242E-11</v>
      </c>
      <c r="AM42" s="49">
        <f t="shared" si="33"/>
        <v>3.5406228453743169E-11</v>
      </c>
      <c r="AN42" s="49">
        <f t="shared" si="33"/>
        <v>2.6371769107400437E-12</v>
      </c>
      <c r="AO42" s="60">
        <f>IFERROR(AO19/$B42,0)</f>
        <v>0</v>
      </c>
      <c r="AP42" s="60">
        <f>IFERROR(AP19/$B42,0)</f>
        <v>201935048.33329412</v>
      </c>
      <c r="AQ42" s="60">
        <f t="shared" si="61"/>
        <v>201935048.33329412</v>
      </c>
      <c r="AR42" s="72">
        <f>IFERROR(s_RadSpec!$F$19*AR19,".")*$B$42</f>
        <v>0</v>
      </c>
      <c r="AS42" s="72">
        <f>IFERROR(s_RadSpec!$K$19*AS19,".")*$B$42</f>
        <v>2.4760436790286605E-13</v>
      </c>
      <c r="AT42" s="49">
        <f t="shared" si="48"/>
        <v>0</v>
      </c>
      <c r="AU42" s="49">
        <f t="shared" si="48"/>
        <v>2.4760436790286605E-13</v>
      </c>
      <c r="AV42" s="49">
        <f t="shared" si="49"/>
        <v>2.4760436790286605E-13</v>
      </c>
      <c r="AW42" s="60">
        <f>IFERROR(AW19/$B42,0)</f>
        <v>0</v>
      </c>
      <c r="AX42" s="60">
        <f>IFERROR(AX19/$B42,0)</f>
        <v>58250494711.527161</v>
      </c>
      <c r="AY42" s="63">
        <f>IFERROR(AY19/$B42,0)</f>
        <v>0</v>
      </c>
      <c r="AZ42" s="63">
        <f>IFERROR(AZ19/$B42,0)</f>
        <v>0</v>
      </c>
      <c r="BA42" s="244">
        <f t="shared" si="51"/>
        <v>0</v>
      </c>
      <c r="BB42" s="244">
        <f t="shared" si="52"/>
        <v>1.7167236174598713E-11</v>
      </c>
      <c r="BC42" s="244">
        <f t="shared" si="53"/>
        <v>0</v>
      </c>
      <c r="BD42" s="244">
        <f t="shared" si="54"/>
        <v>0</v>
      </c>
      <c r="BE42" s="63">
        <f t="shared" si="19"/>
        <v>58250494711.527153</v>
      </c>
      <c r="BF42" s="72">
        <f>IFERROR(s_RadSpec!$I$19*BF19,".")*$B$42</f>
        <v>0</v>
      </c>
      <c r="BG42" s="72">
        <f>IFERROR(s_RadSpec!$M$19*BG19,".")*$B$42</f>
        <v>8.583618087299356E-16</v>
      </c>
      <c r="BH42" s="72">
        <f>IFERROR(s_RadSpec!$H$19*BH19,".")*$B$42</f>
        <v>0</v>
      </c>
      <c r="BI42" s="72">
        <f>IFERROR(s_RadSpec!$H$19*BI19,".")*$B$42</f>
        <v>0</v>
      </c>
      <c r="BJ42" s="49">
        <f t="shared" si="36"/>
        <v>0</v>
      </c>
      <c r="BK42" s="49">
        <f t="shared" si="37"/>
        <v>8.583618087299356E-16</v>
      </c>
      <c r="BL42" s="49">
        <f t="shared" si="38"/>
        <v>0</v>
      </c>
      <c r="BM42" s="49">
        <f t="shared" si="39"/>
        <v>0</v>
      </c>
      <c r="BN42" s="49">
        <f t="shared" si="40"/>
        <v>8.583618087299356E-16</v>
      </c>
      <c r="BO42" s="63">
        <f t="shared" ref="BO42:BP42" si="64">IFERROR(BO19/$B42,0)</f>
        <v>0</v>
      </c>
      <c r="BP42" s="63">
        <f t="shared" si="64"/>
        <v>0</v>
      </c>
      <c r="BQ42" s="72">
        <f>IFERROR(s_RadSpec!$H$19*BQ19,".")*$B$42</f>
        <v>0</v>
      </c>
      <c r="BR42" s="72">
        <f>IFERROR(s_RadSpec!$H$19*BR19,".")*$B$42</f>
        <v>0</v>
      </c>
      <c r="BS42" s="49">
        <f t="shared" si="42"/>
        <v>0</v>
      </c>
      <c r="BT42" s="49">
        <f t="shared" si="43"/>
        <v>0</v>
      </c>
    </row>
    <row r="43" spans="1:72" x14ac:dyDescent="0.25">
      <c r="A43" s="48" t="s">
        <v>1085</v>
      </c>
      <c r="B43" s="15">
        <v>2.0897492E-2</v>
      </c>
      <c r="C43" s="42"/>
      <c r="D43" s="60">
        <f>IFERROR(D28/$B43,0)</f>
        <v>0</v>
      </c>
      <c r="E43" s="60">
        <f>IFERROR(E28/$B43,0)</f>
        <v>0</v>
      </c>
      <c r="F43" s="60">
        <f>IFERROR(F28/$B43,0)</f>
        <v>602.96907373755619</v>
      </c>
      <c r="G43" s="63">
        <f>IFERROR(G28/$B43,0)</f>
        <v>0</v>
      </c>
      <c r="H43" s="63">
        <f>IFERROR(H28/$B43,0)</f>
        <v>0</v>
      </c>
      <c r="I43" s="244">
        <f t="shared" si="13"/>
        <v>0</v>
      </c>
      <c r="J43" s="244">
        <f t="shared" si="14"/>
        <v>0</v>
      </c>
      <c r="K43" s="244">
        <f t="shared" si="15"/>
        <v>1.6584598506875538E-3</v>
      </c>
      <c r="L43" s="244">
        <f t="shared" si="16"/>
        <v>0</v>
      </c>
      <c r="M43" s="244">
        <f t="shared" si="17"/>
        <v>0</v>
      </c>
      <c r="N43" s="63">
        <f t="shared" si="18"/>
        <v>602.96907373755619</v>
      </c>
      <c r="O43" s="72">
        <f>IFERROR(s_RadSpec!E28*O28,".")*$B$43</f>
        <v>0</v>
      </c>
      <c r="P43" s="72">
        <f>IFERROR(s_RadSpec!H28*P28,".")*B43</f>
        <v>0</v>
      </c>
      <c r="Q43" s="72">
        <f>IFERROR(s_RadSpec!G28*Q28,".")*B43</f>
        <v>8.2922992534377699E-8</v>
      </c>
      <c r="R43" s="72">
        <f>IFERROR(s_RadSpec!$H$28*R28,".")*$B$43</f>
        <v>0</v>
      </c>
      <c r="S43" s="72">
        <f>IFERROR(s_RadSpec!$H$28*S28,".")*$B$43</f>
        <v>0</v>
      </c>
      <c r="T43" s="49">
        <f t="shared" si="28"/>
        <v>0</v>
      </c>
      <c r="U43" s="49">
        <f t="shared" si="29"/>
        <v>0</v>
      </c>
      <c r="V43" s="49">
        <f t="shared" si="30"/>
        <v>8.2922992534377699E-8</v>
      </c>
      <c r="W43" s="49">
        <f t="shared" si="31"/>
        <v>0</v>
      </c>
      <c r="X43" s="49">
        <f t="shared" si="32"/>
        <v>0</v>
      </c>
      <c r="Y43" s="49">
        <f t="shared" si="45"/>
        <v>8.2922992534377699E-8</v>
      </c>
      <c r="Z43" s="60">
        <f>IFERROR(Z28/$B43,0)</f>
        <v>602.96907373755619</v>
      </c>
      <c r="AA43" s="60">
        <f>IFERROR(AA28/$B43,0)</f>
        <v>7282.9076125832999</v>
      </c>
      <c r="AB43" s="60">
        <f>IFERROR(AB28/$B43,0)</f>
        <v>1760.2626392206846</v>
      </c>
      <c r="AC43" s="60">
        <f>IFERROR(AC28/$B43,0)</f>
        <v>957.73474101106251</v>
      </c>
      <c r="AD43" s="60">
        <f>IFERROR(AD28/$B43,0)</f>
        <v>13141.290141825075</v>
      </c>
      <c r="AE43" s="72">
        <f>IFERROR(s_RadSpec!$G$28*AE28,".")*$B$43</f>
        <v>8.2922992534377699E-8</v>
      </c>
      <c r="AF43" s="72">
        <f>IFERROR(s_RadSpec!$N$28*AF28,".")*$B$43</f>
        <v>6.8653898497367671E-9</v>
      </c>
      <c r="AG43" s="72">
        <f>IFERROR(s_RadSpec!$O$28*AG28,".")*$B$43</f>
        <v>2.8404852143050843E-8</v>
      </c>
      <c r="AH43" s="72">
        <f>IFERROR(s_RadSpec!$P$28*AH28,".")*$B$43</f>
        <v>5.2206522180886889E-8</v>
      </c>
      <c r="AI43" s="72">
        <f>IFERROR(s_RadSpec!$L$28*AI28,".")*$B$43</f>
        <v>3.8048014662475109E-9</v>
      </c>
      <c r="AJ43" s="49">
        <f t="shared" si="47"/>
        <v>8.2922992534377699E-8</v>
      </c>
      <c r="AK43" s="49">
        <f t="shared" si="33"/>
        <v>6.8653898497367671E-9</v>
      </c>
      <c r="AL43" s="49">
        <f t="shared" si="33"/>
        <v>2.8404852143050843E-8</v>
      </c>
      <c r="AM43" s="49">
        <f t="shared" si="33"/>
        <v>5.2206522180886889E-8</v>
      </c>
      <c r="AN43" s="49">
        <f t="shared" si="33"/>
        <v>3.8048014662475109E-9</v>
      </c>
      <c r="AO43" s="60">
        <f>IFERROR(AO28/$B43,0)</f>
        <v>0</v>
      </c>
      <c r="AP43" s="60">
        <f>IFERROR(AP28/$B43,0)</f>
        <v>159205.36587461611</v>
      </c>
      <c r="AQ43" s="60">
        <f t="shared" si="61"/>
        <v>159205.36587461611</v>
      </c>
      <c r="AR43" s="72">
        <f>IFERROR(s_RadSpec!$F$28*AR28,".")*$B$43</f>
        <v>0</v>
      </c>
      <c r="AS43" s="72">
        <f>IFERROR(s_RadSpec!$K$28*AS28,".")*$B$43</f>
        <v>3.1405976629819151E-10</v>
      </c>
      <c r="AT43" s="49">
        <f t="shared" si="48"/>
        <v>0</v>
      </c>
      <c r="AU43" s="49">
        <f t="shared" si="48"/>
        <v>3.1405976629819151E-10</v>
      </c>
      <c r="AV43" s="49">
        <f t="shared" si="49"/>
        <v>3.1405976629819151E-10</v>
      </c>
      <c r="AW43" s="60">
        <f>IFERROR(AW28/$B43,0)</f>
        <v>0</v>
      </c>
      <c r="AX43" s="60">
        <f>IFERROR(AX28/$B43,0)</f>
        <v>45838623.601539746</v>
      </c>
      <c r="AY43" s="63">
        <f>IFERROR(AY28/$B43,0)</f>
        <v>0</v>
      </c>
      <c r="AZ43" s="63">
        <f>IFERROR(AZ28/$B43,0)</f>
        <v>0</v>
      </c>
      <c r="BA43" s="244">
        <f t="shared" si="51"/>
        <v>0</v>
      </c>
      <c r="BB43" s="244">
        <f t="shared" si="52"/>
        <v>2.1815663766274374E-8</v>
      </c>
      <c r="BC43" s="244">
        <f t="shared" si="53"/>
        <v>0</v>
      </c>
      <c r="BD43" s="244">
        <f t="shared" si="54"/>
        <v>0</v>
      </c>
      <c r="BE43" s="63">
        <f t="shared" si="19"/>
        <v>45838623.601539746</v>
      </c>
      <c r="BF43" s="72">
        <f>IFERROR(s_RadSpec!$I$28*BF28,".")*$B$43</f>
        <v>0</v>
      </c>
      <c r="BG43" s="72">
        <f>IFERROR(s_RadSpec!$M$28*BG28,".")*$B$43</f>
        <v>1.0907831883137189E-12</v>
      </c>
      <c r="BH43" s="72">
        <f>IFERROR(s_RadSpec!$H$28*BH28,".")*$B$43</f>
        <v>0</v>
      </c>
      <c r="BI43" s="72">
        <f>IFERROR(s_RadSpec!$H$28*BI28,".")*$B$43</f>
        <v>0</v>
      </c>
      <c r="BJ43" s="49">
        <f t="shared" si="36"/>
        <v>0</v>
      </c>
      <c r="BK43" s="49">
        <f t="shared" si="37"/>
        <v>1.0907831883137189E-12</v>
      </c>
      <c r="BL43" s="49">
        <f t="shared" si="38"/>
        <v>0</v>
      </c>
      <c r="BM43" s="49">
        <f t="shared" si="39"/>
        <v>0</v>
      </c>
      <c r="BN43" s="49">
        <f t="shared" si="40"/>
        <v>1.0907831883137189E-12</v>
      </c>
      <c r="BO43" s="63">
        <f t="shared" ref="BO43:BP43" si="65">IFERROR(BO28/$B43,0)</f>
        <v>0</v>
      </c>
      <c r="BP43" s="63">
        <f t="shared" si="65"/>
        <v>0</v>
      </c>
      <c r="BQ43" s="72">
        <f>IFERROR(s_RadSpec!$H$28*BQ28,".")*$B$43</f>
        <v>0</v>
      </c>
      <c r="BR43" s="72">
        <f>IFERROR(s_RadSpec!$H$28*BR28,".")*$B$43</f>
        <v>0</v>
      </c>
      <c r="BS43" s="49">
        <f t="shared" si="42"/>
        <v>0</v>
      </c>
      <c r="BT43" s="49">
        <f t="shared" si="43"/>
        <v>0</v>
      </c>
    </row>
    <row r="44" spans="1:72" x14ac:dyDescent="0.25">
      <c r="A44" s="48" t="s">
        <v>1086</v>
      </c>
      <c r="B44" s="15">
        <v>0.99987999999999999</v>
      </c>
      <c r="C44" s="42"/>
      <c r="D44" s="60">
        <f>IFERROR(D15/$B44,0)</f>
        <v>264367.65278992779</v>
      </c>
      <c r="E44" s="60">
        <f>IFERROR(E15/$B44,0)</f>
        <v>7430899847.8160448</v>
      </c>
      <c r="F44" s="60">
        <f>IFERROR(F15/$B44,0)</f>
        <v>0</v>
      </c>
      <c r="G44" s="63">
        <f>IFERROR(G15/$B44,0)</f>
        <v>4600045.4602593109</v>
      </c>
      <c r="H44" s="63">
        <f>IFERROR(H15/$B44,0)</f>
        <v>0</v>
      </c>
      <c r="I44" s="244">
        <f t="shared" si="13"/>
        <v>3.7826110322000004E-6</v>
      </c>
      <c r="J44" s="244">
        <f t="shared" si="14"/>
        <v>1.3457320384877773E-10</v>
      </c>
      <c r="K44" s="244">
        <f t="shared" si="15"/>
        <v>0</v>
      </c>
      <c r="L44" s="244">
        <f t="shared" si="16"/>
        <v>2.1738915596360837E-7</v>
      </c>
      <c r="M44" s="244">
        <f t="shared" si="17"/>
        <v>0</v>
      </c>
      <c r="N44" s="63">
        <f t="shared" si="18"/>
        <v>249991.57769828412</v>
      </c>
      <c r="O44" s="71">
        <f>IFERROR(s_RadSpec!$E$15*O15,".")*$B$44</f>
        <v>1.8913055160999999E-10</v>
      </c>
      <c r="P44" s="71">
        <f>IFERROR(s_RadSpec!$F$15*P15,".")*B44</f>
        <v>6.7286601924388865E-15</v>
      </c>
      <c r="Q44" s="71">
        <f>IFERROR(s_RadSpec!$G$15*Q15,".")*B44</f>
        <v>0</v>
      </c>
      <c r="R44" s="71">
        <f>IFERROR(s_RadSpec!$H$15*R15,".")*$B$44</f>
        <v>1.086945779818042E-11</v>
      </c>
      <c r="S44" s="71">
        <f>IFERROR(s_RadSpec!$H$15*S15,".")*$B$44</f>
        <v>0</v>
      </c>
      <c r="T44" s="49">
        <f t="shared" si="28"/>
        <v>1.8913055160999999E-10</v>
      </c>
      <c r="U44" s="49">
        <f t="shared" si="29"/>
        <v>6.7286601924388865E-15</v>
      </c>
      <c r="V44" s="49">
        <f t="shared" si="30"/>
        <v>0</v>
      </c>
      <c r="W44" s="49">
        <f t="shared" si="31"/>
        <v>1.086945779818042E-11</v>
      </c>
      <c r="X44" s="49">
        <f t="shared" si="32"/>
        <v>0</v>
      </c>
      <c r="Y44" s="49">
        <f t="shared" si="45"/>
        <v>2.0000673806837284E-10</v>
      </c>
      <c r="Z44" s="60">
        <f>IFERROR(Z15/$B44,0)</f>
        <v>0</v>
      </c>
      <c r="AA44" s="60">
        <f>IFERROR(AA15/$B44,0)</f>
        <v>0</v>
      </c>
      <c r="AB44" s="60">
        <f>IFERROR(AB15/$B44,0)</f>
        <v>0</v>
      </c>
      <c r="AC44" s="60">
        <f>IFERROR(AC15/$B44,0)</f>
        <v>0</v>
      </c>
      <c r="AD44" s="60">
        <f>IFERROR(AD15/$B44,0)</f>
        <v>0</v>
      </c>
      <c r="AE44" s="71">
        <f>IFERROR(s_RadSpec!$G$15*AE15,".")*$B$44</f>
        <v>0</v>
      </c>
      <c r="AF44" s="71">
        <f>IFERROR(s_RadSpec!$N$15*AF15,".")*$B$44</f>
        <v>0</v>
      </c>
      <c r="AG44" s="71">
        <f>IFERROR(s_RadSpec!$O$15*AG15,".")*$B$44</f>
        <v>0</v>
      </c>
      <c r="AH44" s="71">
        <f>IFERROR(s_RadSpec!$P$15*AH15,".")*$B$44</f>
        <v>0</v>
      </c>
      <c r="AI44" s="71">
        <f>IFERROR(s_RadSpec!$L$15*AI15,".")*$B$44</f>
        <v>0</v>
      </c>
      <c r="AJ44" s="49">
        <f t="shared" si="47"/>
        <v>0</v>
      </c>
      <c r="AK44" s="49">
        <f t="shared" si="33"/>
        <v>0</v>
      </c>
      <c r="AL44" s="49">
        <f t="shared" si="33"/>
        <v>0</v>
      </c>
      <c r="AM44" s="49">
        <f t="shared" si="33"/>
        <v>0</v>
      </c>
      <c r="AN44" s="49">
        <f t="shared" si="33"/>
        <v>0</v>
      </c>
      <c r="AO44" s="60">
        <f>IFERROR(AO15/$B44,0)</f>
        <v>23985.820430860029</v>
      </c>
      <c r="AP44" s="60">
        <f>IFERROR(AP15/$B44,0)</f>
        <v>18688092.8791724</v>
      </c>
      <c r="AQ44" s="60">
        <f t="shared" si="61"/>
        <v>23955.074537206125</v>
      </c>
      <c r="AR44" s="71">
        <f>IFERROR(s_RadSpec!$F$15*AR15,".")*$B$44</f>
        <v>2.0845649263541666E-9</v>
      </c>
      <c r="AS44" s="71">
        <f>IFERROR(s_RadSpec!$K$15*AS15,".")*$B$44</f>
        <v>2.6755004014200004E-12</v>
      </c>
      <c r="AT44" s="49">
        <f t="shared" si="48"/>
        <v>2.0845649263541666E-9</v>
      </c>
      <c r="AU44" s="49">
        <f t="shared" si="48"/>
        <v>2.6755004014200004E-12</v>
      </c>
      <c r="AV44" s="49">
        <f t="shared" si="49"/>
        <v>2.0872404267555867E-9</v>
      </c>
      <c r="AW44" s="60">
        <f>IFERROR(AW15/$B44,0)</f>
        <v>4718.3128507726169</v>
      </c>
      <c r="AX44" s="60">
        <f>IFERROR(AX15/$B44,0)</f>
        <v>8569288820.223526</v>
      </c>
      <c r="AY44" s="63">
        <f>IFERROR(AY15/$B44,0)</f>
        <v>18632827818.337723</v>
      </c>
      <c r="AZ44" s="63">
        <f>IFERROR(AZ15/$B44,0)</f>
        <v>0</v>
      </c>
      <c r="BA44" s="244">
        <f t="shared" si="51"/>
        <v>2.1194016412799999E-4</v>
      </c>
      <c r="BB44" s="244">
        <f t="shared" si="52"/>
        <v>1.1669579833042847E-10</v>
      </c>
      <c r="BC44" s="244">
        <f t="shared" si="53"/>
        <v>5.3668718980799998E-11</v>
      </c>
      <c r="BD44" s="244">
        <f t="shared" si="54"/>
        <v>0</v>
      </c>
      <c r="BE44" s="63">
        <f t="shared" si="19"/>
        <v>4718.3090580396602</v>
      </c>
      <c r="BF44" s="71">
        <f>IFERROR(s_RadSpec!$I$15*BF15,".")*$B$44</f>
        <v>1.05970082064E-8</v>
      </c>
      <c r="BG44" s="71">
        <f>IFERROR(s_RadSpec!$M$15*BG15,".")*$B$44</f>
        <v>5.8347899165214243E-15</v>
      </c>
      <c r="BH44" s="71">
        <f>IFERROR(s_RadSpec!$H$15*BH15,".")*$B$44</f>
        <v>2.6834359490399997E-15</v>
      </c>
      <c r="BI44" s="71">
        <f>IFERROR(s_RadSpec!$H$15*BI15,".")*$B$44</f>
        <v>0</v>
      </c>
      <c r="BJ44" s="49">
        <f t="shared" si="36"/>
        <v>1.05970082064E-8</v>
      </c>
      <c r="BK44" s="49">
        <f t="shared" si="37"/>
        <v>5.8347899165214243E-15</v>
      </c>
      <c r="BL44" s="49">
        <f t="shared" si="38"/>
        <v>2.6834359490399997E-15</v>
      </c>
      <c r="BM44" s="49">
        <f t="shared" si="39"/>
        <v>0</v>
      </c>
      <c r="BN44" s="49">
        <f t="shared" si="40"/>
        <v>1.0597014041189917E-8</v>
      </c>
      <c r="BO44" s="63">
        <f t="shared" ref="BO44:BP44" si="66">IFERROR(BO15/$B44,0)</f>
        <v>26085.958945672814</v>
      </c>
      <c r="BP44" s="63">
        <f t="shared" si="66"/>
        <v>26085.958945672814</v>
      </c>
      <c r="BQ44" s="71">
        <f>IFERROR(s_RadSpec!$H$15*BQ15,".")*$B$44</f>
        <v>1.9167399636E-9</v>
      </c>
      <c r="BR44" s="71">
        <f>IFERROR(s_RadSpec!$H$15*BR15,".")*$B$44</f>
        <v>1.9167399636E-9</v>
      </c>
      <c r="BS44" s="49">
        <f t="shared" si="42"/>
        <v>1.9167399636E-9</v>
      </c>
      <c r="BT44" s="49">
        <f t="shared" si="43"/>
        <v>1.9167399636E-9</v>
      </c>
    </row>
    <row r="45" spans="1:72" x14ac:dyDescent="0.25">
      <c r="A45" s="57" t="s">
        <v>20</v>
      </c>
      <c r="B45" s="57" t="s">
        <v>1255</v>
      </c>
      <c r="C45" s="57"/>
      <c r="D45" s="58">
        <f>IFERROR(IF(AND(D46&lt;&gt;0,D47&lt;&gt;0),1/SUM(1/D46,1/D47),IF(AND(D46&lt;&gt;0,D47=0),1/(1/D46),IF(AND(D46=0,D47&lt;&gt;0),1/(1/D47),IF(AND(D46=0,D47=0),".")))),".")</f>
        <v>3884.5888648260193</v>
      </c>
      <c r="E45" s="58">
        <f t="shared" ref="E45:F45" si="67">IFERROR(IF(AND(E46&lt;&gt;0,E47&lt;&gt;0),1/SUM(1/E46,1/E47),IF(AND(E46&lt;&gt;0,E47=0),1/(1/E46),IF(AND(E46=0,E47&lt;&gt;0),1/(1/E47),IF(AND(E46=0,E47=0),".")))),".")</f>
        <v>13735738.732193686</v>
      </c>
      <c r="F45" s="58">
        <f t="shared" si="67"/>
        <v>83.701377374066155</v>
      </c>
      <c r="G45" s="61">
        <f>IFERROR(IF(AND(G46&lt;&gt;0,G47&lt;&gt;0),1/SUM(1/G46,1/G47),IF(AND(G46&lt;&gt;0,G47=0),1/(1/G46),IF(AND(G46=0,G47&lt;&gt;0),1/(1/G47),IF(AND(G46=0,G47=0),".")))),".")</f>
        <v>1337.6149376846229</v>
      </c>
      <c r="H45" s="61">
        <f>IFERROR(IF(AND(H46&lt;&gt;0,H47&lt;&gt;0),1/SUM(1/H46,1/H47),IF(AND(H46&lt;&gt;0,H47=0),1/(1/H46),IF(AND(H46=0,H47&lt;&gt;0),1/(1/H47),IF(AND(H46=0,H47=0),".")))),".")</f>
        <v>10.899084677430258</v>
      </c>
      <c r="I45" s="244">
        <f t="shared" si="13"/>
        <v>2.5742749999999997E-4</v>
      </c>
      <c r="J45" s="244">
        <f t="shared" si="14"/>
        <v>7.2802782543920272E-8</v>
      </c>
      <c r="K45" s="244">
        <f t="shared" si="15"/>
        <v>1.1947234697595762E-2</v>
      </c>
      <c r="L45" s="244">
        <f t="shared" si="16"/>
        <v>7.4759930666666618E-4</v>
      </c>
      <c r="M45" s="244">
        <f t="shared" si="17"/>
        <v>9.1750823999999967E-2</v>
      </c>
      <c r="N45" s="58">
        <f t="shared" ref="N45" si="68">IFERROR(IF(AND(N46&lt;&gt;0,N47&lt;&gt;0),1/SUM(1/N46,1/N47),IF(AND(N46&lt;&gt;0,N47=0),1/(1/N46),IF(AND(N46=0,N47&lt;&gt;0),1/(1/N47),IF(AND(N46=0,N47=0),".")))),".")</f>
        <v>9.5508102732438314</v>
      </c>
      <c r="O45" s="70"/>
      <c r="P45" s="70"/>
      <c r="Q45" s="70"/>
      <c r="R45" s="70"/>
      <c r="S45" s="70"/>
      <c r="T45" s="47">
        <f>IFERROR(IF(SUM(O46:O47)&gt;0.01,1-EXP(-SUM(O46:O47)),SUM(O46:O47)),".")</f>
        <v>1.2871374999999999E-8</v>
      </c>
      <c r="U45" s="47">
        <f>IFERROR(IF(SUM(P46:P47)&gt;0.01,1-EXP(-SUM(P46:P47)),SUM(P46:P47)),".")</f>
        <v>3.6401391271960136E-12</v>
      </c>
      <c r="V45" s="47">
        <f>IFERROR(IF(SUM(Q46:Q47)&gt;0.01,1-EXP(-SUM(Q46:Q47)),SUM(Q46:Q47)),".")</f>
        <v>5.9736173487978823E-7</v>
      </c>
      <c r="W45" s="47">
        <f>IFERROR(IF(SUM(R46:R47)&gt;0.01,1-EXP(-SUM(R46:R47)),SUM(R46:R47)),".")</f>
        <v>3.7379965333333326E-8</v>
      </c>
      <c r="X45" s="47">
        <f>IFERROR(IF(SUM(S46:S47)&gt;0.01,1-EXP(-SUM(S46:S47)),SUM(S46:S47)),".")</f>
        <v>4.5875411999999992E-6</v>
      </c>
      <c r="Y45" s="47">
        <f>IFERROR(IF(SUM(O46:S47)&gt;0.01,1-EXP(-SUM(O46:S47)),SUM(O46:S47)),".")</f>
        <v>5.2351579153522482E-6</v>
      </c>
      <c r="Z45" s="59">
        <f t="shared" ref="Z45:AD45" si="69">IFERROR(IF(AND(Z46&lt;&gt;0,Z47&lt;&gt;0),1/SUM(1/Z46,1/Z47),IF(AND(Z46&lt;&gt;0,Z47=0),1/(1/Z46),IF(AND(Z46=0,Z47&lt;&gt;0),1/(1/Z47),IF(AND(Z46=0,Z47=0),".")))),".")</f>
        <v>83.701377374066155</v>
      </c>
      <c r="AA45" s="59">
        <f t="shared" si="69"/>
        <v>766.46785899179577</v>
      </c>
      <c r="AB45" s="59">
        <f t="shared" si="69"/>
        <v>192.08749778479924</v>
      </c>
      <c r="AC45" s="59">
        <f t="shared" si="69"/>
        <v>102.44603505825367</v>
      </c>
      <c r="AD45" s="59">
        <f t="shared" si="69"/>
        <v>1313.9989602473488</v>
      </c>
      <c r="AE45" s="70"/>
      <c r="AF45" s="70"/>
      <c r="AG45" s="70"/>
      <c r="AH45" s="70"/>
      <c r="AI45" s="70"/>
      <c r="AJ45" s="47">
        <f>IFERROR(IF(SUM(AE46:AE47)&gt;0.01,1-EXP(-SUM(AE46:AE47)),SUM(AE46:AE47)),".")</f>
        <v>5.9736173487978823E-7</v>
      </c>
      <c r="AK45" s="47">
        <f t="shared" ref="AK45:AN45" si="70">IFERROR(IF(SUM(AF46:AF47)&gt;0.01,1-EXP(-SUM(AF46:AF47)),SUM(AF46:AF47)),".")</f>
        <v>6.5234307496950381E-8</v>
      </c>
      <c r="AL45" s="47">
        <f t="shared" si="70"/>
        <v>2.6029804425906124E-7</v>
      </c>
      <c r="AM45" s="47">
        <f t="shared" si="70"/>
        <v>4.8806183637627954E-7</v>
      </c>
      <c r="AN45" s="47">
        <f t="shared" si="70"/>
        <v>3.8051780490441141E-8</v>
      </c>
      <c r="AO45" s="58">
        <f t="shared" ref="AO45:AQ45" si="71">IFERROR(IF(AND(AO46&lt;&gt;0,AO47&lt;&gt;0),1/SUM(1/AO46,1/AO47),IF(AND(AO46&lt;&gt;0,AO47=0),1/(1/AO46),IF(AND(AO46=0,AO47&lt;&gt;0),1/(1/AO47),IF(AND(AO46=0,AO47=0),".")))),".")</f>
        <v>44.336886442149606</v>
      </c>
      <c r="AP45" s="58">
        <f t="shared" si="71"/>
        <v>13370.52986535405</v>
      </c>
      <c r="AQ45" s="59">
        <f t="shared" si="71"/>
        <v>44.190350547626402</v>
      </c>
      <c r="AR45" s="70"/>
      <c r="AS45" s="70"/>
      <c r="AT45" s="47">
        <f>IFERROR(IF(SUM(AR46:AR47)&gt;0.01,1-EXP(-SUM(AR46:AR47)),SUM(AR46:AR47)),".")</f>
        <v>1.1277291666666665E-6</v>
      </c>
      <c r="AU45" s="47">
        <f>IFERROR(IF(SUM(AS46:AS47)&gt;0.01,1-EXP(-SUM(AS46:AS47)),SUM(AS46:AS47)),".")</f>
        <v>3.7395675791100005E-9</v>
      </c>
      <c r="AV45" s="47">
        <f t="shared" ref="AV45" si="72">IFERROR(IF(SUM(AT46:AT47)&gt;0.01,1-EXP(-SUM(AT46:AT47)),SUM(AT46:AT47)),".")</f>
        <v>1.1277291666666665E-6</v>
      </c>
      <c r="AW45" s="58">
        <f t="shared" ref="AW45:BE45" si="73">IFERROR(IF(AND(AW46&lt;&gt;0,AW47&lt;&gt;0),1/SUM(1/AW46,1/AW47),IF(AND(AW46&lt;&gt;0,AW47=0),1/(1/AW46),IF(AND(AW46=0,AW47&lt;&gt;0),1/(1/AW47),IF(AND(AW46=0,AW47=0),".")))),".")</f>
        <v>37.272488728799409</v>
      </c>
      <c r="AX45" s="58">
        <f t="shared" si="73"/>
        <v>3857836.2458394091</v>
      </c>
      <c r="AY45" s="61">
        <f>IFERROR(IF(AND(AY46&lt;&gt;0,AY47&lt;&gt;0),1/SUM(1/AY46,1/AY47),IF(AND(AY46&lt;&gt;0,AY47=0),1/(1/AY46),IF(AND(AY46=0,AY47&lt;&gt;0),1/(1/AY47),IF(AND(AY46=0,AY47=0),".")))),".")</f>
        <v>5528808.4090964384</v>
      </c>
      <c r="AZ45" s="61">
        <f>IFERROR(IF(AND(AZ46&lt;&gt;0,AZ47&lt;&gt;0),1/SUM(1/AZ46,1/AZ47),IF(AND(AZ46&lt;&gt;0,AZ47=0),1/(1/AZ46),IF(AND(AZ46=0,AZ47&lt;&gt;0),1/(1/AZ47),IF(AND(AZ46=0,AZ47=0),".")))),".")</f>
        <v>45049.550000045056</v>
      </c>
      <c r="BA45" s="244">
        <f t="shared" si="51"/>
        <v>2.682944E-2</v>
      </c>
      <c r="BB45" s="244">
        <f t="shared" si="52"/>
        <v>2.5921266126276817E-7</v>
      </c>
      <c r="BC45" s="244">
        <f t="shared" si="53"/>
        <v>1.8087079999999999E-7</v>
      </c>
      <c r="BD45" s="244">
        <f t="shared" si="54"/>
        <v>2.2197779999999998E-5</v>
      </c>
      <c r="BE45" s="62">
        <f t="shared" si="73"/>
        <v>37.241065852886621</v>
      </c>
      <c r="BF45" s="70"/>
      <c r="BG45" s="70"/>
      <c r="BH45" s="70"/>
      <c r="BI45" s="70"/>
      <c r="BJ45" s="47">
        <f>IFERROR(IF(SUM(BF46:BF47)&gt;0.01,1-EXP(-SUM(BF46:BF47)),SUM(BF46:BF47)),".")</f>
        <v>1.3414719999999999E-6</v>
      </c>
      <c r="BK45" s="47">
        <f>IFERROR(IF(SUM(BG46:BG47)&gt;0.01,1-EXP(-SUM(BG46:BG47)),SUM(BG46:BG47)),".")</f>
        <v>1.2960633063138409E-11</v>
      </c>
      <c r="BL45" s="47">
        <f>IFERROR(IF(SUM(BH46:BH47)&gt;0.01,1-EXP(-SUM(BH46:BH47)),SUM(BH46:BH47)),".")</f>
        <v>9.0435400000000001E-12</v>
      </c>
      <c r="BM45" s="47">
        <f>IFERROR(IF(SUM(BI46:BI47)&gt;0.01,1-EXP(-SUM(BI46:BI47)),SUM(BI46:BI47)),".")</f>
        <v>1.1098889999999999E-9</v>
      </c>
      <c r="BN45" s="47">
        <f>IFERROR(IF(SUM(BF46:BG47)&gt;0.01,1-EXP(-SUM(BF46:BG47)),SUM(BF46:BG47)),".")</f>
        <v>1.341484960633063E-6</v>
      </c>
      <c r="BO45" s="61">
        <f t="shared" ref="BO45:BP45" si="74">IFERROR(IF(AND(BO46&lt;&gt;0,BO47&lt;&gt;0),1/SUM(1/BO46,1/BO47),IF(AND(BO46&lt;&gt;0,BO47=0),1/(1/BO46),IF(AND(BO46=0,BO47&lt;&gt;0),1/(1/BO47),IF(AND(BO46=0,BO47=0),".")))),".")</f>
        <v>243.26757000024332</v>
      </c>
      <c r="BP45" s="61">
        <f t="shared" si="74"/>
        <v>243.26757000024332</v>
      </c>
      <c r="BQ45" s="70"/>
      <c r="BR45" s="70"/>
      <c r="BS45" s="47">
        <f>IFERROR(IF(SUM(BQ46:BQ47)&gt;0.01,1-EXP(-SUM(BQ46:BQ47)),SUM(BQ46:BQ47)),".")</f>
        <v>2.0553500000000002E-7</v>
      </c>
      <c r="BT45" s="47">
        <f t="shared" ref="BT45" si="75">IFERROR(IF(SUM(BR46:BR47)&gt;0.01,1-EXP(-SUM(BR46:BR47)),SUM(BR46:BR47)),".")</f>
        <v>2.0553500000000002E-7</v>
      </c>
    </row>
    <row r="46" spans="1:72" x14ac:dyDescent="0.25">
      <c r="A46" s="48" t="s">
        <v>1098</v>
      </c>
      <c r="B46" s="15">
        <v>1</v>
      </c>
      <c r="C46" s="42"/>
      <c r="D46" s="60">
        <f>IFERROR(D10/$B46,0)</f>
        <v>3884.5888648260193</v>
      </c>
      <c r="E46" s="60">
        <f>IFERROR(E10/$B46,0)</f>
        <v>13735738.732193686</v>
      </c>
      <c r="F46" s="60">
        <f>IFERROR(F10/$B46,0)</f>
        <v>450431.89346158871</v>
      </c>
      <c r="G46" s="63">
        <f>IFERROR(G10/$B46,0)</f>
        <v>1337.6149376846229</v>
      </c>
      <c r="H46" s="63">
        <f>IFERROR(H10/$B46,0)</f>
        <v>10.899084677430258</v>
      </c>
      <c r="I46" s="244">
        <f t="shared" si="13"/>
        <v>2.5742749999999997E-4</v>
      </c>
      <c r="J46" s="244">
        <f t="shared" si="14"/>
        <v>7.2802782543920272E-8</v>
      </c>
      <c r="K46" s="244">
        <f t="shared" si="15"/>
        <v>2.2200914600317409E-6</v>
      </c>
      <c r="L46" s="244">
        <f t="shared" si="16"/>
        <v>7.4759930666666618E-4</v>
      </c>
      <c r="M46" s="244">
        <f t="shared" si="17"/>
        <v>9.1750823999999967E-2</v>
      </c>
      <c r="N46" s="63">
        <f t="shared" si="18"/>
        <v>10.780724582247091</v>
      </c>
      <c r="O46" s="71">
        <f>IFERROR(s_RadSpec!$E$10*O10,".")*$B$46</f>
        <v>1.2871374999999999E-8</v>
      </c>
      <c r="P46" s="71">
        <f>IFERROR(s_RadSpec!$F$10*P10,".")*B46</f>
        <v>3.6401391271960136E-12</v>
      </c>
      <c r="Q46" s="71">
        <f>IFERROR(s_RadSpec!$G$10*Q10,".")*B46</f>
        <v>1.1100457300158705E-10</v>
      </c>
      <c r="R46" s="71">
        <f>IFERROR(s_RadSpec!$H$10*R10,".")*$B$46</f>
        <v>3.7379965333333326E-8</v>
      </c>
      <c r="S46" s="71">
        <f>IFERROR(s_RadSpec!$H$10*S10,".")*$B$46</f>
        <v>4.5875411999999992E-6</v>
      </c>
      <c r="T46" s="49">
        <f t="shared" ref="T46:X47" si="76">IFERROR(IF(O46&gt;0.01,1-EXP(-O46),O46),".")</f>
        <v>1.2871374999999999E-8</v>
      </c>
      <c r="U46" s="49">
        <f t="shared" si="76"/>
        <v>3.6401391271960136E-12</v>
      </c>
      <c r="V46" s="49">
        <f t="shared" si="76"/>
        <v>1.1100457300158705E-10</v>
      </c>
      <c r="W46" s="49">
        <f t="shared" si="76"/>
        <v>3.7379965333333326E-8</v>
      </c>
      <c r="X46" s="49">
        <f t="shared" si="76"/>
        <v>4.5875411999999992E-6</v>
      </c>
      <c r="Y46" s="49">
        <f t="shared" si="45"/>
        <v>4.6379071850454613E-6</v>
      </c>
      <c r="Z46" s="60">
        <f>IFERROR(Z10/$B46,0)</f>
        <v>450431.89346158871</v>
      </c>
      <c r="AA46" s="60">
        <f>IFERROR(AA10/$B46,0)</f>
        <v>2014533.7408933809</v>
      </c>
      <c r="AB46" s="60">
        <f>IFERROR(AB10/$B46,0)</f>
        <v>652775.28591987269</v>
      </c>
      <c r="AC46" s="60">
        <f>IFERROR(AC10/$B46,0)</f>
        <v>467337.64038253075</v>
      </c>
      <c r="AD46" s="60">
        <f>IFERROR(AD10/$B46,0)</f>
        <v>1177450.6336254212</v>
      </c>
      <c r="AE46" s="71">
        <f>IFERROR(s_RadSpec!$G$10*AE10,".")*$B46</f>
        <v>1.1100457300158705E-10</v>
      </c>
      <c r="AF46" s="71">
        <f>IFERROR(s_RadSpec!$N$10*AF10,".")*$B46</f>
        <v>2.4819638899583094E-11</v>
      </c>
      <c r="AG46" s="71">
        <f>IFERROR(s_RadSpec!$O$10*AG10,".")*$B46</f>
        <v>7.6596037071993929E-11</v>
      </c>
      <c r="AH46" s="71">
        <f>IFERROR(s_RadSpec!$P$10*AH10,".")*$B46</f>
        <v>1.0698902823036769E-10</v>
      </c>
      <c r="AI46" s="71">
        <f>IFERROR(s_RadSpec!$L$10*AI10,".")*$B46</f>
        <v>4.246462532874764E-11</v>
      </c>
      <c r="AJ46" s="49">
        <f t="shared" ref="AJ46:AN47" si="77">IFERROR(IF(AE46&gt;0.01,1-EXP(-AE46),AE46),".")</f>
        <v>1.1100457300158705E-10</v>
      </c>
      <c r="AK46" s="49">
        <f t="shared" si="77"/>
        <v>2.4819638899583094E-11</v>
      </c>
      <c r="AL46" s="49">
        <f t="shared" si="77"/>
        <v>7.6596037071993929E-11</v>
      </c>
      <c r="AM46" s="49">
        <f t="shared" si="77"/>
        <v>1.0698902823036769E-10</v>
      </c>
      <c r="AN46" s="49">
        <f t="shared" si="77"/>
        <v>4.246462532874764E-11</v>
      </c>
      <c r="AO46" s="60">
        <f>IFERROR(AO10/$B46,0)</f>
        <v>44.336886442149606</v>
      </c>
      <c r="AP46" s="60">
        <f>IFERROR(AP10/$B46,0)</f>
        <v>19626864.352316026</v>
      </c>
      <c r="AQ46" s="60">
        <f t="shared" ref="AQ46:AQ47" si="78">IFERROR(IF(AND(AO46&lt;&gt;0,AP46&lt;&gt;0),1/((1/AO46)+(1/AP46)),IF(AND(AO46&lt;&gt;0,AP46=0),1/((1/AO46)),IF(AND(AO46=0,AP46&lt;&gt;0),1/((1/AP46)),IF(AND(AO46=".",AP46="."),".")))),".")</f>
        <v>44.33678628580148</v>
      </c>
      <c r="AR46" s="71">
        <f>IFERROR(s_RadSpec!$F$10*AR10,".")*$B$46</f>
        <v>1.1277291666666665E-6</v>
      </c>
      <c r="AS46" s="71">
        <f>IFERROR(s_RadSpec!$K$10*AS10,".")*$B$46</f>
        <v>2.5475286883561649E-12</v>
      </c>
      <c r="AT46" s="49">
        <f>IFERROR(IF(AR46&gt;0.01,1-EXP(-AR46),AR46),".")</f>
        <v>1.1277291666666665E-6</v>
      </c>
      <c r="AU46" s="49">
        <f>IFERROR(IF(AS46&gt;0.01,1-EXP(-AS46),AS46),".")</f>
        <v>2.5475286883561649E-12</v>
      </c>
      <c r="AV46" s="49">
        <f>IFERROR(IF(SUM(AR46:AS46)&gt;0.01,1-EXP(-SUM(AR46:AS46)),SUM(AR46:AS46)),".")</f>
        <v>1.1277317141953549E-6</v>
      </c>
      <c r="AW46" s="60">
        <f>IFERROR(AW10/$B46,0)</f>
        <v>37.272488728799409</v>
      </c>
      <c r="AX46" s="60">
        <f>IFERROR(AX10/$B46,0)</f>
        <v>8880645003.1638279</v>
      </c>
      <c r="AY46" s="63">
        <f>IFERROR(AY10/$B46,0)</f>
        <v>5528808.4090964384</v>
      </c>
      <c r="AZ46" s="63">
        <f>IFERROR(AZ10/$B46,0)</f>
        <v>45049.550000045056</v>
      </c>
      <c r="BA46" s="244">
        <f t="shared" si="51"/>
        <v>2.682944E-2</v>
      </c>
      <c r="BB46" s="244">
        <f t="shared" si="52"/>
        <v>1.1260443353424655E-10</v>
      </c>
      <c r="BC46" s="244">
        <f t="shared" si="53"/>
        <v>1.8087079999999999E-7</v>
      </c>
      <c r="BD46" s="244">
        <f t="shared" si="54"/>
        <v>2.2197779999999998E-5</v>
      </c>
      <c r="BE46" s="63">
        <f t="shared" si="19"/>
        <v>37.241425201441885</v>
      </c>
      <c r="BF46" s="71">
        <f>IFERROR(s_RadSpec!$I$10*BF10,".")*$B$46</f>
        <v>1.3414719999999999E-6</v>
      </c>
      <c r="BG46" s="71">
        <f>IFERROR(s_RadSpec!$M$10*BG10,".")*$B$46</f>
        <v>5.630221676712329E-15</v>
      </c>
      <c r="BH46" s="71">
        <f>IFERROR(s_RadSpec!$H$10*BH10,".")*$B$46</f>
        <v>9.0435400000000001E-12</v>
      </c>
      <c r="BI46" s="71">
        <f>IFERROR(s_RadSpec!$H$10*BI10,".")*$B$46</f>
        <v>1.1098889999999999E-9</v>
      </c>
      <c r="BJ46" s="49">
        <f t="shared" ref="BJ46:BM47" si="79">IFERROR(IF(BF46&gt;0.01,1-EXP(-BF46),BF46),".")</f>
        <v>1.3414719999999999E-6</v>
      </c>
      <c r="BK46" s="49">
        <f t="shared" si="79"/>
        <v>5.630221676712329E-15</v>
      </c>
      <c r="BL46" s="49">
        <f t="shared" si="79"/>
        <v>9.0435400000000001E-12</v>
      </c>
      <c r="BM46" s="49">
        <f t="shared" si="79"/>
        <v>1.1098889999999999E-9</v>
      </c>
      <c r="BN46" s="49">
        <f>IFERROR(IF(SUM(BF46:BG46)&gt;0.01,1-EXP(-SUM(BF46:BG46)),SUM(BF46:BG46)),".")</f>
        <v>1.3414720056302215E-6</v>
      </c>
      <c r="BO46" s="63">
        <f t="shared" ref="BO46:BP46" si="80">IFERROR(BO10/$B46,0)</f>
        <v>243.2675700002433</v>
      </c>
      <c r="BP46" s="63">
        <f t="shared" si="80"/>
        <v>243.2675700002433</v>
      </c>
      <c r="BQ46" s="71">
        <f>IFERROR(s_RadSpec!$H$10*BQ10,".")*$B$46</f>
        <v>2.0553500000000002E-7</v>
      </c>
      <c r="BR46" s="71">
        <f>IFERROR(s_RadSpec!$H$10*BR10,".")*$B$46</f>
        <v>2.0553500000000002E-7</v>
      </c>
      <c r="BS46" s="49">
        <f>IFERROR(IF(BQ46&gt;0.01,1-EXP(-BQ46),BQ46),".")</f>
        <v>2.0553500000000002E-7</v>
      </c>
      <c r="BT46" s="49">
        <f t="shared" ref="BT46:BT47" si="81">IFERROR(IF(BR46&gt;0.01,1-EXP(-BR46),BR46),".")</f>
        <v>2.0553500000000002E-7</v>
      </c>
    </row>
    <row r="47" spans="1:72" x14ac:dyDescent="0.25">
      <c r="A47" s="48" t="s">
        <v>1072</v>
      </c>
      <c r="B47" s="51">
        <v>0.94399</v>
      </c>
      <c r="C47" s="85"/>
      <c r="D47" s="60">
        <f>IFERROR(D6/$B$47,0)</f>
        <v>0</v>
      </c>
      <c r="E47" s="60">
        <f>IFERROR(E6/$B$47,0)</f>
        <v>0</v>
      </c>
      <c r="F47" s="60">
        <f>IFERROR(F6/$B$47,0)</f>
        <v>83.716934049317572</v>
      </c>
      <c r="G47" s="63">
        <f>IFERROR(G6/$B$47,0)</f>
        <v>0</v>
      </c>
      <c r="H47" s="63">
        <f>IFERROR(H6/$B$47,0)</f>
        <v>0</v>
      </c>
      <c r="I47" s="244">
        <f t="shared" si="13"/>
        <v>0</v>
      </c>
      <c r="J47" s="244">
        <f t="shared" si="14"/>
        <v>0</v>
      </c>
      <c r="K47" s="244">
        <f t="shared" si="15"/>
        <v>1.194501460613573E-2</v>
      </c>
      <c r="L47" s="244">
        <f t="shared" si="16"/>
        <v>0</v>
      </c>
      <c r="M47" s="244">
        <f t="shared" si="17"/>
        <v>0</v>
      </c>
      <c r="N47" s="63">
        <f t="shared" si="18"/>
        <v>83.716934049317572</v>
      </c>
      <c r="O47" s="71">
        <f>IFERROR(s_RadSpec!$E$6*O6,".")*$B$47</f>
        <v>0</v>
      </c>
      <c r="P47" s="71">
        <f>IFERROR(s_RadSpec!$F$6*$P$6,".")*B47</f>
        <v>0</v>
      </c>
      <c r="Q47" s="71">
        <f>IFERROR(s_RadSpec!$G$6*$Q$6,".")*B47</f>
        <v>5.9725073030678663E-7</v>
      </c>
      <c r="R47" s="71">
        <f>IFERROR(s_RadSpec!$H$6*R6,".")*$B$47</f>
        <v>0</v>
      </c>
      <c r="S47" s="71">
        <f>IFERROR(s_RadSpec!$H$6*S6,".")*$B$47</f>
        <v>0</v>
      </c>
      <c r="T47" s="49">
        <f t="shared" si="76"/>
        <v>0</v>
      </c>
      <c r="U47" s="49">
        <f t="shared" si="76"/>
        <v>0</v>
      </c>
      <c r="V47" s="49">
        <f t="shared" si="76"/>
        <v>5.9725073030678663E-7</v>
      </c>
      <c r="W47" s="49">
        <f t="shared" si="76"/>
        <v>0</v>
      </c>
      <c r="X47" s="49">
        <f t="shared" si="76"/>
        <v>0</v>
      </c>
      <c r="Y47" s="49">
        <f t="shared" si="45"/>
        <v>5.9725073030678663E-7</v>
      </c>
      <c r="Z47" s="60">
        <f>IFERROR(Z6/$B$47,0)</f>
        <v>83.716934049317572</v>
      </c>
      <c r="AA47" s="60">
        <f>IFERROR(AA6/$B$47,0)</f>
        <v>766.75958732939159</v>
      </c>
      <c r="AB47" s="60">
        <f>IFERROR(AB6/$B$47,0)</f>
        <v>192.14403863184285</v>
      </c>
      <c r="AC47" s="60">
        <f>IFERROR(AC6/$B$47,0)</f>
        <v>102.46849738606228</v>
      </c>
      <c r="AD47" s="60">
        <f>IFERROR(AD6/$B$47,0)</f>
        <v>1315.4669812379734</v>
      </c>
      <c r="AE47" s="71">
        <f>IFERROR(s_RadSpec!$G$6*AE6,".")*$B47</f>
        <v>5.9725073030678663E-7</v>
      </c>
      <c r="AF47" s="71">
        <f>IFERROR(s_RadSpec!$N$6*AF6,".")*$B47</f>
        <v>6.5209487858050799E-8</v>
      </c>
      <c r="AG47" s="71">
        <f>IFERROR(s_RadSpec!$O$6*AG6,".")*$B47</f>
        <v>2.6022144822198923E-7</v>
      </c>
      <c r="AH47" s="71">
        <f>IFERROR(s_RadSpec!$P$6*AH6,".")*$B47</f>
        <v>4.8795484734804915E-7</v>
      </c>
      <c r="AI47" s="71">
        <f>IFERROR(s_RadSpec!$L$6*AI6,".")*$B47</f>
        <v>3.8009315865112393E-8</v>
      </c>
      <c r="AJ47" s="49">
        <f t="shared" si="77"/>
        <v>5.9725073030678663E-7</v>
      </c>
      <c r="AK47" s="49">
        <f t="shared" si="77"/>
        <v>6.5209487858050799E-8</v>
      </c>
      <c r="AL47" s="49">
        <f t="shared" si="77"/>
        <v>2.6022144822198923E-7</v>
      </c>
      <c r="AM47" s="49">
        <f t="shared" si="77"/>
        <v>4.8795484734804915E-7</v>
      </c>
      <c r="AN47" s="49">
        <f t="shared" si="77"/>
        <v>3.8009315865112393E-8</v>
      </c>
      <c r="AO47" s="60">
        <f>IFERROR(AO6/$B$47,0)</f>
        <v>0</v>
      </c>
      <c r="AP47" s="60">
        <f>IFERROR(AP6/$B$47,0)</f>
        <v>13379.644563148266</v>
      </c>
      <c r="AQ47" s="60">
        <f t="shared" si="78"/>
        <v>13379.644563148266</v>
      </c>
      <c r="AR47" s="71">
        <f>IFERROR(s_RadSpec!$F$6*AR6,".")*$B$47</f>
        <v>0</v>
      </c>
      <c r="AS47" s="71">
        <f>IFERROR(s_RadSpec!$K$6*AS6,".")*$B$47</f>
        <v>3.7370200504216442E-9</v>
      </c>
      <c r="AT47" s="49">
        <f>IFERROR(IF(AR47&gt;0.01,1-EXP(-AR47),AR47),".")</f>
        <v>0</v>
      </c>
      <c r="AU47" s="49">
        <f>IFERROR(IF(AS47&gt;0.01,1-EXP(-AS47),AS47),".")</f>
        <v>3.7370200504216442E-9</v>
      </c>
      <c r="AV47" s="49">
        <f>IFERROR(IF(SUM(AR47:AS47)&gt;0.01,1-EXP(-SUM(AR47:AS47)),SUM(AR47:AS47)),".")</f>
        <v>3.7370200504216442E-9</v>
      </c>
      <c r="AW47" s="60">
        <f>IFERROR(AW6/$B$47,0)</f>
        <v>0</v>
      </c>
      <c r="AX47" s="60">
        <f>IFERROR(AX6/$B$47,0)</f>
        <v>3859512.8547543078</v>
      </c>
      <c r="AY47" s="63">
        <f>IFERROR(AY6/$B$47,0)</f>
        <v>0</v>
      </c>
      <c r="AZ47" s="63">
        <f>IFERROR(AZ6/$B$47,0)</f>
        <v>0</v>
      </c>
      <c r="BA47" s="244">
        <f t="shared" si="51"/>
        <v>0</v>
      </c>
      <c r="BB47" s="244">
        <f t="shared" si="52"/>
        <v>2.591000568292339E-7</v>
      </c>
      <c r="BC47" s="244">
        <f t="shared" si="53"/>
        <v>0</v>
      </c>
      <c r="BD47" s="244">
        <f t="shared" si="54"/>
        <v>0</v>
      </c>
      <c r="BE47" s="63">
        <f t="shared" si="19"/>
        <v>3859512.8547543082</v>
      </c>
      <c r="BF47" s="71">
        <f>IFERROR(s_RadSpec!$I$6*BF6,".")*$B$47</f>
        <v>0</v>
      </c>
      <c r="BG47" s="71">
        <f>IFERROR(s_RadSpec!$M$6*BG6,".")*$B$47</f>
        <v>1.2955002841461697E-11</v>
      </c>
      <c r="BH47" s="71">
        <f>IFERROR(s_RadSpec!$H$6*BH6,".")*$B$47</f>
        <v>0</v>
      </c>
      <c r="BI47" s="71">
        <f>IFERROR(s_RadSpec!$H$6*BI6,".")*$B$47</f>
        <v>0</v>
      </c>
      <c r="BJ47" s="49">
        <f t="shared" si="79"/>
        <v>0</v>
      </c>
      <c r="BK47" s="49">
        <f t="shared" si="79"/>
        <v>1.2955002841461697E-11</v>
      </c>
      <c r="BL47" s="49">
        <f t="shared" si="79"/>
        <v>0</v>
      </c>
      <c r="BM47" s="49">
        <f t="shared" si="79"/>
        <v>0</v>
      </c>
      <c r="BN47" s="49">
        <f>IFERROR(IF(SUM(BF47:BG47)&gt;0.01,1-EXP(-SUM(BF47:BG47)),SUM(BF47:BG47)),".")</f>
        <v>1.2955002841461697E-11</v>
      </c>
      <c r="BO47" s="63">
        <f t="shared" ref="BO47:BP47" si="82">IFERROR(BO6/$B$47,0)</f>
        <v>0</v>
      </c>
      <c r="BP47" s="63">
        <f t="shared" si="82"/>
        <v>0</v>
      </c>
      <c r="BQ47" s="71">
        <f>IFERROR(s_RadSpec!$H$6*BQ6,".")*$B$47</f>
        <v>0</v>
      </c>
      <c r="BR47" s="71">
        <f>IFERROR(s_RadSpec!$H$6*BR6,".")*$B$47</f>
        <v>0</v>
      </c>
      <c r="BS47" s="49">
        <f>IFERROR(IF(BQ47&gt;0.01,1-EXP(-BQ47),BQ47),".")</f>
        <v>0</v>
      </c>
      <c r="BT47" s="49">
        <f t="shared" si="81"/>
        <v>0</v>
      </c>
    </row>
    <row r="48" spans="1:72" x14ac:dyDescent="0.25">
      <c r="A48" s="57" t="s">
        <v>33</v>
      </c>
      <c r="B48" s="57" t="s">
        <v>1255</v>
      </c>
      <c r="C48" s="250"/>
      <c r="D48" s="58">
        <f>1/SUM(1/D49,1/D52,1/D54,1/D58,1/D59,1/D61)</f>
        <v>29.030670515939743</v>
      </c>
      <c r="E48" s="58">
        <f>1/SUM(1/E49,1/E50,1/E51,1/E52,1/E54,1/E58,1/E59,1/E61)</f>
        <v>26122.276536664682</v>
      </c>
      <c r="F48" s="58">
        <f>1/SUM(1/F49,1/F50,1/F52,1/F54,1/F55,1/F56,1/F57,1/F58,1/F59,1/F60,1/F61,1/F62)</f>
        <v>16.808536667240073</v>
      </c>
      <c r="G48" s="61">
        <f>1/SUM(1/G49,1/G52,1/G54,1/G58,1/G59,1/G61)</f>
        <v>133.26020888456802</v>
      </c>
      <c r="H48" s="61">
        <f>1/SUM(1/H61)</f>
        <v>0.21007156969650073</v>
      </c>
      <c r="I48" s="244">
        <f t="shared" si="13"/>
        <v>3.4446328046434008E-2</v>
      </c>
      <c r="J48" s="244">
        <f t="shared" si="14"/>
        <v>3.8281502708863098E-5</v>
      </c>
      <c r="K48" s="244">
        <f t="shared" si="15"/>
        <v>5.9493578756859025E-2</v>
      </c>
      <c r="L48" s="244">
        <f t="shared" si="16"/>
        <v>7.504115507324583E-3</v>
      </c>
      <c r="M48" s="244">
        <f t="shared" si="17"/>
        <v>4.7602824192000002</v>
      </c>
      <c r="N48" s="58">
        <f>1/SUM(1/N49,1/N50,1/N51,1/N52,1/N54,1/N55,1/N56,1/N57,1/N58,1/N59,1/N60,1/N61,1/N62)</f>
        <v>0.20568662964426609</v>
      </c>
      <c r="O48" s="70"/>
      <c r="P48" s="70"/>
      <c r="Q48" s="70"/>
      <c r="R48" s="70"/>
      <c r="S48" s="70"/>
      <c r="T48" s="47">
        <f>IFERROR(IF(SUM(O49:O62)&gt;0.01,1-EXP(-SUM(O49:O62)),SUM(O49:O62)),".")</f>
        <v>1.7223164023217002E-6</v>
      </c>
      <c r="U48" s="47">
        <f>IFERROR(IF(SUM(P49:P62)&gt;0.01,1-EXP(-SUM(P49:P62)),SUM(P49:P62)),".")</f>
        <v>1.914075135443155E-9</v>
      </c>
      <c r="V48" s="47">
        <f>IFERROR(IF(SUM(Q49:Q62)&gt;0.01,1-EXP(-SUM(Q49:Q62)),SUM(Q49:Q62)),".")</f>
        <v>2.9746789378429522E-6</v>
      </c>
      <c r="W48" s="47">
        <f>IFERROR(IF(SUM(R49:R62)&gt;0.01,1-EXP(-SUM(R49:R62)),SUM(R49:R62)),".")</f>
        <v>3.752057753662291E-7</v>
      </c>
      <c r="X48" s="47">
        <f>IFERROR(IF(SUM(S49:S62)&gt;0.01,1-EXP(-SUM(S49:S62)),SUM(S49:S62)),".")</f>
        <v>2.3801412096000003E-4</v>
      </c>
      <c r="Y48" s="47">
        <f>IFERROR(IF(SUM(O49:S62)&gt;0.01,1-EXP(-SUM(O49:S62)),SUM(O49:S62)),".")</f>
        <v>2.4308823615066638E-4</v>
      </c>
      <c r="Z48" s="59">
        <f t="shared" ref="Z48:AD48" si="83">1/SUM(1/Z49,1/Z50,1/Z52,1/Z54,1/Z55,1/Z56,1/Z57,1/Z58,1/Z59,1/Z60,1/Z61,1/Z62)</f>
        <v>16.808536667240073</v>
      </c>
      <c r="AA48" s="59">
        <f t="shared" si="83"/>
        <v>186.09808659518353</v>
      </c>
      <c r="AB48" s="59">
        <f t="shared" si="83"/>
        <v>45.883379951485615</v>
      </c>
      <c r="AC48" s="59">
        <f t="shared" si="83"/>
        <v>23.703896715339845</v>
      </c>
      <c r="AD48" s="59">
        <f t="shared" si="83"/>
        <v>341.22506303306892</v>
      </c>
      <c r="AE48" s="70"/>
      <c r="AF48" s="70"/>
      <c r="AG48" s="70"/>
      <c r="AH48" s="70"/>
      <c r="AI48" s="70"/>
      <c r="AJ48" s="47">
        <f>IFERROR(IF(SUM(AE49:AE62)&gt;0.01,1-EXP(-SUM(AE49:AE62)),SUM(AE49:AE62)),".")</f>
        <v>2.9746789378429522E-6</v>
      </c>
      <c r="AK48" s="47">
        <f t="shared" ref="AK48:AN48" si="84">IFERROR(IF(SUM(AF49:AF62)&gt;0.01,1-EXP(-SUM(AF49:AF62)),SUM(AF49:AF62)),".")</f>
        <v>2.6867551899533644E-7</v>
      </c>
      <c r="AL48" s="47">
        <f t="shared" si="84"/>
        <v>1.0897191979506979E-6</v>
      </c>
      <c r="AM48" s="47">
        <f t="shared" si="84"/>
        <v>2.1093578241776067E-6</v>
      </c>
      <c r="AN48" s="47">
        <f t="shared" si="84"/>
        <v>1.4653085431521889E-7</v>
      </c>
      <c r="AO48" s="58">
        <f>1/SUM(1/AO49,1/AO50,1/AO51,1/AO52,1/AO54,1/AO58,1/AO59,1/AO61)</f>
        <v>8.431875642057747E-2</v>
      </c>
      <c r="AP48" s="58">
        <f t="shared" ref="AP48:AQ48" si="85">1/SUM(1/AP49,1/AP50,1/AP51,1/AP52,1/AP53,1/AP54,1/AP55,1/AP56,1/AP57,1/AP58,1/AP59,1/AP60,1/AP61,1/AP62)</f>
        <v>4109.2038407422961</v>
      </c>
      <c r="AQ48" s="59">
        <f t="shared" si="85"/>
        <v>8.431702627841943E-2</v>
      </c>
      <c r="AR48" s="70"/>
      <c r="AS48" s="70"/>
      <c r="AT48" s="47">
        <f>IFERROR(IF(SUM(AR49:AR62)&gt;0.01,1-EXP(-SUM(AR49:AR62)),SUM(AR49:AR62)),".")</f>
        <v>5.9298787271722391E-4</v>
      </c>
      <c r="AU48" s="47">
        <f>IFERROR(IF(SUM(AS49:AS62)&gt;0.01,1-EXP(-SUM(AS49:AS62)),SUM(AS49:AS62)),".")</f>
        <v>1.2167807180616258E-8</v>
      </c>
      <c r="AV48" s="47">
        <f>IFERROR(IF(SUM(AR49:AS62)&gt;0.01,1-EXP(-SUM(AR49:AS62)),SUM(AR49:AS62)),".")</f>
        <v>5.9300004052440446E-4</v>
      </c>
      <c r="AW48" s="58">
        <f>1/SUM(1/AW49,1/AW52,1/AW54,1/AW58,1/AW59,1/AW61)</f>
        <v>0.3720228380377249</v>
      </c>
      <c r="AX48" s="58">
        <f t="shared" ref="AX48:BE48" si="86">1/SUM(1/AX49,1/AX50,1/AX51,1/AX52,1/AX53,1/AX54,1/AX55,1/AX56,1/AX57,1/AX58,1/AX59,1/AX60,1/AX61,1/AX62)</f>
        <v>1185207.324452861</v>
      </c>
      <c r="AY48" s="61">
        <f>1/SUM(1/AY49,1/AY52,1/AY54,1/AY58,1/AY59,1/AY61)</f>
        <v>535720.64267648361</v>
      </c>
      <c r="AZ48" s="61">
        <f>1/SUM(1/AZ61)</f>
        <v>840.51808189739234</v>
      </c>
      <c r="BA48" s="244">
        <f t="shared" si="51"/>
        <v>2.6880070193394827</v>
      </c>
      <c r="BB48" s="244">
        <f t="shared" si="52"/>
        <v>8.4373423903842297E-7</v>
      </c>
      <c r="BC48" s="244">
        <f t="shared" si="53"/>
        <v>1.8666445164478945E-6</v>
      </c>
      <c r="BD48" s="244">
        <f t="shared" si="54"/>
        <v>1.1897423999999998E-3</v>
      </c>
      <c r="BE48" s="62">
        <f t="shared" si="86"/>
        <v>0.37185787457124425</v>
      </c>
      <c r="BF48" s="70"/>
      <c r="BG48" s="70"/>
      <c r="BH48" s="70"/>
      <c r="BI48" s="70"/>
      <c r="BJ48" s="47">
        <f>IFERROR(IF(SUM(BF49:BF62)&gt;0.01,1-EXP(-SUM(BF49:BF62)),SUM(BF49:BF62)),".")</f>
        <v>1.3440035096697414E-4</v>
      </c>
      <c r="BK48" s="47">
        <f>IFERROR(IF(SUM(BG49:BG62)&gt;0.01,1-EXP(-SUM(BG49:BG62)),SUM(BG49:BG62)),".")</f>
        <v>4.2186711951921161E-11</v>
      </c>
      <c r="BL48" s="47">
        <f>IFERROR(IF(SUM(BH49:BH62)&gt;0.01,1-EXP(-SUM(BH49:BH62)),SUM(BH49:BH62)),".")</f>
        <v>9.3332225822394714E-11</v>
      </c>
      <c r="BM48" s="47">
        <f>IFERROR(IF(SUM(BI49:BI62)&gt;0.01,1-EXP(-SUM(BI49:BI62)),SUM(BI49:BI62)),".")</f>
        <v>5.9487120000000007E-8</v>
      </c>
      <c r="BN48" s="47">
        <f>IFERROR(IF(SUM(BF49:BG62)&gt;0.01,1-EXP(-SUM(BF49:BG62)),SUM(BF49:BG62)),".")</f>
        <v>1.3440039315368608E-4</v>
      </c>
      <c r="BO48" s="61">
        <f>1/SUM(1/BO49,1/BO52,1/BO54,1/BO58,1/BO59,1/BO61)</f>
        <v>2.2968592862553141</v>
      </c>
      <c r="BP48" s="61">
        <f>1/SUM(1/BP49,1/BP52,1/BP54,1/BP58,1/BP59,1/BP61)</f>
        <v>2.2968592862553141</v>
      </c>
      <c r="BQ48" s="70"/>
      <c r="BR48" s="70"/>
      <c r="BS48" s="47">
        <f>IFERROR(IF(SUM(BQ49:BQ62)&gt;0.01,1-EXP(-SUM(BQ49:BQ62)),SUM(BQ49:BQ62)),".")</f>
        <v>2.1768856411538181E-5</v>
      </c>
      <c r="BT48" s="47">
        <f t="shared" ref="BT48" si="87">IFERROR(IF(SUM(BR49:BR62)&gt;0.01,1-EXP(-SUM(BR49:BR62)),SUM(BR49:BR62)),".")</f>
        <v>2.1768856411538181E-5</v>
      </c>
    </row>
    <row r="49" spans="1:72" x14ac:dyDescent="0.25">
      <c r="A49" s="48" t="s">
        <v>1100</v>
      </c>
      <c r="B49" s="15">
        <v>1</v>
      </c>
      <c r="C49" s="249"/>
      <c r="D49" s="60">
        <f>IFERROR(D23/$B49,0)</f>
        <v>244.11350789890287</v>
      </c>
      <c r="E49" s="60">
        <f>IFERROR(E23/$B49,0)</f>
        <v>54870.756564873598</v>
      </c>
      <c r="F49" s="60">
        <f>IFERROR(F23/$B49,0)</f>
        <v>7004.3407599423999</v>
      </c>
      <c r="G49" s="63">
        <f>IFERROR(G23/$B49,0)</f>
        <v>1274.8160274306751</v>
      </c>
      <c r="H49" s="63">
        <f>IFERROR(H23/$B49,0)</f>
        <v>0</v>
      </c>
      <c r="I49" s="244">
        <f t="shared" si="13"/>
        <v>4.0964549999999997E-3</v>
      </c>
      <c r="J49" s="244">
        <f t="shared" si="14"/>
        <v>1.8224643919711619E-5</v>
      </c>
      <c r="K49" s="244">
        <f t="shared" si="15"/>
        <v>1.4276861081901783E-4</v>
      </c>
      <c r="L49" s="244">
        <f t="shared" si="16"/>
        <v>7.8442691218390747E-4</v>
      </c>
      <c r="M49" s="244">
        <f t="shared" si="17"/>
        <v>0</v>
      </c>
      <c r="N49" s="63">
        <f t="shared" si="18"/>
        <v>198.33890504876598</v>
      </c>
      <c r="O49" s="71">
        <f>IFERROR(s_RadSpec!$E$23*O23,".")*$B$49</f>
        <v>2.0482275E-7</v>
      </c>
      <c r="P49" s="71">
        <f>IFERROR(s_RadSpec!$F$23*$P$23,".")*B49</f>
        <v>9.1123219598558097E-10</v>
      </c>
      <c r="Q49" s="71">
        <f>IFERROR(s_RadSpec!$G$23*$Q$23,".")*B49</f>
        <v>7.1384305409508938E-9</v>
      </c>
      <c r="R49" s="71">
        <f>IFERROR(s_RadSpec!$H$23*R23,".")*$B$49</f>
        <v>3.9221345609195378E-8</v>
      </c>
      <c r="S49" s="71">
        <f>IFERROR(s_RadSpec!$H$23*S23,".")*$B$49</f>
        <v>0</v>
      </c>
      <c r="T49" s="49">
        <f t="shared" ref="T49:T62" si="88">IFERROR(IF(O49&gt;0.01,1-EXP(-O49),O49),".")</f>
        <v>2.0482275E-7</v>
      </c>
      <c r="U49" s="49">
        <f t="shared" ref="U49:U62" si="89">IFERROR(IF(P49&gt;0.01,1-EXP(-P49),P49),".")</f>
        <v>9.1123219598558097E-10</v>
      </c>
      <c r="V49" s="49">
        <f t="shared" ref="V49:V62" si="90">IFERROR(IF(Q49&gt;0.01,1-EXP(-Q49),Q49),".")</f>
        <v>7.1384305409508938E-9</v>
      </c>
      <c r="W49" s="49">
        <f t="shared" ref="W49:W62" si="91">IFERROR(IF(R49&gt;0.01,1-EXP(-R49),R49),".")</f>
        <v>3.9221345609195378E-8</v>
      </c>
      <c r="X49" s="49">
        <f t="shared" ref="X49:X62" si="92">IFERROR(IF(S49&gt;0.01,1-EXP(-S49),S49),".")</f>
        <v>0</v>
      </c>
      <c r="Y49" s="49">
        <f t="shared" si="45"/>
        <v>2.5209375834613186E-7</v>
      </c>
      <c r="Z49" s="60">
        <f>IFERROR(Z23/$B49,0)</f>
        <v>7004.3407599423999</v>
      </c>
      <c r="AA49" s="60">
        <f>IFERROR(AA23/$B49,0)</f>
        <v>49191.033953105143</v>
      </c>
      <c r="AB49" s="60">
        <f>IFERROR(AB23/$B49,0)</f>
        <v>12722.160963188748</v>
      </c>
      <c r="AC49" s="60">
        <f>IFERROR(AC23/$B49,0)</f>
        <v>7422.8079282573035</v>
      </c>
      <c r="AD49" s="60">
        <f>IFERROR(AD23/$B49,0)</f>
        <v>78505.422140040173</v>
      </c>
      <c r="AE49" s="71">
        <f>IFERROR(s_RadSpec!$G$23*AE23,".")*$B$49</f>
        <v>7.1384305409508938E-9</v>
      </c>
      <c r="AF49" s="71">
        <f>IFERROR(s_RadSpec!$N$23*AF23,".")*$B$49</f>
        <v>1.0164453962822993E-9</v>
      </c>
      <c r="AG49" s="71">
        <f>IFERROR(s_RadSpec!$O$23*AG23,".")*$B$49</f>
        <v>3.9301499285124385E-9</v>
      </c>
      <c r="AH49" s="71">
        <f>IFERROR(s_RadSpec!$P$23*AH23,".")*$B$49</f>
        <v>6.7359953919404187E-9</v>
      </c>
      <c r="AI49" s="71">
        <f>IFERROR(s_RadSpec!$L$23*AI23,".")*$B$49</f>
        <v>6.3689868339041104E-10</v>
      </c>
      <c r="AJ49" s="49">
        <f t="shared" ref="AJ49:AN62" si="93">IFERROR(IF(AE49&gt;0.01,1-EXP(-AE49),AE49),".")</f>
        <v>7.1384305409508938E-9</v>
      </c>
      <c r="AK49" s="49">
        <f t="shared" si="93"/>
        <v>1.0164453962822993E-9</v>
      </c>
      <c r="AL49" s="49">
        <f t="shared" si="93"/>
        <v>3.9301499285124385E-9</v>
      </c>
      <c r="AM49" s="49">
        <f t="shared" si="93"/>
        <v>6.7359953919404187E-9</v>
      </c>
      <c r="AN49" s="49">
        <f t="shared" si="93"/>
        <v>6.3689868339041104E-10</v>
      </c>
      <c r="AO49" s="60">
        <f>IFERROR(AO23/$B49,0)</f>
        <v>0.17711450037337031</v>
      </c>
      <c r="AP49" s="60">
        <f>IFERROR(AP23/$B49,0)</f>
        <v>1118087.7643327571</v>
      </c>
      <c r="AQ49" s="60">
        <f t="shared" ref="AQ49:AQ62" si="94">IFERROR(IF(AND(AO49&lt;&gt;0,AP49&lt;&gt;0),1/((1/AO49)+(1/AP49)),IF(AND(AO49&lt;&gt;0,AP49=0),1/((1/AO49)),IF(AND(AO49=0,AP49&lt;&gt;0),1/((1/AP49)),IF(AND(AO49=".",AP49="."),".")))),".")</f>
        <v>0.17711447231694907</v>
      </c>
      <c r="AR49" s="71">
        <f>IFERROR(s_RadSpec!$F$23*AR23,".")*$B$49</f>
        <v>2.8230325520833328E-4</v>
      </c>
      <c r="AS49" s="71">
        <f>IFERROR(s_RadSpec!$K$23*AS23,".")*$B$49</f>
        <v>4.4719208630136992E-11</v>
      </c>
      <c r="AT49" s="49">
        <f t="shared" ref="AT49:AU62" si="95">IFERROR(IF(AR49&gt;0.01,1-EXP(-AR49),AR49),".")</f>
        <v>2.8230325520833328E-4</v>
      </c>
      <c r="AU49" s="49">
        <f t="shared" si="95"/>
        <v>4.4719208630136992E-11</v>
      </c>
      <c r="AV49" s="49">
        <f t="shared" ref="AV49:AV62" si="96">IFERROR(IF(SUM(AR49:AS49)&gt;0.01,1-EXP(-SUM(AR49:AS49)),SUM(AR49:AS49)),".")</f>
        <v>2.8230329992754192E-4</v>
      </c>
      <c r="AW49" s="60">
        <f>IFERROR(AW23/$B49,0)</f>
        <v>2.9531279531279533</v>
      </c>
      <c r="AX49" s="60">
        <f>IFERROR(AX23/$B49,0)</f>
        <v>317520268.2695446</v>
      </c>
      <c r="AY49" s="63">
        <f>IFERROR(AY23/$B49,0)</f>
        <v>5198904.9026713017</v>
      </c>
      <c r="AZ49" s="63">
        <f>IFERROR(AZ23/$B49,0)</f>
        <v>0</v>
      </c>
      <c r="BA49" s="244">
        <f t="shared" si="51"/>
        <v>0.33862399999999998</v>
      </c>
      <c r="BB49" s="244">
        <f t="shared" si="52"/>
        <v>3.149405250410959E-9</v>
      </c>
      <c r="BC49" s="244">
        <f t="shared" si="53"/>
        <v>1.9234819999999998E-7</v>
      </c>
      <c r="BD49" s="244">
        <f t="shared" si="54"/>
        <v>0</v>
      </c>
      <c r="BE49" s="63">
        <f t="shared" si="19"/>
        <v>2.9531262482012219</v>
      </c>
      <c r="BF49" s="71">
        <f>IFERROR(s_RadSpec!$I$23*BF23,".")*$B$49</f>
        <v>1.6931200000000001E-5</v>
      </c>
      <c r="BG49" s="71">
        <f>IFERROR(s_RadSpec!$M$23*BG23,".")*$B$49</f>
        <v>1.5747026252054796E-13</v>
      </c>
      <c r="BH49" s="71">
        <f>IFERROR(s_RadSpec!$H$23*BH23,".")*$B$49</f>
        <v>9.6174099999999991E-12</v>
      </c>
      <c r="BI49" s="71">
        <f>IFERROR(s_RadSpec!$H$23*BI23,".")*$B$49</f>
        <v>0</v>
      </c>
      <c r="BJ49" s="49">
        <f t="shared" ref="BJ49:BJ62" si="97">IFERROR(IF(BF49&gt;0.01,1-EXP(-BF49),BF49),".")</f>
        <v>1.6931200000000001E-5</v>
      </c>
      <c r="BK49" s="49">
        <f t="shared" ref="BK49:BK62" si="98">IFERROR(IF(BG49&gt;0.01,1-EXP(-BG49),BG49),".")</f>
        <v>1.5747026252054796E-13</v>
      </c>
      <c r="BL49" s="49">
        <f t="shared" ref="BL49:BL62" si="99">IFERROR(IF(BH49&gt;0.01,1-EXP(-BH49),BH49),".")</f>
        <v>9.6174099999999991E-12</v>
      </c>
      <c r="BM49" s="49">
        <f t="shared" ref="BM49:BM62" si="100">IFERROR(IF(BI49&gt;0.01,1-EXP(-BI49),BI49),".")</f>
        <v>0</v>
      </c>
      <c r="BN49" s="49">
        <f t="shared" ref="BN49:BN62" si="101">IFERROR(IF(SUM(BF49:BG49)&gt;0.01,1-EXP(-SUM(BF49:BG49)),SUM(BF49:BG49)),".")</f>
        <v>1.6931200157470264E-5</v>
      </c>
      <c r="BO49" s="63">
        <f t="shared" ref="BO49:BP49" si="102">IFERROR(BO23/$B49,0)</f>
        <v>17.676276669082426</v>
      </c>
      <c r="BP49" s="63">
        <f t="shared" si="102"/>
        <v>17.676276669082426</v>
      </c>
      <c r="BQ49" s="71">
        <f>IFERROR(s_RadSpec!$H$23*BQ23,".")*$B$49</f>
        <v>2.82865E-6</v>
      </c>
      <c r="BR49" s="71">
        <f>IFERROR(s_RadSpec!$H$23*BR23,".")*$B$49</f>
        <v>2.82865E-6</v>
      </c>
      <c r="BS49" s="49">
        <f t="shared" ref="BS49:BS62" si="103">IFERROR(IF(BQ49&gt;0.01,1-EXP(-BQ49),BQ49),".")</f>
        <v>2.82865E-6</v>
      </c>
      <c r="BT49" s="49">
        <f t="shared" ref="BT49:BT62" si="104">IFERROR(IF(BR49&gt;0.01,1-EXP(-BR49),BR49),".")</f>
        <v>2.82865E-6</v>
      </c>
    </row>
    <row r="50" spans="1:72" x14ac:dyDescent="0.25">
      <c r="A50" s="48" t="s">
        <v>1087</v>
      </c>
      <c r="B50" s="15">
        <v>1</v>
      </c>
      <c r="C50" s="249"/>
      <c r="D50" s="60">
        <f>IFERROR(D25/$B50,0)</f>
        <v>0</v>
      </c>
      <c r="E50" s="60">
        <f>IFERROR(E25/$B50,0)</f>
        <v>677629777.45488858</v>
      </c>
      <c r="F50" s="60">
        <f>IFERROR(F25/$B50,0)</f>
        <v>151122.2348689615</v>
      </c>
      <c r="G50" s="63">
        <f>IFERROR(G25/$B50,0)</f>
        <v>0</v>
      </c>
      <c r="H50" s="63">
        <f>IFERROR(H25/$B50,0)</f>
        <v>0</v>
      </c>
      <c r="I50" s="244">
        <f t="shared" si="13"/>
        <v>0</v>
      </c>
      <c r="J50" s="244">
        <f t="shared" si="14"/>
        <v>1.4757320785929782E-9</v>
      </c>
      <c r="K50" s="244">
        <f t="shared" si="15"/>
        <v>6.6171599491438349E-6</v>
      </c>
      <c r="L50" s="244">
        <f t="shared" si="16"/>
        <v>0</v>
      </c>
      <c r="M50" s="244">
        <f t="shared" si="17"/>
        <v>0</v>
      </c>
      <c r="N50" s="63">
        <f t="shared" si="18"/>
        <v>151088.53971779652</v>
      </c>
      <c r="O50" s="71">
        <f>IFERROR(s_RadSpec!$E$25*O25,".")*$B$50</f>
        <v>0</v>
      </c>
      <c r="P50" s="71">
        <f>IFERROR(s_RadSpec!$F$25*$P$25,".")*B50</f>
        <v>7.3786603929648917E-14</v>
      </c>
      <c r="Q50" s="71">
        <f>IFERROR(s_RadSpec!$G$25*$Q$25,".")*B50</f>
        <v>3.308579974571917E-10</v>
      </c>
      <c r="R50" s="71">
        <f>IFERROR(s_RadSpec!$H$25*R25,".")*$B$50</f>
        <v>0</v>
      </c>
      <c r="S50" s="71">
        <f>IFERROR(s_RadSpec!$H$25*S25,".")*$B$50</f>
        <v>0</v>
      </c>
      <c r="T50" s="49">
        <f t="shared" si="88"/>
        <v>0</v>
      </c>
      <c r="U50" s="49">
        <f t="shared" si="89"/>
        <v>7.3786603929648917E-14</v>
      </c>
      <c r="V50" s="49">
        <f t="shared" si="90"/>
        <v>3.308579974571917E-10</v>
      </c>
      <c r="W50" s="49">
        <f t="shared" si="91"/>
        <v>0</v>
      </c>
      <c r="X50" s="49">
        <f t="shared" si="92"/>
        <v>0</v>
      </c>
      <c r="Y50" s="49">
        <f t="shared" si="45"/>
        <v>3.3093178406112137E-10</v>
      </c>
      <c r="Z50" s="60">
        <f>IFERROR(Z25/$B50,0)</f>
        <v>151122.2348689615</v>
      </c>
      <c r="AA50" s="60">
        <f>IFERROR(AA25/$B50,0)</f>
        <v>1284068.7702228804</v>
      </c>
      <c r="AB50" s="60">
        <f>IFERROR(AB25/$B50,0)</f>
        <v>326390.11626016838</v>
      </c>
      <c r="AC50" s="60">
        <f>IFERROR(AC25/$B50,0)</f>
        <v>190419.32978219242</v>
      </c>
      <c r="AD50" s="60">
        <f>IFERROR(AD25/$B50,0)</f>
        <v>2345168.5866387296</v>
      </c>
      <c r="AE50" s="71">
        <f>IFERROR(s_RadSpec!$G$25*AE25,".")*$B$50</f>
        <v>3.308579974571917E-10</v>
      </c>
      <c r="AF50" s="71">
        <f>IFERROR(s_RadSpec!$N$25*AF25,".")*$B$50</f>
        <v>3.8938724435546643E-11</v>
      </c>
      <c r="AG50" s="71">
        <f>IFERROR(s_RadSpec!$O$25*AG25,".")*$B$50</f>
        <v>1.5319091329390802E-10</v>
      </c>
      <c r="AH50" s="71">
        <f>IFERROR(s_RadSpec!$P$25*AH25,".")*$B$50</f>
        <v>2.6257838454316358E-10</v>
      </c>
      <c r="AI50" s="71">
        <f>IFERROR(s_RadSpec!$L$25*AI25,".")*$B$50</f>
        <v>2.1320428853118711E-11</v>
      </c>
      <c r="AJ50" s="49">
        <f t="shared" si="93"/>
        <v>3.308579974571917E-10</v>
      </c>
      <c r="AK50" s="49">
        <f t="shared" si="93"/>
        <v>3.8938724435546643E-11</v>
      </c>
      <c r="AL50" s="49">
        <f t="shared" si="93"/>
        <v>1.5319091329390802E-10</v>
      </c>
      <c r="AM50" s="49">
        <f t="shared" si="93"/>
        <v>2.6257838454316358E-10</v>
      </c>
      <c r="AN50" s="49">
        <f t="shared" si="93"/>
        <v>2.1320428853118711E-11</v>
      </c>
      <c r="AO50" s="60">
        <f>IFERROR(AO25/$B50,0)</f>
        <v>2187.2863978127139</v>
      </c>
      <c r="AP50" s="60">
        <f>IFERROR(AP25/$B50,0)</f>
        <v>19626864.352316026</v>
      </c>
      <c r="AQ50" s="60">
        <f t="shared" si="94"/>
        <v>2187.0426661299962</v>
      </c>
      <c r="AR50" s="71">
        <f>IFERROR(s_RadSpec!$F$25*AR$25,".")*$B$50</f>
        <v>2.2859374999999997E-8</v>
      </c>
      <c r="AS50" s="71">
        <f>IFERROR(s_RadSpec!$K$25*AS25,".")*$B$50</f>
        <v>2.5475286883561649E-12</v>
      </c>
      <c r="AT50" s="49">
        <f t="shared" si="95"/>
        <v>2.2859374999999997E-8</v>
      </c>
      <c r="AU50" s="49">
        <f t="shared" si="95"/>
        <v>2.5475286883561649E-12</v>
      </c>
      <c r="AV50" s="49">
        <f t="shared" si="96"/>
        <v>2.2861922528688354E-8</v>
      </c>
      <c r="AW50" s="60">
        <f>IFERROR(AW25/$B50,0)</f>
        <v>0</v>
      </c>
      <c r="AX50" s="60">
        <f>IFERROR(AX25/$B50,0)</f>
        <v>5664730367.4666271</v>
      </c>
      <c r="AY50" s="63">
        <f>IFERROR(AY25/$B50,0)</f>
        <v>0</v>
      </c>
      <c r="AZ50" s="63">
        <f>IFERROR(AZ25/$B50,0)</f>
        <v>0</v>
      </c>
      <c r="BA50" s="244">
        <f t="shared" si="51"/>
        <v>0</v>
      </c>
      <c r="BB50" s="244">
        <f t="shared" si="52"/>
        <v>1.765309088219178E-10</v>
      </c>
      <c r="BC50" s="244">
        <f t="shared" si="53"/>
        <v>0</v>
      </c>
      <c r="BD50" s="244">
        <f t="shared" si="54"/>
        <v>0</v>
      </c>
      <c r="BE50" s="63">
        <f t="shared" si="19"/>
        <v>5664730367.4666271</v>
      </c>
      <c r="BF50" s="71">
        <f>IFERROR(s_RadSpec!$I$25*BF25,".")*$B$50</f>
        <v>0</v>
      </c>
      <c r="BG50" s="71">
        <f>IFERROR(s_RadSpec!$M$25*BG25,".")*$B$50</f>
        <v>8.8265454410958909E-15</v>
      </c>
      <c r="BH50" s="71">
        <f>IFERROR(s_RadSpec!$H$25*BH25,".")*$B$50</f>
        <v>0</v>
      </c>
      <c r="BI50" s="71">
        <f>IFERROR(s_RadSpec!$H$25*BI25,".")*$B$50</f>
        <v>0</v>
      </c>
      <c r="BJ50" s="49">
        <f t="shared" si="97"/>
        <v>0</v>
      </c>
      <c r="BK50" s="49">
        <f t="shared" si="98"/>
        <v>8.8265454410958909E-15</v>
      </c>
      <c r="BL50" s="49">
        <f t="shared" si="99"/>
        <v>0</v>
      </c>
      <c r="BM50" s="49">
        <f t="shared" si="100"/>
        <v>0</v>
      </c>
      <c r="BN50" s="49">
        <f t="shared" si="101"/>
        <v>8.8265454410958909E-15</v>
      </c>
      <c r="BO50" s="63">
        <f t="shared" ref="BO50:BP50" si="105">IFERROR(BO25/$B50,0)</f>
        <v>0</v>
      </c>
      <c r="BP50" s="63">
        <f t="shared" si="105"/>
        <v>0</v>
      </c>
      <c r="BQ50" s="71">
        <f>IFERROR(s_RadSpec!$H$25*BQ25,".")*$B$50</f>
        <v>0</v>
      </c>
      <c r="BR50" s="71">
        <f>IFERROR(s_RadSpec!$H$25*BR25,".")*$B$50</f>
        <v>0</v>
      </c>
      <c r="BS50" s="49">
        <f t="shared" si="103"/>
        <v>0</v>
      </c>
      <c r="BT50" s="49">
        <f t="shared" si="104"/>
        <v>0</v>
      </c>
    </row>
    <row r="51" spans="1:72" x14ac:dyDescent="0.25">
      <c r="A51" s="48" t="s">
        <v>1073</v>
      </c>
      <c r="B51" s="15">
        <v>1</v>
      </c>
      <c r="C51" s="249"/>
      <c r="D51" s="60">
        <f>IFERROR(D21/$B51,0)</f>
        <v>0</v>
      </c>
      <c r="E51" s="60">
        <f>IFERROR(E21/$B51,0)</f>
        <v>111150783.64008242</v>
      </c>
      <c r="F51" s="60">
        <f>IFERROR(F21/$B51,0)</f>
        <v>0</v>
      </c>
      <c r="G51" s="63">
        <f>IFERROR(G21/$B51,0)</f>
        <v>0</v>
      </c>
      <c r="H51" s="63">
        <f>IFERROR(H21/$B51,0)</f>
        <v>0</v>
      </c>
      <c r="I51" s="244">
        <f t="shared" si="13"/>
        <v>0</v>
      </c>
      <c r="J51" s="244">
        <f t="shared" si="14"/>
        <v>8.9967876721238607E-9</v>
      </c>
      <c r="K51" s="244">
        <f t="shared" si="15"/>
        <v>0</v>
      </c>
      <c r="L51" s="244">
        <f t="shared" si="16"/>
        <v>0</v>
      </c>
      <c r="M51" s="244">
        <f t="shared" si="17"/>
        <v>0</v>
      </c>
      <c r="N51" s="63">
        <f t="shared" si="18"/>
        <v>111150783.64008242</v>
      </c>
      <c r="O51" s="71">
        <f>IFERROR(s_RadSpec!$E$21*O21,".")*$B$51</f>
        <v>0</v>
      </c>
      <c r="P51" s="71">
        <f>IFERROR(s_RadSpec!$F$21*$P$21,".")*B51</f>
        <v>4.49839383606193E-13</v>
      </c>
      <c r="Q51" s="71">
        <f>IFERROR(s_RadSpec!$G$21*$Q$21,".")*B51</f>
        <v>0</v>
      </c>
      <c r="R51" s="71">
        <f>IFERROR(s_RadSpec!$H$21*R21,".")*$B$51</f>
        <v>0</v>
      </c>
      <c r="S51" s="71">
        <f>IFERROR(s_RadSpec!$H$21*S21,".")*$B$51</f>
        <v>0</v>
      </c>
      <c r="T51" s="49">
        <f t="shared" si="88"/>
        <v>0</v>
      </c>
      <c r="U51" s="49">
        <f t="shared" si="89"/>
        <v>4.49839383606193E-13</v>
      </c>
      <c r="V51" s="49">
        <f t="shared" si="90"/>
        <v>0</v>
      </c>
      <c r="W51" s="49">
        <f t="shared" si="91"/>
        <v>0</v>
      </c>
      <c r="X51" s="49">
        <f t="shared" si="92"/>
        <v>0</v>
      </c>
      <c r="Y51" s="49">
        <f t="shared" si="45"/>
        <v>4.49839383606193E-13</v>
      </c>
      <c r="Z51" s="60">
        <f>IFERROR(Z21/$B51,0)</f>
        <v>0</v>
      </c>
      <c r="AA51" s="60">
        <f>IFERROR(AA21/$B51,0)</f>
        <v>0</v>
      </c>
      <c r="AB51" s="60">
        <f>IFERROR(AB21/$B51,0)</f>
        <v>0</v>
      </c>
      <c r="AC51" s="60">
        <f>IFERROR(AC21/$B51,0)</f>
        <v>0</v>
      </c>
      <c r="AD51" s="60">
        <f>IFERROR(AD21/$B51,0)</f>
        <v>0</v>
      </c>
      <c r="AE51" s="71">
        <f>IFERROR(s_RadSpec!$G$21*AE21,".")*$B$51</f>
        <v>0</v>
      </c>
      <c r="AF51" s="71">
        <f>IFERROR(s_RadSpec!$N$21*AF21,".")*$B$51</f>
        <v>0</v>
      </c>
      <c r="AG51" s="71">
        <f>IFERROR(s_RadSpec!$O$21*AG21,".")*$B$51</f>
        <v>0</v>
      </c>
      <c r="AH51" s="71">
        <f>IFERROR(s_RadSpec!$P$21*AH21,".")*$B$51</f>
        <v>0</v>
      </c>
      <c r="AI51" s="71">
        <f>IFERROR(s_RadSpec!$L$21*AI21,".")*$B$51</f>
        <v>0</v>
      </c>
      <c r="AJ51" s="49">
        <f t="shared" si="93"/>
        <v>0</v>
      </c>
      <c r="AK51" s="49">
        <f t="shared" si="93"/>
        <v>0</v>
      </c>
      <c r="AL51" s="49">
        <f t="shared" si="93"/>
        <v>0</v>
      </c>
      <c r="AM51" s="49">
        <f t="shared" si="93"/>
        <v>0</v>
      </c>
      <c r="AN51" s="49">
        <f t="shared" si="93"/>
        <v>0</v>
      </c>
      <c r="AO51" s="60">
        <f>IFERROR(AO21/$B51,0)</f>
        <v>358.7779127347473</v>
      </c>
      <c r="AP51" s="60">
        <f>IFERROR(AP21/$B51,0)</f>
        <v>807140279577.49329</v>
      </c>
      <c r="AQ51" s="60">
        <f t="shared" si="94"/>
        <v>358.77791257526872</v>
      </c>
      <c r="AR51" s="71">
        <f>IFERROR(s_RadSpec!$F$21*AR21,".")*$B$51</f>
        <v>1.3936197916666665E-7</v>
      </c>
      <c r="AS51" s="71">
        <f>IFERROR(s_RadSpec!$K$21*AS21,".")*$B$51</f>
        <v>6.1947100479452062E-17</v>
      </c>
      <c r="AT51" s="49">
        <f t="shared" si="95"/>
        <v>1.3936197916666665E-7</v>
      </c>
      <c r="AU51" s="49">
        <f t="shared" si="95"/>
        <v>6.1947100479452062E-17</v>
      </c>
      <c r="AV51" s="49">
        <f t="shared" si="96"/>
        <v>1.3936197922861375E-7</v>
      </c>
      <c r="AW51" s="60">
        <f>IFERROR(AW21/$B51,0)</f>
        <v>0</v>
      </c>
      <c r="AX51" s="60">
        <f>IFERROR(AX21/$B51,0)</f>
        <v>393783796907033.44</v>
      </c>
      <c r="AY51" s="63">
        <f>IFERROR(AY21/$B51,0)</f>
        <v>0</v>
      </c>
      <c r="AZ51" s="63">
        <f>IFERROR(AZ21/$B51,0)</f>
        <v>0</v>
      </c>
      <c r="BA51" s="244">
        <f t="shared" si="51"/>
        <v>0</v>
      </c>
      <c r="BB51" s="244">
        <f t="shared" si="52"/>
        <v>2.5394645687671228E-15</v>
      </c>
      <c r="BC51" s="244">
        <f t="shared" si="53"/>
        <v>0</v>
      </c>
      <c r="BD51" s="244">
        <f t="shared" si="54"/>
        <v>0</v>
      </c>
      <c r="BE51" s="63">
        <f t="shared" si="19"/>
        <v>393783796907033.44</v>
      </c>
      <c r="BF51" s="71">
        <f>IFERROR(s_RadSpec!$I$21*BF21,".")*$B$51</f>
        <v>0</v>
      </c>
      <c r="BG51" s="71">
        <f>IFERROR(s_RadSpec!$M$21*BG21,".")*$B$51</f>
        <v>1.2697322843835616E-19</v>
      </c>
      <c r="BH51" s="71">
        <f>IFERROR(s_RadSpec!$H$21*BH21,".")*$B$51</f>
        <v>0</v>
      </c>
      <c r="BI51" s="71">
        <f>IFERROR(s_RadSpec!$H$21*BI21,".")*$B$51</f>
        <v>0</v>
      </c>
      <c r="BJ51" s="49">
        <f t="shared" si="97"/>
        <v>0</v>
      </c>
      <c r="BK51" s="49">
        <f t="shared" si="98"/>
        <v>1.2697322843835616E-19</v>
      </c>
      <c r="BL51" s="49">
        <f t="shared" si="99"/>
        <v>0</v>
      </c>
      <c r="BM51" s="49">
        <f t="shared" si="100"/>
        <v>0</v>
      </c>
      <c r="BN51" s="49">
        <f t="shared" si="101"/>
        <v>1.2697322843835616E-19</v>
      </c>
      <c r="BO51" s="63">
        <f t="shared" ref="BO51:BP51" si="106">IFERROR(BO21/$B51,0)</f>
        <v>0</v>
      </c>
      <c r="BP51" s="63">
        <f t="shared" si="106"/>
        <v>0</v>
      </c>
      <c r="BQ51" s="71">
        <f>IFERROR(s_RadSpec!$H$21*BQ21,".")*$B$51</f>
        <v>0</v>
      </c>
      <c r="BR51" s="71">
        <f>IFERROR(s_RadSpec!$H$21*BR21,".")*$B$51</f>
        <v>0</v>
      </c>
      <c r="BS51" s="49">
        <f t="shared" si="103"/>
        <v>0</v>
      </c>
      <c r="BT51" s="49">
        <f t="shared" si="104"/>
        <v>0</v>
      </c>
    </row>
    <row r="52" spans="1:72" x14ac:dyDescent="0.25">
      <c r="A52" s="48" t="s">
        <v>1074</v>
      </c>
      <c r="B52" s="51">
        <v>0.99980000000000002</v>
      </c>
      <c r="C52" s="251"/>
      <c r="D52" s="60">
        <f>IFERROR(D17/$B52,0)</f>
        <v>208793.02937923669</v>
      </c>
      <c r="E52" s="60">
        <f>IFERROR(E17/$B52,0)</f>
        <v>19888094.640770443</v>
      </c>
      <c r="F52" s="60">
        <f>IFERROR(F17/$B52,0)</f>
        <v>353.95758981883785</v>
      </c>
      <c r="G52" s="63">
        <f>IFERROR(G17/$B52,0)</f>
        <v>3308083.6277373363</v>
      </c>
      <c r="H52" s="63">
        <f>IFERROR(H17/$B52,0)</f>
        <v>0</v>
      </c>
      <c r="I52" s="244">
        <f t="shared" si="13"/>
        <v>4.7894319219999998E-6</v>
      </c>
      <c r="J52" s="244">
        <f t="shared" si="14"/>
        <v>5.028133755709346E-8</v>
      </c>
      <c r="K52" s="244">
        <f t="shared" si="15"/>
        <v>2.8251972235199671E-3</v>
      </c>
      <c r="L52" s="244">
        <f t="shared" si="16"/>
        <v>3.022898186778852E-7</v>
      </c>
      <c r="M52" s="244">
        <f t="shared" si="17"/>
        <v>0</v>
      </c>
      <c r="N52" s="63">
        <f t="shared" si="18"/>
        <v>353.31453933241232</v>
      </c>
      <c r="O52" s="71">
        <f>IFERROR(s_RadSpec!$E$17*O17,".")*$B$52</f>
        <v>2.394715961E-10</v>
      </c>
      <c r="P52" s="71">
        <f>IFERROR(s_RadSpec!$F$17*$P$17,".")*B52</f>
        <v>2.5140668778546732E-12</v>
      </c>
      <c r="Q52" s="71">
        <f>IFERROR(s_RadSpec!$G$17*$Q$17,".")*B52</f>
        <v>1.4125986117599839E-7</v>
      </c>
      <c r="R52" s="71">
        <f>IFERROR(s_RadSpec!$H$17*R17,".")*$B$52</f>
        <v>1.5114490933894263E-11</v>
      </c>
      <c r="S52" s="71">
        <f>IFERROR(s_RadSpec!$H$17*S17,".")*$B$52</f>
        <v>0</v>
      </c>
      <c r="T52" s="49">
        <f t="shared" si="88"/>
        <v>2.394715961E-10</v>
      </c>
      <c r="U52" s="49">
        <f t="shared" si="89"/>
        <v>2.5140668778546732E-12</v>
      </c>
      <c r="V52" s="49">
        <f t="shared" si="90"/>
        <v>1.4125986117599839E-7</v>
      </c>
      <c r="W52" s="49">
        <f t="shared" si="91"/>
        <v>1.5114490933894263E-11</v>
      </c>
      <c r="X52" s="49">
        <f t="shared" si="92"/>
        <v>0</v>
      </c>
      <c r="Y52" s="49">
        <f t="shared" si="45"/>
        <v>1.4151696132991015E-7</v>
      </c>
      <c r="Z52" s="60">
        <f>IFERROR(Z17/$B52,0)</f>
        <v>353.95758981883785</v>
      </c>
      <c r="AA52" s="60">
        <f>IFERROR(AA17/$B52,0)</f>
        <v>2719.2215430932952</v>
      </c>
      <c r="AB52" s="60">
        <f>IFERROR(AB17/$B52,0)</f>
        <v>735.58691260493879</v>
      </c>
      <c r="AC52" s="60">
        <f>IFERROR(AC17/$B52,0)</f>
        <v>442.52761961428757</v>
      </c>
      <c r="AD52" s="60">
        <f>IFERROR(AD17/$B52,0)</f>
        <v>5281.3254696956492</v>
      </c>
      <c r="AE52" s="71">
        <f>IFERROR(s_RadSpec!$G$17*AE17,".")*$B$52</f>
        <v>1.4125986117599839E-7</v>
      </c>
      <c r="AF52" s="71">
        <f>IFERROR(s_RadSpec!$N$17*AF17,".")*$B$52</f>
        <v>1.838761542876043E-8</v>
      </c>
      <c r="AG52" s="71">
        <f>IFERROR(s_RadSpec!$O$17*AG17,".")*$B$52</f>
        <v>6.7972933100365627E-8</v>
      </c>
      <c r="AH52" s="71">
        <f>IFERROR(s_RadSpec!$P$17*AH17,".")*$B$52</f>
        <v>1.1298729793087403E-7</v>
      </c>
      <c r="AI52" s="71">
        <f>IFERROR(s_RadSpec!$L$17*AI17,".")*$B$52</f>
        <v>9.467320332159228E-9</v>
      </c>
      <c r="AJ52" s="49">
        <f t="shared" si="93"/>
        <v>1.4125986117599839E-7</v>
      </c>
      <c r="AK52" s="49">
        <f t="shared" si="93"/>
        <v>1.838761542876043E-8</v>
      </c>
      <c r="AL52" s="49">
        <f t="shared" si="93"/>
        <v>6.7972933100365627E-8</v>
      </c>
      <c r="AM52" s="49">
        <f t="shared" si="93"/>
        <v>1.1298729793087403E-7</v>
      </c>
      <c r="AN52" s="49">
        <f t="shared" si="93"/>
        <v>9.467320332159228E-9</v>
      </c>
      <c r="AO52" s="60">
        <f>IFERROR(AO17/$B52,0)</f>
        <v>64.19576047787406</v>
      </c>
      <c r="AP52" s="60">
        <f>IFERROR(AP17/$B52,0)</f>
        <v>31256.35602460615</v>
      </c>
      <c r="AQ52" s="60">
        <f t="shared" si="94"/>
        <v>64.064182474663554</v>
      </c>
      <c r="AR52" s="71">
        <f>IFERROR(s_RadSpec!$F$17*AR17,".")*$B$52</f>
        <v>7.7886763281249992E-7</v>
      </c>
      <c r="AS52" s="71">
        <f>IFERROR(s_RadSpec!$K$17*AS17,".")*$B$52</f>
        <v>1.599674637716507E-9</v>
      </c>
      <c r="AT52" s="49">
        <f t="shared" si="95"/>
        <v>7.7886763281249992E-7</v>
      </c>
      <c r="AU52" s="49">
        <f t="shared" si="95"/>
        <v>1.599674637716507E-9</v>
      </c>
      <c r="AV52" s="49">
        <f t="shared" si="96"/>
        <v>7.8046730745021641E-7</v>
      </c>
      <c r="AW52" s="60">
        <f>IFERROR(AW17/$B52,0)</f>
        <v>3299.5353864038884</v>
      </c>
      <c r="AX52" s="60">
        <f>IFERROR(AX17/$B52,0)</f>
        <v>8928926.3120030034</v>
      </c>
      <c r="AY52" s="63">
        <f>IFERROR(AY17/$B52,0)</f>
        <v>13399639889.823425</v>
      </c>
      <c r="AZ52" s="63">
        <f>IFERROR(AZ17/$B52,0)</f>
        <v>0</v>
      </c>
      <c r="BA52" s="244">
        <f t="shared" si="51"/>
        <v>3.0307297327999993E-4</v>
      </c>
      <c r="BB52" s="244">
        <f t="shared" si="52"/>
        <v>1.1199554851916708E-7</v>
      </c>
      <c r="BC52" s="244">
        <f t="shared" si="53"/>
        <v>7.4628871239999985E-11</v>
      </c>
      <c r="BD52" s="244">
        <f t="shared" si="54"/>
        <v>0</v>
      </c>
      <c r="BE52" s="63">
        <f t="shared" si="19"/>
        <v>3298.3157368069183</v>
      </c>
      <c r="BF52" s="71">
        <f>IFERROR(s_RadSpec!$I$17*BF17,".")*$B$52</f>
        <v>1.5153648663999998E-8</v>
      </c>
      <c r="BG52" s="71">
        <f>IFERROR(s_RadSpec!$M$17*BG17,".")*$B$52</f>
        <v>5.5997774259583561E-12</v>
      </c>
      <c r="BH52" s="71">
        <f>IFERROR(s_RadSpec!$H$17*BH17,".")*$B$52</f>
        <v>3.7314435620000005E-15</v>
      </c>
      <c r="BI52" s="71">
        <f>IFERROR(s_RadSpec!$H$17*BI17,".")*$B$52</f>
        <v>0</v>
      </c>
      <c r="BJ52" s="49">
        <f t="shared" si="97"/>
        <v>1.5153648663999998E-8</v>
      </c>
      <c r="BK52" s="49">
        <f t="shared" si="98"/>
        <v>5.5997774259583561E-12</v>
      </c>
      <c r="BL52" s="49">
        <f t="shared" si="99"/>
        <v>3.7314435620000005E-15</v>
      </c>
      <c r="BM52" s="49">
        <f t="shared" si="100"/>
        <v>0</v>
      </c>
      <c r="BN52" s="49">
        <f t="shared" si="101"/>
        <v>1.5159248441425956E-8</v>
      </c>
      <c r="BO52" s="63">
        <f t="shared" ref="BO52:BP52" si="107">IFERROR(BO17/$B52,0)</f>
        <v>18759.495845752794</v>
      </c>
      <c r="BP52" s="63">
        <f t="shared" si="107"/>
        <v>18759.495845752794</v>
      </c>
      <c r="BQ52" s="71">
        <f>IFERROR(s_RadSpec!$H$17*BQ17,".")*$B$52</f>
        <v>2.6653168300000002E-9</v>
      </c>
      <c r="BR52" s="71">
        <f>IFERROR(s_RadSpec!$H$17*BR17,".")*$B$52</f>
        <v>2.6653168300000002E-9</v>
      </c>
      <c r="BS52" s="49">
        <f t="shared" si="103"/>
        <v>2.6653168300000002E-9</v>
      </c>
      <c r="BT52" s="49">
        <f t="shared" si="104"/>
        <v>2.6653168300000002E-9</v>
      </c>
    </row>
    <row r="53" spans="1:72" x14ac:dyDescent="0.25">
      <c r="A53" s="48" t="s">
        <v>1088</v>
      </c>
      <c r="B53" s="15">
        <v>2.0000000000000001E-4</v>
      </c>
      <c r="C53" s="249"/>
      <c r="D53" s="60">
        <f>IFERROR(D5/$B53,0)</f>
        <v>0</v>
      </c>
      <c r="E53" s="60">
        <f>IFERROR(E5/$B53,0)</f>
        <v>0</v>
      </c>
      <c r="F53" s="60">
        <f>IFERROR(F5/$B53,0)</f>
        <v>0</v>
      </c>
      <c r="G53" s="63">
        <f>IFERROR(G5/$B53,0)</f>
        <v>0</v>
      </c>
      <c r="H53" s="63">
        <f>IFERROR(H5/$B53,0)</f>
        <v>0</v>
      </c>
      <c r="I53" s="244">
        <f t="shared" si="13"/>
        <v>0</v>
      </c>
      <c r="J53" s="244">
        <f t="shared" si="14"/>
        <v>0</v>
      </c>
      <c r="K53" s="244">
        <f t="shared" si="15"/>
        <v>0</v>
      </c>
      <c r="L53" s="244">
        <f t="shared" si="16"/>
        <v>0</v>
      </c>
      <c r="M53" s="244">
        <f t="shared" si="17"/>
        <v>0</v>
      </c>
      <c r="N53" s="63">
        <f t="shared" si="18"/>
        <v>0</v>
      </c>
      <c r="O53" s="71">
        <f>IFERROR(s_RadSpec!$E$5*O5,".")*$B$53</f>
        <v>0</v>
      </c>
      <c r="P53" s="71">
        <f>IFERROR(s_RadSpec!$F$5*$P$5,".")*B53</f>
        <v>0</v>
      </c>
      <c r="Q53" s="71">
        <f>IFERROR(s_RadSpec!$G$5*$Q$5,".")*B53</f>
        <v>0</v>
      </c>
      <c r="R53" s="71">
        <f>IFERROR(s_RadSpec!$H$5*R5,".")*$B$53</f>
        <v>0</v>
      </c>
      <c r="S53" s="71">
        <f>IFERROR(s_RadSpec!$H$5*S5,".")*$B$53</f>
        <v>0</v>
      </c>
      <c r="T53" s="49">
        <f t="shared" si="88"/>
        <v>0</v>
      </c>
      <c r="U53" s="49">
        <f t="shared" si="89"/>
        <v>0</v>
      </c>
      <c r="V53" s="49">
        <f t="shared" si="90"/>
        <v>0</v>
      </c>
      <c r="W53" s="49">
        <f t="shared" si="91"/>
        <v>0</v>
      </c>
      <c r="X53" s="49">
        <f t="shared" si="92"/>
        <v>0</v>
      </c>
      <c r="Y53" s="49">
        <f t="shared" si="45"/>
        <v>0</v>
      </c>
      <c r="Z53" s="60">
        <f>IFERROR(Z5/$B53,0)</f>
        <v>0</v>
      </c>
      <c r="AA53" s="60">
        <f>IFERROR(AA5/$B53,0)</f>
        <v>0</v>
      </c>
      <c r="AB53" s="60">
        <f>IFERROR(AB5/$B53,0)</f>
        <v>0</v>
      </c>
      <c r="AC53" s="60">
        <f>IFERROR(AC5/$B53,0)</f>
        <v>0</v>
      </c>
      <c r="AD53" s="60">
        <f>IFERROR(AD5/$B53,0)</f>
        <v>0</v>
      </c>
      <c r="AE53" s="71">
        <f>IFERROR(s_RadSpec!$G$5*AE5,".")*$B$53</f>
        <v>0</v>
      </c>
      <c r="AF53" s="71">
        <f>IFERROR(s_RadSpec!$N$5*AF5,".")*$B$53</f>
        <v>0</v>
      </c>
      <c r="AG53" s="71">
        <f>IFERROR(s_RadSpec!$O$5*AG5,".")*$B$53</f>
        <v>0</v>
      </c>
      <c r="AH53" s="71">
        <f>IFERROR(s_RadSpec!$P$5*AH5,".")*$B$53</f>
        <v>0</v>
      </c>
      <c r="AI53" s="71">
        <f>IFERROR(s_RadSpec!$L$5*AI5,".")*$B$53</f>
        <v>0</v>
      </c>
      <c r="AJ53" s="49">
        <f t="shared" si="93"/>
        <v>0</v>
      </c>
      <c r="AK53" s="49">
        <f t="shared" si="93"/>
        <v>0</v>
      </c>
      <c r="AL53" s="49">
        <f t="shared" si="93"/>
        <v>0</v>
      </c>
      <c r="AM53" s="49">
        <f t="shared" si="93"/>
        <v>0</v>
      </c>
      <c r="AN53" s="49">
        <f t="shared" si="93"/>
        <v>0</v>
      </c>
      <c r="AO53" s="60">
        <f>IFERROR(AO5/$B53,0)</f>
        <v>0</v>
      </c>
      <c r="AP53" s="60">
        <f>IFERROR(AP5/$B53,0)</f>
        <v>5166920729113.499</v>
      </c>
      <c r="AQ53" s="60">
        <f t="shared" si="94"/>
        <v>5166920729113.499</v>
      </c>
      <c r="AR53" s="71">
        <f>IFERROR(s_RadSpec!$F$5*AR5,".")*$B$53</f>
        <v>0</v>
      </c>
      <c r="AS53" s="71">
        <f>IFERROR(s_RadSpec!$K$5*AS5,".")*$B$53</f>
        <v>9.6769435068493164E-18</v>
      </c>
      <c r="AT53" s="49">
        <f t="shared" si="95"/>
        <v>0</v>
      </c>
      <c r="AU53" s="49">
        <f t="shared" si="95"/>
        <v>9.6769435068493164E-18</v>
      </c>
      <c r="AV53" s="49">
        <f t="shared" si="96"/>
        <v>9.6769435068493164E-18</v>
      </c>
      <c r="AW53" s="60">
        <f>IFERROR(AW5/$B53,0)</f>
        <v>0</v>
      </c>
      <c r="AX53" s="60">
        <f>IFERROR(AX5/$B53,0)</f>
        <v>1942008930076827.5</v>
      </c>
      <c r="AY53" s="63">
        <f>IFERROR(AY5/$B53,0)</f>
        <v>0</v>
      </c>
      <c r="AZ53" s="63">
        <f>IFERROR(AZ5/$B53,0)</f>
        <v>0</v>
      </c>
      <c r="BA53" s="244">
        <f t="shared" si="51"/>
        <v>0</v>
      </c>
      <c r="BB53" s="244">
        <f t="shared" si="52"/>
        <v>5.149306908493151E-16</v>
      </c>
      <c r="BC53" s="244">
        <f t="shared" si="53"/>
        <v>0</v>
      </c>
      <c r="BD53" s="244">
        <f t="shared" si="54"/>
        <v>0</v>
      </c>
      <c r="BE53" s="63">
        <f t="shared" si="19"/>
        <v>1942008930076827.5</v>
      </c>
      <c r="BF53" s="71">
        <f>IFERROR(s_RadSpec!$I$5*BF5,".")*$B$53</f>
        <v>0</v>
      </c>
      <c r="BG53" s="71">
        <f>IFERROR(s_RadSpec!$M$5*BG5,".")*$B$53</f>
        <v>2.5746534542465757E-20</v>
      </c>
      <c r="BH53" s="71">
        <f>IFERROR(s_RadSpec!$H$5*BH5,".")*$B$53</f>
        <v>0</v>
      </c>
      <c r="BI53" s="71">
        <f>IFERROR(s_RadSpec!$H$5*BI5,".")*$B$53</f>
        <v>0</v>
      </c>
      <c r="BJ53" s="49">
        <f t="shared" si="97"/>
        <v>0</v>
      </c>
      <c r="BK53" s="49">
        <f t="shared" si="98"/>
        <v>2.5746534542465757E-20</v>
      </c>
      <c r="BL53" s="49">
        <f t="shared" si="99"/>
        <v>0</v>
      </c>
      <c r="BM53" s="49">
        <f t="shared" si="100"/>
        <v>0</v>
      </c>
      <c r="BN53" s="49">
        <f t="shared" si="101"/>
        <v>2.5746534542465757E-20</v>
      </c>
      <c r="BO53" s="63">
        <f t="shared" ref="BO53:BP53" si="108">IFERROR(BO5/$B53,0)</f>
        <v>0</v>
      </c>
      <c r="BP53" s="63">
        <f t="shared" si="108"/>
        <v>0</v>
      </c>
      <c r="BQ53" s="71">
        <f>IFERROR(s_RadSpec!$H$5*BQ5,".")*$B$53</f>
        <v>0</v>
      </c>
      <c r="BR53" s="71">
        <f>IFERROR(s_RadSpec!$H$5*BR5,".")*$B$53</f>
        <v>0</v>
      </c>
      <c r="BS53" s="49">
        <f t="shared" si="103"/>
        <v>0</v>
      </c>
      <c r="BT53" s="49">
        <f t="shared" si="104"/>
        <v>0</v>
      </c>
    </row>
    <row r="54" spans="1:72" x14ac:dyDescent="0.25">
      <c r="A54" s="48" t="s">
        <v>1089</v>
      </c>
      <c r="B54" s="15">
        <v>0.99999979999999999</v>
      </c>
      <c r="C54" s="249"/>
      <c r="D54" s="60">
        <f>IFERROR(D9/$B54,0)</f>
        <v>409842.02642252657</v>
      </c>
      <c r="E54" s="60">
        <f>IFERROR(E9/$B54,0)</f>
        <v>24999938.537158351</v>
      </c>
      <c r="F54" s="60">
        <f>IFERROR(F9/$B54,0)</f>
        <v>17.702048926630678</v>
      </c>
      <c r="G54" s="63">
        <f>IFERROR(G9/$B54,0)</f>
        <v>1427825.9811733186</v>
      </c>
      <c r="H54" s="63">
        <f>IFERROR(H9/$B54,0)</f>
        <v>0</v>
      </c>
      <c r="I54" s="244">
        <f t="shared" si="13"/>
        <v>2.4399645120069998E-6</v>
      </c>
      <c r="J54" s="244">
        <f t="shared" si="14"/>
        <v>4.0000098340788412E-8</v>
      </c>
      <c r="K54" s="244">
        <f t="shared" si="15"/>
        <v>5.6490635866202815E-2</v>
      </c>
      <c r="L54" s="244">
        <f t="shared" si="16"/>
        <v>7.0036545992688005E-7</v>
      </c>
      <c r="M54" s="244">
        <f t="shared" si="17"/>
        <v>0</v>
      </c>
      <c r="N54" s="63">
        <f t="shared" si="18"/>
        <v>17.701052386437478</v>
      </c>
      <c r="O54" s="71">
        <f>IFERROR(s_RadSpec!$E$9*O9,".")*$B$54</f>
        <v>1.2199822560035E-10</v>
      </c>
      <c r="P54" s="71">
        <f>IFERROR(s_RadSpec!$F$9*$P$9,".")*B54</f>
        <v>2.0000049170394206E-12</v>
      </c>
      <c r="Q54" s="71">
        <f>IFERROR(s_RadSpec!$G$9*$Q$9,".")*B54</f>
        <v>2.8245317933101414E-6</v>
      </c>
      <c r="R54" s="71">
        <f>IFERROR(s_RadSpec!$H$9*R9,".")*$B$54</f>
        <v>3.5018272996344001E-11</v>
      </c>
      <c r="S54" s="71">
        <f>IFERROR(s_RadSpec!$H$9*S9,".")*$B$54</f>
        <v>0</v>
      </c>
      <c r="T54" s="49">
        <f t="shared" si="88"/>
        <v>1.2199822560035E-10</v>
      </c>
      <c r="U54" s="49">
        <f t="shared" si="89"/>
        <v>2.0000049170394206E-12</v>
      </c>
      <c r="V54" s="49">
        <f t="shared" si="90"/>
        <v>2.8245317933101414E-6</v>
      </c>
      <c r="W54" s="49">
        <f t="shared" si="91"/>
        <v>3.5018272996344001E-11</v>
      </c>
      <c r="X54" s="49">
        <f t="shared" si="92"/>
        <v>0</v>
      </c>
      <c r="Y54" s="49">
        <f t="shared" si="45"/>
        <v>2.824690809813655E-6</v>
      </c>
      <c r="Z54" s="60">
        <f>IFERROR(Z9/$B54,0)</f>
        <v>17.702048926630678</v>
      </c>
      <c r="AA54" s="60">
        <f>IFERROR(AA9/$B54,0)</f>
        <v>200.75264902486708</v>
      </c>
      <c r="AB54" s="60">
        <f>IFERROR(AB9/$B54,0)</f>
        <v>49.16175466002435</v>
      </c>
      <c r="AC54" s="60">
        <f>IFERROR(AC9/$B54,0)</f>
        <v>25.146995650179655</v>
      </c>
      <c r="AD54" s="60">
        <f>IFERROR(AD9/$B54,0)</f>
        <v>367.22650879724722</v>
      </c>
      <c r="AE54" s="71">
        <f>IFERROR(s_RadSpec!$G$9*AE9,".")*$B$54</f>
        <v>2.8245317933101414E-6</v>
      </c>
      <c r="AF54" s="71">
        <f>IFERROR(s_RadSpec!$N$9*AF9,".")*$B$54</f>
        <v>2.4906271594855285E-7</v>
      </c>
      <c r="AG54" s="71">
        <f>IFERROR(s_RadSpec!$O$9*AG9,".")*$B$54</f>
        <v>1.0170507612222654E-6</v>
      </c>
      <c r="AH54" s="71">
        <f>IFERROR(s_RadSpec!$P$9*AH9,".")*$B$54</f>
        <v>1.9883090885110476E-6</v>
      </c>
      <c r="AI54" s="71">
        <f>IFERROR(s_RadSpec!$L$9*AI9,".")*$B$54</f>
        <v>1.3615574802527658E-7</v>
      </c>
      <c r="AJ54" s="49">
        <f t="shared" si="93"/>
        <v>2.8245317933101414E-6</v>
      </c>
      <c r="AK54" s="49">
        <f t="shared" si="93"/>
        <v>2.4906271594855285E-7</v>
      </c>
      <c r="AL54" s="49">
        <f t="shared" si="93"/>
        <v>1.0170507612222654E-6</v>
      </c>
      <c r="AM54" s="49">
        <f t="shared" si="93"/>
        <v>1.9883090885110476E-6</v>
      </c>
      <c r="AN54" s="49">
        <f t="shared" si="93"/>
        <v>1.3615574802527658E-7</v>
      </c>
      <c r="AO54" s="60">
        <f>IFERROR(AO9/$B54,0)</f>
        <v>80.696019165303966</v>
      </c>
      <c r="AP54" s="60">
        <f>IFERROR(AP9/$B54,0)</f>
        <v>4761.142566490169</v>
      </c>
      <c r="AQ54" s="60">
        <f t="shared" si="94"/>
        <v>79.351107022131899</v>
      </c>
      <c r="AR54" s="71">
        <f>IFERROR(s_RadSpec!$F$9*AR9,".")*$B$54</f>
        <v>6.1960925107812488E-7</v>
      </c>
      <c r="AS54" s="71">
        <f>IFERROR(s_RadSpec!$K$9*AS9,".")*$B$54</f>
        <v>1.050168090993737E-8</v>
      </c>
      <c r="AT54" s="49">
        <f t="shared" si="95"/>
        <v>6.1960925107812488E-7</v>
      </c>
      <c r="AU54" s="49">
        <f t="shared" si="95"/>
        <v>1.050168090993737E-8</v>
      </c>
      <c r="AV54" s="49">
        <f t="shared" si="96"/>
        <v>6.301109319880622E-7</v>
      </c>
      <c r="AW54" s="60">
        <f>IFERROR(AW9/$B54,0)</f>
        <v>5917.6371589668761</v>
      </c>
      <c r="AX54" s="60">
        <f>IFERROR(AX9/$B54,0)</f>
        <v>1375067.8884066863</v>
      </c>
      <c r="AY54" s="63">
        <f>IFERROR(AY9/$B54,0)</f>
        <v>8566955887.0399113</v>
      </c>
      <c r="AZ54" s="63">
        <f>IFERROR(AZ9/$B54,0)</f>
        <v>0</v>
      </c>
      <c r="BA54" s="244">
        <f t="shared" si="51"/>
        <v>1.6898636620271999E-4</v>
      </c>
      <c r="BB54" s="244">
        <f t="shared" si="52"/>
        <v>7.2723682112794915E-7</v>
      </c>
      <c r="BC54" s="244">
        <f t="shared" si="53"/>
        <v>1.1672757665448E-10</v>
      </c>
      <c r="BD54" s="244">
        <f t="shared" si="54"/>
        <v>0</v>
      </c>
      <c r="BE54" s="63">
        <f t="shared" si="19"/>
        <v>5892.2755418046036</v>
      </c>
      <c r="BF54" s="71">
        <f>IFERROR(s_RadSpec!$I$9*BF9,".")*$B$54</f>
        <v>8.4493183101359989E-9</v>
      </c>
      <c r="BG54" s="71">
        <f>IFERROR(s_RadSpec!$M$9*BG9,".")*$B$54</f>
        <v>3.6361841056397453E-11</v>
      </c>
      <c r="BH54" s="71">
        <f>IFERROR(s_RadSpec!$H$9*BH9,".")*$B$54</f>
        <v>5.8363788327240012E-15</v>
      </c>
      <c r="BI54" s="71">
        <f>IFERROR(s_RadSpec!$H$9*BI9,".")*$B$54</f>
        <v>0</v>
      </c>
      <c r="BJ54" s="49">
        <f t="shared" si="97"/>
        <v>8.4493183101359989E-9</v>
      </c>
      <c r="BK54" s="49">
        <f t="shared" si="98"/>
        <v>3.6361841056397453E-11</v>
      </c>
      <c r="BL54" s="49">
        <f t="shared" si="99"/>
        <v>5.8363788327240012E-15</v>
      </c>
      <c r="BM54" s="49">
        <f t="shared" si="100"/>
        <v>0</v>
      </c>
      <c r="BN54" s="49">
        <f t="shared" si="101"/>
        <v>8.4856801511923962E-9</v>
      </c>
      <c r="BO54" s="63">
        <f t="shared" ref="BO54:BP54" si="109">IFERROR(BO9/$B54,0)</f>
        <v>34267.823548159642</v>
      </c>
      <c r="BP54" s="63">
        <f t="shared" si="109"/>
        <v>34267.823548159642</v>
      </c>
      <c r="BQ54" s="71">
        <f>IFERROR(s_RadSpec!$H$9*BQ9,".")*$B$54</f>
        <v>1.4590947081810001E-9</v>
      </c>
      <c r="BR54" s="71">
        <f>IFERROR(s_RadSpec!$H$9*BR9,".")*$B$54</f>
        <v>1.4590947081810001E-9</v>
      </c>
      <c r="BS54" s="49">
        <f t="shared" si="103"/>
        <v>1.4590947081810001E-9</v>
      </c>
      <c r="BT54" s="49">
        <f t="shared" si="104"/>
        <v>1.4590947081810001E-9</v>
      </c>
    </row>
    <row r="55" spans="1:72" x14ac:dyDescent="0.25">
      <c r="A55" s="48" t="s">
        <v>1090</v>
      </c>
      <c r="B55" s="15">
        <v>1.9999999999999999E-7</v>
      </c>
      <c r="C55" s="249"/>
      <c r="D55" s="60">
        <f>IFERROR(D24/$B55,0)</f>
        <v>0</v>
      </c>
      <c r="E55" s="60">
        <f>IFERROR(E24/$B55,0)</f>
        <v>0</v>
      </c>
      <c r="F55" s="60">
        <f>IFERROR(F24/$B55,0)</f>
        <v>338789087917.6972</v>
      </c>
      <c r="G55" s="63">
        <f>IFERROR(G24/$B55,0)</f>
        <v>0</v>
      </c>
      <c r="H55" s="63">
        <f>IFERROR(H24/$B55,0)</f>
        <v>0</v>
      </c>
      <c r="I55" s="244">
        <f t="shared" si="13"/>
        <v>0</v>
      </c>
      <c r="J55" s="244">
        <f t="shared" si="14"/>
        <v>0</v>
      </c>
      <c r="K55" s="244">
        <f t="shared" si="15"/>
        <v>2.9516889287854876E-12</v>
      </c>
      <c r="L55" s="244">
        <f t="shared" si="16"/>
        <v>0</v>
      </c>
      <c r="M55" s="244">
        <f t="shared" si="17"/>
        <v>0</v>
      </c>
      <c r="N55" s="63">
        <f t="shared" si="18"/>
        <v>338789087917.6972</v>
      </c>
      <c r="O55" s="71">
        <f>IFERROR(s_RadSpec!$E$24*O24,".")*$B$55</f>
        <v>0</v>
      </c>
      <c r="P55" s="71">
        <f>IFERROR(s_RadSpec!$F$24*$P$24,".")*B55</f>
        <v>0</v>
      </c>
      <c r="Q55" s="71">
        <f>IFERROR(s_RadSpec!$G$24*$Q$24,".")*B55</f>
        <v>1.4758444643927444E-16</v>
      </c>
      <c r="R55" s="71">
        <f>IFERROR(s_RadSpec!$H$24*R24,".")*$B$55</f>
        <v>0</v>
      </c>
      <c r="S55" s="71">
        <f>IFERROR(s_RadSpec!$H$24*S24,".")*$B$55</f>
        <v>0</v>
      </c>
      <c r="T55" s="49">
        <f t="shared" si="88"/>
        <v>0</v>
      </c>
      <c r="U55" s="49">
        <f t="shared" si="89"/>
        <v>0</v>
      </c>
      <c r="V55" s="49">
        <f t="shared" si="90"/>
        <v>1.4758444643927444E-16</v>
      </c>
      <c r="W55" s="49">
        <f t="shared" si="91"/>
        <v>0</v>
      </c>
      <c r="X55" s="49">
        <f t="shared" si="92"/>
        <v>0</v>
      </c>
      <c r="Y55" s="49">
        <f t="shared" si="45"/>
        <v>1.4758444643927444E-16</v>
      </c>
      <c r="Z55" s="60">
        <f>IFERROR(Z24/$B55,0)</f>
        <v>338789087917.6972</v>
      </c>
      <c r="AA55" s="60">
        <f>IFERROR(AA24/$B55,0)</f>
        <v>2984695188693.2773</v>
      </c>
      <c r="AB55" s="60">
        <f>IFERROR(AB24/$B55,0)</f>
        <v>748624381200.15112</v>
      </c>
      <c r="AC55" s="60">
        <f>IFERROR(AC24/$B55,0)</f>
        <v>403943010259.75562</v>
      </c>
      <c r="AD55" s="60">
        <f>IFERROR(AD24/$B55,0)</f>
        <v>5078002126476.877</v>
      </c>
      <c r="AE55" s="71">
        <f>IFERROR(s_RadSpec!$G$24*AE24,".")*$B$55</f>
        <v>1.4758444643927444E-16</v>
      </c>
      <c r="AF55" s="71">
        <f>IFERROR(s_RadSpec!$N$24*AF24,".")*$B$55</f>
        <v>1.6752129393115811E-17</v>
      </c>
      <c r="AG55" s="71">
        <f>IFERROR(s_RadSpec!$O$24*AG24,".")*$B$55</f>
        <v>6.6789168581235484E-17</v>
      </c>
      <c r="AH55" s="71">
        <f>IFERROR(s_RadSpec!$P$24*AH24,".")*$B$55</f>
        <v>1.2377983708109589E-16</v>
      </c>
      <c r="AI55" s="71">
        <f>IFERROR(s_RadSpec!$L$24*AI24,".")*$B$55</f>
        <v>9.8463920956823346E-18</v>
      </c>
      <c r="AJ55" s="49">
        <f t="shared" si="93"/>
        <v>1.4758444643927444E-16</v>
      </c>
      <c r="AK55" s="49">
        <f t="shared" si="93"/>
        <v>1.6752129393115811E-17</v>
      </c>
      <c r="AL55" s="49">
        <f t="shared" si="93"/>
        <v>6.6789168581235484E-17</v>
      </c>
      <c r="AM55" s="49">
        <f t="shared" si="93"/>
        <v>1.2377983708109589E-16</v>
      </c>
      <c r="AN55" s="49">
        <f t="shared" si="93"/>
        <v>9.8463920956823346E-18</v>
      </c>
      <c r="AO55" s="60">
        <f>IFERROR(AO24/$B55,0)</f>
        <v>0</v>
      </c>
      <c r="AP55" s="60">
        <f>IFERROR(AP24/$B55,0)</f>
        <v>49965826830987.688</v>
      </c>
      <c r="AQ55" s="60">
        <f t="shared" si="94"/>
        <v>49965826830987.695</v>
      </c>
      <c r="AR55" s="71">
        <f>IFERROR(s_RadSpec!$F$24*AR24,".")*$B$55</f>
        <v>0</v>
      </c>
      <c r="AS55" s="71">
        <f>IFERROR(s_RadSpec!$K$24*AS24,".")*$B$55</f>
        <v>1.0006839308219179E-18</v>
      </c>
      <c r="AT55" s="49">
        <f t="shared" si="95"/>
        <v>0</v>
      </c>
      <c r="AU55" s="49">
        <f t="shared" si="95"/>
        <v>1.0006839308219179E-18</v>
      </c>
      <c r="AV55" s="49">
        <f t="shared" si="96"/>
        <v>1.0006839308219179E-18</v>
      </c>
      <c r="AW55" s="60">
        <f>IFERROR(AW24/$B55,0)</f>
        <v>0</v>
      </c>
      <c r="AX55" s="60">
        <f>IFERROR(AX24/$B55,0)</f>
        <v>1.4376760882019012E+16</v>
      </c>
      <c r="AY55" s="63">
        <f>IFERROR(AY24/$B55,0)</f>
        <v>0</v>
      </c>
      <c r="AZ55" s="63">
        <f>IFERROR(AZ24/$B55,0)</f>
        <v>0</v>
      </c>
      <c r="BA55" s="244">
        <f t="shared" si="51"/>
        <v>0</v>
      </c>
      <c r="BB55" s="244">
        <f t="shared" si="52"/>
        <v>6.9556696964383555E-17</v>
      </c>
      <c r="BC55" s="244">
        <f t="shared" si="53"/>
        <v>0</v>
      </c>
      <c r="BD55" s="244">
        <f t="shared" si="54"/>
        <v>0</v>
      </c>
      <c r="BE55" s="63">
        <f t="shared" si="19"/>
        <v>1.4376760882019012E+16</v>
      </c>
      <c r="BF55" s="71">
        <f>IFERROR(s_RadSpec!$I$24*BF24,".")*$B$55</f>
        <v>0</v>
      </c>
      <c r="BG55" s="71">
        <f>IFERROR(s_RadSpec!$M$24*BG24,".")*$B$55</f>
        <v>3.4778348482191779E-21</v>
      </c>
      <c r="BH55" s="71">
        <f>IFERROR(s_RadSpec!$H$24*BH24,".")*$B$55</f>
        <v>0</v>
      </c>
      <c r="BI55" s="71">
        <f>IFERROR(s_RadSpec!$H$24*BI24,".")*$B$55</f>
        <v>0</v>
      </c>
      <c r="BJ55" s="49">
        <f t="shared" si="97"/>
        <v>0</v>
      </c>
      <c r="BK55" s="49">
        <f t="shared" si="98"/>
        <v>3.4778348482191779E-21</v>
      </c>
      <c r="BL55" s="49">
        <f t="shared" si="99"/>
        <v>0</v>
      </c>
      <c r="BM55" s="49">
        <f t="shared" si="100"/>
        <v>0</v>
      </c>
      <c r="BN55" s="49">
        <f t="shared" si="101"/>
        <v>3.4778348482191779E-21</v>
      </c>
      <c r="BO55" s="63">
        <f t="shared" ref="BO55:BP55" si="110">IFERROR(BO24/$B55,0)</f>
        <v>0</v>
      </c>
      <c r="BP55" s="63">
        <f t="shared" si="110"/>
        <v>0</v>
      </c>
      <c r="BQ55" s="71">
        <f>IFERROR(s_RadSpec!$H$24*BQ24,".")*$B$55</f>
        <v>0</v>
      </c>
      <c r="BR55" s="71">
        <f>IFERROR(s_RadSpec!$H$24*BR24,".")*$B$55</f>
        <v>0</v>
      </c>
      <c r="BS55" s="49">
        <f t="shared" si="103"/>
        <v>0</v>
      </c>
      <c r="BT55" s="49">
        <f t="shared" si="104"/>
        <v>0</v>
      </c>
    </row>
    <row r="56" spans="1:72" x14ac:dyDescent="0.25">
      <c r="A56" s="48" t="s">
        <v>1091</v>
      </c>
      <c r="B56" s="15">
        <v>0.99979000004200003</v>
      </c>
      <c r="C56" s="249"/>
      <c r="D56" s="60">
        <f>IFERROR(D20/$B56,0)</f>
        <v>0</v>
      </c>
      <c r="E56" s="60">
        <f>IFERROR(E20/$B56,0)</f>
        <v>0</v>
      </c>
      <c r="F56" s="60">
        <f>IFERROR(F20/$B56,0)</f>
        <v>466458.00103321346</v>
      </c>
      <c r="G56" s="63">
        <f>IFERROR(G20/$B56,0)</f>
        <v>0</v>
      </c>
      <c r="H56" s="63">
        <f>IFERROR(H20/$B56,0)</f>
        <v>0</v>
      </c>
      <c r="I56" s="244">
        <f t="shared" si="13"/>
        <v>0</v>
      </c>
      <c r="J56" s="244">
        <f t="shared" si="14"/>
        <v>0</v>
      </c>
      <c r="K56" s="244">
        <f t="shared" si="15"/>
        <v>2.1438157300013737E-6</v>
      </c>
      <c r="L56" s="244">
        <f t="shared" si="16"/>
        <v>0</v>
      </c>
      <c r="M56" s="244">
        <f t="shared" si="17"/>
        <v>0</v>
      </c>
      <c r="N56" s="63">
        <f t="shared" si="18"/>
        <v>466458.00103321346</v>
      </c>
      <c r="O56" s="71">
        <f>IFERROR(s_RadSpec!$E$20*O20,".")*$B$56</f>
        <v>0</v>
      </c>
      <c r="P56" s="71">
        <f>IFERROR(s_RadSpec!$F$20*$P$20,".")*B56</f>
        <v>0</v>
      </c>
      <c r="Q56" s="71">
        <f>IFERROR(s_RadSpec!$G$20*$Q$20,".")*B56</f>
        <v>1.0719078650006869E-10</v>
      </c>
      <c r="R56" s="71">
        <f>IFERROR(s_RadSpec!$H$20*R20,".")*$B$56</f>
        <v>0</v>
      </c>
      <c r="S56" s="71">
        <f>IFERROR(s_RadSpec!$H$20*S20,".")*$B$56</f>
        <v>0</v>
      </c>
      <c r="T56" s="49">
        <f t="shared" si="88"/>
        <v>0</v>
      </c>
      <c r="U56" s="49">
        <f t="shared" si="89"/>
        <v>0</v>
      </c>
      <c r="V56" s="49">
        <f t="shared" si="90"/>
        <v>1.0719078650006869E-10</v>
      </c>
      <c r="W56" s="49">
        <f t="shared" si="91"/>
        <v>0</v>
      </c>
      <c r="X56" s="49">
        <f t="shared" si="92"/>
        <v>0</v>
      </c>
      <c r="Y56" s="49">
        <f t="shared" si="45"/>
        <v>1.0719078650006869E-10</v>
      </c>
      <c r="Z56" s="60">
        <f>IFERROR(Z20/$B56,0)</f>
        <v>466458.00103321346</v>
      </c>
      <c r="AA56" s="60">
        <f>IFERROR(AA20/$B56,0)</f>
        <v>4650226.5246433476</v>
      </c>
      <c r="AB56" s="60">
        <f>IFERROR(AB20/$B56,0)</f>
        <v>1154344.3907067061</v>
      </c>
      <c r="AC56" s="60">
        <f>IFERROR(AC20/$B56,0)</f>
        <v>617117.21133585006</v>
      </c>
      <c r="AD56" s="60">
        <f>IFERROR(AD20/$B56,0)</f>
        <v>8133116.150045583</v>
      </c>
      <c r="AE56" s="71">
        <f>IFERROR(s_RadSpec!$G$20*AE20,".")*$B$56</f>
        <v>1.0719078650006869E-10</v>
      </c>
      <c r="AF56" s="71">
        <f>IFERROR(s_RadSpec!$N$20*AF20,".")*$B$56</f>
        <v>1.0752164380601822E-11</v>
      </c>
      <c r="AG56" s="71">
        <f>IFERROR(s_RadSpec!$O$20*AG20,".")*$B$56</f>
        <v>4.3314629847500977E-11</v>
      </c>
      <c r="AH56" s="71">
        <f>IFERROR(s_RadSpec!$P$20*AH20,".")*$B$56</f>
        <v>8.1021885440153083E-11</v>
      </c>
      <c r="AI56" s="71">
        <f>IFERROR(s_RadSpec!$L$20*AI20,".")*$B$56</f>
        <v>6.147705144936331E-12</v>
      </c>
      <c r="AJ56" s="49">
        <f t="shared" si="93"/>
        <v>1.0719078650006869E-10</v>
      </c>
      <c r="AK56" s="49">
        <f t="shared" si="93"/>
        <v>1.0752164380601822E-11</v>
      </c>
      <c r="AL56" s="49">
        <f t="shared" si="93"/>
        <v>4.3314629847500977E-11</v>
      </c>
      <c r="AM56" s="49">
        <f t="shared" si="93"/>
        <v>8.1021885440153083E-11</v>
      </c>
      <c r="AN56" s="49">
        <f t="shared" si="93"/>
        <v>6.147705144936331E-12</v>
      </c>
      <c r="AO56" s="60">
        <f>IFERROR(AO20/$B56,0)</f>
        <v>0</v>
      </c>
      <c r="AP56" s="60">
        <f>IFERROR(AP20/$B56,0)</f>
        <v>89173437.038030326</v>
      </c>
      <c r="AQ56" s="60">
        <f t="shared" si="94"/>
        <v>89173437.038030326</v>
      </c>
      <c r="AR56" s="71">
        <f>IFERROR(s_RadSpec!$F$20*AR20,".")*$B$56</f>
        <v>0</v>
      </c>
      <c r="AS56" s="71">
        <f>IFERROR(s_RadSpec!$K$20*AS20,".")*$B$56</f>
        <v>5.6070508955123276E-13</v>
      </c>
      <c r="AT56" s="49">
        <f t="shared" si="95"/>
        <v>0</v>
      </c>
      <c r="AU56" s="49">
        <f t="shared" si="95"/>
        <v>5.6070508955123276E-13</v>
      </c>
      <c r="AV56" s="49">
        <f t="shared" si="96"/>
        <v>5.6070508955123276E-13</v>
      </c>
      <c r="AW56" s="60">
        <f>IFERROR(AW20/$B56,0)</f>
        <v>0</v>
      </c>
      <c r="AX56" s="60">
        <f>IFERROR(AX20/$B56,0)</f>
        <v>25723106837.893364</v>
      </c>
      <c r="AY56" s="63">
        <f>IFERROR(AY20/$B56,0)</f>
        <v>0</v>
      </c>
      <c r="AZ56" s="63">
        <f>IFERROR(AZ20/$B56,0)</f>
        <v>0</v>
      </c>
      <c r="BA56" s="244">
        <f t="shared" si="51"/>
        <v>0</v>
      </c>
      <c r="BB56" s="244">
        <f t="shared" si="52"/>
        <v>3.8875552875552128E-11</v>
      </c>
      <c r="BC56" s="244">
        <f t="shared" si="53"/>
        <v>0</v>
      </c>
      <c r="BD56" s="244">
        <f t="shared" si="54"/>
        <v>0</v>
      </c>
      <c r="BE56" s="63">
        <f t="shared" si="19"/>
        <v>25723106837.893364</v>
      </c>
      <c r="BF56" s="71">
        <f>IFERROR(s_RadSpec!$I$20*BF20,".")*$B$56</f>
        <v>0</v>
      </c>
      <c r="BG56" s="71">
        <f>IFERROR(s_RadSpec!$M$20*BG20,".")*$B$56</f>
        <v>1.9437776437776062E-15</v>
      </c>
      <c r="BH56" s="71">
        <f>IFERROR(s_RadSpec!$H$20*BH20,".")*$B$56</f>
        <v>0</v>
      </c>
      <c r="BI56" s="71">
        <f>IFERROR(s_RadSpec!$H$20*BI20,".")*$B$56</f>
        <v>0</v>
      </c>
      <c r="BJ56" s="49">
        <f t="shared" si="97"/>
        <v>0</v>
      </c>
      <c r="BK56" s="49">
        <f t="shared" si="98"/>
        <v>1.9437776437776062E-15</v>
      </c>
      <c r="BL56" s="49">
        <f t="shared" si="99"/>
        <v>0</v>
      </c>
      <c r="BM56" s="49">
        <f t="shared" si="100"/>
        <v>0</v>
      </c>
      <c r="BN56" s="49">
        <f t="shared" si="101"/>
        <v>1.9437776437776062E-15</v>
      </c>
      <c r="BO56" s="63">
        <f t="shared" ref="BO56:BP56" si="111">IFERROR(BO20/$B56,0)</f>
        <v>0</v>
      </c>
      <c r="BP56" s="63">
        <f t="shared" si="111"/>
        <v>0</v>
      </c>
      <c r="BQ56" s="71">
        <f>IFERROR(s_RadSpec!$H$20*BQ20,".")*$B$56</f>
        <v>0</v>
      </c>
      <c r="BR56" s="71">
        <f>IFERROR(s_RadSpec!$H$20*BR20,".")*$B$56</f>
        <v>0</v>
      </c>
      <c r="BS56" s="49">
        <f t="shared" si="103"/>
        <v>0</v>
      </c>
      <c r="BT56" s="49">
        <f t="shared" si="104"/>
        <v>0</v>
      </c>
    </row>
    <row r="57" spans="1:72" x14ac:dyDescent="0.25">
      <c r="A57" s="48" t="s">
        <v>1092</v>
      </c>
      <c r="B57" s="15">
        <v>2.0999995799999999E-4</v>
      </c>
      <c r="C57" s="249"/>
      <c r="D57" s="60">
        <f>IFERROR(D29/$B57,0)</f>
        <v>0</v>
      </c>
      <c r="E57" s="60">
        <f>IFERROR(E29/$B57,0)</f>
        <v>0</v>
      </c>
      <c r="F57" s="60">
        <f>IFERROR(F29/$B57,0)</f>
        <v>50155.775856986278</v>
      </c>
      <c r="G57" s="63">
        <f>IFERROR(G29/$B57,0)</f>
        <v>0</v>
      </c>
      <c r="H57" s="63">
        <f>IFERROR(H29/$B57,0)</f>
        <v>0</v>
      </c>
      <c r="I57" s="244">
        <f t="shared" si="13"/>
        <v>0</v>
      </c>
      <c r="J57" s="244">
        <f t="shared" si="14"/>
        <v>0</v>
      </c>
      <c r="K57" s="244">
        <f t="shared" si="15"/>
        <v>1.9937883183212855E-5</v>
      </c>
      <c r="L57" s="244">
        <f t="shared" si="16"/>
        <v>0</v>
      </c>
      <c r="M57" s="244">
        <f t="shared" si="17"/>
        <v>0</v>
      </c>
      <c r="N57" s="63">
        <f t="shared" si="18"/>
        <v>50155.775856986278</v>
      </c>
      <c r="O57" s="71">
        <f>IFERROR(s_RadSpec!$E$29*O29,".")*$B$57</f>
        <v>0</v>
      </c>
      <c r="P57" s="71">
        <f>IFERROR(s_RadSpec!$F$29*$P$29,".")*B57</f>
        <v>0</v>
      </c>
      <c r="Q57" s="71">
        <f>IFERROR(s_RadSpec!$G$29*$Q$29,".")*B57</f>
        <v>9.9689415916064306E-10</v>
      </c>
      <c r="R57" s="71">
        <f>IFERROR(s_RadSpec!$H$29*R29,".")*$B$57</f>
        <v>0</v>
      </c>
      <c r="S57" s="71">
        <f>IFERROR(s_RadSpec!$H$29*S29,".")*$B$57</f>
        <v>0</v>
      </c>
      <c r="T57" s="49">
        <f t="shared" si="88"/>
        <v>0</v>
      </c>
      <c r="U57" s="49">
        <f t="shared" si="89"/>
        <v>0</v>
      </c>
      <c r="V57" s="49">
        <f t="shared" si="90"/>
        <v>9.9689415916064306E-10</v>
      </c>
      <c r="W57" s="49">
        <f t="shared" si="91"/>
        <v>0</v>
      </c>
      <c r="X57" s="49">
        <f t="shared" si="92"/>
        <v>0</v>
      </c>
      <c r="Y57" s="49">
        <f t="shared" si="45"/>
        <v>9.9689415916064306E-10</v>
      </c>
      <c r="Z57" s="60">
        <f>IFERROR(Z29/$B57,0)</f>
        <v>50155.775856986278</v>
      </c>
      <c r="AA57" s="60">
        <f>IFERROR(AA29/$B57,0)</f>
        <v>540868.15517507214</v>
      </c>
      <c r="AB57" s="60">
        <f>IFERROR(AB29/$B57,0)</f>
        <v>134505.29938105785</v>
      </c>
      <c r="AC57" s="60">
        <f>IFERROR(AC29/$B57,0)</f>
        <v>71482.471592213566</v>
      </c>
      <c r="AD57" s="60">
        <f>IFERROR(AD29/$B57,0)</f>
        <v>1003285.7791257967</v>
      </c>
      <c r="AE57" s="71">
        <f>IFERROR(s_RadSpec!$G$29*AE29,".")*$B$57</f>
        <v>9.9689415916064306E-10</v>
      </c>
      <c r="AF57" s="71">
        <f>IFERROR(s_RadSpec!$N$29*AF29,".")*$B$57</f>
        <v>9.244397090417652E-11</v>
      </c>
      <c r="AG57" s="71">
        <f>IFERROR(s_RadSpec!$O$29*AG29,".")*$B$57</f>
        <v>3.7173256540880509E-10</v>
      </c>
      <c r="AH57" s="71">
        <f>IFERROR(s_RadSpec!$P$29*AH29,".")*$B$57</f>
        <v>6.9947217669298388E-10</v>
      </c>
      <c r="AI57" s="71">
        <f>IFERROR(s_RadSpec!$L$29*AI29,".")*$B$57</f>
        <v>4.9836249093022152E-11</v>
      </c>
      <c r="AJ57" s="49">
        <f t="shared" si="93"/>
        <v>9.9689415916064306E-10</v>
      </c>
      <c r="AK57" s="49">
        <f t="shared" si="93"/>
        <v>9.244397090417652E-11</v>
      </c>
      <c r="AL57" s="49">
        <f t="shared" si="93"/>
        <v>3.7173256540880509E-10</v>
      </c>
      <c r="AM57" s="49">
        <f t="shared" si="93"/>
        <v>6.9947217669298388E-10</v>
      </c>
      <c r="AN57" s="49">
        <f t="shared" si="93"/>
        <v>4.9836249093022152E-11</v>
      </c>
      <c r="AO57" s="60">
        <f>IFERROR(AO29/$B57,0)</f>
        <v>0</v>
      </c>
      <c r="AP57" s="60">
        <f>IFERROR(AP29/$B57,0)</f>
        <v>12255771.296490857</v>
      </c>
      <c r="AQ57" s="60">
        <f t="shared" si="94"/>
        <v>12255771.296490857</v>
      </c>
      <c r="AR57" s="71">
        <f>IFERROR(s_RadSpec!$F$29*AR29,".")*$B$57</f>
        <v>0</v>
      </c>
      <c r="AS57" s="71">
        <f>IFERROR(s_RadSpec!$K$29*AS29,".")*$B$57</f>
        <v>4.0797105943316913E-12</v>
      </c>
      <c r="AT57" s="49">
        <f t="shared" si="95"/>
        <v>0</v>
      </c>
      <c r="AU57" s="49">
        <f t="shared" si="95"/>
        <v>4.0797105943316913E-12</v>
      </c>
      <c r="AV57" s="49">
        <f t="shared" si="96"/>
        <v>4.0797105943316913E-12</v>
      </c>
      <c r="AW57" s="60">
        <f>IFERROR(AW29/$B57,0)</f>
        <v>0</v>
      </c>
      <c r="AX57" s="60">
        <f>IFERROR(AX29/$B57,0)</f>
        <v>3530194993.0109549</v>
      </c>
      <c r="AY57" s="63">
        <f>IFERROR(AY29/$B57,0)</f>
        <v>0</v>
      </c>
      <c r="AZ57" s="63">
        <f>IFERROR(AZ29/$B57,0)</f>
        <v>0</v>
      </c>
      <c r="BA57" s="244">
        <f t="shared" si="51"/>
        <v>0</v>
      </c>
      <c r="BB57" s="244">
        <f t="shared" si="52"/>
        <v>2.8327047145548335E-10</v>
      </c>
      <c r="BC57" s="244">
        <f t="shared" si="53"/>
        <v>0</v>
      </c>
      <c r="BD57" s="244">
        <f t="shared" si="54"/>
        <v>0</v>
      </c>
      <c r="BE57" s="63">
        <f t="shared" si="19"/>
        <v>3530194993.0109553</v>
      </c>
      <c r="BF57" s="71">
        <f>IFERROR(s_RadSpec!$I$29*BF29,".")*$B$57</f>
        <v>0</v>
      </c>
      <c r="BG57" s="71">
        <f>IFERROR(s_RadSpec!$M$29*BG29,".")*$B$57</f>
        <v>1.4163523572774169E-14</v>
      </c>
      <c r="BH57" s="71">
        <f>IFERROR(s_RadSpec!$H$29*BH29,".")*$B$57</f>
        <v>0</v>
      </c>
      <c r="BI57" s="71">
        <f>IFERROR(s_RadSpec!$H$29*BI29,".")*$B$57</f>
        <v>0</v>
      </c>
      <c r="BJ57" s="49">
        <f t="shared" si="97"/>
        <v>0</v>
      </c>
      <c r="BK57" s="49">
        <f t="shared" si="98"/>
        <v>1.4163523572774169E-14</v>
      </c>
      <c r="BL57" s="49">
        <f t="shared" si="99"/>
        <v>0</v>
      </c>
      <c r="BM57" s="49">
        <f t="shared" si="100"/>
        <v>0</v>
      </c>
      <c r="BN57" s="49">
        <f t="shared" si="101"/>
        <v>1.4163523572774169E-14</v>
      </c>
      <c r="BO57" s="63">
        <f t="shared" ref="BO57:BP57" si="112">IFERROR(BO29/$B57,0)</f>
        <v>0</v>
      </c>
      <c r="BP57" s="63">
        <f t="shared" si="112"/>
        <v>0</v>
      </c>
      <c r="BQ57" s="71">
        <f>IFERROR(s_RadSpec!$H$29*BQ29,".")*$B$57</f>
        <v>0</v>
      </c>
      <c r="BR57" s="71">
        <f>IFERROR(s_RadSpec!$H$29*BR29,".")*$B$57</f>
        <v>0</v>
      </c>
      <c r="BS57" s="49">
        <f t="shared" si="103"/>
        <v>0</v>
      </c>
      <c r="BT57" s="49">
        <f t="shared" si="104"/>
        <v>0</v>
      </c>
    </row>
    <row r="58" spans="1:72" x14ac:dyDescent="0.25">
      <c r="A58" s="48" t="s">
        <v>1093</v>
      </c>
      <c r="B58" s="15">
        <v>1</v>
      </c>
      <c r="C58" s="249"/>
      <c r="D58" s="60">
        <f>IFERROR(D16/$B58,0)</f>
        <v>96.277525744610386</v>
      </c>
      <c r="E58" s="60">
        <f>IFERROR(E16/$B58,0)</f>
        <v>97334.838568458756</v>
      </c>
      <c r="F58" s="60">
        <f>IFERROR(F16/$B58,0)</f>
        <v>2579238396.942708</v>
      </c>
      <c r="G58" s="63">
        <f>IFERROR(G16/$B58,0)</f>
        <v>1362.4914573664912</v>
      </c>
      <c r="H58" s="63">
        <f>IFERROR(H16/$B58,0)</f>
        <v>0</v>
      </c>
      <c r="I58" s="244">
        <f t="shared" si="13"/>
        <v>1.0386639999999999E-2</v>
      </c>
      <c r="J58" s="244">
        <f t="shared" si="14"/>
        <v>1.0273813720836116E-5</v>
      </c>
      <c r="K58" s="244">
        <f t="shared" si="15"/>
        <v>3.8771134967025413E-10</v>
      </c>
      <c r="L58" s="244">
        <f t="shared" si="16"/>
        <v>7.339495558620695E-4</v>
      </c>
      <c r="M58" s="244">
        <f t="shared" si="17"/>
        <v>0</v>
      </c>
      <c r="N58" s="63">
        <f t="shared" si="18"/>
        <v>89.840287492934436</v>
      </c>
      <c r="O58" s="71">
        <f>IFERROR(s_RadSpec!$E$16*O16,".")*$B$58</f>
        <v>5.1933199999999998E-7</v>
      </c>
      <c r="P58" s="71">
        <f>IFERROR(s_RadSpec!$F$16*$P$16,".")*B58</f>
        <v>5.1369068604180582E-10</v>
      </c>
      <c r="Q58" s="71">
        <f>IFERROR(s_RadSpec!$G$16*$Q$16,".")*B58</f>
        <v>1.9385567483512709E-14</v>
      </c>
      <c r="R58" s="71">
        <f>IFERROR(s_RadSpec!$H$16*R16,".")*$B$58</f>
        <v>3.6697477793103469E-8</v>
      </c>
      <c r="S58" s="71">
        <f>IFERROR(s_RadSpec!$H$16*S16,".")*$B$58</f>
        <v>0</v>
      </c>
      <c r="T58" s="49">
        <f t="shared" si="88"/>
        <v>5.1933199999999998E-7</v>
      </c>
      <c r="U58" s="49">
        <f t="shared" si="89"/>
        <v>5.1369068604180582E-10</v>
      </c>
      <c r="V58" s="49">
        <f t="shared" si="90"/>
        <v>1.9385567483512709E-14</v>
      </c>
      <c r="W58" s="49">
        <f t="shared" si="91"/>
        <v>3.6697477793103469E-8</v>
      </c>
      <c r="X58" s="49">
        <f t="shared" si="92"/>
        <v>0</v>
      </c>
      <c r="Y58" s="49">
        <f t="shared" si="45"/>
        <v>5.5654318786471269E-7</v>
      </c>
      <c r="Z58" s="60">
        <f>IFERROR(Z16/$B58,0)</f>
        <v>2579238396.942708</v>
      </c>
      <c r="AA58" s="60">
        <f>IFERROR(AA16/$B58,0)</f>
        <v>7149251915.5073071</v>
      </c>
      <c r="AB58" s="60">
        <f>IFERROR(AB16/$B58,0)</f>
        <v>2790278935.7777948</v>
      </c>
      <c r="AC58" s="60">
        <f>IFERROR(AC16/$B58,0)</f>
        <v>2773778206.345232</v>
      </c>
      <c r="AD58" s="60">
        <f>IFERROR(AD16/$B58,0)</f>
        <v>92793678400.405716</v>
      </c>
      <c r="AE58" s="71">
        <f>IFERROR(s_RadSpec!$G$16*AE16,".")*$B$58</f>
        <v>1.9385567483512709E-14</v>
      </c>
      <c r="AF58" s="71">
        <f>IFERROR(s_RadSpec!$N$16*AF16,".")*$B$58</f>
        <v>6.9937387283200846E-15</v>
      </c>
      <c r="AG58" s="71">
        <f>IFERROR(s_RadSpec!$O$16*AG16,".")*$B$58</f>
        <v>1.7919355430342459E-14</v>
      </c>
      <c r="AH58" s="71">
        <f>IFERROR(s_RadSpec!$P$16*AH16,".")*$B$58</f>
        <v>1.802595459349314E-14</v>
      </c>
      <c r="AI58" s="71">
        <f>IFERROR(s_RadSpec!$L$16*AI16,".")*$B$58</f>
        <v>5.3882980890410956E-16</v>
      </c>
      <c r="AJ58" s="49">
        <f t="shared" si="93"/>
        <v>1.9385567483512709E-14</v>
      </c>
      <c r="AK58" s="49">
        <f t="shared" si="93"/>
        <v>6.9937387283200846E-15</v>
      </c>
      <c r="AL58" s="49">
        <f t="shared" si="93"/>
        <v>1.7919355430342459E-14</v>
      </c>
      <c r="AM58" s="49">
        <f t="shared" si="93"/>
        <v>1.802595459349314E-14</v>
      </c>
      <c r="AN58" s="49">
        <f t="shared" si="93"/>
        <v>5.3882980890410956E-16</v>
      </c>
      <c r="AO58" s="60">
        <f>IFERROR(AO16/$B58,0)</f>
        <v>0.31418213236395059</v>
      </c>
      <c r="AP58" s="60">
        <f>IFERROR(AP16/$B58,0)</f>
        <v>8095353.5459107636</v>
      </c>
      <c r="AQ58" s="60">
        <f t="shared" si="94"/>
        <v>0.3141821201704858</v>
      </c>
      <c r="AR58" s="71">
        <f>IFERROR(s_RadSpec!$F$16*AR16,".")*$B$58</f>
        <v>1.5914335937499999E-4</v>
      </c>
      <c r="AS58" s="71">
        <f>IFERROR(s_RadSpec!$K$16*AS16,".")*$B$58</f>
        <v>6.1763825034246576E-12</v>
      </c>
      <c r="AT58" s="49">
        <f t="shared" si="95"/>
        <v>1.5914335937499999E-4</v>
      </c>
      <c r="AU58" s="49">
        <f t="shared" si="95"/>
        <v>6.1763825034246576E-12</v>
      </c>
      <c r="AV58" s="49">
        <f t="shared" si="96"/>
        <v>1.591433655513825E-4</v>
      </c>
      <c r="AW58" s="60">
        <f>IFERROR(AW16/$B58,0)</f>
        <v>1.2850431260473103</v>
      </c>
      <c r="AX58" s="60">
        <f>IFERROR(AX16/$B58,0)</f>
        <v>2191624473.7885022</v>
      </c>
      <c r="AY58" s="63">
        <f>IFERROR(AY16/$B58,0)</f>
        <v>5518873.4434017446</v>
      </c>
      <c r="AZ58" s="63">
        <f>IFERROR(AZ16/$B58,0)</f>
        <v>0</v>
      </c>
      <c r="BA58" s="244">
        <f t="shared" si="51"/>
        <v>0.77818399999999988</v>
      </c>
      <c r="BB58" s="244">
        <f t="shared" si="52"/>
        <v>4.5628254838356158E-10</v>
      </c>
      <c r="BC58" s="244">
        <f t="shared" si="53"/>
        <v>1.8119640000000002E-7</v>
      </c>
      <c r="BD58" s="244">
        <f t="shared" si="54"/>
        <v>0</v>
      </c>
      <c r="BE58" s="63">
        <f t="shared" si="19"/>
        <v>1.285042826077796</v>
      </c>
      <c r="BF58" s="71">
        <f>IFERROR(s_RadSpec!$I$16*BF16,".")*$B$58</f>
        <v>3.8909200000000003E-5</v>
      </c>
      <c r="BG58" s="71">
        <f>IFERROR(s_RadSpec!$M$16*BG16,".")*$B$58</f>
        <v>2.2814127419178081E-14</v>
      </c>
      <c r="BH58" s="71">
        <f>IFERROR(s_RadSpec!$H$16*BH16,".")*$B$58</f>
        <v>9.0598200000000001E-12</v>
      </c>
      <c r="BI58" s="71">
        <f>IFERROR(s_RadSpec!$H$16*BI16,".")*$B$58</f>
        <v>0</v>
      </c>
      <c r="BJ58" s="49">
        <f t="shared" si="97"/>
        <v>3.8909200000000003E-5</v>
      </c>
      <c r="BK58" s="49">
        <f t="shared" si="98"/>
        <v>2.2814127419178081E-14</v>
      </c>
      <c r="BL58" s="49">
        <f t="shared" si="99"/>
        <v>9.0598200000000001E-12</v>
      </c>
      <c r="BM58" s="49">
        <f t="shared" si="100"/>
        <v>0</v>
      </c>
      <c r="BN58" s="49">
        <f t="shared" si="101"/>
        <v>3.8909200022814131E-5</v>
      </c>
      <c r="BO58" s="63">
        <f t="shared" ref="BO58:BP58" si="113">IFERROR(BO16/$B58,0)</f>
        <v>7.7264228207624424</v>
      </c>
      <c r="BP58" s="63">
        <f t="shared" si="113"/>
        <v>7.7264228207624424</v>
      </c>
      <c r="BQ58" s="71">
        <f>IFERROR(s_RadSpec!$H$16*BQ16,".")*$B$58</f>
        <v>6.4713000000000002E-6</v>
      </c>
      <c r="BR58" s="71">
        <f>IFERROR(s_RadSpec!$H$16*BR16,".")*$B$58</f>
        <v>6.4713000000000002E-6</v>
      </c>
      <c r="BS58" s="49">
        <f t="shared" si="103"/>
        <v>6.4713000000000002E-6</v>
      </c>
      <c r="BT58" s="49">
        <f t="shared" si="104"/>
        <v>6.4713000000000002E-6</v>
      </c>
    </row>
    <row r="59" spans="1:72" x14ac:dyDescent="0.25">
      <c r="A59" s="48" t="s">
        <v>1094</v>
      </c>
      <c r="B59" s="15">
        <v>1</v>
      </c>
      <c r="C59" s="249"/>
      <c r="D59" s="60">
        <f>IFERROR(D7/$B59,0)</f>
        <v>6883.3238744991095</v>
      </c>
      <c r="E59" s="60">
        <f>IFERROR(E7/$B59,0)</f>
        <v>3394849.2476316104</v>
      </c>
      <c r="F59" s="60">
        <f>IFERROR(F7/$B59,0)</f>
        <v>165944.89932919262</v>
      </c>
      <c r="G59" s="63">
        <f>IFERROR(G7/$B59,0)</f>
        <v>29083.835902017723</v>
      </c>
      <c r="H59" s="63">
        <f>IFERROR(H7/$B59,0)</f>
        <v>0</v>
      </c>
      <c r="I59" s="244">
        <f t="shared" si="13"/>
        <v>1.4527864999999999E-4</v>
      </c>
      <c r="J59" s="244">
        <f t="shared" si="14"/>
        <v>2.9456388989809843E-7</v>
      </c>
      <c r="K59" s="244">
        <f t="shared" si="15"/>
        <v>6.026096638356166E-6</v>
      </c>
      <c r="L59" s="244">
        <f t="shared" si="16"/>
        <v>3.4383359999999997E-5</v>
      </c>
      <c r="M59" s="244">
        <f t="shared" si="17"/>
        <v>0</v>
      </c>
      <c r="N59" s="63">
        <f t="shared" si="18"/>
        <v>5376.8450423884051</v>
      </c>
      <c r="O59" s="71">
        <f>IFERROR(s_RadSpec!$E$7*O7,".")*$B$59</f>
        <v>7.2639324999999997E-9</v>
      </c>
      <c r="P59" s="71">
        <f>IFERROR(s_RadSpec!$F$7*$P$7,".")*B59</f>
        <v>1.4728194494904925E-11</v>
      </c>
      <c r="Q59" s="71">
        <f>IFERROR(s_RadSpec!$G$7*$Q$7,".")*B59</f>
        <v>3.0130483191780826E-10</v>
      </c>
      <c r="R59" s="71">
        <f>IFERROR(s_RadSpec!$H$7*R7,".")*$B$59</f>
        <v>1.719168E-9</v>
      </c>
      <c r="S59" s="71">
        <f>IFERROR(s_RadSpec!$H$7*S7,".")*$B$59</f>
        <v>0</v>
      </c>
      <c r="T59" s="49">
        <f t="shared" si="88"/>
        <v>7.2639324999999997E-9</v>
      </c>
      <c r="U59" s="49">
        <f t="shared" si="89"/>
        <v>1.4728194494904925E-11</v>
      </c>
      <c r="V59" s="49">
        <f t="shared" si="90"/>
        <v>3.0130483191780826E-10</v>
      </c>
      <c r="W59" s="49">
        <f t="shared" si="91"/>
        <v>1.719168E-9</v>
      </c>
      <c r="X59" s="49">
        <f t="shared" si="92"/>
        <v>0</v>
      </c>
      <c r="Y59" s="49">
        <f t="shared" si="45"/>
        <v>9.299133526412713E-9</v>
      </c>
      <c r="Z59" s="60">
        <f>IFERROR(Z7/$B59,0)</f>
        <v>165944.89932919262</v>
      </c>
      <c r="AA59" s="60">
        <f>IFERROR(AA7/$B59,0)</f>
        <v>765258.1002249415</v>
      </c>
      <c r="AB59" s="60">
        <f>IFERROR(AB7/$B59,0)</f>
        <v>260447.30986862781</v>
      </c>
      <c r="AC59" s="60">
        <f>IFERROR(AC7/$B59,0)</f>
        <v>183335.43435043469</v>
      </c>
      <c r="AD59" s="60">
        <f>IFERROR(AD7/$B59,0)</f>
        <v>259255.42796089043</v>
      </c>
      <c r="AE59" s="71">
        <f>IFERROR(s_RadSpec!$G$7*AE7,".")*$B$59</f>
        <v>3.0130483191780826E-10</v>
      </c>
      <c r="AF59" s="71">
        <f>IFERROR(s_RadSpec!$N$7*AF7,".")*$B$59</f>
        <v>6.5337433194503781E-11</v>
      </c>
      <c r="AG59" s="71">
        <f>IFERROR(s_RadSpec!$O$7*AG7,".")*$B$59</f>
        <v>1.9197741003821656E-10</v>
      </c>
      <c r="AH59" s="71">
        <f>IFERROR(s_RadSpec!$P$7*AH7,".")*$B$59</f>
        <v>2.7272414728310511E-10</v>
      </c>
      <c r="AI59" s="71">
        <f>IFERROR(s_RadSpec!$L$7*AI7,".")*$B$59</f>
        <v>1.9285999291610846E-10</v>
      </c>
      <c r="AJ59" s="49">
        <f t="shared" si="93"/>
        <v>3.0130483191780826E-10</v>
      </c>
      <c r="AK59" s="49">
        <f t="shared" si="93"/>
        <v>6.5337433194503781E-11</v>
      </c>
      <c r="AL59" s="49">
        <f t="shared" si="93"/>
        <v>1.9197741003821656E-10</v>
      </c>
      <c r="AM59" s="49">
        <f t="shared" si="93"/>
        <v>2.7272414728310511E-10</v>
      </c>
      <c r="AN59" s="49">
        <f t="shared" si="93"/>
        <v>1.9285999291610846E-10</v>
      </c>
      <c r="AO59" s="60">
        <f>IFERROR(AO7/$B59,0)</f>
        <v>10.958059738547544</v>
      </c>
      <c r="AP59" s="60">
        <f>IFERROR(AP7/$B59,0)</f>
        <v>6022371.1809534831</v>
      </c>
      <c r="AQ59" s="60">
        <f t="shared" si="94"/>
        <v>10.958039799747503</v>
      </c>
      <c r="AR59" s="71">
        <f>IFERROR(s_RadSpec!$F$7*AR7,".")*$B$59</f>
        <v>4.5628515624999995E-6</v>
      </c>
      <c r="AS59" s="71">
        <f>IFERROR(s_RadSpec!$K$7*AS7,".")*$B$59</f>
        <v>8.3023776678082202E-12</v>
      </c>
      <c r="AT59" s="49">
        <f t="shared" si="95"/>
        <v>4.5628515624999995E-6</v>
      </c>
      <c r="AU59" s="49">
        <f t="shared" si="95"/>
        <v>8.3023776678082202E-12</v>
      </c>
      <c r="AV59" s="49">
        <f t="shared" si="96"/>
        <v>4.5628598648776677E-6</v>
      </c>
      <c r="AW59" s="60">
        <f>IFERROR(AW7/$B59,0)</f>
        <v>127.43788677398636</v>
      </c>
      <c r="AX59" s="60">
        <f>IFERROR(AX7/$B59,0)</f>
        <v>2544901254.6379924</v>
      </c>
      <c r="AY59" s="63">
        <f>IFERROR(AY7/$B59,0)</f>
        <v>174503015.41210636</v>
      </c>
      <c r="AZ59" s="63">
        <f>IFERROR(AZ7/$B59,0)</f>
        <v>0</v>
      </c>
      <c r="BA59" s="244">
        <f t="shared" si="51"/>
        <v>7.84696E-3</v>
      </c>
      <c r="BB59" s="244">
        <f t="shared" si="52"/>
        <v>3.9294255452054786E-10</v>
      </c>
      <c r="BC59" s="244">
        <f t="shared" si="53"/>
        <v>5.7305599999999989E-9</v>
      </c>
      <c r="BD59" s="244">
        <f t="shared" si="54"/>
        <v>0</v>
      </c>
      <c r="BE59" s="63">
        <f t="shared" si="19"/>
        <v>127.4377873258413</v>
      </c>
      <c r="BF59" s="71">
        <f>IFERROR(s_RadSpec!$I$7*BF7,".")*$B$59</f>
        <v>3.9234799999999999E-7</v>
      </c>
      <c r="BG59" s="71">
        <f>IFERROR(s_RadSpec!$M$7*BG7,".")*$B$59</f>
        <v>1.9647127726027396E-14</v>
      </c>
      <c r="BH59" s="71">
        <f>IFERROR(s_RadSpec!$H$7*BH7,".")*$B$59</f>
        <v>2.86528E-13</v>
      </c>
      <c r="BI59" s="71">
        <f>IFERROR(s_RadSpec!$H$7*BI7,".")*$B$59</f>
        <v>0</v>
      </c>
      <c r="BJ59" s="49">
        <f t="shared" si="97"/>
        <v>3.9234799999999999E-7</v>
      </c>
      <c r="BK59" s="49">
        <f t="shared" si="98"/>
        <v>1.9647127726027396E-14</v>
      </c>
      <c r="BL59" s="49">
        <f t="shared" si="99"/>
        <v>2.86528E-13</v>
      </c>
      <c r="BM59" s="49">
        <f t="shared" si="100"/>
        <v>0</v>
      </c>
      <c r="BN59" s="49">
        <f t="shared" si="101"/>
        <v>3.9234801964712772E-7</v>
      </c>
      <c r="BO59" s="63">
        <f t="shared" ref="BO59:BP59" si="114">IFERROR(BO7/$B59,0)</f>
        <v>698.0120616484254</v>
      </c>
      <c r="BP59" s="63">
        <f t="shared" si="114"/>
        <v>698.0120616484254</v>
      </c>
      <c r="BQ59" s="71">
        <f>IFERROR(s_RadSpec!$H$7*BQ7,".")*$B$59</f>
        <v>7.1632000000000002E-8</v>
      </c>
      <c r="BR59" s="71">
        <f>IFERROR(s_RadSpec!$H$7*BR7,".")*$B$59</f>
        <v>7.1632000000000002E-8</v>
      </c>
      <c r="BS59" s="49">
        <f t="shared" si="103"/>
        <v>7.1632000000000002E-8</v>
      </c>
      <c r="BT59" s="49">
        <f t="shared" si="104"/>
        <v>7.1632000000000002E-8</v>
      </c>
    </row>
    <row r="60" spans="1:72" x14ac:dyDescent="0.25">
      <c r="A60" s="48" t="s">
        <v>1095</v>
      </c>
      <c r="B60" s="15">
        <v>1.9000000000000001E-8</v>
      </c>
      <c r="C60" s="252"/>
      <c r="D60" s="60">
        <f>IFERROR(D12/$B60,0)</f>
        <v>0</v>
      </c>
      <c r="E60" s="60">
        <f>IFERROR(E12/$B60,0)</f>
        <v>0</v>
      </c>
      <c r="F60" s="60">
        <f>IFERROR(F12/$B60,0)</f>
        <v>38805260470.627167</v>
      </c>
      <c r="G60" s="63">
        <f>IFERROR(G12/$B60,0)</f>
        <v>0</v>
      </c>
      <c r="H60" s="63">
        <f>IFERROR(H12/$B60,0)</f>
        <v>0</v>
      </c>
      <c r="I60" s="244">
        <f t="shared" si="13"/>
        <v>0</v>
      </c>
      <c r="J60" s="244">
        <f t="shared" si="14"/>
        <v>0</v>
      </c>
      <c r="K60" s="244">
        <f t="shared" si="15"/>
        <v>2.5769702042250926E-11</v>
      </c>
      <c r="L60" s="244">
        <f t="shared" si="16"/>
        <v>0</v>
      </c>
      <c r="M60" s="244">
        <f t="shared" si="17"/>
        <v>0</v>
      </c>
      <c r="N60" s="63">
        <f t="shared" si="18"/>
        <v>38805260470.627167</v>
      </c>
      <c r="O60" s="71">
        <f>IFERROR(s_RadSpec!$E$12*O12,".")*$B$60</f>
        <v>0</v>
      </c>
      <c r="P60" s="71">
        <f>IFERROR(s_RadSpec!$F$12*$P$12,".")*B60</f>
        <v>0</v>
      </c>
      <c r="Q60" s="71">
        <f>IFERROR(s_RadSpec!$G$12*$Q$12,".")*B60</f>
        <v>1.2884851021125461E-15</v>
      </c>
      <c r="R60" s="71">
        <f>IFERROR(s_RadSpec!$H$12*R12,".")*$B$60</f>
        <v>0</v>
      </c>
      <c r="S60" s="71">
        <f>IFERROR(s_RadSpec!$H$12*S12,".")*$B$60</f>
        <v>0</v>
      </c>
      <c r="T60" s="49">
        <f t="shared" si="88"/>
        <v>0</v>
      </c>
      <c r="U60" s="49">
        <f t="shared" si="89"/>
        <v>0</v>
      </c>
      <c r="V60" s="49">
        <f t="shared" si="90"/>
        <v>1.2884851021125461E-15</v>
      </c>
      <c r="W60" s="49">
        <f t="shared" si="91"/>
        <v>0</v>
      </c>
      <c r="X60" s="49">
        <f t="shared" si="92"/>
        <v>0</v>
      </c>
      <c r="Y60" s="49">
        <f t="shared" si="45"/>
        <v>1.2884851021125461E-15</v>
      </c>
      <c r="Z60" s="60">
        <f>IFERROR(Z12/$B60,0)</f>
        <v>38805260470.627167</v>
      </c>
      <c r="AA60" s="60">
        <f>IFERROR(AA12/$B60,0)</f>
        <v>306359674914.80096</v>
      </c>
      <c r="AB60" s="60">
        <f>IFERROR(AB12/$B60,0)</f>
        <v>79644460970.097534</v>
      </c>
      <c r="AC60" s="60">
        <f>IFERROR(AC12/$B60,0)</f>
        <v>47691143836.751991</v>
      </c>
      <c r="AD60" s="60">
        <f>IFERROR(AD12/$B60,0)</f>
        <v>519900785736.20032</v>
      </c>
      <c r="AE60" s="71">
        <f>IFERROR(s_RadSpec!$G$12*AE12,".")*$B$60</f>
        <v>1.2884851021125461E-15</v>
      </c>
      <c r="AF60" s="71">
        <f>IFERROR(s_RadSpec!$N$12*AF12,".")*$B$60</f>
        <v>1.6320685812813019E-16</v>
      </c>
      <c r="AG60" s="71">
        <f>IFERROR(s_RadSpec!$O$12*AG12,".")*$B$60</f>
        <v>6.2779004830947974E-16</v>
      </c>
      <c r="AH60" s="71">
        <f>IFERROR(s_RadSpec!$P$12*AH12,".")*$B$60</f>
        <v>1.0484126816322813E-15</v>
      </c>
      <c r="AI60" s="71">
        <f>IFERROR(s_RadSpec!$L$12*AI12,".")*$B$60</f>
        <v>9.6172195487640955E-17</v>
      </c>
      <c r="AJ60" s="49">
        <f t="shared" si="93"/>
        <v>1.2884851021125461E-15</v>
      </c>
      <c r="AK60" s="49">
        <f t="shared" si="93"/>
        <v>1.6320685812813019E-16</v>
      </c>
      <c r="AL60" s="49">
        <f t="shared" si="93"/>
        <v>6.2779004830947974E-16</v>
      </c>
      <c r="AM60" s="49">
        <f t="shared" si="93"/>
        <v>1.0484126816322813E-15</v>
      </c>
      <c r="AN60" s="49">
        <f t="shared" si="93"/>
        <v>9.6172195487640955E-17</v>
      </c>
      <c r="AO60" s="60">
        <f>IFERROR(AO12/$B60,0)</f>
        <v>0</v>
      </c>
      <c r="AP60" s="60">
        <f>IFERROR(AP12/$B60,0)</f>
        <v>3378494297178.8574</v>
      </c>
      <c r="AQ60" s="60">
        <f t="shared" si="94"/>
        <v>3378494297178.8574</v>
      </c>
      <c r="AR60" s="71">
        <f>IFERROR(s_RadSpec!$F$12*AR12,".")*$B$60</f>
        <v>0</v>
      </c>
      <c r="AS60" s="71">
        <f>IFERROR(s_RadSpec!$K$12*AS12,".")*$B$60</f>
        <v>1.4799492200342468E-17</v>
      </c>
      <c r="AT60" s="49">
        <f t="shared" si="95"/>
        <v>0</v>
      </c>
      <c r="AU60" s="49">
        <f t="shared" si="95"/>
        <v>1.4799492200342468E-17</v>
      </c>
      <c r="AV60" s="49">
        <f t="shared" si="96"/>
        <v>1.4799492200342468E-17</v>
      </c>
      <c r="AW60" s="60">
        <f>IFERROR(AW12/$B60,0)</f>
        <v>0</v>
      </c>
      <c r="AX60" s="60">
        <f>IFERROR(AX12/$B60,0)</f>
        <v>970175727230415.25</v>
      </c>
      <c r="AY60" s="63">
        <f>IFERROR(AY12/$B60,0)</f>
        <v>0</v>
      </c>
      <c r="AZ60" s="63">
        <f>IFERROR(AZ12/$B60,0)</f>
        <v>0</v>
      </c>
      <c r="BA60" s="244">
        <f t="shared" si="51"/>
        <v>0</v>
      </c>
      <c r="BB60" s="244">
        <f t="shared" si="52"/>
        <v>1.0307411038356163E-15</v>
      </c>
      <c r="BC60" s="244">
        <f t="shared" si="53"/>
        <v>0</v>
      </c>
      <c r="BD60" s="244">
        <f t="shared" si="54"/>
        <v>0</v>
      </c>
      <c r="BE60" s="63">
        <f t="shared" si="19"/>
        <v>970175727230415.25</v>
      </c>
      <c r="BF60" s="71">
        <f>IFERROR(s_RadSpec!$I$12*BF12,".")*$B$60</f>
        <v>0</v>
      </c>
      <c r="BG60" s="71">
        <f>IFERROR(s_RadSpec!$M$12*BG12,".")*$B$60</f>
        <v>5.1537055191780823E-20</v>
      </c>
      <c r="BH60" s="71">
        <f>IFERROR(s_RadSpec!$H$12*BH12,".")*$B$60</f>
        <v>0</v>
      </c>
      <c r="BI60" s="71">
        <f>IFERROR(s_RadSpec!$H$12*BI12,".")*$B$60</f>
        <v>0</v>
      </c>
      <c r="BJ60" s="49">
        <f t="shared" si="97"/>
        <v>0</v>
      </c>
      <c r="BK60" s="49">
        <f t="shared" si="98"/>
        <v>5.1537055191780823E-20</v>
      </c>
      <c r="BL60" s="49">
        <f t="shared" si="99"/>
        <v>0</v>
      </c>
      <c r="BM60" s="49">
        <f t="shared" si="100"/>
        <v>0</v>
      </c>
      <c r="BN60" s="49">
        <f t="shared" si="101"/>
        <v>5.1537055191780823E-20</v>
      </c>
      <c r="BO60" s="63">
        <f t="shared" ref="BO60:BP60" si="115">IFERROR(BO12/$B60,0)</f>
        <v>0</v>
      </c>
      <c r="BP60" s="63">
        <f t="shared" si="115"/>
        <v>0</v>
      </c>
      <c r="BQ60" s="71">
        <f>IFERROR(s_RadSpec!$H$12*BQ12,".")*$B$60</f>
        <v>0</v>
      </c>
      <c r="BR60" s="71">
        <f>IFERROR(s_RadSpec!$H$12*BR12,".")*$B$60</f>
        <v>0</v>
      </c>
      <c r="BS60" s="49">
        <f t="shared" si="103"/>
        <v>0</v>
      </c>
      <c r="BT60" s="49">
        <f t="shared" si="104"/>
        <v>0</v>
      </c>
    </row>
    <row r="61" spans="1:72" x14ac:dyDescent="0.25">
      <c r="A61" s="48" t="s">
        <v>1096</v>
      </c>
      <c r="B61" s="15">
        <v>1</v>
      </c>
      <c r="C61" s="249"/>
      <c r="D61" s="60">
        <f>IFERROR(D18/$B61,0)</f>
        <v>50.477708412993472</v>
      </c>
      <c r="E61" s="60">
        <f>IFERROR(E18/$B61,0)</f>
        <v>106522.05547415512</v>
      </c>
      <c r="F61" s="60">
        <f>IFERROR(F18/$B61,0)</f>
        <v>3973669.4583399002</v>
      </c>
      <c r="G61" s="63">
        <f>IFERROR(G18/$B61,0)</f>
        <v>168.05725575720061</v>
      </c>
      <c r="H61" s="63">
        <f>IFERROR(H18/$B61,0)</f>
        <v>0.21007156969650076</v>
      </c>
      <c r="I61" s="244">
        <f t="shared" si="13"/>
        <v>1.9810724999999998E-2</v>
      </c>
      <c r="J61" s="244">
        <f t="shared" si="14"/>
        <v>9.3877272227686661E-6</v>
      </c>
      <c r="K61" s="244">
        <f t="shared" si="15"/>
        <v>2.5165656340670445E-7</v>
      </c>
      <c r="L61" s="244">
        <f t="shared" si="16"/>
        <v>5.9503530240000001E-3</v>
      </c>
      <c r="M61" s="244">
        <f t="shared" si="17"/>
        <v>4.7602824192000002</v>
      </c>
      <c r="N61" s="63">
        <f t="shared" si="18"/>
        <v>0.20894042992359474</v>
      </c>
      <c r="O61" s="71">
        <f>IFERROR(s_RadSpec!$E$18*O18,".")*$B$61</f>
        <v>9.9053624999999987E-7</v>
      </c>
      <c r="P61" s="71">
        <f>IFERROR(s_RadSpec!$F$18*$P$18,".")*B61</f>
        <v>4.6938636113843336E-10</v>
      </c>
      <c r="Q61" s="71">
        <f>IFERROR(s_RadSpec!$G$18*$Q$18,".")*B61</f>
        <v>1.2582828170335219E-11</v>
      </c>
      <c r="R61" s="71">
        <f>IFERROR(s_RadSpec!$H$18*R18,".")*$B$61</f>
        <v>2.9751765120000003E-7</v>
      </c>
      <c r="S61" s="71">
        <f>IFERROR(s_RadSpec!$H$18*S18,".")*$B$61</f>
        <v>2.3801412096000003E-4</v>
      </c>
      <c r="T61" s="49">
        <f t="shared" si="88"/>
        <v>9.9053624999999987E-7</v>
      </c>
      <c r="U61" s="49">
        <f t="shared" si="89"/>
        <v>4.6938636113843336E-10</v>
      </c>
      <c r="V61" s="49">
        <f t="shared" si="90"/>
        <v>1.2582828170335219E-11</v>
      </c>
      <c r="W61" s="49">
        <f t="shared" si="91"/>
        <v>2.9751765120000003E-7</v>
      </c>
      <c r="X61" s="49">
        <f t="shared" si="92"/>
        <v>2.3801412096000003E-4</v>
      </c>
      <c r="Y61" s="49">
        <f t="shared" si="45"/>
        <v>2.3930265683038933E-4</v>
      </c>
      <c r="Z61" s="60">
        <f>IFERROR(Z18/$B61,0)</f>
        <v>3973669.4583399002</v>
      </c>
      <c r="AA61" s="60">
        <f>IFERROR(AA18/$B61,0)</f>
        <v>39600952.955493495</v>
      </c>
      <c r="AB61" s="60">
        <f>IFERROR(AB18/$B61,0)</f>
        <v>9767504.56023206</v>
      </c>
      <c r="AC61" s="60">
        <f>IFERROR(AC18/$B61,0)</f>
        <v>5194512.4937339183</v>
      </c>
      <c r="AD61" s="60">
        <f>IFERROR(AD18/$B61,0)</f>
        <v>69247941.212073535</v>
      </c>
      <c r="AE61" s="71">
        <f>IFERROR(s_RadSpec!$G$18*AE18,".")*$B$61</f>
        <v>1.2582828170335219E-11</v>
      </c>
      <c r="AF61" s="71">
        <f>IFERROR(s_RadSpec!$N$18*AF18,".")*$B$61</f>
        <v>1.262595878846495E-12</v>
      </c>
      <c r="AG61" s="71">
        <f>IFERROR(s_RadSpec!$O$18*AG18,".")*$B$61</f>
        <v>5.1190147587514496E-12</v>
      </c>
      <c r="AH61" s="71">
        <f>IFERROR(s_RadSpec!$P$18*AH18,".")*$B$61</f>
        <v>9.6255423507623539E-12</v>
      </c>
      <c r="AI61" s="71">
        <f>IFERROR(s_RadSpec!$L$18*AI18,".")*$B$61</f>
        <v>7.2204312684002794E-13</v>
      </c>
      <c r="AJ61" s="49">
        <f t="shared" si="93"/>
        <v>1.2582828170335219E-11</v>
      </c>
      <c r="AK61" s="49">
        <f t="shared" si="93"/>
        <v>1.262595878846495E-12</v>
      </c>
      <c r="AL61" s="49">
        <f t="shared" si="93"/>
        <v>5.1190147587514496E-12</v>
      </c>
      <c r="AM61" s="49">
        <f t="shared" si="93"/>
        <v>9.6255423507623539E-12</v>
      </c>
      <c r="AN61" s="49">
        <f t="shared" si="93"/>
        <v>7.2204312684002794E-13</v>
      </c>
      <c r="AO61" s="60">
        <f>IFERROR(AO18/$B61,0)</f>
        <v>0.34383707853095613</v>
      </c>
      <c r="AP61" s="60">
        <f>IFERROR(AP18/$B61,0)</f>
        <v>762048643.84690726</v>
      </c>
      <c r="AQ61" s="60">
        <f t="shared" si="94"/>
        <v>0.34383707837581651</v>
      </c>
      <c r="AR61" s="71">
        <f>IFERROR(s_RadSpec!$F$18*AR18,".")*$B$61</f>
        <v>1.4541770833333332E-4</v>
      </c>
      <c r="AS61" s="71">
        <f>IFERROR(s_RadSpec!$K$18*AS18,".")*$B$61</f>
        <v>6.5612609383561654E-14</v>
      </c>
      <c r="AT61" s="49">
        <f t="shared" si="95"/>
        <v>1.4541770833333332E-4</v>
      </c>
      <c r="AU61" s="49">
        <f t="shared" si="95"/>
        <v>6.5612609383561654E-14</v>
      </c>
      <c r="AV61" s="49">
        <f t="shared" si="96"/>
        <v>1.4541770839894593E-4</v>
      </c>
      <c r="AW61" s="60">
        <f>IFERROR(AW18/$B61,0)</f>
        <v>0.63984438984438985</v>
      </c>
      <c r="AX61" s="60">
        <f>IFERROR(AX18/$B61,0)</f>
        <v>219444509730.68918</v>
      </c>
      <c r="AY61" s="63">
        <f>IFERROR(AY18/$B61,0)</f>
        <v>672414.46551791381</v>
      </c>
      <c r="AZ61" s="63">
        <f>IFERROR(AZ18/$B61,0)</f>
        <v>840.51808189739234</v>
      </c>
      <c r="BA61" s="244">
        <f t="shared" si="51"/>
        <v>1.56288</v>
      </c>
      <c r="BB61" s="244">
        <f t="shared" si="52"/>
        <v>4.55696066958904E-12</v>
      </c>
      <c r="BC61" s="244">
        <f t="shared" si="53"/>
        <v>1.487178E-6</v>
      </c>
      <c r="BD61" s="244">
        <f t="shared" si="54"/>
        <v>1.1897423999999998E-3</v>
      </c>
      <c r="BE61" s="63">
        <f t="shared" si="19"/>
        <v>0.63935707088410232</v>
      </c>
      <c r="BF61" s="71">
        <f>IFERROR(s_RadSpec!$I$18*BF18,".")*$B$61</f>
        <v>7.8144000000000003E-5</v>
      </c>
      <c r="BG61" s="71">
        <f>IFERROR(s_RadSpec!$M$18*BG18,".")*$B$61</f>
        <v>2.2784803347945207E-16</v>
      </c>
      <c r="BH61" s="71">
        <f>IFERROR(s_RadSpec!$H$18*BH18,".")*$B$61</f>
        <v>7.4358900000000001E-11</v>
      </c>
      <c r="BI61" s="71">
        <f>IFERROR(s_RadSpec!$H$18*BI18,".")*$B$61</f>
        <v>5.9487120000000007E-8</v>
      </c>
      <c r="BJ61" s="49">
        <f t="shared" si="97"/>
        <v>7.8144000000000003E-5</v>
      </c>
      <c r="BK61" s="49">
        <f t="shared" si="98"/>
        <v>2.2784803347945207E-16</v>
      </c>
      <c r="BL61" s="49">
        <f t="shared" si="99"/>
        <v>7.4358900000000001E-11</v>
      </c>
      <c r="BM61" s="49">
        <f t="shared" si="100"/>
        <v>5.9487120000000007E-8</v>
      </c>
      <c r="BN61" s="49">
        <f t="shared" si="101"/>
        <v>7.8144000000227848E-5</v>
      </c>
      <c r="BO61" s="63">
        <f t="shared" ref="BO61:BP61" si="116">IFERROR(BO18/$B61,0)</f>
        <v>4.034486793107483</v>
      </c>
      <c r="BP61" s="63">
        <f t="shared" si="116"/>
        <v>4.034486793107483</v>
      </c>
      <c r="BQ61" s="71">
        <f>IFERROR(s_RadSpec!$H$18*BQ18,".")*$B$61</f>
        <v>1.239315E-5</v>
      </c>
      <c r="BR61" s="71">
        <f>IFERROR(s_RadSpec!$H$18*BR18,".")*$B$61</f>
        <v>1.239315E-5</v>
      </c>
      <c r="BS61" s="49">
        <f t="shared" si="103"/>
        <v>1.239315E-5</v>
      </c>
      <c r="BT61" s="49">
        <f t="shared" si="104"/>
        <v>1.239315E-5</v>
      </c>
    </row>
    <row r="62" spans="1:72" x14ac:dyDescent="0.25">
      <c r="A62" s="48" t="s">
        <v>1097</v>
      </c>
      <c r="B62" s="15">
        <v>1.339E-6</v>
      </c>
      <c r="C62" s="249"/>
      <c r="D62" s="60">
        <f>IFERROR(D27/$B62,0)</f>
        <v>0</v>
      </c>
      <c r="E62" s="60">
        <f>IFERROR(E27/$B62,0)</f>
        <v>0</v>
      </c>
      <c r="F62" s="60">
        <f>IFERROR(F27/$B62,0)</f>
        <v>35944882822.813713</v>
      </c>
      <c r="G62" s="63">
        <f>IFERROR(G27/$B62,0)</f>
        <v>0</v>
      </c>
      <c r="H62" s="63">
        <f>IFERROR(H27/$B62,0)</f>
        <v>0</v>
      </c>
      <c r="I62" s="244">
        <f t="shared" si="13"/>
        <v>0</v>
      </c>
      <c r="J62" s="244">
        <f t="shared" si="14"/>
        <v>0</v>
      </c>
      <c r="K62" s="244">
        <f t="shared" si="15"/>
        <v>2.7820371676530103E-11</v>
      </c>
      <c r="L62" s="244">
        <f t="shared" si="16"/>
        <v>0</v>
      </c>
      <c r="M62" s="244">
        <f t="shared" si="17"/>
        <v>0</v>
      </c>
      <c r="N62" s="63">
        <f t="shared" si="18"/>
        <v>35944882822.813713</v>
      </c>
      <c r="O62" s="71">
        <f>IFERROR(s_RadSpec!$E$27*O27,".")*$B$62</f>
        <v>0</v>
      </c>
      <c r="P62" s="71">
        <f>IFERROR(s_RadSpec!$F$27*$P$27,".")*B62</f>
        <v>0</v>
      </c>
      <c r="Q62" s="71">
        <f>IFERROR(s_RadSpec!$G$27*$Q$27,".")*B62</f>
        <v>1.3910185838265054E-15</v>
      </c>
      <c r="R62" s="71">
        <f>IFERROR(s_RadSpec!$H$27*R27,".")*$B$62</f>
        <v>0</v>
      </c>
      <c r="S62" s="71">
        <f>IFERROR(s_RadSpec!$H$27*S27,".")*$B$62</f>
        <v>0</v>
      </c>
      <c r="T62" s="49">
        <f t="shared" si="88"/>
        <v>0</v>
      </c>
      <c r="U62" s="49">
        <f t="shared" si="89"/>
        <v>0</v>
      </c>
      <c r="V62" s="49">
        <f t="shared" si="90"/>
        <v>1.3910185838265054E-15</v>
      </c>
      <c r="W62" s="49">
        <f t="shared" si="91"/>
        <v>0</v>
      </c>
      <c r="X62" s="49">
        <f t="shared" si="92"/>
        <v>0</v>
      </c>
      <c r="Y62" s="49">
        <f t="shared" si="45"/>
        <v>1.3910185838265054E-15</v>
      </c>
      <c r="Z62" s="60">
        <f>IFERROR(Z27/$B62,0)</f>
        <v>35944882822.813713</v>
      </c>
      <c r="AA62" s="60">
        <f>IFERROR(AA27/$B62,0)</f>
        <v>313972727259.03424</v>
      </c>
      <c r="AB62" s="60">
        <f>IFERROR(AB27/$B62,0)</f>
        <v>90535029444.361023</v>
      </c>
      <c r="AC62" s="60">
        <f>IFERROR(AC27/$B62,0)</f>
        <v>49539868604.334976</v>
      </c>
      <c r="AD62" s="60">
        <f>IFERROR(AD27/$B62,0)</f>
        <v>237631020560.33276</v>
      </c>
      <c r="AE62" s="71">
        <f>IFERROR(s_RadSpec!$G$27*AE27,".")*$B$62</f>
        <v>1.3910185838265054E-15</v>
      </c>
      <c r="AF62" s="71">
        <f>IFERROR(s_RadSpec!$N$27*AF27,".")*$B$62</f>
        <v>1.5924950054260266E-16</v>
      </c>
      <c r="AG62" s="71">
        <f>IFERROR(s_RadSpec!$O$27*AG27,".")*$B$62</f>
        <v>5.5227242214272308E-16</v>
      </c>
      <c r="AH62" s="71">
        <f>IFERROR(s_RadSpec!$P$27*AH27,".")*$B$62</f>
        <v>1.0092881028680155E-15</v>
      </c>
      <c r="AI62" s="71">
        <f>IFERROR(s_RadSpec!$L$27*AI27,".")*$B$62</f>
        <v>2.1041023971575871E-16</v>
      </c>
      <c r="AJ62" s="49">
        <f t="shared" si="93"/>
        <v>1.3910185838265054E-15</v>
      </c>
      <c r="AK62" s="49">
        <f t="shared" si="93"/>
        <v>1.5924950054260266E-16</v>
      </c>
      <c r="AL62" s="49">
        <f t="shared" si="93"/>
        <v>5.5227242214272308E-16</v>
      </c>
      <c r="AM62" s="49">
        <f t="shared" si="93"/>
        <v>1.0092881028680155E-15</v>
      </c>
      <c r="AN62" s="49">
        <f t="shared" si="93"/>
        <v>2.1041023971575871E-16</v>
      </c>
      <c r="AO62" s="60">
        <f>IFERROR(AO27/$B62,0)</f>
        <v>0</v>
      </c>
      <c r="AP62" s="60">
        <f>IFERROR(AP27/$B62,0)</f>
        <v>2530983207985.8687</v>
      </c>
      <c r="AQ62" s="60">
        <f t="shared" si="94"/>
        <v>2530983207985.8687</v>
      </c>
      <c r="AR62" s="71">
        <f>IFERROR(s_RadSpec!$F$27*AR27,".")*$B$62</f>
        <v>0</v>
      </c>
      <c r="AS62" s="71">
        <f>IFERROR(s_RadSpec!$K$27*AS27,".")*$B$62</f>
        <v>1.9755168600976031E-17</v>
      </c>
      <c r="AT62" s="49">
        <f t="shared" si="95"/>
        <v>0</v>
      </c>
      <c r="AU62" s="49">
        <f t="shared" si="95"/>
        <v>1.9755168600976031E-17</v>
      </c>
      <c r="AV62" s="49">
        <f t="shared" si="96"/>
        <v>1.9755168600976031E-17</v>
      </c>
      <c r="AW62" s="60">
        <f>IFERROR(AW27/$B62,0)</f>
        <v>0</v>
      </c>
      <c r="AX62" s="60">
        <f>IFERROR(AX27/$B62,0)</f>
        <v>1010635655966579.4</v>
      </c>
      <c r="AY62" s="63">
        <f>IFERROR(AY27/$B62,0)</f>
        <v>0</v>
      </c>
      <c r="AZ62" s="63">
        <f>IFERROR(AZ27/$B62,0)</f>
        <v>0</v>
      </c>
      <c r="BA62" s="244">
        <f t="shared" si="51"/>
        <v>0</v>
      </c>
      <c r="BB62" s="244">
        <f t="shared" si="52"/>
        <v>9.8947627079671218E-16</v>
      </c>
      <c r="BC62" s="244">
        <f t="shared" si="53"/>
        <v>0</v>
      </c>
      <c r="BD62" s="244">
        <f t="shared" si="54"/>
        <v>0</v>
      </c>
      <c r="BE62" s="63">
        <f t="shared" si="19"/>
        <v>1010635655966579.4</v>
      </c>
      <c r="BF62" s="71">
        <f>IFERROR(s_RadSpec!$I$27*BF27,".")*$B$62</f>
        <v>0</v>
      </c>
      <c r="BG62" s="71">
        <f>IFERROR(s_RadSpec!$M$27*BG27,".")*$B$62</f>
        <v>4.9473813539835614E-20</v>
      </c>
      <c r="BH62" s="71">
        <f>IFERROR(s_RadSpec!$H$27*BH27,".")*$B$62</f>
        <v>0</v>
      </c>
      <c r="BI62" s="71">
        <f>IFERROR(s_RadSpec!$H$27*BI27,".")*$B$62</f>
        <v>0</v>
      </c>
      <c r="BJ62" s="49">
        <f t="shared" si="97"/>
        <v>0</v>
      </c>
      <c r="BK62" s="49">
        <f t="shared" si="98"/>
        <v>4.9473813539835614E-20</v>
      </c>
      <c r="BL62" s="49">
        <f t="shared" si="99"/>
        <v>0</v>
      </c>
      <c r="BM62" s="49">
        <f t="shared" si="100"/>
        <v>0</v>
      </c>
      <c r="BN62" s="49">
        <f t="shared" si="101"/>
        <v>4.9473813539835614E-20</v>
      </c>
      <c r="BO62" s="63">
        <f t="shared" ref="BO62:BP62" si="117">IFERROR(BO27/$B62,0)</f>
        <v>0</v>
      </c>
      <c r="BP62" s="63">
        <f t="shared" si="117"/>
        <v>0</v>
      </c>
      <c r="BQ62" s="71">
        <f>IFERROR(s_RadSpec!$H$27*BQ27,".")*$B$62</f>
        <v>0</v>
      </c>
      <c r="BR62" s="71">
        <f>IFERROR(s_RadSpec!$H$27*BR27,".")*$B$62</f>
        <v>0</v>
      </c>
      <c r="BS62" s="49">
        <f t="shared" si="103"/>
        <v>0</v>
      </c>
      <c r="BT62" s="49">
        <f t="shared" si="104"/>
        <v>0</v>
      </c>
    </row>
    <row r="63" spans="1:72" x14ac:dyDescent="0.25">
      <c r="A63" s="57" t="s">
        <v>35</v>
      </c>
      <c r="B63" s="57" t="s">
        <v>1255</v>
      </c>
      <c r="C63" s="57"/>
      <c r="D63" s="58">
        <f>1/SUM(1/D66,1/D68,1/D72,1/D73,1/D75)</f>
        <v>32.949066985224057</v>
      </c>
      <c r="E63" s="58">
        <f>1/SUM(1/E64,1/E65,1/E66,1/E68,1/E72,1/E73,1/E75)</f>
        <v>49858.255996741042</v>
      </c>
      <c r="F63" s="58">
        <f>1/SUM(1/F64,1/F66,1/F68,1/F69,1/F70,1/F71,1/F72,1/F73,1/F74,1/F75,1/F76)</f>
        <v>16.848969669316666</v>
      </c>
      <c r="G63" s="61">
        <f>1/SUM(1/G66,1/G68,1/G72,1/G73,1/G75)</f>
        <v>148.81641996373872</v>
      </c>
      <c r="H63" s="61">
        <f>1/SUM(1/H75)</f>
        <v>0.21007156969650073</v>
      </c>
      <c r="I63" s="244">
        <f t="shared" si="13"/>
        <v>3.0349873046434002E-2</v>
      </c>
      <c r="J63" s="244">
        <f t="shared" si="14"/>
        <v>2.0056858789151479E-5</v>
      </c>
      <c r="K63" s="244">
        <f t="shared" si="15"/>
        <v>5.935081014604001E-2</v>
      </c>
      <c r="L63" s="244">
        <f t="shared" si="16"/>
        <v>6.7196885951406743E-3</v>
      </c>
      <c r="M63" s="244">
        <f t="shared" si="17"/>
        <v>4.7602824192000002</v>
      </c>
      <c r="N63" s="58">
        <f>1/SUM(1/N64,1/N65,1/N66,1/N68,1/N69,1/N70,1/N71,1/N72,1/N73,1/N74,1/N75,1/N76)</f>
        <v>0.20590015764301348</v>
      </c>
      <c r="O63" s="70"/>
      <c r="P63" s="70"/>
      <c r="Q63" s="70"/>
      <c r="R63" s="70"/>
      <c r="S63" s="70"/>
      <c r="T63" s="47">
        <f>IFERROR(IF(SUM(O64:O76)&gt;0.01,1-EXP(-SUM(O64:O76)),SUM(O64:O76)),".")</f>
        <v>1.5174936523217003E-6</v>
      </c>
      <c r="U63" s="47">
        <f>IFERROR(IF(SUM(P64:P76)&gt;0.01,1-EXP(-SUM(P64:P76)),SUM(P64:P76)),".")</f>
        <v>1.0028429394575739E-9</v>
      </c>
      <c r="V63" s="47">
        <f>IFERROR(IF(SUM(Q64:Q76)&gt;0.01,1-EXP(-SUM(Q64:Q76)),SUM(Q64:Q76)),".")</f>
        <v>2.9675405073020016E-6</v>
      </c>
      <c r="W63" s="47">
        <f>IFERROR(IF(SUM(R64:R76)&gt;0.01,1-EXP(-SUM(R64:R76)),SUM(R64:R76)),".")</f>
        <v>3.3598442975703373E-7</v>
      </c>
      <c r="X63" s="47">
        <f>IFERROR(IF(SUM(S64:S76)&gt;0.01,1-EXP(-SUM(S64:S76)),SUM(S64:S76)),".")</f>
        <v>2.3801412096000003E-4</v>
      </c>
      <c r="Y63" s="47">
        <f>IFERROR(IF(SUM(O64:S76)&gt;0.01,1-EXP(-SUM(O64:S76)),SUM(O64:S76)),".")</f>
        <v>2.4283614239232023E-4</v>
      </c>
      <c r="Z63" s="59">
        <f t="shared" ref="Z63:AD63" si="118">1/SUM(1/Z64,1/Z66,1/Z68,1/Z69,1/Z70,1/Z71,1/Z72,1/Z73,1/Z74,1/Z75,1/Z76)</f>
        <v>16.848969669316666</v>
      </c>
      <c r="AA63" s="59">
        <f t="shared" si="118"/>
        <v>186.80480107653145</v>
      </c>
      <c r="AB63" s="59">
        <f t="shared" si="118"/>
        <v>46.049460612148678</v>
      </c>
      <c r="AC63" s="59">
        <f t="shared" si="118"/>
        <v>23.779834925844284</v>
      </c>
      <c r="AD63" s="59">
        <f t="shared" si="118"/>
        <v>342.71467781830381</v>
      </c>
      <c r="AE63" s="70"/>
      <c r="AF63" s="70"/>
      <c r="AG63" s="70"/>
      <c r="AH63" s="70"/>
      <c r="AI63" s="70"/>
      <c r="AJ63" s="47">
        <f>IFERROR(IF(SUM(AE64:AE76)&gt;0.01,1-EXP(-SUM(AE64:AE76)),SUM(AE64:AE76)),".")</f>
        <v>2.9675405073020016E-6</v>
      </c>
      <c r="AK63" s="47">
        <f t="shared" ref="AK63:AN63" si="119">IFERROR(IF(SUM(AF64:AF76)&gt;0.01,1-EXP(-SUM(AF64:AF76)),SUM(AF64:AF76)),".")</f>
        <v>2.6765907359905418E-7</v>
      </c>
      <c r="AL63" s="47">
        <f t="shared" si="119"/>
        <v>1.0857890480221856E-6</v>
      </c>
      <c r="AM63" s="47">
        <f t="shared" si="119"/>
        <v>2.1026218287856662E-6</v>
      </c>
      <c r="AN63" s="47">
        <f t="shared" si="119"/>
        <v>1.4589395563182847E-7</v>
      </c>
      <c r="AO63" s="58">
        <f>1/SUM(1/AO64,1/AO65,1/AO66,1/AO68,1/AO72,1/AO73,1/AO75)</f>
        <v>0.16093490691913381</v>
      </c>
      <c r="AP63" s="58">
        <f t="shared" ref="AP63" si="120">1/SUM(1/AP64,1/AP65,1/AP66,1/AP67,1/AP68,1/AP69,1/AP70,1/AP71,1/AP72,1/AP73,1/AP74,1/AP75,1/AP76)</f>
        <v>4124.3617233116993</v>
      </c>
      <c r="AQ63" s="59">
        <f>1/SUM(1/AQ64,1/AQ65,1/AQ66,1/AQ67,1/AQ68,1/AQ69,1/AQ70,1/AQ71,1/AQ72,1/AQ73,1/AQ74,1/AQ75,1/AQ76)</f>
        <v>0.16092862739386232</v>
      </c>
      <c r="AR63" s="70"/>
      <c r="AS63" s="70"/>
      <c r="AT63" s="47">
        <f>IFERROR(IF(SUM(AR64:AR76)&gt;0.01,1-EXP(-SUM(AR64:AR76)),SUM(AR64:AR76)),".")</f>
        <v>3.1068461750889057E-4</v>
      </c>
      <c r="AU63" s="47">
        <f>IFERROR(IF(SUM(AS64:AS76)&gt;0.01,1-EXP(-SUM(AS64:AS76)),SUM(AS64:AS76)),".")</f>
        <v>1.2123087971986121E-8</v>
      </c>
      <c r="AV63" s="47">
        <f>IFERROR(IF(SUM(AR64:AS76)&gt;0.01,1-EXP(-SUM(AR64:AS76)),SUM(AR64:AS76)),".")</f>
        <v>3.106967405968626E-4</v>
      </c>
      <c r="AW63" s="58">
        <f>1/SUM(1/AW66,1/AW68,1/AW72,1/AW73,1/AW75)</f>
        <v>0.42564366549356653</v>
      </c>
      <c r="AX63" s="58">
        <f t="shared" ref="AX63:BE63" si="121">1/SUM(1/AX64,1/AX65,1/AX66,1/AX67,1/AX68,1/AX69,1/AX70,1/AX71,1/AX72,1/AX73,1/AX74,1/AX75,1/AX76)</f>
        <v>1189647.9210713324</v>
      </c>
      <c r="AY63" s="61">
        <f>1/SUM(1/AY66,1/AY68,1/AY72,1/AY73,1/AY75)</f>
        <v>597265.84247736458</v>
      </c>
      <c r="AZ63" s="61">
        <f>1/SUM(1/AZ75)</f>
        <v>840.51808189739234</v>
      </c>
      <c r="BA63" s="244">
        <f t="shared" si="51"/>
        <v>2.3493830193394825</v>
      </c>
      <c r="BB63" s="244">
        <f t="shared" si="52"/>
        <v>8.4058483378801199E-7</v>
      </c>
      <c r="BC63" s="244">
        <f t="shared" si="53"/>
        <v>1.6742963164478947E-6</v>
      </c>
      <c r="BD63" s="244">
        <f t="shared" si="54"/>
        <v>1.1897423999999998E-3</v>
      </c>
      <c r="BE63" s="62">
        <f t="shared" si="121"/>
        <v>0.42542777078710564</v>
      </c>
      <c r="BF63" s="70"/>
      <c r="BG63" s="70"/>
      <c r="BH63" s="70"/>
      <c r="BI63" s="70"/>
      <c r="BJ63" s="47">
        <f>IFERROR(IF(SUM(BF64:BF76)&gt;0.01,1-EXP(-SUM(BF64:BF76)),SUM(BF64:BF76)),".")</f>
        <v>1.1746915096697415E-4</v>
      </c>
      <c r="BK63" s="47">
        <f>IFERROR(IF(SUM(BG64:BG76)&gt;0.01,1-EXP(-SUM(BG64:BG76)),SUM(BG64:BG76)),".")</f>
        <v>4.2029241689400612E-11</v>
      </c>
      <c r="BL63" s="47">
        <f>IFERROR(IF(SUM(BH64:BH76)&gt;0.01,1-EXP(-SUM(BH64:BH76)),SUM(BH64:BH76)),".")</f>
        <v>8.3714815822394722E-11</v>
      </c>
      <c r="BM63" s="47">
        <f>IFERROR(IF(SUM(BI64:BI76)&gt;0.01,1-EXP(-SUM(BI64:BI76)),SUM(BI64:BI76)),".")</f>
        <v>5.9487120000000007E-8</v>
      </c>
      <c r="BN63" s="47">
        <f>IFERROR(IF(SUM(BF64:BG76)&gt;0.01,1-EXP(-SUM(BF64:BG76)),SUM(BF64:BG76)),".")</f>
        <v>1.1746919299621583E-4</v>
      </c>
      <c r="BO63" s="61">
        <f>1/SUM(1/BO66,1/BO68,1/BO72,1/BO73,1/BO75)</f>
        <v>2.639886752741011</v>
      </c>
      <c r="BP63" s="61">
        <f>1/SUM(1/BP66,1/BP68,1/BP72,1/BP73,1/BP75)</f>
        <v>2.639886752741011</v>
      </c>
      <c r="BQ63" s="70"/>
      <c r="BR63" s="70"/>
      <c r="BS63" s="47">
        <f>IFERROR(IF(SUM(BQ64:BQ76)&gt;0.01,1-EXP(-SUM(BQ64:BQ76)),SUM(BQ64:BQ76)),".")</f>
        <v>1.8940206411538183E-5</v>
      </c>
      <c r="BT63" s="47">
        <f t="shared" ref="BT63" si="122">IFERROR(IF(SUM(BR64:BR76)&gt;0.01,1-EXP(-SUM(BR64:BR76)),SUM(BR64:BR76)),".")</f>
        <v>1.8940206411538183E-5</v>
      </c>
    </row>
    <row r="64" spans="1:72" x14ac:dyDescent="0.25">
      <c r="A64" s="48" t="s">
        <v>1087</v>
      </c>
      <c r="B64" s="45">
        <v>1</v>
      </c>
      <c r="C64" s="178"/>
      <c r="D64" s="60">
        <f>IFERROR(D25/$B50,0)</f>
        <v>0</v>
      </c>
      <c r="E64" s="60">
        <f>IFERROR(E25/$B50,0)</f>
        <v>677629777.45488858</v>
      </c>
      <c r="F64" s="60">
        <f>IFERROR(F25/$B50,0)</f>
        <v>151122.2348689615</v>
      </c>
      <c r="G64" s="63">
        <f>IFERROR(G25/$B50,0)</f>
        <v>0</v>
      </c>
      <c r="H64" s="63">
        <f>IFERROR(H25/$B50,0)</f>
        <v>0</v>
      </c>
      <c r="I64" s="244">
        <f t="shared" si="13"/>
        <v>0</v>
      </c>
      <c r="J64" s="244">
        <f t="shared" si="14"/>
        <v>1.4757320785929782E-9</v>
      </c>
      <c r="K64" s="244">
        <f t="shared" si="15"/>
        <v>6.6171599491438349E-6</v>
      </c>
      <c r="L64" s="244">
        <f t="shared" si="16"/>
        <v>0</v>
      </c>
      <c r="M64" s="244">
        <f t="shared" si="17"/>
        <v>0</v>
      </c>
      <c r="N64" s="63">
        <f t="shared" si="18"/>
        <v>151088.53971779652</v>
      </c>
      <c r="O64" s="71">
        <f>IFERROR(s_RadSpec!$E$25*O25,".")*$B$64</f>
        <v>0</v>
      </c>
      <c r="P64" s="71">
        <f>IFERROR(s_RadSpec!$F$25*$P$25,".")*B64</f>
        <v>7.3786603929648917E-14</v>
      </c>
      <c r="Q64" s="71">
        <f>IFERROR(s_RadSpec!$G$25*$Q$25,".")*B64</f>
        <v>3.308579974571917E-10</v>
      </c>
      <c r="R64" s="71">
        <f>IFERROR(s_RadSpec!$H$25*R25,".")*$B$64</f>
        <v>0</v>
      </c>
      <c r="S64" s="71">
        <f>IFERROR(s_RadSpec!$H$25*S25,".")*$B$64</f>
        <v>0</v>
      </c>
      <c r="T64" s="49">
        <f t="shared" ref="T64:T76" si="123">IFERROR(IF(O64&gt;0.01,1-EXP(-O64),O64),".")</f>
        <v>0</v>
      </c>
      <c r="U64" s="49">
        <f t="shared" ref="U64:U76" si="124">IFERROR(IF(P64&gt;0.01,1-EXP(-P64),P64),".")</f>
        <v>7.3786603929648917E-14</v>
      </c>
      <c r="V64" s="49">
        <f t="shared" ref="V64:V76" si="125">IFERROR(IF(Q64&gt;0.01,1-EXP(-Q64),Q64),".")</f>
        <v>3.308579974571917E-10</v>
      </c>
      <c r="W64" s="49">
        <f t="shared" ref="W64:W76" si="126">IFERROR(IF(R64&gt;0.01,1-EXP(-R64),R64),".")</f>
        <v>0</v>
      </c>
      <c r="X64" s="49">
        <f t="shared" ref="X64:X76" si="127">IFERROR(IF(S64&gt;0.01,1-EXP(-S64),S64),".")</f>
        <v>0</v>
      </c>
      <c r="Y64" s="49">
        <f t="shared" si="45"/>
        <v>3.3093178406112137E-10</v>
      </c>
      <c r="Z64" s="60">
        <f>IFERROR(Z25/$B50,0)</f>
        <v>151122.2348689615</v>
      </c>
      <c r="AA64" s="60">
        <f>IFERROR(AA25/$B50,0)</f>
        <v>1284068.7702228804</v>
      </c>
      <c r="AB64" s="60">
        <f>IFERROR(AB25/$B50,0)</f>
        <v>326390.11626016838</v>
      </c>
      <c r="AC64" s="60">
        <f>IFERROR(AC25/$B50,0)</f>
        <v>190419.32978219242</v>
      </c>
      <c r="AD64" s="60">
        <f>IFERROR(AD25/$B50,0)</f>
        <v>2345168.5866387296</v>
      </c>
      <c r="AE64" s="71">
        <f>IFERROR(s_RadSpec!$G$25*AE25,".")*$B$64</f>
        <v>3.308579974571917E-10</v>
      </c>
      <c r="AF64" s="71">
        <f>IFERROR(s_RadSpec!$N$25*AF25,".")*$B$64</f>
        <v>3.8938724435546643E-11</v>
      </c>
      <c r="AG64" s="71">
        <f>IFERROR(s_RadSpec!$O$25*AG25,".")*$B$64</f>
        <v>1.5319091329390802E-10</v>
      </c>
      <c r="AH64" s="71">
        <f>IFERROR(s_RadSpec!$P$25*AH25,".")*$B$64</f>
        <v>2.6257838454316358E-10</v>
      </c>
      <c r="AI64" s="71">
        <f>IFERROR(s_RadSpec!$L$25*AI25,".")*$B$64</f>
        <v>2.1320428853118711E-11</v>
      </c>
      <c r="AJ64" s="49">
        <f t="shared" ref="AJ64:AN76" si="128">IFERROR(IF(AE64&gt;0.01,1-EXP(-AE64),AE64),".")</f>
        <v>3.308579974571917E-10</v>
      </c>
      <c r="AK64" s="49">
        <f t="shared" si="128"/>
        <v>3.8938724435546643E-11</v>
      </c>
      <c r="AL64" s="49">
        <f t="shared" si="128"/>
        <v>1.5319091329390802E-10</v>
      </c>
      <c r="AM64" s="49">
        <f t="shared" si="128"/>
        <v>2.6257838454316358E-10</v>
      </c>
      <c r="AN64" s="49">
        <f t="shared" si="128"/>
        <v>2.1320428853118711E-11</v>
      </c>
      <c r="AO64" s="60">
        <f>IFERROR(AO25/$B50,0)</f>
        <v>2187.2863978127139</v>
      </c>
      <c r="AP64" s="60">
        <f>IFERROR(AP25/$B50,0)</f>
        <v>19626864.352316026</v>
      </c>
      <c r="AQ64" s="60">
        <f t="shared" ref="AQ64:AQ76" si="129">IFERROR(IF(AND(AO64&lt;&gt;0,AP64&lt;&gt;0),1/((1/AO64)+(1/AP64)),IF(AND(AO64&lt;&gt;0,AP64=0),1/((1/AO64)),IF(AND(AO64=0,AP64&lt;&gt;0),1/((1/AP64)),IF(AND(AO64=".",AP64="."),".")))),".")</f>
        <v>2187.0426661299962</v>
      </c>
      <c r="AR64" s="71">
        <f>IFERROR(s_RadSpec!$F$25*AR25,".")*$B$64</f>
        <v>2.2859374999999997E-8</v>
      </c>
      <c r="AS64" s="71">
        <f>IFERROR(s_RadSpec!$K$25*AS25,".")*$B$64</f>
        <v>2.5475286883561649E-12</v>
      </c>
      <c r="AT64" s="49">
        <f t="shared" ref="AT64:AU76" si="130">IFERROR(IF(AR64&gt;0.01,1-EXP(-AR64),AR64),".")</f>
        <v>2.2859374999999997E-8</v>
      </c>
      <c r="AU64" s="49">
        <f t="shared" si="130"/>
        <v>2.5475286883561649E-12</v>
      </c>
      <c r="AV64" s="49">
        <f t="shared" ref="AV64:AV76" si="131">IFERROR(IF(SUM(AR64:AS64)&gt;0.01,1-EXP(-SUM(AR64:AS64)),SUM(AR64:AS64)),".")</f>
        <v>2.2861922528688354E-8</v>
      </c>
      <c r="AW64" s="60">
        <f>IFERROR(AW25/$B50,0)</f>
        <v>0</v>
      </c>
      <c r="AX64" s="60">
        <f>IFERROR(AX25/$B50,0)</f>
        <v>5664730367.4666271</v>
      </c>
      <c r="AY64" s="63">
        <f>IFERROR(AY25/$B50,0)</f>
        <v>0</v>
      </c>
      <c r="AZ64" s="63">
        <f>IFERROR(AZ25/$B50,0)</f>
        <v>0</v>
      </c>
      <c r="BA64" s="244">
        <f t="shared" si="51"/>
        <v>0</v>
      </c>
      <c r="BB64" s="244">
        <f t="shared" si="52"/>
        <v>1.765309088219178E-10</v>
      </c>
      <c r="BC64" s="244">
        <f t="shared" si="53"/>
        <v>0</v>
      </c>
      <c r="BD64" s="244">
        <f t="shared" si="54"/>
        <v>0</v>
      </c>
      <c r="BE64" s="63">
        <f t="shared" si="19"/>
        <v>5664730367.4666271</v>
      </c>
      <c r="BF64" s="71">
        <f>IFERROR(s_RadSpec!$I$25*BF25,".")*$B$64</f>
        <v>0</v>
      </c>
      <c r="BG64" s="71">
        <f>IFERROR(s_RadSpec!$M$25*BG25,".")*$B$64</f>
        <v>8.8265454410958909E-15</v>
      </c>
      <c r="BH64" s="71">
        <f>IFERROR(s_RadSpec!$H$25*BH25,".")*$B$64</f>
        <v>0</v>
      </c>
      <c r="BI64" s="71">
        <f>IFERROR(s_RadSpec!$H$25*BI25,".")*$B$64</f>
        <v>0</v>
      </c>
      <c r="BJ64" s="49">
        <f t="shared" ref="BJ64:BJ76" si="132">IFERROR(IF(BF64&gt;0.01,1-EXP(-BF64),BF64),".")</f>
        <v>0</v>
      </c>
      <c r="BK64" s="49">
        <f t="shared" ref="BK64:BK76" si="133">IFERROR(IF(BG64&gt;0.01,1-EXP(-BG64),BG64),".")</f>
        <v>8.8265454410958909E-15</v>
      </c>
      <c r="BL64" s="49">
        <f t="shared" ref="BL64:BL76" si="134">IFERROR(IF(BH64&gt;0.01,1-EXP(-BH64),BH64),".")</f>
        <v>0</v>
      </c>
      <c r="BM64" s="49">
        <f t="shared" ref="BM64:BM76" si="135">IFERROR(IF(BI64&gt;0.01,1-EXP(-BI64),BI64),".")</f>
        <v>0</v>
      </c>
      <c r="BN64" s="49">
        <f t="shared" ref="BN64:BN76" si="136">IFERROR(IF(SUM(BF64:BG64)&gt;0.01,1-EXP(-SUM(BF64:BG64)),SUM(BF64:BG64)),".")</f>
        <v>8.8265454410958909E-15</v>
      </c>
      <c r="BO64" s="63">
        <f t="shared" ref="BO64:BP64" si="137">IFERROR(BO25/$B50,0)</f>
        <v>0</v>
      </c>
      <c r="BP64" s="63">
        <f t="shared" si="137"/>
        <v>0</v>
      </c>
      <c r="BQ64" s="71">
        <f>IFERROR(s_RadSpec!$H$25*BQ25,".")*$B$64</f>
        <v>0</v>
      </c>
      <c r="BR64" s="71">
        <f>IFERROR(s_RadSpec!$H$25*BR25,".")*$B$64</f>
        <v>0</v>
      </c>
      <c r="BS64" s="49">
        <f t="shared" ref="BS64:BS76" si="138">IFERROR(IF(BQ64&gt;0.01,1-EXP(-BQ64),BQ64),".")</f>
        <v>0</v>
      </c>
      <c r="BT64" s="49">
        <f t="shared" ref="BT64:BT76" si="139">IFERROR(IF(BR64&gt;0.01,1-EXP(-BR64),BR64),".")</f>
        <v>0</v>
      </c>
    </row>
    <row r="65" spans="1:72" x14ac:dyDescent="0.25">
      <c r="A65" s="48" t="s">
        <v>1073</v>
      </c>
      <c r="B65" s="45">
        <v>1</v>
      </c>
      <c r="C65" s="178"/>
      <c r="D65" s="60">
        <f>IFERROR(D21/$B51,0)</f>
        <v>0</v>
      </c>
      <c r="E65" s="60">
        <f>IFERROR(E21/$B51,0)</f>
        <v>111150783.64008242</v>
      </c>
      <c r="F65" s="60">
        <f>IFERROR(F21/$B51,0)</f>
        <v>0</v>
      </c>
      <c r="G65" s="63">
        <f>IFERROR(G21/$B51,0)</f>
        <v>0</v>
      </c>
      <c r="H65" s="63">
        <f>IFERROR(H21/$B51,0)</f>
        <v>0</v>
      </c>
      <c r="I65" s="244">
        <f t="shared" si="13"/>
        <v>0</v>
      </c>
      <c r="J65" s="244">
        <f t="shared" si="14"/>
        <v>8.9967876721238607E-9</v>
      </c>
      <c r="K65" s="244">
        <f t="shared" si="15"/>
        <v>0</v>
      </c>
      <c r="L65" s="244">
        <f t="shared" si="16"/>
        <v>0</v>
      </c>
      <c r="M65" s="244">
        <f t="shared" si="17"/>
        <v>0</v>
      </c>
      <c r="N65" s="63">
        <f t="shared" si="18"/>
        <v>111150783.64008242</v>
      </c>
      <c r="O65" s="71">
        <f>IFERROR(s_RadSpec!$E$21*O21,".")*$B$65</f>
        <v>0</v>
      </c>
      <c r="P65" s="71">
        <f>IFERROR(s_RadSpec!$F$21*$P$21,".")*B65</f>
        <v>4.49839383606193E-13</v>
      </c>
      <c r="Q65" s="71">
        <f>IFERROR(s_RadSpec!$G$21*$Q$21,".")*B65</f>
        <v>0</v>
      </c>
      <c r="R65" s="71">
        <f>IFERROR(s_RadSpec!$H$21*R21,".")*$B$65</f>
        <v>0</v>
      </c>
      <c r="S65" s="71">
        <f>IFERROR(s_RadSpec!$H$21*S21,".")*$B$65</f>
        <v>0</v>
      </c>
      <c r="T65" s="49">
        <f t="shared" si="123"/>
        <v>0</v>
      </c>
      <c r="U65" s="49">
        <f t="shared" si="124"/>
        <v>4.49839383606193E-13</v>
      </c>
      <c r="V65" s="49">
        <f t="shared" si="125"/>
        <v>0</v>
      </c>
      <c r="W65" s="49">
        <f t="shared" si="126"/>
        <v>0</v>
      </c>
      <c r="X65" s="49">
        <f t="shared" si="127"/>
        <v>0</v>
      </c>
      <c r="Y65" s="49">
        <f t="shared" si="45"/>
        <v>4.49839383606193E-13</v>
      </c>
      <c r="Z65" s="60">
        <f>IFERROR(Z21/$B51,0)</f>
        <v>0</v>
      </c>
      <c r="AA65" s="60">
        <f>IFERROR(AA21/$B51,0)</f>
        <v>0</v>
      </c>
      <c r="AB65" s="60">
        <f>IFERROR(AB21/$B51,0)</f>
        <v>0</v>
      </c>
      <c r="AC65" s="60">
        <f>IFERROR(AC21/$B51,0)</f>
        <v>0</v>
      </c>
      <c r="AD65" s="60">
        <f>IFERROR(AD21/$B51,0)</f>
        <v>0</v>
      </c>
      <c r="AE65" s="71">
        <f>IFERROR(s_RadSpec!$G$21*AE21,".")*$B$65</f>
        <v>0</v>
      </c>
      <c r="AF65" s="71">
        <f>IFERROR(s_RadSpec!$N$21*AF21,".")*$B$65</f>
        <v>0</v>
      </c>
      <c r="AG65" s="71">
        <f>IFERROR(s_RadSpec!$O$21*AG21,".")*$B$65</f>
        <v>0</v>
      </c>
      <c r="AH65" s="71">
        <f>IFERROR(s_RadSpec!$P$21*AH21,".")*$B$65</f>
        <v>0</v>
      </c>
      <c r="AI65" s="71">
        <f>IFERROR(s_RadSpec!$L$21*AI21,".")*$B$65</f>
        <v>0</v>
      </c>
      <c r="AJ65" s="49">
        <f t="shared" si="128"/>
        <v>0</v>
      </c>
      <c r="AK65" s="49">
        <f t="shared" si="128"/>
        <v>0</v>
      </c>
      <c r="AL65" s="49">
        <f t="shared" si="128"/>
        <v>0</v>
      </c>
      <c r="AM65" s="49">
        <f t="shared" si="128"/>
        <v>0</v>
      </c>
      <c r="AN65" s="49">
        <f t="shared" si="128"/>
        <v>0</v>
      </c>
      <c r="AO65" s="60">
        <f>IFERROR(AO21/$B51,0)</f>
        <v>358.7779127347473</v>
      </c>
      <c r="AP65" s="60">
        <f>IFERROR(AP21/$B51,0)</f>
        <v>807140279577.49329</v>
      </c>
      <c r="AQ65" s="60">
        <f t="shared" si="129"/>
        <v>358.77791257526872</v>
      </c>
      <c r="AR65" s="71">
        <f>IFERROR(s_RadSpec!$F$21*AR21,".")*$B$65</f>
        <v>1.3936197916666665E-7</v>
      </c>
      <c r="AS65" s="71">
        <f>IFERROR(s_RadSpec!$K$21*AS21,".")*$B$65</f>
        <v>6.1947100479452062E-17</v>
      </c>
      <c r="AT65" s="49">
        <f t="shared" si="130"/>
        <v>1.3936197916666665E-7</v>
      </c>
      <c r="AU65" s="49">
        <f t="shared" si="130"/>
        <v>6.1947100479452062E-17</v>
      </c>
      <c r="AV65" s="49">
        <f t="shared" si="131"/>
        <v>1.3936197922861375E-7</v>
      </c>
      <c r="AW65" s="60">
        <f>IFERROR(AW21/$B51,0)</f>
        <v>0</v>
      </c>
      <c r="AX65" s="60">
        <f>IFERROR(AX21/$B51,0)</f>
        <v>393783796907033.44</v>
      </c>
      <c r="AY65" s="63">
        <f>IFERROR(AY21/$B51,0)</f>
        <v>0</v>
      </c>
      <c r="AZ65" s="63">
        <f>IFERROR(AZ21/$B51,0)</f>
        <v>0</v>
      </c>
      <c r="BA65" s="244">
        <f t="shared" si="51"/>
        <v>0</v>
      </c>
      <c r="BB65" s="244">
        <f t="shared" si="52"/>
        <v>2.5394645687671228E-15</v>
      </c>
      <c r="BC65" s="244">
        <f t="shared" si="53"/>
        <v>0</v>
      </c>
      <c r="BD65" s="244">
        <f t="shared" si="54"/>
        <v>0</v>
      </c>
      <c r="BE65" s="63">
        <f t="shared" si="19"/>
        <v>393783796907033.44</v>
      </c>
      <c r="BF65" s="71">
        <f>IFERROR(s_RadSpec!$I$21*BF21,".")*$B$65</f>
        <v>0</v>
      </c>
      <c r="BG65" s="71">
        <f>IFERROR(s_RadSpec!$M$21*BG21,".")*$B$65</f>
        <v>1.2697322843835616E-19</v>
      </c>
      <c r="BH65" s="71">
        <f>IFERROR(s_RadSpec!$H$21*BH21,".")*$B$65</f>
        <v>0</v>
      </c>
      <c r="BI65" s="71">
        <f>IFERROR(s_RadSpec!$H$21*BI21,".")*$B$65</f>
        <v>0</v>
      </c>
      <c r="BJ65" s="49">
        <f t="shared" si="132"/>
        <v>0</v>
      </c>
      <c r="BK65" s="49">
        <f t="shared" si="133"/>
        <v>1.2697322843835616E-19</v>
      </c>
      <c r="BL65" s="49">
        <f t="shared" si="134"/>
        <v>0</v>
      </c>
      <c r="BM65" s="49">
        <f t="shared" si="135"/>
        <v>0</v>
      </c>
      <c r="BN65" s="49">
        <f t="shared" si="136"/>
        <v>1.2697322843835616E-19</v>
      </c>
      <c r="BO65" s="63">
        <f t="shared" ref="BO65:BP65" si="140">IFERROR(BO21/$B51,0)</f>
        <v>0</v>
      </c>
      <c r="BP65" s="63">
        <f t="shared" si="140"/>
        <v>0</v>
      </c>
      <c r="BQ65" s="71">
        <f>IFERROR(s_RadSpec!$H$21*BQ21,".")*$B$65</f>
        <v>0</v>
      </c>
      <c r="BR65" s="71">
        <f>IFERROR(s_RadSpec!$H$21*BR21,".")*$B$65</f>
        <v>0</v>
      </c>
      <c r="BS65" s="49">
        <f t="shared" si="138"/>
        <v>0</v>
      </c>
      <c r="BT65" s="49">
        <f t="shared" si="139"/>
        <v>0</v>
      </c>
    </row>
    <row r="66" spans="1:72" x14ac:dyDescent="0.25">
      <c r="A66" s="48" t="s">
        <v>1074</v>
      </c>
      <c r="B66" s="52">
        <v>0.99980000000000002</v>
      </c>
      <c r="C66" s="181"/>
      <c r="D66" s="60">
        <f>IFERROR(D17/$B52,0)</f>
        <v>208793.02937923669</v>
      </c>
      <c r="E66" s="60">
        <f>IFERROR(E17/$B52,0)</f>
        <v>19888094.640770443</v>
      </c>
      <c r="F66" s="60">
        <f>IFERROR(F17/$B52,0)</f>
        <v>353.95758981883785</v>
      </c>
      <c r="G66" s="63">
        <f>IFERROR(G17/$B52,0)</f>
        <v>3308083.6277373363</v>
      </c>
      <c r="H66" s="63">
        <f>IFERROR(H17/$B52,0)</f>
        <v>0</v>
      </c>
      <c r="I66" s="244">
        <f t="shared" si="13"/>
        <v>4.7894319219999998E-6</v>
      </c>
      <c r="J66" s="244">
        <f t="shared" si="14"/>
        <v>5.028133755709346E-8</v>
      </c>
      <c r="K66" s="244">
        <f t="shared" si="15"/>
        <v>2.8251972235199671E-3</v>
      </c>
      <c r="L66" s="244">
        <f t="shared" si="16"/>
        <v>3.022898186778852E-7</v>
      </c>
      <c r="M66" s="244">
        <f t="shared" si="17"/>
        <v>0</v>
      </c>
      <c r="N66" s="63">
        <f t="shared" si="18"/>
        <v>353.31453933241232</v>
      </c>
      <c r="O66" s="71">
        <f>IFERROR(s_RadSpec!$E$17*O17,".")*$B$66</f>
        <v>2.394715961E-10</v>
      </c>
      <c r="P66" s="71">
        <f>IFERROR(s_RadSpec!$F$17*$P$17,".")*B66</f>
        <v>2.5140668778546732E-12</v>
      </c>
      <c r="Q66" s="71">
        <f>IFERROR(s_RadSpec!$G$17*$Q$17,".")*B66</f>
        <v>1.4125986117599839E-7</v>
      </c>
      <c r="R66" s="71">
        <f>IFERROR(s_RadSpec!$H$17*R17,".")*$B$66</f>
        <v>1.5114490933894263E-11</v>
      </c>
      <c r="S66" s="71">
        <f>IFERROR(s_RadSpec!$H$17*S17,".")*$B$66</f>
        <v>0</v>
      </c>
      <c r="T66" s="49">
        <f t="shared" si="123"/>
        <v>2.394715961E-10</v>
      </c>
      <c r="U66" s="49">
        <f t="shared" si="124"/>
        <v>2.5140668778546732E-12</v>
      </c>
      <c r="V66" s="49">
        <f t="shared" si="125"/>
        <v>1.4125986117599839E-7</v>
      </c>
      <c r="W66" s="49">
        <f t="shared" si="126"/>
        <v>1.5114490933894263E-11</v>
      </c>
      <c r="X66" s="49">
        <f t="shared" si="127"/>
        <v>0</v>
      </c>
      <c r="Y66" s="49">
        <f t="shared" si="45"/>
        <v>1.4151696132991015E-7</v>
      </c>
      <c r="Z66" s="60">
        <f>IFERROR(Z17/$B52,0)</f>
        <v>353.95758981883785</v>
      </c>
      <c r="AA66" s="60">
        <f>IFERROR(AA17/$B52,0)</f>
        <v>2719.2215430932952</v>
      </c>
      <c r="AB66" s="60">
        <f>IFERROR(AB17/$B52,0)</f>
        <v>735.58691260493879</v>
      </c>
      <c r="AC66" s="60">
        <f>IFERROR(AC17/$B52,0)</f>
        <v>442.52761961428757</v>
      </c>
      <c r="AD66" s="60">
        <f>IFERROR(AD17/$B52,0)</f>
        <v>5281.3254696956492</v>
      </c>
      <c r="AE66" s="71">
        <f>IFERROR(s_RadSpec!$G$17*AE17,".")*$B$66</f>
        <v>1.4125986117599839E-7</v>
      </c>
      <c r="AF66" s="71">
        <f>IFERROR(s_RadSpec!$N$17*AF17,".")*$B$66</f>
        <v>1.838761542876043E-8</v>
      </c>
      <c r="AG66" s="71">
        <f>IFERROR(s_RadSpec!$O$17*AG17,".")*$B$66</f>
        <v>6.7972933100365627E-8</v>
      </c>
      <c r="AH66" s="71">
        <f>IFERROR(s_RadSpec!$P$17*AH17,".")*$B$66</f>
        <v>1.1298729793087403E-7</v>
      </c>
      <c r="AI66" s="71">
        <f>IFERROR(s_RadSpec!$L$17*AI17,".")*$B$66</f>
        <v>9.467320332159228E-9</v>
      </c>
      <c r="AJ66" s="49">
        <f t="shared" si="128"/>
        <v>1.4125986117599839E-7</v>
      </c>
      <c r="AK66" s="49">
        <f t="shared" si="128"/>
        <v>1.838761542876043E-8</v>
      </c>
      <c r="AL66" s="49">
        <f t="shared" si="128"/>
        <v>6.7972933100365627E-8</v>
      </c>
      <c r="AM66" s="49">
        <f t="shared" si="128"/>
        <v>1.1298729793087403E-7</v>
      </c>
      <c r="AN66" s="49">
        <f t="shared" si="128"/>
        <v>9.467320332159228E-9</v>
      </c>
      <c r="AO66" s="60">
        <f>IFERROR(AO17/$B52,0)</f>
        <v>64.19576047787406</v>
      </c>
      <c r="AP66" s="60">
        <f>IFERROR(AP17/$B52,0)</f>
        <v>31256.35602460615</v>
      </c>
      <c r="AQ66" s="60">
        <f t="shared" si="129"/>
        <v>64.064182474663554</v>
      </c>
      <c r="AR66" s="71">
        <f>IFERROR(s_RadSpec!$F$17*AR17,".")*$B$66</f>
        <v>7.7886763281249992E-7</v>
      </c>
      <c r="AS66" s="71">
        <f>IFERROR(s_RadSpec!$K$17*AS17,".")*$B$66</f>
        <v>1.599674637716507E-9</v>
      </c>
      <c r="AT66" s="49">
        <f t="shared" si="130"/>
        <v>7.7886763281249992E-7</v>
      </c>
      <c r="AU66" s="49">
        <f t="shared" si="130"/>
        <v>1.599674637716507E-9</v>
      </c>
      <c r="AV66" s="49">
        <f t="shared" si="131"/>
        <v>7.8046730745021641E-7</v>
      </c>
      <c r="AW66" s="60">
        <f>IFERROR(AW17/$B52,0)</f>
        <v>3299.5353864038884</v>
      </c>
      <c r="AX66" s="60">
        <f>IFERROR(AX17/$B52,0)</f>
        <v>8928926.3120030034</v>
      </c>
      <c r="AY66" s="63">
        <f>IFERROR(AY17/$B52,0)</f>
        <v>13399639889.823425</v>
      </c>
      <c r="AZ66" s="63">
        <f>IFERROR(AZ17/$B52,0)</f>
        <v>0</v>
      </c>
      <c r="BA66" s="244">
        <f t="shared" si="51"/>
        <v>3.0307297327999993E-4</v>
      </c>
      <c r="BB66" s="244">
        <f t="shared" si="52"/>
        <v>1.1199554851916708E-7</v>
      </c>
      <c r="BC66" s="244">
        <f t="shared" si="53"/>
        <v>7.4628871239999985E-11</v>
      </c>
      <c r="BD66" s="244">
        <f t="shared" si="54"/>
        <v>0</v>
      </c>
      <c r="BE66" s="63">
        <f t="shared" si="19"/>
        <v>3298.3157368069183</v>
      </c>
      <c r="BF66" s="71">
        <f>IFERROR(s_RadSpec!$I$17*BF17,".")*$B$66</f>
        <v>1.5153648663999998E-8</v>
      </c>
      <c r="BG66" s="71">
        <f>IFERROR(s_RadSpec!$M$17*BG17,".")*$B$66</f>
        <v>5.5997774259583561E-12</v>
      </c>
      <c r="BH66" s="71">
        <f>IFERROR(s_RadSpec!$H$17*BH17,".")*$B$66</f>
        <v>3.7314435620000005E-15</v>
      </c>
      <c r="BI66" s="71">
        <f>IFERROR(s_RadSpec!$H$17*BI17,".")*$B$66</f>
        <v>0</v>
      </c>
      <c r="BJ66" s="49">
        <f t="shared" si="132"/>
        <v>1.5153648663999998E-8</v>
      </c>
      <c r="BK66" s="49">
        <f t="shared" si="133"/>
        <v>5.5997774259583561E-12</v>
      </c>
      <c r="BL66" s="49">
        <f t="shared" si="134"/>
        <v>3.7314435620000005E-15</v>
      </c>
      <c r="BM66" s="49">
        <f t="shared" si="135"/>
        <v>0</v>
      </c>
      <c r="BN66" s="49">
        <f t="shared" si="136"/>
        <v>1.5159248441425956E-8</v>
      </c>
      <c r="BO66" s="63">
        <f t="shared" ref="BO66:BP66" si="141">IFERROR(BO17/$B52,0)</f>
        <v>18759.495845752794</v>
      </c>
      <c r="BP66" s="63">
        <f t="shared" si="141"/>
        <v>18759.495845752794</v>
      </c>
      <c r="BQ66" s="71">
        <f>IFERROR(s_RadSpec!$H$17*BQ17,".")*$B$66</f>
        <v>2.6653168300000002E-9</v>
      </c>
      <c r="BR66" s="71">
        <f>IFERROR(s_RadSpec!$H$17*BR17,".")*$B$66</f>
        <v>2.6653168300000002E-9</v>
      </c>
      <c r="BS66" s="49">
        <f t="shared" si="138"/>
        <v>2.6653168300000002E-9</v>
      </c>
      <c r="BT66" s="49">
        <f t="shared" si="139"/>
        <v>2.6653168300000002E-9</v>
      </c>
    </row>
    <row r="67" spans="1:72" x14ac:dyDescent="0.25">
      <c r="A67" s="48" t="s">
        <v>1088</v>
      </c>
      <c r="B67" s="45">
        <v>2.0000000000000001E-4</v>
      </c>
      <c r="C67" s="178"/>
      <c r="D67" s="60">
        <f>IFERROR(D5/$B53,0)</f>
        <v>0</v>
      </c>
      <c r="E67" s="60">
        <f>IFERROR(E5/$B53,0)</f>
        <v>0</v>
      </c>
      <c r="F67" s="60">
        <f>IFERROR(F5/$B53,0)</f>
        <v>0</v>
      </c>
      <c r="G67" s="63">
        <f>IFERROR(G5/$B53,0)</f>
        <v>0</v>
      </c>
      <c r="H67" s="63">
        <f>IFERROR(H5/$B53,0)</f>
        <v>0</v>
      </c>
      <c r="I67" s="244">
        <f t="shared" ref="I67:I76" si="142">IFERROR(1/D67,0)</f>
        <v>0</v>
      </c>
      <c r="J67" s="244">
        <f t="shared" ref="J67:J76" si="143">IFERROR(1/E67,0)</f>
        <v>0</v>
      </c>
      <c r="K67" s="244">
        <f t="shared" ref="K67:K76" si="144">IFERROR(1/F67,0)</f>
        <v>0</v>
      </c>
      <c r="L67" s="244">
        <f t="shared" ref="L67:L76" si="145">IFERROR(1/G67,0)</f>
        <v>0</v>
      </c>
      <c r="M67" s="244">
        <f t="shared" ref="M67:M76" si="146">IFERROR(1/H67,0)</f>
        <v>0</v>
      </c>
      <c r="N67" s="63">
        <f t="shared" ref="N67:N76" si="147">IFERROR(1/SUM(I67:M67),0)</f>
        <v>0</v>
      </c>
      <c r="O67" s="71">
        <f>IFERROR(s_RadSpec!$E$5*O5,".")*$B$67</f>
        <v>0</v>
      </c>
      <c r="P67" s="71">
        <f>IFERROR(s_RadSpec!$F$5*$P$5,".")*B67</f>
        <v>0</v>
      </c>
      <c r="Q67" s="71">
        <f>IFERROR(s_RadSpec!$G$5*$Q$5,".")*B67</f>
        <v>0</v>
      </c>
      <c r="R67" s="71">
        <f>IFERROR(s_RadSpec!$H$5*R5,".")*$B$67</f>
        <v>0</v>
      </c>
      <c r="S67" s="71">
        <f>IFERROR(s_RadSpec!$H$5*S5,".")*$B$67</f>
        <v>0</v>
      </c>
      <c r="T67" s="49">
        <f t="shared" si="123"/>
        <v>0</v>
      </c>
      <c r="U67" s="49">
        <f t="shared" si="124"/>
        <v>0</v>
      </c>
      <c r="V67" s="49">
        <f t="shared" si="125"/>
        <v>0</v>
      </c>
      <c r="W67" s="49">
        <f t="shared" si="126"/>
        <v>0</v>
      </c>
      <c r="X67" s="49">
        <f t="shared" si="127"/>
        <v>0</v>
      </c>
      <c r="Y67" s="49">
        <f t="shared" si="45"/>
        <v>0</v>
      </c>
      <c r="Z67" s="60">
        <f>IFERROR(Z5/$B53,0)</f>
        <v>0</v>
      </c>
      <c r="AA67" s="60">
        <f>IFERROR(AA5/$B53,0)</f>
        <v>0</v>
      </c>
      <c r="AB67" s="60">
        <f>IFERROR(AB5/$B53,0)</f>
        <v>0</v>
      </c>
      <c r="AC67" s="60">
        <f>IFERROR(AC5/$B53,0)</f>
        <v>0</v>
      </c>
      <c r="AD67" s="60">
        <f>IFERROR(AD5/$B53,0)</f>
        <v>0</v>
      </c>
      <c r="AE67" s="71">
        <f>IFERROR(s_RadSpec!$G$5*AE5,".")*$B$67</f>
        <v>0</v>
      </c>
      <c r="AF67" s="71">
        <f>IFERROR(s_RadSpec!$N$5*AF5,".")*$B$67</f>
        <v>0</v>
      </c>
      <c r="AG67" s="71">
        <f>IFERROR(s_RadSpec!$O$5*AG5,".")*$B$67</f>
        <v>0</v>
      </c>
      <c r="AH67" s="71">
        <f>IFERROR(s_RadSpec!$P$5*AH5,".")*$B$67</f>
        <v>0</v>
      </c>
      <c r="AI67" s="71">
        <f>IFERROR(s_RadSpec!$L$5*AI5,".")*$B$67</f>
        <v>0</v>
      </c>
      <c r="AJ67" s="49">
        <f t="shared" si="128"/>
        <v>0</v>
      </c>
      <c r="AK67" s="49">
        <f t="shared" si="128"/>
        <v>0</v>
      </c>
      <c r="AL67" s="49">
        <f t="shared" si="128"/>
        <v>0</v>
      </c>
      <c r="AM67" s="49">
        <f t="shared" si="128"/>
        <v>0</v>
      </c>
      <c r="AN67" s="49">
        <f t="shared" si="128"/>
        <v>0</v>
      </c>
      <c r="AO67" s="60">
        <f>IFERROR(AO5/$B53,0)</f>
        <v>0</v>
      </c>
      <c r="AP67" s="60">
        <f>IFERROR(AP5/$B53,0)</f>
        <v>5166920729113.499</v>
      </c>
      <c r="AQ67" s="60">
        <f t="shared" si="129"/>
        <v>5166920729113.499</v>
      </c>
      <c r="AR67" s="71">
        <f>IFERROR(s_RadSpec!$F$5*AR5,".")*$B$67</f>
        <v>0</v>
      </c>
      <c r="AS67" s="71">
        <f>IFERROR(s_RadSpec!$K$5*AS5,".")*$B$67</f>
        <v>9.6769435068493164E-18</v>
      </c>
      <c r="AT67" s="49">
        <f t="shared" si="130"/>
        <v>0</v>
      </c>
      <c r="AU67" s="49">
        <f t="shared" si="130"/>
        <v>9.6769435068493164E-18</v>
      </c>
      <c r="AV67" s="49">
        <f t="shared" si="131"/>
        <v>9.6769435068493164E-18</v>
      </c>
      <c r="AW67" s="60">
        <f>IFERROR(AW5/$B53,0)</f>
        <v>0</v>
      </c>
      <c r="AX67" s="60">
        <f>IFERROR(AX5/$B53,0)</f>
        <v>1942008930076827.5</v>
      </c>
      <c r="AY67" s="63">
        <f>IFERROR(AY5/$B53,0)</f>
        <v>0</v>
      </c>
      <c r="AZ67" s="63">
        <f>IFERROR(AZ5/$B53,0)</f>
        <v>0</v>
      </c>
      <c r="BA67" s="244">
        <f t="shared" si="51"/>
        <v>0</v>
      </c>
      <c r="BB67" s="244">
        <f t="shared" si="52"/>
        <v>5.149306908493151E-16</v>
      </c>
      <c r="BC67" s="244">
        <f t="shared" si="53"/>
        <v>0</v>
      </c>
      <c r="BD67" s="244">
        <f t="shared" si="54"/>
        <v>0</v>
      </c>
      <c r="BE67" s="63">
        <f t="shared" ref="BE67:BE75" si="148">IFERROR(1/SUM(BA67:BD67),0)</f>
        <v>1942008930076827.5</v>
      </c>
      <c r="BF67" s="71">
        <f>IFERROR(s_RadSpec!$I$5*BF5,".")*$B$67</f>
        <v>0</v>
      </c>
      <c r="BG67" s="71">
        <f>IFERROR(s_RadSpec!$M$5*BG5,".")*$B$67</f>
        <v>2.5746534542465757E-20</v>
      </c>
      <c r="BH67" s="71">
        <f>IFERROR(s_RadSpec!$H$5*BH5,".")*$B$67</f>
        <v>0</v>
      </c>
      <c r="BI67" s="71">
        <f>IFERROR(s_RadSpec!$H$5*BI5,".")*$B$67</f>
        <v>0</v>
      </c>
      <c r="BJ67" s="49">
        <f t="shared" si="132"/>
        <v>0</v>
      </c>
      <c r="BK67" s="49">
        <f t="shared" si="133"/>
        <v>2.5746534542465757E-20</v>
      </c>
      <c r="BL67" s="49">
        <f t="shared" si="134"/>
        <v>0</v>
      </c>
      <c r="BM67" s="49">
        <f t="shared" si="135"/>
        <v>0</v>
      </c>
      <c r="BN67" s="49">
        <f t="shared" si="136"/>
        <v>2.5746534542465757E-20</v>
      </c>
      <c r="BO67" s="63">
        <f t="shared" ref="BO67:BP67" si="149">IFERROR(BO5/$B53,0)</f>
        <v>0</v>
      </c>
      <c r="BP67" s="63">
        <f t="shared" si="149"/>
        <v>0</v>
      </c>
      <c r="BQ67" s="71">
        <f>IFERROR(s_RadSpec!$H$5*BQ5,".")*$B$67</f>
        <v>0</v>
      </c>
      <c r="BR67" s="71">
        <f>IFERROR(s_RadSpec!$H$5*BR5,".")*$B$67</f>
        <v>0</v>
      </c>
      <c r="BS67" s="49">
        <f t="shared" si="138"/>
        <v>0</v>
      </c>
      <c r="BT67" s="49">
        <f t="shared" si="139"/>
        <v>0</v>
      </c>
    </row>
    <row r="68" spans="1:72" x14ac:dyDescent="0.25">
      <c r="A68" s="48" t="s">
        <v>1089</v>
      </c>
      <c r="B68" s="45">
        <v>0.99999979999999999</v>
      </c>
      <c r="C68" s="178"/>
      <c r="D68" s="60">
        <f>IFERROR(D9/$B54,0)</f>
        <v>409842.02642252657</v>
      </c>
      <c r="E68" s="60">
        <f>IFERROR(E9/$B54,0)</f>
        <v>24999938.537158351</v>
      </c>
      <c r="F68" s="60">
        <f>IFERROR(F9/$B54,0)</f>
        <v>17.702048926630678</v>
      </c>
      <c r="G68" s="63">
        <f>IFERROR(G9/$B54,0)</f>
        <v>1427825.9811733186</v>
      </c>
      <c r="H68" s="63">
        <f>IFERROR(H9/$B54,0)</f>
        <v>0</v>
      </c>
      <c r="I68" s="244">
        <f t="shared" si="142"/>
        <v>2.4399645120069998E-6</v>
      </c>
      <c r="J68" s="244">
        <f t="shared" si="143"/>
        <v>4.0000098340788412E-8</v>
      </c>
      <c r="K68" s="244">
        <f t="shared" si="144"/>
        <v>5.6490635866202815E-2</v>
      </c>
      <c r="L68" s="244">
        <f t="shared" si="145"/>
        <v>7.0036545992688005E-7</v>
      </c>
      <c r="M68" s="244">
        <f t="shared" si="146"/>
        <v>0</v>
      </c>
      <c r="N68" s="63">
        <f t="shared" si="147"/>
        <v>17.701052386437478</v>
      </c>
      <c r="O68" s="71">
        <f>IFERROR(s_RadSpec!$E$9*O9,".")*$B$68</f>
        <v>1.2199822560035E-10</v>
      </c>
      <c r="P68" s="71">
        <f>IFERROR(s_RadSpec!$F$9*$P$9,".")*B68</f>
        <v>2.0000049170394206E-12</v>
      </c>
      <c r="Q68" s="71">
        <f>IFERROR(s_RadSpec!$G$9*$Q$9,".")*B68</f>
        <v>2.8245317933101414E-6</v>
      </c>
      <c r="R68" s="71">
        <f>IFERROR(s_RadSpec!$H$9*R9,".")*$B$68</f>
        <v>3.5018272996344001E-11</v>
      </c>
      <c r="S68" s="71">
        <f>IFERROR(s_RadSpec!$H$9*S9,".")*$B$68</f>
        <v>0</v>
      </c>
      <c r="T68" s="49">
        <f t="shared" si="123"/>
        <v>1.2199822560035E-10</v>
      </c>
      <c r="U68" s="49">
        <f t="shared" si="124"/>
        <v>2.0000049170394206E-12</v>
      </c>
      <c r="V68" s="49">
        <f t="shared" si="125"/>
        <v>2.8245317933101414E-6</v>
      </c>
      <c r="W68" s="49">
        <f t="shared" si="126"/>
        <v>3.5018272996344001E-11</v>
      </c>
      <c r="X68" s="49">
        <f t="shared" si="127"/>
        <v>0</v>
      </c>
      <c r="Y68" s="49">
        <f t="shared" si="45"/>
        <v>2.824690809813655E-6</v>
      </c>
      <c r="Z68" s="60">
        <f>IFERROR(Z9/$B54,0)</f>
        <v>17.702048926630678</v>
      </c>
      <c r="AA68" s="60">
        <f>IFERROR(AA9/$B54,0)</f>
        <v>200.75264902486708</v>
      </c>
      <c r="AB68" s="60">
        <f>IFERROR(AB9/$B54,0)</f>
        <v>49.16175466002435</v>
      </c>
      <c r="AC68" s="60">
        <f>IFERROR(AC9/$B54,0)</f>
        <v>25.146995650179655</v>
      </c>
      <c r="AD68" s="60">
        <f>IFERROR(AD9/$B54,0)</f>
        <v>367.22650879724722</v>
      </c>
      <c r="AE68" s="71">
        <f>IFERROR(s_RadSpec!$G$9*AE9,".")*$B$68</f>
        <v>2.8245317933101414E-6</v>
      </c>
      <c r="AF68" s="71">
        <f>IFERROR(s_RadSpec!$N$9*AF9,".")*$B$68</f>
        <v>2.4906271594855285E-7</v>
      </c>
      <c r="AG68" s="71">
        <f>IFERROR(s_RadSpec!$O$9*AG9,".")*$B$68</f>
        <v>1.0170507612222654E-6</v>
      </c>
      <c r="AH68" s="71">
        <f>IFERROR(s_RadSpec!$P$9*AH9,".")*$B$68</f>
        <v>1.9883090885110476E-6</v>
      </c>
      <c r="AI68" s="71">
        <f>IFERROR(s_RadSpec!$L$9*AI9,".")*$B$68</f>
        <v>1.3615574802527658E-7</v>
      </c>
      <c r="AJ68" s="49">
        <f t="shared" si="128"/>
        <v>2.8245317933101414E-6</v>
      </c>
      <c r="AK68" s="49">
        <f t="shared" si="128"/>
        <v>2.4906271594855285E-7</v>
      </c>
      <c r="AL68" s="49">
        <f t="shared" si="128"/>
        <v>1.0170507612222654E-6</v>
      </c>
      <c r="AM68" s="49">
        <f t="shared" si="128"/>
        <v>1.9883090885110476E-6</v>
      </c>
      <c r="AN68" s="49">
        <f t="shared" si="128"/>
        <v>1.3615574802527658E-7</v>
      </c>
      <c r="AO68" s="60">
        <f>IFERROR(AO9/$B54,0)</f>
        <v>80.696019165303966</v>
      </c>
      <c r="AP68" s="60">
        <f>IFERROR(AP9/$B54,0)</f>
        <v>4761.142566490169</v>
      </c>
      <c r="AQ68" s="60">
        <f t="shared" si="129"/>
        <v>79.351107022131899</v>
      </c>
      <c r="AR68" s="71">
        <f>IFERROR(s_RadSpec!$F$9*AR9,".")*$B$68</f>
        <v>6.1960925107812488E-7</v>
      </c>
      <c r="AS68" s="71">
        <f>IFERROR(s_RadSpec!$K$9*AS9,".")*$B$68</f>
        <v>1.050168090993737E-8</v>
      </c>
      <c r="AT68" s="49">
        <f t="shared" si="130"/>
        <v>6.1960925107812488E-7</v>
      </c>
      <c r="AU68" s="49">
        <f t="shared" si="130"/>
        <v>1.050168090993737E-8</v>
      </c>
      <c r="AV68" s="49">
        <f t="shared" si="131"/>
        <v>6.301109319880622E-7</v>
      </c>
      <c r="AW68" s="60">
        <f>IFERROR(AW9/$B54,0)</f>
        <v>5917.6371589668761</v>
      </c>
      <c r="AX68" s="60">
        <f>IFERROR(AX9/$B54,0)</f>
        <v>1375067.8884066863</v>
      </c>
      <c r="AY68" s="63">
        <f>IFERROR(AY9/$B54,0)</f>
        <v>8566955887.0399113</v>
      </c>
      <c r="AZ68" s="63">
        <f>IFERROR(AZ9/$B54,0)</f>
        <v>0</v>
      </c>
      <c r="BA68" s="244">
        <f t="shared" si="51"/>
        <v>1.6898636620271999E-4</v>
      </c>
      <c r="BB68" s="244">
        <f t="shared" si="52"/>
        <v>7.2723682112794915E-7</v>
      </c>
      <c r="BC68" s="244">
        <f t="shared" si="53"/>
        <v>1.1672757665448E-10</v>
      </c>
      <c r="BD68" s="244">
        <f t="shared" si="54"/>
        <v>0</v>
      </c>
      <c r="BE68" s="63">
        <f t="shared" si="148"/>
        <v>5892.2755418046036</v>
      </c>
      <c r="BF68" s="71">
        <f>IFERROR(s_RadSpec!$I$9*BF9,".")*$B$68</f>
        <v>8.4493183101359989E-9</v>
      </c>
      <c r="BG68" s="71">
        <f>IFERROR(s_RadSpec!$M$9*BG9,".")*$B$68</f>
        <v>3.6361841056397453E-11</v>
      </c>
      <c r="BH68" s="71">
        <f>IFERROR(s_RadSpec!$H$9*BH9,".")*$B$68</f>
        <v>5.8363788327240012E-15</v>
      </c>
      <c r="BI68" s="71">
        <f>IFERROR(s_RadSpec!$H$9*BI9,".")*$B$68</f>
        <v>0</v>
      </c>
      <c r="BJ68" s="49">
        <f t="shared" si="132"/>
        <v>8.4493183101359989E-9</v>
      </c>
      <c r="BK68" s="49">
        <f t="shared" si="133"/>
        <v>3.6361841056397453E-11</v>
      </c>
      <c r="BL68" s="49">
        <f t="shared" si="134"/>
        <v>5.8363788327240012E-15</v>
      </c>
      <c r="BM68" s="49">
        <f t="shared" si="135"/>
        <v>0</v>
      </c>
      <c r="BN68" s="49">
        <f t="shared" si="136"/>
        <v>8.4856801511923962E-9</v>
      </c>
      <c r="BO68" s="63">
        <f t="shared" ref="BO68:BP68" si="150">IFERROR(BO9/$B54,0)</f>
        <v>34267.823548159642</v>
      </c>
      <c r="BP68" s="63">
        <f t="shared" si="150"/>
        <v>34267.823548159642</v>
      </c>
      <c r="BQ68" s="71">
        <f>IFERROR(s_RadSpec!$H$9*BQ9,".")*$B$68</f>
        <v>1.4590947081810001E-9</v>
      </c>
      <c r="BR68" s="71">
        <f>IFERROR(s_RadSpec!$H$9*BR9,".")*$B$68</f>
        <v>1.4590947081810001E-9</v>
      </c>
      <c r="BS68" s="49">
        <f t="shared" si="138"/>
        <v>1.4590947081810001E-9</v>
      </c>
      <c r="BT68" s="49">
        <f t="shared" si="139"/>
        <v>1.4590947081810001E-9</v>
      </c>
    </row>
    <row r="69" spans="1:72" x14ac:dyDescent="0.25">
      <c r="A69" s="48" t="s">
        <v>1090</v>
      </c>
      <c r="B69" s="45">
        <v>1.9999999999999999E-7</v>
      </c>
      <c r="C69" s="178"/>
      <c r="D69" s="60">
        <f>IFERROR(D24/$B55,0)</f>
        <v>0</v>
      </c>
      <c r="E69" s="60">
        <f>IFERROR(E24/$B55,0)</f>
        <v>0</v>
      </c>
      <c r="F69" s="60">
        <f>IFERROR(F24/$B55,0)</f>
        <v>338789087917.6972</v>
      </c>
      <c r="G69" s="63">
        <f>IFERROR(G24/$B55,0)</f>
        <v>0</v>
      </c>
      <c r="H69" s="63">
        <f>IFERROR(H24/$B55,0)</f>
        <v>0</v>
      </c>
      <c r="I69" s="244">
        <f t="shared" si="142"/>
        <v>0</v>
      </c>
      <c r="J69" s="244">
        <f t="shared" si="143"/>
        <v>0</v>
      </c>
      <c r="K69" s="244">
        <f t="shared" si="144"/>
        <v>2.9516889287854876E-12</v>
      </c>
      <c r="L69" s="244">
        <f t="shared" si="145"/>
        <v>0</v>
      </c>
      <c r="M69" s="244">
        <f t="shared" si="146"/>
        <v>0</v>
      </c>
      <c r="N69" s="63">
        <f t="shared" si="147"/>
        <v>338789087917.6972</v>
      </c>
      <c r="O69" s="71">
        <f>IFERROR(s_RadSpec!$E$24*O24,".")*$B$69</f>
        <v>0</v>
      </c>
      <c r="P69" s="71">
        <f>IFERROR(s_RadSpec!$F$24*$P$24,".")*B69</f>
        <v>0</v>
      </c>
      <c r="Q69" s="71">
        <f>IFERROR(s_RadSpec!$G$24*$Q$24,".")*B69</f>
        <v>1.4758444643927444E-16</v>
      </c>
      <c r="R69" s="71">
        <f>IFERROR(s_RadSpec!$H$24*R24,".")*$B$69</f>
        <v>0</v>
      </c>
      <c r="S69" s="71">
        <f>IFERROR(s_RadSpec!$H$24*S24,".")*$B$69</f>
        <v>0</v>
      </c>
      <c r="T69" s="49">
        <f t="shared" si="123"/>
        <v>0</v>
      </c>
      <c r="U69" s="49">
        <f t="shared" si="124"/>
        <v>0</v>
      </c>
      <c r="V69" s="49">
        <f t="shared" si="125"/>
        <v>1.4758444643927444E-16</v>
      </c>
      <c r="W69" s="49">
        <f t="shared" si="126"/>
        <v>0</v>
      </c>
      <c r="X69" s="49">
        <f t="shared" si="127"/>
        <v>0</v>
      </c>
      <c r="Y69" s="49">
        <f t="shared" si="45"/>
        <v>1.4758444643927444E-16</v>
      </c>
      <c r="Z69" s="60">
        <f>IFERROR(Z24/$B55,0)</f>
        <v>338789087917.6972</v>
      </c>
      <c r="AA69" s="60">
        <f>IFERROR(AA24/$B55,0)</f>
        <v>2984695188693.2773</v>
      </c>
      <c r="AB69" s="60">
        <f>IFERROR(AB24/$B55,0)</f>
        <v>748624381200.15112</v>
      </c>
      <c r="AC69" s="60">
        <f>IFERROR(AC24/$B55,0)</f>
        <v>403943010259.75562</v>
      </c>
      <c r="AD69" s="60">
        <f>IFERROR(AD24/$B55,0)</f>
        <v>5078002126476.877</v>
      </c>
      <c r="AE69" s="71">
        <f>IFERROR(s_RadSpec!$G$24*AE24,".")*$B$69</f>
        <v>1.4758444643927444E-16</v>
      </c>
      <c r="AF69" s="71">
        <f>IFERROR(s_RadSpec!$N$24*AF24,".")*$B$69</f>
        <v>1.6752129393115811E-17</v>
      </c>
      <c r="AG69" s="71">
        <f>IFERROR(s_RadSpec!$O$24*AG24,".")*$B$69</f>
        <v>6.6789168581235484E-17</v>
      </c>
      <c r="AH69" s="71">
        <f>IFERROR(s_RadSpec!$P$24*AH24,".")*$B$69</f>
        <v>1.2377983708109589E-16</v>
      </c>
      <c r="AI69" s="71">
        <f>IFERROR(s_RadSpec!$L$24*AI24,".")*$B$69</f>
        <v>9.8463920956823346E-18</v>
      </c>
      <c r="AJ69" s="49">
        <f t="shared" si="128"/>
        <v>1.4758444643927444E-16</v>
      </c>
      <c r="AK69" s="49">
        <f t="shared" si="128"/>
        <v>1.6752129393115811E-17</v>
      </c>
      <c r="AL69" s="49">
        <f t="shared" si="128"/>
        <v>6.6789168581235484E-17</v>
      </c>
      <c r="AM69" s="49">
        <f t="shared" si="128"/>
        <v>1.2377983708109589E-16</v>
      </c>
      <c r="AN69" s="49">
        <f t="shared" si="128"/>
        <v>9.8463920956823346E-18</v>
      </c>
      <c r="AO69" s="60">
        <f>IFERROR(AO24/$B55,0)</f>
        <v>0</v>
      </c>
      <c r="AP69" s="60">
        <f>IFERROR(AP24/$B55,0)</f>
        <v>49965826830987.688</v>
      </c>
      <c r="AQ69" s="60">
        <f t="shared" si="129"/>
        <v>49965826830987.695</v>
      </c>
      <c r="AR69" s="71">
        <f>IFERROR(s_RadSpec!$F$24*AR24,".")*$B$69</f>
        <v>0</v>
      </c>
      <c r="AS69" s="71">
        <f>IFERROR(s_RadSpec!$K$24*AS24,".")*$B$69</f>
        <v>1.0006839308219179E-18</v>
      </c>
      <c r="AT69" s="49">
        <f t="shared" si="130"/>
        <v>0</v>
      </c>
      <c r="AU69" s="49">
        <f t="shared" si="130"/>
        <v>1.0006839308219179E-18</v>
      </c>
      <c r="AV69" s="49">
        <f t="shared" si="131"/>
        <v>1.0006839308219179E-18</v>
      </c>
      <c r="AW69" s="60">
        <f>IFERROR(AW24/$B55,0)</f>
        <v>0</v>
      </c>
      <c r="AX69" s="60">
        <f>IFERROR(AX24/$B55,0)</f>
        <v>1.4376760882019012E+16</v>
      </c>
      <c r="AY69" s="63">
        <f>IFERROR(AY24/$B55,0)</f>
        <v>0</v>
      </c>
      <c r="AZ69" s="63">
        <f>IFERROR(AZ24/$B55,0)</f>
        <v>0</v>
      </c>
      <c r="BA69" s="244">
        <f t="shared" si="51"/>
        <v>0</v>
      </c>
      <c r="BB69" s="244">
        <f t="shared" si="52"/>
        <v>6.9556696964383555E-17</v>
      </c>
      <c r="BC69" s="244">
        <f t="shared" si="53"/>
        <v>0</v>
      </c>
      <c r="BD69" s="244">
        <f t="shared" si="54"/>
        <v>0</v>
      </c>
      <c r="BE69" s="63">
        <f t="shared" si="148"/>
        <v>1.4376760882019012E+16</v>
      </c>
      <c r="BF69" s="71">
        <f>IFERROR(s_RadSpec!$I$24*BF24,".")*$B$69</f>
        <v>0</v>
      </c>
      <c r="BG69" s="71">
        <f>IFERROR(s_RadSpec!$M$24*BG24,".")*$B$69</f>
        <v>3.4778348482191779E-21</v>
      </c>
      <c r="BH69" s="71">
        <f>IFERROR(s_RadSpec!$H$24*BH24,".")*$B$69</f>
        <v>0</v>
      </c>
      <c r="BI69" s="71">
        <f>IFERROR(s_RadSpec!$H$24*BI24,".")*$B$69</f>
        <v>0</v>
      </c>
      <c r="BJ69" s="49">
        <f t="shared" si="132"/>
        <v>0</v>
      </c>
      <c r="BK69" s="49">
        <f t="shared" si="133"/>
        <v>3.4778348482191779E-21</v>
      </c>
      <c r="BL69" s="49">
        <f t="shared" si="134"/>
        <v>0</v>
      </c>
      <c r="BM69" s="49">
        <f t="shared" si="135"/>
        <v>0</v>
      </c>
      <c r="BN69" s="49">
        <f t="shared" si="136"/>
        <v>3.4778348482191779E-21</v>
      </c>
      <c r="BO69" s="63">
        <f t="shared" ref="BO69:BP69" si="151">IFERROR(BO24/$B55,0)</f>
        <v>0</v>
      </c>
      <c r="BP69" s="63">
        <f t="shared" si="151"/>
        <v>0</v>
      </c>
      <c r="BQ69" s="71">
        <f>IFERROR(s_RadSpec!$H$24*BQ24,".")*$B$69</f>
        <v>0</v>
      </c>
      <c r="BR69" s="71">
        <f>IFERROR(s_RadSpec!$H$24*BR24,".")*$B$69</f>
        <v>0</v>
      </c>
      <c r="BS69" s="49">
        <f t="shared" si="138"/>
        <v>0</v>
      </c>
      <c r="BT69" s="49">
        <f t="shared" si="139"/>
        <v>0</v>
      </c>
    </row>
    <row r="70" spans="1:72" x14ac:dyDescent="0.25">
      <c r="A70" s="48" t="s">
        <v>1091</v>
      </c>
      <c r="B70" s="45">
        <v>0.99979000004200003</v>
      </c>
      <c r="C70" s="178"/>
      <c r="D70" s="60">
        <f>IFERROR(D20/$B56,0)</f>
        <v>0</v>
      </c>
      <c r="E70" s="60">
        <f>IFERROR(E20/$B56,0)</f>
        <v>0</v>
      </c>
      <c r="F70" s="60">
        <f>IFERROR(F20/$B56,0)</f>
        <v>466458.00103321346</v>
      </c>
      <c r="G70" s="63">
        <f>IFERROR(G20/$B56,0)</f>
        <v>0</v>
      </c>
      <c r="H70" s="63">
        <f>IFERROR(H20/$B56,0)</f>
        <v>0</v>
      </c>
      <c r="I70" s="244">
        <f t="shared" si="142"/>
        <v>0</v>
      </c>
      <c r="J70" s="244">
        <f t="shared" si="143"/>
        <v>0</v>
      </c>
      <c r="K70" s="244">
        <f t="shared" si="144"/>
        <v>2.1438157300013737E-6</v>
      </c>
      <c r="L70" s="244">
        <f t="shared" si="145"/>
        <v>0</v>
      </c>
      <c r="M70" s="244">
        <f t="shared" si="146"/>
        <v>0</v>
      </c>
      <c r="N70" s="63">
        <f t="shared" si="147"/>
        <v>466458.00103321346</v>
      </c>
      <c r="O70" s="71">
        <f>IFERROR(s_RadSpec!$E$20*O20,".")*$B$70</f>
        <v>0</v>
      </c>
      <c r="P70" s="71">
        <f>IFERROR(s_RadSpec!$F$20*$P$20,".")*B70</f>
        <v>0</v>
      </c>
      <c r="Q70" s="71">
        <f>IFERROR(s_RadSpec!$G$20*$Q$20,".")*B70</f>
        <v>1.0719078650006869E-10</v>
      </c>
      <c r="R70" s="71">
        <f>IFERROR(s_RadSpec!$H$20*R20,".")*$B$70</f>
        <v>0</v>
      </c>
      <c r="S70" s="71">
        <f>IFERROR(s_RadSpec!$H$20*S20,".")*$B$70</f>
        <v>0</v>
      </c>
      <c r="T70" s="49">
        <f t="shared" si="123"/>
        <v>0</v>
      </c>
      <c r="U70" s="49">
        <f t="shared" si="124"/>
        <v>0</v>
      </c>
      <c r="V70" s="49">
        <f t="shared" si="125"/>
        <v>1.0719078650006869E-10</v>
      </c>
      <c r="W70" s="49">
        <f t="shared" si="126"/>
        <v>0</v>
      </c>
      <c r="X70" s="49">
        <f t="shared" si="127"/>
        <v>0</v>
      </c>
      <c r="Y70" s="49">
        <f t="shared" si="45"/>
        <v>1.0719078650006869E-10</v>
      </c>
      <c r="Z70" s="60">
        <f>IFERROR(Z20/$B56,0)</f>
        <v>466458.00103321346</v>
      </c>
      <c r="AA70" s="60">
        <f>IFERROR(AA20/$B56,0)</f>
        <v>4650226.5246433476</v>
      </c>
      <c r="AB70" s="60">
        <f>IFERROR(AB20/$B56,0)</f>
        <v>1154344.3907067061</v>
      </c>
      <c r="AC70" s="60">
        <f>IFERROR(AC20/$B56,0)</f>
        <v>617117.21133585006</v>
      </c>
      <c r="AD70" s="60">
        <f>IFERROR(AD20/$B56,0)</f>
        <v>8133116.150045583</v>
      </c>
      <c r="AE70" s="71">
        <f>IFERROR(s_RadSpec!$G$20*AE20,".")*$B$70</f>
        <v>1.0719078650006869E-10</v>
      </c>
      <c r="AF70" s="71">
        <f>IFERROR(s_RadSpec!$N$20*AF20,".")*$B$70</f>
        <v>1.0752164380601822E-11</v>
      </c>
      <c r="AG70" s="71">
        <f>IFERROR(s_RadSpec!$O$20*AG20,".")*$B$70</f>
        <v>4.3314629847500977E-11</v>
      </c>
      <c r="AH70" s="71">
        <f>IFERROR(s_RadSpec!$P$20*AH20,".")*$B$70</f>
        <v>8.1021885440153083E-11</v>
      </c>
      <c r="AI70" s="71">
        <f>IFERROR(s_RadSpec!$L$20*AI20,".")*$B$70</f>
        <v>6.147705144936331E-12</v>
      </c>
      <c r="AJ70" s="49">
        <f t="shared" si="128"/>
        <v>1.0719078650006869E-10</v>
      </c>
      <c r="AK70" s="49">
        <f t="shared" si="128"/>
        <v>1.0752164380601822E-11</v>
      </c>
      <c r="AL70" s="49">
        <f t="shared" si="128"/>
        <v>4.3314629847500977E-11</v>
      </c>
      <c r="AM70" s="49">
        <f t="shared" si="128"/>
        <v>8.1021885440153083E-11</v>
      </c>
      <c r="AN70" s="49">
        <f t="shared" si="128"/>
        <v>6.147705144936331E-12</v>
      </c>
      <c r="AO70" s="60">
        <f>IFERROR(AO20/$B56,0)</f>
        <v>0</v>
      </c>
      <c r="AP70" s="60">
        <f>IFERROR(AP20/$B56,0)</f>
        <v>89173437.038030326</v>
      </c>
      <c r="AQ70" s="60">
        <f t="shared" si="129"/>
        <v>89173437.038030326</v>
      </c>
      <c r="AR70" s="71">
        <f>IFERROR(s_RadSpec!$F$20*AR20,".")*$B$70</f>
        <v>0</v>
      </c>
      <c r="AS70" s="71">
        <f>IFERROR(s_RadSpec!$K$20*AS20,".")*$B$70</f>
        <v>5.6070508955123276E-13</v>
      </c>
      <c r="AT70" s="49">
        <f t="shared" si="130"/>
        <v>0</v>
      </c>
      <c r="AU70" s="49">
        <f t="shared" si="130"/>
        <v>5.6070508955123276E-13</v>
      </c>
      <c r="AV70" s="49">
        <f t="shared" si="131"/>
        <v>5.6070508955123276E-13</v>
      </c>
      <c r="AW70" s="60">
        <f>IFERROR(AW20/$B56,0)</f>
        <v>0</v>
      </c>
      <c r="AX70" s="60">
        <f>IFERROR(AX20/$B56,0)</f>
        <v>25723106837.893364</v>
      </c>
      <c r="AY70" s="63">
        <f>IFERROR(AY20/$B56,0)</f>
        <v>0</v>
      </c>
      <c r="AZ70" s="63">
        <f>IFERROR(AZ20/$B56,0)</f>
        <v>0</v>
      </c>
      <c r="BA70" s="244">
        <f t="shared" si="51"/>
        <v>0</v>
      </c>
      <c r="BB70" s="244">
        <f t="shared" si="52"/>
        <v>3.8875552875552128E-11</v>
      </c>
      <c r="BC70" s="244">
        <f t="shared" si="53"/>
        <v>0</v>
      </c>
      <c r="BD70" s="244">
        <f t="shared" si="54"/>
        <v>0</v>
      </c>
      <c r="BE70" s="63">
        <f t="shared" si="148"/>
        <v>25723106837.893364</v>
      </c>
      <c r="BF70" s="71">
        <f>IFERROR(s_RadSpec!$I$20*BF20,".")*$B$70</f>
        <v>0</v>
      </c>
      <c r="BG70" s="71">
        <f>IFERROR(s_RadSpec!$M$20*BG20,".")*$B$70</f>
        <v>1.9437776437776062E-15</v>
      </c>
      <c r="BH70" s="71">
        <f>IFERROR(s_RadSpec!$H$20*BH20,".")*$B$70</f>
        <v>0</v>
      </c>
      <c r="BI70" s="71">
        <f>IFERROR(s_RadSpec!$H$20*BI20,".")*$B$70</f>
        <v>0</v>
      </c>
      <c r="BJ70" s="49">
        <f t="shared" si="132"/>
        <v>0</v>
      </c>
      <c r="BK70" s="49">
        <f t="shared" si="133"/>
        <v>1.9437776437776062E-15</v>
      </c>
      <c r="BL70" s="49">
        <f t="shared" si="134"/>
        <v>0</v>
      </c>
      <c r="BM70" s="49">
        <f t="shared" si="135"/>
        <v>0</v>
      </c>
      <c r="BN70" s="49">
        <f t="shared" si="136"/>
        <v>1.9437776437776062E-15</v>
      </c>
      <c r="BO70" s="63">
        <f t="shared" ref="BO70:BP70" si="152">IFERROR(BO20/$B56,0)</f>
        <v>0</v>
      </c>
      <c r="BP70" s="63">
        <f t="shared" si="152"/>
        <v>0</v>
      </c>
      <c r="BQ70" s="71">
        <f>IFERROR(s_RadSpec!$H$20*BQ20,".")*$B$70</f>
        <v>0</v>
      </c>
      <c r="BR70" s="71">
        <f>IFERROR(s_RadSpec!$H$20*BR20,".")*$B$70</f>
        <v>0</v>
      </c>
      <c r="BS70" s="49">
        <f t="shared" si="138"/>
        <v>0</v>
      </c>
      <c r="BT70" s="49">
        <f t="shared" si="139"/>
        <v>0</v>
      </c>
    </row>
    <row r="71" spans="1:72" x14ac:dyDescent="0.25">
      <c r="A71" s="48" t="s">
        <v>1092</v>
      </c>
      <c r="B71" s="45">
        <v>2.0999995799999999E-4</v>
      </c>
      <c r="C71" s="178"/>
      <c r="D71" s="60">
        <f>IFERROR(D29/$B57,0)</f>
        <v>0</v>
      </c>
      <c r="E71" s="60">
        <f>IFERROR(E29/$B57,0)</f>
        <v>0</v>
      </c>
      <c r="F71" s="60">
        <f>IFERROR(F29/$B57,0)</f>
        <v>50155.775856986278</v>
      </c>
      <c r="G71" s="63">
        <f>IFERROR(G29/$B57,0)</f>
        <v>0</v>
      </c>
      <c r="H71" s="63">
        <f>IFERROR(H29/$B57,0)</f>
        <v>0</v>
      </c>
      <c r="I71" s="244">
        <f t="shared" si="142"/>
        <v>0</v>
      </c>
      <c r="J71" s="244">
        <f t="shared" si="143"/>
        <v>0</v>
      </c>
      <c r="K71" s="244">
        <f t="shared" si="144"/>
        <v>1.9937883183212855E-5</v>
      </c>
      <c r="L71" s="244">
        <f t="shared" si="145"/>
        <v>0</v>
      </c>
      <c r="M71" s="244">
        <f t="shared" si="146"/>
        <v>0</v>
      </c>
      <c r="N71" s="63">
        <f t="shared" si="147"/>
        <v>50155.775856986278</v>
      </c>
      <c r="O71" s="71">
        <f>IFERROR(s_RadSpec!$E$29*O29,".")*$B$71</f>
        <v>0</v>
      </c>
      <c r="P71" s="71">
        <f>IFERROR(s_RadSpec!$F$29*$P$29,".")*B71</f>
        <v>0</v>
      </c>
      <c r="Q71" s="71">
        <f>IFERROR(s_RadSpec!$G$29*$Q$29,".")*B71</f>
        <v>9.9689415916064306E-10</v>
      </c>
      <c r="R71" s="71">
        <f>IFERROR(s_RadSpec!$H$29*R29,".")*$B$71</f>
        <v>0</v>
      </c>
      <c r="S71" s="71">
        <f>IFERROR(s_RadSpec!$H$29*S29,".")*$B$71</f>
        <v>0</v>
      </c>
      <c r="T71" s="49">
        <f t="shared" si="123"/>
        <v>0</v>
      </c>
      <c r="U71" s="49">
        <f t="shared" si="124"/>
        <v>0</v>
      </c>
      <c r="V71" s="49">
        <f t="shared" si="125"/>
        <v>9.9689415916064306E-10</v>
      </c>
      <c r="W71" s="49">
        <f t="shared" si="126"/>
        <v>0</v>
      </c>
      <c r="X71" s="49">
        <f t="shared" si="127"/>
        <v>0</v>
      </c>
      <c r="Y71" s="49">
        <f t="shared" si="45"/>
        <v>9.9689415916064306E-10</v>
      </c>
      <c r="Z71" s="60">
        <f>IFERROR(Z29/$B57,0)</f>
        <v>50155.775856986278</v>
      </c>
      <c r="AA71" s="60">
        <f>IFERROR(AA29/$B57,0)</f>
        <v>540868.15517507214</v>
      </c>
      <c r="AB71" s="60">
        <f>IFERROR(AB29/$B57,0)</f>
        <v>134505.29938105785</v>
      </c>
      <c r="AC71" s="60">
        <f>IFERROR(AC29/$B57,0)</f>
        <v>71482.471592213566</v>
      </c>
      <c r="AD71" s="60">
        <f>IFERROR(AD29/$B57,0)</f>
        <v>1003285.7791257967</v>
      </c>
      <c r="AE71" s="71">
        <f>IFERROR(s_RadSpec!$G$29*AE29,".")*$B$71</f>
        <v>9.9689415916064306E-10</v>
      </c>
      <c r="AF71" s="71">
        <f>IFERROR(s_RadSpec!$N$29*AF29,".")*$B$71</f>
        <v>9.244397090417652E-11</v>
      </c>
      <c r="AG71" s="71">
        <f>IFERROR(s_RadSpec!$O$29*AG29,".")*$B$71</f>
        <v>3.7173256540880509E-10</v>
      </c>
      <c r="AH71" s="71">
        <f>IFERROR(s_RadSpec!$P$29*AH29,".")*$B$71</f>
        <v>6.9947217669298388E-10</v>
      </c>
      <c r="AI71" s="71">
        <f>IFERROR(s_RadSpec!$L$29*AI29,".")*$B$71</f>
        <v>4.9836249093022152E-11</v>
      </c>
      <c r="AJ71" s="49">
        <f t="shared" si="128"/>
        <v>9.9689415916064306E-10</v>
      </c>
      <c r="AK71" s="49">
        <f t="shared" si="128"/>
        <v>9.244397090417652E-11</v>
      </c>
      <c r="AL71" s="49">
        <f t="shared" si="128"/>
        <v>3.7173256540880509E-10</v>
      </c>
      <c r="AM71" s="49">
        <f t="shared" si="128"/>
        <v>6.9947217669298388E-10</v>
      </c>
      <c r="AN71" s="49">
        <f t="shared" si="128"/>
        <v>4.9836249093022152E-11</v>
      </c>
      <c r="AO71" s="60">
        <f>IFERROR(AO29/$B57,0)</f>
        <v>0</v>
      </c>
      <c r="AP71" s="60">
        <f>IFERROR(AP29/$B57,0)</f>
        <v>12255771.296490857</v>
      </c>
      <c r="AQ71" s="60">
        <f t="shared" si="129"/>
        <v>12255771.296490857</v>
      </c>
      <c r="AR71" s="71">
        <f>IFERROR(s_RadSpec!$F$29*AR29,".")*$B$71</f>
        <v>0</v>
      </c>
      <c r="AS71" s="71">
        <f>IFERROR(s_RadSpec!$K$29*AS29,".")*$B$71</f>
        <v>4.0797105943316913E-12</v>
      </c>
      <c r="AT71" s="49">
        <f t="shared" si="130"/>
        <v>0</v>
      </c>
      <c r="AU71" s="49">
        <f t="shared" si="130"/>
        <v>4.0797105943316913E-12</v>
      </c>
      <c r="AV71" s="49">
        <f t="shared" si="131"/>
        <v>4.0797105943316913E-12</v>
      </c>
      <c r="AW71" s="60">
        <f>IFERROR(AW29/$B57,0)</f>
        <v>0</v>
      </c>
      <c r="AX71" s="60">
        <f>IFERROR(AX29/$B57,0)</f>
        <v>3530194993.0109549</v>
      </c>
      <c r="AY71" s="63">
        <f>IFERROR(AY29/$B57,0)</f>
        <v>0</v>
      </c>
      <c r="AZ71" s="63">
        <f>IFERROR(AZ29/$B57,0)</f>
        <v>0</v>
      </c>
      <c r="BA71" s="244">
        <f t="shared" si="51"/>
        <v>0</v>
      </c>
      <c r="BB71" s="244">
        <f t="shared" si="52"/>
        <v>2.8327047145548335E-10</v>
      </c>
      <c r="BC71" s="244">
        <f t="shared" si="53"/>
        <v>0</v>
      </c>
      <c r="BD71" s="244">
        <f t="shared" si="54"/>
        <v>0</v>
      </c>
      <c r="BE71" s="63">
        <f t="shared" si="148"/>
        <v>3530194993.0109553</v>
      </c>
      <c r="BF71" s="71">
        <f>IFERROR(s_RadSpec!$I$29*BF29,".")*$B$71</f>
        <v>0</v>
      </c>
      <c r="BG71" s="71">
        <f>IFERROR(s_RadSpec!$M$29*BG29,".")*$B$71</f>
        <v>1.4163523572774169E-14</v>
      </c>
      <c r="BH71" s="71">
        <f>IFERROR(s_RadSpec!$H$29*BH29,".")*$B$71</f>
        <v>0</v>
      </c>
      <c r="BI71" s="71">
        <f>IFERROR(s_RadSpec!$H$29*BI29,".")*$B$71</f>
        <v>0</v>
      </c>
      <c r="BJ71" s="49">
        <f t="shared" si="132"/>
        <v>0</v>
      </c>
      <c r="BK71" s="49">
        <f t="shared" si="133"/>
        <v>1.4163523572774169E-14</v>
      </c>
      <c r="BL71" s="49">
        <f t="shared" si="134"/>
        <v>0</v>
      </c>
      <c r="BM71" s="49">
        <f t="shared" si="135"/>
        <v>0</v>
      </c>
      <c r="BN71" s="49">
        <f t="shared" si="136"/>
        <v>1.4163523572774169E-14</v>
      </c>
      <c r="BO71" s="63">
        <f t="shared" ref="BO71:BP71" si="153">IFERROR(BO29/$B57,0)</f>
        <v>0</v>
      </c>
      <c r="BP71" s="63">
        <f t="shared" si="153"/>
        <v>0</v>
      </c>
      <c r="BQ71" s="71">
        <f>IFERROR(s_RadSpec!$H$29*BQ29,".")*$B$71</f>
        <v>0</v>
      </c>
      <c r="BR71" s="71">
        <f>IFERROR(s_RadSpec!$H$29*BR29,".")*$B$71</f>
        <v>0</v>
      </c>
      <c r="BS71" s="49">
        <f t="shared" si="138"/>
        <v>0</v>
      </c>
      <c r="BT71" s="49">
        <f t="shared" si="139"/>
        <v>0</v>
      </c>
    </row>
    <row r="72" spans="1:72" x14ac:dyDescent="0.25">
      <c r="A72" s="48" t="s">
        <v>1093</v>
      </c>
      <c r="B72" s="45">
        <v>1</v>
      </c>
      <c r="C72" s="178"/>
      <c r="D72" s="60">
        <f>IFERROR(D16/$B58,0)</f>
        <v>96.277525744610386</v>
      </c>
      <c r="E72" s="60">
        <f>IFERROR(E16/$B58,0)</f>
        <v>97334.838568458756</v>
      </c>
      <c r="F72" s="60">
        <f>IFERROR(F16/$B58,0)</f>
        <v>2579238396.942708</v>
      </c>
      <c r="G72" s="63">
        <f>IFERROR(G16/$B58,0)</f>
        <v>1362.4914573664912</v>
      </c>
      <c r="H72" s="63">
        <f>IFERROR(H16/$B58,0)</f>
        <v>0</v>
      </c>
      <c r="I72" s="244">
        <f t="shared" si="142"/>
        <v>1.0386639999999999E-2</v>
      </c>
      <c r="J72" s="244">
        <f t="shared" si="143"/>
        <v>1.0273813720836116E-5</v>
      </c>
      <c r="K72" s="244">
        <f t="shared" si="144"/>
        <v>3.8771134967025413E-10</v>
      </c>
      <c r="L72" s="244">
        <f t="shared" si="145"/>
        <v>7.339495558620695E-4</v>
      </c>
      <c r="M72" s="244">
        <f t="shared" si="146"/>
        <v>0</v>
      </c>
      <c r="N72" s="63">
        <f t="shared" si="147"/>
        <v>89.840287492934436</v>
      </c>
      <c r="O72" s="71">
        <f>IFERROR(s_RadSpec!$E$16*O16,".")*$B$72</f>
        <v>5.1933199999999998E-7</v>
      </c>
      <c r="P72" s="71">
        <f>IFERROR(s_RadSpec!$F$16*$P$16,".")*B72</f>
        <v>5.1369068604180582E-10</v>
      </c>
      <c r="Q72" s="71">
        <f>IFERROR(s_RadSpec!$G$16*$Q$16,".")*B72</f>
        <v>1.9385567483512709E-14</v>
      </c>
      <c r="R72" s="71">
        <f>IFERROR(s_RadSpec!$H$16*R16,".")*$B$72</f>
        <v>3.6697477793103469E-8</v>
      </c>
      <c r="S72" s="71">
        <f>IFERROR(s_RadSpec!$H$16*S16,".")*$B$72</f>
        <v>0</v>
      </c>
      <c r="T72" s="49">
        <f t="shared" si="123"/>
        <v>5.1933199999999998E-7</v>
      </c>
      <c r="U72" s="49">
        <f t="shared" si="124"/>
        <v>5.1369068604180582E-10</v>
      </c>
      <c r="V72" s="49">
        <f t="shared" si="125"/>
        <v>1.9385567483512709E-14</v>
      </c>
      <c r="W72" s="49">
        <f t="shared" si="126"/>
        <v>3.6697477793103469E-8</v>
      </c>
      <c r="X72" s="49">
        <f t="shared" si="127"/>
        <v>0</v>
      </c>
      <c r="Y72" s="49">
        <f t="shared" si="45"/>
        <v>5.5654318786471269E-7</v>
      </c>
      <c r="Z72" s="60">
        <f>IFERROR(Z16/$B58,0)</f>
        <v>2579238396.942708</v>
      </c>
      <c r="AA72" s="60">
        <f>IFERROR(AA16/$B58,0)</f>
        <v>7149251915.5073071</v>
      </c>
      <c r="AB72" s="60">
        <f>IFERROR(AB16/$B58,0)</f>
        <v>2790278935.7777948</v>
      </c>
      <c r="AC72" s="60">
        <f>IFERROR(AC16/$B58,0)</f>
        <v>2773778206.345232</v>
      </c>
      <c r="AD72" s="60">
        <f>IFERROR(AD16/$B58,0)</f>
        <v>92793678400.405716</v>
      </c>
      <c r="AE72" s="71">
        <f>IFERROR(s_RadSpec!$G$16*AE16,".")*$B$72</f>
        <v>1.9385567483512709E-14</v>
      </c>
      <c r="AF72" s="71">
        <f>IFERROR(s_RadSpec!$N$16*AF16,".")*$B$72</f>
        <v>6.9937387283200846E-15</v>
      </c>
      <c r="AG72" s="71">
        <f>IFERROR(s_RadSpec!$O$16*AG16,".")*$B$72</f>
        <v>1.7919355430342459E-14</v>
      </c>
      <c r="AH72" s="71">
        <f>IFERROR(s_RadSpec!$P$16*AH16,".")*$B$72</f>
        <v>1.802595459349314E-14</v>
      </c>
      <c r="AI72" s="71">
        <f>IFERROR(s_RadSpec!$L$16*AI16,".")*$B$72</f>
        <v>5.3882980890410956E-16</v>
      </c>
      <c r="AJ72" s="49">
        <f t="shared" si="128"/>
        <v>1.9385567483512709E-14</v>
      </c>
      <c r="AK72" s="49">
        <f t="shared" si="128"/>
        <v>6.9937387283200846E-15</v>
      </c>
      <c r="AL72" s="49">
        <f t="shared" si="128"/>
        <v>1.7919355430342459E-14</v>
      </c>
      <c r="AM72" s="49">
        <f t="shared" si="128"/>
        <v>1.802595459349314E-14</v>
      </c>
      <c r="AN72" s="49">
        <f t="shared" si="128"/>
        <v>5.3882980890410956E-16</v>
      </c>
      <c r="AO72" s="60">
        <f>IFERROR(AO16/$B58,0)</f>
        <v>0.31418213236395059</v>
      </c>
      <c r="AP72" s="60">
        <f>IFERROR(AP16/$B58,0)</f>
        <v>8095353.5459107636</v>
      </c>
      <c r="AQ72" s="60">
        <f t="shared" si="129"/>
        <v>0.3141821201704858</v>
      </c>
      <c r="AR72" s="71">
        <f>IFERROR(s_RadSpec!$F$16*AR16,".")*$B$72</f>
        <v>1.5914335937499999E-4</v>
      </c>
      <c r="AS72" s="71">
        <f>IFERROR(s_RadSpec!$K$16*AS16,".")*$B$72</f>
        <v>6.1763825034246576E-12</v>
      </c>
      <c r="AT72" s="49">
        <f t="shared" si="130"/>
        <v>1.5914335937499999E-4</v>
      </c>
      <c r="AU72" s="49">
        <f t="shared" si="130"/>
        <v>6.1763825034246576E-12</v>
      </c>
      <c r="AV72" s="49">
        <f t="shared" si="131"/>
        <v>1.591433655513825E-4</v>
      </c>
      <c r="AW72" s="60">
        <f>IFERROR(AW16/$B58,0)</f>
        <v>1.2850431260473103</v>
      </c>
      <c r="AX72" s="60">
        <f>IFERROR(AX16/$B58,0)</f>
        <v>2191624473.7885022</v>
      </c>
      <c r="AY72" s="63">
        <f>IFERROR(AY16/$B58,0)</f>
        <v>5518873.4434017446</v>
      </c>
      <c r="AZ72" s="63">
        <f>IFERROR(AZ16/$B58,0)</f>
        <v>0</v>
      </c>
      <c r="BA72" s="244">
        <f t="shared" si="51"/>
        <v>0.77818399999999988</v>
      </c>
      <c r="BB72" s="244">
        <f t="shared" si="52"/>
        <v>4.5628254838356158E-10</v>
      </c>
      <c r="BC72" s="244">
        <f t="shared" si="53"/>
        <v>1.8119640000000002E-7</v>
      </c>
      <c r="BD72" s="244">
        <f t="shared" si="54"/>
        <v>0</v>
      </c>
      <c r="BE72" s="63">
        <f t="shared" si="148"/>
        <v>1.285042826077796</v>
      </c>
      <c r="BF72" s="71">
        <f>IFERROR(s_RadSpec!$I$16*BF16,".")*$B$72</f>
        <v>3.8909200000000003E-5</v>
      </c>
      <c r="BG72" s="71">
        <f>IFERROR(s_RadSpec!$M$16*BG16,".")*$B$72</f>
        <v>2.2814127419178081E-14</v>
      </c>
      <c r="BH72" s="71">
        <f>IFERROR(s_RadSpec!$H$16*BH16,".")*$B$72</f>
        <v>9.0598200000000001E-12</v>
      </c>
      <c r="BI72" s="71">
        <f>IFERROR(s_RadSpec!$H$16*BI16,".")*$B$72</f>
        <v>0</v>
      </c>
      <c r="BJ72" s="49">
        <f t="shared" si="132"/>
        <v>3.8909200000000003E-5</v>
      </c>
      <c r="BK72" s="49">
        <f t="shared" si="133"/>
        <v>2.2814127419178081E-14</v>
      </c>
      <c r="BL72" s="49">
        <f t="shared" si="134"/>
        <v>9.0598200000000001E-12</v>
      </c>
      <c r="BM72" s="49">
        <f t="shared" si="135"/>
        <v>0</v>
      </c>
      <c r="BN72" s="49">
        <f t="shared" si="136"/>
        <v>3.8909200022814131E-5</v>
      </c>
      <c r="BO72" s="63">
        <f t="shared" ref="BO72:BP72" si="154">IFERROR(BO16/$B58,0)</f>
        <v>7.7264228207624424</v>
      </c>
      <c r="BP72" s="63">
        <f t="shared" si="154"/>
        <v>7.7264228207624424</v>
      </c>
      <c r="BQ72" s="71">
        <f>IFERROR(s_RadSpec!$H$16*BQ16,".")*$B$72</f>
        <v>6.4713000000000002E-6</v>
      </c>
      <c r="BR72" s="71">
        <f>IFERROR(s_RadSpec!$H$16*BR16,".")*$B$72</f>
        <v>6.4713000000000002E-6</v>
      </c>
      <c r="BS72" s="49">
        <f t="shared" si="138"/>
        <v>6.4713000000000002E-6</v>
      </c>
      <c r="BT72" s="49">
        <f t="shared" si="139"/>
        <v>6.4713000000000002E-6</v>
      </c>
    </row>
    <row r="73" spans="1:72" x14ac:dyDescent="0.25">
      <c r="A73" s="48" t="s">
        <v>1094</v>
      </c>
      <c r="B73" s="45">
        <v>1</v>
      </c>
      <c r="C73" s="178"/>
      <c r="D73" s="60">
        <f>IFERROR(D7/$B59,0)</f>
        <v>6883.3238744991095</v>
      </c>
      <c r="E73" s="60">
        <f>IFERROR(E7/$B59,0)</f>
        <v>3394849.2476316104</v>
      </c>
      <c r="F73" s="60">
        <f>IFERROR(F7/$B59,0)</f>
        <v>165944.89932919262</v>
      </c>
      <c r="G73" s="63">
        <f>IFERROR(G7/$B59,0)</f>
        <v>29083.835902017723</v>
      </c>
      <c r="H73" s="63">
        <f>IFERROR(H7/$B59,0)</f>
        <v>0</v>
      </c>
      <c r="I73" s="244">
        <f t="shared" si="142"/>
        <v>1.4527864999999999E-4</v>
      </c>
      <c r="J73" s="244">
        <f t="shared" si="143"/>
        <v>2.9456388989809843E-7</v>
      </c>
      <c r="K73" s="244">
        <f t="shared" si="144"/>
        <v>6.026096638356166E-6</v>
      </c>
      <c r="L73" s="244">
        <f t="shared" si="145"/>
        <v>3.4383359999999997E-5</v>
      </c>
      <c r="M73" s="244">
        <f t="shared" si="146"/>
        <v>0</v>
      </c>
      <c r="N73" s="63">
        <f t="shared" si="147"/>
        <v>5376.8450423884051</v>
      </c>
      <c r="O73" s="71">
        <f>IFERROR(s_RadSpec!$E$7*O7,".")*$B$73</f>
        <v>7.2639324999999997E-9</v>
      </c>
      <c r="P73" s="71">
        <f>IFERROR(s_RadSpec!$F$7*$P$7,".")*B73</f>
        <v>1.4728194494904925E-11</v>
      </c>
      <c r="Q73" s="71">
        <f>IFERROR(s_RadSpec!$G$7*$Q$7,".")*B73</f>
        <v>3.0130483191780826E-10</v>
      </c>
      <c r="R73" s="71">
        <f>IFERROR(s_RadSpec!$H$7*R7,".")*$B$73</f>
        <v>1.719168E-9</v>
      </c>
      <c r="S73" s="71">
        <f>IFERROR(s_RadSpec!$H$7*S7,".")*$B$73</f>
        <v>0</v>
      </c>
      <c r="T73" s="49">
        <f t="shared" si="123"/>
        <v>7.2639324999999997E-9</v>
      </c>
      <c r="U73" s="49">
        <f t="shared" si="124"/>
        <v>1.4728194494904925E-11</v>
      </c>
      <c r="V73" s="49">
        <f t="shared" si="125"/>
        <v>3.0130483191780826E-10</v>
      </c>
      <c r="W73" s="49">
        <f t="shared" si="126"/>
        <v>1.719168E-9</v>
      </c>
      <c r="X73" s="49">
        <f t="shared" si="127"/>
        <v>0</v>
      </c>
      <c r="Y73" s="49">
        <f t="shared" si="45"/>
        <v>9.299133526412713E-9</v>
      </c>
      <c r="Z73" s="60">
        <f>IFERROR(Z7/$B59,0)</f>
        <v>165944.89932919262</v>
      </c>
      <c r="AA73" s="60">
        <f>IFERROR(AA7/$B59,0)</f>
        <v>765258.1002249415</v>
      </c>
      <c r="AB73" s="60">
        <f>IFERROR(AB7/$B59,0)</f>
        <v>260447.30986862781</v>
      </c>
      <c r="AC73" s="60">
        <f>IFERROR(AC7/$B59,0)</f>
        <v>183335.43435043469</v>
      </c>
      <c r="AD73" s="60">
        <f>IFERROR(AD7/$B59,0)</f>
        <v>259255.42796089043</v>
      </c>
      <c r="AE73" s="71">
        <f>IFERROR(s_RadSpec!$G$7*AE7,".")*$B$73</f>
        <v>3.0130483191780826E-10</v>
      </c>
      <c r="AF73" s="71">
        <f>IFERROR(s_RadSpec!$N$7*AF7,".")*$B$73</f>
        <v>6.5337433194503781E-11</v>
      </c>
      <c r="AG73" s="71">
        <f>IFERROR(s_RadSpec!$O$7*AG7,".")*$B$73</f>
        <v>1.9197741003821656E-10</v>
      </c>
      <c r="AH73" s="71">
        <f>IFERROR(s_RadSpec!$P$7*AH7,".")*$B$73</f>
        <v>2.7272414728310511E-10</v>
      </c>
      <c r="AI73" s="71">
        <f>IFERROR(s_RadSpec!$L$7*AI7,".")*$B$73</f>
        <v>1.9285999291610846E-10</v>
      </c>
      <c r="AJ73" s="49">
        <f t="shared" si="128"/>
        <v>3.0130483191780826E-10</v>
      </c>
      <c r="AK73" s="49">
        <f t="shared" si="128"/>
        <v>6.5337433194503781E-11</v>
      </c>
      <c r="AL73" s="49">
        <f t="shared" si="128"/>
        <v>1.9197741003821656E-10</v>
      </c>
      <c r="AM73" s="49">
        <f t="shared" si="128"/>
        <v>2.7272414728310511E-10</v>
      </c>
      <c r="AN73" s="49">
        <f t="shared" si="128"/>
        <v>1.9285999291610846E-10</v>
      </c>
      <c r="AO73" s="60">
        <f>IFERROR(AO7/$B59,0)</f>
        <v>10.958059738547544</v>
      </c>
      <c r="AP73" s="60">
        <f>IFERROR(AP7/$B59,0)</f>
        <v>6022371.1809534831</v>
      </c>
      <c r="AQ73" s="60">
        <f t="shared" si="129"/>
        <v>10.958039799747503</v>
      </c>
      <c r="AR73" s="71">
        <f>IFERROR(s_RadSpec!$F$7*AR7,".")*$B$73</f>
        <v>4.5628515624999995E-6</v>
      </c>
      <c r="AS73" s="71">
        <f>IFERROR(s_RadSpec!$K$7*AS7,".")*$B$73</f>
        <v>8.3023776678082202E-12</v>
      </c>
      <c r="AT73" s="49">
        <f t="shared" si="130"/>
        <v>4.5628515624999995E-6</v>
      </c>
      <c r="AU73" s="49">
        <f t="shared" si="130"/>
        <v>8.3023776678082202E-12</v>
      </c>
      <c r="AV73" s="49">
        <f t="shared" si="131"/>
        <v>4.5628598648776677E-6</v>
      </c>
      <c r="AW73" s="60">
        <f>IFERROR(AW7/$B59,0)</f>
        <v>127.43788677398636</v>
      </c>
      <c r="AX73" s="60">
        <f>IFERROR(AX7/$B59,0)</f>
        <v>2544901254.6379924</v>
      </c>
      <c r="AY73" s="63">
        <f>IFERROR(AY7/$B59,0)</f>
        <v>174503015.41210636</v>
      </c>
      <c r="AZ73" s="63">
        <f>IFERROR(AZ7/$B59,0)</f>
        <v>0</v>
      </c>
      <c r="BA73" s="244">
        <f t="shared" si="51"/>
        <v>7.84696E-3</v>
      </c>
      <c r="BB73" s="244">
        <f t="shared" si="52"/>
        <v>3.9294255452054786E-10</v>
      </c>
      <c r="BC73" s="244">
        <f t="shared" si="53"/>
        <v>5.7305599999999989E-9</v>
      </c>
      <c r="BD73" s="244">
        <f t="shared" si="54"/>
        <v>0</v>
      </c>
      <c r="BE73" s="63">
        <f t="shared" si="148"/>
        <v>127.4377873258413</v>
      </c>
      <c r="BF73" s="71">
        <f>IFERROR(s_RadSpec!$I$7*BF7,".")*$B$73</f>
        <v>3.9234799999999999E-7</v>
      </c>
      <c r="BG73" s="71">
        <f>IFERROR(s_RadSpec!$M$7*BG7,".")*$B$73</f>
        <v>1.9647127726027396E-14</v>
      </c>
      <c r="BH73" s="71">
        <f>IFERROR(s_RadSpec!$H$7*BH7,".")*$B$73</f>
        <v>2.86528E-13</v>
      </c>
      <c r="BI73" s="71">
        <f>IFERROR(s_RadSpec!$H$7*BI7,".")*$B$73</f>
        <v>0</v>
      </c>
      <c r="BJ73" s="49">
        <f t="shared" si="132"/>
        <v>3.9234799999999999E-7</v>
      </c>
      <c r="BK73" s="49">
        <f t="shared" si="133"/>
        <v>1.9647127726027396E-14</v>
      </c>
      <c r="BL73" s="49">
        <f t="shared" si="134"/>
        <v>2.86528E-13</v>
      </c>
      <c r="BM73" s="49">
        <f t="shared" si="135"/>
        <v>0</v>
      </c>
      <c r="BN73" s="49">
        <f t="shared" si="136"/>
        <v>3.9234801964712772E-7</v>
      </c>
      <c r="BO73" s="63">
        <f t="shared" ref="BO73:BP73" si="155">IFERROR(BO7/$B59,0)</f>
        <v>698.0120616484254</v>
      </c>
      <c r="BP73" s="63">
        <f t="shared" si="155"/>
        <v>698.0120616484254</v>
      </c>
      <c r="BQ73" s="71">
        <f>IFERROR(s_RadSpec!$H$7*BQ7,".")*$B$73</f>
        <v>7.1632000000000002E-8</v>
      </c>
      <c r="BR73" s="71">
        <f>IFERROR(s_RadSpec!$H$7*BR7,".")*$B$73</f>
        <v>7.1632000000000002E-8</v>
      </c>
      <c r="BS73" s="49">
        <f t="shared" si="138"/>
        <v>7.1632000000000002E-8</v>
      </c>
      <c r="BT73" s="49">
        <f t="shared" si="139"/>
        <v>7.1632000000000002E-8</v>
      </c>
    </row>
    <row r="74" spans="1:72" x14ac:dyDescent="0.25">
      <c r="A74" s="48" t="s">
        <v>1095</v>
      </c>
      <c r="B74" s="45">
        <v>1.9000000000000001E-8</v>
      </c>
      <c r="C74" s="182"/>
      <c r="D74" s="60">
        <f>IFERROR(D12/$B60,0)</f>
        <v>0</v>
      </c>
      <c r="E74" s="60">
        <f>IFERROR(E12/$B60,0)</f>
        <v>0</v>
      </c>
      <c r="F74" s="60">
        <f>IFERROR(F12/$B60,0)</f>
        <v>38805260470.627167</v>
      </c>
      <c r="G74" s="63">
        <f>IFERROR(G12/$B60,0)</f>
        <v>0</v>
      </c>
      <c r="H74" s="63">
        <f>IFERROR(H12/$B60,0)</f>
        <v>0</v>
      </c>
      <c r="I74" s="244">
        <f t="shared" si="142"/>
        <v>0</v>
      </c>
      <c r="J74" s="244">
        <f t="shared" si="143"/>
        <v>0</v>
      </c>
      <c r="K74" s="244">
        <f t="shared" si="144"/>
        <v>2.5769702042250926E-11</v>
      </c>
      <c r="L74" s="244">
        <f t="shared" si="145"/>
        <v>0</v>
      </c>
      <c r="M74" s="244">
        <f t="shared" si="146"/>
        <v>0</v>
      </c>
      <c r="N74" s="63">
        <f t="shared" si="147"/>
        <v>38805260470.627167</v>
      </c>
      <c r="O74" s="71">
        <f>IFERROR(s_RadSpec!$E$12*O12,".")*$B$74</f>
        <v>0</v>
      </c>
      <c r="P74" s="71">
        <f>IFERROR(s_RadSpec!$F$12*$P$12,".")*B74</f>
        <v>0</v>
      </c>
      <c r="Q74" s="71">
        <f>IFERROR(s_RadSpec!$G$12*$Q$12,".")*B74</f>
        <v>1.2884851021125461E-15</v>
      </c>
      <c r="R74" s="71">
        <f>IFERROR(s_RadSpec!$H$12*R12,".")*$B$74</f>
        <v>0</v>
      </c>
      <c r="S74" s="71">
        <f>IFERROR(s_RadSpec!$H$12*S12,".")*$B$74</f>
        <v>0</v>
      </c>
      <c r="T74" s="49">
        <f t="shared" si="123"/>
        <v>0</v>
      </c>
      <c r="U74" s="49">
        <f t="shared" si="124"/>
        <v>0</v>
      </c>
      <c r="V74" s="49">
        <f t="shared" si="125"/>
        <v>1.2884851021125461E-15</v>
      </c>
      <c r="W74" s="49">
        <f t="shared" si="126"/>
        <v>0</v>
      </c>
      <c r="X74" s="49">
        <f t="shared" si="127"/>
        <v>0</v>
      </c>
      <c r="Y74" s="49">
        <f t="shared" si="45"/>
        <v>1.2884851021125461E-15</v>
      </c>
      <c r="Z74" s="60">
        <f>IFERROR(Z12/$B60,0)</f>
        <v>38805260470.627167</v>
      </c>
      <c r="AA74" s="60">
        <f>IFERROR(AA12/$B60,0)</f>
        <v>306359674914.80096</v>
      </c>
      <c r="AB74" s="60">
        <f>IFERROR(AB12/$B60,0)</f>
        <v>79644460970.097534</v>
      </c>
      <c r="AC74" s="60">
        <f>IFERROR(AC12/$B60,0)</f>
        <v>47691143836.751991</v>
      </c>
      <c r="AD74" s="60">
        <f>IFERROR(AD12/$B60,0)</f>
        <v>519900785736.20032</v>
      </c>
      <c r="AE74" s="71">
        <f>IFERROR(s_RadSpec!$G$12*AE12,".")*$B$74</f>
        <v>1.2884851021125461E-15</v>
      </c>
      <c r="AF74" s="71">
        <f>IFERROR(s_RadSpec!$N$12*AF12,".")*$B$74</f>
        <v>1.6320685812813019E-16</v>
      </c>
      <c r="AG74" s="71">
        <f>IFERROR(s_RadSpec!$O$12*AG12,".")*$B$74</f>
        <v>6.2779004830947974E-16</v>
      </c>
      <c r="AH74" s="71">
        <f>IFERROR(s_RadSpec!$P$12*AH12,".")*$B$74</f>
        <v>1.0484126816322813E-15</v>
      </c>
      <c r="AI74" s="71">
        <f>IFERROR(s_RadSpec!$L$12*AI12,".")*$B$74</f>
        <v>9.6172195487640955E-17</v>
      </c>
      <c r="AJ74" s="49">
        <f t="shared" si="128"/>
        <v>1.2884851021125461E-15</v>
      </c>
      <c r="AK74" s="49">
        <f t="shared" si="128"/>
        <v>1.6320685812813019E-16</v>
      </c>
      <c r="AL74" s="49">
        <f t="shared" si="128"/>
        <v>6.2779004830947974E-16</v>
      </c>
      <c r="AM74" s="49">
        <f t="shared" si="128"/>
        <v>1.0484126816322813E-15</v>
      </c>
      <c r="AN74" s="49">
        <f t="shared" si="128"/>
        <v>9.6172195487640955E-17</v>
      </c>
      <c r="AO74" s="60">
        <f>IFERROR(AO12/$B60,0)</f>
        <v>0</v>
      </c>
      <c r="AP74" s="60">
        <f>IFERROR(AP12/$B60,0)</f>
        <v>3378494297178.8574</v>
      </c>
      <c r="AQ74" s="60">
        <f t="shared" si="129"/>
        <v>3378494297178.8574</v>
      </c>
      <c r="AR74" s="71">
        <f>IFERROR(s_RadSpec!$F$12*AR12,".")*$B$74</f>
        <v>0</v>
      </c>
      <c r="AS74" s="71">
        <f>IFERROR(s_RadSpec!$K$12*AS12,".")*$B$74</f>
        <v>1.4799492200342468E-17</v>
      </c>
      <c r="AT74" s="49">
        <f t="shared" si="130"/>
        <v>0</v>
      </c>
      <c r="AU74" s="49">
        <f t="shared" si="130"/>
        <v>1.4799492200342468E-17</v>
      </c>
      <c r="AV74" s="49">
        <f t="shared" si="131"/>
        <v>1.4799492200342468E-17</v>
      </c>
      <c r="AW74" s="60">
        <f>IFERROR(AW12/$B60,0)</f>
        <v>0</v>
      </c>
      <c r="AX74" s="60">
        <f>IFERROR(AX12/$B60,0)</f>
        <v>970175727230415.25</v>
      </c>
      <c r="AY74" s="63">
        <f>IFERROR(AY12/$B60,0)</f>
        <v>0</v>
      </c>
      <c r="AZ74" s="63">
        <f>IFERROR(AZ12/$B60,0)</f>
        <v>0</v>
      </c>
      <c r="BA74" s="244">
        <f t="shared" si="51"/>
        <v>0</v>
      </c>
      <c r="BB74" s="244">
        <f t="shared" si="52"/>
        <v>1.0307411038356163E-15</v>
      </c>
      <c r="BC74" s="244">
        <f t="shared" si="53"/>
        <v>0</v>
      </c>
      <c r="BD74" s="244">
        <f t="shared" si="54"/>
        <v>0</v>
      </c>
      <c r="BE74" s="63">
        <f t="shared" si="148"/>
        <v>970175727230415.25</v>
      </c>
      <c r="BF74" s="71">
        <f>IFERROR(s_RadSpec!$I$12*BF12,".")*$B$74</f>
        <v>0</v>
      </c>
      <c r="BG74" s="71">
        <f>IFERROR(s_RadSpec!$M$12*BG12,".")*$B$74</f>
        <v>5.1537055191780823E-20</v>
      </c>
      <c r="BH74" s="71">
        <f>IFERROR(s_RadSpec!$H$12*BH12,".")*$B$74</f>
        <v>0</v>
      </c>
      <c r="BI74" s="71">
        <f>IFERROR(s_RadSpec!$H$12*BI12,".")*$B$74</f>
        <v>0</v>
      </c>
      <c r="BJ74" s="49">
        <f t="shared" si="132"/>
        <v>0</v>
      </c>
      <c r="BK74" s="49">
        <f t="shared" si="133"/>
        <v>5.1537055191780823E-20</v>
      </c>
      <c r="BL74" s="49">
        <f t="shared" si="134"/>
        <v>0</v>
      </c>
      <c r="BM74" s="49">
        <f t="shared" si="135"/>
        <v>0</v>
      </c>
      <c r="BN74" s="49">
        <f t="shared" si="136"/>
        <v>5.1537055191780823E-20</v>
      </c>
      <c r="BO74" s="63">
        <f t="shared" ref="BO74:BP74" si="156">IFERROR(BO12/$B60,0)</f>
        <v>0</v>
      </c>
      <c r="BP74" s="63">
        <f t="shared" si="156"/>
        <v>0</v>
      </c>
      <c r="BQ74" s="71">
        <f>IFERROR(s_RadSpec!$H$12*BQ12,".")*$B$74</f>
        <v>0</v>
      </c>
      <c r="BR74" s="71">
        <f>IFERROR(s_RadSpec!$H$12*BR12,".")*$B$74</f>
        <v>0</v>
      </c>
      <c r="BS74" s="49">
        <f t="shared" si="138"/>
        <v>0</v>
      </c>
      <c r="BT74" s="49">
        <f t="shared" si="139"/>
        <v>0</v>
      </c>
    </row>
    <row r="75" spans="1:72" x14ac:dyDescent="0.25">
      <c r="A75" s="48" t="s">
        <v>1096</v>
      </c>
      <c r="B75" s="45">
        <v>1</v>
      </c>
      <c r="C75" s="178"/>
      <c r="D75" s="60">
        <f>IFERROR(D18/$B61,0)</f>
        <v>50.477708412993472</v>
      </c>
      <c r="E75" s="60">
        <f>IFERROR(E18/$B61,0)</f>
        <v>106522.05547415512</v>
      </c>
      <c r="F75" s="60">
        <f>IFERROR(F18/$B61,0)</f>
        <v>3973669.4583399002</v>
      </c>
      <c r="G75" s="63">
        <f>IFERROR(G18/$B61,0)</f>
        <v>168.05725575720061</v>
      </c>
      <c r="H75" s="63">
        <f>IFERROR(H18/$B61,0)</f>
        <v>0.21007156969650076</v>
      </c>
      <c r="I75" s="244">
        <f t="shared" si="142"/>
        <v>1.9810724999999998E-2</v>
      </c>
      <c r="J75" s="244">
        <f t="shared" si="143"/>
        <v>9.3877272227686661E-6</v>
      </c>
      <c r="K75" s="244">
        <f t="shared" si="144"/>
        <v>2.5165656340670445E-7</v>
      </c>
      <c r="L75" s="244">
        <f t="shared" si="145"/>
        <v>5.9503530240000001E-3</v>
      </c>
      <c r="M75" s="244">
        <f t="shared" si="146"/>
        <v>4.7602824192000002</v>
      </c>
      <c r="N75" s="63">
        <f t="shared" si="147"/>
        <v>0.20894042992359474</v>
      </c>
      <c r="O75" s="71">
        <f>IFERROR(s_RadSpec!$E$18*O18,".")*$B$75</f>
        <v>9.9053624999999987E-7</v>
      </c>
      <c r="P75" s="71">
        <f>IFERROR(s_RadSpec!$F$18*$P$18,".")*B75</f>
        <v>4.6938636113843336E-10</v>
      </c>
      <c r="Q75" s="71">
        <f>IFERROR(s_RadSpec!$G$18*$Q$18,".")*B75</f>
        <v>1.2582828170335219E-11</v>
      </c>
      <c r="R75" s="71">
        <f>IFERROR(s_RadSpec!$H$18*R18,".")*$B$75</f>
        <v>2.9751765120000003E-7</v>
      </c>
      <c r="S75" s="71">
        <f>IFERROR(s_RadSpec!$H$18*S18,".")*$B$75</f>
        <v>2.3801412096000003E-4</v>
      </c>
      <c r="T75" s="49">
        <f t="shared" si="123"/>
        <v>9.9053624999999987E-7</v>
      </c>
      <c r="U75" s="49">
        <f t="shared" si="124"/>
        <v>4.6938636113843336E-10</v>
      </c>
      <c r="V75" s="49">
        <f t="shared" si="125"/>
        <v>1.2582828170335219E-11</v>
      </c>
      <c r="W75" s="49">
        <f t="shared" si="126"/>
        <v>2.9751765120000003E-7</v>
      </c>
      <c r="X75" s="49">
        <f t="shared" si="127"/>
        <v>2.3801412096000003E-4</v>
      </c>
      <c r="Y75" s="49">
        <f t="shared" si="45"/>
        <v>2.3930265683038933E-4</v>
      </c>
      <c r="Z75" s="60">
        <f>IFERROR(Z18/$B61,0)</f>
        <v>3973669.4583399002</v>
      </c>
      <c r="AA75" s="60">
        <f>IFERROR(AA18/$B61,0)</f>
        <v>39600952.955493495</v>
      </c>
      <c r="AB75" s="60">
        <f>IFERROR(AB18/$B61,0)</f>
        <v>9767504.56023206</v>
      </c>
      <c r="AC75" s="60">
        <f>IFERROR(AC18/$B61,0)</f>
        <v>5194512.4937339183</v>
      </c>
      <c r="AD75" s="60">
        <f>IFERROR(AD18/$B61,0)</f>
        <v>69247941.212073535</v>
      </c>
      <c r="AE75" s="71">
        <f>IFERROR(s_RadSpec!$G$18*AE18,".")*$B$75</f>
        <v>1.2582828170335219E-11</v>
      </c>
      <c r="AF75" s="71">
        <f>IFERROR(s_RadSpec!$N$18*AF18,".")*$B$75</f>
        <v>1.262595878846495E-12</v>
      </c>
      <c r="AG75" s="71">
        <f>IFERROR(s_RadSpec!$O$18*AG18,".")*$B$75</f>
        <v>5.1190147587514496E-12</v>
      </c>
      <c r="AH75" s="71">
        <f>IFERROR(s_RadSpec!$P$18*AH18,".")*$B$75</f>
        <v>9.6255423507623539E-12</v>
      </c>
      <c r="AI75" s="71">
        <f>IFERROR(s_RadSpec!$L$18*AI18,".")*$B$75</f>
        <v>7.2204312684002794E-13</v>
      </c>
      <c r="AJ75" s="49">
        <f t="shared" si="128"/>
        <v>1.2582828170335219E-11</v>
      </c>
      <c r="AK75" s="49">
        <f t="shared" si="128"/>
        <v>1.262595878846495E-12</v>
      </c>
      <c r="AL75" s="49">
        <f t="shared" si="128"/>
        <v>5.1190147587514496E-12</v>
      </c>
      <c r="AM75" s="49">
        <f t="shared" si="128"/>
        <v>9.6255423507623539E-12</v>
      </c>
      <c r="AN75" s="49">
        <f t="shared" si="128"/>
        <v>7.2204312684002794E-13</v>
      </c>
      <c r="AO75" s="60">
        <f>IFERROR(AO18/$B61,0)</f>
        <v>0.34383707853095613</v>
      </c>
      <c r="AP75" s="60">
        <f>IFERROR(AP18/$B61,0)</f>
        <v>762048643.84690726</v>
      </c>
      <c r="AQ75" s="60">
        <f t="shared" si="129"/>
        <v>0.34383707837581651</v>
      </c>
      <c r="AR75" s="71">
        <f>IFERROR(s_RadSpec!$F$18*AR18,".")*$B$75</f>
        <v>1.4541770833333332E-4</v>
      </c>
      <c r="AS75" s="71">
        <f>IFERROR(s_RadSpec!$K$18*AS18,".")*$B$75</f>
        <v>6.5612609383561654E-14</v>
      </c>
      <c r="AT75" s="49">
        <f t="shared" si="130"/>
        <v>1.4541770833333332E-4</v>
      </c>
      <c r="AU75" s="49">
        <f t="shared" si="130"/>
        <v>6.5612609383561654E-14</v>
      </c>
      <c r="AV75" s="49">
        <f t="shared" si="131"/>
        <v>1.4541770839894593E-4</v>
      </c>
      <c r="AW75" s="60">
        <f>IFERROR(AW18/$B61,0)</f>
        <v>0.63984438984438985</v>
      </c>
      <c r="AX75" s="60">
        <f>IFERROR(AX18/$B61,0)</f>
        <v>219444509730.68918</v>
      </c>
      <c r="AY75" s="63">
        <f>IFERROR(AY18/$B61,0)</f>
        <v>672414.46551791381</v>
      </c>
      <c r="AZ75" s="63">
        <f>IFERROR(AZ18/$B61,0)</f>
        <v>840.51808189739234</v>
      </c>
      <c r="BA75" s="244">
        <f t="shared" si="51"/>
        <v>1.56288</v>
      </c>
      <c r="BB75" s="244">
        <f t="shared" si="52"/>
        <v>4.55696066958904E-12</v>
      </c>
      <c r="BC75" s="244">
        <f t="shared" si="53"/>
        <v>1.487178E-6</v>
      </c>
      <c r="BD75" s="244">
        <f t="shared" si="54"/>
        <v>1.1897423999999998E-3</v>
      </c>
      <c r="BE75" s="63">
        <f t="shared" si="148"/>
        <v>0.63935707088410232</v>
      </c>
      <c r="BF75" s="71">
        <f>IFERROR(s_RadSpec!$I$18*BF18,".")*$B$75</f>
        <v>7.8144000000000003E-5</v>
      </c>
      <c r="BG75" s="71">
        <f>IFERROR(s_RadSpec!$M$18*BG18,".")*$B$75</f>
        <v>2.2784803347945207E-16</v>
      </c>
      <c r="BH75" s="71">
        <f>IFERROR(s_RadSpec!$H$18*BH18,".")*$B$75</f>
        <v>7.4358900000000001E-11</v>
      </c>
      <c r="BI75" s="71">
        <f>IFERROR(s_RadSpec!$H$18*BI18,".")*$B$75</f>
        <v>5.9487120000000007E-8</v>
      </c>
      <c r="BJ75" s="49">
        <f t="shared" si="132"/>
        <v>7.8144000000000003E-5</v>
      </c>
      <c r="BK75" s="49">
        <f t="shared" si="133"/>
        <v>2.2784803347945207E-16</v>
      </c>
      <c r="BL75" s="49">
        <f t="shared" si="134"/>
        <v>7.4358900000000001E-11</v>
      </c>
      <c r="BM75" s="49">
        <f t="shared" si="135"/>
        <v>5.9487120000000007E-8</v>
      </c>
      <c r="BN75" s="49">
        <f t="shared" si="136"/>
        <v>7.8144000000227848E-5</v>
      </c>
      <c r="BO75" s="63">
        <f t="shared" ref="BO75:BP75" si="157">IFERROR(BO18/$B61,0)</f>
        <v>4.034486793107483</v>
      </c>
      <c r="BP75" s="63">
        <f t="shared" si="157"/>
        <v>4.034486793107483</v>
      </c>
      <c r="BQ75" s="71">
        <f>IFERROR(s_RadSpec!$H$18*BQ18,".")*$B$75</f>
        <v>1.239315E-5</v>
      </c>
      <c r="BR75" s="71">
        <f>IFERROR(s_RadSpec!$H$18*BR18,".")*$B$75</f>
        <v>1.239315E-5</v>
      </c>
      <c r="BS75" s="49">
        <f t="shared" si="138"/>
        <v>1.239315E-5</v>
      </c>
      <c r="BT75" s="49">
        <f t="shared" si="139"/>
        <v>1.239315E-5</v>
      </c>
    </row>
    <row r="76" spans="1:72" x14ac:dyDescent="0.25">
      <c r="A76" s="48" t="s">
        <v>1097</v>
      </c>
      <c r="B76" s="45">
        <v>1.339E-6</v>
      </c>
      <c r="C76" s="178"/>
      <c r="D76" s="60">
        <f>IFERROR(D27/$B62,0)</f>
        <v>0</v>
      </c>
      <c r="E76" s="60">
        <f>IFERROR(E27/$B62,0)</f>
        <v>0</v>
      </c>
      <c r="F76" s="60">
        <f>IFERROR(F27/$B62,0)</f>
        <v>35944882822.813713</v>
      </c>
      <c r="G76" s="63">
        <f>IFERROR(G27/$B62,0)</f>
        <v>0</v>
      </c>
      <c r="H76" s="63">
        <f>IFERROR(H27/$B62,0)</f>
        <v>0</v>
      </c>
      <c r="I76" s="244">
        <f t="shared" si="142"/>
        <v>0</v>
      </c>
      <c r="J76" s="244">
        <f t="shared" si="143"/>
        <v>0</v>
      </c>
      <c r="K76" s="244">
        <f t="shared" si="144"/>
        <v>2.7820371676530103E-11</v>
      </c>
      <c r="L76" s="244">
        <f t="shared" si="145"/>
        <v>0</v>
      </c>
      <c r="M76" s="244">
        <f t="shared" si="146"/>
        <v>0</v>
      </c>
      <c r="N76" s="63">
        <f t="shared" si="147"/>
        <v>35944882822.813713</v>
      </c>
      <c r="O76" s="71">
        <f>IFERROR(s_RadSpec!$E$27*O27,".")*$B$76</f>
        <v>0</v>
      </c>
      <c r="P76" s="71">
        <f>IFERROR(s_RadSpec!$F$27*$P$27,".")*B76</f>
        <v>0</v>
      </c>
      <c r="Q76" s="71">
        <f>IFERROR(s_RadSpec!$G$27*$Q$27,".")*B76</f>
        <v>1.3910185838265054E-15</v>
      </c>
      <c r="R76" s="71">
        <f>IFERROR(s_RadSpec!$H$27*R27,".")*$B$76</f>
        <v>0</v>
      </c>
      <c r="S76" s="71">
        <f>IFERROR(s_RadSpec!$H$27*S27,".")*$B$76</f>
        <v>0</v>
      </c>
      <c r="T76" s="49">
        <f t="shared" si="123"/>
        <v>0</v>
      </c>
      <c r="U76" s="49">
        <f t="shared" si="124"/>
        <v>0</v>
      </c>
      <c r="V76" s="49">
        <f t="shared" si="125"/>
        <v>1.3910185838265054E-15</v>
      </c>
      <c r="W76" s="49">
        <f t="shared" si="126"/>
        <v>0</v>
      </c>
      <c r="X76" s="49">
        <f t="shared" si="127"/>
        <v>0</v>
      </c>
      <c r="Y76" s="49">
        <f t="shared" si="45"/>
        <v>1.3910185838265054E-15</v>
      </c>
      <c r="Z76" s="60">
        <f>IFERROR(Z27/$B62,0)</f>
        <v>35944882822.813713</v>
      </c>
      <c r="AA76" s="60">
        <f>IFERROR(AA27/$B62,0)</f>
        <v>313972727259.03424</v>
      </c>
      <c r="AB76" s="60">
        <f>IFERROR(AB27/$B62,0)</f>
        <v>90535029444.361023</v>
      </c>
      <c r="AC76" s="60">
        <f>IFERROR(AC27/$B62,0)</f>
        <v>49539868604.334976</v>
      </c>
      <c r="AD76" s="60">
        <f>IFERROR(AD27/$B62,0)</f>
        <v>237631020560.33276</v>
      </c>
      <c r="AE76" s="71">
        <f>IFERROR(s_RadSpec!$G$27*AE27,".")*$B$76</f>
        <v>1.3910185838265054E-15</v>
      </c>
      <c r="AF76" s="71">
        <f>IFERROR(s_RadSpec!$N$27*AF27,".")*$B$76</f>
        <v>1.5924950054260266E-16</v>
      </c>
      <c r="AG76" s="71">
        <f>IFERROR(s_RadSpec!$O$27*AG27,".")*$B$76</f>
        <v>5.5227242214272308E-16</v>
      </c>
      <c r="AH76" s="71">
        <f>IFERROR(s_RadSpec!$P$27*AH27,".")*$B$76</f>
        <v>1.0092881028680155E-15</v>
      </c>
      <c r="AI76" s="71">
        <f>IFERROR(s_RadSpec!$L$27*AI27,".")*$B$76</f>
        <v>2.1041023971575871E-16</v>
      </c>
      <c r="AJ76" s="49">
        <f t="shared" si="128"/>
        <v>1.3910185838265054E-15</v>
      </c>
      <c r="AK76" s="49">
        <f t="shared" si="128"/>
        <v>1.5924950054260266E-16</v>
      </c>
      <c r="AL76" s="49">
        <f t="shared" si="128"/>
        <v>5.5227242214272308E-16</v>
      </c>
      <c r="AM76" s="49">
        <f t="shared" si="128"/>
        <v>1.0092881028680155E-15</v>
      </c>
      <c r="AN76" s="49">
        <f t="shared" si="128"/>
        <v>2.1041023971575871E-16</v>
      </c>
      <c r="AO76" s="60">
        <f>IFERROR(AO27/$B62,0)</f>
        <v>0</v>
      </c>
      <c r="AP76" s="60">
        <f>IFERROR(AP27/$B62,0)</f>
        <v>2530983207985.8687</v>
      </c>
      <c r="AQ76" s="60">
        <f t="shared" si="129"/>
        <v>2530983207985.8687</v>
      </c>
      <c r="AR76" s="71">
        <f>IFERROR(s_RadSpec!$F$27*AR27,".")*$B$76</f>
        <v>0</v>
      </c>
      <c r="AS76" s="71">
        <f>IFERROR(s_RadSpec!$K$27*AS27,".")*$B$76</f>
        <v>1.9755168600976031E-17</v>
      </c>
      <c r="AT76" s="49">
        <f t="shared" si="130"/>
        <v>0</v>
      </c>
      <c r="AU76" s="49">
        <f t="shared" si="130"/>
        <v>1.9755168600976031E-17</v>
      </c>
      <c r="AV76" s="49">
        <f t="shared" si="131"/>
        <v>1.9755168600976031E-17</v>
      </c>
      <c r="AW76" s="60">
        <f>IFERROR(AW27/$B62,0)</f>
        <v>0</v>
      </c>
      <c r="AX76" s="60">
        <f>IFERROR(AX27/$B62,0)</f>
        <v>1010635655966579.4</v>
      </c>
      <c r="AY76" s="63">
        <f>IFERROR(AY27/$B62,0)</f>
        <v>0</v>
      </c>
      <c r="AZ76" s="63">
        <f>IFERROR(AZ27/$B62,0)</f>
        <v>0</v>
      </c>
      <c r="BA76" s="244">
        <f t="shared" si="51"/>
        <v>0</v>
      </c>
      <c r="BB76" s="244">
        <f t="shared" si="52"/>
        <v>9.8947627079671218E-16</v>
      </c>
      <c r="BC76" s="244">
        <f t="shared" si="53"/>
        <v>0</v>
      </c>
      <c r="BD76" s="244">
        <f t="shared" si="54"/>
        <v>0</v>
      </c>
      <c r="BE76" s="63">
        <f t="shared" ref="BE76" si="158">IFERROR(IF(AND(AW76&lt;&gt;0,AX76&lt;&gt;0),1/((1/AW76)+(1/AX76)),IF(AND(AW76&lt;&gt;0,AX76=0),1/((1/AW76)),IF(AND(AW76=0,AX76&lt;&gt;0),1/((1/AX76)),IF(AND(AW76=0,AX76=0),0)))),0)</f>
        <v>1010635655966579.4</v>
      </c>
      <c r="BF76" s="71">
        <f>IFERROR(s_RadSpec!$I$27*BF27,".")*$B$76</f>
        <v>0</v>
      </c>
      <c r="BG76" s="71">
        <f>IFERROR(s_RadSpec!$M$27*BG27,".")*$B$76</f>
        <v>4.9473813539835614E-20</v>
      </c>
      <c r="BH76" s="71">
        <f>IFERROR(s_RadSpec!$H$27*BH27,".")*$B$76</f>
        <v>0</v>
      </c>
      <c r="BI76" s="71">
        <f>IFERROR(s_RadSpec!$H$27*BI27,".")*$B$76</f>
        <v>0</v>
      </c>
      <c r="BJ76" s="49">
        <f t="shared" si="132"/>
        <v>0</v>
      </c>
      <c r="BK76" s="49">
        <f t="shared" si="133"/>
        <v>4.9473813539835614E-20</v>
      </c>
      <c r="BL76" s="49">
        <f t="shared" si="134"/>
        <v>0</v>
      </c>
      <c r="BM76" s="49">
        <f t="shared" si="135"/>
        <v>0</v>
      </c>
      <c r="BN76" s="49">
        <f t="shared" si="136"/>
        <v>4.9473813539835614E-20</v>
      </c>
      <c r="BO76" s="63">
        <f t="shared" ref="BO76:BP76" si="159">IFERROR(BO27/$B62,0)</f>
        <v>0</v>
      </c>
      <c r="BP76" s="63">
        <f t="shared" si="159"/>
        <v>0</v>
      </c>
      <c r="BQ76" s="71">
        <f>IFERROR(s_RadSpec!$H$27*BQ27,".")*$B$76</f>
        <v>0</v>
      </c>
      <c r="BR76" s="71">
        <f>IFERROR(s_RadSpec!$H$27*BR27,".")*$B$76</f>
        <v>0</v>
      </c>
      <c r="BS76" s="49">
        <f t="shared" si="138"/>
        <v>0</v>
      </c>
      <c r="BT76" s="49">
        <f t="shared" si="139"/>
        <v>0</v>
      </c>
    </row>
  </sheetData>
  <sheetProtection algorithmName="SHA-512" hashValue="+PPxbN6Cb896TOBHLueJHnnQS2ZZB7FRMvWzHxL4dWeqmGRKYILvruRjY+rmfQZOxClTaXZ/f/+4jZa2KHIchA==" saltValue="JNRjW6O7QUwRSVgb5QH8uA==" spinCount="100000" sheet="1" formatColumns="0" formatRows="0" autoFilter="0"/>
  <autoFilter ref="A1:BT76" xr:uid="{00000000-0009-0000-0000-000016000000}"/>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theme="9" tint="-0.499984740745262"/>
  </sheetPr>
  <dimension ref="A1:I76"/>
  <sheetViews>
    <sheetView zoomScale="85" zoomScaleNormal="85" workbookViewId="0">
      <pane xSplit="2" ySplit="1" topLeftCell="C30" activePane="bottomRight" state="frozen"/>
      <selection activeCell="M25" sqref="M25"/>
      <selection pane="topRight" activeCell="M25" sqref="M25"/>
      <selection pane="bottomLeft" activeCell="M25" sqref="M25"/>
      <selection pane="bottomRight" activeCell="F31" sqref="F31:I76"/>
    </sheetView>
  </sheetViews>
  <sheetFormatPr defaultRowHeight="15" x14ac:dyDescent="0.25"/>
  <cols>
    <col min="1" max="1" width="14.5703125" style="4" bestFit="1" customWidth="1"/>
    <col min="2" max="2" width="11.7109375" style="4" bestFit="1" customWidth="1"/>
    <col min="3" max="3" width="13.28515625" style="4" customWidth="1"/>
    <col min="4" max="4" width="18.42578125" bestFit="1" customWidth="1"/>
    <col min="5" max="5" width="18.5703125" bestFit="1" customWidth="1"/>
    <col min="6" max="7" width="18.5703125" customWidth="1"/>
    <col min="8" max="8" width="16.140625" bestFit="1" customWidth="1"/>
    <col min="9" max="9" width="16.28515625" bestFit="1" customWidth="1"/>
  </cols>
  <sheetData>
    <row r="1" spans="1:9" x14ac:dyDescent="0.25">
      <c r="A1" s="78" t="s">
        <v>51</v>
      </c>
      <c r="B1" s="79" t="s">
        <v>348</v>
      </c>
      <c r="C1" s="78"/>
      <c r="D1" s="112" t="s">
        <v>1387</v>
      </c>
      <c r="E1" s="112" t="s">
        <v>1388</v>
      </c>
      <c r="F1" s="112" t="s">
        <v>1551</v>
      </c>
      <c r="G1" s="112" t="s">
        <v>1552</v>
      </c>
      <c r="H1" s="112" t="s">
        <v>1549</v>
      </c>
      <c r="I1" s="112" t="s">
        <v>1550</v>
      </c>
    </row>
    <row r="2" spans="1:9" x14ac:dyDescent="0.25">
      <c r="A2" s="44" t="s">
        <v>12</v>
      </c>
      <c r="B2" s="42" t="s">
        <v>1071</v>
      </c>
      <c r="C2" s="42"/>
      <c r="D2" s="121">
        <f>IF(s_RadSpec!AX2*s_DAF=0,".",s_RadSpec!AX2*s_DAF)</f>
        <v>109.22353435187127</v>
      </c>
      <c r="E2" s="121">
        <f>IFERROR(s_res!AT2*s_DAF,".")</f>
        <v>50.892107213910862</v>
      </c>
      <c r="F2" s="121">
        <f>IFERROR((D2*0.001*(s_RadSpec!AU2+(s_θw/s_ρb))*1),".")</f>
        <v>185.70731428176913</v>
      </c>
      <c r="G2" s="121">
        <f>IFERROR((E2*0.001*(s_RadSpec!AU2+(s_θw/s_ρb))*1),".")</f>
        <v>86.529305290451944</v>
      </c>
      <c r="H2" s="121">
        <f t="shared" ref="H2:H30" si="0">IFERROR((D2*s_ls2gw*s_ED_s2gw)/(s_ρb*s_d_s*1000),".")</f>
        <v>0.38228237023154943</v>
      </c>
      <c r="I2" s="121">
        <f t="shared" ref="I2:I30" si="1">IFERROR((E2*s_ls2gw*s_ED_s2gw)/(s_ρb*s_d_s*1000),".")</f>
        <v>0.17812237524868801</v>
      </c>
    </row>
    <row r="3" spans="1:9" x14ac:dyDescent="0.25">
      <c r="A3" s="46" t="s">
        <v>13</v>
      </c>
      <c r="B3" s="42" t="s">
        <v>349</v>
      </c>
      <c r="C3" s="42"/>
      <c r="D3" s="121">
        <f>IF(s_RadSpec!AX3*s_DAF=0,".",s_RadSpec!AX3*s_DAF)</f>
        <v>109.22353435187127</v>
      </c>
      <c r="E3" s="121">
        <f>IFERROR(s_res!AT3*s_DAF,".")</f>
        <v>95.812897536875667</v>
      </c>
      <c r="F3" s="121">
        <f>IFERROR((D3*0.001*(s_RadSpec!AU3+(s_θw/s_ρb))*1),".")</f>
        <v>0.46420002099545288</v>
      </c>
      <c r="G3" s="121">
        <f>IFERROR((E3*0.001*(s_RadSpec!AU3+(s_θw/s_ρb))*1),".")</f>
        <v>0.40720481453172158</v>
      </c>
      <c r="H3" s="121">
        <f t="shared" si="0"/>
        <v>0.38228237023154943</v>
      </c>
      <c r="I3" s="121">
        <f t="shared" si="1"/>
        <v>0.33534514137906485</v>
      </c>
    </row>
    <row r="4" spans="1:9" x14ac:dyDescent="0.25">
      <c r="A4" s="44" t="s">
        <v>14</v>
      </c>
      <c r="B4" s="42" t="s">
        <v>1071</v>
      </c>
      <c r="C4" s="42"/>
      <c r="D4" s="121">
        <f>IF(s_RadSpec!AX4*s_DAF=0,".",s_RadSpec!AX4*s_DAF)</f>
        <v>109.22353435187127</v>
      </c>
      <c r="E4" s="121">
        <f>IFERROR(s_res!AT4*s_DAF,".")</f>
        <v>67845276297.781044</v>
      </c>
      <c r="F4" s="121">
        <f>IFERROR((D4*0.001*(s_RadSpec!AU4+(s_θw/s_ρb))*1),".")</f>
        <v>1.1195412271066805</v>
      </c>
      <c r="G4" s="121">
        <f>IFERROR((E4*0.001*(s_RadSpec!AU4+(s_θw/s_ρb))*1),".")</f>
        <v>695414082.05225575</v>
      </c>
      <c r="H4" s="121">
        <f t="shared" si="0"/>
        <v>0.38228237023154943</v>
      </c>
      <c r="I4" s="121">
        <f t="shared" si="1"/>
        <v>237458467.04223365</v>
      </c>
    </row>
    <row r="5" spans="1:9" x14ac:dyDescent="0.25">
      <c r="A5" s="44" t="s">
        <v>15</v>
      </c>
      <c r="B5" s="42" t="s">
        <v>1071</v>
      </c>
      <c r="C5" s="249"/>
      <c r="D5" s="121">
        <f>IF(s_RadSpec!AX5*s_DAF=0,".",s_RadSpec!AX5*s_DAF)</f>
        <v>109.22353435187127</v>
      </c>
      <c r="E5" s="121">
        <f>IFERROR(s_res!AT5*s_DAF,".")</f>
        <v>2828174387811.8286</v>
      </c>
      <c r="F5" s="121">
        <f>IFERROR((D5*0.001*(s_RadSpec!AU5+(s_θw/s_ρb))*1),".")</f>
        <v>1.1195412271066805</v>
      </c>
      <c r="G5" s="121">
        <f>IFERROR((E5*0.001*(s_RadSpec!AU5+(s_θw/s_ρb))*1),".")</f>
        <v>28988787475.071243</v>
      </c>
      <c r="H5" s="121">
        <f t="shared" si="0"/>
        <v>0.38228237023154943</v>
      </c>
      <c r="I5" s="121">
        <f t="shared" si="1"/>
        <v>9898610357.3414001</v>
      </c>
    </row>
    <row r="6" spans="1:9" x14ac:dyDescent="0.25">
      <c r="A6" s="44" t="s">
        <v>16</v>
      </c>
      <c r="B6" s="42" t="s">
        <v>1071</v>
      </c>
      <c r="C6" s="42"/>
      <c r="D6" s="121" t="str">
        <f>IF(s_RadSpec!AX6*s_DAF=0,".",s_RadSpec!AX6*s_DAF)</f>
        <v>.</v>
      </c>
      <c r="E6" s="121">
        <f>IFERROR(s_res!AT6*s_DAF,".")</f>
        <v>26529242.654901557</v>
      </c>
      <c r="F6" s="121" t="str">
        <f>IFERROR((D6*0.001*(s_RadSpec!AU6+(s_θw/s_ρb))*1),".")</f>
        <v>.</v>
      </c>
      <c r="G6" s="121">
        <f>IFERROR((E6*0.001*(s_RadSpec!AU6+(s_θw/s_ρb))*1),".")</f>
        <v>17244.007725686013</v>
      </c>
      <c r="H6" s="121" t="str">
        <f t="shared" si="0"/>
        <v>.</v>
      </c>
      <c r="I6" s="121">
        <f t="shared" si="1"/>
        <v>92852.349292155443</v>
      </c>
    </row>
    <row r="7" spans="1:9" x14ac:dyDescent="0.25">
      <c r="A7" s="44" t="s">
        <v>17</v>
      </c>
      <c r="B7" s="42" t="s">
        <v>1071</v>
      </c>
      <c r="C7" s="249"/>
      <c r="D7" s="121">
        <f>IF(s_RadSpec!AX7*s_DAF=0,".",s_RadSpec!AX7*s_DAF)</f>
        <v>109.22353435187127</v>
      </c>
      <c r="E7" s="121">
        <f>IFERROR(s_res!AT7*s_DAF,".")</f>
        <v>737.07642648911826</v>
      </c>
      <c r="F7" s="121">
        <f>IFERROR((D7*0.001*(s_RadSpec!AU7+(s_θw/s_ρb))*1),".")</f>
        <v>52.454602372486178</v>
      </c>
      <c r="G7" s="121">
        <f>IFERROR((E7*0.001*(s_RadSpec!AU7+(s_θw/s_ρb))*1),".")</f>
        <v>353.98095382139905</v>
      </c>
      <c r="H7" s="121">
        <f t="shared" si="0"/>
        <v>0.38228237023154943</v>
      </c>
      <c r="I7" s="121">
        <f t="shared" si="1"/>
        <v>2.5797674927119139</v>
      </c>
    </row>
    <row r="8" spans="1:9" x14ac:dyDescent="0.25">
      <c r="A8" s="44" t="s">
        <v>18</v>
      </c>
      <c r="B8" s="42" t="s">
        <v>1071</v>
      </c>
      <c r="C8" s="42"/>
      <c r="D8" s="121">
        <f>IF(s_RadSpec!AX8*s_DAF=0,".",s_RadSpec!AX8*s_DAF)</f>
        <v>109.22353435187127</v>
      </c>
      <c r="E8" s="121">
        <f>IFERROR(s_res!AT8*s_DAF,".")</f>
        <v>13166.836660005541</v>
      </c>
      <c r="F8" s="121">
        <f>IFERROR((D8*0.001*(s_RadSpec!AU8+(s_θw/s_ρb))*1),".")</f>
        <v>52.454602372486178</v>
      </c>
      <c r="G8" s="121">
        <f>IFERROR((E8*0.001*(s_RadSpec!AU8+(s_θw/s_ρb))*1),".")</f>
        <v>6323.3733059676615</v>
      </c>
      <c r="H8" s="121">
        <f t="shared" si="0"/>
        <v>0.38228237023154943</v>
      </c>
      <c r="I8" s="121">
        <f t="shared" si="1"/>
        <v>46.083928310019395</v>
      </c>
    </row>
    <row r="9" spans="1:9" x14ac:dyDescent="0.25">
      <c r="A9" s="44" t="s">
        <v>19</v>
      </c>
      <c r="B9" s="42" t="s">
        <v>1071</v>
      </c>
      <c r="C9" s="249"/>
      <c r="D9" s="121">
        <f>IF(s_RadSpec!AX9*s_DAF=0,".",s_RadSpec!AX9*s_DAF)</f>
        <v>109.22353435187127</v>
      </c>
      <c r="E9" s="121">
        <f>IFERROR(s_res!AT9*s_DAF,".")</f>
        <v>13920.522321975021</v>
      </c>
      <c r="F9" s="121">
        <f>IFERROR((D9*0.001*(s_RadSpec!AU9+(s_θw/s_ρb))*1),".")</f>
        <v>52.454602372486178</v>
      </c>
      <c r="G9" s="121">
        <f>IFERROR((E9*0.001*(s_RadSpec!AU9+(s_θw/s_ρb))*1),".")</f>
        <v>6685.3308451285038</v>
      </c>
      <c r="H9" s="121">
        <f t="shared" si="0"/>
        <v>0.38228237023154943</v>
      </c>
      <c r="I9" s="121">
        <f t="shared" si="1"/>
        <v>48.72182812691257</v>
      </c>
    </row>
    <row r="10" spans="1:9" x14ac:dyDescent="0.25">
      <c r="A10" s="46" t="s">
        <v>20</v>
      </c>
      <c r="B10" s="42" t="s">
        <v>349</v>
      </c>
      <c r="C10" s="42"/>
      <c r="D10" s="121">
        <f>IF(s_RadSpec!AX10*s_DAF=0,".",s_RadSpec!AX10*s_DAF)</f>
        <v>1456.3137913582837</v>
      </c>
      <c r="E10" s="121">
        <f>IFERROR(s_res!AT10*s_DAF,".")</f>
        <v>312.1492506713567</v>
      </c>
      <c r="F10" s="121">
        <f>IFERROR((D10*0.001*(s_RadSpec!AU10+(s_θw/s_ρb))*1),".")</f>
        <v>14.927216361422408</v>
      </c>
      <c r="G10" s="121">
        <f>IFERROR((E10*0.001*(s_RadSpec!AU10+(s_θw/s_ρb))*1),".")</f>
        <v>3.1995298193814059</v>
      </c>
      <c r="H10" s="121">
        <f t="shared" si="0"/>
        <v>5.0970982697539924</v>
      </c>
      <c r="I10" s="121">
        <f t="shared" si="1"/>
        <v>1.0925223773497483</v>
      </c>
    </row>
    <row r="11" spans="1:9" x14ac:dyDescent="0.25">
      <c r="A11" s="44" t="s">
        <v>21</v>
      </c>
      <c r="B11" s="42" t="s">
        <v>1071</v>
      </c>
      <c r="C11" s="42"/>
      <c r="D11" s="121">
        <f>IF(s_RadSpec!AX11*s_DAF=0,".",s_RadSpec!AX11*s_DAF)</f>
        <v>109.22353435187127</v>
      </c>
      <c r="E11" s="121">
        <f>IFERROR(s_res!AT11*s_DAF,".")</f>
        <v>572151408.40985835</v>
      </c>
      <c r="F11" s="121">
        <f>IFERROR((D11*0.001*(s_RadSpec!AU11+(s_θw/s_ρb))*1),".")</f>
        <v>27.333189471555784</v>
      </c>
      <c r="G11" s="121">
        <f>IFERROR((E11*0.001*(s_RadSpec!AU11+(s_θw/s_ρb))*1),".")</f>
        <v>143180889.95456704</v>
      </c>
      <c r="H11" s="121">
        <f t="shared" si="0"/>
        <v>0.38228237023154943</v>
      </c>
      <c r="I11" s="121">
        <f t="shared" si="1"/>
        <v>2002529.9294345044</v>
      </c>
    </row>
    <row r="12" spans="1:9" x14ac:dyDescent="0.25">
      <c r="A12" s="44" t="s">
        <v>22</v>
      </c>
      <c r="B12" s="42" t="s">
        <v>1071</v>
      </c>
      <c r="C12" s="249"/>
      <c r="D12" s="121" t="str">
        <f>IF(s_RadSpec!AX12*s_DAF=0,".",s_RadSpec!AX12*s_DAF)</f>
        <v>.</v>
      </c>
      <c r="E12" s="121">
        <f>IFERROR(s_res!AT12*s_DAF,".")</f>
        <v>134223627.70263708</v>
      </c>
      <c r="F12" s="121" t="str">
        <f>IFERROR((D12*0.001*(s_RadSpec!AU12+(s_θw/s_ρb))*1),".")</f>
        <v>.</v>
      </c>
      <c r="G12" s="121">
        <f>IFERROR((E12*0.001*(s_RadSpec!AU12+(s_θw/s_ρb))*1),".")</f>
        <v>845642410.43353927</v>
      </c>
      <c r="H12" s="121" t="str">
        <f t="shared" si="0"/>
        <v>.</v>
      </c>
      <c r="I12" s="121">
        <f t="shared" si="1"/>
        <v>469782.69695922977</v>
      </c>
    </row>
    <row r="13" spans="1:9" x14ac:dyDescent="0.25">
      <c r="A13" s="44" t="s">
        <v>23</v>
      </c>
      <c r="B13" s="42" t="s">
        <v>1071</v>
      </c>
      <c r="C13" s="42"/>
      <c r="D13" s="121">
        <f>IF(s_RadSpec!AX13*s_DAF=0,".",s_RadSpec!AX13*s_DAF)</f>
        <v>109.22353435187127</v>
      </c>
      <c r="E13" s="121">
        <f>IFERROR(s_res!AT13*s_DAF,".")</f>
        <v>151.7924041127697</v>
      </c>
      <c r="F13" s="121">
        <f>IFERROR((D13*0.001*(s_RadSpec!AU13+(s_θw/s_ρb))*1),".")</f>
        <v>4.9150590458342074E-2</v>
      </c>
      <c r="G13" s="121">
        <f>IFERROR((E13*0.001*(s_RadSpec!AU13+(s_θw/s_ρb))*1),".")</f>
        <v>6.8306581850746367E-2</v>
      </c>
      <c r="H13" s="121">
        <f t="shared" si="0"/>
        <v>0.38228237023154943</v>
      </c>
      <c r="I13" s="121">
        <f t="shared" si="1"/>
        <v>0.53127341439469389</v>
      </c>
    </row>
    <row r="14" spans="1:9" x14ac:dyDescent="0.25">
      <c r="A14" s="44" t="s">
        <v>24</v>
      </c>
      <c r="B14" s="42" t="s">
        <v>1071</v>
      </c>
      <c r="C14" s="42"/>
      <c r="D14" s="121">
        <f>IF(s_RadSpec!AX14*s_DAF=0,".",s_RadSpec!AX14*s_DAF)</f>
        <v>2184.4706870374253</v>
      </c>
      <c r="E14" s="121">
        <f>IFERROR(s_res!AT14*s_DAF,".")</f>
        <v>1498.0356101927182</v>
      </c>
      <c r="F14" s="121">
        <f>IFERROR((D14*0.001*(s_RadSpec!AU14+(s_θw/s_ρb))*1),".")</f>
        <v>4369.4874917466095</v>
      </c>
      <c r="G14" s="121">
        <f>IFERROR((E14*0.001*(s_RadSpec!AU14+(s_θw/s_ρb))*1),".")</f>
        <v>2996.4457292879842</v>
      </c>
      <c r="H14" s="121">
        <f t="shared" si="0"/>
        <v>7.6456474046309886</v>
      </c>
      <c r="I14" s="121">
        <f t="shared" si="1"/>
        <v>5.2431246356745138</v>
      </c>
    </row>
    <row r="15" spans="1:9" x14ac:dyDescent="0.25">
      <c r="A15" s="44" t="s">
        <v>25</v>
      </c>
      <c r="B15" s="42" t="s">
        <v>1071</v>
      </c>
      <c r="C15" s="42"/>
      <c r="D15" s="121" t="str">
        <f>IF(s_RadSpec!AX15*s_DAF=0,".",s_RadSpec!AX15*s_DAF)</f>
        <v>.</v>
      </c>
      <c r="E15" s="121">
        <f>IFERROR(s_res!AT15*s_DAF,".")</f>
        <v>38443.30177371337</v>
      </c>
      <c r="F15" s="121" t="str">
        <f>IFERROR((D15*0.001*(s_RadSpec!AU15+(s_θw/s_ρb))*1),".")</f>
        <v>.</v>
      </c>
      <c r="G15" s="121">
        <f>IFERROR((E15*0.001*(s_RadSpec!AU15+(s_θw/s_ρb))*1),".")</f>
        <v>5776.1060915004346</v>
      </c>
      <c r="H15" s="121" t="str">
        <f t="shared" si="0"/>
        <v>.</v>
      </c>
      <c r="I15" s="121">
        <f t="shared" si="1"/>
        <v>134.55155620799678</v>
      </c>
    </row>
    <row r="16" spans="1:9" x14ac:dyDescent="0.25">
      <c r="A16" s="44" t="s">
        <v>26</v>
      </c>
      <c r="B16" s="42" t="s">
        <v>1071</v>
      </c>
      <c r="C16" s="249"/>
      <c r="D16" s="121" t="str">
        <f>IF(s_RadSpec!AX16*s_DAF=0,".",s_RadSpec!AX16*s_DAF)</f>
        <v>.</v>
      </c>
      <c r="E16" s="121">
        <f>IFERROR(s_res!AT16*s_DAF,".")</f>
        <v>10.730980651113967</v>
      </c>
      <c r="F16" s="121" t="str">
        <f>IFERROR((D16*0.001*(s_RadSpec!AU16+(s_θw/s_ρb))*1),".")</f>
        <v>.</v>
      </c>
      <c r="G16" s="121">
        <f>IFERROR((E16*0.001*(s_RadSpec!AU16+(s_θw/s_ρb))*1),".")</f>
        <v>1.6123298428298736</v>
      </c>
      <c r="H16" s="121" t="str">
        <f t="shared" si="0"/>
        <v>.</v>
      </c>
      <c r="I16" s="121">
        <f t="shared" si="1"/>
        <v>3.7558432278898886E-2</v>
      </c>
    </row>
    <row r="17" spans="1:9" x14ac:dyDescent="0.25">
      <c r="A17" s="44" t="s">
        <v>27</v>
      </c>
      <c r="B17" s="42" t="s">
        <v>1071</v>
      </c>
      <c r="C17" s="249"/>
      <c r="D17" s="121" t="str">
        <f>IF(s_RadSpec!AX17*s_DAF=0,".",s_RadSpec!AX17*s_DAF)</f>
        <v>.</v>
      </c>
      <c r="E17" s="121">
        <f>IFERROR(s_res!AT17*s_DAF,".")</f>
        <v>4514.5293032983</v>
      </c>
      <c r="F17" s="121" t="str">
        <f>IFERROR((D17*0.001*(s_RadSpec!AU17+(s_θw/s_ρb))*1),".")</f>
        <v>.</v>
      </c>
      <c r="G17" s="121">
        <f>IFERROR((E17*0.001*(s_RadSpec!AU17+(s_θw/s_ρb))*1),".")</f>
        <v>678.30802782056958</v>
      </c>
      <c r="H17" s="121" t="str">
        <f t="shared" si="0"/>
        <v>.</v>
      </c>
      <c r="I17" s="121">
        <f t="shared" si="1"/>
        <v>15.800852561544051</v>
      </c>
    </row>
    <row r="18" spans="1:9" x14ac:dyDescent="0.25">
      <c r="A18" s="44" t="s">
        <v>28</v>
      </c>
      <c r="B18" s="42" t="s">
        <v>1071</v>
      </c>
      <c r="C18" s="249"/>
      <c r="D18" s="121">
        <f>IF(s_RadSpec!AX18*s_DAF=0,".",s_RadSpec!AX18*s_DAF)</f>
        <v>109.22353435187127</v>
      </c>
      <c r="E18" s="121">
        <f>IFERROR(s_res!AT18*s_DAF,".")</f>
        <v>5.5407423251378916</v>
      </c>
      <c r="F18" s="121">
        <f>IFERROR((D18*0.001*(s_RadSpec!AU18+(s_θw/s_ρb))*1),".")</f>
        <v>22.964248097480933</v>
      </c>
      <c r="G18" s="121">
        <f>IFERROR((E18*0.001*(s_RadSpec!AU18+(s_θw/s_ρb))*1),".")</f>
        <v>1.1649410738602417</v>
      </c>
      <c r="H18" s="121">
        <f t="shared" si="0"/>
        <v>0.38228237023154943</v>
      </c>
      <c r="I18" s="121">
        <f t="shared" si="1"/>
        <v>1.9392598137982619E-2</v>
      </c>
    </row>
    <row r="19" spans="1:9" x14ac:dyDescent="0.25">
      <c r="A19" s="44" t="s">
        <v>29</v>
      </c>
      <c r="B19" s="42" t="s">
        <v>1071</v>
      </c>
      <c r="C19" s="42"/>
      <c r="D19" s="121">
        <f>IF(s_RadSpec!AX19*s_DAF=0,".",s_RadSpec!AX19*s_DAF)</f>
        <v>109.22353435187127</v>
      </c>
      <c r="E19" s="121">
        <f>IFERROR(s_res!AT19*s_DAF,".")</f>
        <v>415240319815.8504</v>
      </c>
      <c r="F19" s="121">
        <f>IFERROR((D19*0.001*(s_RadSpec!AU19+(s_θw/s_ρb))*1),".")</f>
        <v>22.964248097480933</v>
      </c>
      <c r="G19" s="121">
        <f>IFERROR((E19*0.001*(s_RadSpec!AU19+(s_θw/s_ρb))*1),".")</f>
        <v>87304277241.282547</v>
      </c>
      <c r="H19" s="121">
        <f t="shared" si="0"/>
        <v>0.38228237023154943</v>
      </c>
      <c r="I19" s="121">
        <f t="shared" si="1"/>
        <v>1453341119.3554764</v>
      </c>
    </row>
    <row r="20" spans="1:9" x14ac:dyDescent="0.25">
      <c r="A20" s="44" t="s">
        <v>30</v>
      </c>
      <c r="B20" s="42" t="s">
        <v>1071</v>
      </c>
      <c r="C20" s="249"/>
      <c r="D20" s="121">
        <f>IF(s_RadSpec!AX20*s_DAF=0,".",s_RadSpec!AX20*s_DAF)</f>
        <v>109.22353435187127</v>
      </c>
      <c r="E20" s="121">
        <f>IFERROR(s_res!AT20*s_DAF,".")</f>
        <v>187265242269.89331</v>
      </c>
      <c r="F20" s="121">
        <f>IFERROR((D20*0.001*(s_RadSpec!AU20+(s_θw/s_ρb))*1),".")</f>
        <v>22.964248097480933</v>
      </c>
      <c r="G20" s="121">
        <f>IFERROR((E20*0.001*(s_RadSpec!AU20+(s_θw/s_ρb))*1),".")</f>
        <v>39372517187.245071</v>
      </c>
      <c r="H20" s="121">
        <f t="shared" si="0"/>
        <v>0.38228237023154943</v>
      </c>
      <c r="I20" s="121">
        <f t="shared" si="1"/>
        <v>655428347.94462657</v>
      </c>
    </row>
    <row r="21" spans="1:9" x14ac:dyDescent="0.25">
      <c r="A21" s="44" t="s">
        <v>31</v>
      </c>
      <c r="B21" s="42" t="s">
        <v>1071</v>
      </c>
      <c r="C21" s="249"/>
      <c r="D21" s="121">
        <f>IF(s_RadSpec!AX21*s_DAF=0,".",s_RadSpec!AX21*s_DAF)</f>
        <v>109.22353435187127</v>
      </c>
      <c r="E21" s="121">
        <f>IFERROR(s_res!AT21*s_DAF,".")</f>
        <v>7172.2447087958089</v>
      </c>
      <c r="F21" s="121">
        <f>IFERROR((D21*0.001*(s_RadSpec!AU21+(s_θw/s_ρb))*1),".")</f>
        <v>22.964248097480933</v>
      </c>
      <c r="G21" s="121">
        <f>IFERROR((E21*0.001*(s_RadSpec!AU21+(s_θw/s_ρb))*1),".")</f>
        <v>1507.9644500243187</v>
      </c>
      <c r="H21" s="121">
        <f t="shared" si="0"/>
        <v>0.38228237023154943</v>
      </c>
      <c r="I21" s="121">
        <f t="shared" si="1"/>
        <v>25.102856480785331</v>
      </c>
    </row>
    <row r="22" spans="1:9" x14ac:dyDescent="0.25">
      <c r="A22" s="44" t="s">
        <v>32</v>
      </c>
      <c r="B22" s="42" t="s">
        <v>1071</v>
      </c>
      <c r="C22" s="42"/>
      <c r="D22" s="121" t="str">
        <f>IF(s_RadSpec!AX22*s_DAF=0,".",s_RadSpec!AX22*s_DAF)</f>
        <v>.</v>
      </c>
      <c r="E22" s="121">
        <f>IFERROR(s_res!AT22*s_DAF,".")</f>
        <v>82.04132884985259</v>
      </c>
      <c r="F22" s="121" t="str">
        <f>IFERROR((D22*0.001*(s_RadSpec!AU22+(s_θw/s_ρb))*1),".")</f>
        <v>.</v>
      </c>
      <c r="G22" s="121">
        <f>IFERROR((E22*0.001*(s_RadSpec!AU22+(s_θw/s_ρb))*1),".")</f>
        <v>0.10255166106231574</v>
      </c>
      <c r="H22" s="121" t="str">
        <f t="shared" si="0"/>
        <v>.</v>
      </c>
      <c r="I22" s="121">
        <f t="shared" si="1"/>
        <v>0.28714465097448405</v>
      </c>
    </row>
    <row r="23" spans="1:9" x14ac:dyDescent="0.25">
      <c r="A23" s="46" t="s">
        <v>33</v>
      </c>
      <c r="B23" s="42" t="s">
        <v>349</v>
      </c>
      <c r="C23" s="249"/>
      <c r="D23" s="121">
        <f>IF(s_RadSpec!AX23*s_DAF=0,".",s_RadSpec!AX23*s_DAF)</f>
        <v>36.407844783957088</v>
      </c>
      <c r="E23" s="121">
        <f>IFERROR(s_res!AT23*s_DAF,".")</f>
        <v>24.41019986744115</v>
      </c>
      <c r="F23" s="121">
        <f>IFERROR((D23*0.001*(s_RadSpec!AU23+(s_θw/s_ρb))*1),".")</f>
        <v>4.5509805979946361E-2</v>
      </c>
      <c r="G23" s="121">
        <f>IFERROR((E23*0.001*(s_RadSpec!AU23+(s_θw/s_ρb))*1),".")</f>
        <v>3.0512749834301439E-2</v>
      </c>
      <c r="H23" s="121">
        <f t="shared" si="0"/>
        <v>0.12742745674384981</v>
      </c>
      <c r="I23" s="121">
        <f t="shared" si="1"/>
        <v>8.5435699536044019E-2</v>
      </c>
    </row>
    <row r="24" spans="1:9" x14ac:dyDescent="0.25">
      <c r="A24" s="44" t="s">
        <v>34</v>
      </c>
      <c r="B24" s="42" t="s">
        <v>1071</v>
      </c>
      <c r="C24" s="249"/>
      <c r="D24" s="121" t="str">
        <f>IF(s_RadSpec!AX24*s_DAF=0,".",s_RadSpec!AX24*s_DAF)</f>
        <v>.</v>
      </c>
      <c r="E24" s="121">
        <f>IFERROR(s_res!AT24*s_DAF,".")</f>
        <v>20937075147.544567</v>
      </c>
      <c r="F24" s="121" t="str">
        <f>IFERROR((D24*0.001*(s_RadSpec!AU24+(s_θw/s_ρb))*1),".")</f>
        <v>.</v>
      </c>
      <c r="G24" s="121">
        <f>IFERROR((E24*0.001*(s_RadSpec!AU24+(s_θw/s_ρb))*1),".")</f>
        <v>5234268.7868861416</v>
      </c>
      <c r="H24" s="121" t="str">
        <f t="shared" si="0"/>
        <v>.</v>
      </c>
      <c r="I24" s="121">
        <f t="shared" si="1"/>
        <v>73279763.016405985</v>
      </c>
    </row>
    <row r="25" spans="1:9" x14ac:dyDescent="0.25">
      <c r="A25" s="46" t="s">
        <v>35</v>
      </c>
      <c r="B25" s="42" t="s">
        <v>349</v>
      </c>
      <c r="C25" s="249"/>
      <c r="D25" s="121" t="str">
        <f>IF(s_RadSpec!AX25*s_DAF=0,".",s_RadSpec!AX25*s_DAF)</f>
        <v>.</v>
      </c>
      <c r="E25" s="121">
        <f>IFERROR(s_res!AT25*s_DAF,".")</f>
        <v>31853.728868893886</v>
      </c>
      <c r="F25" s="121" t="str">
        <f>IFERROR((D25*0.001*(s_RadSpec!AU25+(s_θw/s_ρb))*1),".")</f>
        <v>.</v>
      </c>
      <c r="G25" s="121">
        <f>IFERROR((E25*0.001*(s_RadSpec!AU25+(s_θw/s_ρb))*1),".")</f>
        <v>7.9634322172234713</v>
      </c>
      <c r="H25" s="121" t="str">
        <f t="shared" si="0"/>
        <v>.</v>
      </c>
      <c r="I25" s="121">
        <f t="shared" si="1"/>
        <v>111.4880510411286</v>
      </c>
    </row>
    <row r="26" spans="1:9" x14ac:dyDescent="0.25">
      <c r="A26" s="44" t="s">
        <v>36</v>
      </c>
      <c r="B26" s="42" t="s">
        <v>1071</v>
      </c>
      <c r="C26" s="42"/>
      <c r="D26" s="121">
        <f>IF(s_RadSpec!AX26*s_DAF=0,".",s_RadSpec!AX26*s_DAF)</f>
        <v>109.22353435187127</v>
      </c>
      <c r="E26" s="121">
        <f>IFERROR(s_res!AT26*s_DAF,".")</f>
        <v>44.227260348349681</v>
      </c>
      <c r="F26" s="121">
        <f>IFERROR((D26*0.001*(s_RadSpec!AU26+(s_θw/s_ρb))*1),".")</f>
        <v>2.2117765706253931</v>
      </c>
      <c r="G26" s="121">
        <f>IFERROR((E26*0.001*(s_RadSpec!AU26+(s_θw/s_ρb))*1),".")</f>
        <v>0.89560202205408102</v>
      </c>
      <c r="H26" s="121">
        <f t="shared" si="0"/>
        <v>0.38228237023154943</v>
      </c>
      <c r="I26" s="121">
        <f t="shared" si="1"/>
        <v>0.15479541121922388</v>
      </c>
    </row>
    <row r="27" spans="1:9" x14ac:dyDescent="0.25">
      <c r="A27" s="44" t="s">
        <v>37</v>
      </c>
      <c r="B27" s="42" t="s">
        <v>1071</v>
      </c>
      <c r="C27" s="249"/>
      <c r="D27" s="121" t="str">
        <f>IF(s_RadSpec!AX27*s_DAF=0,".",s_RadSpec!AX27*s_DAF)</f>
        <v>.</v>
      </c>
      <c r="E27" s="121">
        <f>IFERROR(s_res!AT27*s_DAF,".")</f>
        <v>9853718700.3920059</v>
      </c>
      <c r="F27" s="121" t="str">
        <f>IFERROR((D27*0.001*(s_RadSpec!AU27+(s_θw/s_ρb))*1),".")</f>
        <v>.</v>
      </c>
      <c r="G27" s="121">
        <f>IFERROR((E27*0.001*(s_RadSpec!AU27+(s_θw/s_ρb))*1),".")</f>
        <v>14783041480.263107</v>
      </c>
      <c r="H27" s="121" t="str">
        <f t="shared" si="0"/>
        <v>.</v>
      </c>
      <c r="I27" s="121">
        <f t="shared" si="1"/>
        <v>34488015.45137202</v>
      </c>
    </row>
    <row r="28" spans="1:9" x14ac:dyDescent="0.25">
      <c r="A28" s="44" t="s">
        <v>38</v>
      </c>
      <c r="B28" s="42" t="s">
        <v>1071</v>
      </c>
      <c r="C28" s="42"/>
      <c r="D28" s="121" t="str">
        <f>IF(s_RadSpec!AX28*s_DAF=0,".",s_RadSpec!AX28*s_DAF)</f>
        <v>.</v>
      </c>
      <c r="E28" s="121">
        <f>IFERROR(s_res!AT28*s_DAF,".")</f>
        <v>6975104.2485920945</v>
      </c>
      <c r="F28" s="121" t="str">
        <f>IFERROR((D28*0.001*(s_RadSpec!AU28+(s_θw/s_ρb))*1),".")</f>
        <v>.</v>
      </c>
      <c r="G28" s="121">
        <f>IFERROR((E28*0.001*(s_RadSpec!AU28+(s_θw/s_ρb))*1),".")</f>
        <v>10464400.14895029</v>
      </c>
      <c r="H28" s="121" t="str">
        <f t="shared" si="0"/>
        <v>.</v>
      </c>
      <c r="I28" s="121">
        <f t="shared" si="1"/>
        <v>24412.864870072332</v>
      </c>
    </row>
    <row r="29" spans="1:9" x14ac:dyDescent="0.25">
      <c r="A29" s="44" t="s">
        <v>39</v>
      </c>
      <c r="B29" s="42" t="s">
        <v>1071</v>
      </c>
      <c r="C29" s="249"/>
      <c r="D29" s="121" t="str">
        <f>IF(s_RadSpec!AX29*s_DAF=0,".",s_RadSpec!AX29*s_DAF)</f>
        <v>.</v>
      </c>
      <c r="E29" s="121">
        <f>IFERROR(s_res!AT29*s_DAF,".")</f>
        <v>5398124.157606056</v>
      </c>
      <c r="F29" s="121" t="str">
        <f>IFERROR((D29*0.001*(s_RadSpec!AU29+(s_θw/s_ρb))*1),".")</f>
        <v>.</v>
      </c>
      <c r="G29" s="121">
        <f>IFERROR((E29*0.001*(s_RadSpec!AU29+(s_θw/s_ρb))*1),".")</f>
        <v>8098535.7674484849</v>
      </c>
      <c r="H29" s="121" t="str">
        <f t="shared" si="0"/>
        <v>.</v>
      </c>
      <c r="I29" s="121">
        <f t="shared" si="1"/>
        <v>18893.434551621194</v>
      </c>
    </row>
    <row r="30" spans="1:9" x14ac:dyDescent="0.25">
      <c r="A30" s="44" t="s">
        <v>40</v>
      </c>
      <c r="B30" s="42" t="s">
        <v>1071</v>
      </c>
      <c r="C30" s="42"/>
      <c r="D30" s="121">
        <f>IF(s_RadSpec!AX30*s_DAF=0,".",s_RadSpec!AX30*s_DAF)</f>
        <v>2105887.3930773539</v>
      </c>
      <c r="E30" s="121">
        <f>IFERROR(s_res!AT30*s_DAF,".")</f>
        <v>133.59021534438725</v>
      </c>
      <c r="F30" s="121">
        <f>IFERROR((D30*0.001*(s_RadSpec!AU30+(s_θw/s_ρb))*1),".")</f>
        <v>1368.82680550028</v>
      </c>
      <c r="G30" s="121">
        <f>IFERROR((E30*0.001*(s_RadSpec!AU30+(s_θw/s_ρb))*1),".")</f>
        <v>8.6833639973851712E-2</v>
      </c>
      <c r="H30" s="121">
        <f t="shared" si="0"/>
        <v>7370.6058757707387</v>
      </c>
      <c r="I30" s="121">
        <f t="shared" si="1"/>
        <v>0.46756575370535536</v>
      </c>
    </row>
    <row r="31" spans="1:9" x14ac:dyDescent="0.25">
      <c r="A31" s="82" t="s">
        <v>13</v>
      </c>
      <c r="B31" s="82" t="s">
        <v>1071</v>
      </c>
      <c r="C31" s="57"/>
      <c r="D31" s="58">
        <f>1/SUM(1/D32,1/D33,1/D34,1/D35,1/D36,1/D38,1/D39,1/D40,1/D41,1/D42)</f>
        <v>13.603773719183023</v>
      </c>
      <c r="E31" s="58">
        <f>1/SUM(1/E32,1/E33,1/E34,1/E35,1/E36,1/E37,1/E38,1/E39,1/E40,1/E41,1/E42,1/E43,1/E44)</f>
        <v>12.542502502815079</v>
      </c>
      <c r="F31" s="58">
        <f>1/SUM(1/F32,1/F33,1/F34,1/F35,1/F36,1/F38,1/F39,1/F40,1/F41,1/F42)</f>
        <v>4.1753915146504193E-2</v>
      </c>
      <c r="G31" s="58">
        <f>1/SUM(1/G32,1/G33,1/G34,1/G35,1/G36,1/G37,1/G38,1/G39,1/G40,1/G41,1/G42,1/G43,1/G44)</f>
        <v>2.5321654406904627E-2</v>
      </c>
      <c r="H31" s="58">
        <f>1/SUM(1/H32,1/H33,1/H34,1/H35,1/H36,1/H38,1/H39,1/H40,1/H41,1/H42)</f>
        <v>4.7613208017140571E-2</v>
      </c>
      <c r="I31" s="58">
        <f>1/SUM(1/I32,1/I33,1/I34,1/I35,1/I36,1/I37,1/I38,1/I39,1/I40,1/I41,1/I42,1/I43,1/I44)</f>
        <v>4.3898758759852774E-2</v>
      </c>
    </row>
    <row r="32" spans="1:9" x14ac:dyDescent="0.25">
      <c r="A32" s="83" t="s">
        <v>1099</v>
      </c>
      <c r="B32" s="42">
        <v>1</v>
      </c>
      <c r="C32" s="42"/>
      <c r="D32" s="60">
        <f>IFERROR(D3/$B32,0)</f>
        <v>109.22353435187127</v>
      </c>
      <c r="E32" s="60">
        <f>IFERROR(E3/$B32,0)</f>
        <v>95.812897536875667</v>
      </c>
      <c r="F32" s="60">
        <f t="shared" ref="F32:I32" si="2">IFERROR(F3/$B32,0)</f>
        <v>0.46420002099545288</v>
      </c>
      <c r="G32" s="60">
        <f t="shared" si="2"/>
        <v>0.40720481453172158</v>
      </c>
      <c r="H32" s="60">
        <f t="shared" si="2"/>
        <v>0.38228237023154943</v>
      </c>
      <c r="I32" s="60">
        <f t="shared" si="2"/>
        <v>0.33534514137906485</v>
      </c>
    </row>
    <row r="33" spans="1:9" x14ac:dyDescent="0.25">
      <c r="A33" s="83" t="s">
        <v>1075</v>
      </c>
      <c r="B33" s="42">
        <v>1</v>
      </c>
      <c r="C33" s="42"/>
      <c r="D33" s="60">
        <f>IFERROR(D13/$B33,0)</f>
        <v>109.22353435187127</v>
      </c>
      <c r="E33" s="60">
        <f>IFERROR(E13/$B33,0)</f>
        <v>151.7924041127697</v>
      </c>
      <c r="F33" s="60">
        <f t="shared" ref="F33:I33" si="3">IFERROR(F13/$B33,0)</f>
        <v>4.9150590458342074E-2</v>
      </c>
      <c r="G33" s="60">
        <f t="shared" si="3"/>
        <v>6.8306581850746367E-2</v>
      </c>
      <c r="H33" s="60">
        <f t="shared" si="3"/>
        <v>0.38228237023154943</v>
      </c>
      <c r="I33" s="60">
        <f t="shared" si="3"/>
        <v>0.53127341439469389</v>
      </c>
    </row>
    <row r="34" spans="1:9" x14ac:dyDescent="0.25">
      <c r="A34" s="83" t="s">
        <v>1076</v>
      </c>
      <c r="B34" s="42">
        <v>1</v>
      </c>
      <c r="C34" s="42"/>
      <c r="D34" s="60">
        <f>IFERROR(D14/$B34,0)</f>
        <v>2184.4706870374253</v>
      </c>
      <c r="E34" s="60">
        <f>IFERROR(E14/$B34,0)</f>
        <v>1498.0356101927182</v>
      </c>
      <c r="F34" s="60">
        <f t="shared" ref="F34:I34" si="4">IFERROR(F14/$B34,0)</f>
        <v>4369.4874917466095</v>
      </c>
      <c r="G34" s="60">
        <f t="shared" si="4"/>
        <v>2996.4457292879842</v>
      </c>
      <c r="H34" s="60">
        <f t="shared" si="4"/>
        <v>7.6456474046309886</v>
      </c>
      <c r="I34" s="60">
        <f t="shared" si="4"/>
        <v>5.2431246356745138</v>
      </c>
    </row>
    <row r="35" spans="1:9" x14ac:dyDescent="0.25">
      <c r="A35" s="83" t="s">
        <v>1077</v>
      </c>
      <c r="B35" s="42">
        <v>1</v>
      </c>
      <c r="C35" s="42"/>
      <c r="D35" s="60">
        <f>IFERROR(D30/$B35,0)</f>
        <v>2105887.3930773539</v>
      </c>
      <c r="E35" s="60">
        <f>IFERROR(E30/$B35,0)</f>
        <v>133.59021534438725</v>
      </c>
      <c r="F35" s="60">
        <f t="shared" ref="F35:I35" si="5">IFERROR(F30/$B35,0)</f>
        <v>1368.82680550028</v>
      </c>
      <c r="G35" s="60">
        <f t="shared" si="5"/>
        <v>8.6833639973851712E-2</v>
      </c>
      <c r="H35" s="60">
        <f t="shared" si="5"/>
        <v>7370.6058757707387</v>
      </c>
      <c r="I35" s="60">
        <f t="shared" si="5"/>
        <v>0.46756575370535536</v>
      </c>
    </row>
    <row r="36" spans="1:9" x14ac:dyDescent="0.25">
      <c r="A36" s="83" t="s">
        <v>1078</v>
      </c>
      <c r="B36" s="42">
        <v>1</v>
      </c>
      <c r="C36" s="42"/>
      <c r="D36" s="60">
        <f>IFERROR(D26/$B36,0)</f>
        <v>109.22353435187127</v>
      </c>
      <c r="E36" s="60">
        <f>IFERROR(E26/$B36,0)</f>
        <v>44.227260348349681</v>
      </c>
      <c r="F36" s="60">
        <f t="shared" ref="F36:I36" si="6">IFERROR(F26/$B36,0)</f>
        <v>2.2117765706253931</v>
      </c>
      <c r="G36" s="60">
        <f t="shared" si="6"/>
        <v>0.89560202205408102</v>
      </c>
      <c r="H36" s="60">
        <f t="shared" si="6"/>
        <v>0.38228237023154943</v>
      </c>
      <c r="I36" s="60">
        <f t="shared" si="6"/>
        <v>0.15479541121922388</v>
      </c>
    </row>
    <row r="37" spans="1:9" x14ac:dyDescent="0.25">
      <c r="A37" s="83" t="s">
        <v>1079</v>
      </c>
      <c r="B37" s="42">
        <v>1</v>
      </c>
      <c r="C37" s="42"/>
      <c r="D37" s="60">
        <f>IFERROR(D22/$B37,0)</f>
        <v>0</v>
      </c>
      <c r="E37" s="60">
        <f>IFERROR(E22/$B37,0)</f>
        <v>82.04132884985259</v>
      </c>
      <c r="F37" s="60">
        <f t="shared" ref="F37:I37" si="7">IFERROR(F22/$B37,0)</f>
        <v>0</v>
      </c>
      <c r="G37" s="60">
        <f t="shared" si="7"/>
        <v>0.10255166106231574</v>
      </c>
      <c r="H37" s="60">
        <f t="shared" si="7"/>
        <v>0</v>
      </c>
      <c r="I37" s="60">
        <f t="shared" si="7"/>
        <v>0.28714465097448405</v>
      </c>
    </row>
    <row r="38" spans="1:9" x14ac:dyDescent="0.25">
      <c r="A38" s="83" t="s">
        <v>1080</v>
      </c>
      <c r="B38" s="42">
        <v>1</v>
      </c>
      <c r="C38" s="42"/>
      <c r="D38" s="60">
        <f>IFERROR(D2/$B38,0)</f>
        <v>109.22353435187127</v>
      </c>
      <c r="E38" s="60">
        <f>IFERROR(E2/$B38,0)</f>
        <v>50.892107213910862</v>
      </c>
      <c r="F38" s="60">
        <f t="shared" ref="F38:I38" si="8">IFERROR(F2/$B38,0)</f>
        <v>185.70731428176913</v>
      </c>
      <c r="G38" s="60">
        <f t="shared" si="8"/>
        <v>86.529305290451944</v>
      </c>
      <c r="H38" s="60">
        <f t="shared" si="8"/>
        <v>0.38228237023154943</v>
      </c>
      <c r="I38" s="60">
        <f t="shared" si="8"/>
        <v>0.17812237524868801</v>
      </c>
    </row>
    <row r="39" spans="1:9" x14ac:dyDescent="0.25">
      <c r="A39" s="83" t="s">
        <v>1081</v>
      </c>
      <c r="B39" s="42">
        <v>1</v>
      </c>
      <c r="C39" s="42"/>
      <c r="D39" s="60">
        <f>IFERROR(D11/$B39,0)</f>
        <v>109.22353435187127</v>
      </c>
      <c r="E39" s="60">
        <f>IFERROR(E11/$B39,0)</f>
        <v>572151408.40985835</v>
      </c>
      <c r="F39" s="60">
        <f t="shared" ref="F39:I39" si="9">IFERROR(F11/$B39,0)</f>
        <v>27.333189471555784</v>
      </c>
      <c r="G39" s="60">
        <f t="shared" si="9"/>
        <v>143180889.95456704</v>
      </c>
      <c r="H39" s="60">
        <f t="shared" si="9"/>
        <v>0.38228237023154943</v>
      </c>
      <c r="I39" s="60">
        <f t="shared" si="9"/>
        <v>2002529.9294345044</v>
      </c>
    </row>
    <row r="40" spans="1:9" x14ac:dyDescent="0.25">
      <c r="A40" s="83" t="s">
        <v>1082</v>
      </c>
      <c r="B40" s="42">
        <v>1</v>
      </c>
      <c r="C40" s="42"/>
      <c r="D40" s="60">
        <f>IFERROR(D4/$B40,0)</f>
        <v>109.22353435187127</v>
      </c>
      <c r="E40" s="60">
        <f>IFERROR(E4/$B40,0)</f>
        <v>67845276297.781044</v>
      </c>
      <c r="F40" s="60">
        <f t="shared" ref="F40:I40" si="10">IFERROR(F4/$B40,0)</f>
        <v>1.1195412271066805</v>
      </c>
      <c r="G40" s="60">
        <f t="shared" si="10"/>
        <v>695414082.05225575</v>
      </c>
      <c r="H40" s="60">
        <f t="shared" si="10"/>
        <v>0.38228237023154943</v>
      </c>
      <c r="I40" s="60">
        <f t="shared" si="10"/>
        <v>237458467.04223365</v>
      </c>
    </row>
    <row r="41" spans="1:9" x14ac:dyDescent="0.25">
      <c r="A41" s="83" t="s">
        <v>1083</v>
      </c>
      <c r="B41" s="84">
        <v>0.99987999999999999</v>
      </c>
      <c r="C41" s="84"/>
      <c r="D41" s="60">
        <f>IFERROR(D8/$B41,0)</f>
        <v>109.23664274900115</v>
      </c>
      <c r="E41" s="60">
        <f>IFERROR(E8/$B41,0)</f>
        <v>13168.416870029945</v>
      </c>
      <c r="F41" s="60">
        <f t="shared" ref="F41:I41" si="11">IFERROR(F8/$B41,0)</f>
        <v>52.4608976802078</v>
      </c>
      <c r="G41" s="60">
        <f t="shared" si="11"/>
        <v>6324.1322018318815</v>
      </c>
      <c r="H41" s="60">
        <f t="shared" si="11"/>
        <v>0.38232824962150402</v>
      </c>
      <c r="I41" s="60">
        <f t="shared" si="11"/>
        <v>46.08945904510481</v>
      </c>
    </row>
    <row r="42" spans="1:9" x14ac:dyDescent="0.25">
      <c r="A42" s="83" t="s">
        <v>1084</v>
      </c>
      <c r="B42" s="42">
        <v>0.97898250799999997</v>
      </c>
      <c r="C42" s="42"/>
      <c r="D42" s="60">
        <f>IFERROR(D19/$B42,0)</f>
        <v>111.56842278521208</v>
      </c>
      <c r="E42" s="60">
        <f>IFERROR(E19/$B42,0)</f>
        <v>424154994009.19879</v>
      </c>
      <c r="F42" s="60">
        <f t="shared" ref="F42:I42" si="12">IFERROR(F19/$B42,0)</f>
        <v>23.457260890590838</v>
      </c>
      <c r="G42" s="60">
        <f t="shared" si="12"/>
        <v>89178587490.434052</v>
      </c>
      <c r="H42" s="60">
        <f t="shared" si="12"/>
        <v>0.39048947974824227</v>
      </c>
      <c r="I42" s="60">
        <f t="shared" si="12"/>
        <v>1484542479.0321958</v>
      </c>
    </row>
    <row r="43" spans="1:9" x14ac:dyDescent="0.25">
      <c r="A43" s="83" t="s">
        <v>1085</v>
      </c>
      <c r="B43" s="42">
        <v>2.0897492E-2</v>
      </c>
      <c r="C43" s="42"/>
      <c r="D43" s="60">
        <f>IFERROR(D28/$B43,0)</f>
        <v>0</v>
      </c>
      <c r="E43" s="60">
        <f>IFERROR(E28/$B43,0)</f>
        <v>333777098.63901824</v>
      </c>
      <c r="F43" s="60">
        <f t="shared" ref="F43:I43" si="13">IFERROR(F28/$B43,0)</f>
        <v>0</v>
      </c>
      <c r="G43" s="60">
        <f t="shared" si="13"/>
        <v>500749092.23318714</v>
      </c>
      <c r="H43" s="60">
        <f t="shared" si="13"/>
        <v>0</v>
      </c>
      <c r="I43" s="60">
        <f t="shared" si="13"/>
        <v>1168219.8452365638</v>
      </c>
    </row>
    <row r="44" spans="1:9" x14ac:dyDescent="0.25">
      <c r="A44" s="83" t="s">
        <v>1086</v>
      </c>
      <c r="B44" s="42">
        <v>0.99987999999999999</v>
      </c>
      <c r="C44" s="42"/>
      <c r="D44" s="60">
        <f>IFERROR(D15/$B44,0)</f>
        <v>0</v>
      </c>
      <c r="E44" s="60">
        <f>IFERROR(E15/$B44,0)</f>
        <v>38447.915523576201</v>
      </c>
      <c r="F44" s="60">
        <f t="shared" ref="F44:I44" si="14">IFERROR(F15/$B44,0)</f>
        <v>0</v>
      </c>
      <c r="G44" s="60">
        <f t="shared" si="14"/>
        <v>5776.7993074173246</v>
      </c>
      <c r="H44" s="60">
        <f t="shared" si="14"/>
        <v>0</v>
      </c>
      <c r="I44" s="60">
        <f t="shared" si="14"/>
        <v>134.56770433251668</v>
      </c>
    </row>
    <row r="45" spans="1:9" x14ac:dyDescent="0.25">
      <c r="A45" s="82" t="s">
        <v>20</v>
      </c>
      <c r="B45" s="82" t="s">
        <v>1071</v>
      </c>
      <c r="C45" s="57"/>
      <c r="D45" s="58">
        <f t="shared" ref="D45:H45" si="15">IFERROR(IF(AND(D46&lt;&gt;0,D47&lt;&gt;0),1/SUM(1/D46,1/D47),IF(AND(D46&lt;&gt;0,D47=0),1/(1/D46),IF(AND(D46=0,D47&lt;&gt;0),1/(1/D47),IF(AND(D46=0,D47=0),".")))),".")</f>
        <v>1456.3137913582837</v>
      </c>
      <c r="E45" s="58">
        <f t="shared" si="15"/>
        <v>312.14578360374264</v>
      </c>
      <c r="F45" s="122">
        <f t="shared" si="15"/>
        <v>14.927216361422408</v>
      </c>
      <c r="G45" s="122">
        <f>IFERROR(IF(AND(G46&lt;&gt;0,G47&lt;&gt;0),1/SUM(1/G46,1/G47),IF(AND(G46&lt;&gt;0,G47=0),1/(1/G46),IF(AND(G46=0,G47&lt;&gt;0),1/(1/G47),IF(AND(G46=0,G47=0),".")))),".")</f>
        <v>3.1989695131554505</v>
      </c>
      <c r="H45" s="122">
        <f t="shared" si="15"/>
        <v>5.0970982697539924</v>
      </c>
      <c r="I45" s="122">
        <f>IFERROR(IF(AND(I46&lt;&gt;0,I47&lt;&gt;0),1/SUM(1/I46,1/I47),IF(AND(I46&lt;&gt;0,I47=0),1/(1/I46),IF(AND(I46=0,I47&lt;&gt;0),1/(1/I47),IF(AND(I46=0,I47=0),".")))),".")</f>
        <v>1.0925102426130993</v>
      </c>
    </row>
    <row r="46" spans="1:9" x14ac:dyDescent="0.25">
      <c r="A46" s="83" t="s">
        <v>1098</v>
      </c>
      <c r="B46" s="42">
        <v>1</v>
      </c>
      <c r="C46" s="42"/>
      <c r="D46" s="60">
        <f>IFERROR(D10/$B46,0)</f>
        <v>1456.3137913582837</v>
      </c>
      <c r="E46" s="60">
        <f>IFERROR(E10/$B46,0)</f>
        <v>312.1492506713567</v>
      </c>
      <c r="F46" s="60">
        <f t="shared" ref="F46:I46" si="16">IFERROR(F10/$B46,0)</f>
        <v>14.927216361422408</v>
      </c>
      <c r="G46" s="60">
        <f t="shared" si="16"/>
        <v>3.1995298193814059</v>
      </c>
      <c r="H46" s="60">
        <f t="shared" si="16"/>
        <v>5.0970982697539924</v>
      </c>
      <c r="I46" s="60">
        <f t="shared" si="16"/>
        <v>1.0925223773497483</v>
      </c>
    </row>
    <row r="47" spans="1:9" x14ac:dyDescent="0.25">
      <c r="A47" s="83" t="s">
        <v>1072</v>
      </c>
      <c r="B47" s="85">
        <v>0.94399</v>
      </c>
      <c r="C47" s="85"/>
      <c r="D47" s="60">
        <f>IFERROR(D6/$B$47,0)</f>
        <v>0</v>
      </c>
      <c r="E47" s="60">
        <f>IFERROR(E6/$B$47,0)</f>
        <v>28103308.991516389</v>
      </c>
      <c r="F47" s="60">
        <f t="shared" ref="F47:I47" si="17">IFERROR(F6/$B$47,0)</f>
        <v>0</v>
      </c>
      <c r="G47" s="60">
        <f t="shared" si="17"/>
        <v>18267.150844485655</v>
      </c>
      <c r="H47" s="60">
        <f t="shared" si="17"/>
        <v>0</v>
      </c>
      <c r="I47" s="60">
        <f t="shared" si="17"/>
        <v>98361.581470307356</v>
      </c>
    </row>
    <row r="48" spans="1:9" x14ac:dyDescent="0.25">
      <c r="A48" s="82" t="s">
        <v>33</v>
      </c>
      <c r="B48" s="82" t="s">
        <v>1071</v>
      </c>
      <c r="C48" s="250"/>
      <c r="D48" s="58">
        <f>1/SUM(1/D49,1/D51,1/D53,1/D54,1/D56,1/D59,1/D61)</f>
        <v>13.652959201435214</v>
      </c>
      <c r="E48" s="58">
        <f>1/SUM(1/E49,1/E50,1/E51,1/E52,1/E53,1/E54,1/E55,1/E56,1/E57,1/E58,1/E59,1/E60,1/E61,1/E62)</f>
        <v>3.1599902578443295</v>
      </c>
      <c r="F48" s="58">
        <f>1/SUM(1/F49,1/F51,1/F53,1/F54,1/F56,1/F59,1/F61)</f>
        <v>4.5162585889462287E-2</v>
      </c>
      <c r="G48" s="58">
        <f>1/SUM(1/G49,1/G50,1/G51,1/G52,1/G53,1/G54,1/G55,1/G56,1/G57,1/G58,1/G59,1/G60,1/G61,1/G62)</f>
        <v>2.9084560105383701E-2</v>
      </c>
      <c r="H48" s="58">
        <f>1/SUM(1/H49,1/H51,1/H53,1/H54,1/H56,1/H59,1/H61)</f>
        <v>4.7785357205023242E-2</v>
      </c>
      <c r="I48" s="58">
        <f>1/SUM(1/I49,1/I50,1/I51,1/I52,1/I53,1/I54,1/I55,1/I56,1/I57,1/I58,1/I59,1/I60,1/I61,1/I62)</f>
        <v>1.105996590245515E-2</v>
      </c>
    </row>
    <row r="49" spans="1:9" x14ac:dyDescent="0.25">
      <c r="A49" s="83" t="s">
        <v>1100</v>
      </c>
      <c r="B49" s="42">
        <v>1</v>
      </c>
      <c r="C49" s="249"/>
      <c r="D49" s="60">
        <f>IFERROR(D23/$B49,0)</f>
        <v>36.407844783957088</v>
      </c>
      <c r="E49" s="60">
        <f>IFERROR(E23/$B49,0)</f>
        <v>24.41019986744115</v>
      </c>
      <c r="F49" s="60">
        <f t="shared" ref="F49:I49" si="18">IFERROR(F23/$B49,0)</f>
        <v>4.5509805979946361E-2</v>
      </c>
      <c r="G49" s="60">
        <f t="shared" si="18"/>
        <v>3.0512749834301439E-2</v>
      </c>
      <c r="H49" s="60">
        <f t="shared" si="18"/>
        <v>0.12742745674384981</v>
      </c>
      <c r="I49" s="60">
        <f t="shared" si="18"/>
        <v>8.5435699536044019E-2</v>
      </c>
    </row>
    <row r="50" spans="1:9" x14ac:dyDescent="0.25">
      <c r="A50" s="83" t="s">
        <v>1087</v>
      </c>
      <c r="B50" s="42">
        <v>1</v>
      </c>
      <c r="C50" s="249"/>
      <c r="D50" s="60">
        <f>IFERROR(D25/$B50,0)</f>
        <v>0</v>
      </c>
      <c r="E50" s="60">
        <f>IFERROR(E25/$B50,0)</f>
        <v>31853.728868893886</v>
      </c>
      <c r="F50" s="60">
        <f t="shared" ref="F50:I50" si="19">IFERROR(F25/$B50,0)</f>
        <v>0</v>
      </c>
      <c r="G50" s="60">
        <f t="shared" si="19"/>
        <v>7.9634322172234713</v>
      </c>
      <c r="H50" s="60">
        <f t="shared" si="19"/>
        <v>0</v>
      </c>
      <c r="I50" s="60">
        <f t="shared" si="19"/>
        <v>111.4880510411286</v>
      </c>
    </row>
    <row r="51" spans="1:9" x14ac:dyDescent="0.25">
      <c r="A51" s="83" t="s">
        <v>1073</v>
      </c>
      <c r="B51" s="42">
        <v>1</v>
      </c>
      <c r="C51" s="249"/>
      <c r="D51" s="60">
        <f>IFERROR(D21/$B51,0)</f>
        <v>109.22353435187127</v>
      </c>
      <c r="E51" s="60">
        <f>IFERROR(E21/$B51,0)</f>
        <v>7172.2447087958089</v>
      </c>
      <c r="F51" s="60">
        <f t="shared" ref="F51:I51" si="20">IFERROR(F21/$B51,0)</f>
        <v>22.964248097480933</v>
      </c>
      <c r="G51" s="60">
        <f t="shared" si="20"/>
        <v>1507.9644500243187</v>
      </c>
      <c r="H51" s="60">
        <f t="shared" si="20"/>
        <v>0.38228237023154943</v>
      </c>
      <c r="I51" s="60">
        <f t="shared" si="20"/>
        <v>25.102856480785331</v>
      </c>
    </row>
    <row r="52" spans="1:9" x14ac:dyDescent="0.25">
      <c r="A52" s="83" t="s">
        <v>1074</v>
      </c>
      <c r="B52" s="85">
        <v>0.99980000000000002</v>
      </c>
      <c r="C52" s="251"/>
      <c r="D52" s="60">
        <f>IFERROR(D17/$B52,0)</f>
        <v>0</v>
      </c>
      <c r="E52" s="60">
        <f>IFERROR(E17/$B52,0)</f>
        <v>4515.4323897762551</v>
      </c>
      <c r="F52" s="60">
        <f t="shared" ref="F52:I52" si="21">IFERROR(F17/$B52,0)</f>
        <v>0</v>
      </c>
      <c r="G52" s="60">
        <f t="shared" si="21"/>
        <v>678.44371656388239</v>
      </c>
      <c r="H52" s="60">
        <f t="shared" si="21"/>
        <v>0</v>
      </c>
      <c r="I52" s="60">
        <f t="shared" si="21"/>
        <v>15.804013364216894</v>
      </c>
    </row>
    <row r="53" spans="1:9" x14ac:dyDescent="0.25">
      <c r="A53" s="83" t="s">
        <v>1088</v>
      </c>
      <c r="B53" s="42">
        <v>2.0000000000000001E-4</v>
      </c>
      <c r="C53" s="249"/>
      <c r="D53" s="60">
        <f>IFERROR(D5/$B53,0)</f>
        <v>546117.67175935628</v>
      </c>
      <c r="E53" s="60">
        <f>IFERROR(E5/$B53,0)</f>
        <v>1.4140871939059142E+16</v>
      </c>
      <c r="F53" s="60">
        <f t="shared" ref="F53:I53" si="22">IFERROR(F5/$B53,0)</f>
        <v>5597.7061355334017</v>
      </c>
      <c r="G53" s="60">
        <f t="shared" si="22"/>
        <v>144943937375356.22</v>
      </c>
      <c r="H53" s="60">
        <f t="shared" si="22"/>
        <v>1911.4118511577472</v>
      </c>
      <c r="I53" s="60">
        <f t="shared" si="22"/>
        <v>49493051786707</v>
      </c>
    </row>
    <row r="54" spans="1:9" x14ac:dyDescent="0.25">
      <c r="A54" s="83" t="s">
        <v>1089</v>
      </c>
      <c r="B54" s="42">
        <v>0.99999979999999999</v>
      </c>
      <c r="C54" s="249"/>
      <c r="D54" s="60">
        <f>IFERROR(D9/$B54,0)</f>
        <v>109.22355619658251</v>
      </c>
      <c r="E54" s="60">
        <f>IFERROR(E9/$B54,0)</f>
        <v>13920.525106080042</v>
      </c>
      <c r="F54" s="60">
        <f t="shared" ref="F54:I54" si="23">IFERROR(F9/$B54,0)</f>
        <v>52.454612863408748</v>
      </c>
      <c r="G54" s="60">
        <f t="shared" si="23"/>
        <v>6685.3321821949403</v>
      </c>
      <c r="H54" s="60">
        <f t="shared" si="23"/>
        <v>0.38228244668803879</v>
      </c>
      <c r="I54" s="60">
        <f t="shared" si="23"/>
        <v>48.721837871280144</v>
      </c>
    </row>
    <row r="55" spans="1:9" x14ac:dyDescent="0.25">
      <c r="A55" s="83" t="s">
        <v>1090</v>
      </c>
      <c r="B55" s="42">
        <v>1.9999999999999999E-7</v>
      </c>
      <c r="C55" s="249"/>
      <c r="D55" s="60">
        <f>IFERROR(D24/$B55,0)</f>
        <v>0</v>
      </c>
      <c r="E55" s="60">
        <f>IFERROR(E24/$B55,0)</f>
        <v>1.0468537573772285E+17</v>
      </c>
      <c r="F55" s="60">
        <f t="shared" ref="F55:I55" si="24">IFERROR(F24/$B55,0)</f>
        <v>0</v>
      </c>
      <c r="G55" s="60">
        <f t="shared" si="24"/>
        <v>26171343934430.711</v>
      </c>
      <c r="H55" s="60">
        <f t="shared" si="24"/>
        <v>0</v>
      </c>
      <c r="I55" s="60">
        <f t="shared" si="24"/>
        <v>366398815082029.94</v>
      </c>
    </row>
    <row r="56" spans="1:9" x14ac:dyDescent="0.25">
      <c r="A56" s="83" t="s">
        <v>1091</v>
      </c>
      <c r="B56" s="42">
        <v>0.99979000004200003</v>
      </c>
      <c r="C56" s="249"/>
      <c r="D56" s="60">
        <f>IFERROR(D20/$B56,0)</f>
        <v>109.24647610726544</v>
      </c>
      <c r="E56" s="60">
        <f>IFERROR(E20/$B56,0)</f>
        <v>187304576223.03336</v>
      </c>
      <c r="F56" s="60">
        <f t="shared" ref="F56:I56" si="25">IFERROR(F20/$B56,0)</f>
        <v>22.969071601552557</v>
      </c>
      <c r="G56" s="60">
        <f t="shared" si="25"/>
        <v>39380787150.892761</v>
      </c>
      <c r="H56" s="60">
        <f t="shared" si="25"/>
        <v>0.38236266637542904</v>
      </c>
      <c r="I56" s="60">
        <f t="shared" si="25"/>
        <v>655566016.78061676</v>
      </c>
    </row>
    <row r="57" spans="1:9" x14ac:dyDescent="0.25">
      <c r="A57" s="83" t="s">
        <v>1092</v>
      </c>
      <c r="B57" s="42">
        <v>2.0999995799999999E-4</v>
      </c>
      <c r="C57" s="249"/>
      <c r="D57" s="60">
        <f>IFERROR(D29/$B57,0)</f>
        <v>0</v>
      </c>
      <c r="E57" s="60">
        <f>IFERROR(E29/$B57,0)</f>
        <v>25705358272.529064</v>
      </c>
      <c r="F57" s="60">
        <f t="shared" ref="F57:I57" si="26">IFERROR(F29/$B57,0)</f>
        <v>0</v>
      </c>
      <c r="G57" s="60">
        <f t="shared" si="26"/>
        <v>38564463748.361725</v>
      </c>
      <c r="H57" s="60">
        <f t="shared" si="26"/>
        <v>0</v>
      </c>
      <c r="I57" s="60">
        <f t="shared" si="26"/>
        <v>89968753.953851715</v>
      </c>
    </row>
    <row r="58" spans="1:9" x14ac:dyDescent="0.25">
      <c r="A58" s="83" t="s">
        <v>1093</v>
      </c>
      <c r="B58" s="42">
        <v>1</v>
      </c>
      <c r="C58" s="249"/>
      <c r="D58" s="60">
        <f>IFERROR(D16/$B58,0)</f>
        <v>0</v>
      </c>
      <c r="E58" s="60">
        <f>IFERROR(E16/$B58,0)</f>
        <v>10.730980651113967</v>
      </c>
      <c r="F58" s="60">
        <f t="shared" ref="F58:I58" si="27">IFERROR(F16/$B58,0)</f>
        <v>0</v>
      </c>
      <c r="G58" s="60">
        <f t="shared" si="27"/>
        <v>1.6123298428298736</v>
      </c>
      <c r="H58" s="60">
        <f t="shared" si="27"/>
        <v>0</v>
      </c>
      <c r="I58" s="60">
        <f t="shared" si="27"/>
        <v>3.7558432278898886E-2</v>
      </c>
    </row>
    <row r="59" spans="1:9" x14ac:dyDescent="0.25">
      <c r="A59" s="83" t="s">
        <v>1094</v>
      </c>
      <c r="B59" s="42">
        <v>1</v>
      </c>
      <c r="C59" s="249"/>
      <c r="D59" s="60">
        <f>IFERROR(D7/$B59,0)</f>
        <v>109.22353435187127</v>
      </c>
      <c r="E59" s="60">
        <f>IFERROR(E7/$B59,0)</f>
        <v>737.07642648911826</v>
      </c>
      <c r="F59" s="60">
        <f t="shared" ref="F59:I59" si="28">IFERROR(F7/$B59,0)</f>
        <v>52.454602372486178</v>
      </c>
      <c r="G59" s="60">
        <f t="shared" si="28"/>
        <v>353.98095382139905</v>
      </c>
      <c r="H59" s="60">
        <f t="shared" si="28"/>
        <v>0.38228237023154943</v>
      </c>
      <c r="I59" s="60">
        <f t="shared" si="28"/>
        <v>2.5797674927119139</v>
      </c>
    </row>
    <row r="60" spans="1:9" x14ac:dyDescent="0.25">
      <c r="A60" s="83" t="s">
        <v>1095</v>
      </c>
      <c r="B60" s="86">
        <v>1.9000000000000001E-8</v>
      </c>
      <c r="C60" s="252"/>
      <c r="D60" s="60">
        <f>IFERROR(D12/$B60,0)</f>
        <v>0</v>
      </c>
      <c r="E60" s="60">
        <f>IFERROR(E12/$B60,0)</f>
        <v>7064401458033530</v>
      </c>
      <c r="F60" s="60">
        <f t="shared" ref="F60:I60" si="29">IFERROR(F12/$B60,0)</f>
        <v>0</v>
      </c>
      <c r="G60" s="60">
        <f t="shared" si="29"/>
        <v>4.4507495285975744E+16</v>
      </c>
      <c r="H60" s="60">
        <f t="shared" si="29"/>
        <v>0</v>
      </c>
      <c r="I60" s="60">
        <f t="shared" si="29"/>
        <v>24725405103117.355</v>
      </c>
    </row>
    <row r="61" spans="1:9" x14ac:dyDescent="0.25">
      <c r="A61" s="83" t="s">
        <v>1096</v>
      </c>
      <c r="B61" s="42">
        <v>1</v>
      </c>
      <c r="C61" s="249"/>
      <c r="D61" s="60">
        <f>IFERROR(D18/$B61,0)</f>
        <v>109.22353435187127</v>
      </c>
      <c r="E61" s="60">
        <f>IFERROR(E18/$B61,0)</f>
        <v>5.5407423251378916</v>
      </c>
      <c r="F61" s="60">
        <f t="shared" ref="F61:I61" si="30">IFERROR(F18/$B61,0)</f>
        <v>22.964248097480933</v>
      </c>
      <c r="G61" s="60">
        <f t="shared" si="30"/>
        <v>1.1649410738602417</v>
      </c>
      <c r="H61" s="60">
        <f t="shared" si="30"/>
        <v>0.38228237023154943</v>
      </c>
      <c r="I61" s="60">
        <f t="shared" si="30"/>
        <v>1.9392598137982619E-2</v>
      </c>
    </row>
    <row r="62" spans="1:9" x14ac:dyDescent="0.25">
      <c r="A62" s="83" t="s">
        <v>1097</v>
      </c>
      <c r="B62" s="42">
        <v>1.339E-6</v>
      </c>
      <c r="C62" s="249"/>
      <c r="D62" s="60">
        <f>IFERROR(D27/$B62,0)</f>
        <v>0</v>
      </c>
      <c r="E62" s="60">
        <f>IFERROR(E27/$B62,0)</f>
        <v>7359013219112775</v>
      </c>
      <c r="F62" s="60">
        <f t="shared" ref="F62:I62" si="31">IFERROR(F27/$B62,0)</f>
        <v>0</v>
      </c>
      <c r="G62" s="60">
        <f t="shared" si="31"/>
        <v>1.1040359581973942E+16</v>
      </c>
      <c r="H62" s="60">
        <f t="shared" si="31"/>
        <v>0</v>
      </c>
      <c r="I62" s="60">
        <f t="shared" si="31"/>
        <v>25756546266894.711</v>
      </c>
    </row>
    <row r="63" spans="1:9" x14ac:dyDescent="0.25">
      <c r="A63" s="82" t="s">
        <v>35</v>
      </c>
      <c r="B63" s="82" t="s">
        <v>1071</v>
      </c>
      <c r="C63" s="57"/>
      <c r="D63" s="58">
        <f>1/SUM(1/D65,1/D67,1/D68,1/D70,1/D73,1/D75)</f>
        <v>21.84475143348368</v>
      </c>
      <c r="E63" s="58">
        <f>1/SUM(1/E64,1/E65,1/E66,1/E67,1/E68,1/E69,1/E70,1/E71,1/E72,1/E73,1/E74,1/E75,1/E76)</f>
        <v>3.6298933135375546</v>
      </c>
      <c r="F63" s="58">
        <f>1/SUM(1/F65,1/F67,1/F68,1/F70,1/F73,1/F75)</f>
        <v>5.9194170432840245</v>
      </c>
      <c r="G63" s="58">
        <f>1/SUM(1/G64,1/G65,1/G66,1/G67,1/G68,1/G69,1/G70,1/G71,1/G72,1/G73,1/G74,1/G75,1/G76)</f>
        <v>0.62138096120378294</v>
      </c>
      <c r="H63" s="58">
        <f>1/SUM(1/H65,1/H67,1/H68,1/H70,1/H73,1/H75)</f>
        <v>7.6456630017192884E-2</v>
      </c>
      <c r="I63" s="58">
        <f>1/SUM(1/I64,1/I65,1/I66,1/I67,1/I68,1/I69,1/I70,1/I71,1/I72,1/I73,1/I74,1/I75,1/I76)</f>
        <v>1.2704626597381436E-2</v>
      </c>
    </row>
    <row r="64" spans="1:9" x14ac:dyDescent="0.25">
      <c r="A64" s="83" t="s">
        <v>1087</v>
      </c>
      <c r="B64" s="42">
        <v>1</v>
      </c>
      <c r="C64" s="178"/>
      <c r="D64" s="60">
        <f>IFERROR(D25/$B50,0)</f>
        <v>0</v>
      </c>
      <c r="E64" s="60">
        <f>IFERROR(E25/$B50,0)</f>
        <v>31853.728868893886</v>
      </c>
      <c r="F64" s="60">
        <f t="shared" ref="F64:I64" si="32">IFERROR(F25/$B50,0)</f>
        <v>0</v>
      </c>
      <c r="G64" s="60">
        <f t="shared" si="32"/>
        <v>7.9634322172234713</v>
      </c>
      <c r="H64" s="60">
        <f t="shared" si="32"/>
        <v>0</v>
      </c>
      <c r="I64" s="60">
        <f t="shared" si="32"/>
        <v>111.4880510411286</v>
      </c>
    </row>
    <row r="65" spans="1:9" x14ac:dyDescent="0.25">
      <c r="A65" s="83" t="s">
        <v>1073</v>
      </c>
      <c r="B65" s="42">
        <v>1</v>
      </c>
      <c r="C65" s="178"/>
      <c r="D65" s="60">
        <f>IFERROR(D21/$B51,0)</f>
        <v>109.22353435187127</v>
      </c>
      <c r="E65" s="60">
        <f>IFERROR(E21/$B51,0)</f>
        <v>7172.2447087958089</v>
      </c>
      <c r="F65" s="60">
        <f t="shared" ref="F65:I65" si="33">IFERROR(F21/$B51,0)</f>
        <v>22.964248097480933</v>
      </c>
      <c r="G65" s="60">
        <f t="shared" si="33"/>
        <v>1507.9644500243187</v>
      </c>
      <c r="H65" s="60">
        <f t="shared" si="33"/>
        <v>0.38228237023154943</v>
      </c>
      <c r="I65" s="60">
        <f t="shared" si="33"/>
        <v>25.102856480785331</v>
      </c>
    </row>
    <row r="66" spans="1:9" x14ac:dyDescent="0.25">
      <c r="A66" s="83" t="s">
        <v>1074</v>
      </c>
      <c r="B66" s="85">
        <v>0.99980000000000002</v>
      </c>
      <c r="C66" s="181"/>
      <c r="D66" s="60">
        <f>IFERROR(D17/$B52,0)</f>
        <v>0</v>
      </c>
      <c r="E66" s="60">
        <f>IFERROR(E17/$B52,0)</f>
        <v>4515.4323897762551</v>
      </c>
      <c r="F66" s="60">
        <f t="shared" ref="F66:I66" si="34">IFERROR(F17/$B52,0)</f>
        <v>0</v>
      </c>
      <c r="G66" s="60">
        <f t="shared" si="34"/>
        <v>678.44371656388239</v>
      </c>
      <c r="H66" s="60">
        <f t="shared" si="34"/>
        <v>0</v>
      </c>
      <c r="I66" s="60">
        <f t="shared" si="34"/>
        <v>15.804013364216894</v>
      </c>
    </row>
    <row r="67" spans="1:9" x14ac:dyDescent="0.25">
      <c r="A67" s="83" t="s">
        <v>1088</v>
      </c>
      <c r="B67" s="42">
        <v>2.0000000000000001E-4</v>
      </c>
      <c r="C67" s="178"/>
      <c r="D67" s="60">
        <f>IFERROR(D5/$B53,0)</f>
        <v>546117.67175935628</v>
      </c>
      <c r="E67" s="60">
        <f>IFERROR(E5/$B53,0)</f>
        <v>1.4140871939059142E+16</v>
      </c>
      <c r="F67" s="60">
        <f t="shared" ref="F67:I67" si="35">IFERROR(F5/$B53,0)</f>
        <v>5597.7061355334017</v>
      </c>
      <c r="G67" s="60">
        <f t="shared" si="35"/>
        <v>144943937375356.22</v>
      </c>
      <c r="H67" s="60">
        <f t="shared" si="35"/>
        <v>1911.4118511577472</v>
      </c>
      <c r="I67" s="60">
        <f t="shared" si="35"/>
        <v>49493051786707</v>
      </c>
    </row>
    <row r="68" spans="1:9" x14ac:dyDescent="0.25">
      <c r="A68" s="83" t="s">
        <v>1089</v>
      </c>
      <c r="B68" s="42">
        <v>0.99999979999999999</v>
      </c>
      <c r="C68" s="178"/>
      <c r="D68" s="60">
        <f>IFERROR(D9/$B54,0)</f>
        <v>109.22355619658251</v>
      </c>
      <c r="E68" s="60">
        <f>IFERROR(E9/$B54,0)</f>
        <v>13920.525106080042</v>
      </c>
      <c r="F68" s="60">
        <f t="shared" ref="F68:I68" si="36">IFERROR(F9/$B54,0)</f>
        <v>52.454612863408748</v>
      </c>
      <c r="G68" s="60">
        <f t="shared" si="36"/>
        <v>6685.3321821949403</v>
      </c>
      <c r="H68" s="60">
        <f t="shared" si="36"/>
        <v>0.38228244668803879</v>
      </c>
      <c r="I68" s="60">
        <f t="shared" si="36"/>
        <v>48.721837871280144</v>
      </c>
    </row>
    <row r="69" spans="1:9" x14ac:dyDescent="0.25">
      <c r="A69" s="83" t="s">
        <v>1090</v>
      </c>
      <c r="B69" s="42">
        <v>1.9999999999999999E-7</v>
      </c>
      <c r="C69" s="178"/>
      <c r="D69" s="60">
        <f>IFERROR(D24/$B55,0)</f>
        <v>0</v>
      </c>
      <c r="E69" s="60">
        <f>IFERROR(E24/$B55,0)</f>
        <v>1.0468537573772285E+17</v>
      </c>
      <c r="F69" s="60">
        <f t="shared" ref="F69:I69" si="37">IFERROR(F24/$B55,0)</f>
        <v>0</v>
      </c>
      <c r="G69" s="60">
        <f t="shared" si="37"/>
        <v>26171343934430.711</v>
      </c>
      <c r="H69" s="60">
        <f t="shared" si="37"/>
        <v>0</v>
      </c>
      <c r="I69" s="60">
        <f t="shared" si="37"/>
        <v>366398815082029.94</v>
      </c>
    </row>
    <row r="70" spans="1:9" x14ac:dyDescent="0.25">
      <c r="A70" s="83" t="s">
        <v>1091</v>
      </c>
      <c r="B70" s="42">
        <v>0.99979000004200003</v>
      </c>
      <c r="C70" s="178"/>
      <c r="D70" s="60">
        <f>IFERROR(D20/$B56,0)</f>
        <v>109.24647610726544</v>
      </c>
      <c r="E70" s="60">
        <f>IFERROR(E20/$B56,0)</f>
        <v>187304576223.03336</v>
      </c>
      <c r="F70" s="60">
        <f t="shared" ref="F70:I70" si="38">IFERROR(F20/$B56,0)</f>
        <v>22.969071601552557</v>
      </c>
      <c r="G70" s="60">
        <f t="shared" si="38"/>
        <v>39380787150.892761</v>
      </c>
      <c r="H70" s="60">
        <f t="shared" si="38"/>
        <v>0.38236266637542904</v>
      </c>
      <c r="I70" s="60">
        <f t="shared" si="38"/>
        <v>655566016.78061676</v>
      </c>
    </row>
    <row r="71" spans="1:9" x14ac:dyDescent="0.25">
      <c r="A71" s="83" t="s">
        <v>1092</v>
      </c>
      <c r="B71" s="42">
        <v>2.0999995799999999E-4</v>
      </c>
      <c r="C71" s="178"/>
      <c r="D71" s="60">
        <f>IFERROR(D29/$B57,0)</f>
        <v>0</v>
      </c>
      <c r="E71" s="60">
        <f>IFERROR(E29/$B57,0)</f>
        <v>25705358272.529064</v>
      </c>
      <c r="F71" s="60">
        <f t="shared" ref="F71:I71" si="39">IFERROR(F29/$B57,0)</f>
        <v>0</v>
      </c>
      <c r="G71" s="60">
        <f t="shared" si="39"/>
        <v>38564463748.361725</v>
      </c>
      <c r="H71" s="60">
        <f t="shared" si="39"/>
        <v>0</v>
      </c>
      <c r="I71" s="60">
        <f t="shared" si="39"/>
        <v>89968753.953851715</v>
      </c>
    </row>
    <row r="72" spans="1:9" x14ac:dyDescent="0.25">
      <c r="A72" s="83" t="s">
        <v>1093</v>
      </c>
      <c r="B72" s="42">
        <v>1</v>
      </c>
      <c r="C72" s="178"/>
      <c r="D72" s="60">
        <f>IFERROR(D16/$B58,0)</f>
        <v>0</v>
      </c>
      <c r="E72" s="60">
        <f>IFERROR(E16/$B58,0)</f>
        <v>10.730980651113967</v>
      </c>
      <c r="F72" s="60">
        <f t="shared" ref="F72:I72" si="40">IFERROR(F16/$B58,0)</f>
        <v>0</v>
      </c>
      <c r="G72" s="60">
        <f t="shared" si="40"/>
        <v>1.6123298428298736</v>
      </c>
      <c r="H72" s="60">
        <f t="shared" si="40"/>
        <v>0</v>
      </c>
      <c r="I72" s="60">
        <f t="shared" si="40"/>
        <v>3.7558432278898886E-2</v>
      </c>
    </row>
    <row r="73" spans="1:9" x14ac:dyDescent="0.25">
      <c r="A73" s="83" t="s">
        <v>1094</v>
      </c>
      <c r="B73" s="42">
        <v>1</v>
      </c>
      <c r="C73" s="178"/>
      <c r="D73" s="60">
        <f>IFERROR(D7/$B59,0)</f>
        <v>109.22353435187127</v>
      </c>
      <c r="E73" s="60">
        <f>IFERROR(E7/$B59,0)</f>
        <v>737.07642648911826</v>
      </c>
      <c r="F73" s="60">
        <f t="shared" ref="F73:I73" si="41">IFERROR(F7/$B59,0)</f>
        <v>52.454602372486178</v>
      </c>
      <c r="G73" s="60">
        <f t="shared" si="41"/>
        <v>353.98095382139905</v>
      </c>
      <c r="H73" s="60">
        <f t="shared" si="41"/>
        <v>0.38228237023154943</v>
      </c>
      <c r="I73" s="60">
        <f t="shared" si="41"/>
        <v>2.5797674927119139</v>
      </c>
    </row>
    <row r="74" spans="1:9" x14ac:dyDescent="0.25">
      <c r="A74" s="83" t="s">
        <v>1095</v>
      </c>
      <c r="B74" s="86">
        <v>1.9000000000000001E-8</v>
      </c>
      <c r="C74" s="182"/>
      <c r="D74" s="60">
        <f>IFERROR(D12/$B60,0)</f>
        <v>0</v>
      </c>
      <c r="E74" s="60">
        <f>IFERROR(E12/$B60,0)</f>
        <v>7064401458033530</v>
      </c>
      <c r="F74" s="60">
        <f t="shared" ref="F74:I74" si="42">IFERROR(F12/$B60,0)</f>
        <v>0</v>
      </c>
      <c r="G74" s="60">
        <f t="shared" si="42"/>
        <v>4.4507495285975744E+16</v>
      </c>
      <c r="H74" s="60">
        <f t="shared" si="42"/>
        <v>0</v>
      </c>
      <c r="I74" s="60">
        <f t="shared" si="42"/>
        <v>24725405103117.355</v>
      </c>
    </row>
    <row r="75" spans="1:9" x14ac:dyDescent="0.25">
      <c r="A75" s="83" t="s">
        <v>1096</v>
      </c>
      <c r="B75" s="42">
        <v>1</v>
      </c>
      <c r="C75" s="178"/>
      <c r="D75" s="60">
        <f>IFERROR(D18/$B61,0)</f>
        <v>109.22353435187127</v>
      </c>
      <c r="E75" s="60">
        <f>IFERROR(E18/$B61,0)</f>
        <v>5.5407423251378916</v>
      </c>
      <c r="F75" s="60">
        <f t="shared" ref="F75:I75" si="43">IFERROR(F18/$B61,0)</f>
        <v>22.964248097480933</v>
      </c>
      <c r="G75" s="60">
        <f t="shared" si="43"/>
        <v>1.1649410738602417</v>
      </c>
      <c r="H75" s="60">
        <f t="shared" si="43"/>
        <v>0.38228237023154943</v>
      </c>
      <c r="I75" s="60">
        <f t="shared" si="43"/>
        <v>1.9392598137982619E-2</v>
      </c>
    </row>
    <row r="76" spans="1:9" x14ac:dyDescent="0.25">
      <c r="A76" s="83" t="s">
        <v>1097</v>
      </c>
      <c r="B76" s="42">
        <v>1.339E-6</v>
      </c>
      <c r="C76" s="178"/>
      <c r="D76" s="60">
        <f>IFERROR(D27/$B62,0)</f>
        <v>0</v>
      </c>
      <c r="E76" s="60">
        <f>IFERROR(E27/$B62,0)</f>
        <v>7359013219112775</v>
      </c>
      <c r="F76" s="60">
        <f t="shared" ref="F76:I76" si="44">IFERROR(F27/$B62,0)</f>
        <v>0</v>
      </c>
      <c r="G76" s="60">
        <f t="shared" si="44"/>
        <v>1.1040359581973942E+16</v>
      </c>
      <c r="H76" s="60">
        <f t="shared" si="44"/>
        <v>0</v>
      </c>
      <c r="I76" s="60">
        <f t="shared" si="44"/>
        <v>25756546266894.711</v>
      </c>
    </row>
  </sheetData>
  <sheetProtection algorithmName="SHA-512" hashValue="sWGxc3vCb+8D62U+qoahcomNEmdlQzkthlzzFg2/hOyq8KdOQ79soAuoWPkWl7B3FGTQ8sw0Yp31H8HSRYEpWw==" saltValue="iS1dGKwX6D5mmVj+ATc3ig==" spinCount="100000" sheet="1" formatColumns="0" formatRows="0" autoFilter="0"/>
  <autoFilter ref="A1:I76" xr:uid="{00000000-0009-0000-0000-000017000000}"/>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BE30"/>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 bestFit="1" customWidth="1"/>
    <col min="2" max="2" width="11.5703125" style="4" bestFit="1" customWidth="1"/>
    <col min="3" max="4" width="10.28515625" style="4" customWidth="1"/>
    <col min="5" max="5" width="9" style="4" bestFit="1" customWidth="1"/>
    <col min="6" max="9" width="9" style="5" bestFit="1" customWidth="1"/>
    <col min="10" max="10" width="9.85546875" style="5" bestFit="1" customWidth="1"/>
    <col min="11" max="11" width="11" style="5" bestFit="1" customWidth="1"/>
    <col min="12" max="12" width="9.7109375" style="5" customWidth="1"/>
    <col min="13" max="13" width="10.7109375" style="5" customWidth="1"/>
    <col min="14" max="15" width="10.7109375" style="5" bestFit="1" customWidth="1"/>
    <col min="16" max="16" width="11.85546875" style="5" bestFit="1" customWidth="1"/>
    <col min="17" max="18" width="9.7109375" style="5" bestFit="1" customWidth="1"/>
    <col min="19" max="20" width="10.7109375" style="5" bestFit="1" customWidth="1"/>
    <col min="21" max="21" width="11.85546875" style="5" bestFit="1" customWidth="1"/>
    <col min="22" max="22" width="9.85546875" style="5" bestFit="1" customWidth="1"/>
    <col min="23" max="23" width="9.7109375" style="5" bestFit="1" customWidth="1"/>
    <col min="24" max="25" width="10.7109375" style="5" bestFit="1" customWidth="1"/>
    <col min="26" max="26" width="11.85546875" style="5" bestFit="1" customWidth="1"/>
    <col min="27" max="27" width="10.42578125" style="5" customWidth="1"/>
    <col min="28" max="28" width="10.28515625" style="5" customWidth="1"/>
    <col min="29" max="30" width="11.28515625" style="5" customWidth="1"/>
    <col min="31" max="31" width="12.42578125" style="5" bestFit="1" customWidth="1"/>
    <col min="32" max="32" width="12.5703125" style="5" bestFit="1" customWidth="1"/>
    <col min="33" max="33" width="10.5703125" style="5" customWidth="1"/>
    <col min="34" max="34" width="11" style="5" bestFit="1" customWidth="1"/>
    <col min="35" max="35" width="10.5703125" style="5" bestFit="1" customWidth="1"/>
    <col min="36" max="36" width="10.28515625" style="5" bestFit="1" customWidth="1"/>
    <col min="37" max="37" width="12.85546875" style="5" bestFit="1" customWidth="1"/>
    <col min="38" max="38" width="14.5703125" style="5" bestFit="1" customWidth="1"/>
    <col min="39" max="39" width="10.28515625" style="5" bestFit="1" customWidth="1"/>
    <col min="40" max="40" width="12.42578125" style="5" bestFit="1" customWidth="1"/>
    <col min="41" max="41" width="11.7109375" style="5" bestFit="1" customWidth="1"/>
    <col min="42" max="42" width="16.28515625" style="5" bestFit="1" customWidth="1"/>
    <col min="43" max="43" width="11.5703125" style="5" bestFit="1" customWidth="1"/>
    <col min="44" max="44" width="16.140625" style="5" bestFit="1" customWidth="1"/>
    <col min="45" max="45" width="9.85546875" style="5" bestFit="1" customWidth="1"/>
    <col min="46" max="46" width="9.5703125" style="5" bestFit="1" customWidth="1"/>
    <col min="47" max="47" width="9" style="5" bestFit="1" customWidth="1"/>
    <col min="48" max="48" width="11.85546875" style="5" bestFit="1" customWidth="1"/>
    <col min="49" max="49" width="11.28515625" style="5" bestFit="1" customWidth="1"/>
    <col min="50" max="50" width="9" style="5" bestFit="1" customWidth="1"/>
    <col min="51" max="51" width="8.5703125" style="4" bestFit="1" customWidth="1"/>
    <col min="52" max="52" width="11.5703125" style="4" bestFit="1" customWidth="1"/>
    <col min="53" max="53" width="11.42578125" style="5" bestFit="1" customWidth="1"/>
    <col min="54" max="54" width="11" style="4" bestFit="1" customWidth="1"/>
    <col min="55" max="55" width="12.7109375" style="4" bestFit="1" customWidth="1"/>
    <col min="56" max="57" width="9" style="4" bestFit="1" customWidth="1"/>
    <col min="58" max="16384" width="9.140625" style="4"/>
  </cols>
  <sheetData>
    <row r="1" spans="1:57" s="9" customFormat="1" x14ac:dyDescent="0.25">
      <c r="A1" s="78" t="s">
        <v>51</v>
      </c>
      <c r="B1" s="79" t="s">
        <v>348</v>
      </c>
      <c r="C1" s="79" t="s">
        <v>360</v>
      </c>
      <c r="D1" s="209" t="s">
        <v>1491</v>
      </c>
      <c r="E1" s="6" t="s">
        <v>0</v>
      </c>
      <c r="F1" s="6" t="s">
        <v>1</v>
      </c>
      <c r="G1" s="6" t="s">
        <v>2</v>
      </c>
      <c r="H1" s="6" t="s">
        <v>3</v>
      </c>
      <c r="I1" s="6" t="s">
        <v>4</v>
      </c>
      <c r="J1" s="6" t="s">
        <v>5</v>
      </c>
      <c r="K1" s="6" t="s">
        <v>6</v>
      </c>
      <c r="L1" s="6" t="s">
        <v>7</v>
      </c>
      <c r="M1" s="6" t="s">
        <v>8</v>
      </c>
      <c r="N1" s="6" t="s">
        <v>9</v>
      </c>
      <c r="O1" s="6" t="s">
        <v>10</v>
      </c>
      <c r="P1" s="6" t="s">
        <v>11</v>
      </c>
      <c r="Q1" s="11" t="s">
        <v>41</v>
      </c>
      <c r="R1" s="11" t="s">
        <v>42</v>
      </c>
      <c r="S1" s="11" t="s">
        <v>43</v>
      </c>
      <c r="T1" s="11" t="s">
        <v>44</v>
      </c>
      <c r="U1" s="11" t="s">
        <v>45</v>
      </c>
      <c r="V1" s="13" t="s">
        <v>46</v>
      </c>
      <c r="W1" s="13" t="s">
        <v>47</v>
      </c>
      <c r="X1" s="13" t="s">
        <v>48</v>
      </c>
      <c r="Y1" s="13" t="s">
        <v>49</v>
      </c>
      <c r="Z1" s="13" t="s">
        <v>50</v>
      </c>
      <c r="AA1" s="6" t="s">
        <v>361</v>
      </c>
      <c r="AB1" s="6" t="s">
        <v>362</v>
      </c>
      <c r="AC1" s="6" t="s">
        <v>363</v>
      </c>
      <c r="AD1" s="6" t="s">
        <v>364</v>
      </c>
      <c r="AE1" s="6" t="s">
        <v>365</v>
      </c>
      <c r="AF1" s="110" t="s">
        <v>335</v>
      </c>
      <c r="AG1" s="7" t="s">
        <v>336</v>
      </c>
      <c r="AH1" s="108" t="s">
        <v>337</v>
      </c>
      <c r="AI1" s="108" t="s">
        <v>338</v>
      </c>
      <c r="AJ1" s="108" t="s">
        <v>339</v>
      </c>
      <c r="AK1" s="108" t="s">
        <v>1502</v>
      </c>
      <c r="AL1" s="108" t="s">
        <v>340</v>
      </c>
      <c r="AM1" s="108" t="s">
        <v>341</v>
      </c>
      <c r="AN1" s="108" t="s">
        <v>342</v>
      </c>
      <c r="AO1" s="108" t="s">
        <v>1067</v>
      </c>
      <c r="AP1" s="108" t="s">
        <v>1070</v>
      </c>
      <c r="AQ1" s="108" t="s">
        <v>1068</v>
      </c>
      <c r="AR1" s="108" t="s">
        <v>1069</v>
      </c>
      <c r="AS1" s="109" t="s">
        <v>343</v>
      </c>
      <c r="AT1" s="108" t="s">
        <v>344</v>
      </c>
      <c r="AU1" s="109" t="s">
        <v>208</v>
      </c>
      <c r="AV1" s="8" t="s">
        <v>345</v>
      </c>
      <c r="AW1" s="8" t="s">
        <v>346</v>
      </c>
      <c r="AX1" s="107" t="s">
        <v>352</v>
      </c>
      <c r="AY1" s="9" t="s">
        <v>353</v>
      </c>
      <c r="AZ1" s="10" t="s">
        <v>358</v>
      </c>
      <c r="BA1" s="10" t="s">
        <v>357</v>
      </c>
      <c r="BB1" s="10" t="s">
        <v>356</v>
      </c>
      <c r="BC1" s="106" t="s">
        <v>359</v>
      </c>
      <c r="BD1" s="9" t="s">
        <v>371</v>
      </c>
      <c r="BE1" s="9" t="s">
        <v>374</v>
      </c>
    </row>
    <row r="2" spans="1:57" s="3" customFormat="1" x14ac:dyDescent="0.25">
      <c r="A2" s="44" t="s">
        <v>12</v>
      </c>
      <c r="B2" s="42" t="s">
        <v>1071</v>
      </c>
      <c r="C2" s="42"/>
      <c r="E2" s="5">
        <v>5</v>
      </c>
      <c r="F2" s="5">
        <v>5</v>
      </c>
      <c r="G2" s="5">
        <v>5</v>
      </c>
      <c r="H2" s="5">
        <v>5</v>
      </c>
      <c r="I2" s="5">
        <v>5</v>
      </c>
      <c r="J2" s="5">
        <v>5</v>
      </c>
      <c r="K2" s="5">
        <v>5</v>
      </c>
      <c r="L2" s="5">
        <v>5</v>
      </c>
      <c r="M2" s="5">
        <v>5</v>
      </c>
      <c r="N2" s="5">
        <v>5</v>
      </c>
      <c r="O2" s="5">
        <v>5</v>
      </c>
      <c r="P2" s="5">
        <v>5</v>
      </c>
      <c r="Q2" s="12">
        <v>0.98115942028985503</v>
      </c>
      <c r="R2" s="12">
        <v>0.94192634560906496</v>
      </c>
      <c r="S2" s="12">
        <v>0.931707317073171</v>
      </c>
      <c r="T2" s="12">
        <v>0.91452991452991494</v>
      </c>
      <c r="U2" s="12">
        <v>0.91685393258426995</v>
      </c>
      <c r="V2" s="12">
        <v>1.1999999999999999E-3</v>
      </c>
      <c r="W2" s="12">
        <v>0.02</v>
      </c>
      <c r="X2" s="12">
        <v>0.01</v>
      </c>
      <c r="Y2" s="12">
        <v>1.4999999999999999E-2</v>
      </c>
      <c r="Z2" s="12">
        <v>1.7999999999999999E-2</v>
      </c>
      <c r="AA2" s="105">
        <f t="shared" ref="AA2:AE17" si="0">0.4*V2</f>
        <v>4.7999999999999996E-4</v>
      </c>
      <c r="AB2" s="105">
        <f t="shared" si="0"/>
        <v>8.0000000000000002E-3</v>
      </c>
      <c r="AC2" s="105">
        <f t="shared" si="0"/>
        <v>4.0000000000000001E-3</v>
      </c>
      <c r="AD2" s="105">
        <f t="shared" si="0"/>
        <v>6.0000000000000001E-3</v>
      </c>
      <c r="AE2" s="105">
        <f t="shared" si="0"/>
        <v>7.1999999999999998E-3</v>
      </c>
      <c r="AF2" s="5">
        <v>5</v>
      </c>
      <c r="AG2" s="15">
        <v>225</v>
      </c>
      <c r="AH2" s="5">
        <v>5</v>
      </c>
      <c r="AI2" s="5">
        <v>5</v>
      </c>
      <c r="AJ2" s="5">
        <v>5</v>
      </c>
      <c r="AK2" s="5">
        <v>5</v>
      </c>
      <c r="AL2" s="5">
        <v>5</v>
      </c>
      <c r="AM2" s="5">
        <v>5</v>
      </c>
      <c r="AN2" s="5">
        <v>5</v>
      </c>
      <c r="AO2" s="5">
        <v>5</v>
      </c>
      <c r="AP2" s="5">
        <v>5</v>
      </c>
      <c r="AQ2" s="5">
        <v>5</v>
      </c>
      <c r="AR2" s="5">
        <v>5</v>
      </c>
      <c r="AS2" s="5">
        <v>5</v>
      </c>
      <c r="AT2" s="5">
        <v>5</v>
      </c>
      <c r="AU2" s="5">
        <v>5</v>
      </c>
      <c r="AV2" s="15">
        <v>5.0000000000000001E-4</v>
      </c>
      <c r="AW2" s="245">
        <f>0.693/AF2</f>
        <v>0.1386</v>
      </c>
      <c r="AX2" s="5">
        <v>5</v>
      </c>
      <c r="AY2" s="42">
        <v>225</v>
      </c>
      <c r="AZ2" s="105">
        <f t="shared" ref="AZ2:AZ30" si="1">BB2+s_lambda_HL</f>
        <v>5.5000000000000002E-5</v>
      </c>
      <c r="BA2" s="105">
        <f t="shared" ref="BA2:BA30" si="2">BB2+(0.693/s_t_w)</f>
        <v>0.1386</v>
      </c>
      <c r="BB2" s="105">
        <v>0</v>
      </c>
      <c r="BC2" s="246">
        <f>AF2*365</f>
        <v>1825</v>
      </c>
      <c r="BD2" s="105">
        <f t="shared" ref="BD2" si="3">AT2</f>
        <v>5</v>
      </c>
      <c r="BE2" s="105">
        <f t="shared" ref="BE2" si="4">AS2</f>
        <v>5</v>
      </c>
    </row>
    <row r="3" spans="1:57" s="3" customFormat="1" x14ac:dyDescent="0.25">
      <c r="A3" s="46" t="s">
        <v>13</v>
      </c>
      <c r="B3" s="42" t="s">
        <v>349</v>
      </c>
      <c r="C3" s="42"/>
      <c r="E3" s="5">
        <v>5</v>
      </c>
      <c r="F3" s="5">
        <v>5</v>
      </c>
      <c r="G3" s="5">
        <v>5</v>
      </c>
      <c r="H3" s="5">
        <v>5</v>
      </c>
      <c r="I3" s="5">
        <v>5</v>
      </c>
      <c r="J3" s="5">
        <v>5</v>
      </c>
      <c r="K3" s="5">
        <v>5</v>
      </c>
      <c r="L3" s="5">
        <v>5</v>
      </c>
      <c r="M3" s="5">
        <v>5</v>
      </c>
      <c r="N3" s="5">
        <v>5</v>
      </c>
      <c r="O3" s="5">
        <v>5</v>
      </c>
      <c r="P3" s="5">
        <v>5</v>
      </c>
      <c r="Q3" s="12">
        <v>0.98581560283687897</v>
      </c>
      <c r="R3" s="12">
        <v>0.95726495726495697</v>
      </c>
      <c r="S3" s="12">
        <v>0.93096234309623405</v>
      </c>
      <c r="T3" s="12">
        <v>0.90049751243781095</v>
      </c>
      <c r="U3" s="12">
        <v>0.87357630979498901</v>
      </c>
      <c r="V3" s="12">
        <v>6.7000000000000002E-5</v>
      </c>
      <c r="W3" s="12">
        <v>1.4999999999999999E-4</v>
      </c>
      <c r="X3" s="12">
        <v>1.1E-4</v>
      </c>
      <c r="Y3" s="12">
        <v>1.4999999999999999E-4</v>
      </c>
      <c r="Z3" s="12">
        <v>1.4999999999999999E-4</v>
      </c>
      <c r="AA3" s="105">
        <f t="shared" si="0"/>
        <v>2.6800000000000001E-5</v>
      </c>
      <c r="AB3" s="105">
        <f t="shared" si="0"/>
        <v>5.9999999999999995E-5</v>
      </c>
      <c r="AC3" s="105">
        <f t="shared" si="0"/>
        <v>4.4000000000000006E-5</v>
      </c>
      <c r="AD3" s="105">
        <f t="shared" si="0"/>
        <v>5.9999999999999995E-5</v>
      </c>
      <c r="AE3" s="105">
        <f t="shared" si="0"/>
        <v>5.9999999999999995E-5</v>
      </c>
      <c r="AF3" s="5">
        <v>5</v>
      </c>
      <c r="AG3" s="15">
        <v>241</v>
      </c>
      <c r="AH3" s="5">
        <v>5</v>
      </c>
      <c r="AI3" s="5">
        <v>5</v>
      </c>
      <c r="AJ3" s="5">
        <v>5</v>
      </c>
      <c r="AK3" s="5">
        <v>5</v>
      </c>
      <c r="AL3" s="5">
        <v>5</v>
      </c>
      <c r="AM3" s="5">
        <v>5</v>
      </c>
      <c r="AN3" s="5">
        <v>5</v>
      </c>
      <c r="AO3" s="5">
        <v>5</v>
      </c>
      <c r="AP3" s="5">
        <v>5</v>
      </c>
      <c r="AQ3" s="5">
        <v>5</v>
      </c>
      <c r="AR3" s="5">
        <v>5</v>
      </c>
      <c r="AS3" s="5">
        <v>5</v>
      </c>
      <c r="AT3" s="5">
        <v>5</v>
      </c>
      <c r="AU3" s="5">
        <v>5</v>
      </c>
      <c r="AV3" s="15">
        <v>5.0000000000000001E-4</v>
      </c>
      <c r="AW3" s="245">
        <f t="shared" ref="AW3:AW30" si="5">0.693/AF3</f>
        <v>0.1386</v>
      </c>
      <c r="AX3" s="5">
        <v>5</v>
      </c>
      <c r="AY3" s="42">
        <v>241</v>
      </c>
      <c r="AZ3" s="105">
        <f t="shared" si="1"/>
        <v>5.5000000000000002E-5</v>
      </c>
      <c r="BA3" s="105">
        <f t="shared" si="2"/>
        <v>0.1386</v>
      </c>
      <c r="BB3" s="105">
        <v>0</v>
      </c>
      <c r="BC3" s="246">
        <f t="shared" ref="BC3:BC30" si="6">AF3*365</f>
        <v>1825</v>
      </c>
      <c r="BD3" s="105">
        <f>AT3</f>
        <v>5</v>
      </c>
      <c r="BE3" s="105">
        <f>AS3</f>
        <v>5</v>
      </c>
    </row>
    <row r="4" spans="1:57" s="3" customFormat="1" x14ac:dyDescent="0.25">
      <c r="A4" s="44" t="s">
        <v>14</v>
      </c>
      <c r="B4" s="42" t="s">
        <v>1071</v>
      </c>
      <c r="C4" s="42"/>
      <c r="E4" s="5">
        <v>5</v>
      </c>
      <c r="F4" s="5">
        <v>5</v>
      </c>
      <c r="G4" s="5">
        <v>5</v>
      </c>
      <c r="H4" s="5">
        <v>5</v>
      </c>
      <c r="I4" s="5">
        <v>5</v>
      </c>
      <c r="J4" s="5">
        <v>5</v>
      </c>
      <c r="K4" s="5">
        <v>5</v>
      </c>
      <c r="L4" s="5">
        <v>5</v>
      </c>
      <c r="M4" s="5">
        <v>5</v>
      </c>
      <c r="N4" s="5">
        <v>5</v>
      </c>
      <c r="O4" s="5">
        <v>5</v>
      </c>
      <c r="P4" s="5">
        <v>5</v>
      </c>
      <c r="Q4" s="12">
        <v>0.914201183431953</v>
      </c>
      <c r="R4" s="12">
        <v>0.85714285714285698</v>
      </c>
      <c r="S4" s="12">
        <v>0.90909090909090895</v>
      </c>
      <c r="T4" s="12">
        <v>0.91269841269841301</v>
      </c>
      <c r="U4" s="12">
        <v>0.89869753979739497</v>
      </c>
      <c r="V4" s="12">
        <v>1.4E-2</v>
      </c>
      <c r="W4" s="12">
        <v>4.4999999999999998E-2</v>
      </c>
      <c r="X4" s="12">
        <v>2.5999999999999999E-2</v>
      </c>
      <c r="Y4" s="12">
        <v>3.5999999999999997E-2</v>
      </c>
      <c r="Z4" s="12">
        <v>4.2000000000000003E-2</v>
      </c>
      <c r="AA4" s="105">
        <f t="shared" si="0"/>
        <v>5.6000000000000008E-3</v>
      </c>
      <c r="AB4" s="105">
        <f t="shared" si="0"/>
        <v>1.7999999999999999E-2</v>
      </c>
      <c r="AC4" s="105">
        <f t="shared" si="0"/>
        <v>1.04E-2</v>
      </c>
      <c r="AD4" s="105">
        <f t="shared" si="0"/>
        <v>1.44E-2</v>
      </c>
      <c r="AE4" s="105">
        <f t="shared" si="0"/>
        <v>1.6800000000000002E-2</v>
      </c>
      <c r="AF4" s="5">
        <v>5</v>
      </c>
      <c r="AG4" s="15">
        <v>217</v>
      </c>
      <c r="AH4" s="5">
        <v>5</v>
      </c>
      <c r="AI4" s="5">
        <v>5</v>
      </c>
      <c r="AJ4" s="5">
        <v>5</v>
      </c>
      <c r="AK4" s="5">
        <v>5</v>
      </c>
      <c r="AL4" s="5">
        <v>5</v>
      </c>
      <c r="AM4" s="5">
        <v>5</v>
      </c>
      <c r="AN4" s="5">
        <v>5</v>
      </c>
      <c r="AO4" s="5">
        <v>5</v>
      </c>
      <c r="AP4" s="5">
        <v>5</v>
      </c>
      <c r="AQ4" s="5">
        <v>5</v>
      </c>
      <c r="AR4" s="5">
        <v>5</v>
      </c>
      <c r="AS4" s="5">
        <v>5</v>
      </c>
      <c r="AT4" s="5">
        <v>5</v>
      </c>
      <c r="AU4" s="5">
        <v>5</v>
      </c>
      <c r="AV4" s="15"/>
      <c r="AW4" s="245">
        <f t="shared" si="5"/>
        <v>0.1386</v>
      </c>
      <c r="AX4" s="5">
        <v>5</v>
      </c>
      <c r="AY4" s="42">
        <v>217</v>
      </c>
      <c r="AZ4" s="105">
        <f t="shared" si="1"/>
        <v>5.5000000000000002E-5</v>
      </c>
      <c r="BA4" s="105">
        <f t="shared" si="2"/>
        <v>0.1386</v>
      </c>
      <c r="BB4" s="105">
        <v>0</v>
      </c>
      <c r="BC4" s="246">
        <f t="shared" si="6"/>
        <v>1825</v>
      </c>
      <c r="BD4" s="105">
        <f t="shared" ref="BD4:BD21" si="7">AT4</f>
        <v>5</v>
      </c>
      <c r="BE4" s="105">
        <f t="shared" ref="BE4:BE30" si="8">AS4</f>
        <v>5</v>
      </c>
    </row>
    <row r="5" spans="1:57" s="3" customFormat="1" x14ac:dyDescent="0.25">
      <c r="A5" s="44" t="s">
        <v>15</v>
      </c>
      <c r="B5" s="42" t="s">
        <v>1071</v>
      </c>
      <c r="C5" s="42">
        <v>1</v>
      </c>
      <c r="D5" s="14">
        <v>1.4526200000000001E-4</v>
      </c>
      <c r="E5" s="5">
        <v>5</v>
      </c>
      <c r="F5" s="5">
        <v>5</v>
      </c>
      <c r="G5" s="5">
        <v>5</v>
      </c>
      <c r="H5" s="5">
        <v>5</v>
      </c>
      <c r="I5" s="5">
        <v>5</v>
      </c>
      <c r="J5" s="5">
        <v>5</v>
      </c>
      <c r="K5" s="5">
        <v>5</v>
      </c>
      <c r="L5" s="5">
        <v>5</v>
      </c>
      <c r="M5" s="5">
        <v>5</v>
      </c>
      <c r="N5" s="5">
        <v>5</v>
      </c>
      <c r="O5" s="5">
        <v>5</v>
      </c>
      <c r="P5" s="5">
        <v>5</v>
      </c>
      <c r="Q5" s="12">
        <v>0.9</v>
      </c>
      <c r="R5" s="12">
        <v>0.9</v>
      </c>
      <c r="S5" s="12">
        <v>0.9</v>
      </c>
      <c r="T5" s="12">
        <v>0.9</v>
      </c>
      <c r="U5" s="12">
        <v>0.9</v>
      </c>
      <c r="V5" s="12">
        <v>0</v>
      </c>
      <c r="W5" s="12">
        <v>0</v>
      </c>
      <c r="X5" s="12">
        <v>0</v>
      </c>
      <c r="Y5" s="12">
        <v>0</v>
      </c>
      <c r="Z5" s="12">
        <v>0</v>
      </c>
      <c r="AA5" s="105">
        <f t="shared" si="0"/>
        <v>0</v>
      </c>
      <c r="AB5" s="105">
        <f t="shared" si="0"/>
        <v>0</v>
      </c>
      <c r="AC5" s="105">
        <f t="shared" si="0"/>
        <v>0</v>
      </c>
      <c r="AD5" s="105">
        <f t="shared" si="0"/>
        <v>0</v>
      </c>
      <c r="AE5" s="105">
        <f t="shared" si="0"/>
        <v>0</v>
      </c>
      <c r="AF5" s="5">
        <v>5</v>
      </c>
      <c r="AG5" s="15">
        <v>218</v>
      </c>
      <c r="AH5" s="5">
        <v>5</v>
      </c>
      <c r="AI5" s="5">
        <v>5</v>
      </c>
      <c r="AJ5" s="5">
        <v>5</v>
      </c>
      <c r="AK5" s="5">
        <v>5</v>
      </c>
      <c r="AL5" s="5">
        <v>5</v>
      </c>
      <c r="AM5" s="5">
        <v>5</v>
      </c>
      <c r="AN5" s="5">
        <v>5</v>
      </c>
      <c r="AO5" s="5">
        <v>5</v>
      </c>
      <c r="AP5" s="5">
        <v>5</v>
      </c>
      <c r="AQ5" s="5">
        <v>5</v>
      </c>
      <c r="AR5" s="5">
        <v>5</v>
      </c>
      <c r="AS5" s="5">
        <v>5</v>
      </c>
      <c r="AT5" s="5">
        <v>5</v>
      </c>
      <c r="AU5" s="5">
        <v>5</v>
      </c>
      <c r="AV5" s="15"/>
      <c r="AW5" s="245">
        <f t="shared" si="5"/>
        <v>0.1386</v>
      </c>
      <c r="AX5" s="5">
        <v>5</v>
      </c>
      <c r="AY5" s="42">
        <v>218</v>
      </c>
      <c r="AZ5" s="105">
        <f t="shared" si="1"/>
        <v>5.5000000000000002E-5</v>
      </c>
      <c r="BA5" s="105">
        <f t="shared" si="2"/>
        <v>0.1386</v>
      </c>
      <c r="BB5" s="105">
        <v>0</v>
      </c>
      <c r="BC5" s="246">
        <f t="shared" si="6"/>
        <v>1825</v>
      </c>
      <c r="BD5" s="105">
        <f t="shared" si="7"/>
        <v>5</v>
      </c>
      <c r="BE5" s="105">
        <f t="shared" si="8"/>
        <v>5</v>
      </c>
    </row>
    <row r="6" spans="1:57" s="3" customFormat="1" x14ac:dyDescent="0.25">
      <c r="A6" s="44" t="s">
        <v>16</v>
      </c>
      <c r="B6" s="42" t="s">
        <v>1071</v>
      </c>
      <c r="C6" s="42"/>
      <c r="E6" s="5">
        <v>5</v>
      </c>
      <c r="F6" s="5">
        <v>5</v>
      </c>
      <c r="G6" s="5">
        <v>5</v>
      </c>
      <c r="H6" s="5">
        <v>5</v>
      </c>
      <c r="I6" s="5">
        <v>5</v>
      </c>
      <c r="J6" s="5">
        <v>5</v>
      </c>
      <c r="K6" s="5">
        <v>5</v>
      </c>
      <c r="L6" s="5">
        <v>5</v>
      </c>
      <c r="M6" s="5">
        <v>5</v>
      </c>
      <c r="N6" s="5">
        <v>5</v>
      </c>
      <c r="O6" s="5">
        <v>5</v>
      </c>
      <c r="P6" s="5">
        <v>5</v>
      </c>
      <c r="Q6" s="12">
        <v>0.88636363636363602</v>
      </c>
      <c r="R6" s="12">
        <v>0.91519434628975305</v>
      </c>
      <c r="S6" s="12">
        <v>0.93487394957983205</v>
      </c>
      <c r="T6" s="12">
        <v>0.91752577319587603</v>
      </c>
      <c r="U6" s="12">
        <v>0.95541401273885396</v>
      </c>
      <c r="V6" s="12">
        <v>2.7E-2</v>
      </c>
      <c r="W6" s="12">
        <v>8.2000000000000003E-2</v>
      </c>
      <c r="X6" s="12">
        <v>4.2999999999999997E-2</v>
      </c>
      <c r="Y6" s="12">
        <v>6.2E-2</v>
      </c>
      <c r="Z6" s="12">
        <v>7.1999999999999995E-2</v>
      </c>
      <c r="AA6" s="105">
        <f t="shared" si="0"/>
        <v>1.0800000000000001E-2</v>
      </c>
      <c r="AB6" s="105">
        <f t="shared" si="0"/>
        <v>3.2800000000000003E-2</v>
      </c>
      <c r="AC6" s="105">
        <f t="shared" si="0"/>
        <v>1.72E-2</v>
      </c>
      <c r="AD6" s="105">
        <f t="shared" si="0"/>
        <v>2.4800000000000003E-2</v>
      </c>
      <c r="AE6" s="105">
        <f t="shared" si="0"/>
        <v>2.8799999999999999E-2</v>
      </c>
      <c r="AF6" s="5">
        <v>5</v>
      </c>
      <c r="AG6" s="15">
        <v>137</v>
      </c>
      <c r="AH6" s="5">
        <v>5</v>
      </c>
      <c r="AI6" s="5">
        <v>5</v>
      </c>
      <c r="AJ6" s="5">
        <v>5</v>
      </c>
      <c r="AK6" s="5">
        <v>5</v>
      </c>
      <c r="AL6" s="5">
        <v>5</v>
      </c>
      <c r="AM6" s="5">
        <v>5</v>
      </c>
      <c r="AN6" s="5">
        <v>5</v>
      </c>
      <c r="AO6" s="5">
        <v>5</v>
      </c>
      <c r="AP6" s="5">
        <v>5</v>
      </c>
      <c r="AQ6" s="5">
        <v>5</v>
      </c>
      <c r="AR6" s="5">
        <v>5</v>
      </c>
      <c r="AS6" s="5">
        <v>5</v>
      </c>
      <c r="AT6" s="5">
        <v>5</v>
      </c>
      <c r="AU6" s="5">
        <v>5</v>
      </c>
      <c r="AV6" s="15"/>
      <c r="AW6" s="245">
        <f t="shared" si="5"/>
        <v>0.1386</v>
      </c>
      <c r="AX6" s="5">
        <v>5</v>
      </c>
      <c r="AY6" s="42">
        <v>137</v>
      </c>
      <c r="AZ6" s="105">
        <f t="shared" si="1"/>
        <v>5.5000000000000002E-5</v>
      </c>
      <c r="BA6" s="105">
        <f t="shared" si="2"/>
        <v>0.1386</v>
      </c>
      <c r="BB6" s="105">
        <v>0</v>
      </c>
      <c r="BC6" s="246">
        <f t="shared" si="6"/>
        <v>1825</v>
      </c>
      <c r="BD6" s="105">
        <f t="shared" si="7"/>
        <v>5</v>
      </c>
      <c r="BE6" s="105">
        <f t="shared" si="8"/>
        <v>5</v>
      </c>
    </row>
    <row r="7" spans="1:57" s="3" customFormat="1" x14ac:dyDescent="0.25">
      <c r="A7" s="44" t="s">
        <v>17</v>
      </c>
      <c r="B7" s="42" t="s">
        <v>1071</v>
      </c>
      <c r="C7" s="42">
        <v>1</v>
      </c>
      <c r="D7" s="14">
        <v>0</v>
      </c>
      <c r="E7" s="5">
        <v>5</v>
      </c>
      <c r="F7" s="5">
        <v>5</v>
      </c>
      <c r="G7" s="5">
        <v>5</v>
      </c>
      <c r="H7" s="5">
        <v>5</v>
      </c>
      <c r="I7" s="5">
        <v>5</v>
      </c>
      <c r="J7" s="5">
        <v>5</v>
      </c>
      <c r="K7" s="5">
        <v>5</v>
      </c>
      <c r="L7" s="5">
        <v>5</v>
      </c>
      <c r="M7" s="5">
        <v>5</v>
      </c>
      <c r="N7" s="5">
        <v>5</v>
      </c>
      <c r="O7" s="5">
        <v>5</v>
      </c>
      <c r="P7" s="5">
        <v>5</v>
      </c>
      <c r="Q7" s="12">
        <v>0.90997566909975702</v>
      </c>
      <c r="R7" s="12">
        <v>0.867088607594937</v>
      </c>
      <c r="S7" s="12">
        <v>0.90839694656488501</v>
      </c>
      <c r="T7" s="12">
        <v>0.92993630573248398</v>
      </c>
      <c r="U7" s="12">
        <v>0.87429854096520798</v>
      </c>
      <c r="V7" s="12">
        <v>1.4E-2</v>
      </c>
      <c r="W7" s="12">
        <v>0.04</v>
      </c>
      <c r="X7" s="12">
        <v>2.4E-2</v>
      </c>
      <c r="Y7" s="12">
        <v>3.2000000000000001E-2</v>
      </c>
      <c r="Z7" s="12">
        <v>3.6999999999999998E-2</v>
      </c>
      <c r="AA7" s="105">
        <f t="shared" si="0"/>
        <v>5.6000000000000008E-3</v>
      </c>
      <c r="AB7" s="105">
        <f t="shared" si="0"/>
        <v>1.6E-2</v>
      </c>
      <c r="AC7" s="105">
        <f t="shared" si="0"/>
        <v>9.6000000000000009E-3</v>
      </c>
      <c r="AD7" s="105">
        <f t="shared" si="0"/>
        <v>1.2800000000000001E-2</v>
      </c>
      <c r="AE7" s="105">
        <f t="shared" si="0"/>
        <v>1.4800000000000001E-2</v>
      </c>
      <c r="AF7" s="5">
        <v>5</v>
      </c>
      <c r="AG7" s="15">
        <v>210</v>
      </c>
      <c r="AH7" s="5">
        <v>5</v>
      </c>
      <c r="AI7" s="5">
        <v>5</v>
      </c>
      <c r="AJ7" s="5">
        <v>5</v>
      </c>
      <c r="AK7" s="5">
        <v>5</v>
      </c>
      <c r="AL7" s="5">
        <v>5</v>
      </c>
      <c r="AM7" s="5">
        <v>5</v>
      </c>
      <c r="AN7" s="5">
        <v>5</v>
      </c>
      <c r="AO7" s="5">
        <v>5</v>
      </c>
      <c r="AP7" s="5">
        <v>5</v>
      </c>
      <c r="AQ7" s="5">
        <v>5</v>
      </c>
      <c r="AR7" s="5">
        <v>5</v>
      </c>
      <c r="AS7" s="5">
        <v>5</v>
      </c>
      <c r="AT7" s="5">
        <v>5</v>
      </c>
      <c r="AU7" s="5">
        <v>5</v>
      </c>
      <c r="AV7" s="15">
        <v>0.05</v>
      </c>
      <c r="AW7" s="245">
        <f t="shared" si="5"/>
        <v>0.1386</v>
      </c>
      <c r="AX7" s="5">
        <v>5</v>
      </c>
      <c r="AY7" s="42">
        <v>210</v>
      </c>
      <c r="AZ7" s="105">
        <f t="shared" si="1"/>
        <v>5.5000000000000002E-5</v>
      </c>
      <c r="BA7" s="105">
        <f t="shared" si="2"/>
        <v>0.1386</v>
      </c>
      <c r="BB7" s="105">
        <v>0</v>
      </c>
      <c r="BC7" s="246">
        <f t="shared" si="6"/>
        <v>1825</v>
      </c>
      <c r="BD7" s="105">
        <f t="shared" si="7"/>
        <v>5</v>
      </c>
      <c r="BE7" s="105">
        <f t="shared" si="8"/>
        <v>5</v>
      </c>
    </row>
    <row r="8" spans="1:57" s="3" customFormat="1" x14ac:dyDescent="0.25">
      <c r="A8" s="44" t="s">
        <v>18</v>
      </c>
      <c r="B8" s="42" t="s">
        <v>1071</v>
      </c>
      <c r="C8" s="42"/>
      <c r="E8" s="5">
        <v>5</v>
      </c>
      <c r="F8" s="5">
        <v>5</v>
      </c>
      <c r="G8" s="5">
        <v>5</v>
      </c>
      <c r="H8" s="5">
        <v>5</v>
      </c>
      <c r="I8" s="5">
        <v>5</v>
      </c>
      <c r="J8" s="5">
        <v>5</v>
      </c>
      <c r="K8" s="5">
        <v>5</v>
      </c>
      <c r="L8" s="5">
        <v>5</v>
      </c>
      <c r="M8" s="5">
        <v>5</v>
      </c>
      <c r="N8" s="5">
        <v>5</v>
      </c>
      <c r="O8" s="5">
        <v>5</v>
      </c>
      <c r="P8" s="5">
        <v>5</v>
      </c>
      <c r="Q8" s="12">
        <v>0.88690476190476197</v>
      </c>
      <c r="R8" s="12">
        <v>0.97311827956989205</v>
      </c>
      <c r="S8" s="12">
        <v>0.93904761904761902</v>
      </c>
      <c r="T8" s="12">
        <v>0.93809523809523798</v>
      </c>
      <c r="U8" s="12">
        <v>0.89295774647887305</v>
      </c>
      <c r="V8" s="12">
        <v>0.02</v>
      </c>
      <c r="W8" s="12">
        <v>6.2E-2</v>
      </c>
      <c r="X8" s="12">
        <v>3.5000000000000003E-2</v>
      </c>
      <c r="Y8" s="12">
        <v>4.8000000000000001E-2</v>
      </c>
      <c r="Z8" s="12">
        <v>5.5E-2</v>
      </c>
      <c r="AA8" s="105">
        <f t="shared" si="0"/>
        <v>8.0000000000000002E-3</v>
      </c>
      <c r="AB8" s="105">
        <f t="shared" si="0"/>
        <v>2.4800000000000003E-2</v>
      </c>
      <c r="AC8" s="105">
        <f t="shared" si="0"/>
        <v>1.4000000000000002E-2</v>
      </c>
      <c r="AD8" s="105">
        <f t="shared" si="0"/>
        <v>1.9200000000000002E-2</v>
      </c>
      <c r="AE8" s="105">
        <f t="shared" si="0"/>
        <v>2.2000000000000002E-2</v>
      </c>
      <c r="AF8" s="5">
        <v>5</v>
      </c>
      <c r="AG8" s="15">
        <v>213</v>
      </c>
      <c r="AH8" s="5">
        <v>5</v>
      </c>
      <c r="AI8" s="5">
        <v>5</v>
      </c>
      <c r="AJ8" s="5">
        <v>5</v>
      </c>
      <c r="AK8" s="5">
        <v>5</v>
      </c>
      <c r="AL8" s="5">
        <v>5</v>
      </c>
      <c r="AM8" s="5">
        <v>5</v>
      </c>
      <c r="AN8" s="5">
        <v>5</v>
      </c>
      <c r="AO8" s="5">
        <v>5</v>
      </c>
      <c r="AP8" s="5">
        <v>5</v>
      </c>
      <c r="AQ8" s="5">
        <v>5</v>
      </c>
      <c r="AR8" s="5">
        <v>5</v>
      </c>
      <c r="AS8" s="5">
        <v>5</v>
      </c>
      <c r="AT8" s="5">
        <v>5</v>
      </c>
      <c r="AU8" s="5">
        <v>5</v>
      </c>
      <c r="AV8" s="15">
        <v>0.05</v>
      </c>
      <c r="AW8" s="245">
        <f t="shared" si="5"/>
        <v>0.1386</v>
      </c>
      <c r="AX8" s="5">
        <v>5</v>
      </c>
      <c r="AY8" s="42">
        <v>213</v>
      </c>
      <c r="AZ8" s="105">
        <f t="shared" si="1"/>
        <v>5.5000000000000002E-5</v>
      </c>
      <c r="BA8" s="105">
        <f t="shared" si="2"/>
        <v>0.1386</v>
      </c>
      <c r="BB8" s="105">
        <v>0</v>
      </c>
      <c r="BC8" s="246">
        <f t="shared" si="6"/>
        <v>1825</v>
      </c>
      <c r="BD8" s="105">
        <f t="shared" si="7"/>
        <v>5</v>
      </c>
      <c r="BE8" s="105">
        <f t="shared" si="8"/>
        <v>5</v>
      </c>
    </row>
    <row r="9" spans="1:57" s="3" customFormat="1" x14ac:dyDescent="0.25">
      <c r="A9" s="44" t="s">
        <v>19</v>
      </c>
      <c r="B9" s="42" t="s">
        <v>1071</v>
      </c>
      <c r="C9" s="42">
        <v>1</v>
      </c>
      <c r="D9" s="14">
        <v>5.0904311000000001E-2</v>
      </c>
      <c r="E9" s="5">
        <v>5</v>
      </c>
      <c r="F9" s="5">
        <v>5</v>
      </c>
      <c r="G9" s="5">
        <v>5</v>
      </c>
      <c r="H9" s="5">
        <v>5</v>
      </c>
      <c r="I9" s="5">
        <v>5</v>
      </c>
      <c r="J9" s="5">
        <v>5</v>
      </c>
      <c r="K9" s="5">
        <v>5</v>
      </c>
      <c r="L9" s="5">
        <v>5</v>
      </c>
      <c r="M9" s="5">
        <v>5</v>
      </c>
      <c r="N9" s="5">
        <v>5</v>
      </c>
      <c r="O9" s="5">
        <v>5</v>
      </c>
      <c r="P9" s="5">
        <v>5</v>
      </c>
      <c r="Q9" s="12">
        <v>0.86585365853658502</v>
      </c>
      <c r="R9" s="12">
        <v>0.94236311239193105</v>
      </c>
      <c r="S9" s="12">
        <v>0.934579439252336</v>
      </c>
      <c r="T9" s="12">
        <v>0.94453004622496095</v>
      </c>
      <c r="U9" s="12">
        <v>0.9375</v>
      </c>
      <c r="V9" s="12">
        <v>3.9E-2</v>
      </c>
      <c r="W9" s="12">
        <v>0.13</v>
      </c>
      <c r="X9" s="12">
        <v>6.4000000000000001E-2</v>
      </c>
      <c r="Y9" s="12">
        <v>0.09</v>
      </c>
      <c r="Z9" s="12">
        <v>0.11</v>
      </c>
      <c r="AA9" s="105">
        <f t="shared" si="0"/>
        <v>1.5600000000000001E-2</v>
      </c>
      <c r="AB9" s="105">
        <f t="shared" si="0"/>
        <v>5.2000000000000005E-2</v>
      </c>
      <c r="AC9" s="105">
        <f t="shared" si="0"/>
        <v>2.5600000000000001E-2</v>
      </c>
      <c r="AD9" s="105">
        <f t="shared" si="0"/>
        <v>3.5999999999999997E-2</v>
      </c>
      <c r="AE9" s="105">
        <f t="shared" si="0"/>
        <v>4.4000000000000004E-2</v>
      </c>
      <c r="AF9" s="5">
        <v>5</v>
      </c>
      <c r="AG9" s="15">
        <v>214</v>
      </c>
      <c r="AH9" s="5">
        <v>5</v>
      </c>
      <c r="AI9" s="5">
        <v>5</v>
      </c>
      <c r="AJ9" s="5">
        <v>5</v>
      </c>
      <c r="AK9" s="5">
        <v>5</v>
      </c>
      <c r="AL9" s="5">
        <v>5</v>
      </c>
      <c r="AM9" s="5">
        <v>5</v>
      </c>
      <c r="AN9" s="5">
        <v>5</v>
      </c>
      <c r="AO9" s="5">
        <v>5</v>
      </c>
      <c r="AP9" s="5">
        <v>5</v>
      </c>
      <c r="AQ9" s="5">
        <v>5</v>
      </c>
      <c r="AR9" s="5">
        <v>5</v>
      </c>
      <c r="AS9" s="5">
        <v>5</v>
      </c>
      <c r="AT9" s="5">
        <v>5</v>
      </c>
      <c r="AU9" s="5">
        <v>5</v>
      </c>
      <c r="AV9" s="15">
        <v>0.05</v>
      </c>
      <c r="AW9" s="245">
        <f t="shared" si="5"/>
        <v>0.1386</v>
      </c>
      <c r="AX9" s="5">
        <v>5</v>
      </c>
      <c r="AY9" s="42">
        <v>214</v>
      </c>
      <c r="AZ9" s="105">
        <f t="shared" si="1"/>
        <v>5.5000000000000002E-5</v>
      </c>
      <c r="BA9" s="105">
        <f t="shared" si="2"/>
        <v>0.1386</v>
      </c>
      <c r="BB9" s="105">
        <v>0</v>
      </c>
      <c r="BC9" s="246">
        <f t="shared" si="6"/>
        <v>1825</v>
      </c>
      <c r="BD9" s="105">
        <f t="shared" si="7"/>
        <v>5</v>
      </c>
      <c r="BE9" s="105">
        <f t="shared" si="8"/>
        <v>5</v>
      </c>
    </row>
    <row r="10" spans="1:57" s="3" customFormat="1" x14ac:dyDescent="0.25">
      <c r="A10" s="46" t="s">
        <v>20</v>
      </c>
      <c r="B10" s="42" t="s">
        <v>349</v>
      </c>
      <c r="C10" s="42"/>
      <c r="E10" s="5">
        <v>5</v>
      </c>
      <c r="F10" s="5">
        <v>5</v>
      </c>
      <c r="G10" s="5">
        <v>5</v>
      </c>
      <c r="H10" s="5">
        <v>5</v>
      </c>
      <c r="I10" s="5">
        <v>5</v>
      </c>
      <c r="J10" s="5">
        <v>5</v>
      </c>
      <c r="K10" s="5">
        <v>5</v>
      </c>
      <c r="L10" s="5">
        <v>5</v>
      </c>
      <c r="M10" s="5">
        <v>5</v>
      </c>
      <c r="N10" s="5">
        <v>5</v>
      </c>
      <c r="O10" s="5">
        <v>5</v>
      </c>
      <c r="P10" s="5">
        <v>5</v>
      </c>
      <c r="Q10" s="12">
        <v>0.90521327014218</v>
      </c>
      <c r="R10" s="12">
        <v>0.85365853658536595</v>
      </c>
      <c r="S10" s="12">
        <v>0.91304347826086996</v>
      </c>
      <c r="T10" s="12">
        <v>0.92797118847538995</v>
      </c>
      <c r="U10" s="12">
        <v>0.87368421052631595</v>
      </c>
      <c r="V10" s="12">
        <v>2.7E-2</v>
      </c>
      <c r="W10" s="12">
        <v>7.4999999999999997E-2</v>
      </c>
      <c r="X10" s="12">
        <v>4.4999999999999998E-2</v>
      </c>
      <c r="Y10" s="12">
        <v>6.2E-2</v>
      </c>
      <c r="Z10" s="12">
        <v>7.1999999999999995E-2</v>
      </c>
      <c r="AA10" s="105">
        <f t="shared" si="0"/>
        <v>1.0800000000000001E-2</v>
      </c>
      <c r="AB10" s="105">
        <f t="shared" si="0"/>
        <v>0.03</v>
      </c>
      <c r="AC10" s="105">
        <f t="shared" si="0"/>
        <v>1.7999999999999999E-2</v>
      </c>
      <c r="AD10" s="105">
        <f t="shared" si="0"/>
        <v>2.4800000000000003E-2</v>
      </c>
      <c r="AE10" s="105">
        <f t="shared" si="0"/>
        <v>2.8799999999999999E-2</v>
      </c>
      <c r="AF10" s="5">
        <v>5</v>
      </c>
      <c r="AG10" s="15">
        <v>137</v>
      </c>
      <c r="AH10" s="5">
        <v>5</v>
      </c>
      <c r="AI10" s="5">
        <v>5</v>
      </c>
      <c r="AJ10" s="5">
        <v>5</v>
      </c>
      <c r="AK10" s="5">
        <v>5</v>
      </c>
      <c r="AL10" s="5">
        <v>5</v>
      </c>
      <c r="AM10" s="5">
        <v>5</v>
      </c>
      <c r="AN10" s="5">
        <v>5</v>
      </c>
      <c r="AO10" s="5">
        <v>5</v>
      </c>
      <c r="AP10" s="5">
        <v>5</v>
      </c>
      <c r="AQ10" s="5">
        <v>5</v>
      </c>
      <c r="AR10" s="5">
        <v>5</v>
      </c>
      <c r="AS10" s="5">
        <v>5</v>
      </c>
      <c r="AT10" s="5">
        <v>5</v>
      </c>
      <c r="AU10" s="5">
        <v>5</v>
      </c>
      <c r="AV10" s="15">
        <v>1</v>
      </c>
      <c r="AW10" s="245">
        <f t="shared" si="5"/>
        <v>0.1386</v>
      </c>
      <c r="AX10" s="5">
        <v>5</v>
      </c>
      <c r="AY10" s="42">
        <v>137</v>
      </c>
      <c r="AZ10" s="105">
        <f t="shared" si="1"/>
        <v>5.5000000000000002E-5</v>
      </c>
      <c r="BA10" s="105">
        <f t="shared" si="2"/>
        <v>0.1386</v>
      </c>
      <c r="BB10" s="105">
        <v>0</v>
      </c>
      <c r="BC10" s="246">
        <f t="shared" si="6"/>
        <v>1825</v>
      </c>
      <c r="BD10" s="105">
        <f t="shared" si="7"/>
        <v>5</v>
      </c>
      <c r="BE10" s="105">
        <f t="shared" si="8"/>
        <v>5</v>
      </c>
    </row>
    <row r="11" spans="1:57" s="3" customFormat="1" x14ac:dyDescent="0.25">
      <c r="A11" s="44" t="s">
        <v>21</v>
      </c>
      <c r="B11" s="42" t="s">
        <v>1071</v>
      </c>
      <c r="C11" s="42"/>
      <c r="E11" s="5">
        <v>5</v>
      </c>
      <c r="F11" s="5">
        <v>5</v>
      </c>
      <c r="G11" s="5">
        <v>5</v>
      </c>
      <c r="H11" s="5">
        <v>5</v>
      </c>
      <c r="I11" s="5">
        <v>5</v>
      </c>
      <c r="J11" s="5">
        <v>5</v>
      </c>
      <c r="K11" s="5">
        <v>5</v>
      </c>
      <c r="L11" s="5">
        <v>5</v>
      </c>
      <c r="M11" s="5">
        <v>5</v>
      </c>
      <c r="N11" s="5">
        <v>5</v>
      </c>
      <c r="O11" s="5">
        <v>5</v>
      </c>
      <c r="P11" s="5">
        <v>5</v>
      </c>
      <c r="Q11" s="12">
        <v>0.92753623188405798</v>
      </c>
      <c r="R11" s="12">
        <v>0.82352941176470595</v>
      </c>
      <c r="S11" s="12">
        <v>0.890625</v>
      </c>
      <c r="T11" s="12">
        <v>0.908496732026144</v>
      </c>
      <c r="U11" s="12">
        <v>0.88038277511961704</v>
      </c>
      <c r="V11" s="12">
        <v>9.7999999999999997E-3</v>
      </c>
      <c r="W11" s="12">
        <v>2.5999999999999999E-2</v>
      </c>
      <c r="X11" s="12">
        <v>1.9E-2</v>
      </c>
      <c r="Y11" s="12">
        <v>2.4E-2</v>
      </c>
      <c r="Z11" s="12">
        <v>2.5999999999999999E-2</v>
      </c>
      <c r="AA11" s="105">
        <f t="shared" si="0"/>
        <v>3.9199999999999999E-3</v>
      </c>
      <c r="AB11" s="105">
        <f t="shared" si="0"/>
        <v>1.04E-2</v>
      </c>
      <c r="AC11" s="105">
        <f t="shared" si="0"/>
        <v>7.6E-3</v>
      </c>
      <c r="AD11" s="105">
        <f t="shared" si="0"/>
        <v>9.6000000000000009E-3</v>
      </c>
      <c r="AE11" s="105">
        <f t="shared" si="0"/>
        <v>1.04E-2</v>
      </c>
      <c r="AF11" s="5">
        <v>5</v>
      </c>
      <c r="AG11" s="15">
        <v>221</v>
      </c>
      <c r="AH11" s="5">
        <v>5</v>
      </c>
      <c r="AI11" s="5">
        <v>5</v>
      </c>
      <c r="AJ11" s="5">
        <v>5</v>
      </c>
      <c r="AK11" s="5">
        <v>5</v>
      </c>
      <c r="AL11" s="5">
        <v>5</v>
      </c>
      <c r="AM11" s="5">
        <v>5</v>
      </c>
      <c r="AN11" s="5">
        <v>5</v>
      </c>
      <c r="AO11" s="5">
        <v>5</v>
      </c>
      <c r="AP11" s="5">
        <v>5</v>
      </c>
      <c r="AQ11" s="5">
        <v>5</v>
      </c>
      <c r="AR11" s="5">
        <v>5</v>
      </c>
      <c r="AS11" s="5">
        <v>5</v>
      </c>
      <c r="AT11" s="5">
        <v>5</v>
      </c>
      <c r="AU11" s="5">
        <v>5</v>
      </c>
      <c r="AV11" s="15"/>
      <c r="AW11" s="245">
        <f t="shared" si="5"/>
        <v>0.1386</v>
      </c>
      <c r="AX11" s="5">
        <v>5</v>
      </c>
      <c r="AY11" s="42">
        <v>221</v>
      </c>
      <c r="AZ11" s="105">
        <f t="shared" si="1"/>
        <v>5.5000000000000002E-5</v>
      </c>
      <c r="BA11" s="105">
        <f t="shared" si="2"/>
        <v>0.1386</v>
      </c>
      <c r="BB11" s="105">
        <v>0</v>
      </c>
      <c r="BC11" s="246">
        <f t="shared" si="6"/>
        <v>1825</v>
      </c>
      <c r="BD11" s="105">
        <f t="shared" si="7"/>
        <v>5</v>
      </c>
      <c r="BE11" s="105">
        <f t="shared" si="8"/>
        <v>5</v>
      </c>
    </row>
    <row r="12" spans="1:57" s="3" customFormat="1" x14ac:dyDescent="0.25">
      <c r="A12" s="44" t="s">
        <v>22</v>
      </c>
      <c r="B12" s="42" t="s">
        <v>1071</v>
      </c>
      <c r="C12" s="42">
        <v>1</v>
      </c>
      <c r="D12" s="14">
        <v>0</v>
      </c>
      <c r="E12" s="5">
        <v>5</v>
      </c>
      <c r="F12" s="5">
        <v>5</v>
      </c>
      <c r="G12" s="5">
        <v>5</v>
      </c>
      <c r="H12" s="5">
        <v>5</v>
      </c>
      <c r="I12" s="5">
        <v>5</v>
      </c>
      <c r="J12" s="5">
        <v>5</v>
      </c>
      <c r="K12" s="5">
        <v>5</v>
      </c>
      <c r="L12" s="5">
        <v>5</v>
      </c>
      <c r="M12" s="5">
        <v>5</v>
      </c>
      <c r="N12" s="5">
        <v>5</v>
      </c>
      <c r="O12" s="5">
        <v>5</v>
      </c>
      <c r="P12" s="5">
        <v>5</v>
      </c>
      <c r="Q12" s="12">
        <v>0.90184049079754602</v>
      </c>
      <c r="R12" s="12">
        <v>0.89376053962900504</v>
      </c>
      <c r="S12" s="12">
        <v>0.92254901960784297</v>
      </c>
      <c r="T12" s="12">
        <v>0.92845528455284598</v>
      </c>
      <c r="U12" s="12">
        <v>0.88405797101449302</v>
      </c>
      <c r="V12" s="12">
        <v>1.6E-2</v>
      </c>
      <c r="W12" s="12">
        <v>0.05</v>
      </c>
      <c r="X12" s="12">
        <v>2.7E-2</v>
      </c>
      <c r="Y12" s="12">
        <v>3.6999999999999998E-2</v>
      </c>
      <c r="Z12" s="12">
        <v>4.3999999999999997E-2</v>
      </c>
      <c r="AA12" s="105">
        <f t="shared" si="0"/>
        <v>6.4000000000000003E-3</v>
      </c>
      <c r="AB12" s="105">
        <f t="shared" si="0"/>
        <v>2.0000000000000004E-2</v>
      </c>
      <c r="AC12" s="105">
        <f t="shared" si="0"/>
        <v>1.0800000000000001E-2</v>
      </c>
      <c r="AD12" s="105">
        <f t="shared" si="0"/>
        <v>1.4800000000000001E-2</v>
      </c>
      <c r="AE12" s="105">
        <f t="shared" si="0"/>
        <v>1.7600000000000001E-2</v>
      </c>
      <c r="AF12" s="5">
        <v>5</v>
      </c>
      <c r="AG12" s="15">
        <v>206</v>
      </c>
      <c r="AH12" s="5">
        <v>5</v>
      </c>
      <c r="AI12" s="5">
        <v>5</v>
      </c>
      <c r="AJ12" s="5">
        <v>5</v>
      </c>
      <c r="AK12" s="5">
        <v>5</v>
      </c>
      <c r="AL12" s="5">
        <v>5</v>
      </c>
      <c r="AM12" s="5">
        <v>5</v>
      </c>
      <c r="AN12" s="5">
        <v>5</v>
      </c>
      <c r="AO12" s="5">
        <v>5</v>
      </c>
      <c r="AP12" s="5">
        <v>5</v>
      </c>
      <c r="AQ12" s="5">
        <v>5</v>
      </c>
      <c r="AR12" s="5">
        <v>5</v>
      </c>
      <c r="AS12" s="5">
        <v>5</v>
      </c>
      <c r="AT12" s="5">
        <v>5</v>
      </c>
      <c r="AU12" s="5">
        <v>5</v>
      </c>
      <c r="AV12" s="15"/>
      <c r="AW12" s="245">
        <f t="shared" si="5"/>
        <v>0.1386</v>
      </c>
      <c r="AX12" s="5">
        <v>5</v>
      </c>
      <c r="AY12" s="42">
        <v>206</v>
      </c>
      <c r="AZ12" s="105">
        <f t="shared" si="1"/>
        <v>5.5000000000000002E-5</v>
      </c>
      <c r="BA12" s="105">
        <f t="shared" si="2"/>
        <v>0.1386</v>
      </c>
      <c r="BB12" s="105">
        <v>0</v>
      </c>
      <c r="BC12" s="246">
        <f t="shared" si="6"/>
        <v>1825</v>
      </c>
      <c r="BD12" s="105">
        <f t="shared" si="7"/>
        <v>5</v>
      </c>
      <c r="BE12" s="105">
        <f t="shared" si="8"/>
        <v>5</v>
      </c>
    </row>
    <row r="13" spans="1:57" s="3" customFormat="1" x14ac:dyDescent="0.25">
      <c r="A13" s="44" t="s">
        <v>23</v>
      </c>
      <c r="B13" s="42" t="s">
        <v>1071</v>
      </c>
      <c r="C13" s="42"/>
      <c r="E13" s="5">
        <v>5</v>
      </c>
      <c r="F13" s="5">
        <v>5</v>
      </c>
      <c r="G13" s="5">
        <v>5</v>
      </c>
      <c r="H13" s="5">
        <v>5</v>
      </c>
      <c r="I13" s="5">
        <v>5</v>
      </c>
      <c r="J13" s="5">
        <v>5</v>
      </c>
      <c r="K13" s="5">
        <v>5</v>
      </c>
      <c r="L13" s="5">
        <v>5</v>
      </c>
      <c r="M13" s="5">
        <v>5</v>
      </c>
      <c r="N13" s="5">
        <v>5</v>
      </c>
      <c r="O13" s="5">
        <v>5</v>
      </c>
      <c r="P13" s="5">
        <v>5</v>
      </c>
      <c r="Q13" s="12">
        <v>0.98969072164948502</v>
      </c>
      <c r="R13" s="12">
        <v>0.98540145985401395</v>
      </c>
      <c r="S13" s="12">
        <v>0.95212765957446799</v>
      </c>
      <c r="T13" s="12">
        <v>0.93488372093023298</v>
      </c>
      <c r="U13" s="12">
        <v>0.93722466960352402</v>
      </c>
      <c r="V13" s="12">
        <v>2.7999999999999998E-4</v>
      </c>
      <c r="W13" s="12">
        <v>5.8999999999999999E-3</v>
      </c>
      <c r="X13" s="12">
        <v>2.8E-3</v>
      </c>
      <c r="Y13" s="12">
        <v>4.7999999999999996E-3</v>
      </c>
      <c r="Z13" s="12">
        <v>5.7999999999999996E-3</v>
      </c>
      <c r="AA13" s="105">
        <f t="shared" si="0"/>
        <v>1.12E-4</v>
      </c>
      <c r="AB13" s="105">
        <f t="shared" si="0"/>
        <v>2.3600000000000001E-3</v>
      </c>
      <c r="AC13" s="105">
        <f t="shared" si="0"/>
        <v>1.1200000000000001E-3</v>
      </c>
      <c r="AD13" s="105">
        <f t="shared" si="0"/>
        <v>1.9199999999999998E-3</v>
      </c>
      <c r="AE13" s="105">
        <f t="shared" si="0"/>
        <v>2.32E-3</v>
      </c>
      <c r="AF13" s="5">
        <v>5</v>
      </c>
      <c r="AG13" s="15">
        <v>237</v>
      </c>
      <c r="AH13" s="5">
        <v>5</v>
      </c>
      <c r="AI13" s="5">
        <v>5</v>
      </c>
      <c r="AJ13" s="5">
        <v>5</v>
      </c>
      <c r="AK13" s="5">
        <v>5</v>
      </c>
      <c r="AL13" s="5">
        <v>5</v>
      </c>
      <c r="AM13" s="5">
        <v>5</v>
      </c>
      <c r="AN13" s="5">
        <v>5</v>
      </c>
      <c r="AO13" s="5">
        <v>5</v>
      </c>
      <c r="AP13" s="5">
        <v>5</v>
      </c>
      <c r="AQ13" s="5">
        <v>5</v>
      </c>
      <c r="AR13" s="5">
        <v>5</v>
      </c>
      <c r="AS13" s="5">
        <v>5</v>
      </c>
      <c r="AT13" s="5">
        <v>5</v>
      </c>
      <c r="AU13" s="5">
        <v>5</v>
      </c>
      <c r="AV13" s="15">
        <v>5.0000000000000001E-4</v>
      </c>
      <c r="AW13" s="245">
        <f t="shared" si="5"/>
        <v>0.1386</v>
      </c>
      <c r="AX13" s="5">
        <v>5</v>
      </c>
      <c r="AY13" s="42">
        <v>237</v>
      </c>
      <c r="AZ13" s="105">
        <f t="shared" si="1"/>
        <v>5.5000000000000002E-5</v>
      </c>
      <c r="BA13" s="105">
        <f t="shared" si="2"/>
        <v>0.1386</v>
      </c>
      <c r="BB13" s="105">
        <v>0</v>
      </c>
      <c r="BC13" s="246">
        <f t="shared" si="6"/>
        <v>1825</v>
      </c>
      <c r="BD13" s="105">
        <f t="shared" si="7"/>
        <v>5</v>
      </c>
      <c r="BE13" s="105">
        <f t="shared" si="8"/>
        <v>5</v>
      </c>
    </row>
    <row r="14" spans="1:57" s="3" customFormat="1" x14ac:dyDescent="0.25">
      <c r="A14" s="44" t="s">
        <v>24</v>
      </c>
      <c r="B14" s="42" t="s">
        <v>1071</v>
      </c>
      <c r="C14" s="42"/>
      <c r="E14" s="5">
        <v>5</v>
      </c>
      <c r="F14" s="5">
        <v>5</v>
      </c>
      <c r="G14" s="5">
        <v>5</v>
      </c>
      <c r="H14" s="5">
        <v>5</v>
      </c>
      <c r="I14" s="5">
        <v>5</v>
      </c>
      <c r="J14" s="5">
        <v>5</v>
      </c>
      <c r="K14" s="5">
        <v>5</v>
      </c>
      <c r="L14" s="5">
        <v>5</v>
      </c>
      <c r="M14" s="5">
        <v>5</v>
      </c>
      <c r="N14" s="5">
        <v>5</v>
      </c>
      <c r="O14" s="5">
        <v>5</v>
      </c>
      <c r="P14" s="5">
        <v>5</v>
      </c>
      <c r="Q14" s="12">
        <v>0.93203883495145601</v>
      </c>
      <c r="R14" s="12">
        <v>0.922115384615385</v>
      </c>
      <c r="S14" s="12">
        <v>0.92718446601941695</v>
      </c>
      <c r="T14" s="12">
        <v>0.93043478260869505</v>
      </c>
      <c r="U14" s="12">
        <v>0.88959999999999995</v>
      </c>
      <c r="V14" s="12">
        <v>8.2000000000000007E-3</v>
      </c>
      <c r="W14" s="12">
        <v>4.2000000000000003E-2</v>
      </c>
      <c r="X14" s="12">
        <v>2.3E-2</v>
      </c>
      <c r="Y14" s="12">
        <v>3.1E-2</v>
      </c>
      <c r="Z14" s="12">
        <v>3.6999999999999998E-2</v>
      </c>
      <c r="AA14" s="105">
        <f t="shared" si="0"/>
        <v>3.2800000000000004E-3</v>
      </c>
      <c r="AB14" s="105">
        <f t="shared" si="0"/>
        <v>1.6800000000000002E-2</v>
      </c>
      <c r="AC14" s="105">
        <f t="shared" si="0"/>
        <v>9.1999999999999998E-3</v>
      </c>
      <c r="AD14" s="105">
        <f t="shared" si="0"/>
        <v>1.2400000000000001E-2</v>
      </c>
      <c r="AE14" s="105">
        <f t="shared" si="0"/>
        <v>1.4800000000000001E-2</v>
      </c>
      <c r="AF14" s="5">
        <v>5</v>
      </c>
      <c r="AG14" s="15">
        <v>233</v>
      </c>
      <c r="AH14" s="5">
        <v>5</v>
      </c>
      <c r="AI14" s="5">
        <v>5</v>
      </c>
      <c r="AJ14" s="5">
        <v>5</v>
      </c>
      <c r="AK14" s="5">
        <v>5</v>
      </c>
      <c r="AL14" s="5">
        <v>5</v>
      </c>
      <c r="AM14" s="5">
        <v>5</v>
      </c>
      <c r="AN14" s="5">
        <v>5</v>
      </c>
      <c r="AO14" s="5">
        <v>5</v>
      </c>
      <c r="AP14" s="5">
        <v>5</v>
      </c>
      <c r="AQ14" s="5">
        <v>5</v>
      </c>
      <c r="AR14" s="5">
        <v>5</v>
      </c>
      <c r="AS14" s="5">
        <v>5</v>
      </c>
      <c r="AT14" s="5">
        <v>5</v>
      </c>
      <c r="AU14" s="5">
        <v>5</v>
      </c>
      <c r="AV14" s="15">
        <v>5.0000000000000001E-4</v>
      </c>
      <c r="AW14" s="245">
        <f t="shared" si="5"/>
        <v>0.1386</v>
      </c>
      <c r="AX14" s="5">
        <v>5</v>
      </c>
      <c r="AY14" s="42">
        <v>233</v>
      </c>
      <c r="AZ14" s="105">
        <f t="shared" si="1"/>
        <v>5.5000000000000002E-5</v>
      </c>
      <c r="BA14" s="105">
        <f t="shared" si="2"/>
        <v>0.1386</v>
      </c>
      <c r="BB14" s="105">
        <v>0</v>
      </c>
      <c r="BC14" s="246">
        <f t="shared" si="6"/>
        <v>1825</v>
      </c>
      <c r="BD14" s="105">
        <f t="shared" si="7"/>
        <v>5</v>
      </c>
      <c r="BE14" s="105">
        <f t="shared" si="8"/>
        <v>5</v>
      </c>
    </row>
    <row r="15" spans="1:57" s="3" customFormat="1" x14ac:dyDescent="0.25">
      <c r="A15" s="44" t="s">
        <v>25</v>
      </c>
      <c r="B15" s="42" t="s">
        <v>1071</v>
      </c>
      <c r="C15" s="42"/>
      <c r="E15" s="5">
        <v>5</v>
      </c>
      <c r="F15" s="5">
        <v>5</v>
      </c>
      <c r="G15" s="5">
        <v>5</v>
      </c>
      <c r="H15" s="5">
        <v>5</v>
      </c>
      <c r="I15" s="5">
        <v>5</v>
      </c>
      <c r="J15" s="5">
        <v>5</v>
      </c>
      <c r="K15" s="5">
        <v>5</v>
      </c>
      <c r="L15" s="5">
        <v>5</v>
      </c>
      <c r="M15" s="5">
        <v>5</v>
      </c>
      <c r="N15" s="5">
        <v>5</v>
      </c>
      <c r="O15" s="5">
        <v>5</v>
      </c>
      <c r="P15" s="5">
        <v>5</v>
      </c>
      <c r="Q15" s="12">
        <v>0.9</v>
      </c>
      <c r="R15" s="12">
        <v>0.9</v>
      </c>
      <c r="S15" s="12">
        <v>0.9</v>
      </c>
      <c r="T15" s="12">
        <v>0.9</v>
      </c>
      <c r="U15" s="12">
        <v>0.9</v>
      </c>
      <c r="V15" s="12">
        <v>0</v>
      </c>
      <c r="W15" s="12">
        <v>0</v>
      </c>
      <c r="X15" s="12">
        <v>0</v>
      </c>
      <c r="Y15" s="12">
        <v>0</v>
      </c>
      <c r="Z15" s="12">
        <v>0</v>
      </c>
      <c r="AA15" s="105">
        <f t="shared" si="0"/>
        <v>0</v>
      </c>
      <c r="AB15" s="105">
        <f t="shared" si="0"/>
        <v>0</v>
      </c>
      <c r="AC15" s="105">
        <f t="shared" si="0"/>
        <v>0</v>
      </c>
      <c r="AD15" s="105">
        <f t="shared" si="0"/>
        <v>0</v>
      </c>
      <c r="AE15" s="105">
        <f t="shared" si="0"/>
        <v>0</v>
      </c>
      <c r="AF15" s="5">
        <v>5</v>
      </c>
      <c r="AG15" s="15">
        <v>209</v>
      </c>
      <c r="AH15" s="5">
        <v>5</v>
      </c>
      <c r="AI15" s="5">
        <v>5</v>
      </c>
      <c r="AJ15" s="5">
        <v>5</v>
      </c>
      <c r="AK15" s="5">
        <v>5</v>
      </c>
      <c r="AL15" s="5">
        <v>5</v>
      </c>
      <c r="AM15" s="5">
        <v>5</v>
      </c>
      <c r="AN15" s="5">
        <v>5</v>
      </c>
      <c r="AO15" s="5">
        <v>5</v>
      </c>
      <c r="AP15" s="5">
        <v>5</v>
      </c>
      <c r="AQ15" s="5">
        <v>5</v>
      </c>
      <c r="AR15" s="5">
        <v>5</v>
      </c>
      <c r="AS15" s="5">
        <v>5</v>
      </c>
      <c r="AT15" s="5">
        <v>5</v>
      </c>
      <c r="AU15" s="5">
        <v>5</v>
      </c>
      <c r="AV15" s="15">
        <v>0.2</v>
      </c>
      <c r="AW15" s="245">
        <f t="shared" si="5"/>
        <v>0.1386</v>
      </c>
      <c r="AX15" s="5">
        <v>5</v>
      </c>
      <c r="AY15" s="42">
        <v>209</v>
      </c>
      <c r="AZ15" s="105">
        <f t="shared" si="1"/>
        <v>5.5000000000000002E-5</v>
      </c>
      <c r="BA15" s="105">
        <f t="shared" si="2"/>
        <v>0.1386</v>
      </c>
      <c r="BB15" s="105">
        <v>0</v>
      </c>
      <c r="BC15" s="246">
        <f t="shared" si="6"/>
        <v>1825</v>
      </c>
      <c r="BD15" s="105">
        <f t="shared" si="7"/>
        <v>5</v>
      </c>
      <c r="BE15" s="105">
        <f t="shared" si="8"/>
        <v>5</v>
      </c>
    </row>
    <row r="16" spans="1:57" s="3" customFormat="1" x14ac:dyDescent="0.25">
      <c r="A16" s="44" t="s">
        <v>26</v>
      </c>
      <c r="B16" s="42" t="s">
        <v>1071</v>
      </c>
      <c r="C16" s="42">
        <v>1</v>
      </c>
      <c r="D16" s="14">
        <v>0</v>
      </c>
      <c r="E16" s="5">
        <v>5</v>
      </c>
      <c r="F16" s="5">
        <v>5</v>
      </c>
      <c r="G16" s="5">
        <v>5</v>
      </c>
      <c r="H16" s="5">
        <v>5</v>
      </c>
      <c r="I16" s="5">
        <v>5</v>
      </c>
      <c r="J16" s="5">
        <v>5</v>
      </c>
      <c r="K16" s="5">
        <v>5</v>
      </c>
      <c r="L16" s="5">
        <v>5</v>
      </c>
      <c r="M16" s="5">
        <v>5</v>
      </c>
      <c r="N16" s="5">
        <v>5</v>
      </c>
      <c r="O16" s="5">
        <v>5</v>
      </c>
      <c r="P16" s="5">
        <v>5</v>
      </c>
      <c r="Q16" s="12">
        <v>1</v>
      </c>
      <c r="R16" s="12">
        <v>0.94642857142857095</v>
      </c>
      <c r="S16" s="12">
        <v>0.97425742574257401</v>
      </c>
      <c r="T16" s="12">
        <v>0.94932432432432401</v>
      </c>
      <c r="U16" s="12">
        <v>0.94444444444444398</v>
      </c>
      <c r="V16" s="12">
        <v>9.9999999999999995E-8</v>
      </c>
      <c r="W16" s="12">
        <v>4.4000000000000002E-6</v>
      </c>
      <c r="X16" s="12">
        <v>2.3999999999999999E-6</v>
      </c>
      <c r="Y16" s="12">
        <v>4.0999999999999997E-6</v>
      </c>
      <c r="Z16" s="12">
        <v>4.0999999999999997E-6</v>
      </c>
      <c r="AA16" s="105">
        <f t="shared" si="0"/>
        <v>4.0000000000000001E-8</v>
      </c>
      <c r="AB16" s="105">
        <f t="shared" si="0"/>
        <v>1.7600000000000001E-6</v>
      </c>
      <c r="AC16" s="105">
        <f t="shared" si="0"/>
        <v>9.5999999999999991E-7</v>
      </c>
      <c r="AD16" s="105">
        <f t="shared" si="0"/>
        <v>1.64E-6</v>
      </c>
      <c r="AE16" s="105">
        <f t="shared" si="0"/>
        <v>1.64E-6</v>
      </c>
      <c r="AF16" s="5">
        <v>5</v>
      </c>
      <c r="AG16" s="15">
        <v>210</v>
      </c>
      <c r="AH16" s="5">
        <v>5</v>
      </c>
      <c r="AI16" s="5">
        <v>5</v>
      </c>
      <c r="AJ16" s="5">
        <v>5</v>
      </c>
      <c r="AK16" s="5">
        <v>5</v>
      </c>
      <c r="AL16" s="5">
        <v>5</v>
      </c>
      <c r="AM16" s="5">
        <v>5</v>
      </c>
      <c r="AN16" s="5">
        <v>5</v>
      </c>
      <c r="AO16" s="5">
        <v>5</v>
      </c>
      <c r="AP16" s="5">
        <v>5</v>
      </c>
      <c r="AQ16" s="5">
        <v>5</v>
      </c>
      <c r="AR16" s="5">
        <v>5</v>
      </c>
      <c r="AS16" s="5">
        <v>5</v>
      </c>
      <c r="AT16" s="5">
        <v>5</v>
      </c>
      <c r="AU16" s="5">
        <v>5</v>
      </c>
      <c r="AV16" s="15">
        <v>0.2</v>
      </c>
      <c r="AW16" s="245">
        <f t="shared" si="5"/>
        <v>0.1386</v>
      </c>
      <c r="AX16" s="5">
        <v>5</v>
      </c>
      <c r="AY16" s="42">
        <v>210</v>
      </c>
      <c r="AZ16" s="105">
        <f t="shared" si="1"/>
        <v>5.5000000000000002E-5</v>
      </c>
      <c r="BA16" s="105">
        <f t="shared" si="2"/>
        <v>0.1386</v>
      </c>
      <c r="BB16" s="105">
        <v>0</v>
      </c>
      <c r="BC16" s="246">
        <f t="shared" si="6"/>
        <v>1825</v>
      </c>
      <c r="BD16" s="105">
        <f t="shared" si="7"/>
        <v>5</v>
      </c>
      <c r="BE16" s="105">
        <f t="shared" si="8"/>
        <v>5</v>
      </c>
    </row>
    <row r="17" spans="1:57" s="3" customFormat="1" x14ac:dyDescent="0.25">
      <c r="A17" s="44" t="s">
        <v>27</v>
      </c>
      <c r="B17" s="42" t="s">
        <v>1071</v>
      </c>
      <c r="C17" s="42">
        <v>1</v>
      </c>
      <c r="D17" s="14">
        <v>0.17254619500000001</v>
      </c>
      <c r="E17" s="5">
        <v>5</v>
      </c>
      <c r="F17" s="5">
        <v>5</v>
      </c>
      <c r="G17" s="5">
        <v>5</v>
      </c>
      <c r="H17" s="5">
        <v>5</v>
      </c>
      <c r="I17" s="5">
        <v>5</v>
      </c>
      <c r="J17" s="5">
        <v>5</v>
      </c>
      <c r="K17" s="5">
        <v>5</v>
      </c>
      <c r="L17" s="5">
        <v>5</v>
      </c>
      <c r="M17" s="5">
        <v>5</v>
      </c>
      <c r="N17" s="5">
        <v>5</v>
      </c>
      <c r="O17" s="5">
        <v>5</v>
      </c>
      <c r="P17" s="5">
        <v>5</v>
      </c>
      <c r="Q17" s="12">
        <v>0.901685393258427</v>
      </c>
      <c r="R17" s="12">
        <v>0.92436974789916004</v>
      </c>
      <c r="S17" s="12">
        <v>0.92558139534883699</v>
      </c>
      <c r="T17" s="12">
        <v>0.9296875</v>
      </c>
      <c r="U17" s="12">
        <v>0.87916666666666698</v>
      </c>
      <c r="V17" s="12">
        <v>1.4999999999999999E-2</v>
      </c>
      <c r="W17" s="12">
        <v>4.9000000000000002E-2</v>
      </c>
      <c r="X17" s="12">
        <v>2.8000000000000001E-2</v>
      </c>
      <c r="Y17" s="12">
        <v>3.6999999999999998E-2</v>
      </c>
      <c r="Z17" s="12">
        <v>4.3999999999999997E-2</v>
      </c>
      <c r="AA17" s="105">
        <f t="shared" si="0"/>
        <v>6.0000000000000001E-3</v>
      </c>
      <c r="AB17" s="105">
        <f t="shared" si="0"/>
        <v>1.9600000000000003E-2</v>
      </c>
      <c r="AC17" s="105">
        <f t="shared" si="0"/>
        <v>1.1200000000000002E-2</v>
      </c>
      <c r="AD17" s="105">
        <f t="shared" si="0"/>
        <v>1.4800000000000001E-2</v>
      </c>
      <c r="AE17" s="105">
        <f t="shared" si="0"/>
        <v>1.7600000000000001E-2</v>
      </c>
      <c r="AF17" s="5">
        <v>5</v>
      </c>
      <c r="AG17" s="15">
        <v>214</v>
      </c>
      <c r="AH17" s="5">
        <v>5</v>
      </c>
      <c r="AI17" s="5">
        <v>5</v>
      </c>
      <c r="AJ17" s="5">
        <v>5</v>
      </c>
      <c r="AK17" s="5">
        <v>5</v>
      </c>
      <c r="AL17" s="5">
        <v>5</v>
      </c>
      <c r="AM17" s="5">
        <v>5</v>
      </c>
      <c r="AN17" s="5">
        <v>5</v>
      </c>
      <c r="AO17" s="5">
        <v>5</v>
      </c>
      <c r="AP17" s="5">
        <v>5</v>
      </c>
      <c r="AQ17" s="5">
        <v>5</v>
      </c>
      <c r="AR17" s="5">
        <v>5</v>
      </c>
      <c r="AS17" s="5">
        <v>5</v>
      </c>
      <c r="AT17" s="5">
        <v>5</v>
      </c>
      <c r="AU17" s="5">
        <v>5</v>
      </c>
      <c r="AV17" s="15">
        <v>0.2</v>
      </c>
      <c r="AW17" s="245">
        <f t="shared" si="5"/>
        <v>0.1386</v>
      </c>
      <c r="AX17" s="5">
        <v>5</v>
      </c>
      <c r="AY17" s="42">
        <v>214</v>
      </c>
      <c r="AZ17" s="105">
        <f t="shared" si="1"/>
        <v>5.5000000000000002E-5</v>
      </c>
      <c r="BA17" s="105">
        <f t="shared" si="2"/>
        <v>0.1386</v>
      </c>
      <c r="BB17" s="105">
        <v>0</v>
      </c>
      <c r="BC17" s="246">
        <f t="shared" si="6"/>
        <v>1825</v>
      </c>
      <c r="BD17" s="105">
        <f t="shared" si="7"/>
        <v>5</v>
      </c>
      <c r="BE17" s="105">
        <f t="shared" si="8"/>
        <v>5</v>
      </c>
    </row>
    <row r="18" spans="1:57" s="3" customFormat="1" x14ac:dyDescent="0.25">
      <c r="A18" s="44" t="s">
        <v>28</v>
      </c>
      <c r="B18" s="42" t="s">
        <v>1071</v>
      </c>
      <c r="C18" s="42">
        <v>1</v>
      </c>
      <c r="D18" s="14">
        <v>0</v>
      </c>
      <c r="E18" s="5">
        <v>5</v>
      </c>
      <c r="F18" s="5">
        <v>5</v>
      </c>
      <c r="G18" s="5">
        <v>5</v>
      </c>
      <c r="H18" s="5">
        <v>5</v>
      </c>
      <c r="I18" s="5">
        <v>5</v>
      </c>
      <c r="J18" s="5">
        <v>5</v>
      </c>
      <c r="K18" s="5">
        <v>5</v>
      </c>
      <c r="L18" s="5">
        <v>5</v>
      </c>
      <c r="M18" s="5">
        <v>5</v>
      </c>
      <c r="N18" s="5">
        <v>5</v>
      </c>
      <c r="O18" s="5">
        <v>5</v>
      </c>
      <c r="P18" s="5">
        <v>5</v>
      </c>
      <c r="Q18" s="12">
        <v>0.88135593220339004</v>
      </c>
      <c r="R18" s="12">
        <v>0.93612334801762098</v>
      </c>
      <c r="S18" s="12">
        <v>0.93633952254641895</v>
      </c>
      <c r="T18" s="12">
        <v>0.93013100436681195</v>
      </c>
      <c r="U18" s="12">
        <v>0.94466403162055301</v>
      </c>
      <c r="V18" s="12">
        <v>0.03</v>
      </c>
      <c r="W18" s="12">
        <v>9.5000000000000001E-2</v>
      </c>
      <c r="X18" s="12">
        <v>4.8000000000000001E-2</v>
      </c>
      <c r="Y18" s="12">
        <v>6.9000000000000006E-2</v>
      </c>
      <c r="Z18" s="12">
        <v>8.2000000000000003E-2</v>
      </c>
      <c r="AA18" s="105">
        <f t="shared" ref="AA18:AE30" si="9">0.4*V18</f>
        <v>1.2E-2</v>
      </c>
      <c r="AB18" s="105">
        <f t="shared" si="9"/>
        <v>3.8000000000000006E-2</v>
      </c>
      <c r="AC18" s="105">
        <f t="shared" si="9"/>
        <v>1.9200000000000002E-2</v>
      </c>
      <c r="AD18" s="105">
        <f t="shared" si="9"/>
        <v>2.7600000000000003E-2</v>
      </c>
      <c r="AE18" s="105">
        <f t="shared" si="9"/>
        <v>3.2800000000000003E-2</v>
      </c>
      <c r="AF18" s="5">
        <v>5</v>
      </c>
      <c r="AG18" s="15">
        <v>210</v>
      </c>
      <c r="AH18" s="5">
        <v>5</v>
      </c>
      <c r="AI18" s="5">
        <v>5</v>
      </c>
      <c r="AJ18" s="5">
        <v>5</v>
      </c>
      <c r="AK18" s="5">
        <v>5</v>
      </c>
      <c r="AL18" s="5">
        <v>5</v>
      </c>
      <c r="AM18" s="5">
        <v>5</v>
      </c>
      <c r="AN18" s="5">
        <v>5</v>
      </c>
      <c r="AO18" s="5">
        <v>5</v>
      </c>
      <c r="AP18" s="5">
        <v>5</v>
      </c>
      <c r="AQ18" s="5">
        <v>5</v>
      </c>
      <c r="AR18" s="5">
        <v>5</v>
      </c>
      <c r="AS18" s="5">
        <v>5</v>
      </c>
      <c r="AT18" s="5">
        <v>5</v>
      </c>
      <c r="AU18" s="5">
        <v>5</v>
      </c>
      <c r="AV18" s="15"/>
      <c r="AW18" s="245">
        <f t="shared" si="5"/>
        <v>0.1386</v>
      </c>
      <c r="AX18" s="5">
        <v>5</v>
      </c>
      <c r="AY18" s="42">
        <v>210</v>
      </c>
      <c r="AZ18" s="105">
        <f t="shared" si="1"/>
        <v>5.5000000000000002E-5</v>
      </c>
      <c r="BA18" s="105">
        <f t="shared" si="2"/>
        <v>0.1386</v>
      </c>
      <c r="BB18" s="105">
        <v>0</v>
      </c>
      <c r="BC18" s="246">
        <f t="shared" si="6"/>
        <v>1825</v>
      </c>
      <c r="BD18" s="105">
        <f t="shared" si="7"/>
        <v>5</v>
      </c>
      <c r="BE18" s="105">
        <f t="shared" si="8"/>
        <v>5</v>
      </c>
    </row>
    <row r="19" spans="1:57" s="3" customFormat="1" x14ac:dyDescent="0.25">
      <c r="A19" s="44" t="s">
        <v>29</v>
      </c>
      <c r="B19" s="42" t="s">
        <v>1071</v>
      </c>
      <c r="C19" s="42"/>
      <c r="E19" s="5">
        <v>5</v>
      </c>
      <c r="F19" s="5">
        <v>5</v>
      </c>
      <c r="G19" s="5">
        <v>5</v>
      </c>
      <c r="H19" s="5">
        <v>5</v>
      </c>
      <c r="I19" s="5">
        <v>5</v>
      </c>
      <c r="J19" s="5">
        <v>5</v>
      </c>
      <c r="K19" s="5">
        <v>5</v>
      </c>
      <c r="L19" s="5">
        <v>5</v>
      </c>
      <c r="M19" s="5">
        <v>5</v>
      </c>
      <c r="N19" s="5">
        <v>5</v>
      </c>
      <c r="O19" s="5">
        <v>5</v>
      </c>
      <c r="P19" s="5">
        <v>5</v>
      </c>
      <c r="Q19" s="12">
        <v>0.87991266375545796</v>
      </c>
      <c r="R19" s="12">
        <v>0.93714285714285706</v>
      </c>
      <c r="S19" s="12">
        <v>0.93493150684931503</v>
      </c>
      <c r="T19" s="12">
        <v>0.93220338983050799</v>
      </c>
      <c r="U19" s="12">
        <v>0.94871794871794901</v>
      </c>
      <c r="V19" s="12">
        <v>2.9000000000000001E-2</v>
      </c>
      <c r="W19" s="12">
        <v>9.2999999999999999E-2</v>
      </c>
      <c r="X19" s="12">
        <v>4.7E-2</v>
      </c>
      <c r="Y19" s="12">
        <v>6.8000000000000005E-2</v>
      </c>
      <c r="Z19" s="12">
        <v>0.08</v>
      </c>
      <c r="AA19" s="105">
        <f t="shared" si="9"/>
        <v>1.1600000000000001E-2</v>
      </c>
      <c r="AB19" s="105">
        <f t="shared" si="9"/>
        <v>3.7200000000000004E-2</v>
      </c>
      <c r="AC19" s="105">
        <f t="shared" si="9"/>
        <v>1.8800000000000001E-2</v>
      </c>
      <c r="AD19" s="105">
        <f t="shared" si="9"/>
        <v>2.7200000000000002E-2</v>
      </c>
      <c r="AE19" s="105">
        <f t="shared" si="9"/>
        <v>3.2000000000000001E-2</v>
      </c>
      <c r="AF19" s="5">
        <v>5</v>
      </c>
      <c r="AG19" s="15">
        <v>213</v>
      </c>
      <c r="AH19" s="5">
        <v>5</v>
      </c>
      <c r="AI19" s="5">
        <v>5</v>
      </c>
      <c r="AJ19" s="5">
        <v>5</v>
      </c>
      <c r="AK19" s="5">
        <v>5</v>
      </c>
      <c r="AL19" s="5">
        <v>5</v>
      </c>
      <c r="AM19" s="5">
        <v>5</v>
      </c>
      <c r="AN19" s="5">
        <v>5</v>
      </c>
      <c r="AO19" s="5">
        <v>5</v>
      </c>
      <c r="AP19" s="5">
        <v>5</v>
      </c>
      <c r="AQ19" s="5">
        <v>5</v>
      </c>
      <c r="AR19" s="5">
        <v>5</v>
      </c>
      <c r="AS19" s="5">
        <v>5</v>
      </c>
      <c r="AT19" s="5">
        <v>5</v>
      </c>
      <c r="AU19" s="5">
        <v>5</v>
      </c>
      <c r="AV19" s="15"/>
      <c r="AW19" s="245">
        <f t="shared" si="5"/>
        <v>0.1386</v>
      </c>
      <c r="AX19" s="5">
        <v>5</v>
      </c>
      <c r="AY19" s="42">
        <v>213</v>
      </c>
      <c r="AZ19" s="105">
        <f t="shared" si="1"/>
        <v>5.5000000000000002E-5</v>
      </c>
      <c r="BA19" s="105">
        <f t="shared" si="2"/>
        <v>0.1386</v>
      </c>
      <c r="BB19" s="105">
        <v>0</v>
      </c>
      <c r="BC19" s="246">
        <f t="shared" si="6"/>
        <v>1825</v>
      </c>
      <c r="BD19" s="105">
        <f t="shared" si="7"/>
        <v>5</v>
      </c>
      <c r="BE19" s="105">
        <f t="shared" si="8"/>
        <v>5</v>
      </c>
    </row>
    <row r="20" spans="1:57" s="3" customFormat="1" x14ac:dyDescent="0.25">
      <c r="A20" s="44" t="s">
        <v>30</v>
      </c>
      <c r="B20" s="42" t="s">
        <v>1071</v>
      </c>
      <c r="C20" s="42">
        <v>1</v>
      </c>
      <c r="D20" s="14">
        <v>5.0904440000000002E-2</v>
      </c>
      <c r="E20" s="5">
        <v>5</v>
      </c>
      <c r="F20" s="5">
        <v>5</v>
      </c>
      <c r="G20" s="5">
        <v>5</v>
      </c>
      <c r="H20" s="5">
        <v>5</v>
      </c>
      <c r="I20" s="5">
        <v>5</v>
      </c>
      <c r="J20" s="5">
        <v>5</v>
      </c>
      <c r="K20" s="5">
        <v>5</v>
      </c>
      <c r="L20" s="5">
        <v>5</v>
      </c>
      <c r="M20" s="5">
        <v>5</v>
      </c>
      <c r="N20" s="5">
        <v>5</v>
      </c>
      <c r="O20" s="5">
        <v>5</v>
      </c>
      <c r="P20" s="5">
        <v>5</v>
      </c>
      <c r="Q20" s="12">
        <v>0.87920792079207899</v>
      </c>
      <c r="R20" s="12">
        <v>0.93298969072164994</v>
      </c>
      <c r="S20" s="12">
        <v>0.93633540372670798</v>
      </c>
      <c r="T20" s="12">
        <v>0.930946291560102</v>
      </c>
      <c r="U20" s="12">
        <v>0.94444444444444398</v>
      </c>
      <c r="V20" s="12">
        <v>0.03</v>
      </c>
      <c r="W20" s="12">
        <v>9.5000000000000001E-2</v>
      </c>
      <c r="X20" s="12">
        <v>4.8000000000000001E-2</v>
      </c>
      <c r="Y20" s="12">
        <v>6.9000000000000006E-2</v>
      </c>
      <c r="Z20" s="12">
        <v>8.1000000000000003E-2</v>
      </c>
      <c r="AA20" s="105">
        <f t="shared" si="9"/>
        <v>1.2E-2</v>
      </c>
      <c r="AB20" s="105">
        <f t="shared" si="9"/>
        <v>3.8000000000000006E-2</v>
      </c>
      <c r="AC20" s="105">
        <f t="shared" si="9"/>
        <v>1.9200000000000002E-2</v>
      </c>
      <c r="AD20" s="105">
        <f t="shared" si="9"/>
        <v>2.7600000000000003E-2</v>
      </c>
      <c r="AE20" s="105">
        <f t="shared" si="9"/>
        <v>3.2400000000000005E-2</v>
      </c>
      <c r="AF20" s="5">
        <v>5</v>
      </c>
      <c r="AG20" s="15">
        <v>214</v>
      </c>
      <c r="AH20" s="5">
        <v>5</v>
      </c>
      <c r="AI20" s="5">
        <v>5</v>
      </c>
      <c r="AJ20" s="5">
        <v>5</v>
      </c>
      <c r="AK20" s="5">
        <v>5</v>
      </c>
      <c r="AL20" s="5">
        <v>5</v>
      </c>
      <c r="AM20" s="5">
        <v>5</v>
      </c>
      <c r="AN20" s="5">
        <v>5</v>
      </c>
      <c r="AO20" s="5">
        <v>5</v>
      </c>
      <c r="AP20" s="5">
        <v>5</v>
      </c>
      <c r="AQ20" s="5">
        <v>5</v>
      </c>
      <c r="AR20" s="5">
        <v>5</v>
      </c>
      <c r="AS20" s="5">
        <v>5</v>
      </c>
      <c r="AT20" s="5">
        <v>5</v>
      </c>
      <c r="AU20" s="5">
        <v>5</v>
      </c>
      <c r="AV20" s="15"/>
      <c r="AW20" s="245">
        <f t="shared" si="5"/>
        <v>0.1386</v>
      </c>
      <c r="AX20" s="5">
        <v>5</v>
      </c>
      <c r="AY20" s="42">
        <v>214</v>
      </c>
      <c r="AZ20" s="105">
        <f t="shared" si="1"/>
        <v>5.5000000000000002E-5</v>
      </c>
      <c r="BA20" s="105">
        <f t="shared" si="2"/>
        <v>0.1386</v>
      </c>
      <c r="BB20" s="105">
        <v>0</v>
      </c>
      <c r="BC20" s="246">
        <f t="shared" si="6"/>
        <v>1825</v>
      </c>
      <c r="BD20" s="105">
        <f t="shared" si="7"/>
        <v>5</v>
      </c>
      <c r="BE20" s="105">
        <f t="shared" si="8"/>
        <v>5</v>
      </c>
    </row>
    <row r="21" spans="1:57" s="3" customFormat="1" x14ac:dyDescent="0.25">
      <c r="A21" s="44" t="s">
        <v>31</v>
      </c>
      <c r="B21" s="42" t="s">
        <v>1071</v>
      </c>
      <c r="C21" s="42">
        <v>1</v>
      </c>
      <c r="D21" s="14">
        <v>0.72849330099999998</v>
      </c>
      <c r="E21" s="5">
        <v>5</v>
      </c>
      <c r="F21" s="5">
        <v>5</v>
      </c>
      <c r="G21" s="5">
        <v>5</v>
      </c>
      <c r="H21" s="5">
        <v>5</v>
      </c>
      <c r="I21" s="5">
        <v>5</v>
      </c>
      <c r="J21" s="5">
        <v>5</v>
      </c>
      <c r="K21" s="5">
        <v>5</v>
      </c>
      <c r="L21" s="5">
        <v>5</v>
      </c>
      <c r="M21" s="5">
        <v>5</v>
      </c>
      <c r="N21" s="5">
        <v>5</v>
      </c>
      <c r="O21" s="5">
        <v>5</v>
      </c>
      <c r="P21" s="5">
        <v>5</v>
      </c>
      <c r="Q21" s="12">
        <v>0.9</v>
      </c>
      <c r="R21" s="12">
        <v>0.9</v>
      </c>
      <c r="S21" s="12">
        <v>0.9</v>
      </c>
      <c r="T21" s="12">
        <v>0.9</v>
      </c>
      <c r="U21" s="12">
        <v>0.9</v>
      </c>
      <c r="V21" s="12">
        <v>0</v>
      </c>
      <c r="W21" s="12">
        <v>0</v>
      </c>
      <c r="X21" s="12">
        <v>0</v>
      </c>
      <c r="Y21" s="12">
        <v>0</v>
      </c>
      <c r="Z21" s="12">
        <v>0</v>
      </c>
      <c r="AA21" s="105">
        <f t="shared" si="9"/>
        <v>0</v>
      </c>
      <c r="AB21" s="105">
        <f t="shared" si="9"/>
        <v>0</v>
      </c>
      <c r="AC21" s="105">
        <f t="shared" si="9"/>
        <v>0</v>
      </c>
      <c r="AD21" s="105">
        <f t="shared" si="9"/>
        <v>0</v>
      </c>
      <c r="AE21" s="105">
        <f t="shared" si="9"/>
        <v>0</v>
      </c>
      <c r="AF21" s="5">
        <v>5</v>
      </c>
      <c r="AG21" s="15">
        <v>218</v>
      </c>
      <c r="AH21" s="5">
        <v>5</v>
      </c>
      <c r="AI21" s="5">
        <v>5</v>
      </c>
      <c r="AJ21" s="5">
        <v>5</v>
      </c>
      <c r="AK21" s="5">
        <v>5</v>
      </c>
      <c r="AL21" s="5">
        <v>5</v>
      </c>
      <c r="AM21" s="5">
        <v>5</v>
      </c>
      <c r="AN21" s="5">
        <v>5</v>
      </c>
      <c r="AO21" s="5">
        <v>5</v>
      </c>
      <c r="AP21" s="5">
        <v>5</v>
      </c>
      <c r="AQ21" s="5">
        <v>5</v>
      </c>
      <c r="AR21" s="5">
        <v>5</v>
      </c>
      <c r="AS21" s="5">
        <v>5</v>
      </c>
      <c r="AT21" s="5">
        <v>5</v>
      </c>
      <c r="AU21" s="5">
        <v>5</v>
      </c>
      <c r="AV21" s="15"/>
      <c r="AW21" s="245">
        <f t="shared" si="5"/>
        <v>0.1386</v>
      </c>
      <c r="AX21" s="5">
        <v>5</v>
      </c>
      <c r="AY21" s="42">
        <v>218</v>
      </c>
      <c r="AZ21" s="105">
        <f t="shared" si="1"/>
        <v>5.5000000000000002E-5</v>
      </c>
      <c r="BA21" s="105">
        <f t="shared" si="2"/>
        <v>0.1386</v>
      </c>
      <c r="BB21" s="105">
        <v>0</v>
      </c>
      <c r="BC21" s="246">
        <f t="shared" si="6"/>
        <v>1825</v>
      </c>
      <c r="BD21" s="105">
        <f t="shared" si="7"/>
        <v>5</v>
      </c>
      <c r="BE21" s="105">
        <f t="shared" si="8"/>
        <v>5</v>
      </c>
    </row>
    <row r="22" spans="1:57" s="3" customFormat="1" x14ac:dyDescent="0.25">
      <c r="A22" s="44" t="s">
        <v>32</v>
      </c>
      <c r="B22" s="42" t="s">
        <v>1071</v>
      </c>
      <c r="C22" s="42"/>
      <c r="E22" s="5">
        <v>5</v>
      </c>
      <c r="F22" s="5">
        <v>5</v>
      </c>
      <c r="G22" s="5">
        <v>5</v>
      </c>
      <c r="H22" s="5">
        <v>5</v>
      </c>
      <c r="I22" s="5">
        <v>5</v>
      </c>
      <c r="J22" s="5">
        <v>5</v>
      </c>
      <c r="K22" s="5">
        <v>5</v>
      </c>
      <c r="L22" s="5">
        <v>5</v>
      </c>
      <c r="M22" s="5">
        <v>5</v>
      </c>
      <c r="N22" s="5">
        <v>5</v>
      </c>
      <c r="O22" s="5">
        <v>5</v>
      </c>
      <c r="P22" s="5">
        <v>5</v>
      </c>
      <c r="Q22" s="12">
        <v>0.98748261474269805</v>
      </c>
      <c r="R22" s="12">
        <v>0.86834733893557403</v>
      </c>
      <c r="S22" s="12">
        <v>0.98884758364312197</v>
      </c>
      <c r="T22" s="12">
        <v>0.95495495495495497</v>
      </c>
      <c r="U22" s="12">
        <v>0.95760598503740701</v>
      </c>
      <c r="V22" s="12">
        <v>4.1000000000000003E-9</v>
      </c>
      <c r="W22" s="12">
        <v>2.4E-8</v>
      </c>
      <c r="X22" s="12">
        <v>2.3000000000000001E-8</v>
      </c>
      <c r="Y22" s="12">
        <v>3.1E-8</v>
      </c>
      <c r="Z22" s="12">
        <v>2.9999999999999997E-8</v>
      </c>
      <c r="AA22" s="105">
        <f t="shared" si="9"/>
        <v>1.6400000000000001E-9</v>
      </c>
      <c r="AB22" s="105">
        <f t="shared" si="9"/>
        <v>9.5999999999999999E-9</v>
      </c>
      <c r="AC22" s="105">
        <f t="shared" si="9"/>
        <v>9.2000000000000013E-9</v>
      </c>
      <c r="AD22" s="105">
        <f t="shared" si="9"/>
        <v>1.24E-8</v>
      </c>
      <c r="AE22" s="105">
        <f t="shared" si="9"/>
        <v>1.2E-8</v>
      </c>
      <c r="AF22" s="5">
        <v>5</v>
      </c>
      <c r="AG22" s="15">
        <v>225</v>
      </c>
      <c r="AH22" s="5">
        <v>5</v>
      </c>
      <c r="AI22" s="5">
        <v>5</v>
      </c>
      <c r="AJ22" s="5">
        <v>5</v>
      </c>
      <c r="AK22" s="5">
        <v>5</v>
      </c>
      <c r="AL22" s="5">
        <v>5</v>
      </c>
      <c r="AM22" s="5">
        <v>5</v>
      </c>
      <c r="AN22" s="5">
        <v>5</v>
      </c>
      <c r="AO22" s="5">
        <v>5</v>
      </c>
      <c r="AP22" s="5">
        <v>5</v>
      </c>
      <c r="AQ22" s="5">
        <v>5</v>
      </c>
      <c r="AR22" s="5">
        <v>5</v>
      </c>
      <c r="AS22" s="5">
        <v>5</v>
      </c>
      <c r="AT22" s="5">
        <v>5</v>
      </c>
      <c r="AU22" s="5">
        <v>5</v>
      </c>
      <c r="AV22" s="15">
        <v>0.2</v>
      </c>
      <c r="AW22" s="245">
        <f t="shared" si="5"/>
        <v>0.1386</v>
      </c>
      <c r="AX22" s="5">
        <v>5</v>
      </c>
      <c r="AY22" s="42">
        <v>225</v>
      </c>
      <c r="AZ22" s="105">
        <f t="shared" si="1"/>
        <v>5.5000000000000002E-5</v>
      </c>
      <c r="BA22" s="105">
        <f t="shared" si="2"/>
        <v>0.1386</v>
      </c>
      <c r="BB22" s="105">
        <v>0</v>
      </c>
      <c r="BC22" s="246">
        <f t="shared" si="6"/>
        <v>1825</v>
      </c>
      <c r="BD22" s="105">
        <f>AT22</f>
        <v>5</v>
      </c>
      <c r="BE22" s="105">
        <f t="shared" si="8"/>
        <v>5</v>
      </c>
    </row>
    <row r="23" spans="1:57" s="3" customFormat="1" x14ac:dyDescent="0.25">
      <c r="A23" s="46" t="s">
        <v>33</v>
      </c>
      <c r="B23" s="42" t="s">
        <v>349</v>
      </c>
      <c r="C23" s="42"/>
      <c r="E23" s="5">
        <v>5</v>
      </c>
      <c r="F23" s="5">
        <v>5</v>
      </c>
      <c r="G23" s="5">
        <v>5</v>
      </c>
      <c r="H23" s="5">
        <v>5</v>
      </c>
      <c r="I23" s="5">
        <v>5</v>
      </c>
      <c r="J23" s="5">
        <v>5</v>
      </c>
      <c r="K23" s="5">
        <v>5</v>
      </c>
      <c r="L23" s="5">
        <v>5</v>
      </c>
      <c r="M23" s="5">
        <v>5</v>
      </c>
      <c r="N23" s="5">
        <v>5</v>
      </c>
      <c r="O23" s="5">
        <v>5</v>
      </c>
      <c r="P23" s="5">
        <v>5</v>
      </c>
      <c r="Q23" s="12">
        <v>0.927927927927928</v>
      </c>
      <c r="R23" s="12">
        <v>0.82729805013927604</v>
      </c>
      <c r="S23" s="12">
        <v>0.88145896656534894</v>
      </c>
      <c r="T23" s="12">
        <v>0.89258312020460395</v>
      </c>
      <c r="U23" s="12">
        <v>0.88349514563106801</v>
      </c>
      <c r="V23" s="12">
        <v>3.5000000000000003E-2</v>
      </c>
      <c r="W23" s="12">
        <v>0.11</v>
      </c>
      <c r="X23" s="12">
        <v>5.8000000000000003E-2</v>
      </c>
      <c r="Y23" s="12">
        <v>8.1000000000000003E-2</v>
      </c>
      <c r="Z23" s="12">
        <v>0.1</v>
      </c>
      <c r="AA23" s="105">
        <f t="shared" si="9"/>
        <v>1.4000000000000002E-2</v>
      </c>
      <c r="AB23" s="105">
        <f t="shared" si="9"/>
        <v>4.4000000000000004E-2</v>
      </c>
      <c r="AC23" s="105">
        <f t="shared" si="9"/>
        <v>2.3200000000000002E-2</v>
      </c>
      <c r="AD23" s="105">
        <f t="shared" si="9"/>
        <v>3.2400000000000005E-2</v>
      </c>
      <c r="AE23" s="105">
        <f t="shared" si="9"/>
        <v>4.0000000000000008E-2</v>
      </c>
      <c r="AF23" s="5">
        <v>5</v>
      </c>
      <c r="AG23" s="15">
        <v>226</v>
      </c>
      <c r="AH23" s="5">
        <v>5</v>
      </c>
      <c r="AI23" s="5">
        <v>5</v>
      </c>
      <c r="AJ23" s="5">
        <v>5</v>
      </c>
      <c r="AK23" s="5">
        <v>5</v>
      </c>
      <c r="AL23" s="5">
        <v>5</v>
      </c>
      <c r="AM23" s="5">
        <v>5</v>
      </c>
      <c r="AN23" s="5">
        <v>5</v>
      </c>
      <c r="AO23" s="5">
        <v>5</v>
      </c>
      <c r="AP23" s="5">
        <v>5</v>
      </c>
      <c r="AQ23" s="5">
        <v>5</v>
      </c>
      <c r="AR23" s="5">
        <v>5</v>
      </c>
      <c r="AS23" s="5">
        <v>5</v>
      </c>
      <c r="AT23" s="5">
        <v>5</v>
      </c>
      <c r="AU23" s="5">
        <v>5</v>
      </c>
      <c r="AV23" s="15">
        <v>0.2</v>
      </c>
      <c r="AW23" s="245">
        <f t="shared" si="5"/>
        <v>0.1386</v>
      </c>
      <c r="AX23" s="5">
        <v>5</v>
      </c>
      <c r="AY23" s="42">
        <v>226</v>
      </c>
      <c r="AZ23" s="105">
        <f t="shared" si="1"/>
        <v>5.5000000000000002E-5</v>
      </c>
      <c r="BA23" s="105">
        <f t="shared" si="2"/>
        <v>0.1386</v>
      </c>
      <c r="BB23" s="105">
        <v>0</v>
      </c>
      <c r="BC23" s="246">
        <f t="shared" si="6"/>
        <v>1825</v>
      </c>
      <c r="BD23" s="105">
        <f t="shared" ref="BD23:BD30" si="10">AT23</f>
        <v>5</v>
      </c>
      <c r="BE23" s="105">
        <f t="shared" si="8"/>
        <v>5</v>
      </c>
    </row>
    <row r="24" spans="1:57" s="3" customFormat="1" x14ac:dyDescent="0.25">
      <c r="A24" s="44" t="s">
        <v>34</v>
      </c>
      <c r="B24" s="42" t="s">
        <v>1071</v>
      </c>
      <c r="C24" s="42">
        <v>1</v>
      </c>
      <c r="D24" s="14">
        <v>1.4525200000000001E-7</v>
      </c>
      <c r="E24" s="5">
        <v>5</v>
      </c>
      <c r="F24" s="5">
        <v>5</v>
      </c>
      <c r="G24" s="5">
        <v>5</v>
      </c>
      <c r="H24" s="5">
        <v>5</v>
      </c>
      <c r="I24" s="5">
        <v>5</v>
      </c>
      <c r="J24" s="5">
        <v>5</v>
      </c>
      <c r="K24" s="5">
        <v>5</v>
      </c>
      <c r="L24" s="5">
        <v>5</v>
      </c>
      <c r="M24" s="5">
        <v>5</v>
      </c>
      <c r="N24" s="5">
        <v>5</v>
      </c>
      <c r="O24" s="5">
        <v>5</v>
      </c>
      <c r="P24" s="5">
        <v>5</v>
      </c>
      <c r="Q24" s="12">
        <v>0.886075949367089</v>
      </c>
      <c r="R24" s="12">
        <v>0.91340782122904995</v>
      </c>
      <c r="S24" s="12">
        <v>0.93388429752066104</v>
      </c>
      <c r="T24" s="12">
        <v>0.91913746630727799</v>
      </c>
      <c r="U24" s="12">
        <v>0.95499999999999996</v>
      </c>
      <c r="V24" s="12">
        <v>2.5999999999999999E-2</v>
      </c>
      <c r="W24" s="12">
        <v>7.5999999999999998E-2</v>
      </c>
      <c r="X24" s="12">
        <v>4.1000000000000002E-2</v>
      </c>
      <c r="Y24" s="12">
        <v>5.8999999999999997E-2</v>
      </c>
      <c r="Z24" s="12">
        <v>6.8000000000000005E-2</v>
      </c>
      <c r="AA24" s="105">
        <f t="shared" si="9"/>
        <v>1.04E-2</v>
      </c>
      <c r="AB24" s="105">
        <f t="shared" si="9"/>
        <v>3.04E-2</v>
      </c>
      <c r="AC24" s="105">
        <f t="shared" si="9"/>
        <v>1.6400000000000001E-2</v>
      </c>
      <c r="AD24" s="105">
        <f t="shared" si="9"/>
        <v>2.3599999999999999E-2</v>
      </c>
      <c r="AE24" s="105">
        <f t="shared" si="9"/>
        <v>2.7200000000000002E-2</v>
      </c>
      <c r="AF24" s="5">
        <v>5</v>
      </c>
      <c r="AG24" s="15">
        <v>218</v>
      </c>
      <c r="AH24" s="5">
        <v>5</v>
      </c>
      <c r="AI24" s="5">
        <v>5</v>
      </c>
      <c r="AJ24" s="5">
        <v>5</v>
      </c>
      <c r="AK24" s="5">
        <v>5</v>
      </c>
      <c r="AL24" s="5">
        <v>5</v>
      </c>
      <c r="AM24" s="5">
        <v>5</v>
      </c>
      <c r="AN24" s="5">
        <v>5</v>
      </c>
      <c r="AO24" s="5">
        <v>5</v>
      </c>
      <c r="AP24" s="5">
        <v>5</v>
      </c>
      <c r="AQ24" s="5">
        <v>5</v>
      </c>
      <c r="AR24" s="5">
        <v>5</v>
      </c>
      <c r="AS24" s="5">
        <v>5</v>
      </c>
      <c r="AT24" s="5">
        <v>5</v>
      </c>
      <c r="AU24" s="5">
        <v>5</v>
      </c>
      <c r="AV24" s="15"/>
      <c r="AW24" s="245">
        <f t="shared" si="5"/>
        <v>0.1386</v>
      </c>
      <c r="AX24" s="5">
        <v>5</v>
      </c>
      <c r="AY24" s="42">
        <v>218</v>
      </c>
      <c r="AZ24" s="105">
        <f t="shared" si="1"/>
        <v>5.5000000000000002E-5</v>
      </c>
      <c r="BA24" s="105">
        <f t="shared" si="2"/>
        <v>0.1386</v>
      </c>
      <c r="BB24" s="105">
        <v>0</v>
      </c>
      <c r="BC24" s="246">
        <f t="shared" si="6"/>
        <v>1825</v>
      </c>
      <c r="BD24" s="105">
        <f t="shared" si="10"/>
        <v>5</v>
      </c>
      <c r="BE24" s="105">
        <f t="shared" si="8"/>
        <v>5</v>
      </c>
    </row>
    <row r="25" spans="1:57" s="3" customFormat="1" x14ac:dyDescent="0.25">
      <c r="A25" s="46" t="s">
        <v>35</v>
      </c>
      <c r="B25" s="42" t="s">
        <v>349</v>
      </c>
      <c r="C25" s="42">
        <v>1</v>
      </c>
      <c r="D25" s="14">
        <v>1</v>
      </c>
      <c r="E25" s="5">
        <v>5</v>
      </c>
      <c r="F25" s="5">
        <v>5</v>
      </c>
      <c r="G25" s="5">
        <v>5</v>
      </c>
      <c r="H25" s="5">
        <v>5</v>
      </c>
      <c r="I25" s="5">
        <v>5</v>
      </c>
      <c r="J25" s="5">
        <v>5</v>
      </c>
      <c r="K25" s="5">
        <v>5</v>
      </c>
      <c r="L25" s="5">
        <v>5</v>
      </c>
      <c r="M25" s="5">
        <v>5</v>
      </c>
      <c r="N25" s="5">
        <v>5</v>
      </c>
      <c r="O25" s="5">
        <v>5</v>
      </c>
      <c r="P25" s="5">
        <v>5</v>
      </c>
      <c r="Q25" s="12">
        <v>0.881287726358149</v>
      </c>
      <c r="R25" s="12">
        <v>0.94318181818181801</v>
      </c>
      <c r="S25" s="12">
        <v>0.93949044585987296</v>
      </c>
      <c r="T25" s="12">
        <v>0.93193717277486898</v>
      </c>
      <c r="U25" s="12">
        <v>0.91981132075471705</v>
      </c>
      <c r="V25" s="12">
        <v>2.1999999999999999E-2</v>
      </c>
      <c r="W25" s="12">
        <v>6.6000000000000003E-2</v>
      </c>
      <c r="X25" s="12">
        <v>3.6999999999999998E-2</v>
      </c>
      <c r="Y25" s="12">
        <v>5.1999999999999998E-2</v>
      </c>
      <c r="Z25" s="12">
        <v>5.8999999999999997E-2</v>
      </c>
      <c r="AA25" s="105">
        <f t="shared" si="9"/>
        <v>8.8000000000000005E-3</v>
      </c>
      <c r="AB25" s="105">
        <f t="shared" si="9"/>
        <v>2.6400000000000003E-2</v>
      </c>
      <c r="AC25" s="105">
        <f t="shared" si="9"/>
        <v>1.4800000000000001E-2</v>
      </c>
      <c r="AD25" s="105">
        <f t="shared" si="9"/>
        <v>2.0799999999999999E-2</v>
      </c>
      <c r="AE25" s="105">
        <f t="shared" si="9"/>
        <v>2.3599999999999999E-2</v>
      </c>
      <c r="AF25" s="5">
        <v>5</v>
      </c>
      <c r="AG25" s="15">
        <v>222</v>
      </c>
      <c r="AH25" s="5">
        <v>5</v>
      </c>
      <c r="AI25" s="5">
        <v>5</v>
      </c>
      <c r="AJ25" s="5">
        <v>5</v>
      </c>
      <c r="AK25" s="5">
        <v>5</v>
      </c>
      <c r="AL25" s="5">
        <v>5</v>
      </c>
      <c r="AM25" s="5">
        <v>5</v>
      </c>
      <c r="AN25" s="5">
        <v>5</v>
      </c>
      <c r="AO25" s="5">
        <v>5</v>
      </c>
      <c r="AP25" s="5">
        <v>5</v>
      </c>
      <c r="AQ25" s="5">
        <v>5</v>
      </c>
      <c r="AR25" s="5">
        <v>5</v>
      </c>
      <c r="AS25" s="5">
        <v>5</v>
      </c>
      <c r="AT25" s="5">
        <v>5</v>
      </c>
      <c r="AU25" s="5">
        <v>5</v>
      </c>
      <c r="AV25" s="15"/>
      <c r="AW25" s="245">
        <f t="shared" si="5"/>
        <v>0.1386</v>
      </c>
      <c r="AX25" s="5">
        <v>5</v>
      </c>
      <c r="AY25" s="42">
        <v>222</v>
      </c>
      <c r="AZ25" s="105">
        <f t="shared" si="1"/>
        <v>5.5000000000000002E-5</v>
      </c>
      <c r="BA25" s="105">
        <f t="shared" si="2"/>
        <v>0.1386</v>
      </c>
      <c r="BB25" s="105">
        <v>0</v>
      </c>
      <c r="BC25" s="246">
        <f t="shared" si="6"/>
        <v>1825</v>
      </c>
      <c r="BD25" s="105">
        <f t="shared" si="10"/>
        <v>5</v>
      </c>
      <c r="BE25" s="105">
        <f t="shared" si="8"/>
        <v>5</v>
      </c>
    </row>
    <row r="26" spans="1:57" s="3" customFormat="1" x14ac:dyDescent="0.25">
      <c r="A26" s="44" t="s">
        <v>36</v>
      </c>
      <c r="B26" s="42" t="s">
        <v>1071</v>
      </c>
      <c r="C26" s="42"/>
      <c r="E26" s="5">
        <v>5</v>
      </c>
      <c r="F26" s="5">
        <v>5</v>
      </c>
      <c r="G26" s="5">
        <v>5</v>
      </c>
      <c r="H26" s="5">
        <v>5</v>
      </c>
      <c r="I26" s="5">
        <v>5</v>
      </c>
      <c r="J26" s="5">
        <v>5</v>
      </c>
      <c r="K26" s="5">
        <v>5</v>
      </c>
      <c r="L26" s="5">
        <v>5</v>
      </c>
      <c r="M26" s="5">
        <v>5</v>
      </c>
      <c r="N26" s="5">
        <v>5</v>
      </c>
      <c r="O26" s="5">
        <v>5</v>
      </c>
      <c r="P26" s="5">
        <v>5</v>
      </c>
      <c r="Q26" s="12">
        <v>0.97538461538461496</v>
      </c>
      <c r="R26" s="12">
        <v>0.95145631067961201</v>
      </c>
      <c r="S26" s="12">
        <v>0.91964285714285698</v>
      </c>
      <c r="T26" s="12">
        <v>0.91074681238615696</v>
      </c>
      <c r="U26" s="12">
        <v>0.91954022988505801</v>
      </c>
      <c r="V26" s="12">
        <v>1.1000000000000001E-3</v>
      </c>
      <c r="W26" s="12">
        <v>1.2E-2</v>
      </c>
      <c r="X26" s="12">
        <v>6.7999999999999996E-3</v>
      </c>
      <c r="Y26" s="12">
        <v>9.4999999999999998E-3</v>
      </c>
      <c r="Z26" s="12">
        <v>1.0999999999999999E-2</v>
      </c>
      <c r="AA26" s="105">
        <f t="shared" si="9"/>
        <v>4.4000000000000007E-4</v>
      </c>
      <c r="AB26" s="105">
        <f t="shared" si="9"/>
        <v>4.8000000000000004E-3</v>
      </c>
      <c r="AC26" s="105">
        <f t="shared" si="9"/>
        <v>2.7200000000000002E-3</v>
      </c>
      <c r="AD26" s="105">
        <f t="shared" si="9"/>
        <v>3.8E-3</v>
      </c>
      <c r="AE26" s="105">
        <f t="shared" si="9"/>
        <v>4.4000000000000003E-3</v>
      </c>
      <c r="AF26" s="5">
        <v>5</v>
      </c>
      <c r="AG26" s="15">
        <v>229</v>
      </c>
      <c r="AH26" s="5">
        <v>5</v>
      </c>
      <c r="AI26" s="5">
        <v>5</v>
      </c>
      <c r="AJ26" s="5">
        <v>5</v>
      </c>
      <c r="AK26" s="5">
        <v>5</v>
      </c>
      <c r="AL26" s="5">
        <v>5</v>
      </c>
      <c r="AM26" s="5">
        <v>5</v>
      </c>
      <c r="AN26" s="5">
        <v>5</v>
      </c>
      <c r="AO26" s="5">
        <v>5</v>
      </c>
      <c r="AP26" s="5">
        <v>5</v>
      </c>
      <c r="AQ26" s="5">
        <v>5</v>
      </c>
      <c r="AR26" s="5">
        <v>5</v>
      </c>
      <c r="AS26" s="5">
        <v>5</v>
      </c>
      <c r="AT26" s="5">
        <v>5</v>
      </c>
      <c r="AU26" s="5">
        <v>5</v>
      </c>
      <c r="AV26" s="15">
        <v>5.0000000000000001E-4</v>
      </c>
      <c r="AW26" s="245">
        <f t="shared" si="5"/>
        <v>0.1386</v>
      </c>
      <c r="AX26" s="5">
        <v>5</v>
      </c>
      <c r="AY26" s="42">
        <v>229</v>
      </c>
      <c r="AZ26" s="105">
        <f t="shared" si="1"/>
        <v>5.5000000000000002E-5</v>
      </c>
      <c r="BA26" s="105">
        <f t="shared" si="2"/>
        <v>0.1386</v>
      </c>
      <c r="BB26" s="105">
        <v>0</v>
      </c>
      <c r="BC26" s="246">
        <f t="shared" si="6"/>
        <v>1825</v>
      </c>
      <c r="BD26" s="105">
        <f t="shared" si="10"/>
        <v>5</v>
      </c>
      <c r="BE26" s="105">
        <f t="shared" si="8"/>
        <v>5</v>
      </c>
    </row>
    <row r="27" spans="1:57" s="3" customFormat="1" x14ac:dyDescent="0.25">
      <c r="A27" s="44" t="s">
        <v>37</v>
      </c>
      <c r="B27" s="42" t="s">
        <v>1071</v>
      </c>
      <c r="C27" s="42">
        <v>1</v>
      </c>
      <c r="D27" s="14">
        <v>0</v>
      </c>
      <c r="E27" s="5">
        <v>5</v>
      </c>
      <c r="F27" s="5">
        <v>5</v>
      </c>
      <c r="G27" s="5">
        <v>5</v>
      </c>
      <c r="H27" s="5">
        <v>5</v>
      </c>
      <c r="I27" s="5">
        <v>5</v>
      </c>
      <c r="J27" s="5">
        <v>5</v>
      </c>
      <c r="K27" s="5">
        <v>5</v>
      </c>
      <c r="L27" s="5">
        <v>5</v>
      </c>
      <c r="M27" s="5">
        <v>5</v>
      </c>
      <c r="N27" s="5">
        <v>5</v>
      </c>
      <c r="O27" s="5">
        <v>5</v>
      </c>
      <c r="P27" s="5">
        <v>5</v>
      </c>
      <c r="Q27" s="12">
        <v>0.94202898550724601</v>
      </c>
      <c r="R27" s="12">
        <v>0.96767241379310298</v>
      </c>
      <c r="S27" s="12">
        <v>0.91346153846153799</v>
      </c>
      <c r="T27" s="12">
        <v>0.90301003344481601</v>
      </c>
      <c r="U27" s="12">
        <v>0.91029900332225899</v>
      </c>
      <c r="V27" s="12">
        <v>6.1999999999999998E-3</v>
      </c>
      <c r="W27" s="12">
        <v>5.6000000000000001E-2</v>
      </c>
      <c r="X27" s="12">
        <v>0.02</v>
      </c>
      <c r="Y27" s="12">
        <v>3.3000000000000002E-2</v>
      </c>
      <c r="Z27" s="12">
        <v>4.4999999999999998E-2</v>
      </c>
      <c r="AA27" s="105">
        <f t="shared" si="9"/>
        <v>2.48E-3</v>
      </c>
      <c r="AB27" s="105">
        <f t="shared" si="9"/>
        <v>2.2400000000000003E-2</v>
      </c>
      <c r="AC27" s="105">
        <f t="shared" si="9"/>
        <v>8.0000000000000002E-3</v>
      </c>
      <c r="AD27" s="105">
        <f t="shared" si="9"/>
        <v>1.3200000000000002E-2</v>
      </c>
      <c r="AE27" s="105">
        <f t="shared" si="9"/>
        <v>1.7999999999999999E-2</v>
      </c>
      <c r="AF27" s="5">
        <v>5</v>
      </c>
      <c r="AG27" s="15">
        <v>206</v>
      </c>
      <c r="AH27" s="5">
        <v>5</v>
      </c>
      <c r="AI27" s="5">
        <v>5</v>
      </c>
      <c r="AJ27" s="5">
        <v>5</v>
      </c>
      <c r="AK27" s="5">
        <v>5</v>
      </c>
      <c r="AL27" s="5">
        <v>5</v>
      </c>
      <c r="AM27" s="5">
        <v>5</v>
      </c>
      <c r="AN27" s="5">
        <v>5</v>
      </c>
      <c r="AO27" s="5">
        <v>5</v>
      </c>
      <c r="AP27" s="5">
        <v>5</v>
      </c>
      <c r="AQ27" s="5">
        <v>5</v>
      </c>
      <c r="AR27" s="5">
        <v>5</v>
      </c>
      <c r="AS27" s="5">
        <v>5</v>
      </c>
      <c r="AT27" s="5">
        <v>5</v>
      </c>
      <c r="AU27" s="5">
        <v>5</v>
      </c>
      <c r="AV27" s="15"/>
      <c r="AW27" s="245">
        <f t="shared" si="5"/>
        <v>0.1386</v>
      </c>
      <c r="AX27" s="5">
        <v>5</v>
      </c>
      <c r="AY27" s="42">
        <v>206</v>
      </c>
      <c r="AZ27" s="105">
        <f t="shared" si="1"/>
        <v>5.5000000000000002E-5</v>
      </c>
      <c r="BA27" s="105">
        <f t="shared" si="2"/>
        <v>0.1386</v>
      </c>
      <c r="BB27" s="105">
        <v>0</v>
      </c>
      <c r="BC27" s="246">
        <f t="shared" si="6"/>
        <v>1825</v>
      </c>
      <c r="BD27" s="105">
        <f t="shared" si="10"/>
        <v>5</v>
      </c>
      <c r="BE27" s="105">
        <f t="shared" si="8"/>
        <v>5</v>
      </c>
    </row>
    <row r="28" spans="1:57" s="3" customFormat="1" x14ac:dyDescent="0.25">
      <c r="A28" s="44" t="s">
        <v>38</v>
      </c>
      <c r="B28" s="42" t="s">
        <v>1071</v>
      </c>
      <c r="C28" s="42"/>
      <c r="E28" s="5">
        <v>5</v>
      </c>
      <c r="F28" s="5">
        <v>5</v>
      </c>
      <c r="G28" s="5">
        <v>5</v>
      </c>
      <c r="H28" s="5">
        <v>5</v>
      </c>
      <c r="I28" s="5">
        <v>5</v>
      </c>
      <c r="J28" s="5">
        <v>5</v>
      </c>
      <c r="K28" s="5">
        <v>5</v>
      </c>
      <c r="L28" s="5">
        <v>5</v>
      </c>
      <c r="M28" s="5">
        <v>5</v>
      </c>
      <c r="N28" s="5">
        <v>5</v>
      </c>
      <c r="O28" s="5">
        <v>5</v>
      </c>
      <c r="P28" s="5">
        <v>5</v>
      </c>
      <c r="Q28" s="12">
        <v>0.86776859504132198</v>
      </c>
      <c r="R28" s="12">
        <v>0.94199999999999995</v>
      </c>
      <c r="S28" s="12">
        <v>0.93081761006289299</v>
      </c>
      <c r="T28" s="12">
        <v>0.94166666666666698</v>
      </c>
      <c r="U28" s="12">
        <v>0.91360294117647101</v>
      </c>
      <c r="V28" s="12">
        <v>3.5999999999999997E-2</v>
      </c>
      <c r="W28" s="12">
        <v>0.13</v>
      </c>
      <c r="X28" s="12">
        <v>5.8999999999999997E-2</v>
      </c>
      <c r="Y28" s="12">
        <v>8.4000000000000005E-2</v>
      </c>
      <c r="Z28" s="12">
        <v>0.1</v>
      </c>
      <c r="AA28" s="105">
        <f t="shared" si="9"/>
        <v>1.44E-2</v>
      </c>
      <c r="AB28" s="105">
        <f t="shared" si="9"/>
        <v>5.2000000000000005E-2</v>
      </c>
      <c r="AC28" s="105">
        <f t="shared" si="9"/>
        <v>2.3599999999999999E-2</v>
      </c>
      <c r="AD28" s="105">
        <f t="shared" si="9"/>
        <v>3.3600000000000005E-2</v>
      </c>
      <c r="AE28" s="105">
        <f t="shared" si="9"/>
        <v>4.0000000000000008E-2</v>
      </c>
      <c r="AF28" s="5">
        <v>5</v>
      </c>
      <c r="AG28" s="15">
        <v>209</v>
      </c>
      <c r="AH28" s="5">
        <v>5</v>
      </c>
      <c r="AI28" s="5">
        <v>5</v>
      </c>
      <c r="AJ28" s="5">
        <v>5</v>
      </c>
      <c r="AK28" s="5">
        <v>5</v>
      </c>
      <c r="AL28" s="5">
        <v>5</v>
      </c>
      <c r="AM28" s="5">
        <v>5</v>
      </c>
      <c r="AN28" s="5">
        <v>5</v>
      </c>
      <c r="AO28" s="5">
        <v>5</v>
      </c>
      <c r="AP28" s="5">
        <v>5</v>
      </c>
      <c r="AQ28" s="5">
        <v>5</v>
      </c>
      <c r="AR28" s="5">
        <v>5</v>
      </c>
      <c r="AS28" s="5">
        <v>5</v>
      </c>
      <c r="AT28" s="5">
        <v>5</v>
      </c>
      <c r="AU28" s="5">
        <v>5</v>
      </c>
      <c r="AV28" s="15"/>
      <c r="AW28" s="245">
        <f t="shared" si="5"/>
        <v>0.1386</v>
      </c>
      <c r="AX28" s="5">
        <v>5</v>
      </c>
      <c r="AY28" s="42">
        <v>209</v>
      </c>
      <c r="AZ28" s="105">
        <f t="shared" si="1"/>
        <v>5.5000000000000002E-5</v>
      </c>
      <c r="BA28" s="105">
        <f t="shared" si="2"/>
        <v>0.1386</v>
      </c>
      <c r="BB28" s="105">
        <v>0</v>
      </c>
      <c r="BC28" s="246">
        <f t="shared" si="6"/>
        <v>1825</v>
      </c>
      <c r="BD28" s="105">
        <f t="shared" si="10"/>
        <v>5</v>
      </c>
      <c r="BE28" s="105">
        <f t="shared" si="8"/>
        <v>5</v>
      </c>
    </row>
    <row r="29" spans="1:57" s="3" customFormat="1" x14ac:dyDescent="0.25">
      <c r="A29" s="44" t="s">
        <v>39</v>
      </c>
      <c r="B29" s="42" t="s">
        <v>1071</v>
      </c>
      <c r="C29" s="42">
        <v>1</v>
      </c>
      <c r="D29" s="14">
        <v>9.2449899999999997E-6</v>
      </c>
      <c r="E29" s="5">
        <v>5</v>
      </c>
      <c r="F29" s="5">
        <v>5</v>
      </c>
      <c r="G29" s="5">
        <v>5</v>
      </c>
      <c r="H29" s="5">
        <v>5</v>
      </c>
      <c r="I29" s="5">
        <v>5</v>
      </c>
      <c r="J29" s="5">
        <v>5</v>
      </c>
      <c r="K29" s="5">
        <v>5</v>
      </c>
      <c r="L29" s="5">
        <v>5</v>
      </c>
      <c r="M29" s="5">
        <v>5</v>
      </c>
      <c r="N29" s="5">
        <v>5</v>
      </c>
      <c r="O29" s="5">
        <v>5</v>
      </c>
      <c r="P29" s="5">
        <v>5</v>
      </c>
      <c r="Q29" s="12">
        <v>0.87301587301587302</v>
      </c>
      <c r="R29" s="12">
        <v>0.93846153846153801</v>
      </c>
      <c r="S29" s="12">
        <v>0.94059405940594099</v>
      </c>
      <c r="T29" s="12">
        <v>0.94308943089430897</v>
      </c>
      <c r="U29" s="12">
        <v>0.93390804597701205</v>
      </c>
      <c r="V29" s="12">
        <v>3.5999999999999997E-2</v>
      </c>
      <c r="W29" s="12">
        <v>0.12</v>
      </c>
      <c r="X29" s="12">
        <v>0.06</v>
      </c>
      <c r="Y29" s="12">
        <v>8.4000000000000005E-2</v>
      </c>
      <c r="Z29" s="12">
        <v>0.1</v>
      </c>
      <c r="AA29" s="105">
        <f t="shared" si="9"/>
        <v>1.44E-2</v>
      </c>
      <c r="AB29" s="105">
        <f t="shared" si="9"/>
        <v>4.8000000000000001E-2</v>
      </c>
      <c r="AC29" s="105">
        <f t="shared" si="9"/>
        <v>2.4E-2</v>
      </c>
      <c r="AD29" s="105">
        <f t="shared" si="9"/>
        <v>3.3600000000000005E-2</v>
      </c>
      <c r="AE29" s="105">
        <f t="shared" si="9"/>
        <v>4.0000000000000008E-2</v>
      </c>
      <c r="AF29" s="5">
        <v>5</v>
      </c>
      <c r="AG29" s="15">
        <v>210</v>
      </c>
      <c r="AH29" s="5">
        <v>5</v>
      </c>
      <c r="AI29" s="5">
        <v>5</v>
      </c>
      <c r="AJ29" s="5">
        <v>5</v>
      </c>
      <c r="AK29" s="5">
        <v>5</v>
      </c>
      <c r="AL29" s="5">
        <v>5</v>
      </c>
      <c r="AM29" s="5">
        <v>5</v>
      </c>
      <c r="AN29" s="5">
        <v>5</v>
      </c>
      <c r="AO29" s="5">
        <v>5</v>
      </c>
      <c r="AP29" s="5">
        <v>5</v>
      </c>
      <c r="AQ29" s="5">
        <v>5</v>
      </c>
      <c r="AR29" s="5">
        <v>5</v>
      </c>
      <c r="AS29" s="5">
        <v>5</v>
      </c>
      <c r="AT29" s="5">
        <v>5</v>
      </c>
      <c r="AU29" s="5">
        <v>5</v>
      </c>
      <c r="AV29" s="15"/>
      <c r="AW29" s="245">
        <f t="shared" si="5"/>
        <v>0.1386</v>
      </c>
      <c r="AX29" s="5">
        <v>5</v>
      </c>
      <c r="AY29" s="42">
        <v>210</v>
      </c>
      <c r="AZ29" s="105">
        <f t="shared" si="1"/>
        <v>5.5000000000000002E-5</v>
      </c>
      <c r="BA29" s="105">
        <f t="shared" si="2"/>
        <v>0.1386</v>
      </c>
      <c r="BB29" s="105">
        <v>0</v>
      </c>
      <c r="BC29" s="246">
        <f t="shared" si="6"/>
        <v>1825</v>
      </c>
      <c r="BD29" s="105">
        <f t="shared" si="10"/>
        <v>5</v>
      </c>
      <c r="BE29" s="105">
        <f t="shared" si="8"/>
        <v>5</v>
      </c>
    </row>
    <row r="30" spans="1:57" s="3" customFormat="1" x14ac:dyDescent="0.25">
      <c r="A30" s="44" t="s">
        <v>40</v>
      </c>
      <c r="B30" s="42" t="s">
        <v>1071</v>
      </c>
      <c r="C30" s="42"/>
      <c r="E30" s="5">
        <v>5</v>
      </c>
      <c r="F30" s="5">
        <v>5</v>
      </c>
      <c r="G30" s="5">
        <v>5</v>
      </c>
      <c r="H30" s="5">
        <v>5</v>
      </c>
      <c r="I30" s="5">
        <v>5</v>
      </c>
      <c r="J30" s="5">
        <v>5</v>
      </c>
      <c r="K30" s="5">
        <v>5</v>
      </c>
      <c r="L30" s="5">
        <v>5</v>
      </c>
      <c r="M30" s="5">
        <v>5</v>
      </c>
      <c r="N30" s="5">
        <v>5</v>
      </c>
      <c r="O30" s="5">
        <v>5</v>
      </c>
      <c r="P30" s="5">
        <v>5</v>
      </c>
      <c r="Q30" s="111">
        <v>1</v>
      </c>
      <c r="R30" s="111">
        <v>1</v>
      </c>
      <c r="S30" s="111">
        <v>0.97979797979798</v>
      </c>
      <c r="T30" s="111">
        <v>0.97103448275862103</v>
      </c>
      <c r="U30" s="111">
        <v>0.96124031007751898</v>
      </c>
      <c r="V30" s="5">
        <v>1E-4</v>
      </c>
      <c r="W30" s="5">
        <v>1.2E-2</v>
      </c>
      <c r="X30" s="5">
        <v>2.5000000000000001E-3</v>
      </c>
      <c r="Y30" s="5">
        <v>7.0000000000000001E-3</v>
      </c>
      <c r="Z30" s="5">
        <v>9.4999999999999998E-3</v>
      </c>
      <c r="AA30" s="105">
        <f t="shared" si="9"/>
        <v>4.0000000000000003E-5</v>
      </c>
      <c r="AB30" s="105">
        <f t="shared" si="9"/>
        <v>4.8000000000000004E-3</v>
      </c>
      <c r="AC30" s="105">
        <f t="shared" si="9"/>
        <v>1E-3</v>
      </c>
      <c r="AD30" s="105">
        <f t="shared" si="9"/>
        <v>2.8000000000000004E-3</v>
      </c>
      <c r="AE30" s="105">
        <f t="shared" si="9"/>
        <v>3.8E-3</v>
      </c>
      <c r="AF30" s="5">
        <v>5</v>
      </c>
      <c r="AG30" s="15">
        <v>233</v>
      </c>
      <c r="AH30" s="5">
        <v>5</v>
      </c>
      <c r="AI30" s="5">
        <v>5</v>
      </c>
      <c r="AJ30" s="5">
        <v>5</v>
      </c>
      <c r="AK30" s="5">
        <v>5</v>
      </c>
      <c r="AL30" s="5">
        <v>5</v>
      </c>
      <c r="AM30" s="5">
        <v>5</v>
      </c>
      <c r="AN30" s="5">
        <v>5</v>
      </c>
      <c r="AO30" s="5">
        <v>5</v>
      </c>
      <c r="AP30" s="5">
        <v>5</v>
      </c>
      <c r="AQ30" s="5">
        <v>5</v>
      </c>
      <c r="AR30" s="5">
        <v>5</v>
      </c>
      <c r="AS30" s="5">
        <v>5</v>
      </c>
      <c r="AT30" s="5">
        <v>5</v>
      </c>
      <c r="AU30" s="5">
        <v>5</v>
      </c>
      <c r="AV30" s="15">
        <v>0.02</v>
      </c>
      <c r="AW30" s="245">
        <f t="shared" si="5"/>
        <v>0.1386</v>
      </c>
      <c r="AX30" s="5">
        <v>5</v>
      </c>
      <c r="AY30" s="42">
        <v>233</v>
      </c>
      <c r="AZ30" s="105">
        <f t="shared" si="1"/>
        <v>5.5000000000000002E-5</v>
      </c>
      <c r="BA30" s="105">
        <f t="shared" si="2"/>
        <v>0.1386</v>
      </c>
      <c r="BB30" s="105">
        <v>0</v>
      </c>
      <c r="BC30" s="246">
        <f t="shared" si="6"/>
        <v>1825</v>
      </c>
      <c r="BD30" s="105">
        <f t="shared" si="10"/>
        <v>5</v>
      </c>
      <c r="BE30" s="105">
        <f t="shared" si="8"/>
        <v>5</v>
      </c>
    </row>
  </sheetData>
  <sheetProtection algorithmName="SHA-512" hashValue="h3ndVIBb3phpHX8PMZRg6o3eo6JGtAN40sLwYk/S5Mou0Tj2EdDa18SrHZXOnUAkcvOL0smRVXGoJNERlhoSAw==" saltValue="18lH2AhYSu+NwRZvUBr94g==" spinCount="100000" sheet="1" formatColumns="0" formatRows="0" autoFilter="0"/>
  <autoFilter ref="A1:BF1299" xr:uid="{00000000-0009-0000-0000-000018000000}"/>
  <pageMargins left="0.7" right="0.7" top="0.75" bottom="0.75" header="0.3" footer="0.3"/>
  <pageSetup paperSize="0" orientation="portrait" horizontalDpi="0" verticalDpi="0" copies="0"/>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dimension ref="A1:AA30"/>
  <sheetViews>
    <sheetView zoomScale="90" zoomScaleNormal="90" workbookViewId="0"/>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4.42578125" bestFit="1" customWidth="1"/>
    <col min="21" max="21" width="14.5703125" bestFit="1" customWidth="1"/>
    <col min="22" max="22" width="15" bestFit="1" customWidth="1"/>
    <col min="23" max="23" width="14" bestFit="1" customWidth="1"/>
    <col min="24" max="24" width="14.7109375" bestFit="1" customWidth="1"/>
    <col min="25" max="25" width="13.42578125" bestFit="1" customWidth="1"/>
    <col min="26" max="26" width="13.140625" bestFit="1" customWidth="1"/>
    <col min="27" max="27" width="15.42578125" bestFit="1" customWidth="1"/>
  </cols>
  <sheetData>
    <row r="1" spans="1:27" x14ac:dyDescent="0.25">
      <c r="A1" s="78" t="s">
        <v>51</v>
      </c>
      <c r="B1" s="78" t="s">
        <v>348</v>
      </c>
      <c r="C1" s="112" t="s">
        <v>641</v>
      </c>
      <c r="D1" s="112" t="s">
        <v>642</v>
      </c>
      <c r="E1" s="112" t="s">
        <v>643</v>
      </c>
      <c r="F1" s="112" t="s">
        <v>644</v>
      </c>
      <c r="G1" s="112" t="s">
        <v>645</v>
      </c>
      <c r="H1" s="112" t="s">
        <v>646</v>
      </c>
      <c r="I1" s="112" t="s">
        <v>647</v>
      </c>
      <c r="J1" s="112" t="s">
        <v>648</v>
      </c>
      <c r="K1" s="112" t="s">
        <v>649</v>
      </c>
      <c r="L1" s="112" t="s">
        <v>650</v>
      </c>
      <c r="M1" s="112" t="s">
        <v>651</v>
      </c>
      <c r="N1" s="112" t="s">
        <v>652</v>
      </c>
      <c r="O1" s="112" t="s">
        <v>653</v>
      </c>
      <c r="P1" s="112" t="s">
        <v>654</v>
      </c>
      <c r="Q1" s="112" t="s">
        <v>655</v>
      </c>
      <c r="R1" s="112" t="s">
        <v>656</v>
      </c>
      <c r="S1" s="112" t="s">
        <v>657</v>
      </c>
      <c r="T1" s="112" t="s">
        <v>1541</v>
      </c>
      <c r="U1" s="112" t="s">
        <v>658</v>
      </c>
      <c r="V1" s="112" t="s">
        <v>659</v>
      </c>
      <c r="W1" s="112" t="s">
        <v>660</v>
      </c>
      <c r="X1" s="112" t="s">
        <v>661</v>
      </c>
      <c r="Y1" s="112" t="s">
        <v>662</v>
      </c>
      <c r="Z1" s="112" t="s">
        <v>663</v>
      </c>
      <c r="AA1" s="112" t="s">
        <v>733</v>
      </c>
    </row>
    <row r="2" spans="1:27" x14ac:dyDescent="0.25">
      <c r="A2" s="44" t="s">
        <v>12</v>
      </c>
      <c r="B2" s="42" t="s">
        <v>1071</v>
      </c>
      <c r="C2" s="5">
        <v>5</v>
      </c>
      <c r="D2" s="5">
        <v>5</v>
      </c>
      <c r="E2" s="5">
        <v>5</v>
      </c>
      <c r="F2" s="5">
        <v>5</v>
      </c>
      <c r="G2" s="5">
        <v>5</v>
      </c>
      <c r="H2" s="5">
        <v>5</v>
      </c>
      <c r="I2" s="5">
        <v>5</v>
      </c>
      <c r="J2" s="5">
        <v>5</v>
      </c>
      <c r="K2" s="5">
        <v>5</v>
      </c>
      <c r="L2" s="5">
        <v>5</v>
      </c>
      <c r="M2" s="5">
        <v>5</v>
      </c>
      <c r="N2" s="5">
        <v>5</v>
      </c>
      <c r="O2" s="5">
        <v>5</v>
      </c>
      <c r="P2" s="5">
        <v>5</v>
      </c>
      <c r="Q2" s="5">
        <v>5</v>
      </c>
      <c r="R2" s="5">
        <v>5</v>
      </c>
      <c r="S2" s="5">
        <v>5</v>
      </c>
      <c r="T2" s="5">
        <v>5</v>
      </c>
      <c r="U2" s="5">
        <v>5</v>
      </c>
      <c r="V2" s="5">
        <v>5</v>
      </c>
      <c r="W2" s="5">
        <v>5</v>
      </c>
      <c r="X2" s="5">
        <v>5</v>
      </c>
      <c r="Y2" s="5">
        <v>5</v>
      </c>
      <c r="Z2" s="5">
        <v>5</v>
      </c>
      <c r="AA2" s="5">
        <v>5</v>
      </c>
    </row>
    <row r="3" spans="1:27" x14ac:dyDescent="0.25">
      <c r="A3" s="46" t="s">
        <v>13</v>
      </c>
      <c r="B3" s="42" t="s">
        <v>349</v>
      </c>
      <c r="C3" s="5">
        <v>5</v>
      </c>
      <c r="D3" s="5">
        <v>5</v>
      </c>
      <c r="E3" s="5">
        <v>5</v>
      </c>
      <c r="F3" s="5">
        <v>5</v>
      </c>
      <c r="G3" s="5">
        <v>5</v>
      </c>
      <c r="H3" s="5">
        <v>5</v>
      </c>
      <c r="I3" s="5">
        <v>5</v>
      </c>
      <c r="J3" s="5">
        <v>5</v>
      </c>
      <c r="K3" s="5">
        <v>5</v>
      </c>
      <c r="L3" s="5">
        <v>5</v>
      </c>
      <c r="M3" s="5">
        <v>5</v>
      </c>
      <c r="N3" s="5">
        <v>5</v>
      </c>
      <c r="O3" s="5">
        <v>5</v>
      </c>
      <c r="P3" s="5">
        <v>5</v>
      </c>
      <c r="Q3" s="5">
        <v>5</v>
      </c>
      <c r="R3" s="5">
        <v>5</v>
      </c>
      <c r="S3" s="5">
        <v>5</v>
      </c>
      <c r="T3" s="5">
        <v>5</v>
      </c>
      <c r="U3" s="5">
        <v>5</v>
      </c>
      <c r="V3" s="5">
        <v>5</v>
      </c>
      <c r="W3" s="5">
        <v>5</v>
      </c>
      <c r="X3" s="5">
        <v>5</v>
      </c>
      <c r="Y3" s="5">
        <v>5</v>
      </c>
      <c r="Z3" s="5">
        <v>5</v>
      </c>
      <c r="AA3" s="5">
        <v>5</v>
      </c>
    </row>
    <row r="4" spans="1:27" x14ac:dyDescent="0.25">
      <c r="A4" s="44" t="s">
        <v>14</v>
      </c>
      <c r="B4" s="42" t="s">
        <v>1071</v>
      </c>
      <c r="C4" s="5">
        <v>5</v>
      </c>
      <c r="D4" s="5">
        <v>5</v>
      </c>
      <c r="E4" s="5">
        <v>5</v>
      </c>
      <c r="F4" s="5">
        <v>5</v>
      </c>
      <c r="G4" s="5">
        <v>5</v>
      </c>
      <c r="H4" s="5">
        <v>5</v>
      </c>
      <c r="I4" s="5">
        <v>5</v>
      </c>
      <c r="J4" s="5">
        <v>5</v>
      </c>
      <c r="K4" s="5">
        <v>5</v>
      </c>
      <c r="L4" s="5">
        <v>5</v>
      </c>
      <c r="M4" s="5">
        <v>5</v>
      </c>
      <c r="N4" s="5">
        <v>5</v>
      </c>
      <c r="O4" s="5">
        <v>5</v>
      </c>
      <c r="P4" s="5">
        <v>5</v>
      </c>
      <c r="Q4" s="5">
        <v>5</v>
      </c>
      <c r="R4" s="5">
        <v>5</v>
      </c>
      <c r="S4" s="5">
        <v>5</v>
      </c>
      <c r="T4" s="5">
        <v>5</v>
      </c>
      <c r="U4" s="5">
        <v>5</v>
      </c>
      <c r="V4" s="5">
        <v>5</v>
      </c>
      <c r="W4" s="5">
        <v>5</v>
      </c>
      <c r="X4" s="5">
        <v>5</v>
      </c>
      <c r="Y4" s="5">
        <v>5</v>
      </c>
      <c r="Z4" s="5">
        <v>5</v>
      </c>
      <c r="AA4" s="5">
        <v>5</v>
      </c>
    </row>
    <row r="5" spans="1:27" x14ac:dyDescent="0.25">
      <c r="A5" s="44" t="s">
        <v>15</v>
      </c>
      <c r="B5" s="42" t="s">
        <v>1071</v>
      </c>
      <c r="C5" s="5">
        <v>5</v>
      </c>
      <c r="D5" s="5">
        <v>5</v>
      </c>
      <c r="E5" s="5">
        <v>5</v>
      </c>
      <c r="F5" s="5">
        <v>5</v>
      </c>
      <c r="G5" s="5">
        <v>5</v>
      </c>
      <c r="H5" s="5">
        <v>5</v>
      </c>
      <c r="I5" s="5">
        <v>5</v>
      </c>
      <c r="J5" s="5">
        <v>5</v>
      </c>
      <c r="K5" s="5">
        <v>5</v>
      </c>
      <c r="L5" s="5">
        <v>5</v>
      </c>
      <c r="M5" s="5">
        <v>5</v>
      </c>
      <c r="N5" s="5">
        <v>5</v>
      </c>
      <c r="O5" s="5">
        <v>5</v>
      </c>
      <c r="P5" s="5">
        <v>5</v>
      </c>
      <c r="Q5" s="5">
        <v>5</v>
      </c>
      <c r="R5" s="5">
        <v>5</v>
      </c>
      <c r="S5" s="5">
        <v>5</v>
      </c>
      <c r="T5" s="5">
        <v>5</v>
      </c>
      <c r="U5" s="5">
        <v>5</v>
      </c>
      <c r="V5" s="5">
        <v>5</v>
      </c>
      <c r="W5" s="5">
        <v>5</v>
      </c>
      <c r="X5" s="5">
        <v>5</v>
      </c>
      <c r="Y5" s="5">
        <v>5</v>
      </c>
      <c r="Z5" s="5">
        <v>5</v>
      </c>
      <c r="AA5" s="5">
        <v>5</v>
      </c>
    </row>
    <row r="6" spans="1:27" x14ac:dyDescent="0.25">
      <c r="A6" s="44" t="s">
        <v>16</v>
      </c>
      <c r="B6" s="42" t="s">
        <v>1071</v>
      </c>
      <c r="C6" s="5">
        <v>5</v>
      </c>
      <c r="D6" s="5">
        <v>5</v>
      </c>
      <c r="E6" s="5">
        <v>5</v>
      </c>
      <c r="F6" s="5">
        <v>5</v>
      </c>
      <c r="G6" s="5">
        <v>5</v>
      </c>
      <c r="H6" s="5">
        <v>5</v>
      </c>
      <c r="I6" s="5">
        <v>5</v>
      </c>
      <c r="J6" s="5">
        <v>5</v>
      </c>
      <c r="K6" s="5">
        <v>5</v>
      </c>
      <c r="L6" s="5">
        <v>5</v>
      </c>
      <c r="M6" s="5">
        <v>5</v>
      </c>
      <c r="N6" s="5">
        <v>5</v>
      </c>
      <c r="O6" s="5">
        <v>5</v>
      </c>
      <c r="P6" s="5">
        <v>5</v>
      </c>
      <c r="Q6" s="5">
        <v>5</v>
      </c>
      <c r="R6" s="5">
        <v>5</v>
      </c>
      <c r="S6" s="5">
        <v>5</v>
      </c>
      <c r="T6" s="5">
        <v>5</v>
      </c>
      <c r="U6" s="5">
        <v>5</v>
      </c>
      <c r="V6" s="5">
        <v>5</v>
      </c>
      <c r="W6" s="5">
        <v>5</v>
      </c>
      <c r="X6" s="5">
        <v>5</v>
      </c>
      <c r="Y6" s="5">
        <v>5</v>
      </c>
      <c r="Z6" s="5">
        <v>5</v>
      </c>
      <c r="AA6" s="5">
        <v>5</v>
      </c>
    </row>
    <row r="7" spans="1:27" x14ac:dyDescent="0.25">
      <c r="A7" s="44" t="s">
        <v>17</v>
      </c>
      <c r="B7" s="42" t="s">
        <v>1071</v>
      </c>
      <c r="C7" s="5">
        <v>5</v>
      </c>
      <c r="D7" s="5">
        <v>5</v>
      </c>
      <c r="E7" s="5">
        <v>5</v>
      </c>
      <c r="F7" s="5">
        <v>5</v>
      </c>
      <c r="G7" s="5">
        <v>5</v>
      </c>
      <c r="H7" s="5">
        <v>5</v>
      </c>
      <c r="I7" s="5">
        <v>5</v>
      </c>
      <c r="J7" s="5">
        <v>5</v>
      </c>
      <c r="K7" s="5">
        <v>5</v>
      </c>
      <c r="L7" s="5">
        <v>5</v>
      </c>
      <c r="M7" s="5">
        <v>5</v>
      </c>
      <c r="N7" s="5">
        <v>5</v>
      </c>
      <c r="O7" s="5">
        <v>5</v>
      </c>
      <c r="P7" s="5">
        <v>5</v>
      </c>
      <c r="Q7" s="5">
        <v>5</v>
      </c>
      <c r="R7" s="5">
        <v>5</v>
      </c>
      <c r="S7" s="5">
        <v>5</v>
      </c>
      <c r="T7" s="5">
        <v>5</v>
      </c>
      <c r="U7" s="5">
        <v>5</v>
      </c>
      <c r="V7" s="5">
        <v>5</v>
      </c>
      <c r="W7" s="5">
        <v>5</v>
      </c>
      <c r="X7" s="5">
        <v>5</v>
      </c>
      <c r="Y7" s="5">
        <v>5</v>
      </c>
      <c r="Z7" s="5">
        <v>5</v>
      </c>
      <c r="AA7" s="5">
        <v>5</v>
      </c>
    </row>
    <row r="8" spans="1:27" x14ac:dyDescent="0.25">
      <c r="A8" s="44" t="s">
        <v>18</v>
      </c>
      <c r="B8" s="42" t="s">
        <v>1071</v>
      </c>
      <c r="C8" s="5">
        <v>5</v>
      </c>
      <c r="D8" s="5">
        <v>5</v>
      </c>
      <c r="E8" s="5">
        <v>5</v>
      </c>
      <c r="F8" s="5">
        <v>5</v>
      </c>
      <c r="G8" s="5">
        <v>5</v>
      </c>
      <c r="H8" s="5">
        <v>5</v>
      </c>
      <c r="I8" s="5">
        <v>5</v>
      </c>
      <c r="J8" s="5">
        <v>5</v>
      </c>
      <c r="K8" s="5">
        <v>5</v>
      </c>
      <c r="L8" s="5">
        <v>5</v>
      </c>
      <c r="M8" s="5">
        <v>5</v>
      </c>
      <c r="N8" s="5">
        <v>5</v>
      </c>
      <c r="O8" s="5">
        <v>5</v>
      </c>
      <c r="P8" s="5">
        <v>5</v>
      </c>
      <c r="Q8" s="5">
        <v>5</v>
      </c>
      <c r="R8" s="5">
        <v>5</v>
      </c>
      <c r="S8" s="5">
        <v>5</v>
      </c>
      <c r="T8" s="5">
        <v>5</v>
      </c>
      <c r="U8" s="5">
        <v>5</v>
      </c>
      <c r="V8" s="5">
        <v>5</v>
      </c>
      <c r="W8" s="5">
        <v>5</v>
      </c>
      <c r="X8" s="5">
        <v>5</v>
      </c>
      <c r="Y8" s="5">
        <v>5</v>
      </c>
      <c r="Z8" s="5">
        <v>5</v>
      </c>
      <c r="AA8" s="5">
        <v>5</v>
      </c>
    </row>
    <row r="9" spans="1:27" x14ac:dyDescent="0.25">
      <c r="A9" s="44" t="s">
        <v>19</v>
      </c>
      <c r="B9" s="42" t="s">
        <v>1071</v>
      </c>
      <c r="C9" s="5">
        <v>5</v>
      </c>
      <c r="D9" s="5">
        <v>5</v>
      </c>
      <c r="E9" s="5">
        <v>5</v>
      </c>
      <c r="F9" s="5">
        <v>5</v>
      </c>
      <c r="G9" s="5">
        <v>5</v>
      </c>
      <c r="H9" s="5">
        <v>5</v>
      </c>
      <c r="I9" s="5">
        <v>5</v>
      </c>
      <c r="J9" s="5">
        <v>5</v>
      </c>
      <c r="K9" s="5">
        <v>5</v>
      </c>
      <c r="L9" s="5">
        <v>5</v>
      </c>
      <c r="M9" s="5">
        <v>5</v>
      </c>
      <c r="N9" s="5">
        <v>5</v>
      </c>
      <c r="O9" s="5">
        <v>5</v>
      </c>
      <c r="P9" s="5">
        <v>5</v>
      </c>
      <c r="Q9" s="5">
        <v>5</v>
      </c>
      <c r="R9" s="5">
        <v>5</v>
      </c>
      <c r="S9" s="5">
        <v>5</v>
      </c>
      <c r="T9" s="5">
        <v>5</v>
      </c>
      <c r="U9" s="5">
        <v>5</v>
      </c>
      <c r="V9" s="5">
        <v>5</v>
      </c>
      <c r="W9" s="5">
        <v>5</v>
      </c>
      <c r="X9" s="5">
        <v>5</v>
      </c>
      <c r="Y9" s="5">
        <v>5</v>
      </c>
      <c r="Z9" s="5">
        <v>5</v>
      </c>
      <c r="AA9" s="5">
        <v>5</v>
      </c>
    </row>
    <row r="10" spans="1:27" x14ac:dyDescent="0.25">
      <c r="A10" s="46" t="s">
        <v>20</v>
      </c>
      <c r="B10" s="42" t="s">
        <v>349</v>
      </c>
      <c r="C10" s="5">
        <v>5</v>
      </c>
      <c r="D10" s="5">
        <v>5</v>
      </c>
      <c r="E10" s="5">
        <v>5</v>
      </c>
      <c r="F10" s="5">
        <v>5</v>
      </c>
      <c r="G10" s="5">
        <v>5</v>
      </c>
      <c r="H10" s="5">
        <v>5</v>
      </c>
      <c r="I10" s="5">
        <v>5</v>
      </c>
      <c r="J10" s="5">
        <v>5</v>
      </c>
      <c r="K10" s="5">
        <v>5</v>
      </c>
      <c r="L10" s="5">
        <v>5</v>
      </c>
      <c r="M10" s="5">
        <v>5</v>
      </c>
      <c r="N10" s="5">
        <v>5</v>
      </c>
      <c r="O10" s="5">
        <v>5</v>
      </c>
      <c r="P10" s="5">
        <v>5</v>
      </c>
      <c r="Q10" s="5">
        <v>5</v>
      </c>
      <c r="R10" s="5">
        <v>5</v>
      </c>
      <c r="S10" s="5">
        <v>5</v>
      </c>
      <c r="T10" s="5">
        <v>5</v>
      </c>
      <c r="U10" s="5">
        <v>5</v>
      </c>
      <c r="V10" s="5">
        <v>5</v>
      </c>
      <c r="W10" s="5">
        <v>5</v>
      </c>
      <c r="X10" s="5">
        <v>5</v>
      </c>
      <c r="Y10" s="5">
        <v>5</v>
      </c>
      <c r="Z10" s="5">
        <v>5</v>
      </c>
      <c r="AA10" s="5">
        <v>5</v>
      </c>
    </row>
    <row r="11" spans="1:27" x14ac:dyDescent="0.25">
      <c r="A11" s="44" t="s">
        <v>21</v>
      </c>
      <c r="B11" s="42" t="s">
        <v>1071</v>
      </c>
      <c r="C11" s="5">
        <v>5</v>
      </c>
      <c r="D11" s="5">
        <v>5</v>
      </c>
      <c r="E11" s="5">
        <v>5</v>
      </c>
      <c r="F11" s="5">
        <v>5</v>
      </c>
      <c r="G11" s="5">
        <v>5</v>
      </c>
      <c r="H11" s="5">
        <v>5</v>
      </c>
      <c r="I11" s="5">
        <v>5</v>
      </c>
      <c r="J11" s="5">
        <v>5</v>
      </c>
      <c r="K11" s="5">
        <v>5</v>
      </c>
      <c r="L11" s="5">
        <v>5</v>
      </c>
      <c r="M11" s="5">
        <v>5</v>
      </c>
      <c r="N11" s="5">
        <v>5</v>
      </c>
      <c r="O11" s="5">
        <v>5</v>
      </c>
      <c r="P11" s="5">
        <v>5</v>
      </c>
      <c r="Q11" s="5">
        <v>5</v>
      </c>
      <c r="R11" s="5">
        <v>5</v>
      </c>
      <c r="S11" s="5">
        <v>5</v>
      </c>
      <c r="T11" s="5">
        <v>5</v>
      </c>
      <c r="U11" s="5">
        <v>5</v>
      </c>
      <c r="V11" s="5">
        <v>5</v>
      </c>
      <c r="W11" s="5">
        <v>5</v>
      </c>
      <c r="X11" s="5">
        <v>5</v>
      </c>
      <c r="Y11" s="5">
        <v>5</v>
      </c>
      <c r="Z11" s="5">
        <v>5</v>
      </c>
      <c r="AA11" s="5">
        <v>5</v>
      </c>
    </row>
    <row r="12" spans="1:27" x14ac:dyDescent="0.25">
      <c r="A12" s="44" t="s">
        <v>22</v>
      </c>
      <c r="B12" s="42" t="s">
        <v>1071</v>
      </c>
      <c r="C12" s="5">
        <v>5</v>
      </c>
      <c r="D12" s="5">
        <v>5</v>
      </c>
      <c r="E12" s="5">
        <v>5</v>
      </c>
      <c r="F12" s="5">
        <v>5</v>
      </c>
      <c r="G12" s="5">
        <v>5</v>
      </c>
      <c r="H12" s="5">
        <v>5</v>
      </c>
      <c r="I12" s="5">
        <v>5</v>
      </c>
      <c r="J12" s="5">
        <v>5</v>
      </c>
      <c r="K12" s="5">
        <v>5</v>
      </c>
      <c r="L12" s="5">
        <v>5</v>
      </c>
      <c r="M12" s="5">
        <v>5</v>
      </c>
      <c r="N12" s="5">
        <v>5</v>
      </c>
      <c r="O12" s="5">
        <v>5</v>
      </c>
      <c r="P12" s="5">
        <v>5</v>
      </c>
      <c r="Q12" s="5">
        <v>5</v>
      </c>
      <c r="R12" s="5">
        <v>5</v>
      </c>
      <c r="S12" s="5">
        <v>5</v>
      </c>
      <c r="T12" s="5">
        <v>5</v>
      </c>
      <c r="U12" s="5">
        <v>5</v>
      </c>
      <c r="V12" s="5">
        <v>5</v>
      </c>
      <c r="W12" s="5">
        <v>5</v>
      </c>
      <c r="X12" s="5">
        <v>5</v>
      </c>
      <c r="Y12" s="5">
        <v>5</v>
      </c>
      <c r="Z12" s="5">
        <v>5</v>
      </c>
      <c r="AA12" s="5">
        <v>5</v>
      </c>
    </row>
    <row r="13" spans="1:27" x14ac:dyDescent="0.25">
      <c r="A13" s="44" t="s">
        <v>23</v>
      </c>
      <c r="B13" s="42" t="s">
        <v>1071</v>
      </c>
      <c r="C13" s="5">
        <v>5</v>
      </c>
      <c r="D13" s="5">
        <v>5</v>
      </c>
      <c r="E13" s="5">
        <v>5</v>
      </c>
      <c r="F13" s="5">
        <v>5</v>
      </c>
      <c r="G13" s="5">
        <v>5</v>
      </c>
      <c r="H13" s="5">
        <v>5</v>
      </c>
      <c r="I13" s="5">
        <v>5</v>
      </c>
      <c r="J13" s="5">
        <v>5</v>
      </c>
      <c r="K13" s="5">
        <v>5</v>
      </c>
      <c r="L13" s="5">
        <v>5</v>
      </c>
      <c r="M13" s="5">
        <v>5</v>
      </c>
      <c r="N13" s="5">
        <v>5</v>
      </c>
      <c r="O13" s="5">
        <v>5</v>
      </c>
      <c r="P13" s="5">
        <v>5</v>
      </c>
      <c r="Q13" s="5">
        <v>5</v>
      </c>
      <c r="R13" s="5">
        <v>5</v>
      </c>
      <c r="S13" s="5">
        <v>5</v>
      </c>
      <c r="T13" s="5">
        <v>5</v>
      </c>
      <c r="U13" s="5">
        <v>5</v>
      </c>
      <c r="V13" s="5">
        <v>5</v>
      </c>
      <c r="W13" s="5">
        <v>5</v>
      </c>
      <c r="X13" s="5">
        <v>5</v>
      </c>
      <c r="Y13" s="5">
        <v>5</v>
      </c>
      <c r="Z13" s="5">
        <v>5</v>
      </c>
      <c r="AA13" s="5">
        <v>5</v>
      </c>
    </row>
    <row r="14" spans="1:27" x14ac:dyDescent="0.25">
      <c r="A14" s="44" t="s">
        <v>24</v>
      </c>
      <c r="B14" s="42" t="s">
        <v>1071</v>
      </c>
      <c r="C14" s="5">
        <v>5</v>
      </c>
      <c r="D14" s="5">
        <v>5</v>
      </c>
      <c r="E14" s="5">
        <v>5</v>
      </c>
      <c r="F14" s="5">
        <v>5</v>
      </c>
      <c r="G14" s="5">
        <v>5</v>
      </c>
      <c r="H14" s="5">
        <v>5</v>
      </c>
      <c r="I14" s="5">
        <v>5</v>
      </c>
      <c r="J14" s="5">
        <v>5</v>
      </c>
      <c r="K14" s="5">
        <v>5</v>
      </c>
      <c r="L14" s="5">
        <v>5</v>
      </c>
      <c r="M14" s="5">
        <v>5</v>
      </c>
      <c r="N14" s="5">
        <v>5</v>
      </c>
      <c r="O14" s="5">
        <v>5</v>
      </c>
      <c r="P14" s="5">
        <v>5</v>
      </c>
      <c r="Q14" s="5">
        <v>5</v>
      </c>
      <c r="R14" s="5">
        <v>5</v>
      </c>
      <c r="S14" s="5">
        <v>5</v>
      </c>
      <c r="T14" s="5">
        <v>5</v>
      </c>
      <c r="U14" s="5">
        <v>5</v>
      </c>
      <c r="V14" s="5">
        <v>5</v>
      </c>
      <c r="W14" s="5">
        <v>5</v>
      </c>
      <c r="X14" s="5">
        <v>5</v>
      </c>
      <c r="Y14" s="5">
        <v>5</v>
      </c>
      <c r="Z14" s="5">
        <v>5</v>
      </c>
      <c r="AA14" s="5">
        <v>5</v>
      </c>
    </row>
    <row r="15" spans="1:27" x14ac:dyDescent="0.25">
      <c r="A15" s="44" t="s">
        <v>25</v>
      </c>
      <c r="B15" s="42" t="s">
        <v>1071</v>
      </c>
      <c r="C15" s="5">
        <v>5</v>
      </c>
      <c r="D15" s="5">
        <v>5</v>
      </c>
      <c r="E15" s="5">
        <v>5</v>
      </c>
      <c r="F15" s="5">
        <v>5</v>
      </c>
      <c r="G15" s="5">
        <v>5</v>
      </c>
      <c r="H15" s="5">
        <v>5</v>
      </c>
      <c r="I15" s="5">
        <v>5</v>
      </c>
      <c r="J15" s="5">
        <v>5</v>
      </c>
      <c r="K15" s="5">
        <v>5</v>
      </c>
      <c r="L15" s="5">
        <v>5</v>
      </c>
      <c r="M15" s="5">
        <v>5</v>
      </c>
      <c r="N15" s="5">
        <v>5</v>
      </c>
      <c r="O15" s="5">
        <v>5</v>
      </c>
      <c r="P15" s="5">
        <v>5</v>
      </c>
      <c r="Q15" s="5">
        <v>5</v>
      </c>
      <c r="R15" s="5">
        <v>5</v>
      </c>
      <c r="S15" s="5">
        <v>5</v>
      </c>
      <c r="T15" s="5">
        <v>5</v>
      </c>
      <c r="U15" s="5">
        <v>5</v>
      </c>
      <c r="V15" s="5">
        <v>5</v>
      </c>
      <c r="W15" s="5">
        <v>5</v>
      </c>
      <c r="X15" s="5">
        <v>5</v>
      </c>
      <c r="Y15" s="5">
        <v>5</v>
      </c>
      <c r="Z15" s="5">
        <v>5</v>
      </c>
      <c r="AA15" s="5">
        <v>5</v>
      </c>
    </row>
    <row r="16" spans="1:27" x14ac:dyDescent="0.25">
      <c r="A16" s="44" t="s">
        <v>26</v>
      </c>
      <c r="B16" s="42" t="s">
        <v>1071</v>
      </c>
      <c r="C16" s="5">
        <v>5</v>
      </c>
      <c r="D16" s="5">
        <v>5</v>
      </c>
      <c r="E16" s="5">
        <v>5</v>
      </c>
      <c r="F16" s="5">
        <v>5</v>
      </c>
      <c r="G16" s="5">
        <v>5</v>
      </c>
      <c r="H16" s="5">
        <v>5</v>
      </c>
      <c r="I16" s="5">
        <v>5</v>
      </c>
      <c r="J16" s="5">
        <v>5</v>
      </c>
      <c r="K16" s="5">
        <v>5</v>
      </c>
      <c r="L16" s="5">
        <v>5</v>
      </c>
      <c r="M16" s="5">
        <v>5</v>
      </c>
      <c r="N16" s="5">
        <v>5</v>
      </c>
      <c r="O16" s="5">
        <v>5</v>
      </c>
      <c r="P16" s="5">
        <v>5</v>
      </c>
      <c r="Q16" s="5">
        <v>5</v>
      </c>
      <c r="R16" s="5">
        <v>5</v>
      </c>
      <c r="S16" s="5">
        <v>5</v>
      </c>
      <c r="T16" s="5">
        <v>5</v>
      </c>
      <c r="U16" s="5">
        <v>5</v>
      </c>
      <c r="V16" s="5">
        <v>5</v>
      </c>
      <c r="W16" s="5">
        <v>5</v>
      </c>
      <c r="X16" s="5">
        <v>5</v>
      </c>
      <c r="Y16" s="5">
        <v>5</v>
      </c>
      <c r="Z16" s="5">
        <v>5</v>
      </c>
      <c r="AA16" s="5">
        <v>5</v>
      </c>
    </row>
    <row r="17" spans="1:27" x14ac:dyDescent="0.25">
      <c r="A17" s="44" t="s">
        <v>27</v>
      </c>
      <c r="B17" s="42" t="s">
        <v>1071</v>
      </c>
      <c r="C17" s="5">
        <v>5</v>
      </c>
      <c r="D17" s="5">
        <v>5</v>
      </c>
      <c r="E17" s="5">
        <v>5</v>
      </c>
      <c r="F17" s="5">
        <v>5</v>
      </c>
      <c r="G17" s="5">
        <v>5</v>
      </c>
      <c r="H17" s="5">
        <v>5</v>
      </c>
      <c r="I17" s="5">
        <v>5</v>
      </c>
      <c r="J17" s="5">
        <v>5</v>
      </c>
      <c r="K17" s="5">
        <v>5</v>
      </c>
      <c r="L17" s="5">
        <v>5</v>
      </c>
      <c r="M17" s="5">
        <v>5</v>
      </c>
      <c r="N17" s="5">
        <v>5</v>
      </c>
      <c r="O17" s="5">
        <v>5</v>
      </c>
      <c r="P17" s="5">
        <v>5</v>
      </c>
      <c r="Q17" s="5">
        <v>5</v>
      </c>
      <c r="R17" s="5">
        <v>5</v>
      </c>
      <c r="S17" s="5">
        <v>5</v>
      </c>
      <c r="T17" s="5">
        <v>5</v>
      </c>
      <c r="U17" s="5">
        <v>5</v>
      </c>
      <c r="V17" s="5">
        <v>5</v>
      </c>
      <c r="W17" s="5">
        <v>5</v>
      </c>
      <c r="X17" s="5">
        <v>5</v>
      </c>
      <c r="Y17" s="5">
        <v>5</v>
      </c>
      <c r="Z17" s="5">
        <v>5</v>
      </c>
      <c r="AA17" s="5">
        <v>5</v>
      </c>
    </row>
    <row r="18" spans="1:27" x14ac:dyDescent="0.25">
      <c r="A18" s="44" t="s">
        <v>28</v>
      </c>
      <c r="B18" s="42" t="s">
        <v>1071</v>
      </c>
      <c r="C18" s="5">
        <v>5</v>
      </c>
      <c r="D18" s="5">
        <v>5</v>
      </c>
      <c r="E18" s="5">
        <v>5</v>
      </c>
      <c r="F18" s="5">
        <v>5</v>
      </c>
      <c r="G18" s="5">
        <v>5</v>
      </c>
      <c r="H18" s="5">
        <v>5</v>
      </c>
      <c r="I18" s="5">
        <v>5</v>
      </c>
      <c r="J18" s="5">
        <v>5</v>
      </c>
      <c r="K18" s="5">
        <v>5</v>
      </c>
      <c r="L18" s="5">
        <v>5</v>
      </c>
      <c r="M18" s="5">
        <v>5</v>
      </c>
      <c r="N18" s="5">
        <v>5</v>
      </c>
      <c r="O18" s="5">
        <v>5</v>
      </c>
      <c r="P18" s="5">
        <v>5</v>
      </c>
      <c r="Q18" s="5">
        <v>5</v>
      </c>
      <c r="R18" s="5">
        <v>5</v>
      </c>
      <c r="S18" s="5">
        <v>5</v>
      </c>
      <c r="T18" s="5">
        <v>5</v>
      </c>
      <c r="U18" s="5">
        <v>5</v>
      </c>
      <c r="V18" s="5">
        <v>5</v>
      </c>
      <c r="W18" s="5">
        <v>5</v>
      </c>
      <c r="X18" s="5">
        <v>5</v>
      </c>
      <c r="Y18" s="5">
        <v>5</v>
      </c>
      <c r="Z18" s="5">
        <v>5</v>
      </c>
      <c r="AA18" s="5">
        <v>5</v>
      </c>
    </row>
    <row r="19" spans="1:27" x14ac:dyDescent="0.25">
      <c r="A19" s="44" t="s">
        <v>29</v>
      </c>
      <c r="B19" s="42" t="s">
        <v>1071</v>
      </c>
      <c r="C19" s="5">
        <v>5</v>
      </c>
      <c r="D19" s="5">
        <v>5</v>
      </c>
      <c r="E19" s="5">
        <v>5</v>
      </c>
      <c r="F19" s="5">
        <v>5</v>
      </c>
      <c r="G19" s="5">
        <v>5</v>
      </c>
      <c r="H19" s="5">
        <v>5</v>
      </c>
      <c r="I19" s="5">
        <v>5</v>
      </c>
      <c r="J19" s="5">
        <v>5</v>
      </c>
      <c r="K19" s="5">
        <v>5</v>
      </c>
      <c r="L19" s="5">
        <v>5</v>
      </c>
      <c r="M19" s="5">
        <v>5</v>
      </c>
      <c r="N19" s="5">
        <v>5</v>
      </c>
      <c r="O19" s="5">
        <v>5</v>
      </c>
      <c r="P19" s="5">
        <v>5</v>
      </c>
      <c r="Q19" s="5">
        <v>5</v>
      </c>
      <c r="R19" s="5">
        <v>5</v>
      </c>
      <c r="S19" s="5">
        <v>5</v>
      </c>
      <c r="T19" s="5">
        <v>5</v>
      </c>
      <c r="U19" s="5">
        <v>5</v>
      </c>
      <c r="V19" s="5">
        <v>5</v>
      </c>
      <c r="W19" s="5">
        <v>5</v>
      </c>
      <c r="X19" s="5">
        <v>5</v>
      </c>
      <c r="Y19" s="5">
        <v>5</v>
      </c>
      <c r="Z19" s="5">
        <v>5</v>
      </c>
      <c r="AA19" s="5">
        <v>5</v>
      </c>
    </row>
    <row r="20" spans="1:27" x14ac:dyDescent="0.25">
      <c r="A20" s="44" t="s">
        <v>30</v>
      </c>
      <c r="B20" s="42" t="s">
        <v>1071</v>
      </c>
      <c r="C20" s="5">
        <v>5</v>
      </c>
      <c r="D20" s="5">
        <v>5</v>
      </c>
      <c r="E20" s="5">
        <v>5</v>
      </c>
      <c r="F20" s="5">
        <v>5</v>
      </c>
      <c r="G20" s="5">
        <v>5</v>
      </c>
      <c r="H20" s="5">
        <v>5</v>
      </c>
      <c r="I20" s="5">
        <v>5</v>
      </c>
      <c r="J20" s="5">
        <v>5</v>
      </c>
      <c r="K20" s="5">
        <v>5</v>
      </c>
      <c r="L20" s="5">
        <v>5</v>
      </c>
      <c r="M20" s="5">
        <v>5</v>
      </c>
      <c r="N20" s="5">
        <v>5</v>
      </c>
      <c r="O20" s="5">
        <v>5</v>
      </c>
      <c r="P20" s="5">
        <v>5</v>
      </c>
      <c r="Q20" s="5">
        <v>5</v>
      </c>
      <c r="R20" s="5">
        <v>5</v>
      </c>
      <c r="S20" s="5">
        <v>5</v>
      </c>
      <c r="T20" s="5">
        <v>5</v>
      </c>
      <c r="U20" s="5">
        <v>5</v>
      </c>
      <c r="V20" s="5">
        <v>5</v>
      </c>
      <c r="W20" s="5">
        <v>5</v>
      </c>
      <c r="X20" s="5">
        <v>5</v>
      </c>
      <c r="Y20" s="5">
        <v>5</v>
      </c>
      <c r="Z20" s="5">
        <v>5</v>
      </c>
      <c r="AA20" s="5">
        <v>5</v>
      </c>
    </row>
    <row r="21" spans="1:27" x14ac:dyDescent="0.25">
      <c r="A21" s="44" t="s">
        <v>31</v>
      </c>
      <c r="B21" s="42" t="s">
        <v>1071</v>
      </c>
      <c r="C21" s="5">
        <v>5</v>
      </c>
      <c r="D21" s="5">
        <v>5</v>
      </c>
      <c r="E21" s="5">
        <v>5</v>
      </c>
      <c r="F21" s="5">
        <v>5</v>
      </c>
      <c r="G21" s="5">
        <v>5</v>
      </c>
      <c r="H21" s="5">
        <v>5</v>
      </c>
      <c r="I21" s="5">
        <v>5</v>
      </c>
      <c r="J21" s="5">
        <v>5</v>
      </c>
      <c r="K21" s="5">
        <v>5</v>
      </c>
      <c r="L21" s="5">
        <v>5</v>
      </c>
      <c r="M21" s="5">
        <v>5</v>
      </c>
      <c r="N21" s="5">
        <v>5</v>
      </c>
      <c r="O21" s="5">
        <v>5</v>
      </c>
      <c r="P21" s="5">
        <v>5</v>
      </c>
      <c r="Q21" s="5">
        <v>5</v>
      </c>
      <c r="R21" s="5">
        <v>5</v>
      </c>
      <c r="S21" s="5">
        <v>5</v>
      </c>
      <c r="T21" s="5">
        <v>5</v>
      </c>
      <c r="U21" s="5">
        <v>5</v>
      </c>
      <c r="V21" s="5">
        <v>5</v>
      </c>
      <c r="W21" s="5">
        <v>5</v>
      </c>
      <c r="X21" s="5">
        <v>5</v>
      </c>
      <c r="Y21" s="5">
        <v>5</v>
      </c>
      <c r="Z21" s="5">
        <v>5</v>
      </c>
      <c r="AA21" s="5">
        <v>5</v>
      </c>
    </row>
    <row r="22" spans="1:27" x14ac:dyDescent="0.25">
      <c r="A22" s="44" t="s">
        <v>32</v>
      </c>
      <c r="B22" s="42" t="s">
        <v>1071</v>
      </c>
      <c r="C22" s="5">
        <v>5</v>
      </c>
      <c r="D22" s="5">
        <v>5</v>
      </c>
      <c r="E22" s="5">
        <v>5</v>
      </c>
      <c r="F22" s="5">
        <v>5</v>
      </c>
      <c r="G22" s="5">
        <v>5</v>
      </c>
      <c r="H22" s="5">
        <v>5</v>
      </c>
      <c r="I22" s="5">
        <v>5</v>
      </c>
      <c r="J22" s="5">
        <v>5</v>
      </c>
      <c r="K22" s="5">
        <v>5</v>
      </c>
      <c r="L22" s="5">
        <v>5</v>
      </c>
      <c r="M22" s="5">
        <v>5</v>
      </c>
      <c r="N22" s="5">
        <v>5</v>
      </c>
      <c r="O22" s="5">
        <v>5</v>
      </c>
      <c r="P22" s="5">
        <v>5</v>
      </c>
      <c r="Q22" s="5">
        <v>5</v>
      </c>
      <c r="R22" s="5">
        <v>5</v>
      </c>
      <c r="S22" s="5">
        <v>5</v>
      </c>
      <c r="T22" s="5">
        <v>5</v>
      </c>
      <c r="U22" s="5">
        <v>5</v>
      </c>
      <c r="V22" s="5">
        <v>5</v>
      </c>
      <c r="W22" s="5">
        <v>5</v>
      </c>
      <c r="X22" s="5">
        <v>5</v>
      </c>
      <c r="Y22" s="5">
        <v>5</v>
      </c>
      <c r="Z22" s="5">
        <v>5</v>
      </c>
      <c r="AA22" s="5">
        <v>5</v>
      </c>
    </row>
    <row r="23" spans="1:27" x14ac:dyDescent="0.25">
      <c r="A23" s="46" t="s">
        <v>33</v>
      </c>
      <c r="B23" s="42" t="s">
        <v>349</v>
      </c>
      <c r="C23" s="5">
        <v>5</v>
      </c>
      <c r="D23" s="5">
        <v>5</v>
      </c>
      <c r="E23" s="5">
        <v>5</v>
      </c>
      <c r="F23" s="5">
        <v>5</v>
      </c>
      <c r="G23" s="5">
        <v>5</v>
      </c>
      <c r="H23" s="5">
        <v>5</v>
      </c>
      <c r="I23" s="5">
        <v>5</v>
      </c>
      <c r="J23" s="5">
        <v>5</v>
      </c>
      <c r="K23" s="5">
        <v>5</v>
      </c>
      <c r="L23" s="5">
        <v>5</v>
      </c>
      <c r="M23" s="5">
        <v>5</v>
      </c>
      <c r="N23" s="5">
        <v>5</v>
      </c>
      <c r="O23" s="5">
        <v>5</v>
      </c>
      <c r="P23" s="5">
        <v>5</v>
      </c>
      <c r="Q23" s="5">
        <v>5</v>
      </c>
      <c r="R23" s="5">
        <v>5</v>
      </c>
      <c r="S23" s="5">
        <v>5</v>
      </c>
      <c r="T23" s="5">
        <v>5</v>
      </c>
      <c r="U23" s="5">
        <v>5</v>
      </c>
      <c r="V23" s="5">
        <v>5</v>
      </c>
      <c r="W23" s="5">
        <v>5</v>
      </c>
      <c r="X23" s="5">
        <v>5</v>
      </c>
      <c r="Y23" s="5">
        <v>5</v>
      </c>
      <c r="Z23" s="5">
        <v>5</v>
      </c>
      <c r="AA23" s="5">
        <v>5</v>
      </c>
    </row>
    <row r="24" spans="1:27" x14ac:dyDescent="0.25">
      <c r="A24" s="44" t="s">
        <v>34</v>
      </c>
      <c r="B24" s="42" t="s">
        <v>1071</v>
      </c>
      <c r="C24" s="5">
        <v>5</v>
      </c>
      <c r="D24" s="5">
        <v>5</v>
      </c>
      <c r="E24" s="5">
        <v>5</v>
      </c>
      <c r="F24" s="5">
        <v>5</v>
      </c>
      <c r="G24" s="5">
        <v>5</v>
      </c>
      <c r="H24" s="5">
        <v>5</v>
      </c>
      <c r="I24" s="5">
        <v>5</v>
      </c>
      <c r="J24" s="5">
        <v>5</v>
      </c>
      <c r="K24" s="5">
        <v>5</v>
      </c>
      <c r="L24" s="5">
        <v>5</v>
      </c>
      <c r="M24" s="5">
        <v>5</v>
      </c>
      <c r="N24" s="5">
        <v>5</v>
      </c>
      <c r="O24" s="5">
        <v>5</v>
      </c>
      <c r="P24" s="5">
        <v>5</v>
      </c>
      <c r="Q24" s="5">
        <v>5</v>
      </c>
      <c r="R24" s="5">
        <v>5</v>
      </c>
      <c r="S24" s="5">
        <v>5</v>
      </c>
      <c r="T24" s="5">
        <v>5</v>
      </c>
      <c r="U24" s="5">
        <v>5</v>
      </c>
      <c r="V24" s="5">
        <v>5</v>
      </c>
      <c r="W24" s="5">
        <v>5</v>
      </c>
      <c r="X24" s="5">
        <v>5</v>
      </c>
      <c r="Y24" s="5">
        <v>5</v>
      </c>
      <c r="Z24" s="5">
        <v>5</v>
      </c>
      <c r="AA24" s="5">
        <v>5</v>
      </c>
    </row>
    <row r="25" spans="1:27" x14ac:dyDescent="0.25">
      <c r="A25" s="46" t="s">
        <v>35</v>
      </c>
      <c r="B25" s="42" t="s">
        <v>349</v>
      </c>
      <c r="C25" s="5">
        <v>5</v>
      </c>
      <c r="D25" s="5">
        <v>5</v>
      </c>
      <c r="E25" s="5">
        <v>5</v>
      </c>
      <c r="F25" s="5">
        <v>5</v>
      </c>
      <c r="G25" s="5">
        <v>5</v>
      </c>
      <c r="H25" s="5">
        <v>5</v>
      </c>
      <c r="I25" s="5">
        <v>5</v>
      </c>
      <c r="J25" s="5">
        <v>5</v>
      </c>
      <c r="K25" s="5">
        <v>5</v>
      </c>
      <c r="L25" s="5">
        <v>5</v>
      </c>
      <c r="M25" s="5">
        <v>5</v>
      </c>
      <c r="N25" s="5">
        <v>5</v>
      </c>
      <c r="O25" s="5">
        <v>5</v>
      </c>
      <c r="P25" s="5">
        <v>5</v>
      </c>
      <c r="Q25" s="5">
        <v>5</v>
      </c>
      <c r="R25" s="5">
        <v>5</v>
      </c>
      <c r="S25" s="5">
        <v>5</v>
      </c>
      <c r="T25" s="5">
        <v>5</v>
      </c>
      <c r="U25" s="5">
        <v>5</v>
      </c>
      <c r="V25" s="5">
        <v>5</v>
      </c>
      <c r="W25" s="5">
        <v>5</v>
      </c>
      <c r="X25" s="5">
        <v>5</v>
      </c>
      <c r="Y25" s="5">
        <v>5</v>
      </c>
      <c r="Z25" s="5">
        <v>5</v>
      </c>
      <c r="AA25" s="5">
        <v>5</v>
      </c>
    </row>
    <row r="26" spans="1:27" x14ac:dyDescent="0.25">
      <c r="A26" s="44" t="s">
        <v>36</v>
      </c>
      <c r="B26" s="42" t="s">
        <v>1071</v>
      </c>
      <c r="C26" s="5">
        <v>5</v>
      </c>
      <c r="D26" s="5">
        <v>5</v>
      </c>
      <c r="E26" s="5">
        <v>5</v>
      </c>
      <c r="F26" s="5">
        <v>5</v>
      </c>
      <c r="G26" s="5">
        <v>5</v>
      </c>
      <c r="H26" s="5">
        <v>5</v>
      </c>
      <c r="I26" s="5">
        <v>5</v>
      </c>
      <c r="J26" s="5">
        <v>5</v>
      </c>
      <c r="K26" s="5">
        <v>5</v>
      </c>
      <c r="L26" s="5">
        <v>5</v>
      </c>
      <c r="M26" s="5">
        <v>5</v>
      </c>
      <c r="N26" s="5">
        <v>5</v>
      </c>
      <c r="O26" s="5">
        <v>5</v>
      </c>
      <c r="P26" s="5">
        <v>5</v>
      </c>
      <c r="Q26" s="5">
        <v>5</v>
      </c>
      <c r="R26" s="5">
        <v>5</v>
      </c>
      <c r="S26" s="5">
        <v>5</v>
      </c>
      <c r="T26" s="5">
        <v>5</v>
      </c>
      <c r="U26" s="5">
        <v>5</v>
      </c>
      <c r="V26" s="5">
        <v>5</v>
      </c>
      <c r="W26" s="5">
        <v>5</v>
      </c>
      <c r="X26" s="5">
        <v>5</v>
      </c>
      <c r="Y26" s="5">
        <v>5</v>
      </c>
      <c r="Z26" s="5">
        <v>5</v>
      </c>
      <c r="AA26" s="5">
        <v>5</v>
      </c>
    </row>
    <row r="27" spans="1:27" x14ac:dyDescent="0.25">
      <c r="A27" s="44" t="s">
        <v>37</v>
      </c>
      <c r="B27" s="42" t="s">
        <v>1071</v>
      </c>
      <c r="C27" s="5">
        <v>5</v>
      </c>
      <c r="D27" s="5">
        <v>5</v>
      </c>
      <c r="E27" s="5">
        <v>5</v>
      </c>
      <c r="F27" s="5">
        <v>5</v>
      </c>
      <c r="G27" s="5">
        <v>5</v>
      </c>
      <c r="H27" s="5">
        <v>5</v>
      </c>
      <c r="I27" s="5">
        <v>5</v>
      </c>
      <c r="J27" s="5">
        <v>5</v>
      </c>
      <c r="K27" s="5">
        <v>5</v>
      </c>
      <c r="L27" s="5">
        <v>5</v>
      </c>
      <c r="M27" s="5">
        <v>5</v>
      </c>
      <c r="N27" s="5">
        <v>5</v>
      </c>
      <c r="O27" s="5">
        <v>5</v>
      </c>
      <c r="P27" s="5">
        <v>5</v>
      </c>
      <c r="Q27" s="5">
        <v>5</v>
      </c>
      <c r="R27" s="5">
        <v>5</v>
      </c>
      <c r="S27" s="5">
        <v>5</v>
      </c>
      <c r="T27" s="5">
        <v>5</v>
      </c>
      <c r="U27" s="5">
        <v>5</v>
      </c>
      <c r="V27" s="5">
        <v>5</v>
      </c>
      <c r="W27" s="5">
        <v>5</v>
      </c>
      <c r="X27" s="5">
        <v>5</v>
      </c>
      <c r="Y27" s="5">
        <v>5</v>
      </c>
      <c r="Z27" s="5">
        <v>5</v>
      </c>
      <c r="AA27" s="5">
        <v>5</v>
      </c>
    </row>
    <row r="28" spans="1:27" x14ac:dyDescent="0.25">
      <c r="A28" s="44" t="s">
        <v>38</v>
      </c>
      <c r="B28" s="42" t="s">
        <v>1071</v>
      </c>
      <c r="C28" s="5">
        <v>5</v>
      </c>
      <c r="D28" s="5">
        <v>5</v>
      </c>
      <c r="E28" s="5">
        <v>5</v>
      </c>
      <c r="F28" s="5">
        <v>5</v>
      </c>
      <c r="G28" s="5">
        <v>5</v>
      </c>
      <c r="H28" s="5">
        <v>5</v>
      </c>
      <c r="I28" s="5">
        <v>5</v>
      </c>
      <c r="J28" s="5">
        <v>5</v>
      </c>
      <c r="K28" s="5">
        <v>5</v>
      </c>
      <c r="L28" s="5">
        <v>5</v>
      </c>
      <c r="M28" s="5">
        <v>5</v>
      </c>
      <c r="N28" s="5">
        <v>5</v>
      </c>
      <c r="O28" s="5">
        <v>5</v>
      </c>
      <c r="P28" s="5">
        <v>5</v>
      </c>
      <c r="Q28" s="5">
        <v>5</v>
      </c>
      <c r="R28" s="5">
        <v>5</v>
      </c>
      <c r="S28" s="5">
        <v>5</v>
      </c>
      <c r="T28" s="5">
        <v>5</v>
      </c>
      <c r="U28" s="5">
        <v>5</v>
      </c>
      <c r="V28" s="5">
        <v>5</v>
      </c>
      <c r="W28" s="5">
        <v>5</v>
      </c>
      <c r="X28" s="5">
        <v>5</v>
      </c>
      <c r="Y28" s="5">
        <v>5</v>
      </c>
      <c r="Z28" s="5">
        <v>5</v>
      </c>
      <c r="AA28" s="5">
        <v>5</v>
      </c>
    </row>
    <row r="29" spans="1:27" x14ac:dyDescent="0.25">
      <c r="A29" s="44" t="s">
        <v>39</v>
      </c>
      <c r="B29" s="42" t="s">
        <v>1071</v>
      </c>
      <c r="C29" s="5">
        <v>5</v>
      </c>
      <c r="D29" s="5">
        <v>5</v>
      </c>
      <c r="E29" s="5">
        <v>5</v>
      </c>
      <c r="F29" s="5">
        <v>5</v>
      </c>
      <c r="G29" s="5">
        <v>5</v>
      </c>
      <c r="H29" s="5">
        <v>5</v>
      </c>
      <c r="I29" s="5">
        <v>5</v>
      </c>
      <c r="J29" s="5">
        <v>5</v>
      </c>
      <c r="K29" s="5">
        <v>5</v>
      </c>
      <c r="L29" s="5">
        <v>5</v>
      </c>
      <c r="M29" s="5">
        <v>5</v>
      </c>
      <c r="N29" s="5">
        <v>5</v>
      </c>
      <c r="O29" s="5">
        <v>5</v>
      </c>
      <c r="P29" s="5">
        <v>5</v>
      </c>
      <c r="Q29" s="5">
        <v>5</v>
      </c>
      <c r="R29" s="5">
        <v>5</v>
      </c>
      <c r="S29" s="5">
        <v>5</v>
      </c>
      <c r="T29" s="5">
        <v>5</v>
      </c>
      <c r="U29" s="5">
        <v>5</v>
      </c>
      <c r="V29" s="5">
        <v>5</v>
      </c>
      <c r="W29" s="5">
        <v>5</v>
      </c>
      <c r="X29" s="5">
        <v>5</v>
      </c>
      <c r="Y29" s="5">
        <v>5</v>
      </c>
      <c r="Z29" s="5">
        <v>5</v>
      </c>
      <c r="AA29" s="5">
        <v>5</v>
      </c>
    </row>
    <row r="30" spans="1:27" x14ac:dyDescent="0.25">
      <c r="A30" s="44" t="s">
        <v>40</v>
      </c>
      <c r="B30" s="42" t="s">
        <v>1071</v>
      </c>
      <c r="C30" s="5">
        <v>5</v>
      </c>
      <c r="D30" s="5">
        <v>5</v>
      </c>
      <c r="E30" s="5">
        <v>5</v>
      </c>
      <c r="F30" s="5">
        <v>5</v>
      </c>
      <c r="G30" s="5">
        <v>5</v>
      </c>
      <c r="H30" s="5">
        <v>5</v>
      </c>
      <c r="I30" s="5">
        <v>5</v>
      </c>
      <c r="J30" s="5">
        <v>5</v>
      </c>
      <c r="K30" s="5">
        <v>5</v>
      </c>
      <c r="L30" s="5">
        <v>5</v>
      </c>
      <c r="M30" s="5">
        <v>5</v>
      </c>
      <c r="N30" s="5">
        <v>5</v>
      </c>
      <c r="O30" s="5">
        <v>5</v>
      </c>
      <c r="P30" s="5">
        <v>5</v>
      </c>
      <c r="Q30" s="5">
        <v>5</v>
      </c>
      <c r="R30" s="5">
        <v>5</v>
      </c>
      <c r="S30" s="5">
        <v>5</v>
      </c>
      <c r="T30" s="5">
        <v>5</v>
      </c>
      <c r="U30" s="5">
        <v>5</v>
      </c>
      <c r="V30" s="5">
        <v>5</v>
      </c>
      <c r="W30" s="5">
        <v>5</v>
      </c>
      <c r="X30" s="5">
        <v>5</v>
      </c>
      <c r="Y30" s="5">
        <v>5</v>
      </c>
      <c r="Z30" s="5">
        <v>5</v>
      </c>
      <c r="AA30" s="5">
        <v>5</v>
      </c>
    </row>
  </sheetData>
  <sheetProtection algorithmName="SHA-512" hashValue="QV/1GMPgeaOiXiJO79bIKMPpyWC06+rOEbIry+w80J4mipoq2vW7ObE9Vd9NePpPwCXTMcqA37VsFB4m162NNg==" saltValue="jW0Da9XUdbH/bNRNOqLx2w==" spinCount="100000" sheet="1" objects="1" scenarios="1" formatColumns="0" formatRows="0" autoFilter="0"/>
  <autoFilter ref="A1:AA30" xr:uid="{00000000-0009-0000-0000-000019000000}"/>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BY30"/>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5.42578125" style="1" bestFit="1" customWidth="1"/>
    <col min="4" max="4" width="15.5703125" style="1" bestFit="1" customWidth="1"/>
    <col min="5" max="5" width="14.28515625" style="1" bestFit="1" customWidth="1"/>
    <col min="6" max="6" width="15" style="1" bestFit="1" customWidth="1"/>
    <col min="7" max="7" width="14.42578125" style="1" bestFit="1" customWidth="1"/>
    <col min="8" max="8" width="14.7109375" style="1" bestFit="1" customWidth="1"/>
    <col min="9" max="9" width="14.140625" style="1" bestFit="1" customWidth="1"/>
    <col min="10" max="10" width="15.5703125" style="1" bestFit="1" customWidth="1"/>
    <col min="11" max="11" width="14.42578125" style="1" bestFit="1" customWidth="1"/>
    <col min="12" max="12" width="16.140625" style="1" bestFit="1" customWidth="1"/>
    <col min="13" max="13" width="13.28515625" style="1" bestFit="1" customWidth="1"/>
    <col min="14" max="15" width="14.42578125" style="1" bestFit="1" customWidth="1"/>
    <col min="16" max="16" width="15.5703125" style="1" bestFit="1" customWidth="1"/>
    <col min="17" max="17" width="15.7109375" style="1" bestFit="1" customWidth="1"/>
    <col min="18" max="18" width="14.42578125" style="1" bestFit="1" customWidth="1"/>
    <col min="19" max="19" width="13.5703125" style="1" bestFit="1" customWidth="1"/>
    <col min="20" max="20" width="14.7109375" style="1" bestFit="1" customWidth="1"/>
    <col min="21" max="21" width="15" style="1" bestFit="1" customWidth="1"/>
    <col min="22" max="22" width="15.42578125" style="1" bestFit="1" customWidth="1"/>
    <col min="23" max="23" width="14.7109375" style="1" bestFit="1" customWidth="1"/>
    <col min="24" max="24" width="15.42578125" style="1" bestFit="1" customWidth="1"/>
    <col min="25" max="26" width="13.85546875" style="1" bestFit="1" customWidth="1"/>
    <col min="27" max="27" width="15.85546875" style="1" bestFit="1" customWidth="1"/>
    <col min="28" max="28" width="15" style="1" bestFit="1" customWidth="1"/>
    <col min="29" max="29" width="15.28515625" style="1" bestFit="1" customWidth="1"/>
    <col min="30" max="30" width="14" style="1" bestFit="1" customWidth="1"/>
    <col min="31" max="31" width="14.7109375" style="1" bestFit="1" customWidth="1"/>
    <col min="32" max="32" width="14.140625" style="1" bestFit="1" customWidth="1"/>
    <col min="33" max="33" width="14.42578125" style="1" bestFit="1" customWidth="1"/>
    <col min="34" max="34" width="13.85546875" style="1" bestFit="1" customWidth="1"/>
    <col min="35" max="35" width="15.28515625" style="1" bestFit="1" customWidth="1"/>
    <col min="36" max="36" width="14.140625" style="1" bestFit="1" customWidth="1"/>
    <col min="37" max="37" width="15.85546875" style="1" bestFit="1" customWidth="1"/>
    <col min="38" max="38" width="13" style="1" bestFit="1" customWidth="1"/>
    <col min="39" max="40" width="14.140625" style="1" bestFit="1" customWidth="1"/>
    <col min="41" max="41" width="15.28515625" style="1" bestFit="1" customWidth="1"/>
    <col min="42" max="42" width="15.42578125" style="1" bestFit="1" customWidth="1"/>
    <col min="43" max="43" width="14.140625" style="1" bestFit="1" customWidth="1"/>
    <col min="44" max="44" width="13.28515625" style="1" bestFit="1" customWidth="1"/>
    <col min="45" max="45" width="14.42578125" style="1" bestFit="1" customWidth="1"/>
    <col min="46" max="46" width="14.7109375" style="1" bestFit="1" customWidth="1"/>
    <col min="47" max="47" width="15" style="1" bestFit="1" customWidth="1"/>
    <col min="48" max="48" width="14.42578125" style="1" bestFit="1" customWidth="1"/>
    <col min="49" max="49" width="15" style="1" bestFit="1" customWidth="1"/>
    <col min="50" max="51" width="13.42578125" style="1" bestFit="1" customWidth="1"/>
    <col min="52" max="52" width="15.5703125" style="1" bestFit="1" customWidth="1"/>
    <col min="53" max="54" width="15.7109375" style="1" bestFit="1" customWidth="1"/>
    <col min="55" max="55" width="14.7109375" style="1" bestFit="1" customWidth="1"/>
    <col min="56" max="56" width="15.42578125" style="1" bestFit="1" customWidth="1"/>
    <col min="57" max="57" width="14.5703125" style="1" bestFit="1" customWidth="1"/>
    <col min="58" max="58" width="14.85546875" style="1" bestFit="1" customWidth="1"/>
    <col min="59" max="59" width="14.28515625" style="1" bestFit="1" customWidth="1"/>
    <col min="60" max="60" width="15.7109375" style="1" bestFit="1" customWidth="1"/>
    <col min="61" max="61" width="14.5703125" style="1" bestFit="1" customWidth="1"/>
    <col min="62" max="62" width="16.42578125" style="1" bestFit="1" customWidth="1"/>
    <col min="63" max="63" width="13.7109375" style="1" bestFit="1" customWidth="1"/>
    <col min="64" max="65" width="14.5703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5.140625" style="1" bestFit="1" customWidth="1"/>
    <col min="71" max="71" width="15.42578125" style="1" bestFit="1" customWidth="1"/>
    <col min="72" max="72" width="15.85546875" style="1" bestFit="1" customWidth="1"/>
    <col min="73" max="73" width="14.85546875" style="1" bestFit="1" customWidth="1"/>
    <col min="74" max="74" width="15.5703125" style="1" bestFit="1" customWidth="1"/>
    <col min="75" max="75" width="14.140625" style="1" bestFit="1" customWidth="1"/>
    <col min="76" max="76" width="14" style="1" bestFit="1" customWidth="1"/>
    <col min="77" max="77" width="16.140625" style="1" bestFit="1" customWidth="1"/>
  </cols>
  <sheetData>
    <row r="1" spans="1:77" x14ac:dyDescent="0.25">
      <c r="A1" s="78" t="s">
        <v>51</v>
      </c>
      <c r="B1" s="79" t="s">
        <v>348</v>
      </c>
      <c r="C1" s="113" t="s">
        <v>664</v>
      </c>
      <c r="D1" s="113" t="s">
        <v>665</v>
      </c>
      <c r="E1" s="113" t="s">
        <v>666</v>
      </c>
      <c r="F1" s="113" t="s">
        <v>667</v>
      </c>
      <c r="G1" s="113" t="s">
        <v>668</v>
      </c>
      <c r="H1" s="113" t="s">
        <v>669</v>
      </c>
      <c r="I1" s="113" t="s">
        <v>670</v>
      </c>
      <c r="J1" s="113" t="s">
        <v>671</v>
      </c>
      <c r="K1" s="113" t="s">
        <v>672</v>
      </c>
      <c r="L1" s="113" t="s">
        <v>673</v>
      </c>
      <c r="M1" s="113" t="s">
        <v>674</v>
      </c>
      <c r="N1" s="113" t="s">
        <v>675</v>
      </c>
      <c r="O1" s="113" t="s">
        <v>676</v>
      </c>
      <c r="P1" s="113" t="s">
        <v>677</v>
      </c>
      <c r="Q1" s="113" t="s">
        <v>678</v>
      </c>
      <c r="R1" s="113" t="s">
        <v>679</v>
      </c>
      <c r="S1" s="113" t="s">
        <v>680</v>
      </c>
      <c r="T1" s="113" t="s">
        <v>1504</v>
      </c>
      <c r="U1" s="113" t="s">
        <v>681</v>
      </c>
      <c r="V1" s="113" t="s">
        <v>682</v>
      </c>
      <c r="W1" s="113" t="s">
        <v>683</v>
      </c>
      <c r="X1" s="113" t="s">
        <v>684</v>
      </c>
      <c r="Y1" s="113" t="s">
        <v>685</v>
      </c>
      <c r="Z1" s="113" t="s">
        <v>686</v>
      </c>
      <c r="AA1" s="113" t="s">
        <v>734</v>
      </c>
      <c r="AB1" s="113" t="s">
        <v>687</v>
      </c>
      <c r="AC1" s="113" t="s">
        <v>688</v>
      </c>
      <c r="AD1" s="113" t="s">
        <v>689</v>
      </c>
      <c r="AE1" s="113" t="s">
        <v>690</v>
      </c>
      <c r="AF1" s="113" t="s">
        <v>691</v>
      </c>
      <c r="AG1" s="113" t="s">
        <v>692</v>
      </c>
      <c r="AH1" s="113" t="s">
        <v>693</v>
      </c>
      <c r="AI1" s="113" t="s">
        <v>694</v>
      </c>
      <c r="AJ1" s="113" t="s">
        <v>695</v>
      </c>
      <c r="AK1" s="113" t="s">
        <v>696</v>
      </c>
      <c r="AL1" s="113" t="s">
        <v>697</v>
      </c>
      <c r="AM1" s="113" t="s">
        <v>698</v>
      </c>
      <c r="AN1" s="113" t="s">
        <v>699</v>
      </c>
      <c r="AO1" s="113" t="s">
        <v>700</v>
      </c>
      <c r="AP1" s="113" t="s">
        <v>701</v>
      </c>
      <c r="AQ1" s="113" t="s">
        <v>702</v>
      </c>
      <c r="AR1" s="113" t="s">
        <v>703</v>
      </c>
      <c r="AS1" s="113" t="s">
        <v>1506</v>
      </c>
      <c r="AT1" s="113" t="s">
        <v>704</v>
      </c>
      <c r="AU1" s="113" t="s">
        <v>705</v>
      </c>
      <c r="AV1" s="113" t="s">
        <v>706</v>
      </c>
      <c r="AW1" s="113" t="s">
        <v>707</v>
      </c>
      <c r="AX1" s="113" t="s">
        <v>708</v>
      </c>
      <c r="AY1" s="113" t="s">
        <v>709</v>
      </c>
      <c r="AZ1" s="113" t="s">
        <v>735</v>
      </c>
      <c r="BA1" s="113" t="s">
        <v>710</v>
      </c>
      <c r="BB1" s="113" t="s">
        <v>711</v>
      </c>
      <c r="BC1" s="113" t="s">
        <v>712</v>
      </c>
      <c r="BD1" s="113" t="s">
        <v>713</v>
      </c>
      <c r="BE1" s="113" t="s">
        <v>714</v>
      </c>
      <c r="BF1" s="113" t="s">
        <v>715</v>
      </c>
      <c r="BG1" s="113" t="s">
        <v>716</v>
      </c>
      <c r="BH1" s="113" t="s">
        <v>717</v>
      </c>
      <c r="BI1" s="113" t="s">
        <v>718</v>
      </c>
      <c r="BJ1" s="113" t="s">
        <v>719</v>
      </c>
      <c r="BK1" s="113" t="s">
        <v>720</v>
      </c>
      <c r="BL1" s="113" t="s">
        <v>721</v>
      </c>
      <c r="BM1" s="113" t="s">
        <v>722</v>
      </c>
      <c r="BN1" s="113" t="s">
        <v>723</v>
      </c>
      <c r="BO1" s="113" t="s">
        <v>724</v>
      </c>
      <c r="BP1" s="113" t="s">
        <v>725</v>
      </c>
      <c r="BQ1" s="113" t="s">
        <v>726</v>
      </c>
      <c r="BR1" s="113" t="s">
        <v>1507</v>
      </c>
      <c r="BS1" s="113" t="s">
        <v>727</v>
      </c>
      <c r="BT1" s="113" t="s">
        <v>728</v>
      </c>
      <c r="BU1" s="113" t="s">
        <v>729</v>
      </c>
      <c r="BV1" s="113" t="s">
        <v>730</v>
      </c>
      <c r="BW1" s="113" t="s">
        <v>731</v>
      </c>
      <c r="BX1" s="113" t="s">
        <v>732</v>
      </c>
      <c r="BY1" s="113" t="s">
        <v>736</v>
      </c>
    </row>
    <row r="2" spans="1:77" x14ac:dyDescent="0.25">
      <c r="A2" s="44" t="s">
        <v>12</v>
      </c>
      <c r="B2" s="42" t="s">
        <v>1071</v>
      </c>
      <c r="C2" s="115">
        <f>IFERROR(IF(up_Bv!C2=0,".",((s_Ir*s_F*up_Bv!C2*(1-EXP(-up_RadSpec!$AZ2*s_t_b)))/(s_P*up_RadSpec!$AZ2))),".")</f>
        <v>993.50362303732038</v>
      </c>
      <c r="D2" s="115">
        <f>IFERROR(IF(up_Bv!D2=0,".",((s_Ir*s_F*up_Bv!D2*(1-EXP(-up_RadSpec!AZ2*s_t_b)))/(s_P*up_RadSpec!AZ2))),".")</f>
        <v>993.50362303732038</v>
      </c>
      <c r="E2" s="115">
        <f>IFERROR(IF(up_Bv!E2=0,".",((s_Ir*s_F*up_Bv!E2*(1-EXP(-up_RadSpec!AZ2*s_t_b)))/(s_P*up_RadSpec!AZ2))),".")</f>
        <v>993.50362303732038</v>
      </c>
      <c r="F2" s="115">
        <f>IFERROR(IF(up_Bv!F2=0,".",((s_Ir*s_F*up_Bv!F2*(1-EXP(-up_RadSpec!AZ2*s_t_b)))/(s_P*up_RadSpec!AZ2))),".")</f>
        <v>993.50362303732038</v>
      </c>
      <c r="G2" s="115">
        <f>IFERROR(IF(up_Bv!G2=0,".",((s_Ir*s_F*up_Bv!G2*(1-EXP(-up_RadSpec!AZ2*s_t_b)))/(s_P*up_RadSpec!AZ2))),".")</f>
        <v>993.50362303732038</v>
      </c>
      <c r="H2" s="115">
        <f>IFERROR(IF(up_Bv!H2=0,".",((s_Ir*s_F*up_Bv!H2*(1-EXP(-up_RadSpec!AZ2*s_t_b)))/(s_P*up_RadSpec!AZ2))),".")</f>
        <v>993.50362303732038</v>
      </c>
      <c r="I2" s="115">
        <f>IFERROR(IF(up_Bv!I2=0,".",((s_Ir*s_F*up_Bv!I2*(1-EXP(-up_RadSpec!AZ2*s_t_b)))/(s_P*up_RadSpec!AZ2))),".")</f>
        <v>993.50362303732038</v>
      </c>
      <c r="J2" s="115">
        <f>IFERROR(IF(up_Bv!J2=0,".",((s_Ir*s_F*up_Bv!J2*(1-EXP(-up_RadSpec!AZ2*s_t_b)))/(s_P*up_RadSpec!AZ2))),".")</f>
        <v>993.50362303732038</v>
      </c>
      <c r="K2" s="115">
        <f>IFERROR(IF(up_Bv!K2=0,".",((s_Ir*s_F*up_Bv!K2*(1-EXP(-up_RadSpec!AZ2*s_t_b)))/(s_P*up_RadSpec!AZ2))),".")</f>
        <v>993.50362303732038</v>
      </c>
      <c r="L2" s="115">
        <f>IFERROR(IF(up_Bv!L2=0,".",((s_Ir*s_F*up_Bv!L2*(1-EXP(-up_RadSpec!AZ2*s_t_b)))/(s_P*up_RadSpec!AZ2))),".")</f>
        <v>993.50362303732038</v>
      </c>
      <c r="M2" s="115">
        <f>IFERROR(IF(up_Bv!M2=0,".",((s_Ir*s_F*up_Bv!M2*(1-EXP(-up_RadSpec!AZ2*s_t_b)))/(s_P*up_RadSpec!AZ2))),".")</f>
        <v>993.50362303732038</v>
      </c>
      <c r="N2" s="115">
        <f>IFERROR(IF(up_Bv!N2=0,".",((s_Ir*s_F*up_Bv!N2*(1-EXP(-up_RadSpec!AZ2*s_t_b)))/(s_P*up_RadSpec!AZ2))),".")</f>
        <v>993.50362303732038</v>
      </c>
      <c r="O2" s="115">
        <f>IFERROR(IF(up_Bv!O2=0,".",((s_Ir*s_F*up_Bv!O2*(1-EXP(-up_RadSpec!AZ2*s_t_b)))/(s_P*up_RadSpec!AZ2))),".")</f>
        <v>993.50362303732038</v>
      </c>
      <c r="P2" s="115">
        <f>IFERROR(IF(up_Bv!P2=0,".",((s_Ir*s_F*up_Bv!P2*(1-EXP(-up_RadSpec!AZ2*s_t_b)))/(s_P*up_RadSpec!AZ2))),".")</f>
        <v>993.50362303732038</v>
      </c>
      <c r="Q2" s="115">
        <f>IFERROR(IF(up_Bv!Q2=0,".",((s_Ir*s_F*up_Bv!Q2*(1-EXP(-up_RadSpec!AZ2*s_t_b)))/(s_P*up_RadSpec!AZ2))),".")</f>
        <v>993.50362303732038</v>
      </c>
      <c r="R2" s="115">
        <f>IFERROR(IF(up_Bv!R2=0,".",((s_Ir*s_F*up_Bv!R2*(1-EXP(-up_RadSpec!AZ2*s_t_b)))/(s_P*up_RadSpec!AZ2))),".")</f>
        <v>993.50362303732038</v>
      </c>
      <c r="S2" s="115">
        <f>IFERROR(IF(up_Bv!S2=0,".",((s_Ir*s_F*up_Bv!S2*(1-EXP(-up_RadSpec!AZ2*s_t_b)))/(s_P*up_RadSpec!AZ2))),".")</f>
        <v>993.50362303732038</v>
      </c>
      <c r="T2" s="115">
        <f>IFERROR(IF(up_Bv!T2=0,".",((s_Ir*s_F*up_Bv!T2*(1-EXP(-up_RadSpec!AZ2*s_t_b)))/(s_P*up_RadSpec!AZ2))),".")</f>
        <v>993.50362303732038</v>
      </c>
      <c r="U2" s="115">
        <f>IFERROR(IF(up_Bv!U2=0,".",((s_Ir*s_F*up_Bv!U2*(1-EXP(-up_RadSpec!AZ2*s_t_b)))/(s_P*up_RadSpec!AZ2))),".")</f>
        <v>993.50362303732038</v>
      </c>
      <c r="V2" s="115">
        <f>IFERROR(IF(up_Bv!V2=0,".",((s_Ir*s_F*up_Bv!V2*(1-EXP(-up_RadSpec!AZ2*s_t_b)))/(s_P*up_RadSpec!AZ2))),".")</f>
        <v>993.50362303732038</v>
      </c>
      <c r="W2" s="115">
        <f>IFERROR(IF(up_Bv!W2=0,".",((s_Ir*s_F*up_Bv!W2*(1-EXP(-up_RadSpec!AZ2*s_t_b)))/(s_P*up_RadSpec!AZ2))),".")</f>
        <v>993.50362303732038</v>
      </c>
      <c r="X2" s="115">
        <f>IFERROR(IF(up_Bv!X2=0,".",((s_Ir*s_F*up_Bv!X2*(1-EXP(-up_RadSpec!AZ2*s_t_b)))/(s_P*up_RadSpec!AZ2))),".")</f>
        <v>993.50362303732038</v>
      </c>
      <c r="Y2" s="115">
        <f>IFERROR(IF(up_Bv!Y2=0,".",((s_Ir*s_F*up_Bv!Y2*(1-EXP(-up_RadSpec!AZ2*s_t_b)))/(s_P*up_RadSpec!AZ2))),".")</f>
        <v>993.50362303732038</v>
      </c>
      <c r="Z2" s="115">
        <f>IFERROR(IF(up_Bv!Z2=0,".",((s_Ir*s_F*up_Bv!Z2*(1-EXP(-up_RadSpec!AZ2*s_t_b)))/(s_P*up_RadSpec!AZ2))),".")</f>
        <v>993.50362303732038</v>
      </c>
      <c r="AA2" s="115">
        <f>IFERROR(IF(up_Bv!AA2=0,".",((s_Ir*s_F*up_Bv!AA2*(1-EXP(-up_RadSpec!AZ2*s_t_b)))/(s_P*up_RadSpec!AZ2))),".")</f>
        <v>993.50362303732038</v>
      </c>
      <c r="AB2" s="115">
        <f>IFERROR(IF(up_Bv!C2=0,".",((s_Ir*s_F*s_MLF_apple*(1-EXP(-up_RadSpec!AZ2*s_t_b)))/(s_P*up_RadSpec!AZ2))),".")</f>
        <v>2.6824597822007652</v>
      </c>
      <c r="AC2" s="115">
        <f>IFERROR(IF(up_Bv!D2=0,".",((s_Ir*s_F*s_MLF_asparagus*(1-EXP(-up_RadSpec!AZ2*s_t_b)))/(s_P*up_RadSpec!AZ2))),".")</f>
        <v>2.6824597822007652</v>
      </c>
      <c r="AD2" s="115">
        <f>IFERROR(IF(up_Bv!E2=0,".",((s_Ir*s_F*s_MLF_beet*(1-EXP(-up_RadSpec!AZ2*s_t_b)))/(s_P*up_RadSpec!AZ2))),".")</f>
        <v>2.6824597822007652</v>
      </c>
      <c r="AE2" s="115">
        <f>IFERROR(IF(up_Bv!F2=0,".",((s_Ir*s_F*s_MLF_berries*(1-EXP(-up_RadSpec!AZ2*s_t_b)))/(s_P*up_RadSpec!AZ2))),".")</f>
        <v>2.6824597822007652</v>
      </c>
      <c r="AF2" s="115">
        <f>IFERROR(IF(up_Bv!G2=0,".",((s_Ir*s_F*s_MLF_broccoli*(1-EXP(-up_RadSpec!AZ2*s_t_b)))/(s_P*up_RadSpec!AZ2))),".")</f>
        <v>2.6824597822007652</v>
      </c>
      <c r="AG2" s="115">
        <f>IFERROR(IF(up_Bv!H2=0,".",((s_Ir*s_F*s_MLF_cabbage*(1-EXP(-up_RadSpec!AZ2*s_t_b)))/(s_P*up_RadSpec!AZ2))),".")</f>
        <v>2.6824597822007652</v>
      </c>
      <c r="AH2" s="115">
        <f>IFERROR(IF(up_Bv!I2=0,".",((s_Ir*s_F*s_MLF_carrot*(1-EXP(-up_RadSpec!AZ2*s_t_b)))/(s_P*up_RadSpec!AZ2))),".")</f>
        <v>2.6824597822007652</v>
      </c>
      <c r="AI2" s="115">
        <f>IFERROR(IF(up_Bv!J2=0,".",((s_Ir*s_F*s_MLF_citrus*(1-EXP(-up_RadSpec!AZ2*s_t_b)))/(s_P*up_RadSpec!AZ2))),".")</f>
        <v>2.6824597822007652</v>
      </c>
      <c r="AJ2" s="115">
        <f>IFERROR(IF(up_Bv!K2=0,".",((s_Ir*s_F*s_MLF_corn*(1-EXP(-up_RadSpec!AZ2*s_t_b)))/(s_P*up_RadSpec!AZ2))),".")</f>
        <v>2.6824597822007652</v>
      </c>
      <c r="AK2" s="115">
        <f>IFERROR(IF(up_Bv!L2=0,".",((s_Ir*s_F*s_MLF_cucumber*(1-EXP(-up_RadSpec!AZ2*s_t_b)))/(s_P*up_RadSpec!AZ2))),".")</f>
        <v>2.6824597822007652</v>
      </c>
      <c r="AL2" s="115">
        <f>IFERROR(IF(up_Bv!M2=0,".",((s_Ir*s_F*s_MLF_lettuce*(1-EXP(-up_RadSpec!AZ2*s_t_b)))/(s_P*up_RadSpec!AZ2))),".")</f>
        <v>2.6824597822007652</v>
      </c>
      <c r="AM2" s="115">
        <f>IFERROR(IF(up_Bv!N2=0,".",((s_Ir*s_F*s_MLF_lima_bean*(1-EXP(-up_RadSpec!AZ2*s_t_b)))/(s_P*up_RadSpec!AZ2))),".")</f>
        <v>2.6824597822007652</v>
      </c>
      <c r="AN2" s="115">
        <f>IFERROR(IF(up_Bv!O2=0,".",((s_Ir*s_F*s_MLF_okra*(1-EXP(-up_RadSpec!AZ2*s_t_b)))/(s_P*up_RadSpec!AZ2))),".")</f>
        <v>2.6824597822007652</v>
      </c>
      <c r="AO2" s="115">
        <f>IFERROR(IF(up_Bv!P2=0,".",((s_Ir*s_F*s_MLF_onion*(1-EXP(-up_RadSpec!AZ2*s_t_b)))/(s_P*up_RadSpec!AZ2))),".")</f>
        <v>2.6824597822007652</v>
      </c>
      <c r="AP2" s="115">
        <f>IFERROR(IF(up_Bv!Q2=0,".",((s_Ir*s_F*s_MLF_peach*(1-EXP(-up_RadSpec!AZ2*s_t_b)))/(s_P*up_RadSpec!AZ2))),".")</f>
        <v>2.6824597822007652</v>
      </c>
      <c r="AQ2" s="115">
        <f>IFERROR(IF(up_Bv!R2=0,".",((s_Ir*s_F*s_MLF_pear*(1-EXP(-up_RadSpec!AZ2*s_t_b)))/(s_P*up_RadSpec!AZ2))),".")</f>
        <v>2.6824597822007652</v>
      </c>
      <c r="AR2" s="115">
        <f>IFERROR(IF(up_Bv!S2=0,".",((s_Ir*s_F*s_MLF_peas*(1-EXP(-up_RadSpec!AZ2*s_t_b)))/(s_P*up_RadSpec!AZ2))),".")</f>
        <v>2.6824597822007652</v>
      </c>
      <c r="AS2" s="115">
        <f>IFERROR(IF(up_Bv!T2=0,".",((s_Ir*s_F*s_MLF_peppers*(1-EXP(-up_RadSpec!AZ2*s_t_b)))/(s_P*up_RadSpec!AZ2))),".")</f>
        <v>2.6824597822007652</v>
      </c>
      <c r="AT2" s="115">
        <f>IFERROR(IF(up_Bv!U2=0,".",((s_Ir*s_F*s_MLF_potato*(1-EXP(-up_RadSpec!AZ2*s_t_b)))/(s_P*up_RadSpec!AZ2))),".")</f>
        <v>2.6824597822007652</v>
      </c>
      <c r="AU2" s="115">
        <f>IFERROR(IF(up_Bv!V2=0,".",((s_Ir*s_F*s_MLF_pumpkin*(1-EXP(-up_RadSpec!AZ2*s_t_b)))/(s_P*up_RadSpec!AZ2))),".")</f>
        <v>2.6824597822007652</v>
      </c>
      <c r="AV2" s="115">
        <f>IFERROR(IF(up_Bv!W2=0,".",((s_Ir*s_F*s_MLF_snap_bean*(1-EXP(-up_RadSpec!AZ2*s_t_b)))/(s_P*up_RadSpec!AZ2))),".")</f>
        <v>2.6824597822007652</v>
      </c>
      <c r="AW2" s="115">
        <f>IFERROR(IF(up_Bv!X2=0,".",((s_Ir*s_F*s_MLF_strawberry*(1-EXP(-up_RadSpec!AZ2*s_t_b)))/(s_P*up_RadSpec!AZ2))),".")</f>
        <v>2.6824597822007652</v>
      </c>
      <c r="AX2" s="115">
        <f>IFERROR(IF(up_Bv!Y2=0,".",((s_Ir*s_F*s_MLF_tomato*(1-EXP(-up_RadSpec!AZ2*s_t_b)))/(s_P*up_RadSpec!AZ2))),".")</f>
        <v>2.6824597822007652</v>
      </c>
      <c r="AY2" s="115">
        <f>IFERROR(IF(up_Bv!Z2=0,".",((s_Ir*s_F*s_MLF_rice*(1-EXP(-up_RadSpec!AZ2*s_t_b)))/(s_P*up_RadSpec!AZ2))),".")</f>
        <v>2.6824597822007652</v>
      </c>
      <c r="AZ2" s="115">
        <f>IFERROR(IF(up_Bv!AA2=0,".",((s_Ir*s_F*s_MLF_cereal*(1-EXP(-up_RadSpec!AZ2*s_t_b)))/(s_P*up_RadSpec!AZ2))),".")</f>
        <v>2.6824597822007652</v>
      </c>
      <c r="BA2" s="115">
        <f>IFERROR(IF(up_Bv!C2=0,".",((s_Ir*s_F*s_I_f*s_T*(1-EXP(-up_RadSpec!BA2*s_t_v)))/(s_Y_v*up_RadSpec!BA2))),".")</f>
        <v>9.0143481925428208</v>
      </c>
      <c r="BB2" s="115">
        <f>IFERROR(IF(up_Bv!D2=0,".",((s_Ir*s_F*s_I_f*s_T*(1-EXP(-up_RadSpec!BA2*s_t_v)))/(s_Y_v*up_RadSpec!BA2))),".")</f>
        <v>9.0143481925428208</v>
      </c>
      <c r="BC2" s="115">
        <f>IFERROR(IF(up_Bv!E2=0,".",((s_Ir*s_F*s_I_f*s_T*(1-EXP(-up_RadSpec!BA2*s_t_v)))/(s_Y_v*up_RadSpec!BA2))),".")</f>
        <v>9.0143481925428208</v>
      </c>
      <c r="BD2" s="115">
        <f>IFERROR(IF(up_Bv!F2=0,".",((s_Ir*s_F*s_I_f*s_T*(1-EXP(-up_RadSpec!BA2*s_t_v)))/(s_Y_v*up_RadSpec!BA2))),".")</f>
        <v>9.0143481925428208</v>
      </c>
      <c r="BE2" s="115">
        <f>IFERROR(IF(up_Bv!G2=0,".",((s_Ir*s_F*s_I_f*s_T*(1-EXP(-up_RadSpec!BA2*s_t_v)))/(s_Y_v*up_RadSpec!BA2))),".")</f>
        <v>9.0143481925428208</v>
      </c>
      <c r="BF2" s="115">
        <f>IFERROR(IF(up_Bv!H2=0,".",((s_Ir*s_F*s_I_f*s_T*(1-EXP(-up_RadSpec!BA2*s_t_v)))/(s_Y_v*up_RadSpec!BA2))),".")</f>
        <v>9.0143481925428208</v>
      </c>
      <c r="BG2" s="115">
        <f>IFERROR(IF(up_Bv!I2=0,".",((s_Ir*s_F*s_I_f*s_T*(1-EXP(-up_RadSpec!BA2*s_t_v)))/(s_Y_v*up_RadSpec!BA2))),".")</f>
        <v>9.0143481925428208</v>
      </c>
      <c r="BH2" s="115">
        <f>IFERROR(IF(up_Bv!J2=0,".",((s_Ir*s_F*s_I_f*s_T*(1-EXP(-up_RadSpec!BA2*s_t_v)))/(s_Y_v*up_RadSpec!BA2))),".")</f>
        <v>9.0143481925428208</v>
      </c>
      <c r="BI2" s="115">
        <f>IFERROR(IF(up_Bv!K2=0,".",((s_Ir*s_F*s_I_f*s_T*(1-EXP(-up_RadSpec!BA2*s_t_v)))/(s_Y_v*up_RadSpec!BA2))),".")</f>
        <v>9.0143481925428208</v>
      </c>
      <c r="BJ2" s="115">
        <f>IFERROR(IF(up_Bv!L2=0,".",((s_Ir*s_F*s_I_f*s_T*(1-EXP(-up_RadSpec!BA2*s_t_v)))/(s_Y_v*up_RadSpec!BA2))),".")</f>
        <v>9.0143481925428208</v>
      </c>
      <c r="BK2" s="115">
        <f>IFERROR(IF(up_Bv!M2=0,".",((s_Ir*s_F*s_I_f*s_T*(1-EXP(-up_RadSpec!BA2*s_t_v)))/(s_Y_v*up_RadSpec!BA2))),".")</f>
        <v>9.0143481925428208</v>
      </c>
      <c r="BL2" s="115">
        <f>IFERROR(IF(up_Bv!N2=0,".",((s_Ir*s_F*s_I_f*s_T*(1-EXP(-up_RadSpec!BA2*s_t_v)))/(s_Y_v*up_RadSpec!BA2))),".")</f>
        <v>9.0143481925428208</v>
      </c>
      <c r="BM2" s="115">
        <f>IFERROR(IF(up_Bv!O2=0,".",((s_Ir*s_F*s_I_f*s_T*(1-EXP(-up_RadSpec!BA2*s_t_v)))/(s_Y_v*up_RadSpec!BA2))),".")</f>
        <v>9.0143481925428208</v>
      </c>
      <c r="BN2" s="115">
        <f>IFERROR(IF(up_Bv!P2=0,".",((s_Ir*s_F*s_I_f*s_T*(1-EXP(-up_RadSpec!BA2*s_t_v)))/(s_Y_v*up_RadSpec!BA2))),".")</f>
        <v>9.0143481925428208</v>
      </c>
      <c r="BO2" s="115">
        <f>IFERROR(IF(up_Bv!Q2=0,".",((s_Ir*s_F*s_I_f*s_T*(1-EXP(-up_RadSpec!BA2*s_t_v)))/(s_Y_v*up_RadSpec!BA2))),".")</f>
        <v>9.0143481925428208</v>
      </c>
      <c r="BP2" s="115">
        <f>IFERROR(IF(up_Bv!R2=0,".",((s_Ir*s_F*s_I_f*s_T*(1-EXP(-up_RadSpec!BA2*s_t_v)))/(s_Y_v*up_RadSpec!BA2))),".")</f>
        <v>9.0143481925428208</v>
      </c>
      <c r="BQ2" s="115">
        <f>IFERROR(IF(up_Bv!S2=0,".",((s_Ir*s_F*s_I_f*s_T*(1-EXP(-up_RadSpec!BA2*s_t_v)))/(s_Y_v*up_RadSpec!BA2))),".")</f>
        <v>9.0143481925428208</v>
      </c>
      <c r="BR2" s="115">
        <f>IFERROR(IF(up_Bv!T2=0,".",((s_Ir*s_F*s_I_f*s_T*(1-EXP(-up_RadSpec!BA2*s_t_v)))/(s_Y_v*up_RadSpec!BA2))),".")</f>
        <v>9.0143481925428208</v>
      </c>
      <c r="BS2" s="115">
        <f>IFERROR(IF(up_Bv!U2=0,".",((s_Ir*s_F*s_I_f*s_T*(1-EXP(-up_RadSpec!BA2*s_t_v)))/(s_Y_v*up_RadSpec!BA2))),".")</f>
        <v>9.0143481925428208</v>
      </c>
      <c r="BT2" s="115">
        <f>IFERROR(IF(up_Bv!V2=0,".",((s_Ir*s_F*s_I_f*s_T*(1-EXP(-up_RadSpec!BA2*s_t_v)))/(s_Y_v*up_RadSpec!BA2))),".")</f>
        <v>9.0143481925428208</v>
      </c>
      <c r="BU2" s="115">
        <f>IFERROR(IF(up_Bv!W2=0,".",((s_Ir*s_F*s_I_f*s_T*(1-EXP(-up_RadSpec!BA2*s_t_v)))/(s_Y_v*up_RadSpec!BA2))),".")</f>
        <v>9.0143481925428208</v>
      </c>
      <c r="BV2" s="115">
        <f>IFERROR(IF(up_Bv!X2=0,".",((s_Ir*s_F*s_I_f*s_T*(1-EXP(-up_RadSpec!BA2*s_t_v)))/(s_Y_v*up_RadSpec!BA2))),".")</f>
        <v>9.0143481925428208</v>
      </c>
      <c r="BW2" s="115">
        <f>IFERROR(IF(up_Bv!Y2=0,".",((s_Ir*s_F*s_I_f*s_T*(1-EXP(-up_RadSpec!BA2*s_t_v)))/(s_Y_v*up_RadSpec!BA2))),".")</f>
        <v>9.0143481925428208</v>
      </c>
      <c r="BX2" s="115">
        <f>IFERROR(IF(up_Bv!Z2=0,".",((s_Ir*s_F*s_I_f*s_T*(1-EXP(-up_RadSpec!BA2*s_t_v)))/(s_Y_v*up_RadSpec!BA2))),".")</f>
        <v>9.0143481925428208</v>
      </c>
      <c r="BY2" s="115">
        <f>IFERROR(IF(up_Bv!AA2=0,".",((s_Ir*s_F*s_I_f*s_T*(1-EXP(-up_RadSpec!BA2*s_t_v)))/(s_Y_v*up_RadSpec!BA2))),".")</f>
        <v>9.0143481925428208</v>
      </c>
    </row>
    <row r="3" spans="1:77" x14ac:dyDescent="0.25">
      <c r="A3" s="46" t="s">
        <v>13</v>
      </c>
      <c r="B3" s="42" t="s">
        <v>349</v>
      </c>
      <c r="C3" s="115">
        <f>IFERROR(IF(up_Bv!C3=0,".",((s_Ir*s_F*up_Bv!C3*(1-EXP(-up_RadSpec!$AZ3*s_t_b)))/(s_P*up_RadSpec!$AZ3))),".")</f>
        <v>993.50362303732038</v>
      </c>
      <c r="D3" s="115">
        <f>IFERROR(IF(up_Bv!D3=0,".",((s_Ir*s_F*up_Bv!D3*(1-EXP(-up_RadSpec!AZ3*s_t_b)))/(s_P*up_RadSpec!AZ3))),".")</f>
        <v>993.50362303732038</v>
      </c>
      <c r="E3" s="115">
        <f>IFERROR(IF(up_Bv!E3=0,".",((s_Ir*s_F*up_Bv!E3*(1-EXP(-up_RadSpec!AZ3*s_t_b)))/(s_P*up_RadSpec!AZ3))),".")</f>
        <v>993.50362303732038</v>
      </c>
      <c r="F3" s="115">
        <f>IFERROR(IF(up_Bv!F3=0,".",((s_Ir*s_F*up_Bv!F3*(1-EXP(-up_RadSpec!AZ3*s_t_b)))/(s_P*up_RadSpec!AZ3))),".")</f>
        <v>993.50362303732038</v>
      </c>
      <c r="G3" s="115">
        <f>IFERROR(IF(up_Bv!G3=0,".",((s_Ir*s_F*up_Bv!G3*(1-EXP(-up_RadSpec!AZ3*s_t_b)))/(s_P*up_RadSpec!AZ3))),".")</f>
        <v>993.50362303732038</v>
      </c>
      <c r="H3" s="115">
        <f>IFERROR(IF(up_Bv!H3=0,".",((s_Ir*s_F*up_Bv!H3*(1-EXP(-up_RadSpec!AZ3*s_t_b)))/(s_P*up_RadSpec!AZ3))),".")</f>
        <v>993.50362303732038</v>
      </c>
      <c r="I3" s="115">
        <f>IFERROR(IF(up_Bv!I3=0,".",((s_Ir*s_F*up_Bv!I3*(1-EXP(-up_RadSpec!AZ3*s_t_b)))/(s_P*up_RadSpec!AZ3))),".")</f>
        <v>993.50362303732038</v>
      </c>
      <c r="J3" s="115">
        <f>IFERROR(IF(up_Bv!J3=0,".",((s_Ir*s_F*up_Bv!J3*(1-EXP(-up_RadSpec!AZ3*s_t_b)))/(s_P*up_RadSpec!AZ3))),".")</f>
        <v>993.50362303732038</v>
      </c>
      <c r="K3" s="115">
        <f>IFERROR(IF(up_Bv!K3=0,".",((s_Ir*s_F*up_Bv!K3*(1-EXP(-up_RadSpec!AZ3*s_t_b)))/(s_P*up_RadSpec!AZ3))),".")</f>
        <v>993.50362303732038</v>
      </c>
      <c r="L3" s="115">
        <f>IFERROR(IF(up_Bv!L3=0,".",((s_Ir*s_F*up_Bv!L3*(1-EXP(-up_RadSpec!AZ3*s_t_b)))/(s_P*up_RadSpec!AZ3))),".")</f>
        <v>993.50362303732038</v>
      </c>
      <c r="M3" s="115">
        <f>IFERROR(IF(up_Bv!M3=0,".",((s_Ir*s_F*up_Bv!M3*(1-EXP(-up_RadSpec!AZ3*s_t_b)))/(s_P*up_RadSpec!AZ3))),".")</f>
        <v>993.50362303732038</v>
      </c>
      <c r="N3" s="115">
        <f>IFERROR(IF(up_Bv!N3=0,".",((s_Ir*s_F*up_Bv!N3*(1-EXP(-up_RadSpec!AZ3*s_t_b)))/(s_P*up_RadSpec!AZ3))),".")</f>
        <v>993.50362303732038</v>
      </c>
      <c r="O3" s="115">
        <f>IFERROR(IF(up_Bv!O3=0,".",((s_Ir*s_F*up_Bv!O3*(1-EXP(-up_RadSpec!AZ3*s_t_b)))/(s_P*up_RadSpec!AZ3))),".")</f>
        <v>993.50362303732038</v>
      </c>
      <c r="P3" s="115">
        <f>IFERROR(IF(up_Bv!P3=0,".",((s_Ir*s_F*up_Bv!P3*(1-EXP(-up_RadSpec!AZ3*s_t_b)))/(s_P*up_RadSpec!AZ3))),".")</f>
        <v>993.50362303732038</v>
      </c>
      <c r="Q3" s="115">
        <f>IFERROR(IF(up_Bv!Q3=0,".",((s_Ir*s_F*up_Bv!Q3*(1-EXP(-up_RadSpec!AZ3*s_t_b)))/(s_P*up_RadSpec!AZ3))),".")</f>
        <v>993.50362303732038</v>
      </c>
      <c r="R3" s="115">
        <f>IFERROR(IF(up_Bv!R3=0,".",((s_Ir*s_F*up_Bv!R3*(1-EXP(-up_RadSpec!AZ3*s_t_b)))/(s_P*up_RadSpec!AZ3))),".")</f>
        <v>993.50362303732038</v>
      </c>
      <c r="S3" s="115">
        <f>IFERROR(IF(up_Bv!S3=0,".",((s_Ir*s_F*up_Bv!S3*(1-EXP(-up_RadSpec!AZ3*s_t_b)))/(s_P*up_RadSpec!AZ3))),".")</f>
        <v>993.50362303732038</v>
      </c>
      <c r="T3" s="115">
        <f>IFERROR(IF(up_Bv!T3=0,".",((s_Ir*s_F*up_Bv!T3*(1-EXP(-up_RadSpec!AZ3*s_t_b)))/(s_P*up_RadSpec!AZ3))),".")</f>
        <v>993.50362303732038</v>
      </c>
      <c r="U3" s="115">
        <f>IFERROR(IF(up_Bv!U3=0,".",((s_Ir*s_F*up_Bv!U3*(1-EXP(-up_RadSpec!AZ3*s_t_b)))/(s_P*up_RadSpec!AZ3))),".")</f>
        <v>993.50362303732038</v>
      </c>
      <c r="V3" s="115">
        <f>IFERROR(IF(up_Bv!V3=0,".",((s_Ir*s_F*up_Bv!V3*(1-EXP(-up_RadSpec!AZ3*s_t_b)))/(s_P*up_RadSpec!AZ3))),".")</f>
        <v>993.50362303732038</v>
      </c>
      <c r="W3" s="115">
        <f>IFERROR(IF(up_Bv!W3=0,".",((s_Ir*s_F*up_Bv!W3*(1-EXP(-up_RadSpec!AZ3*s_t_b)))/(s_P*up_RadSpec!AZ3))),".")</f>
        <v>993.50362303732038</v>
      </c>
      <c r="X3" s="115">
        <f>IFERROR(IF(up_Bv!X3=0,".",((s_Ir*s_F*up_Bv!X3*(1-EXP(-up_RadSpec!AZ3*s_t_b)))/(s_P*up_RadSpec!AZ3))),".")</f>
        <v>993.50362303732038</v>
      </c>
      <c r="Y3" s="115">
        <f>IFERROR(IF(up_Bv!Y3=0,".",((s_Ir*s_F*up_Bv!Y3*(1-EXP(-up_RadSpec!AZ3*s_t_b)))/(s_P*up_RadSpec!AZ3))),".")</f>
        <v>993.50362303732038</v>
      </c>
      <c r="Z3" s="115">
        <f>IFERROR(IF(up_Bv!Z3=0,".",((s_Ir*s_F*up_Bv!Z3*(1-EXP(-up_RadSpec!AZ3*s_t_b)))/(s_P*up_RadSpec!AZ3))),".")</f>
        <v>993.50362303732038</v>
      </c>
      <c r="AA3" s="115">
        <f>IFERROR(IF(up_Bv!AA3=0,".",((s_Ir*s_F*up_Bv!AA3*(1-EXP(-up_RadSpec!AZ3*s_t_b)))/(s_P*up_RadSpec!AZ3))),".")</f>
        <v>993.50362303732038</v>
      </c>
      <c r="AB3" s="115">
        <f>IFERROR(IF(up_Bv!C3=0,".",((s_Ir*s_F*s_MLF_apple*(1-EXP(-up_RadSpec!AZ3*s_t_b)))/(s_P*up_RadSpec!AZ3))),".")</f>
        <v>2.6824597822007652</v>
      </c>
      <c r="AC3" s="115">
        <f>IFERROR(IF(up_Bv!D3=0,".",((s_Ir*s_F*s_MLF_asparagus*(1-EXP(-up_RadSpec!AZ3*s_t_b)))/(s_P*up_RadSpec!AZ3))),".")</f>
        <v>2.6824597822007652</v>
      </c>
      <c r="AD3" s="115">
        <f>IFERROR(IF(up_Bv!E3=0,".",((s_Ir*s_F*s_MLF_beet*(1-EXP(-up_RadSpec!AZ3*s_t_b)))/(s_P*up_RadSpec!AZ3))),".")</f>
        <v>2.6824597822007652</v>
      </c>
      <c r="AE3" s="115">
        <f>IFERROR(IF(up_Bv!F3=0,".",((s_Ir*s_F*s_MLF_berries*(1-EXP(-up_RadSpec!AZ3*s_t_b)))/(s_P*up_RadSpec!AZ3))),".")</f>
        <v>2.6824597822007652</v>
      </c>
      <c r="AF3" s="115">
        <f>IFERROR(IF(up_Bv!G3=0,".",((s_Ir*s_F*s_MLF_broccoli*(1-EXP(-up_RadSpec!AZ3*s_t_b)))/(s_P*up_RadSpec!AZ3))),".")</f>
        <v>2.6824597822007652</v>
      </c>
      <c r="AG3" s="115">
        <f>IFERROR(IF(up_Bv!H3=0,".",((s_Ir*s_F*s_MLF_cabbage*(1-EXP(-up_RadSpec!AZ3*s_t_b)))/(s_P*up_RadSpec!AZ3))),".")</f>
        <v>2.6824597822007652</v>
      </c>
      <c r="AH3" s="115">
        <f>IFERROR(IF(up_Bv!I3=0,".",((s_Ir*s_F*s_MLF_carrot*(1-EXP(-up_RadSpec!AZ3*s_t_b)))/(s_P*up_RadSpec!AZ3))),".")</f>
        <v>2.6824597822007652</v>
      </c>
      <c r="AI3" s="115">
        <f>IFERROR(IF(up_Bv!J3=0,".",((s_Ir*s_F*s_MLF_citrus*(1-EXP(-up_RadSpec!AZ3*s_t_b)))/(s_P*up_RadSpec!AZ3))),".")</f>
        <v>2.6824597822007652</v>
      </c>
      <c r="AJ3" s="115">
        <f>IFERROR(IF(up_Bv!K3=0,".",((s_Ir*s_F*s_MLF_corn*(1-EXP(-up_RadSpec!AZ3*s_t_b)))/(s_P*up_RadSpec!AZ3))),".")</f>
        <v>2.6824597822007652</v>
      </c>
      <c r="AK3" s="115">
        <f>IFERROR(IF(up_Bv!L3=0,".",((s_Ir*s_F*s_MLF_cucumber*(1-EXP(-up_RadSpec!AZ3*s_t_b)))/(s_P*up_RadSpec!AZ3))),".")</f>
        <v>2.6824597822007652</v>
      </c>
      <c r="AL3" s="115">
        <f>IFERROR(IF(up_Bv!M3=0,".",((s_Ir*s_F*s_MLF_lettuce*(1-EXP(-up_RadSpec!AZ3*s_t_b)))/(s_P*up_RadSpec!AZ3))),".")</f>
        <v>2.6824597822007652</v>
      </c>
      <c r="AM3" s="115">
        <f>IFERROR(IF(up_Bv!N3=0,".",((s_Ir*s_F*s_MLF_lima_bean*(1-EXP(-up_RadSpec!AZ3*s_t_b)))/(s_P*up_RadSpec!AZ3))),".")</f>
        <v>2.6824597822007652</v>
      </c>
      <c r="AN3" s="115">
        <f>IFERROR(IF(up_Bv!O3=0,".",((s_Ir*s_F*s_MLF_okra*(1-EXP(-up_RadSpec!AZ3*s_t_b)))/(s_P*up_RadSpec!AZ3))),".")</f>
        <v>2.6824597822007652</v>
      </c>
      <c r="AO3" s="115">
        <f>IFERROR(IF(up_Bv!P3=0,".",((s_Ir*s_F*s_MLF_onion*(1-EXP(-up_RadSpec!AZ3*s_t_b)))/(s_P*up_RadSpec!AZ3))),".")</f>
        <v>2.6824597822007652</v>
      </c>
      <c r="AP3" s="115">
        <f>IFERROR(IF(up_Bv!Q3=0,".",((s_Ir*s_F*s_MLF_peach*(1-EXP(-up_RadSpec!AZ3*s_t_b)))/(s_P*up_RadSpec!AZ3))),".")</f>
        <v>2.6824597822007652</v>
      </c>
      <c r="AQ3" s="115">
        <f>IFERROR(IF(up_Bv!R3=0,".",((s_Ir*s_F*s_MLF_pear*(1-EXP(-up_RadSpec!AZ3*s_t_b)))/(s_P*up_RadSpec!AZ3))),".")</f>
        <v>2.6824597822007652</v>
      </c>
      <c r="AR3" s="115">
        <f>IFERROR(IF(up_Bv!S3=0,".",((s_Ir*s_F*s_MLF_peas*(1-EXP(-up_RadSpec!AZ3*s_t_b)))/(s_P*up_RadSpec!AZ3))),".")</f>
        <v>2.6824597822007652</v>
      </c>
      <c r="AS3" s="115">
        <f>IFERROR(IF(up_Bv!T3=0,".",((s_Ir*s_F*s_MLF_peppers*(1-EXP(-up_RadSpec!AZ3*s_t_b)))/(s_P*up_RadSpec!AZ3))),".")</f>
        <v>2.6824597822007652</v>
      </c>
      <c r="AT3" s="115">
        <f>IFERROR(IF(up_Bv!U3=0,".",((s_Ir*s_F*s_MLF_potato*(1-EXP(-up_RadSpec!AZ3*s_t_b)))/(s_P*up_RadSpec!AZ3))),".")</f>
        <v>2.6824597822007652</v>
      </c>
      <c r="AU3" s="115">
        <f>IFERROR(IF(up_Bv!V3=0,".",((s_Ir*s_F*s_MLF_pumpkin*(1-EXP(-up_RadSpec!AZ3*s_t_b)))/(s_P*up_RadSpec!AZ3))),".")</f>
        <v>2.6824597822007652</v>
      </c>
      <c r="AV3" s="115">
        <f>IFERROR(IF(up_Bv!W3=0,".",((s_Ir*s_F*s_MLF_snap_bean*(1-EXP(-up_RadSpec!AZ3*s_t_b)))/(s_P*up_RadSpec!AZ3))),".")</f>
        <v>2.6824597822007652</v>
      </c>
      <c r="AW3" s="115">
        <f>IFERROR(IF(up_Bv!X3=0,".",((s_Ir*s_F*s_MLF_strawberry*(1-EXP(-up_RadSpec!AZ3*s_t_b)))/(s_P*up_RadSpec!AZ3))),".")</f>
        <v>2.6824597822007652</v>
      </c>
      <c r="AX3" s="115">
        <f>IFERROR(IF(up_Bv!Y3=0,".",((s_Ir*s_F*s_MLF_tomato*(1-EXP(-up_RadSpec!AZ3*s_t_b)))/(s_P*up_RadSpec!AZ3))),".")</f>
        <v>2.6824597822007652</v>
      </c>
      <c r="AY3" s="115">
        <f>IFERROR(IF(up_Bv!Z3=0,".",((s_Ir*s_F*s_MLF_rice*(1-EXP(-up_RadSpec!AZ3*s_t_b)))/(s_P*up_RadSpec!AZ3))),".")</f>
        <v>2.6824597822007652</v>
      </c>
      <c r="AZ3" s="115">
        <f>IFERROR(IF(up_Bv!AA3=0,".",((s_Ir*s_F*s_MLF_cereal*(1-EXP(-up_RadSpec!AZ3*s_t_b)))/(s_P*up_RadSpec!AZ3))),".")</f>
        <v>2.6824597822007652</v>
      </c>
      <c r="BA3" s="115">
        <f>IFERROR(IF(up_Bv!C3=0,".",((s_Ir*s_F*s_I_f*s_T*(1-EXP(-up_RadSpec!BA3*s_t_v)))/(s_Y_v*up_RadSpec!BA3))),".")</f>
        <v>9.0143481925428208</v>
      </c>
      <c r="BB3" s="115">
        <f>IFERROR(IF(up_Bv!D3=0,".",((s_Ir*s_F*s_I_f*s_T*(1-EXP(-up_RadSpec!BA3*s_t_v)))/(s_Y_v*up_RadSpec!BA3))),".")</f>
        <v>9.0143481925428208</v>
      </c>
      <c r="BC3" s="115">
        <f>IFERROR(IF(up_Bv!E3=0,".",((s_Ir*s_F*s_I_f*s_T*(1-EXP(-up_RadSpec!BA3*s_t_v)))/(s_Y_v*up_RadSpec!BA3))),".")</f>
        <v>9.0143481925428208</v>
      </c>
      <c r="BD3" s="115">
        <f>IFERROR(IF(up_Bv!F3=0,".",((s_Ir*s_F*s_I_f*s_T*(1-EXP(-up_RadSpec!BA3*s_t_v)))/(s_Y_v*up_RadSpec!BA3))),".")</f>
        <v>9.0143481925428208</v>
      </c>
      <c r="BE3" s="115">
        <f>IFERROR(IF(up_Bv!G3=0,".",((s_Ir*s_F*s_I_f*s_T*(1-EXP(-up_RadSpec!BA3*s_t_v)))/(s_Y_v*up_RadSpec!BA3))),".")</f>
        <v>9.0143481925428208</v>
      </c>
      <c r="BF3" s="115">
        <f>IFERROR(IF(up_Bv!H3=0,".",((s_Ir*s_F*s_I_f*s_T*(1-EXP(-up_RadSpec!BA3*s_t_v)))/(s_Y_v*up_RadSpec!BA3))),".")</f>
        <v>9.0143481925428208</v>
      </c>
      <c r="BG3" s="115">
        <f>IFERROR(IF(up_Bv!I3=0,".",((s_Ir*s_F*s_I_f*s_T*(1-EXP(-up_RadSpec!BA3*s_t_v)))/(s_Y_v*up_RadSpec!BA3))),".")</f>
        <v>9.0143481925428208</v>
      </c>
      <c r="BH3" s="115">
        <f>IFERROR(IF(up_Bv!J3=0,".",((s_Ir*s_F*s_I_f*s_T*(1-EXP(-up_RadSpec!BA3*s_t_v)))/(s_Y_v*up_RadSpec!BA3))),".")</f>
        <v>9.0143481925428208</v>
      </c>
      <c r="BI3" s="115">
        <f>IFERROR(IF(up_Bv!K3=0,".",((s_Ir*s_F*s_I_f*s_T*(1-EXP(-up_RadSpec!BA3*s_t_v)))/(s_Y_v*up_RadSpec!BA3))),".")</f>
        <v>9.0143481925428208</v>
      </c>
      <c r="BJ3" s="115">
        <f>IFERROR(IF(up_Bv!L3=0,".",((s_Ir*s_F*s_I_f*s_T*(1-EXP(-up_RadSpec!BA3*s_t_v)))/(s_Y_v*up_RadSpec!BA3))),".")</f>
        <v>9.0143481925428208</v>
      </c>
      <c r="BK3" s="115">
        <f>IFERROR(IF(up_Bv!M3=0,".",((s_Ir*s_F*s_I_f*s_T*(1-EXP(-up_RadSpec!BA3*s_t_v)))/(s_Y_v*up_RadSpec!BA3))),".")</f>
        <v>9.0143481925428208</v>
      </c>
      <c r="BL3" s="115">
        <f>IFERROR(IF(up_Bv!N3=0,".",((s_Ir*s_F*s_I_f*s_T*(1-EXP(-up_RadSpec!BA3*s_t_v)))/(s_Y_v*up_RadSpec!BA3))),".")</f>
        <v>9.0143481925428208</v>
      </c>
      <c r="BM3" s="115">
        <f>IFERROR(IF(up_Bv!O3=0,".",((s_Ir*s_F*s_I_f*s_T*(1-EXP(-up_RadSpec!BA3*s_t_v)))/(s_Y_v*up_RadSpec!BA3))),".")</f>
        <v>9.0143481925428208</v>
      </c>
      <c r="BN3" s="115">
        <f>IFERROR(IF(up_Bv!P3=0,".",((s_Ir*s_F*s_I_f*s_T*(1-EXP(-up_RadSpec!BA3*s_t_v)))/(s_Y_v*up_RadSpec!BA3))),".")</f>
        <v>9.0143481925428208</v>
      </c>
      <c r="BO3" s="115">
        <f>IFERROR(IF(up_Bv!Q3=0,".",((s_Ir*s_F*s_I_f*s_T*(1-EXP(-up_RadSpec!BA3*s_t_v)))/(s_Y_v*up_RadSpec!BA3))),".")</f>
        <v>9.0143481925428208</v>
      </c>
      <c r="BP3" s="115">
        <f>IFERROR(IF(up_Bv!R3=0,".",((s_Ir*s_F*s_I_f*s_T*(1-EXP(-up_RadSpec!BA3*s_t_v)))/(s_Y_v*up_RadSpec!BA3))),".")</f>
        <v>9.0143481925428208</v>
      </c>
      <c r="BQ3" s="115">
        <f>IFERROR(IF(up_Bv!S3=0,".",((s_Ir*s_F*s_I_f*s_T*(1-EXP(-up_RadSpec!BA3*s_t_v)))/(s_Y_v*up_RadSpec!BA3))),".")</f>
        <v>9.0143481925428208</v>
      </c>
      <c r="BR3" s="115">
        <f>IFERROR(IF(up_Bv!T3=0,".",((s_Ir*s_F*s_I_f*s_T*(1-EXP(-up_RadSpec!BA3*s_t_v)))/(s_Y_v*up_RadSpec!BA3))),".")</f>
        <v>9.0143481925428208</v>
      </c>
      <c r="BS3" s="115">
        <f>IFERROR(IF(up_Bv!U3=0,".",((s_Ir*s_F*s_I_f*s_T*(1-EXP(-up_RadSpec!BA3*s_t_v)))/(s_Y_v*up_RadSpec!BA3))),".")</f>
        <v>9.0143481925428208</v>
      </c>
      <c r="BT3" s="115">
        <f>IFERROR(IF(up_Bv!V3=0,".",((s_Ir*s_F*s_I_f*s_T*(1-EXP(-up_RadSpec!BA3*s_t_v)))/(s_Y_v*up_RadSpec!BA3))),".")</f>
        <v>9.0143481925428208</v>
      </c>
      <c r="BU3" s="115">
        <f>IFERROR(IF(up_Bv!W3=0,".",((s_Ir*s_F*s_I_f*s_T*(1-EXP(-up_RadSpec!BA3*s_t_v)))/(s_Y_v*up_RadSpec!BA3))),".")</f>
        <v>9.0143481925428208</v>
      </c>
      <c r="BV3" s="115">
        <f>IFERROR(IF(up_Bv!X3=0,".",((s_Ir*s_F*s_I_f*s_T*(1-EXP(-up_RadSpec!BA3*s_t_v)))/(s_Y_v*up_RadSpec!BA3))),".")</f>
        <v>9.0143481925428208</v>
      </c>
      <c r="BW3" s="115">
        <f>IFERROR(IF(up_Bv!Y3=0,".",((s_Ir*s_F*s_I_f*s_T*(1-EXP(-up_RadSpec!BA3*s_t_v)))/(s_Y_v*up_RadSpec!BA3))),".")</f>
        <v>9.0143481925428208</v>
      </c>
      <c r="BX3" s="115">
        <f>IFERROR(IF(up_Bv!Z3=0,".",((s_Ir*s_F*s_I_f*s_T*(1-EXP(-up_RadSpec!BA3*s_t_v)))/(s_Y_v*up_RadSpec!BA3))),".")</f>
        <v>9.0143481925428208</v>
      </c>
      <c r="BY3" s="115">
        <f>IFERROR(IF(up_Bv!AA3=0,".",((s_Ir*s_F*s_I_f*s_T*(1-EXP(-up_RadSpec!BA3*s_t_v)))/(s_Y_v*up_RadSpec!BA3))),".")</f>
        <v>9.0143481925428208</v>
      </c>
    </row>
    <row r="4" spans="1:77" x14ac:dyDescent="0.25">
      <c r="A4" s="44" t="s">
        <v>14</v>
      </c>
      <c r="B4" s="42" t="s">
        <v>1071</v>
      </c>
      <c r="C4" s="115">
        <f>IFERROR(IF(up_Bv!C4=0,".",((s_Ir*s_F*up_Bv!C4*(1-EXP(-up_RadSpec!$AZ4*s_t_b)))/(s_P*up_RadSpec!$AZ4))),".")</f>
        <v>993.50362303732038</v>
      </c>
      <c r="D4" s="115">
        <f>IFERROR(IF(up_Bv!D4=0,".",((s_Ir*s_F*up_Bv!D4*(1-EXP(-up_RadSpec!AZ4*s_t_b)))/(s_P*up_RadSpec!AZ4))),".")</f>
        <v>993.50362303732038</v>
      </c>
      <c r="E4" s="115">
        <f>IFERROR(IF(up_Bv!E4=0,".",((s_Ir*s_F*up_Bv!E4*(1-EXP(-up_RadSpec!AZ4*s_t_b)))/(s_P*up_RadSpec!AZ4))),".")</f>
        <v>993.50362303732038</v>
      </c>
      <c r="F4" s="115">
        <f>IFERROR(IF(up_Bv!F4=0,".",((s_Ir*s_F*up_Bv!F4*(1-EXP(-up_RadSpec!AZ4*s_t_b)))/(s_P*up_RadSpec!AZ4))),".")</f>
        <v>993.50362303732038</v>
      </c>
      <c r="G4" s="115">
        <f>IFERROR(IF(up_Bv!G4=0,".",((s_Ir*s_F*up_Bv!G4*(1-EXP(-up_RadSpec!AZ4*s_t_b)))/(s_P*up_RadSpec!AZ4))),".")</f>
        <v>993.50362303732038</v>
      </c>
      <c r="H4" s="115">
        <f>IFERROR(IF(up_Bv!H4=0,".",((s_Ir*s_F*up_Bv!H4*(1-EXP(-up_RadSpec!AZ4*s_t_b)))/(s_P*up_RadSpec!AZ4))),".")</f>
        <v>993.50362303732038</v>
      </c>
      <c r="I4" s="115">
        <f>IFERROR(IF(up_Bv!I4=0,".",((s_Ir*s_F*up_Bv!I4*(1-EXP(-up_RadSpec!AZ4*s_t_b)))/(s_P*up_RadSpec!AZ4))),".")</f>
        <v>993.50362303732038</v>
      </c>
      <c r="J4" s="115">
        <f>IFERROR(IF(up_Bv!J4=0,".",((s_Ir*s_F*up_Bv!J4*(1-EXP(-up_RadSpec!AZ4*s_t_b)))/(s_P*up_RadSpec!AZ4))),".")</f>
        <v>993.50362303732038</v>
      </c>
      <c r="K4" s="115">
        <f>IFERROR(IF(up_Bv!K4=0,".",((s_Ir*s_F*up_Bv!K4*(1-EXP(-up_RadSpec!AZ4*s_t_b)))/(s_P*up_RadSpec!AZ4))),".")</f>
        <v>993.50362303732038</v>
      </c>
      <c r="L4" s="115">
        <f>IFERROR(IF(up_Bv!L4=0,".",((s_Ir*s_F*up_Bv!L4*(1-EXP(-up_RadSpec!AZ4*s_t_b)))/(s_P*up_RadSpec!AZ4))),".")</f>
        <v>993.50362303732038</v>
      </c>
      <c r="M4" s="115">
        <f>IFERROR(IF(up_Bv!M4=0,".",((s_Ir*s_F*up_Bv!M4*(1-EXP(-up_RadSpec!AZ4*s_t_b)))/(s_P*up_RadSpec!AZ4))),".")</f>
        <v>993.50362303732038</v>
      </c>
      <c r="N4" s="115">
        <f>IFERROR(IF(up_Bv!N4=0,".",((s_Ir*s_F*up_Bv!N4*(1-EXP(-up_RadSpec!AZ4*s_t_b)))/(s_P*up_RadSpec!AZ4))),".")</f>
        <v>993.50362303732038</v>
      </c>
      <c r="O4" s="115">
        <f>IFERROR(IF(up_Bv!O4=0,".",((s_Ir*s_F*up_Bv!O4*(1-EXP(-up_RadSpec!AZ4*s_t_b)))/(s_P*up_RadSpec!AZ4))),".")</f>
        <v>993.50362303732038</v>
      </c>
      <c r="P4" s="115">
        <f>IFERROR(IF(up_Bv!P4=0,".",((s_Ir*s_F*up_Bv!P4*(1-EXP(-up_RadSpec!AZ4*s_t_b)))/(s_P*up_RadSpec!AZ4))),".")</f>
        <v>993.50362303732038</v>
      </c>
      <c r="Q4" s="115">
        <f>IFERROR(IF(up_Bv!Q4=0,".",((s_Ir*s_F*up_Bv!Q4*(1-EXP(-up_RadSpec!AZ4*s_t_b)))/(s_P*up_RadSpec!AZ4))),".")</f>
        <v>993.50362303732038</v>
      </c>
      <c r="R4" s="115">
        <f>IFERROR(IF(up_Bv!R4=0,".",((s_Ir*s_F*up_Bv!R4*(1-EXP(-up_RadSpec!AZ4*s_t_b)))/(s_P*up_RadSpec!AZ4))),".")</f>
        <v>993.50362303732038</v>
      </c>
      <c r="S4" s="115">
        <f>IFERROR(IF(up_Bv!S4=0,".",((s_Ir*s_F*up_Bv!S4*(1-EXP(-up_RadSpec!AZ4*s_t_b)))/(s_P*up_RadSpec!AZ4))),".")</f>
        <v>993.50362303732038</v>
      </c>
      <c r="T4" s="115">
        <f>IFERROR(IF(up_Bv!T4=0,".",((s_Ir*s_F*up_Bv!T4*(1-EXP(-up_RadSpec!AZ4*s_t_b)))/(s_P*up_RadSpec!AZ4))),".")</f>
        <v>993.50362303732038</v>
      </c>
      <c r="U4" s="115">
        <f>IFERROR(IF(up_Bv!U4=0,".",((s_Ir*s_F*up_Bv!U4*(1-EXP(-up_RadSpec!AZ4*s_t_b)))/(s_P*up_RadSpec!AZ4))),".")</f>
        <v>993.50362303732038</v>
      </c>
      <c r="V4" s="115">
        <f>IFERROR(IF(up_Bv!V4=0,".",((s_Ir*s_F*up_Bv!V4*(1-EXP(-up_RadSpec!AZ4*s_t_b)))/(s_P*up_RadSpec!AZ4))),".")</f>
        <v>993.50362303732038</v>
      </c>
      <c r="W4" s="115">
        <f>IFERROR(IF(up_Bv!W4=0,".",((s_Ir*s_F*up_Bv!W4*(1-EXP(-up_RadSpec!AZ4*s_t_b)))/(s_P*up_RadSpec!AZ4))),".")</f>
        <v>993.50362303732038</v>
      </c>
      <c r="X4" s="115">
        <f>IFERROR(IF(up_Bv!X4=0,".",((s_Ir*s_F*up_Bv!X4*(1-EXP(-up_RadSpec!AZ4*s_t_b)))/(s_P*up_RadSpec!AZ4))),".")</f>
        <v>993.50362303732038</v>
      </c>
      <c r="Y4" s="115">
        <f>IFERROR(IF(up_Bv!Y4=0,".",((s_Ir*s_F*up_Bv!Y4*(1-EXP(-up_RadSpec!AZ4*s_t_b)))/(s_P*up_RadSpec!AZ4))),".")</f>
        <v>993.50362303732038</v>
      </c>
      <c r="Z4" s="115">
        <f>IFERROR(IF(up_Bv!Z4=0,".",((s_Ir*s_F*up_Bv!Z4*(1-EXP(-up_RadSpec!AZ4*s_t_b)))/(s_P*up_RadSpec!AZ4))),".")</f>
        <v>993.50362303732038</v>
      </c>
      <c r="AA4" s="115">
        <f>IFERROR(IF(up_Bv!AA4=0,".",((s_Ir*s_F*up_Bv!AA4*(1-EXP(-up_RadSpec!AZ4*s_t_b)))/(s_P*up_RadSpec!AZ4))),".")</f>
        <v>993.50362303732038</v>
      </c>
      <c r="AB4" s="115">
        <f>IFERROR(IF(up_Bv!C4=0,".",((s_Ir*s_F*s_MLF_apple*(1-EXP(-up_RadSpec!AZ4*s_t_b)))/(s_P*up_RadSpec!AZ4))),".")</f>
        <v>2.6824597822007652</v>
      </c>
      <c r="AC4" s="115">
        <f>IFERROR(IF(up_Bv!D4=0,".",((s_Ir*s_F*s_MLF_asparagus*(1-EXP(-up_RadSpec!AZ4*s_t_b)))/(s_P*up_RadSpec!AZ4))),".")</f>
        <v>2.6824597822007652</v>
      </c>
      <c r="AD4" s="115">
        <f>IFERROR(IF(up_Bv!E4=0,".",((s_Ir*s_F*s_MLF_beet*(1-EXP(-up_RadSpec!AZ4*s_t_b)))/(s_P*up_RadSpec!AZ4))),".")</f>
        <v>2.6824597822007652</v>
      </c>
      <c r="AE4" s="115">
        <f>IFERROR(IF(up_Bv!F4=0,".",((s_Ir*s_F*s_MLF_berries*(1-EXP(-up_RadSpec!AZ4*s_t_b)))/(s_P*up_RadSpec!AZ4))),".")</f>
        <v>2.6824597822007652</v>
      </c>
      <c r="AF4" s="115">
        <f>IFERROR(IF(up_Bv!G4=0,".",((s_Ir*s_F*s_MLF_broccoli*(1-EXP(-up_RadSpec!AZ4*s_t_b)))/(s_P*up_RadSpec!AZ4))),".")</f>
        <v>2.6824597822007652</v>
      </c>
      <c r="AG4" s="115">
        <f>IFERROR(IF(up_Bv!H4=0,".",((s_Ir*s_F*s_MLF_cabbage*(1-EXP(-up_RadSpec!AZ4*s_t_b)))/(s_P*up_RadSpec!AZ4))),".")</f>
        <v>2.6824597822007652</v>
      </c>
      <c r="AH4" s="115">
        <f>IFERROR(IF(up_Bv!I4=0,".",((s_Ir*s_F*s_MLF_carrot*(1-EXP(-up_RadSpec!AZ4*s_t_b)))/(s_P*up_RadSpec!AZ4))),".")</f>
        <v>2.6824597822007652</v>
      </c>
      <c r="AI4" s="115">
        <f>IFERROR(IF(up_Bv!J4=0,".",((s_Ir*s_F*s_MLF_citrus*(1-EXP(-up_RadSpec!AZ4*s_t_b)))/(s_P*up_RadSpec!AZ4))),".")</f>
        <v>2.6824597822007652</v>
      </c>
      <c r="AJ4" s="115">
        <f>IFERROR(IF(up_Bv!K4=0,".",((s_Ir*s_F*s_MLF_corn*(1-EXP(-up_RadSpec!AZ4*s_t_b)))/(s_P*up_RadSpec!AZ4))),".")</f>
        <v>2.6824597822007652</v>
      </c>
      <c r="AK4" s="115">
        <f>IFERROR(IF(up_Bv!L4=0,".",((s_Ir*s_F*s_MLF_cucumber*(1-EXP(-up_RadSpec!AZ4*s_t_b)))/(s_P*up_RadSpec!AZ4))),".")</f>
        <v>2.6824597822007652</v>
      </c>
      <c r="AL4" s="115">
        <f>IFERROR(IF(up_Bv!M4=0,".",((s_Ir*s_F*s_MLF_lettuce*(1-EXP(-up_RadSpec!AZ4*s_t_b)))/(s_P*up_RadSpec!AZ4))),".")</f>
        <v>2.6824597822007652</v>
      </c>
      <c r="AM4" s="115">
        <f>IFERROR(IF(up_Bv!N4=0,".",((s_Ir*s_F*s_MLF_lima_bean*(1-EXP(-up_RadSpec!AZ4*s_t_b)))/(s_P*up_RadSpec!AZ4))),".")</f>
        <v>2.6824597822007652</v>
      </c>
      <c r="AN4" s="115">
        <f>IFERROR(IF(up_Bv!O4=0,".",((s_Ir*s_F*s_MLF_okra*(1-EXP(-up_RadSpec!AZ4*s_t_b)))/(s_P*up_RadSpec!AZ4))),".")</f>
        <v>2.6824597822007652</v>
      </c>
      <c r="AO4" s="115">
        <f>IFERROR(IF(up_Bv!P4=0,".",((s_Ir*s_F*s_MLF_onion*(1-EXP(-up_RadSpec!AZ4*s_t_b)))/(s_P*up_RadSpec!AZ4))),".")</f>
        <v>2.6824597822007652</v>
      </c>
      <c r="AP4" s="115">
        <f>IFERROR(IF(up_Bv!Q4=0,".",((s_Ir*s_F*s_MLF_peach*(1-EXP(-up_RadSpec!AZ4*s_t_b)))/(s_P*up_RadSpec!AZ4))),".")</f>
        <v>2.6824597822007652</v>
      </c>
      <c r="AQ4" s="115">
        <f>IFERROR(IF(up_Bv!R4=0,".",((s_Ir*s_F*s_MLF_pear*(1-EXP(-up_RadSpec!AZ4*s_t_b)))/(s_P*up_RadSpec!AZ4))),".")</f>
        <v>2.6824597822007652</v>
      </c>
      <c r="AR4" s="115">
        <f>IFERROR(IF(up_Bv!S4=0,".",((s_Ir*s_F*s_MLF_peas*(1-EXP(-up_RadSpec!AZ4*s_t_b)))/(s_P*up_RadSpec!AZ4))),".")</f>
        <v>2.6824597822007652</v>
      </c>
      <c r="AS4" s="115">
        <f>IFERROR(IF(up_Bv!T4=0,".",((s_Ir*s_F*s_MLF_peppers*(1-EXP(-up_RadSpec!AZ4*s_t_b)))/(s_P*up_RadSpec!AZ4))),".")</f>
        <v>2.6824597822007652</v>
      </c>
      <c r="AT4" s="115">
        <f>IFERROR(IF(up_Bv!U4=0,".",((s_Ir*s_F*s_MLF_potato*(1-EXP(-up_RadSpec!AZ4*s_t_b)))/(s_P*up_RadSpec!AZ4))),".")</f>
        <v>2.6824597822007652</v>
      </c>
      <c r="AU4" s="115">
        <f>IFERROR(IF(up_Bv!V4=0,".",((s_Ir*s_F*s_MLF_pumpkin*(1-EXP(-up_RadSpec!AZ4*s_t_b)))/(s_P*up_RadSpec!AZ4))),".")</f>
        <v>2.6824597822007652</v>
      </c>
      <c r="AV4" s="115">
        <f>IFERROR(IF(up_Bv!W4=0,".",((s_Ir*s_F*s_MLF_snap_bean*(1-EXP(-up_RadSpec!AZ4*s_t_b)))/(s_P*up_RadSpec!AZ4))),".")</f>
        <v>2.6824597822007652</v>
      </c>
      <c r="AW4" s="115">
        <f>IFERROR(IF(up_Bv!X4=0,".",((s_Ir*s_F*s_MLF_strawberry*(1-EXP(-up_RadSpec!AZ4*s_t_b)))/(s_P*up_RadSpec!AZ4))),".")</f>
        <v>2.6824597822007652</v>
      </c>
      <c r="AX4" s="115">
        <f>IFERROR(IF(up_Bv!Y4=0,".",((s_Ir*s_F*s_MLF_tomato*(1-EXP(-up_RadSpec!AZ4*s_t_b)))/(s_P*up_RadSpec!AZ4))),".")</f>
        <v>2.6824597822007652</v>
      </c>
      <c r="AY4" s="115">
        <f>IFERROR(IF(up_Bv!Z4=0,".",((s_Ir*s_F*s_MLF_rice*(1-EXP(-up_RadSpec!AZ4*s_t_b)))/(s_P*up_RadSpec!AZ4))),".")</f>
        <v>2.6824597822007652</v>
      </c>
      <c r="AZ4" s="115">
        <f>IFERROR(IF(up_Bv!AA4=0,".",((s_Ir*s_F*s_MLF_cereal*(1-EXP(-up_RadSpec!AZ4*s_t_b)))/(s_P*up_RadSpec!AZ4))),".")</f>
        <v>2.6824597822007652</v>
      </c>
      <c r="BA4" s="115">
        <f>IFERROR(IF(up_Bv!C4=0,".",((s_Ir*s_F*s_I_f*s_T*(1-EXP(-up_RadSpec!BA4*s_t_v)))/(s_Y_v*up_RadSpec!BA4))),".")</f>
        <v>9.0143481925428208</v>
      </c>
      <c r="BB4" s="115">
        <f>IFERROR(IF(up_Bv!D4=0,".",((s_Ir*s_F*s_I_f*s_T*(1-EXP(-up_RadSpec!BA4*s_t_v)))/(s_Y_v*up_RadSpec!BA4))),".")</f>
        <v>9.0143481925428208</v>
      </c>
      <c r="BC4" s="115">
        <f>IFERROR(IF(up_Bv!E4=0,".",((s_Ir*s_F*s_I_f*s_T*(1-EXP(-up_RadSpec!BA4*s_t_v)))/(s_Y_v*up_RadSpec!BA4))),".")</f>
        <v>9.0143481925428208</v>
      </c>
      <c r="BD4" s="115">
        <f>IFERROR(IF(up_Bv!F4=0,".",((s_Ir*s_F*s_I_f*s_T*(1-EXP(-up_RadSpec!BA4*s_t_v)))/(s_Y_v*up_RadSpec!BA4))),".")</f>
        <v>9.0143481925428208</v>
      </c>
      <c r="BE4" s="115">
        <f>IFERROR(IF(up_Bv!G4=0,".",((s_Ir*s_F*s_I_f*s_T*(1-EXP(-up_RadSpec!BA4*s_t_v)))/(s_Y_v*up_RadSpec!BA4))),".")</f>
        <v>9.0143481925428208</v>
      </c>
      <c r="BF4" s="115">
        <f>IFERROR(IF(up_Bv!H4=0,".",((s_Ir*s_F*s_I_f*s_T*(1-EXP(-up_RadSpec!BA4*s_t_v)))/(s_Y_v*up_RadSpec!BA4))),".")</f>
        <v>9.0143481925428208</v>
      </c>
      <c r="BG4" s="115">
        <f>IFERROR(IF(up_Bv!I4=0,".",((s_Ir*s_F*s_I_f*s_T*(1-EXP(-up_RadSpec!BA4*s_t_v)))/(s_Y_v*up_RadSpec!BA4))),".")</f>
        <v>9.0143481925428208</v>
      </c>
      <c r="BH4" s="115">
        <f>IFERROR(IF(up_Bv!J4=0,".",((s_Ir*s_F*s_I_f*s_T*(1-EXP(-up_RadSpec!BA4*s_t_v)))/(s_Y_v*up_RadSpec!BA4))),".")</f>
        <v>9.0143481925428208</v>
      </c>
      <c r="BI4" s="115">
        <f>IFERROR(IF(up_Bv!K4=0,".",((s_Ir*s_F*s_I_f*s_T*(1-EXP(-up_RadSpec!BA4*s_t_v)))/(s_Y_v*up_RadSpec!BA4))),".")</f>
        <v>9.0143481925428208</v>
      </c>
      <c r="BJ4" s="115">
        <f>IFERROR(IF(up_Bv!L4=0,".",((s_Ir*s_F*s_I_f*s_T*(1-EXP(-up_RadSpec!BA4*s_t_v)))/(s_Y_v*up_RadSpec!BA4))),".")</f>
        <v>9.0143481925428208</v>
      </c>
      <c r="BK4" s="115">
        <f>IFERROR(IF(up_Bv!M4=0,".",((s_Ir*s_F*s_I_f*s_T*(1-EXP(-up_RadSpec!BA4*s_t_v)))/(s_Y_v*up_RadSpec!BA4))),".")</f>
        <v>9.0143481925428208</v>
      </c>
      <c r="BL4" s="115">
        <f>IFERROR(IF(up_Bv!N4=0,".",((s_Ir*s_F*s_I_f*s_T*(1-EXP(-up_RadSpec!BA4*s_t_v)))/(s_Y_v*up_RadSpec!BA4))),".")</f>
        <v>9.0143481925428208</v>
      </c>
      <c r="BM4" s="115">
        <f>IFERROR(IF(up_Bv!O4=0,".",((s_Ir*s_F*s_I_f*s_T*(1-EXP(-up_RadSpec!BA4*s_t_v)))/(s_Y_v*up_RadSpec!BA4))),".")</f>
        <v>9.0143481925428208</v>
      </c>
      <c r="BN4" s="115">
        <f>IFERROR(IF(up_Bv!P4=0,".",((s_Ir*s_F*s_I_f*s_T*(1-EXP(-up_RadSpec!BA4*s_t_v)))/(s_Y_v*up_RadSpec!BA4))),".")</f>
        <v>9.0143481925428208</v>
      </c>
      <c r="BO4" s="115">
        <f>IFERROR(IF(up_Bv!Q4=0,".",((s_Ir*s_F*s_I_f*s_T*(1-EXP(-up_RadSpec!BA4*s_t_v)))/(s_Y_v*up_RadSpec!BA4))),".")</f>
        <v>9.0143481925428208</v>
      </c>
      <c r="BP4" s="115">
        <f>IFERROR(IF(up_Bv!R4=0,".",((s_Ir*s_F*s_I_f*s_T*(1-EXP(-up_RadSpec!BA4*s_t_v)))/(s_Y_v*up_RadSpec!BA4))),".")</f>
        <v>9.0143481925428208</v>
      </c>
      <c r="BQ4" s="115">
        <f>IFERROR(IF(up_Bv!S4=0,".",((s_Ir*s_F*s_I_f*s_T*(1-EXP(-up_RadSpec!BA4*s_t_v)))/(s_Y_v*up_RadSpec!BA4))),".")</f>
        <v>9.0143481925428208</v>
      </c>
      <c r="BR4" s="115">
        <f>IFERROR(IF(up_Bv!T4=0,".",((s_Ir*s_F*s_I_f*s_T*(1-EXP(-up_RadSpec!BA4*s_t_v)))/(s_Y_v*up_RadSpec!BA4))),".")</f>
        <v>9.0143481925428208</v>
      </c>
      <c r="BS4" s="115">
        <f>IFERROR(IF(up_Bv!U4=0,".",((s_Ir*s_F*s_I_f*s_T*(1-EXP(-up_RadSpec!BA4*s_t_v)))/(s_Y_v*up_RadSpec!BA4))),".")</f>
        <v>9.0143481925428208</v>
      </c>
      <c r="BT4" s="115">
        <f>IFERROR(IF(up_Bv!V4=0,".",((s_Ir*s_F*s_I_f*s_T*(1-EXP(-up_RadSpec!BA4*s_t_v)))/(s_Y_v*up_RadSpec!BA4))),".")</f>
        <v>9.0143481925428208</v>
      </c>
      <c r="BU4" s="115">
        <f>IFERROR(IF(up_Bv!W4=0,".",((s_Ir*s_F*s_I_f*s_T*(1-EXP(-up_RadSpec!BA4*s_t_v)))/(s_Y_v*up_RadSpec!BA4))),".")</f>
        <v>9.0143481925428208</v>
      </c>
      <c r="BV4" s="115">
        <f>IFERROR(IF(up_Bv!X4=0,".",((s_Ir*s_F*s_I_f*s_T*(1-EXP(-up_RadSpec!BA4*s_t_v)))/(s_Y_v*up_RadSpec!BA4))),".")</f>
        <v>9.0143481925428208</v>
      </c>
      <c r="BW4" s="115">
        <f>IFERROR(IF(up_Bv!Y4=0,".",((s_Ir*s_F*s_I_f*s_T*(1-EXP(-up_RadSpec!BA4*s_t_v)))/(s_Y_v*up_RadSpec!BA4))),".")</f>
        <v>9.0143481925428208</v>
      </c>
      <c r="BX4" s="115">
        <f>IFERROR(IF(up_Bv!Z4=0,".",((s_Ir*s_F*s_I_f*s_T*(1-EXP(-up_RadSpec!BA4*s_t_v)))/(s_Y_v*up_RadSpec!BA4))),".")</f>
        <v>9.0143481925428208</v>
      </c>
      <c r="BY4" s="115">
        <f>IFERROR(IF(up_Bv!AA4=0,".",((s_Ir*s_F*s_I_f*s_T*(1-EXP(-up_RadSpec!BA4*s_t_v)))/(s_Y_v*up_RadSpec!BA4))),".")</f>
        <v>9.0143481925428208</v>
      </c>
    </row>
    <row r="5" spans="1:77" x14ac:dyDescent="0.25">
      <c r="A5" s="44" t="s">
        <v>15</v>
      </c>
      <c r="B5" s="42" t="s">
        <v>1071</v>
      </c>
      <c r="C5" s="115">
        <f>IFERROR(IF(up_Bv!C5=0,".",((s_Ir*s_F*up_Bv!C5*(1-EXP(-up_RadSpec!$AZ5*s_t_b)))/(s_P*up_RadSpec!$AZ5))),".")</f>
        <v>993.50362303732038</v>
      </c>
      <c r="D5" s="115">
        <f>IFERROR(IF(up_Bv!D5=0,".",((s_Ir*s_F*up_Bv!D5*(1-EXP(-up_RadSpec!AZ5*s_t_b)))/(s_P*up_RadSpec!AZ5))),".")</f>
        <v>993.50362303732038</v>
      </c>
      <c r="E5" s="115">
        <f>IFERROR(IF(up_Bv!E5=0,".",((s_Ir*s_F*up_Bv!E5*(1-EXP(-up_RadSpec!AZ5*s_t_b)))/(s_P*up_RadSpec!AZ5))),".")</f>
        <v>993.50362303732038</v>
      </c>
      <c r="F5" s="115">
        <f>IFERROR(IF(up_Bv!F5=0,".",((s_Ir*s_F*up_Bv!F5*(1-EXP(-up_RadSpec!AZ5*s_t_b)))/(s_P*up_RadSpec!AZ5))),".")</f>
        <v>993.50362303732038</v>
      </c>
      <c r="G5" s="115">
        <f>IFERROR(IF(up_Bv!G5=0,".",((s_Ir*s_F*up_Bv!G5*(1-EXP(-up_RadSpec!AZ5*s_t_b)))/(s_P*up_RadSpec!AZ5))),".")</f>
        <v>993.50362303732038</v>
      </c>
      <c r="H5" s="115">
        <f>IFERROR(IF(up_Bv!H5=0,".",((s_Ir*s_F*up_Bv!H5*(1-EXP(-up_RadSpec!AZ5*s_t_b)))/(s_P*up_RadSpec!AZ5))),".")</f>
        <v>993.50362303732038</v>
      </c>
      <c r="I5" s="115">
        <f>IFERROR(IF(up_Bv!I5=0,".",((s_Ir*s_F*up_Bv!I5*(1-EXP(-up_RadSpec!AZ5*s_t_b)))/(s_P*up_RadSpec!AZ5))),".")</f>
        <v>993.50362303732038</v>
      </c>
      <c r="J5" s="115">
        <f>IFERROR(IF(up_Bv!J5=0,".",((s_Ir*s_F*up_Bv!J5*(1-EXP(-up_RadSpec!AZ5*s_t_b)))/(s_P*up_RadSpec!AZ5))),".")</f>
        <v>993.50362303732038</v>
      </c>
      <c r="K5" s="115">
        <f>IFERROR(IF(up_Bv!K5=0,".",((s_Ir*s_F*up_Bv!K5*(1-EXP(-up_RadSpec!AZ5*s_t_b)))/(s_P*up_RadSpec!AZ5))),".")</f>
        <v>993.50362303732038</v>
      </c>
      <c r="L5" s="115">
        <f>IFERROR(IF(up_Bv!L5=0,".",((s_Ir*s_F*up_Bv!L5*(1-EXP(-up_RadSpec!AZ5*s_t_b)))/(s_P*up_RadSpec!AZ5))),".")</f>
        <v>993.50362303732038</v>
      </c>
      <c r="M5" s="115">
        <f>IFERROR(IF(up_Bv!M5=0,".",((s_Ir*s_F*up_Bv!M5*(1-EXP(-up_RadSpec!AZ5*s_t_b)))/(s_P*up_RadSpec!AZ5))),".")</f>
        <v>993.50362303732038</v>
      </c>
      <c r="N5" s="115">
        <f>IFERROR(IF(up_Bv!N5=0,".",((s_Ir*s_F*up_Bv!N5*(1-EXP(-up_RadSpec!AZ5*s_t_b)))/(s_P*up_RadSpec!AZ5))),".")</f>
        <v>993.50362303732038</v>
      </c>
      <c r="O5" s="115">
        <f>IFERROR(IF(up_Bv!O5=0,".",((s_Ir*s_F*up_Bv!O5*(1-EXP(-up_RadSpec!AZ5*s_t_b)))/(s_P*up_RadSpec!AZ5))),".")</f>
        <v>993.50362303732038</v>
      </c>
      <c r="P5" s="115">
        <f>IFERROR(IF(up_Bv!P5=0,".",((s_Ir*s_F*up_Bv!P5*(1-EXP(-up_RadSpec!AZ5*s_t_b)))/(s_P*up_RadSpec!AZ5))),".")</f>
        <v>993.50362303732038</v>
      </c>
      <c r="Q5" s="115">
        <f>IFERROR(IF(up_Bv!Q5=0,".",((s_Ir*s_F*up_Bv!Q5*(1-EXP(-up_RadSpec!AZ5*s_t_b)))/(s_P*up_RadSpec!AZ5))),".")</f>
        <v>993.50362303732038</v>
      </c>
      <c r="R5" s="115">
        <f>IFERROR(IF(up_Bv!R5=0,".",((s_Ir*s_F*up_Bv!R5*(1-EXP(-up_RadSpec!AZ5*s_t_b)))/(s_P*up_RadSpec!AZ5))),".")</f>
        <v>993.50362303732038</v>
      </c>
      <c r="S5" s="115">
        <f>IFERROR(IF(up_Bv!S5=0,".",((s_Ir*s_F*up_Bv!S5*(1-EXP(-up_RadSpec!AZ5*s_t_b)))/(s_P*up_RadSpec!AZ5))),".")</f>
        <v>993.50362303732038</v>
      </c>
      <c r="T5" s="115">
        <f>IFERROR(IF(up_Bv!T5=0,".",((s_Ir*s_F*up_Bv!T5*(1-EXP(-up_RadSpec!AZ5*s_t_b)))/(s_P*up_RadSpec!AZ5))),".")</f>
        <v>993.50362303732038</v>
      </c>
      <c r="U5" s="115">
        <f>IFERROR(IF(up_Bv!U5=0,".",((s_Ir*s_F*up_Bv!U5*(1-EXP(-up_RadSpec!AZ5*s_t_b)))/(s_P*up_RadSpec!AZ5))),".")</f>
        <v>993.50362303732038</v>
      </c>
      <c r="V5" s="115">
        <f>IFERROR(IF(up_Bv!V5=0,".",((s_Ir*s_F*up_Bv!V5*(1-EXP(-up_RadSpec!AZ5*s_t_b)))/(s_P*up_RadSpec!AZ5))),".")</f>
        <v>993.50362303732038</v>
      </c>
      <c r="W5" s="115">
        <f>IFERROR(IF(up_Bv!W5=0,".",((s_Ir*s_F*up_Bv!W5*(1-EXP(-up_RadSpec!AZ5*s_t_b)))/(s_P*up_RadSpec!AZ5))),".")</f>
        <v>993.50362303732038</v>
      </c>
      <c r="X5" s="115">
        <f>IFERROR(IF(up_Bv!X5=0,".",((s_Ir*s_F*up_Bv!X5*(1-EXP(-up_RadSpec!AZ5*s_t_b)))/(s_P*up_RadSpec!AZ5))),".")</f>
        <v>993.50362303732038</v>
      </c>
      <c r="Y5" s="115">
        <f>IFERROR(IF(up_Bv!Y5=0,".",((s_Ir*s_F*up_Bv!Y5*(1-EXP(-up_RadSpec!AZ5*s_t_b)))/(s_P*up_RadSpec!AZ5))),".")</f>
        <v>993.50362303732038</v>
      </c>
      <c r="Z5" s="115">
        <f>IFERROR(IF(up_Bv!Z5=0,".",((s_Ir*s_F*up_Bv!Z5*(1-EXP(-up_RadSpec!AZ5*s_t_b)))/(s_P*up_RadSpec!AZ5))),".")</f>
        <v>993.50362303732038</v>
      </c>
      <c r="AA5" s="115">
        <f>IFERROR(IF(up_Bv!AA5=0,".",((s_Ir*s_F*up_Bv!AA5*(1-EXP(-up_RadSpec!AZ5*s_t_b)))/(s_P*up_RadSpec!AZ5))),".")</f>
        <v>993.50362303732038</v>
      </c>
      <c r="AB5" s="115">
        <f>IFERROR(IF(up_Bv!C5=0,".",((s_Ir*s_F*s_MLF_apple*(1-EXP(-up_RadSpec!AZ5*s_t_b)))/(s_P*up_RadSpec!AZ5))),".")</f>
        <v>2.6824597822007652</v>
      </c>
      <c r="AC5" s="115">
        <f>IFERROR(IF(up_Bv!D5=0,".",((s_Ir*s_F*s_MLF_asparagus*(1-EXP(-up_RadSpec!AZ5*s_t_b)))/(s_P*up_RadSpec!AZ5))),".")</f>
        <v>2.6824597822007652</v>
      </c>
      <c r="AD5" s="115">
        <f>IFERROR(IF(up_Bv!E5=0,".",((s_Ir*s_F*s_MLF_beet*(1-EXP(-up_RadSpec!AZ5*s_t_b)))/(s_P*up_RadSpec!AZ5))),".")</f>
        <v>2.6824597822007652</v>
      </c>
      <c r="AE5" s="115">
        <f>IFERROR(IF(up_Bv!F5=0,".",((s_Ir*s_F*s_MLF_berries*(1-EXP(-up_RadSpec!AZ5*s_t_b)))/(s_P*up_RadSpec!AZ5))),".")</f>
        <v>2.6824597822007652</v>
      </c>
      <c r="AF5" s="115">
        <f>IFERROR(IF(up_Bv!G5=0,".",((s_Ir*s_F*s_MLF_broccoli*(1-EXP(-up_RadSpec!AZ5*s_t_b)))/(s_P*up_RadSpec!AZ5))),".")</f>
        <v>2.6824597822007652</v>
      </c>
      <c r="AG5" s="115">
        <f>IFERROR(IF(up_Bv!H5=0,".",((s_Ir*s_F*s_MLF_cabbage*(1-EXP(-up_RadSpec!AZ5*s_t_b)))/(s_P*up_RadSpec!AZ5))),".")</f>
        <v>2.6824597822007652</v>
      </c>
      <c r="AH5" s="115">
        <f>IFERROR(IF(up_Bv!I5=0,".",((s_Ir*s_F*s_MLF_carrot*(1-EXP(-up_RadSpec!AZ5*s_t_b)))/(s_P*up_RadSpec!AZ5))),".")</f>
        <v>2.6824597822007652</v>
      </c>
      <c r="AI5" s="115">
        <f>IFERROR(IF(up_Bv!J5=0,".",((s_Ir*s_F*s_MLF_citrus*(1-EXP(-up_RadSpec!AZ5*s_t_b)))/(s_P*up_RadSpec!AZ5))),".")</f>
        <v>2.6824597822007652</v>
      </c>
      <c r="AJ5" s="115">
        <f>IFERROR(IF(up_Bv!K5=0,".",((s_Ir*s_F*s_MLF_corn*(1-EXP(-up_RadSpec!AZ5*s_t_b)))/(s_P*up_RadSpec!AZ5))),".")</f>
        <v>2.6824597822007652</v>
      </c>
      <c r="AK5" s="115">
        <f>IFERROR(IF(up_Bv!L5=0,".",((s_Ir*s_F*s_MLF_cucumber*(1-EXP(-up_RadSpec!AZ5*s_t_b)))/(s_P*up_RadSpec!AZ5))),".")</f>
        <v>2.6824597822007652</v>
      </c>
      <c r="AL5" s="115">
        <f>IFERROR(IF(up_Bv!M5=0,".",((s_Ir*s_F*s_MLF_lettuce*(1-EXP(-up_RadSpec!AZ5*s_t_b)))/(s_P*up_RadSpec!AZ5))),".")</f>
        <v>2.6824597822007652</v>
      </c>
      <c r="AM5" s="115">
        <f>IFERROR(IF(up_Bv!N5=0,".",((s_Ir*s_F*s_MLF_lima_bean*(1-EXP(-up_RadSpec!AZ5*s_t_b)))/(s_P*up_RadSpec!AZ5))),".")</f>
        <v>2.6824597822007652</v>
      </c>
      <c r="AN5" s="115">
        <f>IFERROR(IF(up_Bv!O5=0,".",((s_Ir*s_F*s_MLF_okra*(1-EXP(-up_RadSpec!AZ5*s_t_b)))/(s_P*up_RadSpec!AZ5))),".")</f>
        <v>2.6824597822007652</v>
      </c>
      <c r="AO5" s="115">
        <f>IFERROR(IF(up_Bv!P5=0,".",((s_Ir*s_F*s_MLF_onion*(1-EXP(-up_RadSpec!AZ5*s_t_b)))/(s_P*up_RadSpec!AZ5))),".")</f>
        <v>2.6824597822007652</v>
      </c>
      <c r="AP5" s="115">
        <f>IFERROR(IF(up_Bv!Q5=0,".",((s_Ir*s_F*s_MLF_peach*(1-EXP(-up_RadSpec!AZ5*s_t_b)))/(s_P*up_RadSpec!AZ5))),".")</f>
        <v>2.6824597822007652</v>
      </c>
      <c r="AQ5" s="115">
        <f>IFERROR(IF(up_Bv!R5=0,".",((s_Ir*s_F*s_MLF_pear*(1-EXP(-up_RadSpec!AZ5*s_t_b)))/(s_P*up_RadSpec!AZ5))),".")</f>
        <v>2.6824597822007652</v>
      </c>
      <c r="AR5" s="115">
        <f>IFERROR(IF(up_Bv!S5=0,".",((s_Ir*s_F*s_MLF_peas*(1-EXP(-up_RadSpec!AZ5*s_t_b)))/(s_P*up_RadSpec!AZ5))),".")</f>
        <v>2.6824597822007652</v>
      </c>
      <c r="AS5" s="115">
        <f>IFERROR(IF(up_Bv!T5=0,".",((s_Ir*s_F*s_MLF_peppers*(1-EXP(-up_RadSpec!AZ5*s_t_b)))/(s_P*up_RadSpec!AZ5))),".")</f>
        <v>2.6824597822007652</v>
      </c>
      <c r="AT5" s="115">
        <f>IFERROR(IF(up_Bv!U5=0,".",((s_Ir*s_F*s_MLF_potato*(1-EXP(-up_RadSpec!AZ5*s_t_b)))/(s_P*up_RadSpec!AZ5))),".")</f>
        <v>2.6824597822007652</v>
      </c>
      <c r="AU5" s="115">
        <f>IFERROR(IF(up_Bv!V5=0,".",((s_Ir*s_F*s_MLF_pumpkin*(1-EXP(-up_RadSpec!AZ5*s_t_b)))/(s_P*up_RadSpec!AZ5))),".")</f>
        <v>2.6824597822007652</v>
      </c>
      <c r="AV5" s="115">
        <f>IFERROR(IF(up_Bv!W5=0,".",((s_Ir*s_F*s_MLF_snap_bean*(1-EXP(-up_RadSpec!AZ5*s_t_b)))/(s_P*up_RadSpec!AZ5))),".")</f>
        <v>2.6824597822007652</v>
      </c>
      <c r="AW5" s="115">
        <f>IFERROR(IF(up_Bv!X5=0,".",((s_Ir*s_F*s_MLF_strawberry*(1-EXP(-up_RadSpec!AZ5*s_t_b)))/(s_P*up_RadSpec!AZ5))),".")</f>
        <v>2.6824597822007652</v>
      </c>
      <c r="AX5" s="115">
        <f>IFERROR(IF(up_Bv!Y5=0,".",((s_Ir*s_F*s_MLF_tomato*(1-EXP(-up_RadSpec!AZ5*s_t_b)))/(s_P*up_RadSpec!AZ5))),".")</f>
        <v>2.6824597822007652</v>
      </c>
      <c r="AY5" s="115">
        <f>IFERROR(IF(up_Bv!Z5=0,".",((s_Ir*s_F*s_MLF_rice*(1-EXP(-up_RadSpec!AZ5*s_t_b)))/(s_P*up_RadSpec!AZ5))),".")</f>
        <v>2.6824597822007652</v>
      </c>
      <c r="AZ5" s="115">
        <f>IFERROR(IF(up_Bv!AA5=0,".",((s_Ir*s_F*s_MLF_cereal*(1-EXP(-up_RadSpec!AZ5*s_t_b)))/(s_P*up_RadSpec!AZ5))),".")</f>
        <v>2.6824597822007652</v>
      </c>
      <c r="BA5" s="115">
        <f>IFERROR(IF(up_Bv!C5=0,".",((s_Ir*s_F*s_I_f*s_T*(1-EXP(-up_RadSpec!BA5*s_t_v)))/(s_Y_v*up_RadSpec!BA5))),".")</f>
        <v>9.0143481925428208</v>
      </c>
      <c r="BB5" s="115">
        <f>IFERROR(IF(up_Bv!D5=0,".",((s_Ir*s_F*s_I_f*s_T*(1-EXP(-up_RadSpec!BA5*s_t_v)))/(s_Y_v*up_RadSpec!BA5))),".")</f>
        <v>9.0143481925428208</v>
      </c>
      <c r="BC5" s="115">
        <f>IFERROR(IF(up_Bv!E5=0,".",((s_Ir*s_F*s_I_f*s_T*(1-EXP(-up_RadSpec!BA5*s_t_v)))/(s_Y_v*up_RadSpec!BA5))),".")</f>
        <v>9.0143481925428208</v>
      </c>
      <c r="BD5" s="115">
        <f>IFERROR(IF(up_Bv!F5=0,".",((s_Ir*s_F*s_I_f*s_T*(1-EXP(-up_RadSpec!BA5*s_t_v)))/(s_Y_v*up_RadSpec!BA5))),".")</f>
        <v>9.0143481925428208</v>
      </c>
      <c r="BE5" s="115">
        <f>IFERROR(IF(up_Bv!G5=0,".",((s_Ir*s_F*s_I_f*s_T*(1-EXP(-up_RadSpec!BA5*s_t_v)))/(s_Y_v*up_RadSpec!BA5))),".")</f>
        <v>9.0143481925428208</v>
      </c>
      <c r="BF5" s="115">
        <f>IFERROR(IF(up_Bv!H5=0,".",((s_Ir*s_F*s_I_f*s_T*(1-EXP(-up_RadSpec!BA5*s_t_v)))/(s_Y_v*up_RadSpec!BA5))),".")</f>
        <v>9.0143481925428208</v>
      </c>
      <c r="BG5" s="115">
        <f>IFERROR(IF(up_Bv!I5=0,".",((s_Ir*s_F*s_I_f*s_T*(1-EXP(-up_RadSpec!BA5*s_t_v)))/(s_Y_v*up_RadSpec!BA5))),".")</f>
        <v>9.0143481925428208</v>
      </c>
      <c r="BH5" s="115">
        <f>IFERROR(IF(up_Bv!J5=0,".",((s_Ir*s_F*s_I_f*s_T*(1-EXP(-up_RadSpec!BA5*s_t_v)))/(s_Y_v*up_RadSpec!BA5))),".")</f>
        <v>9.0143481925428208</v>
      </c>
      <c r="BI5" s="115">
        <f>IFERROR(IF(up_Bv!K5=0,".",((s_Ir*s_F*s_I_f*s_T*(1-EXP(-up_RadSpec!BA5*s_t_v)))/(s_Y_v*up_RadSpec!BA5))),".")</f>
        <v>9.0143481925428208</v>
      </c>
      <c r="BJ5" s="115">
        <f>IFERROR(IF(up_Bv!L5=0,".",((s_Ir*s_F*s_I_f*s_T*(1-EXP(-up_RadSpec!BA5*s_t_v)))/(s_Y_v*up_RadSpec!BA5))),".")</f>
        <v>9.0143481925428208</v>
      </c>
      <c r="BK5" s="115">
        <f>IFERROR(IF(up_Bv!M5=0,".",((s_Ir*s_F*s_I_f*s_T*(1-EXP(-up_RadSpec!BA5*s_t_v)))/(s_Y_v*up_RadSpec!BA5))),".")</f>
        <v>9.0143481925428208</v>
      </c>
      <c r="BL5" s="115">
        <f>IFERROR(IF(up_Bv!N5=0,".",((s_Ir*s_F*s_I_f*s_T*(1-EXP(-up_RadSpec!BA5*s_t_v)))/(s_Y_v*up_RadSpec!BA5))),".")</f>
        <v>9.0143481925428208</v>
      </c>
      <c r="BM5" s="115">
        <f>IFERROR(IF(up_Bv!O5=0,".",((s_Ir*s_F*s_I_f*s_T*(1-EXP(-up_RadSpec!BA5*s_t_v)))/(s_Y_v*up_RadSpec!BA5))),".")</f>
        <v>9.0143481925428208</v>
      </c>
      <c r="BN5" s="115">
        <f>IFERROR(IF(up_Bv!P5=0,".",((s_Ir*s_F*s_I_f*s_T*(1-EXP(-up_RadSpec!BA5*s_t_v)))/(s_Y_v*up_RadSpec!BA5))),".")</f>
        <v>9.0143481925428208</v>
      </c>
      <c r="BO5" s="115">
        <f>IFERROR(IF(up_Bv!Q5=0,".",((s_Ir*s_F*s_I_f*s_T*(1-EXP(-up_RadSpec!BA5*s_t_v)))/(s_Y_v*up_RadSpec!BA5))),".")</f>
        <v>9.0143481925428208</v>
      </c>
      <c r="BP5" s="115">
        <f>IFERROR(IF(up_Bv!R5=0,".",((s_Ir*s_F*s_I_f*s_T*(1-EXP(-up_RadSpec!BA5*s_t_v)))/(s_Y_v*up_RadSpec!BA5))),".")</f>
        <v>9.0143481925428208</v>
      </c>
      <c r="BQ5" s="115">
        <f>IFERROR(IF(up_Bv!S5=0,".",((s_Ir*s_F*s_I_f*s_T*(1-EXP(-up_RadSpec!BA5*s_t_v)))/(s_Y_v*up_RadSpec!BA5))),".")</f>
        <v>9.0143481925428208</v>
      </c>
      <c r="BR5" s="115">
        <f>IFERROR(IF(up_Bv!T5=0,".",((s_Ir*s_F*s_I_f*s_T*(1-EXP(-up_RadSpec!BA5*s_t_v)))/(s_Y_v*up_RadSpec!BA5))),".")</f>
        <v>9.0143481925428208</v>
      </c>
      <c r="BS5" s="115">
        <f>IFERROR(IF(up_Bv!U5=0,".",((s_Ir*s_F*s_I_f*s_T*(1-EXP(-up_RadSpec!BA5*s_t_v)))/(s_Y_v*up_RadSpec!BA5))),".")</f>
        <v>9.0143481925428208</v>
      </c>
      <c r="BT5" s="115">
        <f>IFERROR(IF(up_Bv!V5=0,".",((s_Ir*s_F*s_I_f*s_T*(1-EXP(-up_RadSpec!BA5*s_t_v)))/(s_Y_v*up_RadSpec!BA5))),".")</f>
        <v>9.0143481925428208</v>
      </c>
      <c r="BU5" s="115">
        <f>IFERROR(IF(up_Bv!W5=0,".",((s_Ir*s_F*s_I_f*s_T*(1-EXP(-up_RadSpec!BA5*s_t_v)))/(s_Y_v*up_RadSpec!BA5))),".")</f>
        <v>9.0143481925428208</v>
      </c>
      <c r="BV5" s="115">
        <f>IFERROR(IF(up_Bv!X5=0,".",((s_Ir*s_F*s_I_f*s_T*(1-EXP(-up_RadSpec!BA5*s_t_v)))/(s_Y_v*up_RadSpec!BA5))),".")</f>
        <v>9.0143481925428208</v>
      </c>
      <c r="BW5" s="115">
        <f>IFERROR(IF(up_Bv!Y5=0,".",((s_Ir*s_F*s_I_f*s_T*(1-EXP(-up_RadSpec!BA5*s_t_v)))/(s_Y_v*up_RadSpec!BA5))),".")</f>
        <v>9.0143481925428208</v>
      </c>
      <c r="BX5" s="115">
        <f>IFERROR(IF(up_Bv!Z5=0,".",((s_Ir*s_F*s_I_f*s_T*(1-EXP(-up_RadSpec!BA5*s_t_v)))/(s_Y_v*up_RadSpec!BA5))),".")</f>
        <v>9.0143481925428208</v>
      </c>
      <c r="BY5" s="115">
        <f>IFERROR(IF(up_Bv!AA5=0,".",((s_Ir*s_F*s_I_f*s_T*(1-EXP(-up_RadSpec!BA5*s_t_v)))/(s_Y_v*up_RadSpec!BA5))),".")</f>
        <v>9.0143481925428208</v>
      </c>
    </row>
    <row r="6" spans="1:77" x14ac:dyDescent="0.25">
      <c r="A6" s="44" t="s">
        <v>16</v>
      </c>
      <c r="B6" s="42" t="s">
        <v>1071</v>
      </c>
      <c r="C6" s="115">
        <f>IFERROR(IF(up_Bv!C6=0,".",((s_Ir*s_F*up_Bv!C6*(1-EXP(-up_RadSpec!$AZ6*s_t_b)))/(s_P*up_RadSpec!$AZ6))),".")</f>
        <v>993.50362303732038</v>
      </c>
      <c r="D6" s="115">
        <f>IFERROR(IF(up_Bv!D6=0,".",((s_Ir*s_F*up_Bv!D6*(1-EXP(-up_RadSpec!AZ6*s_t_b)))/(s_P*up_RadSpec!AZ6))),".")</f>
        <v>993.50362303732038</v>
      </c>
      <c r="E6" s="115">
        <f>IFERROR(IF(up_Bv!E6=0,".",((s_Ir*s_F*up_Bv!E6*(1-EXP(-up_RadSpec!AZ6*s_t_b)))/(s_P*up_RadSpec!AZ6))),".")</f>
        <v>993.50362303732038</v>
      </c>
      <c r="F6" s="115">
        <f>IFERROR(IF(up_Bv!F6=0,".",((s_Ir*s_F*up_Bv!F6*(1-EXP(-up_RadSpec!AZ6*s_t_b)))/(s_P*up_RadSpec!AZ6))),".")</f>
        <v>993.50362303732038</v>
      </c>
      <c r="G6" s="115">
        <f>IFERROR(IF(up_Bv!G6=0,".",((s_Ir*s_F*up_Bv!G6*(1-EXP(-up_RadSpec!AZ6*s_t_b)))/(s_P*up_RadSpec!AZ6))),".")</f>
        <v>993.50362303732038</v>
      </c>
      <c r="H6" s="115">
        <f>IFERROR(IF(up_Bv!H6=0,".",((s_Ir*s_F*up_Bv!H6*(1-EXP(-up_RadSpec!AZ6*s_t_b)))/(s_P*up_RadSpec!AZ6))),".")</f>
        <v>993.50362303732038</v>
      </c>
      <c r="I6" s="115">
        <f>IFERROR(IF(up_Bv!I6=0,".",((s_Ir*s_F*up_Bv!I6*(1-EXP(-up_RadSpec!AZ6*s_t_b)))/(s_P*up_RadSpec!AZ6))),".")</f>
        <v>993.50362303732038</v>
      </c>
      <c r="J6" s="115">
        <f>IFERROR(IF(up_Bv!J6=0,".",((s_Ir*s_F*up_Bv!J6*(1-EXP(-up_RadSpec!AZ6*s_t_b)))/(s_P*up_RadSpec!AZ6))),".")</f>
        <v>993.50362303732038</v>
      </c>
      <c r="K6" s="115">
        <f>IFERROR(IF(up_Bv!K6=0,".",((s_Ir*s_F*up_Bv!K6*(1-EXP(-up_RadSpec!AZ6*s_t_b)))/(s_P*up_RadSpec!AZ6))),".")</f>
        <v>993.50362303732038</v>
      </c>
      <c r="L6" s="115">
        <f>IFERROR(IF(up_Bv!L6=0,".",((s_Ir*s_F*up_Bv!L6*(1-EXP(-up_RadSpec!AZ6*s_t_b)))/(s_P*up_RadSpec!AZ6))),".")</f>
        <v>993.50362303732038</v>
      </c>
      <c r="M6" s="115">
        <f>IFERROR(IF(up_Bv!M6=0,".",((s_Ir*s_F*up_Bv!M6*(1-EXP(-up_RadSpec!AZ6*s_t_b)))/(s_P*up_RadSpec!AZ6))),".")</f>
        <v>993.50362303732038</v>
      </c>
      <c r="N6" s="115">
        <f>IFERROR(IF(up_Bv!N6=0,".",((s_Ir*s_F*up_Bv!N6*(1-EXP(-up_RadSpec!AZ6*s_t_b)))/(s_P*up_RadSpec!AZ6))),".")</f>
        <v>993.50362303732038</v>
      </c>
      <c r="O6" s="115">
        <f>IFERROR(IF(up_Bv!O6=0,".",((s_Ir*s_F*up_Bv!O6*(1-EXP(-up_RadSpec!AZ6*s_t_b)))/(s_P*up_RadSpec!AZ6))),".")</f>
        <v>993.50362303732038</v>
      </c>
      <c r="P6" s="115">
        <f>IFERROR(IF(up_Bv!P6=0,".",((s_Ir*s_F*up_Bv!P6*(1-EXP(-up_RadSpec!AZ6*s_t_b)))/(s_P*up_RadSpec!AZ6))),".")</f>
        <v>993.50362303732038</v>
      </c>
      <c r="Q6" s="115">
        <f>IFERROR(IF(up_Bv!Q6=0,".",((s_Ir*s_F*up_Bv!Q6*(1-EXP(-up_RadSpec!AZ6*s_t_b)))/(s_P*up_RadSpec!AZ6))),".")</f>
        <v>993.50362303732038</v>
      </c>
      <c r="R6" s="115">
        <f>IFERROR(IF(up_Bv!R6=0,".",((s_Ir*s_F*up_Bv!R6*(1-EXP(-up_RadSpec!AZ6*s_t_b)))/(s_P*up_RadSpec!AZ6))),".")</f>
        <v>993.50362303732038</v>
      </c>
      <c r="S6" s="115">
        <f>IFERROR(IF(up_Bv!S6=0,".",((s_Ir*s_F*up_Bv!S6*(1-EXP(-up_RadSpec!AZ6*s_t_b)))/(s_P*up_RadSpec!AZ6))),".")</f>
        <v>993.50362303732038</v>
      </c>
      <c r="T6" s="115">
        <f>IFERROR(IF(up_Bv!T6=0,".",((s_Ir*s_F*up_Bv!T6*(1-EXP(-up_RadSpec!AZ6*s_t_b)))/(s_P*up_RadSpec!AZ6))),".")</f>
        <v>993.50362303732038</v>
      </c>
      <c r="U6" s="115">
        <f>IFERROR(IF(up_Bv!U6=0,".",((s_Ir*s_F*up_Bv!U6*(1-EXP(-up_RadSpec!AZ6*s_t_b)))/(s_P*up_RadSpec!AZ6))),".")</f>
        <v>993.50362303732038</v>
      </c>
      <c r="V6" s="115">
        <f>IFERROR(IF(up_Bv!V6=0,".",((s_Ir*s_F*up_Bv!V6*(1-EXP(-up_RadSpec!AZ6*s_t_b)))/(s_P*up_RadSpec!AZ6))),".")</f>
        <v>993.50362303732038</v>
      </c>
      <c r="W6" s="115">
        <f>IFERROR(IF(up_Bv!W6=0,".",((s_Ir*s_F*up_Bv!W6*(1-EXP(-up_RadSpec!AZ6*s_t_b)))/(s_P*up_RadSpec!AZ6))),".")</f>
        <v>993.50362303732038</v>
      </c>
      <c r="X6" s="115">
        <f>IFERROR(IF(up_Bv!X6=0,".",((s_Ir*s_F*up_Bv!X6*(1-EXP(-up_RadSpec!AZ6*s_t_b)))/(s_P*up_RadSpec!AZ6))),".")</f>
        <v>993.50362303732038</v>
      </c>
      <c r="Y6" s="115">
        <f>IFERROR(IF(up_Bv!Y6=0,".",((s_Ir*s_F*up_Bv!Y6*(1-EXP(-up_RadSpec!AZ6*s_t_b)))/(s_P*up_RadSpec!AZ6))),".")</f>
        <v>993.50362303732038</v>
      </c>
      <c r="Z6" s="115">
        <f>IFERROR(IF(up_Bv!Z6=0,".",((s_Ir*s_F*up_Bv!Z6*(1-EXP(-up_RadSpec!AZ6*s_t_b)))/(s_P*up_RadSpec!AZ6))),".")</f>
        <v>993.50362303732038</v>
      </c>
      <c r="AA6" s="115">
        <f>IFERROR(IF(up_Bv!AA6=0,".",((s_Ir*s_F*up_Bv!AA6*(1-EXP(-up_RadSpec!AZ6*s_t_b)))/(s_P*up_RadSpec!AZ6))),".")</f>
        <v>993.50362303732038</v>
      </c>
      <c r="AB6" s="115">
        <f>IFERROR(IF(up_Bv!C6=0,".",((s_Ir*s_F*s_MLF_apple*(1-EXP(-up_RadSpec!AZ6*s_t_b)))/(s_P*up_RadSpec!AZ6))),".")</f>
        <v>2.6824597822007652</v>
      </c>
      <c r="AC6" s="115">
        <f>IFERROR(IF(up_Bv!D6=0,".",((s_Ir*s_F*s_MLF_asparagus*(1-EXP(-up_RadSpec!AZ6*s_t_b)))/(s_P*up_RadSpec!AZ6))),".")</f>
        <v>2.6824597822007652</v>
      </c>
      <c r="AD6" s="115">
        <f>IFERROR(IF(up_Bv!E6=0,".",((s_Ir*s_F*s_MLF_beet*(1-EXP(-up_RadSpec!AZ6*s_t_b)))/(s_P*up_RadSpec!AZ6))),".")</f>
        <v>2.6824597822007652</v>
      </c>
      <c r="AE6" s="115">
        <f>IFERROR(IF(up_Bv!F6=0,".",((s_Ir*s_F*s_MLF_berries*(1-EXP(-up_RadSpec!AZ6*s_t_b)))/(s_P*up_RadSpec!AZ6))),".")</f>
        <v>2.6824597822007652</v>
      </c>
      <c r="AF6" s="115">
        <f>IFERROR(IF(up_Bv!G6=0,".",((s_Ir*s_F*s_MLF_broccoli*(1-EXP(-up_RadSpec!AZ6*s_t_b)))/(s_P*up_RadSpec!AZ6))),".")</f>
        <v>2.6824597822007652</v>
      </c>
      <c r="AG6" s="115">
        <f>IFERROR(IF(up_Bv!H6=0,".",((s_Ir*s_F*s_MLF_cabbage*(1-EXP(-up_RadSpec!AZ6*s_t_b)))/(s_P*up_RadSpec!AZ6))),".")</f>
        <v>2.6824597822007652</v>
      </c>
      <c r="AH6" s="115">
        <f>IFERROR(IF(up_Bv!I6=0,".",((s_Ir*s_F*s_MLF_carrot*(1-EXP(-up_RadSpec!AZ6*s_t_b)))/(s_P*up_RadSpec!AZ6))),".")</f>
        <v>2.6824597822007652</v>
      </c>
      <c r="AI6" s="115">
        <f>IFERROR(IF(up_Bv!J6=0,".",((s_Ir*s_F*s_MLF_citrus*(1-EXP(-up_RadSpec!AZ6*s_t_b)))/(s_P*up_RadSpec!AZ6))),".")</f>
        <v>2.6824597822007652</v>
      </c>
      <c r="AJ6" s="115">
        <f>IFERROR(IF(up_Bv!K6=0,".",((s_Ir*s_F*s_MLF_corn*(1-EXP(-up_RadSpec!AZ6*s_t_b)))/(s_P*up_RadSpec!AZ6))),".")</f>
        <v>2.6824597822007652</v>
      </c>
      <c r="AK6" s="115">
        <f>IFERROR(IF(up_Bv!L6=0,".",((s_Ir*s_F*s_MLF_cucumber*(1-EXP(-up_RadSpec!AZ6*s_t_b)))/(s_P*up_RadSpec!AZ6))),".")</f>
        <v>2.6824597822007652</v>
      </c>
      <c r="AL6" s="115">
        <f>IFERROR(IF(up_Bv!M6=0,".",((s_Ir*s_F*s_MLF_lettuce*(1-EXP(-up_RadSpec!AZ6*s_t_b)))/(s_P*up_RadSpec!AZ6))),".")</f>
        <v>2.6824597822007652</v>
      </c>
      <c r="AM6" s="115">
        <f>IFERROR(IF(up_Bv!N6=0,".",((s_Ir*s_F*s_MLF_lima_bean*(1-EXP(-up_RadSpec!AZ6*s_t_b)))/(s_P*up_RadSpec!AZ6))),".")</f>
        <v>2.6824597822007652</v>
      </c>
      <c r="AN6" s="115">
        <f>IFERROR(IF(up_Bv!O6=0,".",((s_Ir*s_F*s_MLF_okra*(1-EXP(-up_RadSpec!AZ6*s_t_b)))/(s_P*up_RadSpec!AZ6))),".")</f>
        <v>2.6824597822007652</v>
      </c>
      <c r="AO6" s="115">
        <f>IFERROR(IF(up_Bv!P6=0,".",((s_Ir*s_F*s_MLF_onion*(1-EXP(-up_RadSpec!AZ6*s_t_b)))/(s_P*up_RadSpec!AZ6))),".")</f>
        <v>2.6824597822007652</v>
      </c>
      <c r="AP6" s="115">
        <f>IFERROR(IF(up_Bv!Q6=0,".",((s_Ir*s_F*s_MLF_peach*(1-EXP(-up_RadSpec!AZ6*s_t_b)))/(s_P*up_RadSpec!AZ6))),".")</f>
        <v>2.6824597822007652</v>
      </c>
      <c r="AQ6" s="115">
        <f>IFERROR(IF(up_Bv!R6=0,".",((s_Ir*s_F*s_MLF_pear*(1-EXP(-up_RadSpec!AZ6*s_t_b)))/(s_P*up_RadSpec!AZ6))),".")</f>
        <v>2.6824597822007652</v>
      </c>
      <c r="AR6" s="115">
        <f>IFERROR(IF(up_Bv!S6=0,".",((s_Ir*s_F*s_MLF_peas*(1-EXP(-up_RadSpec!AZ6*s_t_b)))/(s_P*up_RadSpec!AZ6))),".")</f>
        <v>2.6824597822007652</v>
      </c>
      <c r="AS6" s="115">
        <f>IFERROR(IF(up_Bv!T6=0,".",((s_Ir*s_F*s_MLF_peppers*(1-EXP(-up_RadSpec!AZ6*s_t_b)))/(s_P*up_RadSpec!AZ6))),".")</f>
        <v>2.6824597822007652</v>
      </c>
      <c r="AT6" s="115">
        <f>IFERROR(IF(up_Bv!U6=0,".",((s_Ir*s_F*s_MLF_potato*(1-EXP(-up_RadSpec!AZ6*s_t_b)))/(s_P*up_RadSpec!AZ6))),".")</f>
        <v>2.6824597822007652</v>
      </c>
      <c r="AU6" s="115">
        <f>IFERROR(IF(up_Bv!V6=0,".",((s_Ir*s_F*s_MLF_pumpkin*(1-EXP(-up_RadSpec!AZ6*s_t_b)))/(s_P*up_RadSpec!AZ6))),".")</f>
        <v>2.6824597822007652</v>
      </c>
      <c r="AV6" s="115">
        <f>IFERROR(IF(up_Bv!W6=0,".",((s_Ir*s_F*s_MLF_snap_bean*(1-EXP(-up_RadSpec!AZ6*s_t_b)))/(s_P*up_RadSpec!AZ6))),".")</f>
        <v>2.6824597822007652</v>
      </c>
      <c r="AW6" s="115">
        <f>IFERROR(IF(up_Bv!X6=0,".",((s_Ir*s_F*s_MLF_strawberry*(1-EXP(-up_RadSpec!AZ6*s_t_b)))/(s_P*up_RadSpec!AZ6))),".")</f>
        <v>2.6824597822007652</v>
      </c>
      <c r="AX6" s="115">
        <f>IFERROR(IF(up_Bv!Y6=0,".",((s_Ir*s_F*s_MLF_tomato*(1-EXP(-up_RadSpec!AZ6*s_t_b)))/(s_P*up_RadSpec!AZ6))),".")</f>
        <v>2.6824597822007652</v>
      </c>
      <c r="AY6" s="115">
        <f>IFERROR(IF(up_Bv!Z6=0,".",((s_Ir*s_F*s_MLF_rice*(1-EXP(-up_RadSpec!AZ6*s_t_b)))/(s_P*up_RadSpec!AZ6))),".")</f>
        <v>2.6824597822007652</v>
      </c>
      <c r="AZ6" s="115">
        <f>IFERROR(IF(up_Bv!AA6=0,".",((s_Ir*s_F*s_MLF_cereal*(1-EXP(-up_RadSpec!AZ6*s_t_b)))/(s_P*up_RadSpec!AZ6))),".")</f>
        <v>2.6824597822007652</v>
      </c>
      <c r="BA6" s="115">
        <f>IFERROR(IF(up_Bv!C6=0,".",((s_Ir*s_F*s_I_f*s_T*(1-EXP(-up_RadSpec!BA6*s_t_v)))/(s_Y_v*up_RadSpec!BA6))),".")</f>
        <v>9.0143481925428208</v>
      </c>
      <c r="BB6" s="115">
        <f>IFERROR(IF(up_Bv!D6=0,".",((s_Ir*s_F*s_I_f*s_T*(1-EXP(-up_RadSpec!BA6*s_t_v)))/(s_Y_v*up_RadSpec!BA6))),".")</f>
        <v>9.0143481925428208</v>
      </c>
      <c r="BC6" s="115">
        <f>IFERROR(IF(up_Bv!E6=0,".",((s_Ir*s_F*s_I_f*s_T*(1-EXP(-up_RadSpec!BA6*s_t_v)))/(s_Y_v*up_RadSpec!BA6))),".")</f>
        <v>9.0143481925428208</v>
      </c>
      <c r="BD6" s="115">
        <f>IFERROR(IF(up_Bv!F6=0,".",((s_Ir*s_F*s_I_f*s_T*(1-EXP(-up_RadSpec!BA6*s_t_v)))/(s_Y_v*up_RadSpec!BA6))),".")</f>
        <v>9.0143481925428208</v>
      </c>
      <c r="BE6" s="115">
        <f>IFERROR(IF(up_Bv!G6=0,".",((s_Ir*s_F*s_I_f*s_T*(1-EXP(-up_RadSpec!BA6*s_t_v)))/(s_Y_v*up_RadSpec!BA6))),".")</f>
        <v>9.0143481925428208</v>
      </c>
      <c r="BF6" s="115">
        <f>IFERROR(IF(up_Bv!H6=0,".",((s_Ir*s_F*s_I_f*s_T*(1-EXP(-up_RadSpec!BA6*s_t_v)))/(s_Y_v*up_RadSpec!BA6))),".")</f>
        <v>9.0143481925428208</v>
      </c>
      <c r="BG6" s="115">
        <f>IFERROR(IF(up_Bv!I6=0,".",((s_Ir*s_F*s_I_f*s_T*(1-EXP(-up_RadSpec!BA6*s_t_v)))/(s_Y_v*up_RadSpec!BA6))),".")</f>
        <v>9.0143481925428208</v>
      </c>
      <c r="BH6" s="115">
        <f>IFERROR(IF(up_Bv!J6=0,".",((s_Ir*s_F*s_I_f*s_T*(1-EXP(-up_RadSpec!BA6*s_t_v)))/(s_Y_v*up_RadSpec!BA6))),".")</f>
        <v>9.0143481925428208</v>
      </c>
      <c r="BI6" s="115">
        <f>IFERROR(IF(up_Bv!K6=0,".",((s_Ir*s_F*s_I_f*s_T*(1-EXP(-up_RadSpec!BA6*s_t_v)))/(s_Y_v*up_RadSpec!BA6))),".")</f>
        <v>9.0143481925428208</v>
      </c>
      <c r="BJ6" s="115">
        <f>IFERROR(IF(up_Bv!L6=0,".",((s_Ir*s_F*s_I_f*s_T*(1-EXP(-up_RadSpec!BA6*s_t_v)))/(s_Y_v*up_RadSpec!BA6))),".")</f>
        <v>9.0143481925428208</v>
      </c>
      <c r="BK6" s="115">
        <f>IFERROR(IF(up_Bv!M6=0,".",((s_Ir*s_F*s_I_f*s_T*(1-EXP(-up_RadSpec!BA6*s_t_v)))/(s_Y_v*up_RadSpec!BA6))),".")</f>
        <v>9.0143481925428208</v>
      </c>
      <c r="BL6" s="115">
        <f>IFERROR(IF(up_Bv!N6=0,".",((s_Ir*s_F*s_I_f*s_T*(1-EXP(-up_RadSpec!BA6*s_t_v)))/(s_Y_v*up_RadSpec!BA6))),".")</f>
        <v>9.0143481925428208</v>
      </c>
      <c r="BM6" s="115">
        <f>IFERROR(IF(up_Bv!O6=0,".",((s_Ir*s_F*s_I_f*s_T*(1-EXP(-up_RadSpec!BA6*s_t_v)))/(s_Y_v*up_RadSpec!BA6))),".")</f>
        <v>9.0143481925428208</v>
      </c>
      <c r="BN6" s="115">
        <f>IFERROR(IF(up_Bv!P6=0,".",((s_Ir*s_F*s_I_f*s_T*(1-EXP(-up_RadSpec!BA6*s_t_v)))/(s_Y_v*up_RadSpec!BA6))),".")</f>
        <v>9.0143481925428208</v>
      </c>
      <c r="BO6" s="115">
        <f>IFERROR(IF(up_Bv!Q6=0,".",((s_Ir*s_F*s_I_f*s_T*(1-EXP(-up_RadSpec!BA6*s_t_v)))/(s_Y_v*up_RadSpec!BA6))),".")</f>
        <v>9.0143481925428208</v>
      </c>
      <c r="BP6" s="115">
        <f>IFERROR(IF(up_Bv!R6=0,".",((s_Ir*s_F*s_I_f*s_T*(1-EXP(-up_RadSpec!BA6*s_t_v)))/(s_Y_v*up_RadSpec!BA6))),".")</f>
        <v>9.0143481925428208</v>
      </c>
      <c r="BQ6" s="115">
        <f>IFERROR(IF(up_Bv!S6=0,".",((s_Ir*s_F*s_I_f*s_T*(1-EXP(-up_RadSpec!BA6*s_t_v)))/(s_Y_v*up_RadSpec!BA6))),".")</f>
        <v>9.0143481925428208</v>
      </c>
      <c r="BR6" s="115">
        <f>IFERROR(IF(up_Bv!T6=0,".",((s_Ir*s_F*s_I_f*s_T*(1-EXP(-up_RadSpec!BA6*s_t_v)))/(s_Y_v*up_RadSpec!BA6))),".")</f>
        <v>9.0143481925428208</v>
      </c>
      <c r="BS6" s="115">
        <f>IFERROR(IF(up_Bv!U6=0,".",((s_Ir*s_F*s_I_f*s_T*(1-EXP(-up_RadSpec!BA6*s_t_v)))/(s_Y_v*up_RadSpec!BA6))),".")</f>
        <v>9.0143481925428208</v>
      </c>
      <c r="BT6" s="115">
        <f>IFERROR(IF(up_Bv!V6=0,".",((s_Ir*s_F*s_I_f*s_T*(1-EXP(-up_RadSpec!BA6*s_t_v)))/(s_Y_v*up_RadSpec!BA6))),".")</f>
        <v>9.0143481925428208</v>
      </c>
      <c r="BU6" s="115">
        <f>IFERROR(IF(up_Bv!W6=0,".",((s_Ir*s_F*s_I_f*s_T*(1-EXP(-up_RadSpec!BA6*s_t_v)))/(s_Y_v*up_RadSpec!BA6))),".")</f>
        <v>9.0143481925428208</v>
      </c>
      <c r="BV6" s="115">
        <f>IFERROR(IF(up_Bv!X6=0,".",((s_Ir*s_F*s_I_f*s_T*(1-EXP(-up_RadSpec!BA6*s_t_v)))/(s_Y_v*up_RadSpec!BA6))),".")</f>
        <v>9.0143481925428208</v>
      </c>
      <c r="BW6" s="115">
        <f>IFERROR(IF(up_Bv!Y6=0,".",((s_Ir*s_F*s_I_f*s_T*(1-EXP(-up_RadSpec!BA6*s_t_v)))/(s_Y_v*up_RadSpec!BA6))),".")</f>
        <v>9.0143481925428208</v>
      </c>
      <c r="BX6" s="115">
        <f>IFERROR(IF(up_Bv!Z6=0,".",((s_Ir*s_F*s_I_f*s_T*(1-EXP(-up_RadSpec!BA6*s_t_v)))/(s_Y_v*up_RadSpec!BA6))),".")</f>
        <v>9.0143481925428208</v>
      </c>
      <c r="BY6" s="115">
        <f>IFERROR(IF(up_Bv!AA6=0,".",((s_Ir*s_F*s_I_f*s_T*(1-EXP(-up_RadSpec!BA6*s_t_v)))/(s_Y_v*up_RadSpec!BA6))),".")</f>
        <v>9.0143481925428208</v>
      </c>
    </row>
    <row r="7" spans="1:77" x14ac:dyDescent="0.25">
      <c r="A7" s="44" t="s">
        <v>17</v>
      </c>
      <c r="B7" s="42" t="s">
        <v>1071</v>
      </c>
      <c r="C7" s="115">
        <f>IFERROR(IF(up_Bv!C7=0,".",((s_Ir*s_F*up_Bv!C7*(1-EXP(-up_RadSpec!$AZ7*s_t_b)))/(s_P*up_RadSpec!$AZ7))),".")</f>
        <v>993.50362303732038</v>
      </c>
      <c r="D7" s="115">
        <f>IFERROR(IF(up_Bv!D7=0,".",((s_Ir*s_F*up_Bv!D7*(1-EXP(-up_RadSpec!AZ7*s_t_b)))/(s_P*up_RadSpec!AZ7))),".")</f>
        <v>993.50362303732038</v>
      </c>
      <c r="E7" s="115">
        <f>IFERROR(IF(up_Bv!E7=0,".",((s_Ir*s_F*up_Bv!E7*(1-EXP(-up_RadSpec!AZ7*s_t_b)))/(s_P*up_RadSpec!AZ7))),".")</f>
        <v>993.50362303732038</v>
      </c>
      <c r="F7" s="115">
        <f>IFERROR(IF(up_Bv!F7=0,".",((s_Ir*s_F*up_Bv!F7*(1-EXP(-up_RadSpec!AZ7*s_t_b)))/(s_P*up_RadSpec!AZ7))),".")</f>
        <v>993.50362303732038</v>
      </c>
      <c r="G7" s="115">
        <f>IFERROR(IF(up_Bv!G7=0,".",((s_Ir*s_F*up_Bv!G7*(1-EXP(-up_RadSpec!AZ7*s_t_b)))/(s_P*up_RadSpec!AZ7))),".")</f>
        <v>993.50362303732038</v>
      </c>
      <c r="H7" s="115">
        <f>IFERROR(IF(up_Bv!H7=0,".",((s_Ir*s_F*up_Bv!H7*(1-EXP(-up_RadSpec!AZ7*s_t_b)))/(s_P*up_RadSpec!AZ7))),".")</f>
        <v>993.50362303732038</v>
      </c>
      <c r="I7" s="115">
        <f>IFERROR(IF(up_Bv!I7=0,".",((s_Ir*s_F*up_Bv!I7*(1-EXP(-up_RadSpec!AZ7*s_t_b)))/(s_P*up_RadSpec!AZ7))),".")</f>
        <v>993.50362303732038</v>
      </c>
      <c r="J7" s="115">
        <f>IFERROR(IF(up_Bv!J7=0,".",((s_Ir*s_F*up_Bv!J7*(1-EXP(-up_RadSpec!AZ7*s_t_b)))/(s_P*up_RadSpec!AZ7))),".")</f>
        <v>993.50362303732038</v>
      </c>
      <c r="K7" s="115">
        <f>IFERROR(IF(up_Bv!K7=0,".",((s_Ir*s_F*up_Bv!K7*(1-EXP(-up_RadSpec!AZ7*s_t_b)))/(s_P*up_RadSpec!AZ7))),".")</f>
        <v>993.50362303732038</v>
      </c>
      <c r="L7" s="115">
        <f>IFERROR(IF(up_Bv!L7=0,".",((s_Ir*s_F*up_Bv!L7*(1-EXP(-up_RadSpec!AZ7*s_t_b)))/(s_P*up_RadSpec!AZ7))),".")</f>
        <v>993.50362303732038</v>
      </c>
      <c r="M7" s="115">
        <f>IFERROR(IF(up_Bv!M7=0,".",((s_Ir*s_F*up_Bv!M7*(1-EXP(-up_RadSpec!AZ7*s_t_b)))/(s_P*up_RadSpec!AZ7))),".")</f>
        <v>993.50362303732038</v>
      </c>
      <c r="N7" s="115">
        <f>IFERROR(IF(up_Bv!N7=0,".",((s_Ir*s_F*up_Bv!N7*(1-EXP(-up_RadSpec!AZ7*s_t_b)))/(s_P*up_RadSpec!AZ7))),".")</f>
        <v>993.50362303732038</v>
      </c>
      <c r="O7" s="115">
        <f>IFERROR(IF(up_Bv!O7=0,".",((s_Ir*s_F*up_Bv!O7*(1-EXP(-up_RadSpec!AZ7*s_t_b)))/(s_P*up_RadSpec!AZ7))),".")</f>
        <v>993.50362303732038</v>
      </c>
      <c r="P7" s="115">
        <f>IFERROR(IF(up_Bv!P7=0,".",((s_Ir*s_F*up_Bv!P7*(1-EXP(-up_RadSpec!AZ7*s_t_b)))/(s_P*up_RadSpec!AZ7))),".")</f>
        <v>993.50362303732038</v>
      </c>
      <c r="Q7" s="115">
        <f>IFERROR(IF(up_Bv!Q7=0,".",((s_Ir*s_F*up_Bv!Q7*(1-EXP(-up_RadSpec!AZ7*s_t_b)))/(s_P*up_RadSpec!AZ7))),".")</f>
        <v>993.50362303732038</v>
      </c>
      <c r="R7" s="115">
        <f>IFERROR(IF(up_Bv!R7=0,".",((s_Ir*s_F*up_Bv!R7*(1-EXP(-up_RadSpec!AZ7*s_t_b)))/(s_P*up_RadSpec!AZ7))),".")</f>
        <v>993.50362303732038</v>
      </c>
      <c r="S7" s="115">
        <f>IFERROR(IF(up_Bv!S7=0,".",((s_Ir*s_F*up_Bv!S7*(1-EXP(-up_RadSpec!AZ7*s_t_b)))/(s_P*up_RadSpec!AZ7))),".")</f>
        <v>993.50362303732038</v>
      </c>
      <c r="T7" s="115">
        <f>IFERROR(IF(up_Bv!T7=0,".",((s_Ir*s_F*up_Bv!T7*(1-EXP(-up_RadSpec!AZ7*s_t_b)))/(s_P*up_RadSpec!AZ7))),".")</f>
        <v>993.50362303732038</v>
      </c>
      <c r="U7" s="115">
        <f>IFERROR(IF(up_Bv!U7=0,".",((s_Ir*s_F*up_Bv!U7*(1-EXP(-up_RadSpec!AZ7*s_t_b)))/(s_P*up_RadSpec!AZ7))),".")</f>
        <v>993.50362303732038</v>
      </c>
      <c r="V7" s="115">
        <f>IFERROR(IF(up_Bv!V7=0,".",((s_Ir*s_F*up_Bv!V7*(1-EXP(-up_RadSpec!AZ7*s_t_b)))/(s_P*up_RadSpec!AZ7))),".")</f>
        <v>993.50362303732038</v>
      </c>
      <c r="W7" s="115">
        <f>IFERROR(IF(up_Bv!W7=0,".",((s_Ir*s_F*up_Bv!W7*(1-EXP(-up_RadSpec!AZ7*s_t_b)))/(s_P*up_RadSpec!AZ7))),".")</f>
        <v>993.50362303732038</v>
      </c>
      <c r="X7" s="115">
        <f>IFERROR(IF(up_Bv!X7=0,".",((s_Ir*s_F*up_Bv!X7*(1-EXP(-up_RadSpec!AZ7*s_t_b)))/(s_P*up_RadSpec!AZ7))),".")</f>
        <v>993.50362303732038</v>
      </c>
      <c r="Y7" s="115">
        <f>IFERROR(IF(up_Bv!Y7=0,".",((s_Ir*s_F*up_Bv!Y7*(1-EXP(-up_RadSpec!AZ7*s_t_b)))/(s_P*up_RadSpec!AZ7))),".")</f>
        <v>993.50362303732038</v>
      </c>
      <c r="Z7" s="115">
        <f>IFERROR(IF(up_Bv!Z7=0,".",((s_Ir*s_F*up_Bv!Z7*(1-EXP(-up_RadSpec!AZ7*s_t_b)))/(s_P*up_RadSpec!AZ7))),".")</f>
        <v>993.50362303732038</v>
      </c>
      <c r="AA7" s="115">
        <f>IFERROR(IF(up_Bv!AA7=0,".",((s_Ir*s_F*up_Bv!AA7*(1-EXP(-up_RadSpec!AZ7*s_t_b)))/(s_P*up_RadSpec!AZ7))),".")</f>
        <v>993.50362303732038</v>
      </c>
      <c r="AB7" s="115">
        <f>IFERROR(IF(up_Bv!C7=0,".",((s_Ir*s_F*s_MLF_apple*(1-EXP(-up_RadSpec!AZ7*s_t_b)))/(s_P*up_RadSpec!AZ7))),".")</f>
        <v>2.6824597822007652</v>
      </c>
      <c r="AC7" s="115">
        <f>IFERROR(IF(up_Bv!D7=0,".",((s_Ir*s_F*s_MLF_asparagus*(1-EXP(-up_RadSpec!AZ7*s_t_b)))/(s_P*up_RadSpec!AZ7))),".")</f>
        <v>2.6824597822007652</v>
      </c>
      <c r="AD7" s="115">
        <f>IFERROR(IF(up_Bv!E7=0,".",((s_Ir*s_F*s_MLF_beet*(1-EXP(-up_RadSpec!AZ7*s_t_b)))/(s_P*up_RadSpec!AZ7))),".")</f>
        <v>2.6824597822007652</v>
      </c>
      <c r="AE7" s="115">
        <f>IFERROR(IF(up_Bv!F7=0,".",((s_Ir*s_F*s_MLF_berries*(1-EXP(-up_RadSpec!AZ7*s_t_b)))/(s_P*up_RadSpec!AZ7))),".")</f>
        <v>2.6824597822007652</v>
      </c>
      <c r="AF7" s="115">
        <f>IFERROR(IF(up_Bv!G7=0,".",((s_Ir*s_F*s_MLF_broccoli*(1-EXP(-up_RadSpec!AZ7*s_t_b)))/(s_P*up_RadSpec!AZ7))),".")</f>
        <v>2.6824597822007652</v>
      </c>
      <c r="AG7" s="115">
        <f>IFERROR(IF(up_Bv!H7=0,".",((s_Ir*s_F*s_MLF_cabbage*(1-EXP(-up_RadSpec!AZ7*s_t_b)))/(s_P*up_RadSpec!AZ7))),".")</f>
        <v>2.6824597822007652</v>
      </c>
      <c r="AH7" s="115">
        <f>IFERROR(IF(up_Bv!I7=0,".",((s_Ir*s_F*s_MLF_carrot*(1-EXP(-up_RadSpec!AZ7*s_t_b)))/(s_P*up_RadSpec!AZ7))),".")</f>
        <v>2.6824597822007652</v>
      </c>
      <c r="AI7" s="115">
        <f>IFERROR(IF(up_Bv!J7=0,".",((s_Ir*s_F*s_MLF_citrus*(1-EXP(-up_RadSpec!AZ7*s_t_b)))/(s_P*up_RadSpec!AZ7))),".")</f>
        <v>2.6824597822007652</v>
      </c>
      <c r="AJ7" s="115">
        <f>IFERROR(IF(up_Bv!K7=0,".",((s_Ir*s_F*s_MLF_corn*(1-EXP(-up_RadSpec!AZ7*s_t_b)))/(s_P*up_RadSpec!AZ7))),".")</f>
        <v>2.6824597822007652</v>
      </c>
      <c r="AK7" s="115">
        <f>IFERROR(IF(up_Bv!L7=0,".",((s_Ir*s_F*s_MLF_cucumber*(1-EXP(-up_RadSpec!AZ7*s_t_b)))/(s_P*up_RadSpec!AZ7))),".")</f>
        <v>2.6824597822007652</v>
      </c>
      <c r="AL7" s="115">
        <f>IFERROR(IF(up_Bv!M7=0,".",((s_Ir*s_F*s_MLF_lettuce*(1-EXP(-up_RadSpec!AZ7*s_t_b)))/(s_P*up_RadSpec!AZ7))),".")</f>
        <v>2.6824597822007652</v>
      </c>
      <c r="AM7" s="115">
        <f>IFERROR(IF(up_Bv!N7=0,".",((s_Ir*s_F*s_MLF_lima_bean*(1-EXP(-up_RadSpec!AZ7*s_t_b)))/(s_P*up_RadSpec!AZ7))),".")</f>
        <v>2.6824597822007652</v>
      </c>
      <c r="AN7" s="115">
        <f>IFERROR(IF(up_Bv!O7=0,".",((s_Ir*s_F*s_MLF_okra*(1-EXP(-up_RadSpec!AZ7*s_t_b)))/(s_P*up_RadSpec!AZ7))),".")</f>
        <v>2.6824597822007652</v>
      </c>
      <c r="AO7" s="115">
        <f>IFERROR(IF(up_Bv!P7=0,".",((s_Ir*s_F*s_MLF_onion*(1-EXP(-up_RadSpec!AZ7*s_t_b)))/(s_P*up_RadSpec!AZ7))),".")</f>
        <v>2.6824597822007652</v>
      </c>
      <c r="AP7" s="115">
        <f>IFERROR(IF(up_Bv!Q7=0,".",((s_Ir*s_F*s_MLF_peach*(1-EXP(-up_RadSpec!AZ7*s_t_b)))/(s_P*up_RadSpec!AZ7))),".")</f>
        <v>2.6824597822007652</v>
      </c>
      <c r="AQ7" s="115">
        <f>IFERROR(IF(up_Bv!R7=0,".",((s_Ir*s_F*s_MLF_pear*(1-EXP(-up_RadSpec!AZ7*s_t_b)))/(s_P*up_RadSpec!AZ7))),".")</f>
        <v>2.6824597822007652</v>
      </c>
      <c r="AR7" s="115">
        <f>IFERROR(IF(up_Bv!S7=0,".",((s_Ir*s_F*s_MLF_peas*(1-EXP(-up_RadSpec!AZ7*s_t_b)))/(s_P*up_RadSpec!AZ7))),".")</f>
        <v>2.6824597822007652</v>
      </c>
      <c r="AS7" s="115">
        <f>IFERROR(IF(up_Bv!T7=0,".",((s_Ir*s_F*s_MLF_peppers*(1-EXP(-up_RadSpec!AZ7*s_t_b)))/(s_P*up_RadSpec!AZ7))),".")</f>
        <v>2.6824597822007652</v>
      </c>
      <c r="AT7" s="115">
        <f>IFERROR(IF(up_Bv!U7=0,".",((s_Ir*s_F*s_MLF_potato*(1-EXP(-up_RadSpec!AZ7*s_t_b)))/(s_P*up_RadSpec!AZ7))),".")</f>
        <v>2.6824597822007652</v>
      </c>
      <c r="AU7" s="115">
        <f>IFERROR(IF(up_Bv!V7=0,".",((s_Ir*s_F*s_MLF_pumpkin*(1-EXP(-up_RadSpec!AZ7*s_t_b)))/(s_P*up_RadSpec!AZ7))),".")</f>
        <v>2.6824597822007652</v>
      </c>
      <c r="AV7" s="115">
        <f>IFERROR(IF(up_Bv!W7=0,".",((s_Ir*s_F*s_MLF_snap_bean*(1-EXP(-up_RadSpec!AZ7*s_t_b)))/(s_P*up_RadSpec!AZ7))),".")</f>
        <v>2.6824597822007652</v>
      </c>
      <c r="AW7" s="115">
        <f>IFERROR(IF(up_Bv!X7=0,".",((s_Ir*s_F*s_MLF_strawberry*(1-EXP(-up_RadSpec!AZ7*s_t_b)))/(s_P*up_RadSpec!AZ7))),".")</f>
        <v>2.6824597822007652</v>
      </c>
      <c r="AX7" s="115">
        <f>IFERROR(IF(up_Bv!Y7=0,".",((s_Ir*s_F*s_MLF_tomato*(1-EXP(-up_RadSpec!AZ7*s_t_b)))/(s_P*up_RadSpec!AZ7))),".")</f>
        <v>2.6824597822007652</v>
      </c>
      <c r="AY7" s="115">
        <f>IFERROR(IF(up_Bv!Z7=0,".",((s_Ir*s_F*s_MLF_rice*(1-EXP(-up_RadSpec!AZ7*s_t_b)))/(s_P*up_RadSpec!AZ7))),".")</f>
        <v>2.6824597822007652</v>
      </c>
      <c r="AZ7" s="115">
        <f>IFERROR(IF(up_Bv!AA7=0,".",((s_Ir*s_F*s_MLF_cereal*(1-EXP(-up_RadSpec!AZ7*s_t_b)))/(s_P*up_RadSpec!AZ7))),".")</f>
        <v>2.6824597822007652</v>
      </c>
      <c r="BA7" s="115">
        <f>IFERROR(IF(up_Bv!C7=0,".",((s_Ir*s_F*s_I_f*s_T*(1-EXP(-up_RadSpec!BA7*s_t_v)))/(s_Y_v*up_RadSpec!BA7))),".")</f>
        <v>9.0143481925428208</v>
      </c>
      <c r="BB7" s="115">
        <f>IFERROR(IF(up_Bv!D7=0,".",((s_Ir*s_F*s_I_f*s_T*(1-EXP(-up_RadSpec!BA7*s_t_v)))/(s_Y_v*up_RadSpec!BA7))),".")</f>
        <v>9.0143481925428208</v>
      </c>
      <c r="BC7" s="115">
        <f>IFERROR(IF(up_Bv!E7=0,".",((s_Ir*s_F*s_I_f*s_T*(1-EXP(-up_RadSpec!BA7*s_t_v)))/(s_Y_v*up_RadSpec!BA7))),".")</f>
        <v>9.0143481925428208</v>
      </c>
      <c r="BD7" s="115">
        <f>IFERROR(IF(up_Bv!F7=0,".",((s_Ir*s_F*s_I_f*s_T*(1-EXP(-up_RadSpec!BA7*s_t_v)))/(s_Y_v*up_RadSpec!BA7))),".")</f>
        <v>9.0143481925428208</v>
      </c>
      <c r="BE7" s="115">
        <f>IFERROR(IF(up_Bv!G7=0,".",((s_Ir*s_F*s_I_f*s_T*(1-EXP(-up_RadSpec!BA7*s_t_v)))/(s_Y_v*up_RadSpec!BA7))),".")</f>
        <v>9.0143481925428208</v>
      </c>
      <c r="BF7" s="115">
        <f>IFERROR(IF(up_Bv!H7=0,".",((s_Ir*s_F*s_I_f*s_T*(1-EXP(-up_RadSpec!BA7*s_t_v)))/(s_Y_v*up_RadSpec!BA7))),".")</f>
        <v>9.0143481925428208</v>
      </c>
      <c r="BG7" s="115">
        <f>IFERROR(IF(up_Bv!I7=0,".",((s_Ir*s_F*s_I_f*s_T*(1-EXP(-up_RadSpec!BA7*s_t_v)))/(s_Y_v*up_RadSpec!BA7))),".")</f>
        <v>9.0143481925428208</v>
      </c>
      <c r="BH7" s="115">
        <f>IFERROR(IF(up_Bv!J7=0,".",((s_Ir*s_F*s_I_f*s_T*(1-EXP(-up_RadSpec!BA7*s_t_v)))/(s_Y_v*up_RadSpec!BA7))),".")</f>
        <v>9.0143481925428208</v>
      </c>
      <c r="BI7" s="115">
        <f>IFERROR(IF(up_Bv!K7=0,".",((s_Ir*s_F*s_I_f*s_T*(1-EXP(-up_RadSpec!BA7*s_t_v)))/(s_Y_v*up_RadSpec!BA7))),".")</f>
        <v>9.0143481925428208</v>
      </c>
      <c r="BJ7" s="115">
        <f>IFERROR(IF(up_Bv!L7=0,".",((s_Ir*s_F*s_I_f*s_T*(1-EXP(-up_RadSpec!BA7*s_t_v)))/(s_Y_v*up_RadSpec!BA7))),".")</f>
        <v>9.0143481925428208</v>
      </c>
      <c r="BK7" s="115">
        <f>IFERROR(IF(up_Bv!M7=0,".",((s_Ir*s_F*s_I_f*s_T*(1-EXP(-up_RadSpec!BA7*s_t_v)))/(s_Y_v*up_RadSpec!BA7))),".")</f>
        <v>9.0143481925428208</v>
      </c>
      <c r="BL7" s="115">
        <f>IFERROR(IF(up_Bv!N7=0,".",((s_Ir*s_F*s_I_f*s_T*(1-EXP(-up_RadSpec!BA7*s_t_v)))/(s_Y_v*up_RadSpec!BA7))),".")</f>
        <v>9.0143481925428208</v>
      </c>
      <c r="BM7" s="115">
        <f>IFERROR(IF(up_Bv!O7=0,".",((s_Ir*s_F*s_I_f*s_T*(1-EXP(-up_RadSpec!BA7*s_t_v)))/(s_Y_v*up_RadSpec!BA7))),".")</f>
        <v>9.0143481925428208</v>
      </c>
      <c r="BN7" s="115">
        <f>IFERROR(IF(up_Bv!P7=0,".",((s_Ir*s_F*s_I_f*s_T*(1-EXP(-up_RadSpec!BA7*s_t_v)))/(s_Y_v*up_RadSpec!BA7))),".")</f>
        <v>9.0143481925428208</v>
      </c>
      <c r="BO7" s="115">
        <f>IFERROR(IF(up_Bv!Q7=0,".",((s_Ir*s_F*s_I_f*s_T*(1-EXP(-up_RadSpec!BA7*s_t_v)))/(s_Y_v*up_RadSpec!BA7))),".")</f>
        <v>9.0143481925428208</v>
      </c>
      <c r="BP7" s="115">
        <f>IFERROR(IF(up_Bv!R7=0,".",((s_Ir*s_F*s_I_f*s_T*(1-EXP(-up_RadSpec!BA7*s_t_v)))/(s_Y_v*up_RadSpec!BA7))),".")</f>
        <v>9.0143481925428208</v>
      </c>
      <c r="BQ7" s="115">
        <f>IFERROR(IF(up_Bv!S7=0,".",((s_Ir*s_F*s_I_f*s_T*(1-EXP(-up_RadSpec!BA7*s_t_v)))/(s_Y_v*up_RadSpec!BA7))),".")</f>
        <v>9.0143481925428208</v>
      </c>
      <c r="BR7" s="115">
        <f>IFERROR(IF(up_Bv!T7=0,".",((s_Ir*s_F*s_I_f*s_T*(1-EXP(-up_RadSpec!BA7*s_t_v)))/(s_Y_v*up_RadSpec!BA7))),".")</f>
        <v>9.0143481925428208</v>
      </c>
      <c r="BS7" s="115">
        <f>IFERROR(IF(up_Bv!U7=0,".",((s_Ir*s_F*s_I_f*s_T*(1-EXP(-up_RadSpec!BA7*s_t_v)))/(s_Y_v*up_RadSpec!BA7))),".")</f>
        <v>9.0143481925428208</v>
      </c>
      <c r="BT7" s="115">
        <f>IFERROR(IF(up_Bv!V7=0,".",((s_Ir*s_F*s_I_f*s_T*(1-EXP(-up_RadSpec!BA7*s_t_v)))/(s_Y_v*up_RadSpec!BA7))),".")</f>
        <v>9.0143481925428208</v>
      </c>
      <c r="BU7" s="115">
        <f>IFERROR(IF(up_Bv!W7=0,".",((s_Ir*s_F*s_I_f*s_T*(1-EXP(-up_RadSpec!BA7*s_t_v)))/(s_Y_v*up_RadSpec!BA7))),".")</f>
        <v>9.0143481925428208</v>
      </c>
      <c r="BV7" s="115">
        <f>IFERROR(IF(up_Bv!X7=0,".",((s_Ir*s_F*s_I_f*s_T*(1-EXP(-up_RadSpec!BA7*s_t_v)))/(s_Y_v*up_RadSpec!BA7))),".")</f>
        <v>9.0143481925428208</v>
      </c>
      <c r="BW7" s="115">
        <f>IFERROR(IF(up_Bv!Y7=0,".",((s_Ir*s_F*s_I_f*s_T*(1-EXP(-up_RadSpec!BA7*s_t_v)))/(s_Y_v*up_RadSpec!BA7))),".")</f>
        <v>9.0143481925428208</v>
      </c>
      <c r="BX7" s="115">
        <f>IFERROR(IF(up_Bv!Z7=0,".",((s_Ir*s_F*s_I_f*s_T*(1-EXP(-up_RadSpec!BA7*s_t_v)))/(s_Y_v*up_RadSpec!BA7))),".")</f>
        <v>9.0143481925428208</v>
      </c>
      <c r="BY7" s="115">
        <f>IFERROR(IF(up_Bv!AA7=0,".",((s_Ir*s_F*s_I_f*s_T*(1-EXP(-up_RadSpec!BA7*s_t_v)))/(s_Y_v*up_RadSpec!BA7))),".")</f>
        <v>9.0143481925428208</v>
      </c>
    </row>
    <row r="8" spans="1:77" x14ac:dyDescent="0.25">
      <c r="A8" s="44" t="s">
        <v>18</v>
      </c>
      <c r="B8" s="42" t="s">
        <v>1071</v>
      </c>
      <c r="C8" s="115">
        <f>IFERROR(IF(up_Bv!C8=0,".",((s_Ir*s_F*up_Bv!C8*(1-EXP(-up_RadSpec!$AZ8*s_t_b)))/(s_P*up_RadSpec!$AZ8))),".")</f>
        <v>993.50362303732038</v>
      </c>
      <c r="D8" s="115">
        <f>IFERROR(IF(up_Bv!D8=0,".",((s_Ir*s_F*up_Bv!D8*(1-EXP(-up_RadSpec!AZ8*s_t_b)))/(s_P*up_RadSpec!AZ8))),".")</f>
        <v>993.50362303732038</v>
      </c>
      <c r="E8" s="115">
        <f>IFERROR(IF(up_Bv!E8=0,".",((s_Ir*s_F*up_Bv!E8*(1-EXP(-up_RadSpec!AZ8*s_t_b)))/(s_P*up_RadSpec!AZ8))),".")</f>
        <v>993.50362303732038</v>
      </c>
      <c r="F8" s="115">
        <f>IFERROR(IF(up_Bv!F8=0,".",((s_Ir*s_F*up_Bv!F8*(1-EXP(-up_RadSpec!AZ8*s_t_b)))/(s_P*up_RadSpec!AZ8))),".")</f>
        <v>993.50362303732038</v>
      </c>
      <c r="G8" s="115">
        <f>IFERROR(IF(up_Bv!G8=0,".",((s_Ir*s_F*up_Bv!G8*(1-EXP(-up_RadSpec!AZ8*s_t_b)))/(s_P*up_RadSpec!AZ8))),".")</f>
        <v>993.50362303732038</v>
      </c>
      <c r="H8" s="115">
        <f>IFERROR(IF(up_Bv!H8=0,".",((s_Ir*s_F*up_Bv!H8*(1-EXP(-up_RadSpec!AZ8*s_t_b)))/(s_P*up_RadSpec!AZ8))),".")</f>
        <v>993.50362303732038</v>
      </c>
      <c r="I8" s="115">
        <f>IFERROR(IF(up_Bv!I8=0,".",((s_Ir*s_F*up_Bv!I8*(1-EXP(-up_RadSpec!AZ8*s_t_b)))/(s_P*up_RadSpec!AZ8))),".")</f>
        <v>993.50362303732038</v>
      </c>
      <c r="J8" s="115">
        <f>IFERROR(IF(up_Bv!J8=0,".",((s_Ir*s_F*up_Bv!J8*(1-EXP(-up_RadSpec!AZ8*s_t_b)))/(s_P*up_RadSpec!AZ8))),".")</f>
        <v>993.50362303732038</v>
      </c>
      <c r="K8" s="115">
        <f>IFERROR(IF(up_Bv!K8=0,".",((s_Ir*s_F*up_Bv!K8*(1-EXP(-up_RadSpec!AZ8*s_t_b)))/(s_P*up_RadSpec!AZ8))),".")</f>
        <v>993.50362303732038</v>
      </c>
      <c r="L8" s="115">
        <f>IFERROR(IF(up_Bv!L8=0,".",((s_Ir*s_F*up_Bv!L8*(1-EXP(-up_RadSpec!AZ8*s_t_b)))/(s_P*up_RadSpec!AZ8))),".")</f>
        <v>993.50362303732038</v>
      </c>
      <c r="M8" s="115">
        <f>IFERROR(IF(up_Bv!M8=0,".",((s_Ir*s_F*up_Bv!M8*(1-EXP(-up_RadSpec!AZ8*s_t_b)))/(s_P*up_RadSpec!AZ8))),".")</f>
        <v>993.50362303732038</v>
      </c>
      <c r="N8" s="115">
        <f>IFERROR(IF(up_Bv!N8=0,".",((s_Ir*s_F*up_Bv!N8*(1-EXP(-up_RadSpec!AZ8*s_t_b)))/(s_P*up_RadSpec!AZ8))),".")</f>
        <v>993.50362303732038</v>
      </c>
      <c r="O8" s="115">
        <f>IFERROR(IF(up_Bv!O8=0,".",((s_Ir*s_F*up_Bv!O8*(1-EXP(-up_RadSpec!AZ8*s_t_b)))/(s_P*up_RadSpec!AZ8))),".")</f>
        <v>993.50362303732038</v>
      </c>
      <c r="P8" s="115">
        <f>IFERROR(IF(up_Bv!P8=0,".",((s_Ir*s_F*up_Bv!P8*(1-EXP(-up_RadSpec!AZ8*s_t_b)))/(s_P*up_RadSpec!AZ8))),".")</f>
        <v>993.50362303732038</v>
      </c>
      <c r="Q8" s="115">
        <f>IFERROR(IF(up_Bv!Q8=0,".",((s_Ir*s_F*up_Bv!Q8*(1-EXP(-up_RadSpec!AZ8*s_t_b)))/(s_P*up_RadSpec!AZ8))),".")</f>
        <v>993.50362303732038</v>
      </c>
      <c r="R8" s="115">
        <f>IFERROR(IF(up_Bv!R8=0,".",((s_Ir*s_F*up_Bv!R8*(1-EXP(-up_RadSpec!AZ8*s_t_b)))/(s_P*up_RadSpec!AZ8))),".")</f>
        <v>993.50362303732038</v>
      </c>
      <c r="S8" s="115">
        <f>IFERROR(IF(up_Bv!S8=0,".",((s_Ir*s_F*up_Bv!S8*(1-EXP(-up_RadSpec!AZ8*s_t_b)))/(s_P*up_RadSpec!AZ8))),".")</f>
        <v>993.50362303732038</v>
      </c>
      <c r="T8" s="115">
        <f>IFERROR(IF(up_Bv!T8=0,".",((s_Ir*s_F*up_Bv!T8*(1-EXP(-up_RadSpec!AZ8*s_t_b)))/(s_P*up_RadSpec!AZ8))),".")</f>
        <v>993.50362303732038</v>
      </c>
      <c r="U8" s="115">
        <f>IFERROR(IF(up_Bv!U8=0,".",((s_Ir*s_F*up_Bv!U8*(1-EXP(-up_RadSpec!AZ8*s_t_b)))/(s_P*up_RadSpec!AZ8))),".")</f>
        <v>993.50362303732038</v>
      </c>
      <c r="V8" s="115">
        <f>IFERROR(IF(up_Bv!V8=0,".",((s_Ir*s_F*up_Bv!V8*(1-EXP(-up_RadSpec!AZ8*s_t_b)))/(s_P*up_RadSpec!AZ8))),".")</f>
        <v>993.50362303732038</v>
      </c>
      <c r="W8" s="115">
        <f>IFERROR(IF(up_Bv!W8=0,".",((s_Ir*s_F*up_Bv!W8*(1-EXP(-up_RadSpec!AZ8*s_t_b)))/(s_P*up_RadSpec!AZ8))),".")</f>
        <v>993.50362303732038</v>
      </c>
      <c r="X8" s="115">
        <f>IFERROR(IF(up_Bv!X8=0,".",((s_Ir*s_F*up_Bv!X8*(1-EXP(-up_RadSpec!AZ8*s_t_b)))/(s_P*up_RadSpec!AZ8))),".")</f>
        <v>993.50362303732038</v>
      </c>
      <c r="Y8" s="115">
        <f>IFERROR(IF(up_Bv!Y8=0,".",((s_Ir*s_F*up_Bv!Y8*(1-EXP(-up_RadSpec!AZ8*s_t_b)))/(s_P*up_RadSpec!AZ8))),".")</f>
        <v>993.50362303732038</v>
      </c>
      <c r="Z8" s="115">
        <f>IFERROR(IF(up_Bv!Z8=0,".",((s_Ir*s_F*up_Bv!Z8*(1-EXP(-up_RadSpec!AZ8*s_t_b)))/(s_P*up_RadSpec!AZ8))),".")</f>
        <v>993.50362303732038</v>
      </c>
      <c r="AA8" s="115">
        <f>IFERROR(IF(up_Bv!AA8=0,".",((s_Ir*s_F*up_Bv!AA8*(1-EXP(-up_RadSpec!AZ8*s_t_b)))/(s_P*up_RadSpec!AZ8))),".")</f>
        <v>993.50362303732038</v>
      </c>
      <c r="AB8" s="115">
        <f>IFERROR(IF(up_Bv!C8=0,".",((s_Ir*s_F*s_MLF_apple*(1-EXP(-up_RadSpec!AZ8*s_t_b)))/(s_P*up_RadSpec!AZ8))),".")</f>
        <v>2.6824597822007652</v>
      </c>
      <c r="AC8" s="115">
        <f>IFERROR(IF(up_Bv!D8=0,".",((s_Ir*s_F*s_MLF_asparagus*(1-EXP(-up_RadSpec!AZ8*s_t_b)))/(s_P*up_RadSpec!AZ8))),".")</f>
        <v>2.6824597822007652</v>
      </c>
      <c r="AD8" s="115">
        <f>IFERROR(IF(up_Bv!E8=0,".",((s_Ir*s_F*s_MLF_beet*(1-EXP(-up_RadSpec!AZ8*s_t_b)))/(s_P*up_RadSpec!AZ8))),".")</f>
        <v>2.6824597822007652</v>
      </c>
      <c r="AE8" s="115">
        <f>IFERROR(IF(up_Bv!F8=0,".",((s_Ir*s_F*s_MLF_berries*(1-EXP(-up_RadSpec!AZ8*s_t_b)))/(s_P*up_RadSpec!AZ8))),".")</f>
        <v>2.6824597822007652</v>
      </c>
      <c r="AF8" s="115">
        <f>IFERROR(IF(up_Bv!G8=0,".",((s_Ir*s_F*s_MLF_broccoli*(1-EXP(-up_RadSpec!AZ8*s_t_b)))/(s_P*up_RadSpec!AZ8))),".")</f>
        <v>2.6824597822007652</v>
      </c>
      <c r="AG8" s="115">
        <f>IFERROR(IF(up_Bv!H8=0,".",((s_Ir*s_F*s_MLF_cabbage*(1-EXP(-up_RadSpec!AZ8*s_t_b)))/(s_P*up_RadSpec!AZ8))),".")</f>
        <v>2.6824597822007652</v>
      </c>
      <c r="AH8" s="115">
        <f>IFERROR(IF(up_Bv!I8=0,".",((s_Ir*s_F*s_MLF_carrot*(1-EXP(-up_RadSpec!AZ8*s_t_b)))/(s_P*up_RadSpec!AZ8))),".")</f>
        <v>2.6824597822007652</v>
      </c>
      <c r="AI8" s="115">
        <f>IFERROR(IF(up_Bv!J8=0,".",((s_Ir*s_F*s_MLF_citrus*(1-EXP(-up_RadSpec!AZ8*s_t_b)))/(s_P*up_RadSpec!AZ8))),".")</f>
        <v>2.6824597822007652</v>
      </c>
      <c r="AJ8" s="115">
        <f>IFERROR(IF(up_Bv!K8=0,".",((s_Ir*s_F*s_MLF_corn*(1-EXP(-up_RadSpec!AZ8*s_t_b)))/(s_P*up_RadSpec!AZ8))),".")</f>
        <v>2.6824597822007652</v>
      </c>
      <c r="AK8" s="115">
        <f>IFERROR(IF(up_Bv!L8=0,".",((s_Ir*s_F*s_MLF_cucumber*(1-EXP(-up_RadSpec!AZ8*s_t_b)))/(s_P*up_RadSpec!AZ8))),".")</f>
        <v>2.6824597822007652</v>
      </c>
      <c r="AL8" s="115">
        <f>IFERROR(IF(up_Bv!M8=0,".",((s_Ir*s_F*s_MLF_lettuce*(1-EXP(-up_RadSpec!AZ8*s_t_b)))/(s_P*up_RadSpec!AZ8))),".")</f>
        <v>2.6824597822007652</v>
      </c>
      <c r="AM8" s="115">
        <f>IFERROR(IF(up_Bv!N8=0,".",((s_Ir*s_F*s_MLF_lima_bean*(1-EXP(-up_RadSpec!AZ8*s_t_b)))/(s_P*up_RadSpec!AZ8))),".")</f>
        <v>2.6824597822007652</v>
      </c>
      <c r="AN8" s="115">
        <f>IFERROR(IF(up_Bv!O8=0,".",((s_Ir*s_F*s_MLF_okra*(1-EXP(-up_RadSpec!AZ8*s_t_b)))/(s_P*up_RadSpec!AZ8))),".")</f>
        <v>2.6824597822007652</v>
      </c>
      <c r="AO8" s="115">
        <f>IFERROR(IF(up_Bv!P8=0,".",((s_Ir*s_F*s_MLF_onion*(1-EXP(-up_RadSpec!AZ8*s_t_b)))/(s_P*up_RadSpec!AZ8))),".")</f>
        <v>2.6824597822007652</v>
      </c>
      <c r="AP8" s="115">
        <f>IFERROR(IF(up_Bv!Q8=0,".",((s_Ir*s_F*s_MLF_peach*(1-EXP(-up_RadSpec!AZ8*s_t_b)))/(s_P*up_RadSpec!AZ8))),".")</f>
        <v>2.6824597822007652</v>
      </c>
      <c r="AQ8" s="115">
        <f>IFERROR(IF(up_Bv!R8=0,".",((s_Ir*s_F*s_MLF_pear*(1-EXP(-up_RadSpec!AZ8*s_t_b)))/(s_P*up_RadSpec!AZ8))),".")</f>
        <v>2.6824597822007652</v>
      </c>
      <c r="AR8" s="115">
        <f>IFERROR(IF(up_Bv!S8=0,".",((s_Ir*s_F*s_MLF_peas*(1-EXP(-up_RadSpec!AZ8*s_t_b)))/(s_P*up_RadSpec!AZ8))),".")</f>
        <v>2.6824597822007652</v>
      </c>
      <c r="AS8" s="115">
        <f>IFERROR(IF(up_Bv!T8=0,".",((s_Ir*s_F*s_MLF_peppers*(1-EXP(-up_RadSpec!AZ8*s_t_b)))/(s_P*up_RadSpec!AZ8))),".")</f>
        <v>2.6824597822007652</v>
      </c>
      <c r="AT8" s="115">
        <f>IFERROR(IF(up_Bv!U8=0,".",((s_Ir*s_F*s_MLF_potato*(1-EXP(-up_RadSpec!AZ8*s_t_b)))/(s_P*up_RadSpec!AZ8))),".")</f>
        <v>2.6824597822007652</v>
      </c>
      <c r="AU8" s="115">
        <f>IFERROR(IF(up_Bv!V8=0,".",((s_Ir*s_F*s_MLF_pumpkin*(1-EXP(-up_RadSpec!AZ8*s_t_b)))/(s_P*up_RadSpec!AZ8))),".")</f>
        <v>2.6824597822007652</v>
      </c>
      <c r="AV8" s="115">
        <f>IFERROR(IF(up_Bv!W8=0,".",((s_Ir*s_F*s_MLF_snap_bean*(1-EXP(-up_RadSpec!AZ8*s_t_b)))/(s_P*up_RadSpec!AZ8))),".")</f>
        <v>2.6824597822007652</v>
      </c>
      <c r="AW8" s="115">
        <f>IFERROR(IF(up_Bv!X8=0,".",((s_Ir*s_F*s_MLF_strawberry*(1-EXP(-up_RadSpec!AZ8*s_t_b)))/(s_P*up_RadSpec!AZ8))),".")</f>
        <v>2.6824597822007652</v>
      </c>
      <c r="AX8" s="115">
        <f>IFERROR(IF(up_Bv!Y8=0,".",((s_Ir*s_F*s_MLF_tomato*(1-EXP(-up_RadSpec!AZ8*s_t_b)))/(s_P*up_RadSpec!AZ8))),".")</f>
        <v>2.6824597822007652</v>
      </c>
      <c r="AY8" s="115">
        <f>IFERROR(IF(up_Bv!Z8=0,".",((s_Ir*s_F*s_MLF_rice*(1-EXP(-up_RadSpec!AZ8*s_t_b)))/(s_P*up_RadSpec!AZ8))),".")</f>
        <v>2.6824597822007652</v>
      </c>
      <c r="AZ8" s="115">
        <f>IFERROR(IF(up_Bv!AA8=0,".",((s_Ir*s_F*s_MLF_cereal*(1-EXP(-up_RadSpec!AZ8*s_t_b)))/(s_P*up_RadSpec!AZ8))),".")</f>
        <v>2.6824597822007652</v>
      </c>
      <c r="BA8" s="115">
        <f>IFERROR(IF(up_Bv!C8=0,".",((s_Ir*s_F*s_I_f*s_T*(1-EXP(-up_RadSpec!BA8*s_t_v)))/(s_Y_v*up_RadSpec!BA8))),".")</f>
        <v>9.0143481925428208</v>
      </c>
      <c r="BB8" s="115">
        <f>IFERROR(IF(up_Bv!D8=0,".",((s_Ir*s_F*s_I_f*s_T*(1-EXP(-up_RadSpec!BA8*s_t_v)))/(s_Y_v*up_RadSpec!BA8))),".")</f>
        <v>9.0143481925428208</v>
      </c>
      <c r="BC8" s="115">
        <f>IFERROR(IF(up_Bv!E8=0,".",((s_Ir*s_F*s_I_f*s_T*(1-EXP(-up_RadSpec!BA8*s_t_v)))/(s_Y_v*up_RadSpec!BA8))),".")</f>
        <v>9.0143481925428208</v>
      </c>
      <c r="BD8" s="115">
        <f>IFERROR(IF(up_Bv!F8=0,".",((s_Ir*s_F*s_I_f*s_T*(1-EXP(-up_RadSpec!BA8*s_t_v)))/(s_Y_v*up_RadSpec!BA8))),".")</f>
        <v>9.0143481925428208</v>
      </c>
      <c r="BE8" s="115">
        <f>IFERROR(IF(up_Bv!G8=0,".",((s_Ir*s_F*s_I_f*s_T*(1-EXP(-up_RadSpec!BA8*s_t_v)))/(s_Y_v*up_RadSpec!BA8))),".")</f>
        <v>9.0143481925428208</v>
      </c>
      <c r="BF8" s="115">
        <f>IFERROR(IF(up_Bv!H8=0,".",((s_Ir*s_F*s_I_f*s_T*(1-EXP(-up_RadSpec!BA8*s_t_v)))/(s_Y_v*up_RadSpec!BA8))),".")</f>
        <v>9.0143481925428208</v>
      </c>
      <c r="BG8" s="115">
        <f>IFERROR(IF(up_Bv!I8=0,".",((s_Ir*s_F*s_I_f*s_T*(1-EXP(-up_RadSpec!BA8*s_t_v)))/(s_Y_v*up_RadSpec!BA8))),".")</f>
        <v>9.0143481925428208</v>
      </c>
      <c r="BH8" s="115">
        <f>IFERROR(IF(up_Bv!J8=0,".",((s_Ir*s_F*s_I_f*s_T*(1-EXP(-up_RadSpec!BA8*s_t_v)))/(s_Y_v*up_RadSpec!BA8))),".")</f>
        <v>9.0143481925428208</v>
      </c>
      <c r="BI8" s="115">
        <f>IFERROR(IF(up_Bv!K8=0,".",((s_Ir*s_F*s_I_f*s_T*(1-EXP(-up_RadSpec!BA8*s_t_v)))/(s_Y_v*up_RadSpec!BA8))),".")</f>
        <v>9.0143481925428208</v>
      </c>
      <c r="BJ8" s="115">
        <f>IFERROR(IF(up_Bv!L8=0,".",((s_Ir*s_F*s_I_f*s_T*(1-EXP(-up_RadSpec!BA8*s_t_v)))/(s_Y_v*up_RadSpec!BA8))),".")</f>
        <v>9.0143481925428208</v>
      </c>
      <c r="BK8" s="115">
        <f>IFERROR(IF(up_Bv!M8=0,".",((s_Ir*s_F*s_I_f*s_T*(1-EXP(-up_RadSpec!BA8*s_t_v)))/(s_Y_v*up_RadSpec!BA8))),".")</f>
        <v>9.0143481925428208</v>
      </c>
      <c r="BL8" s="115">
        <f>IFERROR(IF(up_Bv!N8=0,".",((s_Ir*s_F*s_I_f*s_T*(1-EXP(-up_RadSpec!BA8*s_t_v)))/(s_Y_v*up_RadSpec!BA8))),".")</f>
        <v>9.0143481925428208</v>
      </c>
      <c r="BM8" s="115">
        <f>IFERROR(IF(up_Bv!O8=0,".",((s_Ir*s_F*s_I_f*s_T*(1-EXP(-up_RadSpec!BA8*s_t_v)))/(s_Y_v*up_RadSpec!BA8))),".")</f>
        <v>9.0143481925428208</v>
      </c>
      <c r="BN8" s="115">
        <f>IFERROR(IF(up_Bv!P8=0,".",((s_Ir*s_F*s_I_f*s_T*(1-EXP(-up_RadSpec!BA8*s_t_v)))/(s_Y_v*up_RadSpec!BA8))),".")</f>
        <v>9.0143481925428208</v>
      </c>
      <c r="BO8" s="115">
        <f>IFERROR(IF(up_Bv!Q8=0,".",((s_Ir*s_F*s_I_f*s_T*(1-EXP(-up_RadSpec!BA8*s_t_v)))/(s_Y_v*up_RadSpec!BA8))),".")</f>
        <v>9.0143481925428208</v>
      </c>
      <c r="BP8" s="115">
        <f>IFERROR(IF(up_Bv!R8=0,".",((s_Ir*s_F*s_I_f*s_T*(1-EXP(-up_RadSpec!BA8*s_t_v)))/(s_Y_v*up_RadSpec!BA8))),".")</f>
        <v>9.0143481925428208</v>
      </c>
      <c r="BQ8" s="115">
        <f>IFERROR(IF(up_Bv!S8=0,".",((s_Ir*s_F*s_I_f*s_T*(1-EXP(-up_RadSpec!BA8*s_t_v)))/(s_Y_v*up_RadSpec!BA8))),".")</f>
        <v>9.0143481925428208</v>
      </c>
      <c r="BR8" s="115">
        <f>IFERROR(IF(up_Bv!T8=0,".",((s_Ir*s_F*s_I_f*s_T*(1-EXP(-up_RadSpec!BA8*s_t_v)))/(s_Y_v*up_RadSpec!BA8))),".")</f>
        <v>9.0143481925428208</v>
      </c>
      <c r="BS8" s="115">
        <f>IFERROR(IF(up_Bv!U8=0,".",((s_Ir*s_F*s_I_f*s_T*(1-EXP(-up_RadSpec!BA8*s_t_v)))/(s_Y_v*up_RadSpec!BA8))),".")</f>
        <v>9.0143481925428208</v>
      </c>
      <c r="BT8" s="115">
        <f>IFERROR(IF(up_Bv!V8=0,".",((s_Ir*s_F*s_I_f*s_T*(1-EXP(-up_RadSpec!BA8*s_t_v)))/(s_Y_v*up_RadSpec!BA8))),".")</f>
        <v>9.0143481925428208</v>
      </c>
      <c r="BU8" s="115">
        <f>IFERROR(IF(up_Bv!W8=0,".",((s_Ir*s_F*s_I_f*s_T*(1-EXP(-up_RadSpec!BA8*s_t_v)))/(s_Y_v*up_RadSpec!BA8))),".")</f>
        <v>9.0143481925428208</v>
      </c>
      <c r="BV8" s="115">
        <f>IFERROR(IF(up_Bv!X8=0,".",((s_Ir*s_F*s_I_f*s_T*(1-EXP(-up_RadSpec!BA8*s_t_v)))/(s_Y_v*up_RadSpec!BA8))),".")</f>
        <v>9.0143481925428208</v>
      </c>
      <c r="BW8" s="115">
        <f>IFERROR(IF(up_Bv!Y8=0,".",((s_Ir*s_F*s_I_f*s_T*(1-EXP(-up_RadSpec!BA8*s_t_v)))/(s_Y_v*up_RadSpec!BA8))),".")</f>
        <v>9.0143481925428208</v>
      </c>
      <c r="BX8" s="115">
        <f>IFERROR(IF(up_Bv!Z8=0,".",((s_Ir*s_F*s_I_f*s_T*(1-EXP(-up_RadSpec!BA8*s_t_v)))/(s_Y_v*up_RadSpec!BA8))),".")</f>
        <v>9.0143481925428208</v>
      </c>
      <c r="BY8" s="115">
        <f>IFERROR(IF(up_Bv!AA8=0,".",((s_Ir*s_F*s_I_f*s_T*(1-EXP(-up_RadSpec!BA8*s_t_v)))/(s_Y_v*up_RadSpec!BA8))),".")</f>
        <v>9.0143481925428208</v>
      </c>
    </row>
    <row r="9" spans="1:77" x14ac:dyDescent="0.25">
      <c r="A9" s="44" t="s">
        <v>19</v>
      </c>
      <c r="B9" s="42" t="s">
        <v>1071</v>
      </c>
      <c r="C9" s="115">
        <f>IFERROR(IF(up_Bv!C9=0,".",((s_Ir*s_F*up_Bv!C9*(1-EXP(-up_RadSpec!$AZ9*s_t_b)))/(s_P*up_RadSpec!$AZ9))),".")</f>
        <v>993.50362303732038</v>
      </c>
      <c r="D9" s="115">
        <f>IFERROR(IF(up_Bv!D9=0,".",((s_Ir*s_F*up_Bv!D9*(1-EXP(-up_RadSpec!AZ9*s_t_b)))/(s_P*up_RadSpec!AZ9))),".")</f>
        <v>993.50362303732038</v>
      </c>
      <c r="E9" s="115">
        <f>IFERROR(IF(up_Bv!E9=0,".",((s_Ir*s_F*up_Bv!E9*(1-EXP(-up_RadSpec!AZ9*s_t_b)))/(s_P*up_RadSpec!AZ9))),".")</f>
        <v>993.50362303732038</v>
      </c>
      <c r="F9" s="115">
        <f>IFERROR(IF(up_Bv!F9=0,".",((s_Ir*s_F*up_Bv!F9*(1-EXP(-up_RadSpec!AZ9*s_t_b)))/(s_P*up_RadSpec!AZ9))),".")</f>
        <v>993.50362303732038</v>
      </c>
      <c r="G9" s="115">
        <f>IFERROR(IF(up_Bv!G9=0,".",((s_Ir*s_F*up_Bv!G9*(1-EXP(-up_RadSpec!AZ9*s_t_b)))/(s_P*up_RadSpec!AZ9))),".")</f>
        <v>993.50362303732038</v>
      </c>
      <c r="H9" s="115">
        <f>IFERROR(IF(up_Bv!H9=0,".",((s_Ir*s_F*up_Bv!H9*(1-EXP(-up_RadSpec!AZ9*s_t_b)))/(s_P*up_RadSpec!AZ9))),".")</f>
        <v>993.50362303732038</v>
      </c>
      <c r="I9" s="115">
        <f>IFERROR(IF(up_Bv!I9=0,".",((s_Ir*s_F*up_Bv!I9*(1-EXP(-up_RadSpec!AZ9*s_t_b)))/(s_P*up_RadSpec!AZ9))),".")</f>
        <v>993.50362303732038</v>
      </c>
      <c r="J9" s="115">
        <f>IFERROR(IF(up_Bv!J9=0,".",((s_Ir*s_F*up_Bv!J9*(1-EXP(-up_RadSpec!AZ9*s_t_b)))/(s_P*up_RadSpec!AZ9))),".")</f>
        <v>993.50362303732038</v>
      </c>
      <c r="K9" s="115">
        <f>IFERROR(IF(up_Bv!K9=0,".",((s_Ir*s_F*up_Bv!K9*(1-EXP(-up_RadSpec!AZ9*s_t_b)))/(s_P*up_RadSpec!AZ9))),".")</f>
        <v>993.50362303732038</v>
      </c>
      <c r="L9" s="115">
        <f>IFERROR(IF(up_Bv!L9=0,".",((s_Ir*s_F*up_Bv!L9*(1-EXP(-up_RadSpec!AZ9*s_t_b)))/(s_P*up_RadSpec!AZ9))),".")</f>
        <v>993.50362303732038</v>
      </c>
      <c r="M9" s="115">
        <f>IFERROR(IF(up_Bv!M9=0,".",((s_Ir*s_F*up_Bv!M9*(1-EXP(-up_RadSpec!AZ9*s_t_b)))/(s_P*up_RadSpec!AZ9))),".")</f>
        <v>993.50362303732038</v>
      </c>
      <c r="N9" s="115">
        <f>IFERROR(IF(up_Bv!N9=0,".",((s_Ir*s_F*up_Bv!N9*(1-EXP(-up_RadSpec!AZ9*s_t_b)))/(s_P*up_RadSpec!AZ9))),".")</f>
        <v>993.50362303732038</v>
      </c>
      <c r="O9" s="115">
        <f>IFERROR(IF(up_Bv!O9=0,".",((s_Ir*s_F*up_Bv!O9*(1-EXP(-up_RadSpec!AZ9*s_t_b)))/(s_P*up_RadSpec!AZ9))),".")</f>
        <v>993.50362303732038</v>
      </c>
      <c r="P9" s="115">
        <f>IFERROR(IF(up_Bv!P9=0,".",((s_Ir*s_F*up_Bv!P9*(1-EXP(-up_RadSpec!AZ9*s_t_b)))/(s_P*up_RadSpec!AZ9))),".")</f>
        <v>993.50362303732038</v>
      </c>
      <c r="Q9" s="115">
        <f>IFERROR(IF(up_Bv!Q9=0,".",((s_Ir*s_F*up_Bv!Q9*(1-EXP(-up_RadSpec!AZ9*s_t_b)))/(s_P*up_RadSpec!AZ9))),".")</f>
        <v>993.50362303732038</v>
      </c>
      <c r="R9" s="115">
        <f>IFERROR(IF(up_Bv!R9=0,".",((s_Ir*s_F*up_Bv!R9*(1-EXP(-up_RadSpec!AZ9*s_t_b)))/(s_P*up_RadSpec!AZ9))),".")</f>
        <v>993.50362303732038</v>
      </c>
      <c r="S9" s="115">
        <f>IFERROR(IF(up_Bv!S9=0,".",((s_Ir*s_F*up_Bv!S9*(1-EXP(-up_RadSpec!AZ9*s_t_b)))/(s_P*up_RadSpec!AZ9))),".")</f>
        <v>993.50362303732038</v>
      </c>
      <c r="T9" s="115">
        <f>IFERROR(IF(up_Bv!T9=0,".",((s_Ir*s_F*up_Bv!T9*(1-EXP(-up_RadSpec!AZ9*s_t_b)))/(s_P*up_RadSpec!AZ9))),".")</f>
        <v>993.50362303732038</v>
      </c>
      <c r="U9" s="115">
        <f>IFERROR(IF(up_Bv!U9=0,".",((s_Ir*s_F*up_Bv!U9*(1-EXP(-up_RadSpec!AZ9*s_t_b)))/(s_P*up_RadSpec!AZ9))),".")</f>
        <v>993.50362303732038</v>
      </c>
      <c r="V9" s="115">
        <f>IFERROR(IF(up_Bv!V9=0,".",((s_Ir*s_F*up_Bv!V9*(1-EXP(-up_RadSpec!AZ9*s_t_b)))/(s_P*up_RadSpec!AZ9))),".")</f>
        <v>993.50362303732038</v>
      </c>
      <c r="W9" s="115">
        <f>IFERROR(IF(up_Bv!W9=0,".",((s_Ir*s_F*up_Bv!W9*(1-EXP(-up_RadSpec!AZ9*s_t_b)))/(s_P*up_RadSpec!AZ9))),".")</f>
        <v>993.50362303732038</v>
      </c>
      <c r="X9" s="115">
        <f>IFERROR(IF(up_Bv!X9=0,".",((s_Ir*s_F*up_Bv!X9*(1-EXP(-up_RadSpec!AZ9*s_t_b)))/(s_P*up_RadSpec!AZ9))),".")</f>
        <v>993.50362303732038</v>
      </c>
      <c r="Y9" s="115">
        <f>IFERROR(IF(up_Bv!Y9=0,".",((s_Ir*s_F*up_Bv!Y9*(1-EXP(-up_RadSpec!AZ9*s_t_b)))/(s_P*up_RadSpec!AZ9))),".")</f>
        <v>993.50362303732038</v>
      </c>
      <c r="Z9" s="115">
        <f>IFERROR(IF(up_Bv!Z9=0,".",((s_Ir*s_F*up_Bv!Z9*(1-EXP(-up_RadSpec!AZ9*s_t_b)))/(s_P*up_RadSpec!AZ9))),".")</f>
        <v>993.50362303732038</v>
      </c>
      <c r="AA9" s="115">
        <f>IFERROR(IF(up_Bv!AA9=0,".",((s_Ir*s_F*up_Bv!AA9*(1-EXP(-up_RadSpec!AZ9*s_t_b)))/(s_P*up_RadSpec!AZ9))),".")</f>
        <v>993.50362303732038</v>
      </c>
      <c r="AB9" s="115">
        <f>IFERROR(IF(up_Bv!C9=0,".",((s_Ir*s_F*s_MLF_apple*(1-EXP(-up_RadSpec!AZ9*s_t_b)))/(s_P*up_RadSpec!AZ9))),".")</f>
        <v>2.6824597822007652</v>
      </c>
      <c r="AC9" s="115">
        <f>IFERROR(IF(up_Bv!D9=0,".",((s_Ir*s_F*s_MLF_asparagus*(1-EXP(-up_RadSpec!AZ9*s_t_b)))/(s_P*up_RadSpec!AZ9))),".")</f>
        <v>2.6824597822007652</v>
      </c>
      <c r="AD9" s="115">
        <f>IFERROR(IF(up_Bv!E9=0,".",((s_Ir*s_F*s_MLF_beet*(1-EXP(-up_RadSpec!AZ9*s_t_b)))/(s_P*up_RadSpec!AZ9))),".")</f>
        <v>2.6824597822007652</v>
      </c>
      <c r="AE9" s="115">
        <f>IFERROR(IF(up_Bv!F9=0,".",((s_Ir*s_F*s_MLF_berries*(1-EXP(-up_RadSpec!AZ9*s_t_b)))/(s_P*up_RadSpec!AZ9))),".")</f>
        <v>2.6824597822007652</v>
      </c>
      <c r="AF9" s="115">
        <f>IFERROR(IF(up_Bv!G9=0,".",((s_Ir*s_F*s_MLF_broccoli*(1-EXP(-up_RadSpec!AZ9*s_t_b)))/(s_P*up_RadSpec!AZ9))),".")</f>
        <v>2.6824597822007652</v>
      </c>
      <c r="AG9" s="115">
        <f>IFERROR(IF(up_Bv!H9=0,".",((s_Ir*s_F*s_MLF_cabbage*(1-EXP(-up_RadSpec!AZ9*s_t_b)))/(s_P*up_RadSpec!AZ9))),".")</f>
        <v>2.6824597822007652</v>
      </c>
      <c r="AH9" s="115">
        <f>IFERROR(IF(up_Bv!I9=0,".",((s_Ir*s_F*s_MLF_carrot*(1-EXP(-up_RadSpec!AZ9*s_t_b)))/(s_P*up_RadSpec!AZ9))),".")</f>
        <v>2.6824597822007652</v>
      </c>
      <c r="AI9" s="115">
        <f>IFERROR(IF(up_Bv!J9=0,".",((s_Ir*s_F*s_MLF_citrus*(1-EXP(-up_RadSpec!AZ9*s_t_b)))/(s_P*up_RadSpec!AZ9))),".")</f>
        <v>2.6824597822007652</v>
      </c>
      <c r="AJ9" s="115">
        <f>IFERROR(IF(up_Bv!K9=0,".",((s_Ir*s_F*s_MLF_corn*(1-EXP(-up_RadSpec!AZ9*s_t_b)))/(s_P*up_RadSpec!AZ9))),".")</f>
        <v>2.6824597822007652</v>
      </c>
      <c r="AK9" s="115">
        <f>IFERROR(IF(up_Bv!L9=0,".",((s_Ir*s_F*s_MLF_cucumber*(1-EXP(-up_RadSpec!AZ9*s_t_b)))/(s_P*up_RadSpec!AZ9))),".")</f>
        <v>2.6824597822007652</v>
      </c>
      <c r="AL9" s="115">
        <f>IFERROR(IF(up_Bv!M9=0,".",((s_Ir*s_F*s_MLF_lettuce*(1-EXP(-up_RadSpec!AZ9*s_t_b)))/(s_P*up_RadSpec!AZ9))),".")</f>
        <v>2.6824597822007652</v>
      </c>
      <c r="AM9" s="115">
        <f>IFERROR(IF(up_Bv!N9=0,".",((s_Ir*s_F*s_MLF_lima_bean*(1-EXP(-up_RadSpec!AZ9*s_t_b)))/(s_P*up_RadSpec!AZ9))),".")</f>
        <v>2.6824597822007652</v>
      </c>
      <c r="AN9" s="115">
        <f>IFERROR(IF(up_Bv!O9=0,".",((s_Ir*s_F*s_MLF_okra*(1-EXP(-up_RadSpec!AZ9*s_t_b)))/(s_P*up_RadSpec!AZ9))),".")</f>
        <v>2.6824597822007652</v>
      </c>
      <c r="AO9" s="115">
        <f>IFERROR(IF(up_Bv!P9=0,".",((s_Ir*s_F*s_MLF_onion*(1-EXP(-up_RadSpec!AZ9*s_t_b)))/(s_P*up_RadSpec!AZ9))),".")</f>
        <v>2.6824597822007652</v>
      </c>
      <c r="AP9" s="115">
        <f>IFERROR(IF(up_Bv!Q9=0,".",((s_Ir*s_F*s_MLF_peach*(1-EXP(-up_RadSpec!AZ9*s_t_b)))/(s_P*up_RadSpec!AZ9))),".")</f>
        <v>2.6824597822007652</v>
      </c>
      <c r="AQ9" s="115">
        <f>IFERROR(IF(up_Bv!R9=0,".",((s_Ir*s_F*s_MLF_pear*(1-EXP(-up_RadSpec!AZ9*s_t_b)))/(s_P*up_RadSpec!AZ9))),".")</f>
        <v>2.6824597822007652</v>
      </c>
      <c r="AR9" s="115">
        <f>IFERROR(IF(up_Bv!S9=0,".",((s_Ir*s_F*s_MLF_peas*(1-EXP(-up_RadSpec!AZ9*s_t_b)))/(s_P*up_RadSpec!AZ9))),".")</f>
        <v>2.6824597822007652</v>
      </c>
      <c r="AS9" s="115">
        <f>IFERROR(IF(up_Bv!T9=0,".",((s_Ir*s_F*s_MLF_peppers*(1-EXP(-up_RadSpec!AZ9*s_t_b)))/(s_P*up_RadSpec!AZ9))),".")</f>
        <v>2.6824597822007652</v>
      </c>
      <c r="AT9" s="115">
        <f>IFERROR(IF(up_Bv!U9=0,".",((s_Ir*s_F*s_MLF_potato*(1-EXP(-up_RadSpec!AZ9*s_t_b)))/(s_P*up_RadSpec!AZ9))),".")</f>
        <v>2.6824597822007652</v>
      </c>
      <c r="AU9" s="115">
        <f>IFERROR(IF(up_Bv!V9=0,".",((s_Ir*s_F*s_MLF_pumpkin*(1-EXP(-up_RadSpec!AZ9*s_t_b)))/(s_P*up_RadSpec!AZ9))),".")</f>
        <v>2.6824597822007652</v>
      </c>
      <c r="AV9" s="115">
        <f>IFERROR(IF(up_Bv!W9=0,".",((s_Ir*s_F*s_MLF_snap_bean*(1-EXP(-up_RadSpec!AZ9*s_t_b)))/(s_P*up_RadSpec!AZ9))),".")</f>
        <v>2.6824597822007652</v>
      </c>
      <c r="AW9" s="115">
        <f>IFERROR(IF(up_Bv!X9=0,".",((s_Ir*s_F*s_MLF_strawberry*(1-EXP(-up_RadSpec!AZ9*s_t_b)))/(s_P*up_RadSpec!AZ9))),".")</f>
        <v>2.6824597822007652</v>
      </c>
      <c r="AX9" s="115">
        <f>IFERROR(IF(up_Bv!Y9=0,".",((s_Ir*s_F*s_MLF_tomato*(1-EXP(-up_RadSpec!AZ9*s_t_b)))/(s_P*up_RadSpec!AZ9))),".")</f>
        <v>2.6824597822007652</v>
      </c>
      <c r="AY9" s="115">
        <f>IFERROR(IF(up_Bv!Z9=0,".",((s_Ir*s_F*s_MLF_rice*(1-EXP(-up_RadSpec!AZ9*s_t_b)))/(s_P*up_RadSpec!AZ9))),".")</f>
        <v>2.6824597822007652</v>
      </c>
      <c r="AZ9" s="115">
        <f>IFERROR(IF(up_Bv!AA9=0,".",((s_Ir*s_F*s_MLF_cereal*(1-EXP(-up_RadSpec!AZ9*s_t_b)))/(s_P*up_RadSpec!AZ9))),".")</f>
        <v>2.6824597822007652</v>
      </c>
      <c r="BA9" s="115">
        <f>IFERROR(IF(up_Bv!C9=0,".",((s_Ir*s_F*s_I_f*s_T*(1-EXP(-up_RadSpec!BA9*s_t_v)))/(s_Y_v*up_RadSpec!BA9))),".")</f>
        <v>9.0143481925428208</v>
      </c>
      <c r="BB9" s="115">
        <f>IFERROR(IF(up_Bv!D9=0,".",((s_Ir*s_F*s_I_f*s_T*(1-EXP(-up_RadSpec!BA9*s_t_v)))/(s_Y_v*up_RadSpec!BA9))),".")</f>
        <v>9.0143481925428208</v>
      </c>
      <c r="BC9" s="115">
        <f>IFERROR(IF(up_Bv!E9=0,".",((s_Ir*s_F*s_I_f*s_T*(1-EXP(-up_RadSpec!BA9*s_t_v)))/(s_Y_v*up_RadSpec!BA9))),".")</f>
        <v>9.0143481925428208</v>
      </c>
      <c r="BD9" s="115">
        <f>IFERROR(IF(up_Bv!F9=0,".",((s_Ir*s_F*s_I_f*s_T*(1-EXP(-up_RadSpec!BA9*s_t_v)))/(s_Y_v*up_RadSpec!BA9))),".")</f>
        <v>9.0143481925428208</v>
      </c>
      <c r="BE9" s="115">
        <f>IFERROR(IF(up_Bv!G9=0,".",((s_Ir*s_F*s_I_f*s_T*(1-EXP(-up_RadSpec!BA9*s_t_v)))/(s_Y_v*up_RadSpec!BA9))),".")</f>
        <v>9.0143481925428208</v>
      </c>
      <c r="BF9" s="115">
        <f>IFERROR(IF(up_Bv!H9=0,".",((s_Ir*s_F*s_I_f*s_T*(1-EXP(-up_RadSpec!BA9*s_t_v)))/(s_Y_v*up_RadSpec!BA9))),".")</f>
        <v>9.0143481925428208</v>
      </c>
      <c r="BG9" s="115">
        <f>IFERROR(IF(up_Bv!I9=0,".",((s_Ir*s_F*s_I_f*s_T*(1-EXP(-up_RadSpec!BA9*s_t_v)))/(s_Y_v*up_RadSpec!BA9))),".")</f>
        <v>9.0143481925428208</v>
      </c>
      <c r="BH9" s="115">
        <f>IFERROR(IF(up_Bv!J9=0,".",((s_Ir*s_F*s_I_f*s_T*(1-EXP(-up_RadSpec!BA9*s_t_v)))/(s_Y_v*up_RadSpec!BA9))),".")</f>
        <v>9.0143481925428208</v>
      </c>
      <c r="BI9" s="115">
        <f>IFERROR(IF(up_Bv!K9=0,".",((s_Ir*s_F*s_I_f*s_T*(1-EXP(-up_RadSpec!BA9*s_t_v)))/(s_Y_v*up_RadSpec!BA9))),".")</f>
        <v>9.0143481925428208</v>
      </c>
      <c r="BJ9" s="115">
        <f>IFERROR(IF(up_Bv!L9=0,".",((s_Ir*s_F*s_I_f*s_T*(1-EXP(-up_RadSpec!BA9*s_t_v)))/(s_Y_v*up_RadSpec!BA9))),".")</f>
        <v>9.0143481925428208</v>
      </c>
      <c r="BK9" s="115">
        <f>IFERROR(IF(up_Bv!M9=0,".",((s_Ir*s_F*s_I_f*s_T*(1-EXP(-up_RadSpec!BA9*s_t_v)))/(s_Y_v*up_RadSpec!BA9))),".")</f>
        <v>9.0143481925428208</v>
      </c>
      <c r="BL9" s="115">
        <f>IFERROR(IF(up_Bv!N9=0,".",((s_Ir*s_F*s_I_f*s_T*(1-EXP(-up_RadSpec!BA9*s_t_v)))/(s_Y_v*up_RadSpec!BA9))),".")</f>
        <v>9.0143481925428208</v>
      </c>
      <c r="BM9" s="115">
        <f>IFERROR(IF(up_Bv!O9=0,".",((s_Ir*s_F*s_I_f*s_T*(1-EXP(-up_RadSpec!BA9*s_t_v)))/(s_Y_v*up_RadSpec!BA9))),".")</f>
        <v>9.0143481925428208</v>
      </c>
      <c r="BN9" s="115">
        <f>IFERROR(IF(up_Bv!P9=0,".",((s_Ir*s_F*s_I_f*s_T*(1-EXP(-up_RadSpec!BA9*s_t_v)))/(s_Y_v*up_RadSpec!BA9))),".")</f>
        <v>9.0143481925428208</v>
      </c>
      <c r="BO9" s="115">
        <f>IFERROR(IF(up_Bv!Q9=0,".",((s_Ir*s_F*s_I_f*s_T*(1-EXP(-up_RadSpec!BA9*s_t_v)))/(s_Y_v*up_RadSpec!BA9))),".")</f>
        <v>9.0143481925428208</v>
      </c>
      <c r="BP9" s="115">
        <f>IFERROR(IF(up_Bv!R9=0,".",((s_Ir*s_F*s_I_f*s_T*(1-EXP(-up_RadSpec!BA9*s_t_v)))/(s_Y_v*up_RadSpec!BA9))),".")</f>
        <v>9.0143481925428208</v>
      </c>
      <c r="BQ9" s="115">
        <f>IFERROR(IF(up_Bv!S9=0,".",((s_Ir*s_F*s_I_f*s_T*(1-EXP(-up_RadSpec!BA9*s_t_v)))/(s_Y_v*up_RadSpec!BA9))),".")</f>
        <v>9.0143481925428208</v>
      </c>
      <c r="BR9" s="115">
        <f>IFERROR(IF(up_Bv!T9=0,".",((s_Ir*s_F*s_I_f*s_T*(1-EXP(-up_RadSpec!BA9*s_t_v)))/(s_Y_v*up_RadSpec!BA9))),".")</f>
        <v>9.0143481925428208</v>
      </c>
      <c r="BS9" s="115">
        <f>IFERROR(IF(up_Bv!U9=0,".",((s_Ir*s_F*s_I_f*s_T*(1-EXP(-up_RadSpec!BA9*s_t_v)))/(s_Y_v*up_RadSpec!BA9))),".")</f>
        <v>9.0143481925428208</v>
      </c>
      <c r="BT9" s="115">
        <f>IFERROR(IF(up_Bv!V9=0,".",((s_Ir*s_F*s_I_f*s_T*(1-EXP(-up_RadSpec!BA9*s_t_v)))/(s_Y_v*up_RadSpec!BA9))),".")</f>
        <v>9.0143481925428208</v>
      </c>
      <c r="BU9" s="115">
        <f>IFERROR(IF(up_Bv!W9=0,".",((s_Ir*s_F*s_I_f*s_T*(1-EXP(-up_RadSpec!BA9*s_t_v)))/(s_Y_v*up_RadSpec!BA9))),".")</f>
        <v>9.0143481925428208</v>
      </c>
      <c r="BV9" s="115">
        <f>IFERROR(IF(up_Bv!X9=0,".",((s_Ir*s_F*s_I_f*s_T*(1-EXP(-up_RadSpec!BA9*s_t_v)))/(s_Y_v*up_RadSpec!BA9))),".")</f>
        <v>9.0143481925428208</v>
      </c>
      <c r="BW9" s="115">
        <f>IFERROR(IF(up_Bv!Y9=0,".",((s_Ir*s_F*s_I_f*s_T*(1-EXP(-up_RadSpec!BA9*s_t_v)))/(s_Y_v*up_RadSpec!BA9))),".")</f>
        <v>9.0143481925428208</v>
      </c>
      <c r="BX9" s="115">
        <f>IFERROR(IF(up_Bv!Z9=0,".",((s_Ir*s_F*s_I_f*s_T*(1-EXP(-up_RadSpec!BA9*s_t_v)))/(s_Y_v*up_RadSpec!BA9))),".")</f>
        <v>9.0143481925428208</v>
      </c>
      <c r="BY9" s="115">
        <f>IFERROR(IF(up_Bv!AA9=0,".",((s_Ir*s_F*s_I_f*s_T*(1-EXP(-up_RadSpec!BA9*s_t_v)))/(s_Y_v*up_RadSpec!BA9))),".")</f>
        <v>9.0143481925428208</v>
      </c>
    </row>
    <row r="10" spans="1:77" x14ac:dyDescent="0.25">
      <c r="A10" s="46" t="s">
        <v>20</v>
      </c>
      <c r="B10" s="42" t="s">
        <v>349</v>
      </c>
      <c r="C10" s="115">
        <f>IFERROR(IF(up_Bv!C10=0,".",((s_Ir*s_F*up_Bv!C10*(1-EXP(-up_RadSpec!$AZ10*s_t_b)))/(s_P*up_RadSpec!$AZ10))),".")</f>
        <v>993.50362303732038</v>
      </c>
      <c r="D10" s="115">
        <f>IFERROR(IF(up_Bv!D10=0,".",((s_Ir*s_F*up_Bv!D10*(1-EXP(-up_RadSpec!AZ10*s_t_b)))/(s_P*up_RadSpec!AZ10))),".")</f>
        <v>993.50362303732038</v>
      </c>
      <c r="E10" s="115">
        <f>IFERROR(IF(up_Bv!E10=0,".",((s_Ir*s_F*up_Bv!E10*(1-EXP(-up_RadSpec!AZ10*s_t_b)))/(s_P*up_RadSpec!AZ10))),".")</f>
        <v>993.50362303732038</v>
      </c>
      <c r="F10" s="115">
        <f>IFERROR(IF(up_Bv!F10=0,".",((s_Ir*s_F*up_Bv!F10*(1-EXP(-up_RadSpec!AZ10*s_t_b)))/(s_P*up_RadSpec!AZ10))),".")</f>
        <v>993.50362303732038</v>
      </c>
      <c r="G10" s="115">
        <f>IFERROR(IF(up_Bv!G10=0,".",((s_Ir*s_F*up_Bv!G10*(1-EXP(-up_RadSpec!AZ10*s_t_b)))/(s_P*up_RadSpec!AZ10))),".")</f>
        <v>993.50362303732038</v>
      </c>
      <c r="H10" s="115">
        <f>IFERROR(IF(up_Bv!H10=0,".",((s_Ir*s_F*up_Bv!H10*(1-EXP(-up_RadSpec!AZ10*s_t_b)))/(s_P*up_RadSpec!AZ10))),".")</f>
        <v>993.50362303732038</v>
      </c>
      <c r="I10" s="115">
        <f>IFERROR(IF(up_Bv!I10=0,".",((s_Ir*s_F*up_Bv!I10*(1-EXP(-up_RadSpec!AZ10*s_t_b)))/(s_P*up_RadSpec!AZ10))),".")</f>
        <v>993.50362303732038</v>
      </c>
      <c r="J10" s="115">
        <f>IFERROR(IF(up_Bv!J10=0,".",((s_Ir*s_F*up_Bv!J10*(1-EXP(-up_RadSpec!AZ10*s_t_b)))/(s_P*up_RadSpec!AZ10))),".")</f>
        <v>993.50362303732038</v>
      </c>
      <c r="K10" s="115">
        <f>IFERROR(IF(up_Bv!K10=0,".",((s_Ir*s_F*up_Bv!K10*(1-EXP(-up_RadSpec!AZ10*s_t_b)))/(s_P*up_RadSpec!AZ10))),".")</f>
        <v>993.50362303732038</v>
      </c>
      <c r="L10" s="115">
        <f>IFERROR(IF(up_Bv!L10=0,".",((s_Ir*s_F*up_Bv!L10*(1-EXP(-up_RadSpec!AZ10*s_t_b)))/(s_P*up_RadSpec!AZ10))),".")</f>
        <v>993.50362303732038</v>
      </c>
      <c r="M10" s="115">
        <f>IFERROR(IF(up_Bv!M10=0,".",((s_Ir*s_F*up_Bv!M10*(1-EXP(-up_RadSpec!AZ10*s_t_b)))/(s_P*up_RadSpec!AZ10))),".")</f>
        <v>993.50362303732038</v>
      </c>
      <c r="N10" s="115">
        <f>IFERROR(IF(up_Bv!N10=0,".",((s_Ir*s_F*up_Bv!N10*(1-EXP(-up_RadSpec!AZ10*s_t_b)))/(s_P*up_RadSpec!AZ10))),".")</f>
        <v>993.50362303732038</v>
      </c>
      <c r="O10" s="115">
        <f>IFERROR(IF(up_Bv!O10=0,".",((s_Ir*s_F*up_Bv!O10*(1-EXP(-up_RadSpec!AZ10*s_t_b)))/(s_P*up_RadSpec!AZ10))),".")</f>
        <v>993.50362303732038</v>
      </c>
      <c r="P10" s="115">
        <f>IFERROR(IF(up_Bv!P10=0,".",((s_Ir*s_F*up_Bv!P10*(1-EXP(-up_RadSpec!AZ10*s_t_b)))/(s_P*up_RadSpec!AZ10))),".")</f>
        <v>993.50362303732038</v>
      </c>
      <c r="Q10" s="115">
        <f>IFERROR(IF(up_Bv!Q10=0,".",((s_Ir*s_F*up_Bv!Q10*(1-EXP(-up_RadSpec!AZ10*s_t_b)))/(s_P*up_RadSpec!AZ10))),".")</f>
        <v>993.50362303732038</v>
      </c>
      <c r="R10" s="115">
        <f>IFERROR(IF(up_Bv!R10=0,".",((s_Ir*s_F*up_Bv!R10*(1-EXP(-up_RadSpec!AZ10*s_t_b)))/(s_P*up_RadSpec!AZ10))),".")</f>
        <v>993.50362303732038</v>
      </c>
      <c r="S10" s="115">
        <f>IFERROR(IF(up_Bv!S10=0,".",((s_Ir*s_F*up_Bv!S10*(1-EXP(-up_RadSpec!AZ10*s_t_b)))/(s_P*up_RadSpec!AZ10))),".")</f>
        <v>993.50362303732038</v>
      </c>
      <c r="T10" s="115">
        <f>IFERROR(IF(up_Bv!T10=0,".",((s_Ir*s_F*up_Bv!T10*(1-EXP(-up_RadSpec!AZ10*s_t_b)))/(s_P*up_RadSpec!AZ10))),".")</f>
        <v>993.50362303732038</v>
      </c>
      <c r="U10" s="115">
        <f>IFERROR(IF(up_Bv!U10=0,".",((s_Ir*s_F*up_Bv!U10*(1-EXP(-up_RadSpec!AZ10*s_t_b)))/(s_P*up_RadSpec!AZ10))),".")</f>
        <v>993.50362303732038</v>
      </c>
      <c r="V10" s="115">
        <f>IFERROR(IF(up_Bv!V10=0,".",((s_Ir*s_F*up_Bv!V10*(1-EXP(-up_RadSpec!AZ10*s_t_b)))/(s_P*up_RadSpec!AZ10))),".")</f>
        <v>993.50362303732038</v>
      </c>
      <c r="W10" s="115">
        <f>IFERROR(IF(up_Bv!W10=0,".",((s_Ir*s_F*up_Bv!W10*(1-EXP(-up_RadSpec!AZ10*s_t_b)))/(s_P*up_RadSpec!AZ10))),".")</f>
        <v>993.50362303732038</v>
      </c>
      <c r="X10" s="115">
        <f>IFERROR(IF(up_Bv!X10=0,".",((s_Ir*s_F*up_Bv!X10*(1-EXP(-up_RadSpec!AZ10*s_t_b)))/(s_P*up_RadSpec!AZ10))),".")</f>
        <v>993.50362303732038</v>
      </c>
      <c r="Y10" s="115">
        <f>IFERROR(IF(up_Bv!Y10=0,".",((s_Ir*s_F*up_Bv!Y10*(1-EXP(-up_RadSpec!AZ10*s_t_b)))/(s_P*up_RadSpec!AZ10))),".")</f>
        <v>993.50362303732038</v>
      </c>
      <c r="Z10" s="115">
        <f>IFERROR(IF(up_Bv!Z10=0,".",((s_Ir*s_F*up_Bv!Z10*(1-EXP(-up_RadSpec!AZ10*s_t_b)))/(s_P*up_RadSpec!AZ10))),".")</f>
        <v>993.50362303732038</v>
      </c>
      <c r="AA10" s="115">
        <f>IFERROR(IF(up_Bv!AA10=0,".",((s_Ir*s_F*up_Bv!AA10*(1-EXP(-up_RadSpec!AZ10*s_t_b)))/(s_P*up_RadSpec!AZ10))),".")</f>
        <v>993.50362303732038</v>
      </c>
      <c r="AB10" s="115">
        <f>IFERROR(IF(up_Bv!C10=0,".",((s_Ir*s_F*s_MLF_apple*(1-EXP(-up_RadSpec!AZ10*s_t_b)))/(s_P*up_RadSpec!AZ10))),".")</f>
        <v>2.6824597822007652</v>
      </c>
      <c r="AC10" s="115">
        <f>IFERROR(IF(up_Bv!D10=0,".",((s_Ir*s_F*s_MLF_asparagus*(1-EXP(-up_RadSpec!AZ10*s_t_b)))/(s_P*up_RadSpec!AZ10))),".")</f>
        <v>2.6824597822007652</v>
      </c>
      <c r="AD10" s="115">
        <f>IFERROR(IF(up_Bv!E10=0,".",((s_Ir*s_F*s_MLF_beet*(1-EXP(-up_RadSpec!AZ10*s_t_b)))/(s_P*up_RadSpec!AZ10))),".")</f>
        <v>2.6824597822007652</v>
      </c>
      <c r="AE10" s="115">
        <f>IFERROR(IF(up_Bv!F10=0,".",((s_Ir*s_F*s_MLF_berries*(1-EXP(-up_RadSpec!AZ10*s_t_b)))/(s_P*up_RadSpec!AZ10))),".")</f>
        <v>2.6824597822007652</v>
      </c>
      <c r="AF10" s="115">
        <f>IFERROR(IF(up_Bv!G10=0,".",((s_Ir*s_F*s_MLF_broccoli*(1-EXP(-up_RadSpec!AZ10*s_t_b)))/(s_P*up_RadSpec!AZ10))),".")</f>
        <v>2.6824597822007652</v>
      </c>
      <c r="AG10" s="115">
        <f>IFERROR(IF(up_Bv!H10=0,".",((s_Ir*s_F*s_MLF_cabbage*(1-EXP(-up_RadSpec!AZ10*s_t_b)))/(s_P*up_RadSpec!AZ10))),".")</f>
        <v>2.6824597822007652</v>
      </c>
      <c r="AH10" s="115">
        <f>IFERROR(IF(up_Bv!I10=0,".",((s_Ir*s_F*s_MLF_carrot*(1-EXP(-up_RadSpec!AZ10*s_t_b)))/(s_P*up_RadSpec!AZ10))),".")</f>
        <v>2.6824597822007652</v>
      </c>
      <c r="AI10" s="115">
        <f>IFERROR(IF(up_Bv!J10=0,".",((s_Ir*s_F*s_MLF_citrus*(1-EXP(-up_RadSpec!AZ10*s_t_b)))/(s_P*up_RadSpec!AZ10))),".")</f>
        <v>2.6824597822007652</v>
      </c>
      <c r="AJ10" s="115">
        <f>IFERROR(IF(up_Bv!K10=0,".",((s_Ir*s_F*s_MLF_corn*(1-EXP(-up_RadSpec!AZ10*s_t_b)))/(s_P*up_RadSpec!AZ10))),".")</f>
        <v>2.6824597822007652</v>
      </c>
      <c r="AK10" s="115">
        <f>IFERROR(IF(up_Bv!L10=0,".",((s_Ir*s_F*s_MLF_cucumber*(1-EXP(-up_RadSpec!AZ10*s_t_b)))/(s_P*up_RadSpec!AZ10))),".")</f>
        <v>2.6824597822007652</v>
      </c>
      <c r="AL10" s="115">
        <f>IFERROR(IF(up_Bv!M10=0,".",((s_Ir*s_F*s_MLF_lettuce*(1-EXP(-up_RadSpec!AZ10*s_t_b)))/(s_P*up_RadSpec!AZ10))),".")</f>
        <v>2.6824597822007652</v>
      </c>
      <c r="AM10" s="115">
        <f>IFERROR(IF(up_Bv!N10=0,".",((s_Ir*s_F*s_MLF_lima_bean*(1-EXP(-up_RadSpec!AZ10*s_t_b)))/(s_P*up_RadSpec!AZ10))),".")</f>
        <v>2.6824597822007652</v>
      </c>
      <c r="AN10" s="115">
        <f>IFERROR(IF(up_Bv!O10=0,".",((s_Ir*s_F*s_MLF_okra*(1-EXP(-up_RadSpec!AZ10*s_t_b)))/(s_P*up_RadSpec!AZ10))),".")</f>
        <v>2.6824597822007652</v>
      </c>
      <c r="AO10" s="115">
        <f>IFERROR(IF(up_Bv!P10=0,".",((s_Ir*s_F*s_MLF_onion*(1-EXP(-up_RadSpec!AZ10*s_t_b)))/(s_P*up_RadSpec!AZ10))),".")</f>
        <v>2.6824597822007652</v>
      </c>
      <c r="AP10" s="115">
        <f>IFERROR(IF(up_Bv!Q10=0,".",((s_Ir*s_F*s_MLF_peach*(1-EXP(-up_RadSpec!AZ10*s_t_b)))/(s_P*up_RadSpec!AZ10))),".")</f>
        <v>2.6824597822007652</v>
      </c>
      <c r="AQ10" s="115">
        <f>IFERROR(IF(up_Bv!R10=0,".",((s_Ir*s_F*s_MLF_pear*(1-EXP(-up_RadSpec!AZ10*s_t_b)))/(s_P*up_RadSpec!AZ10))),".")</f>
        <v>2.6824597822007652</v>
      </c>
      <c r="AR10" s="115">
        <f>IFERROR(IF(up_Bv!S10=0,".",((s_Ir*s_F*s_MLF_peas*(1-EXP(-up_RadSpec!AZ10*s_t_b)))/(s_P*up_RadSpec!AZ10))),".")</f>
        <v>2.6824597822007652</v>
      </c>
      <c r="AS10" s="115">
        <f>IFERROR(IF(up_Bv!T10=0,".",((s_Ir*s_F*s_MLF_peppers*(1-EXP(-up_RadSpec!AZ10*s_t_b)))/(s_P*up_RadSpec!AZ10))),".")</f>
        <v>2.6824597822007652</v>
      </c>
      <c r="AT10" s="115">
        <f>IFERROR(IF(up_Bv!U10=0,".",((s_Ir*s_F*s_MLF_potato*(1-EXP(-up_RadSpec!AZ10*s_t_b)))/(s_P*up_RadSpec!AZ10))),".")</f>
        <v>2.6824597822007652</v>
      </c>
      <c r="AU10" s="115">
        <f>IFERROR(IF(up_Bv!V10=0,".",((s_Ir*s_F*s_MLF_pumpkin*(1-EXP(-up_RadSpec!AZ10*s_t_b)))/(s_P*up_RadSpec!AZ10))),".")</f>
        <v>2.6824597822007652</v>
      </c>
      <c r="AV10" s="115">
        <f>IFERROR(IF(up_Bv!W10=0,".",((s_Ir*s_F*s_MLF_snap_bean*(1-EXP(-up_RadSpec!AZ10*s_t_b)))/(s_P*up_RadSpec!AZ10))),".")</f>
        <v>2.6824597822007652</v>
      </c>
      <c r="AW10" s="115">
        <f>IFERROR(IF(up_Bv!X10=0,".",((s_Ir*s_F*s_MLF_strawberry*(1-EXP(-up_RadSpec!AZ10*s_t_b)))/(s_P*up_RadSpec!AZ10))),".")</f>
        <v>2.6824597822007652</v>
      </c>
      <c r="AX10" s="115">
        <f>IFERROR(IF(up_Bv!Y10=0,".",((s_Ir*s_F*s_MLF_tomato*(1-EXP(-up_RadSpec!AZ10*s_t_b)))/(s_P*up_RadSpec!AZ10))),".")</f>
        <v>2.6824597822007652</v>
      </c>
      <c r="AY10" s="115">
        <f>IFERROR(IF(up_Bv!Z10=0,".",((s_Ir*s_F*s_MLF_rice*(1-EXP(-up_RadSpec!AZ10*s_t_b)))/(s_P*up_RadSpec!AZ10))),".")</f>
        <v>2.6824597822007652</v>
      </c>
      <c r="AZ10" s="115">
        <f>IFERROR(IF(up_Bv!AA10=0,".",((s_Ir*s_F*s_MLF_cereal*(1-EXP(-up_RadSpec!AZ10*s_t_b)))/(s_P*up_RadSpec!AZ10))),".")</f>
        <v>2.6824597822007652</v>
      </c>
      <c r="BA10" s="115">
        <f>IFERROR(IF(up_Bv!C10=0,".",((s_Ir*s_F*s_I_f*s_T*(1-EXP(-up_RadSpec!BA10*s_t_v)))/(s_Y_v*up_RadSpec!BA10))),".")</f>
        <v>9.0143481925428208</v>
      </c>
      <c r="BB10" s="115">
        <f>IFERROR(IF(up_Bv!D10=0,".",((s_Ir*s_F*s_I_f*s_T*(1-EXP(-up_RadSpec!BA10*s_t_v)))/(s_Y_v*up_RadSpec!BA10))),".")</f>
        <v>9.0143481925428208</v>
      </c>
      <c r="BC10" s="115">
        <f>IFERROR(IF(up_Bv!E10=0,".",((s_Ir*s_F*s_I_f*s_T*(1-EXP(-up_RadSpec!BA10*s_t_v)))/(s_Y_v*up_RadSpec!BA10))),".")</f>
        <v>9.0143481925428208</v>
      </c>
      <c r="BD10" s="115">
        <f>IFERROR(IF(up_Bv!F10=0,".",((s_Ir*s_F*s_I_f*s_T*(1-EXP(-up_RadSpec!BA10*s_t_v)))/(s_Y_v*up_RadSpec!BA10))),".")</f>
        <v>9.0143481925428208</v>
      </c>
      <c r="BE10" s="115">
        <f>IFERROR(IF(up_Bv!G10=0,".",((s_Ir*s_F*s_I_f*s_T*(1-EXP(-up_RadSpec!BA10*s_t_v)))/(s_Y_v*up_RadSpec!BA10))),".")</f>
        <v>9.0143481925428208</v>
      </c>
      <c r="BF10" s="115">
        <f>IFERROR(IF(up_Bv!H10=0,".",((s_Ir*s_F*s_I_f*s_T*(1-EXP(-up_RadSpec!BA10*s_t_v)))/(s_Y_v*up_RadSpec!BA10))),".")</f>
        <v>9.0143481925428208</v>
      </c>
      <c r="BG10" s="115">
        <f>IFERROR(IF(up_Bv!I10=0,".",((s_Ir*s_F*s_I_f*s_T*(1-EXP(-up_RadSpec!BA10*s_t_v)))/(s_Y_v*up_RadSpec!BA10))),".")</f>
        <v>9.0143481925428208</v>
      </c>
      <c r="BH10" s="115">
        <f>IFERROR(IF(up_Bv!J10=0,".",((s_Ir*s_F*s_I_f*s_T*(1-EXP(-up_RadSpec!BA10*s_t_v)))/(s_Y_v*up_RadSpec!BA10))),".")</f>
        <v>9.0143481925428208</v>
      </c>
      <c r="BI10" s="115">
        <f>IFERROR(IF(up_Bv!K10=0,".",((s_Ir*s_F*s_I_f*s_T*(1-EXP(-up_RadSpec!BA10*s_t_v)))/(s_Y_v*up_RadSpec!BA10))),".")</f>
        <v>9.0143481925428208</v>
      </c>
      <c r="BJ10" s="115">
        <f>IFERROR(IF(up_Bv!L10=0,".",((s_Ir*s_F*s_I_f*s_T*(1-EXP(-up_RadSpec!BA10*s_t_v)))/(s_Y_v*up_RadSpec!BA10))),".")</f>
        <v>9.0143481925428208</v>
      </c>
      <c r="BK10" s="115">
        <f>IFERROR(IF(up_Bv!M10=0,".",((s_Ir*s_F*s_I_f*s_T*(1-EXP(-up_RadSpec!BA10*s_t_v)))/(s_Y_v*up_RadSpec!BA10))),".")</f>
        <v>9.0143481925428208</v>
      </c>
      <c r="BL10" s="115">
        <f>IFERROR(IF(up_Bv!N10=0,".",((s_Ir*s_F*s_I_f*s_T*(1-EXP(-up_RadSpec!BA10*s_t_v)))/(s_Y_v*up_RadSpec!BA10))),".")</f>
        <v>9.0143481925428208</v>
      </c>
      <c r="BM10" s="115">
        <f>IFERROR(IF(up_Bv!O10=0,".",((s_Ir*s_F*s_I_f*s_T*(1-EXP(-up_RadSpec!BA10*s_t_v)))/(s_Y_v*up_RadSpec!BA10))),".")</f>
        <v>9.0143481925428208</v>
      </c>
      <c r="BN10" s="115">
        <f>IFERROR(IF(up_Bv!P10=0,".",((s_Ir*s_F*s_I_f*s_T*(1-EXP(-up_RadSpec!BA10*s_t_v)))/(s_Y_v*up_RadSpec!BA10))),".")</f>
        <v>9.0143481925428208</v>
      </c>
      <c r="BO10" s="115">
        <f>IFERROR(IF(up_Bv!Q10=0,".",((s_Ir*s_F*s_I_f*s_T*(1-EXP(-up_RadSpec!BA10*s_t_v)))/(s_Y_v*up_RadSpec!BA10))),".")</f>
        <v>9.0143481925428208</v>
      </c>
      <c r="BP10" s="115">
        <f>IFERROR(IF(up_Bv!R10=0,".",((s_Ir*s_F*s_I_f*s_T*(1-EXP(-up_RadSpec!BA10*s_t_v)))/(s_Y_v*up_RadSpec!BA10))),".")</f>
        <v>9.0143481925428208</v>
      </c>
      <c r="BQ10" s="115">
        <f>IFERROR(IF(up_Bv!S10=0,".",((s_Ir*s_F*s_I_f*s_T*(1-EXP(-up_RadSpec!BA10*s_t_v)))/(s_Y_v*up_RadSpec!BA10))),".")</f>
        <v>9.0143481925428208</v>
      </c>
      <c r="BR10" s="115">
        <f>IFERROR(IF(up_Bv!T10=0,".",((s_Ir*s_F*s_I_f*s_T*(1-EXP(-up_RadSpec!BA10*s_t_v)))/(s_Y_v*up_RadSpec!BA10))),".")</f>
        <v>9.0143481925428208</v>
      </c>
      <c r="BS10" s="115">
        <f>IFERROR(IF(up_Bv!U10=0,".",((s_Ir*s_F*s_I_f*s_T*(1-EXP(-up_RadSpec!BA10*s_t_v)))/(s_Y_v*up_RadSpec!BA10))),".")</f>
        <v>9.0143481925428208</v>
      </c>
      <c r="BT10" s="115">
        <f>IFERROR(IF(up_Bv!V10=0,".",((s_Ir*s_F*s_I_f*s_T*(1-EXP(-up_RadSpec!BA10*s_t_v)))/(s_Y_v*up_RadSpec!BA10))),".")</f>
        <v>9.0143481925428208</v>
      </c>
      <c r="BU10" s="115">
        <f>IFERROR(IF(up_Bv!W10=0,".",((s_Ir*s_F*s_I_f*s_T*(1-EXP(-up_RadSpec!BA10*s_t_v)))/(s_Y_v*up_RadSpec!BA10))),".")</f>
        <v>9.0143481925428208</v>
      </c>
      <c r="BV10" s="115">
        <f>IFERROR(IF(up_Bv!X10=0,".",((s_Ir*s_F*s_I_f*s_T*(1-EXP(-up_RadSpec!BA10*s_t_v)))/(s_Y_v*up_RadSpec!BA10))),".")</f>
        <v>9.0143481925428208</v>
      </c>
      <c r="BW10" s="115">
        <f>IFERROR(IF(up_Bv!Y10=0,".",((s_Ir*s_F*s_I_f*s_T*(1-EXP(-up_RadSpec!BA10*s_t_v)))/(s_Y_v*up_RadSpec!BA10))),".")</f>
        <v>9.0143481925428208</v>
      </c>
      <c r="BX10" s="115">
        <f>IFERROR(IF(up_Bv!Z10=0,".",((s_Ir*s_F*s_I_f*s_T*(1-EXP(-up_RadSpec!BA10*s_t_v)))/(s_Y_v*up_RadSpec!BA10))),".")</f>
        <v>9.0143481925428208</v>
      </c>
      <c r="BY10" s="115">
        <f>IFERROR(IF(up_Bv!AA10=0,".",((s_Ir*s_F*s_I_f*s_T*(1-EXP(-up_RadSpec!BA10*s_t_v)))/(s_Y_v*up_RadSpec!BA10))),".")</f>
        <v>9.0143481925428208</v>
      </c>
    </row>
    <row r="11" spans="1:77" x14ac:dyDescent="0.25">
      <c r="A11" s="44" t="s">
        <v>21</v>
      </c>
      <c r="B11" s="42" t="s">
        <v>1071</v>
      </c>
      <c r="C11" s="115">
        <f>IFERROR(IF(up_Bv!C11=0,".",((s_Ir*s_F*up_Bv!C11*(1-EXP(-up_RadSpec!$AZ11*s_t_b)))/(s_P*up_RadSpec!$AZ11))),".")</f>
        <v>993.50362303732038</v>
      </c>
      <c r="D11" s="115">
        <f>IFERROR(IF(up_Bv!D11=0,".",((s_Ir*s_F*up_Bv!D11*(1-EXP(-up_RadSpec!AZ11*s_t_b)))/(s_P*up_RadSpec!AZ11))),".")</f>
        <v>993.50362303732038</v>
      </c>
      <c r="E11" s="115">
        <f>IFERROR(IF(up_Bv!E11=0,".",((s_Ir*s_F*up_Bv!E11*(1-EXP(-up_RadSpec!AZ11*s_t_b)))/(s_P*up_RadSpec!AZ11))),".")</f>
        <v>993.50362303732038</v>
      </c>
      <c r="F11" s="115">
        <f>IFERROR(IF(up_Bv!F11=0,".",((s_Ir*s_F*up_Bv!F11*(1-EXP(-up_RadSpec!AZ11*s_t_b)))/(s_P*up_RadSpec!AZ11))),".")</f>
        <v>993.50362303732038</v>
      </c>
      <c r="G11" s="115">
        <f>IFERROR(IF(up_Bv!G11=0,".",((s_Ir*s_F*up_Bv!G11*(1-EXP(-up_RadSpec!AZ11*s_t_b)))/(s_P*up_RadSpec!AZ11))),".")</f>
        <v>993.50362303732038</v>
      </c>
      <c r="H11" s="115">
        <f>IFERROR(IF(up_Bv!H11=0,".",((s_Ir*s_F*up_Bv!H11*(1-EXP(-up_RadSpec!AZ11*s_t_b)))/(s_P*up_RadSpec!AZ11))),".")</f>
        <v>993.50362303732038</v>
      </c>
      <c r="I11" s="115">
        <f>IFERROR(IF(up_Bv!I11=0,".",((s_Ir*s_F*up_Bv!I11*(1-EXP(-up_RadSpec!AZ11*s_t_b)))/(s_P*up_RadSpec!AZ11))),".")</f>
        <v>993.50362303732038</v>
      </c>
      <c r="J11" s="115">
        <f>IFERROR(IF(up_Bv!J11=0,".",((s_Ir*s_F*up_Bv!J11*(1-EXP(-up_RadSpec!AZ11*s_t_b)))/(s_P*up_RadSpec!AZ11))),".")</f>
        <v>993.50362303732038</v>
      </c>
      <c r="K11" s="115">
        <f>IFERROR(IF(up_Bv!K11=0,".",((s_Ir*s_F*up_Bv!K11*(1-EXP(-up_RadSpec!AZ11*s_t_b)))/(s_P*up_RadSpec!AZ11))),".")</f>
        <v>993.50362303732038</v>
      </c>
      <c r="L11" s="115">
        <f>IFERROR(IF(up_Bv!L11=0,".",((s_Ir*s_F*up_Bv!L11*(1-EXP(-up_RadSpec!AZ11*s_t_b)))/(s_P*up_RadSpec!AZ11))),".")</f>
        <v>993.50362303732038</v>
      </c>
      <c r="M11" s="115">
        <f>IFERROR(IF(up_Bv!M11=0,".",((s_Ir*s_F*up_Bv!M11*(1-EXP(-up_RadSpec!AZ11*s_t_b)))/(s_P*up_RadSpec!AZ11))),".")</f>
        <v>993.50362303732038</v>
      </c>
      <c r="N11" s="115">
        <f>IFERROR(IF(up_Bv!N11=0,".",((s_Ir*s_F*up_Bv!N11*(1-EXP(-up_RadSpec!AZ11*s_t_b)))/(s_P*up_RadSpec!AZ11))),".")</f>
        <v>993.50362303732038</v>
      </c>
      <c r="O11" s="115">
        <f>IFERROR(IF(up_Bv!O11=0,".",((s_Ir*s_F*up_Bv!O11*(1-EXP(-up_RadSpec!AZ11*s_t_b)))/(s_P*up_RadSpec!AZ11))),".")</f>
        <v>993.50362303732038</v>
      </c>
      <c r="P11" s="115">
        <f>IFERROR(IF(up_Bv!P11=0,".",((s_Ir*s_F*up_Bv!P11*(1-EXP(-up_RadSpec!AZ11*s_t_b)))/(s_P*up_RadSpec!AZ11))),".")</f>
        <v>993.50362303732038</v>
      </c>
      <c r="Q11" s="115">
        <f>IFERROR(IF(up_Bv!Q11=0,".",((s_Ir*s_F*up_Bv!Q11*(1-EXP(-up_RadSpec!AZ11*s_t_b)))/(s_P*up_RadSpec!AZ11))),".")</f>
        <v>993.50362303732038</v>
      </c>
      <c r="R11" s="115">
        <f>IFERROR(IF(up_Bv!R11=0,".",((s_Ir*s_F*up_Bv!R11*(1-EXP(-up_RadSpec!AZ11*s_t_b)))/(s_P*up_RadSpec!AZ11))),".")</f>
        <v>993.50362303732038</v>
      </c>
      <c r="S11" s="115">
        <f>IFERROR(IF(up_Bv!S11=0,".",((s_Ir*s_F*up_Bv!S11*(1-EXP(-up_RadSpec!AZ11*s_t_b)))/(s_P*up_RadSpec!AZ11))),".")</f>
        <v>993.50362303732038</v>
      </c>
      <c r="T11" s="115">
        <f>IFERROR(IF(up_Bv!T11=0,".",((s_Ir*s_F*up_Bv!T11*(1-EXP(-up_RadSpec!AZ11*s_t_b)))/(s_P*up_RadSpec!AZ11))),".")</f>
        <v>993.50362303732038</v>
      </c>
      <c r="U11" s="115">
        <f>IFERROR(IF(up_Bv!U11=0,".",((s_Ir*s_F*up_Bv!U11*(1-EXP(-up_RadSpec!AZ11*s_t_b)))/(s_P*up_RadSpec!AZ11))),".")</f>
        <v>993.50362303732038</v>
      </c>
      <c r="V11" s="115">
        <f>IFERROR(IF(up_Bv!V11=0,".",((s_Ir*s_F*up_Bv!V11*(1-EXP(-up_RadSpec!AZ11*s_t_b)))/(s_P*up_RadSpec!AZ11))),".")</f>
        <v>993.50362303732038</v>
      </c>
      <c r="W11" s="115">
        <f>IFERROR(IF(up_Bv!W11=0,".",((s_Ir*s_F*up_Bv!W11*(1-EXP(-up_RadSpec!AZ11*s_t_b)))/(s_P*up_RadSpec!AZ11))),".")</f>
        <v>993.50362303732038</v>
      </c>
      <c r="X11" s="115">
        <f>IFERROR(IF(up_Bv!X11=0,".",((s_Ir*s_F*up_Bv!X11*(1-EXP(-up_RadSpec!AZ11*s_t_b)))/(s_P*up_RadSpec!AZ11))),".")</f>
        <v>993.50362303732038</v>
      </c>
      <c r="Y11" s="115">
        <f>IFERROR(IF(up_Bv!Y11=0,".",((s_Ir*s_F*up_Bv!Y11*(1-EXP(-up_RadSpec!AZ11*s_t_b)))/(s_P*up_RadSpec!AZ11))),".")</f>
        <v>993.50362303732038</v>
      </c>
      <c r="Z11" s="115">
        <f>IFERROR(IF(up_Bv!Z11=0,".",((s_Ir*s_F*up_Bv!Z11*(1-EXP(-up_RadSpec!AZ11*s_t_b)))/(s_P*up_RadSpec!AZ11))),".")</f>
        <v>993.50362303732038</v>
      </c>
      <c r="AA11" s="115">
        <f>IFERROR(IF(up_Bv!AA11=0,".",((s_Ir*s_F*up_Bv!AA11*(1-EXP(-up_RadSpec!AZ11*s_t_b)))/(s_P*up_RadSpec!AZ11))),".")</f>
        <v>993.50362303732038</v>
      </c>
      <c r="AB11" s="115">
        <f>IFERROR(IF(up_Bv!C11=0,".",((s_Ir*s_F*s_MLF_apple*(1-EXP(-up_RadSpec!AZ11*s_t_b)))/(s_P*up_RadSpec!AZ11))),".")</f>
        <v>2.6824597822007652</v>
      </c>
      <c r="AC11" s="115">
        <f>IFERROR(IF(up_Bv!D11=0,".",((s_Ir*s_F*s_MLF_asparagus*(1-EXP(-up_RadSpec!AZ11*s_t_b)))/(s_P*up_RadSpec!AZ11))),".")</f>
        <v>2.6824597822007652</v>
      </c>
      <c r="AD11" s="115">
        <f>IFERROR(IF(up_Bv!E11=0,".",((s_Ir*s_F*s_MLF_beet*(1-EXP(-up_RadSpec!AZ11*s_t_b)))/(s_P*up_RadSpec!AZ11))),".")</f>
        <v>2.6824597822007652</v>
      </c>
      <c r="AE11" s="115">
        <f>IFERROR(IF(up_Bv!F11=0,".",((s_Ir*s_F*s_MLF_berries*(1-EXP(-up_RadSpec!AZ11*s_t_b)))/(s_P*up_RadSpec!AZ11))),".")</f>
        <v>2.6824597822007652</v>
      </c>
      <c r="AF11" s="115">
        <f>IFERROR(IF(up_Bv!G11=0,".",((s_Ir*s_F*s_MLF_broccoli*(1-EXP(-up_RadSpec!AZ11*s_t_b)))/(s_P*up_RadSpec!AZ11))),".")</f>
        <v>2.6824597822007652</v>
      </c>
      <c r="AG11" s="115">
        <f>IFERROR(IF(up_Bv!H11=0,".",((s_Ir*s_F*s_MLF_cabbage*(1-EXP(-up_RadSpec!AZ11*s_t_b)))/(s_P*up_RadSpec!AZ11))),".")</f>
        <v>2.6824597822007652</v>
      </c>
      <c r="AH11" s="115">
        <f>IFERROR(IF(up_Bv!I11=0,".",((s_Ir*s_F*s_MLF_carrot*(1-EXP(-up_RadSpec!AZ11*s_t_b)))/(s_P*up_RadSpec!AZ11))),".")</f>
        <v>2.6824597822007652</v>
      </c>
      <c r="AI11" s="115">
        <f>IFERROR(IF(up_Bv!J11=0,".",((s_Ir*s_F*s_MLF_citrus*(1-EXP(-up_RadSpec!AZ11*s_t_b)))/(s_P*up_RadSpec!AZ11))),".")</f>
        <v>2.6824597822007652</v>
      </c>
      <c r="AJ11" s="115">
        <f>IFERROR(IF(up_Bv!K11=0,".",((s_Ir*s_F*s_MLF_corn*(1-EXP(-up_RadSpec!AZ11*s_t_b)))/(s_P*up_RadSpec!AZ11))),".")</f>
        <v>2.6824597822007652</v>
      </c>
      <c r="AK11" s="115">
        <f>IFERROR(IF(up_Bv!L11=0,".",((s_Ir*s_F*s_MLF_cucumber*(1-EXP(-up_RadSpec!AZ11*s_t_b)))/(s_P*up_RadSpec!AZ11))),".")</f>
        <v>2.6824597822007652</v>
      </c>
      <c r="AL11" s="115">
        <f>IFERROR(IF(up_Bv!M11=0,".",((s_Ir*s_F*s_MLF_lettuce*(1-EXP(-up_RadSpec!AZ11*s_t_b)))/(s_P*up_RadSpec!AZ11))),".")</f>
        <v>2.6824597822007652</v>
      </c>
      <c r="AM11" s="115">
        <f>IFERROR(IF(up_Bv!N11=0,".",((s_Ir*s_F*s_MLF_lima_bean*(1-EXP(-up_RadSpec!AZ11*s_t_b)))/(s_P*up_RadSpec!AZ11))),".")</f>
        <v>2.6824597822007652</v>
      </c>
      <c r="AN11" s="115">
        <f>IFERROR(IF(up_Bv!O11=0,".",((s_Ir*s_F*s_MLF_okra*(1-EXP(-up_RadSpec!AZ11*s_t_b)))/(s_P*up_RadSpec!AZ11))),".")</f>
        <v>2.6824597822007652</v>
      </c>
      <c r="AO11" s="115">
        <f>IFERROR(IF(up_Bv!P11=0,".",((s_Ir*s_F*s_MLF_onion*(1-EXP(-up_RadSpec!AZ11*s_t_b)))/(s_P*up_RadSpec!AZ11))),".")</f>
        <v>2.6824597822007652</v>
      </c>
      <c r="AP11" s="115">
        <f>IFERROR(IF(up_Bv!Q11=0,".",((s_Ir*s_F*s_MLF_peach*(1-EXP(-up_RadSpec!AZ11*s_t_b)))/(s_P*up_RadSpec!AZ11))),".")</f>
        <v>2.6824597822007652</v>
      </c>
      <c r="AQ11" s="115">
        <f>IFERROR(IF(up_Bv!R11=0,".",((s_Ir*s_F*s_MLF_pear*(1-EXP(-up_RadSpec!AZ11*s_t_b)))/(s_P*up_RadSpec!AZ11))),".")</f>
        <v>2.6824597822007652</v>
      </c>
      <c r="AR11" s="115">
        <f>IFERROR(IF(up_Bv!S11=0,".",((s_Ir*s_F*s_MLF_peas*(1-EXP(-up_RadSpec!AZ11*s_t_b)))/(s_P*up_RadSpec!AZ11))),".")</f>
        <v>2.6824597822007652</v>
      </c>
      <c r="AS11" s="115">
        <f>IFERROR(IF(up_Bv!T11=0,".",((s_Ir*s_F*s_MLF_peppers*(1-EXP(-up_RadSpec!AZ11*s_t_b)))/(s_P*up_RadSpec!AZ11))),".")</f>
        <v>2.6824597822007652</v>
      </c>
      <c r="AT11" s="115">
        <f>IFERROR(IF(up_Bv!U11=0,".",((s_Ir*s_F*s_MLF_potato*(1-EXP(-up_RadSpec!AZ11*s_t_b)))/(s_P*up_RadSpec!AZ11))),".")</f>
        <v>2.6824597822007652</v>
      </c>
      <c r="AU11" s="115">
        <f>IFERROR(IF(up_Bv!V11=0,".",((s_Ir*s_F*s_MLF_pumpkin*(1-EXP(-up_RadSpec!AZ11*s_t_b)))/(s_P*up_RadSpec!AZ11))),".")</f>
        <v>2.6824597822007652</v>
      </c>
      <c r="AV11" s="115">
        <f>IFERROR(IF(up_Bv!W11=0,".",((s_Ir*s_F*s_MLF_snap_bean*(1-EXP(-up_RadSpec!AZ11*s_t_b)))/(s_P*up_RadSpec!AZ11))),".")</f>
        <v>2.6824597822007652</v>
      </c>
      <c r="AW11" s="115">
        <f>IFERROR(IF(up_Bv!X11=0,".",((s_Ir*s_F*s_MLF_strawberry*(1-EXP(-up_RadSpec!AZ11*s_t_b)))/(s_P*up_RadSpec!AZ11))),".")</f>
        <v>2.6824597822007652</v>
      </c>
      <c r="AX11" s="115">
        <f>IFERROR(IF(up_Bv!Y11=0,".",((s_Ir*s_F*s_MLF_tomato*(1-EXP(-up_RadSpec!AZ11*s_t_b)))/(s_P*up_RadSpec!AZ11))),".")</f>
        <v>2.6824597822007652</v>
      </c>
      <c r="AY11" s="115">
        <f>IFERROR(IF(up_Bv!Z11=0,".",((s_Ir*s_F*s_MLF_rice*(1-EXP(-up_RadSpec!AZ11*s_t_b)))/(s_P*up_RadSpec!AZ11))),".")</f>
        <v>2.6824597822007652</v>
      </c>
      <c r="AZ11" s="115">
        <f>IFERROR(IF(up_Bv!AA11=0,".",((s_Ir*s_F*s_MLF_cereal*(1-EXP(-up_RadSpec!AZ11*s_t_b)))/(s_P*up_RadSpec!AZ11))),".")</f>
        <v>2.6824597822007652</v>
      </c>
      <c r="BA11" s="115">
        <f>IFERROR(IF(up_Bv!C11=0,".",((s_Ir*s_F*s_I_f*s_T*(1-EXP(-up_RadSpec!BA11*s_t_v)))/(s_Y_v*up_RadSpec!BA11))),".")</f>
        <v>9.0143481925428208</v>
      </c>
      <c r="BB11" s="115">
        <f>IFERROR(IF(up_Bv!D11=0,".",((s_Ir*s_F*s_I_f*s_T*(1-EXP(-up_RadSpec!BA11*s_t_v)))/(s_Y_v*up_RadSpec!BA11))),".")</f>
        <v>9.0143481925428208</v>
      </c>
      <c r="BC11" s="115">
        <f>IFERROR(IF(up_Bv!E11=0,".",((s_Ir*s_F*s_I_f*s_T*(1-EXP(-up_RadSpec!BA11*s_t_v)))/(s_Y_v*up_RadSpec!BA11))),".")</f>
        <v>9.0143481925428208</v>
      </c>
      <c r="BD11" s="115">
        <f>IFERROR(IF(up_Bv!F11=0,".",((s_Ir*s_F*s_I_f*s_T*(1-EXP(-up_RadSpec!BA11*s_t_v)))/(s_Y_v*up_RadSpec!BA11))),".")</f>
        <v>9.0143481925428208</v>
      </c>
      <c r="BE11" s="115">
        <f>IFERROR(IF(up_Bv!G11=0,".",((s_Ir*s_F*s_I_f*s_T*(1-EXP(-up_RadSpec!BA11*s_t_v)))/(s_Y_v*up_RadSpec!BA11))),".")</f>
        <v>9.0143481925428208</v>
      </c>
      <c r="BF11" s="115">
        <f>IFERROR(IF(up_Bv!H11=0,".",((s_Ir*s_F*s_I_f*s_T*(1-EXP(-up_RadSpec!BA11*s_t_v)))/(s_Y_v*up_RadSpec!BA11))),".")</f>
        <v>9.0143481925428208</v>
      </c>
      <c r="BG11" s="115">
        <f>IFERROR(IF(up_Bv!I11=0,".",((s_Ir*s_F*s_I_f*s_T*(1-EXP(-up_RadSpec!BA11*s_t_v)))/(s_Y_v*up_RadSpec!BA11))),".")</f>
        <v>9.0143481925428208</v>
      </c>
      <c r="BH11" s="115">
        <f>IFERROR(IF(up_Bv!J11=0,".",((s_Ir*s_F*s_I_f*s_T*(1-EXP(-up_RadSpec!BA11*s_t_v)))/(s_Y_v*up_RadSpec!BA11))),".")</f>
        <v>9.0143481925428208</v>
      </c>
      <c r="BI11" s="115">
        <f>IFERROR(IF(up_Bv!K11=0,".",((s_Ir*s_F*s_I_f*s_T*(1-EXP(-up_RadSpec!BA11*s_t_v)))/(s_Y_v*up_RadSpec!BA11))),".")</f>
        <v>9.0143481925428208</v>
      </c>
      <c r="BJ11" s="115">
        <f>IFERROR(IF(up_Bv!L11=0,".",((s_Ir*s_F*s_I_f*s_T*(1-EXP(-up_RadSpec!BA11*s_t_v)))/(s_Y_v*up_RadSpec!BA11))),".")</f>
        <v>9.0143481925428208</v>
      </c>
      <c r="BK11" s="115">
        <f>IFERROR(IF(up_Bv!M11=0,".",((s_Ir*s_F*s_I_f*s_T*(1-EXP(-up_RadSpec!BA11*s_t_v)))/(s_Y_v*up_RadSpec!BA11))),".")</f>
        <v>9.0143481925428208</v>
      </c>
      <c r="BL11" s="115">
        <f>IFERROR(IF(up_Bv!N11=0,".",((s_Ir*s_F*s_I_f*s_T*(1-EXP(-up_RadSpec!BA11*s_t_v)))/(s_Y_v*up_RadSpec!BA11))),".")</f>
        <v>9.0143481925428208</v>
      </c>
      <c r="BM11" s="115">
        <f>IFERROR(IF(up_Bv!O11=0,".",((s_Ir*s_F*s_I_f*s_T*(1-EXP(-up_RadSpec!BA11*s_t_v)))/(s_Y_v*up_RadSpec!BA11))),".")</f>
        <v>9.0143481925428208</v>
      </c>
      <c r="BN11" s="115">
        <f>IFERROR(IF(up_Bv!P11=0,".",((s_Ir*s_F*s_I_f*s_T*(1-EXP(-up_RadSpec!BA11*s_t_v)))/(s_Y_v*up_RadSpec!BA11))),".")</f>
        <v>9.0143481925428208</v>
      </c>
      <c r="BO11" s="115">
        <f>IFERROR(IF(up_Bv!Q11=0,".",((s_Ir*s_F*s_I_f*s_T*(1-EXP(-up_RadSpec!BA11*s_t_v)))/(s_Y_v*up_RadSpec!BA11))),".")</f>
        <v>9.0143481925428208</v>
      </c>
      <c r="BP11" s="115">
        <f>IFERROR(IF(up_Bv!R11=0,".",((s_Ir*s_F*s_I_f*s_T*(1-EXP(-up_RadSpec!BA11*s_t_v)))/(s_Y_v*up_RadSpec!BA11))),".")</f>
        <v>9.0143481925428208</v>
      </c>
      <c r="BQ11" s="115">
        <f>IFERROR(IF(up_Bv!S11=0,".",((s_Ir*s_F*s_I_f*s_T*(1-EXP(-up_RadSpec!BA11*s_t_v)))/(s_Y_v*up_RadSpec!BA11))),".")</f>
        <v>9.0143481925428208</v>
      </c>
      <c r="BR11" s="115">
        <f>IFERROR(IF(up_Bv!T11=0,".",((s_Ir*s_F*s_I_f*s_T*(1-EXP(-up_RadSpec!BA11*s_t_v)))/(s_Y_v*up_RadSpec!BA11))),".")</f>
        <v>9.0143481925428208</v>
      </c>
      <c r="BS11" s="115">
        <f>IFERROR(IF(up_Bv!U11=0,".",((s_Ir*s_F*s_I_f*s_T*(1-EXP(-up_RadSpec!BA11*s_t_v)))/(s_Y_v*up_RadSpec!BA11))),".")</f>
        <v>9.0143481925428208</v>
      </c>
      <c r="BT11" s="115">
        <f>IFERROR(IF(up_Bv!V11=0,".",((s_Ir*s_F*s_I_f*s_T*(1-EXP(-up_RadSpec!BA11*s_t_v)))/(s_Y_v*up_RadSpec!BA11))),".")</f>
        <v>9.0143481925428208</v>
      </c>
      <c r="BU11" s="115">
        <f>IFERROR(IF(up_Bv!W11=0,".",((s_Ir*s_F*s_I_f*s_T*(1-EXP(-up_RadSpec!BA11*s_t_v)))/(s_Y_v*up_RadSpec!BA11))),".")</f>
        <v>9.0143481925428208</v>
      </c>
      <c r="BV11" s="115">
        <f>IFERROR(IF(up_Bv!X11=0,".",((s_Ir*s_F*s_I_f*s_T*(1-EXP(-up_RadSpec!BA11*s_t_v)))/(s_Y_v*up_RadSpec!BA11))),".")</f>
        <v>9.0143481925428208</v>
      </c>
      <c r="BW11" s="115">
        <f>IFERROR(IF(up_Bv!Y11=0,".",((s_Ir*s_F*s_I_f*s_T*(1-EXP(-up_RadSpec!BA11*s_t_v)))/(s_Y_v*up_RadSpec!BA11))),".")</f>
        <v>9.0143481925428208</v>
      </c>
      <c r="BX11" s="115">
        <f>IFERROR(IF(up_Bv!Z11=0,".",((s_Ir*s_F*s_I_f*s_T*(1-EXP(-up_RadSpec!BA11*s_t_v)))/(s_Y_v*up_RadSpec!BA11))),".")</f>
        <v>9.0143481925428208</v>
      </c>
      <c r="BY11" s="115">
        <f>IFERROR(IF(up_Bv!AA11=0,".",((s_Ir*s_F*s_I_f*s_T*(1-EXP(-up_RadSpec!BA11*s_t_v)))/(s_Y_v*up_RadSpec!BA11))),".")</f>
        <v>9.0143481925428208</v>
      </c>
    </row>
    <row r="12" spans="1:77" x14ac:dyDescent="0.25">
      <c r="A12" s="44" t="s">
        <v>22</v>
      </c>
      <c r="B12" s="42" t="s">
        <v>1071</v>
      </c>
      <c r="C12" s="115">
        <f>IFERROR(IF(up_Bv!C12=0,".",((s_Ir*s_F*up_Bv!C12*(1-EXP(-up_RadSpec!$AZ12*s_t_b)))/(s_P*up_RadSpec!$AZ12))),".")</f>
        <v>993.50362303732038</v>
      </c>
      <c r="D12" s="115">
        <f>IFERROR(IF(up_Bv!D12=0,".",((s_Ir*s_F*up_Bv!D12*(1-EXP(-up_RadSpec!AZ12*s_t_b)))/(s_P*up_RadSpec!AZ12))),".")</f>
        <v>993.50362303732038</v>
      </c>
      <c r="E12" s="115">
        <f>IFERROR(IF(up_Bv!E12=0,".",((s_Ir*s_F*up_Bv!E12*(1-EXP(-up_RadSpec!AZ12*s_t_b)))/(s_P*up_RadSpec!AZ12))),".")</f>
        <v>993.50362303732038</v>
      </c>
      <c r="F12" s="115">
        <f>IFERROR(IF(up_Bv!F12=0,".",((s_Ir*s_F*up_Bv!F12*(1-EXP(-up_RadSpec!AZ12*s_t_b)))/(s_P*up_RadSpec!AZ12))),".")</f>
        <v>993.50362303732038</v>
      </c>
      <c r="G12" s="115">
        <f>IFERROR(IF(up_Bv!G12=0,".",((s_Ir*s_F*up_Bv!G12*(1-EXP(-up_RadSpec!AZ12*s_t_b)))/(s_P*up_RadSpec!AZ12))),".")</f>
        <v>993.50362303732038</v>
      </c>
      <c r="H12" s="115">
        <f>IFERROR(IF(up_Bv!H12=0,".",((s_Ir*s_F*up_Bv!H12*(1-EXP(-up_RadSpec!AZ12*s_t_b)))/(s_P*up_RadSpec!AZ12))),".")</f>
        <v>993.50362303732038</v>
      </c>
      <c r="I12" s="115">
        <f>IFERROR(IF(up_Bv!I12=0,".",((s_Ir*s_F*up_Bv!I12*(1-EXP(-up_RadSpec!AZ12*s_t_b)))/(s_P*up_RadSpec!AZ12))),".")</f>
        <v>993.50362303732038</v>
      </c>
      <c r="J12" s="115">
        <f>IFERROR(IF(up_Bv!J12=0,".",((s_Ir*s_F*up_Bv!J12*(1-EXP(-up_RadSpec!AZ12*s_t_b)))/(s_P*up_RadSpec!AZ12))),".")</f>
        <v>993.50362303732038</v>
      </c>
      <c r="K12" s="115">
        <f>IFERROR(IF(up_Bv!K12=0,".",((s_Ir*s_F*up_Bv!K12*(1-EXP(-up_RadSpec!AZ12*s_t_b)))/(s_P*up_RadSpec!AZ12))),".")</f>
        <v>993.50362303732038</v>
      </c>
      <c r="L12" s="115">
        <f>IFERROR(IF(up_Bv!L12=0,".",((s_Ir*s_F*up_Bv!L12*(1-EXP(-up_RadSpec!AZ12*s_t_b)))/(s_P*up_RadSpec!AZ12))),".")</f>
        <v>993.50362303732038</v>
      </c>
      <c r="M12" s="115">
        <f>IFERROR(IF(up_Bv!M12=0,".",((s_Ir*s_F*up_Bv!M12*(1-EXP(-up_RadSpec!AZ12*s_t_b)))/(s_P*up_RadSpec!AZ12))),".")</f>
        <v>993.50362303732038</v>
      </c>
      <c r="N12" s="115">
        <f>IFERROR(IF(up_Bv!N12=0,".",((s_Ir*s_F*up_Bv!N12*(1-EXP(-up_RadSpec!AZ12*s_t_b)))/(s_P*up_RadSpec!AZ12))),".")</f>
        <v>993.50362303732038</v>
      </c>
      <c r="O12" s="115">
        <f>IFERROR(IF(up_Bv!O12=0,".",((s_Ir*s_F*up_Bv!O12*(1-EXP(-up_RadSpec!AZ12*s_t_b)))/(s_P*up_RadSpec!AZ12))),".")</f>
        <v>993.50362303732038</v>
      </c>
      <c r="P12" s="115">
        <f>IFERROR(IF(up_Bv!P12=0,".",((s_Ir*s_F*up_Bv!P12*(1-EXP(-up_RadSpec!AZ12*s_t_b)))/(s_P*up_RadSpec!AZ12))),".")</f>
        <v>993.50362303732038</v>
      </c>
      <c r="Q12" s="115">
        <f>IFERROR(IF(up_Bv!Q12=0,".",((s_Ir*s_F*up_Bv!Q12*(1-EXP(-up_RadSpec!AZ12*s_t_b)))/(s_P*up_RadSpec!AZ12))),".")</f>
        <v>993.50362303732038</v>
      </c>
      <c r="R12" s="115">
        <f>IFERROR(IF(up_Bv!R12=0,".",((s_Ir*s_F*up_Bv!R12*(1-EXP(-up_RadSpec!AZ12*s_t_b)))/(s_P*up_RadSpec!AZ12))),".")</f>
        <v>993.50362303732038</v>
      </c>
      <c r="S12" s="115">
        <f>IFERROR(IF(up_Bv!S12=0,".",((s_Ir*s_F*up_Bv!S12*(1-EXP(-up_RadSpec!AZ12*s_t_b)))/(s_P*up_RadSpec!AZ12))),".")</f>
        <v>993.50362303732038</v>
      </c>
      <c r="T12" s="115">
        <f>IFERROR(IF(up_Bv!T12=0,".",((s_Ir*s_F*up_Bv!T12*(1-EXP(-up_RadSpec!AZ12*s_t_b)))/(s_P*up_RadSpec!AZ12))),".")</f>
        <v>993.50362303732038</v>
      </c>
      <c r="U12" s="115">
        <f>IFERROR(IF(up_Bv!U12=0,".",((s_Ir*s_F*up_Bv!U12*(1-EXP(-up_RadSpec!AZ12*s_t_b)))/(s_P*up_RadSpec!AZ12))),".")</f>
        <v>993.50362303732038</v>
      </c>
      <c r="V12" s="115">
        <f>IFERROR(IF(up_Bv!V12=0,".",((s_Ir*s_F*up_Bv!V12*(1-EXP(-up_RadSpec!AZ12*s_t_b)))/(s_P*up_RadSpec!AZ12))),".")</f>
        <v>993.50362303732038</v>
      </c>
      <c r="W12" s="115">
        <f>IFERROR(IF(up_Bv!W12=0,".",((s_Ir*s_F*up_Bv!W12*(1-EXP(-up_RadSpec!AZ12*s_t_b)))/(s_P*up_RadSpec!AZ12))),".")</f>
        <v>993.50362303732038</v>
      </c>
      <c r="X12" s="115">
        <f>IFERROR(IF(up_Bv!X12=0,".",((s_Ir*s_F*up_Bv!X12*(1-EXP(-up_RadSpec!AZ12*s_t_b)))/(s_P*up_RadSpec!AZ12))),".")</f>
        <v>993.50362303732038</v>
      </c>
      <c r="Y12" s="115">
        <f>IFERROR(IF(up_Bv!Y12=0,".",((s_Ir*s_F*up_Bv!Y12*(1-EXP(-up_RadSpec!AZ12*s_t_b)))/(s_P*up_RadSpec!AZ12))),".")</f>
        <v>993.50362303732038</v>
      </c>
      <c r="Z12" s="115">
        <f>IFERROR(IF(up_Bv!Z12=0,".",((s_Ir*s_F*up_Bv!Z12*(1-EXP(-up_RadSpec!AZ12*s_t_b)))/(s_P*up_RadSpec!AZ12))),".")</f>
        <v>993.50362303732038</v>
      </c>
      <c r="AA12" s="115">
        <f>IFERROR(IF(up_Bv!AA12=0,".",((s_Ir*s_F*up_Bv!AA12*(1-EXP(-up_RadSpec!AZ12*s_t_b)))/(s_P*up_RadSpec!AZ12))),".")</f>
        <v>993.50362303732038</v>
      </c>
      <c r="AB12" s="115">
        <f>IFERROR(IF(up_Bv!C12=0,".",((s_Ir*s_F*s_MLF_apple*(1-EXP(-up_RadSpec!AZ12*s_t_b)))/(s_P*up_RadSpec!AZ12))),".")</f>
        <v>2.6824597822007652</v>
      </c>
      <c r="AC12" s="115">
        <f>IFERROR(IF(up_Bv!D12=0,".",((s_Ir*s_F*s_MLF_asparagus*(1-EXP(-up_RadSpec!AZ12*s_t_b)))/(s_P*up_RadSpec!AZ12))),".")</f>
        <v>2.6824597822007652</v>
      </c>
      <c r="AD12" s="115">
        <f>IFERROR(IF(up_Bv!E12=0,".",((s_Ir*s_F*s_MLF_beet*(1-EXP(-up_RadSpec!AZ12*s_t_b)))/(s_P*up_RadSpec!AZ12))),".")</f>
        <v>2.6824597822007652</v>
      </c>
      <c r="AE12" s="115">
        <f>IFERROR(IF(up_Bv!F12=0,".",((s_Ir*s_F*s_MLF_berries*(1-EXP(-up_RadSpec!AZ12*s_t_b)))/(s_P*up_RadSpec!AZ12))),".")</f>
        <v>2.6824597822007652</v>
      </c>
      <c r="AF12" s="115">
        <f>IFERROR(IF(up_Bv!G12=0,".",((s_Ir*s_F*s_MLF_broccoli*(1-EXP(-up_RadSpec!AZ12*s_t_b)))/(s_P*up_RadSpec!AZ12))),".")</f>
        <v>2.6824597822007652</v>
      </c>
      <c r="AG12" s="115">
        <f>IFERROR(IF(up_Bv!H12=0,".",((s_Ir*s_F*s_MLF_cabbage*(1-EXP(-up_RadSpec!AZ12*s_t_b)))/(s_P*up_RadSpec!AZ12))),".")</f>
        <v>2.6824597822007652</v>
      </c>
      <c r="AH12" s="115">
        <f>IFERROR(IF(up_Bv!I12=0,".",((s_Ir*s_F*s_MLF_carrot*(1-EXP(-up_RadSpec!AZ12*s_t_b)))/(s_P*up_RadSpec!AZ12))),".")</f>
        <v>2.6824597822007652</v>
      </c>
      <c r="AI12" s="115">
        <f>IFERROR(IF(up_Bv!J12=0,".",((s_Ir*s_F*s_MLF_citrus*(1-EXP(-up_RadSpec!AZ12*s_t_b)))/(s_P*up_RadSpec!AZ12))),".")</f>
        <v>2.6824597822007652</v>
      </c>
      <c r="AJ12" s="115">
        <f>IFERROR(IF(up_Bv!K12=0,".",((s_Ir*s_F*s_MLF_corn*(1-EXP(-up_RadSpec!AZ12*s_t_b)))/(s_P*up_RadSpec!AZ12))),".")</f>
        <v>2.6824597822007652</v>
      </c>
      <c r="AK12" s="115">
        <f>IFERROR(IF(up_Bv!L12=0,".",((s_Ir*s_F*s_MLF_cucumber*(1-EXP(-up_RadSpec!AZ12*s_t_b)))/(s_P*up_RadSpec!AZ12))),".")</f>
        <v>2.6824597822007652</v>
      </c>
      <c r="AL12" s="115">
        <f>IFERROR(IF(up_Bv!M12=0,".",((s_Ir*s_F*s_MLF_lettuce*(1-EXP(-up_RadSpec!AZ12*s_t_b)))/(s_P*up_RadSpec!AZ12))),".")</f>
        <v>2.6824597822007652</v>
      </c>
      <c r="AM12" s="115">
        <f>IFERROR(IF(up_Bv!N12=0,".",((s_Ir*s_F*s_MLF_lima_bean*(1-EXP(-up_RadSpec!AZ12*s_t_b)))/(s_P*up_RadSpec!AZ12))),".")</f>
        <v>2.6824597822007652</v>
      </c>
      <c r="AN12" s="115">
        <f>IFERROR(IF(up_Bv!O12=0,".",((s_Ir*s_F*s_MLF_okra*(1-EXP(-up_RadSpec!AZ12*s_t_b)))/(s_P*up_RadSpec!AZ12))),".")</f>
        <v>2.6824597822007652</v>
      </c>
      <c r="AO12" s="115">
        <f>IFERROR(IF(up_Bv!P12=0,".",((s_Ir*s_F*s_MLF_onion*(1-EXP(-up_RadSpec!AZ12*s_t_b)))/(s_P*up_RadSpec!AZ12))),".")</f>
        <v>2.6824597822007652</v>
      </c>
      <c r="AP12" s="115">
        <f>IFERROR(IF(up_Bv!Q12=0,".",((s_Ir*s_F*s_MLF_peach*(1-EXP(-up_RadSpec!AZ12*s_t_b)))/(s_P*up_RadSpec!AZ12))),".")</f>
        <v>2.6824597822007652</v>
      </c>
      <c r="AQ12" s="115">
        <f>IFERROR(IF(up_Bv!R12=0,".",((s_Ir*s_F*s_MLF_pear*(1-EXP(-up_RadSpec!AZ12*s_t_b)))/(s_P*up_RadSpec!AZ12))),".")</f>
        <v>2.6824597822007652</v>
      </c>
      <c r="AR12" s="115">
        <f>IFERROR(IF(up_Bv!S12=0,".",((s_Ir*s_F*s_MLF_peas*(1-EXP(-up_RadSpec!AZ12*s_t_b)))/(s_P*up_RadSpec!AZ12))),".")</f>
        <v>2.6824597822007652</v>
      </c>
      <c r="AS12" s="115">
        <f>IFERROR(IF(up_Bv!T12=0,".",((s_Ir*s_F*s_MLF_peppers*(1-EXP(-up_RadSpec!AZ12*s_t_b)))/(s_P*up_RadSpec!AZ12))),".")</f>
        <v>2.6824597822007652</v>
      </c>
      <c r="AT12" s="115">
        <f>IFERROR(IF(up_Bv!U12=0,".",((s_Ir*s_F*s_MLF_potato*(1-EXP(-up_RadSpec!AZ12*s_t_b)))/(s_P*up_RadSpec!AZ12))),".")</f>
        <v>2.6824597822007652</v>
      </c>
      <c r="AU12" s="115">
        <f>IFERROR(IF(up_Bv!V12=0,".",((s_Ir*s_F*s_MLF_pumpkin*(1-EXP(-up_RadSpec!AZ12*s_t_b)))/(s_P*up_RadSpec!AZ12))),".")</f>
        <v>2.6824597822007652</v>
      </c>
      <c r="AV12" s="115">
        <f>IFERROR(IF(up_Bv!W12=0,".",((s_Ir*s_F*s_MLF_snap_bean*(1-EXP(-up_RadSpec!AZ12*s_t_b)))/(s_P*up_RadSpec!AZ12))),".")</f>
        <v>2.6824597822007652</v>
      </c>
      <c r="AW12" s="115">
        <f>IFERROR(IF(up_Bv!X12=0,".",((s_Ir*s_F*s_MLF_strawberry*(1-EXP(-up_RadSpec!AZ12*s_t_b)))/(s_P*up_RadSpec!AZ12))),".")</f>
        <v>2.6824597822007652</v>
      </c>
      <c r="AX12" s="115">
        <f>IFERROR(IF(up_Bv!Y12=0,".",((s_Ir*s_F*s_MLF_tomato*(1-EXP(-up_RadSpec!AZ12*s_t_b)))/(s_P*up_RadSpec!AZ12))),".")</f>
        <v>2.6824597822007652</v>
      </c>
      <c r="AY12" s="115">
        <f>IFERROR(IF(up_Bv!Z12=0,".",((s_Ir*s_F*s_MLF_rice*(1-EXP(-up_RadSpec!AZ12*s_t_b)))/(s_P*up_RadSpec!AZ12))),".")</f>
        <v>2.6824597822007652</v>
      </c>
      <c r="AZ12" s="115">
        <f>IFERROR(IF(up_Bv!AA12=0,".",((s_Ir*s_F*s_MLF_cereal*(1-EXP(-up_RadSpec!AZ12*s_t_b)))/(s_P*up_RadSpec!AZ12))),".")</f>
        <v>2.6824597822007652</v>
      </c>
      <c r="BA12" s="115">
        <f>IFERROR(IF(up_Bv!C12=0,".",((s_Ir*s_F*s_I_f*s_T*(1-EXP(-up_RadSpec!BA12*s_t_v)))/(s_Y_v*up_RadSpec!BA12))),".")</f>
        <v>9.0143481925428208</v>
      </c>
      <c r="BB12" s="115">
        <f>IFERROR(IF(up_Bv!D12=0,".",((s_Ir*s_F*s_I_f*s_T*(1-EXP(-up_RadSpec!BA12*s_t_v)))/(s_Y_v*up_RadSpec!BA12))),".")</f>
        <v>9.0143481925428208</v>
      </c>
      <c r="BC12" s="115">
        <f>IFERROR(IF(up_Bv!E12=0,".",((s_Ir*s_F*s_I_f*s_T*(1-EXP(-up_RadSpec!BA12*s_t_v)))/(s_Y_v*up_RadSpec!BA12))),".")</f>
        <v>9.0143481925428208</v>
      </c>
      <c r="BD12" s="115">
        <f>IFERROR(IF(up_Bv!F12=0,".",((s_Ir*s_F*s_I_f*s_T*(1-EXP(-up_RadSpec!BA12*s_t_v)))/(s_Y_v*up_RadSpec!BA12))),".")</f>
        <v>9.0143481925428208</v>
      </c>
      <c r="BE12" s="115">
        <f>IFERROR(IF(up_Bv!G12=0,".",((s_Ir*s_F*s_I_f*s_T*(1-EXP(-up_RadSpec!BA12*s_t_v)))/(s_Y_v*up_RadSpec!BA12))),".")</f>
        <v>9.0143481925428208</v>
      </c>
      <c r="BF12" s="115">
        <f>IFERROR(IF(up_Bv!H12=0,".",((s_Ir*s_F*s_I_f*s_T*(1-EXP(-up_RadSpec!BA12*s_t_v)))/(s_Y_v*up_RadSpec!BA12))),".")</f>
        <v>9.0143481925428208</v>
      </c>
      <c r="BG12" s="115">
        <f>IFERROR(IF(up_Bv!I12=0,".",((s_Ir*s_F*s_I_f*s_T*(1-EXP(-up_RadSpec!BA12*s_t_v)))/(s_Y_v*up_RadSpec!BA12))),".")</f>
        <v>9.0143481925428208</v>
      </c>
      <c r="BH12" s="115">
        <f>IFERROR(IF(up_Bv!J12=0,".",((s_Ir*s_F*s_I_f*s_T*(1-EXP(-up_RadSpec!BA12*s_t_v)))/(s_Y_v*up_RadSpec!BA12))),".")</f>
        <v>9.0143481925428208</v>
      </c>
      <c r="BI12" s="115">
        <f>IFERROR(IF(up_Bv!K12=0,".",((s_Ir*s_F*s_I_f*s_T*(1-EXP(-up_RadSpec!BA12*s_t_v)))/(s_Y_v*up_RadSpec!BA12))),".")</f>
        <v>9.0143481925428208</v>
      </c>
      <c r="BJ12" s="115">
        <f>IFERROR(IF(up_Bv!L12=0,".",((s_Ir*s_F*s_I_f*s_T*(1-EXP(-up_RadSpec!BA12*s_t_v)))/(s_Y_v*up_RadSpec!BA12))),".")</f>
        <v>9.0143481925428208</v>
      </c>
      <c r="BK12" s="115">
        <f>IFERROR(IF(up_Bv!M12=0,".",((s_Ir*s_F*s_I_f*s_T*(1-EXP(-up_RadSpec!BA12*s_t_v)))/(s_Y_v*up_RadSpec!BA12))),".")</f>
        <v>9.0143481925428208</v>
      </c>
      <c r="BL12" s="115">
        <f>IFERROR(IF(up_Bv!N12=0,".",((s_Ir*s_F*s_I_f*s_T*(1-EXP(-up_RadSpec!BA12*s_t_v)))/(s_Y_v*up_RadSpec!BA12))),".")</f>
        <v>9.0143481925428208</v>
      </c>
      <c r="BM12" s="115">
        <f>IFERROR(IF(up_Bv!O12=0,".",((s_Ir*s_F*s_I_f*s_T*(1-EXP(-up_RadSpec!BA12*s_t_v)))/(s_Y_v*up_RadSpec!BA12))),".")</f>
        <v>9.0143481925428208</v>
      </c>
      <c r="BN12" s="115">
        <f>IFERROR(IF(up_Bv!P12=0,".",((s_Ir*s_F*s_I_f*s_T*(1-EXP(-up_RadSpec!BA12*s_t_v)))/(s_Y_v*up_RadSpec!BA12))),".")</f>
        <v>9.0143481925428208</v>
      </c>
      <c r="BO12" s="115">
        <f>IFERROR(IF(up_Bv!Q12=0,".",((s_Ir*s_F*s_I_f*s_T*(1-EXP(-up_RadSpec!BA12*s_t_v)))/(s_Y_v*up_RadSpec!BA12))),".")</f>
        <v>9.0143481925428208</v>
      </c>
      <c r="BP12" s="115">
        <f>IFERROR(IF(up_Bv!R12=0,".",((s_Ir*s_F*s_I_f*s_T*(1-EXP(-up_RadSpec!BA12*s_t_v)))/(s_Y_v*up_RadSpec!BA12))),".")</f>
        <v>9.0143481925428208</v>
      </c>
      <c r="BQ12" s="115">
        <f>IFERROR(IF(up_Bv!S12=0,".",((s_Ir*s_F*s_I_f*s_T*(1-EXP(-up_RadSpec!BA12*s_t_v)))/(s_Y_v*up_RadSpec!BA12))),".")</f>
        <v>9.0143481925428208</v>
      </c>
      <c r="BR12" s="115">
        <f>IFERROR(IF(up_Bv!T12=0,".",((s_Ir*s_F*s_I_f*s_T*(1-EXP(-up_RadSpec!BA12*s_t_v)))/(s_Y_v*up_RadSpec!BA12))),".")</f>
        <v>9.0143481925428208</v>
      </c>
      <c r="BS12" s="115">
        <f>IFERROR(IF(up_Bv!U12=0,".",((s_Ir*s_F*s_I_f*s_T*(1-EXP(-up_RadSpec!BA12*s_t_v)))/(s_Y_v*up_RadSpec!BA12))),".")</f>
        <v>9.0143481925428208</v>
      </c>
      <c r="BT12" s="115">
        <f>IFERROR(IF(up_Bv!V12=0,".",((s_Ir*s_F*s_I_f*s_T*(1-EXP(-up_RadSpec!BA12*s_t_v)))/(s_Y_v*up_RadSpec!BA12))),".")</f>
        <v>9.0143481925428208</v>
      </c>
      <c r="BU12" s="115">
        <f>IFERROR(IF(up_Bv!W12=0,".",((s_Ir*s_F*s_I_f*s_T*(1-EXP(-up_RadSpec!BA12*s_t_v)))/(s_Y_v*up_RadSpec!BA12))),".")</f>
        <v>9.0143481925428208</v>
      </c>
      <c r="BV12" s="115">
        <f>IFERROR(IF(up_Bv!X12=0,".",((s_Ir*s_F*s_I_f*s_T*(1-EXP(-up_RadSpec!BA12*s_t_v)))/(s_Y_v*up_RadSpec!BA12))),".")</f>
        <v>9.0143481925428208</v>
      </c>
      <c r="BW12" s="115">
        <f>IFERROR(IF(up_Bv!Y12=0,".",((s_Ir*s_F*s_I_f*s_T*(1-EXP(-up_RadSpec!BA12*s_t_v)))/(s_Y_v*up_RadSpec!BA12))),".")</f>
        <v>9.0143481925428208</v>
      </c>
      <c r="BX12" s="115">
        <f>IFERROR(IF(up_Bv!Z12=0,".",((s_Ir*s_F*s_I_f*s_T*(1-EXP(-up_RadSpec!BA12*s_t_v)))/(s_Y_v*up_RadSpec!BA12))),".")</f>
        <v>9.0143481925428208</v>
      </c>
      <c r="BY12" s="115">
        <f>IFERROR(IF(up_Bv!AA12=0,".",((s_Ir*s_F*s_I_f*s_T*(1-EXP(-up_RadSpec!BA12*s_t_v)))/(s_Y_v*up_RadSpec!BA12))),".")</f>
        <v>9.0143481925428208</v>
      </c>
    </row>
    <row r="13" spans="1:77" x14ac:dyDescent="0.25">
      <c r="A13" s="44" t="s">
        <v>23</v>
      </c>
      <c r="B13" s="42" t="s">
        <v>1071</v>
      </c>
      <c r="C13" s="115">
        <f>IFERROR(IF(up_Bv!C13=0,".",((s_Ir*s_F*up_Bv!C13*(1-EXP(-up_RadSpec!$AZ13*s_t_b)))/(s_P*up_RadSpec!$AZ13))),".")</f>
        <v>993.50362303732038</v>
      </c>
      <c r="D13" s="115">
        <f>IFERROR(IF(up_Bv!D13=0,".",((s_Ir*s_F*up_Bv!D13*(1-EXP(-up_RadSpec!AZ13*s_t_b)))/(s_P*up_RadSpec!AZ13))),".")</f>
        <v>993.50362303732038</v>
      </c>
      <c r="E13" s="115">
        <f>IFERROR(IF(up_Bv!E13=0,".",((s_Ir*s_F*up_Bv!E13*(1-EXP(-up_RadSpec!AZ13*s_t_b)))/(s_P*up_RadSpec!AZ13))),".")</f>
        <v>993.50362303732038</v>
      </c>
      <c r="F13" s="115">
        <f>IFERROR(IF(up_Bv!F13=0,".",((s_Ir*s_F*up_Bv!F13*(1-EXP(-up_RadSpec!AZ13*s_t_b)))/(s_P*up_RadSpec!AZ13))),".")</f>
        <v>993.50362303732038</v>
      </c>
      <c r="G13" s="115">
        <f>IFERROR(IF(up_Bv!G13=0,".",((s_Ir*s_F*up_Bv!G13*(1-EXP(-up_RadSpec!AZ13*s_t_b)))/(s_P*up_RadSpec!AZ13))),".")</f>
        <v>993.50362303732038</v>
      </c>
      <c r="H13" s="115">
        <f>IFERROR(IF(up_Bv!H13=0,".",((s_Ir*s_F*up_Bv!H13*(1-EXP(-up_RadSpec!AZ13*s_t_b)))/(s_P*up_RadSpec!AZ13))),".")</f>
        <v>993.50362303732038</v>
      </c>
      <c r="I13" s="115">
        <f>IFERROR(IF(up_Bv!I13=0,".",((s_Ir*s_F*up_Bv!I13*(1-EXP(-up_RadSpec!AZ13*s_t_b)))/(s_P*up_RadSpec!AZ13))),".")</f>
        <v>993.50362303732038</v>
      </c>
      <c r="J13" s="115">
        <f>IFERROR(IF(up_Bv!J13=0,".",((s_Ir*s_F*up_Bv!J13*(1-EXP(-up_RadSpec!AZ13*s_t_b)))/(s_P*up_RadSpec!AZ13))),".")</f>
        <v>993.50362303732038</v>
      </c>
      <c r="K13" s="115">
        <f>IFERROR(IF(up_Bv!K13=0,".",((s_Ir*s_F*up_Bv!K13*(1-EXP(-up_RadSpec!AZ13*s_t_b)))/(s_P*up_RadSpec!AZ13))),".")</f>
        <v>993.50362303732038</v>
      </c>
      <c r="L13" s="115">
        <f>IFERROR(IF(up_Bv!L13=0,".",((s_Ir*s_F*up_Bv!L13*(1-EXP(-up_RadSpec!AZ13*s_t_b)))/(s_P*up_RadSpec!AZ13))),".")</f>
        <v>993.50362303732038</v>
      </c>
      <c r="M13" s="115">
        <f>IFERROR(IF(up_Bv!M13=0,".",((s_Ir*s_F*up_Bv!M13*(1-EXP(-up_RadSpec!AZ13*s_t_b)))/(s_P*up_RadSpec!AZ13))),".")</f>
        <v>993.50362303732038</v>
      </c>
      <c r="N13" s="115">
        <f>IFERROR(IF(up_Bv!N13=0,".",((s_Ir*s_F*up_Bv!N13*(1-EXP(-up_RadSpec!AZ13*s_t_b)))/(s_P*up_RadSpec!AZ13))),".")</f>
        <v>993.50362303732038</v>
      </c>
      <c r="O13" s="115">
        <f>IFERROR(IF(up_Bv!O13=0,".",((s_Ir*s_F*up_Bv!O13*(1-EXP(-up_RadSpec!AZ13*s_t_b)))/(s_P*up_RadSpec!AZ13))),".")</f>
        <v>993.50362303732038</v>
      </c>
      <c r="P13" s="115">
        <f>IFERROR(IF(up_Bv!P13=0,".",((s_Ir*s_F*up_Bv!P13*(1-EXP(-up_RadSpec!AZ13*s_t_b)))/(s_P*up_RadSpec!AZ13))),".")</f>
        <v>993.50362303732038</v>
      </c>
      <c r="Q13" s="115">
        <f>IFERROR(IF(up_Bv!Q13=0,".",((s_Ir*s_F*up_Bv!Q13*(1-EXP(-up_RadSpec!AZ13*s_t_b)))/(s_P*up_RadSpec!AZ13))),".")</f>
        <v>993.50362303732038</v>
      </c>
      <c r="R13" s="115">
        <f>IFERROR(IF(up_Bv!R13=0,".",((s_Ir*s_F*up_Bv!R13*(1-EXP(-up_RadSpec!AZ13*s_t_b)))/(s_P*up_RadSpec!AZ13))),".")</f>
        <v>993.50362303732038</v>
      </c>
      <c r="S13" s="115">
        <f>IFERROR(IF(up_Bv!S13=0,".",((s_Ir*s_F*up_Bv!S13*(1-EXP(-up_RadSpec!AZ13*s_t_b)))/(s_P*up_RadSpec!AZ13))),".")</f>
        <v>993.50362303732038</v>
      </c>
      <c r="T13" s="115">
        <f>IFERROR(IF(up_Bv!T13=0,".",((s_Ir*s_F*up_Bv!T13*(1-EXP(-up_RadSpec!AZ13*s_t_b)))/(s_P*up_RadSpec!AZ13))),".")</f>
        <v>993.50362303732038</v>
      </c>
      <c r="U13" s="115">
        <f>IFERROR(IF(up_Bv!U13=0,".",((s_Ir*s_F*up_Bv!U13*(1-EXP(-up_RadSpec!AZ13*s_t_b)))/(s_P*up_RadSpec!AZ13))),".")</f>
        <v>993.50362303732038</v>
      </c>
      <c r="V13" s="115">
        <f>IFERROR(IF(up_Bv!V13=0,".",((s_Ir*s_F*up_Bv!V13*(1-EXP(-up_RadSpec!AZ13*s_t_b)))/(s_P*up_RadSpec!AZ13))),".")</f>
        <v>993.50362303732038</v>
      </c>
      <c r="W13" s="115">
        <f>IFERROR(IF(up_Bv!W13=0,".",((s_Ir*s_F*up_Bv!W13*(1-EXP(-up_RadSpec!AZ13*s_t_b)))/(s_P*up_RadSpec!AZ13))),".")</f>
        <v>993.50362303732038</v>
      </c>
      <c r="X13" s="115">
        <f>IFERROR(IF(up_Bv!X13=0,".",((s_Ir*s_F*up_Bv!X13*(1-EXP(-up_RadSpec!AZ13*s_t_b)))/(s_P*up_RadSpec!AZ13))),".")</f>
        <v>993.50362303732038</v>
      </c>
      <c r="Y13" s="115">
        <f>IFERROR(IF(up_Bv!Y13=0,".",((s_Ir*s_F*up_Bv!Y13*(1-EXP(-up_RadSpec!AZ13*s_t_b)))/(s_P*up_RadSpec!AZ13))),".")</f>
        <v>993.50362303732038</v>
      </c>
      <c r="Z13" s="115">
        <f>IFERROR(IF(up_Bv!Z13=0,".",((s_Ir*s_F*up_Bv!Z13*(1-EXP(-up_RadSpec!AZ13*s_t_b)))/(s_P*up_RadSpec!AZ13))),".")</f>
        <v>993.50362303732038</v>
      </c>
      <c r="AA13" s="115">
        <f>IFERROR(IF(up_Bv!AA13=0,".",((s_Ir*s_F*up_Bv!AA13*(1-EXP(-up_RadSpec!AZ13*s_t_b)))/(s_P*up_RadSpec!AZ13))),".")</f>
        <v>993.50362303732038</v>
      </c>
      <c r="AB13" s="115">
        <f>IFERROR(IF(up_Bv!C13=0,".",((s_Ir*s_F*s_MLF_apple*(1-EXP(-up_RadSpec!AZ13*s_t_b)))/(s_P*up_RadSpec!AZ13))),".")</f>
        <v>2.6824597822007652</v>
      </c>
      <c r="AC13" s="115">
        <f>IFERROR(IF(up_Bv!D13=0,".",((s_Ir*s_F*s_MLF_asparagus*(1-EXP(-up_RadSpec!AZ13*s_t_b)))/(s_P*up_RadSpec!AZ13))),".")</f>
        <v>2.6824597822007652</v>
      </c>
      <c r="AD13" s="115">
        <f>IFERROR(IF(up_Bv!E13=0,".",((s_Ir*s_F*s_MLF_beet*(1-EXP(-up_RadSpec!AZ13*s_t_b)))/(s_P*up_RadSpec!AZ13))),".")</f>
        <v>2.6824597822007652</v>
      </c>
      <c r="AE13" s="115">
        <f>IFERROR(IF(up_Bv!F13=0,".",((s_Ir*s_F*s_MLF_berries*(1-EXP(-up_RadSpec!AZ13*s_t_b)))/(s_P*up_RadSpec!AZ13))),".")</f>
        <v>2.6824597822007652</v>
      </c>
      <c r="AF13" s="115">
        <f>IFERROR(IF(up_Bv!G13=0,".",((s_Ir*s_F*s_MLF_broccoli*(1-EXP(-up_RadSpec!AZ13*s_t_b)))/(s_P*up_RadSpec!AZ13))),".")</f>
        <v>2.6824597822007652</v>
      </c>
      <c r="AG13" s="115">
        <f>IFERROR(IF(up_Bv!H13=0,".",((s_Ir*s_F*s_MLF_cabbage*(1-EXP(-up_RadSpec!AZ13*s_t_b)))/(s_P*up_RadSpec!AZ13))),".")</f>
        <v>2.6824597822007652</v>
      </c>
      <c r="AH13" s="115">
        <f>IFERROR(IF(up_Bv!I13=0,".",((s_Ir*s_F*s_MLF_carrot*(1-EXP(-up_RadSpec!AZ13*s_t_b)))/(s_P*up_RadSpec!AZ13))),".")</f>
        <v>2.6824597822007652</v>
      </c>
      <c r="AI13" s="115">
        <f>IFERROR(IF(up_Bv!J13=0,".",((s_Ir*s_F*s_MLF_citrus*(1-EXP(-up_RadSpec!AZ13*s_t_b)))/(s_P*up_RadSpec!AZ13))),".")</f>
        <v>2.6824597822007652</v>
      </c>
      <c r="AJ13" s="115">
        <f>IFERROR(IF(up_Bv!K13=0,".",((s_Ir*s_F*s_MLF_corn*(1-EXP(-up_RadSpec!AZ13*s_t_b)))/(s_P*up_RadSpec!AZ13))),".")</f>
        <v>2.6824597822007652</v>
      </c>
      <c r="AK13" s="115">
        <f>IFERROR(IF(up_Bv!L13=0,".",((s_Ir*s_F*s_MLF_cucumber*(1-EXP(-up_RadSpec!AZ13*s_t_b)))/(s_P*up_RadSpec!AZ13))),".")</f>
        <v>2.6824597822007652</v>
      </c>
      <c r="AL13" s="115">
        <f>IFERROR(IF(up_Bv!M13=0,".",((s_Ir*s_F*s_MLF_lettuce*(1-EXP(-up_RadSpec!AZ13*s_t_b)))/(s_P*up_RadSpec!AZ13))),".")</f>
        <v>2.6824597822007652</v>
      </c>
      <c r="AM13" s="115">
        <f>IFERROR(IF(up_Bv!N13=0,".",((s_Ir*s_F*s_MLF_lima_bean*(1-EXP(-up_RadSpec!AZ13*s_t_b)))/(s_P*up_RadSpec!AZ13))),".")</f>
        <v>2.6824597822007652</v>
      </c>
      <c r="AN13" s="115">
        <f>IFERROR(IF(up_Bv!O13=0,".",((s_Ir*s_F*s_MLF_okra*(1-EXP(-up_RadSpec!AZ13*s_t_b)))/(s_P*up_RadSpec!AZ13))),".")</f>
        <v>2.6824597822007652</v>
      </c>
      <c r="AO13" s="115">
        <f>IFERROR(IF(up_Bv!P13=0,".",((s_Ir*s_F*s_MLF_onion*(1-EXP(-up_RadSpec!AZ13*s_t_b)))/(s_P*up_RadSpec!AZ13))),".")</f>
        <v>2.6824597822007652</v>
      </c>
      <c r="AP13" s="115">
        <f>IFERROR(IF(up_Bv!Q13=0,".",((s_Ir*s_F*s_MLF_peach*(1-EXP(-up_RadSpec!AZ13*s_t_b)))/(s_P*up_RadSpec!AZ13))),".")</f>
        <v>2.6824597822007652</v>
      </c>
      <c r="AQ13" s="115">
        <f>IFERROR(IF(up_Bv!R13=0,".",((s_Ir*s_F*s_MLF_pear*(1-EXP(-up_RadSpec!AZ13*s_t_b)))/(s_P*up_RadSpec!AZ13))),".")</f>
        <v>2.6824597822007652</v>
      </c>
      <c r="AR13" s="115">
        <f>IFERROR(IF(up_Bv!S13=0,".",((s_Ir*s_F*s_MLF_peas*(1-EXP(-up_RadSpec!AZ13*s_t_b)))/(s_P*up_RadSpec!AZ13))),".")</f>
        <v>2.6824597822007652</v>
      </c>
      <c r="AS13" s="115">
        <f>IFERROR(IF(up_Bv!T13=0,".",((s_Ir*s_F*s_MLF_peppers*(1-EXP(-up_RadSpec!AZ13*s_t_b)))/(s_P*up_RadSpec!AZ13))),".")</f>
        <v>2.6824597822007652</v>
      </c>
      <c r="AT13" s="115">
        <f>IFERROR(IF(up_Bv!U13=0,".",((s_Ir*s_F*s_MLF_potato*(1-EXP(-up_RadSpec!AZ13*s_t_b)))/(s_P*up_RadSpec!AZ13))),".")</f>
        <v>2.6824597822007652</v>
      </c>
      <c r="AU13" s="115">
        <f>IFERROR(IF(up_Bv!V13=0,".",((s_Ir*s_F*s_MLF_pumpkin*(1-EXP(-up_RadSpec!AZ13*s_t_b)))/(s_P*up_RadSpec!AZ13))),".")</f>
        <v>2.6824597822007652</v>
      </c>
      <c r="AV13" s="115">
        <f>IFERROR(IF(up_Bv!W13=0,".",((s_Ir*s_F*s_MLF_snap_bean*(1-EXP(-up_RadSpec!AZ13*s_t_b)))/(s_P*up_RadSpec!AZ13))),".")</f>
        <v>2.6824597822007652</v>
      </c>
      <c r="AW13" s="115">
        <f>IFERROR(IF(up_Bv!X13=0,".",((s_Ir*s_F*s_MLF_strawberry*(1-EXP(-up_RadSpec!AZ13*s_t_b)))/(s_P*up_RadSpec!AZ13))),".")</f>
        <v>2.6824597822007652</v>
      </c>
      <c r="AX13" s="115">
        <f>IFERROR(IF(up_Bv!Y13=0,".",((s_Ir*s_F*s_MLF_tomato*(1-EXP(-up_RadSpec!AZ13*s_t_b)))/(s_P*up_RadSpec!AZ13))),".")</f>
        <v>2.6824597822007652</v>
      </c>
      <c r="AY13" s="115">
        <f>IFERROR(IF(up_Bv!Z13=0,".",((s_Ir*s_F*s_MLF_rice*(1-EXP(-up_RadSpec!AZ13*s_t_b)))/(s_P*up_RadSpec!AZ13))),".")</f>
        <v>2.6824597822007652</v>
      </c>
      <c r="AZ13" s="115">
        <f>IFERROR(IF(up_Bv!AA13=0,".",((s_Ir*s_F*s_MLF_cereal*(1-EXP(-up_RadSpec!AZ13*s_t_b)))/(s_P*up_RadSpec!AZ13))),".")</f>
        <v>2.6824597822007652</v>
      </c>
      <c r="BA13" s="115">
        <f>IFERROR(IF(up_Bv!C13=0,".",((s_Ir*s_F*s_I_f*s_T*(1-EXP(-up_RadSpec!BA13*s_t_v)))/(s_Y_v*up_RadSpec!BA13))),".")</f>
        <v>9.0143481925428208</v>
      </c>
      <c r="BB13" s="115">
        <f>IFERROR(IF(up_Bv!D13=0,".",((s_Ir*s_F*s_I_f*s_T*(1-EXP(-up_RadSpec!BA13*s_t_v)))/(s_Y_v*up_RadSpec!BA13))),".")</f>
        <v>9.0143481925428208</v>
      </c>
      <c r="BC13" s="115">
        <f>IFERROR(IF(up_Bv!E13=0,".",((s_Ir*s_F*s_I_f*s_T*(1-EXP(-up_RadSpec!BA13*s_t_v)))/(s_Y_v*up_RadSpec!BA13))),".")</f>
        <v>9.0143481925428208</v>
      </c>
      <c r="BD13" s="115">
        <f>IFERROR(IF(up_Bv!F13=0,".",((s_Ir*s_F*s_I_f*s_T*(1-EXP(-up_RadSpec!BA13*s_t_v)))/(s_Y_v*up_RadSpec!BA13))),".")</f>
        <v>9.0143481925428208</v>
      </c>
      <c r="BE13" s="115">
        <f>IFERROR(IF(up_Bv!G13=0,".",((s_Ir*s_F*s_I_f*s_T*(1-EXP(-up_RadSpec!BA13*s_t_v)))/(s_Y_v*up_RadSpec!BA13))),".")</f>
        <v>9.0143481925428208</v>
      </c>
      <c r="BF13" s="115">
        <f>IFERROR(IF(up_Bv!H13=0,".",((s_Ir*s_F*s_I_f*s_T*(1-EXP(-up_RadSpec!BA13*s_t_v)))/(s_Y_v*up_RadSpec!BA13))),".")</f>
        <v>9.0143481925428208</v>
      </c>
      <c r="BG13" s="115">
        <f>IFERROR(IF(up_Bv!I13=0,".",((s_Ir*s_F*s_I_f*s_T*(1-EXP(-up_RadSpec!BA13*s_t_v)))/(s_Y_v*up_RadSpec!BA13))),".")</f>
        <v>9.0143481925428208</v>
      </c>
      <c r="BH13" s="115">
        <f>IFERROR(IF(up_Bv!J13=0,".",((s_Ir*s_F*s_I_f*s_T*(1-EXP(-up_RadSpec!BA13*s_t_v)))/(s_Y_v*up_RadSpec!BA13))),".")</f>
        <v>9.0143481925428208</v>
      </c>
      <c r="BI13" s="115">
        <f>IFERROR(IF(up_Bv!K13=0,".",((s_Ir*s_F*s_I_f*s_T*(1-EXP(-up_RadSpec!BA13*s_t_v)))/(s_Y_v*up_RadSpec!BA13))),".")</f>
        <v>9.0143481925428208</v>
      </c>
      <c r="BJ13" s="115">
        <f>IFERROR(IF(up_Bv!L13=0,".",((s_Ir*s_F*s_I_f*s_T*(1-EXP(-up_RadSpec!BA13*s_t_v)))/(s_Y_v*up_RadSpec!BA13))),".")</f>
        <v>9.0143481925428208</v>
      </c>
      <c r="BK13" s="115">
        <f>IFERROR(IF(up_Bv!M13=0,".",((s_Ir*s_F*s_I_f*s_T*(1-EXP(-up_RadSpec!BA13*s_t_v)))/(s_Y_v*up_RadSpec!BA13))),".")</f>
        <v>9.0143481925428208</v>
      </c>
      <c r="BL13" s="115">
        <f>IFERROR(IF(up_Bv!N13=0,".",((s_Ir*s_F*s_I_f*s_T*(1-EXP(-up_RadSpec!BA13*s_t_v)))/(s_Y_v*up_RadSpec!BA13))),".")</f>
        <v>9.0143481925428208</v>
      </c>
      <c r="BM13" s="115">
        <f>IFERROR(IF(up_Bv!O13=0,".",((s_Ir*s_F*s_I_f*s_T*(1-EXP(-up_RadSpec!BA13*s_t_v)))/(s_Y_v*up_RadSpec!BA13))),".")</f>
        <v>9.0143481925428208</v>
      </c>
      <c r="BN13" s="115">
        <f>IFERROR(IF(up_Bv!P13=0,".",((s_Ir*s_F*s_I_f*s_T*(1-EXP(-up_RadSpec!BA13*s_t_v)))/(s_Y_v*up_RadSpec!BA13))),".")</f>
        <v>9.0143481925428208</v>
      </c>
      <c r="BO13" s="115">
        <f>IFERROR(IF(up_Bv!Q13=0,".",((s_Ir*s_F*s_I_f*s_T*(1-EXP(-up_RadSpec!BA13*s_t_v)))/(s_Y_v*up_RadSpec!BA13))),".")</f>
        <v>9.0143481925428208</v>
      </c>
      <c r="BP13" s="115">
        <f>IFERROR(IF(up_Bv!R13=0,".",((s_Ir*s_F*s_I_f*s_T*(1-EXP(-up_RadSpec!BA13*s_t_v)))/(s_Y_v*up_RadSpec!BA13))),".")</f>
        <v>9.0143481925428208</v>
      </c>
      <c r="BQ13" s="115">
        <f>IFERROR(IF(up_Bv!S13=0,".",((s_Ir*s_F*s_I_f*s_T*(1-EXP(-up_RadSpec!BA13*s_t_v)))/(s_Y_v*up_RadSpec!BA13))),".")</f>
        <v>9.0143481925428208</v>
      </c>
      <c r="BR13" s="115">
        <f>IFERROR(IF(up_Bv!T13=0,".",((s_Ir*s_F*s_I_f*s_T*(1-EXP(-up_RadSpec!BA13*s_t_v)))/(s_Y_v*up_RadSpec!BA13))),".")</f>
        <v>9.0143481925428208</v>
      </c>
      <c r="BS13" s="115">
        <f>IFERROR(IF(up_Bv!U13=0,".",((s_Ir*s_F*s_I_f*s_T*(1-EXP(-up_RadSpec!BA13*s_t_v)))/(s_Y_v*up_RadSpec!BA13))),".")</f>
        <v>9.0143481925428208</v>
      </c>
      <c r="BT13" s="115">
        <f>IFERROR(IF(up_Bv!V13=0,".",((s_Ir*s_F*s_I_f*s_T*(1-EXP(-up_RadSpec!BA13*s_t_v)))/(s_Y_v*up_RadSpec!BA13))),".")</f>
        <v>9.0143481925428208</v>
      </c>
      <c r="BU13" s="115">
        <f>IFERROR(IF(up_Bv!W13=0,".",((s_Ir*s_F*s_I_f*s_T*(1-EXP(-up_RadSpec!BA13*s_t_v)))/(s_Y_v*up_RadSpec!BA13))),".")</f>
        <v>9.0143481925428208</v>
      </c>
      <c r="BV13" s="115">
        <f>IFERROR(IF(up_Bv!X13=0,".",((s_Ir*s_F*s_I_f*s_T*(1-EXP(-up_RadSpec!BA13*s_t_v)))/(s_Y_v*up_RadSpec!BA13))),".")</f>
        <v>9.0143481925428208</v>
      </c>
      <c r="BW13" s="115">
        <f>IFERROR(IF(up_Bv!Y13=0,".",((s_Ir*s_F*s_I_f*s_T*(1-EXP(-up_RadSpec!BA13*s_t_v)))/(s_Y_v*up_RadSpec!BA13))),".")</f>
        <v>9.0143481925428208</v>
      </c>
      <c r="BX13" s="115">
        <f>IFERROR(IF(up_Bv!Z13=0,".",((s_Ir*s_F*s_I_f*s_T*(1-EXP(-up_RadSpec!BA13*s_t_v)))/(s_Y_v*up_RadSpec!BA13))),".")</f>
        <v>9.0143481925428208</v>
      </c>
      <c r="BY13" s="115">
        <f>IFERROR(IF(up_Bv!AA13=0,".",((s_Ir*s_F*s_I_f*s_T*(1-EXP(-up_RadSpec!BA13*s_t_v)))/(s_Y_v*up_RadSpec!BA13))),".")</f>
        <v>9.0143481925428208</v>
      </c>
    </row>
    <row r="14" spans="1:77" x14ac:dyDescent="0.25">
      <c r="A14" s="44" t="s">
        <v>24</v>
      </c>
      <c r="B14" s="42" t="s">
        <v>1071</v>
      </c>
      <c r="C14" s="115">
        <f>IFERROR(IF(up_Bv!C14=0,".",((s_Ir*s_F*up_Bv!C14*(1-EXP(-up_RadSpec!$AZ14*s_t_b)))/(s_P*up_RadSpec!$AZ14))),".")</f>
        <v>993.50362303732038</v>
      </c>
      <c r="D14" s="115">
        <f>IFERROR(IF(up_Bv!D14=0,".",((s_Ir*s_F*up_Bv!D14*(1-EXP(-up_RadSpec!AZ14*s_t_b)))/(s_P*up_RadSpec!AZ14))),".")</f>
        <v>993.50362303732038</v>
      </c>
      <c r="E14" s="115">
        <f>IFERROR(IF(up_Bv!E14=0,".",((s_Ir*s_F*up_Bv!E14*(1-EXP(-up_RadSpec!AZ14*s_t_b)))/(s_P*up_RadSpec!AZ14))),".")</f>
        <v>993.50362303732038</v>
      </c>
      <c r="F14" s="115">
        <f>IFERROR(IF(up_Bv!F14=0,".",((s_Ir*s_F*up_Bv!F14*(1-EXP(-up_RadSpec!AZ14*s_t_b)))/(s_P*up_RadSpec!AZ14))),".")</f>
        <v>993.50362303732038</v>
      </c>
      <c r="G14" s="115">
        <f>IFERROR(IF(up_Bv!G14=0,".",((s_Ir*s_F*up_Bv!G14*(1-EXP(-up_RadSpec!AZ14*s_t_b)))/(s_P*up_RadSpec!AZ14))),".")</f>
        <v>993.50362303732038</v>
      </c>
      <c r="H14" s="115">
        <f>IFERROR(IF(up_Bv!H14=0,".",((s_Ir*s_F*up_Bv!H14*(1-EXP(-up_RadSpec!AZ14*s_t_b)))/(s_P*up_RadSpec!AZ14))),".")</f>
        <v>993.50362303732038</v>
      </c>
      <c r="I14" s="115">
        <f>IFERROR(IF(up_Bv!I14=0,".",((s_Ir*s_F*up_Bv!I14*(1-EXP(-up_RadSpec!AZ14*s_t_b)))/(s_P*up_RadSpec!AZ14))),".")</f>
        <v>993.50362303732038</v>
      </c>
      <c r="J14" s="115">
        <f>IFERROR(IF(up_Bv!J14=0,".",((s_Ir*s_F*up_Bv!J14*(1-EXP(-up_RadSpec!AZ14*s_t_b)))/(s_P*up_RadSpec!AZ14))),".")</f>
        <v>993.50362303732038</v>
      </c>
      <c r="K14" s="115">
        <f>IFERROR(IF(up_Bv!K14=0,".",((s_Ir*s_F*up_Bv!K14*(1-EXP(-up_RadSpec!AZ14*s_t_b)))/(s_P*up_RadSpec!AZ14))),".")</f>
        <v>993.50362303732038</v>
      </c>
      <c r="L14" s="115">
        <f>IFERROR(IF(up_Bv!L14=0,".",((s_Ir*s_F*up_Bv!L14*(1-EXP(-up_RadSpec!AZ14*s_t_b)))/(s_P*up_RadSpec!AZ14))),".")</f>
        <v>993.50362303732038</v>
      </c>
      <c r="M14" s="115">
        <f>IFERROR(IF(up_Bv!M14=0,".",((s_Ir*s_F*up_Bv!M14*(1-EXP(-up_RadSpec!AZ14*s_t_b)))/(s_P*up_RadSpec!AZ14))),".")</f>
        <v>993.50362303732038</v>
      </c>
      <c r="N14" s="115">
        <f>IFERROR(IF(up_Bv!N14=0,".",((s_Ir*s_F*up_Bv!N14*(1-EXP(-up_RadSpec!AZ14*s_t_b)))/(s_P*up_RadSpec!AZ14))),".")</f>
        <v>993.50362303732038</v>
      </c>
      <c r="O14" s="115">
        <f>IFERROR(IF(up_Bv!O14=0,".",((s_Ir*s_F*up_Bv!O14*(1-EXP(-up_RadSpec!AZ14*s_t_b)))/(s_P*up_RadSpec!AZ14))),".")</f>
        <v>993.50362303732038</v>
      </c>
      <c r="P14" s="115">
        <f>IFERROR(IF(up_Bv!P14=0,".",((s_Ir*s_F*up_Bv!P14*(1-EXP(-up_RadSpec!AZ14*s_t_b)))/(s_P*up_RadSpec!AZ14))),".")</f>
        <v>993.50362303732038</v>
      </c>
      <c r="Q14" s="115">
        <f>IFERROR(IF(up_Bv!Q14=0,".",((s_Ir*s_F*up_Bv!Q14*(1-EXP(-up_RadSpec!AZ14*s_t_b)))/(s_P*up_RadSpec!AZ14))),".")</f>
        <v>993.50362303732038</v>
      </c>
      <c r="R14" s="115">
        <f>IFERROR(IF(up_Bv!R14=0,".",((s_Ir*s_F*up_Bv!R14*(1-EXP(-up_RadSpec!AZ14*s_t_b)))/(s_P*up_RadSpec!AZ14))),".")</f>
        <v>993.50362303732038</v>
      </c>
      <c r="S14" s="115">
        <f>IFERROR(IF(up_Bv!S14=0,".",((s_Ir*s_F*up_Bv!S14*(1-EXP(-up_RadSpec!AZ14*s_t_b)))/(s_P*up_RadSpec!AZ14))),".")</f>
        <v>993.50362303732038</v>
      </c>
      <c r="T14" s="115">
        <f>IFERROR(IF(up_Bv!T14=0,".",((s_Ir*s_F*up_Bv!T14*(1-EXP(-up_RadSpec!AZ14*s_t_b)))/(s_P*up_RadSpec!AZ14))),".")</f>
        <v>993.50362303732038</v>
      </c>
      <c r="U14" s="115">
        <f>IFERROR(IF(up_Bv!U14=0,".",((s_Ir*s_F*up_Bv!U14*(1-EXP(-up_RadSpec!AZ14*s_t_b)))/(s_P*up_RadSpec!AZ14))),".")</f>
        <v>993.50362303732038</v>
      </c>
      <c r="V14" s="115">
        <f>IFERROR(IF(up_Bv!V14=0,".",((s_Ir*s_F*up_Bv!V14*(1-EXP(-up_RadSpec!AZ14*s_t_b)))/(s_P*up_RadSpec!AZ14))),".")</f>
        <v>993.50362303732038</v>
      </c>
      <c r="W14" s="115">
        <f>IFERROR(IF(up_Bv!W14=0,".",((s_Ir*s_F*up_Bv!W14*(1-EXP(-up_RadSpec!AZ14*s_t_b)))/(s_P*up_RadSpec!AZ14))),".")</f>
        <v>993.50362303732038</v>
      </c>
      <c r="X14" s="115">
        <f>IFERROR(IF(up_Bv!X14=0,".",((s_Ir*s_F*up_Bv!X14*(1-EXP(-up_RadSpec!AZ14*s_t_b)))/(s_P*up_RadSpec!AZ14))),".")</f>
        <v>993.50362303732038</v>
      </c>
      <c r="Y14" s="115">
        <f>IFERROR(IF(up_Bv!Y14=0,".",((s_Ir*s_F*up_Bv!Y14*(1-EXP(-up_RadSpec!AZ14*s_t_b)))/(s_P*up_RadSpec!AZ14))),".")</f>
        <v>993.50362303732038</v>
      </c>
      <c r="Z14" s="115">
        <f>IFERROR(IF(up_Bv!Z14=0,".",((s_Ir*s_F*up_Bv!Z14*(1-EXP(-up_RadSpec!AZ14*s_t_b)))/(s_P*up_RadSpec!AZ14))),".")</f>
        <v>993.50362303732038</v>
      </c>
      <c r="AA14" s="115">
        <f>IFERROR(IF(up_Bv!AA14=0,".",((s_Ir*s_F*up_Bv!AA14*(1-EXP(-up_RadSpec!AZ14*s_t_b)))/(s_P*up_RadSpec!AZ14))),".")</f>
        <v>993.50362303732038</v>
      </c>
      <c r="AB14" s="115">
        <f>IFERROR(IF(up_Bv!C14=0,".",((s_Ir*s_F*s_MLF_apple*(1-EXP(-up_RadSpec!AZ14*s_t_b)))/(s_P*up_RadSpec!AZ14))),".")</f>
        <v>2.6824597822007652</v>
      </c>
      <c r="AC14" s="115">
        <f>IFERROR(IF(up_Bv!D14=0,".",((s_Ir*s_F*s_MLF_asparagus*(1-EXP(-up_RadSpec!AZ14*s_t_b)))/(s_P*up_RadSpec!AZ14))),".")</f>
        <v>2.6824597822007652</v>
      </c>
      <c r="AD14" s="115">
        <f>IFERROR(IF(up_Bv!E14=0,".",((s_Ir*s_F*s_MLF_beet*(1-EXP(-up_RadSpec!AZ14*s_t_b)))/(s_P*up_RadSpec!AZ14))),".")</f>
        <v>2.6824597822007652</v>
      </c>
      <c r="AE14" s="115">
        <f>IFERROR(IF(up_Bv!F14=0,".",((s_Ir*s_F*s_MLF_berries*(1-EXP(-up_RadSpec!AZ14*s_t_b)))/(s_P*up_RadSpec!AZ14))),".")</f>
        <v>2.6824597822007652</v>
      </c>
      <c r="AF14" s="115">
        <f>IFERROR(IF(up_Bv!G14=0,".",((s_Ir*s_F*s_MLF_broccoli*(1-EXP(-up_RadSpec!AZ14*s_t_b)))/(s_P*up_RadSpec!AZ14))),".")</f>
        <v>2.6824597822007652</v>
      </c>
      <c r="AG14" s="115">
        <f>IFERROR(IF(up_Bv!H14=0,".",((s_Ir*s_F*s_MLF_cabbage*(1-EXP(-up_RadSpec!AZ14*s_t_b)))/(s_P*up_RadSpec!AZ14))),".")</f>
        <v>2.6824597822007652</v>
      </c>
      <c r="AH14" s="115">
        <f>IFERROR(IF(up_Bv!I14=0,".",((s_Ir*s_F*s_MLF_carrot*(1-EXP(-up_RadSpec!AZ14*s_t_b)))/(s_P*up_RadSpec!AZ14))),".")</f>
        <v>2.6824597822007652</v>
      </c>
      <c r="AI14" s="115">
        <f>IFERROR(IF(up_Bv!J14=0,".",((s_Ir*s_F*s_MLF_citrus*(1-EXP(-up_RadSpec!AZ14*s_t_b)))/(s_P*up_RadSpec!AZ14))),".")</f>
        <v>2.6824597822007652</v>
      </c>
      <c r="AJ14" s="115">
        <f>IFERROR(IF(up_Bv!K14=0,".",((s_Ir*s_F*s_MLF_corn*(1-EXP(-up_RadSpec!AZ14*s_t_b)))/(s_P*up_RadSpec!AZ14))),".")</f>
        <v>2.6824597822007652</v>
      </c>
      <c r="AK14" s="115">
        <f>IFERROR(IF(up_Bv!L14=0,".",((s_Ir*s_F*s_MLF_cucumber*(1-EXP(-up_RadSpec!AZ14*s_t_b)))/(s_P*up_RadSpec!AZ14))),".")</f>
        <v>2.6824597822007652</v>
      </c>
      <c r="AL14" s="115">
        <f>IFERROR(IF(up_Bv!M14=0,".",((s_Ir*s_F*s_MLF_lettuce*(1-EXP(-up_RadSpec!AZ14*s_t_b)))/(s_P*up_RadSpec!AZ14))),".")</f>
        <v>2.6824597822007652</v>
      </c>
      <c r="AM14" s="115">
        <f>IFERROR(IF(up_Bv!N14=0,".",((s_Ir*s_F*s_MLF_lima_bean*(1-EXP(-up_RadSpec!AZ14*s_t_b)))/(s_P*up_RadSpec!AZ14))),".")</f>
        <v>2.6824597822007652</v>
      </c>
      <c r="AN14" s="115">
        <f>IFERROR(IF(up_Bv!O14=0,".",((s_Ir*s_F*s_MLF_okra*(1-EXP(-up_RadSpec!AZ14*s_t_b)))/(s_P*up_RadSpec!AZ14))),".")</f>
        <v>2.6824597822007652</v>
      </c>
      <c r="AO14" s="115">
        <f>IFERROR(IF(up_Bv!P14=0,".",((s_Ir*s_F*s_MLF_onion*(1-EXP(-up_RadSpec!AZ14*s_t_b)))/(s_P*up_RadSpec!AZ14))),".")</f>
        <v>2.6824597822007652</v>
      </c>
      <c r="AP14" s="115">
        <f>IFERROR(IF(up_Bv!Q14=0,".",((s_Ir*s_F*s_MLF_peach*(1-EXP(-up_RadSpec!AZ14*s_t_b)))/(s_P*up_RadSpec!AZ14))),".")</f>
        <v>2.6824597822007652</v>
      </c>
      <c r="AQ14" s="115">
        <f>IFERROR(IF(up_Bv!R14=0,".",((s_Ir*s_F*s_MLF_pear*(1-EXP(-up_RadSpec!AZ14*s_t_b)))/(s_P*up_RadSpec!AZ14))),".")</f>
        <v>2.6824597822007652</v>
      </c>
      <c r="AR14" s="115">
        <f>IFERROR(IF(up_Bv!S14=0,".",((s_Ir*s_F*s_MLF_peas*(1-EXP(-up_RadSpec!AZ14*s_t_b)))/(s_P*up_RadSpec!AZ14))),".")</f>
        <v>2.6824597822007652</v>
      </c>
      <c r="AS14" s="115">
        <f>IFERROR(IF(up_Bv!T14=0,".",((s_Ir*s_F*s_MLF_peppers*(1-EXP(-up_RadSpec!AZ14*s_t_b)))/(s_P*up_RadSpec!AZ14))),".")</f>
        <v>2.6824597822007652</v>
      </c>
      <c r="AT14" s="115">
        <f>IFERROR(IF(up_Bv!U14=0,".",((s_Ir*s_F*s_MLF_potato*(1-EXP(-up_RadSpec!AZ14*s_t_b)))/(s_P*up_RadSpec!AZ14))),".")</f>
        <v>2.6824597822007652</v>
      </c>
      <c r="AU14" s="115">
        <f>IFERROR(IF(up_Bv!V14=0,".",((s_Ir*s_F*s_MLF_pumpkin*(1-EXP(-up_RadSpec!AZ14*s_t_b)))/(s_P*up_RadSpec!AZ14))),".")</f>
        <v>2.6824597822007652</v>
      </c>
      <c r="AV14" s="115">
        <f>IFERROR(IF(up_Bv!W14=0,".",((s_Ir*s_F*s_MLF_snap_bean*(1-EXP(-up_RadSpec!AZ14*s_t_b)))/(s_P*up_RadSpec!AZ14))),".")</f>
        <v>2.6824597822007652</v>
      </c>
      <c r="AW14" s="115">
        <f>IFERROR(IF(up_Bv!X14=0,".",((s_Ir*s_F*s_MLF_strawberry*(1-EXP(-up_RadSpec!AZ14*s_t_b)))/(s_P*up_RadSpec!AZ14))),".")</f>
        <v>2.6824597822007652</v>
      </c>
      <c r="AX14" s="115">
        <f>IFERROR(IF(up_Bv!Y14=0,".",((s_Ir*s_F*s_MLF_tomato*(1-EXP(-up_RadSpec!AZ14*s_t_b)))/(s_P*up_RadSpec!AZ14))),".")</f>
        <v>2.6824597822007652</v>
      </c>
      <c r="AY14" s="115">
        <f>IFERROR(IF(up_Bv!Z14=0,".",((s_Ir*s_F*s_MLF_rice*(1-EXP(-up_RadSpec!AZ14*s_t_b)))/(s_P*up_RadSpec!AZ14))),".")</f>
        <v>2.6824597822007652</v>
      </c>
      <c r="AZ14" s="115">
        <f>IFERROR(IF(up_Bv!AA14=0,".",((s_Ir*s_F*s_MLF_cereal*(1-EXP(-up_RadSpec!AZ14*s_t_b)))/(s_P*up_RadSpec!AZ14))),".")</f>
        <v>2.6824597822007652</v>
      </c>
      <c r="BA14" s="115">
        <f>IFERROR(IF(up_Bv!C14=0,".",((s_Ir*s_F*s_I_f*s_T*(1-EXP(-up_RadSpec!BA14*s_t_v)))/(s_Y_v*up_RadSpec!BA14))),".")</f>
        <v>9.0143481925428208</v>
      </c>
      <c r="BB14" s="115">
        <f>IFERROR(IF(up_Bv!D14=0,".",((s_Ir*s_F*s_I_f*s_T*(1-EXP(-up_RadSpec!BA14*s_t_v)))/(s_Y_v*up_RadSpec!BA14))),".")</f>
        <v>9.0143481925428208</v>
      </c>
      <c r="BC14" s="115">
        <f>IFERROR(IF(up_Bv!E14=0,".",((s_Ir*s_F*s_I_f*s_T*(1-EXP(-up_RadSpec!BA14*s_t_v)))/(s_Y_v*up_RadSpec!BA14))),".")</f>
        <v>9.0143481925428208</v>
      </c>
      <c r="BD14" s="115">
        <f>IFERROR(IF(up_Bv!F14=0,".",((s_Ir*s_F*s_I_f*s_T*(1-EXP(-up_RadSpec!BA14*s_t_v)))/(s_Y_v*up_RadSpec!BA14))),".")</f>
        <v>9.0143481925428208</v>
      </c>
      <c r="BE14" s="115">
        <f>IFERROR(IF(up_Bv!G14=0,".",((s_Ir*s_F*s_I_f*s_T*(1-EXP(-up_RadSpec!BA14*s_t_v)))/(s_Y_v*up_RadSpec!BA14))),".")</f>
        <v>9.0143481925428208</v>
      </c>
      <c r="BF14" s="115">
        <f>IFERROR(IF(up_Bv!H14=0,".",((s_Ir*s_F*s_I_f*s_T*(1-EXP(-up_RadSpec!BA14*s_t_v)))/(s_Y_v*up_RadSpec!BA14))),".")</f>
        <v>9.0143481925428208</v>
      </c>
      <c r="BG14" s="115">
        <f>IFERROR(IF(up_Bv!I14=0,".",((s_Ir*s_F*s_I_f*s_T*(1-EXP(-up_RadSpec!BA14*s_t_v)))/(s_Y_v*up_RadSpec!BA14))),".")</f>
        <v>9.0143481925428208</v>
      </c>
      <c r="BH14" s="115">
        <f>IFERROR(IF(up_Bv!J14=0,".",((s_Ir*s_F*s_I_f*s_T*(1-EXP(-up_RadSpec!BA14*s_t_v)))/(s_Y_v*up_RadSpec!BA14))),".")</f>
        <v>9.0143481925428208</v>
      </c>
      <c r="BI14" s="115">
        <f>IFERROR(IF(up_Bv!K14=0,".",((s_Ir*s_F*s_I_f*s_T*(1-EXP(-up_RadSpec!BA14*s_t_v)))/(s_Y_v*up_RadSpec!BA14))),".")</f>
        <v>9.0143481925428208</v>
      </c>
      <c r="BJ14" s="115">
        <f>IFERROR(IF(up_Bv!L14=0,".",((s_Ir*s_F*s_I_f*s_T*(1-EXP(-up_RadSpec!BA14*s_t_v)))/(s_Y_v*up_RadSpec!BA14))),".")</f>
        <v>9.0143481925428208</v>
      </c>
      <c r="BK14" s="115">
        <f>IFERROR(IF(up_Bv!M14=0,".",((s_Ir*s_F*s_I_f*s_T*(1-EXP(-up_RadSpec!BA14*s_t_v)))/(s_Y_v*up_RadSpec!BA14))),".")</f>
        <v>9.0143481925428208</v>
      </c>
      <c r="BL14" s="115">
        <f>IFERROR(IF(up_Bv!N14=0,".",((s_Ir*s_F*s_I_f*s_T*(1-EXP(-up_RadSpec!BA14*s_t_v)))/(s_Y_v*up_RadSpec!BA14))),".")</f>
        <v>9.0143481925428208</v>
      </c>
      <c r="BM14" s="115">
        <f>IFERROR(IF(up_Bv!O14=0,".",((s_Ir*s_F*s_I_f*s_T*(1-EXP(-up_RadSpec!BA14*s_t_v)))/(s_Y_v*up_RadSpec!BA14))),".")</f>
        <v>9.0143481925428208</v>
      </c>
      <c r="BN14" s="115">
        <f>IFERROR(IF(up_Bv!P14=0,".",((s_Ir*s_F*s_I_f*s_T*(1-EXP(-up_RadSpec!BA14*s_t_v)))/(s_Y_v*up_RadSpec!BA14))),".")</f>
        <v>9.0143481925428208</v>
      </c>
      <c r="BO14" s="115">
        <f>IFERROR(IF(up_Bv!Q14=0,".",((s_Ir*s_F*s_I_f*s_T*(1-EXP(-up_RadSpec!BA14*s_t_v)))/(s_Y_v*up_RadSpec!BA14))),".")</f>
        <v>9.0143481925428208</v>
      </c>
      <c r="BP14" s="115">
        <f>IFERROR(IF(up_Bv!R14=0,".",((s_Ir*s_F*s_I_f*s_T*(1-EXP(-up_RadSpec!BA14*s_t_v)))/(s_Y_v*up_RadSpec!BA14))),".")</f>
        <v>9.0143481925428208</v>
      </c>
      <c r="BQ14" s="115">
        <f>IFERROR(IF(up_Bv!S14=0,".",((s_Ir*s_F*s_I_f*s_T*(1-EXP(-up_RadSpec!BA14*s_t_v)))/(s_Y_v*up_RadSpec!BA14))),".")</f>
        <v>9.0143481925428208</v>
      </c>
      <c r="BR14" s="115">
        <f>IFERROR(IF(up_Bv!T14=0,".",((s_Ir*s_F*s_I_f*s_T*(1-EXP(-up_RadSpec!BA14*s_t_v)))/(s_Y_v*up_RadSpec!BA14))),".")</f>
        <v>9.0143481925428208</v>
      </c>
      <c r="BS14" s="115">
        <f>IFERROR(IF(up_Bv!U14=0,".",((s_Ir*s_F*s_I_f*s_T*(1-EXP(-up_RadSpec!BA14*s_t_v)))/(s_Y_v*up_RadSpec!BA14))),".")</f>
        <v>9.0143481925428208</v>
      </c>
      <c r="BT14" s="115">
        <f>IFERROR(IF(up_Bv!V14=0,".",((s_Ir*s_F*s_I_f*s_T*(1-EXP(-up_RadSpec!BA14*s_t_v)))/(s_Y_v*up_RadSpec!BA14))),".")</f>
        <v>9.0143481925428208</v>
      </c>
      <c r="BU14" s="115">
        <f>IFERROR(IF(up_Bv!W14=0,".",((s_Ir*s_F*s_I_f*s_T*(1-EXP(-up_RadSpec!BA14*s_t_v)))/(s_Y_v*up_RadSpec!BA14))),".")</f>
        <v>9.0143481925428208</v>
      </c>
      <c r="BV14" s="115">
        <f>IFERROR(IF(up_Bv!X14=0,".",((s_Ir*s_F*s_I_f*s_T*(1-EXP(-up_RadSpec!BA14*s_t_v)))/(s_Y_v*up_RadSpec!BA14))),".")</f>
        <v>9.0143481925428208</v>
      </c>
      <c r="BW14" s="115">
        <f>IFERROR(IF(up_Bv!Y14=0,".",((s_Ir*s_F*s_I_f*s_T*(1-EXP(-up_RadSpec!BA14*s_t_v)))/(s_Y_v*up_RadSpec!BA14))),".")</f>
        <v>9.0143481925428208</v>
      </c>
      <c r="BX14" s="115">
        <f>IFERROR(IF(up_Bv!Z14=0,".",((s_Ir*s_F*s_I_f*s_T*(1-EXP(-up_RadSpec!BA14*s_t_v)))/(s_Y_v*up_RadSpec!BA14))),".")</f>
        <v>9.0143481925428208</v>
      </c>
      <c r="BY14" s="115">
        <f>IFERROR(IF(up_Bv!AA14=0,".",((s_Ir*s_F*s_I_f*s_T*(1-EXP(-up_RadSpec!BA14*s_t_v)))/(s_Y_v*up_RadSpec!BA14))),".")</f>
        <v>9.0143481925428208</v>
      </c>
    </row>
    <row r="15" spans="1:77" x14ac:dyDescent="0.25">
      <c r="A15" s="44" t="s">
        <v>25</v>
      </c>
      <c r="B15" s="42" t="s">
        <v>1071</v>
      </c>
      <c r="C15" s="115">
        <f>IFERROR(IF(up_Bv!C15=0,".",((s_Ir*s_F*up_Bv!C15*(1-EXP(-up_RadSpec!$AZ15*s_t_b)))/(s_P*up_RadSpec!$AZ15))),".")</f>
        <v>993.50362303732038</v>
      </c>
      <c r="D15" s="115">
        <f>IFERROR(IF(up_Bv!D15=0,".",((s_Ir*s_F*up_Bv!D15*(1-EXP(-up_RadSpec!AZ15*s_t_b)))/(s_P*up_RadSpec!AZ15))),".")</f>
        <v>993.50362303732038</v>
      </c>
      <c r="E15" s="115">
        <f>IFERROR(IF(up_Bv!E15=0,".",((s_Ir*s_F*up_Bv!E15*(1-EXP(-up_RadSpec!AZ15*s_t_b)))/(s_P*up_RadSpec!AZ15))),".")</f>
        <v>993.50362303732038</v>
      </c>
      <c r="F15" s="115">
        <f>IFERROR(IF(up_Bv!F15=0,".",((s_Ir*s_F*up_Bv!F15*(1-EXP(-up_RadSpec!AZ15*s_t_b)))/(s_P*up_RadSpec!AZ15))),".")</f>
        <v>993.50362303732038</v>
      </c>
      <c r="G15" s="115">
        <f>IFERROR(IF(up_Bv!G15=0,".",((s_Ir*s_F*up_Bv!G15*(1-EXP(-up_RadSpec!AZ15*s_t_b)))/(s_P*up_RadSpec!AZ15))),".")</f>
        <v>993.50362303732038</v>
      </c>
      <c r="H15" s="115">
        <f>IFERROR(IF(up_Bv!H15=0,".",((s_Ir*s_F*up_Bv!H15*(1-EXP(-up_RadSpec!AZ15*s_t_b)))/(s_P*up_RadSpec!AZ15))),".")</f>
        <v>993.50362303732038</v>
      </c>
      <c r="I15" s="115">
        <f>IFERROR(IF(up_Bv!I15=0,".",((s_Ir*s_F*up_Bv!I15*(1-EXP(-up_RadSpec!AZ15*s_t_b)))/(s_P*up_RadSpec!AZ15))),".")</f>
        <v>993.50362303732038</v>
      </c>
      <c r="J15" s="115">
        <f>IFERROR(IF(up_Bv!J15=0,".",((s_Ir*s_F*up_Bv!J15*(1-EXP(-up_RadSpec!AZ15*s_t_b)))/(s_P*up_RadSpec!AZ15))),".")</f>
        <v>993.50362303732038</v>
      </c>
      <c r="K15" s="115">
        <f>IFERROR(IF(up_Bv!K15=0,".",((s_Ir*s_F*up_Bv!K15*(1-EXP(-up_RadSpec!AZ15*s_t_b)))/(s_P*up_RadSpec!AZ15))),".")</f>
        <v>993.50362303732038</v>
      </c>
      <c r="L15" s="115">
        <f>IFERROR(IF(up_Bv!L15=0,".",((s_Ir*s_F*up_Bv!L15*(1-EXP(-up_RadSpec!AZ15*s_t_b)))/(s_P*up_RadSpec!AZ15))),".")</f>
        <v>993.50362303732038</v>
      </c>
      <c r="M15" s="115">
        <f>IFERROR(IF(up_Bv!M15=0,".",((s_Ir*s_F*up_Bv!M15*(1-EXP(-up_RadSpec!AZ15*s_t_b)))/(s_P*up_RadSpec!AZ15))),".")</f>
        <v>993.50362303732038</v>
      </c>
      <c r="N15" s="115">
        <f>IFERROR(IF(up_Bv!N15=0,".",((s_Ir*s_F*up_Bv!N15*(1-EXP(-up_RadSpec!AZ15*s_t_b)))/(s_P*up_RadSpec!AZ15))),".")</f>
        <v>993.50362303732038</v>
      </c>
      <c r="O15" s="115">
        <f>IFERROR(IF(up_Bv!O15=0,".",((s_Ir*s_F*up_Bv!O15*(1-EXP(-up_RadSpec!AZ15*s_t_b)))/(s_P*up_RadSpec!AZ15))),".")</f>
        <v>993.50362303732038</v>
      </c>
      <c r="P15" s="115">
        <f>IFERROR(IF(up_Bv!P15=0,".",((s_Ir*s_F*up_Bv!P15*(1-EXP(-up_RadSpec!AZ15*s_t_b)))/(s_P*up_RadSpec!AZ15))),".")</f>
        <v>993.50362303732038</v>
      </c>
      <c r="Q15" s="115">
        <f>IFERROR(IF(up_Bv!Q15=0,".",((s_Ir*s_F*up_Bv!Q15*(1-EXP(-up_RadSpec!AZ15*s_t_b)))/(s_P*up_RadSpec!AZ15))),".")</f>
        <v>993.50362303732038</v>
      </c>
      <c r="R15" s="115">
        <f>IFERROR(IF(up_Bv!R15=0,".",((s_Ir*s_F*up_Bv!R15*(1-EXP(-up_RadSpec!AZ15*s_t_b)))/(s_P*up_RadSpec!AZ15))),".")</f>
        <v>993.50362303732038</v>
      </c>
      <c r="S15" s="115">
        <f>IFERROR(IF(up_Bv!S15=0,".",((s_Ir*s_F*up_Bv!S15*(1-EXP(-up_RadSpec!AZ15*s_t_b)))/(s_P*up_RadSpec!AZ15))),".")</f>
        <v>993.50362303732038</v>
      </c>
      <c r="T15" s="115">
        <f>IFERROR(IF(up_Bv!T15=0,".",((s_Ir*s_F*up_Bv!T15*(1-EXP(-up_RadSpec!AZ15*s_t_b)))/(s_P*up_RadSpec!AZ15))),".")</f>
        <v>993.50362303732038</v>
      </c>
      <c r="U15" s="115">
        <f>IFERROR(IF(up_Bv!U15=0,".",((s_Ir*s_F*up_Bv!U15*(1-EXP(-up_RadSpec!AZ15*s_t_b)))/(s_P*up_RadSpec!AZ15))),".")</f>
        <v>993.50362303732038</v>
      </c>
      <c r="V15" s="115">
        <f>IFERROR(IF(up_Bv!V15=0,".",((s_Ir*s_F*up_Bv!V15*(1-EXP(-up_RadSpec!AZ15*s_t_b)))/(s_P*up_RadSpec!AZ15))),".")</f>
        <v>993.50362303732038</v>
      </c>
      <c r="W15" s="115">
        <f>IFERROR(IF(up_Bv!W15=0,".",((s_Ir*s_F*up_Bv!W15*(1-EXP(-up_RadSpec!AZ15*s_t_b)))/(s_P*up_RadSpec!AZ15))),".")</f>
        <v>993.50362303732038</v>
      </c>
      <c r="X15" s="115">
        <f>IFERROR(IF(up_Bv!X15=0,".",((s_Ir*s_F*up_Bv!X15*(1-EXP(-up_RadSpec!AZ15*s_t_b)))/(s_P*up_RadSpec!AZ15))),".")</f>
        <v>993.50362303732038</v>
      </c>
      <c r="Y15" s="115">
        <f>IFERROR(IF(up_Bv!Y15=0,".",((s_Ir*s_F*up_Bv!Y15*(1-EXP(-up_RadSpec!AZ15*s_t_b)))/(s_P*up_RadSpec!AZ15))),".")</f>
        <v>993.50362303732038</v>
      </c>
      <c r="Z15" s="115">
        <f>IFERROR(IF(up_Bv!Z15=0,".",((s_Ir*s_F*up_Bv!Z15*(1-EXP(-up_RadSpec!AZ15*s_t_b)))/(s_P*up_RadSpec!AZ15))),".")</f>
        <v>993.50362303732038</v>
      </c>
      <c r="AA15" s="115">
        <f>IFERROR(IF(up_Bv!AA15=0,".",((s_Ir*s_F*up_Bv!AA15*(1-EXP(-up_RadSpec!AZ15*s_t_b)))/(s_P*up_RadSpec!AZ15))),".")</f>
        <v>993.50362303732038</v>
      </c>
      <c r="AB15" s="115">
        <f>IFERROR(IF(up_Bv!C15=0,".",((s_Ir*s_F*s_MLF_apple*(1-EXP(-up_RadSpec!AZ15*s_t_b)))/(s_P*up_RadSpec!AZ15))),".")</f>
        <v>2.6824597822007652</v>
      </c>
      <c r="AC15" s="115">
        <f>IFERROR(IF(up_Bv!D15=0,".",((s_Ir*s_F*s_MLF_asparagus*(1-EXP(-up_RadSpec!AZ15*s_t_b)))/(s_P*up_RadSpec!AZ15))),".")</f>
        <v>2.6824597822007652</v>
      </c>
      <c r="AD15" s="115">
        <f>IFERROR(IF(up_Bv!E15=0,".",((s_Ir*s_F*s_MLF_beet*(1-EXP(-up_RadSpec!AZ15*s_t_b)))/(s_P*up_RadSpec!AZ15))),".")</f>
        <v>2.6824597822007652</v>
      </c>
      <c r="AE15" s="115">
        <f>IFERROR(IF(up_Bv!F15=0,".",((s_Ir*s_F*s_MLF_berries*(1-EXP(-up_RadSpec!AZ15*s_t_b)))/(s_P*up_RadSpec!AZ15))),".")</f>
        <v>2.6824597822007652</v>
      </c>
      <c r="AF15" s="115">
        <f>IFERROR(IF(up_Bv!G15=0,".",((s_Ir*s_F*s_MLF_broccoli*(1-EXP(-up_RadSpec!AZ15*s_t_b)))/(s_P*up_RadSpec!AZ15))),".")</f>
        <v>2.6824597822007652</v>
      </c>
      <c r="AG15" s="115">
        <f>IFERROR(IF(up_Bv!H15=0,".",((s_Ir*s_F*s_MLF_cabbage*(1-EXP(-up_RadSpec!AZ15*s_t_b)))/(s_P*up_RadSpec!AZ15))),".")</f>
        <v>2.6824597822007652</v>
      </c>
      <c r="AH15" s="115">
        <f>IFERROR(IF(up_Bv!I15=0,".",((s_Ir*s_F*s_MLF_carrot*(1-EXP(-up_RadSpec!AZ15*s_t_b)))/(s_P*up_RadSpec!AZ15))),".")</f>
        <v>2.6824597822007652</v>
      </c>
      <c r="AI15" s="115">
        <f>IFERROR(IF(up_Bv!J15=0,".",((s_Ir*s_F*s_MLF_citrus*(1-EXP(-up_RadSpec!AZ15*s_t_b)))/(s_P*up_RadSpec!AZ15))),".")</f>
        <v>2.6824597822007652</v>
      </c>
      <c r="AJ15" s="115">
        <f>IFERROR(IF(up_Bv!K15=0,".",((s_Ir*s_F*s_MLF_corn*(1-EXP(-up_RadSpec!AZ15*s_t_b)))/(s_P*up_RadSpec!AZ15))),".")</f>
        <v>2.6824597822007652</v>
      </c>
      <c r="AK15" s="115">
        <f>IFERROR(IF(up_Bv!L15=0,".",((s_Ir*s_F*s_MLF_cucumber*(1-EXP(-up_RadSpec!AZ15*s_t_b)))/(s_P*up_RadSpec!AZ15))),".")</f>
        <v>2.6824597822007652</v>
      </c>
      <c r="AL15" s="115">
        <f>IFERROR(IF(up_Bv!M15=0,".",((s_Ir*s_F*s_MLF_lettuce*(1-EXP(-up_RadSpec!AZ15*s_t_b)))/(s_P*up_RadSpec!AZ15))),".")</f>
        <v>2.6824597822007652</v>
      </c>
      <c r="AM15" s="115">
        <f>IFERROR(IF(up_Bv!N15=0,".",((s_Ir*s_F*s_MLF_lima_bean*(1-EXP(-up_RadSpec!AZ15*s_t_b)))/(s_P*up_RadSpec!AZ15))),".")</f>
        <v>2.6824597822007652</v>
      </c>
      <c r="AN15" s="115">
        <f>IFERROR(IF(up_Bv!O15=0,".",((s_Ir*s_F*s_MLF_okra*(1-EXP(-up_RadSpec!AZ15*s_t_b)))/(s_P*up_RadSpec!AZ15))),".")</f>
        <v>2.6824597822007652</v>
      </c>
      <c r="AO15" s="115">
        <f>IFERROR(IF(up_Bv!P15=0,".",((s_Ir*s_F*s_MLF_onion*(1-EXP(-up_RadSpec!AZ15*s_t_b)))/(s_P*up_RadSpec!AZ15))),".")</f>
        <v>2.6824597822007652</v>
      </c>
      <c r="AP15" s="115">
        <f>IFERROR(IF(up_Bv!Q15=0,".",((s_Ir*s_F*s_MLF_peach*(1-EXP(-up_RadSpec!AZ15*s_t_b)))/(s_P*up_RadSpec!AZ15))),".")</f>
        <v>2.6824597822007652</v>
      </c>
      <c r="AQ15" s="115">
        <f>IFERROR(IF(up_Bv!R15=0,".",((s_Ir*s_F*s_MLF_pear*(1-EXP(-up_RadSpec!AZ15*s_t_b)))/(s_P*up_RadSpec!AZ15))),".")</f>
        <v>2.6824597822007652</v>
      </c>
      <c r="AR15" s="115">
        <f>IFERROR(IF(up_Bv!S15=0,".",((s_Ir*s_F*s_MLF_peas*(1-EXP(-up_RadSpec!AZ15*s_t_b)))/(s_P*up_RadSpec!AZ15))),".")</f>
        <v>2.6824597822007652</v>
      </c>
      <c r="AS15" s="115">
        <f>IFERROR(IF(up_Bv!T15=0,".",((s_Ir*s_F*s_MLF_peppers*(1-EXP(-up_RadSpec!AZ15*s_t_b)))/(s_P*up_RadSpec!AZ15))),".")</f>
        <v>2.6824597822007652</v>
      </c>
      <c r="AT15" s="115">
        <f>IFERROR(IF(up_Bv!U15=0,".",((s_Ir*s_F*s_MLF_potato*(1-EXP(-up_RadSpec!AZ15*s_t_b)))/(s_P*up_RadSpec!AZ15))),".")</f>
        <v>2.6824597822007652</v>
      </c>
      <c r="AU15" s="115">
        <f>IFERROR(IF(up_Bv!V15=0,".",((s_Ir*s_F*s_MLF_pumpkin*(1-EXP(-up_RadSpec!AZ15*s_t_b)))/(s_P*up_RadSpec!AZ15))),".")</f>
        <v>2.6824597822007652</v>
      </c>
      <c r="AV15" s="115">
        <f>IFERROR(IF(up_Bv!W15=0,".",((s_Ir*s_F*s_MLF_snap_bean*(1-EXP(-up_RadSpec!AZ15*s_t_b)))/(s_P*up_RadSpec!AZ15))),".")</f>
        <v>2.6824597822007652</v>
      </c>
      <c r="AW15" s="115">
        <f>IFERROR(IF(up_Bv!X15=0,".",((s_Ir*s_F*s_MLF_strawberry*(1-EXP(-up_RadSpec!AZ15*s_t_b)))/(s_P*up_RadSpec!AZ15))),".")</f>
        <v>2.6824597822007652</v>
      </c>
      <c r="AX15" s="115">
        <f>IFERROR(IF(up_Bv!Y15=0,".",((s_Ir*s_F*s_MLF_tomato*(1-EXP(-up_RadSpec!AZ15*s_t_b)))/(s_P*up_RadSpec!AZ15))),".")</f>
        <v>2.6824597822007652</v>
      </c>
      <c r="AY15" s="115">
        <f>IFERROR(IF(up_Bv!Z15=0,".",((s_Ir*s_F*s_MLF_rice*(1-EXP(-up_RadSpec!AZ15*s_t_b)))/(s_P*up_RadSpec!AZ15))),".")</f>
        <v>2.6824597822007652</v>
      </c>
      <c r="AZ15" s="115">
        <f>IFERROR(IF(up_Bv!AA15=0,".",((s_Ir*s_F*s_MLF_cereal*(1-EXP(-up_RadSpec!AZ15*s_t_b)))/(s_P*up_RadSpec!AZ15))),".")</f>
        <v>2.6824597822007652</v>
      </c>
      <c r="BA15" s="115">
        <f>IFERROR(IF(up_Bv!C15=0,".",((s_Ir*s_F*s_I_f*s_T*(1-EXP(-up_RadSpec!BA15*s_t_v)))/(s_Y_v*up_RadSpec!BA15))),".")</f>
        <v>9.0143481925428208</v>
      </c>
      <c r="BB15" s="115">
        <f>IFERROR(IF(up_Bv!D15=0,".",((s_Ir*s_F*s_I_f*s_T*(1-EXP(-up_RadSpec!BA15*s_t_v)))/(s_Y_v*up_RadSpec!BA15))),".")</f>
        <v>9.0143481925428208</v>
      </c>
      <c r="BC15" s="115">
        <f>IFERROR(IF(up_Bv!E15=0,".",((s_Ir*s_F*s_I_f*s_T*(1-EXP(-up_RadSpec!BA15*s_t_v)))/(s_Y_v*up_RadSpec!BA15))),".")</f>
        <v>9.0143481925428208</v>
      </c>
      <c r="BD15" s="115">
        <f>IFERROR(IF(up_Bv!F15=0,".",((s_Ir*s_F*s_I_f*s_T*(1-EXP(-up_RadSpec!BA15*s_t_v)))/(s_Y_v*up_RadSpec!BA15))),".")</f>
        <v>9.0143481925428208</v>
      </c>
      <c r="BE15" s="115">
        <f>IFERROR(IF(up_Bv!G15=0,".",((s_Ir*s_F*s_I_f*s_T*(1-EXP(-up_RadSpec!BA15*s_t_v)))/(s_Y_v*up_RadSpec!BA15))),".")</f>
        <v>9.0143481925428208</v>
      </c>
      <c r="BF15" s="115">
        <f>IFERROR(IF(up_Bv!H15=0,".",((s_Ir*s_F*s_I_f*s_T*(1-EXP(-up_RadSpec!BA15*s_t_v)))/(s_Y_v*up_RadSpec!BA15))),".")</f>
        <v>9.0143481925428208</v>
      </c>
      <c r="BG15" s="115">
        <f>IFERROR(IF(up_Bv!I15=0,".",((s_Ir*s_F*s_I_f*s_T*(1-EXP(-up_RadSpec!BA15*s_t_v)))/(s_Y_v*up_RadSpec!BA15))),".")</f>
        <v>9.0143481925428208</v>
      </c>
      <c r="BH15" s="115">
        <f>IFERROR(IF(up_Bv!J15=0,".",((s_Ir*s_F*s_I_f*s_T*(1-EXP(-up_RadSpec!BA15*s_t_v)))/(s_Y_v*up_RadSpec!BA15))),".")</f>
        <v>9.0143481925428208</v>
      </c>
      <c r="BI15" s="115">
        <f>IFERROR(IF(up_Bv!K15=0,".",((s_Ir*s_F*s_I_f*s_T*(1-EXP(-up_RadSpec!BA15*s_t_v)))/(s_Y_v*up_RadSpec!BA15))),".")</f>
        <v>9.0143481925428208</v>
      </c>
      <c r="BJ15" s="115">
        <f>IFERROR(IF(up_Bv!L15=0,".",((s_Ir*s_F*s_I_f*s_T*(1-EXP(-up_RadSpec!BA15*s_t_v)))/(s_Y_v*up_RadSpec!BA15))),".")</f>
        <v>9.0143481925428208</v>
      </c>
      <c r="BK15" s="115">
        <f>IFERROR(IF(up_Bv!M15=0,".",((s_Ir*s_F*s_I_f*s_T*(1-EXP(-up_RadSpec!BA15*s_t_v)))/(s_Y_v*up_RadSpec!BA15))),".")</f>
        <v>9.0143481925428208</v>
      </c>
      <c r="BL15" s="115">
        <f>IFERROR(IF(up_Bv!N15=0,".",((s_Ir*s_F*s_I_f*s_T*(1-EXP(-up_RadSpec!BA15*s_t_v)))/(s_Y_v*up_RadSpec!BA15))),".")</f>
        <v>9.0143481925428208</v>
      </c>
      <c r="BM15" s="115">
        <f>IFERROR(IF(up_Bv!O15=0,".",((s_Ir*s_F*s_I_f*s_T*(1-EXP(-up_RadSpec!BA15*s_t_v)))/(s_Y_v*up_RadSpec!BA15))),".")</f>
        <v>9.0143481925428208</v>
      </c>
      <c r="BN15" s="115">
        <f>IFERROR(IF(up_Bv!P15=0,".",((s_Ir*s_F*s_I_f*s_T*(1-EXP(-up_RadSpec!BA15*s_t_v)))/(s_Y_v*up_RadSpec!BA15))),".")</f>
        <v>9.0143481925428208</v>
      </c>
      <c r="BO15" s="115">
        <f>IFERROR(IF(up_Bv!Q15=0,".",((s_Ir*s_F*s_I_f*s_T*(1-EXP(-up_RadSpec!BA15*s_t_v)))/(s_Y_v*up_RadSpec!BA15))),".")</f>
        <v>9.0143481925428208</v>
      </c>
      <c r="BP15" s="115">
        <f>IFERROR(IF(up_Bv!R15=0,".",((s_Ir*s_F*s_I_f*s_T*(1-EXP(-up_RadSpec!BA15*s_t_v)))/(s_Y_v*up_RadSpec!BA15))),".")</f>
        <v>9.0143481925428208</v>
      </c>
      <c r="BQ15" s="115">
        <f>IFERROR(IF(up_Bv!S15=0,".",((s_Ir*s_F*s_I_f*s_T*(1-EXP(-up_RadSpec!BA15*s_t_v)))/(s_Y_v*up_RadSpec!BA15))),".")</f>
        <v>9.0143481925428208</v>
      </c>
      <c r="BR15" s="115">
        <f>IFERROR(IF(up_Bv!T15=0,".",((s_Ir*s_F*s_I_f*s_T*(1-EXP(-up_RadSpec!BA15*s_t_v)))/(s_Y_v*up_RadSpec!BA15))),".")</f>
        <v>9.0143481925428208</v>
      </c>
      <c r="BS15" s="115">
        <f>IFERROR(IF(up_Bv!U15=0,".",((s_Ir*s_F*s_I_f*s_T*(1-EXP(-up_RadSpec!BA15*s_t_v)))/(s_Y_v*up_RadSpec!BA15))),".")</f>
        <v>9.0143481925428208</v>
      </c>
      <c r="BT15" s="115">
        <f>IFERROR(IF(up_Bv!V15=0,".",((s_Ir*s_F*s_I_f*s_T*(1-EXP(-up_RadSpec!BA15*s_t_v)))/(s_Y_v*up_RadSpec!BA15))),".")</f>
        <v>9.0143481925428208</v>
      </c>
      <c r="BU15" s="115">
        <f>IFERROR(IF(up_Bv!W15=0,".",((s_Ir*s_F*s_I_f*s_T*(1-EXP(-up_RadSpec!BA15*s_t_v)))/(s_Y_v*up_RadSpec!BA15))),".")</f>
        <v>9.0143481925428208</v>
      </c>
      <c r="BV15" s="115">
        <f>IFERROR(IF(up_Bv!X15=0,".",((s_Ir*s_F*s_I_f*s_T*(1-EXP(-up_RadSpec!BA15*s_t_v)))/(s_Y_v*up_RadSpec!BA15))),".")</f>
        <v>9.0143481925428208</v>
      </c>
      <c r="BW15" s="115">
        <f>IFERROR(IF(up_Bv!Y15=0,".",((s_Ir*s_F*s_I_f*s_T*(1-EXP(-up_RadSpec!BA15*s_t_v)))/(s_Y_v*up_RadSpec!BA15))),".")</f>
        <v>9.0143481925428208</v>
      </c>
      <c r="BX15" s="115">
        <f>IFERROR(IF(up_Bv!Z15=0,".",((s_Ir*s_F*s_I_f*s_T*(1-EXP(-up_RadSpec!BA15*s_t_v)))/(s_Y_v*up_RadSpec!BA15))),".")</f>
        <v>9.0143481925428208</v>
      </c>
      <c r="BY15" s="115">
        <f>IFERROR(IF(up_Bv!AA15=0,".",((s_Ir*s_F*s_I_f*s_T*(1-EXP(-up_RadSpec!BA15*s_t_v)))/(s_Y_v*up_RadSpec!BA15))),".")</f>
        <v>9.0143481925428208</v>
      </c>
    </row>
    <row r="16" spans="1:77" x14ac:dyDescent="0.25">
      <c r="A16" s="44" t="s">
        <v>26</v>
      </c>
      <c r="B16" s="42" t="s">
        <v>1071</v>
      </c>
      <c r="C16" s="115">
        <f>IFERROR(IF(up_Bv!C16=0,".",((s_Ir*s_F*up_Bv!C16*(1-EXP(-up_RadSpec!$AZ16*s_t_b)))/(s_P*up_RadSpec!$AZ16))),".")</f>
        <v>993.50362303732038</v>
      </c>
      <c r="D16" s="115">
        <f>IFERROR(IF(up_Bv!D16=0,".",((s_Ir*s_F*up_Bv!D16*(1-EXP(-up_RadSpec!AZ16*s_t_b)))/(s_P*up_RadSpec!AZ16))),".")</f>
        <v>993.50362303732038</v>
      </c>
      <c r="E16" s="115">
        <f>IFERROR(IF(up_Bv!E16=0,".",((s_Ir*s_F*up_Bv!E16*(1-EXP(-up_RadSpec!AZ16*s_t_b)))/(s_P*up_RadSpec!AZ16))),".")</f>
        <v>993.50362303732038</v>
      </c>
      <c r="F16" s="115">
        <f>IFERROR(IF(up_Bv!F16=0,".",((s_Ir*s_F*up_Bv!F16*(1-EXP(-up_RadSpec!AZ16*s_t_b)))/(s_P*up_RadSpec!AZ16))),".")</f>
        <v>993.50362303732038</v>
      </c>
      <c r="G16" s="115">
        <f>IFERROR(IF(up_Bv!G16=0,".",((s_Ir*s_F*up_Bv!G16*(1-EXP(-up_RadSpec!AZ16*s_t_b)))/(s_P*up_RadSpec!AZ16))),".")</f>
        <v>993.50362303732038</v>
      </c>
      <c r="H16" s="115">
        <f>IFERROR(IF(up_Bv!H16=0,".",((s_Ir*s_F*up_Bv!H16*(1-EXP(-up_RadSpec!AZ16*s_t_b)))/(s_P*up_RadSpec!AZ16))),".")</f>
        <v>993.50362303732038</v>
      </c>
      <c r="I16" s="115">
        <f>IFERROR(IF(up_Bv!I16=0,".",((s_Ir*s_F*up_Bv!I16*(1-EXP(-up_RadSpec!AZ16*s_t_b)))/(s_P*up_RadSpec!AZ16))),".")</f>
        <v>993.50362303732038</v>
      </c>
      <c r="J16" s="115">
        <f>IFERROR(IF(up_Bv!J16=0,".",((s_Ir*s_F*up_Bv!J16*(1-EXP(-up_RadSpec!AZ16*s_t_b)))/(s_P*up_RadSpec!AZ16))),".")</f>
        <v>993.50362303732038</v>
      </c>
      <c r="K16" s="115">
        <f>IFERROR(IF(up_Bv!K16=0,".",((s_Ir*s_F*up_Bv!K16*(1-EXP(-up_RadSpec!AZ16*s_t_b)))/(s_P*up_RadSpec!AZ16))),".")</f>
        <v>993.50362303732038</v>
      </c>
      <c r="L16" s="115">
        <f>IFERROR(IF(up_Bv!L16=0,".",((s_Ir*s_F*up_Bv!L16*(1-EXP(-up_RadSpec!AZ16*s_t_b)))/(s_P*up_RadSpec!AZ16))),".")</f>
        <v>993.50362303732038</v>
      </c>
      <c r="M16" s="115">
        <f>IFERROR(IF(up_Bv!M16=0,".",((s_Ir*s_F*up_Bv!M16*(1-EXP(-up_RadSpec!AZ16*s_t_b)))/(s_P*up_RadSpec!AZ16))),".")</f>
        <v>993.50362303732038</v>
      </c>
      <c r="N16" s="115">
        <f>IFERROR(IF(up_Bv!N16=0,".",((s_Ir*s_F*up_Bv!N16*(1-EXP(-up_RadSpec!AZ16*s_t_b)))/(s_P*up_RadSpec!AZ16))),".")</f>
        <v>993.50362303732038</v>
      </c>
      <c r="O16" s="115">
        <f>IFERROR(IF(up_Bv!O16=0,".",((s_Ir*s_F*up_Bv!O16*(1-EXP(-up_RadSpec!AZ16*s_t_b)))/(s_P*up_RadSpec!AZ16))),".")</f>
        <v>993.50362303732038</v>
      </c>
      <c r="P16" s="115">
        <f>IFERROR(IF(up_Bv!P16=0,".",((s_Ir*s_F*up_Bv!P16*(1-EXP(-up_RadSpec!AZ16*s_t_b)))/(s_P*up_RadSpec!AZ16))),".")</f>
        <v>993.50362303732038</v>
      </c>
      <c r="Q16" s="115">
        <f>IFERROR(IF(up_Bv!Q16=0,".",((s_Ir*s_F*up_Bv!Q16*(1-EXP(-up_RadSpec!AZ16*s_t_b)))/(s_P*up_RadSpec!AZ16))),".")</f>
        <v>993.50362303732038</v>
      </c>
      <c r="R16" s="115">
        <f>IFERROR(IF(up_Bv!R16=0,".",((s_Ir*s_F*up_Bv!R16*(1-EXP(-up_RadSpec!AZ16*s_t_b)))/(s_P*up_RadSpec!AZ16))),".")</f>
        <v>993.50362303732038</v>
      </c>
      <c r="S16" s="115">
        <f>IFERROR(IF(up_Bv!S16=0,".",((s_Ir*s_F*up_Bv!S16*(1-EXP(-up_RadSpec!AZ16*s_t_b)))/(s_P*up_RadSpec!AZ16))),".")</f>
        <v>993.50362303732038</v>
      </c>
      <c r="T16" s="115">
        <f>IFERROR(IF(up_Bv!T16=0,".",((s_Ir*s_F*up_Bv!T16*(1-EXP(-up_RadSpec!AZ16*s_t_b)))/(s_P*up_RadSpec!AZ16))),".")</f>
        <v>993.50362303732038</v>
      </c>
      <c r="U16" s="115">
        <f>IFERROR(IF(up_Bv!U16=0,".",((s_Ir*s_F*up_Bv!U16*(1-EXP(-up_RadSpec!AZ16*s_t_b)))/(s_P*up_RadSpec!AZ16))),".")</f>
        <v>993.50362303732038</v>
      </c>
      <c r="V16" s="115">
        <f>IFERROR(IF(up_Bv!V16=0,".",((s_Ir*s_F*up_Bv!V16*(1-EXP(-up_RadSpec!AZ16*s_t_b)))/(s_P*up_RadSpec!AZ16))),".")</f>
        <v>993.50362303732038</v>
      </c>
      <c r="W16" s="115">
        <f>IFERROR(IF(up_Bv!W16=0,".",((s_Ir*s_F*up_Bv!W16*(1-EXP(-up_RadSpec!AZ16*s_t_b)))/(s_P*up_RadSpec!AZ16))),".")</f>
        <v>993.50362303732038</v>
      </c>
      <c r="X16" s="115">
        <f>IFERROR(IF(up_Bv!X16=0,".",((s_Ir*s_F*up_Bv!X16*(1-EXP(-up_RadSpec!AZ16*s_t_b)))/(s_P*up_RadSpec!AZ16))),".")</f>
        <v>993.50362303732038</v>
      </c>
      <c r="Y16" s="115">
        <f>IFERROR(IF(up_Bv!Y16=0,".",((s_Ir*s_F*up_Bv!Y16*(1-EXP(-up_RadSpec!AZ16*s_t_b)))/(s_P*up_RadSpec!AZ16))),".")</f>
        <v>993.50362303732038</v>
      </c>
      <c r="Z16" s="115">
        <f>IFERROR(IF(up_Bv!Z16=0,".",((s_Ir*s_F*up_Bv!Z16*(1-EXP(-up_RadSpec!AZ16*s_t_b)))/(s_P*up_RadSpec!AZ16))),".")</f>
        <v>993.50362303732038</v>
      </c>
      <c r="AA16" s="115">
        <f>IFERROR(IF(up_Bv!AA16=0,".",((s_Ir*s_F*up_Bv!AA16*(1-EXP(-up_RadSpec!AZ16*s_t_b)))/(s_P*up_RadSpec!AZ16))),".")</f>
        <v>993.50362303732038</v>
      </c>
      <c r="AB16" s="115">
        <f>IFERROR(IF(up_Bv!C16=0,".",((s_Ir*s_F*s_MLF_apple*(1-EXP(-up_RadSpec!AZ16*s_t_b)))/(s_P*up_RadSpec!AZ16))),".")</f>
        <v>2.6824597822007652</v>
      </c>
      <c r="AC16" s="115">
        <f>IFERROR(IF(up_Bv!D16=0,".",((s_Ir*s_F*s_MLF_asparagus*(1-EXP(-up_RadSpec!AZ16*s_t_b)))/(s_P*up_RadSpec!AZ16))),".")</f>
        <v>2.6824597822007652</v>
      </c>
      <c r="AD16" s="115">
        <f>IFERROR(IF(up_Bv!E16=0,".",((s_Ir*s_F*s_MLF_beet*(1-EXP(-up_RadSpec!AZ16*s_t_b)))/(s_P*up_RadSpec!AZ16))),".")</f>
        <v>2.6824597822007652</v>
      </c>
      <c r="AE16" s="115">
        <f>IFERROR(IF(up_Bv!F16=0,".",((s_Ir*s_F*s_MLF_berries*(1-EXP(-up_RadSpec!AZ16*s_t_b)))/(s_P*up_RadSpec!AZ16))),".")</f>
        <v>2.6824597822007652</v>
      </c>
      <c r="AF16" s="115">
        <f>IFERROR(IF(up_Bv!G16=0,".",((s_Ir*s_F*s_MLF_broccoli*(1-EXP(-up_RadSpec!AZ16*s_t_b)))/(s_P*up_RadSpec!AZ16))),".")</f>
        <v>2.6824597822007652</v>
      </c>
      <c r="AG16" s="115">
        <f>IFERROR(IF(up_Bv!H16=0,".",((s_Ir*s_F*s_MLF_cabbage*(1-EXP(-up_RadSpec!AZ16*s_t_b)))/(s_P*up_RadSpec!AZ16))),".")</f>
        <v>2.6824597822007652</v>
      </c>
      <c r="AH16" s="115">
        <f>IFERROR(IF(up_Bv!I16=0,".",((s_Ir*s_F*s_MLF_carrot*(1-EXP(-up_RadSpec!AZ16*s_t_b)))/(s_P*up_RadSpec!AZ16))),".")</f>
        <v>2.6824597822007652</v>
      </c>
      <c r="AI16" s="115">
        <f>IFERROR(IF(up_Bv!J16=0,".",((s_Ir*s_F*s_MLF_citrus*(1-EXP(-up_RadSpec!AZ16*s_t_b)))/(s_P*up_RadSpec!AZ16))),".")</f>
        <v>2.6824597822007652</v>
      </c>
      <c r="AJ16" s="115">
        <f>IFERROR(IF(up_Bv!K16=0,".",((s_Ir*s_F*s_MLF_corn*(1-EXP(-up_RadSpec!AZ16*s_t_b)))/(s_P*up_RadSpec!AZ16))),".")</f>
        <v>2.6824597822007652</v>
      </c>
      <c r="AK16" s="115">
        <f>IFERROR(IF(up_Bv!L16=0,".",((s_Ir*s_F*s_MLF_cucumber*(1-EXP(-up_RadSpec!AZ16*s_t_b)))/(s_P*up_RadSpec!AZ16))),".")</f>
        <v>2.6824597822007652</v>
      </c>
      <c r="AL16" s="115">
        <f>IFERROR(IF(up_Bv!M16=0,".",((s_Ir*s_F*s_MLF_lettuce*(1-EXP(-up_RadSpec!AZ16*s_t_b)))/(s_P*up_RadSpec!AZ16))),".")</f>
        <v>2.6824597822007652</v>
      </c>
      <c r="AM16" s="115">
        <f>IFERROR(IF(up_Bv!N16=0,".",((s_Ir*s_F*s_MLF_lima_bean*(1-EXP(-up_RadSpec!AZ16*s_t_b)))/(s_P*up_RadSpec!AZ16))),".")</f>
        <v>2.6824597822007652</v>
      </c>
      <c r="AN16" s="115">
        <f>IFERROR(IF(up_Bv!O16=0,".",((s_Ir*s_F*s_MLF_okra*(1-EXP(-up_RadSpec!AZ16*s_t_b)))/(s_P*up_RadSpec!AZ16))),".")</f>
        <v>2.6824597822007652</v>
      </c>
      <c r="AO16" s="115">
        <f>IFERROR(IF(up_Bv!P16=0,".",((s_Ir*s_F*s_MLF_onion*(1-EXP(-up_RadSpec!AZ16*s_t_b)))/(s_P*up_RadSpec!AZ16))),".")</f>
        <v>2.6824597822007652</v>
      </c>
      <c r="AP16" s="115">
        <f>IFERROR(IF(up_Bv!Q16=0,".",((s_Ir*s_F*s_MLF_peach*(1-EXP(-up_RadSpec!AZ16*s_t_b)))/(s_P*up_RadSpec!AZ16))),".")</f>
        <v>2.6824597822007652</v>
      </c>
      <c r="AQ16" s="115">
        <f>IFERROR(IF(up_Bv!R16=0,".",((s_Ir*s_F*s_MLF_pear*(1-EXP(-up_RadSpec!AZ16*s_t_b)))/(s_P*up_RadSpec!AZ16))),".")</f>
        <v>2.6824597822007652</v>
      </c>
      <c r="AR16" s="115">
        <f>IFERROR(IF(up_Bv!S16=0,".",((s_Ir*s_F*s_MLF_peas*(1-EXP(-up_RadSpec!AZ16*s_t_b)))/(s_P*up_RadSpec!AZ16))),".")</f>
        <v>2.6824597822007652</v>
      </c>
      <c r="AS16" s="115">
        <f>IFERROR(IF(up_Bv!T16=0,".",((s_Ir*s_F*s_MLF_peppers*(1-EXP(-up_RadSpec!AZ16*s_t_b)))/(s_P*up_RadSpec!AZ16))),".")</f>
        <v>2.6824597822007652</v>
      </c>
      <c r="AT16" s="115">
        <f>IFERROR(IF(up_Bv!U16=0,".",((s_Ir*s_F*s_MLF_potato*(1-EXP(-up_RadSpec!AZ16*s_t_b)))/(s_P*up_RadSpec!AZ16))),".")</f>
        <v>2.6824597822007652</v>
      </c>
      <c r="AU16" s="115">
        <f>IFERROR(IF(up_Bv!V16=0,".",((s_Ir*s_F*s_MLF_pumpkin*(1-EXP(-up_RadSpec!AZ16*s_t_b)))/(s_P*up_RadSpec!AZ16))),".")</f>
        <v>2.6824597822007652</v>
      </c>
      <c r="AV16" s="115">
        <f>IFERROR(IF(up_Bv!W16=0,".",((s_Ir*s_F*s_MLF_snap_bean*(1-EXP(-up_RadSpec!AZ16*s_t_b)))/(s_P*up_RadSpec!AZ16))),".")</f>
        <v>2.6824597822007652</v>
      </c>
      <c r="AW16" s="115">
        <f>IFERROR(IF(up_Bv!X16=0,".",((s_Ir*s_F*s_MLF_strawberry*(1-EXP(-up_RadSpec!AZ16*s_t_b)))/(s_P*up_RadSpec!AZ16))),".")</f>
        <v>2.6824597822007652</v>
      </c>
      <c r="AX16" s="115">
        <f>IFERROR(IF(up_Bv!Y16=0,".",((s_Ir*s_F*s_MLF_tomato*(1-EXP(-up_RadSpec!AZ16*s_t_b)))/(s_P*up_RadSpec!AZ16))),".")</f>
        <v>2.6824597822007652</v>
      </c>
      <c r="AY16" s="115">
        <f>IFERROR(IF(up_Bv!Z16=0,".",((s_Ir*s_F*s_MLF_rice*(1-EXP(-up_RadSpec!AZ16*s_t_b)))/(s_P*up_RadSpec!AZ16))),".")</f>
        <v>2.6824597822007652</v>
      </c>
      <c r="AZ16" s="115">
        <f>IFERROR(IF(up_Bv!AA16=0,".",((s_Ir*s_F*s_MLF_cereal*(1-EXP(-up_RadSpec!AZ16*s_t_b)))/(s_P*up_RadSpec!AZ16))),".")</f>
        <v>2.6824597822007652</v>
      </c>
      <c r="BA16" s="115">
        <f>IFERROR(IF(up_Bv!C16=0,".",((s_Ir*s_F*s_I_f*s_T*(1-EXP(-up_RadSpec!BA16*s_t_v)))/(s_Y_v*up_RadSpec!BA16))),".")</f>
        <v>9.0143481925428208</v>
      </c>
      <c r="BB16" s="115">
        <f>IFERROR(IF(up_Bv!D16=0,".",((s_Ir*s_F*s_I_f*s_T*(1-EXP(-up_RadSpec!BA16*s_t_v)))/(s_Y_v*up_RadSpec!BA16))),".")</f>
        <v>9.0143481925428208</v>
      </c>
      <c r="BC16" s="115">
        <f>IFERROR(IF(up_Bv!E16=0,".",((s_Ir*s_F*s_I_f*s_T*(1-EXP(-up_RadSpec!BA16*s_t_v)))/(s_Y_v*up_RadSpec!BA16))),".")</f>
        <v>9.0143481925428208</v>
      </c>
      <c r="BD16" s="115">
        <f>IFERROR(IF(up_Bv!F16=0,".",((s_Ir*s_F*s_I_f*s_T*(1-EXP(-up_RadSpec!BA16*s_t_v)))/(s_Y_v*up_RadSpec!BA16))),".")</f>
        <v>9.0143481925428208</v>
      </c>
      <c r="BE16" s="115">
        <f>IFERROR(IF(up_Bv!G16=0,".",((s_Ir*s_F*s_I_f*s_T*(1-EXP(-up_RadSpec!BA16*s_t_v)))/(s_Y_v*up_RadSpec!BA16))),".")</f>
        <v>9.0143481925428208</v>
      </c>
      <c r="BF16" s="115">
        <f>IFERROR(IF(up_Bv!H16=0,".",((s_Ir*s_F*s_I_f*s_T*(1-EXP(-up_RadSpec!BA16*s_t_v)))/(s_Y_v*up_RadSpec!BA16))),".")</f>
        <v>9.0143481925428208</v>
      </c>
      <c r="BG16" s="115">
        <f>IFERROR(IF(up_Bv!I16=0,".",((s_Ir*s_F*s_I_f*s_T*(1-EXP(-up_RadSpec!BA16*s_t_v)))/(s_Y_v*up_RadSpec!BA16))),".")</f>
        <v>9.0143481925428208</v>
      </c>
      <c r="BH16" s="115">
        <f>IFERROR(IF(up_Bv!J16=0,".",((s_Ir*s_F*s_I_f*s_T*(1-EXP(-up_RadSpec!BA16*s_t_v)))/(s_Y_v*up_RadSpec!BA16))),".")</f>
        <v>9.0143481925428208</v>
      </c>
      <c r="BI16" s="115">
        <f>IFERROR(IF(up_Bv!K16=0,".",((s_Ir*s_F*s_I_f*s_T*(1-EXP(-up_RadSpec!BA16*s_t_v)))/(s_Y_v*up_RadSpec!BA16))),".")</f>
        <v>9.0143481925428208</v>
      </c>
      <c r="BJ16" s="115">
        <f>IFERROR(IF(up_Bv!L16=0,".",((s_Ir*s_F*s_I_f*s_T*(1-EXP(-up_RadSpec!BA16*s_t_v)))/(s_Y_v*up_RadSpec!BA16))),".")</f>
        <v>9.0143481925428208</v>
      </c>
      <c r="BK16" s="115">
        <f>IFERROR(IF(up_Bv!M16=0,".",((s_Ir*s_F*s_I_f*s_T*(1-EXP(-up_RadSpec!BA16*s_t_v)))/(s_Y_v*up_RadSpec!BA16))),".")</f>
        <v>9.0143481925428208</v>
      </c>
      <c r="BL16" s="115">
        <f>IFERROR(IF(up_Bv!N16=0,".",((s_Ir*s_F*s_I_f*s_T*(1-EXP(-up_RadSpec!BA16*s_t_v)))/(s_Y_v*up_RadSpec!BA16))),".")</f>
        <v>9.0143481925428208</v>
      </c>
      <c r="BM16" s="115">
        <f>IFERROR(IF(up_Bv!O16=0,".",((s_Ir*s_F*s_I_f*s_T*(1-EXP(-up_RadSpec!BA16*s_t_v)))/(s_Y_v*up_RadSpec!BA16))),".")</f>
        <v>9.0143481925428208</v>
      </c>
      <c r="BN16" s="115">
        <f>IFERROR(IF(up_Bv!P16=0,".",((s_Ir*s_F*s_I_f*s_T*(1-EXP(-up_RadSpec!BA16*s_t_v)))/(s_Y_v*up_RadSpec!BA16))),".")</f>
        <v>9.0143481925428208</v>
      </c>
      <c r="BO16" s="115">
        <f>IFERROR(IF(up_Bv!Q16=0,".",((s_Ir*s_F*s_I_f*s_T*(1-EXP(-up_RadSpec!BA16*s_t_v)))/(s_Y_v*up_RadSpec!BA16))),".")</f>
        <v>9.0143481925428208</v>
      </c>
      <c r="BP16" s="115">
        <f>IFERROR(IF(up_Bv!R16=0,".",((s_Ir*s_F*s_I_f*s_T*(1-EXP(-up_RadSpec!BA16*s_t_v)))/(s_Y_v*up_RadSpec!BA16))),".")</f>
        <v>9.0143481925428208</v>
      </c>
      <c r="BQ16" s="115">
        <f>IFERROR(IF(up_Bv!S16=0,".",((s_Ir*s_F*s_I_f*s_T*(1-EXP(-up_RadSpec!BA16*s_t_v)))/(s_Y_v*up_RadSpec!BA16))),".")</f>
        <v>9.0143481925428208</v>
      </c>
      <c r="BR16" s="115">
        <f>IFERROR(IF(up_Bv!T16=0,".",((s_Ir*s_F*s_I_f*s_T*(1-EXP(-up_RadSpec!BA16*s_t_v)))/(s_Y_v*up_RadSpec!BA16))),".")</f>
        <v>9.0143481925428208</v>
      </c>
      <c r="BS16" s="115">
        <f>IFERROR(IF(up_Bv!U16=0,".",((s_Ir*s_F*s_I_f*s_T*(1-EXP(-up_RadSpec!BA16*s_t_v)))/(s_Y_v*up_RadSpec!BA16))),".")</f>
        <v>9.0143481925428208</v>
      </c>
      <c r="BT16" s="115">
        <f>IFERROR(IF(up_Bv!V16=0,".",((s_Ir*s_F*s_I_f*s_T*(1-EXP(-up_RadSpec!BA16*s_t_v)))/(s_Y_v*up_RadSpec!BA16))),".")</f>
        <v>9.0143481925428208</v>
      </c>
      <c r="BU16" s="115">
        <f>IFERROR(IF(up_Bv!W16=0,".",((s_Ir*s_F*s_I_f*s_T*(1-EXP(-up_RadSpec!BA16*s_t_v)))/(s_Y_v*up_RadSpec!BA16))),".")</f>
        <v>9.0143481925428208</v>
      </c>
      <c r="BV16" s="115">
        <f>IFERROR(IF(up_Bv!X16=0,".",((s_Ir*s_F*s_I_f*s_T*(1-EXP(-up_RadSpec!BA16*s_t_v)))/(s_Y_v*up_RadSpec!BA16))),".")</f>
        <v>9.0143481925428208</v>
      </c>
      <c r="BW16" s="115">
        <f>IFERROR(IF(up_Bv!Y16=0,".",((s_Ir*s_F*s_I_f*s_T*(1-EXP(-up_RadSpec!BA16*s_t_v)))/(s_Y_v*up_RadSpec!BA16))),".")</f>
        <v>9.0143481925428208</v>
      </c>
      <c r="BX16" s="115">
        <f>IFERROR(IF(up_Bv!Z16=0,".",((s_Ir*s_F*s_I_f*s_T*(1-EXP(-up_RadSpec!BA16*s_t_v)))/(s_Y_v*up_RadSpec!BA16))),".")</f>
        <v>9.0143481925428208</v>
      </c>
      <c r="BY16" s="115">
        <f>IFERROR(IF(up_Bv!AA16=0,".",((s_Ir*s_F*s_I_f*s_T*(1-EXP(-up_RadSpec!BA16*s_t_v)))/(s_Y_v*up_RadSpec!BA16))),".")</f>
        <v>9.0143481925428208</v>
      </c>
    </row>
    <row r="17" spans="1:77" x14ac:dyDescent="0.25">
      <c r="A17" s="44" t="s">
        <v>27</v>
      </c>
      <c r="B17" s="42" t="s">
        <v>1071</v>
      </c>
      <c r="C17" s="115">
        <f>IFERROR(IF(up_Bv!C17=0,".",((s_Ir*s_F*up_Bv!C17*(1-EXP(-up_RadSpec!$AZ17*s_t_b)))/(s_P*up_RadSpec!$AZ17))),".")</f>
        <v>993.50362303732038</v>
      </c>
      <c r="D17" s="115">
        <f>IFERROR(IF(up_Bv!D17=0,".",((s_Ir*s_F*up_Bv!D17*(1-EXP(-up_RadSpec!AZ17*s_t_b)))/(s_P*up_RadSpec!AZ17))),".")</f>
        <v>993.50362303732038</v>
      </c>
      <c r="E17" s="115">
        <f>IFERROR(IF(up_Bv!E17=0,".",((s_Ir*s_F*up_Bv!E17*(1-EXP(-up_RadSpec!AZ17*s_t_b)))/(s_P*up_RadSpec!AZ17))),".")</f>
        <v>993.50362303732038</v>
      </c>
      <c r="F17" s="115">
        <f>IFERROR(IF(up_Bv!F17=0,".",((s_Ir*s_F*up_Bv!F17*(1-EXP(-up_RadSpec!AZ17*s_t_b)))/(s_P*up_RadSpec!AZ17))),".")</f>
        <v>993.50362303732038</v>
      </c>
      <c r="G17" s="115">
        <f>IFERROR(IF(up_Bv!G17=0,".",((s_Ir*s_F*up_Bv!G17*(1-EXP(-up_RadSpec!AZ17*s_t_b)))/(s_P*up_RadSpec!AZ17))),".")</f>
        <v>993.50362303732038</v>
      </c>
      <c r="H17" s="115">
        <f>IFERROR(IF(up_Bv!H17=0,".",((s_Ir*s_F*up_Bv!H17*(1-EXP(-up_RadSpec!AZ17*s_t_b)))/(s_P*up_RadSpec!AZ17))),".")</f>
        <v>993.50362303732038</v>
      </c>
      <c r="I17" s="115">
        <f>IFERROR(IF(up_Bv!I17=0,".",((s_Ir*s_F*up_Bv!I17*(1-EXP(-up_RadSpec!AZ17*s_t_b)))/(s_P*up_RadSpec!AZ17))),".")</f>
        <v>993.50362303732038</v>
      </c>
      <c r="J17" s="115">
        <f>IFERROR(IF(up_Bv!J17=0,".",((s_Ir*s_F*up_Bv!J17*(1-EXP(-up_RadSpec!AZ17*s_t_b)))/(s_P*up_RadSpec!AZ17))),".")</f>
        <v>993.50362303732038</v>
      </c>
      <c r="K17" s="115">
        <f>IFERROR(IF(up_Bv!K17=0,".",((s_Ir*s_F*up_Bv!K17*(1-EXP(-up_RadSpec!AZ17*s_t_b)))/(s_P*up_RadSpec!AZ17))),".")</f>
        <v>993.50362303732038</v>
      </c>
      <c r="L17" s="115">
        <f>IFERROR(IF(up_Bv!L17=0,".",((s_Ir*s_F*up_Bv!L17*(1-EXP(-up_RadSpec!AZ17*s_t_b)))/(s_P*up_RadSpec!AZ17))),".")</f>
        <v>993.50362303732038</v>
      </c>
      <c r="M17" s="115">
        <f>IFERROR(IF(up_Bv!M17=0,".",((s_Ir*s_F*up_Bv!M17*(1-EXP(-up_RadSpec!AZ17*s_t_b)))/(s_P*up_RadSpec!AZ17))),".")</f>
        <v>993.50362303732038</v>
      </c>
      <c r="N17" s="115">
        <f>IFERROR(IF(up_Bv!N17=0,".",((s_Ir*s_F*up_Bv!N17*(1-EXP(-up_RadSpec!AZ17*s_t_b)))/(s_P*up_RadSpec!AZ17))),".")</f>
        <v>993.50362303732038</v>
      </c>
      <c r="O17" s="115">
        <f>IFERROR(IF(up_Bv!O17=0,".",((s_Ir*s_F*up_Bv!O17*(1-EXP(-up_RadSpec!AZ17*s_t_b)))/(s_P*up_RadSpec!AZ17))),".")</f>
        <v>993.50362303732038</v>
      </c>
      <c r="P17" s="115">
        <f>IFERROR(IF(up_Bv!P17=0,".",((s_Ir*s_F*up_Bv!P17*(1-EXP(-up_RadSpec!AZ17*s_t_b)))/(s_P*up_RadSpec!AZ17))),".")</f>
        <v>993.50362303732038</v>
      </c>
      <c r="Q17" s="115">
        <f>IFERROR(IF(up_Bv!Q17=0,".",((s_Ir*s_F*up_Bv!Q17*(1-EXP(-up_RadSpec!AZ17*s_t_b)))/(s_P*up_RadSpec!AZ17))),".")</f>
        <v>993.50362303732038</v>
      </c>
      <c r="R17" s="115">
        <f>IFERROR(IF(up_Bv!R17=0,".",((s_Ir*s_F*up_Bv!R17*(1-EXP(-up_RadSpec!AZ17*s_t_b)))/(s_P*up_RadSpec!AZ17))),".")</f>
        <v>993.50362303732038</v>
      </c>
      <c r="S17" s="115">
        <f>IFERROR(IF(up_Bv!S17=0,".",((s_Ir*s_F*up_Bv!S17*(1-EXP(-up_RadSpec!AZ17*s_t_b)))/(s_P*up_RadSpec!AZ17))),".")</f>
        <v>993.50362303732038</v>
      </c>
      <c r="T17" s="115">
        <f>IFERROR(IF(up_Bv!T17=0,".",((s_Ir*s_F*up_Bv!T17*(1-EXP(-up_RadSpec!AZ17*s_t_b)))/(s_P*up_RadSpec!AZ17))),".")</f>
        <v>993.50362303732038</v>
      </c>
      <c r="U17" s="115">
        <f>IFERROR(IF(up_Bv!U17=0,".",((s_Ir*s_F*up_Bv!U17*(1-EXP(-up_RadSpec!AZ17*s_t_b)))/(s_P*up_RadSpec!AZ17))),".")</f>
        <v>993.50362303732038</v>
      </c>
      <c r="V17" s="115">
        <f>IFERROR(IF(up_Bv!V17=0,".",((s_Ir*s_F*up_Bv!V17*(1-EXP(-up_RadSpec!AZ17*s_t_b)))/(s_P*up_RadSpec!AZ17))),".")</f>
        <v>993.50362303732038</v>
      </c>
      <c r="W17" s="115">
        <f>IFERROR(IF(up_Bv!W17=0,".",((s_Ir*s_F*up_Bv!W17*(1-EXP(-up_RadSpec!AZ17*s_t_b)))/(s_P*up_RadSpec!AZ17))),".")</f>
        <v>993.50362303732038</v>
      </c>
      <c r="X17" s="115">
        <f>IFERROR(IF(up_Bv!X17=0,".",((s_Ir*s_F*up_Bv!X17*(1-EXP(-up_RadSpec!AZ17*s_t_b)))/(s_P*up_RadSpec!AZ17))),".")</f>
        <v>993.50362303732038</v>
      </c>
      <c r="Y17" s="115">
        <f>IFERROR(IF(up_Bv!Y17=0,".",((s_Ir*s_F*up_Bv!Y17*(1-EXP(-up_RadSpec!AZ17*s_t_b)))/(s_P*up_RadSpec!AZ17))),".")</f>
        <v>993.50362303732038</v>
      </c>
      <c r="Z17" s="115">
        <f>IFERROR(IF(up_Bv!Z17=0,".",((s_Ir*s_F*up_Bv!Z17*(1-EXP(-up_RadSpec!AZ17*s_t_b)))/(s_P*up_RadSpec!AZ17))),".")</f>
        <v>993.50362303732038</v>
      </c>
      <c r="AA17" s="115">
        <f>IFERROR(IF(up_Bv!AA17=0,".",((s_Ir*s_F*up_Bv!AA17*(1-EXP(-up_RadSpec!AZ17*s_t_b)))/(s_P*up_RadSpec!AZ17))),".")</f>
        <v>993.50362303732038</v>
      </c>
      <c r="AB17" s="115">
        <f>IFERROR(IF(up_Bv!C17=0,".",((s_Ir*s_F*s_MLF_apple*(1-EXP(-up_RadSpec!AZ17*s_t_b)))/(s_P*up_RadSpec!AZ17))),".")</f>
        <v>2.6824597822007652</v>
      </c>
      <c r="AC17" s="115">
        <f>IFERROR(IF(up_Bv!D17=0,".",((s_Ir*s_F*s_MLF_asparagus*(1-EXP(-up_RadSpec!AZ17*s_t_b)))/(s_P*up_RadSpec!AZ17))),".")</f>
        <v>2.6824597822007652</v>
      </c>
      <c r="AD17" s="115">
        <f>IFERROR(IF(up_Bv!E17=0,".",((s_Ir*s_F*s_MLF_beet*(1-EXP(-up_RadSpec!AZ17*s_t_b)))/(s_P*up_RadSpec!AZ17))),".")</f>
        <v>2.6824597822007652</v>
      </c>
      <c r="AE17" s="115">
        <f>IFERROR(IF(up_Bv!F17=0,".",((s_Ir*s_F*s_MLF_berries*(1-EXP(-up_RadSpec!AZ17*s_t_b)))/(s_P*up_RadSpec!AZ17))),".")</f>
        <v>2.6824597822007652</v>
      </c>
      <c r="AF17" s="115">
        <f>IFERROR(IF(up_Bv!G17=0,".",((s_Ir*s_F*s_MLF_broccoli*(1-EXP(-up_RadSpec!AZ17*s_t_b)))/(s_P*up_RadSpec!AZ17))),".")</f>
        <v>2.6824597822007652</v>
      </c>
      <c r="AG17" s="115">
        <f>IFERROR(IF(up_Bv!H17=0,".",((s_Ir*s_F*s_MLF_cabbage*(1-EXP(-up_RadSpec!AZ17*s_t_b)))/(s_P*up_RadSpec!AZ17))),".")</f>
        <v>2.6824597822007652</v>
      </c>
      <c r="AH17" s="115">
        <f>IFERROR(IF(up_Bv!I17=0,".",((s_Ir*s_F*s_MLF_carrot*(1-EXP(-up_RadSpec!AZ17*s_t_b)))/(s_P*up_RadSpec!AZ17))),".")</f>
        <v>2.6824597822007652</v>
      </c>
      <c r="AI17" s="115">
        <f>IFERROR(IF(up_Bv!J17=0,".",((s_Ir*s_F*s_MLF_citrus*(1-EXP(-up_RadSpec!AZ17*s_t_b)))/(s_P*up_RadSpec!AZ17))),".")</f>
        <v>2.6824597822007652</v>
      </c>
      <c r="AJ17" s="115">
        <f>IFERROR(IF(up_Bv!K17=0,".",((s_Ir*s_F*s_MLF_corn*(1-EXP(-up_RadSpec!AZ17*s_t_b)))/(s_P*up_RadSpec!AZ17))),".")</f>
        <v>2.6824597822007652</v>
      </c>
      <c r="AK17" s="115">
        <f>IFERROR(IF(up_Bv!L17=0,".",((s_Ir*s_F*s_MLF_cucumber*(1-EXP(-up_RadSpec!AZ17*s_t_b)))/(s_P*up_RadSpec!AZ17))),".")</f>
        <v>2.6824597822007652</v>
      </c>
      <c r="AL17" s="115">
        <f>IFERROR(IF(up_Bv!M17=0,".",((s_Ir*s_F*s_MLF_lettuce*(1-EXP(-up_RadSpec!AZ17*s_t_b)))/(s_P*up_RadSpec!AZ17))),".")</f>
        <v>2.6824597822007652</v>
      </c>
      <c r="AM17" s="115">
        <f>IFERROR(IF(up_Bv!N17=0,".",((s_Ir*s_F*s_MLF_lima_bean*(1-EXP(-up_RadSpec!AZ17*s_t_b)))/(s_P*up_RadSpec!AZ17))),".")</f>
        <v>2.6824597822007652</v>
      </c>
      <c r="AN17" s="115">
        <f>IFERROR(IF(up_Bv!O17=0,".",((s_Ir*s_F*s_MLF_okra*(1-EXP(-up_RadSpec!AZ17*s_t_b)))/(s_P*up_RadSpec!AZ17))),".")</f>
        <v>2.6824597822007652</v>
      </c>
      <c r="AO17" s="115">
        <f>IFERROR(IF(up_Bv!P17=0,".",((s_Ir*s_F*s_MLF_onion*(1-EXP(-up_RadSpec!AZ17*s_t_b)))/(s_P*up_RadSpec!AZ17))),".")</f>
        <v>2.6824597822007652</v>
      </c>
      <c r="AP17" s="115">
        <f>IFERROR(IF(up_Bv!Q17=0,".",((s_Ir*s_F*s_MLF_peach*(1-EXP(-up_RadSpec!AZ17*s_t_b)))/(s_P*up_RadSpec!AZ17))),".")</f>
        <v>2.6824597822007652</v>
      </c>
      <c r="AQ17" s="115">
        <f>IFERROR(IF(up_Bv!R17=0,".",((s_Ir*s_F*s_MLF_pear*(1-EXP(-up_RadSpec!AZ17*s_t_b)))/(s_P*up_RadSpec!AZ17))),".")</f>
        <v>2.6824597822007652</v>
      </c>
      <c r="AR17" s="115">
        <f>IFERROR(IF(up_Bv!S17=0,".",((s_Ir*s_F*s_MLF_peas*(1-EXP(-up_RadSpec!AZ17*s_t_b)))/(s_P*up_RadSpec!AZ17))),".")</f>
        <v>2.6824597822007652</v>
      </c>
      <c r="AS17" s="115">
        <f>IFERROR(IF(up_Bv!T17=0,".",((s_Ir*s_F*s_MLF_peppers*(1-EXP(-up_RadSpec!AZ17*s_t_b)))/(s_P*up_RadSpec!AZ17))),".")</f>
        <v>2.6824597822007652</v>
      </c>
      <c r="AT17" s="115">
        <f>IFERROR(IF(up_Bv!U17=0,".",((s_Ir*s_F*s_MLF_potato*(1-EXP(-up_RadSpec!AZ17*s_t_b)))/(s_P*up_RadSpec!AZ17))),".")</f>
        <v>2.6824597822007652</v>
      </c>
      <c r="AU17" s="115">
        <f>IFERROR(IF(up_Bv!V17=0,".",((s_Ir*s_F*s_MLF_pumpkin*(1-EXP(-up_RadSpec!AZ17*s_t_b)))/(s_P*up_RadSpec!AZ17))),".")</f>
        <v>2.6824597822007652</v>
      </c>
      <c r="AV17" s="115">
        <f>IFERROR(IF(up_Bv!W17=0,".",((s_Ir*s_F*s_MLF_snap_bean*(1-EXP(-up_RadSpec!AZ17*s_t_b)))/(s_P*up_RadSpec!AZ17))),".")</f>
        <v>2.6824597822007652</v>
      </c>
      <c r="AW17" s="115">
        <f>IFERROR(IF(up_Bv!X17=0,".",((s_Ir*s_F*s_MLF_strawberry*(1-EXP(-up_RadSpec!AZ17*s_t_b)))/(s_P*up_RadSpec!AZ17))),".")</f>
        <v>2.6824597822007652</v>
      </c>
      <c r="AX17" s="115">
        <f>IFERROR(IF(up_Bv!Y17=0,".",((s_Ir*s_F*s_MLF_tomato*(1-EXP(-up_RadSpec!AZ17*s_t_b)))/(s_P*up_RadSpec!AZ17))),".")</f>
        <v>2.6824597822007652</v>
      </c>
      <c r="AY17" s="115">
        <f>IFERROR(IF(up_Bv!Z17=0,".",((s_Ir*s_F*s_MLF_rice*(1-EXP(-up_RadSpec!AZ17*s_t_b)))/(s_P*up_RadSpec!AZ17))),".")</f>
        <v>2.6824597822007652</v>
      </c>
      <c r="AZ17" s="115">
        <f>IFERROR(IF(up_Bv!AA17=0,".",((s_Ir*s_F*s_MLF_cereal*(1-EXP(-up_RadSpec!AZ17*s_t_b)))/(s_P*up_RadSpec!AZ17))),".")</f>
        <v>2.6824597822007652</v>
      </c>
      <c r="BA17" s="115">
        <f>IFERROR(IF(up_Bv!C17=0,".",((s_Ir*s_F*s_I_f*s_T*(1-EXP(-up_RadSpec!BA17*s_t_v)))/(s_Y_v*up_RadSpec!BA17))),".")</f>
        <v>9.0143481925428208</v>
      </c>
      <c r="BB17" s="115">
        <f>IFERROR(IF(up_Bv!D17=0,".",((s_Ir*s_F*s_I_f*s_T*(1-EXP(-up_RadSpec!BA17*s_t_v)))/(s_Y_v*up_RadSpec!BA17))),".")</f>
        <v>9.0143481925428208</v>
      </c>
      <c r="BC17" s="115">
        <f>IFERROR(IF(up_Bv!E17=0,".",((s_Ir*s_F*s_I_f*s_T*(1-EXP(-up_RadSpec!BA17*s_t_v)))/(s_Y_v*up_RadSpec!BA17))),".")</f>
        <v>9.0143481925428208</v>
      </c>
      <c r="BD17" s="115">
        <f>IFERROR(IF(up_Bv!F17=0,".",((s_Ir*s_F*s_I_f*s_T*(1-EXP(-up_RadSpec!BA17*s_t_v)))/(s_Y_v*up_RadSpec!BA17))),".")</f>
        <v>9.0143481925428208</v>
      </c>
      <c r="BE17" s="115">
        <f>IFERROR(IF(up_Bv!G17=0,".",((s_Ir*s_F*s_I_f*s_T*(1-EXP(-up_RadSpec!BA17*s_t_v)))/(s_Y_v*up_RadSpec!BA17))),".")</f>
        <v>9.0143481925428208</v>
      </c>
      <c r="BF17" s="115">
        <f>IFERROR(IF(up_Bv!H17=0,".",((s_Ir*s_F*s_I_f*s_T*(1-EXP(-up_RadSpec!BA17*s_t_v)))/(s_Y_v*up_RadSpec!BA17))),".")</f>
        <v>9.0143481925428208</v>
      </c>
      <c r="BG17" s="115">
        <f>IFERROR(IF(up_Bv!I17=0,".",((s_Ir*s_F*s_I_f*s_T*(1-EXP(-up_RadSpec!BA17*s_t_v)))/(s_Y_v*up_RadSpec!BA17))),".")</f>
        <v>9.0143481925428208</v>
      </c>
      <c r="BH17" s="115">
        <f>IFERROR(IF(up_Bv!J17=0,".",((s_Ir*s_F*s_I_f*s_T*(1-EXP(-up_RadSpec!BA17*s_t_v)))/(s_Y_v*up_RadSpec!BA17))),".")</f>
        <v>9.0143481925428208</v>
      </c>
      <c r="BI17" s="115">
        <f>IFERROR(IF(up_Bv!K17=0,".",((s_Ir*s_F*s_I_f*s_T*(1-EXP(-up_RadSpec!BA17*s_t_v)))/(s_Y_v*up_RadSpec!BA17))),".")</f>
        <v>9.0143481925428208</v>
      </c>
      <c r="BJ17" s="115">
        <f>IFERROR(IF(up_Bv!L17=0,".",((s_Ir*s_F*s_I_f*s_T*(1-EXP(-up_RadSpec!BA17*s_t_v)))/(s_Y_v*up_RadSpec!BA17))),".")</f>
        <v>9.0143481925428208</v>
      </c>
      <c r="BK17" s="115">
        <f>IFERROR(IF(up_Bv!M17=0,".",((s_Ir*s_F*s_I_f*s_T*(1-EXP(-up_RadSpec!BA17*s_t_v)))/(s_Y_v*up_RadSpec!BA17))),".")</f>
        <v>9.0143481925428208</v>
      </c>
      <c r="BL17" s="115">
        <f>IFERROR(IF(up_Bv!N17=0,".",((s_Ir*s_F*s_I_f*s_T*(1-EXP(-up_RadSpec!BA17*s_t_v)))/(s_Y_v*up_RadSpec!BA17))),".")</f>
        <v>9.0143481925428208</v>
      </c>
      <c r="BM17" s="115">
        <f>IFERROR(IF(up_Bv!O17=0,".",((s_Ir*s_F*s_I_f*s_T*(1-EXP(-up_RadSpec!BA17*s_t_v)))/(s_Y_v*up_RadSpec!BA17))),".")</f>
        <v>9.0143481925428208</v>
      </c>
      <c r="BN17" s="115">
        <f>IFERROR(IF(up_Bv!P17=0,".",((s_Ir*s_F*s_I_f*s_T*(1-EXP(-up_RadSpec!BA17*s_t_v)))/(s_Y_v*up_RadSpec!BA17))),".")</f>
        <v>9.0143481925428208</v>
      </c>
      <c r="BO17" s="115">
        <f>IFERROR(IF(up_Bv!Q17=0,".",((s_Ir*s_F*s_I_f*s_T*(1-EXP(-up_RadSpec!BA17*s_t_v)))/(s_Y_v*up_RadSpec!BA17))),".")</f>
        <v>9.0143481925428208</v>
      </c>
      <c r="BP17" s="115">
        <f>IFERROR(IF(up_Bv!R17=0,".",((s_Ir*s_F*s_I_f*s_T*(1-EXP(-up_RadSpec!BA17*s_t_v)))/(s_Y_v*up_RadSpec!BA17))),".")</f>
        <v>9.0143481925428208</v>
      </c>
      <c r="BQ17" s="115">
        <f>IFERROR(IF(up_Bv!S17=0,".",((s_Ir*s_F*s_I_f*s_T*(1-EXP(-up_RadSpec!BA17*s_t_v)))/(s_Y_v*up_RadSpec!BA17))),".")</f>
        <v>9.0143481925428208</v>
      </c>
      <c r="BR17" s="115">
        <f>IFERROR(IF(up_Bv!T17=0,".",((s_Ir*s_F*s_I_f*s_T*(1-EXP(-up_RadSpec!BA17*s_t_v)))/(s_Y_v*up_RadSpec!BA17))),".")</f>
        <v>9.0143481925428208</v>
      </c>
      <c r="BS17" s="115">
        <f>IFERROR(IF(up_Bv!U17=0,".",((s_Ir*s_F*s_I_f*s_T*(1-EXP(-up_RadSpec!BA17*s_t_v)))/(s_Y_v*up_RadSpec!BA17))),".")</f>
        <v>9.0143481925428208</v>
      </c>
      <c r="BT17" s="115">
        <f>IFERROR(IF(up_Bv!V17=0,".",((s_Ir*s_F*s_I_f*s_T*(1-EXP(-up_RadSpec!BA17*s_t_v)))/(s_Y_v*up_RadSpec!BA17))),".")</f>
        <v>9.0143481925428208</v>
      </c>
      <c r="BU17" s="115">
        <f>IFERROR(IF(up_Bv!W17=0,".",((s_Ir*s_F*s_I_f*s_T*(1-EXP(-up_RadSpec!BA17*s_t_v)))/(s_Y_v*up_RadSpec!BA17))),".")</f>
        <v>9.0143481925428208</v>
      </c>
      <c r="BV17" s="115">
        <f>IFERROR(IF(up_Bv!X17=0,".",((s_Ir*s_F*s_I_f*s_T*(1-EXP(-up_RadSpec!BA17*s_t_v)))/(s_Y_v*up_RadSpec!BA17))),".")</f>
        <v>9.0143481925428208</v>
      </c>
      <c r="BW17" s="115">
        <f>IFERROR(IF(up_Bv!Y17=0,".",((s_Ir*s_F*s_I_f*s_T*(1-EXP(-up_RadSpec!BA17*s_t_v)))/(s_Y_v*up_RadSpec!BA17))),".")</f>
        <v>9.0143481925428208</v>
      </c>
      <c r="BX17" s="115">
        <f>IFERROR(IF(up_Bv!Z17=0,".",((s_Ir*s_F*s_I_f*s_T*(1-EXP(-up_RadSpec!BA17*s_t_v)))/(s_Y_v*up_RadSpec!BA17))),".")</f>
        <v>9.0143481925428208</v>
      </c>
      <c r="BY17" s="115">
        <f>IFERROR(IF(up_Bv!AA17=0,".",((s_Ir*s_F*s_I_f*s_T*(1-EXP(-up_RadSpec!BA17*s_t_v)))/(s_Y_v*up_RadSpec!BA17))),".")</f>
        <v>9.0143481925428208</v>
      </c>
    </row>
    <row r="18" spans="1:77" x14ac:dyDescent="0.25">
      <c r="A18" s="44" t="s">
        <v>28</v>
      </c>
      <c r="B18" s="42" t="s">
        <v>1071</v>
      </c>
      <c r="C18" s="115">
        <f>IFERROR(IF(up_Bv!C18=0,".",((s_Ir*s_F*up_Bv!C18*(1-EXP(-up_RadSpec!$AZ18*s_t_b)))/(s_P*up_RadSpec!$AZ18))),".")</f>
        <v>993.50362303732038</v>
      </c>
      <c r="D18" s="115">
        <f>IFERROR(IF(up_Bv!D18=0,".",((s_Ir*s_F*up_Bv!D18*(1-EXP(-up_RadSpec!AZ18*s_t_b)))/(s_P*up_RadSpec!AZ18))),".")</f>
        <v>993.50362303732038</v>
      </c>
      <c r="E18" s="115">
        <f>IFERROR(IF(up_Bv!E18=0,".",((s_Ir*s_F*up_Bv!E18*(1-EXP(-up_RadSpec!AZ18*s_t_b)))/(s_P*up_RadSpec!AZ18))),".")</f>
        <v>993.50362303732038</v>
      </c>
      <c r="F18" s="115">
        <f>IFERROR(IF(up_Bv!F18=0,".",((s_Ir*s_F*up_Bv!F18*(1-EXP(-up_RadSpec!AZ18*s_t_b)))/(s_P*up_RadSpec!AZ18))),".")</f>
        <v>993.50362303732038</v>
      </c>
      <c r="G18" s="115">
        <f>IFERROR(IF(up_Bv!G18=0,".",((s_Ir*s_F*up_Bv!G18*(1-EXP(-up_RadSpec!AZ18*s_t_b)))/(s_P*up_RadSpec!AZ18))),".")</f>
        <v>993.50362303732038</v>
      </c>
      <c r="H18" s="115">
        <f>IFERROR(IF(up_Bv!H18=0,".",((s_Ir*s_F*up_Bv!H18*(1-EXP(-up_RadSpec!AZ18*s_t_b)))/(s_P*up_RadSpec!AZ18))),".")</f>
        <v>993.50362303732038</v>
      </c>
      <c r="I18" s="115">
        <f>IFERROR(IF(up_Bv!I18=0,".",((s_Ir*s_F*up_Bv!I18*(1-EXP(-up_RadSpec!AZ18*s_t_b)))/(s_P*up_RadSpec!AZ18))),".")</f>
        <v>993.50362303732038</v>
      </c>
      <c r="J18" s="115">
        <f>IFERROR(IF(up_Bv!J18=0,".",((s_Ir*s_F*up_Bv!J18*(1-EXP(-up_RadSpec!AZ18*s_t_b)))/(s_P*up_RadSpec!AZ18))),".")</f>
        <v>993.50362303732038</v>
      </c>
      <c r="K18" s="115">
        <f>IFERROR(IF(up_Bv!K18=0,".",((s_Ir*s_F*up_Bv!K18*(1-EXP(-up_RadSpec!AZ18*s_t_b)))/(s_P*up_RadSpec!AZ18))),".")</f>
        <v>993.50362303732038</v>
      </c>
      <c r="L18" s="115">
        <f>IFERROR(IF(up_Bv!L18=0,".",((s_Ir*s_F*up_Bv!L18*(1-EXP(-up_RadSpec!AZ18*s_t_b)))/(s_P*up_RadSpec!AZ18))),".")</f>
        <v>993.50362303732038</v>
      </c>
      <c r="M18" s="115">
        <f>IFERROR(IF(up_Bv!M18=0,".",((s_Ir*s_F*up_Bv!M18*(1-EXP(-up_RadSpec!AZ18*s_t_b)))/(s_P*up_RadSpec!AZ18))),".")</f>
        <v>993.50362303732038</v>
      </c>
      <c r="N18" s="115">
        <f>IFERROR(IF(up_Bv!N18=0,".",((s_Ir*s_F*up_Bv!N18*(1-EXP(-up_RadSpec!AZ18*s_t_b)))/(s_P*up_RadSpec!AZ18))),".")</f>
        <v>993.50362303732038</v>
      </c>
      <c r="O18" s="115">
        <f>IFERROR(IF(up_Bv!O18=0,".",((s_Ir*s_F*up_Bv!O18*(1-EXP(-up_RadSpec!AZ18*s_t_b)))/(s_P*up_RadSpec!AZ18))),".")</f>
        <v>993.50362303732038</v>
      </c>
      <c r="P18" s="115">
        <f>IFERROR(IF(up_Bv!P18=0,".",((s_Ir*s_F*up_Bv!P18*(1-EXP(-up_RadSpec!AZ18*s_t_b)))/(s_P*up_RadSpec!AZ18))),".")</f>
        <v>993.50362303732038</v>
      </c>
      <c r="Q18" s="115">
        <f>IFERROR(IF(up_Bv!Q18=0,".",((s_Ir*s_F*up_Bv!Q18*(1-EXP(-up_RadSpec!AZ18*s_t_b)))/(s_P*up_RadSpec!AZ18))),".")</f>
        <v>993.50362303732038</v>
      </c>
      <c r="R18" s="115">
        <f>IFERROR(IF(up_Bv!R18=0,".",((s_Ir*s_F*up_Bv!R18*(1-EXP(-up_RadSpec!AZ18*s_t_b)))/(s_P*up_RadSpec!AZ18))),".")</f>
        <v>993.50362303732038</v>
      </c>
      <c r="S18" s="115">
        <f>IFERROR(IF(up_Bv!S18=0,".",((s_Ir*s_F*up_Bv!S18*(1-EXP(-up_RadSpec!AZ18*s_t_b)))/(s_P*up_RadSpec!AZ18))),".")</f>
        <v>993.50362303732038</v>
      </c>
      <c r="T18" s="115">
        <f>IFERROR(IF(up_Bv!T18=0,".",((s_Ir*s_F*up_Bv!T18*(1-EXP(-up_RadSpec!AZ18*s_t_b)))/(s_P*up_RadSpec!AZ18))),".")</f>
        <v>993.50362303732038</v>
      </c>
      <c r="U18" s="115">
        <f>IFERROR(IF(up_Bv!U18=0,".",((s_Ir*s_F*up_Bv!U18*(1-EXP(-up_RadSpec!AZ18*s_t_b)))/(s_P*up_RadSpec!AZ18))),".")</f>
        <v>993.50362303732038</v>
      </c>
      <c r="V18" s="115">
        <f>IFERROR(IF(up_Bv!V18=0,".",((s_Ir*s_F*up_Bv!V18*(1-EXP(-up_RadSpec!AZ18*s_t_b)))/(s_P*up_RadSpec!AZ18))),".")</f>
        <v>993.50362303732038</v>
      </c>
      <c r="W18" s="115">
        <f>IFERROR(IF(up_Bv!W18=0,".",((s_Ir*s_F*up_Bv!W18*(1-EXP(-up_RadSpec!AZ18*s_t_b)))/(s_P*up_RadSpec!AZ18))),".")</f>
        <v>993.50362303732038</v>
      </c>
      <c r="X18" s="115">
        <f>IFERROR(IF(up_Bv!X18=0,".",((s_Ir*s_F*up_Bv!X18*(1-EXP(-up_RadSpec!AZ18*s_t_b)))/(s_P*up_RadSpec!AZ18))),".")</f>
        <v>993.50362303732038</v>
      </c>
      <c r="Y18" s="115">
        <f>IFERROR(IF(up_Bv!Y18=0,".",((s_Ir*s_F*up_Bv!Y18*(1-EXP(-up_RadSpec!AZ18*s_t_b)))/(s_P*up_RadSpec!AZ18))),".")</f>
        <v>993.50362303732038</v>
      </c>
      <c r="Z18" s="115">
        <f>IFERROR(IF(up_Bv!Z18=0,".",((s_Ir*s_F*up_Bv!Z18*(1-EXP(-up_RadSpec!AZ18*s_t_b)))/(s_P*up_RadSpec!AZ18))),".")</f>
        <v>993.50362303732038</v>
      </c>
      <c r="AA18" s="115">
        <f>IFERROR(IF(up_Bv!AA18=0,".",((s_Ir*s_F*up_Bv!AA18*(1-EXP(-up_RadSpec!AZ18*s_t_b)))/(s_P*up_RadSpec!AZ18))),".")</f>
        <v>993.50362303732038</v>
      </c>
      <c r="AB18" s="115">
        <f>IFERROR(IF(up_Bv!C18=0,".",((s_Ir*s_F*s_MLF_apple*(1-EXP(-up_RadSpec!AZ18*s_t_b)))/(s_P*up_RadSpec!AZ18))),".")</f>
        <v>2.6824597822007652</v>
      </c>
      <c r="AC18" s="115">
        <f>IFERROR(IF(up_Bv!D18=0,".",((s_Ir*s_F*s_MLF_asparagus*(1-EXP(-up_RadSpec!AZ18*s_t_b)))/(s_P*up_RadSpec!AZ18))),".")</f>
        <v>2.6824597822007652</v>
      </c>
      <c r="AD18" s="115">
        <f>IFERROR(IF(up_Bv!E18=0,".",((s_Ir*s_F*s_MLF_beet*(1-EXP(-up_RadSpec!AZ18*s_t_b)))/(s_P*up_RadSpec!AZ18))),".")</f>
        <v>2.6824597822007652</v>
      </c>
      <c r="AE18" s="115">
        <f>IFERROR(IF(up_Bv!F18=0,".",((s_Ir*s_F*s_MLF_berries*(1-EXP(-up_RadSpec!AZ18*s_t_b)))/(s_P*up_RadSpec!AZ18))),".")</f>
        <v>2.6824597822007652</v>
      </c>
      <c r="AF18" s="115">
        <f>IFERROR(IF(up_Bv!G18=0,".",((s_Ir*s_F*s_MLF_broccoli*(1-EXP(-up_RadSpec!AZ18*s_t_b)))/(s_P*up_RadSpec!AZ18))),".")</f>
        <v>2.6824597822007652</v>
      </c>
      <c r="AG18" s="115">
        <f>IFERROR(IF(up_Bv!H18=0,".",((s_Ir*s_F*s_MLF_cabbage*(1-EXP(-up_RadSpec!AZ18*s_t_b)))/(s_P*up_RadSpec!AZ18))),".")</f>
        <v>2.6824597822007652</v>
      </c>
      <c r="AH18" s="115">
        <f>IFERROR(IF(up_Bv!I18=0,".",((s_Ir*s_F*s_MLF_carrot*(1-EXP(-up_RadSpec!AZ18*s_t_b)))/(s_P*up_RadSpec!AZ18))),".")</f>
        <v>2.6824597822007652</v>
      </c>
      <c r="AI18" s="115">
        <f>IFERROR(IF(up_Bv!J18=0,".",((s_Ir*s_F*s_MLF_citrus*(1-EXP(-up_RadSpec!AZ18*s_t_b)))/(s_P*up_RadSpec!AZ18))),".")</f>
        <v>2.6824597822007652</v>
      </c>
      <c r="AJ18" s="115">
        <f>IFERROR(IF(up_Bv!K18=0,".",((s_Ir*s_F*s_MLF_corn*(1-EXP(-up_RadSpec!AZ18*s_t_b)))/(s_P*up_RadSpec!AZ18))),".")</f>
        <v>2.6824597822007652</v>
      </c>
      <c r="AK18" s="115">
        <f>IFERROR(IF(up_Bv!L18=0,".",((s_Ir*s_F*s_MLF_cucumber*(1-EXP(-up_RadSpec!AZ18*s_t_b)))/(s_P*up_RadSpec!AZ18))),".")</f>
        <v>2.6824597822007652</v>
      </c>
      <c r="AL18" s="115">
        <f>IFERROR(IF(up_Bv!M18=0,".",((s_Ir*s_F*s_MLF_lettuce*(1-EXP(-up_RadSpec!AZ18*s_t_b)))/(s_P*up_RadSpec!AZ18))),".")</f>
        <v>2.6824597822007652</v>
      </c>
      <c r="AM18" s="115">
        <f>IFERROR(IF(up_Bv!N18=0,".",((s_Ir*s_F*s_MLF_lima_bean*(1-EXP(-up_RadSpec!AZ18*s_t_b)))/(s_P*up_RadSpec!AZ18))),".")</f>
        <v>2.6824597822007652</v>
      </c>
      <c r="AN18" s="115">
        <f>IFERROR(IF(up_Bv!O18=0,".",((s_Ir*s_F*s_MLF_okra*(1-EXP(-up_RadSpec!AZ18*s_t_b)))/(s_P*up_RadSpec!AZ18))),".")</f>
        <v>2.6824597822007652</v>
      </c>
      <c r="AO18" s="115">
        <f>IFERROR(IF(up_Bv!P18=0,".",((s_Ir*s_F*s_MLF_onion*(1-EXP(-up_RadSpec!AZ18*s_t_b)))/(s_P*up_RadSpec!AZ18))),".")</f>
        <v>2.6824597822007652</v>
      </c>
      <c r="AP18" s="115">
        <f>IFERROR(IF(up_Bv!Q18=0,".",((s_Ir*s_F*s_MLF_peach*(1-EXP(-up_RadSpec!AZ18*s_t_b)))/(s_P*up_RadSpec!AZ18))),".")</f>
        <v>2.6824597822007652</v>
      </c>
      <c r="AQ18" s="115">
        <f>IFERROR(IF(up_Bv!R18=0,".",((s_Ir*s_F*s_MLF_pear*(1-EXP(-up_RadSpec!AZ18*s_t_b)))/(s_P*up_RadSpec!AZ18))),".")</f>
        <v>2.6824597822007652</v>
      </c>
      <c r="AR18" s="115">
        <f>IFERROR(IF(up_Bv!S18=0,".",((s_Ir*s_F*s_MLF_peas*(1-EXP(-up_RadSpec!AZ18*s_t_b)))/(s_P*up_RadSpec!AZ18))),".")</f>
        <v>2.6824597822007652</v>
      </c>
      <c r="AS18" s="115">
        <f>IFERROR(IF(up_Bv!T18=0,".",((s_Ir*s_F*s_MLF_peppers*(1-EXP(-up_RadSpec!AZ18*s_t_b)))/(s_P*up_RadSpec!AZ18))),".")</f>
        <v>2.6824597822007652</v>
      </c>
      <c r="AT18" s="115">
        <f>IFERROR(IF(up_Bv!U18=0,".",((s_Ir*s_F*s_MLF_potato*(1-EXP(-up_RadSpec!AZ18*s_t_b)))/(s_P*up_RadSpec!AZ18))),".")</f>
        <v>2.6824597822007652</v>
      </c>
      <c r="AU18" s="115">
        <f>IFERROR(IF(up_Bv!V18=0,".",((s_Ir*s_F*s_MLF_pumpkin*(1-EXP(-up_RadSpec!AZ18*s_t_b)))/(s_P*up_RadSpec!AZ18))),".")</f>
        <v>2.6824597822007652</v>
      </c>
      <c r="AV18" s="115">
        <f>IFERROR(IF(up_Bv!W18=0,".",((s_Ir*s_F*s_MLF_snap_bean*(1-EXP(-up_RadSpec!AZ18*s_t_b)))/(s_P*up_RadSpec!AZ18))),".")</f>
        <v>2.6824597822007652</v>
      </c>
      <c r="AW18" s="115">
        <f>IFERROR(IF(up_Bv!X18=0,".",((s_Ir*s_F*s_MLF_strawberry*(1-EXP(-up_RadSpec!AZ18*s_t_b)))/(s_P*up_RadSpec!AZ18))),".")</f>
        <v>2.6824597822007652</v>
      </c>
      <c r="AX18" s="115">
        <f>IFERROR(IF(up_Bv!Y18=0,".",((s_Ir*s_F*s_MLF_tomato*(1-EXP(-up_RadSpec!AZ18*s_t_b)))/(s_P*up_RadSpec!AZ18))),".")</f>
        <v>2.6824597822007652</v>
      </c>
      <c r="AY18" s="115">
        <f>IFERROR(IF(up_Bv!Z18=0,".",((s_Ir*s_F*s_MLF_rice*(1-EXP(-up_RadSpec!AZ18*s_t_b)))/(s_P*up_RadSpec!AZ18))),".")</f>
        <v>2.6824597822007652</v>
      </c>
      <c r="AZ18" s="115">
        <f>IFERROR(IF(up_Bv!AA18=0,".",((s_Ir*s_F*s_MLF_cereal*(1-EXP(-up_RadSpec!AZ18*s_t_b)))/(s_P*up_RadSpec!AZ18))),".")</f>
        <v>2.6824597822007652</v>
      </c>
      <c r="BA18" s="115">
        <f>IFERROR(IF(up_Bv!C18=0,".",((s_Ir*s_F*s_I_f*s_T*(1-EXP(-up_RadSpec!BA18*s_t_v)))/(s_Y_v*up_RadSpec!BA18))),".")</f>
        <v>9.0143481925428208</v>
      </c>
      <c r="BB18" s="115">
        <f>IFERROR(IF(up_Bv!D18=0,".",((s_Ir*s_F*s_I_f*s_T*(1-EXP(-up_RadSpec!BA18*s_t_v)))/(s_Y_v*up_RadSpec!BA18))),".")</f>
        <v>9.0143481925428208</v>
      </c>
      <c r="BC18" s="115">
        <f>IFERROR(IF(up_Bv!E18=0,".",((s_Ir*s_F*s_I_f*s_T*(1-EXP(-up_RadSpec!BA18*s_t_v)))/(s_Y_v*up_RadSpec!BA18))),".")</f>
        <v>9.0143481925428208</v>
      </c>
      <c r="BD18" s="115">
        <f>IFERROR(IF(up_Bv!F18=0,".",((s_Ir*s_F*s_I_f*s_T*(1-EXP(-up_RadSpec!BA18*s_t_v)))/(s_Y_v*up_RadSpec!BA18))),".")</f>
        <v>9.0143481925428208</v>
      </c>
      <c r="BE18" s="115">
        <f>IFERROR(IF(up_Bv!G18=0,".",((s_Ir*s_F*s_I_f*s_T*(1-EXP(-up_RadSpec!BA18*s_t_v)))/(s_Y_v*up_RadSpec!BA18))),".")</f>
        <v>9.0143481925428208</v>
      </c>
      <c r="BF18" s="115">
        <f>IFERROR(IF(up_Bv!H18=0,".",((s_Ir*s_F*s_I_f*s_T*(1-EXP(-up_RadSpec!BA18*s_t_v)))/(s_Y_v*up_RadSpec!BA18))),".")</f>
        <v>9.0143481925428208</v>
      </c>
      <c r="BG18" s="115">
        <f>IFERROR(IF(up_Bv!I18=0,".",((s_Ir*s_F*s_I_f*s_T*(1-EXP(-up_RadSpec!BA18*s_t_v)))/(s_Y_v*up_RadSpec!BA18))),".")</f>
        <v>9.0143481925428208</v>
      </c>
      <c r="BH18" s="115">
        <f>IFERROR(IF(up_Bv!J18=0,".",((s_Ir*s_F*s_I_f*s_T*(1-EXP(-up_RadSpec!BA18*s_t_v)))/(s_Y_v*up_RadSpec!BA18))),".")</f>
        <v>9.0143481925428208</v>
      </c>
      <c r="BI18" s="115">
        <f>IFERROR(IF(up_Bv!K18=0,".",((s_Ir*s_F*s_I_f*s_T*(1-EXP(-up_RadSpec!BA18*s_t_v)))/(s_Y_v*up_RadSpec!BA18))),".")</f>
        <v>9.0143481925428208</v>
      </c>
      <c r="BJ18" s="115">
        <f>IFERROR(IF(up_Bv!L18=0,".",((s_Ir*s_F*s_I_f*s_T*(1-EXP(-up_RadSpec!BA18*s_t_v)))/(s_Y_v*up_RadSpec!BA18))),".")</f>
        <v>9.0143481925428208</v>
      </c>
      <c r="BK18" s="115">
        <f>IFERROR(IF(up_Bv!M18=0,".",((s_Ir*s_F*s_I_f*s_T*(1-EXP(-up_RadSpec!BA18*s_t_v)))/(s_Y_v*up_RadSpec!BA18))),".")</f>
        <v>9.0143481925428208</v>
      </c>
      <c r="BL18" s="115">
        <f>IFERROR(IF(up_Bv!N18=0,".",((s_Ir*s_F*s_I_f*s_T*(1-EXP(-up_RadSpec!BA18*s_t_v)))/(s_Y_v*up_RadSpec!BA18))),".")</f>
        <v>9.0143481925428208</v>
      </c>
      <c r="BM18" s="115">
        <f>IFERROR(IF(up_Bv!O18=0,".",((s_Ir*s_F*s_I_f*s_T*(1-EXP(-up_RadSpec!BA18*s_t_v)))/(s_Y_v*up_RadSpec!BA18))),".")</f>
        <v>9.0143481925428208</v>
      </c>
      <c r="BN18" s="115">
        <f>IFERROR(IF(up_Bv!P18=0,".",((s_Ir*s_F*s_I_f*s_T*(1-EXP(-up_RadSpec!BA18*s_t_v)))/(s_Y_v*up_RadSpec!BA18))),".")</f>
        <v>9.0143481925428208</v>
      </c>
      <c r="BO18" s="115">
        <f>IFERROR(IF(up_Bv!Q18=0,".",((s_Ir*s_F*s_I_f*s_T*(1-EXP(-up_RadSpec!BA18*s_t_v)))/(s_Y_v*up_RadSpec!BA18))),".")</f>
        <v>9.0143481925428208</v>
      </c>
      <c r="BP18" s="115">
        <f>IFERROR(IF(up_Bv!R18=0,".",((s_Ir*s_F*s_I_f*s_T*(1-EXP(-up_RadSpec!BA18*s_t_v)))/(s_Y_v*up_RadSpec!BA18))),".")</f>
        <v>9.0143481925428208</v>
      </c>
      <c r="BQ18" s="115">
        <f>IFERROR(IF(up_Bv!S18=0,".",((s_Ir*s_F*s_I_f*s_T*(1-EXP(-up_RadSpec!BA18*s_t_v)))/(s_Y_v*up_RadSpec!BA18))),".")</f>
        <v>9.0143481925428208</v>
      </c>
      <c r="BR18" s="115">
        <f>IFERROR(IF(up_Bv!T18=0,".",((s_Ir*s_F*s_I_f*s_T*(1-EXP(-up_RadSpec!BA18*s_t_v)))/(s_Y_v*up_RadSpec!BA18))),".")</f>
        <v>9.0143481925428208</v>
      </c>
      <c r="BS18" s="115">
        <f>IFERROR(IF(up_Bv!U18=0,".",((s_Ir*s_F*s_I_f*s_T*(1-EXP(-up_RadSpec!BA18*s_t_v)))/(s_Y_v*up_RadSpec!BA18))),".")</f>
        <v>9.0143481925428208</v>
      </c>
      <c r="BT18" s="115">
        <f>IFERROR(IF(up_Bv!V18=0,".",((s_Ir*s_F*s_I_f*s_T*(1-EXP(-up_RadSpec!BA18*s_t_v)))/(s_Y_v*up_RadSpec!BA18))),".")</f>
        <v>9.0143481925428208</v>
      </c>
      <c r="BU18" s="115">
        <f>IFERROR(IF(up_Bv!W18=0,".",((s_Ir*s_F*s_I_f*s_T*(1-EXP(-up_RadSpec!BA18*s_t_v)))/(s_Y_v*up_RadSpec!BA18))),".")</f>
        <v>9.0143481925428208</v>
      </c>
      <c r="BV18" s="115">
        <f>IFERROR(IF(up_Bv!X18=0,".",((s_Ir*s_F*s_I_f*s_T*(1-EXP(-up_RadSpec!BA18*s_t_v)))/(s_Y_v*up_RadSpec!BA18))),".")</f>
        <v>9.0143481925428208</v>
      </c>
      <c r="BW18" s="115">
        <f>IFERROR(IF(up_Bv!Y18=0,".",((s_Ir*s_F*s_I_f*s_T*(1-EXP(-up_RadSpec!BA18*s_t_v)))/(s_Y_v*up_RadSpec!BA18))),".")</f>
        <v>9.0143481925428208</v>
      </c>
      <c r="BX18" s="115">
        <f>IFERROR(IF(up_Bv!Z18=0,".",((s_Ir*s_F*s_I_f*s_T*(1-EXP(-up_RadSpec!BA18*s_t_v)))/(s_Y_v*up_RadSpec!BA18))),".")</f>
        <v>9.0143481925428208</v>
      </c>
      <c r="BY18" s="115">
        <f>IFERROR(IF(up_Bv!AA18=0,".",((s_Ir*s_F*s_I_f*s_T*(1-EXP(-up_RadSpec!BA18*s_t_v)))/(s_Y_v*up_RadSpec!BA18))),".")</f>
        <v>9.0143481925428208</v>
      </c>
    </row>
    <row r="19" spans="1:77" x14ac:dyDescent="0.25">
      <c r="A19" s="44" t="s">
        <v>29</v>
      </c>
      <c r="B19" s="42" t="s">
        <v>1071</v>
      </c>
      <c r="C19" s="115">
        <f>IFERROR(IF(up_Bv!C19=0,".",((s_Ir*s_F*up_Bv!C19*(1-EXP(-up_RadSpec!$AZ19*s_t_b)))/(s_P*up_RadSpec!$AZ19))),".")</f>
        <v>993.50362303732038</v>
      </c>
      <c r="D19" s="115">
        <f>IFERROR(IF(up_Bv!D19=0,".",((s_Ir*s_F*up_Bv!D19*(1-EXP(-up_RadSpec!AZ19*s_t_b)))/(s_P*up_RadSpec!AZ19))),".")</f>
        <v>993.50362303732038</v>
      </c>
      <c r="E19" s="115">
        <f>IFERROR(IF(up_Bv!E19=0,".",((s_Ir*s_F*up_Bv!E19*(1-EXP(-up_RadSpec!AZ19*s_t_b)))/(s_P*up_RadSpec!AZ19))),".")</f>
        <v>993.50362303732038</v>
      </c>
      <c r="F19" s="115">
        <f>IFERROR(IF(up_Bv!F19=0,".",((s_Ir*s_F*up_Bv!F19*(1-EXP(-up_RadSpec!AZ19*s_t_b)))/(s_P*up_RadSpec!AZ19))),".")</f>
        <v>993.50362303732038</v>
      </c>
      <c r="G19" s="115">
        <f>IFERROR(IF(up_Bv!G19=0,".",((s_Ir*s_F*up_Bv!G19*(1-EXP(-up_RadSpec!AZ19*s_t_b)))/(s_P*up_RadSpec!AZ19))),".")</f>
        <v>993.50362303732038</v>
      </c>
      <c r="H19" s="115">
        <f>IFERROR(IF(up_Bv!H19=0,".",((s_Ir*s_F*up_Bv!H19*(1-EXP(-up_RadSpec!AZ19*s_t_b)))/(s_P*up_RadSpec!AZ19))),".")</f>
        <v>993.50362303732038</v>
      </c>
      <c r="I19" s="115">
        <f>IFERROR(IF(up_Bv!I19=0,".",((s_Ir*s_F*up_Bv!I19*(1-EXP(-up_RadSpec!AZ19*s_t_b)))/(s_P*up_RadSpec!AZ19))),".")</f>
        <v>993.50362303732038</v>
      </c>
      <c r="J19" s="115">
        <f>IFERROR(IF(up_Bv!J19=0,".",((s_Ir*s_F*up_Bv!J19*(1-EXP(-up_RadSpec!AZ19*s_t_b)))/(s_P*up_RadSpec!AZ19))),".")</f>
        <v>993.50362303732038</v>
      </c>
      <c r="K19" s="115">
        <f>IFERROR(IF(up_Bv!K19=0,".",((s_Ir*s_F*up_Bv!K19*(1-EXP(-up_RadSpec!AZ19*s_t_b)))/(s_P*up_RadSpec!AZ19))),".")</f>
        <v>993.50362303732038</v>
      </c>
      <c r="L19" s="115">
        <f>IFERROR(IF(up_Bv!L19=0,".",((s_Ir*s_F*up_Bv!L19*(1-EXP(-up_RadSpec!AZ19*s_t_b)))/(s_P*up_RadSpec!AZ19))),".")</f>
        <v>993.50362303732038</v>
      </c>
      <c r="M19" s="115">
        <f>IFERROR(IF(up_Bv!M19=0,".",((s_Ir*s_F*up_Bv!M19*(1-EXP(-up_RadSpec!AZ19*s_t_b)))/(s_P*up_RadSpec!AZ19))),".")</f>
        <v>993.50362303732038</v>
      </c>
      <c r="N19" s="115">
        <f>IFERROR(IF(up_Bv!N19=0,".",((s_Ir*s_F*up_Bv!N19*(1-EXP(-up_RadSpec!AZ19*s_t_b)))/(s_P*up_RadSpec!AZ19))),".")</f>
        <v>993.50362303732038</v>
      </c>
      <c r="O19" s="115">
        <f>IFERROR(IF(up_Bv!O19=0,".",((s_Ir*s_F*up_Bv!O19*(1-EXP(-up_RadSpec!AZ19*s_t_b)))/(s_P*up_RadSpec!AZ19))),".")</f>
        <v>993.50362303732038</v>
      </c>
      <c r="P19" s="115">
        <f>IFERROR(IF(up_Bv!P19=0,".",((s_Ir*s_F*up_Bv!P19*(1-EXP(-up_RadSpec!AZ19*s_t_b)))/(s_P*up_RadSpec!AZ19))),".")</f>
        <v>993.50362303732038</v>
      </c>
      <c r="Q19" s="115">
        <f>IFERROR(IF(up_Bv!Q19=0,".",((s_Ir*s_F*up_Bv!Q19*(1-EXP(-up_RadSpec!AZ19*s_t_b)))/(s_P*up_RadSpec!AZ19))),".")</f>
        <v>993.50362303732038</v>
      </c>
      <c r="R19" s="115">
        <f>IFERROR(IF(up_Bv!R19=0,".",((s_Ir*s_F*up_Bv!R19*(1-EXP(-up_RadSpec!AZ19*s_t_b)))/(s_P*up_RadSpec!AZ19))),".")</f>
        <v>993.50362303732038</v>
      </c>
      <c r="S19" s="115">
        <f>IFERROR(IF(up_Bv!S19=0,".",((s_Ir*s_F*up_Bv!S19*(1-EXP(-up_RadSpec!AZ19*s_t_b)))/(s_P*up_RadSpec!AZ19))),".")</f>
        <v>993.50362303732038</v>
      </c>
      <c r="T19" s="115">
        <f>IFERROR(IF(up_Bv!T19=0,".",((s_Ir*s_F*up_Bv!T19*(1-EXP(-up_RadSpec!AZ19*s_t_b)))/(s_P*up_RadSpec!AZ19))),".")</f>
        <v>993.50362303732038</v>
      </c>
      <c r="U19" s="115">
        <f>IFERROR(IF(up_Bv!U19=0,".",((s_Ir*s_F*up_Bv!U19*(1-EXP(-up_RadSpec!AZ19*s_t_b)))/(s_P*up_RadSpec!AZ19))),".")</f>
        <v>993.50362303732038</v>
      </c>
      <c r="V19" s="115">
        <f>IFERROR(IF(up_Bv!V19=0,".",((s_Ir*s_F*up_Bv!V19*(1-EXP(-up_RadSpec!AZ19*s_t_b)))/(s_P*up_RadSpec!AZ19))),".")</f>
        <v>993.50362303732038</v>
      </c>
      <c r="W19" s="115">
        <f>IFERROR(IF(up_Bv!W19=0,".",((s_Ir*s_F*up_Bv!W19*(1-EXP(-up_RadSpec!AZ19*s_t_b)))/(s_P*up_RadSpec!AZ19))),".")</f>
        <v>993.50362303732038</v>
      </c>
      <c r="X19" s="115">
        <f>IFERROR(IF(up_Bv!X19=0,".",((s_Ir*s_F*up_Bv!X19*(1-EXP(-up_RadSpec!AZ19*s_t_b)))/(s_P*up_RadSpec!AZ19))),".")</f>
        <v>993.50362303732038</v>
      </c>
      <c r="Y19" s="115">
        <f>IFERROR(IF(up_Bv!Y19=0,".",((s_Ir*s_F*up_Bv!Y19*(1-EXP(-up_RadSpec!AZ19*s_t_b)))/(s_P*up_RadSpec!AZ19))),".")</f>
        <v>993.50362303732038</v>
      </c>
      <c r="Z19" s="115">
        <f>IFERROR(IF(up_Bv!Z19=0,".",((s_Ir*s_F*up_Bv!Z19*(1-EXP(-up_RadSpec!AZ19*s_t_b)))/(s_P*up_RadSpec!AZ19))),".")</f>
        <v>993.50362303732038</v>
      </c>
      <c r="AA19" s="115">
        <f>IFERROR(IF(up_Bv!AA19=0,".",((s_Ir*s_F*up_Bv!AA19*(1-EXP(-up_RadSpec!AZ19*s_t_b)))/(s_P*up_RadSpec!AZ19))),".")</f>
        <v>993.50362303732038</v>
      </c>
      <c r="AB19" s="115">
        <f>IFERROR(IF(up_Bv!C19=0,".",((s_Ir*s_F*s_MLF_apple*(1-EXP(-up_RadSpec!AZ19*s_t_b)))/(s_P*up_RadSpec!AZ19))),".")</f>
        <v>2.6824597822007652</v>
      </c>
      <c r="AC19" s="115">
        <f>IFERROR(IF(up_Bv!D19=0,".",((s_Ir*s_F*s_MLF_asparagus*(1-EXP(-up_RadSpec!AZ19*s_t_b)))/(s_P*up_RadSpec!AZ19))),".")</f>
        <v>2.6824597822007652</v>
      </c>
      <c r="AD19" s="115">
        <f>IFERROR(IF(up_Bv!E19=0,".",((s_Ir*s_F*s_MLF_beet*(1-EXP(-up_RadSpec!AZ19*s_t_b)))/(s_P*up_RadSpec!AZ19))),".")</f>
        <v>2.6824597822007652</v>
      </c>
      <c r="AE19" s="115">
        <f>IFERROR(IF(up_Bv!F19=0,".",((s_Ir*s_F*s_MLF_berries*(1-EXP(-up_RadSpec!AZ19*s_t_b)))/(s_P*up_RadSpec!AZ19))),".")</f>
        <v>2.6824597822007652</v>
      </c>
      <c r="AF19" s="115">
        <f>IFERROR(IF(up_Bv!G19=0,".",((s_Ir*s_F*s_MLF_broccoli*(1-EXP(-up_RadSpec!AZ19*s_t_b)))/(s_P*up_RadSpec!AZ19))),".")</f>
        <v>2.6824597822007652</v>
      </c>
      <c r="AG19" s="115">
        <f>IFERROR(IF(up_Bv!H19=0,".",((s_Ir*s_F*s_MLF_cabbage*(1-EXP(-up_RadSpec!AZ19*s_t_b)))/(s_P*up_RadSpec!AZ19))),".")</f>
        <v>2.6824597822007652</v>
      </c>
      <c r="AH19" s="115">
        <f>IFERROR(IF(up_Bv!I19=0,".",((s_Ir*s_F*s_MLF_carrot*(1-EXP(-up_RadSpec!AZ19*s_t_b)))/(s_P*up_RadSpec!AZ19))),".")</f>
        <v>2.6824597822007652</v>
      </c>
      <c r="AI19" s="115">
        <f>IFERROR(IF(up_Bv!J19=0,".",((s_Ir*s_F*s_MLF_citrus*(1-EXP(-up_RadSpec!AZ19*s_t_b)))/(s_P*up_RadSpec!AZ19))),".")</f>
        <v>2.6824597822007652</v>
      </c>
      <c r="AJ19" s="115">
        <f>IFERROR(IF(up_Bv!K19=0,".",((s_Ir*s_F*s_MLF_corn*(1-EXP(-up_RadSpec!AZ19*s_t_b)))/(s_P*up_RadSpec!AZ19))),".")</f>
        <v>2.6824597822007652</v>
      </c>
      <c r="AK19" s="115">
        <f>IFERROR(IF(up_Bv!L19=0,".",((s_Ir*s_F*s_MLF_cucumber*(1-EXP(-up_RadSpec!AZ19*s_t_b)))/(s_P*up_RadSpec!AZ19))),".")</f>
        <v>2.6824597822007652</v>
      </c>
      <c r="AL19" s="115">
        <f>IFERROR(IF(up_Bv!M19=0,".",((s_Ir*s_F*s_MLF_lettuce*(1-EXP(-up_RadSpec!AZ19*s_t_b)))/(s_P*up_RadSpec!AZ19))),".")</f>
        <v>2.6824597822007652</v>
      </c>
      <c r="AM19" s="115">
        <f>IFERROR(IF(up_Bv!N19=0,".",((s_Ir*s_F*s_MLF_lima_bean*(1-EXP(-up_RadSpec!AZ19*s_t_b)))/(s_P*up_RadSpec!AZ19))),".")</f>
        <v>2.6824597822007652</v>
      </c>
      <c r="AN19" s="115">
        <f>IFERROR(IF(up_Bv!O19=0,".",((s_Ir*s_F*s_MLF_okra*(1-EXP(-up_RadSpec!AZ19*s_t_b)))/(s_P*up_RadSpec!AZ19))),".")</f>
        <v>2.6824597822007652</v>
      </c>
      <c r="AO19" s="115">
        <f>IFERROR(IF(up_Bv!P19=0,".",((s_Ir*s_F*s_MLF_onion*(1-EXP(-up_RadSpec!AZ19*s_t_b)))/(s_P*up_RadSpec!AZ19))),".")</f>
        <v>2.6824597822007652</v>
      </c>
      <c r="AP19" s="115">
        <f>IFERROR(IF(up_Bv!Q19=0,".",((s_Ir*s_F*s_MLF_peach*(1-EXP(-up_RadSpec!AZ19*s_t_b)))/(s_P*up_RadSpec!AZ19))),".")</f>
        <v>2.6824597822007652</v>
      </c>
      <c r="AQ19" s="115">
        <f>IFERROR(IF(up_Bv!R19=0,".",((s_Ir*s_F*s_MLF_pear*(1-EXP(-up_RadSpec!AZ19*s_t_b)))/(s_P*up_RadSpec!AZ19))),".")</f>
        <v>2.6824597822007652</v>
      </c>
      <c r="AR19" s="115">
        <f>IFERROR(IF(up_Bv!S19=0,".",((s_Ir*s_F*s_MLF_peas*(1-EXP(-up_RadSpec!AZ19*s_t_b)))/(s_P*up_RadSpec!AZ19))),".")</f>
        <v>2.6824597822007652</v>
      </c>
      <c r="AS19" s="115">
        <f>IFERROR(IF(up_Bv!T19=0,".",((s_Ir*s_F*s_MLF_peppers*(1-EXP(-up_RadSpec!AZ19*s_t_b)))/(s_P*up_RadSpec!AZ19))),".")</f>
        <v>2.6824597822007652</v>
      </c>
      <c r="AT19" s="115">
        <f>IFERROR(IF(up_Bv!U19=0,".",((s_Ir*s_F*s_MLF_potato*(1-EXP(-up_RadSpec!AZ19*s_t_b)))/(s_P*up_RadSpec!AZ19))),".")</f>
        <v>2.6824597822007652</v>
      </c>
      <c r="AU19" s="115">
        <f>IFERROR(IF(up_Bv!V19=0,".",((s_Ir*s_F*s_MLF_pumpkin*(1-EXP(-up_RadSpec!AZ19*s_t_b)))/(s_P*up_RadSpec!AZ19))),".")</f>
        <v>2.6824597822007652</v>
      </c>
      <c r="AV19" s="115">
        <f>IFERROR(IF(up_Bv!W19=0,".",((s_Ir*s_F*s_MLF_snap_bean*(1-EXP(-up_RadSpec!AZ19*s_t_b)))/(s_P*up_RadSpec!AZ19))),".")</f>
        <v>2.6824597822007652</v>
      </c>
      <c r="AW19" s="115">
        <f>IFERROR(IF(up_Bv!X19=0,".",((s_Ir*s_F*s_MLF_strawberry*(1-EXP(-up_RadSpec!AZ19*s_t_b)))/(s_P*up_RadSpec!AZ19))),".")</f>
        <v>2.6824597822007652</v>
      </c>
      <c r="AX19" s="115">
        <f>IFERROR(IF(up_Bv!Y19=0,".",((s_Ir*s_F*s_MLF_tomato*(1-EXP(-up_RadSpec!AZ19*s_t_b)))/(s_P*up_RadSpec!AZ19))),".")</f>
        <v>2.6824597822007652</v>
      </c>
      <c r="AY19" s="115">
        <f>IFERROR(IF(up_Bv!Z19=0,".",((s_Ir*s_F*s_MLF_rice*(1-EXP(-up_RadSpec!AZ19*s_t_b)))/(s_P*up_RadSpec!AZ19))),".")</f>
        <v>2.6824597822007652</v>
      </c>
      <c r="AZ19" s="115">
        <f>IFERROR(IF(up_Bv!AA19=0,".",((s_Ir*s_F*s_MLF_cereal*(1-EXP(-up_RadSpec!AZ19*s_t_b)))/(s_P*up_RadSpec!AZ19))),".")</f>
        <v>2.6824597822007652</v>
      </c>
      <c r="BA19" s="115">
        <f>IFERROR(IF(up_Bv!C19=0,".",((s_Ir*s_F*s_I_f*s_T*(1-EXP(-up_RadSpec!BA19*s_t_v)))/(s_Y_v*up_RadSpec!BA19))),".")</f>
        <v>9.0143481925428208</v>
      </c>
      <c r="BB19" s="115">
        <f>IFERROR(IF(up_Bv!D19=0,".",((s_Ir*s_F*s_I_f*s_T*(1-EXP(-up_RadSpec!BA19*s_t_v)))/(s_Y_v*up_RadSpec!BA19))),".")</f>
        <v>9.0143481925428208</v>
      </c>
      <c r="BC19" s="115">
        <f>IFERROR(IF(up_Bv!E19=0,".",((s_Ir*s_F*s_I_f*s_T*(1-EXP(-up_RadSpec!BA19*s_t_v)))/(s_Y_v*up_RadSpec!BA19))),".")</f>
        <v>9.0143481925428208</v>
      </c>
      <c r="BD19" s="115">
        <f>IFERROR(IF(up_Bv!F19=0,".",((s_Ir*s_F*s_I_f*s_T*(1-EXP(-up_RadSpec!BA19*s_t_v)))/(s_Y_v*up_RadSpec!BA19))),".")</f>
        <v>9.0143481925428208</v>
      </c>
      <c r="BE19" s="115">
        <f>IFERROR(IF(up_Bv!G19=0,".",((s_Ir*s_F*s_I_f*s_T*(1-EXP(-up_RadSpec!BA19*s_t_v)))/(s_Y_v*up_RadSpec!BA19))),".")</f>
        <v>9.0143481925428208</v>
      </c>
      <c r="BF19" s="115">
        <f>IFERROR(IF(up_Bv!H19=0,".",((s_Ir*s_F*s_I_f*s_T*(1-EXP(-up_RadSpec!BA19*s_t_v)))/(s_Y_v*up_RadSpec!BA19))),".")</f>
        <v>9.0143481925428208</v>
      </c>
      <c r="BG19" s="115">
        <f>IFERROR(IF(up_Bv!I19=0,".",((s_Ir*s_F*s_I_f*s_T*(1-EXP(-up_RadSpec!BA19*s_t_v)))/(s_Y_v*up_RadSpec!BA19))),".")</f>
        <v>9.0143481925428208</v>
      </c>
      <c r="BH19" s="115">
        <f>IFERROR(IF(up_Bv!J19=0,".",((s_Ir*s_F*s_I_f*s_T*(1-EXP(-up_RadSpec!BA19*s_t_v)))/(s_Y_v*up_RadSpec!BA19))),".")</f>
        <v>9.0143481925428208</v>
      </c>
      <c r="BI19" s="115">
        <f>IFERROR(IF(up_Bv!K19=0,".",((s_Ir*s_F*s_I_f*s_T*(1-EXP(-up_RadSpec!BA19*s_t_v)))/(s_Y_v*up_RadSpec!BA19))),".")</f>
        <v>9.0143481925428208</v>
      </c>
      <c r="BJ19" s="115">
        <f>IFERROR(IF(up_Bv!L19=0,".",((s_Ir*s_F*s_I_f*s_T*(1-EXP(-up_RadSpec!BA19*s_t_v)))/(s_Y_v*up_RadSpec!BA19))),".")</f>
        <v>9.0143481925428208</v>
      </c>
      <c r="BK19" s="115">
        <f>IFERROR(IF(up_Bv!M19=0,".",((s_Ir*s_F*s_I_f*s_T*(1-EXP(-up_RadSpec!BA19*s_t_v)))/(s_Y_v*up_RadSpec!BA19))),".")</f>
        <v>9.0143481925428208</v>
      </c>
      <c r="BL19" s="115">
        <f>IFERROR(IF(up_Bv!N19=0,".",((s_Ir*s_F*s_I_f*s_T*(1-EXP(-up_RadSpec!BA19*s_t_v)))/(s_Y_v*up_RadSpec!BA19))),".")</f>
        <v>9.0143481925428208</v>
      </c>
      <c r="BM19" s="115">
        <f>IFERROR(IF(up_Bv!O19=0,".",((s_Ir*s_F*s_I_f*s_T*(1-EXP(-up_RadSpec!BA19*s_t_v)))/(s_Y_v*up_RadSpec!BA19))),".")</f>
        <v>9.0143481925428208</v>
      </c>
      <c r="BN19" s="115">
        <f>IFERROR(IF(up_Bv!P19=0,".",((s_Ir*s_F*s_I_f*s_T*(1-EXP(-up_RadSpec!BA19*s_t_v)))/(s_Y_v*up_RadSpec!BA19))),".")</f>
        <v>9.0143481925428208</v>
      </c>
      <c r="BO19" s="115">
        <f>IFERROR(IF(up_Bv!Q19=0,".",((s_Ir*s_F*s_I_f*s_T*(1-EXP(-up_RadSpec!BA19*s_t_v)))/(s_Y_v*up_RadSpec!BA19))),".")</f>
        <v>9.0143481925428208</v>
      </c>
      <c r="BP19" s="115">
        <f>IFERROR(IF(up_Bv!R19=0,".",((s_Ir*s_F*s_I_f*s_T*(1-EXP(-up_RadSpec!BA19*s_t_v)))/(s_Y_v*up_RadSpec!BA19))),".")</f>
        <v>9.0143481925428208</v>
      </c>
      <c r="BQ19" s="115">
        <f>IFERROR(IF(up_Bv!S19=0,".",((s_Ir*s_F*s_I_f*s_T*(1-EXP(-up_RadSpec!BA19*s_t_v)))/(s_Y_v*up_RadSpec!BA19))),".")</f>
        <v>9.0143481925428208</v>
      </c>
      <c r="BR19" s="115">
        <f>IFERROR(IF(up_Bv!T19=0,".",((s_Ir*s_F*s_I_f*s_T*(1-EXP(-up_RadSpec!BA19*s_t_v)))/(s_Y_v*up_RadSpec!BA19))),".")</f>
        <v>9.0143481925428208</v>
      </c>
      <c r="BS19" s="115">
        <f>IFERROR(IF(up_Bv!U19=0,".",((s_Ir*s_F*s_I_f*s_T*(1-EXP(-up_RadSpec!BA19*s_t_v)))/(s_Y_v*up_RadSpec!BA19))),".")</f>
        <v>9.0143481925428208</v>
      </c>
      <c r="BT19" s="115">
        <f>IFERROR(IF(up_Bv!V19=0,".",((s_Ir*s_F*s_I_f*s_T*(1-EXP(-up_RadSpec!BA19*s_t_v)))/(s_Y_v*up_RadSpec!BA19))),".")</f>
        <v>9.0143481925428208</v>
      </c>
      <c r="BU19" s="115">
        <f>IFERROR(IF(up_Bv!W19=0,".",((s_Ir*s_F*s_I_f*s_T*(1-EXP(-up_RadSpec!BA19*s_t_v)))/(s_Y_v*up_RadSpec!BA19))),".")</f>
        <v>9.0143481925428208</v>
      </c>
      <c r="BV19" s="115">
        <f>IFERROR(IF(up_Bv!X19=0,".",((s_Ir*s_F*s_I_f*s_T*(1-EXP(-up_RadSpec!BA19*s_t_v)))/(s_Y_v*up_RadSpec!BA19))),".")</f>
        <v>9.0143481925428208</v>
      </c>
      <c r="BW19" s="115">
        <f>IFERROR(IF(up_Bv!Y19=0,".",((s_Ir*s_F*s_I_f*s_T*(1-EXP(-up_RadSpec!BA19*s_t_v)))/(s_Y_v*up_RadSpec!BA19))),".")</f>
        <v>9.0143481925428208</v>
      </c>
      <c r="BX19" s="115">
        <f>IFERROR(IF(up_Bv!Z19=0,".",((s_Ir*s_F*s_I_f*s_T*(1-EXP(-up_RadSpec!BA19*s_t_v)))/(s_Y_v*up_RadSpec!BA19))),".")</f>
        <v>9.0143481925428208</v>
      </c>
      <c r="BY19" s="115">
        <f>IFERROR(IF(up_Bv!AA19=0,".",((s_Ir*s_F*s_I_f*s_T*(1-EXP(-up_RadSpec!BA19*s_t_v)))/(s_Y_v*up_RadSpec!BA19))),".")</f>
        <v>9.0143481925428208</v>
      </c>
    </row>
    <row r="20" spans="1:77" x14ac:dyDescent="0.25">
      <c r="A20" s="44" t="s">
        <v>30</v>
      </c>
      <c r="B20" s="42" t="s">
        <v>1071</v>
      </c>
      <c r="C20" s="115">
        <f>IFERROR(IF(up_Bv!C20=0,".",((s_Ir*s_F*up_Bv!C20*(1-EXP(-up_RadSpec!$AZ20*s_t_b)))/(s_P*up_RadSpec!$AZ20))),".")</f>
        <v>993.50362303732038</v>
      </c>
      <c r="D20" s="115">
        <f>IFERROR(IF(up_Bv!D20=0,".",((s_Ir*s_F*up_Bv!D20*(1-EXP(-up_RadSpec!AZ20*s_t_b)))/(s_P*up_RadSpec!AZ20))),".")</f>
        <v>993.50362303732038</v>
      </c>
      <c r="E20" s="115">
        <f>IFERROR(IF(up_Bv!E20=0,".",((s_Ir*s_F*up_Bv!E20*(1-EXP(-up_RadSpec!AZ20*s_t_b)))/(s_P*up_RadSpec!AZ20))),".")</f>
        <v>993.50362303732038</v>
      </c>
      <c r="F20" s="115">
        <f>IFERROR(IF(up_Bv!F20=0,".",((s_Ir*s_F*up_Bv!F20*(1-EXP(-up_RadSpec!AZ20*s_t_b)))/(s_P*up_RadSpec!AZ20))),".")</f>
        <v>993.50362303732038</v>
      </c>
      <c r="G20" s="115">
        <f>IFERROR(IF(up_Bv!G20=0,".",((s_Ir*s_F*up_Bv!G20*(1-EXP(-up_RadSpec!AZ20*s_t_b)))/(s_P*up_RadSpec!AZ20))),".")</f>
        <v>993.50362303732038</v>
      </c>
      <c r="H20" s="115">
        <f>IFERROR(IF(up_Bv!H20=0,".",((s_Ir*s_F*up_Bv!H20*(1-EXP(-up_RadSpec!AZ20*s_t_b)))/(s_P*up_RadSpec!AZ20))),".")</f>
        <v>993.50362303732038</v>
      </c>
      <c r="I20" s="115">
        <f>IFERROR(IF(up_Bv!I20=0,".",((s_Ir*s_F*up_Bv!I20*(1-EXP(-up_RadSpec!AZ20*s_t_b)))/(s_P*up_RadSpec!AZ20))),".")</f>
        <v>993.50362303732038</v>
      </c>
      <c r="J20" s="115">
        <f>IFERROR(IF(up_Bv!J20=0,".",((s_Ir*s_F*up_Bv!J20*(1-EXP(-up_RadSpec!AZ20*s_t_b)))/(s_P*up_RadSpec!AZ20))),".")</f>
        <v>993.50362303732038</v>
      </c>
      <c r="K20" s="115">
        <f>IFERROR(IF(up_Bv!K20=0,".",((s_Ir*s_F*up_Bv!K20*(1-EXP(-up_RadSpec!AZ20*s_t_b)))/(s_P*up_RadSpec!AZ20))),".")</f>
        <v>993.50362303732038</v>
      </c>
      <c r="L20" s="115">
        <f>IFERROR(IF(up_Bv!L20=0,".",((s_Ir*s_F*up_Bv!L20*(1-EXP(-up_RadSpec!AZ20*s_t_b)))/(s_P*up_RadSpec!AZ20))),".")</f>
        <v>993.50362303732038</v>
      </c>
      <c r="M20" s="115">
        <f>IFERROR(IF(up_Bv!M20=0,".",((s_Ir*s_F*up_Bv!M20*(1-EXP(-up_RadSpec!AZ20*s_t_b)))/(s_P*up_RadSpec!AZ20))),".")</f>
        <v>993.50362303732038</v>
      </c>
      <c r="N20" s="115">
        <f>IFERROR(IF(up_Bv!N20=0,".",((s_Ir*s_F*up_Bv!N20*(1-EXP(-up_RadSpec!AZ20*s_t_b)))/(s_P*up_RadSpec!AZ20))),".")</f>
        <v>993.50362303732038</v>
      </c>
      <c r="O20" s="115">
        <f>IFERROR(IF(up_Bv!O20=0,".",((s_Ir*s_F*up_Bv!O20*(1-EXP(-up_RadSpec!AZ20*s_t_b)))/(s_P*up_RadSpec!AZ20))),".")</f>
        <v>993.50362303732038</v>
      </c>
      <c r="P20" s="115">
        <f>IFERROR(IF(up_Bv!P20=0,".",((s_Ir*s_F*up_Bv!P20*(1-EXP(-up_RadSpec!AZ20*s_t_b)))/(s_P*up_RadSpec!AZ20))),".")</f>
        <v>993.50362303732038</v>
      </c>
      <c r="Q20" s="115">
        <f>IFERROR(IF(up_Bv!Q20=0,".",((s_Ir*s_F*up_Bv!Q20*(1-EXP(-up_RadSpec!AZ20*s_t_b)))/(s_P*up_RadSpec!AZ20))),".")</f>
        <v>993.50362303732038</v>
      </c>
      <c r="R20" s="115">
        <f>IFERROR(IF(up_Bv!R20=0,".",((s_Ir*s_F*up_Bv!R20*(1-EXP(-up_RadSpec!AZ20*s_t_b)))/(s_P*up_RadSpec!AZ20))),".")</f>
        <v>993.50362303732038</v>
      </c>
      <c r="S20" s="115">
        <f>IFERROR(IF(up_Bv!S20=0,".",((s_Ir*s_F*up_Bv!S20*(1-EXP(-up_RadSpec!AZ20*s_t_b)))/(s_P*up_RadSpec!AZ20))),".")</f>
        <v>993.50362303732038</v>
      </c>
      <c r="T20" s="115">
        <f>IFERROR(IF(up_Bv!T20=0,".",((s_Ir*s_F*up_Bv!T20*(1-EXP(-up_RadSpec!AZ20*s_t_b)))/(s_P*up_RadSpec!AZ20))),".")</f>
        <v>993.50362303732038</v>
      </c>
      <c r="U20" s="115">
        <f>IFERROR(IF(up_Bv!U20=0,".",((s_Ir*s_F*up_Bv!U20*(1-EXP(-up_RadSpec!AZ20*s_t_b)))/(s_P*up_RadSpec!AZ20))),".")</f>
        <v>993.50362303732038</v>
      </c>
      <c r="V20" s="115">
        <f>IFERROR(IF(up_Bv!V20=0,".",((s_Ir*s_F*up_Bv!V20*(1-EXP(-up_RadSpec!AZ20*s_t_b)))/(s_P*up_RadSpec!AZ20))),".")</f>
        <v>993.50362303732038</v>
      </c>
      <c r="W20" s="115">
        <f>IFERROR(IF(up_Bv!W20=0,".",((s_Ir*s_F*up_Bv!W20*(1-EXP(-up_RadSpec!AZ20*s_t_b)))/(s_P*up_RadSpec!AZ20))),".")</f>
        <v>993.50362303732038</v>
      </c>
      <c r="X20" s="115">
        <f>IFERROR(IF(up_Bv!X20=0,".",((s_Ir*s_F*up_Bv!X20*(1-EXP(-up_RadSpec!AZ20*s_t_b)))/(s_P*up_RadSpec!AZ20))),".")</f>
        <v>993.50362303732038</v>
      </c>
      <c r="Y20" s="115">
        <f>IFERROR(IF(up_Bv!Y20=0,".",((s_Ir*s_F*up_Bv!Y20*(1-EXP(-up_RadSpec!AZ20*s_t_b)))/(s_P*up_RadSpec!AZ20))),".")</f>
        <v>993.50362303732038</v>
      </c>
      <c r="Z20" s="115">
        <f>IFERROR(IF(up_Bv!Z20=0,".",((s_Ir*s_F*up_Bv!Z20*(1-EXP(-up_RadSpec!AZ20*s_t_b)))/(s_P*up_RadSpec!AZ20))),".")</f>
        <v>993.50362303732038</v>
      </c>
      <c r="AA20" s="115">
        <f>IFERROR(IF(up_Bv!AA20=0,".",((s_Ir*s_F*up_Bv!AA20*(1-EXP(-up_RadSpec!AZ20*s_t_b)))/(s_P*up_RadSpec!AZ20))),".")</f>
        <v>993.50362303732038</v>
      </c>
      <c r="AB20" s="115">
        <f>IFERROR(IF(up_Bv!C20=0,".",((s_Ir*s_F*s_MLF_apple*(1-EXP(-up_RadSpec!AZ20*s_t_b)))/(s_P*up_RadSpec!AZ20))),".")</f>
        <v>2.6824597822007652</v>
      </c>
      <c r="AC20" s="115">
        <f>IFERROR(IF(up_Bv!D20=0,".",((s_Ir*s_F*s_MLF_asparagus*(1-EXP(-up_RadSpec!AZ20*s_t_b)))/(s_P*up_RadSpec!AZ20))),".")</f>
        <v>2.6824597822007652</v>
      </c>
      <c r="AD20" s="115">
        <f>IFERROR(IF(up_Bv!E20=0,".",((s_Ir*s_F*s_MLF_beet*(1-EXP(-up_RadSpec!AZ20*s_t_b)))/(s_P*up_RadSpec!AZ20))),".")</f>
        <v>2.6824597822007652</v>
      </c>
      <c r="AE20" s="115">
        <f>IFERROR(IF(up_Bv!F20=0,".",((s_Ir*s_F*s_MLF_berries*(1-EXP(-up_RadSpec!AZ20*s_t_b)))/(s_P*up_RadSpec!AZ20))),".")</f>
        <v>2.6824597822007652</v>
      </c>
      <c r="AF20" s="115">
        <f>IFERROR(IF(up_Bv!G20=0,".",((s_Ir*s_F*s_MLF_broccoli*(1-EXP(-up_RadSpec!AZ20*s_t_b)))/(s_P*up_RadSpec!AZ20))),".")</f>
        <v>2.6824597822007652</v>
      </c>
      <c r="AG20" s="115">
        <f>IFERROR(IF(up_Bv!H20=0,".",((s_Ir*s_F*s_MLF_cabbage*(1-EXP(-up_RadSpec!AZ20*s_t_b)))/(s_P*up_RadSpec!AZ20))),".")</f>
        <v>2.6824597822007652</v>
      </c>
      <c r="AH20" s="115">
        <f>IFERROR(IF(up_Bv!I20=0,".",((s_Ir*s_F*s_MLF_carrot*(1-EXP(-up_RadSpec!AZ20*s_t_b)))/(s_P*up_RadSpec!AZ20))),".")</f>
        <v>2.6824597822007652</v>
      </c>
      <c r="AI20" s="115">
        <f>IFERROR(IF(up_Bv!J20=0,".",((s_Ir*s_F*s_MLF_citrus*(1-EXP(-up_RadSpec!AZ20*s_t_b)))/(s_P*up_RadSpec!AZ20))),".")</f>
        <v>2.6824597822007652</v>
      </c>
      <c r="AJ20" s="115">
        <f>IFERROR(IF(up_Bv!K20=0,".",((s_Ir*s_F*s_MLF_corn*(1-EXP(-up_RadSpec!AZ20*s_t_b)))/(s_P*up_RadSpec!AZ20))),".")</f>
        <v>2.6824597822007652</v>
      </c>
      <c r="AK20" s="115">
        <f>IFERROR(IF(up_Bv!L20=0,".",((s_Ir*s_F*s_MLF_cucumber*(1-EXP(-up_RadSpec!AZ20*s_t_b)))/(s_P*up_RadSpec!AZ20))),".")</f>
        <v>2.6824597822007652</v>
      </c>
      <c r="AL20" s="115">
        <f>IFERROR(IF(up_Bv!M20=0,".",((s_Ir*s_F*s_MLF_lettuce*(1-EXP(-up_RadSpec!AZ20*s_t_b)))/(s_P*up_RadSpec!AZ20))),".")</f>
        <v>2.6824597822007652</v>
      </c>
      <c r="AM20" s="115">
        <f>IFERROR(IF(up_Bv!N20=0,".",((s_Ir*s_F*s_MLF_lima_bean*(1-EXP(-up_RadSpec!AZ20*s_t_b)))/(s_P*up_RadSpec!AZ20))),".")</f>
        <v>2.6824597822007652</v>
      </c>
      <c r="AN20" s="115">
        <f>IFERROR(IF(up_Bv!O20=0,".",((s_Ir*s_F*s_MLF_okra*(1-EXP(-up_RadSpec!AZ20*s_t_b)))/(s_P*up_RadSpec!AZ20))),".")</f>
        <v>2.6824597822007652</v>
      </c>
      <c r="AO20" s="115">
        <f>IFERROR(IF(up_Bv!P20=0,".",((s_Ir*s_F*s_MLF_onion*(1-EXP(-up_RadSpec!AZ20*s_t_b)))/(s_P*up_RadSpec!AZ20))),".")</f>
        <v>2.6824597822007652</v>
      </c>
      <c r="AP20" s="115">
        <f>IFERROR(IF(up_Bv!Q20=0,".",((s_Ir*s_F*s_MLF_peach*(1-EXP(-up_RadSpec!AZ20*s_t_b)))/(s_P*up_RadSpec!AZ20))),".")</f>
        <v>2.6824597822007652</v>
      </c>
      <c r="AQ20" s="115">
        <f>IFERROR(IF(up_Bv!R20=0,".",((s_Ir*s_F*s_MLF_pear*(1-EXP(-up_RadSpec!AZ20*s_t_b)))/(s_P*up_RadSpec!AZ20))),".")</f>
        <v>2.6824597822007652</v>
      </c>
      <c r="AR20" s="115">
        <f>IFERROR(IF(up_Bv!S20=0,".",((s_Ir*s_F*s_MLF_peas*(1-EXP(-up_RadSpec!AZ20*s_t_b)))/(s_P*up_RadSpec!AZ20))),".")</f>
        <v>2.6824597822007652</v>
      </c>
      <c r="AS20" s="115">
        <f>IFERROR(IF(up_Bv!T20=0,".",((s_Ir*s_F*s_MLF_peppers*(1-EXP(-up_RadSpec!AZ20*s_t_b)))/(s_P*up_RadSpec!AZ20))),".")</f>
        <v>2.6824597822007652</v>
      </c>
      <c r="AT20" s="115">
        <f>IFERROR(IF(up_Bv!U20=0,".",((s_Ir*s_F*s_MLF_potato*(1-EXP(-up_RadSpec!AZ20*s_t_b)))/(s_P*up_RadSpec!AZ20))),".")</f>
        <v>2.6824597822007652</v>
      </c>
      <c r="AU20" s="115">
        <f>IFERROR(IF(up_Bv!V20=0,".",((s_Ir*s_F*s_MLF_pumpkin*(1-EXP(-up_RadSpec!AZ20*s_t_b)))/(s_P*up_RadSpec!AZ20))),".")</f>
        <v>2.6824597822007652</v>
      </c>
      <c r="AV20" s="115">
        <f>IFERROR(IF(up_Bv!W20=0,".",((s_Ir*s_F*s_MLF_snap_bean*(1-EXP(-up_RadSpec!AZ20*s_t_b)))/(s_P*up_RadSpec!AZ20))),".")</f>
        <v>2.6824597822007652</v>
      </c>
      <c r="AW20" s="115">
        <f>IFERROR(IF(up_Bv!X20=0,".",((s_Ir*s_F*s_MLF_strawberry*(1-EXP(-up_RadSpec!AZ20*s_t_b)))/(s_P*up_RadSpec!AZ20))),".")</f>
        <v>2.6824597822007652</v>
      </c>
      <c r="AX20" s="115">
        <f>IFERROR(IF(up_Bv!Y20=0,".",((s_Ir*s_F*s_MLF_tomato*(1-EXP(-up_RadSpec!AZ20*s_t_b)))/(s_P*up_RadSpec!AZ20))),".")</f>
        <v>2.6824597822007652</v>
      </c>
      <c r="AY20" s="115">
        <f>IFERROR(IF(up_Bv!Z20=0,".",((s_Ir*s_F*s_MLF_rice*(1-EXP(-up_RadSpec!AZ20*s_t_b)))/(s_P*up_RadSpec!AZ20))),".")</f>
        <v>2.6824597822007652</v>
      </c>
      <c r="AZ20" s="115">
        <f>IFERROR(IF(up_Bv!AA20=0,".",((s_Ir*s_F*s_MLF_cereal*(1-EXP(-up_RadSpec!AZ20*s_t_b)))/(s_P*up_RadSpec!AZ20))),".")</f>
        <v>2.6824597822007652</v>
      </c>
      <c r="BA20" s="115">
        <f>IFERROR(IF(up_Bv!C20=0,".",((s_Ir*s_F*s_I_f*s_T*(1-EXP(-up_RadSpec!BA20*s_t_v)))/(s_Y_v*up_RadSpec!BA20))),".")</f>
        <v>9.0143481925428208</v>
      </c>
      <c r="BB20" s="115">
        <f>IFERROR(IF(up_Bv!D20=0,".",((s_Ir*s_F*s_I_f*s_T*(1-EXP(-up_RadSpec!BA20*s_t_v)))/(s_Y_v*up_RadSpec!BA20))),".")</f>
        <v>9.0143481925428208</v>
      </c>
      <c r="BC20" s="115">
        <f>IFERROR(IF(up_Bv!E20=0,".",((s_Ir*s_F*s_I_f*s_T*(1-EXP(-up_RadSpec!BA20*s_t_v)))/(s_Y_v*up_RadSpec!BA20))),".")</f>
        <v>9.0143481925428208</v>
      </c>
      <c r="BD20" s="115">
        <f>IFERROR(IF(up_Bv!F20=0,".",((s_Ir*s_F*s_I_f*s_T*(1-EXP(-up_RadSpec!BA20*s_t_v)))/(s_Y_v*up_RadSpec!BA20))),".")</f>
        <v>9.0143481925428208</v>
      </c>
      <c r="BE20" s="115">
        <f>IFERROR(IF(up_Bv!G20=0,".",((s_Ir*s_F*s_I_f*s_T*(1-EXP(-up_RadSpec!BA20*s_t_v)))/(s_Y_v*up_RadSpec!BA20))),".")</f>
        <v>9.0143481925428208</v>
      </c>
      <c r="BF20" s="115">
        <f>IFERROR(IF(up_Bv!H20=0,".",((s_Ir*s_F*s_I_f*s_T*(1-EXP(-up_RadSpec!BA20*s_t_v)))/(s_Y_v*up_RadSpec!BA20))),".")</f>
        <v>9.0143481925428208</v>
      </c>
      <c r="BG20" s="115">
        <f>IFERROR(IF(up_Bv!I20=0,".",((s_Ir*s_F*s_I_f*s_T*(1-EXP(-up_RadSpec!BA20*s_t_v)))/(s_Y_v*up_RadSpec!BA20))),".")</f>
        <v>9.0143481925428208</v>
      </c>
      <c r="BH20" s="115">
        <f>IFERROR(IF(up_Bv!J20=0,".",((s_Ir*s_F*s_I_f*s_T*(1-EXP(-up_RadSpec!BA20*s_t_v)))/(s_Y_v*up_RadSpec!BA20))),".")</f>
        <v>9.0143481925428208</v>
      </c>
      <c r="BI20" s="115">
        <f>IFERROR(IF(up_Bv!K20=0,".",((s_Ir*s_F*s_I_f*s_T*(1-EXP(-up_RadSpec!BA20*s_t_v)))/(s_Y_v*up_RadSpec!BA20))),".")</f>
        <v>9.0143481925428208</v>
      </c>
      <c r="BJ20" s="115">
        <f>IFERROR(IF(up_Bv!L20=0,".",((s_Ir*s_F*s_I_f*s_T*(1-EXP(-up_RadSpec!BA20*s_t_v)))/(s_Y_v*up_RadSpec!BA20))),".")</f>
        <v>9.0143481925428208</v>
      </c>
      <c r="BK20" s="115">
        <f>IFERROR(IF(up_Bv!M20=0,".",((s_Ir*s_F*s_I_f*s_T*(1-EXP(-up_RadSpec!BA20*s_t_v)))/(s_Y_v*up_RadSpec!BA20))),".")</f>
        <v>9.0143481925428208</v>
      </c>
      <c r="BL20" s="115">
        <f>IFERROR(IF(up_Bv!N20=0,".",((s_Ir*s_F*s_I_f*s_T*(1-EXP(-up_RadSpec!BA20*s_t_v)))/(s_Y_v*up_RadSpec!BA20))),".")</f>
        <v>9.0143481925428208</v>
      </c>
      <c r="BM20" s="115">
        <f>IFERROR(IF(up_Bv!O20=0,".",((s_Ir*s_F*s_I_f*s_T*(1-EXP(-up_RadSpec!BA20*s_t_v)))/(s_Y_v*up_RadSpec!BA20))),".")</f>
        <v>9.0143481925428208</v>
      </c>
      <c r="BN20" s="115">
        <f>IFERROR(IF(up_Bv!P20=0,".",((s_Ir*s_F*s_I_f*s_T*(1-EXP(-up_RadSpec!BA20*s_t_v)))/(s_Y_v*up_RadSpec!BA20))),".")</f>
        <v>9.0143481925428208</v>
      </c>
      <c r="BO20" s="115">
        <f>IFERROR(IF(up_Bv!Q20=0,".",((s_Ir*s_F*s_I_f*s_T*(1-EXP(-up_RadSpec!BA20*s_t_v)))/(s_Y_v*up_RadSpec!BA20))),".")</f>
        <v>9.0143481925428208</v>
      </c>
      <c r="BP20" s="115">
        <f>IFERROR(IF(up_Bv!R20=0,".",((s_Ir*s_F*s_I_f*s_T*(1-EXP(-up_RadSpec!BA20*s_t_v)))/(s_Y_v*up_RadSpec!BA20))),".")</f>
        <v>9.0143481925428208</v>
      </c>
      <c r="BQ20" s="115">
        <f>IFERROR(IF(up_Bv!S20=0,".",((s_Ir*s_F*s_I_f*s_T*(1-EXP(-up_RadSpec!BA20*s_t_v)))/(s_Y_v*up_RadSpec!BA20))),".")</f>
        <v>9.0143481925428208</v>
      </c>
      <c r="BR20" s="115">
        <f>IFERROR(IF(up_Bv!T20=0,".",((s_Ir*s_F*s_I_f*s_T*(1-EXP(-up_RadSpec!BA20*s_t_v)))/(s_Y_v*up_RadSpec!BA20))),".")</f>
        <v>9.0143481925428208</v>
      </c>
      <c r="BS20" s="115">
        <f>IFERROR(IF(up_Bv!U20=0,".",((s_Ir*s_F*s_I_f*s_T*(1-EXP(-up_RadSpec!BA20*s_t_v)))/(s_Y_v*up_RadSpec!BA20))),".")</f>
        <v>9.0143481925428208</v>
      </c>
      <c r="BT20" s="115">
        <f>IFERROR(IF(up_Bv!V20=0,".",((s_Ir*s_F*s_I_f*s_T*(1-EXP(-up_RadSpec!BA20*s_t_v)))/(s_Y_v*up_RadSpec!BA20))),".")</f>
        <v>9.0143481925428208</v>
      </c>
      <c r="BU20" s="115">
        <f>IFERROR(IF(up_Bv!W20=0,".",((s_Ir*s_F*s_I_f*s_T*(1-EXP(-up_RadSpec!BA20*s_t_v)))/(s_Y_v*up_RadSpec!BA20))),".")</f>
        <v>9.0143481925428208</v>
      </c>
      <c r="BV20" s="115">
        <f>IFERROR(IF(up_Bv!X20=0,".",((s_Ir*s_F*s_I_f*s_T*(1-EXP(-up_RadSpec!BA20*s_t_v)))/(s_Y_v*up_RadSpec!BA20))),".")</f>
        <v>9.0143481925428208</v>
      </c>
      <c r="BW20" s="115">
        <f>IFERROR(IF(up_Bv!Y20=0,".",((s_Ir*s_F*s_I_f*s_T*(1-EXP(-up_RadSpec!BA20*s_t_v)))/(s_Y_v*up_RadSpec!BA20))),".")</f>
        <v>9.0143481925428208</v>
      </c>
      <c r="BX20" s="115">
        <f>IFERROR(IF(up_Bv!Z20=0,".",((s_Ir*s_F*s_I_f*s_T*(1-EXP(-up_RadSpec!BA20*s_t_v)))/(s_Y_v*up_RadSpec!BA20))),".")</f>
        <v>9.0143481925428208</v>
      </c>
      <c r="BY20" s="115">
        <f>IFERROR(IF(up_Bv!AA20=0,".",((s_Ir*s_F*s_I_f*s_T*(1-EXP(-up_RadSpec!BA20*s_t_v)))/(s_Y_v*up_RadSpec!BA20))),".")</f>
        <v>9.0143481925428208</v>
      </c>
    </row>
    <row r="21" spans="1:77" x14ac:dyDescent="0.25">
      <c r="A21" s="44" t="s">
        <v>31</v>
      </c>
      <c r="B21" s="42" t="s">
        <v>1071</v>
      </c>
      <c r="C21" s="115">
        <f>IFERROR(IF(up_Bv!C21=0,".",((s_Ir*s_F*up_Bv!C21*(1-EXP(-up_RadSpec!$AZ21*s_t_b)))/(s_P*up_RadSpec!$AZ21))),".")</f>
        <v>993.50362303732038</v>
      </c>
      <c r="D21" s="115">
        <f>IFERROR(IF(up_Bv!D21=0,".",((s_Ir*s_F*up_Bv!D21*(1-EXP(-up_RadSpec!AZ21*s_t_b)))/(s_P*up_RadSpec!AZ21))),".")</f>
        <v>993.50362303732038</v>
      </c>
      <c r="E21" s="115">
        <f>IFERROR(IF(up_Bv!E21=0,".",((s_Ir*s_F*up_Bv!E21*(1-EXP(-up_RadSpec!AZ21*s_t_b)))/(s_P*up_RadSpec!AZ21))),".")</f>
        <v>993.50362303732038</v>
      </c>
      <c r="F21" s="115">
        <f>IFERROR(IF(up_Bv!F21=0,".",((s_Ir*s_F*up_Bv!F21*(1-EXP(-up_RadSpec!AZ21*s_t_b)))/(s_P*up_RadSpec!AZ21))),".")</f>
        <v>993.50362303732038</v>
      </c>
      <c r="G21" s="115">
        <f>IFERROR(IF(up_Bv!G21=0,".",((s_Ir*s_F*up_Bv!G21*(1-EXP(-up_RadSpec!AZ21*s_t_b)))/(s_P*up_RadSpec!AZ21))),".")</f>
        <v>993.50362303732038</v>
      </c>
      <c r="H21" s="115">
        <f>IFERROR(IF(up_Bv!H21=0,".",((s_Ir*s_F*up_Bv!H21*(1-EXP(-up_RadSpec!AZ21*s_t_b)))/(s_P*up_RadSpec!AZ21))),".")</f>
        <v>993.50362303732038</v>
      </c>
      <c r="I21" s="115">
        <f>IFERROR(IF(up_Bv!I21=0,".",((s_Ir*s_F*up_Bv!I21*(1-EXP(-up_RadSpec!AZ21*s_t_b)))/(s_P*up_RadSpec!AZ21))),".")</f>
        <v>993.50362303732038</v>
      </c>
      <c r="J21" s="115">
        <f>IFERROR(IF(up_Bv!J21=0,".",((s_Ir*s_F*up_Bv!J21*(1-EXP(-up_RadSpec!AZ21*s_t_b)))/(s_P*up_RadSpec!AZ21))),".")</f>
        <v>993.50362303732038</v>
      </c>
      <c r="K21" s="115">
        <f>IFERROR(IF(up_Bv!K21=0,".",((s_Ir*s_F*up_Bv!K21*(1-EXP(-up_RadSpec!AZ21*s_t_b)))/(s_P*up_RadSpec!AZ21))),".")</f>
        <v>993.50362303732038</v>
      </c>
      <c r="L21" s="115">
        <f>IFERROR(IF(up_Bv!L21=0,".",((s_Ir*s_F*up_Bv!L21*(1-EXP(-up_RadSpec!AZ21*s_t_b)))/(s_P*up_RadSpec!AZ21))),".")</f>
        <v>993.50362303732038</v>
      </c>
      <c r="M21" s="115">
        <f>IFERROR(IF(up_Bv!M21=0,".",((s_Ir*s_F*up_Bv!M21*(1-EXP(-up_RadSpec!AZ21*s_t_b)))/(s_P*up_RadSpec!AZ21))),".")</f>
        <v>993.50362303732038</v>
      </c>
      <c r="N21" s="115">
        <f>IFERROR(IF(up_Bv!N21=0,".",((s_Ir*s_F*up_Bv!N21*(1-EXP(-up_RadSpec!AZ21*s_t_b)))/(s_P*up_RadSpec!AZ21))),".")</f>
        <v>993.50362303732038</v>
      </c>
      <c r="O21" s="115">
        <f>IFERROR(IF(up_Bv!O21=0,".",((s_Ir*s_F*up_Bv!O21*(1-EXP(-up_RadSpec!AZ21*s_t_b)))/(s_P*up_RadSpec!AZ21))),".")</f>
        <v>993.50362303732038</v>
      </c>
      <c r="P21" s="115">
        <f>IFERROR(IF(up_Bv!P21=0,".",((s_Ir*s_F*up_Bv!P21*(1-EXP(-up_RadSpec!AZ21*s_t_b)))/(s_P*up_RadSpec!AZ21))),".")</f>
        <v>993.50362303732038</v>
      </c>
      <c r="Q21" s="115">
        <f>IFERROR(IF(up_Bv!Q21=0,".",((s_Ir*s_F*up_Bv!Q21*(1-EXP(-up_RadSpec!AZ21*s_t_b)))/(s_P*up_RadSpec!AZ21))),".")</f>
        <v>993.50362303732038</v>
      </c>
      <c r="R21" s="115">
        <f>IFERROR(IF(up_Bv!R21=0,".",((s_Ir*s_F*up_Bv!R21*(1-EXP(-up_RadSpec!AZ21*s_t_b)))/(s_P*up_RadSpec!AZ21))),".")</f>
        <v>993.50362303732038</v>
      </c>
      <c r="S21" s="115">
        <f>IFERROR(IF(up_Bv!S21=0,".",((s_Ir*s_F*up_Bv!S21*(1-EXP(-up_RadSpec!AZ21*s_t_b)))/(s_P*up_RadSpec!AZ21))),".")</f>
        <v>993.50362303732038</v>
      </c>
      <c r="T21" s="115">
        <f>IFERROR(IF(up_Bv!T21=0,".",((s_Ir*s_F*up_Bv!T21*(1-EXP(-up_RadSpec!AZ21*s_t_b)))/(s_P*up_RadSpec!AZ21))),".")</f>
        <v>993.50362303732038</v>
      </c>
      <c r="U21" s="115">
        <f>IFERROR(IF(up_Bv!U21=0,".",((s_Ir*s_F*up_Bv!U21*(1-EXP(-up_RadSpec!AZ21*s_t_b)))/(s_P*up_RadSpec!AZ21))),".")</f>
        <v>993.50362303732038</v>
      </c>
      <c r="V21" s="115">
        <f>IFERROR(IF(up_Bv!V21=0,".",((s_Ir*s_F*up_Bv!V21*(1-EXP(-up_RadSpec!AZ21*s_t_b)))/(s_P*up_RadSpec!AZ21))),".")</f>
        <v>993.50362303732038</v>
      </c>
      <c r="W21" s="115">
        <f>IFERROR(IF(up_Bv!W21=0,".",((s_Ir*s_F*up_Bv!W21*(1-EXP(-up_RadSpec!AZ21*s_t_b)))/(s_P*up_RadSpec!AZ21))),".")</f>
        <v>993.50362303732038</v>
      </c>
      <c r="X21" s="115">
        <f>IFERROR(IF(up_Bv!X21=0,".",((s_Ir*s_F*up_Bv!X21*(1-EXP(-up_RadSpec!AZ21*s_t_b)))/(s_P*up_RadSpec!AZ21))),".")</f>
        <v>993.50362303732038</v>
      </c>
      <c r="Y21" s="115">
        <f>IFERROR(IF(up_Bv!Y21=0,".",((s_Ir*s_F*up_Bv!Y21*(1-EXP(-up_RadSpec!AZ21*s_t_b)))/(s_P*up_RadSpec!AZ21))),".")</f>
        <v>993.50362303732038</v>
      </c>
      <c r="Z21" s="115">
        <f>IFERROR(IF(up_Bv!Z21=0,".",((s_Ir*s_F*up_Bv!Z21*(1-EXP(-up_RadSpec!AZ21*s_t_b)))/(s_P*up_RadSpec!AZ21))),".")</f>
        <v>993.50362303732038</v>
      </c>
      <c r="AA21" s="115">
        <f>IFERROR(IF(up_Bv!AA21=0,".",((s_Ir*s_F*up_Bv!AA21*(1-EXP(-up_RadSpec!AZ21*s_t_b)))/(s_P*up_RadSpec!AZ21))),".")</f>
        <v>993.50362303732038</v>
      </c>
      <c r="AB21" s="115">
        <f>IFERROR(IF(up_Bv!C21=0,".",((s_Ir*s_F*s_MLF_apple*(1-EXP(-up_RadSpec!AZ21*s_t_b)))/(s_P*up_RadSpec!AZ21))),".")</f>
        <v>2.6824597822007652</v>
      </c>
      <c r="AC21" s="115">
        <f>IFERROR(IF(up_Bv!D21=0,".",((s_Ir*s_F*s_MLF_asparagus*(1-EXP(-up_RadSpec!AZ21*s_t_b)))/(s_P*up_RadSpec!AZ21))),".")</f>
        <v>2.6824597822007652</v>
      </c>
      <c r="AD21" s="115">
        <f>IFERROR(IF(up_Bv!E21=0,".",((s_Ir*s_F*s_MLF_beet*(1-EXP(-up_RadSpec!AZ21*s_t_b)))/(s_P*up_RadSpec!AZ21))),".")</f>
        <v>2.6824597822007652</v>
      </c>
      <c r="AE21" s="115">
        <f>IFERROR(IF(up_Bv!F21=0,".",((s_Ir*s_F*s_MLF_berries*(1-EXP(-up_RadSpec!AZ21*s_t_b)))/(s_P*up_RadSpec!AZ21))),".")</f>
        <v>2.6824597822007652</v>
      </c>
      <c r="AF21" s="115">
        <f>IFERROR(IF(up_Bv!G21=0,".",((s_Ir*s_F*s_MLF_broccoli*(1-EXP(-up_RadSpec!AZ21*s_t_b)))/(s_P*up_RadSpec!AZ21))),".")</f>
        <v>2.6824597822007652</v>
      </c>
      <c r="AG21" s="115">
        <f>IFERROR(IF(up_Bv!H21=0,".",((s_Ir*s_F*s_MLF_cabbage*(1-EXP(-up_RadSpec!AZ21*s_t_b)))/(s_P*up_RadSpec!AZ21))),".")</f>
        <v>2.6824597822007652</v>
      </c>
      <c r="AH21" s="115">
        <f>IFERROR(IF(up_Bv!I21=0,".",((s_Ir*s_F*s_MLF_carrot*(1-EXP(-up_RadSpec!AZ21*s_t_b)))/(s_P*up_RadSpec!AZ21))),".")</f>
        <v>2.6824597822007652</v>
      </c>
      <c r="AI21" s="115">
        <f>IFERROR(IF(up_Bv!J21=0,".",((s_Ir*s_F*s_MLF_citrus*(1-EXP(-up_RadSpec!AZ21*s_t_b)))/(s_P*up_RadSpec!AZ21))),".")</f>
        <v>2.6824597822007652</v>
      </c>
      <c r="AJ21" s="115">
        <f>IFERROR(IF(up_Bv!K21=0,".",((s_Ir*s_F*s_MLF_corn*(1-EXP(-up_RadSpec!AZ21*s_t_b)))/(s_P*up_RadSpec!AZ21))),".")</f>
        <v>2.6824597822007652</v>
      </c>
      <c r="AK21" s="115">
        <f>IFERROR(IF(up_Bv!L21=0,".",((s_Ir*s_F*s_MLF_cucumber*(1-EXP(-up_RadSpec!AZ21*s_t_b)))/(s_P*up_RadSpec!AZ21))),".")</f>
        <v>2.6824597822007652</v>
      </c>
      <c r="AL21" s="115">
        <f>IFERROR(IF(up_Bv!M21=0,".",((s_Ir*s_F*s_MLF_lettuce*(1-EXP(-up_RadSpec!AZ21*s_t_b)))/(s_P*up_RadSpec!AZ21))),".")</f>
        <v>2.6824597822007652</v>
      </c>
      <c r="AM21" s="115">
        <f>IFERROR(IF(up_Bv!N21=0,".",((s_Ir*s_F*s_MLF_lima_bean*(1-EXP(-up_RadSpec!AZ21*s_t_b)))/(s_P*up_RadSpec!AZ21))),".")</f>
        <v>2.6824597822007652</v>
      </c>
      <c r="AN21" s="115">
        <f>IFERROR(IF(up_Bv!O21=0,".",((s_Ir*s_F*s_MLF_okra*(1-EXP(-up_RadSpec!AZ21*s_t_b)))/(s_P*up_RadSpec!AZ21))),".")</f>
        <v>2.6824597822007652</v>
      </c>
      <c r="AO21" s="115">
        <f>IFERROR(IF(up_Bv!P21=0,".",((s_Ir*s_F*s_MLF_onion*(1-EXP(-up_RadSpec!AZ21*s_t_b)))/(s_P*up_RadSpec!AZ21))),".")</f>
        <v>2.6824597822007652</v>
      </c>
      <c r="AP21" s="115">
        <f>IFERROR(IF(up_Bv!Q21=0,".",((s_Ir*s_F*s_MLF_peach*(1-EXP(-up_RadSpec!AZ21*s_t_b)))/(s_P*up_RadSpec!AZ21))),".")</f>
        <v>2.6824597822007652</v>
      </c>
      <c r="AQ21" s="115">
        <f>IFERROR(IF(up_Bv!R21=0,".",((s_Ir*s_F*s_MLF_pear*(1-EXP(-up_RadSpec!AZ21*s_t_b)))/(s_P*up_RadSpec!AZ21))),".")</f>
        <v>2.6824597822007652</v>
      </c>
      <c r="AR21" s="115">
        <f>IFERROR(IF(up_Bv!S21=0,".",((s_Ir*s_F*s_MLF_peas*(1-EXP(-up_RadSpec!AZ21*s_t_b)))/(s_P*up_RadSpec!AZ21))),".")</f>
        <v>2.6824597822007652</v>
      </c>
      <c r="AS21" s="115">
        <f>IFERROR(IF(up_Bv!T21=0,".",((s_Ir*s_F*s_MLF_peppers*(1-EXP(-up_RadSpec!AZ21*s_t_b)))/(s_P*up_RadSpec!AZ21))),".")</f>
        <v>2.6824597822007652</v>
      </c>
      <c r="AT21" s="115">
        <f>IFERROR(IF(up_Bv!U21=0,".",((s_Ir*s_F*s_MLF_potato*(1-EXP(-up_RadSpec!AZ21*s_t_b)))/(s_P*up_RadSpec!AZ21))),".")</f>
        <v>2.6824597822007652</v>
      </c>
      <c r="AU21" s="115">
        <f>IFERROR(IF(up_Bv!V21=0,".",((s_Ir*s_F*s_MLF_pumpkin*(1-EXP(-up_RadSpec!AZ21*s_t_b)))/(s_P*up_RadSpec!AZ21))),".")</f>
        <v>2.6824597822007652</v>
      </c>
      <c r="AV21" s="115">
        <f>IFERROR(IF(up_Bv!W21=0,".",((s_Ir*s_F*s_MLF_snap_bean*(1-EXP(-up_RadSpec!AZ21*s_t_b)))/(s_P*up_RadSpec!AZ21))),".")</f>
        <v>2.6824597822007652</v>
      </c>
      <c r="AW21" s="115">
        <f>IFERROR(IF(up_Bv!X21=0,".",((s_Ir*s_F*s_MLF_strawberry*(1-EXP(-up_RadSpec!AZ21*s_t_b)))/(s_P*up_RadSpec!AZ21))),".")</f>
        <v>2.6824597822007652</v>
      </c>
      <c r="AX21" s="115">
        <f>IFERROR(IF(up_Bv!Y21=0,".",((s_Ir*s_F*s_MLF_tomato*(1-EXP(-up_RadSpec!AZ21*s_t_b)))/(s_P*up_RadSpec!AZ21))),".")</f>
        <v>2.6824597822007652</v>
      </c>
      <c r="AY21" s="115">
        <f>IFERROR(IF(up_Bv!Z21=0,".",((s_Ir*s_F*s_MLF_rice*(1-EXP(-up_RadSpec!AZ21*s_t_b)))/(s_P*up_RadSpec!AZ21))),".")</f>
        <v>2.6824597822007652</v>
      </c>
      <c r="AZ21" s="115">
        <f>IFERROR(IF(up_Bv!AA21=0,".",((s_Ir*s_F*s_MLF_cereal*(1-EXP(-up_RadSpec!AZ21*s_t_b)))/(s_P*up_RadSpec!AZ21))),".")</f>
        <v>2.6824597822007652</v>
      </c>
      <c r="BA21" s="115">
        <f>IFERROR(IF(up_Bv!C21=0,".",((s_Ir*s_F*s_I_f*s_T*(1-EXP(-up_RadSpec!BA21*s_t_v)))/(s_Y_v*up_RadSpec!BA21))),".")</f>
        <v>9.0143481925428208</v>
      </c>
      <c r="BB21" s="115">
        <f>IFERROR(IF(up_Bv!D21=0,".",((s_Ir*s_F*s_I_f*s_T*(1-EXP(-up_RadSpec!BA21*s_t_v)))/(s_Y_v*up_RadSpec!BA21))),".")</f>
        <v>9.0143481925428208</v>
      </c>
      <c r="BC21" s="115">
        <f>IFERROR(IF(up_Bv!E21=0,".",((s_Ir*s_F*s_I_f*s_T*(1-EXP(-up_RadSpec!BA21*s_t_v)))/(s_Y_v*up_RadSpec!BA21))),".")</f>
        <v>9.0143481925428208</v>
      </c>
      <c r="BD21" s="115">
        <f>IFERROR(IF(up_Bv!F21=0,".",((s_Ir*s_F*s_I_f*s_T*(1-EXP(-up_RadSpec!BA21*s_t_v)))/(s_Y_v*up_RadSpec!BA21))),".")</f>
        <v>9.0143481925428208</v>
      </c>
      <c r="BE21" s="115">
        <f>IFERROR(IF(up_Bv!G21=0,".",((s_Ir*s_F*s_I_f*s_T*(1-EXP(-up_RadSpec!BA21*s_t_v)))/(s_Y_v*up_RadSpec!BA21))),".")</f>
        <v>9.0143481925428208</v>
      </c>
      <c r="BF21" s="115">
        <f>IFERROR(IF(up_Bv!H21=0,".",((s_Ir*s_F*s_I_f*s_T*(1-EXP(-up_RadSpec!BA21*s_t_v)))/(s_Y_v*up_RadSpec!BA21))),".")</f>
        <v>9.0143481925428208</v>
      </c>
      <c r="BG21" s="115">
        <f>IFERROR(IF(up_Bv!I21=0,".",((s_Ir*s_F*s_I_f*s_T*(1-EXP(-up_RadSpec!BA21*s_t_v)))/(s_Y_v*up_RadSpec!BA21))),".")</f>
        <v>9.0143481925428208</v>
      </c>
      <c r="BH21" s="115">
        <f>IFERROR(IF(up_Bv!J21=0,".",((s_Ir*s_F*s_I_f*s_T*(1-EXP(-up_RadSpec!BA21*s_t_v)))/(s_Y_v*up_RadSpec!BA21))),".")</f>
        <v>9.0143481925428208</v>
      </c>
      <c r="BI21" s="115">
        <f>IFERROR(IF(up_Bv!K21=0,".",((s_Ir*s_F*s_I_f*s_T*(1-EXP(-up_RadSpec!BA21*s_t_v)))/(s_Y_v*up_RadSpec!BA21))),".")</f>
        <v>9.0143481925428208</v>
      </c>
      <c r="BJ21" s="115">
        <f>IFERROR(IF(up_Bv!L21=0,".",((s_Ir*s_F*s_I_f*s_T*(1-EXP(-up_RadSpec!BA21*s_t_v)))/(s_Y_v*up_RadSpec!BA21))),".")</f>
        <v>9.0143481925428208</v>
      </c>
      <c r="BK21" s="115">
        <f>IFERROR(IF(up_Bv!M21=0,".",((s_Ir*s_F*s_I_f*s_T*(1-EXP(-up_RadSpec!BA21*s_t_v)))/(s_Y_v*up_RadSpec!BA21))),".")</f>
        <v>9.0143481925428208</v>
      </c>
      <c r="BL21" s="115">
        <f>IFERROR(IF(up_Bv!N21=0,".",((s_Ir*s_F*s_I_f*s_T*(1-EXP(-up_RadSpec!BA21*s_t_v)))/(s_Y_v*up_RadSpec!BA21))),".")</f>
        <v>9.0143481925428208</v>
      </c>
      <c r="BM21" s="115">
        <f>IFERROR(IF(up_Bv!O21=0,".",((s_Ir*s_F*s_I_f*s_T*(1-EXP(-up_RadSpec!BA21*s_t_v)))/(s_Y_v*up_RadSpec!BA21))),".")</f>
        <v>9.0143481925428208</v>
      </c>
      <c r="BN21" s="115">
        <f>IFERROR(IF(up_Bv!P21=0,".",((s_Ir*s_F*s_I_f*s_T*(1-EXP(-up_RadSpec!BA21*s_t_v)))/(s_Y_v*up_RadSpec!BA21))),".")</f>
        <v>9.0143481925428208</v>
      </c>
      <c r="BO21" s="115">
        <f>IFERROR(IF(up_Bv!Q21=0,".",((s_Ir*s_F*s_I_f*s_T*(1-EXP(-up_RadSpec!BA21*s_t_v)))/(s_Y_v*up_RadSpec!BA21))),".")</f>
        <v>9.0143481925428208</v>
      </c>
      <c r="BP21" s="115">
        <f>IFERROR(IF(up_Bv!R21=0,".",((s_Ir*s_F*s_I_f*s_T*(1-EXP(-up_RadSpec!BA21*s_t_v)))/(s_Y_v*up_RadSpec!BA21))),".")</f>
        <v>9.0143481925428208</v>
      </c>
      <c r="BQ21" s="115">
        <f>IFERROR(IF(up_Bv!S21=0,".",((s_Ir*s_F*s_I_f*s_T*(1-EXP(-up_RadSpec!BA21*s_t_v)))/(s_Y_v*up_RadSpec!BA21))),".")</f>
        <v>9.0143481925428208</v>
      </c>
      <c r="BR21" s="115">
        <f>IFERROR(IF(up_Bv!T21=0,".",((s_Ir*s_F*s_I_f*s_T*(1-EXP(-up_RadSpec!BA21*s_t_v)))/(s_Y_v*up_RadSpec!BA21))),".")</f>
        <v>9.0143481925428208</v>
      </c>
      <c r="BS21" s="115">
        <f>IFERROR(IF(up_Bv!U21=0,".",((s_Ir*s_F*s_I_f*s_T*(1-EXP(-up_RadSpec!BA21*s_t_v)))/(s_Y_v*up_RadSpec!BA21))),".")</f>
        <v>9.0143481925428208</v>
      </c>
      <c r="BT21" s="115">
        <f>IFERROR(IF(up_Bv!V21=0,".",((s_Ir*s_F*s_I_f*s_T*(1-EXP(-up_RadSpec!BA21*s_t_v)))/(s_Y_v*up_RadSpec!BA21))),".")</f>
        <v>9.0143481925428208</v>
      </c>
      <c r="BU21" s="115">
        <f>IFERROR(IF(up_Bv!W21=0,".",((s_Ir*s_F*s_I_f*s_T*(1-EXP(-up_RadSpec!BA21*s_t_v)))/(s_Y_v*up_RadSpec!BA21))),".")</f>
        <v>9.0143481925428208</v>
      </c>
      <c r="BV21" s="115">
        <f>IFERROR(IF(up_Bv!X21=0,".",((s_Ir*s_F*s_I_f*s_T*(1-EXP(-up_RadSpec!BA21*s_t_v)))/(s_Y_v*up_RadSpec!BA21))),".")</f>
        <v>9.0143481925428208</v>
      </c>
      <c r="BW21" s="115">
        <f>IFERROR(IF(up_Bv!Y21=0,".",((s_Ir*s_F*s_I_f*s_T*(1-EXP(-up_RadSpec!BA21*s_t_v)))/(s_Y_v*up_RadSpec!BA21))),".")</f>
        <v>9.0143481925428208</v>
      </c>
      <c r="BX21" s="115">
        <f>IFERROR(IF(up_Bv!Z21=0,".",((s_Ir*s_F*s_I_f*s_T*(1-EXP(-up_RadSpec!BA21*s_t_v)))/(s_Y_v*up_RadSpec!BA21))),".")</f>
        <v>9.0143481925428208</v>
      </c>
      <c r="BY21" s="115">
        <f>IFERROR(IF(up_Bv!AA21=0,".",((s_Ir*s_F*s_I_f*s_T*(1-EXP(-up_RadSpec!BA21*s_t_v)))/(s_Y_v*up_RadSpec!BA21))),".")</f>
        <v>9.0143481925428208</v>
      </c>
    </row>
    <row r="22" spans="1:77" x14ac:dyDescent="0.25">
      <c r="A22" s="44" t="s">
        <v>32</v>
      </c>
      <c r="B22" s="42" t="s">
        <v>1071</v>
      </c>
      <c r="C22" s="115">
        <f>IFERROR(IF(up_Bv!C22=0,".",((s_Ir*s_F*up_Bv!C22*(1-EXP(-up_RadSpec!$AZ22*s_t_b)))/(s_P*up_RadSpec!$AZ22))),".")</f>
        <v>993.50362303732038</v>
      </c>
      <c r="D22" s="115">
        <f>IFERROR(IF(up_Bv!D22=0,".",((s_Ir*s_F*up_Bv!D22*(1-EXP(-up_RadSpec!AZ22*s_t_b)))/(s_P*up_RadSpec!AZ22))),".")</f>
        <v>993.50362303732038</v>
      </c>
      <c r="E22" s="115">
        <f>IFERROR(IF(up_Bv!E22=0,".",((s_Ir*s_F*up_Bv!E22*(1-EXP(-up_RadSpec!AZ22*s_t_b)))/(s_P*up_RadSpec!AZ22))),".")</f>
        <v>993.50362303732038</v>
      </c>
      <c r="F22" s="115">
        <f>IFERROR(IF(up_Bv!F22=0,".",((s_Ir*s_F*up_Bv!F22*(1-EXP(-up_RadSpec!AZ22*s_t_b)))/(s_P*up_RadSpec!AZ22))),".")</f>
        <v>993.50362303732038</v>
      </c>
      <c r="G22" s="115">
        <f>IFERROR(IF(up_Bv!G22=0,".",((s_Ir*s_F*up_Bv!G22*(1-EXP(-up_RadSpec!AZ22*s_t_b)))/(s_P*up_RadSpec!AZ22))),".")</f>
        <v>993.50362303732038</v>
      </c>
      <c r="H22" s="115">
        <f>IFERROR(IF(up_Bv!H22=0,".",((s_Ir*s_F*up_Bv!H22*(1-EXP(-up_RadSpec!AZ22*s_t_b)))/(s_P*up_RadSpec!AZ22))),".")</f>
        <v>993.50362303732038</v>
      </c>
      <c r="I22" s="115">
        <f>IFERROR(IF(up_Bv!I22=0,".",((s_Ir*s_F*up_Bv!I22*(1-EXP(-up_RadSpec!AZ22*s_t_b)))/(s_P*up_RadSpec!AZ22))),".")</f>
        <v>993.50362303732038</v>
      </c>
      <c r="J22" s="115">
        <f>IFERROR(IF(up_Bv!J22=0,".",((s_Ir*s_F*up_Bv!J22*(1-EXP(-up_RadSpec!AZ22*s_t_b)))/(s_P*up_RadSpec!AZ22))),".")</f>
        <v>993.50362303732038</v>
      </c>
      <c r="K22" s="115">
        <f>IFERROR(IF(up_Bv!K22=0,".",((s_Ir*s_F*up_Bv!K22*(1-EXP(-up_RadSpec!AZ22*s_t_b)))/(s_P*up_RadSpec!AZ22))),".")</f>
        <v>993.50362303732038</v>
      </c>
      <c r="L22" s="115">
        <f>IFERROR(IF(up_Bv!L22=0,".",((s_Ir*s_F*up_Bv!L22*(1-EXP(-up_RadSpec!AZ22*s_t_b)))/(s_P*up_RadSpec!AZ22))),".")</f>
        <v>993.50362303732038</v>
      </c>
      <c r="M22" s="115">
        <f>IFERROR(IF(up_Bv!M22=0,".",((s_Ir*s_F*up_Bv!M22*(1-EXP(-up_RadSpec!AZ22*s_t_b)))/(s_P*up_RadSpec!AZ22))),".")</f>
        <v>993.50362303732038</v>
      </c>
      <c r="N22" s="115">
        <f>IFERROR(IF(up_Bv!N22=0,".",((s_Ir*s_F*up_Bv!N22*(1-EXP(-up_RadSpec!AZ22*s_t_b)))/(s_P*up_RadSpec!AZ22))),".")</f>
        <v>993.50362303732038</v>
      </c>
      <c r="O22" s="115">
        <f>IFERROR(IF(up_Bv!O22=0,".",((s_Ir*s_F*up_Bv!O22*(1-EXP(-up_RadSpec!AZ22*s_t_b)))/(s_P*up_RadSpec!AZ22))),".")</f>
        <v>993.50362303732038</v>
      </c>
      <c r="P22" s="115">
        <f>IFERROR(IF(up_Bv!P22=0,".",((s_Ir*s_F*up_Bv!P22*(1-EXP(-up_RadSpec!AZ22*s_t_b)))/(s_P*up_RadSpec!AZ22))),".")</f>
        <v>993.50362303732038</v>
      </c>
      <c r="Q22" s="115">
        <f>IFERROR(IF(up_Bv!Q22=0,".",((s_Ir*s_F*up_Bv!Q22*(1-EXP(-up_RadSpec!AZ22*s_t_b)))/(s_P*up_RadSpec!AZ22))),".")</f>
        <v>993.50362303732038</v>
      </c>
      <c r="R22" s="115">
        <f>IFERROR(IF(up_Bv!R22=0,".",((s_Ir*s_F*up_Bv!R22*(1-EXP(-up_RadSpec!AZ22*s_t_b)))/(s_P*up_RadSpec!AZ22))),".")</f>
        <v>993.50362303732038</v>
      </c>
      <c r="S22" s="115">
        <f>IFERROR(IF(up_Bv!S22=0,".",((s_Ir*s_F*up_Bv!S22*(1-EXP(-up_RadSpec!AZ22*s_t_b)))/(s_P*up_RadSpec!AZ22))),".")</f>
        <v>993.50362303732038</v>
      </c>
      <c r="T22" s="115">
        <f>IFERROR(IF(up_Bv!T22=0,".",((s_Ir*s_F*up_Bv!T22*(1-EXP(-up_RadSpec!AZ22*s_t_b)))/(s_P*up_RadSpec!AZ22))),".")</f>
        <v>993.50362303732038</v>
      </c>
      <c r="U22" s="115">
        <f>IFERROR(IF(up_Bv!U22=0,".",((s_Ir*s_F*up_Bv!U22*(1-EXP(-up_RadSpec!AZ22*s_t_b)))/(s_P*up_RadSpec!AZ22))),".")</f>
        <v>993.50362303732038</v>
      </c>
      <c r="V22" s="115">
        <f>IFERROR(IF(up_Bv!V22=0,".",((s_Ir*s_F*up_Bv!V22*(1-EXP(-up_RadSpec!AZ22*s_t_b)))/(s_P*up_RadSpec!AZ22))),".")</f>
        <v>993.50362303732038</v>
      </c>
      <c r="W22" s="115">
        <f>IFERROR(IF(up_Bv!W22=0,".",((s_Ir*s_F*up_Bv!W22*(1-EXP(-up_RadSpec!AZ22*s_t_b)))/(s_P*up_RadSpec!AZ22))),".")</f>
        <v>993.50362303732038</v>
      </c>
      <c r="X22" s="115">
        <f>IFERROR(IF(up_Bv!X22=0,".",((s_Ir*s_F*up_Bv!X22*(1-EXP(-up_RadSpec!AZ22*s_t_b)))/(s_P*up_RadSpec!AZ22))),".")</f>
        <v>993.50362303732038</v>
      </c>
      <c r="Y22" s="115">
        <f>IFERROR(IF(up_Bv!Y22=0,".",((s_Ir*s_F*up_Bv!Y22*(1-EXP(-up_RadSpec!AZ22*s_t_b)))/(s_P*up_RadSpec!AZ22))),".")</f>
        <v>993.50362303732038</v>
      </c>
      <c r="Z22" s="115">
        <f>IFERROR(IF(up_Bv!Z22=0,".",((s_Ir*s_F*up_Bv!Z22*(1-EXP(-up_RadSpec!AZ22*s_t_b)))/(s_P*up_RadSpec!AZ22))),".")</f>
        <v>993.50362303732038</v>
      </c>
      <c r="AA22" s="115">
        <f>IFERROR(IF(up_Bv!AA22=0,".",((s_Ir*s_F*up_Bv!AA22*(1-EXP(-up_RadSpec!AZ22*s_t_b)))/(s_P*up_RadSpec!AZ22))),".")</f>
        <v>993.50362303732038</v>
      </c>
      <c r="AB22" s="115">
        <f>IFERROR(IF(up_Bv!C22=0,".",((s_Ir*s_F*s_MLF_apple*(1-EXP(-up_RadSpec!AZ22*s_t_b)))/(s_P*up_RadSpec!AZ22))),".")</f>
        <v>2.6824597822007652</v>
      </c>
      <c r="AC22" s="115">
        <f>IFERROR(IF(up_Bv!D22=0,".",((s_Ir*s_F*s_MLF_asparagus*(1-EXP(-up_RadSpec!AZ22*s_t_b)))/(s_P*up_RadSpec!AZ22))),".")</f>
        <v>2.6824597822007652</v>
      </c>
      <c r="AD22" s="115">
        <f>IFERROR(IF(up_Bv!E22=0,".",((s_Ir*s_F*s_MLF_beet*(1-EXP(-up_RadSpec!AZ22*s_t_b)))/(s_P*up_RadSpec!AZ22))),".")</f>
        <v>2.6824597822007652</v>
      </c>
      <c r="AE22" s="115">
        <f>IFERROR(IF(up_Bv!F22=0,".",((s_Ir*s_F*s_MLF_berries*(1-EXP(-up_RadSpec!AZ22*s_t_b)))/(s_P*up_RadSpec!AZ22))),".")</f>
        <v>2.6824597822007652</v>
      </c>
      <c r="AF22" s="115">
        <f>IFERROR(IF(up_Bv!G22=0,".",((s_Ir*s_F*s_MLF_broccoli*(1-EXP(-up_RadSpec!AZ22*s_t_b)))/(s_P*up_RadSpec!AZ22))),".")</f>
        <v>2.6824597822007652</v>
      </c>
      <c r="AG22" s="115">
        <f>IFERROR(IF(up_Bv!H22=0,".",((s_Ir*s_F*s_MLF_cabbage*(1-EXP(-up_RadSpec!AZ22*s_t_b)))/(s_P*up_RadSpec!AZ22))),".")</f>
        <v>2.6824597822007652</v>
      </c>
      <c r="AH22" s="115">
        <f>IFERROR(IF(up_Bv!I22=0,".",((s_Ir*s_F*s_MLF_carrot*(1-EXP(-up_RadSpec!AZ22*s_t_b)))/(s_P*up_RadSpec!AZ22))),".")</f>
        <v>2.6824597822007652</v>
      </c>
      <c r="AI22" s="115">
        <f>IFERROR(IF(up_Bv!J22=0,".",((s_Ir*s_F*s_MLF_citrus*(1-EXP(-up_RadSpec!AZ22*s_t_b)))/(s_P*up_RadSpec!AZ22))),".")</f>
        <v>2.6824597822007652</v>
      </c>
      <c r="AJ22" s="115">
        <f>IFERROR(IF(up_Bv!K22=0,".",((s_Ir*s_F*s_MLF_corn*(1-EXP(-up_RadSpec!AZ22*s_t_b)))/(s_P*up_RadSpec!AZ22))),".")</f>
        <v>2.6824597822007652</v>
      </c>
      <c r="AK22" s="115">
        <f>IFERROR(IF(up_Bv!L22=0,".",((s_Ir*s_F*s_MLF_cucumber*(1-EXP(-up_RadSpec!AZ22*s_t_b)))/(s_P*up_RadSpec!AZ22))),".")</f>
        <v>2.6824597822007652</v>
      </c>
      <c r="AL22" s="115">
        <f>IFERROR(IF(up_Bv!M22=0,".",((s_Ir*s_F*s_MLF_lettuce*(1-EXP(-up_RadSpec!AZ22*s_t_b)))/(s_P*up_RadSpec!AZ22))),".")</f>
        <v>2.6824597822007652</v>
      </c>
      <c r="AM22" s="115">
        <f>IFERROR(IF(up_Bv!N22=0,".",((s_Ir*s_F*s_MLF_lima_bean*(1-EXP(-up_RadSpec!AZ22*s_t_b)))/(s_P*up_RadSpec!AZ22))),".")</f>
        <v>2.6824597822007652</v>
      </c>
      <c r="AN22" s="115">
        <f>IFERROR(IF(up_Bv!O22=0,".",((s_Ir*s_F*s_MLF_okra*(1-EXP(-up_RadSpec!AZ22*s_t_b)))/(s_P*up_RadSpec!AZ22))),".")</f>
        <v>2.6824597822007652</v>
      </c>
      <c r="AO22" s="115">
        <f>IFERROR(IF(up_Bv!P22=0,".",((s_Ir*s_F*s_MLF_onion*(1-EXP(-up_RadSpec!AZ22*s_t_b)))/(s_P*up_RadSpec!AZ22))),".")</f>
        <v>2.6824597822007652</v>
      </c>
      <c r="AP22" s="115">
        <f>IFERROR(IF(up_Bv!Q22=0,".",((s_Ir*s_F*s_MLF_peach*(1-EXP(-up_RadSpec!AZ22*s_t_b)))/(s_P*up_RadSpec!AZ22))),".")</f>
        <v>2.6824597822007652</v>
      </c>
      <c r="AQ22" s="115">
        <f>IFERROR(IF(up_Bv!R22=0,".",((s_Ir*s_F*s_MLF_pear*(1-EXP(-up_RadSpec!AZ22*s_t_b)))/(s_P*up_RadSpec!AZ22))),".")</f>
        <v>2.6824597822007652</v>
      </c>
      <c r="AR22" s="115">
        <f>IFERROR(IF(up_Bv!S22=0,".",((s_Ir*s_F*s_MLF_peas*(1-EXP(-up_RadSpec!AZ22*s_t_b)))/(s_P*up_RadSpec!AZ22))),".")</f>
        <v>2.6824597822007652</v>
      </c>
      <c r="AS22" s="115">
        <f>IFERROR(IF(up_Bv!T22=0,".",((s_Ir*s_F*s_MLF_peppers*(1-EXP(-up_RadSpec!AZ22*s_t_b)))/(s_P*up_RadSpec!AZ22))),".")</f>
        <v>2.6824597822007652</v>
      </c>
      <c r="AT22" s="115">
        <f>IFERROR(IF(up_Bv!U22=0,".",((s_Ir*s_F*s_MLF_potato*(1-EXP(-up_RadSpec!AZ22*s_t_b)))/(s_P*up_RadSpec!AZ22))),".")</f>
        <v>2.6824597822007652</v>
      </c>
      <c r="AU22" s="115">
        <f>IFERROR(IF(up_Bv!V22=0,".",((s_Ir*s_F*s_MLF_pumpkin*(1-EXP(-up_RadSpec!AZ22*s_t_b)))/(s_P*up_RadSpec!AZ22))),".")</f>
        <v>2.6824597822007652</v>
      </c>
      <c r="AV22" s="115">
        <f>IFERROR(IF(up_Bv!W22=0,".",((s_Ir*s_F*s_MLF_snap_bean*(1-EXP(-up_RadSpec!AZ22*s_t_b)))/(s_P*up_RadSpec!AZ22))),".")</f>
        <v>2.6824597822007652</v>
      </c>
      <c r="AW22" s="115">
        <f>IFERROR(IF(up_Bv!X22=0,".",((s_Ir*s_F*s_MLF_strawberry*(1-EXP(-up_RadSpec!AZ22*s_t_b)))/(s_P*up_RadSpec!AZ22))),".")</f>
        <v>2.6824597822007652</v>
      </c>
      <c r="AX22" s="115">
        <f>IFERROR(IF(up_Bv!Y22=0,".",((s_Ir*s_F*s_MLF_tomato*(1-EXP(-up_RadSpec!AZ22*s_t_b)))/(s_P*up_RadSpec!AZ22))),".")</f>
        <v>2.6824597822007652</v>
      </c>
      <c r="AY22" s="115">
        <f>IFERROR(IF(up_Bv!Z22=0,".",((s_Ir*s_F*s_MLF_rice*(1-EXP(-up_RadSpec!AZ22*s_t_b)))/(s_P*up_RadSpec!AZ22))),".")</f>
        <v>2.6824597822007652</v>
      </c>
      <c r="AZ22" s="115">
        <f>IFERROR(IF(up_Bv!AA22=0,".",((s_Ir*s_F*s_MLF_cereal*(1-EXP(-up_RadSpec!AZ22*s_t_b)))/(s_P*up_RadSpec!AZ22))),".")</f>
        <v>2.6824597822007652</v>
      </c>
      <c r="BA22" s="115">
        <f>IFERROR(IF(up_Bv!C22=0,".",((s_Ir*s_F*s_I_f*s_T*(1-EXP(-up_RadSpec!BA22*s_t_v)))/(s_Y_v*up_RadSpec!BA22))),".")</f>
        <v>9.0143481925428208</v>
      </c>
      <c r="BB22" s="115">
        <f>IFERROR(IF(up_Bv!D22=0,".",((s_Ir*s_F*s_I_f*s_T*(1-EXP(-up_RadSpec!BA22*s_t_v)))/(s_Y_v*up_RadSpec!BA22))),".")</f>
        <v>9.0143481925428208</v>
      </c>
      <c r="BC22" s="115">
        <f>IFERROR(IF(up_Bv!E22=0,".",((s_Ir*s_F*s_I_f*s_T*(1-EXP(-up_RadSpec!BA22*s_t_v)))/(s_Y_v*up_RadSpec!BA22))),".")</f>
        <v>9.0143481925428208</v>
      </c>
      <c r="BD22" s="115">
        <f>IFERROR(IF(up_Bv!F22=0,".",((s_Ir*s_F*s_I_f*s_T*(1-EXP(-up_RadSpec!BA22*s_t_v)))/(s_Y_v*up_RadSpec!BA22))),".")</f>
        <v>9.0143481925428208</v>
      </c>
      <c r="BE22" s="115">
        <f>IFERROR(IF(up_Bv!G22=0,".",((s_Ir*s_F*s_I_f*s_T*(1-EXP(-up_RadSpec!BA22*s_t_v)))/(s_Y_v*up_RadSpec!BA22))),".")</f>
        <v>9.0143481925428208</v>
      </c>
      <c r="BF22" s="115">
        <f>IFERROR(IF(up_Bv!H22=0,".",((s_Ir*s_F*s_I_f*s_T*(1-EXP(-up_RadSpec!BA22*s_t_v)))/(s_Y_v*up_RadSpec!BA22))),".")</f>
        <v>9.0143481925428208</v>
      </c>
      <c r="BG22" s="115">
        <f>IFERROR(IF(up_Bv!I22=0,".",((s_Ir*s_F*s_I_f*s_T*(1-EXP(-up_RadSpec!BA22*s_t_v)))/(s_Y_v*up_RadSpec!BA22))),".")</f>
        <v>9.0143481925428208</v>
      </c>
      <c r="BH22" s="115">
        <f>IFERROR(IF(up_Bv!J22=0,".",((s_Ir*s_F*s_I_f*s_T*(1-EXP(-up_RadSpec!BA22*s_t_v)))/(s_Y_v*up_RadSpec!BA22))),".")</f>
        <v>9.0143481925428208</v>
      </c>
      <c r="BI22" s="115">
        <f>IFERROR(IF(up_Bv!K22=0,".",((s_Ir*s_F*s_I_f*s_T*(1-EXP(-up_RadSpec!BA22*s_t_v)))/(s_Y_v*up_RadSpec!BA22))),".")</f>
        <v>9.0143481925428208</v>
      </c>
      <c r="BJ22" s="115">
        <f>IFERROR(IF(up_Bv!L22=0,".",((s_Ir*s_F*s_I_f*s_T*(1-EXP(-up_RadSpec!BA22*s_t_v)))/(s_Y_v*up_RadSpec!BA22))),".")</f>
        <v>9.0143481925428208</v>
      </c>
      <c r="BK22" s="115">
        <f>IFERROR(IF(up_Bv!M22=0,".",((s_Ir*s_F*s_I_f*s_T*(1-EXP(-up_RadSpec!BA22*s_t_v)))/(s_Y_v*up_RadSpec!BA22))),".")</f>
        <v>9.0143481925428208</v>
      </c>
      <c r="BL22" s="115">
        <f>IFERROR(IF(up_Bv!N22=0,".",((s_Ir*s_F*s_I_f*s_T*(1-EXP(-up_RadSpec!BA22*s_t_v)))/(s_Y_v*up_RadSpec!BA22))),".")</f>
        <v>9.0143481925428208</v>
      </c>
      <c r="BM22" s="115">
        <f>IFERROR(IF(up_Bv!O22=0,".",((s_Ir*s_F*s_I_f*s_T*(1-EXP(-up_RadSpec!BA22*s_t_v)))/(s_Y_v*up_RadSpec!BA22))),".")</f>
        <v>9.0143481925428208</v>
      </c>
      <c r="BN22" s="115">
        <f>IFERROR(IF(up_Bv!P22=0,".",((s_Ir*s_F*s_I_f*s_T*(1-EXP(-up_RadSpec!BA22*s_t_v)))/(s_Y_v*up_RadSpec!BA22))),".")</f>
        <v>9.0143481925428208</v>
      </c>
      <c r="BO22" s="115">
        <f>IFERROR(IF(up_Bv!Q22=0,".",((s_Ir*s_F*s_I_f*s_T*(1-EXP(-up_RadSpec!BA22*s_t_v)))/(s_Y_v*up_RadSpec!BA22))),".")</f>
        <v>9.0143481925428208</v>
      </c>
      <c r="BP22" s="115">
        <f>IFERROR(IF(up_Bv!R22=0,".",((s_Ir*s_F*s_I_f*s_T*(1-EXP(-up_RadSpec!BA22*s_t_v)))/(s_Y_v*up_RadSpec!BA22))),".")</f>
        <v>9.0143481925428208</v>
      </c>
      <c r="BQ22" s="115">
        <f>IFERROR(IF(up_Bv!S22=0,".",((s_Ir*s_F*s_I_f*s_T*(1-EXP(-up_RadSpec!BA22*s_t_v)))/(s_Y_v*up_RadSpec!BA22))),".")</f>
        <v>9.0143481925428208</v>
      </c>
      <c r="BR22" s="115">
        <f>IFERROR(IF(up_Bv!T22=0,".",((s_Ir*s_F*s_I_f*s_T*(1-EXP(-up_RadSpec!BA22*s_t_v)))/(s_Y_v*up_RadSpec!BA22))),".")</f>
        <v>9.0143481925428208</v>
      </c>
      <c r="BS22" s="115">
        <f>IFERROR(IF(up_Bv!U22=0,".",((s_Ir*s_F*s_I_f*s_T*(1-EXP(-up_RadSpec!BA22*s_t_v)))/(s_Y_v*up_RadSpec!BA22))),".")</f>
        <v>9.0143481925428208</v>
      </c>
      <c r="BT22" s="115">
        <f>IFERROR(IF(up_Bv!V22=0,".",((s_Ir*s_F*s_I_f*s_T*(1-EXP(-up_RadSpec!BA22*s_t_v)))/(s_Y_v*up_RadSpec!BA22))),".")</f>
        <v>9.0143481925428208</v>
      </c>
      <c r="BU22" s="115">
        <f>IFERROR(IF(up_Bv!W22=0,".",((s_Ir*s_F*s_I_f*s_T*(1-EXP(-up_RadSpec!BA22*s_t_v)))/(s_Y_v*up_RadSpec!BA22))),".")</f>
        <v>9.0143481925428208</v>
      </c>
      <c r="BV22" s="115">
        <f>IFERROR(IF(up_Bv!X22=0,".",((s_Ir*s_F*s_I_f*s_T*(1-EXP(-up_RadSpec!BA22*s_t_v)))/(s_Y_v*up_RadSpec!BA22))),".")</f>
        <v>9.0143481925428208</v>
      </c>
      <c r="BW22" s="115">
        <f>IFERROR(IF(up_Bv!Y22=0,".",((s_Ir*s_F*s_I_f*s_T*(1-EXP(-up_RadSpec!BA22*s_t_v)))/(s_Y_v*up_RadSpec!BA22))),".")</f>
        <v>9.0143481925428208</v>
      </c>
      <c r="BX22" s="115">
        <f>IFERROR(IF(up_Bv!Z22=0,".",((s_Ir*s_F*s_I_f*s_T*(1-EXP(-up_RadSpec!BA22*s_t_v)))/(s_Y_v*up_RadSpec!BA22))),".")</f>
        <v>9.0143481925428208</v>
      </c>
      <c r="BY22" s="115">
        <f>IFERROR(IF(up_Bv!AA22=0,".",((s_Ir*s_F*s_I_f*s_T*(1-EXP(-up_RadSpec!BA22*s_t_v)))/(s_Y_v*up_RadSpec!BA22))),".")</f>
        <v>9.0143481925428208</v>
      </c>
    </row>
    <row r="23" spans="1:77" x14ac:dyDescent="0.25">
      <c r="A23" s="46" t="s">
        <v>33</v>
      </c>
      <c r="B23" s="42" t="s">
        <v>349</v>
      </c>
      <c r="C23" s="115">
        <f>IFERROR(IF(up_Bv!C23=0,".",((s_Ir*s_F*up_Bv!C23*(1-EXP(-up_RadSpec!$AZ23*s_t_b)))/(s_P*up_RadSpec!$AZ23))),".")</f>
        <v>993.50362303732038</v>
      </c>
      <c r="D23" s="115">
        <f>IFERROR(IF(up_Bv!D23=0,".",((s_Ir*s_F*up_Bv!D23*(1-EXP(-up_RadSpec!AZ23*s_t_b)))/(s_P*up_RadSpec!AZ23))),".")</f>
        <v>993.50362303732038</v>
      </c>
      <c r="E23" s="115">
        <f>IFERROR(IF(up_Bv!E23=0,".",((s_Ir*s_F*up_Bv!E23*(1-EXP(-up_RadSpec!AZ23*s_t_b)))/(s_P*up_RadSpec!AZ23))),".")</f>
        <v>993.50362303732038</v>
      </c>
      <c r="F23" s="115">
        <f>IFERROR(IF(up_Bv!F23=0,".",((s_Ir*s_F*up_Bv!F23*(1-EXP(-up_RadSpec!AZ23*s_t_b)))/(s_P*up_RadSpec!AZ23))),".")</f>
        <v>993.50362303732038</v>
      </c>
      <c r="G23" s="115">
        <f>IFERROR(IF(up_Bv!G23=0,".",((s_Ir*s_F*up_Bv!G23*(1-EXP(-up_RadSpec!AZ23*s_t_b)))/(s_P*up_RadSpec!AZ23))),".")</f>
        <v>993.50362303732038</v>
      </c>
      <c r="H23" s="115">
        <f>IFERROR(IF(up_Bv!H23=0,".",((s_Ir*s_F*up_Bv!H23*(1-EXP(-up_RadSpec!AZ23*s_t_b)))/(s_P*up_RadSpec!AZ23))),".")</f>
        <v>993.50362303732038</v>
      </c>
      <c r="I23" s="115">
        <f>IFERROR(IF(up_Bv!I23=0,".",((s_Ir*s_F*up_Bv!I23*(1-EXP(-up_RadSpec!AZ23*s_t_b)))/(s_P*up_RadSpec!AZ23))),".")</f>
        <v>993.50362303732038</v>
      </c>
      <c r="J23" s="115">
        <f>IFERROR(IF(up_Bv!J23=0,".",((s_Ir*s_F*up_Bv!J23*(1-EXP(-up_RadSpec!AZ23*s_t_b)))/(s_P*up_RadSpec!AZ23))),".")</f>
        <v>993.50362303732038</v>
      </c>
      <c r="K23" s="115">
        <f>IFERROR(IF(up_Bv!K23=0,".",((s_Ir*s_F*up_Bv!K23*(1-EXP(-up_RadSpec!AZ23*s_t_b)))/(s_P*up_RadSpec!AZ23))),".")</f>
        <v>993.50362303732038</v>
      </c>
      <c r="L23" s="115">
        <f>IFERROR(IF(up_Bv!L23=0,".",((s_Ir*s_F*up_Bv!L23*(1-EXP(-up_RadSpec!AZ23*s_t_b)))/(s_P*up_RadSpec!AZ23))),".")</f>
        <v>993.50362303732038</v>
      </c>
      <c r="M23" s="115">
        <f>IFERROR(IF(up_Bv!M23=0,".",((s_Ir*s_F*up_Bv!M23*(1-EXP(-up_RadSpec!AZ23*s_t_b)))/(s_P*up_RadSpec!AZ23))),".")</f>
        <v>993.50362303732038</v>
      </c>
      <c r="N23" s="115">
        <f>IFERROR(IF(up_Bv!N23=0,".",((s_Ir*s_F*up_Bv!N23*(1-EXP(-up_RadSpec!AZ23*s_t_b)))/(s_P*up_RadSpec!AZ23))),".")</f>
        <v>993.50362303732038</v>
      </c>
      <c r="O23" s="115">
        <f>IFERROR(IF(up_Bv!O23=0,".",((s_Ir*s_F*up_Bv!O23*(1-EXP(-up_RadSpec!AZ23*s_t_b)))/(s_P*up_RadSpec!AZ23))),".")</f>
        <v>993.50362303732038</v>
      </c>
      <c r="P23" s="115">
        <f>IFERROR(IF(up_Bv!P23=0,".",((s_Ir*s_F*up_Bv!P23*(1-EXP(-up_RadSpec!AZ23*s_t_b)))/(s_P*up_RadSpec!AZ23))),".")</f>
        <v>993.50362303732038</v>
      </c>
      <c r="Q23" s="115">
        <f>IFERROR(IF(up_Bv!Q23=0,".",((s_Ir*s_F*up_Bv!Q23*(1-EXP(-up_RadSpec!AZ23*s_t_b)))/(s_P*up_RadSpec!AZ23))),".")</f>
        <v>993.50362303732038</v>
      </c>
      <c r="R23" s="115">
        <f>IFERROR(IF(up_Bv!R23=0,".",((s_Ir*s_F*up_Bv!R23*(1-EXP(-up_RadSpec!AZ23*s_t_b)))/(s_P*up_RadSpec!AZ23))),".")</f>
        <v>993.50362303732038</v>
      </c>
      <c r="S23" s="115">
        <f>IFERROR(IF(up_Bv!S23=0,".",((s_Ir*s_F*up_Bv!S23*(1-EXP(-up_RadSpec!AZ23*s_t_b)))/(s_P*up_RadSpec!AZ23))),".")</f>
        <v>993.50362303732038</v>
      </c>
      <c r="T23" s="115">
        <f>IFERROR(IF(up_Bv!T23=0,".",((s_Ir*s_F*up_Bv!T23*(1-EXP(-up_RadSpec!AZ23*s_t_b)))/(s_P*up_RadSpec!AZ23))),".")</f>
        <v>993.50362303732038</v>
      </c>
      <c r="U23" s="115">
        <f>IFERROR(IF(up_Bv!U23=0,".",((s_Ir*s_F*up_Bv!U23*(1-EXP(-up_RadSpec!AZ23*s_t_b)))/(s_P*up_RadSpec!AZ23))),".")</f>
        <v>993.50362303732038</v>
      </c>
      <c r="V23" s="115">
        <f>IFERROR(IF(up_Bv!V23=0,".",((s_Ir*s_F*up_Bv!V23*(1-EXP(-up_RadSpec!AZ23*s_t_b)))/(s_P*up_RadSpec!AZ23))),".")</f>
        <v>993.50362303732038</v>
      </c>
      <c r="W23" s="115">
        <f>IFERROR(IF(up_Bv!W23=0,".",((s_Ir*s_F*up_Bv!W23*(1-EXP(-up_RadSpec!AZ23*s_t_b)))/(s_P*up_RadSpec!AZ23))),".")</f>
        <v>993.50362303732038</v>
      </c>
      <c r="X23" s="115">
        <f>IFERROR(IF(up_Bv!X23=0,".",((s_Ir*s_F*up_Bv!X23*(1-EXP(-up_RadSpec!AZ23*s_t_b)))/(s_P*up_RadSpec!AZ23))),".")</f>
        <v>993.50362303732038</v>
      </c>
      <c r="Y23" s="115">
        <f>IFERROR(IF(up_Bv!Y23=0,".",((s_Ir*s_F*up_Bv!Y23*(1-EXP(-up_RadSpec!AZ23*s_t_b)))/(s_P*up_RadSpec!AZ23))),".")</f>
        <v>993.50362303732038</v>
      </c>
      <c r="Z23" s="115">
        <f>IFERROR(IF(up_Bv!Z23=0,".",((s_Ir*s_F*up_Bv!Z23*(1-EXP(-up_RadSpec!AZ23*s_t_b)))/(s_P*up_RadSpec!AZ23))),".")</f>
        <v>993.50362303732038</v>
      </c>
      <c r="AA23" s="115">
        <f>IFERROR(IF(up_Bv!AA23=0,".",((s_Ir*s_F*up_Bv!AA23*(1-EXP(-up_RadSpec!AZ23*s_t_b)))/(s_P*up_RadSpec!AZ23))),".")</f>
        <v>993.50362303732038</v>
      </c>
      <c r="AB23" s="115">
        <f>IFERROR(IF(up_Bv!C23=0,".",((s_Ir*s_F*s_MLF_apple*(1-EXP(-up_RadSpec!AZ23*s_t_b)))/(s_P*up_RadSpec!AZ23))),".")</f>
        <v>2.6824597822007652</v>
      </c>
      <c r="AC23" s="115">
        <f>IFERROR(IF(up_Bv!D23=0,".",((s_Ir*s_F*s_MLF_asparagus*(1-EXP(-up_RadSpec!AZ23*s_t_b)))/(s_P*up_RadSpec!AZ23))),".")</f>
        <v>2.6824597822007652</v>
      </c>
      <c r="AD23" s="115">
        <f>IFERROR(IF(up_Bv!E23=0,".",((s_Ir*s_F*s_MLF_beet*(1-EXP(-up_RadSpec!AZ23*s_t_b)))/(s_P*up_RadSpec!AZ23))),".")</f>
        <v>2.6824597822007652</v>
      </c>
      <c r="AE23" s="115">
        <f>IFERROR(IF(up_Bv!F23=0,".",((s_Ir*s_F*s_MLF_berries*(1-EXP(-up_RadSpec!AZ23*s_t_b)))/(s_P*up_RadSpec!AZ23))),".")</f>
        <v>2.6824597822007652</v>
      </c>
      <c r="AF23" s="115">
        <f>IFERROR(IF(up_Bv!G23=0,".",((s_Ir*s_F*s_MLF_broccoli*(1-EXP(-up_RadSpec!AZ23*s_t_b)))/(s_P*up_RadSpec!AZ23))),".")</f>
        <v>2.6824597822007652</v>
      </c>
      <c r="AG23" s="115">
        <f>IFERROR(IF(up_Bv!H23=0,".",((s_Ir*s_F*s_MLF_cabbage*(1-EXP(-up_RadSpec!AZ23*s_t_b)))/(s_P*up_RadSpec!AZ23))),".")</f>
        <v>2.6824597822007652</v>
      </c>
      <c r="AH23" s="115">
        <f>IFERROR(IF(up_Bv!I23=0,".",((s_Ir*s_F*s_MLF_carrot*(1-EXP(-up_RadSpec!AZ23*s_t_b)))/(s_P*up_RadSpec!AZ23))),".")</f>
        <v>2.6824597822007652</v>
      </c>
      <c r="AI23" s="115">
        <f>IFERROR(IF(up_Bv!J23=0,".",((s_Ir*s_F*s_MLF_citrus*(1-EXP(-up_RadSpec!AZ23*s_t_b)))/(s_P*up_RadSpec!AZ23))),".")</f>
        <v>2.6824597822007652</v>
      </c>
      <c r="AJ23" s="115">
        <f>IFERROR(IF(up_Bv!K23=0,".",((s_Ir*s_F*s_MLF_corn*(1-EXP(-up_RadSpec!AZ23*s_t_b)))/(s_P*up_RadSpec!AZ23))),".")</f>
        <v>2.6824597822007652</v>
      </c>
      <c r="AK23" s="115">
        <f>IFERROR(IF(up_Bv!L23=0,".",((s_Ir*s_F*s_MLF_cucumber*(1-EXP(-up_RadSpec!AZ23*s_t_b)))/(s_P*up_RadSpec!AZ23))),".")</f>
        <v>2.6824597822007652</v>
      </c>
      <c r="AL23" s="115">
        <f>IFERROR(IF(up_Bv!M23=0,".",((s_Ir*s_F*s_MLF_lettuce*(1-EXP(-up_RadSpec!AZ23*s_t_b)))/(s_P*up_RadSpec!AZ23))),".")</f>
        <v>2.6824597822007652</v>
      </c>
      <c r="AM23" s="115">
        <f>IFERROR(IF(up_Bv!N23=0,".",((s_Ir*s_F*s_MLF_lima_bean*(1-EXP(-up_RadSpec!AZ23*s_t_b)))/(s_P*up_RadSpec!AZ23))),".")</f>
        <v>2.6824597822007652</v>
      </c>
      <c r="AN23" s="115">
        <f>IFERROR(IF(up_Bv!O23=0,".",((s_Ir*s_F*s_MLF_okra*(1-EXP(-up_RadSpec!AZ23*s_t_b)))/(s_P*up_RadSpec!AZ23))),".")</f>
        <v>2.6824597822007652</v>
      </c>
      <c r="AO23" s="115">
        <f>IFERROR(IF(up_Bv!P23=0,".",((s_Ir*s_F*s_MLF_onion*(1-EXP(-up_RadSpec!AZ23*s_t_b)))/(s_P*up_RadSpec!AZ23))),".")</f>
        <v>2.6824597822007652</v>
      </c>
      <c r="AP23" s="115">
        <f>IFERROR(IF(up_Bv!Q23=0,".",((s_Ir*s_F*s_MLF_peach*(1-EXP(-up_RadSpec!AZ23*s_t_b)))/(s_P*up_RadSpec!AZ23))),".")</f>
        <v>2.6824597822007652</v>
      </c>
      <c r="AQ23" s="115">
        <f>IFERROR(IF(up_Bv!R23=0,".",((s_Ir*s_F*s_MLF_pear*(1-EXP(-up_RadSpec!AZ23*s_t_b)))/(s_P*up_RadSpec!AZ23))),".")</f>
        <v>2.6824597822007652</v>
      </c>
      <c r="AR23" s="115">
        <f>IFERROR(IF(up_Bv!S23=0,".",((s_Ir*s_F*s_MLF_peas*(1-EXP(-up_RadSpec!AZ23*s_t_b)))/(s_P*up_RadSpec!AZ23))),".")</f>
        <v>2.6824597822007652</v>
      </c>
      <c r="AS23" s="115">
        <f>IFERROR(IF(up_Bv!T23=0,".",((s_Ir*s_F*s_MLF_peppers*(1-EXP(-up_RadSpec!AZ23*s_t_b)))/(s_P*up_RadSpec!AZ23))),".")</f>
        <v>2.6824597822007652</v>
      </c>
      <c r="AT23" s="115">
        <f>IFERROR(IF(up_Bv!U23=0,".",((s_Ir*s_F*s_MLF_potato*(1-EXP(-up_RadSpec!AZ23*s_t_b)))/(s_P*up_RadSpec!AZ23))),".")</f>
        <v>2.6824597822007652</v>
      </c>
      <c r="AU23" s="115">
        <f>IFERROR(IF(up_Bv!V23=0,".",((s_Ir*s_F*s_MLF_pumpkin*(1-EXP(-up_RadSpec!AZ23*s_t_b)))/(s_P*up_RadSpec!AZ23))),".")</f>
        <v>2.6824597822007652</v>
      </c>
      <c r="AV23" s="115">
        <f>IFERROR(IF(up_Bv!W23=0,".",((s_Ir*s_F*s_MLF_snap_bean*(1-EXP(-up_RadSpec!AZ23*s_t_b)))/(s_P*up_RadSpec!AZ23))),".")</f>
        <v>2.6824597822007652</v>
      </c>
      <c r="AW23" s="115">
        <f>IFERROR(IF(up_Bv!X23=0,".",((s_Ir*s_F*s_MLF_strawberry*(1-EXP(-up_RadSpec!AZ23*s_t_b)))/(s_P*up_RadSpec!AZ23))),".")</f>
        <v>2.6824597822007652</v>
      </c>
      <c r="AX23" s="115">
        <f>IFERROR(IF(up_Bv!Y23=0,".",((s_Ir*s_F*s_MLF_tomato*(1-EXP(-up_RadSpec!AZ23*s_t_b)))/(s_P*up_RadSpec!AZ23))),".")</f>
        <v>2.6824597822007652</v>
      </c>
      <c r="AY23" s="115">
        <f>IFERROR(IF(up_Bv!Z23=0,".",((s_Ir*s_F*s_MLF_rice*(1-EXP(-up_RadSpec!AZ23*s_t_b)))/(s_P*up_RadSpec!AZ23))),".")</f>
        <v>2.6824597822007652</v>
      </c>
      <c r="AZ23" s="115">
        <f>IFERROR(IF(up_Bv!AA23=0,".",((s_Ir*s_F*s_MLF_cereal*(1-EXP(-up_RadSpec!AZ23*s_t_b)))/(s_P*up_RadSpec!AZ23))),".")</f>
        <v>2.6824597822007652</v>
      </c>
      <c r="BA23" s="115">
        <f>IFERROR(IF(up_Bv!C23=0,".",((s_Ir*s_F*s_I_f*s_T*(1-EXP(-up_RadSpec!BA23*s_t_v)))/(s_Y_v*up_RadSpec!BA23))),".")</f>
        <v>9.0143481925428208</v>
      </c>
      <c r="BB23" s="115">
        <f>IFERROR(IF(up_Bv!D23=0,".",((s_Ir*s_F*s_I_f*s_T*(1-EXP(-up_RadSpec!BA23*s_t_v)))/(s_Y_v*up_RadSpec!BA23))),".")</f>
        <v>9.0143481925428208</v>
      </c>
      <c r="BC23" s="115">
        <f>IFERROR(IF(up_Bv!E23=0,".",((s_Ir*s_F*s_I_f*s_T*(1-EXP(-up_RadSpec!BA23*s_t_v)))/(s_Y_v*up_RadSpec!BA23))),".")</f>
        <v>9.0143481925428208</v>
      </c>
      <c r="BD23" s="115">
        <f>IFERROR(IF(up_Bv!F23=0,".",((s_Ir*s_F*s_I_f*s_T*(1-EXP(-up_RadSpec!BA23*s_t_v)))/(s_Y_v*up_RadSpec!BA23))),".")</f>
        <v>9.0143481925428208</v>
      </c>
      <c r="BE23" s="115">
        <f>IFERROR(IF(up_Bv!G23=0,".",((s_Ir*s_F*s_I_f*s_T*(1-EXP(-up_RadSpec!BA23*s_t_v)))/(s_Y_v*up_RadSpec!BA23))),".")</f>
        <v>9.0143481925428208</v>
      </c>
      <c r="BF23" s="115">
        <f>IFERROR(IF(up_Bv!H23=0,".",((s_Ir*s_F*s_I_f*s_T*(1-EXP(-up_RadSpec!BA23*s_t_v)))/(s_Y_v*up_RadSpec!BA23))),".")</f>
        <v>9.0143481925428208</v>
      </c>
      <c r="BG23" s="115">
        <f>IFERROR(IF(up_Bv!I23=0,".",((s_Ir*s_F*s_I_f*s_T*(1-EXP(-up_RadSpec!BA23*s_t_v)))/(s_Y_v*up_RadSpec!BA23))),".")</f>
        <v>9.0143481925428208</v>
      </c>
      <c r="BH23" s="115">
        <f>IFERROR(IF(up_Bv!J23=0,".",((s_Ir*s_F*s_I_f*s_T*(1-EXP(-up_RadSpec!BA23*s_t_v)))/(s_Y_v*up_RadSpec!BA23))),".")</f>
        <v>9.0143481925428208</v>
      </c>
      <c r="BI23" s="115">
        <f>IFERROR(IF(up_Bv!K23=0,".",((s_Ir*s_F*s_I_f*s_T*(1-EXP(-up_RadSpec!BA23*s_t_v)))/(s_Y_v*up_RadSpec!BA23))),".")</f>
        <v>9.0143481925428208</v>
      </c>
      <c r="BJ23" s="115">
        <f>IFERROR(IF(up_Bv!L23=0,".",((s_Ir*s_F*s_I_f*s_T*(1-EXP(-up_RadSpec!BA23*s_t_v)))/(s_Y_v*up_RadSpec!BA23))),".")</f>
        <v>9.0143481925428208</v>
      </c>
      <c r="BK23" s="115">
        <f>IFERROR(IF(up_Bv!M23=0,".",((s_Ir*s_F*s_I_f*s_T*(1-EXP(-up_RadSpec!BA23*s_t_v)))/(s_Y_v*up_RadSpec!BA23))),".")</f>
        <v>9.0143481925428208</v>
      </c>
      <c r="BL23" s="115">
        <f>IFERROR(IF(up_Bv!N23=0,".",((s_Ir*s_F*s_I_f*s_T*(1-EXP(-up_RadSpec!BA23*s_t_v)))/(s_Y_v*up_RadSpec!BA23))),".")</f>
        <v>9.0143481925428208</v>
      </c>
      <c r="BM23" s="115">
        <f>IFERROR(IF(up_Bv!O23=0,".",((s_Ir*s_F*s_I_f*s_T*(1-EXP(-up_RadSpec!BA23*s_t_v)))/(s_Y_v*up_RadSpec!BA23))),".")</f>
        <v>9.0143481925428208</v>
      </c>
      <c r="BN23" s="115">
        <f>IFERROR(IF(up_Bv!P23=0,".",((s_Ir*s_F*s_I_f*s_T*(1-EXP(-up_RadSpec!BA23*s_t_v)))/(s_Y_v*up_RadSpec!BA23))),".")</f>
        <v>9.0143481925428208</v>
      </c>
      <c r="BO23" s="115">
        <f>IFERROR(IF(up_Bv!Q23=0,".",((s_Ir*s_F*s_I_f*s_T*(1-EXP(-up_RadSpec!BA23*s_t_v)))/(s_Y_v*up_RadSpec!BA23))),".")</f>
        <v>9.0143481925428208</v>
      </c>
      <c r="BP23" s="115">
        <f>IFERROR(IF(up_Bv!R23=0,".",((s_Ir*s_F*s_I_f*s_T*(1-EXP(-up_RadSpec!BA23*s_t_v)))/(s_Y_v*up_RadSpec!BA23))),".")</f>
        <v>9.0143481925428208</v>
      </c>
      <c r="BQ23" s="115">
        <f>IFERROR(IF(up_Bv!S23=0,".",((s_Ir*s_F*s_I_f*s_T*(1-EXP(-up_RadSpec!BA23*s_t_v)))/(s_Y_v*up_RadSpec!BA23))),".")</f>
        <v>9.0143481925428208</v>
      </c>
      <c r="BR23" s="115">
        <f>IFERROR(IF(up_Bv!T23=0,".",((s_Ir*s_F*s_I_f*s_T*(1-EXP(-up_RadSpec!BA23*s_t_v)))/(s_Y_v*up_RadSpec!BA23))),".")</f>
        <v>9.0143481925428208</v>
      </c>
      <c r="BS23" s="115">
        <f>IFERROR(IF(up_Bv!U23=0,".",((s_Ir*s_F*s_I_f*s_T*(1-EXP(-up_RadSpec!BA23*s_t_v)))/(s_Y_v*up_RadSpec!BA23))),".")</f>
        <v>9.0143481925428208</v>
      </c>
      <c r="BT23" s="115">
        <f>IFERROR(IF(up_Bv!V23=0,".",((s_Ir*s_F*s_I_f*s_T*(1-EXP(-up_RadSpec!BA23*s_t_v)))/(s_Y_v*up_RadSpec!BA23))),".")</f>
        <v>9.0143481925428208</v>
      </c>
      <c r="BU23" s="115">
        <f>IFERROR(IF(up_Bv!W23=0,".",((s_Ir*s_F*s_I_f*s_T*(1-EXP(-up_RadSpec!BA23*s_t_v)))/(s_Y_v*up_RadSpec!BA23))),".")</f>
        <v>9.0143481925428208</v>
      </c>
      <c r="BV23" s="115">
        <f>IFERROR(IF(up_Bv!X23=0,".",((s_Ir*s_F*s_I_f*s_T*(1-EXP(-up_RadSpec!BA23*s_t_v)))/(s_Y_v*up_RadSpec!BA23))),".")</f>
        <v>9.0143481925428208</v>
      </c>
      <c r="BW23" s="115">
        <f>IFERROR(IF(up_Bv!Y23=0,".",((s_Ir*s_F*s_I_f*s_T*(1-EXP(-up_RadSpec!BA23*s_t_v)))/(s_Y_v*up_RadSpec!BA23))),".")</f>
        <v>9.0143481925428208</v>
      </c>
      <c r="BX23" s="115">
        <f>IFERROR(IF(up_Bv!Z23=0,".",((s_Ir*s_F*s_I_f*s_T*(1-EXP(-up_RadSpec!BA23*s_t_v)))/(s_Y_v*up_RadSpec!BA23))),".")</f>
        <v>9.0143481925428208</v>
      </c>
      <c r="BY23" s="115">
        <f>IFERROR(IF(up_Bv!AA23=0,".",((s_Ir*s_F*s_I_f*s_T*(1-EXP(-up_RadSpec!BA23*s_t_v)))/(s_Y_v*up_RadSpec!BA23))),".")</f>
        <v>9.0143481925428208</v>
      </c>
    </row>
    <row r="24" spans="1:77" x14ac:dyDescent="0.25">
      <c r="A24" s="44" t="s">
        <v>34</v>
      </c>
      <c r="B24" s="42" t="s">
        <v>1071</v>
      </c>
      <c r="C24" s="115">
        <f>IFERROR(IF(up_Bv!C24=0,".",((s_Ir*s_F*up_Bv!C24*(1-EXP(-up_RadSpec!$AZ24*s_t_b)))/(s_P*up_RadSpec!$AZ24))),".")</f>
        <v>993.50362303732038</v>
      </c>
      <c r="D24" s="115">
        <f>IFERROR(IF(up_Bv!D24=0,".",((s_Ir*s_F*up_Bv!D24*(1-EXP(-up_RadSpec!AZ24*s_t_b)))/(s_P*up_RadSpec!AZ24))),".")</f>
        <v>993.50362303732038</v>
      </c>
      <c r="E24" s="115">
        <f>IFERROR(IF(up_Bv!E24=0,".",((s_Ir*s_F*up_Bv!E24*(1-EXP(-up_RadSpec!AZ24*s_t_b)))/(s_P*up_RadSpec!AZ24))),".")</f>
        <v>993.50362303732038</v>
      </c>
      <c r="F24" s="115">
        <f>IFERROR(IF(up_Bv!F24=0,".",((s_Ir*s_F*up_Bv!F24*(1-EXP(-up_RadSpec!AZ24*s_t_b)))/(s_P*up_RadSpec!AZ24))),".")</f>
        <v>993.50362303732038</v>
      </c>
      <c r="G24" s="115">
        <f>IFERROR(IF(up_Bv!G24=0,".",((s_Ir*s_F*up_Bv!G24*(1-EXP(-up_RadSpec!AZ24*s_t_b)))/(s_P*up_RadSpec!AZ24))),".")</f>
        <v>993.50362303732038</v>
      </c>
      <c r="H24" s="115">
        <f>IFERROR(IF(up_Bv!H24=0,".",((s_Ir*s_F*up_Bv!H24*(1-EXP(-up_RadSpec!AZ24*s_t_b)))/(s_P*up_RadSpec!AZ24))),".")</f>
        <v>993.50362303732038</v>
      </c>
      <c r="I24" s="115">
        <f>IFERROR(IF(up_Bv!I24=0,".",((s_Ir*s_F*up_Bv!I24*(1-EXP(-up_RadSpec!AZ24*s_t_b)))/(s_P*up_RadSpec!AZ24))),".")</f>
        <v>993.50362303732038</v>
      </c>
      <c r="J24" s="115">
        <f>IFERROR(IF(up_Bv!J24=0,".",((s_Ir*s_F*up_Bv!J24*(1-EXP(-up_RadSpec!AZ24*s_t_b)))/(s_P*up_RadSpec!AZ24))),".")</f>
        <v>993.50362303732038</v>
      </c>
      <c r="K24" s="115">
        <f>IFERROR(IF(up_Bv!K24=0,".",((s_Ir*s_F*up_Bv!K24*(1-EXP(-up_RadSpec!AZ24*s_t_b)))/(s_P*up_RadSpec!AZ24))),".")</f>
        <v>993.50362303732038</v>
      </c>
      <c r="L24" s="115">
        <f>IFERROR(IF(up_Bv!L24=0,".",((s_Ir*s_F*up_Bv!L24*(1-EXP(-up_RadSpec!AZ24*s_t_b)))/(s_P*up_RadSpec!AZ24))),".")</f>
        <v>993.50362303732038</v>
      </c>
      <c r="M24" s="115">
        <f>IFERROR(IF(up_Bv!M24=0,".",((s_Ir*s_F*up_Bv!M24*(1-EXP(-up_RadSpec!AZ24*s_t_b)))/(s_P*up_RadSpec!AZ24))),".")</f>
        <v>993.50362303732038</v>
      </c>
      <c r="N24" s="115">
        <f>IFERROR(IF(up_Bv!N24=0,".",((s_Ir*s_F*up_Bv!N24*(1-EXP(-up_RadSpec!AZ24*s_t_b)))/(s_P*up_RadSpec!AZ24))),".")</f>
        <v>993.50362303732038</v>
      </c>
      <c r="O24" s="115">
        <f>IFERROR(IF(up_Bv!O24=0,".",((s_Ir*s_F*up_Bv!O24*(1-EXP(-up_RadSpec!AZ24*s_t_b)))/(s_P*up_RadSpec!AZ24))),".")</f>
        <v>993.50362303732038</v>
      </c>
      <c r="P24" s="115">
        <f>IFERROR(IF(up_Bv!P24=0,".",((s_Ir*s_F*up_Bv!P24*(1-EXP(-up_RadSpec!AZ24*s_t_b)))/(s_P*up_RadSpec!AZ24))),".")</f>
        <v>993.50362303732038</v>
      </c>
      <c r="Q24" s="115">
        <f>IFERROR(IF(up_Bv!Q24=0,".",((s_Ir*s_F*up_Bv!Q24*(1-EXP(-up_RadSpec!AZ24*s_t_b)))/(s_P*up_RadSpec!AZ24))),".")</f>
        <v>993.50362303732038</v>
      </c>
      <c r="R24" s="115">
        <f>IFERROR(IF(up_Bv!R24=0,".",((s_Ir*s_F*up_Bv!R24*(1-EXP(-up_RadSpec!AZ24*s_t_b)))/(s_P*up_RadSpec!AZ24))),".")</f>
        <v>993.50362303732038</v>
      </c>
      <c r="S24" s="115">
        <f>IFERROR(IF(up_Bv!S24=0,".",((s_Ir*s_F*up_Bv!S24*(1-EXP(-up_RadSpec!AZ24*s_t_b)))/(s_P*up_RadSpec!AZ24))),".")</f>
        <v>993.50362303732038</v>
      </c>
      <c r="T24" s="115">
        <f>IFERROR(IF(up_Bv!T24=0,".",((s_Ir*s_F*up_Bv!T24*(1-EXP(-up_RadSpec!AZ24*s_t_b)))/(s_P*up_RadSpec!AZ24))),".")</f>
        <v>993.50362303732038</v>
      </c>
      <c r="U24" s="115">
        <f>IFERROR(IF(up_Bv!U24=0,".",((s_Ir*s_F*up_Bv!U24*(1-EXP(-up_RadSpec!AZ24*s_t_b)))/(s_P*up_RadSpec!AZ24))),".")</f>
        <v>993.50362303732038</v>
      </c>
      <c r="V24" s="115">
        <f>IFERROR(IF(up_Bv!V24=0,".",((s_Ir*s_F*up_Bv!V24*(1-EXP(-up_RadSpec!AZ24*s_t_b)))/(s_P*up_RadSpec!AZ24))),".")</f>
        <v>993.50362303732038</v>
      </c>
      <c r="W24" s="115">
        <f>IFERROR(IF(up_Bv!W24=0,".",((s_Ir*s_F*up_Bv!W24*(1-EXP(-up_RadSpec!AZ24*s_t_b)))/(s_P*up_RadSpec!AZ24))),".")</f>
        <v>993.50362303732038</v>
      </c>
      <c r="X24" s="115">
        <f>IFERROR(IF(up_Bv!X24=0,".",((s_Ir*s_F*up_Bv!X24*(1-EXP(-up_RadSpec!AZ24*s_t_b)))/(s_P*up_RadSpec!AZ24))),".")</f>
        <v>993.50362303732038</v>
      </c>
      <c r="Y24" s="115">
        <f>IFERROR(IF(up_Bv!Y24=0,".",((s_Ir*s_F*up_Bv!Y24*(1-EXP(-up_RadSpec!AZ24*s_t_b)))/(s_P*up_RadSpec!AZ24))),".")</f>
        <v>993.50362303732038</v>
      </c>
      <c r="Z24" s="115">
        <f>IFERROR(IF(up_Bv!Z24=0,".",((s_Ir*s_F*up_Bv!Z24*(1-EXP(-up_RadSpec!AZ24*s_t_b)))/(s_P*up_RadSpec!AZ24))),".")</f>
        <v>993.50362303732038</v>
      </c>
      <c r="AA24" s="115">
        <f>IFERROR(IF(up_Bv!AA24=0,".",((s_Ir*s_F*up_Bv!AA24*(1-EXP(-up_RadSpec!AZ24*s_t_b)))/(s_P*up_RadSpec!AZ24))),".")</f>
        <v>993.50362303732038</v>
      </c>
      <c r="AB24" s="115">
        <f>IFERROR(IF(up_Bv!C24=0,".",((s_Ir*s_F*s_MLF_apple*(1-EXP(-up_RadSpec!AZ24*s_t_b)))/(s_P*up_RadSpec!AZ24))),".")</f>
        <v>2.6824597822007652</v>
      </c>
      <c r="AC24" s="115">
        <f>IFERROR(IF(up_Bv!D24=0,".",((s_Ir*s_F*s_MLF_asparagus*(1-EXP(-up_RadSpec!AZ24*s_t_b)))/(s_P*up_RadSpec!AZ24))),".")</f>
        <v>2.6824597822007652</v>
      </c>
      <c r="AD24" s="115">
        <f>IFERROR(IF(up_Bv!E24=0,".",((s_Ir*s_F*s_MLF_beet*(1-EXP(-up_RadSpec!AZ24*s_t_b)))/(s_P*up_RadSpec!AZ24))),".")</f>
        <v>2.6824597822007652</v>
      </c>
      <c r="AE24" s="115">
        <f>IFERROR(IF(up_Bv!F24=0,".",((s_Ir*s_F*s_MLF_berries*(1-EXP(-up_RadSpec!AZ24*s_t_b)))/(s_P*up_RadSpec!AZ24))),".")</f>
        <v>2.6824597822007652</v>
      </c>
      <c r="AF24" s="115">
        <f>IFERROR(IF(up_Bv!G24=0,".",((s_Ir*s_F*s_MLF_broccoli*(1-EXP(-up_RadSpec!AZ24*s_t_b)))/(s_P*up_RadSpec!AZ24))),".")</f>
        <v>2.6824597822007652</v>
      </c>
      <c r="AG24" s="115">
        <f>IFERROR(IF(up_Bv!H24=0,".",((s_Ir*s_F*s_MLF_cabbage*(1-EXP(-up_RadSpec!AZ24*s_t_b)))/(s_P*up_RadSpec!AZ24))),".")</f>
        <v>2.6824597822007652</v>
      </c>
      <c r="AH24" s="115">
        <f>IFERROR(IF(up_Bv!I24=0,".",((s_Ir*s_F*s_MLF_carrot*(1-EXP(-up_RadSpec!AZ24*s_t_b)))/(s_P*up_RadSpec!AZ24))),".")</f>
        <v>2.6824597822007652</v>
      </c>
      <c r="AI24" s="115">
        <f>IFERROR(IF(up_Bv!J24=0,".",((s_Ir*s_F*s_MLF_citrus*(1-EXP(-up_RadSpec!AZ24*s_t_b)))/(s_P*up_RadSpec!AZ24))),".")</f>
        <v>2.6824597822007652</v>
      </c>
      <c r="AJ24" s="115">
        <f>IFERROR(IF(up_Bv!K24=0,".",((s_Ir*s_F*s_MLF_corn*(1-EXP(-up_RadSpec!AZ24*s_t_b)))/(s_P*up_RadSpec!AZ24))),".")</f>
        <v>2.6824597822007652</v>
      </c>
      <c r="AK24" s="115">
        <f>IFERROR(IF(up_Bv!L24=0,".",((s_Ir*s_F*s_MLF_cucumber*(1-EXP(-up_RadSpec!AZ24*s_t_b)))/(s_P*up_RadSpec!AZ24))),".")</f>
        <v>2.6824597822007652</v>
      </c>
      <c r="AL24" s="115">
        <f>IFERROR(IF(up_Bv!M24=0,".",((s_Ir*s_F*s_MLF_lettuce*(1-EXP(-up_RadSpec!AZ24*s_t_b)))/(s_P*up_RadSpec!AZ24))),".")</f>
        <v>2.6824597822007652</v>
      </c>
      <c r="AM24" s="115">
        <f>IFERROR(IF(up_Bv!N24=0,".",((s_Ir*s_F*s_MLF_lima_bean*(1-EXP(-up_RadSpec!AZ24*s_t_b)))/(s_P*up_RadSpec!AZ24))),".")</f>
        <v>2.6824597822007652</v>
      </c>
      <c r="AN24" s="115">
        <f>IFERROR(IF(up_Bv!O24=0,".",((s_Ir*s_F*s_MLF_okra*(1-EXP(-up_RadSpec!AZ24*s_t_b)))/(s_P*up_RadSpec!AZ24))),".")</f>
        <v>2.6824597822007652</v>
      </c>
      <c r="AO24" s="115">
        <f>IFERROR(IF(up_Bv!P24=0,".",((s_Ir*s_F*s_MLF_onion*(1-EXP(-up_RadSpec!AZ24*s_t_b)))/(s_P*up_RadSpec!AZ24))),".")</f>
        <v>2.6824597822007652</v>
      </c>
      <c r="AP24" s="115">
        <f>IFERROR(IF(up_Bv!Q24=0,".",((s_Ir*s_F*s_MLF_peach*(1-EXP(-up_RadSpec!AZ24*s_t_b)))/(s_P*up_RadSpec!AZ24))),".")</f>
        <v>2.6824597822007652</v>
      </c>
      <c r="AQ24" s="115">
        <f>IFERROR(IF(up_Bv!R24=0,".",((s_Ir*s_F*s_MLF_pear*(1-EXP(-up_RadSpec!AZ24*s_t_b)))/(s_P*up_RadSpec!AZ24))),".")</f>
        <v>2.6824597822007652</v>
      </c>
      <c r="AR24" s="115">
        <f>IFERROR(IF(up_Bv!S24=0,".",((s_Ir*s_F*s_MLF_peas*(1-EXP(-up_RadSpec!AZ24*s_t_b)))/(s_P*up_RadSpec!AZ24))),".")</f>
        <v>2.6824597822007652</v>
      </c>
      <c r="AS24" s="115">
        <f>IFERROR(IF(up_Bv!T24=0,".",((s_Ir*s_F*s_MLF_peppers*(1-EXP(-up_RadSpec!AZ24*s_t_b)))/(s_P*up_RadSpec!AZ24))),".")</f>
        <v>2.6824597822007652</v>
      </c>
      <c r="AT24" s="115">
        <f>IFERROR(IF(up_Bv!U24=0,".",((s_Ir*s_F*s_MLF_potato*(1-EXP(-up_RadSpec!AZ24*s_t_b)))/(s_P*up_RadSpec!AZ24))),".")</f>
        <v>2.6824597822007652</v>
      </c>
      <c r="AU24" s="115">
        <f>IFERROR(IF(up_Bv!V24=0,".",((s_Ir*s_F*s_MLF_pumpkin*(1-EXP(-up_RadSpec!AZ24*s_t_b)))/(s_P*up_RadSpec!AZ24))),".")</f>
        <v>2.6824597822007652</v>
      </c>
      <c r="AV24" s="115">
        <f>IFERROR(IF(up_Bv!W24=0,".",((s_Ir*s_F*s_MLF_snap_bean*(1-EXP(-up_RadSpec!AZ24*s_t_b)))/(s_P*up_RadSpec!AZ24))),".")</f>
        <v>2.6824597822007652</v>
      </c>
      <c r="AW24" s="115">
        <f>IFERROR(IF(up_Bv!X24=0,".",((s_Ir*s_F*s_MLF_strawberry*(1-EXP(-up_RadSpec!AZ24*s_t_b)))/(s_P*up_RadSpec!AZ24))),".")</f>
        <v>2.6824597822007652</v>
      </c>
      <c r="AX24" s="115">
        <f>IFERROR(IF(up_Bv!Y24=0,".",((s_Ir*s_F*s_MLF_tomato*(1-EXP(-up_RadSpec!AZ24*s_t_b)))/(s_P*up_RadSpec!AZ24))),".")</f>
        <v>2.6824597822007652</v>
      </c>
      <c r="AY24" s="115">
        <f>IFERROR(IF(up_Bv!Z24=0,".",((s_Ir*s_F*s_MLF_rice*(1-EXP(-up_RadSpec!AZ24*s_t_b)))/(s_P*up_RadSpec!AZ24))),".")</f>
        <v>2.6824597822007652</v>
      </c>
      <c r="AZ24" s="115">
        <f>IFERROR(IF(up_Bv!AA24=0,".",((s_Ir*s_F*s_MLF_cereal*(1-EXP(-up_RadSpec!AZ24*s_t_b)))/(s_P*up_RadSpec!AZ24))),".")</f>
        <v>2.6824597822007652</v>
      </c>
      <c r="BA24" s="115">
        <f>IFERROR(IF(up_Bv!C24=0,".",((s_Ir*s_F*s_I_f*s_T*(1-EXP(-up_RadSpec!BA24*s_t_v)))/(s_Y_v*up_RadSpec!BA24))),".")</f>
        <v>9.0143481925428208</v>
      </c>
      <c r="BB24" s="115">
        <f>IFERROR(IF(up_Bv!D24=0,".",((s_Ir*s_F*s_I_f*s_T*(1-EXP(-up_RadSpec!BA24*s_t_v)))/(s_Y_v*up_RadSpec!BA24))),".")</f>
        <v>9.0143481925428208</v>
      </c>
      <c r="BC24" s="115">
        <f>IFERROR(IF(up_Bv!E24=0,".",((s_Ir*s_F*s_I_f*s_T*(1-EXP(-up_RadSpec!BA24*s_t_v)))/(s_Y_v*up_RadSpec!BA24))),".")</f>
        <v>9.0143481925428208</v>
      </c>
      <c r="BD24" s="115">
        <f>IFERROR(IF(up_Bv!F24=0,".",((s_Ir*s_F*s_I_f*s_T*(1-EXP(-up_RadSpec!BA24*s_t_v)))/(s_Y_v*up_RadSpec!BA24))),".")</f>
        <v>9.0143481925428208</v>
      </c>
      <c r="BE24" s="115">
        <f>IFERROR(IF(up_Bv!G24=0,".",((s_Ir*s_F*s_I_f*s_T*(1-EXP(-up_RadSpec!BA24*s_t_v)))/(s_Y_v*up_RadSpec!BA24))),".")</f>
        <v>9.0143481925428208</v>
      </c>
      <c r="BF24" s="115">
        <f>IFERROR(IF(up_Bv!H24=0,".",((s_Ir*s_F*s_I_f*s_T*(1-EXP(-up_RadSpec!BA24*s_t_v)))/(s_Y_v*up_RadSpec!BA24))),".")</f>
        <v>9.0143481925428208</v>
      </c>
      <c r="BG24" s="115">
        <f>IFERROR(IF(up_Bv!I24=0,".",((s_Ir*s_F*s_I_f*s_T*(1-EXP(-up_RadSpec!BA24*s_t_v)))/(s_Y_v*up_RadSpec!BA24))),".")</f>
        <v>9.0143481925428208</v>
      </c>
      <c r="BH24" s="115">
        <f>IFERROR(IF(up_Bv!J24=0,".",((s_Ir*s_F*s_I_f*s_T*(1-EXP(-up_RadSpec!BA24*s_t_v)))/(s_Y_v*up_RadSpec!BA24))),".")</f>
        <v>9.0143481925428208</v>
      </c>
      <c r="BI24" s="115">
        <f>IFERROR(IF(up_Bv!K24=0,".",((s_Ir*s_F*s_I_f*s_T*(1-EXP(-up_RadSpec!BA24*s_t_v)))/(s_Y_v*up_RadSpec!BA24))),".")</f>
        <v>9.0143481925428208</v>
      </c>
      <c r="BJ24" s="115">
        <f>IFERROR(IF(up_Bv!L24=0,".",((s_Ir*s_F*s_I_f*s_T*(1-EXP(-up_RadSpec!BA24*s_t_v)))/(s_Y_v*up_RadSpec!BA24))),".")</f>
        <v>9.0143481925428208</v>
      </c>
      <c r="BK24" s="115">
        <f>IFERROR(IF(up_Bv!M24=0,".",((s_Ir*s_F*s_I_f*s_T*(1-EXP(-up_RadSpec!BA24*s_t_v)))/(s_Y_v*up_RadSpec!BA24))),".")</f>
        <v>9.0143481925428208</v>
      </c>
      <c r="BL24" s="115">
        <f>IFERROR(IF(up_Bv!N24=0,".",((s_Ir*s_F*s_I_f*s_T*(1-EXP(-up_RadSpec!BA24*s_t_v)))/(s_Y_v*up_RadSpec!BA24))),".")</f>
        <v>9.0143481925428208</v>
      </c>
      <c r="BM24" s="115">
        <f>IFERROR(IF(up_Bv!O24=0,".",((s_Ir*s_F*s_I_f*s_T*(1-EXP(-up_RadSpec!BA24*s_t_v)))/(s_Y_v*up_RadSpec!BA24))),".")</f>
        <v>9.0143481925428208</v>
      </c>
      <c r="BN24" s="115">
        <f>IFERROR(IF(up_Bv!P24=0,".",((s_Ir*s_F*s_I_f*s_T*(1-EXP(-up_RadSpec!BA24*s_t_v)))/(s_Y_v*up_RadSpec!BA24))),".")</f>
        <v>9.0143481925428208</v>
      </c>
      <c r="BO24" s="115">
        <f>IFERROR(IF(up_Bv!Q24=0,".",((s_Ir*s_F*s_I_f*s_T*(1-EXP(-up_RadSpec!BA24*s_t_v)))/(s_Y_v*up_RadSpec!BA24))),".")</f>
        <v>9.0143481925428208</v>
      </c>
      <c r="BP24" s="115">
        <f>IFERROR(IF(up_Bv!R24=0,".",((s_Ir*s_F*s_I_f*s_T*(1-EXP(-up_RadSpec!BA24*s_t_v)))/(s_Y_v*up_RadSpec!BA24))),".")</f>
        <v>9.0143481925428208</v>
      </c>
      <c r="BQ24" s="115">
        <f>IFERROR(IF(up_Bv!S24=0,".",((s_Ir*s_F*s_I_f*s_T*(1-EXP(-up_RadSpec!BA24*s_t_v)))/(s_Y_v*up_RadSpec!BA24))),".")</f>
        <v>9.0143481925428208</v>
      </c>
      <c r="BR24" s="115">
        <f>IFERROR(IF(up_Bv!T24=0,".",((s_Ir*s_F*s_I_f*s_T*(1-EXP(-up_RadSpec!BA24*s_t_v)))/(s_Y_v*up_RadSpec!BA24))),".")</f>
        <v>9.0143481925428208</v>
      </c>
      <c r="BS24" s="115">
        <f>IFERROR(IF(up_Bv!U24=0,".",((s_Ir*s_F*s_I_f*s_T*(1-EXP(-up_RadSpec!BA24*s_t_v)))/(s_Y_v*up_RadSpec!BA24))),".")</f>
        <v>9.0143481925428208</v>
      </c>
      <c r="BT24" s="115">
        <f>IFERROR(IF(up_Bv!V24=0,".",((s_Ir*s_F*s_I_f*s_T*(1-EXP(-up_RadSpec!BA24*s_t_v)))/(s_Y_v*up_RadSpec!BA24))),".")</f>
        <v>9.0143481925428208</v>
      </c>
      <c r="BU24" s="115">
        <f>IFERROR(IF(up_Bv!W24=0,".",((s_Ir*s_F*s_I_f*s_T*(1-EXP(-up_RadSpec!BA24*s_t_v)))/(s_Y_v*up_RadSpec!BA24))),".")</f>
        <v>9.0143481925428208</v>
      </c>
      <c r="BV24" s="115">
        <f>IFERROR(IF(up_Bv!X24=0,".",((s_Ir*s_F*s_I_f*s_T*(1-EXP(-up_RadSpec!BA24*s_t_v)))/(s_Y_v*up_RadSpec!BA24))),".")</f>
        <v>9.0143481925428208</v>
      </c>
      <c r="BW24" s="115">
        <f>IFERROR(IF(up_Bv!Y24=0,".",((s_Ir*s_F*s_I_f*s_T*(1-EXP(-up_RadSpec!BA24*s_t_v)))/(s_Y_v*up_RadSpec!BA24))),".")</f>
        <v>9.0143481925428208</v>
      </c>
      <c r="BX24" s="115">
        <f>IFERROR(IF(up_Bv!Z24=0,".",((s_Ir*s_F*s_I_f*s_T*(1-EXP(-up_RadSpec!BA24*s_t_v)))/(s_Y_v*up_RadSpec!BA24))),".")</f>
        <v>9.0143481925428208</v>
      </c>
      <c r="BY24" s="115">
        <f>IFERROR(IF(up_Bv!AA24=0,".",((s_Ir*s_F*s_I_f*s_T*(1-EXP(-up_RadSpec!BA24*s_t_v)))/(s_Y_v*up_RadSpec!BA24))),".")</f>
        <v>9.0143481925428208</v>
      </c>
    </row>
    <row r="25" spans="1:77" x14ac:dyDescent="0.25">
      <c r="A25" s="46" t="s">
        <v>35</v>
      </c>
      <c r="B25" s="42" t="s">
        <v>349</v>
      </c>
      <c r="C25" s="115">
        <f>IFERROR(IF(up_Bv!C25=0,".",((s_Ir*s_F*up_Bv!C25*(1-EXP(-up_RadSpec!$AZ25*s_t_b)))/(s_P*up_RadSpec!$AZ25))),".")</f>
        <v>993.50362303732038</v>
      </c>
      <c r="D25" s="115">
        <f>IFERROR(IF(up_Bv!D25=0,".",((s_Ir*s_F*up_Bv!D25*(1-EXP(-up_RadSpec!AZ25*s_t_b)))/(s_P*up_RadSpec!AZ25))),".")</f>
        <v>993.50362303732038</v>
      </c>
      <c r="E25" s="115">
        <f>IFERROR(IF(up_Bv!E25=0,".",((s_Ir*s_F*up_Bv!E25*(1-EXP(-up_RadSpec!AZ25*s_t_b)))/(s_P*up_RadSpec!AZ25))),".")</f>
        <v>993.50362303732038</v>
      </c>
      <c r="F25" s="115">
        <f>IFERROR(IF(up_Bv!F25=0,".",((s_Ir*s_F*up_Bv!F25*(1-EXP(-up_RadSpec!AZ25*s_t_b)))/(s_P*up_RadSpec!AZ25))),".")</f>
        <v>993.50362303732038</v>
      </c>
      <c r="G25" s="115">
        <f>IFERROR(IF(up_Bv!G25=0,".",((s_Ir*s_F*up_Bv!G25*(1-EXP(-up_RadSpec!AZ25*s_t_b)))/(s_P*up_RadSpec!AZ25))),".")</f>
        <v>993.50362303732038</v>
      </c>
      <c r="H25" s="115">
        <f>IFERROR(IF(up_Bv!H25=0,".",((s_Ir*s_F*up_Bv!H25*(1-EXP(-up_RadSpec!AZ25*s_t_b)))/(s_P*up_RadSpec!AZ25))),".")</f>
        <v>993.50362303732038</v>
      </c>
      <c r="I25" s="115">
        <f>IFERROR(IF(up_Bv!I25=0,".",((s_Ir*s_F*up_Bv!I25*(1-EXP(-up_RadSpec!AZ25*s_t_b)))/(s_P*up_RadSpec!AZ25))),".")</f>
        <v>993.50362303732038</v>
      </c>
      <c r="J25" s="115">
        <f>IFERROR(IF(up_Bv!J25=0,".",((s_Ir*s_F*up_Bv!J25*(1-EXP(-up_RadSpec!AZ25*s_t_b)))/(s_P*up_RadSpec!AZ25))),".")</f>
        <v>993.50362303732038</v>
      </c>
      <c r="K25" s="115">
        <f>IFERROR(IF(up_Bv!K25=0,".",((s_Ir*s_F*up_Bv!K25*(1-EXP(-up_RadSpec!AZ25*s_t_b)))/(s_P*up_RadSpec!AZ25))),".")</f>
        <v>993.50362303732038</v>
      </c>
      <c r="L25" s="115">
        <f>IFERROR(IF(up_Bv!L25=0,".",((s_Ir*s_F*up_Bv!L25*(1-EXP(-up_RadSpec!AZ25*s_t_b)))/(s_P*up_RadSpec!AZ25))),".")</f>
        <v>993.50362303732038</v>
      </c>
      <c r="M25" s="115">
        <f>IFERROR(IF(up_Bv!M25=0,".",((s_Ir*s_F*up_Bv!M25*(1-EXP(-up_RadSpec!AZ25*s_t_b)))/(s_P*up_RadSpec!AZ25))),".")</f>
        <v>993.50362303732038</v>
      </c>
      <c r="N25" s="115">
        <f>IFERROR(IF(up_Bv!N25=0,".",((s_Ir*s_F*up_Bv!N25*(1-EXP(-up_RadSpec!AZ25*s_t_b)))/(s_P*up_RadSpec!AZ25))),".")</f>
        <v>993.50362303732038</v>
      </c>
      <c r="O25" s="115">
        <f>IFERROR(IF(up_Bv!O25=0,".",((s_Ir*s_F*up_Bv!O25*(1-EXP(-up_RadSpec!AZ25*s_t_b)))/(s_P*up_RadSpec!AZ25))),".")</f>
        <v>993.50362303732038</v>
      </c>
      <c r="P25" s="115">
        <f>IFERROR(IF(up_Bv!P25=0,".",((s_Ir*s_F*up_Bv!P25*(1-EXP(-up_RadSpec!AZ25*s_t_b)))/(s_P*up_RadSpec!AZ25))),".")</f>
        <v>993.50362303732038</v>
      </c>
      <c r="Q25" s="115">
        <f>IFERROR(IF(up_Bv!Q25=0,".",((s_Ir*s_F*up_Bv!Q25*(1-EXP(-up_RadSpec!AZ25*s_t_b)))/(s_P*up_RadSpec!AZ25))),".")</f>
        <v>993.50362303732038</v>
      </c>
      <c r="R25" s="115">
        <f>IFERROR(IF(up_Bv!R25=0,".",((s_Ir*s_F*up_Bv!R25*(1-EXP(-up_RadSpec!AZ25*s_t_b)))/(s_P*up_RadSpec!AZ25))),".")</f>
        <v>993.50362303732038</v>
      </c>
      <c r="S25" s="115">
        <f>IFERROR(IF(up_Bv!S25=0,".",((s_Ir*s_F*up_Bv!S25*(1-EXP(-up_RadSpec!AZ25*s_t_b)))/(s_P*up_RadSpec!AZ25))),".")</f>
        <v>993.50362303732038</v>
      </c>
      <c r="T25" s="115">
        <f>IFERROR(IF(up_Bv!T25=0,".",((s_Ir*s_F*up_Bv!T25*(1-EXP(-up_RadSpec!AZ25*s_t_b)))/(s_P*up_RadSpec!AZ25))),".")</f>
        <v>993.50362303732038</v>
      </c>
      <c r="U25" s="115">
        <f>IFERROR(IF(up_Bv!U25=0,".",((s_Ir*s_F*up_Bv!U25*(1-EXP(-up_RadSpec!AZ25*s_t_b)))/(s_P*up_RadSpec!AZ25))),".")</f>
        <v>993.50362303732038</v>
      </c>
      <c r="V25" s="115">
        <f>IFERROR(IF(up_Bv!V25=0,".",((s_Ir*s_F*up_Bv!V25*(1-EXP(-up_RadSpec!AZ25*s_t_b)))/(s_P*up_RadSpec!AZ25))),".")</f>
        <v>993.50362303732038</v>
      </c>
      <c r="W25" s="115">
        <f>IFERROR(IF(up_Bv!W25=0,".",((s_Ir*s_F*up_Bv!W25*(1-EXP(-up_RadSpec!AZ25*s_t_b)))/(s_P*up_RadSpec!AZ25))),".")</f>
        <v>993.50362303732038</v>
      </c>
      <c r="X25" s="115">
        <f>IFERROR(IF(up_Bv!X25=0,".",((s_Ir*s_F*up_Bv!X25*(1-EXP(-up_RadSpec!AZ25*s_t_b)))/(s_P*up_RadSpec!AZ25))),".")</f>
        <v>993.50362303732038</v>
      </c>
      <c r="Y25" s="115">
        <f>IFERROR(IF(up_Bv!Y25=0,".",((s_Ir*s_F*up_Bv!Y25*(1-EXP(-up_RadSpec!AZ25*s_t_b)))/(s_P*up_RadSpec!AZ25))),".")</f>
        <v>993.50362303732038</v>
      </c>
      <c r="Z25" s="115">
        <f>IFERROR(IF(up_Bv!Z25=0,".",((s_Ir*s_F*up_Bv!Z25*(1-EXP(-up_RadSpec!AZ25*s_t_b)))/(s_P*up_RadSpec!AZ25))),".")</f>
        <v>993.50362303732038</v>
      </c>
      <c r="AA25" s="115">
        <f>IFERROR(IF(up_Bv!AA25=0,".",((s_Ir*s_F*up_Bv!AA25*(1-EXP(-up_RadSpec!AZ25*s_t_b)))/(s_P*up_RadSpec!AZ25))),".")</f>
        <v>993.50362303732038</v>
      </c>
      <c r="AB25" s="115">
        <f>IFERROR(IF(up_Bv!C25=0,".",((s_Ir*s_F*s_MLF_apple*(1-EXP(-up_RadSpec!AZ25*s_t_b)))/(s_P*up_RadSpec!AZ25))),".")</f>
        <v>2.6824597822007652</v>
      </c>
      <c r="AC25" s="115">
        <f>IFERROR(IF(up_Bv!D25=0,".",((s_Ir*s_F*s_MLF_asparagus*(1-EXP(-up_RadSpec!AZ25*s_t_b)))/(s_P*up_RadSpec!AZ25))),".")</f>
        <v>2.6824597822007652</v>
      </c>
      <c r="AD25" s="115">
        <f>IFERROR(IF(up_Bv!E25=0,".",((s_Ir*s_F*s_MLF_beet*(1-EXP(-up_RadSpec!AZ25*s_t_b)))/(s_P*up_RadSpec!AZ25))),".")</f>
        <v>2.6824597822007652</v>
      </c>
      <c r="AE25" s="115">
        <f>IFERROR(IF(up_Bv!F25=0,".",((s_Ir*s_F*s_MLF_berries*(1-EXP(-up_RadSpec!AZ25*s_t_b)))/(s_P*up_RadSpec!AZ25))),".")</f>
        <v>2.6824597822007652</v>
      </c>
      <c r="AF25" s="115">
        <f>IFERROR(IF(up_Bv!G25=0,".",((s_Ir*s_F*s_MLF_broccoli*(1-EXP(-up_RadSpec!AZ25*s_t_b)))/(s_P*up_RadSpec!AZ25))),".")</f>
        <v>2.6824597822007652</v>
      </c>
      <c r="AG25" s="115">
        <f>IFERROR(IF(up_Bv!H25=0,".",((s_Ir*s_F*s_MLF_cabbage*(1-EXP(-up_RadSpec!AZ25*s_t_b)))/(s_P*up_RadSpec!AZ25))),".")</f>
        <v>2.6824597822007652</v>
      </c>
      <c r="AH25" s="115">
        <f>IFERROR(IF(up_Bv!I25=0,".",((s_Ir*s_F*s_MLF_carrot*(1-EXP(-up_RadSpec!AZ25*s_t_b)))/(s_P*up_RadSpec!AZ25))),".")</f>
        <v>2.6824597822007652</v>
      </c>
      <c r="AI25" s="115">
        <f>IFERROR(IF(up_Bv!J25=0,".",((s_Ir*s_F*s_MLF_citrus*(1-EXP(-up_RadSpec!AZ25*s_t_b)))/(s_P*up_RadSpec!AZ25))),".")</f>
        <v>2.6824597822007652</v>
      </c>
      <c r="AJ25" s="115">
        <f>IFERROR(IF(up_Bv!K25=0,".",((s_Ir*s_F*s_MLF_corn*(1-EXP(-up_RadSpec!AZ25*s_t_b)))/(s_P*up_RadSpec!AZ25))),".")</f>
        <v>2.6824597822007652</v>
      </c>
      <c r="AK25" s="115">
        <f>IFERROR(IF(up_Bv!L25=0,".",((s_Ir*s_F*s_MLF_cucumber*(1-EXP(-up_RadSpec!AZ25*s_t_b)))/(s_P*up_RadSpec!AZ25))),".")</f>
        <v>2.6824597822007652</v>
      </c>
      <c r="AL25" s="115">
        <f>IFERROR(IF(up_Bv!M25=0,".",((s_Ir*s_F*s_MLF_lettuce*(1-EXP(-up_RadSpec!AZ25*s_t_b)))/(s_P*up_RadSpec!AZ25))),".")</f>
        <v>2.6824597822007652</v>
      </c>
      <c r="AM25" s="115">
        <f>IFERROR(IF(up_Bv!N25=0,".",((s_Ir*s_F*s_MLF_lima_bean*(1-EXP(-up_RadSpec!AZ25*s_t_b)))/(s_P*up_RadSpec!AZ25))),".")</f>
        <v>2.6824597822007652</v>
      </c>
      <c r="AN25" s="115">
        <f>IFERROR(IF(up_Bv!O25=0,".",((s_Ir*s_F*s_MLF_okra*(1-EXP(-up_RadSpec!AZ25*s_t_b)))/(s_P*up_RadSpec!AZ25))),".")</f>
        <v>2.6824597822007652</v>
      </c>
      <c r="AO25" s="115">
        <f>IFERROR(IF(up_Bv!P25=0,".",((s_Ir*s_F*s_MLF_onion*(1-EXP(-up_RadSpec!AZ25*s_t_b)))/(s_P*up_RadSpec!AZ25))),".")</f>
        <v>2.6824597822007652</v>
      </c>
      <c r="AP25" s="115">
        <f>IFERROR(IF(up_Bv!Q25=0,".",((s_Ir*s_F*s_MLF_peach*(1-EXP(-up_RadSpec!AZ25*s_t_b)))/(s_P*up_RadSpec!AZ25))),".")</f>
        <v>2.6824597822007652</v>
      </c>
      <c r="AQ25" s="115">
        <f>IFERROR(IF(up_Bv!R25=0,".",((s_Ir*s_F*s_MLF_pear*(1-EXP(-up_RadSpec!AZ25*s_t_b)))/(s_P*up_RadSpec!AZ25))),".")</f>
        <v>2.6824597822007652</v>
      </c>
      <c r="AR25" s="115">
        <f>IFERROR(IF(up_Bv!S25=0,".",((s_Ir*s_F*s_MLF_peas*(1-EXP(-up_RadSpec!AZ25*s_t_b)))/(s_P*up_RadSpec!AZ25))),".")</f>
        <v>2.6824597822007652</v>
      </c>
      <c r="AS25" s="115">
        <f>IFERROR(IF(up_Bv!T25=0,".",((s_Ir*s_F*s_MLF_peppers*(1-EXP(-up_RadSpec!AZ25*s_t_b)))/(s_P*up_RadSpec!AZ25))),".")</f>
        <v>2.6824597822007652</v>
      </c>
      <c r="AT25" s="115">
        <f>IFERROR(IF(up_Bv!U25=0,".",((s_Ir*s_F*s_MLF_potato*(1-EXP(-up_RadSpec!AZ25*s_t_b)))/(s_P*up_RadSpec!AZ25))),".")</f>
        <v>2.6824597822007652</v>
      </c>
      <c r="AU25" s="115">
        <f>IFERROR(IF(up_Bv!V25=0,".",((s_Ir*s_F*s_MLF_pumpkin*(1-EXP(-up_RadSpec!AZ25*s_t_b)))/(s_P*up_RadSpec!AZ25))),".")</f>
        <v>2.6824597822007652</v>
      </c>
      <c r="AV25" s="115">
        <f>IFERROR(IF(up_Bv!W25=0,".",((s_Ir*s_F*s_MLF_snap_bean*(1-EXP(-up_RadSpec!AZ25*s_t_b)))/(s_P*up_RadSpec!AZ25))),".")</f>
        <v>2.6824597822007652</v>
      </c>
      <c r="AW25" s="115">
        <f>IFERROR(IF(up_Bv!X25=0,".",((s_Ir*s_F*s_MLF_strawberry*(1-EXP(-up_RadSpec!AZ25*s_t_b)))/(s_P*up_RadSpec!AZ25))),".")</f>
        <v>2.6824597822007652</v>
      </c>
      <c r="AX25" s="115">
        <f>IFERROR(IF(up_Bv!Y25=0,".",((s_Ir*s_F*s_MLF_tomato*(1-EXP(-up_RadSpec!AZ25*s_t_b)))/(s_P*up_RadSpec!AZ25))),".")</f>
        <v>2.6824597822007652</v>
      </c>
      <c r="AY25" s="115">
        <f>IFERROR(IF(up_Bv!Z25=0,".",((s_Ir*s_F*s_MLF_rice*(1-EXP(-up_RadSpec!AZ25*s_t_b)))/(s_P*up_RadSpec!AZ25))),".")</f>
        <v>2.6824597822007652</v>
      </c>
      <c r="AZ25" s="115">
        <f>IFERROR(IF(up_Bv!AA25=0,".",((s_Ir*s_F*s_MLF_cereal*(1-EXP(-up_RadSpec!AZ25*s_t_b)))/(s_P*up_RadSpec!AZ25))),".")</f>
        <v>2.6824597822007652</v>
      </c>
      <c r="BA25" s="115">
        <f>IFERROR(IF(up_Bv!C25=0,".",((s_Ir*s_F*s_I_f*s_T*(1-EXP(-up_RadSpec!BA25*s_t_v)))/(s_Y_v*up_RadSpec!BA25))),".")</f>
        <v>9.0143481925428208</v>
      </c>
      <c r="BB25" s="115">
        <f>IFERROR(IF(up_Bv!D25=0,".",((s_Ir*s_F*s_I_f*s_T*(1-EXP(-up_RadSpec!BA25*s_t_v)))/(s_Y_v*up_RadSpec!BA25))),".")</f>
        <v>9.0143481925428208</v>
      </c>
      <c r="BC25" s="115">
        <f>IFERROR(IF(up_Bv!E25=0,".",((s_Ir*s_F*s_I_f*s_T*(1-EXP(-up_RadSpec!BA25*s_t_v)))/(s_Y_v*up_RadSpec!BA25))),".")</f>
        <v>9.0143481925428208</v>
      </c>
      <c r="BD25" s="115">
        <f>IFERROR(IF(up_Bv!F25=0,".",((s_Ir*s_F*s_I_f*s_T*(1-EXP(-up_RadSpec!BA25*s_t_v)))/(s_Y_v*up_RadSpec!BA25))),".")</f>
        <v>9.0143481925428208</v>
      </c>
      <c r="BE25" s="115">
        <f>IFERROR(IF(up_Bv!G25=0,".",((s_Ir*s_F*s_I_f*s_T*(1-EXP(-up_RadSpec!BA25*s_t_v)))/(s_Y_v*up_RadSpec!BA25))),".")</f>
        <v>9.0143481925428208</v>
      </c>
      <c r="BF25" s="115">
        <f>IFERROR(IF(up_Bv!H25=0,".",((s_Ir*s_F*s_I_f*s_T*(1-EXP(-up_RadSpec!BA25*s_t_v)))/(s_Y_v*up_RadSpec!BA25))),".")</f>
        <v>9.0143481925428208</v>
      </c>
      <c r="BG25" s="115">
        <f>IFERROR(IF(up_Bv!I25=0,".",((s_Ir*s_F*s_I_f*s_T*(1-EXP(-up_RadSpec!BA25*s_t_v)))/(s_Y_v*up_RadSpec!BA25))),".")</f>
        <v>9.0143481925428208</v>
      </c>
      <c r="BH25" s="115">
        <f>IFERROR(IF(up_Bv!J25=0,".",((s_Ir*s_F*s_I_f*s_T*(1-EXP(-up_RadSpec!BA25*s_t_v)))/(s_Y_v*up_RadSpec!BA25))),".")</f>
        <v>9.0143481925428208</v>
      </c>
      <c r="BI25" s="115">
        <f>IFERROR(IF(up_Bv!K25=0,".",((s_Ir*s_F*s_I_f*s_T*(1-EXP(-up_RadSpec!BA25*s_t_v)))/(s_Y_v*up_RadSpec!BA25))),".")</f>
        <v>9.0143481925428208</v>
      </c>
      <c r="BJ25" s="115">
        <f>IFERROR(IF(up_Bv!L25=0,".",((s_Ir*s_F*s_I_f*s_T*(1-EXP(-up_RadSpec!BA25*s_t_v)))/(s_Y_v*up_RadSpec!BA25))),".")</f>
        <v>9.0143481925428208</v>
      </c>
      <c r="BK25" s="115">
        <f>IFERROR(IF(up_Bv!M25=0,".",((s_Ir*s_F*s_I_f*s_T*(1-EXP(-up_RadSpec!BA25*s_t_v)))/(s_Y_v*up_RadSpec!BA25))),".")</f>
        <v>9.0143481925428208</v>
      </c>
      <c r="BL25" s="115">
        <f>IFERROR(IF(up_Bv!N25=0,".",((s_Ir*s_F*s_I_f*s_T*(1-EXP(-up_RadSpec!BA25*s_t_v)))/(s_Y_v*up_RadSpec!BA25))),".")</f>
        <v>9.0143481925428208</v>
      </c>
      <c r="BM25" s="115">
        <f>IFERROR(IF(up_Bv!O25=0,".",((s_Ir*s_F*s_I_f*s_T*(1-EXP(-up_RadSpec!BA25*s_t_v)))/(s_Y_v*up_RadSpec!BA25))),".")</f>
        <v>9.0143481925428208</v>
      </c>
      <c r="BN25" s="115">
        <f>IFERROR(IF(up_Bv!P25=0,".",((s_Ir*s_F*s_I_f*s_T*(1-EXP(-up_RadSpec!BA25*s_t_v)))/(s_Y_v*up_RadSpec!BA25))),".")</f>
        <v>9.0143481925428208</v>
      </c>
      <c r="BO25" s="115">
        <f>IFERROR(IF(up_Bv!Q25=0,".",((s_Ir*s_F*s_I_f*s_T*(1-EXP(-up_RadSpec!BA25*s_t_v)))/(s_Y_v*up_RadSpec!BA25))),".")</f>
        <v>9.0143481925428208</v>
      </c>
      <c r="BP25" s="115">
        <f>IFERROR(IF(up_Bv!R25=0,".",((s_Ir*s_F*s_I_f*s_T*(1-EXP(-up_RadSpec!BA25*s_t_v)))/(s_Y_v*up_RadSpec!BA25))),".")</f>
        <v>9.0143481925428208</v>
      </c>
      <c r="BQ25" s="115">
        <f>IFERROR(IF(up_Bv!S25=0,".",((s_Ir*s_F*s_I_f*s_T*(1-EXP(-up_RadSpec!BA25*s_t_v)))/(s_Y_v*up_RadSpec!BA25))),".")</f>
        <v>9.0143481925428208</v>
      </c>
      <c r="BR25" s="115">
        <f>IFERROR(IF(up_Bv!T25=0,".",((s_Ir*s_F*s_I_f*s_T*(1-EXP(-up_RadSpec!BA25*s_t_v)))/(s_Y_v*up_RadSpec!BA25))),".")</f>
        <v>9.0143481925428208</v>
      </c>
      <c r="BS25" s="115">
        <f>IFERROR(IF(up_Bv!U25=0,".",((s_Ir*s_F*s_I_f*s_T*(1-EXP(-up_RadSpec!BA25*s_t_v)))/(s_Y_v*up_RadSpec!BA25))),".")</f>
        <v>9.0143481925428208</v>
      </c>
      <c r="BT25" s="115">
        <f>IFERROR(IF(up_Bv!V25=0,".",((s_Ir*s_F*s_I_f*s_T*(1-EXP(-up_RadSpec!BA25*s_t_v)))/(s_Y_v*up_RadSpec!BA25))),".")</f>
        <v>9.0143481925428208</v>
      </c>
      <c r="BU25" s="115">
        <f>IFERROR(IF(up_Bv!W25=0,".",((s_Ir*s_F*s_I_f*s_T*(1-EXP(-up_RadSpec!BA25*s_t_v)))/(s_Y_v*up_RadSpec!BA25))),".")</f>
        <v>9.0143481925428208</v>
      </c>
      <c r="BV25" s="115">
        <f>IFERROR(IF(up_Bv!X25=0,".",((s_Ir*s_F*s_I_f*s_T*(1-EXP(-up_RadSpec!BA25*s_t_v)))/(s_Y_v*up_RadSpec!BA25))),".")</f>
        <v>9.0143481925428208</v>
      </c>
      <c r="BW25" s="115">
        <f>IFERROR(IF(up_Bv!Y25=0,".",((s_Ir*s_F*s_I_f*s_T*(1-EXP(-up_RadSpec!BA25*s_t_v)))/(s_Y_v*up_RadSpec!BA25))),".")</f>
        <v>9.0143481925428208</v>
      </c>
      <c r="BX25" s="115">
        <f>IFERROR(IF(up_Bv!Z25=0,".",((s_Ir*s_F*s_I_f*s_T*(1-EXP(-up_RadSpec!BA25*s_t_v)))/(s_Y_v*up_RadSpec!BA25))),".")</f>
        <v>9.0143481925428208</v>
      </c>
      <c r="BY25" s="115">
        <f>IFERROR(IF(up_Bv!AA25=0,".",((s_Ir*s_F*s_I_f*s_T*(1-EXP(-up_RadSpec!BA25*s_t_v)))/(s_Y_v*up_RadSpec!BA25))),".")</f>
        <v>9.0143481925428208</v>
      </c>
    </row>
    <row r="26" spans="1:77" x14ac:dyDescent="0.25">
      <c r="A26" s="44" t="s">
        <v>36</v>
      </c>
      <c r="B26" s="42" t="s">
        <v>1071</v>
      </c>
      <c r="C26" s="115">
        <f>IFERROR(IF(up_Bv!C26=0,".",((s_Ir*s_F*up_Bv!C26*(1-EXP(-up_RadSpec!$AZ26*s_t_b)))/(s_P*up_RadSpec!$AZ26))),".")</f>
        <v>993.50362303732038</v>
      </c>
      <c r="D26" s="115">
        <f>IFERROR(IF(up_Bv!D26=0,".",((s_Ir*s_F*up_Bv!D26*(1-EXP(-up_RadSpec!AZ26*s_t_b)))/(s_P*up_RadSpec!AZ26))),".")</f>
        <v>993.50362303732038</v>
      </c>
      <c r="E26" s="115">
        <f>IFERROR(IF(up_Bv!E26=0,".",((s_Ir*s_F*up_Bv!E26*(1-EXP(-up_RadSpec!AZ26*s_t_b)))/(s_P*up_RadSpec!AZ26))),".")</f>
        <v>993.50362303732038</v>
      </c>
      <c r="F26" s="115">
        <f>IFERROR(IF(up_Bv!F26=0,".",((s_Ir*s_F*up_Bv!F26*(1-EXP(-up_RadSpec!AZ26*s_t_b)))/(s_P*up_RadSpec!AZ26))),".")</f>
        <v>993.50362303732038</v>
      </c>
      <c r="G26" s="115">
        <f>IFERROR(IF(up_Bv!G26=0,".",((s_Ir*s_F*up_Bv!G26*(1-EXP(-up_RadSpec!AZ26*s_t_b)))/(s_P*up_RadSpec!AZ26))),".")</f>
        <v>993.50362303732038</v>
      </c>
      <c r="H26" s="115">
        <f>IFERROR(IF(up_Bv!H26=0,".",((s_Ir*s_F*up_Bv!H26*(1-EXP(-up_RadSpec!AZ26*s_t_b)))/(s_P*up_RadSpec!AZ26))),".")</f>
        <v>993.50362303732038</v>
      </c>
      <c r="I26" s="115">
        <f>IFERROR(IF(up_Bv!I26=0,".",((s_Ir*s_F*up_Bv!I26*(1-EXP(-up_RadSpec!AZ26*s_t_b)))/(s_P*up_RadSpec!AZ26))),".")</f>
        <v>993.50362303732038</v>
      </c>
      <c r="J26" s="115">
        <f>IFERROR(IF(up_Bv!J26=0,".",((s_Ir*s_F*up_Bv!J26*(1-EXP(-up_RadSpec!AZ26*s_t_b)))/(s_P*up_RadSpec!AZ26))),".")</f>
        <v>993.50362303732038</v>
      </c>
      <c r="K26" s="115">
        <f>IFERROR(IF(up_Bv!K26=0,".",((s_Ir*s_F*up_Bv!K26*(1-EXP(-up_RadSpec!AZ26*s_t_b)))/(s_P*up_RadSpec!AZ26))),".")</f>
        <v>993.50362303732038</v>
      </c>
      <c r="L26" s="115">
        <f>IFERROR(IF(up_Bv!L26=0,".",((s_Ir*s_F*up_Bv!L26*(1-EXP(-up_RadSpec!AZ26*s_t_b)))/(s_P*up_RadSpec!AZ26))),".")</f>
        <v>993.50362303732038</v>
      </c>
      <c r="M26" s="115">
        <f>IFERROR(IF(up_Bv!M26=0,".",((s_Ir*s_F*up_Bv!M26*(1-EXP(-up_RadSpec!AZ26*s_t_b)))/(s_P*up_RadSpec!AZ26))),".")</f>
        <v>993.50362303732038</v>
      </c>
      <c r="N26" s="115">
        <f>IFERROR(IF(up_Bv!N26=0,".",((s_Ir*s_F*up_Bv!N26*(1-EXP(-up_RadSpec!AZ26*s_t_b)))/(s_P*up_RadSpec!AZ26))),".")</f>
        <v>993.50362303732038</v>
      </c>
      <c r="O26" s="115">
        <f>IFERROR(IF(up_Bv!O26=0,".",((s_Ir*s_F*up_Bv!O26*(1-EXP(-up_RadSpec!AZ26*s_t_b)))/(s_P*up_RadSpec!AZ26))),".")</f>
        <v>993.50362303732038</v>
      </c>
      <c r="P26" s="115">
        <f>IFERROR(IF(up_Bv!P26=0,".",((s_Ir*s_F*up_Bv!P26*(1-EXP(-up_RadSpec!AZ26*s_t_b)))/(s_P*up_RadSpec!AZ26))),".")</f>
        <v>993.50362303732038</v>
      </c>
      <c r="Q26" s="115">
        <f>IFERROR(IF(up_Bv!Q26=0,".",((s_Ir*s_F*up_Bv!Q26*(1-EXP(-up_RadSpec!AZ26*s_t_b)))/(s_P*up_RadSpec!AZ26))),".")</f>
        <v>993.50362303732038</v>
      </c>
      <c r="R26" s="115">
        <f>IFERROR(IF(up_Bv!R26=0,".",((s_Ir*s_F*up_Bv!R26*(1-EXP(-up_RadSpec!AZ26*s_t_b)))/(s_P*up_RadSpec!AZ26))),".")</f>
        <v>993.50362303732038</v>
      </c>
      <c r="S26" s="115">
        <f>IFERROR(IF(up_Bv!S26=0,".",((s_Ir*s_F*up_Bv!S26*(1-EXP(-up_RadSpec!AZ26*s_t_b)))/(s_P*up_RadSpec!AZ26))),".")</f>
        <v>993.50362303732038</v>
      </c>
      <c r="T26" s="115">
        <f>IFERROR(IF(up_Bv!T26=0,".",((s_Ir*s_F*up_Bv!T26*(1-EXP(-up_RadSpec!AZ26*s_t_b)))/(s_P*up_RadSpec!AZ26))),".")</f>
        <v>993.50362303732038</v>
      </c>
      <c r="U26" s="115">
        <f>IFERROR(IF(up_Bv!U26=0,".",((s_Ir*s_F*up_Bv!U26*(1-EXP(-up_RadSpec!AZ26*s_t_b)))/(s_P*up_RadSpec!AZ26))),".")</f>
        <v>993.50362303732038</v>
      </c>
      <c r="V26" s="115">
        <f>IFERROR(IF(up_Bv!V26=0,".",((s_Ir*s_F*up_Bv!V26*(1-EXP(-up_RadSpec!AZ26*s_t_b)))/(s_P*up_RadSpec!AZ26))),".")</f>
        <v>993.50362303732038</v>
      </c>
      <c r="W26" s="115">
        <f>IFERROR(IF(up_Bv!W26=0,".",((s_Ir*s_F*up_Bv!W26*(1-EXP(-up_RadSpec!AZ26*s_t_b)))/(s_P*up_RadSpec!AZ26))),".")</f>
        <v>993.50362303732038</v>
      </c>
      <c r="X26" s="115">
        <f>IFERROR(IF(up_Bv!X26=0,".",((s_Ir*s_F*up_Bv!X26*(1-EXP(-up_RadSpec!AZ26*s_t_b)))/(s_P*up_RadSpec!AZ26))),".")</f>
        <v>993.50362303732038</v>
      </c>
      <c r="Y26" s="115">
        <f>IFERROR(IF(up_Bv!Y26=0,".",((s_Ir*s_F*up_Bv!Y26*(1-EXP(-up_RadSpec!AZ26*s_t_b)))/(s_P*up_RadSpec!AZ26))),".")</f>
        <v>993.50362303732038</v>
      </c>
      <c r="Z26" s="115">
        <f>IFERROR(IF(up_Bv!Z26=0,".",((s_Ir*s_F*up_Bv!Z26*(1-EXP(-up_RadSpec!AZ26*s_t_b)))/(s_P*up_RadSpec!AZ26))),".")</f>
        <v>993.50362303732038</v>
      </c>
      <c r="AA26" s="115">
        <f>IFERROR(IF(up_Bv!AA26=0,".",((s_Ir*s_F*up_Bv!AA26*(1-EXP(-up_RadSpec!AZ26*s_t_b)))/(s_P*up_RadSpec!AZ26))),".")</f>
        <v>993.50362303732038</v>
      </c>
      <c r="AB26" s="115">
        <f>IFERROR(IF(up_Bv!C26=0,".",((s_Ir*s_F*s_MLF_apple*(1-EXP(-up_RadSpec!AZ26*s_t_b)))/(s_P*up_RadSpec!AZ26))),".")</f>
        <v>2.6824597822007652</v>
      </c>
      <c r="AC26" s="115">
        <f>IFERROR(IF(up_Bv!D26=0,".",((s_Ir*s_F*s_MLF_asparagus*(1-EXP(-up_RadSpec!AZ26*s_t_b)))/(s_P*up_RadSpec!AZ26))),".")</f>
        <v>2.6824597822007652</v>
      </c>
      <c r="AD26" s="115">
        <f>IFERROR(IF(up_Bv!E26=0,".",((s_Ir*s_F*s_MLF_beet*(1-EXP(-up_RadSpec!AZ26*s_t_b)))/(s_P*up_RadSpec!AZ26))),".")</f>
        <v>2.6824597822007652</v>
      </c>
      <c r="AE26" s="115">
        <f>IFERROR(IF(up_Bv!F26=0,".",((s_Ir*s_F*s_MLF_berries*(1-EXP(-up_RadSpec!AZ26*s_t_b)))/(s_P*up_RadSpec!AZ26))),".")</f>
        <v>2.6824597822007652</v>
      </c>
      <c r="AF26" s="115">
        <f>IFERROR(IF(up_Bv!G26=0,".",((s_Ir*s_F*s_MLF_broccoli*(1-EXP(-up_RadSpec!AZ26*s_t_b)))/(s_P*up_RadSpec!AZ26))),".")</f>
        <v>2.6824597822007652</v>
      </c>
      <c r="AG26" s="115">
        <f>IFERROR(IF(up_Bv!H26=0,".",((s_Ir*s_F*s_MLF_cabbage*(1-EXP(-up_RadSpec!AZ26*s_t_b)))/(s_P*up_RadSpec!AZ26))),".")</f>
        <v>2.6824597822007652</v>
      </c>
      <c r="AH26" s="115">
        <f>IFERROR(IF(up_Bv!I26=0,".",((s_Ir*s_F*s_MLF_carrot*(1-EXP(-up_RadSpec!AZ26*s_t_b)))/(s_P*up_RadSpec!AZ26))),".")</f>
        <v>2.6824597822007652</v>
      </c>
      <c r="AI26" s="115">
        <f>IFERROR(IF(up_Bv!J26=0,".",((s_Ir*s_F*s_MLF_citrus*(1-EXP(-up_RadSpec!AZ26*s_t_b)))/(s_P*up_RadSpec!AZ26))),".")</f>
        <v>2.6824597822007652</v>
      </c>
      <c r="AJ26" s="115">
        <f>IFERROR(IF(up_Bv!K26=0,".",((s_Ir*s_F*s_MLF_corn*(1-EXP(-up_RadSpec!AZ26*s_t_b)))/(s_P*up_RadSpec!AZ26))),".")</f>
        <v>2.6824597822007652</v>
      </c>
      <c r="AK26" s="115">
        <f>IFERROR(IF(up_Bv!L26=0,".",((s_Ir*s_F*s_MLF_cucumber*(1-EXP(-up_RadSpec!AZ26*s_t_b)))/(s_P*up_RadSpec!AZ26))),".")</f>
        <v>2.6824597822007652</v>
      </c>
      <c r="AL26" s="115">
        <f>IFERROR(IF(up_Bv!M26=0,".",((s_Ir*s_F*s_MLF_lettuce*(1-EXP(-up_RadSpec!AZ26*s_t_b)))/(s_P*up_RadSpec!AZ26))),".")</f>
        <v>2.6824597822007652</v>
      </c>
      <c r="AM26" s="115">
        <f>IFERROR(IF(up_Bv!N26=0,".",((s_Ir*s_F*s_MLF_lima_bean*(1-EXP(-up_RadSpec!AZ26*s_t_b)))/(s_P*up_RadSpec!AZ26))),".")</f>
        <v>2.6824597822007652</v>
      </c>
      <c r="AN26" s="115">
        <f>IFERROR(IF(up_Bv!O26=0,".",((s_Ir*s_F*s_MLF_okra*(1-EXP(-up_RadSpec!AZ26*s_t_b)))/(s_P*up_RadSpec!AZ26))),".")</f>
        <v>2.6824597822007652</v>
      </c>
      <c r="AO26" s="115">
        <f>IFERROR(IF(up_Bv!P26=0,".",((s_Ir*s_F*s_MLF_onion*(1-EXP(-up_RadSpec!AZ26*s_t_b)))/(s_P*up_RadSpec!AZ26))),".")</f>
        <v>2.6824597822007652</v>
      </c>
      <c r="AP26" s="115">
        <f>IFERROR(IF(up_Bv!Q26=0,".",((s_Ir*s_F*s_MLF_peach*(1-EXP(-up_RadSpec!AZ26*s_t_b)))/(s_P*up_RadSpec!AZ26))),".")</f>
        <v>2.6824597822007652</v>
      </c>
      <c r="AQ26" s="115">
        <f>IFERROR(IF(up_Bv!R26=0,".",((s_Ir*s_F*s_MLF_pear*(1-EXP(-up_RadSpec!AZ26*s_t_b)))/(s_P*up_RadSpec!AZ26))),".")</f>
        <v>2.6824597822007652</v>
      </c>
      <c r="AR26" s="115">
        <f>IFERROR(IF(up_Bv!S26=0,".",((s_Ir*s_F*s_MLF_peas*(1-EXP(-up_RadSpec!AZ26*s_t_b)))/(s_P*up_RadSpec!AZ26))),".")</f>
        <v>2.6824597822007652</v>
      </c>
      <c r="AS26" s="115">
        <f>IFERROR(IF(up_Bv!T26=0,".",((s_Ir*s_F*s_MLF_peppers*(1-EXP(-up_RadSpec!AZ26*s_t_b)))/(s_P*up_RadSpec!AZ26))),".")</f>
        <v>2.6824597822007652</v>
      </c>
      <c r="AT26" s="115">
        <f>IFERROR(IF(up_Bv!U26=0,".",((s_Ir*s_F*s_MLF_potato*(1-EXP(-up_RadSpec!AZ26*s_t_b)))/(s_P*up_RadSpec!AZ26))),".")</f>
        <v>2.6824597822007652</v>
      </c>
      <c r="AU26" s="115">
        <f>IFERROR(IF(up_Bv!V26=0,".",((s_Ir*s_F*s_MLF_pumpkin*(1-EXP(-up_RadSpec!AZ26*s_t_b)))/(s_P*up_RadSpec!AZ26))),".")</f>
        <v>2.6824597822007652</v>
      </c>
      <c r="AV26" s="115">
        <f>IFERROR(IF(up_Bv!W26=0,".",((s_Ir*s_F*s_MLF_snap_bean*(1-EXP(-up_RadSpec!AZ26*s_t_b)))/(s_P*up_RadSpec!AZ26))),".")</f>
        <v>2.6824597822007652</v>
      </c>
      <c r="AW26" s="115">
        <f>IFERROR(IF(up_Bv!X26=0,".",((s_Ir*s_F*s_MLF_strawberry*(1-EXP(-up_RadSpec!AZ26*s_t_b)))/(s_P*up_RadSpec!AZ26))),".")</f>
        <v>2.6824597822007652</v>
      </c>
      <c r="AX26" s="115">
        <f>IFERROR(IF(up_Bv!Y26=0,".",((s_Ir*s_F*s_MLF_tomato*(1-EXP(-up_RadSpec!AZ26*s_t_b)))/(s_P*up_RadSpec!AZ26))),".")</f>
        <v>2.6824597822007652</v>
      </c>
      <c r="AY26" s="115">
        <f>IFERROR(IF(up_Bv!Z26=0,".",((s_Ir*s_F*s_MLF_rice*(1-EXP(-up_RadSpec!AZ26*s_t_b)))/(s_P*up_RadSpec!AZ26))),".")</f>
        <v>2.6824597822007652</v>
      </c>
      <c r="AZ26" s="115">
        <f>IFERROR(IF(up_Bv!AA26=0,".",((s_Ir*s_F*s_MLF_cereal*(1-EXP(-up_RadSpec!AZ26*s_t_b)))/(s_P*up_RadSpec!AZ26))),".")</f>
        <v>2.6824597822007652</v>
      </c>
      <c r="BA26" s="115">
        <f>IFERROR(IF(up_Bv!C26=0,".",((s_Ir*s_F*s_I_f*s_T*(1-EXP(-up_RadSpec!BA26*s_t_v)))/(s_Y_v*up_RadSpec!BA26))),".")</f>
        <v>9.0143481925428208</v>
      </c>
      <c r="BB26" s="115">
        <f>IFERROR(IF(up_Bv!D26=0,".",((s_Ir*s_F*s_I_f*s_T*(1-EXP(-up_RadSpec!BA26*s_t_v)))/(s_Y_v*up_RadSpec!BA26))),".")</f>
        <v>9.0143481925428208</v>
      </c>
      <c r="BC26" s="115">
        <f>IFERROR(IF(up_Bv!E26=0,".",((s_Ir*s_F*s_I_f*s_T*(1-EXP(-up_RadSpec!BA26*s_t_v)))/(s_Y_v*up_RadSpec!BA26))),".")</f>
        <v>9.0143481925428208</v>
      </c>
      <c r="BD26" s="115">
        <f>IFERROR(IF(up_Bv!F26=0,".",((s_Ir*s_F*s_I_f*s_T*(1-EXP(-up_RadSpec!BA26*s_t_v)))/(s_Y_v*up_RadSpec!BA26))),".")</f>
        <v>9.0143481925428208</v>
      </c>
      <c r="BE26" s="115">
        <f>IFERROR(IF(up_Bv!G26=0,".",((s_Ir*s_F*s_I_f*s_T*(1-EXP(-up_RadSpec!BA26*s_t_v)))/(s_Y_v*up_RadSpec!BA26))),".")</f>
        <v>9.0143481925428208</v>
      </c>
      <c r="BF26" s="115">
        <f>IFERROR(IF(up_Bv!H26=0,".",((s_Ir*s_F*s_I_f*s_T*(1-EXP(-up_RadSpec!BA26*s_t_v)))/(s_Y_v*up_RadSpec!BA26))),".")</f>
        <v>9.0143481925428208</v>
      </c>
      <c r="BG26" s="115">
        <f>IFERROR(IF(up_Bv!I26=0,".",((s_Ir*s_F*s_I_f*s_T*(1-EXP(-up_RadSpec!BA26*s_t_v)))/(s_Y_v*up_RadSpec!BA26))),".")</f>
        <v>9.0143481925428208</v>
      </c>
      <c r="BH26" s="115">
        <f>IFERROR(IF(up_Bv!J26=0,".",((s_Ir*s_F*s_I_f*s_T*(1-EXP(-up_RadSpec!BA26*s_t_v)))/(s_Y_v*up_RadSpec!BA26))),".")</f>
        <v>9.0143481925428208</v>
      </c>
      <c r="BI26" s="115">
        <f>IFERROR(IF(up_Bv!K26=0,".",((s_Ir*s_F*s_I_f*s_T*(1-EXP(-up_RadSpec!BA26*s_t_v)))/(s_Y_v*up_RadSpec!BA26))),".")</f>
        <v>9.0143481925428208</v>
      </c>
      <c r="BJ26" s="115">
        <f>IFERROR(IF(up_Bv!L26=0,".",((s_Ir*s_F*s_I_f*s_T*(1-EXP(-up_RadSpec!BA26*s_t_v)))/(s_Y_v*up_RadSpec!BA26))),".")</f>
        <v>9.0143481925428208</v>
      </c>
      <c r="BK26" s="115">
        <f>IFERROR(IF(up_Bv!M26=0,".",((s_Ir*s_F*s_I_f*s_T*(1-EXP(-up_RadSpec!BA26*s_t_v)))/(s_Y_v*up_RadSpec!BA26))),".")</f>
        <v>9.0143481925428208</v>
      </c>
      <c r="BL26" s="115">
        <f>IFERROR(IF(up_Bv!N26=0,".",((s_Ir*s_F*s_I_f*s_T*(1-EXP(-up_RadSpec!BA26*s_t_v)))/(s_Y_v*up_RadSpec!BA26))),".")</f>
        <v>9.0143481925428208</v>
      </c>
      <c r="BM26" s="115">
        <f>IFERROR(IF(up_Bv!O26=0,".",((s_Ir*s_F*s_I_f*s_T*(1-EXP(-up_RadSpec!BA26*s_t_v)))/(s_Y_v*up_RadSpec!BA26))),".")</f>
        <v>9.0143481925428208</v>
      </c>
      <c r="BN26" s="115">
        <f>IFERROR(IF(up_Bv!P26=0,".",((s_Ir*s_F*s_I_f*s_T*(1-EXP(-up_RadSpec!BA26*s_t_v)))/(s_Y_v*up_RadSpec!BA26))),".")</f>
        <v>9.0143481925428208</v>
      </c>
      <c r="BO26" s="115">
        <f>IFERROR(IF(up_Bv!Q26=0,".",((s_Ir*s_F*s_I_f*s_T*(1-EXP(-up_RadSpec!BA26*s_t_v)))/(s_Y_v*up_RadSpec!BA26))),".")</f>
        <v>9.0143481925428208</v>
      </c>
      <c r="BP26" s="115">
        <f>IFERROR(IF(up_Bv!R26=0,".",((s_Ir*s_F*s_I_f*s_T*(1-EXP(-up_RadSpec!BA26*s_t_v)))/(s_Y_v*up_RadSpec!BA26))),".")</f>
        <v>9.0143481925428208</v>
      </c>
      <c r="BQ26" s="115">
        <f>IFERROR(IF(up_Bv!S26=0,".",((s_Ir*s_F*s_I_f*s_T*(1-EXP(-up_RadSpec!BA26*s_t_v)))/(s_Y_v*up_RadSpec!BA26))),".")</f>
        <v>9.0143481925428208</v>
      </c>
      <c r="BR26" s="115">
        <f>IFERROR(IF(up_Bv!T26=0,".",((s_Ir*s_F*s_I_f*s_T*(1-EXP(-up_RadSpec!BA26*s_t_v)))/(s_Y_v*up_RadSpec!BA26))),".")</f>
        <v>9.0143481925428208</v>
      </c>
      <c r="BS26" s="115">
        <f>IFERROR(IF(up_Bv!U26=0,".",((s_Ir*s_F*s_I_f*s_T*(1-EXP(-up_RadSpec!BA26*s_t_v)))/(s_Y_v*up_RadSpec!BA26))),".")</f>
        <v>9.0143481925428208</v>
      </c>
      <c r="BT26" s="115">
        <f>IFERROR(IF(up_Bv!V26=0,".",((s_Ir*s_F*s_I_f*s_T*(1-EXP(-up_RadSpec!BA26*s_t_v)))/(s_Y_v*up_RadSpec!BA26))),".")</f>
        <v>9.0143481925428208</v>
      </c>
      <c r="BU26" s="115">
        <f>IFERROR(IF(up_Bv!W26=0,".",((s_Ir*s_F*s_I_f*s_T*(1-EXP(-up_RadSpec!BA26*s_t_v)))/(s_Y_v*up_RadSpec!BA26))),".")</f>
        <v>9.0143481925428208</v>
      </c>
      <c r="BV26" s="115">
        <f>IFERROR(IF(up_Bv!X26=0,".",((s_Ir*s_F*s_I_f*s_T*(1-EXP(-up_RadSpec!BA26*s_t_v)))/(s_Y_v*up_RadSpec!BA26))),".")</f>
        <v>9.0143481925428208</v>
      </c>
      <c r="BW26" s="115">
        <f>IFERROR(IF(up_Bv!Y26=0,".",((s_Ir*s_F*s_I_f*s_T*(1-EXP(-up_RadSpec!BA26*s_t_v)))/(s_Y_v*up_RadSpec!BA26))),".")</f>
        <v>9.0143481925428208</v>
      </c>
      <c r="BX26" s="115">
        <f>IFERROR(IF(up_Bv!Z26=0,".",((s_Ir*s_F*s_I_f*s_T*(1-EXP(-up_RadSpec!BA26*s_t_v)))/(s_Y_v*up_RadSpec!BA26))),".")</f>
        <v>9.0143481925428208</v>
      </c>
      <c r="BY26" s="115">
        <f>IFERROR(IF(up_Bv!AA26=0,".",((s_Ir*s_F*s_I_f*s_T*(1-EXP(-up_RadSpec!BA26*s_t_v)))/(s_Y_v*up_RadSpec!BA26))),".")</f>
        <v>9.0143481925428208</v>
      </c>
    </row>
    <row r="27" spans="1:77" x14ac:dyDescent="0.25">
      <c r="A27" s="44" t="s">
        <v>37</v>
      </c>
      <c r="B27" s="42" t="s">
        <v>1071</v>
      </c>
      <c r="C27" s="115">
        <f>IFERROR(IF(up_Bv!C27=0,".",((s_Ir*s_F*up_Bv!C27*(1-EXP(-up_RadSpec!$AZ27*s_t_b)))/(s_P*up_RadSpec!$AZ27))),".")</f>
        <v>993.50362303732038</v>
      </c>
      <c r="D27" s="115">
        <f>IFERROR(IF(up_Bv!D27=0,".",((s_Ir*s_F*up_Bv!D27*(1-EXP(-up_RadSpec!AZ27*s_t_b)))/(s_P*up_RadSpec!AZ27))),".")</f>
        <v>993.50362303732038</v>
      </c>
      <c r="E27" s="115">
        <f>IFERROR(IF(up_Bv!E27=0,".",((s_Ir*s_F*up_Bv!E27*(1-EXP(-up_RadSpec!AZ27*s_t_b)))/(s_P*up_RadSpec!AZ27))),".")</f>
        <v>993.50362303732038</v>
      </c>
      <c r="F27" s="115">
        <f>IFERROR(IF(up_Bv!F27=0,".",((s_Ir*s_F*up_Bv!F27*(1-EXP(-up_RadSpec!AZ27*s_t_b)))/(s_P*up_RadSpec!AZ27))),".")</f>
        <v>993.50362303732038</v>
      </c>
      <c r="G27" s="115">
        <f>IFERROR(IF(up_Bv!G27=0,".",((s_Ir*s_F*up_Bv!G27*(1-EXP(-up_RadSpec!AZ27*s_t_b)))/(s_P*up_RadSpec!AZ27))),".")</f>
        <v>993.50362303732038</v>
      </c>
      <c r="H27" s="115">
        <f>IFERROR(IF(up_Bv!H27=0,".",((s_Ir*s_F*up_Bv!H27*(1-EXP(-up_RadSpec!AZ27*s_t_b)))/(s_P*up_RadSpec!AZ27))),".")</f>
        <v>993.50362303732038</v>
      </c>
      <c r="I27" s="115">
        <f>IFERROR(IF(up_Bv!I27=0,".",((s_Ir*s_F*up_Bv!I27*(1-EXP(-up_RadSpec!AZ27*s_t_b)))/(s_P*up_RadSpec!AZ27))),".")</f>
        <v>993.50362303732038</v>
      </c>
      <c r="J27" s="115">
        <f>IFERROR(IF(up_Bv!J27=0,".",((s_Ir*s_F*up_Bv!J27*(1-EXP(-up_RadSpec!AZ27*s_t_b)))/(s_P*up_RadSpec!AZ27))),".")</f>
        <v>993.50362303732038</v>
      </c>
      <c r="K27" s="115">
        <f>IFERROR(IF(up_Bv!K27=0,".",((s_Ir*s_F*up_Bv!K27*(1-EXP(-up_RadSpec!AZ27*s_t_b)))/(s_P*up_RadSpec!AZ27))),".")</f>
        <v>993.50362303732038</v>
      </c>
      <c r="L27" s="115">
        <f>IFERROR(IF(up_Bv!L27=0,".",((s_Ir*s_F*up_Bv!L27*(1-EXP(-up_RadSpec!AZ27*s_t_b)))/(s_P*up_RadSpec!AZ27))),".")</f>
        <v>993.50362303732038</v>
      </c>
      <c r="M27" s="115">
        <f>IFERROR(IF(up_Bv!M27=0,".",((s_Ir*s_F*up_Bv!M27*(1-EXP(-up_RadSpec!AZ27*s_t_b)))/(s_P*up_RadSpec!AZ27))),".")</f>
        <v>993.50362303732038</v>
      </c>
      <c r="N27" s="115">
        <f>IFERROR(IF(up_Bv!N27=0,".",((s_Ir*s_F*up_Bv!N27*(1-EXP(-up_RadSpec!AZ27*s_t_b)))/(s_P*up_RadSpec!AZ27))),".")</f>
        <v>993.50362303732038</v>
      </c>
      <c r="O27" s="115">
        <f>IFERROR(IF(up_Bv!O27=0,".",((s_Ir*s_F*up_Bv!O27*(1-EXP(-up_RadSpec!AZ27*s_t_b)))/(s_P*up_RadSpec!AZ27))),".")</f>
        <v>993.50362303732038</v>
      </c>
      <c r="P27" s="115">
        <f>IFERROR(IF(up_Bv!P27=0,".",((s_Ir*s_F*up_Bv!P27*(1-EXP(-up_RadSpec!AZ27*s_t_b)))/(s_P*up_RadSpec!AZ27))),".")</f>
        <v>993.50362303732038</v>
      </c>
      <c r="Q27" s="115">
        <f>IFERROR(IF(up_Bv!Q27=0,".",((s_Ir*s_F*up_Bv!Q27*(1-EXP(-up_RadSpec!AZ27*s_t_b)))/(s_P*up_RadSpec!AZ27))),".")</f>
        <v>993.50362303732038</v>
      </c>
      <c r="R27" s="115">
        <f>IFERROR(IF(up_Bv!R27=0,".",((s_Ir*s_F*up_Bv!R27*(1-EXP(-up_RadSpec!AZ27*s_t_b)))/(s_P*up_RadSpec!AZ27))),".")</f>
        <v>993.50362303732038</v>
      </c>
      <c r="S27" s="115">
        <f>IFERROR(IF(up_Bv!S27=0,".",((s_Ir*s_F*up_Bv!S27*(1-EXP(-up_RadSpec!AZ27*s_t_b)))/(s_P*up_RadSpec!AZ27))),".")</f>
        <v>993.50362303732038</v>
      </c>
      <c r="T27" s="115">
        <f>IFERROR(IF(up_Bv!T27=0,".",((s_Ir*s_F*up_Bv!T27*(1-EXP(-up_RadSpec!AZ27*s_t_b)))/(s_P*up_RadSpec!AZ27))),".")</f>
        <v>993.50362303732038</v>
      </c>
      <c r="U27" s="115">
        <f>IFERROR(IF(up_Bv!U27=0,".",((s_Ir*s_F*up_Bv!U27*(1-EXP(-up_RadSpec!AZ27*s_t_b)))/(s_P*up_RadSpec!AZ27))),".")</f>
        <v>993.50362303732038</v>
      </c>
      <c r="V27" s="115">
        <f>IFERROR(IF(up_Bv!V27=0,".",((s_Ir*s_F*up_Bv!V27*(1-EXP(-up_RadSpec!AZ27*s_t_b)))/(s_P*up_RadSpec!AZ27))),".")</f>
        <v>993.50362303732038</v>
      </c>
      <c r="W27" s="115">
        <f>IFERROR(IF(up_Bv!W27=0,".",((s_Ir*s_F*up_Bv!W27*(1-EXP(-up_RadSpec!AZ27*s_t_b)))/(s_P*up_RadSpec!AZ27))),".")</f>
        <v>993.50362303732038</v>
      </c>
      <c r="X27" s="115">
        <f>IFERROR(IF(up_Bv!X27=0,".",((s_Ir*s_F*up_Bv!X27*(1-EXP(-up_RadSpec!AZ27*s_t_b)))/(s_P*up_RadSpec!AZ27))),".")</f>
        <v>993.50362303732038</v>
      </c>
      <c r="Y27" s="115">
        <f>IFERROR(IF(up_Bv!Y27=0,".",((s_Ir*s_F*up_Bv!Y27*(1-EXP(-up_RadSpec!AZ27*s_t_b)))/(s_P*up_RadSpec!AZ27))),".")</f>
        <v>993.50362303732038</v>
      </c>
      <c r="Z27" s="115">
        <f>IFERROR(IF(up_Bv!Z27=0,".",((s_Ir*s_F*up_Bv!Z27*(1-EXP(-up_RadSpec!AZ27*s_t_b)))/(s_P*up_RadSpec!AZ27))),".")</f>
        <v>993.50362303732038</v>
      </c>
      <c r="AA27" s="115">
        <f>IFERROR(IF(up_Bv!AA27=0,".",((s_Ir*s_F*up_Bv!AA27*(1-EXP(-up_RadSpec!AZ27*s_t_b)))/(s_P*up_RadSpec!AZ27))),".")</f>
        <v>993.50362303732038</v>
      </c>
      <c r="AB27" s="115">
        <f>IFERROR(IF(up_Bv!C27=0,".",((s_Ir*s_F*s_MLF_apple*(1-EXP(-up_RadSpec!AZ27*s_t_b)))/(s_P*up_RadSpec!AZ27))),".")</f>
        <v>2.6824597822007652</v>
      </c>
      <c r="AC27" s="115">
        <f>IFERROR(IF(up_Bv!D27=0,".",((s_Ir*s_F*s_MLF_asparagus*(1-EXP(-up_RadSpec!AZ27*s_t_b)))/(s_P*up_RadSpec!AZ27))),".")</f>
        <v>2.6824597822007652</v>
      </c>
      <c r="AD27" s="115">
        <f>IFERROR(IF(up_Bv!E27=0,".",((s_Ir*s_F*s_MLF_beet*(1-EXP(-up_RadSpec!AZ27*s_t_b)))/(s_P*up_RadSpec!AZ27))),".")</f>
        <v>2.6824597822007652</v>
      </c>
      <c r="AE27" s="115">
        <f>IFERROR(IF(up_Bv!F27=0,".",((s_Ir*s_F*s_MLF_berries*(1-EXP(-up_RadSpec!AZ27*s_t_b)))/(s_P*up_RadSpec!AZ27))),".")</f>
        <v>2.6824597822007652</v>
      </c>
      <c r="AF27" s="115">
        <f>IFERROR(IF(up_Bv!G27=0,".",((s_Ir*s_F*s_MLF_broccoli*(1-EXP(-up_RadSpec!AZ27*s_t_b)))/(s_P*up_RadSpec!AZ27))),".")</f>
        <v>2.6824597822007652</v>
      </c>
      <c r="AG27" s="115">
        <f>IFERROR(IF(up_Bv!H27=0,".",((s_Ir*s_F*s_MLF_cabbage*(1-EXP(-up_RadSpec!AZ27*s_t_b)))/(s_P*up_RadSpec!AZ27))),".")</f>
        <v>2.6824597822007652</v>
      </c>
      <c r="AH27" s="115">
        <f>IFERROR(IF(up_Bv!I27=0,".",((s_Ir*s_F*s_MLF_carrot*(1-EXP(-up_RadSpec!AZ27*s_t_b)))/(s_P*up_RadSpec!AZ27))),".")</f>
        <v>2.6824597822007652</v>
      </c>
      <c r="AI27" s="115">
        <f>IFERROR(IF(up_Bv!J27=0,".",((s_Ir*s_F*s_MLF_citrus*(1-EXP(-up_RadSpec!AZ27*s_t_b)))/(s_P*up_RadSpec!AZ27))),".")</f>
        <v>2.6824597822007652</v>
      </c>
      <c r="AJ27" s="115">
        <f>IFERROR(IF(up_Bv!K27=0,".",((s_Ir*s_F*s_MLF_corn*(1-EXP(-up_RadSpec!AZ27*s_t_b)))/(s_P*up_RadSpec!AZ27))),".")</f>
        <v>2.6824597822007652</v>
      </c>
      <c r="AK27" s="115">
        <f>IFERROR(IF(up_Bv!L27=0,".",((s_Ir*s_F*s_MLF_cucumber*(1-EXP(-up_RadSpec!AZ27*s_t_b)))/(s_P*up_RadSpec!AZ27))),".")</f>
        <v>2.6824597822007652</v>
      </c>
      <c r="AL27" s="115">
        <f>IFERROR(IF(up_Bv!M27=0,".",((s_Ir*s_F*s_MLF_lettuce*(1-EXP(-up_RadSpec!AZ27*s_t_b)))/(s_P*up_RadSpec!AZ27))),".")</f>
        <v>2.6824597822007652</v>
      </c>
      <c r="AM27" s="115">
        <f>IFERROR(IF(up_Bv!N27=0,".",((s_Ir*s_F*s_MLF_lima_bean*(1-EXP(-up_RadSpec!AZ27*s_t_b)))/(s_P*up_RadSpec!AZ27))),".")</f>
        <v>2.6824597822007652</v>
      </c>
      <c r="AN27" s="115">
        <f>IFERROR(IF(up_Bv!O27=0,".",((s_Ir*s_F*s_MLF_okra*(1-EXP(-up_RadSpec!AZ27*s_t_b)))/(s_P*up_RadSpec!AZ27))),".")</f>
        <v>2.6824597822007652</v>
      </c>
      <c r="AO27" s="115">
        <f>IFERROR(IF(up_Bv!P27=0,".",((s_Ir*s_F*s_MLF_onion*(1-EXP(-up_RadSpec!AZ27*s_t_b)))/(s_P*up_RadSpec!AZ27))),".")</f>
        <v>2.6824597822007652</v>
      </c>
      <c r="AP27" s="115">
        <f>IFERROR(IF(up_Bv!Q27=0,".",((s_Ir*s_F*s_MLF_peach*(1-EXP(-up_RadSpec!AZ27*s_t_b)))/(s_P*up_RadSpec!AZ27))),".")</f>
        <v>2.6824597822007652</v>
      </c>
      <c r="AQ27" s="115">
        <f>IFERROR(IF(up_Bv!R27=0,".",((s_Ir*s_F*s_MLF_pear*(1-EXP(-up_RadSpec!AZ27*s_t_b)))/(s_P*up_RadSpec!AZ27))),".")</f>
        <v>2.6824597822007652</v>
      </c>
      <c r="AR27" s="115">
        <f>IFERROR(IF(up_Bv!S27=0,".",((s_Ir*s_F*s_MLF_peas*(1-EXP(-up_RadSpec!AZ27*s_t_b)))/(s_P*up_RadSpec!AZ27))),".")</f>
        <v>2.6824597822007652</v>
      </c>
      <c r="AS27" s="115">
        <f>IFERROR(IF(up_Bv!T27=0,".",((s_Ir*s_F*s_MLF_peppers*(1-EXP(-up_RadSpec!AZ27*s_t_b)))/(s_P*up_RadSpec!AZ27))),".")</f>
        <v>2.6824597822007652</v>
      </c>
      <c r="AT27" s="115">
        <f>IFERROR(IF(up_Bv!U27=0,".",((s_Ir*s_F*s_MLF_potato*(1-EXP(-up_RadSpec!AZ27*s_t_b)))/(s_P*up_RadSpec!AZ27))),".")</f>
        <v>2.6824597822007652</v>
      </c>
      <c r="AU27" s="115">
        <f>IFERROR(IF(up_Bv!V27=0,".",((s_Ir*s_F*s_MLF_pumpkin*(1-EXP(-up_RadSpec!AZ27*s_t_b)))/(s_P*up_RadSpec!AZ27))),".")</f>
        <v>2.6824597822007652</v>
      </c>
      <c r="AV27" s="115">
        <f>IFERROR(IF(up_Bv!W27=0,".",((s_Ir*s_F*s_MLF_snap_bean*(1-EXP(-up_RadSpec!AZ27*s_t_b)))/(s_P*up_RadSpec!AZ27))),".")</f>
        <v>2.6824597822007652</v>
      </c>
      <c r="AW27" s="115">
        <f>IFERROR(IF(up_Bv!X27=0,".",((s_Ir*s_F*s_MLF_strawberry*(1-EXP(-up_RadSpec!AZ27*s_t_b)))/(s_P*up_RadSpec!AZ27))),".")</f>
        <v>2.6824597822007652</v>
      </c>
      <c r="AX27" s="115">
        <f>IFERROR(IF(up_Bv!Y27=0,".",((s_Ir*s_F*s_MLF_tomato*(1-EXP(-up_RadSpec!AZ27*s_t_b)))/(s_P*up_RadSpec!AZ27))),".")</f>
        <v>2.6824597822007652</v>
      </c>
      <c r="AY27" s="115">
        <f>IFERROR(IF(up_Bv!Z27=0,".",((s_Ir*s_F*s_MLF_rice*(1-EXP(-up_RadSpec!AZ27*s_t_b)))/(s_P*up_RadSpec!AZ27))),".")</f>
        <v>2.6824597822007652</v>
      </c>
      <c r="AZ27" s="115">
        <f>IFERROR(IF(up_Bv!AA27=0,".",((s_Ir*s_F*s_MLF_cereal*(1-EXP(-up_RadSpec!AZ27*s_t_b)))/(s_P*up_RadSpec!AZ27))),".")</f>
        <v>2.6824597822007652</v>
      </c>
      <c r="BA27" s="115">
        <f>IFERROR(IF(up_Bv!C27=0,".",((s_Ir*s_F*s_I_f*s_T*(1-EXP(-up_RadSpec!BA27*s_t_v)))/(s_Y_v*up_RadSpec!BA27))),".")</f>
        <v>9.0143481925428208</v>
      </c>
      <c r="BB27" s="115">
        <f>IFERROR(IF(up_Bv!D27=0,".",((s_Ir*s_F*s_I_f*s_T*(1-EXP(-up_RadSpec!BA27*s_t_v)))/(s_Y_v*up_RadSpec!BA27))),".")</f>
        <v>9.0143481925428208</v>
      </c>
      <c r="BC27" s="115">
        <f>IFERROR(IF(up_Bv!E27=0,".",((s_Ir*s_F*s_I_f*s_T*(1-EXP(-up_RadSpec!BA27*s_t_v)))/(s_Y_v*up_RadSpec!BA27))),".")</f>
        <v>9.0143481925428208</v>
      </c>
      <c r="BD27" s="115">
        <f>IFERROR(IF(up_Bv!F27=0,".",((s_Ir*s_F*s_I_f*s_T*(1-EXP(-up_RadSpec!BA27*s_t_v)))/(s_Y_v*up_RadSpec!BA27))),".")</f>
        <v>9.0143481925428208</v>
      </c>
      <c r="BE27" s="115">
        <f>IFERROR(IF(up_Bv!G27=0,".",((s_Ir*s_F*s_I_f*s_T*(1-EXP(-up_RadSpec!BA27*s_t_v)))/(s_Y_v*up_RadSpec!BA27))),".")</f>
        <v>9.0143481925428208</v>
      </c>
      <c r="BF27" s="115">
        <f>IFERROR(IF(up_Bv!H27=0,".",((s_Ir*s_F*s_I_f*s_T*(1-EXP(-up_RadSpec!BA27*s_t_v)))/(s_Y_v*up_RadSpec!BA27))),".")</f>
        <v>9.0143481925428208</v>
      </c>
      <c r="BG27" s="115">
        <f>IFERROR(IF(up_Bv!I27=0,".",((s_Ir*s_F*s_I_f*s_T*(1-EXP(-up_RadSpec!BA27*s_t_v)))/(s_Y_v*up_RadSpec!BA27))),".")</f>
        <v>9.0143481925428208</v>
      </c>
      <c r="BH27" s="115">
        <f>IFERROR(IF(up_Bv!J27=0,".",((s_Ir*s_F*s_I_f*s_T*(1-EXP(-up_RadSpec!BA27*s_t_v)))/(s_Y_v*up_RadSpec!BA27))),".")</f>
        <v>9.0143481925428208</v>
      </c>
      <c r="BI27" s="115">
        <f>IFERROR(IF(up_Bv!K27=0,".",((s_Ir*s_F*s_I_f*s_T*(1-EXP(-up_RadSpec!BA27*s_t_v)))/(s_Y_v*up_RadSpec!BA27))),".")</f>
        <v>9.0143481925428208</v>
      </c>
      <c r="BJ27" s="115">
        <f>IFERROR(IF(up_Bv!L27=0,".",((s_Ir*s_F*s_I_f*s_T*(1-EXP(-up_RadSpec!BA27*s_t_v)))/(s_Y_v*up_RadSpec!BA27))),".")</f>
        <v>9.0143481925428208</v>
      </c>
      <c r="BK27" s="115">
        <f>IFERROR(IF(up_Bv!M27=0,".",((s_Ir*s_F*s_I_f*s_T*(1-EXP(-up_RadSpec!BA27*s_t_v)))/(s_Y_v*up_RadSpec!BA27))),".")</f>
        <v>9.0143481925428208</v>
      </c>
      <c r="BL27" s="115">
        <f>IFERROR(IF(up_Bv!N27=0,".",((s_Ir*s_F*s_I_f*s_T*(1-EXP(-up_RadSpec!BA27*s_t_v)))/(s_Y_v*up_RadSpec!BA27))),".")</f>
        <v>9.0143481925428208</v>
      </c>
      <c r="BM27" s="115">
        <f>IFERROR(IF(up_Bv!O27=0,".",((s_Ir*s_F*s_I_f*s_T*(1-EXP(-up_RadSpec!BA27*s_t_v)))/(s_Y_v*up_RadSpec!BA27))),".")</f>
        <v>9.0143481925428208</v>
      </c>
      <c r="BN27" s="115">
        <f>IFERROR(IF(up_Bv!P27=0,".",((s_Ir*s_F*s_I_f*s_T*(1-EXP(-up_RadSpec!BA27*s_t_v)))/(s_Y_v*up_RadSpec!BA27))),".")</f>
        <v>9.0143481925428208</v>
      </c>
      <c r="BO27" s="115">
        <f>IFERROR(IF(up_Bv!Q27=0,".",((s_Ir*s_F*s_I_f*s_T*(1-EXP(-up_RadSpec!BA27*s_t_v)))/(s_Y_v*up_RadSpec!BA27))),".")</f>
        <v>9.0143481925428208</v>
      </c>
      <c r="BP27" s="115">
        <f>IFERROR(IF(up_Bv!R27=0,".",((s_Ir*s_F*s_I_f*s_T*(1-EXP(-up_RadSpec!BA27*s_t_v)))/(s_Y_v*up_RadSpec!BA27))),".")</f>
        <v>9.0143481925428208</v>
      </c>
      <c r="BQ27" s="115">
        <f>IFERROR(IF(up_Bv!S27=0,".",((s_Ir*s_F*s_I_f*s_T*(1-EXP(-up_RadSpec!BA27*s_t_v)))/(s_Y_v*up_RadSpec!BA27))),".")</f>
        <v>9.0143481925428208</v>
      </c>
      <c r="BR27" s="115">
        <f>IFERROR(IF(up_Bv!T27=0,".",((s_Ir*s_F*s_I_f*s_T*(1-EXP(-up_RadSpec!BA27*s_t_v)))/(s_Y_v*up_RadSpec!BA27))),".")</f>
        <v>9.0143481925428208</v>
      </c>
      <c r="BS27" s="115">
        <f>IFERROR(IF(up_Bv!U27=0,".",((s_Ir*s_F*s_I_f*s_T*(1-EXP(-up_RadSpec!BA27*s_t_v)))/(s_Y_v*up_RadSpec!BA27))),".")</f>
        <v>9.0143481925428208</v>
      </c>
      <c r="BT27" s="115">
        <f>IFERROR(IF(up_Bv!V27=0,".",((s_Ir*s_F*s_I_f*s_T*(1-EXP(-up_RadSpec!BA27*s_t_v)))/(s_Y_v*up_RadSpec!BA27))),".")</f>
        <v>9.0143481925428208</v>
      </c>
      <c r="BU27" s="115">
        <f>IFERROR(IF(up_Bv!W27=0,".",((s_Ir*s_F*s_I_f*s_T*(1-EXP(-up_RadSpec!BA27*s_t_v)))/(s_Y_v*up_RadSpec!BA27))),".")</f>
        <v>9.0143481925428208</v>
      </c>
      <c r="BV27" s="115">
        <f>IFERROR(IF(up_Bv!X27=0,".",((s_Ir*s_F*s_I_f*s_T*(1-EXP(-up_RadSpec!BA27*s_t_v)))/(s_Y_v*up_RadSpec!BA27))),".")</f>
        <v>9.0143481925428208</v>
      </c>
      <c r="BW27" s="115">
        <f>IFERROR(IF(up_Bv!Y27=0,".",((s_Ir*s_F*s_I_f*s_T*(1-EXP(-up_RadSpec!BA27*s_t_v)))/(s_Y_v*up_RadSpec!BA27))),".")</f>
        <v>9.0143481925428208</v>
      </c>
      <c r="BX27" s="115">
        <f>IFERROR(IF(up_Bv!Z27=0,".",((s_Ir*s_F*s_I_f*s_T*(1-EXP(-up_RadSpec!BA27*s_t_v)))/(s_Y_v*up_RadSpec!BA27))),".")</f>
        <v>9.0143481925428208</v>
      </c>
      <c r="BY27" s="115">
        <f>IFERROR(IF(up_Bv!AA27=0,".",((s_Ir*s_F*s_I_f*s_T*(1-EXP(-up_RadSpec!BA27*s_t_v)))/(s_Y_v*up_RadSpec!BA27))),".")</f>
        <v>9.0143481925428208</v>
      </c>
    </row>
    <row r="28" spans="1:77" x14ac:dyDescent="0.25">
      <c r="A28" s="44" t="s">
        <v>38</v>
      </c>
      <c r="B28" s="42" t="s">
        <v>1071</v>
      </c>
      <c r="C28" s="115">
        <f>IFERROR(IF(up_Bv!C28=0,".",((s_Ir*s_F*up_Bv!C28*(1-EXP(-up_RadSpec!$AZ28*s_t_b)))/(s_P*up_RadSpec!$AZ28))),".")</f>
        <v>993.50362303732038</v>
      </c>
      <c r="D28" s="115">
        <f>IFERROR(IF(up_Bv!D28=0,".",((s_Ir*s_F*up_Bv!D28*(1-EXP(-up_RadSpec!AZ28*s_t_b)))/(s_P*up_RadSpec!AZ28))),".")</f>
        <v>993.50362303732038</v>
      </c>
      <c r="E28" s="115">
        <f>IFERROR(IF(up_Bv!E28=0,".",((s_Ir*s_F*up_Bv!E28*(1-EXP(-up_RadSpec!AZ28*s_t_b)))/(s_P*up_RadSpec!AZ28))),".")</f>
        <v>993.50362303732038</v>
      </c>
      <c r="F28" s="115">
        <f>IFERROR(IF(up_Bv!F28=0,".",((s_Ir*s_F*up_Bv!F28*(1-EXP(-up_RadSpec!AZ28*s_t_b)))/(s_P*up_RadSpec!AZ28))),".")</f>
        <v>993.50362303732038</v>
      </c>
      <c r="G28" s="115">
        <f>IFERROR(IF(up_Bv!G28=0,".",((s_Ir*s_F*up_Bv!G28*(1-EXP(-up_RadSpec!AZ28*s_t_b)))/(s_P*up_RadSpec!AZ28))),".")</f>
        <v>993.50362303732038</v>
      </c>
      <c r="H28" s="115">
        <f>IFERROR(IF(up_Bv!H28=0,".",((s_Ir*s_F*up_Bv!H28*(1-EXP(-up_RadSpec!AZ28*s_t_b)))/(s_P*up_RadSpec!AZ28))),".")</f>
        <v>993.50362303732038</v>
      </c>
      <c r="I28" s="115">
        <f>IFERROR(IF(up_Bv!I28=0,".",((s_Ir*s_F*up_Bv!I28*(1-EXP(-up_RadSpec!AZ28*s_t_b)))/(s_P*up_RadSpec!AZ28))),".")</f>
        <v>993.50362303732038</v>
      </c>
      <c r="J28" s="115">
        <f>IFERROR(IF(up_Bv!J28=0,".",((s_Ir*s_F*up_Bv!J28*(1-EXP(-up_RadSpec!AZ28*s_t_b)))/(s_P*up_RadSpec!AZ28))),".")</f>
        <v>993.50362303732038</v>
      </c>
      <c r="K28" s="115">
        <f>IFERROR(IF(up_Bv!K28=0,".",((s_Ir*s_F*up_Bv!K28*(1-EXP(-up_RadSpec!AZ28*s_t_b)))/(s_P*up_RadSpec!AZ28))),".")</f>
        <v>993.50362303732038</v>
      </c>
      <c r="L28" s="115">
        <f>IFERROR(IF(up_Bv!L28=0,".",((s_Ir*s_F*up_Bv!L28*(1-EXP(-up_RadSpec!AZ28*s_t_b)))/(s_P*up_RadSpec!AZ28))),".")</f>
        <v>993.50362303732038</v>
      </c>
      <c r="M28" s="115">
        <f>IFERROR(IF(up_Bv!M28=0,".",((s_Ir*s_F*up_Bv!M28*(1-EXP(-up_RadSpec!AZ28*s_t_b)))/(s_P*up_RadSpec!AZ28))),".")</f>
        <v>993.50362303732038</v>
      </c>
      <c r="N28" s="115">
        <f>IFERROR(IF(up_Bv!N28=0,".",((s_Ir*s_F*up_Bv!N28*(1-EXP(-up_RadSpec!AZ28*s_t_b)))/(s_P*up_RadSpec!AZ28))),".")</f>
        <v>993.50362303732038</v>
      </c>
      <c r="O28" s="115">
        <f>IFERROR(IF(up_Bv!O28=0,".",((s_Ir*s_F*up_Bv!O28*(1-EXP(-up_RadSpec!AZ28*s_t_b)))/(s_P*up_RadSpec!AZ28))),".")</f>
        <v>993.50362303732038</v>
      </c>
      <c r="P28" s="115">
        <f>IFERROR(IF(up_Bv!P28=0,".",((s_Ir*s_F*up_Bv!P28*(1-EXP(-up_RadSpec!AZ28*s_t_b)))/(s_P*up_RadSpec!AZ28))),".")</f>
        <v>993.50362303732038</v>
      </c>
      <c r="Q28" s="115">
        <f>IFERROR(IF(up_Bv!Q28=0,".",((s_Ir*s_F*up_Bv!Q28*(1-EXP(-up_RadSpec!AZ28*s_t_b)))/(s_P*up_RadSpec!AZ28))),".")</f>
        <v>993.50362303732038</v>
      </c>
      <c r="R28" s="115">
        <f>IFERROR(IF(up_Bv!R28=0,".",((s_Ir*s_F*up_Bv!R28*(1-EXP(-up_RadSpec!AZ28*s_t_b)))/(s_P*up_RadSpec!AZ28))),".")</f>
        <v>993.50362303732038</v>
      </c>
      <c r="S28" s="115">
        <f>IFERROR(IF(up_Bv!S28=0,".",((s_Ir*s_F*up_Bv!S28*(1-EXP(-up_RadSpec!AZ28*s_t_b)))/(s_P*up_RadSpec!AZ28))),".")</f>
        <v>993.50362303732038</v>
      </c>
      <c r="T28" s="115">
        <f>IFERROR(IF(up_Bv!T28=0,".",((s_Ir*s_F*up_Bv!T28*(1-EXP(-up_RadSpec!AZ28*s_t_b)))/(s_P*up_RadSpec!AZ28))),".")</f>
        <v>993.50362303732038</v>
      </c>
      <c r="U28" s="115">
        <f>IFERROR(IF(up_Bv!U28=0,".",((s_Ir*s_F*up_Bv!U28*(1-EXP(-up_RadSpec!AZ28*s_t_b)))/(s_P*up_RadSpec!AZ28))),".")</f>
        <v>993.50362303732038</v>
      </c>
      <c r="V28" s="115">
        <f>IFERROR(IF(up_Bv!V28=0,".",((s_Ir*s_F*up_Bv!V28*(1-EXP(-up_RadSpec!AZ28*s_t_b)))/(s_P*up_RadSpec!AZ28))),".")</f>
        <v>993.50362303732038</v>
      </c>
      <c r="W28" s="115">
        <f>IFERROR(IF(up_Bv!W28=0,".",((s_Ir*s_F*up_Bv!W28*(1-EXP(-up_RadSpec!AZ28*s_t_b)))/(s_P*up_RadSpec!AZ28))),".")</f>
        <v>993.50362303732038</v>
      </c>
      <c r="X28" s="115">
        <f>IFERROR(IF(up_Bv!X28=0,".",((s_Ir*s_F*up_Bv!X28*(1-EXP(-up_RadSpec!AZ28*s_t_b)))/(s_P*up_RadSpec!AZ28))),".")</f>
        <v>993.50362303732038</v>
      </c>
      <c r="Y28" s="115">
        <f>IFERROR(IF(up_Bv!Y28=0,".",((s_Ir*s_F*up_Bv!Y28*(1-EXP(-up_RadSpec!AZ28*s_t_b)))/(s_P*up_RadSpec!AZ28))),".")</f>
        <v>993.50362303732038</v>
      </c>
      <c r="Z28" s="115">
        <f>IFERROR(IF(up_Bv!Z28=0,".",((s_Ir*s_F*up_Bv!Z28*(1-EXP(-up_RadSpec!AZ28*s_t_b)))/(s_P*up_RadSpec!AZ28))),".")</f>
        <v>993.50362303732038</v>
      </c>
      <c r="AA28" s="115">
        <f>IFERROR(IF(up_Bv!AA28=0,".",((s_Ir*s_F*up_Bv!AA28*(1-EXP(-up_RadSpec!AZ28*s_t_b)))/(s_P*up_RadSpec!AZ28))),".")</f>
        <v>993.50362303732038</v>
      </c>
      <c r="AB28" s="115">
        <f>IFERROR(IF(up_Bv!C28=0,".",((s_Ir*s_F*s_MLF_apple*(1-EXP(-up_RadSpec!AZ28*s_t_b)))/(s_P*up_RadSpec!AZ28))),".")</f>
        <v>2.6824597822007652</v>
      </c>
      <c r="AC28" s="115">
        <f>IFERROR(IF(up_Bv!D28=0,".",((s_Ir*s_F*s_MLF_asparagus*(1-EXP(-up_RadSpec!AZ28*s_t_b)))/(s_P*up_RadSpec!AZ28))),".")</f>
        <v>2.6824597822007652</v>
      </c>
      <c r="AD28" s="115">
        <f>IFERROR(IF(up_Bv!E28=0,".",((s_Ir*s_F*s_MLF_beet*(1-EXP(-up_RadSpec!AZ28*s_t_b)))/(s_P*up_RadSpec!AZ28))),".")</f>
        <v>2.6824597822007652</v>
      </c>
      <c r="AE28" s="115">
        <f>IFERROR(IF(up_Bv!F28=0,".",((s_Ir*s_F*s_MLF_berries*(1-EXP(-up_RadSpec!AZ28*s_t_b)))/(s_P*up_RadSpec!AZ28))),".")</f>
        <v>2.6824597822007652</v>
      </c>
      <c r="AF28" s="115">
        <f>IFERROR(IF(up_Bv!G28=0,".",((s_Ir*s_F*s_MLF_broccoli*(1-EXP(-up_RadSpec!AZ28*s_t_b)))/(s_P*up_RadSpec!AZ28))),".")</f>
        <v>2.6824597822007652</v>
      </c>
      <c r="AG28" s="115">
        <f>IFERROR(IF(up_Bv!H28=0,".",((s_Ir*s_F*s_MLF_cabbage*(1-EXP(-up_RadSpec!AZ28*s_t_b)))/(s_P*up_RadSpec!AZ28))),".")</f>
        <v>2.6824597822007652</v>
      </c>
      <c r="AH28" s="115">
        <f>IFERROR(IF(up_Bv!I28=0,".",((s_Ir*s_F*s_MLF_carrot*(1-EXP(-up_RadSpec!AZ28*s_t_b)))/(s_P*up_RadSpec!AZ28))),".")</f>
        <v>2.6824597822007652</v>
      </c>
      <c r="AI28" s="115">
        <f>IFERROR(IF(up_Bv!J28=0,".",((s_Ir*s_F*s_MLF_citrus*(1-EXP(-up_RadSpec!AZ28*s_t_b)))/(s_P*up_RadSpec!AZ28))),".")</f>
        <v>2.6824597822007652</v>
      </c>
      <c r="AJ28" s="115">
        <f>IFERROR(IF(up_Bv!K28=0,".",((s_Ir*s_F*s_MLF_corn*(1-EXP(-up_RadSpec!AZ28*s_t_b)))/(s_P*up_RadSpec!AZ28))),".")</f>
        <v>2.6824597822007652</v>
      </c>
      <c r="AK28" s="115">
        <f>IFERROR(IF(up_Bv!L28=0,".",((s_Ir*s_F*s_MLF_cucumber*(1-EXP(-up_RadSpec!AZ28*s_t_b)))/(s_P*up_RadSpec!AZ28))),".")</f>
        <v>2.6824597822007652</v>
      </c>
      <c r="AL28" s="115">
        <f>IFERROR(IF(up_Bv!M28=0,".",((s_Ir*s_F*s_MLF_lettuce*(1-EXP(-up_RadSpec!AZ28*s_t_b)))/(s_P*up_RadSpec!AZ28))),".")</f>
        <v>2.6824597822007652</v>
      </c>
      <c r="AM28" s="115">
        <f>IFERROR(IF(up_Bv!N28=0,".",((s_Ir*s_F*s_MLF_lima_bean*(1-EXP(-up_RadSpec!AZ28*s_t_b)))/(s_P*up_RadSpec!AZ28))),".")</f>
        <v>2.6824597822007652</v>
      </c>
      <c r="AN28" s="115">
        <f>IFERROR(IF(up_Bv!O28=0,".",((s_Ir*s_F*s_MLF_okra*(1-EXP(-up_RadSpec!AZ28*s_t_b)))/(s_P*up_RadSpec!AZ28))),".")</f>
        <v>2.6824597822007652</v>
      </c>
      <c r="AO28" s="115">
        <f>IFERROR(IF(up_Bv!P28=0,".",((s_Ir*s_F*s_MLF_onion*(1-EXP(-up_RadSpec!AZ28*s_t_b)))/(s_P*up_RadSpec!AZ28))),".")</f>
        <v>2.6824597822007652</v>
      </c>
      <c r="AP28" s="115">
        <f>IFERROR(IF(up_Bv!Q28=0,".",((s_Ir*s_F*s_MLF_peach*(1-EXP(-up_RadSpec!AZ28*s_t_b)))/(s_P*up_RadSpec!AZ28))),".")</f>
        <v>2.6824597822007652</v>
      </c>
      <c r="AQ28" s="115">
        <f>IFERROR(IF(up_Bv!R28=0,".",((s_Ir*s_F*s_MLF_pear*(1-EXP(-up_RadSpec!AZ28*s_t_b)))/(s_P*up_RadSpec!AZ28))),".")</f>
        <v>2.6824597822007652</v>
      </c>
      <c r="AR28" s="115">
        <f>IFERROR(IF(up_Bv!S28=0,".",((s_Ir*s_F*s_MLF_peas*(1-EXP(-up_RadSpec!AZ28*s_t_b)))/(s_P*up_RadSpec!AZ28))),".")</f>
        <v>2.6824597822007652</v>
      </c>
      <c r="AS28" s="115">
        <f>IFERROR(IF(up_Bv!T28=0,".",((s_Ir*s_F*s_MLF_peppers*(1-EXP(-up_RadSpec!AZ28*s_t_b)))/(s_P*up_RadSpec!AZ28))),".")</f>
        <v>2.6824597822007652</v>
      </c>
      <c r="AT28" s="115">
        <f>IFERROR(IF(up_Bv!U28=0,".",((s_Ir*s_F*s_MLF_potato*(1-EXP(-up_RadSpec!AZ28*s_t_b)))/(s_P*up_RadSpec!AZ28))),".")</f>
        <v>2.6824597822007652</v>
      </c>
      <c r="AU28" s="115">
        <f>IFERROR(IF(up_Bv!V28=0,".",((s_Ir*s_F*s_MLF_pumpkin*(1-EXP(-up_RadSpec!AZ28*s_t_b)))/(s_P*up_RadSpec!AZ28))),".")</f>
        <v>2.6824597822007652</v>
      </c>
      <c r="AV28" s="115">
        <f>IFERROR(IF(up_Bv!W28=0,".",((s_Ir*s_F*s_MLF_snap_bean*(1-EXP(-up_RadSpec!AZ28*s_t_b)))/(s_P*up_RadSpec!AZ28))),".")</f>
        <v>2.6824597822007652</v>
      </c>
      <c r="AW28" s="115">
        <f>IFERROR(IF(up_Bv!X28=0,".",((s_Ir*s_F*s_MLF_strawberry*(1-EXP(-up_RadSpec!AZ28*s_t_b)))/(s_P*up_RadSpec!AZ28))),".")</f>
        <v>2.6824597822007652</v>
      </c>
      <c r="AX28" s="115">
        <f>IFERROR(IF(up_Bv!Y28=0,".",((s_Ir*s_F*s_MLF_tomato*(1-EXP(-up_RadSpec!AZ28*s_t_b)))/(s_P*up_RadSpec!AZ28))),".")</f>
        <v>2.6824597822007652</v>
      </c>
      <c r="AY28" s="115">
        <f>IFERROR(IF(up_Bv!Z28=0,".",((s_Ir*s_F*s_MLF_rice*(1-EXP(-up_RadSpec!AZ28*s_t_b)))/(s_P*up_RadSpec!AZ28))),".")</f>
        <v>2.6824597822007652</v>
      </c>
      <c r="AZ28" s="115">
        <f>IFERROR(IF(up_Bv!AA28=0,".",((s_Ir*s_F*s_MLF_cereal*(1-EXP(-up_RadSpec!AZ28*s_t_b)))/(s_P*up_RadSpec!AZ28))),".")</f>
        <v>2.6824597822007652</v>
      </c>
      <c r="BA28" s="115">
        <f>IFERROR(IF(up_Bv!C28=0,".",((s_Ir*s_F*s_I_f*s_T*(1-EXP(-up_RadSpec!BA28*s_t_v)))/(s_Y_v*up_RadSpec!BA28))),".")</f>
        <v>9.0143481925428208</v>
      </c>
      <c r="BB28" s="115">
        <f>IFERROR(IF(up_Bv!D28=0,".",((s_Ir*s_F*s_I_f*s_T*(1-EXP(-up_RadSpec!BA28*s_t_v)))/(s_Y_v*up_RadSpec!BA28))),".")</f>
        <v>9.0143481925428208</v>
      </c>
      <c r="BC28" s="115">
        <f>IFERROR(IF(up_Bv!E28=0,".",((s_Ir*s_F*s_I_f*s_T*(1-EXP(-up_RadSpec!BA28*s_t_v)))/(s_Y_v*up_RadSpec!BA28))),".")</f>
        <v>9.0143481925428208</v>
      </c>
      <c r="BD28" s="115">
        <f>IFERROR(IF(up_Bv!F28=0,".",((s_Ir*s_F*s_I_f*s_T*(1-EXP(-up_RadSpec!BA28*s_t_v)))/(s_Y_v*up_RadSpec!BA28))),".")</f>
        <v>9.0143481925428208</v>
      </c>
      <c r="BE28" s="115">
        <f>IFERROR(IF(up_Bv!G28=0,".",((s_Ir*s_F*s_I_f*s_T*(1-EXP(-up_RadSpec!BA28*s_t_v)))/(s_Y_v*up_RadSpec!BA28))),".")</f>
        <v>9.0143481925428208</v>
      </c>
      <c r="BF28" s="115">
        <f>IFERROR(IF(up_Bv!H28=0,".",((s_Ir*s_F*s_I_f*s_T*(1-EXP(-up_RadSpec!BA28*s_t_v)))/(s_Y_v*up_RadSpec!BA28))),".")</f>
        <v>9.0143481925428208</v>
      </c>
      <c r="BG28" s="115">
        <f>IFERROR(IF(up_Bv!I28=0,".",((s_Ir*s_F*s_I_f*s_T*(1-EXP(-up_RadSpec!BA28*s_t_v)))/(s_Y_v*up_RadSpec!BA28))),".")</f>
        <v>9.0143481925428208</v>
      </c>
      <c r="BH28" s="115">
        <f>IFERROR(IF(up_Bv!J28=0,".",((s_Ir*s_F*s_I_f*s_T*(1-EXP(-up_RadSpec!BA28*s_t_v)))/(s_Y_v*up_RadSpec!BA28))),".")</f>
        <v>9.0143481925428208</v>
      </c>
      <c r="BI28" s="115">
        <f>IFERROR(IF(up_Bv!K28=0,".",((s_Ir*s_F*s_I_f*s_T*(1-EXP(-up_RadSpec!BA28*s_t_v)))/(s_Y_v*up_RadSpec!BA28))),".")</f>
        <v>9.0143481925428208</v>
      </c>
      <c r="BJ28" s="115">
        <f>IFERROR(IF(up_Bv!L28=0,".",((s_Ir*s_F*s_I_f*s_T*(1-EXP(-up_RadSpec!BA28*s_t_v)))/(s_Y_v*up_RadSpec!BA28))),".")</f>
        <v>9.0143481925428208</v>
      </c>
      <c r="BK28" s="115">
        <f>IFERROR(IF(up_Bv!M28=0,".",((s_Ir*s_F*s_I_f*s_T*(1-EXP(-up_RadSpec!BA28*s_t_v)))/(s_Y_v*up_RadSpec!BA28))),".")</f>
        <v>9.0143481925428208</v>
      </c>
      <c r="BL28" s="115">
        <f>IFERROR(IF(up_Bv!N28=0,".",((s_Ir*s_F*s_I_f*s_T*(1-EXP(-up_RadSpec!BA28*s_t_v)))/(s_Y_v*up_RadSpec!BA28))),".")</f>
        <v>9.0143481925428208</v>
      </c>
      <c r="BM28" s="115">
        <f>IFERROR(IF(up_Bv!O28=0,".",((s_Ir*s_F*s_I_f*s_T*(1-EXP(-up_RadSpec!BA28*s_t_v)))/(s_Y_v*up_RadSpec!BA28))),".")</f>
        <v>9.0143481925428208</v>
      </c>
      <c r="BN28" s="115">
        <f>IFERROR(IF(up_Bv!P28=0,".",((s_Ir*s_F*s_I_f*s_T*(1-EXP(-up_RadSpec!BA28*s_t_v)))/(s_Y_v*up_RadSpec!BA28))),".")</f>
        <v>9.0143481925428208</v>
      </c>
      <c r="BO28" s="115">
        <f>IFERROR(IF(up_Bv!Q28=0,".",((s_Ir*s_F*s_I_f*s_T*(1-EXP(-up_RadSpec!BA28*s_t_v)))/(s_Y_v*up_RadSpec!BA28))),".")</f>
        <v>9.0143481925428208</v>
      </c>
      <c r="BP28" s="115">
        <f>IFERROR(IF(up_Bv!R28=0,".",((s_Ir*s_F*s_I_f*s_T*(1-EXP(-up_RadSpec!BA28*s_t_v)))/(s_Y_v*up_RadSpec!BA28))),".")</f>
        <v>9.0143481925428208</v>
      </c>
      <c r="BQ28" s="115">
        <f>IFERROR(IF(up_Bv!S28=0,".",((s_Ir*s_F*s_I_f*s_T*(1-EXP(-up_RadSpec!BA28*s_t_v)))/(s_Y_v*up_RadSpec!BA28))),".")</f>
        <v>9.0143481925428208</v>
      </c>
      <c r="BR28" s="115">
        <f>IFERROR(IF(up_Bv!T28=0,".",((s_Ir*s_F*s_I_f*s_T*(1-EXP(-up_RadSpec!BA28*s_t_v)))/(s_Y_v*up_RadSpec!BA28))),".")</f>
        <v>9.0143481925428208</v>
      </c>
      <c r="BS28" s="115">
        <f>IFERROR(IF(up_Bv!U28=0,".",((s_Ir*s_F*s_I_f*s_T*(1-EXP(-up_RadSpec!BA28*s_t_v)))/(s_Y_v*up_RadSpec!BA28))),".")</f>
        <v>9.0143481925428208</v>
      </c>
      <c r="BT28" s="115">
        <f>IFERROR(IF(up_Bv!V28=0,".",((s_Ir*s_F*s_I_f*s_T*(1-EXP(-up_RadSpec!BA28*s_t_v)))/(s_Y_v*up_RadSpec!BA28))),".")</f>
        <v>9.0143481925428208</v>
      </c>
      <c r="BU28" s="115">
        <f>IFERROR(IF(up_Bv!W28=0,".",((s_Ir*s_F*s_I_f*s_T*(1-EXP(-up_RadSpec!BA28*s_t_v)))/(s_Y_v*up_RadSpec!BA28))),".")</f>
        <v>9.0143481925428208</v>
      </c>
      <c r="BV28" s="115">
        <f>IFERROR(IF(up_Bv!X28=0,".",((s_Ir*s_F*s_I_f*s_T*(1-EXP(-up_RadSpec!BA28*s_t_v)))/(s_Y_v*up_RadSpec!BA28))),".")</f>
        <v>9.0143481925428208</v>
      </c>
      <c r="BW28" s="115">
        <f>IFERROR(IF(up_Bv!Y28=0,".",((s_Ir*s_F*s_I_f*s_T*(1-EXP(-up_RadSpec!BA28*s_t_v)))/(s_Y_v*up_RadSpec!BA28))),".")</f>
        <v>9.0143481925428208</v>
      </c>
      <c r="BX28" s="115">
        <f>IFERROR(IF(up_Bv!Z28=0,".",((s_Ir*s_F*s_I_f*s_T*(1-EXP(-up_RadSpec!BA28*s_t_v)))/(s_Y_v*up_RadSpec!BA28))),".")</f>
        <v>9.0143481925428208</v>
      </c>
      <c r="BY28" s="115">
        <f>IFERROR(IF(up_Bv!AA28=0,".",((s_Ir*s_F*s_I_f*s_T*(1-EXP(-up_RadSpec!BA28*s_t_v)))/(s_Y_v*up_RadSpec!BA28))),".")</f>
        <v>9.0143481925428208</v>
      </c>
    </row>
    <row r="29" spans="1:77" x14ac:dyDescent="0.25">
      <c r="A29" s="44" t="s">
        <v>39</v>
      </c>
      <c r="B29" s="42" t="s">
        <v>1071</v>
      </c>
      <c r="C29" s="115">
        <f>IFERROR(IF(up_Bv!C29=0,".",((s_Ir*s_F*up_Bv!C29*(1-EXP(-up_RadSpec!$AZ29*s_t_b)))/(s_P*up_RadSpec!$AZ29))),".")</f>
        <v>993.50362303732038</v>
      </c>
      <c r="D29" s="115">
        <f>IFERROR(IF(up_Bv!D29=0,".",((s_Ir*s_F*up_Bv!D29*(1-EXP(-up_RadSpec!AZ29*s_t_b)))/(s_P*up_RadSpec!AZ29))),".")</f>
        <v>993.50362303732038</v>
      </c>
      <c r="E29" s="115">
        <f>IFERROR(IF(up_Bv!E29=0,".",((s_Ir*s_F*up_Bv!E29*(1-EXP(-up_RadSpec!AZ29*s_t_b)))/(s_P*up_RadSpec!AZ29))),".")</f>
        <v>993.50362303732038</v>
      </c>
      <c r="F29" s="115">
        <f>IFERROR(IF(up_Bv!F29=0,".",((s_Ir*s_F*up_Bv!F29*(1-EXP(-up_RadSpec!AZ29*s_t_b)))/(s_P*up_RadSpec!AZ29))),".")</f>
        <v>993.50362303732038</v>
      </c>
      <c r="G29" s="115">
        <f>IFERROR(IF(up_Bv!G29=0,".",((s_Ir*s_F*up_Bv!G29*(1-EXP(-up_RadSpec!AZ29*s_t_b)))/(s_P*up_RadSpec!AZ29))),".")</f>
        <v>993.50362303732038</v>
      </c>
      <c r="H29" s="115">
        <f>IFERROR(IF(up_Bv!H29=0,".",((s_Ir*s_F*up_Bv!H29*(1-EXP(-up_RadSpec!AZ29*s_t_b)))/(s_P*up_RadSpec!AZ29))),".")</f>
        <v>993.50362303732038</v>
      </c>
      <c r="I29" s="115">
        <f>IFERROR(IF(up_Bv!I29=0,".",((s_Ir*s_F*up_Bv!I29*(1-EXP(-up_RadSpec!AZ29*s_t_b)))/(s_P*up_RadSpec!AZ29))),".")</f>
        <v>993.50362303732038</v>
      </c>
      <c r="J29" s="115">
        <f>IFERROR(IF(up_Bv!J29=0,".",((s_Ir*s_F*up_Bv!J29*(1-EXP(-up_RadSpec!AZ29*s_t_b)))/(s_P*up_RadSpec!AZ29))),".")</f>
        <v>993.50362303732038</v>
      </c>
      <c r="K29" s="115">
        <f>IFERROR(IF(up_Bv!K29=0,".",((s_Ir*s_F*up_Bv!K29*(1-EXP(-up_RadSpec!AZ29*s_t_b)))/(s_P*up_RadSpec!AZ29))),".")</f>
        <v>993.50362303732038</v>
      </c>
      <c r="L29" s="115">
        <f>IFERROR(IF(up_Bv!L29=0,".",((s_Ir*s_F*up_Bv!L29*(1-EXP(-up_RadSpec!AZ29*s_t_b)))/(s_P*up_RadSpec!AZ29))),".")</f>
        <v>993.50362303732038</v>
      </c>
      <c r="M29" s="115">
        <f>IFERROR(IF(up_Bv!M29=0,".",((s_Ir*s_F*up_Bv!M29*(1-EXP(-up_RadSpec!AZ29*s_t_b)))/(s_P*up_RadSpec!AZ29))),".")</f>
        <v>993.50362303732038</v>
      </c>
      <c r="N29" s="115">
        <f>IFERROR(IF(up_Bv!N29=0,".",((s_Ir*s_F*up_Bv!N29*(1-EXP(-up_RadSpec!AZ29*s_t_b)))/(s_P*up_RadSpec!AZ29))),".")</f>
        <v>993.50362303732038</v>
      </c>
      <c r="O29" s="115">
        <f>IFERROR(IF(up_Bv!O29=0,".",((s_Ir*s_F*up_Bv!O29*(1-EXP(-up_RadSpec!AZ29*s_t_b)))/(s_P*up_RadSpec!AZ29))),".")</f>
        <v>993.50362303732038</v>
      </c>
      <c r="P29" s="115">
        <f>IFERROR(IF(up_Bv!P29=0,".",((s_Ir*s_F*up_Bv!P29*(1-EXP(-up_RadSpec!AZ29*s_t_b)))/(s_P*up_RadSpec!AZ29))),".")</f>
        <v>993.50362303732038</v>
      </c>
      <c r="Q29" s="115">
        <f>IFERROR(IF(up_Bv!Q29=0,".",((s_Ir*s_F*up_Bv!Q29*(1-EXP(-up_RadSpec!AZ29*s_t_b)))/(s_P*up_RadSpec!AZ29))),".")</f>
        <v>993.50362303732038</v>
      </c>
      <c r="R29" s="115">
        <f>IFERROR(IF(up_Bv!R29=0,".",((s_Ir*s_F*up_Bv!R29*(1-EXP(-up_RadSpec!AZ29*s_t_b)))/(s_P*up_RadSpec!AZ29))),".")</f>
        <v>993.50362303732038</v>
      </c>
      <c r="S29" s="115">
        <f>IFERROR(IF(up_Bv!S29=0,".",((s_Ir*s_F*up_Bv!S29*(1-EXP(-up_RadSpec!AZ29*s_t_b)))/(s_P*up_RadSpec!AZ29))),".")</f>
        <v>993.50362303732038</v>
      </c>
      <c r="T29" s="115">
        <f>IFERROR(IF(up_Bv!T29=0,".",((s_Ir*s_F*up_Bv!T29*(1-EXP(-up_RadSpec!AZ29*s_t_b)))/(s_P*up_RadSpec!AZ29))),".")</f>
        <v>993.50362303732038</v>
      </c>
      <c r="U29" s="115">
        <f>IFERROR(IF(up_Bv!U29=0,".",((s_Ir*s_F*up_Bv!U29*(1-EXP(-up_RadSpec!AZ29*s_t_b)))/(s_P*up_RadSpec!AZ29))),".")</f>
        <v>993.50362303732038</v>
      </c>
      <c r="V29" s="115">
        <f>IFERROR(IF(up_Bv!V29=0,".",((s_Ir*s_F*up_Bv!V29*(1-EXP(-up_RadSpec!AZ29*s_t_b)))/(s_P*up_RadSpec!AZ29))),".")</f>
        <v>993.50362303732038</v>
      </c>
      <c r="W29" s="115">
        <f>IFERROR(IF(up_Bv!W29=0,".",((s_Ir*s_F*up_Bv!W29*(1-EXP(-up_RadSpec!AZ29*s_t_b)))/(s_P*up_RadSpec!AZ29))),".")</f>
        <v>993.50362303732038</v>
      </c>
      <c r="X29" s="115">
        <f>IFERROR(IF(up_Bv!X29=0,".",((s_Ir*s_F*up_Bv!X29*(1-EXP(-up_RadSpec!AZ29*s_t_b)))/(s_P*up_RadSpec!AZ29))),".")</f>
        <v>993.50362303732038</v>
      </c>
      <c r="Y29" s="115">
        <f>IFERROR(IF(up_Bv!Y29=0,".",((s_Ir*s_F*up_Bv!Y29*(1-EXP(-up_RadSpec!AZ29*s_t_b)))/(s_P*up_RadSpec!AZ29))),".")</f>
        <v>993.50362303732038</v>
      </c>
      <c r="Z29" s="115">
        <f>IFERROR(IF(up_Bv!Z29=0,".",((s_Ir*s_F*up_Bv!Z29*(1-EXP(-up_RadSpec!AZ29*s_t_b)))/(s_P*up_RadSpec!AZ29))),".")</f>
        <v>993.50362303732038</v>
      </c>
      <c r="AA29" s="115">
        <f>IFERROR(IF(up_Bv!AA29=0,".",((s_Ir*s_F*up_Bv!AA29*(1-EXP(-up_RadSpec!AZ29*s_t_b)))/(s_P*up_RadSpec!AZ29))),".")</f>
        <v>993.50362303732038</v>
      </c>
      <c r="AB29" s="115">
        <f>IFERROR(IF(up_Bv!C29=0,".",((s_Ir*s_F*s_MLF_apple*(1-EXP(-up_RadSpec!AZ29*s_t_b)))/(s_P*up_RadSpec!AZ29))),".")</f>
        <v>2.6824597822007652</v>
      </c>
      <c r="AC29" s="115">
        <f>IFERROR(IF(up_Bv!D29=0,".",((s_Ir*s_F*s_MLF_asparagus*(1-EXP(-up_RadSpec!AZ29*s_t_b)))/(s_P*up_RadSpec!AZ29))),".")</f>
        <v>2.6824597822007652</v>
      </c>
      <c r="AD29" s="115">
        <f>IFERROR(IF(up_Bv!E29=0,".",((s_Ir*s_F*s_MLF_beet*(1-EXP(-up_RadSpec!AZ29*s_t_b)))/(s_P*up_RadSpec!AZ29))),".")</f>
        <v>2.6824597822007652</v>
      </c>
      <c r="AE29" s="115">
        <f>IFERROR(IF(up_Bv!F29=0,".",((s_Ir*s_F*s_MLF_berries*(1-EXP(-up_RadSpec!AZ29*s_t_b)))/(s_P*up_RadSpec!AZ29))),".")</f>
        <v>2.6824597822007652</v>
      </c>
      <c r="AF29" s="115">
        <f>IFERROR(IF(up_Bv!G29=0,".",((s_Ir*s_F*s_MLF_broccoli*(1-EXP(-up_RadSpec!AZ29*s_t_b)))/(s_P*up_RadSpec!AZ29))),".")</f>
        <v>2.6824597822007652</v>
      </c>
      <c r="AG29" s="115">
        <f>IFERROR(IF(up_Bv!H29=0,".",((s_Ir*s_F*s_MLF_cabbage*(1-EXP(-up_RadSpec!AZ29*s_t_b)))/(s_P*up_RadSpec!AZ29))),".")</f>
        <v>2.6824597822007652</v>
      </c>
      <c r="AH29" s="115">
        <f>IFERROR(IF(up_Bv!I29=0,".",((s_Ir*s_F*s_MLF_carrot*(1-EXP(-up_RadSpec!AZ29*s_t_b)))/(s_P*up_RadSpec!AZ29))),".")</f>
        <v>2.6824597822007652</v>
      </c>
      <c r="AI29" s="115">
        <f>IFERROR(IF(up_Bv!J29=0,".",((s_Ir*s_F*s_MLF_citrus*(1-EXP(-up_RadSpec!AZ29*s_t_b)))/(s_P*up_RadSpec!AZ29))),".")</f>
        <v>2.6824597822007652</v>
      </c>
      <c r="AJ29" s="115">
        <f>IFERROR(IF(up_Bv!K29=0,".",((s_Ir*s_F*s_MLF_corn*(1-EXP(-up_RadSpec!AZ29*s_t_b)))/(s_P*up_RadSpec!AZ29))),".")</f>
        <v>2.6824597822007652</v>
      </c>
      <c r="AK29" s="115">
        <f>IFERROR(IF(up_Bv!L29=0,".",((s_Ir*s_F*s_MLF_cucumber*(1-EXP(-up_RadSpec!AZ29*s_t_b)))/(s_P*up_RadSpec!AZ29))),".")</f>
        <v>2.6824597822007652</v>
      </c>
      <c r="AL29" s="115">
        <f>IFERROR(IF(up_Bv!M29=0,".",((s_Ir*s_F*s_MLF_lettuce*(1-EXP(-up_RadSpec!AZ29*s_t_b)))/(s_P*up_RadSpec!AZ29))),".")</f>
        <v>2.6824597822007652</v>
      </c>
      <c r="AM29" s="115">
        <f>IFERROR(IF(up_Bv!N29=0,".",((s_Ir*s_F*s_MLF_lima_bean*(1-EXP(-up_RadSpec!AZ29*s_t_b)))/(s_P*up_RadSpec!AZ29))),".")</f>
        <v>2.6824597822007652</v>
      </c>
      <c r="AN29" s="115">
        <f>IFERROR(IF(up_Bv!O29=0,".",((s_Ir*s_F*s_MLF_okra*(1-EXP(-up_RadSpec!AZ29*s_t_b)))/(s_P*up_RadSpec!AZ29))),".")</f>
        <v>2.6824597822007652</v>
      </c>
      <c r="AO29" s="115">
        <f>IFERROR(IF(up_Bv!P29=0,".",((s_Ir*s_F*s_MLF_onion*(1-EXP(-up_RadSpec!AZ29*s_t_b)))/(s_P*up_RadSpec!AZ29))),".")</f>
        <v>2.6824597822007652</v>
      </c>
      <c r="AP29" s="115">
        <f>IFERROR(IF(up_Bv!Q29=0,".",((s_Ir*s_F*s_MLF_peach*(1-EXP(-up_RadSpec!AZ29*s_t_b)))/(s_P*up_RadSpec!AZ29))),".")</f>
        <v>2.6824597822007652</v>
      </c>
      <c r="AQ29" s="115">
        <f>IFERROR(IF(up_Bv!R29=0,".",((s_Ir*s_F*s_MLF_pear*(1-EXP(-up_RadSpec!AZ29*s_t_b)))/(s_P*up_RadSpec!AZ29))),".")</f>
        <v>2.6824597822007652</v>
      </c>
      <c r="AR29" s="115">
        <f>IFERROR(IF(up_Bv!S29=0,".",((s_Ir*s_F*s_MLF_peas*(1-EXP(-up_RadSpec!AZ29*s_t_b)))/(s_P*up_RadSpec!AZ29))),".")</f>
        <v>2.6824597822007652</v>
      </c>
      <c r="AS29" s="115">
        <f>IFERROR(IF(up_Bv!T29=0,".",((s_Ir*s_F*s_MLF_peppers*(1-EXP(-up_RadSpec!AZ29*s_t_b)))/(s_P*up_RadSpec!AZ29))),".")</f>
        <v>2.6824597822007652</v>
      </c>
      <c r="AT29" s="115">
        <f>IFERROR(IF(up_Bv!U29=0,".",((s_Ir*s_F*s_MLF_potato*(1-EXP(-up_RadSpec!AZ29*s_t_b)))/(s_P*up_RadSpec!AZ29))),".")</f>
        <v>2.6824597822007652</v>
      </c>
      <c r="AU29" s="115">
        <f>IFERROR(IF(up_Bv!V29=0,".",((s_Ir*s_F*s_MLF_pumpkin*(1-EXP(-up_RadSpec!AZ29*s_t_b)))/(s_P*up_RadSpec!AZ29))),".")</f>
        <v>2.6824597822007652</v>
      </c>
      <c r="AV29" s="115">
        <f>IFERROR(IF(up_Bv!W29=0,".",((s_Ir*s_F*s_MLF_snap_bean*(1-EXP(-up_RadSpec!AZ29*s_t_b)))/(s_P*up_RadSpec!AZ29))),".")</f>
        <v>2.6824597822007652</v>
      </c>
      <c r="AW29" s="115">
        <f>IFERROR(IF(up_Bv!X29=0,".",((s_Ir*s_F*s_MLF_strawberry*(1-EXP(-up_RadSpec!AZ29*s_t_b)))/(s_P*up_RadSpec!AZ29))),".")</f>
        <v>2.6824597822007652</v>
      </c>
      <c r="AX29" s="115">
        <f>IFERROR(IF(up_Bv!Y29=0,".",((s_Ir*s_F*s_MLF_tomato*(1-EXP(-up_RadSpec!AZ29*s_t_b)))/(s_P*up_RadSpec!AZ29))),".")</f>
        <v>2.6824597822007652</v>
      </c>
      <c r="AY29" s="115">
        <f>IFERROR(IF(up_Bv!Z29=0,".",((s_Ir*s_F*s_MLF_rice*(1-EXP(-up_RadSpec!AZ29*s_t_b)))/(s_P*up_RadSpec!AZ29))),".")</f>
        <v>2.6824597822007652</v>
      </c>
      <c r="AZ29" s="115">
        <f>IFERROR(IF(up_Bv!AA29=0,".",((s_Ir*s_F*s_MLF_cereal*(1-EXP(-up_RadSpec!AZ29*s_t_b)))/(s_P*up_RadSpec!AZ29))),".")</f>
        <v>2.6824597822007652</v>
      </c>
      <c r="BA29" s="115">
        <f>IFERROR(IF(up_Bv!C29=0,".",((s_Ir*s_F*s_I_f*s_T*(1-EXP(-up_RadSpec!BA29*s_t_v)))/(s_Y_v*up_RadSpec!BA29))),".")</f>
        <v>9.0143481925428208</v>
      </c>
      <c r="BB29" s="115">
        <f>IFERROR(IF(up_Bv!D29=0,".",((s_Ir*s_F*s_I_f*s_T*(1-EXP(-up_RadSpec!BA29*s_t_v)))/(s_Y_v*up_RadSpec!BA29))),".")</f>
        <v>9.0143481925428208</v>
      </c>
      <c r="BC29" s="115">
        <f>IFERROR(IF(up_Bv!E29=0,".",((s_Ir*s_F*s_I_f*s_T*(1-EXP(-up_RadSpec!BA29*s_t_v)))/(s_Y_v*up_RadSpec!BA29))),".")</f>
        <v>9.0143481925428208</v>
      </c>
      <c r="BD29" s="115">
        <f>IFERROR(IF(up_Bv!F29=0,".",((s_Ir*s_F*s_I_f*s_T*(1-EXP(-up_RadSpec!BA29*s_t_v)))/(s_Y_v*up_RadSpec!BA29))),".")</f>
        <v>9.0143481925428208</v>
      </c>
      <c r="BE29" s="115">
        <f>IFERROR(IF(up_Bv!G29=0,".",((s_Ir*s_F*s_I_f*s_T*(1-EXP(-up_RadSpec!BA29*s_t_v)))/(s_Y_v*up_RadSpec!BA29))),".")</f>
        <v>9.0143481925428208</v>
      </c>
      <c r="BF29" s="115">
        <f>IFERROR(IF(up_Bv!H29=0,".",((s_Ir*s_F*s_I_f*s_T*(1-EXP(-up_RadSpec!BA29*s_t_v)))/(s_Y_v*up_RadSpec!BA29))),".")</f>
        <v>9.0143481925428208</v>
      </c>
      <c r="BG29" s="115">
        <f>IFERROR(IF(up_Bv!I29=0,".",((s_Ir*s_F*s_I_f*s_T*(1-EXP(-up_RadSpec!BA29*s_t_v)))/(s_Y_v*up_RadSpec!BA29))),".")</f>
        <v>9.0143481925428208</v>
      </c>
      <c r="BH29" s="115">
        <f>IFERROR(IF(up_Bv!J29=0,".",((s_Ir*s_F*s_I_f*s_T*(1-EXP(-up_RadSpec!BA29*s_t_v)))/(s_Y_v*up_RadSpec!BA29))),".")</f>
        <v>9.0143481925428208</v>
      </c>
      <c r="BI29" s="115">
        <f>IFERROR(IF(up_Bv!K29=0,".",((s_Ir*s_F*s_I_f*s_T*(1-EXP(-up_RadSpec!BA29*s_t_v)))/(s_Y_v*up_RadSpec!BA29))),".")</f>
        <v>9.0143481925428208</v>
      </c>
      <c r="BJ29" s="115">
        <f>IFERROR(IF(up_Bv!L29=0,".",((s_Ir*s_F*s_I_f*s_T*(1-EXP(-up_RadSpec!BA29*s_t_v)))/(s_Y_v*up_RadSpec!BA29))),".")</f>
        <v>9.0143481925428208</v>
      </c>
      <c r="BK29" s="115">
        <f>IFERROR(IF(up_Bv!M29=0,".",((s_Ir*s_F*s_I_f*s_T*(1-EXP(-up_RadSpec!BA29*s_t_v)))/(s_Y_v*up_RadSpec!BA29))),".")</f>
        <v>9.0143481925428208</v>
      </c>
      <c r="BL29" s="115">
        <f>IFERROR(IF(up_Bv!N29=0,".",((s_Ir*s_F*s_I_f*s_T*(1-EXP(-up_RadSpec!BA29*s_t_v)))/(s_Y_v*up_RadSpec!BA29))),".")</f>
        <v>9.0143481925428208</v>
      </c>
      <c r="BM29" s="115">
        <f>IFERROR(IF(up_Bv!O29=0,".",((s_Ir*s_F*s_I_f*s_T*(1-EXP(-up_RadSpec!BA29*s_t_v)))/(s_Y_v*up_RadSpec!BA29))),".")</f>
        <v>9.0143481925428208</v>
      </c>
      <c r="BN29" s="115">
        <f>IFERROR(IF(up_Bv!P29=0,".",((s_Ir*s_F*s_I_f*s_T*(1-EXP(-up_RadSpec!BA29*s_t_v)))/(s_Y_v*up_RadSpec!BA29))),".")</f>
        <v>9.0143481925428208</v>
      </c>
      <c r="BO29" s="115">
        <f>IFERROR(IF(up_Bv!Q29=0,".",((s_Ir*s_F*s_I_f*s_T*(1-EXP(-up_RadSpec!BA29*s_t_v)))/(s_Y_v*up_RadSpec!BA29))),".")</f>
        <v>9.0143481925428208</v>
      </c>
      <c r="BP29" s="115">
        <f>IFERROR(IF(up_Bv!R29=0,".",((s_Ir*s_F*s_I_f*s_T*(1-EXP(-up_RadSpec!BA29*s_t_v)))/(s_Y_v*up_RadSpec!BA29))),".")</f>
        <v>9.0143481925428208</v>
      </c>
      <c r="BQ29" s="115">
        <f>IFERROR(IF(up_Bv!S29=0,".",((s_Ir*s_F*s_I_f*s_T*(1-EXP(-up_RadSpec!BA29*s_t_v)))/(s_Y_v*up_RadSpec!BA29))),".")</f>
        <v>9.0143481925428208</v>
      </c>
      <c r="BR29" s="115">
        <f>IFERROR(IF(up_Bv!T29=0,".",((s_Ir*s_F*s_I_f*s_T*(1-EXP(-up_RadSpec!BA29*s_t_v)))/(s_Y_v*up_RadSpec!BA29))),".")</f>
        <v>9.0143481925428208</v>
      </c>
      <c r="BS29" s="115">
        <f>IFERROR(IF(up_Bv!U29=0,".",((s_Ir*s_F*s_I_f*s_T*(1-EXP(-up_RadSpec!BA29*s_t_v)))/(s_Y_v*up_RadSpec!BA29))),".")</f>
        <v>9.0143481925428208</v>
      </c>
      <c r="BT29" s="115">
        <f>IFERROR(IF(up_Bv!V29=0,".",((s_Ir*s_F*s_I_f*s_T*(1-EXP(-up_RadSpec!BA29*s_t_v)))/(s_Y_v*up_RadSpec!BA29))),".")</f>
        <v>9.0143481925428208</v>
      </c>
      <c r="BU29" s="115">
        <f>IFERROR(IF(up_Bv!W29=0,".",((s_Ir*s_F*s_I_f*s_T*(1-EXP(-up_RadSpec!BA29*s_t_v)))/(s_Y_v*up_RadSpec!BA29))),".")</f>
        <v>9.0143481925428208</v>
      </c>
      <c r="BV29" s="115">
        <f>IFERROR(IF(up_Bv!X29=0,".",((s_Ir*s_F*s_I_f*s_T*(1-EXP(-up_RadSpec!BA29*s_t_v)))/(s_Y_v*up_RadSpec!BA29))),".")</f>
        <v>9.0143481925428208</v>
      </c>
      <c r="BW29" s="115">
        <f>IFERROR(IF(up_Bv!Y29=0,".",((s_Ir*s_F*s_I_f*s_T*(1-EXP(-up_RadSpec!BA29*s_t_v)))/(s_Y_v*up_RadSpec!BA29))),".")</f>
        <v>9.0143481925428208</v>
      </c>
      <c r="BX29" s="115">
        <f>IFERROR(IF(up_Bv!Z29=0,".",((s_Ir*s_F*s_I_f*s_T*(1-EXP(-up_RadSpec!BA29*s_t_v)))/(s_Y_v*up_RadSpec!BA29))),".")</f>
        <v>9.0143481925428208</v>
      </c>
      <c r="BY29" s="115">
        <f>IFERROR(IF(up_Bv!AA29=0,".",((s_Ir*s_F*s_I_f*s_T*(1-EXP(-up_RadSpec!BA29*s_t_v)))/(s_Y_v*up_RadSpec!BA29))),".")</f>
        <v>9.0143481925428208</v>
      </c>
    </row>
    <row r="30" spans="1:77" x14ac:dyDescent="0.25">
      <c r="A30" s="44" t="s">
        <v>40</v>
      </c>
      <c r="B30" s="42" t="s">
        <v>1071</v>
      </c>
      <c r="C30" s="115">
        <f>IFERROR(IF(up_Bv!C30=0,".",((s_Ir*s_F*up_Bv!C30*(1-EXP(-up_RadSpec!$AZ30*s_t_b)))/(s_P*up_RadSpec!$AZ30))),".")</f>
        <v>993.50362303732038</v>
      </c>
      <c r="D30" s="115">
        <f>IFERROR(IF(up_Bv!D30=0,".",((s_Ir*s_F*up_Bv!D30*(1-EXP(-up_RadSpec!AZ30*s_t_b)))/(s_P*up_RadSpec!AZ30))),".")</f>
        <v>993.50362303732038</v>
      </c>
      <c r="E30" s="115">
        <f>IFERROR(IF(up_Bv!E30=0,".",((s_Ir*s_F*up_Bv!E30*(1-EXP(-up_RadSpec!AZ30*s_t_b)))/(s_P*up_RadSpec!AZ30))),".")</f>
        <v>993.50362303732038</v>
      </c>
      <c r="F30" s="115">
        <f>IFERROR(IF(up_Bv!F30=0,".",((s_Ir*s_F*up_Bv!F30*(1-EXP(-up_RadSpec!AZ30*s_t_b)))/(s_P*up_RadSpec!AZ30))),".")</f>
        <v>993.50362303732038</v>
      </c>
      <c r="G30" s="115">
        <f>IFERROR(IF(up_Bv!G30=0,".",((s_Ir*s_F*up_Bv!G30*(1-EXP(-up_RadSpec!AZ30*s_t_b)))/(s_P*up_RadSpec!AZ30))),".")</f>
        <v>993.50362303732038</v>
      </c>
      <c r="H30" s="115">
        <f>IFERROR(IF(up_Bv!H30=0,".",((s_Ir*s_F*up_Bv!H30*(1-EXP(-up_RadSpec!AZ30*s_t_b)))/(s_P*up_RadSpec!AZ30))),".")</f>
        <v>993.50362303732038</v>
      </c>
      <c r="I30" s="115">
        <f>IFERROR(IF(up_Bv!I30=0,".",((s_Ir*s_F*up_Bv!I30*(1-EXP(-up_RadSpec!AZ30*s_t_b)))/(s_P*up_RadSpec!AZ30))),".")</f>
        <v>993.50362303732038</v>
      </c>
      <c r="J30" s="115">
        <f>IFERROR(IF(up_Bv!J30=0,".",((s_Ir*s_F*up_Bv!J30*(1-EXP(-up_RadSpec!AZ30*s_t_b)))/(s_P*up_RadSpec!AZ30))),".")</f>
        <v>993.50362303732038</v>
      </c>
      <c r="K30" s="115">
        <f>IFERROR(IF(up_Bv!K30=0,".",((s_Ir*s_F*up_Bv!K30*(1-EXP(-up_RadSpec!AZ30*s_t_b)))/(s_P*up_RadSpec!AZ30))),".")</f>
        <v>993.50362303732038</v>
      </c>
      <c r="L30" s="115">
        <f>IFERROR(IF(up_Bv!L30=0,".",((s_Ir*s_F*up_Bv!L30*(1-EXP(-up_RadSpec!AZ30*s_t_b)))/(s_P*up_RadSpec!AZ30))),".")</f>
        <v>993.50362303732038</v>
      </c>
      <c r="M30" s="115">
        <f>IFERROR(IF(up_Bv!M30=0,".",((s_Ir*s_F*up_Bv!M30*(1-EXP(-up_RadSpec!AZ30*s_t_b)))/(s_P*up_RadSpec!AZ30))),".")</f>
        <v>993.50362303732038</v>
      </c>
      <c r="N30" s="115">
        <f>IFERROR(IF(up_Bv!N30=0,".",((s_Ir*s_F*up_Bv!N30*(1-EXP(-up_RadSpec!AZ30*s_t_b)))/(s_P*up_RadSpec!AZ30))),".")</f>
        <v>993.50362303732038</v>
      </c>
      <c r="O30" s="115">
        <f>IFERROR(IF(up_Bv!O30=0,".",((s_Ir*s_F*up_Bv!O30*(1-EXP(-up_RadSpec!AZ30*s_t_b)))/(s_P*up_RadSpec!AZ30))),".")</f>
        <v>993.50362303732038</v>
      </c>
      <c r="P30" s="115">
        <f>IFERROR(IF(up_Bv!P30=0,".",((s_Ir*s_F*up_Bv!P30*(1-EXP(-up_RadSpec!AZ30*s_t_b)))/(s_P*up_RadSpec!AZ30))),".")</f>
        <v>993.50362303732038</v>
      </c>
      <c r="Q30" s="115">
        <f>IFERROR(IF(up_Bv!Q30=0,".",((s_Ir*s_F*up_Bv!Q30*(1-EXP(-up_RadSpec!AZ30*s_t_b)))/(s_P*up_RadSpec!AZ30))),".")</f>
        <v>993.50362303732038</v>
      </c>
      <c r="R30" s="115">
        <f>IFERROR(IF(up_Bv!R30=0,".",((s_Ir*s_F*up_Bv!R30*(1-EXP(-up_RadSpec!AZ30*s_t_b)))/(s_P*up_RadSpec!AZ30))),".")</f>
        <v>993.50362303732038</v>
      </c>
      <c r="S30" s="115">
        <f>IFERROR(IF(up_Bv!S30=0,".",((s_Ir*s_F*up_Bv!S30*(1-EXP(-up_RadSpec!AZ30*s_t_b)))/(s_P*up_RadSpec!AZ30))),".")</f>
        <v>993.50362303732038</v>
      </c>
      <c r="T30" s="115">
        <f>IFERROR(IF(up_Bv!T30=0,".",((s_Ir*s_F*up_Bv!T30*(1-EXP(-up_RadSpec!AZ30*s_t_b)))/(s_P*up_RadSpec!AZ30))),".")</f>
        <v>993.50362303732038</v>
      </c>
      <c r="U30" s="115">
        <f>IFERROR(IF(up_Bv!U30=0,".",((s_Ir*s_F*up_Bv!U30*(1-EXP(-up_RadSpec!AZ30*s_t_b)))/(s_P*up_RadSpec!AZ30))),".")</f>
        <v>993.50362303732038</v>
      </c>
      <c r="V30" s="115">
        <f>IFERROR(IF(up_Bv!V30=0,".",((s_Ir*s_F*up_Bv!V30*(1-EXP(-up_RadSpec!AZ30*s_t_b)))/(s_P*up_RadSpec!AZ30))),".")</f>
        <v>993.50362303732038</v>
      </c>
      <c r="W30" s="115">
        <f>IFERROR(IF(up_Bv!W30=0,".",((s_Ir*s_F*up_Bv!W30*(1-EXP(-up_RadSpec!AZ30*s_t_b)))/(s_P*up_RadSpec!AZ30))),".")</f>
        <v>993.50362303732038</v>
      </c>
      <c r="X30" s="115">
        <f>IFERROR(IF(up_Bv!X30=0,".",((s_Ir*s_F*up_Bv!X30*(1-EXP(-up_RadSpec!AZ30*s_t_b)))/(s_P*up_RadSpec!AZ30))),".")</f>
        <v>993.50362303732038</v>
      </c>
      <c r="Y30" s="115">
        <f>IFERROR(IF(up_Bv!Y30=0,".",((s_Ir*s_F*up_Bv!Y30*(1-EXP(-up_RadSpec!AZ30*s_t_b)))/(s_P*up_RadSpec!AZ30))),".")</f>
        <v>993.50362303732038</v>
      </c>
      <c r="Z30" s="115">
        <f>IFERROR(IF(up_Bv!Z30=0,".",((s_Ir*s_F*up_Bv!Z30*(1-EXP(-up_RadSpec!AZ30*s_t_b)))/(s_P*up_RadSpec!AZ30))),".")</f>
        <v>993.50362303732038</v>
      </c>
      <c r="AA30" s="115">
        <f>IFERROR(IF(up_Bv!AA30=0,".",((s_Ir*s_F*up_Bv!AA30*(1-EXP(-up_RadSpec!AZ30*s_t_b)))/(s_P*up_RadSpec!AZ30))),".")</f>
        <v>993.50362303732038</v>
      </c>
      <c r="AB30" s="115">
        <f>IFERROR(IF(up_Bv!C30=0,".",((s_Ir*s_F*s_MLF_apple*(1-EXP(-up_RadSpec!AZ30*s_t_b)))/(s_P*up_RadSpec!AZ30))),".")</f>
        <v>2.6824597822007652</v>
      </c>
      <c r="AC30" s="115">
        <f>IFERROR(IF(up_Bv!D30=0,".",((s_Ir*s_F*s_MLF_asparagus*(1-EXP(-up_RadSpec!AZ30*s_t_b)))/(s_P*up_RadSpec!AZ30))),".")</f>
        <v>2.6824597822007652</v>
      </c>
      <c r="AD30" s="115">
        <f>IFERROR(IF(up_Bv!E30=0,".",((s_Ir*s_F*s_MLF_beet*(1-EXP(-up_RadSpec!AZ30*s_t_b)))/(s_P*up_RadSpec!AZ30))),".")</f>
        <v>2.6824597822007652</v>
      </c>
      <c r="AE30" s="115">
        <f>IFERROR(IF(up_Bv!F30=0,".",((s_Ir*s_F*s_MLF_berries*(1-EXP(-up_RadSpec!AZ30*s_t_b)))/(s_P*up_RadSpec!AZ30))),".")</f>
        <v>2.6824597822007652</v>
      </c>
      <c r="AF30" s="115">
        <f>IFERROR(IF(up_Bv!G30=0,".",((s_Ir*s_F*s_MLF_broccoli*(1-EXP(-up_RadSpec!AZ30*s_t_b)))/(s_P*up_RadSpec!AZ30))),".")</f>
        <v>2.6824597822007652</v>
      </c>
      <c r="AG30" s="115">
        <f>IFERROR(IF(up_Bv!H30=0,".",((s_Ir*s_F*s_MLF_cabbage*(1-EXP(-up_RadSpec!AZ30*s_t_b)))/(s_P*up_RadSpec!AZ30))),".")</f>
        <v>2.6824597822007652</v>
      </c>
      <c r="AH30" s="115">
        <f>IFERROR(IF(up_Bv!I30=0,".",((s_Ir*s_F*s_MLF_carrot*(1-EXP(-up_RadSpec!AZ30*s_t_b)))/(s_P*up_RadSpec!AZ30))),".")</f>
        <v>2.6824597822007652</v>
      </c>
      <c r="AI30" s="115">
        <f>IFERROR(IF(up_Bv!J30=0,".",((s_Ir*s_F*s_MLF_citrus*(1-EXP(-up_RadSpec!AZ30*s_t_b)))/(s_P*up_RadSpec!AZ30))),".")</f>
        <v>2.6824597822007652</v>
      </c>
      <c r="AJ30" s="115">
        <f>IFERROR(IF(up_Bv!K30=0,".",((s_Ir*s_F*s_MLF_corn*(1-EXP(-up_RadSpec!AZ30*s_t_b)))/(s_P*up_RadSpec!AZ30))),".")</f>
        <v>2.6824597822007652</v>
      </c>
      <c r="AK30" s="115">
        <f>IFERROR(IF(up_Bv!L30=0,".",((s_Ir*s_F*s_MLF_cucumber*(1-EXP(-up_RadSpec!AZ30*s_t_b)))/(s_P*up_RadSpec!AZ30))),".")</f>
        <v>2.6824597822007652</v>
      </c>
      <c r="AL30" s="115">
        <f>IFERROR(IF(up_Bv!M30=0,".",((s_Ir*s_F*s_MLF_lettuce*(1-EXP(-up_RadSpec!AZ30*s_t_b)))/(s_P*up_RadSpec!AZ30))),".")</f>
        <v>2.6824597822007652</v>
      </c>
      <c r="AM30" s="115">
        <f>IFERROR(IF(up_Bv!N30=0,".",((s_Ir*s_F*s_MLF_lima_bean*(1-EXP(-up_RadSpec!AZ30*s_t_b)))/(s_P*up_RadSpec!AZ30))),".")</f>
        <v>2.6824597822007652</v>
      </c>
      <c r="AN30" s="115">
        <f>IFERROR(IF(up_Bv!O30=0,".",((s_Ir*s_F*s_MLF_okra*(1-EXP(-up_RadSpec!AZ30*s_t_b)))/(s_P*up_RadSpec!AZ30))),".")</f>
        <v>2.6824597822007652</v>
      </c>
      <c r="AO30" s="115">
        <f>IFERROR(IF(up_Bv!P30=0,".",((s_Ir*s_F*s_MLF_onion*(1-EXP(-up_RadSpec!AZ30*s_t_b)))/(s_P*up_RadSpec!AZ30))),".")</f>
        <v>2.6824597822007652</v>
      </c>
      <c r="AP30" s="115">
        <f>IFERROR(IF(up_Bv!Q30=0,".",((s_Ir*s_F*s_MLF_peach*(1-EXP(-up_RadSpec!AZ30*s_t_b)))/(s_P*up_RadSpec!AZ30))),".")</f>
        <v>2.6824597822007652</v>
      </c>
      <c r="AQ30" s="115">
        <f>IFERROR(IF(up_Bv!R30=0,".",((s_Ir*s_F*s_MLF_pear*(1-EXP(-up_RadSpec!AZ30*s_t_b)))/(s_P*up_RadSpec!AZ30))),".")</f>
        <v>2.6824597822007652</v>
      </c>
      <c r="AR30" s="115">
        <f>IFERROR(IF(up_Bv!S30=0,".",((s_Ir*s_F*s_MLF_peas*(1-EXP(-up_RadSpec!AZ30*s_t_b)))/(s_P*up_RadSpec!AZ30))),".")</f>
        <v>2.6824597822007652</v>
      </c>
      <c r="AS30" s="115">
        <f>IFERROR(IF(up_Bv!T30=0,".",((s_Ir*s_F*s_MLF_peppers*(1-EXP(-up_RadSpec!AZ30*s_t_b)))/(s_P*up_RadSpec!AZ30))),".")</f>
        <v>2.6824597822007652</v>
      </c>
      <c r="AT30" s="115">
        <f>IFERROR(IF(up_Bv!U30=0,".",((s_Ir*s_F*s_MLF_potato*(1-EXP(-up_RadSpec!AZ30*s_t_b)))/(s_P*up_RadSpec!AZ30))),".")</f>
        <v>2.6824597822007652</v>
      </c>
      <c r="AU30" s="115">
        <f>IFERROR(IF(up_Bv!V30=0,".",((s_Ir*s_F*s_MLF_pumpkin*(1-EXP(-up_RadSpec!AZ30*s_t_b)))/(s_P*up_RadSpec!AZ30))),".")</f>
        <v>2.6824597822007652</v>
      </c>
      <c r="AV30" s="115">
        <f>IFERROR(IF(up_Bv!W30=0,".",((s_Ir*s_F*s_MLF_snap_bean*(1-EXP(-up_RadSpec!AZ30*s_t_b)))/(s_P*up_RadSpec!AZ30))),".")</f>
        <v>2.6824597822007652</v>
      </c>
      <c r="AW30" s="115">
        <f>IFERROR(IF(up_Bv!X30=0,".",((s_Ir*s_F*s_MLF_strawberry*(1-EXP(-up_RadSpec!AZ30*s_t_b)))/(s_P*up_RadSpec!AZ30))),".")</f>
        <v>2.6824597822007652</v>
      </c>
      <c r="AX30" s="115">
        <f>IFERROR(IF(up_Bv!Y30=0,".",((s_Ir*s_F*s_MLF_tomato*(1-EXP(-up_RadSpec!AZ30*s_t_b)))/(s_P*up_RadSpec!AZ30))),".")</f>
        <v>2.6824597822007652</v>
      </c>
      <c r="AY30" s="115">
        <f>IFERROR(IF(up_Bv!Z30=0,".",((s_Ir*s_F*s_MLF_rice*(1-EXP(-up_RadSpec!AZ30*s_t_b)))/(s_P*up_RadSpec!AZ30))),".")</f>
        <v>2.6824597822007652</v>
      </c>
      <c r="AZ30" s="115">
        <f>IFERROR(IF(up_Bv!AA30=0,".",((s_Ir*s_F*s_MLF_cereal*(1-EXP(-up_RadSpec!AZ30*s_t_b)))/(s_P*up_RadSpec!AZ30))),".")</f>
        <v>2.6824597822007652</v>
      </c>
      <c r="BA30" s="115">
        <f>IFERROR(IF(up_Bv!C30=0,".",((s_Ir*s_F*s_I_f*s_T*(1-EXP(-up_RadSpec!BA30*s_t_v)))/(s_Y_v*up_RadSpec!BA30))),".")</f>
        <v>9.0143481925428208</v>
      </c>
      <c r="BB30" s="115">
        <f>IFERROR(IF(up_Bv!D30=0,".",((s_Ir*s_F*s_I_f*s_T*(1-EXP(-up_RadSpec!BA30*s_t_v)))/(s_Y_v*up_RadSpec!BA30))),".")</f>
        <v>9.0143481925428208</v>
      </c>
      <c r="BC30" s="115">
        <f>IFERROR(IF(up_Bv!E30=0,".",((s_Ir*s_F*s_I_f*s_T*(1-EXP(-up_RadSpec!BA30*s_t_v)))/(s_Y_v*up_RadSpec!BA30))),".")</f>
        <v>9.0143481925428208</v>
      </c>
      <c r="BD30" s="115">
        <f>IFERROR(IF(up_Bv!F30=0,".",((s_Ir*s_F*s_I_f*s_T*(1-EXP(-up_RadSpec!BA30*s_t_v)))/(s_Y_v*up_RadSpec!BA30))),".")</f>
        <v>9.0143481925428208</v>
      </c>
      <c r="BE30" s="115">
        <f>IFERROR(IF(up_Bv!G30=0,".",((s_Ir*s_F*s_I_f*s_T*(1-EXP(-up_RadSpec!BA30*s_t_v)))/(s_Y_v*up_RadSpec!BA30))),".")</f>
        <v>9.0143481925428208</v>
      </c>
      <c r="BF30" s="115">
        <f>IFERROR(IF(up_Bv!H30=0,".",((s_Ir*s_F*s_I_f*s_T*(1-EXP(-up_RadSpec!BA30*s_t_v)))/(s_Y_v*up_RadSpec!BA30))),".")</f>
        <v>9.0143481925428208</v>
      </c>
      <c r="BG30" s="115">
        <f>IFERROR(IF(up_Bv!I30=0,".",((s_Ir*s_F*s_I_f*s_T*(1-EXP(-up_RadSpec!BA30*s_t_v)))/(s_Y_v*up_RadSpec!BA30))),".")</f>
        <v>9.0143481925428208</v>
      </c>
      <c r="BH30" s="115">
        <f>IFERROR(IF(up_Bv!J30=0,".",((s_Ir*s_F*s_I_f*s_T*(1-EXP(-up_RadSpec!BA30*s_t_v)))/(s_Y_v*up_RadSpec!BA30))),".")</f>
        <v>9.0143481925428208</v>
      </c>
      <c r="BI30" s="115">
        <f>IFERROR(IF(up_Bv!K30=0,".",((s_Ir*s_F*s_I_f*s_T*(1-EXP(-up_RadSpec!BA30*s_t_v)))/(s_Y_v*up_RadSpec!BA30))),".")</f>
        <v>9.0143481925428208</v>
      </c>
      <c r="BJ30" s="115">
        <f>IFERROR(IF(up_Bv!L30=0,".",((s_Ir*s_F*s_I_f*s_T*(1-EXP(-up_RadSpec!BA30*s_t_v)))/(s_Y_v*up_RadSpec!BA30))),".")</f>
        <v>9.0143481925428208</v>
      </c>
      <c r="BK30" s="115">
        <f>IFERROR(IF(up_Bv!M30=0,".",((s_Ir*s_F*s_I_f*s_T*(1-EXP(-up_RadSpec!BA30*s_t_v)))/(s_Y_v*up_RadSpec!BA30))),".")</f>
        <v>9.0143481925428208</v>
      </c>
      <c r="BL30" s="115">
        <f>IFERROR(IF(up_Bv!N30=0,".",((s_Ir*s_F*s_I_f*s_T*(1-EXP(-up_RadSpec!BA30*s_t_v)))/(s_Y_v*up_RadSpec!BA30))),".")</f>
        <v>9.0143481925428208</v>
      </c>
      <c r="BM30" s="115">
        <f>IFERROR(IF(up_Bv!O30=0,".",((s_Ir*s_F*s_I_f*s_T*(1-EXP(-up_RadSpec!BA30*s_t_v)))/(s_Y_v*up_RadSpec!BA30))),".")</f>
        <v>9.0143481925428208</v>
      </c>
      <c r="BN30" s="115">
        <f>IFERROR(IF(up_Bv!P30=0,".",((s_Ir*s_F*s_I_f*s_T*(1-EXP(-up_RadSpec!BA30*s_t_v)))/(s_Y_v*up_RadSpec!BA30))),".")</f>
        <v>9.0143481925428208</v>
      </c>
      <c r="BO30" s="115">
        <f>IFERROR(IF(up_Bv!Q30=0,".",((s_Ir*s_F*s_I_f*s_T*(1-EXP(-up_RadSpec!BA30*s_t_v)))/(s_Y_v*up_RadSpec!BA30))),".")</f>
        <v>9.0143481925428208</v>
      </c>
      <c r="BP30" s="115">
        <f>IFERROR(IF(up_Bv!R30=0,".",((s_Ir*s_F*s_I_f*s_T*(1-EXP(-up_RadSpec!BA30*s_t_v)))/(s_Y_v*up_RadSpec!BA30))),".")</f>
        <v>9.0143481925428208</v>
      </c>
      <c r="BQ30" s="115">
        <f>IFERROR(IF(up_Bv!S30=0,".",((s_Ir*s_F*s_I_f*s_T*(1-EXP(-up_RadSpec!BA30*s_t_v)))/(s_Y_v*up_RadSpec!BA30))),".")</f>
        <v>9.0143481925428208</v>
      </c>
      <c r="BR30" s="115">
        <f>IFERROR(IF(up_Bv!T30=0,".",((s_Ir*s_F*s_I_f*s_T*(1-EXP(-up_RadSpec!BA30*s_t_v)))/(s_Y_v*up_RadSpec!BA30))),".")</f>
        <v>9.0143481925428208</v>
      </c>
      <c r="BS30" s="115">
        <f>IFERROR(IF(up_Bv!U30=0,".",((s_Ir*s_F*s_I_f*s_T*(1-EXP(-up_RadSpec!BA30*s_t_v)))/(s_Y_v*up_RadSpec!BA30))),".")</f>
        <v>9.0143481925428208</v>
      </c>
      <c r="BT30" s="115">
        <f>IFERROR(IF(up_Bv!V30=0,".",((s_Ir*s_F*s_I_f*s_T*(1-EXP(-up_RadSpec!BA30*s_t_v)))/(s_Y_v*up_RadSpec!BA30))),".")</f>
        <v>9.0143481925428208</v>
      </c>
      <c r="BU30" s="115">
        <f>IFERROR(IF(up_Bv!W30=0,".",((s_Ir*s_F*s_I_f*s_T*(1-EXP(-up_RadSpec!BA30*s_t_v)))/(s_Y_v*up_RadSpec!BA30))),".")</f>
        <v>9.0143481925428208</v>
      </c>
      <c r="BV30" s="115">
        <f>IFERROR(IF(up_Bv!X30=0,".",((s_Ir*s_F*s_I_f*s_T*(1-EXP(-up_RadSpec!BA30*s_t_v)))/(s_Y_v*up_RadSpec!BA30))),".")</f>
        <v>9.0143481925428208</v>
      </c>
      <c r="BW30" s="115">
        <f>IFERROR(IF(up_Bv!Y30=0,".",((s_Ir*s_F*s_I_f*s_T*(1-EXP(-up_RadSpec!BA30*s_t_v)))/(s_Y_v*up_RadSpec!BA30))),".")</f>
        <v>9.0143481925428208</v>
      </c>
      <c r="BX30" s="115">
        <f>IFERROR(IF(up_Bv!Z30=0,".",((s_Ir*s_F*s_I_f*s_T*(1-EXP(-up_RadSpec!BA30*s_t_v)))/(s_Y_v*up_RadSpec!BA30))),".")</f>
        <v>9.0143481925428208</v>
      </c>
      <c r="BY30" s="115">
        <f>IFERROR(IF(up_Bv!AA30=0,".",((s_Ir*s_F*s_I_f*s_T*(1-EXP(-up_RadSpec!BA30*s_t_v)))/(s_Y_v*up_RadSpec!BA30))),".")</f>
        <v>9.0143481925428208</v>
      </c>
    </row>
  </sheetData>
  <sheetProtection algorithmName="SHA-512" hashValue="uVqf7GLRIYQENJal1lkqPxscuwoIXimSu6qRE54hkVlvllskA7joToeIOsSYveyE9Ss0kVlBkyUCRlxgYRJ7Mw==" saltValue="1VZ1l3RIKKPN6HbPqsJ8AQ==" spinCount="100000" sheet="1" formatColumns="0" formatRows="0" autoFilter="0"/>
  <autoFilter ref="A1:BV1299" xr:uid="{00000000-0009-0000-0000-00001A000000}"/>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C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75" bestFit="1" customWidth="1"/>
    <col min="2" max="2" width="13.28515625" style="75" bestFit="1" customWidth="1"/>
    <col min="3" max="3" width="22.5703125" style="75" bestFit="1" customWidth="1"/>
    <col min="4" max="4" width="16" style="77" bestFit="1" customWidth="1"/>
    <col min="5" max="5" width="16.140625" style="77" bestFit="1" customWidth="1"/>
    <col min="6" max="6" width="15" style="77" bestFit="1" customWidth="1"/>
    <col min="7" max="7" width="15.7109375" style="77" bestFit="1" customWidth="1"/>
    <col min="8" max="8" width="15" style="77" bestFit="1" customWidth="1"/>
    <col min="9" max="9" width="15.42578125" style="77" bestFit="1" customWidth="1"/>
    <col min="10" max="10" width="14.7109375" style="77" bestFit="1" customWidth="1"/>
    <col min="11" max="11" width="16.140625" style="77" bestFit="1" customWidth="1"/>
    <col min="12" max="12" width="15" style="77" bestFit="1" customWidth="1"/>
    <col min="13" max="13" width="16.85546875" style="77" bestFit="1" customWidth="1"/>
    <col min="14" max="14" width="14" style="77" bestFit="1" customWidth="1"/>
    <col min="15" max="16" width="15" style="77" bestFit="1" customWidth="1"/>
    <col min="17" max="17" width="16.140625" style="77" bestFit="1" customWidth="1"/>
    <col min="18" max="18" width="16.28515625" style="77" bestFit="1" customWidth="1"/>
    <col min="19" max="19" width="15" style="77" bestFit="1" customWidth="1"/>
    <col min="20" max="20" width="14.28515625" style="77" bestFit="1" customWidth="1"/>
    <col min="21" max="21" width="15.5703125" style="77" bestFit="1" customWidth="1"/>
    <col min="22" max="22" width="15.7109375" style="77" bestFit="1" customWidth="1"/>
    <col min="23" max="23" width="16.140625" style="77" bestFit="1" customWidth="1"/>
    <col min="24" max="24" width="15.42578125" style="77" bestFit="1" customWidth="1"/>
    <col min="25" max="25" width="16" style="77" bestFit="1" customWidth="1"/>
    <col min="26" max="27" width="14.42578125" style="77" bestFit="1" customWidth="1"/>
    <col min="28" max="28" width="16.42578125" style="77" bestFit="1" customWidth="1"/>
    <col min="29" max="29" width="22.42578125" style="77" bestFit="1" customWidth="1"/>
    <col min="30" max="30" width="15.85546875" style="77" bestFit="1" customWidth="1"/>
    <col min="31" max="31" width="16" style="77" bestFit="1" customWidth="1"/>
    <col min="32" max="32" width="14.7109375" style="77" bestFit="1" customWidth="1"/>
    <col min="33" max="33" width="15.5703125" style="77" bestFit="1" customWidth="1"/>
    <col min="34" max="34" width="14.85546875" style="77" bestFit="1" customWidth="1"/>
    <col min="35" max="35" width="15.28515625" style="77" bestFit="1" customWidth="1"/>
    <col min="36" max="36" width="14.5703125" style="77" bestFit="1" customWidth="1"/>
    <col min="37" max="37" width="16" style="77" bestFit="1" customWidth="1"/>
    <col min="38" max="38" width="14.85546875" style="77" bestFit="1" customWidth="1"/>
    <col min="39" max="39" width="16.7109375" style="77" bestFit="1" customWidth="1"/>
    <col min="40" max="40" width="13.85546875" style="77" bestFit="1" customWidth="1"/>
    <col min="41" max="42" width="14.85546875" style="77" bestFit="1" customWidth="1"/>
    <col min="43" max="43" width="16" style="77" bestFit="1" customWidth="1"/>
    <col min="44" max="44" width="16.140625" style="77" bestFit="1" customWidth="1"/>
    <col min="45" max="45" width="14.85546875" style="77" bestFit="1" customWidth="1"/>
    <col min="46" max="46" width="14.140625" style="77" bestFit="1" customWidth="1"/>
    <col min="47" max="47" width="15.28515625" style="77" bestFit="1" customWidth="1"/>
    <col min="48" max="48" width="15.5703125" style="77" bestFit="1" customWidth="1"/>
    <col min="49" max="49" width="15.85546875" style="77" bestFit="1" customWidth="1"/>
    <col min="50" max="50" width="15.28515625" style="77" bestFit="1" customWidth="1"/>
    <col min="51" max="51" width="15.85546875" style="77" bestFit="1" customWidth="1"/>
    <col min="52" max="53" width="14.28515625" style="77" bestFit="1" customWidth="1"/>
    <col min="54" max="54" width="15.5703125" style="77" bestFit="1" customWidth="1"/>
    <col min="55" max="55" width="22.5703125" style="77" bestFit="1" customWidth="1"/>
    <col min="56" max="56" width="15.85546875" style="77" bestFit="1" customWidth="1"/>
    <col min="57" max="57" width="16" style="77" bestFit="1" customWidth="1"/>
    <col min="58" max="58" width="14.7109375" style="77" bestFit="1" customWidth="1"/>
    <col min="59" max="59" width="15.42578125" style="77" bestFit="1" customWidth="1"/>
    <col min="60" max="60" width="14.7109375" style="77" bestFit="1" customWidth="1"/>
    <col min="61" max="61" width="15.140625" style="77" bestFit="1" customWidth="1"/>
    <col min="62" max="62" width="14.28515625" style="77" bestFit="1" customWidth="1"/>
    <col min="63" max="63" width="15.7109375" style="77" bestFit="1" customWidth="1"/>
    <col min="64" max="64" width="14.7109375" style="77" bestFit="1" customWidth="1"/>
    <col min="65" max="65" width="16.7109375" style="77" bestFit="1" customWidth="1"/>
    <col min="66" max="66" width="13.7109375" style="77" bestFit="1" customWidth="1"/>
    <col min="67" max="67" width="14.5703125" style="77" bestFit="1" customWidth="1"/>
    <col min="68" max="68" width="14.85546875" style="77" bestFit="1" customWidth="1"/>
    <col min="69" max="69" width="16" style="77" bestFit="1" customWidth="1"/>
    <col min="70" max="70" width="16.28515625" style="77" bestFit="1" customWidth="1"/>
    <col min="71" max="71" width="14.85546875" style="77" bestFit="1" customWidth="1"/>
    <col min="72" max="72" width="14.140625" style="77" bestFit="1" customWidth="1"/>
    <col min="73" max="73" width="15.28515625" style="77" bestFit="1" customWidth="1"/>
    <col min="74" max="74" width="15.85546875" style="77" bestFit="1" customWidth="1"/>
    <col min="75" max="75" width="16.140625" style="77" bestFit="1" customWidth="1"/>
    <col min="76" max="76" width="15.140625" style="77" bestFit="1" customWidth="1"/>
    <col min="77" max="77" width="16" style="77" bestFit="1" customWidth="1"/>
    <col min="78" max="78" width="14.42578125" style="77" bestFit="1" customWidth="1"/>
    <col min="79" max="79" width="13.85546875" style="77" bestFit="1" customWidth="1"/>
    <col min="80" max="80" width="15.42578125" style="77" bestFit="1" customWidth="1"/>
    <col min="81" max="16384" width="9.140625" style="77"/>
  </cols>
  <sheetData>
    <row r="1" spans="1:80" x14ac:dyDescent="0.25">
      <c r="A1" s="87" t="s">
        <v>51</v>
      </c>
      <c r="B1" s="88" t="s">
        <v>348</v>
      </c>
      <c r="C1" s="90" t="s">
        <v>1441</v>
      </c>
      <c r="D1" s="90" t="s">
        <v>1442</v>
      </c>
      <c r="E1" s="90" t="s">
        <v>1443</v>
      </c>
      <c r="F1" s="90" t="s">
        <v>1444</v>
      </c>
      <c r="G1" s="90" t="s">
        <v>1445</v>
      </c>
      <c r="H1" s="90" t="s">
        <v>1446</v>
      </c>
      <c r="I1" s="90" t="s">
        <v>1447</v>
      </c>
      <c r="J1" s="90" t="s">
        <v>1448</v>
      </c>
      <c r="K1" s="90" t="s">
        <v>1449</v>
      </c>
      <c r="L1" s="90" t="s">
        <v>1450</v>
      </c>
      <c r="M1" s="90" t="s">
        <v>1451</v>
      </c>
      <c r="N1" s="90" t="s">
        <v>1452</v>
      </c>
      <c r="O1" s="90" t="s">
        <v>1453</v>
      </c>
      <c r="P1" s="90" t="s">
        <v>1454</v>
      </c>
      <c r="Q1" s="90" t="s">
        <v>1455</v>
      </c>
      <c r="R1" s="90" t="s">
        <v>1456</v>
      </c>
      <c r="S1" s="90" t="s">
        <v>1457</v>
      </c>
      <c r="T1" s="90" t="s">
        <v>1458</v>
      </c>
      <c r="U1" s="90" t="s">
        <v>1533</v>
      </c>
      <c r="V1" s="90" t="s">
        <v>1459</v>
      </c>
      <c r="W1" s="90" t="s">
        <v>1460</v>
      </c>
      <c r="X1" s="90" t="s">
        <v>1461</v>
      </c>
      <c r="Y1" s="90" t="s">
        <v>1462</v>
      </c>
      <c r="Z1" s="90" t="s">
        <v>1463</v>
      </c>
      <c r="AA1" s="90" t="s">
        <v>1464</v>
      </c>
      <c r="AB1" s="90" t="s">
        <v>1465</v>
      </c>
      <c r="AC1" s="90" t="s">
        <v>1416</v>
      </c>
      <c r="AD1" s="90" t="s">
        <v>1417</v>
      </c>
      <c r="AE1" s="90" t="s">
        <v>1418</v>
      </c>
      <c r="AF1" s="90" t="s">
        <v>1419</v>
      </c>
      <c r="AG1" s="90" t="s">
        <v>1420</v>
      </c>
      <c r="AH1" s="90" t="s">
        <v>1421</v>
      </c>
      <c r="AI1" s="90" t="s">
        <v>1422</v>
      </c>
      <c r="AJ1" s="90" t="s">
        <v>1423</v>
      </c>
      <c r="AK1" s="90" t="s">
        <v>1424</v>
      </c>
      <c r="AL1" s="90" t="s">
        <v>1425</v>
      </c>
      <c r="AM1" s="90" t="s">
        <v>1426</v>
      </c>
      <c r="AN1" s="90" t="s">
        <v>1427</v>
      </c>
      <c r="AO1" s="90" t="s">
        <v>1428</v>
      </c>
      <c r="AP1" s="90" t="s">
        <v>1429</v>
      </c>
      <c r="AQ1" s="90" t="s">
        <v>1430</v>
      </c>
      <c r="AR1" s="90" t="s">
        <v>1431</v>
      </c>
      <c r="AS1" s="90" t="s">
        <v>1432</v>
      </c>
      <c r="AT1" s="90" t="s">
        <v>1433</v>
      </c>
      <c r="AU1" s="90" t="s">
        <v>1534</v>
      </c>
      <c r="AV1" s="90" t="s">
        <v>1434</v>
      </c>
      <c r="AW1" s="90" t="s">
        <v>1435</v>
      </c>
      <c r="AX1" s="90" t="s">
        <v>1436</v>
      </c>
      <c r="AY1" s="90" t="s">
        <v>1437</v>
      </c>
      <c r="AZ1" s="90" t="s">
        <v>1438</v>
      </c>
      <c r="BA1" s="90" t="s">
        <v>1439</v>
      </c>
      <c r="BB1" s="90" t="s">
        <v>1440</v>
      </c>
      <c r="BC1" s="91" t="s">
        <v>1145</v>
      </c>
      <c r="BD1" s="91" t="s">
        <v>1392</v>
      </c>
      <c r="BE1" s="91" t="s">
        <v>1393</v>
      </c>
      <c r="BF1" s="91" t="s">
        <v>1394</v>
      </c>
      <c r="BG1" s="91" t="s">
        <v>1395</v>
      </c>
      <c r="BH1" s="91" t="s">
        <v>1396</v>
      </c>
      <c r="BI1" s="91" t="s">
        <v>1397</v>
      </c>
      <c r="BJ1" s="91" t="s">
        <v>1398</v>
      </c>
      <c r="BK1" s="91" t="s">
        <v>1399</v>
      </c>
      <c r="BL1" s="91" t="s">
        <v>1400</v>
      </c>
      <c r="BM1" s="91" t="s">
        <v>1401</v>
      </c>
      <c r="BN1" s="91" t="s">
        <v>1402</v>
      </c>
      <c r="BO1" s="91" t="s">
        <v>1403</v>
      </c>
      <c r="BP1" s="91" t="s">
        <v>1404</v>
      </c>
      <c r="BQ1" s="91" t="s">
        <v>1405</v>
      </c>
      <c r="BR1" s="91" t="s">
        <v>1406</v>
      </c>
      <c r="BS1" s="91" t="s">
        <v>1407</v>
      </c>
      <c r="BT1" s="91" t="s">
        <v>1408</v>
      </c>
      <c r="BU1" s="91" t="s">
        <v>1531</v>
      </c>
      <c r="BV1" s="91" t="s">
        <v>1409</v>
      </c>
      <c r="BW1" s="91" t="s">
        <v>1410</v>
      </c>
      <c r="BX1" s="91" t="s">
        <v>1411</v>
      </c>
      <c r="BY1" s="91" t="s">
        <v>1412</v>
      </c>
      <c r="BZ1" s="91" t="s">
        <v>1413</v>
      </c>
      <c r="CA1" s="91" t="s">
        <v>1414</v>
      </c>
      <c r="CB1" s="91" t="s">
        <v>1415</v>
      </c>
    </row>
    <row r="2" spans="1:80" x14ac:dyDescent="0.25">
      <c r="A2" s="92" t="s">
        <v>12</v>
      </c>
      <c r="B2" s="90" t="s">
        <v>1071</v>
      </c>
      <c r="C2" s="76">
        <f>IFERROR(1/SUM(1/D2,1/U2,1/AA2,1/AB2),".")</f>
        <v>1.6528925619834712E-11</v>
      </c>
      <c r="D2" s="76">
        <f>IFERROR(s_TR/(up_RadSpec!$H2*s_IFAP_res_adj*s_CF_apple),".")</f>
        <v>6.6115702479338848E-11</v>
      </c>
      <c r="E2" s="76">
        <f>IFERROR(s_TR/(up_RadSpec!$H2*s_IFAS_res_adj*s_CF_asparagus),".")</f>
        <v>6.6115702479338848E-11</v>
      </c>
      <c r="F2" s="76">
        <f>IFERROR(s_TR/(up_RadSpec!$H2*s_IFBT_res_adj*s_CF_beet),".")</f>
        <v>6.6115702479338848E-11</v>
      </c>
      <c r="G2" s="76">
        <f>IFERROR(s_TR/(up_RadSpec!$H2*s_IFBE_res_adj*s_CF_berries),".")</f>
        <v>6.6115702479338848E-11</v>
      </c>
      <c r="H2" s="76">
        <f>IFERROR(s_TR/(up_RadSpec!$H2*s_IFBR_res_adj*s_CF_broccoli),".")</f>
        <v>6.6115702479338848E-11</v>
      </c>
      <c r="I2" s="76">
        <f>IFERROR(s_TR/(up_RadSpec!$H2*s_IFCB_res_adj*s_CF_cabbage),".")</f>
        <v>6.6115702479338848E-11</v>
      </c>
      <c r="J2" s="76">
        <f>IFERROR(s_TR/(up_RadSpec!$H2*s_IFCR_res_adj*s_CF_carrot),".")</f>
        <v>6.6115702479338848E-11</v>
      </c>
      <c r="K2" s="76">
        <f>IFERROR(s_TR/(up_RadSpec!$H2*s_IFCI_res_adj*s_CF_citrus),".")</f>
        <v>6.6115702479338848E-11</v>
      </c>
      <c r="L2" s="76">
        <f>IFERROR(s_TR/(up_RadSpec!$H2*s_IFCO_res_adj*s_CF_corn),".")</f>
        <v>6.6115702479338848E-11</v>
      </c>
      <c r="M2" s="76">
        <f>IFERROR(s_TR/(up_RadSpec!$H2*s_IFCU_res_adj*s_CF_cucumber),".")</f>
        <v>6.6115702479338848E-11</v>
      </c>
      <c r="N2" s="76">
        <f>IFERROR(s_TR/(up_RadSpec!$H2*s_IFLE_res_adj*s_CF_lettuce),".")</f>
        <v>6.6115702479338848E-11</v>
      </c>
      <c r="O2" s="76">
        <f>IFERROR(s_TR/(up_RadSpec!$H2*s_IFLI_res_adj*s_CF_lima_bean),".")</f>
        <v>6.6115702479338848E-11</v>
      </c>
      <c r="P2" s="76">
        <f>IFERROR(s_TR/(up_RadSpec!$H2*s_IFOK_res_adj*s_CF_okra),".")</f>
        <v>6.6115702479338848E-11</v>
      </c>
      <c r="Q2" s="76">
        <f>IFERROR(s_TR/(up_RadSpec!$H2*s_IFON_res_adj*s_CF_onion),".")</f>
        <v>6.6115702479338848E-11</v>
      </c>
      <c r="R2" s="76">
        <f>IFERROR(s_TR/(up_RadSpec!$H2*s_IFPC_res_adj*s_CF_peach),".")</f>
        <v>6.6115702479338848E-11</v>
      </c>
      <c r="S2" s="76">
        <f>IFERROR(s_TR/(up_RadSpec!$H2*s_IFPR_res_adj*s_CF_pear),".")</f>
        <v>6.6115702479338848E-11</v>
      </c>
      <c r="T2" s="76">
        <f>IFERROR(s_TR/(up_RadSpec!$H2*s_IFPE_res_adj*s_CF_peas),".")</f>
        <v>6.6115702479338848E-11</v>
      </c>
      <c r="U2" s="76">
        <f>IFERROR(s_TR/(up_RadSpec!$H2*s_IFPP_res_adj*s_CF_peppers),".")</f>
        <v>6.6115702479338848E-11</v>
      </c>
      <c r="V2" s="76">
        <f>IFERROR(s_TR/(up_RadSpec!$H2*s_IFPT_res_adj*s_CF_potato),".")</f>
        <v>6.6115702479338848E-11</v>
      </c>
      <c r="W2" s="76">
        <f>IFERROR(s_TR/(up_RadSpec!$H2*s_IFPU_res_adj*s_CF_pumpkin),".")</f>
        <v>6.6115702479338848E-11</v>
      </c>
      <c r="X2" s="76">
        <f>IFERROR(s_TR/(up_RadSpec!$H2*s_IFSN_res_adj*s_CF_snap_bean),".")</f>
        <v>6.6115702479338848E-11</v>
      </c>
      <c r="Y2" s="76">
        <f>IFERROR(s_TR/(up_RadSpec!$H2*s_IFST_res_adj*s_CF_strawberry),".")</f>
        <v>6.6115702479338848E-11</v>
      </c>
      <c r="Z2" s="76">
        <f>IFERROR(s_TR/(up_RadSpec!$H2*s_IFTO_res_adj*s_CF_tomato),".")</f>
        <v>6.6115702479338848E-11</v>
      </c>
      <c r="AA2" s="76">
        <f>IFERROR(s_TR/(up_RadSpec!$H2*s_IFRI_res_adj*s_CF_rice),".")</f>
        <v>6.6115702479338848E-11</v>
      </c>
      <c r="AB2" s="76">
        <f>IFERROR(s_TR/(up_RadSpec!$H2*s_IFCG_res_adj*s_CF_cereal),".")</f>
        <v>6.6115702479338848E-11</v>
      </c>
      <c r="AC2" s="76">
        <f>IFERROR(1/SUM(1/AD2,1/AU2,1/BA2,1/BB2),".")</f>
        <v>1.6528925619834712E-11</v>
      </c>
      <c r="AD2" s="76">
        <f>IFERROR(s_TR/(up_RadSpec!$H2*s_IFAP_far_adj*s_CF_apple),".")</f>
        <v>6.6115702479338848E-11</v>
      </c>
      <c r="AE2" s="76">
        <f>IFERROR(s_TR/(up_RadSpec!$H2*s_IFAS_far_adj*s_CF_asparagus),".")</f>
        <v>6.6115702479338848E-11</v>
      </c>
      <c r="AF2" s="76">
        <f>IFERROR(s_TR/(up_RadSpec!$H2*s_IFBT_far_adj*s_CF_beet),".")</f>
        <v>6.6115702479338848E-11</v>
      </c>
      <c r="AG2" s="76">
        <f>IFERROR(s_TR/(up_RadSpec!$H2*s_IFBE_far_adj*s_CF_berries),".")</f>
        <v>6.6115702479338848E-11</v>
      </c>
      <c r="AH2" s="76">
        <f>IFERROR(s_TR/(up_RadSpec!$H2*s_IFBR_far_adj*s_CF_broccoli),".")</f>
        <v>6.6115702479338848E-11</v>
      </c>
      <c r="AI2" s="76">
        <f>IFERROR(s_TR/(up_RadSpec!$H2*s_IFCB_far_adj*s_CF_cabbage),".")</f>
        <v>6.6115702479338848E-11</v>
      </c>
      <c r="AJ2" s="76">
        <f>IFERROR(s_TR/(up_RadSpec!$H2*s_IFCR_far_adj*s_CF_carrot),".")</f>
        <v>6.6115702479338848E-11</v>
      </c>
      <c r="AK2" s="76">
        <f>IFERROR(s_TR/(up_RadSpec!$H2*s_IFCI_far_adj*s_CF_citrus),".")</f>
        <v>6.6115702479338848E-11</v>
      </c>
      <c r="AL2" s="76">
        <f>IFERROR(s_TR/(up_RadSpec!$H2*s_IFCO_far_adj*s_CF_corn),".")</f>
        <v>6.6115702479338848E-11</v>
      </c>
      <c r="AM2" s="76">
        <f>IFERROR(s_TR/(up_RadSpec!$H2*s_IFCU_far_adj*s_CF_cucumber),".")</f>
        <v>6.6115702479338848E-11</v>
      </c>
      <c r="AN2" s="76">
        <f>IFERROR(s_TR/(up_RadSpec!$H2*s_IFLE_far_adj*s_CF_lettuce),".")</f>
        <v>6.6115702479338848E-11</v>
      </c>
      <c r="AO2" s="76">
        <f>IFERROR(s_TR/(up_RadSpec!$H2*s_IFLI_far_adj*s_CF_lima_bean),".")</f>
        <v>6.6115702479338848E-11</v>
      </c>
      <c r="AP2" s="76">
        <f>IFERROR(s_TR/(up_RadSpec!$H2*s_IFOK_far_adj*s_CF_okra),".")</f>
        <v>6.6115702479338848E-11</v>
      </c>
      <c r="AQ2" s="76">
        <f>IFERROR(s_TR/(up_RadSpec!$H2*s_IFON_far_adj*s_CF_onion),".")</f>
        <v>6.6115702479338848E-11</v>
      </c>
      <c r="AR2" s="76">
        <f>IFERROR(s_TR/(up_RadSpec!$H2*s_IFPC_far_adj*s_CF_peach),".")</f>
        <v>6.6115702479338848E-11</v>
      </c>
      <c r="AS2" s="76">
        <f>IFERROR(s_TR/(up_RadSpec!$H2*s_IFPR_far_adj*s_CF_pear),".")</f>
        <v>6.6115702479338848E-11</v>
      </c>
      <c r="AT2" s="76">
        <f>IFERROR(s_TR/(up_RadSpec!$H2*s_IFPE_far_adj*s_CF_peas),".")</f>
        <v>6.6115702479338848E-11</v>
      </c>
      <c r="AU2" s="76">
        <f>IFERROR(s_TR/(up_RadSpec!$H2*s_IFPP_far_adj*s_CF_peppers),".")</f>
        <v>6.6115702479338848E-11</v>
      </c>
      <c r="AV2" s="76">
        <f>IFERROR(s_TR/(up_RadSpec!$H2*s_IFPT_far_adj*s_CF_potato),".")</f>
        <v>6.6115702479338848E-11</v>
      </c>
      <c r="AW2" s="76">
        <f>IFERROR(s_TR/(up_RadSpec!$H2*s_IFPU_far_adj*s_CF_pumpkin),".")</f>
        <v>6.6115702479338848E-11</v>
      </c>
      <c r="AX2" s="76">
        <f>IFERROR(s_TR/(up_RadSpec!$H2*s_IFSN_far_adj*s_CF_snap_bean),".")</f>
        <v>6.6115702479338848E-11</v>
      </c>
      <c r="AY2" s="76">
        <f>IFERROR(s_TR/(up_RadSpec!$H2*s_IFST_far_adj*s_CF_strawberry),".")</f>
        <v>6.6115702479338848E-11</v>
      </c>
      <c r="AZ2" s="76">
        <f>IFERROR(s_TR/(up_RadSpec!$H2*s_IFTO_far_adj*s_CF_tomato),".")</f>
        <v>6.6115702479338848E-11</v>
      </c>
      <c r="BA2" s="76">
        <f>IFERROR(s_TR/(up_RadSpec!$H2*s_IFRI_far_adj*s_CF_rice),".")</f>
        <v>6.6115702479338848E-11</v>
      </c>
      <c r="BB2" s="76">
        <f>IFERROR(s_TR/(up_RadSpec!$H2*s_IFCG_far_adj*s_CF_cereal),".")</f>
        <v>6.6115702479338848E-11</v>
      </c>
      <c r="BC2" s="93">
        <f>SUM(BD2,BU2,CA2:CB2)</f>
        <v>605000</v>
      </c>
      <c r="BD2" s="93">
        <f t="shared" ref="BD2:BD30" si="0">IFERROR(s_C*s_IFAP_far_adj*s_CF_apple,".")</f>
        <v>151250</v>
      </c>
      <c r="BE2" s="93">
        <f t="shared" ref="BE2:BE30" si="1">IFERROR(s_C*s_IFAS_far_adj*s_CF_asparagus,".")</f>
        <v>151250</v>
      </c>
      <c r="BF2" s="93">
        <f t="shared" ref="BF2:BF30" si="2">IFERROR(s_C*s_IFBT_far_adj*s_CF_beet,".")</f>
        <v>151250</v>
      </c>
      <c r="BG2" s="93">
        <f t="shared" ref="BG2:BG30" si="3">IFERROR(s_C*s_IFBR_far_adj*s_CF_berries,".")</f>
        <v>151250</v>
      </c>
      <c r="BH2" s="93">
        <f t="shared" ref="BH2:BH30" si="4">IFERROR(s_C*s_IFBR_far_adj*s_CF_broccoli,".")</f>
        <v>151250</v>
      </c>
      <c r="BI2" s="93">
        <f t="shared" ref="BI2:BI30" si="5">IFERROR(s_C*s_IFCB_far_adj*s_CF_cabbage,".")</f>
        <v>151250</v>
      </c>
      <c r="BJ2" s="93">
        <f t="shared" ref="BJ2:BJ30" si="6">IFERROR(s_C*s_IFCR_far_adj*s_CF_carrot,".")</f>
        <v>151250</v>
      </c>
      <c r="BK2" s="93">
        <f t="shared" ref="BK2:BK30" si="7">IFERROR(s_C*s_IFCI_far_adj*s_CF_citrus,".")</f>
        <v>151250</v>
      </c>
      <c r="BL2" s="93">
        <f t="shared" ref="BL2:BL30" si="8">IFERROR(s_C*s_IFCO_far_adj*s_CF_corn,".")</f>
        <v>151250</v>
      </c>
      <c r="BM2" s="93">
        <f t="shared" ref="BM2:BM30" si="9">IFERROR(s_C*s_IFCU_far_adj*s_CF_cucumber,".")</f>
        <v>151250</v>
      </c>
      <c r="BN2" s="93">
        <f t="shared" ref="BN2:BN30" si="10">IFERROR(s_C*s_IFLE_far_adj*s_CF_lettuce,".")</f>
        <v>151250</v>
      </c>
      <c r="BO2" s="93">
        <f t="shared" ref="BO2:BO30" si="11">IFERROR(s_C*s_IFLI_far_adj*s_CF_lima_bean,".")</f>
        <v>151250</v>
      </c>
      <c r="BP2" s="93">
        <f t="shared" ref="BP2:BP30" si="12">IFERROR(s_C*s_IFOK_far_adj*s_CF_okra,".")</f>
        <v>151250</v>
      </c>
      <c r="BQ2" s="93">
        <f t="shared" ref="BQ2:BQ30" si="13">IFERROR(s_C*s_IFON_far_adj*s_CF_onion,".")</f>
        <v>151250</v>
      </c>
      <c r="BR2" s="93">
        <f t="shared" ref="BR2:BR30" si="14">IFERROR(s_C*s_IFPC_far_adj*s_CF_peach,".")</f>
        <v>151250</v>
      </c>
      <c r="BS2" s="93">
        <f t="shared" ref="BS2:BS30" si="15">IFERROR(s_C*s_IFPR_far_adj*s_CF_pear,".")</f>
        <v>151250</v>
      </c>
      <c r="BT2" s="93">
        <f>IFERROR(s_C*s_IFPE_far_adj*s_CF_peas,".")</f>
        <v>151250</v>
      </c>
      <c r="BU2" s="93">
        <f t="shared" ref="BU2:BU30" si="16">IFERROR(s_C*s_IFPP_far_adj*s_CF_peppers,".")</f>
        <v>151250</v>
      </c>
      <c r="BV2" s="93">
        <f t="shared" ref="BV2:BV30" si="17">IFERROR(s_C*s_IFPT_far_adj*s_CF_potato,".")</f>
        <v>151250</v>
      </c>
      <c r="BW2" s="93">
        <f t="shared" ref="BW2:BW30" si="18">IFERROR(s_C*s_IFPU_far_adj*s_CF_pumpkin,".")</f>
        <v>151250</v>
      </c>
      <c r="BX2" s="93">
        <f t="shared" ref="BX2:BX30" si="19">IFERROR(s_C*s_IFSN_far_adj*s_CF_snap_bean,".")</f>
        <v>151250</v>
      </c>
      <c r="BY2" s="93">
        <f t="shared" ref="BY2:BY30" si="20">IFERROR(s_C*s_IFST_far_adj*s_CF_strawberry,".")</f>
        <v>151250</v>
      </c>
      <c r="BZ2" s="93">
        <f t="shared" ref="BZ2:BZ30" si="21">IFERROR(s_C*s_IFTO_far_adj*s_CF_tomato,".")</f>
        <v>151250</v>
      </c>
      <c r="CA2" s="93">
        <f t="shared" ref="CA2:CA30" si="22">IFERROR(s_C*s_IFRI_far_adj*s_CF_rice,".")</f>
        <v>151250</v>
      </c>
      <c r="CB2" s="93">
        <f t="shared" ref="CB2:CB30" si="23">IFERROR(s_C*s_IFCG_far_adj*s_CF_cereal,".")</f>
        <v>151250</v>
      </c>
    </row>
    <row r="3" spans="1:80" x14ac:dyDescent="0.25">
      <c r="A3" s="94" t="s">
        <v>13</v>
      </c>
      <c r="B3" s="90" t="s">
        <v>349</v>
      </c>
      <c r="C3" s="76">
        <f t="shared" ref="C3:C30" si="24">IFERROR(1/SUM(1/D3,1/U3,1/AA3,1/AB3),".")</f>
        <v>1.6528925619834712E-11</v>
      </c>
      <c r="D3" s="76">
        <f>IFERROR(s_TR/(up_RadSpec!$H3*s_IFAP_res_adj*s_CF_apple),".")</f>
        <v>6.6115702479338848E-11</v>
      </c>
      <c r="E3" s="76">
        <f>IFERROR(s_TR/(up_RadSpec!$H3*s_IFAS_res_adj*s_CF_asparagus),".")</f>
        <v>6.6115702479338848E-11</v>
      </c>
      <c r="F3" s="76">
        <f>IFERROR(s_TR/(up_RadSpec!$H3*s_IFBT_res_adj*s_CF_beet),".")</f>
        <v>6.6115702479338848E-11</v>
      </c>
      <c r="G3" s="76">
        <f>IFERROR(s_TR/(up_RadSpec!$H3*s_IFBE_res_adj*s_CF_berries),".")</f>
        <v>6.6115702479338848E-11</v>
      </c>
      <c r="H3" s="76">
        <f>IFERROR(s_TR/(up_RadSpec!$H3*s_IFBR_res_adj*s_CF_broccoli),".")</f>
        <v>6.6115702479338848E-11</v>
      </c>
      <c r="I3" s="76">
        <f>IFERROR(s_TR/(up_RadSpec!$H3*s_IFCB_res_adj*s_CF_cabbage),".")</f>
        <v>6.6115702479338848E-11</v>
      </c>
      <c r="J3" s="76">
        <f>IFERROR(s_TR/(up_RadSpec!$H3*s_IFCR_res_adj*s_CF_carrot),".")</f>
        <v>6.6115702479338848E-11</v>
      </c>
      <c r="K3" s="76">
        <f>IFERROR(s_TR/(up_RadSpec!$H3*s_IFCI_res_adj*s_CF_citrus),".")</f>
        <v>6.6115702479338848E-11</v>
      </c>
      <c r="L3" s="76">
        <f>IFERROR(s_TR/(up_RadSpec!$H3*s_IFCO_res_adj*s_CF_corn),".")</f>
        <v>6.6115702479338848E-11</v>
      </c>
      <c r="M3" s="76">
        <f>IFERROR(s_TR/(up_RadSpec!$H3*s_IFCU_res_adj*s_CF_cucumber),".")</f>
        <v>6.6115702479338848E-11</v>
      </c>
      <c r="N3" s="76">
        <f>IFERROR(s_TR/(up_RadSpec!$H3*s_IFLE_res_adj*s_CF_lettuce),".")</f>
        <v>6.6115702479338848E-11</v>
      </c>
      <c r="O3" s="76">
        <f>IFERROR(s_TR/(up_RadSpec!$H3*s_IFLI_res_adj*s_CF_lima_bean),".")</f>
        <v>6.6115702479338848E-11</v>
      </c>
      <c r="P3" s="76">
        <f>IFERROR(s_TR/(up_RadSpec!$H3*s_IFOK_res_adj*s_CF_okra),".")</f>
        <v>6.6115702479338848E-11</v>
      </c>
      <c r="Q3" s="76">
        <f>IFERROR(s_TR/(up_RadSpec!$H3*s_IFON_res_adj*s_CF_onion),".")</f>
        <v>6.6115702479338848E-11</v>
      </c>
      <c r="R3" s="76">
        <f>IFERROR(s_TR/(up_RadSpec!$H3*s_IFPC_res_adj*s_CF_peach),".")</f>
        <v>6.6115702479338848E-11</v>
      </c>
      <c r="S3" s="76">
        <f>IFERROR(s_TR/(up_RadSpec!$H3*s_IFPR_res_adj*s_CF_pear),".")</f>
        <v>6.6115702479338848E-11</v>
      </c>
      <c r="T3" s="76">
        <f>IFERROR(s_TR/(up_RadSpec!$H3*s_IFPE_res_adj*s_CF_peas),".")</f>
        <v>6.6115702479338848E-11</v>
      </c>
      <c r="U3" s="76">
        <f>IFERROR(s_TR/(up_RadSpec!$H3*s_IFPP_res_adj*s_CF_peppers),".")</f>
        <v>6.6115702479338848E-11</v>
      </c>
      <c r="V3" s="76">
        <f>IFERROR(s_TR/(up_RadSpec!$H3*s_IFPT_res_adj*s_CF_potato),".")</f>
        <v>6.6115702479338848E-11</v>
      </c>
      <c r="W3" s="76">
        <f>IFERROR(s_TR/(up_RadSpec!$H3*s_IFPU_res_adj*s_CF_pumpkin),".")</f>
        <v>6.6115702479338848E-11</v>
      </c>
      <c r="X3" s="76">
        <f>IFERROR(s_TR/(up_RadSpec!$H3*s_IFSN_res_adj*s_CF_snap_bean),".")</f>
        <v>6.6115702479338848E-11</v>
      </c>
      <c r="Y3" s="76">
        <f>IFERROR(s_TR/(up_RadSpec!$H3*s_IFST_res_adj*s_CF_strawberry),".")</f>
        <v>6.6115702479338848E-11</v>
      </c>
      <c r="Z3" s="76">
        <f>IFERROR(s_TR/(up_RadSpec!$H3*s_IFTO_res_adj*s_CF_tomato),".")</f>
        <v>6.6115702479338848E-11</v>
      </c>
      <c r="AA3" s="76">
        <f>IFERROR(s_TR/(up_RadSpec!$H3*s_IFRI_res_adj*s_CF_rice),".")</f>
        <v>6.6115702479338848E-11</v>
      </c>
      <c r="AB3" s="76">
        <f>IFERROR(s_TR/(up_RadSpec!$H3*s_IFCG_res_adj*s_CF_cereal),".")</f>
        <v>6.6115702479338848E-11</v>
      </c>
      <c r="AC3" s="76">
        <f t="shared" ref="AC3:AC30" si="25">IFERROR(1/SUM(1/AD3,1/AU3,1/BA3,1/BB3),".")</f>
        <v>1.6528925619834712E-11</v>
      </c>
      <c r="AD3" s="76">
        <f>IFERROR(s_TR/(up_RadSpec!$H3*s_IFAP_far_adj*s_CF_apple),".")</f>
        <v>6.6115702479338848E-11</v>
      </c>
      <c r="AE3" s="76">
        <f>IFERROR(s_TR/(up_RadSpec!$H3*s_IFAS_far_adj*s_CF_asparagus),".")</f>
        <v>6.6115702479338848E-11</v>
      </c>
      <c r="AF3" s="76">
        <f>IFERROR(s_TR/(up_RadSpec!$H3*s_IFBT_far_adj*s_CF_beet),".")</f>
        <v>6.6115702479338848E-11</v>
      </c>
      <c r="AG3" s="76">
        <f>IFERROR(s_TR/(up_RadSpec!$H3*s_IFBE_far_adj*s_CF_berries),".")</f>
        <v>6.6115702479338848E-11</v>
      </c>
      <c r="AH3" s="76">
        <f>IFERROR(s_TR/(up_RadSpec!$H3*s_IFBR_far_adj*s_CF_broccoli),".")</f>
        <v>6.6115702479338848E-11</v>
      </c>
      <c r="AI3" s="76">
        <f>IFERROR(s_TR/(up_RadSpec!$H3*s_IFCB_far_adj*s_CF_cabbage),".")</f>
        <v>6.6115702479338848E-11</v>
      </c>
      <c r="AJ3" s="76">
        <f>IFERROR(s_TR/(up_RadSpec!$H3*s_IFCR_far_adj*s_CF_carrot),".")</f>
        <v>6.6115702479338848E-11</v>
      </c>
      <c r="AK3" s="76">
        <f>IFERROR(s_TR/(up_RadSpec!$H3*s_IFCI_far_adj*s_CF_citrus),".")</f>
        <v>6.6115702479338848E-11</v>
      </c>
      <c r="AL3" s="76">
        <f>IFERROR(s_TR/(up_RadSpec!$H3*s_IFCO_far_adj*s_CF_corn),".")</f>
        <v>6.6115702479338848E-11</v>
      </c>
      <c r="AM3" s="76">
        <f>IFERROR(s_TR/(up_RadSpec!$H3*s_IFCU_far_adj*s_CF_cucumber),".")</f>
        <v>6.6115702479338848E-11</v>
      </c>
      <c r="AN3" s="76">
        <f>IFERROR(s_TR/(up_RadSpec!$H3*s_IFLE_far_adj*s_CF_lettuce),".")</f>
        <v>6.6115702479338848E-11</v>
      </c>
      <c r="AO3" s="76">
        <f>IFERROR(s_TR/(up_RadSpec!$H3*s_IFLI_far_adj*s_CF_lima_bean),".")</f>
        <v>6.6115702479338848E-11</v>
      </c>
      <c r="AP3" s="76">
        <f>IFERROR(s_TR/(up_RadSpec!$H3*s_IFOK_far_adj*s_CF_okra),".")</f>
        <v>6.6115702479338848E-11</v>
      </c>
      <c r="AQ3" s="76">
        <f>IFERROR(s_TR/(up_RadSpec!$H3*s_IFON_far_adj*s_CF_onion),".")</f>
        <v>6.6115702479338848E-11</v>
      </c>
      <c r="AR3" s="76">
        <f>IFERROR(s_TR/(up_RadSpec!$H3*s_IFPC_far_adj*s_CF_peach),".")</f>
        <v>6.6115702479338848E-11</v>
      </c>
      <c r="AS3" s="76">
        <f>IFERROR(s_TR/(up_RadSpec!$H3*s_IFPR_far_adj*s_CF_pear),".")</f>
        <v>6.6115702479338848E-11</v>
      </c>
      <c r="AT3" s="76">
        <f>IFERROR(s_TR/(up_RadSpec!$H3*s_IFPE_far_adj*s_CF_peas),".")</f>
        <v>6.6115702479338848E-11</v>
      </c>
      <c r="AU3" s="76">
        <f>IFERROR(s_TR/(up_RadSpec!$H3*s_IFPP_far_adj*s_CF_peppers),".")</f>
        <v>6.6115702479338848E-11</v>
      </c>
      <c r="AV3" s="76">
        <f>IFERROR(s_TR/(up_RadSpec!$H3*s_IFPT_far_adj*s_CF_potato),".")</f>
        <v>6.6115702479338848E-11</v>
      </c>
      <c r="AW3" s="76">
        <f>IFERROR(s_TR/(up_RadSpec!$H3*s_IFPU_far_adj*s_CF_pumpkin),".")</f>
        <v>6.6115702479338848E-11</v>
      </c>
      <c r="AX3" s="76">
        <f>IFERROR(s_TR/(up_RadSpec!$H3*s_IFSN_far_adj*s_CF_snap_bean),".")</f>
        <v>6.6115702479338848E-11</v>
      </c>
      <c r="AY3" s="76">
        <f>IFERROR(s_TR/(up_RadSpec!$H3*s_IFST_far_adj*s_CF_strawberry),".")</f>
        <v>6.6115702479338848E-11</v>
      </c>
      <c r="AZ3" s="76">
        <f>IFERROR(s_TR/(up_RadSpec!$H3*s_IFTO_far_adj*s_CF_tomato),".")</f>
        <v>6.6115702479338848E-11</v>
      </c>
      <c r="BA3" s="76">
        <f>IFERROR(s_TR/(up_RadSpec!$H3*s_IFRI_far_adj*s_CF_rice),".")</f>
        <v>6.6115702479338848E-11</v>
      </c>
      <c r="BB3" s="76">
        <f>IFERROR(s_TR/(up_RadSpec!$H3*s_IFCG_far_adj*s_CF_cereal),".")</f>
        <v>6.6115702479338848E-11</v>
      </c>
      <c r="BC3" s="93">
        <f t="shared" ref="BC3:BC66" si="26">SUM(BD3,BU3,CA3:CB3)</f>
        <v>605000</v>
      </c>
      <c r="BD3" s="93">
        <f t="shared" si="0"/>
        <v>151250</v>
      </c>
      <c r="BE3" s="93">
        <f t="shared" si="1"/>
        <v>151250</v>
      </c>
      <c r="BF3" s="93">
        <f t="shared" si="2"/>
        <v>151250</v>
      </c>
      <c r="BG3" s="93">
        <f t="shared" si="3"/>
        <v>151250</v>
      </c>
      <c r="BH3" s="93">
        <f t="shared" si="4"/>
        <v>151250</v>
      </c>
      <c r="BI3" s="93">
        <f t="shared" si="5"/>
        <v>151250</v>
      </c>
      <c r="BJ3" s="93">
        <f t="shared" si="6"/>
        <v>151250</v>
      </c>
      <c r="BK3" s="93">
        <f t="shared" si="7"/>
        <v>151250</v>
      </c>
      <c r="BL3" s="93">
        <f t="shared" si="8"/>
        <v>151250</v>
      </c>
      <c r="BM3" s="93">
        <f t="shared" si="9"/>
        <v>151250</v>
      </c>
      <c r="BN3" s="93">
        <f t="shared" si="10"/>
        <v>151250</v>
      </c>
      <c r="BO3" s="93">
        <f t="shared" si="11"/>
        <v>151250</v>
      </c>
      <c r="BP3" s="93">
        <f t="shared" si="12"/>
        <v>151250</v>
      </c>
      <c r="BQ3" s="93">
        <f t="shared" si="13"/>
        <v>151250</v>
      </c>
      <c r="BR3" s="93">
        <f t="shared" si="14"/>
        <v>151250</v>
      </c>
      <c r="BS3" s="93">
        <f t="shared" si="15"/>
        <v>151250</v>
      </c>
      <c r="BT3" s="93">
        <f t="shared" ref="BT3:BT30" si="27">IFERROR(s_C*s_IFPE_far_adj*s_CF_peas,".")</f>
        <v>151250</v>
      </c>
      <c r="BU3" s="93">
        <f t="shared" si="16"/>
        <v>151250</v>
      </c>
      <c r="BV3" s="93">
        <f t="shared" si="17"/>
        <v>151250</v>
      </c>
      <c r="BW3" s="93">
        <f t="shared" si="18"/>
        <v>151250</v>
      </c>
      <c r="BX3" s="93">
        <f t="shared" si="19"/>
        <v>151250</v>
      </c>
      <c r="BY3" s="93">
        <f t="shared" si="20"/>
        <v>151250</v>
      </c>
      <c r="BZ3" s="93">
        <f t="shared" si="21"/>
        <v>151250</v>
      </c>
      <c r="CA3" s="93">
        <f t="shared" si="22"/>
        <v>151250</v>
      </c>
      <c r="CB3" s="93">
        <f t="shared" si="23"/>
        <v>151250</v>
      </c>
    </row>
    <row r="4" spans="1:80" x14ac:dyDescent="0.25">
      <c r="A4" s="92" t="s">
        <v>14</v>
      </c>
      <c r="B4" s="90" t="s">
        <v>1071</v>
      </c>
      <c r="C4" s="76">
        <f t="shared" si="24"/>
        <v>1.6528925619834712E-11</v>
      </c>
      <c r="D4" s="76">
        <f>IFERROR(s_TR/(up_RadSpec!$H4*s_IFAP_res_adj*s_CF_apple),".")</f>
        <v>6.6115702479338848E-11</v>
      </c>
      <c r="E4" s="76">
        <f>IFERROR(s_TR/(up_RadSpec!$H4*s_IFAS_res_adj*s_CF_asparagus),".")</f>
        <v>6.6115702479338848E-11</v>
      </c>
      <c r="F4" s="76">
        <f>IFERROR(s_TR/(up_RadSpec!$H4*s_IFBT_res_adj*s_CF_beet),".")</f>
        <v>6.6115702479338848E-11</v>
      </c>
      <c r="G4" s="76">
        <f>IFERROR(s_TR/(up_RadSpec!$H4*s_IFBE_res_adj*s_CF_berries),".")</f>
        <v>6.6115702479338848E-11</v>
      </c>
      <c r="H4" s="76">
        <f>IFERROR(s_TR/(up_RadSpec!$H4*s_IFBR_res_adj*s_CF_broccoli),".")</f>
        <v>6.6115702479338848E-11</v>
      </c>
      <c r="I4" s="76">
        <f>IFERROR(s_TR/(up_RadSpec!$H4*s_IFCB_res_adj*s_CF_cabbage),".")</f>
        <v>6.6115702479338848E-11</v>
      </c>
      <c r="J4" s="76">
        <f>IFERROR(s_TR/(up_RadSpec!$H4*s_IFCR_res_adj*s_CF_carrot),".")</f>
        <v>6.6115702479338848E-11</v>
      </c>
      <c r="K4" s="76">
        <f>IFERROR(s_TR/(up_RadSpec!$H4*s_IFCI_res_adj*s_CF_citrus),".")</f>
        <v>6.6115702479338848E-11</v>
      </c>
      <c r="L4" s="76">
        <f>IFERROR(s_TR/(up_RadSpec!$H4*s_IFCO_res_adj*s_CF_corn),".")</f>
        <v>6.6115702479338848E-11</v>
      </c>
      <c r="M4" s="76">
        <f>IFERROR(s_TR/(up_RadSpec!$H4*s_IFCU_res_adj*s_CF_cucumber),".")</f>
        <v>6.6115702479338848E-11</v>
      </c>
      <c r="N4" s="76">
        <f>IFERROR(s_TR/(up_RadSpec!$H4*s_IFLE_res_adj*s_CF_lettuce),".")</f>
        <v>6.6115702479338848E-11</v>
      </c>
      <c r="O4" s="76">
        <f>IFERROR(s_TR/(up_RadSpec!$H4*s_IFLI_res_adj*s_CF_lima_bean),".")</f>
        <v>6.6115702479338848E-11</v>
      </c>
      <c r="P4" s="76">
        <f>IFERROR(s_TR/(up_RadSpec!$H4*s_IFOK_res_adj*s_CF_okra),".")</f>
        <v>6.6115702479338848E-11</v>
      </c>
      <c r="Q4" s="76">
        <f>IFERROR(s_TR/(up_RadSpec!$H4*s_IFON_res_adj*s_CF_onion),".")</f>
        <v>6.6115702479338848E-11</v>
      </c>
      <c r="R4" s="76">
        <f>IFERROR(s_TR/(up_RadSpec!$H4*s_IFPC_res_adj*s_CF_peach),".")</f>
        <v>6.6115702479338848E-11</v>
      </c>
      <c r="S4" s="76">
        <f>IFERROR(s_TR/(up_RadSpec!$H4*s_IFPR_res_adj*s_CF_pear),".")</f>
        <v>6.6115702479338848E-11</v>
      </c>
      <c r="T4" s="76">
        <f>IFERROR(s_TR/(up_RadSpec!$H4*s_IFPE_res_adj*s_CF_peas),".")</f>
        <v>6.6115702479338848E-11</v>
      </c>
      <c r="U4" s="76">
        <f>IFERROR(s_TR/(up_RadSpec!$H4*s_IFPP_res_adj*s_CF_peppers),".")</f>
        <v>6.6115702479338848E-11</v>
      </c>
      <c r="V4" s="76">
        <f>IFERROR(s_TR/(up_RadSpec!$H4*s_IFPT_res_adj*s_CF_potato),".")</f>
        <v>6.6115702479338848E-11</v>
      </c>
      <c r="W4" s="76">
        <f>IFERROR(s_TR/(up_RadSpec!$H4*s_IFPU_res_adj*s_CF_pumpkin),".")</f>
        <v>6.6115702479338848E-11</v>
      </c>
      <c r="X4" s="76">
        <f>IFERROR(s_TR/(up_RadSpec!$H4*s_IFSN_res_adj*s_CF_snap_bean),".")</f>
        <v>6.6115702479338848E-11</v>
      </c>
      <c r="Y4" s="76">
        <f>IFERROR(s_TR/(up_RadSpec!$H4*s_IFST_res_adj*s_CF_strawberry),".")</f>
        <v>6.6115702479338848E-11</v>
      </c>
      <c r="Z4" s="76">
        <f>IFERROR(s_TR/(up_RadSpec!$H4*s_IFTO_res_adj*s_CF_tomato),".")</f>
        <v>6.6115702479338848E-11</v>
      </c>
      <c r="AA4" s="76">
        <f>IFERROR(s_TR/(up_RadSpec!$H4*s_IFRI_res_adj*s_CF_rice),".")</f>
        <v>6.6115702479338848E-11</v>
      </c>
      <c r="AB4" s="76">
        <f>IFERROR(s_TR/(up_RadSpec!$H4*s_IFCG_res_adj*s_CF_cereal),".")</f>
        <v>6.6115702479338848E-11</v>
      </c>
      <c r="AC4" s="76">
        <f t="shared" si="25"/>
        <v>1.6528925619834712E-11</v>
      </c>
      <c r="AD4" s="76">
        <f>IFERROR(s_TR/(up_RadSpec!$H4*s_IFAP_far_adj*s_CF_apple),".")</f>
        <v>6.6115702479338848E-11</v>
      </c>
      <c r="AE4" s="76">
        <f>IFERROR(s_TR/(up_RadSpec!$H4*s_IFAS_far_adj*s_CF_asparagus),".")</f>
        <v>6.6115702479338848E-11</v>
      </c>
      <c r="AF4" s="76">
        <f>IFERROR(s_TR/(up_RadSpec!$H4*s_IFBT_far_adj*s_CF_beet),".")</f>
        <v>6.6115702479338848E-11</v>
      </c>
      <c r="AG4" s="76">
        <f>IFERROR(s_TR/(up_RadSpec!$H4*s_IFBE_far_adj*s_CF_berries),".")</f>
        <v>6.6115702479338848E-11</v>
      </c>
      <c r="AH4" s="76">
        <f>IFERROR(s_TR/(up_RadSpec!$H4*s_IFBR_far_adj*s_CF_broccoli),".")</f>
        <v>6.6115702479338848E-11</v>
      </c>
      <c r="AI4" s="76">
        <f>IFERROR(s_TR/(up_RadSpec!$H4*s_IFCB_far_adj*s_CF_cabbage),".")</f>
        <v>6.6115702479338848E-11</v>
      </c>
      <c r="AJ4" s="76">
        <f>IFERROR(s_TR/(up_RadSpec!$H4*s_IFCR_far_adj*s_CF_carrot),".")</f>
        <v>6.6115702479338848E-11</v>
      </c>
      <c r="AK4" s="76">
        <f>IFERROR(s_TR/(up_RadSpec!$H4*s_IFCI_far_adj*s_CF_citrus),".")</f>
        <v>6.6115702479338848E-11</v>
      </c>
      <c r="AL4" s="76">
        <f>IFERROR(s_TR/(up_RadSpec!$H4*s_IFCO_far_adj*s_CF_corn),".")</f>
        <v>6.6115702479338848E-11</v>
      </c>
      <c r="AM4" s="76">
        <f>IFERROR(s_TR/(up_RadSpec!$H4*s_IFCU_far_adj*s_CF_cucumber),".")</f>
        <v>6.6115702479338848E-11</v>
      </c>
      <c r="AN4" s="76">
        <f>IFERROR(s_TR/(up_RadSpec!$H4*s_IFLE_far_adj*s_CF_lettuce),".")</f>
        <v>6.6115702479338848E-11</v>
      </c>
      <c r="AO4" s="76">
        <f>IFERROR(s_TR/(up_RadSpec!$H4*s_IFLI_far_adj*s_CF_lima_bean),".")</f>
        <v>6.6115702479338848E-11</v>
      </c>
      <c r="AP4" s="76">
        <f>IFERROR(s_TR/(up_RadSpec!$H4*s_IFOK_far_adj*s_CF_okra),".")</f>
        <v>6.6115702479338848E-11</v>
      </c>
      <c r="AQ4" s="76">
        <f>IFERROR(s_TR/(up_RadSpec!$H4*s_IFON_far_adj*s_CF_onion),".")</f>
        <v>6.6115702479338848E-11</v>
      </c>
      <c r="AR4" s="76">
        <f>IFERROR(s_TR/(up_RadSpec!$H4*s_IFPC_far_adj*s_CF_peach),".")</f>
        <v>6.6115702479338848E-11</v>
      </c>
      <c r="AS4" s="76">
        <f>IFERROR(s_TR/(up_RadSpec!$H4*s_IFPR_far_adj*s_CF_pear),".")</f>
        <v>6.6115702479338848E-11</v>
      </c>
      <c r="AT4" s="76">
        <f>IFERROR(s_TR/(up_RadSpec!$H4*s_IFPE_far_adj*s_CF_peas),".")</f>
        <v>6.6115702479338848E-11</v>
      </c>
      <c r="AU4" s="76">
        <f>IFERROR(s_TR/(up_RadSpec!$H4*s_IFPP_far_adj*s_CF_peppers),".")</f>
        <v>6.6115702479338848E-11</v>
      </c>
      <c r="AV4" s="76">
        <f>IFERROR(s_TR/(up_RadSpec!$H4*s_IFPT_far_adj*s_CF_potato),".")</f>
        <v>6.6115702479338848E-11</v>
      </c>
      <c r="AW4" s="76">
        <f>IFERROR(s_TR/(up_RadSpec!$H4*s_IFPU_far_adj*s_CF_pumpkin),".")</f>
        <v>6.6115702479338848E-11</v>
      </c>
      <c r="AX4" s="76">
        <f>IFERROR(s_TR/(up_RadSpec!$H4*s_IFSN_far_adj*s_CF_snap_bean),".")</f>
        <v>6.6115702479338848E-11</v>
      </c>
      <c r="AY4" s="76">
        <f>IFERROR(s_TR/(up_RadSpec!$H4*s_IFST_far_adj*s_CF_strawberry),".")</f>
        <v>6.6115702479338848E-11</v>
      </c>
      <c r="AZ4" s="76">
        <f>IFERROR(s_TR/(up_RadSpec!$H4*s_IFTO_far_adj*s_CF_tomato),".")</f>
        <v>6.6115702479338848E-11</v>
      </c>
      <c r="BA4" s="76">
        <f>IFERROR(s_TR/(up_RadSpec!$H4*s_IFRI_far_adj*s_CF_rice),".")</f>
        <v>6.6115702479338848E-11</v>
      </c>
      <c r="BB4" s="76">
        <f>IFERROR(s_TR/(up_RadSpec!$H4*s_IFCG_far_adj*s_CF_cereal),".")</f>
        <v>6.6115702479338848E-11</v>
      </c>
      <c r="BC4" s="93">
        <f t="shared" si="26"/>
        <v>605000</v>
      </c>
      <c r="BD4" s="93">
        <f t="shared" si="0"/>
        <v>151250</v>
      </c>
      <c r="BE4" s="93">
        <f t="shared" si="1"/>
        <v>151250</v>
      </c>
      <c r="BF4" s="93">
        <f t="shared" si="2"/>
        <v>151250</v>
      </c>
      <c r="BG4" s="93">
        <f t="shared" si="3"/>
        <v>151250</v>
      </c>
      <c r="BH4" s="93">
        <f t="shared" si="4"/>
        <v>151250</v>
      </c>
      <c r="BI4" s="93">
        <f t="shared" si="5"/>
        <v>151250</v>
      </c>
      <c r="BJ4" s="93">
        <f t="shared" si="6"/>
        <v>151250</v>
      </c>
      <c r="BK4" s="93">
        <f t="shared" si="7"/>
        <v>151250</v>
      </c>
      <c r="BL4" s="93">
        <f t="shared" si="8"/>
        <v>151250</v>
      </c>
      <c r="BM4" s="93">
        <f t="shared" si="9"/>
        <v>151250</v>
      </c>
      <c r="BN4" s="93">
        <f t="shared" si="10"/>
        <v>151250</v>
      </c>
      <c r="BO4" s="93">
        <f t="shared" si="11"/>
        <v>151250</v>
      </c>
      <c r="BP4" s="93">
        <f t="shared" si="12"/>
        <v>151250</v>
      </c>
      <c r="BQ4" s="93">
        <f t="shared" si="13"/>
        <v>151250</v>
      </c>
      <c r="BR4" s="93">
        <f t="shared" si="14"/>
        <v>151250</v>
      </c>
      <c r="BS4" s="93">
        <f t="shared" si="15"/>
        <v>151250</v>
      </c>
      <c r="BT4" s="93">
        <f t="shared" si="27"/>
        <v>151250</v>
      </c>
      <c r="BU4" s="93">
        <f t="shared" si="16"/>
        <v>151250</v>
      </c>
      <c r="BV4" s="93">
        <f t="shared" si="17"/>
        <v>151250</v>
      </c>
      <c r="BW4" s="93">
        <f t="shared" si="18"/>
        <v>151250</v>
      </c>
      <c r="BX4" s="93">
        <f t="shared" si="19"/>
        <v>151250</v>
      </c>
      <c r="BY4" s="93">
        <f t="shared" si="20"/>
        <v>151250</v>
      </c>
      <c r="BZ4" s="93">
        <f t="shared" si="21"/>
        <v>151250</v>
      </c>
      <c r="CA4" s="93">
        <f t="shared" si="22"/>
        <v>151250</v>
      </c>
      <c r="CB4" s="93">
        <f t="shared" si="23"/>
        <v>151250</v>
      </c>
    </row>
    <row r="5" spans="1:80" x14ac:dyDescent="0.25">
      <c r="A5" s="92" t="s">
        <v>15</v>
      </c>
      <c r="B5" s="90" t="s">
        <v>1071</v>
      </c>
      <c r="C5" s="76">
        <f t="shared" si="24"/>
        <v>1.6528925619834712E-11</v>
      </c>
      <c r="D5" s="76">
        <f>IFERROR(s_TR/(up_RadSpec!$H5*s_IFAP_res_adj*s_CF_apple),".")</f>
        <v>6.6115702479338848E-11</v>
      </c>
      <c r="E5" s="76">
        <f>IFERROR(s_TR/(up_RadSpec!$H5*s_IFAS_res_adj*s_CF_asparagus),".")</f>
        <v>6.6115702479338848E-11</v>
      </c>
      <c r="F5" s="76">
        <f>IFERROR(s_TR/(up_RadSpec!$H5*s_IFBT_res_adj*s_CF_beet),".")</f>
        <v>6.6115702479338848E-11</v>
      </c>
      <c r="G5" s="76">
        <f>IFERROR(s_TR/(up_RadSpec!$H5*s_IFBE_res_adj*s_CF_berries),".")</f>
        <v>6.6115702479338848E-11</v>
      </c>
      <c r="H5" s="76">
        <f>IFERROR(s_TR/(up_RadSpec!$H5*s_IFBR_res_adj*s_CF_broccoli),".")</f>
        <v>6.6115702479338848E-11</v>
      </c>
      <c r="I5" s="76">
        <f>IFERROR(s_TR/(up_RadSpec!$H5*s_IFCB_res_adj*s_CF_cabbage),".")</f>
        <v>6.6115702479338848E-11</v>
      </c>
      <c r="J5" s="76">
        <f>IFERROR(s_TR/(up_RadSpec!$H5*s_IFCR_res_adj*s_CF_carrot),".")</f>
        <v>6.6115702479338848E-11</v>
      </c>
      <c r="K5" s="76">
        <f>IFERROR(s_TR/(up_RadSpec!$H5*s_IFCI_res_adj*s_CF_citrus),".")</f>
        <v>6.6115702479338848E-11</v>
      </c>
      <c r="L5" s="76">
        <f>IFERROR(s_TR/(up_RadSpec!$H5*s_IFCO_res_adj*s_CF_corn),".")</f>
        <v>6.6115702479338848E-11</v>
      </c>
      <c r="M5" s="76">
        <f>IFERROR(s_TR/(up_RadSpec!$H5*s_IFCU_res_adj*s_CF_cucumber),".")</f>
        <v>6.6115702479338848E-11</v>
      </c>
      <c r="N5" s="76">
        <f>IFERROR(s_TR/(up_RadSpec!$H5*s_IFLE_res_adj*s_CF_lettuce),".")</f>
        <v>6.6115702479338848E-11</v>
      </c>
      <c r="O5" s="76">
        <f>IFERROR(s_TR/(up_RadSpec!$H5*s_IFLI_res_adj*s_CF_lima_bean),".")</f>
        <v>6.6115702479338848E-11</v>
      </c>
      <c r="P5" s="76">
        <f>IFERROR(s_TR/(up_RadSpec!$H5*s_IFOK_res_adj*s_CF_okra),".")</f>
        <v>6.6115702479338848E-11</v>
      </c>
      <c r="Q5" s="76">
        <f>IFERROR(s_TR/(up_RadSpec!$H5*s_IFON_res_adj*s_CF_onion),".")</f>
        <v>6.6115702479338848E-11</v>
      </c>
      <c r="R5" s="76">
        <f>IFERROR(s_TR/(up_RadSpec!$H5*s_IFPC_res_adj*s_CF_peach),".")</f>
        <v>6.6115702479338848E-11</v>
      </c>
      <c r="S5" s="76">
        <f>IFERROR(s_TR/(up_RadSpec!$H5*s_IFPR_res_adj*s_CF_pear),".")</f>
        <v>6.6115702479338848E-11</v>
      </c>
      <c r="T5" s="76">
        <f>IFERROR(s_TR/(up_RadSpec!$H5*s_IFPE_res_adj*s_CF_peas),".")</f>
        <v>6.6115702479338848E-11</v>
      </c>
      <c r="U5" s="76">
        <f>IFERROR(s_TR/(up_RadSpec!$H5*s_IFPP_res_adj*s_CF_peppers),".")</f>
        <v>6.6115702479338848E-11</v>
      </c>
      <c r="V5" s="76">
        <f>IFERROR(s_TR/(up_RadSpec!$H5*s_IFPT_res_adj*s_CF_potato),".")</f>
        <v>6.6115702479338848E-11</v>
      </c>
      <c r="W5" s="76">
        <f>IFERROR(s_TR/(up_RadSpec!$H5*s_IFPU_res_adj*s_CF_pumpkin),".")</f>
        <v>6.6115702479338848E-11</v>
      </c>
      <c r="X5" s="76">
        <f>IFERROR(s_TR/(up_RadSpec!$H5*s_IFSN_res_adj*s_CF_snap_bean),".")</f>
        <v>6.6115702479338848E-11</v>
      </c>
      <c r="Y5" s="76">
        <f>IFERROR(s_TR/(up_RadSpec!$H5*s_IFST_res_adj*s_CF_strawberry),".")</f>
        <v>6.6115702479338848E-11</v>
      </c>
      <c r="Z5" s="76">
        <f>IFERROR(s_TR/(up_RadSpec!$H5*s_IFTO_res_adj*s_CF_tomato),".")</f>
        <v>6.6115702479338848E-11</v>
      </c>
      <c r="AA5" s="76">
        <f>IFERROR(s_TR/(up_RadSpec!$H5*s_IFRI_res_adj*s_CF_rice),".")</f>
        <v>6.6115702479338848E-11</v>
      </c>
      <c r="AB5" s="76">
        <f>IFERROR(s_TR/(up_RadSpec!$H5*s_IFCG_res_adj*s_CF_cereal),".")</f>
        <v>6.6115702479338848E-11</v>
      </c>
      <c r="AC5" s="76">
        <f t="shared" si="25"/>
        <v>1.6528925619834712E-11</v>
      </c>
      <c r="AD5" s="76">
        <f>IFERROR(s_TR/(up_RadSpec!$H5*s_IFAP_far_adj*s_CF_apple),".")</f>
        <v>6.6115702479338848E-11</v>
      </c>
      <c r="AE5" s="76">
        <f>IFERROR(s_TR/(up_RadSpec!$H5*s_IFAS_far_adj*s_CF_asparagus),".")</f>
        <v>6.6115702479338848E-11</v>
      </c>
      <c r="AF5" s="76">
        <f>IFERROR(s_TR/(up_RadSpec!$H5*s_IFBT_far_adj*s_CF_beet),".")</f>
        <v>6.6115702479338848E-11</v>
      </c>
      <c r="AG5" s="76">
        <f>IFERROR(s_TR/(up_RadSpec!$H5*s_IFBE_far_adj*s_CF_berries),".")</f>
        <v>6.6115702479338848E-11</v>
      </c>
      <c r="AH5" s="76">
        <f>IFERROR(s_TR/(up_RadSpec!$H5*s_IFBR_far_adj*s_CF_broccoli),".")</f>
        <v>6.6115702479338848E-11</v>
      </c>
      <c r="AI5" s="76">
        <f>IFERROR(s_TR/(up_RadSpec!$H5*s_IFCB_far_adj*s_CF_cabbage),".")</f>
        <v>6.6115702479338848E-11</v>
      </c>
      <c r="AJ5" s="76">
        <f>IFERROR(s_TR/(up_RadSpec!$H5*s_IFCR_far_adj*s_CF_carrot),".")</f>
        <v>6.6115702479338848E-11</v>
      </c>
      <c r="AK5" s="76">
        <f>IFERROR(s_TR/(up_RadSpec!$H5*s_IFCI_far_adj*s_CF_citrus),".")</f>
        <v>6.6115702479338848E-11</v>
      </c>
      <c r="AL5" s="76">
        <f>IFERROR(s_TR/(up_RadSpec!$H5*s_IFCO_far_adj*s_CF_corn),".")</f>
        <v>6.6115702479338848E-11</v>
      </c>
      <c r="AM5" s="76">
        <f>IFERROR(s_TR/(up_RadSpec!$H5*s_IFCU_far_adj*s_CF_cucumber),".")</f>
        <v>6.6115702479338848E-11</v>
      </c>
      <c r="AN5" s="76">
        <f>IFERROR(s_TR/(up_RadSpec!$H5*s_IFLE_far_adj*s_CF_lettuce),".")</f>
        <v>6.6115702479338848E-11</v>
      </c>
      <c r="AO5" s="76">
        <f>IFERROR(s_TR/(up_RadSpec!$H5*s_IFLI_far_adj*s_CF_lima_bean),".")</f>
        <v>6.6115702479338848E-11</v>
      </c>
      <c r="AP5" s="76">
        <f>IFERROR(s_TR/(up_RadSpec!$H5*s_IFOK_far_adj*s_CF_okra),".")</f>
        <v>6.6115702479338848E-11</v>
      </c>
      <c r="AQ5" s="76">
        <f>IFERROR(s_TR/(up_RadSpec!$H5*s_IFON_far_adj*s_CF_onion),".")</f>
        <v>6.6115702479338848E-11</v>
      </c>
      <c r="AR5" s="76">
        <f>IFERROR(s_TR/(up_RadSpec!$H5*s_IFPC_far_adj*s_CF_peach),".")</f>
        <v>6.6115702479338848E-11</v>
      </c>
      <c r="AS5" s="76">
        <f>IFERROR(s_TR/(up_RadSpec!$H5*s_IFPR_far_adj*s_CF_pear),".")</f>
        <v>6.6115702479338848E-11</v>
      </c>
      <c r="AT5" s="76">
        <f>IFERROR(s_TR/(up_RadSpec!$H5*s_IFPE_far_adj*s_CF_peas),".")</f>
        <v>6.6115702479338848E-11</v>
      </c>
      <c r="AU5" s="76">
        <f>IFERROR(s_TR/(up_RadSpec!$H5*s_IFPP_far_adj*s_CF_peppers),".")</f>
        <v>6.6115702479338848E-11</v>
      </c>
      <c r="AV5" s="76">
        <f>IFERROR(s_TR/(up_RadSpec!$H5*s_IFPT_far_adj*s_CF_potato),".")</f>
        <v>6.6115702479338848E-11</v>
      </c>
      <c r="AW5" s="76">
        <f>IFERROR(s_TR/(up_RadSpec!$H5*s_IFPU_far_adj*s_CF_pumpkin),".")</f>
        <v>6.6115702479338848E-11</v>
      </c>
      <c r="AX5" s="76">
        <f>IFERROR(s_TR/(up_RadSpec!$H5*s_IFSN_far_adj*s_CF_snap_bean),".")</f>
        <v>6.6115702479338848E-11</v>
      </c>
      <c r="AY5" s="76">
        <f>IFERROR(s_TR/(up_RadSpec!$H5*s_IFST_far_adj*s_CF_strawberry),".")</f>
        <v>6.6115702479338848E-11</v>
      </c>
      <c r="AZ5" s="76">
        <f>IFERROR(s_TR/(up_RadSpec!$H5*s_IFTO_far_adj*s_CF_tomato),".")</f>
        <v>6.6115702479338848E-11</v>
      </c>
      <c r="BA5" s="76">
        <f>IFERROR(s_TR/(up_RadSpec!$H5*s_IFRI_far_adj*s_CF_rice),".")</f>
        <v>6.6115702479338848E-11</v>
      </c>
      <c r="BB5" s="76">
        <f>IFERROR(s_TR/(up_RadSpec!$H5*s_IFCG_far_adj*s_CF_cereal),".")</f>
        <v>6.6115702479338848E-11</v>
      </c>
      <c r="BC5" s="93">
        <f t="shared" si="26"/>
        <v>605000</v>
      </c>
      <c r="BD5" s="93">
        <f t="shared" si="0"/>
        <v>151250</v>
      </c>
      <c r="BE5" s="93">
        <f t="shared" si="1"/>
        <v>151250</v>
      </c>
      <c r="BF5" s="93">
        <f t="shared" si="2"/>
        <v>151250</v>
      </c>
      <c r="BG5" s="93">
        <f t="shared" si="3"/>
        <v>151250</v>
      </c>
      <c r="BH5" s="93">
        <f t="shared" si="4"/>
        <v>151250</v>
      </c>
      <c r="BI5" s="93">
        <f t="shared" si="5"/>
        <v>151250</v>
      </c>
      <c r="BJ5" s="93">
        <f t="shared" si="6"/>
        <v>151250</v>
      </c>
      <c r="BK5" s="93">
        <f t="shared" si="7"/>
        <v>151250</v>
      </c>
      <c r="BL5" s="93">
        <f t="shared" si="8"/>
        <v>151250</v>
      </c>
      <c r="BM5" s="93">
        <f t="shared" si="9"/>
        <v>151250</v>
      </c>
      <c r="BN5" s="93">
        <f t="shared" si="10"/>
        <v>151250</v>
      </c>
      <c r="BO5" s="93">
        <f t="shared" si="11"/>
        <v>151250</v>
      </c>
      <c r="BP5" s="93">
        <f t="shared" si="12"/>
        <v>151250</v>
      </c>
      <c r="BQ5" s="93">
        <f t="shared" si="13"/>
        <v>151250</v>
      </c>
      <c r="BR5" s="93">
        <f t="shared" si="14"/>
        <v>151250</v>
      </c>
      <c r="BS5" s="93">
        <f t="shared" si="15"/>
        <v>151250</v>
      </c>
      <c r="BT5" s="93">
        <f t="shared" si="27"/>
        <v>151250</v>
      </c>
      <c r="BU5" s="93">
        <f t="shared" si="16"/>
        <v>151250</v>
      </c>
      <c r="BV5" s="93">
        <f t="shared" si="17"/>
        <v>151250</v>
      </c>
      <c r="BW5" s="93">
        <f t="shared" si="18"/>
        <v>151250</v>
      </c>
      <c r="BX5" s="93">
        <f t="shared" si="19"/>
        <v>151250</v>
      </c>
      <c r="BY5" s="93">
        <f t="shared" si="20"/>
        <v>151250</v>
      </c>
      <c r="BZ5" s="93">
        <f t="shared" si="21"/>
        <v>151250</v>
      </c>
      <c r="CA5" s="93">
        <f t="shared" si="22"/>
        <v>151250</v>
      </c>
      <c r="CB5" s="93">
        <f t="shared" si="23"/>
        <v>151250</v>
      </c>
    </row>
    <row r="6" spans="1:80" x14ac:dyDescent="0.25">
      <c r="A6" s="92" t="s">
        <v>16</v>
      </c>
      <c r="B6" s="90" t="s">
        <v>1071</v>
      </c>
      <c r="C6" s="76">
        <f t="shared" si="24"/>
        <v>1.6528925619834712E-11</v>
      </c>
      <c r="D6" s="76">
        <f>IFERROR(s_TR/(up_RadSpec!$H6*s_IFAP_res_adj*s_CF_apple),".")</f>
        <v>6.6115702479338848E-11</v>
      </c>
      <c r="E6" s="76">
        <f>IFERROR(s_TR/(up_RadSpec!$H6*s_IFAS_res_adj*s_CF_asparagus),".")</f>
        <v>6.6115702479338848E-11</v>
      </c>
      <c r="F6" s="76">
        <f>IFERROR(s_TR/(up_RadSpec!$H6*s_IFBT_res_adj*s_CF_beet),".")</f>
        <v>6.6115702479338848E-11</v>
      </c>
      <c r="G6" s="76">
        <f>IFERROR(s_TR/(up_RadSpec!$H6*s_IFBE_res_adj*s_CF_berries),".")</f>
        <v>6.6115702479338848E-11</v>
      </c>
      <c r="H6" s="76">
        <f>IFERROR(s_TR/(up_RadSpec!$H6*s_IFBR_res_adj*s_CF_broccoli),".")</f>
        <v>6.6115702479338848E-11</v>
      </c>
      <c r="I6" s="76">
        <f>IFERROR(s_TR/(up_RadSpec!$H6*s_IFCB_res_adj*s_CF_cabbage),".")</f>
        <v>6.6115702479338848E-11</v>
      </c>
      <c r="J6" s="76">
        <f>IFERROR(s_TR/(up_RadSpec!$H6*s_IFCR_res_adj*s_CF_carrot),".")</f>
        <v>6.6115702479338848E-11</v>
      </c>
      <c r="K6" s="76">
        <f>IFERROR(s_TR/(up_RadSpec!$H6*s_IFCI_res_adj*s_CF_citrus),".")</f>
        <v>6.6115702479338848E-11</v>
      </c>
      <c r="L6" s="76">
        <f>IFERROR(s_TR/(up_RadSpec!$H6*s_IFCO_res_adj*s_CF_corn),".")</f>
        <v>6.6115702479338848E-11</v>
      </c>
      <c r="M6" s="76">
        <f>IFERROR(s_TR/(up_RadSpec!$H6*s_IFCU_res_adj*s_CF_cucumber),".")</f>
        <v>6.6115702479338848E-11</v>
      </c>
      <c r="N6" s="76">
        <f>IFERROR(s_TR/(up_RadSpec!$H6*s_IFLE_res_adj*s_CF_lettuce),".")</f>
        <v>6.6115702479338848E-11</v>
      </c>
      <c r="O6" s="76">
        <f>IFERROR(s_TR/(up_RadSpec!$H6*s_IFLI_res_adj*s_CF_lima_bean),".")</f>
        <v>6.6115702479338848E-11</v>
      </c>
      <c r="P6" s="76">
        <f>IFERROR(s_TR/(up_RadSpec!$H6*s_IFOK_res_adj*s_CF_okra),".")</f>
        <v>6.6115702479338848E-11</v>
      </c>
      <c r="Q6" s="76">
        <f>IFERROR(s_TR/(up_RadSpec!$H6*s_IFON_res_adj*s_CF_onion),".")</f>
        <v>6.6115702479338848E-11</v>
      </c>
      <c r="R6" s="76">
        <f>IFERROR(s_TR/(up_RadSpec!$H6*s_IFPC_res_adj*s_CF_peach),".")</f>
        <v>6.6115702479338848E-11</v>
      </c>
      <c r="S6" s="76">
        <f>IFERROR(s_TR/(up_RadSpec!$H6*s_IFPR_res_adj*s_CF_pear),".")</f>
        <v>6.6115702479338848E-11</v>
      </c>
      <c r="T6" s="76">
        <f>IFERROR(s_TR/(up_RadSpec!$H6*s_IFPE_res_adj*s_CF_peas),".")</f>
        <v>6.6115702479338848E-11</v>
      </c>
      <c r="U6" s="76">
        <f>IFERROR(s_TR/(up_RadSpec!$H6*s_IFPP_res_adj*s_CF_peppers),".")</f>
        <v>6.6115702479338848E-11</v>
      </c>
      <c r="V6" s="76">
        <f>IFERROR(s_TR/(up_RadSpec!$H6*s_IFPT_res_adj*s_CF_potato),".")</f>
        <v>6.6115702479338848E-11</v>
      </c>
      <c r="W6" s="76">
        <f>IFERROR(s_TR/(up_RadSpec!$H6*s_IFPU_res_adj*s_CF_pumpkin),".")</f>
        <v>6.6115702479338848E-11</v>
      </c>
      <c r="X6" s="76">
        <f>IFERROR(s_TR/(up_RadSpec!$H6*s_IFSN_res_adj*s_CF_snap_bean),".")</f>
        <v>6.6115702479338848E-11</v>
      </c>
      <c r="Y6" s="76">
        <f>IFERROR(s_TR/(up_RadSpec!$H6*s_IFST_res_adj*s_CF_strawberry),".")</f>
        <v>6.6115702479338848E-11</v>
      </c>
      <c r="Z6" s="76">
        <f>IFERROR(s_TR/(up_RadSpec!$H6*s_IFTO_res_adj*s_CF_tomato),".")</f>
        <v>6.6115702479338848E-11</v>
      </c>
      <c r="AA6" s="76">
        <f>IFERROR(s_TR/(up_RadSpec!$H6*s_IFRI_res_adj*s_CF_rice),".")</f>
        <v>6.6115702479338848E-11</v>
      </c>
      <c r="AB6" s="76">
        <f>IFERROR(s_TR/(up_RadSpec!$H6*s_IFCG_res_adj*s_CF_cereal),".")</f>
        <v>6.6115702479338848E-11</v>
      </c>
      <c r="AC6" s="76">
        <f t="shared" si="25"/>
        <v>1.6528925619834712E-11</v>
      </c>
      <c r="AD6" s="76">
        <f>IFERROR(s_TR/(up_RadSpec!$H6*s_IFAP_far_adj*s_CF_apple),".")</f>
        <v>6.6115702479338848E-11</v>
      </c>
      <c r="AE6" s="76">
        <f>IFERROR(s_TR/(up_RadSpec!$H6*s_IFAS_far_adj*s_CF_asparagus),".")</f>
        <v>6.6115702479338848E-11</v>
      </c>
      <c r="AF6" s="76">
        <f>IFERROR(s_TR/(up_RadSpec!$H6*s_IFBT_far_adj*s_CF_beet),".")</f>
        <v>6.6115702479338848E-11</v>
      </c>
      <c r="AG6" s="76">
        <f>IFERROR(s_TR/(up_RadSpec!$H6*s_IFBE_far_adj*s_CF_berries),".")</f>
        <v>6.6115702479338848E-11</v>
      </c>
      <c r="AH6" s="76">
        <f>IFERROR(s_TR/(up_RadSpec!$H6*s_IFBR_far_adj*s_CF_broccoli),".")</f>
        <v>6.6115702479338848E-11</v>
      </c>
      <c r="AI6" s="76">
        <f>IFERROR(s_TR/(up_RadSpec!$H6*s_IFCB_far_adj*s_CF_cabbage),".")</f>
        <v>6.6115702479338848E-11</v>
      </c>
      <c r="AJ6" s="76">
        <f>IFERROR(s_TR/(up_RadSpec!$H6*s_IFCR_far_adj*s_CF_carrot),".")</f>
        <v>6.6115702479338848E-11</v>
      </c>
      <c r="AK6" s="76">
        <f>IFERROR(s_TR/(up_RadSpec!$H6*s_IFCI_far_adj*s_CF_citrus),".")</f>
        <v>6.6115702479338848E-11</v>
      </c>
      <c r="AL6" s="76">
        <f>IFERROR(s_TR/(up_RadSpec!$H6*s_IFCO_far_adj*s_CF_corn),".")</f>
        <v>6.6115702479338848E-11</v>
      </c>
      <c r="AM6" s="76">
        <f>IFERROR(s_TR/(up_RadSpec!$H6*s_IFCU_far_adj*s_CF_cucumber),".")</f>
        <v>6.6115702479338848E-11</v>
      </c>
      <c r="AN6" s="76">
        <f>IFERROR(s_TR/(up_RadSpec!$H6*s_IFLE_far_adj*s_CF_lettuce),".")</f>
        <v>6.6115702479338848E-11</v>
      </c>
      <c r="AO6" s="76">
        <f>IFERROR(s_TR/(up_RadSpec!$H6*s_IFLI_far_adj*s_CF_lima_bean),".")</f>
        <v>6.6115702479338848E-11</v>
      </c>
      <c r="AP6" s="76">
        <f>IFERROR(s_TR/(up_RadSpec!$H6*s_IFOK_far_adj*s_CF_okra),".")</f>
        <v>6.6115702479338848E-11</v>
      </c>
      <c r="AQ6" s="76">
        <f>IFERROR(s_TR/(up_RadSpec!$H6*s_IFON_far_adj*s_CF_onion),".")</f>
        <v>6.6115702479338848E-11</v>
      </c>
      <c r="AR6" s="76">
        <f>IFERROR(s_TR/(up_RadSpec!$H6*s_IFPC_far_adj*s_CF_peach),".")</f>
        <v>6.6115702479338848E-11</v>
      </c>
      <c r="AS6" s="76">
        <f>IFERROR(s_TR/(up_RadSpec!$H6*s_IFPR_far_adj*s_CF_pear),".")</f>
        <v>6.6115702479338848E-11</v>
      </c>
      <c r="AT6" s="76">
        <f>IFERROR(s_TR/(up_RadSpec!$H6*s_IFPE_far_adj*s_CF_peas),".")</f>
        <v>6.6115702479338848E-11</v>
      </c>
      <c r="AU6" s="76">
        <f>IFERROR(s_TR/(up_RadSpec!$H6*s_IFPP_far_adj*s_CF_peppers),".")</f>
        <v>6.6115702479338848E-11</v>
      </c>
      <c r="AV6" s="76">
        <f>IFERROR(s_TR/(up_RadSpec!$H6*s_IFPT_far_adj*s_CF_potato),".")</f>
        <v>6.6115702479338848E-11</v>
      </c>
      <c r="AW6" s="76">
        <f>IFERROR(s_TR/(up_RadSpec!$H6*s_IFPU_far_adj*s_CF_pumpkin),".")</f>
        <v>6.6115702479338848E-11</v>
      </c>
      <c r="AX6" s="76">
        <f>IFERROR(s_TR/(up_RadSpec!$H6*s_IFSN_far_adj*s_CF_snap_bean),".")</f>
        <v>6.6115702479338848E-11</v>
      </c>
      <c r="AY6" s="76">
        <f>IFERROR(s_TR/(up_RadSpec!$H6*s_IFST_far_adj*s_CF_strawberry),".")</f>
        <v>6.6115702479338848E-11</v>
      </c>
      <c r="AZ6" s="76">
        <f>IFERROR(s_TR/(up_RadSpec!$H6*s_IFTO_far_adj*s_CF_tomato),".")</f>
        <v>6.6115702479338848E-11</v>
      </c>
      <c r="BA6" s="76">
        <f>IFERROR(s_TR/(up_RadSpec!$H6*s_IFRI_far_adj*s_CF_rice),".")</f>
        <v>6.6115702479338848E-11</v>
      </c>
      <c r="BB6" s="76">
        <f>IFERROR(s_TR/(up_RadSpec!$H6*s_IFCG_far_adj*s_CF_cereal),".")</f>
        <v>6.6115702479338848E-11</v>
      </c>
      <c r="BC6" s="93">
        <f t="shared" si="26"/>
        <v>605000</v>
      </c>
      <c r="BD6" s="93">
        <f t="shared" si="0"/>
        <v>151250</v>
      </c>
      <c r="BE6" s="93">
        <f t="shared" si="1"/>
        <v>151250</v>
      </c>
      <c r="BF6" s="93">
        <f t="shared" si="2"/>
        <v>151250</v>
      </c>
      <c r="BG6" s="93">
        <f t="shared" si="3"/>
        <v>151250</v>
      </c>
      <c r="BH6" s="93">
        <f t="shared" si="4"/>
        <v>151250</v>
      </c>
      <c r="BI6" s="93">
        <f t="shared" si="5"/>
        <v>151250</v>
      </c>
      <c r="BJ6" s="93">
        <f t="shared" si="6"/>
        <v>151250</v>
      </c>
      <c r="BK6" s="93">
        <f t="shared" si="7"/>
        <v>151250</v>
      </c>
      <c r="BL6" s="93">
        <f t="shared" si="8"/>
        <v>151250</v>
      </c>
      <c r="BM6" s="93">
        <f t="shared" si="9"/>
        <v>151250</v>
      </c>
      <c r="BN6" s="93">
        <f t="shared" si="10"/>
        <v>151250</v>
      </c>
      <c r="BO6" s="93">
        <f t="shared" si="11"/>
        <v>151250</v>
      </c>
      <c r="BP6" s="93">
        <f t="shared" si="12"/>
        <v>151250</v>
      </c>
      <c r="BQ6" s="93">
        <f t="shared" si="13"/>
        <v>151250</v>
      </c>
      <c r="BR6" s="93">
        <f t="shared" si="14"/>
        <v>151250</v>
      </c>
      <c r="BS6" s="93">
        <f t="shared" si="15"/>
        <v>151250</v>
      </c>
      <c r="BT6" s="93">
        <f t="shared" si="27"/>
        <v>151250</v>
      </c>
      <c r="BU6" s="93">
        <f t="shared" si="16"/>
        <v>151250</v>
      </c>
      <c r="BV6" s="93">
        <f t="shared" si="17"/>
        <v>151250</v>
      </c>
      <c r="BW6" s="93">
        <f t="shared" si="18"/>
        <v>151250</v>
      </c>
      <c r="BX6" s="93">
        <f t="shared" si="19"/>
        <v>151250</v>
      </c>
      <c r="BY6" s="93">
        <f t="shared" si="20"/>
        <v>151250</v>
      </c>
      <c r="BZ6" s="93">
        <f t="shared" si="21"/>
        <v>151250</v>
      </c>
      <c r="CA6" s="93">
        <f t="shared" si="22"/>
        <v>151250</v>
      </c>
      <c r="CB6" s="93">
        <f t="shared" si="23"/>
        <v>151250</v>
      </c>
    </row>
    <row r="7" spans="1:80" x14ac:dyDescent="0.25">
      <c r="A7" s="92" t="s">
        <v>17</v>
      </c>
      <c r="B7" s="90" t="s">
        <v>1071</v>
      </c>
      <c r="C7" s="76">
        <f t="shared" si="24"/>
        <v>1.6528925619834712E-11</v>
      </c>
      <c r="D7" s="76">
        <f>IFERROR(s_TR/(up_RadSpec!$H7*s_IFAP_res_adj*s_CF_apple),".")</f>
        <v>6.6115702479338848E-11</v>
      </c>
      <c r="E7" s="76">
        <f>IFERROR(s_TR/(up_RadSpec!$H7*s_IFAS_res_adj*s_CF_asparagus),".")</f>
        <v>6.6115702479338848E-11</v>
      </c>
      <c r="F7" s="76">
        <f>IFERROR(s_TR/(up_RadSpec!$H7*s_IFBT_res_adj*s_CF_beet),".")</f>
        <v>6.6115702479338848E-11</v>
      </c>
      <c r="G7" s="76">
        <f>IFERROR(s_TR/(up_RadSpec!$H7*s_IFBE_res_adj*s_CF_berries),".")</f>
        <v>6.6115702479338848E-11</v>
      </c>
      <c r="H7" s="76">
        <f>IFERROR(s_TR/(up_RadSpec!$H7*s_IFBR_res_adj*s_CF_broccoli),".")</f>
        <v>6.6115702479338848E-11</v>
      </c>
      <c r="I7" s="76">
        <f>IFERROR(s_TR/(up_RadSpec!$H7*s_IFCB_res_adj*s_CF_cabbage),".")</f>
        <v>6.6115702479338848E-11</v>
      </c>
      <c r="J7" s="76">
        <f>IFERROR(s_TR/(up_RadSpec!$H7*s_IFCR_res_adj*s_CF_carrot),".")</f>
        <v>6.6115702479338848E-11</v>
      </c>
      <c r="K7" s="76">
        <f>IFERROR(s_TR/(up_RadSpec!$H7*s_IFCI_res_adj*s_CF_citrus),".")</f>
        <v>6.6115702479338848E-11</v>
      </c>
      <c r="L7" s="76">
        <f>IFERROR(s_TR/(up_RadSpec!$H7*s_IFCO_res_adj*s_CF_corn),".")</f>
        <v>6.6115702479338848E-11</v>
      </c>
      <c r="M7" s="76">
        <f>IFERROR(s_TR/(up_RadSpec!$H7*s_IFCU_res_adj*s_CF_cucumber),".")</f>
        <v>6.6115702479338848E-11</v>
      </c>
      <c r="N7" s="76">
        <f>IFERROR(s_TR/(up_RadSpec!$H7*s_IFLE_res_adj*s_CF_lettuce),".")</f>
        <v>6.6115702479338848E-11</v>
      </c>
      <c r="O7" s="76">
        <f>IFERROR(s_TR/(up_RadSpec!$H7*s_IFLI_res_adj*s_CF_lima_bean),".")</f>
        <v>6.6115702479338848E-11</v>
      </c>
      <c r="P7" s="76">
        <f>IFERROR(s_TR/(up_RadSpec!$H7*s_IFOK_res_adj*s_CF_okra),".")</f>
        <v>6.6115702479338848E-11</v>
      </c>
      <c r="Q7" s="76">
        <f>IFERROR(s_TR/(up_RadSpec!$H7*s_IFON_res_adj*s_CF_onion),".")</f>
        <v>6.6115702479338848E-11</v>
      </c>
      <c r="R7" s="76">
        <f>IFERROR(s_TR/(up_RadSpec!$H7*s_IFPC_res_adj*s_CF_peach),".")</f>
        <v>6.6115702479338848E-11</v>
      </c>
      <c r="S7" s="76">
        <f>IFERROR(s_TR/(up_RadSpec!$H7*s_IFPR_res_adj*s_CF_pear),".")</f>
        <v>6.6115702479338848E-11</v>
      </c>
      <c r="T7" s="76">
        <f>IFERROR(s_TR/(up_RadSpec!$H7*s_IFPE_res_adj*s_CF_peas),".")</f>
        <v>6.6115702479338848E-11</v>
      </c>
      <c r="U7" s="76">
        <f>IFERROR(s_TR/(up_RadSpec!$H7*s_IFPP_res_adj*s_CF_peppers),".")</f>
        <v>6.6115702479338848E-11</v>
      </c>
      <c r="V7" s="76">
        <f>IFERROR(s_TR/(up_RadSpec!$H7*s_IFPT_res_adj*s_CF_potato),".")</f>
        <v>6.6115702479338848E-11</v>
      </c>
      <c r="W7" s="76">
        <f>IFERROR(s_TR/(up_RadSpec!$H7*s_IFPU_res_adj*s_CF_pumpkin),".")</f>
        <v>6.6115702479338848E-11</v>
      </c>
      <c r="X7" s="76">
        <f>IFERROR(s_TR/(up_RadSpec!$H7*s_IFSN_res_adj*s_CF_snap_bean),".")</f>
        <v>6.6115702479338848E-11</v>
      </c>
      <c r="Y7" s="76">
        <f>IFERROR(s_TR/(up_RadSpec!$H7*s_IFST_res_adj*s_CF_strawberry),".")</f>
        <v>6.6115702479338848E-11</v>
      </c>
      <c r="Z7" s="76">
        <f>IFERROR(s_TR/(up_RadSpec!$H7*s_IFTO_res_adj*s_CF_tomato),".")</f>
        <v>6.6115702479338848E-11</v>
      </c>
      <c r="AA7" s="76">
        <f>IFERROR(s_TR/(up_RadSpec!$H7*s_IFRI_res_adj*s_CF_rice),".")</f>
        <v>6.6115702479338848E-11</v>
      </c>
      <c r="AB7" s="76">
        <f>IFERROR(s_TR/(up_RadSpec!$H7*s_IFCG_res_adj*s_CF_cereal),".")</f>
        <v>6.6115702479338848E-11</v>
      </c>
      <c r="AC7" s="76">
        <f t="shared" si="25"/>
        <v>1.6528925619834712E-11</v>
      </c>
      <c r="AD7" s="76">
        <f>IFERROR(s_TR/(up_RadSpec!$H7*s_IFAP_far_adj*s_CF_apple),".")</f>
        <v>6.6115702479338848E-11</v>
      </c>
      <c r="AE7" s="76">
        <f>IFERROR(s_TR/(up_RadSpec!$H7*s_IFAS_far_adj*s_CF_asparagus),".")</f>
        <v>6.6115702479338848E-11</v>
      </c>
      <c r="AF7" s="76">
        <f>IFERROR(s_TR/(up_RadSpec!$H7*s_IFBT_far_adj*s_CF_beet),".")</f>
        <v>6.6115702479338848E-11</v>
      </c>
      <c r="AG7" s="76">
        <f>IFERROR(s_TR/(up_RadSpec!$H7*s_IFBE_far_adj*s_CF_berries),".")</f>
        <v>6.6115702479338848E-11</v>
      </c>
      <c r="AH7" s="76">
        <f>IFERROR(s_TR/(up_RadSpec!$H7*s_IFBR_far_adj*s_CF_broccoli),".")</f>
        <v>6.6115702479338848E-11</v>
      </c>
      <c r="AI7" s="76">
        <f>IFERROR(s_TR/(up_RadSpec!$H7*s_IFCB_far_adj*s_CF_cabbage),".")</f>
        <v>6.6115702479338848E-11</v>
      </c>
      <c r="AJ7" s="76">
        <f>IFERROR(s_TR/(up_RadSpec!$H7*s_IFCR_far_adj*s_CF_carrot),".")</f>
        <v>6.6115702479338848E-11</v>
      </c>
      <c r="AK7" s="76">
        <f>IFERROR(s_TR/(up_RadSpec!$H7*s_IFCI_far_adj*s_CF_citrus),".")</f>
        <v>6.6115702479338848E-11</v>
      </c>
      <c r="AL7" s="76">
        <f>IFERROR(s_TR/(up_RadSpec!$H7*s_IFCO_far_adj*s_CF_corn),".")</f>
        <v>6.6115702479338848E-11</v>
      </c>
      <c r="AM7" s="76">
        <f>IFERROR(s_TR/(up_RadSpec!$H7*s_IFCU_far_adj*s_CF_cucumber),".")</f>
        <v>6.6115702479338848E-11</v>
      </c>
      <c r="AN7" s="76">
        <f>IFERROR(s_TR/(up_RadSpec!$H7*s_IFLE_far_adj*s_CF_lettuce),".")</f>
        <v>6.6115702479338848E-11</v>
      </c>
      <c r="AO7" s="76">
        <f>IFERROR(s_TR/(up_RadSpec!$H7*s_IFLI_far_adj*s_CF_lima_bean),".")</f>
        <v>6.6115702479338848E-11</v>
      </c>
      <c r="AP7" s="76">
        <f>IFERROR(s_TR/(up_RadSpec!$H7*s_IFOK_far_adj*s_CF_okra),".")</f>
        <v>6.6115702479338848E-11</v>
      </c>
      <c r="AQ7" s="76">
        <f>IFERROR(s_TR/(up_RadSpec!$H7*s_IFON_far_adj*s_CF_onion),".")</f>
        <v>6.6115702479338848E-11</v>
      </c>
      <c r="AR7" s="76">
        <f>IFERROR(s_TR/(up_RadSpec!$H7*s_IFPC_far_adj*s_CF_peach),".")</f>
        <v>6.6115702479338848E-11</v>
      </c>
      <c r="AS7" s="76">
        <f>IFERROR(s_TR/(up_RadSpec!$H7*s_IFPR_far_adj*s_CF_pear),".")</f>
        <v>6.6115702479338848E-11</v>
      </c>
      <c r="AT7" s="76">
        <f>IFERROR(s_TR/(up_RadSpec!$H7*s_IFPE_far_adj*s_CF_peas),".")</f>
        <v>6.6115702479338848E-11</v>
      </c>
      <c r="AU7" s="76">
        <f>IFERROR(s_TR/(up_RadSpec!$H7*s_IFPP_far_adj*s_CF_peppers),".")</f>
        <v>6.6115702479338848E-11</v>
      </c>
      <c r="AV7" s="76">
        <f>IFERROR(s_TR/(up_RadSpec!$H7*s_IFPT_far_adj*s_CF_potato),".")</f>
        <v>6.6115702479338848E-11</v>
      </c>
      <c r="AW7" s="76">
        <f>IFERROR(s_TR/(up_RadSpec!$H7*s_IFPU_far_adj*s_CF_pumpkin),".")</f>
        <v>6.6115702479338848E-11</v>
      </c>
      <c r="AX7" s="76">
        <f>IFERROR(s_TR/(up_RadSpec!$H7*s_IFSN_far_adj*s_CF_snap_bean),".")</f>
        <v>6.6115702479338848E-11</v>
      </c>
      <c r="AY7" s="76">
        <f>IFERROR(s_TR/(up_RadSpec!$H7*s_IFST_far_adj*s_CF_strawberry),".")</f>
        <v>6.6115702479338848E-11</v>
      </c>
      <c r="AZ7" s="76">
        <f>IFERROR(s_TR/(up_RadSpec!$H7*s_IFTO_far_adj*s_CF_tomato),".")</f>
        <v>6.6115702479338848E-11</v>
      </c>
      <c r="BA7" s="76">
        <f>IFERROR(s_TR/(up_RadSpec!$H7*s_IFRI_far_adj*s_CF_rice),".")</f>
        <v>6.6115702479338848E-11</v>
      </c>
      <c r="BB7" s="76">
        <f>IFERROR(s_TR/(up_RadSpec!$H7*s_IFCG_far_adj*s_CF_cereal),".")</f>
        <v>6.6115702479338848E-11</v>
      </c>
      <c r="BC7" s="93">
        <f t="shared" si="26"/>
        <v>605000</v>
      </c>
      <c r="BD7" s="93">
        <f t="shared" si="0"/>
        <v>151250</v>
      </c>
      <c r="BE7" s="93">
        <f t="shared" si="1"/>
        <v>151250</v>
      </c>
      <c r="BF7" s="93">
        <f t="shared" si="2"/>
        <v>151250</v>
      </c>
      <c r="BG7" s="93">
        <f t="shared" si="3"/>
        <v>151250</v>
      </c>
      <c r="BH7" s="93">
        <f t="shared" si="4"/>
        <v>151250</v>
      </c>
      <c r="BI7" s="93">
        <f t="shared" si="5"/>
        <v>151250</v>
      </c>
      <c r="BJ7" s="93">
        <f t="shared" si="6"/>
        <v>151250</v>
      </c>
      <c r="BK7" s="93">
        <f t="shared" si="7"/>
        <v>151250</v>
      </c>
      <c r="BL7" s="93">
        <f t="shared" si="8"/>
        <v>151250</v>
      </c>
      <c r="BM7" s="93">
        <f t="shared" si="9"/>
        <v>151250</v>
      </c>
      <c r="BN7" s="93">
        <f t="shared" si="10"/>
        <v>151250</v>
      </c>
      <c r="BO7" s="93">
        <f t="shared" si="11"/>
        <v>151250</v>
      </c>
      <c r="BP7" s="93">
        <f t="shared" si="12"/>
        <v>151250</v>
      </c>
      <c r="BQ7" s="93">
        <f t="shared" si="13"/>
        <v>151250</v>
      </c>
      <c r="BR7" s="93">
        <f t="shared" si="14"/>
        <v>151250</v>
      </c>
      <c r="BS7" s="93">
        <f t="shared" si="15"/>
        <v>151250</v>
      </c>
      <c r="BT7" s="93">
        <f t="shared" si="27"/>
        <v>151250</v>
      </c>
      <c r="BU7" s="93">
        <f t="shared" si="16"/>
        <v>151250</v>
      </c>
      <c r="BV7" s="93">
        <f t="shared" si="17"/>
        <v>151250</v>
      </c>
      <c r="BW7" s="93">
        <f t="shared" si="18"/>
        <v>151250</v>
      </c>
      <c r="BX7" s="93">
        <f t="shared" si="19"/>
        <v>151250</v>
      </c>
      <c r="BY7" s="93">
        <f t="shared" si="20"/>
        <v>151250</v>
      </c>
      <c r="BZ7" s="93">
        <f t="shared" si="21"/>
        <v>151250</v>
      </c>
      <c r="CA7" s="93">
        <f t="shared" si="22"/>
        <v>151250</v>
      </c>
      <c r="CB7" s="93">
        <f t="shared" si="23"/>
        <v>151250</v>
      </c>
    </row>
    <row r="8" spans="1:80" x14ac:dyDescent="0.25">
      <c r="A8" s="92" t="s">
        <v>18</v>
      </c>
      <c r="B8" s="90" t="s">
        <v>1071</v>
      </c>
      <c r="C8" s="76">
        <f t="shared" si="24"/>
        <v>1.6528925619834712E-11</v>
      </c>
      <c r="D8" s="76">
        <f>IFERROR(s_TR/(up_RadSpec!$H8*s_IFAP_res_adj*s_CF_apple),".")</f>
        <v>6.6115702479338848E-11</v>
      </c>
      <c r="E8" s="76">
        <f>IFERROR(s_TR/(up_RadSpec!$H8*s_IFAS_res_adj*s_CF_asparagus),".")</f>
        <v>6.6115702479338848E-11</v>
      </c>
      <c r="F8" s="76">
        <f>IFERROR(s_TR/(up_RadSpec!$H8*s_IFBT_res_adj*s_CF_beet),".")</f>
        <v>6.6115702479338848E-11</v>
      </c>
      <c r="G8" s="76">
        <f>IFERROR(s_TR/(up_RadSpec!$H8*s_IFBE_res_adj*s_CF_berries),".")</f>
        <v>6.6115702479338848E-11</v>
      </c>
      <c r="H8" s="76">
        <f>IFERROR(s_TR/(up_RadSpec!$H8*s_IFBR_res_adj*s_CF_broccoli),".")</f>
        <v>6.6115702479338848E-11</v>
      </c>
      <c r="I8" s="76">
        <f>IFERROR(s_TR/(up_RadSpec!$H8*s_IFCB_res_adj*s_CF_cabbage),".")</f>
        <v>6.6115702479338848E-11</v>
      </c>
      <c r="J8" s="76">
        <f>IFERROR(s_TR/(up_RadSpec!$H8*s_IFCR_res_adj*s_CF_carrot),".")</f>
        <v>6.6115702479338848E-11</v>
      </c>
      <c r="K8" s="76">
        <f>IFERROR(s_TR/(up_RadSpec!$H8*s_IFCI_res_adj*s_CF_citrus),".")</f>
        <v>6.6115702479338848E-11</v>
      </c>
      <c r="L8" s="76">
        <f>IFERROR(s_TR/(up_RadSpec!$H8*s_IFCO_res_adj*s_CF_corn),".")</f>
        <v>6.6115702479338848E-11</v>
      </c>
      <c r="M8" s="76">
        <f>IFERROR(s_TR/(up_RadSpec!$H8*s_IFCU_res_adj*s_CF_cucumber),".")</f>
        <v>6.6115702479338848E-11</v>
      </c>
      <c r="N8" s="76">
        <f>IFERROR(s_TR/(up_RadSpec!$H8*s_IFLE_res_adj*s_CF_lettuce),".")</f>
        <v>6.6115702479338848E-11</v>
      </c>
      <c r="O8" s="76">
        <f>IFERROR(s_TR/(up_RadSpec!$H8*s_IFLI_res_adj*s_CF_lima_bean),".")</f>
        <v>6.6115702479338848E-11</v>
      </c>
      <c r="P8" s="76">
        <f>IFERROR(s_TR/(up_RadSpec!$H8*s_IFOK_res_adj*s_CF_okra),".")</f>
        <v>6.6115702479338848E-11</v>
      </c>
      <c r="Q8" s="76">
        <f>IFERROR(s_TR/(up_RadSpec!$H8*s_IFON_res_adj*s_CF_onion),".")</f>
        <v>6.6115702479338848E-11</v>
      </c>
      <c r="R8" s="76">
        <f>IFERROR(s_TR/(up_RadSpec!$H8*s_IFPC_res_adj*s_CF_peach),".")</f>
        <v>6.6115702479338848E-11</v>
      </c>
      <c r="S8" s="76">
        <f>IFERROR(s_TR/(up_RadSpec!$H8*s_IFPR_res_adj*s_CF_pear),".")</f>
        <v>6.6115702479338848E-11</v>
      </c>
      <c r="T8" s="76">
        <f>IFERROR(s_TR/(up_RadSpec!$H8*s_IFPE_res_adj*s_CF_peas),".")</f>
        <v>6.6115702479338848E-11</v>
      </c>
      <c r="U8" s="76">
        <f>IFERROR(s_TR/(up_RadSpec!$H8*s_IFPP_res_adj*s_CF_peppers),".")</f>
        <v>6.6115702479338848E-11</v>
      </c>
      <c r="V8" s="76">
        <f>IFERROR(s_TR/(up_RadSpec!$H8*s_IFPT_res_adj*s_CF_potato),".")</f>
        <v>6.6115702479338848E-11</v>
      </c>
      <c r="W8" s="76">
        <f>IFERROR(s_TR/(up_RadSpec!$H8*s_IFPU_res_adj*s_CF_pumpkin),".")</f>
        <v>6.6115702479338848E-11</v>
      </c>
      <c r="X8" s="76">
        <f>IFERROR(s_TR/(up_RadSpec!$H8*s_IFSN_res_adj*s_CF_snap_bean),".")</f>
        <v>6.6115702479338848E-11</v>
      </c>
      <c r="Y8" s="76">
        <f>IFERROR(s_TR/(up_RadSpec!$H8*s_IFST_res_adj*s_CF_strawberry),".")</f>
        <v>6.6115702479338848E-11</v>
      </c>
      <c r="Z8" s="76">
        <f>IFERROR(s_TR/(up_RadSpec!$H8*s_IFTO_res_adj*s_CF_tomato),".")</f>
        <v>6.6115702479338848E-11</v>
      </c>
      <c r="AA8" s="76">
        <f>IFERROR(s_TR/(up_RadSpec!$H8*s_IFRI_res_adj*s_CF_rice),".")</f>
        <v>6.6115702479338848E-11</v>
      </c>
      <c r="AB8" s="76">
        <f>IFERROR(s_TR/(up_RadSpec!$H8*s_IFCG_res_adj*s_CF_cereal),".")</f>
        <v>6.6115702479338848E-11</v>
      </c>
      <c r="AC8" s="76">
        <f t="shared" si="25"/>
        <v>1.6528925619834712E-11</v>
      </c>
      <c r="AD8" s="76">
        <f>IFERROR(s_TR/(up_RadSpec!$H8*s_IFAP_far_adj*s_CF_apple),".")</f>
        <v>6.6115702479338848E-11</v>
      </c>
      <c r="AE8" s="76">
        <f>IFERROR(s_TR/(up_RadSpec!$H8*s_IFAS_far_adj*s_CF_asparagus),".")</f>
        <v>6.6115702479338848E-11</v>
      </c>
      <c r="AF8" s="76">
        <f>IFERROR(s_TR/(up_RadSpec!$H8*s_IFBT_far_adj*s_CF_beet),".")</f>
        <v>6.6115702479338848E-11</v>
      </c>
      <c r="AG8" s="76">
        <f>IFERROR(s_TR/(up_RadSpec!$H8*s_IFBE_far_adj*s_CF_berries),".")</f>
        <v>6.6115702479338848E-11</v>
      </c>
      <c r="AH8" s="76">
        <f>IFERROR(s_TR/(up_RadSpec!$H8*s_IFBR_far_adj*s_CF_broccoli),".")</f>
        <v>6.6115702479338848E-11</v>
      </c>
      <c r="AI8" s="76">
        <f>IFERROR(s_TR/(up_RadSpec!$H8*s_IFCB_far_adj*s_CF_cabbage),".")</f>
        <v>6.6115702479338848E-11</v>
      </c>
      <c r="AJ8" s="76">
        <f>IFERROR(s_TR/(up_RadSpec!$H8*s_IFCR_far_adj*s_CF_carrot),".")</f>
        <v>6.6115702479338848E-11</v>
      </c>
      <c r="AK8" s="76">
        <f>IFERROR(s_TR/(up_RadSpec!$H8*s_IFCI_far_adj*s_CF_citrus),".")</f>
        <v>6.6115702479338848E-11</v>
      </c>
      <c r="AL8" s="76">
        <f>IFERROR(s_TR/(up_RadSpec!$H8*s_IFCO_far_adj*s_CF_corn),".")</f>
        <v>6.6115702479338848E-11</v>
      </c>
      <c r="AM8" s="76">
        <f>IFERROR(s_TR/(up_RadSpec!$H8*s_IFCU_far_adj*s_CF_cucumber),".")</f>
        <v>6.6115702479338848E-11</v>
      </c>
      <c r="AN8" s="76">
        <f>IFERROR(s_TR/(up_RadSpec!$H8*s_IFLE_far_adj*s_CF_lettuce),".")</f>
        <v>6.6115702479338848E-11</v>
      </c>
      <c r="AO8" s="76">
        <f>IFERROR(s_TR/(up_RadSpec!$H8*s_IFLI_far_adj*s_CF_lima_bean),".")</f>
        <v>6.6115702479338848E-11</v>
      </c>
      <c r="AP8" s="76">
        <f>IFERROR(s_TR/(up_RadSpec!$H8*s_IFOK_far_adj*s_CF_okra),".")</f>
        <v>6.6115702479338848E-11</v>
      </c>
      <c r="AQ8" s="76">
        <f>IFERROR(s_TR/(up_RadSpec!$H8*s_IFON_far_adj*s_CF_onion),".")</f>
        <v>6.6115702479338848E-11</v>
      </c>
      <c r="AR8" s="76">
        <f>IFERROR(s_TR/(up_RadSpec!$H8*s_IFPC_far_adj*s_CF_peach),".")</f>
        <v>6.6115702479338848E-11</v>
      </c>
      <c r="AS8" s="76">
        <f>IFERROR(s_TR/(up_RadSpec!$H8*s_IFPR_far_adj*s_CF_pear),".")</f>
        <v>6.6115702479338848E-11</v>
      </c>
      <c r="AT8" s="76">
        <f>IFERROR(s_TR/(up_RadSpec!$H8*s_IFPE_far_adj*s_CF_peas),".")</f>
        <v>6.6115702479338848E-11</v>
      </c>
      <c r="AU8" s="76">
        <f>IFERROR(s_TR/(up_RadSpec!$H8*s_IFPP_far_adj*s_CF_peppers),".")</f>
        <v>6.6115702479338848E-11</v>
      </c>
      <c r="AV8" s="76">
        <f>IFERROR(s_TR/(up_RadSpec!$H8*s_IFPT_far_adj*s_CF_potato),".")</f>
        <v>6.6115702479338848E-11</v>
      </c>
      <c r="AW8" s="76">
        <f>IFERROR(s_TR/(up_RadSpec!$H8*s_IFPU_far_adj*s_CF_pumpkin),".")</f>
        <v>6.6115702479338848E-11</v>
      </c>
      <c r="AX8" s="76">
        <f>IFERROR(s_TR/(up_RadSpec!$H8*s_IFSN_far_adj*s_CF_snap_bean),".")</f>
        <v>6.6115702479338848E-11</v>
      </c>
      <c r="AY8" s="76">
        <f>IFERROR(s_TR/(up_RadSpec!$H8*s_IFST_far_adj*s_CF_strawberry),".")</f>
        <v>6.6115702479338848E-11</v>
      </c>
      <c r="AZ8" s="76">
        <f>IFERROR(s_TR/(up_RadSpec!$H8*s_IFTO_far_adj*s_CF_tomato),".")</f>
        <v>6.6115702479338848E-11</v>
      </c>
      <c r="BA8" s="76">
        <f>IFERROR(s_TR/(up_RadSpec!$H8*s_IFRI_far_adj*s_CF_rice),".")</f>
        <v>6.6115702479338848E-11</v>
      </c>
      <c r="BB8" s="76">
        <f>IFERROR(s_TR/(up_RadSpec!$H8*s_IFCG_far_adj*s_CF_cereal),".")</f>
        <v>6.6115702479338848E-11</v>
      </c>
      <c r="BC8" s="93">
        <f t="shared" si="26"/>
        <v>605000</v>
      </c>
      <c r="BD8" s="93">
        <f t="shared" si="0"/>
        <v>151250</v>
      </c>
      <c r="BE8" s="93">
        <f t="shared" si="1"/>
        <v>151250</v>
      </c>
      <c r="BF8" s="93">
        <f t="shared" si="2"/>
        <v>151250</v>
      </c>
      <c r="BG8" s="93">
        <f t="shared" si="3"/>
        <v>151250</v>
      </c>
      <c r="BH8" s="93">
        <f t="shared" si="4"/>
        <v>151250</v>
      </c>
      <c r="BI8" s="93">
        <f t="shared" si="5"/>
        <v>151250</v>
      </c>
      <c r="BJ8" s="93">
        <f t="shared" si="6"/>
        <v>151250</v>
      </c>
      <c r="BK8" s="93">
        <f t="shared" si="7"/>
        <v>151250</v>
      </c>
      <c r="BL8" s="93">
        <f t="shared" si="8"/>
        <v>151250</v>
      </c>
      <c r="BM8" s="93">
        <f t="shared" si="9"/>
        <v>151250</v>
      </c>
      <c r="BN8" s="93">
        <f t="shared" si="10"/>
        <v>151250</v>
      </c>
      <c r="BO8" s="93">
        <f t="shared" si="11"/>
        <v>151250</v>
      </c>
      <c r="BP8" s="93">
        <f t="shared" si="12"/>
        <v>151250</v>
      </c>
      <c r="BQ8" s="93">
        <f t="shared" si="13"/>
        <v>151250</v>
      </c>
      <c r="BR8" s="93">
        <f t="shared" si="14"/>
        <v>151250</v>
      </c>
      <c r="BS8" s="93">
        <f t="shared" si="15"/>
        <v>151250</v>
      </c>
      <c r="BT8" s="93">
        <f t="shared" si="27"/>
        <v>151250</v>
      </c>
      <c r="BU8" s="93">
        <f t="shared" si="16"/>
        <v>151250</v>
      </c>
      <c r="BV8" s="93">
        <f t="shared" si="17"/>
        <v>151250</v>
      </c>
      <c r="BW8" s="93">
        <f t="shared" si="18"/>
        <v>151250</v>
      </c>
      <c r="BX8" s="93">
        <f t="shared" si="19"/>
        <v>151250</v>
      </c>
      <c r="BY8" s="93">
        <f t="shared" si="20"/>
        <v>151250</v>
      </c>
      <c r="BZ8" s="93">
        <f t="shared" si="21"/>
        <v>151250</v>
      </c>
      <c r="CA8" s="93">
        <f t="shared" si="22"/>
        <v>151250</v>
      </c>
      <c r="CB8" s="93">
        <f t="shared" si="23"/>
        <v>151250</v>
      </c>
    </row>
    <row r="9" spans="1:80" x14ac:dyDescent="0.25">
      <c r="A9" s="92" t="s">
        <v>19</v>
      </c>
      <c r="B9" s="90" t="s">
        <v>1071</v>
      </c>
      <c r="C9" s="76">
        <f t="shared" si="24"/>
        <v>1.6528925619834712E-11</v>
      </c>
      <c r="D9" s="76">
        <f>IFERROR(s_TR/(up_RadSpec!$H9*s_IFAP_res_adj*s_CF_apple),".")</f>
        <v>6.6115702479338848E-11</v>
      </c>
      <c r="E9" s="76">
        <f>IFERROR(s_TR/(up_RadSpec!$H9*s_IFAS_res_adj*s_CF_asparagus),".")</f>
        <v>6.6115702479338848E-11</v>
      </c>
      <c r="F9" s="76">
        <f>IFERROR(s_TR/(up_RadSpec!$H9*s_IFBT_res_adj*s_CF_beet),".")</f>
        <v>6.6115702479338848E-11</v>
      </c>
      <c r="G9" s="76">
        <f>IFERROR(s_TR/(up_RadSpec!$H9*s_IFBE_res_adj*s_CF_berries),".")</f>
        <v>6.6115702479338848E-11</v>
      </c>
      <c r="H9" s="76">
        <f>IFERROR(s_TR/(up_RadSpec!$H9*s_IFBR_res_adj*s_CF_broccoli),".")</f>
        <v>6.6115702479338848E-11</v>
      </c>
      <c r="I9" s="76">
        <f>IFERROR(s_TR/(up_RadSpec!$H9*s_IFCB_res_adj*s_CF_cabbage),".")</f>
        <v>6.6115702479338848E-11</v>
      </c>
      <c r="J9" s="76">
        <f>IFERROR(s_TR/(up_RadSpec!$H9*s_IFCR_res_adj*s_CF_carrot),".")</f>
        <v>6.6115702479338848E-11</v>
      </c>
      <c r="K9" s="76">
        <f>IFERROR(s_TR/(up_RadSpec!$H9*s_IFCI_res_adj*s_CF_citrus),".")</f>
        <v>6.6115702479338848E-11</v>
      </c>
      <c r="L9" s="76">
        <f>IFERROR(s_TR/(up_RadSpec!$H9*s_IFCO_res_adj*s_CF_corn),".")</f>
        <v>6.6115702479338848E-11</v>
      </c>
      <c r="M9" s="76">
        <f>IFERROR(s_TR/(up_RadSpec!$H9*s_IFCU_res_adj*s_CF_cucumber),".")</f>
        <v>6.6115702479338848E-11</v>
      </c>
      <c r="N9" s="76">
        <f>IFERROR(s_TR/(up_RadSpec!$H9*s_IFLE_res_adj*s_CF_lettuce),".")</f>
        <v>6.6115702479338848E-11</v>
      </c>
      <c r="O9" s="76">
        <f>IFERROR(s_TR/(up_RadSpec!$H9*s_IFLI_res_adj*s_CF_lima_bean),".")</f>
        <v>6.6115702479338848E-11</v>
      </c>
      <c r="P9" s="76">
        <f>IFERROR(s_TR/(up_RadSpec!$H9*s_IFOK_res_adj*s_CF_okra),".")</f>
        <v>6.6115702479338848E-11</v>
      </c>
      <c r="Q9" s="76">
        <f>IFERROR(s_TR/(up_RadSpec!$H9*s_IFON_res_adj*s_CF_onion),".")</f>
        <v>6.6115702479338848E-11</v>
      </c>
      <c r="R9" s="76">
        <f>IFERROR(s_TR/(up_RadSpec!$H9*s_IFPC_res_adj*s_CF_peach),".")</f>
        <v>6.6115702479338848E-11</v>
      </c>
      <c r="S9" s="76">
        <f>IFERROR(s_TR/(up_RadSpec!$H9*s_IFPR_res_adj*s_CF_pear),".")</f>
        <v>6.6115702479338848E-11</v>
      </c>
      <c r="T9" s="76">
        <f>IFERROR(s_TR/(up_RadSpec!$H9*s_IFPE_res_adj*s_CF_peas),".")</f>
        <v>6.6115702479338848E-11</v>
      </c>
      <c r="U9" s="76">
        <f>IFERROR(s_TR/(up_RadSpec!$H9*s_IFPP_res_adj*s_CF_peppers),".")</f>
        <v>6.6115702479338848E-11</v>
      </c>
      <c r="V9" s="76">
        <f>IFERROR(s_TR/(up_RadSpec!$H9*s_IFPT_res_adj*s_CF_potato),".")</f>
        <v>6.6115702479338848E-11</v>
      </c>
      <c r="W9" s="76">
        <f>IFERROR(s_TR/(up_RadSpec!$H9*s_IFPU_res_adj*s_CF_pumpkin),".")</f>
        <v>6.6115702479338848E-11</v>
      </c>
      <c r="X9" s="76">
        <f>IFERROR(s_TR/(up_RadSpec!$H9*s_IFSN_res_adj*s_CF_snap_bean),".")</f>
        <v>6.6115702479338848E-11</v>
      </c>
      <c r="Y9" s="76">
        <f>IFERROR(s_TR/(up_RadSpec!$H9*s_IFST_res_adj*s_CF_strawberry),".")</f>
        <v>6.6115702479338848E-11</v>
      </c>
      <c r="Z9" s="76">
        <f>IFERROR(s_TR/(up_RadSpec!$H9*s_IFTO_res_adj*s_CF_tomato),".")</f>
        <v>6.6115702479338848E-11</v>
      </c>
      <c r="AA9" s="76">
        <f>IFERROR(s_TR/(up_RadSpec!$H9*s_IFRI_res_adj*s_CF_rice),".")</f>
        <v>6.6115702479338848E-11</v>
      </c>
      <c r="AB9" s="76">
        <f>IFERROR(s_TR/(up_RadSpec!$H9*s_IFCG_res_adj*s_CF_cereal),".")</f>
        <v>6.6115702479338848E-11</v>
      </c>
      <c r="AC9" s="76">
        <f t="shared" si="25"/>
        <v>1.6528925619834712E-11</v>
      </c>
      <c r="AD9" s="76">
        <f>IFERROR(s_TR/(up_RadSpec!$H9*s_IFAP_far_adj*s_CF_apple),".")</f>
        <v>6.6115702479338848E-11</v>
      </c>
      <c r="AE9" s="76">
        <f>IFERROR(s_TR/(up_RadSpec!$H9*s_IFAS_far_adj*s_CF_asparagus),".")</f>
        <v>6.6115702479338848E-11</v>
      </c>
      <c r="AF9" s="76">
        <f>IFERROR(s_TR/(up_RadSpec!$H9*s_IFBT_far_adj*s_CF_beet),".")</f>
        <v>6.6115702479338848E-11</v>
      </c>
      <c r="AG9" s="76">
        <f>IFERROR(s_TR/(up_RadSpec!$H9*s_IFBE_far_adj*s_CF_berries),".")</f>
        <v>6.6115702479338848E-11</v>
      </c>
      <c r="AH9" s="76">
        <f>IFERROR(s_TR/(up_RadSpec!$H9*s_IFBR_far_adj*s_CF_broccoli),".")</f>
        <v>6.6115702479338848E-11</v>
      </c>
      <c r="AI9" s="76">
        <f>IFERROR(s_TR/(up_RadSpec!$H9*s_IFCB_far_adj*s_CF_cabbage),".")</f>
        <v>6.6115702479338848E-11</v>
      </c>
      <c r="AJ9" s="76">
        <f>IFERROR(s_TR/(up_RadSpec!$H9*s_IFCR_far_adj*s_CF_carrot),".")</f>
        <v>6.6115702479338848E-11</v>
      </c>
      <c r="AK9" s="76">
        <f>IFERROR(s_TR/(up_RadSpec!$H9*s_IFCI_far_adj*s_CF_citrus),".")</f>
        <v>6.6115702479338848E-11</v>
      </c>
      <c r="AL9" s="76">
        <f>IFERROR(s_TR/(up_RadSpec!$H9*s_IFCO_far_adj*s_CF_corn),".")</f>
        <v>6.6115702479338848E-11</v>
      </c>
      <c r="AM9" s="76">
        <f>IFERROR(s_TR/(up_RadSpec!$H9*s_IFCU_far_adj*s_CF_cucumber),".")</f>
        <v>6.6115702479338848E-11</v>
      </c>
      <c r="AN9" s="76">
        <f>IFERROR(s_TR/(up_RadSpec!$H9*s_IFLE_far_adj*s_CF_lettuce),".")</f>
        <v>6.6115702479338848E-11</v>
      </c>
      <c r="AO9" s="76">
        <f>IFERROR(s_TR/(up_RadSpec!$H9*s_IFLI_far_adj*s_CF_lima_bean),".")</f>
        <v>6.6115702479338848E-11</v>
      </c>
      <c r="AP9" s="76">
        <f>IFERROR(s_TR/(up_RadSpec!$H9*s_IFOK_far_adj*s_CF_okra),".")</f>
        <v>6.6115702479338848E-11</v>
      </c>
      <c r="AQ9" s="76">
        <f>IFERROR(s_TR/(up_RadSpec!$H9*s_IFON_far_adj*s_CF_onion),".")</f>
        <v>6.6115702479338848E-11</v>
      </c>
      <c r="AR9" s="76">
        <f>IFERROR(s_TR/(up_RadSpec!$H9*s_IFPC_far_adj*s_CF_peach),".")</f>
        <v>6.6115702479338848E-11</v>
      </c>
      <c r="AS9" s="76">
        <f>IFERROR(s_TR/(up_RadSpec!$H9*s_IFPR_far_adj*s_CF_pear),".")</f>
        <v>6.6115702479338848E-11</v>
      </c>
      <c r="AT9" s="76">
        <f>IFERROR(s_TR/(up_RadSpec!$H9*s_IFPE_far_adj*s_CF_peas),".")</f>
        <v>6.6115702479338848E-11</v>
      </c>
      <c r="AU9" s="76">
        <f>IFERROR(s_TR/(up_RadSpec!$H9*s_IFPP_far_adj*s_CF_peppers),".")</f>
        <v>6.6115702479338848E-11</v>
      </c>
      <c r="AV9" s="76">
        <f>IFERROR(s_TR/(up_RadSpec!$H9*s_IFPT_far_adj*s_CF_potato),".")</f>
        <v>6.6115702479338848E-11</v>
      </c>
      <c r="AW9" s="76">
        <f>IFERROR(s_TR/(up_RadSpec!$H9*s_IFPU_far_adj*s_CF_pumpkin),".")</f>
        <v>6.6115702479338848E-11</v>
      </c>
      <c r="AX9" s="76">
        <f>IFERROR(s_TR/(up_RadSpec!$H9*s_IFSN_far_adj*s_CF_snap_bean),".")</f>
        <v>6.6115702479338848E-11</v>
      </c>
      <c r="AY9" s="76">
        <f>IFERROR(s_TR/(up_RadSpec!$H9*s_IFST_far_adj*s_CF_strawberry),".")</f>
        <v>6.6115702479338848E-11</v>
      </c>
      <c r="AZ9" s="76">
        <f>IFERROR(s_TR/(up_RadSpec!$H9*s_IFTO_far_adj*s_CF_tomato),".")</f>
        <v>6.6115702479338848E-11</v>
      </c>
      <c r="BA9" s="76">
        <f>IFERROR(s_TR/(up_RadSpec!$H9*s_IFRI_far_adj*s_CF_rice),".")</f>
        <v>6.6115702479338848E-11</v>
      </c>
      <c r="BB9" s="76">
        <f>IFERROR(s_TR/(up_RadSpec!$H9*s_IFCG_far_adj*s_CF_cereal),".")</f>
        <v>6.6115702479338848E-11</v>
      </c>
      <c r="BC9" s="93">
        <f t="shared" si="26"/>
        <v>605000</v>
      </c>
      <c r="BD9" s="93">
        <f t="shared" si="0"/>
        <v>151250</v>
      </c>
      <c r="BE9" s="93">
        <f t="shared" si="1"/>
        <v>151250</v>
      </c>
      <c r="BF9" s="93">
        <f t="shared" si="2"/>
        <v>151250</v>
      </c>
      <c r="BG9" s="93">
        <f t="shared" si="3"/>
        <v>151250</v>
      </c>
      <c r="BH9" s="93">
        <f t="shared" si="4"/>
        <v>151250</v>
      </c>
      <c r="BI9" s="93">
        <f t="shared" si="5"/>
        <v>151250</v>
      </c>
      <c r="BJ9" s="93">
        <f t="shared" si="6"/>
        <v>151250</v>
      </c>
      <c r="BK9" s="93">
        <f t="shared" si="7"/>
        <v>151250</v>
      </c>
      <c r="BL9" s="93">
        <f t="shared" si="8"/>
        <v>151250</v>
      </c>
      <c r="BM9" s="93">
        <f t="shared" si="9"/>
        <v>151250</v>
      </c>
      <c r="BN9" s="93">
        <f t="shared" si="10"/>
        <v>151250</v>
      </c>
      <c r="BO9" s="93">
        <f t="shared" si="11"/>
        <v>151250</v>
      </c>
      <c r="BP9" s="93">
        <f t="shared" si="12"/>
        <v>151250</v>
      </c>
      <c r="BQ9" s="93">
        <f t="shared" si="13"/>
        <v>151250</v>
      </c>
      <c r="BR9" s="93">
        <f t="shared" si="14"/>
        <v>151250</v>
      </c>
      <c r="BS9" s="93">
        <f t="shared" si="15"/>
        <v>151250</v>
      </c>
      <c r="BT9" s="93">
        <f t="shared" si="27"/>
        <v>151250</v>
      </c>
      <c r="BU9" s="93">
        <f t="shared" si="16"/>
        <v>151250</v>
      </c>
      <c r="BV9" s="93">
        <f t="shared" si="17"/>
        <v>151250</v>
      </c>
      <c r="BW9" s="93">
        <f t="shared" si="18"/>
        <v>151250</v>
      </c>
      <c r="BX9" s="93">
        <f t="shared" si="19"/>
        <v>151250</v>
      </c>
      <c r="BY9" s="93">
        <f t="shared" si="20"/>
        <v>151250</v>
      </c>
      <c r="BZ9" s="93">
        <f t="shared" si="21"/>
        <v>151250</v>
      </c>
      <c r="CA9" s="93">
        <f t="shared" si="22"/>
        <v>151250</v>
      </c>
      <c r="CB9" s="93">
        <f t="shared" si="23"/>
        <v>151250</v>
      </c>
    </row>
    <row r="10" spans="1:80" x14ac:dyDescent="0.25">
      <c r="A10" s="94" t="s">
        <v>20</v>
      </c>
      <c r="B10" s="90" t="s">
        <v>349</v>
      </c>
      <c r="C10" s="76">
        <f t="shared" si="24"/>
        <v>1.6528925619834712E-11</v>
      </c>
      <c r="D10" s="76">
        <f>IFERROR(s_TR/(up_RadSpec!$H10*s_IFAP_res_adj*s_CF_apple),".")</f>
        <v>6.6115702479338848E-11</v>
      </c>
      <c r="E10" s="76">
        <f>IFERROR(s_TR/(up_RadSpec!$H10*s_IFAS_res_adj*s_CF_asparagus),".")</f>
        <v>6.6115702479338848E-11</v>
      </c>
      <c r="F10" s="76">
        <f>IFERROR(s_TR/(up_RadSpec!$H10*s_IFBT_res_adj*s_CF_beet),".")</f>
        <v>6.6115702479338848E-11</v>
      </c>
      <c r="G10" s="76">
        <f>IFERROR(s_TR/(up_RadSpec!$H10*s_IFBE_res_adj*s_CF_berries),".")</f>
        <v>6.6115702479338848E-11</v>
      </c>
      <c r="H10" s="76">
        <f>IFERROR(s_TR/(up_RadSpec!$H10*s_IFBR_res_adj*s_CF_broccoli),".")</f>
        <v>6.6115702479338848E-11</v>
      </c>
      <c r="I10" s="76">
        <f>IFERROR(s_TR/(up_RadSpec!$H10*s_IFCB_res_adj*s_CF_cabbage),".")</f>
        <v>6.6115702479338848E-11</v>
      </c>
      <c r="J10" s="76">
        <f>IFERROR(s_TR/(up_RadSpec!$H10*s_IFCR_res_adj*s_CF_carrot),".")</f>
        <v>6.6115702479338848E-11</v>
      </c>
      <c r="K10" s="76">
        <f>IFERROR(s_TR/(up_RadSpec!$H10*s_IFCI_res_adj*s_CF_citrus),".")</f>
        <v>6.6115702479338848E-11</v>
      </c>
      <c r="L10" s="76">
        <f>IFERROR(s_TR/(up_RadSpec!$H10*s_IFCO_res_adj*s_CF_corn),".")</f>
        <v>6.6115702479338848E-11</v>
      </c>
      <c r="M10" s="76">
        <f>IFERROR(s_TR/(up_RadSpec!$H10*s_IFCU_res_adj*s_CF_cucumber),".")</f>
        <v>6.6115702479338848E-11</v>
      </c>
      <c r="N10" s="76">
        <f>IFERROR(s_TR/(up_RadSpec!$H10*s_IFLE_res_adj*s_CF_lettuce),".")</f>
        <v>6.6115702479338848E-11</v>
      </c>
      <c r="O10" s="76">
        <f>IFERROR(s_TR/(up_RadSpec!$H10*s_IFLI_res_adj*s_CF_lima_bean),".")</f>
        <v>6.6115702479338848E-11</v>
      </c>
      <c r="P10" s="76">
        <f>IFERROR(s_TR/(up_RadSpec!$H10*s_IFOK_res_adj*s_CF_okra),".")</f>
        <v>6.6115702479338848E-11</v>
      </c>
      <c r="Q10" s="76">
        <f>IFERROR(s_TR/(up_RadSpec!$H10*s_IFON_res_adj*s_CF_onion),".")</f>
        <v>6.6115702479338848E-11</v>
      </c>
      <c r="R10" s="76">
        <f>IFERROR(s_TR/(up_RadSpec!$H10*s_IFPC_res_adj*s_CF_peach),".")</f>
        <v>6.6115702479338848E-11</v>
      </c>
      <c r="S10" s="76">
        <f>IFERROR(s_TR/(up_RadSpec!$H10*s_IFPR_res_adj*s_CF_pear),".")</f>
        <v>6.6115702479338848E-11</v>
      </c>
      <c r="T10" s="76">
        <f>IFERROR(s_TR/(up_RadSpec!$H10*s_IFPE_res_adj*s_CF_peas),".")</f>
        <v>6.6115702479338848E-11</v>
      </c>
      <c r="U10" s="76">
        <f>IFERROR(s_TR/(up_RadSpec!$H10*s_IFPP_res_adj*s_CF_peppers),".")</f>
        <v>6.6115702479338848E-11</v>
      </c>
      <c r="V10" s="76">
        <f>IFERROR(s_TR/(up_RadSpec!$H10*s_IFPT_res_adj*s_CF_potato),".")</f>
        <v>6.6115702479338848E-11</v>
      </c>
      <c r="W10" s="76">
        <f>IFERROR(s_TR/(up_RadSpec!$H10*s_IFPU_res_adj*s_CF_pumpkin),".")</f>
        <v>6.6115702479338848E-11</v>
      </c>
      <c r="X10" s="76">
        <f>IFERROR(s_TR/(up_RadSpec!$H10*s_IFSN_res_adj*s_CF_snap_bean),".")</f>
        <v>6.6115702479338848E-11</v>
      </c>
      <c r="Y10" s="76">
        <f>IFERROR(s_TR/(up_RadSpec!$H10*s_IFST_res_adj*s_CF_strawberry),".")</f>
        <v>6.6115702479338848E-11</v>
      </c>
      <c r="Z10" s="76">
        <f>IFERROR(s_TR/(up_RadSpec!$H10*s_IFTO_res_adj*s_CF_tomato),".")</f>
        <v>6.6115702479338848E-11</v>
      </c>
      <c r="AA10" s="76">
        <f>IFERROR(s_TR/(up_RadSpec!$H10*s_IFRI_res_adj*s_CF_rice),".")</f>
        <v>6.6115702479338848E-11</v>
      </c>
      <c r="AB10" s="76">
        <f>IFERROR(s_TR/(up_RadSpec!$H10*s_IFCG_res_adj*s_CF_cereal),".")</f>
        <v>6.6115702479338848E-11</v>
      </c>
      <c r="AC10" s="76">
        <f t="shared" si="25"/>
        <v>1.6528925619834712E-11</v>
      </c>
      <c r="AD10" s="76">
        <f>IFERROR(s_TR/(up_RadSpec!$H10*s_IFAP_far_adj*s_CF_apple),".")</f>
        <v>6.6115702479338848E-11</v>
      </c>
      <c r="AE10" s="76">
        <f>IFERROR(s_TR/(up_RadSpec!$H10*s_IFAS_far_adj*s_CF_asparagus),".")</f>
        <v>6.6115702479338848E-11</v>
      </c>
      <c r="AF10" s="76">
        <f>IFERROR(s_TR/(up_RadSpec!$H10*s_IFBT_far_adj*s_CF_beet),".")</f>
        <v>6.6115702479338848E-11</v>
      </c>
      <c r="AG10" s="76">
        <f>IFERROR(s_TR/(up_RadSpec!$H10*s_IFBE_far_adj*s_CF_berries),".")</f>
        <v>6.6115702479338848E-11</v>
      </c>
      <c r="AH10" s="76">
        <f>IFERROR(s_TR/(up_RadSpec!$H10*s_IFBR_far_adj*s_CF_broccoli),".")</f>
        <v>6.6115702479338848E-11</v>
      </c>
      <c r="AI10" s="76">
        <f>IFERROR(s_TR/(up_RadSpec!$H10*s_IFCB_far_adj*s_CF_cabbage),".")</f>
        <v>6.6115702479338848E-11</v>
      </c>
      <c r="AJ10" s="76">
        <f>IFERROR(s_TR/(up_RadSpec!$H10*s_IFCR_far_adj*s_CF_carrot),".")</f>
        <v>6.6115702479338848E-11</v>
      </c>
      <c r="AK10" s="76">
        <f>IFERROR(s_TR/(up_RadSpec!$H10*s_IFCI_far_adj*s_CF_citrus),".")</f>
        <v>6.6115702479338848E-11</v>
      </c>
      <c r="AL10" s="76">
        <f>IFERROR(s_TR/(up_RadSpec!$H10*s_IFCO_far_adj*s_CF_corn),".")</f>
        <v>6.6115702479338848E-11</v>
      </c>
      <c r="AM10" s="76">
        <f>IFERROR(s_TR/(up_RadSpec!$H10*s_IFCU_far_adj*s_CF_cucumber),".")</f>
        <v>6.6115702479338848E-11</v>
      </c>
      <c r="AN10" s="76">
        <f>IFERROR(s_TR/(up_RadSpec!$H10*s_IFLE_far_adj*s_CF_lettuce),".")</f>
        <v>6.6115702479338848E-11</v>
      </c>
      <c r="AO10" s="76">
        <f>IFERROR(s_TR/(up_RadSpec!$H10*s_IFLI_far_adj*s_CF_lima_bean),".")</f>
        <v>6.6115702479338848E-11</v>
      </c>
      <c r="AP10" s="76">
        <f>IFERROR(s_TR/(up_RadSpec!$H10*s_IFOK_far_adj*s_CF_okra),".")</f>
        <v>6.6115702479338848E-11</v>
      </c>
      <c r="AQ10" s="76">
        <f>IFERROR(s_TR/(up_RadSpec!$H10*s_IFON_far_adj*s_CF_onion),".")</f>
        <v>6.6115702479338848E-11</v>
      </c>
      <c r="AR10" s="76">
        <f>IFERROR(s_TR/(up_RadSpec!$H10*s_IFPC_far_adj*s_CF_peach),".")</f>
        <v>6.6115702479338848E-11</v>
      </c>
      <c r="AS10" s="76">
        <f>IFERROR(s_TR/(up_RadSpec!$H10*s_IFPR_far_adj*s_CF_pear),".")</f>
        <v>6.6115702479338848E-11</v>
      </c>
      <c r="AT10" s="76">
        <f>IFERROR(s_TR/(up_RadSpec!$H10*s_IFPE_far_adj*s_CF_peas),".")</f>
        <v>6.6115702479338848E-11</v>
      </c>
      <c r="AU10" s="76">
        <f>IFERROR(s_TR/(up_RadSpec!$H10*s_IFPP_far_adj*s_CF_peppers),".")</f>
        <v>6.6115702479338848E-11</v>
      </c>
      <c r="AV10" s="76">
        <f>IFERROR(s_TR/(up_RadSpec!$H10*s_IFPT_far_adj*s_CF_potato),".")</f>
        <v>6.6115702479338848E-11</v>
      </c>
      <c r="AW10" s="76">
        <f>IFERROR(s_TR/(up_RadSpec!$H10*s_IFPU_far_adj*s_CF_pumpkin),".")</f>
        <v>6.6115702479338848E-11</v>
      </c>
      <c r="AX10" s="76">
        <f>IFERROR(s_TR/(up_RadSpec!$H10*s_IFSN_far_adj*s_CF_snap_bean),".")</f>
        <v>6.6115702479338848E-11</v>
      </c>
      <c r="AY10" s="76">
        <f>IFERROR(s_TR/(up_RadSpec!$H10*s_IFST_far_adj*s_CF_strawberry),".")</f>
        <v>6.6115702479338848E-11</v>
      </c>
      <c r="AZ10" s="76">
        <f>IFERROR(s_TR/(up_RadSpec!$H10*s_IFTO_far_adj*s_CF_tomato),".")</f>
        <v>6.6115702479338848E-11</v>
      </c>
      <c r="BA10" s="76">
        <f>IFERROR(s_TR/(up_RadSpec!$H10*s_IFRI_far_adj*s_CF_rice),".")</f>
        <v>6.6115702479338848E-11</v>
      </c>
      <c r="BB10" s="76">
        <f>IFERROR(s_TR/(up_RadSpec!$H10*s_IFCG_far_adj*s_CF_cereal),".")</f>
        <v>6.6115702479338848E-11</v>
      </c>
      <c r="BC10" s="93">
        <f t="shared" si="26"/>
        <v>605000</v>
      </c>
      <c r="BD10" s="93">
        <f t="shared" si="0"/>
        <v>151250</v>
      </c>
      <c r="BE10" s="93">
        <f t="shared" si="1"/>
        <v>151250</v>
      </c>
      <c r="BF10" s="93">
        <f t="shared" si="2"/>
        <v>151250</v>
      </c>
      <c r="BG10" s="93">
        <f t="shared" si="3"/>
        <v>151250</v>
      </c>
      <c r="BH10" s="93">
        <f t="shared" si="4"/>
        <v>151250</v>
      </c>
      <c r="BI10" s="93">
        <f t="shared" si="5"/>
        <v>151250</v>
      </c>
      <c r="BJ10" s="93">
        <f t="shared" si="6"/>
        <v>151250</v>
      </c>
      <c r="BK10" s="93">
        <f t="shared" si="7"/>
        <v>151250</v>
      </c>
      <c r="BL10" s="93">
        <f t="shared" si="8"/>
        <v>151250</v>
      </c>
      <c r="BM10" s="93">
        <f t="shared" si="9"/>
        <v>151250</v>
      </c>
      <c r="BN10" s="93">
        <f t="shared" si="10"/>
        <v>151250</v>
      </c>
      <c r="BO10" s="93">
        <f t="shared" si="11"/>
        <v>151250</v>
      </c>
      <c r="BP10" s="93">
        <f t="shared" si="12"/>
        <v>151250</v>
      </c>
      <c r="BQ10" s="93">
        <f t="shared" si="13"/>
        <v>151250</v>
      </c>
      <c r="BR10" s="93">
        <f t="shared" si="14"/>
        <v>151250</v>
      </c>
      <c r="BS10" s="93">
        <f t="shared" si="15"/>
        <v>151250</v>
      </c>
      <c r="BT10" s="93">
        <f t="shared" si="27"/>
        <v>151250</v>
      </c>
      <c r="BU10" s="93">
        <f t="shared" si="16"/>
        <v>151250</v>
      </c>
      <c r="BV10" s="93">
        <f t="shared" si="17"/>
        <v>151250</v>
      </c>
      <c r="BW10" s="93">
        <f t="shared" si="18"/>
        <v>151250</v>
      </c>
      <c r="BX10" s="93">
        <f t="shared" si="19"/>
        <v>151250</v>
      </c>
      <c r="BY10" s="93">
        <f t="shared" si="20"/>
        <v>151250</v>
      </c>
      <c r="BZ10" s="93">
        <f t="shared" si="21"/>
        <v>151250</v>
      </c>
      <c r="CA10" s="93">
        <f t="shared" si="22"/>
        <v>151250</v>
      </c>
      <c r="CB10" s="93">
        <f t="shared" si="23"/>
        <v>151250</v>
      </c>
    </row>
    <row r="11" spans="1:80" x14ac:dyDescent="0.25">
      <c r="A11" s="92" t="s">
        <v>21</v>
      </c>
      <c r="B11" s="90" t="s">
        <v>1071</v>
      </c>
      <c r="C11" s="76">
        <f t="shared" si="24"/>
        <v>1.6528925619834712E-11</v>
      </c>
      <c r="D11" s="76">
        <f>IFERROR(s_TR/(up_RadSpec!$H11*s_IFAP_res_adj*s_CF_apple),".")</f>
        <v>6.6115702479338848E-11</v>
      </c>
      <c r="E11" s="76">
        <f>IFERROR(s_TR/(up_RadSpec!$H11*s_IFAS_res_adj*s_CF_asparagus),".")</f>
        <v>6.6115702479338848E-11</v>
      </c>
      <c r="F11" s="76">
        <f>IFERROR(s_TR/(up_RadSpec!$H11*s_IFBT_res_adj*s_CF_beet),".")</f>
        <v>6.6115702479338848E-11</v>
      </c>
      <c r="G11" s="76">
        <f>IFERROR(s_TR/(up_RadSpec!$H11*s_IFBE_res_adj*s_CF_berries),".")</f>
        <v>6.6115702479338848E-11</v>
      </c>
      <c r="H11" s="76">
        <f>IFERROR(s_TR/(up_RadSpec!$H11*s_IFBR_res_adj*s_CF_broccoli),".")</f>
        <v>6.6115702479338848E-11</v>
      </c>
      <c r="I11" s="76">
        <f>IFERROR(s_TR/(up_RadSpec!$H11*s_IFCB_res_adj*s_CF_cabbage),".")</f>
        <v>6.6115702479338848E-11</v>
      </c>
      <c r="J11" s="76">
        <f>IFERROR(s_TR/(up_RadSpec!$H11*s_IFCR_res_adj*s_CF_carrot),".")</f>
        <v>6.6115702479338848E-11</v>
      </c>
      <c r="K11" s="76">
        <f>IFERROR(s_TR/(up_RadSpec!$H11*s_IFCI_res_adj*s_CF_citrus),".")</f>
        <v>6.6115702479338848E-11</v>
      </c>
      <c r="L11" s="76">
        <f>IFERROR(s_TR/(up_RadSpec!$H11*s_IFCO_res_adj*s_CF_corn),".")</f>
        <v>6.6115702479338848E-11</v>
      </c>
      <c r="M11" s="76">
        <f>IFERROR(s_TR/(up_RadSpec!$H11*s_IFCU_res_adj*s_CF_cucumber),".")</f>
        <v>6.6115702479338848E-11</v>
      </c>
      <c r="N11" s="76">
        <f>IFERROR(s_TR/(up_RadSpec!$H11*s_IFLE_res_adj*s_CF_lettuce),".")</f>
        <v>6.6115702479338848E-11</v>
      </c>
      <c r="O11" s="76">
        <f>IFERROR(s_TR/(up_RadSpec!$H11*s_IFLI_res_adj*s_CF_lima_bean),".")</f>
        <v>6.6115702479338848E-11</v>
      </c>
      <c r="P11" s="76">
        <f>IFERROR(s_TR/(up_RadSpec!$H11*s_IFOK_res_adj*s_CF_okra),".")</f>
        <v>6.6115702479338848E-11</v>
      </c>
      <c r="Q11" s="76">
        <f>IFERROR(s_TR/(up_RadSpec!$H11*s_IFON_res_adj*s_CF_onion),".")</f>
        <v>6.6115702479338848E-11</v>
      </c>
      <c r="R11" s="76">
        <f>IFERROR(s_TR/(up_RadSpec!$H11*s_IFPC_res_adj*s_CF_peach),".")</f>
        <v>6.6115702479338848E-11</v>
      </c>
      <c r="S11" s="76">
        <f>IFERROR(s_TR/(up_RadSpec!$H11*s_IFPR_res_adj*s_CF_pear),".")</f>
        <v>6.6115702479338848E-11</v>
      </c>
      <c r="T11" s="76">
        <f>IFERROR(s_TR/(up_RadSpec!$H11*s_IFPE_res_adj*s_CF_peas),".")</f>
        <v>6.6115702479338848E-11</v>
      </c>
      <c r="U11" s="76">
        <f>IFERROR(s_TR/(up_RadSpec!$H11*s_IFPP_res_adj*s_CF_peppers),".")</f>
        <v>6.6115702479338848E-11</v>
      </c>
      <c r="V11" s="76">
        <f>IFERROR(s_TR/(up_RadSpec!$H11*s_IFPT_res_adj*s_CF_potato),".")</f>
        <v>6.6115702479338848E-11</v>
      </c>
      <c r="W11" s="76">
        <f>IFERROR(s_TR/(up_RadSpec!$H11*s_IFPU_res_adj*s_CF_pumpkin),".")</f>
        <v>6.6115702479338848E-11</v>
      </c>
      <c r="X11" s="76">
        <f>IFERROR(s_TR/(up_RadSpec!$H11*s_IFSN_res_adj*s_CF_snap_bean),".")</f>
        <v>6.6115702479338848E-11</v>
      </c>
      <c r="Y11" s="76">
        <f>IFERROR(s_TR/(up_RadSpec!$H11*s_IFST_res_adj*s_CF_strawberry),".")</f>
        <v>6.6115702479338848E-11</v>
      </c>
      <c r="Z11" s="76">
        <f>IFERROR(s_TR/(up_RadSpec!$H11*s_IFTO_res_adj*s_CF_tomato),".")</f>
        <v>6.6115702479338848E-11</v>
      </c>
      <c r="AA11" s="76">
        <f>IFERROR(s_TR/(up_RadSpec!$H11*s_IFRI_res_adj*s_CF_rice),".")</f>
        <v>6.6115702479338848E-11</v>
      </c>
      <c r="AB11" s="76">
        <f>IFERROR(s_TR/(up_RadSpec!$H11*s_IFCG_res_adj*s_CF_cereal),".")</f>
        <v>6.6115702479338848E-11</v>
      </c>
      <c r="AC11" s="76">
        <f t="shared" si="25"/>
        <v>1.6528925619834712E-11</v>
      </c>
      <c r="AD11" s="76">
        <f>IFERROR(s_TR/(up_RadSpec!$H11*s_IFAP_far_adj*s_CF_apple),".")</f>
        <v>6.6115702479338848E-11</v>
      </c>
      <c r="AE11" s="76">
        <f>IFERROR(s_TR/(up_RadSpec!$H11*s_IFAS_far_adj*s_CF_asparagus),".")</f>
        <v>6.6115702479338848E-11</v>
      </c>
      <c r="AF11" s="76">
        <f>IFERROR(s_TR/(up_RadSpec!$H11*s_IFBT_far_adj*s_CF_beet),".")</f>
        <v>6.6115702479338848E-11</v>
      </c>
      <c r="AG11" s="76">
        <f>IFERROR(s_TR/(up_RadSpec!$H11*s_IFBE_far_adj*s_CF_berries),".")</f>
        <v>6.6115702479338848E-11</v>
      </c>
      <c r="AH11" s="76">
        <f>IFERROR(s_TR/(up_RadSpec!$H11*s_IFBR_far_adj*s_CF_broccoli),".")</f>
        <v>6.6115702479338848E-11</v>
      </c>
      <c r="AI11" s="76">
        <f>IFERROR(s_TR/(up_RadSpec!$H11*s_IFCB_far_adj*s_CF_cabbage),".")</f>
        <v>6.6115702479338848E-11</v>
      </c>
      <c r="AJ11" s="76">
        <f>IFERROR(s_TR/(up_RadSpec!$H11*s_IFCR_far_adj*s_CF_carrot),".")</f>
        <v>6.6115702479338848E-11</v>
      </c>
      <c r="AK11" s="76">
        <f>IFERROR(s_TR/(up_RadSpec!$H11*s_IFCI_far_adj*s_CF_citrus),".")</f>
        <v>6.6115702479338848E-11</v>
      </c>
      <c r="AL11" s="76">
        <f>IFERROR(s_TR/(up_RadSpec!$H11*s_IFCO_far_adj*s_CF_corn),".")</f>
        <v>6.6115702479338848E-11</v>
      </c>
      <c r="AM11" s="76">
        <f>IFERROR(s_TR/(up_RadSpec!$H11*s_IFCU_far_adj*s_CF_cucumber),".")</f>
        <v>6.6115702479338848E-11</v>
      </c>
      <c r="AN11" s="76">
        <f>IFERROR(s_TR/(up_RadSpec!$H11*s_IFLE_far_adj*s_CF_lettuce),".")</f>
        <v>6.6115702479338848E-11</v>
      </c>
      <c r="AO11" s="76">
        <f>IFERROR(s_TR/(up_RadSpec!$H11*s_IFLI_far_adj*s_CF_lima_bean),".")</f>
        <v>6.6115702479338848E-11</v>
      </c>
      <c r="AP11" s="76">
        <f>IFERROR(s_TR/(up_RadSpec!$H11*s_IFOK_far_adj*s_CF_okra),".")</f>
        <v>6.6115702479338848E-11</v>
      </c>
      <c r="AQ11" s="76">
        <f>IFERROR(s_TR/(up_RadSpec!$H11*s_IFON_far_adj*s_CF_onion),".")</f>
        <v>6.6115702479338848E-11</v>
      </c>
      <c r="AR11" s="76">
        <f>IFERROR(s_TR/(up_RadSpec!$H11*s_IFPC_far_adj*s_CF_peach),".")</f>
        <v>6.6115702479338848E-11</v>
      </c>
      <c r="AS11" s="76">
        <f>IFERROR(s_TR/(up_RadSpec!$H11*s_IFPR_far_adj*s_CF_pear),".")</f>
        <v>6.6115702479338848E-11</v>
      </c>
      <c r="AT11" s="76">
        <f>IFERROR(s_TR/(up_RadSpec!$H11*s_IFPE_far_adj*s_CF_peas),".")</f>
        <v>6.6115702479338848E-11</v>
      </c>
      <c r="AU11" s="76">
        <f>IFERROR(s_TR/(up_RadSpec!$H11*s_IFPP_far_adj*s_CF_peppers),".")</f>
        <v>6.6115702479338848E-11</v>
      </c>
      <c r="AV11" s="76">
        <f>IFERROR(s_TR/(up_RadSpec!$H11*s_IFPT_far_adj*s_CF_potato),".")</f>
        <v>6.6115702479338848E-11</v>
      </c>
      <c r="AW11" s="76">
        <f>IFERROR(s_TR/(up_RadSpec!$H11*s_IFPU_far_adj*s_CF_pumpkin),".")</f>
        <v>6.6115702479338848E-11</v>
      </c>
      <c r="AX11" s="76">
        <f>IFERROR(s_TR/(up_RadSpec!$H11*s_IFSN_far_adj*s_CF_snap_bean),".")</f>
        <v>6.6115702479338848E-11</v>
      </c>
      <c r="AY11" s="76">
        <f>IFERROR(s_TR/(up_RadSpec!$H11*s_IFST_far_adj*s_CF_strawberry),".")</f>
        <v>6.6115702479338848E-11</v>
      </c>
      <c r="AZ11" s="76">
        <f>IFERROR(s_TR/(up_RadSpec!$H11*s_IFTO_far_adj*s_CF_tomato),".")</f>
        <v>6.6115702479338848E-11</v>
      </c>
      <c r="BA11" s="76">
        <f>IFERROR(s_TR/(up_RadSpec!$H11*s_IFRI_far_adj*s_CF_rice),".")</f>
        <v>6.6115702479338848E-11</v>
      </c>
      <c r="BB11" s="76">
        <f>IFERROR(s_TR/(up_RadSpec!$H11*s_IFCG_far_adj*s_CF_cereal),".")</f>
        <v>6.6115702479338848E-11</v>
      </c>
      <c r="BC11" s="93">
        <f t="shared" si="26"/>
        <v>605000</v>
      </c>
      <c r="BD11" s="93">
        <f t="shared" si="0"/>
        <v>151250</v>
      </c>
      <c r="BE11" s="93">
        <f t="shared" si="1"/>
        <v>151250</v>
      </c>
      <c r="BF11" s="93">
        <f t="shared" si="2"/>
        <v>151250</v>
      </c>
      <c r="BG11" s="93">
        <f t="shared" si="3"/>
        <v>151250</v>
      </c>
      <c r="BH11" s="93">
        <f t="shared" si="4"/>
        <v>151250</v>
      </c>
      <c r="BI11" s="93">
        <f t="shared" si="5"/>
        <v>151250</v>
      </c>
      <c r="BJ11" s="93">
        <f t="shared" si="6"/>
        <v>151250</v>
      </c>
      <c r="BK11" s="93">
        <f t="shared" si="7"/>
        <v>151250</v>
      </c>
      <c r="BL11" s="93">
        <f t="shared" si="8"/>
        <v>151250</v>
      </c>
      <c r="BM11" s="93">
        <f t="shared" si="9"/>
        <v>151250</v>
      </c>
      <c r="BN11" s="93">
        <f t="shared" si="10"/>
        <v>151250</v>
      </c>
      <c r="BO11" s="93">
        <f t="shared" si="11"/>
        <v>151250</v>
      </c>
      <c r="BP11" s="93">
        <f t="shared" si="12"/>
        <v>151250</v>
      </c>
      <c r="BQ11" s="93">
        <f t="shared" si="13"/>
        <v>151250</v>
      </c>
      <c r="BR11" s="93">
        <f t="shared" si="14"/>
        <v>151250</v>
      </c>
      <c r="BS11" s="93">
        <f t="shared" si="15"/>
        <v>151250</v>
      </c>
      <c r="BT11" s="93">
        <f t="shared" si="27"/>
        <v>151250</v>
      </c>
      <c r="BU11" s="93">
        <f t="shared" si="16"/>
        <v>151250</v>
      </c>
      <c r="BV11" s="93">
        <f t="shared" si="17"/>
        <v>151250</v>
      </c>
      <c r="BW11" s="93">
        <f t="shared" si="18"/>
        <v>151250</v>
      </c>
      <c r="BX11" s="93">
        <f t="shared" si="19"/>
        <v>151250</v>
      </c>
      <c r="BY11" s="93">
        <f t="shared" si="20"/>
        <v>151250</v>
      </c>
      <c r="BZ11" s="93">
        <f t="shared" si="21"/>
        <v>151250</v>
      </c>
      <c r="CA11" s="93">
        <f t="shared" si="22"/>
        <v>151250</v>
      </c>
      <c r="CB11" s="93">
        <f t="shared" si="23"/>
        <v>151250</v>
      </c>
    </row>
    <row r="12" spans="1:80" x14ac:dyDescent="0.25">
      <c r="A12" s="92" t="s">
        <v>22</v>
      </c>
      <c r="B12" s="90" t="s">
        <v>1071</v>
      </c>
      <c r="C12" s="76">
        <f t="shared" si="24"/>
        <v>1.6528925619834712E-11</v>
      </c>
      <c r="D12" s="76">
        <f>IFERROR(s_TR/(up_RadSpec!$H12*s_IFAP_res_adj*s_CF_apple),".")</f>
        <v>6.6115702479338848E-11</v>
      </c>
      <c r="E12" s="76">
        <f>IFERROR(s_TR/(up_RadSpec!$H12*s_IFAS_res_adj*s_CF_asparagus),".")</f>
        <v>6.6115702479338848E-11</v>
      </c>
      <c r="F12" s="76">
        <f>IFERROR(s_TR/(up_RadSpec!$H12*s_IFBT_res_adj*s_CF_beet),".")</f>
        <v>6.6115702479338848E-11</v>
      </c>
      <c r="G12" s="76">
        <f>IFERROR(s_TR/(up_RadSpec!$H12*s_IFBE_res_adj*s_CF_berries),".")</f>
        <v>6.6115702479338848E-11</v>
      </c>
      <c r="H12" s="76">
        <f>IFERROR(s_TR/(up_RadSpec!$H12*s_IFBR_res_adj*s_CF_broccoli),".")</f>
        <v>6.6115702479338848E-11</v>
      </c>
      <c r="I12" s="76">
        <f>IFERROR(s_TR/(up_RadSpec!$H12*s_IFCB_res_adj*s_CF_cabbage),".")</f>
        <v>6.6115702479338848E-11</v>
      </c>
      <c r="J12" s="76">
        <f>IFERROR(s_TR/(up_RadSpec!$H12*s_IFCR_res_adj*s_CF_carrot),".")</f>
        <v>6.6115702479338848E-11</v>
      </c>
      <c r="K12" s="76">
        <f>IFERROR(s_TR/(up_RadSpec!$H12*s_IFCI_res_adj*s_CF_citrus),".")</f>
        <v>6.6115702479338848E-11</v>
      </c>
      <c r="L12" s="76">
        <f>IFERROR(s_TR/(up_RadSpec!$H12*s_IFCO_res_adj*s_CF_corn),".")</f>
        <v>6.6115702479338848E-11</v>
      </c>
      <c r="M12" s="76">
        <f>IFERROR(s_TR/(up_RadSpec!$H12*s_IFCU_res_adj*s_CF_cucumber),".")</f>
        <v>6.6115702479338848E-11</v>
      </c>
      <c r="N12" s="76">
        <f>IFERROR(s_TR/(up_RadSpec!$H12*s_IFLE_res_adj*s_CF_lettuce),".")</f>
        <v>6.6115702479338848E-11</v>
      </c>
      <c r="O12" s="76">
        <f>IFERROR(s_TR/(up_RadSpec!$H12*s_IFLI_res_adj*s_CF_lima_bean),".")</f>
        <v>6.6115702479338848E-11</v>
      </c>
      <c r="P12" s="76">
        <f>IFERROR(s_TR/(up_RadSpec!$H12*s_IFOK_res_adj*s_CF_okra),".")</f>
        <v>6.6115702479338848E-11</v>
      </c>
      <c r="Q12" s="76">
        <f>IFERROR(s_TR/(up_RadSpec!$H12*s_IFON_res_adj*s_CF_onion),".")</f>
        <v>6.6115702479338848E-11</v>
      </c>
      <c r="R12" s="76">
        <f>IFERROR(s_TR/(up_RadSpec!$H12*s_IFPC_res_adj*s_CF_peach),".")</f>
        <v>6.6115702479338848E-11</v>
      </c>
      <c r="S12" s="76">
        <f>IFERROR(s_TR/(up_RadSpec!$H12*s_IFPR_res_adj*s_CF_pear),".")</f>
        <v>6.6115702479338848E-11</v>
      </c>
      <c r="T12" s="76">
        <f>IFERROR(s_TR/(up_RadSpec!$H12*s_IFPE_res_adj*s_CF_peas),".")</f>
        <v>6.6115702479338848E-11</v>
      </c>
      <c r="U12" s="76">
        <f>IFERROR(s_TR/(up_RadSpec!$H12*s_IFPP_res_adj*s_CF_peppers),".")</f>
        <v>6.6115702479338848E-11</v>
      </c>
      <c r="V12" s="76">
        <f>IFERROR(s_TR/(up_RadSpec!$H12*s_IFPT_res_adj*s_CF_potato),".")</f>
        <v>6.6115702479338848E-11</v>
      </c>
      <c r="W12" s="76">
        <f>IFERROR(s_TR/(up_RadSpec!$H12*s_IFPU_res_adj*s_CF_pumpkin),".")</f>
        <v>6.6115702479338848E-11</v>
      </c>
      <c r="X12" s="76">
        <f>IFERROR(s_TR/(up_RadSpec!$H12*s_IFSN_res_adj*s_CF_snap_bean),".")</f>
        <v>6.6115702479338848E-11</v>
      </c>
      <c r="Y12" s="76">
        <f>IFERROR(s_TR/(up_RadSpec!$H12*s_IFST_res_adj*s_CF_strawberry),".")</f>
        <v>6.6115702479338848E-11</v>
      </c>
      <c r="Z12" s="76">
        <f>IFERROR(s_TR/(up_RadSpec!$H12*s_IFTO_res_adj*s_CF_tomato),".")</f>
        <v>6.6115702479338848E-11</v>
      </c>
      <c r="AA12" s="76">
        <f>IFERROR(s_TR/(up_RadSpec!$H12*s_IFRI_res_adj*s_CF_rice),".")</f>
        <v>6.6115702479338848E-11</v>
      </c>
      <c r="AB12" s="76">
        <f>IFERROR(s_TR/(up_RadSpec!$H12*s_IFCG_res_adj*s_CF_cereal),".")</f>
        <v>6.6115702479338848E-11</v>
      </c>
      <c r="AC12" s="76">
        <f t="shared" si="25"/>
        <v>1.6528925619834712E-11</v>
      </c>
      <c r="AD12" s="76">
        <f>IFERROR(s_TR/(up_RadSpec!$H12*s_IFAP_far_adj*s_CF_apple),".")</f>
        <v>6.6115702479338848E-11</v>
      </c>
      <c r="AE12" s="76">
        <f>IFERROR(s_TR/(up_RadSpec!$H12*s_IFAS_far_adj*s_CF_asparagus),".")</f>
        <v>6.6115702479338848E-11</v>
      </c>
      <c r="AF12" s="76">
        <f>IFERROR(s_TR/(up_RadSpec!$H12*s_IFBT_far_adj*s_CF_beet),".")</f>
        <v>6.6115702479338848E-11</v>
      </c>
      <c r="AG12" s="76">
        <f>IFERROR(s_TR/(up_RadSpec!$H12*s_IFBE_far_adj*s_CF_berries),".")</f>
        <v>6.6115702479338848E-11</v>
      </c>
      <c r="AH12" s="76">
        <f>IFERROR(s_TR/(up_RadSpec!$H12*s_IFBR_far_adj*s_CF_broccoli),".")</f>
        <v>6.6115702479338848E-11</v>
      </c>
      <c r="AI12" s="76">
        <f>IFERROR(s_TR/(up_RadSpec!$H12*s_IFCB_far_adj*s_CF_cabbage),".")</f>
        <v>6.6115702479338848E-11</v>
      </c>
      <c r="AJ12" s="76">
        <f>IFERROR(s_TR/(up_RadSpec!$H12*s_IFCR_far_adj*s_CF_carrot),".")</f>
        <v>6.6115702479338848E-11</v>
      </c>
      <c r="AK12" s="76">
        <f>IFERROR(s_TR/(up_RadSpec!$H12*s_IFCI_far_adj*s_CF_citrus),".")</f>
        <v>6.6115702479338848E-11</v>
      </c>
      <c r="AL12" s="76">
        <f>IFERROR(s_TR/(up_RadSpec!$H12*s_IFCO_far_adj*s_CF_corn),".")</f>
        <v>6.6115702479338848E-11</v>
      </c>
      <c r="AM12" s="76">
        <f>IFERROR(s_TR/(up_RadSpec!$H12*s_IFCU_far_adj*s_CF_cucumber),".")</f>
        <v>6.6115702479338848E-11</v>
      </c>
      <c r="AN12" s="76">
        <f>IFERROR(s_TR/(up_RadSpec!$H12*s_IFLE_far_adj*s_CF_lettuce),".")</f>
        <v>6.6115702479338848E-11</v>
      </c>
      <c r="AO12" s="76">
        <f>IFERROR(s_TR/(up_RadSpec!$H12*s_IFLI_far_adj*s_CF_lima_bean),".")</f>
        <v>6.6115702479338848E-11</v>
      </c>
      <c r="AP12" s="76">
        <f>IFERROR(s_TR/(up_RadSpec!$H12*s_IFOK_far_adj*s_CF_okra),".")</f>
        <v>6.6115702479338848E-11</v>
      </c>
      <c r="AQ12" s="76">
        <f>IFERROR(s_TR/(up_RadSpec!$H12*s_IFON_far_adj*s_CF_onion),".")</f>
        <v>6.6115702479338848E-11</v>
      </c>
      <c r="AR12" s="76">
        <f>IFERROR(s_TR/(up_RadSpec!$H12*s_IFPC_far_adj*s_CF_peach),".")</f>
        <v>6.6115702479338848E-11</v>
      </c>
      <c r="AS12" s="76">
        <f>IFERROR(s_TR/(up_RadSpec!$H12*s_IFPR_far_adj*s_CF_pear),".")</f>
        <v>6.6115702479338848E-11</v>
      </c>
      <c r="AT12" s="76">
        <f>IFERROR(s_TR/(up_RadSpec!$H12*s_IFPE_far_adj*s_CF_peas),".")</f>
        <v>6.6115702479338848E-11</v>
      </c>
      <c r="AU12" s="76">
        <f>IFERROR(s_TR/(up_RadSpec!$H12*s_IFPP_far_adj*s_CF_peppers),".")</f>
        <v>6.6115702479338848E-11</v>
      </c>
      <c r="AV12" s="76">
        <f>IFERROR(s_TR/(up_RadSpec!$H12*s_IFPT_far_adj*s_CF_potato),".")</f>
        <v>6.6115702479338848E-11</v>
      </c>
      <c r="AW12" s="76">
        <f>IFERROR(s_TR/(up_RadSpec!$H12*s_IFPU_far_adj*s_CF_pumpkin),".")</f>
        <v>6.6115702479338848E-11</v>
      </c>
      <c r="AX12" s="76">
        <f>IFERROR(s_TR/(up_RadSpec!$H12*s_IFSN_far_adj*s_CF_snap_bean),".")</f>
        <v>6.6115702479338848E-11</v>
      </c>
      <c r="AY12" s="76">
        <f>IFERROR(s_TR/(up_RadSpec!$H12*s_IFST_far_adj*s_CF_strawberry),".")</f>
        <v>6.6115702479338848E-11</v>
      </c>
      <c r="AZ12" s="76">
        <f>IFERROR(s_TR/(up_RadSpec!$H12*s_IFTO_far_adj*s_CF_tomato),".")</f>
        <v>6.6115702479338848E-11</v>
      </c>
      <c r="BA12" s="76">
        <f>IFERROR(s_TR/(up_RadSpec!$H12*s_IFRI_far_adj*s_CF_rice),".")</f>
        <v>6.6115702479338848E-11</v>
      </c>
      <c r="BB12" s="76">
        <f>IFERROR(s_TR/(up_RadSpec!$H12*s_IFCG_far_adj*s_CF_cereal),".")</f>
        <v>6.6115702479338848E-11</v>
      </c>
      <c r="BC12" s="93">
        <f t="shared" si="26"/>
        <v>605000</v>
      </c>
      <c r="BD12" s="93">
        <f t="shared" si="0"/>
        <v>151250</v>
      </c>
      <c r="BE12" s="93">
        <f t="shared" si="1"/>
        <v>151250</v>
      </c>
      <c r="BF12" s="93">
        <f t="shared" si="2"/>
        <v>151250</v>
      </c>
      <c r="BG12" s="93">
        <f t="shared" si="3"/>
        <v>151250</v>
      </c>
      <c r="BH12" s="93">
        <f t="shared" si="4"/>
        <v>151250</v>
      </c>
      <c r="BI12" s="93">
        <f t="shared" si="5"/>
        <v>151250</v>
      </c>
      <c r="BJ12" s="93">
        <f t="shared" si="6"/>
        <v>151250</v>
      </c>
      <c r="BK12" s="93">
        <f t="shared" si="7"/>
        <v>151250</v>
      </c>
      <c r="BL12" s="93">
        <f t="shared" si="8"/>
        <v>151250</v>
      </c>
      <c r="BM12" s="93">
        <f t="shared" si="9"/>
        <v>151250</v>
      </c>
      <c r="BN12" s="93">
        <f t="shared" si="10"/>
        <v>151250</v>
      </c>
      <c r="BO12" s="93">
        <f t="shared" si="11"/>
        <v>151250</v>
      </c>
      <c r="BP12" s="93">
        <f t="shared" si="12"/>
        <v>151250</v>
      </c>
      <c r="BQ12" s="93">
        <f t="shared" si="13"/>
        <v>151250</v>
      </c>
      <c r="BR12" s="93">
        <f t="shared" si="14"/>
        <v>151250</v>
      </c>
      <c r="BS12" s="93">
        <f t="shared" si="15"/>
        <v>151250</v>
      </c>
      <c r="BT12" s="93">
        <f t="shared" si="27"/>
        <v>151250</v>
      </c>
      <c r="BU12" s="93">
        <f t="shared" si="16"/>
        <v>151250</v>
      </c>
      <c r="BV12" s="93">
        <f t="shared" si="17"/>
        <v>151250</v>
      </c>
      <c r="BW12" s="93">
        <f t="shared" si="18"/>
        <v>151250</v>
      </c>
      <c r="BX12" s="93">
        <f t="shared" si="19"/>
        <v>151250</v>
      </c>
      <c r="BY12" s="93">
        <f t="shared" si="20"/>
        <v>151250</v>
      </c>
      <c r="BZ12" s="93">
        <f t="shared" si="21"/>
        <v>151250</v>
      </c>
      <c r="CA12" s="93">
        <f t="shared" si="22"/>
        <v>151250</v>
      </c>
      <c r="CB12" s="93">
        <f t="shared" si="23"/>
        <v>151250</v>
      </c>
    </row>
    <row r="13" spans="1:80" x14ac:dyDescent="0.25">
      <c r="A13" s="92" t="s">
        <v>23</v>
      </c>
      <c r="B13" s="90" t="s">
        <v>1071</v>
      </c>
      <c r="C13" s="76">
        <f t="shared" si="24"/>
        <v>1.6528925619834712E-11</v>
      </c>
      <c r="D13" s="76">
        <f>IFERROR(s_TR/(up_RadSpec!$H13*s_IFAP_res_adj*s_CF_apple),".")</f>
        <v>6.6115702479338848E-11</v>
      </c>
      <c r="E13" s="76">
        <f>IFERROR(s_TR/(up_RadSpec!$H13*s_IFAS_res_adj*s_CF_asparagus),".")</f>
        <v>6.6115702479338848E-11</v>
      </c>
      <c r="F13" s="76">
        <f>IFERROR(s_TR/(up_RadSpec!$H13*s_IFBT_res_adj*s_CF_beet),".")</f>
        <v>6.6115702479338848E-11</v>
      </c>
      <c r="G13" s="76">
        <f>IFERROR(s_TR/(up_RadSpec!$H13*s_IFBE_res_adj*s_CF_berries),".")</f>
        <v>6.6115702479338848E-11</v>
      </c>
      <c r="H13" s="76">
        <f>IFERROR(s_TR/(up_RadSpec!$H13*s_IFBR_res_adj*s_CF_broccoli),".")</f>
        <v>6.6115702479338848E-11</v>
      </c>
      <c r="I13" s="76">
        <f>IFERROR(s_TR/(up_RadSpec!$H13*s_IFCB_res_adj*s_CF_cabbage),".")</f>
        <v>6.6115702479338848E-11</v>
      </c>
      <c r="J13" s="76">
        <f>IFERROR(s_TR/(up_RadSpec!$H13*s_IFCR_res_adj*s_CF_carrot),".")</f>
        <v>6.6115702479338848E-11</v>
      </c>
      <c r="K13" s="76">
        <f>IFERROR(s_TR/(up_RadSpec!$H13*s_IFCI_res_adj*s_CF_citrus),".")</f>
        <v>6.6115702479338848E-11</v>
      </c>
      <c r="L13" s="76">
        <f>IFERROR(s_TR/(up_RadSpec!$H13*s_IFCO_res_adj*s_CF_corn),".")</f>
        <v>6.6115702479338848E-11</v>
      </c>
      <c r="M13" s="76">
        <f>IFERROR(s_TR/(up_RadSpec!$H13*s_IFCU_res_adj*s_CF_cucumber),".")</f>
        <v>6.6115702479338848E-11</v>
      </c>
      <c r="N13" s="76">
        <f>IFERROR(s_TR/(up_RadSpec!$H13*s_IFLE_res_adj*s_CF_lettuce),".")</f>
        <v>6.6115702479338848E-11</v>
      </c>
      <c r="O13" s="76">
        <f>IFERROR(s_TR/(up_RadSpec!$H13*s_IFLI_res_adj*s_CF_lima_bean),".")</f>
        <v>6.6115702479338848E-11</v>
      </c>
      <c r="P13" s="76">
        <f>IFERROR(s_TR/(up_RadSpec!$H13*s_IFOK_res_adj*s_CF_okra),".")</f>
        <v>6.6115702479338848E-11</v>
      </c>
      <c r="Q13" s="76">
        <f>IFERROR(s_TR/(up_RadSpec!$H13*s_IFON_res_adj*s_CF_onion),".")</f>
        <v>6.6115702479338848E-11</v>
      </c>
      <c r="R13" s="76">
        <f>IFERROR(s_TR/(up_RadSpec!$H13*s_IFPC_res_adj*s_CF_peach),".")</f>
        <v>6.6115702479338848E-11</v>
      </c>
      <c r="S13" s="76">
        <f>IFERROR(s_TR/(up_RadSpec!$H13*s_IFPR_res_adj*s_CF_pear),".")</f>
        <v>6.6115702479338848E-11</v>
      </c>
      <c r="T13" s="76">
        <f>IFERROR(s_TR/(up_RadSpec!$H13*s_IFPE_res_adj*s_CF_peas),".")</f>
        <v>6.6115702479338848E-11</v>
      </c>
      <c r="U13" s="76">
        <f>IFERROR(s_TR/(up_RadSpec!$H13*s_IFPP_res_adj*s_CF_peppers),".")</f>
        <v>6.6115702479338848E-11</v>
      </c>
      <c r="V13" s="76">
        <f>IFERROR(s_TR/(up_RadSpec!$H13*s_IFPT_res_adj*s_CF_potato),".")</f>
        <v>6.6115702479338848E-11</v>
      </c>
      <c r="W13" s="76">
        <f>IFERROR(s_TR/(up_RadSpec!$H13*s_IFPU_res_adj*s_CF_pumpkin),".")</f>
        <v>6.6115702479338848E-11</v>
      </c>
      <c r="X13" s="76">
        <f>IFERROR(s_TR/(up_RadSpec!$H13*s_IFSN_res_adj*s_CF_snap_bean),".")</f>
        <v>6.6115702479338848E-11</v>
      </c>
      <c r="Y13" s="76">
        <f>IFERROR(s_TR/(up_RadSpec!$H13*s_IFST_res_adj*s_CF_strawberry),".")</f>
        <v>6.6115702479338848E-11</v>
      </c>
      <c r="Z13" s="76">
        <f>IFERROR(s_TR/(up_RadSpec!$H13*s_IFTO_res_adj*s_CF_tomato),".")</f>
        <v>6.6115702479338848E-11</v>
      </c>
      <c r="AA13" s="76">
        <f>IFERROR(s_TR/(up_RadSpec!$H13*s_IFRI_res_adj*s_CF_rice),".")</f>
        <v>6.6115702479338848E-11</v>
      </c>
      <c r="AB13" s="76">
        <f>IFERROR(s_TR/(up_RadSpec!$H13*s_IFCG_res_adj*s_CF_cereal),".")</f>
        <v>6.6115702479338848E-11</v>
      </c>
      <c r="AC13" s="76">
        <f t="shared" si="25"/>
        <v>1.6528925619834712E-11</v>
      </c>
      <c r="AD13" s="76">
        <f>IFERROR(s_TR/(up_RadSpec!$H13*s_IFAP_far_adj*s_CF_apple),".")</f>
        <v>6.6115702479338848E-11</v>
      </c>
      <c r="AE13" s="76">
        <f>IFERROR(s_TR/(up_RadSpec!$H13*s_IFAS_far_adj*s_CF_asparagus),".")</f>
        <v>6.6115702479338848E-11</v>
      </c>
      <c r="AF13" s="76">
        <f>IFERROR(s_TR/(up_RadSpec!$H13*s_IFBT_far_adj*s_CF_beet),".")</f>
        <v>6.6115702479338848E-11</v>
      </c>
      <c r="AG13" s="76">
        <f>IFERROR(s_TR/(up_RadSpec!$H13*s_IFBE_far_adj*s_CF_berries),".")</f>
        <v>6.6115702479338848E-11</v>
      </c>
      <c r="AH13" s="76">
        <f>IFERROR(s_TR/(up_RadSpec!$H13*s_IFBR_far_adj*s_CF_broccoli),".")</f>
        <v>6.6115702479338848E-11</v>
      </c>
      <c r="AI13" s="76">
        <f>IFERROR(s_TR/(up_RadSpec!$H13*s_IFCB_far_adj*s_CF_cabbage),".")</f>
        <v>6.6115702479338848E-11</v>
      </c>
      <c r="AJ13" s="76">
        <f>IFERROR(s_TR/(up_RadSpec!$H13*s_IFCR_far_adj*s_CF_carrot),".")</f>
        <v>6.6115702479338848E-11</v>
      </c>
      <c r="AK13" s="76">
        <f>IFERROR(s_TR/(up_RadSpec!$H13*s_IFCI_far_adj*s_CF_citrus),".")</f>
        <v>6.6115702479338848E-11</v>
      </c>
      <c r="AL13" s="76">
        <f>IFERROR(s_TR/(up_RadSpec!$H13*s_IFCO_far_adj*s_CF_corn),".")</f>
        <v>6.6115702479338848E-11</v>
      </c>
      <c r="AM13" s="76">
        <f>IFERROR(s_TR/(up_RadSpec!$H13*s_IFCU_far_adj*s_CF_cucumber),".")</f>
        <v>6.6115702479338848E-11</v>
      </c>
      <c r="AN13" s="76">
        <f>IFERROR(s_TR/(up_RadSpec!$H13*s_IFLE_far_adj*s_CF_lettuce),".")</f>
        <v>6.6115702479338848E-11</v>
      </c>
      <c r="AO13" s="76">
        <f>IFERROR(s_TR/(up_RadSpec!$H13*s_IFLI_far_adj*s_CF_lima_bean),".")</f>
        <v>6.6115702479338848E-11</v>
      </c>
      <c r="AP13" s="76">
        <f>IFERROR(s_TR/(up_RadSpec!$H13*s_IFOK_far_adj*s_CF_okra),".")</f>
        <v>6.6115702479338848E-11</v>
      </c>
      <c r="AQ13" s="76">
        <f>IFERROR(s_TR/(up_RadSpec!$H13*s_IFON_far_adj*s_CF_onion),".")</f>
        <v>6.6115702479338848E-11</v>
      </c>
      <c r="AR13" s="76">
        <f>IFERROR(s_TR/(up_RadSpec!$H13*s_IFPC_far_adj*s_CF_peach),".")</f>
        <v>6.6115702479338848E-11</v>
      </c>
      <c r="AS13" s="76">
        <f>IFERROR(s_TR/(up_RadSpec!$H13*s_IFPR_far_adj*s_CF_pear),".")</f>
        <v>6.6115702479338848E-11</v>
      </c>
      <c r="AT13" s="76">
        <f>IFERROR(s_TR/(up_RadSpec!$H13*s_IFPE_far_adj*s_CF_peas),".")</f>
        <v>6.6115702479338848E-11</v>
      </c>
      <c r="AU13" s="76">
        <f>IFERROR(s_TR/(up_RadSpec!$H13*s_IFPP_far_adj*s_CF_peppers),".")</f>
        <v>6.6115702479338848E-11</v>
      </c>
      <c r="AV13" s="76">
        <f>IFERROR(s_TR/(up_RadSpec!$H13*s_IFPT_far_adj*s_CF_potato),".")</f>
        <v>6.6115702479338848E-11</v>
      </c>
      <c r="AW13" s="76">
        <f>IFERROR(s_TR/(up_RadSpec!$H13*s_IFPU_far_adj*s_CF_pumpkin),".")</f>
        <v>6.6115702479338848E-11</v>
      </c>
      <c r="AX13" s="76">
        <f>IFERROR(s_TR/(up_RadSpec!$H13*s_IFSN_far_adj*s_CF_snap_bean),".")</f>
        <v>6.6115702479338848E-11</v>
      </c>
      <c r="AY13" s="76">
        <f>IFERROR(s_TR/(up_RadSpec!$H13*s_IFST_far_adj*s_CF_strawberry),".")</f>
        <v>6.6115702479338848E-11</v>
      </c>
      <c r="AZ13" s="76">
        <f>IFERROR(s_TR/(up_RadSpec!$H13*s_IFTO_far_adj*s_CF_tomato),".")</f>
        <v>6.6115702479338848E-11</v>
      </c>
      <c r="BA13" s="76">
        <f>IFERROR(s_TR/(up_RadSpec!$H13*s_IFRI_far_adj*s_CF_rice),".")</f>
        <v>6.6115702479338848E-11</v>
      </c>
      <c r="BB13" s="76">
        <f>IFERROR(s_TR/(up_RadSpec!$H13*s_IFCG_far_adj*s_CF_cereal),".")</f>
        <v>6.6115702479338848E-11</v>
      </c>
      <c r="BC13" s="93">
        <f t="shared" si="26"/>
        <v>605000</v>
      </c>
      <c r="BD13" s="93">
        <f t="shared" si="0"/>
        <v>151250</v>
      </c>
      <c r="BE13" s="93">
        <f t="shared" si="1"/>
        <v>151250</v>
      </c>
      <c r="BF13" s="93">
        <f t="shared" si="2"/>
        <v>151250</v>
      </c>
      <c r="BG13" s="93">
        <f t="shared" si="3"/>
        <v>151250</v>
      </c>
      <c r="BH13" s="93">
        <f t="shared" si="4"/>
        <v>151250</v>
      </c>
      <c r="BI13" s="93">
        <f t="shared" si="5"/>
        <v>151250</v>
      </c>
      <c r="BJ13" s="93">
        <f t="shared" si="6"/>
        <v>151250</v>
      </c>
      <c r="BK13" s="93">
        <f t="shared" si="7"/>
        <v>151250</v>
      </c>
      <c r="BL13" s="93">
        <f t="shared" si="8"/>
        <v>151250</v>
      </c>
      <c r="BM13" s="93">
        <f t="shared" si="9"/>
        <v>151250</v>
      </c>
      <c r="BN13" s="93">
        <f t="shared" si="10"/>
        <v>151250</v>
      </c>
      <c r="BO13" s="93">
        <f t="shared" si="11"/>
        <v>151250</v>
      </c>
      <c r="BP13" s="93">
        <f t="shared" si="12"/>
        <v>151250</v>
      </c>
      <c r="BQ13" s="93">
        <f t="shared" si="13"/>
        <v>151250</v>
      </c>
      <c r="BR13" s="93">
        <f t="shared" si="14"/>
        <v>151250</v>
      </c>
      <c r="BS13" s="93">
        <f t="shared" si="15"/>
        <v>151250</v>
      </c>
      <c r="BT13" s="93">
        <f t="shared" si="27"/>
        <v>151250</v>
      </c>
      <c r="BU13" s="93">
        <f t="shared" si="16"/>
        <v>151250</v>
      </c>
      <c r="BV13" s="93">
        <f t="shared" si="17"/>
        <v>151250</v>
      </c>
      <c r="BW13" s="93">
        <f t="shared" si="18"/>
        <v>151250</v>
      </c>
      <c r="BX13" s="93">
        <f t="shared" si="19"/>
        <v>151250</v>
      </c>
      <c r="BY13" s="93">
        <f t="shared" si="20"/>
        <v>151250</v>
      </c>
      <c r="BZ13" s="93">
        <f t="shared" si="21"/>
        <v>151250</v>
      </c>
      <c r="CA13" s="93">
        <f t="shared" si="22"/>
        <v>151250</v>
      </c>
      <c r="CB13" s="93">
        <f t="shared" si="23"/>
        <v>151250</v>
      </c>
    </row>
    <row r="14" spans="1:80" x14ac:dyDescent="0.25">
      <c r="A14" s="92" t="s">
        <v>24</v>
      </c>
      <c r="B14" s="90" t="s">
        <v>1071</v>
      </c>
      <c r="C14" s="76">
        <f t="shared" si="24"/>
        <v>1.6528925619834712E-11</v>
      </c>
      <c r="D14" s="76">
        <f>IFERROR(s_TR/(up_RadSpec!$H14*s_IFAP_res_adj*s_CF_apple),".")</f>
        <v>6.6115702479338848E-11</v>
      </c>
      <c r="E14" s="76">
        <f>IFERROR(s_TR/(up_RadSpec!$H14*s_IFAS_res_adj*s_CF_asparagus),".")</f>
        <v>6.6115702479338848E-11</v>
      </c>
      <c r="F14" s="76">
        <f>IFERROR(s_TR/(up_RadSpec!$H14*s_IFBT_res_adj*s_CF_beet),".")</f>
        <v>6.6115702479338848E-11</v>
      </c>
      <c r="G14" s="76">
        <f>IFERROR(s_TR/(up_RadSpec!$H14*s_IFBE_res_adj*s_CF_berries),".")</f>
        <v>6.6115702479338848E-11</v>
      </c>
      <c r="H14" s="76">
        <f>IFERROR(s_TR/(up_RadSpec!$H14*s_IFBR_res_adj*s_CF_broccoli),".")</f>
        <v>6.6115702479338848E-11</v>
      </c>
      <c r="I14" s="76">
        <f>IFERROR(s_TR/(up_RadSpec!$H14*s_IFCB_res_adj*s_CF_cabbage),".")</f>
        <v>6.6115702479338848E-11</v>
      </c>
      <c r="J14" s="76">
        <f>IFERROR(s_TR/(up_RadSpec!$H14*s_IFCR_res_adj*s_CF_carrot),".")</f>
        <v>6.6115702479338848E-11</v>
      </c>
      <c r="K14" s="76">
        <f>IFERROR(s_TR/(up_RadSpec!$H14*s_IFCI_res_adj*s_CF_citrus),".")</f>
        <v>6.6115702479338848E-11</v>
      </c>
      <c r="L14" s="76">
        <f>IFERROR(s_TR/(up_RadSpec!$H14*s_IFCO_res_adj*s_CF_corn),".")</f>
        <v>6.6115702479338848E-11</v>
      </c>
      <c r="M14" s="76">
        <f>IFERROR(s_TR/(up_RadSpec!$H14*s_IFCU_res_adj*s_CF_cucumber),".")</f>
        <v>6.6115702479338848E-11</v>
      </c>
      <c r="N14" s="76">
        <f>IFERROR(s_TR/(up_RadSpec!$H14*s_IFLE_res_adj*s_CF_lettuce),".")</f>
        <v>6.6115702479338848E-11</v>
      </c>
      <c r="O14" s="76">
        <f>IFERROR(s_TR/(up_RadSpec!$H14*s_IFLI_res_adj*s_CF_lima_bean),".")</f>
        <v>6.6115702479338848E-11</v>
      </c>
      <c r="P14" s="76">
        <f>IFERROR(s_TR/(up_RadSpec!$H14*s_IFOK_res_adj*s_CF_okra),".")</f>
        <v>6.6115702479338848E-11</v>
      </c>
      <c r="Q14" s="76">
        <f>IFERROR(s_TR/(up_RadSpec!$H14*s_IFON_res_adj*s_CF_onion),".")</f>
        <v>6.6115702479338848E-11</v>
      </c>
      <c r="R14" s="76">
        <f>IFERROR(s_TR/(up_RadSpec!$H14*s_IFPC_res_adj*s_CF_peach),".")</f>
        <v>6.6115702479338848E-11</v>
      </c>
      <c r="S14" s="76">
        <f>IFERROR(s_TR/(up_RadSpec!$H14*s_IFPR_res_adj*s_CF_pear),".")</f>
        <v>6.6115702479338848E-11</v>
      </c>
      <c r="T14" s="76">
        <f>IFERROR(s_TR/(up_RadSpec!$H14*s_IFPE_res_adj*s_CF_peas),".")</f>
        <v>6.6115702479338848E-11</v>
      </c>
      <c r="U14" s="76">
        <f>IFERROR(s_TR/(up_RadSpec!$H14*s_IFPP_res_adj*s_CF_peppers),".")</f>
        <v>6.6115702479338848E-11</v>
      </c>
      <c r="V14" s="76">
        <f>IFERROR(s_TR/(up_RadSpec!$H14*s_IFPT_res_adj*s_CF_potato),".")</f>
        <v>6.6115702479338848E-11</v>
      </c>
      <c r="W14" s="76">
        <f>IFERROR(s_TR/(up_RadSpec!$H14*s_IFPU_res_adj*s_CF_pumpkin),".")</f>
        <v>6.6115702479338848E-11</v>
      </c>
      <c r="X14" s="76">
        <f>IFERROR(s_TR/(up_RadSpec!$H14*s_IFSN_res_adj*s_CF_snap_bean),".")</f>
        <v>6.6115702479338848E-11</v>
      </c>
      <c r="Y14" s="76">
        <f>IFERROR(s_TR/(up_RadSpec!$H14*s_IFST_res_adj*s_CF_strawberry),".")</f>
        <v>6.6115702479338848E-11</v>
      </c>
      <c r="Z14" s="76">
        <f>IFERROR(s_TR/(up_RadSpec!$H14*s_IFTO_res_adj*s_CF_tomato),".")</f>
        <v>6.6115702479338848E-11</v>
      </c>
      <c r="AA14" s="76">
        <f>IFERROR(s_TR/(up_RadSpec!$H14*s_IFRI_res_adj*s_CF_rice),".")</f>
        <v>6.6115702479338848E-11</v>
      </c>
      <c r="AB14" s="76">
        <f>IFERROR(s_TR/(up_RadSpec!$H14*s_IFCG_res_adj*s_CF_cereal),".")</f>
        <v>6.6115702479338848E-11</v>
      </c>
      <c r="AC14" s="76">
        <f t="shared" si="25"/>
        <v>1.6528925619834712E-11</v>
      </c>
      <c r="AD14" s="76">
        <f>IFERROR(s_TR/(up_RadSpec!$H14*s_IFAP_far_adj*s_CF_apple),".")</f>
        <v>6.6115702479338848E-11</v>
      </c>
      <c r="AE14" s="76">
        <f>IFERROR(s_TR/(up_RadSpec!$H14*s_IFAS_far_adj*s_CF_asparagus),".")</f>
        <v>6.6115702479338848E-11</v>
      </c>
      <c r="AF14" s="76">
        <f>IFERROR(s_TR/(up_RadSpec!$H14*s_IFBT_far_adj*s_CF_beet),".")</f>
        <v>6.6115702479338848E-11</v>
      </c>
      <c r="AG14" s="76">
        <f>IFERROR(s_TR/(up_RadSpec!$H14*s_IFBE_far_adj*s_CF_berries),".")</f>
        <v>6.6115702479338848E-11</v>
      </c>
      <c r="AH14" s="76">
        <f>IFERROR(s_TR/(up_RadSpec!$H14*s_IFBR_far_adj*s_CF_broccoli),".")</f>
        <v>6.6115702479338848E-11</v>
      </c>
      <c r="AI14" s="76">
        <f>IFERROR(s_TR/(up_RadSpec!$H14*s_IFCB_far_adj*s_CF_cabbage),".")</f>
        <v>6.6115702479338848E-11</v>
      </c>
      <c r="AJ14" s="76">
        <f>IFERROR(s_TR/(up_RadSpec!$H14*s_IFCR_far_adj*s_CF_carrot),".")</f>
        <v>6.6115702479338848E-11</v>
      </c>
      <c r="AK14" s="76">
        <f>IFERROR(s_TR/(up_RadSpec!$H14*s_IFCI_far_adj*s_CF_citrus),".")</f>
        <v>6.6115702479338848E-11</v>
      </c>
      <c r="AL14" s="76">
        <f>IFERROR(s_TR/(up_RadSpec!$H14*s_IFCO_far_adj*s_CF_corn),".")</f>
        <v>6.6115702479338848E-11</v>
      </c>
      <c r="AM14" s="76">
        <f>IFERROR(s_TR/(up_RadSpec!$H14*s_IFCU_far_adj*s_CF_cucumber),".")</f>
        <v>6.6115702479338848E-11</v>
      </c>
      <c r="AN14" s="76">
        <f>IFERROR(s_TR/(up_RadSpec!$H14*s_IFLE_far_adj*s_CF_lettuce),".")</f>
        <v>6.6115702479338848E-11</v>
      </c>
      <c r="AO14" s="76">
        <f>IFERROR(s_TR/(up_RadSpec!$H14*s_IFLI_far_adj*s_CF_lima_bean),".")</f>
        <v>6.6115702479338848E-11</v>
      </c>
      <c r="AP14" s="76">
        <f>IFERROR(s_TR/(up_RadSpec!$H14*s_IFOK_far_adj*s_CF_okra),".")</f>
        <v>6.6115702479338848E-11</v>
      </c>
      <c r="AQ14" s="76">
        <f>IFERROR(s_TR/(up_RadSpec!$H14*s_IFON_far_adj*s_CF_onion),".")</f>
        <v>6.6115702479338848E-11</v>
      </c>
      <c r="AR14" s="76">
        <f>IFERROR(s_TR/(up_RadSpec!$H14*s_IFPC_far_adj*s_CF_peach),".")</f>
        <v>6.6115702479338848E-11</v>
      </c>
      <c r="AS14" s="76">
        <f>IFERROR(s_TR/(up_RadSpec!$H14*s_IFPR_far_adj*s_CF_pear),".")</f>
        <v>6.6115702479338848E-11</v>
      </c>
      <c r="AT14" s="76">
        <f>IFERROR(s_TR/(up_RadSpec!$H14*s_IFPE_far_adj*s_CF_peas),".")</f>
        <v>6.6115702479338848E-11</v>
      </c>
      <c r="AU14" s="76">
        <f>IFERROR(s_TR/(up_RadSpec!$H14*s_IFPP_far_adj*s_CF_peppers),".")</f>
        <v>6.6115702479338848E-11</v>
      </c>
      <c r="AV14" s="76">
        <f>IFERROR(s_TR/(up_RadSpec!$H14*s_IFPT_far_adj*s_CF_potato),".")</f>
        <v>6.6115702479338848E-11</v>
      </c>
      <c r="AW14" s="76">
        <f>IFERROR(s_TR/(up_RadSpec!$H14*s_IFPU_far_adj*s_CF_pumpkin),".")</f>
        <v>6.6115702479338848E-11</v>
      </c>
      <c r="AX14" s="76">
        <f>IFERROR(s_TR/(up_RadSpec!$H14*s_IFSN_far_adj*s_CF_snap_bean),".")</f>
        <v>6.6115702479338848E-11</v>
      </c>
      <c r="AY14" s="76">
        <f>IFERROR(s_TR/(up_RadSpec!$H14*s_IFST_far_adj*s_CF_strawberry),".")</f>
        <v>6.6115702479338848E-11</v>
      </c>
      <c r="AZ14" s="76">
        <f>IFERROR(s_TR/(up_RadSpec!$H14*s_IFTO_far_adj*s_CF_tomato),".")</f>
        <v>6.6115702479338848E-11</v>
      </c>
      <c r="BA14" s="76">
        <f>IFERROR(s_TR/(up_RadSpec!$H14*s_IFRI_far_adj*s_CF_rice),".")</f>
        <v>6.6115702479338848E-11</v>
      </c>
      <c r="BB14" s="76">
        <f>IFERROR(s_TR/(up_RadSpec!$H14*s_IFCG_far_adj*s_CF_cereal),".")</f>
        <v>6.6115702479338848E-11</v>
      </c>
      <c r="BC14" s="93">
        <f t="shared" si="26"/>
        <v>605000</v>
      </c>
      <c r="BD14" s="93">
        <f t="shared" si="0"/>
        <v>151250</v>
      </c>
      <c r="BE14" s="93">
        <f t="shared" si="1"/>
        <v>151250</v>
      </c>
      <c r="BF14" s="93">
        <f t="shared" si="2"/>
        <v>151250</v>
      </c>
      <c r="BG14" s="93">
        <f t="shared" si="3"/>
        <v>151250</v>
      </c>
      <c r="BH14" s="93">
        <f t="shared" si="4"/>
        <v>151250</v>
      </c>
      <c r="BI14" s="93">
        <f t="shared" si="5"/>
        <v>151250</v>
      </c>
      <c r="BJ14" s="93">
        <f t="shared" si="6"/>
        <v>151250</v>
      </c>
      <c r="BK14" s="93">
        <f t="shared" si="7"/>
        <v>151250</v>
      </c>
      <c r="BL14" s="93">
        <f t="shared" si="8"/>
        <v>151250</v>
      </c>
      <c r="BM14" s="93">
        <f t="shared" si="9"/>
        <v>151250</v>
      </c>
      <c r="BN14" s="93">
        <f t="shared" si="10"/>
        <v>151250</v>
      </c>
      <c r="BO14" s="93">
        <f t="shared" si="11"/>
        <v>151250</v>
      </c>
      <c r="BP14" s="93">
        <f t="shared" si="12"/>
        <v>151250</v>
      </c>
      <c r="BQ14" s="93">
        <f t="shared" si="13"/>
        <v>151250</v>
      </c>
      <c r="BR14" s="93">
        <f t="shared" si="14"/>
        <v>151250</v>
      </c>
      <c r="BS14" s="93">
        <f t="shared" si="15"/>
        <v>151250</v>
      </c>
      <c r="BT14" s="93">
        <f t="shared" si="27"/>
        <v>151250</v>
      </c>
      <c r="BU14" s="93">
        <f t="shared" si="16"/>
        <v>151250</v>
      </c>
      <c r="BV14" s="93">
        <f t="shared" si="17"/>
        <v>151250</v>
      </c>
      <c r="BW14" s="93">
        <f t="shared" si="18"/>
        <v>151250</v>
      </c>
      <c r="BX14" s="93">
        <f t="shared" si="19"/>
        <v>151250</v>
      </c>
      <c r="BY14" s="93">
        <f t="shared" si="20"/>
        <v>151250</v>
      </c>
      <c r="BZ14" s="93">
        <f t="shared" si="21"/>
        <v>151250</v>
      </c>
      <c r="CA14" s="93">
        <f t="shared" si="22"/>
        <v>151250</v>
      </c>
      <c r="CB14" s="93">
        <f t="shared" si="23"/>
        <v>151250</v>
      </c>
    </row>
    <row r="15" spans="1:80" x14ac:dyDescent="0.25">
      <c r="A15" s="92" t="s">
        <v>25</v>
      </c>
      <c r="B15" s="90" t="s">
        <v>1071</v>
      </c>
      <c r="C15" s="76">
        <f t="shared" si="24"/>
        <v>1.6528925619834712E-11</v>
      </c>
      <c r="D15" s="76">
        <f>IFERROR(s_TR/(up_RadSpec!$H15*s_IFAP_res_adj*s_CF_apple),".")</f>
        <v>6.6115702479338848E-11</v>
      </c>
      <c r="E15" s="76">
        <f>IFERROR(s_TR/(up_RadSpec!$H15*s_IFAS_res_adj*s_CF_asparagus),".")</f>
        <v>6.6115702479338848E-11</v>
      </c>
      <c r="F15" s="76">
        <f>IFERROR(s_TR/(up_RadSpec!$H15*s_IFBT_res_adj*s_CF_beet),".")</f>
        <v>6.6115702479338848E-11</v>
      </c>
      <c r="G15" s="76">
        <f>IFERROR(s_TR/(up_RadSpec!$H15*s_IFBE_res_adj*s_CF_berries),".")</f>
        <v>6.6115702479338848E-11</v>
      </c>
      <c r="H15" s="76">
        <f>IFERROR(s_TR/(up_RadSpec!$H15*s_IFBR_res_adj*s_CF_broccoli),".")</f>
        <v>6.6115702479338848E-11</v>
      </c>
      <c r="I15" s="76">
        <f>IFERROR(s_TR/(up_RadSpec!$H15*s_IFCB_res_adj*s_CF_cabbage),".")</f>
        <v>6.6115702479338848E-11</v>
      </c>
      <c r="J15" s="76">
        <f>IFERROR(s_TR/(up_RadSpec!$H15*s_IFCR_res_adj*s_CF_carrot),".")</f>
        <v>6.6115702479338848E-11</v>
      </c>
      <c r="K15" s="76">
        <f>IFERROR(s_TR/(up_RadSpec!$H15*s_IFCI_res_adj*s_CF_citrus),".")</f>
        <v>6.6115702479338848E-11</v>
      </c>
      <c r="L15" s="76">
        <f>IFERROR(s_TR/(up_RadSpec!$H15*s_IFCO_res_adj*s_CF_corn),".")</f>
        <v>6.6115702479338848E-11</v>
      </c>
      <c r="M15" s="76">
        <f>IFERROR(s_TR/(up_RadSpec!$H15*s_IFCU_res_adj*s_CF_cucumber),".")</f>
        <v>6.6115702479338848E-11</v>
      </c>
      <c r="N15" s="76">
        <f>IFERROR(s_TR/(up_RadSpec!$H15*s_IFLE_res_adj*s_CF_lettuce),".")</f>
        <v>6.6115702479338848E-11</v>
      </c>
      <c r="O15" s="76">
        <f>IFERROR(s_TR/(up_RadSpec!$H15*s_IFLI_res_adj*s_CF_lima_bean),".")</f>
        <v>6.6115702479338848E-11</v>
      </c>
      <c r="P15" s="76">
        <f>IFERROR(s_TR/(up_RadSpec!$H15*s_IFOK_res_adj*s_CF_okra),".")</f>
        <v>6.6115702479338848E-11</v>
      </c>
      <c r="Q15" s="76">
        <f>IFERROR(s_TR/(up_RadSpec!$H15*s_IFON_res_adj*s_CF_onion),".")</f>
        <v>6.6115702479338848E-11</v>
      </c>
      <c r="R15" s="76">
        <f>IFERROR(s_TR/(up_RadSpec!$H15*s_IFPC_res_adj*s_CF_peach),".")</f>
        <v>6.6115702479338848E-11</v>
      </c>
      <c r="S15" s="76">
        <f>IFERROR(s_TR/(up_RadSpec!$H15*s_IFPR_res_adj*s_CF_pear),".")</f>
        <v>6.6115702479338848E-11</v>
      </c>
      <c r="T15" s="76">
        <f>IFERROR(s_TR/(up_RadSpec!$H15*s_IFPE_res_adj*s_CF_peas),".")</f>
        <v>6.6115702479338848E-11</v>
      </c>
      <c r="U15" s="76">
        <f>IFERROR(s_TR/(up_RadSpec!$H15*s_IFPP_res_adj*s_CF_peppers),".")</f>
        <v>6.6115702479338848E-11</v>
      </c>
      <c r="V15" s="76">
        <f>IFERROR(s_TR/(up_RadSpec!$H15*s_IFPT_res_adj*s_CF_potato),".")</f>
        <v>6.6115702479338848E-11</v>
      </c>
      <c r="W15" s="76">
        <f>IFERROR(s_TR/(up_RadSpec!$H15*s_IFPU_res_adj*s_CF_pumpkin),".")</f>
        <v>6.6115702479338848E-11</v>
      </c>
      <c r="X15" s="76">
        <f>IFERROR(s_TR/(up_RadSpec!$H15*s_IFSN_res_adj*s_CF_snap_bean),".")</f>
        <v>6.6115702479338848E-11</v>
      </c>
      <c r="Y15" s="76">
        <f>IFERROR(s_TR/(up_RadSpec!$H15*s_IFST_res_adj*s_CF_strawberry),".")</f>
        <v>6.6115702479338848E-11</v>
      </c>
      <c r="Z15" s="76">
        <f>IFERROR(s_TR/(up_RadSpec!$H15*s_IFTO_res_adj*s_CF_tomato),".")</f>
        <v>6.6115702479338848E-11</v>
      </c>
      <c r="AA15" s="76">
        <f>IFERROR(s_TR/(up_RadSpec!$H15*s_IFRI_res_adj*s_CF_rice),".")</f>
        <v>6.6115702479338848E-11</v>
      </c>
      <c r="AB15" s="76">
        <f>IFERROR(s_TR/(up_RadSpec!$H15*s_IFCG_res_adj*s_CF_cereal),".")</f>
        <v>6.6115702479338848E-11</v>
      </c>
      <c r="AC15" s="76">
        <f t="shared" si="25"/>
        <v>1.6528925619834712E-11</v>
      </c>
      <c r="AD15" s="76">
        <f>IFERROR(s_TR/(up_RadSpec!$H15*s_IFAP_far_adj*s_CF_apple),".")</f>
        <v>6.6115702479338848E-11</v>
      </c>
      <c r="AE15" s="76">
        <f>IFERROR(s_TR/(up_RadSpec!$H15*s_IFAS_far_adj*s_CF_asparagus),".")</f>
        <v>6.6115702479338848E-11</v>
      </c>
      <c r="AF15" s="76">
        <f>IFERROR(s_TR/(up_RadSpec!$H15*s_IFBT_far_adj*s_CF_beet),".")</f>
        <v>6.6115702479338848E-11</v>
      </c>
      <c r="AG15" s="76">
        <f>IFERROR(s_TR/(up_RadSpec!$H15*s_IFBE_far_adj*s_CF_berries),".")</f>
        <v>6.6115702479338848E-11</v>
      </c>
      <c r="AH15" s="76">
        <f>IFERROR(s_TR/(up_RadSpec!$H15*s_IFBR_far_adj*s_CF_broccoli),".")</f>
        <v>6.6115702479338848E-11</v>
      </c>
      <c r="AI15" s="76">
        <f>IFERROR(s_TR/(up_RadSpec!$H15*s_IFCB_far_adj*s_CF_cabbage),".")</f>
        <v>6.6115702479338848E-11</v>
      </c>
      <c r="AJ15" s="76">
        <f>IFERROR(s_TR/(up_RadSpec!$H15*s_IFCR_far_adj*s_CF_carrot),".")</f>
        <v>6.6115702479338848E-11</v>
      </c>
      <c r="AK15" s="76">
        <f>IFERROR(s_TR/(up_RadSpec!$H15*s_IFCI_far_adj*s_CF_citrus),".")</f>
        <v>6.6115702479338848E-11</v>
      </c>
      <c r="AL15" s="76">
        <f>IFERROR(s_TR/(up_RadSpec!$H15*s_IFCO_far_adj*s_CF_corn),".")</f>
        <v>6.6115702479338848E-11</v>
      </c>
      <c r="AM15" s="76">
        <f>IFERROR(s_TR/(up_RadSpec!$H15*s_IFCU_far_adj*s_CF_cucumber),".")</f>
        <v>6.6115702479338848E-11</v>
      </c>
      <c r="AN15" s="76">
        <f>IFERROR(s_TR/(up_RadSpec!$H15*s_IFLE_far_adj*s_CF_lettuce),".")</f>
        <v>6.6115702479338848E-11</v>
      </c>
      <c r="AO15" s="76">
        <f>IFERROR(s_TR/(up_RadSpec!$H15*s_IFLI_far_adj*s_CF_lima_bean),".")</f>
        <v>6.6115702479338848E-11</v>
      </c>
      <c r="AP15" s="76">
        <f>IFERROR(s_TR/(up_RadSpec!$H15*s_IFOK_far_adj*s_CF_okra),".")</f>
        <v>6.6115702479338848E-11</v>
      </c>
      <c r="AQ15" s="76">
        <f>IFERROR(s_TR/(up_RadSpec!$H15*s_IFON_far_adj*s_CF_onion),".")</f>
        <v>6.6115702479338848E-11</v>
      </c>
      <c r="AR15" s="76">
        <f>IFERROR(s_TR/(up_RadSpec!$H15*s_IFPC_far_adj*s_CF_peach),".")</f>
        <v>6.6115702479338848E-11</v>
      </c>
      <c r="AS15" s="76">
        <f>IFERROR(s_TR/(up_RadSpec!$H15*s_IFPR_far_adj*s_CF_pear),".")</f>
        <v>6.6115702479338848E-11</v>
      </c>
      <c r="AT15" s="76">
        <f>IFERROR(s_TR/(up_RadSpec!$H15*s_IFPE_far_adj*s_CF_peas),".")</f>
        <v>6.6115702479338848E-11</v>
      </c>
      <c r="AU15" s="76">
        <f>IFERROR(s_TR/(up_RadSpec!$H15*s_IFPP_far_adj*s_CF_peppers),".")</f>
        <v>6.6115702479338848E-11</v>
      </c>
      <c r="AV15" s="76">
        <f>IFERROR(s_TR/(up_RadSpec!$H15*s_IFPT_far_adj*s_CF_potato),".")</f>
        <v>6.6115702479338848E-11</v>
      </c>
      <c r="AW15" s="76">
        <f>IFERROR(s_TR/(up_RadSpec!$H15*s_IFPU_far_adj*s_CF_pumpkin),".")</f>
        <v>6.6115702479338848E-11</v>
      </c>
      <c r="AX15" s="76">
        <f>IFERROR(s_TR/(up_RadSpec!$H15*s_IFSN_far_adj*s_CF_snap_bean),".")</f>
        <v>6.6115702479338848E-11</v>
      </c>
      <c r="AY15" s="76">
        <f>IFERROR(s_TR/(up_RadSpec!$H15*s_IFST_far_adj*s_CF_strawberry),".")</f>
        <v>6.6115702479338848E-11</v>
      </c>
      <c r="AZ15" s="76">
        <f>IFERROR(s_TR/(up_RadSpec!$H15*s_IFTO_far_adj*s_CF_tomato),".")</f>
        <v>6.6115702479338848E-11</v>
      </c>
      <c r="BA15" s="76">
        <f>IFERROR(s_TR/(up_RadSpec!$H15*s_IFRI_far_adj*s_CF_rice),".")</f>
        <v>6.6115702479338848E-11</v>
      </c>
      <c r="BB15" s="76">
        <f>IFERROR(s_TR/(up_RadSpec!$H15*s_IFCG_far_adj*s_CF_cereal),".")</f>
        <v>6.6115702479338848E-11</v>
      </c>
      <c r="BC15" s="93">
        <f t="shared" si="26"/>
        <v>605000</v>
      </c>
      <c r="BD15" s="93">
        <f t="shared" si="0"/>
        <v>151250</v>
      </c>
      <c r="BE15" s="93">
        <f t="shared" si="1"/>
        <v>151250</v>
      </c>
      <c r="BF15" s="93">
        <f t="shared" si="2"/>
        <v>151250</v>
      </c>
      <c r="BG15" s="93">
        <f t="shared" si="3"/>
        <v>151250</v>
      </c>
      <c r="BH15" s="93">
        <f t="shared" si="4"/>
        <v>151250</v>
      </c>
      <c r="BI15" s="93">
        <f t="shared" si="5"/>
        <v>151250</v>
      </c>
      <c r="BJ15" s="93">
        <f t="shared" si="6"/>
        <v>151250</v>
      </c>
      <c r="BK15" s="93">
        <f t="shared" si="7"/>
        <v>151250</v>
      </c>
      <c r="BL15" s="93">
        <f t="shared" si="8"/>
        <v>151250</v>
      </c>
      <c r="BM15" s="93">
        <f t="shared" si="9"/>
        <v>151250</v>
      </c>
      <c r="BN15" s="93">
        <f t="shared" si="10"/>
        <v>151250</v>
      </c>
      <c r="BO15" s="93">
        <f t="shared" si="11"/>
        <v>151250</v>
      </c>
      <c r="BP15" s="93">
        <f t="shared" si="12"/>
        <v>151250</v>
      </c>
      <c r="BQ15" s="93">
        <f t="shared" si="13"/>
        <v>151250</v>
      </c>
      <c r="BR15" s="93">
        <f t="shared" si="14"/>
        <v>151250</v>
      </c>
      <c r="BS15" s="93">
        <f t="shared" si="15"/>
        <v>151250</v>
      </c>
      <c r="BT15" s="93">
        <f t="shared" si="27"/>
        <v>151250</v>
      </c>
      <c r="BU15" s="93">
        <f t="shared" si="16"/>
        <v>151250</v>
      </c>
      <c r="BV15" s="93">
        <f t="shared" si="17"/>
        <v>151250</v>
      </c>
      <c r="BW15" s="93">
        <f t="shared" si="18"/>
        <v>151250</v>
      </c>
      <c r="BX15" s="93">
        <f t="shared" si="19"/>
        <v>151250</v>
      </c>
      <c r="BY15" s="93">
        <f t="shared" si="20"/>
        <v>151250</v>
      </c>
      <c r="BZ15" s="93">
        <f t="shared" si="21"/>
        <v>151250</v>
      </c>
      <c r="CA15" s="93">
        <f t="shared" si="22"/>
        <v>151250</v>
      </c>
      <c r="CB15" s="93">
        <f t="shared" si="23"/>
        <v>151250</v>
      </c>
    </row>
    <row r="16" spans="1:80" x14ac:dyDescent="0.25">
      <c r="A16" s="92" t="s">
        <v>26</v>
      </c>
      <c r="B16" s="90" t="s">
        <v>1071</v>
      </c>
      <c r="C16" s="76">
        <f t="shared" si="24"/>
        <v>1.6528925619834712E-11</v>
      </c>
      <c r="D16" s="76">
        <f>IFERROR(s_TR/(up_RadSpec!$H16*s_IFAP_res_adj*s_CF_apple),".")</f>
        <v>6.6115702479338848E-11</v>
      </c>
      <c r="E16" s="76">
        <f>IFERROR(s_TR/(up_RadSpec!$H16*s_IFAS_res_adj*s_CF_asparagus),".")</f>
        <v>6.6115702479338848E-11</v>
      </c>
      <c r="F16" s="76">
        <f>IFERROR(s_TR/(up_RadSpec!$H16*s_IFBT_res_adj*s_CF_beet),".")</f>
        <v>6.6115702479338848E-11</v>
      </c>
      <c r="G16" s="76">
        <f>IFERROR(s_TR/(up_RadSpec!$H16*s_IFBE_res_adj*s_CF_berries),".")</f>
        <v>6.6115702479338848E-11</v>
      </c>
      <c r="H16" s="76">
        <f>IFERROR(s_TR/(up_RadSpec!$H16*s_IFBR_res_adj*s_CF_broccoli),".")</f>
        <v>6.6115702479338848E-11</v>
      </c>
      <c r="I16" s="76">
        <f>IFERROR(s_TR/(up_RadSpec!$H16*s_IFCB_res_adj*s_CF_cabbage),".")</f>
        <v>6.6115702479338848E-11</v>
      </c>
      <c r="J16" s="76">
        <f>IFERROR(s_TR/(up_RadSpec!$H16*s_IFCR_res_adj*s_CF_carrot),".")</f>
        <v>6.6115702479338848E-11</v>
      </c>
      <c r="K16" s="76">
        <f>IFERROR(s_TR/(up_RadSpec!$H16*s_IFCI_res_adj*s_CF_citrus),".")</f>
        <v>6.6115702479338848E-11</v>
      </c>
      <c r="L16" s="76">
        <f>IFERROR(s_TR/(up_RadSpec!$H16*s_IFCO_res_adj*s_CF_corn),".")</f>
        <v>6.6115702479338848E-11</v>
      </c>
      <c r="M16" s="76">
        <f>IFERROR(s_TR/(up_RadSpec!$H16*s_IFCU_res_adj*s_CF_cucumber),".")</f>
        <v>6.6115702479338848E-11</v>
      </c>
      <c r="N16" s="76">
        <f>IFERROR(s_TR/(up_RadSpec!$H16*s_IFLE_res_adj*s_CF_lettuce),".")</f>
        <v>6.6115702479338848E-11</v>
      </c>
      <c r="O16" s="76">
        <f>IFERROR(s_TR/(up_RadSpec!$H16*s_IFLI_res_adj*s_CF_lima_bean),".")</f>
        <v>6.6115702479338848E-11</v>
      </c>
      <c r="P16" s="76">
        <f>IFERROR(s_TR/(up_RadSpec!$H16*s_IFOK_res_adj*s_CF_okra),".")</f>
        <v>6.6115702479338848E-11</v>
      </c>
      <c r="Q16" s="76">
        <f>IFERROR(s_TR/(up_RadSpec!$H16*s_IFON_res_adj*s_CF_onion),".")</f>
        <v>6.6115702479338848E-11</v>
      </c>
      <c r="R16" s="76">
        <f>IFERROR(s_TR/(up_RadSpec!$H16*s_IFPC_res_adj*s_CF_peach),".")</f>
        <v>6.6115702479338848E-11</v>
      </c>
      <c r="S16" s="76">
        <f>IFERROR(s_TR/(up_RadSpec!$H16*s_IFPR_res_adj*s_CF_pear),".")</f>
        <v>6.6115702479338848E-11</v>
      </c>
      <c r="T16" s="76">
        <f>IFERROR(s_TR/(up_RadSpec!$H16*s_IFPE_res_adj*s_CF_peas),".")</f>
        <v>6.6115702479338848E-11</v>
      </c>
      <c r="U16" s="76">
        <f>IFERROR(s_TR/(up_RadSpec!$H16*s_IFPP_res_adj*s_CF_peppers),".")</f>
        <v>6.6115702479338848E-11</v>
      </c>
      <c r="V16" s="76">
        <f>IFERROR(s_TR/(up_RadSpec!$H16*s_IFPT_res_adj*s_CF_potato),".")</f>
        <v>6.6115702479338848E-11</v>
      </c>
      <c r="W16" s="76">
        <f>IFERROR(s_TR/(up_RadSpec!$H16*s_IFPU_res_adj*s_CF_pumpkin),".")</f>
        <v>6.6115702479338848E-11</v>
      </c>
      <c r="X16" s="76">
        <f>IFERROR(s_TR/(up_RadSpec!$H16*s_IFSN_res_adj*s_CF_snap_bean),".")</f>
        <v>6.6115702479338848E-11</v>
      </c>
      <c r="Y16" s="76">
        <f>IFERROR(s_TR/(up_RadSpec!$H16*s_IFST_res_adj*s_CF_strawberry),".")</f>
        <v>6.6115702479338848E-11</v>
      </c>
      <c r="Z16" s="76">
        <f>IFERROR(s_TR/(up_RadSpec!$H16*s_IFTO_res_adj*s_CF_tomato),".")</f>
        <v>6.6115702479338848E-11</v>
      </c>
      <c r="AA16" s="76">
        <f>IFERROR(s_TR/(up_RadSpec!$H16*s_IFRI_res_adj*s_CF_rice),".")</f>
        <v>6.6115702479338848E-11</v>
      </c>
      <c r="AB16" s="76">
        <f>IFERROR(s_TR/(up_RadSpec!$H16*s_IFCG_res_adj*s_CF_cereal),".")</f>
        <v>6.6115702479338848E-11</v>
      </c>
      <c r="AC16" s="76">
        <f t="shared" si="25"/>
        <v>1.6528925619834712E-11</v>
      </c>
      <c r="AD16" s="76">
        <f>IFERROR(s_TR/(up_RadSpec!$H16*s_IFAP_far_adj*s_CF_apple),".")</f>
        <v>6.6115702479338848E-11</v>
      </c>
      <c r="AE16" s="76">
        <f>IFERROR(s_TR/(up_RadSpec!$H16*s_IFAS_far_adj*s_CF_asparagus),".")</f>
        <v>6.6115702479338848E-11</v>
      </c>
      <c r="AF16" s="76">
        <f>IFERROR(s_TR/(up_RadSpec!$H16*s_IFBT_far_adj*s_CF_beet),".")</f>
        <v>6.6115702479338848E-11</v>
      </c>
      <c r="AG16" s="76">
        <f>IFERROR(s_TR/(up_RadSpec!$H16*s_IFBE_far_adj*s_CF_berries),".")</f>
        <v>6.6115702479338848E-11</v>
      </c>
      <c r="AH16" s="76">
        <f>IFERROR(s_TR/(up_RadSpec!$H16*s_IFBR_far_adj*s_CF_broccoli),".")</f>
        <v>6.6115702479338848E-11</v>
      </c>
      <c r="AI16" s="76">
        <f>IFERROR(s_TR/(up_RadSpec!$H16*s_IFCB_far_adj*s_CF_cabbage),".")</f>
        <v>6.6115702479338848E-11</v>
      </c>
      <c r="AJ16" s="76">
        <f>IFERROR(s_TR/(up_RadSpec!$H16*s_IFCR_far_adj*s_CF_carrot),".")</f>
        <v>6.6115702479338848E-11</v>
      </c>
      <c r="AK16" s="76">
        <f>IFERROR(s_TR/(up_RadSpec!$H16*s_IFCI_far_adj*s_CF_citrus),".")</f>
        <v>6.6115702479338848E-11</v>
      </c>
      <c r="AL16" s="76">
        <f>IFERROR(s_TR/(up_RadSpec!$H16*s_IFCO_far_adj*s_CF_corn),".")</f>
        <v>6.6115702479338848E-11</v>
      </c>
      <c r="AM16" s="76">
        <f>IFERROR(s_TR/(up_RadSpec!$H16*s_IFCU_far_adj*s_CF_cucumber),".")</f>
        <v>6.6115702479338848E-11</v>
      </c>
      <c r="AN16" s="76">
        <f>IFERROR(s_TR/(up_RadSpec!$H16*s_IFLE_far_adj*s_CF_lettuce),".")</f>
        <v>6.6115702479338848E-11</v>
      </c>
      <c r="AO16" s="76">
        <f>IFERROR(s_TR/(up_RadSpec!$H16*s_IFLI_far_adj*s_CF_lima_bean),".")</f>
        <v>6.6115702479338848E-11</v>
      </c>
      <c r="AP16" s="76">
        <f>IFERROR(s_TR/(up_RadSpec!$H16*s_IFOK_far_adj*s_CF_okra),".")</f>
        <v>6.6115702479338848E-11</v>
      </c>
      <c r="AQ16" s="76">
        <f>IFERROR(s_TR/(up_RadSpec!$H16*s_IFON_far_adj*s_CF_onion),".")</f>
        <v>6.6115702479338848E-11</v>
      </c>
      <c r="AR16" s="76">
        <f>IFERROR(s_TR/(up_RadSpec!$H16*s_IFPC_far_adj*s_CF_peach),".")</f>
        <v>6.6115702479338848E-11</v>
      </c>
      <c r="AS16" s="76">
        <f>IFERROR(s_TR/(up_RadSpec!$H16*s_IFPR_far_adj*s_CF_pear),".")</f>
        <v>6.6115702479338848E-11</v>
      </c>
      <c r="AT16" s="76">
        <f>IFERROR(s_TR/(up_RadSpec!$H16*s_IFPE_far_adj*s_CF_peas),".")</f>
        <v>6.6115702479338848E-11</v>
      </c>
      <c r="AU16" s="76">
        <f>IFERROR(s_TR/(up_RadSpec!$H16*s_IFPP_far_adj*s_CF_peppers),".")</f>
        <v>6.6115702479338848E-11</v>
      </c>
      <c r="AV16" s="76">
        <f>IFERROR(s_TR/(up_RadSpec!$H16*s_IFPT_far_adj*s_CF_potato),".")</f>
        <v>6.6115702479338848E-11</v>
      </c>
      <c r="AW16" s="76">
        <f>IFERROR(s_TR/(up_RadSpec!$H16*s_IFPU_far_adj*s_CF_pumpkin),".")</f>
        <v>6.6115702479338848E-11</v>
      </c>
      <c r="AX16" s="76">
        <f>IFERROR(s_TR/(up_RadSpec!$H16*s_IFSN_far_adj*s_CF_snap_bean),".")</f>
        <v>6.6115702479338848E-11</v>
      </c>
      <c r="AY16" s="76">
        <f>IFERROR(s_TR/(up_RadSpec!$H16*s_IFST_far_adj*s_CF_strawberry),".")</f>
        <v>6.6115702479338848E-11</v>
      </c>
      <c r="AZ16" s="76">
        <f>IFERROR(s_TR/(up_RadSpec!$H16*s_IFTO_far_adj*s_CF_tomato),".")</f>
        <v>6.6115702479338848E-11</v>
      </c>
      <c r="BA16" s="76">
        <f>IFERROR(s_TR/(up_RadSpec!$H16*s_IFRI_far_adj*s_CF_rice),".")</f>
        <v>6.6115702479338848E-11</v>
      </c>
      <c r="BB16" s="76">
        <f>IFERROR(s_TR/(up_RadSpec!$H16*s_IFCG_far_adj*s_CF_cereal),".")</f>
        <v>6.6115702479338848E-11</v>
      </c>
      <c r="BC16" s="93">
        <f t="shared" si="26"/>
        <v>605000</v>
      </c>
      <c r="BD16" s="93">
        <f t="shared" si="0"/>
        <v>151250</v>
      </c>
      <c r="BE16" s="93">
        <f t="shared" si="1"/>
        <v>151250</v>
      </c>
      <c r="BF16" s="93">
        <f t="shared" si="2"/>
        <v>151250</v>
      </c>
      <c r="BG16" s="93">
        <f t="shared" si="3"/>
        <v>151250</v>
      </c>
      <c r="BH16" s="93">
        <f t="shared" si="4"/>
        <v>151250</v>
      </c>
      <c r="BI16" s="93">
        <f t="shared" si="5"/>
        <v>151250</v>
      </c>
      <c r="BJ16" s="93">
        <f t="shared" si="6"/>
        <v>151250</v>
      </c>
      <c r="BK16" s="93">
        <f t="shared" si="7"/>
        <v>151250</v>
      </c>
      <c r="BL16" s="93">
        <f t="shared" si="8"/>
        <v>151250</v>
      </c>
      <c r="BM16" s="93">
        <f t="shared" si="9"/>
        <v>151250</v>
      </c>
      <c r="BN16" s="93">
        <f t="shared" si="10"/>
        <v>151250</v>
      </c>
      <c r="BO16" s="93">
        <f t="shared" si="11"/>
        <v>151250</v>
      </c>
      <c r="BP16" s="93">
        <f t="shared" si="12"/>
        <v>151250</v>
      </c>
      <c r="BQ16" s="93">
        <f t="shared" si="13"/>
        <v>151250</v>
      </c>
      <c r="BR16" s="93">
        <f t="shared" si="14"/>
        <v>151250</v>
      </c>
      <c r="BS16" s="93">
        <f t="shared" si="15"/>
        <v>151250</v>
      </c>
      <c r="BT16" s="93">
        <f t="shared" si="27"/>
        <v>151250</v>
      </c>
      <c r="BU16" s="93">
        <f t="shared" si="16"/>
        <v>151250</v>
      </c>
      <c r="BV16" s="93">
        <f t="shared" si="17"/>
        <v>151250</v>
      </c>
      <c r="BW16" s="93">
        <f t="shared" si="18"/>
        <v>151250</v>
      </c>
      <c r="BX16" s="93">
        <f t="shared" si="19"/>
        <v>151250</v>
      </c>
      <c r="BY16" s="93">
        <f t="shared" si="20"/>
        <v>151250</v>
      </c>
      <c r="BZ16" s="93">
        <f t="shared" si="21"/>
        <v>151250</v>
      </c>
      <c r="CA16" s="93">
        <f t="shared" si="22"/>
        <v>151250</v>
      </c>
      <c r="CB16" s="93">
        <f t="shared" si="23"/>
        <v>151250</v>
      </c>
    </row>
    <row r="17" spans="1:80" x14ac:dyDescent="0.25">
      <c r="A17" s="92" t="s">
        <v>27</v>
      </c>
      <c r="B17" s="90" t="s">
        <v>1071</v>
      </c>
      <c r="C17" s="76">
        <f t="shared" si="24"/>
        <v>1.6528925619834712E-11</v>
      </c>
      <c r="D17" s="76">
        <f>IFERROR(s_TR/(up_RadSpec!$H17*s_IFAP_res_adj*s_CF_apple),".")</f>
        <v>6.6115702479338848E-11</v>
      </c>
      <c r="E17" s="76">
        <f>IFERROR(s_TR/(up_RadSpec!$H17*s_IFAS_res_adj*s_CF_asparagus),".")</f>
        <v>6.6115702479338848E-11</v>
      </c>
      <c r="F17" s="76">
        <f>IFERROR(s_TR/(up_RadSpec!$H17*s_IFBT_res_adj*s_CF_beet),".")</f>
        <v>6.6115702479338848E-11</v>
      </c>
      <c r="G17" s="76">
        <f>IFERROR(s_TR/(up_RadSpec!$H17*s_IFBE_res_adj*s_CF_berries),".")</f>
        <v>6.6115702479338848E-11</v>
      </c>
      <c r="H17" s="76">
        <f>IFERROR(s_TR/(up_RadSpec!$H17*s_IFBR_res_adj*s_CF_broccoli),".")</f>
        <v>6.6115702479338848E-11</v>
      </c>
      <c r="I17" s="76">
        <f>IFERROR(s_TR/(up_RadSpec!$H17*s_IFCB_res_adj*s_CF_cabbage),".")</f>
        <v>6.6115702479338848E-11</v>
      </c>
      <c r="J17" s="76">
        <f>IFERROR(s_TR/(up_RadSpec!$H17*s_IFCR_res_adj*s_CF_carrot),".")</f>
        <v>6.6115702479338848E-11</v>
      </c>
      <c r="K17" s="76">
        <f>IFERROR(s_TR/(up_RadSpec!$H17*s_IFCI_res_adj*s_CF_citrus),".")</f>
        <v>6.6115702479338848E-11</v>
      </c>
      <c r="L17" s="76">
        <f>IFERROR(s_TR/(up_RadSpec!$H17*s_IFCO_res_adj*s_CF_corn),".")</f>
        <v>6.6115702479338848E-11</v>
      </c>
      <c r="M17" s="76">
        <f>IFERROR(s_TR/(up_RadSpec!$H17*s_IFCU_res_adj*s_CF_cucumber),".")</f>
        <v>6.6115702479338848E-11</v>
      </c>
      <c r="N17" s="76">
        <f>IFERROR(s_TR/(up_RadSpec!$H17*s_IFLE_res_adj*s_CF_lettuce),".")</f>
        <v>6.6115702479338848E-11</v>
      </c>
      <c r="O17" s="76">
        <f>IFERROR(s_TR/(up_RadSpec!$H17*s_IFLI_res_adj*s_CF_lima_bean),".")</f>
        <v>6.6115702479338848E-11</v>
      </c>
      <c r="P17" s="76">
        <f>IFERROR(s_TR/(up_RadSpec!$H17*s_IFOK_res_adj*s_CF_okra),".")</f>
        <v>6.6115702479338848E-11</v>
      </c>
      <c r="Q17" s="76">
        <f>IFERROR(s_TR/(up_RadSpec!$H17*s_IFON_res_adj*s_CF_onion),".")</f>
        <v>6.6115702479338848E-11</v>
      </c>
      <c r="R17" s="76">
        <f>IFERROR(s_TR/(up_RadSpec!$H17*s_IFPC_res_adj*s_CF_peach),".")</f>
        <v>6.6115702479338848E-11</v>
      </c>
      <c r="S17" s="76">
        <f>IFERROR(s_TR/(up_RadSpec!$H17*s_IFPR_res_adj*s_CF_pear),".")</f>
        <v>6.6115702479338848E-11</v>
      </c>
      <c r="T17" s="76">
        <f>IFERROR(s_TR/(up_RadSpec!$H17*s_IFPE_res_adj*s_CF_peas),".")</f>
        <v>6.6115702479338848E-11</v>
      </c>
      <c r="U17" s="76">
        <f>IFERROR(s_TR/(up_RadSpec!$H17*s_IFPP_res_adj*s_CF_peppers),".")</f>
        <v>6.6115702479338848E-11</v>
      </c>
      <c r="V17" s="76">
        <f>IFERROR(s_TR/(up_RadSpec!$H17*s_IFPT_res_adj*s_CF_potato),".")</f>
        <v>6.6115702479338848E-11</v>
      </c>
      <c r="W17" s="76">
        <f>IFERROR(s_TR/(up_RadSpec!$H17*s_IFPU_res_adj*s_CF_pumpkin),".")</f>
        <v>6.6115702479338848E-11</v>
      </c>
      <c r="X17" s="76">
        <f>IFERROR(s_TR/(up_RadSpec!$H17*s_IFSN_res_adj*s_CF_snap_bean),".")</f>
        <v>6.6115702479338848E-11</v>
      </c>
      <c r="Y17" s="76">
        <f>IFERROR(s_TR/(up_RadSpec!$H17*s_IFST_res_adj*s_CF_strawberry),".")</f>
        <v>6.6115702479338848E-11</v>
      </c>
      <c r="Z17" s="76">
        <f>IFERROR(s_TR/(up_RadSpec!$H17*s_IFTO_res_adj*s_CF_tomato),".")</f>
        <v>6.6115702479338848E-11</v>
      </c>
      <c r="AA17" s="76">
        <f>IFERROR(s_TR/(up_RadSpec!$H17*s_IFRI_res_adj*s_CF_rice),".")</f>
        <v>6.6115702479338848E-11</v>
      </c>
      <c r="AB17" s="76">
        <f>IFERROR(s_TR/(up_RadSpec!$H17*s_IFCG_res_adj*s_CF_cereal),".")</f>
        <v>6.6115702479338848E-11</v>
      </c>
      <c r="AC17" s="76">
        <f t="shared" si="25"/>
        <v>1.6528925619834712E-11</v>
      </c>
      <c r="AD17" s="76">
        <f>IFERROR(s_TR/(up_RadSpec!$H17*s_IFAP_far_adj*s_CF_apple),".")</f>
        <v>6.6115702479338848E-11</v>
      </c>
      <c r="AE17" s="76">
        <f>IFERROR(s_TR/(up_RadSpec!$H17*s_IFAS_far_adj*s_CF_asparagus),".")</f>
        <v>6.6115702479338848E-11</v>
      </c>
      <c r="AF17" s="76">
        <f>IFERROR(s_TR/(up_RadSpec!$H17*s_IFBT_far_adj*s_CF_beet),".")</f>
        <v>6.6115702479338848E-11</v>
      </c>
      <c r="AG17" s="76">
        <f>IFERROR(s_TR/(up_RadSpec!$H17*s_IFBE_far_adj*s_CF_berries),".")</f>
        <v>6.6115702479338848E-11</v>
      </c>
      <c r="AH17" s="76">
        <f>IFERROR(s_TR/(up_RadSpec!$H17*s_IFBR_far_adj*s_CF_broccoli),".")</f>
        <v>6.6115702479338848E-11</v>
      </c>
      <c r="AI17" s="76">
        <f>IFERROR(s_TR/(up_RadSpec!$H17*s_IFCB_far_adj*s_CF_cabbage),".")</f>
        <v>6.6115702479338848E-11</v>
      </c>
      <c r="AJ17" s="76">
        <f>IFERROR(s_TR/(up_RadSpec!$H17*s_IFCR_far_adj*s_CF_carrot),".")</f>
        <v>6.6115702479338848E-11</v>
      </c>
      <c r="AK17" s="76">
        <f>IFERROR(s_TR/(up_RadSpec!$H17*s_IFCI_far_adj*s_CF_citrus),".")</f>
        <v>6.6115702479338848E-11</v>
      </c>
      <c r="AL17" s="76">
        <f>IFERROR(s_TR/(up_RadSpec!$H17*s_IFCO_far_adj*s_CF_corn),".")</f>
        <v>6.6115702479338848E-11</v>
      </c>
      <c r="AM17" s="76">
        <f>IFERROR(s_TR/(up_RadSpec!$H17*s_IFCU_far_adj*s_CF_cucumber),".")</f>
        <v>6.6115702479338848E-11</v>
      </c>
      <c r="AN17" s="76">
        <f>IFERROR(s_TR/(up_RadSpec!$H17*s_IFLE_far_adj*s_CF_lettuce),".")</f>
        <v>6.6115702479338848E-11</v>
      </c>
      <c r="AO17" s="76">
        <f>IFERROR(s_TR/(up_RadSpec!$H17*s_IFLI_far_adj*s_CF_lima_bean),".")</f>
        <v>6.6115702479338848E-11</v>
      </c>
      <c r="AP17" s="76">
        <f>IFERROR(s_TR/(up_RadSpec!$H17*s_IFOK_far_adj*s_CF_okra),".")</f>
        <v>6.6115702479338848E-11</v>
      </c>
      <c r="AQ17" s="76">
        <f>IFERROR(s_TR/(up_RadSpec!$H17*s_IFON_far_adj*s_CF_onion),".")</f>
        <v>6.6115702479338848E-11</v>
      </c>
      <c r="AR17" s="76">
        <f>IFERROR(s_TR/(up_RadSpec!$H17*s_IFPC_far_adj*s_CF_peach),".")</f>
        <v>6.6115702479338848E-11</v>
      </c>
      <c r="AS17" s="76">
        <f>IFERROR(s_TR/(up_RadSpec!$H17*s_IFPR_far_adj*s_CF_pear),".")</f>
        <v>6.6115702479338848E-11</v>
      </c>
      <c r="AT17" s="76">
        <f>IFERROR(s_TR/(up_RadSpec!$H17*s_IFPE_far_adj*s_CF_peas),".")</f>
        <v>6.6115702479338848E-11</v>
      </c>
      <c r="AU17" s="76">
        <f>IFERROR(s_TR/(up_RadSpec!$H17*s_IFPP_far_adj*s_CF_peppers),".")</f>
        <v>6.6115702479338848E-11</v>
      </c>
      <c r="AV17" s="76">
        <f>IFERROR(s_TR/(up_RadSpec!$H17*s_IFPT_far_adj*s_CF_potato),".")</f>
        <v>6.6115702479338848E-11</v>
      </c>
      <c r="AW17" s="76">
        <f>IFERROR(s_TR/(up_RadSpec!$H17*s_IFPU_far_adj*s_CF_pumpkin),".")</f>
        <v>6.6115702479338848E-11</v>
      </c>
      <c r="AX17" s="76">
        <f>IFERROR(s_TR/(up_RadSpec!$H17*s_IFSN_far_adj*s_CF_snap_bean),".")</f>
        <v>6.6115702479338848E-11</v>
      </c>
      <c r="AY17" s="76">
        <f>IFERROR(s_TR/(up_RadSpec!$H17*s_IFST_far_adj*s_CF_strawberry),".")</f>
        <v>6.6115702479338848E-11</v>
      </c>
      <c r="AZ17" s="76">
        <f>IFERROR(s_TR/(up_RadSpec!$H17*s_IFTO_far_adj*s_CF_tomato),".")</f>
        <v>6.6115702479338848E-11</v>
      </c>
      <c r="BA17" s="76">
        <f>IFERROR(s_TR/(up_RadSpec!$H17*s_IFRI_far_adj*s_CF_rice),".")</f>
        <v>6.6115702479338848E-11</v>
      </c>
      <c r="BB17" s="76">
        <f>IFERROR(s_TR/(up_RadSpec!$H17*s_IFCG_far_adj*s_CF_cereal),".")</f>
        <v>6.6115702479338848E-11</v>
      </c>
      <c r="BC17" s="93">
        <f t="shared" si="26"/>
        <v>605000</v>
      </c>
      <c r="BD17" s="93">
        <f t="shared" si="0"/>
        <v>151250</v>
      </c>
      <c r="BE17" s="93">
        <f t="shared" si="1"/>
        <v>151250</v>
      </c>
      <c r="BF17" s="93">
        <f t="shared" si="2"/>
        <v>151250</v>
      </c>
      <c r="BG17" s="93">
        <f t="shared" si="3"/>
        <v>151250</v>
      </c>
      <c r="BH17" s="93">
        <f t="shared" si="4"/>
        <v>151250</v>
      </c>
      <c r="BI17" s="93">
        <f t="shared" si="5"/>
        <v>151250</v>
      </c>
      <c r="BJ17" s="93">
        <f t="shared" si="6"/>
        <v>151250</v>
      </c>
      <c r="BK17" s="93">
        <f t="shared" si="7"/>
        <v>151250</v>
      </c>
      <c r="BL17" s="93">
        <f t="shared" si="8"/>
        <v>151250</v>
      </c>
      <c r="BM17" s="93">
        <f t="shared" si="9"/>
        <v>151250</v>
      </c>
      <c r="BN17" s="93">
        <f t="shared" si="10"/>
        <v>151250</v>
      </c>
      <c r="BO17" s="93">
        <f t="shared" si="11"/>
        <v>151250</v>
      </c>
      <c r="BP17" s="93">
        <f t="shared" si="12"/>
        <v>151250</v>
      </c>
      <c r="BQ17" s="93">
        <f t="shared" si="13"/>
        <v>151250</v>
      </c>
      <c r="BR17" s="93">
        <f t="shared" si="14"/>
        <v>151250</v>
      </c>
      <c r="BS17" s="93">
        <f t="shared" si="15"/>
        <v>151250</v>
      </c>
      <c r="BT17" s="93">
        <f t="shared" si="27"/>
        <v>151250</v>
      </c>
      <c r="BU17" s="93">
        <f t="shared" si="16"/>
        <v>151250</v>
      </c>
      <c r="BV17" s="93">
        <f t="shared" si="17"/>
        <v>151250</v>
      </c>
      <c r="BW17" s="93">
        <f t="shared" si="18"/>
        <v>151250</v>
      </c>
      <c r="BX17" s="93">
        <f t="shared" si="19"/>
        <v>151250</v>
      </c>
      <c r="BY17" s="93">
        <f t="shared" si="20"/>
        <v>151250</v>
      </c>
      <c r="BZ17" s="93">
        <f t="shared" si="21"/>
        <v>151250</v>
      </c>
      <c r="CA17" s="93">
        <f t="shared" si="22"/>
        <v>151250</v>
      </c>
      <c r="CB17" s="93">
        <f t="shared" si="23"/>
        <v>151250</v>
      </c>
    </row>
    <row r="18" spans="1:80" x14ac:dyDescent="0.25">
      <c r="A18" s="92" t="s">
        <v>28</v>
      </c>
      <c r="B18" s="90" t="s">
        <v>1071</v>
      </c>
      <c r="C18" s="76">
        <f t="shared" si="24"/>
        <v>1.6528925619834712E-11</v>
      </c>
      <c r="D18" s="76">
        <f>IFERROR(s_TR/(up_RadSpec!$H18*s_IFAP_res_adj*s_CF_apple),".")</f>
        <v>6.6115702479338848E-11</v>
      </c>
      <c r="E18" s="76">
        <f>IFERROR(s_TR/(up_RadSpec!$H18*s_IFAS_res_adj*s_CF_asparagus),".")</f>
        <v>6.6115702479338848E-11</v>
      </c>
      <c r="F18" s="76">
        <f>IFERROR(s_TR/(up_RadSpec!$H18*s_IFBT_res_adj*s_CF_beet),".")</f>
        <v>6.6115702479338848E-11</v>
      </c>
      <c r="G18" s="76">
        <f>IFERROR(s_TR/(up_RadSpec!$H18*s_IFBE_res_adj*s_CF_berries),".")</f>
        <v>6.6115702479338848E-11</v>
      </c>
      <c r="H18" s="76">
        <f>IFERROR(s_TR/(up_RadSpec!$H18*s_IFBR_res_adj*s_CF_broccoli),".")</f>
        <v>6.6115702479338848E-11</v>
      </c>
      <c r="I18" s="76">
        <f>IFERROR(s_TR/(up_RadSpec!$H18*s_IFCB_res_adj*s_CF_cabbage),".")</f>
        <v>6.6115702479338848E-11</v>
      </c>
      <c r="J18" s="76">
        <f>IFERROR(s_TR/(up_RadSpec!$H18*s_IFCR_res_adj*s_CF_carrot),".")</f>
        <v>6.6115702479338848E-11</v>
      </c>
      <c r="K18" s="76">
        <f>IFERROR(s_TR/(up_RadSpec!$H18*s_IFCI_res_adj*s_CF_citrus),".")</f>
        <v>6.6115702479338848E-11</v>
      </c>
      <c r="L18" s="76">
        <f>IFERROR(s_TR/(up_RadSpec!$H18*s_IFCO_res_adj*s_CF_corn),".")</f>
        <v>6.6115702479338848E-11</v>
      </c>
      <c r="M18" s="76">
        <f>IFERROR(s_TR/(up_RadSpec!$H18*s_IFCU_res_adj*s_CF_cucumber),".")</f>
        <v>6.6115702479338848E-11</v>
      </c>
      <c r="N18" s="76">
        <f>IFERROR(s_TR/(up_RadSpec!$H18*s_IFLE_res_adj*s_CF_lettuce),".")</f>
        <v>6.6115702479338848E-11</v>
      </c>
      <c r="O18" s="76">
        <f>IFERROR(s_TR/(up_RadSpec!$H18*s_IFLI_res_adj*s_CF_lima_bean),".")</f>
        <v>6.6115702479338848E-11</v>
      </c>
      <c r="P18" s="76">
        <f>IFERROR(s_TR/(up_RadSpec!$H18*s_IFOK_res_adj*s_CF_okra),".")</f>
        <v>6.6115702479338848E-11</v>
      </c>
      <c r="Q18" s="76">
        <f>IFERROR(s_TR/(up_RadSpec!$H18*s_IFON_res_adj*s_CF_onion),".")</f>
        <v>6.6115702479338848E-11</v>
      </c>
      <c r="R18" s="76">
        <f>IFERROR(s_TR/(up_RadSpec!$H18*s_IFPC_res_adj*s_CF_peach),".")</f>
        <v>6.6115702479338848E-11</v>
      </c>
      <c r="S18" s="76">
        <f>IFERROR(s_TR/(up_RadSpec!$H18*s_IFPR_res_adj*s_CF_pear),".")</f>
        <v>6.6115702479338848E-11</v>
      </c>
      <c r="T18" s="76">
        <f>IFERROR(s_TR/(up_RadSpec!$H18*s_IFPE_res_adj*s_CF_peas),".")</f>
        <v>6.6115702479338848E-11</v>
      </c>
      <c r="U18" s="76">
        <f>IFERROR(s_TR/(up_RadSpec!$H18*s_IFPP_res_adj*s_CF_peppers),".")</f>
        <v>6.6115702479338848E-11</v>
      </c>
      <c r="V18" s="76">
        <f>IFERROR(s_TR/(up_RadSpec!$H18*s_IFPT_res_adj*s_CF_potato),".")</f>
        <v>6.6115702479338848E-11</v>
      </c>
      <c r="W18" s="76">
        <f>IFERROR(s_TR/(up_RadSpec!$H18*s_IFPU_res_adj*s_CF_pumpkin),".")</f>
        <v>6.6115702479338848E-11</v>
      </c>
      <c r="X18" s="76">
        <f>IFERROR(s_TR/(up_RadSpec!$H18*s_IFSN_res_adj*s_CF_snap_bean),".")</f>
        <v>6.6115702479338848E-11</v>
      </c>
      <c r="Y18" s="76">
        <f>IFERROR(s_TR/(up_RadSpec!$H18*s_IFST_res_adj*s_CF_strawberry),".")</f>
        <v>6.6115702479338848E-11</v>
      </c>
      <c r="Z18" s="76">
        <f>IFERROR(s_TR/(up_RadSpec!$H18*s_IFTO_res_adj*s_CF_tomato),".")</f>
        <v>6.6115702479338848E-11</v>
      </c>
      <c r="AA18" s="76">
        <f>IFERROR(s_TR/(up_RadSpec!$H18*s_IFRI_res_adj*s_CF_rice),".")</f>
        <v>6.6115702479338848E-11</v>
      </c>
      <c r="AB18" s="76">
        <f>IFERROR(s_TR/(up_RadSpec!$H18*s_IFCG_res_adj*s_CF_cereal),".")</f>
        <v>6.6115702479338848E-11</v>
      </c>
      <c r="AC18" s="76">
        <f t="shared" si="25"/>
        <v>1.6528925619834712E-11</v>
      </c>
      <c r="AD18" s="76">
        <f>IFERROR(s_TR/(up_RadSpec!$H18*s_IFAP_far_adj*s_CF_apple),".")</f>
        <v>6.6115702479338848E-11</v>
      </c>
      <c r="AE18" s="76">
        <f>IFERROR(s_TR/(up_RadSpec!$H18*s_IFAS_far_adj*s_CF_asparagus),".")</f>
        <v>6.6115702479338848E-11</v>
      </c>
      <c r="AF18" s="76">
        <f>IFERROR(s_TR/(up_RadSpec!$H18*s_IFBT_far_adj*s_CF_beet),".")</f>
        <v>6.6115702479338848E-11</v>
      </c>
      <c r="AG18" s="76">
        <f>IFERROR(s_TR/(up_RadSpec!$H18*s_IFBE_far_adj*s_CF_berries),".")</f>
        <v>6.6115702479338848E-11</v>
      </c>
      <c r="AH18" s="76">
        <f>IFERROR(s_TR/(up_RadSpec!$H18*s_IFBR_far_adj*s_CF_broccoli),".")</f>
        <v>6.6115702479338848E-11</v>
      </c>
      <c r="AI18" s="76">
        <f>IFERROR(s_TR/(up_RadSpec!$H18*s_IFCB_far_adj*s_CF_cabbage),".")</f>
        <v>6.6115702479338848E-11</v>
      </c>
      <c r="AJ18" s="76">
        <f>IFERROR(s_TR/(up_RadSpec!$H18*s_IFCR_far_adj*s_CF_carrot),".")</f>
        <v>6.6115702479338848E-11</v>
      </c>
      <c r="AK18" s="76">
        <f>IFERROR(s_TR/(up_RadSpec!$H18*s_IFCI_far_adj*s_CF_citrus),".")</f>
        <v>6.6115702479338848E-11</v>
      </c>
      <c r="AL18" s="76">
        <f>IFERROR(s_TR/(up_RadSpec!$H18*s_IFCO_far_adj*s_CF_corn),".")</f>
        <v>6.6115702479338848E-11</v>
      </c>
      <c r="AM18" s="76">
        <f>IFERROR(s_TR/(up_RadSpec!$H18*s_IFCU_far_adj*s_CF_cucumber),".")</f>
        <v>6.6115702479338848E-11</v>
      </c>
      <c r="AN18" s="76">
        <f>IFERROR(s_TR/(up_RadSpec!$H18*s_IFLE_far_adj*s_CF_lettuce),".")</f>
        <v>6.6115702479338848E-11</v>
      </c>
      <c r="AO18" s="76">
        <f>IFERROR(s_TR/(up_RadSpec!$H18*s_IFLI_far_adj*s_CF_lima_bean),".")</f>
        <v>6.6115702479338848E-11</v>
      </c>
      <c r="AP18" s="76">
        <f>IFERROR(s_TR/(up_RadSpec!$H18*s_IFOK_far_adj*s_CF_okra),".")</f>
        <v>6.6115702479338848E-11</v>
      </c>
      <c r="AQ18" s="76">
        <f>IFERROR(s_TR/(up_RadSpec!$H18*s_IFON_far_adj*s_CF_onion),".")</f>
        <v>6.6115702479338848E-11</v>
      </c>
      <c r="AR18" s="76">
        <f>IFERROR(s_TR/(up_RadSpec!$H18*s_IFPC_far_adj*s_CF_peach),".")</f>
        <v>6.6115702479338848E-11</v>
      </c>
      <c r="AS18" s="76">
        <f>IFERROR(s_TR/(up_RadSpec!$H18*s_IFPR_far_adj*s_CF_pear),".")</f>
        <v>6.6115702479338848E-11</v>
      </c>
      <c r="AT18" s="76">
        <f>IFERROR(s_TR/(up_RadSpec!$H18*s_IFPE_far_adj*s_CF_peas),".")</f>
        <v>6.6115702479338848E-11</v>
      </c>
      <c r="AU18" s="76">
        <f>IFERROR(s_TR/(up_RadSpec!$H18*s_IFPP_far_adj*s_CF_peppers),".")</f>
        <v>6.6115702479338848E-11</v>
      </c>
      <c r="AV18" s="76">
        <f>IFERROR(s_TR/(up_RadSpec!$H18*s_IFPT_far_adj*s_CF_potato),".")</f>
        <v>6.6115702479338848E-11</v>
      </c>
      <c r="AW18" s="76">
        <f>IFERROR(s_TR/(up_RadSpec!$H18*s_IFPU_far_adj*s_CF_pumpkin),".")</f>
        <v>6.6115702479338848E-11</v>
      </c>
      <c r="AX18" s="76">
        <f>IFERROR(s_TR/(up_RadSpec!$H18*s_IFSN_far_adj*s_CF_snap_bean),".")</f>
        <v>6.6115702479338848E-11</v>
      </c>
      <c r="AY18" s="76">
        <f>IFERROR(s_TR/(up_RadSpec!$H18*s_IFST_far_adj*s_CF_strawberry),".")</f>
        <v>6.6115702479338848E-11</v>
      </c>
      <c r="AZ18" s="76">
        <f>IFERROR(s_TR/(up_RadSpec!$H18*s_IFTO_far_adj*s_CF_tomato),".")</f>
        <v>6.6115702479338848E-11</v>
      </c>
      <c r="BA18" s="76">
        <f>IFERROR(s_TR/(up_RadSpec!$H18*s_IFRI_far_adj*s_CF_rice),".")</f>
        <v>6.6115702479338848E-11</v>
      </c>
      <c r="BB18" s="76">
        <f>IFERROR(s_TR/(up_RadSpec!$H18*s_IFCG_far_adj*s_CF_cereal),".")</f>
        <v>6.6115702479338848E-11</v>
      </c>
      <c r="BC18" s="93">
        <f t="shared" si="26"/>
        <v>605000</v>
      </c>
      <c r="BD18" s="93">
        <f t="shared" si="0"/>
        <v>151250</v>
      </c>
      <c r="BE18" s="93">
        <f t="shared" si="1"/>
        <v>151250</v>
      </c>
      <c r="BF18" s="93">
        <f t="shared" si="2"/>
        <v>151250</v>
      </c>
      <c r="BG18" s="93">
        <f t="shared" si="3"/>
        <v>151250</v>
      </c>
      <c r="BH18" s="93">
        <f t="shared" si="4"/>
        <v>151250</v>
      </c>
      <c r="BI18" s="93">
        <f t="shared" si="5"/>
        <v>151250</v>
      </c>
      <c r="BJ18" s="93">
        <f t="shared" si="6"/>
        <v>151250</v>
      </c>
      <c r="BK18" s="93">
        <f t="shared" si="7"/>
        <v>151250</v>
      </c>
      <c r="BL18" s="93">
        <f t="shared" si="8"/>
        <v>151250</v>
      </c>
      <c r="BM18" s="93">
        <f t="shared" si="9"/>
        <v>151250</v>
      </c>
      <c r="BN18" s="93">
        <f t="shared" si="10"/>
        <v>151250</v>
      </c>
      <c r="BO18" s="93">
        <f t="shared" si="11"/>
        <v>151250</v>
      </c>
      <c r="BP18" s="93">
        <f t="shared" si="12"/>
        <v>151250</v>
      </c>
      <c r="BQ18" s="93">
        <f t="shared" si="13"/>
        <v>151250</v>
      </c>
      <c r="BR18" s="93">
        <f t="shared" si="14"/>
        <v>151250</v>
      </c>
      <c r="BS18" s="93">
        <f t="shared" si="15"/>
        <v>151250</v>
      </c>
      <c r="BT18" s="93">
        <f t="shared" si="27"/>
        <v>151250</v>
      </c>
      <c r="BU18" s="93">
        <f t="shared" si="16"/>
        <v>151250</v>
      </c>
      <c r="BV18" s="93">
        <f t="shared" si="17"/>
        <v>151250</v>
      </c>
      <c r="BW18" s="93">
        <f t="shared" si="18"/>
        <v>151250</v>
      </c>
      <c r="BX18" s="93">
        <f t="shared" si="19"/>
        <v>151250</v>
      </c>
      <c r="BY18" s="93">
        <f t="shared" si="20"/>
        <v>151250</v>
      </c>
      <c r="BZ18" s="93">
        <f t="shared" si="21"/>
        <v>151250</v>
      </c>
      <c r="CA18" s="93">
        <f t="shared" si="22"/>
        <v>151250</v>
      </c>
      <c r="CB18" s="93">
        <f t="shared" si="23"/>
        <v>151250</v>
      </c>
    </row>
    <row r="19" spans="1:80" x14ac:dyDescent="0.25">
      <c r="A19" s="92" t="s">
        <v>29</v>
      </c>
      <c r="B19" s="90" t="s">
        <v>1071</v>
      </c>
      <c r="C19" s="76">
        <f t="shared" si="24"/>
        <v>1.6528925619834712E-11</v>
      </c>
      <c r="D19" s="76">
        <f>IFERROR(s_TR/(up_RadSpec!$H19*s_IFAP_res_adj*s_CF_apple),".")</f>
        <v>6.6115702479338848E-11</v>
      </c>
      <c r="E19" s="76">
        <f>IFERROR(s_TR/(up_RadSpec!$H19*s_IFAS_res_adj*s_CF_asparagus),".")</f>
        <v>6.6115702479338848E-11</v>
      </c>
      <c r="F19" s="76">
        <f>IFERROR(s_TR/(up_RadSpec!$H19*s_IFBT_res_adj*s_CF_beet),".")</f>
        <v>6.6115702479338848E-11</v>
      </c>
      <c r="G19" s="76">
        <f>IFERROR(s_TR/(up_RadSpec!$H19*s_IFBE_res_adj*s_CF_berries),".")</f>
        <v>6.6115702479338848E-11</v>
      </c>
      <c r="H19" s="76">
        <f>IFERROR(s_TR/(up_RadSpec!$H19*s_IFBR_res_adj*s_CF_broccoli),".")</f>
        <v>6.6115702479338848E-11</v>
      </c>
      <c r="I19" s="76">
        <f>IFERROR(s_TR/(up_RadSpec!$H19*s_IFCB_res_adj*s_CF_cabbage),".")</f>
        <v>6.6115702479338848E-11</v>
      </c>
      <c r="J19" s="76">
        <f>IFERROR(s_TR/(up_RadSpec!$H19*s_IFCR_res_adj*s_CF_carrot),".")</f>
        <v>6.6115702479338848E-11</v>
      </c>
      <c r="K19" s="76">
        <f>IFERROR(s_TR/(up_RadSpec!$H19*s_IFCI_res_adj*s_CF_citrus),".")</f>
        <v>6.6115702479338848E-11</v>
      </c>
      <c r="L19" s="76">
        <f>IFERROR(s_TR/(up_RadSpec!$H19*s_IFCO_res_adj*s_CF_corn),".")</f>
        <v>6.6115702479338848E-11</v>
      </c>
      <c r="M19" s="76">
        <f>IFERROR(s_TR/(up_RadSpec!$H19*s_IFCU_res_adj*s_CF_cucumber),".")</f>
        <v>6.6115702479338848E-11</v>
      </c>
      <c r="N19" s="76">
        <f>IFERROR(s_TR/(up_RadSpec!$H19*s_IFLE_res_adj*s_CF_lettuce),".")</f>
        <v>6.6115702479338848E-11</v>
      </c>
      <c r="O19" s="76">
        <f>IFERROR(s_TR/(up_RadSpec!$H19*s_IFLI_res_adj*s_CF_lima_bean),".")</f>
        <v>6.6115702479338848E-11</v>
      </c>
      <c r="P19" s="76">
        <f>IFERROR(s_TR/(up_RadSpec!$H19*s_IFOK_res_adj*s_CF_okra),".")</f>
        <v>6.6115702479338848E-11</v>
      </c>
      <c r="Q19" s="76">
        <f>IFERROR(s_TR/(up_RadSpec!$H19*s_IFON_res_adj*s_CF_onion),".")</f>
        <v>6.6115702479338848E-11</v>
      </c>
      <c r="R19" s="76">
        <f>IFERROR(s_TR/(up_RadSpec!$H19*s_IFPC_res_adj*s_CF_peach),".")</f>
        <v>6.6115702479338848E-11</v>
      </c>
      <c r="S19" s="76">
        <f>IFERROR(s_TR/(up_RadSpec!$H19*s_IFPR_res_adj*s_CF_pear),".")</f>
        <v>6.6115702479338848E-11</v>
      </c>
      <c r="T19" s="76">
        <f>IFERROR(s_TR/(up_RadSpec!$H19*s_IFPE_res_adj*s_CF_peas),".")</f>
        <v>6.6115702479338848E-11</v>
      </c>
      <c r="U19" s="76">
        <f>IFERROR(s_TR/(up_RadSpec!$H19*s_IFPP_res_adj*s_CF_peppers),".")</f>
        <v>6.6115702479338848E-11</v>
      </c>
      <c r="V19" s="76">
        <f>IFERROR(s_TR/(up_RadSpec!$H19*s_IFPT_res_adj*s_CF_potato),".")</f>
        <v>6.6115702479338848E-11</v>
      </c>
      <c r="W19" s="76">
        <f>IFERROR(s_TR/(up_RadSpec!$H19*s_IFPU_res_adj*s_CF_pumpkin),".")</f>
        <v>6.6115702479338848E-11</v>
      </c>
      <c r="X19" s="76">
        <f>IFERROR(s_TR/(up_RadSpec!$H19*s_IFSN_res_adj*s_CF_snap_bean),".")</f>
        <v>6.6115702479338848E-11</v>
      </c>
      <c r="Y19" s="76">
        <f>IFERROR(s_TR/(up_RadSpec!$H19*s_IFST_res_adj*s_CF_strawberry),".")</f>
        <v>6.6115702479338848E-11</v>
      </c>
      <c r="Z19" s="76">
        <f>IFERROR(s_TR/(up_RadSpec!$H19*s_IFTO_res_adj*s_CF_tomato),".")</f>
        <v>6.6115702479338848E-11</v>
      </c>
      <c r="AA19" s="76">
        <f>IFERROR(s_TR/(up_RadSpec!$H19*s_IFRI_res_adj*s_CF_rice),".")</f>
        <v>6.6115702479338848E-11</v>
      </c>
      <c r="AB19" s="76">
        <f>IFERROR(s_TR/(up_RadSpec!$H19*s_IFCG_res_adj*s_CF_cereal),".")</f>
        <v>6.6115702479338848E-11</v>
      </c>
      <c r="AC19" s="76">
        <f t="shared" si="25"/>
        <v>1.6528925619834712E-11</v>
      </c>
      <c r="AD19" s="76">
        <f>IFERROR(s_TR/(up_RadSpec!$H19*s_IFAP_far_adj*s_CF_apple),".")</f>
        <v>6.6115702479338848E-11</v>
      </c>
      <c r="AE19" s="76">
        <f>IFERROR(s_TR/(up_RadSpec!$H19*s_IFAS_far_adj*s_CF_asparagus),".")</f>
        <v>6.6115702479338848E-11</v>
      </c>
      <c r="AF19" s="76">
        <f>IFERROR(s_TR/(up_RadSpec!$H19*s_IFBT_far_adj*s_CF_beet),".")</f>
        <v>6.6115702479338848E-11</v>
      </c>
      <c r="AG19" s="76">
        <f>IFERROR(s_TR/(up_RadSpec!$H19*s_IFBE_far_adj*s_CF_berries),".")</f>
        <v>6.6115702479338848E-11</v>
      </c>
      <c r="AH19" s="76">
        <f>IFERROR(s_TR/(up_RadSpec!$H19*s_IFBR_far_adj*s_CF_broccoli),".")</f>
        <v>6.6115702479338848E-11</v>
      </c>
      <c r="AI19" s="76">
        <f>IFERROR(s_TR/(up_RadSpec!$H19*s_IFCB_far_adj*s_CF_cabbage),".")</f>
        <v>6.6115702479338848E-11</v>
      </c>
      <c r="AJ19" s="76">
        <f>IFERROR(s_TR/(up_RadSpec!$H19*s_IFCR_far_adj*s_CF_carrot),".")</f>
        <v>6.6115702479338848E-11</v>
      </c>
      <c r="AK19" s="76">
        <f>IFERROR(s_TR/(up_RadSpec!$H19*s_IFCI_far_adj*s_CF_citrus),".")</f>
        <v>6.6115702479338848E-11</v>
      </c>
      <c r="AL19" s="76">
        <f>IFERROR(s_TR/(up_RadSpec!$H19*s_IFCO_far_adj*s_CF_corn),".")</f>
        <v>6.6115702479338848E-11</v>
      </c>
      <c r="AM19" s="76">
        <f>IFERROR(s_TR/(up_RadSpec!$H19*s_IFCU_far_adj*s_CF_cucumber),".")</f>
        <v>6.6115702479338848E-11</v>
      </c>
      <c r="AN19" s="76">
        <f>IFERROR(s_TR/(up_RadSpec!$H19*s_IFLE_far_adj*s_CF_lettuce),".")</f>
        <v>6.6115702479338848E-11</v>
      </c>
      <c r="AO19" s="76">
        <f>IFERROR(s_TR/(up_RadSpec!$H19*s_IFLI_far_adj*s_CF_lima_bean),".")</f>
        <v>6.6115702479338848E-11</v>
      </c>
      <c r="AP19" s="76">
        <f>IFERROR(s_TR/(up_RadSpec!$H19*s_IFOK_far_adj*s_CF_okra),".")</f>
        <v>6.6115702479338848E-11</v>
      </c>
      <c r="AQ19" s="76">
        <f>IFERROR(s_TR/(up_RadSpec!$H19*s_IFON_far_adj*s_CF_onion),".")</f>
        <v>6.6115702479338848E-11</v>
      </c>
      <c r="AR19" s="76">
        <f>IFERROR(s_TR/(up_RadSpec!$H19*s_IFPC_far_adj*s_CF_peach),".")</f>
        <v>6.6115702479338848E-11</v>
      </c>
      <c r="AS19" s="76">
        <f>IFERROR(s_TR/(up_RadSpec!$H19*s_IFPR_far_adj*s_CF_pear),".")</f>
        <v>6.6115702479338848E-11</v>
      </c>
      <c r="AT19" s="76">
        <f>IFERROR(s_TR/(up_RadSpec!$H19*s_IFPE_far_adj*s_CF_peas),".")</f>
        <v>6.6115702479338848E-11</v>
      </c>
      <c r="AU19" s="76">
        <f>IFERROR(s_TR/(up_RadSpec!$H19*s_IFPP_far_adj*s_CF_peppers),".")</f>
        <v>6.6115702479338848E-11</v>
      </c>
      <c r="AV19" s="76">
        <f>IFERROR(s_TR/(up_RadSpec!$H19*s_IFPT_far_adj*s_CF_potato),".")</f>
        <v>6.6115702479338848E-11</v>
      </c>
      <c r="AW19" s="76">
        <f>IFERROR(s_TR/(up_RadSpec!$H19*s_IFPU_far_adj*s_CF_pumpkin),".")</f>
        <v>6.6115702479338848E-11</v>
      </c>
      <c r="AX19" s="76">
        <f>IFERROR(s_TR/(up_RadSpec!$H19*s_IFSN_far_adj*s_CF_snap_bean),".")</f>
        <v>6.6115702479338848E-11</v>
      </c>
      <c r="AY19" s="76">
        <f>IFERROR(s_TR/(up_RadSpec!$H19*s_IFST_far_adj*s_CF_strawberry),".")</f>
        <v>6.6115702479338848E-11</v>
      </c>
      <c r="AZ19" s="76">
        <f>IFERROR(s_TR/(up_RadSpec!$H19*s_IFTO_far_adj*s_CF_tomato),".")</f>
        <v>6.6115702479338848E-11</v>
      </c>
      <c r="BA19" s="76">
        <f>IFERROR(s_TR/(up_RadSpec!$H19*s_IFRI_far_adj*s_CF_rice),".")</f>
        <v>6.6115702479338848E-11</v>
      </c>
      <c r="BB19" s="76">
        <f>IFERROR(s_TR/(up_RadSpec!$H19*s_IFCG_far_adj*s_CF_cereal),".")</f>
        <v>6.6115702479338848E-11</v>
      </c>
      <c r="BC19" s="93">
        <f t="shared" si="26"/>
        <v>605000</v>
      </c>
      <c r="BD19" s="93">
        <f t="shared" si="0"/>
        <v>151250</v>
      </c>
      <c r="BE19" s="93">
        <f t="shared" si="1"/>
        <v>151250</v>
      </c>
      <c r="BF19" s="93">
        <f t="shared" si="2"/>
        <v>151250</v>
      </c>
      <c r="BG19" s="93">
        <f t="shared" si="3"/>
        <v>151250</v>
      </c>
      <c r="BH19" s="93">
        <f t="shared" si="4"/>
        <v>151250</v>
      </c>
      <c r="BI19" s="93">
        <f t="shared" si="5"/>
        <v>151250</v>
      </c>
      <c r="BJ19" s="93">
        <f t="shared" si="6"/>
        <v>151250</v>
      </c>
      <c r="BK19" s="93">
        <f t="shared" si="7"/>
        <v>151250</v>
      </c>
      <c r="BL19" s="93">
        <f t="shared" si="8"/>
        <v>151250</v>
      </c>
      <c r="BM19" s="93">
        <f t="shared" si="9"/>
        <v>151250</v>
      </c>
      <c r="BN19" s="93">
        <f t="shared" si="10"/>
        <v>151250</v>
      </c>
      <c r="BO19" s="93">
        <f t="shared" si="11"/>
        <v>151250</v>
      </c>
      <c r="BP19" s="93">
        <f t="shared" si="12"/>
        <v>151250</v>
      </c>
      <c r="BQ19" s="93">
        <f t="shared" si="13"/>
        <v>151250</v>
      </c>
      <c r="BR19" s="93">
        <f t="shared" si="14"/>
        <v>151250</v>
      </c>
      <c r="BS19" s="93">
        <f t="shared" si="15"/>
        <v>151250</v>
      </c>
      <c r="BT19" s="93">
        <f t="shared" si="27"/>
        <v>151250</v>
      </c>
      <c r="BU19" s="93">
        <f t="shared" si="16"/>
        <v>151250</v>
      </c>
      <c r="BV19" s="93">
        <f t="shared" si="17"/>
        <v>151250</v>
      </c>
      <c r="BW19" s="93">
        <f t="shared" si="18"/>
        <v>151250</v>
      </c>
      <c r="BX19" s="93">
        <f t="shared" si="19"/>
        <v>151250</v>
      </c>
      <c r="BY19" s="93">
        <f t="shared" si="20"/>
        <v>151250</v>
      </c>
      <c r="BZ19" s="93">
        <f t="shared" si="21"/>
        <v>151250</v>
      </c>
      <c r="CA19" s="93">
        <f t="shared" si="22"/>
        <v>151250</v>
      </c>
      <c r="CB19" s="93">
        <f t="shared" si="23"/>
        <v>151250</v>
      </c>
    </row>
    <row r="20" spans="1:80" x14ac:dyDescent="0.25">
      <c r="A20" s="92" t="s">
        <v>30</v>
      </c>
      <c r="B20" s="90" t="s">
        <v>1071</v>
      </c>
      <c r="C20" s="76">
        <f t="shared" si="24"/>
        <v>1.6528925619834712E-11</v>
      </c>
      <c r="D20" s="76">
        <f>IFERROR(s_TR/(up_RadSpec!$H20*s_IFAP_res_adj*s_CF_apple),".")</f>
        <v>6.6115702479338848E-11</v>
      </c>
      <c r="E20" s="76">
        <f>IFERROR(s_TR/(up_RadSpec!$H20*s_IFAS_res_adj*s_CF_asparagus),".")</f>
        <v>6.6115702479338848E-11</v>
      </c>
      <c r="F20" s="76">
        <f>IFERROR(s_TR/(up_RadSpec!$H20*s_IFBT_res_adj*s_CF_beet),".")</f>
        <v>6.6115702479338848E-11</v>
      </c>
      <c r="G20" s="76">
        <f>IFERROR(s_TR/(up_RadSpec!$H20*s_IFBE_res_adj*s_CF_berries),".")</f>
        <v>6.6115702479338848E-11</v>
      </c>
      <c r="H20" s="76">
        <f>IFERROR(s_TR/(up_RadSpec!$H20*s_IFBR_res_adj*s_CF_broccoli),".")</f>
        <v>6.6115702479338848E-11</v>
      </c>
      <c r="I20" s="76">
        <f>IFERROR(s_TR/(up_RadSpec!$H20*s_IFCB_res_adj*s_CF_cabbage),".")</f>
        <v>6.6115702479338848E-11</v>
      </c>
      <c r="J20" s="76">
        <f>IFERROR(s_TR/(up_RadSpec!$H20*s_IFCR_res_adj*s_CF_carrot),".")</f>
        <v>6.6115702479338848E-11</v>
      </c>
      <c r="K20" s="76">
        <f>IFERROR(s_TR/(up_RadSpec!$H20*s_IFCI_res_adj*s_CF_citrus),".")</f>
        <v>6.6115702479338848E-11</v>
      </c>
      <c r="L20" s="76">
        <f>IFERROR(s_TR/(up_RadSpec!$H20*s_IFCO_res_adj*s_CF_corn),".")</f>
        <v>6.6115702479338848E-11</v>
      </c>
      <c r="M20" s="76">
        <f>IFERROR(s_TR/(up_RadSpec!$H20*s_IFCU_res_adj*s_CF_cucumber),".")</f>
        <v>6.6115702479338848E-11</v>
      </c>
      <c r="N20" s="76">
        <f>IFERROR(s_TR/(up_RadSpec!$H20*s_IFLE_res_adj*s_CF_lettuce),".")</f>
        <v>6.6115702479338848E-11</v>
      </c>
      <c r="O20" s="76">
        <f>IFERROR(s_TR/(up_RadSpec!$H20*s_IFLI_res_adj*s_CF_lima_bean),".")</f>
        <v>6.6115702479338848E-11</v>
      </c>
      <c r="P20" s="76">
        <f>IFERROR(s_TR/(up_RadSpec!$H20*s_IFOK_res_adj*s_CF_okra),".")</f>
        <v>6.6115702479338848E-11</v>
      </c>
      <c r="Q20" s="76">
        <f>IFERROR(s_TR/(up_RadSpec!$H20*s_IFON_res_adj*s_CF_onion),".")</f>
        <v>6.6115702479338848E-11</v>
      </c>
      <c r="R20" s="76">
        <f>IFERROR(s_TR/(up_RadSpec!$H20*s_IFPC_res_adj*s_CF_peach),".")</f>
        <v>6.6115702479338848E-11</v>
      </c>
      <c r="S20" s="76">
        <f>IFERROR(s_TR/(up_RadSpec!$H20*s_IFPR_res_adj*s_CF_pear),".")</f>
        <v>6.6115702479338848E-11</v>
      </c>
      <c r="T20" s="76">
        <f>IFERROR(s_TR/(up_RadSpec!$H20*s_IFPE_res_adj*s_CF_peas),".")</f>
        <v>6.6115702479338848E-11</v>
      </c>
      <c r="U20" s="76">
        <f>IFERROR(s_TR/(up_RadSpec!$H20*s_IFPP_res_adj*s_CF_peppers),".")</f>
        <v>6.6115702479338848E-11</v>
      </c>
      <c r="V20" s="76">
        <f>IFERROR(s_TR/(up_RadSpec!$H20*s_IFPT_res_adj*s_CF_potato),".")</f>
        <v>6.6115702479338848E-11</v>
      </c>
      <c r="W20" s="76">
        <f>IFERROR(s_TR/(up_RadSpec!$H20*s_IFPU_res_adj*s_CF_pumpkin),".")</f>
        <v>6.6115702479338848E-11</v>
      </c>
      <c r="X20" s="76">
        <f>IFERROR(s_TR/(up_RadSpec!$H20*s_IFSN_res_adj*s_CF_snap_bean),".")</f>
        <v>6.6115702479338848E-11</v>
      </c>
      <c r="Y20" s="76">
        <f>IFERROR(s_TR/(up_RadSpec!$H20*s_IFST_res_adj*s_CF_strawberry),".")</f>
        <v>6.6115702479338848E-11</v>
      </c>
      <c r="Z20" s="76">
        <f>IFERROR(s_TR/(up_RadSpec!$H20*s_IFTO_res_adj*s_CF_tomato),".")</f>
        <v>6.6115702479338848E-11</v>
      </c>
      <c r="AA20" s="76">
        <f>IFERROR(s_TR/(up_RadSpec!$H20*s_IFRI_res_adj*s_CF_rice),".")</f>
        <v>6.6115702479338848E-11</v>
      </c>
      <c r="AB20" s="76">
        <f>IFERROR(s_TR/(up_RadSpec!$H20*s_IFCG_res_adj*s_CF_cereal),".")</f>
        <v>6.6115702479338848E-11</v>
      </c>
      <c r="AC20" s="76">
        <f t="shared" si="25"/>
        <v>1.6528925619834712E-11</v>
      </c>
      <c r="AD20" s="76">
        <f>IFERROR(s_TR/(up_RadSpec!$H20*s_IFAP_far_adj*s_CF_apple),".")</f>
        <v>6.6115702479338848E-11</v>
      </c>
      <c r="AE20" s="76">
        <f>IFERROR(s_TR/(up_RadSpec!$H20*s_IFAS_far_adj*s_CF_asparagus),".")</f>
        <v>6.6115702479338848E-11</v>
      </c>
      <c r="AF20" s="76">
        <f>IFERROR(s_TR/(up_RadSpec!$H20*s_IFBT_far_adj*s_CF_beet),".")</f>
        <v>6.6115702479338848E-11</v>
      </c>
      <c r="AG20" s="76">
        <f>IFERROR(s_TR/(up_RadSpec!$H20*s_IFBE_far_adj*s_CF_berries),".")</f>
        <v>6.6115702479338848E-11</v>
      </c>
      <c r="AH20" s="76">
        <f>IFERROR(s_TR/(up_RadSpec!$H20*s_IFBR_far_adj*s_CF_broccoli),".")</f>
        <v>6.6115702479338848E-11</v>
      </c>
      <c r="AI20" s="76">
        <f>IFERROR(s_TR/(up_RadSpec!$H20*s_IFCB_far_adj*s_CF_cabbage),".")</f>
        <v>6.6115702479338848E-11</v>
      </c>
      <c r="AJ20" s="76">
        <f>IFERROR(s_TR/(up_RadSpec!$H20*s_IFCR_far_adj*s_CF_carrot),".")</f>
        <v>6.6115702479338848E-11</v>
      </c>
      <c r="AK20" s="76">
        <f>IFERROR(s_TR/(up_RadSpec!$H20*s_IFCI_far_adj*s_CF_citrus),".")</f>
        <v>6.6115702479338848E-11</v>
      </c>
      <c r="AL20" s="76">
        <f>IFERROR(s_TR/(up_RadSpec!$H20*s_IFCO_far_adj*s_CF_corn),".")</f>
        <v>6.6115702479338848E-11</v>
      </c>
      <c r="AM20" s="76">
        <f>IFERROR(s_TR/(up_RadSpec!$H20*s_IFCU_far_adj*s_CF_cucumber),".")</f>
        <v>6.6115702479338848E-11</v>
      </c>
      <c r="AN20" s="76">
        <f>IFERROR(s_TR/(up_RadSpec!$H20*s_IFLE_far_adj*s_CF_lettuce),".")</f>
        <v>6.6115702479338848E-11</v>
      </c>
      <c r="AO20" s="76">
        <f>IFERROR(s_TR/(up_RadSpec!$H20*s_IFLI_far_adj*s_CF_lima_bean),".")</f>
        <v>6.6115702479338848E-11</v>
      </c>
      <c r="AP20" s="76">
        <f>IFERROR(s_TR/(up_RadSpec!$H20*s_IFOK_far_adj*s_CF_okra),".")</f>
        <v>6.6115702479338848E-11</v>
      </c>
      <c r="AQ20" s="76">
        <f>IFERROR(s_TR/(up_RadSpec!$H20*s_IFON_far_adj*s_CF_onion),".")</f>
        <v>6.6115702479338848E-11</v>
      </c>
      <c r="AR20" s="76">
        <f>IFERROR(s_TR/(up_RadSpec!$H20*s_IFPC_far_adj*s_CF_peach),".")</f>
        <v>6.6115702479338848E-11</v>
      </c>
      <c r="AS20" s="76">
        <f>IFERROR(s_TR/(up_RadSpec!$H20*s_IFPR_far_adj*s_CF_pear),".")</f>
        <v>6.6115702479338848E-11</v>
      </c>
      <c r="AT20" s="76">
        <f>IFERROR(s_TR/(up_RadSpec!$H20*s_IFPE_far_adj*s_CF_peas),".")</f>
        <v>6.6115702479338848E-11</v>
      </c>
      <c r="AU20" s="76">
        <f>IFERROR(s_TR/(up_RadSpec!$H20*s_IFPP_far_adj*s_CF_peppers),".")</f>
        <v>6.6115702479338848E-11</v>
      </c>
      <c r="AV20" s="76">
        <f>IFERROR(s_TR/(up_RadSpec!$H20*s_IFPT_far_adj*s_CF_potato),".")</f>
        <v>6.6115702479338848E-11</v>
      </c>
      <c r="AW20" s="76">
        <f>IFERROR(s_TR/(up_RadSpec!$H20*s_IFPU_far_adj*s_CF_pumpkin),".")</f>
        <v>6.6115702479338848E-11</v>
      </c>
      <c r="AX20" s="76">
        <f>IFERROR(s_TR/(up_RadSpec!$H20*s_IFSN_far_adj*s_CF_snap_bean),".")</f>
        <v>6.6115702479338848E-11</v>
      </c>
      <c r="AY20" s="76">
        <f>IFERROR(s_TR/(up_RadSpec!$H20*s_IFST_far_adj*s_CF_strawberry),".")</f>
        <v>6.6115702479338848E-11</v>
      </c>
      <c r="AZ20" s="76">
        <f>IFERROR(s_TR/(up_RadSpec!$H20*s_IFTO_far_adj*s_CF_tomato),".")</f>
        <v>6.6115702479338848E-11</v>
      </c>
      <c r="BA20" s="76">
        <f>IFERROR(s_TR/(up_RadSpec!$H20*s_IFRI_far_adj*s_CF_rice),".")</f>
        <v>6.6115702479338848E-11</v>
      </c>
      <c r="BB20" s="76">
        <f>IFERROR(s_TR/(up_RadSpec!$H20*s_IFCG_far_adj*s_CF_cereal),".")</f>
        <v>6.6115702479338848E-11</v>
      </c>
      <c r="BC20" s="93">
        <f t="shared" si="26"/>
        <v>605000</v>
      </c>
      <c r="BD20" s="93">
        <f t="shared" si="0"/>
        <v>151250</v>
      </c>
      <c r="BE20" s="93">
        <f t="shared" si="1"/>
        <v>151250</v>
      </c>
      <c r="BF20" s="93">
        <f t="shared" si="2"/>
        <v>151250</v>
      </c>
      <c r="BG20" s="93">
        <f t="shared" si="3"/>
        <v>151250</v>
      </c>
      <c r="BH20" s="93">
        <f t="shared" si="4"/>
        <v>151250</v>
      </c>
      <c r="BI20" s="93">
        <f t="shared" si="5"/>
        <v>151250</v>
      </c>
      <c r="BJ20" s="93">
        <f t="shared" si="6"/>
        <v>151250</v>
      </c>
      <c r="BK20" s="93">
        <f t="shared" si="7"/>
        <v>151250</v>
      </c>
      <c r="BL20" s="93">
        <f t="shared" si="8"/>
        <v>151250</v>
      </c>
      <c r="BM20" s="93">
        <f t="shared" si="9"/>
        <v>151250</v>
      </c>
      <c r="BN20" s="93">
        <f t="shared" si="10"/>
        <v>151250</v>
      </c>
      <c r="BO20" s="93">
        <f t="shared" si="11"/>
        <v>151250</v>
      </c>
      <c r="BP20" s="93">
        <f t="shared" si="12"/>
        <v>151250</v>
      </c>
      <c r="BQ20" s="93">
        <f t="shared" si="13"/>
        <v>151250</v>
      </c>
      <c r="BR20" s="93">
        <f t="shared" si="14"/>
        <v>151250</v>
      </c>
      <c r="BS20" s="93">
        <f t="shared" si="15"/>
        <v>151250</v>
      </c>
      <c r="BT20" s="93">
        <f t="shared" si="27"/>
        <v>151250</v>
      </c>
      <c r="BU20" s="93">
        <f t="shared" si="16"/>
        <v>151250</v>
      </c>
      <c r="BV20" s="93">
        <f t="shared" si="17"/>
        <v>151250</v>
      </c>
      <c r="BW20" s="93">
        <f t="shared" si="18"/>
        <v>151250</v>
      </c>
      <c r="BX20" s="93">
        <f t="shared" si="19"/>
        <v>151250</v>
      </c>
      <c r="BY20" s="93">
        <f t="shared" si="20"/>
        <v>151250</v>
      </c>
      <c r="BZ20" s="93">
        <f t="shared" si="21"/>
        <v>151250</v>
      </c>
      <c r="CA20" s="93">
        <f t="shared" si="22"/>
        <v>151250</v>
      </c>
      <c r="CB20" s="93">
        <f t="shared" si="23"/>
        <v>151250</v>
      </c>
    </row>
    <row r="21" spans="1:80" x14ac:dyDescent="0.25">
      <c r="A21" s="92" t="s">
        <v>31</v>
      </c>
      <c r="B21" s="90" t="s">
        <v>1071</v>
      </c>
      <c r="C21" s="76">
        <f t="shared" si="24"/>
        <v>1.6528925619834712E-11</v>
      </c>
      <c r="D21" s="76">
        <f>IFERROR(s_TR/(up_RadSpec!$H21*s_IFAP_res_adj*s_CF_apple),".")</f>
        <v>6.6115702479338848E-11</v>
      </c>
      <c r="E21" s="76">
        <f>IFERROR(s_TR/(up_RadSpec!$H21*s_IFAS_res_adj*s_CF_asparagus),".")</f>
        <v>6.6115702479338848E-11</v>
      </c>
      <c r="F21" s="76">
        <f>IFERROR(s_TR/(up_RadSpec!$H21*s_IFBT_res_adj*s_CF_beet),".")</f>
        <v>6.6115702479338848E-11</v>
      </c>
      <c r="G21" s="76">
        <f>IFERROR(s_TR/(up_RadSpec!$H21*s_IFBE_res_adj*s_CF_berries),".")</f>
        <v>6.6115702479338848E-11</v>
      </c>
      <c r="H21" s="76">
        <f>IFERROR(s_TR/(up_RadSpec!$H21*s_IFBR_res_adj*s_CF_broccoli),".")</f>
        <v>6.6115702479338848E-11</v>
      </c>
      <c r="I21" s="76">
        <f>IFERROR(s_TR/(up_RadSpec!$H21*s_IFCB_res_adj*s_CF_cabbage),".")</f>
        <v>6.6115702479338848E-11</v>
      </c>
      <c r="J21" s="76">
        <f>IFERROR(s_TR/(up_RadSpec!$H21*s_IFCR_res_adj*s_CF_carrot),".")</f>
        <v>6.6115702479338848E-11</v>
      </c>
      <c r="K21" s="76">
        <f>IFERROR(s_TR/(up_RadSpec!$H21*s_IFCI_res_adj*s_CF_citrus),".")</f>
        <v>6.6115702479338848E-11</v>
      </c>
      <c r="L21" s="76">
        <f>IFERROR(s_TR/(up_RadSpec!$H21*s_IFCO_res_adj*s_CF_corn),".")</f>
        <v>6.6115702479338848E-11</v>
      </c>
      <c r="M21" s="76">
        <f>IFERROR(s_TR/(up_RadSpec!$H21*s_IFCU_res_adj*s_CF_cucumber),".")</f>
        <v>6.6115702479338848E-11</v>
      </c>
      <c r="N21" s="76">
        <f>IFERROR(s_TR/(up_RadSpec!$H21*s_IFLE_res_adj*s_CF_lettuce),".")</f>
        <v>6.6115702479338848E-11</v>
      </c>
      <c r="O21" s="76">
        <f>IFERROR(s_TR/(up_RadSpec!$H21*s_IFLI_res_adj*s_CF_lima_bean),".")</f>
        <v>6.6115702479338848E-11</v>
      </c>
      <c r="P21" s="76">
        <f>IFERROR(s_TR/(up_RadSpec!$H21*s_IFOK_res_adj*s_CF_okra),".")</f>
        <v>6.6115702479338848E-11</v>
      </c>
      <c r="Q21" s="76">
        <f>IFERROR(s_TR/(up_RadSpec!$H21*s_IFON_res_adj*s_CF_onion),".")</f>
        <v>6.6115702479338848E-11</v>
      </c>
      <c r="R21" s="76">
        <f>IFERROR(s_TR/(up_RadSpec!$H21*s_IFPC_res_adj*s_CF_peach),".")</f>
        <v>6.6115702479338848E-11</v>
      </c>
      <c r="S21" s="76">
        <f>IFERROR(s_TR/(up_RadSpec!$H21*s_IFPR_res_adj*s_CF_pear),".")</f>
        <v>6.6115702479338848E-11</v>
      </c>
      <c r="T21" s="76">
        <f>IFERROR(s_TR/(up_RadSpec!$H21*s_IFPE_res_adj*s_CF_peas),".")</f>
        <v>6.6115702479338848E-11</v>
      </c>
      <c r="U21" s="76">
        <f>IFERROR(s_TR/(up_RadSpec!$H21*s_IFPP_res_adj*s_CF_peppers),".")</f>
        <v>6.6115702479338848E-11</v>
      </c>
      <c r="V21" s="76">
        <f>IFERROR(s_TR/(up_RadSpec!$H21*s_IFPT_res_adj*s_CF_potato),".")</f>
        <v>6.6115702479338848E-11</v>
      </c>
      <c r="W21" s="76">
        <f>IFERROR(s_TR/(up_RadSpec!$H21*s_IFPU_res_adj*s_CF_pumpkin),".")</f>
        <v>6.6115702479338848E-11</v>
      </c>
      <c r="X21" s="76">
        <f>IFERROR(s_TR/(up_RadSpec!$H21*s_IFSN_res_adj*s_CF_snap_bean),".")</f>
        <v>6.6115702479338848E-11</v>
      </c>
      <c r="Y21" s="76">
        <f>IFERROR(s_TR/(up_RadSpec!$H21*s_IFST_res_adj*s_CF_strawberry),".")</f>
        <v>6.6115702479338848E-11</v>
      </c>
      <c r="Z21" s="76">
        <f>IFERROR(s_TR/(up_RadSpec!$H21*s_IFTO_res_adj*s_CF_tomato),".")</f>
        <v>6.6115702479338848E-11</v>
      </c>
      <c r="AA21" s="76">
        <f>IFERROR(s_TR/(up_RadSpec!$H21*s_IFRI_res_adj*s_CF_rice),".")</f>
        <v>6.6115702479338848E-11</v>
      </c>
      <c r="AB21" s="76">
        <f>IFERROR(s_TR/(up_RadSpec!$H21*s_IFCG_res_adj*s_CF_cereal),".")</f>
        <v>6.6115702479338848E-11</v>
      </c>
      <c r="AC21" s="76">
        <f t="shared" si="25"/>
        <v>1.6528925619834712E-11</v>
      </c>
      <c r="AD21" s="76">
        <f>IFERROR(s_TR/(up_RadSpec!$H21*s_IFAP_far_adj*s_CF_apple),".")</f>
        <v>6.6115702479338848E-11</v>
      </c>
      <c r="AE21" s="76">
        <f>IFERROR(s_TR/(up_RadSpec!$H21*s_IFAS_far_adj*s_CF_asparagus),".")</f>
        <v>6.6115702479338848E-11</v>
      </c>
      <c r="AF21" s="76">
        <f>IFERROR(s_TR/(up_RadSpec!$H21*s_IFBT_far_adj*s_CF_beet),".")</f>
        <v>6.6115702479338848E-11</v>
      </c>
      <c r="AG21" s="76">
        <f>IFERROR(s_TR/(up_RadSpec!$H21*s_IFBE_far_adj*s_CF_berries),".")</f>
        <v>6.6115702479338848E-11</v>
      </c>
      <c r="AH21" s="76">
        <f>IFERROR(s_TR/(up_RadSpec!$H21*s_IFBR_far_adj*s_CF_broccoli),".")</f>
        <v>6.6115702479338848E-11</v>
      </c>
      <c r="AI21" s="76">
        <f>IFERROR(s_TR/(up_RadSpec!$H21*s_IFCB_far_adj*s_CF_cabbage),".")</f>
        <v>6.6115702479338848E-11</v>
      </c>
      <c r="AJ21" s="76">
        <f>IFERROR(s_TR/(up_RadSpec!$H21*s_IFCR_far_adj*s_CF_carrot),".")</f>
        <v>6.6115702479338848E-11</v>
      </c>
      <c r="AK21" s="76">
        <f>IFERROR(s_TR/(up_RadSpec!$H21*s_IFCI_far_adj*s_CF_citrus),".")</f>
        <v>6.6115702479338848E-11</v>
      </c>
      <c r="AL21" s="76">
        <f>IFERROR(s_TR/(up_RadSpec!$H21*s_IFCO_far_adj*s_CF_corn),".")</f>
        <v>6.6115702479338848E-11</v>
      </c>
      <c r="AM21" s="76">
        <f>IFERROR(s_TR/(up_RadSpec!$H21*s_IFCU_far_adj*s_CF_cucumber),".")</f>
        <v>6.6115702479338848E-11</v>
      </c>
      <c r="AN21" s="76">
        <f>IFERROR(s_TR/(up_RadSpec!$H21*s_IFLE_far_adj*s_CF_lettuce),".")</f>
        <v>6.6115702479338848E-11</v>
      </c>
      <c r="AO21" s="76">
        <f>IFERROR(s_TR/(up_RadSpec!$H21*s_IFLI_far_adj*s_CF_lima_bean),".")</f>
        <v>6.6115702479338848E-11</v>
      </c>
      <c r="AP21" s="76">
        <f>IFERROR(s_TR/(up_RadSpec!$H21*s_IFOK_far_adj*s_CF_okra),".")</f>
        <v>6.6115702479338848E-11</v>
      </c>
      <c r="AQ21" s="76">
        <f>IFERROR(s_TR/(up_RadSpec!$H21*s_IFON_far_adj*s_CF_onion),".")</f>
        <v>6.6115702479338848E-11</v>
      </c>
      <c r="AR21" s="76">
        <f>IFERROR(s_TR/(up_RadSpec!$H21*s_IFPC_far_adj*s_CF_peach),".")</f>
        <v>6.6115702479338848E-11</v>
      </c>
      <c r="AS21" s="76">
        <f>IFERROR(s_TR/(up_RadSpec!$H21*s_IFPR_far_adj*s_CF_pear),".")</f>
        <v>6.6115702479338848E-11</v>
      </c>
      <c r="AT21" s="76">
        <f>IFERROR(s_TR/(up_RadSpec!$H21*s_IFPE_far_adj*s_CF_peas),".")</f>
        <v>6.6115702479338848E-11</v>
      </c>
      <c r="AU21" s="76">
        <f>IFERROR(s_TR/(up_RadSpec!$H21*s_IFPP_far_adj*s_CF_peppers),".")</f>
        <v>6.6115702479338848E-11</v>
      </c>
      <c r="AV21" s="76">
        <f>IFERROR(s_TR/(up_RadSpec!$H21*s_IFPT_far_adj*s_CF_potato),".")</f>
        <v>6.6115702479338848E-11</v>
      </c>
      <c r="AW21" s="76">
        <f>IFERROR(s_TR/(up_RadSpec!$H21*s_IFPU_far_adj*s_CF_pumpkin),".")</f>
        <v>6.6115702479338848E-11</v>
      </c>
      <c r="AX21" s="76">
        <f>IFERROR(s_TR/(up_RadSpec!$H21*s_IFSN_far_adj*s_CF_snap_bean),".")</f>
        <v>6.6115702479338848E-11</v>
      </c>
      <c r="AY21" s="76">
        <f>IFERROR(s_TR/(up_RadSpec!$H21*s_IFST_far_adj*s_CF_strawberry),".")</f>
        <v>6.6115702479338848E-11</v>
      </c>
      <c r="AZ21" s="76">
        <f>IFERROR(s_TR/(up_RadSpec!$H21*s_IFTO_far_adj*s_CF_tomato),".")</f>
        <v>6.6115702479338848E-11</v>
      </c>
      <c r="BA21" s="76">
        <f>IFERROR(s_TR/(up_RadSpec!$H21*s_IFRI_far_adj*s_CF_rice),".")</f>
        <v>6.6115702479338848E-11</v>
      </c>
      <c r="BB21" s="76">
        <f>IFERROR(s_TR/(up_RadSpec!$H21*s_IFCG_far_adj*s_CF_cereal),".")</f>
        <v>6.6115702479338848E-11</v>
      </c>
      <c r="BC21" s="93">
        <f t="shared" si="26"/>
        <v>605000</v>
      </c>
      <c r="BD21" s="93">
        <f t="shared" si="0"/>
        <v>151250</v>
      </c>
      <c r="BE21" s="93">
        <f t="shared" si="1"/>
        <v>151250</v>
      </c>
      <c r="BF21" s="93">
        <f t="shared" si="2"/>
        <v>151250</v>
      </c>
      <c r="BG21" s="93">
        <f t="shared" si="3"/>
        <v>151250</v>
      </c>
      <c r="BH21" s="93">
        <f t="shared" si="4"/>
        <v>151250</v>
      </c>
      <c r="BI21" s="93">
        <f t="shared" si="5"/>
        <v>151250</v>
      </c>
      <c r="BJ21" s="93">
        <f t="shared" si="6"/>
        <v>151250</v>
      </c>
      <c r="BK21" s="93">
        <f t="shared" si="7"/>
        <v>151250</v>
      </c>
      <c r="BL21" s="93">
        <f t="shared" si="8"/>
        <v>151250</v>
      </c>
      <c r="BM21" s="93">
        <f t="shared" si="9"/>
        <v>151250</v>
      </c>
      <c r="BN21" s="93">
        <f t="shared" si="10"/>
        <v>151250</v>
      </c>
      <c r="BO21" s="93">
        <f t="shared" si="11"/>
        <v>151250</v>
      </c>
      <c r="BP21" s="93">
        <f t="shared" si="12"/>
        <v>151250</v>
      </c>
      <c r="BQ21" s="93">
        <f t="shared" si="13"/>
        <v>151250</v>
      </c>
      <c r="BR21" s="93">
        <f t="shared" si="14"/>
        <v>151250</v>
      </c>
      <c r="BS21" s="93">
        <f t="shared" si="15"/>
        <v>151250</v>
      </c>
      <c r="BT21" s="93">
        <f t="shared" si="27"/>
        <v>151250</v>
      </c>
      <c r="BU21" s="93">
        <f t="shared" si="16"/>
        <v>151250</v>
      </c>
      <c r="BV21" s="93">
        <f t="shared" si="17"/>
        <v>151250</v>
      </c>
      <c r="BW21" s="93">
        <f t="shared" si="18"/>
        <v>151250</v>
      </c>
      <c r="BX21" s="93">
        <f t="shared" si="19"/>
        <v>151250</v>
      </c>
      <c r="BY21" s="93">
        <f t="shared" si="20"/>
        <v>151250</v>
      </c>
      <c r="BZ21" s="93">
        <f t="shared" si="21"/>
        <v>151250</v>
      </c>
      <c r="CA21" s="93">
        <f t="shared" si="22"/>
        <v>151250</v>
      </c>
      <c r="CB21" s="93">
        <f t="shared" si="23"/>
        <v>151250</v>
      </c>
    </row>
    <row r="22" spans="1:80" x14ac:dyDescent="0.25">
      <c r="A22" s="92" t="s">
        <v>32</v>
      </c>
      <c r="B22" s="90" t="s">
        <v>1071</v>
      </c>
      <c r="C22" s="76">
        <f t="shared" si="24"/>
        <v>1.6528925619834712E-11</v>
      </c>
      <c r="D22" s="76">
        <f>IFERROR(s_TR/(up_RadSpec!$H22*s_IFAP_res_adj*s_CF_apple),".")</f>
        <v>6.6115702479338848E-11</v>
      </c>
      <c r="E22" s="76">
        <f>IFERROR(s_TR/(up_RadSpec!$H22*s_IFAS_res_adj*s_CF_asparagus),".")</f>
        <v>6.6115702479338848E-11</v>
      </c>
      <c r="F22" s="76">
        <f>IFERROR(s_TR/(up_RadSpec!$H22*s_IFBT_res_adj*s_CF_beet),".")</f>
        <v>6.6115702479338848E-11</v>
      </c>
      <c r="G22" s="76">
        <f>IFERROR(s_TR/(up_RadSpec!$H22*s_IFBE_res_adj*s_CF_berries),".")</f>
        <v>6.6115702479338848E-11</v>
      </c>
      <c r="H22" s="76">
        <f>IFERROR(s_TR/(up_RadSpec!$H22*s_IFBR_res_adj*s_CF_broccoli),".")</f>
        <v>6.6115702479338848E-11</v>
      </c>
      <c r="I22" s="76">
        <f>IFERROR(s_TR/(up_RadSpec!$H22*s_IFCB_res_adj*s_CF_cabbage),".")</f>
        <v>6.6115702479338848E-11</v>
      </c>
      <c r="J22" s="76">
        <f>IFERROR(s_TR/(up_RadSpec!$H22*s_IFCR_res_adj*s_CF_carrot),".")</f>
        <v>6.6115702479338848E-11</v>
      </c>
      <c r="K22" s="76">
        <f>IFERROR(s_TR/(up_RadSpec!$H22*s_IFCI_res_adj*s_CF_citrus),".")</f>
        <v>6.6115702479338848E-11</v>
      </c>
      <c r="L22" s="76">
        <f>IFERROR(s_TR/(up_RadSpec!$H22*s_IFCO_res_adj*s_CF_corn),".")</f>
        <v>6.6115702479338848E-11</v>
      </c>
      <c r="M22" s="76">
        <f>IFERROR(s_TR/(up_RadSpec!$H22*s_IFCU_res_adj*s_CF_cucumber),".")</f>
        <v>6.6115702479338848E-11</v>
      </c>
      <c r="N22" s="76">
        <f>IFERROR(s_TR/(up_RadSpec!$H22*s_IFLE_res_adj*s_CF_lettuce),".")</f>
        <v>6.6115702479338848E-11</v>
      </c>
      <c r="O22" s="76">
        <f>IFERROR(s_TR/(up_RadSpec!$H22*s_IFLI_res_adj*s_CF_lima_bean),".")</f>
        <v>6.6115702479338848E-11</v>
      </c>
      <c r="P22" s="76">
        <f>IFERROR(s_TR/(up_RadSpec!$H22*s_IFOK_res_adj*s_CF_okra),".")</f>
        <v>6.6115702479338848E-11</v>
      </c>
      <c r="Q22" s="76">
        <f>IFERROR(s_TR/(up_RadSpec!$H22*s_IFON_res_adj*s_CF_onion),".")</f>
        <v>6.6115702479338848E-11</v>
      </c>
      <c r="R22" s="76">
        <f>IFERROR(s_TR/(up_RadSpec!$H22*s_IFPC_res_adj*s_CF_peach),".")</f>
        <v>6.6115702479338848E-11</v>
      </c>
      <c r="S22" s="76">
        <f>IFERROR(s_TR/(up_RadSpec!$H22*s_IFPR_res_adj*s_CF_pear),".")</f>
        <v>6.6115702479338848E-11</v>
      </c>
      <c r="T22" s="76">
        <f>IFERROR(s_TR/(up_RadSpec!$H22*s_IFPE_res_adj*s_CF_peas),".")</f>
        <v>6.6115702479338848E-11</v>
      </c>
      <c r="U22" s="76">
        <f>IFERROR(s_TR/(up_RadSpec!$H22*s_IFPP_res_adj*s_CF_peppers),".")</f>
        <v>6.6115702479338848E-11</v>
      </c>
      <c r="V22" s="76">
        <f>IFERROR(s_TR/(up_RadSpec!$H22*s_IFPT_res_adj*s_CF_potato),".")</f>
        <v>6.6115702479338848E-11</v>
      </c>
      <c r="W22" s="76">
        <f>IFERROR(s_TR/(up_RadSpec!$H22*s_IFPU_res_adj*s_CF_pumpkin),".")</f>
        <v>6.6115702479338848E-11</v>
      </c>
      <c r="X22" s="76">
        <f>IFERROR(s_TR/(up_RadSpec!$H22*s_IFSN_res_adj*s_CF_snap_bean),".")</f>
        <v>6.6115702479338848E-11</v>
      </c>
      <c r="Y22" s="76">
        <f>IFERROR(s_TR/(up_RadSpec!$H22*s_IFST_res_adj*s_CF_strawberry),".")</f>
        <v>6.6115702479338848E-11</v>
      </c>
      <c r="Z22" s="76">
        <f>IFERROR(s_TR/(up_RadSpec!$H22*s_IFTO_res_adj*s_CF_tomato),".")</f>
        <v>6.6115702479338848E-11</v>
      </c>
      <c r="AA22" s="76">
        <f>IFERROR(s_TR/(up_RadSpec!$H22*s_IFRI_res_adj*s_CF_rice),".")</f>
        <v>6.6115702479338848E-11</v>
      </c>
      <c r="AB22" s="76">
        <f>IFERROR(s_TR/(up_RadSpec!$H22*s_IFCG_res_adj*s_CF_cereal),".")</f>
        <v>6.6115702479338848E-11</v>
      </c>
      <c r="AC22" s="76">
        <f t="shared" si="25"/>
        <v>1.6528925619834712E-11</v>
      </c>
      <c r="AD22" s="76">
        <f>IFERROR(s_TR/(up_RadSpec!$H22*s_IFAP_far_adj*s_CF_apple),".")</f>
        <v>6.6115702479338848E-11</v>
      </c>
      <c r="AE22" s="76">
        <f>IFERROR(s_TR/(up_RadSpec!$H22*s_IFAS_far_adj*s_CF_asparagus),".")</f>
        <v>6.6115702479338848E-11</v>
      </c>
      <c r="AF22" s="76">
        <f>IFERROR(s_TR/(up_RadSpec!$H22*s_IFBT_far_adj*s_CF_beet),".")</f>
        <v>6.6115702479338848E-11</v>
      </c>
      <c r="AG22" s="76">
        <f>IFERROR(s_TR/(up_RadSpec!$H22*s_IFBE_far_adj*s_CF_berries),".")</f>
        <v>6.6115702479338848E-11</v>
      </c>
      <c r="AH22" s="76">
        <f>IFERROR(s_TR/(up_RadSpec!$H22*s_IFBR_far_adj*s_CF_broccoli),".")</f>
        <v>6.6115702479338848E-11</v>
      </c>
      <c r="AI22" s="76">
        <f>IFERROR(s_TR/(up_RadSpec!$H22*s_IFCB_far_adj*s_CF_cabbage),".")</f>
        <v>6.6115702479338848E-11</v>
      </c>
      <c r="AJ22" s="76">
        <f>IFERROR(s_TR/(up_RadSpec!$H22*s_IFCR_far_adj*s_CF_carrot),".")</f>
        <v>6.6115702479338848E-11</v>
      </c>
      <c r="AK22" s="76">
        <f>IFERROR(s_TR/(up_RadSpec!$H22*s_IFCI_far_adj*s_CF_citrus),".")</f>
        <v>6.6115702479338848E-11</v>
      </c>
      <c r="AL22" s="76">
        <f>IFERROR(s_TR/(up_RadSpec!$H22*s_IFCO_far_adj*s_CF_corn),".")</f>
        <v>6.6115702479338848E-11</v>
      </c>
      <c r="AM22" s="76">
        <f>IFERROR(s_TR/(up_RadSpec!$H22*s_IFCU_far_adj*s_CF_cucumber),".")</f>
        <v>6.6115702479338848E-11</v>
      </c>
      <c r="AN22" s="76">
        <f>IFERROR(s_TR/(up_RadSpec!$H22*s_IFLE_far_adj*s_CF_lettuce),".")</f>
        <v>6.6115702479338848E-11</v>
      </c>
      <c r="AO22" s="76">
        <f>IFERROR(s_TR/(up_RadSpec!$H22*s_IFLI_far_adj*s_CF_lima_bean),".")</f>
        <v>6.6115702479338848E-11</v>
      </c>
      <c r="AP22" s="76">
        <f>IFERROR(s_TR/(up_RadSpec!$H22*s_IFOK_far_adj*s_CF_okra),".")</f>
        <v>6.6115702479338848E-11</v>
      </c>
      <c r="AQ22" s="76">
        <f>IFERROR(s_TR/(up_RadSpec!$H22*s_IFON_far_adj*s_CF_onion),".")</f>
        <v>6.6115702479338848E-11</v>
      </c>
      <c r="AR22" s="76">
        <f>IFERROR(s_TR/(up_RadSpec!$H22*s_IFPC_far_adj*s_CF_peach),".")</f>
        <v>6.6115702479338848E-11</v>
      </c>
      <c r="AS22" s="76">
        <f>IFERROR(s_TR/(up_RadSpec!$H22*s_IFPR_far_adj*s_CF_pear),".")</f>
        <v>6.6115702479338848E-11</v>
      </c>
      <c r="AT22" s="76">
        <f>IFERROR(s_TR/(up_RadSpec!$H22*s_IFPE_far_adj*s_CF_peas),".")</f>
        <v>6.6115702479338848E-11</v>
      </c>
      <c r="AU22" s="76">
        <f>IFERROR(s_TR/(up_RadSpec!$H22*s_IFPP_far_adj*s_CF_peppers),".")</f>
        <v>6.6115702479338848E-11</v>
      </c>
      <c r="AV22" s="76">
        <f>IFERROR(s_TR/(up_RadSpec!$H22*s_IFPT_far_adj*s_CF_potato),".")</f>
        <v>6.6115702479338848E-11</v>
      </c>
      <c r="AW22" s="76">
        <f>IFERROR(s_TR/(up_RadSpec!$H22*s_IFPU_far_adj*s_CF_pumpkin),".")</f>
        <v>6.6115702479338848E-11</v>
      </c>
      <c r="AX22" s="76">
        <f>IFERROR(s_TR/(up_RadSpec!$H22*s_IFSN_far_adj*s_CF_snap_bean),".")</f>
        <v>6.6115702479338848E-11</v>
      </c>
      <c r="AY22" s="76">
        <f>IFERROR(s_TR/(up_RadSpec!$H22*s_IFST_far_adj*s_CF_strawberry),".")</f>
        <v>6.6115702479338848E-11</v>
      </c>
      <c r="AZ22" s="76">
        <f>IFERROR(s_TR/(up_RadSpec!$H22*s_IFTO_far_adj*s_CF_tomato),".")</f>
        <v>6.6115702479338848E-11</v>
      </c>
      <c r="BA22" s="76">
        <f>IFERROR(s_TR/(up_RadSpec!$H22*s_IFRI_far_adj*s_CF_rice),".")</f>
        <v>6.6115702479338848E-11</v>
      </c>
      <c r="BB22" s="76">
        <f>IFERROR(s_TR/(up_RadSpec!$H22*s_IFCG_far_adj*s_CF_cereal),".")</f>
        <v>6.6115702479338848E-11</v>
      </c>
      <c r="BC22" s="93">
        <f t="shared" si="26"/>
        <v>605000</v>
      </c>
      <c r="BD22" s="93">
        <f t="shared" si="0"/>
        <v>151250</v>
      </c>
      <c r="BE22" s="93">
        <f t="shared" si="1"/>
        <v>151250</v>
      </c>
      <c r="BF22" s="93">
        <f t="shared" si="2"/>
        <v>151250</v>
      </c>
      <c r="BG22" s="93">
        <f t="shared" si="3"/>
        <v>151250</v>
      </c>
      <c r="BH22" s="93">
        <f t="shared" si="4"/>
        <v>151250</v>
      </c>
      <c r="BI22" s="93">
        <f t="shared" si="5"/>
        <v>151250</v>
      </c>
      <c r="BJ22" s="93">
        <f t="shared" si="6"/>
        <v>151250</v>
      </c>
      <c r="BK22" s="93">
        <f t="shared" si="7"/>
        <v>151250</v>
      </c>
      <c r="BL22" s="93">
        <f t="shared" si="8"/>
        <v>151250</v>
      </c>
      <c r="BM22" s="93">
        <f t="shared" si="9"/>
        <v>151250</v>
      </c>
      <c r="BN22" s="93">
        <f t="shared" si="10"/>
        <v>151250</v>
      </c>
      <c r="BO22" s="93">
        <f t="shared" si="11"/>
        <v>151250</v>
      </c>
      <c r="BP22" s="93">
        <f t="shared" si="12"/>
        <v>151250</v>
      </c>
      <c r="BQ22" s="93">
        <f t="shared" si="13"/>
        <v>151250</v>
      </c>
      <c r="BR22" s="93">
        <f t="shared" si="14"/>
        <v>151250</v>
      </c>
      <c r="BS22" s="93">
        <f t="shared" si="15"/>
        <v>151250</v>
      </c>
      <c r="BT22" s="93">
        <f t="shared" si="27"/>
        <v>151250</v>
      </c>
      <c r="BU22" s="93">
        <f t="shared" si="16"/>
        <v>151250</v>
      </c>
      <c r="BV22" s="93">
        <f t="shared" si="17"/>
        <v>151250</v>
      </c>
      <c r="BW22" s="93">
        <f t="shared" si="18"/>
        <v>151250</v>
      </c>
      <c r="BX22" s="93">
        <f t="shared" si="19"/>
        <v>151250</v>
      </c>
      <c r="BY22" s="93">
        <f t="shared" si="20"/>
        <v>151250</v>
      </c>
      <c r="BZ22" s="93">
        <f t="shared" si="21"/>
        <v>151250</v>
      </c>
      <c r="CA22" s="93">
        <f t="shared" si="22"/>
        <v>151250</v>
      </c>
      <c r="CB22" s="93">
        <f t="shared" si="23"/>
        <v>151250</v>
      </c>
    </row>
    <row r="23" spans="1:80" x14ac:dyDescent="0.25">
      <c r="A23" s="94" t="s">
        <v>33</v>
      </c>
      <c r="B23" s="90" t="s">
        <v>349</v>
      </c>
      <c r="C23" s="76">
        <f t="shared" si="24"/>
        <v>1.6528925619834712E-11</v>
      </c>
      <c r="D23" s="76">
        <f>IFERROR(s_TR/(up_RadSpec!$H23*s_IFAP_res_adj*s_CF_apple),".")</f>
        <v>6.6115702479338848E-11</v>
      </c>
      <c r="E23" s="76">
        <f>IFERROR(s_TR/(up_RadSpec!$H23*s_IFAS_res_adj*s_CF_asparagus),".")</f>
        <v>6.6115702479338848E-11</v>
      </c>
      <c r="F23" s="76">
        <f>IFERROR(s_TR/(up_RadSpec!$H23*s_IFBT_res_adj*s_CF_beet),".")</f>
        <v>6.6115702479338848E-11</v>
      </c>
      <c r="G23" s="76">
        <f>IFERROR(s_TR/(up_RadSpec!$H23*s_IFBE_res_adj*s_CF_berries),".")</f>
        <v>6.6115702479338848E-11</v>
      </c>
      <c r="H23" s="76">
        <f>IFERROR(s_TR/(up_RadSpec!$H23*s_IFBR_res_adj*s_CF_broccoli),".")</f>
        <v>6.6115702479338848E-11</v>
      </c>
      <c r="I23" s="76">
        <f>IFERROR(s_TR/(up_RadSpec!$H23*s_IFCB_res_adj*s_CF_cabbage),".")</f>
        <v>6.6115702479338848E-11</v>
      </c>
      <c r="J23" s="76">
        <f>IFERROR(s_TR/(up_RadSpec!$H23*s_IFCR_res_adj*s_CF_carrot),".")</f>
        <v>6.6115702479338848E-11</v>
      </c>
      <c r="K23" s="76">
        <f>IFERROR(s_TR/(up_RadSpec!$H23*s_IFCI_res_adj*s_CF_citrus),".")</f>
        <v>6.6115702479338848E-11</v>
      </c>
      <c r="L23" s="76">
        <f>IFERROR(s_TR/(up_RadSpec!$H23*s_IFCO_res_adj*s_CF_corn),".")</f>
        <v>6.6115702479338848E-11</v>
      </c>
      <c r="M23" s="76">
        <f>IFERROR(s_TR/(up_RadSpec!$H23*s_IFCU_res_adj*s_CF_cucumber),".")</f>
        <v>6.6115702479338848E-11</v>
      </c>
      <c r="N23" s="76">
        <f>IFERROR(s_TR/(up_RadSpec!$H23*s_IFLE_res_adj*s_CF_lettuce),".")</f>
        <v>6.6115702479338848E-11</v>
      </c>
      <c r="O23" s="76">
        <f>IFERROR(s_TR/(up_RadSpec!$H23*s_IFLI_res_adj*s_CF_lima_bean),".")</f>
        <v>6.6115702479338848E-11</v>
      </c>
      <c r="P23" s="76">
        <f>IFERROR(s_TR/(up_RadSpec!$H23*s_IFOK_res_adj*s_CF_okra),".")</f>
        <v>6.6115702479338848E-11</v>
      </c>
      <c r="Q23" s="76">
        <f>IFERROR(s_TR/(up_RadSpec!$H23*s_IFON_res_adj*s_CF_onion),".")</f>
        <v>6.6115702479338848E-11</v>
      </c>
      <c r="R23" s="76">
        <f>IFERROR(s_TR/(up_RadSpec!$H23*s_IFPC_res_adj*s_CF_peach),".")</f>
        <v>6.6115702479338848E-11</v>
      </c>
      <c r="S23" s="76">
        <f>IFERROR(s_TR/(up_RadSpec!$H23*s_IFPR_res_adj*s_CF_pear),".")</f>
        <v>6.6115702479338848E-11</v>
      </c>
      <c r="T23" s="76">
        <f>IFERROR(s_TR/(up_RadSpec!$H23*s_IFPE_res_adj*s_CF_peas),".")</f>
        <v>6.6115702479338848E-11</v>
      </c>
      <c r="U23" s="76">
        <f>IFERROR(s_TR/(up_RadSpec!$H23*s_IFPP_res_adj*s_CF_peppers),".")</f>
        <v>6.6115702479338848E-11</v>
      </c>
      <c r="V23" s="76">
        <f>IFERROR(s_TR/(up_RadSpec!$H23*s_IFPT_res_adj*s_CF_potato),".")</f>
        <v>6.6115702479338848E-11</v>
      </c>
      <c r="W23" s="76">
        <f>IFERROR(s_TR/(up_RadSpec!$H23*s_IFPU_res_adj*s_CF_pumpkin),".")</f>
        <v>6.6115702479338848E-11</v>
      </c>
      <c r="X23" s="76">
        <f>IFERROR(s_TR/(up_RadSpec!$H23*s_IFSN_res_adj*s_CF_snap_bean),".")</f>
        <v>6.6115702479338848E-11</v>
      </c>
      <c r="Y23" s="76">
        <f>IFERROR(s_TR/(up_RadSpec!$H23*s_IFST_res_adj*s_CF_strawberry),".")</f>
        <v>6.6115702479338848E-11</v>
      </c>
      <c r="Z23" s="76">
        <f>IFERROR(s_TR/(up_RadSpec!$H23*s_IFTO_res_adj*s_CF_tomato),".")</f>
        <v>6.6115702479338848E-11</v>
      </c>
      <c r="AA23" s="76">
        <f>IFERROR(s_TR/(up_RadSpec!$H23*s_IFRI_res_adj*s_CF_rice),".")</f>
        <v>6.6115702479338848E-11</v>
      </c>
      <c r="AB23" s="76">
        <f>IFERROR(s_TR/(up_RadSpec!$H23*s_IFCG_res_adj*s_CF_cereal),".")</f>
        <v>6.6115702479338848E-11</v>
      </c>
      <c r="AC23" s="76">
        <f t="shared" si="25"/>
        <v>1.6528925619834712E-11</v>
      </c>
      <c r="AD23" s="76">
        <f>IFERROR(s_TR/(up_RadSpec!$H23*s_IFAP_far_adj*s_CF_apple),".")</f>
        <v>6.6115702479338848E-11</v>
      </c>
      <c r="AE23" s="76">
        <f>IFERROR(s_TR/(up_RadSpec!$H23*s_IFAS_far_adj*s_CF_asparagus),".")</f>
        <v>6.6115702479338848E-11</v>
      </c>
      <c r="AF23" s="76">
        <f>IFERROR(s_TR/(up_RadSpec!$H23*s_IFBT_far_adj*s_CF_beet),".")</f>
        <v>6.6115702479338848E-11</v>
      </c>
      <c r="AG23" s="76">
        <f>IFERROR(s_TR/(up_RadSpec!$H23*s_IFBE_far_adj*s_CF_berries),".")</f>
        <v>6.6115702479338848E-11</v>
      </c>
      <c r="AH23" s="76">
        <f>IFERROR(s_TR/(up_RadSpec!$H23*s_IFBR_far_adj*s_CF_broccoli),".")</f>
        <v>6.6115702479338848E-11</v>
      </c>
      <c r="AI23" s="76">
        <f>IFERROR(s_TR/(up_RadSpec!$H23*s_IFCB_far_adj*s_CF_cabbage),".")</f>
        <v>6.6115702479338848E-11</v>
      </c>
      <c r="AJ23" s="76">
        <f>IFERROR(s_TR/(up_RadSpec!$H23*s_IFCR_far_adj*s_CF_carrot),".")</f>
        <v>6.6115702479338848E-11</v>
      </c>
      <c r="AK23" s="76">
        <f>IFERROR(s_TR/(up_RadSpec!$H23*s_IFCI_far_adj*s_CF_citrus),".")</f>
        <v>6.6115702479338848E-11</v>
      </c>
      <c r="AL23" s="76">
        <f>IFERROR(s_TR/(up_RadSpec!$H23*s_IFCO_far_adj*s_CF_corn),".")</f>
        <v>6.6115702479338848E-11</v>
      </c>
      <c r="AM23" s="76">
        <f>IFERROR(s_TR/(up_RadSpec!$H23*s_IFCU_far_adj*s_CF_cucumber),".")</f>
        <v>6.6115702479338848E-11</v>
      </c>
      <c r="AN23" s="76">
        <f>IFERROR(s_TR/(up_RadSpec!$H23*s_IFLE_far_adj*s_CF_lettuce),".")</f>
        <v>6.6115702479338848E-11</v>
      </c>
      <c r="AO23" s="76">
        <f>IFERROR(s_TR/(up_RadSpec!$H23*s_IFLI_far_adj*s_CF_lima_bean),".")</f>
        <v>6.6115702479338848E-11</v>
      </c>
      <c r="AP23" s="76">
        <f>IFERROR(s_TR/(up_RadSpec!$H23*s_IFOK_far_adj*s_CF_okra),".")</f>
        <v>6.6115702479338848E-11</v>
      </c>
      <c r="AQ23" s="76">
        <f>IFERROR(s_TR/(up_RadSpec!$H23*s_IFON_far_adj*s_CF_onion),".")</f>
        <v>6.6115702479338848E-11</v>
      </c>
      <c r="AR23" s="76">
        <f>IFERROR(s_TR/(up_RadSpec!$H23*s_IFPC_far_adj*s_CF_peach),".")</f>
        <v>6.6115702479338848E-11</v>
      </c>
      <c r="AS23" s="76">
        <f>IFERROR(s_TR/(up_RadSpec!$H23*s_IFPR_far_adj*s_CF_pear),".")</f>
        <v>6.6115702479338848E-11</v>
      </c>
      <c r="AT23" s="76">
        <f>IFERROR(s_TR/(up_RadSpec!$H23*s_IFPE_far_adj*s_CF_peas),".")</f>
        <v>6.6115702479338848E-11</v>
      </c>
      <c r="AU23" s="76">
        <f>IFERROR(s_TR/(up_RadSpec!$H23*s_IFPP_far_adj*s_CF_peppers),".")</f>
        <v>6.6115702479338848E-11</v>
      </c>
      <c r="AV23" s="76">
        <f>IFERROR(s_TR/(up_RadSpec!$H23*s_IFPT_far_adj*s_CF_potato),".")</f>
        <v>6.6115702479338848E-11</v>
      </c>
      <c r="AW23" s="76">
        <f>IFERROR(s_TR/(up_RadSpec!$H23*s_IFPU_far_adj*s_CF_pumpkin),".")</f>
        <v>6.6115702479338848E-11</v>
      </c>
      <c r="AX23" s="76">
        <f>IFERROR(s_TR/(up_RadSpec!$H23*s_IFSN_far_adj*s_CF_snap_bean),".")</f>
        <v>6.6115702479338848E-11</v>
      </c>
      <c r="AY23" s="76">
        <f>IFERROR(s_TR/(up_RadSpec!$H23*s_IFST_far_adj*s_CF_strawberry),".")</f>
        <v>6.6115702479338848E-11</v>
      </c>
      <c r="AZ23" s="76">
        <f>IFERROR(s_TR/(up_RadSpec!$H23*s_IFTO_far_adj*s_CF_tomato),".")</f>
        <v>6.6115702479338848E-11</v>
      </c>
      <c r="BA23" s="76">
        <f>IFERROR(s_TR/(up_RadSpec!$H23*s_IFRI_far_adj*s_CF_rice),".")</f>
        <v>6.6115702479338848E-11</v>
      </c>
      <c r="BB23" s="76">
        <f>IFERROR(s_TR/(up_RadSpec!$H23*s_IFCG_far_adj*s_CF_cereal),".")</f>
        <v>6.6115702479338848E-11</v>
      </c>
      <c r="BC23" s="93">
        <f t="shared" si="26"/>
        <v>605000</v>
      </c>
      <c r="BD23" s="93">
        <f t="shared" si="0"/>
        <v>151250</v>
      </c>
      <c r="BE23" s="93">
        <f t="shared" si="1"/>
        <v>151250</v>
      </c>
      <c r="BF23" s="93">
        <f t="shared" si="2"/>
        <v>151250</v>
      </c>
      <c r="BG23" s="93">
        <f t="shared" si="3"/>
        <v>151250</v>
      </c>
      <c r="BH23" s="93">
        <f t="shared" si="4"/>
        <v>151250</v>
      </c>
      <c r="BI23" s="93">
        <f t="shared" si="5"/>
        <v>151250</v>
      </c>
      <c r="BJ23" s="93">
        <f t="shared" si="6"/>
        <v>151250</v>
      </c>
      <c r="BK23" s="93">
        <f t="shared" si="7"/>
        <v>151250</v>
      </c>
      <c r="BL23" s="93">
        <f t="shared" si="8"/>
        <v>151250</v>
      </c>
      <c r="BM23" s="93">
        <f t="shared" si="9"/>
        <v>151250</v>
      </c>
      <c r="BN23" s="93">
        <f t="shared" si="10"/>
        <v>151250</v>
      </c>
      <c r="BO23" s="93">
        <f t="shared" si="11"/>
        <v>151250</v>
      </c>
      <c r="BP23" s="93">
        <f t="shared" si="12"/>
        <v>151250</v>
      </c>
      <c r="BQ23" s="93">
        <f t="shared" si="13"/>
        <v>151250</v>
      </c>
      <c r="BR23" s="93">
        <f t="shared" si="14"/>
        <v>151250</v>
      </c>
      <c r="BS23" s="93">
        <f t="shared" si="15"/>
        <v>151250</v>
      </c>
      <c r="BT23" s="93">
        <f t="shared" si="27"/>
        <v>151250</v>
      </c>
      <c r="BU23" s="93">
        <f t="shared" si="16"/>
        <v>151250</v>
      </c>
      <c r="BV23" s="93">
        <f t="shared" si="17"/>
        <v>151250</v>
      </c>
      <c r="BW23" s="93">
        <f t="shared" si="18"/>
        <v>151250</v>
      </c>
      <c r="BX23" s="93">
        <f t="shared" si="19"/>
        <v>151250</v>
      </c>
      <c r="BY23" s="93">
        <f t="shared" si="20"/>
        <v>151250</v>
      </c>
      <c r="BZ23" s="93">
        <f t="shared" si="21"/>
        <v>151250</v>
      </c>
      <c r="CA23" s="93">
        <f t="shared" si="22"/>
        <v>151250</v>
      </c>
      <c r="CB23" s="93">
        <f t="shared" si="23"/>
        <v>151250</v>
      </c>
    </row>
    <row r="24" spans="1:80" x14ac:dyDescent="0.25">
      <c r="A24" s="92" t="s">
        <v>34</v>
      </c>
      <c r="B24" s="90" t="s">
        <v>1071</v>
      </c>
      <c r="C24" s="76">
        <f t="shared" si="24"/>
        <v>1.6528925619834712E-11</v>
      </c>
      <c r="D24" s="76">
        <f>IFERROR(s_TR/(up_RadSpec!$H24*s_IFAP_res_adj*s_CF_apple),".")</f>
        <v>6.6115702479338848E-11</v>
      </c>
      <c r="E24" s="76">
        <f>IFERROR(s_TR/(up_RadSpec!$H24*s_IFAS_res_adj*s_CF_asparagus),".")</f>
        <v>6.6115702479338848E-11</v>
      </c>
      <c r="F24" s="76">
        <f>IFERROR(s_TR/(up_RadSpec!$H24*s_IFBT_res_adj*s_CF_beet),".")</f>
        <v>6.6115702479338848E-11</v>
      </c>
      <c r="G24" s="76">
        <f>IFERROR(s_TR/(up_RadSpec!$H24*s_IFBE_res_adj*s_CF_berries),".")</f>
        <v>6.6115702479338848E-11</v>
      </c>
      <c r="H24" s="76">
        <f>IFERROR(s_TR/(up_RadSpec!$H24*s_IFBR_res_adj*s_CF_broccoli),".")</f>
        <v>6.6115702479338848E-11</v>
      </c>
      <c r="I24" s="76">
        <f>IFERROR(s_TR/(up_RadSpec!$H24*s_IFCB_res_adj*s_CF_cabbage),".")</f>
        <v>6.6115702479338848E-11</v>
      </c>
      <c r="J24" s="76">
        <f>IFERROR(s_TR/(up_RadSpec!$H24*s_IFCR_res_adj*s_CF_carrot),".")</f>
        <v>6.6115702479338848E-11</v>
      </c>
      <c r="K24" s="76">
        <f>IFERROR(s_TR/(up_RadSpec!$H24*s_IFCI_res_adj*s_CF_citrus),".")</f>
        <v>6.6115702479338848E-11</v>
      </c>
      <c r="L24" s="76">
        <f>IFERROR(s_TR/(up_RadSpec!$H24*s_IFCO_res_adj*s_CF_corn),".")</f>
        <v>6.6115702479338848E-11</v>
      </c>
      <c r="M24" s="76">
        <f>IFERROR(s_TR/(up_RadSpec!$H24*s_IFCU_res_adj*s_CF_cucumber),".")</f>
        <v>6.6115702479338848E-11</v>
      </c>
      <c r="N24" s="76">
        <f>IFERROR(s_TR/(up_RadSpec!$H24*s_IFLE_res_adj*s_CF_lettuce),".")</f>
        <v>6.6115702479338848E-11</v>
      </c>
      <c r="O24" s="76">
        <f>IFERROR(s_TR/(up_RadSpec!$H24*s_IFLI_res_adj*s_CF_lima_bean),".")</f>
        <v>6.6115702479338848E-11</v>
      </c>
      <c r="P24" s="76">
        <f>IFERROR(s_TR/(up_RadSpec!$H24*s_IFOK_res_adj*s_CF_okra),".")</f>
        <v>6.6115702479338848E-11</v>
      </c>
      <c r="Q24" s="76">
        <f>IFERROR(s_TR/(up_RadSpec!$H24*s_IFON_res_adj*s_CF_onion),".")</f>
        <v>6.6115702479338848E-11</v>
      </c>
      <c r="R24" s="76">
        <f>IFERROR(s_TR/(up_RadSpec!$H24*s_IFPC_res_adj*s_CF_peach),".")</f>
        <v>6.6115702479338848E-11</v>
      </c>
      <c r="S24" s="76">
        <f>IFERROR(s_TR/(up_RadSpec!$H24*s_IFPR_res_adj*s_CF_pear),".")</f>
        <v>6.6115702479338848E-11</v>
      </c>
      <c r="T24" s="76">
        <f>IFERROR(s_TR/(up_RadSpec!$H24*s_IFPE_res_adj*s_CF_peas),".")</f>
        <v>6.6115702479338848E-11</v>
      </c>
      <c r="U24" s="76">
        <f>IFERROR(s_TR/(up_RadSpec!$H24*s_IFPP_res_adj*s_CF_peppers),".")</f>
        <v>6.6115702479338848E-11</v>
      </c>
      <c r="V24" s="76">
        <f>IFERROR(s_TR/(up_RadSpec!$H24*s_IFPT_res_adj*s_CF_potato),".")</f>
        <v>6.6115702479338848E-11</v>
      </c>
      <c r="W24" s="76">
        <f>IFERROR(s_TR/(up_RadSpec!$H24*s_IFPU_res_adj*s_CF_pumpkin),".")</f>
        <v>6.6115702479338848E-11</v>
      </c>
      <c r="X24" s="76">
        <f>IFERROR(s_TR/(up_RadSpec!$H24*s_IFSN_res_adj*s_CF_snap_bean),".")</f>
        <v>6.6115702479338848E-11</v>
      </c>
      <c r="Y24" s="76">
        <f>IFERROR(s_TR/(up_RadSpec!$H24*s_IFST_res_adj*s_CF_strawberry),".")</f>
        <v>6.6115702479338848E-11</v>
      </c>
      <c r="Z24" s="76">
        <f>IFERROR(s_TR/(up_RadSpec!$H24*s_IFTO_res_adj*s_CF_tomato),".")</f>
        <v>6.6115702479338848E-11</v>
      </c>
      <c r="AA24" s="76">
        <f>IFERROR(s_TR/(up_RadSpec!$H24*s_IFRI_res_adj*s_CF_rice),".")</f>
        <v>6.6115702479338848E-11</v>
      </c>
      <c r="AB24" s="76">
        <f>IFERROR(s_TR/(up_RadSpec!$H24*s_IFCG_res_adj*s_CF_cereal),".")</f>
        <v>6.6115702479338848E-11</v>
      </c>
      <c r="AC24" s="76">
        <f t="shared" si="25"/>
        <v>1.6528925619834712E-11</v>
      </c>
      <c r="AD24" s="76">
        <f>IFERROR(s_TR/(up_RadSpec!$H24*s_IFAP_far_adj*s_CF_apple),".")</f>
        <v>6.6115702479338848E-11</v>
      </c>
      <c r="AE24" s="76">
        <f>IFERROR(s_TR/(up_RadSpec!$H24*s_IFAS_far_adj*s_CF_asparagus),".")</f>
        <v>6.6115702479338848E-11</v>
      </c>
      <c r="AF24" s="76">
        <f>IFERROR(s_TR/(up_RadSpec!$H24*s_IFBT_far_adj*s_CF_beet),".")</f>
        <v>6.6115702479338848E-11</v>
      </c>
      <c r="AG24" s="76">
        <f>IFERROR(s_TR/(up_RadSpec!$H24*s_IFBE_far_adj*s_CF_berries),".")</f>
        <v>6.6115702479338848E-11</v>
      </c>
      <c r="AH24" s="76">
        <f>IFERROR(s_TR/(up_RadSpec!$H24*s_IFBR_far_adj*s_CF_broccoli),".")</f>
        <v>6.6115702479338848E-11</v>
      </c>
      <c r="AI24" s="76">
        <f>IFERROR(s_TR/(up_RadSpec!$H24*s_IFCB_far_adj*s_CF_cabbage),".")</f>
        <v>6.6115702479338848E-11</v>
      </c>
      <c r="AJ24" s="76">
        <f>IFERROR(s_TR/(up_RadSpec!$H24*s_IFCR_far_adj*s_CF_carrot),".")</f>
        <v>6.6115702479338848E-11</v>
      </c>
      <c r="AK24" s="76">
        <f>IFERROR(s_TR/(up_RadSpec!$H24*s_IFCI_far_adj*s_CF_citrus),".")</f>
        <v>6.6115702479338848E-11</v>
      </c>
      <c r="AL24" s="76">
        <f>IFERROR(s_TR/(up_RadSpec!$H24*s_IFCO_far_adj*s_CF_corn),".")</f>
        <v>6.6115702479338848E-11</v>
      </c>
      <c r="AM24" s="76">
        <f>IFERROR(s_TR/(up_RadSpec!$H24*s_IFCU_far_adj*s_CF_cucumber),".")</f>
        <v>6.6115702479338848E-11</v>
      </c>
      <c r="AN24" s="76">
        <f>IFERROR(s_TR/(up_RadSpec!$H24*s_IFLE_far_adj*s_CF_lettuce),".")</f>
        <v>6.6115702479338848E-11</v>
      </c>
      <c r="AO24" s="76">
        <f>IFERROR(s_TR/(up_RadSpec!$H24*s_IFLI_far_adj*s_CF_lima_bean),".")</f>
        <v>6.6115702479338848E-11</v>
      </c>
      <c r="AP24" s="76">
        <f>IFERROR(s_TR/(up_RadSpec!$H24*s_IFOK_far_adj*s_CF_okra),".")</f>
        <v>6.6115702479338848E-11</v>
      </c>
      <c r="AQ24" s="76">
        <f>IFERROR(s_TR/(up_RadSpec!$H24*s_IFON_far_adj*s_CF_onion),".")</f>
        <v>6.6115702479338848E-11</v>
      </c>
      <c r="AR24" s="76">
        <f>IFERROR(s_TR/(up_RadSpec!$H24*s_IFPC_far_adj*s_CF_peach),".")</f>
        <v>6.6115702479338848E-11</v>
      </c>
      <c r="AS24" s="76">
        <f>IFERROR(s_TR/(up_RadSpec!$H24*s_IFPR_far_adj*s_CF_pear),".")</f>
        <v>6.6115702479338848E-11</v>
      </c>
      <c r="AT24" s="76">
        <f>IFERROR(s_TR/(up_RadSpec!$H24*s_IFPE_far_adj*s_CF_peas),".")</f>
        <v>6.6115702479338848E-11</v>
      </c>
      <c r="AU24" s="76">
        <f>IFERROR(s_TR/(up_RadSpec!$H24*s_IFPP_far_adj*s_CF_peppers),".")</f>
        <v>6.6115702479338848E-11</v>
      </c>
      <c r="AV24" s="76">
        <f>IFERROR(s_TR/(up_RadSpec!$H24*s_IFPT_far_adj*s_CF_potato),".")</f>
        <v>6.6115702479338848E-11</v>
      </c>
      <c r="AW24" s="76">
        <f>IFERROR(s_TR/(up_RadSpec!$H24*s_IFPU_far_adj*s_CF_pumpkin),".")</f>
        <v>6.6115702479338848E-11</v>
      </c>
      <c r="AX24" s="76">
        <f>IFERROR(s_TR/(up_RadSpec!$H24*s_IFSN_far_adj*s_CF_snap_bean),".")</f>
        <v>6.6115702479338848E-11</v>
      </c>
      <c r="AY24" s="76">
        <f>IFERROR(s_TR/(up_RadSpec!$H24*s_IFST_far_adj*s_CF_strawberry),".")</f>
        <v>6.6115702479338848E-11</v>
      </c>
      <c r="AZ24" s="76">
        <f>IFERROR(s_TR/(up_RadSpec!$H24*s_IFTO_far_adj*s_CF_tomato),".")</f>
        <v>6.6115702479338848E-11</v>
      </c>
      <c r="BA24" s="76">
        <f>IFERROR(s_TR/(up_RadSpec!$H24*s_IFRI_far_adj*s_CF_rice),".")</f>
        <v>6.6115702479338848E-11</v>
      </c>
      <c r="BB24" s="76">
        <f>IFERROR(s_TR/(up_RadSpec!$H24*s_IFCG_far_adj*s_CF_cereal),".")</f>
        <v>6.6115702479338848E-11</v>
      </c>
      <c r="BC24" s="93">
        <f t="shared" si="26"/>
        <v>605000</v>
      </c>
      <c r="BD24" s="93">
        <f t="shared" si="0"/>
        <v>151250</v>
      </c>
      <c r="BE24" s="93">
        <f t="shared" si="1"/>
        <v>151250</v>
      </c>
      <c r="BF24" s="93">
        <f t="shared" si="2"/>
        <v>151250</v>
      </c>
      <c r="BG24" s="93">
        <f t="shared" si="3"/>
        <v>151250</v>
      </c>
      <c r="BH24" s="93">
        <f t="shared" si="4"/>
        <v>151250</v>
      </c>
      <c r="BI24" s="93">
        <f t="shared" si="5"/>
        <v>151250</v>
      </c>
      <c r="BJ24" s="93">
        <f t="shared" si="6"/>
        <v>151250</v>
      </c>
      <c r="BK24" s="93">
        <f t="shared" si="7"/>
        <v>151250</v>
      </c>
      <c r="BL24" s="93">
        <f t="shared" si="8"/>
        <v>151250</v>
      </c>
      <c r="BM24" s="93">
        <f t="shared" si="9"/>
        <v>151250</v>
      </c>
      <c r="BN24" s="93">
        <f t="shared" si="10"/>
        <v>151250</v>
      </c>
      <c r="BO24" s="93">
        <f t="shared" si="11"/>
        <v>151250</v>
      </c>
      <c r="BP24" s="93">
        <f t="shared" si="12"/>
        <v>151250</v>
      </c>
      <c r="BQ24" s="93">
        <f t="shared" si="13"/>
        <v>151250</v>
      </c>
      <c r="BR24" s="93">
        <f t="shared" si="14"/>
        <v>151250</v>
      </c>
      <c r="BS24" s="93">
        <f t="shared" si="15"/>
        <v>151250</v>
      </c>
      <c r="BT24" s="93">
        <f t="shared" si="27"/>
        <v>151250</v>
      </c>
      <c r="BU24" s="93">
        <f t="shared" si="16"/>
        <v>151250</v>
      </c>
      <c r="BV24" s="93">
        <f t="shared" si="17"/>
        <v>151250</v>
      </c>
      <c r="BW24" s="93">
        <f t="shared" si="18"/>
        <v>151250</v>
      </c>
      <c r="BX24" s="93">
        <f t="shared" si="19"/>
        <v>151250</v>
      </c>
      <c r="BY24" s="93">
        <f t="shared" si="20"/>
        <v>151250</v>
      </c>
      <c r="BZ24" s="93">
        <f t="shared" si="21"/>
        <v>151250</v>
      </c>
      <c r="CA24" s="93">
        <f t="shared" si="22"/>
        <v>151250</v>
      </c>
      <c r="CB24" s="93">
        <f t="shared" si="23"/>
        <v>151250</v>
      </c>
    </row>
    <row r="25" spans="1:80" x14ac:dyDescent="0.25">
      <c r="A25" s="94" t="s">
        <v>35</v>
      </c>
      <c r="B25" s="90" t="s">
        <v>349</v>
      </c>
      <c r="C25" s="76">
        <f t="shared" si="24"/>
        <v>1.6528925619834712E-11</v>
      </c>
      <c r="D25" s="76">
        <f>IFERROR(s_TR/(up_RadSpec!$H25*s_IFAP_res_adj*s_CF_apple),".")</f>
        <v>6.6115702479338848E-11</v>
      </c>
      <c r="E25" s="76">
        <f>IFERROR(s_TR/(up_RadSpec!$H25*s_IFAS_res_adj*s_CF_asparagus),".")</f>
        <v>6.6115702479338848E-11</v>
      </c>
      <c r="F25" s="76">
        <f>IFERROR(s_TR/(up_RadSpec!$H25*s_IFBT_res_adj*s_CF_beet),".")</f>
        <v>6.6115702479338848E-11</v>
      </c>
      <c r="G25" s="76">
        <f>IFERROR(s_TR/(up_RadSpec!$H25*s_IFBE_res_adj*s_CF_berries),".")</f>
        <v>6.6115702479338848E-11</v>
      </c>
      <c r="H25" s="76">
        <f>IFERROR(s_TR/(up_RadSpec!$H25*s_IFBR_res_adj*s_CF_broccoli),".")</f>
        <v>6.6115702479338848E-11</v>
      </c>
      <c r="I25" s="76">
        <f>IFERROR(s_TR/(up_RadSpec!$H25*s_IFCB_res_adj*s_CF_cabbage),".")</f>
        <v>6.6115702479338848E-11</v>
      </c>
      <c r="J25" s="76">
        <f>IFERROR(s_TR/(up_RadSpec!$H25*s_IFCR_res_adj*s_CF_carrot),".")</f>
        <v>6.6115702479338848E-11</v>
      </c>
      <c r="K25" s="76">
        <f>IFERROR(s_TR/(up_RadSpec!$H25*s_IFCI_res_adj*s_CF_citrus),".")</f>
        <v>6.6115702479338848E-11</v>
      </c>
      <c r="L25" s="76">
        <f>IFERROR(s_TR/(up_RadSpec!$H25*s_IFCO_res_adj*s_CF_corn),".")</f>
        <v>6.6115702479338848E-11</v>
      </c>
      <c r="M25" s="76">
        <f>IFERROR(s_TR/(up_RadSpec!$H25*s_IFCU_res_adj*s_CF_cucumber),".")</f>
        <v>6.6115702479338848E-11</v>
      </c>
      <c r="N25" s="76">
        <f>IFERROR(s_TR/(up_RadSpec!$H25*s_IFLE_res_adj*s_CF_lettuce),".")</f>
        <v>6.6115702479338848E-11</v>
      </c>
      <c r="O25" s="76">
        <f>IFERROR(s_TR/(up_RadSpec!$H25*s_IFLI_res_adj*s_CF_lima_bean),".")</f>
        <v>6.6115702479338848E-11</v>
      </c>
      <c r="P25" s="76">
        <f>IFERROR(s_TR/(up_RadSpec!$H25*s_IFOK_res_adj*s_CF_okra),".")</f>
        <v>6.6115702479338848E-11</v>
      </c>
      <c r="Q25" s="76">
        <f>IFERROR(s_TR/(up_RadSpec!$H25*s_IFON_res_adj*s_CF_onion),".")</f>
        <v>6.6115702479338848E-11</v>
      </c>
      <c r="R25" s="76">
        <f>IFERROR(s_TR/(up_RadSpec!$H25*s_IFPC_res_adj*s_CF_peach),".")</f>
        <v>6.6115702479338848E-11</v>
      </c>
      <c r="S25" s="76">
        <f>IFERROR(s_TR/(up_RadSpec!$H25*s_IFPR_res_adj*s_CF_pear),".")</f>
        <v>6.6115702479338848E-11</v>
      </c>
      <c r="T25" s="76">
        <f>IFERROR(s_TR/(up_RadSpec!$H25*s_IFPE_res_adj*s_CF_peas),".")</f>
        <v>6.6115702479338848E-11</v>
      </c>
      <c r="U25" s="76">
        <f>IFERROR(s_TR/(up_RadSpec!$H25*s_IFPP_res_adj*s_CF_peppers),".")</f>
        <v>6.6115702479338848E-11</v>
      </c>
      <c r="V25" s="76">
        <f>IFERROR(s_TR/(up_RadSpec!$H25*s_IFPT_res_adj*s_CF_potato),".")</f>
        <v>6.6115702479338848E-11</v>
      </c>
      <c r="W25" s="76">
        <f>IFERROR(s_TR/(up_RadSpec!$H25*s_IFPU_res_adj*s_CF_pumpkin),".")</f>
        <v>6.6115702479338848E-11</v>
      </c>
      <c r="X25" s="76">
        <f>IFERROR(s_TR/(up_RadSpec!$H25*s_IFSN_res_adj*s_CF_snap_bean),".")</f>
        <v>6.6115702479338848E-11</v>
      </c>
      <c r="Y25" s="76">
        <f>IFERROR(s_TR/(up_RadSpec!$H25*s_IFST_res_adj*s_CF_strawberry),".")</f>
        <v>6.6115702479338848E-11</v>
      </c>
      <c r="Z25" s="76">
        <f>IFERROR(s_TR/(up_RadSpec!$H25*s_IFTO_res_adj*s_CF_tomato),".")</f>
        <v>6.6115702479338848E-11</v>
      </c>
      <c r="AA25" s="76">
        <f>IFERROR(s_TR/(up_RadSpec!$H25*s_IFRI_res_adj*s_CF_rice),".")</f>
        <v>6.6115702479338848E-11</v>
      </c>
      <c r="AB25" s="76">
        <f>IFERROR(s_TR/(up_RadSpec!$H25*s_IFCG_res_adj*s_CF_cereal),".")</f>
        <v>6.6115702479338848E-11</v>
      </c>
      <c r="AC25" s="76">
        <f t="shared" si="25"/>
        <v>1.6528925619834712E-11</v>
      </c>
      <c r="AD25" s="76">
        <f>IFERROR(s_TR/(up_RadSpec!$H25*s_IFAP_far_adj*s_CF_apple),".")</f>
        <v>6.6115702479338848E-11</v>
      </c>
      <c r="AE25" s="76">
        <f>IFERROR(s_TR/(up_RadSpec!$H25*s_IFAS_far_adj*s_CF_asparagus),".")</f>
        <v>6.6115702479338848E-11</v>
      </c>
      <c r="AF25" s="76">
        <f>IFERROR(s_TR/(up_RadSpec!$H25*s_IFBT_far_adj*s_CF_beet),".")</f>
        <v>6.6115702479338848E-11</v>
      </c>
      <c r="AG25" s="76">
        <f>IFERROR(s_TR/(up_RadSpec!$H25*s_IFBE_far_adj*s_CF_berries),".")</f>
        <v>6.6115702479338848E-11</v>
      </c>
      <c r="AH25" s="76">
        <f>IFERROR(s_TR/(up_RadSpec!$H25*s_IFBR_far_adj*s_CF_broccoli),".")</f>
        <v>6.6115702479338848E-11</v>
      </c>
      <c r="AI25" s="76">
        <f>IFERROR(s_TR/(up_RadSpec!$H25*s_IFCB_far_adj*s_CF_cabbage),".")</f>
        <v>6.6115702479338848E-11</v>
      </c>
      <c r="AJ25" s="76">
        <f>IFERROR(s_TR/(up_RadSpec!$H25*s_IFCR_far_adj*s_CF_carrot),".")</f>
        <v>6.6115702479338848E-11</v>
      </c>
      <c r="AK25" s="76">
        <f>IFERROR(s_TR/(up_RadSpec!$H25*s_IFCI_far_adj*s_CF_citrus),".")</f>
        <v>6.6115702479338848E-11</v>
      </c>
      <c r="AL25" s="76">
        <f>IFERROR(s_TR/(up_RadSpec!$H25*s_IFCO_far_adj*s_CF_corn),".")</f>
        <v>6.6115702479338848E-11</v>
      </c>
      <c r="AM25" s="76">
        <f>IFERROR(s_TR/(up_RadSpec!$H25*s_IFCU_far_adj*s_CF_cucumber),".")</f>
        <v>6.6115702479338848E-11</v>
      </c>
      <c r="AN25" s="76">
        <f>IFERROR(s_TR/(up_RadSpec!$H25*s_IFLE_far_adj*s_CF_lettuce),".")</f>
        <v>6.6115702479338848E-11</v>
      </c>
      <c r="AO25" s="76">
        <f>IFERROR(s_TR/(up_RadSpec!$H25*s_IFLI_far_adj*s_CF_lima_bean),".")</f>
        <v>6.6115702479338848E-11</v>
      </c>
      <c r="AP25" s="76">
        <f>IFERROR(s_TR/(up_RadSpec!$H25*s_IFOK_far_adj*s_CF_okra),".")</f>
        <v>6.6115702479338848E-11</v>
      </c>
      <c r="AQ25" s="76">
        <f>IFERROR(s_TR/(up_RadSpec!$H25*s_IFON_far_adj*s_CF_onion),".")</f>
        <v>6.6115702479338848E-11</v>
      </c>
      <c r="AR25" s="76">
        <f>IFERROR(s_TR/(up_RadSpec!$H25*s_IFPC_far_adj*s_CF_peach),".")</f>
        <v>6.6115702479338848E-11</v>
      </c>
      <c r="AS25" s="76">
        <f>IFERROR(s_TR/(up_RadSpec!$H25*s_IFPR_far_adj*s_CF_pear),".")</f>
        <v>6.6115702479338848E-11</v>
      </c>
      <c r="AT25" s="76">
        <f>IFERROR(s_TR/(up_RadSpec!$H25*s_IFPE_far_adj*s_CF_peas),".")</f>
        <v>6.6115702479338848E-11</v>
      </c>
      <c r="AU25" s="76">
        <f>IFERROR(s_TR/(up_RadSpec!$H25*s_IFPP_far_adj*s_CF_peppers),".")</f>
        <v>6.6115702479338848E-11</v>
      </c>
      <c r="AV25" s="76">
        <f>IFERROR(s_TR/(up_RadSpec!$H25*s_IFPT_far_adj*s_CF_potato),".")</f>
        <v>6.6115702479338848E-11</v>
      </c>
      <c r="AW25" s="76">
        <f>IFERROR(s_TR/(up_RadSpec!$H25*s_IFPU_far_adj*s_CF_pumpkin),".")</f>
        <v>6.6115702479338848E-11</v>
      </c>
      <c r="AX25" s="76">
        <f>IFERROR(s_TR/(up_RadSpec!$H25*s_IFSN_far_adj*s_CF_snap_bean),".")</f>
        <v>6.6115702479338848E-11</v>
      </c>
      <c r="AY25" s="76">
        <f>IFERROR(s_TR/(up_RadSpec!$H25*s_IFST_far_adj*s_CF_strawberry),".")</f>
        <v>6.6115702479338848E-11</v>
      </c>
      <c r="AZ25" s="76">
        <f>IFERROR(s_TR/(up_RadSpec!$H25*s_IFTO_far_adj*s_CF_tomato),".")</f>
        <v>6.6115702479338848E-11</v>
      </c>
      <c r="BA25" s="76">
        <f>IFERROR(s_TR/(up_RadSpec!$H25*s_IFRI_far_adj*s_CF_rice),".")</f>
        <v>6.6115702479338848E-11</v>
      </c>
      <c r="BB25" s="76">
        <f>IFERROR(s_TR/(up_RadSpec!$H25*s_IFCG_far_adj*s_CF_cereal),".")</f>
        <v>6.6115702479338848E-11</v>
      </c>
      <c r="BC25" s="93">
        <f t="shared" si="26"/>
        <v>605000</v>
      </c>
      <c r="BD25" s="93">
        <f t="shared" si="0"/>
        <v>151250</v>
      </c>
      <c r="BE25" s="93">
        <f t="shared" si="1"/>
        <v>151250</v>
      </c>
      <c r="BF25" s="93">
        <f t="shared" si="2"/>
        <v>151250</v>
      </c>
      <c r="BG25" s="93">
        <f t="shared" si="3"/>
        <v>151250</v>
      </c>
      <c r="BH25" s="93">
        <f t="shared" si="4"/>
        <v>151250</v>
      </c>
      <c r="BI25" s="93">
        <f t="shared" si="5"/>
        <v>151250</v>
      </c>
      <c r="BJ25" s="93">
        <f t="shared" si="6"/>
        <v>151250</v>
      </c>
      <c r="BK25" s="93">
        <f t="shared" si="7"/>
        <v>151250</v>
      </c>
      <c r="BL25" s="93">
        <f t="shared" si="8"/>
        <v>151250</v>
      </c>
      <c r="BM25" s="93">
        <f t="shared" si="9"/>
        <v>151250</v>
      </c>
      <c r="BN25" s="93">
        <f t="shared" si="10"/>
        <v>151250</v>
      </c>
      <c r="BO25" s="93">
        <f t="shared" si="11"/>
        <v>151250</v>
      </c>
      <c r="BP25" s="93">
        <f t="shared" si="12"/>
        <v>151250</v>
      </c>
      <c r="BQ25" s="93">
        <f t="shared" si="13"/>
        <v>151250</v>
      </c>
      <c r="BR25" s="93">
        <f t="shared" si="14"/>
        <v>151250</v>
      </c>
      <c r="BS25" s="93">
        <f t="shared" si="15"/>
        <v>151250</v>
      </c>
      <c r="BT25" s="93">
        <f t="shared" si="27"/>
        <v>151250</v>
      </c>
      <c r="BU25" s="93">
        <f t="shared" si="16"/>
        <v>151250</v>
      </c>
      <c r="BV25" s="93">
        <f t="shared" si="17"/>
        <v>151250</v>
      </c>
      <c r="BW25" s="93">
        <f t="shared" si="18"/>
        <v>151250</v>
      </c>
      <c r="BX25" s="93">
        <f t="shared" si="19"/>
        <v>151250</v>
      </c>
      <c r="BY25" s="93">
        <f t="shared" si="20"/>
        <v>151250</v>
      </c>
      <c r="BZ25" s="93">
        <f t="shared" si="21"/>
        <v>151250</v>
      </c>
      <c r="CA25" s="93">
        <f t="shared" si="22"/>
        <v>151250</v>
      </c>
      <c r="CB25" s="93">
        <f t="shared" si="23"/>
        <v>151250</v>
      </c>
    </row>
    <row r="26" spans="1:80" x14ac:dyDescent="0.25">
      <c r="A26" s="92" t="s">
        <v>36</v>
      </c>
      <c r="B26" s="90" t="s">
        <v>1071</v>
      </c>
      <c r="C26" s="76">
        <f t="shared" si="24"/>
        <v>1.6528925619834712E-11</v>
      </c>
      <c r="D26" s="76">
        <f>IFERROR(s_TR/(up_RadSpec!$H26*s_IFAP_res_adj*s_CF_apple),".")</f>
        <v>6.6115702479338848E-11</v>
      </c>
      <c r="E26" s="76">
        <f>IFERROR(s_TR/(up_RadSpec!$H26*s_IFAS_res_adj*s_CF_asparagus),".")</f>
        <v>6.6115702479338848E-11</v>
      </c>
      <c r="F26" s="76">
        <f>IFERROR(s_TR/(up_RadSpec!$H26*s_IFBT_res_adj*s_CF_beet),".")</f>
        <v>6.6115702479338848E-11</v>
      </c>
      <c r="G26" s="76">
        <f>IFERROR(s_TR/(up_RadSpec!$H26*s_IFBE_res_adj*s_CF_berries),".")</f>
        <v>6.6115702479338848E-11</v>
      </c>
      <c r="H26" s="76">
        <f>IFERROR(s_TR/(up_RadSpec!$H26*s_IFBR_res_adj*s_CF_broccoli),".")</f>
        <v>6.6115702479338848E-11</v>
      </c>
      <c r="I26" s="76">
        <f>IFERROR(s_TR/(up_RadSpec!$H26*s_IFCB_res_adj*s_CF_cabbage),".")</f>
        <v>6.6115702479338848E-11</v>
      </c>
      <c r="J26" s="76">
        <f>IFERROR(s_TR/(up_RadSpec!$H26*s_IFCR_res_adj*s_CF_carrot),".")</f>
        <v>6.6115702479338848E-11</v>
      </c>
      <c r="K26" s="76">
        <f>IFERROR(s_TR/(up_RadSpec!$H26*s_IFCI_res_adj*s_CF_citrus),".")</f>
        <v>6.6115702479338848E-11</v>
      </c>
      <c r="L26" s="76">
        <f>IFERROR(s_TR/(up_RadSpec!$H26*s_IFCO_res_adj*s_CF_corn),".")</f>
        <v>6.6115702479338848E-11</v>
      </c>
      <c r="M26" s="76">
        <f>IFERROR(s_TR/(up_RadSpec!$H26*s_IFCU_res_adj*s_CF_cucumber),".")</f>
        <v>6.6115702479338848E-11</v>
      </c>
      <c r="N26" s="76">
        <f>IFERROR(s_TR/(up_RadSpec!$H26*s_IFLE_res_adj*s_CF_lettuce),".")</f>
        <v>6.6115702479338848E-11</v>
      </c>
      <c r="O26" s="76">
        <f>IFERROR(s_TR/(up_RadSpec!$H26*s_IFLI_res_adj*s_CF_lima_bean),".")</f>
        <v>6.6115702479338848E-11</v>
      </c>
      <c r="P26" s="76">
        <f>IFERROR(s_TR/(up_RadSpec!$H26*s_IFOK_res_adj*s_CF_okra),".")</f>
        <v>6.6115702479338848E-11</v>
      </c>
      <c r="Q26" s="76">
        <f>IFERROR(s_TR/(up_RadSpec!$H26*s_IFON_res_adj*s_CF_onion),".")</f>
        <v>6.6115702479338848E-11</v>
      </c>
      <c r="R26" s="76">
        <f>IFERROR(s_TR/(up_RadSpec!$H26*s_IFPC_res_adj*s_CF_peach),".")</f>
        <v>6.6115702479338848E-11</v>
      </c>
      <c r="S26" s="76">
        <f>IFERROR(s_TR/(up_RadSpec!$H26*s_IFPR_res_adj*s_CF_pear),".")</f>
        <v>6.6115702479338848E-11</v>
      </c>
      <c r="T26" s="76">
        <f>IFERROR(s_TR/(up_RadSpec!$H26*s_IFPE_res_adj*s_CF_peas),".")</f>
        <v>6.6115702479338848E-11</v>
      </c>
      <c r="U26" s="76">
        <f>IFERROR(s_TR/(up_RadSpec!$H26*s_IFPP_res_adj*s_CF_peppers),".")</f>
        <v>6.6115702479338848E-11</v>
      </c>
      <c r="V26" s="76">
        <f>IFERROR(s_TR/(up_RadSpec!$H26*s_IFPT_res_adj*s_CF_potato),".")</f>
        <v>6.6115702479338848E-11</v>
      </c>
      <c r="W26" s="76">
        <f>IFERROR(s_TR/(up_RadSpec!$H26*s_IFPU_res_adj*s_CF_pumpkin),".")</f>
        <v>6.6115702479338848E-11</v>
      </c>
      <c r="X26" s="76">
        <f>IFERROR(s_TR/(up_RadSpec!$H26*s_IFSN_res_adj*s_CF_snap_bean),".")</f>
        <v>6.6115702479338848E-11</v>
      </c>
      <c r="Y26" s="76">
        <f>IFERROR(s_TR/(up_RadSpec!$H26*s_IFST_res_adj*s_CF_strawberry),".")</f>
        <v>6.6115702479338848E-11</v>
      </c>
      <c r="Z26" s="76">
        <f>IFERROR(s_TR/(up_RadSpec!$H26*s_IFTO_res_adj*s_CF_tomato),".")</f>
        <v>6.6115702479338848E-11</v>
      </c>
      <c r="AA26" s="76">
        <f>IFERROR(s_TR/(up_RadSpec!$H26*s_IFRI_res_adj*s_CF_rice),".")</f>
        <v>6.6115702479338848E-11</v>
      </c>
      <c r="AB26" s="76">
        <f>IFERROR(s_TR/(up_RadSpec!$H26*s_IFCG_res_adj*s_CF_cereal),".")</f>
        <v>6.6115702479338848E-11</v>
      </c>
      <c r="AC26" s="76">
        <f t="shared" si="25"/>
        <v>1.6528925619834712E-11</v>
      </c>
      <c r="AD26" s="76">
        <f>IFERROR(s_TR/(up_RadSpec!$H26*s_IFAP_far_adj*s_CF_apple),".")</f>
        <v>6.6115702479338848E-11</v>
      </c>
      <c r="AE26" s="76">
        <f>IFERROR(s_TR/(up_RadSpec!$H26*s_IFAS_far_adj*s_CF_asparagus),".")</f>
        <v>6.6115702479338848E-11</v>
      </c>
      <c r="AF26" s="76">
        <f>IFERROR(s_TR/(up_RadSpec!$H26*s_IFBT_far_adj*s_CF_beet),".")</f>
        <v>6.6115702479338848E-11</v>
      </c>
      <c r="AG26" s="76">
        <f>IFERROR(s_TR/(up_RadSpec!$H26*s_IFBE_far_adj*s_CF_berries),".")</f>
        <v>6.6115702479338848E-11</v>
      </c>
      <c r="AH26" s="76">
        <f>IFERROR(s_TR/(up_RadSpec!$H26*s_IFBR_far_adj*s_CF_broccoli),".")</f>
        <v>6.6115702479338848E-11</v>
      </c>
      <c r="AI26" s="76">
        <f>IFERROR(s_TR/(up_RadSpec!$H26*s_IFCB_far_adj*s_CF_cabbage),".")</f>
        <v>6.6115702479338848E-11</v>
      </c>
      <c r="AJ26" s="76">
        <f>IFERROR(s_TR/(up_RadSpec!$H26*s_IFCR_far_adj*s_CF_carrot),".")</f>
        <v>6.6115702479338848E-11</v>
      </c>
      <c r="AK26" s="76">
        <f>IFERROR(s_TR/(up_RadSpec!$H26*s_IFCI_far_adj*s_CF_citrus),".")</f>
        <v>6.6115702479338848E-11</v>
      </c>
      <c r="AL26" s="76">
        <f>IFERROR(s_TR/(up_RadSpec!$H26*s_IFCO_far_adj*s_CF_corn),".")</f>
        <v>6.6115702479338848E-11</v>
      </c>
      <c r="AM26" s="76">
        <f>IFERROR(s_TR/(up_RadSpec!$H26*s_IFCU_far_adj*s_CF_cucumber),".")</f>
        <v>6.6115702479338848E-11</v>
      </c>
      <c r="AN26" s="76">
        <f>IFERROR(s_TR/(up_RadSpec!$H26*s_IFLE_far_adj*s_CF_lettuce),".")</f>
        <v>6.6115702479338848E-11</v>
      </c>
      <c r="AO26" s="76">
        <f>IFERROR(s_TR/(up_RadSpec!$H26*s_IFLI_far_adj*s_CF_lima_bean),".")</f>
        <v>6.6115702479338848E-11</v>
      </c>
      <c r="AP26" s="76">
        <f>IFERROR(s_TR/(up_RadSpec!$H26*s_IFOK_far_adj*s_CF_okra),".")</f>
        <v>6.6115702479338848E-11</v>
      </c>
      <c r="AQ26" s="76">
        <f>IFERROR(s_TR/(up_RadSpec!$H26*s_IFON_far_adj*s_CF_onion),".")</f>
        <v>6.6115702479338848E-11</v>
      </c>
      <c r="AR26" s="76">
        <f>IFERROR(s_TR/(up_RadSpec!$H26*s_IFPC_far_adj*s_CF_peach),".")</f>
        <v>6.6115702479338848E-11</v>
      </c>
      <c r="AS26" s="76">
        <f>IFERROR(s_TR/(up_RadSpec!$H26*s_IFPR_far_adj*s_CF_pear),".")</f>
        <v>6.6115702479338848E-11</v>
      </c>
      <c r="AT26" s="76">
        <f>IFERROR(s_TR/(up_RadSpec!$H26*s_IFPE_far_adj*s_CF_peas),".")</f>
        <v>6.6115702479338848E-11</v>
      </c>
      <c r="AU26" s="76">
        <f>IFERROR(s_TR/(up_RadSpec!$H26*s_IFPP_far_adj*s_CF_peppers),".")</f>
        <v>6.6115702479338848E-11</v>
      </c>
      <c r="AV26" s="76">
        <f>IFERROR(s_TR/(up_RadSpec!$H26*s_IFPT_far_adj*s_CF_potato),".")</f>
        <v>6.6115702479338848E-11</v>
      </c>
      <c r="AW26" s="76">
        <f>IFERROR(s_TR/(up_RadSpec!$H26*s_IFPU_far_adj*s_CF_pumpkin),".")</f>
        <v>6.6115702479338848E-11</v>
      </c>
      <c r="AX26" s="76">
        <f>IFERROR(s_TR/(up_RadSpec!$H26*s_IFSN_far_adj*s_CF_snap_bean),".")</f>
        <v>6.6115702479338848E-11</v>
      </c>
      <c r="AY26" s="76">
        <f>IFERROR(s_TR/(up_RadSpec!$H26*s_IFST_far_adj*s_CF_strawberry),".")</f>
        <v>6.6115702479338848E-11</v>
      </c>
      <c r="AZ26" s="76">
        <f>IFERROR(s_TR/(up_RadSpec!$H26*s_IFTO_far_adj*s_CF_tomato),".")</f>
        <v>6.6115702479338848E-11</v>
      </c>
      <c r="BA26" s="76">
        <f>IFERROR(s_TR/(up_RadSpec!$H26*s_IFRI_far_adj*s_CF_rice),".")</f>
        <v>6.6115702479338848E-11</v>
      </c>
      <c r="BB26" s="76">
        <f>IFERROR(s_TR/(up_RadSpec!$H26*s_IFCG_far_adj*s_CF_cereal),".")</f>
        <v>6.6115702479338848E-11</v>
      </c>
      <c r="BC26" s="93">
        <f t="shared" si="26"/>
        <v>605000</v>
      </c>
      <c r="BD26" s="93">
        <f t="shared" si="0"/>
        <v>151250</v>
      </c>
      <c r="BE26" s="93">
        <f t="shared" si="1"/>
        <v>151250</v>
      </c>
      <c r="BF26" s="93">
        <f t="shared" si="2"/>
        <v>151250</v>
      </c>
      <c r="BG26" s="93">
        <f t="shared" si="3"/>
        <v>151250</v>
      </c>
      <c r="BH26" s="93">
        <f t="shared" si="4"/>
        <v>151250</v>
      </c>
      <c r="BI26" s="93">
        <f t="shared" si="5"/>
        <v>151250</v>
      </c>
      <c r="BJ26" s="93">
        <f t="shared" si="6"/>
        <v>151250</v>
      </c>
      <c r="BK26" s="93">
        <f t="shared" si="7"/>
        <v>151250</v>
      </c>
      <c r="BL26" s="93">
        <f t="shared" si="8"/>
        <v>151250</v>
      </c>
      <c r="BM26" s="93">
        <f t="shared" si="9"/>
        <v>151250</v>
      </c>
      <c r="BN26" s="93">
        <f t="shared" si="10"/>
        <v>151250</v>
      </c>
      <c r="BO26" s="93">
        <f t="shared" si="11"/>
        <v>151250</v>
      </c>
      <c r="BP26" s="93">
        <f t="shared" si="12"/>
        <v>151250</v>
      </c>
      <c r="BQ26" s="93">
        <f t="shared" si="13"/>
        <v>151250</v>
      </c>
      <c r="BR26" s="93">
        <f t="shared" si="14"/>
        <v>151250</v>
      </c>
      <c r="BS26" s="93">
        <f t="shared" si="15"/>
        <v>151250</v>
      </c>
      <c r="BT26" s="93">
        <f t="shared" si="27"/>
        <v>151250</v>
      </c>
      <c r="BU26" s="93">
        <f t="shared" si="16"/>
        <v>151250</v>
      </c>
      <c r="BV26" s="93">
        <f t="shared" si="17"/>
        <v>151250</v>
      </c>
      <c r="BW26" s="93">
        <f t="shared" si="18"/>
        <v>151250</v>
      </c>
      <c r="BX26" s="93">
        <f t="shared" si="19"/>
        <v>151250</v>
      </c>
      <c r="BY26" s="93">
        <f t="shared" si="20"/>
        <v>151250</v>
      </c>
      <c r="BZ26" s="93">
        <f t="shared" si="21"/>
        <v>151250</v>
      </c>
      <c r="CA26" s="93">
        <f t="shared" si="22"/>
        <v>151250</v>
      </c>
      <c r="CB26" s="93">
        <f t="shared" si="23"/>
        <v>151250</v>
      </c>
    </row>
    <row r="27" spans="1:80" x14ac:dyDescent="0.25">
      <c r="A27" s="92" t="s">
        <v>37</v>
      </c>
      <c r="B27" s="90" t="s">
        <v>1071</v>
      </c>
      <c r="C27" s="76">
        <f t="shared" si="24"/>
        <v>1.6528925619834712E-11</v>
      </c>
      <c r="D27" s="76">
        <f>IFERROR(s_TR/(up_RadSpec!$H27*s_IFAP_res_adj*s_CF_apple),".")</f>
        <v>6.6115702479338848E-11</v>
      </c>
      <c r="E27" s="76">
        <f>IFERROR(s_TR/(up_RadSpec!$H27*s_IFAS_res_adj*s_CF_asparagus),".")</f>
        <v>6.6115702479338848E-11</v>
      </c>
      <c r="F27" s="76">
        <f>IFERROR(s_TR/(up_RadSpec!$H27*s_IFBT_res_adj*s_CF_beet),".")</f>
        <v>6.6115702479338848E-11</v>
      </c>
      <c r="G27" s="76">
        <f>IFERROR(s_TR/(up_RadSpec!$H27*s_IFBE_res_adj*s_CF_berries),".")</f>
        <v>6.6115702479338848E-11</v>
      </c>
      <c r="H27" s="76">
        <f>IFERROR(s_TR/(up_RadSpec!$H27*s_IFBR_res_adj*s_CF_broccoli),".")</f>
        <v>6.6115702479338848E-11</v>
      </c>
      <c r="I27" s="76">
        <f>IFERROR(s_TR/(up_RadSpec!$H27*s_IFCB_res_adj*s_CF_cabbage),".")</f>
        <v>6.6115702479338848E-11</v>
      </c>
      <c r="J27" s="76">
        <f>IFERROR(s_TR/(up_RadSpec!$H27*s_IFCR_res_adj*s_CF_carrot),".")</f>
        <v>6.6115702479338848E-11</v>
      </c>
      <c r="K27" s="76">
        <f>IFERROR(s_TR/(up_RadSpec!$H27*s_IFCI_res_adj*s_CF_citrus),".")</f>
        <v>6.6115702479338848E-11</v>
      </c>
      <c r="L27" s="76">
        <f>IFERROR(s_TR/(up_RadSpec!$H27*s_IFCO_res_adj*s_CF_corn),".")</f>
        <v>6.6115702479338848E-11</v>
      </c>
      <c r="M27" s="76">
        <f>IFERROR(s_TR/(up_RadSpec!$H27*s_IFCU_res_adj*s_CF_cucumber),".")</f>
        <v>6.6115702479338848E-11</v>
      </c>
      <c r="N27" s="76">
        <f>IFERROR(s_TR/(up_RadSpec!$H27*s_IFLE_res_adj*s_CF_lettuce),".")</f>
        <v>6.6115702479338848E-11</v>
      </c>
      <c r="O27" s="76">
        <f>IFERROR(s_TR/(up_RadSpec!$H27*s_IFLI_res_adj*s_CF_lima_bean),".")</f>
        <v>6.6115702479338848E-11</v>
      </c>
      <c r="P27" s="76">
        <f>IFERROR(s_TR/(up_RadSpec!$H27*s_IFOK_res_adj*s_CF_okra),".")</f>
        <v>6.6115702479338848E-11</v>
      </c>
      <c r="Q27" s="76">
        <f>IFERROR(s_TR/(up_RadSpec!$H27*s_IFON_res_adj*s_CF_onion),".")</f>
        <v>6.6115702479338848E-11</v>
      </c>
      <c r="R27" s="76">
        <f>IFERROR(s_TR/(up_RadSpec!$H27*s_IFPC_res_adj*s_CF_peach),".")</f>
        <v>6.6115702479338848E-11</v>
      </c>
      <c r="S27" s="76">
        <f>IFERROR(s_TR/(up_RadSpec!$H27*s_IFPR_res_adj*s_CF_pear),".")</f>
        <v>6.6115702479338848E-11</v>
      </c>
      <c r="T27" s="76">
        <f>IFERROR(s_TR/(up_RadSpec!$H27*s_IFPE_res_adj*s_CF_peas),".")</f>
        <v>6.6115702479338848E-11</v>
      </c>
      <c r="U27" s="76">
        <f>IFERROR(s_TR/(up_RadSpec!$H27*s_IFPP_res_adj*s_CF_peppers),".")</f>
        <v>6.6115702479338848E-11</v>
      </c>
      <c r="V27" s="76">
        <f>IFERROR(s_TR/(up_RadSpec!$H27*s_IFPT_res_adj*s_CF_potato),".")</f>
        <v>6.6115702479338848E-11</v>
      </c>
      <c r="W27" s="76">
        <f>IFERROR(s_TR/(up_RadSpec!$H27*s_IFPU_res_adj*s_CF_pumpkin),".")</f>
        <v>6.6115702479338848E-11</v>
      </c>
      <c r="X27" s="76">
        <f>IFERROR(s_TR/(up_RadSpec!$H27*s_IFSN_res_adj*s_CF_snap_bean),".")</f>
        <v>6.6115702479338848E-11</v>
      </c>
      <c r="Y27" s="76">
        <f>IFERROR(s_TR/(up_RadSpec!$H27*s_IFST_res_adj*s_CF_strawberry),".")</f>
        <v>6.6115702479338848E-11</v>
      </c>
      <c r="Z27" s="76">
        <f>IFERROR(s_TR/(up_RadSpec!$H27*s_IFTO_res_adj*s_CF_tomato),".")</f>
        <v>6.6115702479338848E-11</v>
      </c>
      <c r="AA27" s="76">
        <f>IFERROR(s_TR/(up_RadSpec!$H27*s_IFRI_res_adj*s_CF_rice),".")</f>
        <v>6.6115702479338848E-11</v>
      </c>
      <c r="AB27" s="76">
        <f>IFERROR(s_TR/(up_RadSpec!$H27*s_IFCG_res_adj*s_CF_cereal),".")</f>
        <v>6.6115702479338848E-11</v>
      </c>
      <c r="AC27" s="76">
        <f t="shared" si="25"/>
        <v>1.6528925619834712E-11</v>
      </c>
      <c r="AD27" s="76">
        <f>IFERROR(s_TR/(up_RadSpec!$H27*s_IFAP_far_adj*s_CF_apple),".")</f>
        <v>6.6115702479338848E-11</v>
      </c>
      <c r="AE27" s="76">
        <f>IFERROR(s_TR/(up_RadSpec!$H27*s_IFAS_far_adj*s_CF_asparagus),".")</f>
        <v>6.6115702479338848E-11</v>
      </c>
      <c r="AF27" s="76">
        <f>IFERROR(s_TR/(up_RadSpec!$H27*s_IFBT_far_adj*s_CF_beet),".")</f>
        <v>6.6115702479338848E-11</v>
      </c>
      <c r="AG27" s="76">
        <f>IFERROR(s_TR/(up_RadSpec!$H27*s_IFBE_far_adj*s_CF_berries),".")</f>
        <v>6.6115702479338848E-11</v>
      </c>
      <c r="AH27" s="76">
        <f>IFERROR(s_TR/(up_RadSpec!$H27*s_IFBR_far_adj*s_CF_broccoli),".")</f>
        <v>6.6115702479338848E-11</v>
      </c>
      <c r="AI27" s="76">
        <f>IFERROR(s_TR/(up_RadSpec!$H27*s_IFCB_far_adj*s_CF_cabbage),".")</f>
        <v>6.6115702479338848E-11</v>
      </c>
      <c r="AJ27" s="76">
        <f>IFERROR(s_TR/(up_RadSpec!$H27*s_IFCR_far_adj*s_CF_carrot),".")</f>
        <v>6.6115702479338848E-11</v>
      </c>
      <c r="AK27" s="76">
        <f>IFERROR(s_TR/(up_RadSpec!$H27*s_IFCI_far_adj*s_CF_citrus),".")</f>
        <v>6.6115702479338848E-11</v>
      </c>
      <c r="AL27" s="76">
        <f>IFERROR(s_TR/(up_RadSpec!$H27*s_IFCO_far_adj*s_CF_corn),".")</f>
        <v>6.6115702479338848E-11</v>
      </c>
      <c r="AM27" s="76">
        <f>IFERROR(s_TR/(up_RadSpec!$H27*s_IFCU_far_adj*s_CF_cucumber),".")</f>
        <v>6.6115702479338848E-11</v>
      </c>
      <c r="AN27" s="76">
        <f>IFERROR(s_TR/(up_RadSpec!$H27*s_IFLE_far_adj*s_CF_lettuce),".")</f>
        <v>6.6115702479338848E-11</v>
      </c>
      <c r="AO27" s="76">
        <f>IFERROR(s_TR/(up_RadSpec!$H27*s_IFLI_far_adj*s_CF_lima_bean),".")</f>
        <v>6.6115702479338848E-11</v>
      </c>
      <c r="AP27" s="76">
        <f>IFERROR(s_TR/(up_RadSpec!$H27*s_IFOK_far_adj*s_CF_okra),".")</f>
        <v>6.6115702479338848E-11</v>
      </c>
      <c r="AQ27" s="76">
        <f>IFERROR(s_TR/(up_RadSpec!$H27*s_IFON_far_adj*s_CF_onion),".")</f>
        <v>6.6115702479338848E-11</v>
      </c>
      <c r="AR27" s="76">
        <f>IFERROR(s_TR/(up_RadSpec!$H27*s_IFPC_far_adj*s_CF_peach),".")</f>
        <v>6.6115702479338848E-11</v>
      </c>
      <c r="AS27" s="76">
        <f>IFERROR(s_TR/(up_RadSpec!$H27*s_IFPR_far_adj*s_CF_pear),".")</f>
        <v>6.6115702479338848E-11</v>
      </c>
      <c r="AT27" s="76">
        <f>IFERROR(s_TR/(up_RadSpec!$H27*s_IFPE_far_adj*s_CF_peas),".")</f>
        <v>6.6115702479338848E-11</v>
      </c>
      <c r="AU27" s="76">
        <f>IFERROR(s_TR/(up_RadSpec!$H27*s_IFPP_far_adj*s_CF_peppers),".")</f>
        <v>6.6115702479338848E-11</v>
      </c>
      <c r="AV27" s="76">
        <f>IFERROR(s_TR/(up_RadSpec!$H27*s_IFPT_far_adj*s_CF_potato),".")</f>
        <v>6.6115702479338848E-11</v>
      </c>
      <c r="AW27" s="76">
        <f>IFERROR(s_TR/(up_RadSpec!$H27*s_IFPU_far_adj*s_CF_pumpkin),".")</f>
        <v>6.6115702479338848E-11</v>
      </c>
      <c r="AX27" s="76">
        <f>IFERROR(s_TR/(up_RadSpec!$H27*s_IFSN_far_adj*s_CF_snap_bean),".")</f>
        <v>6.6115702479338848E-11</v>
      </c>
      <c r="AY27" s="76">
        <f>IFERROR(s_TR/(up_RadSpec!$H27*s_IFST_far_adj*s_CF_strawberry),".")</f>
        <v>6.6115702479338848E-11</v>
      </c>
      <c r="AZ27" s="76">
        <f>IFERROR(s_TR/(up_RadSpec!$H27*s_IFTO_far_adj*s_CF_tomato),".")</f>
        <v>6.6115702479338848E-11</v>
      </c>
      <c r="BA27" s="76">
        <f>IFERROR(s_TR/(up_RadSpec!$H27*s_IFRI_far_adj*s_CF_rice),".")</f>
        <v>6.6115702479338848E-11</v>
      </c>
      <c r="BB27" s="76">
        <f>IFERROR(s_TR/(up_RadSpec!$H27*s_IFCG_far_adj*s_CF_cereal),".")</f>
        <v>6.6115702479338848E-11</v>
      </c>
      <c r="BC27" s="93">
        <f t="shared" si="26"/>
        <v>605000</v>
      </c>
      <c r="BD27" s="93">
        <f t="shared" si="0"/>
        <v>151250</v>
      </c>
      <c r="BE27" s="93">
        <f t="shared" si="1"/>
        <v>151250</v>
      </c>
      <c r="BF27" s="93">
        <f t="shared" si="2"/>
        <v>151250</v>
      </c>
      <c r="BG27" s="93">
        <f t="shared" si="3"/>
        <v>151250</v>
      </c>
      <c r="BH27" s="93">
        <f t="shared" si="4"/>
        <v>151250</v>
      </c>
      <c r="BI27" s="93">
        <f t="shared" si="5"/>
        <v>151250</v>
      </c>
      <c r="BJ27" s="93">
        <f t="shared" si="6"/>
        <v>151250</v>
      </c>
      <c r="BK27" s="93">
        <f t="shared" si="7"/>
        <v>151250</v>
      </c>
      <c r="BL27" s="93">
        <f t="shared" si="8"/>
        <v>151250</v>
      </c>
      <c r="BM27" s="93">
        <f t="shared" si="9"/>
        <v>151250</v>
      </c>
      <c r="BN27" s="93">
        <f t="shared" si="10"/>
        <v>151250</v>
      </c>
      <c r="BO27" s="93">
        <f t="shared" si="11"/>
        <v>151250</v>
      </c>
      <c r="BP27" s="93">
        <f t="shared" si="12"/>
        <v>151250</v>
      </c>
      <c r="BQ27" s="93">
        <f t="shared" si="13"/>
        <v>151250</v>
      </c>
      <c r="BR27" s="93">
        <f t="shared" si="14"/>
        <v>151250</v>
      </c>
      <c r="BS27" s="93">
        <f t="shared" si="15"/>
        <v>151250</v>
      </c>
      <c r="BT27" s="93">
        <f t="shared" si="27"/>
        <v>151250</v>
      </c>
      <c r="BU27" s="93">
        <f t="shared" si="16"/>
        <v>151250</v>
      </c>
      <c r="BV27" s="93">
        <f t="shared" si="17"/>
        <v>151250</v>
      </c>
      <c r="BW27" s="93">
        <f t="shared" si="18"/>
        <v>151250</v>
      </c>
      <c r="BX27" s="93">
        <f t="shared" si="19"/>
        <v>151250</v>
      </c>
      <c r="BY27" s="93">
        <f t="shared" si="20"/>
        <v>151250</v>
      </c>
      <c r="BZ27" s="93">
        <f t="shared" si="21"/>
        <v>151250</v>
      </c>
      <c r="CA27" s="93">
        <f t="shared" si="22"/>
        <v>151250</v>
      </c>
      <c r="CB27" s="93">
        <f t="shared" si="23"/>
        <v>151250</v>
      </c>
    </row>
    <row r="28" spans="1:80" x14ac:dyDescent="0.25">
      <c r="A28" s="92" t="s">
        <v>38</v>
      </c>
      <c r="B28" s="90" t="s">
        <v>1071</v>
      </c>
      <c r="C28" s="76">
        <f t="shared" si="24"/>
        <v>1.6528925619834712E-11</v>
      </c>
      <c r="D28" s="76">
        <f>IFERROR(s_TR/(up_RadSpec!$H28*s_IFAP_res_adj*s_CF_apple),".")</f>
        <v>6.6115702479338848E-11</v>
      </c>
      <c r="E28" s="76">
        <f>IFERROR(s_TR/(up_RadSpec!$H28*s_IFAS_res_adj*s_CF_asparagus),".")</f>
        <v>6.6115702479338848E-11</v>
      </c>
      <c r="F28" s="76">
        <f>IFERROR(s_TR/(up_RadSpec!$H28*s_IFBT_res_adj*s_CF_beet),".")</f>
        <v>6.6115702479338848E-11</v>
      </c>
      <c r="G28" s="76">
        <f>IFERROR(s_TR/(up_RadSpec!$H28*s_IFBE_res_adj*s_CF_berries),".")</f>
        <v>6.6115702479338848E-11</v>
      </c>
      <c r="H28" s="76">
        <f>IFERROR(s_TR/(up_RadSpec!$H28*s_IFBR_res_adj*s_CF_broccoli),".")</f>
        <v>6.6115702479338848E-11</v>
      </c>
      <c r="I28" s="76">
        <f>IFERROR(s_TR/(up_RadSpec!$H28*s_IFCB_res_adj*s_CF_cabbage),".")</f>
        <v>6.6115702479338848E-11</v>
      </c>
      <c r="J28" s="76">
        <f>IFERROR(s_TR/(up_RadSpec!$H28*s_IFCR_res_adj*s_CF_carrot),".")</f>
        <v>6.6115702479338848E-11</v>
      </c>
      <c r="K28" s="76">
        <f>IFERROR(s_TR/(up_RadSpec!$H28*s_IFCI_res_adj*s_CF_citrus),".")</f>
        <v>6.6115702479338848E-11</v>
      </c>
      <c r="L28" s="76">
        <f>IFERROR(s_TR/(up_RadSpec!$H28*s_IFCO_res_adj*s_CF_corn),".")</f>
        <v>6.6115702479338848E-11</v>
      </c>
      <c r="M28" s="76">
        <f>IFERROR(s_TR/(up_RadSpec!$H28*s_IFCU_res_adj*s_CF_cucumber),".")</f>
        <v>6.6115702479338848E-11</v>
      </c>
      <c r="N28" s="76">
        <f>IFERROR(s_TR/(up_RadSpec!$H28*s_IFLE_res_adj*s_CF_lettuce),".")</f>
        <v>6.6115702479338848E-11</v>
      </c>
      <c r="O28" s="76">
        <f>IFERROR(s_TR/(up_RadSpec!$H28*s_IFLI_res_adj*s_CF_lima_bean),".")</f>
        <v>6.6115702479338848E-11</v>
      </c>
      <c r="P28" s="76">
        <f>IFERROR(s_TR/(up_RadSpec!$H28*s_IFOK_res_adj*s_CF_okra),".")</f>
        <v>6.6115702479338848E-11</v>
      </c>
      <c r="Q28" s="76">
        <f>IFERROR(s_TR/(up_RadSpec!$H28*s_IFON_res_adj*s_CF_onion),".")</f>
        <v>6.6115702479338848E-11</v>
      </c>
      <c r="R28" s="76">
        <f>IFERROR(s_TR/(up_RadSpec!$H28*s_IFPC_res_adj*s_CF_peach),".")</f>
        <v>6.6115702479338848E-11</v>
      </c>
      <c r="S28" s="76">
        <f>IFERROR(s_TR/(up_RadSpec!$H28*s_IFPR_res_adj*s_CF_pear),".")</f>
        <v>6.6115702479338848E-11</v>
      </c>
      <c r="T28" s="76">
        <f>IFERROR(s_TR/(up_RadSpec!$H28*s_IFPE_res_adj*s_CF_peas),".")</f>
        <v>6.6115702479338848E-11</v>
      </c>
      <c r="U28" s="76">
        <f>IFERROR(s_TR/(up_RadSpec!$H28*s_IFPP_res_adj*s_CF_peppers),".")</f>
        <v>6.6115702479338848E-11</v>
      </c>
      <c r="V28" s="76">
        <f>IFERROR(s_TR/(up_RadSpec!$H28*s_IFPT_res_adj*s_CF_potato),".")</f>
        <v>6.6115702479338848E-11</v>
      </c>
      <c r="W28" s="76">
        <f>IFERROR(s_TR/(up_RadSpec!$H28*s_IFPU_res_adj*s_CF_pumpkin),".")</f>
        <v>6.6115702479338848E-11</v>
      </c>
      <c r="X28" s="76">
        <f>IFERROR(s_TR/(up_RadSpec!$H28*s_IFSN_res_adj*s_CF_snap_bean),".")</f>
        <v>6.6115702479338848E-11</v>
      </c>
      <c r="Y28" s="76">
        <f>IFERROR(s_TR/(up_RadSpec!$H28*s_IFST_res_adj*s_CF_strawberry),".")</f>
        <v>6.6115702479338848E-11</v>
      </c>
      <c r="Z28" s="76">
        <f>IFERROR(s_TR/(up_RadSpec!$H28*s_IFTO_res_adj*s_CF_tomato),".")</f>
        <v>6.6115702479338848E-11</v>
      </c>
      <c r="AA28" s="76">
        <f>IFERROR(s_TR/(up_RadSpec!$H28*s_IFRI_res_adj*s_CF_rice),".")</f>
        <v>6.6115702479338848E-11</v>
      </c>
      <c r="AB28" s="76">
        <f>IFERROR(s_TR/(up_RadSpec!$H28*s_IFCG_res_adj*s_CF_cereal),".")</f>
        <v>6.6115702479338848E-11</v>
      </c>
      <c r="AC28" s="76">
        <f t="shared" si="25"/>
        <v>1.6528925619834712E-11</v>
      </c>
      <c r="AD28" s="76">
        <f>IFERROR(s_TR/(up_RadSpec!$H28*s_IFAP_far_adj*s_CF_apple),".")</f>
        <v>6.6115702479338848E-11</v>
      </c>
      <c r="AE28" s="76">
        <f>IFERROR(s_TR/(up_RadSpec!$H28*s_IFAS_far_adj*s_CF_asparagus),".")</f>
        <v>6.6115702479338848E-11</v>
      </c>
      <c r="AF28" s="76">
        <f>IFERROR(s_TR/(up_RadSpec!$H28*s_IFBT_far_adj*s_CF_beet),".")</f>
        <v>6.6115702479338848E-11</v>
      </c>
      <c r="AG28" s="76">
        <f>IFERROR(s_TR/(up_RadSpec!$H28*s_IFBE_far_adj*s_CF_berries),".")</f>
        <v>6.6115702479338848E-11</v>
      </c>
      <c r="AH28" s="76">
        <f>IFERROR(s_TR/(up_RadSpec!$H28*s_IFBR_far_adj*s_CF_broccoli),".")</f>
        <v>6.6115702479338848E-11</v>
      </c>
      <c r="AI28" s="76">
        <f>IFERROR(s_TR/(up_RadSpec!$H28*s_IFCB_far_adj*s_CF_cabbage),".")</f>
        <v>6.6115702479338848E-11</v>
      </c>
      <c r="AJ28" s="76">
        <f>IFERROR(s_TR/(up_RadSpec!$H28*s_IFCR_far_adj*s_CF_carrot),".")</f>
        <v>6.6115702479338848E-11</v>
      </c>
      <c r="AK28" s="76">
        <f>IFERROR(s_TR/(up_RadSpec!$H28*s_IFCI_far_adj*s_CF_citrus),".")</f>
        <v>6.6115702479338848E-11</v>
      </c>
      <c r="AL28" s="76">
        <f>IFERROR(s_TR/(up_RadSpec!$H28*s_IFCO_far_adj*s_CF_corn),".")</f>
        <v>6.6115702479338848E-11</v>
      </c>
      <c r="AM28" s="76">
        <f>IFERROR(s_TR/(up_RadSpec!$H28*s_IFCU_far_adj*s_CF_cucumber),".")</f>
        <v>6.6115702479338848E-11</v>
      </c>
      <c r="AN28" s="76">
        <f>IFERROR(s_TR/(up_RadSpec!$H28*s_IFLE_far_adj*s_CF_lettuce),".")</f>
        <v>6.6115702479338848E-11</v>
      </c>
      <c r="AO28" s="76">
        <f>IFERROR(s_TR/(up_RadSpec!$H28*s_IFLI_far_adj*s_CF_lima_bean),".")</f>
        <v>6.6115702479338848E-11</v>
      </c>
      <c r="AP28" s="76">
        <f>IFERROR(s_TR/(up_RadSpec!$H28*s_IFOK_far_adj*s_CF_okra),".")</f>
        <v>6.6115702479338848E-11</v>
      </c>
      <c r="AQ28" s="76">
        <f>IFERROR(s_TR/(up_RadSpec!$H28*s_IFON_far_adj*s_CF_onion),".")</f>
        <v>6.6115702479338848E-11</v>
      </c>
      <c r="AR28" s="76">
        <f>IFERROR(s_TR/(up_RadSpec!$H28*s_IFPC_far_adj*s_CF_peach),".")</f>
        <v>6.6115702479338848E-11</v>
      </c>
      <c r="AS28" s="76">
        <f>IFERROR(s_TR/(up_RadSpec!$H28*s_IFPR_far_adj*s_CF_pear),".")</f>
        <v>6.6115702479338848E-11</v>
      </c>
      <c r="AT28" s="76">
        <f>IFERROR(s_TR/(up_RadSpec!$H28*s_IFPE_far_adj*s_CF_peas),".")</f>
        <v>6.6115702479338848E-11</v>
      </c>
      <c r="AU28" s="76">
        <f>IFERROR(s_TR/(up_RadSpec!$H28*s_IFPP_far_adj*s_CF_peppers),".")</f>
        <v>6.6115702479338848E-11</v>
      </c>
      <c r="AV28" s="76">
        <f>IFERROR(s_TR/(up_RadSpec!$H28*s_IFPT_far_adj*s_CF_potato),".")</f>
        <v>6.6115702479338848E-11</v>
      </c>
      <c r="AW28" s="76">
        <f>IFERROR(s_TR/(up_RadSpec!$H28*s_IFPU_far_adj*s_CF_pumpkin),".")</f>
        <v>6.6115702479338848E-11</v>
      </c>
      <c r="AX28" s="76">
        <f>IFERROR(s_TR/(up_RadSpec!$H28*s_IFSN_far_adj*s_CF_snap_bean),".")</f>
        <v>6.6115702479338848E-11</v>
      </c>
      <c r="AY28" s="76">
        <f>IFERROR(s_TR/(up_RadSpec!$H28*s_IFST_far_adj*s_CF_strawberry),".")</f>
        <v>6.6115702479338848E-11</v>
      </c>
      <c r="AZ28" s="76">
        <f>IFERROR(s_TR/(up_RadSpec!$H28*s_IFTO_far_adj*s_CF_tomato),".")</f>
        <v>6.6115702479338848E-11</v>
      </c>
      <c r="BA28" s="76">
        <f>IFERROR(s_TR/(up_RadSpec!$H28*s_IFRI_far_adj*s_CF_rice),".")</f>
        <v>6.6115702479338848E-11</v>
      </c>
      <c r="BB28" s="76">
        <f>IFERROR(s_TR/(up_RadSpec!$H28*s_IFCG_far_adj*s_CF_cereal),".")</f>
        <v>6.6115702479338848E-11</v>
      </c>
      <c r="BC28" s="93">
        <f t="shared" si="26"/>
        <v>605000</v>
      </c>
      <c r="BD28" s="93">
        <f t="shared" si="0"/>
        <v>151250</v>
      </c>
      <c r="BE28" s="93">
        <f t="shared" si="1"/>
        <v>151250</v>
      </c>
      <c r="BF28" s="93">
        <f t="shared" si="2"/>
        <v>151250</v>
      </c>
      <c r="BG28" s="93">
        <f t="shared" si="3"/>
        <v>151250</v>
      </c>
      <c r="BH28" s="93">
        <f t="shared" si="4"/>
        <v>151250</v>
      </c>
      <c r="BI28" s="93">
        <f t="shared" si="5"/>
        <v>151250</v>
      </c>
      <c r="BJ28" s="93">
        <f t="shared" si="6"/>
        <v>151250</v>
      </c>
      <c r="BK28" s="93">
        <f t="shared" si="7"/>
        <v>151250</v>
      </c>
      <c r="BL28" s="93">
        <f t="shared" si="8"/>
        <v>151250</v>
      </c>
      <c r="BM28" s="93">
        <f t="shared" si="9"/>
        <v>151250</v>
      </c>
      <c r="BN28" s="93">
        <f t="shared" si="10"/>
        <v>151250</v>
      </c>
      <c r="BO28" s="93">
        <f t="shared" si="11"/>
        <v>151250</v>
      </c>
      <c r="BP28" s="93">
        <f t="shared" si="12"/>
        <v>151250</v>
      </c>
      <c r="BQ28" s="93">
        <f t="shared" si="13"/>
        <v>151250</v>
      </c>
      <c r="BR28" s="93">
        <f t="shared" si="14"/>
        <v>151250</v>
      </c>
      <c r="BS28" s="93">
        <f t="shared" si="15"/>
        <v>151250</v>
      </c>
      <c r="BT28" s="93">
        <f t="shared" si="27"/>
        <v>151250</v>
      </c>
      <c r="BU28" s="93">
        <f t="shared" si="16"/>
        <v>151250</v>
      </c>
      <c r="BV28" s="93">
        <f t="shared" si="17"/>
        <v>151250</v>
      </c>
      <c r="BW28" s="93">
        <f t="shared" si="18"/>
        <v>151250</v>
      </c>
      <c r="BX28" s="93">
        <f t="shared" si="19"/>
        <v>151250</v>
      </c>
      <c r="BY28" s="93">
        <f t="shared" si="20"/>
        <v>151250</v>
      </c>
      <c r="BZ28" s="93">
        <f t="shared" si="21"/>
        <v>151250</v>
      </c>
      <c r="CA28" s="93">
        <f t="shared" si="22"/>
        <v>151250</v>
      </c>
      <c r="CB28" s="93">
        <f t="shared" si="23"/>
        <v>151250</v>
      </c>
    </row>
    <row r="29" spans="1:80" x14ac:dyDescent="0.25">
      <c r="A29" s="92" t="s">
        <v>39</v>
      </c>
      <c r="B29" s="90" t="s">
        <v>1071</v>
      </c>
      <c r="C29" s="76">
        <f t="shared" si="24"/>
        <v>1.6528925619834712E-11</v>
      </c>
      <c r="D29" s="76">
        <f>IFERROR(s_TR/(up_RadSpec!$H29*s_IFAP_res_adj*s_CF_apple),".")</f>
        <v>6.6115702479338848E-11</v>
      </c>
      <c r="E29" s="76">
        <f>IFERROR(s_TR/(up_RadSpec!$H29*s_IFAS_res_adj*s_CF_asparagus),".")</f>
        <v>6.6115702479338848E-11</v>
      </c>
      <c r="F29" s="76">
        <f>IFERROR(s_TR/(up_RadSpec!$H29*s_IFBT_res_adj*s_CF_beet),".")</f>
        <v>6.6115702479338848E-11</v>
      </c>
      <c r="G29" s="76">
        <f>IFERROR(s_TR/(up_RadSpec!$H29*s_IFBE_res_adj*s_CF_berries),".")</f>
        <v>6.6115702479338848E-11</v>
      </c>
      <c r="H29" s="76">
        <f>IFERROR(s_TR/(up_RadSpec!$H29*s_IFBR_res_adj*s_CF_broccoli),".")</f>
        <v>6.6115702479338848E-11</v>
      </c>
      <c r="I29" s="76">
        <f>IFERROR(s_TR/(up_RadSpec!$H29*s_IFCB_res_adj*s_CF_cabbage),".")</f>
        <v>6.6115702479338848E-11</v>
      </c>
      <c r="J29" s="76">
        <f>IFERROR(s_TR/(up_RadSpec!$H29*s_IFCR_res_adj*s_CF_carrot),".")</f>
        <v>6.6115702479338848E-11</v>
      </c>
      <c r="K29" s="76">
        <f>IFERROR(s_TR/(up_RadSpec!$H29*s_IFCI_res_adj*s_CF_citrus),".")</f>
        <v>6.6115702479338848E-11</v>
      </c>
      <c r="L29" s="76">
        <f>IFERROR(s_TR/(up_RadSpec!$H29*s_IFCO_res_adj*s_CF_corn),".")</f>
        <v>6.6115702479338848E-11</v>
      </c>
      <c r="M29" s="76">
        <f>IFERROR(s_TR/(up_RadSpec!$H29*s_IFCU_res_adj*s_CF_cucumber),".")</f>
        <v>6.6115702479338848E-11</v>
      </c>
      <c r="N29" s="76">
        <f>IFERROR(s_TR/(up_RadSpec!$H29*s_IFLE_res_adj*s_CF_lettuce),".")</f>
        <v>6.6115702479338848E-11</v>
      </c>
      <c r="O29" s="76">
        <f>IFERROR(s_TR/(up_RadSpec!$H29*s_IFLI_res_adj*s_CF_lima_bean),".")</f>
        <v>6.6115702479338848E-11</v>
      </c>
      <c r="P29" s="76">
        <f>IFERROR(s_TR/(up_RadSpec!$H29*s_IFOK_res_adj*s_CF_okra),".")</f>
        <v>6.6115702479338848E-11</v>
      </c>
      <c r="Q29" s="76">
        <f>IFERROR(s_TR/(up_RadSpec!$H29*s_IFON_res_adj*s_CF_onion),".")</f>
        <v>6.6115702479338848E-11</v>
      </c>
      <c r="R29" s="76">
        <f>IFERROR(s_TR/(up_RadSpec!$H29*s_IFPC_res_adj*s_CF_peach),".")</f>
        <v>6.6115702479338848E-11</v>
      </c>
      <c r="S29" s="76">
        <f>IFERROR(s_TR/(up_RadSpec!$H29*s_IFPR_res_adj*s_CF_pear),".")</f>
        <v>6.6115702479338848E-11</v>
      </c>
      <c r="T29" s="76">
        <f>IFERROR(s_TR/(up_RadSpec!$H29*s_IFPE_res_adj*s_CF_peas),".")</f>
        <v>6.6115702479338848E-11</v>
      </c>
      <c r="U29" s="76">
        <f>IFERROR(s_TR/(up_RadSpec!$H29*s_IFPP_res_adj*s_CF_peppers),".")</f>
        <v>6.6115702479338848E-11</v>
      </c>
      <c r="V29" s="76">
        <f>IFERROR(s_TR/(up_RadSpec!$H29*s_IFPT_res_adj*s_CF_potato),".")</f>
        <v>6.6115702479338848E-11</v>
      </c>
      <c r="W29" s="76">
        <f>IFERROR(s_TR/(up_RadSpec!$H29*s_IFPU_res_adj*s_CF_pumpkin),".")</f>
        <v>6.6115702479338848E-11</v>
      </c>
      <c r="X29" s="76">
        <f>IFERROR(s_TR/(up_RadSpec!$H29*s_IFSN_res_adj*s_CF_snap_bean),".")</f>
        <v>6.6115702479338848E-11</v>
      </c>
      <c r="Y29" s="76">
        <f>IFERROR(s_TR/(up_RadSpec!$H29*s_IFST_res_adj*s_CF_strawberry),".")</f>
        <v>6.6115702479338848E-11</v>
      </c>
      <c r="Z29" s="76">
        <f>IFERROR(s_TR/(up_RadSpec!$H29*s_IFTO_res_adj*s_CF_tomato),".")</f>
        <v>6.6115702479338848E-11</v>
      </c>
      <c r="AA29" s="76">
        <f>IFERROR(s_TR/(up_RadSpec!$H29*s_IFRI_res_adj*s_CF_rice),".")</f>
        <v>6.6115702479338848E-11</v>
      </c>
      <c r="AB29" s="76">
        <f>IFERROR(s_TR/(up_RadSpec!$H29*s_IFCG_res_adj*s_CF_cereal),".")</f>
        <v>6.6115702479338848E-11</v>
      </c>
      <c r="AC29" s="76">
        <f t="shared" si="25"/>
        <v>1.6528925619834712E-11</v>
      </c>
      <c r="AD29" s="76">
        <f>IFERROR(s_TR/(up_RadSpec!$H29*s_IFAP_far_adj*s_CF_apple),".")</f>
        <v>6.6115702479338848E-11</v>
      </c>
      <c r="AE29" s="76">
        <f>IFERROR(s_TR/(up_RadSpec!$H29*s_IFAS_far_adj*s_CF_asparagus),".")</f>
        <v>6.6115702479338848E-11</v>
      </c>
      <c r="AF29" s="76">
        <f>IFERROR(s_TR/(up_RadSpec!$H29*s_IFBT_far_adj*s_CF_beet),".")</f>
        <v>6.6115702479338848E-11</v>
      </c>
      <c r="AG29" s="76">
        <f>IFERROR(s_TR/(up_RadSpec!$H29*s_IFBE_far_adj*s_CF_berries),".")</f>
        <v>6.6115702479338848E-11</v>
      </c>
      <c r="AH29" s="76">
        <f>IFERROR(s_TR/(up_RadSpec!$H29*s_IFBR_far_adj*s_CF_broccoli),".")</f>
        <v>6.6115702479338848E-11</v>
      </c>
      <c r="AI29" s="76">
        <f>IFERROR(s_TR/(up_RadSpec!$H29*s_IFCB_far_adj*s_CF_cabbage),".")</f>
        <v>6.6115702479338848E-11</v>
      </c>
      <c r="AJ29" s="76">
        <f>IFERROR(s_TR/(up_RadSpec!$H29*s_IFCR_far_adj*s_CF_carrot),".")</f>
        <v>6.6115702479338848E-11</v>
      </c>
      <c r="AK29" s="76">
        <f>IFERROR(s_TR/(up_RadSpec!$H29*s_IFCI_far_adj*s_CF_citrus),".")</f>
        <v>6.6115702479338848E-11</v>
      </c>
      <c r="AL29" s="76">
        <f>IFERROR(s_TR/(up_RadSpec!$H29*s_IFCO_far_adj*s_CF_corn),".")</f>
        <v>6.6115702479338848E-11</v>
      </c>
      <c r="AM29" s="76">
        <f>IFERROR(s_TR/(up_RadSpec!$H29*s_IFCU_far_adj*s_CF_cucumber),".")</f>
        <v>6.6115702479338848E-11</v>
      </c>
      <c r="AN29" s="76">
        <f>IFERROR(s_TR/(up_RadSpec!$H29*s_IFLE_far_adj*s_CF_lettuce),".")</f>
        <v>6.6115702479338848E-11</v>
      </c>
      <c r="AO29" s="76">
        <f>IFERROR(s_TR/(up_RadSpec!$H29*s_IFLI_far_adj*s_CF_lima_bean),".")</f>
        <v>6.6115702479338848E-11</v>
      </c>
      <c r="AP29" s="76">
        <f>IFERROR(s_TR/(up_RadSpec!$H29*s_IFOK_far_adj*s_CF_okra),".")</f>
        <v>6.6115702479338848E-11</v>
      </c>
      <c r="AQ29" s="76">
        <f>IFERROR(s_TR/(up_RadSpec!$H29*s_IFON_far_adj*s_CF_onion),".")</f>
        <v>6.6115702479338848E-11</v>
      </c>
      <c r="AR29" s="76">
        <f>IFERROR(s_TR/(up_RadSpec!$H29*s_IFPC_far_adj*s_CF_peach),".")</f>
        <v>6.6115702479338848E-11</v>
      </c>
      <c r="AS29" s="76">
        <f>IFERROR(s_TR/(up_RadSpec!$H29*s_IFPR_far_adj*s_CF_pear),".")</f>
        <v>6.6115702479338848E-11</v>
      </c>
      <c r="AT29" s="76">
        <f>IFERROR(s_TR/(up_RadSpec!$H29*s_IFPE_far_adj*s_CF_peas),".")</f>
        <v>6.6115702479338848E-11</v>
      </c>
      <c r="AU29" s="76">
        <f>IFERROR(s_TR/(up_RadSpec!$H29*s_IFPP_far_adj*s_CF_peppers),".")</f>
        <v>6.6115702479338848E-11</v>
      </c>
      <c r="AV29" s="76">
        <f>IFERROR(s_TR/(up_RadSpec!$H29*s_IFPT_far_adj*s_CF_potato),".")</f>
        <v>6.6115702479338848E-11</v>
      </c>
      <c r="AW29" s="76">
        <f>IFERROR(s_TR/(up_RadSpec!$H29*s_IFPU_far_adj*s_CF_pumpkin),".")</f>
        <v>6.6115702479338848E-11</v>
      </c>
      <c r="AX29" s="76">
        <f>IFERROR(s_TR/(up_RadSpec!$H29*s_IFSN_far_adj*s_CF_snap_bean),".")</f>
        <v>6.6115702479338848E-11</v>
      </c>
      <c r="AY29" s="76">
        <f>IFERROR(s_TR/(up_RadSpec!$H29*s_IFST_far_adj*s_CF_strawberry),".")</f>
        <v>6.6115702479338848E-11</v>
      </c>
      <c r="AZ29" s="76">
        <f>IFERROR(s_TR/(up_RadSpec!$H29*s_IFTO_far_adj*s_CF_tomato),".")</f>
        <v>6.6115702479338848E-11</v>
      </c>
      <c r="BA29" s="76">
        <f>IFERROR(s_TR/(up_RadSpec!$H29*s_IFRI_far_adj*s_CF_rice),".")</f>
        <v>6.6115702479338848E-11</v>
      </c>
      <c r="BB29" s="76">
        <f>IFERROR(s_TR/(up_RadSpec!$H29*s_IFCG_far_adj*s_CF_cereal),".")</f>
        <v>6.6115702479338848E-11</v>
      </c>
      <c r="BC29" s="93">
        <f t="shared" si="26"/>
        <v>605000</v>
      </c>
      <c r="BD29" s="93">
        <f t="shared" si="0"/>
        <v>151250</v>
      </c>
      <c r="BE29" s="93">
        <f t="shared" si="1"/>
        <v>151250</v>
      </c>
      <c r="BF29" s="93">
        <f t="shared" si="2"/>
        <v>151250</v>
      </c>
      <c r="BG29" s="93">
        <f t="shared" si="3"/>
        <v>151250</v>
      </c>
      <c r="BH29" s="93">
        <f t="shared" si="4"/>
        <v>151250</v>
      </c>
      <c r="BI29" s="93">
        <f t="shared" si="5"/>
        <v>151250</v>
      </c>
      <c r="BJ29" s="93">
        <f t="shared" si="6"/>
        <v>151250</v>
      </c>
      <c r="BK29" s="93">
        <f t="shared" si="7"/>
        <v>151250</v>
      </c>
      <c r="BL29" s="93">
        <f t="shared" si="8"/>
        <v>151250</v>
      </c>
      <c r="BM29" s="93">
        <f t="shared" si="9"/>
        <v>151250</v>
      </c>
      <c r="BN29" s="93">
        <f t="shared" si="10"/>
        <v>151250</v>
      </c>
      <c r="BO29" s="93">
        <f t="shared" si="11"/>
        <v>151250</v>
      </c>
      <c r="BP29" s="93">
        <f t="shared" si="12"/>
        <v>151250</v>
      </c>
      <c r="BQ29" s="93">
        <f t="shared" si="13"/>
        <v>151250</v>
      </c>
      <c r="BR29" s="93">
        <f t="shared" si="14"/>
        <v>151250</v>
      </c>
      <c r="BS29" s="93">
        <f t="shared" si="15"/>
        <v>151250</v>
      </c>
      <c r="BT29" s="93">
        <f t="shared" si="27"/>
        <v>151250</v>
      </c>
      <c r="BU29" s="93">
        <f t="shared" si="16"/>
        <v>151250</v>
      </c>
      <c r="BV29" s="93">
        <f t="shared" si="17"/>
        <v>151250</v>
      </c>
      <c r="BW29" s="93">
        <f t="shared" si="18"/>
        <v>151250</v>
      </c>
      <c r="BX29" s="93">
        <f t="shared" si="19"/>
        <v>151250</v>
      </c>
      <c r="BY29" s="93">
        <f t="shared" si="20"/>
        <v>151250</v>
      </c>
      <c r="BZ29" s="93">
        <f t="shared" si="21"/>
        <v>151250</v>
      </c>
      <c r="CA29" s="93">
        <f t="shared" si="22"/>
        <v>151250</v>
      </c>
      <c r="CB29" s="93">
        <f t="shared" si="23"/>
        <v>151250</v>
      </c>
    </row>
    <row r="30" spans="1:80" x14ac:dyDescent="0.25">
      <c r="A30" s="92" t="s">
        <v>40</v>
      </c>
      <c r="B30" s="90" t="s">
        <v>1071</v>
      </c>
      <c r="C30" s="76">
        <f t="shared" si="24"/>
        <v>1.6528925619834712E-11</v>
      </c>
      <c r="D30" s="76">
        <f>IFERROR(s_TR/(up_RadSpec!$H30*s_IFAP_res_adj*s_CF_apple),".")</f>
        <v>6.6115702479338848E-11</v>
      </c>
      <c r="E30" s="76">
        <f>IFERROR(s_TR/(up_RadSpec!$H30*s_IFAS_res_adj*s_CF_asparagus),".")</f>
        <v>6.6115702479338848E-11</v>
      </c>
      <c r="F30" s="76">
        <f>IFERROR(s_TR/(up_RadSpec!$H30*s_IFBT_res_adj*s_CF_beet),".")</f>
        <v>6.6115702479338848E-11</v>
      </c>
      <c r="G30" s="76">
        <f>IFERROR(s_TR/(up_RadSpec!$H30*s_IFBE_res_adj*s_CF_berries),".")</f>
        <v>6.6115702479338848E-11</v>
      </c>
      <c r="H30" s="76">
        <f>IFERROR(s_TR/(up_RadSpec!$H30*s_IFBR_res_adj*s_CF_broccoli),".")</f>
        <v>6.6115702479338848E-11</v>
      </c>
      <c r="I30" s="76">
        <f>IFERROR(s_TR/(up_RadSpec!$H30*s_IFCB_res_adj*s_CF_cabbage),".")</f>
        <v>6.6115702479338848E-11</v>
      </c>
      <c r="J30" s="76">
        <f>IFERROR(s_TR/(up_RadSpec!$H30*s_IFCR_res_adj*s_CF_carrot),".")</f>
        <v>6.6115702479338848E-11</v>
      </c>
      <c r="K30" s="76">
        <f>IFERROR(s_TR/(up_RadSpec!$H30*s_IFCI_res_adj*s_CF_citrus),".")</f>
        <v>6.6115702479338848E-11</v>
      </c>
      <c r="L30" s="76">
        <f>IFERROR(s_TR/(up_RadSpec!$H30*s_IFCO_res_adj*s_CF_corn),".")</f>
        <v>6.6115702479338848E-11</v>
      </c>
      <c r="M30" s="76">
        <f>IFERROR(s_TR/(up_RadSpec!$H30*s_IFCU_res_adj*s_CF_cucumber),".")</f>
        <v>6.6115702479338848E-11</v>
      </c>
      <c r="N30" s="76">
        <f>IFERROR(s_TR/(up_RadSpec!$H30*s_IFLE_res_adj*s_CF_lettuce),".")</f>
        <v>6.6115702479338848E-11</v>
      </c>
      <c r="O30" s="76">
        <f>IFERROR(s_TR/(up_RadSpec!$H30*s_IFLI_res_adj*s_CF_lima_bean),".")</f>
        <v>6.6115702479338848E-11</v>
      </c>
      <c r="P30" s="76">
        <f>IFERROR(s_TR/(up_RadSpec!$H30*s_IFOK_res_adj*s_CF_okra),".")</f>
        <v>6.6115702479338848E-11</v>
      </c>
      <c r="Q30" s="76">
        <f>IFERROR(s_TR/(up_RadSpec!$H30*s_IFON_res_adj*s_CF_onion),".")</f>
        <v>6.6115702479338848E-11</v>
      </c>
      <c r="R30" s="76">
        <f>IFERROR(s_TR/(up_RadSpec!$H30*s_IFPC_res_adj*s_CF_peach),".")</f>
        <v>6.6115702479338848E-11</v>
      </c>
      <c r="S30" s="76">
        <f>IFERROR(s_TR/(up_RadSpec!$H30*s_IFPR_res_adj*s_CF_pear),".")</f>
        <v>6.6115702479338848E-11</v>
      </c>
      <c r="T30" s="76">
        <f>IFERROR(s_TR/(up_RadSpec!$H30*s_IFPE_res_adj*s_CF_peas),".")</f>
        <v>6.6115702479338848E-11</v>
      </c>
      <c r="U30" s="76">
        <f>IFERROR(s_TR/(up_RadSpec!$H30*s_IFPP_res_adj*s_CF_peppers),".")</f>
        <v>6.6115702479338848E-11</v>
      </c>
      <c r="V30" s="76">
        <f>IFERROR(s_TR/(up_RadSpec!$H30*s_IFPT_res_adj*s_CF_potato),".")</f>
        <v>6.6115702479338848E-11</v>
      </c>
      <c r="W30" s="76">
        <f>IFERROR(s_TR/(up_RadSpec!$H30*s_IFPU_res_adj*s_CF_pumpkin),".")</f>
        <v>6.6115702479338848E-11</v>
      </c>
      <c r="X30" s="76">
        <f>IFERROR(s_TR/(up_RadSpec!$H30*s_IFSN_res_adj*s_CF_snap_bean),".")</f>
        <v>6.6115702479338848E-11</v>
      </c>
      <c r="Y30" s="76">
        <f>IFERROR(s_TR/(up_RadSpec!$H30*s_IFST_res_adj*s_CF_strawberry),".")</f>
        <v>6.6115702479338848E-11</v>
      </c>
      <c r="Z30" s="76">
        <f>IFERROR(s_TR/(up_RadSpec!$H30*s_IFTO_res_adj*s_CF_tomato),".")</f>
        <v>6.6115702479338848E-11</v>
      </c>
      <c r="AA30" s="76">
        <f>IFERROR(s_TR/(up_RadSpec!$H30*s_IFRI_res_adj*s_CF_rice),".")</f>
        <v>6.6115702479338848E-11</v>
      </c>
      <c r="AB30" s="76">
        <f>IFERROR(s_TR/(up_RadSpec!$H30*s_IFCG_res_adj*s_CF_cereal),".")</f>
        <v>6.6115702479338848E-11</v>
      </c>
      <c r="AC30" s="76">
        <f t="shared" si="25"/>
        <v>1.6528925619834712E-11</v>
      </c>
      <c r="AD30" s="76">
        <f>IFERROR(s_TR/(up_RadSpec!$H30*s_IFAP_far_adj*s_CF_apple),".")</f>
        <v>6.6115702479338848E-11</v>
      </c>
      <c r="AE30" s="76">
        <f>IFERROR(s_TR/(up_RadSpec!$H30*s_IFAS_far_adj*s_CF_asparagus),".")</f>
        <v>6.6115702479338848E-11</v>
      </c>
      <c r="AF30" s="76">
        <f>IFERROR(s_TR/(up_RadSpec!$H30*s_IFBT_far_adj*s_CF_beet),".")</f>
        <v>6.6115702479338848E-11</v>
      </c>
      <c r="AG30" s="76">
        <f>IFERROR(s_TR/(up_RadSpec!$H30*s_IFBE_far_adj*s_CF_berries),".")</f>
        <v>6.6115702479338848E-11</v>
      </c>
      <c r="AH30" s="76">
        <f>IFERROR(s_TR/(up_RadSpec!$H30*s_IFBR_far_adj*s_CF_broccoli),".")</f>
        <v>6.6115702479338848E-11</v>
      </c>
      <c r="AI30" s="76">
        <f>IFERROR(s_TR/(up_RadSpec!$H30*s_IFCB_far_adj*s_CF_cabbage),".")</f>
        <v>6.6115702479338848E-11</v>
      </c>
      <c r="AJ30" s="76">
        <f>IFERROR(s_TR/(up_RadSpec!$H30*s_IFCR_far_adj*s_CF_carrot),".")</f>
        <v>6.6115702479338848E-11</v>
      </c>
      <c r="AK30" s="76">
        <f>IFERROR(s_TR/(up_RadSpec!$H30*s_IFCI_far_adj*s_CF_citrus),".")</f>
        <v>6.6115702479338848E-11</v>
      </c>
      <c r="AL30" s="76">
        <f>IFERROR(s_TR/(up_RadSpec!$H30*s_IFCO_far_adj*s_CF_corn),".")</f>
        <v>6.6115702479338848E-11</v>
      </c>
      <c r="AM30" s="76">
        <f>IFERROR(s_TR/(up_RadSpec!$H30*s_IFCU_far_adj*s_CF_cucumber),".")</f>
        <v>6.6115702479338848E-11</v>
      </c>
      <c r="AN30" s="76">
        <f>IFERROR(s_TR/(up_RadSpec!$H30*s_IFLE_far_adj*s_CF_lettuce),".")</f>
        <v>6.6115702479338848E-11</v>
      </c>
      <c r="AO30" s="76">
        <f>IFERROR(s_TR/(up_RadSpec!$H30*s_IFLI_far_adj*s_CF_lima_bean),".")</f>
        <v>6.6115702479338848E-11</v>
      </c>
      <c r="AP30" s="76">
        <f>IFERROR(s_TR/(up_RadSpec!$H30*s_IFOK_far_adj*s_CF_okra),".")</f>
        <v>6.6115702479338848E-11</v>
      </c>
      <c r="AQ30" s="76">
        <f>IFERROR(s_TR/(up_RadSpec!$H30*s_IFON_far_adj*s_CF_onion),".")</f>
        <v>6.6115702479338848E-11</v>
      </c>
      <c r="AR30" s="76">
        <f>IFERROR(s_TR/(up_RadSpec!$H30*s_IFPC_far_adj*s_CF_peach),".")</f>
        <v>6.6115702479338848E-11</v>
      </c>
      <c r="AS30" s="76">
        <f>IFERROR(s_TR/(up_RadSpec!$H30*s_IFPR_far_adj*s_CF_pear),".")</f>
        <v>6.6115702479338848E-11</v>
      </c>
      <c r="AT30" s="76">
        <f>IFERROR(s_TR/(up_RadSpec!$H30*s_IFPE_far_adj*s_CF_peas),".")</f>
        <v>6.6115702479338848E-11</v>
      </c>
      <c r="AU30" s="76">
        <f>IFERROR(s_TR/(up_RadSpec!$H30*s_IFPP_far_adj*s_CF_peppers),".")</f>
        <v>6.6115702479338848E-11</v>
      </c>
      <c r="AV30" s="76">
        <f>IFERROR(s_TR/(up_RadSpec!$H30*s_IFPT_far_adj*s_CF_potato),".")</f>
        <v>6.6115702479338848E-11</v>
      </c>
      <c r="AW30" s="76">
        <f>IFERROR(s_TR/(up_RadSpec!$H30*s_IFPU_far_adj*s_CF_pumpkin),".")</f>
        <v>6.6115702479338848E-11</v>
      </c>
      <c r="AX30" s="76">
        <f>IFERROR(s_TR/(up_RadSpec!$H30*s_IFSN_far_adj*s_CF_snap_bean),".")</f>
        <v>6.6115702479338848E-11</v>
      </c>
      <c r="AY30" s="76">
        <f>IFERROR(s_TR/(up_RadSpec!$H30*s_IFST_far_adj*s_CF_strawberry),".")</f>
        <v>6.6115702479338848E-11</v>
      </c>
      <c r="AZ30" s="76">
        <f>IFERROR(s_TR/(up_RadSpec!$H30*s_IFTO_far_adj*s_CF_tomato),".")</f>
        <v>6.6115702479338848E-11</v>
      </c>
      <c r="BA30" s="76">
        <f>IFERROR(s_TR/(up_RadSpec!$H30*s_IFRI_far_adj*s_CF_rice),".")</f>
        <v>6.6115702479338848E-11</v>
      </c>
      <c r="BB30" s="76">
        <f>IFERROR(s_TR/(up_RadSpec!$H30*s_IFCG_far_adj*s_CF_cereal),".")</f>
        <v>6.6115702479338848E-11</v>
      </c>
      <c r="BC30" s="93">
        <f t="shared" si="26"/>
        <v>605000</v>
      </c>
      <c r="BD30" s="93">
        <f t="shared" si="0"/>
        <v>151250</v>
      </c>
      <c r="BE30" s="93">
        <f t="shared" si="1"/>
        <v>151250</v>
      </c>
      <c r="BF30" s="93">
        <f t="shared" si="2"/>
        <v>151250</v>
      </c>
      <c r="BG30" s="93">
        <f t="shared" si="3"/>
        <v>151250</v>
      </c>
      <c r="BH30" s="93">
        <f t="shared" si="4"/>
        <v>151250</v>
      </c>
      <c r="BI30" s="93">
        <f t="shared" si="5"/>
        <v>151250</v>
      </c>
      <c r="BJ30" s="93">
        <f t="shared" si="6"/>
        <v>151250</v>
      </c>
      <c r="BK30" s="93">
        <f t="shared" si="7"/>
        <v>151250</v>
      </c>
      <c r="BL30" s="93">
        <f t="shared" si="8"/>
        <v>151250</v>
      </c>
      <c r="BM30" s="93">
        <f t="shared" si="9"/>
        <v>151250</v>
      </c>
      <c r="BN30" s="93">
        <f t="shared" si="10"/>
        <v>151250</v>
      </c>
      <c r="BO30" s="93">
        <f t="shared" si="11"/>
        <v>151250</v>
      </c>
      <c r="BP30" s="93">
        <f t="shared" si="12"/>
        <v>151250</v>
      </c>
      <c r="BQ30" s="93">
        <f t="shared" si="13"/>
        <v>151250</v>
      </c>
      <c r="BR30" s="93">
        <f t="shared" si="14"/>
        <v>151250</v>
      </c>
      <c r="BS30" s="93">
        <f t="shared" si="15"/>
        <v>151250</v>
      </c>
      <c r="BT30" s="93">
        <f t="shared" si="27"/>
        <v>151250</v>
      </c>
      <c r="BU30" s="93">
        <f t="shared" si="16"/>
        <v>151250</v>
      </c>
      <c r="BV30" s="93">
        <f t="shared" si="17"/>
        <v>151250</v>
      </c>
      <c r="BW30" s="93">
        <f t="shared" si="18"/>
        <v>151250</v>
      </c>
      <c r="BX30" s="93">
        <f t="shared" si="19"/>
        <v>151250</v>
      </c>
      <c r="BY30" s="93">
        <f t="shared" si="20"/>
        <v>151250</v>
      </c>
      <c r="BZ30" s="93">
        <f t="shared" si="21"/>
        <v>151250</v>
      </c>
      <c r="CA30" s="93">
        <f t="shared" si="22"/>
        <v>151250</v>
      </c>
      <c r="CB30" s="93">
        <f t="shared" si="23"/>
        <v>151250</v>
      </c>
    </row>
    <row r="31" spans="1:80" x14ac:dyDescent="0.25">
      <c r="A31" s="95" t="s">
        <v>13</v>
      </c>
      <c r="B31" s="95" t="s">
        <v>1071</v>
      </c>
      <c r="C31" s="96">
        <f t="shared" ref="C31" si="28">IFERROR(1/SUM(C32:C44),0)</f>
        <v>1.3774517918733156E-12</v>
      </c>
      <c r="D31" s="96">
        <f t="shared" ref="D31:AB31" si="29">IFERROR(1/SUM(D32:D44),0)</f>
        <v>5.5098071674932623E-12</v>
      </c>
      <c r="E31" s="96">
        <f t="shared" si="29"/>
        <v>5.5098071674932623E-12</v>
      </c>
      <c r="F31" s="96">
        <f t="shared" si="29"/>
        <v>5.5098071674932623E-12</v>
      </c>
      <c r="G31" s="96">
        <f t="shared" si="29"/>
        <v>5.5098071674932623E-12</v>
      </c>
      <c r="H31" s="96">
        <f t="shared" si="29"/>
        <v>5.5098071674932623E-12</v>
      </c>
      <c r="I31" s="96">
        <f t="shared" si="29"/>
        <v>5.5098071674932623E-12</v>
      </c>
      <c r="J31" s="96">
        <f t="shared" si="29"/>
        <v>5.5098071674932623E-12</v>
      </c>
      <c r="K31" s="96">
        <f t="shared" si="29"/>
        <v>5.5098071674932623E-12</v>
      </c>
      <c r="L31" s="96">
        <f t="shared" si="29"/>
        <v>5.5098071674932623E-12</v>
      </c>
      <c r="M31" s="96">
        <f t="shared" si="29"/>
        <v>5.5098071674932623E-12</v>
      </c>
      <c r="N31" s="96">
        <f t="shared" si="29"/>
        <v>5.5098071674932623E-12</v>
      </c>
      <c r="O31" s="96">
        <f t="shared" si="29"/>
        <v>5.5098071674932623E-12</v>
      </c>
      <c r="P31" s="96">
        <f t="shared" si="29"/>
        <v>5.5098071674932623E-12</v>
      </c>
      <c r="Q31" s="96">
        <f t="shared" si="29"/>
        <v>5.5098071674932623E-12</v>
      </c>
      <c r="R31" s="96">
        <f t="shared" si="29"/>
        <v>5.5098071674932623E-12</v>
      </c>
      <c r="S31" s="96">
        <f t="shared" si="29"/>
        <v>5.5098071674932623E-12</v>
      </c>
      <c r="T31" s="96">
        <f t="shared" si="29"/>
        <v>5.5098071674932623E-12</v>
      </c>
      <c r="U31" s="96">
        <f t="shared" si="29"/>
        <v>5.5098071674932623E-12</v>
      </c>
      <c r="V31" s="96">
        <f t="shared" si="29"/>
        <v>5.5098071674932623E-12</v>
      </c>
      <c r="W31" s="96">
        <f t="shared" si="29"/>
        <v>5.5098071674932623E-12</v>
      </c>
      <c r="X31" s="96">
        <f t="shared" si="29"/>
        <v>5.5098071674932623E-12</v>
      </c>
      <c r="Y31" s="96">
        <f t="shared" si="29"/>
        <v>5.5098071674932623E-12</v>
      </c>
      <c r="Z31" s="96">
        <f t="shared" si="29"/>
        <v>5.5098071674932623E-12</v>
      </c>
      <c r="AA31" s="96">
        <f t="shared" si="29"/>
        <v>5.5098071674932623E-12</v>
      </c>
      <c r="AB31" s="96">
        <f t="shared" si="29"/>
        <v>5.5098071674932623E-12</v>
      </c>
      <c r="AC31" s="96">
        <f t="shared" ref="AC31" si="30">IFERROR(1/SUM(AC32:AC44),0)</f>
        <v>1.3774517918733156E-12</v>
      </c>
      <c r="AD31" s="96">
        <f t="shared" ref="AD31:BB31" si="31">IFERROR(1/SUM(AD32:AD44),0)</f>
        <v>5.5098071674932623E-12</v>
      </c>
      <c r="AE31" s="96">
        <f t="shared" si="31"/>
        <v>5.5098071674932623E-12</v>
      </c>
      <c r="AF31" s="96">
        <f t="shared" si="31"/>
        <v>5.5098071674932623E-12</v>
      </c>
      <c r="AG31" s="96">
        <f t="shared" si="31"/>
        <v>5.5098071674932623E-12</v>
      </c>
      <c r="AH31" s="96">
        <f t="shared" si="31"/>
        <v>5.5098071674932623E-12</v>
      </c>
      <c r="AI31" s="96">
        <f t="shared" si="31"/>
        <v>5.5098071674932623E-12</v>
      </c>
      <c r="AJ31" s="96">
        <f t="shared" si="31"/>
        <v>5.5098071674932623E-12</v>
      </c>
      <c r="AK31" s="96">
        <f t="shared" si="31"/>
        <v>5.5098071674932623E-12</v>
      </c>
      <c r="AL31" s="96">
        <f t="shared" si="31"/>
        <v>5.5098071674932623E-12</v>
      </c>
      <c r="AM31" s="96">
        <f t="shared" si="31"/>
        <v>5.5098071674932623E-12</v>
      </c>
      <c r="AN31" s="96">
        <f t="shared" si="31"/>
        <v>5.5098071674932623E-12</v>
      </c>
      <c r="AO31" s="96">
        <f t="shared" si="31"/>
        <v>5.5098071674932623E-12</v>
      </c>
      <c r="AP31" s="96">
        <f t="shared" si="31"/>
        <v>5.5098071674932623E-12</v>
      </c>
      <c r="AQ31" s="96">
        <f t="shared" si="31"/>
        <v>5.5098071674932623E-12</v>
      </c>
      <c r="AR31" s="96">
        <f t="shared" si="31"/>
        <v>5.5098071674932623E-12</v>
      </c>
      <c r="AS31" s="96">
        <f t="shared" si="31"/>
        <v>5.5098071674932623E-12</v>
      </c>
      <c r="AT31" s="96">
        <f t="shared" si="31"/>
        <v>5.5098071674932623E-12</v>
      </c>
      <c r="AU31" s="96">
        <f t="shared" si="31"/>
        <v>5.5098071674932623E-12</v>
      </c>
      <c r="AV31" s="96">
        <f t="shared" si="31"/>
        <v>5.5098071674932623E-12</v>
      </c>
      <c r="AW31" s="96">
        <f t="shared" si="31"/>
        <v>5.5098071674932623E-12</v>
      </c>
      <c r="AX31" s="96">
        <f t="shared" si="31"/>
        <v>5.5098071674932623E-12</v>
      </c>
      <c r="AY31" s="96">
        <f t="shared" si="31"/>
        <v>5.5098071674932623E-12</v>
      </c>
      <c r="AZ31" s="96">
        <f t="shared" si="31"/>
        <v>5.5098071674932623E-12</v>
      </c>
      <c r="BA31" s="96">
        <f t="shared" si="31"/>
        <v>5.5098071674932623E-12</v>
      </c>
      <c r="BB31" s="96">
        <f t="shared" si="31"/>
        <v>5.5098071674932623E-12</v>
      </c>
      <c r="BC31" s="97">
        <f t="shared" si="26"/>
        <v>4</v>
      </c>
      <c r="BD31" s="97">
        <f>IFERROR(IF(SUM(BD32:BD44)&gt;0.01,1-EXP(-(SUM(BD32:BD44))),SUM(BD32:BD44)),".")</f>
        <v>1</v>
      </c>
      <c r="BE31" s="97">
        <f t="shared" ref="BE31:BZ31" si="32">IFERROR(IF(SUM(BE32:BE44)&gt;0.01,1-EXP(-(SUM(BE32:BE44))),SUM(BE32:BE44)),".")</f>
        <v>1</v>
      </c>
      <c r="BF31" s="97">
        <f t="shared" si="32"/>
        <v>1</v>
      </c>
      <c r="BG31" s="97">
        <f t="shared" si="32"/>
        <v>1</v>
      </c>
      <c r="BH31" s="97">
        <f t="shared" si="32"/>
        <v>1</v>
      </c>
      <c r="BI31" s="97">
        <f t="shared" si="32"/>
        <v>1</v>
      </c>
      <c r="BJ31" s="97">
        <f t="shared" si="32"/>
        <v>1</v>
      </c>
      <c r="BK31" s="97">
        <f t="shared" si="32"/>
        <v>1</v>
      </c>
      <c r="BL31" s="97">
        <f t="shared" si="32"/>
        <v>1</v>
      </c>
      <c r="BM31" s="97">
        <f t="shared" si="32"/>
        <v>1</v>
      </c>
      <c r="BN31" s="97">
        <f t="shared" si="32"/>
        <v>1</v>
      </c>
      <c r="BO31" s="97">
        <f t="shared" si="32"/>
        <v>1</v>
      </c>
      <c r="BP31" s="97">
        <f t="shared" si="32"/>
        <v>1</v>
      </c>
      <c r="BQ31" s="97">
        <f t="shared" si="32"/>
        <v>1</v>
      </c>
      <c r="BR31" s="97">
        <f t="shared" si="32"/>
        <v>1</v>
      </c>
      <c r="BS31" s="97">
        <f t="shared" si="32"/>
        <v>1</v>
      </c>
      <c r="BT31" s="97">
        <f t="shared" si="32"/>
        <v>1</v>
      </c>
      <c r="BU31" s="97">
        <f t="shared" si="32"/>
        <v>1</v>
      </c>
      <c r="BV31" s="97">
        <f t="shared" si="32"/>
        <v>1</v>
      </c>
      <c r="BW31" s="97">
        <f t="shared" si="32"/>
        <v>1</v>
      </c>
      <c r="BX31" s="97">
        <f t="shared" si="32"/>
        <v>1</v>
      </c>
      <c r="BY31" s="97">
        <f t="shared" si="32"/>
        <v>1</v>
      </c>
      <c r="BZ31" s="97">
        <f t="shared" si="32"/>
        <v>1</v>
      </c>
      <c r="CA31" s="97">
        <f>IFERROR(IF(SUM(CA32:CA44)&gt;0.01,1-EXP(-(SUM(CA32:CA44))),SUM(CA32:CA44)),".")</f>
        <v>1</v>
      </c>
      <c r="CB31" s="97">
        <f>IFERROR(IF(SUM(CB32:CB44)&gt;0.01,1-EXP(-(SUM(CB32:CB44))),SUM(CB32:CB44)),".")</f>
        <v>1</v>
      </c>
    </row>
    <row r="32" spans="1:80" x14ac:dyDescent="0.25">
      <c r="A32" s="99" t="s">
        <v>1099</v>
      </c>
      <c r="B32" s="90">
        <v>1</v>
      </c>
      <c r="C32" s="100">
        <f t="shared" ref="C32" si="33">IFERROR($B32/C3,0)</f>
        <v>60499999999.999992</v>
      </c>
      <c r="D32" s="100">
        <f t="shared" ref="D32:AC32" si="34">IFERROR($B32/D3,0)</f>
        <v>15124999999.999998</v>
      </c>
      <c r="E32" s="100">
        <f t="shared" si="34"/>
        <v>15124999999.999998</v>
      </c>
      <c r="F32" s="100">
        <f t="shared" si="34"/>
        <v>15124999999.999998</v>
      </c>
      <c r="G32" s="100">
        <f t="shared" si="34"/>
        <v>15124999999.999998</v>
      </c>
      <c r="H32" s="100">
        <f t="shared" si="34"/>
        <v>15124999999.999998</v>
      </c>
      <c r="I32" s="100">
        <f t="shared" si="34"/>
        <v>15124999999.999998</v>
      </c>
      <c r="J32" s="100">
        <f t="shared" si="34"/>
        <v>15124999999.999998</v>
      </c>
      <c r="K32" s="100">
        <f t="shared" si="34"/>
        <v>15124999999.999998</v>
      </c>
      <c r="L32" s="100">
        <f t="shared" si="34"/>
        <v>15124999999.999998</v>
      </c>
      <c r="M32" s="100">
        <f t="shared" si="34"/>
        <v>15124999999.999998</v>
      </c>
      <c r="N32" s="100">
        <f t="shared" si="34"/>
        <v>15124999999.999998</v>
      </c>
      <c r="O32" s="100">
        <f t="shared" si="34"/>
        <v>15124999999.999998</v>
      </c>
      <c r="P32" s="100">
        <f t="shared" si="34"/>
        <v>15124999999.999998</v>
      </c>
      <c r="Q32" s="100">
        <f t="shared" si="34"/>
        <v>15124999999.999998</v>
      </c>
      <c r="R32" s="100">
        <f t="shared" si="34"/>
        <v>15124999999.999998</v>
      </c>
      <c r="S32" s="100">
        <f t="shared" si="34"/>
        <v>15124999999.999998</v>
      </c>
      <c r="T32" s="100">
        <f t="shared" si="34"/>
        <v>15124999999.999998</v>
      </c>
      <c r="U32" s="100">
        <f t="shared" si="34"/>
        <v>15124999999.999998</v>
      </c>
      <c r="V32" s="100">
        <f t="shared" si="34"/>
        <v>15124999999.999998</v>
      </c>
      <c r="W32" s="100">
        <f t="shared" si="34"/>
        <v>15124999999.999998</v>
      </c>
      <c r="X32" s="100">
        <f t="shared" si="34"/>
        <v>15124999999.999998</v>
      </c>
      <c r="Y32" s="100">
        <f t="shared" si="34"/>
        <v>15124999999.999998</v>
      </c>
      <c r="Z32" s="100">
        <f t="shared" si="34"/>
        <v>15124999999.999998</v>
      </c>
      <c r="AA32" s="100">
        <f t="shared" si="34"/>
        <v>15124999999.999998</v>
      </c>
      <c r="AB32" s="100">
        <f t="shared" si="34"/>
        <v>15124999999.999998</v>
      </c>
      <c r="AC32" s="100">
        <f t="shared" si="34"/>
        <v>60499999999.999992</v>
      </c>
      <c r="AD32" s="100">
        <f t="shared" ref="AD32:BB32" si="35">IFERROR($B32/AD3,0)</f>
        <v>15124999999.999998</v>
      </c>
      <c r="AE32" s="100">
        <f t="shared" si="35"/>
        <v>15124999999.999998</v>
      </c>
      <c r="AF32" s="100">
        <f t="shared" si="35"/>
        <v>15124999999.999998</v>
      </c>
      <c r="AG32" s="100">
        <f t="shared" si="35"/>
        <v>15124999999.999998</v>
      </c>
      <c r="AH32" s="100">
        <f t="shared" si="35"/>
        <v>15124999999.999998</v>
      </c>
      <c r="AI32" s="100">
        <f t="shared" si="35"/>
        <v>15124999999.999998</v>
      </c>
      <c r="AJ32" s="100">
        <f t="shared" si="35"/>
        <v>15124999999.999998</v>
      </c>
      <c r="AK32" s="100">
        <f t="shared" si="35"/>
        <v>15124999999.999998</v>
      </c>
      <c r="AL32" s="100">
        <f t="shared" si="35"/>
        <v>15124999999.999998</v>
      </c>
      <c r="AM32" s="100">
        <f t="shared" si="35"/>
        <v>15124999999.999998</v>
      </c>
      <c r="AN32" s="100">
        <f t="shared" si="35"/>
        <v>15124999999.999998</v>
      </c>
      <c r="AO32" s="100">
        <f t="shared" si="35"/>
        <v>15124999999.999998</v>
      </c>
      <c r="AP32" s="100">
        <f t="shared" si="35"/>
        <v>15124999999.999998</v>
      </c>
      <c r="AQ32" s="100">
        <f t="shared" si="35"/>
        <v>15124999999.999998</v>
      </c>
      <c r="AR32" s="100">
        <f t="shared" si="35"/>
        <v>15124999999.999998</v>
      </c>
      <c r="AS32" s="100">
        <f t="shared" si="35"/>
        <v>15124999999.999998</v>
      </c>
      <c r="AT32" s="100">
        <f t="shared" si="35"/>
        <v>15124999999.999998</v>
      </c>
      <c r="AU32" s="100">
        <f t="shared" si="35"/>
        <v>15124999999.999998</v>
      </c>
      <c r="AV32" s="100">
        <f t="shared" si="35"/>
        <v>15124999999.999998</v>
      </c>
      <c r="AW32" s="100">
        <f t="shared" si="35"/>
        <v>15124999999.999998</v>
      </c>
      <c r="AX32" s="100">
        <f t="shared" si="35"/>
        <v>15124999999.999998</v>
      </c>
      <c r="AY32" s="100">
        <f t="shared" si="35"/>
        <v>15124999999.999998</v>
      </c>
      <c r="AZ32" s="100">
        <f t="shared" si="35"/>
        <v>15124999999.999998</v>
      </c>
      <c r="BA32" s="100">
        <f t="shared" si="35"/>
        <v>15124999999.999998</v>
      </c>
      <c r="BB32" s="100">
        <f t="shared" si="35"/>
        <v>15124999999.999998</v>
      </c>
      <c r="BC32" s="101">
        <f t="shared" si="26"/>
        <v>3025000</v>
      </c>
      <c r="BD32" s="101">
        <f>IFERROR(up_RadSpec!$H$3*(BD3/$B32),".")</f>
        <v>756250</v>
      </c>
      <c r="BE32" s="101">
        <f>IFERROR(up_RadSpec!$H$3*(BE3/$B32),".")</f>
        <v>756250</v>
      </c>
      <c r="BF32" s="101">
        <f>IFERROR(up_RadSpec!$H$3*(BF3/$B32),".")</f>
        <v>756250</v>
      </c>
      <c r="BG32" s="101">
        <f>IFERROR(up_RadSpec!$H$3*(BG3/$B32),".")</f>
        <v>756250</v>
      </c>
      <c r="BH32" s="101">
        <f>IFERROR(up_RadSpec!$H$3*(BH3/$B32),".")</f>
        <v>756250</v>
      </c>
      <c r="BI32" s="101">
        <f>IFERROR(up_RadSpec!$H$3*(BI3/$B32),".")</f>
        <v>756250</v>
      </c>
      <c r="BJ32" s="101">
        <f>IFERROR(up_RadSpec!$H$3*(BJ3/$B32),".")</f>
        <v>756250</v>
      </c>
      <c r="BK32" s="101">
        <f>IFERROR(up_RadSpec!$H$3*(BK3/$B32),".")</f>
        <v>756250</v>
      </c>
      <c r="BL32" s="101">
        <f>IFERROR(up_RadSpec!$H$3*(BL3/$B32),".")</f>
        <v>756250</v>
      </c>
      <c r="BM32" s="101">
        <f>IFERROR(up_RadSpec!$H$3*(BM3/$B32),".")</f>
        <v>756250</v>
      </c>
      <c r="BN32" s="101">
        <f>IFERROR(up_RadSpec!$H$3*(BN3/$B32),".")</f>
        <v>756250</v>
      </c>
      <c r="BO32" s="101">
        <f>IFERROR(up_RadSpec!$H$3*(BO3/$B32),".")</f>
        <v>756250</v>
      </c>
      <c r="BP32" s="101">
        <f>IFERROR(up_RadSpec!$H$3*(BP3/$B32),".")</f>
        <v>756250</v>
      </c>
      <c r="BQ32" s="101">
        <f>IFERROR(up_RadSpec!$H$3*(BQ3/$B32),".")</f>
        <v>756250</v>
      </c>
      <c r="BR32" s="101">
        <f>IFERROR(up_RadSpec!$H$3*(BR3/$B32),".")</f>
        <v>756250</v>
      </c>
      <c r="BS32" s="101">
        <f>IFERROR(up_RadSpec!$H$3*(BS3/$B32),".")</f>
        <v>756250</v>
      </c>
      <c r="BT32" s="101">
        <f>IFERROR(up_RadSpec!$H$3*(BT3/$B32),".")</f>
        <v>756250</v>
      </c>
      <c r="BU32" s="101">
        <f>IFERROR(up_RadSpec!$H$3*(BU3/$B32),".")</f>
        <v>756250</v>
      </c>
      <c r="BV32" s="101">
        <f>IFERROR(up_RadSpec!$H$3*(BV3/$B32),".")</f>
        <v>756250</v>
      </c>
      <c r="BW32" s="101">
        <f>IFERROR(up_RadSpec!$H$3*(BW3/$B32),".")</f>
        <v>756250</v>
      </c>
      <c r="BX32" s="101">
        <f>IFERROR(up_RadSpec!$H$3*(BX3/$B32),".")</f>
        <v>756250</v>
      </c>
      <c r="BY32" s="101">
        <f>IFERROR(up_RadSpec!$H$3*(BY3/$B32),".")</f>
        <v>756250</v>
      </c>
      <c r="BZ32" s="101">
        <f>IFERROR(up_RadSpec!$H$3*(BZ3/$B32),".")</f>
        <v>756250</v>
      </c>
      <c r="CA32" s="101">
        <f>IFERROR(up_RadSpec!$H$3*(CA3/$B32),".")</f>
        <v>756250</v>
      </c>
      <c r="CB32" s="101">
        <f>IFERROR(up_RadSpec!$H$3*(CB3/$B32),".")</f>
        <v>756250</v>
      </c>
    </row>
    <row r="33" spans="1:80" x14ac:dyDescent="0.25">
      <c r="A33" s="99" t="s">
        <v>1075</v>
      </c>
      <c r="B33" s="90">
        <v>1</v>
      </c>
      <c r="C33" s="100">
        <f t="shared" ref="C33" si="36">IFERROR($B33/C13,0)</f>
        <v>60499999999.999992</v>
      </c>
      <c r="D33" s="100">
        <f t="shared" ref="D33:AB34" si="37">IFERROR($B33/D13,0)</f>
        <v>15124999999.999998</v>
      </c>
      <c r="E33" s="100">
        <f t="shared" si="37"/>
        <v>15124999999.999998</v>
      </c>
      <c r="F33" s="100">
        <f t="shared" si="37"/>
        <v>15124999999.999998</v>
      </c>
      <c r="G33" s="100">
        <f t="shared" si="37"/>
        <v>15124999999.999998</v>
      </c>
      <c r="H33" s="100">
        <f t="shared" si="37"/>
        <v>15124999999.999998</v>
      </c>
      <c r="I33" s="100">
        <f t="shared" si="37"/>
        <v>15124999999.999998</v>
      </c>
      <c r="J33" s="100">
        <f t="shared" si="37"/>
        <v>15124999999.999998</v>
      </c>
      <c r="K33" s="100">
        <f t="shared" si="37"/>
        <v>15124999999.999998</v>
      </c>
      <c r="L33" s="100">
        <f t="shared" si="37"/>
        <v>15124999999.999998</v>
      </c>
      <c r="M33" s="100">
        <f t="shared" si="37"/>
        <v>15124999999.999998</v>
      </c>
      <c r="N33" s="100">
        <f t="shared" si="37"/>
        <v>15124999999.999998</v>
      </c>
      <c r="O33" s="100">
        <f t="shared" si="37"/>
        <v>15124999999.999998</v>
      </c>
      <c r="P33" s="100">
        <f t="shared" si="37"/>
        <v>15124999999.999998</v>
      </c>
      <c r="Q33" s="100">
        <f t="shared" si="37"/>
        <v>15124999999.999998</v>
      </c>
      <c r="R33" s="100">
        <f t="shared" si="37"/>
        <v>15124999999.999998</v>
      </c>
      <c r="S33" s="100">
        <f t="shared" si="37"/>
        <v>15124999999.999998</v>
      </c>
      <c r="T33" s="100">
        <f t="shared" si="37"/>
        <v>15124999999.999998</v>
      </c>
      <c r="U33" s="100">
        <f t="shared" si="37"/>
        <v>15124999999.999998</v>
      </c>
      <c r="V33" s="100">
        <f t="shared" si="37"/>
        <v>15124999999.999998</v>
      </c>
      <c r="W33" s="100">
        <f t="shared" si="37"/>
        <v>15124999999.999998</v>
      </c>
      <c r="X33" s="100">
        <f t="shared" si="37"/>
        <v>15124999999.999998</v>
      </c>
      <c r="Y33" s="100">
        <f t="shared" si="37"/>
        <v>15124999999.999998</v>
      </c>
      <c r="Z33" s="100">
        <f t="shared" si="37"/>
        <v>15124999999.999998</v>
      </c>
      <c r="AA33" s="100">
        <f t="shared" si="37"/>
        <v>15124999999.999998</v>
      </c>
      <c r="AB33" s="100">
        <f t="shared" si="37"/>
        <v>15124999999.999998</v>
      </c>
      <c r="AC33" s="100">
        <f t="shared" ref="AC33" si="38">IFERROR($B33/AC13,0)</f>
        <v>60499999999.999992</v>
      </c>
      <c r="AD33" s="100">
        <f t="shared" ref="AD33:BB34" si="39">IFERROR($B33/AD13,0)</f>
        <v>15124999999.999998</v>
      </c>
      <c r="AE33" s="100">
        <f t="shared" si="39"/>
        <v>15124999999.999998</v>
      </c>
      <c r="AF33" s="100">
        <f t="shared" si="39"/>
        <v>15124999999.999998</v>
      </c>
      <c r="AG33" s="100">
        <f t="shared" si="39"/>
        <v>15124999999.999998</v>
      </c>
      <c r="AH33" s="100">
        <f t="shared" si="39"/>
        <v>15124999999.999998</v>
      </c>
      <c r="AI33" s="100">
        <f t="shared" si="39"/>
        <v>15124999999.999998</v>
      </c>
      <c r="AJ33" s="100">
        <f t="shared" si="39"/>
        <v>15124999999.999998</v>
      </c>
      <c r="AK33" s="100">
        <f t="shared" si="39"/>
        <v>15124999999.999998</v>
      </c>
      <c r="AL33" s="100">
        <f t="shared" si="39"/>
        <v>15124999999.999998</v>
      </c>
      <c r="AM33" s="100">
        <f t="shared" si="39"/>
        <v>15124999999.999998</v>
      </c>
      <c r="AN33" s="100">
        <f t="shared" si="39"/>
        <v>15124999999.999998</v>
      </c>
      <c r="AO33" s="100">
        <f t="shared" si="39"/>
        <v>15124999999.999998</v>
      </c>
      <c r="AP33" s="100">
        <f t="shared" si="39"/>
        <v>15124999999.999998</v>
      </c>
      <c r="AQ33" s="100">
        <f t="shared" si="39"/>
        <v>15124999999.999998</v>
      </c>
      <c r="AR33" s="100">
        <f t="shared" si="39"/>
        <v>15124999999.999998</v>
      </c>
      <c r="AS33" s="100">
        <f t="shared" si="39"/>
        <v>15124999999.999998</v>
      </c>
      <c r="AT33" s="100">
        <f t="shared" si="39"/>
        <v>15124999999.999998</v>
      </c>
      <c r="AU33" s="100">
        <f t="shared" si="39"/>
        <v>15124999999.999998</v>
      </c>
      <c r="AV33" s="100">
        <f t="shared" si="39"/>
        <v>15124999999.999998</v>
      </c>
      <c r="AW33" s="100">
        <f t="shared" si="39"/>
        <v>15124999999.999998</v>
      </c>
      <c r="AX33" s="100">
        <f t="shared" si="39"/>
        <v>15124999999.999998</v>
      </c>
      <c r="AY33" s="100">
        <f t="shared" si="39"/>
        <v>15124999999.999998</v>
      </c>
      <c r="AZ33" s="100">
        <f t="shared" si="39"/>
        <v>15124999999.999998</v>
      </c>
      <c r="BA33" s="100">
        <f t="shared" si="39"/>
        <v>15124999999.999998</v>
      </c>
      <c r="BB33" s="100">
        <f t="shared" si="39"/>
        <v>15124999999.999998</v>
      </c>
      <c r="BC33" s="101">
        <f t="shared" si="26"/>
        <v>3025000</v>
      </c>
      <c r="BD33" s="101">
        <f>IFERROR(up_RadSpec!$H$13*(BD13/$B33),".")</f>
        <v>756250</v>
      </c>
      <c r="BE33" s="101">
        <f>IFERROR(up_RadSpec!$H$13*(BE13/$B33),".")</f>
        <v>756250</v>
      </c>
      <c r="BF33" s="101">
        <f>IFERROR(up_RadSpec!$H$13*(BF13/$B33),".")</f>
        <v>756250</v>
      </c>
      <c r="BG33" s="101">
        <f>IFERROR(up_RadSpec!$H$13*(BG13/$B33),".")</f>
        <v>756250</v>
      </c>
      <c r="BH33" s="101">
        <f>IFERROR(up_RadSpec!$H$13*(BH13/$B33),".")</f>
        <v>756250</v>
      </c>
      <c r="BI33" s="101">
        <f>IFERROR(up_RadSpec!$H$13*(BI13/$B33),".")</f>
        <v>756250</v>
      </c>
      <c r="BJ33" s="101">
        <f>IFERROR(up_RadSpec!$H$13*(BJ13/$B33),".")</f>
        <v>756250</v>
      </c>
      <c r="BK33" s="101">
        <f>IFERROR(up_RadSpec!$H$13*(BK13/$B33),".")</f>
        <v>756250</v>
      </c>
      <c r="BL33" s="101">
        <f>IFERROR(up_RadSpec!$H$13*(BL13/$B33),".")</f>
        <v>756250</v>
      </c>
      <c r="BM33" s="101">
        <f>IFERROR(up_RadSpec!$H$13*(BM13/$B33),".")</f>
        <v>756250</v>
      </c>
      <c r="BN33" s="101">
        <f>IFERROR(up_RadSpec!$H$13*(BN13/$B33),".")</f>
        <v>756250</v>
      </c>
      <c r="BO33" s="101">
        <f>IFERROR(up_RadSpec!$H$13*(BO13/$B33),".")</f>
        <v>756250</v>
      </c>
      <c r="BP33" s="101">
        <f>IFERROR(up_RadSpec!$H$13*(BP13/$B33),".")</f>
        <v>756250</v>
      </c>
      <c r="BQ33" s="101">
        <f>IFERROR(up_RadSpec!$H$13*(BQ13/$B33),".")</f>
        <v>756250</v>
      </c>
      <c r="BR33" s="101">
        <f>IFERROR(up_RadSpec!$H$13*(BR13/$B33),".")</f>
        <v>756250</v>
      </c>
      <c r="BS33" s="101">
        <f>IFERROR(up_RadSpec!$H$13*(BS13/$B33),".")</f>
        <v>756250</v>
      </c>
      <c r="BT33" s="101">
        <f>IFERROR(up_RadSpec!$H$13*(BT13/$B33),".")</f>
        <v>756250</v>
      </c>
      <c r="BU33" s="101">
        <f>IFERROR(up_RadSpec!$H$13*(BU13/$B33),".")</f>
        <v>756250</v>
      </c>
      <c r="BV33" s="101">
        <f>IFERROR(up_RadSpec!$H$13*(BV13/$B33),".")</f>
        <v>756250</v>
      </c>
      <c r="BW33" s="101">
        <f>IFERROR(up_RadSpec!$H$13*(BW13/$B33),".")</f>
        <v>756250</v>
      </c>
      <c r="BX33" s="101">
        <f>IFERROR(up_RadSpec!$H$13*(BX13/$B33),".")</f>
        <v>756250</v>
      </c>
      <c r="BY33" s="101">
        <f>IFERROR(up_RadSpec!$H$13*(BY13/$B33),".")</f>
        <v>756250</v>
      </c>
      <c r="BZ33" s="101">
        <f>IFERROR(up_RadSpec!$H$13*(BZ13/$B33),".")</f>
        <v>756250</v>
      </c>
      <c r="CA33" s="101">
        <f>IFERROR(up_RadSpec!$H$13*(CA13/$B33),".")</f>
        <v>756250</v>
      </c>
      <c r="CB33" s="101">
        <f>IFERROR(up_RadSpec!$H$13*(CB13/$B33),".")</f>
        <v>756250</v>
      </c>
    </row>
    <row r="34" spans="1:80" x14ac:dyDescent="0.25">
      <c r="A34" s="99" t="s">
        <v>1076</v>
      </c>
      <c r="B34" s="90">
        <v>1</v>
      </c>
      <c r="C34" s="100">
        <f t="shared" ref="C34" si="40">IFERROR($B34/C14,0)</f>
        <v>60499999999.999992</v>
      </c>
      <c r="D34" s="100">
        <f t="shared" si="37"/>
        <v>15124999999.999998</v>
      </c>
      <c r="E34" s="100">
        <f t="shared" si="37"/>
        <v>15124999999.999998</v>
      </c>
      <c r="F34" s="100">
        <f t="shared" si="37"/>
        <v>15124999999.999998</v>
      </c>
      <c r="G34" s="100">
        <f t="shared" si="37"/>
        <v>15124999999.999998</v>
      </c>
      <c r="H34" s="100">
        <f t="shared" si="37"/>
        <v>15124999999.999998</v>
      </c>
      <c r="I34" s="100">
        <f t="shared" si="37"/>
        <v>15124999999.999998</v>
      </c>
      <c r="J34" s="100">
        <f t="shared" si="37"/>
        <v>15124999999.999998</v>
      </c>
      <c r="K34" s="100">
        <f t="shared" si="37"/>
        <v>15124999999.999998</v>
      </c>
      <c r="L34" s="100">
        <f t="shared" si="37"/>
        <v>15124999999.999998</v>
      </c>
      <c r="M34" s="100">
        <f t="shared" si="37"/>
        <v>15124999999.999998</v>
      </c>
      <c r="N34" s="100">
        <f t="shared" si="37"/>
        <v>15124999999.999998</v>
      </c>
      <c r="O34" s="100">
        <f t="shared" si="37"/>
        <v>15124999999.999998</v>
      </c>
      <c r="P34" s="100">
        <f t="shared" si="37"/>
        <v>15124999999.999998</v>
      </c>
      <c r="Q34" s="100">
        <f t="shared" si="37"/>
        <v>15124999999.999998</v>
      </c>
      <c r="R34" s="100">
        <f t="shared" si="37"/>
        <v>15124999999.999998</v>
      </c>
      <c r="S34" s="100">
        <f t="shared" si="37"/>
        <v>15124999999.999998</v>
      </c>
      <c r="T34" s="100">
        <f t="shared" si="37"/>
        <v>15124999999.999998</v>
      </c>
      <c r="U34" s="100">
        <f t="shared" si="37"/>
        <v>15124999999.999998</v>
      </c>
      <c r="V34" s="100">
        <f t="shared" si="37"/>
        <v>15124999999.999998</v>
      </c>
      <c r="W34" s="100">
        <f t="shared" si="37"/>
        <v>15124999999.999998</v>
      </c>
      <c r="X34" s="100">
        <f t="shared" si="37"/>
        <v>15124999999.999998</v>
      </c>
      <c r="Y34" s="100">
        <f t="shared" si="37"/>
        <v>15124999999.999998</v>
      </c>
      <c r="Z34" s="100">
        <f t="shared" si="37"/>
        <v>15124999999.999998</v>
      </c>
      <c r="AA34" s="100">
        <f t="shared" si="37"/>
        <v>15124999999.999998</v>
      </c>
      <c r="AB34" s="100">
        <f t="shared" si="37"/>
        <v>15124999999.999998</v>
      </c>
      <c r="AC34" s="100">
        <f t="shared" ref="AC34" si="41">IFERROR($B34/AC14,0)</f>
        <v>60499999999.999992</v>
      </c>
      <c r="AD34" s="100">
        <f t="shared" si="39"/>
        <v>15124999999.999998</v>
      </c>
      <c r="AE34" s="100">
        <f t="shared" si="39"/>
        <v>15124999999.999998</v>
      </c>
      <c r="AF34" s="100">
        <f t="shared" si="39"/>
        <v>15124999999.999998</v>
      </c>
      <c r="AG34" s="100">
        <f t="shared" si="39"/>
        <v>15124999999.999998</v>
      </c>
      <c r="AH34" s="100">
        <f t="shared" si="39"/>
        <v>15124999999.999998</v>
      </c>
      <c r="AI34" s="100">
        <f t="shared" si="39"/>
        <v>15124999999.999998</v>
      </c>
      <c r="AJ34" s="100">
        <f t="shared" si="39"/>
        <v>15124999999.999998</v>
      </c>
      <c r="AK34" s="100">
        <f t="shared" si="39"/>
        <v>15124999999.999998</v>
      </c>
      <c r="AL34" s="100">
        <f t="shared" si="39"/>
        <v>15124999999.999998</v>
      </c>
      <c r="AM34" s="100">
        <f t="shared" si="39"/>
        <v>15124999999.999998</v>
      </c>
      <c r="AN34" s="100">
        <f t="shared" si="39"/>
        <v>15124999999.999998</v>
      </c>
      <c r="AO34" s="100">
        <f t="shared" si="39"/>
        <v>15124999999.999998</v>
      </c>
      <c r="AP34" s="100">
        <f t="shared" si="39"/>
        <v>15124999999.999998</v>
      </c>
      <c r="AQ34" s="100">
        <f t="shared" si="39"/>
        <v>15124999999.999998</v>
      </c>
      <c r="AR34" s="100">
        <f t="shared" si="39"/>
        <v>15124999999.999998</v>
      </c>
      <c r="AS34" s="100">
        <f t="shared" si="39"/>
        <v>15124999999.999998</v>
      </c>
      <c r="AT34" s="100">
        <f t="shared" si="39"/>
        <v>15124999999.999998</v>
      </c>
      <c r="AU34" s="100">
        <f t="shared" si="39"/>
        <v>15124999999.999998</v>
      </c>
      <c r="AV34" s="100">
        <f t="shared" si="39"/>
        <v>15124999999.999998</v>
      </c>
      <c r="AW34" s="100">
        <f t="shared" si="39"/>
        <v>15124999999.999998</v>
      </c>
      <c r="AX34" s="100">
        <f t="shared" si="39"/>
        <v>15124999999.999998</v>
      </c>
      <c r="AY34" s="100">
        <f t="shared" si="39"/>
        <v>15124999999.999998</v>
      </c>
      <c r="AZ34" s="100">
        <f t="shared" si="39"/>
        <v>15124999999.999998</v>
      </c>
      <c r="BA34" s="100">
        <f t="shared" si="39"/>
        <v>15124999999.999998</v>
      </c>
      <c r="BB34" s="100">
        <f t="shared" si="39"/>
        <v>15124999999.999998</v>
      </c>
      <c r="BC34" s="101">
        <f t="shared" si="26"/>
        <v>3025000</v>
      </c>
      <c r="BD34" s="101">
        <f>IFERROR(up_RadSpec!$H$14*(BD14/$B34),".")</f>
        <v>756250</v>
      </c>
      <c r="BE34" s="101">
        <f>IFERROR(up_RadSpec!$H$14*(BE14/$B34),".")</f>
        <v>756250</v>
      </c>
      <c r="BF34" s="101">
        <f>IFERROR(up_RadSpec!$H$14*(BF14/$B34),".")</f>
        <v>756250</v>
      </c>
      <c r="BG34" s="101">
        <f>IFERROR(up_RadSpec!$H$14*(BG14/$B34),".")</f>
        <v>756250</v>
      </c>
      <c r="BH34" s="101">
        <f>IFERROR(up_RadSpec!$H$14*(BH14/$B34),".")</f>
        <v>756250</v>
      </c>
      <c r="BI34" s="101">
        <f>IFERROR(up_RadSpec!$H$14*(BI14/$B34),".")</f>
        <v>756250</v>
      </c>
      <c r="BJ34" s="101">
        <f>IFERROR(up_RadSpec!$H$14*(BJ14/$B34),".")</f>
        <v>756250</v>
      </c>
      <c r="BK34" s="101">
        <f>IFERROR(up_RadSpec!$H$14*(BK14/$B34),".")</f>
        <v>756250</v>
      </c>
      <c r="BL34" s="101">
        <f>IFERROR(up_RadSpec!$H$14*(BL14/$B34),".")</f>
        <v>756250</v>
      </c>
      <c r="BM34" s="101">
        <f>IFERROR(up_RadSpec!$H$14*(BM14/$B34),".")</f>
        <v>756250</v>
      </c>
      <c r="BN34" s="101">
        <f>IFERROR(up_RadSpec!$H$14*(BN14/$B34),".")</f>
        <v>756250</v>
      </c>
      <c r="BO34" s="101">
        <f>IFERROR(up_RadSpec!$H$14*(BO14/$B34),".")</f>
        <v>756250</v>
      </c>
      <c r="BP34" s="101">
        <f>IFERROR(up_RadSpec!$H$14*(BP14/$B34),".")</f>
        <v>756250</v>
      </c>
      <c r="BQ34" s="101">
        <f>IFERROR(up_RadSpec!$H$14*(BQ14/$B34),".")</f>
        <v>756250</v>
      </c>
      <c r="BR34" s="101">
        <f>IFERROR(up_RadSpec!$H$14*(BR14/$B34),".")</f>
        <v>756250</v>
      </c>
      <c r="BS34" s="101">
        <f>IFERROR(up_RadSpec!$H$14*(BS14/$B34),".")</f>
        <v>756250</v>
      </c>
      <c r="BT34" s="101">
        <f>IFERROR(up_RadSpec!$H$14*(BT14/$B34),".")</f>
        <v>756250</v>
      </c>
      <c r="BU34" s="101">
        <f>IFERROR(up_RadSpec!$H$14*(BU14/$B34),".")</f>
        <v>756250</v>
      </c>
      <c r="BV34" s="101">
        <f>IFERROR(up_RadSpec!$H$14*(BV14/$B34),".")</f>
        <v>756250</v>
      </c>
      <c r="BW34" s="101">
        <f>IFERROR(up_RadSpec!$H$14*(BW14/$B34),".")</f>
        <v>756250</v>
      </c>
      <c r="BX34" s="101">
        <f>IFERROR(up_RadSpec!$H$14*(BX14/$B34),".")</f>
        <v>756250</v>
      </c>
      <c r="BY34" s="101">
        <f>IFERROR(up_RadSpec!$H$14*(BY14/$B34),".")</f>
        <v>756250</v>
      </c>
      <c r="BZ34" s="101">
        <f>IFERROR(up_RadSpec!$H$14*(BZ14/$B34),".")</f>
        <v>756250</v>
      </c>
      <c r="CA34" s="101">
        <f>IFERROR(up_RadSpec!$H$14*(CA14/$B34),".")</f>
        <v>756250</v>
      </c>
      <c r="CB34" s="101">
        <f>IFERROR(up_RadSpec!$H$14*(CB14/$B34),".")</f>
        <v>756250</v>
      </c>
    </row>
    <row r="35" spans="1:80" x14ac:dyDescent="0.25">
      <c r="A35" s="99" t="s">
        <v>1077</v>
      </c>
      <c r="B35" s="90">
        <v>1</v>
      </c>
      <c r="C35" s="100">
        <f t="shared" ref="C35" si="42">IFERROR($B35/C30,0)</f>
        <v>60499999999.999992</v>
      </c>
      <c r="D35" s="100">
        <f t="shared" ref="D35:AC35" si="43">IFERROR($B35/D30,0)</f>
        <v>15124999999.999998</v>
      </c>
      <c r="E35" s="100">
        <f t="shared" si="43"/>
        <v>15124999999.999998</v>
      </c>
      <c r="F35" s="100">
        <f t="shared" si="43"/>
        <v>15124999999.999998</v>
      </c>
      <c r="G35" s="100">
        <f t="shared" si="43"/>
        <v>15124999999.999998</v>
      </c>
      <c r="H35" s="100">
        <f t="shared" si="43"/>
        <v>15124999999.999998</v>
      </c>
      <c r="I35" s="100">
        <f t="shared" si="43"/>
        <v>15124999999.999998</v>
      </c>
      <c r="J35" s="100">
        <f t="shared" si="43"/>
        <v>15124999999.999998</v>
      </c>
      <c r="K35" s="100">
        <f t="shared" si="43"/>
        <v>15124999999.999998</v>
      </c>
      <c r="L35" s="100">
        <f t="shared" si="43"/>
        <v>15124999999.999998</v>
      </c>
      <c r="M35" s="100">
        <f t="shared" si="43"/>
        <v>15124999999.999998</v>
      </c>
      <c r="N35" s="100">
        <f t="shared" si="43"/>
        <v>15124999999.999998</v>
      </c>
      <c r="O35" s="100">
        <f t="shared" si="43"/>
        <v>15124999999.999998</v>
      </c>
      <c r="P35" s="100">
        <f t="shared" si="43"/>
        <v>15124999999.999998</v>
      </c>
      <c r="Q35" s="100">
        <f t="shared" si="43"/>
        <v>15124999999.999998</v>
      </c>
      <c r="R35" s="100">
        <f t="shared" si="43"/>
        <v>15124999999.999998</v>
      </c>
      <c r="S35" s="100">
        <f t="shared" si="43"/>
        <v>15124999999.999998</v>
      </c>
      <c r="T35" s="100">
        <f t="shared" si="43"/>
        <v>15124999999.999998</v>
      </c>
      <c r="U35" s="100">
        <f t="shared" si="43"/>
        <v>15124999999.999998</v>
      </c>
      <c r="V35" s="100">
        <f t="shared" si="43"/>
        <v>15124999999.999998</v>
      </c>
      <c r="W35" s="100">
        <f t="shared" si="43"/>
        <v>15124999999.999998</v>
      </c>
      <c r="X35" s="100">
        <f t="shared" si="43"/>
        <v>15124999999.999998</v>
      </c>
      <c r="Y35" s="100">
        <f t="shared" si="43"/>
        <v>15124999999.999998</v>
      </c>
      <c r="Z35" s="100">
        <f t="shared" si="43"/>
        <v>15124999999.999998</v>
      </c>
      <c r="AA35" s="100">
        <f t="shared" si="43"/>
        <v>15124999999.999998</v>
      </c>
      <c r="AB35" s="100">
        <f t="shared" si="43"/>
        <v>15124999999.999998</v>
      </c>
      <c r="AC35" s="100">
        <f t="shared" si="43"/>
        <v>60499999999.999992</v>
      </c>
      <c r="AD35" s="100">
        <f t="shared" ref="AD35:BB35" si="44">IFERROR($B35/AD30,0)</f>
        <v>15124999999.999998</v>
      </c>
      <c r="AE35" s="100">
        <f t="shared" si="44"/>
        <v>15124999999.999998</v>
      </c>
      <c r="AF35" s="100">
        <f t="shared" si="44"/>
        <v>15124999999.999998</v>
      </c>
      <c r="AG35" s="100">
        <f t="shared" si="44"/>
        <v>15124999999.999998</v>
      </c>
      <c r="AH35" s="100">
        <f t="shared" si="44"/>
        <v>15124999999.999998</v>
      </c>
      <c r="AI35" s="100">
        <f t="shared" si="44"/>
        <v>15124999999.999998</v>
      </c>
      <c r="AJ35" s="100">
        <f t="shared" si="44"/>
        <v>15124999999.999998</v>
      </c>
      <c r="AK35" s="100">
        <f t="shared" si="44"/>
        <v>15124999999.999998</v>
      </c>
      <c r="AL35" s="100">
        <f t="shared" si="44"/>
        <v>15124999999.999998</v>
      </c>
      <c r="AM35" s="100">
        <f t="shared" si="44"/>
        <v>15124999999.999998</v>
      </c>
      <c r="AN35" s="100">
        <f t="shared" si="44"/>
        <v>15124999999.999998</v>
      </c>
      <c r="AO35" s="100">
        <f t="shared" si="44"/>
        <v>15124999999.999998</v>
      </c>
      <c r="AP35" s="100">
        <f t="shared" si="44"/>
        <v>15124999999.999998</v>
      </c>
      <c r="AQ35" s="100">
        <f t="shared" si="44"/>
        <v>15124999999.999998</v>
      </c>
      <c r="AR35" s="100">
        <f t="shared" si="44"/>
        <v>15124999999.999998</v>
      </c>
      <c r="AS35" s="100">
        <f t="shared" si="44"/>
        <v>15124999999.999998</v>
      </c>
      <c r="AT35" s="100">
        <f t="shared" si="44"/>
        <v>15124999999.999998</v>
      </c>
      <c r="AU35" s="100">
        <f t="shared" si="44"/>
        <v>15124999999.999998</v>
      </c>
      <c r="AV35" s="100">
        <f t="shared" si="44"/>
        <v>15124999999.999998</v>
      </c>
      <c r="AW35" s="100">
        <f t="shared" si="44"/>
        <v>15124999999.999998</v>
      </c>
      <c r="AX35" s="100">
        <f t="shared" si="44"/>
        <v>15124999999.999998</v>
      </c>
      <c r="AY35" s="100">
        <f t="shared" si="44"/>
        <v>15124999999.999998</v>
      </c>
      <c r="AZ35" s="100">
        <f t="shared" si="44"/>
        <v>15124999999.999998</v>
      </c>
      <c r="BA35" s="100">
        <f t="shared" si="44"/>
        <v>15124999999.999998</v>
      </c>
      <c r="BB35" s="100">
        <f t="shared" si="44"/>
        <v>15124999999.999998</v>
      </c>
      <c r="BC35" s="101">
        <f t="shared" si="26"/>
        <v>3025000</v>
      </c>
      <c r="BD35" s="101">
        <f>IFERROR(up_RadSpec!$H$30*(BD30/$B35),".")</f>
        <v>756250</v>
      </c>
      <c r="BE35" s="101">
        <f>IFERROR(up_RadSpec!$H$30*(BE30/$B35),".")</f>
        <v>756250</v>
      </c>
      <c r="BF35" s="101">
        <f>IFERROR(up_RadSpec!$H$30*(BF30/$B35),".")</f>
        <v>756250</v>
      </c>
      <c r="BG35" s="101">
        <f>IFERROR(up_RadSpec!$H$30*(BG30/$B35),".")</f>
        <v>756250</v>
      </c>
      <c r="BH35" s="101">
        <f>IFERROR(up_RadSpec!$H$30*(BH30/$B35),".")</f>
        <v>756250</v>
      </c>
      <c r="BI35" s="101">
        <f>IFERROR(up_RadSpec!$H$30*(BI30/$B35),".")</f>
        <v>756250</v>
      </c>
      <c r="BJ35" s="101">
        <f>IFERROR(up_RadSpec!$H$30*(BJ30/$B35),".")</f>
        <v>756250</v>
      </c>
      <c r="BK35" s="101">
        <f>IFERROR(up_RadSpec!$H$30*(BK30/$B35),".")</f>
        <v>756250</v>
      </c>
      <c r="BL35" s="101">
        <f>IFERROR(up_RadSpec!$H$30*(BL30/$B35),".")</f>
        <v>756250</v>
      </c>
      <c r="BM35" s="101">
        <f>IFERROR(up_RadSpec!$H$30*(BM30/$B35),".")</f>
        <v>756250</v>
      </c>
      <c r="BN35" s="101">
        <f>IFERROR(up_RadSpec!$H$30*(BN30/$B35),".")</f>
        <v>756250</v>
      </c>
      <c r="BO35" s="101">
        <f>IFERROR(up_RadSpec!$H$30*(BO30/$B35),".")</f>
        <v>756250</v>
      </c>
      <c r="BP35" s="101">
        <f>IFERROR(up_RadSpec!$H$30*(BP30/$B35),".")</f>
        <v>756250</v>
      </c>
      <c r="BQ35" s="101">
        <f>IFERROR(up_RadSpec!$H$30*(BQ30/$B35),".")</f>
        <v>756250</v>
      </c>
      <c r="BR35" s="101">
        <f>IFERROR(up_RadSpec!$H$30*(BR30/$B35),".")</f>
        <v>756250</v>
      </c>
      <c r="BS35" s="101">
        <f>IFERROR(up_RadSpec!$H$30*(BS30/$B35),".")</f>
        <v>756250</v>
      </c>
      <c r="BT35" s="101">
        <f>IFERROR(up_RadSpec!$H$30*(BT30/$B35),".")</f>
        <v>756250</v>
      </c>
      <c r="BU35" s="101">
        <f>IFERROR(up_RadSpec!$H$30*(BU30/$B35),".")</f>
        <v>756250</v>
      </c>
      <c r="BV35" s="101">
        <f>IFERROR(up_RadSpec!$H$30*(BV30/$B35),".")</f>
        <v>756250</v>
      </c>
      <c r="BW35" s="101">
        <f>IFERROR(up_RadSpec!$H$30*(BW30/$B35),".")</f>
        <v>756250</v>
      </c>
      <c r="BX35" s="101">
        <f>IFERROR(up_RadSpec!$H$30*(BX30/$B35),".")</f>
        <v>756250</v>
      </c>
      <c r="BY35" s="101">
        <f>IFERROR(up_RadSpec!$H$30*(BY30/$B35),".")</f>
        <v>756250</v>
      </c>
      <c r="BZ35" s="101">
        <f>IFERROR(up_RadSpec!$H$30*(BZ30/$B35),".")</f>
        <v>756250</v>
      </c>
      <c r="CA35" s="101">
        <f>IFERROR(up_RadSpec!$H$30*(CA30/$B35),".")</f>
        <v>756250</v>
      </c>
      <c r="CB35" s="101">
        <f>IFERROR(up_RadSpec!$H$30*(CB30/$B35),".")</f>
        <v>756250</v>
      </c>
    </row>
    <row r="36" spans="1:80" x14ac:dyDescent="0.25">
      <c r="A36" s="99" t="s">
        <v>1078</v>
      </c>
      <c r="B36" s="90">
        <v>1</v>
      </c>
      <c r="C36" s="100">
        <f t="shared" ref="C36" si="45">IFERROR($B36/C26,0)</f>
        <v>60499999999.999992</v>
      </c>
      <c r="D36" s="100">
        <f t="shared" ref="D36:AC36" si="46">IFERROR($B36/D26,0)</f>
        <v>15124999999.999998</v>
      </c>
      <c r="E36" s="100">
        <f t="shared" si="46"/>
        <v>15124999999.999998</v>
      </c>
      <c r="F36" s="100">
        <f t="shared" si="46"/>
        <v>15124999999.999998</v>
      </c>
      <c r="G36" s="100">
        <f t="shared" si="46"/>
        <v>15124999999.999998</v>
      </c>
      <c r="H36" s="100">
        <f t="shared" si="46"/>
        <v>15124999999.999998</v>
      </c>
      <c r="I36" s="100">
        <f t="shared" si="46"/>
        <v>15124999999.999998</v>
      </c>
      <c r="J36" s="100">
        <f t="shared" si="46"/>
        <v>15124999999.999998</v>
      </c>
      <c r="K36" s="100">
        <f t="shared" si="46"/>
        <v>15124999999.999998</v>
      </c>
      <c r="L36" s="100">
        <f t="shared" si="46"/>
        <v>15124999999.999998</v>
      </c>
      <c r="M36" s="100">
        <f t="shared" si="46"/>
        <v>15124999999.999998</v>
      </c>
      <c r="N36" s="100">
        <f t="shared" si="46"/>
        <v>15124999999.999998</v>
      </c>
      <c r="O36" s="100">
        <f t="shared" si="46"/>
        <v>15124999999.999998</v>
      </c>
      <c r="P36" s="100">
        <f t="shared" si="46"/>
        <v>15124999999.999998</v>
      </c>
      <c r="Q36" s="100">
        <f t="shared" si="46"/>
        <v>15124999999.999998</v>
      </c>
      <c r="R36" s="100">
        <f t="shared" si="46"/>
        <v>15124999999.999998</v>
      </c>
      <c r="S36" s="100">
        <f t="shared" si="46"/>
        <v>15124999999.999998</v>
      </c>
      <c r="T36" s="100">
        <f t="shared" si="46"/>
        <v>15124999999.999998</v>
      </c>
      <c r="U36" s="100">
        <f t="shared" si="46"/>
        <v>15124999999.999998</v>
      </c>
      <c r="V36" s="100">
        <f t="shared" si="46"/>
        <v>15124999999.999998</v>
      </c>
      <c r="W36" s="100">
        <f t="shared" si="46"/>
        <v>15124999999.999998</v>
      </c>
      <c r="X36" s="100">
        <f t="shared" si="46"/>
        <v>15124999999.999998</v>
      </c>
      <c r="Y36" s="100">
        <f t="shared" si="46"/>
        <v>15124999999.999998</v>
      </c>
      <c r="Z36" s="100">
        <f t="shared" si="46"/>
        <v>15124999999.999998</v>
      </c>
      <c r="AA36" s="100">
        <f t="shared" si="46"/>
        <v>15124999999.999998</v>
      </c>
      <c r="AB36" s="100">
        <f t="shared" si="46"/>
        <v>15124999999.999998</v>
      </c>
      <c r="AC36" s="100">
        <f t="shared" si="46"/>
        <v>60499999999.999992</v>
      </c>
      <c r="AD36" s="100">
        <f t="shared" ref="AD36:BB36" si="47">IFERROR($B36/AD26,0)</f>
        <v>15124999999.999998</v>
      </c>
      <c r="AE36" s="100">
        <f t="shared" si="47"/>
        <v>15124999999.999998</v>
      </c>
      <c r="AF36" s="100">
        <f t="shared" si="47"/>
        <v>15124999999.999998</v>
      </c>
      <c r="AG36" s="100">
        <f t="shared" si="47"/>
        <v>15124999999.999998</v>
      </c>
      <c r="AH36" s="100">
        <f t="shared" si="47"/>
        <v>15124999999.999998</v>
      </c>
      <c r="AI36" s="100">
        <f t="shared" si="47"/>
        <v>15124999999.999998</v>
      </c>
      <c r="AJ36" s="100">
        <f t="shared" si="47"/>
        <v>15124999999.999998</v>
      </c>
      <c r="AK36" s="100">
        <f t="shared" si="47"/>
        <v>15124999999.999998</v>
      </c>
      <c r="AL36" s="100">
        <f t="shared" si="47"/>
        <v>15124999999.999998</v>
      </c>
      <c r="AM36" s="100">
        <f t="shared" si="47"/>
        <v>15124999999.999998</v>
      </c>
      <c r="AN36" s="100">
        <f t="shared" si="47"/>
        <v>15124999999.999998</v>
      </c>
      <c r="AO36" s="100">
        <f t="shared" si="47"/>
        <v>15124999999.999998</v>
      </c>
      <c r="AP36" s="100">
        <f t="shared" si="47"/>
        <v>15124999999.999998</v>
      </c>
      <c r="AQ36" s="100">
        <f t="shared" si="47"/>
        <v>15124999999.999998</v>
      </c>
      <c r="AR36" s="100">
        <f t="shared" si="47"/>
        <v>15124999999.999998</v>
      </c>
      <c r="AS36" s="100">
        <f t="shared" si="47"/>
        <v>15124999999.999998</v>
      </c>
      <c r="AT36" s="100">
        <f t="shared" si="47"/>
        <v>15124999999.999998</v>
      </c>
      <c r="AU36" s="100">
        <f t="shared" si="47"/>
        <v>15124999999.999998</v>
      </c>
      <c r="AV36" s="100">
        <f t="shared" si="47"/>
        <v>15124999999.999998</v>
      </c>
      <c r="AW36" s="100">
        <f t="shared" si="47"/>
        <v>15124999999.999998</v>
      </c>
      <c r="AX36" s="100">
        <f t="shared" si="47"/>
        <v>15124999999.999998</v>
      </c>
      <c r="AY36" s="100">
        <f t="shared" si="47"/>
        <v>15124999999.999998</v>
      </c>
      <c r="AZ36" s="100">
        <f t="shared" si="47"/>
        <v>15124999999.999998</v>
      </c>
      <c r="BA36" s="100">
        <f t="shared" si="47"/>
        <v>15124999999.999998</v>
      </c>
      <c r="BB36" s="100">
        <f t="shared" si="47"/>
        <v>15124999999.999998</v>
      </c>
      <c r="BC36" s="101">
        <f t="shared" si="26"/>
        <v>3025000</v>
      </c>
      <c r="BD36" s="101">
        <f>IFERROR(up_RadSpec!$H$26*(BD26/$B36),".")</f>
        <v>756250</v>
      </c>
      <c r="BE36" s="101">
        <f>IFERROR(up_RadSpec!$H$26*(BE26/$B36),".")</f>
        <v>756250</v>
      </c>
      <c r="BF36" s="101">
        <f>IFERROR(up_RadSpec!$H$26*(BF26/$B36),".")</f>
        <v>756250</v>
      </c>
      <c r="BG36" s="101">
        <f>IFERROR(up_RadSpec!$H$26*(BG26/$B36),".")</f>
        <v>756250</v>
      </c>
      <c r="BH36" s="101">
        <f>IFERROR(up_RadSpec!$H$26*(BH26/$B36),".")</f>
        <v>756250</v>
      </c>
      <c r="BI36" s="101">
        <f>IFERROR(up_RadSpec!$H$26*(BI26/$B36),".")</f>
        <v>756250</v>
      </c>
      <c r="BJ36" s="101">
        <f>IFERROR(up_RadSpec!$H$26*(BJ26/$B36),".")</f>
        <v>756250</v>
      </c>
      <c r="BK36" s="101">
        <f>IFERROR(up_RadSpec!$H$26*(BK26/$B36),".")</f>
        <v>756250</v>
      </c>
      <c r="BL36" s="101">
        <f>IFERROR(up_RadSpec!$H$26*(BL26/$B36),".")</f>
        <v>756250</v>
      </c>
      <c r="BM36" s="101">
        <f>IFERROR(up_RadSpec!$H$26*(BM26/$B36),".")</f>
        <v>756250</v>
      </c>
      <c r="BN36" s="101">
        <f>IFERROR(up_RadSpec!$H$26*(BN26/$B36),".")</f>
        <v>756250</v>
      </c>
      <c r="BO36" s="101">
        <f>IFERROR(up_RadSpec!$H$26*(BO26/$B36),".")</f>
        <v>756250</v>
      </c>
      <c r="BP36" s="101">
        <f>IFERROR(up_RadSpec!$H$26*(BP26/$B36),".")</f>
        <v>756250</v>
      </c>
      <c r="BQ36" s="101">
        <f>IFERROR(up_RadSpec!$H$26*(BQ26/$B36),".")</f>
        <v>756250</v>
      </c>
      <c r="BR36" s="101">
        <f>IFERROR(up_RadSpec!$H$26*(BR26/$B36),".")</f>
        <v>756250</v>
      </c>
      <c r="BS36" s="101">
        <f>IFERROR(up_RadSpec!$H$26*(BS26/$B36),".")</f>
        <v>756250</v>
      </c>
      <c r="BT36" s="101">
        <f>IFERROR(up_RadSpec!$H$26*(BT26/$B36),".")</f>
        <v>756250</v>
      </c>
      <c r="BU36" s="101">
        <f>IFERROR(up_RadSpec!$H$26*(BU26/$B36),".")</f>
        <v>756250</v>
      </c>
      <c r="BV36" s="101">
        <f>IFERROR(up_RadSpec!$H$26*(BV26/$B36),".")</f>
        <v>756250</v>
      </c>
      <c r="BW36" s="101">
        <f>IFERROR(up_RadSpec!$H$26*(BW26/$B36),".")</f>
        <v>756250</v>
      </c>
      <c r="BX36" s="101">
        <f>IFERROR(up_RadSpec!$H$26*(BX26/$B36),".")</f>
        <v>756250</v>
      </c>
      <c r="BY36" s="101">
        <f>IFERROR(up_RadSpec!$H$26*(BY26/$B36),".")</f>
        <v>756250</v>
      </c>
      <c r="BZ36" s="101">
        <f>IFERROR(up_RadSpec!$H$26*(BZ26/$B36),".")</f>
        <v>756250</v>
      </c>
      <c r="CA36" s="101">
        <f>IFERROR(up_RadSpec!$H$26*(CA26/$B36),".")</f>
        <v>756250</v>
      </c>
      <c r="CB36" s="101">
        <f>IFERROR(up_RadSpec!$H$26*(CB26/$B36),".")</f>
        <v>756250</v>
      </c>
    </row>
    <row r="37" spans="1:80" x14ac:dyDescent="0.25">
      <c r="A37" s="99" t="s">
        <v>1079</v>
      </c>
      <c r="B37" s="90">
        <v>1</v>
      </c>
      <c r="C37" s="100">
        <f t="shared" ref="C37" si="48">IFERROR($B37/C22,0)</f>
        <v>60499999999.999992</v>
      </c>
      <c r="D37" s="100">
        <f t="shared" ref="D37:AC37" si="49">IFERROR($B37/D22,0)</f>
        <v>15124999999.999998</v>
      </c>
      <c r="E37" s="100">
        <f t="shared" si="49"/>
        <v>15124999999.999998</v>
      </c>
      <c r="F37" s="100">
        <f t="shared" si="49"/>
        <v>15124999999.999998</v>
      </c>
      <c r="G37" s="100">
        <f t="shared" si="49"/>
        <v>15124999999.999998</v>
      </c>
      <c r="H37" s="100">
        <f t="shared" si="49"/>
        <v>15124999999.999998</v>
      </c>
      <c r="I37" s="100">
        <f t="shared" si="49"/>
        <v>15124999999.999998</v>
      </c>
      <c r="J37" s="100">
        <f t="shared" si="49"/>
        <v>15124999999.999998</v>
      </c>
      <c r="K37" s="100">
        <f t="shared" si="49"/>
        <v>15124999999.999998</v>
      </c>
      <c r="L37" s="100">
        <f t="shared" si="49"/>
        <v>15124999999.999998</v>
      </c>
      <c r="M37" s="100">
        <f t="shared" si="49"/>
        <v>15124999999.999998</v>
      </c>
      <c r="N37" s="100">
        <f t="shared" si="49"/>
        <v>15124999999.999998</v>
      </c>
      <c r="O37" s="100">
        <f t="shared" si="49"/>
        <v>15124999999.999998</v>
      </c>
      <c r="P37" s="100">
        <f t="shared" si="49"/>
        <v>15124999999.999998</v>
      </c>
      <c r="Q37" s="100">
        <f t="shared" si="49"/>
        <v>15124999999.999998</v>
      </c>
      <c r="R37" s="100">
        <f t="shared" si="49"/>
        <v>15124999999.999998</v>
      </c>
      <c r="S37" s="100">
        <f t="shared" si="49"/>
        <v>15124999999.999998</v>
      </c>
      <c r="T37" s="100">
        <f t="shared" si="49"/>
        <v>15124999999.999998</v>
      </c>
      <c r="U37" s="100">
        <f t="shared" si="49"/>
        <v>15124999999.999998</v>
      </c>
      <c r="V37" s="100">
        <f t="shared" si="49"/>
        <v>15124999999.999998</v>
      </c>
      <c r="W37" s="100">
        <f t="shared" si="49"/>
        <v>15124999999.999998</v>
      </c>
      <c r="X37" s="100">
        <f t="shared" si="49"/>
        <v>15124999999.999998</v>
      </c>
      <c r="Y37" s="100">
        <f t="shared" si="49"/>
        <v>15124999999.999998</v>
      </c>
      <c r="Z37" s="100">
        <f t="shared" si="49"/>
        <v>15124999999.999998</v>
      </c>
      <c r="AA37" s="100">
        <f t="shared" si="49"/>
        <v>15124999999.999998</v>
      </c>
      <c r="AB37" s="100">
        <f t="shared" si="49"/>
        <v>15124999999.999998</v>
      </c>
      <c r="AC37" s="100">
        <f t="shared" si="49"/>
        <v>60499999999.999992</v>
      </c>
      <c r="AD37" s="100">
        <f t="shared" ref="AD37:BB37" si="50">IFERROR($B37/AD22,0)</f>
        <v>15124999999.999998</v>
      </c>
      <c r="AE37" s="100">
        <f t="shared" si="50"/>
        <v>15124999999.999998</v>
      </c>
      <c r="AF37" s="100">
        <f t="shared" si="50"/>
        <v>15124999999.999998</v>
      </c>
      <c r="AG37" s="100">
        <f t="shared" si="50"/>
        <v>15124999999.999998</v>
      </c>
      <c r="AH37" s="100">
        <f t="shared" si="50"/>
        <v>15124999999.999998</v>
      </c>
      <c r="AI37" s="100">
        <f t="shared" si="50"/>
        <v>15124999999.999998</v>
      </c>
      <c r="AJ37" s="100">
        <f t="shared" si="50"/>
        <v>15124999999.999998</v>
      </c>
      <c r="AK37" s="100">
        <f t="shared" si="50"/>
        <v>15124999999.999998</v>
      </c>
      <c r="AL37" s="100">
        <f t="shared" si="50"/>
        <v>15124999999.999998</v>
      </c>
      <c r="AM37" s="100">
        <f t="shared" si="50"/>
        <v>15124999999.999998</v>
      </c>
      <c r="AN37" s="100">
        <f t="shared" si="50"/>
        <v>15124999999.999998</v>
      </c>
      <c r="AO37" s="100">
        <f t="shared" si="50"/>
        <v>15124999999.999998</v>
      </c>
      <c r="AP37" s="100">
        <f t="shared" si="50"/>
        <v>15124999999.999998</v>
      </c>
      <c r="AQ37" s="100">
        <f t="shared" si="50"/>
        <v>15124999999.999998</v>
      </c>
      <c r="AR37" s="100">
        <f t="shared" si="50"/>
        <v>15124999999.999998</v>
      </c>
      <c r="AS37" s="100">
        <f t="shared" si="50"/>
        <v>15124999999.999998</v>
      </c>
      <c r="AT37" s="100">
        <f t="shared" si="50"/>
        <v>15124999999.999998</v>
      </c>
      <c r="AU37" s="100">
        <f t="shared" si="50"/>
        <v>15124999999.999998</v>
      </c>
      <c r="AV37" s="100">
        <f t="shared" si="50"/>
        <v>15124999999.999998</v>
      </c>
      <c r="AW37" s="100">
        <f t="shared" si="50"/>
        <v>15124999999.999998</v>
      </c>
      <c r="AX37" s="100">
        <f t="shared" si="50"/>
        <v>15124999999.999998</v>
      </c>
      <c r="AY37" s="100">
        <f t="shared" si="50"/>
        <v>15124999999.999998</v>
      </c>
      <c r="AZ37" s="100">
        <f t="shared" si="50"/>
        <v>15124999999.999998</v>
      </c>
      <c r="BA37" s="100">
        <f t="shared" si="50"/>
        <v>15124999999.999998</v>
      </c>
      <c r="BB37" s="100">
        <f t="shared" si="50"/>
        <v>15124999999.999998</v>
      </c>
      <c r="BC37" s="101">
        <f t="shared" si="26"/>
        <v>3025000</v>
      </c>
      <c r="BD37" s="101">
        <f>IFERROR(up_RadSpec!$H$22*(BD22/$B37),".")</f>
        <v>756250</v>
      </c>
      <c r="BE37" s="101">
        <f>IFERROR(up_RadSpec!$H$22*(BE22/$B37),".")</f>
        <v>756250</v>
      </c>
      <c r="BF37" s="101">
        <f>IFERROR(up_RadSpec!$H$22*(BF22/$B37),".")</f>
        <v>756250</v>
      </c>
      <c r="BG37" s="101">
        <f>IFERROR(up_RadSpec!$H$22*(BG22/$B37),".")</f>
        <v>756250</v>
      </c>
      <c r="BH37" s="101">
        <f>IFERROR(up_RadSpec!$H$22*(BH22/$B37),".")</f>
        <v>756250</v>
      </c>
      <c r="BI37" s="101">
        <f>IFERROR(up_RadSpec!$H$22*(BI22/$B37),".")</f>
        <v>756250</v>
      </c>
      <c r="BJ37" s="101">
        <f>IFERROR(up_RadSpec!$H$22*(BJ22/$B37),".")</f>
        <v>756250</v>
      </c>
      <c r="BK37" s="101">
        <f>IFERROR(up_RadSpec!$H$22*(BK22/$B37),".")</f>
        <v>756250</v>
      </c>
      <c r="BL37" s="101">
        <f>IFERROR(up_RadSpec!$H$22*(BL22/$B37),".")</f>
        <v>756250</v>
      </c>
      <c r="BM37" s="101">
        <f>IFERROR(up_RadSpec!$H$22*(BM22/$B37),".")</f>
        <v>756250</v>
      </c>
      <c r="BN37" s="101">
        <f>IFERROR(up_RadSpec!$H$22*(BN22/$B37),".")</f>
        <v>756250</v>
      </c>
      <c r="BO37" s="101">
        <f>IFERROR(up_RadSpec!$H$22*(BO22/$B37),".")</f>
        <v>756250</v>
      </c>
      <c r="BP37" s="101">
        <f>IFERROR(up_RadSpec!$H$22*(BP22/$B37),".")</f>
        <v>756250</v>
      </c>
      <c r="BQ37" s="101">
        <f>IFERROR(up_RadSpec!$H$22*(BQ22/$B37),".")</f>
        <v>756250</v>
      </c>
      <c r="BR37" s="101">
        <f>IFERROR(up_RadSpec!$H$22*(BR22/$B37),".")</f>
        <v>756250</v>
      </c>
      <c r="BS37" s="101">
        <f>IFERROR(up_RadSpec!$H$22*(BS22/$B37),".")</f>
        <v>756250</v>
      </c>
      <c r="BT37" s="101">
        <f>IFERROR(up_RadSpec!$H$22*(BT22/$B37),".")</f>
        <v>756250</v>
      </c>
      <c r="BU37" s="101">
        <f>IFERROR(up_RadSpec!$H$22*(BU22/$B37),".")</f>
        <v>756250</v>
      </c>
      <c r="BV37" s="101">
        <f>IFERROR(up_RadSpec!$H$22*(BV22/$B37),".")</f>
        <v>756250</v>
      </c>
      <c r="BW37" s="101">
        <f>IFERROR(up_RadSpec!$H$22*(BW22/$B37),".")</f>
        <v>756250</v>
      </c>
      <c r="BX37" s="101">
        <f>IFERROR(up_RadSpec!$H$22*(BX22/$B37),".")</f>
        <v>756250</v>
      </c>
      <c r="BY37" s="101">
        <f>IFERROR(up_RadSpec!$H$22*(BY22/$B37),".")</f>
        <v>756250</v>
      </c>
      <c r="BZ37" s="101">
        <f>IFERROR(up_RadSpec!$H$22*(BZ22/$B37),".")</f>
        <v>756250</v>
      </c>
      <c r="CA37" s="101">
        <f>IFERROR(up_RadSpec!$H$22*(CA22/$B37),".")</f>
        <v>756250</v>
      </c>
      <c r="CB37" s="101">
        <f>IFERROR(up_RadSpec!$H$22*(CB22/$B37),".")</f>
        <v>756250</v>
      </c>
    </row>
    <row r="38" spans="1:80" x14ac:dyDescent="0.25">
      <c r="A38" s="99" t="s">
        <v>1080</v>
      </c>
      <c r="B38" s="90">
        <v>1</v>
      </c>
      <c r="C38" s="100">
        <f t="shared" ref="C38" si="51">IFERROR($B38/C2,0)</f>
        <v>60499999999.999992</v>
      </c>
      <c r="D38" s="100">
        <f t="shared" ref="D38:AC38" si="52">IFERROR($B38/D2,0)</f>
        <v>15124999999.999998</v>
      </c>
      <c r="E38" s="100">
        <f t="shared" si="52"/>
        <v>15124999999.999998</v>
      </c>
      <c r="F38" s="100">
        <f t="shared" si="52"/>
        <v>15124999999.999998</v>
      </c>
      <c r="G38" s="100">
        <f t="shared" si="52"/>
        <v>15124999999.999998</v>
      </c>
      <c r="H38" s="100">
        <f t="shared" si="52"/>
        <v>15124999999.999998</v>
      </c>
      <c r="I38" s="100">
        <f t="shared" si="52"/>
        <v>15124999999.999998</v>
      </c>
      <c r="J38" s="100">
        <f t="shared" si="52"/>
        <v>15124999999.999998</v>
      </c>
      <c r="K38" s="100">
        <f t="shared" si="52"/>
        <v>15124999999.999998</v>
      </c>
      <c r="L38" s="100">
        <f t="shared" si="52"/>
        <v>15124999999.999998</v>
      </c>
      <c r="M38" s="100">
        <f t="shared" si="52"/>
        <v>15124999999.999998</v>
      </c>
      <c r="N38" s="100">
        <f t="shared" si="52"/>
        <v>15124999999.999998</v>
      </c>
      <c r="O38" s="100">
        <f t="shared" si="52"/>
        <v>15124999999.999998</v>
      </c>
      <c r="P38" s="100">
        <f t="shared" si="52"/>
        <v>15124999999.999998</v>
      </c>
      <c r="Q38" s="100">
        <f t="shared" si="52"/>
        <v>15124999999.999998</v>
      </c>
      <c r="R38" s="100">
        <f t="shared" si="52"/>
        <v>15124999999.999998</v>
      </c>
      <c r="S38" s="100">
        <f t="shared" si="52"/>
        <v>15124999999.999998</v>
      </c>
      <c r="T38" s="100">
        <f t="shared" si="52"/>
        <v>15124999999.999998</v>
      </c>
      <c r="U38" s="100">
        <f t="shared" si="52"/>
        <v>15124999999.999998</v>
      </c>
      <c r="V38" s="100">
        <f t="shared" si="52"/>
        <v>15124999999.999998</v>
      </c>
      <c r="W38" s="100">
        <f t="shared" si="52"/>
        <v>15124999999.999998</v>
      </c>
      <c r="X38" s="100">
        <f t="shared" si="52"/>
        <v>15124999999.999998</v>
      </c>
      <c r="Y38" s="100">
        <f t="shared" si="52"/>
        <v>15124999999.999998</v>
      </c>
      <c r="Z38" s="100">
        <f t="shared" si="52"/>
        <v>15124999999.999998</v>
      </c>
      <c r="AA38" s="100">
        <f t="shared" si="52"/>
        <v>15124999999.999998</v>
      </c>
      <c r="AB38" s="100">
        <f t="shared" si="52"/>
        <v>15124999999.999998</v>
      </c>
      <c r="AC38" s="100">
        <f t="shared" si="52"/>
        <v>60499999999.999992</v>
      </c>
      <c r="AD38" s="100">
        <f t="shared" ref="AD38:BB38" si="53">IFERROR($B38/AD2,0)</f>
        <v>15124999999.999998</v>
      </c>
      <c r="AE38" s="100">
        <f t="shared" si="53"/>
        <v>15124999999.999998</v>
      </c>
      <c r="AF38" s="100">
        <f t="shared" si="53"/>
        <v>15124999999.999998</v>
      </c>
      <c r="AG38" s="100">
        <f t="shared" si="53"/>
        <v>15124999999.999998</v>
      </c>
      <c r="AH38" s="100">
        <f t="shared" si="53"/>
        <v>15124999999.999998</v>
      </c>
      <c r="AI38" s="100">
        <f t="shared" si="53"/>
        <v>15124999999.999998</v>
      </c>
      <c r="AJ38" s="100">
        <f t="shared" si="53"/>
        <v>15124999999.999998</v>
      </c>
      <c r="AK38" s="100">
        <f t="shared" si="53"/>
        <v>15124999999.999998</v>
      </c>
      <c r="AL38" s="100">
        <f t="shared" si="53"/>
        <v>15124999999.999998</v>
      </c>
      <c r="AM38" s="100">
        <f t="shared" si="53"/>
        <v>15124999999.999998</v>
      </c>
      <c r="AN38" s="100">
        <f t="shared" si="53"/>
        <v>15124999999.999998</v>
      </c>
      <c r="AO38" s="100">
        <f t="shared" si="53"/>
        <v>15124999999.999998</v>
      </c>
      <c r="AP38" s="100">
        <f t="shared" si="53"/>
        <v>15124999999.999998</v>
      </c>
      <c r="AQ38" s="100">
        <f t="shared" si="53"/>
        <v>15124999999.999998</v>
      </c>
      <c r="AR38" s="100">
        <f t="shared" si="53"/>
        <v>15124999999.999998</v>
      </c>
      <c r="AS38" s="100">
        <f t="shared" si="53"/>
        <v>15124999999.999998</v>
      </c>
      <c r="AT38" s="100">
        <f t="shared" si="53"/>
        <v>15124999999.999998</v>
      </c>
      <c r="AU38" s="100">
        <f t="shared" si="53"/>
        <v>15124999999.999998</v>
      </c>
      <c r="AV38" s="100">
        <f t="shared" si="53"/>
        <v>15124999999.999998</v>
      </c>
      <c r="AW38" s="100">
        <f t="shared" si="53"/>
        <v>15124999999.999998</v>
      </c>
      <c r="AX38" s="100">
        <f t="shared" si="53"/>
        <v>15124999999.999998</v>
      </c>
      <c r="AY38" s="100">
        <f t="shared" si="53"/>
        <v>15124999999.999998</v>
      </c>
      <c r="AZ38" s="100">
        <f t="shared" si="53"/>
        <v>15124999999.999998</v>
      </c>
      <c r="BA38" s="100">
        <f t="shared" si="53"/>
        <v>15124999999.999998</v>
      </c>
      <c r="BB38" s="100">
        <f t="shared" si="53"/>
        <v>15124999999.999998</v>
      </c>
      <c r="BC38" s="101">
        <f t="shared" si="26"/>
        <v>3025000</v>
      </c>
      <c r="BD38" s="101">
        <f>IFERROR(up_RadSpec!$H$2*(BD2/$B38),".")</f>
        <v>756250</v>
      </c>
      <c r="BE38" s="101">
        <f>IFERROR(up_RadSpec!$H$2*(BE2/$B38),".")</f>
        <v>756250</v>
      </c>
      <c r="BF38" s="101">
        <f>IFERROR(up_RadSpec!$H$2*(BF2/$B38),".")</f>
        <v>756250</v>
      </c>
      <c r="BG38" s="101">
        <f>IFERROR(up_RadSpec!$H$2*(BG2/$B38),".")</f>
        <v>756250</v>
      </c>
      <c r="BH38" s="101">
        <f>IFERROR(up_RadSpec!$H$2*(BH2/$B38),".")</f>
        <v>756250</v>
      </c>
      <c r="BI38" s="101">
        <f>IFERROR(up_RadSpec!$H$2*(BI2/$B38),".")</f>
        <v>756250</v>
      </c>
      <c r="BJ38" s="101">
        <f>IFERROR(up_RadSpec!$H$2*(BJ2/$B38),".")</f>
        <v>756250</v>
      </c>
      <c r="BK38" s="101">
        <f>IFERROR(up_RadSpec!$H$2*(BK2/$B38),".")</f>
        <v>756250</v>
      </c>
      <c r="BL38" s="101">
        <f>IFERROR(up_RadSpec!$H$2*(BL2/$B38),".")</f>
        <v>756250</v>
      </c>
      <c r="BM38" s="101">
        <f>IFERROR(up_RadSpec!$H$2*(BM2/$B38),".")</f>
        <v>756250</v>
      </c>
      <c r="BN38" s="101">
        <f>IFERROR(up_RadSpec!$H$2*(BN2/$B38),".")</f>
        <v>756250</v>
      </c>
      <c r="BO38" s="101">
        <f>IFERROR(up_RadSpec!$H$2*(BO2/$B38),".")</f>
        <v>756250</v>
      </c>
      <c r="BP38" s="101">
        <f>IFERROR(up_RadSpec!$H$2*(BP2/$B38),".")</f>
        <v>756250</v>
      </c>
      <c r="BQ38" s="101">
        <f>IFERROR(up_RadSpec!$H$2*(BQ2/$B38),".")</f>
        <v>756250</v>
      </c>
      <c r="BR38" s="101">
        <f>IFERROR(up_RadSpec!$H$2*(BR2/$B38),".")</f>
        <v>756250</v>
      </c>
      <c r="BS38" s="101">
        <f>IFERROR(up_RadSpec!$H$2*(BS2/$B38),".")</f>
        <v>756250</v>
      </c>
      <c r="BT38" s="101">
        <f>IFERROR(up_RadSpec!$H$2*(BT2/$B38),".")</f>
        <v>756250</v>
      </c>
      <c r="BU38" s="101">
        <f>IFERROR(up_RadSpec!$H$2*(BU2/$B38),".")</f>
        <v>756250</v>
      </c>
      <c r="BV38" s="101">
        <f>IFERROR(up_RadSpec!$H$2*(BV2/$B38),".")</f>
        <v>756250</v>
      </c>
      <c r="BW38" s="101">
        <f>IFERROR(up_RadSpec!$H$2*(BW2/$B38),".")</f>
        <v>756250</v>
      </c>
      <c r="BX38" s="101">
        <f>IFERROR(up_RadSpec!$H$2*(BX2/$B38),".")</f>
        <v>756250</v>
      </c>
      <c r="BY38" s="101">
        <f>IFERROR(up_RadSpec!$H$2*(BY2/$B38),".")</f>
        <v>756250</v>
      </c>
      <c r="BZ38" s="101">
        <f>IFERROR(up_RadSpec!$H$2*(BZ2/$B38),".")</f>
        <v>756250</v>
      </c>
      <c r="CA38" s="101">
        <f>IFERROR(up_RadSpec!$H$2*(CA2/$B38),".")</f>
        <v>756250</v>
      </c>
      <c r="CB38" s="101">
        <f>IFERROR(up_RadSpec!$H$2*(CB2/$B38),".")</f>
        <v>756250</v>
      </c>
    </row>
    <row r="39" spans="1:80" x14ac:dyDescent="0.25">
      <c r="A39" s="99" t="s">
        <v>1081</v>
      </c>
      <c r="B39" s="90">
        <v>1</v>
      </c>
      <c r="C39" s="100">
        <f t="shared" ref="C39" si="54">IFERROR($B39/C11,0)</f>
        <v>60499999999.999992</v>
      </c>
      <c r="D39" s="100">
        <f t="shared" ref="D39:AC39" si="55">IFERROR($B39/D11,0)</f>
        <v>15124999999.999998</v>
      </c>
      <c r="E39" s="100">
        <f t="shared" si="55"/>
        <v>15124999999.999998</v>
      </c>
      <c r="F39" s="100">
        <f t="shared" si="55"/>
        <v>15124999999.999998</v>
      </c>
      <c r="G39" s="100">
        <f t="shared" si="55"/>
        <v>15124999999.999998</v>
      </c>
      <c r="H39" s="100">
        <f t="shared" si="55"/>
        <v>15124999999.999998</v>
      </c>
      <c r="I39" s="100">
        <f t="shared" si="55"/>
        <v>15124999999.999998</v>
      </c>
      <c r="J39" s="100">
        <f t="shared" si="55"/>
        <v>15124999999.999998</v>
      </c>
      <c r="K39" s="100">
        <f t="shared" si="55"/>
        <v>15124999999.999998</v>
      </c>
      <c r="L39" s="100">
        <f t="shared" si="55"/>
        <v>15124999999.999998</v>
      </c>
      <c r="M39" s="100">
        <f t="shared" si="55"/>
        <v>15124999999.999998</v>
      </c>
      <c r="N39" s="100">
        <f t="shared" si="55"/>
        <v>15124999999.999998</v>
      </c>
      <c r="O39" s="100">
        <f t="shared" si="55"/>
        <v>15124999999.999998</v>
      </c>
      <c r="P39" s="100">
        <f t="shared" si="55"/>
        <v>15124999999.999998</v>
      </c>
      <c r="Q39" s="100">
        <f t="shared" si="55"/>
        <v>15124999999.999998</v>
      </c>
      <c r="R39" s="100">
        <f t="shared" si="55"/>
        <v>15124999999.999998</v>
      </c>
      <c r="S39" s="100">
        <f t="shared" si="55"/>
        <v>15124999999.999998</v>
      </c>
      <c r="T39" s="100">
        <f t="shared" si="55"/>
        <v>15124999999.999998</v>
      </c>
      <c r="U39" s="100">
        <f t="shared" si="55"/>
        <v>15124999999.999998</v>
      </c>
      <c r="V39" s="100">
        <f t="shared" si="55"/>
        <v>15124999999.999998</v>
      </c>
      <c r="W39" s="100">
        <f t="shared" si="55"/>
        <v>15124999999.999998</v>
      </c>
      <c r="X39" s="100">
        <f t="shared" si="55"/>
        <v>15124999999.999998</v>
      </c>
      <c r="Y39" s="100">
        <f t="shared" si="55"/>
        <v>15124999999.999998</v>
      </c>
      <c r="Z39" s="100">
        <f t="shared" si="55"/>
        <v>15124999999.999998</v>
      </c>
      <c r="AA39" s="100">
        <f t="shared" si="55"/>
        <v>15124999999.999998</v>
      </c>
      <c r="AB39" s="100">
        <f t="shared" si="55"/>
        <v>15124999999.999998</v>
      </c>
      <c r="AC39" s="100">
        <f t="shared" si="55"/>
        <v>60499999999.999992</v>
      </c>
      <c r="AD39" s="100">
        <f t="shared" ref="AD39:BB39" si="56">IFERROR($B39/AD11,0)</f>
        <v>15124999999.999998</v>
      </c>
      <c r="AE39" s="100">
        <f t="shared" si="56"/>
        <v>15124999999.999998</v>
      </c>
      <c r="AF39" s="100">
        <f t="shared" si="56"/>
        <v>15124999999.999998</v>
      </c>
      <c r="AG39" s="100">
        <f t="shared" si="56"/>
        <v>15124999999.999998</v>
      </c>
      <c r="AH39" s="100">
        <f t="shared" si="56"/>
        <v>15124999999.999998</v>
      </c>
      <c r="AI39" s="100">
        <f t="shared" si="56"/>
        <v>15124999999.999998</v>
      </c>
      <c r="AJ39" s="100">
        <f t="shared" si="56"/>
        <v>15124999999.999998</v>
      </c>
      <c r="AK39" s="100">
        <f t="shared" si="56"/>
        <v>15124999999.999998</v>
      </c>
      <c r="AL39" s="100">
        <f t="shared" si="56"/>
        <v>15124999999.999998</v>
      </c>
      <c r="AM39" s="100">
        <f t="shared" si="56"/>
        <v>15124999999.999998</v>
      </c>
      <c r="AN39" s="100">
        <f t="shared" si="56"/>
        <v>15124999999.999998</v>
      </c>
      <c r="AO39" s="100">
        <f t="shared" si="56"/>
        <v>15124999999.999998</v>
      </c>
      <c r="AP39" s="100">
        <f t="shared" si="56"/>
        <v>15124999999.999998</v>
      </c>
      <c r="AQ39" s="100">
        <f t="shared" si="56"/>
        <v>15124999999.999998</v>
      </c>
      <c r="AR39" s="100">
        <f t="shared" si="56"/>
        <v>15124999999.999998</v>
      </c>
      <c r="AS39" s="100">
        <f t="shared" si="56"/>
        <v>15124999999.999998</v>
      </c>
      <c r="AT39" s="100">
        <f t="shared" si="56"/>
        <v>15124999999.999998</v>
      </c>
      <c r="AU39" s="100">
        <f t="shared" si="56"/>
        <v>15124999999.999998</v>
      </c>
      <c r="AV39" s="100">
        <f t="shared" si="56"/>
        <v>15124999999.999998</v>
      </c>
      <c r="AW39" s="100">
        <f t="shared" si="56"/>
        <v>15124999999.999998</v>
      </c>
      <c r="AX39" s="100">
        <f t="shared" si="56"/>
        <v>15124999999.999998</v>
      </c>
      <c r="AY39" s="100">
        <f t="shared" si="56"/>
        <v>15124999999.999998</v>
      </c>
      <c r="AZ39" s="100">
        <f t="shared" si="56"/>
        <v>15124999999.999998</v>
      </c>
      <c r="BA39" s="100">
        <f t="shared" si="56"/>
        <v>15124999999.999998</v>
      </c>
      <c r="BB39" s="100">
        <f t="shared" si="56"/>
        <v>15124999999.999998</v>
      </c>
      <c r="BC39" s="101">
        <f t="shared" si="26"/>
        <v>3025000</v>
      </c>
      <c r="BD39" s="101">
        <f>IFERROR(up_RadSpec!$H$11*(BD11/$B39),".")</f>
        <v>756250</v>
      </c>
      <c r="BE39" s="101">
        <f>IFERROR(up_RadSpec!$H$11*(BE11/$B39),".")</f>
        <v>756250</v>
      </c>
      <c r="BF39" s="101">
        <f>IFERROR(up_RadSpec!$H$11*(BF11/$B39),".")</f>
        <v>756250</v>
      </c>
      <c r="BG39" s="101">
        <f>IFERROR(up_RadSpec!$H$11*(BG11/$B39),".")</f>
        <v>756250</v>
      </c>
      <c r="BH39" s="101">
        <f>IFERROR(up_RadSpec!$H$11*(BH11/$B39),".")</f>
        <v>756250</v>
      </c>
      <c r="BI39" s="101">
        <f>IFERROR(up_RadSpec!$H$11*(BI11/$B39),".")</f>
        <v>756250</v>
      </c>
      <c r="BJ39" s="101">
        <f>IFERROR(up_RadSpec!$H$11*(BJ11/$B39),".")</f>
        <v>756250</v>
      </c>
      <c r="BK39" s="101">
        <f>IFERROR(up_RadSpec!$H$11*(BK11/$B39),".")</f>
        <v>756250</v>
      </c>
      <c r="BL39" s="101">
        <f>IFERROR(up_RadSpec!$H$11*(BL11/$B39),".")</f>
        <v>756250</v>
      </c>
      <c r="BM39" s="101">
        <f>IFERROR(up_RadSpec!$H$11*(BM11/$B39),".")</f>
        <v>756250</v>
      </c>
      <c r="BN39" s="101">
        <f>IFERROR(up_RadSpec!$H$11*(BN11/$B39),".")</f>
        <v>756250</v>
      </c>
      <c r="BO39" s="101">
        <f>IFERROR(up_RadSpec!$H$11*(BO11/$B39),".")</f>
        <v>756250</v>
      </c>
      <c r="BP39" s="101">
        <f>IFERROR(up_RadSpec!$H$11*(BP11/$B39),".")</f>
        <v>756250</v>
      </c>
      <c r="BQ39" s="101">
        <f>IFERROR(up_RadSpec!$H$11*(BQ11/$B39),".")</f>
        <v>756250</v>
      </c>
      <c r="BR39" s="101">
        <f>IFERROR(up_RadSpec!$H$11*(BR11/$B39),".")</f>
        <v>756250</v>
      </c>
      <c r="BS39" s="101">
        <f>IFERROR(up_RadSpec!$H$11*(BS11/$B39),".")</f>
        <v>756250</v>
      </c>
      <c r="BT39" s="101">
        <f>IFERROR(up_RadSpec!$H$11*(BT11/$B39),".")</f>
        <v>756250</v>
      </c>
      <c r="BU39" s="101">
        <f>IFERROR(up_RadSpec!$H$11*(BU11/$B39),".")</f>
        <v>756250</v>
      </c>
      <c r="BV39" s="101">
        <f>IFERROR(up_RadSpec!$H$11*(BV11/$B39),".")</f>
        <v>756250</v>
      </c>
      <c r="BW39" s="101">
        <f>IFERROR(up_RadSpec!$H$11*(BW11/$B39),".")</f>
        <v>756250</v>
      </c>
      <c r="BX39" s="101">
        <f>IFERROR(up_RadSpec!$H$11*(BX11/$B39),".")</f>
        <v>756250</v>
      </c>
      <c r="BY39" s="101">
        <f>IFERROR(up_RadSpec!$H$11*(BY11/$B39),".")</f>
        <v>756250</v>
      </c>
      <c r="BZ39" s="101">
        <f>IFERROR(up_RadSpec!$H$11*(BZ11/$B39),".")</f>
        <v>756250</v>
      </c>
      <c r="CA39" s="101">
        <f>IFERROR(up_RadSpec!$H$11*(CA11/$B39),".")</f>
        <v>756250</v>
      </c>
      <c r="CB39" s="101">
        <f>IFERROR(up_RadSpec!$H$11*(CB11/$B39),".")</f>
        <v>756250</v>
      </c>
    </row>
    <row r="40" spans="1:80" x14ac:dyDescent="0.25">
      <c r="A40" s="99" t="s">
        <v>1082</v>
      </c>
      <c r="B40" s="90">
        <v>1</v>
      </c>
      <c r="C40" s="100">
        <f t="shared" ref="C40" si="57">IFERROR($B40/C4,0)</f>
        <v>60499999999.999992</v>
      </c>
      <c r="D40" s="100">
        <f t="shared" ref="D40:AC40" si="58">IFERROR($B40/D4,0)</f>
        <v>15124999999.999998</v>
      </c>
      <c r="E40" s="100">
        <f t="shared" si="58"/>
        <v>15124999999.999998</v>
      </c>
      <c r="F40" s="100">
        <f t="shared" si="58"/>
        <v>15124999999.999998</v>
      </c>
      <c r="G40" s="100">
        <f t="shared" si="58"/>
        <v>15124999999.999998</v>
      </c>
      <c r="H40" s="100">
        <f t="shared" si="58"/>
        <v>15124999999.999998</v>
      </c>
      <c r="I40" s="100">
        <f t="shared" si="58"/>
        <v>15124999999.999998</v>
      </c>
      <c r="J40" s="100">
        <f t="shared" si="58"/>
        <v>15124999999.999998</v>
      </c>
      <c r="K40" s="100">
        <f t="shared" si="58"/>
        <v>15124999999.999998</v>
      </c>
      <c r="L40" s="100">
        <f t="shared" si="58"/>
        <v>15124999999.999998</v>
      </c>
      <c r="M40" s="100">
        <f t="shared" si="58"/>
        <v>15124999999.999998</v>
      </c>
      <c r="N40" s="100">
        <f t="shared" si="58"/>
        <v>15124999999.999998</v>
      </c>
      <c r="O40" s="100">
        <f t="shared" si="58"/>
        <v>15124999999.999998</v>
      </c>
      <c r="P40" s="100">
        <f t="shared" si="58"/>
        <v>15124999999.999998</v>
      </c>
      <c r="Q40" s="100">
        <f t="shared" si="58"/>
        <v>15124999999.999998</v>
      </c>
      <c r="R40" s="100">
        <f t="shared" si="58"/>
        <v>15124999999.999998</v>
      </c>
      <c r="S40" s="100">
        <f t="shared" si="58"/>
        <v>15124999999.999998</v>
      </c>
      <c r="T40" s="100">
        <f t="shared" si="58"/>
        <v>15124999999.999998</v>
      </c>
      <c r="U40" s="100">
        <f t="shared" si="58"/>
        <v>15124999999.999998</v>
      </c>
      <c r="V40" s="100">
        <f t="shared" si="58"/>
        <v>15124999999.999998</v>
      </c>
      <c r="W40" s="100">
        <f t="shared" si="58"/>
        <v>15124999999.999998</v>
      </c>
      <c r="X40" s="100">
        <f t="shared" si="58"/>
        <v>15124999999.999998</v>
      </c>
      <c r="Y40" s="100">
        <f t="shared" si="58"/>
        <v>15124999999.999998</v>
      </c>
      <c r="Z40" s="100">
        <f t="shared" si="58"/>
        <v>15124999999.999998</v>
      </c>
      <c r="AA40" s="100">
        <f t="shared" si="58"/>
        <v>15124999999.999998</v>
      </c>
      <c r="AB40" s="100">
        <f t="shared" si="58"/>
        <v>15124999999.999998</v>
      </c>
      <c r="AC40" s="100">
        <f t="shared" si="58"/>
        <v>60499999999.999992</v>
      </c>
      <c r="AD40" s="100">
        <f t="shared" ref="AD40:BB40" si="59">IFERROR($B40/AD4,0)</f>
        <v>15124999999.999998</v>
      </c>
      <c r="AE40" s="100">
        <f t="shared" si="59"/>
        <v>15124999999.999998</v>
      </c>
      <c r="AF40" s="100">
        <f t="shared" si="59"/>
        <v>15124999999.999998</v>
      </c>
      <c r="AG40" s="100">
        <f t="shared" si="59"/>
        <v>15124999999.999998</v>
      </c>
      <c r="AH40" s="100">
        <f t="shared" si="59"/>
        <v>15124999999.999998</v>
      </c>
      <c r="AI40" s="100">
        <f t="shared" si="59"/>
        <v>15124999999.999998</v>
      </c>
      <c r="AJ40" s="100">
        <f t="shared" si="59"/>
        <v>15124999999.999998</v>
      </c>
      <c r="AK40" s="100">
        <f t="shared" si="59"/>
        <v>15124999999.999998</v>
      </c>
      <c r="AL40" s="100">
        <f t="shared" si="59"/>
        <v>15124999999.999998</v>
      </c>
      <c r="AM40" s="100">
        <f t="shared" si="59"/>
        <v>15124999999.999998</v>
      </c>
      <c r="AN40" s="100">
        <f t="shared" si="59"/>
        <v>15124999999.999998</v>
      </c>
      <c r="AO40" s="100">
        <f t="shared" si="59"/>
        <v>15124999999.999998</v>
      </c>
      <c r="AP40" s="100">
        <f t="shared" si="59"/>
        <v>15124999999.999998</v>
      </c>
      <c r="AQ40" s="100">
        <f t="shared" si="59"/>
        <v>15124999999.999998</v>
      </c>
      <c r="AR40" s="100">
        <f t="shared" si="59"/>
        <v>15124999999.999998</v>
      </c>
      <c r="AS40" s="100">
        <f t="shared" si="59"/>
        <v>15124999999.999998</v>
      </c>
      <c r="AT40" s="100">
        <f t="shared" si="59"/>
        <v>15124999999.999998</v>
      </c>
      <c r="AU40" s="100">
        <f t="shared" si="59"/>
        <v>15124999999.999998</v>
      </c>
      <c r="AV40" s="100">
        <f t="shared" si="59"/>
        <v>15124999999.999998</v>
      </c>
      <c r="AW40" s="100">
        <f t="shared" si="59"/>
        <v>15124999999.999998</v>
      </c>
      <c r="AX40" s="100">
        <f t="shared" si="59"/>
        <v>15124999999.999998</v>
      </c>
      <c r="AY40" s="100">
        <f t="shared" si="59"/>
        <v>15124999999.999998</v>
      </c>
      <c r="AZ40" s="100">
        <f t="shared" si="59"/>
        <v>15124999999.999998</v>
      </c>
      <c r="BA40" s="100">
        <f t="shared" si="59"/>
        <v>15124999999.999998</v>
      </c>
      <c r="BB40" s="100">
        <f t="shared" si="59"/>
        <v>15124999999.999998</v>
      </c>
      <c r="BC40" s="101">
        <f t="shared" si="26"/>
        <v>3025000</v>
      </c>
      <c r="BD40" s="101">
        <f>IFERROR(up_RadSpec!$H$4*(BD4/$B40),".")</f>
        <v>756250</v>
      </c>
      <c r="BE40" s="101">
        <f>IFERROR(up_RadSpec!$H$4*(BE4/$B40),".")</f>
        <v>756250</v>
      </c>
      <c r="BF40" s="101">
        <f>IFERROR(up_RadSpec!$H$4*(BF4/$B40),".")</f>
        <v>756250</v>
      </c>
      <c r="BG40" s="101">
        <f>IFERROR(up_RadSpec!$H$4*(BG4/$B40),".")</f>
        <v>756250</v>
      </c>
      <c r="BH40" s="101">
        <f>IFERROR(up_RadSpec!$H$4*(BH4/$B40),".")</f>
        <v>756250</v>
      </c>
      <c r="BI40" s="101">
        <f>IFERROR(up_RadSpec!$H$4*(BI4/$B40),".")</f>
        <v>756250</v>
      </c>
      <c r="BJ40" s="101">
        <f>IFERROR(up_RadSpec!$H$4*(BJ4/$B40),".")</f>
        <v>756250</v>
      </c>
      <c r="BK40" s="101">
        <f>IFERROR(up_RadSpec!$H$4*(BK4/$B40),".")</f>
        <v>756250</v>
      </c>
      <c r="BL40" s="101">
        <f>IFERROR(up_RadSpec!$H$4*(BL4/$B40),".")</f>
        <v>756250</v>
      </c>
      <c r="BM40" s="101">
        <f>IFERROR(up_RadSpec!$H$4*(BM4/$B40),".")</f>
        <v>756250</v>
      </c>
      <c r="BN40" s="101">
        <f>IFERROR(up_RadSpec!$H$4*(BN4/$B40),".")</f>
        <v>756250</v>
      </c>
      <c r="BO40" s="101">
        <f>IFERROR(up_RadSpec!$H$4*(BO4/$B40),".")</f>
        <v>756250</v>
      </c>
      <c r="BP40" s="101">
        <f>IFERROR(up_RadSpec!$H$4*(BP4/$B40),".")</f>
        <v>756250</v>
      </c>
      <c r="BQ40" s="101">
        <f>IFERROR(up_RadSpec!$H$4*(BQ4/$B40),".")</f>
        <v>756250</v>
      </c>
      <c r="BR40" s="101">
        <f>IFERROR(up_RadSpec!$H$4*(BR4/$B40),".")</f>
        <v>756250</v>
      </c>
      <c r="BS40" s="101">
        <f>IFERROR(up_RadSpec!$H$4*(BS4/$B40),".")</f>
        <v>756250</v>
      </c>
      <c r="BT40" s="101">
        <f>IFERROR(up_RadSpec!$H$4*(BT4/$B40),".")</f>
        <v>756250</v>
      </c>
      <c r="BU40" s="101">
        <f>IFERROR(up_RadSpec!$H$4*(BU4/$B40),".")</f>
        <v>756250</v>
      </c>
      <c r="BV40" s="101">
        <f>IFERROR(up_RadSpec!$H$4*(BV4/$B40),".")</f>
        <v>756250</v>
      </c>
      <c r="BW40" s="101">
        <f>IFERROR(up_RadSpec!$H$4*(BW4/$B40),".")</f>
        <v>756250</v>
      </c>
      <c r="BX40" s="101">
        <f>IFERROR(up_RadSpec!$H$4*(BX4/$B40),".")</f>
        <v>756250</v>
      </c>
      <c r="BY40" s="101">
        <f>IFERROR(up_RadSpec!$H$4*(BY4/$B40),".")</f>
        <v>756250</v>
      </c>
      <c r="BZ40" s="101">
        <f>IFERROR(up_RadSpec!$H$4*(BZ4/$B40),".")</f>
        <v>756250</v>
      </c>
      <c r="CA40" s="101">
        <f>IFERROR(up_RadSpec!$H$4*(CA4/$B40),".")</f>
        <v>756250</v>
      </c>
      <c r="CB40" s="101">
        <f>IFERROR(up_RadSpec!$H$4*(CB4/$B40),".")</f>
        <v>756250</v>
      </c>
    </row>
    <row r="41" spans="1:80" x14ac:dyDescent="0.25">
      <c r="A41" s="99" t="s">
        <v>1083</v>
      </c>
      <c r="B41" s="102">
        <v>0.99987999999999999</v>
      </c>
      <c r="C41" s="100">
        <f t="shared" ref="C41" si="60">IFERROR($B41/C8,0)</f>
        <v>60492739999.999992</v>
      </c>
      <c r="D41" s="100">
        <f t="shared" ref="D41:AC41" si="61">IFERROR($B41/D8,0)</f>
        <v>15123184999.999998</v>
      </c>
      <c r="E41" s="100">
        <f t="shared" si="61"/>
        <v>15123184999.999998</v>
      </c>
      <c r="F41" s="100">
        <f t="shared" si="61"/>
        <v>15123184999.999998</v>
      </c>
      <c r="G41" s="100">
        <f t="shared" si="61"/>
        <v>15123184999.999998</v>
      </c>
      <c r="H41" s="100">
        <f t="shared" si="61"/>
        <v>15123184999.999998</v>
      </c>
      <c r="I41" s="100">
        <f t="shared" si="61"/>
        <v>15123184999.999998</v>
      </c>
      <c r="J41" s="100">
        <f t="shared" si="61"/>
        <v>15123184999.999998</v>
      </c>
      <c r="K41" s="100">
        <f t="shared" si="61"/>
        <v>15123184999.999998</v>
      </c>
      <c r="L41" s="100">
        <f t="shared" si="61"/>
        <v>15123184999.999998</v>
      </c>
      <c r="M41" s="100">
        <f t="shared" si="61"/>
        <v>15123184999.999998</v>
      </c>
      <c r="N41" s="100">
        <f t="shared" si="61"/>
        <v>15123184999.999998</v>
      </c>
      <c r="O41" s="100">
        <f t="shared" si="61"/>
        <v>15123184999.999998</v>
      </c>
      <c r="P41" s="100">
        <f t="shared" si="61"/>
        <v>15123184999.999998</v>
      </c>
      <c r="Q41" s="100">
        <f t="shared" si="61"/>
        <v>15123184999.999998</v>
      </c>
      <c r="R41" s="100">
        <f t="shared" si="61"/>
        <v>15123184999.999998</v>
      </c>
      <c r="S41" s="100">
        <f t="shared" si="61"/>
        <v>15123184999.999998</v>
      </c>
      <c r="T41" s="100">
        <f t="shared" si="61"/>
        <v>15123184999.999998</v>
      </c>
      <c r="U41" s="100">
        <f t="shared" si="61"/>
        <v>15123184999.999998</v>
      </c>
      <c r="V41" s="100">
        <f t="shared" si="61"/>
        <v>15123184999.999998</v>
      </c>
      <c r="W41" s="100">
        <f t="shared" si="61"/>
        <v>15123184999.999998</v>
      </c>
      <c r="X41" s="100">
        <f t="shared" si="61"/>
        <v>15123184999.999998</v>
      </c>
      <c r="Y41" s="100">
        <f t="shared" si="61"/>
        <v>15123184999.999998</v>
      </c>
      <c r="Z41" s="100">
        <f t="shared" si="61"/>
        <v>15123184999.999998</v>
      </c>
      <c r="AA41" s="100">
        <f t="shared" si="61"/>
        <v>15123184999.999998</v>
      </c>
      <c r="AB41" s="100">
        <f t="shared" si="61"/>
        <v>15123184999.999998</v>
      </c>
      <c r="AC41" s="100">
        <f t="shared" si="61"/>
        <v>60492739999.999992</v>
      </c>
      <c r="AD41" s="100">
        <f t="shared" ref="AD41:BB41" si="62">IFERROR($B41/AD8,0)</f>
        <v>15123184999.999998</v>
      </c>
      <c r="AE41" s="100">
        <f t="shared" si="62"/>
        <v>15123184999.999998</v>
      </c>
      <c r="AF41" s="100">
        <f t="shared" si="62"/>
        <v>15123184999.999998</v>
      </c>
      <c r="AG41" s="100">
        <f t="shared" si="62"/>
        <v>15123184999.999998</v>
      </c>
      <c r="AH41" s="100">
        <f t="shared" si="62"/>
        <v>15123184999.999998</v>
      </c>
      <c r="AI41" s="100">
        <f t="shared" si="62"/>
        <v>15123184999.999998</v>
      </c>
      <c r="AJ41" s="100">
        <f t="shared" si="62"/>
        <v>15123184999.999998</v>
      </c>
      <c r="AK41" s="100">
        <f t="shared" si="62"/>
        <v>15123184999.999998</v>
      </c>
      <c r="AL41" s="100">
        <f t="shared" si="62"/>
        <v>15123184999.999998</v>
      </c>
      <c r="AM41" s="100">
        <f t="shared" si="62"/>
        <v>15123184999.999998</v>
      </c>
      <c r="AN41" s="100">
        <f t="shared" si="62"/>
        <v>15123184999.999998</v>
      </c>
      <c r="AO41" s="100">
        <f t="shared" si="62"/>
        <v>15123184999.999998</v>
      </c>
      <c r="AP41" s="100">
        <f t="shared" si="62"/>
        <v>15123184999.999998</v>
      </c>
      <c r="AQ41" s="100">
        <f t="shared" si="62"/>
        <v>15123184999.999998</v>
      </c>
      <c r="AR41" s="100">
        <f t="shared" si="62"/>
        <v>15123184999.999998</v>
      </c>
      <c r="AS41" s="100">
        <f t="shared" si="62"/>
        <v>15123184999.999998</v>
      </c>
      <c r="AT41" s="100">
        <f t="shared" si="62"/>
        <v>15123184999.999998</v>
      </c>
      <c r="AU41" s="100">
        <f t="shared" si="62"/>
        <v>15123184999.999998</v>
      </c>
      <c r="AV41" s="100">
        <f t="shared" si="62"/>
        <v>15123184999.999998</v>
      </c>
      <c r="AW41" s="100">
        <f t="shared" si="62"/>
        <v>15123184999.999998</v>
      </c>
      <c r="AX41" s="100">
        <f t="shared" si="62"/>
        <v>15123184999.999998</v>
      </c>
      <c r="AY41" s="100">
        <f t="shared" si="62"/>
        <v>15123184999.999998</v>
      </c>
      <c r="AZ41" s="100">
        <f t="shared" si="62"/>
        <v>15123184999.999998</v>
      </c>
      <c r="BA41" s="100">
        <f t="shared" si="62"/>
        <v>15123184999.999998</v>
      </c>
      <c r="BB41" s="100">
        <f t="shared" si="62"/>
        <v>15123184999.999998</v>
      </c>
      <c r="BC41" s="101">
        <f t="shared" si="26"/>
        <v>3025363.0435652281</v>
      </c>
      <c r="BD41" s="101">
        <f>IFERROR(up_RadSpec!$H$8*(BD8/$B41),".")</f>
        <v>756340.76089130703</v>
      </c>
      <c r="BE41" s="101">
        <f>IFERROR(up_RadSpec!$H$8*(BE8/$B41),".")</f>
        <v>756340.76089130703</v>
      </c>
      <c r="BF41" s="101">
        <f>IFERROR(up_RadSpec!$H$8*(BF8/$B41),".")</f>
        <v>756340.76089130703</v>
      </c>
      <c r="BG41" s="101">
        <f>IFERROR(up_RadSpec!$H$8*(BG8/$B41),".")</f>
        <v>756340.76089130703</v>
      </c>
      <c r="BH41" s="101">
        <f>IFERROR(up_RadSpec!$H$8*(BH8/$B41),".")</f>
        <v>756340.76089130703</v>
      </c>
      <c r="BI41" s="101">
        <f>IFERROR(up_RadSpec!$H$8*(BI8/$B41),".")</f>
        <v>756340.76089130703</v>
      </c>
      <c r="BJ41" s="101">
        <f>IFERROR(up_RadSpec!$H$8*(BJ8/$B41),".")</f>
        <v>756340.76089130703</v>
      </c>
      <c r="BK41" s="101">
        <f>IFERROR(up_RadSpec!$H$8*(BK8/$B41),".")</f>
        <v>756340.76089130703</v>
      </c>
      <c r="BL41" s="101">
        <f>IFERROR(up_RadSpec!$H$8*(BL8/$B41),".")</f>
        <v>756340.76089130703</v>
      </c>
      <c r="BM41" s="101">
        <f>IFERROR(up_RadSpec!$H$8*(BM8/$B41),".")</f>
        <v>756340.76089130703</v>
      </c>
      <c r="BN41" s="101">
        <f>IFERROR(up_RadSpec!$H$8*(BN8/$B41),".")</f>
        <v>756340.76089130703</v>
      </c>
      <c r="BO41" s="101">
        <f>IFERROR(up_RadSpec!$H$8*(BO8/$B41),".")</f>
        <v>756340.76089130703</v>
      </c>
      <c r="BP41" s="101">
        <f>IFERROR(up_RadSpec!$H$8*(BP8/$B41),".")</f>
        <v>756340.76089130703</v>
      </c>
      <c r="BQ41" s="101">
        <f>IFERROR(up_RadSpec!$H$8*(BQ8/$B41),".")</f>
        <v>756340.76089130703</v>
      </c>
      <c r="BR41" s="101">
        <f>IFERROR(up_RadSpec!$H$8*(BR8/$B41),".")</f>
        <v>756340.76089130703</v>
      </c>
      <c r="BS41" s="101">
        <f>IFERROR(up_RadSpec!$H$8*(BS8/$B41),".")</f>
        <v>756340.76089130703</v>
      </c>
      <c r="BT41" s="101">
        <f>IFERROR(up_RadSpec!$H$8*(BT8/$B41),".")</f>
        <v>756340.76089130703</v>
      </c>
      <c r="BU41" s="101">
        <f>IFERROR(up_RadSpec!$H$8*(BU8/$B41),".")</f>
        <v>756340.76089130703</v>
      </c>
      <c r="BV41" s="101">
        <f>IFERROR(up_RadSpec!$H$8*(BV8/$B41),".")</f>
        <v>756340.76089130703</v>
      </c>
      <c r="BW41" s="101">
        <f>IFERROR(up_RadSpec!$H$8*(BW8/$B41),".")</f>
        <v>756340.76089130703</v>
      </c>
      <c r="BX41" s="101">
        <f>IFERROR(up_RadSpec!$H$8*(BX8/$B41),".")</f>
        <v>756340.76089130703</v>
      </c>
      <c r="BY41" s="101">
        <f>IFERROR(up_RadSpec!$H$8*(BY8/$B41),".")</f>
        <v>756340.76089130703</v>
      </c>
      <c r="BZ41" s="101">
        <f>IFERROR(up_RadSpec!$H$8*(BZ8/$B41),".")</f>
        <v>756340.76089130703</v>
      </c>
      <c r="CA41" s="101">
        <f>IFERROR(up_RadSpec!$H$8*(CA8/$B41),".")</f>
        <v>756340.76089130703</v>
      </c>
      <c r="CB41" s="101">
        <f>IFERROR(up_RadSpec!$H$8*(CB8/$B41),".")</f>
        <v>756340.76089130703</v>
      </c>
    </row>
    <row r="42" spans="1:80" x14ac:dyDescent="0.25">
      <c r="A42" s="99" t="s">
        <v>1084</v>
      </c>
      <c r="B42" s="90">
        <v>0.97898250799999997</v>
      </c>
      <c r="C42" s="100">
        <f t="shared" ref="C42" si="63">IFERROR($B42/C19,0)</f>
        <v>59228441733.999992</v>
      </c>
      <c r="D42" s="100">
        <f t="shared" ref="D42:AC42" si="64">IFERROR($B42/D19,0)</f>
        <v>14807110433.499998</v>
      </c>
      <c r="E42" s="100">
        <f t="shared" si="64"/>
        <v>14807110433.499998</v>
      </c>
      <c r="F42" s="100">
        <f t="shared" si="64"/>
        <v>14807110433.499998</v>
      </c>
      <c r="G42" s="100">
        <f t="shared" si="64"/>
        <v>14807110433.499998</v>
      </c>
      <c r="H42" s="100">
        <f t="shared" si="64"/>
        <v>14807110433.499998</v>
      </c>
      <c r="I42" s="100">
        <f t="shared" si="64"/>
        <v>14807110433.499998</v>
      </c>
      <c r="J42" s="100">
        <f t="shared" si="64"/>
        <v>14807110433.499998</v>
      </c>
      <c r="K42" s="100">
        <f t="shared" si="64"/>
        <v>14807110433.499998</v>
      </c>
      <c r="L42" s="100">
        <f t="shared" si="64"/>
        <v>14807110433.499998</v>
      </c>
      <c r="M42" s="100">
        <f t="shared" si="64"/>
        <v>14807110433.499998</v>
      </c>
      <c r="N42" s="100">
        <f t="shared" si="64"/>
        <v>14807110433.499998</v>
      </c>
      <c r="O42" s="100">
        <f t="shared" si="64"/>
        <v>14807110433.499998</v>
      </c>
      <c r="P42" s="100">
        <f t="shared" si="64"/>
        <v>14807110433.499998</v>
      </c>
      <c r="Q42" s="100">
        <f t="shared" si="64"/>
        <v>14807110433.499998</v>
      </c>
      <c r="R42" s="100">
        <f t="shared" si="64"/>
        <v>14807110433.499998</v>
      </c>
      <c r="S42" s="100">
        <f t="shared" si="64"/>
        <v>14807110433.499998</v>
      </c>
      <c r="T42" s="100">
        <f t="shared" si="64"/>
        <v>14807110433.499998</v>
      </c>
      <c r="U42" s="100">
        <f t="shared" si="64"/>
        <v>14807110433.499998</v>
      </c>
      <c r="V42" s="100">
        <f t="shared" si="64"/>
        <v>14807110433.499998</v>
      </c>
      <c r="W42" s="100">
        <f t="shared" si="64"/>
        <v>14807110433.499998</v>
      </c>
      <c r="X42" s="100">
        <f t="shared" si="64"/>
        <v>14807110433.499998</v>
      </c>
      <c r="Y42" s="100">
        <f t="shared" si="64"/>
        <v>14807110433.499998</v>
      </c>
      <c r="Z42" s="100">
        <f t="shared" si="64"/>
        <v>14807110433.499998</v>
      </c>
      <c r="AA42" s="100">
        <f t="shared" si="64"/>
        <v>14807110433.499998</v>
      </c>
      <c r="AB42" s="100">
        <f t="shared" si="64"/>
        <v>14807110433.499998</v>
      </c>
      <c r="AC42" s="100">
        <f t="shared" si="64"/>
        <v>59228441733.999992</v>
      </c>
      <c r="AD42" s="100">
        <f t="shared" ref="AD42:BB42" si="65">IFERROR($B42/AD19,0)</f>
        <v>14807110433.499998</v>
      </c>
      <c r="AE42" s="100">
        <f t="shared" si="65"/>
        <v>14807110433.499998</v>
      </c>
      <c r="AF42" s="100">
        <f t="shared" si="65"/>
        <v>14807110433.499998</v>
      </c>
      <c r="AG42" s="100">
        <f t="shared" si="65"/>
        <v>14807110433.499998</v>
      </c>
      <c r="AH42" s="100">
        <f t="shared" si="65"/>
        <v>14807110433.499998</v>
      </c>
      <c r="AI42" s="100">
        <f t="shared" si="65"/>
        <v>14807110433.499998</v>
      </c>
      <c r="AJ42" s="100">
        <f t="shared" si="65"/>
        <v>14807110433.499998</v>
      </c>
      <c r="AK42" s="100">
        <f t="shared" si="65"/>
        <v>14807110433.499998</v>
      </c>
      <c r="AL42" s="100">
        <f t="shared" si="65"/>
        <v>14807110433.499998</v>
      </c>
      <c r="AM42" s="100">
        <f t="shared" si="65"/>
        <v>14807110433.499998</v>
      </c>
      <c r="AN42" s="100">
        <f t="shared" si="65"/>
        <v>14807110433.499998</v>
      </c>
      <c r="AO42" s="100">
        <f t="shared" si="65"/>
        <v>14807110433.499998</v>
      </c>
      <c r="AP42" s="100">
        <f t="shared" si="65"/>
        <v>14807110433.499998</v>
      </c>
      <c r="AQ42" s="100">
        <f t="shared" si="65"/>
        <v>14807110433.499998</v>
      </c>
      <c r="AR42" s="100">
        <f t="shared" si="65"/>
        <v>14807110433.499998</v>
      </c>
      <c r="AS42" s="100">
        <f t="shared" si="65"/>
        <v>14807110433.499998</v>
      </c>
      <c r="AT42" s="100">
        <f t="shared" si="65"/>
        <v>14807110433.499998</v>
      </c>
      <c r="AU42" s="100">
        <f t="shared" si="65"/>
        <v>14807110433.499998</v>
      </c>
      <c r="AV42" s="100">
        <f t="shared" si="65"/>
        <v>14807110433.499998</v>
      </c>
      <c r="AW42" s="100">
        <f t="shared" si="65"/>
        <v>14807110433.499998</v>
      </c>
      <c r="AX42" s="100">
        <f t="shared" si="65"/>
        <v>14807110433.499998</v>
      </c>
      <c r="AY42" s="100">
        <f t="shared" si="65"/>
        <v>14807110433.499998</v>
      </c>
      <c r="AZ42" s="100">
        <f t="shared" si="65"/>
        <v>14807110433.499998</v>
      </c>
      <c r="BA42" s="100">
        <f t="shared" si="65"/>
        <v>14807110433.499998</v>
      </c>
      <c r="BB42" s="100">
        <f t="shared" si="65"/>
        <v>14807110433.499998</v>
      </c>
      <c r="BC42" s="101">
        <f t="shared" si="26"/>
        <v>3089942.8491116618</v>
      </c>
      <c r="BD42" s="101">
        <f>IFERROR(up_RadSpec!$H$19*(BD19/$B42),".")</f>
        <v>772485.71227791545</v>
      </c>
      <c r="BE42" s="101">
        <f>IFERROR(up_RadSpec!$H$19*(BE19/$B42),".")</f>
        <v>772485.71227791545</v>
      </c>
      <c r="BF42" s="101">
        <f>IFERROR(up_RadSpec!$H$19*(BF19/$B42),".")</f>
        <v>772485.71227791545</v>
      </c>
      <c r="BG42" s="101">
        <f>IFERROR(up_RadSpec!$H$19*(BG19/$B42),".")</f>
        <v>772485.71227791545</v>
      </c>
      <c r="BH42" s="101">
        <f>IFERROR(up_RadSpec!$H$19*(BH19/$B42),".")</f>
        <v>772485.71227791545</v>
      </c>
      <c r="BI42" s="101">
        <f>IFERROR(up_RadSpec!$H$19*(BI19/$B42),".")</f>
        <v>772485.71227791545</v>
      </c>
      <c r="BJ42" s="101">
        <f>IFERROR(up_RadSpec!$H$19*(BJ19/$B42),".")</f>
        <v>772485.71227791545</v>
      </c>
      <c r="BK42" s="101">
        <f>IFERROR(up_RadSpec!$H$19*(BK19/$B42),".")</f>
        <v>772485.71227791545</v>
      </c>
      <c r="BL42" s="101">
        <f>IFERROR(up_RadSpec!$H$19*(BL19/$B42),".")</f>
        <v>772485.71227791545</v>
      </c>
      <c r="BM42" s="101">
        <f>IFERROR(up_RadSpec!$H$19*(BM19/$B42),".")</f>
        <v>772485.71227791545</v>
      </c>
      <c r="BN42" s="101">
        <f>IFERROR(up_RadSpec!$H$19*(BN19/$B42),".")</f>
        <v>772485.71227791545</v>
      </c>
      <c r="BO42" s="101">
        <f>IFERROR(up_RadSpec!$H$19*(BO19/$B42),".")</f>
        <v>772485.71227791545</v>
      </c>
      <c r="BP42" s="101">
        <f>IFERROR(up_RadSpec!$H$19*(BP19/$B42),".")</f>
        <v>772485.71227791545</v>
      </c>
      <c r="BQ42" s="101">
        <f>IFERROR(up_RadSpec!$H$19*(BQ19/$B42),".")</f>
        <v>772485.71227791545</v>
      </c>
      <c r="BR42" s="101">
        <f>IFERROR(up_RadSpec!$H$19*(BR19/$B42),".")</f>
        <v>772485.71227791545</v>
      </c>
      <c r="BS42" s="101">
        <f>IFERROR(up_RadSpec!$H$19*(BS19/$B42),".")</f>
        <v>772485.71227791545</v>
      </c>
      <c r="BT42" s="101">
        <f>IFERROR(up_RadSpec!$H$19*(BT19/$B42),".")</f>
        <v>772485.71227791545</v>
      </c>
      <c r="BU42" s="101">
        <f>IFERROR(up_RadSpec!$H$19*(BU19/$B42),".")</f>
        <v>772485.71227791545</v>
      </c>
      <c r="BV42" s="101">
        <f>IFERROR(up_RadSpec!$H$19*(BV19/$B42),".")</f>
        <v>772485.71227791545</v>
      </c>
      <c r="BW42" s="101">
        <f>IFERROR(up_RadSpec!$H$19*(BW19/$B42),".")</f>
        <v>772485.71227791545</v>
      </c>
      <c r="BX42" s="101">
        <f>IFERROR(up_RadSpec!$H$19*(BX19/$B42),".")</f>
        <v>772485.71227791545</v>
      </c>
      <c r="BY42" s="101">
        <f>IFERROR(up_RadSpec!$H$19*(BY19/$B42),".")</f>
        <v>772485.71227791545</v>
      </c>
      <c r="BZ42" s="101">
        <f>IFERROR(up_RadSpec!$H$19*(BZ19/$B42),".")</f>
        <v>772485.71227791545</v>
      </c>
      <c r="CA42" s="101">
        <f>IFERROR(up_RadSpec!$H$19*(CA19/$B42),".")</f>
        <v>772485.71227791545</v>
      </c>
      <c r="CB42" s="101">
        <f>IFERROR(up_RadSpec!$H$19*(CB19/$B42),".")</f>
        <v>772485.71227791545</v>
      </c>
    </row>
    <row r="43" spans="1:80" x14ac:dyDescent="0.25">
      <c r="A43" s="99" t="s">
        <v>1085</v>
      </c>
      <c r="B43" s="90">
        <v>2.0897492E-2</v>
      </c>
      <c r="C43" s="100">
        <f t="shared" ref="C43" si="66">IFERROR($B43/C28,0)</f>
        <v>1264298266</v>
      </c>
      <c r="D43" s="100">
        <f t="shared" ref="D43:AC43" si="67">IFERROR($B43/D28,0)</f>
        <v>316074566.5</v>
      </c>
      <c r="E43" s="100">
        <f t="shared" si="67"/>
        <v>316074566.5</v>
      </c>
      <c r="F43" s="100">
        <f t="shared" si="67"/>
        <v>316074566.5</v>
      </c>
      <c r="G43" s="100">
        <f t="shared" si="67"/>
        <v>316074566.5</v>
      </c>
      <c r="H43" s="100">
        <f t="shared" si="67"/>
        <v>316074566.5</v>
      </c>
      <c r="I43" s="100">
        <f t="shared" si="67"/>
        <v>316074566.5</v>
      </c>
      <c r="J43" s="100">
        <f t="shared" si="67"/>
        <v>316074566.5</v>
      </c>
      <c r="K43" s="100">
        <f t="shared" si="67"/>
        <v>316074566.5</v>
      </c>
      <c r="L43" s="100">
        <f t="shared" si="67"/>
        <v>316074566.5</v>
      </c>
      <c r="M43" s="100">
        <f t="shared" si="67"/>
        <v>316074566.5</v>
      </c>
      <c r="N43" s="100">
        <f t="shared" si="67"/>
        <v>316074566.5</v>
      </c>
      <c r="O43" s="100">
        <f t="shared" si="67"/>
        <v>316074566.5</v>
      </c>
      <c r="P43" s="100">
        <f t="shared" si="67"/>
        <v>316074566.5</v>
      </c>
      <c r="Q43" s="100">
        <f t="shared" si="67"/>
        <v>316074566.5</v>
      </c>
      <c r="R43" s="100">
        <f t="shared" si="67"/>
        <v>316074566.5</v>
      </c>
      <c r="S43" s="100">
        <f t="shared" si="67"/>
        <v>316074566.5</v>
      </c>
      <c r="T43" s="100">
        <f t="shared" si="67"/>
        <v>316074566.5</v>
      </c>
      <c r="U43" s="100">
        <f t="shared" si="67"/>
        <v>316074566.5</v>
      </c>
      <c r="V43" s="100">
        <f t="shared" si="67"/>
        <v>316074566.5</v>
      </c>
      <c r="W43" s="100">
        <f t="shared" si="67"/>
        <v>316074566.5</v>
      </c>
      <c r="X43" s="100">
        <f t="shared" si="67"/>
        <v>316074566.5</v>
      </c>
      <c r="Y43" s="100">
        <f t="shared" si="67"/>
        <v>316074566.5</v>
      </c>
      <c r="Z43" s="100">
        <f t="shared" si="67"/>
        <v>316074566.5</v>
      </c>
      <c r="AA43" s="100">
        <f t="shared" si="67"/>
        <v>316074566.5</v>
      </c>
      <c r="AB43" s="100">
        <f t="shared" si="67"/>
        <v>316074566.5</v>
      </c>
      <c r="AC43" s="100">
        <f t="shared" si="67"/>
        <v>1264298266</v>
      </c>
      <c r="AD43" s="100">
        <f t="shared" ref="AD43:BB43" si="68">IFERROR($B43/AD28,0)</f>
        <v>316074566.5</v>
      </c>
      <c r="AE43" s="100">
        <f t="shared" si="68"/>
        <v>316074566.5</v>
      </c>
      <c r="AF43" s="100">
        <f t="shared" si="68"/>
        <v>316074566.5</v>
      </c>
      <c r="AG43" s="100">
        <f t="shared" si="68"/>
        <v>316074566.5</v>
      </c>
      <c r="AH43" s="100">
        <f t="shared" si="68"/>
        <v>316074566.5</v>
      </c>
      <c r="AI43" s="100">
        <f t="shared" si="68"/>
        <v>316074566.5</v>
      </c>
      <c r="AJ43" s="100">
        <f t="shared" si="68"/>
        <v>316074566.5</v>
      </c>
      <c r="AK43" s="100">
        <f t="shared" si="68"/>
        <v>316074566.5</v>
      </c>
      <c r="AL43" s="100">
        <f t="shared" si="68"/>
        <v>316074566.5</v>
      </c>
      <c r="AM43" s="100">
        <f t="shared" si="68"/>
        <v>316074566.5</v>
      </c>
      <c r="AN43" s="100">
        <f t="shared" si="68"/>
        <v>316074566.5</v>
      </c>
      <c r="AO43" s="100">
        <f t="shared" si="68"/>
        <v>316074566.5</v>
      </c>
      <c r="AP43" s="100">
        <f t="shared" si="68"/>
        <v>316074566.5</v>
      </c>
      <c r="AQ43" s="100">
        <f t="shared" si="68"/>
        <v>316074566.5</v>
      </c>
      <c r="AR43" s="100">
        <f t="shared" si="68"/>
        <v>316074566.5</v>
      </c>
      <c r="AS43" s="100">
        <f t="shared" si="68"/>
        <v>316074566.5</v>
      </c>
      <c r="AT43" s="100">
        <f t="shared" si="68"/>
        <v>316074566.5</v>
      </c>
      <c r="AU43" s="100">
        <f t="shared" si="68"/>
        <v>316074566.5</v>
      </c>
      <c r="AV43" s="100">
        <f t="shared" si="68"/>
        <v>316074566.5</v>
      </c>
      <c r="AW43" s="100">
        <f t="shared" si="68"/>
        <v>316074566.5</v>
      </c>
      <c r="AX43" s="100">
        <f t="shared" si="68"/>
        <v>316074566.5</v>
      </c>
      <c r="AY43" s="100">
        <f t="shared" si="68"/>
        <v>316074566.5</v>
      </c>
      <c r="AZ43" s="100">
        <f t="shared" si="68"/>
        <v>316074566.5</v>
      </c>
      <c r="BA43" s="100">
        <f t="shared" si="68"/>
        <v>316074566.5</v>
      </c>
      <c r="BB43" s="100">
        <f t="shared" si="68"/>
        <v>316074566.5</v>
      </c>
      <c r="BC43" s="101">
        <f t="shared" si="26"/>
        <v>144754212.61077645</v>
      </c>
      <c r="BD43" s="101">
        <f>IFERROR(up_RadSpec!$H$28*(BD28/$B43),".")</f>
        <v>36188553.152694114</v>
      </c>
      <c r="BE43" s="101">
        <f>IFERROR(up_RadSpec!$H$28*(BE28/$B43),".")</f>
        <v>36188553.152694114</v>
      </c>
      <c r="BF43" s="101">
        <f>IFERROR(up_RadSpec!$H$28*(BF28/$B43),".")</f>
        <v>36188553.152694114</v>
      </c>
      <c r="BG43" s="101">
        <f>IFERROR(up_RadSpec!$H$28*(BG28/$B43),".")</f>
        <v>36188553.152694114</v>
      </c>
      <c r="BH43" s="101">
        <f>IFERROR(up_RadSpec!$H$28*(BH28/$B43),".")</f>
        <v>36188553.152694114</v>
      </c>
      <c r="BI43" s="101">
        <f>IFERROR(up_RadSpec!$H$28*(BI28/$B43),".")</f>
        <v>36188553.152694114</v>
      </c>
      <c r="BJ43" s="101">
        <f>IFERROR(up_RadSpec!$H$28*(BJ28/$B43),".")</f>
        <v>36188553.152694114</v>
      </c>
      <c r="BK43" s="101">
        <f>IFERROR(up_RadSpec!$H$28*(BK28/$B43),".")</f>
        <v>36188553.152694114</v>
      </c>
      <c r="BL43" s="101">
        <f>IFERROR(up_RadSpec!$H$28*(BL28/$B43),".")</f>
        <v>36188553.152694114</v>
      </c>
      <c r="BM43" s="101">
        <f>IFERROR(up_RadSpec!$H$28*(BM28/$B43),".")</f>
        <v>36188553.152694114</v>
      </c>
      <c r="BN43" s="101">
        <f>IFERROR(up_RadSpec!$H$28*(BN28/$B43),".")</f>
        <v>36188553.152694114</v>
      </c>
      <c r="BO43" s="101">
        <f>IFERROR(up_RadSpec!$H$28*(BO28/$B43),".")</f>
        <v>36188553.152694114</v>
      </c>
      <c r="BP43" s="101">
        <f>IFERROR(up_RadSpec!$H$28*(BP28/$B43),".")</f>
        <v>36188553.152694114</v>
      </c>
      <c r="BQ43" s="101">
        <f>IFERROR(up_RadSpec!$H$28*(BQ28/$B43),".")</f>
        <v>36188553.152694114</v>
      </c>
      <c r="BR43" s="101">
        <f>IFERROR(up_RadSpec!$H$28*(BR28/$B43),".")</f>
        <v>36188553.152694114</v>
      </c>
      <c r="BS43" s="101">
        <f>IFERROR(up_RadSpec!$H$28*(BS28/$B43),".")</f>
        <v>36188553.152694114</v>
      </c>
      <c r="BT43" s="101">
        <f>IFERROR(up_RadSpec!$H$28*(BT28/$B43),".")</f>
        <v>36188553.152694114</v>
      </c>
      <c r="BU43" s="101">
        <f>IFERROR(up_RadSpec!$H$28*(BU28/$B43),".")</f>
        <v>36188553.152694114</v>
      </c>
      <c r="BV43" s="101">
        <f>IFERROR(up_RadSpec!$H$28*(BV28/$B43),".")</f>
        <v>36188553.152694114</v>
      </c>
      <c r="BW43" s="101">
        <f>IFERROR(up_RadSpec!$H$28*(BW28/$B43),".")</f>
        <v>36188553.152694114</v>
      </c>
      <c r="BX43" s="101">
        <f>IFERROR(up_RadSpec!$H$28*(BX28/$B43),".")</f>
        <v>36188553.152694114</v>
      </c>
      <c r="BY43" s="101">
        <f>IFERROR(up_RadSpec!$H$28*(BY28/$B43),".")</f>
        <v>36188553.152694114</v>
      </c>
      <c r="BZ43" s="101">
        <f>IFERROR(up_RadSpec!$H$28*(BZ28/$B43),".")</f>
        <v>36188553.152694114</v>
      </c>
      <c r="CA43" s="101">
        <f>IFERROR(up_RadSpec!$H$28*(CA28/$B43),".")</f>
        <v>36188553.152694114</v>
      </c>
      <c r="CB43" s="101">
        <f>IFERROR(up_RadSpec!$H$28*(CB28/$B43),".")</f>
        <v>36188553.152694114</v>
      </c>
    </row>
    <row r="44" spans="1:80" x14ac:dyDescent="0.25">
      <c r="A44" s="99" t="s">
        <v>1086</v>
      </c>
      <c r="B44" s="90">
        <v>0.99987999999999999</v>
      </c>
      <c r="C44" s="100">
        <f t="shared" ref="C44" si="69">IFERROR($B44/C15,0)</f>
        <v>60492739999.999992</v>
      </c>
      <c r="D44" s="100">
        <f t="shared" ref="D44:AC44" si="70">IFERROR($B44/D15,0)</f>
        <v>15123184999.999998</v>
      </c>
      <c r="E44" s="100">
        <f t="shared" si="70"/>
        <v>15123184999.999998</v>
      </c>
      <c r="F44" s="100">
        <f t="shared" si="70"/>
        <v>15123184999.999998</v>
      </c>
      <c r="G44" s="100">
        <f t="shared" si="70"/>
        <v>15123184999.999998</v>
      </c>
      <c r="H44" s="100">
        <f t="shared" si="70"/>
        <v>15123184999.999998</v>
      </c>
      <c r="I44" s="100">
        <f t="shared" si="70"/>
        <v>15123184999.999998</v>
      </c>
      <c r="J44" s="100">
        <f t="shared" si="70"/>
        <v>15123184999.999998</v>
      </c>
      <c r="K44" s="100">
        <f t="shared" si="70"/>
        <v>15123184999.999998</v>
      </c>
      <c r="L44" s="100">
        <f t="shared" si="70"/>
        <v>15123184999.999998</v>
      </c>
      <c r="M44" s="100">
        <f t="shared" si="70"/>
        <v>15123184999.999998</v>
      </c>
      <c r="N44" s="100">
        <f t="shared" si="70"/>
        <v>15123184999.999998</v>
      </c>
      <c r="O44" s="100">
        <f t="shared" si="70"/>
        <v>15123184999.999998</v>
      </c>
      <c r="P44" s="100">
        <f t="shared" si="70"/>
        <v>15123184999.999998</v>
      </c>
      <c r="Q44" s="100">
        <f t="shared" si="70"/>
        <v>15123184999.999998</v>
      </c>
      <c r="R44" s="100">
        <f t="shared" si="70"/>
        <v>15123184999.999998</v>
      </c>
      <c r="S44" s="100">
        <f t="shared" si="70"/>
        <v>15123184999.999998</v>
      </c>
      <c r="T44" s="100">
        <f t="shared" si="70"/>
        <v>15123184999.999998</v>
      </c>
      <c r="U44" s="100">
        <f t="shared" si="70"/>
        <v>15123184999.999998</v>
      </c>
      <c r="V44" s="100">
        <f t="shared" si="70"/>
        <v>15123184999.999998</v>
      </c>
      <c r="W44" s="100">
        <f t="shared" si="70"/>
        <v>15123184999.999998</v>
      </c>
      <c r="X44" s="100">
        <f t="shared" si="70"/>
        <v>15123184999.999998</v>
      </c>
      <c r="Y44" s="100">
        <f t="shared" si="70"/>
        <v>15123184999.999998</v>
      </c>
      <c r="Z44" s="100">
        <f t="shared" si="70"/>
        <v>15123184999.999998</v>
      </c>
      <c r="AA44" s="100">
        <f t="shared" si="70"/>
        <v>15123184999.999998</v>
      </c>
      <c r="AB44" s="100">
        <f t="shared" si="70"/>
        <v>15123184999.999998</v>
      </c>
      <c r="AC44" s="100">
        <f t="shared" si="70"/>
        <v>60492739999.999992</v>
      </c>
      <c r="AD44" s="100">
        <f t="shared" ref="AD44:BB44" si="71">IFERROR($B44/AD15,0)</f>
        <v>15123184999.999998</v>
      </c>
      <c r="AE44" s="100">
        <f t="shared" si="71"/>
        <v>15123184999.999998</v>
      </c>
      <c r="AF44" s="100">
        <f t="shared" si="71"/>
        <v>15123184999.999998</v>
      </c>
      <c r="AG44" s="100">
        <f t="shared" si="71"/>
        <v>15123184999.999998</v>
      </c>
      <c r="AH44" s="100">
        <f t="shared" si="71"/>
        <v>15123184999.999998</v>
      </c>
      <c r="AI44" s="100">
        <f t="shared" si="71"/>
        <v>15123184999.999998</v>
      </c>
      <c r="AJ44" s="100">
        <f t="shared" si="71"/>
        <v>15123184999.999998</v>
      </c>
      <c r="AK44" s="100">
        <f t="shared" si="71"/>
        <v>15123184999.999998</v>
      </c>
      <c r="AL44" s="100">
        <f t="shared" si="71"/>
        <v>15123184999.999998</v>
      </c>
      <c r="AM44" s="100">
        <f t="shared" si="71"/>
        <v>15123184999.999998</v>
      </c>
      <c r="AN44" s="100">
        <f t="shared" si="71"/>
        <v>15123184999.999998</v>
      </c>
      <c r="AO44" s="100">
        <f t="shared" si="71"/>
        <v>15123184999.999998</v>
      </c>
      <c r="AP44" s="100">
        <f t="shared" si="71"/>
        <v>15123184999.999998</v>
      </c>
      <c r="AQ44" s="100">
        <f t="shared" si="71"/>
        <v>15123184999.999998</v>
      </c>
      <c r="AR44" s="100">
        <f t="shared" si="71"/>
        <v>15123184999.999998</v>
      </c>
      <c r="AS44" s="100">
        <f t="shared" si="71"/>
        <v>15123184999.999998</v>
      </c>
      <c r="AT44" s="100">
        <f t="shared" si="71"/>
        <v>15123184999.999998</v>
      </c>
      <c r="AU44" s="100">
        <f t="shared" si="71"/>
        <v>15123184999.999998</v>
      </c>
      <c r="AV44" s="100">
        <f t="shared" si="71"/>
        <v>15123184999.999998</v>
      </c>
      <c r="AW44" s="100">
        <f t="shared" si="71"/>
        <v>15123184999.999998</v>
      </c>
      <c r="AX44" s="100">
        <f t="shared" si="71"/>
        <v>15123184999.999998</v>
      </c>
      <c r="AY44" s="100">
        <f t="shared" si="71"/>
        <v>15123184999.999998</v>
      </c>
      <c r="AZ44" s="100">
        <f t="shared" si="71"/>
        <v>15123184999.999998</v>
      </c>
      <c r="BA44" s="100">
        <f t="shared" si="71"/>
        <v>15123184999.999998</v>
      </c>
      <c r="BB44" s="100">
        <f t="shared" si="71"/>
        <v>15123184999.999998</v>
      </c>
      <c r="BC44" s="101">
        <f t="shared" si="26"/>
        <v>3025363.0435652281</v>
      </c>
      <c r="BD44" s="101">
        <f>IFERROR(up_RadSpec!$H$15*(BD15/$B44),".")</f>
        <v>756340.76089130703</v>
      </c>
      <c r="BE44" s="101">
        <f>IFERROR(up_RadSpec!$H$15*(BE15/$B44),".")</f>
        <v>756340.76089130703</v>
      </c>
      <c r="BF44" s="101">
        <f>IFERROR(up_RadSpec!$H$15*(BF15/$B44),".")</f>
        <v>756340.76089130703</v>
      </c>
      <c r="BG44" s="101">
        <f>IFERROR(up_RadSpec!$H$15*(BG15/$B44),".")</f>
        <v>756340.76089130703</v>
      </c>
      <c r="BH44" s="101">
        <f>IFERROR(up_RadSpec!$H$15*(BH15/$B44),".")</f>
        <v>756340.76089130703</v>
      </c>
      <c r="BI44" s="101">
        <f>IFERROR(up_RadSpec!$H$15*(BI15/$B44),".")</f>
        <v>756340.76089130703</v>
      </c>
      <c r="BJ44" s="101">
        <f>IFERROR(up_RadSpec!$H$15*(BJ15/$B44),".")</f>
        <v>756340.76089130703</v>
      </c>
      <c r="BK44" s="101">
        <f>IFERROR(up_RadSpec!$H$15*(BK15/$B44),".")</f>
        <v>756340.76089130703</v>
      </c>
      <c r="BL44" s="101">
        <f>IFERROR(up_RadSpec!$H$15*(BL15/$B44),".")</f>
        <v>756340.76089130703</v>
      </c>
      <c r="BM44" s="101">
        <f>IFERROR(up_RadSpec!$H$15*(BM15/$B44),".")</f>
        <v>756340.76089130703</v>
      </c>
      <c r="BN44" s="101">
        <f>IFERROR(up_RadSpec!$H$15*(BN15/$B44),".")</f>
        <v>756340.76089130703</v>
      </c>
      <c r="BO44" s="101">
        <f>IFERROR(up_RadSpec!$H$15*(BO15/$B44),".")</f>
        <v>756340.76089130703</v>
      </c>
      <c r="BP44" s="101">
        <f>IFERROR(up_RadSpec!$H$15*(BP15/$B44),".")</f>
        <v>756340.76089130703</v>
      </c>
      <c r="BQ44" s="101">
        <f>IFERROR(up_RadSpec!$H$15*(BQ15/$B44),".")</f>
        <v>756340.76089130703</v>
      </c>
      <c r="BR44" s="101">
        <f>IFERROR(up_RadSpec!$H$15*(BR15/$B44),".")</f>
        <v>756340.76089130703</v>
      </c>
      <c r="BS44" s="101">
        <f>IFERROR(up_RadSpec!$H$15*(BS15/$B44),".")</f>
        <v>756340.76089130703</v>
      </c>
      <c r="BT44" s="101">
        <f>IFERROR(up_RadSpec!$H$15*(BT15/$B44),".")</f>
        <v>756340.76089130703</v>
      </c>
      <c r="BU44" s="101">
        <f>IFERROR(up_RadSpec!$H$15*(BU15/$B44),".")</f>
        <v>756340.76089130703</v>
      </c>
      <c r="BV44" s="101">
        <f>IFERROR(up_RadSpec!$H$15*(BV15/$B44),".")</f>
        <v>756340.76089130703</v>
      </c>
      <c r="BW44" s="101">
        <f>IFERROR(up_RadSpec!$H$15*(BW15/$B44),".")</f>
        <v>756340.76089130703</v>
      </c>
      <c r="BX44" s="101">
        <f>IFERROR(up_RadSpec!$H$15*(BX15/$B44),".")</f>
        <v>756340.76089130703</v>
      </c>
      <c r="BY44" s="101">
        <f>IFERROR(up_RadSpec!$H$15*(BY15/$B44),".")</f>
        <v>756340.76089130703</v>
      </c>
      <c r="BZ44" s="101">
        <f>IFERROR(up_RadSpec!$H$15*(BZ15/$B44),".")</f>
        <v>756340.76089130703</v>
      </c>
      <c r="CA44" s="101">
        <f>IFERROR(up_RadSpec!$H$15*(CA15/$B44),".")</f>
        <v>756340.76089130703</v>
      </c>
      <c r="CB44" s="101">
        <f>IFERROR(up_RadSpec!$H$15*(CB15/$B44),".")</f>
        <v>756340.76089130703</v>
      </c>
    </row>
    <row r="45" spans="1:80" x14ac:dyDescent="0.25">
      <c r="A45" s="95" t="s">
        <v>20</v>
      </c>
      <c r="B45" s="95" t="s">
        <v>1071</v>
      </c>
      <c r="C45" s="96">
        <f t="shared" ref="C45" si="72">IFERROR(1/SUM(C46:C47),".")</f>
        <v>8.5025774925975507E-12</v>
      </c>
      <c r="D45" s="96">
        <f t="shared" ref="D45:AB45" si="73">IFERROR(1/SUM(D46:D47),".")</f>
        <v>3.4010309970390203E-11</v>
      </c>
      <c r="E45" s="96">
        <f t="shared" si="73"/>
        <v>3.4010309970390203E-11</v>
      </c>
      <c r="F45" s="96">
        <f t="shared" si="73"/>
        <v>3.4010309970390203E-11</v>
      </c>
      <c r="G45" s="96">
        <f t="shared" si="73"/>
        <v>3.4010309970390203E-11</v>
      </c>
      <c r="H45" s="96">
        <f t="shared" si="73"/>
        <v>3.4010309970390203E-11</v>
      </c>
      <c r="I45" s="96">
        <f t="shared" si="73"/>
        <v>3.4010309970390203E-11</v>
      </c>
      <c r="J45" s="96">
        <f t="shared" si="73"/>
        <v>3.4010309970390203E-11</v>
      </c>
      <c r="K45" s="96">
        <f t="shared" si="73"/>
        <v>3.4010309970390203E-11</v>
      </c>
      <c r="L45" s="96">
        <f t="shared" si="73"/>
        <v>3.4010309970390203E-11</v>
      </c>
      <c r="M45" s="96">
        <f t="shared" si="73"/>
        <v>3.4010309970390203E-11</v>
      </c>
      <c r="N45" s="96">
        <f t="shared" si="73"/>
        <v>3.4010309970390203E-11</v>
      </c>
      <c r="O45" s="96">
        <f t="shared" si="73"/>
        <v>3.4010309970390203E-11</v>
      </c>
      <c r="P45" s="96">
        <f t="shared" si="73"/>
        <v>3.4010309970390203E-11</v>
      </c>
      <c r="Q45" s="96">
        <f t="shared" si="73"/>
        <v>3.4010309970390203E-11</v>
      </c>
      <c r="R45" s="96">
        <f t="shared" si="73"/>
        <v>3.4010309970390203E-11</v>
      </c>
      <c r="S45" s="96">
        <f t="shared" si="73"/>
        <v>3.4010309970390203E-11</v>
      </c>
      <c r="T45" s="96">
        <f t="shared" si="73"/>
        <v>3.4010309970390203E-11</v>
      </c>
      <c r="U45" s="96">
        <f t="shared" si="73"/>
        <v>3.4010309970390203E-11</v>
      </c>
      <c r="V45" s="96">
        <f t="shared" si="73"/>
        <v>3.4010309970390203E-11</v>
      </c>
      <c r="W45" s="96">
        <f t="shared" si="73"/>
        <v>3.4010309970390203E-11</v>
      </c>
      <c r="X45" s="96">
        <f t="shared" si="73"/>
        <v>3.4010309970390203E-11</v>
      </c>
      <c r="Y45" s="96">
        <f t="shared" si="73"/>
        <v>3.4010309970390203E-11</v>
      </c>
      <c r="Z45" s="96">
        <f t="shared" si="73"/>
        <v>3.4010309970390203E-11</v>
      </c>
      <c r="AA45" s="96">
        <f t="shared" si="73"/>
        <v>3.4010309970390203E-11</v>
      </c>
      <c r="AB45" s="96">
        <f t="shared" si="73"/>
        <v>3.4010309970390203E-11</v>
      </c>
      <c r="AC45" s="96">
        <f t="shared" ref="AC45" si="74">IFERROR(1/SUM(AC46:AC47),".")</f>
        <v>8.5025774925975507E-12</v>
      </c>
      <c r="AD45" s="96">
        <f t="shared" ref="AD45:BB45" si="75">IFERROR(1/SUM(AD46:AD47),".")</f>
        <v>3.4010309970390203E-11</v>
      </c>
      <c r="AE45" s="96">
        <f t="shared" si="75"/>
        <v>3.4010309970390203E-11</v>
      </c>
      <c r="AF45" s="96">
        <f t="shared" si="75"/>
        <v>3.4010309970390203E-11</v>
      </c>
      <c r="AG45" s="96">
        <f t="shared" si="75"/>
        <v>3.4010309970390203E-11</v>
      </c>
      <c r="AH45" s="96">
        <f t="shared" si="75"/>
        <v>3.4010309970390203E-11</v>
      </c>
      <c r="AI45" s="96">
        <f t="shared" si="75"/>
        <v>3.4010309970390203E-11</v>
      </c>
      <c r="AJ45" s="96">
        <f t="shared" si="75"/>
        <v>3.4010309970390203E-11</v>
      </c>
      <c r="AK45" s="96">
        <f t="shared" si="75"/>
        <v>3.4010309970390203E-11</v>
      </c>
      <c r="AL45" s="96">
        <f t="shared" si="75"/>
        <v>3.4010309970390203E-11</v>
      </c>
      <c r="AM45" s="96">
        <f t="shared" si="75"/>
        <v>3.4010309970390203E-11</v>
      </c>
      <c r="AN45" s="96">
        <f t="shared" si="75"/>
        <v>3.4010309970390203E-11</v>
      </c>
      <c r="AO45" s="96">
        <f t="shared" si="75"/>
        <v>3.4010309970390203E-11</v>
      </c>
      <c r="AP45" s="96">
        <f t="shared" si="75"/>
        <v>3.4010309970390203E-11</v>
      </c>
      <c r="AQ45" s="96">
        <f t="shared" si="75"/>
        <v>3.4010309970390203E-11</v>
      </c>
      <c r="AR45" s="96">
        <f t="shared" si="75"/>
        <v>3.4010309970390203E-11</v>
      </c>
      <c r="AS45" s="96">
        <f t="shared" si="75"/>
        <v>3.4010309970390203E-11</v>
      </c>
      <c r="AT45" s="96">
        <f t="shared" si="75"/>
        <v>3.4010309970390203E-11</v>
      </c>
      <c r="AU45" s="96">
        <f t="shared" si="75"/>
        <v>3.4010309970390203E-11</v>
      </c>
      <c r="AV45" s="96">
        <f t="shared" si="75"/>
        <v>3.4010309970390203E-11</v>
      </c>
      <c r="AW45" s="96">
        <f t="shared" si="75"/>
        <v>3.4010309970390203E-11</v>
      </c>
      <c r="AX45" s="96">
        <f t="shared" si="75"/>
        <v>3.4010309970390203E-11</v>
      </c>
      <c r="AY45" s="96">
        <f t="shared" si="75"/>
        <v>3.4010309970390203E-11</v>
      </c>
      <c r="AZ45" s="96">
        <f t="shared" si="75"/>
        <v>3.4010309970390203E-11</v>
      </c>
      <c r="BA45" s="96">
        <f t="shared" si="75"/>
        <v>3.4010309970390203E-11</v>
      </c>
      <c r="BB45" s="96">
        <f t="shared" si="75"/>
        <v>3.4010309970390203E-11</v>
      </c>
      <c r="BC45" s="97">
        <f t="shared" si="26"/>
        <v>4</v>
      </c>
      <c r="BD45" s="97">
        <f>IFERROR(IF(SUM(BD46:BD47)&gt;0.01,1-EXP(-(SUM(BD46:BD47))),SUM(BD46:BD47)),".")</f>
        <v>1</v>
      </c>
      <c r="BE45" s="97">
        <f t="shared" ref="BE45:BZ45" si="76">IFERROR(IF(SUM(BE46:BE47)&gt;0.01,1-EXP(-(SUM(BE46:BE47))),SUM(BE46:BE47)),".")</f>
        <v>1</v>
      </c>
      <c r="BF45" s="97">
        <f t="shared" si="76"/>
        <v>1</v>
      </c>
      <c r="BG45" s="97">
        <f t="shared" si="76"/>
        <v>1</v>
      </c>
      <c r="BH45" s="97">
        <f t="shared" si="76"/>
        <v>1</v>
      </c>
      <c r="BI45" s="97">
        <f t="shared" si="76"/>
        <v>1</v>
      </c>
      <c r="BJ45" s="97">
        <f t="shared" si="76"/>
        <v>1</v>
      </c>
      <c r="BK45" s="97">
        <f t="shared" si="76"/>
        <v>1</v>
      </c>
      <c r="BL45" s="97">
        <f t="shared" si="76"/>
        <v>1</v>
      </c>
      <c r="BM45" s="97">
        <f t="shared" si="76"/>
        <v>1</v>
      </c>
      <c r="BN45" s="97">
        <f t="shared" si="76"/>
        <v>1</v>
      </c>
      <c r="BO45" s="97">
        <f t="shared" si="76"/>
        <v>1</v>
      </c>
      <c r="BP45" s="97">
        <f t="shared" si="76"/>
        <v>1</v>
      </c>
      <c r="BQ45" s="97">
        <f t="shared" si="76"/>
        <v>1</v>
      </c>
      <c r="BR45" s="97">
        <f t="shared" si="76"/>
        <v>1</v>
      </c>
      <c r="BS45" s="97">
        <f t="shared" si="76"/>
        <v>1</v>
      </c>
      <c r="BT45" s="97">
        <f t="shared" si="76"/>
        <v>1</v>
      </c>
      <c r="BU45" s="97">
        <f t="shared" si="76"/>
        <v>1</v>
      </c>
      <c r="BV45" s="97">
        <f t="shared" si="76"/>
        <v>1</v>
      </c>
      <c r="BW45" s="97">
        <f t="shared" si="76"/>
        <v>1</v>
      </c>
      <c r="BX45" s="97">
        <f t="shared" si="76"/>
        <v>1</v>
      </c>
      <c r="BY45" s="97">
        <f t="shared" si="76"/>
        <v>1</v>
      </c>
      <c r="BZ45" s="97">
        <f t="shared" si="76"/>
        <v>1</v>
      </c>
      <c r="CA45" s="97">
        <f>IFERROR(IF(SUM(CA46:CA47)&gt;0.01,1-EXP(-(SUM(CA46:CA47))),SUM(CA46:CA47)),".")</f>
        <v>1</v>
      </c>
      <c r="CB45" s="97">
        <f>IFERROR(IF(SUM(CB46:CB47)&gt;0.01,1-EXP(-(SUM(CB46:CB47))),SUM(CB46:CB47)),".")</f>
        <v>1</v>
      </c>
    </row>
    <row r="46" spans="1:80" x14ac:dyDescent="0.25">
      <c r="A46" s="99" t="s">
        <v>1098</v>
      </c>
      <c r="B46" s="90">
        <v>1</v>
      </c>
      <c r="C46" s="100">
        <f t="shared" ref="C46" si="77">IFERROR($B46/C10,0)</f>
        <v>60499999999.999992</v>
      </c>
      <c r="D46" s="100">
        <f t="shared" ref="D46:AC46" si="78">IFERROR($B46/D10,0)</f>
        <v>15124999999.999998</v>
      </c>
      <c r="E46" s="100">
        <f t="shared" si="78"/>
        <v>15124999999.999998</v>
      </c>
      <c r="F46" s="100">
        <f t="shared" si="78"/>
        <v>15124999999.999998</v>
      </c>
      <c r="G46" s="100">
        <f t="shared" si="78"/>
        <v>15124999999.999998</v>
      </c>
      <c r="H46" s="100">
        <f t="shared" si="78"/>
        <v>15124999999.999998</v>
      </c>
      <c r="I46" s="100">
        <f t="shared" si="78"/>
        <v>15124999999.999998</v>
      </c>
      <c r="J46" s="100">
        <f t="shared" si="78"/>
        <v>15124999999.999998</v>
      </c>
      <c r="K46" s="100">
        <f t="shared" si="78"/>
        <v>15124999999.999998</v>
      </c>
      <c r="L46" s="100">
        <f t="shared" si="78"/>
        <v>15124999999.999998</v>
      </c>
      <c r="M46" s="100">
        <f t="shared" si="78"/>
        <v>15124999999.999998</v>
      </c>
      <c r="N46" s="100">
        <f t="shared" si="78"/>
        <v>15124999999.999998</v>
      </c>
      <c r="O46" s="100">
        <f t="shared" si="78"/>
        <v>15124999999.999998</v>
      </c>
      <c r="P46" s="100">
        <f t="shared" si="78"/>
        <v>15124999999.999998</v>
      </c>
      <c r="Q46" s="100">
        <f t="shared" si="78"/>
        <v>15124999999.999998</v>
      </c>
      <c r="R46" s="100">
        <f t="shared" si="78"/>
        <v>15124999999.999998</v>
      </c>
      <c r="S46" s="100">
        <f t="shared" si="78"/>
        <v>15124999999.999998</v>
      </c>
      <c r="T46" s="100">
        <f t="shared" si="78"/>
        <v>15124999999.999998</v>
      </c>
      <c r="U46" s="100">
        <f t="shared" si="78"/>
        <v>15124999999.999998</v>
      </c>
      <c r="V46" s="100">
        <f t="shared" si="78"/>
        <v>15124999999.999998</v>
      </c>
      <c r="W46" s="100">
        <f t="shared" si="78"/>
        <v>15124999999.999998</v>
      </c>
      <c r="X46" s="100">
        <f t="shared" si="78"/>
        <v>15124999999.999998</v>
      </c>
      <c r="Y46" s="100">
        <f t="shared" si="78"/>
        <v>15124999999.999998</v>
      </c>
      <c r="Z46" s="100">
        <f t="shared" si="78"/>
        <v>15124999999.999998</v>
      </c>
      <c r="AA46" s="100">
        <f t="shared" si="78"/>
        <v>15124999999.999998</v>
      </c>
      <c r="AB46" s="100">
        <f t="shared" si="78"/>
        <v>15124999999.999998</v>
      </c>
      <c r="AC46" s="100">
        <f t="shared" si="78"/>
        <v>60499999999.999992</v>
      </c>
      <c r="AD46" s="100">
        <f t="shared" ref="AD46:BB46" si="79">IFERROR($B46/AD10,0)</f>
        <v>15124999999.999998</v>
      </c>
      <c r="AE46" s="100">
        <f t="shared" si="79"/>
        <v>15124999999.999998</v>
      </c>
      <c r="AF46" s="100">
        <f t="shared" si="79"/>
        <v>15124999999.999998</v>
      </c>
      <c r="AG46" s="100">
        <f t="shared" si="79"/>
        <v>15124999999.999998</v>
      </c>
      <c r="AH46" s="100">
        <f t="shared" si="79"/>
        <v>15124999999.999998</v>
      </c>
      <c r="AI46" s="100">
        <f t="shared" si="79"/>
        <v>15124999999.999998</v>
      </c>
      <c r="AJ46" s="100">
        <f t="shared" si="79"/>
        <v>15124999999.999998</v>
      </c>
      <c r="AK46" s="100">
        <f t="shared" si="79"/>
        <v>15124999999.999998</v>
      </c>
      <c r="AL46" s="100">
        <f t="shared" si="79"/>
        <v>15124999999.999998</v>
      </c>
      <c r="AM46" s="100">
        <f t="shared" si="79"/>
        <v>15124999999.999998</v>
      </c>
      <c r="AN46" s="100">
        <f t="shared" si="79"/>
        <v>15124999999.999998</v>
      </c>
      <c r="AO46" s="100">
        <f t="shared" si="79"/>
        <v>15124999999.999998</v>
      </c>
      <c r="AP46" s="100">
        <f t="shared" si="79"/>
        <v>15124999999.999998</v>
      </c>
      <c r="AQ46" s="100">
        <f t="shared" si="79"/>
        <v>15124999999.999998</v>
      </c>
      <c r="AR46" s="100">
        <f t="shared" si="79"/>
        <v>15124999999.999998</v>
      </c>
      <c r="AS46" s="100">
        <f t="shared" si="79"/>
        <v>15124999999.999998</v>
      </c>
      <c r="AT46" s="100">
        <f t="shared" si="79"/>
        <v>15124999999.999998</v>
      </c>
      <c r="AU46" s="100">
        <f t="shared" si="79"/>
        <v>15124999999.999998</v>
      </c>
      <c r="AV46" s="100">
        <f t="shared" si="79"/>
        <v>15124999999.999998</v>
      </c>
      <c r="AW46" s="100">
        <f t="shared" si="79"/>
        <v>15124999999.999998</v>
      </c>
      <c r="AX46" s="100">
        <f t="shared" si="79"/>
        <v>15124999999.999998</v>
      </c>
      <c r="AY46" s="100">
        <f t="shared" si="79"/>
        <v>15124999999.999998</v>
      </c>
      <c r="AZ46" s="100">
        <f t="shared" si="79"/>
        <v>15124999999.999998</v>
      </c>
      <c r="BA46" s="100">
        <f t="shared" si="79"/>
        <v>15124999999.999998</v>
      </c>
      <c r="BB46" s="100">
        <f t="shared" si="79"/>
        <v>15124999999.999998</v>
      </c>
      <c r="BC46" s="101">
        <f t="shared" si="26"/>
        <v>3025000</v>
      </c>
      <c r="BD46" s="101">
        <f>IFERROR(up_RadSpec!$H$10*(BD10/$B46),".")</f>
        <v>756250</v>
      </c>
      <c r="BE46" s="101">
        <f>IFERROR(up_RadSpec!$H$10*(BE10/$B46),".")</f>
        <v>756250</v>
      </c>
      <c r="BF46" s="101">
        <f>IFERROR(up_RadSpec!$H$10*(BG10/$B46),".")</f>
        <v>756250</v>
      </c>
      <c r="BG46" s="101">
        <f>IFERROR(up_RadSpec!$H$10*(BH10/$B46),".")</f>
        <v>756250</v>
      </c>
      <c r="BH46" s="101">
        <f>IFERROR(up_RadSpec!$H$10*(BI10/$B46),".")</f>
        <v>756250</v>
      </c>
      <c r="BI46" s="101">
        <f>IFERROR(up_RadSpec!$H$10*(BJ10/$B46),".")</f>
        <v>756250</v>
      </c>
      <c r="BJ46" s="101">
        <f>IFERROR(up_RadSpec!$H$10*(BK10/$B46),".")</f>
        <v>756250</v>
      </c>
      <c r="BK46" s="101">
        <f>IFERROR(up_RadSpec!$H$10*(BL10/$B46),".")</f>
        <v>756250</v>
      </c>
      <c r="BL46" s="101">
        <f>IFERROR(up_RadSpec!$H$10*(BM10/$B46),".")</f>
        <v>756250</v>
      </c>
      <c r="BM46" s="101">
        <f>IFERROR(up_RadSpec!$H$10*(BN10/$B46),".")</f>
        <v>756250</v>
      </c>
      <c r="BN46" s="101">
        <f>IFERROR(up_RadSpec!$H$10*(BO10/$B46),".")</f>
        <v>756250</v>
      </c>
      <c r="BO46" s="101">
        <f>IFERROR(up_RadSpec!$H$10*(BP10/$B46),".")</f>
        <v>756250</v>
      </c>
      <c r="BP46" s="101">
        <f>IFERROR(up_RadSpec!$H$10*(BQ10/$B46),".")</f>
        <v>756250</v>
      </c>
      <c r="BQ46" s="101">
        <f>IFERROR(up_RadSpec!$H$10*(BR10/$B46),".")</f>
        <v>756250</v>
      </c>
      <c r="BR46" s="101">
        <f>IFERROR(up_RadSpec!$H$10*(BS10/$B46),".")</f>
        <v>756250</v>
      </c>
      <c r="BS46" s="101">
        <f>IFERROR(up_RadSpec!$H$10*(BT10/$B46),".")</f>
        <v>756250</v>
      </c>
      <c r="BT46" s="101">
        <f>IFERROR(up_RadSpec!$H$10*(BV10/$B46),".")</f>
        <v>756250</v>
      </c>
      <c r="BU46" s="101">
        <f>IFERROR(up_RadSpec!$H$10*(BW10/$B46),".")</f>
        <v>756250</v>
      </c>
      <c r="BV46" s="101">
        <f>IFERROR(up_RadSpec!$H$10*(BW10/$B46),".")</f>
        <v>756250</v>
      </c>
      <c r="BW46" s="101">
        <f>IFERROR(up_RadSpec!$H$10*(BX10/$B46),".")</f>
        <v>756250</v>
      </c>
      <c r="BX46" s="101">
        <f>IFERROR(up_RadSpec!$H$10*(BY10/$B46),".")</f>
        <v>756250</v>
      </c>
      <c r="BY46" s="101">
        <f>IFERROR(up_RadSpec!$H$10*(BZ10/$B46),".")</f>
        <v>756250</v>
      </c>
      <c r="BZ46" s="101">
        <f>IFERROR(up_RadSpec!$H$10*(CA10/$B46),".")</f>
        <v>756250</v>
      </c>
      <c r="CA46" s="101">
        <f>IFERROR(up_RadSpec!$H$10*(CB10/$B46),".")</f>
        <v>756250</v>
      </c>
      <c r="CB46" s="101">
        <f>IFERROR(up_RadSpec!$H$10*(CA10/$B46),".")</f>
        <v>756250</v>
      </c>
    </row>
    <row r="47" spans="1:80" x14ac:dyDescent="0.25">
      <c r="A47" s="99" t="s">
        <v>1072</v>
      </c>
      <c r="B47" s="103">
        <v>0.94399</v>
      </c>
      <c r="C47" s="100">
        <f t="shared" ref="C47" si="80">IFERROR($B47/C6,0)</f>
        <v>57111394999.999992</v>
      </c>
      <c r="D47" s="100">
        <f t="shared" ref="D47:AC47" si="81">IFERROR($B47/D6,0)</f>
        <v>14277848749.999998</v>
      </c>
      <c r="E47" s="100">
        <f t="shared" si="81"/>
        <v>14277848749.999998</v>
      </c>
      <c r="F47" s="100">
        <f t="shared" si="81"/>
        <v>14277848749.999998</v>
      </c>
      <c r="G47" s="100">
        <f t="shared" si="81"/>
        <v>14277848749.999998</v>
      </c>
      <c r="H47" s="100">
        <f t="shared" si="81"/>
        <v>14277848749.999998</v>
      </c>
      <c r="I47" s="100">
        <f t="shared" si="81"/>
        <v>14277848749.999998</v>
      </c>
      <c r="J47" s="100">
        <f t="shared" si="81"/>
        <v>14277848749.999998</v>
      </c>
      <c r="K47" s="100">
        <f t="shared" si="81"/>
        <v>14277848749.999998</v>
      </c>
      <c r="L47" s="100">
        <f t="shared" si="81"/>
        <v>14277848749.999998</v>
      </c>
      <c r="M47" s="100">
        <f t="shared" si="81"/>
        <v>14277848749.999998</v>
      </c>
      <c r="N47" s="100">
        <f t="shared" si="81"/>
        <v>14277848749.999998</v>
      </c>
      <c r="O47" s="100">
        <f t="shared" si="81"/>
        <v>14277848749.999998</v>
      </c>
      <c r="P47" s="100">
        <f t="shared" si="81"/>
        <v>14277848749.999998</v>
      </c>
      <c r="Q47" s="100">
        <f t="shared" si="81"/>
        <v>14277848749.999998</v>
      </c>
      <c r="R47" s="100">
        <f t="shared" si="81"/>
        <v>14277848749.999998</v>
      </c>
      <c r="S47" s="100">
        <f t="shared" si="81"/>
        <v>14277848749.999998</v>
      </c>
      <c r="T47" s="100">
        <f t="shared" si="81"/>
        <v>14277848749.999998</v>
      </c>
      <c r="U47" s="100">
        <f t="shared" si="81"/>
        <v>14277848749.999998</v>
      </c>
      <c r="V47" s="100">
        <f t="shared" si="81"/>
        <v>14277848749.999998</v>
      </c>
      <c r="W47" s="100">
        <f t="shared" si="81"/>
        <v>14277848749.999998</v>
      </c>
      <c r="X47" s="100">
        <f t="shared" si="81"/>
        <v>14277848749.999998</v>
      </c>
      <c r="Y47" s="100">
        <f t="shared" si="81"/>
        <v>14277848749.999998</v>
      </c>
      <c r="Z47" s="100">
        <f t="shared" si="81"/>
        <v>14277848749.999998</v>
      </c>
      <c r="AA47" s="100">
        <f t="shared" si="81"/>
        <v>14277848749.999998</v>
      </c>
      <c r="AB47" s="100">
        <f t="shared" si="81"/>
        <v>14277848749.999998</v>
      </c>
      <c r="AC47" s="100">
        <f t="shared" si="81"/>
        <v>57111394999.999992</v>
      </c>
      <c r="AD47" s="100">
        <f t="shared" ref="AD47:BB47" si="82">IFERROR($B47/AD6,0)</f>
        <v>14277848749.999998</v>
      </c>
      <c r="AE47" s="100">
        <f t="shared" si="82"/>
        <v>14277848749.999998</v>
      </c>
      <c r="AF47" s="100">
        <f t="shared" si="82"/>
        <v>14277848749.999998</v>
      </c>
      <c r="AG47" s="100">
        <f t="shared" si="82"/>
        <v>14277848749.999998</v>
      </c>
      <c r="AH47" s="100">
        <f t="shared" si="82"/>
        <v>14277848749.999998</v>
      </c>
      <c r="AI47" s="100">
        <f t="shared" si="82"/>
        <v>14277848749.999998</v>
      </c>
      <c r="AJ47" s="100">
        <f t="shared" si="82"/>
        <v>14277848749.999998</v>
      </c>
      <c r="AK47" s="100">
        <f t="shared" si="82"/>
        <v>14277848749.999998</v>
      </c>
      <c r="AL47" s="100">
        <f t="shared" si="82"/>
        <v>14277848749.999998</v>
      </c>
      <c r="AM47" s="100">
        <f t="shared" si="82"/>
        <v>14277848749.999998</v>
      </c>
      <c r="AN47" s="100">
        <f t="shared" si="82"/>
        <v>14277848749.999998</v>
      </c>
      <c r="AO47" s="100">
        <f t="shared" si="82"/>
        <v>14277848749.999998</v>
      </c>
      <c r="AP47" s="100">
        <f t="shared" si="82"/>
        <v>14277848749.999998</v>
      </c>
      <c r="AQ47" s="100">
        <f t="shared" si="82"/>
        <v>14277848749.999998</v>
      </c>
      <c r="AR47" s="100">
        <f t="shared" si="82"/>
        <v>14277848749.999998</v>
      </c>
      <c r="AS47" s="100">
        <f t="shared" si="82"/>
        <v>14277848749.999998</v>
      </c>
      <c r="AT47" s="100">
        <f t="shared" si="82"/>
        <v>14277848749.999998</v>
      </c>
      <c r="AU47" s="100">
        <f t="shared" si="82"/>
        <v>14277848749.999998</v>
      </c>
      <c r="AV47" s="100">
        <f t="shared" si="82"/>
        <v>14277848749.999998</v>
      </c>
      <c r="AW47" s="100">
        <f t="shared" si="82"/>
        <v>14277848749.999998</v>
      </c>
      <c r="AX47" s="100">
        <f t="shared" si="82"/>
        <v>14277848749.999998</v>
      </c>
      <c r="AY47" s="100">
        <f t="shared" si="82"/>
        <v>14277848749.999998</v>
      </c>
      <c r="AZ47" s="100">
        <f t="shared" si="82"/>
        <v>14277848749.999998</v>
      </c>
      <c r="BA47" s="100">
        <f t="shared" si="82"/>
        <v>14277848749.999998</v>
      </c>
      <c r="BB47" s="100">
        <f t="shared" si="82"/>
        <v>14277848749.999998</v>
      </c>
      <c r="BC47" s="101">
        <f t="shared" si="26"/>
        <v>3204483.0983379064</v>
      </c>
      <c r="BD47" s="101">
        <f>IFERROR(up_RadSpec!$H$6*(BD6/$B47),".")</f>
        <v>801120.7745844766</v>
      </c>
      <c r="BE47" s="101">
        <f>IFERROR(up_RadSpec!$H$6*(BE6/$B47),".")</f>
        <v>801120.7745844766</v>
      </c>
      <c r="BF47" s="101">
        <f>IFERROR(up_RadSpec!$H$6*(BG6/$B47),".")</f>
        <v>801120.7745844766</v>
      </c>
      <c r="BG47" s="101">
        <f>IFERROR(up_RadSpec!$H$6*(BH6/$B47),".")</f>
        <v>801120.7745844766</v>
      </c>
      <c r="BH47" s="101">
        <f>IFERROR(up_RadSpec!$H$6*(BI6/$B47),".")</f>
        <v>801120.7745844766</v>
      </c>
      <c r="BI47" s="101">
        <f>IFERROR(up_RadSpec!$H$6*(BJ6/$B47),".")</f>
        <v>801120.7745844766</v>
      </c>
      <c r="BJ47" s="101">
        <f>IFERROR(up_RadSpec!$H$6*(BK6/$B47),".")</f>
        <v>801120.7745844766</v>
      </c>
      <c r="BK47" s="101">
        <f>IFERROR(up_RadSpec!$H$6*(BL6/$B47),".")</f>
        <v>801120.7745844766</v>
      </c>
      <c r="BL47" s="101">
        <f>IFERROR(up_RadSpec!$H$6*(BM6/$B47),".")</f>
        <v>801120.7745844766</v>
      </c>
      <c r="BM47" s="101">
        <f>IFERROR(up_RadSpec!$H$6*(BN6/$B47),".")</f>
        <v>801120.7745844766</v>
      </c>
      <c r="BN47" s="101">
        <f>IFERROR(up_RadSpec!$H$6*(BO6/$B47),".")</f>
        <v>801120.7745844766</v>
      </c>
      <c r="BO47" s="101">
        <f>IFERROR(up_RadSpec!$H$6*(BP6/$B47),".")</f>
        <v>801120.7745844766</v>
      </c>
      <c r="BP47" s="101">
        <f>IFERROR(up_RadSpec!$H$6*(BQ6/$B47),".")</f>
        <v>801120.7745844766</v>
      </c>
      <c r="BQ47" s="101">
        <f>IFERROR(up_RadSpec!$H$6*(BR6/$B47),".")</f>
        <v>801120.7745844766</v>
      </c>
      <c r="BR47" s="101">
        <f>IFERROR(up_RadSpec!$H$6*(BS6/$B47),".")</f>
        <v>801120.7745844766</v>
      </c>
      <c r="BS47" s="101">
        <f>IFERROR(up_RadSpec!$H$6*(BT6/$B47),".")</f>
        <v>801120.7745844766</v>
      </c>
      <c r="BT47" s="101">
        <f>IFERROR(up_RadSpec!$H$6*(BV6/$B47),".")</f>
        <v>801120.7745844766</v>
      </c>
      <c r="BU47" s="101">
        <f>IFERROR(up_RadSpec!$H$6*(BW6/$B47),".")</f>
        <v>801120.7745844766</v>
      </c>
      <c r="BV47" s="101">
        <f>IFERROR(up_RadSpec!$H$6*(BW6/$B47),".")</f>
        <v>801120.7745844766</v>
      </c>
      <c r="BW47" s="101">
        <f>IFERROR(up_RadSpec!$H$6*(BX6/$B47),".")</f>
        <v>801120.7745844766</v>
      </c>
      <c r="BX47" s="101">
        <f>IFERROR(up_RadSpec!$H$6*(BY6/$B47),".")</f>
        <v>801120.7745844766</v>
      </c>
      <c r="BY47" s="101">
        <f>IFERROR(up_RadSpec!$H$6*(BZ6/$B47),".")</f>
        <v>801120.7745844766</v>
      </c>
      <c r="BZ47" s="101">
        <f>IFERROR(up_RadSpec!$H$6*(CA6/$B47),".")</f>
        <v>801120.7745844766</v>
      </c>
      <c r="CA47" s="101">
        <f>IFERROR(up_RadSpec!$H$6*(CB6/$B47),".")</f>
        <v>801120.7745844766</v>
      </c>
      <c r="CB47" s="101">
        <f>IFERROR(up_RadSpec!$H$6*(CA6/$B47),".")</f>
        <v>801120.7745844766</v>
      </c>
    </row>
    <row r="48" spans="1:80" x14ac:dyDescent="0.25">
      <c r="A48" s="95" t="s">
        <v>33</v>
      </c>
      <c r="B48" s="95" t="s">
        <v>1071</v>
      </c>
      <c r="C48" s="96">
        <f t="shared" ref="C48" si="83">IFERROR(1/SUM(C49:C62),0)</f>
        <v>1.8365470139782075E-12</v>
      </c>
      <c r="D48" s="96">
        <f t="shared" ref="D48:AB48" si="84">IFERROR(1/SUM(D49:D62),0)</f>
        <v>7.3461880559128299E-12</v>
      </c>
      <c r="E48" s="96">
        <f t="shared" si="84"/>
        <v>7.3461880559128299E-12</v>
      </c>
      <c r="F48" s="96">
        <f t="shared" si="84"/>
        <v>7.3461880559128299E-12</v>
      </c>
      <c r="G48" s="96">
        <f t="shared" si="84"/>
        <v>7.3461880559128299E-12</v>
      </c>
      <c r="H48" s="96">
        <f t="shared" si="84"/>
        <v>7.3461880559128299E-12</v>
      </c>
      <c r="I48" s="96">
        <f t="shared" si="84"/>
        <v>7.3461880559128299E-12</v>
      </c>
      <c r="J48" s="96">
        <f t="shared" si="84"/>
        <v>7.3461880559128299E-12</v>
      </c>
      <c r="K48" s="96">
        <f t="shared" si="84"/>
        <v>7.3461880559128299E-12</v>
      </c>
      <c r="L48" s="96">
        <f t="shared" si="84"/>
        <v>7.3461880559128299E-12</v>
      </c>
      <c r="M48" s="96">
        <f t="shared" si="84"/>
        <v>7.3461880559128299E-12</v>
      </c>
      <c r="N48" s="96">
        <f t="shared" si="84"/>
        <v>7.3461880559128299E-12</v>
      </c>
      <c r="O48" s="96">
        <f t="shared" si="84"/>
        <v>7.3461880559128299E-12</v>
      </c>
      <c r="P48" s="96">
        <f t="shared" si="84"/>
        <v>7.3461880559128299E-12</v>
      </c>
      <c r="Q48" s="96">
        <f t="shared" si="84"/>
        <v>7.3461880559128299E-12</v>
      </c>
      <c r="R48" s="96">
        <f t="shared" si="84"/>
        <v>7.3461880559128299E-12</v>
      </c>
      <c r="S48" s="96">
        <f t="shared" si="84"/>
        <v>7.3461880559128299E-12</v>
      </c>
      <c r="T48" s="96">
        <f t="shared" si="84"/>
        <v>7.3461880559128299E-12</v>
      </c>
      <c r="U48" s="96">
        <f t="shared" si="84"/>
        <v>7.3461880559128299E-12</v>
      </c>
      <c r="V48" s="96">
        <f t="shared" si="84"/>
        <v>7.3461880559128299E-12</v>
      </c>
      <c r="W48" s="96">
        <f t="shared" si="84"/>
        <v>7.3461880559128299E-12</v>
      </c>
      <c r="X48" s="96">
        <f t="shared" si="84"/>
        <v>7.3461880559128299E-12</v>
      </c>
      <c r="Y48" s="96">
        <f t="shared" si="84"/>
        <v>7.3461880559128299E-12</v>
      </c>
      <c r="Z48" s="96">
        <f t="shared" si="84"/>
        <v>7.3461880559128299E-12</v>
      </c>
      <c r="AA48" s="96">
        <f t="shared" si="84"/>
        <v>7.3461880559128299E-12</v>
      </c>
      <c r="AB48" s="96">
        <f t="shared" si="84"/>
        <v>7.3461880559128299E-12</v>
      </c>
      <c r="AC48" s="96">
        <f t="shared" ref="AC48" si="85">IFERROR(1/SUM(AC49:AC62),0)</f>
        <v>1.8365470139782075E-12</v>
      </c>
      <c r="AD48" s="96">
        <f t="shared" ref="AD48:BB48" si="86">IFERROR(1/SUM(AD49:AD62),0)</f>
        <v>7.3461880559128299E-12</v>
      </c>
      <c r="AE48" s="96">
        <f t="shared" si="86"/>
        <v>7.3461880559128299E-12</v>
      </c>
      <c r="AF48" s="96">
        <f t="shared" si="86"/>
        <v>7.3461880559128299E-12</v>
      </c>
      <c r="AG48" s="96">
        <f t="shared" si="86"/>
        <v>7.3461880559128299E-12</v>
      </c>
      <c r="AH48" s="96">
        <f t="shared" si="86"/>
        <v>7.3461880559128299E-12</v>
      </c>
      <c r="AI48" s="96">
        <f t="shared" si="86"/>
        <v>7.3461880559128299E-12</v>
      </c>
      <c r="AJ48" s="96">
        <f t="shared" si="86"/>
        <v>7.3461880559128299E-12</v>
      </c>
      <c r="AK48" s="96">
        <f t="shared" si="86"/>
        <v>7.3461880559128299E-12</v>
      </c>
      <c r="AL48" s="96">
        <f t="shared" si="86"/>
        <v>7.3461880559128299E-12</v>
      </c>
      <c r="AM48" s="96">
        <f t="shared" si="86"/>
        <v>7.3461880559128299E-12</v>
      </c>
      <c r="AN48" s="96">
        <f t="shared" si="86"/>
        <v>7.3461880559128299E-12</v>
      </c>
      <c r="AO48" s="96">
        <f t="shared" si="86"/>
        <v>7.3461880559128299E-12</v>
      </c>
      <c r="AP48" s="96">
        <f t="shared" si="86"/>
        <v>7.3461880559128299E-12</v>
      </c>
      <c r="AQ48" s="96">
        <f t="shared" si="86"/>
        <v>7.3461880559128299E-12</v>
      </c>
      <c r="AR48" s="96">
        <f t="shared" si="86"/>
        <v>7.3461880559128299E-12</v>
      </c>
      <c r="AS48" s="96">
        <f t="shared" si="86"/>
        <v>7.3461880559128299E-12</v>
      </c>
      <c r="AT48" s="96">
        <f t="shared" si="86"/>
        <v>7.3461880559128299E-12</v>
      </c>
      <c r="AU48" s="96">
        <f t="shared" si="86"/>
        <v>7.3461880559128299E-12</v>
      </c>
      <c r="AV48" s="96">
        <f t="shared" si="86"/>
        <v>7.3461880559128299E-12</v>
      </c>
      <c r="AW48" s="96">
        <f t="shared" si="86"/>
        <v>7.3461880559128299E-12</v>
      </c>
      <c r="AX48" s="96">
        <f t="shared" si="86"/>
        <v>7.3461880559128299E-12</v>
      </c>
      <c r="AY48" s="96">
        <f t="shared" si="86"/>
        <v>7.3461880559128299E-12</v>
      </c>
      <c r="AZ48" s="96">
        <f t="shared" si="86"/>
        <v>7.3461880559128299E-12</v>
      </c>
      <c r="BA48" s="96">
        <f t="shared" si="86"/>
        <v>7.3461880559128299E-12</v>
      </c>
      <c r="BB48" s="96">
        <f t="shared" si="86"/>
        <v>7.3461880559128299E-12</v>
      </c>
      <c r="BC48" s="97">
        <f t="shared" si="26"/>
        <v>4</v>
      </c>
      <c r="BD48" s="97">
        <f>IFERROR(IF(SUM(BD49:BD62)&gt;0.01,1-EXP(-(SUM(BD49:BD62))),SUM(BD49:BD62)),".")</f>
        <v>1</v>
      </c>
      <c r="BE48" s="97">
        <f t="shared" ref="BE48:BZ48" si="87">IFERROR(IF(SUM(BE49:BE62)&gt;0.01,1-EXP(-(SUM(BE49:BE62))),SUM(BE49:BE62)),".")</f>
        <v>1</v>
      </c>
      <c r="BF48" s="97">
        <f t="shared" si="87"/>
        <v>1</v>
      </c>
      <c r="BG48" s="97">
        <f t="shared" si="87"/>
        <v>1</v>
      </c>
      <c r="BH48" s="97">
        <f t="shared" si="87"/>
        <v>1</v>
      </c>
      <c r="BI48" s="97">
        <f t="shared" si="87"/>
        <v>1</v>
      </c>
      <c r="BJ48" s="97">
        <f t="shared" si="87"/>
        <v>1</v>
      </c>
      <c r="BK48" s="97">
        <f t="shared" si="87"/>
        <v>1</v>
      </c>
      <c r="BL48" s="97">
        <f t="shared" si="87"/>
        <v>1</v>
      </c>
      <c r="BM48" s="97">
        <f t="shared" si="87"/>
        <v>1</v>
      </c>
      <c r="BN48" s="97">
        <f t="shared" si="87"/>
        <v>1</v>
      </c>
      <c r="BO48" s="97">
        <f t="shared" si="87"/>
        <v>1</v>
      </c>
      <c r="BP48" s="97">
        <f t="shared" si="87"/>
        <v>1</v>
      </c>
      <c r="BQ48" s="97">
        <f t="shared" si="87"/>
        <v>1</v>
      </c>
      <c r="BR48" s="97">
        <f t="shared" si="87"/>
        <v>1</v>
      </c>
      <c r="BS48" s="97">
        <f t="shared" si="87"/>
        <v>1</v>
      </c>
      <c r="BT48" s="97">
        <f t="shared" si="87"/>
        <v>1</v>
      </c>
      <c r="BU48" s="97">
        <f t="shared" si="87"/>
        <v>1</v>
      </c>
      <c r="BV48" s="97">
        <f t="shared" si="87"/>
        <v>1</v>
      </c>
      <c r="BW48" s="97">
        <f t="shared" si="87"/>
        <v>1</v>
      </c>
      <c r="BX48" s="97">
        <f t="shared" si="87"/>
        <v>1</v>
      </c>
      <c r="BY48" s="97">
        <f t="shared" si="87"/>
        <v>1</v>
      </c>
      <c r="BZ48" s="97">
        <f t="shared" si="87"/>
        <v>1</v>
      </c>
      <c r="CA48" s="97">
        <f>IFERROR(IF(SUM(CA49:CA62)&gt;0.01,1-EXP(-(SUM(CA49:CA62))),SUM(CA49:CA62)),".")</f>
        <v>1</v>
      </c>
      <c r="CB48" s="97">
        <f>IFERROR(IF(SUM(CB49:CB62)&gt;0.01,1-EXP(-(SUM(CB49:CB62))),SUM(CB49:CB62)),".")</f>
        <v>1</v>
      </c>
    </row>
    <row r="49" spans="1:80" x14ac:dyDescent="0.25">
      <c r="A49" s="99" t="s">
        <v>1100</v>
      </c>
      <c r="B49" s="90">
        <v>1</v>
      </c>
      <c r="C49" s="100">
        <f t="shared" ref="C49" si="88">IFERROR($B49/C23,0)</f>
        <v>60499999999.999992</v>
      </c>
      <c r="D49" s="100">
        <f t="shared" ref="D49:AC49" si="89">IFERROR($B49/D23,0)</f>
        <v>15124999999.999998</v>
      </c>
      <c r="E49" s="100">
        <f t="shared" si="89"/>
        <v>15124999999.999998</v>
      </c>
      <c r="F49" s="100">
        <f t="shared" si="89"/>
        <v>15124999999.999998</v>
      </c>
      <c r="G49" s="100">
        <f t="shared" si="89"/>
        <v>15124999999.999998</v>
      </c>
      <c r="H49" s="100">
        <f t="shared" si="89"/>
        <v>15124999999.999998</v>
      </c>
      <c r="I49" s="100">
        <f t="shared" si="89"/>
        <v>15124999999.999998</v>
      </c>
      <c r="J49" s="100">
        <f t="shared" si="89"/>
        <v>15124999999.999998</v>
      </c>
      <c r="K49" s="100">
        <f t="shared" si="89"/>
        <v>15124999999.999998</v>
      </c>
      <c r="L49" s="100">
        <f t="shared" si="89"/>
        <v>15124999999.999998</v>
      </c>
      <c r="M49" s="100">
        <f t="shared" si="89"/>
        <v>15124999999.999998</v>
      </c>
      <c r="N49" s="100">
        <f t="shared" si="89"/>
        <v>15124999999.999998</v>
      </c>
      <c r="O49" s="100">
        <f t="shared" si="89"/>
        <v>15124999999.999998</v>
      </c>
      <c r="P49" s="100">
        <f t="shared" si="89"/>
        <v>15124999999.999998</v>
      </c>
      <c r="Q49" s="100">
        <f t="shared" si="89"/>
        <v>15124999999.999998</v>
      </c>
      <c r="R49" s="100">
        <f t="shared" si="89"/>
        <v>15124999999.999998</v>
      </c>
      <c r="S49" s="100">
        <f t="shared" si="89"/>
        <v>15124999999.999998</v>
      </c>
      <c r="T49" s="100">
        <f t="shared" si="89"/>
        <v>15124999999.999998</v>
      </c>
      <c r="U49" s="100">
        <f t="shared" si="89"/>
        <v>15124999999.999998</v>
      </c>
      <c r="V49" s="100">
        <f t="shared" si="89"/>
        <v>15124999999.999998</v>
      </c>
      <c r="W49" s="100">
        <f t="shared" si="89"/>
        <v>15124999999.999998</v>
      </c>
      <c r="X49" s="100">
        <f t="shared" si="89"/>
        <v>15124999999.999998</v>
      </c>
      <c r="Y49" s="100">
        <f t="shared" si="89"/>
        <v>15124999999.999998</v>
      </c>
      <c r="Z49" s="100">
        <f t="shared" si="89"/>
        <v>15124999999.999998</v>
      </c>
      <c r="AA49" s="100">
        <f t="shared" si="89"/>
        <v>15124999999.999998</v>
      </c>
      <c r="AB49" s="100">
        <f t="shared" si="89"/>
        <v>15124999999.999998</v>
      </c>
      <c r="AC49" s="100">
        <f t="shared" si="89"/>
        <v>60499999999.999992</v>
      </c>
      <c r="AD49" s="100">
        <f t="shared" ref="AD49:BB49" si="90">IFERROR($B49/AD23,0)</f>
        <v>15124999999.999998</v>
      </c>
      <c r="AE49" s="100">
        <f t="shared" si="90"/>
        <v>15124999999.999998</v>
      </c>
      <c r="AF49" s="100">
        <f t="shared" si="90"/>
        <v>15124999999.999998</v>
      </c>
      <c r="AG49" s="100">
        <f t="shared" si="90"/>
        <v>15124999999.999998</v>
      </c>
      <c r="AH49" s="100">
        <f t="shared" si="90"/>
        <v>15124999999.999998</v>
      </c>
      <c r="AI49" s="100">
        <f t="shared" si="90"/>
        <v>15124999999.999998</v>
      </c>
      <c r="AJ49" s="100">
        <f t="shared" si="90"/>
        <v>15124999999.999998</v>
      </c>
      <c r="AK49" s="100">
        <f t="shared" si="90"/>
        <v>15124999999.999998</v>
      </c>
      <c r="AL49" s="100">
        <f t="shared" si="90"/>
        <v>15124999999.999998</v>
      </c>
      <c r="AM49" s="100">
        <f t="shared" si="90"/>
        <v>15124999999.999998</v>
      </c>
      <c r="AN49" s="100">
        <f t="shared" si="90"/>
        <v>15124999999.999998</v>
      </c>
      <c r="AO49" s="100">
        <f t="shared" si="90"/>
        <v>15124999999.999998</v>
      </c>
      <c r="AP49" s="100">
        <f t="shared" si="90"/>
        <v>15124999999.999998</v>
      </c>
      <c r="AQ49" s="100">
        <f t="shared" si="90"/>
        <v>15124999999.999998</v>
      </c>
      <c r="AR49" s="100">
        <f t="shared" si="90"/>
        <v>15124999999.999998</v>
      </c>
      <c r="AS49" s="100">
        <f t="shared" si="90"/>
        <v>15124999999.999998</v>
      </c>
      <c r="AT49" s="100">
        <f t="shared" si="90"/>
        <v>15124999999.999998</v>
      </c>
      <c r="AU49" s="100">
        <f t="shared" si="90"/>
        <v>15124999999.999998</v>
      </c>
      <c r="AV49" s="100">
        <f t="shared" si="90"/>
        <v>15124999999.999998</v>
      </c>
      <c r="AW49" s="100">
        <f t="shared" si="90"/>
        <v>15124999999.999998</v>
      </c>
      <c r="AX49" s="100">
        <f t="shared" si="90"/>
        <v>15124999999.999998</v>
      </c>
      <c r="AY49" s="100">
        <f t="shared" si="90"/>
        <v>15124999999.999998</v>
      </c>
      <c r="AZ49" s="100">
        <f t="shared" si="90"/>
        <v>15124999999.999998</v>
      </c>
      <c r="BA49" s="100">
        <f t="shared" si="90"/>
        <v>15124999999.999998</v>
      </c>
      <c r="BB49" s="100">
        <f t="shared" si="90"/>
        <v>15124999999.999998</v>
      </c>
      <c r="BC49" s="101">
        <f t="shared" si="26"/>
        <v>3025000</v>
      </c>
      <c r="BD49" s="101">
        <f>IFERROR(up_RadSpec!$H$23*(BD23/$B49),".")</f>
        <v>756250</v>
      </c>
      <c r="BE49" s="101">
        <f>IFERROR(up_RadSpec!$H$23*(BE23/$B49),".")</f>
        <v>756250</v>
      </c>
      <c r="BF49" s="101">
        <f>IFERROR(up_RadSpec!$H$23*(BF23/$B49),".")</f>
        <v>756250</v>
      </c>
      <c r="BG49" s="101">
        <f>IFERROR(up_RadSpec!$H$23*(BG23/$B49),".")</f>
        <v>756250</v>
      </c>
      <c r="BH49" s="101">
        <f>IFERROR(up_RadSpec!$H$23*(BH23/$B49),".")</f>
        <v>756250</v>
      </c>
      <c r="BI49" s="101">
        <f>IFERROR(up_RadSpec!$H$23*(BI23/$B49),".")</f>
        <v>756250</v>
      </c>
      <c r="BJ49" s="101">
        <f>IFERROR(up_RadSpec!$H$23*(BJ23/$B49),".")</f>
        <v>756250</v>
      </c>
      <c r="BK49" s="101">
        <f>IFERROR(up_RadSpec!$H$23*(BK23/$B49),".")</f>
        <v>756250</v>
      </c>
      <c r="BL49" s="101">
        <f>IFERROR(up_RadSpec!$H$23*(BL23/$B49),".")</f>
        <v>756250</v>
      </c>
      <c r="BM49" s="101">
        <f>IFERROR(up_RadSpec!$H$23*(BM23/$B49),".")</f>
        <v>756250</v>
      </c>
      <c r="BN49" s="101">
        <f>IFERROR(up_RadSpec!$H$23*(BN23/$B49),".")</f>
        <v>756250</v>
      </c>
      <c r="BO49" s="101">
        <f>IFERROR(up_RadSpec!$H$23*(BO23/$B49),".")</f>
        <v>756250</v>
      </c>
      <c r="BP49" s="101">
        <f>IFERROR(up_RadSpec!$H$23*(BP23/$B49),".")</f>
        <v>756250</v>
      </c>
      <c r="BQ49" s="101">
        <f>IFERROR(up_RadSpec!$H$23*(BQ23/$B49),".")</f>
        <v>756250</v>
      </c>
      <c r="BR49" s="101">
        <f>IFERROR(up_RadSpec!$H$23*(BR23/$B49),".")</f>
        <v>756250</v>
      </c>
      <c r="BS49" s="101">
        <f>IFERROR(up_RadSpec!$H$23*(BS23/$B49),".")</f>
        <v>756250</v>
      </c>
      <c r="BT49" s="101">
        <f>IFERROR(up_RadSpec!$H$23*(BT23/$B49),".")</f>
        <v>756250</v>
      </c>
      <c r="BU49" s="101">
        <f>IFERROR(up_RadSpec!$H$23*(BU23/$B49),".")</f>
        <v>756250</v>
      </c>
      <c r="BV49" s="101">
        <f>IFERROR(up_RadSpec!$H$23*(BV23/$B49),".")</f>
        <v>756250</v>
      </c>
      <c r="BW49" s="101">
        <f>IFERROR(up_RadSpec!$H$23*(BW23/$B49),".")</f>
        <v>756250</v>
      </c>
      <c r="BX49" s="101">
        <f>IFERROR(up_RadSpec!$H$23*(BX23/$B49),".")</f>
        <v>756250</v>
      </c>
      <c r="BY49" s="101">
        <f>IFERROR(up_RadSpec!$H$23*(BY23/$B49),".")</f>
        <v>756250</v>
      </c>
      <c r="BZ49" s="101">
        <f>IFERROR(up_RadSpec!$H$23*(BZ23/$B49),".")</f>
        <v>756250</v>
      </c>
      <c r="CA49" s="101">
        <f>IFERROR(up_RadSpec!$H$23*(CA23/$B49),".")</f>
        <v>756250</v>
      </c>
      <c r="CB49" s="101">
        <f>IFERROR(up_RadSpec!$H$23*(CB23/$B49),".")</f>
        <v>756250</v>
      </c>
    </row>
    <row r="50" spans="1:80" x14ac:dyDescent="0.25">
      <c r="A50" s="99" t="s">
        <v>1087</v>
      </c>
      <c r="B50" s="90">
        <v>1</v>
      </c>
      <c r="C50" s="100">
        <f t="shared" ref="C50" si="91">IFERROR($B50/C25,0)</f>
        <v>60499999999.999992</v>
      </c>
      <c r="D50" s="100">
        <f t="shared" ref="D50:AC50" si="92">IFERROR($B50/D25,0)</f>
        <v>15124999999.999998</v>
      </c>
      <c r="E50" s="100">
        <f t="shared" si="92"/>
        <v>15124999999.999998</v>
      </c>
      <c r="F50" s="100">
        <f t="shared" si="92"/>
        <v>15124999999.999998</v>
      </c>
      <c r="G50" s="100">
        <f t="shared" si="92"/>
        <v>15124999999.999998</v>
      </c>
      <c r="H50" s="100">
        <f t="shared" si="92"/>
        <v>15124999999.999998</v>
      </c>
      <c r="I50" s="100">
        <f t="shared" si="92"/>
        <v>15124999999.999998</v>
      </c>
      <c r="J50" s="100">
        <f t="shared" si="92"/>
        <v>15124999999.999998</v>
      </c>
      <c r="K50" s="100">
        <f t="shared" si="92"/>
        <v>15124999999.999998</v>
      </c>
      <c r="L50" s="100">
        <f t="shared" si="92"/>
        <v>15124999999.999998</v>
      </c>
      <c r="M50" s="100">
        <f t="shared" si="92"/>
        <v>15124999999.999998</v>
      </c>
      <c r="N50" s="100">
        <f t="shared" si="92"/>
        <v>15124999999.999998</v>
      </c>
      <c r="O50" s="100">
        <f t="shared" si="92"/>
        <v>15124999999.999998</v>
      </c>
      <c r="P50" s="100">
        <f t="shared" si="92"/>
        <v>15124999999.999998</v>
      </c>
      <c r="Q50" s="100">
        <f t="shared" si="92"/>
        <v>15124999999.999998</v>
      </c>
      <c r="R50" s="100">
        <f t="shared" si="92"/>
        <v>15124999999.999998</v>
      </c>
      <c r="S50" s="100">
        <f t="shared" si="92"/>
        <v>15124999999.999998</v>
      </c>
      <c r="T50" s="100">
        <f t="shared" si="92"/>
        <v>15124999999.999998</v>
      </c>
      <c r="U50" s="100">
        <f t="shared" si="92"/>
        <v>15124999999.999998</v>
      </c>
      <c r="V50" s="100">
        <f t="shared" si="92"/>
        <v>15124999999.999998</v>
      </c>
      <c r="W50" s="100">
        <f t="shared" si="92"/>
        <v>15124999999.999998</v>
      </c>
      <c r="X50" s="100">
        <f t="shared" si="92"/>
        <v>15124999999.999998</v>
      </c>
      <c r="Y50" s="100">
        <f t="shared" si="92"/>
        <v>15124999999.999998</v>
      </c>
      <c r="Z50" s="100">
        <f t="shared" si="92"/>
        <v>15124999999.999998</v>
      </c>
      <c r="AA50" s="100">
        <f t="shared" si="92"/>
        <v>15124999999.999998</v>
      </c>
      <c r="AB50" s="100">
        <f t="shared" si="92"/>
        <v>15124999999.999998</v>
      </c>
      <c r="AC50" s="100">
        <f t="shared" si="92"/>
        <v>60499999999.999992</v>
      </c>
      <c r="AD50" s="100">
        <f t="shared" ref="AD50:BB50" si="93">IFERROR($B50/AD25,0)</f>
        <v>15124999999.999998</v>
      </c>
      <c r="AE50" s="100">
        <f t="shared" si="93"/>
        <v>15124999999.999998</v>
      </c>
      <c r="AF50" s="100">
        <f t="shared" si="93"/>
        <v>15124999999.999998</v>
      </c>
      <c r="AG50" s="100">
        <f t="shared" si="93"/>
        <v>15124999999.999998</v>
      </c>
      <c r="AH50" s="100">
        <f t="shared" si="93"/>
        <v>15124999999.999998</v>
      </c>
      <c r="AI50" s="100">
        <f t="shared" si="93"/>
        <v>15124999999.999998</v>
      </c>
      <c r="AJ50" s="100">
        <f t="shared" si="93"/>
        <v>15124999999.999998</v>
      </c>
      <c r="AK50" s="100">
        <f t="shared" si="93"/>
        <v>15124999999.999998</v>
      </c>
      <c r="AL50" s="100">
        <f t="shared" si="93"/>
        <v>15124999999.999998</v>
      </c>
      <c r="AM50" s="100">
        <f t="shared" si="93"/>
        <v>15124999999.999998</v>
      </c>
      <c r="AN50" s="100">
        <f t="shared" si="93"/>
        <v>15124999999.999998</v>
      </c>
      <c r="AO50" s="100">
        <f t="shared" si="93"/>
        <v>15124999999.999998</v>
      </c>
      <c r="AP50" s="100">
        <f t="shared" si="93"/>
        <v>15124999999.999998</v>
      </c>
      <c r="AQ50" s="100">
        <f t="shared" si="93"/>
        <v>15124999999.999998</v>
      </c>
      <c r="AR50" s="100">
        <f t="shared" si="93"/>
        <v>15124999999.999998</v>
      </c>
      <c r="AS50" s="100">
        <f t="shared" si="93"/>
        <v>15124999999.999998</v>
      </c>
      <c r="AT50" s="100">
        <f t="shared" si="93"/>
        <v>15124999999.999998</v>
      </c>
      <c r="AU50" s="100">
        <f t="shared" si="93"/>
        <v>15124999999.999998</v>
      </c>
      <c r="AV50" s="100">
        <f t="shared" si="93"/>
        <v>15124999999.999998</v>
      </c>
      <c r="AW50" s="100">
        <f t="shared" si="93"/>
        <v>15124999999.999998</v>
      </c>
      <c r="AX50" s="100">
        <f t="shared" si="93"/>
        <v>15124999999.999998</v>
      </c>
      <c r="AY50" s="100">
        <f t="shared" si="93"/>
        <v>15124999999.999998</v>
      </c>
      <c r="AZ50" s="100">
        <f t="shared" si="93"/>
        <v>15124999999.999998</v>
      </c>
      <c r="BA50" s="100">
        <f t="shared" si="93"/>
        <v>15124999999.999998</v>
      </c>
      <c r="BB50" s="100">
        <f t="shared" si="93"/>
        <v>15124999999.999998</v>
      </c>
      <c r="BC50" s="101">
        <f t="shared" si="26"/>
        <v>3025000</v>
      </c>
      <c r="BD50" s="101">
        <f>IFERROR(up_RadSpec!$H$25*(BD25/$B50),".")</f>
        <v>756250</v>
      </c>
      <c r="BE50" s="101">
        <f>IFERROR(up_RadSpec!$H$25*(BE25/$B50),".")</f>
        <v>756250</v>
      </c>
      <c r="BF50" s="101">
        <f>IFERROR(up_RadSpec!$H$25*(BF25/$B50),".")</f>
        <v>756250</v>
      </c>
      <c r="BG50" s="101">
        <f>IFERROR(up_RadSpec!$H$25*(BG25/$B50),".")</f>
        <v>756250</v>
      </c>
      <c r="BH50" s="101">
        <f>IFERROR(up_RadSpec!$H$25*(BH25/$B50),".")</f>
        <v>756250</v>
      </c>
      <c r="BI50" s="101">
        <f>IFERROR(up_RadSpec!$H$25*(BI25/$B50),".")</f>
        <v>756250</v>
      </c>
      <c r="BJ50" s="101">
        <f>IFERROR(up_RadSpec!$H$25*(BJ25/$B50),".")</f>
        <v>756250</v>
      </c>
      <c r="BK50" s="101">
        <f>IFERROR(up_RadSpec!$H$25*(BK25/$B50),".")</f>
        <v>756250</v>
      </c>
      <c r="BL50" s="101">
        <f>IFERROR(up_RadSpec!$H$25*(BL25/$B50),".")</f>
        <v>756250</v>
      </c>
      <c r="BM50" s="101">
        <f>IFERROR(up_RadSpec!$H$25*(BM25/$B50),".")</f>
        <v>756250</v>
      </c>
      <c r="BN50" s="101">
        <f>IFERROR(up_RadSpec!$H$25*(BN25/$B50),".")</f>
        <v>756250</v>
      </c>
      <c r="BO50" s="101">
        <f>IFERROR(up_RadSpec!$H$25*(BO25/$B50),".")</f>
        <v>756250</v>
      </c>
      <c r="BP50" s="101">
        <f>IFERROR(up_RadSpec!$H$25*(BP25/$B50),".")</f>
        <v>756250</v>
      </c>
      <c r="BQ50" s="101">
        <f>IFERROR(up_RadSpec!$H$25*(BQ25/$B50),".")</f>
        <v>756250</v>
      </c>
      <c r="BR50" s="101">
        <f>IFERROR(up_RadSpec!$H$25*(BR25/$B50),".")</f>
        <v>756250</v>
      </c>
      <c r="BS50" s="101">
        <f>IFERROR(up_RadSpec!$H$25*(BS25/$B50),".")</f>
        <v>756250</v>
      </c>
      <c r="BT50" s="101">
        <f>IFERROR(up_RadSpec!$H$25*(BT25/$B50),".")</f>
        <v>756250</v>
      </c>
      <c r="BU50" s="101">
        <f>IFERROR(up_RadSpec!$H$25*(BU25/$B50),".")</f>
        <v>756250</v>
      </c>
      <c r="BV50" s="101">
        <f>IFERROR(up_RadSpec!$H$25*(BV25/$B50),".")</f>
        <v>756250</v>
      </c>
      <c r="BW50" s="101">
        <f>IFERROR(up_RadSpec!$H$25*(BW25/$B50),".")</f>
        <v>756250</v>
      </c>
      <c r="BX50" s="101">
        <f>IFERROR(up_RadSpec!$H$25*(BX25/$B50),".")</f>
        <v>756250</v>
      </c>
      <c r="BY50" s="101">
        <f>IFERROR(up_RadSpec!$H$25*(BY25/$B50),".")</f>
        <v>756250</v>
      </c>
      <c r="BZ50" s="101">
        <f>IFERROR(up_RadSpec!$H$25*(BZ25/$B50),".")</f>
        <v>756250</v>
      </c>
      <c r="CA50" s="101">
        <f>IFERROR(up_RadSpec!$H$25*(CA25/$B50),".")</f>
        <v>756250</v>
      </c>
      <c r="CB50" s="101">
        <f>IFERROR(up_RadSpec!$H$25*(CB25/$B50),".")</f>
        <v>756250</v>
      </c>
    </row>
    <row r="51" spans="1:80" x14ac:dyDescent="0.25">
      <c r="A51" s="99" t="s">
        <v>1073</v>
      </c>
      <c r="B51" s="90">
        <v>1</v>
      </c>
      <c r="C51" s="100">
        <f t="shared" ref="C51" si="94">IFERROR($B51/C21,0)</f>
        <v>60499999999.999992</v>
      </c>
      <c r="D51" s="100">
        <f t="shared" ref="D51:AC51" si="95">IFERROR($B51/D21,0)</f>
        <v>15124999999.999998</v>
      </c>
      <c r="E51" s="100">
        <f t="shared" si="95"/>
        <v>15124999999.999998</v>
      </c>
      <c r="F51" s="100">
        <f t="shared" si="95"/>
        <v>15124999999.999998</v>
      </c>
      <c r="G51" s="100">
        <f t="shared" si="95"/>
        <v>15124999999.999998</v>
      </c>
      <c r="H51" s="100">
        <f t="shared" si="95"/>
        <v>15124999999.999998</v>
      </c>
      <c r="I51" s="100">
        <f t="shared" si="95"/>
        <v>15124999999.999998</v>
      </c>
      <c r="J51" s="100">
        <f t="shared" si="95"/>
        <v>15124999999.999998</v>
      </c>
      <c r="K51" s="100">
        <f t="shared" si="95"/>
        <v>15124999999.999998</v>
      </c>
      <c r="L51" s="100">
        <f t="shared" si="95"/>
        <v>15124999999.999998</v>
      </c>
      <c r="M51" s="100">
        <f t="shared" si="95"/>
        <v>15124999999.999998</v>
      </c>
      <c r="N51" s="100">
        <f t="shared" si="95"/>
        <v>15124999999.999998</v>
      </c>
      <c r="O51" s="100">
        <f t="shared" si="95"/>
        <v>15124999999.999998</v>
      </c>
      <c r="P51" s="100">
        <f t="shared" si="95"/>
        <v>15124999999.999998</v>
      </c>
      <c r="Q51" s="100">
        <f t="shared" si="95"/>
        <v>15124999999.999998</v>
      </c>
      <c r="R51" s="100">
        <f t="shared" si="95"/>
        <v>15124999999.999998</v>
      </c>
      <c r="S51" s="100">
        <f t="shared" si="95"/>
        <v>15124999999.999998</v>
      </c>
      <c r="T51" s="100">
        <f t="shared" si="95"/>
        <v>15124999999.999998</v>
      </c>
      <c r="U51" s="100">
        <f t="shared" si="95"/>
        <v>15124999999.999998</v>
      </c>
      <c r="V51" s="100">
        <f t="shared" si="95"/>
        <v>15124999999.999998</v>
      </c>
      <c r="W51" s="100">
        <f t="shared" si="95"/>
        <v>15124999999.999998</v>
      </c>
      <c r="X51" s="100">
        <f t="shared" si="95"/>
        <v>15124999999.999998</v>
      </c>
      <c r="Y51" s="100">
        <f t="shared" si="95"/>
        <v>15124999999.999998</v>
      </c>
      <c r="Z51" s="100">
        <f t="shared" si="95"/>
        <v>15124999999.999998</v>
      </c>
      <c r="AA51" s="100">
        <f t="shared" si="95"/>
        <v>15124999999.999998</v>
      </c>
      <c r="AB51" s="100">
        <f t="shared" si="95"/>
        <v>15124999999.999998</v>
      </c>
      <c r="AC51" s="100">
        <f t="shared" si="95"/>
        <v>60499999999.999992</v>
      </c>
      <c r="AD51" s="100">
        <f t="shared" ref="AD51:BB51" si="96">IFERROR($B51/AD21,0)</f>
        <v>15124999999.999998</v>
      </c>
      <c r="AE51" s="100">
        <f t="shared" si="96"/>
        <v>15124999999.999998</v>
      </c>
      <c r="AF51" s="100">
        <f t="shared" si="96"/>
        <v>15124999999.999998</v>
      </c>
      <c r="AG51" s="100">
        <f t="shared" si="96"/>
        <v>15124999999.999998</v>
      </c>
      <c r="AH51" s="100">
        <f t="shared" si="96"/>
        <v>15124999999.999998</v>
      </c>
      <c r="AI51" s="100">
        <f t="shared" si="96"/>
        <v>15124999999.999998</v>
      </c>
      <c r="AJ51" s="100">
        <f t="shared" si="96"/>
        <v>15124999999.999998</v>
      </c>
      <c r="AK51" s="100">
        <f t="shared" si="96"/>
        <v>15124999999.999998</v>
      </c>
      <c r="AL51" s="100">
        <f t="shared" si="96"/>
        <v>15124999999.999998</v>
      </c>
      <c r="AM51" s="100">
        <f t="shared" si="96"/>
        <v>15124999999.999998</v>
      </c>
      <c r="AN51" s="100">
        <f t="shared" si="96"/>
        <v>15124999999.999998</v>
      </c>
      <c r="AO51" s="100">
        <f t="shared" si="96"/>
        <v>15124999999.999998</v>
      </c>
      <c r="AP51" s="100">
        <f t="shared" si="96"/>
        <v>15124999999.999998</v>
      </c>
      <c r="AQ51" s="100">
        <f t="shared" si="96"/>
        <v>15124999999.999998</v>
      </c>
      <c r="AR51" s="100">
        <f t="shared" si="96"/>
        <v>15124999999.999998</v>
      </c>
      <c r="AS51" s="100">
        <f t="shared" si="96"/>
        <v>15124999999.999998</v>
      </c>
      <c r="AT51" s="100">
        <f t="shared" si="96"/>
        <v>15124999999.999998</v>
      </c>
      <c r="AU51" s="100">
        <f t="shared" si="96"/>
        <v>15124999999.999998</v>
      </c>
      <c r="AV51" s="100">
        <f t="shared" si="96"/>
        <v>15124999999.999998</v>
      </c>
      <c r="AW51" s="100">
        <f t="shared" si="96"/>
        <v>15124999999.999998</v>
      </c>
      <c r="AX51" s="100">
        <f t="shared" si="96"/>
        <v>15124999999.999998</v>
      </c>
      <c r="AY51" s="100">
        <f t="shared" si="96"/>
        <v>15124999999.999998</v>
      </c>
      <c r="AZ51" s="100">
        <f t="shared" si="96"/>
        <v>15124999999.999998</v>
      </c>
      <c r="BA51" s="100">
        <f t="shared" si="96"/>
        <v>15124999999.999998</v>
      </c>
      <c r="BB51" s="100">
        <f t="shared" si="96"/>
        <v>15124999999.999998</v>
      </c>
      <c r="BC51" s="101">
        <f t="shared" si="26"/>
        <v>3025000</v>
      </c>
      <c r="BD51" s="101">
        <f>IFERROR(up_RadSpec!$H$21*(BD21/$B51),".")</f>
        <v>756250</v>
      </c>
      <c r="BE51" s="101">
        <f>IFERROR(up_RadSpec!$H$21*(BE21/$B51),".")</f>
        <v>756250</v>
      </c>
      <c r="BF51" s="101">
        <f>IFERROR(up_RadSpec!$H$21*(BF21/$B51),".")</f>
        <v>756250</v>
      </c>
      <c r="BG51" s="101">
        <f>IFERROR(up_RadSpec!$H$21*(BG21/$B51),".")</f>
        <v>756250</v>
      </c>
      <c r="BH51" s="101">
        <f>IFERROR(up_RadSpec!$H$21*(BH21/$B51),".")</f>
        <v>756250</v>
      </c>
      <c r="BI51" s="101">
        <f>IFERROR(up_RadSpec!$H$21*(BI21/$B51),".")</f>
        <v>756250</v>
      </c>
      <c r="BJ51" s="101">
        <f>IFERROR(up_RadSpec!$H$21*(BJ21/$B51),".")</f>
        <v>756250</v>
      </c>
      <c r="BK51" s="101">
        <f>IFERROR(up_RadSpec!$H$21*(BK21/$B51),".")</f>
        <v>756250</v>
      </c>
      <c r="BL51" s="101">
        <f>IFERROR(up_RadSpec!$H$21*(BL21/$B51),".")</f>
        <v>756250</v>
      </c>
      <c r="BM51" s="101">
        <f>IFERROR(up_RadSpec!$H$21*(BM21/$B51),".")</f>
        <v>756250</v>
      </c>
      <c r="BN51" s="101">
        <f>IFERROR(up_RadSpec!$H$21*(BN21/$B51),".")</f>
        <v>756250</v>
      </c>
      <c r="BO51" s="101">
        <f>IFERROR(up_RadSpec!$H$21*(BO21/$B51),".")</f>
        <v>756250</v>
      </c>
      <c r="BP51" s="101">
        <f>IFERROR(up_RadSpec!$H$21*(BP21/$B51),".")</f>
        <v>756250</v>
      </c>
      <c r="BQ51" s="101">
        <f>IFERROR(up_RadSpec!$H$21*(BQ21/$B51),".")</f>
        <v>756250</v>
      </c>
      <c r="BR51" s="101">
        <f>IFERROR(up_RadSpec!$H$21*(BR21/$B51),".")</f>
        <v>756250</v>
      </c>
      <c r="BS51" s="101">
        <f>IFERROR(up_RadSpec!$H$21*(BS21/$B51),".")</f>
        <v>756250</v>
      </c>
      <c r="BT51" s="101">
        <f>IFERROR(up_RadSpec!$H$21*(BT21/$B51),".")</f>
        <v>756250</v>
      </c>
      <c r="BU51" s="101">
        <f>IFERROR(up_RadSpec!$H$21*(BU21/$B51),".")</f>
        <v>756250</v>
      </c>
      <c r="BV51" s="101">
        <f>IFERROR(up_RadSpec!$H$21*(BV21/$B51),".")</f>
        <v>756250</v>
      </c>
      <c r="BW51" s="101">
        <f>IFERROR(up_RadSpec!$H$21*(BW21/$B51),".")</f>
        <v>756250</v>
      </c>
      <c r="BX51" s="101">
        <f>IFERROR(up_RadSpec!$H$21*(BX21/$B51),".")</f>
        <v>756250</v>
      </c>
      <c r="BY51" s="101">
        <f>IFERROR(up_RadSpec!$H$21*(BY21/$B51),".")</f>
        <v>756250</v>
      </c>
      <c r="BZ51" s="101">
        <f>IFERROR(up_RadSpec!$H$21*(BZ21/$B51),".")</f>
        <v>756250</v>
      </c>
      <c r="CA51" s="101">
        <f>IFERROR(up_RadSpec!$H$21*(CA21/$B51),".")</f>
        <v>756250</v>
      </c>
      <c r="CB51" s="101">
        <f>IFERROR(up_RadSpec!$H$21*(CB21/$B51),".")</f>
        <v>756250</v>
      </c>
    </row>
    <row r="52" spans="1:80" x14ac:dyDescent="0.25">
      <c r="A52" s="99" t="s">
        <v>1074</v>
      </c>
      <c r="B52" s="103">
        <v>0.99980000000000002</v>
      </c>
      <c r="C52" s="100">
        <f t="shared" ref="C52" si="97">IFERROR($B52/C17,0)</f>
        <v>60487900000</v>
      </c>
      <c r="D52" s="100">
        <f t="shared" ref="D52:AC52" si="98">IFERROR($B52/D17,0)</f>
        <v>15121975000</v>
      </c>
      <c r="E52" s="100">
        <f t="shared" si="98"/>
        <v>15121975000</v>
      </c>
      <c r="F52" s="100">
        <f t="shared" si="98"/>
        <v>15121975000</v>
      </c>
      <c r="G52" s="100">
        <f t="shared" si="98"/>
        <v>15121975000</v>
      </c>
      <c r="H52" s="100">
        <f t="shared" si="98"/>
        <v>15121975000</v>
      </c>
      <c r="I52" s="100">
        <f t="shared" si="98"/>
        <v>15121975000</v>
      </c>
      <c r="J52" s="100">
        <f t="shared" si="98"/>
        <v>15121975000</v>
      </c>
      <c r="K52" s="100">
        <f t="shared" si="98"/>
        <v>15121975000</v>
      </c>
      <c r="L52" s="100">
        <f t="shared" si="98"/>
        <v>15121975000</v>
      </c>
      <c r="M52" s="100">
        <f t="shared" si="98"/>
        <v>15121975000</v>
      </c>
      <c r="N52" s="100">
        <f t="shared" si="98"/>
        <v>15121975000</v>
      </c>
      <c r="O52" s="100">
        <f t="shared" si="98"/>
        <v>15121975000</v>
      </c>
      <c r="P52" s="100">
        <f t="shared" si="98"/>
        <v>15121975000</v>
      </c>
      <c r="Q52" s="100">
        <f t="shared" si="98"/>
        <v>15121975000</v>
      </c>
      <c r="R52" s="100">
        <f t="shared" si="98"/>
        <v>15121975000</v>
      </c>
      <c r="S52" s="100">
        <f t="shared" si="98"/>
        <v>15121975000</v>
      </c>
      <c r="T52" s="100">
        <f t="shared" si="98"/>
        <v>15121975000</v>
      </c>
      <c r="U52" s="100">
        <f t="shared" si="98"/>
        <v>15121975000</v>
      </c>
      <c r="V52" s="100">
        <f t="shared" si="98"/>
        <v>15121975000</v>
      </c>
      <c r="W52" s="100">
        <f t="shared" si="98"/>
        <v>15121975000</v>
      </c>
      <c r="X52" s="100">
        <f t="shared" si="98"/>
        <v>15121975000</v>
      </c>
      <c r="Y52" s="100">
        <f t="shared" si="98"/>
        <v>15121975000</v>
      </c>
      <c r="Z52" s="100">
        <f t="shared" si="98"/>
        <v>15121975000</v>
      </c>
      <c r="AA52" s="100">
        <f t="shared" si="98"/>
        <v>15121975000</v>
      </c>
      <c r="AB52" s="100">
        <f t="shared" si="98"/>
        <v>15121975000</v>
      </c>
      <c r="AC52" s="100">
        <f t="shared" si="98"/>
        <v>60487900000</v>
      </c>
      <c r="AD52" s="100">
        <f t="shared" ref="AD52:BB52" si="99">IFERROR($B52/AD17,0)</f>
        <v>15121975000</v>
      </c>
      <c r="AE52" s="100">
        <f t="shared" si="99"/>
        <v>15121975000</v>
      </c>
      <c r="AF52" s="100">
        <f t="shared" si="99"/>
        <v>15121975000</v>
      </c>
      <c r="AG52" s="100">
        <f t="shared" si="99"/>
        <v>15121975000</v>
      </c>
      <c r="AH52" s="100">
        <f t="shared" si="99"/>
        <v>15121975000</v>
      </c>
      <c r="AI52" s="100">
        <f t="shared" si="99"/>
        <v>15121975000</v>
      </c>
      <c r="AJ52" s="100">
        <f t="shared" si="99"/>
        <v>15121975000</v>
      </c>
      <c r="AK52" s="100">
        <f t="shared" si="99"/>
        <v>15121975000</v>
      </c>
      <c r="AL52" s="100">
        <f t="shared" si="99"/>
        <v>15121975000</v>
      </c>
      <c r="AM52" s="100">
        <f t="shared" si="99"/>
        <v>15121975000</v>
      </c>
      <c r="AN52" s="100">
        <f t="shared" si="99"/>
        <v>15121975000</v>
      </c>
      <c r="AO52" s="100">
        <f t="shared" si="99"/>
        <v>15121975000</v>
      </c>
      <c r="AP52" s="100">
        <f t="shared" si="99"/>
        <v>15121975000</v>
      </c>
      <c r="AQ52" s="100">
        <f t="shared" si="99"/>
        <v>15121975000</v>
      </c>
      <c r="AR52" s="100">
        <f t="shared" si="99"/>
        <v>15121975000</v>
      </c>
      <c r="AS52" s="100">
        <f t="shared" si="99"/>
        <v>15121975000</v>
      </c>
      <c r="AT52" s="100">
        <f t="shared" si="99"/>
        <v>15121975000</v>
      </c>
      <c r="AU52" s="100">
        <f t="shared" si="99"/>
        <v>15121975000</v>
      </c>
      <c r="AV52" s="100">
        <f t="shared" si="99"/>
        <v>15121975000</v>
      </c>
      <c r="AW52" s="100">
        <f t="shared" si="99"/>
        <v>15121975000</v>
      </c>
      <c r="AX52" s="100">
        <f t="shared" si="99"/>
        <v>15121975000</v>
      </c>
      <c r="AY52" s="100">
        <f t="shared" si="99"/>
        <v>15121975000</v>
      </c>
      <c r="AZ52" s="100">
        <f t="shared" si="99"/>
        <v>15121975000</v>
      </c>
      <c r="BA52" s="100">
        <f t="shared" si="99"/>
        <v>15121975000</v>
      </c>
      <c r="BB52" s="100">
        <f t="shared" si="99"/>
        <v>15121975000</v>
      </c>
      <c r="BC52" s="101">
        <f t="shared" si="26"/>
        <v>3025605.1210242049</v>
      </c>
      <c r="BD52" s="101">
        <f>IFERROR(up_RadSpec!$H$17*(BD17/$B52),".")</f>
        <v>756401.28025605122</v>
      </c>
      <c r="BE52" s="101">
        <f>IFERROR(up_RadSpec!$H$17*(BE17/$B52),".")</f>
        <v>756401.28025605122</v>
      </c>
      <c r="BF52" s="101">
        <f>IFERROR(up_RadSpec!$H$17*(BF17/$B52),".")</f>
        <v>756401.28025605122</v>
      </c>
      <c r="BG52" s="101">
        <f>IFERROR(up_RadSpec!$H$17*(BG17/$B52),".")</f>
        <v>756401.28025605122</v>
      </c>
      <c r="BH52" s="101">
        <f>IFERROR(up_RadSpec!$H$17*(BH17/$B52),".")</f>
        <v>756401.28025605122</v>
      </c>
      <c r="BI52" s="101">
        <f>IFERROR(up_RadSpec!$H$17*(BI17/$B52),".")</f>
        <v>756401.28025605122</v>
      </c>
      <c r="BJ52" s="101">
        <f>IFERROR(up_RadSpec!$H$17*(BJ17/$B52),".")</f>
        <v>756401.28025605122</v>
      </c>
      <c r="BK52" s="101">
        <f>IFERROR(up_RadSpec!$H$17*(BK17/$B52),".")</f>
        <v>756401.28025605122</v>
      </c>
      <c r="BL52" s="101">
        <f>IFERROR(up_RadSpec!$H$17*(BL17/$B52),".")</f>
        <v>756401.28025605122</v>
      </c>
      <c r="BM52" s="101">
        <f>IFERROR(up_RadSpec!$H$17*(BM17/$B52),".")</f>
        <v>756401.28025605122</v>
      </c>
      <c r="BN52" s="101">
        <f>IFERROR(up_RadSpec!$H$17*(BN17/$B52),".")</f>
        <v>756401.28025605122</v>
      </c>
      <c r="BO52" s="101">
        <f>IFERROR(up_RadSpec!$H$17*(BO17/$B52),".")</f>
        <v>756401.28025605122</v>
      </c>
      <c r="BP52" s="101">
        <f>IFERROR(up_RadSpec!$H$17*(BP17/$B52),".")</f>
        <v>756401.28025605122</v>
      </c>
      <c r="BQ52" s="101">
        <f>IFERROR(up_RadSpec!$H$17*(BQ17/$B52),".")</f>
        <v>756401.28025605122</v>
      </c>
      <c r="BR52" s="101">
        <f>IFERROR(up_RadSpec!$H$17*(BR17/$B52),".")</f>
        <v>756401.28025605122</v>
      </c>
      <c r="BS52" s="101">
        <f>IFERROR(up_RadSpec!$H$17*(BS17/$B52),".")</f>
        <v>756401.28025605122</v>
      </c>
      <c r="BT52" s="101">
        <f>IFERROR(up_RadSpec!$H$17*(BT17/$B52),".")</f>
        <v>756401.28025605122</v>
      </c>
      <c r="BU52" s="101">
        <f>IFERROR(up_RadSpec!$H$17*(BU17/$B52),".")</f>
        <v>756401.28025605122</v>
      </c>
      <c r="BV52" s="101">
        <f>IFERROR(up_RadSpec!$H$17*(BV17/$B52),".")</f>
        <v>756401.28025605122</v>
      </c>
      <c r="BW52" s="101">
        <f>IFERROR(up_RadSpec!$H$17*(BW17/$B52),".")</f>
        <v>756401.28025605122</v>
      </c>
      <c r="BX52" s="101">
        <f>IFERROR(up_RadSpec!$H$17*(BX17/$B52),".")</f>
        <v>756401.28025605122</v>
      </c>
      <c r="BY52" s="101">
        <f>IFERROR(up_RadSpec!$H$17*(BY17/$B52),".")</f>
        <v>756401.28025605122</v>
      </c>
      <c r="BZ52" s="101">
        <f>IFERROR(up_RadSpec!$H$17*(BZ17/$B52),".")</f>
        <v>756401.28025605122</v>
      </c>
      <c r="CA52" s="101">
        <f>IFERROR(up_RadSpec!$H$17*(CA17/$B52),".")</f>
        <v>756401.28025605122</v>
      </c>
      <c r="CB52" s="101">
        <f>IFERROR(up_RadSpec!$H$17*(CB17/$B52),".")</f>
        <v>756401.28025605122</v>
      </c>
    </row>
    <row r="53" spans="1:80" x14ac:dyDescent="0.25">
      <c r="A53" s="99" t="s">
        <v>1088</v>
      </c>
      <c r="B53" s="90">
        <v>2.0000000000000001E-4</v>
      </c>
      <c r="C53" s="100">
        <f t="shared" ref="C53" si="100">IFERROR($B53/C5,0)</f>
        <v>12100000</v>
      </c>
      <c r="D53" s="100">
        <f t="shared" ref="D53:AC53" si="101">IFERROR($B53/D5,0)</f>
        <v>3025000</v>
      </c>
      <c r="E53" s="100">
        <f t="shared" si="101"/>
        <v>3025000</v>
      </c>
      <c r="F53" s="100">
        <f t="shared" si="101"/>
        <v>3025000</v>
      </c>
      <c r="G53" s="100">
        <f t="shared" si="101"/>
        <v>3025000</v>
      </c>
      <c r="H53" s="100">
        <f t="shared" si="101"/>
        <v>3025000</v>
      </c>
      <c r="I53" s="100">
        <f t="shared" si="101"/>
        <v>3025000</v>
      </c>
      <c r="J53" s="100">
        <f t="shared" si="101"/>
        <v>3025000</v>
      </c>
      <c r="K53" s="100">
        <f t="shared" si="101"/>
        <v>3025000</v>
      </c>
      <c r="L53" s="100">
        <f t="shared" si="101"/>
        <v>3025000</v>
      </c>
      <c r="M53" s="100">
        <f t="shared" si="101"/>
        <v>3025000</v>
      </c>
      <c r="N53" s="100">
        <f t="shared" si="101"/>
        <v>3025000</v>
      </c>
      <c r="O53" s="100">
        <f t="shared" si="101"/>
        <v>3025000</v>
      </c>
      <c r="P53" s="100">
        <f t="shared" si="101"/>
        <v>3025000</v>
      </c>
      <c r="Q53" s="100">
        <f t="shared" si="101"/>
        <v>3025000</v>
      </c>
      <c r="R53" s="100">
        <f t="shared" si="101"/>
        <v>3025000</v>
      </c>
      <c r="S53" s="100">
        <f t="shared" si="101"/>
        <v>3025000</v>
      </c>
      <c r="T53" s="100">
        <f t="shared" si="101"/>
        <v>3025000</v>
      </c>
      <c r="U53" s="100">
        <f t="shared" si="101"/>
        <v>3025000</v>
      </c>
      <c r="V53" s="100">
        <f t="shared" si="101"/>
        <v>3025000</v>
      </c>
      <c r="W53" s="100">
        <f t="shared" si="101"/>
        <v>3025000</v>
      </c>
      <c r="X53" s="100">
        <f t="shared" si="101"/>
        <v>3025000</v>
      </c>
      <c r="Y53" s="100">
        <f t="shared" si="101"/>
        <v>3025000</v>
      </c>
      <c r="Z53" s="100">
        <f t="shared" si="101"/>
        <v>3025000</v>
      </c>
      <c r="AA53" s="100">
        <f t="shared" si="101"/>
        <v>3025000</v>
      </c>
      <c r="AB53" s="100">
        <f t="shared" si="101"/>
        <v>3025000</v>
      </c>
      <c r="AC53" s="100">
        <f t="shared" si="101"/>
        <v>12100000</v>
      </c>
      <c r="AD53" s="100">
        <f t="shared" ref="AD53:BB53" si="102">IFERROR($B53/AD5,0)</f>
        <v>3025000</v>
      </c>
      <c r="AE53" s="100">
        <f t="shared" si="102"/>
        <v>3025000</v>
      </c>
      <c r="AF53" s="100">
        <f t="shared" si="102"/>
        <v>3025000</v>
      </c>
      <c r="AG53" s="100">
        <f t="shared" si="102"/>
        <v>3025000</v>
      </c>
      <c r="AH53" s="100">
        <f t="shared" si="102"/>
        <v>3025000</v>
      </c>
      <c r="AI53" s="100">
        <f t="shared" si="102"/>
        <v>3025000</v>
      </c>
      <c r="AJ53" s="100">
        <f t="shared" si="102"/>
        <v>3025000</v>
      </c>
      <c r="AK53" s="100">
        <f t="shared" si="102"/>
        <v>3025000</v>
      </c>
      <c r="AL53" s="100">
        <f t="shared" si="102"/>
        <v>3025000</v>
      </c>
      <c r="AM53" s="100">
        <f t="shared" si="102"/>
        <v>3025000</v>
      </c>
      <c r="AN53" s="100">
        <f t="shared" si="102"/>
        <v>3025000</v>
      </c>
      <c r="AO53" s="100">
        <f t="shared" si="102"/>
        <v>3025000</v>
      </c>
      <c r="AP53" s="100">
        <f t="shared" si="102"/>
        <v>3025000</v>
      </c>
      <c r="AQ53" s="100">
        <f t="shared" si="102"/>
        <v>3025000</v>
      </c>
      <c r="AR53" s="100">
        <f t="shared" si="102"/>
        <v>3025000</v>
      </c>
      <c r="AS53" s="100">
        <f t="shared" si="102"/>
        <v>3025000</v>
      </c>
      <c r="AT53" s="100">
        <f t="shared" si="102"/>
        <v>3025000</v>
      </c>
      <c r="AU53" s="100">
        <f t="shared" si="102"/>
        <v>3025000</v>
      </c>
      <c r="AV53" s="100">
        <f t="shared" si="102"/>
        <v>3025000</v>
      </c>
      <c r="AW53" s="100">
        <f t="shared" si="102"/>
        <v>3025000</v>
      </c>
      <c r="AX53" s="100">
        <f t="shared" si="102"/>
        <v>3025000</v>
      </c>
      <c r="AY53" s="100">
        <f t="shared" si="102"/>
        <v>3025000</v>
      </c>
      <c r="AZ53" s="100">
        <f t="shared" si="102"/>
        <v>3025000</v>
      </c>
      <c r="BA53" s="100">
        <f t="shared" si="102"/>
        <v>3025000</v>
      </c>
      <c r="BB53" s="100">
        <f t="shared" si="102"/>
        <v>3025000</v>
      </c>
      <c r="BC53" s="101">
        <f t="shared" si="26"/>
        <v>15125000000</v>
      </c>
      <c r="BD53" s="101">
        <f>IFERROR(up_RadSpec!$H$5*(BD5/$B53),".")</f>
        <v>3781250000</v>
      </c>
      <c r="BE53" s="101">
        <f>IFERROR(up_RadSpec!$H$5*(BE5/$B53),".")</f>
        <v>3781250000</v>
      </c>
      <c r="BF53" s="101">
        <f>IFERROR(up_RadSpec!$H$5*(BF5/$B53),".")</f>
        <v>3781250000</v>
      </c>
      <c r="BG53" s="101">
        <f>IFERROR(up_RadSpec!$H$5*(BG5/$B53),".")</f>
        <v>3781250000</v>
      </c>
      <c r="BH53" s="101">
        <f>IFERROR(up_RadSpec!$H$5*(BH5/$B53),".")</f>
        <v>3781250000</v>
      </c>
      <c r="BI53" s="101">
        <f>IFERROR(up_RadSpec!$H$5*(BI5/$B53),".")</f>
        <v>3781250000</v>
      </c>
      <c r="BJ53" s="101">
        <f>IFERROR(up_RadSpec!$H$5*(BJ5/$B53),".")</f>
        <v>3781250000</v>
      </c>
      <c r="BK53" s="101">
        <f>IFERROR(up_RadSpec!$H$5*(BK5/$B53),".")</f>
        <v>3781250000</v>
      </c>
      <c r="BL53" s="101">
        <f>IFERROR(up_RadSpec!$H$5*(BL5/$B53),".")</f>
        <v>3781250000</v>
      </c>
      <c r="BM53" s="101">
        <f>IFERROR(up_RadSpec!$H$5*(BM5/$B53),".")</f>
        <v>3781250000</v>
      </c>
      <c r="BN53" s="101">
        <f>IFERROR(up_RadSpec!$H$5*(BN5/$B53),".")</f>
        <v>3781250000</v>
      </c>
      <c r="BO53" s="101">
        <f>IFERROR(up_RadSpec!$H$5*(BO5/$B53),".")</f>
        <v>3781250000</v>
      </c>
      <c r="BP53" s="101">
        <f>IFERROR(up_RadSpec!$H$5*(BP5/$B53),".")</f>
        <v>3781250000</v>
      </c>
      <c r="BQ53" s="101">
        <f>IFERROR(up_RadSpec!$H$5*(BQ5/$B53),".")</f>
        <v>3781250000</v>
      </c>
      <c r="BR53" s="101">
        <f>IFERROR(up_RadSpec!$H$5*(BR5/$B53),".")</f>
        <v>3781250000</v>
      </c>
      <c r="BS53" s="101">
        <f>IFERROR(up_RadSpec!$H$5*(BS5/$B53),".")</f>
        <v>3781250000</v>
      </c>
      <c r="BT53" s="101">
        <f>IFERROR(up_RadSpec!$H$5*(BT5/$B53),".")</f>
        <v>3781250000</v>
      </c>
      <c r="BU53" s="101">
        <f>IFERROR(up_RadSpec!$H$5*(BU5/$B53),".")</f>
        <v>3781250000</v>
      </c>
      <c r="BV53" s="101">
        <f>IFERROR(up_RadSpec!$H$5*(BV5/$B53),".")</f>
        <v>3781250000</v>
      </c>
      <c r="BW53" s="101">
        <f>IFERROR(up_RadSpec!$H$5*(BW5/$B53),".")</f>
        <v>3781250000</v>
      </c>
      <c r="BX53" s="101">
        <f>IFERROR(up_RadSpec!$H$5*(BX5/$B53),".")</f>
        <v>3781250000</v>
      </c>
      <c r="BY53" s="101">
        <f>IFERROR(up_RadSpec!$H$5*(BY5/$B53),".")</f>
        <v>3781250000</v>
      </c>
      <c r="BZ53" s="101">
        <f>IFERROR(up_RadSpec!$H$5*(BZ5/$B53),".")</f>
        <v>3781250000</v>
      </c>
      <c r="CA53" s="101">
        <f>IFERROR(up_RadSpec!$H$5*(CA5/$B53),".")</f>
        <v>3781250000</v>
      </c>
      <c r="CB53" s="101">
        <f>IFERROR(up_RadSpec!$H$5*(CB5/$B53),".")</f>
        <v>3781250000</v>
      </c>
    </row>
    <row r="54" spans="1:80" x14ac:dyDescent="0.25">
      <c r="A54" s="99" t="s">
        <v>1089</v>
      </c>
      <c r="B54" s="90">
        <v>0.99999979999999999</v>
      </c>
      <c r="C54" s="100">
        <f t="shared" ref="C54" si="103">IFERROR($B54/C9,0)</f>
        <v>60499987899.999992</v>
      </c>
      <c r="D54" s="100">
        <f t="shared" ref="D54:AC54" si="104">IFERROR($B54/D9,0)</f>
        <v>15124996974.999998</v>
      </c>
      <c r="E54" s="100">
        <f t="shared" si="104"/>
        <v>15124996974.999998</v>
      </c>
      <c r="F54" s="100">
        <f t="shared" si="104"/>
        <v>15124996974.999998</v>
      </c>
      <c r="G54" s="100">
        <f t="shared" si="104"/>
        <v>15124996974.999998</v>
      </c>
      <c r="H54" s="100">
        <f t="shared" si="104"/>
        <v>15124996974.999998</v>
      </c>
      <c r="I54" s="100">
        <f t="shared" si="104"/>
        <v>15124996974.999998</v>
      </c>
      <c r="J54" s="100">
        <f t="shared" si="104"/>
        <v>15124996974.999998</v>
      </c>
      <c r="K54" s="100">
        <f t="shared" si="104"/>
        <v>15124996974.999998</v>
      </c>
      <c r="L54" s="100">
        <f t="shared" si="104"/>
        <v>15124996974.999998</v>
      </c>
      <c r="M54" s="100">
        <f t="shared" si="104"/>
        <v>15124996974.999998</v>
      </c>
      <c r="N54" s="100">
        <f t="shared" si="104"/>
        <v>15124996974.999998</v>
      </c>
      <c r="O54" s="100">
        <f t="shared" si="104"/>
        <v>15124996974.999998</v>
      </c>
      <c r="P54" s="100">
        <f t="shared" si="104"/>
        <v>15124996974.999998</v>
      </c>
      <c r="Q54" s="100">
        <f t="shared" si="104"/>
        <v>15124996974.999998</v>
      </c>
      <c r="R54" s="100">
        <f t="shared" si="104"/>
        <v>15124996974.999998</v>
      </c>
      <c r="S54" s="100">
        <f t="shared" si="104"/>
        <v>15124996974.999998</v>
      </c>
      <c r="T54" s="100">
        <f t="shared" si="104"/>
        <v>15124996974.999998</v>
      </c>
      <c r="U54" s="100">
        <f t="shared" si="104"/>
        <v>15124996974.999998</v>
      </c>
      <c r="V54" s="100">
        <f t="shared" si="104"/>
        <v>15124996974.999998</v>
      </c>
      <c r="W54" s="100">
        <f t="shared" si="104"/>
        <v>15124996974.999998</v>
      </c>
      <c r="X54" s="100">
        <f t="shared" si="104"/>
        <v>15124996974.999998</v>
      </c>
      <c r="Y54" s="100">
        <f t="shared" si="104"/>
        <v>15124996974.999998</v>
      </c>
      <c r="Z54" s="100">
        <f t="shared" si="104"/>
        <v>15124996974.999998</v>
      </c>
      <c r="AA54" s="100">
        <f t="shared" si="104"/>
        <v>15124996974.999998</v>
      </c>
      <c r="AB54" s="100">
        <f t="shared" si="104"/>
        <v>15124996974.999998</v>
      </c>
      <c r="AC54" s="100">
        <f t="shared" si="104"/>
        <v>60499987899.999992</v>
      </c>
      <c r="AD54" s="100">
        <f t="shared" ref="AD54:BB54" si="105">IFERROR($B54/AD9,0)</f>
        <v>15124996974.999998</v>
      </c>
      <c r="AE54" s="100">
        <f t="shared" si="105"/>
        <v>15124996974.999998</v>
      </c>
      <c r="AF54" s="100">
        <f t="shared" si="105"/>
        <v>15124996974.999998</v>
      </c>
      <c r="AG54" s="100">
        <f t="shared" si="105"/>
        <v>15124996974.999998</v>
      </c>
      <c r="AH54" s="100">
        <f t="shared" si="105"/>
        <v>15124996974.999998</v>
      </c>
      <c r="AI54" s="100">
        <f t="shared" si="105"/>
        <v>15124996974.999998</v>
      </c>
      <c r="AJ54" s="100">
        <f t="shared" si="105"/>
        <v>15124996974.999998</v>
      </c>
      <c r="AK54" s="100">
        <f t="shared" si="105"/>
        <v>15124996974.999998</v>
      </c>
      <c r="AL54" s="100">
        <f t="shared" si="105"/>
        <v>15124996974.999998</v>
      </c>
      <c r="AM54" s="100">
        <f t="shared" si="105"/>
        <v>15124996974.999998</v>
      </c>
      <c r="AN54" s="100">
        <f t="shared" si="105"/>
        <v>15124996974.999998</v>
      </c>
      <c r="AO54" s="100">
        <f t="shared" si="105"/>
        <v>15124996974.999998</v>
      </c>
      <c r="AP54" s="100">
        <f t="shared" si="105"/>
        <v>15124996974.999998</v>
      </c>
      <c r="AQ54" s="100">
        <f t="shared" si="105"/>
        <v>15124996974.999998</v>
      </c>
      <c r="AR54" s="100">
        <f t="shared" si="105"/>
        <v>15124996974.999998</v>
      </c>
      <c r="AS54" s="100">
        <f t="shared" si="105"/>
        <v>15124996974.999998</v>
      </c>
      <c r="AT54" s="100">
        <f t="shared" si="105"/>
        <v>15124996974.999998</v>
      </c>
      <c r="AU54" s="100">
        <f t="shared" si="105"/>
        <v>15124996974.999998</v>
      </c>
      <c r="AV54" s="100">
        <f t="shared" si="105"/>
        <v>15124996974.999998</v>
      </c>
      <c r="AW54" s="100">
        <f t="shared" si="105"/>
        <v>15124996974.999998</v>
      </c>
      <c r="AX54" s="100">
        <f t="shared" si="105"/>
        <v>15124996974.999998</v>
      </c>
      <c r="AY54" s="100">
        <f t="shared" si="105"/>
        <v>15124996974.999998</v>
      </c>
      <c r="AZ54" s="100">
        <f t="shared" si="105"/>
        <v>15124996974.999998</v>
      </c>
      <c r="BA54" s="100">
        <f t="shared" si="105"/>
        <v>15124996974.999998</v>
      </c>
      <c r="BB54" s="100">
        <f t="shared" si="105"/>
        <v>15124996974.999998</v>
      </c>
      <c r="BC54" s="101">
        <f t="shared" si="26"/>
        <v>3025000.6050001215</v>
      </c>
      <c r="BD54" s="101">
        <f>IFERROR(up_RadSpec!$H$9*(BD9/$B54),".")</f>
        <v>756250.15125003038</v>
      </c>
      <c r="BE54" s="101">
        <f>IFERROR(up_RadSpec!$H$9*(BE9/$B54),".")</f>
        <v>756250.15125003038</v>
      </c>
      <c r="BF54" s="101">
        <f>IFERROR(up_RadSpec!$H$9*(BF9/$B54),".")</f>
        <v>756250.15125003038</v>
      </c>
      <c r="BG54" s="101">
        <f>IFERROR(up_RadSpec!$H$9*(BG9/$B54),".")</f>
        <v>756250.15125003038</v>
      </c>
      <c r="BH54" s="101">
        <f>IFERROR(up_RadSpec!$H$9*(BH9/$B54),".")</f>
        <v>756250.15125003038</v>
      </c>
      <c r="BI54" s="101">
        <f>IFERROR(up_RadSpec!$H$9*(BI9/$B54),".")</f>
        <v>756250.15125003038</v>
      </c>
      <c r="BJ54" s="101">
        <f>IFERROR(up_RadSpec!$H$9*(BJ9/$B54),".")</f>
        <v>756250.15125003038</v>
      </c>
      <c r="BK54" s="101">
        <f>IFERROR(up_RadSpec!$H$9*(BK9/$B54),".")</f>
        <v>756250.15125003038</v>
      </c>
      <c r="BL54" s="101">
        <f>IFERROR(up_RadSpec!$H$9*(BL9/$B54),".")</f>
        <v>756250.15125003038</v>
      </c>
      <c r="BM54" s="101">
        <f>IFERROR(up_RadSpec!$H$9*(BM9/$B54),".")</f>
        <v>756250.15125003038</v>
      </c>
      <c r="BN54" s="101">
        <f>IFERROR(up_RadSpec!$H$9*(BN9/$B54),".")</f>
        <v>756250.15125003038</v>
      </c>
      <c r="BO54" s="101">
        <f>IFERROR(up_RadSpec!$H$9*(BO9/$B54),".")</f>
        <v>756250.15125003038</v>
      </c>
      <c r="BP54" s="101">
        <f>IFERROR(up_RadSpec!$H$9*(BP9/$B54),".")</f>
        <v>756250.15125003038</v>
      </c>
      <c r="BQ54" s="101">
        <f>IFERROR(up_RadSpec!$H$9*(BQ9/$B54),".")</f>
        <v>756250.15125003038</v>
      </c>
      <c r="BR54" s="101">
        <f>IFERROR(up_RadSpec!$H$9*(BR9/$B54),".")</f>
        <v>756250.15125003038</v>
      </c>
      <c r="BS54" s="101">
        <f>IFERROR(up_RadSpec!$H$9*(BS9/$B54),".")</f>
        <v>756250.15125003038</v>
      </c>
      <c r="BT54" s="101">
        <f>IFERROR(up_RadSpec!$H$9*(BT9/$B54),".")</f>
        <v>756250.15125003038</v>
      </c>
      <c r="BU54" s="101">
        <f>IFERROR(up_RadSpec!$H$9*(BU9/$B54),".")</f>
        <v>756250.15125003038</v>
      </c>
      <c r="BV54" s="101">
        <f>IFERROR(up_RadSpec!$H$9*(BV9/$B54),".")</f>
        <v>756250.15125003038</v>
      </c>
      <c r="BW54" s="101">
        <f>IFERROR(up_RadSpec!$H$9*(BW9/$B54),".")</f>
        <v>756250.15125003038</v>
      </c>
      <c r="BX54" s="101">
        <f>IFERROR(up_RadSpec!$H$9*(BX9/$B54),".")</f>
        <v>756250.15125003038</v>
      </c>
      <c r="BY54" s="101">
        <f>IFERROR(up_RadSpec!$H$9*(BY9/$B54),".")</f>
        <v>756250.15125003038</v>
      </c>
      <c r="BZ54" s="101">
        <f>IFERROR(up_RadSpec!$H$9*(BZ9/$B54),".")</f>
        <v>756250.15125003038</v>
      </c>
      <c r="CA54" s="101">
        <f>IFERROR(up_RadSpec!$H$9*(CA9/$B54),".")</f>
        <v>756250.15125003038</v>
      </c>
      <c r="CB54" s="101">
        <f>IFERROR(up_RadSpec!$H$9*(CB9/$B54),".")</f>
        <v>756250.15125003038</v>
      </c>
    </row>
    <row r="55" spans="1:80" x14ac:dyDescent="0.25">
      <c r="A55" s="99" t="s">
        <v>1090</v>
      </c>
      <c r="B55" s="90">
        <v>1.9999999999999999E-7</v>
      </c>
      <c r="C55" s="100">
        <f t="shared" ref="C55" si="106">IFERROR($B55/C24,0)</f>
        <v>12099.999999999998</v>
      </c>
      <c r="D55" s="100">
        <f t="shared" ref="D55:AC55" si="107">IFERROR($B55/D24,0)</f>
        <v>3024.9999999999995</v>
      </c>
      <c r="E55" s="100">
        <f t="shared" si="107"/>
        <v>3024.9999999999995</v>
      </c>
      <c r="F55" s="100">
        <f t="shared" si="107"/>
        <v>3024.9999999999995</v>
      </c>
      <c r="G55" s="100">
        <f t="shared" si="107"/>
        <v>3024.9999999999995</v>
      </c>
      <c r="H55" s="100">
        <f t="shared" si="107"/>
        <v>3024.9999999999995</v>
      </c>
      <c r="I55" s="100">
        <f t="shared" si="107"/>
        <v>3024.9999999999995</v>
      </c>
      <c r="J55" s="100">
        <f t="shared" si="107"/>
        <v>3024.9999999999995</v>
      </c>
      <c r="K55" s="100">
        <f t="shared" si="107"/>
        <v>3024.9999999999995</v>
      </c>
      <c r="L55" s="100">
        <f t="shared" si="107"/>
        <v>3024.9999999999995</v>
      </c>
      <c r="M55" s="100">
        <f t="shared" si="107"/>
        <v>3024.9999999999995</v>
      </c>
      <c r="N55" s="100">
        <f t="shared" si="107"/>
        <v>3024.9999999999995</v>
      </c>
      <c r="O55" s="100">
        <f t="shared" si="107"/>
        <v>3024.9999999999995</v>
      </c>
      <c r="P55" s="100">
        <f t="shared" si="107"/>
        <v>3024.9999999999995</v>
      </c>
      <c r="Q55" s="100">
        <f t="shared" si="107"/>
        <v>3024.9999999999995</v>
      </c>
      <c r="R55" s="100">
        <f t="shared" si="107"/>
        <v>3024.9999999999995</v>
      </c>
      <c r="S55" s="100">
        <f t="shared" si="107"/>
        <v>3024.9999999999995</v>
      </c>
      <c r="T55" s="100">
        <f t="shared" si="107"/>
        <v>3024.9999999999995</v>
      </c>
      <c r="U55" s="100">
        <f t="shared" si="107"/>
        <v>3024.9999999999995</v>
      </c>
      <c r="V55" s="100">
        <f t="shared" si="107"/>
        <v>3024.9999999999995</v>
      </c>
      <c r="W55" s="100">
        <f t="shared" si="107"/>
        <v>3024.9999999999995</v>
      </c>
      <c r="X55" s="100">
        <f t="shared" si="107"/>
        <v>3024.9999999999995</v>
      </c>
      <c r="Y55" s="100">
        <f t="shared" si="107"/>
        <v>3024.9999999999995</v>
      </c>
      <c r="Z55" s="100">
        <f t="shared" si="107"/>
        <v>3024.9999999999995</v>
      </c>
      <c r="AA55" s="100">
        <f t="shared" si="107"/>
        <v>3024.9999999999995</v>
      </c>
      <c r="AB55" s="100">
        <f t="shared" si="107"/>
        <v>3024.9999999999995</v>
      </c>
      <c r="AC55" s="100">
        <f t="shared" si="107"/>
        <v>12099.999999999998</v>
      </c>
      <c r="AD55" s="100">
        <f t="shared" ref="AD55:BB55" si="108">IFERROR($B55/AD24,0)</f>
        <v>3024.9999999999995</v>
      </c>
      <c r="AE55" s="100">
        <f t="shared" si="108"/>
        <v>3024.9999999999995</v>
      </c>
      <c r="AF55" s="100">
        <f t="shared" si="108"/>
        <v>3024.9999999999995</v>
      </c>
      <c r="AG55" s="100">
        <f t="shared" si="108"/>
        <v>3024.9999999999995</v>
      </c>
      <c r="AH55" s="100">
        <f t="shared" si="108"/>
        <v>3024.9999999999995</v>
      </c>
      <c r="AI55" s="100">
        <f t="shared" si="108"/>
        <v>3024.9999999999995</v>
      </c>
      <c r="AJ55" s="100">
        <f t="shared" si="108"/>
        <v>3024.9999999999995</v>
      </c>
      <c r="AK55" s="100">
        <f t="shared" si="108"/>
        <v>3024.9999999999995</v>
      </c>
      <c r="AL55" s="100">
        <f t="shared" si="108"/>
        <v>3024.9999999999995</v>
      </c>
      <c r="AM55" s="100">
        <f t="shared" si="108"/>
        <v>3024.9999999999995</v>
      </c>
      <c r="AN55" s="100">
        <f t="shared" si="108"/>
        <v>3024.9999999999995</v>
      </c>
      <c r="AO55" s="100">
        <f t="shared" si="108"/>
        <v>3024.9999999999995</v>
      </c>
      <c r="AP55" s="100">
        <f t="shared" si="108"/>
        <v>3024.9999999999995</v>
      </c>
      <c r="AQ55" s="100">
        <f t="shared" si="108"/>
        <v>3024.9999999999995</v>
      </c>
      <c r="AR55" s="100">
        <f t="shared" si="108"/>
        <v>3024.9999999999995</v>
      </c>
      <c r="AS55" s="100">
        <f t="shared" si="108"/>
        <v>3024.9999999999995</v>
      </c>
      <c r="AT55" s="100">
        <f t="shared" si="108"/>
        <v>3024.9999999999995</v>
      </c>
      <c r="AU55" s="100">
        <f t="shared" si="108"/>
        <v>3024.9999999999995</v>
      </c>
      <c r="AV55" s="100">
        <f t="shared" si="108"/>
        <v>3024.9999999999995</v>
      </c>
      <c r="AW55" s="100">
        <f t="shared" si="108"/>
        <v>3024.9999999999995</v>
      </c>
      <c r="AX55" s="100">
        <f t="shared" si="108"/>
        <v>3024.9999999999995</v>
      </c>
      <c r="AY55" s="100">
        <f t="shared" si="108"/>
        <v>3024.9999999999995</v>
      </c>
      <c r="AZ55" s="100">
        <f t="shared" si="108"/>
        <v>3024.9999999999995</v>
      </c>
      <c r="BA55" s="100">
        <f t="shared" si="108"/>
        <v>3024.9999999999995</v>
      </c>
      <c r="BB55" s="100">
        <f t="shared" si="108"/>
        <v>3024.9999999999995</v>
      </c>
      <c r="BC55" s="101">
        <f t="shared" si="26"/>
        <v>15125000000000</v>
      </c>
      <c r="BD55" s="101">
        <f>IFERROR(up_RadSpec!$H$24*(BD24/$B55),".")</f>
        <v>3781250000000</v>
      </c>
      <c r="BE55" s="101">
        <f>IFERROR(up_RadSpec!$H$24*(BE24/$B55),".")</f>
        <v>3781250000000</v>
      </c>
      <c r="BF55" s="101">
        <f>IFERROR(up_RadSpec!$H$24*(BF24/$B55),".")</f>
        <v>3781250000000</v>
      </c>
      <c r="BG55" s="101">
        <f>IFERROR(up_RadSpec!$H$24*(BG24/$B55),".")</f>
        <v>3781250000000</v>
      </c>
      <c r="BH55" s="101">
        <f>IFERROR(up_RadSpec!$H$24*(BH24/$B55),".")</f>
        <v>3781250000000</v>
      </c>
      <c r="BI55" s="101">
        <f>IFERROR(up_RadSpec!$H$24*(BI24/$B55),".")</f>
        <v>3781250000000</v>
      </c>
      <c r="BJ55" s="101">
        <f>IFERROR(up_RadSpec!$H$24*(BJ24/$B55),".")</f>
        <v>3781250000000</v>
      </c>
      <c r="BK55" s="101">
        <f>IFERROR(up_RadSpec!$H$24*(BK24/$B55),".")</f>
        <v>3781250000000</v>
      </c>
      <c r="BL55" s="101">
        <f>IFERROR(up_RadSpec!$H$24*(BL24/$B55),".")</f>
        <v>3781250000000</v>
      </c>
      <c r="BM55" s="101">
        <f>IFERROR(up_RadSpec!$H$24*(BM24/$B55),".")</f>
        <v>3781250000000</v>
      </c>
      <c r="BN55" s="101">
        <f>IFERROR(up_RadSpec!$H$24*(BN24/$B55),".")</f>
        <v>3781250000000</v>
      </c>
      <c r="BO55" s="101">
        <f>IFERROR(up_RadSpec!$H$24*(BO24/$B55),".")</f>
        <v>3781250000000</v>
      </c>
      <c r="BP55" s="101">
        <f>IFERROR(up_RadSpec!$H$24*(BP24/$B55),".")</f>
        <v>3781250000000</v>
      </c>
      <c r="BQ55" s="101">
        <f>IFERROR(up_RadSpec!$H$24*(BQ24/$B55),".")</f>
        <v>3781250000000</v>
      </c>
      <c r="BR55" s="101">
        <f>IFERROR(up_RadSpec!$H$24*(BR24/$B55),".")</f>
        <v>3781250000000</v>
      </c>
      <c r="BS55" s="101">
        <f>IFERROR(up_RadSpec!$H$24*(BS24/$B55),".")</f>
        <v>3781250000000</v>
      </c>
      <c r="BT55" s="101">
        <f>IFERROR(up_RadSpec!$H$24*(BT24/$B55),".")</f>
        <v>3781250000000</v>
      </c>
      <c r="BU55" s="101">
        <f>IFERROR(up_RadSpec!$H$24*(BU24/$B55),".")</f>
        <v>3781250000000</v>
      </c>
      <c r="BV55" s="101">
        <f>IFERROR(up_RadSpec!$H$24*(BV24/$B55),".")</f>
        <v>3781250000000</v>
      </c>
      <c r="BW55" s="101">
        <f>IFERROR(up_RadSpec!$H$24*(BW24/$B55),".")</f>
        <v>3781250000000</v>
      </c>
      <c r="BX55" s="101">
        <f>IFERROR(up_RadSpec!$H$24*(BX24/$B55),".")</f>
        <v>3781250000000</v>
      </c>
      <c r="BY55" s="101">
        <f>IFERROR(up_RadSpec!$H$24*(BY24/$B55),".")</f>
        <v>3781250000000</v>
      </c>
      <c r="BZ55" s="101">
        <f>IFERROR(up_RadSpec!$H$24*(BZ24/$B55),".")</f>
        <v>3781250000000</v>
      </c>
      <c r="CA55" s="101">
        <f>IFERROR(up_RadSpec!$H$24*(CA24/$B55),".")</f>
        <v>3781250000000</v>
      </c>
      <c r="CB55" s="101">
        <f>IFERROR(up_RadSpec!$H$24*(CB24/$B55),".")</f>
        <v>3781250000000</v>
      </c>
    </row>
    <row r="56" spans="1:80" x14ac:dyDescent="0.25">
      <c r="A56" s="99" t="s">
        <v>1091</v>
      </c>
      <c r="B56" s="90">
        <v>0.99979000004200003</v>
      </c>
      <c r="C56" s="100">
        <f t="shared" ref="C56" si="109">IFERROR($B56/C20,0)</f>
        <v>60487295002.541</v>
      </c>
      <c r="D56" s="100">
        <f t="shared" ref="D56:AC56" si="110">IFERROR($B56/D20,0)</f>
        <v>15121823750.63525</v>
      </c>
      <c r="E56" s="100">
        <f t="shared" si="110"/>
        <v>15121823750.63525</v>
      </c>
      <c r="F56" s="100">
        <f t="shared" si="110"/>
        <v>15121823750.63525</v>
      </c>
      <c r="G56" s="100">
        <f t="shared" si="110"/>
        <v>15121823750.63525</v>
      </c>
      <c r="H56" s="100">
        <f t="shared" si="110"/>
        <v>15121823750.63525</v>
      </c>
      <c r="I56" s="100">
        <f t="shared" si="110"/>
        <v>15121823750.63525</v>
      </c>
      <c r="J56" s="100">
        <f t="shared" si="110"/>
        <v>15121823750.63525</v>
      </c>
      <c r="K56" s="100">
        <f t="shared" si="110"/>
        <v>15121823750.63525</v>
      </c>
      <c r="L56" s="100">
        <f t="shared" si="110"/>
        <v>15121823750.63525</v>
      </c>
      <c r="M56" s="100">
        <f t="shared" si="110"/>
        <v>15121823750.63525</v>
      </c>
      <c r="N56" s="100">
        <f t="shared" si="110"/>
        <v>15121823750.63525</v>
      </c>
      <c r="O56" s="100">
        <f t="shared" si="110"/>
        <v>15121823750.63525</v>
      </c>
      <c r="P56" s="100">
        <f t="shared" si="110"/>
        <v>15121823750.63525</v>
      </c>
      <c r="Q56" s="100">
        <f t="shared" si="110"/>
        <v>15121823750.63525</v>
      </c>
      <c r="R56" s="100">
        <f t="shared" si="110"/>
        <v>15121823750.63525</v>
      </c>
      <c r="S56" s="100">
        <f t="shared" si="110"/>
        <v>15121823750.63525</v>
      </c>
      <c r="T56" s="100">
        <f t="shared" si="110"/>
        <v>15121823750.63525</v>
      </c>
      <c r="U56" s="100">
        <f t="shared" si="110"/>
        <v>15121823750.63525</v>
      </c>
      <c r="V56" s="100">
        <f t="shared" si="110"/>
        <v>15121823750.63525</v>
      </c>
      <c r="W56" s="100">
        <f t="shared" si="110"/>
        <v>15121823750.63525</v>
      </c>
      <c r="X56" s="100">
        <f t="shared" si="110"/>
        <v>15121823750.63525</v>
      </c>
      <c r="Y56" s="100">
        <f t="shared" si="110"/>
        <v>15121823750.63525</v>
      </c>
      <c r="Z56" s="100">
        <f t="shared" si="110"/>
        <v>15121823750.63525</v>
      </c>
      <c r="AA56" s="100">
        <f t="shared" si="110"/>
        <v>15121823750.63525</v>
      </c>
      <c r="AB56" s="100">
        <f t="shared" si="110"/>
        <v>15121823750.63525</v>
      </c>
      <c r="AC56" s="100">
        <f t="shared" si="110"/>
        <v>60487295002.541</v>
      </c>
      <c r="AD56" s="100">
        <f t="shared" ref="AD56:BB56" si="111">IFERROR($B56/AD20,0)</f>
        <v>15121823750.63525</v>
      </c>
      <c r="AE56" s="100">
        <f t="shared" si="111"/>
        <v>15121823750.63525</v>
      </c>
      <c r="AF56" s="100">
        <f t="shared" si="111"/>
        <v>15121823750.63525</v>
      </c>
      <c r="AG56" s="100">
        <f t="shared" si="111"/>
        <v>15121823750.63525</v>
      </c>
      <c r="AH56" s="100">
        <f t="shared" si="111"/>
        <v>15121823750.63525</v>
      </c>
      <c r="AI56" s="100">
        <f t="shared" si="111"/>
        <v>15121823750.63525</v>
      </c>
      <c r="AJ56" s="100">
        <f t="shared" si="111"/>
        <v>15121823750.63525</v>
      </c>
      <c r="AK56" s="100">
        <f t="shared" si="111"/>
        <v>15121823750.63525</v>
      </c>
      <c r="AL56" s="100">
        <f t="shared" si="111"/>
        <v>15121823750.63525</v>
      </c>
      <c r="AM56" s="100">
        <f t="shared" si="111"/>
        <v>15121823750.63525</v>
      </c>
      <c r="AN56" s="100">
        <f t="shared" si="111"/>
        <v>15121823750.63525</v>
      </c>
      <c r="AO56" s="100">
        <f t="shared" si="111"/>
        <v>15121823750.63525</v>
      </c>
      <c r="AP56" s="100">
        <f t="shared" si="111"/>
        <v>15121823750.63525</v>
      </c>
      <c r="AQ56" s="100">
        <f t="shared" si="111"/>
        <v>15121823750.63525</v>
      </c>
      <c r="AR56" s="100">
        <f t="shared" si="111"/>
        <v>15121823750.63525</v>
      </c>
      <c r="AS56" s="100">
        <f t="shared" si="111"/>
        <v>15121823750.63525</v>
      </c>
      <c r="AT56" s="100">
        <f t="shared" si="111"/>
        <v>15121823750.63525</v>
      </c>
      <c r="AU56" s="100">
        <f t="shared" si="111"/>
        <v>15121823750.63525</v>
      </c>
      <c r="AV56" s="100">
        <f t="shared" si="111"/>
        <v>15121823750.63525</v>
      </c>
      <c r="AW56" s="100">
        <f t="shared" si="111"/>
        <v>15121823750.63525</v>
      </c>
      <c r="AX56" s="100">
        <f t="shared" si="111"/>
        <v>15121823750.63525</v>
      </c>
      <c r="AY56" s="100">
        <f t="shared" si="111"/>
        <v>15121823750.63525</v>
      </c>
      <c r="AZ56" s="100">
        <f t="shared" si="111"/>
        <v>15121823750.63525</v>
      </c>
      <c r="BA56" s="100">
        <f t="shared" si="111"/>
        <v>15121823750.63525</v>
      </c>
      <c r="BB56" s="100">
        <f t="shared" si="111"/>
        <v>15121823750.63525</v>
      </c>
      <c r="BC56" s="101">
        <f t="shared" si="26"/>
        <v>3025635.3833034169</v>
      </c>
      <c r="BD56" s="101">
        <f>IFERROR(up_RadSpec!$H$20*(BD20/$B56),".")</f>
        <v>756408.84582585422</v>
      </c>
      <c r="BE56" s="101">
        <f>IFERROR(up_RadSpec!$H$20*(BE20/$B56),".")</f>
        <v>756408.84582585422</v>
      </c>
      <c r="BF56" s="101">
        <f>IFERROR(up_RadSpec!$H$20*(BF20/$B56),".")</f>
        <v>756408.84582585422</v>
      </c>
      <c r="BG56" s="101">
        <f>IFERROR(up_RadSpec!$H$20*(BG20/$B56),".")</f>
        <v>756408.84582585422</v>
      </c>
      <c r="BH56" s="101">
        <f>IFERROR(up_RadSpec!$H$20*(BH20/$B56),".")</f>
        <v>756408.84582585422</v>
      </c>
      <c r="BI56" s="101">
        <f>IFERROR(up_RadSpec!$H$20*(BI20/$B56),".")</f>
        <v>756408.84582585422</v>
      </c>
      <c r="BJ56" s="101">
        <f>IFERROR(up_RadSpec!$H$20*(BJ20/$B56),".")</f>
        <v>756408.84582585422</v>
      </c>
      <c r="BK56" s="101">
        <f>IFERROR(up_RadSpec!$H$20*(BK20/$B56),".")</f>
        <v>756408.84582585422</v>
      </c>
      <c r="BL56" s="101">
        <f>IFERROR(up_RadSpec!$H$20*(BL20/$B56),".")</f>
        <v>756408.84582585422</v>
      </c>
      <c r="BM56" s="101">
        <f>IFERROR(up_RadSpec!$H$20*(BM20/$B56),".")</f>
        <v>756408.84582585422</v>
      </c>
      <c r="BN56" s="101">
        <f>IFERROR(up_RadSpec!$H$20*(BN20/$B56),".")</f>
        <v>756408.84582585422</v>
      </c>
      <c r="BO56" s="101">
        <f>IFERROR(up_RadSpec!$H$20*(BO20/$B56),".")</f>
        <v>756408.84582585422</v>
      </c>
      <c r="BP56" s="101">
        <f>IFERROR(up_RadSpec!$H$20*(BP20/$B56),".")</f>
        <v>756408.84582585422</v>
      </c>
      <c r="BQ56" s="101">
        <f>IFERROR(up_RadSpec!$H$20*(BQ20/$B56),".")</f>
        <v>756408.84582585422</v>
      </c>
      <c r="BR56" s="101">
        <f>IFERROR(up_RadSpec!$H$20*(BR20/$B56),".")</f>
        <v>756408.84582585422</v>
      </c>
      <c r="BS56" s="101">
        <f>IFERROR(up_RadSpec!$H$20*(BS20/$B56),".")</f>
        <v>756408.84582585422</v>
      </c>
      <c r="BT56" s="101">
        <f>IFERROR(up_RadSpec!$H$20*(BT20/$B56),".")</f>
        <v>756408.84582585422</v>
      </c>
      <c r="BU56" s="101">
        <f>IFERROR(up_RadSpec!$H$20*(BU20/$B56),".")</f>
        <v>756408.84582585422</v>
      </c>
      <c r="BV56" s="101">
        <f>IFERROR(up_RadSpec!$H$20*(BV20/$B56),".")</f>
        <v>756408.84582585422</v>
      </c>
      <c r="BW56" s="101">
        <f>IFERROR(up_RadSpec!$H$20*(BW20/$B56),".")</f>
        <v>756408.84582585422</v>
      </c>
      <c r="BX56" s="101">
        <f>IFERROR(up_RadSpec!$H$20*(BX20/$B56),".")</f>
        <v>756408.84582585422</v>
      </c>
      <c r="BY56" s="101">
        <f>IFERROR(up_RadSpec!$H$20*(BY20/$B56),".")</f>
        <v>756408.84582585422</v>
      </c>
      <c r="BZ56" s="101">
        <f>IFERROR(up_RadSpec!$H$20*(BZ20/$B56),".")</f>
        <v>756408.84582585422</v>
      </c>
      <c r="CA56" s="101">
        <f>IFERROR(up_RadSpec!$H$20*(CA20/$B56),".")</f>
        <v>756408.84582585422</v>
      </c>
      <c r="CB56" s="101">
        <f>IFERROR(up_RadSpec!$H$20*(CB20/$B56),".")</f>
        <v>756408.84582585422</v>
      </c>
    </row>
    <row r="57" spans="1:80" x14ac:dyDescent="0.25">
      <c r="A57" s="99" t="s">
        <v>1092</v>
      </c>
      <c r="B57" s="90">
        <v>2.0999995799999999E-4</v>
      </c>
      <c r="C57" s="100">
        <f t="shared" ref="C57" si="112">IFERROR($B57/C29,0)</f>
        <v>12704997.458999999</v>
      </c>
      <c r="D57" s="100">
        <f t="shared" ref="D57:AC57" si="113">IFERROR($B57/D29,0)</f>
        <v>3176249.3647499997</v>
      </c>
      <c r="E57" s="100">
        <f t="shared" si="113"/>
        <v>3176249.3647499997</v>
      </c>
      <c r="F57" s="100">
        <f t="shared" si="113"/>
        <v>3176249.3647499997</v>
      </c>
      <c r="G57" s="100">
        <f t="shared" si="113"/>
        <v>3176249.3647499997</v>
      </c>
      <c r="H57" s="100">
        <f t="shared" si="113"/>
        <v>3176249.3647499997</v>
      </c>
      <c r="I57" s="100">
        <f t="shared" si="113"/>
        <v>3176249.3647499997</v>
      </c>
      <c r="J57" s="100">
        <f t="shared" si="113"/>
        <v>3176249.3647499997</v>
      </c>
      <c r="K57" s="100">
        <f t="shared" si="113"/>
        <v>3176249.3647499997</v>
      </c>
      <c r="L57" s="100">
        <f t="shared" si="113"/>
        <v>3176249.3647499997</v>
      </c>
      <c r="M57" s="100">
        <f t="shared" si="113"/>
        <v>3176249.3647499997</v>
      </c>
      <c r="N57" s="100">
        <f t="shared" si="113"/>
        <v>3176249.3647499997</v>
      </c>
      <c r="O57" s="100">
        <f t="shared" si="113"/>
        <v>3176249.3647499997</v>
      </c>
      <c r="P57" s="100">
        <f t="shared" si="113"/>
        <v>3176249.3647499997</v>
      </c>
      <c r="Q57" s="100">
        <f t="shared" si="113"/>
        <v>3176249.3647499997</v>
      </c>
      <c r="R57" s="100">
        <f t="shared" si="113"/>
        <v>3176249.3647499997</v>
      </c>
      <c r="S57" s="100">
        <f t="shared" si="113"/>
        <v>3176249.3647499997</v>
      </c>
      <c r="T57" s="100">
        <f t="shared" si="113"/>
        <v>3176249.3647499997</v>
      </c>
      <c r="U57" s="100">
        <f t="shared" si="113"/>
        <v>3176249.3647499997</v>
      </c>
      <c r="V57" s="100">
        <f t="shared" si="113"/>
        <v>3176249.3647499997</v>
      </c>
      <c r="W57" s="100">
        <f t="shared" si="113"/>
        <v>3176249.3647499997</v>
      </c>
      <c r="X57" s="100">
        <f t="shared" si="113"/>
        <v>3176249.3647499997</v>
      </c>
      <c r="Y57" s="100">
        <f t="shared" si="113"/>
        <v>3176249.3647499997</v>
      </c>
      <c r="Z57" s="100">
        <f t="shared" si="113"/>
        <v>3176249.3647499997</v>
      </c>
      <c r="AA57" s="100">
        <f t="shared" si="113"/>
        <v>3176249.3647499997</v>
      </c>
      <c r="AB57" s="100">
        <f t="shared" si="113"/>
        <v>3176249.3647499997</v>
      </c>
      <c r="AC57" s="100">
        <f t="shared" si="113"/>
        <v>12704997.458999999</v>
      </c>
      <c r="AD57" s="100">
        <f t="shared" ref="AD57:BB57" si="114">IFERROR($B57/AD29,0)</f>
        <v>3176249.3647499997</v>
      </c>
      <c r="AE57" s="100">
        <f t="shared" si="114"/>
        <v>3176249.3647499997</v>
      </c>
      <c r="AF57" s="100">
        <f t="shared" si="114"/>
        <v>3176249.3647499997</v>
      </c>
      <c r="AG57" s="100">
        <f t="shared" si="114"/>
        <v>3176249.3647499997</v>
      </c>
      <c r="AH57" s="100">
        <f t="shared" si="114"/>
        <v>3176249.3647499997</v>
      </c>
      <c r="AI57" s="100">
        <f t="shared" si="114"/>
        <v>3176249.3647499997</v>
      </c>
      <c r="AJ57" s="100">
        <f t="shared" si="114"/>
        <v>3176249.3647499997</v>
      </c>
      <c r="AK57" s="100">
        <f t="shared" si="114"/>
        <v>3176249.3647499997</v>
      </c>
      <c r="AL57" s="100">
        <f t="shared" si="114"/>
        <v>3176249.3647499997</v>
      </c>
      <c r="AM57" s="100">
        <f t="shared" si="114"/>
        <v>3176249.3647499997</v>
      </c>
      <c r="AN57" s="100">
        <f t="shared" si="114"/>
        <v>3176249.3647499997</v>
      </c>
      <c r="AO57" s="100">
        <f t="shared" si="114"/>
        <v>3176249.3647499997</v>
      </c>
      <c r="AP57" s="100">
        <f t="shared" si="114"/>
        <v>3176249.3647499997</v>
      </c>
      <c r="AQ57" s="100">
        <f t="shared" si="114"/>
        <v>3176249.3647499997</v>
      </c>
      <c r="AR57" s="100">
        <f t="shared" si="114"/>
        <v>3176249.3647499997</v>
      </c>
      <c r="AS57" s="100">
        <f t="shared" si="114"/>
        <v>3176249.3647499997</v>
      </c>
      <c r="AT57" s="100">
        <f t="shared" si="114"/>
        <v>3176249.3647499997</v>
      </c>
      <c r="AU57" s="100">
        <f t="shared" si="114"/>
        <v>3176249.3647499997</v>
      </c>
      <c r="AV57" s="100">
        <f t="shared" si="114"/>
        <v>3176249.3647499997</v>
      </c>
      <c r="AW57" s="100">
        <f t="shared" si="114"/>
        <v>3176249.3647499997</v>
      </c>
      <c r="AX57" s="100">
        <f t="shared" si="114"/>
        <v>3176249.3647499997</v>
      </c>
      <c r="AY57" s="100">
        <f t="shared" si="114"/>
        <v>3176249.3647499997</v>
      </c>
      <c r="AZ57" s="100">
        <f t="shared" si="114"/>
        <v>3176249.3647499997</v>
      </c>
      <c r="BA57" s="100">
        <f t="shared" si="114"/>
        <v>3176249.3647499997</v>
      </c>
      <c r="BB57" s="100">
        <f t="shared" si="114"/>
        <v>3176249.3647499997</v>
      </c>
      <c r="BC57" s="101">
        <f t="shared" si="26"/>
        <v>14404764785.714863</v>
      </c>
      <c r="BD57" s="101">
        <f>IFERROR(up_RadSpec!$H$29*(BD29/$B57),".")</f>
        <v>3601191196.4287157</v>
      </c>
      <c r="BE57" s="101">
        <f>IFERROR(up_RadSpec!$H$29*(BE29/$B57),".")</f>
        <v>3601191196.4287157</v>
      </c>
      <c r="BF57" s="101">
        <f>IFERROR(up_RadSpec!$H$29*(BF29/$B57),".")</f>
        <v>3601191196.4287157</v>
      </c>
      <c r="BG57" s="101">
        <f>IFERROR(up_RadSpec!$H$29*(BG29/$B57),".")</f>
        <v>3601191196.4287157</v>
      </c>
      <c r="BH57" s="101">
        <f>IFERROR(up_RadSpec!$H$29*(BH29/$B57),".")</f>
        <v>3601191196.4287157</v>
      </c>
      <c r="BI57" s="101">
        <f>IFERROR(up_RadSpec!$H$29*(BI29/$B57),".")</f>
        <v>3601191196.4287157</v>
      </c>
      <c r="BJ57" s="101">
        <f>IFERROR(up_RadSpec!$H$29*(BJ29/$B57),".")</f>
        <v>3601191196.4287157</v>
      </c>
      <c r="BK57" s="101">
        <f>IFERROR(up_RadSpec!$H$29*(BK29/$B57),".")</f>
        <v>3601191196.4287157</v>
      </c>
      <c r="BL57" s="101">
        <f>IFERROR(up_RadSpec!$H$29*(BL29/$B57),".")</f>
        <v>3601191196.4287157</v>
      </c>
      <c r="BM57" s="101">
        <f>IFERROR(up_RadSpec!$H$29*(BM29/$B57),".")</f>
        <v>3601191196.4287157</v>
      </c>
      <c r="BN57" s="101">
        <f>IFERROR(up_RadSpec!$H$29*(BN29/$B57),".")</f>
        <v>3601191196.4287157</v>
      </c>
      <c r="BO57" s="101">
        <f>IFERROR(up_RadSpec!$H$29*(BO29/$B57),".")</f>
        <v>3601191196.4287157</v>
      </c>
      <c r="BP57" s="101">
        <f>IFERROR(up_RadSpec!$H$29*(BP29/$B57),".")</f>
        <v>3601191196.4287157</v>
      </c>
      <c r="BQ57" s="101">
        <f>IFERROR(up_RadSpec!$H$29*(BQ29/$B57),".")</f>
        <v>3601191196.4287157</v>
      </c>
      <c r="BR57" s="101">
        <f>IFERROR(up_RadSpec!$H$29*(BR29/$B57),".")</f>
        <v>3601191196.4287157</v>
      </c>
      <c r="BS57" s="101">
        <f>IFERROR(up_RadSpec!$H$29*(BS29/$B57),".")</f>
        <v>3601191196.4287157</v>
      </c>
      <c r="BT57" s="101">
        <f>IFERROR(up_RadSpec!$H$29*(BT29/$B57),".")</f>
        <v>3601191196.4287157</v>
      </c>
      <c r="BU57" s="101">
        <f>IFERROR(up_RadSpec!$H$29*(BU29/$B57),".")</f>
        <v>3601191196.4287157</v>
      </c>
      <c r="BV57" s="101">
        <f>IFERROR(up_RadSpec!$H$29*(BV29/$B57),".")</f>
        <v>3601191196.4287157</v>
      </c>
      <c r="BW57" s="101">
        <f>IFERROR(up_RadSpec!$H$29*(BW29/$B57),".")</f>
        <v>3601191196.4287157</v>
      </c>
      <c r="BX57" s="101">
        <f>IFERROR(up_RadSpec!$H$29*(BX29/$B57),".")</f>
        <v>3601191196.4287157</v>
      </c>
      <c r="BY57" s="101">
        <f>IFERROR(up_RadSpec!$H$29*(BY29/$B57),".")</f>
        <v>3601191196.4287157</v>
      </c>
      <c r="BZ57" s="101">
        <f>IFERROR(up_RadSpec!$H$29*(BZ29/$B57),".")</f>
        <v>3601191196.4287157</v>
      </c>
      <c r="CA57" s="101">
        <f>IFERROR(up_RadSpec!$H$29*(CA29/$B57),".")</f>
        <v>3601191196.4287157</v>
      </c>
      <c r="CB57" s="101">
        <f>IFERROR(up_RadSpec!$H$29*(CB29/$B57),".")</f>
        <v>3601191196.4287157</v>
      </c>
    </row>
    <row r="58" spans="1:80" x14ac:dyDescent="0.25">
      <c r="A58" s="99" t="s">
        <v>1093</v>
      </c>
      <c r="B58" s="90">
        <v>1</v>
      </c>
      <c r="C58" s="100">
        <f t="shared" ref="C58" si="115">IFERROR($B58/C16,0)</f>
        <v>60499999999.999992</v>
      </c>
      <c r="D58" s="100">
        <f t="shared" ref="D58:AC58" si="116">IFERROR($B58/D16,0)</f>
        <v>15124999999.999998</v>
      </c>
      <c r="E58" s="100">
        <f t="shared" si="116"/>
        <v>15124999999.999998</v>
      </c>
      <c r="F58" s="100">
        <f t="shared" si="116"/>
        <v>15124999999.999998</v>
      </c>
      <c r="G58" s="100">
        <f t="shared" si="116"/>
        <v>15124999999.999998</v>
      </c>
      <c r="H58" s="100">
        <f t="shared" si="116"/>
        <v>15124999999.999998</v>
      </c>
      <c r="I58" s="100">
        <f t="shared" si="116"/>
        <v>15124999999.999998</v>
      </c>
      <c r="J58" s="100">
        <f t="shared" si="116"/>
        <v>15124999999.999998</v>
      </c>
      <c r="K58" s="100">
        <f t="shared" si="116"/>
        <v>15124999999.999998</v>
      </c>
      <c r="L58" s="100">
        <f t="shared" si="116"/>
        <v>15124999999.999998</v>
      </c>
      <c r="M58" s="100">
        <f t="shared" si="116"/>
        <v>15124999999.999998</v>
      </c>
      <c r="N58" s="100">
        <f t="shared" si="116"/>
        <v>15124999999.999998</v>
      </c>
      <c r="O58" s="100">
        <f t="shared" si="116"/>
        <v>15124999999.999998</v>
      </c>
      <c r="P58" s="100">
        <f t="shared" si="116"/>
        <v>15124999999.999998</v>
      </c>
      <c r="Q58" s="100">
        <f t="shared" si="116"/>
        <v>15124999999.999998</v>
      </c>
      <c r="R58" s="100">
        <f t="shared" si="116"/>
        <v>15124999999.999998</v>
      </c>
      <c r="S58" s="100">
        <f t="shared" si="116"/>
        <v>15124999999.999998</v>
      </c>
      <c r="T58" s="100">
        <f t="shared" si="116"/>
        <v>15124999999.999998</v>
      </c>
      <c r="U58" s="100">
        <f t="shared" si="116"/>
        <v>15124999999.999998</v>
      </c>
      <c r="V58" s="100">
        <f t="shared" si="116"/>
        <v>15124999999.999998</v>
      </c>
      <c r="W58" s="100">
        <f t="shared" si="116"/>
        <v>15124999999.999998</v>
      </c>
      <c r="X58" s="100">
        <f t="shared" si="116"/>
        <v>15124999999.999998</v>
      </c>
      <c r="Y58" s="100">
        <f t="shared" si="116"/>
        <v>15124999999.999998</v>
      </c>
      <c r="Z58" s="100">
        <f t="shared" si="116"/>
        <v>15124999999.999998</v>
      </c>
      <c r="AA58" s="100">
        <f t="shared" si="116"/>
        <v>15124999999.999998</v>
      </c>
      <c r="AB58" s="100">
        <f t="shared" si="116"/>
        <v>15124999999.999998</v>
      </c>
      <c r="AC58" s="100">
        <f t="shared" si="116"/>
        <v>60499999999.999992</v>
      </c>
      <c r="AD58" s="100">
        <f t="shared" ref="AD58:BB58" si="117">IFERROR($B58/AD16,0)</f>
        <v>15124999999.999998</v>
      </c>
      <c r="AE58" s="100">
        <f t="shared" si="117"/>
        <v>15124999999.999998</v>
      </c>
      <c r="AF58" s="100">
        <f t="shared" si="117"/>
        <v>15124999999.999998</v>
      </c>
      <c r="AG58" s="100">
        <f t="shared" si="117"/>
        <v>15124999999.999998</v>
      </c>
      <c r="AH58" s="100">
        <f t="shared" si="117"/>
        <v>15124999999.999998</v>
      </c>
      <c r="AI58" s="100">
        <f t="shared" si="117"/>
        <v>15124999999.999998</v>
      </c>
      <c r="AJ58" s="100">
        <f t="shared" si="117"/>
        <v>15124999999.999998</v>
      </c>
      <c r="AK58" s="100">
        <f t="shared" si="117"/>
        <v>15124999999.999998</v>
      </c>
      <c r="AL58" s="100">
        <f t="shared" si="117"/>
        <v>15124999999.999998</v>
      </c>
      <c r="AM58" s="100">
        <f t="shared" si="117"/>
        <v>15124999999.999998</v>
      </c>
      <c r="AN58" s="100">
        <f t="shared" si="117"/>
        <v>15124999999.999998</v>
      </c>
      <c r="AO58" s="100">
        <f t="shared" si="117"/>
        <v>15124999999.999998</v>
      </c>
      <c r="AP58" s="100">
        <f t="shared" si="117"/>
        <v>15124999999.999998</v>
      </c>
      <c r="AQ58" s="100">
        <f t="shared" si="117"/>
        <v>15124999999.999998</v>
      </c>
      <c r="AR58" s="100">
        <f t="shared" si="117"/>
        <v>15124999999.999998</v>
      </c>
      <c r="AS58" s="100">
        <f t="shared" si="117"/>
        <v>15124999999.999998</v>
      </c>
      <c r="AT58" s="100">
        <f t="shared" si="117"/>
        <v>15124999999.999998</v>
      </c>
      <c r="AU58" s="100">
        <f t="shared" si="117"/>
        <v>15124999999.999998</v>
      </c>
      <c r="AV58" s="100">
        <f t="shared" si="117"/>
        <v>15124999999.999998</v>
      </c>
      <c r="AW58" s="100">
        <f t="shared" si="117"/>
        <v>15124999999.999998</v>
      </c>
      <c r="AX58" s="100">
        <f t="shared" si="117"/>
        <v>15124999999.999998</v>
      </c>
      <c r="AY58" s="100">
        <f t="shared" si="117"/>
        <v>15124999999.999998</v>
      </c>
      <c r="AZ58" s="100">
        <f t="shared" si="117"/>
        <v>15124999999.999998</v>
      </c>
      <c r="BA58" s="100">
        <f t="shared" si="117"/>
        <v>15124999999.999998</v>
      </c>
      <c r="BB58" s="100">
        <f t="shared" si="117"/>
        <v>15124999999.999998</v>
      </c>
      <c r="BC58" s="101">
        <f t="shared" si="26"/>
        <v>3025000</v>
      </c>
      <c r="BD58" s="101">
        <f>IFERROR(up_RadSpec!$H$16*(BD16/$B58),".")</f>
        <v>756250</v>
      </c>
      <c r="BE58" s="101">
        <f>IFERROR(up_RadSpec!$H$16*(BE16/$B58),".")</f>
        <v>756250</v>
      </c>
      <c r="BF58" s="101">
        <f>IFERROR(up_RadSpec!$H$16*(BF16/$B58),".")</f>
        <v>756250</v>
      </c>
      <c r="BG58" s="101">
        <f>IFERROR(up_RadSpec!$H$16*(BG16/$B58),".")</f>
        <v>756250</v>
      </c>
      <c r="BH58" s="101">
        <f>IFERROR(up_RadSpec!$H$16*(BH16/$B58),".")</f>
        <v>756250</v>
      </c>
      <c r="BI58" s="101">
        <f>IFERROR(up_RadSpec!$H$16*(BI16/$B58),".")</f>
        <v>756250</v>
      </c>
      <c r="BJ58" s="101">
        <f>IFERROR(up_RadSpec!$H$16*(BJ16/$B58),".")</f>
        <v>756250</v>
      </c>
      <c r="BK58" s="101">
        <f>IFERROR(up_RadSpec!$H$16*(BK16/$B58),".")</f>
        <v>756250</v>
      </c>
      <c r="BL58" s="101">
        <f>IFERROR(up_RadSpec!$H$16*(BL16/$B58),".")</f>
        <v>756250</v>
      </c>
      <c r="BM58" s="101">
        <f>IFERROR(up_RadSpec!$H$16*(BM16/$B58),".")</f>
        <v>756250</v>
      </c>
      <c r="BN58" s="101">
        <f>IFERROR(up_RadSpec!$H$16*(BN16/$B58),".")</f>
        <v>756250</v>
      </c>
      <c r="BO58" s="101">
        <f>IFERROR(up_RadSpec!$H$16*(BO16/$B58),".")</f>
        <v>756250</v>
      </c>
      <c r="BP58" s="101">
        <f>IFERROR(up_RadSpec!$H$16*(BP16/$B58),".")</f>
        <v>756250</v>
      </c>
      <c r="BQ58" s="101">
        <f>IFERROR(up_RadSpec!$H$16*(BQ16/$B58),".")</f>
        <v>756250</v>
      </c>
      <c r="BR58" s="101">
        <f>IFERROR(up_RadSpec!$H$16*(BR16/$B58),".")</f>
        <v>756250</v>
      </c>
      <c r="BS58" s="101">
        <f>IFERROR(up_RadSpec!$H$16*(BS16/$B58),".")</f>
        <v>756250</v>
      </c>
      <c r="BT58" s="101">
        <f>IFERROR(up_RadSpec!$H$16*(BT16/$B58),".")</f>
        <v>756250</v>
      </c>
      <c r="BU58" s="101">
        <f>IFERROR(up_RadSpec!$H$16*(BU16/$B58),".")</f>
        <v>756250</v>
      </c>
      <c r="BV58" s="101">
        <f>IFERROR(up_RadSpec!$H$16*(BV16/$B58),".")</f>
        <v>756250</v>
      </c>
      <c r="BW58" s="101">
        <f>IFERROR(up_RadSpec!$H$16*(BW16/$B58),".")</f>
        <v>756250</v>
      </c>
      <c r="BX58" s="101">
        <f>IFERROR(up_RadSpec!$H$16*(BX16/$B58),".")</f>
        <v>756250</v>
      </c>
      <c r="BY58" s="101">
        <f>IFERROR(up_RadSpec!$H$16*(BY16/$B58),".")</f>
        <v>756250</v>
      </c>
      <c r="BZ58" s="101">
        <f>IFERROR(up_RadSpec!$H$16*(BZ16/$B58),".")</f>
        <v>756250</v>
      </c>
      <c r="CA58" s="101">
        <f>IFERROR(up_RadSpec!$H$16*(CA16/$B58),".")</f>
        <v>756250</v>
      </c>
      <c r="CB58" s="101">
        <f>IFERROR(up_RadSpec!$H$16*(CB16/$B58),".")</f>
        <v>756250</v>
      </c>
    </row>
    <row r="59" spans="1:80" x14ac:dyDescent="0.25">
      <c r="A59" s="99" t="s">
        <v>1094</v>
      </c>
      <c r="B59" s="90">
        <v>1</v>
      </c>
      <c r="C59" s="100">
        <f t="shared" ref="C59" si="118">IFERROR($B59/C7,0)</f>
        <v>60499999999.999992</v>
      </c>
      <c r="D59" s="100">
        <f t="shared" ref="D59:AC59" si="119">IFERROR($B59/D7,0)</f>
        <v>15124999999.999998</v>
      </c>
      <c r="E59" s="100">
        <f t="shared" si="119"/>
        <v>15124999999.999998</v>
      </c>
      <c r="F59" s="100">
        <f t="shared" si="119"/>
        <v>15124999999.999998</v>
      </c>
      <c r="G59" s="100">
        <f t="shared" si="119"/>
        <v>15124999999.999998</v>
      </c>
      <c r="H59" s="100">
        <f t="shared" si="119"/>
        <v>15124999999.999998</v>
      </c>
      <c r="I59" s="100">
        <f t="shared" si="119"/>
        <v>15124999999.999998</v>
      </c>
      <c r="J59" s="100">
        <f t="shared" si="119"/>
        <v>15124999999.999998</v>
      </c>
      <c r="K59" s="100">
        <f t="shared" si="119"/>
        <v>15124999999.999998</v>
      </c>
      <c r="L59" s="100">
        <f t="shared" si="119"/>
        <v>15124999999.999998</v>
      </c>
      <c r="M59" s="100">
        <f t="shared" si="119"/>
        <v>15124999999.999998</v>
      </c>
      <c r="N59" s="100">
        <f t="shared" si="119"/>
        <v>15124999999.999998</v>
      </c>
      <c r="O59" s="100">
        <f t="shared" si="119"/>
        <v>15124999999.999998</v>
      </c>
      <c r="P59" s="100">
        <f t="shared" si="119"/>
        <v>15124999999.999998</v>
      </c>
      <c r="Q59" s="100">
        <f t="shared" si="119"/>
        <v>15124999999.999998</v>
      </c>
      <c r="R59" s="100">
        <f t="shared" si="119"/>
        <v>15124999999.999998</v>
      </c>
      <c r="S59" s="100">
        <f t="shared" si="119"/>
        <v>15124999999.999998</v>
      </c>
      <c r="T59" s="100">
        <f t="shared" si="119"/>
        <v>15124999999.999998</v>
      </c>
      <c r="U59" s="100">
        <f t="shared" si="119"/>
        <v>15124999999.999998</v>
      </c>
      <c r="V59" s="100">
        <f t="shared" si="119"/>
        <v>15124999999.999998</v>
      </c>
      <c r="W59" s="100">
        <f t="shared" si="119"/>
        <v>15124999999.999998</v>
      </c>
      <c r="X59" s="100">
        <f t="shared" si="119"/>
        <v>15124999999.999998</v>
      </c>
      <c r="Y59" s="100">
        <f t="shared" si="119"/>
        <v>15124999999.999998</v>
      </c>
      <c r="Z59" s="100">
        <f t="shared" si="119"/>
        <v>15124999999.999998</v>
      </c>
      <c r="AA59" s="100">
        <f t="shared" si="119"/>
        <v>15124999999.999998</v>
      </c>
      <c r="AB59" s="100">
        <f t="shared" si="119"/>
        <v>15124999999.999998</v>
      </c>
      <c r="AC59" s="100">
        <f t="shared" si="119"/>
        <v>60499999999.999992</v>
      </c>
      <c r="AD59" s="100">
        <f t="shared" ref="AD59:BB59" si="120">IFERROR($B59/AD7,0)</f>
        <v>15124999999.999998</v>
      </c>
      <c r="AE59" s="100">
        <f t="shared" si="120"/>
        <v>15124999999.999998</v>
      </c>
      <c r="AF59" s="100">
        <f t="shared" si="120"/>
        <v>15124999999.999998</v>
      </c>
      <c r="AG59" s="100">
        <f t="shared" si="120"/>
        <v>15124999999.999998</v>
      </c>
      <c r="AH59" s="100">
        <f t="shared" si="120"/>
        <v>15124999999.999998</v>
      </c>
      <c r="AI59" s="100">
        <f t="shared" si="120"/>
        <v>15124999999.999998</v>
      </c>
      <c r="AJ59" s="100">
        <f t="shared" si="120"/>
        <v>15124999999.999998</v>
      </c>
      <c r="AK59" s="100">
        <f t="shared" si="120"/>
        <v>15124999999.999998</v>
      </c>
      <c r="AL59" s="100">
        <f t="shared" si="120"/>
        <v>15124999999.999998</v>
      </c>
      <c r="AM59" s="100">
        <f t="shared" si="120"/>
        <v>15124999999.999998</v>
      </c>
      <c r="AN59" s="100">
        <f t="shared" si="120"/>
        <v>15124999999.999998</v>
      </c>
      <c r="AO59" s="100">
        <f t="shared" si="120"/>
        <v>15124999999.999998</v>
      </c>
      <c r="AP59" s="100">
        <f t="shared" si="120"/>
        <v>15124999999.999998</v>
      </c>
      <c r="AQ59" s="100">
        <f t="shared" si="120"/>
        <v>15124999999.999998</v>
      </c>
      <c r="AR59" s="100">
        <f t="shared" si="120"/>
        <v>15124999999.999998</v>
      </c>
      <c r="AS59" s="100">
        <f t="shared" si="120"/>
        <v>15124999999.999998</v>
      </c>
      <c r="AT59" s="100">
        <f t="shared" si="120"/>
        <v>15124999999.999998</v>
      </c>
      <c r="AU59" s="100">
        <f t="shared" si="120"/>
        <v>15124999999.999998</v>
      </c>
      <c r="AV59" s="100">
        <f t="shared" si="120"/>
        <v>15124999999.999998</v>
      </c>
      <c r="AW59" s="100">
        <f t="shared" si="120"/>
        <v>15124999999.999998</v>
      </c>
      <c r="AX59" s="100">
        <f t="shared" si="120"/>
        <v>15124999999.999998</v>
      </c>
      <c r="AY59" s="100">
        <f t="shared" si="120"/>
        <v>15124999999.999998</v>
      </c>
      <c r="AZ59" s="100">
        <f t="shared" si="120"/>
        <v>15124999999.999998</v>
      </c>
      <c r="BA59" s="100">
        <f t="shared" si="120"/>
        <v>15124999999.999998</v>
      </c>
      <c r="BB59" s="100">
        <f t="shared" si="120"/>
        <v>15124999999.999998</v>
      </c>
      <c r="BC59" s="101">
        <f t="shared" si="26"/>
        <v>3025000</v>
      </c>
      <c r="BD59" s="101">
        <f>IFERROR(up_RadSpec!$H$7*(BD7/$B59),".")</f>
        <v>756250</v>
      </c>
      <c r="BE59" s="101">
        <f>IFERROR(up_RadSpec!$H$7*(BE7/$B59),".")</f>
        <v>756250</v>
      </c>
      <c r="BF59" s="101">
        <f>IFERROR(up_RadSpec!$H$7*(BF7/$B59),".")</f>
        <v>756250</v>
      </c>
      <c r="BG59" s="101">
        <f>IFERROR(up_RadSpec!$H$7*(BG7/$B59),".")</f>
        <v>756250</v>
      </c>
      <c r="BH59" s="101">
        <f>IFERROR(up_RadSpec!$H$7*(BH7/$B59),".")</f>
        <v>756250</v>
      </c>
      <c r="BI59" s="101">
        <f>IFERROR(up_RadSpec!$H$7*(BI7/$B59),".")</f>
        <v>756250</v>
      </c>
      <c r="BJ59" s="101">
        <f>IFERROR(up_RadSpec!$H$7*(BJ7/$B59),".")</f>
        <v>756250</v>
      </c>
      <c r="BK59" s="101">
        <f>IFERROR(up_RadSpec!$H$7*(BK7/$B59),".")</f>
        <v>756250</v>
      </c>
      <c r="BL59" s="101">
        <f>IFERROR(up_RadSpec!$H$7*(BL7/$B59),".")</f>
        <v>756250</v>
      </c>
      <c r="BM59" s="101">
        <f>IFERROR(up_RadSpec!$H$7*(BM7/$B59),".")</f>
        <v>756250</v>
      </c>
      <c r="BN59" s="101">
        <f>IFERROR(up_RadSpec!$H$7*(BN7/$B59),".")</f>
        <v>756250</v>
      </c>
      <c r="BO59" s="101">
        <f>IFERROR(up_RadSpec!$H$7*(BO7/$B59),".")</f>
        <v>756250</v>
      </c>
      <c r="BP59" s="101">
        <f>IFERROR(up_RadSpec!$H$7*(BP7/$B59),".")</f>
        <v>756250</v>
      </c>
      <c r="BQ59" s="101">
        <f>IFERROR(up_RadSpec!$H$7*(BQ7/$B59),".")</f>
        <v>756250</v>
      </c>
      <c r="BR59" s="101">
        <f>IFERROR(up_RadSpec!$H$7*(BR7/$B59),".")</f>
        <v>756250</v>
      </c>
      <c r="BS59" s="101">
        <f>IFERROR(up_RadSpec!$H$7*(BS7/$B59),".")</f>
        <v>756250</v>
      </c>
      <c r="BT59" s="101">
        <f>IFERROR(up_RadSpec!$H$7*(BT7/$B59),".")</f>
        <v>756250</v>
      </c>
      <c r="BU59" s="101">
        <f>IFERROR(up_RadSpec!$H$7*(BU7/$B59),".")</f>
        <v>756250</v>
      </c>
      <c r="BV59" s="101">
        <f>IFERROR(up_RadSpec!$H$7*(BV7/$B59),".")</f>
        <v>756250</v>
      </c>
      <c r="BW59" s="101">
        <f>IFERROR(up_RadSpec!$H$7*(BW7/$B59),".")</f>
        <v>756250</v>
      </c>
      <c r="BX59" s="101">
        <f>IFERROR(up_RadSpec!$H$7*(BX7/$B59),".")</f>
        <v>756250</v>
      </c>
      <c r="BY59" s="101">
        <f>IFERROR(up_RadSpec!$H$7*(BY7/$B59),".")</f>
        <v>756250</v>
      </c>
      <c r="BZ59" s="101">
        <f>IFERROR(up_RadSpec!$H$7*(BZ7/$B59),".")</f>
        <v>756250</v>
      </c>
      <c r="CA59" s="101">
        <f>IFERROR(up_RadSpec!$H$7*(CA7/$B59),".")</f>
        <v>756250</v>
      </c>
      <c r="CB59" s="101">
        <f>IFERROR(up_RadSpec!$H$7*(CB7/$B59),".")</f>
        <v>756250</v>
      </c>
    </row>
    <row r="60" spans="1:80" x14ac:dyDescent="0.25">
      <c r="A60" s="99" t="s">
        <v>1095</v>
      </c>
      <c r="B60" s="104">
        <v>1.9000000000000001E-8</v>
      </c>
      <c r="C60" s="100">
        <f t="shared" ref="C60" si="121">IFERROR($B60/C12,0)</f>
        <v>1149.5</v>
      </c>
      <c r="D60" s="100">
        <f t="shared" ref="D60:AC60" si="122">IFERROR($B60/D12,0)</f>
        <v>287.375</v>
      </c>
      <c r="E60" s="100">
        <f t="shared" si="122"/>
        <v>287.375</v>
      </c>
      <c r="F60" s="100">
        <f t="shared" si="122"/>
        <v>287.375</v>
      </c>
      <c r="G60" s="100">
        <f t="shared" si="122"/>
        <v>287.375</v>
      </c>
      <c r="H60" s="100">
        <f t="shared" si="122"/>
        <v>287.375</v>
      </c>
      <c r="I60" s="100">
        <f t="shared" si="122"/>
        <v>287.375</v>
      </c>
      <c r="J60" s="100">
        <f t="shared" si="122"/>
        <v>287.375</v>
      </c>
      <c r="K60" s="100">
        <f t="shared" si="122"/>
        <v>287.375</v>
      </c>
      <c r="L60" s="100">
        <f t="shared" si="122"/>
        <v>287.375</v>
      </c>
      <c r="M60" s="100">
        <f t="shared" si="122"/>
        <v>287.375</v>
      </c>
      <c r="N60" s="100">
        <f t="shared" si="122"/>
        <v>287.375</v>
      </c>
      <c r="O60" s="100">
        <f t="shared" si="122"/>
        <v>287.375</v>
      </c>
      <c r="P60" s="100">
        <f t="shared" si="122"/>
        <v>287.375</v>
      </c>
      <c r="Q60" s="100">
        <f t="shared" si="122"/>
        <v>287.375</v>
      </c>
      <c r="R60" s="100">
        <f t="shared" si="122"/>
        <v>287.375</v>
      </c>
      <c r="S60" s="100">
        <f t="shared" si="122"/>
        <v>287.375</v>
      </c>
      <c r="T60" s="100">
        <f t="shared" si="122"/>
        <v>287.375</v>
      </c>
      <c r="U60" s="100">
        <f t="shared" si="122"/>
        <v>287.375</v>
      </c>
      <c r="V60" s="100">
        <f t="shared" si="122"/>
        <v>287.375</v>
      </c>
      <c r="W60" s="100">
        <f t="shared" si="122"/>
        <v>287.375</v>
      </c>
      <c r="X60" s="100">
        <f t="shared" si="122"/>
        <v>287.375</v>
      </c>
      <c r="Y60" s="100">
        <f t="shared" si="122"/>
        <v>287.375</v>
      </c>
      <c r="Z60" s="100">
        <f t="shared" si="122"/>
        <v>287.375</v>
      </c>
      <c r="AA60" s="100">
        <f t="shared" si="122"/>
        <v>287.375</v>
      </c>
      <c r="AB60" s="100">
        <f t="shared" si="122"/>
        <v>287.375</v>
      </c>
      <c r="AC60" s="100">
        <f t="shared" si="122"/>
        <v>1149.5</v>
      </c>
      <c r="AD60" s="100">
        <f t="shared" ref="AD60:BB60" si="123">IFERROR($B60/AD12,0)</f>
        <v>287.375</v>
      </c>
      <c r="AE60" s="100">
        <f t="shared" si="123"/>
        <v>287.375</v>
      </c>
      <c r="AF60" s="100">
        <f t="shared" si="123"/>
        <v>287.375</v>
      </c>
      <c r="AG60" s="100">
        <f t="shared" si="123"/>
        <v>287.375</v>
      </c>
      <c r="AH60" s="100">
        <f t="shared" si="123"/>
        <v>287.375</v>
      </c>
      <c r="AI60" s="100">
        <f t="shared" si="123"/>
        <v>287.375</v>
      </c>
      <c r="AJ60" s="100">
        <f t="shared" si="123"/>
        <v>287.375</v>
      </c>
      <c r="AK60" s="100">
        <f t="shared" si="123"/>
        <v>287.375</v>
      </c>
      <c r="AL60" s="100">
        <f t="shared" si="123"/>
        <v>287.375</v>
      </c>
      <c r="AM60" s="100">
        <f t="shared" si="123"/>
        <v>287.375</v>
      </c>
      <c r="AN60" s="100">
        <f t="shared" si="123"/>
        <v>287.375</v>
      </c>
      <c r="AO60" s="100">
        <f t="shared" si="123"/>
        <v>287.375</v>
      </c>
      <c r="AP60" s="100">
        <f t="shared" si="123"/>
        <v>287.375</v>
      </c>
      <c r="AQ60" s="100">
        <f t="shared" si="123"/>
        <v>287.375</v>
      </c>
      <c r="AR60" s="100">
        <f t="shared" si="123"/>
        <v>287.375</v>
      </c>
      <c r="AS60" s="100">
        <f t="shared" si="123"/>
        <v>287.375</v>
      </c>
      <c r="AT60" s="100">
        <f t="shared" si="123"/>
        <v>287.375</v>
      </c>
      <c r="AU60" s="100">
        <f t="shared" si="123"/>
        <v>287.375</v>
      </c>
      <c r="AV60" s="100">
        <f t="shared" si="123"/>
        <v>287.375</v>
      </c>
      <c r="AW60" s="100">
        <f t="shared" si="123"/>
        <v>287.375</v>
      </c>
      <c r="AX60" s="100">
        <f t="shared" si="123"/>
        <v>287.375</v>
      </c>
      <c r="AY60" s="100">
        <f t="shared" si="123"/>
        <v>287.375</v>
      </c>
      <c r="AZ60" s="100">
        <f t="shared" si="123"/>
        <v>287.375</v>
      </c>
      <c r="BA60" s="100">
        <f t="shared" si="123"/>
        <v>287.375</v>
      </c>
      <c r="BB60" s="100">
        <f t="shared" si="123"/>
        <v>287.375</v>
      </c>
      <c r="BC60" s="101">
        <f t="shared" si="26"/>
        <v>159210526315789.44</v>
      </c>
      <c r="BD60" s="101">
        <f>IFERROR(up_RadSpec!$H$12*(BD12/$B60),".")</f>
        <v>39802631578947.359</v>
      </c>
      <c r="BE60" s="101">
        <f>IFERROR(up_RadSpec!$H$12*(BE12/$B60),".")</f>
        <v>39802631578947.359</v>
      </c>
      <c r="BF60" s="101">
        <f>IFERROR(up_RadSpec!$H$12*(BF12/$B60),".")</f>
        <v>39802631578947.359</v>
      </c>
      <c r="BG60" s="101">
        <f>IFERROR(up_RadSpec!$H$12*(BG12/$B60),".")</f>
        <v>39802631578947.359</v>
      </c>
      <c r="BH60" s="101">
        <f>IFERROR(up_RadSpec!$H$12*(BH12/$B60),".")</f>
        <v>39802631578947.359</v>
      </c>
      <c r="BI60" s="101">
        <f>IFERROR(up_RadSpec!$H$12*(BI12/$B60),".")</f>
        <v>39802631578947.359</v>
      </c>
      <c r="BJ60" s="101">
        <f>IFERROR(up_RadSpec!$H$12*(BJ12/$B60),".")</f>
        <v>39802631578947.359</v>
      </c>
      <c r="BK60" s="101">
        <f>IFERROR(up_RadSpec!$H$12*(BK12/$B60),".")</f>
        <v>39802631578947.359</v>
      </c>
      <c r="BL60" s="101">
        <f>IFERROR(up_RadSpec!$H$12*(BL12/$B60),".")</f>
        <v>39802631578947.359</v>
      </c>
      <c r="BM60" s="101">
        <f>IFERROR(up_RadSpec!$H$12*(BM12/$B60),".")</f>
        <v>39802631578947.359</v>
      </c>
      <c r="BN60" s="101">
        <f>IFERROR(up_RadSpec!$H$12*(BN12/$B60),".")</f>
        <v>39802631578947.359</v>
      </c>
      <c r="BO60" s="101">
        <f>IFERROR(up_RadSpec!$H$12*(BO12/$B60),".")</f>
        <v>39802631578947.359</v>
      </c>
      <c r="BP60" s="101">
        <f>IFERROR(up_RadSpec!$H$12*(BP12/$B60),".")</f>
        <v>39802631578947.359</v>
      </c>
      <c r="BQ60" s="101">
        <f>IFERROR(up_RadSpec!$H$12*(BQ12/$B60),".")</f>
        <v>39802631578947.359</v>
      </c>
      <c r="BR60" s="101">
        <f>IFERROR(up_RadSpec!$H$12*(BR12/$B60),".")</f>
        <v>39802631578947.359</v>
      </c>
      <c r="BS60" s="101">
        <f>IFERROR(up_RadSpec!$H$12*(BS12/$B60),".")</f>
        <v>39802631578947.359</v>
      </c>
      <c r="BT60" s="101">
        <f>IFERROR(up_RadSpec!$H$12*(BT12/$B60),".")</f>
        <v>39802631578947.359</v>
      </c>
      <c r="BU60" s="101">
        <f>IFERROR(up_RadSpec!$H$12*(BU12/$B60),".")</f>
        <v>39802631578947.359</v>
      </c>
      <c r="BV60" s="101">
        <f>IFERROR(up_RadSpec!$H$12*(BV12/$B60),".")</f>
        <v>39802631578947.359</v>
      </c>
      <c r="BW60" s="101">
        <f>IFERROR(up_RadSpec!$H$12*(BW12/$B60),".")</f>
        <v>39802631578947.359</v>
      </c>
      <c r="BX60" s="101">
        <f>IFERROR(up_RadSpec!$H$12*(BX12/$B60),".")</f>
        <v>39802631578947.359</v>
      </c>
      <c r="BY60" s="101">
        <f>IFERROR(up_RadSpec!$H$12*(BY12/$B60),".")</f>
        <v>39802631578947.359</v>
      </c>
      <c r="BZ60" s="101">
        <f>IFERROR(up_RadSpec!$H$12*(BZ12/$B60),".")</f>
        <v>39802631578947.359</v>
      </c>
      <c r="CA60" s="101">
        <f>IFERROR(up_RadSpec!$H$12*(CA12/$B60),".")</f>
        <v>39802631578947.359</v>
      </c>
      <c r="CB60" s="101">
        <f>IFERROR(up_RadSpec!$H$12*(CB12/$B60),".")</f>
        <v>39802631578947.359</v>
      </c>
    </row>
    <row r="61" spans="1:80" x14ac:dyDescent="0.25">
      <c r="A61" s="99" t="s">
        <v>1096</v>
      </c>
      <c r="B61" s="90">
        <v>1</v>
      </c>
      <c r="C61" s="100">
        <f t="shared" ref="C61" si="124">IFERROR($B61/C18,0)</f>
        <v>60499999999.999992</v>
      </c>
      <c r="D61" s="100">
        <f t="shared" ref="D61:AC61" si="125">IFERROR($B61/D18,0)</f>
        <v>15124999999.999998</v>
      </c>
      <c r="E61" s="100">
        <f t="shared" si="125"/>
        <v>15124999999.999998</v>
      </c>
      <c r="F61" s="100">
        <f t="shared" si="125"/>
        <v>15124999999.999998</v>
      </c>
      <c r="G61" s="100">
        <f t="shared" si="125"/>
        <v>15124999999.999998</v>
      </c>
      <c r="H61" s="100">
        <f t="shared" si="125"/>
        <v>15124999999.999998</v>
      </c>
      <c r="I61" s="100">
        <f t="shared" si="125"/>
        <v>15124999999.999998</v>
      </c>
      <c r="J61" s="100">
        <f t="shared" si="125"/>
        <v>15124999999.999998</v>
      </c>
      <c r="K61" s="100">
        <f t="shared" si="125"/>
        <v>15124999999.999998</v>
      </c>
      <c r="L61" s="100">
        <f t="shared" si="125"/>
        <v>15124999999.999998</v>
      </c>
      <c r="M61" s="100">
        <f t="shared" si="125"/>
        <v>15124999999.999998</v>
      </c>
      <c r="N61" s="100">
        <f t="shared" si="125"/>
        <v>15124999999.999998</v>
      </c>
      <c r="O61" s="100">
        <f t="shared" si="125"/>
        <v>15124999999.999998</v>
      </c>
      <c r="P61" s="100">
        <f t="shared" si="125"/>
        <v>15124999999.999998</v>
      </c>
      <c r="Q61" s="100">
        <f t="shared" si="125"/>
        <v>15124999999.999998</v>
      </c>
      <c r="R61" s="100">
        <f t="shared" si="125"/>
        <v>15124999999.999998</v>
      </c>
      <c r="S61" s="100">
        <f t="shared" si="125"/>
        <v>15124999999.999998</v>
      </c>
      <c r="T61" s="100">
        <f t="shared" si="125"/>
        <v>15124999999.999998</v>
      </c>
      <c r="U61" s="100">
        <f t="shared" si="125"/>
        <v>15124999999.999998</v>
      </c>
      <c r="V61" s="100">
        <f t="shared" si="125"/>
        <v>15124999999.999998</v>
      </c>
      <c r="W61" s="100">
        <f t="shared" si="125"/>
        <v>15124999999.999998</v>
      </c>
      <c r="X61" s="100">
        <f t="shared" si="125"/>
        <v>15124999999.999998</v>
      </c>
      <c r="Y61" s="100">
        <f t="shared" si="125"/>
        <v>15124999999.999998</v>
      </c>
      <c r="Z61" s="100">
        <f t="shared" si="125"/>
        <v>15124999999.999998</v>
      </c>
      <c r="AA61" s="100">
        <f t="shared" si="125"/>
        <v>15124999999.999998</v>
      </c>
      <c r="AB61" s="100">
        <f t="shared" si="125"/>
        <v>15124999999.999998</v>
      </c>
      <c r="AC61" s="100">
        <f t="shared" si="125"/>
        <v>60499999999.999992</v>
      </c>
      <c r="AD61" s="100">
        <f t="shared" ref="AD61:BB61" si="126">IFERROR($B61/AD18,0)</f>
        <v>15124999999.999998</v>
      </c>
      <c r="AE61" s="100">
        <f t="shared" si="126"/>
        <v>15124999999.999998</v>
      </c>
      <c r="AF61" s="100">
        <f t="shared" si="126"/>
        <v>15124999999.999998</v>
      </c>
      <c r="AG61" s="100">
        <f t="shared" si="126"/>
        <v>15124999999.999998</v>
      </c>
      <c r="AH61" s="100">
        <f t="shared" si="126"/>
        <v>15124999999.999998</v>
      </c>
      <c r="AI61" s="100">
        <f t="shared" si="126"/>
        <v>15124999999.999998</v>
      </c>
      <c r="AJ61" s="100">
        <f t="shared" si="126"/>
        <v>15124999999.999998</v>
      </c>
      <c r="AK61" s="100">
        <f t="shared" si="126"/>
        <v>15124999999.999998</v>
      </c>
      <c r="AL61" s="100">
        <f t="shared" si="126"/>
        <v>15124999999.999998</v>
      </c>
      <c r="AM61" s="100">
        <f t="shared" si="126"/>
        <v>15124999999.999998</v>
      </c>
      <c r="AN61" s="100">
        <f t="shared" si="126"/>
        <v>15124999999.999998</v>
      </c>
      <c r="AO61" s="100">
        <f t="shared" si="126"/>
        <v>15124999999.999998</v>
      </c>
      <c r="AP61" s="100">
        <f t="shared" si="126"/>
        <v>15124999999.999998</v>
      </c>
      <c r="AQ61" s="100">
        <f t="shared" si="126"/>
        <v>15124999999.999998</v>
      </c>
      <c r="AR61" s="100">
        <f t="shared" si="126"/>
        <v>15124999999.999998</v>
      </c>
      <c r="AS61" s="100">
        <f t="shared" si="126"/>
        <v>15124999999.999998</v>
      </c>
      <c r="AT61" s="100">
        <f t="shared" si="126"/>
        <v>15124999999.999998</v>
      </c>
      <c r="AU61" s="100">
        <f t="shared" si="126"/>
        <v>15124999999.999998</v>
      </c>
      <c r="AV61" s="100">
        <f t="shared" si="126"/>
        <v>15124999999.999998</v>
      </c>
      <c r="AW61" s="100">
        <f t="shared" si="126"/>
        <v>15124999999.999998</v>
      </c>
      <c r="AX61" s="100">
        <f t="shared" si="126"/>
        <v>15124999999.999998</v>
      </c>
      <c r="AY61" s="100">
        <f t="shared" si="126"/>
        <v>15124999999.999998</v>
      </c>
      <c r="AZ61" s="100">
        <f t="shared" si="126"/>
        <v>15124999999.999998</v>
      </c>
      <c r="BA61" s="100">
        <f t="shared" si="126"/>
        <v>15124999999.999998</v>
      </c>
      <c r="BB61" s="100">
        <f t="shared" si="126"/>
        <v>15124999999.999998</v>
      </c>
      <c r="BC61" s="101">
        <f t="shared" si="26"/>
        <v>3025000</v>
      </c>
      <c r="BD61" s="101">
        <f>IFERROR(up_RadSpec!$H$18*(BD18/$B61),".")</f>
        <v>756250</v>
      </c>
      <c r="BE61" s="101">
        <f>IFERROR(up_RadSpec!$H$18*(BE18/$B61),".")</f>
        <v>756250</v>
      </c>
      <c r="BF61" s="101">
        <f>IFERROR(up_RadSpec!$H$18*(BF18/$B61),".")</f>
        <v>756250</v>
      </c>
      <c r="BG61" s="101">
        <f>IFERROR(up_RadSpec!$H$18*(BG18/$B61),".")</f>
        <v>756250</v>
      </c>
      <c r="BH61" s="101">
        <f>IFERROR(up_RadSpec!$H$18*(BH18/$B61),".")</f>
        <v>756250</v>
      </c>
      <c r="BI61" s="101">
        <f>IFERROR(up_RadSpec!$H$18*(BI18/$B61),".")</f>
        <v>756250</v>
      </c>
      <c r="BJ61" s="101">
        <f>IFERROR(up_RadSpec!$H$18*(BJ18/$B61),".")</f>
        <v>756250</v>
      </c>
      <c r="BK61" s="101">
        <f>IFERROR(up_RadSpec!$H$18*(BK18/$B61),".")</f>
        <v>756250</v>
      </c>
      <c r="BL61" s="101">
        <f>IFERROR(up_RadSpec!$H$18*(BL18/$B61),".")</f>
        <v>756250</v>
      </c>
      <c r="BM61" s="101">
        <f>IFERROR(up_RadSpec!$H$18*(BM18/$B61),".")</f>
        <v>756250</v>
      </c>
      <c r="BN61" s="101">
        <f>IFERROR(up_RadSpec!$H$18*(BN18/$B61),".")</f>
        <v>756250</v>
      </c>
      <c r="BO61" s="101">
        <f>IFERROR(up_RadSpec!$H$18*(BO18/$B61),".")</f>
        <v>756250</v>
      </c>
      <c r="BP61" s="101">
        <f>IFERROR(up_RadSpec!$H$18*(BP18/$B61),".")</f>
        <v>756250</v>
      </c>
      <c r="BQ61" s="101">
        <f>IFERROR(up_RadSpec!$H$18*(BQ18/$B61),".")</f>
        <v>756250</v>
      </c>
      <c r="BR61" s="101">
        <f>IFERROR(up_RadSpec!$H$18*(BR18/$B61),".")</f>
        <v>756250</v>
      </c>
      <c r="BS61" s="101">
        <f>IFERROR(up_RadSpec!$H$18*(BS18/$B61),".")</f>
        <v>756250</v>
      </c>
      <c r="BT61" s="101">
        <f>IFERROR(up_RadSpec!$H$18*(BT18/$B61),".")</f>
        <v>756250</v>
      </c>
      <c r="BU61" s="101">
        <f>IFERROR(up_RadSpec!$H$18*(BU18/$B61),".")</f>
        <v>756250</v>
      </c>
      <c r="BV61" s="101">
        <f>IFERROR(up_RadSpec!$H$18*(BV18/$B61),".")</f>
        <v>756250</v>
      </c>
      <c r="BW61" s="101">
        <f>IFERROR(up_RadSpec!$H$18*(BW18/$B61),".")</f>
        <v>756250</v>
      </c>
      <c r="BX61" s="101">
        <f>IFERROR(up_RadSpec!$H$18*(BX18/$B61),".")</f>
        <v>756250</v>
      </c>
      <c r="BY61" s="101">
        <f>IFERROR(up_RadSpec!$H$18*(BY18/$B61),".")</f>
        <v>756250</v>
      </c>
      <c r="BZ61" s="101">
        <f>IFERROR(up_RadSpec!$H$18*(BZ18/$B61),".")</f>
        <v>756250</v>
      </c>
      <c r="CA61" s="101">
        <f>IFERROR(up_RadSpec!$H$18*(CA18/$B61),".")</f>
        <v>756250</v>
      </c>
      <c r="CB61" s="101">
        <f>IFERROR(up_RadSpec!$H$18*(CB18/$B61),".")</f>
        <v>756250</v>
      </c>
    </row>
    <row r="62" spans="1:80" x14ac:dyDescent="0.25">
      <c r="A62" s="99" t="s">
        <v>1097</v>
      </c>
      <c r="B62" s="90">
        <v>1.339E-6</v>
      </c>
      <c r="C62" s="100">
        <f t="shared" ref="C62" si="127">IFERROR($B62/C27,0)</f>
        <v>81009.5</v>
      </c>
      <c r="D62" s="100">
        <f t="shared" ref="D62:AC62" si="128">IFERROR($B62/D27,0)</f>
        <v>20252.375</v>
      </c>
      <c r="E62" s="100">
        <f t="shared" si="128"/>
        <v>20252.375</v>
      </c>
      <c r="F62" s="100">
        <f t="shared" si="128"/>
        <v>20252.375</v>
      </c>
      <c r="G62" s="100">
        <f t="shared" si="128"/>
        <v>20252.375</v>
      </c>
      <c r="H62" s="100">
        <f t="shared" si="128"/>
        <v>20252.375</v>
      </c>
      <c r="I62" s="100">
        <f t="shared" si="128"/>
        <v>20252.375</v>
      </c>
      <c r="J62" s="100">
        <f t="shared" si="128"/>
        <v>20252.375</v>
      </c>
      <c r="K62" s="100">
        <f t="shared" si="128"/>
        <v>20252.375</v>
      </c>
      <c r="L62" s="100">
        <f t="shared" si="128"/>
        <v>20252.375</v>
      </c>
      <c r="M62" s="100">
        <f t="shared" si="128"/>
        <v>20252.375</v>
      </c>
      <c r="N62" s="100">
        <f t="shared" si="128"/>
        <v>20252.375</v>
      </c>
      <c r="O62" s="100">
        <f t="shared" si="128"/>
        <v>20252.375</v>
      </c>
      <c r="P62" s="100">
        <f t="shared" si="128"/>
        <v>20252.375</v>
      </c>
      <c r="Q62" s="100">
        <f t="shared" si="128"/>
        <v>20252.375</v>
      </c>
      <c r="R62" s="100">
        <f t="shared" si="128"/>
        <v>20252.375</v>
      </c>
      <c r="S62" s="100">
        <f t="shared" si="128"/>
        <v>20252.375</v>
      </c>
      <c r="T62" s="100">
        <f t="shared" si="128"/>
        <v>20252.375</v>
      </c>
      <c r="U62" s="100">
        <f t="shared" si="128"/>
        <v>20252.375</v>
      </c>
      <c r="V62" s="100">
        <f t="shared" si="128"/>
        <v>20252.375</v>
      </c>
      <c r="W62" s="100">
        <f t="shared" si="128"/>
        <v>20252.375</v>
      </c>
      <c r="X62" s="100">
        <f t="shared" si="128"/>
        <v>20252.375</v>
      </c>
      <c r="Y62" s="100">
        <f t="shared" si="128"/>
        <v>20252.375</v>
      </c>
      <c r="Z62" s="100">
        <f t="shared" si="128"/>
        <v>20252.375</v>
      </c>
      <c r="AA62" s="100">
        <f t="shared" si="128"/>
        <v>20252.375</v>
      </c>
      <c r="AB62" s="100">
        <f t="shared" si="128"/>
        <v>20252.375</v>
      </c>
      <c r="AC62" s="100">
        <f t="shared" si="128"/>
        <v>81009.5</v>
      </c>
      <c r="AD62" s="100">
        <f t="shared" ref="AD62:BB62" si="129">IFERROR($B62/AD27,0)</f>
        <v>20252.375</v>
      </c>
      <c r="AE62" s="100">
        <f t="shared" si="129"/>
        <v>20252.375</v>
      </c>
      <c r="AF62" s="100">
        <f t="shared" si="129"/>
        <v>20252.375</v>
      </c>
      <c r="AG62" s="100">
        <f t="shared" si="129"/>
        <v>20252.375</v>
      </c>
      <c r="AH62" s="100">
        <f t="shared" si="129"/>
        <v>20252.375</v>
      </c>
      <c r="AI62" s="100">
        <f t="shared" si="129"/>
        <v>20252.375</v>
      </c>
      <c r="AJ62" s="100">
        <f t="shared" si="129"/>
        <v>20252.375</v>
      </c>
      <c r="AK62" s="100">
        <f t="shared" si="129"/>
        <v>20252.375</v>
      </c>
      <c r="AL62" s="100">
        <f t="shared" si="129"/>
        <v>20252.375</v>
      </c>
      <c r="AM62" s="100">
        <f t="shared" si="129"/>
        <v>20252.375</v>
      </c>
      <c r="AN62" s="100">
        <f t="shared" si="129"/>
        <v>20252.375</v>
      </c>
      <c r="AO62" s="100">
        <f t="shared" si="129"/>
        <v>20252.375</v>
      </c>
      <c r="AP62" s="100">
        <f t="shared" si="129"/>
        <v>20252.375</v>
      </c>
      <c r="AQ62" s="100">
        <f t="shared" si="129"/>
        <v>20252.375</v>
      </c>
      <c r="AR62" s="100">
        <f t="shared" si="129"/>
        <v>20252.375</v>
      </c>
      <c r="AS62" s="100">
        <f t="shared" si="129"/>
        <v>20252.375</v>
      </c>
      <c r="AT62" s="100">
        <f t="shared" si="129"/>
        <v>20252.375</v>
      </c>
      <c r="AU62" s="100">
        <f t="shared" si="129"/>
        <v>20252.375</v>
      </c>
      <c r="AV62" s="100">
        <f t="shared" si="129"/>
        <v>20252.375</v>
      </c>
      <c r="AW62" s="100">
        <f t="shared" si="129"/>
        <v>20252.375</v>
      </c>
      <c r="AX62" s="100">
        <f t="shared" si="129"/>
        <v>20252.375</v>
      </c>
      <c r="AY62" s="100">
        <f t="shared" si="129"/>
        <v>20252.375</v>
      </c>
      <c r="AZ62" s="100">
        <f t="shared" si="129"/>
        <v>20252.375</v>
      </c>
      <c r="BA62" s="100">
        <f t="shared" si="129"/>
        <v>20252.375</v>
      </c>
      <c r="BB62" s="100">
        <f t="shared" si="129"/>
        <v>20252.375</v>
      </c>
      <c r="BC62" s="101">
        <f t="shared" si="26"/>
        <v>2259148618371.9194</v>
      </c>
      <c r="BD62" s="101">
        <f>IFERROR(up_RadSpec!$H$27*(BD27/$B62),".")</f>
        <v>564787154592.97986</v>
      </c>
      <c r="BE62" s="101">
        <f>IFERROR(up_RadSpec!$H$27*(BE27/$B62),".")</f>
        <v>564787154592.97986</v>
      </c>
      <c r="BF62" s="101">
        <f>IFERROR(up_RadSpec!$H$27*(BF27/$B62),".")</f>
        <v>564787154592.97986</v>
      </c>
      <c r="BG62" s="101">
        <f>IFERROR(up_RadSpec!$H$27*(BG27/$B62),".")</f>
        <v>564787154592.97986</v>
      </c>
      <c r="BH62" s="101">
        <f>IFERROR(up_RadSpec!$H$27*(BH27/$B62),".")</f>
        <v>564787154592.97986</v>
      </c>
      <c r="BI62" s="101">
        <f>IFERROR(up_RadSpec!$H$27*(BI27/$B62),".")</f>
        <v>564787154592.97986</v>
      </c>
      <c r="BJ62" s="101">
        <f>IFERROR(up_RadSpec!$H$27*(BJ27/$B62),".")</f>
        <v>564787154592.97986</v>
      </c>
      <c r="BK62" s="101">
        <f>IFERROR(up_RadSpec!$H$27*(BK27/$B62),".")</f>
        <v>564787154592.97986</v>
      </c>
      <c r="BL62" s="101">
        <f>IFERROR(up_RadSpec!$H$27*(BL27/$B62),".")</f>
        <v>564787154592.97986</v>
      </c>
      <c r="BM62" s="101">
        <f>IFERROR(up_RadSpec!$H$27*(BM27/$B62),".")</f>
        <v>564787154592.97986</v>
      </c>
      <c r="BN62" s="101">
        <f>IFERROR(up_RadSpec!$H$27*(BN27/$B62),".")</f>
        <v>564787154592.97986</v>
      </c>
      <c r="BO62" s="101">
        <f>IFERROR(up_RadSpec!$H$27*(BO27/$B62),".")</f>
        <v>564787154592.97986</v>
      </c>
      <c r="BP62" s="101">
        <f>IFERROR(up_RadSpec!$H$27*(BP27/$B62),".")</f>
        <v>564787154592.97986</v>
      </c>
      <c r="BQ62" s="101">
        <f>IFERROR(up_RadSpec!$H$27*(BQ27/$B62),".")</f>
        <v>564787154592.97986</v>
      </c>
      <c r="BR62" s="101">
        <f>IFERROR(up_RadSpec!$H$27*(BR27/$B62),".")</f>
        <v>564787154592.97986</v>
      </c>
      <c r="BS62" s="101">
        <f>IFERROR(up_RadSpec!$H$27*(BS27/$B62),".")</f>
        <v>564787154592.97986</v>
      </c>
      <c r="BT62" s="101">
        <f>IFERROR(up_RadSpec!$H$27*(BT27/$B62),".")</f>
        <v>564787154592.97986</v>
      </c>
      <c r="BU62" s="101">
        <f>IFERROR(up_RadSpec!$H$27*(BU27/$B62),".")</f>
        <v>564787154592.97986</v>
      </c>
      <c r="BV62" s="101">
        <f>IFERROR(up_RadSpec!$H$27*(BV27/$B62),".")</f>
        <v>564787154592.97986</v>
      </c>
      <c r="BW62" s="101">
        <f>IFERROR(up_RadSpec!$H$27*(BW27/$B62),".")</f>
        <v>564787154592.97986</v>
      </c>
      <c r="BX62" s="101">
        <f>IFERROR(up_RadSpec!$H$27*(BX27/$B62),".")</f>
        <v>564787154592.97986</v>
      </c>
      <c r="BY62" s="101">
        <f>IFERROR(up_RadSpec!$H$27*(BY27/$B62),".")</f>
        <v>564787154592.97986</v>
      </c>
      <c r="BZ62" s="101">
        <f>IFERROR(up_RadSpec!$H$27*(BZ27/$B62),".")</f>
        <v>564787154592.97986</v>
      </c>
      <c r="CA62" s="101">
        <f>IFERROR(up_RadSpec!$H$27*(CA27/$B62),".")</f>
        <v>564787154592.97986</v>
      </c>
      <c r="CB62" s="101">
        <f>IFERROR(up_RadSpec!$H$27*(CB27/$B62),".")</f>
        <v>564787154592.97986</v>
      </c>
    </row>
    <row r="63" spans="1:80" x14ac:dyDescent="0.25">
      <c r="A63" s="95" t="s">
        <v>35</v>
      </c>
      <c r="B63" s="95" t="s">
        <v>1071</v>
      </c>
      <c r="C63" s="96">
        <f t="shared" ref="C63" si="130">IFERROR(1/SUM(C64:C76),0)</f>
        <v>2.0661153517562577E-12</v>
      </c>
      <c r="D63" s="96">
        <f t="shared" ref="D63:AB63" si="131">IFERROR(1/SUM(D64:D76),0)</f>
        <v>8.264461407025031E-12</v>
      </c>
      <c r="E63" s="96">
        <f t="shared" si="131"/>
        <v>8.264461407025031E-12</v>
      </c>
      <c r="F63" s="96">
        <f t="shared" si="131"/>
        <v>8.264461407025031E-12</v>
      </c>
      <c r="G63" s="96">
        <f t="shared" si="131"/>
        <v>8.264461407025031E-12</v>
      </c>
      <c r="H63" s="96">
        <f t="shared" si="131"/>
        <v>8.264461407025031E-12</v>
      </c>
      <c r="I63" s="96">
        <f t="shared" si="131"/>
        <v>8.264461407025031E-12</v>
      </c>
      <c r="J63" s="96">
        <f t="shared" si="131"/>
        <v>8.264461407025031E-12</v>
      </c>
      <c r="K63" s="96">
        <f t="shared" si="131"/>
        <v>8.264461407025031E-12</v>
      </c>
      <c r="L63" s="96">
        <f t="shared" si="131"/>
        <v>8.264461407025031E-12</v>
      </c>
      <c r="M63" s="96">
        <f t="shared" si="131"/>
        <v>8.264461407025031E-12</v>
      </c>
      <c r="N63" s="96">
        <f t="shared" si="131"/>
        <v>8.264461407025031E-12</v>
      </c>
      <c r="O63" s="96">
        <f t="shared" si="131"/>
        <v>8.264461407025031E-12</v>
      </c>
      <c r="P63" s="96">
        <f t="shared" si="131"/>
        <v>8.264461407025031E-12</v>
      </c>
      <c r="Q63" s="96">
        <f t="shared" si="131"/>
        <v>8.264461407025031E-12</v>
      </c>
      <c r="R63" s="96">
        <f t="shared" si="131"/>
        <v>8.264461407025031E-12</v>
      </c>
      <c r="S63" s="96">
        <f t="shared" si="131"/>
        <v>8.264461407025031E-12</v>
      </c>
      <c r="T63" s="96">
        <f t="shared" si="131"/>
        <v>8.264461407025031E-12</v>
      </c>
      <c r="U63" s="96">
        <f t="shared" si="131"/>
        <v>8.264461407025031E-12</v>
      </c>
      <c r="V63" s="96">
        <f t="shared" si="131"/>
        <v>8.264461407025031E-12</v>
      </c>
      <c r="W63" s="96">
        <f t="shared" si="131"/>
        <v>8.264461407025031E-12</v>
      </c>
      <c r="X63" s="96">
        <f t="shared" si="131"/>
        <v>8.264461407025031E-12</v>
      </c>
      <c r="Y63" s="96">
        <f t="shared" si="131"/>
        <v>8.264461407025031E-12</v>
      </c>
      <c r="Z63" s="96">
        <f t="shared" si="131"/>
        <v>8.264461407025031E-12</v>
      </c>
      <c r="AA63" s="96">
        <f t="shared" si="131"/>
        <v>8.264461407025031E-12</v>
      </c>
      <c r="AB63" s="96">
        <f t="shared" si="131"/>
        <v>8.264461407025031E-12</v>
      </c>
      <c r="AC63" s="96">
        <f t="shared" ref="AC63" si="132">IFERROR(1/SUM(AC64:AC76),0)</f>
        <v>2.0661153517562577E-12</v>
      </c>
      <c r="AD63" s="96">
        <f t="shared" ref="AD63:BB63" si="133">IFERROR(1/SUM(AD64:AD76),0)</f>
        <v>8.264461407025031E-12</v>
      </c>
      <c r="AE63" s="96">
        <f t="shared" si="133"/>
        <v>8.264461407025031E-12</v>
      </c>
      <c r="AF63" s="96">
        <f t="shared" si="133"/>
        <v>8.264461407025031E-12</v>
      </c>
      <c r="AG63" s="96">
        <f t="shared" si="133"/>
        <v>8.264461407025031E-12</v>
      </c>
      <c r="AH63" s="96">
        <f t="shared" si="133"/>
        <v>8.264461407025031E-12</v>
      </c>
      <c r="AI63" s="96">
        <f t="shared" si="133"/>
        <v>8.264461407025031E-12</v>
      </c>
      <c r="AJ63" s="96">
        <f t="shared" si="133"/>
        <v>8.264461407025031E-12</v>
      </c>
      <c r="AK63" s="96">
        <f t="shared" si="133"/>
        <v>8.264461407025031E-12</v>
      </c>
      <c r="AL63" s="96">
        <f t="shared" si="133"/>
        <v>8.264461407025031E-12</v>
      </c>
      <c r="AM63" s="96">
        <f t="shared" si="133"/>
        <v>8.264461407025031E-12</v>
      </c>
      <c r="AN63" s="96">
        <f t="shared" si="133"/>
        <v>8.264461407025031E-12</v>
      </c>
      <c r="AO63" s="96">
        <f t="shared" si="133"/>
        <v>8.264461407025031E-12</v>
      </c>
      <c r="AP63" s="96">
        <f t="shared" si="133"/>
        <v>8.264461407025031E-12</v>
      </c>
      <c r="AQ63" s="96">
        <f t="shared" si="133"/>
        <v>8.264461407025031E-12</v>
      </c>
      <c r="AR63" s="96">
        <f t="shared" si="133"/>
        <v>8.264461407025031E-12</v>
      </c>
      <c r="AS63" s="96">
        <f t="shared" si="133"/>
        <v>8.264461407025031E-12</v>
      </c>
      <c r="AT63" s="96">
        <f t="shared" si="133"/>
        <v>8.264461407025031E-12</v>
      </c>
      <c r="AU63" s="96">
        <f t="shared" si="133"/>
        <v>8.264461407025031E-12</v>
      </c>
      <c r="AV63" s="96">
        <f t="shared" si="133"/>
        <v>8.264461407025031E-12</v>
      </c>
      <c r="AW63" s="96">
        <f t="shared" si="133"/>
        <v>8.264461407025031E-12</v>
      </c>
      <c r="AX63" s="96">
        <f t="shared" si="133"/>
        <v>8.264461407025031E-12</v>
      </c>
      <c r="AY63" s="96">
        <f t="shared" si="133"/>
        <v>8.264461407025031E-12</v>
      </c>
      <c r="AZ63" s="96">
        <f t="shared" si="133"/>
        <v>8.264461407025031E-12</v>
      </c>
      <c r="BA63" s="96">
        <f t="shared" si="133"/>
        <v>8.264461407025031E-12</v>
      </c>
      <c r="BB63" s="96">
        <f t="shared" si="133"/>
        <v>8.264461407025031E-12</v>
      </c>
      <c r="BC63" s="97">
        <f t="shared" si="26"/>
        <v>4</v>
      </c>
      <c r="BD63" s="97">
        <f>IFERROR(IF(SUM(BD64:BD76)&gt;0.01,1-EXP(-(SUM(BD64:BD76))),SUM(BD64:BD76)),".")</f>
        <v>1</v>
      </c>
      <c r="BE63" s="97">
        <f t="shared" ref="BE63:BZ63" si="134">IFERROR(IF(SUM(BE64:BE76)&gt;0.01,1-EXP(-(SUM(BE64:BE76))),SUM(BE64:BE76)),".")</f>
        <v>1</v>
      </c>
      <c r="BF63" s="97">
        <f t="shared" si="134"/>
        <v>1</v>
      </c>
      <c r="BG63" s="97">
        <f t="shared" si="134"/>
        <v>1</v>
      </c>
      <c r="BH63" s="97">
        <f t="shared" si="134"/>
        <v>1</v>
      </c>
      <c r="BI63" s="97">
        <f t="shared" si="134"/>
        <v>1</v>
      </c>
      <c r="BJ63" s="97">
        <f t="shared" si="134"/>
        <v>1</v>
      </c>
      <c r="BK63" s="97">
        <f t="shared" si="134"/>
        <v>1</v>
      </c>
      <c r="BL63" s="97">
        <f t="shared" si="134"/>
        <v>1</v>
      </c>
      <c r="BM63" s="97">
        <f t="shared" si="134"/>
        <v>1</v>
      </c>
      <c r="BN63" s="97">
        <f t="shared" si="134"/>
        <v>1</v>
      </c>
      <c r="BO63" s="97">
        <f t="shared" si="134"/>
        <v>1</v>
      </c>
      <c r="BP63" s="97">
        <f t="shared" si="134"/>
        <v>1</v>
      </c>
      <c r="BQ63" s="97">
        <f t="shared" si="134"/>
        <v>1</v>
      </c>
      <c r="BR63" s="97">
        <f t="shared" si="134"/>
        <v>1</v>
      </c>
      <c r="BS63" s="97">
        <f t="shared" si="134"/>
        <v>1</v>
      </c>
      <c r="BT63" s="97">
        <f t="shared" si="134"/>
        <v>1</v>
      </c>
      <c r="BU63" s="97">
        <f t="shared" si="134"/>
        <v>1</v>
      </c>
      <c r="BV63" s="97">
        <f t="shared" si="134"/>
        <v>1</v>
      </c>
      <c r="BW63" s="97">
        <f t="shared" si="134"/>
        <v>1</v>
      </c>
      <c r="BX63" s="97">
        <f t="shared" si="134"/>
        <v>1</v>
      </c>
      <c r="BY63" s="97">
        <f t="shared" si="134"/>
        <v>1</v>
      </c>
      <c r="BZ63" s="97">
        <f t="shared" si="134"/>
        <v>1</v>
      </c>
      <c r="CA63" s="97">
        <f>IFERROR(IF(SUM(CA64:CA76)&gt;0.01,1-EXP(-(SUM(CA64:CA76))),SUM(CA64:CA76)),".")</f>
        <v>1</v>
      </c>
      <c r="CB63" s="97">
        <f>IFERROR(IF(SUM(CB64:CB76)&gt;0.01,1-EXP(-(SUM(CB64:CB76))),SUM(CB64:CB76)),".")</f>
        <v>1</v>
      </c>
    </row>
    <row r="64" spans="1:80" x14ac:dyDescent="0.25">
      <c r="A64" s="99" t="s">
        <v>1087</v>
      </c>
      <c r="B64" s="90">
        <v>1</v>
      </c>
      <c r="C64" s="100">
        <f t="shared" ref="C64" si="135">IFERROR($B64/C25,0)</f>
        <v>60499999999.999992</v>
      </c>
      <c r="D64" s="100">
        <f t="shared" ref="D64:AC64" si="136">IFERROR($B64/D25,0)</f>
        <v>15124999999.999998</v>
      </c>
      <c r="E64" s="100">
        <f t="shared" si="136"/>
        <v>15124999999.999998</v>
      </c>
      <c r="F64" s="100">
        <f t="shared" si="136"/>
        <v>15124999999.999998</v>
      </c>
      <c r="G64" s="100">
        <f t="shared" si="136"/>
        <v>15124999999.999998</v>
      </c>
      <c r="H64" s="100">
        <f t="shared" si="136"/>
        <v>15124999999.999998</v>
      </c>
      <c r="I64" s="100">
        <f t="shared" si="136"/>
        <v>15124999999.999998</v>
      </c>
      <c r="J64" s="100">
        <f t="shared" si="136"/>
        <v>15124999999.999998</v>
      </c>
      <c r="K64" s="100">
        <f t="shared" si="136"/>
        <v>15124999999.999998</v>
      </c>
      <c r="L64" s="100">
        <f t="shared" si="136"/>
        <v>15124999999.999998</v>
      </c>
      <c r="M64" s="100">
        <f t="shared" si="136"/>
        <v>15124999999.999998</v>
      </c>
      <c r="N64" s="100">
        <f t="shared" si="136"/>
        <v>15124999999.999998</v>
      </c>
      <c r="O64" s="100">
        <f t="shared" si="136"/>
        <v>15124999999.999998</v>
      </c>
      <c r="P64" s="100">
        <f t="shared" si="136"/>
        <v>15124999999.999998</v>
      </c>
      <c r="Q64" s="100">
        <f t="shared" si="136"/>
        <v>15124999999.999998</v>
      </c>
      <c r="R64" s="100">
        <f t="shared" si="136"/>
        <v>15124999999.999998</v>
      </c>
      <c r="S64" s="100">
        <f t="shared" si="136"/>
        <v>15124999999.999998</v>
      </c>
      <c r="T64" s="100">
        <f t="shared" si="136"/>
        <v>15124999999.999998</v>
      </c>
      <c r="U64" s="100">
        <f t="shared" si="136"/>
        <v>15124999999.999998</v>
      </c>
      <c r="V64" s="100">
        <f t="shared" si="136"/>
        <v>15124999999.999998</v>
      </c>
      <c r="W64" s="100">
        <f t="shared" si="136"/>
        <v>15124999999.999998</v>
      </c>
      <c r="X64" s="100">
        <f t="shared" si="136"/>
        <v>15124999999.999998</v>
      </c>
      <c r="Y64" s="100">
        <f t="shared" si="136"/>
        <v>15124999999.999998</v>
      </c>
      <c r="Z64" s="100">
        <f t="shared" si="136"/>
        <v>15124999999.999998</v>
      </c>
      <c r="AA64" s="100">
        <f t="shared" si="136"/>
        <v>15124999999.999998</v>
      </c>
      <c r="AB64" s="100">
        <f t="shared" si="136"/>
        <v>15124999999.999998</v>
      </c>
      <c r="AC64" s="100">
        <f t="shared" si="136"/>
        <v>60499999999.999992</v>
      </c>
      <c r="AD64" s="100">
        <f t="shared" ref="AD64:BB64" si="137">IFERROR($B64/AD25,0)</f>
        <v>15124999999.999998</v>
      </c>
      <c r="AE64" s="100">
        <f t="shared" si="137"/>
        <v>15124999999.999998</v>
      </c>
      <c r="AF64" s="100">
        <f t="shared" si="137"/>
        <v>15124999999.999998</v>
      </c>
      <c r="AG64" s="100">
        <f t="shared" si="137"/>
        <v>15124999999.999998</v>
      </c>
      <c r="AH64" s="100">
        <f t="shared" si="137"/>
        <v>15124999999.999998</v>
      </c>
      <c r="AI64" s="100">
        <f t="shared" si="137"/>
        <v>15124999999.999998</v>
      </c>
      <c r="AJ64" s="100">
        <f t="shared" si="137"/>
        <v>15124999999.999998</v>
      </c>
      <c r="AK64" s="100">
        <f t="shared" si="137"/>
        <v>15124999999.999998</v>
      </c>
      <c r="AL64" s="100">
        <f t="shared" si="137"/>
        <v>15124999999.999998</v>
      </c>
      <c r="AM64" s="100">
        <f t="shared" si="137"/>
        <v>15124999999.999998</v>
      </c>
      <c r="AN64" s="100">
        <f t="shared" si="137"/>
        <v>15124999999.999998</v>
      </c>
      <c r="AO64" s="100">
        <f t="shared" si="137"/>
        <v>15124999999.999998</v>
      </c>
      <c r="AP64" s="100">
        <f t="shared" si="137"/>
        <v>15124999999.999998</v>
      </c>
      <c r="AQ64" s="100">
        <f t="shared" si="137"/>
        <v>15124999999.999998</v>
      </c>
      <c r="AR64" s="100">
        <f t="shared" si="137"/>
        <v>15124999999.999998</v>
      </c>
      <c r="AS64" s="100">
        <f t="shared" si="137"/>
        <v>15124999999.999998</v>
      </c>
      <c r="AT64" s="100">
        <f t="shared" si="137"/>
        <v>15124999999.999998</v>
      </c>
      <c r="AU64" s="100">
        <f t="shared" si="137"/>
        <v>15124999999.999998</v>
      </c>
      <c r="AV64" s="100">
        <f t="shared" si="137"/>
        <v>15124999999.999998</v>
      </c>
      <c r="AW64" s="100">
        <f t="shared" si="137"/>
        <v>15124999999.999998</v>
      </c>
      <c r="AX64" s="100">
        <f t="shared" si="137"/>
        <v>15124999999.999998</v>
      </c>
      <c r="AY64" s="100">
        <f t="shared" si="137"/>
        <v>15124999999.999998</v>
      </c>
      <c r="AZ64" s="100">
        <f t="shared" si="137"/>
        <v>15124999999.999998</v>
      </c>
      <c r="BA64" s="100">
        <f t="shared" si="137"/>
        <v>15124999999.999998</v>
      </c>
      <c r="BB64" s="100">
        <f t="shared" si="137"/>
        <v>15124999999.999998</v>
      </c>
      <c r="BC64" s="101">
        <f t="shared" si="26"/>
        <v>3025000</v>
      </c>
      <c r="BD64" s="101">
        <f>IFERROR(up_RadSpec!$H$25*(BD25/$B64),".")</f>
        <v>756250</v>
      </c>
      <c r="BE64" s="101">
        <f>IFERROR(up_RadSpec!$H$25*(BE25/$B64),".")</f>
        <v>756250</v>
      </c>
      <c r="BF64" s="101">
        <f>IFERROR(up_RadSpec!$H$25*(BF25/$B64),".")</f>
        <v>756250</v>
      </c>
      <c r="BG64" s="101">
        <f>IFERROR(up_RadSpec!$H$25*(BG25/$B64),".")</f>
        <v>756250</v>
      </c>
      <c r="BH64" s="101">
        <f>IFERROR(up_RadSpec!$H$25*(BH25/$B64),".")</f>
        <v>756250</v>
      </c>
      <c r="BI64" s="101">
        <f>IFERROR(up_RadSpec!$H$25*(BI25/$B64),".")</f>
        <v>756250</v>
      </c>
      <c r="BJ64" s="101">
        <f>IFERROR(up_RadSpec!$H$25*(BJ25/$B64),".")</f>
        <v>756250</v>
      </c>
      <c r="BK64" s="101">
        <f>IFERROR(up_RadSpec!$H$25*(BK25/$B64),".")</f>
        <v>756250</v>
      </c>
      <c r="BL64" s="101">
        <f>IFERROR(up_RadSpec!$H$25*(BL25/$B64),".")</f>
        <v>756250</v>
      </c>
      <c r="BM64" s="101">
        <f>IFERROR(up_RadSpec!$H$25*(BM25/$B64),".")</f>
        <v>756250</v>
      </c>
      <c r="BN64" s="101">
        <f>IFERROR(up_RadSpec!$H$25*(BN25/$B64),".")</f>
        <v>756250</v>
      </c>
      <c r="BO64" s="101">
        <f>IFERROR(up_RadSpec!$H$25*(BO25/$B64),".")</f>
        <v>756250</v>
      </c>
      <c r="BP64" s="101">
        <f>IFERROR(up_RadSpec!$H$25*(BP25/$B64),".")</f>
        <v>756250</v>
      </c>
      <c r="BQ64" s="101">
        <f>IFERROR(up_RadSpec!$H$25*(BQ25/$B64),".")</f>
        <v>756250</v>
      </c>
      <c r="BR64" s="101">
        <f>IFERROR(up_RadSpec!$H$25*(BR25/$B64),".")</f>
        <v>756250</v>
      </c>
      <c r="BS64" s="101">
        <f>IFERROR(up_RadSpec!$H$25*(BS25/$B64),".")</f>
        <v>756250</v>
      </c>
      <c r="BT64" s="101">
        <f>IFERROR(up_RadSpec!$H$25*(BT25/$B64),".")</f>
        <v>756250</v>
      </c>
      <c r="BU64" s="101">
        <f>IFERROR(up_RadSpec!$H$25*(BU25/$B64),".")</f>
        <v>756250</v>
      </c>
      <c r="BV64" s="101">
        <f>IFERROR(up_RadSpec!$H$25*(BV25/$B64),".")</f>
        <v>756250</v>
      </c>
      <c r="BW64" s="101">
        <f>IFERROR(up_RadSpec!$H$25*(BW25/$B64),".")</f>
        <v>756250</v>
      </c>
      <c r="BX64" s="101">
        <f>IFERROR(up_RadSpec!$H$25*(BX25/$B64),".")</f>
        <v>756250</v>
      </c>
      <c r="BY64" s="101">
        <f>IFERROR(up_RadSpec!$H$25*(BY25/$B64),".")</f>
        <v>756250</v>
      </c>
      <c r="BZ64" s="101">
        <f>IFERROR(up_RadSpec!$H$25*(BZ25/$B64),".")</f>
        <v>756250</v>
      </c>
      <c r="CA64" s="101">
        <f>IFERROR(up_RadSpec!$H$25*(CA25/$B64),".")</f>
        <v>756250</v>
      </c>
      <c r="CB64" s="101">
        <f>IFERROR(up_RadSpec!$H$25*(CB25/$B64),".")</f>
        <v>756250</v>
      </c>
    </row>
    <row r="65" spans="1:80" x14ac:dyDescent="0.25">
      <c r="A65" s="99" t="s">
        <v>1073</v>
      </c>
      <c r="B65" s="90">
        <v>1</v>
      </c>
      <c r="C65" s="100">
        <f t="shared" ref="C65" si="138">IFERROR($B65/C21,0)</f>
        <v>60499999999.999992</v>
      </c>
      <c r="D65" s="100">
        <f t="shared" ref="D65:AC65" si="139">IFERROR($B65/D21,0)</f>
        <v>15124999999.999998</v>
      </c>
      <c r="E65" s="100">
        <f t="shared" si="139"/>
        <v>15124999999.999998</v>
      </c>
      <c r="F65" s="100">
        <f t="shared" si="139"/>
        <v>15124999999.999998</v>
      </c>
      <c r="G65" s="100">
        <f t="shared" si="139"/>
        <v>15124999999.999998</v>
      </c>
      <c r="H65" s="100">
        <f t="shared" si="139"/>
        <v>15124999999.999998</v>
      </c>
      <c r="I65" s="100">
        <f t="shared" si="139"/>
        <v>15124999999.999998</v>
      </c>
      <c r="J65" s="100">
        <f t="shared" si="139"/>
        <v>15124999999.999998</v>
      </c>
      <c r="K65" s="100">
        <f t="shared" si="139"/>
        <v>15124999999.999998</v>
      </c>
      <c r="L65" s="100">
        <f t="shared" si="139"/>
        <v>15124999999.999998</v>
      </c>
      <c r="M65" s="100">
        <f t="shared" si="139"/>
        <v>15124999999.999998</v>
      </c>
      <c r="N65" s="100">
        <f t="shared" si="139"/>
        <v>15124999999.999998</v>
      </c>
      <c r="O65" s="100">
        <f t="shared" si="139"/>
        <v>15124999999.999998</v>
      </c>
      <c r="P65" s="100">
        <f t="shared" si="139"/>
        <v>15124999999.999998</v>
      </c>
      <c r="Q65" s="100">
        <f t="shared" si="139"/>
        <v>15124999999.999998</v>
      </c>
      <c r="R65" s="100">
        <f t="shared" si="139"/>
        <v>15124999999.999998</v>
      </c>
      <c r="S65" s="100">
        <f t="shared" si="139"/>
        <v>15124999999.999998</v>
      </c>
      <c r="T65" s="100">
        <f t="shared" si="139"/>
        <v>15124999999.999998</v>
      </c>
      <c r="U65" s="100">
        <f t="shared" si="139"/>
        <v>15124999999.999998</v>
      </c>
      <c r="V65" s="100">
        <f t="shared" si="139"/>
        <v>15124999999.999998</v>
      </c>
      <c r="W65" s="100">
        <f t="shared" si="139"/>
        <v>15124999999.999998</v>
      </c>
      <c r="X65" s="100">
        <f t="shared" si="139"/>
        <v>15124999999.999998</v>
      </c>
      <c r="Y65" s="100">
        <f t="shared" si="139"/>
        <v>15124999999.999998</v>
      </c>
      <c r="Z65" s="100">
        <f t="shared" si="139"/>
        <v>15124999999.999998</v>
      </c>
      <c r="AA65" s="100">
        <f t="shared" si="139"/>
        <v>15124999999.999998</v>
      </c>
      <c r="AB65" s="100">
        <f t="shared" si="139"/>
        <v>15124999999.999998</v>
      </c>
      <c r="AC65" s="100">
        <f t="shared" si="139"/>
        <v>60499999999.999992</v>
      </c>
      <c r="AD65" s="100">
        <f t="shared" ref="AD65:BB65" si="140">IFERROR($B65/AD21,0)</f>
        <v>15124999999.999998</v>
      </c>
      <c r="AE65" s="100">
        <f t="shared" si="140"/>
        <v>15124999999.999998</v>
      </c>
      <c r="AF65" s="100">
        <f t="shared" si="140"/>
        <v>15124999999.999998</v>
      </c>
      <c r="AG65" s="100">
        <f t="shared" si="140"/>
        <v>15124999999.999998</v>
      </c>
      <c r="AH65" s="100">
        <f t="shared" si="140"/>
        <v>15124999999.999998</v>
      </c>
      <c r="AI65" s="100">
        <f t="shared" si="140"/>
        <v>15124999999.999998</v>
      </c>
      <c r="AJ65" s="100">
        <f t="shared" si="140"/>
        <v>15124999999.999998</v>
      </c>
      <c r="AK65" s="100">
        <f t="shared" si="140"/>
        <v>15124999999.999998</v>
      </c>
      <c r="AL65" s="100">
        <f t="shared" si="140"/>
        <v>15124999999.999998</v>
      </c>
      <c r="AM65" s="100">
        <f t="shared" si="140"/>
        <v>15124999999.999998</v>
      </c>
      <c r="AN65" s="100">
        <f t="shared" si="140"/>
        <v>15124999999.999998</v>
      </c>
      <c r="AO65" s="100">
        <f t="shared" si="140"/>
        <v>15124999999.999998</v>
      </c>
      <c r="AP65" s="100">
        <f t="shared" si="140"/>
        <v>15124999999.999998</v>
      </c>
      <c r="AQ65" s="100">
        <f t="shared" si="140"/>
        <v>15124999999.999998</v>
      </c>
      <c r="AR65" s="100">
        <f t="shared" si="140"/>
        <v>15124999999.999998</v>
      </c>
      <c r="AS65" s="100">
        <f t="shared" si="140"/>
        <v>15124999999.999998</v>
      </c>
      <c r="AT65" s="100">
        <f t="shared" si="140"/>
        <v>15124999999.999998</v>
      </c>
      <c r="AU65" s="100">
        <f t="shared" si="140"/>
        <v>15124999999.999998</v>
      </c>
      <c r="AV65" s="100">
        <f t="shared" si="140"/>
        <v>15124999999.999998</v>
      </c>
      <c r="AW65" s="100">
        <f t="shared" si="140"/>
        <v>15124999999.999998</v>
      </c>
      <c r="AX65" s="100">
        <f t="shared" si="140"/>
        <v>15124999999.999998</v>
      </c>
      <c r="AY65" s="100">
        <f t="shared" si="140"/>
        <v>15124999999.999998</v>
      </c>
      <c r="AZ65" s="100">
        <f t="shared" si="140"/>
        <v>15124999999.999998</v>
      </c>
      <c r="BA65" s="100">
        <f t="shared" si="140"/>
        <v>15124999999.999998</v>
      </c>
      <c r="BB65" s="100">
        <f t="shared" si="140"/>
        <v>15124999999.999998</v>
      </c>
      <c r="BC65" s="101">
        <f t="shared" si="26"/>
        <v>3025000</v>
      </c>
      <c r="BD65" s="101">
        <f>IFERROR(up_RadSpec!$H$21*(BD21/$B65),".")</f>
        <v>756250</v>
      </c>
      <c r="BE65" s="101">
        <f>IFERROR(up_RadSpec!$H$21*(BE21/$B65),".")</f>
        <v>756250</v>
      </c>
      <c r="BF65" s="101">
        <f>IFERROR(up_RadSpec!$H$21*(BF21/$B65),".")</f>
        <v>756250</v>
      </c>
      <c r="BG65" s="101">
        <f>IFERROR(up_RadSpec!$H$21*(BG21/$B65),".")</f>
        <v>756250</v>
      </c>
      <c r="BH65" s="101">
        <f>IFERROR(up_RadSpec!$H$21*(BH21/$B65),".")</f>
        <v>756250</v>
      </c>
      <c r="BI65" s="101">
        <f>IFERROR(up_RadSpec!$H$21*(BI21/$B65),".")</f>
        <v>756250</v>
      </c>
      <c r="BJ65" s="101">
        <f>IFERROR(up_RadSpec!$H$21*(BJ21/$B65),".")</f>
        <v>756250</v>
      </c>
      <c r="BK65" s="101">
        <f>IFERROR(up_RadSpec!$H$21*(BK21/$B65),".")</f>
        <v>756250</v>
      </c>
      <c r="BL65" s="101">
        <f>IFERROR(up_RadSpec!$H$21*(BL21/$B65),".")</f>
        <v>756250</v>
      </c>
      <c r="BM65" s="101">
        <f>IFERROR(up_RadSpec!$H$21*(BM21/$B65),".")</f>
        <v>756250</v>
      </c>
      <c r="BN65" s="101">
        <f>IFERROR(up_RadSpec!$H$21*(BN21/$B65),".")</f>
        <v>756250</v>
      </c>
      <c r="BO65" s="101">
        <f>IFERROR(up_RadSpec!$H$21*(BO21/$B65),".")</f>
        <v>756250</v>
      </c>
      <c r="BP65" s="101">
        <f>IFERROR(up_RadSpec!$H$21*(BP21/$B65),".")</f>
        <v>756250</v>
      </c>
      <c r="BQ65" s="101">
        <f>IFERROR(up_RadSpec!$H$21*(BQ21/$B65),".")</f>
        <v>756250</v>
      </c>
      <c r="BR65" s="101">
        <f>IFERROR(up_RadSpec!$H$21*(BR21/$B65),".")</f>
        <v>756250</v>
      </c>
      <c r="BS65" s="101">
        <f>IFERROR(up_RadSpec!$H$21*(BS21/$B65),".")</f>
        <v>756250</v>
      </c>
      <c r="BT65" s="101">
        <f>IFERROR(up_RadSpec!$H$21*(BT21/$B65),".")</f>
        <v>756250</v>
      </c>
      <c r="BU65" s="101">
        <f>IFERROR(up_RadSpec!$H$21*(BU21/$B65),".")</f>
        <v>756250</v>
      </c>
      <c r="BV65" s="101">
        <f>IFERROR(up_RadSpec!$H$21*(BV21/$B65),".")</f>
        <v>756250</v>
      </c>
      <c r="BW65" s="101">
        <f>IFERROR(up_RadSpec!$H$21*(BW21/$B65),".")</f>
        <v>756250</v>
      </c>
      <c r="BX65" s="101">
        <f>IFERROR(up_RadSpec!$H$21*(BX21/$B65),".")</f>
        <v>756250</v>
      </c>
      <c r="BY65" s="101">
        <f>IFERROR(up_RadSpec!$H$21*(BY21/$B65),".")</f>
        <v>756250</v>
      </c>
      <c r="BZ65" s="101">
        <f>IFERROR(up_RadSpec!$H$21*(BZ21/$B65),".")</f>
        <v>756250</v>
      </c>
      <c r="CA65" s="101">
        <f>IFERROR(up_RadSpec!$H$21*(CA21/$B65),".")</f>
        <v>756250</v>
      </c>
      <c r="CB65" s="101">
        <f>IFERROR(up_RadSpec!$H$21*(CB21/$B65),".")</f>
        <v>756250</v>
      </c>
    </row>
    <row r="66" spans="1:80" x14ac:dyDescent="0.25">
      <c r="A66" s="99" t="s">
        <v>1074</v>
      </c>
      <c r="B66" s="103">
        <v>0.99980000000000002</v>
      </c>
      <c r="C66" s="100">
        <f t="shared" ref="C66" si="141">IFERROR($B66/C17,0)</f>
        <v>60487900000</v>
      </c>
      <c r="D66" s="100">
        <f t="shared" ref="D66:AC66" si="142">IFERROR($B66/D17,0)</f>
        <v>15121975000</v>
      </c>
      <c r="E66" s="100">
        <f t="shared" si="142"/>
        <v>15121975000</v>
      </c>
      <c r="F66" s="100">
        <f t="shared" si="142"/>
        <v>15121975000</v>
      </c>
      <c r="G66" s="100">
        <f t="shared" si="142"/>
        <v>15121975000</v>
      </c>
      <c r="H66" s="100">
        <f t="shared" si="142"/>
        <v>15121975000</v>
      </c>
      <c r="I66" s="100">
        <f t="shared" si="142"/>
        <v>15121975000</v>
      </c>
      <c r="J66" s="100">
        <f t="shared" si="142"/>
        <v>15121975000</v>
      </c>
      <c r="K66" s="100">
        <f t="shared" si="142"/>
        <v>15121975000</v>
      </c>
      <c r="L66" s="100">
        <f t="shared" si="142"/>
        <v>15121975000</v>
      </c>
      <c r="M66" s="100">
        <f t="shared" si="142"/>
        <v>15121975000</v>
      </c>
      <c r="N66" s="100">
        <f t="shared" si="142"/>
        <v>15121975000</v>
      </c>
      <c r="O66" s="100">
        <f t="shared" si="142"/>
        <v>15121975000</v>
      </c>
      <c r="P66" s="100">
        <f t="shared" si="142"/>
        <v>15121975000</v>
      </c>
      <c r="Q66" s="100">
        <f t="shared" si="142"/>
        <v>15121975000</v>
      </c>
      <c r="R66" s="100">
        <f t="shared" si="142"/>
        <v>15121975000</v>
      </c>
      <c r="S66" s="100">
        <f t="shared" si="142"/>
        <v>15121975000</v>
      </c>
      <c r="T66" s="100">
        <f t="shared" si="142"/>
        <v>15121975000</v>
      </c>
      <c r="U66" s="100">
        <f t="shared" si="142"/>
        <v>15121975000</v>
      </c>
      <c r="V66" s="100">
        <f t="shared" si="142"/>
        <v>15121975000</v>
      </c>
      <c r="W66" s="100">
        <f t="shared" si="142"/>
        <v>15121975000</v>
      </c>
      <c r="X66" s="100">
        <f t="shared" si="142"/>
        <v>15121975000</v>
      </c>
      <c r="Y66" s="100">
        <f t="shared" si="142"/>
        <v>15121975000</v>
      </c>
      <c r="Z66" s="100">
        <f t="shared" si="142"/>
        <v>15121975000</v>
      </c>
      <c r="AA66" s="100">
        <f t="shared" si="142"/>
        <v>15121975000</v>
      </c>
      <c r="AB66" s="100">
        <f t="shared" si="142"/>
        <v>15121975000</v>
      </c>
      <c r="AC66" s="100">
        <f t="shared" si="142"/>
        <v>60487900000</v>
      </c>
      <c r="AD66" s="100">
        <f t="shared" ref="AD66:BB66" si="143">IFERROR($B66/AD17,0)</f>
        <v>15121975000</v>
      </c>
      <c r="AE66" s="100">
        <f t="shared" si="143"/>
        <v>15121975000</v>
      </c>
      <c r="AF66" s="100">
        <f t="shared" si="143"/>
        <v>15121975000</v>
      </c>
      <c r="AG66" s="100">
        <f t="shared" si="143"/>
        <v>15121975000</v>
      </c>
      <c r="AH66" s="100">
        <f t="shared" si="143"/>
        <v>15121975000</v>
      </c>
      <c r="AI66" s="100">
        <f t="shared" si="143"/>
        <v>15121975000</v>
      </c>
      <c r="AJ66" s="100">
        <f t="shared" si="143"/>
        <v>15121975000</v>
      </c>
      <c r="AK66" s="100">
        <f t="shared" si="143"/>
        <v>15121975000</v>
      </c>
      <c r="AL66" s="100">
        <f t="shared" si="143"/>
        <v>15121975000</v>
      </c>
      <c r="AM66" s="100">
        <f t="shared" si="143"/>
        <v>15121975000</v>
      </c>
      <c r="AN66" s="100">
        <f t="shared" si="143"/>
        <v>15121975000</v>
      </c>
      <c r="AO66" s="100">
        <f t="shared" si="143"/>
        <v>15121975000</v>
      </c>
      <c r="AP66" s="100">
        <f t="shared" si="143"/>
        <v>15121975000</v>
      </c>
      <c r="AQ66" s="100">
        <f t="shared" si="143"/>
        <v>15121975000</v>
      </c>
      <c r="AR66" s="100">
        <f t="shared" si="143"/>
        <v>15121975000</v>
      </c>
      <c r="AS66" s="100">
        <f t="shared" si="143"/>
        <v>15121975000</v>
      </c>
      <c r="AT66" s="100">
        <f t="shared" si="143"/>
        <v>15121975000</v>
      </c>
      <c r="AU66" s="100">
        <f t="shared" si="143"/>
        <v>15121975000</v>
      </c>
      <c r="AV66" s="100">
        <f t="shared" si="143"/>
        <v>15121975000</v>
      </c>
      <c r="AW66" s="100">
        <f t="shared" si="143"/>
        <v>15121975000</v>
      </c>
      <c r="AX66" s="100">
        <f t="shared" si="143"/>
        <v>15121975000</v>
      </c>
      <c r="AY66" s="100">
        <f t="shared" si="143"/>
        <v>15121975000</v>
      </c>
      <c r="AZ66" s="100">
        <f t="shared" si="143"/>
        <v>15121975000</v>
      </c>
      <c r="BA66" s="100">
        <f t="shared" si="143"/>
        <v>15121975000</v>
      </c>
      <c r="BB66" s="100">
        <f t="shared" si="143"/>
        <v>15121975000</v>
      </c>
      <c r="BC66" s="101">
        <f t="shared" si="26"/>
        <v>3025605.1210242049</v>
      </c>
      <c r="BD66" s="101">
        <f>IFERROR(up_RadSpec!$H$17*(BD17/$B66),".")</f>
        <v>756401.28025605122</v>
      </c>
      <c r="BE66" s="101">
        <f>IFERROR(up_RadSpec!$H$17*(BE17/$B66),".")</f>
        <v>756401.28025605122</v>
      </c>
      <c r="BF66" s="101">
        <f>IFERROR(up_RadSpec!$H$17*(BF17/$B66),".")</f>
        <v>756401.28025605122</v>
      </c>
      <c r="BG66" s="101">
        <f>IFERROR(up_RadSpec!$H$17*(BG17/$B66),".")</f>
        <v>756401.28025605122</v>
      </c>
      <c r="BH66" s="101">
        <f>IFERROR(up_RadSpec!$H$17*(BH17/$B66),".")</f>
        <v>756401.28025605122</v>
      </c>
      <c r="BI66" s="101">
        <f>IFERROR(up_RadSpec!$H$17*(BI17/$B66),".")</f>
        <v>756401.28025605122</v>
      </c>
      <c r="BJ66" s="101">
        <f>IFERROR(up_RadSpec!$H$17*(BJ17/$B66),".")</f>
        <v>756401.28025605122</v>
      </c>
      <c r="BK66" s="101">
        <f>IFERROR(up_RadSpec!$H$17*(BK17/$B66),".")</f>
        <v>756401.28025605122</v>
      </c>
      <c r="BL66" s="101">
        <f>IFERROR(up_RadSpec!$H$17*(BL17/$B66),".")</f>
        <v>756401.28025605122</v>
      </c>
      <c r="BM66" s="101">
        <f>IFERROR(up_RadSpec!$H$17*(BM17/$B66),".")</f>
        <v>756401.28025605122</v>
      </c>
      <c r="BN66" s="101">
        <f>IFERROR(up_RadSpec!$H$17*(BN17/$B66),".")</f>
        <v>756401.28025605122</v>
      </c>
      <c r="BO66" s="101">
        <f>IFERROR(up_RadSpec!$H$17*(BO17/$B66),".")</f>
        <v>756401.28025605122</v>
      </c>
      <c r="BP66" s="101">
        <f>IFERROR(up_RadSpec!$H$17*(BP17/$B66),".")</f>
        <v>756401.28025605122</v>
      </c>
      <c r="BQ66" s="101">
        <f>IFERROR(up_RadSpec!$H$17*(BQ17/$B66),".")</f>
        <v>756401.28025605122</v>
      </c>
      <c r="BR66" s="101">
        <f>IFERROR(up_RadSpec!$H$17*(BR17/$B66),".")</f>
        <v>756401.28025605122</v>
      </c>
      <c r="BS66" s="101">
        <f>IFERROR(up_RadSpec!$H$17*(BS17/$B66),".")</f>
        <v>756401.28025605122</v>
      </c>
      <c r="BT66" s="101">
        <f>IFERROR(up_RadSpec!$H$17*(BT17/$B66),".")</f>
        <v>756401.28025605122</v>
      </c>
      <c r="BU66" s="101">
        <f>IFERROR(up_RadSpec!$H$17*(BU17/$B66),".")</f>
        <v>756401.28025605122</v>
      </c>
      <c r="BV66" s="101">
        <f>IFERROR(up_RadSpec!$H$17*(BV17/$B66),".")</f>
        <v>756401.28025605122</v>
      </c>
      <c r="BW66" s="101">
        <f>IFERROR(up_RadSpec!$H$17*(BW17/$B66),".")</f>
        <v>756401.28025605122</v>
      </c>
      <c r="BX66" s="101">
        <f>IFERROR(up_RadSpec!$H$17*(BX17/$B66),".")</f>
        <v>756401.28025605122</v>
      </c>
      <c r="BY66" s="101">
        <f>IFERROR(up_RadSpec!$H$17*(BY17/$B66),".")</f>
        <v>756401.28025605122</v>
      </c>
      <c r="BZ66" s="101">
        <f>IFERROR(up_RadSpec!$H$17*(BZ17/$B66),".")</f>
        <v>756401.28025605122</v>
      </c>
      <c r="CA66" s="101">
        <f>IFERROR(up_RadSpec!$H$17*(CA17/$B66),".")</f>
        <v>756401.28025605122</v>
      </c>
      <c r="CB66" s="101">
        <f>IFERROR(up_RadSpec!$H$17*(CB17/$B66),".")</f>
        <v>756401.28025605122</v>
      </c>
    </row>
    <row r="67" spans="1:80" x14ac:dyDescent="0.25">
      <c r="A67" s="99" t="s">
        <v>1088</v>
      </c>
      <c r="B67" s="90">
        <v>2.0000000000000001E-4</v>
      </c>
      <c r="C67" s="100">
        <f t="shared" ref="C67" si="144">IFERROR($B67/C5,0)</f>
        <v>12100000</v>
      </c>
      <c r="D67" s="100">
        <f t="shared" ref="D67:AC67" si="145">IFERROR($B67/D5,0)</f>
        <v>3025000</v>
      </c>
      <c r="E67" s="100">
        <f t="shared" si="145"/>
        <v>3025000</v>
      </c>
      <c r="F67" s="100">
        <f t="shared" si="145"/>
        <v>3025000</v>
      </c>
      <c r="G67" s="100">
        <f t="shared" si="145"/>
        <v>3025000</v>
      </c>
      <c r="H67" s="100">
        <f t="shared" si="145"/>
        <v>3025000</v>
      </c>
      <c r="I67" s="100">
        <f t="shared" si="145"/>
        <v>3025000</v>
      </c>
      <c r="J67" s="100">
        <f t="shared" si="145"/>
        <v>3025000</v>
      </c>
      <c r="K67" s="100">
        <f t="shared" si="145"/>
        <v>3025000</v>
      </c>
      <c r="L67" s="100">
        <f t="shared" si="145"/>
        <v>3025000</v>
      </c>
      <c r="M67" s="100">
        <f t="shared" si="145"/>
        <v>3025000</v>
      </c>
      <c r="N67" s="100">
        <f t="shared" si="145"/>
        <v>3025000</v>
      </c>
      <c r="O67" s="100">
        <f t="shared" si="145"/>
        <v>3025000</v>
      </c>
      <c r="P67" s="100">
        <f t="shared" si="145"/>
        <v>3025000</v>
      </c>
      <c r="Q67" s="100">
        <f t="shared" si="145"/>
        <v>3025000</v>
      </c>
      <c r="R67" s="100">
        <f t="shared" si="145"/>
        <v>3025000</v>
      </c>
      <c r="S67" s="100">
        <f t="shared" si="145"/>
        <v>3025000</v>
      </c>
      <c r="T67" s="100">
        <f t="shared" si="145"/>
        <v>3025000</v>
      </c>
      <c r="U67" s="100">
        <f t="shared" si="145"/>
        <v>3025000</v>
      </c>
      <c r="V67" s="100">
        <f t="shared" si="145"/>
        <v>3025000</v>
      </c>
      <c r="W67" s="100">
        <f t="shared" si="145"/>
        <v>3025000</v>
      </c>
      <c r="X67" s="100">
        <f t="shared" si="145"/>
        <v>3025000</v>
      </c>
      <c r="Y67" s="100">
        <f t="shared" si="145"/>
        <v>3025000</v>
      </c>
      <c r="Z67" s="100">
        <f t="shared" si="145"/>
        <v>3025000</v>
      </c>
      <c r="AA67" s="100">
        <f t="shared" si="145"/>
        <v>3025000</v>
      </c>
      <c r="AB67" s="100">
        <f t="shared" si="145"/>
        <v>3025000</v>
      </c>
      <c r="AC67" s="100">
        <f t="shared" si="145"/>
        <v>12100000</v>
      </c>
      <c r="AD67" s="100">
        <f t="shared" ref="AD67:BB67" si="146">IFERROR($B67/AD5,0)</f>
        <v>3025000</v>
      </c>
      <c r="AE67" s="100">
        <f t="shared" si="146"/>
        <v>3025000</v>
      </c>
      <c r="AF67" s="100">
        <f t="shared" si="146"/>
        <v>3025000</v>
      </c>
      <c r="AG67" s="100">
        <f t="shared" si="146"/>
        <v>3025000</v>
      </c>
      <c r="AH67" s="100">
        <f t="shared" si="146"/>
        <v>3025000</v>
      </c>
      <c r="AI67" s="100">
        <f t="shared" si="146"/>
        <v>3025000</v>
      </c>
      <c r="AJ67" s="100">
        <f t="shared" si="146"/>
        <v>3025000</v>
      </c>
      <c r="AK67" s="100">
        <f t="shared" si="146"/>
        <v>3025000</v>
      </c>
      <c r="AL67" s="100">
        <f t="shared" si="146"/>
        <v>3025000</v>
      </c>
      <c r="AM67" s="100">
        <f t="shared" si="146"/>
        <v>3025000</v>
      </c>
      <c r="AN67" s="100">
        <f t="shared" si="146"/>
        <v>3025000</v>
      </c>
      <c r="AO67" s="100">
        <f t="shared" si="146"/>
        <v>3025000</v>
      </c>
      <c r="AP67" s="100">
        <f t="shared" si="146"/>
        <v>3025000</v>
      </c>
      <c r="AQ67" s="100">
        <f t="shared" si="146"/>
        <v>3025000</v>
      </c>
      <c r="AR67" s="100">
        <f t="shared" si="146"/>
        <v>3025000</v>
      </c>
      <c r="AS67" s="100">
        <f t="shared" si="146"/>
        <v>3025000</v>
      </c>
      <c r="AT67" s="100">
        <f t="shared" si="146"/>
        <v>3025000</v>
      </c>
      <c r="AU67" s="100">
        <f t="shared" si="146"/>
        <v>3025000</v>
      </c>
      <c r="AV67" s="100">
        <f t="shared" si="146"/>
        <v>3025000</v>
      </c>
      <c r="AW67" s="100">
        <f t="shared" si="146"/>
        <v>3025000</v>
      </c>
      <c r="AX67" s="100">
        <f t="shared" si="146"/>
        <v>3025000</v>
      </c>
      <c r="AY67" s="100">
        <f t="shared" si="146"/>
        <v>3025000</v>
      </c>
      <c r="AZ67" s="100">
        <f t="shared" si="146"/>
        <v>3025000</v>
      </c>
      <c r="BA67" s="100">
        <f t="shared" si="146"/>
        <v>3025000</v>
      </c>
      <c r="BB67" s="100">
        <f t="shared" si="146"/>
        <v>3025000</v>
      </c>
      <c r="BC67" s="101">
        <f t="shared" ref="BC67:BC76" si="147">SUM(BD67,BU67,CA67:CB67)</f>
        <v>15125000000</v>
      </c>
      <c r="BD67" s="101">
        <f>IFERROR(up_RadSpec!$H$5*(BD5/$B67),".")</f>
        <v>3781250000</v>
      </c>
      <c r="BE67" s="101">
        <f>IFERROR(up_RadSpec!$H$5*(BE5/$B67),".")</f>
        <v>3781250000</v>
      </c>
      <c r="BF67" s="101">
        <f>IFERROR(up_RadSpec!$H$5*(BF5/$B67),".")</f>
        <v>3781250000</v>
      </c>
      <c r="BG67" s="101">
        <f>IFERROR(up_RadSpec!$H$5*(BG5/$B67),".")</f>
        <v>3781250000</v>
      </c>
      <c r="BH67" s="101">
        <f>IFERROR(up_RadSpec!$H$5*(BH5/$B67),".")</f>
        <v>3781250000</v>
      </c>
      <c r="BI67" s="101">
        <f>IFERROR(up_RadSpec!$H$5*(BI5/$B67),".")</f>
        <v>3781250000</v>
      </c>
      <c r="BJ67" s="101">
        <f>IFERROR(up_RadSpec!$H$5*(BJ5/$B67),".")</f>
        <v>3781250000</v>
      </c>
      <c r="BK67" s="101">
        <f>IFERROR(up_RadSpec!$H$5*(BK5/$B67),".")</f>
        <v>3781250000</v>
      </c>
      <c r="BL67" s="101">
        <f>IFERROR(up_RadSpec!$H$5*(BL5/$B67),".")</f>
        <v>3781250000</v>
      </c>
      <c r="BM67" s="101">
        <f>IFERROR(up_RadSpec!$H$5*(BM5/$B67),".")</f>
        <v>3781250000</v>
      </c>
      <c r="BN67" s="101">
        <f>IFERROR(up_RadSpec!$H$5*(BN5/$B67),".")</f>
        <v>3781250000</v>
      </c>
      <c r="BO67" s="101">
        <f>IFERROR(up_RadSpec!$H$5*(BO5/$B67),".")</f>
        <v>3781250000</v>
      </c>
      <c r="BP67" s="101">
        <f>IFERROR(up_RadSpec!$H$5*(BP5/$B67),".")</f>
        <v>3781250000</v>
      </c>
      <c r="BQ67" s="101">
        <f>IFERROR(up_RadSpec!$H$5*(BQ5/$B67),".")</f>
        <v>3781250000</v>
      </c>
      <c r="BR67" s="101">
        <f>IFERROR(up_RadSpec!$H$5*(BR5/$B67),".")</f>
        <v>3781250000</v>
      </c>
      <c r="BS67" s="101">
        <f>IFERROR(up_RadSpec!$H$5*(BS5/$B67),".")</f>
        <v>3781250000</v>
      </c>
      <c r="BT67" s="101">
        <f>IFERROR(up_RadSpec!$H$5*(BT5/$B67),".")</f>
        <v>3781250000</v>
      </c>
      <c r="BU67" s="101">
        <f>IFERROR(up_RadSpec!$H$5*(BU5/$B67),".")</f>
        <v>3781250000</v>
      </c>
      <c r="BV67" s="101">
        <f>IFERROR(up_RadSpec!$H$5*(BV5/$B67),".")</f>
        <v>3781250000</v>
      </c>
      <c r="BW67" s="101">
        <f>IFERROR(up_RadSpec!$H$5*(BW5/$B67),".")</f>
        <v>3781250000</v>
      </c>
      <c r="BX67" s="101">
        <f>IFERROR(up_RadSpec!$H$5*(BX5/$B67),".")</f>
        <v>3781250000</v>
      </c>
      <c r="BY67" s="101">
        <f>IFERROR(up_RadSpec!$H$5*(BY5/$B67),".")</f>
        <v>3781250000</v>
      </c>
      <c r="BZ67" s="101">
        <f>IFERROR(up_RadSpec!$H$5*(BZ5/$B67),".")</f>
        <v>3781250000</v>
      </c>
      <c r="CA67" s="101">
        <f>IFERROR(up_RadSpec!$H$5*(CA5/$B67),".")</f>
        <v>3781250000</v>
      </c>
      <c r="CB67" s="101">
        <f>IFERROR(up_RadSpec!$H$5*(CB5/$B67),".")</f>
        <v>3781250000</v>
      </c>
    </row>
    <row r="68" spans="1:80" x14ac:dyDescent="0.25">
      <c r="A68" s="99" t="s">
        <v>1089</v>
      </c>
      <c r="B68" s="90">
        <v>0.99999979999999999</v>
      </c>
      <c r="C68" s="100">
        <f t="shared" ref="C68" si="148">IFERROR($B68/C9,0)</f>
        <v>60499987899.999992</v>
      </c>
      <c r="D68" s="100">
        <f t="shared" ref="D68:AC68" si="149">IFERROR($B68/D9,0)</f>
        <v>15124996974.999998</v>
      </c>
      <c r="E68" s="100">
        <f t="shared" si="149"/>
        <v>15124996974.999998</v>
      </c>
      <c r="F68" s="100">
        <f t="shared" si="149"/>
        <v>15124996974.999998</v>
      </c>
      <c r="G68" s="100">
        <f t="shared" si="149"/>
        <v>15124996974.999998</v>
      </c>
      <c r="H68" s="100">
        <f t="shared" si="149"/>
        <v>15124996974.999998</v>
      </c>
      <c r="I68" s="100">
        <f t="shared" si="149"/>
        <v>15124996974.999998</v>
      </c>
      <c r="J68" s="100">
        <f t="shared" si="149"/>
        <v>15124996974.999998</v>
      </c>
      <c r="K68" s="100">
        <f t="shared" si="149"/>
        <v>15124996974.999998</v>
      </c>
      <c r="L68" s="100">
        <f t="shared" si="149"/>
        <v>15124996974.999998</v>
      </c>
      <c r="M68" s="100">
        <f t="shared" si="149"/>
        <v>15124996974.999998</v>
      </c>
      <c r="N68" s="100">
        <f t="shared" si="149"/>
        <v>15124996974.999998</v>
      </c>
      <c r="O68" s="100">
        <f t="shared" si="149"/>
        <v>15124996974.999998</v>
      </c>
      <c r="P68" s="100">
        <f t="shared" si="149"/>
        <v>15124996974.999998</v>
      </c>
      <c r="Q68" s="100">
        <f t="shared" si="149"/>
        <v>15124996974.999998</v>
      </c>
      <c r="R68" s="100">
        <f t="shared" si="149"/>
        <v>15124996974.999998</v>
      </c>
      <c r="S68" s="100">
        <f t="shared" si="149"/>
        <v>15124996974.999998</v>
      </c>
      <c r="T68" s="100">
        <f t="shared" si="149"/>
        <v>15124996974.999998</v>
      </c>
      <c r="U68" s="100">
        <f t="shared" si="149"/>
        <v>15124996974.999998</v>
      </c>
      <c r="V68" s="100">
        <f t="shared" si="149"/>
        <v>15124996974.999998</v>
      </c>
      <c r="W68" s="100">
        <f t="shared" si="149"/>
        <v>15124996974.999998</v>
      </c>
      <c r="X68" s="100">
        <f t="shared" si="149"/>
        <v>15124996974.999998</v>
      </c>
      <c r="Y68" s="100">
        <f t="shared" si="149"/>
        <v>15124996974.999998</v>
      </c>
      <c r="Z68" s="100">
        <f t="shared" si="149"/>
        <v>15124996974.999998</v>
      </c>
      <c r="AA68" s="100">
        <f t="shared" si="149"/>
        <v>15124996974.999998</v>
      </c>
      <c r="AB68" s="100">
        <f t="shared" si="149"/>
        <v>15124996974.999998</v>
      </c>
      <c r="AC68" s="100">
        <f t="shared" si="149"/>
        <v>60499987899.999992</v>
      </c>
      <c r="AD68" s="100">
        <f t="shared" ref="AD68:BB68" si="150">IFERROR($B68/AD9,0)</f>
        <v>15124996974.999998</v>
      </c>
      <c r="AE68" s="100">
        <f t="shared" si="150"/>
        <v>15124996974.999998</v>
      </c>
      <c r="AF68" s="100">
        <f t="shared" si="150"/>
        <v>15124996974.999998</v>
      </c>
      <c r="AG68" s="100">
        <f t="shared" si="150"/>
        <v>15124996974.999998</v>
      </c>
      <c r="AH68" s="100">
        <f t="shared" si="150"/>
        <v>15124996974.999998</v>
      </c>
      <c r="AI68" s="100">
        <f t="shared" si="150"/>
        <v>15124996974.999998</v>
      </c>
      <c r="AJ68" s="100">
        <f t="shared" si="150"/>
        <v>15124996974.999998</v>
      </c>
      <c r="AK68" s="100">
        <f t="shared" si="150"/>
        <v>15124996974.999998</v>
      </c>
      <c r="AL68" s="100">
        <f t="shared" si="150"/>
        <v>15124996974.999998</v>
      </c>
      <c r="AM68" s="100">
        <f t="shared" si="150"/>
        <v>15124996974.999998</v>
      </c>
      <c r="AN68" s="100">
        <f t="shared" si="150"/>
        <v>15124996974.999998</v>
      </c>
      <c r="AO68" s="100">
        <f t="shared" si="150"/>
        <v>15124996974.999998</v>
      </c>
      <c r="AP68" s="100">
        <f t="shared" si="150"/>
        <v>15124996974.999998</v>
      </c>
      <c r="AQ68" s="100">
        <f t="shared" si="150"/>
        <v>15124996974.999998</v>
      </c>
      <c r="AR68" s="100">
        <f t="shared" si="150"/>
        <v>15124996974.999998</v>
      </c>
      <c r="AS68" s="100">
        <f t="shared" si="150"/>
        <v>15124996974.999998</v>
      </c>
      <c r="AT68" s="100">
        <f t="shared" si="150"/>
        <v>15124996974.999998</v>
      </c>
      <c r="AU68" s="100">
        <f t="shared" si="150"/>
        <v>15124996974.999998</v>
      </c>
      <c r="AV68" s="100">
        <f t="shared" si="150"/>
        <v>15124996974.999998</v>
      </c>
      <c r="AW68" s="100">
        <f t="shared" si="150"/>
        <v>15124996974.999998</v>
      </c>
      <c r="AX68" s="100">
        <f t="shared" si="150"/>
        <v>15124996974.999998</v>
      </c>
      <c r="AY68" s="100">
        <f t="shared" si="150"/>
        <v>15124996974.999998</v>
      </c>
      <c r="AZ68" s="100">
        <f t="shared" si="150"/>
        <v>15124996974.999998</v>
      </c>
      <c r="BA68" s="100">
        <f t="shared" si="150"/>
        <v>15124996974.999998</v>
      </c>
      <c r="BB68" s="100">
        <f t="shared" si="150"/>
        <v>15124996974.999998</v>
      </c>
      <c r="BC68" s="101">
        <f t="shared" si="147"/>
        <v>3025000.6050001215</v>
      </c>
      <c r="BD68" s="101">
        <f>IFERROR(up_RadSpec!$H$9*(BD9/$B68),".")</f>
        <v>756250.15125003038</v>
      </c>
      <c r="BE68" s="101">
        <f>IFERROR(up_RadSpec!$H$9*(BE9/$B68),".")</f>
        <v>756250.15125003038</v>
      </c>
      <c r="BF68" s="101">
        <f>IFERROR(up_RadSpec!$H$9*(BF9/$B68),".")</f>
        <v>756250.15125003038</v>
      </c>
      <c r="BG68" s="101">
        <f>IFERROR(up_RadSpec!$H$9*(BG9/$B68),".")</f>
        <v>756250.15125003038</v>
      </c>
      <c r="BH68" s="101">
        <f>IFERROR(up_RadSpec!$H$9*(BH9/$B68),".")</f>
        <v>756250.15125003038</v>
      </c>
      <c r="BI68" s="101">
        <f>IFERROR(up_RadSpec!$H$9*(BI9/$B68),".")</f>
        <v>756250.15125003038</v>
      </c>
      <c r="BJ68" s="101">
        <f>IFERROR(up_RadSpec!$H$9*(BJ9/$B68),".")</f>
        <v>756250.15125003038</v>
      </c>
      <c r="BK68" s="101">
        <f>IFERROR(up_RadSpec!$H$9*(BK9/$B68),".")</f>
        <v>756250.15125003038</v>
      </c>
      <c r="BL68" s="101">
        <f>IFERROR(up_RadSpec!$H$9*(BL9/$B68),".")</f>
        <v>756250.15125003038</v>
      </c>
      <c r="BM68" s="101">
        <f>IFERROR(up_RadSpec!$H$9*(BM9/$B68),".")</f>
        <v>756250.15125003038</v>
      </c>
      <c r="BN68" s="101">
        <f>IFERROR(up_RadSpec!$H$9*(BN9/$B68),".")</f>
        <v>756250.15125003038</v>
      </c>
      <c r="BO68" s="101">
        <f>IFERROR(up_RadSpec!$H$9*(BO9/$B68),".")</f>
        <v>756250.15125003038</v>
      </c>
      <c r="BP68" s="101">
        <f>IFERROR(up_RadSpec!$H$9*(BP9/$B68),".")</f>
        <v>756250.15125003038</v>
      </c>
      <c r="BQ68" s="101">
        <f>IFERROR(up_RadSpec!$H$9*(BQ9/$B68),".")</f>
        <v>756250.15125003038</v>
      </c>
      <c r="BR68" s="101">
        <f>IFERROR(up_RadSpec!$H$9*(BR9/$B68),".")</f>
        <v>756250.15125003038</v>
      </c>
      <c r="BS68" s="101">
        <f>IFERROR(up_RadSpec!$H$9*(BS9/$B68),".")</f>
        <v>756250.15125003038</v>
      </c>
      <c r="BT68" s="101">
        <f>IFERROR(up_RadSpec!$H$9*(BT9/$B68),".")</f>
        <v>756250.15125003038</v>
      </c>
      <c r="BU68" s="101">
        <f>IFERROR(up_RadSpec!$H$9*(BU9/$B68),".")</f>
        <v>756250.15125003038</v>
      </c>
      <c r="BV68" s="101">
        <f>IFERROR(up_RadSpec!$H$9*(BV9/$B68),".")</f>
        <v>756250.15125003038</v>
      </c>
      <c r="BW68" s="101">
        <f>IFERROR(up_RadSpec!$H$9*(BW9/$B68),".")</f>
        <v>756250.15125003038</v>
      </c>
      <c r="BX68" s="101">
        <f>IFERROR(up_RadSpec!$H$9*(BX9/$B68),".")</f>
        <v>756250.15125003038</v>
      </c>
      <c r="BY68" s="101">
        <f>IFERROR(up_RadSpec!$H$9*(BY9/$B68),".")</f>
        <v>756250.15125003038</v>
      </c>
      <c r="BZ68" s="101">
        <f>IFERROR(up_RadSpec!$H$9*(BZ9/$B68),".")</f>
        <v>756250.15125003038</v>
      </c>
      <c r="CA68" s="101">
        <f>IFERROR(up_RadSpec!$H$9*(CA9/$B68),".")</f>
        <v>756250.15125003038</v>
      </c>
      <c r="CB68" s="101">
        <f>IFERROR(up_RadSpec!$H$9*(CB9/$B68),".")</f>
        <v>756250.15125003038</v>
      </c>
    </row>
    <row r="69" spans="1:80" x14ac:dyDescent="0.25">
      <c r="A69" s="99" t="s">
        <v>1090</v>
      </c>
      <c r="B69" s="90">
        <v>1.9999999999999999E-7</v>
      </c>
      <c r="C69" s="100">
        <f t="shared" ref="C69" si="151">IFERROR($B69/C24,0)</f>
        <v>12099.999999999998</v>
      </c>
      <c r="D69" s="100">
        <f t="shared" ref="D69:AC69" si="152">IFERROR($B69/D24,0)</f>
        <v>3024.9999999999995</v>
      </c>
      <c r="E69" s="100">
        <f t="shared" si="152"/>
        <v>3024.9999999999995</v>
      </c>
      <c r="F69" s="100">
        <f t="shared" si="152"/>
        <v>3024.9999999999995</v>
      </c>
      <c r="G69" s="100">
        <f t="shared" si="152"/>
        <v>3024.9999999999995</v>
      </c>
      <c r="H69" s="100">
        <f t="shared" si="152"/>
        <v>3024.9999999999995</v>
      </c>
      <c r="I69" s="100">
        <f t="shared" si="152"/>
        <v>3024.9999999999995</v>
      </c>
      <c r="J69" s="100">
        <f t="shared" si="152"/>
        <v>3024.9999999999995</v>
      </c>
      <c r="K69" s="100">
        <f t="shared" si="152"/>
        <v>3024.9999999999995</v>
      </c>
      <c r="L69" s="100">
        <f t="shared" si="152"/>
        <v>3024.9999999999995</v>
      </c>
      <c r="M69" s="100">
        <f t="shared" si="152"/>
        <v>3024.9999999999995</v>
      </c>
      <c r="N69" s="100">
        <f t="shared" si="152"/>
        <v>3024.9999999999995</v>
      </c>
      <c r="O69" s="100">
        <f t="shared" si="152"/>
        <v>3024.9999999999995</v>
      </c>
      <c r="P69" s="100">
        <f t="shared" si="152"/>
        <v>3024.9999999999995</v>
      </c>
      <c r="Q69" s="100">
        <f t="shared" si="152"/>
        <v>3024.9999999999995</v>
      </c>
      <c r="R69" s="100">
        <f t="shared" si="152"/>
        <v>3024.9999999999995</v>
      </c>
      <c r="S69" s="100">
        <f t="shared" si="152"/>
        <v>3024.9999999999995</v>
      </c>
      <c r="T69" s="100">
        <f t="shared" si="152"/>
        <v>3024.9999999999995</v>
      </c>
      <c r="U69" s="100">
        <f t="shared" si="152"/>
        <v>3024.9999999999995</v>
      </c>
      <c r="V69" s="100">
        <f t="shared" si="152"/>
        <v>3024.9999999999995</v>
      </c>
      <c r="W69" s="100">
        <f t="shared" si="152"/>
        <v>3024.9999999999995</v>
      </c>
      <c r="X69" s="100">
        <f t="shared" si="152"/>
        <v>3024.9999999999995</v>
      </c>
      <c r="Y69" s="100">
        <f t="shared" si="152"/>
        <v>3024.9999999999995</v>
      </c>
      <c r="Z69" s="100">
        <f t="shared" si="152"/>
        <v>3024.9999999999995</v>
      </c>
      <c r="AA69" s="100">
        <f t="shared" si="152"/>
        <v>3024.9999999999995</v>
      </c>
      <c r="AB69" s="100">
        <f t="shared" si="152"/>
        <v>3024.9999999999995</v>
      </c>
      <c r="AC69" s="100">
        <f t="shared" si="152"/>
        <v>12099.999999999998</v>
      </c>
      <c r="AD69" s="100">
        <f t="shared" ref="AD69:BB69" si="153">IFERROR($B69/AD24,0)</f>
        <v>3024.9999999999995</v>
      </c>
      <c r="AE69" s="100">
        <f t="shared" si="153"/>
        <v>3024.9999999999995</v>
      </c>
      <c r="AF69" s="100">
        <f t="shared" si="153"/>
        <v>3024.9999999999995</v>
      </c>
      <c r="AG69" s="100">
        <f t="shared" si="153"/>
        <v>3024.9999999999995</v>
      </c>
      <c r="AH69" s="100">
        <f t="shared" si="153"/>
        <v>3024.9999999999995</v>
      </c>
      <c r="AI69" s="100">
        <f t="shared" si="153"/>
        <v>3024.9999999999995</v>
      </c>
      <c r="AJ69" s="100">
        <f t="shared" si="153"/>
        <v>3024.9999999999995</v>
      </c>
      <c r="AK69" s="100">
        <f t="shared" si="153"/>
        <v>3024.9999999999995</v>
      </c>
      <c r="AL69" s="100">
        <f t="shared" si="153"/>
        <v>3024.9999999999995</v>
      </c>
      <c r="AM69" s="100">
        <f t="shared" si="153"/>
        <v>3024.9999999999995</v>
      </c>
      <c r="AN69" s="100">
        <f t="shared" si="153"/>
        <v>3024.9999999999995</v>
      </c>
      <c r="AO69" s="100">
        <f t="shared" si="153"/>
        <v>3024.9999999999995</v>
      </c>
      <c r="AP69" s="100">
        <f t="shared" si="153"/>
        <v>3024.9999999999995</v>
      </c>
      <c r="AQ69" s="100">
        <f t="shared" si="153"/>
        <v>3024.9999999999995</v>
      </c>
      <c r="AR69" s="100">
        <f t="shared" si="153"/>
        <v>3024.9999999999995</v>
      </c>
      <c r="AS69" s="100">
        <f t="shared" si="153"/>
        <v>3024.9999999999995</v>
      </c>
      <c r="AT69" s="100">
        <f t="shared" si="153"/>
        <v>3024.9999999999995</v>
      </c>
      <c r="AU69" s="100">
        <f t="shared" si="153"/>
        <v>3024.9999999999995</v>
      </c>
      <c r="AV69" s="100">
        <f t="shared" si="153"/>
        <v>3024.9999999999995</v>
      </c>
      <c r="AW69" s="100">
        <f t="shared" si="153"/>
        <v>3024.9999999999995</v>
      </c>
      <c r="AX69" s="100">
        <f t="shared" si="153"/>
        <v>3024.9999999999995</v>
      </c>
      <c r="AY69" s="100">
        <f t="shared" si="153"/>
        <v>3024.9999999999995</v>
      </c>
      <c r="AZ69" s="100">
        <f t="shared" si="153"/>
        <v>3024.9999999999995</v>
      </c>
      <c r="BA69" s="100">
        <f t="shared" si="153"/>
        <v>3024.9999999999995</v>
      </c>
      <c r="BB69" s="100">
        <f t="shared" si="153"/>
        <v>3024.9999999999995</v>
      </c>
      <c r="BC69" s="101">
        <f t="shared" si="147"/>
        <v>15125000000000</v>
      </c>
      <c r="BD69" s="101">
        <f>IFERROR(up_RadSpec!$H$24*(BD24/$B69),".")</f>
        <v>3781250000000</v>
      </c>
      <c r="BE69" s="101">
        <f>IFERROR(up_RadSpec!$H$24*(BE24/$B69),".")</f>
        <v>3781250000000</v>
      </c>
      <c r="BF69" s="101">
        <f>IFERROR(up_RadSpec!$H$24*(BF24/$B69),".")</f>
        <v>3781250000000</v>
      </c>
      <c r="BG69" s="101">
        <f>IFERROR(up_RadSpec!$H$24*(BG24/$B69),".")</f>
        <v>3781250000000</v>
      </c>
      <c r="BH69" s="101">
        <f>IFERROR(up_RadSpec!$H$24*(BH24/$B69),".")</f>
        <v>3781250000000</v>
      </c>
      <c r="BI69" s="101">
        <f>IFERROR(up_RadSpec!$H$24*(BI24/$B69),".")</f>
        <v>3781250000000</v>
      </c>
      <c r="BJ69" s="101">
        <f>IFERROR(up_RadSpec!$H$24*(BJ24/$B69),".")</f>
        <v>3781250000000</v>
      </c>
      <c r="BK69" s="101">
        <f>IFERROR(up_RadSpec!$H$24*(BK24/$B69),".")</f>
        <v>3781250000000</v>
      </c>
      <c r="BL69" s="101">
        <f>IFERROR(up_RadSpec!$H$24*(BL24/$B69),".")</f>
        <v>3781250000000</v>
      </c>
      <c r="BM69" s="101">
        <f>IFERROR(up_RadSpec!$H$24*(BM24/$B69),".")</f>
        <v>3781250000000</v>
      </c>
      <c r="BN69" s="101">
        <f>IFERROR(up_RadSpec!$H$24*(BN24/$B69),".")</f>
        <v>3781250000000</v>
      </c>
      <c r="BO69" s="101">
        <f>IFERROR(up_RadSpec!$H$24*(BO24/$B69),".")</f>
        <v>3781250000000</v>
      </c>
      <c r="BP69" s="101">
        <f>IFERROR(up_RadSpec!$H$24*(BP24/$B69),".")</f>
        <v>3781250000000</v>
      </c>
      <c r="BQ69" s="101">
        <f>IFERROR(up_RadSpec!$H$24*(BQ24/$B69),".")</f>
        <v>3781250000000</v>
      </c>
      <c r="BR69" s="101">
        <f>IFERROR(up_RadSpec!$H$24*(BR24/$B69),".")</f>
        <v>3781250000000</v>
      </c>
      <c r="BS69" s="101">
        <f>IFERROR(up_RadSpec!$H$24*(BS24/$B69),".")</f>
        <v>3781250000000</v>
      </c>
      <c r="BT69" s="101">
        <f>IFERROR(up_RadSpec!$H$24*(BT24/$B69),".")</f>
        <v>3781250000000</v>
      </c>
      <c r="BU69" s="101">
        <f>IFERROR(up_RadSpec!$H$24*(BU24/$B69),".")</f>
        <v>3781250000000</v>
      </c>
      <c r="BV69" s="101">
        <f>IFERROR(up_RadSpec!$H$24*(BV24/$B69),".")</f>
        <v>3781250000000</v>
      </c>
      <c r="BW69" s="101">
        <f>IFERROR(up_RadSpec!$H$24*(BW24/$B69),".")</f>
        <v>3781250000000</v>
      </c>
      <c r="BX69" s="101">
        <f>IFERROR(up_RadSpec!$H$24*(BX24/$B69),".")</f>
        <v>3781250000000</v>
      </c>
      <c r="BY69" s="101">
        <f>IFERROR(up_RadSpec!$H$24*(BY24/$B69),".")</f>
        <v>3781250000000</v>
      </c>
      <c r="BZ69" s="101">
        <f>IFERROR(up_RadSpec!$H$24*(BZ24/$B69),".")</f>
        <v>3781250000000</v>
      </c>
      <c r="CA69" s="101">
        <f>IFERROR(up_RadSpec!$H$24*(CA24/$B69),".")</f>
        <v>3781250000000</v>
      </c>
      <c r="CB69" s="101">
        <f>IFERROR(up_RadSpec!$H$24*(CB24/$B69),".")</f>
        <v>3781250000000</v>
      </c>
    </row>
    <row r="70" spans="1:80" x14ac:dyDescent="0.25">
      <c r="A70" s="99" t="s">
        <v>1091</v>
      </c>
      <c r="B70" s="90">
        <v>0.99979000004200003</v>
      </c>
      <c r="C70" s="100">
        <f t="shared" ref="C70" si="154">IFERROR($B70/C20,0)</f>
        <v>60487295002.541</v>
      </c>
      <c r="D70" s="100">
        <f t="shared" ref="D70:AC70" si="155">IFERROR($B70/D20,0)</f>
        <v>15121823750.63525</v>
      </c>
      <c r="E70" s="100">
        <f t="shared" si="155"/>
        <v>15121823750.63525</v>
      </c>
      <c r="F70" s="100">
        <f t="shared" si="155"/>
        <v>15121823750.63525</v>
      </c>
      <c r="G70" s="100">
        <f t="shared" si="155"/>
        <v>15121823750.63525</v>
      </c>
      <c r="H70" s="100">
        <f t="shared" si="155"/>
        <v>15121823750.63525</v>
      </c>
      <c r="I70" s="100">
        <f t="shared" si="155"/>
        <v>15121823750.63525</v>
      </c>
      <c r="J70" s="100">
        <f t="shared" si="155"/>
        <v>15121823750.63525</v>
      </c>
      <c r="K70" s="100">
        <f t="shared" si="155"/>
        <v>15121823750.63525</v>
      </c>
      <c r="L70" s="100">
        <f t="shared" si="155"/>
        <v>15121823750.63525</v>
      </c>
      <c r="M70" s="100">
        <f t="shared" si="155"/>
        <v>15121823750.63525</v>
      </c>
      <c r="N70" s="100">
        <f t="shared" si="155"/>
        <v>15121823750.63525</v>
      </c>
      <c r="O70" s="100">
        <f t="shared" si="155"/>
        <v>15121823750.63525</v>
      </c>
      <c r="P70" s="100">
        <f t="shared" si="155"/>
        <v>15121823750.63525</v>
      </c>
      <c r="Q70" s="100">
        <f t="shared" si="155"/>
        <v>15121823750.63525</v>
      </c>
      <c r="R70" s="100">
        <f t="shared" si="155"/>
        <v>15121823750.63525</v>
      </c>
      <c r="S70" s="100">
        <f t="shared" si="155"/>
        <v>15121823750.63525</v>
      </c>
      <c r="T70" s="100">
        <f t="shared" si="155"/>
        <v>15121823750.63525</v>
      </c>
      <c r="U70" s="100">
        <f t="shared" si="155"/>
        <v>15121823750.63525</v>
      </c>
      <c r="V70" s="100">
        <f t="shared" si="155"/>
        <v>15121823750.63525</v>
      </c>
      <c r="W70" s="100">
        <f t="shared" si="155"/>
        <v>15121823750.63525</v>
      </c>
      <c r="X70" s="100">
        <f t="shared" si="155"/>
        <v>15121823750.63525</v>
      </c>
      <c r="Y70" s="100">
        <f t="shared" si="155"/>
        <v>15121823750.63525</v>
      </c>
      <c r="Z70" s="100">
        <f t="shared" si="155"/>
        <v>15121823750.63525</v>
      </c>
      <c r="AA70" s="100">
        <f t="shared" si="155"/>
        <v>15121823750.63525</v>
      </c>
      <c r="AB70" s="100">
        <f t="shared" si="155"/>
        <v>15121823750.63525</v>
      </c>
      <c r="AC70" s="100">
        <f t="shared" si="155"/>
        <v>60487295002.541</v>
      </c>
      <c r="AD70" s="100">
        <f t="shared" ref="AD70:BB70" si="156">IFERROR($B70/AD20,0)</f>
        <v>15121823750.63525</v>
      </c>
      <c r="AE70" s="100">
        <f t="shared" si="156"/>
        <v>15121823750.63525</v>
      </c>
      <c r="AF70" s="100">
        <f t="shared" si="156"/>
        <v>15121823750.63525</v>
      </c>
      <c r="AG70" s="100">
        <f t="shared" si="156"/>
        <v>15121823750.63525</v>
      </c>
      <c r="AH70" s="100">
        <f t="shared" si="156"/>
        <v>15121823750.63525</v>
      </c>
      <c r="AI70" s="100">
        <f t="shared" si="156"/>
        <v>15121823750.63525</v>
      </c>
      <c r="AJ70" s="100">
        <f t="shared" si="156"/>
        <v>15121823750.63525</v>
      </c>
      <c r="AK70" s="100">
        <f t="shared" si="156"/>
        <v>15121823750.63525</v>
      </c>
      <c r="AL70" s="100">
        <f t="shared" si="156"/>
        <v>15121823750.63525</v>
      </c>
      <c r="AM70" s="100">
        <f t="shared" si="156"/>
        <v>15121823750.63525</v>
      </c>
      <c r="AN70" s="100">
        <f t="shared" si="156"/>
        <v>15121823750.63525</v>
      </c>
      <c r="AO70" s="100">
        <f t="shared" si="156"/>
        <v>15121823750.63525</v>
      </c>
      <c r="AP70" s="100">
        <f t="shared" si="156"/>
        <v>15121823750.63525</v>
      </c>
      <c r="AQ70" s="100">
        <f t="shared" si="156"/>
        <v>15121823750.63525</v>
      </c>
      <c r="AR70" s="100">
        <f t="shared" si="156"/>
        <v>15121823750.63525</v>
      </c>
      <c r="AS70" s="100">
        <f t="shared" si="156"/>
        <v>15121823750.63525</v>
      </c>
      <c r="AT70" s="100">
        <f t="shared" si="156"/>
        <v>15121823750.63525</v>
      </c>
      <c r="AU70" s="100">
        <f t="shared" si="156"/>
        <v>15121823750.63525</v>
      </c>
      <c r="AV70" s="100">
        <f t="shared" si="156"/>
        <v>15121823750.63525</v>
      </c>
      <c r="AW70" s="100">
        <f t="shared" si="156"/>
        <v>15121823750.63525</v>
      </c>
      <c r="AX70" s="100">
        <f t="shared" si="156"/>
        <v>15121823750.63525</v>
      </c>
      <c r="AY70" s="100">
        <f t="shared" si="156"/>
        <v>15121823750.63525</v>
      </c>
      <c r="AZ70" s="100">
        <f t="shared" si="156"/>
        <v>15121823750.63525</v>
      </c>
      <c r="BA70" s="100">
        <f t="shared" si="156"/>
        <v>15121823750.63525</v>
      </c>
      <c r="BB70" s="100">
        <f t="shared" si="156"/>
        <v>15121823750.63525</v>
      </c>
      <c r="BC70" s="101">
        <f t="shared" si="147"/>
        <v>3025635.3833034169</v>
      </c>
      <c r="BD70" s="101">
        <f>IFERROR(up_RadSpec!$H$20*(BD20/$B70),".")</f>
        <v>756408.84582585422</v>
      </c>
      <c r="BE70" s="101">
        <f>IFERROR(up_RadSpec!$H$20*(BE20/$B70),".")</f>
        <v>756408.84582585422</v>
      </c>
      <c r="BF70" s="101">
        <f>IFERROR(up_RadSpec!$H$20*(BF20/$B70),".")</f>
        <v>756408.84582585422</v>
      </c>
      <c r="BG70" s="101">
        <f>IFERROR(up_RadSpec!$H$20*(BG20/$B70),".")</f>
        <v>756408.84582585422</v>
      </c>
      <c r="BH70" s="101">
        <f>IFERROR(up_RadSpec!$H$20*(BH20/$B70),".")</f>
        <v>756408.84582585422</v>
      </c>
      <c r="BI70" s="101">
        <f>IFERROR(up_RadSpec!$H$20*(BI20/$B70),".")</f>
        <v>756408.84582585422</v>
      </c>
      <c r="BJ70" s="101">
        <f>IFERROR(up_RadSpec!$H$20*(BJ20/$B70),".")</f>
        <v>756408.84582585422</v>
      </c>
      <c r="BK70" s="101">
        <f>IFERROR(up_RadSpec!$H$20*(BK20/$B70),".")</f>
        <v>756408.84582585422</v>
      </c>
      <c r="BL70" s="101">
        <f>IFERROR(up_RadSpec!$H$20*(BL20/$B70),".")</f>
        <v>756408.84582585422</v>
      </c>
      <c r="BM70" s="101">
        <f>IFERROR(up_RadSpec!$H$20*(BM20/$B70),".")</f>
        <v>756408.84582585422</v>
      </c>
      <c r="BN70" s="101">
        <f>IFERROR(up_RadSpec!$H$20*(BN20/$B70),".")</f>
        <v>756408.84582585422</v>
      </c>
      <c r="BO70" s="101">
        <f>IFERROR(up_RadSpec!$H$20*(BO20/$B70),".")</f>
        <v>756408.84582585422</v>
      </c>
      <c r="BP70" s="101">
        <f>IFERROR(up_RadSpec!$H$20*(BP20/$B70),".")</f>
        <v>756408.84582585422</v>
      </c>
      <c r="BQ70" s="101">
        <f>IFERROR(up_RadSpec!$H$20*(BQ20/$B70),".")</f>
        <v>756408.84582585422</v>
      </c>
      <c r="BR70" s="101">
        <f>IFERROR(up_RadSpec!$H$20*(BR20/$B70),".")</f>
        <v>756408.84582585422</v>
      </c>
      <c r="BS70" s="101">
        <f>IFERROR(up_RadSpec!$H$20*(BS20/$B70),".")</f>
        <v>756408.84582585422</v>
      </c>
      <c r="BT70" s="101">
        <f>IFERROR(up_RadSpec!$H$20*(BT20/$B70),".")</f>
        <v>756408.84582585422</v>
      </c>
      <c r="BU70" s="101">
        <f>IFERROR(up_RadSpec!$H$20*(BU20/$B70),".")</f>
        <v>756408.84582585422</v>
      </c>
      <c r="BV70" s="101">
        <f>IFERROR(up_RadSpec!$H$20*(BV20/$B70),".")</f>
        <v>756408.84582585422</v>
      </c>
      <c r="BW70" s="101">
        <f>IFERROR(up_RadSpec!$H$20*(BW20/$B70),".")</f>
        <v>756408.84582585422</v>
      </c>
      <c r="BX70" s="101">
        <f>IFERROR(up_RadSpec!$H$20*(BX20/$B70),".")</f>
        <v>756408.84582585422</v>
      </c>
      <c r="BY70" s="101">
        <f>IFERROR(up_RadSpec!$H$20*(BY20/$B70),".")</f>
        <v>756408.84582585422</v>
      </c>
      <c r="BZ70" s="101">
        <f>IFERROR(up_RadSpec!$H$20*(BZ20/$B70),".")</f>
        <v>756408.84582585422</v>
      </c>
      <c r="CA70" s="101">
        <f>IFERROR(up_RadSpec!$H$20*(CA20/$B70),".")</f>
        <v>756408.84582585422</v>
      </c>
      <c r="CB70" s="101">
        <f>IFERROR(up_RadSpec!$H$20*(CB20/$B70),".")</f>
        <v>756408.84582585422</v>
      </c>
    </row>
    <row r="71" spans="1:80" x14ac:dyDescent="0.25">
      <c r="A71" s="99" t="s">
        <v>1092</v>
      </c>
      <c r="B71" s="90">
        <v>2.0999995799999999E-4</v>
      </c>
      <c r="C71" s="100">
        <f t="shared" ref="C71" si="157">IFERROR($B71/C29,0)</f>
        <v>12704997.458999999</v>
      </c>
      <c r="D71" s="100">
        <f t="shared" ref="D71:AC71" si="158">IFERROR($B71/D29,0)</f>
        <v>3176249.3647499997</v>
      </c>
      <c r="E71" s="100">
        <f t="shared" si="158"/>
        <v>3176249.3647499997</v>
      </c>
      <c r="F71" s="100">
        <f t="shared" si="158"/>
        <v>3176249.3647499997</v>
      </c>
      <c r="G71" s="100">
        <f t="shared" si="158"/>
        <v>3176249.3647499997</v>
      </c>
      <c r="H71" s="100">
        <f t="shared" si="158"/>
        <v>3176249.3647499997</v>
      </c>
      <c r="I71" s="100">
        <f t="shared" si="158"/>
        <v>3176249.3647499997</v>
      </c>
      <c r="J71" s="100">
        <f t="shared" si="158"/>
        <v>3176249.3647499997</v>
      </c>
      <c r="K71" s="100">
        <f t="shared" si="158"/>
        <v>3176249.3647499997</v>
      </c>
      <c r="L71" s="100">
        <f t="shared" si="158"/>
        <v>3176249.3647499997</v>
      </c>
      <c r="M71" s="100">
        <f t="shared" si="158"/>
        <v>3176249.3647499997</v>
      </c>
      <c r="N71" s="100">
        <f t="shared" si="158"/>
        <v>3176249.3647499997</v>
      </c>
      <c r="O71" s="100">
        <f t="shared" si="158"/>
        <v>3176249.3647499997</v>
      </c>
      <c r="P71" s="100">
        <f t="shared" si="158"/>
        <v>3176249.3647499997</v>
      </c>
      <c r="Q71" s="100">
        <f t="shared" si="158"/>
        <v>3176249.3647499997</v>
      </c>
      <c r="R71" s="100">
        <f t="shared" si="158"/>
        <v>3176249.3647499997</v>
      </c>
      <c r="S71" s="100">
        <f t="shared" si="158"/>
        <v>3176249.3647499997</v>
      </c>
      <c r="T71" s="100">
        <f t="shared" si="158"/>
        <v>3176249.3647499997</v>
      </c>
      <c r="U71" s="100">
        <f t="shared" si="158"/>
        <v>3176249.3647499997</v>
      </c>
      <c r="V71" s="100">
        <f t="shared" si="158"/>
        <v>3176249.3647499997</v>
      </c>
      <c r="W71" s="100">
        <f t="shared" si="158"/>
        <v>3176249.3647499997</v>
      </c>
      <c r="X71" s="100">
        <f t="shared" si="158"/>
        <v>3176249.3647499997</v>
      </c>
      <c r="Y71" s="100">
        <f t="shared" si="158"/>
        <v>3176249.3647499997</v>
      </c>
      <c r="Z71" s="100">
        <f t="shared" si="158"/>
        <v>3176249.3647499997</v>
      </c>
      <c r="AA71" s="100">
        <f t="shared" si="158"/>
        <v>3176249.3647499997</v>
      </c>
      <c r="AB71" s="100">
        <f t="shared" si="158"/>
        <v>3176249.3647499997</v>
      </c>
      <c r="AC71" s="100">
        <f t="shared" si="158"/>
        <v>12704997.458999999</v>
      </c>
      <c r="AD71" s="100">
        <f t="shared" ref="AD71:BB71" si="159">IFERROR($B71/AD29,0)</f>
        <v>3176249.3647499997</v>
      </c>
      <c r="AE71" s="100">
        <f t="shared" si="159"/>
        <v>3176249.3647499997</v>
      </c>
      <c r="AF71" s="100">
        <f t="shared" si="159"/>
        <v>3176249.3647499997</v>
      </c>
      <c r="AG71" s="100">
        <f t="shared" si="159"/>
        <v>3176249.3647499997</v>
      </c>
      <c r="AH71" s="100">
        <f t="shared" si="159"/>
        <v>3176249.3647499997</v>
      </c>
      <c r="AI71" s="100">
        <f t="shared" si="159"/>
        <v>3176249.3647499997</v>
      </c>
      <c r="AJ71" s="100">
        <f t="shared" si="159"/>
        <v>3176249.3647499997</v>
      </c>
      <c r="AK71" s="100">
        <f t="shared" si="159"/>
        <v>3176249.3647499997</v>
      </c>
      <c r="AL71" s="100">
        <f t="shared" si="159"/>
        <v>3176249.3647499997</v>
      </c>
      <c r="AM71" s="100">
        <f t="shared" si="159"/>
        <v>3176249.3647499997</v>
      </c>
      <c r="AN71" s="100">
        <f t="shared" si="159"/>
        <v>3176249.3647499997</v>
      </c>
      <c r="AO71" s="100">
        <f t="shared" si="159"/>
        <v>3176249.3647499997</v>
      </c>
      <c r="AP71" s="100">
        <f t="shared" si="159"/>
        <v>3176249.3647499997</v>
      </c>
      <c r="AQ71" s="100">
        <f t="shared" si="159"/>
        <v>3176249.3647499997</v>
      </c>
      <c r="AR71" s="100">
        <f t="shared" si="159"/>
        <v>3176249.3647499997</v>
      </c>
      <c r="AS71" s="100">
        <f t="shared" si="159"/>
        <v>3176249.3647499997</v>
      </c>
      <c r="AT71" s="100">
        <f t="shared" si="159"/>
        <v>3176249.3647499997</v>
      </c>
      <c r="AU71" s="100">
        <f t="shared" si="159"/>
        <v>3176249.3647499997</v>
      </c>
      <c r="AV71" s="100">
        <f t="shared" si="159"/>
        <v>3176249.3647499997</v>
      </c>
      <c r="AW71" s="100">
        <f t="shared" si="159"/>
        <v>3176249.3647499997</v>
      </c>
      <c r="AX71" s="100">
        <f t="shared" si="159"/>
        <v>3176249.3647499997</v>
      </c>
      <c r="AY71" s="100">
        <f t="shared" si="159"/>
        <v>3176249.3647499997</v>
      </c>
      <c r="AZ71" s="100">
        <f t="shared" si="159"/>
        <v>3176249.3647499997</v>
      </c>
      <c r="BA71" s="100">
        <f t="shared" si="159"/>
        <v>3176249.3647499997</v>
      </c>
      <c r="BB71" s="100">
        <f t="shared" si="159"/>
        <v>3176249.3647499997</v>
      </c>
      <c r="BC71" s="101">
        <f t="shared" si="147"/>
        <v>14404764785.714863</v>
      </c>
      <c r="BD71" s="101">
        <f>IFERROR(up_RadSpec!$H$29*(BD29/$B71),".")</f>
        <v>3601191196.4287157</v>
      </c>
      <c r="BE71" s="101">
        <f>IFERROR(up_RadSpec!$H$29*(BE29/$B71),".")</f>
        <v>3601191196.4287157</v>
      </c>
      <c r="BF71" s="101">
        <f>IFERROR(up_RadSpec!$H$29*(BF29/$B71),".")</f>
        <v>3601191196.4287157</v>
      </c>
      <c r="BG71" s="101">
        <f>IFERROR(up_RadSpec!$H$29*(BG29/$B71),".")</f>
        <v>3601191196.4287157</v>
      </c>
      <c r="BH71" s="101">
        <f>IFERROR(up_RadSpec!$H$29*(BH29/$B71),".")</f>
        <v>3601191196.4287157</v>
      </c>
      <c r="BI71" s="101">
        <f>IFERROR(up_RadSpec!$H$29*(BI29/$B71),".")</f>
        <v>3601191196.4287157</v>
      </c>
      <c r="BJ71" s="101">
        <f>IFERROR(up_RadSpec!$H$29*(BJ29/$B71),".")</f>
        <v>3601191196.4287157</v>
      </c>
      <c r="BK71" s="101">
        <f>IFERROR(up_RadSpec!$H$29*(BK29/$B71),".")</f>
        <v>3601191196.4287157</v>
      </c>
      <c r="BL71" s="101">
        <f>IFERROR(up_RadSpec!$H$29*(BL29/$B71),".")</f>
        <v>3601191196.4287157</v>
      </c>
      <c r="BM71" s="101">
        <f>IFERROR(up_RadSpec!$H$29*(BM29/$B71),".")</f>
        <v>3601191196.4287157</v>
      </c>
      <c r="BN71" s="101">
        <f>IFERROR(up_RadSpec!$H$29*(BN29/$B71),".")</f>
        <v>3601191196.4287157</v>
      </c>
      <c r="BO71" s="101">
        <f>IFERROR(up_RadSpec!$H$29*(BO29/$B71),".")</f>
        <v>3601191196.4287157</v>
      </c>
      <c r="BP71" s="101">
        <f>IFERROR(up_RadSpec!$H$29*(BP29/$B71),".")</f>
        <v>3601191196.4287157</v>
      </c>
      <c r="BQ71" s="101">
        <f>IFERROR(up_RadSpec!$H$29*(BQ29/$B71),".")</f>
        <v>3601191196.4287157</v>
      </c>
      <c r="BR71" s="101">
        <f>IFERROR(up_RadSpec!$H$29*(BR29/$B71),".")</f>
        <v>3601191196.4287157</v>
      </c>
      <c r="BS71" s="101">
        <f>IFERROR(up_RadSpec!$H$29*(BS29/$B71),".")</f>
        <v>3601191196.4287157</v>
      </c>
      <c r="BT71" s="101">
        <f>IFERROR(up_RadSpec!$H$29*(BT29/$B71),".")</f>
        <v>3601191196.4287157</v>
      </c>
      <c r="BU71" s="101">
        <f>IFERROR(up_RadSpec!$H$29*(BU29/$B71),".")</f>
        <v>3601191196.4287157</v>
      </c>
      <c r="BV71" s="101">
        <f>IFERROR(up_RadSpec!$H$29*(BV29/$B71),".")</f>
        <v>3601191196.4287157</v>
      </c>
      <c r="BW71" s="101">
        <f>IFERROR(up_RadSpec!$H$29*(BW29/$B71),".")</f>
        <v>3601191196.4287157</v>
      </c>
      <c r="BX71" s="101">
        <f>IFERROR(up_RadSpec!$H$29*(BX29/$B71),".")</f>
        <v>3601191196.4287157</v>
      </c>
      <c r="BY71" s="101">
        <f>IFERROR(up_RadSpec!$H$29*(BY29/$B71),".")</f>
        <v>3601191196.4287157</v>
      </c>
      <c r="BZ71" s="101">
        <f>IFERROR(up_RadSpec!$H$29*(BZ29/$B71),".")</f>
        <v>3601191196.4287157</v>
      </c>
      <c r="CA71" s="101">
        <f>IFERROR(up_RadSpec!$H$29*(CA29/$B71),".")</f>
        <v>3601191196.4287157</v>
      </c>
      <c r="CB71" s="101">
        <f>IFERROR(up_RadSpec!$H$29*(CB29/$B71),".")</f>
        <v>3601191196.4287157</v>
      </c>
    </row>
    <row r="72" spans="1:80" x14ac:dyDescent="0.25">
      <c r="A72" s="99" t="s">
        <v>1093</v>
      </c>
      <c r="B72" s="90">
        <v>1</v>
      </c>
      <c r="C72" s="100">
        <f t="shared" ref="C72" si="160">IFERROR($B72/C16,0)</f>
        <v>60499999999.999992</v>
      </c>
      <c r="D72" s="100">
        <f t="shared" ref="D72:AC72" si="161">IFERROR($B72/D16,0)</f>
        <v>15124999999.999998</v>
      </c>
      <c r="E72" s="100">
        <f t="shared" si="161"/>
        <v>15124999999.999998</v>
      </c>
      <c r="F72" s="100">
        <f t="shared" si="161"/>
        <v>15124999999.999998</v>
      </c>
      <c r="G72" s="100">
        <f t="shared" si="161"/>
        <v>15124999999.999998</v>
      </c>
      <c r="H72" s="100">
        <f t="shared" si="161"/>
        <v>15124999999.999998</v>
      </c>
      <c r="I72" s="100">
        <f t="shared" si="161"/>
        <v>15124999999.999998</v>
      </c>
      <c r="J72" s="100">
        <f t="shared" si="161"/>
        <v>15124999999.999998</v>
      </c>
      <c r="K72" s="100">
        <f t="shared" si="161"/>
        <v>15124999999.999998</v>
      </c>
      <c r="L72" s="100">
        <f t="shared" si="161"/>
        <v>15124999999.999998</v>
      </c>
      <c r="M72" s="100">
        <f t="shared" si="161"/>
        <v>15124999999.999998</v>
      </c>
      <c r="N72" s="100">
        <f t="shared" si="161"/>
        <v>15124999999.999998</v>
      </c>
      <c r="O72" s="100">
        <f t="shared" si="161"/>
        <v>15124999999.999998</v>
      </c>
      <c r="P72" s="100">
        <f t="shared" si="161"/>
        <v>15124999999.999998</v>
      </c>
      <c r="Q72" s="100">
        <f t="shared" si="161"/>
        <v>15124999999.999998</v>
      </c>
      <c r="R72" s="100">
        <f t="shared" si="161"/>
        <v>15124999999.999998</v>
      </c>
      <c r="S72" s="100">
        <f t="shared" si="161"/>
        <v>15124999999.999998</v>
      </c>
      <c r="T72" s="100">
        <f t="shared" si="161"/>
        <v>15124999999.999998</v>
      </c>
      <c r="U72" s="100">
        <f t="shared" si="161"/>
        <v>15124999999.999998</v>
      </c>
      <c r="V72" s="100">
        <f t="shared" si="161"/>
        <v>15124999999.999998</v>
      </c>
      <c r="W72" s="100">
        <f t="shared" si="161"/>
        <v>15124999999.999998</v>
      </c>
      <c r="X72" s="100">
        <f t="shared" si="161"/>
        <v>15124999999.999998</v>
      </c>
      <c r="Y72" s="100">
        <f t="shared" si="161"/>
        <v>15124999999.999998</v>
      </c>
      <c r="Z72" s="100">
        <f t="shared" si="161"/>
        <v>15124999999.999998</v>
      </c>
      <c r="AA72" s="100">
        <f t="shared" si="161"/>
        <v>15124999999.999998</v>
      </c>
      <c r="AB72" s="100">
        <f t="shared" si="161"/>
        <v>15124999999.999998</v>
      </c>
      <c r="AC72" s="100">
        <f t="shared" si="161"/>
        <v>60499999999.999992</v>
      </c>
      <c r="AD72" s="100">
        <f t="shared" ref="AD72:BB72" si="162">IFERROR($B72/AD16,0)</f>
        <v>15124999999.999998</v>
      </c>
      <c r="AE72" s="100">
        <f t="shared" si="162"/>
        <v>15124999999.999998</v>
      </c>
      <c r="AF72" s="100">
        <f t="shared" si="162"/>
        <v>15124999999.999998</v>
      </c>
      <c r="AG72" s="100">
        <f t="shared" si="162"/>
        <v>15124999999.999998</v>
      </c>
      <c r="AH72" s="100">
        <f t="shared" si="162"/>
        <v>15124999999.999998</v>
      </c>
      <c r="AI72" s="100">
        <f t="shared" si="162"/>
        <v>15124999999.999998</v>
      </c>
      <c r="AJ72" s="100">
        <f t="shared" si="162"/>
        <v>15124999999.999998</v>
      </c>
      <c r="AK72" s="100">
        <f t="shared" si="162"/>
        <v>15124999999.999998</v>
      </c>
      <c r="AL72" s="100">
        <f t="shared" si="162"/>
        <v>15124999999.999998</v>
      </c>
      <c r="AM72" s="100">
        <f t="shared" si="162"/>
        <v>15124999999.999998</v>
      </c>
      <c r="AN72" s="100">
        <f t="shared" si="162"/>
        <v>15124999999.999998</v>
      </c>
      <c r="AO72" s="100">
        <f t="shared" si="162"/>
        <v>15124999999.999998</v>
      </c>
      <c r="AP72" s="100">
        <f t="shared" si="162"/>
        <v>15124999999.999998</v>
      </c>
      <c r="AQ72" s="100">
        <f t="shared" si="162"/>
        <v>15124999999.999998</v>
      </c>
      <c r="AR72" s="100">
        <f t="shared" si="162"/>
        <v>15124999999.999998</v>
      </c>
      <c r="AS72" s="100">
        <f t="shared" si="162"/>
        <v>15124999999.999998</v>
      </c>
      <c r="AT72" s="100">
        <f t="shared" si="162"/>
        <v>15124999999.999998</v>
      </c>
      <c r="AU72" s="100">
        <f t="shared" si="162"/>
        <v>15124999999.999998</v>
      </c>
      <c r="AV72" s="100">
        <f t="shared" si="162"/>
        <v>15124999999.999998</v>
      </c>
      <c r="AW72" s="100">
        <f t="shared" si="162"/>
        <v>15124999999.999998</v>
      </c>
      <c r="AX72" s="100">
        <f t="shared" si="162"/>
        <v>15124999999.999998</v>
      </c>
      <c r="AY72" s="100">
        <f t="shared" si="162"/>
        <v>15124999999.999998</v>
      </c>
      <c r="AZ72" s="100">
        <f t="shared" si="162"/>
        <v>15124999999.999998</v>
      </c>
      <c r="BA72" s="100">
        <f t="shared" si="162"/>
        <v>15124999999.999998</v>
      </c>
      <c r="BB72" s="100">
        <f t="shared" si="162"/>
        <v>15124999999.999998</v>
      </c>
      <c r="BC72" s="101">
        <f t="shared" si="147"/>
        <v>3025000</v>
      </c>
      <c r="BD72" s="101">
        <f>IFERROR(up_RadSpec!$H$16*(BD16/$B72),".")</f>
        <v>756250</v>
      </c>
      <c r="BE72" s="101">
        <f>IFERROR(up_RadSpec!$H$16*(BE16/$B72),".")</f>
        <v>756250</v>
      </c>
      <c r="BF72" s="101">
        <f>IFERROR(up_RadSpec!$H$16*(BF16/$B72),".")</f>
        <v>756250</v>
      </c>
      <c r="BG72" s="101">
        <f>IFERROR(up_RadSpec!$H$16*(BG16/$B72),".")</f>
        <v>756250</v>
      </c>
      <c r="BH72" s="101">
        <f>IFERROR(up_RadSpec!$H$16*(BH16/$B72),".")</f>
        <v>756250</v>
      </c>
      <c r="BI72" s="101">
        <f>IFERROR(up_RadSpec!$H$16*(BI16/$B72),".")</f>
        <v>756250</v>
      </c>
      <c r="BJ72" s="101">
        <f>IFERROR(up_RadSpec!$H$16*(BJ16/$B72),".")</f>
        <v>756250</v>
      </c>
      <c r="BK72" s="101">
        <f>IFERROR(up_RadSpec!$H$16*(BK16/$B72),".")</f>
        <v>756250</v>
      </c>
      <c r="BL72" s="101">
        <f>IFERROR(up_RadSpec!$H$16*(BL16/$B72),".")</f>
        <v>756250</v>
      </c>
      <c r="BM72" s="101">
        <f>IFERROR(up_RadSpec!$H$16*(BM16/$B72),".")</f>
        <v>756250</v>
      </c>
      <c r="BN72" s="101">
        <f>IFERROR(up_RadSpec!$H$16*(BN16/$B72),".")</f>
        <v>756250</v>
      </c>
      <c r="BO72" s="101">
        <f>IFERROR(up_RadSpec!$H$16*(BO16/$B72),".")</f>
        <v>756250</v>
      </c>
      <c r="BP72" s="101">
        <f>IFERROR(up_RadSpec!$H$16*(BP16/$B72),".")</f>
        <v>756250</v>
      </c>
      <c r="BQ72" s="101">
        <f>IFERROR(up_RadSpec!$H$16*(BQ16/$B72),".")</f>
        <v>756250</v>
      </c>
      <c r="BR72" s="101">
        <f>IFERROR(up_RadSpec!$H$16*(BR16/$B72),".")</f>
        <v>756250</v>
      </c>
      <c r="BS72" s="101">
        <f>IFERROR(up_RadSpec!$H$16*(BS16/$B72),".")</f>
        <v>756250</v>
      </c>
      <c r="BT72" s="101">
        <f>IFERROR(up_RadSpec!$H$16*(BT16/$B72),".")</f>
        <v>756250</v>
      </c>
      <c r="BU72" s="101">
        <f>IFERROR(up_RadSpec!$H$16*(BU16/$B72),".")</f>
        <v>756250</v>
      </c>
      <c r="BV72" s="101">
        <f>IFERROR(up_RadSpec!$H$16*(BV16/$B72),".")</f>
        <v>756250</v>
      </c>
      <c r="BW72" s="101">
        <f>IFERROR(up_RadSpec!$H$16*(BW16/$B72),".")</f>
        <v>756250</v>
      </c>
      <c r="BX72" s="101">
        <f>IFERROR(up_RadSpec!$H$16*(BX16/$B72),".")</f>
        <v>756250</v>
      </c>
      <c r="BY72" s="101">
        <f>IFERROR(up_RadSpec!$H$16*(BY16/$B72),".")</f>
        <v>756250</v>
      </c>
      <c r="BZ72" s="101">
        <f>IFERROR(up_RadSpec!$H$16*(BZ16/$B72),".")</f>
        <v>756250</v>
      </c>
      <c r="CA72" s="101">
        <f>IFERROR(up_RadSpec!$H$16*(CA16/$B72),".")</f>
        <v>756250</v>
      </c>
      <c r="CB72" s="101">
        <f>IFERROR(up_RadSpec!$H$16*(CB16/$B72),".")</f>
        <v>756250</v>
      </c>
    </row>
    <row r="73" spans="1:80" x14ac:dyDescent="0.25">
      <c r="A73" s="99" t="s">
        <v>1094</v>
      </c>
      <c r="B73" s="90">
        <v>1</v>
      </c>
      <c r="C73" s="100">
        <f t="shared" ref="C73" si="163">IFERROR($B73/C7,0)</f>
        <v>60499999999.999992</v>
      </c>
      <c r="D73" s="100">
        <f t="shared" ref="D73:AC73" si="164">IFERROR($B73/D7,0)</f>
        <v>15124999999.999998</v>
      </c>
      <c r="E73" s="100">
        <f t="shared" si="164"/>
        <v>15124999999.999998</v>
      </c>
      <c r="F73" s="100">
        <f t="shared" si="164"/>
        <v>15124999999.999998</v>
      </c>
      <c r="G73" s="100">
        <f t="shared" si="164"/>
        <v>15124999999.999998</v>
      </c>
      <c r="H73" s="100">
        <f t="shared" si="164"/>
        <v>15124999999.999998</v>
      </c>
      <c r="I73" s="100">
        <f t="shared" si="164"/>
        <v>15124999999.999998</v>
      </c>
      <c r="J73" s="100">
        <f t="shared" si="164"/>
        <v>15124999999.999998</v>
      </c>
      <c r="K73" s="100">
        <f t="shared" si="164"/>
        <v>15124999999.999998</v>
      </c>
      <c r="L73" s="100">
        <f t="shared" si="164"/>
        <v>15124999999.999998</v>
      </c>
      <c r="M73" s="100">
        <f t="shared" si="164"/>
        <v>15124999999.999998</v>
      </c>
      <c r="N73" s="100">
        <f t="shared" si="164"/>
        <v>15124999999.999998</v>
      </c>
      <c r="O73" s="100">
        <f t="shared" si="164"/>
        <v>15124999999.999998</v>
      </c>
      <c r="P73" s="100">
        <f t="shared" si="164"/>
        <v>15124999999.999998</v>
      </c>
      <c r="Q73" s="100">
        <f t="shared" si="164"/>
        <v>15124999999.999998</v>
      </c>
      <c r="R73" s="100">
        <f t="shared" si="164"/>
        <v>15124999999.999998</v>
      </c>
      <c r="S73" s="100">
        <f t="shared" si="164"/>
        <v>15124999999.999998</v>
      </c>
      <c r="T73" s="100">
        <f t="shared" si="164"/>
        <v>15124999999.999998</v>
      </c>
      <c r="U73" s="100">
        <f t="shared" si="164"/>
        <v>15124999999.999998</v>
      </c>
      <c r="V73" s="100">
        <f t="shared" si="164"/>
        <v>15124999999.999998</v>
      </c>
      <c r="W73" s="100">
        <f t="shared" si="164"/>
        <v>15124999999.999998</v>
      </c>
      <c r="X73" s="100">
        <f t="shared" si="164"/>
        <v>15124999999.999998</v>
      </c>
      <c r="Y73" s="100">
        <f t="shared" si="164"/>
        <v>15124999999.999998</v>
      </c>
      <c r="Z73" s="100">
        <f t="shared" si="164"/>
        <v>15124999999.999998</v>
      </c>
      <c r="AA73" s="100">
        <f t="shared" si="164"/>
        <v>15124999999.999998</v>
      </c>
      <c r="AB73" s="100">
        <f t="shared" si="164"/>
        <v>15124999999.999998</v>
      </c>
      <c r="AC73" s="100">
        <f t="shared" si="164"/>
        <v>60499999999.999992</v>
      </c>
      <c r="AD73" s="100">
        <f t="shared" ref="AD73:BB73" si="165">IFERROR($B73/AD7,0)</f>
        <v>15124999999.999998</v>
      </c>
      <c r="AE73" s="100">
        <f t="shared" si="165"/>
        <v>15124999999.999998</v>
      </c>
      <c r="AF73" s="100">
        <f t="shared" si="165"/>
        <v>15124999999.999998</v>
      </c>
      <c r="AG73" s="100">
        <f t="shared" si="165"/>
        <v>15124999999.999998</v>
      </c>
      <c r="AH73" s="100">
        <f t="shared" si="165"/>
        <v>15124999999.999998</v>
      </c>
      <c r="AI73" s="100">
        <f t="shared" si="165"/>
        <v>15124999999.999998</v>
      </c>
      <c r="AJ73" s="100">
        <f t="shared" si="165"/>
        <v>15124999999.999998</v>
      </c>
      <c r="AK73" s="100">
        <f t="shared" si="165"/>
        <v>15124999999.999998</v>
      </c>
      <c r="AL73" s="100">
        <f t="shared" si="165"/>
        <v>15124999999.999998</v>
      </c>
      <c r="AM73" s="100">
        <f t="shared" si="165"/>
        <v>15124999999.999998</v>
      </c>
      <c r="AN73" s="100">
        <f t="shared" si="165"/>
        <v>15124999999.999998</v>
      </c>
      <c r="AO73" s="100">
        <f t="shared" si="165"/>
        <v>15124999999.999998</v>
      </c>
      <c r="AP73" s="100">
        <f t="shared" si="165"/>
        <v>15124999999.999998</v>
      </c>
      <c r="AQ73" s="100">
        <f t="shared" si="165"/>
        <v>15124999999.999998</v>
      </c>
      <c r="AR73" s="100">
        <f t="shared" si="165"/>
        <v>15124999999.999998</v>
      </c>
      <c r="AS73" s="100">
        <f t="shared" si="165"/>
        <v>15124999999.999998</v>
      </c>
      <c r="AT73" s="100">
        <f t="shared" si="165"/>
        <v>15124999999.999998</v>
      </c>
      <c r="AU73" s="100">
        <f t="shared" si="165"/>
        <v>15124999999.999998</v>
      </c>
      <c r="AV73" s="100">
        <f t="shared" si="165"/>
        <v>15124999999.999998</v>
      </c>
      <c r="AW73" s="100">
        <f t="shared" si="165"/>
        <v>15124999999.999998</v>
      </c>
      <c r="AX73" s="100">
        <f t="shared" si="165"/>
        <v>15124999999.999998</v>
      </c>
      <c r="AY73" s="100">
        <f t="shared" si="165"/>
        <v>15124999999.999998</v>
      </c>
      <c r="AZ73" s="100">
        <f t="shared" si="165"/>
        <v>15124999999.999998</v>
      </c>
      <c r="BA73" s="100">
        <f t="shared" si="165"/>
        <v>15124999999.999998</v>
      </c>
      <c r="BB73" s="100">
        <f t="shared" si="165"/>
        <v>15124999999.999998</v>
      </c>
      <c r="BC73" s="101">
        <f t="shared" si="147"/>
        <v>3025000</v>
      </c>
      <c r="BD73" s="101">
        <f>IFERROR(up_RadSpec!$H$7*(BD7/$B73),".")</f>
        <v>756250</v>
      </c>
      <c r="BE73" s="101">
        <f>IFERROR(up_RadSpec!$H$7*(BE7/$B73),".")</f>
        <v>756250</v>
      </c>
      <c r="BF73" s="101">
        <f>IFERROR(up_RadSpec!$H$7*(BF7/$B73),".")</f>
        <v>756250</v>
      </c>
      <c r="BG73" s="101">
        <f>IFERROR(up_RadSpec!$H$7*(BG7/$B73),".")</f>
        <v>756250</v>
      </c>
      <c r="BH73" s="101">
        <f>IFERROR(up_RadSpec!$H$7*(BH7/$B73),".")</f>
        <v>756250</v>
      </c>
      <c r="BI73" s="101">
        <f>IFERROR(up_RadSpec!$H$7*(BI7/$B73),".")</f>
        <v>756250</v>
      </c>
      <c r="BJ73" s="101">
        <f>IFERROR(up_RadSpec!$H$7*(BJ7/$B73),".")</f>
        <v>756250</v>
      </c>
      <c r="BK73" s="101">
        <f>IFERROR(up_RadSpec!$H$7*(BK7/$B73),".")</f>
        <v>756250</v>
      </c>
      <c r="BL73" s="101">
        <f>IFERROR(up_RadSpec!$H$7*(BL7/$B73),".")</f>
        <v>756250</v>
      </c>
      <c r="BM73" s="101">
        <f>IFERROR(up_RadSpec!$H$7*(BM7/$B73),".")</f>
        <v>756250</v>
      </c>
      <c r="BN73" s="101">
        <f>IFERROR(up_RadSpec!$H$7*(BN7/$B73),".")</f>
        <v>756250</v>
      </c>
      <c r="BO73" s="101">
        <f>IFERROR(up_RadSpec!$H$7*(BO7/$B73),".")</f>
        <v>756250</v>
      </c>
      <c r="BP73" s="101">
        <f>IFERROR(up_RadSpec!$H$7*(BP7/$B73),".")</f>
        <v>756250</v>
      </c>
      <c r="BQ73" s="101">
        <f>IFERROR(up_RadSpec!$H$7*(BQ7/$B73),".")</f>
        <v>756250</v>
      </c>
      <c r="BR73" s="101">
        <f>IFERROR(up_RadSpec!$H$7*(BR7/$B73),".")</f>
        <v>756250</v>
      </c>
      <c r="BS73" s="101">
        <f>IFERROR(up_RadSpec!$H$7*(BS7/$B73),".")</f>
        <v>756250</v>
      </c>
      <c r="BT73" s="101">
        <f>IFERROR(up_RadSpec!$H$7*(BT7/$B73),".")</f>
        <v>756250</v>
      </c>
      <c r="BU73" s="101">
        <f>IFERROR(up_RadSpec!$H$7*(BU7/$B73),".")</f>
        <v>756250</v>
      </c>
      <c r="BV73" s="101">
        <f>IFERROR(up_RadSpec!$H$7*(BV7/$B73),".")</f>
        <v>756250</v>
      </c>
      <c r="BW73" s="101">
        <f>IFERROR(up_RadSpec!$H$7*(BW7/$B73),".")</f>
        <v>756250</v>
      </c>
      <c r="BX73" s="101">
        <f>IFERROR(up_RadSpec!$H$7*(BX7/$B73),".")</f>
        <v>756250</v>
      </c>
      <c r="BY73" s="101">
        <f>IFERROR(up_RadSpec!$H$7*(BY7/$B73),".")</f>
        <v>756250</v>
      </c>
      <c r="BZ73" s="101">
        <f>IFERROR(up_RadSpec!$H$7*(BZ7/$B73),".")</f>
        <v>756250</v>
      </c>
      <c r="CA73" s="101">
        <f>IFERROR(up_RadSpec!$H$7*(CA7/$B73),".")</f>
        <v>756250</v>
      </c>
      <c r="CB73" s="101">
        <f>IFERROR(up_RadSpec!$H$7*(CB7/$B73),".")</f>
        <v>756250</v>
      </c>
    </row>
    <row r="74" spans="1:80" x14ac:dyDescent="0.25">
      <c r="A74" s="99" t="s">
        <v>1095</v>
      </c>
      <c r="B74" s="104">
        <v>1.9000000000000001E-8</v>
      </c>
      <c r="C74" s="100">
        <f t="shared" ref="C74" si="166">IFERROR($B74/C12,0)</f>
        <v>1149.5</v>
      </c>
      <c r="D74" s="100">
        <f t="shared" ref="D74:AC74" si="167">IFERROR($B74/D12,0)</f>
        <v>287.375</v>
      </c>
      <c r="E74" s="100">
        <f t="shared" si="167"/>
        <v>287.375</v>
      </c>
      <c r="F74" s="100">
        <f t="shared" si="167"/>
        <v>287.375</v>
      </c>
      <c r="G74" s="100">
        <f t="shared" si="167"/>
        <v>287.375</v>
      </c>
      <c r="H74" s="100">
        <f t="shared" si="167"/>
        <v>287.375</v>
      </c>
      <c r="I74" s="100">
        <f t="shared" si="167"/>
        <v>287.375</v>
      </c>
      <c r="J74" s="100">
        <f t="shared" si="167"/>
        <v>287.375</v>
      </c>
      <c r="K74" s="100">
        <f t="shared" si="167"/>
        <v>287.375</v>
      </c>
      <c r="L74" s="100">
        <f t="shared" si="167"/>
        <v>287.375</v>
      </c>
      <c r="M74" s="100">
        <f t="shared" si="167"/>
        <v>287.375</v>
      </c>
      <c r="N74" s="100">
        <f t="shared" si="167"/>
        <v>287.375</v>
      </c>
      <c r="O74" s="100">
        <f t="shared" si="167"/>
        <v>287.375</v>
      </c>
      <c r="P74" s="100">
        <f t="shared" si="167"/>
        <v>287.375</v>
      </c>
      <c r="Q74" s="100">
        <f t="shared" si="167"/>
        <v>287.375</v>
      </c>
      <c r="R74" s="100">
        <f t="shared" si="167"/>
        <v>287.375</v>
      </c>
      <c r="S74" s="100">
        <f t="shared" si="167"/>
        <v>287.375</v>
      </c>
      <c r="T74" s="100">
        <f t="shared" si="167"/>
        <v>287.375</v>
      </c>
      <c r="U74" s="100">
        <f t="shared" si="167"/>
        <v>287.375</v>
      </c>
      <c r="V74" s="100">
        <f t="shared" si="167"/>
        <v>287.375</v>
      </c>
      <c r="W74" s="100">
        <f t="shared" si="167"/>
        <v>287.375</v>
      </c>
      <c r="X74" s="100">
        <f t="shared" si="167"/>
        <v>287.375</v>
      </c>
      <c r="Y74" s="100">
        <f t="shared" si="167"/>
        <v>287.375</v>
      </c>
      <c r="Z74" s="100">
        <f t="shared" si="167"/>
        <v>287.375</v>
      </c>
      <c r="AA74" s="100">
        <f t="shared" si="167"/>
        <v>287.375</v>
      </c>
      <c r="AB74" s="100">
        <f t="shared" si="167"/>
        <v>287.375</v>
      </c>
      <c r="AC74" s="100">
        <f t="shared" si="167"/>
        <v>1149.5</v>
      </c>
      <c r="AD74" s="100">
        <f t="shared" ref="AD74:BB74" si="168">IFERROR($B74/AD12,0)</f>
        <v>287.375</v>
      </c>
      <c r="AE74" s="100">
        <f t="shared" si="168"/>
        <v>287.375</v>
      </c>
      <c r="AF74" s="100">
        <f t="shared" si="168"/>
        <v>287.375</v>
      </c>
      <c r="AG74" s="100">
        <f t="shared" si="168"/>
        <v>287.375</v>
      </c>
      <c r="AH74" s="100">
        <f t="shared" si="168"/>
        <v>287.375</v>
      </c>
      <c r="AI74" s="100">
        <f t="shared" si="168"/>
        <v>287.375</v>
      </c>
      <c r="AJ74" s="100">
        <f t="shared" si="168"/>
        <v>287.375</v>
      </c>
      <c r="AK74" s="100">
        <f t="shared" si="168"/>
        <v>287.375</v>
      </c>
      <c r="AL74" s="100">
        <f t="shared" si="168"/>
        <v>287.375</v>
      </c>
      <c r="AM74" s="100">
        <f t="shared" si="168"/>
        <v>287.375</v>
      </c>
      <c r="AN74" s="100">
        <f t="shared" si="168"/>
        <v>287.375</v>
      </c>
      <c r="AO74" s="100">
        <f t="shared" si="168"/>
        <v>287.375</v>
      </c>
      <c r="AP74" s="100">
        <f t="shared" si="168"/>
        <v>287.375</v>
      </c>
      <c r="AQ74" s="100">
        <f t="shared" si="168"/>
        <v>287.375</v>
      </c>
      <c r="AR74" s="100">
        <f t="shared" si="168"/>
        <v>287.375</v>
      </c>
      <c r="AS74" s="100">
        <f t="shared" si="168"/>
        <v>287.375</v>
      </c>
      <c r="AT74" s="100">
        <f t="shared" si="168"/>
        <v>287.375</v>
      </c>
      <c r="AU74" s="100">
        <f t="shared" si="168"/>
        <v>287.375</v>
      </c>
      <c r="AV74" s="100">
        <f t="shared" si="168"/>
        <v>287.375</v>
      </c>
      <c r="AW74" s="100">
        <f t="shared" si="168"/>
        <v>287.375</v>
      </c>
      <c r="AX74" s="100">
        <f t="shared" si="168"/>
        <v>287.375</v>
      </c>
      <c r="AY74" s="100">
        <f t="shared" si="168"/>
        <v>287.375</v>
      </c>
      <c r="AZ74" s="100">
        <f t="shared" si="168"/>
        <v>287.375</v>
      </c>
      <c r="BA74" s="100">
        <f t="shared" si="168"/>
        <v>287.375</v>
      </c>
      <c r="BB74" s="100">
        <f t="shared" si="168"/>
        <v>287.375</v>
      </c>
      <c r="BC74" s="101">
        <f t="shared" si="147"/>
        <v>159210526315789.44</v>
      </c>
      <c r="BD74" s="101">
        <f>IFERROR(up_RadSpec!$H$12*(BD12/$B74),".")</f>
        <v>39802631578947.359</v>
      </c>
      <c r="BE74" s="101">
        <f>IFERROR(up_RadSpec!$H$12*(BE12/$B74),".")</f>
        <v>39802631578947.359</v>
      </c>
      <c r="BF74" s="101">
        <f>IFERROR(up_RadSpec!$H$12*(BF12/$B74),".")</f>
        <v>39802631578947.359</v>
      </c>
      <c r="BG74" s="101">
        <f>IFERROR(up_RadSpec!$H$12*(BG12/$B74),".")</f>
        <v>39802631578947.359</v>
      </c>
      <c r="BH74" s="101">
        <f>IFERROR(up_RadSpec!$H$12*(BH12/$B74),".")</f>
        <v>39802631578947.359</v>
      </c>
      <c r="BI74" s="101">
        <f>IFERROR(up_RadSpec!$H$12*(BI12/$B74),".")</f>
        <v>39802631578947.359</v>
      </c>
      <c r="BJ74" s="101">
        <f>IFERROR(up_RadSpec!$H$12*(BJ12/$B74),".")</f>
        <v>39802631578947.359</v>
      </c>
      <c r="BK74" s="101">
        <f>IFERROR(up_RadSpec!$H$12*(BK12/$B74),".")</f>
        <v>39802631578947.359</v>
      </c>
      <c r="BL74" s="101">
        <f>IFERROR(up_RadSpec!$H$12*(BL12/$B74),".")</f>
        <v>39802631578947.359</v>
      </c>
      <c r="BM74" s="101">
        <f>IFERROR(up_RadSpec!$H$12*(BM12/$B74),".")</f>
        <v>39802631578947.359</v>
      </c>
      <c r="BN74" s="101">
        <f>IFERROR(up_RadSpec!$H$12*(BN12/$B74),".")</f>
        <v>39802631578947.359</v>
      </c>
      <c r="BO74" s="101">
        <f>IFERROR(up_RadSpec!$H$12*(BO12/$B74),".")</f>
        <v>39802631578947.359</v>
      </c>
      <c r="BP74" s="101">
        <f>IFERROR(up_RadSpec!$H$12*(BP12/$B74),".")</f>
        <v>39802631578947.359</v>
      </c>
      <c r="BQ74" s="101">
        <f>IFERROR(up_RadSpec!$H$12*(BQ12/$B74),".")</f>
        <v>39802631578947.359</v>
      </c>
      <c r="BR74" s="101">
        <f>IFERROR(up_RadSpec!$H$12*(BR12/$B74),".")</f>
        <v>39802631578947.359</v>
      </c>
      <c r="BS74" s="101">
        <f>IFERROR(up_RadSpec!$H$12*(BS12/$B74),".")</f>
        <v>39802631578947.359</v>
      </c>
      <c r="BT74" s="101">
        <f>IFERROR(up_RadSpec!$H$12*(BT12/$B74),".")</f>
        <v>39802631578947.359</v>
      </c>
      <c r="BU74" s="101">
        <f>IFERROR(up_RadSpec!$H$12*(BU12/$B74),".")</f>
        <v>39802631578947.359</v>
      </c>
      <c r="BV74" s="101">
        <f>IFERROR(up_RadSpec!$H$12*(BV12/$B74),".")</f>
        <v>39802631578947.359</v>
      </c>
      <c r="BW74" s="101">
        <f>IFERROR(up_RadSpec!$H$12*(BW12/$B74),".")</f>
        <v>39802631578947.359</v>
      </c>
      <c r="BX74" s="101">
        <f>IFERROR(up_RadSpec!$H$12*(BX12/$B74),".")</f>
        <v>39802631578947.359</v>
      </c>
      <c r="BY74" s="101">
        <f>IFERROR(up_RadSpec!$H$12*(BY12/$B74),".")</f>
        <v>39802631578947.359</v>
      </c>
      <c r="BZ74" s="101">
        <f>IFERROR(up_RadSpec!$H$12*(BZ12/$B74),".")</f>
        <v>39802631578947.359</v>
      </c>
      <c r="CA74" s="101">
        <f>IFERROR(up_RadSpec!$H$12*(CA12/$B74),".")</f>
        <v>39802631578947.359</v>
      </c>
      <c r="CB74" s="101">
        <f>IFERROR(up_RadSpec!$H$12*(CB12/$B74),".")</f>
        <v>39802631578947.359</v>
      </c>
    </row>
    <row r="75" spans="1:80" x14ac:dyDescent="0.25">
      <c r="A75" s="99" t="s">
        <v>1096</v>
      </c>
      <c r="B75" s="90">
        <v>1</v>
      </c>
      <c r="C75" s="100">
        <f t="shared" ref="C75" si="169">IFERROR($B75/C18,0)</f>
        <v>60499999999.999992</v>
      </c>
      <c r="D75" s="100">
        <f t="shared" ref="D75:AC75" si="170">IFERROR($B75/D18,0)</f>
        <v>15124999999.999998</v>
      </c>
      <c r="E75" s="100">
        <f t="shared" si="170"/>
        <v>15124999999.999998</v>
      </c>
      <c r="F75" s="100">
        <f t="shared" si="170"/>
        <v>15124999999.999998</v>
      </c>
      <c r="G75" s="100">
        <f t="shared" si="170"/>
        <v>15124999999.999998</v>
      </c>
      <c r="H75" s="100">
        <f t="shared" si="170"/>
        <v>15124999999.999998</v>
      </c>
      <c r="I75" s="100">
        <f t="shared" si="170"/>
        <v>15124999999.999998</v>
      </c>
      <c r="J75" s="100">
        <f t="shared" si="170"/>
        <v>15124999999.999998</v>
      </c>
      <c r="K75" s="100">
        <f t="shared" si="170"/>
        <v>15124999999.999998</v>
      </c>
      <c r="L75" s="100">
        <f t="shared" si="170"/>
        <v>15124999999.999998</v>
      </c>
      <c r="M75" s="100">
        <f t="shared" si="170"/>
        <v>15124999999.999998</v>
      </c>
      <c r="N75" s="100">
        <f t="shared" si="170"/>
        <v>15124999999.999998</v>
      </c>
      <c r="O75" s="100">
        <f t="shared" si="170"/>
        <v>15124999999.999998</v>
      </c>
      <c r="P75" s="100">
        <f t="shared" si="170"/>
        <v>15124999999.999998</v>
      </c>
      <c r="Q75" s="100">
        <f t="shared" si="170"/>
        <v>15124999999.999998</v>
      </c>
      <c r="R75" s="100">
        <f t="shared" si="170"/>
        <v>15124999999.999998</v>
      </c>
      <c r="S75" s="100">
        <f t="shared" si="170"/>
        <v>15124999999.999998</v>
      </c>
      <c r="T75" s="100">
        <f t="shared" si="170"/>
        <v>15124999999.999998</v>
      </c>
      <c r="U75" s="100">
        <f t="shared" si="170"/>
        <v>15124999999.999998</v>
      </c>
      <c r="V75" s="100">
        <f t="shared" si="170"/>
        <v>15124999999.999998</v>
      </c>
      <c r="W75" s="100">
        <f t="shared" si="170"/>
        <v>15124999999.999998</v>
      </c>
      <c r="X75" s="100">
        <f t="shared" si="170"/>
        <v>15124999999.999998</v>
      </c>
      <c r="Y75" s="100">
        <f t="shared" si="170"/>
        <v>15124999999.999998</v>
      </c>
      <c r="Z75" s="100">
        <f t="shared" si="170"/>
        <v>15124999999.999998</v>
      </c>
      <c r="AA75" s="100">
        <f t="shared" si="170"/>
        <v>15124999999.999998</v>
      </c>
      <c r="AB75" s="100">
        <f t="shared" si="170"/>
        <v>15124999999.999998</v>
      </c>
      <c r="AC75" s="100">
        <f t="shared" si="170"/>
        <v>60499999999.999992</v>
      </c>
      <c r="AD75" s="100">
        <f t="shared" ref="AD75:BB75" si="171">IFERROR($B75/AD18,0)</f>
        <v>15124999999.999998</v>
      </c>
      <c r="AE75" s="100">
        <f t="shared" si="171"/>
        <v>15124999999.999998</v>
      </c>
      <c r="AF75" s="100">
        <f t="shared" si="171"/>
        <v>15124999999.999998</v>
      </c>
      <c r="AG75" s="100">
        <f t="shared" si="171"/>
        <v>15124999999.999998</v>
      </c>
      <c r="AH75" s="100">
        <f t="shared" si="171"/>
        <v>15124999999.999998</v>
      </c>
      <c r="AI75" s="100">
        <f t="shared" si="171"/>
        <v>15124999999.999998</v>
      </c>
      <c r="AJ75" s="100">
        <f t="shared" si="171"/>
        <v>15124999999.999998</v>
      </c>
      <c r="AK75" s="100">
        <f t="shared" si="171"/>
        <v>15124999999.999998</v>
      </c>
      <c r="AL75" s="100">
        <f t="shared" si="171"/>
        <v>15124999999.999998</v>
      </c>
      <c r="AM75" s="100">
        <f t="shared" si="171"/>
        <v>15124999999.999998</v>
      </c>
      <c r="AN75" s="100">
        <f t="shared" si="171"/>
        <v>15124999999.999998</v>
      </c>
      <c r="AO75" s="100">
        <f t="shared" si="171"/>
        <v>15124999999.999998</v>
      </c>
      <c r="AP75" s="100">
        <f t="shared" si="171"/>
        <v>15124999999.999998</v>
      </c>
      <c r="AQ75" s="100">
        <f t="shared" si="171"/>
        <v>15124999999.999998</v>
      </c>
      <c r="AR75" s="100">
        <f t="shared" si="171"/>
        <v>15124999999.999998</v>
      </c>
      <c r="AS75" s="100">
        <f t="shared" si="171"/>
        <v>15124999999.999998</v>
      </c>
      <c r="AT75" s="100">
        <f t="shared" si="171"/>
        <v>15124999999.999998</v>
      </c>
      <c r="AU75" s="100">
        <f t="shared" si="171"/>
        <v>15124999999.999998</v>
      </c>
      <c r="AV75" s="100">
        <f t="shared" si="171"/>
        <v>15124999999.999998</v>
      </c>
      <c r="AW75" s="100">
        <f t="shared" si="171"/>
        <v>15124999999.999998</v>
      </c>
      <c r="AX75" s="100">
        <f t="shared" si="171"/>
        <v>15124999999.999998</v>
      </c>
      <c r="AY75" s="100">
        <f t="shared" si="171"/>
        <v>15124999999.999998</v>
      </c>
      <c r="AZ75" s="100">
        <f t="shared" si="171"/>
        <v>15124999999.999998</v>
      </c>
      <c r="BA75" s="100">
        <f t="shared" si="171"/>
        <v>15124999999.999998</v>
      </c>
      <c r="BB75" s="100">
        <f t="shared" si="171"/>
        <v>15124999999.999998</v>
      </c>
      <c r="BC75" s="101">
        <f t="shared" si="147"/>
        <v>3025000</v>
      </c>
      <c r="BD75" s="101">
        <f>IFERROR(up_RadSpec!$H$18*(BD18/$B75),".")</f>
        <v>756250</v>
      </c>
      <c r="BE75" s="101">
        <f>IFERROR(up_RadSpec!$H$18*(BE18/$B75),".")</f>
        <v>756250</v>
      </c>
      <c r="BF75" s="101">
        <f>IFERROR(up_RadSpec!$H$18*(BF18/$B75),".")</f>
        <v>756250</v>
      </c>
      <c r="BG75" s="101">
        <f>IFERROR(up_RadSpec!$H$18*(BG18/$B75),".")</f>
        <v>756250</v>
      </c>
      <c r="BH75" s="101">
        <f>IFERROR(up_RadSpec!$H$18*(BH18/$B75),".")</f>
        <v>756250</v>
      </c>
      <c r="BI75" s="101">
        <f>IFERROR(up_RadSpec!$H$18*(BI18/$B75),".")</f>
        <v>756250</v>
      </c>
      <c r="BJ75" s="101">
        <f>IFERROR(up_RadSpec!$H$18*(BJ18/$B75),".")</f>
        <v>756250</v>
      </c>
      <c r="BK75" s="101">
        <f>IFERROR(up_RadSpec!$H$18*(BK18/$B75),".")</f>
        <v>756250</v>
      </c>
      <c r="BL75" s="101">
        <f>IFERROR(up_RadSpec!$H$18*(BL18/$B75),".")</f>
        <v>756250</v>
      </c>
      <c r="BM75" s="101">
        <f>IFERROR(up_RadSpec!$H$18*(BM18/$B75),".")</f>
        <v>756250</v>
      </c>
      <c r="BN75" s="101">
        <f>IFERROR(up_RadSpec!$H$18*(BN18/$B75),".")</f>
        <v>756250</v>
      </c>
      <c r="BO75" s="101">
        <f>IFERROR(up_RadSpec!$H$18*(BO18/$B75),".")</f>
        <v>756250</v>
      </c>
      <c r="BP75" s="101">
        <f>IFERROR(up_RadSpec!$H$18*(BP18/$B75),".")</f>
        <v>756250</v>
      </c>
      <c r="BQ75" s="101">
        <f>IFERROR(up_RadSpec!$H$18*(BQ18/$B75),".")</f>
        <v>756250</v>
      </c>
      <c r="BR75" s="101">
        <f>IFERROR(up_RadSpec!$H$18*(BR18/$B75),".")</f>
        <v>756250</v>
      </c>
      <c r="BS75" s="101">
        <f>IFERROR(up_RadSpec!$H$18*(BS18/$B75),".")</f>
        <v>756250</v>
      </c>
      <c r="BT75" s="101">
        <f>IFERROR(up_RadSpec!$H$18*(BT18/$B75),".")</f>
        <v>756250</v>
      </c>
      <c r="BU75" s="101">
        <f>IFERROR(up_RadSpec!$H$18*(BU18/$B75),".")</f>
        <v>756250</v>
      </c>
      <c r="BV75" s="101">
        <f>IFERROR(up_RadSpec!$H$18*(BV18/$B75),".")</f>
        <v>756250</v>
      </c>
      <c r="BW75" s="101">
        <f>IFERROR(up_RadSpec!$H$18*(BW18/$B75),".")</f>
        <v>756250</v>
      </c>
      <c r="BX75" s="101">
        <f>IFERROR(up_RadSpec!$H$18*(BX18/$B75),".")</f>
        <v>756250</v>
      </c>
      <c r="BY75" s="101">
        <f>IFERROR(up_RadSpec!$H$18*(BY18/$B75),".")</f>
        <v>756250</v>
      </c>
      <c r="BZ75" s="101">
        <f>IFERROR(up_RadSpec!$H$18*(BZ18/$B75),".")</f>
        <v>756250</v>
      </c>
      <c r="CA75" s="101">
        <f>IFERROR(up_RadSpec!$H$18*(CA18/$B75),".")</f>
        <v>756250</v>
      </c>
      <c r="CB75" s="101">
        <f>IFERROR(up_RadSpec!$H$18*(CB18/$B75),".")</f>
        <v>756250</v>
      </c>
    </row>
    <row r="76" spans="1:80" x14ac:dyDescent="0.25">
      <c r="A76" s="99" t="s">
        <v>1097</v>
      </c>
      <c r="B76" s="90">
        <v>1.339E-6</v>
      </c>
      <c r="C76" s="100">
        <f t="shared" ref="C76" si="172">IFERROR($B76/C27,0)</f>
        <v>81009.5</v>
      </c>
      <c r="D76" s="100">
        <f t="shared" ref="D76:AC76" si="173">IFERROR($B76/D27,0)</f>
        <v>20252.375</v>
      </c>
      <c r="E76" s="100">
        <f t="shared" si="173"/>
        <v>20252.375</v>
      </c>
      <c r="F76" s="100">
        <f t="shared" si="173"/>
        <v>20252.375</v>
      </c>
      <c r="G76" s="100">
        <f t="shared" si="173"/>
        <v>20252.375</v>
      </c>
      <c r="H76" s="100">
        <f t="shared" si="173"/>
        <v>20252.375</v>
      </c>
      <c r="I76" s="100">
        <f t="shared" si="173"/>
        <v>20252.375</v>
      </c>
      <c r="J76" s="100">
        <f t="shared" si="173"/>
        <v>20252.375</v>
      </c>
      <c r="K76" s="100">
        <f t="shared" si="173"/>
        <v>20252.375</v>
      </c>
      <c r="L76" s="100">
        <f t="shared" si="173"/>
        <v>20252.375</v>
      </c>
      <c r="M76" s="100">
        <f t="shared" si="173"/>
        <v>20252.375</v>
      </c>
      <c r="N76" s="100">
        <f t="shared" si="173"/>
        <v>20252.375</v>
      </c>
      <c r="O76" s="100">
        <f t="shared" si="173"/>
        <v>20252.375</v>
      </c>
      <c r="P76" s="100">
        <f t="shared" si="173"/>
        <v>20252.375</v>
      </c>
      <c r="Q76" s="100">
        <f t="shared" si="173"/>
        <v>20252.375</v>
      </c>
      <c r="R76" s="100">
        <f t="shared" si="173"/>
        <v>20252.375</v>
      </c>
      <c r="S76" s="100">
        <f t="shared" si="173"/>
        <v>20252.375</v>
      </c>
      <c r="T76" s="100">
        <f t="shared" si="173"/>
        <v>20252.375</v>
      </c>
      <c r="U76" s="100">
        <f t="shared" si="173"/>
        <v>20252.375</v>
      </c>
      <c r="V76" s="100">
        <f t="shared" si="173"/>
        <v>20252.375</v>
      </c>
      <c r="W76" s="100">
        <f t="shared" si="173"/>
        <v>20252.375</v>
      </c>
      <c r="X76" s="100">
        <f t="shared" si="173"/>
        <v>20252.375</v>
      </c>
      <c r="Y76" s="100">
        <f t="shared" si="173"/>
        <v>20252.375</v>
      </c>
      <c r="Z76" s="100">
        <f t="shared" si="173"/>
        <v>20252.375</v>
      </c>
      <c r="AA76" s="100">
        <f t="shared" si="173"/>
        <v>20252.375</v>
      </c>
      <c r="AB76" s="100">
        <f t="shared" si="173"/>
        <v>20252.375</v>
      </c>
      <c r="AC76" s="100">
        <f t="shared" si="173"/>
        <v>81009.5</v>
      </c>
      <c r="AD76" s="100">
        <f t="shared" ref="AD76:BB76" si="174">IFERROR($B76/AD27,0)</f>
        <v>20252.375</v>
      </c>
      <c r="AE76" s="100">
        <f t="shared" si="174"/>
        <v>20252.375</v>
      </c>
      <c r="AF76" s="100">
        <f t="shared" si="174"/>
        <v>20252.375</v>
      </c>
      <c r="AG76" s="100">
        <f t="shared" si="174"/>
        <v>20252.375</v>
      </c>
      <c r="AH76" s="100">
        <f t="shared" si="174"/>
        <v>20252.375</v>
      </c>
      <c r="AI76" s="100">
        <f t="shared" si="174"/>
        <v>20252.375</v>
      </c>
      <c r="AJ76" s="100">
        <f t="shared" si="174"/>
        <v>20252.375</v>
      </c>
      <c r="AK76" s="100">
        <f t="shared" si="174"/>
        <v>20252.375</v>
      </c>
      <c r="AL76" s="100">
        <f t="shared" si="174"/>
        <v>20252.375</v>
      </c>
      <c r="AM76" s="100">
        <f t="shared" si="174"/>
        <v>20252.375</v>
      </c>
      <c r="AN76" s="100">
        <f t="shared" si="174"/>
        <v>20252.375</v>
      </c>
      <c r="AO76" s="100">
        <f t="shared" si="174"/>
        <v>20252.375</v>
      </c>
      <c r="AP76" s="100">
        <f t="shared" si="174"/>
        <v>20252.375</v>
      </c>
      <c r="AQ76" s="100">
        <f t="shared" si="174"/>
        <v>20252.375</v>
      </c>
      <c r="AR76" s="100">
        <f t="shared" si="174"/>
        <v>20252.375</v>
      </c>
      <c r="AS76" s="100">
        <f t="shared" si="174"/>
        <v>20252.375</v>
      </c>
      <c r="AT76" s="100">
        <f t="shared" si="174"/>
        <v>20252.375</v>
      </c>
      <c r="AU76" s="100">
        <f t="shared" si="174"/>
        <v>20252.375</v>
      </c>
      <c r="AV76" s="100">
        <f t="shared" si="174"/>
        <v>20252.375</v>
      </c>
      <c r="AW76" s="100">
        <f t="shared" si="174"/>
        <v>20252.375</v>
      </c>
      <c r="AX76" s="100">
        <f t="shared" si="174"/>
        <v>20252.375</v>
      </c>
      <c r="AY76" s="100">
        <f t="shared" si="174"/>
        <v>20252.375</v>
      </c>
      <c r="AZ76" s="100">
        <f t="shared" si="174"/>
        <v>20252.375</v>
      </c>
      <c r="BA76" s="100">
        <f t="shared" si="174"/>
        <v>20252.375</v>
      </c>
      <c r="BB76" s="100">
        <f t="shared" si="174"/>
        <v>20252.375</v>
      </c>
      <c r="BC76" s="101">
        <f t="shared" si="147"/>
        <v>2259148618371.9194</v>
      </c>
      <c r="BD76" s="101">
        <f>IFERROR(up_RadSpec!$H$27*(BD27/$B76),".")</f>
        <v>564787154592.97986</v>
      </c>
      <c r="BE76" s="101">
        <f>IFERROR(up_RadSpec!$H$27*(BE27/$B76),".")</f>
        <v>564787154592.97986</v>
      </c>
      <c r="BF76" s="101">
        <f>IFERROR(up_RadSpec!$H$27*(BF27/$B76),".")</f>
        <v>564787154592.97986</v>
      </c>
      <c r="BG76" s="101">
        <f>IFERROR(up_RadSpec!$H$27*(BG27/$B76),".")</f>
        <v>564787154592.97986</v>
      </c>
      <c r="BH76" s="101">
        <f>IFERROR(up_RadSpec!$H$27*(BH27/$B76),".")</f>
        <v>564787154592.97986</v>
      </c>
      <c r="BI76" s="101">
        <f>IFERROR(up_RadSpec!$H$27*(BI27/$B76),".")</f>
        <v>564787154592.97986</v>
      </c>
      <c r="BJ76" s="101">
        <f>IFERROR(up_RadSpec!$H$27*(BJ27/$B76),".")</f>
        <v>564787154592.97986</v>
      </c>
      <c r="BK76" s="101">
        <f>IFERROR(up_RadSpec!$H$27*(BK27/$B76),".")</f>
        <v>564787154592.97986</v>
      </c>
      <c r="BL76" s="101">
        <f>IFERROR(up_RadSpec!$H$27*(BL27/$B76),".")</f>
        <v>564787154592.97986</v>
      </c>
      <c r="BM76" s="101">
        <f>IFERROR(up_RadSpec!$H$27*(BM27/$B76),".")</f>
        <v>564787154592.97986</v>
      </c>
      <c r="BN76" s="101">
        <f>IFERROR(up_RadSpec!$H$27*(BN27/$B76),".")</f>
        <v>564787154592.97986</v>
      </c>
      <c r="BO76" s="101">
        <f>IFERROR(up_RadSpec!$H$27*(BO27/$B76),".")</f>
        <v>564787154592.97986</v>
      </c>
      <c r="BP76" s="101">
        <f>IFERROR(up_RadSpec!$H$27*(BP27/$B76),".")</f>
        <v>564787154592.97986</v>
      </c>
      <c r="BQ76" s="101">
        <f>IFERROR(up_RadSpec!$H$27*(BQ27/$B76),".")</f>
        <v>564787154592.97986</v>
      </c>
      <c r="BR76" s="101">
        <f>IFERROR(up_RadSpec!$H$27*(BR27/$B76),".")</f>
        <v>564787154592.97986</v>
      </c>
      <c r="BS76" s="101">
        <f>IFERROR(up_RadSpec!$H$27*(BS27/$B76),".")</f>
        <v>564787154592.97986</v>
      </c>
      <c r="BT76" s="101">
        <f>IFERROR(up_RadSpec!$H$27*(BT27/$B76),".")</f>
        <v>564787154592.97986</v>
      </c>
      <c r="BU76" s="101">
        <f>IFERROR(up_RadSpec!$H$27*(BU27/$B76),".")</f>
        <v>564787154592.97986</v>
      </c>
      <c r="BV76" s="101">
        <f>IFERROR(up_RadSpec!$H$27*(BV27/$B76),".")</f>
        <v>564787154592.97986</v>
      </c>
      <c r="BW76" s="101">
        <f>IFERROR(up_RadSpec!$H$27*(BW27/$B76),".")</f>
        <v>564787154592.97986</v>
      </c>
      <c r="BX76" s="101">
        <f>IFERROR(up_RadSpec!$H$27*(BX27/$B76),".")</f>
        <v>564787154592.97986</v>
      </c>
      <c r="BY76" s="101">
        <f>IFERROR(up_RadSpec!$H$27*(BY27/$B76),".")</f>
        <v>564787154592.97986</v>
      </c>
      <c r="BZ76" s="101">
        <f>IFERROR(up_RadSpec!$H$27*(BZ27/$B76),".")</f>
        <v>564787154592.97986</v>
      </c>
      <c r="CA76" s="101">
        <f>IFERROR(up_RadSpec!$H$27*(CA27/$B76),".")</f>
        <v>564787154592.97986</v>
      </c>
      <c r="CB76" s="101">
        <f>IFERROR(up_RadSpec!$H$27*(CB27/$B76),".")</f>
        <v>564787154592.97986</v>
      </c>
    </row>
  </sheetData>
  <sheetProtection algorithmName="SHA-512" hashValue="y8/Mu+QuBMuLMWdiAZZJo44OAh7oHeoG6pUlKA+PosN694/+OiRbEvDtnOI7R74kCy140gmE9xJ7coIfJkDSQw==" saltValue="A4FdjHEDqdew6uL69DA02g==" spinCount="100000" sheet="1" formatColumns="0" formatRows="0" autoFilter="0"/>
  <autoFilter ref="A1:BY76" xr:uid="{0D17F666-105E-4FEE-AC22-BBB8076B344D}"/>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1:D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5.42578125" style="42" bestFit="1" customWidth="1"/>
    <col min="2" max="2" width="13.28515625" style="42" bestFit="1" customWidth="1"/>
    <col min="3" max="3" width="27" style="42" bestFit="1" customWidth="1"/>
    <col min="4" max="4" width="16" style="42" bestFit="1" customWidth="1"/>
    <col min="5" max="5" width="16.140625" style="42" bestFit="1" customWidth="1"/>
    <col min="6" max="6" width="15" style="42" bestFit="1" customWidth="1"/>
    <col min="7" max="7" width="15.7109375" style="42" bestFit="1" customWidth="1"/>
    <col min="8" max="8" width="15" style="42" bestFit="1" customWidth="1"/>
    <col min="9" max="9" width="15.42578125" style="42" bestFit="1" customWidth="1"/>
    <col min="10" max="10" width="14.7109375" style="42" bestFit="1" customWidth="1"/>
    <col min="11" max="11" width="16.140625" style="42" bestFit="1" customWidth="1"/>
    <col min="12" max="12" width="15" style="42" bestFit="1" customWidth="1"/>
    <col min="13" max="13" width="16.85546875" style="42" bestFit="1" customWidth="1"/>
    <col min="14" max="14" width="14" style="42" bestFit="1" customWidth="1"/>
    <col min="15" max="16" width="15" style="42" bestFit="1" customWidth="1"/>
    <col min="17" max="17" width="16.140625" style="42" bestFit="1" customWidth="1"/>
    <col min="18" max="18" width="16.28515625" style="42" bestFit="1" customWidth="1"/>
    <col min="19" max="19" width="15" style="42" bestFit="1" customWidth="1"/>
    <col min="20" max="20" width="14.28515625" style="42" bestFit="1" customWidth="1"/>
    <col min="21" max="21" width="14.28515625" style="42" customWidth="1"/>
    <col min="22" max="22" width="15.7109375" style="42" bestFit="1" customWidth="1"/>
    <col min="23" max="23" width="16.140625" style="42" bestFit="1" customWidth="1"/>
    <col min="24" max="24" width="15.42578125" style="42" bestFit="1" customWidth="1"/>
    <col min="25" max="25" width="16" style="42" bestFit="1" customWidth="1"/>
    <col min="26" max="27" width="14.42578125" style="42" bestFit="1" customWidth="1"/>
    <col min="28" max="28" width="16.42578125" style="42" bestFit="1" customWidth="1"/>
    <col min="29" max="29" width="22.5703125" style="42" bestFit="1" customWidth="1"/>
    <col min="30" max="30" width="15.85546875" style="42" bestFit="1" customWidth="1"/>
    <col min="31" max="31" width="16" style="42" bestFit="1" customWidth="1"/>
    <col min="32" max="32" width="14.7109375" style="42" bestFit="1" customWidth="1"/>
    <col min="33" max="33" width="15.42578125" style="42" bestFit="1" customWidth="1"/>
    <col min="34" max="34" width="14.7109375" style="42" bestFit="1" customWidth="1"/>
    <col min="35" max="35" width="15.140625" style="42" bestFit="1" customWidth="1"/>
    <col min="36" max="36" width="14.28515625" style="42" bestFit="1" customWidth="1"/>
    <col min="37" max="37" width="15.7109375" style="42" bestFit="1" customWidth="1"/>
    <col min="38" max="38" width="14.7109375" style="42" bestFit="1" customWidth="1"/>
    <col min="39" max="39" width="16.7109375" style="42" bestFit="1" customWidth="1"/>
    <col min="40" max="40" width="13.7109375" style="42" bestFit="1" customWidth="1"/>
    <col min="41" max="41" width="14.5703125" style="42" bestFit="1" customWidth="1"/>
    <col min="42" max="42" width="14.85546875" style="42" bestFit="1" customWidth="1"/>
    <col min="43" max="43" width="16" style="42" bestFit="1" customWidth="1"/>
    <col min="44" max="44" width="16.28515625" style="42" bestFit="1" customWidth="1"/>
    <col min="45" max="45" width="14.85546875" style="42" bestFit="1" customWidth="1"/>
    <col min="46" max="46" width="14.140625" style="42" bestFit="1" customWidth="1"/>
    <col min="47" max="47" width="14.140625" style="42" customWidth="1"/>
    <col min="48" max="48" width="15.85546875" style="42" bestFit="1" customWidth="1"/>
    <col min="49" max="49" width="16.140625" style="42" bestFit="1" customWidth="1"/>
    <col min="50" max="50" width="15.140625" style="42" bestFit="1" customWidth="1"/>
    <col min="51" max="51" width="16" style="42" bestFit="1" customWidth="1"/>
    <col min="52" max="52" width="14.42578125" style="42" bestFit="1" customWidth="1"/>
    <col min="53" max="53" width="13.85546875" style="42" bestFit="1" customWidth="1"/>
    <col min="54" max="54" width="16.140625" style="42" bestFit="1" customWidth="1"/>
    <col min="55" max="55" width="26.85546875" style="42" bestFit="1" customWidth="1"/>
    <col min="56" max="56" width="15.85546875" style="42" bestFit="1" customWidth="1"/>
    <col min="57" max="57" width="16" style="42" bestFit="1" customWidth="1"/>
    <col min="58" max="58" width="14.7109375" style="42" bestFit="1" customWidth="1"/>
    <col min="59" max="59" width="15.5703125" style="42" bestFit="1" customWidth="1"/>
    <col min="60" max="60" width="14.85546875" style="42" bestFit="1" customWidth="1"/>
    <col min="61" max="61" width="15.28515625" style="42" bestFit="1" customWidth="1"/>
    <col min="62" max="62" width="14.5703125" style="42" bestFit="1" customWidth="1"/>
    <col min="63" max="63" width="16" style="42" bestFit="1" customWidth="1"/>
    <col min="64" max="64" width="14.85546875" style="42" bestFit="1" customWidth="1"/>
    <col min="65" max="65" width="16.7109375" style="42" bestFit="1" customWidth="1"/>
    <col min="66" max="66" width="13.85546875" style="42" bestFit="1" customWidth="1"/>
    <col min="67" max="68" width="14.85546875" style="42" bestFit="1" customWidth="1"/>
    <col min="69" max="69" width="16" style="42" bestFit="1" customWidth="1"/>
    <col min="70" max="70" width="16.140625" style="42" bestFit="1" customWidth="1"/>
    <col min="71" max="71" width="14.85546875" style="42" bestFit="1" customWidth="1"/>
    <col min="72" max="72" width="14.140625" style="42" bestFit="1" customWidth="1"/>
    <col min="73" max="73" width="14.140625" style="42" customWidth="1"/>
    <col min="74" max="74" width="15.5703125" style="42" bestFit="1" customWidth="1"/>
    <col min="75" max="75" width="15.85546875" style="42" bestFit="1" customWidth="1"/>
    <col min="76" max="76" width="15.28515625" style="42" bestFit="1" customWidth="1"/>
    <col min="77" max="77" width="15.85546875" style="42" bestFit="1" customWidth="1"/>
    <col min="78" max="79" width="14.28515625" style="42" bestFit="1" customWidth="1"/>
    <col min="80" max="80" width="15.5703125" style="42" bestFit="1" customWidth="1"/>
    <col min="81" max="81" width="22.5703125" style="42" bestFit="1" customWidth="1"/>
    <col min="82" max="82" width="15.85546875" style="42" bestFit="1" customWidth="1"/>
    <col min="83" max="83" width="16" style="42" bestFit="1" customWidth="1"/>
    <col min="84" max="84" width="14.7109375" style="42" bestFit="1" customWidth="1"/>
    <col min="85" max="85" width="15.42578125" style="42" bestFit="1" customWidth="1"/>
    <col min="86" max="86" width="14.7109375" style="42" bestFit="1" customWidth="1"/>
    <col min="87" max="87" width="15.140625" style="42" bestFit="1" customWidth="1"/>
    <col min="88" max="88" width="14.28515625" style="42" bestFit="1" customWidth="1"/>
    <col min="89" max="89" width="15.7109375" style="42" bestFit="1" customWidth="1"/>
    <col min="90" max="90" width="14.7109375" style="42" bestFit="1" customWidth="1"/>
    <col min="91" max="91" width="16.7109375" style="42" bestFit="1" customWidth="1"/>
    <col min="92" max="92" width="13.7109375" style="42" bestFit="1" customWidth="1"/>
    <col min="93" max="93" width="14.5703125" style="42" bestFit="1" customWidth="1"/>
    <col min="94" max="94" width="14.85546875" style="42" bestFit="1" customWidth="1"/>
    <col min="95" max="95" width="16" style="42" bestFit="1" customWidth="1"/>
    <col min="96" max="96" width="16.28515625" style="42" bestFit="1" customWidth="1"/>
    <col min="97" max="97" width="14.85546875" style="42" bestFit="1" customWidth="1"/>
    <col min="98" max="98" width="14.140625" style="42" bestFit="1" customWidth="1"/>
    <col min="99" max="99" width="14.140625" style="42" customWidth="1"/>
    <col min="100" max="100" width="15.85546875" style="42" bestFit="1" customWidth="1"/>
    <col min="101" max="101" width="16.140625" style="42" bestFit="1" customWidth="1"/>
    <col min="102" max="102" width="15.140625" style="42" bestFit="1" customWidth="1"/>
    <col min="103" max="103" width="16" style="42" bestFit="1" customWidth="1"/>
    <col min="104" max="104" width="14.42578125" style="42" bestFit="1" customWidth="1"/>
    <col min="105" max="105" width="13.85546875" style="42" bestFit="1" customWidth="1"/>
    <col min="106" max="106" width="15.42578125" style="42" bestFit="1" customWidth="1"/>
    <col min="107" max="16384" width="9.140625" style="42"/>
  </cols>
  <sheetData>
    <row r="1" spans="1:106" x14ac:dyDescent="0.25">
      <c r="A1" s="78" t="s">
        <v>51</v>
      </c>
      <c r="B1" s="79" t="s">
        <v>348</v>
      </c>
      <c r="C1" s="80" t="s">
        <v>1468</v>
      </c>
      <c r="D1" s="42" t="s">
        <v>1442</v>
      </c>
      <c r="E1" s="42" t="s">
        <v>1443</v>
      </c>
      <c r="F1" s="42" t="s">
        <v>1444</v>
      </c>
      <c r="G1" s="42" t="s">
        <v>1445</v>
      </c>
      <c r="H1" s="42" t="s">
        <v>1446</v>
      </c>
      <c r="I1" s="42" t="s">
        <v>1447</v>
      </c>
      <c r="J1" s="42" t="s">
        <v>1448</v>
      </c>
      <c r="K1" s="42" t="s">
        <v>1449</v>
      </c>
      <c r="L1" s="42" t="s">
        <v>1450</v>
      </c>
      <c r="M1" s="42" t="s">
        <v>1451</v>
      </c>
      <c r="N1" s="42" t="s">
        <v>1452</v>
      </c>
      <c r="O1" s="42" t="s">
        <v>1453</v>
      </c>
      <c r="P1" s="42" t="s">
        <v>1454</v>
      </c>
      <c r="Q1" s="42" t="s">
        <v>1455</v>
      </c>
      <c r="R1" s="42" t="s">
        <v>1456</v>
      </c>
      <c r="S1" s="42" t="s">
        <v>1457</v>
      </c>
      <c r="T1" s="42" t="s">
        <v>1458</v>
      </c>
      <c r="U1" s="42" t="s">
        <v>1533</v>
      </c>
      <c r="V1" s="42" t="s">
        <v>1459</v>
      </c>
      <c r="W1" s="42" t="s">
        <v>1460</v>
      </c>
      <c r="X1" s="42" t="s">
        <v>1461</v>
      </c>
      <c r="Y1" s="42" t="s">
        <v>1462</v>
      </c>
      <c r="Z1" s="42" t="s">
        <v>1463</v>
      </c>
      <c r="AA1" s="42" t="s">
        <v>1464</v>
      </c>
      <c r="AB1" s="42" t="s">
        <v>1465</v>
      </c>
      <c r="AC1" s="81" t="s">
        <v>1120</v>
      </c>
      <c r="AD1" s="81" t="s">
        <v>1121</v>
      </c>
      <c r="AE1" s="81" t="s">
        <v>1122</v>
      </c>
      <c r="AF1" s="81" t="s">
        <v>1123</v>
      </c>
      <c r="AG1" s="81" t="s">
        <v>1124</v>
      </c>
      <c r="AH1" s="81" t="s">
        <v>1125</v>
      </c>
      <c r="AI1" s="81" t="s">
        <v>1126</v>
      </c>
      <c r="AJ1" s="81" t="s">
        <v>1127</v>
      </c>
      <c r="AK1" s="81" t="s">
        <v>1128</v>
      </c>
      <c r="AL1" s="81" t="s">
        <v>1129</v>
      </c>
      <c r="AM1" s="81" t="s">
        <v>1130</v>
      </c>
      <c r="AN1" s="81" t="s">
        <v>1131</v>
      </c>
      <c r="AO1" s="81" t="s">
        <v>1132</v>
      </c>
      <c r="AP1" s="81" t="s">
        <v>1133</v>
      </c>
      <c r="AQ1" s="81" t="s">
        <v>1134</v>
      </c>
      <c r="AR1" s="81" t="s">
        <v>1135</v>
      </c>
      <c r="AS1" s="81" t="s">
        <v>1136</v>
      </c>
      <c r="AT1" s="81" t="s">
        <v>1137</v>
      </c>
      <c r="AU1" s="81" t="s">
        <v>1535</v>
      </c>
      <c r="AV1" s="81" t="s">
        <v>1138</v>
      </c>
      <c r="AW1" s="81" t="s">
        <v>1139</v>
      </c>
      <c r="AX1" s="81" t="s">
        <v>1140</v>
      </c>
      <c r="AY1" s="81" t="s">
        <v>1141</v>
      </c>
      <c r="AZ1" s="81" t="s">
        <v>1142</v>
      </c>
      <c r="BA1" s="81" t="s">
        <v>1143</v>
      </c>
      <c r="BB1" s="81" t="s">
        <v>1144</v>
      </c>
      <c r="BC1" s="42" t="s">
        <v>1466</v>
      </c>
      <c r="BD1" s="42" t="s">
        <v>1417</v>
      </c>
      <c r="BE1" s="42" t="s">
        <v>1418</v>
      </c>
      <c r="BF1" s="42" t="s">
        <v>1419</v>
      </c>
      <c r="BG1" s="42" t="s">
        <v>1420</v>
      </c>
      <c r="BH1" s="42" t="s">
        <v>1421</v>
      </c>
      <c r="BI1" s="42" t="s">
        <v>1422</v>
      </c>
      <c r="BJ1" s="42" t="s">
        <v>1423</v>
      </c>
      <c r="BK1" s="42" t="s">
        <v>1424</v>
      </c>
      <c r="BL1" s="42" t="s">
        <v>1425</v>
      </c>
      <c r="BM1" s="42" t="s">
        <v>1426</v>
      </c>
      <c r="BN1" s="42" t="s">
        <v>1427</v>
      </c>
      <c r="BO1" s="42" t="s">
        <v>1428</v>
      </c>
      <c r="BP1" s="42" t="s">
        <v>1429</v>
      </c>
      <c r="BQ1" s="42" t="s">
        <v>1430</v>
      </c>
      <c r="BR1" s="42" t="s">
        <v>1431</v>
      </c>
      <c r="BS1" s="42" t="s">
        <v>1432</v>
      </c>
      <c r="BT1" s="42" t="s">
        <v>1433</v>
      </c>
      <c r="BU1" s="42" t="s">
        <v>1534</v>
      </c>
      <c r="BV1" s="42" t="s">
        <v>1434</v>
      </c>
      <c r="BW1" s="42" t="s">
        <v>1435</v>
      </c>
      <c r="BX1" s="42" t="s">
        <v>1436</v>
      </c>
      <c r="BY1" s="42" t="s">
        <v>1437</v>
      </c>
      <c r="BZ1" s="42" t="s">
        <v>1438</v>
      </c>
      <c r="CA1" s="42" t="s">
        <v>1439</v>
      </c>
      <c r="CB1" s="42" t="s">
        <v>1440</v>
      </c>
      <c r="CC1" s="81" t="s">
        <v>1145</v>
      </c>
      <c r="CD1" s="81" t="s">
        <v>1392</v>
      </c>
      <c r="CE1" s="81" t="s">
        <v>1393</v>
      </c>
      <c r="CF1" s="81" t="s">
        <v>1394</v>
      </c>
      <c r="CG1" s="81" t="s">
        <v>1395</v>
      </c>
      <c r="CH1" s="81" t="s">
        <v>1396</v>
      </c>
      <c r="CI1" s="81" t="s">
        <v>1397</v>
      </c>
      <c r="CJ1" s="81" t="s">
        <v>1398</v>
      </c>
      <c r="CK1" s="81" t="s">
        <v>1399</v>
      </c>
      <c r="CL1" s="81" t="s">
        <v>1400</v>
      </c>
      <c r="CM1" s="81" t="s">
        <v>1401</v>
      </c>
      <c r="CN1" s="81" t="s">
        <v>1402</v>
      </c>
      <c r="CO1" s="81" t="s">
        <v>1403</v>
      </c>
      <c r="CP1" s="81" t="s">
        <v>1404</v>
      </c>
      <c r="CQ1" s="81" t="s">
        <v>1405</v>
      </c>
      <c r="CR1" s="81" t="s">
        <v>1406</v>
      </c>
      <c r="CS1" s="81" t="s">
        <v>1407</v>
      </c>
      <c r="CT1" s="81" t="s">
        <v>1408</v>
      </c>
      <c r="CU1" s="81" t="s">
        <v>1531</v>
      </c>
      <c r="CV1" s="81" t="s">
        <v>1409</v>
      </c>
      <c r="CW1" s="81" t="s">
        <v>1410</v>
      </c>
      <c r="CX1" s="81" t="s">
        <v>1411</v>
      </c>
      <c r="CY1" s="81" t="s">
        <v>1412</v>
      </c>
      <c r="CZ1" s="81" t="s">
        <v>1413</v>
      </c>
      <c r="DA1" s="81" t="s">
        <v>1414</v>
      </c>
      <c r="DB1" s="81" t="s">
        <v>1415</v>
      </c>
    </row>
    <row r="2" spans="1:106" ht="15" customHeight="1" x14ac:dyDescent="0.25">
      <c r="A2" s="44" t="s">
        <v>12</v>
      </c>
      <c r="B2" s="42" t="s">
        <v>1071</v>
      </c>
      <c r="C2" s="15">
        <f>IFERROR(1/SUM(1/D2,1/U2,1/AA2,1/AB2),".")</f>
        <v>3.2968835384132272E-12</v>
      </c>
      <c r="D2" s="15">
        <f>IFERROR((up_dir!D2/(up_Bv!C2+s_MLF_apple)),".")</f>
        <v>1.3187534153652907E-11</v>
      </c>
      <c r="E2" s="15">
        <f>IFERROR((up_dir!E2/(up_Bv!D2+s_MLF_asparagus)),".")</f>
        <v>1.3187534153652907E-11</v>
      </c>
      <c r="F2" s="15">
        <f>IFERROR((up_dir!F2/(up_Bv!E2+s_MLF_beet)),".")</f>
        <v>1.3187534153652907E-11</v>
      </c>
      <c r="G2" s="15">
        <f>IFERROR((up_dir!G2/(up_Bv!F2+s_MLF_berries)),".")</f>
        <v>1.3187534153652907E-11</v>
      </c>
      <c r="H2" s="15">
        <f>IFERROR((up_dir!H2/(up_Bv!G2+s_MLF_broccoli)),".")</f>
        <v>1.3187534153652907E-11</v>
      </c>
      <c r="I2" s="15">
        <f>IFERROR((up_dir!I2/(up_Bv!H2+s_MLF_cabbage)),".")</f>
        <v>1.3187534153652907E-11</v>
      </c>
      <c r="J2" s="15">
        <f>IFERROR((up_dir!J2/(up_Bv!I2+s_MLF_carrot)),".")</f>
        <v>1.3187534153652907E-11</v>
      </c>
      <c r="K2" s="15">
        <f>IFERROR((up_dir!K2/(up_Bv!J2+s_MLF_citrus)),".")</f>
        <v>1.3187534153652907E-11</v>
      </c>
      <c r="L2" s="15">
        <f>IFERROR((up_dir!L2/(up_Bv!K2+s_MLF_corn)),".")</f>
        <v>1.3187534153652907E-11</v>
      </c>
      <c r="M2" s="15">
        <f>IFERROR((up_dir!M2/(up_Bv!L2+s_MLF_cucumber)),".")</f>
        <v>1.3187534153652907E-11</v>
      </c>
      <c r="N2" s="15">
        <f>IFERROR((up_dir!N2/(up_Bv!M2+s_MLF_lettuce)),".")</f>
        <v>1.3187534153652907E-11</v>
      </c>
      <c r="O2" s="15">
        <f>IFERROR((up_dir!O2/(up_Bv!N2+s_MLF_lima_bean)),".")</f>
        <v>1.3187534153652907E-11</v>
      </c>
      <c r="P2" s="15">
        <f>IFERROR((up_dir!P2/(up_Bv!O2+s_MLF_okra)),".")</f>
        <v>1.3187534153652907E-11</v>
      </c>
      <c r="Q2" s="15">
        <f>IFERROR((up_dir!Q2/(up_Bv!P2+s_MLF_onion)),".")</f>
        <v>1.3187534153652907E-11</v>
      </c>
      <c r="R2" s="15">
        <f>IFERROR((up_dir!R2/(up_Bv!Q2+s_MLF_peach)),".")</f>
        <v>1.3187534153652907E-11</v>
      </c>
      <c r="S2" s="15">
        <f>IFERROR((up_dir!S2/(up_Bv!R2+s_MLF_pear)),".")</f>
        <v>1.3187534153652907E-11</v>
      </c>
      <c r="T2" s="15">
        <f>IFERROR((up_dir!T2/(up_Bv!S2+s_MLF_peas)),".")</f>
        <v>1.3187534153652907E-11</v>
      </c>
      <c r="U2" s="15">
        <f>IFERROR((up_dir!U2/(up_Bv!T2+s_MLF_peppers)),".")</f>
        <v>1.3187534153652907E-11</v>
      </c>
      <c r="V2" s="15">
        <f>IFERROR((up_dir!V2/(up_Bv!U2+s_MLF_potato)),".")</f>
        <v>1.3187534153652907E-11</v>
      </c>
      <c r="W2" s="15">
        <f>IFERROR((up_dir!W2/(up_Bv!V2+s_MLF_pumpkin)),".")</f>
        <v>1.3187534153652907E-11</v>
      </c>
      <c r="X2" s="15">
        <f>IFERROR((up_dir!X2/(up_Bv!W2+s_MLF_snap_bean)),".")</f>
        <v>1.3187534153652907E-11</v>
      </c>
      <c r="Y2" s="15">
        <f>IFERROR((up_dir!Y2/(up_Bv!X2+s_MLF_strawberry)),".")</f>
        <v>1.3187534153652907E-11</v>
      </c>
      <c r="Z2" s="15">
        <f>IFERROR((up_dir!Z2/(up_Bv!Y2+s_MLF_tomato)),".")</f>
        <v>1.3187534153652907E-11</v>
      </c>
      <c r="AA2" s="15">
        <f>IFERROR((up_dir!AA2/(up_Bv!Z2+s_MLF_rice)),".")</f>
        <v>1.3187534153652907E-11</v>
      </c>
      <c r="AB2" s="15">
        <f>IFERROR((up_dir!AB2/(up_Bv!AA2+s_MLF_cereal)),".")</f>
        <v>1.3187534153652907E-11</v>
      </c>
      <c r="AC2" s="40">
        <f>SUM(AD2,AU2,BA2:BB2)</f>
        <v>3033167.5</v>
      </c>
      <c r="AD2" s="40">
        <f>s_C*(up_Bv!C2+s_MLF_apple)*s_IFAP_res_adj*s_CF_apple</f>
        <v>758291.875</v>
      </c>
      <c r="AE2" s="40">
        <f>s_C*(up_Bv!D2+s_MLF_asparagus)*s_IFAS_res_adj*s_CF_asparagus</f>
        <v>758291.875</v>
      </c>
      <c r="AF2" s="40">
        <f>s_C*(up_Bv!E2+s_MLF_beet)*s_IFBT_res_adj*s_CF_beet</f>
        <v>758291.875</v>
      </c>
      <c r="AG2" s="40">
        <f>s_C*(up_Bv!F2+s_MLF_berries)*s_IFBE_res_adj*s_CF_berries</f>
        <v>758291.875</v>
      </c>
      <c r="AH2" s="40">
        <f>s_C*(up_Bv!G2+s_MLF_broccoli)*s_IFBR_res_adj*s_CF_broccoli</f>
        <v>758291.875</v>
      </c>
      <c r="AI2" s="40">
        <f>s_C*(up_Bv!H2+s_MLF_cabbage)*s_IFCB_res_adj*s_CF_cabbage</f>
        <v>758291.875</v>
      </c>
      <c r="AJ2" s="40">
        <f>s_C*(up_Bv!I2+s_MLF_carrot)*s_IFCR_res_adj*s_CF_carrot</f>
        <v>758291.875</v>
      </c>
      <c r="AK2" s="40">
        <f>s_C*(up_Bv!J2+s_MLF_citrus)*s_IFCI_res_adj*s_CF_citrus</f>
        <v>758291.875</v>
      </c>
      <c r="AL2" s="40">
        <f>s_C*(up_Bv!K2+s_MLF_corn)*s_IFCO_res_adj*s_CF_corn</f>
        <v>758291.875</v>
      </c>
      <c r="AM2" s="40">
        <f>s_C*(up_Bv!L2+s_MLF_cucumber)*s_IFCU_res_adj*s_CF_cucumber</f>
        <v>758291.875</v>
      </c>
      <c r="AN2" s="40">
        <f>s_C*(up_Bv!M2+s_MLF_lettuce)*s_IFLE_res_adj*s_CF_lettuce</f>
        <v>758291.875</v>
      </c>
      <c r="AO2" s="40">
        <f>s_C*(up_Bv!N2+s_MLF_lima_bean)*s_IFLI_res_adj*s_CF_lima_bean</f>
        <v>758291.875</v>
      </c>
      <c r="AP2" s="40">
        <f>s_C*(up_Bv!O2+s_MLF_okra)*s_IFOK_res_adj*s_CF_okra</f>
        <v>758291.875</v>
      </c>
      <c r="AQ2" s="40">
        <f>s_C*(up_Bv!P2+s_MLF_onion)*s_IFON_res_adj*s_CF_onion</f>
        <v>758291.875</v>
      </c>
      <c r="AR2" s="40">
        <f>s_C*(up_Bv!Q2+s_MLF_peach)*s_IFPC_res_adj*s_CF_peach</f>
        <v>758291.875</v>
      </c>
      <c r="AS2" s="40">
        <f>s_C*(up_Bv!R2+s_MLF_pear)*s_IFPR_res_adj*s_CF_pear</f>
        <v>758291.875</v>
      </c>
      <c r="AT2" s="40">
        <f>s_C*(up_Bv!S2+s_MLF_peas)*s_IFPE_res_adj*s_CF_peas</f>
        <v>758291.875</v>
      </c>
      <c r="AU2" s="40">
        <f>s_C*(up_Bv!T2+s_MLF_peppers)*s_IFPP_res_adj*s_CF_peppers</f>
        <v>758291.875</v>
      </c>
      <c r="AV2" s="40">
        <f>s_C*(up_Bv!U2+s_MLF_potato)*s_IFPT_res_adj*s_CF_potato</f>
        <v>758291.875</v>
      </c>
      <c r="AW2" s="40">
        <f>s_C*(up_Bv!V2+s_MLF_pumpkin)*s_IFPU_res_adj*s_CF_pumpkin</f>
        <v>758291.875</v>
      </c>
      <c r="AX2" s="40">
        <f>s_C*(up_Bv!W2+s_MLF_snap_bean)*s_IFSN_res_adj*s_CF_snap_bean</f>
        <v>758291.875</v>
      </c>
      <c r="AY2" s="40">
        <f>s_C*(up_Bv!X2+s_MLF_strawberry)*s_IFST_res_adj*s_CF_strawberry</f>
        <v>758291.875</v>
      </c>
      <c r="AZ2" s="40">
        <f>s_C*(up_Bv!Y2+s_MLF_tomato)*s_IFTO_res_adj*s_CF_tomato</f>
        <v>758291.875</v>
      </c>
      <c r="BA2" s="40">
        <f>s_C*(up_Bv!Z2+s_MLF_rice)*s_IFRI_res_adj*s_CF_rice</f>
        <v>758291.875</v>
      </c>
      <c r="BB2" s="40">
        <f>s_C*(up_Bv!AA2+s_MLF_cereal)*s_IFCG_res_adj*s_CF_cereal</f>
        <v>758291.875</v>
      </c>
      <c r="BC2" s="15">
        <f>IFERROR(1/SUM(1/BD2,1/BU2,1/CA2,1/CB2),".")</f>
        <v>3.2968835384132272E-12</v>
      </c>
      <c r="BD2" s="15">
        <f>IFERROR((up_dir!AD2/(up_Bv!C2+s_MLF_apple)),".")</f>
        <v>1.3187534153652907E-11</v>
      </c>
      <c r="BE2" s="15">
        <f>IFERROR((up_dir!AE2/(up_Bv!D2+s_MLF_asparagus)),".")</f>
        <v>1.3187534153652907E-11</v>
      </c>
      <c r="BF2" s="15">
        <f>IFERROR((up_dir!AF2/(up_Bv!E2+s_MLF_beet)),".")</f>
        <v>1.3187534153652907E-11</v>
      </c>
      <c r="BG2" s="15">
        <f>IFERROR((up_dir!AG2/(up_Bv!F2+s_MLF_berries)),".")</f>
        <v>1.3187534153652907E-11</v>
      </c>
      <c r="BH2" s="15">
        <f>IFERROR((up_dir!AH2/(up_Bv!G2+s_MLF_broccoli)),".")</f>
        <v>1.3187534153652907E-11</v>
      </c>
      <c r="BI2" s="15">
        <f>IFERROR((up_dir!AI2/(up_Bv!H2+s_MLF_cabbage)),".")</f>
        <v>1.3187534153652907E-11</v>
      </c>
      <c r="BJ2" s="15">
        <f>IFERROR((up_dir!AJ2/(up_Bv!I2+s_MLF_carrot)),".")</f>
        <v>1.3187534153652907E-11</v>
      </c>
      <c r="BK2" s="15">
        <f>IFERROR((up_dir!AK2/(up_Bv!J2+s_MLF_citrus)),".")</f>
        <v>1.3187534153652907E-11</v>
      </c>
      <c r="BL2" s="15">
        <f>IFERROR((up_dir!AL2/(up_Bv!K2+s_MLF_corn)),".")</f>
        <v>1.3187534153652907E-11</v>
      </c>
      <c r="BM2" s="15">
        <f>IFERROR((up_dir!AM2/(up_Bv!L2+s_MLF_cucumber)),".")</f>
        <v>1.3187534153652907E-11</v>
      </c>
      <c r="BN2" s="15">
        <f>IFERROR((up_dir!AN2/(up_Bv!M2+s_MLF_lettuce)),".")</f>
        <v>1.3187534153652907E-11</v>
      </c>
      <c r="BO2" s="15">
        <f>IFERROR((up_dir!AO2/(up_Bv!N2+s_MLF_lima_bean)),".")</f>
        <v>1.3187534153652907E-11</v>
      </c>
      <c r="BP2" s="15">
        <f>IFERROR((up_dir!AP2/(up_Bv!O2+s_MLF_okra)),".")</f>
        <v>1.3187534153652907E-11</v>
      </c>
      <c r="BQ2" s="15">
        <f>IFERROR((up_dir!AQ2/(up_Bv!P2+s_MLF_onion)),".")</f>
        <v>1.3187534153652907E-11</v>
      </c>
      <c r="BR2" s="15">
        <f>IFERROR((up_dir!AR2/(up_Bv!Q2+s_MLF_peach)),".")</f>
        <v>1.3187534153652907E-11</v>
      </c>
      <c r="BS2" s="15">
        <f>IFERROR((up_dir!AS2/(up_Bv!R2+s_MLF_pear)),".")</f>
        <v>1.3187534153652907E-11</v>
      </c>
      <c r="BT2" s="15">
        <f>IFERROR((up_dir!AT2/(up_Bv!S2+s_MLF_peas)),".")</f>
        <v>1.3187534153652907E-11</v>
      </c>
      <c r="BU2" s="15">
        <f>IFERROR((up_dir!AU2/(up_Bv!T2+s_MLF_peppers)),".")</f>
        <v>1.3187534153652907E-11</v>
      </c>
      <c r="BV2" s="15">
        <f>IFERROR((up_dir!AV2/(up_Bv!U2+s_MLF_potato)),".")</f>
        <v>1.3187534153652907E-11</v>
      </c>
      <c r="BW2" s="15">
        <f>IFERROR((up_dir!AW2/(up_Bv!V2+s_MLF_pumpkin)),".")</f>
        <v>1.3187534153652907E-11</v>
      </c>
      <c r="BX2" s="15">
        <f>IFERROR((up_dir!AX2/(up_Bv!W2+s_MLF_snap_bean)),".")</f>
        <v>1.3187534153652907E-11</v>
      </c>
      <c r="BY2" s="15">
        <f>IFERROR((up_dir!AY2/(up_Bv!X2+s_MLF_strawberry)),".")</f>
        <v>1.3187534153652907E-11</v>
      </c>
      <c r="BZ2" s="15">
        <f>IFERROR((up_dir!AZ2/(up_Bv!Y2+s_MLF_tomato)),".")</f>
        <v>1.3187534153652907E-11</v>
      </c>
      <c r="CA2" s="15">
        <f>IFERROR((up_dir!BA2/(up_Bv!Z2+s_MLF_rice)),".")</f>
        <v>1.3187534153652907E-11</v>
      </c>
      <c r="CB2" s="15">
        <f>IFERROR((up_dir!BB2/(up_Bv!AA2+s_MLF_cereal)),".")</f>
        <v>1.3187534153652907E-11</v>
      </c>
      <c r="CC2" s="40">
        <f>SUM(CD2,CU2,DA2:DB2)</f>
        <v>3033167.5</v>
      </c>
      <c r="CD2" s="40">
        <f>IFERROR(s_C*(up_Bv!C2+s_MLF_apple)*s_IFAP_far_adj*s_CF_apple,".")</f>
        <v>758291.875</v>
      </c>
      <c r="CE2" s="40">
        <f>IFERROR(s_C*(up_Bv!D2+s_MLF_asparagus)*s_IFAS_far_adj*s_CF_asparagus,".")</f>
        <v>758291.875</v>
      </c>
      <c r="CF2" s="40">
        <f>IFERROR(s_C*(up_Bv!E2+s_MLF_beet)*s_IFBT_far_adj*s_CF_beet,".")</f>
        <v>758291.875</v>
      </c>
      <c r="CG2" s="40">
        <f>IFERROR(s_C*(up_Bv!F2+s_MLF_berries)*s_IFBR_far_adj*s_CF_berries,".")</f>
        <v>758291.875</v>
      </c>
      <c r="CH2" s="40">
        <f>IFERROR(s_C*(up_Bv!G2+s_MLF_broccoli)*s_IFBR_far_adj*s_CF_broccoli,".")</f>
        <v>758291.875</v>
      </c>
      <c r="CI2" s="40">
        <f>IFERROR(s_C*(up_Bv!H2+s_MLF_cabbage)*s_IFCB_far_adj*s_CF_cabbage,".")</f>
        <v>758291.875</v>
      </c>
      <c r="CJ2" s="40">
        <f>IFERROR(s_C*(up_Bv!I2+s_MLF_carrot)*s_IFCR_far_adj*s_CF_carrot,".")</f>
        <v>758291.875</v>
      </c>
      <c r="CK2" s="40">
        <f>IFERROR(s_C*(up_Bv!J2+s_MLF_citrus)*s_IFCI_far_adj*s_CF_citrus,".")</f>
        <v>758291.875</v>
      </c>
      <c r="CL2" s="40">
        <f>IFERROR(s_C*(up_Bv!K2+s_MLF_corn)*s_IFCO_far_adj*s_CF_corn,".")</f>
        <v>758291.875</v>
      </c>
      <c r="CM2" s="40">
        <f>IFERROR(s_C*(up_Bv!L2+s_MLF_cucumber)*s_IFCU_far_adj*s_CF_cucumber,".")</f>
        <v>758291.875</v>
      </c>
      <c r="CN2" s="40">
        <f>IFERROR(s_C*(up_Bv!M2+s_MLF_lettuce)*s_IFLE_far_adj*s_CF_lettuce,".")</f>
        <v>758291.875</v>
      </c>
      <c r="CO2" s="40">
        <f>IFERROR(s_C*(up_Bv!N2+s_MLF_lima_bean)*s_IFLI_far_adj*s_CF_lima_bean,".")</f>
        <v>758291.875</v>
      </c>
      <c r="CP2" s="40">
        <f>IFERROR(s_C*(up_Bv!O2+s_MLF_okra)*s_IFOK_far_adj*s_CF_okra,".")</f>
        <v>758291.875</v>
      </c>
      <c r="CQ2" s="40">
        <f>IFERROR(s_C*(up_Bv!P2+s_MLF_onion)*s_IFON_far_adj*s_CF_onion,".")</f>
        <v>758291.875</v>
      </c>
      <c r="CR2" s="40">
        <f>IFERROR(s_C*(up_Bv!Q2+s_MLF_peach)*s_IFPC_far_adj*s_CF_peach,".")</f>
        <v>758291.875</v>
      </c>
      <c r="CS2" s="40">
        <f>IFERROR(s_C*(up_Bv!R2+s_MLF_pear)*s_IFPR_far_adj*s_CF_pear,".")</f>
        <v>758291.875</v>
      </c>
      <c r="CT2" s="40">
        <f>IFERROR(s_C*(up_Bv!S2+s_MLF_peas)*s_IFPE_far_adj*s_CF_peas,".")</f>
        <v>758291.875</v>
      </c>
      <c r="CU2" s="40">
        <f>IFERROR(s_C*(up_Bv!T2+s_MLF_peppers)*s_IFPP_far_adj*s_CF_peppers,".")</f>
        <v>758291.875</v>
      </c>
      <c r="CV2" s="40">
        <f>IFERROR(s_C*(up_Bv!U2+s_MLF_potato)*s_IFPT_far_adj*s_CF_potato,".")</f>
        <v>758291.875</v>
      </c>
      <c r="CW2" s="40">
        <f>IFERROR(s_C*(up_Bv!V2+s_MLF_pumpkin)*s_IFPU_far_adj*s_CF_pumpkin,".")</f>
        <v>758291.875</v>
      </c>
      <c r="CX2" s="40">
        <f>IFERROR(s_C*(up_Bv!W2+s_MLF_snap_bean)*s_IFSN_far_adj*s_CF_snap_bean,".")</f>
        <v>758291.875</v>
      </c>
      <c r="CY2" s="40">
        <f>IFERROR(s_C*(up_Bv!X2+s_MLF_strawberry)*s_IFST_far_adj*s_CF_strawberry,".")</f>
        <v>758291.875</v>
      </c>
      <c r="CZ2" s="40">
        <f>IFERROR(s_C*(up_Bv!Y2+s_MLF_tomato)*s_IFTO_far_adj*s_CF_tomato,".")</f>
        <v>758291.875</v>
      </c>
      <c r="DA2" s="40">
        <f>IFERROR(s_C*(up_Bv!Z2+s_MLF_rice)*s_IFRI_far_adj*s_CF_rice,".")</f>
        <v>758291.875</v>
      </c>
      <c r="DB2" s="40">
        <f>IFERROR(s_C*(up_Bv!AA2+s_MLF_cereal)*s_IFCG_far_adj*s_CF_cereal,".")</f>
        <v>758291.875</v>
      </c>
    </row>
    <row r="3" spans="1:106" x14ac:dyDescent="0.25">
      <c r="A3" s="46" t="s">
        <v>13</v>
      </c>
      <c r="B3" s="42" t="s">
        <v>349</v>
      </c>
      <c r="C3" s="15">
        <f t="shared" ref="C3:C30" si="0">IFERROR(1/SUM(1/D3,1/U3,1/AA3,1/AB3),".")</f>
        <v>3.2968835384132272E-12</v>
      </c>
      <c r="D3" s="15">
        <f>IFERROR((up_dir!D3/(up_Bv!C3+s_MLF_apple)),".")</f>
        <v>1.3187534153652907E-11</v>
      </c>
      <c r="E3" s="15">
        <f>IFERROR((up_dir!E3/(up_Bv!D3+s_MLF_asparagus)),".")</f>
        <v>1.3187534153652907E-11</v>
      </c>
      <c r="F3" s="15">
        <f>IFERROR((up_dir!F3/(up_Bv!E3+s_MLF_beet)),".")</f>
        <v>1.3187534153652907E-11</v>
      </c>
      <c r="G3" s="15">
        <f>IFERROR((up_dir!G3/(up_Bv!F3+s_MLF_berries)),".")</f>
        <v>1.3187534153652907E-11</v>
      </c>
      <c r="H3" s="15">
        <f>IFERROR((up_dir!H3/(up_Bv!G3+s_MLF_broccoli)),".")</f>
        <v>1.3187534153652907E-11</v>
      </c>
      <c r="I3" s="15">
        <f>IFERROR((up_dir!I3/(up_Bv!H3+s_MLF_cabbage)),".")</f>
        <v>1.3187534153652907E-11</v>
      </c>
      <c r="J3" s="15">
        <f>IFERROR((up_dir!J3/(up_Bv!I3+s_MLF_carrot)),".")</f>
        <v>1.3187534153652907E-11</v>
      </c>
      <c r="K3" s="15">
        <f>IFERROR((up_dir!K3/(up_Bv!J3+s_MLF_citrus)),".")</f>
        <v>1.3187534153652907E-11</v>
      </c>
      <c r="L3" s="15">
        <f>IFERROR((up_dir!L3/(up_Bv!K3+s_MLF_corn)),".")</f>
        <v>1.3187534153652907E-11</v>
      </c>
      <c r="M3" s="15">
        <f>IFERROR((up_dir!M3/(up_Bv!L3+s_MLF_cucumber)),".")</f>
        <v>1.3187534153652907E-11</v>
      </c>
      <c r="N3" s="15">
        <f>IFERROR((up_dir!N3/(up_Bv!M3+s_MLF_lettuce)),".")</f>
        <v>1.3187534153652907E-11</v>
      </c>
      <c r="O3" s="15">
        <f>IFERROR((up_dir!O3/(up_Bv!N3+s_MLF_lima_bean)),".")</f>
        <v>1.3187534153652907E-11</v>
      </c>
      <c r="P3" s="15">
        <f>IFERROR((up_dir!P3/(up_Bv!O3+s_MLF_okra)),".")</f>
        <v>1.3187534153652907E-11</v>
      </c>
      <c r="Q3" s="15">
        <f>IFERROR((up_dir!Q3/(up_Bv!P3+s_MLF_onion)),".")</f>
        <v>1.3187534153652907E-11</v>
      </c>
      <c r="R3" s="15">
        <f>IFERROR((up_dir!R3/(up_Bv!Q3+s_MLF_peach)),".")</f>
        <v>1.3187534153652907E-11</v>
      </c>
      <c r="S3" s="15">
        <f>IFERROR((up_dir!S3/(up_Bv!R3+s_MLF_pear)),".")</f>
        <v>1.3187534153652907E-11</v>
      </c>
      <c r="T3" s="15">
        <f>IFERROR((up_dir!T3/(up_Bv!S3+s_MLF_peas)),".")</f>
        <v>1.3187534153652907E-11</v>
      </c>
      <c r="U3" s="15">
        <f>IFERROR((up_dir!U3/(up_Bv!T3+s_MLF_peppers)),".")</f>
        <v>1.3187534153652907E-11</v>
      </c>
      <c r="V3" s="15">
        <f>IFERROR((up_dir!V3/(up_Bv!U3+s_MLF_potato)),".")</f>
        <v>1.3187534153652907E-11</v>
      </c>
      <c r="W3" s="15">
        <f>IFERROR((up_dir!W3/(up_Bv!V3+s_MLF_pumpkin)),".")</f>
        <v>1.3187534153652907E-11</v>
      </c>
      <c r="X3" s="15">
        <f>IFERROR((up_dir!X3/(up_Bv!W3+s_MLF_snap_bean)),".")</f>
        <v>1.3187534153652907E-11</v>
      </c>
      <c r="Y3" s="15">
        <f>IFERROR((up_dir!Y3/(up_Bv!X3+s_MLF_strawberry)),".")</f>
        <v>1.3187534153652907E-11</v>
      </c>
      <c r="Z3" s="15">
        <f>IFERROR((up_dir!Z3/(up_Bv!Y3+s_MLF_tomato)),".")</f>
        <v>1.3187534153652907E-11</v>
      </c>
      <c r="AA3" s="15">
        <f>IFERROR((up_dir!AA3/(up_Bv!Z3+s_MLF_rice)),".")</f>
        <v>1.3187534153652907E-11</v>
      </c>
      <c r="AB3" s="15">
        <f>IFERROR((up_dir!AB3/(up_Bv!AA3+s_MLF_cereal)),".")</f>
        <v>1.3187534153652907E-11</v>
      </c>
      <c r="AC3" s="40">
        <f t="shared" ref="AC3:AC66" si="1">SUM(AD3,AU3,BA3:BB3)</f>
        <v>3033167.5</v>
      </c>
      <c r="AD3" s="40">
        <f>s_C*(up_Bv!C3+s_MLF_apple)*s_IFAP_res_adj*s_CF_apple</f>
        <v>758291.875</v>
      </c>
      <c r="AE3" s="40">
        <f>s_C*(up_Bv!D3+s_MLF_asparagus)*s_IFAS_res_adj*s_CF_asparagus</f>
        <v>758291.875</v>
      </c>
      <c r="AF3" s="40">
        <f>s_C*(up_Bv!E3+s_MLF_beet)*s_IFBT_res_adj*s_CF_beet</f>
        <v>758291.875</v>
      </c>
      <c r="AG3" s="40">
        <f>s_C*(up_Bv!F3+s_MLF_berries)*s_IFBE_res_adj*s_CF_berries</f>
        <v>758291.875</v>
      </c>
      <c r="AH3" s="40">
        <f>s_C*(up_Bv!G3+s_MLF_broccoli)*s_IFBR_res_adj*s_CF_broccoli</f>
        <v>758291.875</v>
      </c>
      <c r="AI3" s="40">
        <f>s_C*(up_Bv!H3+s_MLF_cabbage)*s_IFCB_res_adj*s_CF_cabbage</f>
        <v>758291.875</v>
      </c>
      <c r="AJ3" s="40">
        <f>s_C*(up_Bv!I3+s_MLF_carrot)*s_IFCR_res_adj*s_CF_carrot</f>
        <v>758291.875</v>
      </c>
      <c r="AK3" s="40">
        <f>s_C*(up_Bv!J3+s_MLF_citrus)*s_IFCI_res_adj*s_CF_citrus</f>
        <v>758291.875</v>
      </c>
      <c r="AL3" s="40">
        <f>s_C*(up_Bv!K3+s_MLF_corn)*s_IFCO_res_adj*s_CF_corn</f>
        <v>758291.875</v>
      </c>
      <c r="AM3" s="40">
        <f>s_C*(up_Bv!L3+s_MLF_cucumber)*s_IFCU_res_adj*s_CF_cucumber</f>
        <v>758291.875</v>
      </c>
      <c r="AN3" s="40">
        <f>s_C*(up_Bv!M3+s_MLF_lettuce)*s_IFLE_res_adj*s_CF_lettuce</f>
        <v>758291.875</v>
      </c>
      <c r="AO3" s="40">
        <f>s_C*(up_Bv!N3+s_MLF_lima_bean)*s_IFLI_res_adj*s_CF_lima_bean</f>
        <v>758291.875</v>
      </c>
      <c r="AP3" s="40">
        <f>s_C*(up_Bv!O3+s_MLF_okra)*s_IFOK_res_adj*s_CF_okra</f>
        <v>758291.875</v>
      </c>
      <c r="AQ3" s="40">
        <f>s_C*(up_Bv!P3+s_MLF_onion)*s_IFON_res_adj*s_CF_onion</f>
        <v>758291.875</v>
      </c>
      <c r="AR3" s="40">
        <f>s_C*(up_Bv!Q3+s_MLF_peach)*s_IFPC_res_adj*s_CF_peach</f>
        <v>758291.875</v>
      </c>
      <c r="AS3" s="40">
        <f>s_C*(up_Bv!R3+s_MLF_pear)*s_IFPR_res_adj*s_CF_pear</f>
        <v>758291.875</v>
      </c>
      <c r="AT3" s="40">
        <f>s_C*(up_Bv!S3+s_MLF_peas)*s_IFPE_res_adj*s_CF_peas</f>
        <v>758291.875</v>
      </c>
      <c r="AU3" s="40">
        <f>s_C*(up_Bv!T3+s_MLF_peppers)*s_IFPP_res_adj*s_CF_peppers</f>
        <v>758291.875</v>
      </c>
      <c r="AV3" s="40">
        <f>s_C*(up_Bv!U3+s_MLF_potato)*s_IFPT_res_adj*s_CF_potato</f>
        <v>758291.875</v>
      </c>
      <c r="AW3" s="40">
        <f>s_C*(up_Bv!V3+s_MLF_pumpkin)*s_IFPU_res_adj*s_CF_pumpkin</f>
        <v>758291.875</v>
      </c>
      <c r="AX3" s="40">
        <f>s_C*(up_Bv!W3+s_MLF_snap_bean)*s_IFSN_res_adj*s_CF_snap_bean</f>
        <v>758291.875</v>
      </c>
      <c r="AY3" s="40">
        <f>s_C*(up_Bv!X3+s_MLF_strawberry)*s_IFST_res_adj*s_CF_strawberry</f>
        <v>758291.875</v>
      </c>
      <c r="AZ3" s="40">
        <f>s_C*(up_Bv!Y3+s_MLF_tomato)*s_IFTO_res_adj*s_CF_tomato</f>
        <v>758291.875</v>
      </c>
      <c r="BA3" s="40">
        <f>s_C*(up_Bv!Z3+s_MLF_rice)*s_IFRI_res_adj*s_CF_rice</f>
        <v>758291.875</v>
      </c>
      <c r="BB3" s="40">
        <f>s_C*(up_Bv!AA3+s_MLF_cereal)*s_IFCG_res_adj*s_CF_cereal</f>
        <v>758291.875</v>
      </c>
      <c r="BC3" s="15">
        <f t="shared" ref="BC3:BC30" si="2">IFERROR(1/SUM(1/BD3,1/BU3,1/CA3,1/CB3),".")</f>
        <v>3.2968835384132272E-12</v>
      </c>
      <c r="BD3" s="15">
        <f>IFERROR((up_dir!AD3/(up_Bv!C3+s_MLF_apple)),".")</f>
        <v>1.3187534153652907E-11</v>
      </c>
      <c r="BE3" s="15">
        <f>IFERROR((up_dir!AE3/(up_Bv!D3+s_MLF_asparagus)),".")</f>
        <v>1.3187534153652907E-11</v>
      </c>
      <c r="BF3" s="15">
        <f>IFERROR((up_dir!AF3/(up_Bv!E3+s_MLF_beet)),".")</f>
        <v>1.3187534153652907E-11</v>
      </c>
      <c r="BG3" s="15">
        <f>IFERROR((up_dir!AG3/(up_Bv!F3+s_MLF_berries)),".")</f>
        <v>1.3187534153652907E-11</v>
      </c>
      <c r="BH3" s="15">
        <f>IFERROR((up_dir!AH3/(up_Bv!G3+s_MLF_broccoli)),".")</f>
        <v>1.3187534153652907E-11</v>
      </c>
      <c r="BI3" s="15">
        <f>IFERROR((up_dir!AI3/(up_Bv!H3+s_MLF_cabbage)),".")</f>
        <v>1.3187534153652907E-11</v>
      </c>
      <c r="BJ3" s="15">
        <f>IFERROR((up_dir!AJ3/(up_Bv!I3+s_MLF_carrot)),".")</f>
        <v>1.3187534153652907E-11</v>
      </c>
      <c r="BK3" s="15">
        <f>IFERROR((up_dir!AK3/(up_Bv!J3+s_MLF_citrus)),".")</f>
        <v>1.3187534153652907E-11</v>
      </c>
      <c r="BL3" s="15">
        <f>IFERROR((up_dir!AL3/(up_Bv!K3+s_MLF_corn)),".")</f>
        <v>1.3187534153652907E-11</v>
      </c>
      <c r="BM3" s="15">
        <f>IFERROR((up_dir!AM3/(up_Bv!L3+s_MLF_cucumber)),".")</f>
        <v>1.3187534153652907E-11</v>
      </c>
      <c r="BN3" s="15">
        <f>IFERROR((up_dir!AN3/(up_Bv!M3+s_MLF_lettuce)),".")</f>
        <v>1.3187534153652907E-11</v>
      </c>
      <c r="BO3" s="15">
        <f>IFERROR((up_dir!AO3/(up_Bv!N3+s_MLF_lima_bean)),".")</f>
        <v>1.3187534153652907E-11</v>
      </c>
      <c r="BP3" s="15">
        <f>IFERROR((up_dir!AP3/(up_Bv!O3+s_MLF_okra)),".")</f>
        <v>1.3187534153652907E-11</v>
      </c>
      <c r="BQ3" s="15">
        <f>IFERROR((up_dir!AQ3/(up_Bv!P3+s_MLF_onion)),".")</f>
        <v>1.3187534153652907E-11</v>
      </c>
      <c r="BR3" s="15">
        <f>IFERROR((up_dir!AR3/(up_Bv!Q3+s_MLF_peach)),".")</f>
        <v>1.3187534153652907E-11</v>
      </c>
      <c r="BS3" s="15">
        <f>IFERROR((up_dir!AS3/(up_Bv!R3+s_MLF_pear)),".")</f>
        <v>1.3187534153652907E-11</v>
      </c>
      <c r="BT3" s="15">
        <f>IFERROR((up_dir!AT3/(up_Bv!S3+s_MLF_peas)),".")</f>
        <v>1.3187534153652907E-11</v>
      </c>
      <c r="BU3" s="15">
        <f>IFERROR((up_dir!AU3/(up_Bv!T3+s_MLF_peppers)),".")</f>
        <v>1.3187534153652907E-11</v>
      </c>
      <c r="BV3" s="15">
        <f>IFERROR((up_dir!AV3/(up_Bv!U3+s_MLF_potato)),".")</f>
        <v>1.3187534153652907E-11</v>
      </c>
      <c r="BW3" s="15">
        <f>IFERROR((up_dir!AW3/(up_Bv!V3+s_MLF_pumpkin)),".")</f>
        <v>1.3187534153652907E-11</v>
      </c>
      <c r="BX3" s="15">
        <f>IFERROR((up_dir!AX3/(up_Bv!W3+s_MLF_snap_bean)),".")</f>
        <v>1.3187534153652907E-11</v>
      </c>
      <c r="BY3" s="15">
        <f>IFERROR((up_dir!AY3/(up_Bv!X3+s_MLF_strawberry)),".")</f>
        <v>1.3187534153652907E-11</v>
      </c>
      <c r="BZ3" s="15">
        <f>IFERROR((up_dir!AZ3/(up_Bv!Y3+s_MLF_tomato)),".")</f>
        <v>1.3187534153652907E-11</v>
      </c>
      <c r="CA3" s="15">
        <f>IFERROR((up_dir!BA3/(up_Bv!Z3+s_MLF_rice)),".")</f>
        <v>1.3187534153652907E-11</v>
      </c>
      <c r="CB3" s="15">
        <f>IFERROR((up_dir!BB3/(up_Bv!AA3+s_MLF_cereal)),".")</f>
        <v>1.3187534153652907E-11</v>
      </c>
      <c r="CC3" s="40">
        <f t="shared" ref="CC3:CC66" si="3">SUM(CD3,CU3,DA3:DB3)</f>
        <v>3033167.5</v>
      </c>
      <c r="CD3" s="40">
        <f>IFERROR(s_C*(up_Bv!C3+s_MLF_apple)*s_IFAP_far_adj*s_CF_apple,".")</f>
        <v>758291.875</v>
      </c>
      <c r="CE3" s="40">
        <f>IFERROR(s_C*(up_Bv!D3+s_MLF_asparagus)*s_IFAS_far_adj*s_CF_asparagus,".")</f>
        <v>758291.875</v>
      </c>
      <c r="CF3" s="40">
        <f>IFERROR(s_C*(up_Bv!E3+s_MLF_beet)*s_IFBT_far_adj*s_CF_beet,".")</f>
        <v>758291.875</v>
      </c>
      <c r="CG3" s="40">
        <f>IFERROR(s_C*(up_Bv!F3+s_MLF_berries)*s_IFBR_far_adj*s_CF_berries,".")</f>
        <v>758291.875</v>
      </c>
      <c r="CH3" s="40">
        <f>IFERROR(s_C*(up_Bv!G3+s_MLF_broccoli)*s_IFBR_far_adj*s_CF_broccoli,".")</f>
        <v>758291.875</v>
      </c>
      <c r="CI3" s="40">
        <f>IFERROR(s_C*(up_Bv!H3+s_MLF_cabbage)*s_IFCB_far_adj*s_CF_cabbage,".")</f>
        <v>758291.875</v>
      </c>
      <c r="CJ3" s="40">
        <f>IFERROR(s_C*(up_Bv!I3+s_MLF_carrot)*s_IFCR_far_adj*s_CF_carrot,".")</f>
        <v>758291.875</v>
      </c>
      <c r="CK3" s="40">
        <f>IFERROR(s_C*(up_Bv!J3+s_MLF_citrus)*s_IFCI_far_adj*s_CF_citrus,".")</f>
        <v>758291.875</v>
      </c>
      <c r="CL3" s="40">
        <f>IFERROR(s_C*(up_Bv!K3+s_MLF_corn)*s_IFCO_far_adj*s_CF_corn,".")</f>
        <v>758291.875</v>
      </c>
      <c r="CM3" s="40">
        <f>IFERROR(s_C*(up_Bv!L3+s_MLF_cucumber)*s_IFCU_far_adj*s_CF_cucumber,".")</f>
        <v>758291.875</v>
      </c>
      <c r="CN3" s="40">
        <f>IFERROR(s_C*(up_Bv!M3+s_MLF_lettuce)*s_IFLE_far_adj*s_CF_lettuce,".")</f>
        <v>758291.875</v>
      </c>
      <c r="CO3" s="40">
        <f>IFERROR(s_C*(up_Bv!N3+s_MLF_lima_bean)*s_IFLI_far_adj*s_CF_lima_bean,".")</f>
        <v>758291.875</v>
      </c>
      <c r="CP3" s="40">
        <f>IFERROR(s_C*(up_Bv!O3+s_MLF_okra)*s_IFOK_far_adj*s_CF_okra,".")</f>
        <v>758291.875</v>
      </c>
      <c r="CQ3" s="40">
        <f>IFERROR(s_C*(up_Bv!P3+s_MLF_onion)*s_IFON_far_adj*s_CF_onion,".")</f>
        <v>758291.875</v>
      </c>
      <c r="CR3" s="40">
        <f>IFERROR(s_C*(up_Bv!Q3+s_MLF_peach)*s_IFPC_far_adj*s_CF_peach,".")</f>
        <v>758291.875</v>
      </c>
      <c r="CS3" s="40">
        <f>IFERROR(s_C*(up_Bv!R3+s_MLF_pear)*s_IFPR_far_adj*s_CF_pear,".")</f>
        <v>758291.875</v>
      </c>
      <c r="CT3" s="40">
        <f>IFERROR(s_C*(up_Bv!S3+s_MLF_peas)*s_IFPE_far_adj*s_CF_peas,".")</f>
        <v>758291.875</v>
      </c>
      <c r="CU3" s="40">
        <f>IFERROR(s_C*(up_Bv!T3+s_MLF_peppers)*s_IFPP_far_adj*s_CF_peppers,".")</f>
        <v>758291.875</v>
      </c>
      <c r="CV3" s="40">
        <f>IFERROR(s_C*(up_Bv!U3+s_MLF_potato)*s_IFPT_far_adj*s_CF_potato,".")</f>
        <v>758291.875</v>
      </c>
      <c r="CW3" s="40">
        <f>IFERROR(s_C*(up_Bv!V3+s_MLF_pumpkin)*s_IFPU_far_adj*s_CF_pumpkin,".")</f>
        <v>758291.875</v>
      </c>
      <c r="CX3" s="40">
        <f>IFERROR(s_C*(up_Bv!W3+s_MLF_snap_bean)*s_IFSN_far_adj*s_CF_snap_bean,".")</f>
        <v>758291.875</v>
      </c>
      <c r="CY3" s="40">
        <f>IFERROR(s_C*(up_Bv!X3+s_MLF_strawberry)*s_IFST_far_adj*s_CF_strawberry,".")</f>
        <v>758291.875</v>
      </c>
      <c r="CZ3" s="40">
        <f>IFERROR(s_C*(up_Bv!Y3+s_MLF_tomato)*s_IFTO_far_adj*s_CF_tomato,".")</f>
        <v>758291.875</v>
      </c>
      <c r="DA3" s="40">
        <f>IFERROR(s_C*(up_Bv!Z3+s_MLF_rice)*s_IFRI_far_adj*s_CF_rice,".")</f>
        <v>758291.875</v>
      </c>
      <c r="DB3" s="40">
        <f>IFERROR(s_C*(up_Bv!AA3+s_MLF_cereal)*s_IFCG_far_adj*s_CF_cereal,".")</f>
        <v>758291.875</v>
      </c>
    </row>
    <row r="4" spans="1:106" ht="15" customHeight="1" x14ac:dyDescent="0.25">
      <c r="A4" s="44" t="s">
        <v>14</v>
      </c>
      <c r="B4" s="42" t="s">
        <v>1071</v>
      </c>
      <c r="C4" s="15">
        <f t="shared" si="0"/>
        <v>3.2968835384132272E-12</v>
      </c>
      <c r="D4" s="15">
        <f>IFERROR((up_dir!D4/(up_Bv!C4+s_MLF_apple)),".")</f>
        <v>1.3187534153652907E-11</v>
      </c>
      <c r="E4" s="15">
        <f>IFERROR((up_dir!E4/(up_Bv!D4+s_MLF_asparagus)),".")</f>
        <v>1.3187534153652907E-11</v>
      </c>
      <c r="F4" s="15">
        <f>IFERROR((up_dir!F4/(up_Bv!E4+s_MLF_beet)),".")</f>
        <v>1.3187534153652907E-11</v>
      </c>
      <c r="G4" s="15">
        <f>IFERROR((up_dir!G4/(up_Bv!F4+s_MLF_berries)),".")</f>
        <v>1.3187534153652907E-11</v>
      </c>
      <c r="H4" s="15">
        <f>IFERROR((up_dir!H4/(up_Bv!G4+s_MLF_broccoli)),".")</f>
        <v>1.3187534153652907E-11</v>
      </c>
      <c r="I4" s="15">
        <f>IFERROR((up_dir!I4/(up_Bv!H4+s_MLF_cabbage)),".")</f>
        <v>1.3187534153652907E-11</v>
      </c>
      <c r="J4" s="15">
        <f>IFERROR((up_dir!J4/(up_Bv!I4+s_MLF_carrot)),".")</f>
        <v>1.3187534153652907E-11</v>
      </c>
      <c r="K4" s="15">
        <f>IFERROR((up_dir!K4/(up_Bv!J4+s_MLF_citrus)),".")</f>
        <v>1.3187534153652907E-11</v>
      </c>
      <c r="L4" s="15">
        <f>IFERROR((up_dir!L4/(up_Bv!K4+s_MLF_corn)),".")</f>
        <v>1.3187534153652907E-11</v>
      </c>
      <c r="M4" s="15">
        <f>IFERROR((up_dir!M4/(up_Bv!L4+s_MLF_cucumber)),".")</f>
        <v>1.3187534153652907E-11</v>
      </c>
      <c r="N4" s="15">
        <f>IFERROR((up_dir!N4/(up_Bv!M4+s_MLF_lettuce)),".")</f>
        <v>1.3187534153652907E-11</v>
      </c>
      <c r="O4" s="15">
        <f>IFERROR((up_dir!O4/(up_Bv!N4+s_MLF_lima_bean)),".")</f>
        <v>1.3187534153652907E-11</v>
      </c>
      <c r="P4" s="15">
        <f>IFERROR((up_dir!P4/(up_Bv!O4+s_MLF_okra)),".")</f>
        <v>1.3187534153652907E-11</v>
      </c>
      <c r="Q4" s="15">
        <f>IFERROR((up_dir!Q4/(up_Bv!P4+s_MLF_onion)),".")</f>
        <v>1.3187534153652907E-11</v>
      </c>
      <c r="R4" s="15">
        <f>IFERROR((up_dir!R4/(up_Bv!Q4+s_MLF_peach)),".")</f>
        <v>1.3187534153652907E-11</v>
      </c>
      <c r="S4" s="15">
        <f>IFERROR((up_dir!S4/(up_Bv!R4+s_MLF_pear)),".")</f>
        <v>1.3187534153652907E-11</v>
      </c>
      <c r="T4" s="15">
        <f>IFERROR((up_dir!T4/(up_Bv!S4+s_MLF_peas)),".")</f>
        <v>1.3187534153652907E-11</v>
      </c>
      <c r="U4" s="15">
        <f>IFERROR((up_dir!U4/(up_Bv!T4+s_MLF_peppers)),".")</f>
        <v>1.3187534153652907E-11</v>
      </c>
      <c r="V4" s="15">
        <f>IFERROR((up_dir!V4/(up_Bv!U4+s_MLF_potato)),".")</f>
        <v>1.3187534153652907E-11</v>
      </c>
      <c r="W4" s="15">
        <f>IFERROR((up_dir!W4/(up_Bv!V4+s_MLF_pumpkin)),".")</f>
        <v>1.3187534153652907E-11</v>
      </c>
      <c r="X4" s="15">
        <f>IFERROR((up_dir!X4/(up_Bv!W4+s_MLF_snap_bean)),".")</f>
        <v>1.3187534153652907E-11</v>
      </c>
      <c r="Y4" s="15">
        <f>IFERROR((up_dir!Y4/(up_Bv!X4+s_MLF_strawberry)),".")</f>
        <v>1.3187534153652907E-11</v>
      </c>
      <c r="Z4" s="15">
        <f>IFERROR((up_dir!Z4/(up_Bv!Y4+s_MLF_tomato)),".")</f>
        <v>1.3187534153652907E-11</v>
      </c>
      <c r="AA4" s="15">
        <f>IFERROR((up_dir!AA4/(up_Bv!Z4+s_MLF_rice)),".")</f>
        <v>1.3187534153652907E-11</v>
      </c>
      <c r="AB4" s="15">
        <f>IFERROR((up_dir!AB4/(up_Bv!AA4+s_MLF_cereal)),".")</f>
        <v>1.3187534153652907E-11</v>
      </c>
      <c r="AC4" s="40">
        <f t="shared" si="1"/>
        <v>3033167.5</v>
      </c>
      <c r="AD4" s="40">
        <f>s_C*(up_Bv!C4+s_MLF_apple)*s_IFAP_res_adj*s_CF_apple</f>
        <v>758291.875</v>
      </c>
      <c r="AE4" s="40">
        <f>s_C*(up_Bv!D4+s_MLF_asparagus)*s_IFAS_res_adj*s_CF_asparagus</f>
        <v>758291.875</v>
      </c>
      <c r="AF4" s="40">
        <f>s_C*(up_Bv!E4+s_MLF_beet)*s_IFBT_res_adj*s_CF_beet</f>
        <v>758291.875</v>
      </c>
      <c r="AG4" s="40">
        <f>s_C*(up_Bv!F4+s_MLF_berries)*s_IFBE_res_adj*s_CF_berries</f>
        <v>758291.875</v>
      </c>
      <c r="AH4" s="40">
        <f>s_C*(up_Bv!G4+s_MLF_broccoli)*s_IFBR_res_adj*s_CF_broccoli</f>
        <v>758291.875</v>
      </c>
      <c r="AI4" s="40">
        <f>s_C*(up_Bv!H4+s_MLF_cabbage)*s_IFCB_res_adj*s_CF_cabbage</f>
        <v>758291.875</v>
      </c>
      <c r="AJ4" s="40">
        <f>s_C*(up_Bv!I4+s_MLF_carrot)*s_IFCR_res_adj*s_CF_carrot</f>
        <v>758291.875</v>
      </c>
      <c r="AK4" s="40">
        <f>s_C*(up_Bv!J4+s_MLF_citrus)*s_IFCI_res_adj*s_CF_citrus</f>
        <v>758291.875</v>
      </c>
      <c r="AL4" s="40">
        <f>s_C*(up_Bv!K4+s_MLF_corn)*s_IFCO_res_adj*s_CF_corn</f>
        <v>758291.875</v>
      </c>
      <c r="AM4" s="40">
        <f>s_C*(up_Bv!L4+s_MLF_cucumber)*s_IFCU_res_adj*s_CF_cucumber</f>
        <v>758291.875</v>
      </c>
      <c r="AN4" s="40">
        <f>s_C*(up_Bv!M4+s_MLF_lettuce)*s_IFLE_res_adj*s_CF_lettuce</f>
        <v>758291.875</v>
      </c>
      <c r="AO4" s="40">
        <f>s_C*(up_Bv!N4+s_MLF_lima_bean)*s_IFLI_res_adj*s_CF_lima_bean</f>
        <v>758291.875</v>
      </c>
      <c r="AP4" s="40">
        <f>s_C*(up_Bv!O4+s_MLF_okra)*s_IFOK_res_adj*s_CF_okra</f>
        <v>758291.875</v>
      </c>
      <c r="AQ4" s="40">
        <f>s_C*(up_Bv!P4+s_MLF_onion)*s_IFON_res_adj*s_CF_onion</f>
        <v>758291.875</v>
      </c>
      <c r="AR4" s="40">
        <f>s_C*(up_Bv!Q4+s_MLF_peach)*s_IFPC_res_adj*s_CF_peach</f>
        <v>758291.875</v>
      </c>
      <c r="AS4" s="40">
        <f>s_C*(up_Bv!R4+s_MLF_pear)*s_IFPR_res_adj*s_CF_pear</f>
        <v>758291.875</v>
      </c>
      <c r="AT4" s="40">
        <f>s_C*(up_Bv!S4+s_MLF_peas)*s_IFPE_res_adj*s_CF_peas</f>
        <v>758291.875</v>
      </c>
      <c r="AU4" s="40">
        <f>s_C*(up_Bv!T4+s_MLF_peppers)*s_IFPP_res_adj*s_CF_peppers</f>
        <v>758291.875</v>
      </c>
      <c r="AV4" s="40">
        <f>s_C*(up_Bv!U4+s_MLF_potato)*s_IFPT_res_adj*s_CF_potato</f>
        <v>758291.875</v>
      </c>
      <c r="AW4" s="40">
        <f>s_C*(up_Bv!V4+s_MLF_pumpkin)*s_IFPU_res_adj*s_CF_pumpkin</f>
        <v>758291.875</v>
      </c>
      <c r="AX4" s="40">
        <f>s_C*(up_Bv!W4+s_MLF_snap_bean)*s_IFSN_res_adj*s_CF_snap_bean</f>
        <v>758291.875</v>
      </c>
      <c r="AY4" s="40">
        <f>s_C*(up_Bv!X4+s_MLF_strawberry)*s_IFST_res_adj*s_CF_strawberry</f>
        <v>758291.875</v>
      </c>
      <c r="AZ4" s="40">
        <f>s_C*(up_Bv!Y4+s_MLF_tomato)*s_IFTO_res_adj*s_CF_tomato</f>
        <v>758291.875</v>
      </c>
      <c r="BA4" s="40">
        <f>s_C*(up_Bv!Z4+s_MLF_rice)*s_IFRI_res_adj*s_CF_rice</f>
        <v>758291.875</v>
      </c>
      <c r="BB4" s="40">
        <f>s_C*(up_Bv!AA4+s_MLF_cereal)*s_IFCG_res_adj*s_CF_cereal</f>
        <v>758291.875</v>
      </c>
      <c r="BC4" s="15">
        <f t="shared" si="2"/>
        <v>3.2968835384132272E-12</v>
      </c>
      <c r="BD4" s="15">
        <f>IFERROR((up_dir!AD4/(up_Bv!C4+s_MLF_apple)),".")</f>
        <v>1.3187534153652907E-11</v>
      </c>
      <c r="BE4" s="15">
        <f>IFERROR((up_dir!AE4/(up_Bv!D4+s_MLF_asparagus)),".")</f>
        <v>1.3187534153652907E-11</v>
      </c>
      <c r="BF4" s="15">
        <f>IFERROR((up_dir!AF4/(up_Bv!E4+s_MLF_beet)),".")</f>
        <v>1.3187534153652907E-11</v>
      </c>
      <c r="BG4" s="15">
        <f>IFERROR((up_dir!AG4/(up_Bv!F4+s_MLF_berries)),".")</f>
        <v>1.3187534153652907E-11</v>
      </c>
      <c r="BH4" s="15">
        <f>IFERROR((up_dir!AH4/(up_Bv!G4+s_MLF_broccoli)),".")</f>
        <v>1.3187534153652907E-11</v>
      </c>
      <c r="BI4" s="15">
        <f>IFERROR((up_dir!AI4/(up_Bv!H4+s_MLF_cabbage)),".")</f>
        <v>1.3187534153652907E-11</v>
      </c>
      <c r="BJ4" s="15">
        <f>IFERROR((up_dir!AJ4/(up_Bv!I4+s_MLF_carrot)),".")</f>
        <v>1.3187534153652907E-11</v>
      </c>
      <c r="BK4" s="15">
        <f>IFERROR((up_dir!AK4/(up_Bv!J4+s_MLF_citrus)),".")</f>
        <v>1.3187534153652907E-11</v>
      </c>
      <c r="BL4" s="15">
        <f>IFERROR((up_dir!AL4/(up_Bv!K4+s_MLF_corn)),".")</f>
        <v>1.3187534153652907E-11</v>
      </c>
      <c r="BM4" s="15">
        <f>IFERROR((up_dir!AM4/(up_Bv!L4+s_MLF_cucumber)),".")</f>
        <v>1.3187534153652907E-11</v>
      </c>
      <c r="BN4" s="15">
        <f>IFERROR((up_dir!AN4/(up_Bv!M4+s_MLF_lettuce)),".")</f>
        <v>1.3187534153652907E-11</v>
      </c>
      <c r="BO4" s="15">
        <f>IFERROR((up_dir!AO4/(up_Bv!N4+s_MLF_lima_bean)),".")</f>
        <v>1.3187534153652907E-11</v>
      </c>
      <c r="BP4" s="15">
        <f>IFERROR((up_dir!AP4/(up_Bv!O4+s_MLF_okra)),".")</f>
        <v>1.3187534153652907E-11</v>
      </c>
      <c r="BQ4" s="15">
        <f>IFERROR((up_dir!AQ4/(up_Bv!P4+s_MLF_onion)),".")</f>
        <v>1.3187534153652907E-11</v>
      </c>
      <c r="BR4" s="15">
        <f>IFERROR((up_dir!AR4/(up_Bv!Q4+s_MLF_peach)),".")</f>
        <v>1.3187534153652907E-11</v>
      </c>
      <c r="BS4" s="15">
        <f>IFERROR((up_dir!AS4/(up_Bv!R4+s_MLF_pear)),".")</f>
        <v>1.3187534153652907E-11</v>
      </c>
      <c r="BT4" s="15">
        <f>IFERROR((up_dir!AT4/(up_Bv!S4+s_MLF_peas)),".")</f>
        <v>1.3187534153652907E-11</v>
      </c>
      <c r="BU4" s="15">
        <f>IFERROR((up_dir!AU4/(up_Bv!T4+s_MLF_peppers)),".")</f>
        <v>1.3187534153652907E-11</v>
      </c>
      <c r="BV4" s="15">
        <f>IFERROR((up_dir!AV4/(up_Bv!U4+s_MLF_potato)),".")</f>
        <v>1.3187534153652907E-11</v>
      </c>
      <c r="BW4" s="15">
        <f>IFERROR((up_dir!AW4/(up_Bv!V4+s_MLF_pumpkin)),".")</f>
        <v>1.3187534153652907E-11</v>
      </c>
      <c r="BX4" s="15">
        <f>IFERROR((up_dir!AX4/(up_Bv!W4+s_MLF_snap_bean)),".")</f>
        <v>1.3187534153652907E-11</v>
      </c>
      <c r="BY4" s="15">
        <f>IFERROR((up_dir!AY4/(up_Bv!X4+s_MLF_strawberry)),".")</f>
        <v>1.3187534153652907E-11</v>
      </c>
      <c r="BZ4" s="15">
        <f>IFERROR((up_dir!AZ4/(up_Bv!Y4+s_MLF_tomato)),".")</f>
        <v>1.3187534153652907E-11</v>
      </c>
      <c r="CA4" s="15">
        <f>IFERROR((up_dir!BA4/(up_Bv!Z4+s_MLF_rice)),".")</f>
        <v>1.3187534153652907E-11</v>
      </c>
      <c r="CB4" s="15">
        <f>IFERROR((up_dir!BB4/(up_Bv!AA4+s_MLF_cereal)),".")</f>
        <v>1.3187534153652907E-11</v>
      </c>
      <c r="CC4" s="40">
        <f t="shared" si="3"/>
        <v>3033167.5</v>
      </c>
      <c r="CD4" s="40">
        <f>IFERROR(s_C*(up_Bv!C4+s_MLF_apple)*s_IFAP_far_adj*s_CF_apple,".")</f>
        <v>758291.875</v>
      </c>
      <c r="CE4" s="40">
        <f>IFERROR(s_C*(up_Bv!D4+s_MLF_asparagus)*s_IFAS_far_adj*s_CF_asparagus,".")</f>
        <v>758291.875</v>
      </c>
      <c r="CF4" s="40">
        <f>IFERROR(s_C*(up_Bv!E4+s_MLF_beet)*s_IFBT_far_adj*s_CF_beet,".")</f>
        <v>758291.875</v>
      </c>
      <c r="CG4" s="40">
        <f>IFERROR(s_C*(up_Bv!F4+s_MLF_berries)*s_IFBR_far_adj*s_CF_berries,".")</f>
        <v>758291.875</v>
      </c>
      <c r="CH4" s="40">
        <f>IFERROR(s_C*(up_Bv!G4+s_MLF_broccoli)*s_IFBR_far_adj*s_CF_broccoli,".")</f>
        <v>758291.875</v>
      </c>
      <c r="CI4" s="40">
        <f>IFERROR(s_C*(up_Bv!H4+s_MLF_cabbage)*s_IFCB_far_adj*s_CF_cabbage,".")</f>
        <v>758291.875</v>
      </c>
      <c r="CJ4" s="40">
        <f>IFERROR(s_C*(up_Bv!I4+s_MLF_carrot)*s_IFCR_far_adj*s_CF_carrot,".")</f>
        <v>758291.875</v>
      </c>
      <c r="CK4" s="40">
        <f>IFERROR(s_C*(up_Bv!J4+s_MLF_citrus)*s_IFCI_far_adj*s_CF_citrus,".")</f>
        <v>758291.875</v>
      </c>
      <c r="CL4" s="40">
        <f>IFERROR(s_C*(up_Bv!K4+s_MLF_corn)*s_IFCO_far_adj*s_CF_corn,".")</f>
        <v>758291.875</v>
      </c>
      <c r="CM4" s="40">
        <f>IFERROR(s_C*(up_Bv!L4+s_MLF_cucumber)*s_IFCU_far_adj*s_CF_cucumber,".")</f>
        <v>758291.875</v>
      </c>
      <c r="CN4" s="40">
        <f>IFERROR(s_C*(up_Bv!M4+s_MLF_lettuce)*s_IFLE_far_adj*s_CF_lettuce,".")</f>
        <v>758291.875</v>
      </c>
      <c r="CO4" s="40">
        <f>IFERROR(s_C*(up_Bv!N4+s_MLF_lima_bean)*s_IFLI_far_adj*s_CF_lima_bean,".")</f>
        <v>758291.875</v>
      </c>
      <c r="CP4" s="40">
        <f>IFERROR(s_C*(up_Bv!O4+s_MLF_okra)*s_IFOK_far_adj*s_CF_okra,".")</f>
        <v>758291.875</v>
      </c>
      <c r="CQ4" s="40">
        <f>IFERROR(s_C*(up_Bv!P4+s_MLF_onion)*s_IFON_far_adj*s_CF_onion,".")</f>
        <v>758291.875</v>
      </c>
      <c r="CR4" s="40">
        <f>IFERROR(s_C*(up_Bv!Q4+s_MLF_peach)*s_IFPC_far_adj*s_CF_peach,".")</f>
        <v>758291.875</v>
      </c>
      <c r="CS4" s="40">
        <f>IFERROR(s_C*(up_Bv!R4+s_MLF_pear)*s_IFPR_far_adj*s_CF_pear,".")</f>
        <v>758291.875</v>
      </c>
      <c r="CT4" s="40">
        <f>IFERROR(s_C*(up_Bv!S4+s_MLF_peas)*s_IFPE_far_adj*s_CF_peas,".")</f>
        <v>758291.875</v>
      </c>
      <c r="CU4" s="40">
        <f>IFERROR(s_C*(up_Bv!T4+s_MLF_peppers)*s_IFPP_far_adj*s_CF_peppers,".")</f>
        <v>758291.875</v>
      </c>
      <c r="CV4" s="40">
        <f>IFERROR(s_C*(up_Bv!U4+s_MLF_potato)*s_IFPT_far_adj*s_CF_potato,".")</f>
        <v>758291.875</v>
      </c>
      <c r="CW4" s="40">
        <f>IFERROR(s_C*(up_Bv!V4+s_MLF_pumpkin)*s_IFPU_far_adj*s_CF_pumpkin,".")</f>
        <v>758291.875</v>
      </c>
      <c r="CX4" s="40">
        <f>IFERROR(s_C*(up_Bv!W4+s_MLF_snap_bean)*s_IFSN_far_adj*s_CF_snap_bean,".")</f>
        <v>758291.875</v>
      </c>
      <c r="CY4" s="40">
        <f>IFERROR(s_C*(up_Bv!X4+s_MLF_strawberry)*s_IFST_far_adj*s_CF_strawberry,".")</f>
        <v>758291.875</v>
      </c>
      <c r="CZ4" s="40">
        <f>IFERROR(s_C*(up_Bv!Y4+s_MLF_tomato)*s_IFTO_far_adj*s_CF_tomato,".")</f>
        <v>758291.875</v>
      </c>
      <c r="DA4" s="40">
        <f>IFERROR(s_C*(up_Bv!Z4+s_MLF_rice)*s_IFRI_far_adj*s_CF_rice,".")</f>
        <v>758291.875</v>
      </c>
      <c r="DB4" s="40">
        <f>IFERROR(s_C*(up_Bv!AA4+s_MLF_cereal)*s_IFCG_far_adj*s_CF_cereal,".")</f>
        <v>758291.875</v>
      </c>
    </row>
    <row r="5" spans="1:106" ht="15" customHeight="1" x14ac:dyDescent="0.25">
      <c r="A5" s="44" t="s">
        <v>15</v>
      </c>
      <c r="B5" s="42" t="s">
        <v>1071</v>
      </c>
      <c r="C5" s="15">
        <f t="shared" si="0"/>
        <v>3.2968835384132272E-12</v>
      </c>
      <c r="D5" s="15">
        <f>IFERROR((up_dir!D5/(up_Bv!C5+s_MLF_apple)),".")</f>
        <v>1.3187534153652907E-11</v>
      </c>
      <c r="E5" s="15">
        <f>IFERROR((up_dir!E5/(up_Bv!D5+s_MLF_asparagus)),".")</f>
        <v>1.3187534153652907E-11</v>
      </c>
      <c r="F5" s="15">
        <f>IFERROR((up_dir!F5/(up_Bv!E5+s_MLF_beet)),".")</f>
        <v>1.3187534153652907E-11</v>
      </c>
      <c r="G5" s="15">
        <f>IFERROR((up_dir!G5/(up_Bv!F5+s_MLF_berries)),".")</f>
        <v>1.3187534153652907E-11</v>
      </c>
      <c r="H5" s="15">
        <f>IFERROR((up_dir!H5/(up_Bv!G5+s_MLF_broccoli)),".")</f>
        <v>1.3187534153652907E-11</v>
      </c>
      <c r="I5" s="15">
        <f>IFERROR((up_dir!I5/(up_Bv!H5+s_MLF_cabbage)),".")</f>
        <v>1.3187534153652907E-11</v>
      </c>
      <c r="J5" s="15">
        <f>IFERROR((up_dir!J5/(up_Bv!I5+s_MLF_carrot)),".")</f>
        <v>1.3187534153652907E-11</v>
      </c>
      <c r="K5" s="15">
        <f>IFERROR((up_dir!K5/(up_Bv!J5+s_MLF_citrus)),".")</f>
        <v>1.3187534153652907E-11</v>
      </c>
      <c r="L5" s="15">
        <f>IFERROR((up_dir!L5/(up_Bv!K5+s_MLF_corn)),".")</f>
        <v>1.3187534153652907E-11</v>
      </c>
      <c r="M5" s="15">
        <f>IFERROR((up_dir!M5/(up_Bv!L5+s_MLF_cucumber)),".")</f>
        <v>1.3187534153652907E-11</v>
      </c>
      <c r="N5" s="15">
        <f>IFERROR((up_dir!N5/(up_Bv!M5+s_MLF_lettuce)),".")</f>
        <v>1.3187534153652907E-11</v>
      </c>
      <c r="O5" s="15">
        <f>IFERROR((up_dir!O5/(up_Bv!N5+s_MLF_lima_bean)),".")</f>
        <v>1.3187534153652907E-11</v>
      </c>
      <c r="P5" s="15">
        <f>IFERROR((up_dir!P5/(up_Bv!O5+s_MLF_okra)),".")</f>
        <v>1.3187534153652907E-11</v>
      </c>
      <c r="Q5" s="15">
        <f>IFERROR((up_dir!Q5/(up_Bv!P5+s_MLF_onion)),".")</f>
        <v>1.3187534153652907E-11</v>
      </c>
      <c r="R5" s="15">
        <f>IFERROR((up_dir!R5/(up_Bv!Q5+s_MLF_peach)),".")</f>
        <v>1.3187534153652907E-11</v>
      </c>
      <c r="S5" s="15">
        <f>IFERROR((up_dir!S5/(up_Bv!R5+s_MLF_pear)),".")</f>
        <v>1.3187534153652907E-11</v>
      </c>
      <c r="T5" s="15">
        <f>IFERROR((up_dir!T5/(up_Bv!S5+s_MLF_peas)),".")</f>
        <v>1.3187534153652907E-11</v>
      </c>
      <c r="U5" s="15">
        <f>IFERROR((up_dir!U5/(up_Bv!T5+s_MLF_peppers)),".")</f>
        <v>1.3187534153652907E-11</v>
      </c>
      <c r="V5" s="15">
        <f>IFERROR((up_dir!V5/(up_Bv!U5+s_MLF_potato)),".")</f>
        <v>1.3187534153652907E-11</v>
      </c>
      <c r="W5" s="15">
        <f>IFERROR((up_dir!W5/(up_Bv!V5+s_MLF_pumpkin)),".")</f>
        <v>1.3187534153652907E-11</v>
      </c>
      <c r="X5" s="15">
        <f>IFERROR((up_dir!X5/(up_Bv!W5+s_MLF_snap_bean)),".")</f>
        <v>1.3187534153652907E-11</v>
      </c>
      <c r="Y5" s="15">
        <f>IFERROR((up_dir!Y5/(up_Bv!X5+s_MLF_strawberry)),".")</f>
        <v>1.3187534153652907E-11</v>
      </c>
      <c r="Z5" s="15">
        <f>IFERROR((up_dir!Z5/(up_Bv!Y5+s_MLF_tomato)),".")</f>
        <v>1.3187534153652907E-11</v>
      </c>
      <c r="AA5" s="15">
        <f>IFERROR((up_dir!AA5/(up_Bv!Z5+s_MLF_rice)),".")</f>
        <v>1.3187534153652907E-11</v>
      </c>
      <c r="AB5" s="15">
        <f>IFERROR((up_dir!AB5/(up_Bv!AA5+s_MLF_cereal)),".")</f>
        <v>1.3187534153652907E-11</v>
      </c>
      <c r="AC5" s="40">
        <f t="shared" si="1"/>
        <v>3033167.5</v>
      </c>
      <c r="AD5" s="40">
        <f>s_C*(up_Bv!C5+s_MLF_apple)*s_IFAP_res_adj*s_CF_apple</f>
        <v>758291.875</v>
      </c>
      <c r="AE5" s="40">
        <f>s_C*(up_Bv!D5+s_MLF_asparagus)*s_IFAS_res_adj*s_CF_asparagus</f>
        <v>758291.875</v>
      </c>
      <c r="AF5" s="40">
        <f>s_C*(up_Bv!E5+s_MLF_beet)*s_IFBT_res_adj*s_CF_beet</f>
        <v>758291.875</v>
      </c>
      <c r="AG5" s="40">
        <f>s_C*(up_Bv!F5+s_MLF_berries)*s_IFBE_res_adj*s_CF_berries</f>
        <v>758291.875</v>
      </c>
      <c r="AH5" s="40">
        <f>s_C*(up_Bv!G5+s_MLF_broccoli)*s_IFBR_res_adj*s_CF_broccoli</f>
        <v>758291.875</v>
      </c>
      <c r="AI5" s="40">
        <f>s_C*(up_Bv!H5+s_MLF_cabbage)*s_IFCB_res_adj*s_CF_cabbage</f>
        <v>758291.875</v>
      </c>
      <c r="AJ5" s="40">
        <f>s_C*(up_Bv!I5+s_MLF_carrot)*s_IFCR_res_adj*s_CF_carrot</f>
        <v>758291.875</v>
      </c>
      <c r="AK5" s="40">
        <f>s_C*(up_Bv!J5+s_MLF_citrus)*s_IFCI_res_adj*s_CF_citrus</f>
        <v>758291.875</v>
      </c>
      <c r="AL5" s="40">
        <f>s_C*(up_Bv!K5+s_MLF_corn)*s_IFCO_res_adj*s_CF_corn</f>
        <v>758291.875</v>
      </c>
      <c r="AM5" s="40">
        <f>s_C*(up_Bv!L5+s_MLF_cucumber)*s_IFCU_res_adj*s_CF_cucumber</f>
        <v>758291.875</v>
      </c>
      <c r="AN5" s="40">
        <f>s_C*(up_Bv!M5+s_MLF_lettuce)*s_IFLE_res_adj*s_CF_lettuce</f>
        <v>758291.875</v>
      </c>
      <c r="AO5" s="40">
        <f>s_C*(up_Bv!N5+s_MLF_lima_bean)*s_IFLI_res_adj*s_CF_lima_bean</f>
        <v>758291.875</v>
      </c>
      <c r="AP5" s="40">
        <f>s_C*(up_Bv!O5+s_MLF_okra)*s_IFOK_res_adj*s_CF_okra</f>
        <v>758291.875</v>
      </c>
      <c r="AQ5" s="40">
        <f>s_C*(up_Bv!P5+s_MLF_onion)*s_IFON_res_adj*s_CF_onion</f>
        <v>758291.875</v>
      </c>
      <c r="AR5" s="40">
        <f>s_C*(up_Bv!Q5+s_MLF_peach)*s_IFPC_res_adj*s_CF_peach</f>
        <v>758291.875</v>
      </c>
      <c r="AS5" s="40">
        <f>s_C*(up_Bv!R5+s_MLF_pear)*s_IFPR_res_adj*s_CF_pear</f>
        <v>758291.875</v>
      </c>
      <c r="AT5" s="40">
        <f>s_C*(up_Bv!S5+s_MLF_peas)*s_IFPE_res_adj*s_CF_peas</f>
        <v>758291.875</v>
      </c>
      <c r="AU5" s="40">
        <f>s_C*(up_Bv!T5+s_MLF_peppers)*s_IFPP_res_adj*s_CF_peppers</f>
        <v>758291.875</v>
      </c>
      <c r="AV5" s="40">
        <f>s_C*(up_Bv!U5+s_MLF_potato)*s_IFPT_res_adj*s_CF_potato</f>
        <v>758291.875</v>
      </c>
      <c r="AW5" s="40">
        <f>s_C*(up_Bv!V5+s_MLF_pumpkin)*s_IFPU_res_adj*s_CF_pumpkin</f>
        <v>758291.875</v>
      </c>
      <c r="AX5" s="40">
        <f>s_C*(up_Bv!W5+s_MLF_snap_bean)*s_IFSN_res_adj*s_CF_snap_bean</f>
        <v>758291.875</v>
      </c>
      <c r="AY5" s="40">
        <f>s_C*(up_Bv!X5+s_MLF_strawberry)*s_IFST_res_adj*s_CF_strawberry</f>
        <v>758291.875</v>
      </c>
      <c r="AZ5" s="40">
        <f>s_C*(up_Bv!Y5+s_MLF_tomato)*s_IFTO_res_adj*s_CF_tomato</f>
        <v>758291.875</v>
      </c>
      <c r="BA5" s="40">
        <f>s_C*(up_Bv!Z5+s_MLF_rice)*s_IFRI_res_adj*s_CF_rice</f>
        <v>758291.875</v>
      </c>
      <c r="BB5" s="40">
        <f>s_C*(up_Bv!AA5+s_MLF_cereal)*s_IFCG_res_adj*s_CF_cereal</f>
        <v>758291.875</v>
      </c>
      <c r="BC5" s="15">
        <f t="shared" si="2"/>
        <v>3.2968835384132272E-12</v>
      </c>
      <c r="BD5" s="15">
        <f>IFERROR((up_dir!AD5/(up_Bv!C5+s_MLF_apple)),".")</f>
        <v>1.3187534153652907E-11</v>
      </c>
      <c r="BE5" s="15">
        <f>IFERROR((up_dir!AE5/(up_Bv!D5+s_MLF_asparagus)),".")</f>
        <v>1.3187534153652907E-11</v>
      </c>
      <c r="BF5" s="15">
        <f>IFERROR((up_dir!AF5/(up_Bv!E5+s_MLF_beet)),".")</f>
        <v>1.3187534153652907E-11</v>
      </c>
      <c r="BG5" s="15">
        <f>IFERROR((up_dir!AG5/(up_Bv!F5+s_MLF_berries)),".")</f>
        <v>1.3187534153652907E-11</v>
      </c>
      <c r="BH5" s="15">
        <f>IFERROR((up_dir!AH5/(up_Bv!G5+s_MLF_broccoli)),".")</f>
        <v>1.3187534153652907E-11</v>
      </c>
      <c r="BI5" s="15">
        <f>IFERROR((up_dir!AI5/(up_Bv!H5+s_MLF_cabbage)),".")</f>
        <v>1.3187534153652907E-11</v>
      </c>
      <c r="BJ5" s="15">
        <f>IFERROR((up_dir!AJ5/(up_Bv!I5+s_MLF_carrot)),".")</f>
        <v>1.3187534153652907E-11</v>
      </c>
      <c r="BK5" s="15">
        <f>IFERROR((up_dir!AK5/(up_Bv!J5+s_MLF_citrus)),".")</f>
        <v>1.3187534153652907E-11</v>
      </c>
      <c r="BL5" s="15">
        <f>IFERROR((up_dir!AL5/(up_Bv!K5+s_MLF_corn)),".")</f>
        <v>1.3187534153652907E-11</v>
      </c>
      <c r="BM5" s="15">
        <f>IFERROR((up_dir!AM5/(up_Bv!L5+s_MLF_cucumber)),".")</f>
        <v>1.3187534153652907E-11</v>
      </c>
      <c r="BN5" s="15">
        <f>IFERROR((up_dir!AN5/(up_Bv!M5+s_MLF_lettuce)),".")</f>
        <v>1.3187534153652907E-11</v>
      </c>
      <c r="BO5" s="15">
        <f>IFERROR((up_dir!AO5/(up_Bv!N5+s_MLF_lima_bean)),".")</f>
        <v>1.3187534153652907E-11</v>
      </c>
      <c r="BP5" s="15">
        <f>IFERROR((up_dir!AP5/(up_Bv!O5+s_MLF_okra)),".")</f>
        <v>1.3187534153652907E-11</v>
      </c>
      <c r="BQ5" s="15">
        <f>IFERROR((up_dir!AQ5/(up_Bv!P5+s_MLF_onion)),".")</f>
        <v>1.3187534153652907E-11</v>
      </c>
      <c r="BR5" s="15">
        <f>IFERROR((up_dir!AR5/(up_Bv!Q5+s_MLF_peach)),".")</f>
        <v>1.3187534153652907E-11</v>
      </c>
      <c r="BS5" s="15">
        <f>IFERROR((up_dir!AS5/(up_Bv!R5+s_MLF_pear)),".")</f>
        <v>1.3187534153652907E-11</v>
      </c>
      <c r="BT5" s="15">
        <f>IFERROR((up_dir!AT5/(up_Bv!S5+s_MLF_peas)),".")</f>
        <v>1.3187534153652907E-11</v>
      </c>
      <c r="BU5" s="15">
        <f>IFERROR((up_dir!AU5/(up_Bv!T5+s_MLF_peppers)),".")</f>
        <v>1.3187534153652907E-11</v>
      </c>
      <c r="BV5" s="15">
        <f>IFERROR((up_dir!AV5/(up_Bv!U5+s_MLF_potato)),".")</f>
        <v>1.3187534153652907E-11</v>
      </c>
      <c r="BW5" s="15">
        <f>IFERROR((up_dir!AW5/(up_Bv!V5+s_MLF_pumpkin)),".")</f>
        <v>1.3187534153652907E-11</v>
      </c>
      <c r="BX5" s="15">
        <f>IFERROR((up_dir!AX5/(up_Bv!W5+s_MLF_snap_bean)),".")</f>
        <v>1.3187534153652907E-11</v>
      </c>
      <c r="BY5" s="15">
        <f>IFERROR((up_dir!AY5/(up_Bv!X5+s_MLF_strawberry)),".")</f>
        <v>1.3187534153652907E-11</v>
      </c>
      <c r="BZ5" s="15">
        <f>IFERROR((up_dir!AZ5/(up_Bv!Y5+s_MLF_tomato)),".")</f>
        <v>1.3187534153652907E-11</v>
      </c>
      <c r="CA5" s="15">
        <f>IFERROR((up_dir!BA5/(up_Bv!Z5+s_MLF_rice)),".")</f>
        <v>1.3187534153652907E-11</v>
      </c>
      <c r="CB5" s="15">
        <f>IFERROR((up_dir!BB5/(up_Bv!AA5+s_MLF_cereal)),".")</f>
        <v>1.3187534153652907E-11</v>
      </c>
      <c r="CC5" s="40">
        <f t="shared" si="3"/>
        <v>3033167.5</v>
      </c>
      <c r="CD5" s="40">
        <f>IFERROR(s_C*(up_Bv!C5+s_MLF_apple)*s_IFAP_far_adj*s_CF_apple,".")</f>
        <v>758291.875</v>
      </c>
      <c r="CE5" s="40">
        <f>IFERROR(s_C*(up_Bv!D5+s_MLF_asparagus)*s_IFAS_far_adj*s_CF_asparagus,".")</f>
        <v>758291.875</v>
      </c>
      <c r="CF5" s="40">
        <f>IFERROR(s_C*(up_Bv!E5+s_MLF_beet)*s_IFBT_far_adj*s_CF_beet,".")</f>
        <v>758291.875</v>
      </c>
      <c r="CG5" s="40">
        <f>IFERROR(s_C*(up_Bv!F5+s_MLF_berries)*s_IFBR_far_adj*s_CF_berries,".")</f>
        <v>758291.875</v>
      </c>
      <c r="CH5" s="40">
        <f>IFERROR(s_C*(up_Bv!G5+s_MLF_broccoli)*s_IFBR_far_adj*s_CF_broccoli,".")</f>
        <v>758291.875</v>
      </c>
      <c r="CI5" s="40">
        <f>IFERROR(s_C*(up_Bv!H5+s_MLF_cabbage)*s_IFCB_far_adj*s_CF_cabbage,".")</f>
        <v>758291.875</v>
      </c>
      <c r="CJ5" s="40">
        <f>IFERROR(s_C*(up_Bv!I5+s_MLF_carrot)*s_IFCR_far_adj*s_CF_carrot,".")</f>
        <v>758291.875</v>
      </c>
      <c r="CK5" s="40">
        <f>IFERROR(s_C*(up_Bv!J5+s_MLF_citrus)*s_IFCI_far_adj*s_CF_citrus,".")</f>
        <v>758291.875</v>
      </c>
      <c r="CL5" s="40">
        <f>IFERROR(s_C*(up_Bv!K5+s_MLF_corn)*s_IFCO_far_adj*s_CF_corn,".")</f>
        <v>758291.875</v>
      </c>
      <c r="CM5" s="40">
        <f>IFERROR(s_C*(up_Bv!L5+s_MLF_cucumber)*s_IFCU_far_adj*s_CF_cucumber,".")</f>
        <v>758291.875</v>
      </c>
      <c r="CN5" s="40">
        <f>IFERROR(s_C*(up_Bv!M5+s_MLF_lettuce)*s_IFLE_far_adj*s_CF_lettuce,".")</f>
        <v>758291.875</v>
      </c>
      <c r="CO5" s="40">
        <f>IFERROR(s_C*(up_Bv!N5+s_MLF_lima_bean)*s_IFLI_far_adj*s_CF_lima_bean,".")</f>
        <v>758291.875</v>
      </c>
      <c r="CP5" s="40">
        <f>IFERROR(s_C*(up_Bv!O5+s_MLF_okra)*s_IFOK_far_adj*s_CF_okra,".")</f>
        <v>758291.875</v>
      </c>
      <c r="CQ5" s="40">
        <f>IFERROR(s_C*(up_Bv!P5+s_MLF_onion)*s_IFON_far_adj*s_CF_onion,".")</f>
        <v>758291.875</v>
      </c>
      <c r="CR5" s="40">
        <f>IFERROR(s_C*(up_Bv!Q5+s_MLF_peach)*s_IFPC_far_adj*s_CF_peach,".")</f>
        <v>758291.875</v>
      </c>
      <c r="CS5" s="40">
        <f>IFERROR(s_C*(up_Bv!R5+s_MLF_pear)*s_IFPR_far_adj*s_CF_pear,".")</f>
        <v>758291.875</v>
      </c>
      <c r="CT5" s="40">
        <f>IFERROR(s_C*(up_Bv!S5+s_MLF_peas)*s_IFPE_far_adj*s_CF_peas,".")</f>
        <v>758291.875</v>
      </c>
      <c r="CU5" s="40">
        <f>IFERROR(s_C*(up_Bv!T5+s_MLF_peppers)*s_IFPP_far_adj*s_CF_peppers,".")</f>
        <v>758291.875</v>
      </c>
      <c r="CV5" s="40">
        <f>IFERROR(s_C*(up_Bv!U5+s_MLF_potato)*s_IFPT_far_adj*s_CF_potato,".")</f>
        <v>758291.875</v>
      </c>
      <c r="CW5" s="40">
        <f>IFERROR(s_C*(up_Bv!V5+s_MLF_pumpkin)*s_IFPU_far_adj*s_CF_pumpkin,".")</f>
        <v>758291.875</v>
      </c>
      <c r="CX5" s="40">
        <f>IFERROR(s_C*(up_Bv!W5+s_MLF_snap_bean)*s_IFSN_far_adj*s_CF_snap_bean,".")</f>
        <v>758291.875</v>
      </c>
      <c r="CY5" s="40">
        <f>IFERROR(s_C*(up_Bv!X5+s_MLF_strawberry)*s_IFST_far_adj*s_CF_strawberry,".")</f>
        <v>758291.875</v>
      </c>
      <c r="CZ5" s="40">
        <f>IFERROR(s_C*(up_Bv!Y5+s_MLF_tomato)*s_IFTO_far_adj*s_CF_tomato,".")</f>
        <v>758291.875</v>
      </c>
      <c r="DA5" s="40">
        <f>IFERROR(s_C*(up_Bv!Z5+s_MLF_rice)*s_IFRI_far_adj*s_CF_rice,".")</f>
        <v>758291.875</v>
      </c>
      <c r="DB5" s="40">
        <f>IFERROR(s_C*(up_Bv!AA5+s_MLF_cereal)*s_IFCG_far_adj*s_CF_cereal,".")</f>
        <v>758291.875</v>
      </c>
    </row>
    <row r="6" spans="1:106" ht="15" customHeight="1" x14ac:dyDescent="0.25">
      <c r="A6" s="44" t="s">
        <v>16</v>
      </c>
      <c r="B6" s="42" t="s">
        <v>1071</v>
      </c>
      <c r="C6" s="15">
        <f t="shared" si="0"/>
        <v>3.2968835384132272E-12</v>
      </c>
      <c r="D6" s="15">
        <f>IFERROR((up_dir!D6/(up_Bv!C6+s_MLF_apple)),".")</f>
        <v>1.3187534153652907E-11</v>
      </c>
      <c r="E6" s="15">
        <f>IFERROR((up_dir!E6/(up_Bv!D6+s_MLF_asparagus)),".")</f>
        <v>1.3187534153652907E-11</v>
      </c>
      <c r="F6" s="15">
        <f>IFERROR((up_dir!F6/(up_Bv!E6+s_MLF_beet)),".")</f>
        <v>1.3187534153652907E-11</v>
      </c>
      <c r="G6" s="15">
        <f>IFERROR((up_dir!G6/(up_Bv!F6+s_MLF_berries)),".")</f>
        <v>1.3187534153652907E-11</v>
      </c>
      <c r="H6" s="15">
        <f>IFERROR((up_dir!H6/(up_Bv!G6+s_MLF_broccoli)),".")</f>
        <v>1.3187534153652907E-11</v>
      </c>
      <c r="I6" s="15">
        <f>IFERROR((up_dir!I6/(up_Bv!H6+s_MLF_cabbage)),".")</f>
        <v>1.3187534153652907E-11</v>
      </c>
      <c r="J6" s="15">
        <f>IFERROR((up_dir!J6/(up_Bv!I6+s_MLF_carrot)),".")</f>
        <v>1.3187534153652907E-11</v>
      </c>
      <c r="K6" s="15">
        <f>IFERROR((up_dir!K6/(up_Bv!J6+s_MLF_citrus)),".")</f>
        <v>1.3187534153652907E-11</v>
      </c>
      <c r="L6" s="15">
        <f>IFERROR((up_dir!L6/(up_Bv!K6+s_MLF_corn)),".")</f>
        <v>1.3187534153652907E-11</v>
      </c>
      <c r="M6" s="15">
        <f>IFERROR((up_dir!M6/(up_Bv!L6+s_MLF_cucumber)),".")</f>
        <v>1.3187534153652907E-11</v>
      </c>
      <c r="N6" s="15">
        <f>IFERROR((up_dir!N6/(up_Bv!M6+s_MLF_lettuce)),".")</f>
        <v>1.3187534153652907E-11</v>
      </c>
      <c r="O6" s="15">
        <f>IFERROR((up_dir!O6/(up_Bv!N6+s_MLF_lima_bean)),".")</f>
        <v>1.3187534153652907E-11</v>
      </c>
      <c r="P6" s="15">
        <f>IFERROR((up_dir!P6/(up_Bv!O6+s_MLF_okra)),".")</f>
        <v>1.3187534153652907E-11</v>
      </c>
      <c r="Q6" s="15">
        <f>IFERROR((up_dir!Q6/(up_Bv!P6+s_MLF_onion)),".")</f>
        <v>1.3187534153652907E-11</v>
      </c>
      <c r="R6" s="15">
        <f>IFERROR((up_dir!R6/(up_Bv!Q6+s_MLF_peach)),".")</f>
        <v>1.3187534153652907E-11</v>
      </c>
      <c r="S6" s="15">
        <f>IFERROR((up_dir!S6/(up_Bv!R6+s_MLF_pear)),".")</f>
        <v>1.3187534153652907E-11</v>
      </c>
      <c r="T6" s="15">
        <f>IFERROR((up_dir!T6/(up_Bv!S6+s_MLF_peas)),".")</f>
        <v>1.3187534153652907E-11</v>
      </c>
      <c r="U6" s="15">
        <f>IFERROR((up_dir!U6/(up_Bv!T6+s_MLF_peppers)),".")</f>
        <v>1.3187534153652907E-11</v>
      </c>
      <c r="V6" s="15">
        <f>IFERROR((up_dir!V6/(up_Bv!U6+s_MLF_potato)),".")</f>
        <v>1.3187534153652907E-11</v>
      </c>
      <c r="W6" s="15">
        <f>IFERROR((up_dir!W6/(up_Bv!V6+s_MLF_pumpkin)),".")</f>
        <v>1.3187534153652907E-11</v>
      </c>
      <c r="X6" s="15">
        <f>IFERROR((up_dir!X6/(up_Bv!W6+s_MLF_snap_bean)),".")</f>
        <v>1.3187534153652907E-11</v>
      </c>
      <c r="Y6" s="15">
        <f>IFERROR((up_dir!Y6/(up_Bv!X6+s_MLF_strawberry)),".")</f>
        <v>1.3187534153652907E-11</v>
      </c>
      <c r="Z6" s="15">
        <f>IFERROR((up_dir!Z6/(up_Bv!Y6+s_MLF_tomato)),".")</f>
        <v>1.3187534153652907E-11</v>
      </c>
      <c r="AA6" s="15">
        <f>IFERROR((up_dir!AA6/(up_Bv!Z6+s_MLF_rice)),".")</f>
        <v>1.3187534153652907E-11</v>
      </c>
      <c r="AB6" s="15">
        <f>IFERROR((up_dir!AB6/(up_Bv!AA6+s_MLF_cereal)),".")</f>
        <v>1.3187534153652907E-11</v>
      </c>
      <c r="AC6" s="40">
        <f t="shared" si="1"/>
        <v>3033167.5</v>
      </c>
      <c r="AD6" s="40">
        <f>s_C*(up_Bv!C6+s_MLF_apple)*s_IFAP_res_adj*s_CF_apple</f>
        <v>758291.875</v>
      </c>
      <c r="AE6" s="40">
        <f>s_C*(up_Bv!D6+s_MLF_asparagus)*s_IFAS_res_adj*s_CF_asparagus</f>
        <v>758291.875</v>
      </c>
      <c r="AF6" s="40">
        <f>s_C*(up_Bv!E6+s_MLF_beet)*s_IFBT_res_adj*s_CF_beet</f>
        <v>758291.875</v>
      </c>
      <c r="AG6" s="40">
        <f>s_C*(up_Bv!F6+s_MLF_berries)*s_IFBE_res_adj*s_CF_berries</f>
        <v>758291.875</v>
      </c>
      <c r="AH6" s="40">
        <f>s_C*(up_Bv!G6+s_MLF_broccoli)*s_IFBR_res_adj*s_CF_broccoli</f>
        <v>758291.875</v>
      </c>
      <c r="AI6" s="40">
        <f>s_C*(up_Bv!H6+s_MLF_cabbage)*s_IFCB_res_adj*s_CF_cabbage</f>
        <v>758291.875</v>
      </c>
      <c r="AJ6" s="40">
        <f>s_C*(up_Bv!I6+s_MLF_carrot)*s_IFCR_res_adj*s_CF_carrot</f>
        <v>758291.875</v>
      </c>
      <c r="AK6" s="40">
        <f>s_C*(up_Bv!J6+s_MLF_citrus)*s_IFCI_res_adj*s_CF_citrus</f>
        <v>758291.875</v>
      </c>
      <c r="AL6" s="40">
        <f>s_C*(up_Bv!K6+s_MLF_corn)*s_IFCO_res_adj*s_CF_corn</f>
        <v>758291.875</v>
      </c>
      <c r="AM6" s="40">
        <f>s_C*(up_Bv!L6+s_MLF_cucumber)*s_IFCU_res_adj*s_CF_cucumber</f>
        <v>758291.875</v>
      </c>
      <c r="AN6" s="40">
        <f>s_C*(up_Bv!M6+s_MLF_lettuce)*s_IFLE_res_adj*s_CF_lettuce</f>
        <v>758291.875</v>
      </c>
      <c r="AO6" s="40">
        <f>s_C*(up_Bv!N6+s_MLF_lima_bean)*s_IFLI_res_adj*s_CF_lima_bean</f>
        <v>758291.875</v>
      </c>
      <c r="AP6" s="40">
        <f>s_C*(up_Bv!O6+s_MLF_okra)*s_IFOK_res_adj*s_CF_okra</f>
        <v>758291.875</v>
      </c>
      <c r="AQ6" s="40">
        <f>s_C*(up_Bv!P6+s_MLF_onion)*s_IFON_res_adj*s_CF_onion</f>
        <v>758291.875</v>
      </c>
      <c r="AR6" s="40">
        <f>s_C*(up_Bv!Q6+s_MLF_peach)*s_IFPC_res_adj*s_CF_peach</f>
        <v>758291.875</v>
      </c>
      <c r="AS6" s="40">
        <f>s_C*(up_Bv!R6+s_MLF_pear)*s_IFPR_res_adj*s_CF_pear</f>
        <v>758291.875</v>
      </c>
      <c r="AT6" s="40">
        <f>s_C*(up_Bv!S6+s_MLF_peas)*s_IFPE_res_adj*s_CF_peas</f>
        <v>758291.875</v>
      </c>
      <c r="AU6" s="40">
        <f>s_C*(up_Bv!T6+s_MLF_peppers)*s_IFPP_res_adj*s_CF_peppers</f>
        <v>758291.875</v>
      </c>
      <c r="AV6" s="40">
        <f>s_C*(up_Bv!U6+s_MLF_potato)*s_IFPT_res_adj*s_CF_potato</f>
        <v>758291.875</v>
      </c>
      <c r="AW6" s="40">
        <f>s_C*(up_Bv!V6+s_MLF_pumpkin)*s_IFPU_res_adj*s_CF_pumpkin</f>
        <v>758291.875</v>
      </c>
      <c r="AX6" s="40">
        <f>s_C*(up_Bv!W6+s_MLF_snap_bean)*s_IFSN_res_adj*s_CF_snap_bean</f>
        <v>758291.875</v>
      </c>
      <c r="AY6" s="40">
        <f>s_C*(up_Bv!X6+s_MLF_strawberry)*s_IFST_res_adj*s_CF_strawberry</f>
        <v>758291.875</v>
      </c>
      <c r="AZ6" s="40">
        <f>s_C*(up_Bv!Y6+s_MLF_tomato)*s_IFTO_res_adj*s_CF_tomato</f>
        <v>758291.875</v>
      </c>
      <c r="BA6" s="40">
        <f>s_C*(up_Bv!Z6+s_MLF_rice)*s_IFRI_res_adj*s_CF_rice</f>
        <v>758291.875</v>
      </c>
      <c r="BB6" s="40">
        <f>s_C*(up_Bv!AA6+s_MLF_cereal)*s_IFCG_res_adj*s_CF_cereal</f>
        <v>758291.875</v>
      </c>
      <c r="BC6" s="15">
        <f t="shared" si="2"/>
        <v>3.2968835384132272E-12</v>
      </c>
      <c r="BD6" s="15">
        <f>IFERROR((up_dir!AD6/(up_Bv!C6+s_MLF_apple)),".")</f>
        <v>1.3187534153652907E-11</v>
      </c>
      <c r="BE6" s="15">
        <f>IFERROR((up_dir!AE6/(up_Bv!D6+s_MLF_asparagus)),".")</f>
        <v>1.3187534153652907E-11</v>
      </c>
      <c r="BF6" s="15">
        <f>IFERROR((up_dir!AF6/(up_Bv!E6+s_MLF_beet)),".")</f>
        <v>1.3187534153652907E-11</v>
      </c>
      <c r="BG6" s="15">
        <f>IFERROR((up_dir!AG6/(up_Bv!F6+s_MLF_berries)),".")</f>
        <v>1.3187534153652907E-11</v>
      </c>
      <c r="BH6" s="15">
        <f>IFERROR((up_dir!AH6/(up_Bv!G6+s_MLF_broccoli)),".")</f>
        <v>1.3187534153652907E-11</v>
      </c>
      <c r="BI6" s="15">
        <f>IFERROR((up_dir!AI6/(up_Bv!H6+s_MLF_cabbage)),".")</f>
        <v>1.3187534153652907E-11</v>
      </c>
      <c r="BJ6" s="15">
        <f>IFERROR((up_dir!AJ6/(up_Bv!I6+s_MLF_carrot)),".")</f>
        <v>1.3187534153652907E-11</v>
      </c>
      <c r="BK6" s="15">
        <f>IFERROR((up_dir!AK6/(up_Bv!J6+s_MLF_citrus)),".")</f>
        <v>1.3187534153652907E-11</v>
      </c>
      <c r="BL6" s="15">
        <f>IFERROR((up_dir!AL6/(up_Bv!K6+s_MLF_corn)),".")</f>
        <v>1.3187534153652907E-11</v>
      </c>
      <c r="BM6" s="15">
        <f>IFERROR((up_dir!AM6/(up_Bv!L6+s_MLF_cucumber)),".")</f>
        <v>1.3187534153652907E-11</v>
      </c>
      <c r="BN6" s="15">
        <f>IFERROR((up_dir!AN6/(up_Bv!M6+s_MLF_lettuce)),".")</f>
        <v>1.3187534153652907E-11</v>
      </c>
      <c r="BO6" s="15">
        <f>IFERROR((up_dir!AO6/(up_Bv!N6+s_MLF_lima_bean)),".")</f>
        <v>1.3187534153652907E-11</v>
      </c>
      <c r="BP6" s="15">
        <f>IFERROR((up_dir!AP6/(up_Bv!O6+s_MLF_okra)),".")</f>
        <v>1.3187534153652907E-11</v>
      </c>
      <c r="BQ6" s="15">
        <f>IFERROR((up_dir!AQ6/(up_Bv!P6+s_MLF_onion)),".")</f>
        <v>1.3187534153652907E-11</v>
      </c>
      <c r="BR6" s="15">
        <f>IFERROR((up_dir!AR6/(up_Bv!Q6+s_MLF_peach)),".")</f>
        <v>1.3187534153652907E-11</v>
      </c>
      <c r="BS6" s="15">
        <f>IFERROR((up_dir!AS6/(up_Bv!R6+s_MLF_pear)),".")</f>
        <v>1.3187534153652907E-11</v>
      </c>
      <c r="BT6" s="15">
        <f>IFERROR((up_dir!AT6/(up_Bv!S6+s_MLF_peas)),".")</f>
        <v>1.3187534153652907E-11</v>
      </c>
      <c r="BU6" s="15">
        <f>IFERROR((up_dir!AU6/(up_Bv!T6+s_MLF_peppers)),".")</f>
        <v>1.3187534153652907E-11</v>
      </c>
      <c r="BV6" s="15">
        <f>IFERROR((up_dir!AV6/(up_Bv!U6+s_MLF_potato)),".")</f>
        <v>1.3187534153652907E-11</v>
      </c>
      <c r="BW6" s="15">
        <f>IFERROR((up_dir!AW6/(up_Bv!V6+s_MLF_pumpkin)),".")</f>
        <v>1.3187534153652907E-11</v>
      </c>
      <c r="BX6" s="15">
        <f>IFERROR((up_dir!AX6/(up_Bv!W6+s_MLF_snap_bean)),".")</f>
        <v>1.3187534153652907E-11</v>
      </c>
      <c r="BY6" s="15">
        <f>IFERROR((up_dir!AY6/(up_Bv!X6+s_MLF_strawberry)),".")</f>
        <v>1.3187534153652907E-11</v>
      </c>
      <c r="BZ6" s="15">
        <f>IFERROR((up_dir!AZ6/(up_Bv!Y6+s_MLF_tomato)),".")</f>
        <v>1.3187534153652907E-11</v>
      </c>
      <c r="CA6" s="15">
        <f>IFERROR((up_dir!BA6/(up_Bv!Z6+s_MLF_rice)),".")</f>
        <v>1.3187534153652907E-11</v>
      </c>
      <c r="CB6" s="15">
        <f>IFERROR((up_dir!BB6/(up_Bv!AA6+s_MLF_cereal)),".")</f>
        <v>1.3187534153652907E-11</v>
      </c>
      <c r="CC6" s="40">
        <f t="shared" si="3"/>
        <v>3033167.5</v>
      </c>
      <c r="CD6" s="40">
        <f>IFERROR(s_C*(up_Bv!C6+s_MLF_apple)*s_IFAP_far_adj*s_CF_apple,".")</f>
        <v>758291.875</v>
      </c>
      <c r="CE6" s="40">
        <f>IFERROR(s_C*(up_Bv!D6+s_MLF_asparagus)*s_IFAS_far_adj*s_CF_asparagus,".")</f>
        <v>758291.875</v>
      </c>
      <c r="CF6" s="40">
        <f>IFERROR(s_C*(up_Bv!E6+s_MLF_beet)*s_IFBT_far_adj*s_CF_beet,".")</f>
        <v>758291.875</v>
      </c>
      <c r="CG6" s="40">
        <f>IFERROR(s_C*(up_Bv!F6+s_MLF_berries)*s_IFBR_far_adj*s_CF_berries,".")</f>
        <v>758291.875</v>
      </c>
      <c r="CH6" s="40">
        <f>IFERROR(s_C*(up_Bv!G6+s_MLF_broccoli)*s_IFBR_far_adj*s_CF_broccoli,".")</f>
        <v>758291.875</v>
      </c>
      <c r="CI6" s="40">
        <f>IFERROR(s_C*(up_Bv!H6+s_MLF_cabbage)*s_IFCB_far_adj*s_CF_cabbage,".")</f>
        <v>758291.875</v>
      </c>
      <c r="CJ6" s="40">
        <f>IFERROR(s_C*(up_Bv!I6+s_MLF_carrot)*s_IFCR_far_adj*s_CF_carrot,".")</f>
        <v>758291.875</v>
      </c>
      <c r="CK6" s="40">
        <f>IFERROR(s_C*(up_Bv!J6+s_MLF_citrus)*s_IFCI_far_adj*s_CF_citrus,".")</f>
        <v>758291.875</v>
      </c>
      <c r="CL6" s="40">
        <f>IFERROR(s_C*(up_Bv!K6+s_MLF_corn)*s_IFCO_far_adj*s_CF_corn,".")</f>
        <v>758291.875</v>
      </c>
      <c r="CM6" s="40">
        <f>IFERROR(s_C*(up_Bv!L6+s_MLF_cucumber)*s_IFCU_far_adj*s_CF_cucumber,".")</f>
        <v>758291.875</v>
      </c>
      <c r="CN6" s="40">
        <f>IFERROR(s_C*(up_Bv!M6+s_MLF_lettuce)*s_IFLE_far_adj*s_CF_lettuce,".")</f>
        <v>758291.875</v>
      </c>
      <c r="CO6" s="40">
        <f>IFERROR(s_C*(up_Bv!N6+s_MLF_lima_bean)*s_IFLI_far_adj*s_CF_lima_bean,".")</f>
        <v>758291.875</v>
      </c>
      <c r="CP6" s="40">
        <f>IFERROR(s_C*(up_Bv!O6+s_MLF_okra)*s_IFOK_far_adj*s_CF_okra,".")</f>
        <v>758291.875</v>
      </c>
      <c r="CQ6" s="40">
        <f>IFERROR(s_C*(up_Bv!P6+s_MLF_onion)*s_IFON_far_adj*s_CF_onion,".")</f>
        <v>758291.875</v>
      </c>
      <c r="CR6" s="40">
        <f>IFERROR(s_C*(up_Bv!Q6+s_MLF_peach)*s_IFPC_far_adj*s_CF_peach,".")</f>
        <v>758291.875</v>
      </c>
      <c r="CS6" s="40">
        <f>IFERROR(s_C*(up_Bv!R6+s_MLF_pear)*s_IFPR_far_adj*s_CF_pear,".")</f>
        <v>758291.875</v>
      </c>
      <c r="CT6" s="40">
        <f>IFERROR(s_C*(up_Bv!S6+s_MLF_peas)*s_IFPE_far_adj*s_CF_peas,".")</f>
        <v>758291.875</v>
      </c>
      <c r="CU6" s="40">
        <f>IFERROR(s_C*(up_Bv!T6+s_MLF_peppers)*s_IFPP_far_adj*s_CF_peppers,".")</f>
        <v>758291.875</v>
      </c>
      <c r="CV6" s="40">
        <f>IFERROR(s_C*(up_Bv!U6+s_MLF_potato)*s_IFPT_far_adj*s_CF_potato,".")</f>
        <v>758291.875</v>
      </c>
      <c r="CW6" s="40">
        <f>IFERROR(s_C*(up_Bv!V6+s_MLF_pumpkin)*s_IFPU_far_adj*s_CF_pumpkin,".")</f>
        <v>758291.875</v>
      </c>
      <c r="CX6" s="40">
        <f>IFERROR(s_C*(up_Bv!W6+s_MLF_snap_bean)*s_IFSN_far_adj*s_CF_snap_bean,".")</f>
        <v>758291.875</v>
      </c>
      <c r="CY6" s="40">
        <f>IFERROR(s_C*(up_Bv!X6+s_MLF_strawberry)*s_IFST_far_adj*s_CF_strawberry,".")</f>
        <v>758291.875</v>
      </c>
      <c r="CZ6" s="40">
        <f>IFERROR(s_C*(up_Bv!Y6+s_MLF_tomato)*s_IFTO_far_adj*s_CF_tomato,".")</f>
        <v>758291.875</v>
      </c>
      <c r="DA6" s="40">
        <f>IFERROR(s_C*(up_Bv!Z6+s_MLF_rice)*s_IFRI_far_adj*s_CF_rice,".")</f>
        <v>758291.875</v>
      </c>
      <c r="DB6" s="40">
        <f>IFERROR(s_C*(up_Bv!AA6+s_MLF_cereal)*s_IFCG_far_adj*s_CF_cereal,".")</f>
        <v>758291.875</v>
      </c>
    </row>
    <row r="7" spans="1:106" ht="15" customHeight="1" x14ac:dyDescent="0.25">
      <c r="A7" s="44" t="s">
        <v>17</v>
      </c>
      <c r="B7" s="42" t="s">
        <v>1071</v>
      </c>
      <c r="C7" s="15">
        <f t="shared" si="0"/>
        <v>3.2968835384132272E-12</v>
      </c>
      <c r="D7" s="15">
        <f>IFERROR((up_dir!D7/(up_Bv!C7+s_MLF_apple)),".")</f>
        <v>1.3187534153652907E-11</v>
      </c>
      <c r="E7" s="15">
        <f>IFERROR((up_dir!E7/(up_Bv!D7+s_MLF_asparagus)),".")</f>
        <v>1.3187534153652907E-11</v>
      </c>
      <c r="F7" s="15">
        <f>IFERROR((up_dir!F7/(up_Bv!E7+s_MLF_beet)),".")</f>
        <v>1.3187534153652907E-11</v>
      </c>
      <c r="G7" s="15">
        <f>IFERROR((up_dir!G7/(up_Bv!F7+s_MLF_berries)),".")</f>
        <v>1.3187534153652907E-11</v>
      </c>
      <c r="H7" s="15">
        <f>IFERROR((up_dir!H7/(up_Bv!G7+s_MLF_broccoli)),".")</f>
        <v>1.3187534153652907E-11</v>
      </c>
      <c r="I7" s="15">
        <f>IFERROR((up_dir!I7/(up_Bv!H7+s_MLF_cabbage)),".")</f>
        <v>1.3187534153652907E-11</v>
      </c>
      <c r="J7" s="15">
        <f>IFERROR((up_dir!J7/(up_Bv!I7+s_MLF_carrot)),".")</f>
        <v>1.3187534153652907E-11</v>
      </c>
      <c r="K7" s="15">
        <f>IFERROR((up_dir!K7/(up_Bv!J7+s_MLF_citrus)),".")</f>
        <v>1.3187534153652907E-11</v>
      </c>
      <c r="L7" s="15">
        <f>IFERROR((up_dir!L7/(up_Bv!K7+s_MLF_corn)),".")</f>
        <v>1.3187534153652907E-11</v>
      </c>
      <c r="M7" s="15">
        <f>IFERROR((up_dir!M7/(up_Bv!L7+s_MLF_cucumber)),".")</f>
        <v>1.3187534153652907E-11</v>
      </c>
      <c r="N7" s="15">
        <f>IFERROR((up_dir!N7/(up_Bv!M7+s_MLF_lettuce)),".")</f>
        <v>1.3187534153652907E-11</v>
      </c>
      <c r="O7" s="15">
        <f>IFERROR((up_dir!O7/(up_Bv!N7+s_MLF_lima_bean)),".")</f>
        <v>1.3187534153652907E-11</v>
      </c>
      <c r="P7" s="15">
        <f>IFERROR((up_dir!P7/(up_Bv!O7+s_MLF_okra)),".")</f>
        <v>1.3187534153652907E-11</v>
      </c>
      <c r="Q7" s="15">
        <f>IFERROR((up_dir!Q7/(up_Bv!P7+s_MLF_onion)),".")</f>
        <v>1.3187534153652907E-11</v>
      </c>
      <c r="R7" s="15">
        <f>IFERROR((up_dir!R7/(up_Bv!Q7+s_MLF_peach)),".")</f>
        <v>1.3187534153652907E-11</v>
      </c>
      <c r="S7" s="15">
        <f>IFERROR((up_dir!S7/(up_Bv!R7+s_MLF_pear)),".")</f>
        <v>1.3187534153652907E-11</v>
      </c>
      <c r="T7" s="15">
        <f>IFERROR((up_dir!T7/(up_Bv!S7+s_MLF_peas)),".")</f>
        <v>1.3187534153652907E-11</v>
      </c>
      <c r="U7" s="15">
        <f>IFERROR((up_dir!U7/(up_Bv!T7+s_MLF_peppers)),".")</f>
        <v>1.3187534153652907E-11</v>
      </c>
      <c r="V7" s="15">
        <f>IFERROR((up_dir!V7/(up_Bv!U7+s_MLF_potato)),".")</f>
        <v>1.3187534153652907E-11</v>
      </c>
      <c r="W7" s="15">
        <f>IFERROR((up_dir!W7/(up_Bv!V7+s_MLF_pumpkin)),".")</f>
        <v>1.3187534153652907E-11</v>
      </c>
      <c r="X7" s="15">
        <f>IFERROR((up_dir!X7/(up_Bv!W7+s_MLF_snap_bean)),".")</f>
        <v>1.3187534153652907E-11</v>
      </c>
      <c r="Y7" s="15">
        <f>IFERROR((up_dir!Y7/(up_Bv!X7+s_MLF_strawberry)),".")</f>
        <v>1.3187534153652907E-11</v>
      </c>
      <c r="Z7" s="15">
        <f>IFERROR((up_dir!Z7/(up_Bv!Y7+s_MLF_tomato)),".")</f>
        <v>1.3187534153652907E-11</v>
      </c>
      <c r="AA7" s="15">
        <f>IFERROR((up_dir!AA7/(up_Bv!Z7+s_MLF_rice)),".")</f>
        <v>1.3187534153652907E-11</v>
      </c>
      <c r="AB7" s="15">
        <f>IFERROR((up_dir!AB7/(up_Bv!AA7+s_MLF_cereal)),".")</f>
        <v>1.3187534153652907E-11</v>
      </c>
      <c r="AC7" s="40">
        <f t="shared" si="1"/>
        <v>3033167.5</v>
      </c>
      <c r="AD7" s="40">
        <f>s_C*(up_Bv!C7+s_MLF_apple)*s_IFAP_res_adj*s_CF_apple</f>
        <v>758291.875</v>
      </c>
      <c r="AE7" s="40">
        <f>s_C*(up_Bv!D7+s_MLF_asparagus)*s_IFAS_res_adj*s_CF_asparagus</f>
        <v>758291.875</v>
      </c>
      <c r="AF7" s="40">
        <f>s_C*(up_Bv!E7+s_MLF_beet)*s_IFBT_res_adj*s_CF_beet</f>
        <v>758291.875</v>
      </c>
      <c r="AG7" s="40">
        <f>s_C*(up_Bv!F7+s_MLF_berries)*s_IFBE_res_adj*s_CF_berries</f>
        <v>758291.875</v>
      </c>
      <c r="AH7" s="40">
        <f>s_C*(up_Bv!G7+s_MLF_broccoli)*s_IFBR_res_adj*s_CF_broccoli</f>
        <v>758291.875</v>
      </c>
      <c r="AI7" s="40">
        <f>s_C*(up_Bv!H7+s_MLF_cabbage)*s_IFCB_res_adj*s_CF_cabbage</f>
        <v>758291.875</v>
      </c>
      <c r="AJ7" s="40">
        <f>s_C*(up_Bv!I7+s_MLF_carrot)*s_IFCR_res_adj*s_CF_carrot</f>
        <v>758291.875</v>
      </c>
      <c r="AK7" s="40">
        <f>s_C*(up_Bv!J7+s_MLF_citrus)*s_IFCI_res_adj*s_CF_citrus</f>
        <v>758291.875</v>
      </c>
      <c r="AL7" s="40">
        <f>s_C*(up_Bv!K7+s_MLF_corn)*s_IFCO_res_adj*s_CF_corn</f>
        <v>758291.875</v>
      </c>
      <c r="AM7" s="40">
        <f>s_C*(up_Bv!L7+s_MLF_cucumber)*s_IFCU_res_adj*s_CF_cucumber</f>
        <v>758291.875</v>
      </c>
      <c r="AN7" s="40">
        <f>s_C*(up_Bv!M7+s_MLF_lettuce)*s_IFLE_res_adj*s_CF_lettuce</f>
        <v>758291.875</v>
      </c>
      <c r="AO7" s="40">
        <f>s_C*(up_Bv!N7+s_MLF_lima_bean)*s_IFLI_res_adj*s_CF_lima_bean</f>
        <v>758291.875</v>
      </c>
      <c r="AP7" s="40">
        <f>s_C*(up_Bv!O7+s_MLF_okra)*s_IFOK_res_adj*s_CF_okra</f>
        <v>758291.875</v>
      </c>
      <c r="AQ7" s="40">
        <f>s_C*(up_Bv!P7+s_MLF_onion)*s_IFON_res_adj*s_CF_onion</f>
        <v>758291.875</v>
      </c>
      <c r="AR7" s="40">
        <f>s_C*(up_Bv!Q7+s_MLF_peach)*s_IFPC_res_adj*s_CF_peach</f>
        <v>758291.875</v>
      </c>
      <c r="AS7" s="40">
        <f>s_C*(up_Bv!R7+s_MLF_pear)*s_IFPR_res_adj*s_CF_pear</f>
        <v>758291.875</v>
      </c>
      <c r="AT7" s="40">
        <f>s_C*(up_Bv!S7+s_MLF_peas)*s_IFPE_res_adj*s_CF_peas</f>
        <v>758291.875</v>
      </c>
      <c r="AU7" s="40">
        <f>s_C*(up_Bv!T7+s_MLF_peppers)*s_IFPP_res_adj*s_CF_peppers</f>
        <v>758291.875</v>
      </c>
      <c r="AV7" s="40">
        <f>s_C*(up_Bv!U7+s_MLF_potato)*s_IFPT_res_adj*s_CF_potato</f>
        <v>758291.875</v>
      </c>
      <c r="AW7" s="40">
        <f>s_C*(up_Bv!V7+s_MLF_pumpkin)*s_IFPU_res_adj*s_CF_pumpkin</f>
        <v>758291.875</v>
      </c>
      <c r="AX7" s="40">
        <f>s_C*(up_Bv!W7+s_MLF_snap_bean)*s_IFSN_res_adj*s_CF_snap_bean</f>
        <v>758291.875</v>
      </c>
      <c r="AY7" s="40">
        <f>s_C*(up_Bv!X7+s_MLF_strawberry)*s_IFST_res_adj*s_CF_strawberry</f>
        <v>758291.875</v>
      </c>
      <c r="AZ7" s="40">
        <f>s_C*(up_Bv!Y7+s_MLF_tomato)*s_IFTO_res_adj*s_CF_tomato</f>
        <v>758291.875</v>
      </c>
      <c r="BA7" s="40">
        <f>s_C*(up_Bv!Z7+s_MLF_rice)*s_IFRI_res_adj*s_CF_rice</f>
        <v>758291.875</v>
      </c>
      <c r="BB7" s="40">
        <f>s_C*(up_Bv!AA7+s_MLF_cereal)*s_IFCG_res_adj*s_CF_cereal</f>
        <v>758291.875</v>
      </c>
      <c r="BC7" s="15">
        <f t="shared" si="2"/>
        <v>3.2968835384132272E-12</v>
      </c>
      <c r="BD7" s="15">
        <f>IFERROR((up_dir!AD7/(up_Bv!C7+s_MLF_apple)),".")</f>
        <v>1.3187534153652907E-11</v>
      </c>
      <c r="BE7" s="15">
        <f>IFERROR((up_dir!AE7/(up_Bv!D7+s_MLF_asparagus)),".")</f>
        <v>1.3187534153652907E-11</v>
      </c>
      <c r="BF7" s="15">
        <f>IFERROR((up_dir!AF7/(up_Bv!E7+s_MLF_beet)),".")</f>
        <v>1.3187534153652907E-11</v>
      </c>
      <c r="BG7" s="15">
        <f>IFERROR((up_dir!AG7/(up_Bv!F7+s_MLF_berries)),".")</f>
        <v>1.3187534153652907E-11</v>
      </c>
      <c r="BH7" s="15">
        <f>IFERROR((up_dir!AH7/(up_Bv!G7+s_MLF_broccoli)),".")</f>
        <v>1.3187534153652907E-11</v>
      </c>
      <c r="BI7" s="15">
        <f>IFERROR((up_dir!AI7/(up_Bv!H7+s_MLF_cabbage)),".")</f>
        <v>1.3187534153652907E-11</v>
      </c>
      <c r="BJ7" s="15">
        <f>IFERROR((up_dir!AJ7/(up_Bv!I7+s_MLF_carrot)),".")</f>
        <v>1.3187534153652907E-11</v>
      </c>
      <c r="BK7" s="15">
        <f>IFERROR((up_dir!AK7/(up_Bv!J7+s_MLF_citrus)),".")</f>
        <v>1.3187534153652907E-11</v>
      </c>
      <c r="BL7" s="15">
        <f>IFERROR((up_dir!AL7/(up_Bv!K7+s_MLF_corn)),".")</f>
        <v>1.3187534153652907E-11</v>
      </c>
      <c r="BM7" s="15">
        <f>IFERROR((up_dir!AM7/(up_Bv!L7+s_MLF_cucumber)),".")</f>
        <v>1.3187534153652907E-11</v>
      </c>
      <c r="BN7" s="15">
        <f>IFERROR((up_dir!AN7/(up_Bv!M7+s_MLF_lettuce)),".")</f>
        <v>1.3187534153652907E-11</v>
      </c>
      <c r="BO7" s="15">
        <f>IFERROR((up_dir!AO7/(up_Bv!N7+s_MLF_lima_bean)),".")</f>
        <v>1.3187534153652907E-11</v>
      </c>
      <c r="BP7" s="15">
        <f>IFERROR((up_dir!AP7/(up_Bv!O7+s_MLF_okra)),".")</f>
        <v>1.3187534153652907E-11</v>
      </c>
      <c r="BQ7" s="15">
        <f>IFERROR((up_dir!AQ7/(up_Bv!P7+s_MLF_onion)),".")</f>
        <v>1.3187534153652907E-11</v>
      </c>
      <c r="BR7" s="15">
        <f>IFERROR((up_dir!AR7/(up_Bv!Q7+s_MLF_peach)),".")</f>
        <v>1.3187534153652907E-11</v>
      </c>
      <c r="BS7" s="15">
        <f>IFERROR((up_dir!AS7/(up_Bv!R7+s_MLF_pear)),".")</f>
        <v>1.3187534153652907E-11</v>
      </c>
      <c r="BT7" s="15">
        <f>IFERROR((up_dir!AT7/(up_Bv!S7+s_MLF_peas)),".")</f>
        <v>1.3187534153652907E-11</v>
      </c>
      <c r="BU7" s="15">
        <f>IFERROR((up_dir!AU7/(up_Bv!T7+s_MLF_peppers)),".")</f>
        <v>1.3187534153652907E-11</v>
      </c>
      <c r="BV7" s="15">
        <f>IFERROR((up_dir!AV7/(up_Bv!U7+s_MLF_potato)),".")</f>
        <v>1.3187534153652907E-11</v>
      </c>
      <c r="BW7" s="15">
        <f>IFERROR((up_dir!AW7/(up_Bv!V7+s_MLF_pumpkin)),".")</f>
        <v>1.3187534153652907E-11</v>
      </c>
      <c r="BX7" s="15">
        <f>IFERROR((up_dir!AX7/(up_Bv!W7+s_MLF_snap_bean)),".")</f>
        <v>1.3187534153652907E-11</v>
      </c>
      <c r="BY7" s="15">
        <f>IFERROR((up_dir!AY7/(up_Bv!X7+s_MLF_strawberry)),".")</f>
        <v>1.3187534153652907E-11</v>
      </c>
      <c r="BZ7" s="15">
        <f>IFERROR((up_dir!AZ7/(up_Bv!Y7+s_MLF_tomato)),".")</f>
        <v>1.3187534153652907E-11</v>
      </c>
      <c r="CA7" s="15">
        <f>IFERROR((up_dir!BA7/(up_Bv!Z7+s_MLF_rice)),".")</f>
        <v>1.3187534153652907E-11</v>
      </c>
      <c r="CB7" s="15">
        <f>IFERROR((up_dir!BB7/(up_Bv!AA7+s_MLF_cereal)),".")</f>
        <v>1.3187534153652907E-11</v>
      </c>
      <c r="CC7" s="40">
        <f t="shared" si="3"/>
        <v>3033167.5</v>
      </c>
      <c r="CD7" s="40">
        <f>IFERROR(s_C*(up_Bv!C7+s_MLF_apple)*s_IFAP_far_adj*s_CF_apple,".")</f>
        <v>758291.875</v>
      </c>
      <c r="CE7" s="40">
        <f>IFERROR(s_C*(up_Bv!D7+s_MLF_asparagus)*s_IFAS_far_adj*s_CF_asparagus,".")</f>
        <v>758291.875</v>
      </c>
      <c r="CF7" s="40">
        <f>IFERROR(s_C*(up_Bv!E7+s_MLF_beet)*s_IFBT_far_adj*s_CF_beet,".")</f>
        <v>758291.875</v>
      </c>
      <c r="CG7" s="40">
        <f>IFERROR(s_C*(up_Bv!F7+s_MLF_berries)*s_IFBR_far_adj*s_CF_berries,".")</f>
        <v>758291.875</v>
      </c>
      <c r="CH7" s="40">
        <f>IFERROR(s_C*(up_Bv!G7+s_MLF_broccoli)*s_IFBR_far_adj*s_CF_broccoli,".")</f>
        <v>758291.875</v>
      </c>
      <c r="CI7" s="40">
        <f>IFERROR(s_C*(up_Bv!H7+s_MLF_cabbage)*s_IFCB_far_adj*s_CF_cabbage,".")</f>
        <v>758291.875</v>
      </c>
      <c r="CJ7" s="40">
        <f>IFERROR(s_C*(up_Bv!I7+s_MLF_carrot)*s_IFCR_far_adj*s_CF_carrot,".")</f>
        <v>758291.875</v>
      </c>
      <c r="CK7" s="40">
        <f>IFERROR(s_C*(up_Bv!J7+s_MLF_citrus)*s_IFCI_far_adj*s_CF_citrus,".")</f>
        <v>758291.875</v>
      </c>
      <c r="CL7" s="40">
        <f>IFERROR(s_C*(up_Bv!K7+s_MLF_corn)*s_IFCO_far_adj*s_CF_corn,".")</f>
        <v>758291.875</v>
      </c>
      <c r="CM7" s="40">
        <f>IFERROR(s_C*(up_Bv!L7+s_MLF_cucumber)*s_IFCU_far_adj*s_CF_cucumber,".")</f>
        <v>758291.875</v>
      </c>
      <c r="CN7" s="40">
        <f>IFERROR(s_C*(up_Bv!M7+s_MLF_lettuce)*s_IFLE_far_adj*s_CF_lettuce,".")</f>
        <v>758291.875</v>
      </c>
      <c r="CO7" s="40">
        <f>IFERROR(s_C*(up_Bv!N7+s_MLF_lima_bean)*s_IFLI_far_adj*s_CF_lima_bean,".")</f>
        <v>758291.875</v>
      </c>
      <c r="CP7" s="40">
        <f>IFERROR(s_C*(up_Bv!O7+s_MLF_okra)*s_IFOK_far_adj*s_CF_okra,".")</f>
        <v>758291.875</v>
      </c>
      <c r="CQ7" s="40">
        <f>IFERROR(s_C*(up_Bv!P7+s_MLF_onion)*s_IFON_far_adj*s_CF_onion,".")</f>
        <v>758291.875</v>
      </c>
      <c r="CR7" s="40">
        <f>IFERROR(s_C*(up_Bv!Q7+s_MLF_peach)*s_IFPC_far_adj*s_CF_peach,".")</f>
        <v>758291.875</v>
      </c>
      <c r="CS7" s="40">
        <f>IFERROR(s_C*(up_Bv!R7+s_MLF_pear)*s_IFPR_far_adj*s_CF_pear,".")</f>
        <v>758291.875</v>
      </c>
      <c r="CT7" s="40">
        <f>IFERROR(s_C*(up_Bv!S7+s_MLF_peas)*s_IFPE_far_adj*s_CF_peas,".")</f>
        <v>758291.875</v>
      </c>
      <c r="CU7" s="40">
        <f>IFERROR(s_C*(up_Bv!T7+s_MLF_peppers)*s_IFPP_far_adj*s_CF_peppers,".")</f>
        <v>758291.875</v>
      </c>
      <c r="CV7" s="40">
        <f>IFERROR(s_C*(up_Bv!U7+s_MLF_potato)*s_IFPT_far_adj*s_CF_potato,".")</f>
        <v>758291.875</v>
      </c>
      <c r="CW7" s="40">
        <f>IFERROR(s_C*(up_Bv!V7+s_MLF_pumpkin)*s_IFPU_far_adj*s_CF_pumpkin,".")</f>
        <v>758291.875</v>
      </c>
      <c r="CX7" s="40">
        <f>IFERROR(s_C*(up_Bv!W7+s_MLF_snap_bean)*s_IFSN_far_adj*s_CF_snap_bean,".")</f>
        <v>758291.875</v>
      </c>
      <c r="CY7" s="40">
        <f>IFERROR(s_C*(up_Bv!X7+s_MLF_strawberry)*s_IFST_far_adj*s_CF_strawberry,".")</f>
        <v>758291.875</v>
      </c>
      <c r="CZ7" s="40">
        <f>IFERROR(s_C*(up_Bv!Y7+s_MLF_tomato)*s_IFTO_far_adj*s_CF_tomato,".")</f>
        <v>758291.875</v>
      </c>
      <c r="DA7" s="40">
        <f>IFERROR(s_C*(up_Bv!Z7+s_MLF_rice)*s_IFRI_far_adj*s_CF_rice,".")</f>
        <v>758291.875</v>
      </c>
      <c r="DB7" s="40">
        <f>IFERROR(s_C*(up_Bv!AA7+s_MLF_cereal)*s_IFCG_far_adj*s_CF_cereal,".")</f>
        <v>758291.875</v>
      </c>
    </row>
    <row r="8" spans="1:106" ht="15" customHeight="1" x14ac:dyDescent="0.25">
      <c r="A8" s="44" t="s">
        <v>18</v>
      </c>
      <c r="B8" s="42" t="s">
        <v>1071</v>
      </c>
      <c r="C8" s="15">
        <f t="shared" si="0"/>
        <v>3.2968835384132272E-12</v>
      </c>
      <c r="D8" s="15">
        <f>IFERROR((up_dir!D8/(up_Bv!C8+s_MLF_apple)),".")</f>
        <v>1.3187534153652907E-11</v>
      </c>
      <c r="E8" s="15">
        <f>IFERROR((up_dir!E8/(up_Bv!D8+s_MLF_asparagus)),".")</f>
        <v>1.3187534153652907E-11</v>
      </c>
      <c r="F8" s="15">
        <f>IFERROR((up_dir!F8/(up_Bv!E8+s_MLF_beet)),".")</f>
        <v>1.3187534153652907E-11</v>
      </c>
      <c r="G8" s="15">
        <f>IFERROR((up_dir!G8/(up_Bv!F8+s_MLF_berries)),".")</f>
        <v>1.3187534153652907E-11</v>
      </c>
      <c r="H8" s="15">
        <f>IFERROR((up_dir!H8/(up_Bv!G8+s_MLF_broccoli)),".")</f>
        <v>1.3187534153652907E-11</v>
      </c>
      <c r="I8" s="15">
        <f>IFERROR((up_dir!I8/(up_Bv!H8+s_MLF_cabbage)),".")</f>
        <v>1.3187534153652907E-11</v>
      </c>
      <c r="J8" s="15">
        <f>IFERROR((up_dir!J8/(up_Bv!I8+s_MLF_carrot)),".")</f>
        <v>1.3187534153652907E-11</v>
      </c>
      <c r="K8" s="15">
        <f>IFERROR((up_dir!K8/(up_Bv!J8+s_MLF_citrus)),".")</f>
        <v>1.3187534153652907E-11</v>
      </c>
      <c r="L8" s="15">
        <f>IFERROR((up_dir!L8/(up_Bv!K8+s_MLF_corn)),".")</f>
        <v>1.3187534153652907E-11</v>
      </c>
      <c r="M8" s="15">
        <f>IFERROR((up_dir!M8/(up_Bv!L8+s_MLF_cucumber)),".")</f>
        <v>1.3187534153652907E-11</v>
      </c>
      <c r="N8" s="15">
        <f>IFERROR((up_dir!N8/(up_Bv!M8+s_MLF_lettuce)),".")</f>
        <v>1.3187534153652907E-11</v>
      </c>
      <c r="O8" s="15">
        <f>IFERROR((up_dir!O8/(up_Bv!N8+s_MLF_lima_bean)),".")</f>
        <v>1.3187534153652907E-11</v>
      </c>
      <c r="P8" s="15">
        <f>IFERROR((up_dir!P8/(up_Bv!O8+s_MLF_okra)),".")</f>
        <v>1.3187534153652907E-11</v>
      </c>
      <c r="Q8" s="15">
        <f>IFERROR((up_dir!Q8/(up_Bv!P8+s_MLF_onion)),".")</f>
        <v>1.3187534153652907E-11</v>
      </c>
      <c r="R8" s="15">
        <f>IFERROR((up_dir!R8/(up_Bv!Q8+s_MLF_peach)),".")</f>
        <v>1.3187534153652907E-11</v>
      </c>
      <c r="S8" s="15">
        <f>IFERROR((up_dir!S8/(up_Bv!R8+s_MLF_pear)),".")</f>
        <v>1.3187534153652907E-11</v>
      </c>
      <c r="T8" s="15">
        <f>IFERROR((up_dir!T8/(up_Bv!S8+s_MLF_peas)),".")</f>
        <v>1.3187534153652907E-11</v>
      </c>
      <c r="U8" s="15">
        <f>IFERROR((up_dir!U8/(up_Bv!T8+s_MLF_peppers)),".")</f>
        <v>1.3187534153652907E-11</v>
      </c>
      <c r="V8" s="15">
        <f>IFERROR((up_dir!V8/(up_Bv!U8+s_MLF_potato)),".")</f>
        <v>1.3187534153652907E-11</v>
      </c>
      <c r="W8" s="15">
        <f>IFERROR((up_dir!W8/(up_Bv!V8+s_MLF_pumpkin)),".")</f>
        <v>1.3187534153652907E-11</v>
      </c>
      <c r="X8" s="15">
        <f>IFERROR((up_dir!X8/(up_Bv!W8+s_MLF_snap_bean)),".")</f>
        <v>1.3187534153652907E-11</v>
      </c>
      <c r="Y8" s="15">
        <f>IFERROR((up_dir!Y8/(up_Bv!X8+s_MLF_strawberry)),".")</f>
        <v>1.3187534153652907E-11</v>
      </c>
      <c r="Z8" s="15">
        <f>IFERROR((up_dir!Z8/(up_Bv!Y8+s_MLF_tomato)),".")</f>
        <v>1.3187534153652907E-11</v>
      </c>
      <c r="AA8" s="15">
        <f>IFERROR((up_dir!AA8/(up_Bv!Z8+s_MLF_rice)),".")</f>
        <v>1.3187534153652907E-11</v>
      </c>
      <c r="AB8" s="15">
        <f>IFERROR((up_dir!AB8/(up_Bv!AA8+s_MLF_cereal)),".")</f>
        <v>1.3187534153652907E-11</v>
      </c>
      <c r="AC8" s="40">
        <f t="shared" si="1"/>
        <v>3033167.5</v>
      </c>
      <c r="AD8" s="40">
        <f>s_C*(up_Bv!C8+s_MLF_apple)*s_IFAP_res_adj*s_CF_apple</f>
        <v>758291.875</v>
      </c>
      <c r="AE8" s="40">
        <f>s_C*(up_Bv!D8+s_MLF_asparagus)*s_IFAS_res_adj*s_CF_asparagus</f>
        <v>758291.875</v>
      </c>
      <c r="AF8" s="40">
        <f>s_C*(up_Bv!E8+s_MLF_beet)*s_IFBT_res_adj*s_CF_beet</f>
        <v>758291.875</v>
      </c>
      <c r="AG8" s="40">
        <f>s_C*(up_Bv!F8+s_MLF_berries)*s_IFBE_res_adj*s_CF_berries</f>
        <v>758291.875</v>
      </c>
      <c r="AH8" s="40">
        <f>s_C*(up_Bv!G8+s_MLF_broccoli)*s_IFBR_res_adj*s_CF_broccoli</f>
        <v>758291.875</v>
      </c>
      <c r="AI8" s="40">
        <f>s_C*(up_Bv!H8+s_MLF_cabbage)*s_IFCB_res_adj*s_CF_cabbage</f>
        <v>758291.875</v>
      </c>
      <c r="AJ8" s="40">
        <f>s_C*(up_Bv!I8+s_MLF_carrot)*s_IFCR_res_adj*s_CF_carrot</f>
        <v>758291.875</v>
      </c>
      <c r="AK8" s="40">
        <f>s_C*(up_Bv!J8+s_MLF_citrus)*s_IFCI_res_adj*s_CF_citrus</f>
        <v>758291.875</v>
      </c>
      <c r="AL8" s="40">
        <f>s_C*(up_Bv!K8+s_MLF_corn)*s_IFCO_res_adj*s_CF_corn</f>
        <v>758291.875</v>
      </c>
      <c r="AM8" s="40">
        <f>s_C*(up_Bv!L8+s_MLF_cucumber)*s_IFCU_res_adj*s_CF_cucumber</f>
        <v>758291.875</v>
      </c>
      <c r="AN8" s="40">
        <f>s_C*(up_Bv!M8+s_MLF_lettuce)*s_IFLE_res_adj*s_CF_lettuce</f>
        <v>758291.875</v>
      </c>
      <c r="AO8" s="40">
        <f>s_C*(up_Bv!N8+s_MLF_lima_bean)*s_IFLI_res_adj*s_CF_lima_bean</f>
        <v>758291.875</v>
      </c>
      <c r="AP8" s="40">
        <f>s_C*(up_Bv!O8+s_MLF_okra)*s_IFOK_res_adj*s_CF_okra</f>
        <v>758291.875</v>
      </c>
      <c r="AQ8" s="40">
        <f>s_C*(up_Bv!P8+s_MLF_onion)*s_IFON_res_adj*s_CF_onion</f>
        <v>758291.875</v>
      </c>
      <c r="AR8" s="40">
        <f>s_C*(up_Bv!Q8+s_MLF_peach)*s_IFPC_res_adj*s_CF_peach</f>
        <v>758291.875</v>
      </c>
      <c r="AS8" s="40">
        <f>s_C*(up_Bv!R8+s_MLF_pear)*s_IFPR_res_adj*s_CF_pear</f>
        <v>758291.875</v>
      </c>
      <c r="AT8" s="40">
        <f>s_C*(up_Bv!S8+s_MLF_peas)*s_IFPE_res_adj*s_CF_peas</f>
        <v>758291.875</v>
      </c>
      <c r="AU8" s="40">
        <f>s_C*(up_Bv!T8+s_MLF_peppers)*s_IFPP_res_adj*s_CF_peppers</f>
        <v>758291.875</v>
      </c>
      <c r="AV8" s="40">
        <f>s_C*(up_Bv!U8+s_MLF_potato)*s_IFPT_res_adj*s_CF_potato</f>
        <v>758291.875</v>
      </c>
      <c r="AW8" s="40">
        <f>s_C*(up_Bv!V8+s_MLF_pumpkin)*s_IFPU_res_adj*s_CF_pumpkin</f>
        <v>758291.875</v>
      </c>
      <c r="AX8" s="40">
        <f>s_C*(up_Bv!W8+s_MLF_snap_bean)*s_IFSN_res_adj*s_CF_snap_bean</f>
        <v>758291.875</v>
      </c>
      <c r="AY8" s="40">
        <f>s_C*(up_Bv!X8+s_MLF_strawberry)*s_IFST_res_adj*s_CF_strawberry</f>
        <v>758291.875</v>
      </c>
      <c r="AZ8" s="40">
        <f>s_C*(up_Bv!Y8+s_MLF_tomato)*s_IFTO_res_adj*s_CF_tomato</f>
        <v>758291.875</v>
      </c>
      <c r="BA8" s="40">
        <f>s_C*(up_Bv!Z8+s_MLF_rice)*s_IFRI_res_adj*s_CF_rice</f>
        <v>758291.875</v>
      </c>
      <c r="BB8" s="40">
        <f>s_C*(up_Bv!AA8+s_MLF_cereal)*s_IFCG_res_adj*s_CF_cereal</f>
        <v>758291.875</v>
      </c>
      <c r="BC8" s="15">
        <f t="shared" si="2"/>
        <v>3.2968835384132272E-12</v>
      </c>
      <c r="BD8" s="15">
        <f>IFERROR((up_dir!AD8/(up_Bv!C8+s_MLF_apple)),".")</f>
        <v>1.3187534153652907E-11</v>
      </c>
      <c r="BE8" s="15">
        <f>IFERROR((up_dir!AE8/(up_Bv!D8+s_MLF_asparagus)),".")</f>
        <v>1.3187534153652907E-11</v>
      </c>
      <c r="BF8" s="15">
        <f>IFERROR((up_dir!AF8/(up_Bv!E8+s_MLF_beet)),".")</f>
        <v>1.3187534153652907E-11</v>
      </c>
      <c r="BG8" s="15">
        <f>IFERROR((up_dir!AG8/(up_Bv!F8+s_MLF_berries)),".")</f>
        <v>1.3187534153652907E-11</v>
      </c>
      <c r="BH8" s="15">
        <f>IFERROR((up_dir!AH8/(up_Bv!G8+s_MLF_broccoli)),".")</f>
        <v>1.3187534153652907E-11</v>
      </c>
      <c r="BI8" s="15">
        <f>IFERROR((up_dir!AI8/(up_Bv!H8+s_MLF_cabbage)),".")</f>
        <v>1.3187534153652907E-11</v>
      </c>
      <c r="BJ8" s="15">
        <f>IFERROR((up_dir!AJ8/(up_Bv!I8+s_MLF_carrot)),".")</f>
        <v>1.3187534153652907E-11</v>
      </c>
      <c r="BK8" s="15">
        <f>IFERROR((up_dir!AK8/(up_Bv!J8+s_MLF_citrus)),".")</f>
        <v>1.3187534153652907E-11</v>
      </c>
      <c r="BL8" s="15">
        <f>IFERROR((up_dir!AL8/(up_Bv!K8+s_MLF_corn)),".")</f>
        <v>1.3187534153652907E-11</v>
      </c>
      <c r="BM8" s="15">
        <f>IFERROR((up_dir!AM8/(up_Bv!L8+s_MLF_cucumber)),".")</f>
        <v>1.3187534153652907E-11</v>
      </c>
      <c r="BN8" s="15">
        <f>IFERROR((up_dir!AN8/(up_Bv!M8+s_MLF_lettuce)),".")</f>
        <v>1.3187534153652907E-11</v>
      </c>
      <c r="BO8" s="15">
        <f>IFERROR((up_dir!AO8/(up_Bv!N8+s_MLF_lima_bean)),".")</f>
        <v>1.3187534153652907E-11</v>
      </c>
      <c r="BP8" s="15">
        <f>IFERROR((up_dir!AP8/(up_Bv!O8+s_MLF_okra)),".")</f>
        <v>1.3187534153652907E-11</v>
      </c>
      <c r="BQ8" s="15">
        <f>IFERROR((up_dir!AQ8/(up_Bv!P8+s_MLF_onion)),".")</f>
        <v>1.3187534153652907E-11</v>
      </c>
      <c r="BR8" s="15">
        <f>IFERROR((up_dir!AR8/(up_Bv!Q8+s_MLF_peach)),".")</f>
        <v>1.3187534153652907E-11</v>
      </c>
      <c r="BS8" s="15">
        <f>IFERROR((up_dir!AS8/(up_Bv!R8+s_MLF_pear)),".")</f>
        <v>1.3187534153652907E-11</v>
      </c>
      <c r="BT8" s="15">
        <f>IFERROR((up_dir!AT8/(up_Bv!S8+s_MLF_peas)),".")</f>
        <v>1.3187534153652907E-11</v>
      </c>
      <c r="BU8" s="15">
        <f>IFERROR((up_dir!AU8/(up_Bv!T8+s_MLF_peppers)),".")</f>
        <v>1.3187534153652907E-11</v>
      </c>
      <c r="BV8" s="15">
        <f>IFERROR((up_dir!AV8/(up_Bv!U8+s_MLF_potato)),".")</f>
        <v>1.3187534153652907E-11</v>
      </c>
      <c r="BW8" s="15">
        <f>IFERROR((up_dir!AW8/(up_Bv!V8+s_MLF_pumpkin)),".")</f>
        <v>1.3187534153652907E-11</v>
      </c>
      <c r="BX8" s="15">
        <f>IFERROR((up_dir!AX8/(up_Bv!W8+s_MLF_snap_bean)),".")</f>
        <v>1.3187534153652907E-11</v>
      </c>
      <c r="BY8" s="15">
        <f>IFERROR((up_dir!AY8/(up_Bv!X8+s_MLF_strawberry)),".")</f>
        <v>1.3187534153652907E-11</v>
      </c>
      <c r="BZ8" s="15">
        <f>IFERROR((up_dir!AZ8/(up_Bv!Y8+s_MLF_tomato)),".")</f>
        <v>1.3187534153652907E-11</v>
      </c>
      <c r="CA8" s="15">
        <f>IFERROR((up_dir!BA8/(up_Bv!Z8+s_MLF_rice)),".")</f>
        <v>1.3187534153652907E-11</v>
      </c>
      <c r="CB8" s="15">
        <f>IFERROR((up_dir!BB8/(up_Bv!AA8+s_MLF_cereal)),".")</f>
        <v>1.3187534153652907E-11</v>
      </c>
      <c r="CC8" s="40">
        <f t="shared" si="3"/>
        <v>3033167.5</v>
      </c>
      <c r="CD8" s="40">
        <f>IFERROR(s_C*(up_Bv!C8+s_MLF_apple)*s_IFAP_far_adj*s_CF_apple,".")</f>
        <v>758291.875</v>
      </c>
      <c r="CE8" s="40">
        <f>IFERROR(s_C*(up_Bv!D8+s_MLF_asparagus)*s_IFAS_far_adj*s_CF_asparagus,".")</f>
        <v>758291.875</v>
      </c>
      <c r="CF8" s="40">
        <f>IFERROR(s_C*(up_Bv!E8+s_MLF_beet)*s_IFBT_far_adj*s_CF_beet,".")</f>
        <v>758291.875</v>
      </c>
      <c r="CG8" s="40">
        <f>IFERROR(s_C*(up_Bv!F8+s_MLF_berries)*s_IFBR_far_adj*s_CF_berries,".")</f>
        <v>758291.875</v>
      </c>
      <c r="CH8" s="40">
        <f>IFERROR(s_C*(up_Bv!G8+s_MLF_broccoli)*s_IFBR_far_adj*s_CF_broccoli,".")</f>
        <v>758291.875</v>
      </c>
      <c r="CI8" s="40">
        <f>IFERROR(s_C*(up_Bv!H8+s_MLF_cabbage)*s_IFCB_far_adj*s_CF_cabbage,".")</f>
        <v>758291.875</v>
      </c>
      <c r="CJ8" s="40">
        <f>IFERROR(s_C*(up_Bv!I8+s_MLF_carrot)*s_IFCR_far_adj*s_CF_carrot,".")</f>
        <v>758291.875</v>
      </c>
      <c r="CK8" s="40">
        <f>IFERROR(s_C*(up_Bv!J8+s_MLF_citrus)*s_IFCI_far_adj*s_CF_citrus,".")</f>
        <v>758291.875</v>
      </c>
      <c r="CL8" s="40">
        <f>IFERROR(s_C*(up_Bv!K8+s_MLF_corn)*s_IFCO_far_adj*s_CF_corn,".")</f>
        <v>758291.875</v>
      </c>
      <c r="CM8" s="40">
        <f>IFERROR(s_C*(up_Bv!L8+s_MLF_cucumber)*s_IFCU_far_adj*s_CF_cucumber,".")</f>
        <v>758291.875</v>
      </c>
      <c r="CN8" s="40">
        <f>IFERROR(s_C*(up_Bv!M8+s_MLF_lettuce)*s_IFLE_far_adj*s_CF_lettuce,".")</f>
        <v>758291.875</v>
      </c>
      <c r="CO8" s="40">
        <f>IFERROR(s_C*(up_Bv!N8+s_MLF_lima_bean)*s_IFLI_far_adj*s_CF_lima_bean,".")</f>
        <v>758291.875</v>
      </c>
      <c r="CP8" s="40">
        <f>IFERROR(s_C*(up_Bv!O8+s_MLF_okra)*s_IFOK_far_adj*s_CF_okra,".")</f>
        <v>758291.875</v>
      </c>
      <c r="CQ8" s="40">
        <f>IFERROR(s_C*(up_Bv!P8+s_MLF_onion)*s_IFON_far_adj*s_CF_onion,".")</f>
        <v>758291.875</v>
      </c>
      <c r="CR8" s="40">
        <f>IFERROR(s_C*(up_Bv!Q8+s_MLF_peach)*s_IFPC_far_adj*s_CF_peach,".")</f>
        <v>758291.875</v>
      </c>
      <c r="CS8" s="40">
        <f>IFERROR(s_C*(up_Bv!R8+s_MLF_pear)*s_IFPR_far_adj*s_CF_pear,".")</f>
        <v>758291.875</v>
      </c>
      <c r="CT8" s="40">
        <f>IFERROR(s_C*(up_Bv!S8+s_MLF_peas)*s_IFPE_far_adj*s_CF_peas,".")</f>
        <v>758291.875</v>
      </c>
      <c r="CU8" s="40">
        <f>IFERROR(s_C*(up_Bv!T8+s_MLF_peppers)*s_IFPP_far_adj*s_CF_peppers,".")</f>
        <v>758291.875</v>
      </c>
      <c r="CV8" s="40">
        <f>IFERROR(s_C*(up_Bv!U8+s_MLF_potato)*s_IFPT_far_adj*s_CF_potato,".")</f>
        <v>758291.875</v>
      </c>
      <c r="CW8" s="40">
        <f>IFERROR(s_C*(up_Bv!V8+s_MLF_pumpkin)*s_IFPU_far_adj*s_CF_pumpkin,".")</f>
        <v>758291.875</v>
      </c>
      <c r="CX8" s="40">
        <f>IFERROR(s_C*(up_Bv!W8+s_MLF_snap_bean)*s_IFSN_far_adj*s_CF_snap_bean,".")</f>
        <v>758291.875</v>
      </c>
      <c r="CY8" s="40">
        <f>IFERROR(s_C*(up_Bv!X8+s_MLF_strawberry)*s_IFST_far_adj*s_CF_strawberry,".")</f>
        <v>758291.875</v>
      </c>
      <c r="CZ8" s="40">
        <f>IFERROR(s_C*(up_Bv!Y8+s_MLF_tomato)*s_IFTO_far_adj*s_CF_tomato,".")</f>
        <v>758291.875</v>
      </c>
      <c r="DA8" s="40">
        <f>IFERROR(s_C*(up_Bv!Z8+s_MLF_rice)*s_IFRI_far_adj*s_CF_rice,".")</f>
        <v>758291.875</v>
      </c>
      <c r="DB8" s="40">
        <f>IFERROR(s_C*(up_Bv!AA8+s_MLF_cereal)*s_IFCG_far_adj*s_CF_cereal,".")</f>
        <v>758291.875</v>
      </c>
    </row>
    <row r="9" spans="1:106" ht="15" customHeight="1" x14ac:dyDescent="0.25">
      <c r="A9" s="44" t="s">
        <v>19</v>
      </c>
      <c r="B9" s="42" t="s">
        <v>1071</v>
      </c>
      <c r="C9" s="15">
        <f t="shared" si="0"/>
        <v>3.2968835384132272E-12</v>
      </c>
      <c r="D9" s="15">
        <f>IFERROR((up_dir!D9/(up_Bv!C9+s_MLF_apple)),".")</f>
        <v>1.3187534153652907E-11</v>
      </c>
      <c r="E9" s="15">
        <f>IFERROR((up_dir!E9/(up_Bv!D9+s_MLF_asparagus)),".")</f>
        <v>1.3187534153652907E-11</v>
      </c>
      <c r="F9" s="15">
        <f>IFERROR((up_dir!F9/(up_Bv!E9+s_MLF_beet)),".")</f>
        <v>1.3187534153652907E-11</v>
      </c>
      <c r="G9" s="15">
        <f>IFERROR((up_dir!G9/(up_Bv!F9+s_MLF_berries)),".")</f>
        <v>1.3187534153652907E-11</v>
      </c>
      <c r="H9" s="15">
        <f>IFERROR((up_dir!H9/(up_Bv!G9+s_MLF_broccoli)),".")</f>
        <v>1.3187534153652907E-11</v>
      </c>
      <c r="I9" s="15">
        <f>IFERROR((up_dir!I9/(up_Bv!H9+s_MLF_cabbage)),".")</f>
        <v>1.3187534153652907E-11</v>
      </c>
      <c r="J9" s="15">
        <f>IFERROR((up_dir!J9/(up_Bv!I9+s_MLF_carrot)),".")</f>
        <v>1.3187534153652907E-11</v>
      </c>
      <c r="K9" s="15">
        <f>IFERROR((up_dir!K9/(up_Bv!J9+s_MLF_citrus)),".")</f>
        <v>1.3187534153652907E-11</v>
      </c>
      <c r="L9" s="15">
        <f>IFERROR((up_dir!L9/(up_Bv!K9+s_MLF_corn)),".")</f>
        <v>1.3187534153652907E-11</v>
      </c>
      <c r="M9" s="15">
        <f>IFERROR((up_dir!M9/(up_Bv!L9+s_MLF_cucumber)),".")</f>
        <v>1.3187534153652907E-11</v>
      </c>
      <c r="N9" s="15">
        <f>IFERROR((up_dir!N9/(up_Bv!M9+s_MLF_lettuce)),".")</f>
        <v>1.3187534153652907E-11</v>
      </c>
      <c r="O9" s="15">
        <f>IFERROR((up_dir!O9/(up_Bv!N9+s_MLF_lima_bean)),".")</f>
        <v>1.3187534153652907E-11</v>
      </c>
      <c r="P9" s="15">
        <f>IFERROR((up_dir!P9/(up_Bv!O9+s_MLF_okra)),".")</f>
        <v>1.3187534153652907E-11</v>
      </c>
      <c r="Q9" s="15">
        <f>IFERROR((up_dir!Q9/(up_Bv!P9+s_MLF_onion)),".")</f>
        <v>1.3187534153652907E-11</v>
      </c>
      <c r="R9" s="15">
        <f>IFERROR((up_dir!R9/(up_Bv!Q9+s_MLF_peach)),".")</f>
        <v>1.3187534153652907E-11</v>
      </c>
      <c r="S9" s="15">
        <f>IFERROR((up_dir!S9/(up_Bv!R9+s_MLF_pear)),".")</f>
        <v>1.3187534153652907E-11</v>
      </c>
      <c r="T9" s="15">
        <f>IFERROR((up_dir!T9/(up_Bv!S9+s_MLF_peas)),".")</f>
        <v>1.3187534153652907E-11</v>
      </c>
      <c r="U9" s="15">
        <f>IFERROR((up_dir!U9/(up_Bv!T9+s_MLF_peppers)),".")</f>
        <v>1.3187534153652907E-11</v>
      </c>
      <c r="V9" s="15">
        <f>IFERROR((up_dir!V9/(up_Bv!U9+s_MLF_potato)),".")</f>
        <v>1.3187534153652907E-11</v>
      </c>
      <c r="W9" s="15">
        <f>IFERROR((up_dir!W9/(up_Bv!V9+s_MLF_pumpkin)),".")</f>
        <v>1.3187534153652907E-11</v>
      </c>
      <c r="X9" s="15">
        <f>IFERROR((up_dir!X9/(up_Bv!W9+s_MLF_snap_bean)),".")</f>
        <v>1.3187534153652907E-11</v>
      </c>
      <c r="Y9" s="15">
        <f>IFERROR((up_dir!Y9/(up_Bv!X9+s_MLF_strawberry)),".")</f>
        <v>1.3187534153652907E-11</v>
      </c>
      <c r="Z9" s="15">
        <f>IFERROR((up_dir!Z9/(up_Bv!Y9+s_MLF_tomato)),".")</f>
        <v>1.3187534153652907E-11</v>
      </c>
      <c r="AA9" s="15">
        <f>IFERROR((up_dir!AA9/(up_Bv!Z9+s_MLF_rice)),".")</f>
        <v>1.3187534153652907E-11</v>
      </c>
      <c r="AB9" s="15">
        <f>IFERROR((up_dir!AB9/(up_Bv!AA9+s_MLF_cereal)),".")</f>
        <v>1.3187534153652907E-11</v>
      </c>
      <c r="AC9" s="40">
        <f t="shared" si="1"/>
        <v>3033167.5</v>
      </c>
      <c r="AD9" s="40">
        <f>s_C*(up_Bv!C9+s_MLF_apple)*s_IFAP_res_adj*s_CF_apple</f>
        <v>758291.875</v>
      </c>
      <c r="AE9" s="40">
        <f>s_C*(up_Bv!D9+s_MLF_asparagus)*s_IFAS_res_adj*s_CF_asparagus</f>
        <v>758291.875</v>
      </c>
      <c r="AF9" s="40">
        <f>s_C*(up_Bv!E9+s_MLF_beet)*s_IFBT_res_adj*s_CF_beet</f>
        <v>758291.875</v>
      </c>
      <c r="AG9" s="40">
        <f>s_C*(up_Bv!F9+s_MLF_berries)*s_IFBE_res_adj*s_CF_berries</f>
        <v>758291.875</v>
      </c>
      <c r="AH9" s="40">
        <f>s_C*(up_Bv!G9+s_MLF_broccoli)*s_IFBR_res_adj*s_CF_broccoli</f>
        <v>758291.875</v>
      </c>
      <c r="AI9" s="40">
        <f>s_C*(up_Bv!H9+s_MLF_cabbage)*s_IFCB_res_adj*s_CF_cabbage</f>
        <v>758291.875</v>
      </c>
      <c r="AJ9" s="40">
        <f>s_C*(up_Bv!I9+s_MLF_carrot)*s_IFCR_res_adj*s_CF_carrot</f>
        <v>758291.875</v>
      </c>
      <c r="AK9" s="40">
        <f>s_C*(up_Bv!J9+s_MLF_citrus)*s_IFCI_res_adj*s_CF_citrus</f>
        <v>758291.875</v>
      </c>
      <c r="AL9" s="40">
        <f>s_C*(up_Bv!K9+s_MLF_corn)*s_IFCO_res_adj*s_CF_corn</f>
        <v>758291.875</v>
      </c>
      <c r="AM9" s="40">
        <f>s_C*(up_Bv!L9+s_MLF_cucumber)*s_IFCU_res_adj*s_CF_cucumber</f>
        <v>758291.875</v>
      </c>
      <c r="AN9" s="40">
        <f>s_C*(up_Bv!M9+s_MLF_lettuce)*s_IFLE_res_adj*s_CF_lettuce</f>
        <v>758291.875</v>
      </c>
      <c r="AO9" s="40">
        <f>s_C*(up_Bv!N9+s_MLF_lima_bean)*s_IFLI_res_adj*s_CF_lima_bean</f>
        <v>758291.875</v>
      </c>
      <c r="AP9" s="40">
        <f>s_C*(up_Bv!O9+s_MLF_okra)*s_IFOK_res_adj*s_CF_okra</f>
        <v>758291.875</v>
      </c>
      <c r="AQ9" s="40">
        <f>s_C*(up_Bv!P9+s_MLF_onion)*s_IFON_res_adj*s_CF_onion</f>
        <v>758291.875</v>
      </c>
      <c r="AR9" s="40">
        <f>s_C*(up_Bv!Q9+s_MLF_peach)*s_IFPC_res_adj*s_CF_peach</f>
        <v>758291.875</v>
      </c>
      <c r="AS9" s="40">
        <f>s_C*(up_Bv!R9+s_MLF_pear)*s_IFPR_res_adj*s_CF_pear</f>
        <v>758291.875</v>
      </c>
      <c r="AT9" s="40">
        <f>s_C*(up_Bv!S9+s_MLF_peas)*s_IFPE_res_adj*s_CF_peas</f>
        <v>758291.875</v>
      </c>
      <c r="AU9" s="40">
        <f>s_C*(up_Bv!T9+s_MLF_peppers)*s_IFPP_res_adj*s_CF_peppers</f>
        <v>758291.875</v>
      </c>
      <c r="AV9" s="40">
        <f>s_C*(up_Bv!U9+s_MLF_potato)*s_IFPT_res_adj*s_CF_potato</f>
        <v>758291.875</v>
      </c>
      <c r="AW9" s="40">
        <f>s_C*(up_Bv!V9+s_MLF_pumpkin)*s_IFPU_res_adj*s_CF_pumpkin</f>
        <v>758291.875</v>
      </c>
      <c r="AX9" s="40">
        <f>s_C*(up_Bv!W9+s_MLF_snap_bean)*s_IFSN_res_adj*s_CF_snap_bean</f>
        <v>758291.875</v>
      </c>
      <c r="AY9" s="40">
        <f>s_C*(up_Bv!X9+s_MLF_strawberry)*s_IFST_res_adj*s_CF_strawberry</f>
        <v>758291.875</v>
      </c>
      <c r="AZ9" s="40">
        <f>s_C*(up_Bv!Y9+s_MLF_tomato)*s_IFTO_res_adj*s_CF_tomato</f>
        <v>758291.875</v>
      </c>
      <c r="BA9" s="40">
        <f>s_C*(up_Bv!Z9+s_MLF_rice)*s_IFRI_res_adj*s_CF_rice</f>
        <v>758291.875</v>
      </c>
      <c r="BB9" s="40">
        <f>s_C*(up_Bv!AA9+s_MLF_cereal)*s_IFCG_res_adj*s_CF_cereal</f>
        <v>758291.875</v>
      </c>
      <c r="BC9" s="15">
        <f t="shared" si="2"/>
        <v>3.2968835384132272E-12</v>
      </c>
      <c r="BD9" s="15">
        <f>IFERROR((up_dir!AD9/(up_Bv!C9+s_MLF_apple)),".")</f>
        <v>1.3187534153652907E-11</v>
      </c>
      <c r="BE9" s="15">
        <f>IFERROR((up_dir!AE9/(up_Bv!D9+s_MLF_asparagus)),".")</f>
        <v>1.3187534153652907E-11</v>
      </c>
      <c r="BF9" s="15">
        <f>IFERROR((up_dir!AF9/(up_Bv!E9+s_MLF_beet)),".")</f>
        <v>1.3187534153652907E-11</v>
      </c>
      <c r="BG9" s="15">
        <f>IFERROR((up_dir!AG9/(up_Bv!F9+s_MLF_berries)),".")</f>
        <v>1.3187534153652907E-11</v>
      </c>
      <c r="BH9" s="15">
        <f>IFERROR((up_dir!AH9/(up_Bv!G9+s_MLF_broccoli)),".")</f>
        <v>1.3187534153652907E-11</v>
      </c>
      <c r="BI9" s="15">
        <f>IFERROR((up_dir!AI9/(up_Bv!H9+s_MLF_cabbage)),".")</f>
        <v>1.3187534153652907E-11</v>
      </c>
      <c r="BJ9" s="15">
        <f>IFERROR((up_dir!AJ9/(up_Bv!I9+s_MLF_carrot)),".")</f>
        <v>1.3187534153652907E-11</v>
      </c>
      <c r="BK9" s="15">
        <f>IFERROR((up_dir!AK9/(up_Bv!J9+s_MLF_citrus)),".")</f>
        <v>1.3187534153652907E-11</v>
      </c>
      <c r="BL9" s="15">
        <f>IFERROR((up_dir!AL9/(up_Bv!K9+s_MLF_corn)),".")</f>
        <v>1.3187534153652907E-11</v>
      </c>
      <c r="BM9" s="15">
        <f>IFERROR((up_dir!AM9/(up_Bv!L9+s_MLF_cucumber)),".")</f>
        <v>1.3187534153652907E-11</v>
      </c>
      <c r="BN9" s="15">
        <f>IFERROR((up_dir!AN9/(up_Bv!M9+s_MLF_lettuce)),".")</f>
        <v>1.3187534153652907E-11</v>
      </c>
      <c r="BO9" s="15">
        <f>IFERROR((up_dir!AO9/(up_Bv!N9+s_MLF_lima_bean)),".")</f>
        <v>1.3187534153652907E-11</v>
      </c>
      <c r="BP9" s="15">
        <f>IFERROR((up_dir!AP9/(up_Bv!O9+s_MLF_okra)),".")</f>
        <v>1.3187534153652907E-11</v>
      </c>
      <c r="BQ9" s="15">
        <f>IFERROR((up_dir!AQ9/(up_Bv!P9+s_MLF_onion)),".")</f>
        <v>1.3187534153652907E-11</v>
      </c>
      <c r="BR9" s="15">
        <f>IFERROR((up_dir!AR9/(up_Bv!Q9+s_MLF_peach)),".")</f>
        <v>1.3187534153652907E-11</v>
      </c>
      <c r="BS9" s="15">
        <f>IFERROR((up_dir!AS9/(up_Bv!R9+s_MLF_pear)),".")</f>
        <v>1.3187534153652907E-11</v>
      </c>
      <c r="BT9" s="15">
        <f>IFERROR((up_dir!AT9/(up_Bv!S9+s_MLF_peas)),".")</f>
        <v>1.3187534153652907E-11</v>
      </c>
      <c r="BU9" s="15">
        <f>IFERROR((up_dir!AU9/(up_Bv!T9+s_MLF_peppers)),".")</f>
        <v>1.3187534153652907E-11</v>
      </c>
      <c r="BV9" s="15">
        <f>IFERROR((up_dir!AV9/(up_Bv!U9+s_MLF_potato)),".")</f>
        <v>1.3187534153652907E-11</v>
      </c>
      <c r="BW9" s="15">
        <f>IFERROR((up_dir!AW9/(up_Bv!V9+s_MLF_pumpkin)),".")</f>
        <v>1.3187534153652907E-11</v>
      </c>
      <c r="BX9" s="15">
        <f>IFERROR((up_dir!AX9/(up_Bv!W9+s_MLF_snap_bean)),".")</f>
        <v>1.3187534153652907E-11</v>
      </c>
      <c r="BY9" s="15">
        <f>IFERROR((up_dir!AY9/(up_Bv!X9+s_MLF_strawberry)),".")</f>
        <v>1.3187534153652907E-11</v>
      </c>
      <c r="BZ9" s="15">
        <f>IFERROR((up_dir!AZ9/(up_Bv!Y9+s_MLF_tomato)),".")</f>
        <v>1.3187534153652907E-11</v>
      </c>
      <c r="CA9" s="15">
        <f>IFERROR((up_dir!BA9/(up_Bv!Z9+s_MLF_rice)),".")</f>
        <v>1.3187534153652907E-11</v>
      </c>
      <c r="CB9" s="15">
        <f>IFERROR((up_dir!BB9/(up_Bv!AA9+s_MLF_cereal)),".")</f>
        <v>1.3187534153652907E-11</v>
      </c>
      <c r="CC9" s="40">
        <f t="shared" si="3"/>
        <v>3033167.5</v>
      </c>
      <c r="CD9" s="40">
        <f>IFERROR(s_C*(up_Bv!C9+s_MLF_apple)*s_IFAP_far_adj*s_CF_apple,".")</f>
        <v>758291.875</v>
      </c>
      <c r="CE9" s="40">
        <f>IFERROR(s_C*(up_Bv!D9+s_MLF_asparagus)*s_IFAS_far_adj*s_CF_asparagus,".")</f>
        <v>758291.875</v>
      </c>
      <c r="CF9" s="40">
        <f>IFERROR(s_C*(up_Bv!E9+s_MLF_beet)*s_IFBT_far_adj*s_CF_beet,".")</f>
        <v>758291.875</v>
      </c>
      <c r="CG9" s="40">
        <f>IFERROR(s_C*(up_Bv!F9+s_MLF_berries)*s_IFBR_far_adj*s_CF_berries,".")</f>
        <v>758291.875</v>
      </c>
      <c r="CH9" s="40">
        <f>IFERROR(s_C*(up_Bv!G9+s_MLF_broccoli)*s_IFBR_far_adj*s_CF_broccoli,".")</f>
        <v>758291.875</v>
      </c>
      <c r="CI9" s="40">
        <f>IFERROR(s_C*(up_Bv!H9+s_MLF_cabbage)*s_IFCB_far_adj*s_CF_cabbage,".")</f>
        <v>758291.875</v>
      </c>
      <c r="CJ9" s="40">
        <f>IFERROR(s_C*(up_Bv!I9+s_MLF_carrot)*s_IFCR_far_adj*s_CF_carrot,".")</f>
        <v>758291.875</v>
      </c>
      <c r="CK9" s="40">
        <f>IFERROR(s_C*(up_Bv!J9+s_MLF_citrus)*s_IFCI_far_adj*s_CF_citrus,".")</f>
        <v>758291.875</v>
      </c>
      <c r="CL9" s="40">
        <f>IFERROR(s_C*(up_Bv!K9+s_MLF_corn)*s_IFCO_far_adj*s_CF_corn,".")</f>
        <v>758291.875</v>
      </c>
      <c r="CM9" s="40">
        <f>IFERROR(s_C*(up_Bv!L9+s_MLF_cucumber)*s_IFCU_far_adj*s_CF_cucumber,".")</f>
        <v>758291.875</v>
      </c>
      <c r="CN9" s="40">
        <f>IFERROR(s_C*(up_Bv!M9+s_MLF_lettuce)*s_IFLE_far_adj*s_CF_lettuce,".")</f>
        <v>758291.875</v>
      </c>
      <c r="CO9" s="40">
        <f>IFERROR(s_C*(up_Bv!N9+s_MLF_lima_bean)*s_IFLI_far_adj*s_CF_lima_bean,".")</f>
        <v>758291.875</v>
      </c>
      <c r="CP9" s="40">
        <f>IFERROR(s_C*(up_Bv!O9+s_MLF_okra)*s_IFOK_far_adj*s_CF_okra,".")</f>
        <v>758291.875</v>
      </c>
      <c r="CQ9" s="40">
        <f>IFERROR(s_C*(up_Bv!P9+s_MLF_onion)*s_IFON_far_adj*s_CF_onion,".")</f>
        <v>758291.875</v>
      </c>
      <c r="CR9" s="40">
        <f>IFERROR(s_C*(up_Bv!Q9+s_MLF_peach)*s_IFPC_far_adj*s_CF_peach,".")</f>
        <v>758291.875</v>
      </c>
      <c r="CS9" s="40">
        <f>IFERROR(s_C*(up_Bv!R9+s_MLF_pear)*s_IFPR_far_adj*s_CF_pear,".")</f>
        <v>758291.875</v>
      </c>
      <c r="CT9" s="40">
        <f>IFERROR(s_C*(up_Bv!S9+s_MLF_peas)*s_IFPE_far_adj*s_CF_peas,".")</f>
        <v>758291.875</v>
      </c>
      <c r="CU9" s="40">
        <f>IFERROR(s_C*(up_Bv!T9+s_MLF_peppers)*s_IFPP_far_adj*s_CF_peppers,".")</f>
        <v>758291.875</v>
      </c>
      <c r="CV9" s="40">
        <f>IFERROR(s_C*(up_Bv!U9+s_MLF_potato)*s_IFPT_far_adj*s_CF_potato,".")</f>
        <v>758291.875</v>
      </c>
      <c r="CW9" s="40">
        <f>IFERROR(s_C*(up_Bv!V9+s_MLF_pumpkin)*s_IFPU_far_adj*s_CF_pumpkin,".")</f>
        <v>758291.875</v>
      </c>
      <c r="CX9" s="40">
        <f>IFERROR(s_C*(up_Bv!W9+s_MLF_snap_bean)*s_IFSN_far_adj*s_CF_snap_bean,".")</f>
        <v>758291.875</v>
      </c>
      <c r="CY9" s="40">
        <f>IFERROR(s_C*(up_Bv!X9+s_MLF_strawberry)*s_IFST_far_adj*s_CF_strawberry,".")</f>
        <v>758291.875</v>
      </c>
      <c r="CZ9" s="40">
        <f>IFERROR(s_C*(up_Bv!Y9+s_MLF_tomato)*s_IFTO_far_adj*s_CF_tomato,".")</f>
        <v>758291.875</v>
      </c>
      <c r="DA9" s="40">
        <f>IFERROR(s_C*(up_Bv!Z9+s_MLF_rice)*s_IFRI_far_adj*s_CF_rice,".")</f>
        <v>758291.875</v>
      </c>
      <c r="DB9" s="40">
        <f>IFERROR(s_C*(up_Bv!AA9+s_MLF_cereal)*s_IFCG_far_adj*s_CF_cereal,".")</f>
        <v>758291.875</v>
      </c>
    </row>
    <row r="10" spans="1:106" x14ac:dyDescent="0.25">
      <c r="A10" s="46" t="s">
        <v>20</v>
      </c>
      <c r="B10" s="42" t="s">
        <v>349</v>
      </c>
      <c r="C10" s="15">
        <f t="shared" si="0"/>
        <v>3.2968835384132272E-12</v>
      </c>
      <c r="D10" s="15">
        <f>IFERROR((up_dir!D10/(up_Bv!C10+s_MLF_apple)),".")</f>
        <v>1.3187534153652907E-11</v>
      </c>
      <c r="E10" s="15">
        <f>IFERROR((up_dir!E10/(up_Bv!D10+s_MLF_asparagus)),".")</f>
        <v>1.3187534153652907E-11</v>
      </c>
      <c r="F10" s="15">
        <f>IFERROR((up_dir!F10/(up_Bv!E10+s_MLF_beet)),".")</f>
        <v>1.3187534153652907E-11</v>
      </c>
      <c r="G10" s="15">
        <f>IFERROR((up_dir!G10/(up_Bv!F10+s_MLF_berries)),".")</f>
        <v>1.3187534153652907E-11</v>
      </c>
      <c r="H10" s="15">
        <f>IFERROR((up_dir!H10/(up_Bv!G10+s_MLF_broccoli)),".")</f>
        <v>1.3187534153652907E-11</v>
      </c>
      <c r="I10" s="15">
        <f>IFERROR((up_dir!I10/(up_Bv!H10+s_MLF_cabbage)),".")</f>
        <v>1.3187534153652907E-11</v>
      </c>
      <c r="J10" s="15">
        <f>IFERROR((up_dir!J10/(up_Bv!I10+s_MLF_carrot)),".")</f>
        <v>1.3187534153652907E-11</v>
      </c>
      <c r="K10" s="15">
        <f>IFERROR((up_dir!K10/(up_Bv!J10+s_MLF_citrus)),".")</f>
        <v>1.3187534153652907E-11</v>
      </c>
      <c r="L10" s="15">
        <f>IFERROR((up_dir!L10/(up_Bv!K10+s_MLF_corn)),".")</f>
        <v>1.3187534153652907E-11</v>
      </c>
      <c r="M10" s="15">
        <f>IFERROR((up_dir!M10/(up_Bv!L10+s_MLF_cucumber)),".")</f>
        <v>1.3187534153652907E-11</v>
      </c>
      <c r="N10" s="15">
        <f>IFERROR((up_dir!N10/(up_Bv!M10+s_MLF_lettuce)),".")</f>
        <v>1.3187534153652907E-11</v>
      </c>
      <c r="O10" s="15">
        <f>IFERROR((up_dir!O10/(up_Bv!N10+s_MLF_lima_bean)),".")</f>
        <v>1.3187534153652907E-11</v>
      </c>
      <c r="P10" s="15">
        <f>IFERROR((up_dir!P10/(up_Bv!O10+s_MLF_okra)),".")</f>
        <v>1.3187534153652907E-11</v>
      </c>
      <c r="Q10" s="15">
        <f>IFERROR((up_dir!Q10/(up_Bv!P10+s_MLF_onion)),".")</f>
        <v>1.3187534153652907E-11</v>
      </c>
      <c r="R10" s="15">
        <f>IFERROR((up_dir!R10/(up_Bv!Q10+s_MLF_peach)),".")</f>
        <v>1.3187534153652907E-11</v>
      </c>
      <c r="S10" s="15">
        <f>IFERROR((up_dir!S10/(up_Bv!R10+s_MLF_pear)),".")</f>
        <v>1.3187534153652907E-11</v>
      </c>
      <c r="T10" s="15">
        <f>IFERROR((up_dir!T10/(up_Bv!S10+s_MLF_peas)),".")</f>
        <v>1.3187534153652907E-11</v>
      </c>
      <c r="U10" s="15">
        <f>IFERROR((up_dir!U10/(up_Bv!T10+s_MLF_peppers)),".")</f>
        <v>1.3187534153652907E-11</v>
      </c>
      <c r="V10" s="15">
        <f>IFERROR((up_dir!V10/(up_Bv!U10+s_MLF_potato)),".")</f>
        <v>1.3187534153652907E-11</v>
      </c>
      <c r="W10" s="15">
        <f>IFERROR((up_dir!W10/(up_Bv!V10+s_MLF_pumpkin)),".")</f>
        <v>1.3187534153652907E-11</v>
      </c>
      <c r="X10" s="15">
        <f>IFERROR((up_dir!X10/(up_Bv!W10+s_MLF_snap_bean)),".")</f>
        <v>1.3187534153652907E-11</v>
      </c>
      <c r="Y10" s="15">
        <f>IFERROR((up_dir!Y10/(up_Bv!X10+s_MLF_strawberry)),".")</f>
        <v>1.3187534153652907E-11</v>
      </c>
      <c r="Z10" s="15">
        <f>IFERROR((up_dir!Z10/(up_Bv!Y10+s_MLF_tomato)),".")</f>
        <v>1.3187534153652907E-11</v>
      </c>
      <c r="AA10" s="15">
        <f>IFERROR((up_dir!AA10/(up_Bv!Z10+s_MLF_rice)),".")</f>
        <v>1.3187534153652907E-11</v>
      </c>
      <c r="AB10" s="15">
        <f>IFERROR((up_dir!AB10/(up_Bv!AA10+s_MLF_cereal)),".")</f>
        <v>1.3187534153652907E-11</v>
      </c>
      <c r="AC10" s="40">
        <f t="shared" si="1"/>
        <v>3033167.5</v>
      </c>
      <c r="AD10" s="40">
        <f>s_C*(up_Bv!C10+s_MLF_apple)*s_IFAP_res_adj*s_CF_apple</f>
        <v>758291.875</v>
      </c>
      <c r="AE10" s="40">
        <f>s_C*(up_Bv!D10+s_MLF_asparagus)*s_IFAS_res_adj*s_CF_asparagus</f>
        <v>758291.875</v>
      </c>
      <c r="AF10" s="40">
        <f>s_C*(up_Bv!E10+s_MLF_beet)*s_IFBT_res_adj*s_CF_beet</f>
        <v>758291.875</v>
      </c>
      <c r="AG10" s="40">
        <f>s_C*(up_Bv!F10+s_MLF_berries)*s_IFBE_res_adj*s_CF_berries</f>
        <v>758291.875</v>
      </c>
      <c r="AH10" s="40">
        <f>s_C*(up_Bv!G10+s_MLF_broccoli)*s_IFBR_res_adj*s_CF_broccoli</f>
        <v>758291.875</v>
      </c>
      <c r="AI10" s="40">
        <f>s_C*(up_Bv!H10+s_MLF_cabbage)*s_IFCB_res_adj*s_CF_cabbage</f>
        <v>758291.875</v>
      </c>
      <c r="AJ10" s="40">
        <f>s_C*(up_Bv!I10+s_MLF_carrot)*s_IFCR_res_adj*s_CF_carrot</f>
        <v>758291.875</v>
      </c>
      <c r="AK10" s="40">
        <f>s_C*(up_Bv!J10+s_MLF_citrus)*s_IFCI_res_adj*s_CF_citrus</f>
        <v>758291.875</v>
      </c>
      <c r="AL10" s="40">
        <f>s_C*(up_Bv!K10+s_MLF_corn)*s_IFCO_res_adj*s_CF_corn</f>
        <v>758291.875</v>
      </c>
      <c r="AM10" s="40">
        <f>s_C*(up_Bv!L10+s_MLF_cucumber)*s_IFCU_res_adj*s_CF_cucumber</f>
        <v>758291.875</v>
      </c>
      <c r="AN10" s="40">
        <f>s_C*(up_Bv!M10+s_MLF_lettuce)*s_IFLE_res_adj*s_CF_lettuce</f>
        <v>758291.875</v>
      </c>
      <c r="AO10" s="40">
        <f>s_C*(up_Bv!N10+s_MLF_lima_bean)*s_IFLI_res_adj*s_CF_lima_bean</f>
        <v>758291.875</v>
      </c>
      <c r="AP10" s="40">
        <f>s_C*(up_Bv!O10+s_MLF_okra)*s_IFOK_res_adj*s_CF_okra</f>
        <v>758291.875</v>
      </c>
      <c r="AQ10" s="40">
        <f>s_C*(up_Bv!P10+s_MLF_onion)*s_IFON_res_adj*s_CF_onion</f>
        <v>758291.875</v>
      </c>
      <c r="AR10" s="40">
        <f>s_C*(up_Bv!Q10+s_MLF_peach)*s_IFPC_res_adj*s_CF_peach</f>
        <v>758291.875</v>
      </c>
      <c r="AS10" s="40">
        <f>s_C*(up_Bv!R10+s_MLF_pear)*s_IFPR_res_adj*s_CF_pear</f>
        <v>758291.875</v>
      </c>
      <c r="AT10" s="40">
        <f>s_C*(up_Bv!S10+s_MLF_peas)*s_IFPE_res_adj*s_CF_peas</f>
        <v>758291.875</v>
      </c>
      <c r="AU10" s="40">
        <f>s_C*(up_Bv!T10+s_MLF_peppers)*s_IFPP_res_adj*s_CF_peppers</f>
        <v>758291.875</v>
      </c>
      <c r="AV10" s="40">
        <f>s_C*(up_Bv!U10+s_MLF_potato)*s_IFPT_res_adj*s_CF_potato</f>
        <v>758291.875</v>
      </c>
      <c r="AW10" s="40">
        <f>s_C*(up_Bv!V10+s_MLF_pumpkin)*s_IFPU_res_adj*s_CF_pumpkin</f>
        <v>758291.875</v>
      </c>
      <c r="AX10" s="40">
        <f>s_C*(up_Bv!W10+s_MLF_snap_bean)*s_IFSN_res_adj*s_CF_snap_bean</f>
        <v>758291.875</v>
      </c>
      <c r="AY10" s="40">
        <f>s_C*(up_Bv!X10+s_MLF_strawberry)*s_IFST_res_adj*s_CF_strawberry</f>
        <v>758291.875</v>
      </c>
      <c r="AZ10" s="40">
        <f>s_C*(up_Bv!Y10+s_MLF_tomato)*s_IFTO_res_adj*s_CF_tomato</f>
        <v>758291.875</v>
      </c>
      <c r="BA10" s="40">
        <f>s_C*(up_Bv!Z10+s_MLF_rice)*s_IFRI_res_adj*s_CF_rice</f>
        <v>758291.875</v>
      </c>
      <c r="BB10" s="40">
        <f>s_C*(up_Bv!AA10+s_MLF_cereal)*s_IFCG_res_adj*s_CF_cereal</f>
        <v>758291.875</v>
      </c>
      <c r="BC10" s="15">
        <f t="shared" si="2"/>
        <v>3.2968835384132272E-12</v>
      </c>
      <c r="BD10" s="15">
        <f>IFERROR((up_dir!AD10/(up_Bv!C10+s_MLF_apple)),".")</f>
        <v>1.3187534153652907E-11</v>
      </c>
      <c r="BE10" s="15">
        <f>IFERROR((up_dir!AE10/(up_Bv!D10+s_MLF_asparagus)),".")</f>
        <v>1.3187534153652907E-11</v>
      </c>
      <c r="BF10" s="15">
        <f>IFERROR((up_dir!AF10/(up_Bv!E10+s_MLF_beet)),".")</f>
        <v>1.3187534153652907E-11</v>
      </c>
      <c r="BG10" s="15">
        <f>IFERROR((up_dir!AG10/(up_Bv!F10+s_MLF_berries)),".")</f>
        <v>1.3187534153652907E-11</v>
      </c>
      <c r="BH10" s="15">
        <f>IFERROR((up_dir!AH10/(up_Bv!G10+s_MLF_broccoli)),".")</f>
        <v>1.3187534153652907E-11</v>
      </c>
      <c r="BI10" s="15">
        <f>IFERROR((up_dir!AI10/(up_Bv!H10+s_MLF_cabbage)),".")</f>
        <v>1.3187534153652907E-11</v>
      </c>
      <c r="BJ10" s="15">
        <f>IFERROR((up_dir!AJ10/(up_Bv!I10+s_MLF_carrot)),".")</f>
        <v>1.3187534153652907E-11</v>
      </c>
      <c r="BK10" s="15">
        <f>IFERROR((up_dir!AK10/(up_Bv!J10+s_MLF_citrus)),".")</f>
        <v>1.3187534153652907E-11</v>
      </c>
      <c r="BL10" s="15">
        <f>IFERROR((up_dir!AL10/(up_Bv!K10+s_MLF_corn)),".")</f>
        <v>1.3187534153652907E-11</v>
      </c>
      <c r="BM10" s="15">
        <f>IFERROR((up_dir!AM10/(up_Bv!L10+s_MLF_cucumber)),".")</f>
        <v>1.3187534153652907E-11</v>
      </c>
      <c r="BN10" s="15">
        <f>IFERROR((up_dir!AN10/(up_Bv!M10+s_MLF_lettuce)),".")</f>
        <v>1.3187534153652907E-11</v>
      </c>
      <c r="BO10" s="15">
        <f>IFERROR((up_dir!AO10/(up_Bv!N10+s_MLF_lima_bean)),".")</f>
        <v>1.3187534153652907E-11</v>
      </c>
      <c r="BP10" s="15">
        <f>IFERROR((up_dir!AP10/(up_Bv!O10+s_MLF_okra)),".")</f>
        <v>1.3187534153652907E-11</v>
      </c>
      <c r="BQ10" s="15">
        <f>IFERROR((up_dir!AQ10/(up_Bv!P10+s_MLF_onion)),".")</f>
        <v>1.3187534153652907E-11</v>
      </c>
      <c r="BR10" s="15">
        <f>IFERROR((up_dir!AR10/(up_Bv!Q10+s_MLF_peach)),".")</f>
        <v>1.3187534153652907E-11</v>
      </c>
      <c r="BS10" s="15">
        <f>IFERROR((up_dir!AS10/(up_Bv!R10+s_MLF_pear)),".")</f>
        <v>1.3187534153652907E-11</v>
      </c>
      <c r="BT10" s="15">
        <f>IFERROR((up_dir!AT10/(up_Bv!S10+s_MLF_peas)),".")</f>
        <v>1.3187534153652907E-11</v>
      </c>
      <c r="BU10" s="15">
        <f>IFERROR((up_dir!AU10/(up_Bv!T10+s_MLF_peppers)),".")</f>
        <v>1.3187534153652907E-11</v>
      </c>
      <c r="BV10" s="15">
        <f>IFERROR((up_dir!AV10/(up_Bv!U10+s_MLF_potato)),".")</f>
        <v>1.3187534153652907E-11</v>
      </c>
      <c r="BW10" s="15">
        <f>IFERROR((up_dir!AW10/(up_Bv!V10+s_MLF_pumpkin)),".")</f>
        <v>1.3187534153652907E-11</v>
      </c>
      <c r="BX10" s="15">
        <f>IFERROR((up_dir!AX10/(up_Bv!W10+s_MLF_snap_bean)),".")</f>
        <v>1.3187534153652907E-11</v>
      </c>
      <c r="BY10" s="15">
        <f>IFERROR((up_dir!AY10/(up_Bv!X10+s_MLF_strawberry)),".")</f>
        <v>1.3187534153652907E-11</v>
      </c>
      <c r="BZ10" s="15">
        <f>IFERROR((up_dir!AZ10/(up_Bv!Y10+s_MLF_tomato)),".")</f>
        <v>1.3187534153652907E-11</v>
      </c>
      <c r="CA10" s="15">
        <f>IFERROR((up_dir!BA10/(up_Bv!Z10+s_MLF_rice)),".")</f>
        <v>1.3187534153652907E-11</v>
      </c>
      <c r="CB10" s="15">
        <f>IFERROR((up_dir!BB10/(up_Bv!AA10+s_MLF_cereal)),".")</f>
        <v>1.3187534153652907E-11</v>
      </c>
      <c r="CC10" s="40">
        <f t="shared" si="3"/>
        <v>3033167.5</v>
      </c>
      <c r="CD10" s="40">
        <f>IFERROR(s_C*(up_Bv!C10+s_MLF_apple)*s_IFAP_far_adj*s_CF_apple,".")</f>
        <v>758291.875</v>
      </c>
      <c r="CE10" s="40">
        <f>IFERROR(s_C*(up_Bv!D10+s_MLF_asparagus)*s_IFAS_far_adj*s_CF_asparagus,".")</f>
        <v>758291.875</v>
      </c>
      <c r="CF10" s="40">
        <f>IFERROR(s_C*(up_Bv!E10+s_MLF_beet)*s_IFBT_far_adj*s_CF_beet,".")</f>
        <v>758291.875</v>
      </c>
      <c r="CG10" s="40">
        <f>IFERROR(s_C*(up_Bv!F10+s_MLF_berries)*s_IFBR_far_adj*s_CF_berries,".")</f>
        <v>758291.875</v>
      </c>
      <c r="CH10" s="40">
        <f>IFERROR(s_C*(up_Bv!G10+s_MLF_broccoli)*s_IFBR_far_adj*s_CF_broccoli,".")</f>
        <v>758291.875</v>
      </c>
      <c r="CI10" s="40">
        <f>IFERROR(s_C*(up_Bv!H10+s_MLF_cabbage)*s_IFCB_far_adj*s_CF_cabbage,".")</f>
        <v>758291.875</v>
      </c>
      <c r="CJ10" s="40">
        <f>IFERROR(s_C*(up_Bv!I10+s_MLF_carrot)*s_IFCR_far_adj*s_CF_carrot,".")</f>
        <v>758291.875</v>
      </c>
      <c r="CK10" s="40">
        <f>IFERROR(s_C*(up_Bv!J10+s_MLF_citrus)*s_IFCI_far_adj*s_CF_citrus,".")</f>
        <v>758291.875</v>
      </c>
      <c r="CL10" s="40">
        <f>IFERROR(s_C*(up_Bv!K10+s_MLF_corn)*s_IFCO_far_adj*s_CF_corn,".")</f>
        <v>758291.875</v>
      </c>
      <c r="CM10" s="40">
        <f>IFERROR(s_C*(up_Bv!L10+s_MLF_cucumber)*s_IFCU_far_adj*s_CF_cucumber,".")</f>
        <v>758291.875</v>
      </c>
      <c r="CN10" s="40">
        <f>IFERROR(s_C*(up_Bv!M10+s_MLF_lettuce)*s_IFLE_far_adj*s_CF_lettuce,".")</f>
        <v>758291.875</v>
      </c>
      <c r="CO10" s="40">
        <f>IFERROR(s_C*(up_Bv!N10+s_MLF_lima_bean)*s_IFLI_far_adj*s_CF_lima_bean,".")</f>
        <v>758291.875</v>
      </c>
      <c r="CP10" s="40">
        <f>IFERROR(s_C*(up_Bv!O10+s_MLF_okra)*s_IFOK_far_adj*s_CF_okra,".")</f>
        <v>758291.875</v>
      </c>
      <c r="CQ10" s="40">
        <f>IFERROR(s_C*(up_Bv!P10+s_MLF_onion)*s_IFON_far_adj*s_CF_onion,".")</f>
        <v>758291.875</v>
      </c>
      <c r="CR10" s="40">
        <f>IFERROR(s_C*(up_Bv!Q10+s_MLF_peach)*s_IFPC_far_adj*s_CF_peach,".")</f>
        <v>758291.875</v>
      </c>
      <c r="CS10" s="40">
        <f>IFERROR(s_C*(up_Bv!R10+s_MLF_pear)*s_IFPR_far_adj*s_CF_pear,".")</f>
        <v>758291.875</v>
      </c>
      <c r="CT10" s="40">
        <f>IFERROR(s_C*(up_Bv!S10+s_MLF_peas)*s_IFPE_far_adj*s_CF_peas,".")</f>
        <v>758291.875</v>
      </c>
      <c r="CU10" s="40">
        <f>IFERROR(s_C*(up_Bv!T10+s_MLF_peppers)*s_IFPP_far_adj*s_CF_peppers,".")</f>
        <v>758291.875</v>
      </c>
      <c r="CV10" s="40">
        <f>IFERROR(s_C*(up_Bv!U10+s_MLF_potato)*s_IFPT_far_adj*s_CF_potato,".")</f>
        <v>758291.875</v>
      </c>
      <c r="CW10" s="40">
        <f>IFERROR(s_C*(up_Bv!V10+s_MLF_pumpkin)*s_IFPU_far_adj*s_CF_pumpkin,".")</f>
        <v>758291.875</v>
      </c>
      <c r="CX10" s="40">
        <f>IFERROR(s_C*(up_Bv!W10+s_MLF_snap_bean)*s_IFSN_far_adj*s_CF_snap_bean,".")</f>
        <v>758291.875</v>
      </c>
      <c r="CY10" s="40">
        <f>IFERROR(s_C*(up_Bv!X10+s_MLF_strawberry)*s_IFST_far_adj*s_CF_strawberry,".")</f>
        <v>758291.875</v>
      </c>
      <c r="CZ10" s="40">
        <f>IFERROR(s_C*(up_Bv!Y10+s_MLF_tomato)*s_IFTO_far_adj*s_CF_tomato,".")</f>
        <v>758291.875</v>
      </c>
      <c r="DA10" s="40">
        <f>IFERROR(s_C*(up_Bv!Z10+s_MLF_rice)*s_IFRI_far_adj*s_CF_rice,".")</f>
        <v>758291.875</v>
      </c>
      <c r="DB10" s="40">
        <f>IFERROR(s_C*(up_Bv!AA10+s_MLF_cereal)*s_IFCG_far_adj*s_CF_cereal,".")</f>
        <v>758291.875</v>
      </c>
    </row>
    <row r="11" spans="1:106" ht="15" customHeight="1" x14ac:dyDescent="0.25">
      <c r="A11" s="44" t="s">
        <v>21</v>
      </c>
      <c r="B11" s="42" t="s">
        <v>1071</v>
      </c>
      <c r="C11" s="15">
        <f t="shared" si="0"/>
        <v>3.2968835384132272E-12</v>
      </c>
      <c r="D11" s="15">
        <f>IFERROR((up_dir!D11/(up_Bv!C11+s_MLF_apple)),".")</f>
        <v>1.3187534153652907E-11</v>
      </c>
      <c r="E11" s="15">
        <f>IFERROR((up_dir!E11/(up_Bv!D11+s_MLF_asparagus)),".")</f>
        <v>1.3187534153652907E-11</v>
      </c>
      <c r="F11" s="15">
        <f>IFERROR((up_dir!F11/(up_Bv!E11+s_MLF_beet)),".")</f>
        <v>1.3187534153652907E-11</v>
      </c>
      <c r="G11" s="15">
        <f>IFERROR((up_dir!G11/(up_Bv!F11+s_MLF_berries)),".")</f>
        <v>1.3187534153652907E-11</v>
      </c>
      <c r="H11" s="15">
        <f>IFERROR((up_dir!H11/(up_Bv!G11+s_MLF_broccoli)),".")</f>
        <v>1.3187534153652907E-11</v>
      </c>
      <c r="I11" s="15">
        <f>IFERROR((up_dir!I11/(up_Bv!H11+s_MLF_cabbage)),".")</f>
        <v>1.3187534153652907E-11</v>
      </c>
      <c r="J11" s="15">
        <f>IFERROR((up_dir!J11/(up_Bv!I11+s_MLF_carrot)),".")</f>
        <v>1.3187534153652907E-11</v>
      </c>
      <c r="K11" s="15">
        <f>IFERROR((up_dir!K11/(up_Bv!J11+s_MLF_citrus)),".")</f>
        <v>1.3187534153652907E-11</v>
      </c>
      <c r="L11" s="15">
        <f>IFERROR((up_dir!L11/(up_Bv!K11+s_MLF_corn)),".")</f>
        <v>1.3187534153652907E-11</v>
      </c>
      <c r="M11" s="15">
        <f>IFERROR((up_dir!M11/(up_Bv!L11+s_MLF_cucumber)),".")</f>
        <v>1.3187534153652907E-11</v>
      </c>
      <c r="N11" s="15">
        <f>IFERROR((up_dir!N11/(up_Bv!M11+s_MLF_lettuce)),".")</f>
        <v>1.3187534153652907E-11</v>
      </c>
      <c r="O11" s="15">
        <f>IFERROR((up_dir!O11/(up_Bv!N11+s_MLF_lima_bean)),".")</f>
        <v>1.3187534153652907E-11</v>
      </c>
      <c r="P11" s="15">
        <f>IFERROR((up_dir!P11/(up_Bv!O11+s_MLF_okra)),".")</f>
        <v>1.3187534153652907E-11</v>
      </c>
      <c r="Q11" s="15">
        <f>IFERROR((up_dir!Q11/(up_Bv!P11+s_MLF_onion)),".")</f>
        <v>1.3187534153652907E-11</v>
      </c>
      <c r="R11" s="15">
        <f>IFERROR((up_dir!R11/(up_Bv!Q11+s_MLF_peach)),".")</f>
        <v>1.3187534153652907E-11</v>
      </c>
      <c r="S11" s="15">
        <f>IFERROR((up_dir!S11/(up_Bv!R11+s_MLF_pear)),".")</f>
        <v>1.3187534153652907E-11</v>
      </c>
      <c r="T11" s="15">
        <f>IFERROR((up_dir!T11/(up_Bv!S11+s_MLF_peas)),".")</f>
        <v>1.3187534153652907E-11</v>
      </c>
      <c r="U11" s="15">
        <f>IFERROR((up_dir!U11/(up_Bv!T11+s_MLF_peppers)),".")</f>
        <v>1.3187534153652907E-11</v>
      </c>
      <c r="V11" s="15">
        <f>IFERROR((up_dir!V11/(up_Bv!U11+s_MLF_potato)),".")</f>
        <v>1.3187534153652907E-11</v>
      </c>
      <c r="W11" s="15">
        <f>IFERROR((up_dir!W11/(up_Bv!V11+s_MLF_pumpkin)),".")</f>
        <v>1.3187534153652907E-11</v>
      </c>
      <c r="X11" s="15">
        <f>IFERROR((up_dir!X11/(up_Bv!W11+s_MLF_snap_bean)),".")</f>
        <v>1.3187534153652907E-11</v>
      </c>
      <c r="Y11" s="15">
        <f>IFERROR((up_dir!Y11/(up_Bv!X11+s_MLF_strawberry)),".")</f>
        <v>1.3187534153652907E-11</v>
      </c>
      <c r="Z11" s="15">
        <f>IFERROR((up_dir!Z11/(up_Bv!Y11+s_MLF_tomato)),".")</f>
        <v>1.3187534153652907E-11</v>
      </c>
      <c r="AA11" s="15">
        <f>IFERROR((up_dir!AA11/(up_Bv!Z11+s_MLF_rice)),".")</f>
        <v>1.3187534153652907E-11</v>
      </c>
      <c r="AB11" s="15">
        <f>IFERROR((up_dir!AB11/(up_Bv!AA11+s_MLF_cereal)),".")</f>
        <v>1.3187534153652907E-11</v>
      </c>
      <c r="AC11" s="40">
        <f t="shared" si="1"/>
        <v>3033167.5</v>
      </c>
      <c r="AD11" s="40">
        <f>s_C*(up_Bv!C11+s_MLF_apple)*s_IFAP_res_adj*s_CF_apple</f>
        <v>758291.875</v>
      </c>
      <c r="AE11" s="40">
        <f>s_C*(up_Bv!D11+s_MLF_asparagus)*s_IFAS_res_adj*s_CF_asparagus</f>
        <v>758291.875</v>
      </c>
      <c r="AF11" s="40">
        <f>s_C*(up_Bv!E11+s_MLF_beet)*s_IFBT_res_adj*s_CF_beet</f>
        <v>758291.875</v>
      </c>
      <c r="AG11" s="40">
        <f>s_C*(up_Bv!F11+s_MLF_berries)*s_IFBE_res_adj*s_CF_berries</f>
        <v>758291.875</v>
      </c>
      <c r="AH11" s="40">
        <f>s_C*(up_Bv!G11+s_MLF_broccoli)*s_IFBR_res_adj*s_CF_broccoli</f>
        <v>758291.875</v>
      </c>
      <c r="AI11" s="40">
        <f>s_C*(up_Bv!H11+s_MLF_cabbage)*s_IFCB_res_adj*s_CF_cabbage</f>
        <v>758291.875</v>
      </c>
      <c r="AJ11" s="40">
        <f>s_C*(up_Bv!I11+s_MLF_carrot)*s_IFCR_res_adj*s_CF_carrot</f>
        <v>758291.875</v>
      </c>
      <c r="AK11" s="40">
        <f>s_C*(up_Bv!J11+s_MLF_citrus)*s_IFCI_res_adj*s_CF_citrus</f>
        <v>758291.875</v>
      </c>
      <c r="AL11" s="40">
        <f>s_C*(up_Bv!K11+s_MLF_corn)*s_IFCO_res_adj*s_CF_corn</f>
        <v>758291.875</v>
      </c>
      <c r="AM11" s="40">
        <f>s_C*(up_Bv!L11+s_MLF_cucumber)*s_IFCU_res_adj*s_CF_cucumber</f>
        <v>758291.875</v>
      </c>
      <c r="AN11" s="40">
        <f>s_C*(up_Bv!M11+s_MLF_lettuce)*s_IFLE_res_adj*s_CF_lettuce</f>
        <v>758291.875</v>
      </c>
      <c r="AO11" s="40">
        <f>s_C*(up_Bv!N11+s_MLF_lima_bean)*s_IFLI_res_adj*s_CF_lima_bean</f>
        <v>758291.875</v>
      </c>
      <c r="AP11" s="40">
        <f>s_C*(up_Bv!O11+s_MLF_okra)*s_IFOK_res_adj*s_CF_okra</f>
        <v>758291.875</v>
      </c>
      <c r="AQ11" s="40">
        <f>s_C*(up_Bv!P11+s_MLF_onion)*s_IFON_res_adj*s_CF_onion</f>
        <v>758291.875</v>
      </c>
      <c r="AR11" s="40">
        <f>s_C*(up_Bv!Q11+s_MLF_peach)*s_IFPC_res_adj*s_CF_peach</f>
        <v>758291.875</v>
      </c>
      <c r="AS11" s="40">
        <f>s_C*(up_Bv!R11+s_MLF_pear)*s_IFPR_res_adj*s_CF_pear</f>
        <v>758291.875</v>
      </c>
      <c r="AT11" s="40">
        <f>s_C*(up_Bv!S11+s_MLF_peas)*s_IFPE_res_adj*s_CF_peas</f>
        <v>758291.875</v>
      </c>
      <c r="AU11" s="40">
        <f>s_C*(up_Bv!T11+s_MLF_peppers)*s_IFPP_res_adj*s_CF_peppers</f>
        <v>758291.875</v>
      </c>
      <c r="AV11" s="40">
        <f>s_C*(up_Bv!U11+s_MLF_potato)*s_IFPT_res_adj*s_CF_potato</f>
        <v>758291.875</v>
      </c>
      <c r="AW11" s="40">
        <f>s_C*(up_Bv!V11+s_MLF_pumpkin)*s_IFPU_res_adj*s_CF_pumpkin</f>
        <v>758291.875</v>
      </c>
      <c r="AX11" s="40">
        <f>s_C*(up_Bv!W11+s_MLF_snap_bean)*s_IFSN_res_adj*s_CF_snap_bean</f>
        <v>758291.875</v>
      </c>
      <c r="AY11" s="40">
        <f>s_C*(up_Bv!X11+s_MLF_strawberry)*s_IFST_res_adj*s_CF_strawberry</f>
        <v>758291.875</v>
      </c>
      <c r="AZ11" s="40">
        <f>s_C*(up_Bv!Y11+s_MLF_tomato)*s_IFTO_res_adj*s_CF_tomato</f>
        <v>758291.875</v>
      </c>
      <c r="BA11" s="40">
        <f>s_C*(up_Bv!Z11+s_MLF_rice)*s_IFRI_res_adj*s_CF_rice</f>
        <v>758291.875</v>
      </c>
      <c r="BB11" s="40">
        <f>s_C*(up_Bv!AA11+s_MLF_cereal)*s_IFCG_res_adj*s_CF_cereal</f>
        <v>758291.875</v>
      </c>
      <c r="BC11" s="15">
        <f t="shared" si="2"/>
        <v>3.2968835384132272E-12</v>
      </c>
      <c r="BD11" s="15">
        <f>IFERROR((up_dir!AD11/(up_Bv!C11+s_MLF_apple)),".")</f>
        <v>1.3187534153652907E-11</v>
      </c>
      <c r="BE11" s="15">
        <f>IFERROR((up_dir!AE11/(up_Bv!D11+s_MLF_asparagus)),".")</f>
        <v>1.3187534153652907E-11</v>
      </c>
      <c r="BF11" s="15">
        <f>IFERROR((up_dir!AF11/(up_Bv!E11+s_MLF_beet)),".")</f>
        <v>1.3187534153652907E-11</v>
      </c>
      <c r="BG11" s="15">
        <f>IFERROR((up_dir!AG11/(up_Bv!F11+s_MLF_berries)),".")</f>
        <v>1.3187534153652907E-11</v>
      </c>
      <c r="BH11" s="15">
        <f>IFERROR((up_dir!AH11/(up_Bv!G11+s_MLF_broccoli)),".")</f>
        <v>1.3187534153652907E-11</v>
      </c>
      <c r="BI11" s="15">
        <f>IFERROR((up_dir!AI11/(up_Bv!H11+s_MLF_cabbage)),".")</f>
        <v>1.3187534153652907E-11</v>
      </c>
      <c r="BJ11" s="15">
        <f>IFERROR((up_dir!AJ11/(up_Bv!I11+s_MLF_carrot)),".")</f>
        <v>1.3187534153652907E-11</v>
      </c>
      <c r="BK11" s="15">
        <f>IFERROR((up_dir!AK11/(up_Bv!J11+s_MLF_citrus)),".")</f>
        <v>1.3187534153652907E-11</v>
      </c>
      <c r="BL11" s="15">
        <f>IFERROR((up_dir!AL11/(up_Bv!K11+s_MLF_corn)),".")</f>
        <v>1.3187534153652907E-11</v>
      </c>
      <c r="BM11" s="15">
        <f>IFERROR((up_dir!AM11/(up_Bv!L11+s_MLF_cucumber)),".")</f>
        <v>1.3187534153652907E-11</v>
      </c>
      <c r="BN11" s="15">
        <f>IFERROR((up_dir!AN11/(up_Bv!M11+s_MLF_lettuce)),".")</f>
        <v>1.3187534153652907E-11</v>
      </c>
      <c r="BO11" s="15">
        <f>IFERROR((up_dir!AO11/(up_Bv!N11+s_MLF_lima_bean)),".")</f>
        <v>1.3187534153652907E-11</v>
      </c>
      <c r="BP11" s="15">
        <f>IFERROR((up_dir!AP11/(up_Bv!O11+s_MLF_okra)),".")</f>
        <v>1.3187534153652907E-11</v>
      </c>
      <c r="BQ11" s="15">
        <f>IFERROR((up_dir!AQ11/(up_Bv!P11+s_MLF_onion)),".")</f>
        <v>1.3187534153652907E-11</v>
      </c>
      <c r="BR11" s="15">
        <f>IFERROR((up_dir!AR11/(up_Bv!Q11+s_MLF_peach)),".")</f>
        <v>1.3187534153652907E-11</v>
      </c>
      <c r="BS11" s="15">
        <f>IFERROR((up_dir!AS11/(up_Bv!R11+s_MLF_pear)),".")</f>
        <v>1.3187534153652907E-11</v>
      </c>
      <c r="BT11" s="15">
        <f>IFERROR((up_dir!AT11/(up_Bv!S11+s_MLF_peas)),".")</f>
        <v>1.3187534153652907E-11</v>
      </c>
      <c r="BU11" s="15">
        <f>IFERROR((up_dir!AU11/(up_Bv!T11+s_MLF_peppers)),".")</f>
        <v>1.3187534153652907E-11</v>
      </c>
      <c r="BV11" s="15">
        <f>IFERROR((up_dir!AV11/(up_Bv!U11+s_MLF_potato)),".")</f>
        <v>1.3187534153652907E-11</v>
      </c>
      <c r="BW11" s="15">
        <f>IFERROR((up_dir!AW11/(up_Bv!V11+s_MLF_pumpkin)),".")</f>
        <v>1.3187534153652907E-11</v>
      </c>
      <c r="BX11" s="15">
        <f>IFERROR((up_dir!AX11/(up_Bv!W11+s_MLF_snap_bean)),".")</f>
        <v>1.3187534153652907E-11</v>
      </c>
      <c r="BY11" s="15">
        <f>IFERROR((up_dir!AY11/(up_Bv!X11+s_MLF_strawberry)),".")</f>
        <v>1.3187534153652907E-11</v>
      </c>
      <c r="BZ11" s="15">
        <f>IFERROR((up_dir!AZ11/(up_Bv!Y11+s_MLF_tomato)),".")</f>
        <v>1.3187534153652907E-11</v>
      </c>
      <c r="CA11" s="15">
        <f>IFERROR((up_dir!BA11/(up_Bv!Z11+s_MLF_rice)),".")</f>
        <v>1.3187534153652907E-11</v>
      </c>
      <c r="CB11" s="15">
        <f>IFERROR((up_dir!BB11/(up_Bv!AA11+s_MLF_cereal)),".")</f>
        <v>1.3187534153652907E-11</v>
      </c>
      <c r="CC11" s="40">
        <f t="shared" si="3"/>
        <v>3033167.5</v>
      </c>
      <c r="CD11" s="40">
        <f>IFERROR(s_C*(up_Bv!C11+s_MLF_apple)*s_IFAP_far_adj*s_CF_apple,".")</f>
        <v>758291.875</v>
      </c>
      <c r="CE11" s="40">
        <f>IFERROR(s_C*(up_Bv!D11+s_MLF_asparagus)*s_IFAS_far_adj*s_CF_asparagus,".")</f>
        <v>758291.875</v>
      </c>
      <c r="CF11" s="40">
        <f>IFERROR(s_C*(up_Bv!E11+s_MLF_beet)*s_IFBT_far_adj*s_CF_beet,".")</f>
        <v>758291.875</v>
      </c>
      <c r="CG11" s="40">
        <f>IFERROR(s_C*(up_Bv!F11+s_MLF_berries)*s_IFBR_far_adj*s_CF_berries,".")</f>
        <v>758291.875</v>
      </c>
      <c r="CH11" s="40">
        <f>IFERROR(s_C*(up_Bv!G11+s_MLF_broccoli)*s_IFBR_far_adj*s_CF_broccoli,".")</f>
        <v>758291.875</v>
      </c>
      <c r="CI11" s="40">
        <f>IFERROR(s_C*(up_Bv!H11+s_MLF_cabbage)*s_IFCB_far_adj*s_CF_cabbage,".")</f>
        <v>758291.875</v>
      </c>
      <c r="CJ11" s="40">
        <f>IFERROR(s_C*(up_Bv!I11+s_MLF_carrot)*s_IFCR_far_adj*s_CF_carrot,".")</f>
        <v>758291.875</v>
      </c>
      <c r="CK11" s="40">
        <f>IFERROR(s_C*(up_Bv!J11+s_MLF_citrus)*s_IFCI_far_adj*s_CF_citrus,".")</f>
        <v>758291.875</v>
      </c>
      <c r="CL11" s="40">
        <f>IFERROR(s_C*(up_Bv!K11+s_MLF_corn)*s_IFCO_far_adj*s_CF_corn,".")</f>
        <v>758291.875</v>
      </c>
      <c r="CM11" s="40">
        <f>IFERROR(s_C*(up_Bv!L11+s_MLF_cucumber)*s_IFCU_far_adj*s_CF_cucumber,".")</f>
        <v>758291.875</v>
      </c>
      <c r="CN11" s="40">
        <f>IFERROR(s_C*(up_Bv!M11+s_MLF_lettuce)*s_IFLE_far_adj*s_CF_lettuce,".")</f>
        <v>758291.875</v>
      </c>
      <c r="CO11" s="40">
        <f>IFERROR(s_C*(up_Bv!N11+s_MLF_lima_bean)*s_IFLI_far_adj*s_CF_lima_bean,".")</f>
        <v>758291.875</v>
      </c>
      <c r="CP11" s="40">
        <f>IFERROR(s_C*(up_Bv!O11+s_MLF_okra)*s_IFOK_far_adj*s_CF_okra,".")</f>
        <v>758291.875</v>
      </c>
      <c r="CQ11" s="40">
        <f>IFERROR(s_C*(up_Bv!P11+s_MLF_onion)*s_IFON_far_adj*s_CF_onion,".")</f>
        <v>758291.875</v>
      </c>
      <c r="CR11" s="40">
        <f>IFERROR(s_C*(up_Bv!Q11+s_MLF_peach)*s_IFPC_far_adj*s_CF_peach,".")</f>
        <v>758291.875</v>
      </c>
      <c r="CS11" s="40">
        <f>IFERROR(s_C*(up_Bv!R11+s_MLF_pear)*s_IFPR_far_adj*s_CF_pear,".")</f>
        <v>758291.875</v>
      </c>
      <c r="CT11" s="40">
        <f>IFERROR(s_C*(up_Bv!S11+s_MLF_peas)*s_IFPE_far_adj*s_CF_peas,".")</f>
        <v>758291.875</v>
      </c>
      <c r="CU11" s="40">
        <f>IFERROR(s_C*(up_Bv!T11+s_MLF_peppers)*s_IFPP_far_adj*s_CF_peppers,".")</f>
        <v>758291.875</v>
      </c>
      <c r="CV11" s="40">
        <f>IFERROR(s_C*(up_Bv!U11+s_MLF_potato)*s_IFPT_far_adj*s_CF_potato,".")</f>
        <v>758291.875</v>
      </c>
      <c r="CW11" s="40">
        <f>IFERROR(s_C*(up_Bv!V11+s_MLF_pumpkin)*s_IFPU_far_adj*s_CF_pumpkin,".")</f>
        <v>758291.875</v>
      </c>
      <c r="CX11" s="40">
        <f>IFERROR(s_C*(up_Bv!W11+s_MLF_snap_bean)*s_IFSN_far_adj*s_CF_snap_bean,".")</f>
        <v>758291.875</v>
      </c>
      <c r="CY11" s="40">
        <f>IFERROR(s_C*(up_Bv!X11+s_MLF_strawberry)*s_IFST_far_adj*s_CF_strawberry,".")</f>
        <v>758291.875</v>
      </c>
      <c r="CZ11" s="40">
        <f>IFERROR(s_C*(up_Bv!Y11+s_MLF_tomato)*s_IFTO_far_adj*s_CF_tomato,".")</f>
        <v>758291.875</v>
      </c>
      <c r="DA11" s="40">
        <f>IFERROR(s_C*(up_Bv!Z11+s_MLF_rice)*s_IFRI_far_adj*s_CF_rice,".")</f>
        <v>758291.875</v>
      </c>
      <c r="DB11" s="40">
        <f>IFERROR(s_C*(up_Bv!AA11+s_MLF_cereal)*s_IFCG_far_adj*s_CF_cereal,".")</f>
        <v>758291.875</v>
      </c>
    </row>
    <row r="12" spans="1:106" ht="15" customHeight="1" x14ac:dyDescent="0.25">
      <c r="A12" s="44" t="s">
        <v>22</v>
      </c>
      <c r="B12" s="42" t="s">
        <v>1071</v>
      </c>
      <c r="C12" s="15">
        <f t="shared" si="0"/>
        <v>3.2968835384132272E-12</v>
      </c>
      <c r="D12" s="15">
        <f>IFERROR((up_dir!D12/(up_Bv!C12+s_MLF_apple)),".")</f>
        <v>1.3187534153652907E-11</v>
      </c>
      <c r="E12" s="15">
        <f>IFERROR((up_dir!E12/(up_Bv!D12+s_MLF_asparagus)),".")</f>
        <v>1.3187534153652907E-11</v>
      </c>
      <c r="F12" s="15">
        <f>IFERROR((up_dir!F12/(up_Bv!E12+s_MLF_beet)),".")</f>
        <v>1.3187534153652907E-11</v>
      </c>
      <c r="G12" s="15">
        <f>IFERROR((up_dir!G12/(up_Bv!F12+s_MLF_berries)),".")</f>
        <v>1.3187534153652907E-11</v>
      </c>
      <c r="H12" s="15">
        <f>IFERROR((up_dir!H12/(up_Bv!G12+s_MLF_broccoli)),".")</f>
        <v>1.3187534153652907E-11</v>
      </c>
      <c r="I12" s="15">
        <f>IFERROR((up_dir!I12/(up_Bv!H12+s_MLF_cabbage)),".")</f>
        <v>1.3187534153652907E-11</v>
      </c>
      <c r="J12" s="15">
        <f>IFERROR((up_dir!J12/(up_Bv!I12+s_MLF_carrot)),".")</f>
        <v>1.3187534153652907E-11</v>
      </c>
      <c r="K12" s="15">
        <f>IFERROR((up_dir!K12/(up_Bv!J12+s_MLF_citrus)),".")</f>
        <v>1.3187534153652907E-11</v>
      </c>
      <c r="L12" s="15">
        <f>IFERROR((up_dir!L12/(up_Bv!K12+s_MLF_corn)),".")</f>
        <v>1.3187534153652907E-11</v>
      </c>
      <c r="M12" s="15">
        <f>IFERROR((up_dir!M12/(up_Bv!L12+s_MLF_cucumber)),".")</f>
        <v>1.3187534153652907E-11</v>
      </c>
      <c r="N12" s="15">
        <f>IFERROR((up_dir!N12/(up_Bv!M12+s_MLF_lettuce)),".")</f>
        <v>1.3187534153652907E-11</v>
      </c>
      <c r="O12" s="15">
        <f>IFERROR((up_dir!O12/(up_Bv!N12+s_MLF_lima_bean)),".")</f>
        <v>1.3187534153652907E-11</v>
      </c>
      <c r="P12" s="15">
        <f>IFERROR((up_dir!P12/(up_Bv!O12+s_MLF_okra)),".")</f>
        <v>1.3187534153652907E-11</v>
      </c>
      <c r="Q12" s="15">
        <f>IFERROR((up_dir!Q12/(up_Bv!P12+s_MLF_onion)),".")</f>
        <v>1.3187534153652907E-11</v>
      </c>
      <c r="R12" s="15">
        <f>IFERROR((up_dir!R12/(up_Bv!Q12+s_MLF_peach)),".")</f>
        <v>1.3187534153652907E-11</v>
      </c>
      <c r="S12" s="15">
        <f>IFERROR((up_dir!S12/(up_Bv!R12+s_MLF_pear)),".")</f>
        <v>1.3187534153652907E-11</v>
      </c>
      <c r="T12" s="15">
        <f>IFERROR((up_dir!T12/(up_Bv!S12+s_MLF_peas)),".")</f>
        <v>1.3187534153652907E-11</v>
      </c>
      <c r="U12" s="15">
        <f>IFERROR((up_dir!U12/(up_Bv!T12+s_MLF_peppers)),".")</f>
        <v>1.3187534153652907E-11</v>
      </c>
      <c r="V12" s="15">
        <f>IFERROR((up_dir!V12/(up_Bv!U12+s_MLF_potato)),".")</f>
        <v>1.3187534153652907E-11</v>
      </c>
      <c r="W12" s="15">
        <f>IFERROR((up_dir!W12/(up_Bv!V12+s_MLF_pumpkin)),".")</f>
        <v>1.3187534153652907E-11</v>
      </c>
      <c r="X12" s="15">
        <f>IFERROR((up_dir!X12/(up_Bv!W12+s_MLF_snap_bean)),".")</f>
        <v>1.3187534153652907E-11</v>
      </c>
      <c r="Y12" s="15">
        <f>IFERROR((up_dir!Y12/(up_Bv!X12+s_MLF_strawberry)),".")</f>
        <v>1.3187534153652907E-11</v>
      </c>
      <c r="Z12" s="15">
        <f>IFERROR((up_dir!Z12/(up_Bv!Y12+s_MLF_tomato)),".")</f>
        <v>1.3187534153652907E-11</v>
      </c>
      <c r="AA12" s="15">
        <f>IFERROR((up_dir!AA12/(up_Bv!Z12+s_MLF_rice)),".")</f>
        <v>1.3187534153652907E-11</v>
      </c>
      <c r="AB12" s="15">
        <f>IFERROR((up_dir!AB12/(up_Bv!AA12+s_MLF_cereal)),".")</f>
        <v>1.3187534153652907E-11</v>
      </c>
      <c r="AC12" s="40">
        <f t="shared" si="1"/>
        <v>3033167.5</v>
      </c>
      <c r="AD12" s="40">
        <f>s_C*(up_Bv!C12+s_MLF_apple)*s_IFAP_res_adj*s_CF_apple</f>
        <v>758291.875</v>
      </c>
      <c r="AE12" s="40">
        <f>s_C*(up_Bv!D12+s_MLF_asparagus)*s_IFAS_res_adj*s_CF_asparagus</f>
        <v>758291.875</v>
      </c>
      <c r="AF12" s="40">
        <f>s_C*(up_Bv!E12+s_MLF_beet)*s_IFBT_res_adj*s_CF_beet</f>
        <v>758291.875</v>
      </c>
      <c r="AG12" s="40">
        <f>s_C*(up_Bv!F12+s_MLF_berries)*s_IFBE_res_adj*s_CF_berries</f>
        <v>758291.875</v>
      </c>
      <c r="AH12" s="40">
        <f>s_C*(up_Bv!G12+s_MLF_broccoli)*s_IFBR_res_adj*s_CF_broccoli</f>
        <v>758291.875</v>
      </c>
      <c r="AI12" s="40">
        <f>s_C*(up_Bv!H12+s_MLF_cabbage)*s_IFCB_res_adj*s_CF_cabbage</f>
        <v>758291.875</v>
      </c>
      <c r="AJ12" s="40">
        <f>s_C*(up_Bv!I12+s_MLF_carrot)*s_IFCR_res_adj*s_CF_carrot</f>
        <v>758291.875</v>
      </c>
      <c r="AK12" s="40">
        <f>s_C*(up_Bv!J12+s_MLF_citrus)*s_IFCI_res_adj*s_CF_citrus</f>
        <v>758291.875</v>
      </c>
      <c r="AL12" s="40">
        <f>s_C*(up_Bv!K12+s_MLF_corn)*s_IFCO_res_adj*s_CF_corn</f>
        <v>758291.875</v>
      </c>
      <c r="AM12" s="40">
        <f>s_C*(up_Bv!L12+s_MLF_cucumber)*s_IFCU_res_adj*s_CF_cucumber</f>
        <v>758291.875</v>
      </c>
      <c r="AN12" s="40">
        <f>s_C*(up_Bv!M12+s_MLF_lettuce)*s_IFLE_res_adj*s_CF_lettuce</f>
        <v>758291.875</v>
      </c>
      <c r="AO12" s="40">
        <f>s_C*(up_Bv!N12+s_MLF_lima_bean)*s_IFLI_res_adj*s_CF_lima_bean</f>
        <v>758291.875</v>
      </c>
      <c r="AP12" s="40">
        <f>s_C*(up_Bv!O12+s_MLF_okra)*s_IFOK_res_adj*s_CF_okra</f>
        <v>758291.875</v>
      </c>
      <c r="AQ12" s="40">
        <f>s_C*(up_Bv!P12+s_MLF_onion)*s_IFON_res_adj*s_CF_onion</f>
        <v>758291.875</v>
      </c>
      <c r="AR12" s="40">
        <f>s_C*(up_Bv!Q12+s_MLF_peach)*s_IFPC_res_adj*s_CF_peach</f>
        <v>758291.875</v>
      </c>
      <c r="AS12" s="40">
        <f>s_C*(up_Bv!R12+s_MLF_pear)*s_IFPR_res_adj*s_CF_pear</f>
        <v>758291.875</v>
      </c>
      <c r="AT12" s="40">
        <f>s_C*(up_Bv!S12+s_MLF_peas)*s_IFPE_res_adj*s_CF_peas</f>
        <v>758291.875</v>
      </c>
      <c r="AU12" s="40">
        <f>s_C*(up_Bv!T12+s_MLF_peppers)*s_IFPP_res_adj*s_CF_peppers</f>
        <v>758291.875</v>
      </c>
      <c r="AV12" s="40">
        <f>s_C*(up_Bv!U12+s_MLF_potato)*s_IFPT_res_adj*s_CF_potato</f>
        <v>758291.875</v>
      </c>
      <c r="AW12" s="40">
        <f>s_C*(up_Bv!V12+s_MLF_pumpkin)*s_IFPU_res_adj*s_CF_pumpkin</f>
        <v>758291.875</v>
      </c>
      <c r="AX12" s="40">
        <f>s_C*(up_Bv!W12+s_MLF_snap_bean)*s_IFSN_res_adj*s_CF_snap_bean</f>
        <v>758291.875</v>
      </c>
      <c r="AY12" s="40">
        <f>s_C*(up_Bv!X12+s_MLF_strawberry)*s_IFST_res_adj*s_CF_strawberry</f>
        <v>758291.875</v>
      </c>
      <c r="AZ12" s="40">
        <f>s_C*(up_Bv!Y12+s_MLF_tomato)*s_IFTO_res_adj*s_CF_tomato</f>
        <v>758291.875</v>
      </c>
      <c r="BA12" s="40">
        <f>s_C*(up_Bv!Z12+s_MLF_rice)*s_IFRI_res_adj*s_CF_rice</f>
        <v>758291.875</v>
      </c>
      <c r="BB12" s="40">
        <f>s_C*(up_Bv!AA12+s_MLF_cereal)*s_IFCG_res_adj*s_CF_cereal</f>
        <v>758291.875</v>
      </c>
      <c r="BC12" s="15">
        <f t="shared" si="2"/>
        <v>3.2968835384132272E-12</v>
      </c>
      <c r="BD12" s="15">
        <f>IFERROR((up_dir!AD12/(up_Bv!C12+s_MLF_apple)),".")</f>
        <v>1.3187534153652907E-11</v>
      </c>
      <c r="BE12" s="15">
        <f>IFERROR((up_dir!AE12/(up_Bv!D12+s_MLF_asparagus)),".")</f>
        <v>1.3187534153652907E-11</v>
      </c>
      <c r="BF12" s="15">
        <f>IFERROR((up_dir!AF12/(up_Bv!E12+s_MLF_beet)),".")</f>
        <v>1.3187534153652907E-11</v>
      </c>
      <c r="BG12" s="15">
        <f>IFERROR((up_dir!AG12/(up_Bv!F12+s_MLF_berries)),".")</f>
        <v>1.3187534153652907E-11</v>
      </c>
      <c r="BH12" s="15">
        <f>IFERROR((up_dir!AH12/(up_Bv!G12+s_MLF_broccoli)),".")</f>
        <v>1.3187534153652907E-11</v>
      </c>
      <c r="BI12" s="15">
        <f>IFERROR((up_dir!AI12/(up_Bv!H12+s_MLF_cabbage)),".")</f>
        <v>1.3187534153652907E-11</v>
      </c>
      <c r="BJ12" s="15">
        <f>IFERROR((up_dir!AJ12/(up_Bv!I12+s_MLF_carrot)),".")</f>
        <v>1.3187534153652907E-11</v>
      </c>
      <c r="BK12" s="15">
        <f>IFERROR((up_dir!AK12/(up_Bv!J12+s_MLF_citrus)),".")</f>
        <v>1.3187534153652907E-11</v>
      </c>
      <c r="BL12" s="15">
        <f>IFERROR((up_dir!AL12/(up_Bv!K12+s_MLF_corn)),".")</f>
        <v>1.3187534153652907E-11</v>
      </c>
      <c r="BM12" s="15">
        <f>IFERROR((up_dir!AM12/(up_Bv!L12+s_MLF_cucumber)),".")</f>
        <v>1.3187534153652907E-11</v>
      </c>
      <c r="BN12" s="15">
        <f>IFERROR((up_dir!AN12/(up_Bv!M12+s_MLF_lettuce)),".")</f>
        <v>1.3187534153652907E-11</v>
      </c>
      <c r="BO12" s="15">
        <f>IFERROR((up_dir!AO12/(up_Bv!N12+s_MLF_lima_bean)),".")</f>
        <v>1.3187534153652907E-11</v>
      </c>
      <c r="BP12" s="15">
        <f>IFERROR((up_dir!AP12/(up_Bv!O12+s_MLF_okra)),".")</f>
        <v>1.3187534153652907E-11</v>
      </c>
      <c r="BQ12" s="15">
        <f>IFERROR((up_dir!AQ12/(up_Bv!P12+s_MLF_onion)),".")</f>
        <v>1.3187534153652907E-11</v>
      </c>
      <c r="BR12" s="15">
        <f>IFERROR((up_dir!AR12/(up_Bv!Q12+s_MLF_peach)),".")</f>
        <v>1.3187534153652907E-11</v>
      </c>
      <c r="BS12" s="15">
        <f>IFERROR((up_dir!AS12/(up_Bv!R12+s_MLF_pear)),".")</f>
        <v>1.3187534153652907E-11</v>
      </c>
      <c r="BT12" s="15">
        <f>IFERROR((up_dir!AT12/(up_Bv!S12+s_MLF_peas)),".")</f>
        <v>1.3187534153652907E-11</v>
      </c>
      <c r="BU12" s="15">
        <f>IFERROR((up_dir!AU12/(up_Bv!T12+s_MLF_peppers)),".")</f>
        <v>1.3187534153652907E-11</v>
      </c>
      <c r="BV12" s="15">
        <f>IFERROR((up_dir!AV12/(up_Bv!U12+s_MLF_potato)),".")</f>
        <v>1.3187534153652907E-11</v>
      </c>
      <c r="BW12" s="15">
        <f>IFERROR((up_dir!AW12/(up_Bv!V12+s_MLF_pumpkin)),".")</f>
        <v>1.3187534153652907E-11</v>
      </c>
      <c r="BX12" s="15">
        <f>IFERROR((up_dir!AX12/(up_Bv!W12+s_MLF_snap_bean)),".")</f>
        <v>1.3187534153652907E-11</v>
      </c>
      <c r="BY12" s="15">
        <f>IFERROR((up_dir!AY12/(up_Bv!X12+s_MLF_strawberry)),".")</f>
        <v>1.3187534153652907E-11</v>
      </c>
      <c r="BZ12" s="15">
        <f>IFERROR((up_dir!AZ12/(up_Bv!Y12+s_MLF_tomato)),".")</f>
        <v>1.3187534153652907E-11</v>
      </c>
      <c r="CA12" s="15">
        <f>IFERROR((up_dir!BA12/(up_Bv!Z12+s_MLF_rice)),".")</f>
        <v>1.3187534153652907E-11</v>
      </c>
      <c r="CB12" s="15">
        <f>IFERROR((up_dir!BB12/(up_Bv!AA12+s_MLF_cereal)),".")</f>
        <v>1.3187534153652907E-11</v>
      </c>
      <c r="CC12" s="40">
        <f t="shared" si="3"/>
        <v>3033167.5</v>
      </c>
      <c r="CD12" s="40">
        <f>IFERROR(s_C*(up_Bv!C12+s_MLF_apple)*s_IFAP_far_adj*s_CF_apple,".")</f>
        <v>758291.875</v>
      </c>
      <c r="CE12" s="40">
        <f>IFERROR(s_C*(up_Bv!D12+s_MLF_asparagus)*s_IFAS_far_adj*s_CF_asparagus,".")</f>
        <v>758291.875</v>
      </c>
      <c r="CF12" s="40">
        <f>IFERROR(s_C*(up_Bv!E12+s_MLF_beet)*s_IFBT_far_adj*s_CF_beet,".")</f>
        <v>758291.875</v>
      </c>
      <c r="CG12" s="40">
        <f>IFERROR(s_C*(up_Bv!F12+s_MLF_berries)*s_IFBR_far_adj*s_CF_berries,".")</f>
        <v>758291.875</v>
      </c>
      <c r="CH12" s="40">
        <f>IFERROR(s_C*(up_Bv!G12+s_MLF_broccoli)*s_IFBR_far_adj*s_CF_broccoli,".")</f>
        <v>758291.875</v>
      </c>
      <c r="CI12" s="40">
        <f>IFERROR(s_C*(up_Bv!H12+s_MLF_cabbage)*s_IFCB_far_adj*s_CF_cabbage,".")</f>
        <v>758291.875</v>
      </c>
      <c r="CJ12" s="40">
        <f>IFERROR(s_C*(up_Bv!I12+s_MLF_carrot)*s_IFCR_far_adj*s_CF_carrot,".")</f>
        <v>758291.875</v>
      </c>
      <c r="CK12" s="40">
        <f>IFERROR(s_C*(up_Bv!J12+s_MLF_citrus)*s_IFCI_far_adj*s_CF_citrus,".")</f>
        <v>758291.875</v>
      </c>
      <c r="CL12" s="40">
        <f>IFERROR(s_C*(up_Bv!K12+s_MLF_corn)*s_IFCO_far_adj*s_CF_corn,".")</f>
        <v>758291.875</v>
      </c>
      <c r="CM12" s="40">
        <f>IFERROR(s_C*(up_Bv!L12+s_MLF_cucumber)*s_IFCU_far_adj*s_CF_cucumber,".")</f>
        <v>758291.875</v>
      </c>
      <c r="CN12" s="40">
        <f>IFERROR(s_C*(up_Bv!M12+s_MLF_lettuce)*s_IFLE_far_adj*s_CF_lettuce,".")</f>
        <v>758291.875</v>
      </c>
      <c r="CO12" s="40">
        <f>IFERROR(s_C*(up_Bv!N12+s_MLF_lima_bean)*s_IFLI_far_adj*s_CF_lima_bean,".")</f>
        <v>758291.875</v>
      </c>
      <c r="CP12" s="40">
        <f>IFERROR(s_C*(up_Bv!O12+s_MLF_okra)*s_IFOK_far_adj*s_CF_okra,".")</f>
        <v>758291.875</v>
      </c>
      <c r="CQ12" s="40">
        <f>IFERROR(s_C*(up_Bv!P12+s_MLF_onion)*s_IFON_far_adj*s_CF_onion,".")</f>
        <v>758291.875</v>
      </c>
      <c r="CR12" s="40">
        <f>IFERROR(s_C*(up_Bv!Q12+s_MLF_peach)*s_IFPC_far_adj*s_CF_peach,".")</f>
        <v>758291.875</v>
      </c>
      <c r="CS12" s="40">
        <f>IFERROR(s_C*(up_Bv!R12+s_MLF_pear)*s_IFPR_far_adj*s_CF_pear,".")</f>
        <v>758291.875</v>
      </c>
      <c r="CT12" s="40">
        <f>IFERROR(s_C*(up_Bv!S12+s_MLF_peas)*s_IFPE_far_adj*s_CF_peas,".")</f>
        <v>758291.875</v>
      </c>
      <c r="CU12" s="40">
        <f>IFERROR(s_C*(up_Bv!T12+s_MLF_peppers)*s_IFPP_far_adj*s_CF_peppers,".")</f>
        <v>758291.875</v>
      </c>
      <c r="CV12" s="40">
        <f>IFERROR(s_C*(up_Bv!U12+s_MLF_potato)*s_IFPT_far_adj*s_CF_potato,".")</f>
        <v>758291.875</v>
      </c>
      <c r="CW12" s="40">
        <f>IFERROR(s_C*(up_Bv!V12+s_MLF_pumpkin)*s_IFPU_far_adj*s_CF_pumpkin,".")</f>
        <v>758291.875</v>
      </c>
      <c r="CX12" s="40">
        <f>IFERROR(s_C*(up_Bv!W12+s_MLF_snap_bean)*s_IFSN_far_adj*s_CF_snap_bean,".")</f>
        <v>758291.875</v>
      </c>
      <c r="CY12" s="40">
        <f>IFERROR(s_C*(up_Bv!X12+s_MLF_strawberry)*s_IFST_far_adj*s_CF_strawberry,".")</f>
        <v>758291.875</v>
      </c>
      <c r="CZ12" s="40">
        <f>IFERROR(s_C*(up_Bv!Y12+s_MLF_tomato)*s_IFTO_far_adj*s_CF_tomato,".")</f>
        <v>758291.875</v>
      </c>
      <c r="DA12" s="40">
        <f>IFERROR(s_C*(up_Bv!Z12+s_MLF_rice)*s_IFRI_far_adj*s_CF_rice,".")</f>
        <v>758291.875</v>
      </c>
      <c r="DB12" s="40">
        <f>IFERROR(s_C*(up_Bv!AA12+s_MLF_cereal)*s_IFCG_far_adj*s_CF_cereal,".")</f>
        <v>758291.875</v>
      </c>
    </row>
    <row r="13" spans="1:106" ht="15" customHeight="1" x14ac:dyDescent="0.25">
      <c r="A13" s="44" t="s">
        <v>23</v>
      </c>
      <c r="B13" s="42" t="s">
        <v>1071</v>
      </c>
      <c r="C13" s="15">
        <f t="shared" si="0"/>
        <v>3.2968835384132272E-12</v>
      </c>
      <c r="D13" s="15">
        <f>IFERROR((up_dir!D13/(up_Bv!C13+s_MLF_apple)),".")</f>
        <v>1.3187534153652907E-11</v>
      </c>
      <c r="E13" s="15">
        <f>IFERROR((up_dir!E13/(up_Bv!D13+s_MLF_asparagus)),".")</f>
        <v>1.3187534153652907E-11</v>
      </c>
      <c r="F13" s="15">
        <f>IFERROR((up_dir!F13/(up_Bv!E13+s_MLF_beet)),".")</f>
        <v>1.3187534153652907E-11</v>
      </c>
      <c r="G13" s="15">
        <f>IFERROR((up_dir!G13/(up_Bv!F13+s_MLF_berries)),".")</f>
        <v>1.3187534153652907E-11</v>
      </c>
      <c r="H13" s="15">
        <f>IFERROR((up_dir!H13/(up_Bv!G13+s_MLF_broccoli)),".")</f>
        <v>1.3187534153652907E-11</v>
      </c>
      <c r="I13" s="15">
        <f>IFERROR((up_dir!I13/(up_Bv!H13+s_MLF_cabbage)),".")</f>
        <v>1.3187534153652907E-11</v>
      </c>
      <c r="J13" s="15">
        <f>IFERROR((up_dir!J13/(up_Bv!I13+s_MLF_carrot)),".")</f>
        <v>1.3187534153652907E-11</v>
      </c>
      <c r="K13" s="15">
        <f>IFERROR((up_dir!K13/(up_Bv!J13+s_MLF_citrus)),".")</f>
        <v>1.3187534153652907E-11</v>
      </c>
      <c r="L13" s="15">
        <f>IFERROR((up_dir!L13/(up_Bv!K13+s_MLF_corn)),".")</f>
        <v>1.3187534153652907E-11</v>
      </c>
      <c r="M13" s="15">
        <f>IFERROR((up_dir!M13/(up_Bv!L13+s_MLF_cucumber)),".")</f>
        <v>1.3187534153652907E-11</v>
      </c>
      <c r="N13" s="15">
        <f>IFERROR((up_dir!N13/(up_Bv!M13+s_MLF_lettuce)),".")</f>
        <v>1.3187534153652907E-11</v>
      </c>
      <c r="O13" s="15">
        <f>IFERROR((up_dir!O13/(up_Bv!N13+s_MLF_lima_bean)),".")</f>
        <v>1.3187534153652907E-11</v>
      </c>
      <c r="P13" s="15">
        <f>IFERROR((up_dir!P13/(up_Bv!O13+s_MLF_okra)),".")</f>
        <v>1.3187534153652907E-11</v>
      </c>
      <c r="Q13" s="15">
        <f>IFERROR((up_dir!Q13/(up_Bv!P13+s_MLF_onion)),".")</f>
        <v>1.3187534153652907E-11</v>
      </c>
      <c r="R13" s="15">
        <f>IFERROR((up_dir!R13/(up_Bv!Q13+s_MLF_peach)),".")</f>
        <v>1.3187534153652907E-11</v>
      </c>
      <c r="S13" s="15">
        <f>IFERROR((up_dir!S13/(up_Bv!R13+s_MLF_pear)),".")</f>
        <v>1.3187534153652907E-11</v>
      </c>
      <c r="T13" s="15">
        <f>IFERROR((up_dir!T13/(up_Bv!S13+s_MLF_peas)),".")</f>
        <v>1.3187534153652907E-11</v>
      </c>
      <c r="U13" s="15">
        <f>IFERROR((up_dir!U13/(up_Bv!T13+s_MLF_peppers)),".")</f>
        <v>1.3187534153652907E-11</v>
      </c>
      <c r="V13" s="15">
        <f>IFERROR((up_dir!V13/(up_Bv!U13+s_MLF_potato)),".")</f>
        <v>1.3187534153652907E-11</v>
      </c>
      <c r="W13" s="15">
        <f>IFERROR((up_dir!W13/(up_Bv!V13+s_MLF_pumpkin)),".")</f>
        <v>1.3187534153652907E-11</v>
      </c>
      <c r="X13" s="15">
        <f>IFERROR((up_dir!X13/(up_Bv!W13+s_MLF_snap_bean)),".")</f>
        <v>1.3187534153652907E-11</v>
      </c>
      <c r="Y13" s="15">
        <f>IFERROR((up_dir!Y13/(up_Bv!X13+s_MLF_strawberry)),".")</f>
        <v>1.3187534153652907E-11</v>
      </c>
      <c r="Z13" s="15">
        <f>IFERROR((up_dir!Z13/(up_Bv!Y13+s_MLF_tomato)),".")</f>
        <v>1.3187534153652907E-11</v>
      </c>
      <c r="AA13" s="15">
        <f>IFERROR((up_dir!AA13/(up_Bv!Z13+s_MLF_rice)),".")</f>
        <v>1.3187534153652907E-11</v>
      </c>
      <c r="AB13" s="15">
        <f>IFERROR((up_dir!AB13/(up_Bv!AA13+s_MLF_cereal)),".")</f>
        <v>1.3187534153652907E-11</v>
      </c>
      <c r="AC13" s="40">
        <f t="shared" si="1"/>
        <v>3033167.5</v>
      </c>
      <c r="AD13" s="40">
        <f>s_C*(up_Bv!C13+s_MLF_apple)*s_IFAP_res_adj*s_CF_apple</f>
        <v>758291.875</v>
      </c>
      <c r="AE13" s="40">
        <f>s_C*(up_Bv!D13+s_MLF_asparagus)*s_IFAS_res_adj*s_CF_asparagus</f>
        <v>758291.875</v>
      </c>
      <c r="AF13" s="40">
        <f>s_C*(up_Bv!E13+s_MLF_beet)*s_IFBT_res_adj*s_CF_beet</f>
        <v>758291.875</v>
      </c>
      <c r="AG13" s="40">
        <f>s_C*(up_Bv!F13+s_MLF_berries)*s_IFBE_res_adj*s_CF_berries</f>
        <v>758291.875</v>
      </c>
      <c r="AH13" s="40">
        <f>s_C*(up_Bv!G13+s_MLF_broccoli)*s_IFBR_res_adj*s_CF_broccoli</f>
        <v>758291.875</v>
      </c>
      <c r="AI13" s="40">
        <f>s_C*(up_Bv!H13+s_MLF_cabbage)*s_IFCB_res_adj*s_CF_cabbage</f>
        <v>758291.875</v>
      </c>
      <c r="AJ13" s="40">
        <f>s_C*(up_Bv!I13+s_MLF_carrot)*s_IFCR_res_adj*s_CF_carrot</f>
        <v>758291.875</v>
      </c>
      <c r="AK13" s="40">
        <f>s_C*(up_Bv!J13+s_MLF_citrus)*s_IFCI_res_adj*s_CF_citrus</f>
        <v>758291.875</v>
      </c>
      <c r="AL13" s="40">
        <f>s_C*(up_Bv!K13+s_MLF_corn)*s_IFCO_res_adj*s_CF_corn</f>
        <v>758291.875</v>
      </c>
      <c r="AM13" s="40">
        <f>s_C*(up_Bv!L13+s_MLF_cucumber)*s_IFCU_res_adj*s_CF_cucumber</f>
        <v>758291.875</v>
      </c>
      <c r="AN13" s="40">
        <f>s_C*(up_Bv!M13+s_MLF_lettuce)*s_IFLE_res_adj*s_CF_lettuce</f>
        <v>758291.875</v>
      </c>
      <c r="AO13" s="40">
        <f>s_C*(up_Bv!N13+s_MLF_lima_bean)*s_IFLI_res_adj*s_CF_lima_bean</f>
        <v>758291.875</v>
      </c>
      <c r="AP13" s="40">
        <f>s_C*(up_Bv!O13+s_MLF_okra)*s_IFOK_res_adj*s_CF_okra</f>
        <v>758291.875</v>
      </c>
      <c r="AQ13" s="40">
        <f>s_C*(up_Bv!P13+s_MLF_onion)*s_IFON_res_adj*s_CF_onion</f>
        <v>758291.875</v>
      </c>
      <c r="AR13" s="40">
        <f>s_C*(up_Bv!Q13+s_MLF_peach)*s_IFPC_res_adj*s_CF_peach</f>
        <v>758291.875</v>
      </c>
      <c r="AS13" s="40">
        <f>s_C*(up_Bv!R13+s_MLF_pear)*s_IFPR_res_adj*s_CF_pear</f>
        <v>758291.875</v>
      </c>
      <c r="AT13" s="40">
        <f>s_C*(up_Bv!S13+s_MLF_peas)*s_IFPE_res_adj*s_CF_peas</f>
        <v>758291.875</v>
      </c>
      <c r="AU13" s="40">
        <f>s_C*(up_Bv!T13+s_MLF_peppers)*s_IFPP_res_adj*s_CF_peppers</f>
        <v>758291.875</v>
      </c>
      <c r="AV13" s="40">
        <f>s_C*(up_Bv!U13+s_MLF_potato)*s_IFPT_res_adj*s_CF_potato</f>
        <v>758291.875</v>
      </c>
      <c r="AW13" s="40">
        <f>s_C*(up_Bv!V13+s_MLF_pumpkin)*s_IFPU_res_adj*s_CF_pumpkin</f>
        <v>758291.875</v>
      </c>
      <c r="AX13" s="40">
        <f>s_C*(up_Bv!W13+s_MLF_snap_bean)*s_IFSN_res_adj*s_CF_snap_bean</f>
        <v>758291.875</v>
      </c>
      <c r="AY13" s="40">
        <f>s_C*(up_Bv!X13+s_MLF_strawberry)*s_IFST_res_adj*s_CF_strawberry</f>
        <v>758291.875</v>
      </c>
      <c r="AZ13" s="40">
        <f>s_C*(up_Bv!Y13+s_MLF_tomato)*s_IFTO_res_adj*s_CF_tomato</f>
        <v>758291.875</v>
      </c>
      <c r="BA13" s="40">
        <f>s_C*(up_Bv!Z13+s_MLF_rice)*s_IFRI_res_adj*s_CF_rice</f>
        <v>758291.875</v>
      </c>
      <c r="BB13" s="40">
        <f>s_C*(up_Bv!AA13+s_MLF_cereal)*s_IFCG_res_adj*s_CF_cereal</f>
        <v>758291.875</v>
      </c>
      <c r="BC13" s="15">
        <f t="shared" si="2"/>
        <v>3.2968835384132272E-12</v>
      </c>
      <c r="BD13" s="15">
        <f>IFERROR((up_dir!AD13/(up_Bv!C13+s_MLF_apple)),".")</f>
        <v>1.3187534153652907E-11</v>
      </c>
      <c r="BE13" s="15">
        <f>IFERROR((up_dir!AE13/(up_Bv!D13+s_MLF_asparagus)),".")</f>
        <v>1.3187534153652907E-11</v>
      </c>
      <c r="BF13" s="15">
        <f>IFERROR((up_dir!AF13/(up_Bv!E13+s_MLF_beet)),".")</f>
        <v>1.3187534153652907E-11</v>
      </c>
      <c r="BG13" s="15">
        <f>IFERROR((up_dir!AG13/(up_Bv!F13+s_MLF_berries)),".")</f>
        <v>1.3187534153652907E-11</v>
      </c>
      <c r="BH13" s="15">
        <f>IFERROR((up_dir!AH13/(up_Bv!G13+s_MLF_broccoli)),".")</f>
        <v>1.3187534153652907E-11</v>
      </c>
      <c r="BI13" s="15">
        <f>IFERROR((up_dir!AI13/(up_Bv!H13+s_MLF_cabbage)),".")</f>
        <v>1.3187534153652907E-11</v>
      </c>
      <c r="BJ13" s="15">
        <f>IFERROR((up_dir!AJ13/(up_Bv!I13+s_MLF_carrot)),".")</f>
        <v>1.3187534153652907E-11</v>
      </c>
      <c r="BK13" s="15">
        <f>IFERROR((up_dir!AK13/(up_Bv!J13+s_MLF_citrus)),".")</f>
        <v>1.3187534153652907E-11</v>
      </c>
      <c r="BL13" s="15">
        <f>IFERROR((up_dir!AL13/(up_Bv!K13+s_MLF_corn)),".")</f>
        <v>1.3187534153652907E-11</v>
      </c>
      <c r="BM13" s="15">
        <f>IFERROR((up_dir!AM13/(up_Bv!L13+s_MLF_cucumber)),".")</f>
        <v>1.3187534153652907E-11</v>
      </c>
      <c r="BN13" s="15">
        <f>IFERROR((up_dir!AN13/(up_Bv!M13+s_MLF_lettuce)),".")</f>
        <v>1.3187534153652907E-11</v>
      </c>
      <c r="BO13" s="15">
        <f>IFERROR((up_dir!AO13/(up_Bv!N13+s_MLF_lima_bean)),".")</f>
        <v>1.3187534153652907E-11</v>
      </c>
      <c r="BP13" s="15">
        <f>IFERROR((up_dir!AP13/(up_Bv!O13+s_MLF_okra)),".")</f>
        <v>1.3187534153652907E-11</v>
      </c>
      <c r="BQ13" s="15">
        <f>IFERROR((up_dir!AQ13/(up_Bv!P13+s_MLF_onion)),".")</f>
        <v>1.3187534153652907E-11</v>
      </c>
      <c r="BR13" s="15">
        <f>IFERROR((up_dir!AR13/(up_Bv!Q13+s_MLF_peach)),".")</f>
        <v>1.3187534153652907E-11</v>
      </c>
      <c r="BS13" s="15">
        <f>IFERROR((up_dir!AS13/(up_Bv!R13+s_MLF_pear)),".")</f>
        <v>1.3187534153652907E-11</v>
      </c>
      <c r="BT13" s="15">
        <f>IFERROR((up_dir!AT13/(up_Bv!S13+s_MLF_peas)),".")</f>
        <v>1.3187534153652907E-11</v>
      </c>
      <c r="BU13" s="15">
        <f>IFERROR((up_dir!AU13/(up_Bv!T13+s_MLF_peppers)),".")</f>
        <v>1.3187534153652907E-11</v>
      </c>
      <c r="BV13" s="15">
        <f>IFERROR((up_dir!AV13/(up_Bv!U13+s_MLF_potato)),".")</f>
        <v>1.3187534153652907E-11</v>
      </c>
      <c r="BW13" s="15">
        <f>IFERROR((up_dir!AW13/(up_Bv!V13+s_MLF_pumpkin)),".")</f>
        <v>1.3187534153652907E-11</v>
      </c>
      <c r="BX13" s="15">
        <f>IFERROR((up_dir!AX13/(up_Bv!W13+s_MLF_snap_bean)),".")</f>
        <v>1.3187534153652907E-11</v>
      </c>
      <c r="BY13" s="15">
        <f>IFERROR((up_dir!AY13/(up_Bv!X13+s_MLF_strawberry)),".")</f>
        <v>1.3187534153652907E-11</v>
      </c>
      <c r="BZ13" s="15">
        <f>IFERROR((up_dir!AZ13/(up_Bv!Y13+s_MLF_tomato)),".")</f>
        <v>1.3187534153652907E-11</v>
      </c>
      <c r="CA13" s="15">
        <f>IFERROR((up_dir!BA13/(up_Bv!Z13+s_MLF_rice)),".")</f>
        <v>1.3187534153652907E-11</v>
      </c>
      <c r="CB13" s="15">
        <f>IFERROR((up_dir!BB13/(up_Bv!AA13+s_MLF_cereal)),".")</f>
        <v>1.3187534153652907E-11</v>
      </c>
      <c r="CC13" s="40">
        <f t="shared" si="3"/>
        <v>3033167.5</v>
      </c>
      <c r="CD13" s="40">
        <f>IFERROR(s_C*(up_Bv!C13+s_MLF_apple)*s_IFAP_far_adj*s_CF_apple,".")</f>
        <v>758291.875</v>
      </c>
      <c r="CE13" s="40">
        <f>IFERROR(s_C*(up_Bv!D13+s_MLF_asparagus)*s_IFAS_far_adj*s_CF_asparagus,".")</f>
        <v>758291.875</v>
      </c>
      <c r="CF13" s="40">
        <f>IFERROR(s_C*(up_Bv!E13+s_MLF_beet)*s_IFBT_far_adj*s_CF_beet,".")</f>
        <v>758291.875</v>
      </c>
      <c r="CG13" s="40">
        <f>IFERROR(s_C*(up_Bv!F13+s_MLF_berries)*s_IFBR_far_adj*s_CF_berries,".")</f>
        <v>758291.875</v>
      </c>
      <c r="CH13" s="40">
        <f>IFERROR(s_C*(up_Bv!G13+s_MLF_broccoli)*s_IFBR_far_adj*s_CF_broccoli,".")</f>
        <v>758291.875</v>
      </c>
      <c r="CI13" s="40">
        <f>IFERROR(s_C*(up_Bv!H13+s_MLF_cabbage)*s_IFCB_far_adj*s_CF_cabbage,".")</f>
        <v>758291.875</v>
      </c>
      <c r="CJ13" s="40">
        <f>IFERROR(s_C*(up_Bv!I13+s_MLF_carrot)*s_IFCR_far_adj*s_CF_carrot,".")</f>
        <v>758291.875</v>
      </c>
      <c r="CK13" s="40">
        <f>IFERROR(s_C*(up_Bv!J13+s_MLF_citrus)*s_IFCI_far_adj*s_CF_citrus,".")</f>
        <v>758291.875</v>
      </c>
      <c r="CL13" s="40">
        <f>IFERROR(s_C*(up_Bv!K13+s_MLF_corn)*s_IFCO_far_adj*s_CF_corn,".")</f>
        <v>758291.875</v>
      </c>
      <c r="CM13" s="40">
        <f>IFERROR(s_C*(up_Bv!L13+s_MLF_cucumber)*s_IFCU_far_adj*s_CF_cucumber,".")</f>
        <v>758291.875</v>
      </c>
      <c r="CN13" s="40">
        <f>IFERROR(s_C*(up_Bv!M13+s_MLF_lettuce)*s_IFLE_far_adj*s_CF_lettuce,".")</f>
        <v>758291.875</v>
      </c>
      <c r="CO13" s="40">
        <f>IFERROR(s_C*(up_Bv!N13+s_MLF_lima_bean)*s_IFLI_far_adj*s_CF_lima_bean,".")</f>
        <v>758291.875</v>
      </c>
      <c r="CP13" s="40">
        <f>IFERROR(s_C*(up_Bv!O13+s_MLF_okra)*s_IFOK_far_adj*s_CF_okra,".")</f>
        <v>758291.875</v>
      </c>
      <c r="CQ13" s="40">
        <f>IFERROR(s_C*(up_Bv!P13+s_MLF_onion)*s_IFON_far_adj*s_CF_onion,".")</f>
        <v>758291.875</v>
      </c>
      <c r="CR13" s="40">
        <f>IFERROR(s_C*(up_Bv!Q13+s_MLF_peach)*s_IFPC_far_adj*s_CF_peach,".")</f>
        <v>758291.875</v>
      </c>
      <c r="CS13" s="40">
        <f>IFERROR(s_C*(up_Bv!R13+s_MLF_pear)*s_IFPR_far_adj*s_CF_pear,".")</f>
        <v>758291.875</v>
      </c>
      <c r="CT13" s="40">
        <f>IFERROR(s_C*(up_Bv!S13+s_MLF_peas)*s_IFPE_far_adj*s_CF_peas,".")</f>
        <v>758291.875</v>
      </c>
      <c r="CU13" s="40">
        <f>IFERROR(s_C*(up_Bv!T13+s_MLF_peppers)*s_IFPP_far_adj*s_CF_peppers,".")</f>
        <v>758291.875</v>
      </c>
      <c r="CV13" s="40">
        <f>IFERROR(s_C*(up_Bv!U13+s_MLF_potato)*s_IFPT_far_adj*s_CF_potato,".")</f>
        <v>758291.875</v>
      </c>
      <c r="CW13" s="40">
        <f>IFERROR(s_C*(up_Bv!V13+s_MLF_pumpkin)*s_IFPU_far_adj*s_CF_pumpkin,".")</f>
        <v>758291.875</v>
      </c>
      <c r="CX13" s="40">
        <f>IFERROR(s_C*(up_Bv!W13+s_MLF_snap_bean)*s_IFSN_far_adj*s_CF_snap_bean,".")</f>
        <v>758291.875</v>
      </c>
      <c r="CY13" s="40">
        <f>IFERROR(s_C*(up_Bv!X13+s_MLF_strawberry)*s_IFST_far_adj*s_CF_strawberry,".")</f>
        <v>758291.875</v>
      </c>
      <c r="CZ13" s="40">
        <f>IFERROR(s_C*(up_Bv!Y13+s_MLF_tomato)*s_IFTO_far_adj*s_CF_tomato,".")</f>
        <v>758291.875</v>
      </c>
      <c r="DA13" s="40">
        <f>IFERROR(s_C*(up_Bv!Z13+s_MLF_rice)*s_IFRI_far_adj*s_CF_rice,".")</f>
        <v>758291.875</v>
      </c>
      <c r="DB13" s="40">
        <f>IFERROR(s_C*(up_Bv!AA13+s_MLF_cereal)*s_IFCG_far_adj*s_CF_cereal,".")</f>
        <v>758291.875</v>
      </c>
    </row>
    <row r="14" spans="1:106" ht="15" customHeight="1" x14ac:dyDescent="0.25">
      <c r="A14" s="44" t="s">
        <v>24</v>
      </c>
      <c r="B14" s="42" t="s">
        <v>1071</v>
      </c>
      <c r="C14" s="15">
        <f t="shared" si="0"/>
        <v>3.2968835384132272E-12</v>
      </c>
      <c r="D14" s="15">
        <f>IFERROR((up_dir!D14/(up_Bv!C14+s_MLF_apple)),".")</f>
        <v>1.3187534153652907E-11</v>
      </c>
      <c r="E14" s="15">
        <f>IFERROR((up_dir!E14/(up_Bv!D14+s_MLF_asparagus)),".")</f>
        <v>1.3187534153652907E-11</v>
      </c>
      <c r="F14" s="15">
        <f>IFERROR((up_dir!F14/(up_Bv!E14+s_MLF_beet)),".")</f>
        <v>1.3187534153652907E-11</v>
      </c>
      <c r="G14" s="15">
        <f>IFERROR((up_dir!G14/(up_Bv!F14+s_MLF_berries)),".")</f>
        <v>1.3187534153652907E-11</v>
      </c>
      <c r="H14" s="15">
        <f>IFERROR((up_dir!H14/(up_Bv!G14+s_MLF_broccoli)),".")</f>
        <v>1.3187534153652907E-11</v>
      </c>
      <c r="I14" s="15">
        <f>IFERROR((up_dir!I14/(up_Bv!H14+s_MLF_cabbage)),".")</f>
        <v>1.3187534153652907E-11</v>
      </c>
      <c r="J14" s="15">
        <f>IFERROR((up_dir!J14/(up_Bv!I14+s_MLF_carrot)),".")</f>
        <v>1.3187534153652907E-11</v>
      </c>
      <c r="K14" s="15">
        <f>IFERROR((up_dir!K14/(up_Bv!J14+s_MLF_citrus)),".")</f>
        <v>1.3187534153652907E-11</v>
      </c>
      <c r="L14" s="15">
        <f>IFERROR((up_dir!L14/(up_Bv!K14+s_MLF_corn)),".")</f>
        <v>1.3187534153652907E-11</v>
      </c>
      <c r="M14" s="15">
        <f>IFERROR((up_dir!M14/(up_Bv!L14+s_MLF_cucumber)),".")</f>
        <v>1.3187534153652907E-11</v>
      </c>
      <c r="N14" s="15">
        <f>IFERROR((up_dir!N14/(up_Bv!M14+s_MLF_lettuce)),".")</f>
        <v>1.3187534153652907E-11</v>
      </c>
      <c r="O14" s="15">
        <f>IFERROR((up_dir!O14/(up_Bv!N14+s_MLF_lima_bean)),".")</f>
        <v>1.3187534153652907E-11</v>
      </c>
      <c r="P14" s="15">
        <f>IFERROR((up_dir!P14/(up_Bv!O14+s_MLF_okra)),".")</f>
        <v>1.3187534153652907E-11</v>
      </c>
      <c r="Q14" s="15">
        <f>IFERROR((up_dir!Q14/(up_Bv!P14+s_MLF_onion)),".")</f>
        <v>1.3187534153652907E-11</v>
      </c>
      <c r="R14" s="15">
        <f>IFERROR((up_dir!R14/(up_Bv!Q14+s_MLF_peach)),".")</f>
        <v>1.3187534153652907E-11</v>
      </c>
      <c r="S14" s="15">
        <f>IFERROR((up_dir!S14/(up_Bv!R14+s_MLF_pear)),".")</f>
        <v>1.3187534153652907E-11</v>
      </c>
      <c r="T14" s="15">
        <f>IFERROR((up_dir!T14/(up_Bv!S14+s_MLF_peas)),".")</f>
        <v>1.3187534153652907E-11</v>
      </c>
      <c r="U14" s="15">
        <f>IFERROR((up_dir!U14/(up_Bv!T14+s_MLF_peppers)),".")</f>
        <v>1.3187534153652907E-11</v>
      </c>
      <c r="V14" s="15">
        <f>IFERROR((up_dir!V14/(up_Bv!U14+s_MLF_potato)),".")</f>
        <v>1.3187534153652907E-11</v>
      </c>
      <c r="W14" s="15">
        <f>IFERROR((up_dir!W14/(up_Bv!V14+s_MLF_pumpkin)),".")</f>
        <v>1.3187534153652907E-11</v>
      </c>
      <c r="X14" s="15">
        <f>IFERROR((up_dir!X14/(up_Bv!W14+s_MLF_snap_bean)),".")</f>
        <v>1.3187534153652907E-11</v>
      </c>
      <c r="Y14" s="15">
        <f>IFERROR((up_dir!Y14/(up_Bv!X14+s_MLF_strawberry)),".")</f>
        <v>1.3187534153652907E-11</v>
      </c>
      <c r="Z14" s="15">
        <f>IFERROR((up_dir!Z14/(up_Bv!Y14+s_MLF_tomato)),".")</f>
        <v>1.3187534153652907E-11</v>
      </c>
      <c r="AA14" s="15">
        <f>IFERROR((up_dir!AA14/(up_Bv!Z14+s_MLF_rice)),".")</f>
        <v>1.3187534153652907E-11</v>
      </c>
      <c r="AB14" s="15">
        <f>IFERROR((up_dir!AB14/(up_Bv!AA14+s_MLF_cereal)),".")</f>
        <v>1.3187534153652907E-11</v>
      </c>
      <c r="AC14" s="40">
        <f t="shared" si="1"/>
        <v>3033167.5</v>
      </c>
      <c r="AD14" s="40">
        <f>s_C*(up_Bv!C14+s_MLF_apple)*s_IFAP_res_adj*s_CF_apple</f>
        <v>758291.875</v>
      </c>
      <c r="AE14" s="40">
        <f>s_C*(up_Bv!D14+s_MLF_asparagus)*s_IFAS_res_adj*s_CF_asparagus</f>
        <v>758291.875</v>
      </c>
      <c r="AF14" s="40">
        <f>s_C*(up_Bv!E14+s_MLF_beet)*s_IFBT_res_adj*s_CF_beet</f>
        <v>758291.875</v>
      </c>
      <c r="AG14" s="40">
        <f>s_C*(up_Bv!F14+s_MLF_berries)*s_IFBE_res_adj*s_CF_berries</f>
        <v>758291.875</v>
      </c>
      <c r="AH14" s="40">
        <f>s_C*(up_Bv!G14+s_MLF_broccoli)*s_IFBR_res_adj*s_CF_broccoli</f>
        <v>758291.875</v>
      </c>
      <c r="AI14" s="40">
        <f>s_C*(up_Bv!H14+s_MLF_cabbage)*s_IFCB_res_adj*s_CF_cabbage</f>
        <v>758291.875</v>
      </c>
      <c r="AJ14" s="40">
        <f>s_C*(up_Bv!I14+s_MLF_carrot)*s_IFCR_res_adj*s_CF_carrot</f>
        <v>758291.875</v>
      </c>
      <c r="AK14" s="40">
        <f>s_C*(up_Bv!J14+s_MLF_citrus)*s_IFCI_res_adj*s_CF_citrus</f>
        <v>758291.875</v>
      </c>
      <c r="AL14" s="40">
        <f>s_C*(up_Bv!K14+s_MLF_corn)*s_IFCO_res_adj*s_CF_corn</f>
        <v>758291.875</v>
      </c>
      <c r="AM14" s="40">
        <f>s_C*(up_Bv!L14+s_MLF_cucumber)*s_IFCU_res_adj*s_CF_cucumber</f>
        <v>758291.875</v>
      </c>
      <c r="AN14" s="40">
        <f>s_C*(up_Bv!M14+s_MLF_lettuce)*s_IFLE_res_adj*s_CF_lettuce</f>
        <v>758291.875</v>
      </c>
      <c r="AO14" s="40">
        <f>s_C*(up_Bv!N14+s_MLF_lima_bean)*s_IFLI_res_adj*s_CF_lima_bean</f>
        <v>758291.875</v>
      </c>
      <c r="AP14" s="40">
        <f>s_C*(up_Bv!O14+s_MLF_okra)*s_IFOK_res_adj*s_CF_okra</f>
        <v>758291.875</v>
      </c>
      <c r="AQ14" s="40">
        <f>s_C*(up_Bv!P14+s_MLF_onion)*s_IFON_res_adj*s_CF_onion</f>
        <v>758291.875</v>
      </c>
      <c r="AR14" s="40">
        <f>s_C*(up_Bv!Q14+s_MLF_peach)*s_IFPC_res_adj*s_CF_peach</f>
        <v>758291.875</v>
      </c>
      <c r="AS14" s="40">
        <f>s_C*(up_Bv!R14+s_MLF_pear)*s_IFPR_res_adj*s_CF_pear</f>
        <v>758291.875</v>
      </c>
      <c r="AT14" s="40">
        <f>s_C*(up_Bv!S14+s_MLF_peas)*s_IFPE_res_adj*s_CF_peas</f>
        <v>758291.875</v>
      </c>
      <c r="AU14" s="40">
        <f>s_C*(up_Bv!T14+s_MLF_peppers)*s_IFPP_res_adj*s_CF_peppers</f>
        <v>758291.875</v>
      </c>
      <c r="AV14" s="40">
        <f>s_C*(up_Bv!U14+s_MLF_potato)*s_IFPT_res_adj*s_CF_potato</f>
        <v>758291.875</v>
      </c>
      <c r="AW14" s="40">
        <f>s_C*(up_Bv!V14+s_MLF_pumpkin)*s_IFPU_res_adj*s_CF_pumpkin</f>
        <v>758291.875</v>
      </c>
      <c r="AX14" s="40">
        <f>s_C*(up_Bv!W14+s_MLF_snap_bean)*s_IFSN_res_adj*s_CF_snap_bean</f>
        <v>758291.875</v>
      </c>
      <c r="AY14" s="40">
        <f>s_C*(up_Bv!X14+s_MLF_strawberry)*s_IFST_res_adj*s_CF_strawberry</f>
        <v>758291.875</v>
      </c>
      <c r="AZ14" s="40">
        <f>s_C*(up_Bv!Y14+s_MLF_tomato)*s_IFTO_res_adj*s_CF_tomato</f>
        <v>758291.875</v>
      </c>
      <c r="BA14" s="40">
        <f>s_C*(up_Bv!Z14+s_MLF_rice)*s_IFRI_res_adj*s_CF_rice</f>
        <v>758291.875</v>
      </c>
      <c r="BB14" s="40">
        <f>s_C*(up_Bv!AA14+s_MLF_cereal)*s_IFCG_res_adj*s_CF_cereal</f>
        <v>758291.875</v>
      </c>
      <c r="BC14" s="15">
        <f t="shared" si="2"/>
        <v>3.2968835384132272E-12</v>
      </c>
      <c r="BD14" s="15">
        <f>IFERROR((up_dir!AD14/(up_Bv!C14+s_MLF_apple)),".")</f>
        <v>1.3187534153652907E-11</v>
      </c>
      <c r="BE14" s="15">
        <f>IFERROR((up_dir!AE14/(up_Bv!D14+s_MLF_asparagus)),".")</f>
        <v>1.3187534153652907E-11</v>
      </c>
      <c r="BF14" s="15">
        <f>IFERROR((up_dir!AF14/(up_Bv!E14+s_MLF_beet)),".")</f>
        <v>1.3187534153652907E-11</v>
      </c>
      <c r="BG14" s="15">
        <f>IFERROR((up_dir!AG14/(up_Bv!F14+s_MLF_berries)),".")</f>
        <v>1.3187534153652907E-11</v>
      </c>
      <c r="BH14" s="15">
        <f>IFERROR((up_dir!AH14/(up_Bv!G14+s_MLF_broccoli)),".")</f>
        <v>1.3187534153652907E-11</v>
      </c>
      <c r="BI14" s="15">
        <f>IFERROR((up_dir!AI14/(up_Bv!H14+s_MLF_cabbage)),".")</f>
        <v>1.3187534153652907E-11</v>
      </c>
      <c r="BJ14" s="15">
        <f>IFERROR((up_dir!AJ14/(up_Bv!I14+s_MLF_carrot)),".")</f>
        <v>1.3187534153652907E-11</v>
      </c>
      <c r="BK14" s="15">
        <f>IFERROR((up_dir!AK14/(up_Bv!J14+s_MLF_citrus)),".")</f>
        <v>1.3187534153652907E-11</v>
      </c>
      <c r="BL14" s="15">
        <f>IFERROR((up_dir!AL14/(up_Bv!K14+s_MLF_corn)),".")</f>
        <v>1.3187534153652907E-11</v>
      </c>
      <c r="BM14" s="15">
        <f>IFERROR((up_dir!AM14/(up_Bv!L14+s_MLF_cucumber)),".")</f>
        <v>1.3187534153652907E-11</v>
      </c>
      <c r="BN14" s="15">
        <f>IFERROR((up_dir!AN14/(up_Bv!M14+s_MLF_lettuce)),".")</f>
        <v>1.3187534153652907E-11</v>
      </c>
      <c r="BO14" s="15">
        <f>IFERROR((up_dir!AO14/(up_Bv!N14+s_MLF_lima_bean)),".")</f>
        <v>1.3187534153652907E-11</v>
      </c>
      <c r="BP14" s="15">
        <f>IFERROR((up_dir!AP14/(up_Bv!O14+s_MLF_okra)),".")</f>
        <v>1.3187534153652907E-11</v>
      </c>
      <c r="BQ14" s="15">
        <f>IFERROR((up_dir!AQ14/(up_Bv!P14+s_MLF_onion)),".")</f>
        <v>1.3187534153652907E-11</v>
      </c>
      <c r="BR14" s="15">
        <f>IFERROR((up_dir!AR14/(up_Bv!Q14+s_MLF_peach)),".")</f>
        <v>1.3187534153652907E-11</v>
      </c>
      <c r="BS14" s="15">
        <f>IFERROR((up_dir!AS14/(up_Bv!R14+s_MLF_pear)),".")</f>
        <v>1.3187534153652907E-11</v>
      </c>
      <c r="BT14" s="15">
        <f>IFERROR((up_dir!AT14/(up_Bv!S14+s_MLF_peas)),".")</f>
        <v>1.3187534153652907E-11</v>
      </c>
      <c r="BU14" s="15">
        <f>IFERROR((up_dir!AU14/(up_Bv!T14+s_MLF_peppers)),".")</f>
        <v>1.3187534153652907E-11</v>
      </c>
      <c r="BV14" s="15">
        <f>IFERROR((up_dir!AV14/(up_Bv!U14+s_MLF_potato)),".")</f>
        <v>1.3187534153652907E-11</v>
      </c>
      <c r="BW14" s="15">
        <f>IFERROR((up_dir!AW14/(up_Bv!V14+s_MLF_pumpkin)),".")</f>
        <v>1.3187534153652907E-11</v>
      </c>
      <c r="BX14" s="15">
        <f>IFERROR((up_dir!AX14/(up_Bv!W14+s_MLF_snap_bean)),".")</f>
        <v>1.3187534153652907E-11</v>
      </c>
      <c r="BY14" s="15">
        <f>IFERROR((up_dir!AY14/(up_Bv!X14+s_MLF_strawberry)),".")</f>
        <v>1.3187534153652907E-11</v>
      </c>
      <c r="BZ14" s="15">
        <f>IFERROR((up_dir!AZ14/(up_Bv!Y14+s_MLF_tomato)),".")</f>
        <v>1.3187534153652907E-11</v>
      </c>
      <c r="CA14" s="15">
        <f>IFERROR((up_dir!BA14/(up_Bv!Z14+s_MLF_rice)),".")</f>
        <v>1.3187534153652907E-11</v>
      </c>
      <c r="CB14" s="15">
        <f>IFERROR((up_dir!BB14/(up_Bv!AA14+s_MLF_cereal)),".")</f>
        <v>1.3187534153652907E-11</v>
      </c>
      <c r="CC14" s="40">
        <f t="shared" si="3"/>
        <v>3033167.5</v>
      </c>
      <c r="CD14" s="40">
        <f>IFERROR(s_C*(up_Bv!C14+s_MLF_apple)*s_IFAP_far_adj*s_CF_apple,".")</f>
        <v>758291.875</v>
      </c>
      <c r="CE14" s="40">
        <f>IFERROR(s_C*(up_Bv!D14+s_MLF_asparagus)*s_IFAS_far_adj*s_CF_asparagus,".")</f>
        <v>758291.875</v>
      </c>
      <c r="CF14" s="40">
        <f>IFERROR(s_C*(up_Bv!E14+s_MLF_beet)*s_IFBT_far_adj*s_CF_beet,".")</f>
        <v>758291.875</v>
      </c>
      <c r="CG14" s="40">
        <f>IFERROR(s_C*(up_Bv!F14+s_MLF_berries)*s_IFBR_far_adj*s_CF_berries,".")</f>
        <v>758291.875</v>
      </c>
      <c r="CH14" s="40">
        <f>IFERROR(s_C*(up_Bv!G14+s_MLF_broccoli)*s_IFBR_far_adj*s_CF_broccoli,".")</f>
        <v>758291.875</v>
      </c>
      <c r="CI14" s="40">
        <f>IFERROR(s_C*(up_Bv!H14+s_MLF_cabbage)*s_IFCB_far_adj*s_CF_cabbage,".")</f>
        <v>758291.875</v>
      </c>
      <c r="CJ14" s="40">
        <f>IFERROR(s_C*(up_Bv!I14+s_MLF_carrot)*s_IFCR_far_adj*s_CF_carrot,".")</f>
        <v>758291.875</v>
      </c>
      <c r="CK14" s="40">
        <f>IFERROR(s_C*(up_Bv!J14+s_MLF_citrus)*s_IFCI_far_adj*s_CF_citrus,".")</f>
        <v>758291.875</v>
      </c>
      <c r="CL14" s="40">
        <f>IFERROR(s_C*(up_Bv!K14+s_MLF_corn)*s_IFCO_far_adj*s_CF_corn,".")</f>
        <v>758291.875</v>
      </c>
      <c r="CM14" s="40">
        <f>IFERROR(s_C*(up_Bv!L14+s_MLF_cucumber)*s_IFCU_far_adj*s_CF_cucumber,".")</f>
        <v>758291.875</v>
      </c>
      <c r="CN14" s="40">
        <f>IFERROR(s_C*(up_Bv!M14+s_MLF_lettuce)*s_IFLE_far_adj*s_CF_lettuce,".")</f>
        <v>758291.875</v>
      </c>
      <c r="CO14" s="40">
        <f>IFERROR(s_C*(up_Bv!N14+s_MLF_lima_bean)*s_IFLI_far_adj*s_CF_lima_bean,".")</f>
        <v>758291.875</v>
      </c>
      <c r="CP14" s="40">
        <f>IFERROR(s_C*(up_Bv!O14+s_MLF_okra)*s_IFOK_far_adj*s_CF_okra,".")</f>
        <v>758291.875</v>
      </c>
      <c r="CQ14" s="40">
        <f>IFERROR(s_C*(up_Bv!P14+s_MLF_onion)*s_IFON_far_adj*s_CF_onion,".")</f>
        <v>758291.875</v>
      </c>
      <c r="CR14" s="40">
        <f>IFERROR(s_C*(up_Bv!Q14+s_MLF_peach)*s_IFPC_far_adj*s_CF_peach,".")</f>
        <v>758291.875</v>
      </c>
      <c r="CS14" s="40">
        <f>IFERROR(s_C*(up_Bv!R14+s_MLF_pear)*s_IFPR_far_adj*s_CF_pear,".")</f>
        <v>758291.875</v>
      </c>
      <c r="CT14" s="40">
        <f>IFERROR(s_C*(up_Bv!S14+s_MLF_peas)*s_IFPE_far_adj*s_CF_peas,".")</f>
        <v>758291.875</v>
      </c>
      <c r="CU14" s="40">
        <f>IFERROR(s_C*(up_Bv!T14+s_MLF_peppers)*s_IFPP_far_adj*s_CF_peppers,".")</f>
        <v>758291.875</v>
      </c>
      <c r="CV14" s="40">
        <f>IFERROR(s_C*(up_Bv!U14+s_MLF_potato)*s_IFPT_far_adj*s_CF_potato,".")</f>
        <v>758291.875</v>
      </c>
      <c r="CW14" s="40">
        <f>IFERROR(s_C*(up_Bv!V14+s_MLF_pumpkin)*s_IFPU_far_adj*s_CF_pumpkin,".")</f>
        <v>758291.875</v>
      </c>
      <c r="CX14" s="40">
        <f>IFERROR(s_C*(up_Bv!W14+s_MLF_snap_bean)*s_IFSN_far_adj*s_CF_snap_bean,".")</f>
        <v>758291.875</v>
      </c>
      <c r="CY14" s="40">
        <f>IFERROR(s_C*(up_Bv!X14+s_MLF_strawberry)*s_IFST_far_adj*s_CF_strawberry,".")</f>
        <v>758291.875</v>
      </c>
      <c r="CZ14" s="40">
        <f>IFERROR(s_C*(up_Bv!Y14+s_MLF_tomato)*s_IFTO_far_adj*s_CF_tomato,".")</f>
        <v>758291.875</v>
      </c>
      <c r="DA14" s="40">
        <f>IFERROR(s_C*(up_Bv!Z14+s_MLF_rice)*s_IFRI_far_adj*s_CF_rice,".")</f>
        <v>758291.875</v>
      </c>
      <c r="DB14" s="40">
        <f>IFERROR(s_C*(up_Bv!AA14+s_MLF_cereal)*s_IFCG_far_adj*s_CF_cereal,".")</f>
        <v>758291.875</v>
      </c>
    </row>
    <row r="15" spans="1:106" ht="15" customHeight="1" x14ac:dyDescent="0.25">
      <c r="A15" s="44" t="s">
        <v>25</v>
      </c>
      <c r="B15" s="42" t="s">
        <v>1071</v>
      </c>
      <c r="C15" s="15">
        <f t="shared" si="0"/>
        <v>3.2968835384132272E-12</v>
      </c>
      <c r="D15" s="15">
        <f>IFERROR((up_dir!D15/(up_Bv!C15+s_MLF_apple)),".")</f>
        <v>1.3187534153652907E-11</v>
      </c>
      <c r="E15" s="15">
        <f>IFERROR((up_dir!E15/(up_Bv!D15+s_MLF_asparagus)),".")</f>
        <v>1.3187534153652907E-11</v>
      </c>
      <c r="F15" s="15">
        <f>IFERROR((up_dir!F15/(up_Bv!E15+s_MLF_beet)),".")</f>
        <v>1.3187534153652907E-11</v>
      </c>
      <c r="G15" s="15">
        <f>IFERROR((up_dir!G15/(up_Bv!F15+s_MLF_berries)),".")</f>
        <v>1.3187534153652907E-11</v>
      </c>
      <c r="H15" s="15">
        <f>IFERROR((up_dir!H15/(up_Bv!G15+s_MLF_broccoli)),".")</f>
        <v>1.3187534153652907E-11</v>
      </c>
      <c r="I15" s="15">
        <f>IFERROR((up_dir!I15/(up_Bv!H15+s_MLF_cabbage)),".")</f>
        <v>1.3187534153652907E-11</v>
      </c>
      <c r="J15" s="15">
        <f>IFERROR((up_dir!J15/(up_Bv!I15+s_MLF_carrot)),".")</f>
        <v>1.3187534153652907E-11</v>
      </c>
      <c r="K15" s="15">
        <f>IFERROR((up_dir!K15/(up_Bv!J15+s_MLF_citrus)),".")</f>
        <v>1.3187534153652907E-11</v>
      </c>
      <c r="L15" s="15">
        <f>IFERROR((up_dir!L15/(up_Bv!K15+s_MLF_corn)),".")</f>
        <v>1.3187534153652907E-11</v>
      </c>
      <c r="M15" s="15">
        <f>IFERROR((up_dir!M15/(up_Bv!L15+s_MLF_cucumber)),".")</f>
        <v>1.3187534153652907E-11</v>
      </c>
      <c r="N15" s="15">
        <f>IFERROR((up_dir!N15/(up_Bv!M15+s_MLF_lettuce)),".")</f>
        <v>1.3187534153652907E-11</v>
      </c>
      <c r="O15" s="15">
        <f>IFERROR((up_dir!O15/(up_Bv!N15+s_MLF_lima_bean)),".")</f>
        <v>1.3187534153652907E-11</v>
      </c>
      <c r="P15" s="15">
        <f>IFERROR((up_dir!P15/(up_Bv!O15+s_MLF_okra)),".")</f>
        <v>1.3187534153652907E-11</v>
      </c>
      <c r="Q15" s="15">
        <f>IFERROR((up_dir!Q15/(up_Bv!P15+s_MLF_onion)),".")</f>
        <v>1.3187534153652907E-11</v>
      </c>
      <c r="R15" s="15">
        <f>IFERROR((up_dir!R15/(up_Bv!Q15+s_MLF_peach)),".")</f>
        <v>1.3187534153652907E-11</v>
      </c>
      <c r="S15" s="15">
        <f>IFERROR((up_dir!S15/(up_Bv!R15+s_MLF_pear)),".")</f>
        <v>1.3187534153652907E-11</v>
      </c>
      <c r="T15" s="15">
        <f>IFERROR((up_dir!T15/(up_Bv!S15+s_MLF_peas)),".")</f>
        <v>1.3187534153652907E-11</v>
      </c>
      <c r="U15" s="15">
        <f>IFERROR((up_dir!U15/(up_Bv!T15+s_MLF_peppers)),".")</f>
        <v>1.3187534153652907E-11</v>
      </c>
      <c r="V15" s="15">
        <f>IFERROR((up_dir!V15/(up_Bv!U15+s_MLF_potato)),".")</f>
        <v>1.3187534153652907E-11</v>
      </c>
      <c r="W15" s="15">
        <f>IFERROR((up_dir!W15/(up_Bv!V15+s_MLF_pumpkin)),".")</f>
        <v>1.3187534153652907E-11</v>
      </c>
      <c r="X15" s="15">
        <f>IFERROR((up_dir!X15/(up_Bv!W15+s_MLF_snap_bean)),".")</f>
        <v>1.3187534153652907E-11</v>
      </c>
      <c r="Y15" s="15">
        <f>IFERROR((up_dir!Y15/(up_Bv!X15+s_MLF_strawberry)),".")</f>
        <v>1.3187534153652907E-11</v>
      </c>
      <c r="Z15" s="15">
        <f>IFERROR((up_dir!Z15/(up_Bv!Y15+s_MLF_tomato)),".")</f>
        <v>1.3187534153652907E-11</v>
      </c>
      <c r="AA15" s="15">
        <f>IFERROR((up_dir!AA15/(up_Bv!Z15+s_MLF_rice)),".")</f>
        <v>1.3187534153652907E-11</v>
      </c>
      <c r="AB15" s="15">
        <f>IFERROR((up_dir!AB15/(up_Bv!AA15+s_MLF_cereal)),".")</f>
        <v>1.3187534153652907E-11</v>
      </c>
      <c r="AC15" s="40">
        <f t="shared" si="1"/>
        <v>3033167.5</v>
      </c>
      <c r="AD15" s="40">
        <f>s_C*(up_Bv!C15+s_MLF_apple)*s_IFAP_res_adj*s_CF_apple</f>
        <v>758291.875</v>
      </c>
      <c r="AE15" s="40">
        <f>s_C*(up_Bv!D15+s_MLF_asparagus)*s_IFAS_res_adj*s_CF_asparagus</f>
        <v>758291.875</v>
      </c>
      <c r="AF15" s="40">
        <f>s_C*(up_Bv!E15+s_MLF_beet)*s_IFBT_res_adj*s_CF_beet</f>
        <v>758291.875</v>
      </c>
      <c r="AG15" s="40">
        <f>s_C*(up_Bv!F15+s_MLF_berries)*s_IFBE_res_adj*s_CF_berries</f>
        <v>758291.875</v>
      </c>
      <c r="AH15" s="40">
        <f>s_C*(up_Bv!G15+s_MLF_broccoli)*s_IFBR_res_adj*s_CF_broccoli</f>
        <v>758291.875</v>
      </c>
      <c r="AI15" s="40">
        <f>s_C*(up_Bv!H15+s_MLF_cabbage)*s_IFCB_res_adj*s_CF_cabbage</f>
        <v>758291.875</v>
      </c>
      <c r="AJ15" s="40">
        <f>s_C*(up_Bv!I15+s_MLF_carrot)*s_IFCR_res_adj*s_CF_carrot</f>
        <v>758291.875</v>
      </c>
      <c r="AK15" s="40">
        <f>s_C*(up_Bv!J15+s_MLF_citrus)*s_IFCI_res_adj*s_CF_citrus</f>
        <v>758291.875</v>
      </c>
      <c r="AL15" s="40">
        <f>s_C*(up_Bv!K15+s_MLF_corn)*s_IFCO_res_adj*s_CF_corn</f>
        <v>758291.875</v>
      </c>
      <c r="AM15" s="40">
        <f>s_C*(up_Bv!L15+s_MLF_cucumber)*s_IFCU_res_adj*s_CF_cucumber</f>
        <v>758291.875</v>
      </c>
      <c r="AN15" s="40">
        <f>s_C*(up_Bv!M15+s_MLF_lettuce)*s_IFLE_res_adj*s_CF_lettuce</f>
        <v>758291.875</v>
      </c>
      <c r="AO15" s="40">
        <f>s_C*(up_Bv!N15+s_MLF_lima_bean)*s_IFLI_res_adj*s_CF_lima_bean</f>
        <v>758291.875</v>
      </c>
      <c r="AP15" s="40">
        <f>s_C*(up_Bv!O15+s_MLF_okra)*s_IFOK_res_adj*s_CF_okra</f>
        <v>758291.875</v>
      </c>
      <c r="AQ15" s="40">
        <f>s_C*(up_Bv!P15+s_MLF_onion)*s_IFON_res_adj*s_CF_onion</f>
        <v>758291.875</v>
      </c>
      <c r="AR15" s="40">
        <f>s_C*(up_Bv!Q15+s_MLF_peach)*s_IFPC_res_adj*s_CF_peach</f>
        <v>758291.875</v>
      </c>
      <c r="AS15" s="40">
        <f>s_C*(up_Bv!R15+s_MLF_pear)*s_IFPR_res_adj*s_CF_pear</f>
        <v>758291.875</v>
      </c>
      <c r="AT15" s="40">
        <f>s_C*(up_Bv!S15+s_MLF_peas)*s_IFPE_res_adj*s_CF_peas</f>
        <v>758291.875</v>
      </c>
      <c r="AU15" s="40">
        <f>s_C*(up_Bv!T15+s_MLF_peppers)*s_IFPP_res_adj*s_CF_peppers</f>
        <v>758291.875</v>
      </c>
      <c r="AV15" s="40">
        <f>s_C*(up_Bv!U15+s_MLF_potato)*s_IFPT_res_adj*s_CF_potato</f>
        <v>758291.875</v>
      </c>
      <c r="AW15" s="40">
        <f>s_C*(up_Bv!V15+s_MLF_pumpkin)*s_IFPU_res_adj*s_CF_pumpkin</f>
        <v>758291.875</v>
      </c>
      <c r="AX15" s="40">
        <f>s_C*(up_Bv!W15+s_MLF_snap_bean)*s_IFSN_res_adj*s_CF_snap_bean</f>
        <v>758291.875</v>
      </c>
      <c r="AY15" s="40">
        <f>s_C*(up_Bv!X15+s_MLF_strawberry)*s_IFST_res_adj*s_CF_strawberry</f>
        <v>758291.875</v>
      </c>
      <c r="AZ15" s="40">
        <f>s_C*(up_Bv!Y15+s_MLF_tomato)*s_IFTO_res_adj*s_CF_tomato</f>
        <v>758291.875</v>
      </c>
      <c r="BA15" s="40">
        <f>s_C*(up_Bv!Z15+s_MLF_rice)*s_IFRI_res_adj*s_CF_rice</f>
        <v>758291.875</v>
      </c>
      <c r="BB15" s="40">
        <f>s_C*(up_Bv!AA15+s_MLF_cereal)*s_IFCG_res_adj*s_CF_cereal</f>
        <v>758291.875</v>
      </c>
      <c r="BC15" s="15">
        <f t="shared" si="2"/>
        <v>3.2968835384132272E-12</v>
      </c>
      <c r="BD15" s="15">
        <f>IFERROR((up_dir!AD15/(up_Bv!C15+s_MLF_apple)),".")</f>
        <v>1.3187534153652907E-11</v>
      </c>
      <c r="BE15" s="15">
        <f>IFERROR((up_dir!AE15/(up_Bv!D15+s_MLF_asparagus)),".")</f>
        <v>1.3187534153652907E-11</v>
      </c>
      <c r="BF15" s="15">
        <f>IFERROR((up_dir!AF15/(up_Bv!E15+s_MLF_beet)),".")</f>
        <v>1.3187534153652907E-11</v>
      </c>
      <c r="BG15" s="15">
        <f>IFERROR((up_dir!AG15/(up_Bv!F15+s_MLF_berries)),".")</f>
        <v>1.3187534153652907E-11</v>
      </c>
      <c r="BH15" s="15">
        <f>IFERROR((up_dir!AH15/(up_Bv!G15+s_MLF_broccoli)),".")</f>
        <v>1.3187534153652907E-11</v>
      </c>
      <c r="BI15" s="15">
        <f>IFERROR((up_dir!AI15/(up_Bv!H15+s_MLF_cabbage)),".")</f>
        <v>1.3187534153652907E-11</v>
      </c>
      <c r="BJ15" s="15">
        <f>IFERROR((up_dir!AJ15/(up_Bv!I15+s_MLF_carrot)),".")</f>
        <v>1.3187534153652907E-11</v>
      </c>
      <c r="BK15" s="15">
        <f>IFERROR((up_dir!AK15/(up_Bv!J15+s_MLF_citrus)),".")</f>
        <v>1.3187534153652907E-11</v>
      </c>
      <c r="BL15" s="15">
        <f>IFERROR((up_dir!AL15/(up_Bv!K15+s_MLF_corn)),".")</f>
        <v>1.3187534153652907E-11</v>
      </c>
      <c r="BM15" s="15">
        <f>IFERROR((up_dir!AM15/(up_Bv!L15+s_MLF_cucumber)),".")</f>
        <v>1.3187534153652907E-11</v>
      </c>
      <c r="BN15" s="15">
        <f>IFERROR((up_dir!AN15/(up_Bv!M15+s_MLF_lettuce)),".")</f>
        <v>1.3187534153652907E-11</v>
      </c>
      <c r="BO15" s="15">
        <f>IFERROR((up_dir!AO15/(up_Bv!N15+s_MLF_lima_bean)),".")</f>
        <v>1.3187534153652907E-11</v>
      </c>
      <c r="BP15" s="15">
        <f>IFERROR((up_dir!AP15/(up_Bv!O15+s_MLF_okra)),".")</f>
        <v>1.3187534153652907E-11</v>
      </c>
      <c r="BQ15" s="15">
        <f>IFERROR((up_dir!AQ15/(up_Bv!P15+s_MLF_onion)),".")</f>
        <v>1.3187534153652907E-11</v>
      </c>
      <c r="BR15" s="15">
        <f>IFERROR((up_dir!AR15/(up_Bv!Q15+s_MLF_peach)),".")</f>
        <v>1.3187534153652907E-11</v>
      </c>
      <c r="BS15" s="15">
        <f>IFERROR((up_dir!AS15/(up_Bv!R15+s_MLF_pear)),".")</f>
        <v>1.3187534153652907E-11</v>
      </c>
      <c r="BT15" s="15">
        <f>IFERROR((up_dir!AT15/(up_Bv!S15+s_MLF_peas)),".")</f>
        <v>1.3187534153652907E-11</v>
      </c>
      <c r="BU15" s="15">
        <f>IFERROR((up_dir!AU15/(up_Bv!T15+s_MLF_peppers)),".")</f>
        <v>1.3187534153652907E-11</v>
      </c>
      <c r="BV15" s="15">
        <f>IFERROR((up_dir!AV15/(up_Bv!U15+s_MLF_potato)),".")</f>
        <v>1.3187534153652907E-11</v>
      </c>
      <c r="BW15" s="15">
        <f>IFERROR((up_dir!AW15/(up_Bv!V15+s_MLF_pumpkin)),".")</f>
        <v>1.3187534153652907E-11</v>
      </c>
      <c r="BX15" s="15">
        <f>IFERROR((up_dir!AX15/(up_Bv!W15+s_MLF_snap_bean)),".")</f>
        <v>1.3187534153652907E-11</v>
      </c>
      <c r="BY15" s="15">
        <f>IFERROR((up_dir!AY15/(up_Bv!X15+s_MLF_strawberry)),".")</f>
        <v>1.3187534153652907E-11</v>
      </c>
      <c r="BZ15" s="15">
        <f>IFERROR((up_dir!AZ15/(up_Bv!Y15+s_MLF_tomato)),".")</f>
        <v>1.3187534153652907E-11</v>
      </c>
      <c r="CA15" s="15">
        <f>IFERROR((up_dir!BA15/(up_Bv!Z15+s_MLF_rice)),".")</f>
        <v>1.3187534153652907E-11</v>
      </c>
      <c r="CB15" s="15">
        <f>IFERROR((up_dir!BB15/(up_Bv!AA15+s_MLF_cereal)),".")</f>
        <v>1.3187534153652907E-11</v>
      </c>
      <c r="CC15" s="40">
        <f t="shared" si="3"/>
        <v>3033167.5</v>
      </c>
      <c r="CD15" s="40">
        <f>IFERROR(s_C*(up_Bv!C15+s_MLF_apple)*s_IFAP_far_adj*s_CF_apple,".")</f>
        <v>758291.875</v>
      </c>
      <c r="CE15" s="40">
        <f>IFERROR(s_C*(up_Bv!D15+s_MLF_asparagus)*s_IFAS_far_adj*s_CF_asparagus,".")</f>
        <v>758291.875</v>
      </c>
      <c r="CF15" s="40">
        <f>IFERROR(s_C*(up_Bv!E15+s_MLF_beet)*s_IFBT_far_adj*s_CF_beet,".")</f>
        <v>758291.875</v>
      </c>
      <c r="CG15" s="40">
        <f>IFERROR(s_C*(up_Bv!F15+s_MLF_berries)*s_IFBR_far_adj*s_CF_berries,".")</f>
        <v>758291.875</v>
      </c>
      <c r="CH15" s="40">
        <f>IFERROR(s_C*(up_Bv!G15+s_MLF_broccoli)*s_IFBR_far_adj*s_CF_broccoli,".")</f>
        <v>758291.875</v>
      </c>
      <c r="CI15" s="40">
        <f>IFERROR(s_C*(up_Bv!H15+s_MLF_cabbage)*s_IFCB_far_adj*s_CF_cabbage,".")</f>
        <v>758291.875</v>
      </c>
      <c r="CJ15" s="40">
        <f>IFERROR(s_C*(up_Bv!I15+s_MLF_carrot)*s_IFCR_far_adj*s_CF_carrot,".")</f>
        <v>758291.875</v>
      </c>
      <c r="CK15" s="40">
        <f>IFERROR(s_C*(up_Bv!J15+s_MLF_citrus)*s_IFCI_far_adj*s_CF_citrus,".")</f>
        <v>758291.875</v>
      </c>
      <c r="CL15" s="40">
        <f>IFERROR(s_C*(up_Bv!K15+s_MLF_corn)*s_IFCO_far_adj*s_CF_corn,".")</f>
        <v>758291.875</v>
      </c>
      <c r="CM15" s="40">
        <f>IFERROR(s_C*(up_Bv!L15+s_MLF_cucumber)*s_IFCU_far_adj*s_CF_cucumber,".")</f>
        <v>758291.875</v>
      </c>
      <c r="CN15" s="40">
        <f>IFERROR(s_C*(up_Bv!M15+s_MLF_lettuce)*s_IFLE_far_adj*s_CF_lettuce,".")</f>
        <v>758291.875</v>
      </c>
      <c r="CO15" s="40">
        <f>IFERROR(s_C*(up_Bv!N15+s_MLF_lima_bean)*s_IFLI_far_adj*s_CF_lima_bean,".")</f>
        <v>758291.875</v>
      </c>
      <c r="CP15" s="40">
        <f>IFERROR(s_C*(up_Bv!O15+s_MLF_okra)*s_IFOK_far_adj*s_CF_okra,".")</f>
        <v>758291.875</v>
      </c>
      <c r="CQ15" s="40">
        <f>IFERROR(s_C*(up_Bv!P15+s_MLF_onion)*s_IFON_far_adj*s_CF_onion,".")</f>
        <v>758291.875</v>
      </c>
      <c r="CR15" s="40">
        <f>IFERROR(s_C*(up_Bv!Q15+s_MLF_peach)*s_IFPC_far_adj*s_CF_peach,".")</f>
        <v>758291.875</v>
      </c>
      <c r="CS15" s="40">
        <f>IFERROR(s_C*(up_Bv!R15+s_MLF_pear)*s_IFPR_far_adj*s_CF_pear,".")</f>
        <v>758291.875</v>
      </c>
      <c r="CT15" s="40">
        <f>IFERROR(s_C*(up_Bv!S15+s_MLF_peas)*s_IFPE_far_adj*s_CF_peas,".")</f>
        <v>758291.875</v>
      </c>
      <c r="CU15" s="40">
        <f>IFERROR(s_C*(up_Bv!T15+s_MLF_peppers)*s_IFPP_far_adj*s_CF_peppers,".")</f>
        <v>758291.875</v>
      </c>
      <c r="CV15" s="40">
        <f>IFERROR(s_C*(up_Bv!U15+s_MLF_potato)*s_IFPT_far_adj*s_CF_potato,".")</f>
        <v>758291.875</v>
      </c>
      <c r="CW15" s="40">
        <f>IFERROR(s_C*(up_Bv!V15+s_MLF_pumpkin)*s_IFPU_far_adj*s_CF_pumpkin,".")</f>
        <v>758291.875</v>
      </c>
      <c r="CX15" s="40">
        <f>IFERROR(s_C*(up_Bv!W15+s_MLF_snap_bean)*s_IFSN_far_adj*s_CF_snap_bean,".")</f>
        <v>758291.875</v>
      </c>
      <c r="CY15" s="40">
        <f>IFERROR(s_C*(up_Bv!X15+s_MLF_strawberry)*s_IFST_far_adj*s_CF_strawberry,".")</f>
        <v>758291.875</v>
      </c>
      <c r="CZ15" s="40">
        <f>IFERROR(s_C*(up_Bv!Y15+s_MLF_tomato)*s_IFTO_far_adj*s_CF_tomato,".")</f>
        <v>758291.875</v>
      </c>
      <c r="DA15" s="40">
        <f>IFERROR(s_C*(up_Bv!Z15+s_MLF_rice)*s_IFRI_far_adj*s_CF_rice,".")</f>
        <v>758291.875</v>
      </c>
      <c r="DB15" s="40">
        <f>IFERROR(s_C*(up_Bv!AA15+s_MLF_cereal)*s_IFCG_far_adj*s_CF_cereal,".")</f>
        <v>758291.875</v>
      </c>
    </row>
    <row r="16" spans="1:106" ht="15" customHeight="1" x14ac:dyDescent="0.25">
      <c r="A16" s="44" t="s">
        <v>26</v>
      </c>
      <c r="B16" s="42" t="s">
        <v>1071</v>
      </c>
      <c r="C16" s="15">
        <f t="shared" si="0"/>
        <v>3.2968835384132272E-12</v>
      </c>
      <c r="D16" s="15">
        <f>IFERROR((up_dir!D16/(up_Bv!C16+s_MLF_apple)),".")</f>
        <v>1.3187534153652907E-11</v>
      </c>
      <c r="E16" s="15">
        <f>IFERROR((up_dir!E16/(up_Bv!D16+s_MLF_asparagus)),".")</f>
        <v>1.3187534153652907E-11</v>
      </c>
      <c r="F16" s="15">
        <f>IFERROR((up_dir!F16/(up_Bv!E16+s_MLF_beet)),".")</f>
        <v>1.3187534153652907E-11</v>
      </c>
      <c r="G16" s="15">
        <f>IFERROR((up_dir!G16/(up_Bv!F16+s_MLF_berries)),".")</f>
        <v>1.3187534153652907E-11</v>
      </c>
      <c r="H16" s="15">
        <f>IFERROR((up_dir!H16/(up_Bv!G16+s_MLF_broccoli)),".")</f>
        <v>1.3187534153652907E-11</v>
      </c>
      <c r="I16" s="15">
        <f>IFERROR((up_dir!I16/(up_Bv!H16+s_MLF_cabbage)),".")</f>
        <v>1.3187534153652907E-11</v>
      </c>
      <c r="J16" s="15">
        <f>IFERROR((up_dir!J16/(up_Bv!I16+s_MLF_carrot)),".")</f>
        <v>1.3187534153652907E-11</v>
      </c>
      <c r="K16" s="15">
        <f>IFERROR((up_dir!K16/(up_Bv!J16+s_MLF_citrus)),".")</f>
        <v>1.3187534153652907E-11</v>
      </c>
      <c r="L16" s="15">
        <f>IFERROR((up_dir!L16/(up_Bv!K16+s_MLF_corn)),".")</f>
        <v>1.3187534153652907E-11</v>
      </c>
      <c r="M16" s="15">
        <f>IFERROR((up_dir!M16/(up_Bv!L16+s_MLF_cucumber)),".")</f>
        <v>1.3187534153652907E-11</v>
      </c>
      <c r="N16" s="15">
        <f>IFERROR((up_dir!N16/(up_Bv!M16+s_MLF_lettuce)),".")</f>
        <v>1.3187534153652907E-11</v>
      </c>
      <c r="O16" s="15">
        <f>IFERROR((up_dir!O16/(up_Bv!N16+s_MLF_lima_bean)),".")</f>
        <v>1.3187534153652907E-11</v>
      </c>
      <c r="P16" s="15">
        <f>IFERROR((up_dir!P16/(up_Bv!O16+s_MLF_okra)),".")</f>
        <v>1.3187534153652907E-11</v>
      </c>
      <c r="Q16" s="15">
        <f>IFERROR((up_dir!Q16/(up_Bv!P16+s_MLF_onion)),".")</f>
        <v>1.3187534153652907E-11</v>
      </c>
      <c r="R16" s="15">
        <f>IFERROR((up_dir!R16/(up_Bv!Q16+s_MLF_peach)),".")</f>
        <v>1.3187534153652907E-11</v>
      </c>
      <c r="S16" s="15">
        <f>IFERROR((up_dir!S16/(up_Bv!R16+s_MLF_pear)),".")</f>
        <v>1.3187534153652907E-11</v>
      </c>
      <c r="T16" s="15">
        <f>IFERROR((up_dir!T16/(up_Bv!S16+s_MLF_peas)),".")</f>
        <v>1.3187534153652907E-11</v>
      </c>
      <c r="U16" s="15">
        <f>IFERROR((up_dir!U16/(up_Bv!T16+s_MLF_peppers)),".")</f>
        <v>1.3187534153652907E-11</v>
      </c>
      <c r="V16" s="15">
        <f>IFERROR((up_dir!V16/(up_Bv!U16+s_MLF_potato)),".")</f>
        <v>1.3187534153652907E-11</v>
      </c>
      <c r="W16" s="15">
        <f>IFERROR((up_dir!W16/(up_Bv!V16+s_MLF_pumpkin)),".")</f>
        <v>1.3187534153652907E-11</v>
      </c>
      <c r="X16" s="15">
        <f>IFERROR((up_dir!X16/(up_Bv!W16+s_MLF_snap_bean)),".")</f>
        <v>1.3187534153652907E-11</v>
      </c>
      <c r="Y16" s="15">
        <f>IFERROR((up_dir!Y16/(up_Bv!X16+s_MLF_strawberry)),".")</f>
        <v>1.3187534153652907E-11</v>
      </c>
      <c r="Z16" s="15">
        <f>IFERROR((up_dir!Z16/(up_Bv!Y16+s_MLF_tomato)),".")</f>
        <v>1.3187534153652907E-11</v>
      </c>
      <c r="AA16" s="15">
        <f>IFERROR((up_dir!AA16/(up_Bv!Z16+s_MLF_rice)),".")</f>
        <v>1.3187534153652907E-11</v>
      </c>
      <c r="AB16" s="15">
        <f>IFERROR((up_dir!AB16/(up_Bv!AA16+s_MLF_cereal)),".")</f>
        <v>1.3187534153652907E-11</v>
      </c>
      <c r="AC16" s="40">
        <f t="shared" si="1"/>
        <v>3033167.5</v>
      </c>
      <c r="AD16" s="40">
        <f>s_C*(up_Bv!C16+s_MLF_apple)*s_IFAP_res_adj*s_CF_apple</f>
        <v>758291.875</v>
      </c>
      <c r="AE16" s="40">
        <f>s_C*(up_Bv!D16+s_MLF_asparagus)*s_IFAS_res_adj*s_CF_asparagus</f>
        <v>758291.875</v>
      </c>
      <c r="AF16" s="40">
        <f>s_C*(up_Bv!E16+s_MLF_beet)*s_IFBT_res_adj*s_CF_beet</f>
        <v>758291.875</v>
      </c>
      <c r="AG16" s="40">
        <f>s_C*(up_Bv!F16+s_MLF_berries)*s_IFBE_res_adj*s_CF_berries</f>
        <v>758291.875</v>
      </c>
      <c r="AH16" s="40">
        <f>s_C*(up_Bv!G16+s_MLF_broccoli)*s_IFBR_res_adj*s_CF_broccoli</f>
        <v>758291.875</v>
      </c>
      <c r="AI16" s="40">
        <f>s_C*(up_Bv!H16+s_MLF_cabbage)*s_IFCB_res_adj*s_CF_cabbage</f>
        <v>758291.875</v>
      </c>
      <c r="AJ16" s="40">
        <f>s_C*(up_Bv!I16+s_MLF_carrot)*s_IFCR_res_adj*s_CF_carrot</f>
        <v>758291.875</v>
      </c>
      <c r="AK16" s="40">
        <f>s_C*(up_Bv!J16+s_MLF_citrus)*s_IFCI_res_adj*s_CF_citrus</f>
        <v>758291.875</v>
      </c>
      <c r="AL16" s="40">
        <f>s_C*(up_Bv!K16+s_MLF_corn)*s_IFCO_res_adj*s_CF_corn</f>
        <v>758291.875</v>
      </c>
      <c r="AM16" s="40">
        <f>s_C*(up_Bv!L16+s_MLF_cucumber)*s_IFCU_res_adj*s_CF_cucumber</f>
        <v>758291.875</v>
      </c>
      <c r="AN16" s="40">
        <f>s_C*(up_Bv!M16+s_MLF_lettuce)*s_IFLE_res_adj*s_CF_lettuce</f>
        <v>758291.875</v>
      </c>
      <c r="AO16" s="40">
        <f>s_C*(up_Bv!N16+s_MLF_lima_bean)*s_IFLI_res_adj*s_CF_lima_bean</f>
        <v>758291.875</v>
      </c>
      <c r="AP16" s="40">
        <f>s_C*(up_Bv!O16+s_MLF_okra)*s_IFOK_res_adj*s_CF_okra</f>
        <v>758291.875</v>
      </c>
      <c r="AQ16" s="40">
        <f>s_C*(up_Bv!P16+s_MLF_onion)*s_IFON_res_adj*s_CF_onion</f>
        <v>758291.875</v>
      </c>
      <c r="AR16" s="40">
        <f>s_C*(up_Bv!Q16+s_MLF_peach)*s_IFPC_res_adj*s_CF_peach</f>
        <v>758291.875</v>
      </c>
      <c r="AS16" s="40">
        <f>s_C*(up_Bv!R16+s_MLF_pear)*s_IFPR_res_adj*s_CF_pear</f>
        <v>758291.875</v>
      </c>
      <c r="AT16" s="40">
        <f>s_C*(up_Bv!S16+s_MLF_peas)*s_IFPE_res_adj*s_CF_peas</f>
        <v>758291.875</v>
      </c>
      <c r="AU16" s="40">
        <f>s_C*(up_Bv!T16+s_MLF_peppers)*s_IFPP_res_adj*s_CF_peppers</f>
        <v>758291.875</v>
      </c>
      <c r="AV16" s="40">
        <f>s_C*(up_Bv!U16+s_MLF_potato)*s_IFPT_res_adj*s_CF_potato</f>
        <v>758291.875</v>
      </c>
      <c r="AW16" s="40">
        <f>s_C*(up_Bv!V16+s_MLF_pumpkin)*s_IFPU_res_adj*s_CF_pumpkin</f>
        <v>758291.875</v>
      </c>
      <c r="AX16" s="40">
        <f>s_C*(up_Bv!W16+s_MLF_snap_bean)*s_IFSN_res_adj*s_CF_snap_bean</f>
        <v>758291.875</v>
      </c>
      <c r="AY16" s="40">
        <f>s_C*(up_Bv!X16+s_MLF_strawberry)*s_IFST_res_adj*s_CF_strawberry</f>
        <v>758291.875</v>
      </c>
      <c r="AZ16" s="40">
        <f>s_C*(up_Bv!Y16+s_MLF_tomato)*s_IFTO_res_adj*s_CF_tomato</f>
        <v>758291.875</v>
      </c>
      <c r="BA16" s="40">
        <f>s_C*(up_Bv!Z16+s_MLF_rice)*s_IFRI_res_adj*s_CF_rice</f>
        <v>758291.875</v>
      </c>
      <c r="BB16" s="40">
        <f>s_C*(up_Bv!AA16+s_MLF_cereal)*s_IFCG_res_adj*s_CF_cereal</f>
        <v>758291.875</v>
      </c>
      <c r="BC16" s="15">
        <f t="shared" si="2"/>
        <v>3.2968835384132272E-12</v>
      </c>
      <c r="BD16" s="15">
        <f>IFERROR((up_dir!AD16/(up_Bv!C16+s_MLF_apple)),".")</f>
        <v>1.3187534153652907E-11</v>
      </c>
      <c r="BE16" s="15">
        <f>IFERROR((up_dir!AE16/(up_Bv!D16+s_MLF_asparagus)),".")</f>
        <v>1.3187534153652907E-11</v>
      </c>
      <c r="BF16" s="15">
        <f>IFERROR((up_dir!AF16/(up_Bv!E16+s_MLF_beet)),".")</f>
        <v>1.3187534153652907E-11</v>
      </c>
      <c r="BG16" s="15">
        <f>IFERROR((up_dir!AG16/(up_Bv!F16+s_MLF_berries)),".")</f>
        <v>1.3187534153652907E-11</v>
      </c>
      <c r="BH16" s="15">
        <f>IFERROR((up_dir!AH16/(up_Bv!G16+s_MLF_broccoli)),".")</f>
        <v>1.3187534153652907E-11</v>
      </c>
      <c r="BI16" s="15">
        <f>IFERROR((up_dir!AI16/(up_Bv!H16+s_MLF_cabbage)),".")</f>
        <v>1.3187534153652907E-11</v>
      </c>
      <c r="BJ16" s="15">
        <f>IFERROR((up_dir!AJ16/(up_Bv!I16+s_MLF_carrot)),".")</f>
        <v>1.3187534153652907E-11</v>
      </c>
      <c r="BK16" s="15">
        <f>IFERROR((up_dir!AK16/(up_Bv!J16+s_MLF_citrus)),".")</f>
        <v>1.3187534153652907E-11</v>
      </c>
      <c r="BL16" s="15">
        <f>IFERROR((up_dir!AL16/(up_Bv!K16+s_MLF_corn)),".")</f>
        <v>1.3187534153652907E-11</v>
      </c>
      <c r="BM16" s="15">
        <f>IFERROR((up_dir!AM16/(up_Bv!L16+s_MLF_cucumber)),".")</f>
        <v>1.3187534153652907E-11</v>
      </c>
      <c r="BN16" s="15">
        <f>IFERROR((up_dir!AN16/(up_Bv!M16+s_MLF_lettuce)),".")</f>
        <v>1.3187534153652907E-11</v>
      </c>
      <c r="BO16" s="15">
        <f>IFERROR((up_dir!AO16/(up_Bv!N16+s_MLF_lima_bean)),".")</f>
        <v>1.3187534153652907E-11</v>
      </c>
      <c r="BP16" s="15">
        <f>IFERROR((up_dir!AP16/(up_Bv!O16+s_MLF_okra)),".")</f>
        <v>1.3187534153652907E-11</v>
      </c>
      <c r="BQ16" s="15">
        <f>IFERROR((up_dir!AQ16/(up_Bv!P16+s_MLF_onion)),".")</f>
        <v>1.3187534153652907E-11</v>
      </c>
      <c r="BR16" s="15">
        <f>IFERROR((up_dir!AR16/(up_Bv!Q16+s_MLF_peach)),".")</f>
        <v>1.3187534153652907E-11</v>
      </c>
      <c r="BS16" s="15">
        <f>IFERROR((up_dir!AS16/(up_Bv!R16+s_MLF_pear)),".")</f>
        <v>1.3187534153652907E-11</v>
      </c>
      <c r="BT16" s="15">
        <f>IFERROR((up_dir!AT16/(up_Bv!S16+s_MLF_peas)),".")</f>
        <v>1.3187534153652907E-11</v>
      </c>
      <c r="BU16" s="15">
        <f>IFERROR((up_dir!AU16/(up_Bv!T16+s_MLF_peppers)),".")</f>
        <v>1.3187534153652907E-11</v>
      </c>
      <c r="BV16" s="15">
        <f>IFERROR((up_dir!AV16/(up_Bv!U16+s_MLF_potato)),".")</f>
        <v>1.3187534153652907E-11</v>
      </c>
      <c r="BW16" s="15">
        <f>IFERROR((up_dir!AW16/(up_Bv!V16+s_MLF_pumpkin)),".")</f>
        <v>1.3187534153652907E-11</v>
      </c>
      <c r="BX16" s="15">
        <f>IFERROR((up_dir!AX16/(up_Bv!W16+s_MLF_snap_bean)),".")</f>
        <v>1.3187534153652907E-11</v>
      </c>
      <c r="BY16" s="15">
        <f>IFERROR((up_dir!AY16/(up_Bv!X16+s_MLF_strawberry)),".")</f>
        <v>1.3187534153652907E-11</v>
      </c>
      <c r="BZ16" s="15">
        <f>IFERROR((up_dir!AZ16/(up_Bv!Y16+s_MLF_tomato)),".")</f>
        <v>1.3187534153652907E-11</v>
      </c>
      <c r="CA16" s="15">
        <f>IFERROR((up_dir!BA16/(up_Bv!Z16+s_MLF_rice)),".")</f>
        <v>1.3187534153652907E-11</v>
      </c>
      <c r="CB16" s="15">
        <f>IFERROR((up_dir!BB16/(up_Bv!AA16+s_MLF_cereal)),".")</f>
        <v>1.3187534153652907E-11</v>
      </c>
      <c r="CC16" s="40">
        <f t="shared" si="3"/>
        <v>3033167.5</v>
      </c>
      <c r="CD16" s="40">
        <f>IFERROR(s_C*(up_Bv!C16+s_MLF_apple)*s_IFAP_far_adj*s_CF_apple,".")</f>
        <v>758291.875</v>
      </c>
      <c r="CE16" s="40">
        <f>IFERROR(s_C*(up_Bv!D16+s_MLF_asparagus)*s_IFAS_far_adj*s_CF_asparagus,".")</f>
        <v>758291.875</v>
      </c>
      <c r="CF16" s="40">
        <f>IFERROR(s_C*(up_Bv!E16+s_MLF_beet)*s_IFBT_far_adj*s_CF_beet,".")</f>
        <v>758291.875</v>
      </c>
      <c r="CG16" s="40">
        <f>IFERROR(s_C*(up_Bv!F16+s_MLF_berries)*s_IFBR_far_adj*s_CF_berries,".")</f>
        <v>758291.875</v>
      </c>
      <c r="CH16" s="40">
        <f>IFERROR(s_C*(up_Bv!G16+s_MLF_broccoli)*s_IFBR_far_adj*s_CF_broccoli,".")</f>
        <v>758291.875</v>
      </c>
      <c r="CI16" s="40">
        <f>IFERROR(s_C*(up_Bv!H16+s_MLF_cabbage)*s_IFCB_far_adj*s_CF_cabbage,".")</f>
        <v>758291.875</v>
      </c>
      <c r="CJ16" s="40">
        <f>IFERROR(s_C*(up_Bv!I16+s_MLF_carrot)*s_IFCR_far_adj*s_CF_carrot,".")</f>
        <v>758291.875</v>
      </c>
      <c r="CK16" s="40">
        <f>IFERROR(s_C*(up_Bv!J16+s_MLF_citrus)*s_IFCI_far_adj*s_CF_citrus,".")</f>
        <v>758291.875</v>
      </c>
      <c r="CL16" s="40">
        <f>IFERROR(s_C*(up_Bv!K16+s_MLF_corn)*s_IFCO_far_adj*s_CF_corn,".")</f>
        <v>758291.875</v>
      </c>
      <c r="CM16" s="40">
        <f>IFERROR(s_C*(up_Bv!L16+s_MLF_cucumber)*s_IFCU_far_adj*s_CF_cucumber,".")</f>
        <v>758291.875</v>
      </c>
      <c r="CN16" s="40">
        <f>IFERROR(s_C*(up_Bv!M16+s_MLF_lettuce)*s_IFLE_far_adj*s_CF_lettuce,".")</f>
        <v>758291.875</v>
      </c>
      <c r="CO16" s="40">
        <f>IFERROR(s_C*(up_Bv!N16+s_MLF_lima_bean)*s_IFLI_far_adj*s_CF_lima_bean,".")</f>
        <v>758291.875</v>
      </c>
      <c r="CP16" s="40">
        <f>IFERROR(s_C*(up_Bv!O16+s_MLF_okra)*s_IFOK_far_adj*s_CF_okra,".")</f>
        <v>758291.875</v>
      </c>
      <c r="CQ16" s="40">
        <f>IFERROR(s_C*(up_Bv!P16+s_MLF_onion)*s_IFON_far_adj*s_CF_onion,".")</f>
        <v>758291.875</v>
      </c>
      <c r="CR16" s="40">
        <f>IFERROR(s_C*(up_Bv!Q16+s_MLF_peach)*s_IFPC_far_adj*s_CF_peach,".")</f>
        <v>758291.875</v>
      </c>
      <c r="CS16" s="40">
        <f>IFERROR(s_C*(up_Bv!R16+s_MLF_pear)*s_IFPR_far_adj*s_CF_pear,".")</f>
        <v>758291.875</v>
      </c>
      <c r="CT16" s="40">
        <f>IFERROR(s_C*(up_Bv!S16+s_MLF_peas)*s_IFPE_far_adj*s_CF_peas,".")</f>
        <v>758291.875</v>
      </c>
      <c r="CU16" s="40">
        <f>IFERROR(s_C*(up_Bv!T16+s_MLF_peppers)*s_IFPP_far_adj*s_CF_peppers,".")</f>
        <v>758291.875</v>
      </c>
      <c r="CV16" s="40">
        <f>IFERROR(s_C*(up_Bv!U16+s_MLF_potato)*s_IFPT_far_adj*s_CF_potato,".")</f>
        <v>758291.875</v>
      </c>
      <c r="CW16" s="40">
        <f>IFERROR(s_C*(up_Bv!V16+s_MLF_pumpkin)*s_IFPU_far_adj*s_CF_pumpkin,".")</f>
        <v>758291.875</v>
      </c>
      <c r="CX16" s="40">
        <f>IFERROR(s_C*(up_Bv!W16+s_MLF_snap_bean)*s_IFSN_far_adj*s_CF_snap_bean,".")</f>
        <v>758291.875</v>
      </c>
      <c r="CY16" s="40">
        <f>IFERROR(s_C*(up_Bv!X16+s_MLF_strawberry)*s_IFST_far_adj*s_CF_strawberry,".")</f>
        <v>758291.875</v>
      </c>
      <c r="CZ16" s="40">
        <f>IFERROR(s_C*(up_Bv!Y16+s_MLF_tomato)*s_IFTO_far_adj*s_CF_tomato,".")</f>
        <v>758291.875</v>
      </c>
      <c r="DA16" s="40">
        <f>IFERROR(s_C*(up_Bv!Z16+s_MLF_rice)*s_IFRI_far_adj*s_CF_rice,".")</f>
        <v>758291.875</v>
      </c>
      <c r="DB16" s="40">
        <f>IFERROR(s_C*(up_Bv!AA16+s_MLF_cereal)*s_IFCG_far_adj*s_CF_cereal,".")</f>
        <v>758291.875</v>
      </c>
    </row>
    <row r="17" spans="1:106" ht="15" customHeight="1" x14ac:dyDescent="0.25">
      <c r="A17" s="44" t="s">
        <v>27</v>
      </c>
      <c r="B17" s="42" t="s">
        <v>1071</v>
      </c>
      <c r="C17" s="15">
        <f t="shared" si="0"/>
        <v>3.2968835384132272E-12</v>
      </c>
      <c r="D17" s="15">
        <f>IFERROR((up_dir!D17/(up_Bv!C17+s_MLF_apple)),".")</f>
        <v>1.3187534153652907E-11</v>
      </c>
      <c r="E17" s="15">
        <f>IFERROR((up_dir!E17/(up_Bv!D17+s_MLF_asparagus)),".")</f>
        <v>1.3187534153652907E-11</v>
      </c>
      <c r="F17" s="15">
        <f>IFERROR((up_dir!F17/(up_Bv!E17+s_MLF_beet)),".")</f>
        <v>1.3187534153652907E-11</v>
      </c>
      <c r="G17" s="15">
        <f>IFERROR((up_dir!G17/(up_Bv!F17+s_MLF_berries)),".")</f>
        <v>1.3187534153652907E-11</v>
      </c>
      <c r="H17" s="15">
        <f>IFERROR((up_dir!H17/(up_Bv!G17+s_MLF_broccoli)),".")</f>
        <v>1.3187534153652907E-11</v>
      </c>
      <c r="I17" s="15">
        <f>IFERROR((up_dir!I17/(up_Bv!H17+s_MLF_cabbage)),".")</f>
        <v>1.3187534153652907E-11</v>
      </c>
      <c r="J17" s="15">
        <f>IFERROR((up_dir!J17/(up_Bv!I17+s_MLF_carrot)),".")</f>
        <v>1.3187534153652907E-11</v>
      </c>
      <c r="K17" s="15">
        <f>IFERROR((up_dir!K17/(up_Bv!J17+s_MLF_citrus)),".")</f>
        <v>1.3187534153652907E-11</v>
      </c>
      <c r="L17" s="15">
        <f>IFERROR((up_dir!L17/(up_Bv!K17+s_MLF_corn)),".")</f>
        <v>1.3187534153652907E-11</v>
      </c>
      <c r="M17" s="15">
        <f>IFERROR((up_dir!M17/(up_Bv!L17+s_MLF_cucumber)),".")</f>
        <v>1.3187534153652907E-11</v>
      </c>
      <c r="N17" s="15">
        <f>IFERROR((up_dir!N17/(up_Bv!M17+s_MLF_lettuce)),".")</f>
        <v>1.3187534153652907E-11</v>
      </c>
      <c r="O17" s="15">
        <f>IFERROR((up_dir!O17/(up_Bv!N17+s_MLF_lima_bean)),".")</f>
        <v>1.3187534153652907E-11</v>
      </c>
      <c r="P17" s="15">
        <f>IFERROR((up_dir!P17/(up_Bv!O17+s_MLF_okra)),".")</f>
        <v>1.3187534153652907E-11</v>
      </c>
      <c r="Q17" s="15">
        <f>IFERROR((up_dir!Q17/(up_Bv!P17+s_MLF_onion)),".")</f>
        <v>1.3187534153652907E-11</v>
      </c>
      <c r="R17" s="15">
        <f>IFERROR((up_dir!R17/(up_Bv!Q17+s_MLF_peach)),".")</f>
        <v>1.3187534153652907E-11</v>
      </c>
      <c r="S17" s="15">
        <f>IFERROR((up_dir!S17/(up_Bv!R17+s_MLF_pear)),".")</f>
        <v>1.3187534153652907E-11</v>
      </c>
      <c r="T17" s="15">
        <f>IFERROR((up_dir!T17/(up_Bv!S17+s_MLF_peas)),".")</f>
        <v>1.3187534153652907E-11</v>
      </c>
      <c r="U17" s="15">
        <f>IFERROR((up_dir!U17/(up_Bv!T17+s_MLF_peppers)),".")</f>
        <v>1.3187534153652907E-11</v>
      </c>
      <c r="V17" s="15">
        <f>IFERROR((up_dir!V17/(up_Bv!U17+s_MLF_potato)),".")</f>
        <v>1.3187534153652907E-11</v>
      </c>
      <c r="W17" s="15">
        <f>IFERROR((up_dir!W17/(up_Bv!V17+s_MLF_pumpkin)),".")</f>
        <v>1.3187534153652907E-11</v>
      </c>
      <c r="X17" s="15">
        <f>IFERROR((up_dir!X17/(up_Bv!W17+s_MLF_snap_bean)),".")</f>
        <v>1.3187534153652907E-11</v>
      </c>
      <c r="Y17" s="15">
        <f>IFERROR((up_dir!Y17/(up_Bv!X17+s_MLF_strawberry)),".")</f>
        <v>1.3187534153652907E-11</v>
      </c>
      <c r="Z17" s="15">
        <f>IFERROR((up_dir!Z17/(up_Bv!Y17+s_MLF_tomato)),".")</f>
        <v>1.3187534153652907E-11</v>
      </c>
      <c r="AA17" s="15">
        <f>IFERROR((up_dir!AA17/(up_Bv!Z17+s_MLF_rice)),".")</f>
        <v>1.3187534153652907E-11</v>
      </c>
      <c r="AB17" s="15">
        <f>IFERROR((up_dir!AB17/(up_Bv!AA17+s_MLF_cereal)),".")</f>
        <v>1.3187534153652907E-11</v>
      </c>
      <c r="AC17" s="40">
        <f t="shared" si="1"/>
        <v>3033167.5</v>
      </c>
      <c r="AD17" s="40">
        <f>s_C*(up_Bv!C17+s_MLF_apple)*s_IFAP_res_adj*s_CF_apple</f>
        <v>758291.875</v>
      </c>
      <c r="AE17" s="40">
        <f>s_C*(up_Bv!D17+s_MLF_asparagus)*s_IFAS_res_adj*s_CF_asparagus</f>
        <v>758291.875</v>
      </c>
      <c r="AF17" s="40">
        <f>s_C*(up_Bv!E17+s_MLF_beet)*s_IFBT_res_adj*s_CF_beet</f>
        <v>758291.875</v>
      </c>
      <c r="AG17" s="40">
        <f>s_C*(up_Bv!F17+s_MLF_berries)*s_IFBE_res_adj*s_CF_berries</f>
        <v>758291.875</v>
      </c>
      <c r="AH17" s="40">
        <f>s_C*(up_Bv!G17+s_MLF_broccoli)*s_IFBR_res_adj*s_CF_broccoli</f>
        <v>758291.875</v>
      </c>
      <c r="AI17" s="40">
        <f>s_C*(up_Bv!H17+s_MLF_cabbage)*s_IFCB_res_adj*s_CF_cabbage</f>
        <v>758291.875</v>
      </c>
      <c r="AJ17" s="40">
        <f>s_C*(up_Bv!I17+s_MLF_carrot)*s_IFCR_res_adj*s_CF_carrot</f>
        <v>758291.875</v>
      </c>
      <c r="AK17" s="40">
        <f>s_C*(up_Bv!J17+s_MLF_citrus)*s_IFCI_res_adj*s_CF_citrus</f>
        <v>758291.875</v>
      </c>
      <c r="AL17" s="40">
        <f>s_C*(up_Bv!K17+s_MLF_corn)*s_IFCO_res_adj*s_CF_corn</f>
        <v>758291.875</v>
      </c>
      <c r="AM17" s="40">
        <f>s_C*(up_Bv!L17+s_MLF_cucumber)*s_IFCU_res_adj*s_CF_cucumber</f>
        <v>758291.875</v>
      </c>
      <c r="AN17" s="40">
        <f>s_C*(up_Bv!M17+s_MLF_lettuce)*s_IFLE_res_adj*s_CF_lettuce</f>
        <v>758291.875</v>
      </c>
      <c r="AO17" s="40">
        <f>s_C*(up_Bv!N17+s_MLF_lima_bean)*s_IFLI_res_adj*s_CF_lima_bean</f>
        <v>758291.875</v>
      </c>
      <c r="AP17" s="40">
        <f>s_C*(up_Bv!O17+s_MLF_okra)*s_IFOK_res_adj*s_CF_okra</f>
        <v>758291.875</v>
      </c>
      <c r="AQ17" s="40">
        <f>s_C*(up_Bv!P17+s_MLF_onion)*s_IFON_res_adj*s_CF_onion</f>
        <v>758291.875</v>
      </c>
      <c r="AR17" s="40">
        <f>s_C*(up_Bv!Q17+s_MLF_peach)*s_IFPC_res_adj*s_CF_peach</f>
        <v>758291.875</v>
      </c>
      <c r="AS17" s="40">
        <f>s_C*(up_Bv!R17+s_MLF_pear)*s_IFPR_res_adj*s_CF_pear</f>
        <v>758291.875</v>
      </c>
      <c r="AT17" s="40">
        <f>s_C*(up_Bv!S17+s_MLF_peas)*s_IFPE_res_adj*s_CF_peas</f>
        <v>758291.875</v>
      </c>
      <c r="AU17" s="40">
        <f>s_C*(up_Bv!T17+s_MLF_peppers)*s_IFPP_res_adj*s_CF_peppers</f>
        <v>758291.875</v>
      </c>
      <c r="AV17" s="40">
        <f>s_C*(up_Bv!U17+s_MLF_potato)*s_IFPT_res_adj*s_CF_potato</f>
        <v>758291.875</v>
      </c>
      <c r="AW17" s="40">
        <f>s_C*(up_Bv!V17+s_MLF_pumpkin)*s_IFPU_res_adj*s_CF_pumpkin</f>
        <v>758291.875</v>
      </c>
      <c r="AX17" s="40">
        <f>s_C*(up_Bv!W17+s_MLF_snap_bean)*s_IFSN_res_adj*s_CF_snap_bean</f>
        <v>758291.875</v>
      </c>
      <c r="AY17" s="40">
        <f>s_C*(up_Bv!X17+s_MLF_strawberry)*s_IFST_res_adj*s_CF_strawberry</f>
        <v>758291.875</v>
      </c>
      <c r="AZ17" s="40">
        <f>s_C*(up_Bv!Y17+s_MLF_tomato)*s_IFTO_res_adj*s_CF_tomato</f>
        <v>758291.875</v>
      </c>
      <c r="BA17" s="40">
        <f>s_C*(up_Bv!Z17+s_MLF_rice)*s_IFRI_res_adj*s_CF_rice</f>
        <v>758291.875</v>
      </c>
      <c r="BB17" s="40">
        <f>s_C*(up_Bv!AA17+s_MLF_cereal)*s_IFCG_res_adj*s_CF_cereal</f>
        <v>758291.875</v>
      </c>
      <c r="BC17" s="15">
        <f t="shared" si="2"/>
        <v>3.2968835384132272E-12</v>
      </c>
      <c r="BD17" s="15">
        <f>IFERROR((up_dir!AD17/(up_Bv!C17+s_MLF_apple)),".")</f>
        <v>1.3187534153652907E-11</v>
      </c>
      <c r="BE17" s="15">
        <f>IFERROR((up_dir!AE17/(up_Bv!D17+s_MLF_asparagus)),".")</f>
        <v>1.3187534153652907E-11</v>
      </c>
      <c r="BF17" s="15">
        <f>IFERROR((up_dir!AF17/(up_Bv!E17+s_MLF_beet)),".")</f>
        <v>1.3187534153652907E-11</v>
      </c>
      <c r="BG17" s="15">
        <f>IFERROR((up_dir!AG17/(up_Bv!F17+s_MLF_berries)),".")</f>
        <v>1.3187534153652907E-11</v>
      </c>
      <c r="BH17" s="15">
        <f>IFERROR((up_dir!AH17/(up_Bv!G17+s_MLF_broccoli)),".")</f>
        <v>1.3187534153652907E-11</v>
      </c>
      <c r="BI17" s="15">
        <f>IFERROR((up_dir!AI17/(up_Bv!H17+s_MLF_cabbage)),".")</f>
        <v>1.3187534153652907E-11</v>
      </c>
      <c r="BJ17" s="15">
        <f>IFERROR((up_dir!AJ17/(up_Bv!I17+s_MLF_carrot)),".")</f>
        <v>1.3187534153652907E-11</v>
      </c>
      <c r="BK17" s="15">
        <f>IFERROR((up_dir!AK17/(up_Bv!J17+s_MLF_citrus)),".")</f>
        <v>1.3187534153652907E-11</v>
      </c>
      <c r="BL17" s="15">
        <f>IFERROR((up_dir!AL17/(up_Bv!K17+s_MLF_corn)),".")</f>
        <v>1.3187534153652907E-11</v>
      </c>
      <c r="BM17" s="15">
        <f>IFERROR((up_dir!AM17/(up_Bv!L17+s_MLF_cucumber)),".")</f>
        <v>1.3187534153652907E-11</v>
      </c>
      <c r="BN17" s="15">
        <f>IFERROR((up_dir!AN17/(up_Bv!M17+s_MLF_lettuce)),".")</f>
        <v>1.3187534153652907E-11</v>
      </c>
      <c r="BO17" s="15">
        <f>IFERROR((up_dir!AO17/(up_Bv!N17+s_MLF_lima_bean)),".")</f>
        <v>1.3187534153652907E-11</v>
      </c>
      <c r="BP17" s="15">
        <f>IFERROR((up_dir!AP17/(up_Bv!O17+s_MLF_okra)),".")</f>
        <v>1.3187534153652907E-11</v>
      </c>
      <c r="BQ17" s="15">
        <f>IFERROR((up_dir!AQ17/(up_Bv!P17+s_MLF_onion)),".")</f>
        <v>1.3187534153652907E-11</v>
      </c>
      <c r="BR17" s="15">
        <f>IFERROR((up_dir!AR17/(up_Bv!Q17+s_MLF_peach)),".")</f>
        <v>1.3187534153652907E-11</v>
      </c>
      <c r="BS17" s="15">
        <f>IFERROR((up_dir!AS17/(up_Bv!R17+s_MLF_pear)),".")</f>
        <v>1.3187534153652907E-11</v>
      </c>
      <c r="BT17" s="15">
        <f>IFERROR((up_dir!AT17/(up_Bv!S17+s_MLF_peas)),".")</f>
        <v>1.3187534153652907E-11</v>
      </c>
      <c r="BU17" s="15">
        <f>IFERROR((up_dir!AU17/(up_Bv!T17+s_MLF_peppers)),".")</f>
        <v>1.3187534153652907E-11</v>
      </c>
      <c r="BV17" s="15">
        <f>IFERROR((up_dir!AV17/(up_Bv!U17+s_MLF_potato)),".")</f>
        <v>1.3187534153652907E-11</v>
      </c>
      <c r="BW17" s="15">
        <f>IFERROR((up_dir!AW17/(up_Bv!V17+s_MLF_pumpkin)),".")</f>
        <v>1.3187534153652907E-11</v>
      </c>
      <c r="BX17" s="15">
        <f>IFERROR((up_dir!AX17/(up_Bv!W17+s_MLF_snap_bean)),".")</f>
        <v>1.3187534153652907E-11</v>
      </c>
      <c r="BY17" s="15">
        <f>IFERROR((up_dir!AY17/(up_Bv!X17+s_MLF_strawberry)),".")</f>
        <v>1.3187534153652907E-11</v>
      </c>
      <c r="BZ17" s="15">
        <f>IFERROR((up_dir!AZ17/(up_Bv!Y17+s_MLF_tomato)),".")</f>
        <v>1.3187534153652907E-11</v>
      </c>
      <c r="CA17" s="15">
        <f>IFERROR((up_dir!BA17/(up_Bv!Z17+s_MLF_rice)),".")</f>
        <v>1.3187534153652907E-11</v>
      </c>
      <c r="CB17" s="15">
        <f>IFERROR((up_dir!BB17/(up_Bv!AA17+s_MLF_cereal)),".")</f>
        <v>1.3187534153652907E-11</v>
      </c>
      <c r="CC17" s="40">
        <f t="shared" si="3"/>
        <v>3033167.5</v>
      </c>
      <c r="CD17" s="40">
        <f>IFERROR(s_C*(up_Bv!C17+s_MLF_apple)*s_IFAP_far_adj*s_CF_apple,".")</f>
        <v>758291.875</v>
      </c>
      <c r="CE17" s="40">
        <f>IFERROR(s_C*(up_Bv!D17+s_MLF_asparagus)*s_IFAS_far_adj*s_CF_asparagus,".")</f>
        <v>758291.875</v>
      </c>
      <c r="CF17" s="40">
        <f>IFERROR(s_C*(up_Bv!E17+s_MLF_beet)*s_IFBT_far_adj*s_CF_beet,".")</f>
        <v>758291.875</v>
      </c>
      <c r="CG17" s="40">
        <f>IFERROR(s_C*(up_Bv!F17+s_MLF_berries)*s_IFBR_far_adj*s_CF_berries,".")</f>
        <v>758291.875</v>
      </c>
      <c r="CH17" s="40">
        <f>IFERROR(s_C*(up_Bv!G17+s_MLF_broccoli)*s_IFBR_far_adj*s_CF_broccoli,".")</f>
        <v>758291.875</v>
      </c>
      <c r="CI17" s="40">
        <f>IFERROR(s_C*(up_Bv!H17+s_MLF_cabbage)*s_IFCB_far_adj*s_CF_cabbage,".")</f>
        <v>758291.875</v>
      </c>
      <c r="CJ17" s="40">
        <f>IFERROR(s_C*(up_Bv!I17+s_MLF_carrot)*s_IFCR_far_adj*s_CF_carrot,".")</f>
        <v>758291.875</v>
      </c>
      <c r="CK17" s="40">
        <f>IFERROR(s_C*(up_Bv!J17+s_MLF_citrus)*s_IFCI_far_adj*s_CF_citrus,".")</f>
        <v>758291.875</v>
      </c>
      <c r="CL17" s="40">
        <f>IFERROR(s_C*(up_Bv!K17+s_MLF_corn)*s_IFCO_far_adj*s_CF_corn,".")</f>
        <v>758291.875</v>
      </c>
      <c r="CM17" s="40">
        <f>IFERROR(s_C*(up_Bv!L17+s_MLF_cucumber)*s_IFCU_far_adj*s_CF_cucumber,".")</f>
        <v>758291.875</v>
      </c>
      <c r="CN17" s="40">
        <f>IFERROR(s_C*(up_Bv!M17+s_MLF_lettuce)*s_IFLE_far_adj*s_CF_lettuce,".")</f>
        <v>758291.875</v>
      </c>
      <c r="CO17" s="40">
        <f>IFERROR(s_C*(up_Bv!N17+s_MLF_lima_bean)*s_IFLI_far_adj*s_CF_lima_bean,".")</f>
        <v>758291.875</v>
      </c>
      <c r="CP17" s="40">
        <f>IFERROR(s_C*(up_Bv!O17+s_MLF_okra)*s_IFOK_far_adj*s_CF_okra,".")</f>
        <v>758291.875</v>
      </c>
      <c r="CQ17" s="40">
        <f>IFERROR(s_C*(up_Bv!P17+s_MLF_onion)*s_IFON_far_adj*s_CF_onion,".")</f>
        <v>758291.875</v>
      </c>
      <c r="CR17" s="40">
        <f>IFERROR(s_C*(up_Bv!Q17+s_MLF_peach)*s_IFPC_far_adj*s_CF_peach,".")</f>
        <v>758291.875</v>
      </c>
      <c r="CS17" s="40">
        <f>IFERROR(s_C*(up_Bv!R17+s_MLF_pear)*s_IFPR_far_adj*s_CF_pear,".")</f>
        <v>758291.875</v>
      </c>
      <c r="CT17" s="40">
        <f>IFERROR(s_C*(up_Bv!S17+s_MLF_peas)*s_IFPE_far_adj*s_CF_peas,".")</f>
        <v>758291.875</v>
      </c>
      <c r="CU17" s="40">
        <f>IFERROR(s_C*(up_Bv!T17+s_MLF_peppers)*s_IFPP_far_adj*s_CF_peppers,".")</f>
        <v>758291.875</v>
      </c>
      <c r="CV17" s="40">
        <f>IFERROR(s_C*(up_Bv!U17+s_MLF_potato)*s_IFPT_far_adj*s_CF_potato,".")</f>
        <v>758291.875</v>
      </c>
      <c r="CW17" s="40">
        <f>IFERROR(s_C*(up_Bv!V17+s_MLF_pumpkin)*s_IFPU_far_adj*s_CF_pumpkin,".")</f>
        <v>758291.875</v>
      </c>
      <c r="CX17" s="40">
        <f>IFERROR(s_C*(up_Bv!W17+s_MLF_snap_bean)*s_IFSN_far_adj*s_CF_snap_bean,".")</f>
        <v>758291.875</v>
      </c>
      <c r="CY17" s="40">
        <f>IFERROR(s_C*(up_Bv!X17+s_MLF_strawberry)*s_IFST_far_adj*s_CF_strawberry,".")</f>
        <v>758291.875</v>
      </c>
      <c r="CZ17" s="40">
        <f>IFERROR(s_C*(up_Bv!Y17+s_MLF_tomato)*s_IFTO_far_adj*s_CF_tomato,".")</f>
        <v>758291.875</v>
      </c>
      <c r="DA17" s="40">
        <f>IFERROR(s_C*(up_Bv!Z17+s_MLF_rice)*s_IFRI_far_adj*s_CF_rice,".")</f>
        <v>758291.875</v>
      </c>
      <c r="DB17" s="40">
        <f>IFERROR(s_C*(up_Bv!AA17+s_MLF_cereal)*s_IFCG_far_adj*s_CF_cereal,".")</f>
        <v>758291.875</v>
      </c>
    </row>
    <row r="18" spans="1:106" ht="15" customHeight="1" x14ac:dyDescent="0.25">
      <c r="A18" s="44" t="s">
        <v>28</v>
      </c>
      <c r="B18" s="42" t="s">
        <v>1071</v>
      </c>
      <c r="C18" s="15">
        <f t="shared" si="0"/>
        <v>3.2968835384132272E-12</v>
      </c>
      <c r="D18" s="15">
        <f>IFERROR((up_dir!D18/(up_Bv!C18+s_MLF_apple)),".")</f>
        <v>1.3187534153652907E-11</v>
      </c>
      <c r="E18" s="15">
        <f>IFERROR((up_dir!E18/(up_Bv!D18+s_MLF_asparagus)),".")</f>
        <v>1.3187534153652907E-11</v>
      </c>
      <c r="F18" s="15">
        <f>IFERROR((up_dir!F18/(up_Bv!E18+s_MLF_beet)),".")</f>
        <v>1.3187534153652907E-11</v>
      </c>
      <c r="G18" s="15">
        <f>IFERROR((up_dir!G18/(up_Bv!F18+s_MLF_berries)),".")</f>
        <v>1.3187534153652907E-11</v>
      </c>
      <c r="H18" s="15">
        <f>IFERROR((up_dir!H18/(up_Bv!G18+s_MLF_broccoli)),".")</f>
        <v>1.3187534153652907E-11</v>
      </c>
      <c r="I18" s="15">
        <f>IFERROR((up_dir!I18/(up_Bv!H18+s_MLF_cabbage)),".")</f>
        <v>1.3187534153652907E-11</v>
      </c>
      <c r="J18" s="15">
        <f>IFERROR((up_dir!J18/(up_Bv!I18+s_MLF_carrot)),".")</f>
        <v>1.3187534153652907E-11</v>
      </c>
      <c r="K18" s="15">
        <f>IFERROR((up_dir!K18/(up_Bv!J18+s_MLF_citrus)),".")</f>
        <v>1.3187534153652907E-11</v>
      </c>
      <c r="L18" s="15">
        <f>IFERROR((up_dir!L18/(up_Bv!K18+s_MLF_corn)),".")</f>
        <v>1.3187534153652907E-11</v>
      </c>
      <c r="M18" s="15">
        <f>IFERROR((up_dir!M18/(up_Bv!L18+s_MLF_cucumber)),".")</f>
        <v>1.3187534153652907E-11</v>
      </c>
      <c r="N18" s="15">
        <f>IFERROR((up_dir!N18/(up_Bv!M18+s_MLF_lettuce)),".")</f>
        <v>1.3187534153652907E-11</v>
      </c>
      <c r="O18" s="15">
        <f>IFERROR((up_dir!O18/(up_Bv!N18+s_MLF_lima_bean)),".")</f>
        <v>1.3187534153652907E-11</v>
      </c>
      <c r="P18" s="15">
        <f>IFERROR((up_dir!P18/(up_Bv!O18+s_MLF_okra)),".")</f>
        <v>1.3187534153652907E-11</v>
      </c>
      <c r="Q18" s="15">
        <f>IFERROR((up_dir!Q18/(up_Bv!P18+s_MLF_onion)),".")</f>
        <v>1.3187534153652907E-11</v>
      </c>
      <c r="R18" s="15">
        <f>IFERROR((up_dir!R18/(up_Bv!Q18+s_MLF_peach)),".")</f>
        <v>1.3187534153652907E-11</v>
      </c>
      <c r="S18" s="15">
        <f>IFERROR((up_dir!S18/(up_Bv!R18+s_MLF_pear)),".")</f>
        <v>1.3187534153652907E-11</v>
      </c>
      <c r="T18" s="15">
        <f>IFERROR((up_dir!T18/(up_Bv!S18+s_MLF_peas)),".")</f>
        <v>1.3187534153652907E-11</v>
      </c>
      <c r="U18" s="15">
        <f>IFERROR((up_dir!U18/(up_Bv!T18+s_MLF_peppers)),".")</f>
        <v>1.3187534153652907E-11</v>
      </c>
      <c r="V18" s="15">
        <f>IFERROR((up_dir!V18/(up_Bv!U18+s_MLF_potato)),".")</f>
        <v>1.3187534153652907E-11</v>
      </c>
      <c r="W18" s="15">
        <f>IFERROR((up_dir!W18/(up_Bv!V18+s_MLF_pumpkin)),".")</f>
        <v>1.3187534153652907E-11</v>
      </c>
      <c r="X18" s="15">
        <f>IFERROR((up_dir!X18/(up_Bv!W18+s_MLF_snap_bean)),".")</f>
        <v>1.3187534153652907E-11</v>
      </c>
      <c r="Y18" s="15">
        <f>IFERROR((up_dir!Y18/(up_Bv!X18+s_MLF_strawberry)),".")</f>
        <v>1.3187534153652907E-11</v>
      </c>
      <c r="Z18" s="15">
        <f>IFERROR((up_dir!Z18/(up_Bv!Y18+s_MLF_tomato)),".")</f>
        <v>1.3187534153652907E-11</v>
      </c>
      <c r="AA18" s="15">
        <f>IFERROR((up_dir!AA18/(up_Bv!Z18+s_MLF_rice)),".")</f>
        <v>1.3187534153652907E-11</v>
      </c>
      <c r="AB18" s="15">
        <f>IFERROR((up_dir!AB18/(up_Bv!AA18+s_MLF_cereal)),".")</f>
        <v>1.3187534153652907E-11</v>
      </c>
      <c r="AC18" s="40">
        <f t="shared" si="1"/>
        <v>3033167.5</v>
      </c>
      <c r="AD18" s="40">
        <f>s_C*(up_Bv!C18+s_MLF_apple)*s_IFAP_res_adj*s_CF_apple</f>
        <v>758291.875</v>
      </c>
      <c r="AE18" s="40">
        <f>s_C*(up_Bv!D18+s_MLF_asparagus)*s_IFAS_res_adj*s_CF_asparagus</f>
        <v>758291.875</v>
      </c>
      <c r="AF18" s="40">
        <f>s_C*(up_Bv!E18+s_MLF_beet)*s_IFBT_res_adj*s_CF_beet</f>
        <v>758291.875</v>
      </c>
      <c r="AG18" s="40">
        <f>s_C*(up_Bv!F18+s_MLF_berries)*s_IFBE_res_adj*s_CF_berries</f>
        <v>758291.875</v>
      </c>
      <c r="AH18" s="40">
        <f>s_C*(up_Bv!G18+s_MLF_broccoli)*s_IFBR_res_adj*s_CF_broccoli</f>
        <v>758291.875</v>
      </c>
      <c r="AI18" s="40">
        <f>s_C*(up_Bv!H18+s_MLF_cabbage)*s_IFCB_res_adj*s_CF_cabbage</f>
        <v>758291.875</v>
      </c>
      <c r="AJ18" s="40">
        <f>s_C*(up_Bv!I18+s_MLF_carrot)*s_IFCR_res_adj*s_CF_carrot</f>
        <v>758291.875</v>
      </c>
      <c r="AK18" s="40">
        <f>s_C*(up_Bv!J18+s_MLF_citrus)*s_IFCI_res_adj*s_CF_citrus</f>
        <v>758291.875</v>
      </c>
      <c r="AL18" s="40">
        <f>s_C*(up_Bv!K18+s_MLF_corn)*s_IFCO_res_adj*s_CF_corn</f>
        <v>758291.875</v>
      </c>
      <c r="AM18" s="40">
        <f>s_C*(up_Bv!L18+s_MLF_cucumber)*s_IFCU_res_adj*s_CF_cucumber</f>
        <v>758291.875</v>
      </c>
      <c r="AN18" s="40">
        <f>s_C*(up_Bv!M18+s_MLF_lettuce)*s_IFLE_res_adj*s_CF_lettuce</f>
        <v>758291.875</v>
      </c>
      <c r="AO18" s="40">
        <f>s_C*(up_Bv!N18+s_MLF_lima_bean)*s_IFLI_res_adj*s_CF_lima_bean</f>
        <v>758291.875</v>
      </c>
      <c r="AP18" s="40">
        <f>s_C*(up_Bv!O18+s_MLF_okra)*s_IFOK_res_adj*s_CF_okra</f>
        <v>758291.875</v>
      </c>
      <c r="AQ18" s="40">
        <f>s_C*(up_Bv!P18+s_MLF_onion)*s_IFON_res_adj*s_CF_onion</f>
        <v>758291.875</v>
      </c>
      <c r="AR18" s="40">
        <f>s_C*(up_Bv!Q18+s_MLF_peach)*s_IFPC_res_adj*s_CF_peach</f>
        <v>758291.875</v>
      </c>
      <c r="AS18" s="40">
        <f>s_C*(up_Bv!R18+s_MLF_pear)*s_IFPR_res_adj*s_CF_pear</f>
        <v>758291.875</v>
      </c>
      <c r="AT18" s="40">
        <f>s_C*(up_Bv!S18+s_MLF_peas)*s_IFPE_res_adj*s_CF_peas</f>
        <v>758291.875</v>
      </c>
      <c r="AU18" s="40">
        <f>s_C*(up_Bv!T18+s_MLF_peppers)*s_IFPP_res_adj*s_CF_peppers</f>
        <v>758291.875</v>
      </c>
      <c r="AV18" s="40">
        <f>s_C*(up_Bv!U18+s_MLF_potato)*s_IFPT_res_adj*s_CF_potato</f>
        <v>758291.875</v>
      </c>
      <c r="AW18" s="40">
        <f>s_C*(up_Bv!V18+s_MLF_pumpkin)*s_IFPU_res_adj*s_CF_pumpkin</f>
        <v>758291.875</v>
      </c>
      <c r="AX18" s="40">
        <f>s_C*(up_Bv!W18+s_MLF_snap_bean)*s_IFSN_res_adj*s_CF_snap_bean</f>
        <v>758291.875</v>
      </c>
      <c r="AY18" s="40">
        <f>s_C*(up_Bv!X18+s_MLF_strawberry)*s_IFST_res_adj*s_CF_strawberry</f>
        <v>758291.875</v>
      </c>
      <c r="AZ18" s="40">
        <f>s_C*(up_Bv!Y18+s_MLF_tomato)*s_IFTO_res_adj*s_CF_tomato</f>
        <v>758291.875</v>
      </c>
      <c r="BA18" s="40">
        <f>s_C*(up_Bv!Z18+s_MLF_rice)*s_IFRI_res_adj*s_CF_rice</f>
        <v>758291.875</v>
      </c>
      <c r="BB18" s="40">
        <f>s_C*(up_Bv!AA18+s_MLF_cereal)*s_IFCG_res_adj*s_CF_cereal</f>
        <v>758291.875</v>
      </c>
      <c r="BC18" s="15">
        <f t="shared" si="2"/>
        <v>3.2968835384132272E-12</v>
      </c>
      <c r="BD18" s="15">
        <f>IFERROR((up_dir!AD18/(up_Bv!C18+s_MLF_apple)),".")</f>
        <v>1.3187534153652907E-11</v>
      </c>
      <c r="BE18" s="15">
        <f>IFERROR((up_dir!AE18/(up_Bv!D18+s_MLF_asparagus)),".")</f>
        <v>1.3187534153652907E-11</v>
      </c>
      <c r="BF18" s="15">
        <f>IFERROR((up_dir!AF18/(up_Bv!E18+s_MLF_beet)),".")</f>
        <v>1.3187534153652907E-11</v>
      </c>
      <c r="BG18" s="15">
        <f>IFERROR((up_dir!AG18/(up_Bv!F18+s_MLF_berries)),".")</f>
        <v>1.3187534153652907E-11</v>
      </c>
      <c r="BH18" s="15">
        <f>IFERROR((up_dir!AH18/(up_Bv!G18+s_MLF_broccoli)),".")</f>
        <v>1.3187534153652907E-11</v>
      </c>
      <c r="BI18" s="15">
        <f>IFERROR((up_dir!AI18/(up_Bv!H18+s_MLF_cabbage)),".")</f>
        <v>1.3187534153652907E-11</v>
      </c>
      <c r="BJ18" s="15">
        <f>IFERROR((up_dir!AJ18/(up_Bv!I18+s_MLF_carrot)),".")</f>
        <v>1.3187534153652907E-11</v>
      </c>
      <c r="BK18" s="15">
        <f>IFERROR((up_dir!AK18/(up_Bv!J18+s_MLF_citrus)),".")</f>
        <v>1.3187534153652907E-11</v>
      </c>
      <c r="BL18" s="15">
        <f>IFERROR((up_dir!AL18/(up_Bv!K18+s_MLF_corn)),".")</f>
        <v>1.3187534153652907E-11</v>
      </c>
      <c r="BM18" s="15">
        <f>IFERROR((up_dir!AM18/(up_Bv!L18+s_MLF_cucumber)),".")</f>
        <v>1.3187534153652907E-11</v>
      </c>
      <c r="BN18" s="15">
        <f>IFERROR((up_dir!AN18/(up_Bv!M18+s_MLF_lettuce)),".")</f>
        <v>1.3187534153652907E-11</v>
      </c>
      <c r="BO18" s="15">
        <f>IFERROR((up_dir!AO18/(up_Bv!N18+s_MLF_lima_bean)),".")</f>
        <v>1.3187534153652907E-11</v>
      </c>
      <c r="BP18" s="15">
        <f>IFERROR((up_dir!AP18/(up_Bv!O18+s_MLF_okra)),".")</f>
        <v>1.3187534153652907E-11</v>
      </c>
      <c r="BQ18" s="15">
        <f>IFERROR((up_dir!AQ18/(up_Bv!P18+s_MLF_onion)),".")</f>
        <v>1.3187534153652907E-11</v>
      </c>
      <c r="BR18" s="15">
        <f>IFERROR((up_dir!AR18/(up_Bv!Q18+s_MLF_peach)),".")</f>
        <v>1.3187534153652907E-11</v>
      </c>
      <c r="BS18" s="15">
        <f>IFERROR((up_dir!AS18/(up_Bv!R18+s_MLF_pear)),".")</f>
        <v>1.3187534153652907E-11</v>
      </c>
      <c r="BT18" s="15">
        <f>IFERROR((up_dir!AT18/(up_Bv!S18+s_MLF_peas)),".")</f>
        <v>1.3187534153652907E-11</v>
      </c>
      <c r="BU18" s="15">
        <f>IFERROR((up_dir!AU18/(up_Bv!T18+s_MLF_peppers)),".")</f>
        <v>1.3187534153652907E-11</v>
      </c>
      <c r="BV18" s="15">
        <f>IFERROR((up_dir!AV18/(up_Bv!U18+s_MLF_potato)),".")</f>
        <v>1.3187534153652907E-11</v>
      </c>
      <c r="BW18" s="15">
        <f>IFERROR((up_dir!AW18/(up_Bv!V18+s_MLF_pumpkin)),".")</f>
        <v>1.3187534153652907E-11</v>
      </c>
      <c r="BX18" s="15">
        <f>IFERROR((up_dir!AX18/(up_Bv!W18+s_MLF_snap_bean)),".")</f>
        <v>1.3187534153652907E-11</v>
      </c>
      <c r="BY18" s="15">
        <f>IFERROR((up_dir!AY18/(up_Bv!X18+s_MLF_strawberry)),".")</f>
        <v>1.3187534153652907E-11</v>
      </c>
      <c r="BZ18" s="15">
        <f>IFERROR((up_dir!AZ18/(up_Bv!Y18+s_MLF_tomato)),".")</f>
        <v>1.3187534153652907E-11</v>
      </c>
      <c r="CA18" s="15">
        <f>IFERROR((up_dir!BA18/(up_Bv!Z18+s_MLF_rice)),".")</f>
        <v>1.3187534153652907E-11</v>
      </c>
      <c r="CB18" s="15">
        <f>IFERROR((up_dir!BB18/(up_Bv!AA18+s_MLF_cereal)),".")</f>
        <v>1.3187534153652907E-11</v>
      </c>
      <c r="CC18" s="40">
        <f t="shared" si="3"/>
        <v>3033167.5</v>
      </c>
      <c r="CD18" s="40">
        <f>IFERROR(s_C*(up_Bv!C18+s_MLF_apple)*s_IFAP_far_adj*s_CF_apple,".")</f>
        <v>758291.875</v>
      </c>
      <c r="CE18" s="40">
        <f>IFERROR(s_C*(up_Bv!D18+s_MLF_asparagus)*s_IFAS_far_adj*s_CF_asparagus,".")</f>
        <v>758291.875</v>
      </c>
      <c r="CF18" s="40">
        <f>IFERROR(s_C*(up_Bv!E18+s_MLF_beet)*s_IFBT_far_adj*s_CF_beet,".")</f>
        <v>758291.875</v>
      </c>
      <c r="CG18" s="40">
        <f>IFERROR(s_C*(up_Bv!F18+s_MLF_berries)*s_IFBR_far_adj*s_CF_berries,".")</f>
        <v>758291.875</v>
      </c>
      <c r="CH18" s="40">
        <f>IFERROR(s_C*(up_Bv!G18+s_MLF_broccoli)*s_IFBR_far_adj*s_CF_broccoli,".")</f>
        <v>758291.875</v>
      </c>
      <c r="CI18" s="40">
        <f>IFERROR(s_C*(up_Bv!H18+s_MLF_cabbage)*s_IFCB_far_adj*s_CF_cabbage,".")</f>
        <v>758291.875</v>
      </c>
      <c r="CJ18" s="40">
        <f>IFERROR(s_C*(up_Bv!I18+s_MLF_carrot)*s_IFCR_far_adj*s_CF_carrot,".")</f>
        <v>758291.875</v>
      </c>
      <c r="CK18" s="40">
        <f>IFERROR(s_C*(up_Bv!J18+s_MLF_citrus)*s_IFCI_far_adj*s_CF_citrus,".")</f>
        <v>758291.875</v>
      </c>
      <c r="CL18" s="40">
        <f>IFERROR(s_C*(up_Bv!K18+s_MLF_corn)*s_IFCO_far_adj*s_CF_corn,".")</f>
        <v>758291.875</v>
      </c>
      <c r="CM18" s="40">
        <f>IFERROR(s_C*(up_Bv!L18+s_MLF_cucumber)*s_IFCU_far_adj*s_CF_cucumber,".")</f>
        <v>758291.875</v>
      </c>
      <c r="CN18" s="40">
        <f>IFERROR(s_C*(up_Bv!M18+s_MLF_lettuce)*s_IFLE_far_adj*s_CF_lettuce,".")</f>
        <v>758291.875</v>
      </c>
      <c r="CO18" s="40">
        <f>IFERROR(s_C*(up_Bv!N18+s_MLF_lima_bean)*s_IFLI_far_adj*s_CF_lima_bean,".")</f>
        <v>758291.875</v>
      </c>
      <c r="CP18" s="40">
        <f>IFERROR(s_C*(up_Bv!O18+s_MLF_okra)*s_IFOK_far_adj*s_CF_okra,".")</f>
        <v>758291.875</v>
      </c>
      <c r="CQ18" s="40">
        <f>IFERROR(s_C*(up_Bv!P18+s_MLF_onion)*s_IFON_far_adj*s_CF_onion,".")</f>
        <v>758291.875</v>
      </c>
      <c r="CR18" s="40">
        <f>IFERROR(s_C*(up_Bv!Q18+s_MLF_peach)*s_IFPC_far_adj*s_CF_peach,".")</f>
        <v>758291.875</v>
      </c>
      <c r="CS18" s="40">
        <f>IFERROR(s_C*(up_Bv!R18+s_MLF_pear)*s_IFPR_far_adj*s_CF_pear,".")</f>
        <v>758291.875</v>
      </c>
      <c r="CT18" s="40">
        <f>IFERROR(s_C*(up_Bv!S18+s_MLF_peas)*s_IFPE_far_adj*s_CF_peas,".")</f>
        <v>758291.875</v>
      </c>
      <c r="CU18" s="40">
        <f>IFERROR(s_C*(up_Bv!T18+s_MLF_peppers)*s_IFPP_far_adj*s_CF_peppers,".")</f>
        <v>758291.875</v>
      </c>
      <c r="CV18" s="40">
        <f>IFERROR(s_C*(up_Bv!U18+s_MLF_potato)*s_IFPT_far_adj*s_CF_potato,".")</f>
        <v>758291.875</v>
      </c>
      <c r="CW18" s="40">
        <f>IFERROR(s_C*(up_Bv!V18+s_MLF_pumpkin)*s_IFPU_far_adj*s_CF_pumpkin,".")</f>
        <v>758291.875</v>
      </c>
      <c r="CX18" s="40">
        <f>IFERROR(s_C*(up_Bv!W18+s_MLF_snap_bean)*s_IFSN_far_adj*s_CF_snap_bean,".")</f>
        <v>758291.875</v>
      </c>
      <c r="CY18" s="40">
        <f>IFERROR(s_C*(up_Bv!X18+s_MLF_strawberry)*s_IFST_far_adj*s_CF_strawberry,".")</f>
        <v>758291.875</v>
      </c>
      <c r="CZ18" s="40">
        <f>IFERROR(s_C*(up_Bv!Y18+s_MLF_tomato)*s_IFTO_far_adj*s_CF_tomato,".")</f>
        <v>758291.875</v>
      </c>
      <c r="DA18" s="40">
        <f>IFERROR(s_C*(up_Bv!Z18+s_MLF_rice)*s_IFRI_far_adj*s_CF_rice,".")</f>
        <v>758291.875</v>
      </c>
      <c r="DB18" s="40">
        <f>IFERROR(s_C*(up_Bv!AA18+s_MLF_cereal)*s_IFCG_far_adj*s_CF_cereal,".")</f>
        <v>758291.875</v>
      </c>
    </row>
    <row r="19" spans="1:106" ht="15" customHeight="1" x14ac:dyDescent="0.25">
      <c r="A19" s="44" t="s">
        <v>29</v>
      </c>
      <c r="B19" s="42" t="s">
        <v>1071</v>
      </c>
      <c r="C19" s="15">
        <f t="shared" si="0"/>
        <v>3.2968835384132272E-12</v>
      </c>
      <c r="D19" s="15">
        <f>IFERROR((up_dir!D19/(up_Bv!C19+s_MLF_apple)),".")</f>
        <v>1.3187534153652907E-11</v>
      </c>
      <c r="E19" s="15">
        <f>IFERROR((up_dir!E19/(up_Bv!D19+s_MLF_asparagus)),".")</f>
        <v>1.3187534153652907E-11</v>
      </c>
      <c r="F19" s="15">
        <f>IFERROR((up_dir!F19/(up_Bv!E19+s_MLF_beet)),".")</f>
        <v>1.3187534153652907E-11</v>
      </c>
      <c r="G19" s="15">
        <f>IFERROR((up_dir!G19/(up_Bv!F19+s_MLF_berries)),".")</f>
        <v>1.3187534153652907E-11</v>
      </c>
      <c r="H19" s="15">
        <f>IFERROR((up_dir!H19/(up_Bv!G19+s_MLF_broccoli)),".")</f>
        <v>1.3187534153652907E-11</v>
      </c>
      <c r="I19" s="15">
        <f>IFERROR((up_dir!I19/(up_Bv!H19+s_MLF_cabbage)),".")</f>
        <v>1.3187534153652907E-11</v>
      </c>
      <c r="J19" s="15">
        <f>IFERROR((up_dir!J19/(up_Bv!I19+s_MLF_carrot)),".")</f>
        <v>1.3187534153652907E-11</v>
      </c>
      <c r="K19" s="15">
        <f>IFERROR((up_dir!K19/(up_Bv!J19+s_MLF_citrus)),".")</f>
        <v>1.3187534153652907E-11</v>
      </c>
      <c r="L19" s="15">
        <f>IFERROR((up_dir!L19/(up_Bv!K19+s_MLF_corn)),".")</f>
        <v>1.3187534153652907E-11</v>
      </c>
      <c r="M19" s="15">
        <f>IFERROR((up_dir!M19/(up_Bv!L19+s_MLF_cucumber)),".")</f>
        <v>1.3187534153652907E-11</v>
      </c>
      <c r="N19" s="15">
        <f>IFERROR((up_dir!N19/(up_Bv!M19+s_MLF_lettuce)),".")</f>
        <v>1.3187534153652907E-11</v>
      </c>
      <c r="O19" s="15">
        <f>IFERROR((up_dir!O19/(up_Bv!N19+s_MLF_lima_bean)),".")</f>
        <v>1.3187534153652907E-11</v>
      </c>
      <c r="P19" s="15">
        <f>IFERROR((up_dir!P19/(up_Bv!O19+s_MLF_okra)),".")</f>
        <v>1.3187534153652907E-11</v>
      </c>
      <c r="Q19" s="15">
        <f>IFERROR((up_dir!Q19/(up_Bv!P19+s_MLF_onion)),".")</f>
        <v>1.3187534153652907E-11</v>
      </c>
      <c r="R19" s="15">
        <f>IFERROR((up_dir!R19/(up_Bv!Q19+s_MLF_peach)),".")</f>
        <v>1.3187534153652907E-11</v>
      </c>
      <c r="S19" s="15">
        <f>IFERROR((up_dir!S19/(up_Bv!R19+s_MLF_pear)),".")</f>
        <v>1.3187534153652907E-11</v>
      </c>
      <c r="T19" s="15">
        <f>IFERROR((up_dir!T19/(up_Bv!S19+s_MLF_peas)),".")</f>
        <v>1.3187534153652907E-11</v>
      </c>
      <c r="U19" s="15">
        <f>IFERROR((up_dir!U19/(up_Bv!T19+s_MLF_peppers)),".")</f>
        <v>1.3187534153652907E-11</v>
      </c>
      <c r="V19" s="15">
        <f>IFERROR((up_dir!V19/(up_Bv!U19+s_MLF_potato)),".")</f>
        <v>1.3187534153652907E-11</v>
      </c>
      <c r="W19" s="15">
        <f>IFERROR((up_dir!W19/(up_Bv!V19+s_MLF_pumpkin)),".")</f>
        <v>1.3187534153652907E-11</v>
      </c>
      <c r="X19" s="15">
        <f>IFERROR((up_dir!X19/(up_Bv!W19+s_MLF_snap_bean)),".")</f>
        <v>1.3187534153652907E-11</v>
      </c>
      <c r="Y19" s="15">
        <f>IFERROR((up_dir!Y19/(up_Bv!X19+s_MLF_strawberry)),".")</f>
        <v>1.3187534153652907E-11</v>
      </c>
      <c r="Z19" s="15">
        <f>IFERROR((up_dir!Z19/(up_Bv!Y19+s_MLF_tomato)),".")</f>
        <v>1.3187534153652907E-11</v>
      </c>
      <c r="AA19" s="15">
        <f>IFERROR((up_dir!AA19/(up_Bv!Z19+s_MLF_rice)),".")</f>
        <v>1.3187534153652907E-11</v>
      </c>
      <c r="AB19" s="15">
        <f>IFERROR((up_dir!AB19/(up_Bv!AA19+s_MLF_cereal)),".")</f>
        <v>1.3187534153652907E-11</v>
      </c>
      <c r="AC19" s="40">
        <f t="shared" si="1"/>
        <v>3033167.5</v>
      </c>
      <c r="AD19" s="40">
        <f>s_C*(up_Bv!C19+s_MLF_apple)*s_IFAP_res_adj*s_CF_apple</f>
        <v>758291.875</v>
      </c>
      <c r="AE19" s="40">
        <f>s_C*(up_Bv!D19+s_MLF_asparagus)*s_IFAS_res_adj*s_CF_asparagus</f>
        <v>758291.875</v>
      </c>
      <c r="AF19" s="40">
        <f>s_C*(up_Bv!E19+s_MLF_beet)*s_IFBT_res_adj*s_CF_beet</f>
        <v>758291.875</v>
      </c>
      <c r="AG19" s="40">
        <f>s_C*(up_Bv!F19+s_MLF_berries)*s_IFBE_res_adj*s_CF_berries</f>
        <v>758291.875</v>
      </c>
      <c r="AH19" s="40">
        <f>s_C*(up_Bv!G19+s_MLF_broccoli)*s_IFBR_res_adj*s_CF_broccoli</f>
        <v>758291.875</v>
      </c>
      <c r="AI19" s="40">
        <f>s_C*(up_Bv!H19+s_MLF_cabbage)*s_IFCB_res_adj*s_CF_cabbage</f>
        <v>758291.875</v>
      </c>
      <c r="AJ19" s="40">
        <f>s_C*(up_Bv!I19+s_MLF_carrot)*s_IFCR_res_adj*s_CF_carrot</f>
        <v>758291.875</v>
      </c>
      <c r="AK19" s="40">
        <f>s_C*(up_Bv!J19+s_MLF_citrus)*s_IFCI_res_adj*s_CF_citrus</f>
        <v>758291.875</v>
      </c>
      <c r="AL19" s="40">
        <f>s_C*(up_Bv!K19+s_MLF_corn)*s_IFCO_res_adj*s_CF_corn</f>
        <v>758291.875</v>
      </c>
      <c r="AM19" s="40">
        <f>s_C*(up_Bv!L19+s_MLF_cucumber)*s_IFCU_res_adj*s_CF_cucumber</f>
        <v>758291.875</v>
      </c>
      <c r="AN19" s="40">
        <f>s_C*(up_Bv!M19+s_MLF_lettuce)*s_IFLE_res_adj*s_CF_lettuce</f>
        <v>758291.875</v>
      </c>
      <c r="AO19" s="40">
        <f>s_C*(up_Bv!N19+s_MLF_lima_bean)*s_IFLI_res_adj*s_CF_lima_bean</f>
        <v>758291.875</v>
      </c>
      <c r="AP19" s="40">
        <f>s_C*(up_Bv!O19+s_MLF_okra)*s_IFOK_res_adj*s_CF_okra</f>
        <v>758291.875</v>
      </c>
      <c r="AQ19" s="40">
        <f>s_C*(up_Bv!P19+s_MLF_onion)*s_IFON_res_adj*s_CF_onion</f>
        <v>758291.875</v>
      </c>
      <c r="AR19" s="40">
        <f>s_C*(up_Bv!Q19+s_MLF_peach)*s_IFPC_res_adj*s_CF_peach</f>
        <v>758291.875</v>
      </c>
      <c r="AS19" s="40">
        <f>s_C*(up_Bv!R19+s_MLF_pear)*s_IFPR_res_adj*s_CF_pear</f>
        <v>758291.875</v>
      </c>
      <c r="AT19" s="40">
        <f>s_C*(up_Bv!S19+s_MLF_peas)*s_IFPE_res_adj*s_CF_peas</f>
        <v>758291.875</v>
      </c>
      <c r="AU19" s="40">
        <f>s_C*(up_Bv!T19+s_MLF_peppers)*s_IFPP_res_adj*s_CF_peppers</f>
        <v>758291.875</v>
      </c>
      <c r="AV19" s="40">
        <f>s_C*(up_Bv!U19+s_MLF_potato)*s_IFPT_res_adj*s_CF_potato</f>
        <v>758291.875</v>
      </c>
      <c r="AW19" s="40">
        <f>s_C*(up_Bv!V19+s_MLF_pumpkin)*s_IFPU_res_adj*s_CF_pumpkin</f>
        <v>758291.875</v>
      </c>
      <c r="AX19" s="40">
        <f>s_C*(up_Bv!W19+s_MLF_snap_bean)*s_IFSN_res_adj*s_CF_snap_bean</f>
        <v>758291.875</v>
      </c>
      <c r="AY19" s="40">
        <f>s_C*(up_Bv!X19+s_MLF_strawberry)*s_IFST_res_adj*s_CF_strawberry</f>
        <v>758291.875</v>
      </c>
      <c r="AZ19" s="40">
        <f>s_C*(up_Bv!Y19+s_MLF_tomato)*s_IFTO_res_adj*s_CF_tomato</f>
        <v>758291.875</v>
      </c>
      <c r="BA19" s="40">
        <f>s_C*(up_Bv!Z19+s_MLF_rice)*s_IFRI_res_adj*s_CF_rice</f>
        <v>758291.875</v>
      </c>
      <c r="BB19" s="40">
        <f>s_C*(up_Bv!AA19+s_MLF_cereal)*s_IFCG_res_adj*s_CF_cereal</f>
        <v>758291.875</v>
      </c>
      <c r="BC19" s="15">
        <f t="shared" si="2"/>
        <v>3.2968835384132272E-12</v>
      </c>
      <c r="BD19" s="15">
        <f>IFERROR((up_dir!AD19/(up_Bv!C19+s_MLF_apple)),".")</f>
        <v>1.3187534153652907E-11</v>
      </c>
      <c r="BE19" s="15">
        <f>IFERROR((up_dir!AE19/(up_Bv!D19+s_MLF_asparagus)),".")</f>
        <v>1.3187534153652907E-11</v>
      </c>
      <c r="BF19" s="15">
        <f>IFERROR((up_dir!AF19/(up_Bv!E19+s_MLF_beet)),".")</f>
        <v>1.3187534153652907E-11</v>
      </c>
      <c r="BG19" s="15">
        <f>IFERROR((up_dir!AG19/(up_Bv!F19+s_MLF_berries)),".")</f>
        <v>1.3187534153652907E-11</v>
      </c>
      <c r="BH19" s="15">
        <f>IFERROR((up_dir!AH19/(up_Bv!G19+s_MLF_broccoli)),".")</f>
        <v>1.3187534153652907E-11</v>
      </c>
      <c r="BI19" s="15">
        <f>IFERROR((up_dir!AI19/(up_Bv!H19+s_MLF_cabbage)),".")</f>
        <v>1.3187534153652907E-11</v>
      </c>
      <c r="BJ19" s="15">
        <f>IFERROR((up_dir!AJ19/(up_Bv!I19+s_MLF_carrot)),".")</f>
        <v>1.3187534153652907E-11</v>
      </c>
      <c r="BK19" s="15">
        <f>IFERROR((up_dir!AK19/(up_Bv!J19+s_MLF_citrus)),".")</f>
        <v>1.3187534153652907E-11</v>
      </c>
      <c r="BL19" s="15">
        <f>IFERROR((up_dir!AL19/(up_Bv!K19+s_MLF_corn)),".")</f>
        <v>1.3187534153652907E-11</v>
      </c>
      <c r="BM19" s="15">
        <f>IFERROR((up_dir!AM19/(up_Bv!L19+s_MLF_cucumber)),".")</f>
        <v>1.3187534153652907E-11</v>
      </c>
      <c r="BN19" s="15">
        <f>IFERROR((up_dir!AN19/(up_Bv!M19+s_MLF_lettuce)),".")</f>
        <v>1.3187534153652907E-11</v>
      </c>
      <c r="BO19" s="15">
        <f>IFERROR((up_dir!AO19/(up_Bv!N19+s_MLF_lima_bean)),".")</f>
        <v>1.3187534153652907E-11</v>
      </c>
      <c r="BP19" s="15">
        <f>IFERROR((up_dir!AP19/(up_Bv!O19+s_MLF_okra)),".")</f>
        <v>1.3187534153652907E-11</v>
      </c>
      <c r="BQ19" s="15">
        <f>IFERROR((up_dir!AQ19/(up_Bv!P19+s_MLF_onion)),".")</f>
        <v>1.3187534153652907E-11</v>
      </c>
      <c r="BR19" s="15">
        <f>IFERROR((up_dir!AR19/(up_Bv!Q19+s_MLF_peach)),".")</f>
        <v>1.3187534153652907E-11</v>
      </c>
      <c r="BS19" s="15">
        <f>IFERROR((up_dir!AS19/(up_Bv!R19+s_MLF_pear)),".")</f>
        <v>1.3187534153652907E-11</v>
      </c>
      <c r="BT19" s="15">
        <f>IFERROR((up_dir!AT19/(up_Bv!S19+s_MLF_peas)),".")</f>
        <v>1.3187534153652907E-11</v>
      </c>
      <c r="BU19" s="15">
        <f>IFERROR((up_dir!AU19/(up_Bv!T19+s_MLF_peppers)),".")</f>
        <v>1.3187534153652907E-11</v>
      </c>
      <c r="BV19" s="15">
        <f>IFERROR((up_dir!AV19/(up_Bv!U19+s_MLF_potato)),".")</f>
        <v>1.3187534153652907E-11</v>
      </c>
      <c r="BW19" s="15">
        <f>IFERROR((up_dir!AW19/(up_Bv!V19+s_MLF_pumpkin)),".")</f>
        <v>1.3187534153652907E-11</v>
      </c>
      <c r="BX19" s="15">
        <f>IFERROR((up_dir!AX19/(up_Bv!W19+s_MLF_snap_bean)),".")</f>
        <v>1.3187534153652907E-11</v>
      </c>
      <c r="BY19" s="15">
        <f>IFERROR((up_dir!AY19/(up_Bv!X19+s_MLF_strawberry)),".")</f>
        <v>1.3187534153652907E-11</v>
      </c>
      <c r="BZ19" s="15">
        <f>IFERROR((up_dir!AZ19/(up_Bv!Y19+s_MLF_tomato)),".")</f>
        <v>1.3187534153652907E-11</v>
      </c>
      <c r="CA19" s="15">
        <f>IFERROR((up_dir!BA19/(up_Bv!Z19+s_MLF_rice)),".")</f>
        <v>1.3187534153652907E-11</v>
      </c>
      <c r="CB19" s="15">
        <f>IFERROR((up_dir!BB19/(up_Bv!AA19+s_MLF_cereal)),".")</f>
        <v>1.3187534153652907E-11</v>
      </c>
      <c r="CC19" s="40">
        <f t="shared" si="3"/>
        <v>3033167.5</v>
      </c>
      <c r="CD19" s="40">
        <f>IFERROR(s_C*(up_Bv!C19+s_MLF_apple)*s_IFAP_far_adj*s_CF_apple,".")</f>
        <v>758291.875</v>
      </c>
      <c r="CE19" s="40">
        <f>IFERROR(s_C*(up_Bv!D19+s_MLF_asparagus)*s_IFAS_far_adj*s_CF_asparagus,".")</f>
        <v>758291.875</v>
      </c>
      <c r="CF19" s="40">
        <f>IFERROR(s_C*(up_Bv!E19+s_MLF_beet)*s_IFBT_far_adj*s_CF_beet,".")</f>
        <v>758291.875</v>
      </c>
      <c r="CG19" s="40">
        <f>IFERROR(s_C*(up_Bv!F19+s_MLF_berries)*s_IFBR_far_adj*s_CF_berries,".")</f>
        <v>758291.875</v>
      </c>
      <c r="CH19" s="40">
        <f>IFERROR(s_C*(up_Bv!G19+s_MLF_broccoli)*s_IFBR_far_adj*s_CF_broccoli,".")</f>
        <v>758291.875</v>
      </c>
      <c r="CI19" s="40">
        <f>IFERROR(s_C*(up_Bv!H19+s_MLF_cabbage)*s_IFCB_far_adj*s_CF_cabbage,".")</f>
        <v>758291.875</v>
      </c>
      <c r="CJ19" s="40">
        <f>IFERROR(s_C*(up_Bv!I19+s_MLF_carrot)*s_IFCR_far_adj*s_CF_carrot,".")</f>
        <v>758291.875</v>
      </c>
      <c r="CK19" s="40">
        <f>IFERROR(s_C*(up_Bv!J19+s_MLF_citrus)*s_IFCI_far_adj*s_CF_citrus,".")</f>
        <v>758291.875</v>
      </c>
      <c r="CL19" s="40">
        <f>IFERROR(s_C*(up_Bv!K19+s_MLF_corn)*s_IFCO_far_adj*s_CF_corn,".")</f>
        <v>758291.875</v>
      </c>
      <c r="CM19" s="40">
        <f>IFERROR(s_C*(up_Bv!L19+s_MLF_cucumber)*s_IFCU_far_adj*s_CF_cucumber,".")</f>
        <v>758291.875</v>
      </c>
      <c r="CN19" s="40">
        <f>IFERROR(s_C*(up_Bv!M19+s_MLF_lettuce)*s_IFLE_far_adj*s_CF_lettuce,".")</f>
        <v>758291.875</v>
      </c>
      <c r="CO19" s="40">
        <f>IFERROR(s_C*(up_Bv!N19+s_MLF_lima_bean)*s_IFLI_far_adj*s_CF_lima_bean,".")</f>
        <v>758291.875</v>
      </c>
      <c r="CP19" s="40">
        <f>IFERROR(s_C*(up_Bv!O19+s_MLF_okra)*s_IFOK_far_adj*s_CF_okra,".")</f>
        <v>758291.875</v>
      </c>
      <c r="CQ19" s="40">
        <f>IFERROR(s_C*(up_Bv!P19+s_MLF_onion)*s_IFON_far_adj*s_CF_onion,".")</f>
        <v>758291.875</v>
      </c>
      <c r="CR19" s="40">
        <f>IFERROR(s_C*(up_Bv!Q19+s_MLF_peach)*s_IFPC_far_adj*s_CF_peach,".")</f>
        <v>758291.875</v>
      </c>
      <c r="CS19" s="40">
        <f>IFERROR(s_C*(up_Bv!R19+s_MLF_pear)*s_IFPR_far_adj*s_CF_pear,".")</f>
        <v>758291.875</v>
      </c>
      <c r="CT19" s="40">
        <f>IFERROR(s_C*(up_Bv!S19+s_MLF_peas)*s_IFPE_far_adj*s_CF_peas,".")</f>
        <v>758291.875</v>
      </c>
      <c r="CU19" s="40">
        <f>IFERROR(s_C*(up_Bv!T19+s_MLF_peppers)*s_IFPP_far_adj*s_CF_peppers,".")</f>
        <v>758291.875</v>
      </c>
      <c r="CV19" s="40">
        <f>IFERROR(s_C*(up_Bv!U19+s_MLF_potato)*s_IFPT_far_adj*s_CF_potato,".")</f>
        <v>758291.875</v>
      </c>
      <c r="CW19" s="40">
        <f>IFERROR(s_C*(up_Bv!V19+s_MLF_pumpkin)*s_IFPU_far_adj*s_CF_pumpkin,".")</f>
        <v>758291.875</v>
      </c>
      <c r="CX19" s="40">
        <f>IFERROR(s_C*(up_Bv!W19+s_MLF_snap_bean)*s_IFSN_far_adj*s_CF_snap_bean,".")</f>
        <v>758291.875</v>
      </c>
      <c r="CY19" s="40">
        <f>IFERROR(s_C*(up_Bv!X19+s_MLF_strawberry)*s_IFST_far_adj*s_CF_strawberry,".")</f>
        <v>758291.875</v>
      </c>
      <c r="CZ19" s="40">
        <f>IFERROR(s_C*(up_Bv!Y19+s_MLF_tomato)*s_IFTO_far_adj*s_CF_tomato,".")</f>
        <v>758291.875</v>
      </c>
      <c r="DA19" s="40">
        <f>IFERROR(s_C*(up_Bv!Z19+s_MLF_rice)*s_IFRI_far_adj*s_CF_rice,".")</f>
        <v>758291.875</v>
      </c>
      <c r="DB19" s="40">
        <f>IFERROR(s_C*(up_Bv!AA19+s_MLF_cereal)*s_IFCG_far_adj*s_CF_cereal,".")</f>
        <v>758291.875</v>
      </c>
    </row>
    <row r="20" spans="1:106" ht="15" customHeight="1" x14ac:dyDescent="0.25">
      <c r="A20" s="44" t="s">
        <v>30</v>
      </c>
      <c r="B20" s="42" t="s">
        <v>1071</v>
      </c>
      <c r="C20" s="15">
        <f t="shared" si="0"/>
        <v>3.2968835384132272E-12</v>
      </c>
      <c r="D20" s="15">
        <f>IFERROR((up_dir!D20/(up_Bv!C20+s_MLF_apple)),".")</f>
        <v>1.3187534153652907E-11</v>
      </c>
      <c r="E20" s="15">
        <f>IFERROR((up_dir!E20/(up_Bv!D20+s_MLF_asparagus)),".")</f>
        <v>1.3187534153652907E-11</v>
      </c>
      <c r="F20" s="15">
        <f>IFERROR((up_dir!F20/(up_Bv!E20+s_MLF_beet)),".")</f>
        <v>1.3187534153652907E-11</v>
      </c>
      <c r="G20" s="15">
        <f>IFERROR((up_dir!G20/(up_Bv!F20+s_MLF_berries)),".")</f>
        <v>1.3187534153652907E-11</v>
      </c>
      <c r="H20" s="15">
        <f>IFERROR((up_dir!H20/(up_Bv!G20+s_MLF_broccoli)),".")</f>
        <v>1.3187534153652907E-11</v>
      </c>
      <c r="I20" s="15">
        <f>IFERROR((up_dir!I20/(up_Bv!H20+s_MLF_cabbage)),".")</f>
        <v>1.3187534153652907E-11</v>
      </c>
      <c r="J20" s="15">
        <f>IFERROR((up_dir!J20/(up_Bv!I20+s_MLF_carrot)),".")</f>
        <v>1.3187534153652907E-11</v>
      </c>
      <c r="K20" s="15">
        <f>IFERROR((up_dir!K20/(up_Bv!J20+s_MLF_citrus)),".")</f>
        <v>1.3187534153652907E-11</v>
      </c>
      <c r="L20" s="15">
        <f>IFERROR((up_dir!L20/(up_Bv!K20+s_MLF_corn)),".")</f>
        <v>1.3187534153652907E-11</v>
      </c>
      <c r="M20" s="15">
        <f>IFERROR((up_dir!M20/(up_Bv!L20+s_MLF_cucumber)),".")</f>
        <v>1.3187534153652907E-11</v>
      </c>
      <c r="N20" s="15">
        <f>IFERROR((up_dir!N20/(up_Bv!M20+s_MLF_lettuce)),".")</f>
        <v>1.3187534153652907E-11</v>
      </c>
      <c r="O20" s="15">
        <f>IFERROR((up_dir!O20/(up_Bv!N20+s_MLF_lima_bean)),".")</f>
        <v>1.3187534153652907E-11</v>
      </c>
      <c r="P20" s="15">
        <f>IFERROR((up_dir!P20/(up_Bv!O20+s_MLF_okra)),".")</f>
        <v>1.3187534153652907E-11</v>
      </c>
      <c r="Q20" s="15">
        <f>IFERROR((up_dir!Q20/(up_Bv!P20+s_MLF_onion)),".")</f>
        <v>1.3187534153652907E-11</v>
      </c>
      <c r="R20" s="15">
        <f>IFERROR((up_dir!R20/(up_Bv!Q20+s_MLF_peach)),".")</f>
        <v>1.3187534153652907E-11</v>
      </c>
      <c r="S20" s="15">
        <f>IFERROR((up_dir!S20/(up_Bv!R20+s_MLF_pear)),".")</f>
        <v>1.3187534153652907E-11</v>
      </c>
      <c r="T20" s="15">
        <f>IFERROR((up_dir!T20/(up_Bv!S20+s_MLF_peas)),".")</f>
        <v>1.3187534153652907E-11</v>
      </c>
      <c r="U20" s="15">
        <f>IFERROR((up_dir!U20/(up_Bv!T20+s_MLF_peppers)),".")</f>
        <v>1.3187534153652907E-11</v>
      </c>
      <c r="V20" s="15">
        <f>IFERROR((up_dir!V20/(up_Bv!U20+s_MLF_potato)),".")</f>
        <v>1.3187534153652907E-11</v>
      </c>
      <c r="W20" s="15">
        <f>IFERROR((up_dir!W20/(up_Bv!V20+s_MLF_pumpkin)),".")</f>
        <v>1.3187534153652907E-11</v>
      </c>
      <c r="X20" s="15">
        <f>IFERROR((up_dir!X20/(up_Bv!W20+s_MLF_snap_bean)),".")</f>
        <v>1.3187534153652907E-11</v>
      </c>
      <c r="Y20" s="15">
        <f>IFERROR((up_dir!Y20/(up_Bv!X20+s_MLF_strawberry)),".")</f>
        <v>1.3187534153652907E-11</v>
      </c>
      <c r="Z20" s="15">
        <f>IFERROR((up_dir!Z20/(up_Bv!Y20+s_MLF_tomato)),".")</f>
        <v>1.3187534153652907E-11</v>
      </c>
      <c r="AA20" s="15">
        <f>IFERROR((up_dir!AA20/(up_Bv!Z20+s_MLF_rice)),".")</f>
        <v>1.3187534153652907E-11</v>
      </c>
      <c r="AB20" s="15">
        <f>IFERROR((up_dir!AB20/(up_Bv!AA20+s_MLF_cereal)),".")</f>
        <v>1.3187534153652907E-11</v>
      </c>
      <c r="AC20" s="40">
        <f t="shared" si="1"/>
        <v>3033167.5</v>
      </c>
      <c r="AD20" s="40">
        <f>s_C*(up_Bv!C20+s_MLF_apple)*s_IFAP_res_adj*s_CF_apple</f>
        <v>758291.875</v>
      </c>
      <c r="AE20" s="40">
        <f>s_C*(up_Bv!D20+s_MLF_asparagus)*s_IFAS_res_adj*s_CF_asparagus</f>
        <v>758291.875</v>
      </c>
      <c r="AF20" s="40">
        <f>s_C*(up_Bv!E20+s_MLF_beet)*s_IFBT_res_adj*s_CF_beet</f>
        <v>758291.875</v>
      </c>
      <c r="AG20" s="40">
        <f>s_C*(up_Bv!F20+s_MLF_berries)*s_IFBE_res_adj*s_CF_berries</f>
        <v>758291.875</v>
      </c>
      <c r="AH20" s="40">
        <f>s_C*(up_Bv!G20+s_MLF_broccoli)*s_IFBR_res_adj*s_CF_broccoli</f>
        <v>758291.875</v>
      </c>
      <c r="AI20" s="40">
        <f>s_C*(up_Bv!H20+s_MLF_cabbage)*s_IFCB_res_adj*s_CF_cabbage</f>
        <v>758291.875</v>
      </c>
      <c r="AJ20" s="40">
        <f>s_C*(up_Bv!I20+s_MLF_carrot)*s_IFCR_res_adj*s_CF_carrot</f>
        <v>758291.875</v>
      </c>
      <c r="AK20" s="40">
        <f>s_C*(up_Bv!J20+s_MLF_citrus)*s_IFCI_res_adj*s_CF_citrus</f>
        <v>758291.875</v>
      </c>
      <c r="AL20" s="40">
        <f>s_C*(up_Bv!K20+s_MLF_corn)*s_IFCO_res_adj*s_CF_corn</f>
        <v>758291.875</v>
      </c>
      <c r="AM20" s="40">
        <f>s_C*(up_Bv!L20+s_MLF_cucumber)*s_IFCU_res_adj*s_CF_cucumber</f>
        <v>758291.875</v>
      </c>
      <c r="AN20" s="40">
        <f>s_C*(up_Bv!M20+s_MLF_lettuce)*s_IFLE_res_adj*s_CF_lettuce</f>
        <v>758291.875</v>
      </c>
      <c r="AO20" s="40">
        <f>s_C*(up_Bv!N20+s_MLF_lima_bean)*s_IFLI_res_adj*s_CF_lima_bean</f>
        <v>758291.875</v>
      </c>
      <c r="AP20" s="40">
        <f>s_C*(up_Bv!O20+s_MLF_okra)*s_IFOK_res_adj*s_CF_okra</f>
        <v>758291.875</v>
      </c>
      <c r="AQ20" s="40">
        <f>s_C*(up_Bv!P20+s_MLF_onion)*s_IFON_res_adj*s_CF_onion</f>
        <v>758291.875</v>
      </c>
      <c r="AR20" s="40">
        <f>s_C*(up_Bv!Q20+s_MLF_peach)*s_IFPC_res_adj*s_CF_peach</f>
        <v>758291.875</v>
      </c>
      <c r="AS20" s="40">
        <f>s_C*(up_Bv!R20+s_MLF_pear)*s_IFPR_res_adj*s_CF_pear</f>
        <v>758291.875</v>
      </c>
      <c r="AT20" s="40">
        <f>s_C*(up_Bv!S20+s_MLF_peas)*s_IFPE_res_adj*s_CF_peas</f>
        <v>758291.875</v>
      </c>
      <c r="AU20" s="40">
        <f>s_C*(up_Bv!T20+s_MLF_peppers)*s_IFPP_res_adj*s_CF_peppers</f>
        <v>758291.875</v>
      </c>
      <c r="AV20" s="40">
        <f>s_C*(up_Bv!U20+s_MLF_potato)*s_IFPT_res_adj*s_CF_potato</f>
        <v>758291.875</v>
      </c>
      <c r="AW20" s="40">
        <f>s_C*(up_Bv!V20+s_MLF_pumpkin)*s_IFPU_res_adj*s_CF_pumpkin</f>
        <v>758291.875</v>
      </c>
      <c r="AX20" s="40">
        <f>s_C*(up_Bv!W20+s_MLF_snap_bean)*s_IFSN_res_adj*s_CF_snap_bean</f>
        <v>758291.875</v>
      </c>
      <c r="AY20" s="40">
        <f>s_C*(up_Bv!X20+s_MLF_strawberry)*s_IFST_res_adj*s_CF_strawberry</f>
        <v>758291.875</v>
      </c>
      <c r="AZ20" s="40">
        <f>s_C*(up_Bv!Y20+s_MLF_tomato)*s_IFTO_res_adj*s_CF_tomato</f>
        <v>758291.875</v>
      </c>
      <c r="BA20" s="40">
        <f>s_C*(up_Bv!Z20+s_MLF_rice)*s_IFRI_res_adj*s_CF_rice</f>
        <v>758291.875</v>
      </c>
      <c r="BB20" s="40">
        <f>s_C*(up_Bv!AA20+s_MLF_cereal)*s_IFCG_res_adj*s_CF_cereal</f>
        <v>758291.875</v>
      </c>
      <c r="BC20" s="15">
        <f t="shared" si="2"/>
        <v>3.2968835384132272E-12</v>
      </c>
      <c r="BD20" s="15">
        <f>IFERROR((up_dir!AD20/(up_Bv!C20+s_MLF_apple)),".")</f>
        <v>1.3187534153652907E-11</v>
      </c>
      <c r="BE20" s="15">
        <f>IFERROR((up_dir!AE20/(up_Bv!D20+s_MLF_asparagus)),".")</f>
        <v>1.3187534153652907E-11</v>
      </c>
      <c r="BF20" s="15">
        <f>IFERROR((up_dir!AF20/(up_Bv!E20+s_MLF_beet)),".")</f>
        <v>1.3187534153652907E-11</v>
      </c>
      <c r="BG20" s="15">
        <f>IFERROR((up_dir!AG20/(up_Bv!F20+s_MLF_berries)),".")</f>
        <v>1.3187534153652907E-11</v>
      </c>
      <c r="BH20" s="15">
        <f>IFERROR((up_dir!AH20/(up_Bv!G20+s_MLF_broccoli)),".")</f>
        <v>1.3187534153652907E-11</v>
      </c>
      <c r="BI20" s="15">
        <f>IFERROR((up_dir!AI20/(up_Bv!H20+s_MLF_cabbage)),".")</f>
        <v>1.3187534153652907E-11</v>
      </c>
      <c r="BJ20" s="15">
        <f>IFERROR((up_dir!AJ20/(up_Bv!I20+s_MLF_carrot)),".")</f>
        <v>1.3187534153652907E-11</v>
      </c>
      <c r="BK20" s="15">
        <f>IFERROR((up_dir!AK20/(up_Bv!J20+s_MLF_citrus)),".")</f>
        <v>1.3187534153652907E-11</v>
      </c>
      <c r="BL20" s="15">
        <f>IFERROR((up_dir!AL20/(up_Bv!K20+s_MLF_corn)),".")</f>
        <v>1.3187534153652907E-11</v>
      </c>
      <c r="BM20" s="15">
        <f>IFERROR((up_dir!AM20/(up_Bv!L20+s_MLF_cucumber)),".")</f>
        <v>1.3187534153652907E-11</v>
      </c>
      <c r="BN20" s="15">
        <f>IFERROR((up_dir!AN20/(up_Bv!M20+s_MLF_lettuce)),".")</f>
        <v>1.3187534153652907E-11</v>
      </c>
      <c r="BO20" s="15">
        <f>IFERROR((up_dir!AO20/(up_Bv!N20+s_MLF_lima_bean)),".")</f>
        <v>1.3187534153652907E-11</v>
      </c>
      <c r="BP20" s="15">
        <f>IFERROR((up_dir!AP20/(up_Bv!O20+s_MLF_okra)),".")</f>
        <v>1.3187534153652907E-11</v>
      </c>
      <c r="BQ20" s="15">
        <f>IFERROR((up_dir!AQ20/(up_Bv!P20+s_MLF_onion)),".")</f>
        <v>1.3187534153652907E-11</v>
      </c>
      <c r="BR20" s="15">
        <f>IFERROR((up_dir!AR20/(up_Bv!Q20+s_MLF_peach)),".")</f>
        <v>1.3187534153652907E-11</v>
      </c>
      <c r="BS20" s="15">
        <f>IFERROR((up_dir!AS20/(up_Bv!R20+s_MLF_pear)),".")</f>
        <v>1.3187534153652907E-11</v>
      </c>
      <c r="BT20" s="15">
        <f>IFERROR((up_dir!AT20/(up_Bv!S20+s_MLF_peas)),".")</f>
        <v>1.3187534153652907E-11</v>
      </c>
      <c r="BU20" s="15">
        <f>IFERROR((up_dir!AU20/(up_Bv!T20+s_MLF_peppers)),".")</f>
        <v>1.3187534153652907E-11</v>
      </c>
      <c r="BV20" s="15">
        <f>IFERROR((up_dir!AV20/(up_Bv!U20+s_MLF_potato)),".")</f>
        <v>1.3187534153652907E-11</v>
      </c>
      <c r="BW20" s="15">
        <f>IFERROR((up_dir!AW20/(up_Bv!V20+s_MLF_pumpkin)),".")</f>
        <v>1.3187534153652907E-11</v>
      </c>
      <c r="BX20" s="15">
        <f>IFERROR((up_dir!AX20/(up_Bv!W20+s_MLF_snap_bean)),".")</f>
        <v>1.3187534153652907E-11</v>
      </c>
      <c r="BY20" s="15">
        <f>IFERROR((up_dir!AY20/(up_Bv!X20+s_MLF_strawberry)),".")</f>
        <v>1.3187534153652907E-11</v>
      </c>
      <c r="BZ20" s="15">
        <f>IFERROR((up_dir!AZ20/(up_Bv!Y20+s_MLF_tomato)),".")</f>
        <v>1.3187534153652907E-11</v>
      </c>
      <c r="CA20" s="15">
        <f>IFERROR((up_dir!BA20/(up_Bv!Z20+s_MLF_rice)),".")</f>
        <v>1.3187534153652907E-11</v>
      </c>
      <c r="CB20" s="15">
        <f>IFERROR((up_dir!BB20/(up_Bv!AA20+s_MLF_cereal)),".")</f>
        <v>1.3187534153652907E-11</v>
      </c>
      <c r="CC20" s="40">
        <f t="shared" si="3"/>
        <v>3033167.5</v>
      </c>
      <c r="CD20" s="40">
        <f>IFERROR(s_C*(up_Bv!C20+s_MLF_apple)*s_IFAP_far_adj*s_CF_apple,".")</f>
        <v>758291.875</v>
      </c>
      <c r="CE20" s="40">
        <f>IFERROR(s_C*(up_Bv!D20+s_MLF_asparagus)*s_IFAS_far_adj*s_CF_asparagus,".")</f>
        <v>758291.875</v>
      </c>
      <c r="CF20" s="40">
        <f>IFERROR(s_C*(up_Bv!E20+s_MLF_beet)*s_IFBT_far_adj*s_CF_beet,".")</f>
        <v>758291.875</v>
      </c>
      <c r="CG20" s="40">
        <f>IFERROR(s_C*(up_Bv!F20+s_MLF_berries)*s_IFBR_far_adj*s_CF_berries,".")</f>
        <v>758291.875</v>
      </c>
      <c r="CH20" s="40">
        <f>IFERROR(s_C*(up_Bv!G20+s_MLF_broccoli)*s_IFBR_far_adj*s_CF_broccoli,".")</f>
        <v>758291.875</v>
      </c>
      <c r="CI20" s="40">
        <f>IFERROR(s_C*(up_Bv!H20+s_MLF_cabbage)*s_IFCB_far_adj*s_CF_cabbage,".")</f>
        <v>758291.875</v>
      </c>
      <c r="CJ20" s="40">
        <f>IFERROR(s_C*(up_Bv!I20+s_MLF_carrot)*s_IFCR_far_adj*s_CF_carrot,".")</f>
        <v>758291.875</v>
      </c>
      <c r="CK20" s="40">
        <f>IFERROR(s_C*(up_Bv!J20+s_MLF_citrus)*s_IFCI_far_adj*s_CF_citrus,".")</f>
        <v>758291.875</v>
      </c>
      <c r="CL20" s="40">
        <f>IFERROR(s_C*(up_Bv!K20+s_MLF_corn)*s_IFCO_far_adj*s_CF_corn,".")</f>
        <v>758291.875</v>
      </c>
      <c r="CM20" s="40">
        <f>IFERROR(s_C*(up_Bv!L20+s_MLF_cucumber)*s_IFCU_far_adj*s_CF_cucumber,".")</f>
        <v>758291.875</v>
      </c>
      <c r="CN20" s="40">
        <f>IFERROR(s_C*(up_Bv!M20+s_MLF_lettuce)*s_IFLE_far_adj*s_CF_lettuce,".")</f>
        <v>758291.875</v>
      </c>
      <c r="CO20" s="40">
        <f>IFERROR(s_C*(up_Bv!N20+s_MLF_lima_bean)*s_IFLI_far_adj*s_CF_lima_bean,".")</f>
        <v>758291.875</v>
      </c>
      <c r="CP20" s="40">
        <f>IFERROR(s_C*(up_Bv!O20+s_MLF_okra)*s_IFOK_far_adj*s_CF_okra,".")</f>
        <v>758291.875</v>
      </c>
      <c r="CQ20" s="40">
        <f>IFERROR(s_C*(up_Bv!P20+s_MLF_onion)*s_IFON_far_adj*s_CF_onion,".")</f>
        <v>758291.875</v>
      </c>
      <c r="CR20" s="40">
        <f>IFERROR(s_C*(up_Bv!Q20+s_MLF_peach)*s_IFPC_far_adj*s_CF_peach,".")</f>
        <v>758291.875</v>
      </c>
      <c r="CS20" s="40">
        <f>IFERROR(s_C*(up_Bv!R20+s_MLF_pear)*s_IFPR_far_adj*s_CF_pear,".")</f>
        <v>758291.875</v>
      </c>
      <c r="CT20" s="40">
        <f>IFERROR(s_C*(up_Bv!S20+s_MLF_peas)*s_IFPE_far_adj*s_CF_peas,".")</f>
        <v>758291.875</v>
      </c>
      <c r="CU20" s="40">
        <f>IFERROR(s_C*(up_Bv!T20+s_MLF_peppers)*s_IFPP_far_adj*s_CF_peppers,".")</f>
        <v>758291.875</v>
      </c>
      <c r="CV20" s="40">
        <f>IFERROR(s_C*(up_Bv!U20+s_MLF_potato)*s_IFPT_far_adj*s_CF_potato,".")</f>
        <v>758291.875</v>
      </c>
      <c r="CW20" s="40">
        <f>IFERROR(s_C*(up_Bv!V20+s_MLF_pumpkin)*s_IFPU_far_adj*s_CF_pumpkin,".")</f>
        <v>758291.875</v>
      </c>
      <c r="CX20" s="40">
        <f>IFERROR(s_C*(up_Bv!W20+s_MLF_snap_bean)*s_IFSN_far_adj*s_CF_snap_bean,".")</f>
        <v>758291.875</v>
      </c>
      <c r="CY20" s="40">
        <f>IFERROR(s_C*(up_Bv!X20+s_MLF_strawberry)*s_IFST_far_adj*s_CF_strawberry,".")</f>
        <v>758291.875</v>
      </c>
      <c r="CZ20" s="40">
        <f>IFERROR(s_C*(up_Bv!Y20+s_MLF_tomato)*s_IFTO_far_adj*s_CF_tomato,".")</f>
        <v>758291.875</v>
      </c>
      <c r="DA20" s="40">
        <f>IFERROR(s_C*(up_Bv!Z20+s_MLF_rice)*s_IFRI_far_adj*s_CF_rice,".")</f>
        <v>758291.875</v>
      </c>
      <c r="DB20" s="40">
        <f>IFERROR(s_C*(up_Bv!AA20+s_MLF_cereal)*s_IFCG_far_adj*s_CF_cereal,".")</f>
        <v>758291.875</v>
      </c>
    </row>
    <row r="21" spans="1:106" ht="15" customHeight="1" x14ac:dyDescent="0.25">
      <c r="A21" s="44" t="s">
        <v>31</v>
      </c>
      <c r="B21" s="42" t="s">
        <v>1071</v>
      </c>
      <c r="C21" s="15">
        <f t="shared" si="0"/>
        <v>3.2968835384132272E-12</v>
      </c>
      <c r="D21" s="15">
        <f>IFERROR((up_dir!D21/(up_Bv!C21+s_MLF_apple)),".")</f>
        <v>1.3187534153652907E-11</v>
      </c>
      <c r="E21" s="15">
        <f>IFERROR((up_dir!E21/(up_Bv!D21+s_MLF_asparagus)),".")</f>
        <v>1.3187534153652907E-11</v>
      </c>
      <c r="F21" s="15">
        <f>IFERROR((up_dir!F21/(up_Bv!E21+s_MLF_beet)),".")</f>
        <v>1.3187534153652907E-11</v>
      </c>
      <c r="G21" s="15">
        <f>IFERROR((up_dir!G21/(up_Bv!F21+s_MLF_berries)),".")</f>
        <v>1.3187534153652907E-11</v>
      </c>
      <c r="H21" s="15">
        <f>IFERROR((up_dir!H21/(up_Bv!G21+s_MLF_broccoli)),".")</f>
        <v>1.3187534153652907E-11</v>
      </c>
      <c r="I21" s="15">
        <f>IFERROR((up_dir!I21/(up_Bv!H21+s_MLF_cabbage)),".")</f>
        <v>1.3187534153652907E-11</v>
      </c>
      <c r="J21" s="15">
        <f>IFERROR((up_dir!J21/(up_Bv!I21+s_MLF_carrot)),".")</f>
        <v>1.3187534153652907E-11</v>
      </c>
      <c r="K21" s="15">
        <f>IFERROR((up_dir!K21/(up_Bv!J21+s_MLF_citrus)),".")</f>
        <v>1.3187534153652907E-11</v>
      </c>
      <c r="L21" s="15">
        <f>IFERROR((up_dir!L21/(up_Bv!K21+s_MLF_corn)),".")</f>
        <v>1.3187534153652907E-11</v>
      </c>
      <c r="M21" s="15">
        <f>IFERROR((up_dir!M21/(up_Bv!L21+s_MLF_cucumber)),".")</f>
        <v>1.3187534153652907E-11</v>
      </c>
      <c r="N21" s="15">
        <f>IFERROR((up_dir!N21/(up_Bv!M21+s_MLF_lettuce)),".")</f>
        <v>1.3187534153652907E-11</v>
      </c>
      <c r="O21" s="15">
        <f>IFERROR((up_dir!O21/(up_Bv!N21+s_MLF_lima_bean)),".")</f>
        <v>1.3187534153652907E-11</v>
      </c>
      <c r="P21" s="15">
        <f>IFERROR((up_dir!P21/(up_Bv!O21+s_MLF_okra)),".")</f>
        <v>1.3187534153652907E-11</v>
      </c>
      <c r="Q21" s="15">
        <f>IFERROR((up_dir!Q21/(up_Bv!P21+s_MLF_onion)),".")</f>
        <v>1.3187534153652907E-11</v>
      </c>
      <c r="R21" s="15">
        <f>IFERROR((up_dir!R21/(up_Bv!Q21+s_MLF_peach)),".")</f>
        <v>1.3187534153652907E-11</v>
      </c>
      <c r="S21" s="15">
        <f>IFERROR((up_dir!S21/(up_Bv!R21+s_MLF_pear)),".")</f>
        <v>1.3187534153652907E-11</v>
      </c>
      <c r="T21" s="15">
        <f>IFERROR((up_dir!T21/(up_Bv!S21+s_MLF_peas)),".")</f>
        <v>1.3187534153652907E-11</v>
      </c>
      <c r="U21" s="15">
        <f>IFERROR((up_dir!U21/(up_Bv!T21+s_MLF_peppers)),".")</f>
        <v>1.3187534153652907E-11</v>
      </c>
      <c r="V21" s="15">
        <f>IFERROR((up_dir!V21/(up_Bv!U21+s_MLF_potato)),".")</f>
        <v>1.3187534153652907E-11</v>
      </c>
      <c r="W21" s="15">
        <f>IFERROR((up_dir!W21/(up_Bv!V21+s_MLF_pumpkin)),".")</f>
        <v>1.3187534153652907E-11</v>
      </c>
      <c r="X21" s="15">
        <f>IFERROR((up_dir!X21/(up_Bv!W21+s_MLF_snap_bean)),".")</f>
        <v>1.3187534153652907E-11</v>
      </c>
      <c r="Y21" s="15">
        <f>IFERROR((up_dir!Y21/(up_Bv!X21+s_MLF_strawberry)),".")</f>
        <v>1.3187534153652907E-11</v>
      </c>
      <c r="Z21" s="15">
        <f>IFERROR((up_dir!Z21/(up_Bv!Y21+s_MLF_tomato)),".")</f>
        <v>1.3187534153652907E-11</v>
      </c>
      <c r="AA21" s="15">
        <f>IFERROR((up_dir!AA21/(up_Bv!Z21+s_MLF_rice)),".")</f>
        <v>1.3187534153652907E-11</v>
      </c>
      <c r="AB21" s="15">
        <f>IFERROR((up_dir!AB21/(up_Bv!AA21+s_MLF_cereal)),".")</f>
        <v>1.3187534153652907E-11</v>
      </c>
      <c r="AC21" s="40">
        <f t="shared" si="1"/>
        <v>3033167.5</v>
      </c>
      <c r="AD21" s="40">
        <f>s_C*(up_Bv!C21+s_MLF_apple)*s_IFAP_res_adj*s_CF_apple</f>
        <v>758291.875</v>
      </c>
      <c r="AE21" s="40">
        <f>s_C*(up_Bv!D21+s_MLF_asparagus)*s_IFAS_res_adj*s_CF_asparagus</f>
        <v>758291.875</v>
      </c>
      <c r="AF21" s="40">
        <f>s_C*(up_Bv!E21+s_MLF_beet)*s_IFBT_res_adj*s_CF_beet</f>
        <v>758291.875</v>
      </c>
      <c r="AG21" s="40">
        <f>s_C*(up_Bv!F21+s_MLF_berries)*s_IFBE_res_adj*s_CF_berries</f>
        <v>758291.875</v>
      </c>
      <c r="AH21" s="40">
        <f>s_C*(up_Bv!G21+s_MLF_broccoli)*s_IFBR_res_adj*s_CF_broccoli</f>
        <v>758291.875</v>
      </c>
      <c r="AI21" s="40">
        <f>s_C*(up_Bv!H21+s_MLF_cabbage)*s_IFCB_res_adj*s_CF_cabbage</f>
        <v>758291.875</v>
      </c>
      <c r="AJ21" s="40">
        <f>s_C*(up_Bv!I21+s_MLF_carrot)*s_IFCR_res_adj*s_CF_carrot</f>
        <v>758291.875</v>
      </c>
      <c r="AK21" s="40">
        <f>s_C*(up_Bv!J21+s_MLF_citrus)*s_IFCI_res_adj*s_CF_citrus</f>
        <v>758291.875</v>
      </c>
      <c r="AL21" s="40">
        <f>s_C*(up_Bv!K21+s_MLF_corn)*s_IFCO_res_adj*s_CF_corn</f>
        <v>758291.875</v>
      </c>
      <c r="AM21" s="40">
        <f>s_C*(up_Bv!L21+s_MLF_cucumber)*s_IFCU_res_adj*s_CF_cucumber</f>
        <v>758291.875</v>
      </c>
      <c r="AN21" s="40">
        <f>s_C*(up_Bv!M21+s_MLF_lettuce)*s_IFLE_res_adj*s_CF_lettuce</f>
        <v>758291.875</v>
      </c>
      <c r="AO21" s="40">
        <f>s_C*(up_Bv!N21+s_MLF_lima_bean)*s_IFLI_res_adj*s_CF_lima_bean</f>
        <v>758291.875</v>
      </c>
      <c r="AP21" s="40">
        <f>s_C*(up_Bv!O21+s_MLF_okra)*s_IFOK_res_adj*s_CF_okra</f>
        <v>758291.875</v>
      </c>
      <c r="AQ21" s="40">
        <f>s_C*(up_Bv!P21+s_MLF_onion)*s_IFON_res_adj*s_CF_onion</f>
        <v>758291.875</v>
      </c>
      <c r="AR21" s="40">
        <f>s_C*(up_Bv!Q21+s_MLF_peach)*s_IFPC_res_adj*s_CF_peach</f>
        <v>758291.875</v>
      </c>
      <c r="AS21" s="40">
        <f>s_C*(up_Bv!R21+s_MLF_pear)*s_IFPR_res_adj*s_CF_pear</f>
        <v>758291.875</v>
      </c>
      <c r="AT21" s="40">
        <f>s_C*(up_Bv!S21+s_MLF_peas)*s_IFPE_res_adj*s_CF_peas</f>
        <v>758291.875</v>
      </c>
      <c r="AU21" s="40">
        <f>s_C*(up_Bv!T21+s_MLF_peppers)*s_IFPP_res_adj*s_CF_peppers</f>
        <v>758291.875</v>
      </c>
      <c r="AV21" s="40">
        <f>s_C*(up_Bv!U21+s_MLF_potato)*s_IFPT_res_adj*s_CF_potato</f>
        <v>758291.875</v>
      </c>
      <c r="AW21" s="40">
        <f>s_C*(up_Bv!V21+s_MLF_pumpkin)*s_IFPU_res_adj*s_CF_pumpkin</f>
        <v>758291.875</v>
      </c>
      <c r="AX21" s="40">
        <f>s_C*(up_Bv!W21+s_MLF_snap_bean)*s_IFSN_res_adj*s_CF_snap_bean</f>
        <v>758291.875</v>
      </c>
      <c r="AY21" s="40">
        <f>s_C*(up_Bv!X21+s_MLF_strawberry)*s_IFST_res_adj*s_CF_strawberry</f>
        <v>758291.875</v>
      </c>
      <c r="AZ21" s="40">
        <f>s_C*(up_Bv!Y21+s_MLF_tomato)*s_IFTO_res_adj*s_CF_tomato</f>
        <v>758291.875</v>
      </c>
      <c r="BA21" s="40">
        <f>s_C*(up_Bv!Z21+s_MLF_rice)*s_IFRI_res_adj*s_CF_rice</f>
        <v>758291.875</v>
      </c>
      <c r="BB21" s="40">
        <f>s_C*(up_Bv!AA21+s_MLF_cereal)*s_IFCG_res_adj*s_CF_cereal</f>
        <v>758291.875</v>
      </c>
      <c r="BC21" s="15">
        <f t="shared" si="2"/>
        <v>3.2968835384132272E-12</v>
      </c>
      <c r="BD21" s="15">
        <f>IFERROR((up_dir!AD21/(up_Bv!C21+s_MLF_apple)),".")</f>
        <v>1.3187534153652907E-11</v>
      </c>
      <c r="BE21" s="15">
        <f>IFERROR((up_dir!AE21/(up_Bv!D21+s_MLF_asparagus)),".")</f>
        <v>1.3187534153652907E-11</v>
      </c>
      <c r="BF21" s="15">
        <f>IFERROR((up_dir!AF21/(up_Bv!E21+s_MLF_beet)),".")</f>
        <v>1.3187534153652907E-11</v>
      </c>
      <c r="BG21" s="15">
        <f>IFERROR((up_dir!AG21/(up_Bv!F21+s_MLF_berries)),".")</f>
        <v>1.3187534153652907E-11</v>
      </c>
      <c r="BH21" s="15">
        <f>IFERROR((up_dir!AH21/(up_Bv!G21+s_MLF_broccoli)),".")</f>
        <v>1.3187534153652907E-11</v>
      </c>
      <c r="BI21" s="15">
        <f>IFERROR((up_dir!AI21/(up_Bv!H21+s_MLF_cabbage)),".")</f>
        <v>1.3187534153652907E-11</v>
      </c>
      <c r="BJ21" s="15">
        <f>IFERROR((up_dir!AJ21/(up_Bv!I21+s_MLF_carrot)),".")</f>
        <v>1.3187534153652907E-11</v>
      </c>
      <c r="BK21" s="15">
        <f>IFERROR((up_dir!AK21/(up_Bv!J21+s_MLF_citrus)),".")</f>
        <v>1.3187534153652907E-11</v>
      </c>
      <c r="BL21" s="15">
        <f>IFERROR((up_dir!AL21/(up_Bv!K21+s_MLF_corn)),".")</f>
        <v>1.3187534153652907E-11</v>
      </c>
      <c r="BM21" s="15">
        <f>IFERROR((up_dir!AM21/(up_Bv!L21+s_MLF_cucumber)),".")</f>
        <v>1.3187534153652907E-11</v>
      </c>
      <c r="BN21" s="15">
        <f>IFERROR((up_dir!AN21/(up_Bv!M21+s_MLF_lettuce)),".")</f>
        <v>1.3187534153652907E-11</v>
      </c>
      <c r="BO21" s="15">
        <f>IFERROR((up_dir!AO21/(up_Bv!N21+s_MLF_lima_bean)),".")</f>
        <v>1.3187534153652907E-11</v>
      </c>
      <c r="BP21" s="15">
        <f>IFERROR((up_dir!AP21/(up_Bv!O21+s_MLF_okra)),".")</f>
        <v>1.3187534153652907E-11</v>
      </c>
      <c r="BQ21" s="15">
        <f>IFERROR((up_dir!AQ21/(up_Bv!P21+s_MLF_onion)),".")</f>
        <v>1.3187534153652907E-11</v>
      </c>
      <c r="BR21" s="15">
        <f>IFERROR((up_dir!AR21/(up_Bv!Q21+s_MLF_peach)),".")</f>
        <v>1.3187534153652907E-11</v>
      </c>
      <c r="BS21" s="15">
        <f>IFERROR((up_dir!AS21/(up_Bv!R21+s_MLF_pear)),".")</f>
        <v>1.3187534153652907E-11</v>
      </c>
      <c r="BT21" s="15">
        <f>IFERROR((up_dir!AT21/(up_Bv!S21+s_MLF_peas)),".")</f>
        <v>1.3187534153652907E-11</v>
      </c>
      <c r="BU21" s="15">
        <f>IFERROR((up_dir!AU21/(up_Bv!T21+s_MLF_peppers)),".")</f>
        <v>1.3187534153652907E-11</v>
      </c>
      <c r="BV21" s="15">
        <f>IFERROR((up_dir!AV21/(up_Bv!U21+s_MLF_potato)),".")</f>
        <v>1.3187534153652907E-11</v>
      </c>
      <c r="BW21" s="15">
        <f>IFERROR((up_dir!AW21/(up_Bv!V21+s_MLF_pumpkin)),".")</f>
        <v>1.3187534153652907E-11</v>
      </c>
      <c r="BX21" s="15">
        <f>IFERROR((up_dir!AX21/(up_Bv!W21+s_MLF_snap_bean)),".")</f>
        <v>1.3187534153652907E-11</v>
      </c>
      <c r="BY21" s="15">
        <f>IFERROR((up_dir!AY21/(up_Bv!X21+s_MLF_strawberry)),".")</f>
        <v>1.3187534153652907E-11</v>
      </c>
      <c r="BZ21" s="15">
        <f>IFERROR((up_dir!AZ21/(up_Bv!Y21+s_MLF_tomato)),".")</f>
        <v>1.3187534153652907E-11</v>
      </c>
      <c r="CA21" s="15">
        <f>IFERROR((up_dir!BA21/(up_Bv!Z21+s_MLF_rice)),".")</f>
        <v>1.3187534153652907E-11</v>
      </c>
      <c r="CB21" s="15">
        <f>IFERROR((up_dir!BB21/(up_Bv!AA21+s_MLF_cereal)),".")</f>
        <v>1.3187534153652907E-11</v>
      </c>
      <c r="CC21" s="40">
        <f t="shared" si="3"/>
        <v>3033167.5</v>
      </c>
      <c r="CD21" s="40">
        <f>IFERROR(s_C*(up_Bv!C21+s_MLF_apple)*s_IFAP_far_adj*s_CF_apple,".")</f>
        <v>758291.875</v>
      </c>
      <c r="CE21" s="40">
        <f>IFERROR(s_C*(up_Bv!D21+s_MLF_asparagus)*s_IFAS_far_adj*s_CF_asparagus,".")</f>
        <v>758291.875</v>
      </c>
      <c r="CF21" s="40">
        <f>IFERROR(s_C*(up_Bv!E21+s_MLF_beet)*s_IFBT_far_adj*s_CF_beet,".")</f>
        <v>758291.875</v>
      </c>
      <c r="CG21" s="40">
        <f>IFERROR(s_C*(up_Bv!F21+s_MLF_berries)*s_IFBR_far_adj*s_CF_berries,".")</f>
        <v>758291.875</v>
      </c>
      <c r="CH21" s="40">
        <f>IFERROR(s_C*(up_Bv!G21+s_MLF_broccoli)*s_IFBR_far_adj*s_CF_broccoli,".")</f>
        <v>758291.875</v>
      </c>
      <c r="CI21" s="40">
        <f>IFERROR(s_C*(up_Bv!H21+s_MLF_cabbage)*s_IFCB_far_adj*s_CF_cabbage,".")</f>
        <v>758291.875</v>
      </c>
      <c r="CJ21" s="40">
        <f>IFERROR(s_C*(up_Bv!I21+s_MLF_carrot)*s_IFCR_far_adj*s_CF_carrot,".")</f>
        <v>758291.875</v>
      </c>
      <c r="CK21" s="40">
        <f>IFERROR(s_C*(up_Bv!J21+s_MLF_citrus)*s_IFCI_far_adj*s_CF_citrus,".")</f>
        <v>758291.875</v>
      </c>
      <c r="CL21" s="40">
        <f>IFERROR(s_C*(up_Bv!K21+s_MLF_corn)*s_IFCO_far_adj*s_CF_corn,".")</f>
        <v>758291.875</v>
      </c>
      <c r="CM21" s="40">
        <f>IFERROR(s_C*(up_Bv!L21+s_MLF_cucumber)*s_IFCU_far_adj*s_CF_cucumber,".")</f>
        <v>758291.875</v>
      </c>
      <c r="CN21" s="40">
        <f>IFERROR(s_C*(up_Bv!M21+s_MLF_lettuce)*s_IFLE_far_adj*s_CF_lettuce,".")</f>
        <v>758291.875</v>
      </c>
      <c r="CO21" s="40">
        <f>IFERROR(s_C*(up_Bv!N21+s_MLF_lima_bean)*s_IFLI_far_adj*s_CF_lima_bean,".")</f>
        <v>758291.875</v>
      </c>
      <c r="CP21" s="40">
        <f>IFERROR(s_C*(up_Bv!O21+s_MLF_okra)*s_IFOK_far_adj*s_CF_okra,".")</f>
        <v>758291.875</v>
      </c>
      <c r="CQ21" s="40">
        <f>IFERROR(s_C*(up_Bv!P21+s_MLF_onion)*s_IFON_far_adj*s_CF_onion,".")</f>
        <v>758291.875</v>
      </c>
      <c r="CR21" s="40">
        <f>IFERROR(s_C*(up_Bv!Q21+s_MLF_peach)*s_IFPC_far_adj*s_CF_peach,".")</f>
        <v>758291.875</v>
      </c>
      <c r="CS21" s="40">
        <f>IFERROR(s_C*(up_Bv!R21+s_MLF_pear)*s_IFPR_far_adj*s_CF_pear,".")</f>
        <v>758291.875</v>
      </c>
      <c r="CT21" s="40">
        <f>IFERROR(s_C*(up_Bv!S21+s_MLF_peas)*s_IFPE_far_adj*s_CF_peas,".")</f>
        <v>758291.875</v>
      </c>
      <c r="CU21" s="40">
        <f>IFERROR(s_C*(up_Bv!T21+s_MLF_peppers)*s_IFPP_far_adj*s_CF_peppers,".")</f>
        <v>758291.875</v>
      </c>
      <c r="CV21" s="40">
        <f>IFERROR(s_C*(up_Bv!U21+s_MLF_potato)*s_IFPT_far_adj*s_CF_potato,".")</f>
        <v>758291.875</v>
      </c>
      <c r="CW21" s="40">
        <f>IFERROR(s_C*(up_Bv!V21+s_MLF_pumpkin)*s_IFPU_far_adj*s_CF_pumpkin,".")</f>
        <v>758291.875</v>
      </c>
      <c r="CX21" s="40">
        <f>IFERROR(s_C*(up_Bv!W21+s_MLF_snap_bean)*s_IFSN_far_adj*s_CF_snap_bean,".")</f>
        <v>758291.875</v>
      </c>
      <c r="CY21" s="40">
        <f>IFERROR(s_C*(up_Bv!X21+s_MLF_strawberry)*s_IFST_far_adj*s_CF_strawberry,".")</f>
        <v>758291.875</v>
      </c>
      <c r="CZ21" s="40">
        <f>IFERROR(s_C*(up_Bv!Y21+s_MLF_tomato)*s_IFTO_far_adj*s_CF_tomato,".")</f>
        <v>758291.875</v>
      </c>
      <c r="DA21" s="40">
        <f>IFERROR(s_C*(up_Bv!Z21+s_MLF_rice)*s_IFRI_far_adj*s_CF_rice,".")</f>
        <v>758291.875</v>
      </c>
      <c r="DB21" s="40">
        <f>IFERROR(s_C*(up_Bv!AA21+s_MLF_cereal)*s_IFCG_far_adj*s_CF_cereal,".")</f>
        <v>758291.875</v>
      </c>
    </row>
    <row r="22" spans="1:106" ht="15" customHeight="1" x14ac:dyDescent="0.25">
      <c r="A22" s="44" t="s">
        <v>32</v>
      </c>
      <c r="B22" s="42" t="s">
        <v>1071</v>
      </c>
      <c r="C22" s="15">
        <f t="shared" si="0"/>
        <v>3.2968835384132272E-12</v>
      </c>
      <c r="D22" s="15">
        <f>IFERROR((up_dir!D22/(up_Bv!C22+s_MLF_apple)),".")</f>
        <v>1.3187534153652907E-11</v>
      </c>
      <c r="E22" s="15">
        <f>IFERROR((up_dir!E22/(up_Bv!D22+s_MLF_asparagus)),".")</f>
        <v>1.3187534153652907E-11</v>
      </c>
      <c r="F22" s="15">
        <f>IFERROR((up_dir!F22/(up_Bv!E22+s_MLF_beet)),".")</f>
        <v>1.3187534153652907E-11</v>
      </c>
      <c r="G22" s="15">
        <f>IFERROR((up_dir!G22/(up_Bv!F22+s_MLF_berries)),".")</f>
        <v>1.3187534153652907E-11</v>
      </c>
      <c r="H22" s="15">
        <f>IFERROR((up_dir!H22/(up_Bv!G22+s_MLF_broccoli)),".")</f>
        <v>1.3187534153652907E-11</v>
      </c>
      <c r="I22" s="15">
        <f>IFERROR((up_dir!I22/(up_Bv!H22+s_MLF_cabbage)),".")</f>
        <v>1.3187534153652907E-11</v>
      </c>
      <c r="J22" s="15">
        <f>IFERROR((up_dir!J22/(up_Bv!I22+s_MLF_carrot)),".")</f>
        <v>1.3187534153652907E-11</v>
      </c>
      <c r="K22" s="15">
        <f>IFERROR((up_dir!K22/(up_Bv!J22+s_MLF_citrus)),".")</f>
        <v>1.3187534153652907E-11</v>
      </c>
      <c r="L22" s="15">
        <f>IFERROR((up_dir!L22/(up_Bv!K22+s_MLF_corn)),".")</f>
        <v>1.3187534153652907E-11</v>
      </c>
      <c r="M22" s="15">
        <f>IFERROR((up_dir!M22/(up_Bv!L22+s_MLF_cucumber)),".")</f>
        <v>1.3187534153652907E-11</v>
      </c>
      <c r="N22" s="15">
        <f>IFERROR((up_dir!N22/(up_Bv!M22+s_MLF_lettuce)),".")</f>
        <v>1.3187534153652907E-11</v>
      </c>
      <c r="O22" s="15">
        <f>IFERROR((up_dir!O22/(up_Bv!N22+s_MLF_lima_bean)),".")</f>
        <v>1.3187534153652907E-11</v>
      </c>
      <c r="P22" s="15">
        <f>IFERROR((up_dir!P22/(up_Bv!O22+s_MLF_okra)),".")</f>
        <v>1.3187534153652907E-11</v>
      </c>
      <c r="Q22" s="15">
        <f>IFERROR((up_dir!Q22/(up_Bv!P22+s_MLF_onion)),".")</f>
        <v>1.3187534153652907E-11</v>
      </c>
      <c r="R22" s="15">
        <f>IFERROR((up_dir!R22/(up_Bv!Q22+s_MLF_peach)),".")</f>
        <v>1.3187534153652907E-11</v>
      </c>
      <c r="S22" s="15">
        <f>IFERROR((up_dir!S22/(up_Bv!R22+s_MLF_pear)),".")</f>
        <v>1.3187534153652907E-11</v>
      </c>
      <c r="T22" s="15">
        <f>IFERROR((up_dir!T22/(up_Bv!S22+s_MLF_peas)),".")</f>
        <v>1.3187534153652907E-11</v>
      </c>
      <c r="U22" s="15">
        <f>IFERROR((up_dir!U22/(up_Bv!T22+s_MLF_peppers)),".")</f>
        <v>1.3187534153652907E-11</v>
      </c>
      <c r="V22" s="15">
        <f>IFERROR((up_dir!V22/(up_Bv!U22+s_MLF_potato)),".")</f>
        <v>1.3187534153652907E-11</v>
      </c>
      <c r="W22" s="15">
        <f>IFERROR((up_dir!W22/(up_Bv!V22+s_MLF_pumpkin)),".")</f>
        <v>1.3187534153652907E-11</v>
      </c>
      <c r="X22" s="15">
        <f>IFERROR((up_dir!X22/(up_Bv!W22+s_MLF_snap_bean)),".")</f>
        <v>1.3187534153652907E-11</v>
      </c>
      <c r="Y22" s="15">
        <f>IFERROR((up_dir!Y22/(up_Bv!X22+s_MLF_strawberry)),".")</f>
        <v>1.3187534153652907E-11</v>
      </c>
      <c r="Z22" s="15">
        <f>IFERROR((up_dir!Z22/(up_Bv!Y22+s_MLF_tomato)),".")</f>
        <v>1.3187534153652907E-11</v>
      </c>
      <c r="AA22" s="15">
        <f>IFERROR((up_dir!AA22/(up_Bv!Z22+s_MLF_rice)),".")</f>
        <v>1.3187534153652907E-11</v>
      </c>
      <c r="AB22" s="15">
        <f>IFERROR((up_dir!AB22/(up_Bv!AA22+s_MLF_cereal)),".")</f>
        <v>1.3187534153652907E-11</v>
      </c>
      <c r="AC22" s="40">
        <f t="shared" si="1"/>
        <v>3033167.5</v>
      </c>
      <c r="AD22" s="40">
        <f>s_C*(up_Bv!C22+s_MLF_apple)*s_IFAP_res_adj*s_CF_apple</f>
        <v>758291.875</v>
      </c>
      <c r="AE22" s="40">
        <f>s_C*(up_Bv!D22+s_MLF_asparagus)*s_IFAS_res_adj*s_CF_asparagus</f>
        <v>758291.875</v>
      </c>
      <c r="AF22" s="40">
        <f>s_C*(up_Bv!E22+s_MLF_beet)*s_IFBT_res_adj*s_CF_beet</f>
        <v>758291.875</v>
      </c>
      <c r="AG22" s="40">
        <f>s_C*(up_Bv!F22+s_MLF_berries)*s_IFBE_res_adj*s_CF_berries</f>
        <v>758291.875</v>
      </c>
      <c r="AH22" s="40">
        <f>s_C*(up_Bv!G22+s_MLF_broccoli)*s_IFBR_res_adj*s_CF_broccoli</f>
        <v>758291.875</v>
      </c>
      <c r="AI22" s="40">
        <f>s_C*(up_Bv!H22+s_MLF_cabbage)*s_IFCB_res_adj*s_CF_cabbage</f>
        <v>758291.875</v>
      </c>
      <c r="AJ22" s="40">
        <f>s_C*(up_Bv!I22+s_MLF_carrot)*s_IFCR_res_adj*s_CF_carrot</f>
        <v>758291.875</v>
      </c>
      <c r="AK22" s="40">
        <f>s_C*(up_Bv!J22+s_MLF_citrus)*s_IFCI_res_adj*s_CF_citrus</f>
        <v>758291.875</v>
      </c>
      <c r="AL22" s="40">
        <f>s_C*(up_Bv!K22+s_MLF_corn)*s_IFCO_res_adj*s_CF_corn</f>
        <v>758291.875</v>
      </c>
      <c r="AM22" s="40">
        <f>s_C*(up_Bv!L22+s_MLF_cucumber)*s_IFCU_res_adj*s_CF_cucumber</f>
        <v>758291.875</v>
      </c>
      <c r="AN22" s="40">
        <f>s_C*(up_Bv!M22+s_MLF_lettuce)*s_IFLE_res_adj*s_CF_lettuce</f>
        <v>758291.875</v>
      </c>
      <c r="AO22" s="40">
        <f>s_C*(up_Bv!N22+s_MLF_lima_bean)*s_IFLI_res_adj*s_CF_lima_bean</f>
        <v>758291.875</v>
      </c>
      <c r="AP22" s="40">
        <f>s_C*(up_Bv!O22+s_MLF_okra)*s_IFOK_res_adj*s_CF_okra</f>
        <v>758291.875</v>
      </c>
      <c r="AQ22" s="40">
        <f>s_C*(up_Bv!P22+s_MLF_onion)*s_IFON_res_adj*s_CF_onion</f>
        <v>758291.875</v>
      </c>
      <c r="AR22" s="40">
        <f>s_C*(up_Bv!Q22+s_MLF_peach)*s_IFPC_res_adj*s_CF_peach</f>
        <v>758291.875</v>
      </c>
      <c r="AS22" s="40">
        <f>s_C*(up_Bv!R22+s_MLF_pear)*s_IFPR_res_adj*s_CF_pear</f>
        <v>758291.875</v>
      </c>
      <c r="AT22" s="40">
        <f>s_C*(up_Bv!S22+s_MLF_peas)*s_IFPE_res_adj*s_CF_peas</f>
        <v>758291.875</v>
      </c>
      <c r="AU22" s="40">
        <f>s_C*(up_Bv!T22+s_MLF_peppers)*s_IFPP_res_adj*s_CF_peppers</f>
        <v>758291.875</v>
      </c>
      <c r="AV22" s="40">
        <f>s_C*(up_Bv!U22+s_MLF_potato)*s_IFPT_res_adj*s_CF_potato</f>
        <v>758291.875</v>
      </c>
      <c r="AW22" s="40">
        <f>s_C*(up_Bv!V22+s_MLF_pumpkin)*s_IFPU_res_adj*s_CF_pumpkin</f>
        <v>758291.875</v>
      </c>
      <c r="AX22" s="40">
        <f>s_C*(up_Bv!W22+s_MLF_snap_bean)*s_IFSN_res_adj*s_CF_snap_bean</f>
        <v>758291.875</v>
      </c>
      <c r="AY22" s="40">
        <f>s_C*(up_Bv!X22+s_MLF_strawberry)*s_IFST_res_adj*s_CF_strawberry</f>
        <v>758291.875</v>
      </c>
      <c r="AZ22" s="40">
        <f>s_C*(up_Bv!Y22+s_MLF_tomato)*s_IFTO_res_adj*s_CF_tomato</f>
        <v>758291.875</v>
      </c>
      <c r="BA22" s="40">
        <f>s_C*(up_Bv!Z22+s_MLF_rice)*s_IFRI_res_adj*s_CF_rice</f>
        <v>758291.875</v>
      </c>
      <c r="BB22" s="40">
        <f>s_C*(up_Bv!AA22+s_MLF_cereal)*s_IFCG_res_adj*s_CF_cereal</f>
        <v>758291.875</v>
      </c>
      <c r="BC22" s="15">
        <f t="shared" si="2"/>
        <v>3.2968835384132272E-12</v>
      </c>
      <c r="BD22" s="15">
        <f>IFERROR((up_dir!AD22/(up_Bv!C22+s_MLF_apple)),".")</f>
        <v>1.3187534153652907E-11</v>
      </c>
      <c r="BE22" s="15">
        <f>IFERROR((up_dir!AE22/(up_Bv!D22+s_MLF_asparagus)),".")</f>
        <v>1.3187534153652907E-11</v>
      </c>
      <c r="BF22" s="15">
        <f>IFERROR((up_dir!AF22/(up_Bv!E22+s_MLF_beet)),".")</f>
        <v>1.3187534153652907E-11</v>
      </c>
      <c r="BG22" s="15">
        <f>IFERROR((up_dir!AG22/(up_Bv!F22+s_MLF_berries)),".")</f>
        <v>1.3187534153652907E-11</v>
      </c>
      <c r="BH22" s="15">
        <f>IFERROR((up_dir!AH22/(up_Bv!G22+s_MLF_broccoli)),".")</f>
        <v>1.3187534153652907E-11</v>
      </c>
      <c r="BI22" s="15">
        <f>IFERROR((up_dir!AI22/(up_Bv!H22+s_MLF_cabbage)),".")</f>
        <v>1.3187534153652907E-11</v>
      </c>
      <c r="BJ22" s="15">
        <f>IFERROR((up_dir!AJ22/(up_Bv!I22+s_MLF_carrot)),".")</f>
        <v>1.3187534153652907E-11</v>
      </c>
      <c r="BK22" s="15">
        <f>IFERROR((up_dir!AK22/(up_Bv!J22+s_MLF_citrus)),".")</f>
        <v>1.3187534153652907E-11</v>
      </c>
      <c r="BL22" s="15">
        <f>IFERROR((up_dir!AL22/(up_Bv!K22+s_MLF_corn)),".")</f>
        <v>1.3187534153652907E-11</v>
      </c>
      <c r="BM22" s="15">
        <f>IFERROR((up_dir!AM22/(up_Bv!L22+s_MLF_cucumber)),".")</f>
        <v>1.3187534153652907E-11</v>
      </c>
      <c r="BN22" s="15">
        <f>IFERROR((up_dir!AN22/(up_Bv!M22+s_MLF_lettuce)),".")</f>
        <v>1.3187534153652907E-11</v>
      </c>
      <c r="BO22" s="15">
        <f>IFERROR((up_dir!AO22/(up_Bv!N22+s_MLF_lima_bean)),".")</f>
        <v>1.3187534153652907E-11</v>
      </c>
      <c r="BP22" s="15">
        <f>IFERROR((up_dir!AP22/(up_Bv!O22+s_MLF_okra)),".")</f>
        <v>1.3187534153652907E-11</v>
      </c>
      <c r="BQ22" s="15">
        <f>IFERROR((up_dir!AQ22/(up_Bv!P22+s_MLF_onion)),".")</f>
        <v>1.3187534153652907E-11</v>
      </c>
      <c r="BR22" s="15">
        <f>IFERROR((up_dir!AR22/(up_Bv!Q22+s_MLF_peach)),".")</f>
        <v>1.3187534153652907E-11</v>
      </c>
      <c r="BS22" s="15">
        <f>IFERROR((up_dir!AS22/(up_Bv!R22+s_MLF_pear)),".")</f>
        <v>1.3187534153652907E-11</v>
      </c>
      <c r="BT22" s="15">
        <f>IFERROR((up_dir!AT22/(up_Bv!S22+s_MLF_peas)),".")</f>
        <v>1.3187534153652907E-11</v>
      </c>
      <c r="BU22" s="15">
        <f>IFERROR((up_dir!AU22/(up_Bv!T22+s_MLF_peppers)),".")</f>
        <v>1.3187534153652907E-11</v>
      </c>
      <c r="BV22" s="15">
        <f>IFERROR((up_dir!AV22/(up_Bv!U22+s_MLF_potato)),".")</f>
        <v>1.3187534153652907E-11</v>
      </c>
      <c r="BW22" s="15">
        <f>IFERROR((up_dir!AW22/(up_Bv!V22+s_MLF_pumpkin)),".")</f>
        <v>1.3187534153652907E-11</v>
      </c>
      <c r="BX22" s="15">
        <f>IFERROR((up_dir!AX22/(up_Bv!W22+s_MLF_snap_bean)),".")</f>
        <v>1.3187534153652907E-11</v>
      </c>
      <c r="BY22" s="15">
        <f>IFERROR((up_dir!AY22/(up_Bv!X22+s_MLF_strawberry)),".")</f>
        <v>1.3187534153652907E-11</v>
      </c>
      <c r="BZ22" s="15">
        <f>IFERROR((up_dir!AZ22/(up_Bv!Y22+s_MLF_tomato)),".")</f>
        <v>1.3187534153652907E-11</v>
      </c>
      <c r="CA22" s="15">
        <f>IFERROR((up_dir!BA22/(up_Bv!Z22+s_MLF_rice)),".")</f>
        <v>1.3187534153652907E-11</v>
      </c>
      <c r="CB22" s="15">
        <f>IFERROR((up_dir!BB22/(up_Bv!AA22+s_MLF_cereal)),".")</f>
        <v>1.3187534153652907E-11</v>
      </c>
      <c r="CC22" s="40">
        <f t="shared" si="3"/>
        <v>3033167.5</v>
      </c>
      <c r="CD22" s="40">
        <f>IFERROR(s_C*(up_Bv!C22+s_MLF_apple)*s_IFAP_far_adj*s_CF_apple,".")</f>
        <v>758291.875</v>
      </c>
      <c r="CE22" s="40">
        <f>IFERROR(s_C*(up_Bv!D22+s_MLF_asparagus)*s_IFAS_far_adj*s_CF_asparagus,".")</f>
        <v>758291.875</v>
      </c>
      <c r="CF22" s="40">
        <f>IFERROR(s_C*(up_Bv!E22+s_MLF_beet)*s_IFBT_far_adj*s_CF_beet,".")</f>
        <v>758291.875</v>
      </c>
      <c r="CG22" s="40">
        <f>IFERROR(s_C*(up_Bv!F22+s_MLF_berries)*s_IFBR_far_adj*s_CF_berries,".")</f>
        <v>758291.875</v>
      </c>
      <c r="CH22" s="40">
        <f>IFERROR(s_C*(up_Bv!G22+s_MLF_broccoli)*s_IFBR_far_adj*s_CF_broccoli,".")</f>
        <v>758291.875</v>
      </c>
      <c r="CI22" s="40">
        <f>IFERROR(s_C*(up_Bv!H22+s_MLF_cabbage)*s_IFCB_far_adj*s_CF_cabbage,".")</f>
        <v>758291.875</v>
      </c>
      <c r="CJ22" s="40">
        <f>IFERROR(s_C*(up_Bv!I22+s_MLF_carrot)*s_IFCR_far_adj*s_CF_carrot,".")</f>
        <v>758291.875</v>
      </c>
      <c r="CK22" s="40">
        <f>IFERROR(s_C*(up_Bv!J22+s_MLF_citrus)*s_IFCI_far_adj*s_CF_citrus,".")</f>
        <v>758291.875</v>
      </c>
      <c r="CL22" s="40">
        <f>IFERROR(s_C*(up_Bv!K22+s_MLF_corn)*s_IFCO_far_adj*s_CF_corn,".")</f>
        <v>758291.875</v>
      </c>
      <c r="CM22" s="40">
        <f>IFERROR(s_C*(up_Bv!L22+s_MLF_cucumber)*s_IFCU_far_adj*s_CF_cucumber,".")</f>
        <v>758291.875</v>
      </c>
      <c r="CN22" s="40">
        <f>IFERROR(s_C*(up_Bv!M22+s_MLF_lettuce)*s_IFLE_far_adj*s_CF_lettuce,".")</f>
        <v>758291.875</v>
      </c>
      <c r="CO22" s="40">
        <f>IFERROR(s_C*(up_Bv!N22+s_MLF_lima_bean)*s_IFLI_far_adj*s_CF_lima_bean,".")</f>
        <v>758291.875</v>
      </c>
      <c r="CP22" s="40">
        <f>IFERROR(s_C*(up_Bv!O22+s_MLF_okra)*s_IFOK_far_adj*s_CF_okra,".")</f>
        <v>758291.875</v>
      </c>
      <c r="CQ22" s="40">
        <f>IFERROR(s_C*(up_Bv!P22+s_MLF_onion)*s_IFON_far_adj*s_CF_onion,".")</f>
        <v>758291.875</v>
      </c>
      <c r="CR22" s="40">
        <f>IFERROR(s_C*(up_Bv!Q22+s_MLF_peach)*s_IFPC_far_adj*s_CF_peach,".")</f>
        <v>758291.875</v>
      </c>
      <c r="CS22" s="40">
        <f>IFERROR(s_C*(up_Bv!R22+s_MLF_pear)*s_IFPR_far_adj*s_CF_pear,".")</f>
        <v>758291.875</v>
      </c>
      <c r="CT22" s="40">
        <f>IFERROR(s_C*(up_Bv!S22+s_MLF_peas)*s_IFPE_far_adj*s_CF_peas,".")</f>
        <v>758291.875</v>
      </c>
      <c r="CU22" s="40">
        <f>IFERROR(s_C*(up_Bv!T22+s_MLF_peppers)*s_IFPP_far_adj*s_CF_peppers,".")</f>
        <v>758291.875</v>
      </c>
      <c r="CV22" s="40">
        <f>IFERROR(s_C*(up_Bv!U22+s_MLF_potato)*s_IFPT_far_adj*s_CF_potato,".")</f>
        <v>758291.875</v>
      </c>
      <c r="CW22" s="40">
        <f>IFERROR(s_C*(up_Bv!V22+s_MLF_pumpkin)*s_IFPU_far_adj*s_CF_pumpkin,".")</f>
        <v>758291.875</v>
      </c>
      <c r="CX22" s="40">
        <f>IFERROR(s_C*(up_Bv!W22+s_MLF_snap_bean)*s_IFSN_far_adj*s_CF_snap_bean,".")</f>
        <v>758291.875</v>
      </c>
      <c r="CY22" s="40">
        <f>IFERROR(s_C*(up_Bv!X22+s_MLF_strawberry)*s_IFST_far_adj*s_CF_strawberry,".")</f>
        <v>758291.875</v>
      </c>
      <c r="CZ22" s="40">
        <f>IFERROR(s_C*(up_Bv!Y22+s_MLF_tomato)*s_IFTO_far_adj*s_CF_tomato,".")</f>
        <v>758291.875</v>
      </c>
      <c r="DA22" s="40">
        <f>IFERROR(s_C*(up_Bv!Z22+s_MLF_rice)*s_IFRI_far_adj*s_CF_rice,".")</f>
        <v>758291.875</v>
      </c>
      <c r="DB22" s="40">
        <f>IFERROR(s_C*(up_Bv!AA22+s_MLF_cereal)*s_IFCG_far_adj*s_CF_cereal,".")</f>
        <v>758291.875</v>
      </c>
    </row>
    <row r="23" spans="1:106" x14ac:dyDescent="0.25">
      <c r="A23" s="46" t="s">
        <v>33</v>
      </c>
      <c r="B23" s="42" t="s">
        <v>349</v>
      </c>
      <c r="C23" s="15">
        <f t="shared" si="0"/>
        <v>3.2968835384132272E-12</v>
      </c>
      <c r="D23" s="15">
        <f>IFERROR((up_dir!D23/(up_Bv!C23+s_MLF_apple)),".")</f>
        <v>1.3187534153652907E-11</v>
      </c>
      <c r="E23" s="15">
        <f>IFERROR((up_dir!E23/(up_Bv!D23+s_MLF_asparagus)),".")</f>
        <v>1.3187534153652907E-11</v>
      </c>
      <c r="F23" s="15">
        <f>IFERROR((up_dir!F23/(up_Bv!E23+s_MLF_beet)),".")</f>
        <v>1.3187534153652907E-11</v>
      </c>
      <c r="G23" s="15">
        <f>IFERROR((up_dir!G23/(up_Bv!F23+s_MLF_berries)),".")</f>
        <v>1.3187534153652907E-11</v>
      </c>
      <c r="H23" s="15">
        <f>IFERROR((up_dir!H23/(up_Bv!G23+s_MLF_broccoli)),".")</f>
        <v>1.3187534153652907E-11</v>
      </c>
      <c r="I23" s="15">
        <f>IFERROR((up_dir!I23/(up_Bv!H23+s_MLF_cabbage)),".")</f>
        <v>1.3187534153652907E-11</v>
      </c>
      <c r="J23" s="15">
        <f>IFERROR((up_dir!J23/(up_Bv!I23+s_MLF_carrot)),".")</f>
        <v>1.3187534153652907E-11</v>
      </c>
      <c r="K23" s="15">
        <f>IFERROR((up_dir!K23/(up_Bv!J23+s_MLF_citrus)),".")</f>
        <v>1.3187534153652907E-11</v>
      </c>
      <c r="L23" s="15">
        <f>IFERROR((up_dir!L23/(up_Bv!K23+s_MLF_corn)),".")</f>
        <v>1.3187534153652907E-11</v>
      </c>
      <c r="M23" s="15">
        <f>IFERROR((up_dir!M23/(up_Bv!L23+s_MLF_cucumber)),".")</f>
        <v>1.3187534153652907E-11</v>
      </c>
      <c r="N23" s="15">
        <f>IFERROR((up_dir!N23/(up_Bv!M23+s_MLF_lettuce)),".")</f>
        <v>1.3187534153652907E-11</v>
      </c>
      <c r="O23" s="15">
        <f>IFERROR((up_dir!O23/(up_Bv!N23+s_MLF_lima_bean)),".")</f>
        <v>1.3187534153652907E-11</v>
      </c>
      <c r="P23" s="15">
        <f>IFERROR((up_dir!P23/(up_Bv!O23+s_MLF_okra)),".")</f>
        <v>1.3187534153652907E-11</v>
      </c>
      <c r="Q23" s="15">
        <f>IFERROR((up_dir!Q23/(up_Bv!P23+s_MLF_onion)),".")</f>
        <v>1.3187534153652907E-11</v>
      </c>
      <c r="R23" s="15">
        <f>IFERROR((up_dir!R23/(up_Bv!Q23+s_MLF_peach)),".")</f>
        <v>1.3187534153652907E-11</v>
      </c>
      <c r="S23" s="15">
        <f>IFERROR((up_dir!S23/(up_Bv!R23+s_MLF_pear)),".")</f>
        <v>1.3187534153652907E-11</v>
      </c>
      <c r="T23" s="15">
        <f>IFERROR((up_dir!T23/(up_Bv!S23+s_MLF_peas)),".")</f>
        <v>1.3187534153652907E-11</v>
      </c>
      <c r="U23" s="15">
        <f>IFERROR((up_dir!U23/(up_Bv!T23+s_MLF_peppers)),".")</f>
        <v>1.3187534153652907E-11</v>
      </c>
      <c r="V23" s="15">
        <f>IFERROR((up_dir!V23/(up_Bv!U23+s_MLF_potato)),".")</f>
        <v>1.3187534153652907E-11</v>
      </c>
      <c r="W23" s="15">
        <f>IFERROR((up_dir!W23/(up_Bv!V23+s_MLF_pumpkin)),".")</f>
        <v>1.3187534153652907E-11</v>
      </c>
      <c r="X23" s="15">
        <f>IFERROR((up_dir!X23/(up_Bv!W23+s_MLF_snap_bean)),".")</f>
        <v>1.3187534153652907E-11</v>
      </c>
      <c r="Y23" s="15">
        <f>IFERROR((up_dir!Y23/(up_Bv!X23+s_MLF_strawberry)),".")</f>
        <v>1.3187534153652907E-11</v>
      </c>
      <c r="Z23" s="15">
        <f>IFERROR((up_dir!Z23/(up_Bv!Y23+s_MLF_tomato)),".")</f>
        <v>1.3187534153652907E-11</v>
      </c>
      <c r="AA23" s="15">
        <f>IFERROR((up_dir!AA23/(up_Bv!Z23+s_MLF_rice)),".")</f>
        <v>1.3187534153652907E-11</v>
      </c>
      <c r="AB23" s="15">
        <f>IFERROR((up_dir!AB23/(up_Bv!AA23+s_MLF_cereal)),".")</f>
        <v>1.3187534153652907E-11</v>
      </c>
      <c r="AC23" s="40">
        <f t="shared" si="1"/>
        <v>3033167.5</v>
      </c>
      <c r="AD23" s="40">
        <f>s_C*(up_Bv!C23+s_MLF_apple)*s_IFAP_res_adj*s_CF_apple</f>
        <v>758291.875</v>
      </c>
      <c r="AE23" s="40">
        <f>s_C*(up_Bv!D23+s_MLF_asparagus)*s_IFAS_res_adj*s_CF_asparagus</f>
        <v>758291.875</v>
      </c>
      <c r="AF23" s="40">
        <f>s_C*(up_Bv!E23+s_MLF_beet)*s_IFBT_res_adj*s_CF_beet</f>
        <v>758291.875</v>
      </c>
      <c r="AG23" s="40">
        <f>s_C*(up_Bv!F23+s_MLF_berries)*s_IFBE_res_adj*s_CF_berries</f>
        <v>758291.875</v>
      </c>
      <c r="AH23" s="40">
        <f>s_C*(up_Bv!G23+s_MLF_broccoli)*s_IFBR_res_adj*s_CF_broccoli</f>
        <v>758291.875</v>
      </c>
      <c r="AI23" s="40">
        <f>s_C*(up_Bv!H23+s_MLF_cabbage)*s_IFCB_res_adj*s_CF_cabbage</f>
        <v>758291.875</v>
      </c>
      <c r="AJ23" s="40">
        <f>s_C*(up_Bv!I23+s_MLF_carrot)*s_IFCR_res_adj*s_CF_carrot</f>
        <v>758291.875</v>
      </c>
      <c r="AK23" s="40">
        <f>s_C*(up_Bv!J23+s_MLF_citrus)*s_IFCI_res_adj*s_CF_citrus</f>
        <v>758291.875</v>
      </c>
      <c r="AL23" s="40">
        <f>s_C*(up_Bv!K23+s_MLF_corn)*s_IFCO_res_adj*s_CF_corn</f>
        <v>758291.875</v>
      </c>
      <c r="AM23" s="40">
        <f>s_C*(up_Bv!L23+s_MLF_cucumber)*s_IFCU_res_adj*s_CF_cucumber</f>
        <v>758291.875</v>
      </c>
      <c r="AN23" s="40">
        <f>s_C*(up_Bv!M23+s_MLF_lettuce)*s_IFLE_res_adj*s_CF_lettuce</f>
        <v>758291.875</v>
      </c>
      <c r="AO23" s="40">
        <f>s_C*(up_Bv!N23+s_MLF_lima_bean)*s_IFLI_res_adj*s_CF_lima_bean</f>
        <v>758291.875</v>
      </c>
      <c r="AP23" s="40">
        <f>s_C*(up_Bv!O23+s_MLF_okra)*s_IFOK_res_adj*s_CF_okra</f>
        <v>758291.875</v>
      </c>
      <c r="AQ23" s="40">
        <f>s_C*(up_Bv!P23+s_MLF_onion)*s_IFON_res_adj*s_CF_onion</f>
        <v>758291.875</v>
      </c>
      <c r="AR23" s="40">
        <f>s_C*(up_Bv!Q23+s_MLF_peach)*s_IFPC_res_adj*s_CF_peach</f>
        <v>758291.875</v>
      </c>
      <c r="AS23" s="40">
        <f>s_C*(up_Bv!R23+s_MLF_pear)*s_IFPR_res_adj*s_CF_pear</f>
        <v>758291.875</v>
      </c>
      <c r="AT23" s="40">
        <f>s_C*(up_Bv!S23+s_MLF_peas)*s_IFPE_res_adj*s_CF_peas</f>
        <v>758291.875</v>
      </c>
      <c r="AU23" s="40">
        <f>s_C*(up_Bv!T23+s_MLF_peppers)*s_IFPP_res_adj*s_CF_peppers</f>
        <v>758291.875</v>
      </c>
      <c r="AV23" s="40">
        <f>s_C*(up_Bv!U23+s_MLF_potato)*s_IFPT_res_adj*s_CF_potato</f>
        <v>758291.875</v>
      </c>
      <c r="AW23" s="40">
        <f>s_C*(up_Bv!V23+s_MLF_pumpkin)*s_IFPU_res_adj*s_CF_pumpkin</f>
        <v>758291.875</v>
      </c>
      <c r="AX23" s="40">
        <f>s_C*(up_Bv!W23+s_MLF_snap_bean)*s_IFSN_res_adj*s_CF_snap_bean</f>
        <v>758291.875</v>
      </c>
      <c r="AY23" s="40">
        <f>s_C*(up_Bv!X23+s_MLF_strawberry)*s_IFST_res_adj*s_CF_strawberry</f>
        <v>758291.875</v>
      </c>
      <c r="AZ23" s="40">
        <f>s_C*(up_Bv!Y23+s_MLF_tomato)*s_IFTO_res_adj*s_CF_tomato</f>
        <v>758291.875</v>
      </c>
      <c r="BA23" s="40">
        <f>s_C*(up_Bv!Z23+s_MLF_rice)*s_IFRI_res_adj*s_CF_rice</f>
        <v>758291.875</v>
      </c>
      <c r="BB23" s="40">
        <f>s_C*(up_Bv!AA23+s_MLF_cereal)*s_IFCG_res_adj*s_CF_cereal</f>
        <v>758291.875</v>
      </c>
      <c r="BC23" s="15">
        <f t="shared" si="2"/>
        <v>3.2968835384132272E-12</v>
      </c>
      <c r="BD23" s="15">
        <f>IFERROR((up_dir!AD23/(up_Bv!C23+s_MLF_apple)),".")</f>
        <v>1.3187534153652907E-11</v>
      </c>
      <c r="BE23" s="15">
        <f>IFERROR((up_dir!AE23/(up_Bv!D23+s_MLF_asparagus)),".")</f>
        <v>1.3187534153652907E-11</v>
      </c>
      <c r="BF23" s="15">
        <f>IFERROR((up_dir!AF23/(up_Bv!E23+s_MLF_beet)),".")</f>
        <v>1.3187534153652907E-11</v>
      </c>
      <c r="BG23" s="15">
        <f>IFERROR((up_dir!AG23/(up_Bv!F23+s_MLF_berries)),".")</f>
        <v>1.3187534153652907E-11</v>
      </c>
      <c r="BH23" s="15">
        <f>IFERROR((up_dir!AH23/(up_Bv!G23+s_MLF_broccoli)),".")</f>
        <v>1.3187534153652907E-11</v>
      </c>
      <c r="BI23" s="15">
        <f>IFERROR((up_dir!AI23/(up_Bv!H23+s_MLF_cabbage)),".")</f>
        <v>1.3187534153652907E-11</v>
      </c>
      <c r="BJ23" s="15">
        <f>IFERROR((up_dir!AJ23/(up_Bv!I23+s_MLF_carrot)),".")</f>
        <v>1.3187534153652907E-11</v>
      </c>
      <c r="BK23" s="15">
        <f>IFERROR((up_dir!AK23/(up_Bv!J23+s_MLF_citrus)),".")</f>
        <v>1.3187534153652907E-11</v>
      </c>
      <c r="BL23" s="15">
        <f>IFERROR((up_dir!AL23/(up_Bv!K23+s_MLF_corn)),".")</f>
        <v>1.3187534153652907E-11</v>
      </c>
      <c r="BM23" s="15">
        <f>IFERROR((up_dir!AM23/(up_Bv!L23+s_MLF_cucumber)),".")</f>
        <v>1.3187534153652907E-11</v>
      </c>
      <c r="BN23" s="15">
        <f>IFERROR((up_dir!AN23/(up_Bv!M23+s_MLF_lettuce)),".")</f>
        <v>1.3187534153652907E-11</v>
      </c>
      <c r="BO23" s="15">
        <f>IFERROR((up_dir!AO23/(up_Bv!N23+s_MLF_lima_bean)),".")</f>
        <v>1.3187534153652907E-11</v>
      </c>
      <c r="BP23" s="15">
        <f>IFERROR((up_dir!AP23/(up_Bv!O23+s_MLF_okra)),".")</f>
        <v>1.3187534153652907E-11</v>
      </c>
      <c r="BQ23" s="15">
        <f>IFERROR((up_dir!AQ23/(up_Bv!P23+s_MLF_onion)),".")</f>
        <v>1.3187534153652907E-11</v>
      </c>
      <c r="BR23" s="15">
        <f>IFERROR((up_dir!AR23/(up_Bv!Q23+s_MLF_peach)),".")</f>
        <v>1.3187534153652907E-11</v>
      </c>
      <c r="BS23" s="15">
        <f>IFERROR((up_dir!AS23/(up_Bv!R23+s_MLF_pear)),".")</f>
        <v>1.3187534153652907E-11</v>
      </c>
      <c r="BT23" s="15">
        <f>IFERROR((up_dir!AT23/(up_Bv!S23+s_MLF_peas)),".")</f>
        <v>1.3187534153652907E-11</v>
      </c>
      <c r="BU23" s="15">
        <f>IFERROR((up_dir!AU23/(up_Bv!T23+s_MLF_peppers)),".")</f>
        <v>1.3187534153652907E-11</v>
      </c>
      <c r="BV23" s="15">
        <f>IFERROR((up_dir!AV23/(up_Bv!U23+s_MLF_potato)),".")</f>
        <v>1.3187534153652907E-11</v>
      </c>
      <c r="BW23" s="15">
        <f>IFERROR((up_dir!AW23/(up_Bv!V23+s_MLF_pumpkin)),".")</f>
        <v>1.3187534153652907E-11</v>
      </c>
      <c r="BX23" s="15">
        <f>IFERROR((up_dir!AX23/(up_Bv!W23+s_MLF_snap_bean)),".")</f>
        <v>1.3187534153652907E-11</v>
      </c>
      <c r="BY23" s="15">
        <f>IFERROR((up_dir!AY23/(up_Bv!X23+s_MLF_strawberry)),".")</f>
        <v>1.3187534153652907E-11</v>
      </c>
      <c r="BZ23" s="15">
        <f>IFERROR((up_dir!AZ23/(up_Bv!Y23+s_MLF_tomato)),".")</f>
        <v>1.3187534153652907E-11</v>
      </c>
      <c r="CA23" s="15">
        <f>IFERROR((up_dir!BA23/(up_Bv!Z23+s_MLF_rice)),".")</f>
        <v>1.3187534153652907E-11</v>
      </c>
      <c r="CB23" s="15">
        <f>IFERROR((up_dir!BB23/(up_Bv!AA23+s_MLF_cereal)),".")</f>
        <v>1.3187534153652907E-11</v>
      </c>
      <c r="CC23" s="40">
        <f t="shared" si="3"/>
        <v>3033167.5</v>
      </c>
      <c r="CD23" s="40">
        <f>IFERROR(s_C*(up_Bv!C23+s_MLF_apple)*s_IFAP_far_adj*s_CF_apple,".")</f>
        <v>758291.875</v>
      </c>
      <c r="CE23" s="40">
        <f>IFERROR(s_C*(up_Bv!D23+s_MLF_asparagus)*s_IFAS_far_adj*s_CF_asparagus,".")</f>
        <v>758291.875</v>
      </c>
      <c r="CF23" s="40">
        <f>IFERROR(s_C*(up_Bv!E23+s_MLF_beet)*s_IFBT_far_adj*s_CF_beet,".")</f>
        <v>758291.875</v>
      </c>
      <c r="CG23" s="40">
        <f>IFERROR(s_C*(up_Bv!F23+s_MLF_berries)*s_IFBR_far_adj*s_CF_berries,".")</f>
        <v>758291.875</v>
      </c>
      <c r="CH23" s="40">
        <f>IFERROR(s_C*(up_Bv!G23+s_MLF_broccoli)*s_IFBR_far_adj*s_CF_broccoli,".")</f>
        <v>758291.875</v>
      </c>
      <c r="CI23" s="40">
        <f>IFERROR(s_C*(up_Bv!H23+s_MLF_cabbage)*s_IFCB_far_adj*s_CF_cabbage,".")</f>
        <v>758291.875</v>
      </c>
      <c r="CJ23" s="40">
        <f>IFERROR(s_C*(up_Bv!I23+s_MLF_carrot)*s_IFCR_far_adj*s_CF_carrot,".")</f>
        <v>758291.875</v>
      </c>
      <c r="CK23" s="40">
        <f>IFERROR(s_C*(up_Bv!J23+s_MLF_citrus)*s_IFCI_far_adj*s_CF_citrus,".")</f>
        <v>758291.875</v>
      </c>
      <c r="CL23" s="40">
        <f>IFERROR(s_C*(up_Bv!K23+s_MLF_corn)*s_IFCO_far_adj*s_CF_corn,".")</f>
        <v>758291.875</v>
      </c>
      <c r="CM23" s="40">
        <f>IFERROR(s_C*(up_Bv!L23+s_MLF_cucumber)*s_IFCU_far_adj*s_CF_cucumber,".")</f>
        <v>758291.875</v>
      </c>
      <c r="CN23" s="40">
        <f>IFERROR(s_C*(up_Bv!M23+s_MLF_lettuce)*s_IFLE_far_adj*s_CF_lettuce,".")</f>
        <v>758291.875</v>
      </c>
      <c r="CO23" s="40">
        <f>IFERROR(s_C*(up_Bv!N23+s_MLF_lima_bean)*s_IFLI_far_adj*s_CF_lima_bean,".")</f>
        <v>758291.875</v>
      </c>
      <c r="CP23" s="40">
        <f>IFERROR(s_C*(up_Bv!O23+s_MLF_okra)*s_IFOK_far_adj*s_CF_okra,".")</f>
        <v>758291.875</v>
      </c>
      <c r="CQ23" s="40">
        <f>IFERROR(s_C*(up_Bv!P23+s_MLF_onion)*s_IFON_far_adj*s_CF_onion,".")</f>
        <v>758291.875</v>
      </c>
      <c r="CR23" s="40">
        <f>IFERROR(s_C*(up_Bv!Q23+s_MLF_peach)*s_IFPC_far_adj*s_CF_peach,".")</f>
        <v>758291.875</v>
      </c>
      <c r="CS23" s="40">
        <f>IFERROR(s_C*(up_Bv!R23+s_MLF_pear)*s_IFPR_far_adj*s_CF_pear,".")</f>
        <v>758291.875</v>
      </c>
      <c r="CT23" s="40">
        <f>IFERROR(s_C*(up_Bv!S23+s_MLF_peas)*s_IFPE_far_adj*s_CF_peas,".")</f>
        <v>758291.875</v>
      </c>
      <c r="CU23" s="40">
        <f>IFERROR(s_C*(up_Bv!T23+s_MLF_peppers)*s_IFPP_far_adj*s_CF_peppers,".")</f>
        <v>758291.875</v>
      </c>
      <c r="CV23" s="40">
        <f>IFERROR(s_C*(up_Bv!U23+s_MLF_potato)*s_IFPT_far_adj*s_CF_potato,".")</f>
        <v>758291.875</v>
      </c>
      <c r="CW23" s="40">
        <f>IFERROR(s_C*(up_Bv!V23+s_MLF_pumpkin)*s_IFPU_far_adj*s_CF_pumpkin,".")</f>
        <v>758291.875</v>
      </c>
      <c r="CX23" s="40">
        <f>IFERROR(s_C*(up_Bv!W23+s_MLF_snap_bean)*s_IFSN_far_adj*s_CF_snap_bean,".")</f>
        <v>758291.875</v>
      </c>
      <c r="CY23" s="40">
        <f>IFERROR(s_C*(up_Bv!X23+s_MLF_strawberry)*s_IFST_far_adj*s_CF_strawberry,".")</f>
        <v>758291.875</v>
      </c>
      <c r="CZ23" s="40">
        <f>IFERROR(s_C*(up_Bv!Y23+s_MLF_tomato)*s_IFTO_far_adj*s_CF_tomato,".")</f>
        <v>758291.875</v>
      </c>
      <c r="DA23" s="40">
        <f>IFERROR(s_C*(up_Bv!Z23+s_MLF_rice)*s_IFRI_far_adj*s_CF_rice,".")</f>
        <v>758291.875</v>
      </c>
      <c r="DB23" s="40">
        <f>IFERROR(s_C*(up_Bv!AA23+s_MLF_cereal)*s_IFCG_far_adj*s_CF_cereal,".")</f>
        <v>758291.875</v>
      </c>
    </row>
    <row r="24" spans="1:106" ht="15" customHeight="1" x14ac:dyDescent="0.25">
      <c r="A24" s="44" t="s">
        <v>34</v>
      </c>
      <c r="B24" s="42" t="s">
        <v>1071</v>
      </c>
      <c r="C24" s="15">
        <f t="shared" si="0"/>
        <v>3.2968835384132272E-12</v>
      </c>
      <c r="D24" s="15">
        <f>IFERROR((up_dir!D24/(up_Bv!C24+s_MLF_apple)),".")</f>
        <v>1.3187534153652907E-11</v>
      </c>
      <c r="E24" s="15">
        <f>IFERROR((up_dir!E24/(up_Bv!D24+s_MLF_asparagus)),".")</f>
        <v>1.3187534153652907E-11</v>
      </c>
      <c r="F24" s="15">
        <f>IFERROR((up_dir!F24/(up_Bv!E24+s_MLF_beet)),".")</f>
        <v>1.3187534153652907E-11</v>
      </c>
      <c r="G24" s="15">
        <f>IFERROR((up_dir!G24/(up_Bv!F24+s_MLF_berries)),".")</f>
        <v>1.3187534153652907E-11</v>
      </c>
      <c r="H24" s="15">
        <f>IFERROR((up_dir!H24/(up_Bv!G24+s_MLF_broccoli)),".")</f>
        <v>1.3187534153652907E-11</v>
      </c>
      <c r="I24" s="15">
        <f>IFERROR((up_dir!I24/(up_Bv!H24+s_MLF_cabbage)),".")</f>
        <v>1.3187534153652907E-11</v>
      </c>
      <c r="J24" s="15">
        <f>IFERROR((up_dir!J24/(up_Bv!I24+s_MLF_carrot)),".")</f>
        <v>1.3187534153652907E-11</v>
      </c>
      <c r="K24" s="15">
        <f>IFERROR((up_dir!K24/(up_Bv!J24+s_MLF_citrus)),".")</f>
        <v>1.3187534153652907E-11</v>
      </c>
      <c r="L24" s="15">
        <f>IFERROR((up_dir!L24/(up_Bv!K24+s_MLF_corn)),".")</f>
        <v>1.3187534153652907E-11</v>
      </c>
      <c r="M24" s="15">
        <f>IFERROR((up_dir!M24/(up_Bv!L24+s_MLF_cucumber)),".")</f>
        <v>1.3187534153652907E-11</v>
      </c>
      <c r="N24" s="15">
        <f>IFERROR((up_dir!N24/(up_Bv!M24+s_MLF_lettuce)),".")</f>
        <v>1.3187534153652907E-11</v>
      </c>
      <c r="O24" s="15">
        <f>IFERROR((up_dir!O24/(up_Bv!N24+s_MLF_lima_bean)),".")</f>
        <v>1.3187534153652907E-11</v>
      </c>
      <c r="P24" s="15">
        <f>IFERROR((up_dir!P24/(up_Bv!O24+s_MLF_okra)),".")</f>
        <v>1.3187534153652907E-11</v>
      </c>
      <c r="Q24" s="15">
        <f>IFERROR((up_dir!Q24/(up_Bv!P24+s_MLF_onion)),".")</f>
        <v>1.3187534153652907E-11</v>
      </c>
      <c r="R24" s="15">
        <f>IFERROR((up_dir!R24/(up_Bv!Q24+s_MLF_peach)),".")</f>
        <v>1.3187534153652907E-11</v>
      </c>
      <c r="S24" s="15">
        <f>IFERROR((up_dir!S24/(up_Bv!R24+s_MLF_pear)),".")</f>
        <v>1.3187534153652907E-11</v>
      </c>
      <c r="T24" s="15">
        <f>IFERROR((up_dir!T24/(up_Bv!S24+s_MLF_peas)),".")</f>
        <v>1.3187534153652907E-11</v>
      </c>
      <c r="U24" s="15">
        <f>IFERROR((up_dir!U24/(up_Bv!T24+s_MLF_peppers)),".")</f>
        <v>1.3187534153652907E-11</v>
      </c>
      <c r="V24" s="15">
        <f>IFERROR((up_dir!V24/(up_Bv!U24+s_MLF_potato)),".")</f>
        <v>1.3187534153652907E-11</v>
      </c>
      <c r="W24" s="15">
        <f>IFERROR((up_dir!W24/(up_Bv!V24+s_MLF_pumpkin)),".")</f>
        <v>1.3187534153652907E-11</v>
      </c>
      <c r="X24" s="15">
        <f>IFERROR((up_dir!X24/(up_Bv!W24+s_MLF_snap_bean)),".")</f>
        <v>1.3187534153652907E-11</v>
      </c>
      <c r="Y24" s="15">
        <f>IFERROR((up_dir!Y24/(up_Bv!X24+s_MLF_strawberry)),".")</f>
        <v>1.3187534153652907E-11</v>
      </c>
      <c r="Z24" s="15">
        <f>IFERROR((up_dir!Z24/(up_Bv!Y24+s_MLF_tomato)),".")</f>
        <v>1.3187534153652907E-11</v>
      </c>
      <c r="AA24" s="15">
        <f>IFERROR((up_dir!AA24/(up_Bv!Z24+s_MLF_rice)),".")</f>
        <v>1.3187534153652907E-11</v>
      </c>
      <c r="AB24" s="15">
        <f>IFERROR((up_dir!AB24/(up_Bv!AA24+s_MLF_cereal)),".")</f>
        <v>1.3187534153652907E-11</v>
      </c>
      <c r="AC24" s="40">
        <f t="shared" si="1"/>
        <v>3033167.5</v>
      </c>
      <c r="AD24" s="40">
        <f>s_C*(up_Bv!C24+s_MLF_apple)*s_IFAP_res_adj*s_CF_apple</f>
        <v>758291.875</v>
      </c>
      <c r="AE24" s="40">
        <f>s_C*(up_Bv!D24+s_MLF_asparagus)*s_IFAS_res_adj*s_CF_asparagus</f>
        <v>758291.875</v>
      </c>
      <c r="AF24" s="40">
        <f>s_C*(up_Bv!E24+s_MLF_beet)*s_IFBT_res_adj*s_CF_beet</f>
        <v>758291.875</v>
      </c>
      <c r="AG24" s="40">
        <f>s_C*(up_Bv!F24+s_MLF_berries)*s_IFBE_res_adj*s_CF_berries</f>
        <v>758291.875</v>
      </c>
      <c r="AH24" s="40">
        <f>s_C*(up_Bv!G24+s_MLF_broccoli)*s_IFBR_res_adj*s_CF_broccoli</f>
        <v>758291.875</v>
      </c>
      <c r="AI24" s="40">
        <f>s_C*(up_Bv!H24+s_MLF_cabbage)*s_IFCB_res_adj*s_CF_cabbage</f>
        <v>758291.875</v>
      </c>
      <c r="AJ24" s="40">
        <f>s_C*(up_Bv!I24+s_MLF_carrot)*s_IFCR_res_adj*s_CF_carrot</f>
        <v>758291.875</v>
      </c>
      <c r="AK24" s="40">
        <f>s_C*(up_Bv!J24+s_MLF_citrus)*s_IFCI_res_adj*s_CF_citrus</f>
        <v>758291.875</v>
      </c>
      <c r="AL24" s="40">
        <f>s_C*(up_Bv!K24+s_MLF_corn)*s_IFCO_res_adj*s_CF_corn</f>
        <v>758291.875</v>
      </c>
      <c r="AM24" s="40">
        <f>s_C*(up_Bv!L24+s_MLF_cucumber)*s_IFCU_res_adj*s_CF_cucumber</f>
        <v>758291.875</v>
      </c>
      <c r="AN24" s="40">
        <f>s_C*(up_Bv!M24+s_MLF_lettuce)*s_IFLE_res_adj*s_CF_lettuce</f>
        <v>758291.875</v>
      </c>
      <c r="AO24" s="40">
        <f>s_C*(up_Bv!N24+s_MLF_lima_bean)*s_IFLI_res_adj*s_CF_lima_bean</f>
        <v>758291.875</v>
      </c>
      <c r="AP24" s="40">
        <f>s_C*(up_Bv!O24+s_MLF_okra)*s_IFOK_res_adj*s_CF_okra</f>
        <v>758291.875</v>
      </c>
      <c r="AQ24" s="40">
        <f>s_C*(up_Bv!P24+s_MLF_onion)*s_IFON_res_adj*s_CF_onion</f>
        <v>758291.875</v>
      </c>
      <c r="AR24" s="40">
        <f>s_C*(up_Bv!Q24+s_MLF_peach)*s_IFPC_res_adj*s_CF_peach</f>
        <v>758291.875</v>
      </c>
      <c r="AS24" s="40">
        <f>s_C*(up_Bv!R24+s_MLF_pear)*s_IFPR_res_adj*s_CF_pear</f>
        <v>758291.875</v>
      </c>
      <c r="AT24" s="40">
        <f>s_C*(up_Bv!S24+s_MLF_peas)*s_IFPE_res_adj*s_CF_peas</f>
        <v>758291.875</v>
      </c>
      <c r="AU24" s="40">
        <f>s_C*(up_Bv!T24+s_MLF_peppers)*s_IFPP_res_adj*s_CF_peppers</f>
        <v>758291.875</v>
      </c>
      <c r="AV24" s="40">
        <f>s_C*(up_Bv!U24+s_MLF_potato)*s_IFPT_res_adj*s_CF_potato</f>
        <v>758291.875</v>
      </c>
      <c r="AW24" s="40">
        <f>s_C*(up_Bv!V24+s_MLF_pumpkin)*s_IFPU_res_adj*s_CF_pumpkin</f>
        <v>758291.875</v>
      </c>
      <c r="AX24" s="40">
        <f>s_C*(up_Bv!W24+s_MLF_snap_bean)*s_IFSN_res_adj*s_CF_snap_bean</f>
        <v>758291.875</v>
      </c>
      <c r="AY24" s="40">
        <f>s_C*(up_Bv!X24+s_MLF_strawberry)*s_IFST_res_adj*s_CF_strawberry</f>
        <v>758291.875</v>
      </c>
      <c r="AZ24" s="40">
        <f>s_C*(up_Bv!Y24+s_MLF_tomato)*s_IFTO_res_adj*s_CF_tomato</f>
        <v>758291.875</v>
      </c>
      <c r="BA24" s="40">
        <f>s_C*(up_Bv!Z24+s_MLF_rice)*s_IFRI_res_adj*s_CF_rice</f>
        <v>758291.875</v>
      </c>
      <c r="BB24" s="40">
        <f>s_C*(up_Bv!AA24+s_MLF_cereal)*s_IFCG_res_adj*s_CF_cereal</f>
        <v>758291.875</v>
      </c>
      <c r="BC24" s="15">
        <f t="shared" si="2"/>
        <v>3.2968835384132272E-12</v>
      </c>
      <c r="BD24" s="15">
        <f>IFERROR((up_dir!AD24/(up_Bv!C24+s_MLF_apple)),".")</f>
        <v>1.3187534153652907E-11</v>
      </c>
      <c r="BE24" s="15">
        <f>IFERROR((up_dir!AE24/(up_Bv!D24+s_MLF_asparagus)),".")</f>
        <v>1.3187534153652907E-11</v>
      </c>
      <c r="BF24" s="15">
        <f>IFERROR((up_dir!AF24/(up_Bv!E24+s_MLF_beet)),".")</f>
        <v>1.3187534153652907E-11</v>
      </c>
      <c r="BG24" s="15">
        <f>IFERROR((up_dir!AG24/(up_Bv!F24+s_MLF_berries)),".")</f>
        <v>1.3187534153652907E-11</v>
      </c>
      <c r="BH24" s="15">
        <f>IFERROR((up_dir!AH24/(up_Bv!G24+s_MLF_broccoli)),".")</f>
        <v>1.3187534153652907E-11</v>
      </c>
      <c r="BI24" s="15">
        <f>IFERROR((up_dir!AI24/(up_Bv!H24+s_MLF_cabbage)),".")</f>
        <v>1.3187534153652907E-11</v>
      </c>
      <c r="BJ24" s="15">
        <f>IFERROR((up_dir!AJ24/(up_Bv!I24+s_MLF_carrot)),".")</f>
        <v>1.3187534153652907E-11</v>
      </c>
      <c r="BK24" s="15">
        <f>IFERROR((up_dir!AK24/(up_Bv!J24+s_MLF_citrus)),".")</f>
        <v>1.3187534153652907E-11</v>
      </c>
      <c r="BL24" s="15">
        <f>IFERROR((up_dir!AL24/(up_Bv!K24+s_MLF_corn)),".")</f>
        <v>1.3187534153652907E-11</v>
      </c>
      <c r="BM24" s="15">
        <f>IFERROR((up_dir!AM24/(up_Bv!L24+s_MLF_cucumber)),".")</f>
        <v>1.3187534153652907E-11</v>
      </c>
      <c r="BN24" s="15">
        <f>IFERROR((up_dir!AN24/(up_Bv!M24+s_MLF_lettuce)),".")</f>
        <v>1.3187534153652907E-11</v>
      </c>
      <c r="BO24" s="15">
        <f>IFERROR((up_dir!AO24/(up_Bv!N24+s_MLF_lima_bean)),".")</f>
        <v>1.3187534153652907E-11</v>
      </c>
      <c r="BP24" s="15">
        <f>IFERROR((up_dir!AP24/(up_Bv!O24+s_MLF_okra)),".")</f>
        <v>1.3187534153652907E-11</v>
      </c>
      <c r="BQ24" s="15">
        <f>IFERROR((up_dir!AQ24/(up_Bv!P24+s_MLF_onion)),".")</f>
        <v>1.3187534153652907E-11</v>
      </c>
      <c r="BR24" s="15">
        <f>IFERROR((up_dir!AR24/(up_Bv!Q24+s_MLF_peach)),".")</f>
        <v>1.3187534153652907E-11</v>
      </c>
      <c r="BS24" s="15">
        <f>IFERROR((up_dir!AS24/(up_Bv!R24+s_MLF_pear)),".")</f>
        <v>1.3187534153652907E-11</v>
      </c>
      <c r="BT24" s="15">
        <f>IFERROR((up_dir!AT24/(up_Bv!S24+s_MLF_peas)),".")</f>
        <v>1.3187534153652907E-11</v>
      </c>
      <c r="BU24" s="15">
        <f>IFERROR((up_dir!AU24/(up_Bv!T24+s_MLF_peppers)),".")</f>
        <v>1.3187534153652907E-11</v>
      </c>
      <c r="BV24" s="15">
        <f>IFERROR((up_dir!AV24/(up_Bv!U24+s_MLF_potato)),".")</f>
        <v>1.3187534153652907E-11</v>
      </c>
      <c r="BW24" s="15">
        <f>IFERROR((up_dir!AW24/(up_Bv!V24+s_MLF_pumpkin)),".")</f>
        <v>1.3187534153652907E-11</v>
      </c>
      <c r="BX24" s="15">
        <f>IFERROR((up_dir!AX24/(up_Bv!W24+s_MLF_snap_bean)),".")</f>
        <v>1.3187534153652907E-11</v>
      </c>
      <c r="BY24" s="15">
        <f>IFERROR((up_dir!AY24/(up_Bv!X24+s_MLF_strawberry)),".")</f>
        <v>1.3187534153652907E-11</v>
      </c>
      <c r="BZ24" s="15">
        <f>IFERROR((up_dir!AZ24/(up_Bv!Y24+s_MLF_tomato)),".")</f>
        <v>1.3187534153652907E-11</v>
      </c>
      <c r="CA24" s="15">
        <f>IFERROR((up_dir!BA24/(up_Bv!Z24+s_MLF_rice)),".")</f>
        <v>1.3187534153652907E-11</v>
      </c>
      <c r="CB24" s="15">
        <f>IFERROR((up_dir!BB24/(up_Bv!AA24+s_MLF_cereal)),".")</f>
        <v>1.3187534153652907E-11</v>
      </c>
      <c r="CC24" s="40">
        <f t="shared" si="3"/>
        <v>3033167.5</v>
      </c>
      <c r="CD24" s="40">
        <f>IFERROR(s_C*(up_Bv!C24+s_MLF_apple)*s_IFAP_far_adj*s_CF_apple,".")</f>
        <v>758291.875</v>
      </c>
      <c r="CE24" s="40">
        <f>IFERROR(s_C*(up_Bv!D24+s_MLF_asparagus)*s_IFAS_far_adj*s_CF_asparagus,".")</f>
        <v>758291.875</v>
      </c>
      <c r="CF24" s="40">
        <f>IFERROR(s_C*(up_Bv!E24+s_MLF_beet)*s_IFBT_far_adj*s_CF_beet,".")</f>
        <v>758291.875</v>
      </c>
      <c r="CG24" s="40">
        <f>IFERROR(s_C*(up_Bv!F24+s_MLF_berries)*s_IFBR_far_adj*s_CF_berries,".")</f>
        <v>758291.875</v>
      </c>
      <c r="CH24" s="40">
        <f>IFERROR(s_C*(up_Bv!G24+s_MLF_broccoli)*s_IFBR_far_adj*s_CF_broccoli,".")</f>
        <v>758291.875</v>
      </c>
      <c r="CI24" s="40">
        <f>IFERROR(s_C*(up_Bv!H24+s_MLF_cabbage)*s_IFCB_far_adj*s_CF_cabbage,".")</f>
        <v>758291.875</v>
      </c>
      <c r="CJ24" s="40">
        <f>IFERROR(s_C*(up_Bv!I24+s_MLF_carrot)*s_IFCR_far_adj*s_CF_carrot,".")</f>
        <v>758291.875</v>
      </c>
      <c r="CK24" s="40">
        <f>IFERROR(s_C*(up_Bv!J24+s_MLF_citrus)*s_IFCI_far_adj*s_CF_citrus,".")</f>
        <v>758291.875</v>
      </c>
      <c r="CL24" s="40">
        <f>IFERROR(s_C*(up_Bv!K24+s_MLF_corn)*s_IFCO_far_adj*s_CF_corn,".")</f>
        <v>758291.875</v>
      </c>
      <c r="CM24" s="40">
        <f>IFERROR(s_C*(up_Bv!L24+s_MLF_cucumber)*s_IFCU_far_adj*s_CF_cucumber,".")</f>
        <v>758291.875</v>
      </c>
      <c r="CN24" s="40">
        <f>IFERROR(s_C*(up_Bv!M24+s_MLF_lettuce)*s_IFLE_far_adj*s_CF_lettuce,".")</f>
        <v>758291.875</v>
      </c>
      <c r="CO24" s="40">
        <f>IFERROR(s_C*(up_Bv!N24+s_MLF_lima_bean)*s_IFLI_far_adj*s_CF_lima_bean,".")</f>
        <v>758291.875</v>
      </c>
      <c r="CP24" s="40">
        <f>IFERROR(s_C*(up_Bv!O24+s_MLF_okra)*s_IFOK_far_adj*s_CF_okra,".")</f>
        <v>758291.875</v>
      </c>
      <c r="CQ24" s="40">
        <f>IFERROR(s_C*(up_Bv!P24+s_MLF_onion)*s_IFON_far_adj*s_CF_onion,".")</f>
        <v>758291.875</v>
      </c>
      <c r="CR24" s="40">
        <f>IFERROR(s_C*(up_Bv!Q24+s_MLF_peach)*s_IFPC_far_adj*s_CF_peach,".")</f>
        <v>758291.875</v>
      </c>
      <c r="CS24" s="40">
        <f>IFERROR(s_C*(up_Bv!R24+s_MLF_pear)*s_IFPR_far_adj*s_CF_pear,".")</f>
        <v>758291.875</v>
      </c>
      <c r="CT24" s="40">
        <f>IFERROR(s_C*(up_Bv!S24+s_MLF_peas)*s_IFPE_far_adj*s_CF_peas,".")</f>
        <v>758291.875</v>
      </c>
      <c r="CU24" s="40">
        <f>IFERROR(s_C*(up_Bv!T24+s_MLF_peppers)*s_IFPP_far_adj*s_CF_peppers,".")</f>
        <v>758291.875</v>
      </c>
      <c r="CV24" s="40">
        <f>IFERROR(s_C*(up_Bv!U24+s_MLF_potato)*s_IFPT_far_adj*s_CF_potato,".")</f>
        <v>758291.875</v>
      </c>
      <c r="CW24" s="40">
        <f>IFERROR(s_C*(up_Bv!V24+s_MLF_pumpkin)*s_IFPU_far_adj*s_CF_pumpkin,".")</f>
        <v>758291.875</v>
      </c>
      <c r="CX24" s="40">
        <f>IFERROR(s_C*(up_Bv!W24+s_MLF_snap_bean)*s_IFSN_far_adj*s_CF_snap_bean,".")</f>
        <v>758291.875</v>
      </c>
      <c r="CY24" s="40">
        <f>IFERROR(s_C*(up_Bv!X24+s_MLF_strawberry)*s_IFST_far_adj*s_CF_strawberry,".")</f>
        <v>758291.875</v>
      </c>
      <c r="CZ24" s="40">
        <f>IFERROR(s_C*(up_Bv!Y24+s_MLF_tomato)*s_IFTO_far_adj*s_CF_tomato,".")</f>
        <v>758291.875</v>
      </c>
      <c r="DA24" s="40">
        <f>IFERROR(s_C*(up_Bv!Z24+s_MLF_rice)*s_IFRI_far_adj*s_CF_rice,".")</f>
        <v>758291.875</v>
      </c>
      <c r="DB24" s="40">
        <f>IFERROR(s_C*(up_Bv!AA24+s_MLF_cereal)*s_IFCG_far_adj*s_CF_cereal,".")</f>
        <v>758291.875</v>
      </c>
    </row>
    <row r="25" spans="1:106" x14ac:dyDescent="0.25">
      <c r="A25" s="46" t="s">
        <v>35</v>
      </c>
      <c r="B25" s="42" t="s">
        <v>349</v>
      </c>
      <c r="C25" s="15">
        <f t="shared" si="0"/>
        <v>3.2968835384132272E-12</v>
      </c>
      <c r="D25" s="15">
        <f>IFERROR((up_dir!D25/(up_Bv!C25+s_MLF_apple)),".")</f>
        <v>1.3187534153652907E-11</v>
      </c>
      <c r="E25" s="15">
        <f>IFERROR((up_dir!E25/(up_Bv!D25+s_MLF_asparagus)),".")</f>
        <v>1.3187534153652907E-11</v>
      </c>
      <c r="F25" s="15">
        <f>IFERROR((up_dir!F25/(up_Bv!E25+s_MLF_beet)),".")</f>
        <v>1.3187534153652907E-11</v>
      </c>
      <c r="G25" s="15">
        <f>IFERROR((up_dir!G25/(up_Bv!F25+s_MLF_berries)),".")</f>
        <v>1.3187534153652907E-11</v>
      </c>
      <c r="H25" s="15">
        <f>IFERROR((up_dir!H25/(up_Bv!G25+s_MLF_broccoli)),".")</f>
        <v>1.3187534153652907E-11</v>
      </c>
      <c r="I25" s="15">
        <f>IFERROR((up_dir!I25/(up_Bv!H25+s_MLF_cabbage)),".")</f>
        <v>1.3187534153652907E-11</v>
      </c>
      <c r="J25" s="15">
        <f>IFERROR((up_dir!J25/(up_Bv!I25+s_MLF_carrot)),".")</f>
        <v>1.3187534153652907E-11</v>
      </c>
      <c r="K25" s="15">
        <f>IFERROR((up_dir!K25/(up_Bv!J25+s_MLF_citrus)),".")</f>
        <v>1.3187534153652907E-11</v>
      </c>
      <c r="L25" s="15">
        <f>IFERROR((up_dir!L25/(up_Bv!K25+s_MLF_corn)),".")</f>
        <v>1.3187534153652907E-11</v>
      </c>
      <c r="M25" s="15">
        <f>IFERROR((up_dir!M25/(up_Bv!L25+s_MLF_cucumber)),".")</f>
        <v>1.3187534153652907E-11</v>
      </c>
      <c r="N25" s="15">
        <f>IFERROR((up_dir!N25/(up_Bv!M25+s_MLF_lettuce)),".")</f>
        <v>1.3187534153652907E-11</v>
      </c>
      <c r="O25" s="15">
        <f>IFERROR((up_dir!O25/(up_Bv!N25+s_MLF_lima_bean)),".")</f>
        <v>1.3187534153652907E-11</v>
      </c>
      <c r="P25" s="15">
        <f>IFERROR((up_dir!P25/(up_Bv!O25+s_MLF_okra)),".")</f>
        <v>1.3187534153652907E-11</v>
      </c>
      <c r="Q25" s="15">
        <f>IFERROR((up_dir!Q25/(up_Bv!P25+s_MLF_onion)),".")</f>
        <v>1.3187534153652907E-11</v>
      </c>
      <c r="R25" s="15">
        <f>IFERROR((up_dir!R25/(up_Bv!Q25+s_MLF_peach)),".")</f>
        <v>1.3187534153652907E-11</v>
      </c>
      <c r="S25" s="15">
        <f>IFERROR((up_dir!S25/(up_Bv!R25+s_MLF_pear)),".")</f>
        <v>1.3187534153652907E-11</v>
      </c>
      <c r="T25" s="15">
        <f>IFERROR((up_dir!T25/(up_Bv!S25+s_MLF_peas)),".")</f>
        <v>1.3187534153652907E-11</v>
      </c>
      <c r="U25" s="15">
        <f>IFERROR((up_dir!U25/(up_Bv!T25+s_MLF_peppers)),".")</f>
        <v>1.3187534153652907E-11</v>
      </c>
      <c r="V25" s="15">
        <f>IFERROR((up_dir!V25/(up_Bv!U25+s_MLF_potato)),".")</f>
        <v>1.3187534153652907E-11</v>
      </c>
      <c r="W25" s="15">
        <f>IFERROR((up_dir!W25/(up_Bv!V25+s_MLF_pumpkin)),".")</f>
        <v>1.3187534153652907E-11</v>
      </c>
      <c r="X25" s="15">
        <f>IFERROR((up_dir!X25/(up_Bv!W25+s_MLF_snap_bean)),".")</f>
        <v>1.3187534153652907E-11</v>
      </c>
      <c r="Y25" s="15">
        <f>IFERROR((up_dir!Y25/(up_Bv!X25+s_MLF_strawberry)),".")</f>
        <v>1.3187534153652907E-11</v>
      </c>
      <c r="Z25" s="15">
        <f>IFERROR((up_dir!Z25/(up_Bv!Y25+s_MLF_tomato)),".")</f>
        <v>1.3187534153652907E-11</v>
      </c>
      <c r="AA25" s="15">
        <f>IFERROR((up_dir!AA25/(up_Bv!Z25+s_MLF_rice)),".")</f>
        <v>1.3187534153652907E-11</v>
      </c>
      <c r="AB25" s="15">
        <f>IFERROR((up_dir!AB25/(up_Bv!AA25+s_MLF_cereal)),".")</f>
        <v>1.3187534153652907E-11</v>
      </c>
      <c r="AC25" s="40">
        <f t="shared" si="1"/>
        <v>3033167.5</v>
      </c>
      <c r="AD25" s="40">
        <f>s_C*(up_Bv!C25+s_MLF_apple)*s_IFAP_res_adj*s_CF_apple</f>
        <v>758291.875</v>
      </c>
      <c r="AE25" s="40">
        <f>s_C*(up_Bv!D25+s_MLF_asparagus)*s_IFAS_res_adj*s_CF_asparagus</f>
        <v>758291.875</v>
      </c>
      <c r="AF25" s="40">
        <f>s_C*(up_Bv!E25+s_MLF_beet)*s_IFBT_res_adj*s_CF_beet</f>
        <v>758291.875</v>
      </c>
      <c r="AG25" s="40">
        <f>s_C*(up_Bv!F25+s_MLF_berries)*s_IFBE_res_adj*s_CF_berries</f>
        <v>758291.875</v>
      </c>
      <c r="AH25" s="40">
        <f>s_C*(up_Bv!G25+s_MLF_broccoli)*s_IFBR_res_adj*s_CF_broccoli</f>
        <v>758291.875</v>
      </c>
      <c r="AI25" s="40">
        <f>s_C*(up_Bv!H25+s_MLF_cabbage)*s_IFCB_res_adj*s_CF_cabbage</f>
        <v>758291.875</v>
      </c>
      <c r="AJ25" s="40">
        <f>s_C*(up_Bv!I25+s_MLF_carrot)*s_IFCR_res_adj*s_CF_carrot</f>
        <v>758291.875</v>
      </c>
      <c r="AK25" s="40">
        <f>s_C*(up_Bv!J25+s_MLF_citrus)*s_IFCI_res_adj*s_CF_citrus</f>
        <v>758291.875</v>
      </c>
      <c r="AL25" s="40">
        <f>s_C*(up_Bv!K25+s_MLF_corn)*s_IFCO_res_adj*s_CF_corn</f>
        <v>758291.875</v>
      </c>
      <c r="AM25" s="40">
        <f>s_C*(up_Bv!L25+s_MLF_cucumber)*s_IFCU_res_adj*s_CF_cucumber</f>
        <v>758291.875</v>
      </c>
      <c r="AN25" s="40">
        <f>s_C*(up_Bv!M25+s_MLF_lettuce)*s_IFLE_res_adj*s_CF_lettuce</f>
        <v>758291.875</v>
      </c>
      <c r="AO25" s="40">
        <f>s_C*(up_Bv!N25+s_MLF_lima_bean)*s_IFLI_res_adj*s_CF_lima_bean</f>
        <v>758291.875</v>
      </c>
      <c r="AP25" s="40">
        <f>s_C*(up_Bv!O25+s_MLF_okra)*s_IFOK_res_adj*s_CF_okra</f>
        <v>758291.875</v>
      </c>
      <c r="AQ25" s="40">
        <f>s_C*(up_Bv!P25+s_MLF_onion)*s_IFON_res_adj*s_CF_onion</f>
        <v>758291.875</v>
      </c>
      <c r="AR25" s="40">
        <f>s_C*(up_Bv!Q25+s_MLF_peach)*s_IFPC_res_adj*s_CF_peach</f>
        <v>758291.875</v>
      </c>
      <c r="AS25" s="40">
        <f>s_C*(up_Bv!R25+s_MLF_pear)*s_IFPR_res_adj*s_CF_pear</f>
        <v>758291.875</v>
      </c>
      <c r="AT25" s="40">
        <f>s_C*(up_Bv!S25+s_MLF_peas)*s_IFPE_res_adj*s_CF_peas</f>
        <v>758291.875</v>
      </c>
      <c r="AU25" s="40">
        <f>s_C*(up_Bv!T25+s_MLF_peppers)*s_IFPP_res_adj*s_CF_peppers</f>
        <v>758291.875</v>
      </c>
      <c r="AV25" s="40">
        <f>s_C*(up_Bv!U25+s_MLF_potato)*s_IFPT_res_adj*s_CF_potato</f>
        <v>758291.875</v>
      </c>
      <c r="AW25" s="40">
        <f>s_C*(up_Bv!V25+s_MLF_pumpkin)*s_IFPU_res_adj*s_CF_pumpkin</f>
        <v>758291.875</v>
      </c>
      <c r="AX25" s="40">
        <f>s_C*(up_Bv!W25+s_MLF_snap_bean)*s_IFSN_res_adj*s_CF_snap_bean</f>
        <v>758291.875</v>
      </c>
      <c r="AY25" s="40">
        <f>s_C*(up_Bv!X25+s_MLF_strawberry)*s_IFST_res_adj*s_CF_strawberry</f>
        <v>758291.875</v>
      </c>
      <c r="AZ25" s="40">
        <f>s_C*(up_Bv!Y25+s_MLF_tomato)*s_IFTO_res_adj*s_CF_tomato</f>
        <v>758291.875</v>
      </c>
      <c r="BA25" s="40">
        <f>s_C*(up_Bv!Z25+s_MLF_rice)*s_IFRI_res_adj*s_CF_rice</f>
        <v>758291.875</v>
      </c>
      <c r="BB25" s="40">
        <f>s_C*(up_Bv!AA25+s_MLF_cereal)*s_IFCG_res_adj*s_CF_cereal</f>
        <v>758291.875</v>
      </c>
      <c r="BC25" s="15">
        <f t="shared" si="2"/>
        <v>3.2968835384132272E-12</v>
      </c>
      <c r="BD25" s="15">
        <f>IFERROR((up_dir!AD25/(up_Bv!C25+s_MLF_apple)),".")</f>
        <v>1.3187534153652907E-11</v>
      </c>
      <c r="BE25" s="15">
        <f>IFERROR((up_dir!AE25/(up_Bv!D25+s_MLF_asparagus)),".")</f>
        <v>1.3187534153652907E-11</v>
      </c>
      <c r="BF25" s="15">
        <f>IFERROR((up_dir!AF25/(up_Bv!E25+s_MLF_beet)),".")</f>
        <v>1.3187534153652907E-11</v>
      </c>
      <c r="BG25" s="15">
        <f>IFERROR((up_dir!AG25/(up_Bv!F25+s_MLF_berries)),".")</f>
        <v>1.3187534153652907E-11</v>
      </c>
      <c r="BH25" s="15">
        <f>IFERROR((up_dir!AH25/(up_Bv!G25+s_MLF_broccoli)),".")</f>
        <v>1.3187534153652907E-11</v>
      </c>
      <c r="BI25" s="15">
        <f>IFERROR((up_dir!AI25/(up_Bv!H25+s_MLF_cabbage)),".")</f>
        <v>1.3187534153652907E-11</v>
      </c>
      <c r="BJ25" s="15">
        <f>IFERROR((up_dir!AJ25/(up_Bv!I25+s_MLF_carrot)),".")</f>
        <v>1.3187534153652907E-11</v>
      </c>
      <c r="BK25" s="15">
        <f>IFERROR((up_dir!AK25/(up_Bv!J25+s_MLF_citrus)),".")</f>
        <v>1.3187534153652907E-11</v>
      </c>
      <c r="BL25" s="15">
        <f>IFERROR((up_dir!AL25/(up_Bv!K25+s_MLF_corn)),".")</f>
        <v>1.3187534153652907E-11</v>
      </c>
      <c r="BM25" s="15">
        <f>IFERROR((up_dir!AM25/(up_Bv!L25+s_MLF_cucumber)),".")</f>
        <v>1.3187534153652907E-11</v>
      </c>
      <c r="BN25" s="15">
        <f>IFERROR((up_dir!AN25/(up_Bv!M25+s_MLF_lettuce)),".")</f>
        <v>1.3187534153652907E-11</v>
      </c>
      <c r="BO25" s="15">
        <f>IFERROR((up_dir!AO25/(up_Bv!N25+s_MLF_lima_bean)),".")</f>
        <v>1.3187534153652907E-11</v>
      </c>
      <c r="BP25" s="15">
        <f>IFERROR((up_dir!AP25/(up_Bv!O25+s_MLF_okra)),".")</f>
        <v>1.3187534153652907E-11</v>
      </c>
      <c r="BQ25" s="15">
        <f>IFERROR((up_dir!AQ25/(up_Bv!P25+s_MLF_onion)),".")</f>
        <v>1.3187534153652907E-11</v>
      </c>
      <c r="BR25" s="15">
        <f>IFERROR((up_dir!AR25/(up_Bv!Q25+s_MLF_peach)),".")</f>
        <v>1.3187534153652907E-11</v>
      </c>
      <c r="BS25" s="15">
        <f>IFERROR((up_dir!AS25/(up_Bv!R25+s_MLF_pear)),".")</f>
        <v>1.3187534153652907E-11</v>
      </c>
      <c r="BT25" s="15">
        <f>IFERROR((up_dir!AT25/(up_Bv!S25+s_MLF_peas)),".")</f>
        <v>1.3187534153652907E-11</v>
      </c>
      <c r="BU25" s="15">
        <f>IFERROR((up_dir!AU25/(up_Bv!T25+s_MLF_peppers)),".")</f>
        <v>1.3187534153652907E-11</v>
      </c>
      <c r="BV25" s="15">
        <f>IFERROR((up_dir!AV25/(up_Bv!U25+s_MLF_potato)),".")</f>
        <v>1.3187534153652907E-11</v>
      </c>
      <c r="BW25" s="15">
        <f>IFERROR((up_dir!AW25/(up_Bv!V25+s_MLF_pumpkin)),".")</f>
        <v>1.3187534153652907E-11</v>
      </c>
      <c r="BX25" s="15">
        <f>IFERROR((up_dir!AX25/(up_Bv!W25+s_MLF_snap_bean)),".")</f>
        <v>1.3187534153652907E-11</v>
      </c>
      <c r="BY25" s="15">
        <f>IFERROR((up_dir!AY25/(up_Bv!X25+s_MLF_strawberry)),".")</f>
        <v>1.3187534153652907E-11</v>
      </c>
      <c r="BZ25" s="15">
        <f>IFERROR((up_dir!AZ25/(up_Bv!Y25+s_MLF_tomato)),".")</f>
        <v>1.3187534153652907E-11</v>
      </c>
      <c r="CA25" s="15">
        <f>IFERROR((up_dir!BA25/(up_Bv!Z25+s_MLF_rice)),".")</f>
        <v>1.3187534153652907E-11</v>
      </c>
      <c r="CB25" s="15">
        <f>IFERROR((up_dir!BB25/(up_Bv!AA25+s_MLF_cereal)),".")</f>
        <v>1.3187534153652907E-11</v>
      </c>
      <c r="CC25" s="40">
        <f t="shared" si="3"/>
        <v>3033167.5</v>
      </c>
      <c r="CD25" s="40">
        <f>IFERROR(s_C*(up_Bv!C25+s_MLF_apple)*s_IFAP_far_adj*s_CF_apple,".")</f>
        <v>758291.875</v>
      </c>
      <c r="CE25" s="40">
        <f>IFERROR(s_C*(up_Bv!D25+s_MLF_asparagus)*s_IFAS_far_adj*s_CF_asparagus,".")</f>
        <v>758291.875</v>
      </c>
      <c r="CF25" s="40">
        <f>IFERROR(s_C*(up_Bv!E25+s_MLF_beet)*s_IFBT_far_adj*s_CF_beet,".")</f>
        <v>758291.875</v>
      </c>
      <c r="CG25" s="40">
        <f>IFERROR(s_C*(up_Bv!F25+s_MLF_berries)*s_IFBR_far_adj*s_CF_berries,".")</f>
        <v>758291.875</v>
      </c>
      <c r="CH25" s="40">
        <f>IFERROR(s_C*(up_Bv!G25+s_MLF_broccoli)*s_IFBR_far_adj*s_CF_broccoli,".")</f>
        <v>758291.875</v>
      </c>
      <c r="CI25" s="40">
        <f>IFERROR(s_C*(up_Bv!H25+s_MLF_cabbage)*s_IFCB_far_adj*s_CF_cabbage,".")</f>
        <v>758291.875</v>
      </c>
      <c r="CJ25" s="40">
        <f>IFERROR(s_C*(up_Bv!I25+s_MLF_carrot)*s_IFCR_far_adj*s_CF_carrot,".")</f>
        <v>758291.875</v>
      </c>
      <c r="CK25" s="40">
        <f>IFERROR(s_C*(up_Bv!J25+s_MLF_citrus)*s_IFCI_far_adj*s_CF_citrus,".")</f>
        <v>758291.875</v>
      </c>
      <c r="CL25" s="40">
        <f>IFERROR(s_C*(up_Bv!K25+s_MLF_corn)*s_IFCO_far_adj*s_CF_corn,".")</f>
        <v>758291.875</v>
      </c>
      <c r="CM25" s="40">
        <f>IFERROR(s_C*(up_Bv!L25+s_MLF_cucumber)*s_IFCU_far_adj*s_CF_cucumber,".")</f>
        <v>758291.875</v>
      </c>
      <c r="CN25" s="40">
        <f>IFERROR(s_C*(up_Bv!M25+s_MLF_lettuce)*s_IFLE_far_adj*s_CF_lettuce,".")</f>
        <v>758291.875</v>
      </c>
      <c r="CO25" s="40">
        <f>IFERROR(s_C*(up_Bv!N25+s_MLF_lima_bean)*s_IFLI_far_adj*s_CF_lima_bean,".")</f>
        <v>758291.875</v>
      </c>
      <c r="CP25" s="40">
        <f>IFERROR(s_C*(up_Bv!O25+s_MLF_okra)*s_IFOK_far_adj*s_CF_okra,".")</f>
        <v>758291.875</v>
      </c>
      <c r="CQ25" s="40">
        <f>IFERROR(s_C*(up_Bv!P25+s_MLF_onion)*s_IFON_far_adj*s_CF_onion,".")</f>
        <v>758291.875</v>
      </c>
      <c r="CR25" s="40">
        <f>IFERROR(s_C*(up_Bv!Q25+s_MLF_peach)*s_IFPC_far_adj*s_CF_peach,".")</f>
        <v>758291.875</v>
      </c>
      <c r="CS25" s="40">
        <f>IFERROR(s_C*(up_Bv!R25+s_MLF_pear)*s_IFPR_far_adj*s_CF_pear,".")</f>
        <v>758291.875</v>
      </c>
      <c r="CT25" s="40">
        <f>IFERROR(s_C*(up_Bv!S25+s_MLF_peas)*s_IFPE_far_adj*s_CF_peas,".")</f>
        <v>758291.875</v>
      </c>
      <c r="CU25" s="40">
        <f>IFERROR(s_C*(up_Bv!T25+s_MLF_peppers)*s_IFPP_far_adj*s_CF_peppers,".")</f>
        <v>758291.875</v>
      </c>
      <c r="CV25" s="40">
        <f>IFERROR(s_C*(up_Bv!U25+s_MLF_potato)*s_IFPT_far_adj*s_CF_potato,".")</f>
        <v>758291.875</v>
      </c>
      <c r="CW25" s="40">
        <f>IFERROR(s_C*(up_Bv!V25+s_MLF_pumpkin)*s_IFPU_far_adj*s_CF_pumpkin,".")</f>
        <v>758291.875</v>
      </c>
      <c r="CX25" s="40">
        <f>IFERROR(s_C*(up_Bv!W25+s_MLF_snap_bean)*s_IFSN_far_adj*s_CF_snap_bean,".")</f>
        <v>758291.875</v>
      </c>
      <c r="CY25" s="40">
        <f>IFERROR(s_C*(up_Bv!X25+s_MLF_strawberry)*s_IFST_far_adj*s_CF_strawberry,".")</f>
        <v>758291.875</v>
      </c>
      <c r="CZ25" s="40">
        <f>IFERROR(s_C*(up_Bv!Y25+s_MLF_tomato)*s_IFTO_far_adj*s_CF_tomato,".")</f>
        <v>758291.875</v>
      </c>
      <c r="DA25" s="40">
        <f>IFERROR(s_C*(up_Bv!Z25+s_MLF_rice)*s_IFRI_far_adj*s_CF_rice,".")</f>
        <v>758291.875</v>
      </c>
      <c r="DB25" s="40">
        <f>IFERROR(s_C*(up_Bv!AA25+s_MLF_cereal)*s_IFCG_far_adj*s_CF_cereal,".")</f>
        <v>758291.875</v>
      </c>
    </row>
    <row r="26" spans="1:106" ht="15" customHeight="1" x14ac:dyDescent="0.25">
      <c r="A26" s="44" t="s">
        <v>36</v>
      </c>
      <c r="B26" s="42" t="s">
        <v>1071</v>
      </c>
      <c r="C26" s="15">
        <f t="shared" si="0"/>
        <v>3.2968835384132272E-12</v>
      </c>
      <c r="D26" s="15">
        <f>IFERROR((up_dir!D26/(up_Bv!C26+s_MLF_apple)),".")</f>
        <v>1.3187534153652907E-11</v>
      </c>
      <c r="E26" s="15">
        <f>IFERROR((up_dir!E26/(up_Bv!D26+s_MLF_asparagus)),".")</f>
        <v>1.3187534153652907E-11</v>
      </c>
      <c r="F26" s="15">
        <f>IFERROR((up_dir!F26/(up_Bv!E26+s_MLF_beet)),".")</f>
        <v>1.3187534153652907E-11</v>
      </c>
      <c r="G26" s="15">
        <f>IFERROR((up_dir!G26/(up_Bv!F26+s_MLF_berries)),".")</f>
        <v>1.3187534153652907E-11</v>
      </c>
      <c r="H26" s="15">
        <f>IFERROR((up_dir!H26/(up_Bv!G26+s_MLF_broccoli)),".")</f>
        <v>1.3187534153652907E-11</v>
      </c>
      <c r="I26" s="15">
        <f>IFERROR((up_dir!I26/(up_Bv!H26+s_MLF_cabbage)),".")</f>
        <v>1.3187534153652907E-11</v>
      </c>
      <c r="J26" s="15">
        <f>IFERROR((up_dir!J26/(up_Bv!I26+s_MLF_carrot)),".")</f>
        <v>1.3187534153652907E-11</v>
      </c>
      <c r="K26" s="15">
        <f>IFERROR((up_dir!K26/(up_Bv!J26+s_MLF_citrus)),".")</f>
        <v>1.3187534153652907E-11</v>
      </c>
      <c r="L26" s="15">
        <f>IFERROR((up_dir!L26/(up_Bv!K26+s_MLF_corn)),".")</f>
        <v>1.3187534153652907E-11</v>
      </c>
      <c r="M26" s="15">
        <f>IFERROR((up_dir!M26/(up_Bv!L26+s_MLF_cucumber)),".")</f>
        <v>1.3187534153652907E-11</v>
      </c>
      <c r="N26" s="15">
        <f>IFERROR((up_dir!N26/(up_Bv!M26+s_MLF_lettuce)),".")</f>
        <v>1.3187534153652907E-11</v>
      </c>
      <c r="O26" s="15">
        <f>IFERROR((up_dir!O26/(up_Bv!N26+s_MLF_lima_bean)),".")</f>
        <v>1.3187534153652907E-11</v>
      </c>
      <c r="P26" s="15">
        <f>IFERROR((up_dir!P26/(up_Bv!O26+s_MLF_okra)),".")</f>
        <v>1.3187534153652907E-11</v>
      </c>
      <c r="Q26" s="15">
        <f>IFERROR((up_dir!Q26/(up_Bv!P26+s_MLF_onion)),".")</f>
        <v>1.3187534153652907E-11</v>
      </c>
      <c r="R26" s="15">
        <f>IFERROR((up_dir!R26/(up_Bv!Q26+s_MLF_peach)),".")</f>
        <v>1.3187534153652907E-11</v>
      </c>
      <c r="S26" s="15">
        <f>IFERROR((up_dir!S26/(up_Bv!R26+s_MLF_pear)),".")</f>
        <v>1.3187534153652907E-11</v>
      </c>
      <c r="T26" s="15">
        <f>IFERROR((up_dir!T26/(up_Bv!S26+s_MLF_peas)),".")</f>
        <v>1.3187534153652907E-11</v>
      </c>
      <c r="U26" s="15">
        <f>IFERROR((up_dir!U26/(up_Bv!T26+s_MLF_peppers)),".")</f>
        <v>1.3187534153652907E-11</v>
      </c>
      <c r="V26" s="15">
        <f>IFERROR((up_dir!V26/(up_Bv!U26+s_MLF_potato)),".")</f>
        <v>1.3187534153652907E-11</v>
      </c>
      <c r="W26" s="15">
        <f>IFERROR((up_dir!W26/(up_Bv!V26+s_MLF_pumpkin)),".")</f>
        <v>1.3187534153652907E-11</v>
      </c>
      <c r="X26" s="15">
        <f>IFERROR((up_dir!X26/(up_Bv!W26+s_MLF_snap_bean)),".")</f>
        <v>1.3187534153652907E-11</v>
      </c>
      <c r="Y26" s="15">
        <f>IFERROR((up_dir!Y26/(up_Bv!X26+s_MLF_strawberry)),".")</f>
        <v>1.3187534153652907E-11</v>
      </c>
      <c r="Z26" s="15">
        <f>IFERROR((up_dir!Z26/(up_Bv!Y26+s_MLF_tomato)),".")</f>
        <v>1.3187534153652907E-11</v>
      </c>
      <c r="AA26" s="15">
        <f>IFERROR((up_dir!AA26/(up_Bv!Z26+s_MLF_rice)),".")</f>
        <v>1.3187534153652907E-11</v>
      </c>
      <c r="AB26" s="15">
        <f>IFERROR((up_dir!AB26/(up_Bv!AA26+s_MLF_cereal)),".")</f>
        <v>1.3187534153652907E-11</v>
      </c>
      <c r="AC26" s="40">
        <f t="shared" si="1"/>
        <v>3033167.5</v>
      </c>
      <c r="AD26" s="40">
        <f>s_C*(up_Bv!C26+s_MLF_apple)*s_IFAP_res_adj*s_CF_apple</f>
        <v>758291.875</v>
      </c>
      <c r="AE26" s="40">
        <f>s_C*(up_Bv!D26+s_MLF_asparagus)*s_IFAS_res_adj*s_CF_asparagus</f>
        <v>758291.875</v>
      </c>
      <c r="AF26" s="40">
        <f>s_C*(up_Bv!E26+s_MLF_beet)*s_IFBT_res_adj*s_CF_beet</f>
        <v>758291.875</v>
      </c>
      <c r="AG26" s="40">
        <f>s_C*(up_Bv!F26+s_MLF_berries)*s_IFBE_res_adj*s_CF_berries</f>
        <v>758291.875</v>
      </c>
      <c r="AH26" s="40">
        <f>s_C*(up_Bv!G26+s_MLF_broccoli)*s_IFBR_res_adj*s_CF_broccoli</f>
        <v>758291.875</v>
      </c>
      <c r="AI26" s="40">
        <f>s_C*(up_Bv!H26+s_MLF_cabbage)*s_IFCB_res_adj*s_CF_cabbage</f>
        <v>758291.875</v>
      </c>
      <c r="AJ26" s="40">
        <f>s_C*(up_Bv!I26+s_MLF_carrot)*s_IFCR_res_adj*s_CF_carrot</f>
        <v>758291.875</v>
      </c>
      <c r="AK26" s="40">
        <f>s_C*(up_Bv!J26+s_MLF_citrus)*s_IFCI_res_adj*s_CF_citrus</f>
        <v>758291.875</v>
      </c>
      <c r="AL26" s="40">
        <f>s_C*(up_Bv!K26+s_MLF_corn)*s_IFCO_res_adj*s_CF_corn</f>
        <v>758291.875</v>
      </c>
      <c r="AM26" s="40">
        <f>s_C*(up_Bv!L26+s_MLF_cucumber)*s_IFCU_res_adj*s_CF_cucumber</f>
        <v>758291.875</v>
      </c>
      <c r="AN26" s="40">
        <f>s_C*(up_Bv!M26+s_MLF_lettuce)*s_IFLE_res_adj*s_CF_lettuce</f>
        <v>758291.875</v>
      </c>
      <c r="AO26" s="40">
        <f>s_C*(up_Bv!N26+s_MLF_lima_bean)*s_IFLI_res_adj*s_CF_lima_bean</f>
        <v>758291.875</v>
      </c>
      <c r="AP26" s="40">
        <f>s_C*(up_Bv!O26+s_MLF_okra)*s_IFOK_res_adj*s_CF_okra</f>
        <v>758291.875</v>
      </c>
      <c r="AQ26" s="40">
        <f>s_C*(up_Bv!P26+s_MLF_onion)*s_IFON_res_adj*s_CF_onion</f>
        <v>758291.875</v>
      </c>
      <c r="AR26" s="40">
        <f>s_C*(up_Bv!Q26+s_MLF_peach)*s_IFPC_res_adj*s_CF_peach</f>
        <v>758291.875</v>
      </c>
      <c r="AS26" s="40">
        <f>s_C*(up_Bv!R26+s_MLF_pear)*s_IFPR_res_adj*s_CF_pear</f>
        <v>758291.875</v>
      </c>
      <c r="AT26" s="40">
        <f>s_C*(up_Bv!S26+s_MLF_peas)*s_IFPE_res_adj*s_CF_peas</f>
        <v>758291.875</v>
      </c>
      <c r="AU26" s="40">
        <f>s_C*(up_Bv!T26+s_MLF_peppers)*s_IFPP_res_adj*s_CF_peppers</f>
        <v>758291.875</v>
      </c>
      <c r="AV26" s="40">
        <f>s_C*(up_Bv!U26+s_MLF_potato)*s_IFPT_res_adj*s_CF_potato</f>
        <v>758291.875</v>
      </c>
      <c r="AW26" s="40">
        <f>s_C*(up_Bv!V26+s_MLF_pumpkin)*s_IFPU_res_adj*s_CF_pumpkin</f>
        <v>758291.875</v>
      </c>
      <c r="AX26" s="40">
        <f>s_C*(up_Bv!W26+s_MLF_snap_bean)*s_IFSN_res_adj*s_CF_snap_bean</f>
        <v>758291.875</v>
      </c>
      <c r="AY26" s="40">
        <f>s_C*(up_Bv!X26+s_MLF_strawberry)*s_IFST_res_adj*s_CF_strawberry</f>
        <v>758291.875</v>
      </c>
      <c r="AZ26" s="40">
        <f>s_C*(up_Bv!Y26+s_MLF_tomato)*s_IFTO_res_adj*s_CF_tomato</f>
        <v>758291.875</v>
      </c>
      <c r="BA26" s="40">
        <f>s_C*(up_Bv!Z26+s_MLF_rice)*s_IFRI_res_adj*s_CF_rice</f>
        <v>758291.875</v>
      </c>
      <c r="BB26" s="40">
        <f>s_C*(up_Bv!AA26+s_MLF_cereal)*s_IFCG_res_adj*s_CF_cereal</f>
        <v>758291.875</v>
      </c>
      <c r="BC26" s="15">
        <f t="shared" si="2"/>
        <v>3.2968835384132272E-12</v>
      </c>
      <c r="BD26" s="15">
        <f>IFERROR((up_dir!AD26/(up_Bv!C26+s_MLF_apple)),".")</f>
        <v>1.3187534153652907E-11</v>
      </c>
      <c r="BE26" s="15">
        <f>IFERROR((up_dir!AE26/(up_Bv!D26+s_MLF_asparagus)),".")</f>
        <v>1.3187534153652907E-11</v>
      </c>
      <c r="BF26" s="15">
        <f>IFERROR((up_dir!AF26/(up_Bv!E26+s_MLF_beet)),".")</f>
        <v>1.3187534153652907E-11</v>
      </c>
      <c r="BG26" s="15">
        <f>IFERROR((up_dir!AG26/(up_Bv!F26+s_MLF_berries)),".")</f>
        <v>1.3187534153652907E-11</v>
      </c>
      <c r="BH26" s="15">
        <f>IFERROR((up_dir!AH26/(up_Bv!G26+s_MLF_broccoli)),".")</f>
        <v>1.3187534153652907E-11</v>
      </c>
      <c r="BI26" s="15">
        <f>IFERROR((up_dir!AI26/(up_Bv!H26+s_MLF_cabbage)),".")</f>
        <v>1.3187534153652907E-11</v>
      </c>
      <c r="BJ26" s="15">
        <f>IFERROR((up_dir!AJ26/(up_Bv!I26+s_MLF_carrot)),".")</f>
        <v>1.3187534153652907E-11</v>
      </c>
      <c r="BK26" s="15">
        <f>IFERROR((up_dir!AK26/(up_Bv!J26+s_MLF_citrus)),".")</f>
        <v>1.3187534153652907E-11</v>
      </c>
      <c r="BL26" s="15">
        <f>IFERROR((up_dir!AL26/(up_Bv!K26+s_MLF_corn)),".")</f>
        <v>1.3187534153652907E-11</v>
      </c>
      <c r="BM26" s="15">
        <f>IFERROR((up_dir!AM26/(up_Bv!L26+s_MLF_cucumber)),".")</f>
        <v>1.3187534153652907E-11</v>
      </c>
      <c r="BN26" s="15">
        <f>IFERROR((up_dir!AN26/(up_Bv!M26+s_MLF_lettuce)),".")</f>
        <v>1.3187534153652907E-11</v>
      </c>
      <c r="BO26" s="15">
        <f>IFERROR((up_dir!AO26/(up_Bv!N26+s_MLF_lima_bean)),".")</f>
        <v>1.3187534153652907E-11</v>
      </c>
      <c r="BP26" s="15">
        <f>IFERROR((up_dir!AP26/(up_Bv!O26+s_MLF_okra)),".")</f>
        <v>1.3187534153652907E-11</v>
      </c>
      <c r="BQ26" s="15">
        <f>IFERROR((up_dir!AQ26/(up_Bv!P26+s_MLF_onion)),".")</f>
        <v>1.3187534153652907E-11</v>
      </c>
      <c r="BR26" s="15">
        <f>IFERROR((up_dir!AR26/(up_Bv!Q26+s_MLF_peach)),".")</f>
        <v>1.3187534153652907E-11</v>
      </c>
      <c r="BS26" s="15">
        <f>IFERROR((up_dir!AS26/(up_Bv!R26+s_MLF_pear)),".")</f>
        <v>1.3187534153652907E-11</v>
      </c>
      <c r="BT26" s="15">
        <f>IFERROR((up_dir!AT26/(up_Bv!S26+s_MLF_peas)),".")</f>
        <v>1.3187534153652907E-11</v>
      </c>
      <c r="BU26" s="15">
        <f>IFERROR((up_dir!AU26/(up_Bv!T26+s_MLF_peppers)),".")</f>
        <v>1.3187534153652907E-11</v>
      </c>
      <c r="BV26" s="15">
        <f>IFERROR((up_dir!AV26/(up_Bv!U26+s_MLF_potato)),".")</f>
        <v>1.3187534153652907E-11</v>
      </c>
      <c r="BW26" s="15">
        <f>IFERROR((up_dir!AW26/(up_Bv!V26+s_MLF_pumpkin)),".")</f>
        <v>1.3187534153652907E-11</v>
      </c>
      <c r="BX26" s="15">
        <f>IFERROR((up_dir!AX26/(up_Bv!W26+s_MLF_snap_bean)),".")</f>
        <v>1.3187534153652907E-11</v>
      </c>
      <c r="BY26" s="15">
        <f>IFERROR((up_dir!AY26/(up_Bv!X26+s_MLF_strawberry)),".")</f>
        <v>1.3187534153652907E-11</v>
      </c>
      <c r="BZ26" s="15">
        <f>IFERROR((up_dir!AZ26/(up_Bv!Y26+s_MLF_tomato)),".")</f>
        <v>1.3187534153652907E-11</v>
      </c>
      <c r="CA26" s="15">
        <f>IFERROR((up_dir!BA26/(up_Bv!Z26+s_MLF_rice)),".")</f>
        <v>1.3187534153652907E-11</v>
      </c>
      <c r="CB26" s="15">
        <f>IFERROR((up_dir!BB26/(up_Bv!AA26+s_MLF_cereal)),".")</f>
        <v>1.3187534153652907E-11</v>
      </c>
      <c r="CC26" s="40">
        <f t="shared" si="3"/>
        <v>3033167.5</v>
      </c>
      <c r="CD26" s="40">
        <f>IFERROR(s_C*(up_Bv!C26+s_MLF_apple)*s_IFAP_far_adj*s_CF_apple,".")</f>
        <v>758291.875</v>
      </c>
      <c r="CE26" s="40">
        <f>IFERROR(s_C*(up_Bv!D26+s_MLF_asparagus)*s_IFAS_far_adj*s_CF_asparagus,".")</f>
        <v>758291.875</v>
      </c>
      <c r="CF26" s="40">
        <f>IFERROR(s_C*(up_Bv!E26+s_MLF_beet)*s_IFBT_far_adj*s_CF_beet,".")</f>
        <v>758291.875</v>
      </c>
      <c r="CG26" s="40">
        <f>IFERROR(s_C*(up_Bv!F26+s_MLF_berries)*s_IFBR_far_adj*s_CF_berries,".")</f>
        <v>758291.875</v>
      </c>
      <c r="CH26" s="40">
        <f>IFERROR(s_C*(up_Bv!G26+s_MLF_broccoli)*s_IFBR_far_adj*s_CF_broccoli,".")</f>
        <v>758291.875</v>
      </c>
      <c r="CI26" s="40">
        <f>IFERROR(s_C*(up_Bv!H26+s_MLF_cabbage)*s_IFCB_far_adj*s_CF_cabbage,".")</f>
        <v>758291.875</v>
      </c>
      <c r="CJ26" s="40">
        <f>IFERROR(s_C*(up_Bv!I26+s_MLF_carrot)*s_IFCR_far_adj*s_CF_carrot,".")</f>
        <v>758291.875</v>
      </c>
      <c r="CK26" s="40">
        <f>IFERROR(s_C*(up_Bv!J26+s_MLF_citrus)*s_IFCI_far_adj*s_CF_citrus,".")</f>
        <v>758291.875</v>
      </c>
      <c r="CL26" s="40">
        <f>IFERROR(s_C*(up_Bv!K26+s_MLF_corn)*s_IFCO_far_adj*s_CF_corn,".")</f>
        <v>758291.875</v>
      </c>
      <c r="CM26" s="40">
        <f>IFERROR(s_C*(up_Bv!L26+s_MLF_cucumber)*s_IFCU_far_adj*s_CF_cucumber,".")</f>
        <v>758291.875</v>
      </c>
      <c r="CN26" s="40">
        <f>IFERROR(s_C*(up_Bv!M26+s_MLF_lettuce)*s_IFLE_far_adj*s_CF_lettuce,".")</f>
        <v>758291.875</v>
      </c>
      <c r="CO26" s="40">
        <f>IFERROR(s_C*(up_Bv!N26+s_MLF_lima_bean)*s_IFLI_far_adj*s_CF_lima_bean,".")</f>
        <v>758291.875</v>
      </c>
      <c r="CP26" s="40">
        <f>IFERROR(s_C*(up_Bv!O26+s_MLF_okra)*s_IFOK_far_adj*s_CF_okra,".")</f>
        <v>758291.875</v>
      </c>
      <c r="CQ26" s="40">
        <f>IFERROR(s_C*(up_Bv!P26+s_MLF_onion)*s_IFON_far_adj*s_CF_onion,".")</f>
        <v>758291.875</v>
      </c>
      <c r="CR26" s="40">
        <f>IFERROR(s_C*(up_Bv!Q26+s_MLF_peach)*s_IFPC_far_adj*s_CF_peach,".")</f>
        <v>758291.875</v>
      </c>
      <c r="CS26" s="40">
        <f>IFERROR(s_C*(up_Bv!R26+s_MLF_pear)*s_IFPR_far_adj*s_CF_pear,".")</f>
        <v>758291.875</v>
      </c>
      <c r="CT26" s="40">
        <f>IFERROR(s_C*(up_Bv!S26+s_MLF_peas)*s_IFPE_far_adj*s_CF_peas,".")</f>
        <v>758291.875</v>
      </c>
      <c r="CU26" s="40">
        <f>IFERROR(s_C*(up_Bv!T26+s_MLF_peppers)*s_IFPP_far_adj*s_CF_peppers,".")</f>
        <v>758291.875</v>
      </c>
      <c r="CV26" s="40">
        <f>IFERROR(s_C*(up_Bv!U26+s_MLF_potato)*s_IFPT_far_adj*s_CF_potato,".")</f>
        <v>758291.875</v>
      </c>
      <c r="CW26" s="40">
        <f>IFERROR(s_C*(up_Bv!V26+s_MLF_pumpkin)*s_IFPU_far_adj*s_CF_pumpkin,".")</f>
        <v>758291.875</v>
      </c>
      <c r="CX26" s="40">
        <f>IFERROR(s_C*(up_Bv!W26+s_MLF_snap_bean)*s_IFSN_far_adj*s_CF_snap_bean,".")</f>
        <v>758291.875</v>
      </c>
      <c r="CY26" s="40">
        <f>IFERROR(s_C*(up_Bv!X26+s_MLF_strawberry)*s_IFST_far_adj*s_CF_strawberry,".")</f>
        <v>758291.875</v>
      </c>
      <c r="CZ26" s="40">
        <f>IFERROR(s_C*(up_Bv!Y26+s_MLF_tomato)*s_IFTO_far_adj*s_CF_tomato,".")</f>
        <v>758291.875</v>
      </c>
      <c r="DA26" s="40">
        <f>IFERROR(s_C*(up_Bv!Z26+s_MLF_rice)*s_IFRI_far_adj*s_CF_rice,".")</f>
        <v>758291.875</v>
      </c>
      <c r="DB26" s="40">
        <f>IFERROR(s_C*(up_Bv!AA26+s_MLF_cereal)*s_IFCG_far_adj*s_CF_cereal,".")</f>
        <v>758291.875</v>
      </c>
    </row>
    <row r="27" spans="1:106" ht="15" customHeight="1" x14ac:dyDescent="0.25">
      <c r="A27" s="44" t="s">
        <v>37</v>
      </c>
      <c r="B27" s="42" t="s">
        <v>1071</v>
      </c>
      <c r="C27" s="15">
        <f t="shared" si="0"/>
        <v>3.2968835384132272E-12</v>
      </c>
      <c r="D27" s="15">
        <f>IFERROR((up_dir!D27/(up_Bv!C27+s_MLF_apple)),".")</f>
        <v>1.3187534153652907E-11</v>
      </c>
      <c r="E27" s="15">
        <f>IFERROR((up_dir!E27/(up_Bv!D27+s_MLF_asparagus)),".")</f>
        <v>1.3187534153652907E-11</v>
      </c>
      <c r="F27" s="15">
        <f>IFERROR((up_dir!F27/(up_Bv!E27+s_MLF_beet)),".")</f>
        <v>1.3187534153652907E-11</v>
      </c>
      <c r="G27" s="15">
        <f>IFERROR((up_dir!G27/(up_Bv!F27+s_MLF_berries)),".")</f>
        <v>1.3187534153652907E-11</v>
      </c>
      <c r="H27" s="15">
        <f>IFERROR((up_dir!H27/(up_Bv!G27+s_MLF_broccoli)),".")</f>
        <v>1.3187534153652907E-11</v>
      </c>
      <c r="I27" s="15">
        <f>IFERROR((up_dir!I27/(up_Bv!H27+s_MLF_cabbage)),".")</f>
        <v>1.3187534153652907E-11</v>
      </c>
      <c r="J27" s="15">
        <f>IFERROR((up_dir!J27/(up_Bv!I27+s_MLF_carrot)),".")</f>
        <v>1.3187534153652907E-11</v>
      </c>
      <c r="K27" s="15">
        <f>IFERROR((up_dir!K27/(up_Bv!J27+s_MLF_citrus)),".")</f>
        <v>1.3187534153652907E-11</v>
      </c>
      <c r="L27" s="15">
        <f>IFERROR((up_dir!L27/(up_Bv!K27+s_MLF_corn)),".")</f>
        <v>1.3187534153652907E-11</v>
      </c>
      <c r="M27" s="15">
        <f>IFERROR((up_dir!M27/(up_Bv!L27+s_MLF_cucumber)),".")</f>
        <v>1.3187534153652907E-11</v>
      </c>
      <c r="N27" s="15">
        <f>IFERROR((up_dir!N27/(up_Bv!M27+s_MLF_lettuce)),".")</f>
        <v>1.3187534153652907E-11</v>
      </c>
      <c r="O27" s="15">
        <f>IFERROR((up_dir!O27/(up_Bv!N27+s_MLF_lima_bean)),".")</f>
        <v>1.3187534153652907E-11</v>
      </c>
      <c r="P27" s="15">
        <f>IFERROR((up_dir!P27/(up_Bv!O27+s_MLF_okra)),".")</f>
        <v>1.3187534153652907E-11</v>
      </c>
      <c r="Q27" s="15">
        <f>IFERROR((up_dir!Q27/(up_Bv!P27+s_MLF_onion)),".")</f>
        <v>1.3187534153652907E-11</v>
      </c>
      <c r="R27" s="15">
        <f>IFERROR((up_dir!R27/(up_Bv!Q27+s_MLF_peach)),".")</f>
        <v>1.3187534153652907E-11</v>
      </c>
      <c r="S27" s="15">
        <f>IFERROR((up_dir!S27/(up_Bv!R27+s_MLF_pear)),".")</f>
        <v>1.3187534153652907E-11</v>
      </c>
      <c r="T27" s="15">
        <f>IFERROR((up_dir!T27/(up_Bv!S27+s_MLF_peas)),".")</f>
        <v>1.3187534153652907E-11</v>
      </c>
      <c r="U27" s="15">
        <f>IFERROR((up_dir!U27/(up_Bv!T27+s_MLF_peppers)),".")</f>
        <v>1.3187534153652907E-11</v>
      </c>
      <c r="V27" s="15">
        <f>IFERROR((up_dir!V27/(up_Bv!U27+s_MLF_potato)),".")</f>
        <v>1.3187534153652907E-11</v>
      </c>
      <c r="W27" s="15">
        <f>IFERROR((up_dir!W27/(up_Bv!V27+s_MLF_pumpkin)),".")</f>
        <v>1.3187534153652907E-11</v>
      </c>
      <c r="X27" s="15">
        <f>IFERROR((up_dir!X27/(up_Bv!W27+s_MLF_snap_bean)),".")</f>
        <v>1.3187534153652907E-11</v>
      </c>
      <c r="Y27" s="15">
        <f>IFERROR((up_dir!Y27/(up_Bv!X27+s_MLF_strawberry)),".")</f>
        <v>1.3187534153652907E-11</v>
      </c>
      <c r="Z27" s="15">
        <f>IFERROR((up_dir!Z27/(up_Bv!Y27+s_MLF_tomato)),".")</f>
        <v>1.3187534153652907E-11</v>
      </c>
      <c r="AA27" s="15">
        <f>IFERROR((up_dir!AA27/(up_Bv!Z27+s_MLF_rice)),".")</f>
        <v>1.3187534153652907E-11</v>
      </c>
      <c r="AB27" s="15">
        <f>IFERROR((up_dir!AB27/(up_Bv!AA27+s_MLF_cereal)),".")</f>
        <v>1.3187534153652907E-11</v>
      </c>
      <c r="AC27" s="40">
        <f t="shared" si="1"/>
        <v>3033167.5</v>
      </c>
      <c r="AD27" s="40">
        <f>s_C*(up_Bv!C27+s_MLF_apple)*s_IFAP_res_adj*s_CF_apple</f>
        <v>758291.875</v>
      </c>
      <c r="AE27" s="40">
        <f>s_C*(up_Bv!D27+s_MLF_asparagus)*s_IFAS_res_adj*s_CF_asparagus</f>
        <v>758291.875</v>
      </c>
      <c r="AF27" s="40">
        <f>s_C*(up_Bv!E27+s_MLF_beet)*s_IFBT_res_adj*s_CF_beet</f>
        <v>758291.875</v>
      </c>
      <c r="AG27" s="40">
        <f>s_C*(up_Bv!F27+s_MLF_berries)*s_IFBE_res_adj*s_CF_berries</f>
        <v>758291.875</v>
      </c>
      <c r="AH27" s="40">
        <f>s_C*(up_Bv!G27+s_MLF_broccoli)*s_IFBR_res_adj*s_CF_broccoli</f>
        <v>758291.875</v>
      </c>
      <c r="AI27" s="40">
        <f>s_C*(up_Bv!H27+s_MLF_cabbage)*s_IFCB_res_adj*s_CF_cabbage</f>
        <v>758291.875</v>
      </c>
      <c r="AJ27" s="40">
        <f>s_C*(up_Bv!I27+s_MLF_carrot)*s_IFCR_res_adj*s_CF_carrot</f>
        <v>758291.875</v>
      </c>
      <c r="AK27" s="40">
        <f>s_C*(up_Bv!J27+s_MLF_citrus)*s_IFCI_res_adj*s_CF_citrus</f>
        <v>758291.875</v>
      </c>
      <c r="AL27" s="40">
        <f>s_C*(up_Bv!K27+s_MLF_corn)*s_IFCO_res_adj*s_CF_corn</f>
        <v>758291.875</v>
      </c>
      <c r="AM27" s="40">
        <f>s_C*(up_Bv!L27+s_MLF_cucumber)*s_IFCU_res_adj*s_CF_cucumber</f>
        <v>758291.875</v>
      </c>
      <c r="AN27" s="40">
        <f>s_C*(up_Bv!M27+s_MLF_lettuce)*s_IFLE_res_adj*s_CF_lettuce</f>
        <v>758291.875</v>
      </c>
      <c r="AO27" s="40">
        <f>s_C*(up_Bv!N27+s_MLF_lima_bean)*s_IFLI_res_adj*s_CF_lima_bean</f>
        <v>758291.875</v>
      </c>
      <c r="AP27" s="40">
        <f>s_C*(up_Bv!O27+s_MLF_okra)*s_IFOK_res_adj*s_CF_okra</f>
        <v>758291.875</v>
      </c>
      <c r="AQ27" s="40">
        <f>s_C*(up_Bv!P27+s_MLF_onion)*s_IFON_res_adj*s_CF_onion</f>
        <v>758291.875</v>
      </c>
      <c r="AR27" s="40">
        <f>s_C*(up_Bv!Q27+s_MLF_peach)*s_IFPC_res_adj*s_CF_peach</f>
        <v>758291.875</v>
      </c>
      <c r="AS27" s="40">
        <f>s_C*(up_Bv!R27+s_MLF_pear)*s_IFPR_res_adj*s_CF_pear</f>
        <v>758291.875</v>
      </c>
      <c r="AT27" s="40">
        <f>s_C*(up_Bv!S27+s_MLF_peas)*s_IFPE_res_adj*s_CF_peas</f>
        <v>758291.875</v>
      </c>
      <c r="AU27" s="40">
        <f>s_C*(up_Bv!T27+s_MLF_peppers)*s_IFPP_res_adj*s_CF_peppers</f>
        <v>758291.875</v>
      </c>
      <c r="AV27" s="40">
        <f>s_C*(up_Bv!U27+s_MLF_potato)*s_IFPT_res_adj*s_CF_potato</f>
        <v>758291.875</v>
      </c>
      <c r="AW27" s="40">
        <f>s_C*(up_Bv!V27+s_MLF_pumpkin)*s_IFPU_res_adj*s_CF_pumpkin</f>
        <v>758291.875</v>
      </c>
      <c r="AX27" s="40">
        <f>s_C*(up_Bv!W27+s_MLF_snap_bean)*s_IFSN_res_adj*s_CF_snap_bean</f>
        <v>758291.875</v>
      </c>
      <c r="AY27" s="40">
        <f>s_C*(up_Bv!X27+s_MLF_strawberry)*s_IFST_res_adj*s_CF_strawberry</f>
        <v>758291.875</v>
      </c>
      <c r="AZ27" s="40">
        <f>s_C*(up_Bv!Y27+s_MLF_tomato)*s_IFTO_res_adj*s_CF_tomato</f>
        <v>758291.875</v>
      </c>
      <c r="BA27" s="40">
        <f>s_C*(up_Bv!Z27+s_MLF_rice)*s_IFRI_res_adj*s_CF_rice</f>
        <v>758291.875</v>
      </c>
      <c r="BB27" s="40">
        <f>s_C*(up_Bv!AA27+s_MLF_cereal)*s_IFCG_res_adj*s_CF_cereal</f>
        <v>758291.875</v>
      </c>
      <c r="BC27" s="15">
        <f t="shared" si="2"/>
        <v>3.2968835384132272E-12</v>
      </c>
      <c r="BD27" s="15">
        <f>IFERROR((up_dir!AD27/(up_Bv!C27+s_MLF_apple)),".")</f>
        <v>1.3187534153652907E-11</v>
      </c>
      <c r="BE27" s="15">
        <f>IFERROR((up_dir!AE27/(up_Bv!D27+s_MLF_asparagus)),".")</f>
        <v>1.3187534153652907E-11</v>
      </c>
      <c r="BF27" s="15">
        <f>IFERROR((up_dir!AF27/(up_Bv!E27+s_MLF_beet)),".")</f>
        <v>1.3187534153652907E-11</v>
      </c>
      <c r="BG27" s="15">
        <f>IFERROR((up_dir!AG27/(up_Bv!F27+s_MLF_berries)),".")</f>
        <v>1.3187534153652907E-11</v>
      </c>
      <c r="BH27" s="15">
        <f>IFERROR((up_dir!AH27/(up_Bv!G27+s_MLF_broccoli)),".")</f>
        <v>1.3187534153652907E-11</v>
      </c>
      <c r="BI27" s="15">
        <f>IFERROR((up_dir!AI27/(up_Bv!H27+s_MLF_cabbage)),".")</f>
        <v>1.3187534153652907E-11</v>
      </c>
      <c r="BJ27" s="15">
        <f>IFERROR((up_dir!AJ27/(up_Bv!I27+s_MLF_carrot)),".")</f>
        <v>1.3187534153652907E-11</v>
      </c>
      <c r="BK27" s="15">
        <f>IFERROR((up_dir!AK27/(up_Bv!J27+s_MLF_citrus)),".")</f>
        <v>1.3187534153652907E-11</v>
      </c>
      <c r="BL27" s="15">
        <f>IFERROR((up_dir!AL27/(up_Bv!K27+s_MLF_corn)),".")</f>
        <v>1.3187534153652907E-11</v>
      </c>
      <c r="BM27" s="15">
        <f>IFERROR((up_dir!AM27/(up_Bv!L27+s_MLF_cucumber)),".")</f>
        <v>1.3187534153652907E-11</v>
      </c>
      <c r="BN27" s="15">
        <f>IFERROR((up_dir!AN27/(up_Bv!M27+s_MLF_lettuce)),".")</f>
        <v>1.3187534153652907E-11</v>
      </c>
      <c r="BO27" s="15">
        <f>IFERROR((up_dir!AO27/(up_Bv!N27+s_MLF_lima_bean)),".")</f>
        <v>1.3187534153652907E-11</v>
      </c>
      <c r="BP27" s="15">
        <f>IFERROR((up_dir!AP27/(up_Bv!O27+s_MLF_okra)),".")</f>
        <v>1.3187534153652907E-11</v>
      </c>
      <c r="BQ27" s="15">
        <f>IFERROR((up_dir!AQ27/(up_Bv!P27+s_MLF_onion)),".")</f>
        <v>1.3187534153652907E-11</v>
      </c>
      <c r="BR27" s="15">
        <f>IFERROR((up_dir!AR27/(up_Bv!Q27+s_MLF_peach)),".")</f>
        <v>1.3187534153652907E-11</v>
      </c>
      <c r="BS27" s="15">
        <f>IFERROR((up_dir!AS27/(up_Bv!R27+s_MLF_pear)),".")</f>
        <v>1.3187534153652907E-11</v>
      </c>
      <c r="BT27" s="15">
        <f>IFERROR((up_dir!AT27/(up_Bv!S27+s_MLF_peas)),".")</f>
        <v>1.3187534153652907E-11</v>
      </c>
      <c r="BU27" s="15">
        <f>IFERROR((up_dir!AU27/(up_Bv!T27+s_MLF_peppers)),".")</f>
        <v>1.3187534153652907E-11</v>
      </c>
      <c r="BV27" s="15">
        <f>IFERROR((up_dir!AV27/(up_Bv!U27+s_MLF_potato)),".")</f>
        <v>1.3187534153652907E-11</v>
      </c>
      <c r="BW27" s="15">
        <f>IFERROR((up_dir!AW27/(up_Bv!V27+s_MLF_pumpkin)),".")</f>
        <v>1.3187534153652907E-11</v>
      </c>
      <c r="BX27" s="15">
        <f>IFERROR((up_dir!AX27/(up_Bv!W27+s_MLF_snap_bean)),".")</f>
        <v>1.3187534153652907E-11</v>
      </c>
      <c r="BY27" s="15">
        <f>IFERROR((up_dir!AY27/(up_Bv!X27+s_MLF_strawberry)),".")</f>
        <v>1.3187534153652907E-11</v>
      </c>
      <c r="BZ27" s="15">
        <f>IFERROR((up_dir!AZ27/(up_Bv!Y27+s_MLF_tomato)),".")</f>
        <v>1.3187534153652907E-11</v>
      </c>
      <c r="CA27" s="15">
        <f>IFERROR((up_dir!BA27/(up_Bv!Z27+s_MLF_rice)),".")</f>
        <v>1.3187534153652907E-11</v>
      </c>
      <c r="CB27" s="15">
        <f>IFERROR((up_dir!BB27/(up_Bv!AA27+s_MLF_cereal)),".")</f>
        <v>1.3187534153652907E-11</v>
      </c>
      <c r="CC27" s="40">
        <f t="shared" si="3"/>
        <v>3033167.5</v>
      </c>
      <c r="CD27" s="40">
        <f>IFERROR(s_C*(up_Bv!C27+s_MLF_apple)*s_IFAP_far_adj*s_CF_apple,".")</f>
        <v>758291.875</v>
      </c>
      <c r="CE27" s="40">
        <f>IFERROR(s_C*(up_Bv!D27+s_MLF_asparagus)*s_IFAS_far_adj*s_CF_asparagus,".")</f>
        <v>758291.875</v>
      </c>
      <c r="CF27" s="40">
        <f>IFERROR(s_C*(up_Bv!E27+s_MLF_beet)*s_IFBT_far_adj*s_CF_beet,".")</f>
        <v>758291.875</v>
      </c>
      <c r="CG27" s="40">
        <f>IFERROR(s_C*(up_Bv!F27+s_MLF_berries)*s_IFBR_far_adj*s_CF_berries,".")</f>
        <v>758291.875</v>
      </c>
      <c r="CH27" s="40">
        <f>IFERROR(s_C*(up_Bv!G27+s_MLF_broccoli)*s_IFBR_far_adj*s_CF_broccoli,".")</f>
        <v>758291.875</v>
      </c>
      <c r="CI27" s="40">
        <f>IFERROR(s_C*(up_Bv!H27+s_MLF_cabbage)*s_IFCB_far_adj*s_CF_cabbage,".")</f>
        <v>758291.875</v>
      </c>
      <c r="CJ27" s="40">
        <f>IFERROR(s_C*(up_Bv!I27+s_MLF_carrot)*s_IFCR_far_adj*s_CF_carrot,".")</f>
        <v>758291.875</v>
      </c>
      <c r="CK27" s="40">
        <f>IFERROR(s_C*(up_Bv!J27+s_MLF_citrus)*s_IFCI_far_adj*s_CF_citrus,".")</f>
        <v>758291.875</v>
      </c>
      <c r="CL27" s="40">
        <f>IFERROR(s_C*(up_Bv!K27+s_MLF_corn)*s_IFCO_far_adj*s_CF_corn,".")</f>
        <v>758291.875</v>
      </c>
      <c r="CM27" s="40">
        <f>IFERROR(s_C*(up_Bv!L27+s_MLF_cucumber)*s_IFCU_far_adj*s_CF_cucumber,".")</f>
        <v>758291.875</v>
      </c>
      <c r="CN27" s="40">
        <f>IFERROR(s_C*(up_Bv!M27+s_MLF_lettuce)*s_IFLE_far_adj*s_CF_lettuce,".")</f>
        <v>758291.875</v>
      </c>
      <c r="CO27" s="40">
        <f>IFERROR(s_C*(up_Bv!N27+s_MLF_lima_bean)*s_IFLI_far_adj*s_CF_lima_bean,".")</f>
        <v>758291.875</v>
      </c>
      <c r="CP27" s="40">
        <f>IFERROR(s_C*(up_Bv!O27+s_MLF_okra)*s_IFOK_far_adj*s_CF_okra,".")</f>
        <v>758291.875</v>
      </c>
      <c r="CQ27" s="40">
        <f>IFERROR(s_C*(up_Bv!P27+s_MLF_onion)*s_IFON_far_adj*s_CF_onion,".")</f>
        <v>758291.875</v>
      </c>
      <c r="CR27" s="40">
        <f>IFERROR(s_C*(up_Bv!Q27+s_MLF_peach)*s_IFPC_far_adj*s_CF_peach,".")</f>
        <v>758291.875</v>
      </c>
      <c r="CS27" s="40">
        <f>IFERROR(s_C*(up_Bv!R27+s_MLF_pear)*s_IFPR_far_adj*s_CF_pear,".")</f>
        <v>758291.875</v>
      </c>
      <c r="CT27" s="40">
        <f>IFERROR(s_C*(up_Bv!S27+s_MLF_peas)*s_IFPE_far_adj*s_CF_peas,".")</f>
        <v>758291.875</v>
      </c>
      <c r="CU27" s="40">
        <f>IFERROR(s_C*(up_Bv!T27+s_MLF_peppers)*s_IFPP_far_adj*s_CF_peppers,".")</f>
        <v>758291.875</v>
      </c>
      <c r="CV27" s="40">
        <f>IFERROR(s_C*(up_Bv!U27+s_MLF_potato)*s_IFPT_far_adj*s_CF_potato,".")</f>
        <v>758291.875</v>
      </c>
      <c r="CW27" s="40">
        <f>IFERROR(s_C*(up_Bv!V27+s_MLF_pumpkin)*s_IFPU_far_adj*s_CF_pumpkin,".")</f>
        <v>758291.875</v>
      </c>
      <c r="CX27" s="40">
        <f>IFERROR(s_C*(up_Bv!W27+s_MLF_snap_bean)*s_IFSN_far_adj*s_CF_snap_bean,".")</f>
        <v>758291.875</v>
      </c>
      <c r="CY27" s="40">
        <f>IFERROR(s_C*(up_Bv!X27+s_MLF_strawberry)*s_IFST_far_adj*s_CF_strawberry,".")</f>
        <v>758291.875</v>
      </c>
      <c r="CZ27" s="40">
        <f>IFERROR(s_C*(up_Bv!Y27+s_MLF_tomato)*s_IFTO_far_adj*s_CF_tomato,".")</f>
        <v>758291.875</v>
      </c>
      <c r="DA27" s="40">
        <f>IFERROR(s_C*(up_Bv!Z27+s_MLF_rice)*s_IFRI_far_adj*s_CF_rice,".")</f>
        <v>758291.875</v>
      </c>
      <c r="DB27" s="40">
        <f>IFERROR(s_C*(up_Bv!AA27+s_MLF_cereal)*s_IFCG_far_adj*s_CF_cereal,".")</f>
        <v>758291.875</v>
      </c>
    </row>
    <row r="28" spans="1:106" ht="15" customHeight="1" x14ac:dyDescent="0.25">
      <c r="A28" s="44" t="s">
        <v>38</v>
      </c>
      <c r="B28" s="42" t="s">
        <v>1071</v>
      </c>
      <c r="C28" s="15">
        <f t="shared" si="0"/>
        <v>3.2968835384132272E-12</v>
      </c>
      <c r="D28" s="15">
        <f>IFERROR((up_dir!D28/(up_Bv!C28+s_MLF_apple)),".")</f>
        <v>1.3187534153652907E-11</v>
      </c>
      <c r="E28" s="15">
        <f>IFERROR((up_dir!E28/(up_Bv!D28+s_MLF_asparagus)),".")</f>
        <v>1.3187534153652907E-11</v>
      </c>
      <c r="F28" s="15">
        <f>IFERROR((up_dir!F28/(up_Bv!E28+s_MLF_beet)),".")</f>
        <v>1.3187534153652907E-11</v>
      </c>
      <c r="G28" s="15">
        <f>IFERROR((up_dir!G28/(up_Bv!F28+s_MLF_berries)),".")</f>
        <v>1.3187534153652907E-11</v>
      </c>
      <c r="H28" s="15">
        <f>IFERROR((up_dir!H28/(up_Bv!G28+s_MLF_broccoli)),".")</f>
        <v>1.3187534153652907E-11</v>
      </c>
      <c r="I28" s="15">
        <f>IFERROR((up_dir!I28/(up_Bv!H28+s_MLF_cabbage)),".")</f>
        <v>1.3187534153652907E-11</v>
      </c>
      <c r="J28" s="15">
        <f>IFERROR((up_dir!J28/(up_Bv!I28+s_MLF_carrot)),".")</f>
        <v>1.3187534153652907E-11</v>
      </c>
      <c r="K28" s="15">
        <f>IFERROR((up_dir!K28/(up_Bv!J28+s_MLF_citrus)),".")</f>
        <v>1.3187534153652907E-11</v>
      </c>
      <c r="L28" s="15">
        <f>IFERROR((up_dir!L28/(up_Bv!K28+s_MLF_corn)),".")</f>
        <v>1.3187534153652907E-11</v>
      </c>
      <c r="M28" s="15">
        <f>IFERROR((up_dir!M28/(up_Bv!L28+s_MLF_cucumber)),".")</f>
        <v>1.3187534153652907E-11</v>
      </c>
      <c r="N28" s="15">
        <f>IFERROR((up_dir!N28/(up_Bv!M28+s_MLF_lettuce)),".")</f>
        <v>1.3187534153652907E-11</v>
      </c>
      <c r="O28" s="15">
        <f>IFERROR((up_dir!O28/(up_Bv!N28+s_MLF_lima_bean)),".")</f>
        <v>1.3187534153652907E-11</v>
      </c>
      <c r="P28" s="15">
        <f>IFERROR((up_dir!P28/(up_Bv!O28+s_MLF_okra)),".")</f>
        <v>1.3187534153652907E-11</v>
      </c>
      <c r="Q28" s="15">
        <f>IFERROR((up_dir!Q28/(up_Bv!P28+s_MLF_onion)),".")</f>
        <v>1.3187534153652907E-11</v>
      </c>
      <c r="R28" s="15">
        <f>IFERROR((up_dir!R28/(up_Bv!Q28+s_MLF_peach)),".")</f>
        <v>1.3187534153652907E-11</v>
      </c>
      <c r="S28" s="15">
        <f>IFERROR((up_dir!S28/(up_Bv!R28+s_MLF_pear)),".")</f>
        <v>1.3187534153652907E-11</v>
      </c>
      <c r="T28" s="15">
        <f>IFERROR((up_dir!T28/(up_Bv!S28+s_MLF_peas)),".")</f>
        <v>1.3187534153652907E-11</v>
      </c>
      <c r="U28" s="15">
        <f>IFERROR((up_dir!U28/(up_Bv!T28+s_MLF_peppers)),".")</f>
        <v>1.3187534153652907E-11</v>
      </c>
      <c r="V28" s="15">
        <f>IFERROR((up_dir!V28/(up_Bv!U28+s_MLF_potato)),".")</f>
        <v>1.3187534153652907E-11</v>
      </c>
      <c r="W28" s="15">
        <f>IFERROR((up_dir!W28/(up_Bv!V28+s_MLF_pumpkin)),".")</f>
        <v>1.3187534153652907E-11</v>
      </c>
      <c r="X28" s="15">
        <f>IFERROR((up_dir!X28/(up_Bv!W28+s_MLF_snap_bean)),".")</f>
        <v>1.3187534153652907E-11</v>
      </c>
      <c r="Y28" s="15">
        <f>IFERROR((up_dir!Y28/(up_Bv!X28+s_MLF_strawberry)),".")</f>
        <v>1.3187534153652907E-11</v>
      </c>
      <c r="Z28" s="15">
        <f>IFERROR((up_dir!Z28/(up_Bv!Y28+s_MLF_tomato)),".")</f>
        <v>1.3187534153652907E-11</v>
      </c>
      <c r="AA28" s="15">
        <f>IFERROR((up_dir!AA28/(up_Bv!Z28+s_MLF_rice)),".")</f>
        <v>1.3187534153652907E-11</v>
      </c>
      <c r="AB28" s="15">
        <f>IFERROR((up_dir!AB28/(up_Bv!AA28+s_MLF_cereal)),".")</f>
        <v>1.3187534153652907E-11</v>
      </c>
      <c r="AC28" s="40">
        <f t="shared" si="1"/>
        <v>3033167.5</v>
      </c>
      <c r="AD28" s="40">
        <f>s_C*(up_Bv!C28+s_MLF_apple)*s_IFAP_res_adj*s_CF_apple</f>
        <v>758291.875</v>
      </c>
      <c r="AE28" s="40">
        <f>s_C*(up_Bv!D28+s_MLF_asparagus)*s_IFAS_res_adj*s_CF_asparagus</f>
        <v>758291.875</v>
      </c>
      <c r="AF28" s="40">
        <f>s_C*(up_Bv!E28+s_MLF_beet)*s_IFBT_res_adj*s_CF_beet</f>
        <v>758291.875</v>
      </c>
      <c r="AG28" s="40">
        <f>s_C*(up_Bv!F28+s_MLF_berries)*s_IFBE_res_adj*s_CF_berries</f>
        <v>758291.875</v>
      </c>
      <c r="AH28" s="40">
        <f>s_C*(up_Bv!G28+s_MLF_broccoli)*s_IFBR_res_adj*s_CF_broccoli</f>
        <v>758291.875</v>
      </c>
      <c r="AI28" s="40">
        <f>s_C*(up_Bv!H28+s_MLF_cabbage)*s_IFCB_res_adj*s_CF_cabbage</f>
        <v>758291.875</v>
      </c>
      <c r="AJ28" s="40">
        <f>s_C*(up_Bv!I28+s_MLF_carrot)*s_IFCR_res_adj*s_CF_carrot</f>
        <v>758291.875</v>
      </c>
      <c r="AK28" s="40">
        <f>s_C*(up_Bv!J28+s_MLF_citrus)*s_IFCI_res_adj*s_CF_citrus</f>
        <v>758291.875</v>
      </c>
      <c r="AL28" s="40">
        <f>s_C*(up_Bv!K28+s_MLF_corn)*s_IFCO_res_adj*s_CF_corn</f>
        <v>758291.875</v>
      </c>
      <c r="AM28" s="40">
        <f>s_C*(up_Bv!L28+s_MLF_cucumber)*s_IFCU_res_adj*s_CF_cucumber</f>
        <v>758291.875</v>
      </c>
      <c r="AN28" s="40">
        <f>s_C*(up_Bv!M28+s_MLF_lettuce)*s_IFLE_res_adj*s_CF_lettuce</f>
        <v>758291.875</v>
      </c>
      <c r="AO28" s="40">
        <f>s_C*(up_Bv!N28+s_MLF_lima_bean)*s_IFLI_res_adj*s_CF_lima_bean</f>
        <v>758291.875</v>
      </c>
      <c r="AP28" s="40">
        <f>s_C*(up_Bv!O28+s_MLF_okra)*s_IFOK_res_adj*s_CF_okra</f>
        <v>758291.875</v>
      </c>
      <c r="AQ28" s="40">
        <f>s_C*(up_Bv!P28+s_MLF_onion)*s_IFON_res_adj*s_CF_onion</f>
        <v>758291.875</v>
      </c>
      <c r="AR28" s="40">
        <f>s_C*(up_Bv!Q28+s_MLF_peach)*s_IFPC_res_adj*s_CF_peach</f>
        <v>758291.875</v>
      </c>
      <c r="AS28" s="40">
        <f>s_C*(up_Bv!R28+s_MLF_pear)*s_IFPR_res_adj*s_CF_pear</f>
        <v>758291.875</v>
      </c>
      <c r="AT28" s="40">
        <f>s_C*(up_Bv!S28+s_MLF_peas)*s_IFPE_res_adj*s_CF_peas</f>
        <v>758291.875</v>
      </c>
      <c r="AU28" s="40">
        <f>s_C*(up_Bv!T28+s_MLF_peppers)*s_IFPP_res_adj*s_CF_peppers</f>
        <v>758291.875</v>
      </c>
      <c r="AV28" s="40">
        <f>s_C*(up_Bv!U28+s_MLF_potato)*s_IFPT_res_adj*s_CF_potato</f>
        <v>758291.875</v>
      </c>
      <c r="AW28" s="40">
        <f>s_C*(up_Bv!V28+s_MLF_pumpkin)*s_IFPU_res_adj*s_CF_pumpkin</f>
        <v>758291.875</v>
      </c>
      <c r="AX28" s="40">
        <f>s_C*(up_Bv!W28+s_MLF_snap_bean)*s_IFSN_res_adj*s_CF_snap_bean</f>
        <v>758291.875</v>
      </c>
      <c r="AY28" s="40">
        <f>s_C*(up_Bv!X28+s_MLF_strawberry)*s_IFST_res_adj*s_CF_strawberry</f>
        <v>758291.875</v>
      </c>
      <c r="AZ28" s="40">
        <f>s_C*(up_Bv!Y28+s_MLF_tomato)*s_IFTO_res_adj*s_CF_tomato</f>
        <v>758291.875</v>
      </c>
      <c r="BA28" s="40">
        <f>s_C*(up_Bv!Z28+s_MLF_rice)*s_IFRI_res_adj*s_CF_rice</f>
        <v>758291.875</v>
      </c>
      <c r="BB28" s="40">
        <f>s_C*(up_Bv!AA28+s_MLF_cereal)*s_IFCG_res_adj*s_CF_cereal</f>
        <v>758291.875</v>
      </c>
      <c r="BC28" s="15">
        <f t="shared" si="2"/>
        <v>3.2968835384132272E-12</v>
      </c>
      <c r="BD28" s="15">
        <f>IFERROR((up_dir!AD28/(up_Bv!C28+s_MLF_apple)),".")</f>
        <v>1.3187534153652907E-11</v>
      </c>
      <c r="BE28" s="15">
        <f>IFERROR((up_dir!AE28/(up_Bv!D28+s_MLF_asparagus)),".")</f>
        <v>1.3187534153652907E-11</v>
      </c>
      <c r="BF28" s="15">
        <f>IFERROR((up_dir!AF28/(up_Bv!E28+s_MLF_beet)),".")</f>
        <v>1.3187534153652907E-11</v>
      </c>
      <c r="BG28" s="15">
        <f>IFERROR((up_dir!AG28/(up_Bv!F28+s_MLF_berries)),".")</f>
        <v>1.3187534153652907E-11</v>
      </c>
      <c r="BH28" s="15">
        <f>IFERROR((up_dir!AH28/(up_Bv!G28+s_MLF_broccoli)),".")</f>
        <v>1.3187534153652907E-11</v>
      </c>
      <c r="BI28" s="15">
        <f>IFERROR((up_dir!AI28/(up_Bv!H28+s_MLF_cabbage)),".")</f>
        <v>1.3187534153652907E-11</v>
      </c>
      <c r="BJ28" s="15">
        <f>IFERROR((up_dir!AJ28/(up_Bv!I28+s_MLF_carrot)),".")</f>
        <v>1.3187534153652907E-11</v>
      </c>
      <c r="BK28" s="15">
        <f>IFERROR((up_dir!AK28/(up_Bv!J28+s_MLF_citrus)),".")</f>
        <v>1.3187534153652907E-11</v>
      </c>
      <c r="BL28" s="15">
        <f>IFERROR((up_dir!AL28/(up_Bv!K28+s_MLF_corn)),".")</f>
        <v>1.3187534153652907E-11</v>
      </c>
      <c r="BM28" s="15">
        <f>IFERROR((up_dir!AM28/(up_Bv!L28+s_MLF_cucumber)),".")</f>
        <v>1.3187534153652907E-11</v>
      </c>
      <c r="BN28" s="15">
        <f>IFERROR((up_dir!AN28/(up_Bv!M28+s_MLF_lettuce)),".")</f>
        <v>1.3187534153652907E-11</v>
      </c>
      <c r="BO28" s="15">
        <f>IFERROR((up_dir!AO28/(up_Bv!N28+s_MLF_lima_bean)),".")</f>
        <v>1.3187534153652907E-11</v>
      </c>
      <c r="BP28" s="15">
        <f>IFERROR((up_dir!AP28/(up_Bv!O28+s_MLF_okra)),".")</f>
        <v>1.3187534153652907E-11</v>
      </c>
      <c r="BQ28" s="15">
        <f>IFERROR((up_dir!AQ28/(up_Bv!P28+s_MLF_onion)),".")</f>
        <v>1.3187534153652907E-11</v>
      </c>
      <c r="BR28" s="15">
        <f>IFERROR((up_dir!AR28/(up_Bv!Q28+s_MLF_peach)),".")</f>
        <v>1.3187534153652907E-11</v>
      </c>
      <c r="BS28" s="15">
        <f>IFERROR((up_dir!AS28/(up_Bv!R28+s_MLF_pear)),".")</f>
        <v>1.3187534153652907E-11</v>
      </c>
      <c r="BT28" s="15">
        <f>IFERROR((up_dir!AT28/(up_Bv!S28+s_MLF_peas)),".")</f>
        <v>1.3187534153652907E-11</v>
      </c>
      <c r="BU28" s="15">
        <f>IFERROR((up_dir!AU28/(up_Bv!T28+s_MLF_peppers)),".")</f>
        <v>1.3187534153652907E-11</v>
      </c>
      <c r="BV28" s="15">
        <f>IFERROR((up_dir!AV28/(up_Bv!U28+s_MLF_potato)),".")</f>
        <v>1.3187534153652907E-11</v>
      </c>
      <c r="BW28" s="15">
        <f>IFERROR((up_dir!AW28/(up_Bv!V28+s_MLF_pumpkin)),".")</f>
        <v>1.3187534153652907E-11</v>
      </c>
      <c r="BX28" s="15">
        <f>IFERROR((up_dir!AX28/(up_Bv!W28+s_MLF_snap_bean)),".")</f>
        <v>1.3187534153652907E-11</v>
      </c>
      <c r="BY28" s="15">
        <f>IFERROR((up_dir!AY28/(up_Bv!X28+s_MLF_strawberry)),".")</f>
        <v>1.3187534153652907E-11</v>
      </c>
      <c r="BZ28" s="15">
        <f>IFERROR((up_dir!AZ28/(up_Bv!Y28+s_MLF_tomato)),".")</f>
        <v>1.3187534153652907E-11</v>
      </c>
      <c r="CA28" s="15">
        <f>IFERROR((up_dir!BA28/(up_Bv!Z28+s_MLF_rice)),".")</f>
        <v>1.3187534153652907E-11</v>
      </c>
      <c r="CB28" s="15">
        <f>IFERROR((up_dir!BB28/(up_Bv!AA28+s_MLF_cereal)),".")</f>
        <v>1.3187534153652907E-11</v>
      </c>
      <c r="CC28" s="40">
        <f t="shared" si="3"/>
        <v>3033167.5</v>
      </c>
      <c r="CD28" s="40">
        <f>IFERROR(s_C*(up_Bv!C28+s_MLF_apple)*s_IFAP_far_adj*s_CF_apple,".")</f>
        <v>758291.875</v>
      </c>
      <c r="CE28" s="40">
        <f>IFERROR(s_C*(up_Bv!D28+s_MLF_asparagus)*s_IFAS_far_adj*s_CF_asparagus,".")</f>
        <v>758291.875</v>
      </c>
      <c r="CF28" s="40">
        <f>IFERROR(s_C*(up_Bv!E28+s_MLF_beet)*s_IFBT_far_adj*s_CF_beet,".")</f>
        <v>758291.875</v>
      </c>
      <c r="CG28" s="40">
        <f>IFERROR(s_C*(up_Bv!F28+s_MLF_berries)*s_IFBR_far_adj*s_CF_berries,".")</f>
        <v>758291.875</v>
      </c>
      <c r="CH28" s="40">
        <f>IFERROR(s_C*(up_Bv!G28+s_MLF_broccoli)*s_IFBR_far_adj*s_CF_broccoli,".")</f>
        <v>758291.875</v>
      </c>
      <c r="CI28" s="40">
        <f>IFERROR(s_C*(up_Bv!H28+s_MLF_cabbage)*s_IFCB_far_adj*s_CF_cabbage,".")</f>
        <v>758291.875</v>
      </c>
      <c r="CJ28" s="40">
        <f>IFERROR(s_C*(up_Bv!I28+s_MLF_carrot)*s_IFCR_far_adj*s_CF_carrot,".")</f>
        <v>758291.875</v>
      </c>
      <c r="CK28" s="40">
        <f>IFERROR(s_C*(up_Bv!J28+s_MLF_citrus)*s_IFCI_far_adj*s_CF_citrus,".")</f>
        <v>758291.875</v>
      </c>
      <c r="CL28" s="40">
        <f>IFERROR(s_C*(up_Bv!K28+s_MLF_corn)*s_IFCO_far_adj*s_CF_corn,".")</f>
        <v>758291.875</v>
      </c>
      <c r="CM28" s="40">
        <f>IFERROR(s_C*(up_Bv!L28+s_MLF_cucumber)*s_IFCU_far_adj*s_CF_cucumber,".")</f>
        <v>758291.875</v>
      </c>
      <c r="CN28" s="40">
        <f>IFERROR(s_C*(up_Bv!M28+s_MLF_lettuce)*s_IFLE_far_adj*s_CF_lettuce,".")</f>
        <v>758291.875</v>
      </c>
      <c r="CO28" s="40">
        <f>IFERROR(s_C*(up_Bv!N28+s_MLF_lima_bean)*s_IFLI_far_adj*s_CF_lima_bean,".")</f>
        <v>758291.875</v>
      </c>
      <c r="CP28" s="40">
        <f>IFERROR(s_C*(up_Bv!O28+s_MLF_okra)*s_IFOK_far_adj*s_CF_okra,".")</f>
        <v>758291.875</v>
      </c>
      <c r="CQ28" s="40">
        <f>IFERROR(s_C*(up_Bv!P28+s_MLF_onion)*s_IFON_far_adj*s_CF_onion,".")</f>
        <v>758291.875</v>
      </c>
      <c r="CR28" s="40">
        <f>IFERROR(s_C*(up_Bv!Q28+s_MLF_peach)*s_IFPC_far_adj*s_CF_peach,".")</f>
        <v>758291.875</v>
      </c>
      <c r="CS28" s="40">
        <f>IFERROR(s_C*(up_Bv!R28+s_MLF_pear)*s_IFPR_far_adj*s_CF_pear,".")</f>
        <v>758291.875</v>
      </c>
      <c r="CT28" s="40">
        <f>IFERROR(s_C*(up_Bv!S28+s_MLF_peas)*s_IFPE_far_adj*s_CF_peas,".")</f>
        <v>758291.875</v>
      </c>
      <c r="CU28" s="40">
        <f>IFERROR(s_C*(up_Bv!T28+s_MLF_peppers)*s_IFPP_far_adj*s_CF_peppers,".")</f>
        <v>758291.875</v>
      </c>
      <c r="CV28" s="40">
        <f>IFERROR(s_C*(up_Bv!U28+s_MLF_potato)*s_IFPT_far_adj*s_CF_potato,".")</f>
        <v>758291.875</v>
      </c>
      <c r="CW28" s="40">
        <f>IFERROR(s_C*(up_Bv!V28+s_MLF_pumpkin)*s_IFPU_far_adj*s_CF_pumpkin,".")</f>
        <v>758291.875</v>
      </c>
      <c r="CX28" s="40">
        <f>IFERROR(s_C*(up_Bv!W28+s_MLF_snap_bean)*s_IFSN_far_adj*s_CF_snap_bean,".")</f>
        <v>758291.875</v>
      </c>
      <c r="CY28" s="40">
        <f>IFERROR(s_C*(up_Bv!X28+s_MLF_strawberry)*s_IFST_far_adj*s_CF_strawberry,".")</f>
        <v>758291.875</v>
      </c>
      <c r="CZ28" s="40">
        <f>IFERROR(s_C*(up_Bv!Y28+s_MLF_tomato)*s_IFTO_far_adj*s_CF_tomato,".")</f>
        <v>758291.875</v>
      </c>
      <c r="DA28" s="40">
        <f>IFERROR(s_C*(up_Bv!Z28+s_MLF_rice)*s_IFRI_far_adj*s_CF_rice,".")</f>
        <v>758291.875</v>
      </c>
      <c r="DB28" s="40">
        <f>IFERROR(s_C*(up_Bv!AA28+s_MLF_cereal)*s_IFCG_far_adj*s_CF_cereal,".")</f>
        <v>758291.875</v>
      </c>
    </row>
    <row r="29" spans="1:106" ht="15" customHeight="1" x14ac:dyDescent="0.25">
      <c r="A29" s="44" t="s">
        <v>39</v>
      </c>
      <c r="B29" s="42" t="s">
        <v>1071</v>
      </c>
      <c r="C29" s="15">
        <f t="shared" si="0"/>
        <v>3.2968835384132272E-12</v>
      </c>
      <c r="D29" s="15">
        <f>IFERROR((up_dir!D29/(up_Bv!C29+s_MLF_apple)),".")</f>
        <v>1.3187534153652907E-11</v>
      </c>
      <c r="E29" s="15">
        <f>IFERROR((up_dir!E29/(up_Bv!D29+s_MLF_asparagus)),".")</f>
        <v>1.3187534153652907E-11</v>
      </c>
      <c r="F29" s="15">
        <f>IFERROR((up_dir!F29/(up_Bv!E29+s_MLF_beet)),".")</f>
        <v>1.3187534153652907E-11</v>
      </c>
      <c r="G29" s="15">
        <f>IFERROR((up_dir!G29/(up_Bv!F29+s_MLF_berries)),".")</f>
        <v>1.3187534153652907E-11</v>
      </c>
      <c r="H29" s="15">
        <f>IFERROR((up_dir!H29/(up_Bv!G29+s_MLF_broccoli)),".")</f>
        <v>1.3187534153652907E-11</v>
      </c>
      <c r="I29" s="15">
        <f>IFERROR((up_dir!I29/(up_Bv!H29+s_MLF_cabbage)),".")</f>
        <v>1.3187534153652907E-11</v>
      </c>
      <c r="J29" s="15">
        <f>IFERROR((up_dir!J29/(up_Bv!I29+s_MLF_carrot)),".")</f>
        <v>1.3187534153652907E-11</v>
      </c>
      <c r="K29" s="15">
        <f>IFERROR((up_dir!K29/(up_Bv!J29+s_MLF_citrus)),".")</f>
        <v>1.3187534153652907E-11</v>
      </c>
      <c r="L29" s="15">
        <f>IFERROR((up_dir!L29/(up_Bv!K29+s_MLF_corn)),".")</f>
        <v>1.3187534153652907E-11</v>
      </c>
      <c r="M29" s="15">
        <f>IFERROR((up_dir!M29/(up_Bv!L29+s_MLF_cucumber)),".")</f>
        <v>1.3187534153652907E-11</v>
      </c>
      <c r="N29" s="15">
        <f>IFERROR((up_dir!N29/(up_Bv!M29+s_MLF_lettuce)),".")</f>
        <v>1.3187534153652907E-11</v>
      </c>
      <c r="O29" s="15">
        <f>IFERROR((up_dir!O29/(up_Bv!N29+s_MLF_lima_bean)),".")</f>
        <v>1.3187534153652907E-11</v>
      </c>
      <c r="P29" s="15">
        <f>IFERROR((up_dir!P29/(up_Bv!O29+s_MLF_okra)),".")</f>
        <v>1.3187534153652907E-11</v>
      </c>
      <c r="Q29" s="15">
        <f>IFERROR((up_dir!Q29/(up_Bv!P29+s_MLF_onion)),".")</f>
        <v>1.3187534153652907E-11</v>
      </c>
      <c r="R29" s="15">
        <f>IFERROR((up_dir!R29/(up_Bv!Q29+s_MLF_peach)),".")</f>
        <v>1.3187534153652907E-11</v>
      </c>
      <c r="S29" s="15">
        <f>IFERROR((up_dir!S29/(up_Bv!R29+s_MLF_pear)),".")</f>
        <v>1.3187534153652907E-11</v>
      </c>
      <c r="T29" s="15">
        <f>IFERROR((up_dir!T29/(up_Bv!S29+s_MLF_peas)),".")</f>
        <v>1.3187534153652907E-11</v>
      </c>
      <c r="U29" s="15">
        <f>IFERROR((up_dir!U29/(up_Bv!T29+s_MLF_peppers)),".")</f>
        <v>1.3187534153652907E-11</v>
      </c>
      <c r="V29" s="15">
        <f>IFERROR((up_dir!V29/(up_Bv!U29+s_MLF_potato)),".")</f>
        <v>1.3187534153652907E-11</v>
      </c>
      <c r="W29" s="15">
        <f>IFERROR((up_dir!W29/(up_Bv!V29+s_MLF_pumpkin)),".")</f>
        <v>1.3187534153652907E-11</v>
      </c>
      <c r="X29" s="15">
        <f>IFERROR((up_dir!X29/(up_Bv!W29+s_MLF_snap_bean)),".")</f>
        <v>1.3187534153652907E-11</v>
      </c>
      <c r="Y29" s="15">
        <f>IFERROR((up_dir!Y29/(up_Bv!X29+s_MLF_strawberry)),".")</f>
        <v>1.3187534153652907E-11</v>
      </c>
      <c r="Z29" s="15">
        <f>IFERROR((up_dir!Z29/(up_Bv!Y29+s_MLF_tomato)),".")</f>
        <v>1.3187534153652907E-11</v>
      </c>
      <c r="AA29" s="15">
        <f>IFERROR((up_dir!AA29/(up_Bv!Z29+s_MLF_rice)),".")</f>
        <v>1.3187534153652907E-11</v>
      </c>
      <c r="AB29" s="15">
        <f>IFERROR((up_dir!AB29/(up_Bv!AA29+s_MLF_cereal)),".")</f>
        <v>1.3187534153652907E-11</v>
      </c>
      <c r="AC29" s="40">
        <f t="shared" si="1"/>
        <v>3033167.5</v>
      </c>
      <c r="AD29" s="40">
        <f>s_C*(up_Bv!C29+s_MLF_apple)*s_IFAP_res_adj*s_CF_apple</f>
        <v>758291.875</v>
      </c>
      <c r="AE29" s="40">
        <f>s_C*(up_Bv!D29+s_MLF_asparagus)*s_IFAS_res_adj*s_CF_asparagus</f>
        <v>758291.875</v>
      </c>
      <c r="AF29" s="40">
        <f>s_C*(up_Bv!E29+s_MLF_beet)*s_IFBT_res_adj*s_CF_beet</f>
        <v>758291.875</v>
      </c>
      <c r="AG29" s="40">
        <f>s_C*(up_Bv!F29+s_MLF_berries)*s_IFBE_res_adj*s_CF_berries</f>
        <v>758291.875</v>
      </c>
      <c r="AH29" s="40">
        <f>s_C*(up_Bv!G29+s_MLF_broccoli)*s_IFBR_res_adj*s_CF_broccoli</f>
        <v>758291.875</v>
      </c>
      <c r="AI29" s="40">
        <f>s_C*(up_Bv!H29+s_MLF_cabbage)*s_IFCB_res_adj*s_CF_cabbage</f>
        <v>758291.875</v>
      </c>
      <c r="AJ29" s="40">
        <f>s_C*(up_Bv!I29+s_MLF_carrot)*s_IFCR_res_adj*s_CF_carrot</f>
        <v>758291.875</v>
      </c>
      <c r="AK29" s="40">
        <f>s_C*(up_Bv!J29+s_MLF_citrus)*s_IFCI_res_adj*s_CF_citrus</f>
        <v>758291.875</v>
      </c>
      <c r="AL29" s="40">
        <f>s_C*(up_Bv!K29+s_MLF_corn)*s_IFCO_res_adj*s_CF_corn</f>
        <v>758291.875</v>
      </c>
      <c r="AM29" s="40">
        <f>s_C*(up_Bv!L29+s_MLF_cucumber)*s_IFCU_res_adj*s_CF_cucumber</f>
        <v>758291.875</v>
      </c>
      <c r="AN29" s="40">
        <f>s_C*(up_Bv!M29+s_MLF_lettuce)*s_IFLE_res_adj*s_CF_lettuce</f>
        <v>758291.875</v>
      </c>
      <c r="AO29" s="40">
        <f>s_C*(up_Bv!N29+s_MLF_lima_bean)*s_IFLI_res_adj*s_CF_lima_bean</f>
        <v>758291.875</v>
      </c>
      <c r="AP29" s="40">
        <f>s_C*(up_Bv!O29+s_MLF_okra)*s_IFOK_res_adj*s_CF_okra</f>
        <v>758291.875</v>
      </c>
      <c r="AQ29" s="40">
        <f>s_C*(up_Bv!P29+s_MLF_onion)*s_IFON_res_adj*s_CF_onion</f>
        <v>758291.875</v>
      </c>
      <c r="AR29" s="40">
        <f>s_C*(up_Bv!Q29+s_MLF_peach)*s_IFPC_res_adj*s_CF_peach</f>
        <v>758291.875</v>
      </c>
      <c r="AS29" s="40">
        <f>s_C*(up_Bv!R29+s_MLF_pear)*s_IFPR_res_adj*s_CF_pear</f>
        <v>758291.875</v>
      </c>
      <c r="AT29" s="40">
        <f>s_C*(up_Bv!S29+s_MLF_peas)*s_IFPE_res_adj*s_CF_peas</f>
        <v>758291.875</v>
      </c>
      <c r="AU29" s="40">
        <f>s_C*(up_Bv!T29+s_MLF_peppers)*s_IFPP_res_adj*s_CF_peppers</f>
        <v>758291.875</v>
      </c>
      <c r="AV29" s="40">
        <f>s_C*(up_Bv!U29+s_MLF_potato)*s_IFPT_res_adj*s_CF_potato</f>
        <v>758291.875</v>
      </c>
      <c r="AW29" s="40">
        <f>s_C*(up_Bv!V29+s_MLF_pumpkin)*s_IFPU_res_adj*s_CF_pumpkin</f>
        <v>758291.875</v>
      </c>
      <c r="AX29" s="40">
        <f>s_C*(up_Bv!W29+s_MLF_snap_bean)*s_IFSN_res_adj*s_CF_snap_bean</f>
        <v>758291.875</v>
      </c>
      <c r="AY29" s="40">
        <f>s_C*(up_Bv!X29+s_MLF_strawberry)*s_IFST_res_adj*s_CF_strawberry</f>
        <v>758291.875</v>
      </c>
      <c r="AZ29" s="40">
        <f>s_C*(up_Bv!Y29+s_MLF_tomato)*s_IFTO_res_adj*s_CF_tomato</f>
        <v>758291.875</v>
      </c>
      <c r="BA29" s="40">
        <f>s_C*(up_Bv!Z29+s_MLF_rice)*s_IFRI_res_adj*s_CF_rice</f>
        <v>758291.875</v>
      </c>
      <c r="BB29" s="40">
        <f>s_C*(up_Bv!AA29+s_MLF_cereal)*s_IFCG_res_adj*s_CF_cereal</f>
        <v>758291.875</v>
      </c>
      <c r="BC29" s="15">
        <f t="shared" si="2"/>
        <v>3.2968835384132272E-12</v>
      </c>
      <c r="BD29" s="15">
        <f>IFERROR((up_dir!AD29/(up_Bv!C29+s_MLF_apple)),".")</f>
        <v>1.3187534153652907E-11</v>
      </c>
      <c r="BE29" s="15">
        <f>IFERROR((up_dir!AE29/(up_Bv!D29+s_MLF_asparagus)),".")</f>
        <v>1.3187534153652907E-11</v>
      </c>
      <c r="BF29" s="15">
        <f>IFERROR((up_dir!AF29/(up_Bv!E29+s_MLF_beet)),".")</f>
        <v>1.3187534153652907E-11</v>
      </c>
      <c r="BG29" s="15">
        <f>IFERROR((up_dir!AG29/(up_Bv!F29+s_MLF_berries)),".")</f>
        <v>1.3187534153652907E-11</v>
      </c>
      <c r="BH29" s="15">
        <f>IFERROR((up_dir!AH29/(up_Bv!G29+s_MLF_broccoli)),".")</f>
        <v>1.3187534153652907E-11</v>
      </c>
      <c r="BI29" s="15">
        <f>IFERROR((up_dir!AI29/(up_Bv!H29+s_MLF_cabbage)),".")</f>
        <v>1.3187534153652907E-11</v>
      </c>
      <c r="BJ29" s="15">
        <f>IFERROR((up_dir!AJ29/(up_Bv!I29+s_MLF_carrot)),".")</f>
        <v>1.3187534153652907E-11</v>
      </c>
      <c r="BK29" s="15">
        <f>IFERROR((up_dir!AK29/(up_Bv!J29+s_MLF_citrus)),".")</f>
        <v>1.3187534153652907E-11</v>
      </c>
      <c r="BL29" s="15">
        <f>IFERROR((up_dir!AL29/(up_Bv!K29+s_MLF_corn)),".")</f>
        <v>1.3187534153652907E-11</v>
      </c>
      <c r="BM29" s="15">
        <f>IFERROR((up_dir!AM29/(up_Bv!L29+s_MLF_cucumber)),".")</f>
        <v>1.3187534153652907E-11</v>
      </c>
      <c r="BN29" s="15">
        <f>IFERROR((up_dir!AN29/(up_Bv!M29+s_MLF_lettuce)),".")</f>
        <v>1.3187534153652907E-11</v>
      </c>
      <c r="BO29" s="15">
        <f>IFERROR((up_dir!AO29/(up_Bv!N29+s_MLF_lima_bean)),".")</f>
        <v>1.3187534153652907E-11</v>
      </c>
      <c r="BP29" s="15">
        <f>IFERROR((up_dir!AP29/(up_Bv!O29+s_MLF_okra)),".")</f>
        <v>1.3187534153652907E-11</v>
      </c>
      <c r="BQ29" s="15">
        <f>IFERROR((up_dir!AQ29/(up_Bv!P29+s_MLF_onion)),".")</f>
        <v>1.3187534153652907E-11</v>
      </c>
      <c r="BR29" s="15">
        <f>IFERROR((up_dir!AR29/(up_Bv!Q29+s_MLF_peach)),".")</f>
        <v>1.3187534153652907E-11</v>
      </c>
      <c r="BS29" s="15">
        <f>IFERROR((up_dir!AS29/(up_Bv!R29+s_MLF_pear)),".")</f>
        <v>1.3187534153652907E-11</v>
      </c>
      <c r="BT29" s="15">
        <f>IFERROR((up_dir!AT29/(up_Bv!S29+s_MLF_peas)),".")</f>
        <v>1.3187534153652907E-11</v>
      </c>
      <c r="BU29" s="15">
        <f>IFERROR((up_dir!AU29/(up_Bv!T29+s_MLF_peppers)),".")</f>
        <v>1.3187534153652907E-11</v>
      </c>
      <c r="BV29" s="15">
        <f>IFERROR((up_dir!AV29/(up_Bv!U29+s_MLF_potato)),".")</f>
        <v>1.3187534153652907E-11</v>
      </c>
      <c r="BW29" s="15">
        <f>IFERROR((up_dir!AW29/(up_Bv!V29+s_MLF_pumpkin)),".")</f>
        <v>1.3187534153652907E-11</v>
      </c>
      <c r="BX29" s="15">
        <f>IFERROR((up_dir!AX29/(up_Bv!W29+s_MLF_snap_bean)),".")</f>
        <v>1.3187534153652907E-11</v>
      </c>
      <c r="BY29" s="15">
        <f>IFERROR((up_dir!AY29/(up_Bv!X29+s_MLF_strawberry)),".")</f>
        <v>1.3187534153652907E-11</v>
      </c>
      <c r="BZ29" s="15">
        <f>IFERROR((up_dir!AZ29/(up_Bv!Y29+s_MLF_tomato)),".")</f>
        <v>1.3187534153652907E-11</v>
      </c>
      <c r="CA29" s="15">
        <f>IFERROR((up_dir!BA29/(up_Bv!Z29+s_MLF_rice)),".")</f>
        <v>1.3187534153652907E-11</v>
      </c>
      <c r="CB29" s="15">
        <f>IFERROR((up_dir!BB29/(up_Bv!AA29+s_MLF_cereal)),".")</f>
        <v>1.3187534153652907E-11</v>
      </c>
      <c r="CC29" s="40">
        <f t="shared" si="3"/>
        <v>3033167.5</v>
      </c>
      <c r="CD29" s="40">
        <f>IFERROR(s_C*(up_Bv!C29+s_MLF_apple)*s_IFAP_far_adj*s_CF_apple,".")</f>
        <v>758291.875</v>
      </c>
      <c r="CE29" s="40">
        <f>IFERROR(s_C*(up_Bv!D29+s_MLF_asparagus)*s_IFAS_far_adj*s_CF_asparagus,".")</f>
        <v>758291.875</v>
      </c>
      <c r="CF29" s="40">
        <f>IFERROR(s_C*(up_Bv!E29+s_MLF_beet)*s_IFBT_far_adj*s_CF_beet,".")</f>
        <v>758291.875</v>
      </c>
      <c r="CG29" s="40">
        <f>IFERROR(s_C*(up_Bv!F29+s_MLF_berries)*s_IFBR_far_adj*s_CF_berries,".")</f>
        <v>758291.875</v>
      </c>
      <c r="CH29" s="40">
        <f>IFERROR(s_C*(up_Bv!G29+s_MLF_broccoli)*s_IFBR_far_adj*s_CF_broccoli,".")</f>
        <v>758291.875</v>
      </c>
      <c r="CI29" s="40">
        <f>IFERROR(s_C*(up_Bv!H29+s_MLF_cabbage)*s_IFCB_far_adj*s_CF_cabbage,".")</f>
        <v>758291.875</v>
      </c>
      <c r="CJ29" s="40">
        <f>IFERROR(s_C*(up_Bv!I29+s_MLF_carrot)*s_IFCR_far_adj*s_CF_carrot,".")</f>
        <v>758291.875</v>
      </c>
      <c r="CK29" s="40">
        <f>IFERROR(s_C*(up_Bv!J29+s_MLF_citrus)*s_IFCI_far_adj*s_CF_citrus,".")</f>
        <v>758291.875</v>
      </c>
      <c r="CL29" s="40">
        <f>IFERROR(s_C*(up_Bv!K29+s_MLF_corn)*s_IFCO_far_adj*s_CF_corn,".")</f>
        <v>758291.875</v>
      </c>
      <c r="CM29" s="40">
        <f>IFERROR(s_C*(up_Bv!L29+s_MLF_cucumber)*s_IFCU_far_adj*s_CF_cucumber,".")</f>
        <v>758291.875</v>
      </c>
      <c r="CN29" s="40">
        <f>IFERROR(s_C*(up_Bv!M29+s_MLF_lettuce)*s_IFLE_far_adj*s_CF_lettuce,".")</f>
        <v>758291.875</v>
      </c>
      <c r="CO29" s="40">
        <f>IFERROR(s_C*(up_Bv!N29+s_MLF_lima_bean)*s_IFLI_far_adj*s_CF_lima_bean,".")</f>
        <v>758291.875</v>
      </c>
      <c r="CP29" s="40">
        <f>IFERROR(s_C*(up_Bv!O29+s_MLF_okra)*s_IFOK_far_adj*s_CF_okra,".")</f>
        <v>758291.875</v>
      </c>
      <c r="CQ29" s="40">
        <f>IFERROR(s_C*(up_Bv!P29+s_MLF_onion)*s_IFON_far_adj*s_CF_onion,".")</f>
        <v>758291.875</v>
      </c>
      <c r="CR29" s="40">
        <f>IFERROR(s_C*(up_Bv!Q29+s_MLF_peach)*s_IFPC_far_adj*s_CF_peach,".")</f>
        <v>758291.875</v>
      </c>
      <c r="CS29" s="40">
        <f>IFERROR(s_C*(up_Bv!R29+s_MLF_pear)*s_IFPR_far_adj*s_CF_pear,".")</f>
        <v>758291.875</v>
      </c>
      <c r="CT29" s="40">
        <f>IFERROR(s_C*(up_Bv!S29+s_MLF_peas)*s_IFPE_far_adj*s_CF_peas,".")</f>
        <v>758291.875</v>
      </c>
      <c r="CU29" s="40">
        <f>IFERROR(s_C*(up_Bv!T29+s_MLF_peppers)*s_IFPP_far_adj*s_CF_peppers,".")</f>
        <v>758291.875</v>
      </c>
      <c r="CV29" s="40">
        <f>IFERROR(s_C*(up_Bv!U29+s_MLF_potato)*s_IFPT_far_adj*s_CF_potato,".")</f>
        <v>758291.875</v>
      </c>
      <c r="CW29" s="40">
        <f>IFERROR(s_C*(up_Bv!V29+s_MLF_pumpkin)*s_IFPU_far_adj*s_CF_pumpkin,".")</f>
        <v>758291.875</v>
      </c>
      <c r="CX29" s="40">
        <f>IFERROR(s_C*(up_Bv!W29+s_MLF_snap_bean)*s_IFSN_far_adj*s_CF_snap_bean,".")</f>
        <v>758291.875</v>
      </c>
      <c r="CY29" s="40">
        <f>IFERROR(s_C*(up_Bv!X29+s_MLF_strawberry)*s_IFST_far_adj*s_CF_strawberry,".")</f>
        <v>758291.875</v>
      </c>
      <c r="CZ29" s="40">
        <f>IFERROR(s_C*(up_Bv!Y29+s_MLF_tomato)*s_IFTO_far_adj*s_CF_tomato,".")</f>
        <v>758291.875</v>
      </c>
      <c r="DA29" s="40">
        <f>IFERROR(s_C*(up_Bv!Z29+s_MLF_rice)*s_IFRI_far_adj*s_CF_rice,".")</f>
        <v>758291.875</v>
      </c>
      <c r="DB29" s="40">
        <f>IFERROR(s_C*(up_Bv!AA29+s_MLF_cereal)*s_IFCG_far_adj*s_CF_cereal,".")</f>
        <v>758291.875</v>
      </c>
    </row>
    <row r="30" spans="1:106" ht="15" customHeight="1" x14ac:dyDescent="0.25">
      <c r="A30" s="44" t="s">
        <v>40</v>
      </c>
      <c r="B30" s="42" t="s">
        <v>1071</v>
      </c>
      <c r="C30" s="15">
        <f t="shared" si="0"/>
        <v>3.2968835384132272E-12</v>
      </c>
      <c r="D30" s="15">
        <f>IFERROR((up_dir!D30/(up_Bv!C30+s_MLF_apple)),".")</f>
        <v>1.3187534153652907E-11</v>
      </c>
      <c r="E30" s="15">
        <f>IFERROR((up_dir!E30/(up_Bv!D30+s_MLF_asparagus)),".")</f>
        <v>1.3187534153652907E-11</v>
      </c>
      <c r="F30" s="15">
        <f>IFERROR((up_dir!F30/(up_Bv!E30+s_MLF_beet)),".")</f>
        <v>1.3187534153652907E-11</v>
      </c>
      <c r="G30" s="15">
        <f>IFERROR((up_dir!G30/(up_Bv!F30+s_MLF_berries)),".")</f>
        <v>1.3187534153652907E-11</v>
      </c>
      <c r="H30" s="15">
        <f>IFERROR((up_dir!H30/(up_Bv!G30+s_MLF_broccoli)),".")</f>
        <v>1.3187534153652907E-11</v>
      </c>
      <c r="I30" s="15">
        <f>IFERROR((up_dir!I30/(up_Bv!H30+s_MLF_cabbage)),".")</f>
        <v>1.3187534153652907E-11</v>
      </c>
      <c r="J30" s="15">
        <f>IFERROR((up_dir!J30/(up_Bv!I30+s_MLF_carrot)),".")</f>
        <v>1.3187534153652907E-11</v>
      </c>
      <c r="K30" s="15">
        <f>IFERROR((up_dir!K30/(up_Bv!J30+s_MLF_citrus)),".")</f>
        <v>1.3187534153652907E-11</v>
      </c>
      <c r="L30" s="15">
        <f>IFERROR((up_dir!L30/(up_Bv!K30+s_MLF_corn)),".")</f>
        <v>1.3187534153652907E-11</v>
      </c>
      <c r="M30" s="15">
        <f>IFERROR((up_dir!M30/(up_Bv!L30+s_MLF_cucumber)),".")</f>
        <v>1.3187534153652907E-11</v>
      </c>
      <c r="N30" s="15">
        <f>IFERROR((up_dir!N30/(up_Bv!M30+s_MLF_lettuce)),".")</f>
        <v>1.3187534153652907E-11</v>
      </c>
      <c r="O30" s="15">
        <f>IFERROR((up_dir!O30/(up_Bv!N30+s_MLF_lima_bean)),".")</f>
        <v>1.3187534153652907E-11</v>
      </c>
      <c r="P30" s="15">
        <f>IFERROR((up_dir!P30/(up_Bv!O30+s_MLF_okra)),".")</f>
        <v>1.3187534153652907E-11</v>
      </c>
      <c r="Q30" s="15">
        <f>IFERROR((up_dir!Q30/(up_Bv!P30+s_MLF_onion)),".")</f>
        <v>1.3187534153652907E-11</v>
      </c>
      <c r="R30" s="15">
        <f>IFERROR((up_dir!R30/(up_Bv!Q30+s_MLF_peach)),".")</f>
        <v>1.3187534153652907E-11</v>
      </c>
      <c r="S30" s="15">
        <f>IFERROR((up_dir!S30/(up_Bv!R30+s_MLF_pear)),".")</f>
        <v>1.3187534153652907E-11</v>
      </c>
      <c r="T30" s="15">
        <f>IFERROR((up_dir!T30/(up_Bv!S30+s_MLF_peas)),".")</f>
        <v>1.3187534153652907E-11</v>
      </c>
      <c r="U30" s="15">
        <f>IFERROR((up_dir!U30/(up_Bv!T30+s_MLF_peppers)),".")</f>
        <v>1.3187534153652907E-11</v>
      </c>
      <c r="V30" s="15">
        <f>IFERROR((up_dir!V30/(up_Bv!U30+s_MLF_potato)),".")</f>
        <v>1.3187534153652907E-11</v>
      </c>
      <c r="W30" s="15">
        <f>IFERROR((up_dir!W30/(up_Bv!V30+s_MLF_pumpkin)),".")</f>
        <v>1.3187534153652907E-11</v>
      </c>
      <c r="X30" s="15">
        <f>IFERROR((up_dir!X30/(up_Bv!W30+s_MLF_snap_bean)),".")</f>
        <v>1.3187534153652907E-11</v>
      </c>
      <c r="Y30" s="15">
        <f>IFERROR((up_dir!Y30/(up_Bv!X30+s_MLF_strawberry)),".")</f>
        <v>1.3187534153652907E-11</v>
      </c>
      <c r="Z30" s="15">
        <f>IFERROR((up_dir!Z30/(up_Bv!Y30+s_MLF_tomato)),".")</f>
        <v>1.3187534153652907E-11</v>
      </c>
      <c r="AA30" s="15">
        <f>IFERROR((up_dir!AA30/(up_Bv!Z30+s_MLF_rice)),".")</f>
        <v>1.3187534153652907E-11</v>
      </c>
      <c r="AB30" s="15">
        <f>IFERROR((up_dir!AB30/(up_Bv!AA30+s_MLF_cereal)),".")</f>
        <v>1.3187534153652907E-11</v>
      </c>
      <c r="AC30" s="40">
        <f t="shared" si="1"/>
        <v>3033167.5</v>
      </c>
      <c r="AD30" s="40">
        <f>s_C*(up_Bv!C30+s_MLF_apple)*s_IFAP_res_adj*s_CF_apple</f>
        <v>758291.875</v>
      </c>
      <c r="AE30" s="40">
        <f>s_C*(up_Bv!D30+s_MLF_asparagus)*s_IFAS_res_adj*s_CF_asparagus</f>
        <v>758291.875</v>
      </c>
      <c r="AF30" s="40">
        <f>s_C*(up_Bv!E30+s_MLF_beet)*s_IFBT_res_adj*s_CF_beet</f>
        <v>758291.875</v>
      </c>
      <c r="AG30" s="40">
        <f>s_C*(up_Bv!F30+s_MLF_berries)*s_IFBE_res_adj*s_CF_berries</f>
        <v>758291.875</v>
      </c>
      <c r="AH30" s="40">
        <f>s_C*(up_Bv!G30+s_MLF_broccoli)*s_IFBR_res_adj*s_CF_broccoli</f>
        <v>758291.875</v>
      </c>
      <c r="AI30" s="40">
        <f>s_C*(up_Bv!H30+s_MLF_cabbage)*s_IFCB_res_adj*s_CF_cabbage</f>
        <v>758291.875</v>
      </c>
      <c r="AJ30" s="40">
        <f>s_C*(up_Bv!I30+s_MLF_carrot)*s_IFCR_res_adj*s_CF_carrot</f>
        <v>758291.875</v>
      </c>
      <c r="AK30" s="40">
        <f>s_C*(up_Bv!J30+s_MLF_citrus)*s_IFCI_res_adj*s_CF_citrus</f>
        <v>758291.875</v>
      </c>
      <c r="AL30" s="40">
        <f>s_C*(up_Bv!K30+s_MLF_corn)*s_IFCO_res_adj*s_CF_corn</f>
        <v>758291.875</v>
      </c>
      <c r="AM30" s="40">
        <f>s_C*(up_Bv!L30+s_MLF_cucumber)*s_IFCU_res_adj*s_CF_cucumber</f>
        <v>758291.875</v>
      </c>
      <c r="AN30" s="40">
        <f>s_C*(up_Bv!M30+s_MLF_lettuce)*s_IFLE_res_adj*s_CF_lettuce</f>
        <v>758291.875</v>
      </c>
      <c r="AO30" s="40">
        <f>s_C*(up_Bv!N30+s_MLF_lima_bean)*s_IFLI_res_adj*s_CF_lima_bean</f>
        <v>758291.875</v>
      </c>
      <c r="AP30" s="40">
        <f>s_C*(up_Bv!O30+s_MLF_okra)*s_IFOK_res_adj*s_CF_okra</f>
        <v>758291.875</v>
      </c>
      <c r="AQ30" s="40">
        <f>s_C*(up_Bv!P30+s_MLF_onion)*s_IFON_res_adj*s_CF_onion</f>
        <v>758291.875</v>
      </c>
      <c r="AR30" s="40">
        <f>s_C*(up_Bv!Q30+s_MLF_peach)*s_IFPC_res_adj*s_CF_peach</f>
        <v>758291.875</v>
      </c>
      <c r="AS30" s="40">
        <f>s_C*(up_Bv!R30+s_MLF_pear)*s_IFPR_res_adj*s_CF_pear</f>
        <v>758291.875</v>
      </c>
      <c r="AT30" s="40">
        <f>s_C*(up_Bv!S30+s_MLF_peas)*s_IFPE_res_adj*s_CF_peas</f>
        <v>758291.875</v>
      </c>
      <c r="AU30" s="40">
        <f>s_C*(up_Bv!T30+s_MLF_peppers)*s_IFPP_res_adj*s_CF_peppers</f>
        <v>758291.875</v>
      </c>
      <c r="AV30" s="40">
        <f>s_C*(up_Bv!U30+s_MLF_potato)*s_IFPT_res_adj*s_CF_potato</f>
        <v>758291.875</v>
      </c>
      <c r="AW30" s="40">
        <f>s_C*(up_Bv!V30+s_MLF_pumpkin)*s_IFPU_res_adj*s_CF_pumpkin</f>
        <v>758291.875</v>
      </c>
      <c r="AX30" s="40">
        <f>s_C*(up_Bv!W30+s_MLF_snap_bean)*s_IFSN_res_adj*s_CF_snap_bean</f>
        <v>758291.875</v>
      </c>
      <c r="AY30" s="40">
        <f>s_C*(up_Bv!X30+s_MLF_strawberry)*s_IFST_res_adj*s_CF_strawberry</f>
        <v>758291.875</v>
      </c>
      <c r="AZ30" s="40">
        <f>s_C*(up_Bv!Y30+s_MLF_tomato)*s_IFTO_res_adj*s_CF_tomato</f>
        <v>758291.875</v>
      </c>
      <c r="BA30" s="40">
        <f>s_C*(up_Bv!Z30+s_MLF_rice)*s_IFRI_res_adj*s_CF_rice</f>
        <v>758291.875</v>
      </c>
      <c r="BB30" s="40">
        <f>s_C*(up_Bv!AA30+s_MLF_cereal)*s_IFCG_res_adj*s_CF_cereal</f>
        <v>758291.875</v>
      </c>
      <c r="BC30" s="15">
        <f t="shared" si="2"/>
        <v>3.2968835384132272E-12</v>
      </c>
      <c r="BD30" s="15">
        <f>IFERROR((up_dir!AD30/(up_Bv!C30+s_MLF_apple)),".")</f>
        <v>1.3187534153652907E-11</v>
      </c>
      <c r="BE30" s="15">
        <f>IFERROR((up_dir!AE30/(up_Bv!D30+s_MLF_asparagus)),".")</f>
        <v>1.3187534153652907E-11</v>
      </c>
      <c r="BF30" s="15">
        <f>IFERROR((up_dir!AF30/(up_Bv!E30+s_MLF_beet)),".")</f>
        <v>1.3187534153652907E-11</v>
      </c>
      <c r="BG30" s="15">
        <f>IFERROR((up_dir!AG30/(up_Bv!F30+s_MLF_berries)),".")</f>
        <v>1.3187534153652907E-11</v>
      </c>
      <c r="BH30" s="15">
        <f>IFERROR((up_dir!AH30/(up_Bv!G30+s_MLF_broccoli)),".")</f>
        <v>1.3187534153652907E-11</v>
      </c>
      <c r="BI30" s="15">
        <f>IFERROR((up_dir!AI30/(up_Bv!H30+s_MLF_cabbage)),".")</f>
        <v>1.3187534153652907E-11</v>
      </c>
      <c r="BJ30" s="15">
        <f>IFERROR((up_dir!AJ30/(up_Bv!I30+s_MLF_carrot)),".")</f>
        <v>1.3187534153652907E-11</v>
      </c>
      <c r="BK30" s="15">
        <f>IFERROR((up_dir!AK30/(up_Bv!J30+s_MLF_citrus)),".")</f>
        <v>1.3187534153652907E-11</v>
      </c>
      <c r="BL30" s="15">
        <f>IFERROR((up_dir!AL30/(up_Bv!K30+s_MLF_corn)),".")</f>
        <v>1.3187534153652907E-11</v>
      </c>
      <c r="BM30" s="15">
        <f>IFERROR((up_dir!AM30/(up_Bv!L30+s_MLF_cucumber)),".")</f>
        <v>1.3187534153652907E-11</v>
      </c>
      <c r="BN30" s="15">
        <f>IFERROR((up_dir!AN30/(up_Bv!M30+s_MLF_lettuce)),".")</f>
        <v>1.3187534153652907E-11</v>
      </c>
      <c r="BO30" s="15">
        <f>IFERROR((up_dir!AO30/(up_Bv!N30+s_MLF_lima_bean)),".")</f>
        <v>1.3187534153652907E-11</v>
      </c>
      <c r="BP30" s="15">
        <f>IFERROR((up_dir!AP30/(up_Bv!O30+s_MLF_okra)),".")</f>
        <v>1.3187534153652907E-11</v>
      </c>
      <c r="BQ30" s="15">
        <f>IFERROR((up_dir!AQ30/(up_Bv!P30+s_MLF_onion)),".")</f>
        <v>1.3187534153652907E-11</v>
      </c>
      <c r="BR30" s="15">
        <f>IFERROR((up_dir!AR30/(up_Bv!Q30+s_MLF_peach)),".")</f>
        <v>1.3187534153652907E-11</v>
      </c>
      <c r="BS30" s="15">
        <f>IFERROR((up_dir!AS30/(up_Bv!R30+s_MLF_pear)),".")</f>
        <v>1.3187534153652907E-11</v>
      </c>
      <c r="BT30" s="15">
        <f>IFERROR((up_dir!AT30/(up_Bv!S30+s_MLF_peas)),".")</f>
        <v>1.3187534153652907E-11</v>
      </c>
      <c r="BU30" s="15">
        <f>IFERROR((up_dir!AU30/(up_Bv!T30+s_MLF_peppers)),".")</f>
        <v>1.3187534153652907E-11</v>
      </c>
      <c r="BV30" s="15">
        <f>IFERROR((up_dir!AV30/(up_Bv!U30+s_MLF_potato)),".")</f>
        <v>1.3187534153652907E-11</v>
      </c>
      <c r="BW30" s="15">
        <f>IFERROR((up_dir!AW30/(up_Bv!V30+s_MLF_pumpkin)),".")</f>
        <v>1.3187534153652907E-11</v>
      </c>
      <c r="BX30" s="15">
        <f>IFERROR((up_dir!AX30/(up_Bv!W30+s_MLF_snap_bean)),".")</f>
        <v>1.3187534153652907E-11</v>
      </c>
      <c r="BY30" s="15">
        <f>IFERROR((up_dir!AY30/(up_Bv!X30+s_MLF_strawberry)),".")</f>
        <v>1.3187534153652907E-11</v>
      </c>
      <c r="BZ30" s="15">
        <f>IFERROR((up_dir!AZ30/(up_Bv!Y30+s_MLF_tomato)),".")</f>
        <v>1.3187534153652907E-11</v>
      </c>
      <c r="CA30" s="15">
        <f>IFERROR((up_dir!BA30/(up_Bv!Z30+s_MLF_rice)),".")</f>
        <v>1.3187534153652907E-11</v>
      </c>
      <c r="CB30" s="15">
        <f>IFERROR((up_dir!BB30/(up_Bv!AA30+s_MLF_cereal)),".")</f>
        <v>1.3187534153652907E-11</v>
      </c>
      <c r="CC30" s="40">
        <f t="shared" si="3"/>
        <v>3033167.5</v>
      </c>
      <c r="CD30" s="40">
        <f>IFERROR(s_C*(up_Bv!C30+s_MLF_apple)*s_IFAP_far_adj*s_CF_apple,".")</f>
        <v>758291.875</v>
      </c>
      <c r="CE30" s="40">
        <f>IFERROR(s_C*(up_Bv!D30+s_MLF_asparagus)*s_IFAS_far_adj*s_CF_asparagus,".")</f>
        <v>758291.875</v>
      </c>
      <c r="CF30" s="40">
        <f>IFERROR(s_C*(up_Bv!E30+s_MLF_beet)*s_IFBT_far_adj*s_CF_beet,".")</f>
        <v>758291.875</v>
      </c>
      <c r="CG30" s="40">
        <f>IFERROR(s_C*(up_Bv!F30+s_MLF_berries)*s_IFBR_far_adj*s_CF_berries,".")</f>
        <v>758291.875</v>
      </c>
      <c r="CH30" s="40">
        <f>IFERROR(s_C*(up_Bv!G30+s_MLF_broccoli)*s_IFBR_far_adj*s_CF_broccoli,".")</f>
        <v>758291.875</v>
      </c>
      <c r="CI30" s="40">
        <f>IFERROR(s_C*(up_Bv!H30+s_MLF_cabbage)*s_IFCB_far_adj*s_CF_cabbage,".")</f>
        <v>758291.875</v>
      </c>
      <c r="CJ30" s="40">
        <f>IFERROR(s_C*(up_Bv!I30+s_MLF_carrot)*s_IFCR_far_adj*s_CF_carrot,".")</f>
        <v>758291.875</v>
      </c>
      <c r="CK30" s="40">
        <f>IFERROR(s_C*(up_Bv!J30+s_MLF_citrus)*s_IFCI_far_adj*s_CF_citrus,".")</f>
        <v>758291.875</v>
      </c>
      <c r="CL30" s="40">
        <f>IFERROR(s_C*(up_Bv!K30+s_MLF_corn)*s_IFCO_far_adj*s_CF_corn,".")</f>
        <v>758291.875</v>
      </c>
      <c r="CM30" s="40">
        <f>IFERROR(s_C*(up_Bv!L30+s_MLF_cucumber)*s_IFCU_far_adj*s_CF_cucumber,".")</f>
        <v>758291.875</v>
      </c>
      <c r="CN30" s="40">
        <f>IFERROR(s_C*(up_Bv!M30+s_MLF_lettuce)*s_IFLE_far_adj*s_CF_lettuce,".")</f>
        <v>758291.875</v>
      </c>
      <c r="CO30" s="40">
        <f>IFERROR(s_C*(up_Bv!N30+s_MLF_lima_bean)*s_IFLI_far_adj*s_CF_lima_bean,".")</f>
        <v>758291.875</v>
      </c>
      <c r="CP30" s="40">
        <f>IFERROR(s_C*(up_Bv!O30+s_MLF_okra)*s_IFOK_far_adj*s_CF_okra,".")</f>
        <v>758291.875</v>
      </c>
      <c r="CQ30" s="40">
        <f>IFERROR(s_C*(up_Bv!P30+s_MLF_onion)*s_IFON_far_adj*s_CF_onion,".")</f>
        <v>758291.875</v>
      </c>
      <c r="CR30" s="40">
        <f>IFERROR(s_C*(up_Bv!Q30+s_MLF_peach)*s_IFPC_far_adj*s_CF_peach,".")</f>
        <v>758291.875</v>
      </c>
      <c r="CS30" s="40">
        <f>IFERROR(s_C*(up_Bv!R30+s_MLF_pear)*s_IFPR_far_adj*s_CF_pear,".")</f>
        <v>758291.875</v>
      </c>
      <c r="CT30" s="40">
        <f>IFERROR(s_C*(up_Bv!S30+s_MLF_peas)*s_IFPE_far_adj*s_CF_peas,".")</f>
        <v>758291.875</v>
      </c>
      <c r="CU30" s="40">
        <f>IFERROR(s_C*(up_Bv!T30+s_MLF_peppers)*s_IFPP_far_adj*s_CF_peppers,".")</f>
        <v>758291.875</v>
      </c>
      <c r="CV30" s="40">
        <f>IFERROR(s_C*(up_Bv!U30+s_MLF_potato)*s_IFPT_far_adj*s_CF_potato,".")</f>
        <v>758291.875</v>
      </c>
      <c r="CW30" s="40">
        <f>IFERROR(s_C*(up_Bv!V30+s_MLF_pumpkin)*s_IFPU_far_adj*s_CF_pumpkin,".")</f>
        <v>758291.875</v>
      </c>
      <c r="CX30" s="40">
        <f>IFERROR(s_C*(up_Bv!W30+s_MLF_snap_bean)*s_IFSN_far_adj*s_CF_snap_bean,".")</f>
        <v>758291.875</v>
      </c>
      <c r="CY30" s="40">
        <f>IFERROR(s_C*(up_Bv!X30+s_MLF_strawberry)*s_IFST_far_adj*s_CF_strawberry,".")</f>
        <v>758291.875</v>
      </c>
      <c r="CZ30" s="40">
        <f>IFERROR(s_C*(up_Bv!Y30+s_MLF_tomato)*s_IFTO_far_adj*s_CF_tomato,".")</f>
        <v>758291.875</v>
      </c>
      <c r="DA30" s="40">
        <f>IFERROR(s_C*(up_Bv!Z30+s_MLF_rice)*s_IFRI_far_adj*s_CF_rice,".")</f>
        <v>758291.875</v>
      </c>
      <c r="DB30" s="40">
        <f>IFERROR(s_C*(up_Bv!AA30+s_MLF_cereal)*s_IFCG_far_adj*s_CF_cereal,".")</f>
        <v>758291.875</v>
      </c>
    </row>
    <row r="31" spans="1:106" x14ac:dyDescent="0.25">
      <c r="A31" s="82" t="s">
        <v>13</v>
      </c>
      <c r="B31" s="82" t="s">
        <v>1071</v>
      </c>
      <c r="C31" s="58">
        <f>1/SUM(1/C32,1/C33,1/C34,1/C35,1/C36,1/C37,1/C38,1/C41,1/C44)</f>
        <v>3.6633016196134417E-13</v>
      </c>
      <c r="D31" s="58">
        <f>1/SUM(1/D32,1/D33,1/D34,1/D35,1/D36,1/D37,1/D38,1/D41,1/D44)</f>
        <v>1.4653206478453767E-12</v>
      </c>
      <c r="E31" s="58">
        <f t="shared" ref="E31:AA31" si="4">1/SUM(1/E32,1/E33,1/E34,1/E35,1/E36,1/E37,1/E38,1/E41,1/E44)</f>
        <v>1.4653206478453767E-12</v>
      </c>
      <c r="F31" s="58">
        <f t="shared" si="4"/>
        <v>1.4653206478453767E-12</v>
      </c>
      <c r="G31" s="58">
        <f t="shared" si="4"/>
        <v>1.4653206478453767E-12</v>
      </c>
      <c r="H31" s="58">
        <f t="shared" si="4"/>
        <v>1.4653206478453767E-12</v>
      </c>
      <c r="I31" s="58">
        <f t="shared" si="4"/>
        <v>1.4653206478453767E-12</v>
      </c>
      <c r="J31" s="58">
        <f t="shared" si="4"/>
        <v>1.4653206478453767E-12</v>
      </c>
      <c r="K31" s="58">
        <f t="shared" si="4"/>
        <v>1.4653206478453767E-12</v>
      </c>
      <c r="L31" s="58">
        <f t="shared" si="4"/>
        <v>1.4653206478453767E-12</v>
      </c>
      <c r="M31" s="58">
        <f t="shared" si="4"/>
        <v>1.4653206478453767E-12</v>
      </c>
      <c r="N31" s="58">
        <f t="shared" si="4"/>
        <v>1.4653206478453767E-12</v>
      </c>
      <c r="O31" s="58">
        <f t="shared" si="4"/>
        <v>1.4653206478453767E-12</v>
      </c>
      <c r="P31" s="58">
        <f t="shared" si="4"/>
        <v>1.4653206478453767E-12</v>
      </c>
      <c r="Q31" s="58">
        <f t="shared" si="4"/>
        <v>1.4653206478453767E-12</v>
      </c>
      <c r="R31" s="58">
        <f t="shared" si="4"/>
        <v>1.4653206478453767E-12</v>
      </c>
      <c r="S31" s="58">
        <f t="shared" si="4"/>
        <v>1.4653206478453767E-12</v>
      </c>
      <c r="T31" s="58">
        <f t="shared" si="4"/>
        <v>1.4653206478453767E-12</v>
      </c>
      <c r="U31" s="58">
        <f t="shared" si="4"/>
        <v>1.4653206478453767E-12</v>
      </c>
      <c r="V31" s="58">
        <f t="shared" si="4"/>
        <v>1.4653206478453767E-12</v>
      </c>
      <c r="W31" s="58">
        <f t="shared" si="4"/>
        <v>1.4653206478453767E-12</v>
      </c>
      <c r="X31" s="58">
        <f t="shared" si="4"/>
        <v>1.4653206478453767E-12</v>
      </c>
      <c r="Y31" s="58">
        <f t="shared" si="4"/>
        <v>1.4653206478453767E-12</v>
      </c>
      <c r="Z31" s="58">
        <f t="shared" si="4"/>
        <v>1.4653206478453767E-12</v>
      </c>
      <c r="AA31" s="58">
        <f t="shared" si="4"/>
        <v>1.4653206478453767E-12</v>
      </c>
      <c r="AB31" s="58">
        <f>1/SUM(1/AB32,1/AB33,1/AB34,1/AB35,1/AB36,1/AB37,1/AB38,1/AB41,1/AB44)</f>
        <v>1.4653206478453767E-12</v>
      </c>
      <c r="AC31" s="47">
        <f t="shared" si="1"/>
        <v>4</v>
      </c>
      <c r="AD31" s="47">
        <f t="shared" ref="AD31:BA31" si="5">IFERROR(IF(SUM(AD32:AD44)&gt;0.01,1-EXP(-(SUM(AD32:AD44))),SUM(AD32:AD44)),".")</f>
        <v>1</v>
      </c>
      <c r="AE31" s="47">
        <f t="shared" si="5"/>
        <v>1</v>
      </c>
      <c r="AF31" s="47">
        <f t="shared" si="5"/>
        <v>1</v>
      </c>
      <c r="AG31" s="47">
        <f t="shared" si="5"/>
        <v>1</v>
      </c>
      <c r="AH31" s="47">
        <f t="shared" si="5"/>
        <v>1</v>
      </c>
      <c r="AI31" s="47">
        <f t="shared" si="5"/>
        <v>1</v>
      </c>
      <c r="AJ31" s="47">
        <f t="shared" si="5"/>
        <v>1</v>
      </c>
      <c r="AK31" s="47">
        <f t="shared" si="5"/>
        <v>1</v>
      </c>
      <c r="AL31" s="47">
        <f t="shared" si="5"/>
        <v>1</v>
      </c>
      <c r="AM31" s="47">
        <f t="shared" si="5"/>
        <v>1</v>
      </c>
      <c r="AN31" s="47">
        <f t="shared" si="5"/>
        <v>1</v>
      </c>
      <c r="AO31" s="47">
        <f t="shared" si="5"/>
        <v>1</v>
      </c>
      <c r="AP31" s="47">
        <f t="shared" si="5"/>
        <v>1</v>
      </c>
      <c r="AQ31" s="47">
        <f t="shared" si="5"/>
        <v>1</v>
      </c>
      <c r="AR31" s="47">
        <f t="shared" si="5"/>
        <v>1</v>
      </c>
      <c r="AS31" s="47">
        <f t="shared" si="5"/>
        <v>1</v>
      </c>
      <c r="AT31" s="47">
        <f t="shared" si="5"/>
        <v>1</v>
      </c>
      <c r="AU31" s="47">
        <f t="shared" si="5"/>
        <v>1</v>
      </c>
      <c r="AV31" s="47">
        <f t="shared" si="5"/>
        <v>1</v>
      </c>
      <c r="AW31" s="47">
        <f t="shared" si="5"/>
        <v>1</v>
      </c>
      <c r="AX31" s="47">
        <f t="shared" si="5"/>
        <v>1</v>
      </c>
      <c r="AY31" s="47">
        <f t="shared" si="5"/>
        <v>1</v>
      </c>
      <c r="AZ31" s="47">
        <f t="shared" si="5"/>
        <v>1</v>
      </c>
      <c r="BA31" s="47">
        <f t="shared" si="5"/>
        <v>1</v>
      </c>
      <c r="BB31" s="47">
        <f>IFERROR(IF(SUM(BB32:BB44)&gt;0.01,1-EXP(-(SUM(BB32:BB44))),SUM(BB32:BB44)),".")</f>
        <v>1</v>
      </c>
      <c r="BC31" s="58">
        <f>IFERROR(1/SUM(BC32:BC44),0)</f>
        <v>2.7474853732388866E-13</v>
      </c>
      <c r="BD31" s="58">
        <f>IFERROR(1/SUM(BD32:BD44),0)</f>
        <v>1.0989941492955547E-12</v>
      </c>
      <c r="BE31" s="58">
        <f>IFERROR(1/SUM(BE32:BE44),0)</f>
        <v>1.0989941492955547E-12</v>
      </c>
      <c r="BF31" s="58">
        <f t="shared" ref="BF31:CB31" si="6">IFERROR(1/SUM(BF32:BF44),0)</f>
        <v>1.0989941492955547E-12</v>
      </c>
      <c r="BG31" s="58">
        <f t="shared" si="6"/>
        <v>1.0989941492955547E-12</v>
      </c>
      <c r="BH31" s="58">
        <f t="shared" si="6"/>
        <v>1.0989941492955547E-12</v>
      </c>
      <c r="BI31" s="58">
        <f t="shared" si="6"/>
        <v>1.0989941492955547E-12</v>
      </c>
      <c r="BJ31" s="58">
        <f t="shared" si="6"/>
        <v>1.0989941492955547E-12</v>
      </c>
      <c r="BK31" s="58">
        <f t="shared" si="6"/>
        <v>1.0989941492955547E-12</v>
      </c>
      <c r="BL31" s="58">
        <f t="shared" si="6"/>
        <v>1.0989941492955547E-12</v>
      </c>
      <c r="BM31" s="58">
        <f t="shared" si="6"/>
        <v>1.0989941492955547E-12</v>
      </c>
      <c r="BN31" s="58">
        <f t="shared" si="6"/>
        <v>1.0989941492955547E-12</v>
      </c>
      <c r="BO31" s="58">
        <f t="shared" si="6"/>
        <v>1.0989941492955547E-12</v>
      </c>
      <c r="BP31" s="58">
        <f t="shared" si="6"/>
        <v>1.0989941492955547E-12</v>
      </c>
      <c r="BQ31" s="58">
        <f t="shared" si="6"/>
        <v>1.0989941492955547E-12</v>
      </c>
      <c r="BR31" s="58">
        <f t="shared" si="6"/>
        <v>1.0989941492955547E-12</v>
      </c>
      <c r="BS31" s="58">
        <f t="shared" si="6"/>
        <v>1.0989941492955547E-12</v>
      </c>
      <c r="BT31" s="58">
        <f t="shared" si="6"/>
        <v>1.0989941492955547E-12</v>
      </c>
      <c r="BU31" s="58">
        <f t="shared" si="6"/>
        <v>1.0989941492955547E-12</v>
      </c>
      <c r="BV31" s="58">
        <f t="shared" si="6"/>
        <v>1.0989941492955547E-12</v>
      </c>
      <c r="BW31" s="58">
        <f t="shared" si="6"/>
        <v>1.0989941492955547E-12</v>
      </c>
      <c r="BX31" s="58">
        <f t="shared" si="6"/>
        <v>1.0989941492955547E-12</v>
      </c>
      <c r="BY31" s="58">
        <f t="shared" si="6"/>
        <v>1.0989941492955547E-12</v>
      </c>
      <c r="BZ31" s="58">
        <f t="shared" si="6"/>
        <v>1.0989941492955547E-12</v>
      </c>
      <c r="CA31" s="58">
        <f t="shared" si="6"/>
        <v>1.0989941492955547E-12</v>
      </c>
      <c r="CB31" s="58">
        <f t="shared" si="6"/>
        <v>1.0989941492955547E-12</v>
      </c>
      <c r="CC31" s="47">
        <f t="shared" si="3"/>
        <v>4</v>
      </c>
      <c r="CD31" s="47">
        <f t="shared" ref="CD31:CZ31" si="7">IFERROR(IF(SUM(CD32:CD44)&gt;0.01,1-EXP(-(SUM(CD32:CD44))),SUM(CD32:CD44)),".")</f>
        <v>1</v>
      </c>
      <c r="CE31" s="47">
        <f t="shared" si="7"/>
        <v>1</v>
      </c>
      <c r="CF31" s="47">
        <f t="shared" si="7"/>
        <v>1</v>
      </c>
      <c r="CG31" s="47">
        <f t="shared" si="7"/>
        <v>1</v>
      </c>
      <c r="CH31" s="47">
        <f t="shared" si="7"/>
        <v>1</v>
      </c>
      <c r="CI31" s="47">
        <f t="shared" si="7"/>
        <v>1</v>
      </c>
      <c r="CJ31" s="47">
        <f t="shared" si="7"/>
        <v>1</v>
      </c>
      <c r="CK31" s="47">
        <f t="shared" si="7"/>
        <v>1</v>
      </c>
      <c r="CL31" s="47">
        <f t="shared" si="7"/>
        <v>1</v>
      </c>
      <c r="CM31" s="47">
        <f t="shared" si="7"/>
        <v>1</v>
      </c>
      <c r="CN31" s="47">
        <f t="shared" si="7"/>
        <v>1</v>
      </c>
      <c r="CO31" s="47">
        <f t="shared" si="7"/>
        <v>1</v>
      </c>
      <c r="CP31" s="47">
        <f t="shared" si="7"/>
        <v>1</v>
      </c>
      <c r="CQ31" s="47">
        <f t="shared" si="7"/>
        <v>1</v>
      </c>
      <c r="CR31" s="47">
        <f t="shared" si="7"/>
        <v>1</v>
      </c>
      <c r="CS31" s="47">
        <f t="shared" si="7"/>
        <v>1</v>
      </c>
      <c r="CT31" s="47">
        <f t="shared" si="7"/>
        <v>1</v>
      </c>
      <c r="CU31" s="47">
        <f t="shared" si="7"/>
        <v>1</v>
      </c>
      <c r="CV31" s="47">
        <f t="shared" si="7"/>
        <v>1</v>
      </c>
      <c r="CW31" s="47">
        <f t="shared" si="7"/>
        <v>1</v>
      </c>
      <c r="CX31" s="47">
        <f t="shared" si="7"/>
        <v>1</v>
      </c>
      <c r="CY31" s="47">
        <f t="shared" si="7"/>
        <v>1</v>
      </c>
      <c r="CZ31" s="47">
        <f t="shared" si="7"/>
        <v>1</v>
      </c>
      <c r="DA31" s="47">
        <f>IFERROR(IF(SUM(DA32:DA44)&gt;0.01,1-EXP(-(SUM(DA32:DA44))),SUM(DA32:DA44)),".")</f>
        <v>1</v>
      </c>
      <c r="DB31" s="47">
        <f>IFERROR(IF(SUM(DB32:DB44)&gt;0.01,1-EXP(-(SUM(DB32:DB44))),SUM(DB32:DB44)),".")</f>
        <v>1</v>
      </c>
    </row>
    <row r="32" spans="1:106" x14ac:dyDescent="0.25">
      <c r="A32" s="83" t="s">
        <v>1099</v>
      </c>
      <c r="B32" s="42">
        <v>1</v>
      </c>
      <c r="C32" s="60">
        <f t="shared" ref="C32" si="8">IFERROR(C3/$B32,0)</f>
        <v>3.2968835384132272E-12</v>
      </c>
      <c r="D32" s="60">
        <f t="shared" ref="D32:AB32" si="9">IFERROR(D3/$B32,0)</f>
        <v>1.3187534153652907E-11</v>
      </c>
      <c r="E32" s="60">
        <f t="shared" si="9"/>
        <v>1.3187534153652907E-11</v>
      </c>
      <c r="F32" s="60">
        <f t="shared" si="9"/>
        <v>1.3187534153652907E-11</v>
      </c>
      <c r="G32" s="60">
        <f t="shared" si="9"/>
        <v>1.3187534153652907E-11</v>
      </c>
      <c r="H32" s="60">
        <f t="shared" si="9"/>
        <v>1.3187534153652907E-11</v>
      </c>
      <c r="I32" s="60">
        <f t="shared" si="9"/>
        <v>1.3187534153652907E-11</v>
      </c>
      <c r="J32" s="60">
        <f t="shared" si="9"/>
        <v>1.3187534153652907E-11</v>
      </c>
      <c r="K32" s="60">
        <f t="shared" si="9"/>
        <v>1.3187534153652907E-11</v>
      </c>
      <c r="L32" s="60">
        <f t="shared" si="9"/>
        <v>1.3187534153652907E-11</v>
      </c>
      <c r="M32" s="60">
        <f t="shared" si="9"/>
        <v>1.3187534153652907E-11</v>
      </c>
      <c r="N32" s="60">
        <f t="shared" si="9"/>
        <v>1.3187534153652907E-11</v>
      </c>
      <c r="O32" s="60">
        <f t="shared" si="9"/>
        <v>1.3187534153652907E-11</v>
      </c>
      <c r="P32" s="60">
        <f t="shared" si="9"/>
        <v>1.3187534153652907E-11</v>
      </c>
      <c r="Q32" s="60">
        <f t="shared" si="9"/>
        <v>1.3187534153652907E-11</v>
      </c>
      <c r="R32" s="60">
        <f t="shared" si="9"/>
        <v>1.3187534153652907E-11</v>
      </c>
      <c r="S32" s="60">
        <f t="shared" si="9"/>
        <v>1.3187534153652907E-11</v>
      </c>
      <c r="T32" s="60">
        <f t="shared" si="9"/>
        <v>1.3187534153652907E-11</v>
      </c>
      <c r="U32" s="60">
        <f t="shared" si="9"/>
        <v>1.3187534153652907E-11</v>
      </c>
      <c r="V32" s="60">
        <f t="shared" si="9"/>
        <v>1.3187534153652907E-11</v>
      </c>
      <c r="W32" s="60">
        <f t="shared" si="9"/>
        <v>1.3187534153652907E-11</v>
      </c>
      <c r="X32" s="60">
        <f t="shared" si="9"/>
        <v>1.3187534153652907E-11</v>
      </c>
      <c r="Y32" s="60">
        <f t="shared" si="9"/>
        <v>1.3187534153652907E-11</v>
      </c>
      <c r="Z32" s="60">
        <f t="shared" si="9"/>
        <v>1.3187534153652907E-11</v>
      </c>
      <c r="AA32" s="60">
        <f t="shared" si="9"/>
        <v>1.3187534153652907E-11</v>
      </c>
      <c r="AB32" s="60">
        <f t="shared" si="9"/>
        <v>1.3187534153652907E-11</v>
      </c>
      <c r="AC32" s="49">
        <f t="shared" si="1"/>
        <v>15165837.5</v>
      </c>
      <c r="AD32" s="49">
        <f>IFERROR(up_RadSpec!$H$3*(AD3/$B32),".")</f>
        <v>3791459.375</v>
      </c>
      <c r="AE32" s="49">
        <f>IFERROR(up_RadSpec!$H$3*(AE3/$B32),".")</f>
        <v>3791459.375</v>
      </c>
      <c r="AF32" s="49">
        <f>IFERROR(up_RadSpec!$H$3*(AF3/$B32),".")</f>
        <v>3791459.375</v>
      </c>
      <c r="AG32" s="49">
        <f>IFERROR(up_RadSpec!$H$3*(AG3/$B32),".")</f>
        <v>3791459.375</v>
      </c>
      <c r="AH32" s="49">
        <f>IFERROR(up_RadSpec!$H$3*(AH3/$B32),".")</f>
        <v>3791459.375</v>
      </c>
      <c r="AI32" s="49">
        <f>IFERROR(up_RadSpec!$H$3*(AI3/$B32),".")</f>
        <v>3791459.375</v>
      </c>
      <c r="AJ32" s="49">
        <f>IFERROR(up_RadSpec!$H$3*(AJ3/$B32),".")</f>
        <v>3791459.375</v>
      </c>
      <c r="AK32" s="49">
        <f>IFERROR(up_RadSpec!$H$3*(AK3/$B32),".")</f>
        <v>3791459.375</v>
      </c>
      <c r="AL32" s="49">
        <f>IFERROR(up_RadSpec!$H$3*(AL3/$B32),".")</f>
        <v>3791459.375</v>
      </c>
      <c r="AM32" s="49">
        <f>IFERROR(up_RadSpec!$H$3*(AM3/$B32),".")</f>
        <v>3791459.375</v>
      </c>
      <c r="AN32" s="49">
        <f>IFERROR(up_RadSpec!$H$3*(AN3/$B32),".")</f>
        <v>3791459.375</v>
      </c>
      <c r="AO32" s="49">
        <f>IFERROR(up_RadSpec!$H$3*(AO3/$B32),".")</f>
        <v>3791459.375</v>
      </c>
      <c r="AP32" s="49">
        <f>IFERROR(up_RadSpec!$H$3*(AP3/$B32),".")</f>
        <v>3791459.375</v>
      </c>
      <c r="AQ32" s="49">
        <f>IFERROR(up_RadSpec!$H$3*(AQ3/$B32),".")</f>
        <v>3791459.375</v>
      </c>
      <c r="AR32" s="49">
        <f>IFERROR(up_RadSpec!$H$3*(AR3/$B32),".")</f>
        <v>3791459.375</v>
      </c>
      <c r="AS32" s="49">
        <f>IFERROR(up_RadSpec!$H$3*(AS3/$B32),".")</f>
        <v>3791459.375</v>
      </c>
      <c r="AT32" s="49">
        <f>IFERROR(up_RadSpec!$H$3*(AT3/$B32),".")</f>
        <v>3791459.375</v>
      </c>
      <c r="AU32" s="49">
        <f>IFERROR(up_RadSpec!$H$3*(AU3/$B32),".")</f>
        <v>3791459.375</v>
      </c>
      <c r="AV32" s="49">
        <f>IFERROR(up_RadSpec!$H$3*(AV3/$B32),".")</f>
        <v>3791459.375</v>
      </c>
      <c r="AW32" s="49">
        <f>IFERROR(up_RadSpec!$H$3*(AW3/$B32),".")</f>
        <v>3791459.375</v>
      </c>
      <c r="AX32" s="49">
        <f>IFERROR(up_RadSpec!$H$3*(AX3/$B32),".")</f>
        <v>3791459.375</v>
      </c>
      <c r="AY32" s="49">
        <f>IFERROR(up_RadSpec!$H$3*(AY3/$B32),".")</f>
        <v>3791459.375</v>
      </c>
      <c r="AZ32" s="49">
        <f>IFERROR(up_RadSpec!$H$3*(AZ3/$B32),".")</f>
        <v>3791459.375</v>
      </c>
      <c r="BA32" s="49">
        <f>IFERROR(up_RadSpec!$H$3*(BA3/$B32),".")</f>
        <v>3791459.375</v>
      </c>
      <c r="BB32" s="49">
        <f>IFERROR(up_RadSpec!$H$3*(BB3/$B32),".")</f>
        <v>3791459.375</v>
      </c>
      <c r="BC32" s="60">
        <f>IFERROR($B32/BC3,0)</f>
        <v>303316749999.99994</v>
      </c>
      <c r="BD32" s="60">
        <f>IFERROR($B32/BD3,0)</f>
        <v>75829187499.999985</v>
      </c>
      <c r="BE32" s="60">
        <f t="shared" ref="BE32:CB32" si="10">IFERROR($B32/BE3,0)</f>
        <v>75829187499.999985</v>
      </c>
      <c r="BF32" s="60">
        <f t="shared" si="10"/>
        <v>75829187499.999985</v>
      </c>
      <c r="BG32" s="60">
        <f t="shared" si="10"/>
        <v>75829187499.999985</v>
      </c>
      <c r="BH32" s="60">
        <f t="shared" si="10"/>
        <v>75829187499.999985</v>
      </c>
      <c r="BI32" s="60">
        <f t="shared" si="10"/>
        <v>75829187499.999985</v>
      </c>
      <c r="BJ32" s="60">
        <f t="shared" si="10"/>
        <v>75829187499.999985</v>
      </c>
      <c r="BK32" s="60">
        <f t="shared" si="10"/>
        <v>75829187499.999985</v>
      </c>
      <c r="BL32" s="60">
        <f t="shared" si="10"/>
        <v>75829187499.999985</v>
      </c>
      <c r="BM32" s="60">
        <f t="shared" si="10"/>
        <v>75829187499.999985</v>
      </c>
      <c r="BN32" s="60">
        <f t="shared" si="10"/>
        <v>75829187499.999985</v>
      </c>
      <c r="BO32" s="60">
        <f t="shared" si="10"/>
        <v>75829187499.999985</v>
      </c>
      <c r="BP32" s="60">
        <f t="shared" si="10"/>
        <v>75829187499.999985</v>
      </c>
      <c r="BQ32" s="60">
        <f t="shared" si="10"/>
        <v>75829187499.999985</v>
      </c>
      <c r="BR32" s="60">
        <f t="shared" si="10"/>
        <v>75829187499.999985</v>
      </c>
      <c r="BS32" s="60">
        <f t="shared" si="10"/>
        <v>75829187499.999985</v>
      </c>
      <c r="BT32" s="60">
        <f t="shared" si="10"/>
        <v>75829187499.999985</v>
      </c>
      <c r="BU32" s="60">
        <f t="shared" si="10"/>
        <v>75829187499.999985</v>
      </c>
      <c r="BV32" s="60">
        <f t="shared" si="10"/>
        <v>75829187499.999985</v>
      </c>
      <c r="BW32" s="60">
        <f t="shared" si="10"/>
        <v>75829187499.999985</v>
      </c>
      <c r="BX32" s="60">
        <f t="shared" si="10"/>
        <v>75829187499.999985</v>
      </c>
      <c r="BY32" s="60">
        <f t="shared" si="10"/>
        <v>75829187499.999985</v>
      </c>
      <c r="BZ32" s="60">
        <f t="shared" si="10"/>
        <v>75829187499.999985</v>
      </c>
      <c r="CA32" s="60">
        <f t="shared" si="10"/>
        <v>75829187499.999985</v>
      </c>
      <c r="CB32" s="60">
        <f t="shared" si="10"/>
        <v>75829187499.999985</v>
      </c>
      <c r="CC32" s="49">
        <f t="shared" si="3"/>
        <v>15165837.5</v>
      </c>
      <c r="CD32" s="49">
        <f>IFERROR(up_RadSpec!$H$3*(CD3/$B32),".")</f>
        <v>3791459.375</v>
      </c>
      <c r="CE32" s="49">
        <f>IFERROR(up_RadSpec!$H$3*(CE3/$B32),".")</f>
        <v>3791459.375</v>
      </c>
      <c r="CF32" s="49">
        <f>IFERROR(up_RadSpec!$H$3*(CF3/$B32),".")</f>
        <v>3791459.375</v>
      </c>
      <c r="CG32" s="49">
        <f>IFERROR(up_RadSpec!$H$3*(CG3/$B32),".")</f>
        <v>3791459.375</v>
      </c>
      <c r="CH32" s="49">
        <f>IFERROR(up_RadSpec!$H$3*(CH3/$B32),".")</f>
        <v>3791459.375</v>
      </c>
      <c r="CI32" s="49">
        <f>IFERROR(up_RadSpec!$H$3*(CI3/$B32),".")</f>
        <v>3791459.375</v>
      </c>
      <c r="CJ32" s="49">
        <f>IFERROR(up_RadSpec!$H$3*(CJ3/$B32),".")</f>
        <v>3791459.375</v>
      </c>
      <c r="CK32" s="49">
        <f>IFERROR(up_RadSpec!$H$3*(CK3/$B32),".")</f>
        <v>3791459.375</v>
      </c>
      <c r="CL32" s="49">
        <f>IFERROR(up_RadSpec!$H$3*(CL3/$B32),".")</f>
        <v>3791459.375</v>
      </c>
      <c r="CM32" s="49">
        <f>IFERROR(up_RadSpec!$H$3*(CM3/$B32),".")</f>
        <v>3791459.375</v>
      </c>
      <c r="CN32" s="49">
        <f>IFERROR(up_RadSpec!$H$3*(CN3/$B32),".")</f>
        <v>3791459.375</v>
      </c>
      <c r="CO32" s="49">
        <f>IFERROR(up_RadSpec!$H$3*(CO3/$B32),".")</f>
        <v>3791459.375</v>
      </c>
      <c r="CP32" s="49">
        <f>IFERROR(up_RadSpec!$H$3*(CP3/$B32),".")</f>
        <v>3791459.375</v>
      </c>
      <c r="CQ32" s="49">
        <f>IFERROR(up_RadSpec!$H$3*(CQ3/$B32),".")</f>
        <v>3791459.375</v>
      </c>
      <c r="CR32" s="49">
        <f>IFERROR(up_RadSpec!$H$3*(CR3/$B32),".")</f>
        <v>3791459.375</v>
      </c>
      <c r="CS32" s="49">
        <f>IFERROR(up_RadSpec!$H$3*(CS3/$B32),".")</f>
        <v>3791459.375</v>
      </c>
      <c r="CT32" s="49">
        <f>IFERROR(up_RadSpec!$H$3*(CT3/$B32),".")</f>
        <v>3791459.375</v>
      </c>
      <c r="CU32" s="49">
        <f>IFERROR(up_RadSpec!$H$3*(CU3/$B32),".")</f>
        <v>3791459.375</v>
      </c>
      <c r="CV32" s="49">
        <f>IFERROR(up_RadSpec!$H$3*(CV3/$B32),".")</f>
        <v>3791459.375</v>
      </c>
      <c r="CW32" s="49">
        <f>IFERROR(up_RadSpec!$H$3*(CW3/$B32),".")</f>
        <v>3791459.375</v>
      </c>
      <c r="CX32" s="49">
        <f>IFERROR(up_RadSpec!$H$3*(CX3/$B32),".")</f>
        <v>3791459.375</v>
      </c>
      <c r="CY32" s="49">
        <f>IFERROR(up_RadSpec!$H$3*(CY3/$B32),".")</f>
        <v>3791459.375</v>
      </c>
      <c r="CZ32" s="49">
        <f>IFERROR(up_RadSpec!$H$3*(CZ3/$B32),".")</f>
        <v>3791459.375</v>
      </c>
      <c r="DA32" s="49">
        <f>IFERROR(up_RadSpec!$H$3*(DA3/$B32),".")</f>
        <v>3791459.375</v>
      </c>
      <c r="DB32" s="49">
        <f>IFERROR(up_RadSpec!$H$3*(DB3/$B32),".")</f>
        <v>3791459.375</v>
      </c>
    </row>
    <row r="33" spans="1:106" x14ac:dyDescent="0.25">
      <c r="A33" s="83" t="s">
        <v>1075</v>
      </c>
      <c r="B33" s="42">
        <v>1</v>
      </c>
      <c r="C33" s="60">
        <f t="shared" ref="C33" si="11">IFERROR(C13/$B33,0)</f>
        <v>3.2968835384132272E-12</v>
      </c>
      <c r="D33" s="60">
        <f t="shared" ref="D33:AB34" si="12">IFERROR(D13/$B33,0)</f>
        <v>1.3187534153652907E-11</v>
      </c>
      <c r="E33" s="60">
        <f t="shared" si="12"/>
        <v>1.3187534153652907E-11</v>
      </c>
      <c r="F33" s="60">
        <f t="shared" si="12"/>
        <v>1.3187534153652907E-11</v>
      </c>
      <c r="G33" s="60">
        <f t="shared" si="12"/>
        <v>1.3187534153652907E-11</v>
      </c>
      <c r="H33" s="60">
        <f t="shared" si="12"/>
        <v>1.3187534153652907E-11</v>
      </c>
      <c r="I33" s="60">
        <f t="shared" si="12"/>
        <v>1.3187534153652907E-11</v>
      </c>
      <c r="J33" s="60">
        <f t="shared" si="12"/>
        <v>1.3187534153652907E-11</v>
      </c>
      <c r="K33" s="60">
        <f t="shared" si="12"/>
        <v>1.3187534153652907E-11</v>
      </c>
      <c r="L33" s="60">
        <f t="shared" si="12"/>
        <v>1.3187534153652907E-11</v>
      </c>
      <c r="M33" s="60">
        <f t="shared" si="12"/>
        <v>1.3187534153652907E-11</v>
      </c>
      <c r="N33" s="60">
        <f t="shared" si="12"/>
        <v>1.3187534153652907E-11</v>
      </c>
      <c r="O33" s="60">
        <f t="shared" si="12"/>
        <v>1.3187534153652907E-11</v>
      </c>
      <c r="P33" s="60">
        <f t="shared" si="12"/>
        <v>1.3187534153652907E-11</v>
      </c>
      <c r="Q33" s="60">
        <f t="shared" si="12"/>
        <v>1.3187534153652907E-11</v>
      </c>
      <c r="R33" s="60">
        <f t="shared" si="12"/>
        <v>1.3187534153652907E-11</v>
      </c>
      <c r="S33" s="60">
        <f t="shared" si="12"/>
        <v>1.3187534153652907E-11</v>
      </c>
      <c r="T33" s="60">
        <f t="shared" si="12"/>
        <v>1.3187534153652907E-11</v>
      </c>
      <c r="U33" s="60">
        <f t="shared" si="12"/>
        <v>1.3187534153652907E-11</v>
      </c>
      <c r="V33" s="60">
        <f t="shared" si="12"/>
        <v>1.3187534153652907E-11</v>
      </c>
      <c r="W33" s="60">
        <f t="shared" si="12"/>
        <v>1.3187534153652907E-11</v>
      </c>
      <c r="X33" s="60">
        <f t="shared" si="12"/>
        <v>1.3187534153652907E-11</v>
      </c>
      <c r="Y33" s="60">
        <f t="shared" si="12"/>
        <v>1.3187534153652907E-11</v>
      </c>
      <c r="Z33" s="60">
        <f t="shared" si="12"/>
        <v>1.3187534153652907E-11</v>
      </c>
      <c r="AA33" s="60">
        <f t="shared" si="12"/>
        <v>1.3187534153652907E-11</v>
      </c>
      <c r="AB33" s="60">
        <f t="shared" si="12"/>
        <v>1.3187534153652907E-11</v>
      </c>
      <c r="AC33" s="49">
        <f t="shared" si="1"/>
        <v>15165837.5</v>
      </c>
      <c r="AD33" s="49">
        <f>IFERROR(up_RadSpec!$H$13*(AD13/$B33),".")</f>
        <v>3791459.375</v>
      </c>
      <c r="AE33" s="49">
        <f>IFERROR(up_RadSpec!$H$13*(AE13/$B33),".")</f>
        <v>3791459.375</v>
      </c>
      <c r="AF33" s="49">
        <f>IFERROR(up_RadSpec!$H$13*(AF13/$B33),".")</f>
        <v>3791459.375</v>
      </c>
      <c r="AG33" s="49">
        <f>IFERROR(up_RadSpec!$H$13*(AG13/$B33),".")</f>
        <v>3791459.375</v>
      </c>
      <c r="AH33" s="49">
        <f>IFERROR(up_RadSpec!$H$13*(AH13/$B33),".")</f>
        <v>3791459.375</v>
      </c>
      <c r="AI33" s="49">
        <f>IFERROR(up_RadSpec!$H$13*(AI13/$B33),".")</f>
        <v>3791459.375</v>
      </c>
      <c r="AJ33" s="49">
        <f>IFERROR(up_RadSpec!$H$13*(AJ13/$B33),".")</f>
        <v>3791459.375</v>
      </c>
      <c r="AK33" s="49">
        <f>IFERROR(up_RadSpec!$H$13*(AK13/$B33),".")</f>
        <v>3791459.375</v>
      </c>
      <c r="AL33" s="49">
        <f>IFERROR(up_RadSpec!$H$13*(AL13/$B33),".")</f>
        <v>3791459.375</v>
      </c>
      <c r="AM33" s="49">
        <f>IFERROR(up_RadSpec!$H$13*(AM13/$B33),".")</f>
        <v>3791459.375</v>
      </c>
      <c r="AN33" s="49">
        <f>IFERROR(up_RadSpec!$H$13*(AN13/$B33),".")</f>
        <v>3791459.375</v>
      </c>
      <c r="AO33" s="49">
        <f>IFERROR(up_RadSpec!$H$13*(AO13/$B33),".")</f>
        <v>3791459.375</v>
      </c>
      <c r="AP33" s="49">
        <f>IFERROR(up_RadSpec!$H$13*(AP13/$B33),".")</f>
        <v>3791459.375</v>
      </c>
      <c r="AQ33" s="49">
        <f>IFERROR(up_RadSpec!$H$13*(AQ13/$B33),".")</f>
        <v>3791459.375</v>
      </c>
      <c r="AR33" s="49">
        <f>IFERROR(up_RadSpec!$H$13*(AR13/$B33),".")</f>
        <v>3791459.375</v>
      </c>
      <c r="AS33" s="49">
        <f>IFERROR(up_RadSpec!$H$13*(AS13/$B33),".")</f>
        <v>3791459.375</v>
      </c>
      <c r="AT33" s="49">
        <f>IFERROR(up_RadSpec!$H$13*(AT13/$B33),".")</f>
        <v>3791459.375</v>
      </c>
      <c r="AU33" s="49">
        <f>IFERROR(up_RadSpec!$H$13*(AU13/$B33),".")</f>
        <v>3791459.375</v>
      </c>
      <c r="AV33" s="49">
        <f>IFERROR(up_RadSpec!$H$13*(AV13/$B33),".")</f>
        <v>3791459.375</v>
      </c>
      <c r="AW33" s="49">
        <f>IFERROR(up_RadSpec!$H$13*(AW13/$B33),".")</f>
        <v>3791459.375</v>
      </c>
      <c r="AX33" s="49">
        <f>IFERROR(up_RadSpec!$H$13*(AX13/$B33),".")</f>
        <v>3791459.375</v>
      </c>
      <c r="AY33" s="49">
        <f>IFERROR(up_RadSpec!$H$13*(AY13/$B33),".")</f>
        <v>3791459.375</v>
      </c>
      <c r="AZ33" s="49">
        <f>IFERROR(up_RadSpec!$H$13*(AZ13/$B33),".")</f>
        <v>3791459.375</v>
      </c>
      <c r="BA33" s="49">
        <f>IFERROR(up_RadSpec!$H$13*(BA13/$B33),".")</f>
        <v>3791459.375</v>
      </c>
      <c r="BB33" s="49">
        <f>IFERROR(up_RadSpec!$H$13*(BB13/$B33),".")</f>
        <v>3791459.375</v>
      </c>
      <c r="BC33" s="60">
        <f t="shared" ref="BC33" si="13">IFERROR($B33/BC13,0)</f>
        <v>303316749999.99994</v>
      </c>
      <c r="BD33" s="60">
        <f t="shared" ref="BD33:CB34" si="14">IFERROR($B33/BD13,0)</f>
        <v>75829187499.999985</v>
      </c>
      <c r="BE33" s="60">
        <f t="shared" si="14"/>
        <v>75829187499.999985</v>
      </c>
      <c r="BF33" s="60">
        <f t="shared" si="14"/>
        <v>75829187499.999985</v>
      </c>
      <c r="BG33" s="60">
        <f t="shared" si="14"/>
        <v>75829187499.999985</v>
      </c>
      <c r="BH33" s="60">
        <f t="shared" si="14"/>
        <v>75829187499.999985</v>
      </c>
      <c r="BI33" s="60">
        <f t="shared" si="14"/>
        <v>75829187499.999985</v>
      </c>
      <c r="BJ33" s="60">
        <f t="shared" si="14"/>
        <v>75829187499.999985</v>
      </c>
      <c r="BK33" s="60">
        <f t="shared" si="14"/>
        <v>75829187499.999985</v>
      </c>
      <c r="BL33" s="60">
        <f t="shared" si="14"/>
        <v>75829187499.999985</v>
      </c>
      <c r="BM33" s="60">
        <f t="shared" si="14"/>
        <v>75829187499.999985</v>
      </c>
      <c r="BN33" s="60">
        <f t="shared" si="14"/>
        <v>75829187499.999985</v>
      </c>
      <c r="BO33" s="60">
        <f t="shared" si="14"/>
        <v>75829187499.999985</v>
      </c>
      <c r="BP33" s="60">
        <f t="shared" si="14"/>
        <v>75829187499.999985</v>
      </c>
      <c r="BQ33" s="60">
        <f t="shared" si="14"/>
        <v>75829187499.999985</v>
      </c>
      <c r="BR33" s="60">
        <f t="shared" si="14"/>
        <v>75829187499.999985</v>
      </c>
      <c r="BS33" s="60">
        <f t="shared" si="14"/>
        <v>75829187499.999985</v>
      </c>
      <c r="BT33" s="60">
        <f t="shared" si="14"/>
        <v>75829187499.999985</v>
      </c>
      <c r="BU33" s="60">
        <f t="shared" si="14"/>
        <v>75829187499.999985</v>
      </c>
      <c r="BV33" s="60">
        <f t="shared" si="14"/>
        <v>75829187499.999985</v>
      </c>
      <c r="BW33" s="60">
        <f t="shared" si="14"/>
        <v>75829187499.999985</v>
      </c>
      <c r="BX33" s="60">
        <f t="shared" si="14"/>
        <v>75829187499.999985</v>
      </c>
      <c r="BY33" s="60">
        <f t="shared" si="14"/>
        <v>75829187499.999985</v>
      </c>
      <c r="BZ33" s="60">
        <f t="shared" si="14"/>
        <v>75829187499.999985</v>
      </c>
      <c r="CA33" s="60">
        <f t="shared" si="14"/>
        <v>75829187499.999985</v>
      </c>
      <c r="CB33" s="60">
        <f t="shared" si="14"/>
        <v>75829187499.999985</v>
      </c>
      <c r="CC33" s="49">
        <f t="shared" si="3"/>
        <v>15165837.5</v>
      </c>
      <c r="CD33" s="49">
        <f>IFERROR(up_RadSpec!$H$13*(CD13/$B33),".")</f>
        <v>3791459.375</v>
      </c>
      <c r="CE33" s="49">
        <f>IFERROR(up_RadSpec!$H$13*(CE13/$B33),".")</f>
        <v>3791459.375</v>
      </c>
      <c r="CF33" s="49">
        <f>IFERROR(up_RadSpec!$H$13*(CF13/$B33),".")</f>
        <v>3791459.375</v>
      </c>
      <c r="CG33" s="49">
        <f>IFERROR(up_RadSpec!$H$13*(CG13/$B33),".")</f>
        <v>3791459.375</v>
      </c>
      <c r="CH33" s="49">
        <f>IFERROR(up_RadSpec!$H$13*(CH13/$B33),".")</f>
        <v>3791459.375</v>
      </c>
      <c r="CI33" s="49">
        <f>IFERROR(up_RadSpec!$H$13*(CI13/$B33),".")</f>
        <v>3791459.375</v>
      </c>
      <c r="CJ33" s="49">
        <f>IFERROR(up_RadSpec!$H$13*(CJ13/$B33),".")</f>
        <v>3791459.375</v>
      </c>
      <c r="CK33" s="49">
        <f>IFERROR(up_RadSpec!$H$13*(CK13/$B33),".")</f>
        <v>3791459.375</v>
      </c>
      <c r="CL33" s="49">
        <f>IFERROR(up_RadSpec!$H$13*(CL13/$B33),".")</f>
        <v>3791459.375</v>
      </c>
      <c r="CM33" s="49">
        <f>IFERROR(up_RadSpec!$H$13*(CM13/$B33),".")</f>
        <v>3791459.375</v>
      </c>
      <c r="CN33" s="49">
        <f>IFERROR(up_RadSpec!$H$13*(CN13/$B33),".")</f>
        <v>3791459.375</v>
      </c>
      <c r="CO33" s="49">
        <f>IFERROR(up_RadSpec!$H$13*(CO13/$B33),".")</f>
        <v>3791459.375</v>
      </c>
      <c r="CP33" s="49">
        <f>IFERROR(up_RadSpec!$H$13*(CP13/$B33),".")</f>
        <v>3791459.375</v>
      </c>
      <c r="CQ33" s="49">
        <f>IFERROR(up_RadSpec!$H$13*(CQ13/$B33),".")</f>
        <v>3791459.375</v>
      </c>
      <c r="CR33" s="49">
        <f>IFERROR(up_RadSpec!$H$13*(CR13/$B33),".")</f>
        <v>3791459.375</v>
      </c>
      <c r="CS33" s="49">
        <f>IFERROR(up_RadSpec!$H$13*(CS13/$B33),".")</f>
        <v>3791459.375</v>
      </c>
      <c r="CT33" s="49">
        <f>IFERROR(up_RadSpec!$H$13*(CT13/$B33),".")</f>
        <v>3791459.375</v>
      </c>
      <c r="CU33" s="49">
        <f>IFERROR(up_RadSpec!$H$13*(CU13/$B33),".")</f>
        <v>3791459.375</v>
      </c>
      <c r="CV33" s="49">
        <f>IFERROR(up_RadSpec!$H$13*(CV13/$B33),".")</f>
        <v>3791459.375</v>
      </c>
      <c r="CW33" s="49">
        <f>IFERROR(up_RadSpec!$H$13*(CW13/$B33),".")</f>
        <v>3791459.375</v>
      </c>
      <c r="CX33" s="49">
        <f>IFERROR(up_RadSpec!$H$13*(CX13/$B33),".")</f>
        <v>3791459.375</v>
      </c>
      <c r="CY33" s="49">
        <f>IFERROR(up_RadSpec!$H$13*(CY13/$B33),".")</f>
        <v>3791459.375</v>
      </c>
      <c r="CZ33" s="49">
        <f>IFERROR(up_RadSpec!$H$13*(CZ13/$B33),".")</f>
        <v>3791459.375</v>
      </c>
      <c r="DA33" s="49">
        <f>IFERROR(up_RadSpec!$H$13*(DA13/$B33),".")</f>
        <v>3791459.375</v>
      </c>
      <c r="DB33" s="49">
        <f>IFERROR(up_RadSpec!$H$13*(DB13/$B33),".")</f>
        <v>3791459.375</v>
      </c>
    </row>
    <row r="34" spans="1:106" x14ac:dyDescent="0.25">
      <c r="A34" s="83" t="s">
        <v>1076</v>
      </c>
      <c r="B34" s="42">
        <v>1</v>
      </c>
      <c r="C34" s="60">
        <f t="shared" ref="C34" si="15">IFERROR(C14/$B34,0)</f>
        <v>3.2968835384132272E-12</v>
      </c>
      <c r="D34" s="60">
        <f t="shared" si="12"/>
        <v>1.3187534153652907E-11</v>
      </c>
      <c r="E34" s="60">
        <f t="shared" si="12"/>
        <v>1.3187534153652907E-11</v>
      </c>
      <c r="F34" s="60">
        <f t="shared" si="12"/>
        <v>1.3187534153652907E-11</v>
      </c>
      <c r="G34" s="60">
        <f t="shared" si="12"/>
        <v>1.3187534153652907E-11</v>
      </c>
      <c r="H34" s="60">
        <f t="shared" si="12"/>
        <v>1.3187534153652907E-11</v>
      </c>
      <c r="I34" s="60">
        <f t="shared" si="12"/>
        <v>1.3187534153652907E-11</v>
      </c>
      <c r="J34" s="60">
        <f t="shared" si="12"/>
        <v>1.3187534153652907E-11</v>
      </c>
      <c r="K34" s="60">
        <f t="shared" si="12"/>
        <v>1.3187534153652907E-11</v>
      </c>
      <c r="L34" s="60">
        <f t="shared" si="12"/>
        <v>1.3187534153652907E-11</v>
      </c>
      <c r="M34" s="60">
        <f t="shared" si="12"/>
        <v>1.3187534153652907E-11</v>
      </c>
      <c r="N34" s="60">
        <f t="shared" si="12"/>
        <v>1.3187534153652907E-11</v>
      </c>
      <c r="O34" s="60">
        <f t="shared" si="12"/>
        <v>1.3187534153652907E-11</v>
      </c>
      <c r="P34" s="60">
        <f t="shared" si="12"/>
        <v>1.3187534153652907E-11</v>
      </c>
      <c r="Q34" s="60">
        <f t="shared" si="12"/>
        <v>1.3187534153652907E-11</v>
      </c>
      <c r="R34" s="60">
        <f t="shared" si="12"/>
        <v>1.3187534153652907E-11</v>
      </c>
      <c r="S34" s="60">
        <f t="shared" si="12"/>
        <v>1.3187534153652907E-11</v>
      </c>
      <c r="T34" s="60">
        <f t="shared" si="12"/>
        <v>1.3187534153652907E-11</v>
      </c>
      <c r="U34" s="60">
        <f t="shared" si="12"/>
        <v>1.3187534153652907E-11</v>
      </c>
      <c r="V34" s="60">
        <f t="shared" si="12"/>
        <v>1.3187534153652907E-11</v>
      </c>
      <c r="W34" s="60">
        <f t="shared" si="12"/>
        <v>1.3187534153652907E-11</v>
      </c>
      <c r="X34" s="60">
        <f t="shared" si="12"/>
        <v>1.3187534153652907E-11</v>
      </c>
      <c r="Y34" s="60">
        <f t="shared" si="12"/>
        <v>1.3187534153652907E-11</v>
      </c>
      <c r="Z34" s="60">
        <f t="shared" si="12"/>
        <v>1.3187534153652907E-11</v>
      </c>
      <c r="AA34" s="60">
        <f t="shared" si="12"/>
        <v>1.3187534153652907E-11</v>
      </c>
      <c r="AB34" s="60">
        <f t="shared" si="12"/>
        <v>1.3187534153652907E-11</v>
      </c>
      <c r="AC34" s="49">
        <f t="shared" si="1"/>
        <v>15165837.5</v>
      </c>
      <c r="AD34" s="49">
        <f>IFERROR(up_RadSpec!$H$14*(AD14/$B34),".")</f>
        <v>3791459.375</v>
      </c>
      <c r="AE34" s="49">
        <f>IFERROR(up_RadSpec!$H$14*(AE14/$B34),".")</f>
        <v>3791459.375</v>
      </c>
      <c r="AF34" s="49">
        <f>IFERROR(up_RadSpec!$H$14*(AF14/$B34),".")</f>
        <v>3791459.375</v>
      </c>
      <c r="AG34" s="49">
        <f>IFERROR(up_RadSpec!$H$14*(AG14/$B34),".")</f>
        <v>3791459.375</v>
      </c>
      <c r="AH34" s="49">
        <f>IFERROR(up_RadSpec!$H$14*(AH14/$B34),".")</f>
        <v>3791459.375</v>
      </c>
      <c r="AI34" s="49">
        <f>IFERROR(up_RadSpec!$H$14*(AI14/$B34),".")</f>
        <v>3791459.375</v>
      </c>
      <c r="AJ34" s="49">
        <f>IFERROR(up_RadSpec!$H$14*(AJ14/$B34),".")</f>
        <v>3791459.375</v>
      </c>
      <c r="AK34" s="49">
        <f>IFERROR(up_RadSpec!$H$14*(AK14/$B34),".")</f>
        <v>3791459.375</v>
      </c>
      <c r="AL34" s="49">
        <f>IFERROR(up_RadSpec!$H$14*(AL14/$B34),".")</f>
        <v>3791459.375</v>
      </c>
      <c r="AM34" s="49">
        <f>IFERROR(up_RadSpec!$H$14*(AM14/$B34),".")</f>
        <v>3791459.375</v>
      </c>
      <c r="AN34" s="49">
        <f>IFERROR(up_RadSpec!$H$14*(AN14/$B34),".")</f>
        <v>3791459.375</v>
      </c>
      <c r="AO34" s="49">
        <f>IFERROR(up_RadSpec!$H$14*(AO14/$B34),".")</f>
        <v>3791459.375</v>
      </c>
      <c r="AP34" s="49">
        <f>IFERROR(up_RadSpec!$H$14*(AP14/$B34),".")</f>
        <v>3791459.375</v>
      </c>
      <c r="AQ34" s="49">
        <f>IFERROR(up_RadSpec!$H$14*(AQ14/$B34),".")</f>
        <v>3791459.375</v>
      </c>
      <c r="AR34" s="49">
        <f>IFERROR(up_RadSpec!$H$14*(AR14/$B34),".")</f>
        <v>3791459.375</v>
      </c>
      <c r="AS34" s="49">
        <f>IFERROR(up_RadSpec!$H$14*(AS14/$B34),".")</f>
        <v>3791459.375</v>
      </c>
      <c r="AT34" s="49">
        <f>IFERROR(up_RadSpec!$H$14*(AT14/$B34),".")</f>
        <v>3791459.375</v>
      </c>
      <c r="AU34" s="49">
        <f>IFERROR(up_RadSpec!$H$14*(AU14/$B34),".")</f>
        <v>3791459.375</v>
      </c>
      <c r="AV34" s="49">
        <f>IFERROR(up_RadSpec!$H$14*(AV14/$B34),".")</f>
        <v>3791459.375</v>
      </c>
      <c r="AW34" s="49">
        <f>IFERROR(up_RadSpec!$H$14*(AW14/$B34),".")</f>
        <v>3791459.375</v>
      </c>
      <c r="AX34" s="49">
        <f>IFERROR(up_RadSpec!$H$14*(AX14/$B34),".")</f>
        <v>3791459.375</v>
      </c>
      <c r="AY34" s="49">
        <f>IFERROR(up_RadSpec!$H$14*(AY14/$B34),".")</f>
        <v>3791459.375</v>
      </c>
      <c r="AZ34" s="49">
        <f>IFERROR(up_RadSpec!$H$14*(AZ14/$B34),".")</f>
        <v>3791459.375</v>
      </c>
      <c r="BA34" s="49">
        <f>IFERROR(up_RadSpec!$H$14*(BA14/$B34),".")</f>
        <v>3791459.375</v>
      </c>
      <c r="BB34" s="49">
        <f>IFERROR(up_RadSpec!$H$14*(BB14/$B34),".")</f>
        <v>3791459.375</v>
      </c>
      <c r="BC34" s="60">
        <f t="shared" ref="BC34" si="16">IFERROR($B34/BC14,0)</f>
        <v>303316749999.99994</v>
      </c>
      <c r="BD34" s="60">
        <f t="shared" si="14"/>
        <v>75829187499.999985</v>
      </c>
      <c r="BE34" s="60">
        <f t="shared" si="14"/>
        <v>75829187499.999985</v>
      </c>
      <c r="BF34" s="60">
        <f t="shared" si="14"/>
        <v>75829187499.999985</v>
      </c>
      <c r="BG34" s="60">
        <f t="shared" si="14"/>
        <v>75829187499.999985</v>
      </c>
      <c r="BH34" s="60">
        <f t="shared" si="14"/>
        <v>75829187499.999985</v>
      </c>
      <c r="BI34" s="60">
        <f t="shared" si="14"/>
        <v>75829187499.999985</v>
      </c>
      <c r="BJ34" s="60">
        <f t="shared" si="14"/>
        <v>75829187499.999985</v>
      </c>
      <c r="BK34" s="60">
        <f t="shared" si="14"/>
        <v>75829187499.999985</v>
      </c>
      <c r="BL34" s="60">
        <f t="shared" si="14"/>
        <v>75829187499.999985</v>
      </c>
      <c r="BM34" s="60">
        <f t="shared" si="14"/>
        <v>75829187499.999985</v>
      </c>
      <c r="BN34" s="60">
        <f t="shared" si="14"/>
        <v>75829187499.999985</v>
      </c>
      <c r="BO34" s="60">
        <f t="shared" si="14"/>
        <v>75829187499.999985</v>
      </c>
      <c r="BP34" s="60">
        <f t="shared" si="14"/>
        <v>75829187499.999985</v>
      </c>
      <c r="BQ34" s="60">
        <f t="shared" si="14"/>
        <v>75829187499.999985</v>
      </c>
      <c r="BR34" s="60">
        <f t="shared" si="14"/>
        <v>75829187499.999985</v>
      </c>
      <c r="BS34" s="60">
        <f t="shared" si="14"/>
        <v>75829187499.999985</v>
      </c>
      <c r="BT34" s="60">
        <f t="shared" si="14"/>
        <v>75829187499.999985</v>
      </c>
      <c r="BU34" s="60">
        <f t="shared" si="14"/>
        <v>75829187499.999985</v>
      </c>
      <c r="BV34" s="60">
        <f t="shared" si="14"/>
        <v>75829187499.999985</v>
      </c>
      <c r="BW34" s="60">
        <f t="shared" si="14"/>
        <v>75829187499.999985</v>
      </c>
      <c r="BX34" s="60">
        <f t="shared" si="14"/>
        <v>75829187499.999985</v>
      </c>
      <c r="BY34" s="60">
        <f t="shared" si="14"/>
        <v>75829187499.999985</v>
      </c>
      <c r="BZ34" s="60">
        <f t="shared" si="14"/>
        <v>75829187499.999985</v>
      </c>
      <c r="CA34" s="60">
        <f t="shared" si="14"/>
        <v>75829187499.999985</v>
      </c>
      <c r="CB34" s="60">
        <f t="shared" si="14"/>
        <v>75829187499.999985</v>
      </c>
      <c r="CC34" s="49">
        <f t="shared" si="3"/>
        <v>15165837.5</v>
      </c>
      <c r="CD34" s="49">
        <f>IFERROR(up_RadSpec!$H$14*(CD14/$B34),".")</f>
        <v>3791459.375</v>
      </c>
      <c r="CE34" s="49">
        <f>IFERROR(up_RadSpec!$H$14*(CE14/$B34),".")</f>
        <v>3791459.375</v>
      </c>
      <c r="CF34" s="49">
        <f>IFERROR(up_RadSpec!$H$14*(CF14/$B34),".")</f>
        <v>3791459.375</v>
      </c>
      <c r="CG34" s="49">
        <f>IFERROR(up_RadSpec!$H$14*(CG14/$B34),".")</f>
        <v>3791459.375</v>
      </c>
      <c r="CH34" s="49">
        <f>IFERROR(up_RadSpec!$H$14*(CH14/$B34),".")</f>
        <v>3791459.375</v>
      </c>
      <c r="CI34" s="49">
        <f>IFERROR(up_RadSpec!$H$14*(CI14/$B34),".")</f>
        <v>3791459.375</v>
      </c>
      <c r="CJ34" s="49">
        <f>IFERROR(up_RadSpec!$H$14*(CJ14/$B34),".")</f>
        <v>3791459.375</v>
      </c>
      <c r="CK34" s="49">
        <f>IFERROR(up_RadSpec!$H$14*(CK14/$B34),".")</f>
        <v>3791459.375</v>
      </c>
      <c r="CL34" s="49">
        <f>IFERROR(up_RadSpec!$H$14*(CL14/$B34),".")</f>
        <v>3791459.375</v>
      </c>
      <c r="CM34" s="49">
        <f>IFERROR(up_RadSpec!$H$14*(CM14/$B34),".")</f>
        <v>3791459.375</v>
      </c>
      <c r="CN34" s="49">
        <f>IFERROR(up_RadSpec!$H$14*(CN14/$B34),".")</f>
        <v>3791459.375</v>
      </c>
      <c r="CO34" s="49">
        <f>IFERROR(up_RadSpec!$H$14*(CO14/$B34),".")</f>
        <v>3791459.375</v>
      </c>
      <c r="CP34" s="49">
        <f>IFERROR(up_RadSpec!$H$14*(CP14/$B34),".")</f>
        <v>3791459.375</v>
      </c>
      <c r="CQ34" s="49">
        <f>IFERROR(up_RadSpec!$H$14*(CQ14/$B34),".")</f>
        <v>3791459.375</v>
      </c>
      <c r="CR34" s="49">
        <f>IFERROR(up_RadSpec!$H$14*(CR14/$B34),".")</f>
        <v>3791459.375</v>
      </c>
      <c r="CS34" s="49">
        <f>IFERROR(up_RadSpec!$H$14*(CS14/$B34),".")</f>
        <v>3791459.375</v>
      </c>
      <c r="CT34" s="49">
        <f>IFERROR(up_RadSpec!$H$14*(CT14/$B34),".")</f>
        <v>3791459.375</v>
      </c>
      <c r="CU34" s="49">
        <f>IFERROR(up_RadSpec!$H$14*(CU14/$B34),".")</f>
        <v>3791459.375</v>
      </c>
      <c r="CV34" s="49">
        <f>IFERROR(up_RadSpec!$H$14*(CV14/$B34),".")</f>
        <v>3791459.375</v>
      </c>
      <c r="CW34" s="49">
        <f>IFERROR(up_RadSpec!$H$14*(CW14/$B34),".")</f>
        <v>3791459.375</v>
      </c>
      <c r="CX34" s="49">
        <f>IFERROR(up_RadSpec!$H$14*(CX14/$B34),".")</f>
        <v>3791459.375</v>
      </c>
      <c r="CY34" s="49">
        <f>IFERROR(up_RadSpec!$H$14*(CY14/$B34),".")</f>
        <v>3791459.375</v>
      </c>
      <c r="CZ34" s="49">
        <f>IFERROR(up_RadSpec!$H$14*(CZ14/$B34),".")</f>
        <v>3791459.375</v>
      </c>
      <c r="DA34" s="49">
        <f>IFERROR(up_RadSpec!$H$14*(DA14/$B34),".")</f>
        <v>3791459.375</v>
      </c>
      <c r="DB34" s="49">
        <f>IFERROR(up_RadSpec!$H$14*(DB14/$B34),".")</f>
        <v>3791459.375</v>
      </c>
    </row>
    <row r="35" spans="1:106" x14ac:dyDescent="0.25">
      <c r="A35" s="83" t="s">
        <v>1077</v>
      </c>
      <c r="B35" s="42">
        <v>1</v>
      </c>
      <c r="C35" s="60">
        <f t="shared" ref="C35" si="17">IFERROR(C30/$B35,0)</f>
        <v>3.2968835384132272E-12</v>
      </c>
      <c r="D35" s="60">
        <f t="shared" ref="D35:AB35" si="18">IFERROR(D30/$B35,0)</f>
        <v>1.3187534153652907E-11</v>
      </c>
      <c r="E35" s="60">
        <f t="shared" si="18"/>
        <v>1.3187534153652907E-11</v>
      </c>
      <c r="F35" s="60">
        <f t="shared" si="18"/>
        <v>1.3187534153652907E-11</v>
      </c>
      <c r="G35" s="60">
        <f t="shared" si="18"/>
        <v>1.3187534153652907E-11</v>
      </c>
      <c r="H35" s="60">
        <f t="shared" si="18"/>
        <v>1.3187534153652907E-11</v>
      </c>
      <c r="I35" s="60">
        <f t="shared" si="18"/>
        <v>1.3187534153652907E-11</v>
      </c>
      <c r="J35" s="60">
        <f t="shared" si="18"/>
        <v>1.3187534153652907E-11</v>
      </c>
      <c r="K35" s="60">
        <f t="shared" si="18"/>
        <v>1.3187534153652907E-11</v>
      </c>
      <c r="L35" s="60">
        <f t="shared" si="18"/>
        <v>1.3187534153652907E-11</v>
      </c>
      <c r="M35" s="60">
        <f t="shared" si="18"/>
        <v>1.3187534153652907E-11</v>
      </c>
      <c r="N35" s="60">
        <f t="shared" si="18"/>
        <v>1.3187534153652907E-11</v>
      </c>
      <c r="O35" s="60">
        <f t="shared" si="18"/>
        <v>1.3187534153652907E-11</v>
      </c>
      <c r="P35" s="60">
        <f t="shared" si="18"/>
        <v>1.3187534153652907E-11</v>
      </c>
      <c r="Q35" s="60">
        <f t="shared" si="18"/>
        <v>1.3187534153652907E-11</v>
      </c>
      <c r="R35" s="60">
        <f t="shared" si="18"/>
        <v>1.3187534153652907E-11</v>
      </c>
      <c r="S35" s="60">
        <f t="shared" si="18"/>
        <v>1.3187534153652907E-11</v>
      </c>
      <c r="T35" s="60">
        <f t="shared" si="18"/>
        <v>1.3187534153652907E-11</v>
      </c>
      <c r="U35" s="60">
        <f t="shared" si="18"/>
        <v>1.3187534153652907E-11</v>
      </c>
      <c r="V35" s="60">
        <f t="shared" si="18"/>
        <v>1.3187534153652907E-11</v>
      </c>
      <c r="W35" s="60">
        <f t="shared" si="18"/>
        <v>1.3187534153652907E-11</v>
      </c>
      <c r="X35" s="60">
        <f t="shared" si="18"/>
        <v>1.3187534153652907E-11</v>
      </c>
      <c r="Y35" s="60">
        <f t="shared" si="18"/>
        <v>1.3187534153652907E-11</v>
      </c>
      <c r="Z35" s="60">
        <f t="shared" si="18"/>
        <v>1.3187534153652907E-11</v>
      </c>
      <c r="AA35" s="60">
        <f t="shared" si="18"/>
        <v>1.3187534153652907E-11</v>
      </c>
      <c r="AB35" s="60">
        <f t="shared" si="18"/>
        <v>1.3187534153652907E-11</v>
      </c>
      <c r="AC35" s="49">
        <f t="shared" si="1"/>
        <v>15165837.5</v>
      </c>
      <c r="AD35" s="49">
        <f>IFERROR(up_RadSpec!$H$30*(AD30/$B35),".")</f>
        <v>3791459.375</v>
      </c>
      <c r="AE35" s="49">
        <f>IFERROR(up_RadSpec!$H$30*(AE30/$B35),".")</f>
        <v>3791459.375</v>
      </c>
      <c r="AF35" s="49">
        <f>IFERROR(up_RadSpec!$H$30*(AF30/$B35),".")</f>
        <v>3791459.375</v>
      </c>
      <c r="AG35" s="49">
        <f>IFERROR(up_RadSpec!$H$30*(AG30/$B35),".")</f>
        <v>3791459.375</v>
      </c>
      <c r="AH35" s="49">
        <f>IFERROR(up_RadSpec!$H$30*(AH30/$B35),".")</f>
        <v>3791459.375</v>
      </c>
      <c r="AI35" s="49">
        <f>IFERROR(up_RadSpec!$H$30*(AI30/$B35),".")</f>
        <v>3791459.375</v>
      </c>
      <c r="AJ35" s="49">
        <f>IFERROR(up_RadSpec!$H$30*(AJ30/$B35),".")</f>
        <v>3791459.375</v>
      </c>
      <c r="AK35" s="49">
        <f>IFERROR(up_RadSpec!$H$30*(AK30/$B35),".")</f>
        <v>3791459.375</v>
      </c>
      <c r="AL35" s="49">
        <f>IFERROR(up_RadSpec!$H$30*(AL30/$B35),".")</f>
        <v>3791459.375</v>
      </c>
      <c r="AM35" s="49">
        <f>IFERROR(up_RadSpec!$H$30*(AM30/$B35),".")</f>
        <v>3791459.375</v>
      </c>
      <c r="AN35" s="49">
        <f>IFERROR(up_RadSpec!$H$30*(AN30/$B35),".")</f>
        <v>3791459.375</v>
      </c>
      <c r="AO35" s="49">
        <f>IFERROR(up_RadSpec!$H$30*(AO30/$B35),".")</f>
        <v>3791459.375</v>
      </c>
      <c r="AP35" s="49">
        <f>IFERROR(up_RadSpec!$H$30*(AP30/$B35),".")</f>
        <v>3791459.375</v>
      </c>
      <c r="AQ35" s="49">
        <f>IFERROR(up_RadSpec!$H$30*(AQ30/$B35),".")</f>
        <v>3791459.375</v>
      </c>
      <c r="AR35" s="49">
        <f>IFERROR(up_RadSpec!$H$30*(AR30/$B35),".")</f>
        <v>3791459.375</v>
      </c>
      <c r="AS35" s="49">
        <f>IFERROR(up_RadSpec!$H$30*(AS30/$B35),".")</f>
        <v>3791459.375</v>
      </c>
      <c r="AT35" s="49">
        <f>IFERROR(up_RadSpec!$H$30*(AT30/$B35),".")</f>
        <v>3791459.375</v>
      </c>
      <c r="AU35" s="49">
        <f>IFERROR(up_RadSpec!$H$30*(AU30/$B35),".")</f>
        <v>3791459.375</v>
      </c>
      <c r="AV35" s="49">
        <f>IFERROR(up_RadSpec!$H$30*(AV30/$B35),".")</f>
        <v>3791459.375</v>
      </c>
      <c r="AW35" s="49">
        <f>IFERROR(up_RadSpec!$H$30*(AW30/$B35),".")</f>
        <v>3791459.375</v>
      </c>
      <c r="AX35" s="49">
        <f>IFERROR(up_RadSpec!$H$30*(AX30/$B35),".")</f>
        <v>3791459.375</v>
      </c>
      <c r="AY35" s="49">
        <f>IFERROR(up_RadSpec!$H$30*(AY30/$B35),".")</f>
        <v>3791459.375</v>
      </c>
      <c r="AZ35" s="49">
        <f>IFERROR(up_RadSpec!$H$30*(AZ30/$B35),".")</f>
        <v>3791459.375</v>
      </c>
      <c r="BA35" s="49">
        <f>IFERROR(up_RadSpec!$H$30*(BA30/$B35),".")</f>
        <v>3791459.375</v>
      </c>
      <c r="BB35" s="49">
        <f>IFERROR(up_RadSpec!$H$30*(BB30/$B35),".")</f>
        <v>3791459.375</v>
      </c>
      <c r="BC35" s="60">
        <f t="shared" ref="BC35" si="19">IFERROR($B35/BC30,0)</f>
        <v>303316749999.99994</v>
      </c>
      <c r="BD35" s="60">
        <f t="shared" ref="BD35:CB35" si="20">IFERROR($B35/BD30,0)</f>
        <v>75829187499.999985</v>
      </c>
      <c r="BE35" s="60">
        <f t="shared" si="20"/>
        <v>75829187499.999985</v>
      </c>
      <c r="BF35" s="60">
        <f t="shared" si="20"/>
        <v>75829187499.999985</v>
      </c>
      <c r="BG35" s="60">
        <f t="shared" si="20"/>
        <v>75829187499.999985</v>
      </c>
      <c r="BH35" s="60">
        <f t="shared" si="20"/>
        <v>75829187499.999985</v>
      </c>
      <c r="BI35" s="60">
        <f t="shared" si="20"/>
        <v>75829187499.999985</v>
      </c>
      <c r="BJ35" s="60">
        <f t="shared" si="20"/>
        <v>75829187499.999985</v>
      </c>
      <c r="BK35" s="60">
        <f t="shared" si="20"/>
        <v>75829187499.999985</v>
      </c>
      <c r="BL35" s="60">
        <f t="shared" si="20"/>
        <v>75829187499.999985</v>
      </c>
      <c r="BM35" s="60">
        <f t="shared" si="20"/>
        <v>75829187499.999985</v>
      </c>
      <c r="BN35" s="60">
        <f t="shared" si="20"/>
        <v>75829187499.999985</v>
      </c>
      <c r="BO35" s="60">
        <f t="shared" si="20"/>
        <v>75829187499.999985</v>
      </c>
      <c r="BP35" s="60">
        <f t="shared" si="20"/>
        <v>75829187499.999985</v>
      </c>
      <c r="BQ35" s="60">
        <f t="shared" si="20"/>
        <v>75829187499.999985</v>
      </c>
      <c r="BR35" s="60">
        <f t="shared" si="20"/>
        <v>75829187499.999985</v>
      </c>
      <c r="BS35" s="60">
        <f t="shared" si="20"/>
        <v>75829187499.999985</v>
      </c>
      <c r="BT35" s="60">
        <f t="shared" si="20"/>
        <v>75829187499.999985</v>
      </c>
      <c r="BU35" s="60">
        <f t="shared" si="20"/>
        <v>75829187499.999985</v>
      </c>
      <c r="BV35" s="60">
        <f t="shared" si="20"/>
        <v>75829187499.999985</v>
      </c>
      <c r="BW35" s="60">
        <f t="shared" si="20"/>
        <v>75829187499.999985</v>
      </c>
      <c r="BX35" s="60">
        <f t="shared" si="20"/>
        <v>75829187499.999985</v>
      </c>
      <c r="BY35" s="60">
        <f t="shared" si="20"/>
        <v>75829187499.999985</v>
      </c>
      <c r="BZ35" s="60">
        <f t="shared" si="20"/>
        <v>75829187499.999985</v>
      </c>
      <c r="CA35" s="60">
        <f t="shared" si="20"/>
        <v>75829187499.999985</v>
      </c>
      <c r="CB35" s="60">
        <f t="shared" si="20"/>
        <v>75829187499.999985</v>
      </c>
      <c r="CC35" s="49">
        <f t="shared" si="3"/>
        <v>15165837.5</v>
      </c>
      <c r="CD35" s="49">
        <f>IFERROR(up_RadSpec!$H$30*(CD30/$B35),".")</f>
        <v>3791459.375</v>
      </c>
      <c r="CE35" s="49">
        <f>IFERROR(up_RadSpec!$H$30*(CE30/$B35),".")</f>
        <v>3791459.375</v>
      </c>
      <c r="CF35" s="49">
        <f>IFERROR(up_RadSpec!$H$30*(CF30/$B35),".")</f>
        <v>3791459.375</v>
      </c>
      <c r="CG35" s="49">
        <f>IFERROR(up_RadSpec!$H$30*(CG30/$B35),".")</f>
        <v>3791459.375</v>
      </c>
      <c r="CH35" s="49">
        <f>IFERROR(up_RadSpec!$H$30*(CH30/$B35),".")</f>
        <v>3791459.375</v>
      </c>
      <c r="CI35" s="49">
        <f>IFERROR(up_RadSpec!$H$30*(CI30/$B35),".")</f>
        <v>3791459.375</v>
      </c>
      <c r="CJ35" s="49">
        <f>IFERROR(up_RadSpec!$H$30*(CJ30/$B35),".")</f>
        <v>3791459.375</v>
      </c>
      <c r="CK35" s="49">
        <f>IFERROR(up_RadSpec!$H$30*(CK30/$B35),".")</f>
        <v>3791459.375</v>
      </c>
      <c r="CL35" s="49">
        <f>IFERROR(up_RadSpec!$H$30*(CL30/$B35),".")</f>
        <v>3791459.375</v>
      </c>
      <c r="CM35" s="49">
        <f>IFERROR(up_RadSpec!$H$30*(CM30/$B35),".")</f>
        <v>3791459.375</v>
      </c>
      <c r="CN35" s="49">
        <f>IFERROR(up_RadSpec!$H$30*(CN30/$B35),".")</f>
        <v>3791459.375</v>
      </c>
      <c r="CO35" s="49">
        <f>IFERROR(up_RadSpec!$H$30*(CO30/$B35),".")</f>
        <v>3791459.375</v>
      </c>
      <c r="CP35" s="49">
        <f>IFERROR(up_RadSpec!$H$30*(CP30/$B35),".")</f>
        <v>3791459.375</v>
      </c>
      <c r="CQ35" s="49">
        <f>IFERROR(up_RadSpec!$H$30*(CQ30/$B35),".")</f>
        <v>3791459.375</v>
      </c>
      <c r="CR35" s="49">
        <f>IFERROR(up_RadSpec!$H$30*(CR30/$B35),".")</f>
        <v>3791459.375</v>
      </c>
      <c r="CS35" s="49">
        <f>IFERROR(up_RadSpec!$H$30*(CS30/$B35),".")</f>
        <v>3791459.375</v>
      </c>
      <c r="CT35" s="49">
        <f>IFERROR(up_RadSpec!$H$30*(CT30/$B35),".")</f>
        <v>3791459.375</v>
      </c>
      <c r="CU35" s="49">
        <f>IFERROR(up_RadSpec!$H$30*(CU30/$B35),".")</f>
        <v>3791459.375</v>
      </c>
      <c r="CV35" s="49">
        <f>IFERROR(up_RadSpec!$H$30*(CV30/$B35),".")</f>
        <v>3791459.375</v>
      </c>
      <c r="CW35" s="49">
        <f>IFERROR(up_RadSpec!$H$30*(CW30/$B35),".")</f>
        <v>3791459.375</v>
      </c>
      <c r="CX35" s="49">
        <f>IFERROR(up_RadSpec!$H$30*(CX30/$B35),".")</f>
        <v>3791459.375</v>
      </c>
      <c r="CY35" s="49">
        <f>IFERROR(up_RadSpec!$H$30*(CY30/$B35),".")</f>
        <v>3791459.375</v>
      </c>
      <c r="CZ35" s="49">
        <f>IFERROR(up_RadSpec!$H$30*(CZ30/$B35),".")</f>
        <v>3791459.375</v>
      </c>
      <c r="DA35" s="49">
        <f>IFERROR(up_RadSpec!$H$30*(DA30/$B35),".")</f>
        <v>3791459.375</v>
      </c>
      <c r="DB35" s="49">
        <f>IFERROR(up_RadSpec!$H$30*(DB30/$B35),".")</f>
        <v>3791459.375</v>
      </c>
    </row>
    <row r="36" spans="1:106" x14ac:dyDescent="0.25">
      <c r="A36" s="83" t="s">
        <v>1078</v>
      </c>
      <c r="B36" s="42">
        <v>1</v>
      </c>
      <c r="C36" s="60">
        <f t="shared" ref="C36" si="21">IFERROR(C26/$B36,0)</f>
        <v>3.2968835384132272E-12</v>
      </c>
      <c r="D36" s="60">
        <f t="shared" ref="D36:AB36" si="22">IFERROR(D26/$B36,0)</f>
        <v>1.3187534153652907E-11</v>
      </c>
      <c r="E36" s="60">
        <f t="shared" si="22"/>
        <v>1.3187534153652907E-11</v>
      </c>
      <c r="F36" s="60">
        <f t="shared" si="22"/>
        <v>1.3187534153652907E-11</v>
      </c>
      <c r="G36" s="60">
        <f t="shared" si="22"/>
        <v>1.3187534153652907E-11</v>
      </c>
      <c r="H36" s="60">
        <f t="shared" si="22"/>
        <v>1.3187534153652907E-11</v>
      </c>
      <c r="I36" s="60">
        <f t="shared" si="22"/>
        <v>1.3187534153652907E-11</v>
      </c>
      <c r="J36" s="60">
        <f t="shared" si="22"/>
        <v>1.3187534153652907E-11</v>
      </c>
      <c r="K36" s="60">
        <f t="shared" si="22"/>
        <v>1.3187534153652907E-11</v>
      </c>
      <c r="L36" s="60">
        <f t="shared" si="22"/>
        <v>1.3187534153652907E-11</v>
      </c>
      <c r="M36" s="60">
        <f t="shared" si="22"/>
        <v>1.3187534153652907E-11</v>
      </c>
      <c r="N36" s="60">
        <f t="shared" si="22"/>
        <v>1.3187534153652907E-11</v>
      </c>
      <c r="O36" s="60">
        <f t="shared" si="22"/>
        <v>1.3187534153652907E-11</v>
      </c>
      <c r="P36" s="60">
        <f t="shared" si="22"/>
        <v>1.3187534153652907E-11</v>
      </c>
      <c r="Q36" s="60">
        <f t="shared" si="22"/>
        <v>1.3187534153652907E-11</v>
      </c>
      <c r="R36" s="60">
        <f t="shared" si="22"/>
        <v>1.3187534153652907E-11</v>
      </c>
      <c r="S36" s="60">
        <f t="shared" si="22"/>
        <v>1.3187534153652907E-11</v>
      </c>
      <c r="T36" s="60">
        <f t="shared" si="22"/>
        <v>1.3187534153652907E-11</v>
      </c>
      <c r="U36" s="60">
        <f t="shared" si="22"/>
        <v>1.3187534153652907E-11</v>
      </c>
      <c r="V36" s="60">
        <f t="shared" si="22"/>
        <v>1.3187534153652907E-11</v>
      </c>
      <c r="W36" s="60">
        <f t="shared" si="22"/>
        <v>1.3187534153652907E-11</v>
      </c>
      <c r="X36" s="60">
        <f t="shared" si="22"/>
        <v>1.3187534153652907E-11</v>
      </c>
      <c r="Y36" s="60">
        <f t="shared" si="22"/>
        <v>1.3187534153652907E-11</v>
      </c>
      <c r="Z36" s="60">
        <f t="shared" si="22"/>
        <v>1.3187534153652907E-11</v>
      </c>
      <c r="AA36" s="60">
        <f t="shared" si="22"/>
        <v>1.3187534153652907E-11</v>
      </c>
      <c r="AB36" s="60">
        <f t="shared" si="22"/>
        <v>1.3187534153652907E-11</v>
      </c>
      <c r="AC36" s="49">
        <f t="shared" si="1"/>
        <v>15165837.5</v>
      </c>
      <c r="AD36" s="49">
        <f>IFERROR(up_RadSpec!$H$26*(AD26/$B36),".")</f>
        <v>3791459.375</v>
      </c>
      <c r="AE36" s="49">
        <f>IFERROR(up_RadSpec!$H$26*(AE26/$B36),".")</f>
        <v>3791459.375</v>
      </c>
      <c r="AF36" s="49">
        <f>IFERROR(up_RadSpec!$H$26*(AF26/$B36),".")</f>
        <v>3791459.375</v>
      </c>
      <c r="AG36" s="49">
        <f>IFERROR(up_RadSpec!$H$26*(AG26/$B36),".")</f>
        <v>3791459.375</v>
      </c>
      <c r="AH36" s="49">
        <f>IFERROR(up_RadSpec!$H$26*(AH26/$B36),".")</f>
        <v>3791459.375</v>
      </c>
      <c r="AI36" s="49">
        <f>IFERROR(up_RadSpec!$H$26*(AI26/$B36),".")</f>
        <v>3791459.375</v>
      </c>
      <c r="AJ36" s="49">
        <f>IFERROR(up_RadSpec!$H$26*(AJ26/$B36),".")</f>
        <v>3791459.375</v>
      </c>
      <c r="AK36" s="49">
        <f>IFERROR(up_RadSpec!$H$26*(AK26/$B36),".")</f>
        <v>3791459.375</v>
      </c>
      <c r="AL36" s="49">
        <f>IFERROR(up_RadSpec!$H$26*(AL26/$B36),".")</f>
        <v>3791459.375</v>
      </c>
      <c r="AM36" s="49">
        <f>IFERROR(up_RadSpec!$H$26*(AM26/$B36),".")</f>
        <v>3791459.375</v>
      </c>
      <c r="AN36" s="49">
        <f>IFERROR(up_RadSpec!$H$26*(AN26/$B36),".")</f>
        <v>3791459.375</v>
      </c>
      <c r="AO36" s="49">
        <f>IFERROR(up_RadSpec!$H$26*(AO26/$B36),".")</f>
        <v>3791459.375</v>
      </c>
      <c r="AP36" s="49">
        <f>IFERROR(up_RadSpec!$H$26*(AP26/$B36),".")</f>
        <v>3791459.375</v>
      </c>
      <c r="AQ36" s="49">
        <f>IFERROR(up_RadSpec!$H$26*(AQ26/$B36),".")</f>
        <v>3791459.375</v>
      </c>
      <c r="AR36" s="49">
        <f>IFERROR(up_RadSpec!$H$26*(AR26/$B36),".")</f>
        <v>3791459.375</v>
      </c>
      <c r="AS36" s="49">
        <f>IFERROR(up_RadSpec!$H$26*(AS26/$B36),".")</f>
        <v>3791459.375</v>
      </c>
      <c r="AT36" s="49">
        <f>IFERROR(up_RadSpec!$H$26*(AT26/$B36),".")</f>
        <v>3791459.375</v>
      </c>
      <c r="AU36" s="49">
        <f>IFERROR(up_RadSpec!$H$26*(AU26/$B36),".")</f>
        <v>3791459.375</v>
      </c>
      <c r="AV36" s="49">
        <f>IFERROR(up_RadSpec!$H$26*(AV26/$B36),".")</f>
        <v>3791459.375</v>
      </c>
      <c r="AW36" s="49">
        <f>IFERROR(up_RadSpec!$H$26*(AW26/$B36),".")</f>
        <v>3791459.375</v>
      </c>
      <c r="AX36" s="49">
        <f>IFERROR(up_RadSpec!$H$26*(AX26/$B36),".")</f>
        <v>3791459.375</v>
      </c>
      <c r="AY36" s="49">
        <f>IFERROR(up_RadSpec!$H$26*(AY26/$B36),".")</f>
        <v>3791459.375</v>
      </c>
      <c r="AZ36" s="49">
        <f>IFERROR(up_RadSpec!$H$26*(AZ26/$B36),".")</f>
        <v>3791459.375</v>
      </c>
      <c r="BA36" s="49">
        <f>IFERROR(up_RadSpec!$H$26*(BA26/$B36),".")</f>
        <v>3791459.375</v>
      </c>
      <c r="BB36" s="49">
        <f>IFERROR(up_RadSpec!$H$26*(BB26/$B36),".")</f>
        <v>3791459.375</v>
      </c>
      <c r="BC36" s="60">
        <f t="shared" ref="BC36" si="23">IFERROR($B36/BC26,0)</f>
        <v>303316749999.99994</v>
      </c>
      <c r="BD36" s="60">
        <f t="shared" ref="BD36:CB36" si="24">IFERROR($B36/BD26,0)</f>
        <v>75829187499.999985</v>
      </c>
      <c r="BE36" s="60">
        <f t="shared" si="24"/>
        <v>75829187499.999985</v>
      </c>
      <c r="BF36" s="60">
        <f t="shared" si="24"/>
        <v>75829187499.999985</v>
      </c>
      <c r="BG36" s="60">
        <f t="shared" si="24"/>
        <v>75829187499.999985</v>
      </c>
      <c r="BH36" s="60">
        <f t="shared" si="24"/>
        <v>75829187499.999985</v>
      </c>
      <c r="BI36" s="60">
        <f t="shared" si="24"/>
        <v>75829187499.999985</v>
      </c>
      <c r="BJ36" s="60">
        <f t="shared" si="24"/>
        <v>75829187499.999985</v>
      </c>
      <c r="BK36" s="60">
        <f t="shared" si="24"/>
        <v>75829187499.999985</v>
      </c>
      <c r="BL36" s="60">
        <f t="shared" si="24"/>
        <v>75829187499.999985</v>
      </c>
      <c r="BM36" s="60">
        <f t="shared" si="24"/>
        <v>75829187499.999985</v>
      </c>
      <c r="BN36" s="60">
        <f t="shared" si="24"/>
        <v>75829187499.999985</v>
      </c>
      <c r="BO36" s="60">
        <f t="shared" si="24"/>
        <v>75829187499.999985</v>
      </c>
      <c r="BP36" s="60">
        <f t="shared" si="24"/>
        <v>75829187499.999985</v>
      </c>
      <c r="BQ36" s="60">
        <f t="shared" si="24"/>
        <v>75829187499.999985</v>
      </c>
      <c r="BR36" s="60">
        <f t="shared" si="24"/>
        <v>75829187499.999985</v>
      </c>
      <c r="BS36" s="60">
        <f t="shared" si="24"/>
        <v>75829187499.999985</v>
      </c>
      <c r="BT36" s="60">
        <f t="shared" si="24"/>
        <v>75829187499.999985</v>
      </c>
      <c r="BU36" s="60">
        <f t="shared" si="24"/>
        <v>75829187499.999985</v>
      </c>
      <c r="BV36" s="60">
        <f t="shared" si="24"/>
        <v>75829187499.999985</v>
      </c>
      <c r="BW36" s="60">
        <f t="shared" si="24"/>
        <v>75829187499.999985</v>
      </c>
      <c r="BX36" s="60">
        <f t="shared" si="24"/>
        <v>75829187499.999985</v>
      </c>
      <c r="BY36" s="60">
        <f t="shared" si="24"/>
        <v>75829187499.999985</v>
      </c>
      <c r="BZ36" s="60">
        <f t="shared" si="24"/>
        <v>75829187499.999985</v>
      </c>
      <c r="CA36" s="60">
        <f t="shared" si="24"/>
        <v>75829187499.999985</v>
      </c>
      <c r="CB36" s="60">
        <f t="shared" si="24"/>
        <v>75829187499.999985</v>
      </c>
      <c r="CC36" s="49">
        <f t="shared" si="3"/>
        <v>15165837.5</v>
      </c>
      <c r="CD36" s="49">
        <f>IFERROR(up_RadSpec!$H$26*(CD26/$B36),".")</f>
        <v>3791459.375</v>
      </c>
      <c r="CE36" s="49">
        <f>IFERROR(up_RadSpec!$H$26*(CE26/$B36),".")</f>
        <v>3791459.375</v>
      </c>
      <c r="CF36" s="49">
        <f>IFERROR(up_RadSpec!$H$26*(CF26/$B36),".")</f>
        <v>3791459.375</v>
      </c>
      <c r="CG36" s="49">
        <f>IFERROR(up_RadSpec!$H$26*(CG26/$B36),".")</f>
        <v>3791459.375</v>
      </c>
      <c r="CH36" s="49">
        <f>IFERROR(up_RadSpec!$H$26*(CH26/$B36),".")</f>
        <v>3791459.375</v>
      </c>
      <c r="CI36" s="49">
        <f>IFERROR(up_RadSpec!$H$26*(CI26/$B36),".")</f>
        <v>3791459.375</v>
      </c>
      <c r="CJ36" s="49">
        <f>IFERROR(up_RadSpec!$H$26*(CJ26/$B36),".")</f>
        <v>3791459.375</v>
      </c>
      <c r="CK36" s="49">
        <f>IFERROR(up_RadSpec!$H$26*(CK26/$B36),".")</f>
        <v>3791459.375</v>
      </c>
      <c r="CL36" s="49">
        <f>IFERROR(up_RadSpec!$H$26*(CL26/$B36),".")</f>
        <v>3791459.375</v>
      </c>
      <c r="CM36" s="49">
        <f>IFERROR(up_RadSpec!$H$26*(CM26/$B36),".")</f>
        <v>3791459.375</v>
      </c>
      <c r="CN36" s="49">
        <f>IFERROR(up_RadSpec!$H$26*(CN26/$B36),".")</f>
        <v>3791459.375</v>
      </c>
      <c r="CO36" s="49">
        <f>IFERROR(up_RadSpec!$H$26*(CO26/$B36),".")</f>
        <v>3791459.375</v>
      </c>
      <c r="CP36" s="49">
        <f>IFERROR(up_RadSpec!$H$26*(CP26/$B36),".")</f>
        <v>3791459.375</v>
      </c>
      <c r="CQ36" s="49">
        <f>IFERROR(up_RadSpec!$H$26*(CQ26/$B36),".")</f>
        <v>3791459.375</v>
      </c>
      <c r="CR36" s="49">
        <f>IFERROR(up_RadSpec!$H$26*(CR26/$B36),".")</f>
        <v>3791459.375</v>
      </c>
      <c r="CS36" s="49">
        <f>IFERROR(up_RadSpec!$H$26*(CS26/$B36),".")</f>
        <v>3791459.375</v>
      </c>
      <c r="CT36" s="49">
        <f>IFERROR(up_RadSpec!$H$26*(CT26/$B36),".")</f>
        <v>3791459.375</v>
      </c>
      <c r="CU36" s="49">
        <f>IFERROR(up_RadSpec!$H$26*(CU26/$B36),".")</f>
        <v>3791459.375</v>
      </c>
      <c r="CV36" s="49">
        <f>IFERROR(up_RadSpec!$H$26*(CV26/$B36),".")</f>
        <v>3791459.375</v>
      </c>
      <c r="CW36" s="49">
        <f>IFERROR(up_RadSpec!$H$26*(CW26/$B36),".")</f>
        <v>3791459.375</v>
      </c>
      <c r="CX36" s="49">
        <f>IFERROR(up_RadSpec!$H$26*(CX26/$B36),".")</f>
        <v>3791459.375</v>
      </c>
      <c r="CY36" s="49">
        <f>IFERROR(up_RadSpec!$H$26*(CY26/$B36),".")</f>
        <v>3791459.375</v>
      </c>
      <c r="CZ36" s="49">
        <f>IFERROR(up_RadSpec!$H$26*(CZ26/$B36),".")</f>
        <v>3791459.375</v>
      </c>
      <c r="DA36" s="49">
        <f>IFERROR(up_RadSpec!$H$26*(DA26/$B36),".")</f>
        <v>3791459.375</v>
      </c>
      <c r="DB36" s="49">
        <f>IFERROR(up_RadSpec!$H$26*(DB26/$B36),".")</f>
        <v>3791459.375</v>
      </c>
    </row>
    <row r="37" spans="1:106" x14ac:dyDescent="0.25">
      <c r="A37" s="83" t="s">
        <v>1079</v>
      </c>
      <c r="B37" s="42">
        <v>1</v>
      </c>
      <c r="C37" s="60">
        <f t="shared" ref="C37" si="25">IFERROR(C22/$B37,0)</f>
        <v>3.2968835384132272E-12</v>
      </c>
      <c r="D37" s="60">
        <f t="shared" ref="D37:AB37" si="26">IFERROR(D22/$B37,0)</f>
        <v>1.3187534153652907E-11</v>
      </c>
      <c r="E37" s="60">
        <f t="shared" si="26"/>
        <v>1.3187534153652907E-11</v>
      </c>
      <c r="F37" s="60">
        <f t="shared" si="26"/>
        <v>1.3187534153652907E-11</v>
      </c>
      <c r="G37" s="60">
        <f t="shared" si="26"/>
        <v>1.3187534153652907E-11</v>
      </c>
      <c r="H37" s="60">
        <f t="shared" si="26"/>
        <v>1.3187534153652907E-11</v>
      </c>
      <c r="I37" s="60">
        <f t="shared" si="26"/>
        <v>1.3187534153652907E-11</v>
      </c>
      <c r="J37" s="60">
        <f t="shared" si="26"/>
        <v>1.3187534153652907E-11</v>
      </c>
      <c r="K37" s="60">
        <f t="shared" si="26"/>
        <v>1.3187534153652907E-11</v>
      </c>
      <c r="L37" s="60">
        <f t="shared" si="26"/>
        <v>1.3187534153652907E-11</v>
      </c>
      <c r="M37" s="60">
        <f t="shared" si="26"/>
        <v>1.3187534153652907E-11</v>
      </c>
      <c r="N37" s="60">
        <f t="shared" si="26"/>
        <v>1.3187534153652907E-11</v>
      </c>
      <c r="O37" s="60">
        <f t="shared" si="26"/>
        <v>1.3187534153652907E-11</v>
      </c>
      <c r="P37" s="60">
        <f t="shared" si="26"/>
        <v>1.3187534153652907E-11</v>
      </c>
      <c r="Q37" s="60">
        <f t="shared" si="26"/>
        <v>1.3187534153652907E-11</v>
      </c>
      <c r="R37" s="60">
        <f t="shared" si="26"/>
        <v>1.3187534153652907E-11</v>
      </c>
      <c r="S37" s="60">
        <f t="shared" si="26"/>
        <v>1.3187534153652907E-11</v>
      </c>
      <c r="T37" s="60">
        <f t="shared" si="26"/>
        <v>1.3187534153652907E-11</v>
      </c>
      <c r="U37" s="60">
        <f t="shared" si="26"/>
        <v>1.3187534153652907E-11</v>
      </c>
      <c r="V37" s="60">
        <f t="shared" si="26"/>
        <v>1.3187534153652907E-11</v>
      </c>
      <c r="W37" s="60">
        <f t="shared" si="26"/>
        <v>1.3187534153652907E-11</v>
      </c>
      <c r="X37" s="60">
        <f t="shared" si="26"/>
        <v>1.3187534153652907E-11</v>
      </c>
      <c r="Y37" s="60">
        <f t="shared" si="26"/>
        <v>1.3187534153652907E-11</v>
      </c>
      <c r="Z37" s="60">
        <f t="shared" si="26"/>
        <v>1.3187534153652907E-11</v>
      </c>
      <c r="AA37" s="60">
        <f t="shared" si="26"/>
        <v>1.3187534153652907E-11</v>
      </c>
      <c r="AB37" s="60">
        <f t="shared" si="26"/>
        <v>1.3187534153652907E-11</v>
      </c>
      <c r="AC37" s="49">
        <f t="shared" si="1"/>
        <v>15165837.5</v>
      </c>
      <c r="AD37" s="49">
        <f>IFERROR(up_RadSpec!$H$22*(AD22/$B37),".")</f>
        <v>3791459.375</v>
      </c>
      <c r="AE37" s="49">
        <f>IFERROR(up_RadSpec!$H$22*(AE22/$B37),".")</f>
        <v>3791459.375</v>
      </c>
      <c r="AF37" s="49">
        <f>IFERROR(up_RadSpec!$H$22*(AF22/$B37),".")</f>
        <v>3791459.375</v>
      </c>
      <c r="AG37" s="49">
        <f>IFERROR(up_RadSpec!$H$22*(AG22/$B37),".")</f>
        <v>3791459.375</v>
      </c>
      <c r="AH37" s="49">
        <f>IFERROR(up_RadSpec!$H$22*(AH22/$B37),".")</f>
        <v>3791459.375</v>
      </c>
      <c r="AI37" s="49">
        <f>IFERROR(up_RadSpec!$H$22*(AI22/$B37),".")</f>
        <v>3791459.375</v>
      </c>
      <c r="AJ37" s="49">
        <f>IFERROR(up_RadSpec!$H$22*(AJ22/$B37),".")</f>
        <v>3791459.375</v>
      </c>
      <c r="AK37" s="49">
        <f>IFERROR(up_RadSpec!$H$22*(AK22/$B37),".")</f>
        <v>3791459.375</v>
      </c>
      <c r="AL37" s="49">
        <f>IFERROR(up_RadSpec!$H$22*(AL22/$B37),".")</f>
        <v>3791459.375</v>
      </c>
      <c r="AM37" s="49">
        <f>IFERROR(up_RadSpec!$H$22*(AM22/$B37),".")</f>
        <v>3791459.375</v>
      </c>
      <c r="AN37" s="49">
        <f>IFERROR(up_RadSpec!$H$22*(AN22/$B37),".")</f>
        <v>3791459.375</v>
      </c>
      <c r="AO37" s="49">
        <f>IFERROR(up_RadSpec!$H$22*(AO22/$B37),".")</f>
        <v>3791459.375</v>
      </c>
      <c r="AP37" s="49">
        <f>IFERROR(up_RadSpec!$H$22*(AP22/$B37),".")</f>
        <v>3791459.375</v>
      </c>
      <c r="AQ37" s="49">
        <f>IFERROR(up_RadSpec!$H$22*(AQ22/$B37),".")</f>
        <v>3791459.375</v>
      </c>
      <c r="AR37" s="49">
        <f>IFERROR(up_RadSpec!$H$22*(AR22/$B37),".")</f>
        <v>3791459.375</v>
      </c>
      <c r="AS37" s="49">
        <f>IFERROR(up_RadSpec!$H$22*(AS22/$B37),".")</f>
        <v>3791459.375</v>
      </c>
      <c r="AT37" s="49">
        <f>IFERROR(up_RadSpec!$H$22*(AT22/$B37),".")</f>
        <v>3791459.375</v>
      </c>
      <c r="AU37" s="49">
        <f>IFERROR(up_RadSpec!$H$22*(AU22/$B37),".")</f>
        <v>3791459.375</v>
      </c>
      <c r="AV37" s="49">
        <f>IFERROR(up_RadSpec!$H$22*(AV22/$B37),".")</f>
        <v>3791459.375</v>
      </c>
      <c r="AW37" s="49">
        <f>IFERROR(up_RadSpec!$H$22*(AW22/$B37),".")</f>
        <v>3791459.375</v>
      </c>
      <c r="AX37" s="49">
        <f>IFERROR(up_RadSpec!$H$22*(AX22/$B37),".")</f>
        <v>3791459.375</v>
      </c>
      <c r="AY37" s="49">
        <f>IFERROR(up_RadSpec!$H$22*(AY22/$B37),".")</f>
        <v>3791459.375</v>
      </c>
      <c r="AZ37" s="49">
        <f>IFERROR(up_RadSpec!$H$22*(AZ22/$B37),".")</f>
        <v>3791459.375</v>
      </c>
      <c r="BA37" s="49">
        <f>IFERROR(up_RadSpec!$H$22*(BA22/$B37),".")</f>
        <v>3791459.375</v>
      </c>
      <c r="BB37" s="49">
        <f>IFERROR(up_RadSpec!$H$22*(BB22/$B37),".")</f>
        <v>3791459.375</v>
      </c>
      <c r="BC37" s="60">
        <f t="shared" ref="BC37" si="27">IFERROR($B37/BC22,0)</f>
        <v>303316749999.99994</v>
      </c>
      <c r="BD37" s="60">
        <f t="shared" ref="BD37:CB37" si="28">IFERROR($B37/BD22,0)</f>
        <v>75829187499.999985</v>
      </c>
      <c r="BE37" s="60">
        <f t="shared" si="28"/>
        <v>75829187499.999985</v>
      </c>
      <c r="BF37" s="60">
        <f t="shared" si="28"/>
        <v>75829187499.999985</v>
      </c>
      <c r="BG37" s="60">
        <f t="shared" si="28"/>
        <v>75829187499.999985</v>
      </c>
      <c r="BH37" s="60">
        <f t="shared" si="28"/>
        <v>75829187499.999985</v>
      </c>
      <c r="BI37" s="60">
        <f t="shared" si="28"/>
        <v>75829187499.999985</v>
      </c>
      <c r="BJ37" s="60">
        <f t="shared" si="28"/>
        <v>75829187499.999985</v>
      </c>
      <c r="BK37" s="60">
        <f t="shared" si="28"/>
        <v>75829187499.999985</v>
      </c>
      <c r="BL37" s="60">
        <f t="shared" si="28"/>
        <v>75829187499.999985</v>
      </c>
      <c r="BM37" s="60">
        <f t="shared" si="28"/>
        <v>75829187499.999985</v>
      </c>
      <c r="BN37" s="60">
        <f t="shared" si="28"/>
        <v>75829187499.999985</v>
      </c>
      <c r="BO37" s="60">
        <f t="shared" si="28"/>
        <v>75829187499.999985</v>
      </c>
      <c r="BP37" s="60">
        <f t="shared" si="28"/>
        <v>75829187499.999985</v>
      </c>
      <c r="BQ37" s="60">
        <f t="shared" si="28"/>
        <v>75829187499.999985</v>
      </c>
      <c r="BR37" s="60">
        <f t="shared" si="28"/>
        <v>75829187499.999985</v>
      </c>
      <c r="BS37" s="60">
        <f t="shared" si="28"/>
        <v>75829187499.999985</v>
      </c>
      <c r="BT37" s="60">
        <f t="shared" si="28"/>
        <v>75829187499.999985</v>
      </c>
      <c r="BU37" s="60">
        <f t="shared" si="28"/>
        <v>75829187499.999985</v>
      </c>
      <c r="BV37" s="60">
        <f t="shared" si="28"/>
        <v>75829187499.999985</v>
      </c>
      <c r="BW37" s="60">
        <f t="shared" si="28"/>
        <v>75829187499.999985</v>
      </c>
      <c r="BX37" s="60">
        <f t="shared" si="28"/>
        <v>75829187499.999985</v>
      </c>
      <c r="BY37" s="60">
        <f t="shared" si="28"/>
        <v>75829187499.999985</v>
      </c>
      <c r="BZ37" s="60">
        <f t="shared" si="28"/>
        <v>75829187499.999985</v>
      </c>
      <c r="CA37" s="60">
        <f t="shared" si="28"/>
        <v>75829187499.999985</v>
      </c>
      <c r="CB37" s="60">
        <f t="shared" si="28"/>
        <v>75829187499.999985</v>
      </c>
      <c r="CC37" s="49">
        <f t="shared" si="3"/>
        <v>15165837.5</v>
      </c>
      <c r="CD37" s="49">
        <f>IFERROR(up_RadSpec!$H$22*(CD22/$B37),".")</f>
        <v>3791459.375</v>
      </c>
      <c r="CE37" s="49">
        <f>IFERROR(up_RadSpec!$H$22*(CE22/$B37),".")</f>
        <v>3791459.375</v>
      </c>
      <c r="CF37" s="49">
        <f>IFERROR(up_RadSpec!$H$22*(CF22/$B37),".")</f>
        <v>3791459.375</v>
      </c>
      <c r="CG37" s="49">
        <f>IFERROR(up_RadSpec!$H$22*(CG22/$B37),".")</f>
        <v>3791459.375</v>
      </c>
      <c r="CH37" s="49">
        <f>IFERROR(up_RadSpec!$H$22*(CH22/$B37),".")</f>
        <v>3791459.375</v>
      </c>
      <c r="CI37" s="49">
        <f>IFERROR(up_RadSpec!$H$22*(CI22/$B37),".")</f>
        <v>3791459.375</v>
      </c>
      <c r="CJ37" s="49">
        <f>IFERROR(up_RadSpec!$H$22*(CJ22/$B37),".")</f>
        <v>3791459.375</v>
      </c>
      <c r="CK37" s="49">
        <f>IFERROR(up_RadSpec!$H$22*(CK22/$B37),".")</f>
        <v>3791459.375</v>
      </c>
      <c r="CL37" s="49">
        <f>IFERROR(up_RadSpec!$H$22*(CL22/$B37),".")</f>
        <v>3791459.375</v>
      </c>
      <c r="CM37" s="49">
        <f>IFERROR(up_RadSpec!$H$22*(CM22/$B37),".")</f>
        <v>3791459.375</v>
      </c>
      <c r="CN37" s="49">
        <f>IFERROR(up_RadSpec!$H$22*(CN22/$B37),".")</f>
        <v>3791459.375</v>
      </c>
      <c r="CO37" s="49">
        <f>IFERROR(up_RadSpec!$H$22*(CO22/$B37),".")</f>
        <v>3791459.375</v>
      </c>
      <c r="CP37" s="49">
        <f>IFERROR(up_RadSpec!$H$22*(CP22/$B37),".")</f>
        <v>3791459.375</v>
      </c>
      <c r="CQ37" s="49">
        <f>IFERROR(up_RadSpec!$H$22*(CQ22/$B37),".")</f>
        <v>3791459.375</v>
      </c>
      <c r="CR37" s="49">
        <f>IFERROR(up_RadSpec!$H$22*(CR22/$B37),".")</f>
        <v>3791459.375</v>
      </c>
      <c r="CS37" s="49">
        <f>IFERROR(up_RadSpec!$H$22*(CS22/$B37),".")</f>
        <v>3791459.375</v>
      </c>
      <c r="CT37" s="49">
        <f>IFERROR(up_RadSpec!$H$22*(CT22/$B37),".")</f>
        <v>3791459.375</v>
      </c>
      <c r="CU37" s="49">
        <f>IFERROR(up_RadSpec!$H$22*(CU22/$B37),".")</f>
        <v>3791459.375</v>
      </c>
      <c r="CV37" s="49">
        <f>IFERROR(up_RadSpec!$H$22*(CV22/$B37),".")</f>
        <v>3791459.375</v>
      </c>
      <c r="CW37" s="49">
        <f>IFERROR(up_RadSpec!$H$22*(CW22/$B37),".")</f>
        <v>3791459.375</v>
      </c>
      <c r="CX37" s="49">
        <f>IFERROR(up_RadSpec!$H$22*(CX22/$B37),".")</f>
        <v>3791459.375</v>
      </c>
      <c r="CY37" s="49">
        <f>IFERROR(up_RadSpec!$H$22*(CY22/$B37),".")</f>
        <v>3791459.375</v>
      </c>
      <c r="CZ37" s="49">
        <f>IFERROR(up_RadSpec!$H$22*(CZ22/$B37),".")</f>
        <v>3791459.375</v>
      </c>
      <c r="DA37" s="49">
        <f>IFERROR(up_RadSpec!$H$22*(DA22/$B37),".")</f>
        <v>3791459.375</v>
      </c>
      <c r="DB37" s="49">
        <f>IFERROR(up_RadSpec!$H$22*(DB22/$B37),".")</f>
        <v>3791459.375</v>
      </c>
    </row>
    <row r="38" spans="1:106" x14ac:dyDescent="0.25">
      <c r="A38" s="83" t="s">
        <v>1080</v>
      </c>
      <c r="B38" s="42">
        <v>1</v>
      </c>
      <c r="C38" s="60">
        <f t="shared" ref="C38" si="29">IFERROR(C2/$B38,0)</f>
        <v>3.2968835384132272E-12</v>
      </c>
      <c r="D38" s="60">
        <f t="shared" ref="D38:AB38" si="30">IFERROR(D2/$B38,0)</f>
        <v>1.3187534153652907E-11</v>
      </c>
      <c r="E38" s="60">
        <f t="shared" si="30"/>
        <v>1.3187534153652907E-11</v>
      </c>
      <c r="F38" s="60">
        <f t="shared" si="30"/>
        <v>1.3187534153652907E-11</v>
      </c>
      <c r="G38" s="60">
        <f t="shared" si="30"/>
        <v>1.3187534153652907E-11</v>
      </c>
      <c r="H38" s="60">
        <f t="shared" si="30"/>
        <v>1.3187534153652907E-11</v>
      </c>
      <c r="I38" s="60">
        <f t="shared" si="30"/>
        <v>1.3187534153652907E-11</v>
      </c>
      <c r="J38" s="60">
        <f t="shared" si="30"/>
        <v>1.3187534153652907E-11</v>
      </c>
      <c r="K38" s="60">
        <f t="shared" si="30"/>
        <v>1.3187534153652907E-11</v>
      </c>
      <c r="L38" s="60">
        <f t="shared" si="30"/>
        <v>1.3187534153652907E-11</v>
      </c>
      <c r="M38" s="60">
        <f t="shared" si="30"/>
        <v>1.3187534153652907E-11</v>
      </c>
      <c r="N38" s="60">
        <f t="shared" si="30"/>
        <v>1.3187534153652907E-11</v>
      </c>
      <c r="O38" s="60">
        <f t="shared" si="30"/>
        <v>1.3187534153652907E-11</v>
      </c>
      <c r="P38" s="60">
        <f t="shared" si="30"/>
        <v>1.3187534153652907E-11</v>
      </c>
      <c r="Q38" s="60">
        <f t="shared" si="30"/>
        <v>1.3187534153652907E-11</v>
      </c>
      <c r="R38" s="60">
        <f t="shared" si="30"/>
        <v>1.3187534153652907E-11</v>
      </c>
      <c r="S38" s="60">
        <f t="shared" si="30"/>
        <v>1.3187534153652907E-11</v>
      </c>
      <c r="T38" s="60">
        <f t="shared" si="30"/>
        <v>1.3187534153652907E-11</v>
      </c>
      <c r="U38" s="60">
        <f t="shared" si="30"/>
        <v>1.3187534153652907E-11</v>
      </c>
      <c r="V38" s="60">
        <f t="shared" si="30"/>
        <v>1.3187534153652907E-11</v>
      </c>
      <c r="W38" s="60">
        <f t="shared" si="30"/>
        <v>1.3187534153652907E-11</v>
      </c>
      <c r="X38" s="60">
        <f t="shared" si="30"/>
        <v>1.3187534153652907E-11</v>
      </c>
      <c r="Y38" s="60">
        <f t="shared" si="30"/>
        <v>1.3187534153652907E-11</v>
      </c>
      <c r="Z38" s="60">
        <f t="shared" si="30"/>
        <v>1.3187534153652907E-11</v>
      </c>
      <c r="AA38" s="60">
        <f t="shared" si="30"/>
        <v>1.3187534153652907E-11</v>
      </c>
      <c r="AB38" s="60">
        <f t="shared" si="30"/>
        <v>1.3187534153652907E-11</v>
      </c>
      <c r="AC38" s="49">
        <f t="shared" si="1"/>
        <v>15165837.5</v>
      </c>
      <c r="AD38" s="49">
        <f>IFERROR(up_RadSpec!$H$2*(AD2/$B38),".")</f>
        <v>3791459.375</v>
      </c>
      <c r="AE38" s="49">
        <f>IFERROR(up_RadSpec!$H$2*(AE2/$B38),".")</f>
        <v>3791459.375</v>
      </c>
      <c r="AF38" s="49">
        <f>IFERROR(up_RadSpec!$H$2*(AF2/$B38),".")</f>
        <v>3791459.375</v>
      </c>
      <c r="AG38" s="49">
        <f>IFERROR(up_RadSpec!$H$2*(AG2/$B38),".")</f>
        <v>3791459.375</v>
      </c>
      <c r="AH38" s="49">
        <f>IFERROR(up_RadSpec!$H$2*(AH2/$B38),".")</f>
        <v>3791459.375</v>
      </c>
      <c r="AI38" s="49">
        <f>IFERROR(up_RadSpec!$H$2*(AI2/$B38),".")</f>
        <v>3791459.375</v>
      </c>
      <c r="AJ38" s="49">
        <f>IFERROR(up_RadSpec!$H$2*(AJ2/$B38),".")</f>
        <v>3791459.375</v>
      </c>
      <c r="AK38" s="49">
        <f>IFERROR(up_RadSpec!$H$2*(AK2/$B38),".")</f>
        <v>3791459.375</v>
      </c>
      <c r="AL38" s="49">
        <f>IFERROR(up_RadSpec!$H$2*(AL2/$B38),".")</f>
        <v>3791459.375</v>
      </c>
      <c r="AM38" s="49">
        <f>IFERROR(up_RadSpec!$H$2*(AM2/$B38),".")</f>
        <v>3791459.375</v>
      </c>
      <c r="AN38" s="49">
        <f>IFERROR(up_RadSpec!$H$2*(AN2/$B38),".")</f>
        <v>3791459.375</v>
      </c>
      <c r="AO38" s="49">
        <f>IFERROR(up_RadSpec!$H$2*(AO2/$B38),".")</f>
        <v>3791459.375</v>
      </c>
      <c r="AP38" s="49">
        <f>IFERROR(up_RadSpec!$H$2*(AP2/$B38),".")</f>
        <v>3791459.375</v>
      </c>
      <c r="AQ38" s="49">
        <f>IFERROR(up_RadSpec!$H$2*(AQ2/$B38),".")</f>
        <v>3791459.375</v>
      </c>
      <c r="AR38" s="49">
        <f>IFERROR(up_RadSpec!$H$2*(AR2/$B38),".")</f>
        <v>3791459.375</v>
      </c>
      <c r="AS38" s="49">
        <f>IFERROR(up_RadSpec!$H$2*(AS2/$B38),".")</f>
        <v>3791459.375</v>
      </c>
      <c r="AT38" s="49">
        <f>IFERROR(up_RadSpec!$H$2*(AT2/$B38),".")</f>
        <v>3791459.375</v>
      </c>
      <c r="AU38" s="49">
        <f>IFERROR(up_RadSpec!$H$2*(AU2/$B38),".")</f>
        <v>3791459.375</v>
      </c>
      <c r="AV38" s="49">
        <f>IFERROR(up_RadSpec!$H$2*(AV2/$B38),".")</f>
        <v>3791459.375</v>
      </c>
      <c r="AW38" s="49">
        <f>IFERROR(up_RadSpec!$H$2*(AW2/$B38),".")</f>
        <v>3791459.375</v>
      </c>
      <c r="AX38" s="49">
        <f>IFERROR(up_RadSpec!$H$2*(AX2/$B38),".")</f>
        <v>3791459.375</v>
      </c>
      <c r="AY38" s="49">
        <f>IFERROR(up_RadSpec!$H$2*(AY2/$B38),".")</f>
        <v>3791459.375</v>
      </c>
      <c r="AZ38" s="49">
        <f>IFERROR(up_RadSpec!$H$2*(AZ2/$B38),".")</f>
        <v>3791459.375</v>
      </c>
      <c r="BA38" s="49">
        <f>IFERROR(up_RadSpec!$H$2*(BA2/$B38),".")</f>
        <v>3791459.375</v>
      </c>
      <c r="BB38" s="49">
        <f>IFERROR(up_RadSpec!$H$2*(BB2/$B38),".")</f>
        <v>3791459.375</v>
      </c>
      <c r="BC38" s="60">
        <f t="shared" ref="BC38" si="31">IFERROR($B38/BC2,0)</f>
        <v>303316749999.99994</v>
      </c>
      <c r="BD38" s="60">
        <f t="shared" ref="BD38:CB38" si="32">IFERROR($B38/BD2,0)</f>
        <v>75829187499.999985</v>
      </c>
      <c r="BE38" s="60">
        <f t="shared" si="32"/>
        <v>75829187499.999985</v>
      </c>
      <c r="BF38" s="60">
        <f t="shared" si="32"/>
        <v>75829187499.999985</v>
      </c>
      <c r="BG38" s="60">
        <f t="shared" si="32"/>
        <v>75829187499.999985</v>
      </c>
      <c r="BH38" s="60">
        <f t="shared" si="32"/>
        <v>75829187499.999985</v>
      </c>
      <c r="BI38" s="60">
        <f t="shared" si="32"/>
        <v>75829187499.999985</v>
      </c>
      <c r="BJ38" s="60">
        <f t="shared" si="32"/>
        <v>75829187499.999985</v>
      </c>
      <c r="BK38" s="60">
        <f t="shared" si="32"/>
        <v>75829187499.999985</v>
      </c>
      <c r="BL38" s="60">
        <f t="shared" si="32"/>
        <v>75829187499.999985</v>
      </c>
      <c r="BM38" s="60">
        <f t="shared" si="32"/>
        <v>75829187499.999985</v>
      </c>
      <c r="BN38" s="60">
        <f t="shared" si="32"/>
        <v>75829187499.999985</v>
      </c>
      <c r="BO38" s="60">
        <f t="shared" si="32"/>
        <v>75829187499.999985</v>
      </c>
      <c r="BP38" s="60">
        <f t="shared" si="32"/>
        <v>75829187499.999985</v>
      </c>
      <c r="BQ38" s="60">
        <f t="shared" si="32"/>
        <v>75829187499.999985</v>
      </c>
      <c r="BR38" s="60">
        <f t="shared" si="32"/>
        <v>75829187499.999985</v>
      </c>
      <c r="BS38" s="60">
        <f t="shared" si="32"/>
        <v>75829187499.999985</v>
      </c>
      <c r="BT38" s="60">
        <f t="shared" si="32"/>
        <v>75829187499.999985</v>
      </c>
      <c r="BU38" s="60">
        <f t="shared" si="32"/>
        <v>75829187499.999985</v>
      </c>
      <c r="BV38" s="60">
        <f t="shared" si="32"/>
        <v>75829187499.999985</v>
      </c>
      <c r="BW38" s="60">
        <f t="shared" si="32"/>
        <v>75829187499.999985</v>
      </c>
      <c r="BX38" s="60">
        <f t="shared" si="32"/>
        <v>75829187499.999985</v>
      </c>
      <c r="BY38" s="60">
        <f t="shared" si="32"/>
        <v>75829187499.999985</v>
      </c>
      <c r="BZ38" s="60">
        <f t="shared" si="32"/>
        <v>75829187499.999985</v>
      </c>
      <c r="CA38" s="60">
        <f t="shared" si="32"/>
        <v>75829187499.999985</v>
      </c>
      <c r="CB38" s="60">
        <f t="shared" si="32"/>
        <v>75829187499.999985</v>
      </c>
      <c r="CC38" s="49">
        <f t="shared" si="3"/>
        <v>15165837.5</v>
      </c>
      <c r="CD38" s="49">
        <f>IFERROR(up_RadSpec!$H$2*(CD2/$B38),".")</f>
        <v>3791459.375</v>
      </c>
      <c r="CE38" s="49">
        <f>IFERROR(up_RadSpec!$H$2*(CE2/$B38),".")</f>
        <v>3791459.375</v>
      </c>
      <c r="CF38" s="49">
        <f>IFERROR(up_RadSpec!$H$2*(CF2/$B38),".")</f>
        <v>3791459.375</v>
      </c>
      <c r="CG38" s="49">
        <f>IFERROR(up_RadSpec!$H$2*(CG2/$B38),".")</f>
        <v>3791459.375</v>
      </c>
      <c r="CH38" s="49">
        <f>IFERROR(up_RadSpec!$H$2*(CH2/$B38),".")</f>
        <v>3791459.375</v>
      </c>
      <c r="CI38" s="49">
        <f>IFERROR(up_RadSpec!$H$2*(CI2/$B38),".")</f>
        <v>3791459.375</v>
      </c>
      <c r="CJ38" s="49">
        <f>IFERROR(up_RadSpec!$H$2*(CJ2/$B38),".")</f>
        <v>3791459.375</v>
      </c>
      <c r="CK38" s="49">
        <f>IFERROR(up_RadSpec!$H$2*(CK2/$B38),".")</f>
        <v>3791459.375</v>
      </c>
      <c r="CL38" s="49">
        <f>IFERROR(up_RadSpec!$H$2*(CL2/$B38),".")</f>
        <v>3791459.375</v>
      </c>
      <c r="CM38" s="49">
        <f>IFERROR(up_RadSpec!$H$2*(CM2/$B38),".")</f>
        <v>3791459.375</v>
      </c>
      <c r="CN38" s="49">
        <f>IFERROR(up_RadSpec!$H$2*(CN2/$B38),".")</f>
        <v>3791459.375</v>
      </c>
      <c r="CO38" s="49">
        <f>IFERROR(up_RadSpec!$H$2*(CO2/$B38),".")</f>
        <v>3791459.375</v>
      </c>
      <c r="CP38" s="49">
        <f>IFERROR(up_RadSpec!$H$2*(CP2/$B38),".")</f>
        <v>3791459.375</v>
      </c>
      <c r="CQ38" s="49">
        <f>IFERROR(up_RadSpec!$H$2*(CQ2/$B38),".")</f>
        <v>3791459.375</v>
      </c>
      <c r="CR38" s="49">
        <f>IFERROR(up_RadSpec!$H$2*(CR2/$B38),".")</f>
        <v>3791459.375</v>
      </c>
      <c r="CS38" s="49">
        <f>IFERROR(up_RadSpec!$H$2*(CS2/$B38),".")</f>
        <v>3791459.375</v>
      </c>
      <c r="CT38" s="49">
        <f>IFERROR(up_RadSpec!$H$2*(CT2/$B38),".")</f>
        <v>3791459.375</v>
      </c>
      <c r="CU38" s="49">
        <f>IFERROR(up_RadSpec!$H$2*(CU2/$B38),".")</f>
        <v>3791459.375</v>
      </c>
      <c r="CV38" s="49">
        <f>IFERROR(up_RadSpec!$H$2*(CV2/$B38),".")</f>
        <v>3791459.375</v>
      </c>
      <c r="CW38" s="49">
        <f>IFERROR(up_RadSpec!$H$2*(CW2/$B38),".")</f>
        <v>3791459.375</v>
      </c>
      <c r="CX38" s="49">
        <f>IFERROR(up_RadSpec!$H$2*(CX2/$B38),".")</f>
        <v>3791459.375</v>
      </c>
      <c r="CY38" s="49">
        <f>IFERROR(up_RadSpec!$H$2*(CY2/$B38),".")</f>
        <v>3791459.375</v>
      </c>
      <c r="CZ38" s="49">
        <f>IFERROR(up_RadSpec!$H$2*(CZ2/$B38),".")</f>
        <v>3791459.375</v>
      </c>
      <c r="DA38" s="49">
        <f>IFERROR(up_RadSpec!$H$2*(DA2/$B38),".")</f>
        <v>3791459.375</v>
      </c>
      <c r="DB38" s="49">
        <f>IFERROR(up_RadSpec!$H$2*(DB2/$B38),".")</f>
        <v>3791459.375</v>
      </c>
    </row>
    <row r="39" spans="1:106" x14ac:dyDescent="0.25">
      <c r="A39" s="83" t="s">
        <v>1081</v>
      </c>
      <c r="B39" s="42">
        <v>1</v>
      </c>
      <c r="C39" s="60">
        <f t="shared" ref="C39" si="33">IFERROR(C11/$B39,0)</f>
        <v>3.2968835384132272E-12</v>
      </c>
      <c r="D39" s="60">
        <f t="shared" ref="D39:AB39" si="34">IFERROR(D11/$B39,0)</f>
        <v>1.3187534153652907E-11</v>
      </c>
      <c r="E39" s="60">
        <f t="shared" si="34"/>
        <v>1.3187534153652907E-11</v>
      </c>
      <c r="F39" s="60">
        <f t="shared" si="34"/>
        <v>1.3187534153652907E-11</v>
      </c>
      <c r="G39" s="60">
        <f t="shared" si="34"/>
        <v>1.3187534153652907E-11</v>
      </c>
      <c r="H39" s="60">
        <f t="shared" si="34"/>
        <v>1.3187534153652907E-11</v>
      </c>
      <c r="I39" s="60">
        <f t="shared" si="34"/>
        <v>1.3187534153652907E-11</v>
      </c>
      <c r="J39" s="60">
        <f t="shared" si="34"/>
        <v>1.3187534153652907E-11</v>
      </c>
      <c r="K39" s="60">
        <f t="shared" si="34"/>
        <v>1.3187534153652907E-11</v>
      </c>
      <c r="L39" s="60">
        <f t="shared" si="34"/>
        <v>1.3187534153652907E-11</v>
      </c>
      <c r="M39" s="60">
        <f t="shared" si="34"/>
        <v>1.3187534153652907E-11</v>
      </c>
      <c r="N39" s="60">
        <f t="shared" si="34"/>
        <v>1.3187534153652907E-11</v>
      </c>
      <c r="O39" s="60">
        <f t="shared" si="34"/>
        <v>1.3187534153652907E-11</v>
      </c>
      <c r="P39" s="60">
        <f t="shared" si="34"/>
        <v>1.3187534153652907E-11</v>
      </c>
      <c r="Q39" s="60">
        <f t="shared" si="34"/>
        <v>1.3187534153652907E-11</v>
      </c>
      <c r="R39" s="60">
        <f t="shared" si="34"/>
        <v>1.3187534153652907E-11</v>
      </c>
      <c r="S39" s="60">
        <f t="shared" si="34"/>
        <v>1.3187534153652907E-11</v>
      </c>
      <c r="T39" s="60">
        <f t="shared" si="34"/>
        <v>1.3187534153652907E-11</v>
      </c>
      <c r="U39" s="60">
        <f t="shared" si="34"/>
        <v>1.3187534153652907E-11</v>
      </c>
      <c r="V39" s="60">
        <f t="shared" si="34"/>
        <v>1.3187534153652907E-11</v>
      </c>
      <c r="W39" s="60">
        <f t="shared" si="34"/>
        <v>1.3187534153652907E-11</v>
      </c>
      <c r="X39" s="60">
        <f t="shared" si="34"/>
        <v>1.3187534153652907E-11</v>
      </c>
      <c r="Y39" s="60">
        <f t="shared" si="34"/>
        <v>1.3187534153652907E-11</v>
      </c>
      <c r="Z39" s="60">
        <f t="shared" si="34"/>
        <v>1.3187534153652907E-11</v>
      </c>
      <c r="AA39" s="60">
        <f t="shared" si="34"/>
        <v>1.3187534153652907E-11</v>
      </c>
      <c r="AB39" s="60">
        <f t="shared" si="34"/>
        <v>1.3187534153652907E-11</v>
      </c>
      <c r="AC39" s="49">
        <f t="shared" si="1"/>
        <v>15165837.5</v>
      </c>
      <c r="AD39" s="49">
        <f>IFERROR(up_RadSpec!$H$11*(AD11/$B39),".")</f>
        <v>3791459.375</v>
      </c>
      <c r="AE39" s="49">
        <f>IFERROR(up_RadSpec!$H$11*(AE11/$B39),".")</f>
        <v>3791459.375</v>
      </c>
      <c r="AF39" s="49">
        <f>IFERROR(up_RadSpec!$H$11*(AF11/$B39),".")</f>
        <v>3791459.375</v>
      </c>
      <c r="AG39" s="49">
        <f>IFERROR(up_RadSpec!$H$11*(AG11/$B39),".")</f>
        <v>3791459.375</v>
      </c>
      <c r="AH39" s="49">
        <f>IFERROR(up_RadSpec!$H$11*(AH11/$B39),".")</f>
        <v>3791459.375</v>
      </c>
      <c r="AI39" s="49">
        <f>IFERROR(up_RadSpec!$H$11*(AI11/$B39),".")</f>
        <v>3791459.375</v>
      </c>
      <c r="AJ39" s="49">
        <f>IFERROR(up_RadSpec!$H$11*(AJ11/$B39),".")</f>
        <v>3791459.375</v>
      </c>
      <c r="AK39" s="49">
        <f>IFERROR(up_RadSpec!$H$11*(AK11/$B39),".")</f>
        <v>3791459.375</v>
      </c>
      <c r="AL39" s="49">
        <f>IFERROR(up_RadSpec!$H$11*(AL11/$B39),".")</f>
        <v>3791459.375</v>
      </c>
      <c r="AM39" s="49">
        <f>IFERROR(up_RadSpec!$H$11*(AM11/$B39),".")</f>
        <v>3791459.375</v>
      </c>
      <c r="AN39" s="49">
        <f>IFERROR(up_RadSpec!$H$11*(AN11/$B39),".")</f>
        <v>3791459.375</v>
      </c>
      <c r="AO39" s="49">
        <f>IFERROR(up_RadSpec!$H$11*(AO11/$B39),".")</f>
        <v>3791459.375</v>
      </c>
      <c r="AP39" s="49">
        <f>IFERROR(up_RadSpec!$H$11*(AP11/$B39),".")</f>
        <v>3791459.375</v>
      </c>
      <c r="AQ39" s="49">
        <f>IFERROR(up_RadSpec!$H$11*(AQ11/$B39),".")</f>
        <v>3791459.375</v>
      </c>
      <c r="AR39" s="49">
        <f>IFERROR(up_RadSpec!$H$11*(AR11/$B39),".")</f>
        <v>3791459.375</v>
      </c>
      <c r="AS39" s="49">
        <f>IFERROR(up_RadSpec!$H$11*(AS11/$B39),".")</f>
        <v>3791459.375</v>
      </c>
      <c r="AT39" s="49">
        <f>IFERROR(up_RadSpec!$H$11*(AT11/$B39),".")</f>
        <v>3791459.375</v>
      </c>
      <c r="AU39" s="49">
        <f>IFERROR(up_RadSpec!$H$11*(AU11/$B39),".")</f>
        <v>3791459.375</v>
      </c>
      <c r="AV39" s="49">
        <f>IFERROR(up_RadSpec!$H$11*(AV11/$B39),".")</f>
        <v>3791459.375</v>
      </c>
      <c r="AW39" s="49">
        <f>IFERROR(up_RadSpec!$H$11*(AW11/$B39),".")</f>
        <v>3791459.375</v>
      </c>
      <c r="AX39" s="49">
        <f>IFERROR(up_RadSpec!$H$11*(AX11/$B39),".")</f>
        <v>3791459.375</v>
      </c>
      <c r="AY39" s="49">
        <f>IFERROR(up_RadSpec!$H$11*(AY11/$B39),".")</f>
        <v>3791459.375</v>
      </c>
      <c r="AZ39" s="49">
        <f>IFERROR(up_RadSpec!$H$11*(AZ11/$B39),".")</f>
        <v>3791459.375</v>
      </c>
      <c r="BA39" s="49">
        <f>IFERROR(up_RadSpec!$H$11*(BA11/$B39),".")</f>
        <v>3791459.375</v>
      </c>
      <c r="BB39" s="49">
        <f>IFERROR(up_RadSpec!$H$11*(BB11/$B39),".")</f>
        <v>3791459.375</v>
      </c>
      <c r="BC39" s="60">
        <f t="shared" ref="BC39" si="35">IFERROR($B39/BC11,0)</f>
        <v>303316749999.99994</v>
      </c>
      <c r="BD39" s="60">
        <f t="shared" ref="BD39:CB39" si="36">IFERROR($B39/BD11,0)</f>
        <v>75829187499.999985</v>
      </c>
      <c r="BE39" s="60">
        <f t="shared" si="36"/>
        <v>75829187499.999985</v>
      </c>
      <c r="BF39" s="60">
        <f t="shared" si="36"/>
        <v>75829187499.999985</v>
      </c>
      <c r="BG39" s="60">
        <f t="shared" si="36"/>
        <v>75829187499.999985</v>
      </c>
      <c r="BH39" s="60">
        <f t="shared" si="36"/>
        <v>75829187499.999985</v>
      </c>
      <c r="BI39" s="60">
        <f t="shared" si="36"/>
        <v>75829187499.999985</v>
      </c>
      <c r="BJ39" s="60">
        <f t="shared" si="36"/>
        <v>75829187499.999985</v>
      </c>
      <c r="BK39" s="60">
        <f t="shared" si="36"/>
        <v>75829187499.999985</v>
      </c>
      <c r="BL39" s="60">
        <f t="shared" si="36"/>
        <v>75829187499.999985</v>
      </c>
      <c r="BM39" s="60">
        <f t="shared" si="36"/>
        <v>75829187499.999985</v>
      </c>
      <c r="BN39" s="60">
        <f t="shared" si="36"/>
        <v>75829187499.999985</v>
      </c>
      <c r="BO39" s="60">
        <f t="shared" si="36"/>
        <v>75829187499.999985</v>
      </c>
      <c r="BP39" s="60">
        <f t="shared" si="36"/>
        <v>75829187499.999985</v>
      </c>
      <c r="BQ39" s="60">
        <f t="shared" si="36"/>
        <v>75829187499.999985</v>
      </c>
      <c r="BR39" s="60">
        <f t="shared" si="36"/>
        <v>75829187499.999985</v>
      </c>
      <c r="BS39" s="60">
        <f t="shared" si="36"/>
        <v>75829187499.999985</v>
      </c>
      <c r="BT39" s="60">
        <f t="shared" si="36"/>
        <v>75829187499.999985</v>
      </c>
      <c r="BU39" s="60">
        <f t="shared" si="36"/>
        <v>75829187499.999985</v>
      </c>
      <c r="BV39" s="60">
        <f t="shared" si="36"/>
        <v>75829187499.999985</v>
      </c>
      <c r="BW39" s="60">
        <f t="shared" si="36"/>
        <v>75829187499.999985</v>
      </c>
      <c r="BX39" s="60">
        <f t="shared" si="36"/>
        <v>75829187499.999985</v>
      </c>
      <c r="BY39" s="60">
        <f t="shared" si="36"/>
        <v>75829187499.999985</v>
      </c>
      <c r="BZ39" s="60">
        <f t="shared" si="36"/>
        <v>75829187499.999985</v>
      </c>
      <c r="CA39" s="60">
        <f t="shared" si="36"/>
        <v>75829187499.999985</v>
      </c>
      <c r="CB39" s="60">
        <f t="shared" si="36"/>
        <v>75829187499.999985</v>
      </c>
      <c r="CC39" s="49">
        <f t="shared" si="3"/>
        <v>15165837.5</v>
      </c>
      <c r="CD39" s="49">
        <f>IFERROR(up_RadSpec!$H$11*(CD11/$B39),".")</f>
        <v>3791459.375</v>
      </c>
      <c r="CE39" s="49">
        <f>IFERROR(up_RadSpec!$H$11*(CE11/$B39),".")</f>
        <v>3791459.375</v>
      </c>
      <c r="CF39" s="49">
        <f>IFERROR(up_RadSpec!$H$11*(CF11/$B39),".")</f>
        <v>3791459.375</v>
      </c>
      <c r="CG39" s="49">
        <f>IFERROR(up_RadSpec!$H$11*(CG11/$B39),".")</f>
        <v>3791459.375</v>
      </c>
      <c r="CH39" s="49">
        <f>IFERROR(up_RadSpec!$H$11*(CH11/$B39),".")</f>
        <v>3791459.375</v>
      </c>
      <c r="CI39" s="49">
        <f>IFERROR(up_RadSpec!$H$11*(CI11/$B39),".")</f>
        <v>3791459.375</v>
      </c>
      <c r="CJ39" s="49">
        <f>IFERROR(up_RadSpec!$H$11*(CJ11/$B39),".")</f>
        <v>3791459.375</v>
      </c>
      <c r="CK39" s="49">
        <f>IFERROR(up_RadSpec!$H$11*(CK11/$B39),".")</f>
        <v>3791459.375</v>
      </c>
      <c r="CL39" s="49">
        <f>IFERROR(up_RadSpec!$H$11*(CL11/$B39),".")</f>
        <v>3791459.375</v>
      </c>
      <c r="CM39" s="49">
        <f>IFERROR(up_RadSpec!$H$11*(CM11/$B39),".")</f>
        <v>3791459.375</v>
      </c>
      <c r="CN39" s="49">
        <f>IFERROR(up_RadSpec!$H$11*(CN11/$B39),".")</f>
        <v>3791459.375</v>
      </c>
      <c r="CO39" s="49">
        <f>IFERROR(up_RadSpec!$H$11*(CO11/$B39),".")</f>
        <v>3791459.375</v>
      </c>
      <c r="CP39" s="49">
        <f>IFERROR(up_RadSpec!$H$11*(CP11/$B39),".")</f>
        <v>3791459.375</v>
      </c>
      <c r="CQ39" s="49">
        <f>IFERROR(up_RadSpec!$H$11*(CQ11/$B39),".")</f>
        <v>3791459.375</v>
      </c>
      <c r="CR39" s="49">
        <f>IFERROR(up_RadSpec!$H$11*(CR11/$B39),".")</f>
        <v>3791459.375</v>
      </c>
      <c r="CS39" s="49">
        <f>IFERROR(up_RadSpec!$H$11*(CS11/$B39),".")</f>
        <v>3791459.375</v>
      </c>
      <c r="CT39" s="49">
        <f>IFERROR(up_RadSpec!$H$11*(CT11/$B39),".")</f>
        <v>3791459.375</v>
      </c>
      <c r="CU39" s="49">
        <f>IFERROR(up_RadSpec!$H$11*(CU11/$B39),".")</f>
        <v>3791459.375</v>
      </c>
      <c r="CV39" s="49">
        <f>IFERROR(up_RadSpec!$H$11*(CV11/$B39),".")</f>
        <v>3791459.375</v>
      </c>
      <c r="CW39" s="49">
        <f>IFERROR(up_RadSpec!$H$11*(CW11/$B39),".")</f>
        <v>3791459.375</v>
      </c>
      <c r="CX39" s="49">
        <f>IFERROR(up_RadSpec!$H$11*(CX11/$B39),".")</f>
        <v>3791459.375</v>
      </c>
      <c r="CY39" s="49">
        <f>IFERROR(up_RadSpec!$H$11*(CY11/$B39),".")</f>
        <v>3791459.375</v>
      </c>
      <c r="CZ39" s="49">
        <f>IFERROR(up_RadSpec!$H$11*(CZ11/$B39),".")</f>
        <v>3791459.375</v>
      </c>
      <c r="DA39" s="49">
        <f>IFERROR(up_RadSpec!$H$11*(DA11/$B39),".")</f>
        <v>3791459.375</v>
      </c>
      <c r="DB39" s="49">
        <f>IFERROR(up_RadSpec!$H$11*(DB11/$B39),".")</f>
        <v>3791459.375</v>
      </c>
    </row>
    <row r="40" spans="1:106" x14ac:dyDescent="0.25">
      <c r="A40" s="83" t="s">
        <v>1082</v>
      </c>
      <c r="B40" s="42">
        <v>1</v>
      </c>
      <c r="C40" s="60">
        <f t="shared" ref="C40" si="37">IFERROR(C4/$B40,0)</f>
        <v>3.2968835384132272E-12</v>
      </c>
      <c r="D40" s="60">
        <f t="shared" ref="D40:AB40" si="38">IFERROR(D4/$B40,0)</f>
        <v>1.3187534153652907E-11</v>
      </c>
      <c r="E40" s="60">
        <f t="shared" si="38"/>
        <v>1.3187534153652907E-11</v>
      </c>
      <c r="F40" s="60">
        <f t="shared" si="38"/>
        <v>1.3187534153652907E-11</v>
      </c>
      <c r="G40" s="60">
        <f t="shared" si="38"/>
        <v>1.3187534153652907E-11</v>
      </c>
      <c r="H40" s="60">
        <f t="shared" si="38"/>
        <v>1.3187534153652907E-11</v>
      </c>
      <c r="I40" s="60">
        <f t="shared" si="38"/>
        <v>1.3187534153652907E-11</v>
      </c>
      <c r="J40" s="60">
        <f t="shared" si="38"/>
        <v>1.3187534153652907E-11</v>
      </c>
      <c r="K40" s="60">
        <f t="shared" si="38"/>
        <v>1.3187534153652907E-11</v>
      </c>
      <c r="L40" s="60">
        <f t="shared" si="38"/>
        <v>1.3187534153652907E-11</v>
      </c>
      <c r="M40" s="60">
        <f t="shared" si="38"/>
        <v>1.3187534153652907E-11</v>
      </c>
      <c r="N40" s="60">
        <f t="shared" si="38"/>
        <v>1.3187534153652907E-11</v>
      </c>
      <c r="O40" s="60">
        <f t="shared" si="38"/>
        <v>1.3187534153652907E-11</v>
      </c>
      <c r="P40" s="60">
        <f t="shared" si="38"/>
        <v>1.3187534153652907E-11</v>
      </c>
      <c r="Q40" s="60">
        <f t="shared" si="38"/>
        <v>1.3187534153652907E-11</v>
      </c>
      <c r="R40" s="60">
        <f t="shared" si="38"/>
        <v>1.3187534153652907E-11</v>
      </c>
      <c r="S40" s="60">
        <f t="shared" si="38"/>
        <v>1.3187534153652907E-11</v>
      </c>
      <c r="T40" s="60">
        <f t="shared" si="38"/>
        <v>1.3187534153652907E-11</v>
      </c>
      <c r="U40" s="60">
        <f t="shared" si="38"/>
        <v>1.3187534153652907E-11</v>
      </c>
      <c r="V40" s="60">
        <f t="shared" si="38"/>
        <v>1.3187534153652907E-11</v>
      </c>
      <c r="W40" s="60">
        <f t="shared" si="38"/>
        <v>1.3187534153652907E-11</v>
      </c>
      <c r="X40" s="60">
        <f t="shared" si="38"/>
        <v>1.3187534153652907E-11</v>
      </c>
      <c r="Y40" s="60">
        <f t="shared" si="38"/>
        <v>1.3187534153652907E-11</v>
      </c>
      <c r="Z40" s="60">
        <f t="shared" si="38"/>
        <v>1.3187534153652907E-11</v>
      </c>
      <c r="AA40" s="60">
        <f t="shared" si="38"/>
        <v>1.3187534153652907E-11</v>
      </c>
      <c r="AB40" s="60">
        <f t="shared" si="38"/>
        <v>1.3187534153652907E-11</v>
      </c>
      <c r="AC40" s="49">
        <f t="shared" si="1"/>
        <v>15165837.5</v>
      </c>
      <c r="AD40" s="49">
        <f>IFERROR(up_RadSpec!$H$4*(AD4/$B40),".")</f>
        <v>3791459.375</v>
      </c>
      <c r="AE40" s="49">
        <f>IFERROR(up_RadSpec!$H$4*(AE4/$B40),".")</f>
        <v>3791459.375</v>
      </c>
      <c r="AF40" s="49">
        <f>IFERROR(up_RadSpec!$H$4*(AF4/$B40),".")</f>
        <v>3791459.375</v>
      </c>
      <c r="AG40" s="49">
        <f>IFERROR(up_RadSpec!$H$4*(AG4/$B40),".")</f>
        <v>3791459.375</v>
      </c>
      <c r="AH40" s="49">
        <f>IFERROR(up_RadSpec!$H$4*(AH4/$B40),".")</f>
        <v>3791459.375</v>
      </c>
      <c r="AI40" s="49">
        <f>IFERROR(up_RadSpec!$H$4*(AI4/$B40),".")</f>
        <v>3791459.375</v>
      </c>
      <c r="AJ40" s="49">
        <f>IFERROR(up_RadSpec!$H$4*(AJ4/$B40),".")</f>
        <v>3791459.375</v>
      </c>
      <c r="AK40" s="49">
        <f>IFERROR(up_RadSpec!$H$4*(AK4/$B40),".")</f>
        <v>3791459.375</v>
      </c>
      <c r="AL40" s="49">
        <f>IFERROR(up_RadSpec!$H$4*(AL4/$B40),".")</f>
        <v>3791459.375</v>
      </c>
      <c r="AM40" s="49">
        <f>IFERROR(up_RadSpec!$H$4*(AM4/$B40),".")</f>
        <v>3791459.375</v>
      </c>
      <c r="AN40" s="49">
        <f>IFERROR(up_RadSpec!$H$4*(AN4/$B40),".")</f>
        <v>3791459.375</v>
      </c>
      <c r="AO40" s="49">
        <f>IFERROR(up_RadSpec!$H$4*(AO4/$B40),".")</f>
        <v>3791459.375</v>
      </c>
      <c r="AP40" s="49">
        <f>IFERROR(up_RadSpec!$H$4*(AP4/$B40),".")</f>
        <v>3791459.375</v>
      </c>
      <c r="AQ40" s="49">
        <f>IFERROR(up_RadSpec!$H$4*(AQ4/$B40),".")</f>
        <v>3791459.375</v>
      </c>
      <c r="AR40" s="49">
        <f>IFERROR(up_RadSpec!$H$4*(AR4/$B40),".")</f>
        <v>3791459.375</v>
      </c>
      <c r="AS40" s="49">
        <f>IFERROR(up_RadSpec!$H$4*(AS4/$B40),".")</f>
        <v>3791459.375</v>
      </c>
      <c r="AT40" s="49">
        <f>IFERROR(up_RadSpec!$H$4*(AT4/$B40),".")</f>
        <v>3791459.375</v>
      </c>
      <c r="AU40" s="49">
        <f>IFERROR(up_RadSpec!$H$4*(AU4/$B40),".")</f>
        <v>3791459.375</v>
      </c>
      <c r="AV40" s="49">
        <f>IFERROR(up_RadSpec!$H$4*(AV4/$B40),".")</f>
        <v>3791459.375</v>
      </c>
      <c r="AW40" s="49">
        <f>IFERROR(up_RadSpec!$H$4*(AW4/$B40),".")</f>
        <v>3791459.375</v>
      </c>
      <c r="AX40" s="49">
        <f>IFERROR(up_RadSpec!$H$4*(AX4/$B40),".")</f>
        <v>3791459.375</v>
      </c>
      <c r="AY40" s="49">
        <f>IFERROR(up_RadSpec!$H$4*(AY4/$B40),".")</f>
        <v>3791459.375</v>
      </c>
      <c r="AZ40" s="49">
        <f>IFERROR(up_RadSpec!$H$4*(AZ4/$B40),".")</f>
        <v>3791459.375</v>
      </c>
      <c r="BA40" s="49">
        <f>IFERROR(up_RadSpec!$H$4*(BA4/$B40),".")</f>
        <v>3791459.375</v>
      </c>
      <c r="BB40" s="49">
        <f>IFERROR(up_RadSpec!$H$4*(BB4/$B40),".")</f>
        <v>3791459.375</v>
      </c>
      <c r="BC40" s="60">
        <f t="shared" ref="BC40" si="39">IFERROR($B40/BC4,0)</f>
        <v>303316749999.99994</v>
      </c>
      <c r="BD40" s="60">
        <f t="shared" ref="BD40:CB40" si="40">IFERROR($B40/BD4,0)</f>
        <v>75829187499.999985</v>
      </c>
      <c r="BE40" s="60">
        <f t="shared" si="40"/>
        <v>75829187499.999985</v>
      </c>
      <c r="BF40" s="60">
        <f t="shared" si="40"/>
        <v>75829187499.999985</v>
      </c>
      <c r="BG40" s="60">
        <f t="shared" si="40"/>
        <v>75829187499.999985</v>
      </c>
      <c r="BH40" s="60">
        <f t="shared" si="40"/>
        <v>75829187499.999985</v>
      </c>
      <c r="BI40" s="60">
        <f t="shared" si="40"/>
        <v>75829187499.999985</v>
      </c>
      <c r="BJ40" s="60">
        <f t="shared" si="40"/>
        <v>75829187499.999985</v>
      </c>
      <c r="BK40" s="60">
        <f t="shared" si="40"/>
        <v>75829187499.999985</v>
      </c>
      <c r="BL40" s="60">
        <f t="shared" si="40"/>
        <v>75829187499.999985</v>
      </c>
      <c r="BM40" s="60">
        <f t="shared" si="40"/>
        <v>75829187499.999985</v>
      </c>
      <c r="BN40" s="60">
        <f t="shared" si="40"/>
        <v>75829187499.999985</v>
      </c>
      <c r="BO40" s="60">
        <f t="shared" si="40"/>
        <v>75829187499.999985</v>
      </c>
      <c r="BP40" s="60">
        <f t="shared" si="40"/>
        <v>75829187499.999985</v>
      </c>
      <c r="BQ40" s="60">
        <f t="shared" si="40"/>
        <v>75829187499.999985</v>
      </c>
      <c r="BR40" s="60">
        <f t="shared" si="40"/>
        <v>75829187499.999985</v>
      </c>
      <c r="BS40" s="60">
        <f t="shared" si="40"/>
        <v>75829187499.999985</v>
      </c>
      <c r="BT40" s="60">
        <f t="shared" si="40"/>
        <v>75829187499.999985</v>
      </c>
      <c r="BU40" s="60">
        <f t="shared" si="40"/>
        <v>75829187499.999985</v>
      </c>
      <c r="BV40" s="60">
        <f t="shared" si="40"/>
        <v>75829187499.999985</v>
      </c>
      <c r="BW40" s="60">
        <f t="shared" si="40"/>
        <v>75829187499.999985</v>
      </c>
      <c r="BX40" s="60">
        <f t="shared" si="40"/>
        <v>75829187499.999985</v>
      </c>
      <c r="BY40" s="60">
        <f t="shared" si="40"/>
        <v>75829187499.999985</v>
      </c>
      <c r="BZ40" s="60">
        <f t="shared" si="40"/>
        <v>75829187499.999985</v>
      </c>
      <c r="CA40" s="60">
        <f t="shared" si="40"/>
        <v>75829187499.999985</v>
      </c>
      <c r="CB40" s="60">
        <f t="shared" si="40"/>
        <v>75829187499.999985</v>
      </c>
      <c r="CC40" s="49">
        <f t="shared" si="3"/>
        <v>15165837.5</v>
      </c>
      <c r="CD40" s="49">
        <f>IFERROR(up_RadSpec!$H$4*(CD4/$B40),".")</f>
        <v>3791459.375</v>
      </c>
      <c r="CE40" s="49">
        <f>IFERROR(up_RadSpec!$H$4*(CE4/$B40),".")</f>
        <v>3791459.375</v>
      </c>
      <c r="CF40" s="49">
        <f>IFERROR(up_RadSpec!$H$4*(CF4/$B40),".")</f>
        <v>3791459.375</v>
      </c>
      <c r="CG40" s="49">
        <f>IFERROR(up_RadSpec!$H$4*(CG4/$B40),".")</f>
        <v>3791459.375</v>
      </c>
      <c r="CH40" s="49">
        <f>IFERROR(up_RadSpec!$H$4*(CH4/$B40),".")</f>
        <v>3791459.375</v>
      </c>
      <c r="CI40" s="49">
        <f>IFERROR(up_RadSpec!$H$4*(CI4/$B40),".")</f>
        <v>3791459.375</v>
      </c>
      <c r="CJ40" s="49">
        <f>IFERROR(up_RadSpec!$H$4*(CJ4/$B40),".")</f>
        <v>3791459.375</v>
      </c>
      <c r="CK40" s="49">
        <f>IFERROR(up_RadSpec!$H$4*(CK4/$B40),".")</f>
        <v>3791459.375</v>
      </c>
      <c r="CL40" s="49">
        <f>IFERROR(up_RadSpec!$H$4*(CL4/$B40),".")</f>
        <v>3791459.375</v>
      </c>
      <c r="CM40" s="49">
        <f>IFERROR(up_RadSpec!$H$4*(CM4/$B40),".")</f>
        <v>3791459.375</v>
      </c>
      <c r="CN40" s="49">
        <f>IFERROR(up_RadSpec!$H$4*(CN4/$B40),".")</f>
        <v>3791459.375</v>
      </c>
      <c r="CO40" s="49">
        <f>IFERROR(up_RadSpec!$H$4*(CO4/$B40),".")</f>
        <v>3791459.375</v>
      </c>
      <c r="CP40" s="49">
        <f>IFERROR(up_RadSpec!$H$4*(CP4/$B40),".")</f>
        <v>3791459.375</v>
      </c>
      <c r="CQ40" s="49">
        <f>IFERROR(up_RadSpec!$H$4*(CQ4/$B40),".")</f>
        <v>3791459.375</v>
      </c>
      <c r="CR40" s="49">
        <f>IFERROR(up_RadSpec!$H$4*(CR4/$B40),".")</f>
        <v>3791459.375</v>
      </c>
      <c r="CS40" s="49">
        <f>IFERROR(up_RadSpec!$H$4*(CS4/$B40),".")</f>
        <v>3791459.375</v>
      </c>
      <c r="CT40" s="49">
        <f>IFERROR(up_RadSpec!$H$4*(CT4/$B40),".")</f>
        <v>3791459.375</v>
      </c>
      <c r="CU40" s="49">
        <f>IFERROR(up_RadSpec!$H$4*(CU4/$B40),".")</f>
        <v>3791459.375</v>
      </c>
      <c r="CV40" s="49">
        <f>IFERROR(up_RadSpec!$H$4*(CV4/$B40),".")</f>
        <v>3791459.375</v>
      </c>
      <c r="CW40" s="49">
        <f>IFERROR(up_RadSpec!$H$4*(CW4/$B40),".")</f>
        <v>3791459.375</v>
      </c>
      <c r="CX40" s="49">
        <f>IFERROR(up_RadSpec!$H$4*(CX4/$B40),".")</f>
        <v>3791459.375</v>
      </c>
      <c r="CY40" s="49">
        <f>IFERROR(up_RadSpec!$H$4*(CY4/$B40),".")</f>
        <v>3791459.375</v>
      </c>
      <c r="CZ40" s="49">
        <f>IFERROR(up_RadSpec!$H$4*(CZ4/$B40),".")</f>
        <v>3791459.375</v>
      </c>
      <c r="DA40" s="49">
        <f>IFERROR(up_RadSpec!$H$4*(DA4/$B40),".")</f>
        <v>3791459.375</v>
      </c>
      <c r="DB40" s="49">
        <f>IFERROR(up_RadSpec!$H$4*(DB4/$B40),".")</f>
        <v>3791459.375</v>
      </c>
    </row>
    <row r="41" spans="1:106" x14ac:dyDescent="0.25">
      <c r="A41" s="83" t="s">
        <v>1083</v>
      </c>
      <c r="B41" s="84">
        <v>0.99987999999999999</v>
      </c>
      <c r="C41" s="60">
        <f t="shared" ref="C41" si="41">IFERROR(C8/$B41,0)</f>
        <v>3.2972792119186574E-12</v>
      </c>
      <c r="D41" s="60">
        <f t="shared" ref="D41:AB41" si="42">IFERROR(D8/$B41,0)</f>
        <v>1.3189116847674628E-11</v>
      </c>
      <c r="E41" s="60">
        <f t="shared" si="42"/>
        <v>1.3189116847674628E-11</v>
      </c>
      <c r="F41" s="60">
        <f t="shared" si="42"/>
        <v>1.3189116847674628E-11</v>
      </c>
      <c r="G41" s="60">
        <f t="shared" si="42"/>
        <v>1.3189116847674628E-11</v>
      </c>
      <c r="H41" s="60">
        <f t="shared" si="42"/>
        <v>1.3189116847674628E-11</v>
      </c>
      <c r="I41" s="60">
        <f t="shared" si="42"/>
        <v>1.3189116847674628E-11</v>
      </c>
      <c r="J41" s="60">
        <f t="shared" si="42"/>
        <v>1.3189116847674628E-11</v>
      </c>
      <c r="K41" s="60">
        <f t="shared" si="42"/>
        <v>1.3189116847674628E-11</v>
      </c>
      <c r="L41" s="60">
        <f t="shared" si="42"/>
        <v>1.3189116847674628E-11</v>
      </c>
      <c r="M41" s="60">
        <f t="shared" si="42"/>
        <v>1.3189116847674628E-11</v>
      </c>
      <c r="N41" s="60">
        <f t="shared" si="42"/>
        <v>1.3189116847674628E-11</v>
      </c>
      <c r="O41" s="60">
        <f t="shared" si="42"/>
        <v>1.3189116847674628E-11</v>
      </c>
      <c r="P41" s="60">
        <f t="shared" si="42"/>
        <v>1.3189116847674628E-11</v>
      </c>
      <c r="Q41" s="60">
        <f t="shared" si="42"/>
        <v>1.3189116847674628E-11</v>
      </c>
      <c r="R41" s="60">
        <f t="shared" si="42"/>
        <v>1.3189116847674628E-11</v>
      </c>
      <c r="S41" s="60">
        <f t="shared" si="42"/>
        <v>1.3189116847674628E-11</v>
      </c>
      <c r="T41" s="60">
        <f t="shared" si="42"/>
        <v>1.3189116847674628E-11</v>
      </c>
      <c r="U41" s="60">
        <f t="shared" si="42"/>
        <v>1.3189116847674628E-11</v>
      </c>
      <c r="V41" s="60">
        <f t="shared" si="42"/>
        <v>1.3189116847674628E-11</v>
      </c>
      <c r="W41" s="60">
        <f t="shared" si="42"/>
        <v>1.3189116847674628E-11</v>
      </c>
      <c r="X41" s="60">
        <f t="shared" si="42"/>
        <v>1.3189116847674628E-11</v>
      </c>
      <c r="Y41" s="60">
        <f t="shared" si="42"/>
        <v>1.3189116847674628E-11</v>
      </c>
      <c r="Z41" s="60">
        <f t="shared" si="42"/>
        <v>1.3189116847674628E-11</v>
      </c>
      <c r="AA41" s="60">
        <f t="shared" si="42"/>
        <v>1.3189116847674628E-11</v>
      </c>
      <c r="AB41" s="60">
        <f t="shared" si="42"/>
        <v>1.3189116847674628E-11</v>
      </c>
      <c r="AC41" s="49">
        <f t="shared" si="1"/>
        <v>15167657.618914269</v>
      </c>
      <c r="AD41" s="49">
        <f>IFERROR(up_RadSpec!$H$8*(AD8/$B41),".")</f>
        <v>3791914.4047285672</v>
      </c>
      <c r="AE41" s="49">
        <f>IFERROR(up_RadSpec!$H$8*(AE8/$B41),".")</f>
        <v>3791914.4047285672</v>
      </c>
      <c r="AF41" s="49">
        <f>IFERROR(up_RadSpec!$H$8*(AF8/$B41),".")</f>
        <v>3791914.4047285672</v>
      </c>
      <c r="AG41" s="49">
        <f>IFERROR(up_RadSpec!$H$8*(AG8/$B41),".")</f>
        <v>3791914.4047285672</v>
      </c>
      <c r="AH41" s="49">
        <f>IFERROR(up_RadSpec!$H$8*(AH8/$B41),".")</f>
        <v>3791914.4047285672</v>
      </c>
      <c r="AI41" s="49">
        <f>IFERROR(up_RadSpec!$H$8*(AI8/$B41),".")</f>
        <v>3791914.4047285672</v>
      </c>
      <c r="AJ41" s="49">
        <f>IFERROR(up_RadSpec!$H$8*(AJ8/$B41),".")</f>
        <v>3791914.4047285672</v>
      </c>
      <c r="AK41" s="49">
        <f>IFERROR(up_RadSpec!$H$8*(AK8/$B41),".")</f>
        <v>3791914.4047285672</v>
      </c>
      <c r="AL41" s="49">
        <f>IFERROR(up_RadSpec!$H$8*(AL8/$B41),".")</f>
        <v>3791914.4047285672</v>
      </c>
      <c r="AM41" s="49">
        <f>IFERROR(up_RadSpec!$H$8*(AM8/$B41),".")</f>
        <v>3791914.4047285672</v>
      </c>
      <c r="AN41" s="49">
        <f>IFERROR(up_RadSpec!$H$8*(AN8/$B41),".")</f>
        <v>3791914.4047285672</v>
      </c>
      <c r="AO41" s="49">
        <f>IFERROR(up_RadSpec!$H$8*(AO8/$B41),".")</f>
        <v>3791914.4047285672</v>
      </c>
      <c r="AP41" s="49">
        <f>IFERROR(up_RadSpec!$H$8*(AP8/$B41),".")</f>
        <v>3791914.4047285672</v>
      </c>
      <c r="AQ41" s="49">
        <f>IFERROR(up_RadSpec!$H$8*(AQ8/$B41),".")</f>
        <v>3791914.4047285672</v>
      </c>
      <c r="AR41" s="49">
        <f>IFERROR(up_RadSpec!$H$8*(AR8/$B41),".")</f>
        <v>3791914.4047285672</v>
      </c>
      <c r="AS41" s="49">
        <f>IFERROR(up_RadSpec!$H$8*(AS8/$B41),".")</f>
        <v>3791914.4047285672</v>
      </c>
      <c r="AT41" s="49">
        <f>IFERROR(up_RadSpec!$H$8*(AT8/$B41),".")</f>
        <v>3791914.4047285672</v>
      </c>
      <c r="AU41" s="49">
        <f>IFERROR(up_RadSpec!$H$8*(AU8/$B41),".")</f>
        <v>3791914.4047285672</v>
      </c>
      <c r="AV41" s="49">
        <f>IFERROR(up_RadSpec!$H$8*(AV8/$B41),".")</f>
        <v>3791914.4047285672</v>
      </c>
      <c r="AW41" s="49">
        <f>IFERROR(up_RadSpec!$H$8*(AW8/$B41),".")</f>
        <v>3791914.4047285672</v>
      </c>
      <c r="AX41" s="49">
        <f>IFERROR(up_RadSpec!$H$8*(AX8/$B41),".")</f>
        <v>3791914.4047285672</v>
      </c>
      <c r="AY41" s="49">
        <f>IFERROR(up_RadSpec!$H$8*(AY8/$B41),".")</f>
        <v>3791914.4047285672</v>
      </c>
      <c r="AZ41" s="49">
        <f>IFERROR(up_RadSpec!$H$8*(AZ8/$B41),".")</f>
        <v>3791914.4047285672</v>
      </c>
      <c r="BA41" s="49">
        <f>IFERROR(up_RadSpec!$H$8*(BA8/$B41),".")</f>
        <v>3791914.4047285672</v>
      </c>
      <c r="BB41" s="49">
        <f>IFERROR(up_RadSpec!$H$8*(BB8/$B41),".")</f>
        <v>3791914.4047285672</v>
      </c>
      <c r="BC41" s="60">
        <f t="shared" ref="BC41" si="43">IFERROR($B41/BC8,0)</f>
        <v>303280351989.99994</v>
      </c>
      <c r="BD41" s="60">
        <f t="shared" ref="BD41:CB41" si="44">IFERROR($B41/BD8,0)</f>
        <v>75820087997.499985</v>
      </c>
      <c r="BE41" s="60">
        <f t="shared" si="44"/>
        <v>75820087997.499985</v>
      </c>
      <c r="BF41" s="60">
        <f t="shared" si="44"/>
        <v>75820087997.499985</v>
      </c>
      <c r="BG41" s="60">
        <f t="shared" si="44"/>
        <v>75820087997.499985</v>
      </c>
      <c r="BH41" s="60">
        <f t="shared" si="44"/>
        <v>75820087997.499985</v>
      </c>
      <c r="BI41" s="60">
        <f t="shared" si="44"/>
        <v>75820087997.499985</v>
      </c>
      <c r="BJ41" s="60">
        <f t="shared" si="44"/>
        <v>75820087997.499985</v>
      </c>
      <c r="BK41" s="60">
        <f t="shared" si="44"/>
        <v>75820087997.499985</v>
      </c>
      <c r="BL41" s="60">
        <f t="shared" si="44"/>
        <v>75820087997.499985</v>
      </c>
      <c r="BM41" s="60">
        <f t="shared" si="44"/>
        <v>75820087997.499985</v>
      </c>
      <c r="BN41" s="60">
        <f t="shared" si="44"/>
        <v>75820087997.499985</v>
      </c>
      <c r="BO41" s="60">
        <f t="shared" si="44"/>
        <v>75820087997.499985</v>
      </c>
      <c r="BP41" s="60">
        <f t="shared" si="44"/>
        <v>75820087997.499985</v>
      </c>
      <c r="BQ41" s="60">
        <f t="shared" si="44"/>
        <v>75820087997.499985</v>
      </c>
      <c r="BR41" s="60">
        <f t="shared" si="44"/>
        <v>75820087997.499985</v>
      </c>
      <c r="BS41" s="60">
        <f t="shared" si="44"/>
        <v>75820087997.499985</v>
      </c>
      <c r="BT41" s="60">
        <f t="shared" si="44"/>
        <v>75820087997.499985</v>
      </c>
      <c r="BU41" s="60">
        <f t="shared" si="44"/>
        <v>75820087997.499985</v>
      </c>
      <c r="BV41" s="60">
        <f t="shared" si="44"/>
        <v>75820087997.499985</v>
      </c>
      <c r="BW41" s="60">
        <f t="shared" si="44"/>
        <v>75820087997.499985</v>
      </c>
      <c r="BX41" s="60">
        <f t="shared" si="44"/>
        <v>75820087997.499985</v>
      </c>
      <c r="BY41" s="60">
        <f t="shared" si="44"/>
        <v>75820087997.499985</v>
      </c>
      <c r="BZ41" s="60">
        <f t="shared" si="44"/>
        <v>75820087997.499985</v>
      </c>
      <c r="CA41" s="60">
        <f t="shared" si="44"/>
        <v>75820087997.499985</v>
      </c>
      <c r="CB41" s="60">
        <f t="shared" si="44"/>
        <v>75820087997.499985</v>
      </c>
      <c r="CC41" s="49">
        <f t="shared" si="3"/>
        <v>15167657.618914269</v>
      </c>
      <c r="CD41" s="49">
        <f>IFERROR(up_RadSpec!$H$8*(CD8/$B41),".")</f>
        <v>3791914.4047285672</v>
      </c>
      <c r="CE41" s="49">
        <f>IFERROR(up_RadSpec!$H$8*(CE8/$B41),".")</f>
        <v>3791914.4047285672</v>
      </c>
      <c r="CF41" s="49">
        <f>IFERROR(up_RadSpec!$H$8*(CF8/$B41),".")</f>
        <v>3791914.4047285672</v>
      </c>
      <c r="CG41" s="49">
        <f>IFERROR(up_RadSpec!$H$8*(CG8/$B41),".")</f>
        <v>3791914.4047285672</v>
      </c>
      <c r="CH41" s="49">
        <f>IFERROR(up_RadSpec!$H$8*(CH8/$B41),".")</f>
        <v>3791914.4047285672</v>
      </c>
      <c r="CI41" s="49">
        <f>IFERROR(up_RadSpec!$H$8*(CI8/$B41),".")</f>
        <v>3791914.4047285672</v>
      </c>
      <c r="CJ41" s="49">
        <f>IFERROR(up_RadSpec!$H$8*(CJ8/$B41),".")</f>
        <v>3791914.4047285672</v>
      </c>
      <c r="CK41" s="49">
        <f>IFERROR(up_RadSpec!$H$8*(CK8/$B41),".")</f>
        <v>3791914.4047285672</v>
      </c>
      <c r="CL41" s="49">
        <f>IFERROR(up_RadSpec!$H$8*(CL8/$B41),".")</f>
        <v>3791914.4047285672</v>
      </c>
      <c r="CM41" s="49">
        <f>IFERROR(up_RadSpec!$H$8*(CM8/$B41),".")</f>
        <v>3791914.4047285672</v>
      </c>
      <c r="CN41" s="49">
        <f>IFERROR(up_RadSpec!$H$8*(CN8/$B41),".")</f>
        <v>3791914.4047285672</v>
      </c>
      <c r="CO41" s="49">
        <f>IFERROR(up_RadSpec!$H$8*(CO8/$B41),".")</f>
        <v>3791914.4047285672</v>
      </c>
      <c r="CP41" s="49">
        <f>IFERROR(up_RadSpec!$H$8*(CP8/$B41),".")</f>
        <v>3791914.4047285672</v>
      </c>
      <c r="CQ41" s="49">
        <f>IFERROR(up_RadSpec!$H$8*(CQ8/$B41),".")</f>
        <v>3791914.4047285672</v>
      </c>
      <c r="CR41" s="49">
        <f>IFERROR(up_RadSpec!$H$8*(CR8/$B41),".")</f>
        <v>3791914.4047285672</v>
      </c>
      <c r="CS41" s="49">
        <f>IFERROR(up_RadSpec!$H$8*(CS8/$B41),".")</f>
        <v>3791914.4047285672</v>
      </c>
      <c r="CT41" s="49">
        <f>IFERROR(up_RadSpec!$H$8*(CT8/$B41),".")</f>
        <v>3791914.4047285672</v>
      </c>
      <c r="CU41" s="49">
        <f>IFERROR(up_RadSpec!$H$8*(CU8/$B41),".")</f>
        <v>3791914.4047285672</v>
      </c>
      <c r="CV41" s="49">
        <f>IFERROR(up_RadSpec!$H$8*(CV8/$B41),".")</f>
        <v>3791914.4047285672</v>
      </c>
      <c r="CW41" s="49">
        <f>IFERROR(up_RadSpec!$H$8*(CW8/$B41),".")</f>
        <v>3791914.4047285672</v>
      </c>
      <c r="CX41" s="49">
        <f>IFERROR(up_RadSpec!$H$8*(CX8/$B41),".")</f>
        <v>3791914.4047285672</v>
      </c>
      <c r="CY41" s="49">
        <f>IFERROR(up_RadSpec!$H$8*(CY8/$B41),".")</f>
        <v>3791914.4047285672</v>
      </c>
      <c r="CZ41" s="49">
        <f>IFERROR(up_RadSpec!$H$8*(CZ8/$B41),".")</f>
        <v>3791914.4047285672</v>
      </c>
      <c r="DA41" s="49">
        <f>IFERROR(up_RadSpec!$H$8*(DA8/$B41),".")</f>
        <v>3791914.4047285672</v>
      </c>
      <c r="DB41" s="49">
        <f>IFERROR(up_RadSpec!$H$8*(DB8/$B41),".")</f>
        <v>3791914.4047285672</v>
      </c>
    </row>
    <row r="42" spans="1:106" x14ac:dyDescent="0.25">
      <c r="A42" s="83" t="s">
        <v>1084</v>
      </c>
      <c r="B42" s="42">
        <v>0.97898250799999997</v>
      </c>
      <c r="C42" s="60">
        <f t="shared" ref="C42" si="45">IFERROR(C19/$B42,0)</f>
        <v>3.367663376487241E-12</v>
      </c>
      <c r="D42" s="60">
        <f t="shared" ref="D42:AB42" si="46">IFERROR(D19/$B42,0)</f>
        <v>1.3470653505948962E-11</v>
      </c>
      <c r="E42" s="60">
        <f t="shared" si="46"/>
        <v>1.3470653505948962E-11</v>
      </c>
      <c r="F42" s="60">
        <f t="shared" si="46"/>
        <v>1.3470653505948962E-11</v>
      </c>
      <c r="G42" s="60">
        <f t="shared" si="46"/>
        <v>1.3470653505948962E-11</v>
      </c>
      <c r="H42" s="60">
        <f t="shared" si="46"/>
        <v>1.3470653505948962E-11</v>
      </c>
      <c r="I42" s="60">
        <f t="shared" si="46"/>
        <v>1.3470653505948962E-11</v>
      </c>
      <c r="J42" s="60">
        <f t="shared" si="46"/>
        <v>1.3470653505948962E-11</v>
      </c>
      <c r="K42" s="60">
        <f t="shared" si="46"/>
        <v>1.3470653505948962E-11</v>
      </c>
      <c r="L42" s="60">
        <f t="shared" si="46"/>
        <v>1.3470653505948962E-11</v>
      </c>
      <c r="M42" s="60">
        <f t="shared" si="46"/>
        <v>1.3470653505948962E-11</v>
      </c>
      <c r="N42" s="60">
        <f t="shared" si="46"/>
        <v>1.3470653505948962E-11</v>
      </c>
      <c r="O42" s="60">
        <f t="shared" si="46"/>
        <v>1.3470653505948962E-11</v>
      </c>
      <c r="P42" s="60">
        <f t="shared" si="46"/>
        <v>1.3470653505948962E-11</v>
      </c>
      <c r="Q42" s="60">
        <f t="shared" si="46"/>
        <v>1.3470653505948962E-11</v>
      </c>
      <c r="R42" s="60">
        <f t="shared" si="46"/>
        <v>1.3470653505948962E-11</v>
      </c>
      <c r="S42" s="60">
        <f t="shared" si="46"/>
        <v>1.3470653505948962E-11</v>
      </c>
      <c r="T42" s="60">
        <f t="shared" si="46"/>
        <v>1.3470653505948962E-11</v>
      </c>
      <c r="U42" s="60">
        <f t="shared" si="46"/>
        <v>1.3470653505948962E-11</v>
      </c>
      <c r="V42" s="60">
        <f t="shared" si="46"/>
        <v>1.3470653505948962E-11</v>
      </c>
      <c r="W42" s="60">
        <f t="shared" si="46"/>
        <v>1.3470653505948962E-11</v>
      </c>
      <c r="X42" s="60">
        <f t="shared" si="46"/>
        <v>1.3470653505948962E-11</v>
      </c>
      <c r="Y42" s="60">
        <f t="shared" si="46"/>
        <v>1.3470653505948962E-11</v>
      </c>
      <c r="Z42" s="60">
        <f t="shared" si="46"/>
        <v>1.3470653505948962E-11</v>
      </c>
      <c r="AA42" s="60">
        <f t="shared" si="46"/>
        <v>1.3470653505948962E-11</v>
      </c>
      <c r="AB42" s="60">
        <f t="shared" si="46"/>
        <v>1.3470653505948962E-11</v>
      </c>
      <c r="AC42" s="49">
        <f t="shared" si="1"/>
        <v>15491428.474021316</v>
      </c>
      <c r="AD42" s="49">
        <f>IFERROR(up_RadSpec!$H$19*(AD19/$B42),".")</f>
        <v>3872857.1185053289</v>
      </c>
      <c r="AE42" s="49">
        <f>IFERROR(up_RadSpec!$H$19*(AE19/$B42),".")</f>
        <v>3872857.1185053289</v>
      </c>
      <c r="AF42" s="49">
        <f>IFERROR(up_RadSpec!$H$19*(AF19/$B42),".")</f>
        <v>3872857.1185053289</v>
      </c>
      <c r="AG42" s="49">
        <f>IFERROR(up_RadSpec!$H$19*(AG19/$B42),".")</f>
        <v>3872857.1185053289</v>
      </c>
      <c r="AH42" s="49">
        <f>IFERROR(up_RadSpec!$H$19*(AH19/$B42),".")</f>
        <v>3872857.1185053289</v>
      </c>
      <c r="AI42" s="49">
        <f>IFERROR(up_RadSpec!$H$19*(AI19/$B42),".")</f>
        <v>3872857.1185053289</v>
      </c>
      <c r="AJ42" s="49">
        <f>IFERROR(up_RadSpec!$H$19*(AJ19/$B42),".")</f>
        <v>3872857.1185053289</v>
      </c>
      <c r="AK42" s="49">
        <f>IFERROR(up_RadSpec!$H$19*(AK19/$B42),".")</f>
        <v>3872857.1185053289</v>
      </c>
      <c r="AL42" s="49">
        <f>IFERROR(up_RadSpec!$H$19*(AL19/$B42),".")</f>
        <v>3872857.1185053289</v>
      </c>
      <c r="AM42" s="49">
        <f>IFERROR(up_RadSpec!$H$19*(AM19/$B42),".")</f>
        <v>3872857.1185053289</v>
      </c>
      <c r="AN42" s="49">
        <f>IFERROR(up_RadSpec!$H$19*(AN19/$B42),".")</f>
        <v>3872857.1185053289</v>
      </c>
      <c r="AO42" s="49">
        <f>IFERROR(up_RadSpec!$H$19*(AO19/$B42),".")</f>
        <v>3872857.1185053289</v>
      </c>
      <c r="AP42" s="49">
        <f>IFERROR(up_RadSpec!$H$19*(AP19/$B42),".")</f>
        <v>3872857.1185053289</v>
      </c>
      <c r="AQ42" s="49">
        <f>IFERROR(up_RadSpec!$H$19*(AQ19/$B42),".")</f>
        <v>3872857.1185053289</v>
      </c>
      <c r="AR42" s="49">
        <f>IFERROR(up_RadSpec!$H$19*(AR19/$B42),".")</f>
        <v>3872857.1185053289</v>
      </c>
      <c r="AS42" s="49">
        <f>IFERROR(up_RadSpec!$H$19*(AS19/$B42),".")</f>
        <v>3872857.1185053289</v>
      </c>
      <c r="AT42" s="49">
        <f>IFERROR(up_RadSpec!$H$19*(AT19/$B42),".")</f>
        <v>3872857.1185053289</v>
      </c>
      <c r="AU42" s="49">
        <f>IFERROR(up_RadSpec!$H$19*(AU19/$B42),".")</f>
        <v>3872857.1185053289</v>
      </c>
      <c r="AV42" s="49">
        <f>IFERROR(up_RadSpec!$H$19*(AV19/$B42),".")</f>
        <v>3872857.1185053289</v>
      </c>
      <c r="AW42" s="49">
        <f>IFERROR(up_RadSpec!$H$19*(AW19/$B42),".")</f>
        <v>3872857.1185053289</v>
      </c>
      <c r="AX42" s="49">
        <f>IFERROR(up_RadSpec!$H$19*(AX19/$B42),".")</f>
        <v>3872857.1185053289</v>
      </c>
      <c r="AY42" s="49">
        <f>IFERROR(up_RadSpec!$H$19*(AY19/$B42),".")</f>
        <v>3872857.1185053289</v>
      </c>
      <c r="AZ42" s="49">
        <f>IFERROR(up_RadSpec!$H$19*(AZ19/$B42),".")</f>
        <v>3872857.1185053289</v>
      </c>
      <c r="BA42" s="49">
        <f>IFERROR(up_RadSpec!$H$19*(BA19/$B42),".")</f>
        <v>3872857.1185053289</v>
      </c>
      <c r="BB42" s="49">
        <f>IFERROR(up_RadSpec!$H$19*(BB19/$B42),".")</f>
        <v>3872857.1185053289</v>
      </c>
      <c r="BC42" s="60">
        <f t="shared" ref="BC42" si="47">IFERROR($B42/BC19,0)</f>
        <v>296941792633.40894</v>
      </c>
      <c r="BD42" s="60">
        <f t="shared" ref="BD42:CB42" si="48">IFERROR($B42/BD19,0)</f>
        <v>74235448158.352234</v>
      </c>
      <c r="BE42" s="60">
        <f t="shared" si="48"/>
        <v>74235448158.352234</v>
      </c>
      <c r="BF42" s="60">
        <f t="shared" si="48"/>
        <v>74235448158.352234</v>
      </c>
      <c r="BG42" s="60">
        <f t="shared" si="48"/>
        <v>74235448158.352234</v>
      </c>
      <c r="BH42" s="60">
        <f t="shared" si="48"/>
        <v>74235448158.352234</v>
      </c>
      <c r="BI42" s="60">
        <f t="shared" si="48"/>
        <v>74235448158.352234</v>
      </c>
      <c r="BJ42" s="60">
        <f t="shared" si="48"/>
        <v>74235448158.352234</v>
      </c>
      <c r="BK42" s="60">
        <f t="shared" si="48"/>
        <v>74235448158.352234</v>
      </c>
      <c r="BL42" s="60">
        <f t="shared" si="48"/>
        <v>74235448158.352234</v>
      </c>
      <c r="BM42" s="60">
        <f t="shared" si="48"/>
        <v>74235448158.352234</v>
      </c>
      <c r="BN42" s="60">
        <f t="shared" si="48"/>
        <v>74235448158.352234</v>
      </c>
      <c r="BO42" s="60">
        <f t="shared" si="48"/>
        <v>74235448158.352234</v>
      </c>
      <c r="BP42" s="60">
        <f t="shared" si="48"/>
        <v>74235448158.352234</v>
      </c>
      <c r="BQ42" s="60">
        <f t="shared" si="48"/>
        <v>74235448158.352234</v>
      </c>
      <c r="BR42" s="60">
        <f t="shared" si="48"/>
        <v>74235448158.352234</v>
      </c>
      <c r="BS42" s="60">
        <f t="shared" si="48"/>
        <v>74235448158.352234</v>
      </c>
      <c r="BT42" s="60">
        <f t="shared" si="48"/>
        <v>74235448158.352234</v>
      </c>
      <c r="BU42" s="60">
        <f t="shared" si="48"/>
        <v>74235448158.352234</v>
      </c>
      <c r="BV42" s="60">
        <f t="shared" si="48"/>
        <v>74235448158.352234</v>
      </c>
      <c r="BW42" s="60">
        <f t="shared" si="48"/>
        <v>74235448158.352234</v>
      </c>
      <c r="BX42" s="60">
        <f t="shared" si="48"/>
        <v>74235448158.352234</v>
      </c>
      <c r="BY42" s="60">
        <f t="shared" si="48"/>
        <v>74235448158.352234</v>
      </c>
      <c r="BZ42" s="60">
        <f t="shared" si="48"/>
        <v>74235448158.352234</v>
      </c>
      <c r="CA42" s="60">
        <f t="shared" si="48"/>
        <v>74235448158.352234</v>
      </c>
      <c r="CB42" s="60">
        <f t="shared" si="48"/>
        <v>74235448158.352234</v>
      </c>
      <c r="CC42" s="49">
        <f t="shared" si="3"/>
        <v>15491428.474021316</v>
      </c>
      <c r="CD42" s="49">
        <f>IFERROR(up_RadSpec!$H$19*(CD19/$B42),".")</f>
        <v>3872857.1185053289</v>
      </c>
      <c r="CE42" s="49">
        <f>IFERROR(up_RadSpec!$H$19*(CE19/$B42),".")</f>
        <v>3872857.1185053289</v>
      </c>
      <c r="CF42" s="49">
        <f>IFERROR(up_RadSpec!$H$19*(CF19/$B42),".")</f>
        <v>3872857.1185053289</v>
      </c>
      <c r="CG42" s="49">
        <f>IFERROR(up_RadSpec!$H$19*(CG19/$B42),".")</f>
        <v>3872857.1185053289</v>
      </c>
      <c r="CH42" s="49">
        <f>IFERROR(up_RadSpec!$H$19*(CH19/$B42),".")</f>
        <v>3872857.1185053289</v>
      </c>
      <c r="CI42" s="49">
        <f>IFERROR(up_RadSpec!$H$19*(CI19/$B42),".")</f>
        <v>3872857.1185053289</v>
      </c>
      <c r="CJ42" s="49">
        <f>IFERROR(up_RadSpec!$H$19*(CJ19/$B42),".")</f>
        <v>3872857.1185053289</v>
      </c>
      <c r="CK42" s="49">
        <f>IFERROR(up_RadSpec!$H$19*(CK19/$B42),".")</f>
        <v>3872857.1185053289</v>
      </c>
      <c r="CL42" s="49">
        <f>IFERROR(up_RadSpec!$H$19*(CL19/$B42),".")</f>
        <v>3872857.1185053289</v>
      </c>
      <c r="CM42" s="49">
        <f>IFERROR(up_RadSpec!$H$19*(CM19/$B42),".")</f>
        <v>3872857.1185053289</v>
      </c>
      <c r="CN42" s="49">
        <f>IFERROR(up_RadSpec!$H$19*(CN19/$B42),".")</f>
        <v>3872857.1185053289</v>
      </c>
      <c r="CO42" s="49">
        <f>IFERROR(up_RadSpec!$H$19*(CO19/$B42),".")</f>
        <v>3872857.1185053289</v>
      </c>
      <c r="CP42" s="49">
        <f>IFERROR(up_RadSpec!$H$19*(CP19/$B42),".")</f>
        <v>3872857.1185053289</v>
      </c>
      <c r="CQ42" s="49">
        <f>IFERROR(up_RadSpec!$H$19*(CQ19/$B42),".")</f>
        <v>3872857.1185053289</v>
      </c>
      <c r="CR42" s="49">
        <f>IFERROR(up_RadSpec!$H$19*(CR19/$B42),".")</f>
        <v>3872857.1185053289</v>
      </c>
      <c r="CS42" s="49">
        <f>IFERROR(up_RadSpec!$H$19*(CS19/$B42),".")</f>
        <v>3872857.1185053289</v>
      </c>
      <c r="CT42" s="49">
        <f>IFERROR(up_RadSpec!$H$19*(CT19/$B42),".")</f>
        <v>3872857.1185053289</v>
      </c>
      <c r="CU42" s="49">
        <f>IFERROR(up_RadSpec!$H$19*(CU19/$B42),".")</f>
        <v>3872857.1185053289</v>
      </c>
      <c r="CV42" s="49">
        <f>IFERROR(up_RadSpec!$H$19*(CV19/$B42),".")</f>
        <v>3872857.1185053289</v>
      </c>
      <c r="CW42" s="49">
        <f>IFERROR(up_RadSpec!$H$19*(CW19/$B42),".")</f>
        <v>3872857.1185053289</v>
      </c>
      <c r="CX42" s="49">
        <f>IFERROR(up_RadSpec!$H$19*(CX19/$B42),".")</f>
        <v>3872857.1185053289</v>
      </c>
      <c r="CY42" s="49">
        <f>IFERROR(up_RadSpec!$H$19*(CY19/$B42),".")</f>
        <v>3872857.1185053289</v>
      </c>
      <c r="CZ42" s="49">
        <f>IFERROR(up_RadSpec!$H$19*(CZ19/$B42),".")</f>
        <v>3872857.1185053289</v>
      </c>
      <c r="DA42" s="49">
        <f>IFERROR(up_RadSpec!$H$19*(DA19/$B42),".")</f>
        <v>3872857.1185053289</v>
      </c>
      <c r="DB42" s="49">
        <f>IFERROR(up_RadSpec!$H$19*(DB19/$B42),".")</f>
        <v>3872857.1185053289</v>
      </c>
    </row>
    <row r="43" spans="1:106" x14ac:dyDescent="0.25">
      <c r="A43" s="83" t="s">
        <v>1085</v>
      </c>
      <c r="B43" s="42">
        <v>2.0897492E-2</v>
      </c>
      <c r="C43" s="60">
        <f t="shared" ref="C43" si="49">IFERROR(C28/$B43,0)</f>
        <v>1.5776455559419414E-10</v>
      </c>
      <c r="D43" s="60">
        <f t="shared" ref="D43:AB43" si="50">IFERROR(D28/$B43,0)</f>
        <v>6.3105822237677644E-10</v>
      </c>
      <c r="E43" s="60">
        <f t="shared" si="50"/>
        <v>6.3105822237677644E-10</v>
      </c>
      <c r="F43" s="60">
        <f t="shared" si="50"/>
        <v>6.3105822237677644E-10</v>
      </c>
      <c r="G43" s="60">
        <f t="shared" si="50"/>
        <v>6.3105822237677644E-10</v>
      </c>
      <c r="H43" s="60">
        <f t="shared" si="50"/>
        <v>6.3105822237677644E-10</v>
      </c>
      <c r="I43" s="60">
        <f t="shared" si="50"/>
        <v>6.3105822237677644E-10</v>
      </c>
      <c r="J43" s="60">
        <f t="shared" si="50"/>
        <v>6.3105822237677644E-10</v>
      </c>
      <c r="K43" s="60">
        <f t="shared" si="50"/>
        <v>6.3105822237677644E-10</v>
      </c>
      <c r="L43" s="60">
        <f t="shared" si="50"/>
        <v>6.3105822237677644E-10</v>
      </c>
      <c r="M43" s="60">
        <f t="shared" si="50"/>
        <v>6.3105822237677644E-10</v>
      </c>
      <c r="N43" s="60">
        <f t="shared" si="50"/>
        <v>6.3105822237677644E-10</v>
      </c>
      <c r="O43" s="60">
        <f t="shared" si="50"/>
        <v>6.3105822237677644E-10</v>
      </c>
      <c r="P43" s="60">
        <f t="shared" si="50"/>
        <v>6.3105822237677644E-10</v>
      </c>
      <c r="Q43" s="60">
        <f t="shared" si="50"/>
        <v>6.3105822237677644E-10</v>
      </c>
      <c r="R43" s="60">
        <f t="shared" si="50"/>
        <v>6.3105822237677644E-10</v>
      </c>
      <c r="S43" s="60">
        <f t="shared" si="50"/>
        <v>6.3105822237677644E-10</v>
      </c>
      <c r="T43" s="60">
        <f t="shared" si="50"/>
        <v>6.3105822237677644E-10</v>
      </c>
      <c r="U43" s="60">
        <f t="shared" si="50"/>
        <v>6.3105822237677644E-10</v>
      </c>
      <c r="V43" s="60">
        <f t="shared" si="50"/>
        <v>6.3105822237677644E-10</v>
      </c>
      <c r="W43" s="60">
        <f t="shared" si="50"/>
        <v>6.3105822237677644E-10</v>
      </c>
      <c r="X43" s="60">
        <f t="shared" si="50"/>
        <v>6.3105822237677644E-10</v>
      </c>
      <c r="Y43" s="60">
        <f t="shared" si="50"/>
        <v>6.3105822237677644E-10</v>
      </c>
      <c r="Z43" s="60">
        <f t="shared" si="50"/>
        <v>6.3105822237677644E-10</v>
      </c>
      <c r="AA43" s="60">
        <f t="shared" si="50"/>
        <v>6.3105822237677644E-10</v>
      </c>
      <c r="AB43" s="60">
        <f t="shared" si="50"/>
        <v>6.3105822237677644E-10</v>
      </c>
      <c r="AC43" s="49">
        <f t="shared" si="1"/>
        <v>725725244.92412782</v>
      </c>
      <c r="AD43" s="49">
        <f>IFERROR(up_RadSpec!$H$28*(AD28/$B43),".")</f>
        <v>181431311.23103195</v>
      </c>
      <c r="AE43" s="49">
        <f>IFERROR(up_RadSpec!$H$28*(AE28/$B43),".")</f>
        <v>181431311.23103195</v>
      </c>
      <c r="AF43" s="49">
        <f>IFERROR(up_RadSpec!$H$28*(AF28/$B43),".")</f>
        <v>181431311.23103195</v>
      </c>
      <c r="AG43" s="49">
        <f>IFERROR(up_RadSpec!$H$28*(AG28/$B43),".")</f>
        <v>181431311.23103195</v>
      </c>
      <c r="AH43" s="49">
        <f>IFERROR(up_RadSpec!$H$28*(AH28/$B43),".")</f>
        <v>181431311.23103195</v>
      </c>
      <c r="AI43" s="49">
        <f>IFERROR(up_RadSpec!$H$28*(AI28/$B43),".")</f>
        <v>181431311.23103195</v>
      </c>
      <c r="AJ43" s="49">
        <f>IFERROR(up_RadSpec!$H$28*(AJ28/$B43),".")</f>
        <v>181431311.23103195</v>
      </c>
      <c r="AK43" s="49">
        <f>IFERROR(up_RadSpec!$H$28*(AK28/$B43),".")</f>
        <v>181431311.23103195</v>
      </c>
      <c r="AL43" s="49">
        <f>IFERROR(up_RadSpec!$H$28*(AL28/$B43),".")</f>
        <v>181431311.23103195</v>
      </c>
      <c r="AM43" s="49">
        <f>IFERROR(up_RadSpec!$H$28*(AM28/$B43),".")</f>
        <v>181431311.23103195</v>
      </c>
      <c r="AN43" s="49">
        <f>IFERROR(up_RadSpec!$H$28*(AN28/$B43),".")</f>
        <v>181431311.23103195</v>
      </c>
      <c r="AO43" s="49">
        <f>IFERROR(up_RadSpec!$H$28*(AO28/$B43),".")</f>
        <v>181431311.23103195</v>
      </c>
      <c r="AP43" s="49">
        <f>IFERROR(up_RadSpec!$H$28*(AP28/$B43),".")</f>
        <v>181431311.23103195</v>
      </c>
      <c r="AQ43" s="49">
        <f>IFERROR(up_RadSpec!$H$28*(AQ28/$B43),".")</f>
        <v>181431311.23103195</v>
      </c>
      <c r="AR43" s="49">
        <f>IFERROR(up_RadSpec!$H$28*(AR28/$B43),".")</f>
        <v>181431311.23103195</v>
      </c>
      <c r="AS43" s="49">
        <f>IFERROR(up_RadSpec!$H$28*(AS28/$B43),".")</f>
        <v>181431311.23103195</v>
      </c>
      <c r="AT43" s="49">
        <f>IFERROR(up_RadSpec!$H$28*(AT28/$B43),".")</f>
        <v>181431311.23103195</v>
      </c>
      <c r="AU43" s="49">
        <f>IFERROR(up_RadSpec!$H$28*(AU28/$B43),".")</f>
        <v>181431311.23103195</v>
      </c>
      <c r="AV43" s="49">
        <f>IFERROR(up_RadSpec!$H$28*(AV28/$B43),".")</f>
        <v>181431311.23103195</v>
      </c>
      <c r="AW43" s="49">
        <f>IFERROR(up_RadSpec!$H$28*(AW28/$B43),".")</f>
        <v>181431311.23103195</v>
      </c>
      <c r="AX43" s="49">
        <f>IFERROR(up_RadSpec!$H$28*(AX28/$B43),".")</f>
        <v>181431311.23103195</v>
      </c>
      <c r="AY43" s="49">
        <f>IFERROR(up_RadSpec!$H$28*(AY28/$B43),".")</f>
        <v>181431311.23103195</v>
      </c>
      <c r="AZ43" s="49">
        <f>IFERROR(up_RadSpec!$H$28*(AZ28/$B43),".")</f>
        <v>181431311.23103195</v>
      </c>
      <c r="BA43" s="49">
        <f>IFERROR(up_RadSpec!$H$28*(BA28/$B43),".")</f>
        <v>181431311.23103195</v>
      </c>
      <c r="BB43" s="49">
        <f>IFERROR(up_RadSpec!$H$28*(BB28/$B43),".")</f>
        <v>181431311.23103195</v>
      </c>
      <c r="BC43" s="60">
        <f t="shared" ref="BC43" si="51">IFERROR($B43/BC28,0)</f>
        <v>6338559356.5909986</v>
      </c>
      <c r="BD43" s="60">
        <f t="shared" ref="BD43:CB43" si="52">IFERROR($B43/BD28,0)</f>
        <v>1584639839.1477499</v>
      </c>
      <c r="BE43" s="60">
        <f t="shared" si="52"/>
        <v>1584639839.1477499</v>
      </c>
      <c r="BF43" s="60">
        <f t="shared" si="52"/>
        <v>1584639839.1477499</v>
      </c>
      <c r="BG43" s="60">
        <f t="shared" si="52"/>
        <v>1584639839.1477499</v>
      </c>
      <c r="BH43" s="60">
        <f t="shared" si="52"/>
        <v>1584639839.1477499</v>
      </c>
      <c r="BI43" s="60">
        <f t="shared" si="52"/>
        <v>1584639839.1477499</v>
      </c>
      <c r="BJ43" s="60">
        <f t="shared" si="52"/>
        <v>1584639839.1477499</v>
      </c>
      <c r="BK43" s="60">
        <f t="shared" si="52"/>
        <v>1584639839.1477499</v>
      </c>
      <c r="BL43" s="60">
        <f t="shared" si="52"/>
        <v>1584639839.1477499</v>
      </c>
      <c r="BM43" s="60">
        <f t="shared" si="52"/>
        <v>1584639839.1477499</v>
      </c>
      <c r="BN43" s="60">
        <f t="shared" si="52"/>
        <v>1584639839.1477499</v>
      </c>
      <c r="BO43" s="60">
        <f t="shared" si="52"/>
        <v>1584639839.1477499</v>
      </c>
      <c r="BP43" s="60">
        <f t="shared" si="52"/>
        <v>1584639839.1477499</v>
      </c>
      <c r="BQ43" s="60">
        <f t="shared" si="52"/>
        <v>1584639839.1477499</v>
      </c>
      <c r="BR43" s="60">
        <f t="shared" si="52"/>
        <v>1584639839.1477499</v>
      </c>
      <c r="BS43" s="60">
        <f t="shared" si="52"/>
        <v>1584639839.1477499</v>
      </c>
      <c r="BT43" s="60">
        <f t="shared" si="52"/>
        <v>1584639839.1477499</v>
      </c>
      <c r="BU43" s="60">
        <f t="shared" si="52"/>
        <v>1584639839.1477499</v>
      </c>
      <c r="BV43" s="60">
        <f t="shared" si="52"/>
        <v>1584639839.1477499</v>
      </c>
      <c r="BW43" s="60">
        <f t="shared" si="52"/>
        <v>1584639839.1477499</v>
      </c>
      <c r="BX43" s="60">
        <f t="shared" si="52"/>
        <v>1584639839.1477499</v>
      </c>
      <c r="BY43" s="60">
        <f t="shared" si="52"/>
        <v>1584639839.1477499</v>
      </c>
      <c r="BZ43" s="60">
        <f t="shared" si="52"/>
        <v>1584639839.1477499</v>
      </c>
      <c r="CA43" s="60">
        <f t="shared" si="52"/>
        <v>1584639839.1477499</v>
      </c>
      <c r="CB43" s="60">
        <f t="shared" si="52"/>
        <v>1584639839.1477499</v>
      </c>
      <c r="CC43" s="49">
        <f t="shared" si="3"/>
        <v>725725244.92412782</v>
      </c>
      <c r="CD43" s="49">
        <f>IFERROR(up_RadSpec!$H$28*(CD28/$B43),".")</f>
        <v>181431311.23103195</v>
      </c>
      <c r="CE43" s="49">
        <f>IFERROR(up_RadSpec!$H$28*(CE28/$B43),".")</f>
        <v>181431311.23103195</v>
      </c>
      <c r="CF43" s="49">
        <f>IFERROR(up_RadSpec!$H$28*(CF28/$B43),".")</f>
        <v>181431311.23103195</v>
      </c>
      <c r="CG43" s="49">
        <f>IFERROR(up_RadSpec!$H$28*(CG28/$B43),".")</f>
        <v>181431311.23103195</v>
      </c>
      <c r="CH43" s="49">
        <f>IFERROR(up_RadSpec!$H$28*(CH28/$B43),".")</f>
        <v>181431311.23103195</v>
      </c>
      <c r="CI43" s="49">
        <f>IFERROR(up_RadSpec!$H$28*(CI28/$B43),".")</f>
        <v>181431311.23103195</v>
      </c>
      <c r="CJ43" s="49">
        <f>IFERROR(up_RadSpec!$H$28*(CJ28/$B43),".")</f>
        <v>181431311.23103195</v>
      </c>
      <c r="CK43" s="49">
        <f>IFERROR(up_RadSpec!$H$28*(CK28/$B43),".")</f>
        <v>181431311.23103195</v>
      </c>
      <c r="CL43" s="49">
        <f>IFERROR(up_RadSpec!$H$28*(CL28/$B43),".")</f>
        <v>181431311.23103195</v>
      </c>
      <c r="CM43" s="49">
        <f>IFERROR(up_RadSpec!$H$28*(CM28/$B43),".")</f>
        <v>181431311.23103195</v>
      </c>
      <c r="CN43" s="49">
        <f>IFERROR(up_RadSpec!$H$28*(CN28/$B43),".")</f>
        <v>181431311.23103195</v>
      </c>
      <c r="CO43" s="49">
        <f>IFERROR(up_RadSpec!$H$28*(CO28/$B43),".")</f>
        <v>181431311.23103195</v>
      </c>
      <c r="CP43" s="49">
        <f>IFERROR(up_RadSpec!$H$28*(CP28/$B43),".")</f>
        <v>181431311.23103195</v>
      </c>
      <c r="CQ43" s="49">
        <f>IFERROR(up_RadSpec!$H$28*(CQ28/$B43),".")</f>
        <v>181431311.23103195</v>
      </c>
      <c r="CR43" s="49">
        <f>IFERROR(up_RadSpec!$H$28*(CR28/$B43),".")</f>
        <v>181431311.23103195</v>
      </c>
      <c r="CS43" s="49">
        <f>IFERROR(up_RadSpec!$H$28*(CS28/$B43),".")</f>
        <v>181431311.23103195</v>
      </c>
      <c r="CT43" s="49">
        <f>IFERROR(up_RadSpec!$H$28*(CT28/$B43),".")</f>
        <v>181431311.23103195</v>
      </c>
      <c r="CU43" s="49">
        <f>IFERROR(up_RadSpec!$H$28*(CU28/$B43),".")</f>
        <v>181431311.23103195</v>
      </c>
      <c r="CV43" s="49">
        <f>IFERROR(up_RadSpec!$H$28*(CV28/$B43),".")</f>
        <v>181431311.23103195</v>
      </c>
      <c r="CW43" s="49">
        <f>IFERROR(up_RadSpec!$H$28*(CW28/$B43),".")</f>
        <v>181431311.23103195</v>
      </c>
      <c r="CX43" s="49">
        <f>IFERROR(up_RadSpec!$H$28*(CX28/$B43),".")</f>
        <v>181431311.23103195</v>
      </c>
      <c r="CY43" s="49">
        <f>IFERROR(up_RadSpec!$H$28*(CY28/$B43),".")</f>
        <v>181431311.23103195</v>
      </c>
      <c r="CZ43" s="49">
        <f>IFERROR(up_RadSpec!$H$28*(CZ28/$B43),".")</f>
        <v>181431311.23103195</v>
      </c>
      <c r="DA43" s="49">
        <f>IFERROR(up_RadSpec!$H$28*(DA28/$B43),".")</f>
        <v>181431311.23103195</v>
      </c>
      <c r="DB43" s="49">
        <f>IFERROR(up_RadSpec!$H$28*(DB28/$B43),".")</f>
        <v>181431311.23103195</v>
      </c>
    </row>
    <row r="44" spans="1:106" x14ac:dyDescent="0.25">
      <c r="A44" s="83" t="s">
        <v>1086</v>
      </c>
      <c r="B44" s="42">
        <v>0.99987999999999999</v>
      </c>
      <c r="C44" s="60">
        <f t="shared" ref="C44" si="53">IFERROR(C15/$B44,0)</f>
        <v>3.2972792119186574E-12</v>
      </c>
      <c r="D44" s="60">
        <f t="shared" ref="D44:AB44" si="54">IFERROR(D15/$B44,0)</f>
        <v>1.3189116847674628E-11</v>
      </c>
      <c r="E44" s="60">
        <f t="shared" si="54"/>
        <v>1.3189116847674628E-11</v>
      </c>
      <c r="F44" s="60">
        <f t="shared" si="54"/>
        <v>1.3189116847674628E-11</v>
      </c>
      <c r="G44" s="60">
        <f t="shared" si="54"/>
        <v>1.3189116847674628E-11</v>
      </c>
      <c r="H44" s="60">
        <f t="shared" si="54"/>
        <v>1.3189116847674628E-11</v>
      </c>
      <c r="I44" s="60">
        <f t="shared" si="54"/>
        <v>1.3189116847674628E-11</v>
      </c>
      <c r="J44" s="60">
        <f t="shared" si="54"/>
        <v>1.3189116847674628E-11</v>
      </c>
      <c r="K44" s="60">
        <f t="shared" si="54"/>
        <v>1.3189116847674628E-11</v>
      </c>
      <c r="L44" s="60">
        <f t="shared" si="54"/>
        <v>1.3189116847674628E-11</v>
      </c>
      <c r="M44" s="60">
        <f t="shared" si="54"/>
        <v>1.3189116847674628E-11</v>
      </c>
      <c r="N44" s="60">
        <f t="shared" si="54"/>
        <v>1.3189116847674628E-11</v>
      </c>
      <c r="O44" s="60">
        <f t="shared" si="54"/>
        <v>1.3189116847674628E-11</v>
      </c>
      <c r="P44" s="60">
        <f t="shared" si="54"/>
        <v>1.3189116847674628E-11</v>
      </c>
      <c r="Q44" s="60">
        <f t="shared" si="54"/>
        <v>1.3189116847674628E-11</v>
      </c>
      <c r="R44" s="60">
        <f t="shared" si="54"/>
        <v>1.3189116847674628E-11</v>
      </c>
      <c r="S44" s="60">
        <f t="shared" si="54"/>
        <v>1.3189116847674628E-11</v>
      </c>
      <c r="T44" s="60">
        <f t="shared" si="54"/>
        <v>1.3189116847674628E-11</v>
      </c>
      <c r="U44" s="60">
        <f t="shared" si="54"/>
        <v>1.3189116847674628E-11</v>
      </c>
      <c r="V44" s="60">
        <f t="shared" si="54"/>
        <v>1.3189116847674628E-11</v>
      </c>
      <c r="W44" s="60">
        <f t="shared" si="54"/>
        <v>1.3189116847674628E-11</v>
      </c>
      <c r="X44" s="60">
        <f t="shared" si="54"/>
        <v>1.3189116847674628E-11</v>
      </c>
      <c r="Y44" s="60">
        <f t="shared" si="54"/>
        <v>1.3189116847674628E-11</v>
      </c>
      <c r="Z44" s="60">
        <f t="shared" si="54"/>
        <v>1.3189116847674628E-11</v>
      </c>
      <c r="AA44" s="60">
        <f t="shared" si="54"/>
        <v>1.3189116847674628E-11</v>
      </c>
      <c r="AB44" s="60">
        <f t="shared" si="54"/>
        <v>1.3189116847674628E-11</v>
      </c>
      <c r="AC44" s="49">
        <f t="shared" si="1"/>
        <v>15167657.618914269</v>
      </c>
      <c r="AD44" s="49">
        <f>IFERROR(up_RadSpec!$H$15*(AD15/$B44),".")</f>
        <v>3791914.4047285672</v>
      </c>
      <c r="AE44" s="49">
        <f>IFERROR(up_RadSpec!$H$15*(AE15/$B44),".")</f>
        <v>3791914.4047285672</v>
      </c>
      <c r="AF44" s="49">
        <f>IFERROR(up_RadSpec!$H$15*(AF15/$B44),".")</f>
        <v>3791914.4047285672</v>
      </c>
      <c r="AG44" s="49">
        <f>IFERROR(up_RadSpec!$H$15*(AG15/$B44),".")</f>
        <v>3791914.4047285672</v>
      </c>
      <c r="AH44" s="49">
        <f>IFERROR(up_RadSpec!$H$15*(AH15/$B44),".")</f>
        <v>3791914.4047285672</v>
      </c>
      <c r="AI44" s="49">
        <f>IFERROR(up_RadSpec!$H$15*(AI15/$B44),".")</f>
        <v>3791914.4047285672</v>
      </c>
      <c r="AJ44" s="49">
        <f>IFERROR(up_RadSpec!$H$15*(AJ15/$B44),".")</f>
        <v>3791914.4047285672</v>
      </c>
      <c r="AK44" s="49">
        <f>IFERROR(up_RadSpec!$H$15*(AK15/$B44),".")</f>
        <v>3791914.4047285672</v>
      </c>
      <c r="AL44" s="49">
        <f>IFERROR(up_RadSpec!$H$15*(AL15/$B44),".")</f>
        <v>3791914.4047285672</v>
      </c>
      <c r="AM44" s="49">
        <f>IFERROR(up_RadSpec!$H$15*(AM15/$B44),".")</f>
        <v>3791914.4047285672</v>
      </c>
      <c r="AN44" s="49">
        <f>IFERROR(up_RadSpec!$H$15*(AN15/$B44),".")</f>
        <v>3791914.4047285672</v>
      </c>
      <c r="AO44" s="49">
        <f>IFERROR(up_RadSpec!$H$15*(AO15/$B44),".")</f>
        <v>3791914.4047285672</v>
      </c>
      <c r="AP44" s="49">
        <f>IFERROR(up_RadSpec!$H$15*(AP15/$B44),".")</f>
        <v>3791914.4047285672</v>
      </c>
      <c r="AQ44" s="49">
        <f>IFERROR(up_RadSpec!$H$15*(AQ15/$B44),".")</f>
        <v>3791914.4047285672</v>
      </c>
      <c r="AR44" s="49">
        <f>IFERROR(up_RadSpec!$H$15*(AR15/$B44),".")</f>
        <v>3791914.4047285672</v>
      </c>
      <c r="AS44" s="49">
        <f>IFERROR(up_RadSpec!$H$15*(AS15/$B44),".")</f>
        <v>3791914.4047285672</v>
      </c>
      <c r="AT44" s="49">
        <f>IFERROR(up_RadSpec!$H$15*(AT15/$B44),".")</f>
        <v>3791914.4047285672</v>
      </c>
      <c r="AU44" s="49">
        <f>IFERROR(up_RadSpec!$H$15*(AU15/$B44),".")</f>
        <v>3791914.4047285672</v>
      </c>
      <c r="AV44" s="49">
        <f>IFERROR(up_RadSpec!$H$15*(AV15/$B44),".")</f>
        <v>3791914.4047285672</v>
      </c>
      <c r="AW44" s="49">
        <f>IFERROR(up_RadSpec!$H$15*(AW15/$B44),".")</f>
        <v>3791914.4047285672</v>
      </c>
      <c r="AX44" s="49">
        <f>IFERROR(up_RadSpec!$H$15*(AX15/$B44),".")</f>
        <v>3791914.4047285672</v>
      </c>
      <c r="AY44" s="49">
        <f>IFERROR(up_RadSpec!$H$15*(AY15/$B44),".")</f>
        <v>3791914.4047285672</v>
      </c>
      <c r="AZ44" s="49">
        <f>IFERROR(up_RadSpec!$H$15*(AZ15/$B44),".")</f>
        <v>3791914.4047285672</v>
      </c>
      <c r="BA44" s="49">
        <f>IFERROR(up_RadSpec!$H$15*(BA15/$B44),".")</f>
        <v>3791914.4047285672</v>
      </c>
      <c r="BB44" s="49">
        <f>IFERROR(up_RadSpec!$H$15*(BB15/$B44),".")</f>
        <v>3791914.4047285672</v>
      </c>
      <c r="BC44" s="60">
        <f t="shared" ref="BC44" si="55">IFERROR($B44/BC15,0)</f>
        <v>303280351989.99994</v>
      </c>
      <c r="BD44" s="60">
        <f t="shared" ref="BD44:CB44" si="56">IFERROR($B44/BD15,0)</f>
        <v>75820087997.499985</v>
      </c>
      <c r="BE44" s="60">
        <f t="shared" si="56"/>
        <v>75820087997.499985</v>
      </c>
      <c r="BF44" s="60">
        <f t="shared" si="56"/>
        <v>75820087997.499985</v>
      </c>
      <c r="BG44" s="60">
        <f t="shared" si="56"/>
        <v>75820087997.499985</v>
      </c>
      <c r="BH44" s="60">
        <f t="shared" si="56"/>
        <v>75820087997.499985</v>
      </c>
      <c r="BI44" s="60">
        <f t="shared" si="56"/>
        <v>75820087997.499985</v>
      </c>
      <c r="BJ44" s="60">
        <f t="shared" si="56"/>
        <v>75820087997.499985</v>
      </c>
      <c r="BK44" s="60">
        <f t="shared" si="56"/>
        <v>75820087997.499985</v>
      </c>
      <c r="BL44" s="60">
        <f t="shared" si="56"/>
        <v>75820087997.499985</v>
      </c>
      <c r="BM44" s="60">
        <f t="shared" si="56"/>
        <v>75820087997.499985</v>
      </c>
      <c r="BN44" s="60">
        <f t="shared" si="56"/>
        <v>75820087997.499985</v>
      </c>
      <c r="BO44" s="60">
        <f t="shared" si="56"/>
        <v>75820087997.499985</v>
      </c>
      <c r="BP44" s="60">
        <f t="shared" si="56"/>
        <v>75820087997.499985</v>
      </c>
      <c r="BQ44" s="60">
        <f t="shared" si="56"/>
        <v>75820087997.499985</v>
      </c>
      <c r="BR44" s="60">
        <f t="shared" si="56"/>
        <v>75820087997.499985</v>
      </c>
      <c r="BS44" s="60">
        <f t="shared" si="56"/>
        <v>75820087997.499985</v>
      </c>
      <c r="BT44" s="60">
        <f t="shared" si="56"/>
        <v>75820087997.499985</v>
      </c>
      <c r="BU44" s="60">
        <f t="shared" si="56"/>
        <v>75820087997.499985</v>
      </c>
      <c r="BV44" s="60">
        <f t="shared" si="56"/>
        <v>75820087997.499985</v>
      </c>
      <c r="BW44" s="60">
        <f t="shared" si="56"/>
        <v>75820087997.499985</v>
      </c>
      <c r="BX44" s="60">
        <f t="shared" si="56"/>
        <v>75820087997.499985</v>
      </c>
      <c r="BY44" s="60">
        <f t="shared" si="56"/>
        <v>75820087997.499985</v>
      </c>
      <c r="BZ44" s="60">
        <f t="shared" si="56"/>
        <v>75820087997.499985</v>
      </c>
      <c r="CA44" s="60">
        <f t="shared" si="56"/>
        <v>75820087997.499985</v>
      </c>
      <c r="CB44" s="60">
        <f t="shared" si="56"/>
        <v>75820087997.499985</v>
      </c>
      <c r="CC44" s="49">
        <f t="shared" si="3"/>
        <v>15167657.618914269</v>
      </c>
      <c r="CD44" s="49">
        <f>IFERROR(up_RadSpec!$H$15*(CD15/$B44),".")</f>
        <v>3791914.4047285672</v>
      </c>
      <c r="CE44" s="49">
        <f>IFERROR(up_RadSpec!$H$15*(CE15/$B44),".")</f>
        <v>3791914.4047285672</v>
      </c>
      <c r="CF44" s="49">
        <f>IFERROR(up_RadSpec!$H$15*(CF15/$B44),".")</f>
        <v>3791914.4047285672</v>
      </c>
      <c r="CG44" s="49">
        <f>IFERROR(up_RadSpec!$H$15*(CG15/$B44),".")</f>
        <v>3791914.4047285672</v>
      </c>
      <c r="CH44" s="49">
        <f>IFERROR(up_RadSpec!$H$15*(CH15/$B44),".")</f>
        <v>3791914.4047285672</v>
      </c>
      <c r="CI44" s="49">
        <f>IFERROR(up_RadSpec!$H$15*(CI15/$B44),".")</f>
        <v>3791914.4047285672</v>
      </c>
      <c r="CJ44" s="49">
        <f>IFERROR(up_RadSpec!$H$15*(CJ15/$B44),".")</f>
        <v>3791914.4047285672</v>
      </c>
      <c r="CK44" s="49">
        <f>IFERROR(up_RadSpec!$H$15*(CK15/$B44),".")</f>
        <v>3791914.4047285672</v>
      </c>
      <c r="CL44" s="49">
        <f>IFERROR(up_RadSpec!$H$15*(CL15/$B44),".")</f>
        <v>3791914.4047285672</v>
      </c>
      <c r="CM44" s="49">
        <f>IFERROR(up_RadSpec!$H$15*(CM15/$B44),".")</f>
        <v>3791914.4047285672</v>
      </c>
      <c r="CN44" s="49">
        <f>IFERROR(up_RadSpec!$H$15*(CN15/$B44),".")</f>
        <v>3791914.4047285672</v>
      </c>
      <c r="CO44" s="49">
        <f>IFERROR(up_RadSpec!$H$15*(CO15/$B44),".")</f>
        <v>3791914.4047285672</v>
      </c>
      <c r="CP44" s="49">
        <f>IFERROR(up_RadSpec!$H$15*(CP15/$B44),".")</f>
        <v>3791914.4047285672</v>
      </c>
      <c r="CQ44" s="49">
        <f>IFERROR(up_RadSpec!$H$15*(CQ15/$B44),".")</f>
        <v>3791914.4047285672</v>
      </c>
      <c r="CR44" s="49">
        <f>IFERROR(up_RadSpec!$H$15*(CR15/$B44),".")</f>
        <v>3791914.4047285672</v>
      </c>
      <c r="CS44" s="49">
        <f>IFERROR(up_RadSpec!$H$15*(CS15/$B44),".")</f>
        <v>3791914.4047285672</v>
      </c>
      <c r="CT44" s="49">
        <f>IFERROR(up_RadSpec!$H$15*(CT15/$B44),".")</f>
        <v>3791914.4047285672</v>
      </c>
      <c r="CU44" s="49">
        <f>IFERROR(up_RadSpec!$H$15*(CU15/$B44),".")</f>
        <v>3791914.4047285672</v>
      </c>
      <c r="CV44" s="49">
        <f>IFERROR(up_RadSpec!$H$15*(CV15/$B44),".")</f>
        <v>3791914.4047285672</v>
      </c>
      <c r="CW44" s="49">
        <f>IFERROR(up_RadSpec!$H$15*(CW15/$B44),".")</f>
        <v>3791914.4047285672</v>
      </c>
      <c r="CX44" s="49">
        <f>IFERROR(up_RadSpec!$H$15*(CX15/$B44),".")</f>
        <v>3791914.4047285672</v>
      </c>
      <c r="CY44" s="49">
        <f>IFERROR(up_RadSpec!$H$15*(CY15/$B44),".")</f>
        <v>3791914.4047285672</v>
      </c>
      <c r="CZ44" s="49">
        <f>IFERROR(up_RadSpec!$H$15*(CZ15/$B44),".")</f>
        <v>3791914.4047285672</v>
      </c>
      <c r="DA44" s="49">
        <f>IFERROR(up_RadSpec!$H$15*(DA15/$B44),".")</f>
        <v>3791914.4047285672</v>
      </c>
      <c r="DB44" s="49">
        <f>IFERROR(up_RadSpec!$H$15*(DB15/$B44),".")</f>
        <v>3791914.4047285672</v>
      </c>
    </row>
    <row r="45" spans="1:106" x14ac:dyDescent="0.25">
      <c r="A45" s="82" t="s">
        <v>20</v>
      </c>
      <c r="B45" s="82" t="s">
        <v>1071</v>
      </c>
      <c r="C45" s="58">
        <f t="shared" ref="C45" si="57">IFERROR(IF(AND(C46&lt;&gt;0,C47&lt;&gt;0),1/SUM(1/C46,1/C47),IF(AND(C46&lt;&gt;0,C47=0),1/(1/C46),IF(AND(C46=0,C47&lt;&gt;0),1/(1/C47),IF(AND(C46=0,C47=0),".")))),".")</f>
        <v>1.6959364700503743E-12</v>
      </c>
      <c r="D45" s="58">
        <f t="shared" ref="D45:AB45" si="58">IFERROR(IF(AND(D46&lt;&gt;0,D47&lt;&gt;0),1/SUM(1/D46,1/D47),IF(AND(D46&lt;&gt;0,D47=0),1/(1/D46),IF(AND(D46=0,D47&lt;&gt;0),1/(1/D47),IF(AND(D46=0,D47=0),".")))),".")</f>
        <v>6.7837458802014972E-12</v>
      </c>
      <c r="E45" s="58">
        <f t="shared" si="58"/>
        <v>6.7837458802014972E-12</v>
      </c>
      <c r="F45" s="58">
        <f t="shared" si="58"/>
        <v>6.7837458802014972E-12</v>
      </c>
      <c r="G45" s="58">
        <f t="shared" si="58"/>
        <v>6.7837458802014972E-12</v>
      </c>
      <c r="H45" s="58">
        <f t="shared" si="58"/>
        <v>6.7837458802014972E-12</v>
      </c>
      <c r="I45" s="58">
        <f t="shared" si="58"/>
        <v>6.7837458802014972E-12</v>
      </c>
      <c r="J45" s="58">
        <f t="shared" si="58"/>
        <v>6.7837458802014972E-12</v>
      </c>
      <c r="K45" s="58">
        <f t="shared" si="58"/>
        <v>6.7837458802014972E-12</v>
      </c>
      <c r="L45" s="58">
        <f t="shared" si="58"/>
        <v>6.7837458802014972E-12</v>
      </c>
      <c r="M45" s="58">
        <f t="shared" si="58"/>
        <v>6.7837458802014972E-12</v>
      </c>
      <c r="N45" s="58">
        <f t="shared" si="58"/>
        <v>6.7837458802014972E-12</v>
      </c>
      <c r="O45" s="58">
        <f t="shared" si="58"/>
        <v>6.7837458802014972E-12</v>
      </c>
      <c r="P45" s="58">
        <f t="shared" si="58"/>
        <v>6.7837458802014972E-12</v>
      </c>
      <c r="Q45" s="58">
        <f t="shared" si="58"/>
        <v>6.7837458802014972E-12</v>
      </c>
      <c r="R45" s="58">
        <f t="shared" si="58"/>
        <v>6.7837458802014972E-12</v>
      </c>
      <c r="S45" s="58">
        <f t="shared" si="58"/>
        <v>6.7837458802014972E-12</v>
      </c>
      <c r="T45" s="58">
        <f t="shared" si="58"/>
        <v>6.7837458802014972E-12</v>
      </c>
      <c r="U45" s="58">
        <f t="shared" si="58"/>
        <v>6.7837458802014972E-12</v>
      </c>
      <c r="V45" s="58">
        <f t="shared" si="58"/>
        <v>6.7837458802014972E-12</v>
      </c>
      <c r="W45" s="58">
        <f t="shared" si="58"/>
        <v>6.7837458802014972E-12</v>
      </c>
      <c r="X45" s="58">
        <f t="shared" si="58"/>
        <v>6.7837458802014972E-12</v>
      </c>
      <c r="Y45" s="58">
        <f t="shared" si="58"/>
        <v>6.7837458802014972E-12</v>
      </c>
      <c r="Z45" s="58">
        <f t="shared" si="58"/>
        <v>6.7837458802014972E-12</v>
      </c>
      <c r="AA45" s="58">
        <f t="shared" si="58"/>
        <v>6.7837458802014972E-12</v>
      </c>
      <c r="AB45" s="58">
        <f t="shared" si="58"/>
        <v>6.7837458802014972E-12</v>
      </c>
      <c r="AC45" s="47">
        <f t="shared" si="1"/>
        <v>4</v>
      </c>
      <c r="AD45" s="47">
        <f t="shared" ref="AD45:BA45" si="59">IFERROR(IF(SUM(AD46:AD47)&gt;0.01,1-EXP(-(SUM(AD46:AD47))),SUM(AD46:AD47)),".")</f>
        <v>1</v>
      </c>
      <c r="AE45" s="47">
        <f t="shared" si="59"/>
        <v>1</v>
      </c>
      <c r="AF45" s="47">
        <f t="shared" si="59"/>
        <v>1</v>
      </c>
      <c r="AG45" s="47">
        <f t="shared" si="59"/>
        <v>1</v>
      </c>
      <c r="AH45" s="47">
        <f t="shared" si="59"/>
        <v>1</v>
      </c>
      <c r="AI45" s="47">
        <f t="shared" si="59"/>
        <v>1</v>
      </c>
      <c r="AJ45" s="47">
        <f t="shared" si="59"/>
        <v>1</v>
      </c>
      <c r="AK45" s="47">
        <f t="shared" si="59"/>
        <v>1</v>
      </c>
      <c r="AL45" s="47">
        <f t="shared" si="59"/>
        <v>1</v>
      </c>
      <c r="AM45" s="47">
        <f t="shared" si="59"/>
        <v>1</v>
      </c>
      <c r="AN45" s="47">
        <f t="shared" si="59"/>
        <v>1</v>
      </c>
      <c r="AO45" s="47">
        <f t="shared" si="59"/>
        <v>1</v>
      </c>
      <c r="AP45" s="47">
        <f t="shared" si="59"/>
        <v>1</v>
      </c>
      <c r="AQ45" s="47">
        <f t="shared" si="59"/>
        <v>1</v>
      </c>
      <c r="AR45" s="47">
        <f t="shared" si="59"/>
        <v>1</v>
      </c>
      <c r="AS45" s="47">
        <f t="shared" si="59"/>
        <v>1</v>
      </c>
      <c r="AT45" s="47">
        <f t="shared" si="59"/>
        <v>1</v>
      </c>
      <c r="AU45" s="47">
        <f t="shared" si="59"/>
        <v>1</v>
      </c>
      <c r="AV45" s="47">
        <f t="shared" si="59"/>
        <v>1</v>
      </c>
      <c r="AW45" s="47">
        <f t="shared" si="59"/>
        <v>1</v>
      </c>
      <c r="AX45" s="47">
        <f t="shared" si="59"/>
        <v>1</v>
      </c>
      <c r="AY45" s="47">
        <f t="shared" si="59"/>
        <v>1</v>
      </c>
      <c r="AZ45" s="47">
        <f t="shared" si="59"/>
        <v>1</v>
      </c>
      <c r="BA45" s="47">
        <f t="shared" si="59"/>
        <v>1</v>
      </c>
      <c r="BB45" s="47">
        <f>IFERROR(IF(SUM(BB46:BB47)&gt;0.01,1-EXP(-(SUM(BB46:BB47))),SUM(BB46:BB47)),".")</f>
        <v>1</v>
      </c>
      <c r="BC45" s="58">
        <f>IFERROR(1/SUM(BC46:BC47),".")</f>
        <v>1.6959364700503743E-12</v>
      </c>
      <c r="BD45" s="58">
        <f>IFERROR(1/SUM(BD46:BD47),".")</f>
        <v>6.7837458802014972E-12</v>
      </c>
      <c r="BE45" s="58">
        <f t="shared" ref="BE45:CB45" si="60">IFERROR(1/SUM(BE46:BE47),".")</f>
        <v>6.7837458802014972E-12</v>
      </c>
      <c r="BF45" s="58">
        <f t="shared" si="60"/>
        <v>6.7837458802014972E-12</v>
      </c>
      <c r="BG45" s="58">
        <f t="shared" si="60"/>
        <v>6.7837458802014972E-12</v>
      </c>
      <c r="BH45" s="58">
        <f t="shared" si="60"/>
        <v>6.7837458802014972E-12</v>
      </c>
      <c r="BI45" s="58">
        <f t="shared" si="60"/>
        <v>6.7837458802014972E-12</v>
      </c>
      <c r="BJ45" s="58">
        <f t="shared" si="60"/>
        <v>6.7837458802014972E-12</v>
      </c>
      <c r="BK45" s="58">
        <f t="shared" si="60"/>
        <v>6.7837458802014972E-12</v>
      </c>
      <c r="BL45" s="58">
        <f t="shared" si="60"/>
        <v>6.7837458802014972E-12</v>
      </c>
      <c r="BM45" s="58">
        <f t="shared" si="60"/>
        <v>6.7837458802014972E-12</v>
      </c>
      <c r="BN45" s="58">
        <f t="shared" si="60"/>
        <v>6.7837458802014972E-12</v>
      </c>
      <c r="BO45" s="58">
        <f t="shared" si="60"/>
        <v>6.7837458802014972E-12</v>
      </c>
      <c r="BP45" s="58">
        <f t="shared" si="60"/>
        <v>6.7837458802014972E-12</v>
      </c>
      <c r="BQ45" s="58">
        <f t="shared" si="60"/>
        <v>6.7837458802014972E-12</v>
      </c>
      <c r="BR45" s="58">
        <f t="shared" si="60"/>
        <v>6.7837458802014972E-12</v>
      </c>
      <c r="BS45" s="58">
        <f t="shared" si="60"/>
        <v>6.7837458802014972E-12</v>
      </c>
      <c r="BT45" s="58">
        <f t="shared" si="60"/>
        <v>6.7837458802014972E-12</v>
      </c>
      <c r="BU45" s="58">
        <f t="shared" si="60"/>
        <v>6.7837458802014972E-12</v>
      </c>
      <c r="BV45" s="58">
        <f t="shared" si="60"/>
        <v>6.7837458802014972E-12</v>
      </c>
      <c r="BW45" s="58">
        <f t="shared" si="60"/>
        <v>6.7837458802014972E-12</v>
      </c>
      <c r="BX45" s="58">
        <f t="shared" si="60"/>
        <v>6.7837458802014972E-12</v>
      </c>
      <c r="BY45" s="58">
        <f t="shared" si="60"/>
        <v>6.7837458802014972E-12</v>
      </c>
      <c r="BZ45" s="58">
        <f t="shared" si="60"/>
        <v>6.7837458802014972E-12</v>
      </c>
      <c r="CA45" s="58">
        <f t="shared" si="60"/>
        <v>6.7837458802014972E-12</v>
      </c>
      <c r="CB45" s="58">
        <f t="shared" si="60"/>
        <v>6.7837458802014972E-12</v>
      </c>
      <c r="CC45" s="47">
        <f t="shared" si="3"/>
        <v>4</v>
      </c>
      <c r="CD45" s="47">
        <f t="shared" ref="CD45:CZ45" si="61">IFERROR(IF(SUM(CD46:CD47)&gt;0.01,1-EXP(-(SUM(CD46:CD47))),SUM(CD46:CD47)),".")</f>
        <v>1</v>
      </c>
      <c r="CE45" s="47">
        <f t="shared" si="61"/>
        <v>1</v>
      </c>
      <c r="CF45" s="47">
        <f t="shared" si="61"/>
        <v>1</v>
      </c>
      <c r="CG45" s="47">
        <f t="shared" si="61"/>
        <v>1</v>
      </c>
      <c r="CH45" s="47">
        <f t="shared" si="61"/>
        <v>1</v>
      </c>
      <c r="CI45" s="47">
        <f t="shared" si="61"/>
        <v>1</v>
      </c>
      <c r="CJ45" s="47">
        <f t="shared" si="61"/>
        <v>1</v>
      </c>
      <c r="CK45" s="47">
        <f t="shared" si="61"/>
        <v>1</v>
      </c>
      <c r="CL45" s="47">
        <f t="shared" si="61"/>
        <v>1</v>
      </c>
      <c r="CM45" s="47">
        <f t="shared" si="61"/>
        <v>1</v>
      </c>
      <c r="CN45" s="47">
        <f t="shared" si="61"/>
        <v>1</v>
      </c>
      <c r="CO45" s="47">
        <f t="shared" si="61"/>
        <v>1</v>
      </c>
      <c r="CP45" s="47">
        <f t="shared" si="61"/>
        <v>1</v>
      </c>
      <c r="CQ45" s="47">
        <f t="shared" si="61"/>
        <v>1</v>
      </c>
      <c r="CR45" s="47">
        <f t="shared" si="61"/>
        <v>1</v>
      </c>
      <c r="CS45" s="47">
        <f t="shared" si="61"/>
        <v>1</v>
      </c>
      <c r="CT45" s="47">
        <f t="shared" si="61"/>
        <v>1</v>
      </c>
      <c r="CU45" s="47">
        <f t="shared" si="61"/>
        <v>1</v>
      </c>
      <c r="CV45" s="47">
        <f t="shared" si="61"/>
        <v>1</v>
      </c>
      <c r="CW45" s="47">
        <f t="shared" si="61"/>
        <v>1</v>
      </c>
      <c r="CX45" s="47">
        <f t="shared" si="61"/>
        <v>1</v>
      </c>
      <c r="CY45" s="47">
        <f t="shared" si="61"/>
        <v>1</v>
      </c>
      <c r="CZ45" s="47">
        <f t="shared" si="61"/>
        <v>1</v>
      </c>
      <c r="DA45" s="47">
        <f>IFERROR(IF(SUM(DA46:DA47)&gt;0.01,1-EXP(-(SUM(DA46:DA47))),SUM(DA46:DA47)),".")</f>
        <v>1</v>
      </c>
      <c r="DB45" s="47">
        <f>IFERROR(IF(SUM(DB46:DB47)&gt;0.01,1-EXP(-(SUM(DB46:DB47))),SUM(DB46:DB47)),".")</f>
        <v>1</v>
      </c>
    </row>
    <row r="46" spans="1:106" x14ac:dyDescent="0.25">
      <c r="A46" s="83" t="s">
        <v>1098</v>
      </c>
      <c r="B46" s="42">
        <v>1</v>
      </c>
      <c r="C46" s="60">
        <f t="shared" ref="C46" si="62">IFERROR(C10/$B46,0)</f>
        <v>3.2968835384132272E-12</v>
      </c>
      <c r="D46" s="60">
        <f t="shared" ref="D46:AB46" si="63">IFERROR(D10/$B46,0)</f>
        <v>1.3187534153652907E-11</v>
      </c>
      <c r="E46" s="60">
        <f t="shared" si="63"/>
        <v>1.3187534153652907E-11</v>
      </c>
      <c r="F46" s="60">
        <f t="shared" si="63"/>
        <v>1.3187534153652907E-11</v>
      </c>
      <c r="G46" s="60">
        <f t="shared" si="63"/>
        <v>1.3187534153652907E-11</v>
      </c>
      <c r="H46" s="60">
        <f t="shared" si="63"/>
        <v>1.3187534153652907E-11</v>
      </c>
      <c r="I46" s="60">
        <f t="shared" si="63"/>
        <v>1.3187534153652907E-11</v>
      </c>
      <c r="J46" s="60">
        <f t="shared" si="63"/>
        <v>1.3187534153652907E-11</v>
      </c>
      <c r="K46" s="60">
        <f t="shared" si="63"/>
        <v>1.3187534153652907E-11</v>
      </c>
      <c r="L46" s="60">
        <f t="shared" si="63"/>
        <v>1.3187534153652907E-11</v>
      </c>
      <c r="M46" s="60">
        <f t="shared" si="63"/>
        <v>1.3187534153652907E-11</v>
      </c>
      <c r="N46" s="60">
        <f t="shared" si="63"/>
        <v>1.3187534153652907E-11</v>
      </c>
      <c r="O46" s="60">
        <f t="shared" si="63"/>
        <v>1.3187534153652907E-11</v>
      </c>
      <c r="P46" s="60">
        <f t="shared" si="63"/>
        <v>1.3187534153652907E-11</v>
      </c>
      <c r="Q46" s="60">
        <f t="shared" si="63"/>
        <v>1.3187534153652907E-11</v>
      </c>
      <c r="R46" s="60">
        <f t="shared" si="63"/>
        <v>1.3187534153652907E-11</v>
      </c>
      <c r="S46" s="60">
        <f t="shared" si="63"/>
        <v>1.3187534153652907E-11</v>
      </c>
      <c r="T46" s="60">
        <f t="shared" si="63"/>
        <v>1.3187534153652907E-11</v>
      </c>
      <c r="U46" s="60">
        <f t="shared" si="63"/>
        <v>1.3187534153652907E-11</v>
      </c>
      <c r="V46" s="60">
        <f t="shared" si="63"/>
        <v>1.3187534153652907E-11</v>
      </c>
      <c r="W46" s="60">
        <f t="shared" si="63"/>
        <v>1.3187534153652907E-11</v>
      </c>
      <c r="X46" s="60">
        <f t="shared" si="63"/>
        <v>1.3187534153652907E-11</v>
      </c>
      <c r="Y46" s="60">
        <f t="shared" si="63"/>
        <v>1.3187534153652907E-11</v>
      </c>
      <c r="Z46" s="60">
        <f t="shared" si="63"/>
        <v>1.3187534153652907E-11</v>
      </c>
      <c r="AA46" s="60">
        <f t="shared" si="63"/>
        <v>1.3187534153652907E-11</v>
      </c>
      <c r="AB46" s="60">
        <f t="shared" si="63"/>
        <v>1.3187534153652907E-11</v>
      </c>
      <c r="AC46" s="49">
        <f t="shared" si="1"/>
        <v>15165837.5</v>
      </c>
      <c r="AD46" s="49">
        <f>IFERROR(up_RadSpec!$H$10*(AD10/$B46),".")</f>
        <v>3791459.375</v>
      </c>
      <c r="AE46" s="49">
        <f>IFERROR(up_RadSpec!$H$10*(AE10/$B46),".")</f>
        <v>3791459.375</v>
      </c>
      <c r="AF46" s="49">
        <f>IFERROR(up_RadSpec!$H$10*(AF10/$B46),".")</f>
        <v>3791459.375</v>
      </c>
      <c r="AG46" s="49">
        <f>IFERROR(up_RadSpec!$H$10*(AG10/$B46),".")</f>
        <v>3791459.375</v>
      </c>
      <c r="AH46" s="49">
        <f>IFERROR(up_RadSpec!$H$10*(AH10/$B46),".")</f>
        <v>3791459.375</v>
      </c>
      <c r="AI46" s="49">
        <f>IFERROR(up_RadSpec!$H$10*(AI10/$B46),".")</f>
        <v>3791459.375</v>
      </c>
      <c r="AJ46" s="49">
        <f>IFERROR(up_RadSpec!$H$10*(AJ10/$B46),".")</f>
        <v>3791459.375</v>
      </c>
      <c r="AK46" s="49">
        <f>IFERROR(up_RadSpec!$H$10*(AK10/$B46),".")</f>
        <v>3791459.375</v>
      </c>
      <c r="AL46" s="49">
        <f>IFERROR(up_RadSpec!$H$10*(AL10/$B46),".")</f>
        <v>3791459.375</v>
      </c>
      <c r="AM46" s="49">
        <f>IFERROR(up_RadSpec!$H$10*(AM10/$B46),".")</f>
        <v>3791459.375</v>
      </c>
      <c r="AN46" s="49">
        <f>IFERROR(up_RadSpec!$H$10*(AN10/$B46),".")</f>
        <v>3791459.375</v>
      </c>
      <c r="AO46" s="49">
        <f>IFERROR(up_RadSpec!$H$10*(AO10/$B46),".")</f>
        <v>3791459.375</v>
      </c>
      <c r="AP46" s="49">
        <f>IFERROR(up_RadSpec!$H$10*(AP10/$B46),".")</f>
        <v>3791459.375</v>
      </c>
      <c r="AQ46" s="49">
        <f>IFERROR(up_RadSpec!$H$10*(AQ10/$B46),".")</f>
        <v>3791459.375</v>
      </c>
      <c r="AR46" s="49">
        <f>IFERROR(up_RadSpec!$H$10*(AR10/$B46),".")</f>
        <v>3791459.375</v>
      </c>
      <c r="AS46" s="49">
        <f>IFERROR(up_RadSpec!$H$10*(AS10/$B46),".")</f>
        <v>3791459.375</v>
      </c>
      <c r="AT46" s="49">
        <f>IFERROR(up_RadSpec!$H$10*(AT10/$B46),".")</f>
        <v>3791459.375</v>
      </c>
      <c r="AU46" s="49">
        <f>IFERROR(up_RadSpec!$H$10*(AU10/$B46),".")</f>
        <v>3791459.375</v>
      </c>
      <c r="AV46" s="49">
        <f>IFERROR(up_RadSpec!$H$10*(AV10/$B46),".")</f>
        <v>3791459.375</v>
      </c>
      <c r="AW46" s="49">
        <f>IFERROR(up_RadSpec!$H$10*(AW10/$B46),".")</f>
        <v>3791459.375</v>
      </c>
      <c r="AX46" s="49">
        <f>IFERROR(up_RadSpec!$H$10*(AX10/$B46),".")</f>
        <v>3791459.375</v>
      </c>
      <c r="AY46" s="49">
        <f>IFERROR(up_RadSpec!$H$10*(AY10/$B46),".")</f>
        <v>3791459.375</v>
      </c>
      <c r="AZ46" s="49">
        <f>IFERROR(up_RadSpec!$H$10*(AZ10/$B46),".")</f>
        <v>3791459.375</v>
      </c>
      <c r="BA46" s="49">
        <f>IFERROR(up_RadSpec!$H$10*(BA10/$B46),".")</f>
        <v>3791459.375</v>
      </c>
      <c r="BB46" s="49">
        <f>IFERROR(up_RadSpec!$H$10*(BB10/$B46),".")</f>
        <v>3791459.375</v>
      </c>
      <c r="BC46" s="60">
        <f t="shared" ref="BC46" si="64">IFERROR($B46/BC10,0)</f>
        <v>303316749999.99994</v>
      </c>
      <c r="BD46" s="60">
        <f t="shared" ref="BD46:CB46" si="65">IFERROR($B46/BD10,0)</f>
        <v>75829187499.999985</v>
      </c>
      <c r="BE46" s="60">
        <f t="shared" si="65"/>
        <v>75829187499.999985</v>
      </c>
      <c r="BF46" s="60">
        <f t="shared" si="65"/>
        <v>75829187499.999985</v>
      </c>
      <c r="BG46" s="60">
        <f t="shared" si="65"/>
        <v>75829187499.999985</v>
      </c>
      <c r="BH46" s="60">
        <f t="shared" si="65"/>
        <v>75829187499.999985</v>
      </c>
      <c r="BI46" s="60">
        <f t="shared" si="65"/>
        <v>75829187499.999985</v>
      </c>
      <c r="BJ46" s="60">
        <f t="shared" si="65"/>
        <v>75829187499.999985</v>
      </c>
      <c r="BK46" s="60">
        <f t="shared" si="65"/>
        <v>75829187499.999985</v>
      </c>
      <c r="BL46" s="60">
        <f t="shared" si="65"/>
        <v>75829187499.999985</v>
      </c>
      <c r="BM46" s="60">
        <f t="shared" si="65"/>
        <v>75829187499.999985</v>
      </c>
      <c r="BN46" s="60">
        <f t="shared" si="65"/>
        <v>75829187499.999985</v>
      </c>
      <c r="BO46" s="60">
        <f t="shared" si="65"/>
        <v>75829187499.999985</v>
      </c>
      <c r="BP46" s="60">
        <f t="shared" si="65"/>
        <v>75829187499.999985</v>
      </c>
      <c r="BQ46" s="60">
        <f t="shared" si="65"/>
        <v>75829187499.999985</v>
      </c>
      <c r="BR46" s="60">
        <f t="shared" si="65"/>
        <v>75829187499.999985</v>
      </c>
      <c r="BS46" s="60">
        <f t="shared" si="65"/>
        <v>75829187499.999985</v>
      </c>
      <c r="BT46" s="60">
        <f t="shared" si="65"/>
        <v>75829187499.999985</v>
      </c>
      <c r="BU46" s="60">
        <f t="shared" si="65"/>
        <v>75829187499.999985</v>
      </c>
      <c r="BV46" s="60">
        <f t="shared" si="65"/>
        <v>75829187499.999985</v>
      </c>
      <c r="BW46" s="60">
        <f t="shared" si="65"/>
        <v>75829187499.999985</v>
      </c>
      <c r="BX46" s="60">
        <f t="shared" si="65"/>
        <v>75829187499.999985</v>
      </c>
      <c r="BY46" s="60">
        <f t="shared" si="65"/>
        <v>75829187499.999985</v>
      </c>
      <c r="BZ46" s="60">
        <f t="shared" si="65"/>
        <v>75829187499.999985</v>
      </c>
      <c r="CA46" s="60">
        <f t="shared" si="65"/>
        <v>75829187499.999985</v>
      </c>
      <c r="CB46" s="60">
        <f t="shared" si="65"/>
        <v>75829187499.999985</v>
      </c>
      <c r="CC46" s="49">
        <f t="shared" si="3"/>
        <v>15165837.5</v>
      </c>
      <c r="CD46" s="49">
        <f>IFERROR(up_RadSpec!$H$10*(CD10/$B46),".")</f>
        <v>3791459.375</v>
      </c>
      <c r="CE46" s="49">
        <f>IFERROR(up_RadSpec!$H$10*(CE10/$B46),".")</f>
        <v>3791459.375</v>
      </c>
      <c r="CF46" s="49">
        <f>IFERROR(up_RadSpec!$H$10*(CF10/$B46),".")</f>
        <v>3791459.375</v>
      </c>
      <c r="CG46" s="49">
        <f>IFERROR(up_RadSpec!$H$10*(CG10/$B46),".")</f>
        <v>3791459.375</v>
      </c>
      <c r="CH46" s="49">
        <f>IFERROR(up_RadSpec!$H$10*(CH10/$B46),".")</f>
        <v>3791459.375</v>
      </c>
      <c r="CI46" s="49">
        <f>IFERROR(up_RadSpec!$H$10*(CI10/$B46),".")</f>
        <v>3791459.375</v>
      </c>
      <c r="CJ46" s="49">
        <f>IFERROR(up_RadSpec!$H$10*(CJ10/$B46),".")</f>
        <v>3791459.375</v>
      </c>
      <c r="CK46" s="49">
        <f>IFERROR(up_RadSpec!$H$10*(CK10/$B46),".")</f>
        <v>3791459.375</v>
      </c>
      <c r="CL46" s="49">
        <f>IFERROR(up_RadSpec!$H$10*(CL10/$B46),".")</f>
        <v>3791459.375</v>
      </c>
      <c r="CM46" s="49">
        <f>IFERROR(up_RadSpec!$H$10*(CM10/$B46),".")</f>
        <v>3791459.375</v>
      </c>
      <c r="CN46" s="49">
        <f>IFERROR(up_RadSpec!$H$10*(CN10/$B46),".")</f>
        <v>3791459.375</v>
      </c>
      <c r="CO46" s="49">
        <f>IFERROR(up_RadSpec!$H$10*(CO10/$B46),".")</f>
        <v>3791459.375</v>
      </c>
      <c r="CP46" s="49">
        <f>IFERROR(up_RadSpec!$H$10*(CP10/$B46),".")</f>
        <v>3791459.375</v>
      </c>
      <c r="CQ46" s="49">
        <f>IFERROR(up_RadSpec!$H$10*(CQ10/$B46),".")</f>
        <v>3791459.375</v>
      </c>
      <c r="CR46" s="49">
        <f>IFERROR(up_RadSpec!$H$10*(CR10/$B46),".")</f>
        <v>3791459.375</v>
      </c>
      <c r="CS46" s="49">
        <f>IFERROR(up_RadSpec!$H$10*(CS10/$B46),".")</f>
        <v>3791459.375</v>
      </c>
      <c r="CT46" s="49">
        <f>IFERROR(up_RadSpec!$H$10*(CT10/$B46),".")</f>
        <v>3791459.375</v>
      </c>
      <c r="CU46" s="49">
        <f>IFERROR(up_RadSpec!$H$10*(CU10/$B46),".")</f>
        <v>3791459.375</v>
      </c>
      <c r="CV46" s="49">
        <f>IFERROR(up_RadSpec!$H$10*(CV10/$B46),".")</f>
        <v>3791459.375</v>
      </c>
      <c r="CW46" s="49">
        <f>IFERROR(up_RadSpec!$H$10*(CW10/$B46),".")</f>
        <v>3791459.375</v>
      </c>
      <c r="CX46" s="49">
        <f>IFERROR(up_RadSpec!$H$10*(CX10/$B46),".")</f>
        <v>3791459.375</v>
      </c>
      <c r="CY46" s="49">
        <f>IFERROR(up_RadSpec!$H$10*(CY10/$B46),".")</f>
        <v>3791459.375</v>
      </c>
      <c r="CZ46" s="49">
        <f>IFERROR(up_RadSpec!$H$10*(CZ10/$B46),".")</f>
        <v>3791459.375</v>
      </c>
      <c r="DA46" s="49">
        <f>IFERROR(up_RadSpec!$H$10*(DA10/$B46),".")</f>
        <v>3791459.375</v>
      </c>
      <c r="DB46" s="49">
        <f>IFERROR(up_RadSpec!$H$10*(DB10/$B46),".")</f>
        <v>3791459.375</v>
      </c>
    </row>
    <row r="47" spans="1:106" x14ac:dyDescent="0.25">
      <c r="A47" s="83" t="s">
        <v>1072</v>
      </c>
      <c r="B47" s="85">
        <v>0.94399</v>
      </c>
      <c r="C47" s="60">
        <f t="shared" ref="C47" si="66">IFERROR(C6/$B$47,0)</f>
        <v>3.4924983722425314E-12</v>
      </c>
      <c r="D47" s="60">
        <f t="shared" ref="D47:AB47" si="67">IFERROR(D6/$B$47,0)</f>
        <v>1.3969993488970124E-11</v>
      </c>
      <c r="E47" s="60">
        <f t="shared" si="67"/>
        <v>1.3969993488970124E-11</v>
      </c>
      <c r="F47" s="60">
        <f t="shared" si="67"/>
        <v>1.3969993488970124E-11</v>
      </c>
      <c r="G47" s="60">
        <f t="shared" si="67"/>
        <v>1.3969993488970124E-11</v>
      </c>
      <c r="H47" s="60">
        <f t="shared" si="67"/>
        <v>1.3969993488970124E-11</v>
      </c>
      <c r="I47" s="60">
        <f t="shared" si="67"/>
        <v>1.3969993488970124E-11</v>
      </c>
      <c r="J47" s="60">
        <f t="shared" si="67"/>
        <v>1.3969993488970124E-11</v>
      </c>
      <c r="K47" s="60">
        <f t="shared" si="67"/>
        <v>1.3969993488970124E-11</v>
      </c>
      <c r="L47" s="60">
        <f t="shared" si="67"/>
        <v>1.3969993488970124E-11</v>
      </c>
      <c r="M47" s="60">
        <f t="shared" si="67"/>
        <v>1.3969993488970124E-11</v>
      </c>
      <c r="N47" s="60">
        <f t="shared" si="67"/>
        <v>1.3969993488970124E-11</v>
      </c>
      <c r="O47" s="60">
        <f t="shared" si="67"/>
        <v>1.3969993488970124E-11</v>
      </c>
      <c r="P47" s="60">
        <f t="shared" si="67"/>
        <v>1.3969993488970124E-11</v>
      </c>
      <c r="Q47" s="60">
        <f t="shared" si="67"/>
        <v>1.3969993488970124E-11</v>
      </c>
      <c r="R47" s="60">
        <f t="shared" si="67"/>
        <v>1.3969993488970124E-11</v>
      </c>
      <c r="S47" s="60">
        <f t="shared" si="67"/>
        <v>1.3969993488970124E-11</v>
      </c>
      <c r="T47" s="60">
        <f t="shared" si="67"/>
        <v>1.3969993488970124E-11</v>
      </c>
      <c r="U47" s="60">
        <f t="shared" si="67"/>
        <v>1.3969993488970124E-11</v>
      </c>
      <c r="V47" s="60">
        <f t="shared" si="67"/>
        <v>1.3969993488970124E-11</v>
      </c>
      <c r="W47" s="60">
        <f t="shared" si="67"/>
        <v>1.3969993488970124E-11</v>
      </c>
      <c r="X47" s="60">
        <f t="shared" si="67"/>
        <v>1.3969993488970124E-11</v>
      </c>
      <c r="Y47" s="60">
        <f t="shared" si="67"/>
        <v>1.3969993488970124E-11</v>
      </c>
      <c r="Z47" s="60">
        <f t="shared" si="67"/>
        <v>1.3969993488970124E-11</v>
      </c>
      <c r="AA47" s="60">
        <f t="shared" si="67"/>
        <v>1.3969993488970124E-11</v>
      </c>
      <c r="AB47" s="60">
        <f t="shared" si="67"/>
        <v>1.3969993488970124E-11</v>
      </c>
      <c r="AC47" s="49">
        <f t="shared" si="1"/>
        <v>16065676.013517093</v>
      </c>
      <c r="AD47" s="49">
        <f>IFERROR(up_RadSpec!$H$6*(AD6/$B47),".")</f>
        <v>4016419.0033792732</v>
      </c>
      <c r="AE47" s="49">
        <f>IFERROR(up_RadSpec!$H$6*(AE6/$B47),".")</f>
        <v>4016419.0033792732</v>
      </c>
      <c r="AF47" s="49">
        <f>IFERROR(up_RadSpec!$H$6*(AF6/$B47),".")</f>
        <v>4016419.0033792732</v>
      </c>
      <c r="AG47" s="49">
        <f>IFERROR(up_RadSpec!$H$6*(AG6/$B47),".")</f>
        <v>4016419.0033792732</v>
      </c>
      <c r="AH47" s="49">
        <f>IFERROR(up_RadSpec!$H$6*(AH6/$B47),".")</f>
        <v>4016419.0033792732</v>
      </c>
      <c r="AI47" s="49">
        <f>IFERROR(up_RadSpec!$H$6*(AI6/$B47),".")</f>
        <v>4016419.0033792732</v>
      </c>
      <c r="AJ47" s="49">
        <f>IFERROR(up_RadSpec!$H$6*(AJ6/$B47),".")</f>
        <v>4016419.0033792732</v>
      </c>
      <c r="AK47" s="49">
        <f>IFERROR(up_RadSpec!$H$6*(AK6/$B47),".")</f>
        <v>4016419.0033792732</v>
      </c>
      <c r="AL47" s="49">
        <f>IFERROR(up_RadSpec!$H$6*(AL6/$B47),".")</f>
        <v>4016419.0033792732</v>
      </c>
      <c r="AM47" s="49">
        <f>IFERROR(up_RadSpec!$H$6*(AM6/$B47),".")</f>
        <v>4016419.0033792732</v>
      </c>
      <c r="AN47" s="49">
        <f>IFERROR(up_RadSpec!$H$6*(AN6/$B47),".")</f>
        <v>4016419.0033792732</v>
      </c>
      <c r="AO47" s="49">
        <f>IFERROR(up_RadSpec!$H$6*(AO6/$B47),".")</f>
        <v>4016419.0033792732</v>
      </c>
      <c r="AP47" s="49">
        <f>IFERROR(up_RadSpec!$H$6*(AP6/$B47),".")</f>
        <v>4016419.0033792732</v>
      </c>
      <c r="AQ47" s="49">
        <f>IFERROR(up_RadSpec!$H$6*(AQ6/$B47),".")</f>
        <v>4016419.0033792732</v>
      </c>
      <c r="AR47" s="49">
        <f>IFERROR(up_RadSpec!$H$6*(AR6/$B47),".")</f>
        <v>4016419.0033792732</v>
      </c>
      <c r="AS47" s="49">
        <f>IFERROR(up_RadSpec!$H$6*(AS6/$B47),".")</f>
        <v>4016419.0033792732</v>
      </c>
      <c r="AT47" s="49">
        <f>IFERROR(up_RadSpec!$H$6*(AT6/$B47),".")</f>
        <v>4016419.0033792732</v>
      </c>
      <c r="AU47" s="49">
        <f>IFERROR(up_RadSpec!$H$6*(AU6/$B47),".")</f>
        <v>4016419.0033792732</v>
      </c>
      <c r="AV47" s="49">
        <f>IFERROR(up_RadSpec!$H$6*(AV6/$B47),".")</f>
        <v>4016419.0033792732</v>
      </c>
      <c r="AW47" s="49">
        <f>IFERROR(up_RadSpec!$H$6*(AW6/$B47),".")</f>
        <v>4016419.0033792732</v>
      </c>
      <c r="AX47" s="49">
        <f>IFERROR(up_RadSpec!$H$6*(AX6/$B47),".")</f>
        <v>4016419.0033792732</v>
      </c>
      <c r="AY47" s="49">
        <f>IFERROR(up_RadSpec!$H$6*(AY6/$B47),".")</f>
        <v>4016419.0033792732</v>
      </c>
      <c r="AZ47" s="49">
        <f>IFERROR(up_RadSpec!$H$6*(AZ6/$B47),".")</f>
        <v>4016419.0033792732</v>
      </c>
      <c r="BA47" s="49">
        <f>IFERROR(up_RadSpec!$H$6*(BA6/$B47),".")</f>
        <v>4016419.0033792732</v>
      </c>
      <c r="BB47" s="49">
        <f>IFERROR(up_RadSpec!$H$6*(BB6/$B47),".")</f>
        <v>4016419.0033792732</v>
      </c>
      <c r="BC47" s="60">
        <f t="shared" ref="BC47" si="68">IFERROR($B47/BC6,0)</f>
        <v>286327978832.49994</v>
      </c>
      <c r="BD47" s="60">
        <f t="shared" ref="BD47:CB47" si="69">IFERROR($B47/BD6,0)</f>
        <v>71581994708.124985</v>
      </c>
      <c r="BE47" s="60">
        <f t="shared" si="69"/>
        <v>71581994708.124985</v>
      </c>
      <c r="BF47" s="60">
        <f t="shared" si="69"/>
        <v>71581994708.124985</v>
      </c>
      <c r="BG47" s="60">
        <f t="shared" si="69"/>
        <v>71581994708.124985</v>
      </c>
      <c r="BH47" s="60">
        <f t="shared" si="69"/>
        <v>71581994708.124985</v>
      </c>
      <c r="BI47" s="60">
        <f t="shared" si="69"/>
        <v>71581994708.124985</v>
      </c>
      <c r="BJ47" s="60">
        <f t="shared" si="69"/>
        <v>71581994708.124985</v>
      </c>
      <c r="BK47" s="60">
        <f t="shared" si="69"/>
        <v>71581994708.124985</v>
      </c>
      <c r="BL47" s="60">
        <f t="shared" si="69"/>
        <v>71581994708.124985</v>
      </c>
      <c r="BM47" s="60">
        <f t="shared" si="69"/>
        <v>71581994708.124985</v>
      </c>
      <c r="BN47" s="60">
        <f t="shared" si="69"/>
        <v>71581994708.124985</v>
      </c>
      <c r="BO47" s="60">
        <f t="shared" si="69"/>
        <v>71581994708.124985</v>
      </c>
      <c r="BP47" s="60">
        <f t="shared" si="69"/>
        <v>71581994708.124985</v>
      </c>
      <c r="BQ47" s="60">
        <f t="shared" si="69"/>
        <v>71581994708.124985</v>
      </c>
      <c r="BR47" s="60">
        <f t="shared" si="69"/>
        <v>71581994708.124985</v>
      </c>
      <c r="BS47" s="60">
        <f t="shared" si="69"/>
        <v>71581994708.124985</v>
      </c>
      <c r="BT47" s="60">
        <f t="shared" si="69"/>
        <v>71581994708.124985</v>
      </c>
      <c r="BU47" s="60">
        <f t="shared" si="69"/>
        <v>71581994708.124985</v>
      </c>
      <c r="BV47" s="60">
        <f t="shared" si="69"/>
        <v>71581994708.124985</v>
      </c>
      <c r="BW47" s="60">
        <f t="shared" si="69"/>
        <v>71581994708.124985</v>
      </c>
      <c r="BX47" s="60">
        <f t="shared" si="69"/>
        <v>71581994708.124985</v>
      </c>
      <c r="BY47" s="60">
        <f t="shared" si="69"/>
        <v>71581994708.124985</v>
      </c>
      <c r="BZ47" s="60">
        <f t="shared" si="69"/>
        <v>71581994708.124985</v>
      </c>
      <c r="CA47" s="60">
        <f t="shared" si="69"/>
        <v>71581994708.124985</v>
      </c>
      <c r="CB47" s="60">
        <f t="shared" si="69"/>
        <v>71581994708.124985</v>
      </c>
      <c r="CC47" s="49">
        <f t="shared" si="3"/>
        <v>16065676.013517093</v>
      </c>
      <c r="CD47" s="49">
        <f>IFERROR(up_RadSpec!$H$6*(CD6/$B47),".")</f>
        <v>4016419.0033792732</v>
      </c>
      <c r="CE47" s="49">
        <f>IFERROR(up_RadSpec!$H$6*(CE6/$B47),".")</f>
        <v>4016419.0033792732</v>
      </c>
      <c r="CF47" s="49">
        <f>IFERROR(up_RadSpec!$H$6*(CF6/$B47),".")</f>
        <v>4016419.0033792732</v>
      </c>
      <c r="CG47" s="49">
        <f>IFERROR(up_RadSpec!$H$6*(CG6/$B47),".")</f>
        <v>4016419.0033792732</v>
      </c>
      <c r="CH47" s="49">
        <f>IFERROR(up_RadSpec!$H$6*(CH6/$B47),".")</f>
        <v>4016419.0033792732</v>
      </c>
      <c r="CI47" s="49">
        <f>IFERROR(up_RadSpec!$H$6*(CI6/$B47),".")</f>
        <v>4016419.0033792732</v>
      </c>
      <c r="CJ47" s="49">
        <f>IFERROR(up_RadSpec!$H$6*(CJ6/$B47),".")</f>
        <v>4016419.0033792732</v>
      </c>
      <c r="CK47" s="49">
        <f>IFERROR(up_RadSpec!$H$6*(CK6/$B47),".")</f>
        <v>4016419.0033792732</v>
      </c>
      <c r="CL47" s="49">
        <f>IFERROR(up_RadSpec!$H$6*(CL6/$B47),".")</f>
        <v>4016419.0033792732</v>
      </c>
      <c r="CM47" s="49">
        <f>IFERROR(up_RadSpec!$H$6*(CM6/$B47),".")</f>
        <v>4016419.0033792732</v>
      </c>
      <c r="CN47" s="49">
        <f>IFERROR(up_RadSpec!$H$6*(CN6/$B47),".")</f>
        <v>4016419.0033792732</v>
      </c>
      <c r="CO47" s="49">
        <f>IFERROR(up_RadSpec!$H$6*(CO6/$B47),".")</f>
        <v>4016419.0033792732</v>
      </c>
      <c r="CP47" s="49">
        <f>IFERROR(up_RadSpec!$H$6*(CP6/$B47),".")</f>
        <v>4016419.0033792732</v>
      </c>
      <c r="CQ47" s="49">
        <f>IFERROR(up_RadSpec!$H$6*(CQ6/$B47),".")</f>
        <v>4016419.0033792732</v>
      </c>
      <c r="CR47" s="49">
        <f>IFERROR(up_RadSpec!$H$6*(CR6/$B47),".")</f>
        <v>4016419.0033792732</v>
      </c>
      <c r="CS47" s="49">
        <f>IFERROR(up_RadSpec!$H$6*(CS6/$B47),".")</f>
        <v>4016419.0033792732</v>
      </c>
      <c r="CT47" s="49">
        <f>IFERROR(up_RadSpec!$H$6*(CT6/$B47),".")</f>
        <v>4016419.0033792732</v>
      </c>
      <c r="CU47" s="49">
        <f>IFERROR(up_RadSpec!$H$6*(CU6/$B47),".")</f>
        <v>4016419.0033792732</v>
      </c>
      <c r="CV47" s="49">
        <f>IFERROR(up_RadSpec!$H$6*(CV6/$B47),".")</f>
        <v>4016419.0033792732</v>
      </c>
      <c r="CW47" s="49">
        <f>IFERROR(up_RadSpec!$H$6*(CW6/$B47),".")</f>
        <v>4016419.0033792732</v>
      </c>
      <c r="CX47" s="49">
        <f>IFERROR(up_RadSpec!$H$6*(CX6/$B47),".")</f>
        <v>4016419.0033792732</v>
      </c>
      <c r="CY47" s="49">
        <f>IFERROR(up_RadSpec!$H$6*(CY6/$B47),".")</f>
        <v>4016419.0033792732</v>
      </c>
      <c r="CZ47" s="49">
        <f>IFERROR(up_RadSpec!$H$6*(CZ6/$B47),".")</f>
        <v>4016419.0033792732</v>
      </c>
      <c r="DA47" s="49">
        <f>IFERROR(up_RadSpec!$H$6*(DA6/$B47),".")</f>
        <v>4016419.0033792732</v>
      </c>
      <c r="DB47" s="49">
        <f>IFERROR(up_RadSpec!$H$6*(DB6/$B47),".")</f>
        <v>4016419.0033792732</v>
      </c>
    </row>
    <row r="48" spans="1:106" x14ac:dyDescent="0.25">
      <c r="A48" s="82" t="s">
        <v>33</v>
      </c>
      <c r="B48" s="82" t="s">
        <v>1071</v>
      </c>
      <c r="C48" s="58">
        <f t="shared" ref="C48" si="70">1/SUM(1/C49,1/C52,1/C54,1/C58,1/C59,1/C61)</f>
        <v>5.4949892468299133E-13</v>
      </c>
      <c r="D48" s="58">
        <f t="shared" ref="D48:AB48" si="71">1/SUM(1/D49,1/D52,1/D54,1/D58,1/D59,1/D61)</f>
        <v>2.1979956987319653E-12</v>
      </c>
      <c r="E48" s="58">
        <f t="shared" si="71"/>
        <v>2.1979956987319653E-12</v>
      </c>
      <c r="F48" s="58">
        <f t="shared" si="71"/>
        <v>2.1979956987319653E-12</v>
      </c>
      <c r="G48" s="58">
        <f t="shared" si="71"/>
        <v>2.1979956987319653E-12</v>
      </c>
      <c r="H48" s="58">
        <f t="shared" si="71"/>
        <v>2.1979956987319653E-12</v>
      </c>
      <c r="I48" s="58">
        <f t="shared" si="71"/>
        <v>2.1979956987319653E-12</v>
      </c>
      <c r="J48" s="58">
        <f t="shared" si="71"/>
        <v>2.1979956987319653E-12</v>
      </c>
      <c r="K48" s="58">
        <f t="shared" si="71"/>
        <v>2.1979956987319653E-12</v>
      </c>
      <c r="L48" s="58">
        <f t="shared" si="71"/>
        <v>2.1979956987319653E-12</v>
      </c>
      <c r="M48" s="58">
        <f t="shared" si="71"/>
        <v>2.1979956987319653E-12</v>
      </c>
      <c r="N48" s="58">
        <f t="shared" si="71"/>
        <v>2.1979956987319653E-12</v>
      </c>
      <c r="O48" s="58">
        <f t="shared" si="71"/>
        <v>2.1979956987319653E-12</v>
      </c>
      <c r="P48" s="58">
        <f t="shared" si="71"/>
        <v>2.1979956987319653E-12</v>
      </c>
      <c r="Q48" s="58">
        <f t="shared" si="71"/>
        <v>2.1979956987319653E-12</v>
      </c>
      <c r="R48" s="58">
        <f t="shared" si="71"/>
        <v>2.1979956987319653E-12</v>
      </c>
      <c r="S48" s="58">
        <f t="shared" si="71"/>
        <v>2.1979956987319653E-12</v>
      </c>
      <c r="T48" s="58">
        <f t="shared" si="71"/>
        <v>2.1979956987319653E-12</v>
      </c>
      <c r="U48" s="58">
        <f t="shared" si="71"/>
        <v>2.1979956987319653E-12</v>
      </c>
      <c r="V48" s="58">
        <f t="shared" si="71"/>
        <v>2.1979956987319653E-12</v>
      </c>
      <c r="W48" s="58">
        <f t="shared" si="71"/>
        <v>2.1979956987319653E-12</v>
      </c>
      <c r="X48" s="58">
        <f t="shared" si="71"/>
        <v>2.1979956987319653E-12</v>
      </c>
      <c r="Y48" s="58">
        <f t="shared" si="71"/>
        <v>2.1979956987319653E-12</v>
      </c>
      <c r="Z48" s="58">
        <f t="shared" si="71"/>
        <v>2.1979956987319653E-12</v>
      </c>
      <c r="AA48" s="58">
        <f t="shared" si="71"/>
        <v>2.1979956987319653E-12</v>
      </c>
      <c r="AB48" s="58">
        <f t="shared" si="71"/>
        <v>2.1979956987319653E-12</v>
      </c>
      <c r="AC48" s="47">
        <f t="shared" si="1"/>
        <v>4</v>
      </c>
      <c r="AD48" s="47">
        <f t="shared" ref="AD48:BA48" si="72">IFERROR(IF(SUM(AD49:AD62)&gt;0.01,1-EXP(-(SUM(AD49:AD62))),SUM(AD49:AD62)),".")</f>
        <v>1</v>
      </c>
      <c r="AE48" s="47">
        <f t="shared" si="72"/>
        <v>1</v>
      </c>
      <c r="AF48" s="47">
        <f t="shared" si="72"/>
        <v>1</v>
      </c>
      <c r="AG48" s="47">
        <f t="shared" si="72"/>
        <v>1</v>
      </c>
      <c r="AH48" s="47">
        <f t="shared" si="72"/>
        <v>1</v>
      </c>
      <c r="AI48" s="47">
        <f t="shared" si="72"/>
        <v>1</v>
      </c>
      <c r="AJ48" s="47">
        <f t="shared" si="72"/>
        <v>1</v>
      </c>
      <c r="AK48" s="47">
        <f t="shared" si="72"/>
        <v>1</v>
      </c>
      <c r="AL48" s="47">
        <f t="shared" si="72"/>
        <v>1</v>
      </c>
      <c r="AM48" s="47">
        <f t="shared" si="72"/>
        <v>1</v>
      </c>
      <c r="AN48" s="47">
        <f t="shared" si="72"/>
        <v>1</v>
      </c>
      <c r="AO48" s="47">
        <f t="shared" si="72"/>
        <v>1</v>
      </c>
      <c r="AP48" s="47">
        <f t="shared" si="72"/>
        <v>1</v>
      </c>
      <c r="AQ48" s="47">
        <f t="shared" si="72"/>
        <v>1</v>
      </c>
      <c r="AR48" s="47">
        <f t="shared" si="72"/>
        <v>1</v>
      </c>
      <c r="AS48" s="47">
        <f t="shared" si="72"/>
        <v>1</v>
      </c>
      <c r="AT48" s="47">
        <f t="shared" si="72"/>
        <v>1</v>
      </c>
      <c r="AU48" s="47">
        <f t="shared" si="72"/>
        <v>1</v>
      </c>
      <c r="AV48" s="47">
        <f t="shared" si="72"/>
        <v>1</v>
      </c>
      <c r="AW48" s="47">
        <f t="shared" si="72"/>
        <v>1</v>
      </c>
      <c r="AX48" s="47">
        <f t="shared" si="72"/>
        <v>1</v>
      </c>
      <c r="AY48" s="47">
        <f t="shared" si="72"/>
        <v>1</v>
      </c>
      <c r="AZ48" s="47">
        <f t="shared" si="72"/>
        <v>1</v>
      </c>
      <c r="BA48" s="47">
        <f t="shared" si="72"/>
        <v>1</v>
      </c>
      <c r="BB48" s="47">
        <f>IFERROR(IF(SUM(BB49:BB62)&gt;0.01,1-EXP(-(SUM(BB49:BB62))),SUM(BB49:BB62)),".")</f>
        <v>1</v>
      </c>
      <c r="BC48" s="58">
        <f t="shared" ref="BC48" si="73">IFERROR(1/SUM(BC49:BC62),0)</f>
        <v>3.6632033788335645E-13</v>
      </c>
      <c r="BD48" s="58">
        <f t="shared" ref="BD48:CB48" si="74">IFERROR(1/SUM(BD49:BD62),0)</f>
        <v>1.4652813515334258E-12</v>
      </c>
      <c r="BE48" s="58">
        <f t="shared" si="74"/>
        <v>1.4652813515334258E-12</v>
      </c>
      <c r="BF48" s="58">
        <f t="shared" si="74"/>
        <v>1.4652813515334258E-12</v>
      </c>
      <c r="BG48" s="58">
        <f t="shared" si="74"/>
        <v>1.4652813515334258E-12</v>
      </c>
      <c r="BH48" s="58">
        <f t="shared" si="74"/>
        <v>1.4652813515334258E-12</v>
      </c>
      <c r="BI48" s="58">
        <f t="shared" si="74"/>
        <v>1.4652813515334258E-12</v>
      </c>
      <c r="BJ48" s="58">
        <f t="shared" si="74"/>
        <v>1.4652813515334258E-12</v>
      </c>
      <c r="BK48" s="58">
        <f t="shared" si="74"/>
        <v>1.4652813515334258E-12</v>
      </c>
      <c r="BL48" s="58">
        <f t="shared" si="74"/>
        <v>1.4652813515334258E-12</v>
      </c>
      <c r="BM48" s="58">
        <f t="shared" si="74"/>
        <v>1.4652813515334258E-12</v>
      </c>
      <c r="BN48" s="58">
        <f t="shared" si="74"/>
        <v>1.4652813515334258E-12</v>
      </c>
      <c r="BO48" s="58">
        <f t="shared" si="74"/>
        <v>1.4652813515334258E-12</v>
      </c>
      <c r="BP48" s="58">
        <f t="shared" si="74"/>
        <v>1.4652813515334258E-12</v>
      </c>
      <c r="BQ48" s="58">
        <f t="shared" si="74"/>
        <v>1.4652813515334258E-12</v>
      </c>
      <c r="BR48" s="58">
        <f t="shared" si="74"/>
        <v>1.4652813515334258E-12</v>
      </c>
      <c r="BS48" s="58">
        <f t="shared" si="74"/>
        <v>1.4652813515334258E-12</v>
      </c>
      <c r="BT48" s="58">
        <f t="shared" si="74"/>
        <v>1.4652813515334258E-12</v>
      </c>
      <c r="BU48" s="58">
        <f t="shared" si="74"/>
        <v>1.4652813515334258E-12</v>
      </c>
      <c r="BV48" s="58">
        <f t="shared" si="74"/>
        <v>1.4652813515334258E-12</v>
      </c>
      <c r="BW48" s="58">
        <f t="shared" si="74"/>
        <v>1.4652813515334258E-12</v>
      </c>
      <c r="BX48" s="58">
        <f t="shared" si="74"/>
        <v>1.4652813515334258E-12</v>
      </c>
      <c r="BY48" s="58">
        <f t="shared" si="74"/>
        <v>1.4652813515334258E-12</v>
      </c>
      <c r="BZ48" s="58">
        <f t="shared" si="74"/>
        <v>1.4652813515334258E-12</v>
      </c>
      <c r="CA48" s="58">
        <f t="shared" si="74"/>
        <v>1.4652813515334258E-12</v>
      </c>
      <c r="CB48" s="58">
        <f t="shared" si="74"/>
        <v>1.4652813515334258E-12</v>
      </c>
      <c r="CC48" s="47">
        <f t="shared" si="3"/>
        <v>4</v>
      </c>
      <c r="CD48" s="47">
        <f t="shared" ref="CD48:CZ48" si="75">IFERROR(IF(SUM(CD49:CD62)&gt;0.01,1-EXP(-(SUM(CD49:CD62))),SUM(CD49:CD62)),".")</f>
        <v>1</v>
      </c>
      <c r="CE48" s="47">
        <f t="shared" si="75"/>
        <v>1</v>
      </c>
      <c r="CF48" s="47">
        <f t="shared" si="75"/>
        <v>1</v>
      </c>
      <c r="CG48" s="47">
        <f t="shared" si="75"/>
        <v>1</v>
      </c>
      <c r="CH48" s="47">
        <f t="shared" si="75"/>
        <v>1</v>
      </c>
      <c r="CI48" s="47">
        <f t="shared" si="75"/>
        <v>1</v>
      </c>
      <c r="CJ48" s="47">
        <f t="shared" si="75"/>
        <v>1</v>
      </c>
      <c r="CK48" s="47">
        <f t="shared" si="75"/>
        <v>1</v>
      </c>
      <c r="CL48" s="47">
        <f t="shared" si="75"/>
        <v>1</v>
      </c>
      <c r="CM48" s="47">
        <f t="shared" si="75"/>
        <v>1</v>
      </c>
      <c r="CN48" s="47">
        <f t="shared" si="75"/>
        <v>1</v>
      </c>
      <c r="CO48" s="47">
        <f t="shared" si="75"/>
        <v>1</v>
      </c>
      <c r="CP48" s="47">
        <f t="shared" si="75"/>
        <v>1</v>
      </c>
      <c r="CQ48" s="47">
        <f t="shared" si="75"/>
        <v>1</v>
      </c>
      <c r="CR48" s="47">
        <f t="shared" si="75"/>
        <v>1</v>
      </c>
      <c r="CS48" s="47">
        <f t="shared" si="75"/>
        <v>1</v>
      </c>
      <c r="CT48" s="47">
        <f t="shared" si="75"/>
        <v>1</v>
      </c>
      <c r="CU48" s="47">
        <f t="shared" si="75"/>
        <v>1</v>
      </c>
      <c r="CV48" s="47">
        <f t="shared" si="75"/>
        <v>1</v>
      </c>
      <c r="CW48" s="47">
        <f t="shared" si="75"/>
        <v>1</v>
      </c>
      <c r="CX48" s="47">
        <f t="shared" si="75"/>
        <v>1</v>
      </c>
      <c r="CY48" s="47">
        <f t="shared" si="75"/>
        <v>1</v>
      </c>
      <c r="CZ48" s="47">
        <f t="shared" si="75"/>
        <v>1</v>
      </c>
      <c r="DA48" s="47">
        <f>IFERROR(IF(SUM(DA49:DA62)&gt;0.01,1-EXP(-(SUM(DA49:DA62))),SUM(DA49:DA62)),".")</f>
        <v>1</v>
      </c>
      <c r="DB48" s="47">
        <f>IFERROR(IF(SUM(DB49:DB62)&gt;0.01,1-EXP(-(SUM(DB49:DB62))),SUM(DB49:DB62)),".")</f>
        <v>1</v>
      </c>
    </row>
    <row r="49" spans="1:106" x14ac:dyDescent="0.25">
      <c r="A49" s="83" t="s">
        <v>1100</v>
      </c>
      <c r="B49" s="42">
        <v>1</v>
      </c>
      <c r="C49" s="60">
        <f t="shared" ref="C49" si="76">IFERROR(C23/$B49,0)</f>
        <v>3.2968835384132272E-12</v>
      </c>
      <c r="D49" s="60">
        <f t="shared" ref="D49:AB49" si="77">IFERROR(D23/$B49,0)</f>
        <v>1.3187534153652907E-11</v>
      </c>
      <c r="E49" s="60">
        <f t="shared" si="77"/>
        <v>1.3187534153652907E-11</v>
      </c>
      <c r="F49" s="60">
        <f t="shared" si="77"/>
        <v>1.3187534153652907E-11</v>
      </c>
      <c r="G49" s="60">
        <f t="shared" si="77"/>
        <v>1.3187534153652907E-11</v>
      </c>
      <c r="H49" s="60">
        <f t="shared" si="77"/>
        <v>1.3187534153652907E-11</v>
      </c>
      <c r="I49" s="60">
        <f t="shared" si="77"/>
        <v>1.3187534153652907E-11</v>
      </c>
      <c r="J49" s="60">
        <f t="shared" si="77"/>
        <v>1.3187534153652907E-11</v>
      </c>
      <c r="K49" s="60">
        <f t="shared" si="77"/>
        <v>1.3187534153652907E-11</v>
      </c>
      <c r="L49" s="60">
        <f t="shared" si="77"/>
        <v>1.3187534153652907E-11</v>
      </c>
      <c r="M49" s="60">
        <f t="shared" si="77"/>
        <v>1.3187534153652907E-11</v>
      </c>
      <c r="N49" s="60">
        <f t="shared" si="77"/>
        <v>1.3187534153652907E-11</v>
      </c>
      <c r="O49" s="60">
        <f t="shared" si="77"/>
        <v>1.3187534153652907E-11</v>
      </c>
      <c r="P49" s="60">
        <f t="shared" si="77"/>
        <v>1.3187534153652907E-11</v>
      </c>
      <c r="Q49" s="60">
        <f t="shared" si="77"/>
        <v>1.3187534153652907E-11</v>
      </c>
      <c r="R49" s="60">
        <f t="shared" si="77"/>
        <v>1.3187534153652907E-11</v>
      </c>
      <c r="S49" s="60">
        <f t="shared" si="77"/>
        <v>1.3187534153652907E-11</v>
      </c>
      <c r="T49" s="60">
        <f t="shared" si="77"/>
        <v>1.3187534153652907E-11</v>
      </c>
      <c r="U49" s="60">
        <f t="shared" si="77"/>
        <v>1.3187534153652907E-11</v>
      </c>
      <c r="V49" s="60">
        <f t="shared" si="77"/>
        <v>1.3187534153652907E-11</v>
      </c>
      <c r="W49" s="60">
        <f t="shared" si="77"/>
        <v>1.3187534153652907E-11</v>
      </c>
      <c r="X49" s="60">
        <f t="shared" si="77"/>
        <v>1.3187534153652907E-11</v>
      </c>
      <c r="Y49" s="60">
        <f t="shared" si="77"/>
        <v>1.3187534153652907E-11</v>
      </c>
      <c r="Z49" s="60">
        <f t="shared" si="77"/>
        <v>1.3187534153652907E-11</v>
      </c>
      <c r="AA49" s="60">
        <f t="shared" si="77"/>
        <v>1.3187534153652907E-11</v>
      </c>
      <c r="AB49" s="60">
        <f t="shared" si="77"/>
        <v>1.3187534153652907E-11</v>
      </c>
      <c r="AC49" s="49">
        <f t="shared" si="1"/>
        <v>15165837.5</v>
      </c>
      <c r="AD49" s="49">
        <f>IFERROR(up_RadSpec!$H$23*($BB$23/$B49),".")</f>
        <v>3791459.375</v>
      </c>
      <c r="AE49" s="49">
        <f>IFERROR(up_RadSpec!$H$23*($BB$23/$B49),".")</f>
        <v>3791459.375</v>
      </c>
      <c r="AF49" s="49">
        <f>IFERROR(up_RadSpec!$H$23*($BB$23/$B49),".")</f>
        <v>3791459.375</v>
      </c>
      <c r="AG49" s="49">
        <f>IFERROR(up_RadSpec!$H$23*($BB$23/$B49),".")</f>
        <v>3791459.375</v>
      </c>
      <c r="AH49" s="49">
        <f>IFERROR(up_RadSpec!$H$23*($BB$23/$B49),".")</f>
        <v>3791459.375</v>
      </c>
      <c r="AI49" s="49">
        <f>IFERROR(up_RadSpec!$H$23*($BB$23/$B49),".")</f>
        <v>3791459.375</v>
      </c>
      <c r="AJ49" s="49">
        <f>IFERROR(up_RadSpec!$H$23*($BB$23/$B49),".")</f>
        <v>3791459.375</v>
      </c>
      <c r="AK49" s="49">
        <f>IFERROR(up_RadSpec!$H$23*($BB$23/$B49),".")</f>
        <v>3791459.375</v>
      </c>
      <c r="AL49" s="49">
        <f>IFERROR(up_RadSpec!$H$23*($BB$23/$B49),".")</f>
        <v>3791459.375</v>
      </c>
      <c r="AM49" s="49">
        <f>IFERROR(up_RadSpec!$H$23*($BB$23/$B49),".")</f>
        <v>3791459.375</v>
      </c>
      <c r="AN49" s="49">
        <f>IFERROR(up_RadSpec!$H$23*($BB$23/$B49),".")</f>
        <v>3791459.375</v>
      </c>
      <c r="AO49" s="49">
        <f>IFERROR(up_RadSpec!$H$23*($BB$23/$B49),".")</f>
        <v>3791459.375</v>
      </c>
      <c r="AP49" s="49">
        <f>IFERROR(up_RadSpec!$H$23*($BB$23/$B49),".")</f>
        <v>3791459.375</v>
      </c>
      <c r="AQ49" s="49">
        <f>IFERROR(up_RadSpec!$H$23*($BB$23/$B49),".")</f>
        <v>3791459.375</v>
      </c>
      <c r="AR49" s="49">
        <f>IFERROR(up_RadSpec!$H$23*($BB$23/$B49),".")</f>
        <v>3791459.375</v>
      </c>
      <c r="AS49" s="49">
        <f>IFERROR(up_RadSpec!$H$23*($BB$23/$B49),".")</f>
        <v>3791459.375</v>
      </c>
      <c r="AT49" s="49">
        <f>IFERROR(up_RadSpec!$H$23*($BB$23/$B49),".")</f>
        <v>3791459.375</v>
      </c>
      <c r="AU49" s="49">
        <f>IFERROR(up_RadSpec!$H$23*($BB$23/$B49),".")</f>
        <v>3791459.375</v>
      </c>
      <c r="AV49" s="49">
        <f>IFERROR(up_RadSpec!$H$23*($BB$23/$B49),".")</f>
        <v>3791459.375</v>
      </c>
      <c r="AW49" s="49">
        <f>IFERROR(up_RadSpec!$H$23*($BB$23/$B49),".")</f>
        <v>3791459.375</v>
      </c>
      <c r="AX49" s="49">
        <f>IFERROR(up_RadSpec!$H$23*($BB$23/$B49),".")</f>
        <v>3791459.375</v>
      </c>
      <c r="AY49" s="49">
        <f>IFERROR(up_RadSpec!$H$23*($BB$23/$B49),".")</f>
        <v>3791459.375</v>
      </c>
      <c r="AZ49" s="49">
        <f>IFERROR(up_RadSpec!$H$23*($BB$23/$B49),".")</f>
        <v>3791459.375</v>
      </c>
      <c r="BA49" s="49">
        <f>IFERROR(up_RadSpec!$H$23*($BB$23/$B49),".")</f>
        <v>3791459.375</v>
      </c>
      <c r="BB49" s="49">
        <f>IFERROR(up_RadSpec!$H$23*($BB$23/$B49),".")</f>
        <v>3791459.375</v>
      </c>
      <c r="BC49" s="60">
        <f t="shared" ref="BC49" si="78">IFERROR($B49/BC23,0)</f>
        <v>303316749999.99994</v>
      </c>
      <c r="BD49" s="60">
        <f t="shared" ref="BD49:CB49" si="79">IFERROR($B49/BD23,0)</f>
        <v>75829187499.999985</v>
      </c>
      <c r="BE49" s="60">
        <f t="shared" si="79"/>
        <v>75829187499.999985</v>
      </c>
      <c r="BF49" s="60">
        <f t="shared" si="79"/>
        <v>75829187499.999985</v>
      </c>
      <c r="BG49" s="60">
        <f t="shared" si="79"/>
        <v>75829187499.999985</v>
      </c>
      <c r="BH49" s="60">
        <f t="shared" si="79"/>
        <v>75829187499.999985</v>
      </c>
      <c r="BI49" s="60">
        <f t="shared" si="79"/>
        <v>75829187499.999985</v>
      </c>
      <c r="BJ49" s="60">
        <f t="shared" si="79"/>
        <v>75829187499.999985</v>
      </c>
      <c r="BK49" s="60">
        <f t="shared" si="79"/>
        <v>75829187499.999985</v>
      </c>
      <c r="BL49" s="60">
        <f t="shared" si="79"/>
        <v>75829187499.999985</v>
      </c>
      <c r="BM49" s="60">
        <f t="shared" si="79"/>
        <v>75829187499.999985</v>
      </c>
      <c r="BN49" s="60">
        <f t="shared" si="79"/>
        <v>75829187499.999985</v>
      </c>
      <c r="BO49" s="60">
        <f t="shared" si="79"/>
        <v>75829187499.999985</v>
      </c>
      <c r="BP49" s="60">
        <f t="shared" si="79"/>
        <v>75829187499.999985</v>
      </c>
      <c r="BQ49" s="60">
        <f t="shared" si="79"/>
        <v>75829187499.999985</v>
      </c>
      <c r="BR49" s="60">
        <f t="shared" si="79"/>
        <v>75829187499.999985</v>
      </c>
      <c r="BS49" s="60">
        <f t="shared" si="79"/>
        <v>75829187499.999985</v>
      </c>
      <c r="BT49" s="60">
        <f t="shared" si="79"/>
        <v>75829187499.999985</v>
      </c>
      <c r="BU49" s="60">
        <f t="shared" si="79"/>
        <v>75829187499.999985</v>
      </c>
      <c r="BV49" s="60">
        <f t="shared" si="79"/>
        <v>75829187499.999985</v>
      </c>
      <c r="BW49" s="60">
        <f t="shared" si="79"/>
        <v>75829187499.999985</v>
      </c>
      <c r="BX49" s="60">
        <f t="shared" si="79"/>
        <v>75829187499.999985</v>
      </c>
      <c r="BY49" s="60">
        <f t="shared" si="79"/>
        <v>75829187499.999985</v>
      </c>
      <c r="BZ49" s="60">
        <f t="shared" si="79"/>
        <v>75829187499.999985</v>
      </c>
      <c r="CA49" s="60">
        <f t="shared" si="79"/>
        <v>75829187499.999985</v>
      </c>
      <c r="CB49" s="60">
        <f t="shared" si="79"/>
        <v>75829187499.999985</v>
      </c>
      <c r="CC49" s="49">
        <f t="shared" si="3"/>
        <v>15165837.5</v>
      </c>
      <c r="CD49" s="49">
        <f>IFERROR(up_RadSpec!$H$23*(CD23/$B49),".")</f>
        <v>3791459.375</v>
      </c>
      <c r="CE49" s="49">
        <f>IFERROR(up_RadSpec!$H$23*(CE23/$B49),".")</f>
        <v>3791459.375</v>
      </c>
      <c r="CF49" s="49">
        <f>IFERROR(up_RadSpec!$H$23*(CF23/$B49),".")</f>
        <v>3791459.375</v>
      </c>
      <c r="CG49" s="49">
        <f>IFERROR(up_RadSpec!$H$23*(CG23/$B49),".")</f>
        <v>3791459.375</v>
      </c>
      <c r="CH49" s="49">
        <f>IFERROR(up_RadSpec!$H$23*(CH23/$B49),".")</f>
        <v>3791459.375</v>
      </c>
      <c r="CI49" s="49">
        <f>IFERROR(up_RadSpec!$H$23*(CI23/$B49),".")</f>
        <v>3791459.375</v>
      </c>
      <c r="CJ49" s="49">
        <f>IFERROR(up_RadSpec!$H$23*(CJ23/$B49),".")</f>
        <v>3791459.375</v>
      </c>
      <c r="CK49" s="49">
        <f>IFERROR(up_RadSpec!$H$23*(CK23/$B49),".")</f>
        <v>3791459.375</v>
      </c>
      <c r="CL49" s="49">
        <f>IFERROR(up_RadSpec!$H$23*(CL23/$B49),".")</f>
        <v>3791459.375</v>
      </c>
      <c r="CM49" s="49">
        <f>IFERROR(up_RadSpec!$H$23*(CM23/$B49),".")</f>
        <v>3791459.375</v>
      </c>
      <c r="CN49" s="49">
        <f>IFERROR(up_RadSpec!$H$23*(CN23/$B49),".")</f>
        <v>3791459.375</v>
      </c>
      <c r="CO49" s="49">
        <f>IFERROR(up_RadSpec!$H$23*(CO23/$B49),".")</f>
        <v>3791459.375</v>
      </c>
      <c r="CP49" s="49">
        <f>IFERROR(up_RadSpec!$H$23*(CP23/$B49),".")</f>
        <v>3791459.375</v>
      </c>
      <c r="CQ49" s="49">
        <f>IFERROR(up_RadSpec!$H$23*(CQ23/$B49),".")</f>
        <v>3791459.375</v>
      </c>
      <c r="CR49" s="49">
        <f>IFERROR(up_RadSpec!$H$23*(CR23/$B49),".")</f>
        <v>3791459.375</v>
      </c>
      <c r="CS49" s="49">
        <f>IFERROR(up_RadSpec!$H$23*(CS23/$B49),".")</f>
        <v>3791459.375</v>
      </c>
      <c r="CT49" s="49">
        <f>IFERROR(up_RadSpec!$H$23*(CT23/$B49),".")</f>
        <v>3791459.375</v>
      </c>
      <c r="CU49" s="49">
        <f>IFERROR(up_RadSpec!$H$23*(CU23/$B49),".")</f>
        <v>3791459.375</v>
      </c>
      <c r="CV49" s="49">
        <f>IFERROR(up_RadSpec!$H$23*(CV23/$B49),".")</f>
        <v>3791459.375</v>
      </c>
      <c r="CW49" s="49">
        <f>IFERROR(up_RadSpec!$H$23*(CW23/$B49),".")</f>
        <v>3791459.375</v>
      </c>
      <c r="CX49" s="49">
        <f>IFERROR(up_RadSpec!$H$23*(CX23/$B49),".")</f>
        <v>3791459.375</v>
      </c>
      <c r="CY49" s="49">
        <f>IFERROR(up_RadSpec!$H$23*(CY23/$B49),".")</f>
        <v>3791459.375</v>
      </c>
      <c r="CZ49" s="49">
        <f>IFERROR(up_RadSpec!$H$23*(CZ23/$B49),".")</f>
        <v>3791459.375</v>
      </c>
      <c r="DA49" s="49">
        <f>IFERROR(up_RadSpec!$H$23*(DA23/$B49),".")</f>
        <v>3791459.375</v>
      </c>
      <c r="DB49" s="49">
        <f>IFERROR(up_RadSpec!$H$23*(DB23/$B49),".")</f>
        <v>3791459.375</v>
      </c>
    </row>
    <row r="50" spans="1:106" x14ac:dyDescent="0.25">
      <c r="A50" s="83" t="s">
        <v>1087</v>
      </c>
      <c r="B50" s="42">
        <v>1</v>
      </c>
      <c r="C50" s="60">
        <f t="shared" ref="C50" si="80">IFERROR(C25/$B50,0)</f>
        <v>3.2968835384132272E-12</v>
      </c>
      <c r="D50" s="60">
        <f t="shared" ref="D50:AB50" si="81">IFERROR(D25/$B50,0)</f>
        <v>1.3187534153652907E-11</v>
      </c>
      <c r="E50" s="60">
        <f t="shared" si="81"/>
        <v>1.3187534153652907E-11</v>
      </c>
      <c r="F50" s="60">
        <f t="shared" si="81"/>
        <v>1.3187534153652907E-11</v>
      </c>
      <c r="G50" s="60">
        <f t="shared" si="81"/>
        <v>1.3187534153652907E-11</v>
      </c>
      <c r="H50" s="60">
        <f t="shared" si="81"/>
        <v>1.3187534153652907E-11</v>
      </c>
      <c r="I50" s="60">
        <f t="shared" si="81"/>
        <v>1.3187534153652907E-11</v>
      </c>
      <c r="J50" s="60">
        <f t="shared" si="81"/>
        <v>1.3187534153652907E-11</v>
      </c>
      <c r="K50" s="60">
        <f t="shared" si="81"/>
        <v>1.3187534153652907E-11</v>
      </c>
      <c r="L50" s="60">
        <f t="shared" si="81"/>
        <v>1.3187534153652907E-11</v>
      </c>
      <c r="M50" s="60">
        <f t="shared" si="81"/>
        <v>1.3187534153652907E-11</v>
      </c>
      <c r="N50" s="60">
        <f t="shared" si="81"/>
        <v>1.3187534153652907E-11</v>
      </c>
      <c r="O50" s="60">
        <f t="shared" si="81"/>
        <v>1.3187534153652907E-11</v>
      </c>
      <c r="P50" s="60">
        <f t="shared" si="81"/>
        <v>1.3187534153652907E-11</v>
      </c>
      <c r="Q50" s="60">
        <f t="shared" si="81"/>
        <v>1.3187534153652907E-11</v>
      </c>
      <c r="R50" s="60">
        <f t="shared" si="81"/>
        <v>1.3187534153652907E-11</v>
      </c>
      <c r="S50" s="60">
        <f t="shared" si="81"/>
        <v>1.3187534153652907E-11</v>
      </c>
      <c r="T50" s="60">
        <f t="shared" si="81"/>
        <v>1.3187534153652907E-11</v>
      </c>
      <c r="U50" s="60">
        <f t="shared" si="81"/>
        <v>1.3187534153652907E-11</v>
      </c>
      <c r="V50" s="60">
        <f t="shared" si="81"/>
        <v>1.3187534153652907E-11</v>
      </c>
      <c r="W50" s="60">
        <f t="shared" si="81"/>
        <v>1.3187534153652907E-11</v>
      </c>
      <c r="X50" s="60">
        <f t="shared" si="81"/>
        <v>1.3187534153652907E-11</v>
      </c>
      <c r="Y50" s="60">
        <f t="shared" si="81"/>
        <v>1.3187534153652907E-11</v>
      </c>
      <c r="Z50" s="60">
        <f t="shared" si="81"/>
        <v>1.3187534153652907E-11</v>
      </c>
      <c r="AA50" s="60">
        <f t="shared" si="81"/>
        <v>1.3187534153652907E-11</v>
      </c>
      <c r="AB50" s="60">
        <f t="shared" si="81"/>
        <v>1.3187534153652907E-11</v>
      </c>
      <c r="AC50" s="49">
        <f t="shared" si="1"/>
        <v>15165837.5</v>
      </c>
      <c r="AD50" s="49">
        <f>IFERROR(up_RadSpec!$H$25*($BB$25/$B50),".")</f>
        <v>3791459.375</v>
      </c>
      <c r="AE50" s="49">
        <f>IFERROR(up_RadSpec!$H$25*($BB$25/$B50),".")</f>
        <v>3791459.375</v>
      </c>
      <c r="AF50" s="49">
        <f>IFERROR(up_RadSpec!$H$25*($BB$25/$B50),".")</f>
        <v>3791459.375</v>
      </c>
      <c r="AG50" s="49">
        <f>IFERROR(up_RadSpec!$H$25*($BB$25/$B50),".")</f>
        <v>3791459.375</v>
      </c>
      <c r="AH50" s="49">
        <f>IFERROR(up_RadSpec!$H$25*($BB$25/$B50),".")</f>
        <v>3791459.375</v>
      </c>
      <c r="AI50" s="49">
        <f>IFERROR(up_RadSpec!$H$25*($BB$25/$B50),".")</f>
        <v>3791459.375</v>
      </c>
      <c r="AJ50" s="49">
        <f>IFERROR(up_RadSpec!$H$25*($BB$25/$B50),".")</f>
        <v>3791459.375</v>
      </c>
      <c r="AK50" s="49">
        <f>IFERROR(up_RadSpec!$H$25*($BB$25/$B50),".")</f>
        <v>3791459.375</v>
      </c>
      <c r="AL50" s="49">
        <f>IFERROR(up_RadSpec!$H$25*($BB$25/$B50),".")</f>
        <v>3791459.375</v>
      </c>
      <c r="AM50" s="49">
        <f>IFERROR(up_RadSpec!$H$25*($BB$25/$B50),".")</f>
        <v>3791459.375</v>
      </c>
      <c r="AN50" s="49">
        <f>IFERROR(up_RadSpec!$H$25*($BB$25/$B50),".")</f>
        <v>3791459.375</v>
      </c>
      <c r="AO50" s="49">
        <f>IFERROR(up_RadSpec!$H$25*($BB$25/$B50),".")</f>
        <v>3791459.375</v>
      </c>
      <c r="AP50" s="49">
        <f>IFERROR(up_RadSpec!$H$25*($BB$25/$B50),".")</f>
        <v>3791459.375</v>
      </c>
      <c r="AQ50" s="49">
        <f>IFERROR(up_RadSpec!$H$25*($BB$25/$B50),".")</f>
        <v>3791459.375</v>
      </c>
      <c r="AR50" s="49">
        <f>IFERROR(up_RadSpec!$H$25*($BB$25/$B50),".")</f>
        <v>3791459.375</v>
      </c>
      <c r="AS50" s="49">
        <f>IFERROR(up_RadSpec!$H$25*($BB$25/$B50),".")</f>
        <v>3791459.375</v>
      </c>
      <c r="AT50" s="49">
        <f>IFERROR(up_RadSpec!$H$25*($BB$25/$B50),".")</f>
        <v>3791459.375</v>
      </c>
      <c r="AU50" s="49">
        <f>IFERROR(up_RadSpec!$H$25*($BB$25/$B50),".")</f>
        <v>3791459.375</v>
      </c>
      <c r="AV50" s="49">
        <f>IFERROR(up_RadSpec!$H$25*($BB$25/$B50),".")</f>
        <v>3791459.375</v>
      </c>
      <c r="AW50" s="49">
        <f>IFERROR(up_RadSpec!$H$25*($BB$25/$B50),".")</f>
        <v>3791459.375</v>
      </c>
      <c r="AX50" s="49">
        <f>IFERROR(up_RadSpec!$H$25*($BB$25/$B50),".")</f>
        <v>3791459.375</v>
      </c>
      <c r="AY50" s="49">
        <f>IFERROR(up_RadSpec!$H$25*($BB$25/$B50),".")</f>
        <v>3791459.375</v>
      </c>
      <c r="AZ50" s="49">
        <f>IFERROR(up_RadSpec!$H$25*($BB$25/$B50),".")</f>
        <v>3791459.375</v>
      </c>
      <c r="BA50" s="49">
        <f>IFERROR(up_RadSpec!$H$25*($BB$25/$B50),".")</f>
        <v>3791459.375</v>
      </c>
      <c r="BB50" s="49">
        <f>IFERROR(up_RadSpec!$H$25*($BB$25/$B50),".")</f>
        <v>3791459.375</v>
      </c>
      <c r="BC50" s="60">
        <f t="shared" ref="BC50" si="82">IFERROR($B50/BC25,0)</f>
        <v>303316749999.99994</v>
      </c>
      <c r="BD50" s="60">
        <f t="shared" ref="BD50:CB50" si="83">IFERROR($B50/BD25,0)</f>
        <v>75829187499.999985</v>
      </c>
      <c r="BE50" s="60">
        <f t="shared" si="83"/>
        <v>75829187499.999985</v>
      </c>
      <c r="BF50" s="60">
        <f t="shared" si="83"/>
        <v>75829187499.999985</v>
      </c>
      <c r="BG50" s="60">
        <f t="shared" si="83"/>
        <v>75829187499.999985</v>
      </c>
      <c r="BH50" s="60">
        <f t="shared" si="83"/>
        <v>75829187499.999985</v>
      </c>
      <c r="BI50" s="60">
        <f t="shared" si="83"/>
        <v>75829187499.999985</v>
      </c>
      <c r="BJ50" s="60">
        <f t="shared" si="83"/>
        <v>75829187499.999985</v>
      </c>
      <c r="BK50" s="60">
        <f t="shared" si="83"/>
        <v>75829187499.999985</v>
      </c>
      <c r="BL50" s="60">
        <f t="shared" si="83"/>
        <v>75829187499.999985</v>
      </c>
      <c r="BM50" s="60">
        <f t="shared" si="83"/>
        <v>75829187499.999985</v>
      </c>
      <c r="BN50" s="60">
        <f t="shared" si="83"/>
        <v>75829187499.999985</v>
      </c>
      <c r="BO50" s="60">
        <f t="shared" si="83"/>
        <v>75829187499.999985</v>
      </c>
      <c r="BP50" s="60">
        <f t="shared" si="83"/>
        <v>75829187499.999985</v>
      </c>
      <c r="BQ50" s="60">
        <f t="shared" si="83"/>
        <v>75829187499.999985</v>
      </c>
      <c r="BR50" s="60">
        <f t="shared" si="83"/>
        <v>75829187499.999985</v>
      </c>
      <c r="BS50" s="60">
        <f t="shared" si="83"/>
        <v>75829187499.999985</v>
      </c>
      <c r="BT50" s="60">
        <f t="shared" si="83"/>
        <v>75829187499.999985</v>
      </c>
      <c r="BU50" s="60">
        <f t="shared" si="83"/>
        <v>75829187499.999985</v>
      </c>
      <c r="BV50" s="60">
        <f t="shared" si="83"/>
        <v>75829187499.999985</v>
      </c>
      <c r="BW50" s="60">
        <f t="shared" si="83"/>
        <v>75829187499.999985</v>
      </c>
      <c r="BX50" s="60">
        <f t="shared" si="83"/>
        <v>75829187499.999985</v>
      </c>
      <c r="BY50" s="60">
        <f t="shared" si="83"/>
        <v>75829187499.999985</v>
      </c>
      <c r="BZ50" s="60">
        <f t="shared" si="83"/>
        <v>75829187499.999985</v>
      </c>
      <c r="CA50" s="60">
        <f t="shared" si="83"/>
        <v>75829187499.999985</v>
      </c>
      <c r="CB50" s="60">
        <f t="shared" si="83"/>
        <v>75829187499.999985</v>
      </c>
      <c r="CC50" s="49">
        <f t="shared" si="3"/>
        <v>15165837.5</v>
      </c>
      <c r="CD50" s="49">
        <f>IFERROR(up_RadSpec!$H$25*(CD25/$B50),".")</f>
        <v>3791459.375</v>
      </c>
      <c r="CE50" s="49">
        <f>IFERROR(up_RadSpec!$H$25*(CE25/$B50),".")</f>
        <v>3791459.375</v>
      </c>
      <c r="CF50" s="49">
        <f>IFERROR(up_RadSpec!$H$25*(CF25/$B50),".")</f>
        <v>3791459.375</v>
      </c>
      <c r="CG50" s="49">
        <f>IFERROR(up_RadSpec!$H$25*(CG25/$B50),".")</f>
        <v>3791459.375</v>
      </c>
      <c r="CH50" s="49">
        <f>IFERROR(up_RadSpec!$H$25*(CH25/$B50),".")</f>
        <v>3791459.375</v>
      </c>
      <c r="CI50" s="49">
        <f>IFERROR(up_RadSpec!$H$25*(CI25/$B50),".")</f>
        <v>3791459.375</v>
      </c>
      <c r="CJ50" s="49">
        <f>IFERROR(up_RadSpec!$H$25*(CJ25/$B50),".")</f>
        <v>3791459.375</v>
      </c>
      <c r="CK50" s="49">
        <f>IFERROR(up_RadSpec!$H$25*(CK25/$B50),".")</f>
        <v>3791459.375</v>
      </c>
      <c r="CL50" s="49">
        <f>IFERROR(up_RadSpec!$H$25*(CL25/$B50),".")</f>
        <v>3791459.375</v>
      </c>
      <c r="CM50" s="49">
        <f>IFERROR(up_RadSpec!$H$25*(CM25/$B50),".")</f>
        <v>3791459.375</v>
      </c>
      <c r="CN50" s="49">
        <f>IFERROR(up_RadSpec!$H$25*(CN25/$B50),".")</f>
        <v>3791459.375</v>
      </c>
      <c r="CO50" s="49">
        <f>IFERROR(up_RadSpec!$H$25*(CO25/$B50),".")</f>
        <v>3791459.375</v>
      </c>
      <c r="CP50" s="49">
        <f>IFERROR(up_RadSpec!$H$25*(CP25/$B50),".")</f>
        <v>3791459.375</v>
      </c>
      <c r="CQ50" s="49">
        <f>IFERROR(up_RadSpec!$H$25*(CQ25/$B50),".")</f>
        <v>3791459.375</v>
      </c>
      <c r="CR50" s="49">
        <f>IFERROR(up_RadSpec!$H$25*(CR25/$B50),".")</f>
        <v>3791459.375</v>
      </c>
      <c r="CS50" s="49">
        <f>IFERROR(up_RadSpec!$H$25*(CS25/$B50),".")</f>
        <v>3791459.375</v>
      </c>
      <c r="CT50" s="49">
        <f>IFERROR(up_RadSpec!$H$25*(CT25/$B50),".")</f>
        <v>3791459.375</v>
      </c>
      <c r="CU50" s="49">
        <f>IFERROR(up_RadSpec!$H$25*(CU25/$B50),".")</f>
        <v>3791459.375</v>
      </c>
      <c r="CV50" s="49">
        <f>IFERROR(up_RadSpec!$H$25*(CV25/$B50),".")</f>
        <v>3791459.375</v>
      </c>
      <c r="CW50" s="49">
        <f>IFERROR(up_RadSpec!$H$25*(CW25/$B50),".")</f>
        <v>3791459.375</v>
      </c>
      <c r="CX50" s="49">
        <f>IFERROR(up_RadSpec!$H$25*(CX25/$B50),".")</f>
        <v>3791459.375</v>
      </c>
      <c r="CY50" s="49">
        <f>IFERROR(up_RadSpec!$H$25*(CY25/$B50),".")</f>
        <v>3791459.375</v>
      </c>
      <c r="CZ50" s="49">
        <f>IFERROR(up_RadSpec!$H$25*(CZ25/$B50),".")</f>
        <v>3791459.375</v>
      </c>
      <c r="DA50" s="49">
        <f>IFERROR(up_RadSpec!$H$25*(DA25/$B50),".")</f>
        <v>3791459.375</v>
      </c>
      <c r="DB50" s="49">
        <f>IFERROR(up_RadSpec!$H$25*(DB25/$B50),".")</f>
        <v>3791459.375</v>
      </c>
    </row>
    <row r="51" spans="1:106" x14ac:dyDescent="0.25">
      <c r="A51" s="83" t="s">
        <v>1073</v>
      </c>
      <c r="B51" s="42">
        <v>1</v>
      </c>
      <c r="C51" s="60">
        <f t="shared" ref="C51" si="84">IFERROR(C21/$B51,0)</f>
        <v>3.2968835384132272E-12</v>
      </c>
      <c r="D51" s="60">
        <f t="shared" ref="D51:AB51" si="85">IFERROR(D21/$B51,0)</f>
        <v>1.3187534153652907E-11</v>
      </c>
      <c r="E51" s="60">
        <f t="shared" si="85"/>
        <v>1.3187534153652907E-11</v>
      </c>
      <c r="F51" s="60">
        <f t="shared" si="85"/>
        <v>1.3187534153652907E-11</v>
      </c>
      <c r="G51" s="60">
        <f t="shared" si="85"/>
        <v>1.3187534153652907E-11</v>
      </c>
      <c r="H51" s="60">
        <f t="shared" si="85"/>
        <v>1.3187534153652907E-11</v>
      </c>
      <c r="I51" s="60">
        <f t="shared" si="85"/>
        <v>1.3187534153652907E-11</v>
      </c>
      <c r="J51" s="60">
        <f t="shared" si="85"/>
        <v>1.3187534153652907E-11</v>
      </c>
      <c r="K51" s="60">
        <f t="shared" si="85"/>
        <v>1.3187534153652907E-11</v>
      </c>
      <c r="L51" s="60">
        <f t="shared" si="85"/>
        <v>1.3187534153652907E-11</v>
      </c>
      <c r="M51" s="60">
        <f t="shared" si="85"/>
        <v>1.3187534153652907E-11</v>
      </c>
      <c r="N51" s="60">
        <f t="shared" si="85"/>
        <v>1.3187534153652907E-11</v>
      </c>
      <c r="O51" s="60">
        <f t="shared" si="85"/>
        <v>1.3187534153652907E-11</v>
      </c>
      <c r="P51" s="60">
        <f t="shared" si="85"/>
        <v>1.3187534153652907E-11</v>
      </c>
      <c r="Q51" s="60">
        <f t="shared" si="85"/>
        <v>1.3187534153652907E-11</v>
      </c>
      <c r="R51" s="60">
        <f t="shared" si="85"/>
        <v>1.3187534153652907E-11</v>
      </c>
      <c r="S51" s="60">
        <f t="shared" si="85"/>
        <v>1.3187534153652907E-11</v>
      </c>
      <c r="T51" s="60">
        <f t="shared" si="85"/>
        <v>1.3187534153652907E-11</v>
      </c>
      <c r="U51" s="60">
        <f t="shared" si="85"/>
        <v>1.3187534153652907E-11</v>
      </c>
      <c r="V51" s="60">
        <f t="shared" si="85"/>
        <v>1.3187534153652907E-11</v>
      </c>
      <c r="W51" s="60">
        <f t="shared" si="85"/>
        <v>1.3187534153652907E-11</v>
      </c>
      <c r="X51" s="60">
        <f t="shared" si="85"/>
        <v>1.3187534153652907E-11</v>
      </c>
      <c r="Y51" s="60">
        <f t="shared" si="85"/>
        <v>1.3187534153652907E-11</v>
      </c>
      <c r="Z51" s="60">
        <f t="shared" si="85"/>
        <v>1.3187534153652907E-11</v>
      </c>
      <c r="AA51" s="60">
        <f t="shared" si="85"/>
        <v>1.3187534153652907E-11</v>
      </c>
      <c r="AB51" s="60">
        <f t="shared" si="85"/>
        <v>1.3187534153652907E-11</v>
      </c>
      <c r="AC51" s="49">
        <f t="shared" si="1"/>
        <v>15165837.5</v>
      </c>
      <c r="AD51" s="49">
        <f>IFERROR(up_RadSpec!$H$21*($BB$21/$B51),".")</f>
        <v>3791459.375</v>
      </c>
      <c r="AE51" s="49">
        <f>IFERROR(up_RadSpec!$H$21*($BB$21/$B51),".")</f>
        <v>3791459.375</v>
      </c>
      <c r="AF51" s="49">
        <f>IFERROR(up_RadSpec!$H$21*($BB$21/$B51),".")</f>
        <v>3791459.375</v>
      </c>
      <c r="AG51" s="49">
        <f>IFERROR(up_RadSpec!$H$21*($BB$21/$B51),".")</f>
        <v>3791459.375</v>
      </c>
      <c r="AH51" s="49">
        <f>IFERROR(up_RadSpec!$H$21*($BB$21/$B51),".")</f>
        <v>3791459.375</v>
      </c>
      <c r="AI51" s="49">
        <f>IFERROR(up_RadSpec!$H$21*($BB$21/$B51),".")</f>
        <v>3791459.375</v>
      </c>
      <c r="AJ51" s="49">
        <f>IFERROR(up_RadSpec!$H$21*($BB$21/$B51),".")</f>
        <v>3791459.375</v>
      </c>
      <c r="AK51" s="49">
        <f>IFERROR(up_RadSpec!$H$21*($BB$21/$B51),".")</f>
        <v>3791459.375</v>
      </c>
      <c r="AL51" s="49">
        <f>IFERROR(up_RadSpec!$H$21*($BB$21/$B51),".")</f>
        <v>3791459.375</v>
      </c>
      <c r="AM51" s="49">
        <f>IFERROR(up_RadSpec!$H$21*($BB$21/$B51),".")</f>
        <v>3791459.375</v>
      </c>
      <c r="AN51" s="49">
        <f>IFERROR(up_RadSpec!$H$21*($BB$21/$B51),".")</f>
        <v>3791459.375</v>
      </c>
      <c r="AO51" s="49">
        <f>IFERROR(up_RadSpec!$H$21*($BB$21/$B51),".")</f>
        <v>3791459.375</v>
      </c>
      <c r="AP51" s="49">
        <f>IFERROR(up_RadSpec!$H$21*($BB$21/$B51),".")</f>
        <v>3791459.375</v>
      </c>
      <c r="AQ51" s="49">
        <f>IFERROR(up_RadSpec!$H$21*($BB$21/$B51),".")</f>
        <v>3791459.375</v>
      </c>
      <c r="AR51" s="49">
        <f>IFERROR(up_RadSpec!$H$21*($BB$21/$B51),".")</f>
        <v>3791459.375</v>
      </c>
      <c r="AS51" s="49">
        <f>IFERROR(up_RadSpec!$H$21*($BB$21/$B51),".")</f>
        <v>3791459.375</v>
      </c>
      <c r="AT51" s="49">
        <f>IFERROR(up_RadSpec!$H$21*($BB$21/$B51),".")</f>
        <v>3791459.375</v>
      </c>
      <c r="AU51" s="49">
        <f>IFERROR(up_RadSpec!$H$21*($BB$21/$B51),".")</f>
        <v>3791459.375</v>
      </c>
      <c r="AV51" s="49">
        <f>IFERROR(up_RadSpec!$H$21*($BB$21/$B51),".")</f>
        <v>3791459.375</v>
      </c>
      <c r="AW51" s="49">
        <f>IFERROR(up_RadSpec!$H$21*($BB$21/$B51),".")</f>
        <v>3791459.375</v>
      </c>
      <c r="AX51" s="49">
        <f>IFERROR(up_RadSpec!$H$21*($BB$21/$B51),".")</f>
        <v>3791459.375</v>
      </c>
      <c r="AY51" s="49">
        <f>IFERROR(up_RadSpec!$H$21*($BB$21/$B51),".")</f>
        <v>3791459.375</v>
      </c>
      <c r="AZ51" s="49">
        <f>IFERROR(up_RadSpec!$H$21*($BB$21/$B51),".")</f>
        <v>3791459.375</v>
      </c>
      <c r="BA51" s="49">
        <f>IFERROR(up_RadSpec!$H$21*($BB$21/$B51),".")</f>
        <v>3791459.375</v>
      </c>
      <c r="BB51" s="49">
        <f>IFERROR(up_RadSpec!$H$21*($BB$21/$B51),".")</f>
        <v>3791459.375</v>
      </c>
      <c r="BC51" s="60">
        <f t="shared" ref="BC51" si="86">IFERROR($B51/BC21,0)</f>
        <v>303316749999.99994</v>
      </c>
      <c r="BD51" s="60">
        <f t="shared" ref="BD51:CB51" si="87">IFERROR($B51/BD21,0)</f>
        <v>75829187499.999985</v>
      </c>
      <c r="BE51" s="60">
        <f t="shared" si="87"/>
        <v>75829187499.999985</v>
      </c>
      <c r="BF51" s="60">
        <f t="shared" si="87"/>
        <v>75829187499.999985</v>
      </c>
      <c r="BG51" s="60">
        <f t="shared" si="87"/>
        <v>75829187499.999985</v>
      </c>
      <c r="BH51" s="60">
        <f t="shared" si="87"/>
        <v>75829187499.999985</v>
      </c>
      <c r="BI51" s="60">
        <f t="shared" si="87"/>
        <v>75829187499.999985</v>
      </c>
      <c r="BJ51" s="60">
        <f t="shared" si="87"/>
        <v>75829187499.999985</v>
      </c>
      <c r="BK51" s="60">
        <f t="shared" si="87"/>
        <v>75829187499.999985</v>
      </c>
      <c r="BL51" s="60">
        <f t="shared" si="87"/>
        <v>75829187499.999985</v>
      </c>
      <c r="BM51" s="60">
        <f t="shared" si="87"/>
        <v>75829187499.999985</v>
      </c>
      <c r="BN51" s="60">
        <f t="shared" si="87"/>
        <v>75829187499.999985</v>
      </c>
      <c r="BO51" s="60">
        <f t="shared" si="87"/>
        <v>75829187499.999985</v>
      </c>
      <c r="BP51" s="60">
        <f t="shared" si="87"/>
        <v>75829187499.999985</v>
      </c>
      <c r="BQ51" s="60">
        <f t="shared" si="87"/>
        <v>75829187499.999985</v>
      </c>
      <c r="BR51" s="60">
        <f t="shared" si="87"/>
        <v>75829187499.999985</v>
      </c>
      <c r="BS51" s="60">
        <f t="shared" si="87"/>
        <v>75829187499.999985</v>
      </c>
      <c r="BT51" s="60">
        <f t="shared" si="87"/>
        <v>75829187499.999985</v>
      </c>
      <c r="BU51" s="60">
        <f t="shared" si="87"/>
        <v>75829187499.999985</v>
      </c>
      <c r="BV51" s="60">
        <f t="shared" si="87"/>
        <v>75829187499.999985</v>
      </c>
      <c r="BW51" s="60">
        <f t="shared" si="87"/>
        <v>75829187499.999985</v>
      </c>
      <c r="BX51" s="60">
        <f t="shared" si="87"/>
        <v>75829187499.999985</v>
      </c>
      <c r="BY51" s="60">
        <f t="shared" si="87"/>
        <v>75829187499.999985</v>
      </c>
      <c r="BZ51" s="60">
        <f t="shared" si="87"/>
        <v>75829187499.999985</v>
      </c>
      <c r="CA51" s="60">
        <f t="shared" si="87"/>
        <v>75829187499.999985</v>
      </c>
      <c r="CB51" s="60">
        <f t="shared" si="87"/>
        <v>75829187499.999985</v>
      </c>
      <c r="CC51" s="49">
        <f t="shared" si="3"/>
        <v>15165837.5</v>
      </c>
      <c r="CD51" s="49">
        <f>IFERROR(up_RadSpec!$H$21*(CD21/$B51),".")</f>
        <v>3791459.375</v>
      </c>
      <c r="CE51" s="49">
        <f>IFERROR(up_RadSpec!$H$21*(CE21/$B51),".")</f>
        <v>3791459.375</v>
      </c>
      <c r="CF51" s="49">
        <f>IFERROR(up_RadSpec!$H$21*(CF21/$B51),".")</f>
        <v>3791459.375</v>
      </c>
      <c r="CG51" s="49">
        <f>IFERROR(up_RadSpec!$H$21*(CG21/$B51),".")</f>
        <v>3791459.375</v>
      </c>
      <c r="CH51" s="49">
        <f>IFERROR(up_RadSpec!$H$21*(CH21/$B51),".")</f>
        <v>3791459.375</v>
      </c>
      <c r="CI51" s="49">
        <f>IFERROR(up_RadSpec!$H$21*(CI21/$B51),".")</f>
        <v>3791459.375</v>
      </c>
      <c r="CJ51" s="49">
        <f>IFERROR(up_RadSpec!$H$21*(CJ21/$B51),".")</f>
        <v>3791459.375</v>
      </c>
      <c r="CK51" s="49">
        <f>IFERROR(up_RadSpec!$H$21*(CK21/$B51),".")</f>
        <v>3791459.375</v>
      </c>
      <c r="CL51" s="49">
        <f>IFERROR(up_RadSpec!$H$21*(CL21/$B51),".")</f>
        <v>3791459.375</v>
      </c>
      <c r="CM51" s="49">
        <f>IFERROR(up_RadSpec!$H$21*(CM21/$B51),".")</f>
        <v>3791459.375</v>
      </c>
      <c r="CN51" s="49">
        <f>IFERROR(up_RadSpec!$H$21*(CN21/$B51),".")</f>
        <v>3791459.375</v>
      </c>
      <c r="CO51" s="49">
        <f>IFERROR(up_RadSpec!$H$21*(CO21/$B51),".")</f>
        <v>3791459.375</v>
      </c>
      <c r="CP51" s="49">
        <f>IFERROR(up_RadSpec!$H$21*(CP21/$B51),".")</f>
        <v>3791459.375</v>
      </c>
      <c r="CQ51" s="49">
        <f>IFERROR(up_RadSpec!$H$21*(CQ21/$B51),".")</f>
        <v>3791459.375</v>
      </c>
      <c r="CR51" s="49">
        <f>IFERROR(up_RadSpec!$H$21*(CR21/$B51),".")</f>
        <v>3791459.375</v>
      </c>
      <c r="CS51" s="49">
        <f>IFERROR(up_RadSpec!$H$21*(CS21/$B51),".")</f>
        <v>3791459.375</v>
      </c>
      <c r="CT51" s="49">
        <f>IFERROR(up_RadSpec!$H$21*(CT21/$B51),".")</f>
        <v>3791459.375</v>
      </c>
      <c r="CU51" s="49">
        <f>IFERROR(up_RadSpec!$H$21*(CU21/$B51),".")</f>
        <v>3791459.375</v>
      </c>
      <c r="CV51" s="49">
        <f>IFERROR(up_RadSpec!$H$21*(CV21/$B51),".")</f>
        <v>3791459.375</v>
      </c>
      <c r="CW51" s="49">
        <f>IFERROR(up_RadSpec!$H$21*(CW21/$B51),".")</f>
        <v>3791459.375</v>
      </c>
      <c r="CX51" s="49">
        <f>IFERROR(up_RadSpec!$H$21*(CX21/$B51),".")</f>
        <v>3791459.375</v>
      </c>
      <c r="CY51" s="49">
        <f>IFERROR(up_RadSpec!$H$21*(CY21/$B51),".")</f>
        <v>3791459.375</v>
      </c>
      <c r="CZ51" s="49">
        <f>IFERROR(up_RadSpec!$H$21*(CZ21/$B51),".")</f>
        <v>3791459.375</v>
      </c>
      <c r="DA51" s="49">
        <f>IFERROR(up_RadSpec!$H$21*(DA21/$B51),".")</f>
        <v>3791459.375</v>
      </c>
      <c r="DB51" s="49">
        <f>IFERROR(up_RadSpec!$H$21*(DB21/$B51),".")</f>
        <v>3791459.375</v>
      </c>
    </row>
    <row r="52" spans="1:106" x14ac:dyDescent="0.25">
      <c r="A52" s="83" t="s">
        <v>1074</v>
      </c>
      <c r="B52" s="85">
        <v>0.99980000000000002</v>
      </c>
      <c r="C52" s="60">
        <f t="shared" ref="C52" si="88">IFERROR(C17/$B52,0)</f>
        <v>3.2975430470226315E-12</v>
      </c>
      <c r="D52" s="60">
        <f t="shared" ref="D52:AB52" si="89">IFERROR(D17/$B52,0)</f>
        <v>1.3190172188090524E-11</v>
      </c>
      <c r="E52" s="60">
        <f t="shared" si="89"/>
        <v>1.3190172188090524E-11</v>
      </c>
      <c r="F52" s="60">
        <f t="shared" si="89"/>
        <v>1.3190172188090524E-11</v>
      </c>
      <c r="G52" s="60">
        <f t="shared" si="89"/>
        <v>1.3190172188090524E-11</v>
      </c>
      <c r="H52" s="60">
        <f t="shared" si="89"/>
        <v>1.3190172188090524E-11</v>
      </c>
      <c r="I52" s="60">
        <f t="shared" si="89"/>
        <v>1.3190172188090524E-11</v>
      </c>
      <c r="J52" s="60">
        <f t="shared" si="89"/>
        <v>1.3190172188090524E-11</v>
      </c>
      <c r="K52" s="60">
        <f t="shared" si="89"/>
        <v>1.3190172188090524E-11</v>
      </c>
      <c r="L52" s="60">
        <f t="shared" si="89"/>
        <v>1.3190172188090524E-11</v>
      </c>
      <c r="M52" s="60">
        <f t="shared" si="89"/>
        <v>1.3190172188090524E-11</v>
      </c>
      <c r="N52" s="60">
        <f t="shared" si="89"/>
        <v>1.3190172188090524E-11</v>
      </c>
      <c r="O52" s="60">
        <f t="shared" si="89"/>
        <v>1.3190172188090524E-11</v>
      </c>
      <c r="P52" s="60">
        <f t="shared" si="89"/>
        <v>1.3190172188090524E-11</v>
      </c>
      <c r="Q52" s="60">
        <f t="shared" si="89"/>
        <v>1.3190172188090524E-11</v>
      </c>
      <c r="R52" s="60">
        <f t="shared" si="89"/>
        <v>1.3190172188090524E-11</v>
      </c>
      <c r="S52" s="60">
        <f t="shared" si="89"/>
        <v>1.3190172188090524E-11</v>
      </c>
      <c r="T52" s="60">
        <f t="shared" si="89"/>
        <v>1.3190172188090524E-11</v>
      </c>
      <c r="U52" s="60">
        <f t="shared" si="89"/>
        <v>1.3190172188090524E-11</v>
      </c>
      <c r="V52" s="60">
        <f t="shared" si="89"/>
        <v>1.3190172188090524E-11</v>
      </c>
      <c r="W52" s="60">
        <f t="shared" si="89"/>
        <v>1.3190172188090524E-11</v>
      </c>
      <c r="X52" s="60">
        <f t="shared" si="89"/>
        <v>1.3190172188090524E-11</v>
      </c>
      <c r="Y52" s="60">
        <f t="shared" si="89"/>
        <v>1.3190172188090524E-11</v>
      </c>
      <c r="Z52" s="60">
        <f t="shared" si="89"/>
        <v>1.3190172188090524E-11</v>
      </c>
      <c r="AA52" s="60">
        <f t="shared" si="89"/>
        <v>1.3190172188090524E-11</v>
      </c>
      <c r="AB52" s="60">
        <f t="shared" si="89"/>
        <v>1.3190172188090524E-11</v>
      </c>
      <c r="AC52" s="49">
        <f t="shared" si="1"/>
        <v>15168871.274254851</v>
      </c>
      <c r="AD52" s="49">
        <f>IFERROR(up_RadSpec!$H$17*($BB$17/$B52),".")</f>
        <v>3792217.8185637128</v>
      </c>
      <c r="AE52" s="49">
        <f>IFERROR(up_RadSpec!$H$17*($BB$17/$B52),".")</f>
        <v>3792217.8185637128</v>
      </c>
      <c r="AF52" s="49">
        <f>IFERROR(up_RadSpec!$H$17*($BB$17/$B52),".")</f>
        <v>3792217.8185637128</v>
      </c>
      <c r="AG52" s="49">
        <f>IFERROR(up_RadSpec!$H$17*($BB$17/$B52),".")</f>
        <v>3792217.8185637128</v>
      </c>
      <c r="AH52" s="49">
        <f>IFERROR(up_RadSpec!$H$17*($BB$17/$B52),".")</f>
        <v>3792217.8185637128</v>
      </c>
      <c r="AI52" s="49">
        <f>IFERROR(up_RadSpec!$H$17*($BB$17/$B52),".")</f>
        <v>3792217.8185637128</v>
      </c>
      <c r="AJ52" s="49">
        <f>IFERROR(up_RadSpec!$H$17*($BB$17/$B52),".")</f>
        <v>3792217.8185637128</v>
      </c>
      <c r="AK52" s="49">
        <f>IFERROR(up_RadSpec!$H$17*($BB$17/$B52),".")</f>
        <v>3792217.8185637128</v>
      </c>
      <c r="AL52" s="49">
        <f>IFERROR(up_RadSpec!$H$17*($BB$17/$B52),".")</f>
        <v>3792217.8185637128</v>
      </c>
      <c r="AM52" s="49">
        <f>IFERROR(up_RadSpec!$H$17*($BB$17/$B52),".")</f>
        <v>3792217.8185637128</v>
      </c>
      <c r="AN52" s="49">
        <f>IFERROR(up_RadSpec!$H$17*($BB$17/$B52),".")</f>
        <v>3792217.8185637128</v>
      </c>
      <c r="AO52" s="49">
        <f>IFERROR(up_RadSpec!$H$17*($BB$17/$B52),".")</f>
        <v>3792217.8185637128</v>
      </c>
      <c r="AP52" s="49">
        <f>IFERROR(up_RadSpec!$H$17*($BB$17/$B52),".")</f>
        <v>3792217.8185637128</v>
      </c>
      <c r="AQ52" s="49">
        <f>IFERROR(up_RadSpec!$H$17*($BB$17/$B52),".")</f>
        <v>3792217.8185637128</v>
      </c>
      <c r="AR52" s="49">
        <f>IFERROR(up_RadSpec!$H$17*($BB$17/$B52),".")</f>
        <v>3792217.8185637128</v>
      </c>
      <c r="AS52" s="49">
        <f>IFERROR(up_RadSpec!$H$17*($BB$17/$B52),".")</f>
        <v>3792217.8185637128</v>
      </c>
      <c r="AT52" s="49">
        <f>IFERROR(up_RadSpec!$H$17*($BB$17/$B52),".")</f>
        <v>3792217.8185637128</v>
      </c>
      <c r="AU52" s="49">
        <f>IFERROR(up_RadSpec!$H$17*($BB$17/$B52),".")</f>
        <v>3792217.8185637128</v>
      </c>
      <c r="AV52" s="49">
        <f>IFERROR(up_RadSpec!$H$17*($BB$17/$B52),".")</f>
        <v>3792217.8185637128</v>
      </c>
      <c r="AW52" s="49">
        <f>IFERROR(up_RadSpec!$H$17*($BB$17/$B52),".")</f>
        <v>3792217.8185637128</v>
      </c>
      <c r="AX52" s="49">
        <f>IFERROR(up_RadSpec!$H$17*($BB$17/$B52),".")</f>
        <v>3792217.8185637128</v>
      </c>
      <c r="AY52" s="49">
        <f>IFERROR(up_RadSpec!$H$17*($BB$17/$B52),".")</f>
        <v>3792217.8185637128</v>
      </c>
      <c r="AZ52" s="49">
        <f>IFERROR(up_RadSpec!$H$17*($BB$17/$B52),".")</f>
        <v>3792217.8185637128</v>
      </c>
      <c r="BA52" s="49">
        <f>IFERROR(up_RadSpec!$H$17*($BB$17/$B52),".")</f>
        <v>3792217.8185637128</v>
      </c>
      <c r="BB52" s="49">
        <f>IFERROR(up_RadSpec!$H$17*($BB$17/$B52),".")</f>
        <v>3792217.8185637128</v>
      </c>
      <c r="BC52" s="60">
        <f t="shared" ref="BC52" si="90">IFERROR($B52/BC17,0)</f>
        <v>303256086649.99994</v>
      </c>
      <c r="BD52" s="60">
        <f t="shared" ref="BD52:CB52" si="91">IFERROR($B52/BD17,0)</f>
        <v>75814021662.5</v>
      </c>
      <c r="BE52" s="60">
        <f t="shared" si="91"/>
        <v>75814021662.5</v>
      </c>
      <c r="BF52" s="60">
        <f t="shared" si="91"/>
        <v>75814021662.5</v>
      </c>
      <c r="BG52" s="60">
        <f t="shared" si="91"/>
        <v>75814021662.5</v>
      </c>
      <c r="BH52" s="60">
        <f t="shared" si="91"/>
        <v>75814021662.5</v>
      </c>
      <c r="BI52" s="60">
        <f t="shared" si="91"/>
        <v>75814021662.5</v>
      </c>
      <c r="BJ52" s="60">
        <f t="shared" si="91"/>
        <v>75814021662.5</v>
      </c>
      <c r="BK52" s="60">
        <f t="shared" si="91"/>
        <v>75814021662.5</v>
      </c>
      <c r="BL52" s="60">
        <f t="shared" si="91"/>
        <v>75814021662.5</v>
      </c>
      <c r="BM52" s="60">
        <f t="shared" si="91"/>
        <v>75814021662.5</v>
      </c>
      <c r="BN52" s="60">
        <f t="shared" si="91"/>
        <v>75814021662.5</v>
      </c>
      <c r="BO52" s="60">
        <f t="shared" si="91"/>
        <v>75814021662.5</v>
      </c>
      <c r="BP52" s="60">
        <f t="shared" si="91"/>
        <v>75814021662.5</v>
      </c>
      <c r="BQ52" s="60">
        <f t="shared" si="91"/>
        <v>75814021662.5</v>
      </c>
      <c r="BR52" s="60">
        <f t="shared" si="91"/>
        <v>75814021662.5</v>
      </c>
      <c r="BS52" s="60">
        <f t="shared" si="91"/>
        <v>75814021662.5</v>
      </c>
      <c r="BT52" s="60">
        <f t="shared" si="91"/>
        <v>75814021662.5</v>
      </c>
      <c r="BU52" s="60">
        <f t="shared" si="91"/>
        <v>75814021662.5</v>
      </c>
      <c r="BV52" s="60">
        <f t="shared" si="91"/>
        <v>75814021662.5</v>
      </c>
      <c r="BW52" s="60">
        <f t="shared" si="91"/>
        <v>75814021662.5</v>
      </c>
      <c r="BX52" s="60">
        <f t="shared" si="91"/>
        <v>75814021662.5</v>
      </c>
      <c r="BY52" s="60">
        <f t="shared" si="91"/>
        <v>75814021662.5</v>
      </c>
      <c r="BZ52" s="60">
        <f t="shared" si="91"/>
        <v>75814021662.5</v>
      </c>
      <c r="CA52" s="60">
        <f t="shared" si="91"/>
        <v>75814021662.5</v>
      </c>
      <c r="CB52" s="60">
        <f t="shared" si="91"/>
        <v>75814021662.5</v>
      </c>
      <c r="CC52" s="49">
        <f t="shared" si="3"/>
        <v>15168871.274254851</v>
      </c>
      <c r="CD52" s="49">
        <f>IFERROR(up_RadSpec!$H$17*(CD17/$B52),".")</f>
        <v>3792217.8185637128</v>
      </c>
      <c r="CE52" s="49">
        <f>IFERROR(up_RadSpec!$H$17*(CE17/$B52),".")</f>
        <v>3792217.8185637128</v>
      </c>
      <c r="CF52" s="49">
        <f>IFERROR(up_RadSpec!$H$17*(CF17/$B52),".")</f>
        <v>3792217.8185637128</v>
      </c>
      <c r="CG52" s="49">
        <f>IFERROR(up_RadSpec!$H$17*(CG17/$B52),".")</f>
        <v>3792217.8185637128</v>
      </c>
      <c r="CH52" s="49">
        <f>IFERROR(up_RadSpec!$H$17*(CH17/$B52),".")</f>
        <v>3792217.8185637128</v>
      </c>
      <c r="CI52" s="49">
        <f>IFERROR(up_RadSpec!$H$17*(CI17/$B52),".")</f>
        <v>3792217.8185637128</v>
      </c>
      <c r="CJ52" s="49">
        <f>IFERROR(up_RadSpec!$H$17*(CJ17/$B52),".")</f>
        <v>3792217.8185637128</v>
      </c>
      <c r="CK52" s="49">
        <f>IFERROR(up_RadSpec!$H$17*(CK17/$B52),".")</f>
        <v>3792217.8185637128</v>
      </c>
      <c r="CL52" s="49">
        <f>IFERROR(up_RadSpec!$H$17*(CL17/$B52),".")</f>
        <v>3792217.8185637128</v>
      </c>
      <c r="CM52" s="49">
        <f>IFERROR(up_RadSpec!$H$17*(CM17/$B52),".")</f>
        <v>3792217.8185637128</v>
      </c>
      <c r="CN52" s="49">
        <f>IFERROR(up_RadSpec!$H$17*(CN17/$B52),".")</f>
        <v>3792217.8185637128</v>
      </c>
      <c r="CO52" s="49">
        <f>IFERROR(up_RadSpec!$H$17*(CO17/$B52),".")</f>
        <v>3792217.8185637128</v>
      </c>
      <c r="CP52" s="49">
        <f>IFERROR(up_RadSpec!$H$17*(CP17/$B52),".")</f>
        <v>3792217.8185637128</v>
      </c>
      <c r="CQ52" s="49">
        <f>IFERROR(up_RadSpec!$H$17*(CQ17/$B52),".")</f>
        <v>3792217.8185637128</v>
      </c>
      <c r="CR52" s="49">
        <f>IFERROR(up_RadSpec!$H$17*(CR17/$B52),".")</f>
        <v>3792217.8185637128</v>
      </c>
      <c r="CS52" s="49">
        <f>IFERROR(up_RadSpec!$H$17*(CS17/$B52),".")</f>
        <v>3792217.8185637128</v>
      </c>
      <c r="CT52" s="49">
        <f>IFERROR(up_RadSpec!$H$17*(CT17/$B52),".")</f>
        <v>3792217.8185637128</v>
      </c>
      <c r="CU52" s="49">
        <f>IFERROR(up_RadSpec!$H$17*(CU17/$B52),".")</f>
        <v>3792217.8185637128</v>
      </c>
      <c r="CV52" s="49">
        <f>IFERROR(up_RadSpec!$H$17*(CV17/$B52),".")</f>
        <v>3792217.8185637128</v>
      </c>
      <c r="CW52" s="49">
        <f>IFERROR(up_RadSpec!$H$17*(CW17/$B52),".")</f>
        <v>3792217.8185637128</v>
      </c>
      <c r="CX52" s="49">
        <f>IFERROR(up_RadSpec!$H$17*(CX17/$B52),".")</f>
        <v>3792217.8185637128</v>
      </c>
      <c r="CY52" s="49">
        <f>IFERROR(up_RadSpec!$H$17*(CY17/$B52),".")</f>
        <v>3792217.8185637128</v>
      </c>
      <c r="CZ52" s="49">
        <f>IFERROR(up_RadSpec!$H$17*(CZ17/$B52),".")</f>
        <v>3792217.8185637128</v>
      </c>
      <c r="DA52" s="49">
        <f>IFERROR(up_RadSpec!$H$17*(DA17/$B52),".")</f>
        <v>3792217.8185637128</v>
      </c>
      <c r="DB52" s="49">
        <f>IFERROR(up_RadSpec!$H$17*(DB17/$B52),".")</f>
        <v>3792217.8185637128</v>
      </c>
    </row>
    <row r="53" spans="1:106" x14ac:dyDescent="0.25">
      <c r="A53" s="83" t="s">
        <v>1088</v>
      </c>
      <c r="B53" s="42">
        <v>2.0000000000000001E-4</v>
      </c>
      <c r="C53" s="60">
        <f t="shared" ref="C53" si="92">IFERROR(C5/$B53,0)</f>
        <v>1.6484417692066137E-8</v>
      </c>
      <c r="D53" s="60">
        <f t="shared" ref="D53:AB53" si="93">IFERROR(D5/$B53,0)</f>
        <v>6.5937670768264533E-8</v>
      </c>
      <c r="E53" s="60">
        <f t="shared" si="93"/>
        <v>6.5937670768264533E-8</v>
      </c>
      <c r="F53" s="60">
        <f t="shared" si="93"/>
        <v>6.5937670768264533E-8</v>
      </c>
      <c r="G53" s="60">
        <f t="shared" si="93"/>
        <v>6.5937670768264533E-8</v>
      </c>
      <c r="H53" s="60">
        <f t="shared" si="93"/>
        <v>6.5937670768264533E-8</v>
      </c>
      <c r="I53" s="60">
        <f t="shared" si="93"/>
        <v>6.5937670768264533E-8</v>
      </c>
      <c r="J53" s="60">
        <f t="shared" si="93"/>
        <v>6.5937670768264533E-8</v>
      </c>
      <c r="K53" s="60">
        <f t="shared" si="93"/>
        <v>6.5937670768264533E-8</v>
      </c>
      <c r="L53" s="60">
        <f t="shared" si="93"/>
        <v>6.5937670768264533E-8</v>
      </c>
      <c r="M53" s="60">
        <f t="shared" si="93"/>
        <v>6.5937670768264533E-8</v>
      </c>
      <c r="N53" s="60">
        <f t="shared" si="93"/>
        <v>6.5937670768264533E-8</v>
      </c>
      <c r="O53" s="60">
        <f t="shared" si="93"/>
        <v>6.5937670768264533E-8</v>
      </c>
      <c r="P53" s="60">
        <f t="shared" si="93"/>
        <v>6.5937670768264533E-8</v>
      </c>
      <c r="Q53" s="60">
        <f t="shared" si="93"/>
        <v>6.5937670768264533E-8</v>
      </c>
      <c r="R53" s="60">
        <f t="shared" si="93"/>
        <v>6.5937670768264533E-8</v>
      </c>
      <c r="S53" s="60">
        <f t="shared" si="93"/>
        <v>6.5937670768264533E-8</v>
      </c>
      <c r="T53" s="60">
        <f t="shared" si="93"/>
        <v>6.5937670768264533E-8</v>
      </c>
      <c r="U53" s="60">
        <f t="shared" si="93"/>
        <v>6.5937670768264533E-8</v>
      </c>
      <c r="V53" s="60">
        <f t="shared" si="93"/>
        <v>6.5937670768264533E-8</v>
      </c>
      <c r="W53" s="60">
        <f t="shared" si="93"/>
        <v>6.5937670768264533E-8</v>
      </c>
      <c r="X53" s="60">
        <f t="shared" si="93"/>
        <v>6.5937670768264533E-8</v>
      </c>
      <c r="Y53" s="60">
        <f t="shared" si="93"/>
        <v>6.5937670768264533E-8</v>
      </c>
      <c r="Z53" s="60">
        <f t="shared" si="93"/>
        <v>6.5937670768264533E-8</v>
      </c>
      <c r="AA53" s="60">
        <f t="shared" si="93"/>
        <v>6.5937670768264533E-8</v>
      </c>
      <c r="AB53" s="60">
        <f t="shared" si="93"/>
        <v>6.5937670768264533E-8</v>
      </c>
      <c r="AC53" s="49">
        <f t="shared" si="1"/>
        <v>75829187500</v>
      </c>
      <c r="AD53" s="49">
        <f>IFERROR(up_RadSpec!$H$5*($BB$5/$B53),".")</f>
        <v>18957296875</v>
      </c>
      <c r="AE53" s="49">
        <f>IFERROR(up_RadSpec!$H$5*($BB$5/$B53),".")</f>
        <v>18957296875</v>
      </c>
      <c r="AF53" s="49">
        <f>IFERROR(up_RadSpec!$H$5*($BB$5/$B53),".")</f>
        <v>18957296875</v>
      </c>
      <c r="AG53" s="49">
        <f>IFERROR(up_RadSpec!$H$5*($BB$5/$B53),".")</f>
        <v>18957296875</v>
      </c>
      <c r="AH53" s="49">
        <f>IFERROR(up_RadSpec!$H$5*($BB$5/$B53),".")</f>
        <v>18957296875</v>
      </c>
      <c r="AI53" s="49">
        <f>IFERROR(up_RadSpec!$H$5*($BB$5/$B53),".")</f>
        <v>18957296875</v>
      </c>
      <c r="AJ53" s="49">
        <f>IFERROR(up_RadSpec!$H$5*($BB$5/$B53),".")</f>
        <v>18957296875</v>
      </c>
      <c r="AK53" s="49">
        <f>IFERROR(up_RadSpec!$H$5*($BB$5/$B53),".")</f>
        <v>18957296875</v>
      </c>
      <c r="AL53" s="49">
        <f>IFERROR(up_RadSpec!$H$5*($BB$5/$B53),".")</f>
        <v>18957296875</v>
      </c>
      <c r="AM53" s="49">
        <f>IFERROR(up_RadSpec!$H$5*($BB$5/$B53),".")</f>
        <v>18957296875</v>
      </c>
      <c r="AN53" s="49">
        <f>IFERROR(up_RadSpec!$H$5*($BB$5/$B53),".")</f>
        <v>18957296875</v>
      </c>
      <c r="AO53" s="49">
        <f>IFERROR(up_RadSpec!$H$5*($BB$5/$B53),".")</f>
        <v>18957296875</v>
      </c>
      <c r="AP53" s="49">
        <f>IFERROR(up_RadSpec!$H$5*($BB$5/$B53),".")</f>
        <v>18957296875</v>
      </c>
      <c r="AQ53" s="49">
        <f>IFERROR(up_RadSpec!$H$5*($BB$5/$B53),".")</f>
        <v>18957296875</v>
      </c>
      <c r="AR53" s="49">
        <f>IFERROR(up_RadSpec!$H$5*($BB$5/$B53),".")</f>
        <v>18957296875</v>
      </c>
      <c r="AS53" s="49">
        <f>IFERROR(up_RadSpec!$H$5*($BB$5/$B53),".")</f>
        <v>18957296875</v>
      </c>
      <c r="AT53" s="49">
        <f>IFERROR(up_RadSpec!$H$5*($BB$5/$B53),".")</f>
        <v>18957296875</v>
      </c>
      <c r="AU53" s="49">
        <f>IFERROR(up_RadSpec!$H$5*($BB$5/$B53),".")</f>
        <v>18957296875</v>
      </c>
      <c r="AV53" s="49">
        <f>IFERROR(up_RadSpec!$H$5*($BB$5/$B53),".")</f>
        <v>18957296875</v>
      </c>
      <c r="AW53" s="49">
        <f>IFERROR(up_RadSpec!$H$5*($BB$5/$B53),".")</f>
        <v>18957296875</v>
      </c>
      <c r="AX53" s="49">
        <f>IFERROR(up_RadSpec!$H$5*($BB$5/$B53),".")</f>
        <v>18957296875</v>
      </c>
      <c r="AY53" s="49">
        <f>IFERROR(up_RadSpec!$H$5*($BB$5/$B53),".")</f>
        <v>18957296875</v>
      </c>
      <c r="AZ53" s="49">
        <f>IFERROR(up_RadSpec!$H$5*($BB$5/$B53),".")</f>
        <v>18957296875</v>
      </c>
      <c r="BA53" s="49">
        <f>IFERROR(up_RadSpec!$H$5*($BB$5/$B53),".")</f>
        <v>18957296875</v>
      </c>
      <c r="BB53" s="49">
        <f>IFERROR(up_RadSpec!$H$5*($BB$5/$B53),".")</f>
        <v>18957296875</v>
      </c>
      <c r="BC53" s="60">
        <f t="shared" ref="BC53" si="94">IFERROR($B53/BC5,0)</f>
        <v>60663349.999999993</v>
      </c>
      <c r="BD53" s="60">
        <f t="shared" ref="BD53:CB53" si="95">IFERROR($B53/BD5,0)</f>
        <v>15165837.5</v>
      </c>
      <c r="BE53" s="60">
        <f t="shared" si="95"/>
        <v>15165837.5</v>
      </c>
      <c r="BF53" s="60">
        <f t="shared" si="95"/>
        <v>15165837.5</v>
      </c>
      <c r="BG53" s="60">
        <f t="shared" si="95"/>
        <v>15165837.5</v>
      </c>
      <c r="BH53" s="60">
        <f t="shared" si="95"/>
        <v>15165837.5</v>
      </c>
      <c r="BI53" s="60">
        <f t="shared" si="95"/>
        <v>15165837.5</v>
      </c>
      <c r="BJ53" s="60">
        <f t="shared" si="95"/>
        <v>15165837.5</v>
      </c>
      <c r="BK53" s="60">
        <f t="shared" si="95"/>
        <v>15165837.5</v>
      </c>
      <c r="BL53" s="60">
        <f t="shared" si="95"/>
        <v>15165837.5</v>
      </c>
      <c r="BM53" s="60">
        <f t="shared" si="95"/>
        <v>15165837.5</v>
      </c>
      <c r="BN53" s="60">
        <f t="shared" si="95"/>
        <v>15165837.5</v>
      </c>
      <c r="BO53" s="60">
        <f t="shared" si="95"/>
        <v>15165837.5</v>
      </c>
      <c r="BP53" s="60">
        <f t="shared" si="95"/>
        <v>15165837.5</v>
      </c>
      <c r="BQ53" s="60">
        <f t="shared" si="95"/>
        <v>15165837.5</v>
      </c>
      <c r="BR53" s="60">
        <f t="shared" si="95"/>
        <v>15165837.5</v>
      </c>
      <c r="BS53" s="60">
        <f t="shared" si="95"/>
        <v>15165837.5</v>
      </c>
      <c r="BT53" s="60">
        <f t="shared" si="95"/>
        <v>15165837.5</v>
      </c>
      <c r="BU53" s="60">
        <f t="shared" si="95"/>
        <v>15165837.5</v>
      </c>
      <c r="BV53" s="60">
        <f t="shared" si="95"/>
        <v>15165837.5</v>
      </c>
      <c r="BW53" s="60">
        <f t="shared" si="95"/>
        <v>15165837.5</v>
      </c>
      <c r="BX53" s="60">
        <f t="shared" si="95"/>
        <v>15165837.5</v>
      </c>
      <c r="BY53" s="60">
        <f t="shared" si="95"/>
        <v>15165837.5</v>
      </c>
      <c r="BZ53" s="60">
        <f t="shared" si="95"/>
        <v>15165837.5</v>
      </c>
      <c r="CA53" s="60">
        <f t="shared" si="95"/>
        <v>15165837.5</v>
      </c>
      <c r="CB53" s="60">
        <f t="shared" si="95"/>
        <v>15165837.5</v>
      </c>
      <c r="CC53" s="49">
        <f t="shared" si="3"/>
        <v>75829187500</v>
      </c>
      <c r="CD53" s="49">
        <f>IFERROR(up_RadSpec!$H$5*(CD5/$B53),".")</f>
        <v>18957296875</v>
      </c>
      <c r="CE53" s="49">
        <f>IFERROR(up_RadSpec!$H$5*(CE5/$B53),".")</f>
        <v>18957296875</v>
      </c>
      <c r="CF53" s="49">
        <f>IFERROR(up_RadSpec!$H$5*(CF5/$B53),".")</f>
        <v>18957296875</v>
      </c>
      <c r="CG53" s="49">
        <f>IFERROR(up_RadSpec!$H$5*(CG5/$B53),".")</f>
        <v>18957296875</v>
      </c>
      <c r="CH53" s="49">
        <f>IFERROR(up_RadSpec!$H$5*(CH5/$B53),".")</f>
        <v>18957296875</v>
      </c>
      <c r="CI53" s="49">
        <f>IFERROR(up_RadSpec!$H$5*(CI5/$B53),".")</f>
        <v>18957296875</v>
      </c>
      <c r="CJ53" s="49">
        <f>IFERROR(up_RadSpec!$H$5*(CJ5/$B53),".")</f>
        <v>18957296875</v>
      </c>
      <c r="CK53" s="49">
        <f>IFERROR(up_RadSpec!$H$5*(CK5/$B53),".")</f>
        <v>18957296875</v>
      </c>
      <c r="CL53" s="49">
        <f>IFERROR(up_RadSpec!$H$5*(CL5/$B53),".")</f>
        <v>18957296875</v>
      </c>
      <c r="CM53" s="49">
        <f>IFERROR(up_RadSpec!$H$5*(CM5/$B53),".")</f>
        <v>18957296875</v>
      </c>
      <c r="CN53" s="49">
        <f>IFERROR(up_RadSpec!$H$5*(CN5/$B53),".")</f>
        <v>18957296875</v>
      </c>
      <c r="CO53" s="49">
        <f>IFERROR(up_RadSpec!$H$5*(CO5/$B53),".")</f>
        <v>18957296875</v>
      </c>
      <c r="CP53" s="49">
        <f>IFERROR(up_RadSpec!$H$5*(CP5/$B53),".")</f>
        <v>18957296875</v>
      </c>
      <c r="CQ53" s="49">
        <f>IFERROR(up_RadSpec!$H$5*(CQ5/$B53),".")</f>
        <v>18957296875</v>
      </c>
      <c r="CR53" s="49">
        <f>IFERROR(up_RadSpec!$H$5*(CR5/$B53),".")</f>
        <v>18957296875</v>
      </c>
      <c r="CS53" s="49">
        <f>IFERROR(up_RadSpec!$H$5*(CS5/$B53),".")</f>
        <v>18957296875</v>
      </c>
      <c r="CT53" s="49">
        <f>IFERROR(up_RadSpec!$H$5*(CT5/$B53),".")</f>
        <v>18957296875</v>
      </c>
      <c r="CU53" s="49">
        <f>IFERROR(up_RadSpec!$H$5*(CU5/$B53),".")</f>
        <v>18957296875</v>
      </c>
      <c r="CV53" s="49">
        <f>IFERROR(up_RadSpec!$H$5*(CV5/$B53),".")</f>
        <v>18957296875</v>
      </c>
      <c r="CW53" s="49">
        <f>IFERROR(up_RadSpec!$H$5*(CW5/$B53),".")</f>
        <v>18957296875</v>
      </c>
      <c r="CX53" s="49">
        <f>IFERROR(up_RadSpec!$H$5*(CX5/$B53),".")</f>
        <v>18957296875</v>
      </c>
      <c r="CY53" s="49">
        <f>IFERROR(up_RadSpec!$H$5*(CY5/$B53),".")</f>
        <v>18957296875</v>
      </c>
      <c r="CZ53" s="49">
        <f>IFERROR(up_RadSpec!$H$5*(CZ5/$B53),".")</f>
        <v>18957296875</v>
      </c>
      <c r="DA53" s="49">
        <f>IFERROR(up_RadSpec!$H$5*(DA5/$B53),".")</f>
        <v>18957296875</v>
      </c>
      <c r="DB53" s="49">
        <f>IFERROR(up_RadSpec!$H$5*(DB5/$B53),".")</f>
        <v>18957296875</v>
      </c>
    </row>
    <row r="54" spans="1:106" x14ac:dyDescent="0.25">
      <c r="A54" s="83" t="s">
        <v>1089</v>
      </c>
      <c r="B54" s="42">
        <v>0.99999979999999999</v>
      </c>
      <c r="C54" s="60">
        <f t="shared" ref="C54" si="96">IFERROR(C9/$B54,0)</f>
        <v>3.2968841977900666E-12</v>
      </c>
      <c r="D54" s="60">
        <f t="shared" ref="D54:AB54" si="97">IFERROR(D9/$B54,0)</f>
        <v>1.3187536791160265E-11</v>
      </c>
      <c r="E54" s="60">
        <f t="shared" si="97"/>
        <v>1.3187536791160265E-11</v>
      </c>
      <c r="F54" s="60">
        <f t="shared" si="97"/>
        <v>1.3187536791160265E-11</v>
      </c>
      <c r="G54" s="60">
        <f t="shared" si="97"/>
        <v>1.3187536791160265E-11</v>
      </c>
      <c r="H54" s="60">
        <f t="shared" si="97"/>
        <v>1.3187536791160265E-11</v>
      </c>
      <c r="I54" s="60">
        <f t="shared" si="97"/>
        <v>1.3187536791160265E-11</v>
      </c>
      <c r="J54" s="60">
        <f t="shared" si="97"/>
        <v>1.3187536791160265E-11</v>
      </c>
      <c r="K54" s="60">
        <f t="shared" si="97"/>
        <v>1.3187536791160265E-11</v>
      </c>
      <c r="L54" s="60">
        <f t="shared" si="97"/>
        <v>1.3187536791160265E-11</v>
      </c>
      <c r="M54" s="60">
        <f t="shared" si="97"/>
        <v>1.3187536791160265E-11</v>
      </c>
      <c r="N54" s="60">
        <f t="shared" si="97"/>
        <v>1.3187536791160265E-11</v>
      </c>
      <c r="O54" s="60">
        <f t="shared" si="97"/>
        <v>1.3187536791160265E-11</v>
      </c>
      <c r="P54" s="60">
        <f t="shared" si="97"/>
        <v>1.3187536791160265E-11</v>
      </c>
      <c r="Q54" s="60">
        <f t="shared" si="97"/>
        <v>1.3187536791160265E-11</v>
      </c>
      <c r="R54" s="60">
        <f t="shared" si="97"/>
        <v>1.3187536791160265E-11</v>
      </c>
      <c r="S54" s="60">
        <f t="shared" si="97"/>
        <v>1.3187536791160265E-11</v>
      </c>
      <c r="T54" s="60">
        <f t="shared" si="97"/>
        <v>1.3187536791160265E-11</v>
      </c>
      <c r="U54" s="60">
        <f t="shared" si="97"/>
        <v>1.3187536791160265E-11</v>
      </c>
      <c r="V54" s="60">
        <f t="shared" si="97"/>
        <v>1.3187536791160265E-11</v>
      </c>
      <c r="W54" s="60">
        <f t="shared" si="97"/>
        <v>1.3187536791160265E-11</v>
      </c>
      <c r="X54" s="60">
        <f t="shared" si="97"/>
        <v>1.3187536791160265E-11</v>
      </c>
      <c r="Y54" s="60">
        <f t="shared" si="97"/>
        <v>1.3187536791160265E-11</v>
      </c>
      <c r="Z54" s="60">
        <f t="shared" si="97"/>
        <v>1.3187536791160265E-11</v>
      </c>
      <c r="AA54" s="60">
        <f t="shared" si="97"/>
        <v>1.3187536791160265E-11</v>
      </c>
      <c r="AB54" s="60">
        <f t="shared" si="97"/>
        <v>1.3187536791160265E-11</v>
      </c>
      <c r="AC54" s="49">
        <f t="shared" si="1"/>
        <v>15165840.533168107</v>
      </c>
      <c r="AD54" s="49">
        <f>IFERROR(up_RadSpec!$H$9*($BB$9/$B54),".")</f>
        <v>3791460.1332920268</v>
      </c>
      <c r="AE54" s="49">
        <f>IFERROR(up_RadSpec!$H$9*($BB$9/$B54),".")</f>
        <v>3791460.1332920268</v>
      </c>
      <c r="AF54" s="49">
        <f>IFERROR(up_RadSpec!$H$9*($BB$9/$B54),".")</f>
        <v>3791460.1332920268</v>
      </c>
      <c r="AG54" s="49">
        <f>IFERROR(up_RadSpec!$H$9*($BB$9/$B54),".")</f>
        <v>3791460.1332920268</v>
      </c>
      <c r="AH54" s="49">
        <f>IFERROR(up_RadSpec!$H$9*($BB$9/$B54),".")</f>
        <v>3791460.1332920268</v>
      </c>
      <c r="AI54" s="49">
        <f>IFERROR(up_RadSpec!$H$9*($BB$9/$B54),".")</f>
        <v>3791460.1332920268</v>
      </c>
      <c r="AJ54" s="49">
        <f>IFERROR(up_RadSpec!$H$9*($BB$9/$B54),".")</f>
        <v>3791460.1332920268</v>
      </c>
      <c r="AK54" s="49">
        <f>IFERROR(up_RadSpec!$H$9*($BB$9/$B54),".")</f>
        <v>3791460.1332920268</v>
      </c>
      <c r="AL54" s="49">
        <f>IFERROR(up_RadSpec!$H$9*($BB$9/$B54),".")</f>
        <v>3791460.1332920268</v>
      </c>
      <c r="AM54" s="49">
        <f>IFERROR(up_RadSpec!$H$9*($BB$9/$B54),".")</f>
        <v>3791460.1332920268</v>
      </c>
      <c r="AN54" s="49">
        <f>IFERROR(up_RadSpec!$H$9*($BB$9/$B54),".")</f>
        <v>3791460.1332920268</v>
      </c>
      <c r="AO54" s="49">
        <f>IFERROR(up_RadSpec!$H$9*($BB$9/$B54),".")</f>
        <v>3791460.1332920268</v>
      </c>
      <c r="AP54" s="49">
        <f>IFERROR(up_RadSpec!$H$9*($BB$9/$B54),".")</f>
        <v>3791460.1332920268</v>
      </c>
      <c r="AQ54" s="49">
        <f>IFERROR(up_RadSpec!$H$9*($BB$9/$B54),".")</f>
        <v>3791460.1332920268</v>
      </c>
      <c r="AR54" s="49">
        <f>IFERROR(up_RadSpec!$H$9*($BB$9/$B54),".")</f>
        <v>3791460.1332920268</v>
      </c>
      <c r="AS54" s="49">
        <f>IFERROR(up_RadSpec!$H$9*($BB$9/$B54),".")</f>
        <v>3791460.1332920268</v>
      </c>
      <c r="AT54" s="49">
        <f>IFERROR(up_RadSpec!$H$9*($BB$9/$B54),".")</f>
        <v>3791460.1332920268</v>
      </c>
      <c r="AU54" s="49">
        <f>IFERROR(up_RadSpec!$H$9*($BB$9/$B54),".")</f>
        <v>3791460.1332920268</v>
      </c>
      <c r="AV54" s="49">
        <f>IFERROR(up_RadSpec!$H$9*($BB$9/$B54),".")</f>
        <v>3791460.1332920268</v>
      </c>
      <c r="AW54" s="49">
        <f>IFERROR(up_RadSpec!$H$9*($BB$9/$B54),".")</f>
        <v>3791460.1332920268</v>
      </c>
      <c r="AX54" s="49">
        <f>IFERROR(up_RadSpec!$H$9*($BB$9/$B54),".")</f>
        <v>3791460.1332920268</v>
      </c>
      <c r="AY54" s="49">
        <f>IFERROR(up_RadSpec!$H$9*($BB$9/$B54),".")</f>
        <v>3791460.1332920268</v>
      </c>
      <c r="AZ54" s="49">
        <f>IFERROR(up_RadSpec!$H$9*($BB$9/$B54),".")</f>
        <v>3791460.1332920268</v>
      </c>
      <c r="BA54" s="49">
        <f>IFERROR(up_RadSpec!$H$9*($BB$9/$B54),".")</f>
        <v>3791460.1332920268</v>
      </c>
      <c r="BB54" s="49">
        <f>IFERROR(up_RadSpec!$H$9*($BB$9/$B54),".")</f>
        <v>3791460.1332920268</v>
      </c>
      <c r="BC54" s="60">
        <f t="shared" ref="BC54" si="98">IFERROR($B54/BC9,0)</f>
        <v>303316689336.6499</v>
      </c>
      <c r="BD54" s="60">
        <f t="shared" ref="BD54:CB54" si="99">IFERROR($B54/BD9,0)</f>
        <v>75829172334.162491</v>
      </c>
      <c r="BE54" s="60">
        <f t="shared" si="99"/>
        <v>75829172334.162491</v>
      </c>
      <c r="BF54" s="60">
        <f t="shared" si="99"/>
        <v>75829172334.162491</v>
      </c>
      <c r="BG54" s="60">
        <f t="shared" si="99"/>
        <v>75829172334.162491</v>
      </c>
      <c r="BH54" s="60">
        <f t="shared" si="99"/>
        <v>75829172334.162491</v>
      </c>
      <c r="BI54" s="60">
        <f t="shared" si="99"/>
        <v>75829172334.162491</v>
      </c>
      <c r="BJ54" s="60">
        <f t="shared" si="99"/>
        <v>75829172334.162491</v>
      </c>
      <c r="BK54" s="60">
        <f t="shared" si="99"/>
        <v>75829172334.162491</v>
      </c>
      <c r="BL54" s="60">
        <f t="shared" si="99"/>
        <v>75829172334.162491</v>
      </c>
      <c r="BM54" s="60">
        <f t="shared" si="99"/>
        <v>75829172334.162491</v>
      </c>
      <c r="BN54" s="60">
        <f t="shared" si="99"/>
        <v>75829172334.162491</v>
      </c>
      <c r="BO54" s="60">
        <f t="shared" si="99"/>
        <v>75829172334.162491</v>
      </c>
      <c r="BP54" s="60">
        <f t="shared" si="99"/>
        <v>75829172334.162491</v>
      </c>
      <c r="BQ54" s="60">
        <f t="shared" si="99"/>
        <v>75829172334.162491</v>
      </c>
      <c r="BR54" s="60">
        <f t="shared" si="99"/>
        <v>75829172334.162491</v>
      </c>
      <c r="BS54" s="60">
        <f t="shared" si="99"/>
        <v>75829172334.162491</v>
      </c>
      <c r="BT54" s="60">
        <f t="shared" si="99"/>
        <v>75829172334.162491</v>
      </c>
      <c r="BU54" s="60">
        <f t="shared" si="99"/>
        <v>75829172334.162491</v>
      </c>
      <c r="BV54" s="60">
        <f t="shared" si="99"/>
        <v>75829172334.162491</v>
      </c>
      <c r="BW54" s="60">
        <f t="shared" si="99"/>
        <v>75829172334.162491</v>
      </c>
      <c r="BX54" s="60">
        <f t="shared" si="99"/>
        <v>75829172334.162491</v>
      </c>
      <c r="BY54" s="60">
        <f t="shared" si="99"/>
        <v>75829172334.162491</v>
      </c>
      <c r="BZ54" s="60">
        <f t="shared" si="99"/>
        <v>75829172334.162491</v>
      </c>
      <c r="CA54" s="60">
        <f t="shared" si="99"/>
        <v>75829172334.162491</v>
      </c>
      <c r="CB54" s="60">
        <f t="shared" si="99"/>
        <v>75829172334.162491</v>
      </c>
      <c r="CC54" s="49">
        <f t="shared" si="3"/>
        <v>15165840.533168107</v>
      </c>
      <c r="CD54" s="49">
        <f>IFERROR(up_RadSpec!$H$9*(CD9/$B54),".")</f>
        <v>3791460.1332920268</v>
      </c>
      <c r="CE54" s="49">
        <f>IFERROR(up_RadSpec!$H$9*(CE9/$B54),".")</f>
        <v>3791460.1332920268</v>
      </c>
      <c r="CF54" s="49">
        <f>IFERROR(up_RadSpec!$H$9*(CF9/$B54),".")</f>
        <v>3791460.1332920268</v>
      </c>
      <c r="CG54" s="49">
        <f>IFERROR(up_RadSpec!$H$9*(CG9/$B54),".")</f>
        <v>3791460.1332920268</v>
      </c>
      <c r="CH54" s="49">
        <f>IFERROR(up_RadSpec!$H$9*(CH9/$B54),".")</f>
        <v>3791460.1332920268</v>
      </c>
      <c r="CI54" s="49">
        <f>IFERROR(up_RadSpec!$H$9*(CI9/$B54),".")</f>
        <v>3791460.1332920268</v>
      </c>
      <c r="CJ54" s="49">
        <f>IFERROR(up_RadSpec!$H$9*(CJ9/$B54),".")</f>
        <v>3791460.1332920268</v>
      </c>
      <c r="CK54" s="49">
        <f>IFERROR(up_RadSpec!$H$9*(CK9/$B54),".")</f>
        <v>3791460.1332920268</v>
      </c>
      <c r="CL54" s="49">
        <f>IFERROR(up_RadSpec!$H$9*(CL9/$B54),".")</f>
        <v>3791460.1332920268</v>
      </c>
      <c r="CM54" s="49">
        <f>IFERROR(up_RadSpec!$H$9*(CM9/$B54),".")</f>
        <v>3791460.1332920268</v>
      </c>
      <c r="CN54" s="49">
        <f>IFERROR(up_RadSpec!$H$9*(CN9/$B54),".")</f>
        <v>3791460.1332920268</v>
      </c>
      <c r="CO54" s="49">
        <f>IFERROR(up_RadSpec!$H$9*(CO9/$B54),".")</f>
        <v>3791460.1332920268</v>
      </c>
      <c r="CP54" s="49">
        <f>IFERROR(up_RadSpec!$H$9*(CP9/$B54),".")</f>
        <v>3791460.1332920268</v>
      </c>
      <c r="CQ54" s="49">
        <f>IFERROR(up_RadSpec!$H$9*(CQ9/$B54),".")</f>
        <v>3791460.1332920268</v>
      </c>
      <c r="CR54" s="49">
        <f>IFERROR(up_RadSpec!$H$9*(CR9/$B54),".")</f>
        <v>3791460.1332920268</v>
      </c>
      <c r="CS54" s="49">
        <f>IFERROR(up_RadSpec!$H$9*(CS9/$B54),".")</f>
        <v>3791460.1332920268</v>
      </c>
      <c r="CT54" s="49">
        <f>IFERROR(up_RadSpec!$H$9*(CT9/$B54),".")</f>
        <v>3791460.1332920268</v>
      </c>
      <c r="CU54" s="49">
        <f>IFERROR(up_RadSpec!$H$9*(CU9/$B54),".")</f>
        <v>3791460.1332920268</v>
      </c>
      <c r="CV54" s="49">
        <f>IFERROR(up_RadSpec!$H$9*(CV9/$B54),".")</f>
        <v>3791460.1332920268</v>
      </c>
      <c r="CW54" s="49">
        <f>IFERROR(up_RadSpec!$H$9*(CW9/$B54),".")</f>
        <v>3791460.1332920268</v>
      </c>
      <c r="CX54" s="49">
        <f>IFERROR(up_RadSpec!$H$9*(CX9/$B54),".")</f>
        <v>3791460.1332920268</v>
      </c>
      <c r="CY54" s="49">
        <f>IFERROR(up_RadSpec!$H$9*(CY9/$B54),".")</f>
        <v>3791460.1332920268</v>
      </c>
      <c r="CZ54" s="49">
        <f>IFERROR(up_RadSpec!$H$9*(CZ9/$B54),".")</f>
        <v>3791460.1332920268</v>
      </c>
      <c r="DA54" s="49">
        <f>IFERROR(up_RadSpec!$H$9*(DA9/$B54),".")</f>
        <v>3791460.1332920268</v>
      </c>
      <c r="DB54" s="49">
        <f>IFERROR(up_RadSpec!$H$9*(DB9/$B54),".")</f>
        <v>3791460.1332920268</v>
      </c>
    </row>
    <row r="55" spans="1:106" x14ac:dyDescent="0.25">
      <c r="A55" s="83" t="s">
        <v>1090</v>
      </c>
      <c r="B55" s="42">
        <v>1.9999999999999999E-7</v>
      </c>
      <c r="C55" s="60">
        <f t="shared" ref="C55" si="100">IFERROR(C24/$B55,0)</f>
        <v>1.6484417692066136E-5</v>
      </c>
      <c r="D55" s="60">
        <f t="shared" ref="D55:AB55" si="101">IFERROR(D24/$B55,0)</f>
        <v>6.5937670768264543E-5</v>
      </c>
      <c r="E55" s="60">
        <f t="shared" si="101"/>
        <v>6.5937670768264543E-5</v>
      </c>
      <c r="F55" s="60">
        <f t="shared" si="101"/>
        <v>6.5937670768264543E-5</v>
      </c>
      <c r="G55" s="60">
        <f t="shared" si="101"/>
        <v>6.5937670768264543E-5</v>
      </c>
      <c r="H55" s="60">
        <f t="shared" si="101"/>
        <v>6.5937670768264543E-5</v>
      </c>
      <c r="I55" s="60">
        <f t="shared" si="101"/>
        <v>6.5937670768264543E-5</v>
      </c>
      <c r="J55" s="60">
        <f t="shared" si="101"/>
        <v>6.5937670768264543E-5</v>
      </c>
      <c r="K55" s="60">
        <f t="shared" si="101"/>
        <v>6.5937670768264543E-5</v>
      </c>
      <c r="L55" s="60">
        <f t="shared" si="101"/>
        <v>6.5937670768264543E-5</v>
      </c>
      <c r="M55" s="60">
        <f t="shared" si="101"/>
        <v>6.5937670768264543E-5</v>
      </c>
      <c r="N55" s="60">
        <f t="shared" si="101"/>
        <v>6.5937670768264543E-5</v>
      </c>
      <c r="O55" s="60">
        <f t="shared" si="101"/>
        <v>6.5937670768264543E-5</v>
      </c>
      <c r="P55" s="60">
        <f t="shared" si="101"/>
        <v>6.5937670768264543E-5</v>
      </c>
      <c r="Q55" s="60">
        <f t="shared" si="101"/>
        <v>6.5937670768264543E-5</v>
      </c>
      <c r="R55" s="60">
        <f t="shared" si="101"/>
        <v>6.5937670768264543E-5</v>
      </c>
      <c r="S55" s="60">
        <f t="shared" si="101"/>
        <v>6.5937670768264543E-5</v>
      </c>
      <c r="T55" s="60">
        <f t="shared" si="101"/>
        <v>6.5937670768264543E-5</v>
      </c>
      <c r="U55" s="60">
        <f t="shared" si="101"/>
        <v>6.5937670768264543E-5</v>
      </c>
      <c r="V55" s="60">
        <f t="shared" si="101"/>
        <v>6.5937670768264543E-5</v>
      </c>
      <c r="W55" s="60">
        <f t="shared" si="101"/>
        <v>6.5937670768264543E-5</v>
      </c>
      <c r="X55" s="60">
        <f t="shared" si="101"/>
        <v>6.5937670768264543E-5</v>
      </c>
      <c r="Y55" s="60">
        <f t="shared" si="101"/>
        <v>6.5937670768264543E-5</v>
      </c>
      <c r="Z55" s="60">
        <f t="shared" si="101"/>
        <v>6.5937670768264543E-5</v>
      </c>
      <c r="AA55" s="60">
        <f t="shared" si="101"/>
        <v>6.5937670768264543E-5</v>
      </c>
      <c r="AB55" s="60">
        <f t="shared" si="101"/>
        <v>6.5937670768264543E-5</v>
      </c>
      <c r="AC55" s="49">
        <f t="shared" si="1"/>
        <v>75829187500000</v>
      </c>
      <c r="AD55" s="49">
        <f>IFERROR(up_RadSpec!$H$24*($BB$24/$B55),".")</f>
        <v>18957296875000</v>
      </c>
      <c r="AE55" s="49">
        <f>IFERROR(up_RadSpec!$H$24*($BB$24/$B55),".")</f>
        <v>18957296875000</v>
      </c>
      <c r="AF55" s="49">
        <f>IFERROR(up_RadSpec!$H$24*($BB$24/$B55),".")</f>
        <v>18957296875000</v>
      </c>
      <c r="AG55" s="49">
        <f>IFERROR(up_RadSpec!$H$24*($BB$24/$B55),".")</f>
        <v>18957296875000</v>
      </c>
      <c r="AH55" s="49">
        <f>IFERROR(up_RadSpec!$H$24*($BB$24/$B55),".")</f>
        <v>18957296875000</v>
      </c>
      <c r="AI55" s="49">
        <f>IFERROR(up_RadSpec!$H$24*($BB$24/$B55),".")</f>
        <v>18957296875000</v>
      </c>
      <c r="AJ55" s="49">
        <f>IFERROR(up_RadSpec!$H$24*($BB$24/$B55),".")</f>
        <v>18957296875000</v>
      </c>
      <c r="AK55" s="49">
        <f>IFERROR(up_RadSpec!$H$24*($BB$24/$B55),".")</f>
        <v>18957296875000</v>
      </c>
      <c r="AL55" s="49">
        <f>IFERROR(up_RadSpec!$H$24*($BB$24/$B55),".")</f>
        <v>18957296875000</v>
      </c>
      <c r="AM55" s="49">
        <f>IFERROR(up_RadSpec!$H$24*($BB$24/$B55),".")</f>
        <v>18957296875000</v>
      </c>
      <c r="AN55" s="49">
        <f>IFERROR(up_RadSpec!$H$24*($BB$24/$B55),".")</f>
        <v>18957296875000</v>
      </c>
      <c r="AO55" s="49">
        <f>IFERROR(up_RadSpec!$H$24*($BB$24/$B55),".")</f>
        <v>18957296875000</v>
      </c>
      <c r="AP55" s="49">
        <f>IFERROR(up_RadSpec!$H$24*($BB$24/$B55),".")</f>
        <v>18957296875000</v>
      </c>
      <c r="AQ55" s="49">
        <f>IFERROR(up_RadSpec!$H$24*($BB$24/$B55),".")</f>
        <v>18957296875000</v>
      </c>
      <c r="AR55" s="49">
        <f>IFERROR(up_RadSpec!$H$24*($BB$24/$B55),".")</f>
        <v>18957296875000</v>
      </c>
      <c r="AS55" s="49">
        <f>IFERROR(up_RadSpec!$H$24*($BB$24/$B55),".")</f>
        <v>18957296875000</v>
      </c>
      <c r="AT55" s="49">
        <f>IFERROR(up_RadSpec!$H$24*($BB$24/$B55),".")</f>
        <v>18957296875000</v>
      </c>
      <c r="AU55" s="49">
        <f>IFERROR(up_RadSpec!$H$24*($BB$24/$B55),".")</f>
        <v>18957296875000</v>
      </c>
      <c r="AV55" s="49">
        <f>IFERROR(up_RadSpec!$H$24*($BB$24/$B55),".")</f>
        <v>18957296875000</v>
      </c>
      <c r="AW55" s="49">
        <f>IFERROR(up_RadSpec!$H$24*($BB$24/$B55),".")</f>
        <v>18957296875000</v>
      </c>
      <c r="AX55" s="49">
        <f>IFERROR(up_RadSpec!$H$24*($BB$24/$B55),".")</f>
        <v>18957296875000</v>
      </c>
      <c r="AY55" s="49">
        <f>IFERROR(up_RadSpec!$H$24*($BB$24/$B55),".")</f>
        <v>18957296875000</v>
      </c>
      <c r="AZ55" s="49">
        <f>IFERROR(up_RadSpec!$H$24*($BB$24/$B55),".")</f>
        <v>18957296875000</v>
      </c>
      <c r="BA55" s="49">
        <f>IFERROR(up_RadSpec!$H$24*($BB$24/$B55),".")</f>
        <v>18957296875000</v>
      </c>
      <c r="BB55" s="49">
        <f>IFERROR(up_RadSpec!$H$24*($BB$24/$B55),".")</f>
        <v>18957296875000</v>
      </c>
      <c r="BC55" s="60">
        <f t="shared" ref="BC55" si="102">IFERROR($B55/BC24,0)</f>
        <v>60663.349999999984</v>
      </c>
      <c r="BD55" s="60">
        <f t="shared" ref="BD55:CB55" si="103">IFERROR($B55/BD24,0)</f>
        <v>15165.837499999998</v>
      </c>
      <c r="BE55" s="60">
        <f t="shared" si="103"/>
        <v>15165.837499999998</v>
      </c>
      <c r="BF55" s="60">
        <f t="shared" si="103"/>
        <v>15165.837499999998</v>
      </c>
      <c r="BG55" s="60">
        <f t="shared" si="103"/>
        <v>15165.837499999998</v>
      </c>
      <c r="BH55" s="60">
        <f t="shared" si="103"/>
        <v>15165.837499999998</v>
      </c>
      <c r="BI55" s="60">
        <f t="shared" si="103"/>
        <v>15165.837499999998</v>
      </c>
      <c r="BJ55" s="60">
        <f t="shared" si="103"/>
        <v>15165.837499999998</v>
      </c>
      <c r="BK55" s="60">
        <f t="shared" si="103"/>
        <v>15165.837499999998</v>
      </c>
      <c r="BL55" s="60">
        <f t="shared" si="103"/>
        <v>15165.837499999998</v>
      </c>
      <c r="BM55" s="60">
        <f t="shared" si="103"/>
        <v>15165.837499999998</v>
      </c>
      <c r="BN55" s="60">
        <f t="shared" si="103"/>
        <v>15165.837499999998</v>
      </c>
      <c r="BO55" s="60">
        <f t="shared" si="103"/>
        <v>15165.837499999998</v>
      </c>
      <c r="BP55" s="60">
        <f t="shared" si="103"/>
        <v>15165.837499999998</v>
      </c>
      <c r="BQ55" s="60">
        <f t="shared" si="103"/>
        <v>15165.837499999998</v>
      </c>
      <c r="BR55" s="60">
        <f t="shared" si="103"/>
        <v>15165.837499999998</v>
      </c>
      <c r="BS55" s="60">
        <f t="shared" si="103"/>
        <v>15165.837499999998</v>
      </c>
      <c r="BT55" s="60">
        <f t="shared" si="103"/>
        <v>15165.837499999998</v>
      </c>
      <c r="BU55" s="60">
        <f t="shared" si="103"/>
        <v>15165.837499999998</v>
      </c>
      <c r="BV55" s="60">
        <f t="shared" si="103"/>
        <v>15165.837499999998</v>
      </c>
      <c r="BW55" s="60">
        <f t="shared" si="103"/>
        <v>15165.837499999998</v>
      </c>
      <c r="BX55" s="60">
        <f t="shared" si="103"/>
        <v>15165.837499999998</v>
      </c>
      <c r="BY55" s="60">
        <f t="shared" si="103"/>
        <v>15165.837499999998</v>
      </c>
      <c r="BZ55" s="60">
        <f t="shared" si="103"/>
        <v>15165.837499999998</v>
      </c>
      <c r="CA55" s="60">
        <f t="shared" si="103"/>
        <v>15165.837499999998</v>
      </c>
      <c r="CB55" s="60">
        <f t="shared" si="103"/>
        <v>15165.837499999998</v>
      </c>
      <c r="CC55" s="49">
        <f t="shared" si="3"/>
        <v>75829187500000</v>
      </c>
      <c r="CD55" s="49">
        <f>IFERROR(up_RadSpec!$H$24*(CD24/$B55),".")</f>
        <v>18957296875000</v>
      </c>
      <c r="CE55" s="49">
        <f>IFERROR(up_RadSpec!$H$24*(CE24/$B55),".")</f>
        <v>18957296875000</v>
      </c>
      <c r="CF55" s="49">
        <f>IFERROR(up_RadSpec!$H$24*(CF24/$B55),".")</f>
        <v>18957296875000</v>
      </c>
      <c r="CG55" s="49">
        <f>IFERROR(up_RadSpec!$H$24*(CG24/$B55),".")</f>
        <v>18957296875000</v>
      </c>
      <c r="CH55" s="49">
        <f>IFERROR(up_RadSpec!$H$24*(CH24/$B55),".")</f>
        <v>18957296875000</v>
      </c>
      <c r="CI55" s="49">
        <f>IFERROR(up_RadSpec!$H$24*(CI24/$B55),".")</f>
        <v>18957296875000</v>
      </c>
      <c r="CJ55" s="49">
        <f>IFERROR(up_RadSpec!$H$24*(CJ24/$B55),".")</f>
        <v>18957296875000</v>
      </c>
      <c r="CK55" s="49">
        <f>IFERROR(up_RadSpec!$H$24*(CK24/$B55),".")</f>
        <v>18957296875000</v>
      </c>
      <c r="CL55" s="49">
        <f>IFERROR(up_RadSpec!$H$24*(CL24/$B55),".")</f>
        <v>18957296875000</v>
      </c>
      <c r="CM55" s="49">
        <f>IFERROR(up_RadSpec!$H$24*(CM24/$B55),".")</f>
        <v>18957296875000</v>
      </c>
      <c r="CN55" s="49">
        <f>IFERROR(up_RadSpec!$H$24*(CN24/$B55),".")</f>
        <v>18957296875000</v>
      </c>
      <c r="CO55" s="49">
        <f>IFERROR(up_RadSpec!$H$24*(CO24/$B55),".")</f>
        <v>18957296875000</v>
      </c>
      <c r="CP55" s="49">
        <f>IFERROR(up_RadSpec!$H$24*(CP24/$B55),".")</f>
        <v>18957296875000</v>
      </c>
      <c r="CQ55" s="49">
        <f>IFERROR(up_RadSpec!$H$24*(CQ24/$B55),".")</f>
        <v>18957296875000</v>
      </c>
      <c r="CR55" s="49">
        <f>IFERROR(up_RadSpec!$H$24*(CR24/$B55),".")</f>
        <v>18957296875000</v>
      </c>
      <c r="CS55" s="49">
        <f>IFERROR(up_RadSpec!$H$24*(CS24/$B55),".")</f>
        <v>18957296875000</v>
      </c>
      <c r="CT55" s="49">
        <f>IFERROR(up_RadSpec!$H$24*(CT24/$B55),".")</f>
        <v>18957296875000</v>
      </c>
      <c r="CU55" s="49">
        <f>IFERROR(up_RadSpec!$H$24*(CU24/$B55),".")</f>
        <v>18957296875000</v>
      </c>
      <c r="CV55" s="49">
        <f>IFERROR(up_RadSpec!$H$24*(CV24/$B55),".")</f>
        <v>18957296875000</v>
      </c>
      <c r="CW55" s="49">
        <f>IFERROR(up_RadSpec!$H$24*(CW24/$B55),".")</f>
        <v>18957296875000</v>
      </c>
      <c r="CX55" s="49">
        <f>IFERROR(up_RadSpec!$H$24*(CX24/$B55),".")</f>
        <v>18957296875000</v>
      </c>
      <c r="CY55" s="49">
        <f>IFERROR(up_RadSpec!$H$24*(CY24/$B55),".")</f>
        <v>18957296875000</v>
      </c>
      <c r="CZ55" s="49">
        <f>IFERROR(up_RadSpec!$H$24*(CZ24/$B55),".")</f>
        <v>18957296875000</v>
      </c>
      <c r="DA55" s="49">
        <f>IFERROR(up_RadSpec!$H$24*(DA24/$B55),".")</f>
        <v>18957296875000</v>
      </c>
      <c r="DB55" s="49">
        <f>IFERROR(up_RadSpec!$H$24*(DB24/$B55),".")</f>
        <v>18957296875000</v>
      </c>
    </row>
    <row r="56" spans="1:106" x14ac:dyDescent="0.25">
      <c r="A56" s="83" t="s">
        <v>1091</v>
      </c>
      <c r="B56" s="42">
        <v>0.99979000004200003</v>
      </c>
      <c r="C56" s="60">
        <f t="shared" ref="C56" si="104">IFERROR(C20/$B56,0)</f>
        <v>3.2975760292408697E-12</v>
      </c>
      <c r="D56" s="60">
        <f t="shared" ref="D56:AB56" si="105">IFERROR(D20/$B56,0)</f>
        <v>1.3190304116963477E-11</v>
      </c>
      <c r="E56" s="60">
        <f t="shared" si="105"/>
        <v>1.3190304116963477E-11</v>
      </c>
      <c r="F56" s="60">
        <f t="shared" si="105"/>
        <v>1.3190304116963477E-11</v>
      </c>
      <c r="G56" s="60">
        <f t="shared" si="105"/>
        <v>1.3190304116963477E-11</v>
      </c>
      <c r="H56" s="60">
        <f t="shared" si="105"/>
        <v>1.3190304116963477E-11</v>
      </c>
      <c r="I56" s="60">
        <f t="shared" si="105"/>
        <v>1.3190304116963477E-11</v>
      </c>
      <c r="J56" s="60">
        <f t="shared" si="105"/>
        <v>1.3190304116963477E-11</v>
      </c>
      <c r="K56" s="60">
        <f t="shared" si="105"/>
        <v>1.3190304116963477E-11</v>
      </c>
      <c r="L56" s="60">
        <f t="shared" si="105"/>
        <v>1.3190304116963477E-11</v>
      </c>
      <c r="M56" s="60">
        <f t="shared" si="105"/>
        <v>1.3190304116963477E-11</v>
      </c>
      <c r="N56" s="60">
        <f t="shared" si="105"/>
        <v>1.3190304116963477E-11</v>
      </c>
      <c r="O56" s="60">
        <f t="shared" si="105"/>
        <v>1.3190304116963477E-11</v>
      </c>
      <c r="P56" s="60">
        <f t="shared" si="105"/>
        <v>1.3190304116963477E-11</v>
      </c>
      <c r="Q56" s="60">
        <f t="shared" si="105"/>
        <v>1.3190304116963477E-11</v>
      </c>
      <c r="R56" s="60">
        <f t="shared" si="105"/>
        <v>1.3190304116963477E-11</v>
      </c>
      <c r="S56" s="60">
        <f t="shared" si="105"/>
        <v>1.3190304116963477E-11</v>
      </c>
      <c r="T56" s="60">
        <f t="shared" si="105"/>
        <v>1.3190304116963477E-11</v>
      </c>
      <c r="U56" s="60">
        <f t="shared" si="105"/>
        <v>1.3190304116963477E-11</v>
      </c>
      <c r="V56" s="60">
        <f t="shared" si="105"/>
        <v>1.3190304116963477E-11</v>
      </c>
      <c r="W56" s="60">
        <f t="shared" si="105"/>
        <v>1.3190304116963477E-11</v>
      </c>
      <c r="X56" s="60">
        <f t="shared" si="105"/>
        <v>1.3190304116963477E-11</v>
      </c>
      <c r="Y56" s="60">
        <f t="shared" si="105"/>
        <v>1.3190304116963477E-11</v>
      </c>
      <c r="Z56" s="60">
        <f t="shared" si="105"/>
        <v>1.3190304116963477E-11</v>
      </c>
      <c r="AA56" s="60">
        <f t="shared" si="105"/>
        <v>1.3190304116963477E-11</v>
      </c>
      <c r="AB56" s="60">
        <f t="shared" si="105"/>
        <v>1.3190304116963477E-11</v>
      </c>
      <c r="AC56" s="49">
        <f t="shared" si="1"/>
        <v>15169022.994191682</v>
      </c>
      <c r="AD56" s="49">
        <f>IFERROR(up_RadSpec!$H$20*($BB$20/$B56),".")</f>
        <v>3792255.7485479205</v>
      </c>
      <c r="AE56" s="49">
        <f>IFERROR(up_RadSpec!$H$20*($BB$20/$B56),".")</f>
        <v>3792255.7485479205</v>
      </c>
      <c r="AF56" s="49">
        <f>IFERROR(up_RadSpec!$H$20*($BB$20/$B56),".")</f>
        <v>3792255.7485479205</v>
      </c>
      <c r="AG56" s="49">
        <f>IFERROR(up_RadSpec!$H$20*($BB$20/$B56),".")</f>
        <v>3792255.7485479205</v>
      </c>
      <c r="AH56" s="49">
        <f>IFERROR(up_RadSpec!$H$20*($BB$20/$B56),".")</f>
        <v>3792255.7485479205</v>
      </c>
      <c r="AI56" s="49">
        <f>IFERROR(up_RadSpec!$H$20*($BB$20/$B56),".")</f>
        <v>3792255.7485479205</v>
      </c>
      <c r="AJ56" s="49">
        <f>IFERROR(up_RadSpec!$H$20*($BB$20/$B56),".")</f>
        <v>3792255.7485479205</v>
      </c>
      <c r="AK56" s="49">
        <f>IFERROR(up_RadSpec!$H$20*($BB$20/$B56),".")</f>
        <v>3792255.7485479205</v>
      </c>
      <c r="AL56" s="49">
        <f>IFERROR(up_RadSpec!$H$20*($BB$20/$B56),".")</f>
        <v>3792255.7485479205</v>
      </c>
      <c r="AM56" s="49">
        <f>IFERROR(up_RadSpec!$H$20*($BB$20/$B56),".")</f>
        <v>3792255.7485479205</v>
      </c>
      <c r="AN56" s="49">
        <f>IFERROR(up_RadSpec!$H$20*($BB$20/$B56),".")</f>
        <v>3792255.7485479205</v>
      </c>
      <c r="AO56" s="49">
        <f>IFERROR(up_RadSpec!$H$20*($BB$20/$B56),".")</f>
        <v>3792255.7485479205</v>
      </c>
      <c r="AP56" s="49">
        <f>IFERROR(up_RadSpec!$H$20*($BB$20/$B56),".")</f>
        <v>3792255.7485479205</v>
      </c>
      <c r="AQ56" s="49">
        <f>IFERROR(up_RadSpec!$H$20*($BB$20/$B56),".")</f>
        <v>3792255.7485479205</v>
      </c>
      <c r="AR56" s="49">
        <f>IFERROR(up_RadSpec!$H$20*($BB$20/$B56),".")</f>
        <v>3792255.7485479205</v>
      </c>
      <c r="AS56" s="49">
        <f>IFERROR(up_RadSpec!$H$20*($BB$20/$B56),".")</f>
        <v>3792255.7485479205</v>
      </c>
      <c r="AT56" s="49">
        <f>IFERROR(up_RadSpec!$H$20*($BB$20/$B56),".")</f>
        <v>3792255.7485479205</v>
      </c>
      <c r="AU56" s="49">
        <f>IFERROR(up_RadSpec!$H$20*($BB$20/$B56),".")</f>
        <v>3792255.7485479205</v>
      </c>
      <c r="AV56" s="49">
        <f>IFERROR(up_RadSpec!$H$20*($BB$20/$B56),".")</f>
        <v>3792255.7485479205</v>
      </c>
      <c r="AW56" s="49">
        <f>IFERROR(up_RadSpec!$H$20*($BB$20/$B56),".")</f>
        <v>3792255.7485479205</v>
      </c>
      <c r="AX56" s="49">
        <f>IFERROR(up_RadSpec!$H$20*($BB$20/$B56),".")</f>
        <v>3792255.7485479205</v>
      </c>
      <c r="AY56" s="49">
        <f>IFERROR(up_RadSpec!$H$20*($BB$20/$B56),".")</f>
        <v>3792255.7485479205</v>
      </c>
      <c r="AZ56" s="49">
        <f>IFERROR(up_RadSpec!$H$20*($BB$20/$B56),".")</f>
        <v>3792255.7485479205</v>
      </c>
      <c r="BA56" s="49">
        <f>IFERROR(up_RadSpec!$H$20*($BB$20/$B56),".")</f>
        <v>3792255.7485479205</v>
      </c>
      <c r="BB56" s="49">
        <f>IFERROR(up_RadSpec!$H$20*($BB$20/$B56),".")</f>
        <v>3792255.7485479205</v>
      </c>
      <c r="BC56" s="60">
        <f t="shared" ref="BC56" si="106">IFERROR($B56/BC20,0)</f>
        <v>303253053495.23926</v>
      </c>
      <c r="BD56" s="60">
        <f t="shared" ref="BD56:CB56" si="107">IFERROR($B56/BD20,0)</f>
        <v>75813263373.809814</v>
      </c>
      <c r="BE56" s="60">
        <f t="shared" si="107"/>
        <v>75813263373.809814</v>
      </c>
      <c r="BF56" s="60">
        <f t="shared" si="107"/>
        <v>75813263373.809814</v>
      </c>
      <c r="BG56" s="60">
        <f t="shared" si="107"/>
        <v>75813263373.809814</v>
      </c>
      <c r="BH56" s="60">
        <f t="shared" si="107"/>
        <v>75813263373.809814</v>
      </c>
      <c r="BI56" s="60">
        <f t="shared" si="107"/>
        <v>75813263373.809814</v>
      </c>
      <c r="BJ56" s="60">
        <f t="shared" si="107"/>
        <v>75813263373.809814</v>
      </c>
      <c r="BK56" s="60">
        <f t="shared" si="107"/>
        <v>75813263373.809814</v>
      </c>
      <c r="BL56" s="60">
        <f t="shared" si="107"/>
        <v>75813263373.809814</v>
      </c>
      <c r="BM56" s="60">
        <f t="shared" si="107"/>
        <v>75813263373.809814</v>
      </c>
      <c r="BN56" s="60">
        <f t="shared" si="107"/>
        <v>75813263373.809814</v>
      </c>
      <c r="BO56" s="60">
        <f t="shared" si="107"/>
        <v>75813263373.809814</v>
      </c>
      <c r="BP56" s="60">
        <f t="shared" si="107"/>
        <v>75813263373.809814</v>
      </c>
      <c r="BQ56" s="60">
        <f t="shared" si="107"/>
        <v>75813263373.809814</v>
      </c>
      <c r="BR56" s="60">
        <f t="shared" si="107"/>
        <v>75813263373.809814</v>
      </c>
      <c r="BS56" s="60">
        <f t="shared" si="107"/>
        <v>75813263373.809814</v>
      </c>
      <c r="BT56" s="60">
        <f t="shared" si="107"/>
        <v>75813263373.809814</v>
      </c>
      <c r="BU56" s="60">
        <f t="shared" si="107"/>
        <v>75813263373.809814</v>
      </c>
      <c r="BV56" s="60">
        <f t="shared" si="107"/>
        <v>75813263373.809814</v>
      </c>
      <c r="BW56" s="60">
        <f t="shared" si="107"/>
        <v>75813263373.809814</v>
      </c>
      <c r="BX56" s="60">
        <f t="shared" si="107"/>
        <v>75813263373.809814</v>
      </c>
      <c r="BY56" s="60">
        <f t="shared" si="107"/>
        <v>75813263373.809814</v>
      </c>
      <c r="BZ56" s="60">
        <f t="shared" si="107"/>
        <v>75813263373.809814</v>
      </c>
      <c r="CA56" s="60">
        <f t="shared" si="107"/>
        <v>75813263373.809814</v>
      </c>
      <c r="CB56" s="60">
        <f t="shared" si="107"/>
        <v>75813263373.809814</v>
      </c>
      <c r="CC56" s="49">
        <f t="shared" si="3"/>
        <v>15169022.994191682</v>
      </c>
      <c r="CD56" s="49">
        <f>IFERROR(up_RadSpec!$H$20*(CD20/$B56),".")</f>
        <v>3792255.7485479205</v>
      </c>
      <c r="CE56" s="49">
        <f>IFERROR(up_RadSpec!$H$20*(CE20/$B56),".")</f>
        <v>3792255.7485479205</v>
      </c>
      <c r="CF56" s="49">
        <f>IFERROR(up_RadSpec!$H$20*(CF20/$B56),".")</f>
        <v>3792255.7485479205</v>
      </c>
      <c r="CG56" s="49">
        <f>IFERROR(up_RadSpec!$H$20*(CG20/$B56),".")</f>
        <v>3792255.7485479205</v>
      </c>
      <c r="CH56" s="49">
        <f>IFERROR(up_RadSpec!$H$20*(CH20/$B56),".")</f>
        <v>3792255.7485479205</v>
      </c>
      <c r="CI56" s="49">
        <f>IFERROR(up_RadSpec!$H$20*(CI20/$B56),".")</f>
        <v>3792255.7485479205</v>
      </c>
      <c r="CJ56" s="49">
        <f>IFERROR(up_RadSpec!$H$20*(CJ20/$B56),".")</f>
        <v>3792255.7485479205</v>
      </c>
      <c r="CK56" s="49">
        <f>IFERROR(up_RadSpec!$H$20*(CK20/$B56),".")</f>
        <v>3792255.7485479205</v>
      </c>
      <c r="CL56" s="49">
        <f>IFERROR(up_RadSpec!$H$20*(CL20/$B56),".")</f>
        <v>3792255.7485479205</v>
      </c>
      <c r="CM56" s="49">
        <f>IFERROR(up_RadSpec!$H$20*(CM20/$B56),".")</f>
        <v>3792255.7485479205</v>
      </c>
      <c r="CN56" s="49">
        <f>IFERROR(up_RadSpec!$H$20*(CN20/$B56),".")</f>
        <v>3792255.7485479205</v>
      </c>
      <c r="CO56" s="49">
        <f>IFERROR(up_RadSpec!$H$20*(CO20/$B56),".")</f>
        <v>3792255.7485479205</v>
      </c>
      <c r="CP56" s="49">
        <f>IFERROR(up_RadSpec!$H$20*(CP20/$B56),".")</f>
        <v>3792255.7485479205</v>
      </c>
      <c r="CQ56" s="49">
        <f>IFERROR(up_RadSpec!$H$20*(CQ20/$B56),".")</f>
        <v>3792255.7485479205</v>
      </c>
      <c r="CR56" s="49">
        <f>IFERROR(up_RadSpec!$H$20*(CR20/$B56),".")</f>
        <v>3792255.7485479205</v>
      </c>
      <c r="CS56" s="49">
        <f>IFERROR(up_RadSpec!$H$20*(CS20/$B56),".")</f>
        <v>3792255.7485479205</v>
      </c>
      <c r="CT56" s="49">
        <f>IFERROR(up_RadSpec!$H$20*(CT20/$B56),".")</f>
        <v>3792255.7485479205</v>
      </c>
      <c r="CU56" s="49">
        <f>IFERROR(up_RadSpec!$H$20*(CU20/$B56),".")</f>
        <v>3792255.7485479205</v>
      </c>
      <c r="CV56" s="49">
        <f>IFERROR(up_RadSpec!$H$20*(CV20/$B56),".")</f>
        <v>3792255.7485479205</v>
      </c>
      <c r="CW56" s="49">
        <f>IFERROR(up_RadSpec!$H$20*(CW20/$B56),".")</f>
        <v>3792255.7485479205</v>
      </c>
      <c r="CX56" s="49">
        <f>IFERROR(up_RadSpec!$H$20*(CX20/$B56),".")</f>
        <v>3792255.7485479205</v>
      </c>
      <c r="CY56" s="49">
        <f>IFERROR(up_RadSpec!$H$20*(CY20/$B56),".")</f>
        <v>3792255.7485479205</v>
      </c>
      <c r="CZ56" s="49">
        <f>IFERROR(up_RadSpec!$H$20*(CZ20/$B56),".")</f>
        <v>3792255.7485479205</v>
      </c>
      <c r="DA56" s="49">
        <f>IFERROR(up_RadSpec!$H$20*(DA20/$B56),".")</f>
        <v>3792255.7485479205</v>
      </c>
      <c r="DB56" s="49">
        <f>IFERROR(up_RadSpec!$H$20*(DB20/$B56),".")</f>
        <v>3792255.7485479205</v>
      </c>
    </row>
    <row r="57" spans="1:106" x14ac:dyDescent="0.25">
      <c r="A57" s="83" t="s">
        <v>1092</v>
      </c>
      <c r="B57" s="42">
        <v>2.0999995799999999E-4</v>
      </c>
      <c r="C57" s="60">
        <f t="shared" ref="C57" si="108">IFERROR(C29/$B57,0)</f>
        <v>1.569944856090508E-8</v>
      </c>
      <c r="D57" s="60">
        <f t="shared" ref="D57:AB57" si="109">IFERROR(D29/$B57,0)</f>
        <v>6.2797794243620319E-8</v>
      </c>
      <c r="E57" s="60">
        <f t="shared" si="109"/>
        <v>6.2797794243620319E-8</v>
      </c>
      <c r="F57" s="60">
        <f t="shared" si="109"/>
        <v>6.2797794243620319E-8</v>
      </c>
      <c r="G57" s="60">
        <f t="shared" si="109"/>
        <v>6.2797794243620319E-8</v>
      </c>
      <c r="H57" s="60">
        <f t="shared" si="109"/>
        <v>6.2797794243620319E-8</v>
      </c>
      <c r="I57" s="60">
        <f t="shared" si="109"/>
        <v>6.2797794243620319E-8</v>
      </c>
      <c r="J57" s="60">
        <f t="shared" si="109"/>
        <v>6.2797794243620319E-8</v>
      </c>
      <c r="K57" s="60">
        <f t="shared" si="109"/>
        <v>6.2797794243620319E-8</v>
      </c>
      <c r="L57" s="60">
        <f t="shared" si="109"/>
        <v>6.2797794243620319E-8</v>
      </c>
      <c r="M57" s="60">
        <f t="shared" si="109"/>
        <v>6.2797794243620319E-8</v>
      </c>
      <c r="N57" s="60">
        <f t="shared" si="109"/>
        <v>6.2797794243620319E-8</v>
      </c>
      <c r="O57" s="60">
        <f t="shared" si="109"/>
        <v>6.2797794243620319E-8</v>
      </c>
      <c r="P57" s="60">
        <f t="shared" si="109"/>
        <v>6.2797794243620319E-8</v>
      </c>
      <c r="Q57" s="60">
        <f t="shared" si="109"/>
        <v>6.2797794243620319E-8</v>
      </c>
      <c r="R57" s="60">
        <f t="shared" si="109"/>
        <v>6.2797794243620319E-8</v>
      </c>
      <c r="S57" s="60">
        <f t="shared" si="109"/>
        <v>6.2797794243620319E-8</v>
      </c>
      <c r="T57" s="60">
        <f t="shared" si="109"/>
        <v>6.2797794243620319E-8</v>
      </c>
      <c r="U57" s="60">
        <f t="shared" si="109"/>
        <v>6.2797794243620319E-8</v>
      </c>
      <c r="V57" s="60">
        <f t="shared" si="109"/>
        <v>6.2797794243620319E-8</v>
      </c>
      <c r="W57" s="60">
        <f t="shared" si="109"/>
        <v>6.2797794243620319E-8</v>
      </c>
      <c r="X57" s="60">
        <f t="shared" si="109"/>
        <v>6.2797794243620319E-8</v>
      </c>
      <c r="Y57" s="60">
        <f t="shared" si="109"/>
        <v>6.2797794243620319E-8</v>
      </c>
      <c r="Z57" s="60">
        <f t="shared" si="109"/>
        <v>6.2797794243620319E-8</v>
      </c>
      <c r="AA57" s="60">
        <f t="shared" si="109"/>
        <v>6.2797794243620319E-8</v>
      </c>
      <c r="AB57" s="60">
        <f t="shared" si="109"/>
        <v>6.2797794243620319E-8</v>
      </c>
      <c r="AC57" s="49">
        <f t="shared" si="1"/>
        <v>72218288253.181473</v>
      </c>
      <c r="AD57" s="49">
        <f>IFERROR(up_RadSpec!$H$29*($BB$29/$B57),".")</f>
        <v>18054572063.295368</v>
      </c>
      <c r="AE57" s="49">
        <f>IFERROR(up_RadSpec!$H$29*($BB$29/$B57),".")</f>
        <v>18054572063.295368</v>
      </c>
      <c r="AF57" s="49">
        <f>IFERROR(up_RadSpec!$H$29*($BB$29/$B57),".")</f>
        <v>18054572063.295368</v>
      </c>
      <c r="AG57" s="49">
        <f>IFERROR(up_RadSpec!$H$29*($BB$29/$B57),".")</f>
        <v>18054572063.295368</v>
      </c>
      <c r="AH57" s="49">
        <f>IFERROR(up_RadSpec!$H$29*($BB$29/$B57),".")</f>
        <v>18054572063.295368</v>
      </c>
      <c r="AI57" s="49">
        <f>IFERROR(up_RadSpec!$H$29*($BB$29/$B57),".")</f>
        <v>18054572063.295368</v>
      </c>
      <c r="AJ57" s="49">
        <f>IFERROR(up_RadSpec!$H$29*($BB$29/$B57),".")</f>
        <v>18054572063.295368</v>
      </c>
      <c r="AK57" s="49">
        <f>IFERROR(up_RadSpec!$H$29*($BB$29/$B57),".")</f>
        <v>18054572063.295368</v>
      </c>
      <c r="AL57" s="49">
        <f>IFERROR(up_RadSpec!$H$29*($BB$29/$B57),".")</f>
        <v>18054572063.295368</v>
      </c>
      <c r="AM57" s="49">
        <f>IFERROR(up_RadSpec!$H$29*($BB$29/$B57),".")</f>
        <v>18054572063.295368</v>
      </c>
      <c r="AN57" s="49">
        <f>IFERROR(up_RadSpec!$H$29*($BB$29/$B57),".")</f>
        <v>18054572063.295368</v>
      </c>
      <c r="AO57" s="49">
        <f>IFERROR(up_RadSpec!$H$29*($BB$29/$B57),".")</f>
        <v>18054572063.295368</v>
      </c>
      <c r="AP57" s="49">
        <f>IFERROR(up_RadSpec!$H$29*($BB$29/$B57),".")</f>
        <v>18054572063.295368</v>
      </c>
      <c r="AQ57" s="49">
        <f>IFERROR(up_RadSpec!$H$29*($BB$29/$B57),".")</f>
        <v>18054572063.295368</v>
      </c>
      <c r="AR57" s="49">
        <f>IFERROR(up_RadSpec!$H$29*($BB$29/$B57),".")</f>
        <v>18054572063.295368</v>
      </c>
      <c r="AS57" s="49">
        <f>IFERROR(up_RadSpec!$H$29*($BB$29/$B57),".")</f>
        <v>18054572063.295368</v>
      </c>
      <c r="AT57" s="49">
        <f>IFERROR(up_RadSpec!$H$29*($BB$29/$B57),".")</f>
        <v>18054572063.295368</v>
      </c>
      <c r="AU57" s="49">
        <f>IFERROR(up_RadSpec!$H$29*($BB$29/$B57),".")</f>
        <v>18054572063.295368</v>
      </c>
      <c r="AV57" s="49">
        <f>IFERROR(up_RadSpec!$H$29*($BB$29/$B57),".")</f>
        <v>18054572063.295368</v>
      </c>
      <c r="AW57" s="49">
        <f>IFERROR(up_RadSpec!$H$29*($BB$29/$B57),".")</f>
        <v>18054572063.295368</v>
      </c>
      <c r="AX57" s="49">
        <f>IFERROR(up_RadSpec!$H$29*($BB$29/$B57),".")</f>
        <v>18054572063.295368</v>
      </c>
      <c r="AY57" s="49">
        <f>IFERROR(up_RadSpec!$H$29*($BB$29/$B57),".")</f>
        <v>18054572063.295368</v>
      </c>
      <c r="AZ57" s="49">
        <f>IFERROR(up_RadSpec!$H$29*($BB$29/$B57),".")</f>
        <v>18054572063.295368</v>
      </c>
      <c r="BA57" s="49">
        <f>IFERROR(up_RadSpec!$H$29*($BB$29/$B57),".")</f>
        <v>18054572063.295368</v>
      </c>
      <c r="BB57" s="49">
        <f>IFERROR(up_RadSpec!$H$29*($BB$29/$B57),".")</f>
        <v>18054572063.295368</v>
      </c>
      <c r="BC57" s="60">
        <f t="shared" ref="BC57" si="110">IFERROR($B57/BC29,0)</f>
        <v>63696504.760696478</v>
      </c>
      <c r="BD57" s="60">
        <f t="shared" ref="BD57:CB57" si="111">IFERROR($B57/BD29,0)</f>
        <v>15924126.190174121</v>
      </c>
      <c r="BE57" s="60">
        <f t="shared" si="111"/>
        <v>15924126.190174121</v>
      </c>
      <c r="BF57" s="60">
        <f t="shared" si="111"/>
        <v>15924126.190174121</v>
      </c>
      <c r="BG57" s="60">
        <f t="shared" si="111"/>
        <v>15924126.190174121</v>
      </c>
      <c r="BH57" s="60">
        <f t="shared" si="111"/>
        <v>15924126.190174121</v>
      </c>
      <c r="BI57" s="60">
        <f t="shared" si="111"/>
        <v>15924126.190174121</v>
      </c>
      <c r="BJ57" s="60">
        <f t="shared" si="111"/>
        <v>15924126.190174121</v>
      </c>
      <c r="BK57" s="60">
        <f t="shared" si="111"/>
        <v>15924126.190174121</v>
      </c>
      <c r="BL57" s="60">
        <f t="shared" si="111"/>
        <v>15924126.190174121</v>
      </c>
      <c r="BM57" s="60">
        <f t="shared" si="111"/>
        <v>15924126.190174121</v>
      </c>
      <c r="BN57" s="60">
        <f t="shared" si="111"/>
        <v>15924126.190174121</v>
      </c>
      <c r="BO57" s="60">
        <f t="shared" si="111"/>
        <v>15924126.190174121</v>
      </c>
      <c r="BP57" s="60">
        <f t="shared" si="111"/>
        <v>15924126.190174121</v>
      </c>
      <c r="BQ57" s="60">
        <f t="shared" si="111"/>
        <v>15924126.190174121</v>
      </c>
      <c r="BR57" s="60">
        <f t="shared" si="111"/>
        <v>15924126.190174121</v>
      </c>
      <c r="BS57" s="60">
        <f t="shared" si="111"/>
        <v>15924126.190174121</v>
      </c>
      <c r="BT57" s="60">
        <f t="shared" si="111"/>
        <v>15924126.190174121</v>
      </c>
      <c r="BU57" s="60">
        <f t="shared" si="111"/>
        <v>15924126.190174121</v>
      </c>
      <c r="BV57" s="60">
        <f t="shared" si="111"/>
        <v>15924126.190174121</v>
      </c>
      <c r="BW57" s="60">
        <f t="shared" si="111"/>
        <v>15924126.190174121</v>
      </c>
      <c r="BX57" s="60">
        <f t="shared" si="111"/>
        <v>15924126.190174121</v>
      </c>
      <c r="BY57" s="60">
        <f t="shared" si="111"/>
        <v>15924126.190174121</v>
      </c>
      <c r="BZ57" s="60">
        <f t="shared" si="111"/>
        <v>15924126.190174121</v>
      </c>
      <c r="CA57" s="60">
        <f t="shared" si="111"/>
        <v>15924126.190174121</v>
      </c>
      <c r="CB57" s="60">
        <f t="shared" si="111"/>
        <v>15924126.190174121</v>
      </c>
      <c r="CC57" s="49">
        <f t="shared" si="3"/>
        <v>72218288253.181473</v>
      </c>
      <c r="CD57" s="49">
        <f>IFERROR(up_RadSpec!$H$29*(CD29/$B57),".")</f>
        <v>18054572063.295368</v>
      </c>
      <c r="CE57" s="49">
        <f>IFERROR(up_RadSpec!$H$29*(CE29/$B57),".")</f>
        <v>18054572063.295368</v>
      </c>
      <c r="CF57" s="49">
        <f>IFERROR(up_RadSpec!$H$29*(CF29/$B57),".")</f>
        <v>18054572063.295368</v>
      </c>
      <c r="CG57" s="49">
        <f>IFERROR(up_RadSpec!$H$29*(CG29/$B57),".")</f>
        <v>18054572063.295368</v>
      </c>
      <c r="CH57" s="49">
        <f>IFERROR(up_RadSpec!$H$29*(CH29/$B57),".")</f>
        <v>18054572063.295368</v>
      </c>
      <c r="CI57" s="49">
        <f>IFERROR(up_RadSpec!$H$29*(CI29/$B57),".")</f>
        <v>18054572063.295368</v>
      </c>
      <c r="CJ57" s="49">
        <f>IFERROR(up_RadSpec!$H$29*(CJ29/$B57),".")</f>
        <v>18054572063.295368</v>
      </c>
      <c r="CK57" s="49">
        <f>IFERROR(up_RadSpec!$H$29*(CK29/$B57),".")</f>
        <v>18054572063.295368</v>
      </c>
      <c r="CL57" s="49">
        <f>IFERROR(up_RadSpec!$H$29*(CL29/$B57),".")</f>
        <v>18054572063.295368</v>
      </c>
      <c r="CM57" s="49">
        <f>IFERROR(up_RadSpec!$H$29*(CM29/$B57),".")</f>
        <v>18054572063.295368</v>
      </c>
      <c r="CN57" s="49">
        <f>IFERROR(up_RadSpec!$H$29*(CN29/$B57),".")</f>
        <v>18054572063.295368</v>
      </c>
      <c r="CO57" s="49">
        <f>IFERROR(up_RadSpec!$H$29*(CO29/$B57),".")</f>
        <v>18054572063.295368</v>
      </c>
      <c r="CP57" s="49">
        <f>IFERROR(up_RadSpec!$H$29*(CP29/$B57),".")</f>
        <v>18054572063.295368</v>
      </c>
      <c r="CQ57" s="49">
        <f>IFERROR(up_RadSpec!$H$29*(CQ29/$B57),".")</f>
        <v>18054572063.295368</v>
      </c>
      <c r="CR57" s="49">
        <f>IFERROR(up_RadSpec!$H$29*(CR29/$B57),".")</f>
        <v>18054572063.295368</v>
      </c>
      <c r="CS57" s="49">
        <f>IFERROR(up_RadSpec!$H$29*(CS29/$B57),".")</f>
        <v>18054572063.295368</v>
      </c>
      <c r="CT57" s="49">
        <f>IFERROR(up_RadSpec!$H$29*(CT29/$B57),".")</f>
        <v>18054572063.295368</v>
      </c>
      <c r="CU57" s="49">
        <f>IFERROR(up_RadSpec!$H$29*(CU29/$B57),".")</f>
        <v>18054572063.295368</v>
      </c>
      <c r="CV57" s="49">
        <f>IFERROR(up_RadSpec!$H$29*(CV29/$B57),".")</f>
        <v>18054572063.295368</v>
      </c>
      <c r="CW57" s="49">
        <f>IFERROR(up_RadSpec!$H$29*(CW29/$B57),".")</f>
        <v>18054572063.295368</v>
      </c>
      <c r="CX57" s="49">
        <f>IFERROR(up_RadSpec!$H$29*(CX29/$B57),".")</f>
        <v>18054572063.295368</v>
      </c>
      <c r="CY57" s="49">
        <f>IFERROR(up_RadSpec!$H$29*(CY29/$B57),".")</f>
        <v>18054572063.295368</v>
      </c>
      <c r="CZ57" s="49">
        <f>IFERROR(up_RadSpec!$H$29*(CZ29/$B57),".")</f>
        <v>18054572063.295368</v>
      </c>
      <c r="DA57" s="49">
        <f>IFERROR(up_RadSpec!$H$29*(DA29/$B57),".")</f>
        <v>18054572063.295368</v>
      </c>
      <c r="DB57" s="49">
        <f>IFERROR(up_RadSpec!$H$29*(DB29/$B57),".")</f>
        <v>18054572063.295368</v>
      </c>
    </row>
    <row r="58" spans="1:106" x14ac:dyDescent="0.25">
      <c r="A58" s="83" t="s">
        <v>1093</v>
      </c>
      <c r="B58" s="42">
        <v>1</v>
      </c>
      <c r="C58" s="60">
        <f t="shared" ref="C58" si="112">IFERROR(C16/$B58,0)</f>
        <v>3.2968835384132272E-12</v>
      </c>
      <c r="D58" s="60">
        <f t="shared" ref="D58:AB58" si="113">IFERROR(D16/$B58,0)</f>
        <v>1.3187534153652907E-11</v>
      </c>
      <c r="E58" s="60">
        <f t="shared" si="113"/>
        <v>1.3187534153652907E-11</v>
      </c>
      <c r="F58" s="60">
        <f t="shared" si="113"/>
        <v>1.3187534153652907E-11</v>
      </c>
      <c r="G58" s="60">
        <f t="shared" si="113"/>
        <v>1.3187534153652907E-11</v>
      </c>
      <c r="H58" s="60">
        <f t="shared" si="113"/>
        <v>1.3187534153652907E-11</v>
      </c>
      <c r="I58" s="60">
        <f t="shared" si="113"/>
        <v>1.3187534153652907E-11</v>
      </c>
      <c r="J58" s="60">
        <f t="shared" si="113"/>
        <v>1.3187534153652907E-11</v>
      </c>
      <c r="K58" s="60">
        <f t="shared" si="113"/>
        <v>1.3187534153652907E-11</v>
      </c>
      <c r="L58" s="60">
        <f t="shared" si="113"/>
        <v>1.3187534153652907E-11</v>
      </c>
      <c r="M58" s="60">
        <f t="shared" si="113"/>
        <v>1.3187534153652907E-11</v>
      </c>
      <c r="N58" s="60">
        <f t="shared" si="113"/>
        <v>1.3187534153652907E-11</v>
      </c>
      <c r="O58" s="60">
        <f t="shared" si="113"/>
        <v>1.3187534153652907E-11</v>
      </c>
      <c r="P58" s="60">
        <f t="shared" si="113"/>
        <v>1.3187534153652907E-11</v>
      </c>
      <c r="Q58" s="60">
        <f t="shared" si="113"/>
        <v>1.3187534153652907E-11</v>
      </c>
      <c r="R58" s="60">
        <f t="shared" si="113"/>
        <v>1.3187534153652907E-11</v>
      </c>
      <c r="S58" s="60">
        <f t="shared" si="113"/>
        <v>1.3187534153652907E-11</v>
      </c>
      <c r="T58" s="60">
        <f t="shared" si="113"/>
        <v>1.3187534153652907E-11</v>
      </c>
      <c r="U58" s="60">
        <f t="shared" si="113"/>
        <v>1.3187534153652907E-11</v>
      </c>
      <c r="V58" s="60">
        <f t="shared" si="113"/>
        <v>1.3187534153652907E-11</v>
      </c>
      <c r="W58" s="60">
        <f t="shared" si="113"/>
        <v>1.3187534153652907E-11</v>
      </c>
      <c r="X58" s="60">
        <f t="shared" si="113"/>
        <v>1.3187534153652907E-11</v>
      </c>
      <c r="Y58" s="60">
        <f t="shared" si="113"/>
        <v>1.3187534153652907E-11</v>
      </c>
      <c r="Z58" s="60">
        <f t="shared" si="113"/>
        <v>1.3187534153652907E-11</v>
      </c>
      <c r="AA58" s="60">
        <f t="shared" si="113"/>
        <v>1.3187534153652907E-11</v>
      </c>
      <c r="AB58" s="60">
        <f t="shared" si="113"/>
        <v>1.3187534153652907E-11</v>
      </c>
      <c r="AC58" s="49">
        <f t="shared" si="1"/>
        <v>15165837.5</v>
      </c>
      <c r="AD58" s="49">
        <f>IFERROR(up_RadSpec!$H$16*($BB$16/$B58),".")</f>
        <v>3791459.375</v>
      </c>
      <c r="AE58" s="49">
        <f>IFERROR(up_RadSpec!$H$16*($BB$16/$B58),".")</f>
        <v>3791459.375</v>
      </c>
      <c r="AF58" s="49">
        <f>IFERROR(up_RadSpec!$H$16*($BB$16/$B58),".")</f>
        <v>3791459.375</v>
      </c>
      <c r="AG58" s="49">
        <f>IFERROR(up_RadSpec!$H$16*($BB$16/$B58),".")</f>
        <v>3791459.375</v>
      </c>
      <c r="AH58" s="49">
        <f>IFERROR(up_RadSpec!$H$16*($BB$16/$B58),".")</f>
        <v>3791459.375</v>
      </c>
      <c r="AI58" s="49">
        <f>IFERROR(up_RadSpec!$H$16*($BB$16/$B58),".")</f>
        <v>3791459.375</v>
      </c>
      <c r="AJ58" s="49">
        <f>IFERROR(up_RadSpec!$H$16*($BB$16/$B58),".")</f>
        <v>3791459.375</v>
      </c>
      <c r="AK58" s="49">
        <f>IFERROR(up_RadSpec!$H$16*($BB$16/$B58),".")</f>
        <v>3791459.375</v>
      </c>
      <c r="AL58" s="49">
        <f>IFERROR(up_RadSpec!$H$16*($BB$16/$B58),".")</f>
        <v>3791459.375</v>
      </c>
      <c r="AM58" s="49">
        <f>IFERROR(up_RadSpec!$H$16*($BB$16/$B58),".")</f>
        <v>3791459.375</v>
      </c>
      <c r="AN58" s="49">
        <f>IFERROR(up_RadSpec!$H$16*($BB$16/$B58),".")</f>
        <v>3791459.375</v>
      </c>
      <c r="AO58" s="49">
        <f>IFERROR(up_RadSpec!$H$16*($BB$16/$B58),".")</f>
        <v>3791459.375</v>
      </c>
      <c r="AP58" s="49">
        <f>IFERROR(up_RadSpec!$H$16*($BB$16/$B58),".")</f>
        <v>3791459.375</v>
      </c>
      <c r="AQ58" s="49">
        <f>IFERROR(up_RadSpec!$H$16*($BB$16/$B58),".")</f>
        <v>3791459.375</v>
      </c>
      <c r="AR58" s="49">
        <f>IFERROR(up_RadSpec!$H$16*($BB$16/$B58),".")</f>
        <v>3791459.375</v>
      </c>
      <c r="AS58" s="49">
        <f>IFERROR(up_RadSpec!$H$16*($BB$16/$B58),".")</f>
        <v>3791459.375</v>
      </c>
      <c r="AT58" s="49">
        <f>IFERROR(up_RadSpec!$H$16*($BB$16/$B58),".")</f>
        <v>3791459.375</v>
      </c>
      <c r="AU58" s="49">
        <f>IFERROR(up_RadSpec!$H$16*($BB$16/$B58),".")</f>
        <v>3791459.375</v>
      </c>
      <c r="AV58" s="49">
        <f>IFERROR(up_RadSpec!$H$16*($BB$16/$B58),".")</f>
        <v>3791459.375</v>
      </c>
      <c r="AW58" s="49">
        <f>IFERROR(up_RadSpec!$H$16*($BB$16/$B58),".")</f>
        <v>3791459.375</v>
      </c>
      <c r="AX58" s="49">
        <f>IFERROR(up_RadSpec!$H$16*($BB$16/$B58),".")</f>
        <v>3791459.375</v>
      </c>
      <c r="AY58" s="49">
        <f>IFERROR(up_RadSpec!$H$16*($BB$16/$B58),".")</f>
        <v>3791459.375</v>
      </c>
      <c r="AZ58" s="49">
        <f>IFERROR(up_RadSpec!$H$16*($BB$16/$B58),".")</f>
        <v>3791459.375</v>
      </c>
      <c r="BA58" s="49">
        <f>IFERROR(up_RadSpec!$H$16*($BB$16/$B58),".")</f>
        <v>3791459.375</v>
      </c>
      <c r="BB58" s="49">
        <f>IFERROR(up_RadSpec!$H$16*($BB$16/$B58),".")</f>
        <v>3791459.375</v>
      </c>
      <c r="BC58" s="60">
        <f t="shared" ref="BC58" si="114">IFERROR($B58/BC16,0)</f>
        <v>303316749999.99994</v>
      </c>
      <c r="BD58" s="60">
        <f t="shared" ref="BD58:CB58" si="115">IFERROR($B58/BD16,0)</f>
        <v>75829187499.999985</v>
      </c>
      <c r="BE58" s="60">
        <f t="shared" si="115"/>
        <v>75829187499.999985</v>
      </c>
      <c r="BF58" s="60">
        <f t="shared" si="115"/>
        <v>75829187499.999985</v>
      </c>
      <c r="BG58" s="60">
        <f t="shared" si="115"/>
        <v>75829187499.999985</v>
      </c>
      <c r="BH58" s="60">
        <f t="shared" si="115"/>
        <v>75829187499.999985</v>
      </c>
      <c r="BI58" s="60">
        <f t="shared" si="115"/>
        <v>75829187499.999985</v>
      </c>
      <c r="BJ58" s="60">
        <f t="shared" si="115"/>
        <v>75829187499.999985</v>
      </c>
      <c r="BK58" s="60">
        <f t="shared" si="115"/>
        <v>75829187499.999985</v>
      </c>
      <c r="BL58" s="60">
        <f t="shared" si="115"/>
        <v>75829187499.999985</v>
      </c>
      <c r="BM58" s="60">
        <f t="shared" si="115"/>
        <v>75829187499.999985</v>
      </c>
      <c r="BN58" s="60">
        <f t="shared" si="115"/>
        <v>75829187499.999985</v>
      </c>
      <c r="BO58" s="60">
        <f t="shared" si="115"/>
        <v>75829187499.999985</v>
      </c>
      <c r="BP58" s="60">
        <f t="shared" si="115"/>
        <v>75829187499.999985</v>
      </c>
      <c r="BQ58" s="60">
        <f t="shared" si="115"/>
        <v>75829187499.999985</v>
      </c>
      <c r="BR58" s="60">
        <f t="shared" si="115"/>
        <v>75829187499.999985</v>
      </c>
      <c r="BS58" s="60">
        <f t="shared" si="115"/>
        <v>75829187499.999985</v>
      </c>
      <c r="BT58" s="60">
        <f t="shared" si="115"/>
        <v>75829187499.999985</v>
      </c>
      <c r="BU58" s="60">
        <f t="shared" si="115"/>
        <v>75829187499.999985</v>
      </c>
      <c r="BV58" s="60">
        <f t="shared" si="115"/>
        <v>75829187499.999985</v>
      </c>
      <c r="BW58" s="60">
        <f t="shared" si="115"/>
        <v>75829187499.999985</v>
      </c>
      <c r="BX58" s="60">
        <f t="shared" si="115"/>
        <v>75829187499.999985</v>
      </c>
      <c r="BY58" s="60">
        <f t="shared" si="115"/>
        <v>75829187499.999985</v>
      </c>
      <c r="BZ58" s="60">
        <f t="shared" si="115"/>
        <v>75829187499.999985</v>
      </c>
      <c r="CA58" s="60">
        <f t="shared" si="115"/>
        <v>75829187499.999985</v>
      </c>
      <c r="CB58" s="60">
        <f t="shared" si="115"/>
        <v>75829187499.999985</v>
      </c>
      <c r="CC58" s="49">
        <f t="shared" si="3"/>
        <v>15165837.5</v>
      </c>
      <c r="CD58" s="49">
        <f>IFERROR(up_RadSpec!$H$16*(CD16/$B58),".")</f>
        <v>3791459.375</v>
      </c>
      <c r="CE58" s="49">
        <f>IFERROR(up_RadSpec!$H$16*(CE16/$B58),".")</f>
        <v>3791459.375</v>
      </c>
      <c r="CF58" s="49">
        <f>IFERROR(up_RadSpec!$H$16*(CF16/$B58),".")</f>
        <v>3791459.375</v>
      </c>
      <c r="CG58" s="49">
        <f>IFERROR(up_RadSpec!$H$16*(CG16/$B58),".")</f>
        <v>3791459.375</v>
      </c>
      <c r="CH58" s="49">
        <f>IFERROR(up_RadSpec!$H$16*(CH16/$B58),".")</f>
        <v>3791459.375</v>
      </c>
      <c r="CI58" s="49">
        <f>IFERROR(up_RadSpec!$H$16*(CI16/$B58),".")</f>
        <v>3791459.375</v>
      </c>
      <c r="CJ58" s="49">
        <f>IFERROR(up_RadSpec!$H$16*(CJ16/$B58),".")</f>
        <v>3791459.375</v>
      </c>
      <c r="CK58" s="49">
        <f>IFERROR(up_RadSpec!$H$16*(CK16/$B58),".")</f>
        <v>3791459.375</v>
      </c>
      <c r="CL58" s="49">
        <f>IFERROR(up_RadSpec!$H$16*(CL16/$B58),".")</f>
        <v>3791459.375</v>
      </c>
      <c r="CM58" s="49">
        <f>IFERROR(up_RadSpec!$H$16*(CM16/$B58),".")</f>
        <v>3791459.375</v>
      </c>
      <c r="CN58" s="49">
        <f>IFERROR(up_RadSpec!$H$16*(CN16/$B58),".")</f>
        <v>3791459.375</v>
      </c>
      <c r="CO58" s="49">
        <f>IFERROR(up_RadSpec!$H$16*(CO16/$B58),".")</f>
        <v>3791459.375</v>
      </c>
      <c r="CP58" s="49">
        <f>IFERROR(up_RadSpec!$H$16*(CP16/$B58),".")</f>
        <v>3791459.375</v>
      </c>
      <c r="CQ58" s="49">
        <f>IFERROR(up_RadSpec!$H$16*(CQ16/$B58),".")</f>
        <v>3791459.375</v>
      </c>
      <c r="CR58" s="49">
        <f>IFERROR(up_RadSpec!$H$16*(CR16/$B58),".")</f>
        <v>3791459.375</v>
      </c>
      <c r="CS58" s="49">
        <f>IFERROR(up_RadSpec!$H$16*(CS16/$B58),".")</f>
        <v>3791459.375</v>
      </c>
      <c r="CT58" s="49">
        <f>IFERROR(up_RadSpec!$H$16*(CT16/$B58),".")</f>
        <v>3791459.375</v>
      </c>
      <c r="CU58" s="49">
        <f>IFERROR(up_RadSpec!$H$16*(CU16/$B58),".")</f>
        <v>3791459.375</v>
      </c>
      <c r="CV58" s="49">
        <f>IFERROR(up_RadSpec!$H$16*(CV16/$B58),".")</f>
        <v>3791459.375</v>
      </c>
      <c r="CW58" s="49">
        <f>IFERROR(up_RadSpec!$H$16*(CW16/$B58),".")</f>
        <v>3791459.375</v>
      </c>
      <c r="CX58" s="49">
        <f>IFERROR(up_RadSpec!$H$16*(CX16/$B58),".")</f>
        <v>3791459.375</v>
      </c>
      <c r="CY58" s="49">
        <f>IFERROR(up_RadSpec!$H$16*(CY16/$B58),".")</f>
        <v>3791459.375</v>
      </c>
      <c r="CZ58" s="49">
        <f>IFERROR(up_RadSpec!$H$16*(CZ16/$B58),".")</f>
        <v>3791459.375</v>
      </c>
      <c r="DA58" s="49">
        <f>IFERROR(up_RadSpec!$H$16*(DA16/$B58),".")</f>
        <v>3791459.375</v>
      </c>
      <c r="DB58" s="49">
        <f>IFERROR(up_RadSpec!$H$16*(DB16/$B58),".")</f>
        <v>3791459.375</v>
      </c>
    </row>
    <row r="59" spans="1:106" x14ac:dyDescent="0.25">
      <c r="A59" s="83" t="s">
        <v>1094</v>
      </c>
      <c r="B59" s="42">
        <v>1</v>
      </c>
      <c r="C59" s="60">
        <f t="shared" ref="C59" si="116">IFERROR(C7/$B59,0)</f>
        <v>3.2968835384132272E-12</v>
      </c>
      <c r="D59" s="60">
        <f t="shared" ref="D59:AB59" si="117">IFERROR(D7/$B59,0)</f>
        <v>1.3187534153652907E-11</v>
      </c>
      <c r="E59" s="60">
        <f t="shared" si="117"/>
        <v>1.3187534153652907E-11</v>
      </c>
      <c r="F59" s="60">
        <f t="shared" si="117"/>
        <v>1.3187534153652907E-11</v>
      </c>
      <c r="G59" s="60">
        <f t="shared" si="117"/>
        <v>1.3187534153652907E-11</v>
      </c>
      <c r="H59" s="60">
        <f t="shared" si="117"/>
        <v>1.3187534153652907E-11</v>
      </c>
      <c r="I59" s="60">
        <f t="shared" si="117"/>
        <v>1.3187534153652907E-11</v>
      </c>
      <c r="J59" s="60">
        <f t="shared" si="117"/>
        <v>1.3187534153652907E-11</v>
      </c>
      <c r="K59" s="60">
        <f t="shared" si="117"/>
        <v>1.3187534153652907E-11</v>
      </c>
      <c r="L59" s="60">
        <f t="shared" si="117"/>
        <v>1.3187534153652907E-11</v>
      </c>
      <c r="M59" s="60">
        <f t="shared" si="117"/>
        <v>1.3187534153652907E-11</v>
      </c>
      <c r="N59" s="60">
        <f t="shared" si="117"/>
        <v>1.3187534153652907E-11</v>
      </c>
      <c r="O59" s="60">
        <f t="shared" si="117"/>
        <v>1.3187534153652907E-11</v>
      </c>
      <c r="P59" s="60">
        <f t="shared" si="117"/>
        <v>1.3187534153652907E-11</v>
      </c>
      <c r="Q59" s="60">
        <f t="shared" si="117"/>
        <v>1.3187534153652907E-11</v>
      </c>
      <c r="R59" s="60">
        <f t="shared" si="117"/>
        <v>1.3187534153652907E-11</v>
      </c>
      <c r="S59" s="60">
        <f t="shared" si="117"/>
        <v>1.3187534153652907E-11</v>
      </c>
      <c r="T59" s="60">
        <f t="shared" si="117"/>
        <v>1.3187534153652907E-11</v>
      </c>
      <c r="U59" s="60">
        <f t="shared" si="117"/>
        <v>1.3187534153652907E-11</v>
      </c>
      <c r="V59" s="60">
        <f t="shared" si="117"/>
        <v>1.3187534153652907E-11</v>
      </c>
      <c r="W59" s="60">
        <f t="shared" si="117"/>
        <v>1.3187534153652907E-11</v>
      </c>
      <c r="X59" s="60">
        <f t="shared" si="117"/>
        <v>1.3187534153652907E-11</v>
      </c>
      <c r="Y59" s="60">
        <f t="shared" si="117"/>
        <v>1.3187534153652907E-11</v>
      </c>
      <c r="Z59" s="60">
        <f t="shared" si="117"/>
        <v>1.3187534153652907E-11</v>
      </c>
      <c r="AA59" s="60">
        <f t="shared" si="117"/>
        <v>1.3187534153652907E-11</v>
      </c>
      <c r="AB59" s="60">
        <f t="shared" si="117"/>
        <v>1.3187534153652907E-11</v>
      </c>
      <c r="AC59" s="49">
        <f t="shared" si="1"/>
        <v>15165837.5</v>
      </c>
      <c r="AD59" s="49">
        <f>IFERROR(up_RadSpec!$H$7*($BB$7/$B59),".")</f>
        <v>3791459.375</v>
      </c>
      <c r="AE59" s="49">
        <f>IFERROR(up_RadSpec!$H$7*($BB$7/$B59),".")</f>
        <v>3791459.375</v>
      </c>
      <c r="AF59" s="49">
        <f>IFERROR(up_RadSpec!$H$7*($BB$7/$B59),".")</f>
        <v>3791459.375</v>
      </c>
      <c r="AG59" s="49">
        <f>IFERROR(up_RadSpec!$H$7*($BB$7/$B59),".")</f>
        <v>3791459.375</v>
      </c>
      <c r="AH59" s="49">
        <f>IFERROR(up_RadSpec!$H$7*($BB$7/$B59),".")</f>
        <v>3791459.375</v>
      </c>
      <c r="AI59" s="49">
        <f>IFERROR(up_RadSpec!$H$7*($BB$7/$B59),".")</f>
        <v>3791459.375</v>
      </c>
      <c r="AJ59" s="49">
        <f>IFERROR(up_RadSpec!$H$7*($BB$7/$B59),".")</f>
        <v>3791459.375</v>
      </c>
      <c r="AK59" s="49">
        <f>IFERROR(up_RadSpec!$H$7*($BB$7/$B59),".")</f>
        <v>3791459.375</v>
      </c>
      <c r="AL59" s="49">
        <f>IFERROR(up_RadSpec!$H$7*($BB$7/$B59),".")</f>
        <v>3791459.375</v>
      </c>
      <c r="AM59" s="49">
        <f>IFERROR(up_RadSpec!$H$7*($BB$7/$B59),".")</f>
        <v>3791459.375</v>
      </c>
      <c r="AN59" s="49">
        <f>IFERROR(up_RadSpec!$H$7*($BB$7/$B59),".")</f>
        <v>3791459.375</v>
      </c>
      <c r="AO59" s="49">
        <f>IFERROR(up_RadSpec!$H$7*($BB$7/$B59),".")</f>
        <v>3791459.375</v>
      </c>
      <c r="AP59" s="49">
        <f>IFERROR(up_RadSpec!$H$7*($BB$7/$B59),".")</f>
        <v>3791459.375</v>
      </c>
      <c r="AQ59" s="49">
        <f>IFERROR(up_RadSpec!$H$7*($BB$7/$B59),".")</f>
        <v>3791459.375</v>
      </c>
      <c r="AR59" s="49">
        <f>IFERROR(up_RadSpec!$H$7*($BB$7/$B59),".")</f>
        <v>3791459.375</v>
      </c>
      <c r="AS59" s="49">
        <f>IFERROR(up_RadSpec!$H$7*($BB$7/$B59),".")</f>
        <v>3791459.375</v>
      </c>
      <c r="AT59" s="49">
        <f>IFERROR(up_RadSpec!$H$7*($BB$7/$B59),".")</f>
        <v>3791459.375</v>
      </c>
      <c r="AU59" s="49">
        <f>IFERROR(up_RadSpec!$H$7*($BB$7/$B59),".")</f>
        <v>3791459.375</v>
      </c>
      <c r="AV59" s="49">
        <f>IFERROR(up_RadSpec!$H$7*($BB$7/$B59),".")</f>
        <v>3791459.375</v>
      </c>
      <c r="AW59" s="49">
        <f>IFERROR(up_RadSpec!$H$7*($BB$7/$B59),".")</f>
        <v>3791459.375</v>
      </c>
      <c r="AX59" s="49">
        <f>IFERROR(up_RadSpec!$H$7*($BB$7/$B59),".")</f>
        <v>3791459.375</v>
      </c>
      <c r="AY59" s="49">
        <f>IFERROR(up_RadSpec!$H$7*($BB$7/$B59),".")</f>
        <v>3791459.375</v>
      </c>
      <c r="AZ59" s="49">
        <f>IFERROR(up_RadSpec!$H$7*($BB$7/$B59),".")</f>
        <v>3791459.375</v>
      </c>
      <c r="BA59" s="49">
        <f>IFERROR(up_RadSpec!$H$7*($BB$7/$B59),".")</f>
        <v>3791459.375</v>
      </c>
      <c r="BB59" s="49">
        <f>IFERROR(up_RadSpec!$H$7*($BB$7/$B59),".")</f>
        <v>3791459.375</v>
      </c>
      <c r="BC59" s="60">
        <f t="shared" ref="BC59" si="118">IFERROR($B59/BC7,0)</f>
        <v>303316749999.99994</v>
      </c>
      <c r="BD59" s="60">
        <f t="shared" ref="BD59:CB59" si="119">IFERROR($B59/BD7,0)</f>
        <v>75829187499.999985</v>
      </c>
      <c r="BE59" s="60">
        <f t="shared" si="119"/>
        <v>75829187499.999985</v>
      </c>
      <c r="BF59" s="60">
        <f t="shared" si="119"/>
        <v>75829187499.999985</v>
      </c>
      <c r="BG59" s="60">
        <f t="shared" si="119"/>
        <v>75829187499.999985</v>
      </c>
      <c r="BH59" s="60">
        <f t="shared" si="119"/>
        <v>75829187499.999985</v>
      </c>
      <c r="BI59" s="60">
        <f t="shared" si="119"/>
        <v>75829187499.999985</v>
      </c>
      <c r="BJ59" s="60">
        <f t="shared" si="119"/>
        <v>75829187499.999985</v>
      </c>
      <c r="BK59" s="60">
        <f t="shared" si="119"/>
        <v>75829187499.999985</v>
      </c>
      <c r="BL59" s="60">
        <f t="shared" si="119"/>
        <v>75829187499.999985</v>
      </c>
      <c r="BM59" s="60">
        <f t="shared" si="119"/>
        <v>75829187499.999985</v>
      </c>
      <c r="BN59" s="60">
        <f t="shared" si="119"/>
        <v>75829187499.999985</v>
      </c>
      <c r="BO59" s="60">
        <f t="shared" si="119"/>
        <v>75829187499.999985</v>
      </c>
      <c r="BP59" s="60">
        <f t="shared" si="119"/>
        <v>75829187499.999985</v>
      </c>
      <c r="BQ59" s="60">
        <f t="shared" si="119"/>
        <v>75829187499.999985</v>
      </c>
      <c r="BR59" s="60">
        <f t="shared" si="119"/>
        <v>75829187499.999985</v>
      </c>
      <c r="BS59" s="60">
        <f t="shared" si="119"/>
        <v>75829187499.999985</v>
      </c>
      <c r="BT59" s="60">
        <f t="shared" si="119"/>
        <v>75829187499.999985</v>
      </c>
      <c r="BU59" s="60">
        <f t="shared" si="119"/>
        <v>75829187499.999985</v>
      </c>
      <c r="BV59" s="60">
        <f t="shared" si="119"/>
        <v>75829187499.999985</v>
      </c>
      <c r="BW59" s="60">
        <f t="shared" si="119"/>
        <v>75829187499.999985</v>
      </c>
      <c r="BX59" s="60">
        <f t="shared" si="119"/>
        <v>75829187499.999985</v>
      </c>
      <c r="BY59" s="60">
        <f t="shared" si="119"/>
        <v>75829187499.999985</v>
      </c>
      <c r="BZ59" s="60">
        <f t="shared" si="119"/>
        <v>75829187499.999985</v>
      </c>
      <c r="CA59" s="60">
        <f t="shared" si="119"/>
        <v>75829187499.999985</v>
      </c>
      <c r="CB59" s="60">
        <f t="shared" si="119"/>
        <v>75829187499.999985</v>
      </c>
      <c r="CC59" s="49">
        <f t="shared" si="3"/>
        <v>15165837.5</v>
      </c>
      <c r="CD59" s="49">
        <f>IFERROR(up_RadSpec!$H$7*(CD7/$B59),".")</f>
        <v>3791459.375</v>
      </c>
      <c r="CE59" s="49">
        <f>IFERROR(up_RadSpec!$H$7*(CE7/$B59),".")</f>
        <v>3791459.375</v>
      </c>
      <c r="CF59" s="49">
        <f>IFERROR(up_RadSpec!$H$7*(CF7/$B59),".")</f>
        <v>3791459.375</v>
      </c>
      <c r="CG59" s="49">
        <f>IFERROR(up_RadSpec!$H$7*(CG7/$B59),".")</f>
        <v>3791459.375</v>
      </c>
      <c r="CH59" s="49">
        <f>IFERROR(up_RadSpec!$H$7*(CH7/$B59),".")</f>
        <v>3791459.375</v>
      </c>
      <c r="CI59" s="49">
        <f>IFERROR(up_RadSpec!$H$7*(CI7/$B59),".")</f>
        <v>3791459.375</v>
      </c>
      <c r="CJ59" s="49">
        <f>IFERROR(up_RadSpec!$H$7*(CJ7/$B59),".")</f>
        <v>3791459.375</v>
      </c>
      <c r="CK59" s="49">
        <f>IFERROR(up_RadSpec!$H$7*(CK7/$B59),".")</f>
        <v>3791459.375</v>
      </c>
      <c r="CL59" s="49">
        <f>IFERROR(up_RadSpec!$H$7*(CL7/$B59),".")</f>
        <v>3791459.375</v>
      </c>
      <c r="CM59" s="49">
        <f>IFERROR(up_RadSpec!$H$7*(CM7/$B59),".")</f>
        <v>3791459.375</v>
      </c>
      <c r="CN59" s="49">
        <f>IFERROR(up_RadSpec!$H$7*(CN7/$B59),".")</f>
        <v>3791459.375</v>
      </c>
      <c r="CO59" s="49">
        <f>IFERROR(up_RadSpec!$H$7*(CO7/$B59),".")</f>
        <v>3791459.375</v>
      </c>
      <c r="CP59" s="49">
        <f>IFERROR(up_RadSpec!$H$7*(CP7/$B59),".")</f>
        <v>3791459.375</v>
      </c>
      <c r="CQ59" s="49">
        <f>IFERROR(up_RadSpec!$H$7*(CQ7/$B59),".")</f>
        <v>3791459.375</v>
      </c>
      <c r="CR59" s="49">
        <f>IFERROR(up_RadSpec!$H$7*(CR7/$B59),".")</f>
        <v>3791459.375</v>
      </c>
      <c r="CS59" s="49">
        <f>IFERROR(up_RadSpec!$H$7*(CS7/$B59),".")</f>
        <v>3791459.375</v>
      </c>
      <c r="CT59" s="49">
        <f>IFERROR(up_RadSpec!$H$7*(CT7/$B59),".")</f>
        <v>3791459.375</v>
      </c>
      <c r="CU59" s="49">
        <f>IFERROR(up_RadSpec!$H$7*(CU7/$B59),".")</f>
        <v>3791459.375</v>
      </c>
      <c r="CV59" s="49">
        <f>IFERROR(up_RadSpec!$H$7*(CV7/$B59),".")</f>
        <v>3791459.375</v>
      </c>
      <c r="CW59" s="49">
        <f>IFERROR(up_RadSpec!$H$7*(CW7/$B59),".")</f>
        <v>3791459.375</v>
      </c>
      <c r="CX59" s="49">
        <f>IFERROR(up_RadSpec!$H$7*(CX7/$B59),".")</f>
        <v>3791459.375</v>
      </c>
      <c r="CY59" s="49">
        <f>IFERROR(up_RadSpec!$H$7*(CY7/$B59),".")</f>
        <v>3791459.375</v>
      </c>
      <c r="CZ59" s="49">
        <f>IFERROR(up_RadSpec!$H$7*(CZ7/$B59),".")</f>
        <v>3791459.375</v>
      </c>
      <c r="DA59" s="49">
        <f>IFERROR(up_RadSpec!$H$7*(DA7/$B59),".")</f>
        <v>3791459.375</v>
      </c>
      <c r="DB59" s="49">
        <f>IFERROR(up_RadSpec!$H$7*(DB7/$B59),".")</f>
        <v>3791459.375</v>
      </c>
    </row>
    <row r="60" spans="1:106" x14ac:dyDescent="0.25">
      <c r="A60" s="83" t="s">
        <v>1095</v>
      </c>
      <c r="B60" s="86">
        <v>1.9000000000000001E-8</v>
      </c>
      <c r="C60" s="60">
        <f t="shared" ref="C60" si="120">IFERROR(C12/$B60,0)</f>
        <v>1.735201862322751E-4</v>
      </c>
      <c r="D60" s="60">
        <f t="shared" ref="D60:AB60" si="121">IFERROR(D12/$B60,0)</f>
        <v>6.9408074492910031E-4</v>
      </c>
      <c r="E60" s="60">
        <f t="shared" si="121"/>
        <v>6.9408074492910031E-4</v>
      </c>
      <c r="F60" s="60">
        <f t="shared" si="121"/>
        <v>6.9408074492910031E-4</v>
      </c>
      <c r="G60" s="60">
        <f t="shared" si="121"/>
        <v>6.9408074492910031E-4</v>
      </c>
      <c r="H60" s="60">
        <f t="shared" si="121"/>
        <v>6.9408074492910031E-4</v>
      </c>
      <c r="I60" s="60">
        <f t="shared" si="121"/>
        <v>6.9408074492910031E-4</v>
      </c>
      <c r="J60" s="60">
        <f t="shared" si="121"/>
        <v>6.9408074492910031E-4</v>
      </c>
      <c r="K60" s="60">
        <f t="shared" si="121"/>
        <v>6.9408074492910031E-4</v>
      </c>
      <c r="L60" s="60">
        <f t="shared" si="121"/>
        <v>6.9408074492910031E-4</v>
      </c>
      <c r="M60" s="60">
        <f t="shared" si="121"/>
        <v>6.9408074492910031E-4</v>
      </c>
      <c r="N60" s="60">
        <f t="shared" si="121"/>
        <v>6.9408074492910031E-4</v>
      </c>
      <c r="O60" s="60">
        <f t="shared" si="121"/>
        <v>6.9408074492910031E-4</v>
      </c>
      <c r="P60" s="60">
        <f t="shared" si="121"/>
        <v>6.9408074492910031E-4</v>
      </c>
      <c r="Q60" s="60">
        <f t="shared" si="121"/>
        <v>6.9408074492910031E-4</v>
      </c>
      <c r="R60" s="60">
        <f t="shared" si="121"/>
        <v>6.9408074492910031E-4</v>
      </c>
      <c r="S60" s="60">
        <f t="shared" si="121"/>
        <v>6.9408074492910031E-4</v>
      </c>
      <c r="T60" s="60">
        <f t="shared" si="121"/>
        <v>6.9408074492910031E-4</v>
      </c>
      <c r="U60" s="60">
        <f t="shared" si="121"/>
        <v>6.9408074492910031E-4</v>
      </c>
      <c r="V60" s="60">
        <f t="shared" si="121"/>
        <v>6.9408074492910031E-4</v>
      </c>
      <c r="W60" s="60">
        <f t="shared" si="121"/>
        <v>6.9408074492910031E-4</v>
      </c>
      <c r="X60" s="60">
        <f t="shared" si="121"/>
        <v>6.9408074492910031E-4</v>
      </c>
      <c r="Y60" s="60">
        <f t="shared" si="121"/>
        <v>6.9408074492910031E-4</v>
      </c>
      <c r="Z60" s="60">
        <f t="shared" si="121"/>
        <v>6.9408074492910031E-4</v>
      </c>
      <c r="AA60" s="60">
        <f t="shared" si="121"/>
        <v>6.9408074492910031E-4</v>
      </c>
      <c r="AB60" s="60">
        <f t="shared" si="121"/>
        <v>6.9408074492910031E-4</v>
      </c>
      <c r="AC60" s="49">
        <f t="shared" si="1"/>
        <v>798201973684210.5</v>
      </c>
      <c r="AD60" s="49">
        <f>IFERROR(up_RadSpec!$H$12*($BB$12/$B60),".")</f>
        <v>199550493421052.63</v>
      </c>
      <c r="AE60" s="49">
        <f>IFERROR(up_RadSpec!$H$12*($BB$12/$B60),".")</f>
        <v>199550493421052.63</v>
      </c>
      <c r="AF60" s="49">
        <f>IFERROR(up_RadSpec!$H$12*($BB$12/$B60),".")</f>
        <v>199550493421052.63</v>
      </c>
      <c r="AG60" s="49">
        <f>IFERROR(up_RadSpec!$H$12*($BB$12/$B60),".")</f>
        <v>199550493421052.63</v>
      </c>
      <c r="AH60" s="49">
        <f>IFERROR(up_RadSpec!$H$12*($BB$12/$B60),".")</f>
        <v>199550493421052.63</v>
      </c>
      <c r="AI60" s="49">
        <f>IFERROR(up_RadSpec!$H$12*($BB$12/$B60),".")</f>
        <v>199550493421052.63</v>
      </c>
      <c r="AJ60" s="49">
        <f>IFERROR(up_RadSpec!$H$12*($BB$12/$B60),".")</f>
        <v>199550493421052.63</v>
      </c>
      <c r="AK60" s="49">
        <f>IFERROR(up_RadSpec!$H$12*($BB$12/$B60),".")</f>
        <v>199550493421052.63</v>
      </c>
      <c r="AL60" s="49">
        <f>IFERROR(up_RadSpec!$H$12*($BB$12/$B60),".")</f>
        <v>199550493421052.63</v>
      </c>
      <c r="AM60" s="49">
        <f>IFERROR(up_RadSpec!$H$12*($BB$12/$B60),".")</f>
        <v>199550493421052.63</v>
      </c>
      <c r="AN60" s="49">
        <f>IFERROR(up_RadSpec!$H$12*($BB$12/$B60),".")</f>
        <v>199550493421052.63</v>
      </c>
      <c r="AO60" s="49">
        <f>IFERROR(up_RadSpec!$H$12*($BB$12/$B60),".")</f>
        <v>199550493421052.63</v>
      </c>
      <c r="AP60" s="49">
        <f>IFERROR(up_RadSpec!$H$12*($BB$12/$B60),".")</f>
        <v>199550493421052.63</v>
      </c>
      <c r="AQ60" s="49">
        <f>IFERROR(up_RadSpec!$H$12*($BB$12/$B60),".")</f>
        <v>199550493421052.63</v>
      </c>
      <c r="AR60" s="49">
        <f>IFERROR(up_RadSpec!$H$12*($BB$12/$B60),".")</f>
        <v>199550493421052.63</v>
      </c>
      <c r="AS60" s="49">
        <f>IFERROR(up_RadSpec!$H$12*($BB$12/$B60),".")</f>
        <v>199550493421052.63</v>
      </c>
      <c r="AT60" s="49">
        <f>IFERROR(up_RadSpec!$H$12*($BB$12/$B60),".")</f>
        <v>199550493421052.63</v>
      </c>
      <c r="AU60" s="49">
        <f>IFERROR(up_RadSpec!$H$12*($BB$12/$B60),".")</f>
        <v>199550493421052.63</v>
      </c>
      <c r="AV60" s="49">
        <f>IFERROR(up_RadSpec!$H$12*($BB$12/$B60),".")</f>
        <v>199550493421052.63</v>
      </c>
      <c r="AW60" s="49">
        <f>IFERROR(up_RadSpec!$H$12*($BB$12/$B60),".")</f>
        <v>199550493421052.63</v>
      </c>
      <c r="AX60" s="49">
        <f>IFERROR(up_RadSpec!$H$12*($BB$12/$B60),".")</f>
        <v>199550493421052.63</v>
      </c>
      <c r="AY60" s="49">
        <f>IFERROR(up_RadSpec!$H$12*($BB$12/$B60),".")</f>
        <v>199550493421052.63</v>
      </c>
      <c r="AZ60" s="49">
        <f>IFERROR(up_RadSpec!$H$12*($BB$12/$B60),".")</f>
        <v>199550493421052.63</v>
      </c>
      <c r="BA60" s="49">
        <f>IFERROR(up_RadSpec!$H$12*($BB$12/$B60),".")</f>
        <v>199550493421052.63</v>
      </c>
      <c r="BB60" s="49">
        <f>IFERROR(up_RadSpec!$H$12*($BB$12/$B60),".")</f>
        <v>199550493421052.63</v>
      </c>
      <c r="BC60" s="60">
        <f t="shared" ref="BC60" si="122">IFERROR($B60/BC12,0)</f>
        <v>5763.0182499999992</v>
      </c>
      <c r="BD60" s="60">
        <f t="shared" ref="BD60:CB60" si="123">IFERROR($B60/BD12,0)</f>
        <v>1440.7545625</v>
      </c>
      <c r="BE60" s="60">
        <f t="shared" si="123"/>
        <v>1440.7545625</v>
      </c>
      <c r="BF60" s="60">
        <f t="shared" si="123"/>
        <v>1440.7545625</v>
      </c>
      <c r="BG60" s="60">
        <f t="shared" si="123"/>
        <v>1440.7545625</v>
      </c>
      <c r="BH60" s="60">
        <f t="shared" si="123"/>
        <v>1440.7545625</v>
      </c>
      <c r="BI60" s="60">
        <f t="shared" si="123"/>
        <v>1440.7545625</v>
      </c>
      <c r="BJ60" s="60">
        <f t="shared" si="123"/>
        <v>1440.7545625</v>
      </c>
      <c r="BK60" s="60">
        <f t="shared" si="123"/>
        <v>1440.7545625</v>
      </c>
      <c r="BL60" s="60">
        <f t="shared" si="123"/>
        <v>1440.7545625</v>
      </c>
      <c r="BM60" s="60">
        <f t="shared" si="123"/>
        <v>1440.7545625</v>
      </c>
      <c r="BN60" s="60">
        <f t="shared" si="123"/>
        <v>1440.7545625</v>
      </c>
      <c r="BO60" s="60">
        <f t="shared" si="123"/>
        <v>1440.7545625</v>
      </c>
      <c r="BP60" s="60">
        <f t="shared" si="123"/>
        <v>1440.7545625</v>
      </c>
      <c r="BQ60" s="60">
        <f t="shared" si="123"/>
        <v>1440.7545625</v>
      </c>
      <c r="BR60" s="60">
        <f t="shared" si="123"/>
        <v>1440.7545625</v>
      </c>
      <c r="BS60" s="60">
        <f t="shared" si="123"/>
        <v>1440.7545625</v>
      </c>
      <c r="BT60" s="60">
        <f t="shared" si="123"/>
        <v>1440.7545625</v>
      </c>
      <c r="BU60" s="60">
        <f t="shared" si="123"/>
        <v>1440.7545625</v>
      </c>
      <c r="BV60" s="60">
        <f t="shared" si="123"/>
        <v>1440.7545625</v>
      </c>
      <c r="BW60" s="60">
        <f t="shared" si="123"/>
        <v>1440.7545625</v>
      </c>
      <c r="BX60" s="60">
        <f t="shared" si="123"/>
        <v>1440.7545625</v>
      </c>
      <c r="BY60" s="60">
        <f t="shared" si="123"/>
        <v>1440.7545625</v>
      </c>
      <c r="BZ60" s="60">
        <f t="shared" si="123"/>
        <v>1440.7545625</v>
      </c>
      <c r="CA60" s="60">
        <f t="shared" si="123"/>
        <v>1440.7545625</v>
      </c>
      <c r="CB60" s="60">
        <f t="shared" si="123"/>
        <v>1440.7545625</v>
      </c>
      <c r="CC60" s="49">
        <f t="shared" si="3"/>
        <v>798201973684210.5</v>
      </c>
      <c r="CD60" s="49">
        <f>IFERROR(up_RadSpec!$H$12*(CD12/$B60),".")</f>
        <v>199550493421052.63</v>
      </c>
      <c r="CE60" s="49">
        <f>IFERROR(up_RadSpec!$H$12*(CE12/$B60),".")</f>
        <v>199550493421052.63</v>
      </c>
      <c r="CF60" s="49">
        <f>IFERROR(up_RadSpec!$H$12*(CF12/$B60),".")</f>
        <v>199550493421052.63</v>
      </c>
      <c r="CG60" s="49">
        <f>IFERROR(up_RadSpec!$H$12*(CG12/$B60),".")</f>
        <v>199550493421052.63</v>
      </c>
      <c r="CH60" s="49">
        <f>IFERROR(up_RadSpec!$H$12*(CH12/$B60),".")</f>
        <v>199550493421052.63</v>
      </c>
      <c r="CI60" s="49">
        <f>IFERROR(up_RadSpec!$H$12*(CI12/$B60),".")</f>
        <v>199550493421052.63</v>
      </c>
      <c r="CJ60" s="49">
        <f>IFERROR(up_RadSpec!$H$12*(CJ12/$B60),".")</f>
        <v>199550493421052.63</v>
      </c>
      <c r="CK60" s="49">
        <f>IFERROR(up_RadSpec!$H$12*(CK12/$B60),".")</f>
        <v>199550493421052.63</v>
      </c>
      <c r="CL60" s="49">
        <f>IFERROR(up_RadSpec!$H$12*(CL12/$B60),".")</f>
        <v>199550493421052.63</v>
      </c>
      <c r="CM60" s="49">
        <f>IFERROR(up_RadSpec!$H$12*(CM12/$B60),".")</f>
        <v>199550493421052.63</v>
      </c>
      <c r="CN60" s="49">
        <f>IFERROR(up_RadSpec!$H$12*(CN12/$B60),".")</f>
        <v>199550493421052.63</v>
      </c>
      <c r="CO60" s="49">
        <f>IFERROR(up_RadSpec!$H$12*(CO12/$B60),".")</f>
        <v>199550493421052.63</v>
      </c>
      <c r="CP60" s="49">
        <f>IFERROR(up_RadSpec!$H$12*(CP12/$B60),".")</f>
        <v>199550493421052.63</v>
      </c>
      <c r="CQ60" s="49">
        <f>IFERROR(up_RadSpec!$H$12*(CQ12/$B60),".")</f>
        <v>199550493421052.63</v>
      </c>
      <c r="CR60" s="49">
        <f>IFERROR(up_RadSpec!$H$12*(CR12/$B60),".")</f>
        <v>199550493421052.63</v>
      </c>
      <c r="CS60" s="49">
        <f>IFERROR(up_RadSpec!$H$12*(CS12/$B60),".")</f>
        <v>199550493421052.63</v>
      </c>
      <c r="CT60" s="49">
        <f>IFERROR(up_RadSpec!$H$12*(CT12/$B60),".")</f>
        <v>199550493421052.63</v>
      </c>
      <c r="CU60" s="49">
        <f>IFERROR(up_RadSpec!$H$12*(CU12/$B60),".")</f>
        <v>199550493421052.63</v>
      </c>
      <c r="CV60" s="49">
        <f>IFERROR(up_RadSpec!$H$12*(CV12/$B60),".")</f>
        <v>199550493421052.63</v>
      </c>
      <c r="CW60" s="49">
        <f>IFERROR(up_RadSpec!$H$12*(CW12/$B60),".")</f>
        <v>199550493421052.63</v>
      </c>
      <c r="CX60" s="49">
        <f>IFERROR(up_RadSpec!$H$12*(CX12/$B60),".")</f>
        <v>199550493421052.63</v>
      </c>
      <c r="CY60" s="49">
        <f>IFERROR(up_RadSpec!$H$12*(CY12/$B60),".")</f>
        <v>199550493421052.63</v>
      </c>
      <c r="CZ60" s="49">
        <f>IFERROR(up_RadSpec!$H$12*(CZ12/$B60),".")</f>
        <v>199550493421052.63</v>
      </c>
      <c r="DA60" s="49">
        <f>IFERROR(up_RadSpec!$H$12*(DA12/$B60),".")</f>
        <v>199550493421052.63</v>
      </c>
      <c r="DB60" s="49">
        <f>IFERROR(up_RadSpec!$H$12*(DB12/$B60),".")</f>
        <v>199550493421052.63</v>
      </c>
    </row>
    <row r="61" spans="1:106" x14ac:dyDescent="0.25">
      <c r="A61" s="83" t="s">
        <v>1096</v>
      </c>
      <c r="B61" s="42">
        <v>1</v>
      </c>
      <c r="C61" s="60">
        <f t="shared" ref="C61" si="124">IFERROR(C18/$B61,0)</f>
        <v>3.2968835384132272E-12</v>
      </c>
      <c r="D61" s="60">
        <f t="shared" ref="D61:AB61" si="125">IFERROR(D18/$B61,0)</f>
        <v>1.3187534153652907E-11</v>
      </c>
      <c r="E61" s="60">
        <f t="shared" si="125"/>
        <v>1.3187534153652907E-11</v>
      </c>
      <c r="F61" s="60">
        <f t="shared" si="125"/>
        <v>1.3187534153652907E-11</v>
      </c>
      <c r="G61" s="60">
        <f t="shared" si="125"/>
        <v>1.3187534153652907E-11</v>
      </c>
      <c r="H61" s="60">
        <f t="shared" si="125"/>
        <v>1.3187534153652907E-11</v>
      </c>
      <c r="I61" s="60">
        <f t="shared" si="125"/>
        <v>1.3187534153652907E-11</v>
      </c>
      <c r="J61" s="60">
        <f t="shared" si="125"/>
        <v>1.3187534153652907E-11</v>
      </c>
      <c r="K61" s="60">
        <f t="shared" si="125"/>
        <v>1.3187534153652907E-11</v>
      </c>
      <c r="L61" s="60">
        <f t="shared" si="125"/>
        <v>1.3187534153652907E-11</v>
      </c>
      <c r="M61" s="60">
        <f t="shared" si="125"/>
        <v>1.3187534153652907E-11</v>
      </c>
      <c r="N61" s="60">
        <f t="shared" si="125"/>
        <v>1.3187534153652907E-11</v>
      </c>
      <c r="O61" s="60">
        <f t="shared" si="125"/>
        <v>1.3187534153652907E-11</v>
      </c>
      <c r="P61" s="60">
        <f t="shared" si="125"/>
        <v>1.3187534153652907E-11</v>
      </c>
      <c r="Q61" s="60">
        <f t="shared" si="125"/>
        <v>1.3187534153652907E-11</v>
      </c>
      <c r="R61" s="60">
        <f t="shared" si="125"/>
        <v>1.3187534153652907E-11</v>
      </c>
      <c r="S61" s="60">
        <f t="shared" si="125"/>
        <v>1.3187534153652907E-11</v>
      </c>
      <c r="T61" s="60">
        <f t="shared" si="125"/>
        <v>1.3187534153652907E-11</v>
      </c>
      <c r="U61" s="60">
        <f t="shared" si="125"/>
        <v>1.3187534153652907E-11</v>
      </c>
      <c r="V61" s="60">
        <f t="shared" si="125"/>
        <v>1.3187534153652907E-11</v>
      </c>
      <c r="W61" s="60">
        <f t="shared" si="125"/>
        <v>1.3187534153652907E-11</v>
      </c>
      <c r="X61" s="60">
        <f t="shared" si="125"/>
        <v>1.3187534153652907E-11</v>
      </c>
      <c r="Y61" s="60">
        <f t="shared" si="125"/>
        <v>1.3187534153652907E-11</v>
      </c>
      <c r="Z61" s="60">
        <f t="shared" si="125"/>
        <v>1.3187534153652907E-11</v>
      </c>
      <c r="AA61" s="60">
        <f t="shared" si="125"/>
        <v>1.3187534153652907E-11</v>
      </c>
      <c r="AB61" s="60">
        <f t="shared" si="125"/>
        <v>1.3187534153652907E-11</v>
      </c>
      <c r="AC61" s="49">
        <f t="shared" si="1"/>
        <v>15165837.5</v>
      </c>
      <c r="AD61" s="49">
        <f>IFERROR(up_RadSpec!$H$18*($BB$18/$B61),".")</f>
        <v>3791459.375</v>
      </c>
      <c r="AE61" s="49">
        <f>IFERROR(up_RadSpec!$H$18*($BB$18/$B61),".")</f>
        <v>3791459.375</v>
      </c>
      <c r="AF61" s="49">
        <f>IFERROR(up_RadSpec!$H$18*($BB$18/$B61),".")</f>
        <v>3791459.375</v>
      </c>
      <c r="AG61" s="49">
        <f>IFERROR(up_RadSpec!$H$18*($BB$18/$B61),".")</f>
        <v>3791459.375</v>
      </c>
      <c r="AH61" s="49">
        <f>IFERROR(up_RadSpec!$H$18*($BB$18/$B61),".")</f>
        <v>3791459.375</v>
      </c>
      <c r="AI61" s="49">
        <f>IFERROR(up_RadSpec!$H$18*($BB$18/$B61),".")</f>
        <v>3791459.375</v>
      </c>
      <c r="AJ61" s="49">
        <f>IFERROR(up_RadSpec!$H$18*($BB$18/$B61),".")</f>
        <v>3791459.375</v>
      </c>
      <c r="AK61" s="49">
        <f>IFERROR(up_RadSpec!$H$18*($BB$18/$B61),".")</f>
        <v>3791459.375</v>
      </c>
      <c r="AL61" s="49">
        <f>IFERROR(up_RadSpec!$H$18*($BB$18/$B61),".")</f>
        <v>3791459.375</v>
      </c>
      <c r="AM61" s="49">
        <f>IFERROR(up_RadSpec!$H$18*($BB$18/$B61),".")</f>
        <v>3791459.375</v>
      </c>
      <c r="AN61" s="49">
        <f>IFERROR(up_RadSpec!$H$18*($BB$18/$B61),".")</f>
        <v>3791459.375</v>
      </c>
      <c r="AO61" s="49">
        <f>IFERROR(up_RadSpec!$H$18*($BB$18/$B61),".")</f>
        <v>3791459.375</v>
      </c>
      <c r="AP61" s="49">
        <f>IFERROR(up_RadSpec!$H$18*($BB$18/$B61),".")</f>
        <v>3791459.375</v>
      </c>
      <c r="AQ61" s="49">
        <f>IFERROR(up_RadSpec!$H$18*($BB$18/$B61),".")</f>
        <v>3791459.375</v>
      </c>
      <c r="AR61" s="49">
        <f>IFERROR(up_RadSpec!$H$18*($BB$18/$B61),".")</f>
        <v>3791459.375</v>
      </c>
      <c r="AS61" s="49">
        <f>IFERROR(up_RadSpec!$H$18*($BB$18/$B61),".")</f>
        <v>3791459.375</v>
      </c>
      <c r="AT61" s="49">
        <f>IFERROR(up_RadSpec!$H$18*($BB$18/$B61),".")</f>
        <v>3791459.375</v>
      </c>
      <c r="AU61" s="49">
        <f>IFERROR(up_RadSpec!$H$18*($BB$18/$B61),".")</f>
        <v>3791459.375</v>
      </c>
      <c r="AV61" s="49">
        <f>IFERROR(up_RadSpec!$H$18*($BB$18/$B61),".")</f>
        <v>3791459.375</v>
      </c>
      <c r="AW61" s="49">
        <f>IFERROR(up_RadSpec!$H$18*($BB$18/$B61),".")</f>
        <v>3791459.375</v>
      </c>
      <c r="AX61" s="49">
        <f>IFERROR(up_RadSpec!$H$18*($BB$18/$B61),".")</f>
        <v>3791459.375</v>
      </c>
      <c r="AY61" s="49">
        <f>IFERROR(up_RadSpec!$H$18*($BB$18/$B61),".")</f>
        <v>3791459.375</v>
      </c>
      <c r="AZ61" s="49">
        <f>IFERROR(up_RadSpec!$H$18*($BB$18/$B61),".")</f>
        <v>3791459.375</v>
      </c>
      <c r="BA61" s="49">
        <f>IFERROR(up_RadSpec!$H$18*($BB$18/$B61),".")</f>
        <v>3791459.375</v>
      </c>
      <c r="BB61" s="49">
        <f>IFERROR(up_RadSpec!$H$18*($BB$18/$B61),".")</f>
        <v>3791459.375</v>
      </c>
      <c r="BC61" s="60">
        <f t="shared" ref="BC61" si="126">IFERROR($B61/BC18,0)</f>
        <v>303316749999.99994</v>
      </c>
      <c r="BD61" s="60">
        <f t="shared" ref="BD61:CB61" si="127">IFERROR($B61/BD18,0)</f>
        <v>75829187499.999985</v>
      </c>
      <c r="BE61" s="60">
        <f t="shared" si="127"/>
        <v>75829187499.999985</v>
      </c>
      <c r="BF61" s="60">
        <f t="shared" si="127"/>
        <v>75829187499.999985</v>
      </c>
      <c r="BG61" s="60">
        <f t="shared" si="127"/>
        <v>75829187499.999985</v>
      </c>
      <c r="BH61" s="60">
        <f t="shared" si="127"/>
        <v>75829187499.999985</v>
      </c>
      <c r="BI61" s="60">
        <f t="shared" si="127"/>
        <v>75829187499.999985</v>
      </c>
      <c r="BJ61" s="60">
        <f t="shared" si="127"/>
        <v>75829187499.999985</v>
      </c>
      <c r="BK61" s="60">
        <f t="shared" si="127"/>
        <v>75829187499.999985</v>
      </c>
      <c r="BL61" s="60">
        <f t="shared" si="127"/>
        <v>75829187499.999985</v>
      </c>
      <c r="BM61" s="60">
        <f t="shared" si="127"/>
        <v>75829187499.999985</v>
      </c>
      <c r="BN61" s="60">
        <f t="shared" si="127"/>
        <v>75829187499.999985</v>
      </c>
      <c r="BO61" s="60">
        <f t="shared" si="127"/>
        <v>75829187499.999985</v>
      </c>
      <c r="BP61" s="60">
        <f t="shared" si="127"/>
        <v>75829187499.999985</v>
      </c>
      <c r="BQ61" s="60">
        <f t="shared" si="127"/>
        <v>75829187499.999985</v>
      </c>
      <c r="BR61" s="60">
        <f t="shared" si="127"/>
        <v>75829187499.999985</v>
      </c>
      <c r="BS61" s="60">
        <f t="shared" si="127"/>
        <v>75829187499.999985</v>
      </c>
      <c r="BT61" s="60">
        <f t="shared" si="127"/>
        <v>75829187499.999985</v>
      </c>
      <c r="BU61" s="60">
        <f t="shared" si="127"/>
        <v>75829187499.999985</v>
      </c>
      <c r="BV61" s="60">
        <f t="shared" si="127"/>
        <v>75829187499.999985</v>
      </c>
      <c r="BW61" s="60">
        <f t="shared" si="127"/>
        <v>75829187499.999985</v>
      </c>
      <c r="BX61" s="60">
        <f t="shared" si="127"/>
        <v>75829187499.999985</v>
      </c>
      <c r="BY61" s="60">
        <f t="shared" si="127"/>
        <v>75829187499.999985</v>
      </c>
      <c r="BZ61" s="60">
        <f t="shared" si="127"/>
        <v>75829187499.999985</v>
      </c>
      <c r="CA61" s="60">
        <f t="shared" si="127"/>
        <v>75829187499.999985</v>
      </c>
      <c r="CB61" s="60">
        <f t="shared" si="127"/>
        <v>75829187499.999985</v>
      </c>
      <c r="CC61" s="49">
        <f t="shared" si="3"/>
        <v>15165837.5</v>
      </c>
      <c r="CD61" s="49">
        <f>IFERROR(up_RadSpec!$H$18*(CD18/$B61),".")</f>
        <v>3791459.375</v>
      </c>
      <c r="CE61" s="49">
        <f>IFERROR(up_RadSpec!$H$18*(CE18/$B61),".")</f>
        <v>3791459.375</v>
      </c>
      <c r="CF61" s="49">
        <f>IFERROR(up_RadSpec!$H$18*(CF18/$B61),".")</f>
        <v>3791459.375</v>
      </c>
      <c r="CG61" s="49">
        <f>IFERROR(up_RadSpec!$H$18*(CG18/$B61),".")</f>
        <v>3791459.375</v>
      </c>
      <c r="CH61" s="49">
        <f>IFERROR(up_RadSpec!$H$18*(CH18/$B61),".")</f>
        <v>3791459.375</v>
      </c>
      <c r="CI61" s="49">
        <f>IFERROR(up_RadSpec!$H$18*(CI18/$B61),".")</f>
        <v>3791459.375</v>
      </c>
      <c r="CJ61" s="49">
        <f>IFERROR(up_RadSpec!$H$18*(CJ18/$B61),".")</f>
        <v>3791459.375</v>
      </c>
      <c r="CK61" s="49">
        <f>IFERROR(up_RadSpec!$H$18*(CK18/$B61),".")</f>
        <v>3791459.375</v>
      </c>
      <c r="CL61" s="49">
        <f>IFERROR(up_RadSpec!$H$18*(CL18/$B61),".")</f>
        <v>3791459.375</v>
      </c>
      <c r="CM61" s="49">
        <f>IFERROR(up_RadSpec!$H$18*(CM18/$B61),".")</f>
        <v>3791459.375</v>
      </c>
      <c r="CN61" s="49">
        <f>IFERROR(up_RadSpec!$H$18*(CN18/$B61),".")</f>
        <v>3791459.375</v>
      </c>
      <c r="CO61" s="49">
        <f>IFERROR(up_RadSpec!$H$18*(CO18/$B61),".")</f>
        <v>3791459.375</v>
      </c>
      <c r="CP61" s="49">
        <f>IFERROR(up_RadSpec!$H$18*(CP18/$B61),".")</f>
        <v>3791459.375</v>
      </c>
      <c r="CQ61" s="49">
        <f>IFERROR(up_RadSpec!$H$18*(CQ18/$B61),".")</f>
        <v>3791459.375</v>
      </c>
      <c r="CR61" s="49">
        <f>IFERROR(up_RadSpec!$H$18*(CR18/$B61),".")</f>
        <v>3791459.375</v>
      </c>
      <c r="CS61" s="49">
        <f>IFERROR(up_RadSpec!$H$18*(CS18/$B61),".")</f>
        <v>3791459.375</v>
      </c>
      <c r="CT61" s="49">
        <f>IFERROR(up_RadSpec!$H$18*(CT18/$B61),".")</f>
        <v>3791459.375</v>
      </c>
      <c r="CU61" s="49">
        <f>IFERROR(up_RadSpec!$H$18*(CU18/$B61),".")</f>
        <v>3791459.375</v>
      </c>
      <c r="CV61" s="49">
        <f>IFERROR(up_RadSpec!$H$18*(CV18/$B61),".")</f>
        <v>3791459.375</v>
      </c>
      <c r="CW61" s="49">
        <f>IFERROR(up_RadSpec!$H$18*(CW18/$B61),".")</f>
        <v>3791459.375</v>
      </c>
      <c r="CX61" s="49">
        <f>IFERROR(up_RadSpec!$H$18*(CX18/$B61),".")</f>
        <v>3791459.375</v>
      </c>
      <c r="CY61" s="49">
        <f>IFERROR(up_RadSpec!$H$18*(CY18/$B61),".")</f>
        <v>3791459.375</v>
      </c>
      <c r="CZ61" s="49">
        <f>IFERROR(up_RadSpec!$H$18*(CZ18/$B61),".")</f>
        <v>3791459.375</v>
      </c>
      <c r="DA61" s="49">
        <f>IFERROR(up_RadSpec!$H$18*(DA18/$B61),".")</f>
        <v>3791459.375</v>
      </c>
      <c r="DB61" s="49">
        <f>IFERROR(up_RadSpec!$H$18*(DB18/$B61),".")</f>
        <v>3791459.375</v>
      </c>
    </row>
    <row r="62" spans="1:106" x14ac:dyDescent="0.25">
      <c r="A62" s="83" t="s">
        <v>1097</v>
      </c>
      <c r="B62" s="42">
        <v>1.339E-6</v>
      </c>
      <c r="C62" s="60">
        <f t="shared" ref="C62" si="128">IFERROR(C27/$B62,0)</f>
        <v>2.4621983109882206E-6</v>
      </c>
      <c r="D62" s="60">
        <f t="shared" ref="D62:AB62" si="129">IFERROR(D27/$B62,0)</f>
        <v>9.8487932439528805E-6</v>
      </c>
      <c r="E62" s="60">
        <f t="shared" si="129"/>
        <v>9.8487932439528805E-6</v>
      </c>
      <c r="F62" s="60">
        <f t="shared" si="129"/>
        <v>9.8487932439528805E-6</v>
      </c>
      <c r="G62" s="60">
        <f t="shared" si="129"/>
        <v>9.8487932439528805E-6</v>
      </c>
      <c r="H62" s="60">
        <f t="shared" si="129"/>
        <v>9.8487932439528805E-6</v>
      </c>
      <c r="I62" s="60">
        <f t="shared" si="129"/>
        <v>9.8487932439528805E-6</v>
      </c>
      <c r="J62" s="60">
        <f t="shared" si="129"/>
        <v>9.8487932439528805E-6</v>
      </c>
      <c r="K62" s="60">
        <f t="shared" si="129"/>
        <v>9.8487932439528805E-6</v>
      </c>
      <c r="L62" s="60">
        <f t="shared" si="129"/>
        <v>9.8487932439528805E-6</v>
      </c>
      <c r="M62" s="60">
        <f t="shared" si="129"/>
        <v>9.8487932439528805E-6</v>
      </c>
      <c r="N62" s="60">
        <f t="shared" si="129"/>
        <v>9.8487932439528805E-6</v>
      </c>
      <c r="O62" s="60">
        <f t="shared" si="129"/>
        <v>9.8487932439528805E-6</v>
      </c>
      <c r="P62" s="60">
        <f t="shared" si="129"/>
        <v>9.8487932439528805E-6</v>
      </c>
      <c r="Q62" s="60">
        <f t="shared" si="129"/>
        <v>9.8487932439528805E-6</v>
      </c>
      <c r="R62" s="60">
        <f t="shared" si="129"/>
        <v>9.8487932439528805E-6</v>
      </c>
      <c r="S62" s="60">
        <f t="shared" si="129"/>
        <v>9.8487932439528805E-6</v>
      </c>
      <c r="T62" s="60">
        <f t="shared" si="129"/>
        <v>9.8487932439528805E-6</v>
      </c>
      <c r="U62" s="60">
        <f t="shared" si="129"/>
        <v>9.8487932439528805E-6</v>
      </c>
      <c r="V62" s="60">
        <f t="shared" si="129"/>
        <v>9.8487932439528805E-6</v>
      </c>
      <c r="W62" s="60">
        <f t="shared" si="129"/>
        <v>9.8487932439528805E-6</v>
      </c>
      <c r="X62" s="60">
        <f t="shared" si="129"/>
        <v>9.8487932439528805E-6</v>
      </c>
      <c r="Y62" s="60">
        <f t="shared" si="129"/>
        <v>9.8487932439528805E-6</v>
      </c>
      <c r="Z62" s="60">
        <f t="shared" si="129"/>
        <v>9.8487932439528805E-6</v>
      </c>
      <c r="AA62" s="60">
        <f t="shared" si="129"/>
        <v>9.8487932439528805E-6</v>
      </c>
      <c r="AB62" s="60">
        <f t="shared" si="129"/>
        <v>9.8487932439528805E-6</v>
      </c>
      <c r="AC62" s="49">
        <f t="shared" si="1"/>
        <v>11326241598207.617</v>
      </c>
      <c r="AD62" s="49">
        <f>IFERROR(up_RadSpec!$H$27*($BB$27/$B62),".")</f>
        <v>2831560399551.9043</v>
      </c>
      <c r="AE62" s="49">
        <f>IFERROR(up_RadSpec!$H$27*($BB$27/$B62),".")</f>
        <v>2831560399551.9043</v>
      </c>
      <c r="AF62" s="49">
        <f>IFERROR(up_RadSpec!$H$27*($BB$27/$B62),".")</f>
        <v>2831560399551.9043</v>
      </c>
      <c r="AG62" s="49">
        <f>IFERROR(up_RadSpec!$H$27*($BB$27/$B62),".")</f>
        <v>2831560399551.9043</v>
      </c>
      <c r="AH62" s="49">
        <f>IFERROR(up_RadSpec!$H$27*($BB$27/$B62),".")</f>
        <v>2831560399551.9043</v>
      </c>
      <c r="AI62" s="49">
        <f>IFERROR(up_RadSpec!$H$27*($BB$27/$B62),".")</f>
        <v>2831560399551.9043</v>
      </c>
      <c r="AJ62" s="49">
        <f>IFERROR(up_RadSpec!$H$27*($BB$27/$B62),".")</f>
        <v>2831560399551.9043</v>
      </c>
      <c r="AK62" s="49">
        <f>IFERROR(up_RadSpec!$H$27*($BB$27/$B62),".")</f>
        <v>2831560399551.9043</v>
      </c>
      <c r="AL62" s="49">
        <f>IFERROR(up_RadSpec!$H$27*($BB$27/$B62),".")</f>
        <v>2831560399551.9043</v>
      </c>
      <c r="AM62" s="49">
        <f>IFERROR(up_RadSpec!$H$27*($BB$27/$B62),".")</f>
        <v>2831560399551.9043</v>
      </c>
      <c r="AN62" s="49">
        <f>IFERROR(up_RadSpec!$H$27*($BB$27/$B62),".")</f>
        <v>2831560399551.9043</v>
      </c>
      <c r="AO62" s="49">
        <f>IFERROR(up_RadSpec!$H$27*($BB$27/$B62),".")</f>
        <v>2831560399551.9043</v>
      </c>
      <c r="AP62" s="49">
        <f>IFERROR(up_RadSpec!$H$27*($BB$27/$B62),".")</f>
        <v>2831560399551.9043</v>
      </c>
      <c r="AQ62" s="49">
        <f>IFERROR(up_RadSpec!$H$27*($BB$27/$B62),".")</f>
        <v>2831560399551.9043</v>
      </c>
      <c r="AR62" s="49">
        <f>IFERROR(up_RadSpec!$H$27*($BB$27/$B62),".")</f>
        <v>2831560399551.9043</v>
      </c>
      <c r="AS62" s="49">
        <f>IFERROR(up_RadSpec!$H$27*($BB$27/$B62),".")</f>
        <v>2831560399551.9043</v>
      </c>
      <c r="AT62" s="49">
        <f>IFERROR(up_RadSpec!$H$27*($BB$27/$B62),".")</f>
        <v>2831560399551.9043</v>
      </c>
      <c r="AU62" s="49">
        <f>IFERROR(up_RadSpec!$H$27*($BB$27/$B62),".")</f>
        <v>2831560399551.9043</v>
      </c>
      <c r="AV62" s="49">
        <f>IFERROR(up_RadSpec!$H$27*($BB$27/$B62),".")</f>
        <v>2831560399551.9043</v>
      </c>
      <c r="AW62" s="49">
        <f>IFERROR(up_RadSpec!$H$27*($BB$27/$B62),".")</f>
        <v>2831560399551.9043</v>
      </c>
      <c r="AX62" s="49">
        <f>IFERROR(up_RadSpec!$H$27*($BB$27/$B62),".")</f>
        <v>2831560399551.9043</v>
      </c>
      <c r="AY62" s="49">
        <f>IFERROR(up_RadSpec!$H$27*($BB$27/$B62),".")</f>
        <v>2831560399551.9043</v>
      </c>
      <c r="AZ62" s="49">
        <f>IFERROR(up_RadSpec!$H$27*($BB$27/$B62),".")</f>
        <v>2831560399551.9043</v>
      </c>
      <c r="BA62" s="49">
        <f>IFERROR(up_RadSpec!$H$27*($BB$27/$B62),".")</f>
        <v>2831560399551.9043</v>
      </c>
      <c r="BB62" s="49">
        <f>IFERROR(up_RadSpec!$H$27*($BB$27/$B62),".")</f>
        <v>2831560399551.9043</v>
      </c>
      <c r="BC62" s="60">
        <f t="shared" ref="BC62" si="130">IFERROR($B62/BC27,0)</f>
        <v>406141.12824999989</v>
      </c>
      <c r="BD62" s="60">
        <f t="shared" ref="BD62:CB62" si="131">IFERROR($B62/BD27,0)</f>
        <v>101535.28206249999</v>
      </c>
      <c r="BE62" s="60">
        <f t="shared" si="131"/>
        <v>101535.28206249999</v>
      </c>
      <c r="BF62" s="60">
        <f t="shared" si="131"/>
        <v>101535.28206249999</v>
      </c>
      <c r="BG62" s="60">
        <f t="shared" si="131"/>
        <v>101535.28206249999</v>
      </c>
      <c r="BH62" s="60">
        <f t="shared" si="131"/>
        <v>101535.28206249999</v>
      </c>
      <c r="BI62" s="60">
        <f t="shared" si="131"/>
        <v>101535.28206249999</v>
      </c>
      <c r="BJ62" s="60">
        <f t="shared" si="131"/>
        <v>101535.28206249999</v>
      </c>
      <c r="BK62" s="60">
        <f t="shared" si="131"/>
        <v>101535.28206249999</v>
      </c>
      <c r="BL62" s="60">
        <f t="shared" si="131"/>
        <v>101535.28206249999</v>
      </c>
      <c r="BM62" s="60">
        <f t="shared" si="131"/>
        <v>101535.28206249999</v>
      </c>
      <c r="BN62" s="60">
        <f t="shared" si="131"/>
        <v>101535.28206249999</v>
      </c>
      <c r="BO62" s="60">
        <f t="shared" si="131"/>
        <v>101535.28206249999</v>
      </c>
      <c r="BP62" s="60">
        <f t="shared" si="131"/>
        <v>101535.28206249999</v>
      </c>
      <c r="BQ62" s="60">
        <f t="shared" si="131"/>
        <v>101535.28206249999</v>
      </c>
      <c r="BR62" s="60">
        <f t="shared" si="131"/>
        <v>101535.28206249999</v>
      </c>
      <c r="BS62" s="60">
        <f t="shared" si="131"/>
        <v>101535.28206249999</v>
      </c>
      <c r="BT62" s="60">
        <f t="shared" si="131"/>
        <v>101535.28206249999</v>
      </c>
      <c r="BU62" s="60">
        <f t="shared" si="131"/>
        <v>101535.28206249999</v>
      </c>
      <c r="BV62" s="60">
        <f t="shared" si="131"/>
        <v>101535.28206249999</v>
      </c>
      <c r="BW62" s="60">
        <f t="shared" si="131"/>
        <v>101535.28206249999</v>
      </c>
      <c r="BX62" s="60">
        <f t="shared" si="131"/>
        <v>101535.28206249999</v>
      </c>
      <c r="BY62" s="60">
        <f t="shared" si="131"/>
        <v>101535.28206249999</v>
      </c>
      <c r="BZ62" s="60">
        <f t="shared" si="131"/>
        <v>101535.28206249999</v>
      </c>
      <c r="CA62" s="60">
        <f t="shared" si="131"/>
        <v>101535.28206249999</v>
      </c>
      <c r="CB62" s="60">
        <f t="shared" si="131"/>
        <v>101535.28206249999</v>
      </c>
      <c r="CC62" s="49">
        <f t="shared" si="3"/>
        <v>11326241598207.617</v>
      </c>
      <c r="CD62" s="49">
        <f>IFERROR(up_RadSpec!$H$27*(CD27/$B62),".")</f>
        <v>2831560399551.9043</v>
      </c>
      <c r="CE62" s="49">
        <f>IFERROR(up_RadSpec!$H$27*(CE27/$B62),".")</f>
        <v>2831560399551.9043</v>
      </c>
      <c r="CF62" s="49">
        <f>IFERROR(up_RadSpec!$H$27*(CF27/$B62),".")</f>
        <v>2831560399551.9043</v>
      </c>
      <c r="CG62" s="49">
        <f>IFERROR(up_RadSpec!$H$27*(CG27/$B62),".")</f>
        <v>2831560399551.9043</v>
      </c>
      <c r="CH62" s="49">
        <f>IFERROR(up_RadSpec!$H$27*(CH27/$B62),".")</f>
        <v>2831560399551.9043</v>
      </c>
      <c r="CI62" s="49">
        <f>IFERROR(up_RadSpec!$H$27*(CI27/$B62),".")</f>
        <v>2831560399551.9043</v>
      </c>
      <c r="CJ62" s="49">
        <f>IFERROR(up_RadSpec!$H$27*(CJ27/$B62),".")</f>
        <v>2831560399551.9043</v>
      </c>
      <c r="CK62" s="49">
        <f>IFERROR(up_RadSpec!$H$27*(CK27/$B62),".")</f>
        <v>2831560399551.9043</v>
      </c>
      <c r="CL62" s="49">
        <f>IFERROR(up_RadSpec!$H$27*(CL27/$B62),".")</f>
        <v>2831560399551.9043</v>
      </c>
      <c r="CM62" s="49">
        <f>IFERROR(up_RadSpec!$H$27*(CM27/$B62),".")</f>
        <v>2831560399551.9043</v>
      </c>
      <c r="CN62" s="49">
        <f>IFERROR(up_RadSpec!$H$27*(CN27/$B62),".")</f>
        <v>2831560399551.9043</v>
      </c>
      <c r="CO62" s="49">
        <f>IFERROR(up_RadSpec!$H$27*(CO27/$B62),".")</f>
        <v>2831560399551.9043</v>
      </c>
      <c r="CP62" s="49">
        <f>IFERROR(up_RadSpec!$H$27*(CP27/$B62),".")</f>
        <v>2831560399551.9043</v>
      </c>
      <c r="CQ62" s="49">
        <f>IFERROR(up_RadSpec!$H$27*(CQ27/$B62),".")</f>
        <v>2831560399551.9043</v>
      </c>
      <c r="CR62" s="49">
        <f>IFERROR(up_RadSpec!$H$27*(CR27/$B62),".")</f>
        <v>2831560399551.9043</v>
      </c>
      <c r="CS62" s="49">
        <f>IFERROR(up_RadSpec!$H$27*(CS27/$B62),".")</f>
        <v>2831560399551.9043</v>
      </c>
      <c r="CT62" s="49">
        <f>IFERROR(up_RadSpec!$H$27*(CT27/$B62),".")</f>
        <v>2831560399551.9043</v>
      </c>
      <c r="CU62" s="49">
        <f>IFERROR(up_RadSpec!$H$27*(CU27/$B62),".")</f>
        <v>2831560399551.9043</v>
      </c>
      <c r="CV62" s="49">
        <f>IFERROR(up_RadSpec!$H$27*(CV27/$B62),".")</f>
        <v>2831560399551.9043</v>
      </c>
      <c r="CW62" s="49">
        <f>IFERROR(up_RadSpec!$H$27*(CW27/$B62),".")</f>
        <v>2831560399551.9043</v>
      </c>
      <c r="CX62" s="49">
        <f>IFERROR(up_RadSpec!$H$27*(CX27/$B62),".")</f>
        <v>2831560399551.9043</v>
      </c>
      <c r="CY62" s="49">
        <f>IFERROR(up_RadSpec!$H$27*(CY27/$B62),".")</f>
        <v>2831560399551.9043</v>
      </c>
      <c r="CZ62" s="49">
        <f>IFERROR(up_RadSpec!$H$27*(CZ27/$B62),".")</f>
        <v>2831560399551.9043</v>
      </c>
      <c r="DA62" s="49">
        <f>IFERROR(up_RadSpec!$H$27*(DA27/$B62),".")</f>
        <v>2831560399551.9043</v>
      </c>
      <c r="DB62" s="49">
        <f>IFERROR(up_RadSpec!$H$27*(DB27/$B62),".")</f>
        <v>2831560399551.9043</v>
      </c>
    </row>
    <row r="63" spans="1:106" x14ac:dyDescent="0.25">
      <c r="A63" s="82" t="s">
        <v>35</v>
      </c>
      <c r="B63" s="82" t="s">
        <v>1071</v>
      </c>
      <c r="C63" s="58">
        <f t="shared" ref="C63" si="132">1/SUM(1/C66,1/C68,1/C72,1/C73,1/C75)</f>
        <v>6.5940311018317704E-13</v>
      </c>
      <c r="D63" s="58">
        <f t="shared" ref="D63:AB63" si="133">1/SUM(1/D66,1/D68,1/D72,1/D73,1/D75)</f>
        <v>2.6376124407327082E-12</v>
      </c>
      <c r="E63" s="58">
        <f t="shared" si="133"/>
        <v>2.6376124407327082E-12</v>
      </c>
      <c r="F63" s="58">
        <f t="shared" si="133"/>
        <v>2.6376124407327082E-12</v>
      </c>
      <c r="G63" s="58">
        <f t="shared" si="133"/>
        <v>2.6376124407327082E-12</v>
      </c>
      <c r="H63" s="58">
        <f t="shared" si="133"/>
        <v>2.6376124407327082E-12</v>
      </c>
      <c r="I63" s="58">
        <f t="shared" si="133"/>
        <v>2.6376124407327082E-12</v>
      </c>
      <c r="J63" s="58">
        <f t="shared" si="133"/>
        <v>2.6376124407327082E-12</v>
      </c>
      <c r="K63" s="58">
        <f t="shared" si="133"/>
        <v>2.6376124407327082E-12</v>
      </c>
      <c r="L63" s="58">
        <f t="shared" si="133"/>
        <v>2.6376124407327082E-12</v>
      </c>
      <c r="M63" s="58">
        <f t="shared" si="133"/>
        <v>2.6376124407327082E-12</v>
      </c>
      <c r="N63" s="58">
        <f t="shared" si="133"/>
        <v>2.6376124407327082E-12</v>
      </c>
      <c r="O63" s="58">
        <f t="shared" si="133"/>
        <v>2.6376124407327082E-12</v>
      </c>
      <c r="P63" s="58">
        <f t="shared" si="133"/>
        <v>2.6376124407327082E-12</v>
      </c>
      <c r="Q63" s="58">
        <f t="shared" si="133"/>
        <v>2.6376124407327082E-12</v>
      </c>
      <c r="R63" s="58">
        <f t="shared" si="133"/>
        <v>2.6376124407327082E-12</v>
      </c>
      <c r="S63" s="58">
        <f t="shared" si="133"/>
        <v>2.6376124407327082E-12</v>
      </c>
      <c r="T63" s="58">
        <f t="shared" si="133"/>
        <v>2.6376124407327082E-12</v>
      </c>
      <c r="U63" s="58">
        <f t="shared" si="133"/>
        <v>2.6376124407327082E-12</v>
      </c>
      <c r="V63" s="58">
        <f t="shared" si="133"/>
        <v>2.6376124407327082E-12</v>
      </c>
      <c r="W63" s="58">
        <f t="shared" si="133"/>
        <v>2.6376124407327082E-12</v>
      </c>
      <c r="X63" s="58">
        <f t="shared" si="133"/>
        <v>2.6376124407327082E-12</v>
      </c>
      <c r="Y63" s="58">
        <f t="shared" si="133"/>
        <v>2.6376124407327082E-12</v>
      </c>
      <c r="Z63" s="58">
        <f t="shared" si="133"/>
        <v>2.6376124407327082E-12</v>
      </c>
      <c r="AA63" s="58">
        <f t="shared" si="133"/>
        <v>2.6376124407327082E-12</v>
      </c>
      <c r="AB63" s="58">
        <f t="shared" si="133"/>
        <v>2.6376124407327082E-12</v>
      </c>
      <c r="AC63" s="47">
        <f t="shared" si="1"/>
        <v>4</v>
      </c>
      <c r="AD63" s="47">
        <f t="shared" ref="AD63:BA63" si="134">IFERROR(IF(SUM(AD64:AD76)&gt;0.01,1-EXP(-(SUM(AD64:AD76))),SUM(AD64:AD76)),".")</f>
        <v>1</v>
      </c>
      <c r="AE63" s="47">
        <f t="shared" si="134"/>
        <v>1</v>
      </c>
      <c r="AF63" s="47">
        <f t="shared" si="134"/>
        <v>1</v>
      </c>
      <c r="AG63" s="47">
        <f t="shared" si="134"/>
        <v>1</v>
      </c>
      <c r="AH63" s="47">
        <f t="shared" si="134"/>
        <v>1</v>
      </c>
      <c r="AI63" s="47">
        <f t="shared" si="134"/>
        <v>1</v>
      </c>
      <c r="AJ63" s="47">
        <f t="shared" si="134"/>
        <v>1</v>
      </c>
      <c r="AK63" s="47">
        <f t="shared" si="134"/>
        <v>1</v>
      </c>
      <c r="AL63" s="47">
        <f t="shared" si="134"/>
        <v>1</v>
      </c>
      <c r="AM63" s="47">
        <f t="shared" si="134"/>
        <v>1</v>
      </c>
      <c r="AN63" s="47">
        <f t="shared" si="134"/>
        <v>1</v>
      </c>
      <c r="AO63" s="47">
        <f t="shared" si="134"/>
        <v>1</v>
      </c>
      <c r="AP63" s="47">
        <f t="shared" si="134"/>
        <v>1</v>
      </c>
      <c r="AQ63" s="47">
        <f t="shared" si="134"/>
        <v>1</v>
      </c>
      <c r="AR63" s="47">
        <f t="shared" si="134"/>
        <v>1</v>
      </c>
      <c r="AS63" s="47">
        <f t="shared" si="134"/>
        <v>1</v>
      </c>
      <c r="AT63" s="47">
        <f t="shared" si="134"/>
        <v>1</v>
      </c>
      <c r="AU63" s="47">
        <f t="shared" si="134"/>
        <v>1</v>
      </c>
      <c r="AV63" s="47">
        <f t="shared" si="134"/>
        <v>1</v>
      </c>
      <c r="AW63" s="47">
        <f t="shared" si="134"/>
        <v>1</v>
      </c>
      <c r="AX63" s="47">
        <f t="shared" si="134"/>
        <v>1</v>
      </c>
      <c r="AY63" s="47">
        <f t="shared" si="134"/>
        <v>1</v>
      </c>
      <c r="AZ63" s="47">
        <f t="shared" si="134"/>
        <v>1</v>
      </c>
      <c r="BA63" s="47">
        <f t="shared" si="134"/>
        <v>1</v>
      </c>
      <c r="BB63" s="47">
        <f>IFERROR(IF(SUM(BB64:BB76)&gt;0.01,1-EXP(-(SUM(BB64:BB76))),SUM(BB64:BB76)),".")</f>
        <v>1</v>
      </c>
      <c r="BC63" s="58">
        <f t="shared" ref="BC63" si="135">IFERROR(1/SUM(BC64:BC76),0)</f>
        <v>4.1211037234591761E-13</v>
      </c>
      <c r="BD63" s="58">
        <f t="shared" ref="BD63:CB63" si="136">IFERROR(1/SUM(BD64:BD76),0)</f>
        <v>1.6484414893836704E-12</v>
      </c>
      <c r="BE63" s="58">
        <f t="shared" si="136"/>
        <v>1.6484414893836704E-12</v>
      </c>
      <c r="BF63" s="58">
        <f t="shared" si="136"/>
        <v>1.6484414893836704E-12</v>
      </c>
      <c r="BG63" s="58">
        <f t="shared" si="136"/>
        <v>1.6484414893836704E-12</v>
      </c>
      <c r="BH63" s="58">
        <f t="shared" si="136"/>
        <v>1.6484414893836704E-12</v>
      </c>
      <c r="BI63" s="58">
        <f t="shared" si="136"/>
        <v>1.6484414893836704E-12</v>
      </c>
      <c r="BJ63" s="58">
        <f t="shared" si="136"/>
        <v>1.6484414893836704E-12</v>
      </c>
      <c r="BK63" s="58">
        <f t="shared" si="136"/>
        <v>1.6484414893836704E-12</v>
      </c>
      <c r="BL63" s="58">
        <f t="shared" si="136"/>
        <v>1.6484414893836704E-12</v>
      </c>
      <c r="BM63" s="58">
        <f t="shared" si="136"/>
        <v>1.6484414893836704E-12</v>
      </c>
      <c r="BN63" s="58">
        <f t="shared" si="136"/>
        <v>1.6484414893836704E-12</v>
      </c>
      <c r="BO63" s="58">
        <f t="shared" si="136"/>
        <v>1.6484414893836704E-12</v>
      </c>
      <c r="BP63" s="58">
        <f t="shared" si="136"/>
        <v>1.6484414893836704E-12</v>
      </c>
      <c r="BQ63" s="58">
        <f t="shared" si="136"/>
        <v>1.6484414893836704E-12</v>
      </c>
      <c r="BR63" s="58">
        <f t="shared" si="136"/>
        <v>1.6484414893836704E-12</v>
      </c>
      <c r="BS63" s="58">
        <f t="shared" si="136"/>
        <v>1.6484414893836704E-12</v>
      </c>
      <c r="BT63" s="58">
        <f t="shared" si="136"/>
        <v>1.6484414893836704E-12</v>
      </c>
      <c r="BU63" s="58">
        <f t="shared" si="136"/>
        <v>1.6484414893836704E-12</v>
      </c>
      <c r="BV63" s="58">
        <f t="shared" si="136"/>
        <v>1.6484414893836704E-12</v>
      </c>
      <c r="BW63" s="58">
        <f t="shared" si="136"/>
        <v>1.6484414893836704E-12</v>
      </c>
      <c r="BX63" s="58">
        <f t="shared" si="136"/>
        <v>1.6484414893836704E-12</v>
      </c>
      <c r="BY63" s="58">
        <f t="shared" si="136"/>
        <v>1.6484414893836704E-12</v>
      </c>
      <c r="BZ63" s="58">
        <f t="shared" si="136"/>
        <v>1.6484414893836704E-12</v>
      </c>
      <c r="CA63" s="58">
        <f t="shared" si="136"/>
        <v>1.6484414893836704E-12</v>
      </c>
      <c r="CB63" s="58">
        <f t="shared" si="136"/>
        <v>1.6484414893836704E-12</v>
      </c>
      <c r="CC63" s="47">
        <f t="shared" si="3"/>
        <v>4</v>
      </c>
      <c r="CD63" s="47">
        <f t="shared" ref="CD63:CZ63" si="137">IFERROR(IF(SUM(CD64:CD76)&gt;0.01,1-EXP(-(SUM(CD64:CD76))),SUM(CD64:CD76)),".")</f>
        <v>1</v>
      </c>
      <c r="CE63" s="47">
        <f t="shared" si="137"/>
        <v>1</v>
      </c>
      <c r="CF63" s="47">
        <f t="shared" si="137"/>
        <v>1</v>
      </c>
      <c r="CG63" s="47">
        <f t="shared" si="137"/>
        <v>1</v>
      </c>
      <c r="CH63" s="47">
        <f t="shared" si="137"/>
        <v>1</v>
      </c>
      <c r="CI63" s="47">
        <f t="shared" si="137"/>
        <v>1</v>
      </c>
      <c r="CJ63" s="47">
        <f t="shared" si="137"/>
        <v>1</v>
      </c>
      <c r="CK63" s="47">
        <f t="shared" si="137"/>
        <v>1</v>
      </c>
      <c r="CL63" s="47">
        <f t="shared" si="137"/>
        <v>1</v>
      </c>
      <c r="CM63" s="47">
        <f t="shared" si="137"/>
        <v>1</v>
      </c>
      <c r="CN63" s="47">
        <f t="shared" si="137"/>
        <v>1</v>
      </c>
      <c r="CO63" s="47">
        <f t="shared" si="137"/>
        <v>1</v>
      </c>
      <c r="CP63" s="47">
        <f t="shared" si="137"/>
        <v>1</v>
      </c>
      <c r="CQ63" s="47">
        <f t="shared" si="137"/>
        <v>1</v>
      </c>
      <c r="CR63" s="47">
        <f t="shared" si="137"/>
        <v>1</v>
      </c>
      <c r="CS63" s="47">
        <f t="shared" si="137"/>
        <v>1</v>
      </c>
      <c r="CT63" s="47">
        <f t="shared" si="137"/>
        <v>1</v>
      </c>
      <c r="CU63" s="47">
        <f t="shared" si="137"/>
        <v>1</v>
      </c>
      <c r="CV63" s="47">
        <f t="shared" si="137"/>
        <v>1</v>
      </c>
      <c r="CW63" s="47">
        <f t="shared" si="137"/>
        <v>1</v>
      </c>
      <c r="CX63" s="47">
        <f t="shared" si="137"/>
        <v>1</v>
      </c>
      <c r="CY63" s="47">
        <f t="shared" si="137"/>
        <v>1</v>
      </c>
      <c r="CZ63" s="47">
        <f t="shared" si="137"/>
        <v>1</v>
      </c>
      <c r="DA63" s="47">
        <f>IFERROR(IF(SUM(DA64:DA76)&gt;0.01,1-EXP(-(SUM(DA64:DA76))),SUM(DA64:DA76)),".")</f>
        <v>1</v>
      </c>
      <c r="DB63" s="47">
        <f>IFERROR(IF(SUM(DB64:DB76)&gt;0.01,1-EXP(-(SUM(DB64:DB76))),SUM(DB64:DB76)),".")</f>
        <v>1</v>
      </c>
    </row>
    <row r="64" spans="1:106" x14ac:dyDescent="0.25">
      <c r="A64" s="83" t="s">
        <v>1087</v>
      </c>
      <c r="B64" s="42">
        <v>1</v>
      </c>
      <c r="C64" s="60">
        <f t="shared" ref="C64" si="138">IFERROR(C25/$B50,0)</f>
        <v>3.2968835384132272E-12</v>
      </c>
      <c r="D64" s="60">
        <f t="shared" ref="D64:AB64" si="139">IFERROR(D25/$B50,0)</f>
        <v>1.3187534153652907E-11</v>
      </c>
      <c r="E64" s="60">
        <f t="shared" si="139"/>
        <v>1.3187534153652907E-11</v>
      </c>
      <c r="F64" s="60">
        <f t="shared" si="139"/>
        <v>1.3187534153652907E-11</v>
      </c>
      <c r="G64" s="60">
        <f t="shared" si="139"/>
        <v>1.3187534153652907E-11</v>
      </c>
      <c r="H64" s="60">
        <f t="shared" si="139"/>
        <v>1.3187534153652907E-11</v>
      </c>
      <c r="I64" s="60">
        <f t="shared" si="139"/>
        <v>1.3187534153652907E-11</v>
      </c>
      <c r="J64" s="60">
        <f t="shared" si="139"/>
        <v>1.3187534153652907E-11</v>
      </c>
      <c r="K64" s="60">
        <f t="shared" si="139"/>
        <v>1.3187534153652907E-11</v>
      </c>
      <c r="L64" s="60">
        <f t="shared" si="139"/>
        <v>1.3187534153652907E-11</v>
      </c>
      <c r="M64" s="60">
        <f t="shared" si="139"/>
        <v>1.3187534153652907E-11</v>
      </c>
      <c r="N64" s="60">
        <f t="shared" si="139"/>
        <v>1.3187534153652907E-11</v>
      </c>
      <c r="O64" s="60">
        <f t="shared" si="139"/>
        <v>1.3187534153652907E-11</v>
      </c>
      <c r="P64" s="60">
        <f t="shared" si="139"/>
        <v>1.3187534153652907E-11</v>
      </c>
      <c r="Q64" s="60">
        <f t="shared" si="139"/>
        <v>1.3187534153652907E-11</v>
      </c>
      <c r="R64" s="60">
        <f t="shared" si="139"/>
        <v>1.3187534153652907E-11</v>
      </c>
      <c r="S64" s="60">
        <f t="shared" si="139"/>
        <v>1.3187534153652907E-11</v>
      </c>
      <c r="T64" s="60">
        <f t="shared" si="139"/>
        <v>1.3187534153652907E-11</v>
      </c>
      <c r="U64" s="60">
        <f t="shared" si="139"/>
        <v>1.3187534153652907E-11</v>
      </c>
      <c r="V64" s="60">
        <f t="shared" si="139"/>
        <v>1.3187534153652907E-11</v>
      </c>
      <c r="W64" s="60">
        <f t="shared" si="139"/>
        <v>1.3187534153652907E-11</v>
      </c>
      <c r="X64" s="60">
        <f t="shared" si="139"/>
        <v>1.3187534153652907E-11</v>
      </c>
      <c r="Y64" s="60">
        <f t="shared" si="139"/>
        <v>1.3187534153652907E-11</v>
      </c>
      <c r="Z64" s="60">
        <f t="shared" si="139"/>
        <v>1.3187534153652907E-11</v>
      </c>
      <c r="AA64" s="60">
        <f t="shared" si="139"/>
        <v>1.3187534153652907E-11</v>
      </c>
      <c r="AB64" s="60">
        <f t="shared" si="139"/>
        <v>1.3187534153652907E-11</v>
      </c>
      <c r="AC64" s="49">
        <f t="shared" si="1"/>
        <v>15165837.5</v>
      </c>
      <c r="AD64" s="49">
        <f>IFERROR(up_RadSpec!$H$25*($BB$25/$B64),".")</f>
        <v>3791459.375</v>
      </c>
      <c r="AE64" s="49">
        <f>IFERROR(up_RadSpec!$H$25*($BB$25/$B64),".")</f>
        <v>3791459.375</v>
      </c>
      <c r="AF64" s="49">
        <f>IFERROR(up_RadSpec!$H$25*($BB$25/$B64),".")</f>
        <v>3791459.375</v>
      </c>
      <c r="AG64" s="49">
        <f>IFERROR(up_RadSpec!$H$25*($BB$25/$B64),".")</f>
        <v>3791459.375</v>
      </c>
      <c r="AH64" s="49">
        <f>IFERROR(up_RadSpec!$H$25*($BB$25/$B64),".")</f>
        <v>3791459.375</v>
      </c>
      <c r="AI64" s="49">
        <f>IFERROR(up_RadSpec!$H$25*($BB$25/$B64),".")</f>
        <v>3791459.375</v>
      </c>
      <c r="AJ64" s="49">
        <f>IFERROR(up_RadSpec!$H$25*($BB$25/$B64),".")</f>
        <v>3791459.375</v>
      </c>
      <c r="AK64" s="49">
        <f>IFERROR(up_RadSpec!$H$25*($BB$25/$B64),".")</f>
        <v>3791459.375</v>
      </c>
      <c r="AL64" s="49">
        <f>IFERROR(up_RadSpec!$H$25*($BB$25/$B64),".")</f>
        <v>3791459.375</v>
      </c>
      <c r="AM64" s="49">
        <f>IFERROR(up_RadSpec!$H$25*($BB$25/$B64),".")</f>
        <v>3791459.375</v>
      </c>
      <c r="AN64" s="49">
        <f>IFERROR(up_RadSpec!$H$25*($BB$25/$B64),".")</f>
        <v>3791459.375</v>
      </c>
      <c r="AO64" s="49">
        <f>IFERROR(up_RadSpec!$H$25*($BB$25/$B64),".")</f>
        <v>3791459.375</v>
      </c>
      <c r="AP64" s="49">
        <f>IFERROR(up_RadSpec!$H$25*($BB$25/$B64),".")</f>
        <v>3791459.375</v>
      </c>
      <c r="AQ64" s="49">
        <f>IFERROR(up_RadSpec!$H$25*($BB$25/$B64),".")</f>
        <v>3791459.375</v>
      </c>
      <c r="AR64" s="49">
        <f>IFERROR(up_RadSpec!$H$25*($BB$25/$B64),".")</f>
        <v>3791459.375</v>
      </c>
      <c r="AS64" s="49">
        <f>IFERROR(up_RadSpec!$H$25*($BB$25/$B64),".")</f>
        <v>3791459.375</v>
      </c>
      <c r="AT64" s="49">
        <f>IFERROR(up_RadSpec!$H$25*($BB$25/$B64),".")</f>
        <v>3791459.375</v>
      </c>
      <c r="AU64" s="49">
        <f>IFERROR(up_RadSpec!$H$25*($BB$25/$B64),".")</f>
        <v>3791459.375</v>
      </c>
      <c r="AV64" s="49">
        <f>IFERROR(up_RadSpec!$H$25*($BB$25/$B64),".")</f>
        <v>3791459.375</v>
      </c>
      <c r="AW64" s="49">
        <f>IFERROR(up_RadSpec!$H$25*($BB$25/$B64),".")</f>
        <v>3791459.375</v>
      </c>
      <c r="AX64" s="49">
        <f>IFERROR(up_RadSpec!$H$25*($BB$25/$B64),".")</f>
        <v>3791459.375</v>
      </c>
      <c r="AY64" s="49">
        <f>IFERROR(up_RadSpec!$H$25*($BB$25/$B64),".")</f>
        <v>3791459.375</v>
      </c>
      <c r="AZ64" s="49">
        <f>IFERROR(up_RadSpec!$H$25*($BB$25/$B64),".")</f>
        <v>3791459.375</v>
      </c>
      <c r="BA64" s="49">
        <f>IFERROR(up_RadSpec!$H$25*($BB$25/$B64),".")</f>
        <v>3791459.375</v>
      </c>
      <c r="BB64" s="49">
        <f>IFERROR(up_RadSpec!$H$25*($BB$25/$B64),".")</f>
        <v>3791459.375</v>
      </c>
      <c r="BC64" s="60">
        <f t="shared" ref="BC64" si="140">IFERROR($B64/BC25,0)</f>
        <v>303316749999.99994</v>
      </c>
      <c r="BD64" s="60">
        <f t="shared" ref="BD64:CB64" si="141">IFERROR($B64/BD25,0)</f>
        <v>75829187499.999985</v>
      </c>
      <c r="BE64" s="60">
        <f t="shared" si="141"/>
        <v>75829187499.999985</v>
      </c>
      <c r="BF64" s="60">
        <f t="shared" si="141"/>
        <v>75829187499.999985</v>
      </c>
      <c r="BG64" s="60">
        <f t="shared" si="141"/>
        <v>75829187499.999985</v>
      </c>
      <c r="BH64" s="60">
        <f t="shared" si="141"/>
        <v>75829187499.999985</v>
      </c>
      <c r="BI64" s="60">
        <f t="shared" si="141"/>
        <v>75829187499.999985</v>
      </c>
      <c r="BJ64" s="60">
        <f t="shared" si="141"/>
        <v>75829187499.999985</v>
      </c>
      <c r="BK64" s="60">
        <f t="shared" si="141"/>
        <v>75829187499.999985</v>
      </c>
      <c r="BL64" s="60">
        <f t="shared" si="141"/>
        <v>75829187499.999985</v>
      </c>
      <c r="BM64" s="60">
        <f t="shared" si="141"/>
        <v>75829187499.999985</v>
      </c>
      <c r="BN64" s="60">
        <f t="shared" si="141"/>
        <v>75829187499.999985</v>
      </c>
      <c r="BO64" s="60">
        <f t="shared" si="141"/>
        <v>75829187499.999985</v>
      </c>
      <c r="BP64" s="60">
        <f t="shared" si="141"/>
        <v>75829187499.999985</v>
      </c>
      <c r="BQ64" s="60">
        <f t="shared" si="141"/>
        <v>75829187499.999985</v>
      </c>
      <c r="BR64" s="60">
        <f t="shared" si="141"/>
        <v>75829187499.999985</v>
      </c>
      <c r="BS64" s="60">
        <f t="shared" si="141"/>
        <v>75829187499.999985</v>
      </c>
      <c r="BT64" s="60">
        <f t="shared" si="141"/>
        <v>75829187499.999985</v>
      </c>
      <c r="BU64" s="60">
        <f t="shared" si="141"/>
        <v>75829187499.999985</v>
      </c>
      <c r="BV64" s="60">
        <f t="shared" si="141"/>
        <v>75829187499.999985</v>
      </c>
      <c r="BW64" s="60">
        <f t="shared" si="141"/>
        <v>75829187499.999985</v>
      </c>
      <c r="BX64" s="60">
        <f t="shared" si="141"/>
        <v>75829187499.999985</v>
      </c>
      <c r="BY64" s="60">
        <f t="shared" si="141"/>
        <v>75829187499.999985</v>
      </c>
      <c r="BZ64" s="60">
        <f t="shared" si="141"/>
        <v>75829187499.999985</v>
      </c>
      <c r="CA64" s="60">
        <f t="shared" si="141"/>
        <v>75829187499.999985</v>
      </c>
      <c r="CB64" s="60">
        <f t="shared" si="141"/>
        <v>75829187499.999985</v>
      </c>
      <c r="CC64" s="49">
        <f t="shared" si="3"/>
        <v>15165837.5</v>
      </c>
      <c r="CD64" s="49">
        <f>IFERROR(up_RadSpec!$H$25*(CD25/$B64),".")</f>
        <v>3791459.375</v>
      </c>
      <c r="CE64" s="49">
        <f>IFERROR(up_RadSpec!$H$25*(CE25/$B64),".")</f>
        <v>3791459.375</v>
      </c>
      <c r="CF64" s="49">
        <f>IFERROR(up_RadSpec!$H$25*(CF25/$B64),".")</f>
        <v>3791459.375</v>
      </c>
      <c r="CG64" s="49">
        <f>IFERROR(up_RadSpec!$H$25*(CG25/$B64),".")</f>
        <v>3791459.375</v>
      </c>
      <c r="CH64" s="49">
        <f>IFERROR(up_RadSpec!$H$25*(CH25/$B64),".")</f>
        <v>3791459.375</v>
      </c>
      <c r="CI64" s="49">
        <f>IFERROR(up_RadSpec!$H$25*(CI25/$B64),".")</f>
        <v>3791459.375</v>
      </c>
      <c r="CJ64" s="49">
        <f>IFERROR(up_RadSpec!$H$25*(CJ25/$B64),".")</f>
        <v>3791459.375</v>
      </c>
      <c r="CK64" s="49">
        <f>IFERROR(up_RadSpec!$H$25*(CK25/$B64),".")</f>
        <v>3791459.375</v>
      </c>
      <c r="CL64" s="49">
        <f>IFERROR(up_RadSpec!$H$25*(CL25/$B64),".")</f>
        <v>3791459.375</v>
      </c>
      <c r="CM64" s="49">
        <f>IFERROR(up_RadSpec!$H$25*(CM25/$B64),".")</f>
        <v>3791459.375</v>
      </c>
      <c r="CN64" s="49">
        <f>IFERROR(up_RadSpec!$H$25*(CN25/$B64),".")</f>
        <v>3791459.375</v>
      </c>
      <c r="CO64" s="49">
        <f>IFERROR(up_RadSpec!$H$25*(CO25/$B64),".")</f>
        <v>3791459.375</v>
      </c>
      <c r="CP64" s="49">
        <f>IFERROR(up_RadSpec!$H$25*(CP25/$B64),".")</f>
        <v>3791459.375</v>
      </c>
      <c r="CQ64" s="49">
        <f>IFERROR(up_RadSpec!$H$25*(CQ25/$B64),".")</f>
        <v>3791459.375</v>
      </c>
      <c r="CR64" s="49">
        <f>IFERROR(up_RadSpec!$H$25*(CR25/$B64),".")</f>
        <v>3791459.375</v>
      </c>
      <c r="CS64" s="49">
        <f>IFERROR(up_RadSpec!$H$25*(CS25/$B64),".")</f>
        <v>3791459.375</v>
      </c>
      <c r="CT64" s="49">
        <f>IFERROR(up_RadSpec!$H$25*(CT25/$B64),".")</f>
        <v>3791459.375</v>
      </c>
      <c r="CU64" s="49">
        <f>IFERROR(up_RadSpec!$H$25*(CU25/$B64),".")</f>
        <v>3791459.375</v>
      </c>
      <c r="CV64" s="49">
        <f>IFERROR(up_RadSpec!$H$25*(CV25/$B64),".")</f>
        <v>3791459.375</v>
      </c>
      <c r="CW64" s="49">
        <f>IFERROR(up_RadSpec!$H$25*(CW25/$B64),".")</f>
        <v>3791459.375</v>
      </c>
      <c r="CX64" s="49">
        <f>IFERROR(up_RadSpec!$H$25*(CX25/$B64),".")</f>
        <v>3791459.375</v>
      </c>
      <c r="CY64" s="49">
        <f>IFERROR(up_RadSpec!$H$25*(CY25/$B64),".")</f>
        <v>3791459.375</v>
      </c>
      <c r="CZ64" s="49">
        <f>IFERROR(up_RadSpec!$H$25*(CZ25/$B64),".")</f>
        <v>3791459.375</v>
      </c>
      <c r="DA64" s="49">
        <f>IFERROR(up_RadSpec!$H$25*(DA25/$B64),".")</f>
        <v>3791459.375</v>
      </c>
      <c r="DB64" s="49">
        <f>IFERROR(up_RadSpec!$H$25*(DB25/$B64),".")</f>
        <v>3791459.375</v>
      </c>
    </row>
    <row r="65" spans="1:106" x14ac:dyDescent="0.25">
      <c r="A65" s="83" t="s">
        <v>1073</v>
      </c>
      <c r="B65" s="42">
        <v>1</v>
      </c>
      <c r="C65" s="60">
        <f t="shared" ref="C65" si="142">IFERROR(C21/$B51,0)</f>
        <v>3.2968835384132272E-12</v>
      </c>
      <c r="D65" s="60">
        <f t="shared" ref="D65:AB65" si="143">IFERROR(D21/$B51,0)</f>
        <v>1.3187534153652907E-11</v>
      </c>
      <c r="E65" s="60">
        <f t="shared" si="143"/>
        <v>1.3187534153652907E-11</v>
      </c>
      <c r="F65" s="60">
        <f t="shared" si="143"/>
        <v>1.3187534153652907E-11</v>
      </c>
      <c r="G65" s="60">
        <f t="shared" si="143"/>
        <v>1.3187534153652907E-11</v>
      </c>
      <c r="H65" s="60">
        <f t="shared" si="143"/>
        <v>1.3187534153652907E-11</v>
      </c>
      <c r="I65" s="60">
        <f t="shared" si="143"/>
        <v>1.3187534153652907E-11</v>
      </c>
      <c r="J65" s="60">
        <f t="shared" si="143"/>
        <v>1.3187534153652907E-11</v>
      </c>
      <c r="K65" s="60">
        <f t="shared" si="143"/>
        <v>1.3187534153652907E-11</v>
      </c>
      <c r="L65" s="60">
        <f t="shared" si="143"/>
        <v>1.3187534153652907E-11</v>
      </c>
      <c r="M65" s="60">
        <f t="shared" si="143"/>
        <v>1.3187534153652907E-11</v>
      </c>
      <c r="N65" s="60">
        <f t="shared" si="143"/>
        <v>1.3187534153652907E-11</v>
      </c>
      <c r="O65" s="60">
        <f t="shared" si="143"/>
        <v>1.3187534153652907E-11</v>
      </c>
      <c r="P65" s="60">
        <f t="shared" si="143"/>
        <v>1.3187534153652907E-11</v>
      </c>
      <c r="Q65" s="60">
        <f t="shared" si="143"/>
        <v>1.3187534153652907E-11</v>
      </c>
      <c r="R65" s="60">
        <f t="shared" si="143"/>
        <v>1.3187534153652907E-11</v>
      </c>
      <c r="S65" s="60">
        <f t="shared" si="143"/>
        <v>1.3187534153652907E-11</v>
      </c>
      <c r="T65" s="60">
        <f t="shared" si="143"/>
        <v>1.3187534153652907E-11</v>
      </c>
      <c r="U65" s="60">
        <f t="shared" si="143"/>
        <v>1.3187534153652907E-11</v>
      </c>
      <c r="V65" s="60">
        <f t="shared" si="143"/>
        <v>1.3187534153652907E-11</v>
      </c>
      <c r="W65" s="60">
        <f t="shared" si="143"/>
        <v>1.3187534153652907E-11</v>
      </c>
      <c r="X65" s="60">
        <f t="shared" si="143"/>
        <v>1.3187534153652907E-11</v>
      </c>
      <c r="Y65" s="60">
        <f t="shared" si="143"/>
        <v>1.3187534153652907E-11</v>
      </c>
      <c r="Z65" s="60">
        <f t="shared" si="143"/>
        <v>1.3187534153652907E-11</v>
      </c>
      <c r="AA65" s="60">
        <f t="shared" si="143"/>
        <v>1.3187534153652907E-11</v>
      </c>
      <c r="AB65" s="60">
        <f t="shared" si="143"/>
        <v>1.3187534153652907E-11</v>
      </c>
      <c r="AC65" s="49">
        <f t="shared" si="1"/>
        <v>15165837.5</v>
      </c>
      <c r="AD65" s="49">
        <f>IFERROR(up_RadSpec!$H$21*($BB$21/$B65),".")</f>
        <v>3791459.375</v>
      </c>
      <c r="AE65" s="49">
        <f>IFERROR(up_RadSpec!$H$21*($BB$21/$B65),".")</f>
        <v>3791459.375</v>
      </c>
      <c r="AF65" s="49">
        <f>IFERROR(up_RadSpec!$H$21*($BB$21/$B65),".")</f>
        <v>3791459.375</v>
      </c>
      <c r="AG65" s="49">
        <f>IFERROR(up_RadSpec!$H$21*($BB$21/$B65),".")</f>
        <v>3791459.375</v>
      </c>
      <c r="AH65" s="49">
        <f>IFERROR(up_RadSpec!$H$21*($BB$21/$B65),".")</f>
        <v>3791459.375</v>
      </c>
      <c r="AI65" s="49">
        <f>IFERROR(up_RadSpec!$H$21*($BB$21/$B65),".")</f>
        <v>3791459.375</v>
      </c>
      <c r="AJ65" s="49">
        <f>IFERROR(up_RadSpec!$H$21*($BB$21/$B65),".")</f>
        <v>3791459.375</v>
      </c>
      <c r="AK65" s="49">
        <f>IFERROR(up_RadSpec!$H$21*($BB$21/$B65),".")</f>
        <v>3791459.375</v>
      </c>
      <c r="AL65" s="49">
        <f>IFERROR(up_RadSpec!$H$21*($BB$21/$B65),".")</f>
        <v>3791459.375</v>
      </c>
      <c r="AM65" s="49">
        <f>IFERROR(up_RadSpec!$H$21*($BB$21/$B65),".")</f>
        <v>3791459.375</v>
      </c>
      <c r="AN65" s="49">
        <f>IFERROR(up_RadSpec!$H$21*($BB$21/$B65),".")</f>
        <v>3791459.375</v>
      </c>
      <c r="AO65" s="49">
        <f>IFERROR(up_RadSpec!$H$21*($BB$21/$B65),".")</f>
        <v>3791459.375</v>
      </c>
      <c r="AP65" s="49">
        <f>IFERROR(up_RadSpec!$H$21*($BB$21/$B65),".")</f>
        <v>3791459.375</v>
      </c>
      <c r="AQ65" s="49">
        <f>IFERROR(up_RadSpec!$H$21*($BB$21/$B65),".")</f>
        <v>3791459.375</v>
      </c>
      <c r="AR65" s="49">
        <f>IFERROR(up_RadSpec!$H$21*($BB$21/$B65),".")</f>
        <v>3791459.375</v>
      </c>
      <c r="AS65" s="49">
        <f>IFERROR(up_RadSpec!$H$21*($BB$21/$B65),".")</f>
        <v>3791459.375</v>
      </c>
      <c r="AT65" s="49">
        <f>IFERROR(up_RadSpec!$H$21*($BB$21/$B65),".")</f>
        <v>3791459.375</v>
      </c>
      <c r="AU65" s="49">
        <f>IFERROR(up_RadSpec!$H$21*($BB$21/$B65),".")</f>
        <v>3791459.375</v>
      </c>
      <c r="AV65" s="49">
        <f>IFERROR(up_RadSpec!$H$21*($BB$21/$B65),".")</f>
        <v>3791459.375</v>
      </c>
      <c r="AW65" s="49">
        <f>IFERROR(up_RadSpec!$H$21*($BB$21/$B65),".")</f>
        <v>3791459.375</v>
      </c>
      <c r="AX65" s="49">
        <f>IFERROR(up_RadSpec!$H$21*($BB$21/$B65),".")</f>
        <v>3791459.375</v>
      </c>
      <c r="AY65" s="49">
        <f>IFERROR(up_RadSpec!$H$21*($BB$21/$B65),".")</f>
        <v>3791459.375</v>
      </c>
      <c r="AZ65" s="49">
        <f>IFERROR(up_RadSpec!$H$21*($BB$21/$B65),".")</f>
        <v>3791459.375</v>
      </c>
      <c r="BA65" s="49">
        <f>IFERROR(up_RadSpec!$H$21*($BB$21/$B65),".")</f>
        <v>3791459.375</v>
      </c>
      <c r="BB65" s="49">
        <f>IFERROR(up_RadSpec!$H$21*($BB$21/$B65),".")</f>
        <v>3791459.375</v>
      </c>
      <c r="BC65" s="60">
        <f t="shared" ref="BC65" si="144">IFERROR($B65/BC21,0)</f>
        <v>303316749999.99994</v>
      </c>
      <c r="BD65" s="60">
        <f t="shared" ref="BD65:CB65" si="145">IFERROR($B65/BD21,0)</f>
        <v>75829187499.999985</v>
      </c>
      <c r="BE65" s="60">
        <f t="shared" si="145"/>
        <v>75829187499.999985</v>
      </c>
      <c r="BF65" s="60">
        <f t="shared" si="145"/>
        <v>75829187499.999985</v>
      </c>
      <c r="BG65" s="60">
        <f t="shared" si="145"/>
        <v>75829187499.999985</v>
      </c>
      <c r="BH65" s="60">
        <f t="shared" si="145"/>
        <v>75829187499.999985</v>
      </c>
      <c r="BI65" s="60">
        <f t="shared" si="145"/>
        <v>75829187499.999985</v>
      </c>
      <c r="BJ65" s="60">
        <f t="shared" si="145"/>
        <v>75829187499.999985</v>
      </c>
      <c r="BK65" s="60">
        <f t="shared" si="145"/>
        <v>75829187499.999985</v>
      </c>
      <c r="BL65" s="60">
        <f t="shared" si="145"/>
        <v>75829187499.999985</v>
      </c>
      <c r="BM65" s="60">
        <f t="shared" si="145"/>
        <v>75829187499.999985</v>
      </c>
      <c r="BN65" s="60">
        <f t="shared" si="145"/>
        <v>75829187499.999985</v>
      </c>
      <c r="BO65" s="60">
        <f t="shared" si="145"/>
        <v>75829187499.999985</v>
      </c>
      <c r="BP65" s="60">
        <f t="shared" si="145"/>
        <v>75829187499.999985</v>
      </c>
      <c r="BQ65" s="60">
        <f t="shared" si="145"/>
        <v>75829187499.999985</v>
      </c>
      <c r="BR65" s="60">
        <f t="shared" si="145"/>
        <v>75829187499.999985</v>
      </c>
      <c r="BS65" s="60">
        <f t="shared" si="145"/>
        <v>75829187499.999985</v>
      </c>
      <c r="BT65" s="60">
        <f t="shared" si="145"/>
        <v>75829187499.999985</v>
      </c>
      <c r="BU65" s="60">
        <f t="shared" si="145"/>
        <v>75829187499.999985</v>
      </c>
      <c r="BV65" s="60">
        <f t="shared" si="145"/>
        <v>75829187499.999985</v>
      </c>
      <c r="BW65" s="60">
        <f t="shared" si="145"/>
        <v>75829187499.999985</v>
      </c>
      <c r="BX65" s="60">
        <f t="shared" si="145"/>
        <v>75829187499.999985</v>
      </c>
      <c r="BY65" s="60">
        <f t="shared" si="145"/>
        <v>75829187499.999985</v>
      </c>
      <c r="BZ65" s="60">
        <f t="shared" si="145"/>
        <v>75829187499.999985</v>
      </c>
      <c r="CA65" s="60">
        <f t="shared" si="145"/>
        <v>75829187499.999985</v>
      </c>
      <c r="CB65" s="60">
        <f t="shared" si="145"/>
        <v>75829187499.999985</v>
      </c>
      <c r="CC65" s="49">
        <f t="shared" si="3"/>
        <v>15165837.5</v>
      </c>
      <c r="CD65" s="49">
        <f>IFERROR(up_RadSpec!$H$21*(CD21/$B65),".")</f>
        <v>3791459.375</v>
      </c>
      <c r="CE65" s="49">
        <f>IFERROR(up_RadSpec!$H$21*(CE21/$B65),".")</f>
        <v>3791459.375</v>
      </c>
      <c r="CF65" s="49">
        <f>IFERROR(up_RadSpec!$H$21*(CF21/$B65),".")</f>
        <v>3791459.375</v>
      </c>
      <c r="CG65" s="49">
        <f>IFERROR(up_RadSpec!$H$21*(CG21/$B65),".")</f>
        <v>3791459.375</v>
      </c>
      <c r="CH65" s="49">
        <f>IFERROR(up_RadSpec!$H$21*(CH21/$B65),".")</f>
        <v>3791459.375</v>
      </c>
      <c r="CI65" s="49">
        <f>IFERROR(up_RadSpec!$H$21*(CI21/$B65),".")</f>
        <v>3791459.375</v>
      </c>
      <c r="CJ65" s="49">
        <f>IFERROR(up_RadSpec!$H$21*(CJ21/$B65),".")</f>
        <v>3791459.375</v>
      </c>
      <c r="CK65" s="49">
        <f>IFERROR(up_RadSpec!$H$21*(CK21/$B65),".")</f>
        <v>3791459.375</v>
      </c>
      <c r="CL65" s="49">
        <f>IFERROR(up_RadSpec!$H$21*(CL21/$B65),".")</f>
        <v>3791459.375</v>
      </c>
      <c r="CM65" s="49">
        <f>IFERROR(up_RadSpec!$H$21*(CM21/$B65),".")</f>
        <v>3791459.375</v>
      </c>
      <c r="CN65" s="49">
        <f>IFERROR(up_RadSpec!$H$21*(CN21/$B65),".")</f>
        <v>3791459.375</v>
      </c>
      <c r="CO65" s="49">
        <f>IFERROR(up_RadSpec!$H$21*(CO21/$B65),".")</f>
        <v>3791459.375</v>
      </c>
      <c r="CP65" s="49">
        <f>IFERROR(up_RadSpec!$H$21*(CP21/$B65),".")</f>
        <v>3791459.375</v>
      </c>
      <c r="CQ65" s="49">
        <f>IFERROR(up_RadSpec!$H$21*(CQ21/$B65),".")</f>
        <v>3791459.375</v>
      </c>
      <c r="CR65" s="49">
        <f>IFERROR(up_RadSpec!$H$21*(CR21/$B65),".")</f>
        <v>3791459.375</v>
      </c>
      <c r="CS65" s="49">
        <f>IFERROR(up_RadSpec!$H$21*(CS21/$B65),".")</f>
        <v>3791459.375</v>
      </c>
      <c r="CT65" s="49">
        <f>IFERROR(up_RadSpec!$H$21*(CT21/$B65),".")</f>
        <v>3791459.375</v>
      </c>
      <c r="CU65" s="49">
        <f>IFERROR(up_RadSpec!$H$21*(CU21/$B65),".")</f>
        <v>3791459.375</v>
      </c>
      <c r="CV65" s="49">
        <f>IFERROR(up_RadSpec!$H$21*(CV21/$B65),".")</f>
        <v>3791459.375</v>
      </c>
      <c r="CW65" s="49">
        <f>IFERROR(up_RadSpec!$H$21*(CW21/$B65),".")</f>
        <v>3791459.375</v>
      </c>
      <c r="CX65" s="49">
        <f>IFERROR(up_RadSpec!$H$21*(CX21/$B65),".")</f>
        <v>3791459.375</v>
      </c>
      <c r="CY65" s="49">
        <f>IFERROR(up_RadSpec!$H$21*(CY21/$B65),".")</f>
        <v>3791459.375</v>
      </c>
      <c r="CZ65" s="49">
        <f>IFERROR(up_RadSpec!$H$21*(CZ21/$B65),".")</f>
        <v>3791459.375</v>
      </c>
      <c r="DA65" s="49">
        <f>IFERROR(up_RadSpec!$H$21*(DA21/$B65),".")</f>
        <v>3791459.375</v>
      </c>
      <c r="DB65" s="49">
        <f>IFERROR(up_RadSpec!$H$21*(DB21/$B65),".")</f>
        <v>3791459.375</v>
      </c>
    </row>
    <row r="66" spans="1:106" x14ac:dyDescent="0.25">
      <c r="A66" s="83" t="s">
        <v>1074</v>
      </c>
      <c r="B66" s="85">
        <v>0.99980000000000002</v>
      </c>
      <c r="C66" s="60">
        <f t="shared" ref="C66" si="146">IFERROR(C17/$B52,0)</f>
        <v>3.2975430470226315E-12</v>
      </c>
      <c r="D66" s="60">
        <f t="shared" ref="D66:AB66" si="147">IFERROR(D17/$B52,0)</f>
        <v>1.3190172188090524E-11</v>
      </c>
      <c r="E66" s="60">
        <f t="shared" si="147"/>
        <v>1.3190172188090524E-11</v>
      </c>
      <c r="F66" s="60">
        <f t="shared" si="147"/>
        <v>1.3190172188090524E-11</v>
      </c>
      <c r="G66" s="60">
        <f t="shared" si="147"/>
        <v>1.3190172188090524E-11</v>
      </c>
      <c r="H66" s="60">
        <f t="shared" si="147"/>
        <v>1.3190172188090524E-11</v>
      </c>
      <c r="I66" s="60">
        <f t="shared" si="147"/>
        <v>1.3190172188090524E-11</v>
      </c>
      <c r="J66" s="60">
        <f t="shared" si="147"/>
        <v>1.3190172188090524E-11</v>
      </c>
      <c r="K66" s="60">
        <f t="shared" si="147"/>
        <v>1.3190172188090524E-11</v>
      </c>
      <c r="L66" s="60">
        <f t="shared" si="147"/>
        <v>1.3190172188090524E-11</v>
      </c>
      <c r="M66" s="60">
        <f t="shared" si="147"/>
        <v>1.3190172188090524E-11</v>
      </c>
      <c r="N66" s="60">
        <f t="shared" si="147"/>
        <v>1.3190172188090524E-11</v>
      </c>
      <c r="O66" s="60">
        <f t="shared" si="147"/>
        <v>1.3190172188090524E-11</v>
      </c>
      <c r="P66" s="60">
        <f t="shared" si="147"/>
        <v>1.3190172188090524E-11</v>
      </c>
      <c r="Q66" s="60">
        <f t="shared" si="147"/>
        <v>1.3190172188090524E-11</v>
      </c>
      <c r="R66" s="60">
        <f t="shared" si="147"/>
        <v>1.3190172188090524E-11</v>
      </c>
      <c r="S66" s="60">
        <f t="shared" si="147"/>
        <v>1.3190172188090524E-11</v>
      </c>
      <c r="T66" s="60">
        <f t="shared" si="147"/>
        <v>1.3190172188090524E-11</v>
      </c>
      <c r="U66" s="60">
        <f t="shared" si="147"/>
        <v>1.3190172188090524E-11</v>
      </c>
      <c r="V66" s="60">
        <f t="shared" si="147"/>
        <v>1.3190172188090524E-11</v>
      </c>
      <c r="W66" s="60">
        <f t="shared" si="147"/>
        <v>1.3190172188090524E-11</v>
      </c>
      <c r="X66" s="60">
        <f t="shared" si="147"/>
        <v>1.3190172188090524E-11</v>
      </c>
      <c r="Y66" s="60">
        <f t="shared" si="147"/>
        <v>1.3190172188090524E-11</v>
      </c>
      <c r="Z66" s="60">
        <f t="shared" si="147"/>
        <v>1.3190172188090524E-11</v>
      </c>
      <c r="AA66" s="60">
        <f t="shared" si="147"/>
        <v>1.3190172188090524E-11</v>
      </c>
      <c r="AB66" s="60">
        <f t="shared" si="147"/>
        <v>1.3190172188090524E-11</v>
      </c>
      <c r="AC66" s="49">
        <f t="shared" si="1"/>
        <v>15168871.274254851</v>
      </c>
      <c r="AD66" s="49">
        <f>IFERROR(up_RadSpec!$H$17*($BB$17/$B66),".")</f>
        <v>3792217.8185637128</v>
      </c>
      <c r="AE66" s="49">
        <f>IFERROR(up_RadSpec!$H$17*($BB$17/$B66),".")</f>
        <v>3792217.8185637128</v>
      </c>
      <c r="AF66" s="49">
        <f>IFERROR(up_RadSpec!$H$17*($BB$17/$B66),".")</f>
        <v>3792217.8185637128</v>
      </c>
      <c r="AG66" s="49">
        <f>IFERROR(up_RadSpec!$H$17*($BB$17/$B66),".")</f>
        <v>3792217.8185637128</v>
      </c>
      <c r="AH66" s="49">
        <f>IFERROR(up_RadSpec!$H$17*($BB$17/$B66),".")</f>
        <v>3792217.8185637128</v>
      </c>
      <c r="AI66" s="49">
        <f>IFERROR(up_RadSpec!$H$17*($BB$17/$B66),".")</f>
        <v>3792217.8185637128</v>
      </c>
      <c r="AJ66" s="49">
        <f>IFERROR(up_RadSpec!$H$17*($BB$17/$B66),".")</f>
        <v>3792217.8185637128</v>
      </c>
      <c r="AK66" s="49">
        <f>IFERROR(up_RadSpec!$H$17*($BB$17/$B66),".")</f>
        <v>3792217.8185637128</v>
      </c>
      <c r="AL66" s="49">
        <f>IFERROR(up_RadSpec!$H$17*($BB$17/$B66),".")</f>
        <v>3792217.8185637128</v>
      </c>
      <c r="AM66" s="49">
        <f>IFERROR(up_RadSpec!$H$17*($BB$17/$B66),".")</f>
        <v>3792217.8185637128</v>
      </c>
      <c r="AN66" s="49">
        <f>IFERROR(up_RadSpec!$H$17*($BB$17/$B66),".")</f>
        <v>3792217.8185637128</v>
      </c>
      <c r="AO66" s="49">
        <f>IFERROR(up_RadSpec!$H$17*($BB$17/$B66),".")</f>
        <v>3792217.8185637128</v>
      </c>
      <c r="AP66" s="49">
        <f>IFERROR(up_RadSpec!$H$17*($BB$17/$B66),".")</f>
        <v>3792217.8185637128</v>
      </c>
      <c r="AQ66" s="49">
        <f>IFERROR(up_RadSpec!$H$17*($BB$17/$B66),".")</f>
        <v>3792217.8185637128</v>
      </c>
      <c r="AR66" s="49">
        <f>IFERROR(up_RadSpec!$H$17*($BB$17/$B66),".")</f>
        <v>3792217.8185637128</v>
      </c>
      <c r="AS66" s="49">
        <f>IFERROR(up_RadSpec!$H$17*($BB$17/$B66),".")</f>
        <v>3792217.8185637128</v>
      </c>
      <c r="AT66" s="49">
        <f>IFERROR(up_RadSpec!$H$17*($BB$17/$B66),".")</f>
        <v>3792217.8185637128</v>
      </c>
      <c r="AU66" s="49">
        <f>IFERROR(up_RadSpec!$H$17*($BB$17/$B66),".")</f>
        <v>3792217.8185637128</v>
      </c>
      <c r="AV66" s="49">
        <f>IFERROR(up_RadSpec!$H$17*($BB$17/$B66),".")</f>
        <v>3792217.8185637128</v>
      </c>
      <c r="AW66" s="49">
        <f>IFERROR(up_RadSpec!$H$17*($BB$17/$B66),".")</f>
        <v>3792217.8185637128</v>
      </c>
      <c r="AX66" s="49">
        <f>IFERROR(up_RadSpec!$H$17*($BB$17/$B66),".")</f>
        <v>3792217.8185637128</v>
      </c>
      <c r="AY66" s="49">
        <f>IFERROR(up_RadSpec!$H$17*($BB$17/$B66),".")</f>
        <v>3792217.8185637128</v>
      </c>
      <c r="AZ66" s="49">
        <f>IFERROR(up_RadSpec!$H$17*($BB$17/$B66),".")</f>
        <v>3792217.8185637128</v>
      </c>
      <c r="BA66" s="49">
        <f>IFERROR(up_RadSpec!$H$17*($BB$17/$B66),".")</f>
        <v>3792217.8185637128</v>
      </c>
      <c r="BB66" s="49">
        <f>IFERROR(up_RadSpec!$H$17*($BB$17/$B66),".")</f>
        <v>3792217.8185637128</v>
      </c>
      <c r="BC66" s="60">
        <f t="shared" ref="BC66" si="148">IFERROR($B66/BC17,0)</f>
        <v>303256086649.99994</v>
      </c>
      <c r="BD66" s="60">
        <f t="shared" ref="BD66:CB66" si="149">IFERROR($B66/BD17,0)</f>
        <v>75814021662.5</v>
      </c>
      <c r="BE66" s="60">
        <f t="shared" si="149"/>
        <v>75814021662.5</v>
      </c>
      <c r="BF66" s="60">
        <f t="shared" si="149"/>
        <v>75814021662.5</v>
      </c>
      <c r="BG66" s="60">
        <f t="shared" si="149"/>
        <v>75814021662.5</v>
      </c>
      <c r="BH66" s="60">
        <f t="shared" si="149"/>
        <v>75814021662.5</v>
      </c>
      <c r="BI66" s="60">
        <f t="shared" si="149"/>
        <v>75814021662.5</v>
      </c>
      <c r="BJ66" s="60">
        <f t="shared" si="149"/>
        <v>75814021662.5</v>
      </c>
      <c r="BK66" s="60">
        <f t="shared" si="149"/>
        <v>75814021662.5</v>
      </c>
      <c r="BL66" s="60">
        <f t="shared" si="149"/>
        <v>75814021662.5</v>
      </c>
      <c r="BM66" s="60">
        <f t="shared" si="149"/>
        <v>75814021662.5</v>
      </c>
      <c r="BN66" s="60">
        <f t="shared" si="149"/>
        <v>75814021662.5</v>
      </c>
      <c r="BO66" s="60">
        <f t="shared" si="149"/>
        <v>75814021662.5</v>
      </c>
      <c r="BP66" s="60">
        <f t="shared" si="149"/>
        <v>75814021662.5</v>
      </c>
      <c r="BQ66" s="60">
        <f t="shared" si="149"/>
        <v>75814021662.5</v>
      </c>
      <c r="BR66" s="60">
        <f t="shared" si="149"/>
        <v>75814021662.5</v>
      </c>
      <c r="BS66" s="60">
        <f t="shared" si="149"/>
        <v>75814021662.5</v>
      </c>
      <c r="BT66" s="60">
        <f t="shared" si="149"/>
        <v>75814021662.5</v>
      </c>
      <c r="BU66" s="60">
        <f t="shared" si="149"/>
        <v>75814021662.5</v>
      </c>
      <c r="BV66" s="60">
        <f t="shared" si="149"/>
        <v>75814021662.5</v>
      </c>
      <c r="BW66" s="60">
        <f t="shared" si="149"/>
        <v>75814021662.5</v>
      </c>
      <c r="BX66" s="60">
        <f t="shared" si="149"/>
        <v>75814021662.5</v>
      </c>
      <c r="BY66" s="60">
        <f t="shared" si="149"/>
        <v>75814021662.5</v>
      </c>
      <c r="BZ66" s="60">
        <f t="shared" si="149"/>
        <v>75814021662.5</v>
      </c>
      <c r="CA66" s="60">
        <f t="shared" si="149"/>
        <v>75814021662.5</v>
      </c>
      <c r="CB66" s="60">
        <f t="shared" si="149"/>
        <v>75814021662.5</v>
      </c>
      <c r="CC66" s="49">
        <f t="shared" si="3"/>
        <v>15168871.274254851</v>
      </c>
      <c r="CD66" s="49">
        <f>IFERROR(up_RadSpec!$H$17*(CD17/$B66),".")</f>
        <v>3792217.8185637128</v>
      </c>
      <c r="CE66" s="49">
        <f>IFERROR(up_RadSpec!$H$17*(CE17/$B66),".")</f>
        <v>3792217.8185637128</v>
      </c>
      <c r="CF66" s="49">
        <f>IFERROR(up_RadSpec!$H$17*(CF17/$B66),".")</f>
        <v>3792217.8185637128</v>
      </c>
      <c r="CG66" s="49">
        <f>IFERROR(up_RadSpec!$H$17*(CG17/$B66),".")</f>
        <v>3792217.8185637128</v>
      </c>
      <c r="CH66" s="49">
        <f>IFERROR(up_RadSpec!$H$17*(CH17/$B66),".")</f>
        <v>3792217.8185637128</v>
      </c>
      <c r="CI66" s="49">
        <f>IFERROR(up_RadSpec!$H$17*(CI17/$B66),".")</f>
        <v>3792217.8185637128</v>
      </c>
      <c r="CJ66" s="49">
        <f>IFERROR(up_RadSpec!$H$17*(CJ17/$B66),".")</f>
        <v>3792217.8185637128</v>
      </c>
      <c r="CK66" s="49">
        <f>IFERROR(up_RadSpec!$H$17*(CK17/$B66),".")</f>
        <v>3792217.8185637128</v>
      </c>
      <c r="CL66" s="49">
        <f>IFERROR(up_RadSpec!$H$17*(CL17/$B66),".")</f>
        <v>3792217.8185637128</v>
      </c>
      <c r="CM66" s="49">
        <f>IFERROR(up_RadSpec!$H$17*(CM17/$B66),".")</f>
        <v>3792217.8185637128</v>
      </c>
      <c r="CN66" s="49">
        <f>IFERROR(up_RadSpec!$H$17*(CN17/$B66),".")</f>
        <v>3792217.8185637128</v>
      </c>
      <c r="CO66" s="49">
        <f>IFERROR(up_RadSpec!$H$17*(CO17/$B66),".")</f>
        <v>3792217.8185637128</v>
      </c>
      <c r="CP66" s="49">
        <f>IFERROR(up_RadSpec!$H$17*(CP17/$B66),".")</f>
        <v>3792217.8185637128</v>
      </c>
      <c r="CQ66" s="49">
        <f>IFERROR(up_RadSpec!$H$17*(CQ17/$B66),".")</f>
        <v>3792217.8185637128</v>
      </c>
      <c r="CR66" s="49">
        <f>IFERROR(up_RadSpec!$H$17*(CR17/$B66),".")</f>
        <v>3792217.8185637128</v>
      </c>
      <c r="CS66" s="49">
        <f>IFERROR(up_RadSpec!$H$17*(CS17/$B66),".")</f>
        <v>3792217.8185637128</v>
      </c>
      <c r="CT66" s="49">
        <f>IFERROR(up_RadSpec!$H$17*(CT17/$B66),".")</f>
        <v>3792217.8185637128</v>
      </c>
      <c r="CU66" s="49">
        <f>IFERROR(up_RadSpec!$H$17*(CU17/$B66),".")</f>
        <v>3792217.8185637128</v>
      </c>
      <c r="CV66" s="49">
        <f>IFERROR(up_RadSpec!$H$17*(CV17/$B66),".")</f>
        <v>3792217.8185637128</v>
      </c>
      <c r="CW66" s="49">
        <f>IFERROR(up_RadSpec!$H$17*(CW17/$B66),".")</f>
        <v>3792217.8185637128</v>
      </c>
      <c r="CX66" s="49">
        <f>IFERROR(up_RadSpec!$H$17*(CX17/$B66),".")</f>
        <v>3792217.8185637128</v>
      </c>
      <c r="CY66" s="49">
        <f>IFERROR(up_RadSpec!$H$17*(CY17/$B66),".")</f>
        <v>3792217.8185637128</v>
      </c>
      <c r="CZ66" s="49">
        <f>IFERROR(up_RadSpec!$H$17*(CZ17/$B66),".")</f>
        <v>3792217.8185637128</v>
      </c>
      <c r="DA66" s="49">
        <f>IFERROR(up_RadSpec!$H$17*(DA17/$B66),".")</f>
        <v>3792217.8185637128</v>
      </c>
      <c r="DB66" s="49">
        <f>IFERROR(up_RadSpec!$H$17*(DB17/$B66),".")</f>
        <v>3792217.8185637128</v>
      </c>
    </row>
    <row r="67" spans="1:106" x14ac:dyDescent="0.25">
      <c r="A67" s="83" t="s">
        <v>1088</v>
      </c>
      <c r="B67" s="42">
        <v>2.0000000000000001E-4</v>
      </c>
      <c r="C67" s="60">
        <f t="shared" ref="C67" si="150">IFERROR(C5/$B53,0)</f>
        <v>1.6484417692066137E-8</v>
      </c>
      <c r="D67" s="60">
        <f t="shared" ref="D67:AB67" si="151">IFERROR(D5/$B53,0)</f>
        <v>6.5937670768264533E-8</v>
      </c>
      <c r="E67" s="60">
        <f t="shared" si="151"/>
        <v>6.5937670768264533E-8</v>
      </c>
      <c r="F67" s="60">
        <f t="shared" si="151"/>
        <v>6.5937670768264533E-8</v>
      </c>
      <c r="G67" s="60">
        <f t="shared" si="151"/>
        <v>6.5937670768264533E-8</v>
      </c>
      <c r="H67" s="60">
        <f t="shared" si="151"/>
        <v>6.5937670768264533E-8</v>
      </c>
      <c r="I67" s="60">
        <f t="shared" si="151"/>
        <v>6.5937670768264533E-8</v>
      </c>
      <c r="J67" s="60">
        <f t="shared" si="151"/>
        <v>6.5937670768264533E-8</v>
      </c>
      <c r="K67" s="60">
        <f t="shared" si="151"/>
        <v>6.5937670768264533E-8</v>
      </c>
      <c r="L67" s="60">
        <f t="shared" si="151"/>
        <v>6.5937670768264533E-8</v>
      </c>
      <c r="M67" s="60">
        <f t="shared" si="151"/>
        <v>6.5937670768264533E-8</v>
      </c>
      <c r="N67" s="60">
        <f t="shared" si="151"/>
        <v>6.5937670768264533E-8</v>
      </c>
      <c r="O67" s="60">
        <f t="shared" si="151"/>
        <v>6.5937670768264533E-8</v>
      </c>
      <c r="P67" s="60">
        <f t="shared" si="151"/>
        <v>6.5937670768264533E-8</v>
      </c>
      <c r="Q67" s="60">
        <f t="shared" si="151"/>
        <v>6.5937670768264533E-8</v>
      </c>
      <c r="R67" s="60">
        <f t="shared" si="151"/>
        <v>6.5937670768264533E-8</v>
      </c>
      <c r="S67" s="60">
        <f t="shared" si="151"/>
        <v>6.5937670768264533E-8</v>
      </c>
      <c r="T67" s="60">
        <f t="shared" si="151"/>
        <v>6.5937670768264533E-8</v>
      </c>
      <c r="U67" s="60">
        <f t="shared" si="151"/>
        <v>6.5937670768264533E-8</v>
      </c>
      <c r="V67" s="60">
        <f t="shared" si="151"/>
        <v>6.5937670768264533E-8</v>
      </c>
      <c r="W67" s="60">
        <f t="shared" si="151"/>
        <v>6.5937670768264533E-8</v>
      </c>
      <c r="X67" s="60">
        <f t="shared" si="151"/>
        <v>6.5937670768264533E-8</v>
      </c>
      <c r="Y67" s="60">
        <f t="shared" si="151"/>
        <v>6.5937670768264533E-8</v>
      </c>
      <c r="Z67" s="60">
        <f t="shared" si="151"/>
        <v>6.5937670768264533E-8</v>
      </c>
      <c r="AA67" s="60">
        <f t="shared" si="151"/>
        <v>6.5937670768264533E-8</v>
      </c>
      <c r="AB67" s="60">
        <f t="shared" si="151"/>
        <v>6.5937670768264533E-8</v>
      </c>
      <c r="AC67" s="49">
        <f t="shared" ref="AC67:AC76" si="152">SUM(AD67,AU67,BA67:BB67)</f>
        <v>75829187500</v>
      </c>
      <c r="AD67" s="49">
        <f>IFERROR(up_RadSpec!$H$5*($BB$5/$B67),".")</f>
        <v>18957296875</v>
      </c>
      <c r="AE67" s="49">
        <f>IFERROR(up_RadSpec!$H$5*($BB$5/$B67),".")</f>
        <v>18957296875</v>
      </c>
      <c r="AF67" s="49">
        <f>IFERROR(up_RadSpec!$H$5*($BB$5/$B67),".")</f>
        <v>18957296875</v>
      </c>
      <c r="AG67" s="49">
        <f>IFERROR(up_RadSpec!$H$5*($BB$5/$B67),".")</f>
        <v>18957296875</v>
      </c>
      <c r="AH67" s="49">
        <f>IFERROR(up_RadSpec!$H$5*($BB$5/$B67),".")</f>
        <v>18957296875</v>
      </c>
      <c r="AI67" s="49">
        <f>IFERROR(up_RadSpec!$H$5*($BB$5/$B67),".")</f>
        <v>18957296875</v>
      </c>
      <c r="AJ67" s="49">
        <f>IFERROR(up_RadSpec!$H$5*($BB$5/$B67),".")</f>
        <v>18957296875</v>
      </c>
      <c r="AK67" s="49">
        <f>IFERROR(up_RadSpec!$H$5*($BB$5/$B67),".")</f>
        <v>18957296875</v>
      </c>
      <c r="AL67" s="49">
        <f>IFERROR(up_RadSpec!$H$5*($BB$5/$B67),".")</f>
        <v>18957296875</v>
      </c>
      <c r="AM67" s="49">
        <f>IFERROR(up_RadSpec!$H$5*($BB$5/$B67),".")</f>
        <v>18957296875</v>
      </c>
      <c r="AN67" s="49">
        <f>IFERROR(up_RadSpec!$H$5*($BB$5/$B67),".")</f>
        <v>18957296875</v>
      </c>
      <c r="AO67" s="49">
        <f>IFERROR(up_RadSpec!$H$5*($BB$5/$B67),".")</f>
        <v>18957296875</v>
      </c>
      <c r="AP67" s="49">
        <f>IFERROR(up_RadSpec!$H$5*($BB$5/$B67),".")</f>
        <v>18957296875</v>
      </c>
      <c r="AQ67" s="49">
        <f>IFERROR(up_RadSpec!$H$5*($BB$5/$B67),".")</f>
        <v>18957296875</v>
      </c>
      <c r="AR67" s="49">
        <f>IFERROR(up_RadSpec!$H$5*($BB$5/$B67),".")</f>
        <v>18957296875</v>
      </c>
      <c r="AS67" s="49">
        <f>IFERROR(up_RadSpec!$H$5*($BB$5/$B67),".")</f>
        <v>18957296875</v>
      </c>
      <c r="AT67" s="49">
        <f>IFERROR(up_RadSpec!$H$5*($BB$5/$B67),".")</f>
        <v>18957296875</v>
      </c>
      <c r="AU67" s="49">
        <f>IFERROR(up_RadSpec!$H$5*($BB$5/$B67),".")</f>
        <v>18957296875</v>
      </c>
      <c r="AV67" s="49">
        <f>IFERROR(up_RadSpec!$H$5*($BB$5/$B67),".")</f>
        <v>18957296875</v>
      </c>
      <c r="AW67" s="49">
        <f>IFERROR(up_RadSpec!$H$5*($BB$5/$B67),".")</f>
        <v>18957296875</v>
      </c>
      <c r="AX67" s="49">
        <f>IFERROR(up_RadSpec!$H$5*($BB$5/$B67),".")</f>
        <v>18957296875</v>
      </c>
      <c r="AY67" s="49">
        <f>IFERROR(up_RadSpec!$H$5*($BB$5/$B67),".")</f>
        <v>18957296875</v>
      </c>
      <c r="AZ67" s="49">
        <f>IFERROR(up_RadSpec!$H$5*($BB$5/$B67),".")</f>
        <v>18957296875</v>
      </c>
      <c r="BA67" s="49">
        <f>IFERROR(up_RadSpec!$H$5*($BB$5/$B67),".")</f>
        <v>18957296875</v>
      </c>
      <c r="BB67" s="49">
        <f>IFERROR(up_RadSpec!$H$5*($BB$5/$B67),".")</f>
        <v>18957296875</v>
      </c>
      <c r="BC67" s="60">
        <f t="shared" ref="BC67" si="153">IFERROR($B67/BC5,0)</f>
        <v>60663349.999999993</v>
      </c>
      <c r="BD67" s="60">
        <f t="shared" ref="BD67:CB67" si="154">IFERROR($B67/BD5,0)</f>
        <v>15165837.5</v>
      </c>
      <c r="BE67" s="60">
        <f t="shared" si="154"/>
        <v>15165837.5</v>
      </c>
      <c r="BF67" s="60">
        <f t="shared" si="154"/>
        <v>15165837.5</v>
      </c>
      <c r="BG67" s="60">
        <f t="shared" si="154"/>
        <v>15165837.5</v>
      </c>
      <c r="BH67" s="60">
        <f t="shared" si="154"/>
        <v>15165837.5</v>
      </c>
      <c r="BI67" s="60">
        <f t="shared" si="154"/>
        <v>15165837.5</v>
      </c>
      <c r="BJ67" s="60">
        <f t="shared" si="154"/>
        <v>15165837.5</v>
      </c>
      <c r="BK67" s="60">
        <f t="shared" si="154"/>
        <v>15165837.5</v>
      </c>
      <c r="BL67" s="60">
        <f t="shared" si="154"/>
        <v>15165837.5</v>
      </c>
      <c r="BM67" s="60">
        <f t="shared" si="154"/>
        <v>15165837.5</v>
      </c>
      <c r="BN67" s="60">
        <f t="shared" si="154"/>
        <v>15165837.5</v>
      </c>
      <c r="BO67" s="60">
        <f t="shared" si="154"/>
        <v>15165837.5</v>
      </c>
      <c r="BP67" s="60">
        <f t="shared" si="154"/>
        <v>15165837.5</v>
      </c>
      <c r="BQ67" s="60">
        <f t="shared" si="154"/>
        <v>15165837.5</v>
      </c>
      <c r="BR67" s="60">
        <f t="shared" si="154"/>
        <v>15165837.5</v>
      </c>
      <c r="BS67" s="60">
        <f t="shared" si="154"/>
        <v>15165837.5</v>
      </c>
      <c r="BT67" s="60">
        <f t="shared" si="154"/>
        <v>15165837.5</v>
      </c>
      <c r="BU67" s="60">
        <f t="shared" si="154"/>
        <v>15165837.5</v>
      </c>
      <c r="BV67" s="60">
        <f t="shared" si="154"/>
        <v>15165837.5</v>
      </c>
      <c r="BW67" s="60">
        <f t="shared" si="154"/>
        <v>15165837.5</v>
      </c>
      <c r="BX67" s="60">
        <f t="shared" si="154"/>
        <v>15165837.5</v>
      </c>
      <c r="BY67" s="60">
        <f t="shared" si="154"/>
        <v>15165837.5</v>
      </c>
      <c r="BZ67" s="60">
        <f t="shared" si="154"/>
        <v>15165837.5</v>
      </c>
      <c r="CA67" s="60">
        <f t="shared" si="154"/>
        <v>15165837.5</v>
      </c>
      <c r="CB67" s="60">
        <f t="shared" si="154"/>
        <v>15165837.5</v>
      </c>
      <c r="CC67" s="49">
        <f t="shared" ref="CC67:CC76" si="155">SUM(CD67,CU67,DA67:DB67)</f>
        <v>75829187500</v>
      </c>
      <c r="CD67" s="49">
        <f>IFERROR(up_RadSpec!$H$5*(CD5/$B67),".")</f>
        <v>18957296875</v>
      </c>
      <c r="CE67" s="49">
        <f>IFERROR(up_RadSpec!$H$5*(CE5/$B67),".")</f>
        <v>18957296875</v>
      </c>
      <c r="CF67" s="49">
        <f>IFERROR(up_RadSpec!$H$5*(CF5/$B67),".")</f>
        <v>18957296875</v>
      </c>
      <c r="CG67" s="49">
        <f>IFERROR(up_RadSpec!$H$5*(CG5/$B67),".")</f>
        <v>18957296875</v>
      </c>
      <c r="CH67" s="49">
        <f>IFERROR(up_RadSpec!$H$5*(CH5/$B67),".")</f>
        <v>18957296875</v>
      </c>
      <c r="CI67" s="49">
        <f>IFERROR(up_RadSpec!$H$5*(CI5/$B67),".")</f>
        <v>18957296875</v>
      </c>
      <c r="CJ67" s="49">
        <f>IFERROR(up_RadSpec!$H$5*(CJ5/$B67),".")</f>
        <v>18957296875</v>
      </c>
      <c r="CK67" s="49">
        <f>IFERROR(up_RadSpec!$H$5*(CK5/$B67),".")</f>
        <v>18957296875</v>
      </c>
      <c r="CL67" s="49">
        <f>IFERROR(up_RadSpec!$H$5*(CL5/$B67),".")</f>
        <v>18957296875</v>
      </c>
      <c r="CM67" s="49">
        <f>IFERROR(up_RadSpec!$H$5*(CM5/$B67),".")</f>
        <v>18957296875</v>
      </c>
      <c r="CN67" s="49">
        <f>IFERROR(up_RadSpec!$H$5*(CN5/$B67),".")</f>
        <v>18957296875</v>
      </c>
      <c r="CO67" s="49">
        <f>IFERROR(up_RadSpec!$H$5*(CO5/$B67),".")</f>
        <v>18957296875</v>
      </c>
      <c r="CP67" s="49">
        <f>IFERROR(up_RadSpec!$H$5*(CP5/$B67),".")</f>
        <v>18957296875</v>
      </c>
      <c r="CQ67" s="49">
        <f>IFERROR(up_RadSpec!$H$5*(CQ5/$B67),".")</f>
        <v>18957296875</v>
      </c>
      <c r="CR67" s="49">
        <f>IFERROR(up_RadSpec!$H$5*(CR5/$B67),".")</f>
        <v>18957296875</v>
      </c>
      <c r="CS67" s="49">
        <f>IFERROR(up_RadSpec!$H$5*(CS5/$B67),".")</f>
        <v>18957296875</v>
      </c>
      <c r="CT67" s="49">
        <f>IFERROR(up_RadSpec!$H$5*(CT5/$B67),".")</f>
        <v>18957296875</v>
      </c>
      <c r="CU67" s="49">
        <f>IFERROR(up_RadSpec!$H$5*(CU5/$B67),".")</f>
        <v>18957296875</v>
      </c>
      <c r="CV67" s="49">
        <f>IFERROR(up_RadSpec!$H$5*(CV5/$B67),".")</f>
        <v>18957296875</v>
      </c>
      <c r="CW67" s="49">
        <f>IFERROR(up_RadSpec!$H$5*(CW5/$B67),".")</f>
        <v>18957296875</v>
      </c>
      <c r="CX67" s="49">
        <f>IFERROR(up_RadSpec!$H$5*(CX5/$B67),".")</f>
        <v>18957296875</v>
      </c>
      <c r="CY67" s="49">
        <f>IFERROR(up_RadSpec!$H$5*(CY5/$B67),".")</f>
        <v>18957296875</v>
      </c>
      <c r="CZ67" s="49">
        <f>IFERROR(up_RadSpec!$H$5*(CZ5/$B67),".")</f>
        <v>18957296875</v>
      </c>
      <c r="DA67" s="49">
        <f>IFERROR(up_RadSpec!$H$5*(DA5/$B67),".")</f>
        <v>18957296875</v>
      </c>
      <c r="DB67" s="49">
        <f>IFERROR(up_RadSpec!$H$5*(DB5/$B67),".")</f>
        <v>18957296875</v>
      </c>
    </row>
    <row r="68" spans="1:106" x14ac:dyDescent="0.25">
      <c r="A68" s="83" t="s">
        <v>1089</v>
      </c>
      <c r="B68" s="42">
        <v>0.99999979999999999</v>
      </c>
      <c r="C68" s="60">
        <f t="shared" ref="C68" si="156">IFERROR(C9/$B54,0)</f>
        <v>3.2968841977900666E-12</v>
      </c>
      <c r="D68" s="60">
        <f t="shared" ref="D68:AB68" si="157">IFERROR(D9/$B54,0)</f>
        <v>1.3187536791160265E-11</v>
      </c>
      <c r="E68" s="60">
        <f t="shared" si="157"/>
        <v>1.3187536791160265E-11</v>
      </c>
      <c r="F68" s="60">
        <f t="shared" si="157"/>
        <v>1.3187536791160265E-11</v>
      </c>
      <c r="G68" s="60">
        <f t="shared" si="157"/>
        <v>1.3187536791160265E-11</v>
      </c>
      <c r="H68" s="60">
        <f t="shared" si="157"/>
        <v>1.3187536791160265E-11</v>
      </c>
      <c r="I68" s="60">
        <f t="shared" si="157"/>
        <v>1.3187536791160265E-11</v>
      </c>
      <c r="J68" s="60">
        <f t="shared" si="157"/>
        <v>1.3187536791160265E-11</v>
      </c>
      <c r="K68" s="60">
        <f t="shared" si="157"/>
        <v>1.3187536791160265E-11</v>
      </c>
      <c r="L68" s="60">
        <f t="shared" si="157"/>
        <v>1.3187536791160265E-11</v>
      </c>
      <c r="M68" s="60">
        <f t="shared" si="157"/>
        <v>1.3187536791160265E-11</v>
      </c>
      <c r="N68" s="60">
        <f t="shared" si="157"/>
        <v>1.3187536791160265E-11</v>
      </c>
      <c r="O68" s="60">
        <f t="shared" si="157"/>
        <v>1.3187536791160265E-11</v>
      </c>
      <c r="P68" s="60">
        <f t="shared" si="157"/>
        <v>1.3187536791160265E-11</v>
      </c>
      <c r="Q68" s="60">
        <f t="shared" si="157"/>
        <v>1.3187536791160265E-11</v>
      </c>
      <c r="R68" s="60">
        <f t="shared" si="157"/>
        <v>1.3187536791160265E-11</v>
      </c>
      <c r="S68" s="60">
        <f t="shared" si="157"/>
        <v>1.3187536791160265E-11</v>
      </c>
      <c r="T68" s="60">
        <f t="shared" si="157"/>
        <v>1.3187536791160265E-11</v>
      </c>
      <c r="U68" s="60">
        <f t="shared" si="157"/>
        <v>1.3187536791160265E-11</v>
      </c>
      <c r="V68" s="60">
        <f t="shared" si="157"/>
        <v>1.3187536791160265E-11</v>
      </c>
      <c r="W68" s="60">
        <f t="shared" si="157"/>
        <v>1.3187536791160265E-11</v>
      </c>
      <c r="X68" s="60">
        <f t="shared" si="157"/>
        <v>1.3187536791160265E-11</v>
      </c>
      <c r="Y68" s="60">
        <f t="shared" si="157"/>
        <v>1.3187536791160265E-11</v>
      </c>
      <c r="Z68" s="60">
        <f t="shared" si="157"/>
        <v>1.3187536791160265E-11</v>
      </c>
      <c r="AA68" s="60">
        <f t="shared" si="157"/>
        <v>1.3187536791160265E-11</v>
      </c>
      <c r="AB68" s="60">
        <f t="shared" si="157"/>
        <v>1.3187536791160265E-11</v>
      </c>
      <c r="AC68" s="49">
        <f t="shared" si="152"/>
        <v>15165840.533168107</v>
      </c>
      <c r="AD68" s="49">
        <f>IFERROR(up_RadSpec!$H$9*($BB$9/$B68),".")</f>
        <v>3791460.1332920268</v>
      </c>
      <c r="AE68" s="49">
        <f>IFERROR(up_RadSpec!$H$9*($BB$9/$B68),".")</f>
        <v>3791460.1332920268</v>
      </c>
      <c r="AF68" s="49">
        <f>IFERROR(up_RadSpec!$H$9*($BB$9/$B68),".")</f>
        <v>3791460.1332920268</v>
      </c>
      <c r="AG68" s="49">
        <f>IFERROR(up_RadSpec!$H$9*($BB$9/$B68),".")</f>
        <v>3791460.1332920268</v>
      </c>
      <c r="AH68" s="49">
        <f>IFERROR(up_RadSpec!$H$9*($BB$9/$B68),".")</f>
        <v>3791460.1332920268</v>
      </c>
      <c r="AI68" s="49">
        <f>IFERROR(up_RadSpec!$H$9*($BB$9/$B68),".")</f>
        <v>3791460.1332920268</v>
      </c>
      <c r="AJ68" s="49">
        <f>IFERROR(up_RadSpec!$H$9*($BB$9/$B68),".")</f>
        <v>3791460.1332920268</v>
      </c>
      <c r="AK68" s="49">
        <f>IFERROR(up_RadSpec!$H$9*($BB$9/$B68),".")</f>
        <v>3791460.1332920268</v>
      </c>
      <c r="AL68" s="49">
        <f>IFERROR(up_RadSpec!$H$9*($BB$9/$B68),".")</f>
        <v>3791460.1332920268</v>
      </c>
      <c r="AM68" s="49">
        <f>IFERROR(up_RadSpec!$H$9*($BB$9/$B68),".")</f>
        <v>3791460.1332920268</v>
      </c>
      <c r="AN68" s="49">
        <f>IFERROR(up_RadSpec!$H$9*($BB$9/$B68),".")</f>
        <v>3791460.1332920268</v>
      </c>
      <c r="AO68" s="49">
        <f>IFERROR(up_RadSpec!$H$9*($BB$9/$B68),".")</f>
        <v>3791460.1332920268</v>
      </c>
      <c r="AP68" s="49">
        <f>IFERROR(up_RadSpec!$H$9*($BB$9/$B68),".")</f>
        <v>3791460.1332920268</v>
      </c>
      <c r="AQ68" s="49">
        <f>IFERROR(up_RadSpec!$H$9*($BB$9/$B68),".")</f>
        <v>3791460.1332920268</v>
      </c>
      <c r="AR68" s="49">
        <f>IFERROR(up_RadSpec!$H$9*($BB$9/$B68),".")</f>
        <v>3791460.1332920268</v>
      </c>
      <c r="AS68" s="49">
        <f>IFERROR(up_RadSpec!$H$9*($BB$9/$B68),".")</f>
        <v>3791460.1332920268</v>
      </c>
      <c r="AT68" s="49">
        <f>IFERROR(up_RadSpec!$H$9*($BB$9/$B68),".")</f>
        <v>3791460.1332920268</v>
      </c>
      <c r="AU68" s="49">
        <f>IFERROR(up_RadSpec!$H$9*($BB$9/$B68),".")</f>
        <v>3791460.1332920268</v>
      </c>
      <c r="AV68" s="49">
        <f>IFERROR(up_RadSpec!$H$9*($BB$9/$B68),".")</f>
        <v>3791460.1332920268</v>
      </c>
      <c r="AW68" s="49">
        <f>IFERROR(up_RadSpec!$H$9*($BB$9/$B68),".")</f>
        <v>3791460.1332920268</v>
      </c>
      <c r="AX68" s="49">
        <f>IFERROR(up_RadSpec!$H$9*($BB$9/$B68),".")</f>
        <v>3791460.1332920268</v>
      </c>
      <c r="AY68" s="49">
        <f>IFERROR(up_RadSpec!$H$9*($BB$9/$B68),".")</f>
        <v>3791460.1332920268</v>
      </c>
      <c r="AZ68" s="49">
        <f>IFERROR(up_RadSpec!$H$9*($BB$9/$B68),".")</f>
        <v>3791460.1332920268</v>
      </c>
      <c r="BA68" s="49">
        <f>IFERROR(up_RadSpec!$H$9*($BB$9/$B68),".")</f>
        <v>3791460.1332920268</v>
      </c>
      <c r="BB68" s="49">
        <f>IFERROR(up_RadSpec!$H$9*($BB$9/$B68),".")</f>
        <v>3791460.1332920268</v>
      </c>
      <c r="BC68" s="60">
        <f t="shared" ref="BC68" si="158">IFERROR($B68/BC9,0)</f>
        <v>303316689336.6499</v>
      </c>
      <c r="BD68" s="60">
        <f t="shared" ref="BD68:CB68" si="159">IFERROR($B68/BD9,0)</f>
        <v>75829172334.162491</v>
      </c>
      <c r="BE68" s="60">
        <f t="shared" si="159"/>
        <v>75829172334.162491</v>
      </c>
      <c r="BF68" s="60">
        <f t="shared" si="159"/>
        <v>75829172334.162491</v>
      </c>
      <c r="BG68" s="60">
        <f t="shared" si="159"/>
        <v>75829172334.162491</v>
      </c>
      <c r="BH68" s="60">
        <f t="shared" si="159"/>
        <v>75829172334.162491</v>
      </c>
      <c r="BI68" s="60">
        <f t="shared" si="159"/>
        <v>75829172334.162491</v>
      </c>
      <c r="BJ68" s="60">
        <f t="shared" si="159"/>
        <v>75829172334.162491</v>
      </c>
      <c r="BK68" s="60">
        <f t="shared" si="159"/>
        <v>75829172334.162491</v>
      </c>
      <c r="BL68" s="60">
        <f t="shared" si="159"/>
        <v>75829172334.162491</v>
      </c>
      <c r="BM68" s="60">
        <f t="shared" si="159"/>
        <v>75829172334.162491</v>
      </c>
      <c r="BN68" s="60">
        <f t="shared" si="159"/>
        <v>75829172334.162491</v>
      </c>
      <c r="BO68" s="60">
        <f t="shared" si="159"/>
        <v>75829172334.162491</v>
      </c>
      <c r="BP68" s="60">
        <f t="shared" si="159"/>
        <v>75829172334.162491</v>
      </c>
      <c r="BQ68" s="60">
        <f t="shared" si="159"/>
        <v>75829172334.162491</v>
      </c>
      <c r="BR68" s="60">
        <f t="shared" si="159"/>
        <v>75829172334.162491</v>
      </c>
      <c r="BS68" s="60">
        <f t="shared" si="159"/>
        <v>75829172334.162491</v>
      </c>
      <c r="BT68" s="60">
        <f t="shared" si="159"/>
        <v>75829172334.162491</v>
      </c>
      <c r="BU68" s="60">
        <f t="shared" si="159"/>
        <v>75829172334.162491</v>
      </c>
      <c r="BV68" s="60">
        <f t="shared" si="159"/>
        <v>75829172334.162491</v>
      </c>
      <c r="BW68" s="60">
        <f t="shared" si="159"/>
        <v>75829172334.162491</v>
      </c>
      <c r="BX68" s="60">
        <f t="shared" si="159"/>
        <v>75829172334.162491</v>
      </c>
      <c r="BY68" s="60">
        <f t="shared" si="159"/>
        <v>75829172334.162491</v>
      </c>
      <c r="BZ68" s="60">
        <f t="shared" si="159"/>
        <v>75829172334.162491</v>
      </c>
      <c r="CA68" s="60">
        <f t="shared" si="159"/>
        <v>75829172334.162491</v>
      </c>
      <c r="CB68" s="60">
        <f t="shared" si="159"/>
        <v>75829172334.162491</v>
      </c>
      <c r="CC68" s="49">
        <f t="shared" si="155"/>
        <v>15165840.533168107</v>
      </c>
      <c r="CD68" s="49">
        <f>IFERROR(up_RadSpec!$H$9*(CD9/$B68),".")</f>
        <v>3791460.1332920268</v>
      </c>
      <c r="CE68" s="49">
        <f>IFERROR(up_RadSpec!$H$9*(CE9/$B68),".")</f>
        <v>3791460.1332920268</v>
      </c>
      <c r="CF68" s="49">
        <f>IFERROR(up_RadSpec!$H$9*(CF9/$B68),".")</f>
        <v>3791460.1332920268</v>
      </c>
      <c r="CG68" s="49">
        <f>IFERROR(up_RadSpec!$H$9*(CG9/$B68),".")</f>
        <v>3791460.1332920268</v>
      </c>
      <c r="CH68" s="49">
        <f>IFERROR(up_RadSpec!$H$9*(CH9/$B68),".")</f>
        <v>3791460.1332920268</v>
      </c>
      <c r="CI68" s="49">
        <f>IFERROR(up_RadSpec!$H$9*(CI9/$B68),".")</f>
        <v>3791460.1332920268</v>
      </c>
      <c r="CJ68" s="49">
        <f>IFERROR(up_RadSpec!$H$9*(CJ9/$B68),".")</f>
        <v>3791460.1332920268</v>
      </c>
      <c r="CK68" s="49">
        <f>IFERROR(up_RadSpec!$H$9*(CK9/$B68),".")</f>
        <v>3791460.1332920268</v>
      </c>
      <c r="CL68" s="49">
        <f>IFERROR(up_RadSpec!$H$9*(CL9/$B68),".")</f>
        <v>3791460.1332920268</v>
      </c>
      <c r="CM68" s="49">
        <f>IFERROR(up_RadSpec!$H$9*(CM9/$B68),".")</f>
        <v>3791460.1332920268</v>
      </c>
      <c r="CN68" s="49">
        <f>IFERROR(up_RadSpec!$H$9*(CN9/$B68),".")</f>
        <v>3791460.1332920268</v>
      </c>
      <c r="CO68" s="49">
        <f>IFERROR(up_RadSpec!$H$9*(CO9/$B68),".")</f>
        <v>3791460.1332920268</v>
      </c>
      <c r="CP68" s="49">
        <f>IFERROR(up_RadSpec!$H$9*(CP9/$B68),".")</f>
        <v>3791460.1332920268</v>
      </c>
      <c r="CQ68" s="49">
        <f>IFERROR(up_RadSpec!$H$9*(CQ9/$B68),".")</f>
        <v>3791460.1332920268</v>
      </c>
      <c r="CR68" s="49">
        <f>IFERROR(up_RadSpec!$H$9*(CR9/$B68),".")</f>
        <v>3791460.1332920268</v>
      </c>
      <c r="CS68" s="49">
        <f>IFERROR(up_RadSpec!$H$9*(CS9/$B68),".")</f>
        <v>3791460.1332920268</v>
      </c>
      <c r="CT68" s="49">
        <f>IFERROR(up_RadSpec!$H$9*(CT9/$B68),".")</f>
        <v>3791460.1332920268</v>
      </c>
      <c r="CU68" s="49">
        <f>IFERROR(up_RadSpec!$H$9*(CU9/$B68),".")</f>
        <v>3791460.1332920268</v>
      </c>
      <c r="CV68" s="49">
        <f>IFERROR(up_RadSpec!$H$9*(CV9/$B68),".")</f>
        <v>3791460.1332920268</v>
      </c>
      <c r="CW68" s="49">
        <f>IFERROR(up_RadSpec!$H$9*(CW9/$B68),".")</f>
        <v>3791460.1332920268</v>
      </c>
      <c r="CX68" s="49">
        <f>IFERROR(up_RadSpec!$H$9*(CX9/$B68),".")</f>
        <v>3791460.1332920268</v>
      </c>
      <c r="CY68" s="49">
        <f>IFERROR(up_RadSpec!$H$9*(CY9/$B68),".")</f>
        <v>3791460.1332920268</v>
      </c>
      <c r="CZ68" s="49">
        <f>IFERROR(up_RadSpec!$H$9*(CZ9/$B68),".")</f>
        <v>3791460.1332920268</v>
      </c>
      <c r="DA68" s="49">
        <f>IFERROR(up_RadSpec!$H$9*(DA9/$B68),".")</f>
        <v>3791460.1332920268</v>
      </c>
      <c r="DB68" s="49">
        <f>IFERROR(up_RadSpec!$H$9*(DB9/$B68),".")</f>
        <v>3791460.1332920268</v>
      </c>
    </row>
    <row r="69" spans="1:106" x14ac:dyDescent="0.25">
      <c r="A69" s="83" t="s">
        <v>1090</v>
      </c>
      <c r="B69" s="42">
        <v>1.9999999999999999E-7</v>
      </c>
      <c r="C69" s="60">
        <f t="shared" ref="C69" si="160">IFERROR(C24/$B55,0)</f>
        <v>1.6484417692066136E-5</v>
      </c>
      <c r="D69" s="60">
        <f t="shared" ref="D69:AB69" si="161">IFERROR(D24/$B55,0)</f>
        <v>6.5937670768264543E-5</v>
      </c>
      <c r="E69" s="60">
        <f t="shared" si="161"/>
        <v>6.5937670768264543E-5</v>
      </c>
      <c r="F69" s="60">
        <f t="shared" si="161"/>
        <v>6.5937670768264543E-5</v>
      </c>
      <c r="G69" s="60">
        <f t="shared" si="161"/>
        <v>6.5937670768264543E-5</v>
      </c>
      <c r="H69" s="60">
        <f t="shared" si="161"/>
        <v>6.5937670768264543E-5</v>
      </c>
      <c r="I69" s="60">
        <f t="shared" si="161"/>
        <v>6.5937670768264543E-5</v>
      </c>
      <c r="J69" s="60">
        <f t="shared" si="161"/>
        <v>6.5937670768264543E-5</v>
      </c>
      <c r="K69" s="60">
        <f t="shared" si="161"/>
        <v>6.5937670768264543E-5</v>
      </c>
      <c r="L69" s="60">
        <f t="shared" si="161"/>
        <v>6.5937670768264543E-5</v>
      </c>
      <c r="M69" s="60">
        <f t="shared" si="161"/>
        <v>6.5937670768264543E-5</v>
      </c>
      <c r="N69" s="60">
        <f t="shared" si="161"/>
        <v>6.5937670768264543E-5</v>
      </c>
      <c r="O69" s="60">
        <f t="shared" si="161"/>
        <v>6.5937670768264543E-5</v>
      </c>
      <c r="P69" s="60">
        <f t="shared" si="161"/>
        <v>6.5937670768264543E-5</v>
      </c>
      <c r="Q69" s="60">
        <f t="shared" si="161"/>
        <v>6.5937670768264543E-5</v>
      </c>
      <c r="R69" s="60">
        <f t="shared" si="161"/>
        <v>6.5937670768264543E-5</v>
      </c>
      <c r="S69" s="60">
        <f t="shared" si="161"/>
        <v>6.5937670768264543E-5</v>
      </c>
      <c r="T69" s="60">
        <f t="shared" si="161"/>
        <v>6.5937670768264543E-5</v>
      </c>
      <c r="U69" s="60">
        <f t="shared" si="161"/>
        <v>6.5937670768264543E-5</v>
      </c>
      <c r="V69" s="60">
        <f t="shared" si="161"/>
        <v>6.5937670768264543E-5</v>
      </c>
      <c r="W69" s="60">
        <f t="shared" si="161"/>
        <v>6.5937670768264543E-5</v>
      </c>
      <c r="X69" s="60">
        <f t="shared" si="161"/>
        <v>6.5937670768264543E-5</v>
      </c>
      <c r="Y69" s="60">
        <f t="shared" si="161"/>
        <v>6.5937670768264543E-5</v>
      </c>
      <c r="Z69" s="60">
        <f t="shared" si="161"/>
        <v>6.5937670768264543E-5</v>
      </c>
      <c r="AA69" s="60">
        <f t="shared" si="161"/>
        <v>6.5937670768264543E-5</v>
      </c>
      <c r="AB69" s="60">
        <f t="shared" si="161"/>
        <v>6.5937670768264543E-5</v>
      </c>
      <c r="AC69" s="49">
        <f t="shared" si="152"/>
        <v>75829187500000</v>
      </c>
      <c r="AD69" s="49">
        <f>IFERROR(up_RadSpec!$H$24*($BB$24/$B69),".")</f>
        <v>18957296875000</v>
      </c>
      <c r="AE69" s="49">
        <f>IFERROR(up_RadSpec!$H$24*($BB$24/$B69),".")</f>
        <v>18957296875000</v>
      </c>
      <c r="AF69" s="49">
        <f>IFERROR(up_RadSpec!$H$24*($BB$24/$B69),".")</f>
        <v>18957296875000</v>
      </c>
      <c r="AG69" s="49">
        <f>IFERROR(up_RadSpec!$H$24*($BB$24/$B69),".")</f>
        <v>18957296875000</v>
      </c>
      <c r="AH69" s="49">
        <f>IFERROR(up_RadSpec!$H$24*($BB$24/$B69),".")</f>
        <v>18957296875000</v>
      </c>
      <c r="AI69" s="49">
        <f>IFERROR(up_RadSpec!$H$24*($BB$24/$B69),".")</f>
        <v>18957296875000</v>
      </c>
      <c r="AJ69" s="49">
        <f>IFERROR(up_RadSpec!$H$24*($BB$24/$B69),".")</f>
        <v>18957296875000</v>
      </c>
      <c r="AK69" s="49">
        <f>IFERROR(up_RadSpec!$H$24*($BB$24/$B69),".")</f>
        <v>18957296875000</v>
      </c>
      <c r="AL69" s="49">
        <f>IFERROR(up_RadSpec!$H$24*($BB$24/$B69),".")</f>
        <v>18957296875000</v>
      </c>
      <c r="AM69" s="49">
        <f>IFERROR(up_RadSpec!$H$24*($BB$24/$B69),".")</f>
        <v>18957296875000</v>
      </c>
      <c r="AN69" s="49">
        <f>IFERROR(up_RadSpec!$H$24*($BB$24/$B69),".")</f>
        <v>18957296875000</v>
      </c>
      <c r="AO69" s="49">
        <f>IFERROR(up_RadSpec!$H$24*($BB$24/$B69),".")</f>
        <v>18957296875000</v>
      </c>
      <c r="AP69" s="49">
        <f>IFERROR(up_RadSpec!$H$24*($BB$24/$B69),".")</f>
        <v>18957296875000</v>
      </c>
      <c r="AQ69" s="49">
        <f>IFERROR(up_RadSpec!$H$24*($BB$24/$B69),".")</f>
        <v>18957296875000</v>
      </c>
      <c r="AR69" s="49">
        <f>IFERROR(up_RadSpec!$H$24*($BB$24/$B69),".")</f>
        <v>18957296875000</v>
      </c>
      <c r="AS69" s="49">
        <f>IFERROR(up_RadSpec!$H$24*($BB$24/$B69),".")</f>
        <v>18957296875000</v>
      </c>
      <c r="AT69" s="49">
        <f>IFERROR(up_RadSpec!$H$24*($BB$24/$B69),".")</f>
        <v>18957296875000</v>
      </c>
      <c r="AU69" s="49">
        <f>IFERROR(up_RadSpec!$H$24*($BB$24/$B69),".")</f>
        <v>18957296875000</v>
      </c>
      <c r="AV69" s="49">
        <f>IFERROR(up_RadSpec!$H$24*($BB$24/$B69),".")</f>
        <v>18957296875000</v>
      </c>
      <c r="AW69" s="49">
        <f>IFERROR(up_RadSpec!$H$24*($BB$24/$B69),".")</f>
        <v>18957296875000</v>
      </c>
      <c r="AX69" s="49">
        <f>IFERROR(up_RadSpec!$H$24*($BB$24/$B69),".")</f>
        <v>18957296875000</v>
      </c>
      <c r="AY69" s="49">
        <f>IFERROR(up_RadSpec!$H$24*($BB$24/$B69),".")</f>
        <v>18957296875000</v>
      </c>
      <c r="AZ69" s="49">
        <f>IFERROR(up_RadSpec!$H$24*($BB$24/$B69),".")</f>
        <v>18957296875000</v>
      </c>
      <c r="BA69" s="49">
        <f>IFERROR(up_RadSpec!$H$24*($BB$24/$B69),".")</f>
        <v>18957296875000</v>
      </c>
      <c r="BB69" s="49">
        <f>IFERROR(up_RadSpec!$H$24*($BB$24/$B69),".")</f>
        <v>18957296875000</v>
      </c>
      <c r="BC69" s="60">
        <f t="shared" ref="BC69" si="162">IFERROR($B69/BC24,0)</f>
        <v>60663.349999999984</v>
      </c>
      <c r="BD69" s="60">
        <f t="shared" ref="BD69:CB69" si="163">IFERROR($B69/BD24,0)</f>
        <v>15165.837499999998</v>
      </c>
      <c r="BE69" s="60">
        <f t="shared" si="163"/>
        <v>15165.837499999998</v>
      </c>
      <c r="BF69" s="60">
        <f t="shared" si="163"/>
        <v>15165.837499999998</v>
      </c>
      <c r="BG69" s="60">
        <f t="shared" si="163"/>
        <v>15165.837499999998</v>
      </c>
      <c r="BH69" s="60">
        <f t="shared" si="163"/>
        <v>15165.837499999998</v>
      </c>
      <c r="BI69" s="60">
        <f t="shared" si="163"/>
        <v>15165.837499999998</v>
      </c>
      <c r="BJ69" s="60">
        <f t="shared" si="163"/>
        <v>15165.837499999998</v>
      </c>
      <c r="BK69" s="60">
        <f t="shared" si="163"/>
        <v>15165.837499999998</v>
      </c>
      <c r="BL69" s="60">
        <f t="shared" si="163"/>
        <v>15165.837499999998</v>
      </c>
      <c r="BM69" s="60">
        <f t="shared" si="163"/>
        <v>15165.837499999998</v>
      </c>
      <c r="BN69" s="60">
        <f t="shared" si="163"/>
        <v>15165.837499999998</v>
      </c>
      <c r="BO69" s="60">
        <f t="shared" si="163"/>
        <v>15165.837499999998</v>
      </c>
      <c r="BP69" s="60">
        <f t="shared" si="163"/>
        <v>15165.837499999998</v>
      </c>
      <c r="BQ69" s="60">
        <f t="shared" si="163"/>
        <v>15165.837499999998</v>
      </c>
      <c r="BR69" s="60">
        <f t="shared" si="163"/>
        <v>15165.837499999998</v>
      </c>
      <c r="BS69" s="60">
        <f t="shared" si="163"/>
        <v>15165.837499999998</v>
      </c>
      <c r="BT69" s="60">
        <f t="shared" si="163"/>
        <v>15165.837499999998</v>
      </c>
      <c r="BU69" s="60">
        <f t="shared" si="163"/>
        <v>15165.837499999998</v>
      </c>
      <c r="BV69" s="60">
        <f t="shared" si="163"/>
        <v>15165.837499999998</v>
      </c>
      <c r="BW69" s="60">
        <f t="shared" si="163"/>
        <v>15165.837499999998</v>
      </c>
      <c r="BX69" s="60">
        <f t="shared" si="163"/>
        <v>15165.837499999998</v>
      </c>
      <c r="BY69" s="60">
        <f t="shared" si="163"/>
        <v>15165.837499999998</v>
      </c>
      <c r="BZ69" s="60">
        <f t="shared" si="163"/>
        <v>15165.837499999998</v>
      </c>
      <c r="CA69" s="60">
        <f t="shared" si="163"/>
        <v>15165.837499999998</v>
      </c>
      <c r="CB69" s="60">
        <f t="shared" si="163"/>
        <v>15165.837499999998</v>
      </c>
      <c r="CC69" s="49">
        <f t="shared" si="155"/>
        <v>75829187500000</v>
      </c>
      <c r="CD69" s="49">
        <f>IFERROR(up_RadSpec!$H$24*(CD24/$B69),".")</f>
        <v>18957296875000</v>
      </c>
      <c r="CE69" s="49">
        <f>IFERROR(up_RadSpec!$H$24*(CE24/$B69),".")</f>
        <v>18957296875000</v>
      </c>
      <c r="CF69" s="49">
        <f>IFERROR(up_RadSpec!$H$24*(CF24/$B69),".")</f>
        <v>18957296875000</v>
      </c>
      <c r="CG69" s="49">
        <f>IFERROR(up_RadSpec!$H$24*(CG24/$B69),".")</f>
        <v>18957296875000</v>
      </c>
      <c r="CH69" s="49">
        <f>IFERROR(up_RadSpec!$H$24*(CH24/$B69),".")</f>
        <v>18957296875000</v>
      </c>
      <c r="CI69" s="49">
        <f>IFERROR(up_RadSpec!$H$24*(CI24/$B69),".")</f>
        <v>18957296875000</v>
      </c>
      <c r="CJ69" s="49">
        <f>IFERROR(up_RadSpec!$H$24*(CJ24/$B69),".")</f>
        <v>18957296875000</v>
      </c>
      <c r="CK69" s="49">
        <f>IFERROR(up_RadSpec!$H$24*(CK24/$B69),".")</f>
        <v>18957296875000</v>
      </c>
      <c r="CL69" s="49">
        <f>IFERROR(up_RadSpec!$H$24*(CL24/$B69),".")</f>
        <v>18957296875000</v>
      </c>
      <c r="CM69" s="49">
        <f>IFERROR(up_RadSpec!$H$24*(CM24/$B69),".")</f>
        <v>18957296875000</v>
      </c>
      <c r="CN69" s="49">
        <f>IFERROR(up_RadSpec!$H$24*(CN24/$B69),".")</f>
        <v>18957296875000</v>
      </c>
      <c r="CO69" s="49">
        <f>IFERROR(up_RadSpec!$H$24*(CO24/$B69),".")</f>
        <v>18957296875000</v>
      </c>
      <c r="CP69" s="49">
        <f>IFERROR(up_RadSpec!$H$24*(CP24/$B69),".")</f>
        <v>18957296875000</v>
      </c>
      <c r="CQ69" s="49">
        <f>IFERROR(up_RadSpec!$H$24*(CQ24/$B69),".")</f>
        <v>18957296875000</v>
      </c>
      <c r="CR69" s="49">
        <f>IFERROR(up_RadSpec!$H$24*(CR24/$B69),".")</f>
        <v>18957296875000</v>
      </c>
      <c r="CS69" s="49">
        <f>IFERROR(up_RadSpec!$H$24*(CS24/$B69),".")</f>
        <v>18957296875000</v>
      </c>
      <c r="CT69" s="49">
        <f>IFERROR(up_RadSpec!$H$24*(CT24/$B69),".")</f>
        <v>18957296875000</v>
      </c>
      <c r="CU69" s="49">
        <f>IFERROR(up_RadSpec!$H$24*(CU24/$B69),".")</f>
        <v>18957296875000</v>
      </c>
      <c r="CV69" s="49">
        <f>IFERROR(up_RadSpec!$H$24*(CV24/$B69),".")</f>
        <v>18957296875000</v>
      </c>
      <c r="CW69" s="49">
        <f>IFERROR(up_RadSpec!$H$24*(CW24/$B69),".")</f>
        <v>18957296875000</v>
      </c>
      <c r="CX69" s="49">
        <f>IFERROR(up_RadSpec!$H$24*(CX24/$B69),".")</f>
        <v>18957296875000</v>
      </c>
      <c r="CY69" s="49">
        <f>IFERROR(up_RadSpec!$H$24*(CY24/$B69),".")</f>
        <v>18957296875000</v>
      </c>
      <c r="CZ69" s="49">
        <f>IFERROR(up_RadSpec!$H$24*(CZ24/$B69),".")</f>
        <v>18957296875000</v>
      </c>
      <c r="DA69" s="49">
        <f>IFERROR(up_RadSpec!$H$24*(DA24/$B69),".")</f>
        <v>18957296875000</v>
      </c>
      <c r="DB69" s="49">
        <f>IFERROR(up_RadSpec!$H$24*(DB24/$B69),".")</f>
        <v>18957296875000</v>
      </c>
    </row>
    <row r="70" spans="1:106" x14ac:dyDescent="0.25">
      <c r="A70" s="83" t="s">
        <v>1091</v>
      </c>
      <c r="B70" s="42">
        <v>0.99979000004200003</v>
      </c>
      <c r="C70" s="60">
        <f t="shared" ref="C70" si="164">IFERROR(C20/$B56,0)</f>
        <v>3.2975760292408697E-12</v>
      </c>
      <c r="D70" s="60">
        <f t="shared" ref="D70:AB70" si="165">IFERROR(D20/$B56,0)</f>
        <v>1.3190304116963477E-11</v>
      </c>
      <c r="E70" s="60">
        <f t="shared" si="165"/>
        <v>1.3190304116963477E-11</v>
      </c>
      <c r="F70" s="60">
        <f t="shared" si="165"/>
        <v>1.3190304116963477E-11</v>
      </c>
      <c r="G70" s="60">
        <f t="shared" si="165"/>
        <v>1.3190304116963477E-11</v>
      </c>
      <c r="H70" s="60">
        <f t="shared" si="165"/>
        <v>1.3190304116963477E-11</v>
      </c>
      <c r="I70" s="60">
        <f t="shared" si="165"/>
        <v>1.3190304116963477E-11</v>
      </c>
      <c r="J70" s="60">
        <f t="shared" si="165"/>
        <v>1.3190304116963477E-11</v>
      </c>
      <c r="K70" s="60">
        <f t="shared" si="165"/>
        <v>1.3190304116963477E-11</v>
      </c>
      <c r="L70" s="60">
        <f t="shared" si="165"/>
        <v>1.3190304116963477E-11</v>
      </c>
      <c r="M70" s="60">
        <f t="shared" si="165"/>
        <v>1.3190304116963477E-11</v>
      </c>
      <c r="N70" s="60">
        <f t="shared" si="165"/>
        <v>1.3190304116963477E-11</v>
      </c>
      <c r="O70" s="60">
        <f t="shared" si="165"/>
        <v>1.3190304116963477E-11</v>
      </c>
      <c r="P70" s="60">
        <f t="shared" si="165"/>
        <v>1.3190304116963477E-11</v>
      </c>
      <c r="Q70" s="60">
        <f t="shared" si="165"/>
        <v>1.3190304116963477E-11</v>
      </c>
      <c r="R70" s="60">
        <f t="shared" si="165"/>
        <v>1.3190304116963477E-11</v>
      </c>
      <c r="S70" s="60">
        <f t="shared" si="165"/>
        <v>1.3190304116963477E-11</v>
      </c>
      <c r="T70" s="60">
        <f t="shared" si="165"/>
        <v>1.3190304116963477E-11</v>
      </c>
      <c r="U70" s="60">
        <f t="shared" si="165"/>
        <v>1.3190304116963477E-11</v>
      </c>
      <c r="V70" s="60">
        <f t="shared" si="165"/>
        <v>1.3190304116963477E-11</v>
      </c>
      <c r="W70" s="60">
        <f t="shared" si="165"/>
        <v>1.3190304116963477E-11</v>
      </c>
      <c r="X70" s="60">
        <f t="shared" si="165"/>
        <v>1.3190304116963477E-11</v>
      </c>
      <c r="Y70" s="60">
        <f t="shared" si="165"/>
        <v>1.3190304116963477E-11</v>
      </c>
      <c r="Z70" s="60">
        <f t="shared" si="165"/>
        <v>1.3190304116963477E-11</v>
      </c>
      <c r="AA70" s="60">
        <f t="shared" si="165"/>
        <v>1.3190304116963477E-11</v>
      </c>
      <c r="AB70" s="60">
        <f t="shared" si="165"/>
        <v>1.3190304116963477E-11</v>
      </c>
      <c r="AC70" s="49">
        <f t="shared" si="152"/>
        <v>15169022.994191682</v>
      </c>
      <c r="AD70" s="49">
        <f>IFERROR(up_RadSpec!$H$20*($BB$20/$B70),".")</f>
        <v>3792255.7485479205</v>
      </c>
      <c r="AE70" s="49">
        <f>IFERROR(up_RadSpec!$H$20*($BB$20/$B70),".")</f>
        <v>3792255.7485479205</v>
      </c>
      <c r="AF70" s="49">
        <f>IFERROR(up_RadSpec!$H$20*($BB$20/$B70),".")</f>
        <v>3792255.7485479205</v>
      </c>
      <c r="AG70" s="49">
        <f>IFERROR(up_RadSpec!$H$20*($BB$20/$B70),".")</f>
        <v>3792255.7485479205</v>
      </c>
      <c r="AH70" s="49">
        <f>IFERROR(up_RadSpec!$H$20*($BB$20/$B70),".")</f>
        <v>3792255.7485479205</v>
      </c>
      <c r="AI70" s="49">
        <f>IFERROR(up_RadSpec!$H$20*($BB$20/$B70),".")</f>
        <v>3792255.7485479205</v>
      </c>
      <c r="AJ70" s="49">
        <f>IFERROR(up_RadSpec!$H$20*($BB$20/$B70),".")</f>
        <v>3792255.7485479205</v>
      </c>
      <c r="AK70" s="49">
        <f>IFERROR(up_RadSpec!$H$20*($BB$20/$B70),".")</f>
        <v>3792255.7485479205</v>
      </c>
      <c r="AL70" s="49">
        <f>IFERROR(up_RadSpec!$H$20*($BB$20/$B70),".")</f>
        <v>3792255.7485479205</v>
      </c>
      <c r="AM70" s="49">
        <f>IFERROR(up_RadSpec!$H$20*($BB$20/$B70),".")</f>
        <v>3792255.7485479205</v>
      </c>
      <c r="AN70" s="49">
        <f>IFERROR(up_RadSpec!$H$20*($BB$20/$B70),".")</f>
        <v>3792255.7485479205</v>
      </c>
      <c r="AO70" s="49">
        <f>IFERROR(up_RadSpec!$H$20*($BB$20/$B70),".")</f>
        <v>3792255.7485479205</v>
      </c>
      <c r="AP70" s="49">
        <f>IFERROR(up_RadSpec!$H$20*($BB$20/$B70),".")</f>
        <v>3792255.7485479205</v>
      </c>
      <c r="AQ70" s="49">
        <f>IFERROR(up_RadSpec!$H$20*($BB$20/$B70),".")</f>
        <v>3792255.7485479205</v>
      </c>
      <c r="AR70" s="49">
        <f>IFERROR(up_RadSpec!$H$20*($BB$20/$B70),".")</f>
        <v>3792255.7485479205</v>
      </c>
      <c r="AS70" s="49">
        <f>IFERROR(up_RadSpec!$H$20*($BB$20/$B70),".")</f>
        <v>3792255.7485479205</v>
      </c>
      <c r="AT70" s="49">
        <f>IFERROR(up_RadSpec!$H$20*($BB$20/$B70),".")</f>
        <v>3792255.7485479205</v>
      </c>
      <c r="AU70" s="49">
        <f>IFERROR(up_RadSpec!$H$20*($BB$20/$B70),".")</f>
        <v>3792255.7485479205</v>
      </c>
      <c r="AV70" s="49">
        <f>IFERROR(up_RadSpec!$H$20*($BB$20/$B70),".")</f>
        <v>3792255.7485479205</v>
      </c>
      <c r="AW70" s="49">
        <f>IFERROR(up_RadSpec!$H$20*($BB$20/$B70),".")</f>
        <v>3792255.7485479205</v>
      </c>
      <c r="AX70" s="49">
        <f>IFERROR(up_RadSpec!$H$20*($BB$20/$B70),".")</f>
        <v>3792255.7485479205</v>
      </c>
      <c r="AY70" s="49">
        <f>IFERROR(up_RadSpec!$H$20*($BB$20/$B70),".")</f>
        <v>3792255.7485479205</v>
      </c>
      <c r="AZ70" s="49">
        <f>IFERROR(up_RadSpec!$H$20*($BB$20/$B70),".")</f>
        <v>3792255.7485479205</v>
      </c>
      <c r="BA70" s="49">
        <f>IFERROR(up_RadSpec!$H$20*($BB$20/$B70),".")</f>
        <v>3792255.7485479205</v>
      </c>
      <c r="BB70" s="49">
        <f>IFERROR(up_RadSpec!$H$20*($BB$20/$B70),".")</f>
        <v>3792255.7485479205</v>
      </c>
      <c r="BC70" s="60">
        <f t="shared" ref="BC70" si="166">IFERROR($B70/BC20,0)</f>
        <v>303253053495.23926</v>
      </c>
      <c r="BD70" s="60">
        <f t="shared" ref="BD70:CB70" si="167">IFERROR($B70/BD20,0)</f>
        <v>75813263373.809814</v>
      </c>
      <c r="BE70" s="60">
        <f t="shared" si="167"/>
        <v>75813263373.809814</v>
      </c>
      <c r="BF70" s="60">
        <f t="shared" si="167"/>
        <v>75813263373.809814</v>
      </c>
      <c r="BG70" s="60">
        <f t="shared" si="167"/>
        <v>75813263373.809814</v>
      </c>
      <c r="BH70" s="60">
        <f t="shared" si="167"/>
        <v>75813263373.809814</v>
      </c>
      <c r="BI70" s="60">
        <f t="shared" si="167"/>
        <v>75813263373.809814</v>
      </c>
      <c r="BJ70" s="60">
        <f t="shared" si="167"/>
        <v>75813263373.809814</v>
      </c>
      <c r="BK70" s="60">
        <f t="shared" si="167"/>
        <v>75813263373.809814</v>
      </c>
      <c r="BL70" s="60">
        <f t="shared" si="167"/>
        <v>75813263373.809814</v>
      </c>
      <c r="BM70" s="60">
        <f t="shared" si="167"/>
        <v>75813263373.809814</v>
      </c>
      <c r="BN70" s="60">
        <f t="shared" si="167"/>
        <v>75813263373.809814</v>
      </c>
      <c r="BO70" s="60">
        <f t="shared" si="167"/>
        <v>75813263373.809814</v>
      </c>
      <c r="BP70" s="60">
        <f t="shared" si="167"/>
        <v>75813263373.809814</v>
      </c>
      <c r="BQ70" s="60">
        <f t="shared" si="167"/>
        <v>75813263373.809814</v>
      </c>
      <c r="BR70" s="60">
        <f t="shared" si="167"/>
        <v>75813263373.809814</v>
      </c>
      <c r="BS70" s="60">
        <f t="shared" si="167"/>
        <v>75813263373.809814</v>
      </c>
      <c r="BT70" s="60">
        <f t="shared" si="167"/>
        <v>75813263373.809814</v>
      </c>
      <c r="BU70" s="60">
        <f t="shared" si="167"/>
        <v>75813263373.809814</v>
      </c>
      <c r="BV70" s="60">
        <f t="shared" si="167"/>
        <v>75813263373.809814</v>
      </c>
      <c r="BW70" s="60">
        <f t="shared" si="167"/>
        <v>75813263373.809814</v>
      </c>
      <c r="BX70" s="60">
        <f t="shared" si="167"/>
        <v>75813263373.809814</v>
      </c>
      <c r="BY70" s="60">
        <f t="shared" si="167"/>
        <v>75813263373.809814</v>
      </c>
      <c r="BZ70" s="60">
        <f t="shared" si="167"/>
        <v>75813263373.809814</v>
      </c>
      <c r="CA70" s="60">
        <f t="shared" si="167"/>
        <v>75813263373.809814</v>
      </c>
      <c r="CB70" s="60">
        <f t="shared" si="167"/>
        <v>75813263373.809814</v>
      </c>
      <c r="CC70" s="49">
        <f t="shared" si="155"/>
        <v>15169022.994191682</v>
      </c>
      <c r="CD70" s="49">
        <f>IFERROR(up_RadSpec!$H$20*(CD20/$B70),".")</f>
        <v>3792255.7485479205</v>
      </c>
      <c r="CE70" s="49">
        <f>IFERROR(up_RadSpec!$H$20*(CE20/$B70),".")</f>
        <v>3792255.7485479205</v>
      </c>
      <c r="CF70" s="49">
        <f>IFERROR(up_RadSpec!$H$20*(CF20/$B70),".")</f>
        <v>3792255.7485479205</v>
      </c>
      <c r="CG70" s="49">
        <f>IFERROR(up_RadSpec!$H$20*(CG20/$B70),".")</f>
        <v>3792255.7485479205</v>
      </c>
      <c r="CH70" s="49">
        <f>IFERROR(up_RadSpec!$H$20*(CH20/$B70),".")</f>
        <v>3792255.7485479205</v>
      </c>
      <c r="CI70" s="49">
        <f>IFERROR(up_RadSpec!$H$20*(CI20/$B70),".")</f>
        <v>3792255.7485479205</v>
      </c>
      <c r="CJ70" s="49">
        <f>IFERROR(up_RadSpec!$H$20*(CJ20/$B70),".")</f>
        <v>3792255.7485479205</v>
      </c>
      <c r="CK70" s="49">
        <f>IFERROR(up_RadSpec!$H$20*(CK20/$B70),".")</f>
        <v>3792255.7485479205</v>
      </c>
      <c r="CL70" s="49">
        <f>IFERROR(up_RadSpec!$H$20*(CL20/$B70),".")</f>
        <v>3792255.7485479205</v>
      </c>
      <c r="CM70" s="49">
        <f>IFERROR(up_RadSpec!$H$20*(CM20/$B70),".")</f>
        <v>3792255.7485479205</v>
      </c>
      <c r="CN70" s="49">
        <f>IFERROR(up_RadSpec!$H$20*(CN20/$B70),".")</f>
        <v>3792255.7485479205</v>
      </c>
      <c r="CO70" s="49">
        <f>IFERROR(up_RadSpec!$H$20*(CO20/$B70),".")</f>
        <v>3792255.7485479205</v>
      </c>
      <c r="CP70" s="49">
        <f>IFERROR(up_RadSpec!$H$20*(CP20/$B70),".")</f>
        <v>3792255.7485479205</v>
      </c>
      <c r="CQ70" s="49">
        <f>IFERROR(up_RadSpec!$H$20*(CQ20/$B70),".")</f>
        <v>3792255.7485479205</v>
      </c>
      <c r="CR70" s="49">
        <f>IFERROR(up_RadSpec!$H$20*(CR20/$B70),".")</f>
        <v>3792255.7485479205</v>
      </c>
      <c r="CS70" s="49">
        <f>IFERROR(up_RadSpec!$H$20*(CS20/$B70),".")</f>
        <v>3792255.7485479205</v>
      </c>
      <c r="CT70" s="49">
        <f>IFERROR(up_RadSpec!$H$20*(CT20/$B70),".")</f>
        <v>3792255.7485479205</v>
      </c>
      <c r="CU70" s="49">
        <f>IFERROR(up_RadSpec!$H$20*(CU20/$B70),".")</f>
        <v>3792255.7485479205</v>
      </c>
      <c r="CV70" s="49">
        <f>IFERROR(up_RadSpec!$H$20*(CV20/$B70),".")</f>
        <v>3792255.7485479205</v>
      </c>
      <c r="CW70" s="49">
        <f>IFERROR(up_RadSpec!$H$20*(CW20/$B70),".")</f>
        <v>3792255.7485479205</v>
      </c>
      <c r="CX70" s="49">
        <f>IFERROR(up_RadSpec!$H$20*(CX20/$B70),".")</f>
        <v>3792255.7485479205</v>
      </c>
      <c r="CY70" s="49">
        <f>IFERROR(up_RadSpec!$H$20*(CY20/$B70),".")</f>
        <v>3792255.7485479205</v>
      </c>
      <c r="CZ70" s="49">
        <f>IFERROR(up_RadSpec!$H$20*(CZ20/$B70),".")</f>
        <v>3792255.7485479205</v>
      </c>
      <c r="DA70" s="49">
        <f>IFERROR(up_RadSpec!$H$20*(DA20/$B70),".")</f>
        <v>3792255.7485479205</v>
      </c>
      <c r="DB70" s="49">
        <f>IFERROR(up_RadSpec!$H$20*(DB20/$B70),".")</f>
        <v>3792255.7485479205</v>
      </c>
    </row>
    <row r="71" spans="1:106" x14ac:dyDescent="0.25">
      <c r="A71" s="83" t="s">
        <v>1092</v>
      </c>
      <c r="B71" s="42">
        <v>2.0999995799999999E-4</v>
      </c>
      <c r="C71" s="60">
        <f t="shared" ref="C71" si="168">IFERROR(C29/$B57,0)</f>
        <v>1.569944856090508E-8</v>
      </c>
      <c r="D71" s="60">
        <f t="shared" ref="D71:AB71" si="169">IFERROR(D29/$B57,0)</f>
        <v>6.2797794243620319E-8</v>
      </c>
      <c r="E71" s="60">
        <f t="shared" si="169"/>
        <v>6.2797794243620319E-8</v>
      </c>
      <c r="F71" s="60">
        <f t="shared" si="169"/>
        <v>6.2797794243620319E-8</v>
      </c>
      <c r="G71" s="60">
        <f t="shared" si="169"/>
        <v>6.2797794243620319E-8</v>
      </c>
      <c r="H71" s="60">
        <f t="shared" si="169"/>
        <v>6.2797794243620319E-8</v>
      </c>
      <c r="I71" s="60">
        <f t="shared" si="169"/>
        <v>6.2797794243620319E-8</v>
      </c>
      <c r="J71" s="60">
        <f t="shared" si="169"/>
        <v>6.2797794243620319E-8</v>
      </c>
      <c r="K71" s="60">
        <f t="shared" si="169"/>
        <v>6.2797794243620319E-8</v>
      </c>
      <c r="L71" s="60">
        <f t="shared" si="169"/>
        <v>6.2797794243620319E-8</v>
      </c>
      <c r="M71" s="60">
        <f t="shared" si="169"/>
        <v>6.2797794243620319E-8</v>
      </c>
      <c r="N71" s="60">
        <f t="shared" si="169"/>
        <v>6.2797794243620319E-8</v>
      </c>
      <c r="O71" s="60">
        <f t="shared" si="169"/>
        <v>6.2797794243620319E-8</v>
      </c>
      <c r="P71" s="60">
        <f t="shared" si="169"/>
        <v>6.2797794243620319E-8</v>
      </c>
      <c r="Q71" s="60">
        <f t="shared" si="169"/>
        <v>6.2797794243620319E-8</v>
      </c>
      <c r="R71" s="60">
        <f t="shared" si="169"/>
        <v>6.2797794243620319E-8</v>
      </c>
      <c r="S71" s="60">
        <f t="shared" si="169"/>
        <v>6.2797794243620319E-8</v>
      </c>
      <c r="T71" s="60">
        <f t="shared" si="169"/>
        <v>6.2797794243620319E-8</v>
      </c>
      <c r="U71" s="60">
        <f t="shared" si="169"/>
        <v>6.2797794243620319E-8</v>
      </c>
      <c r="V71" s="60">
        <f t="shared" si="169"/>
        <v>6.2797794243620319E-8</v>
      </c>
      <c r="W71" s="60">
        <f t="shared" si="169"/>
        <v>6.2797794243620319E-8</v>
      </c>
      <c r="X71" s="60">
        <f t="shared" si="169"/>
        <v>6.2797794243620319E-8</v>
      </c>
      <c r="Y71" s="60">
        <f t="shared" si="169"/>
        <v>6.2797794243620319E-8</v>
      </c>
      <c r="Z71" s="60">
        <f t="shared" si="169"/>
        <v>6.2797794243620319E-8</v>
      </c>
      <c r="AA71" s="60">
        <f t="shared" si="169"/>
        <v>6.2797794243620319E-8</v>
      </c>
      <c r="AB71" s="60">
        <f t="shared" si="169"/>
        <v>6.2797794243620319E-8</v>
      </c>
      <c r="AC71" s="49">
        <f t="shared" si="152"/>
        <v>72218288253.181473</v>
      </c>
      <c r="AD71" s="49">
        <f>IFERROR(up_RadSpec!$H$29*($BB$29/$B71),".")</f>
        <v>18054572063.295368</v>
      </c>
      <c r="AE71" s="49">
        <f>IFERROR(up_RadSpec!$H$29*($BB$29/$B71),".")</f>
        <v>18054572063.295368</v>
      </c>
      <c r="AF71" s="49">
        <f>IFERROR(up_RadSpec!$H$29*($BB$29/$B71),".")</f>
        <v>18054572063.295368</v>
      </c>
      <c r="AG71" s="49">
        <f>IFERROR(up_RadSpec!$H$29*($BB$29/$B71),".")</f>
        <v>18054572063.295368</v>
      </c>
      <c r="AH71" s="49">
        <f>IFERROR(up_RadSpec!$H$29*($BB$29/$B71),".")</f>
        <v>18054572063.295368</v>
      </c>
      <c r="AI71" s="49">
        <f>IFERROR(up_RadSpec!$H$29*($BB$29/$B71),".")</f>
        <v>18054572063.295368</v>
      </c>
      <c r="AJ71" s="49">
        <f>IFERROR(up_RadSpec!$H$29*($BB$29/$B71),".")</f>
        <v>18054572063.295368</v>
      </c>
      <c r="AK71" s="49">
        <f>IFERROR(up_RadSpec!$H$29*($BB$29/$B71),".")</f>
        <v>18054572063.295368</v>
      </c>
      <c r="AL71" s="49">
        <f>IFERROR(up_RadSpec!$H$29*($BB$29/$B71),".")</f>
        <v>18054572063.295368</v>
      </c>
      <c r="AM71" s="49">
        <f>IFERROR(up_RadSpec!$H$29*($BB$29/$B71),".")</f>
        <v>18054572063.295368</v>
      </c>
      <c r="AN71" s="49">
        <f>IFERROR(up_RadSpec!$H$29*($BB$29/$B71),".")</f>
        <v>18054572063.295368</v>
      </c>
      <c r="AO71" s="49">
        <f>IFERROR(up_RadSpec!$H$29*($BB$29/$B71),".")</f>
        <v>18054572063.295368</v>
      </c>
      <c r="AP71" s="49">
        <f>IFERROR(up_RadSpec!$H$29*($BB$29/$B71),".")</f>
        <v>18054572063.295368</v>
      </c>
      <c r="AQ71" s="49">
        <f>IFERROR(up_RadSpec!$H$29*($BB$29/$B71),".")</f>
        <v>18054572063.295368</v>
      </c>
      <c r="AR71" s="49">
        <f>IFERROR(up_RadSpec!$H$29*($BB$29/$B71),".")</f>
        <v>18054572063.295368</v>
      </c>
      <c r="AS71" s="49">
        <f>IFERROR(up_RadSpec!$H$29*($BB$29/$B71),".")</f>
        <v>18054572063.295368</v>
      </c>
      <c r="AT71" s="49">
        <f>IFERROR(up_RadSpec!$H$29*($BB$29/$B71),".")</f>
        <v>18054572063.295368</v>
      </c>
      <c r="AU71" s="49">
        <f>IFERROR(up_RadSpec!$H$29*($BB$29/$B71),".")</f>
        <v>18054572063.295368</v>
      </c>
      <c r="AV71" s="49">
        <f>IFERROR(up_RadSpec!$H$29*($BB$29/$B71),".")</f>
        <v>18054572063.295368</v>
      </c>
      <c r="AW71" s="49">
        <f>IFERROR(up_RadSpec!$H$29*($BB$29/$B71),".")</f>
        <v>18054572063.295368</v>
      </c>
      <c r="AX71" s="49">
        <f>IFERROR(up_RadSpec!$H$29*($BB$29/$B71),".")</f>
        <v>18054572063.295368</v>
      </c>
      <c r="AY71" s="49">
        <f>IFERROR(up_RadSpec!$H$29*($BB$29/$B71),".")</f>
        <v>18054572063.295368</v>
      </c>
      <c r="AZ71" s="49">
        <f>IFERROR(up_RadSpec!$H$29*($BB$29/$B71),".")</f>
        <v>18054572063.295368</v>
      </c>
      <c r="BA71" s="49">
        <f>IFERROR(up_RadSpec!$H$29*($BB$29/$B71),".")</f>
        <v>18054572063.295368</v>
      </c>
      <c r="BB71" s="49">
        <f>IFERROR(up_RadSpec!$H$29*($BB$29/$B71),".")</f>
        <v>18054572063.295368</v>
      </c>
      <c r="BC71" s="60">
        <f t="shared" ref="BC71" si="170">IFERROR($B71/BC29,0)</f>
        <v>63696504.760696478</v>
      </c>
      <c r="BD71" s="60">
        <f t="shared" ref="BD71:CB71" si="171">IFERROR($B71/BD29,0)</f>
        <v>15924126.190174121</v>
      </c>
      <c r="BE71" s="60">
        <f t="shared" si="171"/>
        <v>15924126.190174121</v>
      </c>
      <c r="BF71" s="60">
        <f t="shared" si="171"/>
        <v>15924126.190174121</v>
      </c>
      <c r="BG71" s="60">
        <f t="shared" si="171"/>
        <v>15924126.190174121</v>
      </c>
      <c r="BH71" s="60">
        <f t="shared" si="171"/>
        <v>15924126.190174121</v>
      </c>
      <c r="BI71" s="60">
        <f t="shared" si="171"/>
        <v>15924126.190174121</v>
      </c>
      <c r="BJ71" s="60">
        <f t="shared" si="171"/>
        <v>15924126.190174121</v>
      </c>
      <c r="BK71" s="60">
        <f t="shared" si="171"/>
        <v>15924126.190174121</v>
      </c>
      <c r="BL71" s="60">
        <f t="shared" si="171"/>
        <v>15924126.190174121</v>
      </c>
      <c r="BM71" s="60">
        <f t="shared" si="171"/>
        <v>15924126.190174121</v>
      </c>
      <c r="BN71" s="60">
        <f t="shared" si="171"/>
        <v>15924126.190174121</v>
      </c>
      <c r="BO71" s="60">
        <f t="shared" si="171"/>
        <v>15924126.190174121</v>
      </c>
      <c r="BP71" s="60">
        <f t="shared" si="171"/>
        <v>15924126.190174121</v>
      </c>
      <c r="BQ71" s="60">
        <f t="shared" si="171"/>
        <v>15924126.190174121</v>
      </c>
      <c r="BR71" s="60">
        <f t="shared" si="171"/>
        <v>15924126.190174121</v>
      </c>
      <c r="BS71" s="60">
        <f t="shared" si="171"/>
        <v>15924126.190174121</v>
      </c>
      <c r="BT71" s="60">
        <f t="shared" si="171"/>
        <v>15924126.190174121</v>
      </c>
      <c r="BU71" s="60">
        <f t="shared" si="171"/>
        <v>15924126.190174121</v>
      </c>
      <c r="BV71" s="60">
        <f t="shared" si="171"/>
        <v>15924126.190174121</v>
      </c>
      <c r="BW71" s="60">
        <f t="shared" si="171"/>
        <v>15924126.190174121</v>
      </c>
      <c r="BX71" s="60">
        <f t="shared" si="171"/>
        <v>15924126.190174121</v>
      </c>
      <c r="BY71" s="60">
        <f t="shared" si="171"/>
        <v>15924126.190174121</v>
      </c>
      <c r="BZ71" s="60">
        <f t="shared" si="171"/>
        <v>15924126.190174121</v>
      </c>
      <c r="CA71" s="60">
        <f t="shared" si="171"/>
        <v>15924126.190174121</v>
      </c>
      <c r="CB71" s="60">
        <f t="shared" si="171"/>
        <v>15924126.190174121</v>
      </c>
      <c r="CC71" s="49">
        <f t="shared" si="155"/>
        <v>72218288253.181473</v>
      </c>
      <c r="CD71" s="49">
        <f>IFERROR(up_RadSpec!$H$29*(CD29/$B71),".")</f>
        <v>18054572063.295368</v>
      </c>
      <c r="CE71" s="49">
        <f>IFERROR(up_RadSpec!$H$29*(CE29/$B71),".")</f>
        <v>18054572063.295368</v>
      </c>
      <c r="CF71" s="49">
        <f>IFERROR(up_RadSpec!$H$29*(CF29/$B71),".")</f>
        <v>18054572063.295368</v>
      </c>
      <c r="CG71" s="49">
        <f>IFERROR(up_RadSpec!$H$29*(CG29/$B71),".")</f>
        <v>18054572063.295368</v>
      </c>
      <c r="CH71" s="49">
        <f>IFERROR(up_RadSpec!$H$29*(CH29/$B71),".")</f>
        <v>18054572063.295368</v>
      </c>
      <c r="CI71" s="49">
        <f>IFERROR(up_RadSpec!$H$29*(CI29/$B71),".")</f>
        <v>18054572063.295368</v>
      </c>
      <c r="CJ71" s="49">
        <f>IFERROR(up_RadSpec!$H$29*(CJ29/$B71),".")</f>
        <v>18054572063.295368</v>
      </c>
      <c r="CK71" s="49">
        <f>IFERROR(up_RadSpec!$H$29*(CK29/$B71),".")</f>
        <v>18054572063.295368</v>
      </c>
      <c r="CL71" s="49">
        <f>IFERROR(up_RadSpec!$H$29*(CL29/$B71),".")</f>
        <v>18054572063.295368</v>
      </c>
      <c r="CM71" s="49">
        <f>IFERROR(up_RadSpec!$H$29*(CM29/$B71),".")</f>
        <v>18054572063.295368</v>
      </c>
      <c r="CN71" s="49">
        <f>IFERROR(up_RadSpec!$H$29*(CN29/$B71),".")</f>
        <v>18054572063.295368</v>
      </c>
      <c r="CO71" s="49">
        <f>IFERROR(up_RadSpec!$H$29*(CO29/$B71),".")</f>
        <v>18054572063.295368</v>
      </c>
      <c r="CP71" s="49">
        <f>IFERROR(up_RadSpec!$H$29*(CP29/$B71),".")</f>
        <v>18054572063.295368</v>
      </c>
      <c r="CQ71" s="49">
        <f>IFERROR(up_RadSpec!$H$29*(CQ29/$B71),".")</f>
        <v>18054572063.295368</v>
      </c>
      <c r="CR71" s="49">
        <f>IFERROR(up_RadSpec!$H$29*(CR29/$B71),".")</f>
        <v>18054572063.295368</v>
      </c>
      <c r="CS71" s="49">
        <f>IFERROR(up_RadSpec!$H$29*(CS29/$B71),".")</f>
        <v>18054572063.295368</v>
      </c>
      <c r="CT71" s="49">
        <f>IFERROR(up_RadSpec!$H$29*(CT29/$B71),".")</f>
        <v>18054572063.295368</v>
      </c>
      <c r="CU71" s="49">
        <f>IFERROR(up_RadSpec!$H$29*(CU29/$B71),".")</f>
        <v>18054572063.295368</v>
      </c>
      <c r="CV71" s="49">
        <f>IFERROR(up_RadSpec!$H$29*(CV29/$B71),".")</f>
        <v>18054572063.295368</v>
      </c>
      <c r="CW71" s="49">
        <f>IFERROR(up_RadSpec!$H$29*(CW29/$B71),".")</f>
        <v>18054572063.295368</v>
      </c>
      <c r="CX71" s="49">
        <f>IFERROR(up_RadSpec!$H$29*(CX29/$B71),".")</f>
        <v>18054572063.295368</v>
      </c>
      <c r="CY71" s="49">
        <f>IFERROR(up_RadSpec!$H$29*(CY29/$B71),".")</f>
        <v>18054572063.295368</v>
      </c>
      <c r="CZ71" s="49">
        <f>IFERROR(up_RadSpec!$H$29*(CZ29/$B71),".")</f>
        <v>18054572063.295368</v>
      </c>
      <c r="DA71" s="49">
        <f>IFERROR(up_RadSpec!$H$29*(DA29/$B71),".")</f>
        <v>18054572063.295368</v>
      </c>
      <c r="DB71" s="49">
        <f>IFERROR(up_RadSpec!$H$29*(DB29/$B71),".")</f>
        <v>18054572063.295368</v>
      </c>
    </row>
    <row r="72" spans="1:106" x14ac:dyDescent="0.25">
      <c r="A72" s="83" t="s">
        <v>1093</v>
      </c>
      <c r="B72" s="42">
        <v>1</v>
      </c>
      <c r="C72" s="60">
        <f t="shared" ref="C72" si="172">IFERROR(C16/$B58,0)</f>
        <v>3.2968835384132272E-12</v>
      </c>
      <c r="D72" s="60">
        <f t="shared" ref="D72:AB72" si="173">IFERROR(D16/$B58,0)</f>
        <v>1.3187534153652907E-11</v>
      </c>
      <c r="E72" s="60">
        <f t="shared" si="173"/>
        <v>1.3187534153652907E-11</v>
      </c>
      <c r="F72" s="60">
        <f t="shared" si="173"/>
        <v>1.3187534153652907E-11</v>
      </c>
      <c r="G72" s="60">
        <f t="shared" si="173"/>
        <v>1.3187534153652907E-11</v>
      </c>
      <c r="H72" s="60">
        <f t="shared" si="173"/>
        <v>1.3187534153652907E-11</v>
      </c>
      <c r="I72" s="60">
        <f t="shared" si="173"/>
        <v>1.3187534153652907E-11</v>
      </c>
      <c r="J72" s="60">
        <f t="shared" si="173"/>
        <v>1.3187534153652907E-11</v>
      </c>
      <c r="K72" s="60">
        <f t="shared" si="173"/>
        <v>1.3187534153652907E-11</v>
      </c>
      <c r="L72" s="60">
        <f t="shared" si="173"/>
        <v>1.3187534153652907E-11</v>
      </c>
      <c r="M72" s="60">
        <f t="shared" si="173"/>
        <v>1.3187534153652907E-11</v>
      </c>
      <c r="N72" s="60">
        <f t="shared" si="173"/>
        <v>1.3187534153652907E-11</v>
      </c>
      <c r="O72" s="60">
        <f t="shared" si="173"/>
        <v>1.3187534153652907E-11</v>
      </c>
      <c r="P72" s="60">
        <f t="shared" si="173"/>
        <v>1.3187534153652907E-11</v>
      </c>
      <c r="Q72" s="60">
        <f t="shared" si="173"/>
        <v>1.3187534153652907E-11</v>
      </c>
      <c r="R72" s="60">
        <f t="shared" si="173"/>
        <v>1.3187534153652907E-11</v>
      </c>
      <c r="S72" s="60">
        <f t="shared" si="173"/>
        <v>1.3187534153652907E-11</v>
      </c>
      <c r="T72" s="60">
        <f t="shared" si="173"/>
        <v>1.3187534153652907E-11</v>
      </c>
      <c r="U72" s="60">
        <f t="shared" si="173"/>
        <v>1.3187534153652907E-11</v>
      </c>
      <c r="V72" s="60">
        <f t="shared" si="173"/>
        <v>1.3187534153652907E-11</v>
      </c>
      <c r="W72" s="60">
        <f t="shared" si="173"/>
        <v>1.3187534153652907E-11</v>
      </c>
      <c r="X72" s="60">
        <f t="shared" si="173"/>
        <v>1.3187534153652907E-11</v>
      </c>
      <c r="Y72" s="60">
        <f t="shared" si="173"/>
        <v>1.3187534153652907E-11</v>
      </c>
      <c r="Z72" s="60">
        <f t="shared" si="173"/>
        <v>1.3187534153652907E-11</v>
      </c>
      <c r="AA72" s="60">
        <f t="shared" si="173"/>
        <v>1.3187534153652907E-11</v>
      </c>
      <c r="AB72" s="60">
        <f t="shared" si="173"/>
        <v>1.3187534153652907E-11</v>
      </c>
      <c r="AC72" s="49">
        <f t="shared" si="152"/>
        <v>15165837.5</v>
      </c>
      <c r="AD72" s="49">
        <f>IFERROR(up_RadSpec!$H$16*($BB$16/$B72),".")</f>
        <v>3791459.375</v>
      </c>
      <c r="AE72" s="49">
        <f>IFERROR(up_RadSpec!$H$16*($BB$16/$B72),".")</f>
        <v>3791459.375</v>
      </c>
      <c r="AF72" s="49">
        <f>IFERROR(up_RadSpec!$H$16*($BB$16/$B72),".")</f>
        <v>3791459.375</v>
      </c>
      <c r="AG72" s="49">
        <f>IFERROR(up_RadSpec!$H$16*($BB$16/$B72),".")</f>
        <v>3791459.375</v>
      </c>
      <c r="AH72" s="49">
        <f>IFERROR(up_RadSpec!$H$16*($BB$16/$B72),".")</f>
        <v>3791459.375</v>
      </c>
      <c r="AI72" s="49">
        <f>IFERROR(up_RadSpec!$H$16*($BB$16/$B72),".")</f>
        <v>3791459.375</v>
      </c>
      <c r="AJ72" s="49">
        <f>IFERROR(up_RadSpec!$H$16*($BB$16/$B72),".")</f>
        <v>3791459.375</v>
      </c>
      <c r="AK72" s="49">
        <f>IFERROR(up_RadSpec!$H$16*($BB$16/$B72),".")</f>
        <v>3791459.375</v>
      </c>
      <c r="AL72" s="49">
        <f>IFERROR(up_RadSpec!$H$16*($BB$16/$B72),".")</f>
        <v>3791459.375</v>
      </c>
      <c r="AM72" s="49">
        <f>IFERROR(up_RadSpec!$H$16*($BB$16/$B72),".")</f>
        <v>3791459.375</v>
      </c>
      <c r="AN72" s="49">
        <f>IFERROR(up_RadSpec!$H$16*($BB$16/$B72),".")</f>
        <v>3791459.375</v>
      </c>
      <c r="AO72" s="49">
        <f>IFERROR(up_RadSpec!$H$16*($BB$16/$B72),".")</f>
        <v>3791459.375</v>
      </c>
      <c r="AP72" s="49">
        <f>IFERROR(up_RadSpec!$H$16*($BB$16/$B72),".")</f>
        <v>3791459.375</v>
      </c>
      <c r="AQ72" s="49">
        <f>IFERROR(up_RadSpec!$H$16*($BB$16/$B72),".")</f>
        <v>3791459.375</v>
      </c>
      <c r="AR72" s="49">
        <f>IFERROR(up_RadSpec!$H$16*($BB$16/$B72),".")</f>
        <v>3791459.375</v>
      </c>
      <c r="AS72" s="49">
        <f>IFERROR(up_RadSpec!$H$16*($BB$16/$B72),".")</f>
        <v>3791459.375</v>
      </c>
      <c r="AT72" s="49">
        <f>IFERROR(up_RadSpec!$H$16*($BB$16/$B72),".")</f>
        <v>3791459.375</v>
      </c>
      <c r="AU72" s="49">
        <f>IFERROR(up_RadSpec!$H$16*($BB$16/$B72),".")</f>
        <v>3791459.375</v>
      </c>
      <c r="AV72" s="49">
        <f>IFERROR(up_RadSpec!$H$16*($BB$16/$B72),".")</f>
        <v>3791459.375</v>
      </c>
      <c r="AW72" s="49">
        <f>IFERROR(up_RadSpec!$H$16*($BB$16/$B72),".")</f>
        <v>3791459.375</v>
      </c>
      <c r="AX72" s="49">
        <f>IFERROR(up_RadSpec!$H$16*($BB$16/$B72),".")</f>
        <v>3791459.375</v>
      </c>
      <c r="AY72" s="49">
        <f>IFERROR(up_RadSpec!$H$16*($BB$16/$B72),".")</f>
        <v>3791459.375</v>
      </c>
      <c r="AZ72" s="49">
        <f>IFERROR(up_RadSpec!$H$16*($BB$16/$B72),".")</f>
        <v>3791459.375</v>
      </c>
      <c r="BA72" s="49">
        <f>IFERROR(up_RadSpec!$H$16*($BB$16/$B72),".")</f>
        <v>3791459.375</v>
      </c>
      <c r="BB72" s="49">
        <f>IFERROR(up_RadSpec!$H$16*($BB$16/$B72),".")</f>
        <v>3791459.375</v>
      </c>
      <c r="BC72" s="60">
        <f t="shared" ref="BC72" si="174">IFERROR($B72/BC16,0)</f>
        <v>303316749999.99994</v>
      </c>
      <c r="BD72" s="60">
        <f t="shared" ref="BD72:CB72" si="175">IFERROR($B72/BD16,0)</f>
        <v>75829187499.999985</v>
      </c>
      <c r="BE72" s="60">
        <f t="shared" si="175"/>
        <v>75829187499.999985</v>
      </c>
      <c r="BF72" s="60">
        <f t="shared" si="175"/>
        <v>75829187499.999985</v>
      </c>
      <c r="BG72" s="60">
        <f t="shared" si="175"/>
        <v>75829187499.999985</v>
      </c>
      <c r="BH72" s="60">
        <f t="shared" si="175"/>
        <v>75829187499.999985</v>
      </c>
      <c r="BI72" s="60">
        <f t="shared" si="175"/>
        <v>75829187499.999985</v>
      </c>
      <c r="BJ72" s="60">
        <f t="shared" si="175"/>
        <v>75829187499.999985</v>
      </c>
      <c r="BK72" s="60">
        <f t="shared" si="175"/>
        <v>75829187499.999985</v>
      </c>
      <c r="BL72" s="60">
        <f t="shared" si="175"/>
        <v>75829187499.999985</v>
      </c>
      <c r="BM72" s="60">
        <f t="shared" si="175"/>
        <v>75829187499.999985</v>
      </c>
      <c r="BN72" s="60">
        <f t="shared" si="175"/>
        <v>75829187499.999985</v>
      </c>
      <c r="BO72" s="60">
        <f t="shared" si="175"/>
        <v>75829187499.999985</v>
      </c>
      <c r="BP72" s="60">
        <f t="shared" si="175"/>
        <v>75829187499.999985</v>
      </c>
      <c r="BQ72" s="60">
        <f t="shared" si="175"/>
        <v>75829187499.999985</v>
      </c>
      <c r="BR72" s="60">
        <f t="shared" si="175"/>
        <v>75829187499.999985</v>
      </c>
      <c r="BS72" s="60">
        <f t="shared" si="175"/>
        <v>75829187499.999985</v>
      </c>
      <c r="BT72" s="60">
        <f t="shared" si="175"/>
        <v>75829187499.999985</v>
      </c>
      <c r="BU72" s="60">
        <f t="shared" si="175"/>
        <v>75829187499.999985</v>
      </c>
      <c r="BV72" s="60">
        <f t="shared" si="175"/>
        <v>75829187499.999985</v>
      </c>
      <c r="BW72" s="60">
        <f t="shared" si="175"/>
        <v>75829187499.999985</v>
      </c>
      <c r="BX72" s="60">
        <f t="shared" si="175"/>
        <v>75829187499.999985</v>
      </c>
      <c r="BY72" s="60">
        <f t="shared" si="175"/>
        <v>75829187499.999985</v>
      </c>
      <c r="BZ72" s="60">
        <f t="shared" si="175"/>
        <v>75829187499.999985</v>
      </c>
      <c r="CA72" s="60">
        <f t="shared" si="175"/>
        <v>75829187499.999985</v>
      </c>
      <c r="CB72" s="60">
        <f t="shared" si="175"/>
        <v>75829187499.999985</v>
      </c>
      <c r="CC72" s="49">
        <f t="shared" si="155"/>
        <v>15165837.5</v>
      </c>
      <c r="CD72" s="49">
        <f>IFERROR(up_RadSpec!$H$16*(CD16/$B72),".")</f>
        <v>3791459.375</v>
      </c>
      <c r="CE72" s="49">
        <f>IFERROR(up_RadSpec!$H$16*(CE16/$B72),".")</f>
        <v>3791459.375</v>
      </c>
      <c r="CF72" s="49">
        <f>IFERROR(up_RadSpec!$H$16*(CF16/$B72),".")</f>
        <v>3791459.375</v>
      </c>
      <c r="CG72" s="49">
        <f>IFERROR(up_RadSpec!$H$16*(CG16/$B72),".")</f>
        <v>3791459.375</v>
      </c>
      <c r="CH72" s="49">
        <f>IFERROR(up_RadSpec!$H$16*(CH16/$B72),".")</f>
        <v>3791459.375</v>
      </c>
      <c r="CI72" s="49">
        <f>IFERROR(up_RadSpec!$H$16*(CI16/$B72),".")</f>
        <v>3791459.375</v>
      </c>
      <c r="CJ72" s="49">
        <f>IFERROR(up_RadSpec!$H$16*(CJ16/$B72),".")</f>
        <v>3791459.375</v>
      </c>
      <c r="CK72" s="49">
        <f>IFERROR(up_RadSpec!$H$16*(CK16/$B72),".")</f>
        <v>3791459.375</v>
      </c>
      <c r="CL72" s="49">
        <f>IFERROR(up_RadSpec!$H$16*(CL16/$B72),".")</f>
        <v>3791459.375</v>
      </c>
      <c r="CM72" s="49">
        <f>IFERROR(up_RadSpec!$H$16*(CM16/$B72),".")</f>
        <v>3791459.375</v>
      </c>
      <c r="CN72" s="49">
        <f>IFERROR(up_RadSpec!$H$16*(CN16/$B72),".")</f>
        <v>3791459.375</v>
      </c>
      <c r="CO72" s="49">
        <f>IFERROR(up_RadSpec!$H$16*(CO16/$B72),".")</f>
        <v>3791459.375</v>
      </c>
      <c r="CP72" s="49">
        <f>IFERROR(up_RadSpec!$H$16*(CP16/$B72),".")</f>
        <v>3791459.375</v>
      </c>
      <c r="CQ72" s="49">
        <f>IFERROR(up_RadSpec!$H$16*(CQ16/$B72),".")</f>
        <v>3791459.375</v>
      </c>
      <c r="CR72" s="49">
        <f>IFERROR(up_RadSpec!$H$16*(CR16/$B72),".")</f>
        <v>3791459.375</v>
      </c>
      <c r="CS72" s="49">
        <f>IFERROR(up_RadSpec!$H$16*(CS16/$B72),".")</f>
        <v>3791459.375</v>
      </c>
      <c r="CT72" s="49">
        <f>IFERROR(up_RadSpec!$H$16*(CT16/$B72),".")</f>
        <v>3791459.375</v>
      </c>
      <c r="CU72" s="49">
        <f>IFERROR(up_RadSpec!$H$16*(CU16/$B72),".")</f>
        <v>3791459.375</v>
      </c>
      <c r="CV72" s="49">
        <f>IFERROR(up_RadSpec!$H$16*(CV16/$B72),".")</f>
        <v>3791459.375</v>
      </c>
      <c r="CW72" s="49">
        <f>IFERROR(up_RadSpec!$H$16*(CW16/$B72),".")</f>
        <v>3791459.375</v>
      </c>
      <c r="CX72" s="49">
        <f>IFERROR(up_RadSpec!$H$16*(CX16/$B72),".")</f>
        <v>3791459.375</v>
      </c>
      <c r="CY72" s="49">
        <f>IFERROR(up_RadSpec!$H$16*(CY16/$B72),".")</f>
        <v>3791459.375</v>
      </c>
      <c r="CZ72" s="49">
        <f>IFERROR(up_RadSpec!$H$16*(CZ16/$B72),".")</f>
        <v>3791459.375</v>
      </c>
      <c r="DA72" s="49">
        <f>IFERROR(up_RadSpec!$H$16*(DA16/$B72),".")</f>
        <v>3791459.375</v>
      </c>
      <c r="DB72" s="49">
        <f>IFERROR(up_RadSpec!$H$16*(DB16/$B72),".")</f>
        <v>3791459.375</v>
      </c>
    </row>
    <row r="73" spans="1:106" x14ac:dyDescent="0.25">
      <c r="A73" s="83" t="s">
        <v>1094</v>
      </c>
      <c r="B73" s="42">
        <v>1</v>
      </c>
      <c r="C73" s="60">
        <f t="shared" ref="C73" si="176">IFERROR(C7/$B59,0)</f>
        <v>3.2968835384132272E-12</v>
      </c>
      <c r="D73" s="60">
        <f t="shared" ref="D73:AB73" si="177">IFERROR(D7/$B59,0)</f>
        <v>1.3187534153652907E-11</v>
      </c>
      <c r="E73" s="60">
        <f t="shared" si="177"/>
        <v>1.3187534153652907E-11</v>
      </c>
      <c r="F73" s="60">
        <f t="shared" si="177"/>
        <v>1.3187534153652907E-11</v>
      </c>
      <c r="G73" s="60">
        <f t="shared" si="177"/>
        <v>1.3187534153652907E-11</v>
      </c>
      <c r="H73" s="60">
        <f t="shared" si="177"/>
        <v>1.3187534153652907E-11</v>
      </c>
      <c r="I73" s="60">
        <f t="shared" si="177"/>
        <v>1.3187534153652907E-11</v>
      </c>
      <c r="J73" s="60">
        <f t="shared" si="177"/>
        <v>1.3187534153652907E-11</v>
      </c>
      <c r="K73" s="60">
        <f t="shared" si="177"/>
        <v>1.3187534153652907E-11</v>
      </c>
      <c r="L73" s="60">
        <f t="shared" si="177"/>
        <v>1.3187534153652907E-11</v>
      </c>
      <c r="M73" s="60">
        <f t="shared" si="177"/>
        <v>1.3187534153652907E-11</v>
      </c>
      <c r="N73" s="60">
        <f t="shared" si="177"/>
        <v>1.3187534153652907E-11</v>
      </c>
      <c r="O73" s="60">
        <f t="shared" si="177"/>
        <v>1.3187534153652907E-11</v>
      </c>
      <c r="P73" s="60">
        <f t="shared" si="177"/>
        <v>1.3187534153652907E-11</v>
      </c>
      <c r="Q73" s="60">
        <f t="shared" si="177"/>
        <v>1.3187534153652907E-11</v>
      </c>
      <c r="R73" s="60">
        <f t="shared" si="177"/>
        <v>1.3187534153652907E-11</v>
      </c>
      <c r="S73" s="60">
        <f t="shared" si="177"/>
        <v>1.3187534153652907E-11</v>
      </c>
      <c r="T73" s="60">
        <f t="shared" si="177"/>
        <v>1.3187534153652907E-11</v>
      </c>
      <c r="U73" s="60">
        <f t="shared" si="177"/>
        <v>1.3187534153652907E-11</v>
      </c>
      <c r="V73" s="60">
        <f t="shared" si="177"/>
        <v>1.3187534153652907E-11</v>
      </c>
      <c r="W73" s="60">
        <f t="shared" si="177"/>
        <v>1.3187534153652907E-11</v>
      </c>
      <c r="X73" s="60">
        <f t="shared" si="177"/>
        <v>1.3187534153652907E-11</v>
      </c>
      <c r="Y73" s="60">
        <f t="shared" si="177"/>
        <v>1.3187534153652907E-11</v>
      </c>
      <c r="Z73" s="60">
        <f t="shared" si="177"/>
        <v>1.3187534153652907E-11</v>
      </c>
      <c r="AA73" s="60">
        <f t="shared" si="177"/>
        <v>1.3187534153652907E-11</v>
      </c>
      <c r="AB73" s="60">
        <f t="shared" si="177"/>
        <v>1.3187534153652907E-11</v>
      </c>
      <c r="AC73" s="49">
        <f t="shared" si="152"/>
        <v>15165837.5</v>
      </c>
      <c r="AD73" s="49">
        <f>IFERROR(up_RadSpec!$H$7*($BB$7/$B73),".")</f>
        <v>3791459.375</v>
      </c>
      <c r="AE73" s="49">
        <f>IFERROR(up_RadSpec!$H$7*($BB$7/$B73),".")</f>
        <v>3791459.375</v>
      </c>
      <c r="AF73" s="49">
        <f>IFERROR(up_RadSpec!$H$7*($BB$7/$B73),".")</f>
        <v>3791459.375</v>
      </c>
      <c r="AG73" s="49">
        <f>IFERROR(up_RadSpec!$H$7*($BB$7/$B73),".")</f>
        <v>3791459.375</v>
      </c>
      <c r="AH73" s="49">
        <f>IFERROR(up_RadSpec!$H$7*($BB$7/$B73),".")</f>
        <v>3791459.375</v>
      </c>
      <c r="AI73" s="49">
        <f>IFERROR(up_RadSpec!$H$7*($BB$7/$B73),".")</f>
        <v>3791459.375</v>
      </c>
      <c r="AJ73" s="49">
        <f>IFERROR(up_RadSpec!$H$7*($BB$7/$B73),".")</f>
        <v>3791459.375</v>
      </c>
      <c r="AK73" s="49">
        <f>IFERROR(up_RadSpec!$H$7*($BB$7/$B73),".")</f>
        <v>3791459.375</v>
      </c>
      <c r="AL73" s="49">
        <f>IFERROR(up_RadSpec!$H$7*($BB$7/$B73),".")</f>
        <v>3791459.375</v>
      </c>
      <c r="AM73" s="49">
        <f>IFERROR(up_RadSpec!$H$7*($BB$7/$B73),".")</f>
        <v>3791459.375</v>
      </c>
      <c r="AN73" s="49">
        <f>IFERROR(up_RadSpec!$H$7*($BB$7/$B73),".")</f>
        <v>3791459.375</v>
      </c>
      <c r="AO73" s="49">
        <f>IFERROR(up_RadSpec!$H$7*($BB$7/$B73),".")</f>
        <v>3791459.375</v>
      </c>
      <c r="AP73" s="49">
        <f>IFERROR(up_RadSpec!$H$7*($BB$7/$B73),".")</f>
        <v>3791459.375</v>
      </c>
      <c r="AQ73" s="49">
        <f>IFERROR(up_RadSpec!$H$7*($BB$7/$B73),".")</f>
        <v>3791459.375</v>
      </c>
      <c r="AR73" s="49">
        <f>IFERROR(up_RadSpec!$H$7*($BB$7/$B73),".")</f>
        <v>3791459.375</v>
      </c>
      <c r="AS73" s="49">
        <f>IFERROR(up_RadSpec!$H$7*($BB$7/$B73),".")</f>
        <v>3791459.375</v>
      </c>
      <c r="AT73" s="49">
        <f>IFERROR(up_RadSpec!$H$7*($BB$7/$B73),".")</f>
        <v>3791459.375</v>
      </c>
      <c r="AU73" s="49">
        <f>IFERROR(up_RadSpec!$H$7*($BB$7/$B73),".")</f>
        <v>3791459.375</v>
      </c>
      <c r="AV73" s="49">
        <f>IFERROR(up_RadSpec!$H$7*($BB$7/$B73),".")</f>
        <v>3791459.375</v>
      </c>
      <c r="AW73" s="49">
        <f>IFERROR(up_RadSpec!$H$7*($BB$7/$B73),".")</f>
        <v>3791459.375</v>
      </c>
      <c r="AX73" s="49">
        <f>IFERROR(up_RadSpec!$H$7*($BB$7/$B73),".")</f>
        <v>3791459.375</v>
      </c>
      <c r="AY73" s="49">
        <f>IFERROR(up_RadSpec!$H$7*($BB$7/$B73),".")</f>
        <v>3791459.375</v>
      </c>
      <c r="AZ73" s="49">
        <f>IFERROR(up_RadSpec!$H$7*($BB$7/$B73),".")</f>
        <v>3791459.375</v>
      </c>
      <c r="BA73" s="49">
        <f>IFERROR(up_RadSpec!$H$7*($BB$7/$B73),".")</f>
        <v>3791459.375</v>
      </c>
      <c r="BB73" s="49">
        <f>IFERROR(up_RadSpec!$H$7*($BB$7/$B73),".")</f>
        <v>3791459.375</v>
      </c>
      <c r="BC73" s="60">
        <f t="shared" ref="BC73" si="178">IFERROR($B73/BC7,0)</f>
        <v>303316749999.99994</v>
      </c>
      <c r="BD73" s="60">
        <f t="shared" ref="BD73:CB73" si="179">IFERROR($B73/BD7,0)</f>
        <v>75829187499.999985</v>
      </c>
      <c r="BE73" s="60">
        <f t="shared" si="179"/>
        <v>75829187499.999985</v>
      </c>
      <c r="BF73" s="60">
        <f t="shared" si="179"/>
        <v>75829187499.999985</v>
      </c>
      <c r="BG73" s="60">
        <f t="shared" si="179"/>
        <v>75829187499.999985</v>
      </c>
      <c r="BH73" s="60">
        <f t="shared" si="179"/>
        <v>75829187499.999985</v>
      </c>
      <c r="BI73" s="60">
        <f t="shared" si="179"/>
        <v>75829187499.999985</v>
      </c>
      <c r="BJ73" s="60">
        <f t="shared" si="179"/>
        <v>75829187499.999985</v>
      </c>
      <c r="BK73" s="60">
        <f t="shared" si="179"/>
        <v>75829187499.999985</v>
      </c>
      <c r="BL73" s="60">
        <f t="shared" si="179"/>
        <v>75829187499.999985</v>
      </c>
      <c r="BM73" s="60">
        <f t="shared" si="179"/>
        <v>75829187499.999985</v>
      </c>
      <c r="BN73" s="60">
        <f t="shared" si="179"/>
        <v>75829187499.999985</v>
      </c>
      <c r="BO73" s="60">
        <f t="shared" si="179"/>
        <v>75829187499.999985</v>
      </c>
      <c r="BP73" s="60">
        <f t="shared" si="179"/>
        <v>75829187499.999985</v>
      </c>
      <c r="BQ73" s="60">
        <f t="shared" si="179"/>
        <v>75829187499.999985</v>
      </c>
      <c r="BR73" s="60">
        <f t="shared" si="179"/>
        <v>75829187499.999985</v>
      </c>
      <c r="BS73" s="60">
        <f t="shared" si="179"/>
        <v>75829187499.999985</v>
      </c>
      <c r="BT73" s="60">
        <f t="shared" si="179"/>
        <v>75829187499.999985</v>
      </c>
      <c r="BU73" s="60">
        <f t="shared" si="179"/>
        <v>75829187499.999985</v>
      </c>
      <c r="BV73" s="60">
        <f t="shared" si="179"/>
        <v>75829187499.999985</v>
      </c>
      <c r="BW73" s="60">
        <f t="shared" si="179"/>
        <v>75829187499.999985</v>
      </c>
      <c r="BX73" s="60">
        <f t="shared" si="179"/>
        <v>75829187499.999985</v>
      </c>
      <c r="BY73" s="60">
        <f t="shared" si="179"/>
        <v>75829187499.999985</v>
      </c>
      <c r="BZ73" s="60">
        <f t="shared" si="179"/>
        <v>75829187499.999985</v>
      </c>
      <c r="CA73" s="60">
        <f t="shared" si="179"/>
        <v>75829187499.999985</v>
      </c>
      <c r="CB73" s="60">
        <f t="shared" si="179"/>
        <v>75829187499.999985</v>
      </c>
      <c r="CC73" s="49">
        <f t="shared" si="155"/>
        <v>15165837.5</v>
      </c>
      <c r="CD73" s="49">
        <f>IFERROR(up_RadSpec!$H$7*(CD7/$B73),".")</f>
        <v>3791459.375</v>
      </c>
      <c r="CE73" s="49">
        <f>IFERROR(up_RadSpec!$H$7*(CE7/$B73),".")</f>
        <v>3791459.375</v>
      </c>
      <c r="CF73" s="49">
        <f>IFERROR(up_RadSpec!$H$7*(CF7/$B73),".")</f>
        <v>3791459.375</v>
      </c>
      <c r="CG73" s="49">
        <f>IFERROR(up_RadSpec!$H$7*(CG7/$B73),".")</f>
        <v>3791459.375</v>
      </c>
      <c r="CH73" s="49">
        <f>IFERROR(up_RadSpec!$H$7*(CH7/$B73),".")</f>
        <v>3791459.375</v>
      </c>
      <c r="CI73" s="49">
        <f>IFERROR(up_RadSpec!$H$7*(CI7/$B73),".")</f>
        <v>3791459.375</v>
      </c>
      <c r="CJ73" s="49">
        <f>IFERROR(up_RadSpec!$H$7*(CJ7/$B73),".")</f>
        <v>3791459.375</v>
      </c>
      <c r="CK73" s="49">
        <f>IFERROR(up_RadSpec!$H$7*(CK7/$B73),".")</f>
        <v>3791459.375</v>
      </c>
      <c r="CL73" s="49">
        <f>IFERROR(up_RadSpec!$H$7*(CL7/$B73),".")</f>
        <v>3791459.375</v>
      </c>
      <c r="CM73" s="49">
        <f>IFERROR(up_RadSpec!$H$7*(CM7/$B73),".")</f>
        <v>3791459.375</v>
      </c>
      <c r="CN73" s="49">
        <f>IFERROR(up_RadSpec!$H$7*(CN7/$B73),".")</f>
        <v>3791459.375</v>
      </c>
      <c r="CO73" s="49">
        <f>IFERROR(up_RadSpec!$H$7*(CO7/$B73),".")</f>
        <v>3791459.375</v>
      </c>
      <c r="CP73" s="49">
        <f>IFERROR(up_RadSpec!$H$7*(CP7/$B73),".")</f>
        <v>3791459.375</v>
      </c>
      <c r="CQ73" s="49">
        <f>IFERROR(up_RadSpec!$H$7*(CQ7/$B73),".")</f>
        <v>3791459.375</v>
      </c>
      <c r="CR73" s="49">
        <f>IFERROR(up_RadSpec!$H$7*(CR7/$B73),".")</f>
        <v>3791459.375</v>
      </c>
      <c r="CS73" s="49">
        <f>IFERROR(up_RadSpec!$H$7*(CS7/$B73),".")</f>
        <v>3791459.375</v>
      </c>
      <c r="CT73" s="49">
        <f>IFERROR(up_RadSpec!$H$7*(CT7/$B73),".")</f>
        <v>3791459.375</v>
      </c>
      <c r="CU73" s="49">
        <f>IFERROR(up_RadSpec!$H$7*(CU7/$B73),".")</f>
        <v>3791459.375</v>
      </c>
      <c r="CV73" s="49">
        <f>IFERROR(up_RadSpec!$H$7*(CV7/$B73),".")</f>
        <v>3791459.375</v>
      </c>
      <c r="CW73" s="49">
        <f>IFERROR(up_RadSpec!$H$7*(CW7/$B73),".")</f>
        <v>3791459.375</v>
      </c>
      <c r="CX73" s="49">
        <f>IFERROR(up_RadSpec!$H$7*(CX7/$B73),".")</f>
        <v>3791459.375</v>
      </c>
      <c r="CY73" s="49">
        <f>IFERROR(up_RadSpec!$H$7*(CY7/$B73),".")</f>
        <v>3791459.375</v>
      </c>
      <c r="CZ73" s="49">
        <f>IFERROR(up_RadSpec!$H$7*(CZ7/$B73),".")</f>
        <v>3791459.375</v>
      </c>
      <c r="DA73" s="49">
        <f>IFERROR(up_RadSpec!$H$7*(DA7/$B73),".")</f>
        <v>3791459.375</v>
      </c>
      <c r="DB73" s="49">
        <f>IFERROR(up_RadSpec!$H$7*(DB7/$B73),".")</f>
        <v>3791459.375</v>
      </c>
    </row>
    <row r="74" spans="1:106" x14ac:dyDescent="0.25">
      <c r="A74" s="83" t="s">
        <v>1095</v>
      </c>
      <c r="B74" s="86">
        <v>1.9000000000000001E-8</v>
      </c>
      <c r="C74" s="60">
        <f t="shared" ref="C74" si="180">IFERROR(C12/$B60,0)</f>
        <v>1.735201862322751E-4</v>
      </c>
      <c r="D74" s="60">
        <f t="shared" ref="D74:AB74" si="181">IFERROR(D12/$B60,0)</f>
        <v>6.9408074492910031E-4</v>
      </c>
      <c r="E74" s="60">
        <f t="shared" si="181"/>
        <v>6.9408074492910031E-4</v>
      </c>
      <c r="F74" s="60">
        <f t="shared" si="181"/>
        <v>6.9408074492910031E-4</v>
      </c>
      <c r="G74" s="60">
        <f t="shared" si="181"/>
        <v>6.9408074492910031E-4</v>
      </c>
      <c r="H74" s="60">
        <f t="shared" si="181"/>
        <v>6.9408074492910031E-4</v>
      </c>
      <c r="I74" s="60">
        <f t="shared" si="181"/>
        <v>6.9408074492910031E-4</v>
      </c>
      <c r="J74" s="60">
        <f t="shared" si="181"/>
        <v>6.9408074492910031E-4</v>
      </c>
      <c r="K74" s="60">
        <f t="shared" si="181"/>
        <v>6.9408074492910031E-4</v>
      </c>
      <c r="L74" s="60">
        <f t="shared" si="181"/>
        <v>6.9408074492910031E-4</v>
      </c>
      <c r="M74" s="60">
        <f t="shared" si="181"/>
        <v>6.9408074492910031E-4</v>
      </c>
      <c r="N74" s="60">
        <f t="shared" si="181"/>
        <v>6.9408074492910031E-4</v>
      </c>
      <c r="O74" s="60">
        <f t="shared" si="181"/>
        <v>6.9408074492910031E-4</v>
      </c>
      <c r="P74" s="60">
        <f t="shared" si="181"/>
        <v>6.9408074492910031E-4</v>
      </c>
      <c r="Q74" s="60">
        <f t="shared" si="181"/>
        <v>6.9408074492910031E-4</v>
      </c>
      <c r="R74" s="60">
        <f t="shared" si="181"/>
        <v>6.9408074492910031E-4</v>
      </c>
      <c r="S74" s="60">
        <f t="shared" si="181"/>
        <v>6.9408074492910031E-4</v>
      </c>
      <c r="T74" s="60">
        <f t="shared" si="181"/>
        <v>6.9408074492910031E-4</v>
      </c>
      <c r="U74" s="60">
        <f t="shared" si="181"/>
        <v>6.9408074492910031E-4</v>
      </c>
      <c r="V74" s="60">
        <f t="shared" si="181"/>
        <v>6.9408074492910031E-4</v>
      </c>
      <c r="W74" s="60">
        <f t="shared" si="181"/>
        <v>6.9408074492910031E-4</v>
      </c>
      <c r="X74" s="60">
        <f t="shared" si="181"/>
        <v>6.9408074492910031E-4</v>
      </c>
      <c r="Y74" s="60">
        <f t="shared" si="181"/>
        <v>6.9408074492910031E-4</v>
      </c>
      <c r="Z74" s="60">
        <f t="shared" si="181"/>
        <v>6.9408074492910031E-4</v>
      </c>
      <c r="AA74" s="60">
        <f t="shared" si="181"/>
        <v>6.9408074492910031E-4</v>
      </c>
      <c r="AB74" s="60">
        <f t="shared" si="181"/>
        <v>6.9408074492910031E-4</v>
      </c>
      <c r="AC74" s="49">
        <f t="shared" si="152"/>
        <v>798201973684210.5</v>
      </c>
      <c r="AD74" s="49">
        <f>IFERROR(up_RadSpec!$H$12*($BB$12/$B74),".")</f>
        <v>199550493421052.63</v>
      </c>
      <c r="AE74" s="49">
        <f>IFERROR(up_RadSpec!$H$12*($BB$12/$B74),".")</f>
        <v>199550493421052.63</v>
      </c>
      <c r="AF74" s="49">
        <f>IFERROR(up_RadSpec!$H$12*($BB$12/$B74),".")</f>
        <v>199550493421052.63</v>
      </c>
      <c r="AG74" s="49">
        <f>IFERROR(up_RadSpec!$H$12*($BB$12/$B74),".")</f>
        <v>199550493421052.63</v>
      </c>
      <c r="AH74" s="49">
        <f>IFERROR(up_RadSpec!$H$12*($BB$12/$B74),".")</f>
        <v>199550493421052.63</v>
      </c>
      <c r="AI74" s="49">
        <f>IFERROR(up_RadSpec!$H$12*($BB$12/$B74),".")</f>
        <v>199550493421052.63</v>
      </c>
      <c r="AJ74" s="49">
        <f>IFERROR(up_RadSpec!$H$12*($BB$12/$B74),".")</f>
        <v>199550493421052.63</v>
      </c>
      <c r="AK74" s="49">
        <f>IFERROR(up_RadSpec!$H$12*($BB$12/$B74),".")</f>
        <v>199550493421052.63</v>
      </c>
      <c r="AL74" s="49">
        <f>IFERROR(up_RadSpec!$H$12*($BB$12/$B74),".")</f>
        <v>199550493421052.63</v>
      </c>
      <c r="AM74" s="49">
        <f>IFERROR(up_RadSpec!$H$12*($BB$12/$B74),".")</f>
        <v>199550493421052.63</v>
      </c>
      <c r="AN74" s="49">
        <f>IFERROR(up_RadSpec!$H$12*($BB$12/$B74),".")</f>
        <v>199550493421052.63</v>
      </c>
      <c r="AO74" s="49">
        <f>IFERROR(up_RadSpec!$H$12*($BB$12/$B74),".")</f>
        <v>199550493421052.63</v>
      </c>
      <c r="AP74" s="49">
        <f>IFERROR(up_RadSpec!$H$12*($BB$12/$B74),".")</f>
        <v>199550493421052.63</v>
      </c>
      <c r="AQ74" s="49">
        <f>IFERROR(up_RadSpec!$H$12*($BB$12/$B74),".")</f>
        <v>199550493421052.63</v>
      </c>
      <c r="AR74" s="49">
        <f>IFERROR(up_RadSpec!$H$12*($BB$12/$B74),".")</f>
        <v>199550493421052.63</v>
      </c>
      <c r="AS74" s="49">
        <f>IFERROR(up_RadSpec!$H$12*($BB$12/$B74),".")</f>
        <v>199550493421052.63</v>
      </c>
      <c r="AT74" s="49">
        <f>IFERROR(up_RadSpec!$H$12*($BB$12/$B74),".")</f>
        <v>199550493421052.63</v>
      </c>
      <c r="AU74" s="49">
        <f>IFERROR(up_RadSpec!$H$12*($BB$12/$B74),".")</f>
        <v>199550493421052.63</v>
      </c>
      <c r="AV74" s="49">
        <f>IFERROR(up_RadSpec!$H$12*($BB$12/$B74),".")</f>
        <v>199550493421052.63</v>
      </c>
      <c r="AW74" s="49">
        <f>IFERROR(up_RadSpec!$H$12*($BB$12/$B74),".")</f>
        <v>199550493421052.63</v>
      </c>
      <c r="AX74" s="49">
        <f>IFERROR(up_RadSpec!$H$12*($BB$12/$B74),".")</f>
        <v>199550493421052.63</v>
      </c>
      <c r="AY74" s="49">
        <f>IFERROR(up_RadSpec!$H$12*($BB$12/$B74),".")</f>
        <v>199550493421052.63</v>
      </c>
      <c r="AZ74" s="49">
        <f>IFERROR(up_RadSpec!$H$12*($BB$12/$B74),".")</f>
        <v>199550493421052.63</v>
      </c>
      <c r="BA74" s="49">
        <f>IFERROR(up_RadSpec!$H$12*($BB$12/$B74),".")</f>
        <v>199550493421052.63</v>
      </c>
      <c r="BB74" s="49">
        <f>IFERROR(up_RadSpec!$H$12*($BB$12/$B74),".")</f>
        <v>199550493421052.63</v>
      </c>
      <c r="BC74" s="60">
        <f t="shared" ref="BC74" si="182">IFERROR($B74/BC12,0)</f>
        <v>5763.0182499999992</v>
      </c>
      <c r="BD74" s="60">
        <f t="shared" ref="BD74:CB74" si="183">IFERROR($B74/BD12,0)</f>
        <v>1440.7545625</v>
      </c>
      <c r="BE74" s="60">
        <f t="shared" si="183"/>
        <v>1440.7545625</v>
      </c>
      <c r="BF74" s="60">
        <f t="shared" si="183"/>
        <v>1440.7545625</v>
      </c>
      <c r="BG74" s="60">
        <f t="shared" si="183"/>
        <v>1440.7545625</v>
      </c>
      <c r="BH74" s="60">
        <f t="shared" si="183"/>
        <v>1440.7545625</v>
      </c>
      <c r="BI74" s="60">
        <f t="shared" si="183"/>
        <v>1440.7545625</v>
      </c>
      <c r="BJ74" s="60">
        <f t="shared" si="183"/>
        <v>1440.7545625</v>
      </c>
      <c r="BK74" s="60">
        <f t="shared" si="183"/>
        <v>1440.7545625</v>
      </c>
      <c r="BL74" s="60">
        <f t="shared" si="183"/>
        <v>1440.7545625</v>
      </c>
      <c r="BM74" s="60">
        <f t="shared" si="183"/>
        <v>1440.7545625</v>
      </c>
      <c r="BN74" s="60">
        <f t="shared" si="183"/>
        <v>1440.7545625</v>
      </c>
      <c r="BO74" s="60">
        <f t="shared" si="183"/>
        <v>1440.7545625</v>
      </c>
      <c r="BP74" s="60">
        <f t="shared" si="183"/>
        <v>1440.7545625</v>
      </c>
      <c r="BQ74" s="60">
        <f t="shared" si="183"/>
        <v>1440.7545625</v>
      </c>
      <c r="BR74" s="60">
        <f t="shared" si="183"/>
        <v>1440.7545625</v>
      </c>
      <c r="BS74" s="60">
        <f t="shared" si="183"/>
        <v>1440.7545625</v>
      </c>
      <c r="BT74" s="60">
        <f t="shared" si="183"/>
        <v>1440.7545625</v>
      </c>
      <c r="BU74" s="60">
        <f t="shared" si="183"/>
        <v>1440.7545625</v>
      </c>
      <c r="BV74" s="60">
        <f t="shared" si="183"/>
        <v>1440.7545625</v>
      </c>
      <c r="BW74" s="60">
        <f t="shared" si="183"/>
        <v>1440.7545625</v>
      </c>
      <c r="BX74" s="60">
        <f t="shared" si="183"/>
        <v>1440.7545625</v>
      </c>
      <c r="BY74" s="60">
        <f t="shared" si="183"/>
        <v>1440.7545625</v>
      </c>
      <c r="BZ74" s="60">
        <f t="shared" si="183"/>
        <v>1440.7545625</v>
      </c>
      <c r="CA74" s="60">
        <f t="shared" si="183"/>
        <v>1440.7545625</v>
      </c>
      <c r="CB74" s="60">
        <f t="shared" si="183"/>
        <v>1440.7545625</v>
      </c>
      <c r="CC74" s="49">
        <f t="shared" si="155"/>
        <v>798201973684210.5</v>
      </c>
      <c r="CD74" s="49">
        <f>IFERROR(up_RadSpec!$H$12*(CD12/$B74),".")</f>
        <v>199550493421052.63</v>
      </c>
      <c r="CE74" s="49">
        <f>IFERROR(up_RadSpec!$H$12*(CE12/$B74),".")</f>
        <v>199550493421052.63</v>
      </c>
      <c r="CF74" s="49">
        <f>IFERROR(up_RadSpec!$H$12*(CF12/$B74),".")</f>
        <v>199550493421052.63</v>
      </c>
      <c r="CG74" s="49">
        <f>IFERROR(up_RadSpec!$H$12*(CG12/$B74),".")</f>
        <v>199550493421052.63</v>
      </c>
      <c r="CH74" s="49">
        <f>IFERROR(up_RadSpec!$H$12*(CH12/$B74),".")</f>
        <v>199550493421052.63</v>
      </c>
      <c r="CI74" s="49">
        <f>IFERROR(up_RadSpec!$H$12*(CI12/$B74),".")</f>
        <v>199550493421052.63</v>
      </c>
      <c r="CJ74" s="49">
        <f>IFERROR(up_RadSpec!$H$12*(CJ12/$B74),".")</f>
        <v>199550493421052.63</v>
      </c>
      <c r="CK74" s="49">
        <f>IFERROR(up_RadSpec!$H$12*(CK12/$B74),".")</f>
        <v>199550493421052.63</v>
      </c>
      <c r="CL74" s="49">
        <f>IFERROR(up_RadSpec!$H$12*(CL12/$B74),".")</f>
        <v>199550493421052.63</v>
      </c>
      <c r="CM74" s="49">
        <f>IFERROR(up_RadSpec!$H$12*(CM12/$B74),".")</f>
        <v>199550493421052.63</v>
      </c>
      <c r="CN74" s="49">
        <f>IFERROR(up_RadSpec!$H$12*(CN12/$B74),".")</f>
        <v>199550493421052.63</v>
      </c>
      <c r="CO74" s="49">
        <f>IFERROR(up_RadSpec!$H$12*(CO12/$B74),".")</f>
        <v>199550493421052.63</v>
      </c>
      <c r="CP74" s="49">
        <f>IFERROR(up_RadSpec!$H$12*(CP12/$B74),".")</f>
        <v>199550493421052.63</v>
      </c>
      <c r="CQ74" s="49">
        <f>IFERROR(up_RadSpec!$H$12*(CQ12/$B74),".")</f>
        <v>199550493421052.63</v>
      </c>
      <c r="CR74" s="49">
        <f>IFERROR(up_RadSpec!$H$12*(CR12/$B74),".")</f>
        <v>199550493421052.63</v>
      </c>
      <c r="CS74" s="49">
        <f>IFERROR(up_RadSpec!$H$12*(CS12/$B74),".")</f>
        <v>199550493421052.63</v>
      </c>
      <c r="CT74" s="49">
        <f>IFERROR(up_RadSpec!$H$12*(CT12/$B74),".")</f>
        <v>199550493421052.63</v>
      </c>
      <c r="CU74" s="49">
        <f>IFERROR(up_RadSpec!$H$12*(CU12/$B74),".")</f>
        <v>199550493421052.63</v>
      </c>
      <c r="CV74" s="49">
        <f>IFERROR(up_RadSpec!$H$12*(CV12/$B74),".")</f>
        <v>199550493421052.63</v>
      </c>
      <c r="CW74" s="49">
        <f>IFERROR(up_RadSpec!$H$12*(CW12/$B74),".")</f>
        <v>199550493421052.63</v>
      </c>
      <c r="CX74" s="49">
        <f>IFERROR(up_RadSpec!$H$12*(CX12/$B74),".")</f>
        <v>199550493421052.63</v>
      </c>
      <c r="CY74" s="49">
        <f>IFERROR(up_RadSpec!$H$12*(CY12/$B74),".")</f>
        <v>199550493421052.63</v>
      </c>
      <c r="CZ74" s="49">
        <f>IFERROR(up_RadSpec!$H$12*(CZ12/$B74),".")</f>
        <v>199550493421052.63</v>
      </c>
      <c r="DA74" s="49">
        <f>IFERROR(up_RadSpec!$H$12*(DA12/$B74),".")</f>
        <v>199550493421052.63</v>
      </c>
      <c r="DB74" s="49">
        <f>IFERROR(up_RadSpec!$H$12*(DB12/$B74),".")</f>
        <v>199550493421052.63</v>
      </c>
    </row>
    <row r="75" spans="1:106" x14ac:dyDescent="0.25">
      <c r="A75" s="83" t="s">
        <v>1096</v>
      </c>
      <c r="B75" s="42">
        <v>1</v>
      </c>
      <c r="C75" s="60">
        <f t="shared" ref="C75" si="184">IFERROR(C18/$B61,0)</f>
        <v>3.2968835384132272E-12</v>
      </c>
      <c r="D75" s="60">
        <f t="shared" ref="D75:AB75" si="185">IFERROR(D18/$B61,0)</f>
        <v>1.3187534153652907E-11</v>
      </c>
      <c r="E75" s="60">
        <f t="shared" si="185"/>
        <v>1.3187534153652907E-11</v>
      </c>
      <c r="F75" s="60">
        <f t="shared" si="185"/>
        <v>1.3187534153652907E-11</v>
      </c>
      <c r="G75" s="60">
        <f t="shared" si="185"/>
        <v>1.3187534153652907E-11</v>
      </c>
      <c r="H75" s="60">
        <f t="shared" si="185"/>
        <v>1.3187534153652907E-11</v>
      </c>
      <c r="I75" s="60">
        <f t="shared" si="185"/>
        <v>1.3187534153652907E-11</v>
      </c>
      <c r="J75" s="60">
        <f t="shared" si="185"/>
        <v>1.3187534153652907E-11</v>
      </c>
      <c r="K75" s="60">
        <f t="shared" si="185"/>
        <v>1.3187534153652907E-11</v>
      </c>
      <c r="L75" s="60">
        <f t="shared" si="185"/>
        <v>1.3187534153652907E-11</v>
      </c>
      <c r="M75" s="60">
        <f t="shared" si="185"/>
        <v>1.3187534153652907E-11</v>
      </c>
      <c r="N75" s="60">
        <f t="shared" si="185"/>
        <v>1.3187534153652907E-11</v>
      </c>
      <c r="O75" s="60">
        <f t="shared" si="185"/>
        <v>1.3187534153652907E-11</v>
      </c>
      <c r="P75" s="60">
        <f t="shared" si="185"/>
        <v>1.3187534153652907E-11</v>
      </c>
      <c r="Q75" s="60">
        <f t="shared" si="185"/>
        <v>1.3187534153652907E-11</v>
      </c>
      <c r="R75" s="60">
        <f t="shared" si="185"/>
        <v>1.3187534153652907E-11</v>
      </c>
      <c r="S75" s="60">
        <f t="shared" si="185"/>
        <v>1.3187534153652907E-11</v>
      </c>
      <c r="T75" s="60">
        <f t="shared" si="185"/>
        <v>1.3187534153652907E-11</v>
      </c>
      <c r="U75" s="60">
        <f t="shared" si="185"/>
        <v>1.3187534153652907E-11</v>
      </c>
      <c r="V75" s="60">
        <f t="shared" si="185"/>
        <v>1.3187534153652907E-11</v>
      </c>
      <c r="W75" s="60">
        <f t="shared" si="185"/>
        <v>1.3187534153652907E-11</v>
      </c>
      <c r="X75" s="60">
        <f t="shared" si="185"/>
        <v>1.3187534153652907E-11</v>
      </c>
      <c r="Y75" s="60">
        <f t="shared" si="185"/>
        <v>1.3187534153652907E-11</v>
      </c>
      <c r="Z75" s="60">
        <f t="shared" si="185"/>
        <v>1.3187534153652907E-11</v>
      </c>
      <c r="AA75" s="60">
        <f t="shared" si="185"/>
        <v>1.3187534153652907E-11</v>
      </c>
      <c r="AB75" s="60">
        <f t="shared" si="185"/>
        <v>1.3187534153652907E-11</v>
      </c>
      <c r="AC75" s="49">
        <f t="shared" si="152"/>
        <v>15165837.5</v>
      </c>
      <c r="AD75" s="49">
        <f>IFERROR(up_RadSpec!$H$18*($BB$18/$B75),".")</f>
        <v>3791459.375</v>
      </c>
      <c r="AE75" s="49">
        <f>IFERROR(up_RadSpec!$H$18*($BB$18/$B75),".")</f>
        <v>3791459.375</v>
      </c>
      <c r="AF75" s="49">
        <f>IFERROR(up_RadSpec!$H$18*($BB$18/$B75),".")</f>
        <v>3791459.375</v>
      </c>
      <c r="AG75" s="49">
        <f>IFERROR(up_RadSpec!$H$18*($BB$18/$B75),".")</f>
        <v>3791459.375</v>
      </c>
      <c r="AH75" s="49">
        <f>IFERROR(up_RadSpec!$H$18*($BB$18/$B75),".")</f>
        <v>3791459.375</v>
      </c>
      <c r="AI75" s="49">
        <f>IFERROR(up_RadSpec!$H$18*($BB$18/$B75),".")</f>
        <v>3791459.375</v>
      </c>
      <c r="AJ75" s="49">
        <f>IFERROR(up_RadSpec!$H$18*($BB$18/$B75),".")</f>
        <v>3791459.375</v>
      </c>
      <c r="AK75" s="49">
        <f>IFERROR(up_RadSpec!$H$18*($BB$18/$B75),".")</f>
        <v>3791459.375</v>
      </c>
      <c r="AL75" s="49">
        <f>IFERROR(up_RadSpec!$H$18*($BB$18/$B75),".")</f>
        <v>3791459.375</v>
      </c>
      <c r="AM75" s="49">
        <f>IFERROR(up_RadSpec!$H$18*($BB$18/$B75),".")</f>
        <v>3791459.375</v>
      </c>
      <c r="AN75" s="49">
        <f>IFERROR(up_RadSpec!$H$18*($BB$18/$B75),".")</f>
        <v>3791459.375</v>
      </c>
      <c r="AO75" s="49">
        <f>IFERROR(up_RadSpec!$H$18*($BB$18/$B75),".")</f>
        <v>3791459.375</v>
      </c>
      <c r="AP75" s="49">
        <f>IFERROR(up_RadSpec!$H$18*($BB$18/$B75),".")</f>
        <v>3791459.375</v>
      </c>
      <c r="AQ75" s="49">
        <f>IFERROR(up_RadSpec!$H$18*($BB$18/$B75),".")</f>
        <v>3791459.375</v>
      </c>
      <c r="AR75" s="49">
        <f>IFERROR(up_RadSpec!$H$18*($BB$18/$B75),".")</f>
        <v>3791459.375</v>
      </c>
      <c r="AS75" s="49">
        <f>IFERROR(up_RadSpec!$H$18*($BB$18/$B75),".")</f>
        <v>3791459.375</v>
      </c>
      <c r="AT75" s="49">
        <f>IFERROR(up_RadSpec!$H$18*($BB$18/$B75),".")</f>
        <v>3791459.375</v>
      </c>
      <c r="AU75" s="49">
        <f>IFERROR(up_RadSpec!$H$18*($BB$18/$B75),".")</f>
        <v>3791459.375</v>
      </c>
      <c r="AV75" s="49">
        <f>IFERROR(up_RadSpec!$H$18*($BB$18/$B75),".")</f>
        <v>3791459.375</v>
      </c>
      <c r="AW75" s="49">
        <f>IFERROR(up_RadSpec!$H$18*($BB$18/$B75),".")</f>
        <v>3791459.375</v>
      </c>
      <c r="AX75" s="49">
        <f>IFERROR(up_RadSpec!$H$18*($BB$18/$B75),".")</f>
        <v>3791459.375</v>
      </c>
      <c r="AY75" s="49">
        <f>IFERROR(up_RadSpec!$H$18*($BB$18/$B75),".")</f>
        <v>3791459.375</v>
      </c>
      <c r="AZ75" s="49">
        <f>IFERROR(up_RadSpec!$H$18*($BB$18/$B75),".")</f>
        <v>3791459.375</v>
      </c>
      <c r="BA75" s="49">
        <f>IFERROR(up_RadSpec!$H$18*($BB$18/$B75),".")</f>
        <v>3791459.375</v>
      </c>
      <c r="BB75" s="49">
        <f>IFERROR(up_RadSpec!$H$18*($BB$18/$B75),".")</f>
        <v>3791459.375</v>
      </c>
      <c r="BC75" s="60">
        <f t="shared" ref="BC75" si="186">IFERROR($B75/BC18,0)</f>
        <v>303316749999.99994</v>
      </c>
      <c r="BD75" s="60">
        <f t="shared" ref="BD75:CB75" si="187">IFERROR($B75/BD18,0)</f>
        <v>75829187499.999985</v>
      </c>
      <c r="BE75" s="60">
        <f t="shared" si="187"/>
        <v>75829187499.999985</v>
      </c>
      <c r="BF75" s="60">
        <f t="shared" si="187"/>
        <v>75829187499.999985</v>
      </c>
      <c r="BG75" s="60">
        <f t="shared" si="187"/>
        <v>75829187499.999985</v>
      </c>
      <c r="BH75" s="60">
        <f t="shared" si="187"/>
        <v>75829187499.999985</v>
      </c>
      <c r="BI75" s="60">
        <f t="shared" si="187"/>
        <v>75829187499.999985</v>
      </c>
      <c r="BJ75" s="60">
        <f t="shared" si="187"/>
        <v>75829187499.999985</v>
      </c>
      <c r="BK75" s="60">
        <f t="shared" si="187"/>
        <v>75829187499.999985</v>
      </c>
      <c r="BL75" s="60">
        <f t="shared" si="187"/>
        <v>75829187499.999985</v>
      </c>
      <c r="BM75" s="60">
        <f t="shared" si="187"/>
        <v>75829187499.999985</v>
      </c>
      <c r="BN75" s="60">
        <f t="shared" si="187"/>
        <v>75829187499.999985</v>
      </c>
      <c r="BO75" s="60">
        <f t="shared" si="187"/>
        <v>75829187499.999985</v>
      </c>
      <c r="BP75" s="60">
        <f t="shared" si="187"/>
        <v>75829187499.999985</v>
      </c>
      <c r="BQ75" s="60">
        <f t="shared" si="187"/>
        <v>75829187499.999985</v>
      </c>
      <c r="BR75" s="60">
        <f t="shared" si="187"/>
        <v>75829187499.999985</v>
      </c>
      <c r="BS75" s="60">
        <f t="shared" si="187"/>
        <v>75829187499.999985</v>
      </c>
      <c r="BT75" s="60">
        <f t="shared" si="187"/>
        <v>75829187499.999985</v>
      </c>
      <c r="BU75" s="60">
        <f t="shared" si="187"/>
        <v>75829187499.999985</v>
      </c>
      <c r="BV75" s="60">
        <f t="shared" si="187"/>
        <v>75829187499.999985</v>
      </c>
      <c r="BW75" s="60">
        <f t="shared" si="187"/>
        <v>75829187499.999985</v>
      </c>
      <c r="BX75" s="60">
        <f t="shared" si="187"/>
        <v>75829187499.999985</v>
      </c>
      <c r="BY75" s="60">
        <f t="shared" si="187"/>
        <v>75829187499.999985</v>
      </c>
      <c r="BZ75" s="60">
        <f t="shared" si="187"/>
        <v>75829187499.999985</v>
      </c>
      <c r="CA75" s="60">
        <f t="shared" si="187"/>
        <v>75829187499.999985</v>
      </c>
      <c r="CB75" s="60">
        <f t="shared" si="187"/>
        <v>75829187499.999985</v>
      </c>
      <c r="CC75" s="49">
        <f t="shared" si="155"/>
        <v>15165837.5</v>
      </c>
      <c r="CD75" s="49">
        <f>IFERROR(up_RadSpec!$H$18*(CD18/$B75),".")</f>
        <v>3791459.375</v>
      </c>
      <c r="CE75" s="49">
        <f>IFERROR(up_RadSpec!$H$18*(CE18/$B75),".")</f>
        <v>3791459.375</v>
      </c>
      <c r="CF75" s="49">
        <f>IFERROR(up_RadSpec!$H$18*(CF18/$B75),".")</f>
        <v>3791459.375</v>
      </c>
      <c r="CG75" s="49">
        <f>IFERROR(up_RadSpec!$H$18*(CG18/$B75),".")</f>
        <v>3791459.375</v>
      </c>
      <c r="CH75" s="49">
        <f>IFERROR(up_RadSpec!$H$18*(CH18/$B75),".")</f>
        <v>3791459.375</v>
      </c>
      <c r="CI75" s="49">
        <f>IFERROR(up_RadSpec!$H$18*(CI18/$B75),".")</f>
        <v>3791459.375</v>
      </c>
      <c r="CJ75" s="49">
        <f>IFERROR(up_RadSpec!$H$18*(CJ18/$B75),".")</f>
        <v>3791459.375</v>
      </c>
      <c r="CK75" s="49">
        <f>IFERROR(up_RadSpec!$H$18*(CK18/$B75),".")</f>
        <v>3791459.375</v>
      </c>
      <c r="CL75" s="49">
        <f>IFERROR(up_RadSpec!$H$18*(CL18/$B75),".")</f>
        <v>3791459.375</v>
      </c>
      <c r="CM75" s="49">
        <f>IFERROR(up_RadSpec!$H$18*(CM18/$B75),".")</f>
        <v>3791459.375</v>
      </c>
      <c r="CN75" s="49">
        <f>IFERROR(up_RadSpec!$H$18*(CN18/$B75),".")</f>
        <v>3791459.375</v>
      </c>
      <c r="CO75" s="49">
        <f>IFERROR(up_RadSpec!$H$18*(CO18/$B75),".")</f>
        <v>3791459.375</v>
      </c>
      <c r="CP75" s="49">
        <f>IFERROR(up_RadSpec!$H$18*(CP18/$B75),".")</f>
        <v>3791459.375</v>
      </c>
      <c r="CQ75" s="49">
        <f>IFERROR(up_RadSpec!$H$18*(CQ18/$B75),".")</f>
        <v>3791459.375</v>
      </c>
      <c r="CR75" s="49">
        <f>IFERROR(up_RadSpec!$H$18*(CR18/$B75),".")</f>
        <v>3791459.375</v>
      </c>
      <c r="CS75" s="49">
        <f>IFERROR(up_RadSpec!$H$18*(CS18/$B75),".")</f>
        <v>3791459.375</v>
      </c>
      <c r="CT75" s="49">
        <f>IFERROR(up_RadSpec!$H$18*(CT18/$B75),".")</f>
        <v>3791459.375</v>
      </c>
      <c r="CU75" s="49">
        <f>IFERROR(up_RadSpec!$H$18*(CU18/$B75),".")</f>
        <v>3791459.375</v>
      </c>
      <c r="CV75" s="49">
        <f>IFERROR(up_RadSpec!$H$18*(CV18/$B75),".")</f>
        <v>3791459.375</v>
      </c>
      <c r="CW75" s="49">
        <f>IFERROR(up_RadSpec!$H$18*(CW18/$B75),".")</f>
        <v>3791459.375</v>
      </c>
      <c r="CX75" s="49">
        <f>IFERROR(up_RadSpec!$H$18*(CX18/$B75),".")</f>
        <v>3791459.375</v>
      </c>
      <c r="CY75" s="49">
        <f>IFERROR(up_RadSpec!$H$18*(CY18/$B75),".")</f>
        <v>3791459.375</v>
      </c>
      <c r="CZ75" s="49">
        <f>IFERROR(up_RadSpec!$H$18*(CZ18/$B75),".")</f>
        <v>3791459.375</v>
      </c>
      <c r="DA75" s="49">
        <f>IFERROR(up_RadSpec!$H$18*(DA18/$B75),".")</f>
        <v>3791459.375</v>
      </c>
      <c r="DB75" s="49">
        <f>IFERROR(up_RadSpec!$H$18*(DB18/$B75),".")</f>
        <v>3791459.375</v>
      </c>
    </row>
    <row r="76" spans="1:106" x14ac:dyDescent="0.25">
      <c r="A76" s="83" t="s">
        <v>1097</v>
      </c>
      <c r="B76" s="42">
        <v>1.339E-6</v>
      </c>
      <c r="C76" s="60">
        <f t="shared" ref="C76" si="188">IFERROR(C27/$B62,0)</f>
        <v>2.4621983109882206E-6</v>
      </c>
      <c r="D76" s="60">
        <f t="shared" ref="D76:AB76" si="189">IFERROR(D27/$B62,0)</f>
        <v>9.8487932439528805E-6</v>
      </c>
      <c r="E76" s="60">
        <f t="shared" si="189"/>
        <v>9.8487932439528805E-6</v>
      </c>
      <c r="F76" s="60">
        <f t="shared" si="189"/>
        <v>9.8487932439528805E-6</v>
      </c>
      <c r="G76" s="60">
        <f t="shared" si="189"/>
        <v>9.8487932439528805E-6</v>
      </c>
      <c r="H76" s="60">
        <f t="shared" si="189"/>
        <v>9.8487932439528805E-6</v>
      </c>
      <c r="I76" s="60">
        <f t="shared" si="189"/>
        <v>9.8487932439528805E-6</v>
      </c>
      <c r="J76" s="60">
        <f t="shared" si="189"/>
        <v>9.8487932439528805E-6</v>
      </c>
      <c r="K76" s="60">
        <f t="shared" si="189"/>
        <v>9.8487932439528805E-6</v>
      </c>
      <c r="L76" s="60">
        <f t="shared" si="189"/>
        <v>9.8487932439528805E-6</v>
      </c>
      <c r="M76" s="60">
        <f t="shared" si="189"/>
        <v>9.8487932439528805E-6</v>
      </c>
      <c r="N76" s="60">
        <f t="shared" si="189"/>
        <v>9.8487932439528805E-6</v>
      </c>
      <c r="O76" s="60">
        <f t="shared" si="189"/>
        <v>9.8487932439528805E-6</v>
      </c>
      <c r="P76" s="60">
        <f t="shared" si="189"/>
        <v>9.8487932439528805E-6</v>
      </c>
      <c r="Q76" s="60">
        <f t="shared" si="189"/>
        <v>9.8487932439528805E-6</v>
      </c>
      <c r="R76" s="60">
        <f t="shared" si="189"/>
        <v>9.8487932439528805E-6</v>
      </c>
      <c r="S76" s="60">
        <f t="shared" si="189"/>
        <v>9.8487932439528805E-6</v>
      </c>
      <c r="T76" s="60">
        <f t="shared" si="189"/>
        <v>9.8487932439528805E-6</v>
      </c>
      <c r="U76" s="60">
        <f t="shared" si="189"/>
        <v>9.8487932439528805E-6</v>
      </c>
      <c r="V76" s="60">
        <f t="shared" si="189"/>
        <v>9.8487932439528805E-6</v>
      </c>
      <c r="W76" s="60">
        <f t="shared" si="189"/>
        <v>9.8487932439528805E-6</v>
      </c>
      <c r="X76" s="60">
        <f t="shared" si="189"/>
        <v>9.8487932439528805E-6</v>
      </c>
      <c r="Y76" s="60">
        <f t="shared" si="189"/>
        <v>9.8487932439528805E-6</v>
      </c>
      <c r="Z76" s="60">
        <f t="shared" si="189"/>
        <v>9.8487932439528805E-6</v>
      </c>
      <c r="AA76" s="60">
        <f t="shared" si="189"/>
        <v>9.8487932439528805E-6</v>
      </c>
      <c r="AB76" s="60">
        <f t="shared" si="189"/>
        <v>9.8487932439528805E-6</v>
      </c>
      <c r="AC76" s="49">
        <f t="shared" si="152"/>
        <v>11326241598207.617</v>
      </c>
      <c r="AD76" s="49">
        <f>IFERROR(up_RadSpec!$H$27*($BB$27/$B76),".")</f>
        <v>2831560399551.9043</v>
      </c>
      <c r="AE76" s="49">
        <f>IFERROR(up_RadSpec!$H$27*($BB$27/$B76),".")</f>
        <v>2831560399551.9043</v>
      </c>
      <c r="AF76" s="49">
        <f>IFERROR(up_RadSpec!$H$27*($BB$27/$B76),".")</f>
        <v>2831560399551.9043</v>
      </c>
      <c r="AG76" s="49">
        <f>IFERROR(up_RadSpec!$H$27*($BB$27/$B76),".")</f>
        <v>2831560399551.9043</v>
      </c>
      <c r="AH76" s="49">
        <f>IFERROR(up_RadSpec!$H$27*($BB$27/$B76),".")</f>
        <v>2831560399551.9043</v>
      </c>
      <c r="AI76" s="49">
        <f>IFERROR(up_RadSpec!$H$27*($BB$27/$B76),".")</f>
        <v>2831560399551.9043</v>
      </c>
      <c r="AJ76" s="49">
        <f>IFERROR(up_RadSpec!$H$27*($BB$27/$B76),".")</f>
        <v>2831560399551.9043</v>
      </c>
      <c r="AK76" s="49">
        <f>IFERROR(up_RadSpec!$H$27*($BB$27/$B76),".")</f>
        <v>2831560399551.9043</v>
      </c>
      <c r="AL76" s="49">
        <f>IFERROR(up_RadSpec!$H$27*($BB$27/$B76),".")</f>
        <v>2831560399551.9043</v>
      </c>
      <c r="AM76" s="49">
        <f>IFERROR(up_RadSpec!$H$27*($BB$27/$B76),".")</f>
        <v>2831560399551.9043</v>
      </c>
      <c r="AN76" s="49">
        <f>IFERROR(up_RadSpec!$H$27*($BB$27/$B76),".")</f>
        <v>2831560399551.9043</v>
      </c>
      <c r="AO76" s="49">
        <f>IFERROR(up_RadSpec!$H$27*($BB$27/$B76),".")</f>
        <v>2831560399551.9043</v>
      </c>
      <c r="AP76" s="49">
        <f>IFERROR(up_RadSpec!$H$27*($BB$27/$B76),".")</f>
        <v>2831560399551.9043</v>
      </c>
      <c r="AQ76" s="49">
        <f>IFERROR(up_RadSpec!$H$27*($BB$27/$B76),".")</f>
        <v>2831560399551.9043</v>
      </c>
      <c r="AR76" s="49">
        <f>IFERROR(up_RadSpec!$H$27*($BB$27/$B76),".")</f>
        <v>2831560399551.9043</v>
      </c>
      <c r="AS76" s="49">
        <f>IFERROR(up_RadSpec!$H$27*($BB$27/$B76),".")</f>
        <v>2831560399551.9043</v>
      </c>
      <c r="AT76" s="49">
        <f>IFERROR(up_RadSpec!$H$27*($BB$27/$B76),".")</f>
        <v>2831560399551.9043</v>
      </c>
      <c r="AU76" s="49">
        <f>IFERROR(up_RadSpec!$H$27*($BB$27/$B76),".")</f>
        <v>2831560399551.9043</v>
      </c>
      <c r="AV76" s="49">
        <f>IFERROR(up_RadSpec!$H$27*($BB$27/$B76),".")</f>
        <v>2831560399551.9043</v>
      </c>
      <c r="AW76" s="49">
        <f>IFERROR(up_RadSpec!$H$27*($BB$27/$B76),".")</f>
        <v>2831560399551.9043</v>
      </c>
      <c r="AX76" s="49">
        <f>IFERROR(up_RadSpec!$H$27*($BB$27/$B76),".")</f>
        <v>2831560399551.9043</v>
      </c>
      <c r="AY76" s="49">
        <f>IFERROR(up_RadSpec!$H$27*($BB$27/$B76),".")</f>
        <v>2831560399551.9043</v>
      </c>
      <c r="AZ76" s="49">
        <f>IFERROR(up_RadSpec!$H$27*($BB$27/$B76),".")</f>
        <v>2831560399551.9043</v>
      </c>
      <c r="BA76" s="49">
        <f>IFERROR(up_RadSpec!$H$27*($BB$27/$B76),".")</f>
        <v>2831560399551.9043</v>
      </c>
      <c r="BB76" s="49">
        <f>IFERROR(up_RadSpec!$H$27*($BB$27/$B76),".")</f>
        <v>2831560399551.9043</v>
      </c>
      <c r="BC76" s="60">
        <f t="shared" ref="BC76" si="190">IFERROR($B76/BC27,0)</f>
        <v>406141.12824999989</v>
      </c>
      <c r="BD76" s="60">
        <f t="shared" ref="BD76:CB76" si="191">IFERROR($B76/BD27,0)</f>
        <v>101535.28206249999</v>
      </c>
      <c r="BE76" s="60">
        <f t="shared" si="191"/>
        <v>101535.28206249999</v>
      </c>
      <c r="BF76" s="60">
        <f t="shared" si="191"/>
        <v>101535.28206249999</v>
      </c>
      <c r="BG76" s="60">
        <f t="shared" si="191"/>
        <v>101535.28206249999</v>
      </c>
      <c r="BH76" s="60">
        <f t="shared" si="191"/>
        <v>101535.28206249999</v>
      </c>
      <c r="BI76" s="60">
        <f t="shared" si="191"/>
        <v>101535.28206249999</v>
      </c>
      <c r="BJ76" s="60">
        <f t="shared" si="191"/>
        <v>101535.28206249999</v>
      </c>
      <c r="BK76" s="60">
        <f t="shared" si="191"/>
        <v>101535.28206249999</v>
      </c>
      <c r="BL76" s="60">
        <f t="shared" si="191"/>
        <v>101535.28206249999</v>
      </c>
      <c r="BM76" s="60">
        <f t="shared" si="191"/>
        <v>101535.28206249999</v>
      </c>
      <c r="BN76" s="60">
        <f t="shared" si="191"/>
        <v>101535.28206249999</v>
      </c>
      <c r="BO76" s="60">
        <f t="shared" si="191"/>
        <v>101535.28206249999</v>
      </c>
      <c r="BP76" s="60">
        <f t="shared" si="191"/>
        <v>101535.28206249999</v>
      </c>
      <c r="BQ76" s="60">
        <f t="shared" si="191"/>
        <v>101535.28206249999</v>
      </c>
      <c r="BR76" s="60">
        <f t="shared" si="191"/>
        <v>101535.28206249999</v>
      </c>
      <c r="BS76" s="60">
        <f t="shared" si="191"/>
        <v>101535.28206249999</v>
      </c>
      <c r="BT76" s="60">
        <f t="shared" si="191"/>
        <v>101535.28206249999</v>
      </c>
      <c r="BU76" s="60">
        <f t="shared" si="191"/>
        <v>101535.28206249999</v>
      </c>
      <c r="BV76" s="60">
        <f t="shared" si="191"/>
        <v>101535.28206249999</v>
      </c>
      <c r="BW76" s="60">
        <f t="shared" si="191"/>
        <v>101535.28206249999</v>
      </c>
      <c r="BX76" s="60">
        <f t="shared" si="191"/>
        <v>101535.28206249999</v>
      </c>
      <c r="BY76" s="60">
        <f t="shared" si="191"/>
        <v>101535.28206249999</v>
      </c>
      <c r="BZ76" s="60">
        <f t="shared" si="191"/>
        <v>101535.28206249999</v>
      </c>
      <c r="CA76" s="60">
        <f t="shared" si="191"/>
        <v>101535.28206249999</v>
      </c>
      <c r="CB76" s="60">
        <f t="shared" si="191"/>
        <v>101535.28206249999</v>
      </c>
      <c r="CC76" s="49">
        <f t="shared" si="155"/>
        <v>11326241598207.617</v>
      </c>
      <c r="CD76" s="49">
        <f>IFERROR(up_RadSpec!$H$27*(CD27/$B76),".")</f>
        <v>2831560399551.9043</v>
      </c>
      <c r="CE76" s="49">
        <f>IFERROR(up_RadSpec!$H$27*(CE27/$B76),".")</f>
        <v>2831560399551.9043</v>
      </c>
      <c r="CF76" s="49">
        <f>IFERROR(up_RadSpec!$H$27*(CF27/$B76),".")</f>
        <v>2831560399551.9043</v>
      </c>
      <c r="CG76" s="49">
        <f>IFERROR(up_RadSpec!$H$27*(CG27/$B76),".")</f>
        <v>2831560399551.9043</v>
      </c>
      <c r="CH76" s="49">
        <f>IFERROR(up_RadSpec!$H$27*(CH27/$B76),".")</f>
        <v>2831560399551.9043</v>
      </c>
      <c r="CI76" s="49">
        <f>IFERROR(up_RadSpec!$H$27*(CI27/$B76),".")</f>
        <v>2831560399551.9043</v>
      </c>
      <c r="CJ76" s="49">
        <f>IFERROR(up_RadSpec!$H$27*(CJ27/$B76),".")</f>
        <v>2831560399551.9043</v>
      </c>
      <c r="CK76" s="49">
        <f>IFERROR(up_RadSpec!$H$27*(CK27/$B76),".")</f>
        <v>2831560399551.9043</v>
      </c>
      <c r="CL76" s="49">
        <f>IFERROR(up_RadSpec!$H$27*(CL27/$B76),".")</f>
        <v>2831560399551.9043</v>
      </c>
      <c r="CM76" s="49">
        <f>IFERROR(up_RadSpec!$H$27*(CM27/$B76),".")</f>
        <v>2831560399551.9043</v>
      </c>
      <c r="CN76" s="49">
        <f>IFERROR(up_RadSpec!$H$27*(CN27/$B76),".")</f>
        <v>2831560399551.9043</v>
      </c>
      <c r="CO76" s="49">
        <f>IFERROR(up_RadSpec!$H$27*(CO27/$B76),".")</f>
        <v>2831560399551.9043</v>
      </c>
      <c r="CP76" s="49">
        <f>IFERROR(up_RadSpec!$H$27*(CP27/$B76),".")</f>
        <v>2831560399551.9043</v>
      </c>
      <c r="CQ76" s="49">
        <f>IFERROR(up_RadSpec!$H$27*(CQ27/$B76),".")</f>
        <v>2831560399551.9043</v>
      </c>
      <c r="CR76" s="49">
        <f>IFERROR(up_RadSpec!$H$27*(CR27/$B76),".")</f>
        <v>2831560399551.9043</v>
      </c>
      <c r="CS76" s="49">
        <f>IFERROR(up_RadSpec!$H$27*(CS27/$B76),".")</f>
        <v>2831560399551.9043</v>
      </c>
      <c r="CT76" s="49">
        <f>IFERROR(up_RadSpec!$H$27*(CT27/$B76),".")</f>
        <v>2831560399551.9043</v>
      </c>
      <c r="CU76" s="49">
        <f>IFERROR(up_RadSpec!$H$27*(CU27/$B76),".")</f>
        <v>2831560399551.9043</v>
      </c>
      <c r="CV76" s="49">
        <f>IFERROR(up_RadSpec!$H$27*(CV27/$B76),".")</f>
        <v>2831560399551.9043</v>
      </c>
      <c r="CW76" s="49">
        <f>IFERROR(up_RadSpec!$H$27*(CW27/$B76),".")</f>
        <v>2831560399551.9043</v>
      </c>
      <c r="CX76" s="49">
        <f>IFERROR(up_RadSpec!$H$27*(CX27/$B76),".")</f>
        <v>2831560399551.9043</v>
      </c>
      <c r="CY76" s="49">
        <f>IFERROR(up_RadSpec!$H$27*(CY27/$B76),".")</f>
        <v>2831560399551.9043</v>
      </c>
      <c r="CZ76" s="49">
        <f>IFERROR(up_RadSpec!$H$27*(CZ27/$B76),".")</f>
        <v>2831560399551.9043</v>
      </c>
      <c r="DA76" s="49">
        <f>IFERROR(up_RadSpec!$H$27*(DA27/$B76),".")</f>
        <v>2831560399551.9043</v>
      </c>
      <c r="DB76" s="49">
        <f>IFERROR(up_RadSpec!$H$27*(DB27/$B76),".")</f>
        <v>2831560399551.9043</v>
      </c>
    </row>
  </sheetData>
  <sheetProtection algorithmName="SHA-512" hashValue="VtpXYWvBYNmJQkujCydRsNSfNix6AbNPeuOCfwbyat0P3IdKUGsYM9eSwhNNlrjMlF2myjGTxTvDcBEy+F7qwg==" saltValue="921jNk1AriZ9kM2vh2uI2w==" spinCount="100000" sheet="1" formatColumns="0" formatRows="0" autoFilter="0"/>
  <autoFilter ref="A1:CX76" xr:uid="{6E27F3FE-A4C7-4CF2-9825-ED84E3DEE6B6}"/>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1:D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90" bestFit="1" customWidth="1"/>
    <col min="2" max="2" width="11.7109375" style="90" bestFit="1" customWidth="1"/>
    <col min="3" max="3" width="22.85546875" style="90" bestFit="1" customWidth="1"/>
    <col min="4" max="4" width="14.5703125" style="90" bestFit="1" customWidth="1"/>
    <col min="5" max="5" width="14.28515625" style="90" bestFit="1" customWidth="1"/>
    <col min="6" max="6" width="13.85546875" style="90" bestFit="1" customWidth="1"/>
    <col min="7" max="7" width="14.28515625" style="90" bestFit="1" customWidth="1"/>
    <col min="8" max="8" width="13.7109375" style="90" bestFit="1" customWidth="1"/>
    <col min="9" max="9" width="14" style="90" bestFit="1" customWidth="1"/>
    <col min="10" max="10" width="13.140625" style="90" bestFit="1" customWidth="1"/>
    <col min="11" max="11" width="14.5703125" style="90" bestFit="1" customWidth="1"/>
    <col min="12" max="12" width="13.7109375" style="90" bestFit="1" customWidth="1"/>
    <col min="13" max="13" width="15.42578125" style="90" bestFit="1" customWidth="1"/>
    <col min="14" max="14" width="12.85546875" style="90" bestFit="1" customWidth="1"/>
    <col min="15" max="15" width="13.42578125" style="90" bestFit="1" customWidth="1"/>
    <col min="16" max="16" width="13.5703125" style="90" bestFit="1" customWidth="1"/>
    <col min="17" max="17" width="14.7109375" style="90" bestFit="1" customWidth="1"/>
    <col min="18" max="18" width="15" style="90" bestFit="1" customWidth="1"/>
    <col min="19" max="19" width="13.7109375" style="90" bestFit="1" customWidth="1"/>
    <col min="20" max="20" width="13" style="90" bestFit="1" customWidth="1"/>
    <col min="21" max="21" width="14.42578125" style="90" bestFit="1" customWidth="1"/>
    <col min="22" max="22" width="14.85546875" style="90" bestFit="1" customWidth="1"/>
    <col min="23" max="23" width="13.85546875" style="90" bestFit="1" customWidth="1"/>
    <col min="24" max="24" width="14.5703125" style="90" bestFit="1" customWidth="1"/>
    <col min="25" max="25" width="13.42578125" style="90" bestFit="1" customWidth="1"/>
    <col min="26" max="26" width="13" style="90" bestFit="1" customWidth="1"/>
    <col min="27" max="27" width="15" style="90" bestFit="1" customWidth="1"/>
    <col min="28" max="28" width="20.7109375" style="90" bestFit="1" customWidth="1"/>
    <col min="29" max="29" width="22.5703125" style="90" bestFit="1" customWidth="1"/>
    <col min="30" max="30" width="14.7109375" style="90" bestFit="1" customWidth="1"/>
    <col min="31" max="31" width="13.85546875" style="90" bestFit="1" customWidth="1"/>
    <col min="32" max="32" width="14.5703125" style="90" bestFit="1" customWidth="1"/>
    <col min="33" max="33" width="13.85546875" style="90" bestFit="1" customWidth="1"/>
    <col min="34" max="34" width="14.140625" style="90" bestFit="1" customWidth="1"/>
    <col min="35" max="35" width="13.5703125" style="90" bestFit="1" customWidth="1"/>
    <col min="36" max="36" width="14.7109375" style="90" bestFit="1" customWidth="1"/>
    <col min="37" max="37" width="13.85546875" style="90" bestFit="1" customWidth="1"/>
    <col min="38" max="38" width="15.5703125" style="90" bestFit="1" customWidth="1"/>
    <col min="39" max="39" width="13.140625" style="90" bestFit="1" customWidth="1"/>
    <col min="40" max="40" width="13.85546875" style="90" bestFit="1" customWidth="1"/>
    <col min="41" max="41" width="14" style="90" bestFit="1" customWidth="1"/>
    <col min="42" max="42" width="14.7109375" style="90" bestFit="1" customWidth="1"/>
    <col min="43" max="43" width="15" style="90" bestFit="1" customWidth="1"/>
    <col min="44" max="44" width="14" style="90" bestFit="1" customWidth="1"/>
    <col min="45" max="45" width="13.28515625" style="90" bestFit="1" customWidth="1"/>
    <col min="46" max="46" width="14.7109375" style="90" bestFit="1" customWidth="1"/>
    <col min="47" max="47" width="14.85546875" style="90" bestFit="1" customWidth="1"/>
    <col min="48" max="48" width="14" style="90" bestFit="1" customWidth="1"/>
    <col min="49" max="49" width="14.85546875" style="90" bestFit="1" customWidth="1"/>
    <col min="50" max="50" width="13.5703125" style="90" bestFit="1" customWidth="1"/>
    <col min="51" max="51" width="13.28515625" style="90" bestFit="1" customWidth="1"/>
    <col min="52" max="52" width="15.140625" style="90" bestFit="1" customWidth="1"/>
    <col min="53" max="53" width="26.140625" style="90" bestFit="1" customWidth="1"/>
    <col min="54" max="54" width="14.28515625" style="90" bestFit="1" customWidth="1"/>
    <col min="55" max="55" width="28.7109375" style="90" bestFit="1" customWidth="1"/>
    <col min="56" max="56" width="13.5703125" style="90" bestFit="1" customWidth="1"/>
    <col min="57" max="57" width="14.140625" style="90" bestFit="1" customWidth="1"/>
    <col min="58" max="58" width="13.42578125" style="90" bestFit="1" customWidth="1"/>
    <col min="59" max="59" width="13.7109375" style="90" bestFit="1" customWidth="1"/>
    <col min="60" max="60" width="13" style="90" bestFit="1" customWidth="1"/>
    <col min="61" max="61" width="14.28515625" style="90" bestFit="1" customWidth="1"/>
    <col min="62" max="62" width="13.42578125" style="90" bestFit="1" customWidth="1"/>
    <col min="63" max="63" width="15.28515625" style="90" bestFit="1" customWidth="1"/>
    <col min="64" max="64" width="12.7109375" style="90" bestFit="1" customWidth="1"/>
    <col min="65" max="65" width="13.28515625" style="90" bestFit="1" customWidth="1"/>
    <col min="66" max="66" width="13.42578125" style="90" bestFit="1" customWidth="1"/>
    <col min="67" max="67" width="14.5703125" style="90" bestFit="1" customWidth="1"/>
    <col min="68" max="68" width="14.7109375" style="90" bestFit="1" customWidth="1"/>
    <col min="69" max="69" width="13.42578125" style="90" bestFit="1" customWidth="1"/>
    <col min="70" max="70" width="12.85546875" style="90" bestFit="1" customWidth="1"/>
    <col min="71" max="71" width="14.140625" style="90" bestFit="1" customWidth="1"/>
    <col min="72" max="72" width="14.5703125" style="90" bestFit="1" customWidth="1"/>
    <col min="73" max="73" width="13.5703125" style="90" bestFit="1" customWidth="1"/>
    <col min="74" max="74" width="14.28515625" style="90" bestFit="1" customWidth="1"/>
    <col min="75" max="75" width="13.140625" style="90" bestFit="1" customWidth="1"/>
    <col min="76" max="76" width="12.85546875" style="90" bestFit="1" customWidth="1"/>
    <col min="77" max="77" width="13.85546875" style="90" bestFit="1" customWidth="1"/>
    <col min="78" max="78" width="20.7109375" style="90" bestFit="1" customWidth="1"/>
    <col min="79" max="79" width="14.5703125" style="90" bestFit="1" customWidth="1"/>
    <col min="80" max="80" width="14.7109375" style="90" bestFit="1" customWidth="1"/>
    <col min="81" max="81" width="22.5703125" style="90" bestFit="1" customWidth="1"/>
    <col min="82" max="82" width="14.42578125" style="90" bestFit="1" customWidth="1"/>
    <col min="83" max="83" width="13.85546875" style="90" bestFit="1" customWidth="1"/>
    <col min="84" max="84" width="14" style="90" bestFit="1" customWidth="1"/>
    <col min="85" max="85" width="13.42578125" style="90" bestFit="1" customWidth="1"/>
    <col min="86" max="86" width="14.7109375" style="90" bestFit="1" customWidth="1"/>
    <col min="87" max="87" width="13.85546875" style="90" bestFit="1" customWidth="1"/>
    <col min="88" max="88" width="15.5703125" style="90" bestFit="1" customWidth="1"/>
    <col min="89" max="89" width="13" style="90" bestFit="1" customWidth="1"/>
    <col min="90" max="91" width="13.85546875" style="90" bestFit="1" customWidth="1"/>
    <col min="92" max="92" width="14.7109375" style="90" bestFit="1" customWidth="1"/>
    <col min="93" max="93" width="15" style="90" bestFit="1" customWidth="1"/>
    <col min="94" max="94" width="13.85546875" style="90" bestFit="1" customWidth="1"/>
    <col min="95" max="95" width="13.140625" style="90" bestFit="1" customWidth="1"/>
    <col min="96" max="96" width="14.5703125" style="90" bestFit="1" customWidth="1"/>
    <col min="97" max="97" width="14.85546875" style="90" bestFit="1" customWidth="1"/>
    <col min="98" max="98" width="14" style="90" bestFit="1" customWidth="1"/>
    <col min="99" max="99" width="14.85546875" style="90" bestFit="1" customWidth="1"/>
    <col min="100" max="100" width="13.5703125" style="90" bestFit="1" customWidth="1"/>
    <col min="101" max="101" width="13.140625" style="90" bestFit="1" customWidth="1"/>
    <col min="102" max="102" width="14.28515625" style="90" bestFit="1" customWidth="1"/>
    <col min="103" max="16384" width="9.140625" style="90"/>
  </cols>
  <sheetData>
    <row r="1" spans="1:106" x14ac:dyDescent="0.25">
      <c r="A1" s="87" t="s">
        <v>51</v>
      </c>
      <c r="B1" s="88" t="s">
        <v>348</v>
      </c>
      <c r="C1" s="89" t="s">
        <v>1467</v>
      </c>
      <c r="D1" s="90" t="s">
        <v>1442</v>
      </c>
      <c r="E1" s="90" t="s">
        <v>1443</v>
      </c>
      <c r="F1" s="90" t="s">
        <v>1444</v>
      </c>
      <c r="G1" s="90" t="s">
        <v>1445</v>
      </c>
      <c r="H1" s="90" t="s">
        <v>1446</v>
      </c>
      <c r="I1" s="90" t="s">
        <v>1447</v>
      </c>
      <c r="J1" s="90" t="s">
        <v>1448</v>
      </c>
      <c r="K1" s="90" t="s">
        <v>1449</v>
      </c>
      <c r="L1" s="90" t="s">
        <v>1450</v>
      </c>
      <c r="M1" s="90" t="s">
        <v>1451</v>
      </c>
      <c r="N1" s="90" t="s">
        <v>1452</v>
      </c>
      <c r="O1" s="90" t="s">
        <v>1453</v>
      </c>
      <c r="P1" s="90" t="s">
        <v>1454</v>
      </c>
      <c r="Q1" s="90" t="s">
        <v>1455</v>
      </c>
      <c r="R1" s="90" t="s">
        <v>1456</v>
      </c>
      <c r="S1" s="90" t="s">
        <v>1457</v>
      </c>
      <c r="T1" s="90" t="s">
        <v>1458</v>
      </c>
      <c r="U1" s="90" t="s">
        <v>1533</v>
      </c>
      <c r="V1" s="90" t="s">
        <v>1459</v>
      </c>
      <c r="W1" s="90" t="s">
        <v>1460</v>
      </c>
      <c r="X1" s="90" t="s">
        <v>1461</v>
      </c>
      <c r="Y1" s="90" t="s">
        <v>1462</v>
      </c>
      <c r="Z1" s="90" t="s">
        <v>1463</v>
      </c>
      <c r="AA1" s="90" t="s">
        <v>1464</v>
      </c>
      <c r="AB1" s="90" t="s">
        <v>1465</v>
      </c>
      <c r="AC1" s="91" t="s">
        <v>1120</v>
      </c>
      <c r="AD1" s="91" t="s">
        <v>1121</v>
      </c>
      <c r="AE1" s="91" t="s">
        <v>1122</v>
      </c>
      <c r="AF1" s="91" t="s">
        <v>1123</v>
      </c>
      <c r="AG1" s="91" t="s">
        <v>1124</v>
      </c>
      <c r="AH1" s="91" t="s">
        <v>1125</v>
      </c>
      <c r="AI1" s="91" t="s">
        <v>1126</v>
      </c>
      <c r="AJ1" s="91" t="s">
        <v>1127</v>
      </c>
      <c r="AK1" s="91" t="s">
        <v>1128</v>
      </c>
      <c r="AL1" s="91" t="s">
        <v>1129</v>
      </c>
      <c r="AM1" s="91" t="s">
        <v>1130</v>
      </c>
      <c r="AN1" s="91" t="s">
        <v>1131</v>
      </c>
      <c r="AO1" s="91" t="s">
        <v>1132</v>
      </c>
      <c r="AP1" s="91" t="s">
        <v>1133</v>
      </c>
      <c r="AQ1" s="91" t="s">
        <v>1134</v>
      </c>
      <c r="AR1" s="91" t="s">
        <v>1135</v>
      </c>
      <c r="AS1" s="91" t="s">
        <v>1136</v>
      </c>
      <c r="AT1" s="91" t="s">
        <v>1137</v>
      </c>
      <c r="AU1" s="91" t="s">
        <v>1535</v>
      </c>
      <c r="AV1" s="91" t="s">
        <v>1138</v>
      </c>
      <c r="AW1" s="91" t="s">
        <v>1139</v>
      </c>
      <c r="AX1" s="91" t="s">
        <v>1140</v>
      </c>
      <c r="AY1" s="91" t="s">
        <v>1141</v>
      </c>
      <c r="AZ1" s="91" t="s">
        <v>1142</v>
      </c>
      <c r="BA1" s="91" t="s">
        <v>1143</v>
      </c>
      <c r="BB1" s="91" t="s">
        <v>1144</v>
      </c>
      <c r="BC1" s="90" t="s">
        <v>1469</v>
      </c>
      <c r="BD1" s="90" t="s">
        <v>1417</v>
      </c>
      <c r="BE1" s="90" t="s">
        <v>1418</v>
      </c>
      <c r="BF1" s="90" t="s">
        <v>1419</v>
      </c>
      <c r="BG1" s="90" t="s">
        <v>1420</v>
      </c>
      <c r="BH1" s="90" t="s">
        <v>1421</v>
      </c>
      <c r="BI1" s="90" t="s">
        <v>1422</v>
      </c>
      <c r="BJ1" s="90" t="s">
        <v>1423</v>
      </c>
      <c r="BK1" s="90" t="s">
        <v>1424</v>
      </c>
      <c r="BL1" s="90" t="s">
        <v>1425</v>
      </c>
      <c r="BM1" s="90" t="s">
        <v>1426</v>
      </c>
      <c r="BN1" s="90" t="s">
        <v>1427</v>
      </c>
      <c r="BO1" s="90" t="s">
        <v>1428</v>
      </c>
      <c r="BP1" s="90" t="s">
        <v>1429</v>
      </c>
      <c r="BQ1" s="90" t="s">
        <v>1430</v>
      </c>
      <c r="BR1" s="90" t="s">
        <v>1431</v>
      </c>
      <c r="BS1" s="90" t="s">
        <v>1432</v>
      </c>
      <c r="BT1" s="90" t="s">
        <v>1433</v>
      </c>
      <c r="BU1" s="90" t="s">
        <v>1534</v>
      </c>
      <c r="BV1" s="90" t="s">
        <v>1434</v>
      </c>
      <c r="BW1" s="90" t="s">
        <v>1435</v>
      </c>
      <c r="BX1" s="90" t="s">
        <v>1436</v>
      </c>
      <c r="BY1" s="90" t="s">
        <v>1437</v>
      </c>
      <c r="BZ1" s="90" t="s">
        <v>1438</v>
      </c>
      <c r="CA1" s="90" t="s">
        <v>1439</v>
      </c>
      <c r="CB1" s="90" t="s">
        <v>1440</v>
      </c>
      <c r="CC1" s="91" t="s">
        <v>1145</v>
      </c>
      <c r="CD1" s="91" t="s">
        <v>1392</v>
      </c>
      <c r="CE1" s="91" t="s">
        <v>1393</v>
      </c>
      <c r="CF1" s="91" t="s">
        <v>1394</v>
      </c>
      <c r="CG1" s="91" t="s">
        <v>1395</v>
      </c>
      <c r="CH1" s="91" t="s">
        <v>1396</v>
      </c>
      <c r="CI1" s="91" t="s">
        <v>1397</v>
      </c>
      <c r="CJ1" s="91" t="s">
        <v>1398</v>
      </c>
      <c r="CK1" s="91" t="s">
        <v>1399</v>
      </c>
      <c r="CL1" s="91" t="s">
        <v>1400</v>
      </c>
      <c r="CM1" s="91" t="s">
        <v>1401</v>
      </c>
      <c r="CN1" s="91" t="s">
        <v>1402</v>
      </c>
      <c r="CO1" s="91" t="s">
        <v>1403</v>
      </c>
      <c r="CP1" s="91" t="s">
        <v>1404</v>
      </c>
      <c r="CQ1" s="91" t="s">
        <v>1405</v>
      </c>
      <c r="CR1" s="91" t="s">
        <v>1406</v>
      </c>
      <c r="CS1" s="91" t="s">
        <v>1407</v>
      </c>
      <c r="CT1" s="91" t="s">
        <v>1408</v>
      </c>
      <c r="CU1" s="91" t="s">
        <v>1531</v>
      </c>
      <c r="CV1" s="91" t="s">
        <v>1409</v>
      </c>
      <c r="CW1" s="91" t="s">
        <v>1410</v>
      </c>
      <c r="CX1" s="91" t="s">
        <v>1411</v>
      </c>
      <c r="CY1" s="91" t="s">
        <v>1412</v>
      </c>
      <c r="CZ1" s="91" t="s">
        <v>1413</v>
      </c>
      <c r="DA1" s="91" t="s">
        <v>1414</v>
      </c>
      <c r="DB1" s="91" t="s">
        <v>1415</v>
      </c>
    </row>
    <row r="2" spans="1:106" ht="15" customHeight="1" x14ac:dyDescent="0.25">
      <c r="A2" s="92" t="s">
        <v>12</v>
      </c>
      <c r="B2" s="90" t="s">
        <v>1071</v>
      </c>
      <c r="C2" s="15">
        <f>IFERROR(1/SUM(1/D2,1/U2,1/AA2,1/AB2),".")</f>
        <v>1.6443412786038031E-11</v>
      </c>
      <c r="D2" s="76">
        <f>IFERROR(IF(AND(up_Irr!C2&lt;&gt;".",up_Irr!AB2&lt;&gt;".",up_Irr!BA2&lt;&gt;"."),up_dir!D2/((1/1000)*(up_Irr!C2+up_Irr!AB2+up_Irr!BA2)),IF(AND(up_Irr!C2&lt;&gt;".",up_Irr!AB2&lt;&gt;".",up_Irr!BA2="."),up_dir!D2/((1/1000)*(up_Irr!C2+up_Irr!AB2)),IF(AND(up_Irr!C2&lt;&gt;".",up_Irr!AB2=".",up_Irr!BA2&lt;&gt;"."),up_dir!D2/((1/1000)*(up_Irr!C2+up_Irr!BA2)),IF(AND(up_Irr!C2=".",up_Irr!AB2&lt;&gt;".",up_Irr!BA2&lt;&gt;"."),up_dir!D2/((1/1000)*(up_Irr!AB2+up_Irr!BA2)),IF(AND(up_Irr!C2=".",up_Irr!AB2=".",up_Irr!BA2&lt;&gt;"."),up_dir!D2/((1/1000)*(up_Irr!BA2)),IF(AND(up_Irr!C2=".",up_Irr!AB2&lt;&gt;".",up_Irr!BA2="."),up_dir!D2/((1/1000)*(up_Irr!AB2)),IF(AND(up_Irr!C2&lt;&gt;".",up_Irr!AB2=".",up_Irr!BA2="."),up_dir!D2/((1/1000)*(up_Irr!C2)),IF(AND(up_Irr!C2=".",up_Irr!AB2=".",up_Irr!BA2="."),up_dir!D2*1000)))))))),".")</f>
        <v>6.5773651144152123E-11</v>
      </c>
      <c r="E2" s="76">
        <f>IFERROR(IF(AND(up_Irr!D2&lt;&gt;".",up_Irr!AC2&lt;&gt;".",up_Irr!BB2&lt;&gt;"."),up_dir!E2/((1/1000)*(up_Irr!D2+up_Irr!AC2+up_Irr!BB2)),IF(AND(up_Irr!D2&lt;&gt;".",up_Irr!AC2&lt;&gt;".",up_Irr!BB2="."),up_dir!E2/((1/1000)*(up_Irr!D2+up_Irr!AC2)),IF(AND(up_Irr!D2&lt;&gt;".",up_Irr!AC2=".",up_Irr!BB2&lt;&gt;"."),up_dir!E2/((1/1000)*(up_Irr!D2+up_Irr!BB2)),IF(AND(up_Irr!D2=".",up_Irr!AC2&lt;&gt;".",up_Irr!BB2&lt;&gt;"."),up_dir!E2/((1/1000)*(up_Irr!AC2+up_Irr!BB2)),IF(AND(up_Irr!D2=".",up_Irr!AC2=".",up_Irr!BB2&lt;&gt;"."),up_dir!E2/((1/1000)*(up_Irr!BB2)),IF(AND(up_Irr!D2=".",up_Irr!AC2&lt;&gt;".",up_Irr!BB2="."),up_dir!E2/((1/1000)*(up_Irr!AC2)),IF(AND(up_Irr!D2&lt;&gt;".",up_Irr!AC2=".",up_Irr!BB2="."),up_dir!E2/((1/1000)*(up_Irr!D2)),IF(AND(up_Irr!D2=".",up_Irr!AC2=".",up_Irr!BB2="."),up_dir!E2*1000)))))))),".")</f>
        <v>6.5773651144152123E-11</v>
      </c>
      <c r="F2" s="76">
        <f>IFERROR(IF(AND(up_Irr!E2&lt;&gt;".",up_Irr!AD2&lt;&gt;".",up_Irr!BC2&lt;&gt;"."),up_dir!F2/((1/1000)*(up_Irr!E2+up_Irr!AD2+up_Irr!BC2)),IF(AND(up_Irr!E2&lt;&gt;".",up_Irr!AD2&lt;&gt;".",up_Irr!BC2="."),up_dir!F2/((1/1000)*(up_Irr!E2+up_Irr!AD2)),IF(AND(up_Irr!E2&lt;&gt;".",up_Irr!AD2=".",up_Irr!BC2&lt;&gt;"."),up_dir!F2/((1/1000)*(up_Irr!E2+up_Irr!BC2)),IF(AND(up_Irr!E2=".",up_Irr!AD2&lt;&gt;".",up_Irr!BC2&lt;&gt;"."),up_dir!F2/((1/1000)*(up_Irr!AD2+up_Irr!BC2)),IF(AND(up_Irr!E2=".",up_Irr!AD2=".",up_Irr!BC2&lt;&gt;"."),up_dir!F2/((1/1000)*(up_Irr!BC2)),IF(AND(up_Irr!E2=".",up_Irr!AD2&lt;&gt;".",up_Irr!BC2="."),up_dir!F2/((1/1000)*(up_Irr!AD2)),IF(AND(up_Irr!E2&lt;&gt;".",up_Irr!AD2=".",up_Irr!BC2="."),up_dir!F2/((1/1000)*(up_Irr!E2)),IF(AND(up_Irr!E2=".",up_Irr!AD2=".",up_Irr!BC2="."),up_dir!F2*1000)))))))),".")</f>
        <v>6.5773651144152123E-11</v>
      </c>
      <c r="G2" s="76">
        <f>IFERROR(IF(AND(up_Irr!F2&lt;&gt;".",up_Irr!AE2&lt;&gt;".",up_Irr!BD2&lt;&gt;"."),up_dir!G2/((1/1000)*(up_Irr!F2+up_Irr!AE2+up_Irr!BD2)),IF(AND(up_Irr!F2&lt;&gt;".",up_Irr!AE2&lt;&gt;".",up_Irr!BD2="."),up_dir!G2/((1/1000)*(up_Irr!F2+up_Irr!AE2)),IF(AND(up_Irr!F2&lt;&gt;".",up_Irr!AE2=".",up_Irr!BD2&lt;&gt;"."),up_dir!G2/((1/1000)*(up_Irr!F2+up_Irr!BD2)),IF(AND(up_Irr!F2=".",up_Irr!AE2&lt;&gt;".",up_Irr!BD2&lt;&gt;"."),up_dir!G2/((1/1000)*(up_Irr!AE2+up_Irr!BD2)),IF(AND(up_Irr!F2=".",up_Irr!AE2=".",up_Irr!BD2&lt;&gt;"."),up_dir!G2/((1/1000)*(up_Irr!BD2)),IF(AND(up_Irr!F2=".",up_Irr!AE2&lt;&gt;".",up_Irr!BD2="."),up_dir!G2/((1/1000)*(up_Irr!AE2)),IF(AND(up_Irr!F2&lt;&gt;".",up_Irr!AE2=".",up_Irr!BD2="."),up_dir!G2/((1/1000)*(up_Irr!F2)),IF(AND(up_Irr!F2=".",up_Irr!AE2=".",up_Irr!BD2="."),up_dir!G2*1000)))))))),".")</f>
        <v>6.5773651144152123E-11</v>
      </c>
      <c r="H2" s="76">
        <f>IFERROR(IF(AND(up_Irr!G2&lt;&gt;".",up_Irr!AF2&lt;&gt;".",up_Irr!BE2&lt;&gt;"."),up_dir!H2/((1/1000)*(up_Irr!G2+up_Irr!AF2+up_Irr!BE2)),IF(AND(up_Irr!G2&lt;&gt;".",up_Irr!AF2&lt;&gt;".",up_Irr!BE2="."),up_dir!H2/((1/1000)*(up_Irr!G2+up_Irr!AF2)),IF(AND(up_Irr!G2&lt;&gt;".",up_Irr!AF2=".",up_Irr!BE2&lt;&gt;"."),up_dir!H2/((1/1000)*(up_Irr!G2+up_Irr!BE2)),IF(AND(up_Irr!G2=".",up_Irr!AF2&lt;&gt;".",up_Irr!BE2&lt;&gt;"."),up_dir!H2/((1/1000)*(up_Irr!AF2+up_Irr!BE2)),IF(AND(up_Irr!G2=".",up_Irr!AF2=".",up_Irr!BE2&lt;&gt;"."),up_dir!H2/((1/1000)*(up_Irr!BE2)),IF(AND(up_Irr!G2=".",up_Irr!AF2&lt;&gt;".",up_Irr!BE2="."),up_dir!H2/((1/1000)*(up_Irr!AF2)),IF(AND(up_Irr!G2&lt;&gt;".",up_Irr!AF2=".",up_Irr!BE2="."),up_dir!H2/((1/1000)*(up_Irr!G2)),IF(AND(up_Irr!G2=".",up_Irr!AF2=".",up_Irr!BE2="."),up_dir!H2*1000)))))))),".")</f>
        <v>6.5773651144152123E-11</v>
      </c>
      <c r="I2" s="76">
        <f>IFERROR(IF(AND(up_Irr!H2&lt;&gt;".",up_Irr!AG2&lt;&gt;".",up_Irr!BF2&lt;&gt;"."),up_dir!I2/((1/1000)*(up_Irr!H2+up_Irr!AG2+up_Irr!BF2)),IF(AND(up_Irr!H2&lt;&gt;".",up_Irr!AG2&lt;&gt;".",up_Irr!BF2="."),up_dir!I2/((1/1000)*(up_Irr!H2+up_Irr!AG2)),IF(AND(up_Irr!H2&lt;&gt;".",up_Irr!AG2=".",up_Irr!BF2&lt;&gt;"."),up_dir!I2/((1/1000)*(up_Irr!H2+up_Irr!BF2)),IF(AND(up_Irr!H2=".",up_Irr!AG2&lt;&gt;".",up_Irr!BF2&lt;&gt;"."),up_dir!I2/((1/1000)*(up_Irr!AG2+up_Irr!BF2)),IF(AND(up_Irr!H2=".",up_Irr!AG2=".",up_Irr!BF2&lt;&gt;"."),up_dir!I2/((1/1000)*(up_Irr!BF2)),IF(AND(up_Irr!H2=".",up_Irr!AG2&lt;&gt;".",up_Irr!BF2="."),up_dir!I2/((1/1000)*(up_Irr!AG2)),IF(AND(up_Irr!H2&lt;&gt;".",up_Irr!AG2=".",up_Irr!BF2="."),up_dir!I2/((1/1000)*(up_Irr!H2)),IF(AND(up_Irr!H2=".",up_Irr!AG2=".",up_Irr!BF2="."),up_dir!I2*1000)))))))),".")</f>
        <v>6.5773651144152123E-11</v>
      </c>
      <c r="J2" s="76">
        <f>IFERROR(IF(AND(up_Irr!I2&lt;&gt;".",up_Irr!AH2&lt;&gt;".",up_Irr!BG2&lt;&gt;"."),up_dir!J2/((1/1000)*(up_Irr!I2+up_Irr!AH2+up_Irr!BG2)),IF(AND(up_Irr!I2&lt;&gt;".",up_Irr!AH2&lt;&gt;".",up_Irr!BG2="."),up_dir!J2/((1/1000)*(up_Irr!I2+up_Irr!AH2)),IF(AND(up_Irr!I2&lt;&gt;".",up_Irr!AH2=".",up_Irr!BG2&lt;&gt;"."),up_dir!J2/((1/1000)*(up_Irr!I2+up_Irr!BG2)),IF(AND(up_Irr!I2=".",up_Irr!AH2&lt;&gt;".",up_Irr!BG2&lt;&gt;"."),up_dir!J2/((1/1000)*(up_Irr!AH2+up_Irr!BG2)),IF(AND(up_Irr!I2=".",up_Irr!AH2=".",up_Irr!BG2&lt;&gt;"."),up_dir!J2/((1/1000)*(up_Irr!BG2)),IF(AND(up_Irr!I2=".",up_Irr!AH2&lt;&gt;".",up_Irr!BG2="."),up_dir!J2/((1/1000)*(up_Irr!AH2)),IF(AND(up_Irr!I2&lt;&gt;".",up_Irr!AH2=".",up_Irr!BG2="."),up_dir!J2/((1/1000)*(up_Irr!I2)),IF(AND(up_Irr!I2=".",up_Irr!AH2=".",up_Irr!BG2="."),up_dir!J2*1000)))))))),".")</f>
        <v>6.5773651144152123E-11</v>
      </c>
      <c r="K2" s="76">
        <f>IFERROR(IF(AND(up_Irr!J2&lt;&gt;".",up_Irr!AI2&lt;&gt;".",up_Irr!BH2&lt;&gt;"."),up_dir!K2/((1/1000)*(up_Irr!J2+up_Irr!AI2+up_Irr!BH2)),IF(AND(up_Irr!J2&lt;&gt;".",up_Irr!AI2&lt;&gt;".",up_Irr!BH2="."),up_dir!K2/((1/1000)*(up_Irr!J2+up_Irr!AI2)),IF(AND(up_Irr!J2&lt;&gt;".",up_Irr!AI2=".",up_Irr!BH2&lt;&gt;"."),up_dir!K2/((1/1000)*(up_Irr!J2+up_Irr!BH2)),IF(AND(up_Irr!J2=".",up_Irr!AI2&lt;&gt;".",up_Irr!BH2&lt;&gt;"."),up_dir!K2/((1/1000)*(up_Irr!AI2+up_Irr!BH2)),IF(AND(up_Irr!J2=".",up_Irr!AI2=".",up_Irr!BH2&lt;&gt;"."),up_dir!K2/((1/1000)*(up_Irr!BH2)),IF(AND(up_Irr!J2=".",up_Irr!AI2&lt;&gt;".",up_Irr!BH2="."),up_dir!K2/((1/1000)*(up_Irr!AI2)),IF(AND(up_Irr!J2&lt;&gt;".",up_Irr!AI2=".",up_Irr!BH2="."),up_dir!K2/((1/1000)*(up_Irr!J2)),IF(AND(up_Irr!J2=".",up_Irr!AI2=".",up_Irr!BH2="."),up_dir!K2*1000)))))))),".")</f>
        <v>6.5773651144152123E-11</v>
      </c>
      <c r="L2" s="76">
        <f>IFERROR(IF(AND(up_Irr!K2&lt;&gt;".",up_Irr!AJ2&lt;&gt;".",up_Irr!BI2&lt;&gt;"."),up_dir!L2/((1/1000)*(up_Irr!K2+up_Irr!AJ2+up_Irr!BI2)),IF(AND(up_Irr!K2&lt;&gt;".",up_Irr!AJ2&lt;&gt;".",up_Irr!BI2="."),up_dir!L2/((1/1000)*(up_Irr!K2+up_Irr!AJ2)),IF(AND(up_Irr!K2&lt;&gt;".",up_Irr!AJ2=".",up_Irr!BI2&lt;&gt;"."),up_dir!L2/((1/1000)*(up_Irr!K2+up_Irr!BI2)),IF(AND(up_Irr!K2=".",up_Irr!AJ2&lt;&gt;".",up_Irr!BI2&lt;&gt;"."),up_dir!L2/((1/1000)*(up_Irr!AJ2+up_Irr!BI2)),IF(AND(up_Irr!K2=".",up_Irr!AJ2=".",up_Irr!BI2&lt;&gt;"."),up_dir!L2/((1/1000)*(up_Irr!BI2)),IF(AND(up_Irr!K2=".",up_Irr!AJ2&lt;&gt;".",up_Irr!BI2="."),up_dir!L2/((1/1000)*(up_Irr!AJ2)),IF(AND(up_Irr!K2&lt;&gt;".",up_Irr!AJ2=".",up_Irr!BI2="."),up_dir!L2/((1/1000)*(up_Irr!K2)),IF(AND(up_Irr!K2=".",up_Irr!AJ2=".",up_Irr!BI2="."),up_dir!L2*1000)))))))),".")</f>
        <v>6.5773651144152123E-11</v>
      </c>
      <c r="M2" s="76">
        <f>IFERROR(IF(AND(up_Irr!L2&lt;&gt;".",up_Irr!AK2&lt;&gt;".",up_Irr!BJ2&lt;&gt;"."),up_dir!M2/((1/1000)*(up_Irr!L2+up_Irr!AK2+up_Irr!BJ2)),IF(AND(up_Irr!L2&lt;&gt;".",up_Irr!AK2&lt;&gt;".",up_Irr!BJ2="."),up_dir!M2/((1/1000)*(up_Irr!L2+up_Irr!AK2)),IF(AND(up_Irr!L2&lt;&gt;".",up_Irr!AK2=".",up_Irr!BJ2&lt;&gt;"."),up_dir!M2/((1/1000)*(up_Irr!L2+up_Irr!BJ2)),IF(AND(up_Irr!L2=".",up_Irr!AK2&lt;&gt;".",up_Irr!BJ2&lt;&gt;"."),up_dir!M2/((1/1000)*(up_Irr!AK2+up_Irr!BJ2)),IF(AND(up_Irr!L2=".",up_Irr!AK2=".",up_Irr!BJ2&lt;&gt;"."),up_dir!M2/((1/1000)*(up_Irr!BJ2)),IF(AND(up_Irr!L2=".",up_Irr!AK2&lt;&gt;".",up_Irr!BJ2="."),up_dir!M2/((1/1000)*(up_Irr!AK2)),IF(AND(up_Irr!L2&lt;&gt;".",up_Irr!AK2=".",up_Irr!BJ2="."),up_dir!M2/((1/1000)*(up_Irr!L2)),IF(AND(up_Irr!L2=".",up_Irr!AK2=".",up_Irr!BJ2="."),up_dir!M2*1000)))))))),".")</f>
        <v>6.5773651144152123E-11</v>
      </c>
      <c r="N2" s="76">
        <f>IFERROR(IF(AND(up_Irr!M2&lt;&gt;".",up_Irr!AL2&lt;&gt;".",up_Irr!BK2&lt;&gt;"."),up_dir!N2/((1/1000)*(up_Irr!M2+up_Irr!AL2+up_Irr!BK2)),IF(AND(up_Irr!M2&lt;&gt;".",up_Irr!AL2&lt;&gt;".",up_Irr!BK2="."),up_dir!N2/((1/1000)*(up_Irr!M2+up_Irr!AL2)),IF(AND(up_Irr!M2&lt;&gt;".",up_Irr!AL2=".",up_Irr!BK2&lt;&gt;"."),up_dir!N2/((1/1000)*(up_Irr!M2+up_Irr!BK2)),IF(AND(up_Irr!M2=".",up_Irr!AL2&lt;&gt;".",up_Irr!BK2&lt;&gt;"."),up_dir!N2/((1/1000)*(up_Irr!AL2+up_Irr!BK2)),IF(AND(up_Irr!M2=".",up_Irr!AL2=".",up_Irr!BK2&lt;&gt;"."),up_dir!N2/((1/1000)*(up_Irr!BK2)),IF(AND(up_Irr!M2=".",up_Irr!AL2&lt;&gt;".",up_Irr!BK2="."),up_dir!N2/((1/1000)*(up_Irr!AL2)),IF(AND(up_Irr!M2&lt;&gt;".",up_Irr!AL2=".",up_Irr!BK2="."),up_dir!N2/((1/1000)*(up_Irr!M2)),IF(AND(up_Irr!M2=".",up_Irr!AL2=".",up_Irr!BK2="."),up_dir!N2*1000)))))))),".")</f>
        <v>6.5773651144152123E-11</v>
      </c>
      <c r="O2" s="76">
        <f>IFERROR(IF(AND(up_Irr!N2&lt;&gt;".",up_Irr!AM2&lt;&gt;".",up_Irr!BL2&lt;&gt;"."),up_dir!O2/((1/1000)*(up_Irr!N2+up_Irr!AM2+up_Irr!BL2)),IF(AND(up_Irr!N2&lt;&gt;".",up_Irr!AM2&lt;&gt;".",up_Irr!BL2="."),up_dir!O2/((1/1000)*(up_Irr!N2+up_Irr!AM2)),IF(AND(up_Irr!N2&lt;&gt;".",up_Irr!AM2=".",up_Irr!BL2&lt;&gt;"."),up_dir!O2/((1/1000)*(up_Irr!N2+up_Irr!BL2)),IF(AND(up_Irr!N2=".",up_Irr!AM2&lt;&gt;".",up_Irr!BL2&lt;&gt;"."),up_dir!O2/((1/1000)*(up_Irr!AM2+up_Irr!BL2)),IF(AND(up_Irr!N2=".",up_Irr!AM2=".",up_Irr!BL2&lt;&gt;"."),up_dir!O2/((1/1000)*(up_Irr!BL2)),IF(AND(up_Irr!N2=".",up_Irr!AM2&lt;&gt;".",up_Irr!BL2="."),up_dir!O2/((1/1000)*(up_Irr!AM2)),IF(AND(up_Irr!N2&lt;&gt;".",up_Irr!AM2=".",up_Irr!BL2="."),up_dir!O2/((1/1000)*(up_Irr!N2)),IF(AND(up_Irr!N2=".",up_Irr!AM2=".",up_Irr!BL2="."),up_dir!O2*1000)))))))),".")</f>
        <v>6.5773651144152123E-11</v>
      </c>
      <c r="P2" s="76">
        <f>IFERROR(IF(AND(up_Irr!O2&lt;&gt;".",up_Irr!AN2&lt;&gt;".",up_Irr!BM2&lt;&gt;"."),up_dir!P2/((1/1000)*(up_Irr!O2+up_Irr!AN2+up_Irr!BM2)),IF(AND(up_Irr!O2&lt;&gt;".",up_Irr!AN2&lt;&gt;".",up_Irr!BM2="."),up_dir!P2/((1/1000)*(up_Irr!O2+up_Irr!AN2)),IF(AND(up_Irr!O2&lt;&gt;".",up_Irr!AN2=".",up_Irr!BM2&lt;&gt;"."),up_dir!P2/((1/1000)*(up_Irr!O2+up_Irr!BM2)),IF(AND(up_Irr!O2=".",up_Irr!AN2&lt;&gt;".",up_Irr!BM2&lt;&gt;"."),up_dir!P2/((1/1000)*(up_Irr!AN2+up_Irr!BM2)),IF(AND(up_Irr!O2=".",up_Irr!AN2=".",up_Irr!BM2&lt;&gt;"."),up_dir!P2/((1/1000)*(up_Irr!BM2)),IF(AND(up_Irr!O2=".",up_Irr!AN2&lt;&gt;".",up_Irr!BM2="."),up_dir!P2/((1/1000)*(up_Irr!AN2)),IF(AND(up_Irr!O2&lt;&gt;".",up_Irr!AN2=".",up_Irr!BM2="."),up_dir!P2/((1/1000)*(up_Irr!O2)),IF(AND(up_Irr!O2=".",up_Irr!AN2=".",up_Irr!BM2="."),up_dir!P2*1000)))))))),".")</f>
        <v>6.5773651144152123E-11</v>
      </c>
      <c r="Q2" s="76">
        <f>IFERROR(IF(AND(up_Irr!P2&lt;&gt;".",up_Irr!AO2&lt;&gt;".",up_Irr!BN2&lt;&gt;"."),up_dir!Q2/((1/1000)*(up_Irr!P2+up_Irr!AO2+up_Irr!BN2)),IF(AND(up_Irr!P2&lt;&gt;".",up_Irr!AO2&lt;&gt;".",up_Irr!BN2="."),up_dir!Q2/((1/1000)*(up_Irr!P2+up_Irr!AO2)),IF(AND(up_Irr!P2&lt;&gt;".",up_Irr!AO2=".",up_Irr!BN2&lt;&gt;"."),up_dir!Q2/((1/1000)*(up_Irr!P2+up_Irr!BN2)),IF(AND(up_Irr!P2=".",up_Irr!AO2&lt;&gt;".",up_Irr!BN2&lt;&gt;"."),up_dir!Q2/((1/1000)*(up_Irr!AO2+up_Irr!BN2)),IF(AND(up_Irr!P2=".",up_Irr!AO2=".",up_Irr!BN2&lt;&gt;"."),up_dir!Q2/((1/1000)*(up_Irr!BN2)),IF(AND(up_Irr!P2=".",up_Irr!AO2&lt;&gt;".",up_Irr!BN2="."),up_dir!Q2/((1/1000)*(up_Irr!AO2)),IF(AND(up_Irr!P2&lt;&gt;".",up_Irr!AO2=".",up_Irr!BN2="."),up_dir!Q2/((1/1000)*(up_Irr!P2)),IF(AND(up_Irr!P2=".",up_Irr!AO2=".",up_Irr!BN2="."),up_dir!Q2*1000)))))))),".")</f>
        <v>6.5773651144152123E-11</v>
      </c>
      <c r="R2" s="76">
        <f>IFERROR(IF(AND(up_Irr!Q2&lt;&gt;".",up_Irr!AP2&lt;&gt;".",up_Irr!BO2&lt;&gt;"."),up_dir!R2/((1/1000)*(up_Irr!Q2+up_Irr!AP2+up_Irr!BO2)),IF(AND(up_Irr!Q2&lt;&gt;".",up_Irr!AP2&lt;&gt;".",up_Irr!BO2="."),up_dir!R2/((1/1000)*(up_Irr!Q2+up_Irr!AP2)),IF(AND(up_Irr!Q2&lt;&gt;".",up_Irr!AP2=".",up_Irr!BO2&lt;&gt;"."),up_dir!R2/((1/1000)*(up_Irr!Q2+up_Irr!BO2)),IF(AND(up_Irr!Q2=".",up_Irr!AP2&lt;&gt;".",up_Irr!BO2&lt;&gt;"."),up_dir!R2/((1/1000)*(up_Irr!AP2+up_Irr!BO2)),IF(AND(up_Irr!Q2=".",up_Irr!AP2=".",up_Irr!BO2&lt;&gt;"."),up_dir!R2/((1/1000)*(up_Irr!BO2)),IF(AND(up_Irr!Q2=".",up_Irr!AP2&lt;&gt;".",up_Irr!BO2="."),up_dir!R2/((1/1000)*(up_Irr!AP2)),IF(AND(up_Irr!Q2&lt;&gt;".",up_Irr!AP2=".",up_Irr!BO2="."),up_dir!R2/((1/1000)*(up_Irr!Q2)),IF(AND(up_Irr!Q2=".",up_Irr!AP2=".",up_Irr!BO2="."),up_dir!R2*1000)))))))),".")</f>
        <v>6.5773651144152123E-11</v>
      </c>
      <c r="S2" s="76">
        <f>IFERROR(IF(AND(up_Irr!R2&lt;&gt;".",up_Irr!AQ2&lt;&gt;".",up_Irr!BP2&lt;&gt;"."),up_dir!S2/((1/1000)*(up_Irr!R2+up_Irr!AQ2+up_Irr!BP2)),IF(AND(up_Irr!R2&lt;&gt;".",up_Irr!AQ2&lt;&gt;".",up_Irr!BP2="."),up_dir!S2/((1/1000)*(up_Irr!R2+up_Irr!AQ2)),IF(AND(up_Irr!R2&lt;&gt;".",up_Irr!AQ2=".",up_Irr!BP2&lt;&gt;"."),up_dir!S2/((1/1000)*(up_Irr!R2+up_Irr!BP2)),IF(AND(up_Irr!R2=".",up_Irr!AQ2&lt;&gt;".",up_Irr!BP2&lt;&gt;"."),up_dir!S2/((1/1000)*(up_Irr!AQ2+up_Irr!BP2)),IF(AND(up_Irr!R2=".",up_Irr!AQ2=".",up_Irr!BP2&lt;&gt;"."),up_dir!S2/((1/1000)*(up_Irr!BP2)),IF(AND(up_Irr!R2=".",up_Irr!AQ2&lt;&gt;".",up_Irr!BP2="."),up_dir!S2/((1/1000)*(up_Irr!AQ2)),IF(AND(up_Irr!R2&lt;&gt;".",up_Irr!AQ2=".",up_Irr!BP2="."),up_dir!S2/((1/1000)*(up_Irr!R2)),IF(AND(up_Irr!R2=".",up_Irr!AQ2=".",up_Irr!BP2="."),up_dir!S2*1000)))))))),".")</f>
        <v>6.5773651144152123E-11</v>
      </c>
      <c r="T2" s="76">
        <f>IFERROR(IF(AND(up_Irr!S2&lt;&gt;".",up_Irr!AR2&lt;&gt;".",up_Irr!BQ2&lt;&gt;"."),up_dir!T2/((1/1000)*(up_Irr!S2+up_Irr!AR2+up_Irr!BQ2)),IF(AND(up_Irr!S2&lt;&gt;".",up_Irr!AR2&lt;&gt;".",up_Irr!BQ2="."),up_dir!T2/((1/1000)*(up_Irr!S2+up_Irr!AR2)),IF(AND(up_Irr!S2&lt;&gt;".",up_Irr!AR2=".",up_Irr!BQ2&lt;&gt;"."),up_dir!T2/((1/1000)*(up_Irr!S2+up_Irr!BQ2)),IF(AND(up_Irr!S2=".",up_Irr!AR2&lt;&gt;".",up_Irr!BQ2&lt;&gt;"."),up_dir!T2/((1/1000)*(up_Irr!AR2+up_Irr!BQ2)),IF(AND(up_Irr!S2=".",up_Irr!AR2=".",up_Irr!BQ2&lt;&gt;"."),up_dir!T2/((1/1000)*(up_Irr!BQ2)),IF(AND(up_Irr!S2=".",up_Irr!AR2&lt;&gt;".",up_Irr!BQ2="."),up_dir!T2/((1/1000)*(up_Irr!AR2)),IF(AND(up_Irr!S2&lt;&gt;".",up_Irr!AR2=".",up_Irr!BQ2="."),up_dir!T2/((1/1000)*(up_Irr!S2)),IF(AND(up_Irr!S2=".",up_Irr!AR2=".",up_Irr!BQ2="."),up_dir!T2*1000)))))))),".")</f>
        <v>6.5773651144152123E-11</v>
      </c>
      <c r="U2" s="76">
        <f>IFERROR(IF(AND(up_Irr!T2&lt;&gt;".",up_Irr!AS2&lt;&gt;".",up_Irr!BR2&lt;&gt;"."),up_dir!U2/((1/1000)*(up_Irr!T2+up_Irr!AS2+up_Irr!BR2)),IF(AND(up_Irr!T2&lt;&gt;".",up_Irr!AS2&lt;&gt;".",up_Irr!BR2="."),up_dir!U2/((1/1000)*(up_Irr!T2+up_Irr!AS2)),IF(AND(up_Irr!T2&lt;&gt;".",up_Irr!AS2=".",up_Irr!BR2&lt;&gt;"."),up_dir!U2/((1/1000)*(up_Irr!T2+up_Irr!BR2)),IF(AND(up_Irr!T2=".",up_Irr!AS2&lt;&gt;".",up_Irr!BR2&lt;&gt;"."),up_dir!U2/((1/1000)*(up_Irr!AS2+up_Irr!BR2)),IF(AND(up_Irr!T2=".",up_Irr!AS2=".",up_Irr!BR2&lt;&gt;"."),up_dir!U2/((1/1000)*(up_Irr!BR2)),IF(AND(up_Irr!T2=".",up_Irr!AS2&lt;&gt;".",up_Irr!BR2="."),up_dir!U2/((1/1000)*(up_Irr!AS2)),IF(AND(up_Irr!T2&lt;&gt;".",up_Irr!AS2=".",up_Irr!BR2="."),up_dir!U2/((1/1000)*(up_Irr!T2)),IF(AND(up_Irr!T2=".",up_Irr!AS2=".",up_Irr!BR2="."),up_dir!U2*1000)))))))),".")</f>
        <v>6.5773651144152123E-11</v>
      </c>
      <c r="V2" s="76">
        <f>IFERROR(IF(AND(up_Irr!U2&lt;&gt;".",up_Irr!AT2&lt;&gt;".",up_Irr!BS2&lt;&gt;"."),up_dir!V2/((1/1000)*(up_Irr!U2+up_Irr!AT2+up_Irr!BS2)),IF(AND(up_Irr!U2&lt;&gt;".",up_Irr!AT2&lt;&gt;".",up_Irr!BS2="."),up_dir!V2/((1/1000)*(up_Irr!U2+up_Irr!AT2)),IF(AND(up_Irr!U2&lt;&gt;".",up_Irr!AT2=".",up_Irr!BS2&lt;&gt;"."),up_dir!V2/((1/1000)*(up_Irr!U2+up_Irr!BS2)),IF(AND(up_Irr!U2=".",up_Irr!AT2&lt;&gt;".",up_Irr!BS2&lt;&gt;"."),up_dir!V2/((1/1000)*(up_Irr!AT2+up_Irr!BS2)),IF(AND(up_Irr!U2=".",up_Irr!AT2=".",up_Irr!BS2&lt;&gt;"."),up_dir!V2/((1/1000)*(up_Irr!BS2)),IF(AND(up_Irr!U2=".",up_Irr!AT2&lt;&gt;".",up_Irr!BS2="."),up_dir!V2/((1/1000)*(up_Irr!AT2)),IF(AND(up_Irr!U2&lt;&gt;".",up_Irr!AT2=".",up_Irr!BS2="."),up_dir!V2/((1/1000)*(up_Irr!U2)),IF(AND(up_Irr!U2=".",up_Irr!AT2=".",up_Irr!BS2="."),up_dir!V2*1000)))))))),".")</f>
        <v>6.5773651144152123E-11</v>
      </c>
      <c r="W2" s="76">
        <f>IFERROR(IF(AND(up_Irr!V2&lt;&gt;".",up_Irr!AU2&lt;&gt;".",up_Irr!BT2&lt;&gt;"."),up_dir!W2/((1/1000)*(up_Irr!V2+up_Irr!AU2+up_Irr!BT2)),IF(AND(up_Irr!V2&lt;&gt;".",up_Irr!AU2&lt;&gt;".",up_Irr!BT2="."),up_dir!W2/((1/1000)*(up_Irr!V2+up_Irr!AU2)),IF(AND(up_Irr!V2&lt;&gt;".",up_Irr!AU2=".",up_Irr!BT2&lt;&gt;"."),up_dir!W2/((1/1000)*(up_Irr!V2+up_Irr!BT2)),IF(AND(up_Irr!V2=".",up_Irr!AU2&lt;&gt;".",up_Irr!BT2&lt;&gt;"."),up_dir!W2/((1/1000)*(up_Irr!AU2+up_Irr!BT2)),IF(AND(up_Irr!V2=".",up_Irr!AU2=".",up_Irr!BT2&lt;&gt;"."),up_dir!W2/((1/1000)*(up_Irr!BT2)),IF(AND(up_Irr!V2=".",up_Irr!AU2&lt;&gt;".",up_Irr!BT2="."),up_dir!W2/((1/1000)*(up_Irr!AU2)),IF(AND(up_Irr!V2&lt;&gt;".",up_Irr!AU2=".",up_Irr!BT2="."),up_dir!W2/((1/1000)*(up_Irr!V2)),IF(AND(up_Irr!V2=".",up_Irr!AU2=".",up_Irr!BT2="."),up_dir!W2*1000)))))))),".")</f>
        <v>6.5773651144152123E-11</v>
      </c>
      <c r="X2" s="76">
        <f>IFERROR(IF(AND(up_Irr!W2&lt;&gt;".",up_Irr!AV2&lt;&gt;".",up_Irr!BU2&lt;&gt;"."),up_dir!X2/((1/1000)*(up_Irr!W2+up_Irr!AV2+up_Irr!BU2)),IF(AND(up_Irr!W2&lt;&gt;".",up_Irr!AV2&lt;&gt;".",up_Irr!BU2="."),up_dir!X2/((1/1000)*(up_Irr!W2+up_Irr!AV2)),IF(AND(up_Irr!W2&lt;&gt;".",up_Irr!AV2=".",up_Irr!BU2&lt;&gt;"."),up_dir!X2/((1/1000)*(up_Irr!W2+up_Irr!BU2)),IF(AND(up_Irr!W2=".",up_Irr!AV2&lt;&gt;".",up_Irr!BU2&lt;&gt;"."),up_dir!X2/((1/1000)*(up_Irr!AV2+up_Irr!BU2)),IF(AND(up_Irr!W2=".",up_Irr!AV2=".",up_Irr!BU2&lt;&gt;"."),up_dir!X2/((1/1000)*(up_Irr!BU2)),IF(AND(up_Irr!W2=".",up_Irr!AV2&lt;&gt;".",up_Irr!BU2="."),up_dir!X2/((1/1000)*(up_Irr!AV2)),IF(AND(up_Irr!W2&lt;&gt;".",up_Irr!AV2=".",up_Irr!BU2="."),up_dir!X2/((1/1000)*(up_Irr!W2)),IF(AND(up_Irr!W2=".",up_Irr!AV2=".",up_Irr!BU2="."),up_dir!X2*1000)))))))),".")</f>
        <v>6.5773651144152123E-11</v>
      </c>
      <c r="Y2" s="76">
        <f>IFERROR(IF(AND(up_Irr!X2&lt;&gt;".",up_Irr!AW2&lt;&gt;".",up_Irr!BV2&lt;&gt;"."),up_dir!Y2/((1/1000)*(up_Irr!X2+up_Irr!AW2+up_Irr!BV2)),IF(AND(up_Irr!X2&lt;&gt;".",up_Irr!AW2&lt;&gt;".",up_Irr!BV2="."),up_dir!Y2/((1/1000)*(up_Irr!X2+up_Irr!AW2)),IF(AND(up_Irr!X2&lt;&gt;".",up_Irr!AW2=".",up_Irr!BV2&lt;&gt;"."),up_dir!Y2/((1/1000)*(up_Irr!X2+up_Irr!BV2)),IF(AND(up_Irr!X2=".",up_Irr!AW2&lt;&gt;".",up_Irr!BV2&lt;&gt;"."),up_dir!Y2/((1/1000)*(up_Irr!AW2+up_Irr!BV2)),IF(AND(up_Irr!X2=".",up_Irr!AW2=".",up_Irr!BV2&lt;&gt;"."),up_dir!Y2/((1/1000)*(up_Irr!BV2)),IF(AND(up_Irr!X2=".",up_Irr!AW2&lt;&gt;".",up_Irr!BV2="."),up_dir!Y2/((1/1000)*(up_Irr!AW2)),IF(AND(up_Irr!X2&lt;&gt;".",up_Irr!AW2=".",up_Irr!BV2="."),up_dir!Y2/((1/1000)*(up_Irr!X2)),IF(AND(up_Irr!X2=".",up_Irr!AW2=".",up_Irr!BV2="."),up_dir!Y2*1000)))))))),".")</f>
        <v>6.5773651144152123E-11</v>
      </c>
      <c r="Z2" s="76">
        <f>IFERROR(IF(AND(up_Irr!Y2&lt;&gt;".",up_Irr!AX2&lt;&gt;".",up_Irr!BW2&lt;&gt;"."),up_dir!Z2/((1/1000)*(up_Irr!Y2+up_Irr!AX2+up_Irr!BW2)),IF(AND(up_Irr!Y2&lt;&gt;".",up_Irr!AX2&lt;&gt;".",up_Irr!BW2="."),up_dir!Z2/((1/1000)*(up_Irr!Y2+up_Irr!AX2)),IF(AND(up_Irr!Y2&lt;&gt;".",up_Irr!AX2=".",up_Irr!BW2&lt;&gt;"."),up_dir!Z2/((1/1000)*(up_Irr!Y2+up_Irr!BW2)),IF(AND(up_Irr!Y2=".",up_Irr!AX2&lt;&gt;".",up_Irr!BW2&lt;&gt;"."),up_dir!Z2/((1/1000)*(up_Irr!AX2+up_Irr!BW2)),IF(AND(up_Irr!Y2=".",up_Irr!AX2=".",up_Irr!BW2&lt;&gt;"."),up_dir!Z2/((1/1000)*(up_Irr!BW2)),IF(AND(up_Irr!Y2=".",up_Irr!AX2&lt;&gt;".",up_Irr!BW2="."),up_dir!Z2/((1/1000)*(up_Irr!AX2)),IF(AND(up_Irr!Y2&lt;&gt;".",up_Irr!AX2=".",up_Irr!BW2="."),up_dir!Z2/((1/1000)*(up_Irr!Y2)),IF(AND(up_Irr!Y2=".",up_Irr!AX2=".",up_Irr!BW2="."),up_dir!Z2*1000)))))))),".")</f>
        <v>6.5773651144152123E-11</v>
      </c>
      <c r="AA2" s="76">
        <f>IFERROR(IF(AND(up_Irr!Z2&lt;&gt;".",up_Irr!AY2&lt;&gt;".",up_Irr!BX2&lt;&gt;"."),up_dir!AA2/((1/1000)*(up_Irr!Z2+up_Irr!AY2+up_Irr!BX2)),IF(AND(up_Irr!Z2&lt;&gt;".",up_Irr!AY2&lt;&gt;".",up_Irr!BX2="."),up_dir!AA2/((1/1000)*(up_Irr!Z2+up_Irr!AY2)),IF(AND(up_Irr!Z2&lt;&gt;".",up_Irr!AY2=".",up_Irr!BX2&lt;&gt;"."),up_dir!AA2/((1/1000)*(up_Irr!Z2+up_Irr!BX2)),IF(AND(up_Irr!Z2=".",up_Irr!AY2&lt;&gt;".",up_Irr!BX2&lt;&gt;"."),up_dir!AA2/((1/1000)*(up_Irr!AY2+up_Irr!BX2)),IF(AND(up_Irr!Z2=".",up_Irr!AY2=".",up_Irr!BX2&lt;&gt;"."),up_dir!AA2/((1/1000)*(up_Irr!BX2)),IF(AND(up_Irr!Z2=".",up_Irr!AY2&lt;&gt;".",up_Irr!BX2="."),up_dir!AA2/((1/1000)*(up_Irr!AY2)),IF(AND(up_Irr!Z2&lt;&gt;".",up_Irr!AY2=".",up_Irr!BX2="."),up_dir!AA2/((1/1000)*(up_Irr!Z2)),IF(AND(up_Irr!Z2=".",up_Irr!AY2=".",up_Irr!BX2="."),up_dir!AA2*1000)))))))),".")</f>
        <v>6.5773651144152123E-11</v>
      </c>
      <c r="AB2" s="76">
        <f>IFERROR(IF(AND(up_Irr!AA2&lt;&gt;".",up_Irr!AZ2&lt;&gt;".",up_Irr!BY2&lt;&gt;"."),up_dir!AB2/((1/1000)*(up_Irr!AA2+up_Irr!AZ2+up_Irr!BY2)),IF(AND(up_Irr!AA2&lt;&gt;".",up_Irr!AZ2&lt;&gt;".",up_Irr!BY2="."),up_dir!AB2/((1/1000)*(up_Irr!AA2+up_Irr!AZ2)),IF(AND(up_Irr!AA2&lt;&gt;".",up_Irr!AZ2=".",up_Irr!BY2&lt;&gt;"."),up_dir!AB2/((1/1000)*(up_Irr!AA2+up_Irr!BY2)),IF(AND(up_Irr!AA2=".",up_Irr!AZ2&lt;&gt;".",up_Irr!BY2&lt;&gt;"."),up_dir!AB2/((1/1000)*(up_Irr!AZ2+up_Irr!BY2)),IF(AND(up_Irr!AA2=".",up_Irr!AZ2=".",up_Irr!BY2&lt;&gt;"."),up_dir!AB2/((1/1000)*(up_Irr!BY2)),IF(AND(up_Irr!AA2=".",up_Irr!AZ2&lt;&gt;".",up_Irr!BY2="."),up_dir!AB2/((1/1000)*(up_Irr!AZ2)),IF(AND(up_Irr!AA2&lt;&gt;".",up_Irr!AZ2=".",up_Irr!BY2="."),up_dir!AB2/((1/1000)*(up_Irr!AA2)),IF(AND(up_Irr!AA2=".",up_Irr!AZ2=".",up_Irr!BY2="."),up_dir!AB2*1000)))))))),".")</f>
        <v>6.5773651144152123E-11</v>
      </c>
      <c r="AC2" s="93">
        <f>SUM(AD2,AU2,BA2:BB2)</f>
        <v>608146.26076229871</v>
      </c>
      <c r="AD2" s="93">
        <f>IFERROR(s_C*s_IFAP_res_adj*s_CF_apple*0.001*(up_Irr!C2+up_Irr!AB2+up_Irr!BA2),".")</f>
        <v>152036.56519057468</v>
      </c>
      <c r="AE2" s="93">
        <f>IFERROR(s_C*s_IFAS_res_adj*s_CF_asparagus*0.001*(up_Irr!D2+up_Irr!AC2+up_Irr!BB2),".")</f>
        <v>152036.56519057468</v>
      </c>
      <c r="AF2" s="93">
        <f>IFERROR(s_C*s_IFBT_res_adj*s_CF_beet*0.001*(up_Irr!E2+up_Irr!AD2+up_Irr!BC2),".")</f>
        <v>152036.56519057468</v>
      </c>
      <c r="AG2" s="93">
        <f>IFERROR(s_C*s_IFBE_res_adj*s_CF_berries*0.001*(up_Irr!F2+up_Irr!AE2+up_Irr!BD2),".")</f>
        <v>152036.56519057468</v>
      </c>
      <c r="AH2" s="93">
        <f>IFERROR(s_C*s_IFBR_res_adj*s_CF_broccoli*0.001*(up_Irr!G2+up_Irr!AF2+up_Irr!BE2),".")</f>
        <v>152036.56519057468</v>
      </c>
      <c r="AI2" s="93">
        <f>IFERROR(s_C*s_IFCB_res_adj*s_CF_cabbage*0.001*(up_Irr!H2+up_Irr!AG2+up_Irr!BF2),".")</f>
        <v>152036.56519057468</v>
      </c>
      <c r="AJ2" s="93">
        <f>IFERROR(s_C*s_IFCR_res_adj*s_CF_carrot*0.001*(up_Irr!I2+up_Irr!AH2+up_Irr!BG2),".")</f>
        <v>152036.56519057468</v>
      </c>
      <c r="AK2" s="93">
        <f>IFERROR(s_C*s_IFCI_res_adj*s_CF_citrus*0.001*(up_Irr!J2+up_Irr!AI2+up_Irr!BH2),".")</f>
        <v>152036.56519057468</v>
      </c>
      <c r="AL2" s="93">
        <f>IFERROR(s_C*s_IFCO_res_adj*s_CF_corn*0.001*(up_Irr!K2+up_Irr!AJ2+up_Irr!BI2),".")</f>
        <v>152036.56519057468</v>
      </c>
      <c r="AM2" s="93">
        <f>IFERROR(s_C*s_IFCU_res_adj*s_CF_cucumber*0.001*(up_Irr!L2+up_Irr!AK2+up_Irr!BJ2),".")</f>
        <v>152036.56519057468</v>
      </c>
      <c r="AN2" s="93">
        <f>IFERROR(s_C*s_IFLE_res_adj*s_CF_lettuce*0.001*(up_Irr!M2+up_Irr!AL2+up_Irr!BK2),".")</f>
        <v>152036.56519057468</v>
      </c>
      <c r="AO2" s="93">
        <f>IFERROR(s_C*s_IFLI_res_adj*s_CF_lima_bean*0.001*(up_Irr!N2+up_Irr!AM2+up_Irr!BL2),".")</f>
        <v>152036.56519057468</v>
      </c>
      <c r="AP2" s="93">
        <f>IFERROR(s_C*s_IFOK_res_adj*s_CF_okra*0.001*(up_Irr!O2+up_Irr!AN2+up_Irr!BM2),".")</f>
        <v>152036.56519057468</v>
      </c>
      <c r="AQ2" s="93">
        <f>IFERROR(s_C*s_IFON_res_adj*s_CF_onion*0.001*(up_Irr!P2+up_Irr!AO2+up_Irr!BN2),".")</f>
        <v>152036.56519057468</v>
      </c>
      <c r="AR2" s="93">
        <f>IFERROR(s_C*s_IFPC_res_adj*s_CF_peach*0.001*(up_Irr!Q2+up_Irr!AP2+up_Irr!BO2),".")</f>
        <v>152036.56519057468</v>
      </c>
      <c r="AS2" s="93">
        <f>IFERROR(s_C*s_IFPR_res_adj*s_CF_pear*0.001*(up_Irr!R2+up_Irr!AQ2+up_Irr!BP2),".")</f>
        <v>152036.56519057468</v>
      </c>
      <c r="AT2" s="93">
        <f>IFERROR(s_C*s_IFPE_res_adj*s_CF_peas*0.001*(up_Irr!S2+up_Irr!AR2+up_Irr!BQ2),".")</f>
        <v>152036.56519057468</v>
      </c>
      <c r="AU2" s="93">
        <f>IFERROR(s_C*s_IFPP_res_adj*s_CF_peppers*0.001*(up_Irr!T2+up_Irr!AS2+up_Irr!BR2),".")</f>
        <v>152036.56519057468</v>
      </c>
      <c r="AV2" s="93">
        <f>IFERROR(s_C*s_IFPT_res_adj*s_CF_potato*0.001*(up_Irr!U2+up_Irr!AT2+up_Irr!BS2),".")</f>
        <v>152036.56519057468</v>
      </c>
      <c r="AW2" s="93">
        <f>IFERROR(s_C*s_IFPU_res_adj*s_CF_pumpkin*0.001*(up_Irr!V2+up_Irr!AU2+up_Irr!BT2),".")</f>
        <v>152036.56519057468</v>
      </c>
      <c r="AX2" s="93">
        <f>IFERROR(s_C*s_IFSN_res_adj*s_CF_snap_bean*0.001*(up_Irr!W2+up_Irr!AV2+up_Irr!BU2),".")</f>
        <v>152036.56519057468</v>
      </c>
      <c r="AY2" s="93">
        <f>IFERROR(s_C*s_IFST_res_adj*s_CF_strawberry*0.001*(up_Irr!X2+up_Irr!AW2+up_Irr!BV2),".")</f>
        <v>152036.56519057468</v>
      </c>
      <c r="AZ2" s="93">
        <f>IFERROR(s_C*s_IFTO_res_adj*s_CF_tomato*0.001*(up_Irr!Y2+up_Irr!AX2+up_Irr!BW2),".")</f>
        <v>152036.56519057468</v>
      </c>
      <c r="BA2" s="93">
        <f>IFERROR(s_C*s_IFRI_res_adj*s_CF_rice*0.001*(up_Irr!Z2+up_Irr!AY2+up_Irr!BX2),".")</f>
        <v>152036.56519057468</v>
      </c>
      <c r="BB2" s="93">
        <f>IFERROR(s_C*s_IFCG_res_adj*s_CF_cereal*0.001*(up_Irr!AA2+up_Irr!AZ2+up_Irr!BY2),".")</f>
        <v>152036.56519057468</v>
      </c>
      <c r="BC2" s="76">
        <f>IFERROR(1/SUM(1/BD2,1/BU2,1/CA2,1/CB2),".")</f>
        <v>1.6443412786038031E-11</v>
      </c>
      <c r="BD2" s="76">
        <f>IFERROR(IF(AND(up_Irr!C2&lt;&gt;".",up_Irr!AB2&lt;&gt;".",up_Irr!BA2&lt;&gt;"."),up_dir!AD2/((1/1000)*(up_Irr!C2+up_Irr!AB2+up_Irr!BA2)),IF(AND(up_Irr!C2&lt;&gt;".",up_Irr!AB2&lt;&gt;".",up_Irr!BA2="."),up_dir!AD2/((1/1000)*(up_Irr!C2+up_Irr!AB2)),IF(AND(up_Irr!C2&lt;&gt;".",up_Irr!AB2=".",up_Irr!BA2&lt;&gt;"."),up_dir!AD2/((1/1000)*(up_Irr!C2+up_Irr!BA2)),IF(AND(up_Irr!C2=".",up_Irr!AB2&lt;&gt;".",up_Irr!BA2&lt;&gt;"."),up_dir!AD2/((1/1000)*(up_Irr!AB2+up_Irr!BA2)),IF(AND(up_Irr!C2=".",up_Irr!AB2=".",up_Irr!BA2&lt;&gt;"."),up_dir!AD2/((1/1000)*(up_Irr!BA2)),IF(AND(up_Irr!C2=".",up_Irr!AB2&lt;&gt;".",up_Irr!BA2="."),up_dir!AD2/((1/1000)*(up_Irr!AB2)),IF(AND(up_Irr!C2&lt;&gt;".",up_Irr!AB2=".",up_Irr!BA2="."),up_dir!AD2/((1/1000)*(up_Irr!C2)),IF(AND(up_Irr!C2=".",up_Irr!AB2=".",up_Irr!BA2="."),up_dir!AD2*1000)))))))),".")</f>
        <v>6.5773651144152123E-11</v>
      </c>
      <c r="BE2" s="76">
        <f>IFERROR(IF(AND(up_Irr!D2&lt;&gt;".",up_Irr!AC2&lt;&gt;".",up_Irr!BB2&lt;&gt;"."),up_dir!AE2/((1/1000)*(up_Irr!D2+up_Irr!AC2+up_Irr!BB2)),IF(AND(up_Irr!D2&lt;&gt;".",up_Irr!AC2&lt;&gt;".",up_Irr!BB2="."),up_dir!AE2/((1/1000)*(up_Irr!D2+up_Irr!AC2)),IF(AND(up_Irr!D2&lt;&gt;".",up_Irr!AC2=".",up_Irr!BB2&lt;&gt;"."),up_dir!AE2/((1/1000)*(up_Irr!D2+up_Irr!BB2)),IF(AND(up_Irr!D2=".",up_Irr!AC2&lt;&gt;".",up_Irr!BB2&lt;&gt;"."),up_dir!AE2/((1/1000)*(up_Irr!AC2+up_Irr!BB2)),IF(AND(up_Irr!D2=".",up_Irr!AC2=".",up_Irr!BB2&lt;&gt;"."),up_dir!AE2/((1/1000)*(up_Irr!BB2)),IF(AND(up_Irr!D2=".",up_Irr!AC2&lt;&gt;".",up_Irr!BB2="."),up_dir!AE2/((1/1000)*(up_Irr!AC2)),IF(AND(up_Irr!D2&lt;&gt;".",up_Irr!AC2=".",up_Irr!BB2="."),up_dir!AE2/((1/1000)*(up_Irr!D2)),IF(AND(up_Irr!D2=".",up_Irr!AC2=".",up_Irr!BB2="."),up_dir!AE2*1000)))))))),".")</f>
        <v>6.5773651144152123E-11</v>
      </c>
      <c r="BF2" s="76">
        <f>IFERROR(IF(AND(up_Irr!E2&lt;&gt;".",up_Irr!AD2&lt;&gt;".",up_Irr!BC2&lt;&gt;"."),up_dir!AF2/((1/1000)*(up_Irr!E2+up_Irr!AD2+up_Irr!BC2)),IF(AND(up_Irr!E2&lt;&gt;".",up_Irr!AD2&lt;&gt;".",up_Irr!BC2="."),up_dir!AF2/((1/1000)*(up_Irr!E2+up_Irr!AD2)),IF(AND(up_Irr!E2&lt;&gt;".",up_Irr!AD2=".",up_Irr!BC2&lt;&gt;"."),up_dir!AF2/((1/1000)*(up_Irr!E2+up_Irr!BC2)),IF(AND(up_Irr!E2=".",up_Irr!AD2&lt;&gt;".",up_Irr!BC2&lt;&gt;"."),up_dir!AF2/((1/1000)*(up_Irr!AD2+up_Irr!BC2)),IF(AND(up_Irr!E2=".",up_Irr!AD2=".",up_Irr!BC2&lt;&gt;"."),up_dir!AF2/((1/1000)*(up_Irr!BC2)),IF(AND(up_Irr!E2=".",up_Irr!AD2&lt;&gt;".",up_Irr!BC2="."),up_dir!AF2/((1/1000)*(up_Irr!AD2)),IF(AND(up_Irr!E2&lt;&gt;".",up_Irr!AD2=".",up_Irr!BC2="."),up_dir!AF2/((1/1000)*(up_Irr!E2)),IF(AND(up_Irr!E2=".",up_Irr!AD2=".",up_Irr!BC2="."),up_dir!AF2*1000)))))))),".")</f>
        <v>6.5773651144152123E-11</v>
      </c>
      <c r="BG2" s="76">
        <f>IFERROR(IF(AND(up_Irr!F2&lt;&gt;".",up_Irr!AE2&lt;&gt;".",up_Irr!BD2&lt;&gt;"."),up_dir!AG2/((1/1000)*(up_Irr!F2+up_Irr!AE2+up_Irr!BD2)),IF(AND(up_Irr!F2&lt;&gt;".",up_Irr!AE2&lt;&gt;".",up_Irr!BD2="."),up_dir!AG2/((1/1000)*(up_Irr!F2+up_Irr!AE2)),IF(AND(up_Irr!F2&lt;&gt;".",up_Irr!AE2=".",up_Irr!BD2&lt;&gt;"."),up_dir!AG2/((1/1000)*(up_Irr!F2+up_Irr!BD2)),IF(AND(up_Irr!F2=".",up_Irr!AE2&lt;&gt;".",up_Irr!BD2&lt;&gt;"."),up_dir!AG2/((1/1000)*(up_Irr!AE2+up_Irr!BD2)),IF(AND(up_Irr!F2=".",up_Irr!AE2=".",up_Irr!BD2&lt;&gt;"."),up_dir!AG2/((1/1000)*(up_Irr!BD2)),IF(AND(up_Irr!F2=".",up_Irr!AE2&lt;&gt;".",up_Irr!BD2="."),up_dir!AG2/((1/1000)*(up_Irr!AE2)),IF(AND(up_Irr!F2&lt;&gt;".",up_Irr!AE2=".",up_Irr!BD2="."),up_dir!AG2/((1/1000)*(up_Irr!F2)),IF(AND(up_Irr!F2=".",up_Irr!AE2=".",up_Irr!BD2="."),up_dir!AG2*1000)))))))),".")</f>
        <v>6.5773651144152123E-11</v>
      </c>
      <c r="BH2" s="76">
        <f>IFERROR(IF(AND(up_Irr!G2&lt;&gt;".",up_Irr!AF2&lt;&gt;".",up_Irr!BE2&lt;&gt;"."),up_dir!AH2/((1/1000)*(up_Irr!G2+up_Irr!AF2+up_Irr!BE2)),IF(AND(up_Irr!G2&lt;&gt;".",up_Irr!AF2&lt;&gt;".",up_Irr!BE2="."),up_dir!AH2/((1/1000)*(up_Irr!G2+up_Irr!AF2)),IF(AND(up_Irr!G2&lt;&gt;".",up_Irr!AF2=".",up_Irr!BE2&lt;&gt;"."),up_dir!AH2/((1/1000)*(up_Irr!G2+up_Irr!BE2)),IF(AND(up_Irr!G2=".",up_Irr!AF2&lt;&gt;".",up_Irr!BE2&lt;&gt;"."),up_dir!AH2/((1/1000)*(up_Irr!AF2+up_Irr!BE2)),IF(AND(up_Irr!G2=".",up_Irr!AF2=".",up_Irr!BE2&lt;&gt;"."),up_dir!AH2/((1/1000)*(up_Irr!BE2)),IF(AND(up_Irr!G2=".",up_Irr!AF2&lt;&gt;".",up_Irr!BE2="."),up_dir!AH2/((1/1000)*(up_Irr!AF2)),IF(AND(up_Irr!G2&lt;&gt;".",up_Irr!AF2=".",up_Irr!BE2="."),up_dir!AH2/((1/1000)*(up_Irr!G2)),IF(AND(up_Irr!G2=".",up_Irr!AF2=".",up_Irr!BE2="."),up_dir!AH2*1000)))))))),".")</f>
        <v>6.5773651144152123E-11</v>
      </c>
      <c r="BI2" s="76">
        <f>IFERROR(IF(AND(up_Irr!H2&lt;&gt;".",up_Irr!AG2&lt;&gt;".",up_Irr!BF2&lt;&gt;"."),up_dir!AI2/((1/1000)*(up_Irr!H2+up_Irr!AG2+up_Irr!BF2)),IF(AND(up_Irr!H2&lt;&gt;".",up_Irr!AG2&lt;&gt;".",up_Irr!BF2="."),up_dir!AI2/((1/1000)*(up_Irr!H2+up_Irr!AG2)),IF(AND(up_Irr!H2&lt;&gt;".",up_Irr!AG2=".",up_Irr!BF2&lt;&gt;"."),up_dir!AI2/((1/1000)*(up_Irr!H2+up_Irr!BF2)),IF(AND(up_Irr!H2=".",up_Irr!AG2&lt;&gt;".",up_Irr!BF2&lt;&gt;"."),up_dir!AI2/((1/1000)*(up_Irr!AG2+up_Irr!BF2)),IF(AND(up_Irr!H2=".",up_Irr!AG2=".",up_Irr!BF2&lt;&gt;"."),up_dir!AI2/((1/1000)*(up_Irr!BF2)),IF(AND(up_Irr!H2=".",up_Irr!AG2&lt;&gt;".",up_Irr!BF2="."),up_dir!AI2/((1/1000)*(up_Irr!AG2)),IF(AND(up_Irr!H2&lt;&gt;".",up_Irr!AG2=".",up_Irr!BF2="."),up_dir!AI2/((1/1000)*(up_Irr!H2)),IF(AND(up_Irr!H2=".",up_Irr!AG2=".",up_Irr!BF2="."),up_dir!AI2*1000)))))))),".")</f>
        <v>6.5773651144152123E-11</v>
      </c>
      <c r="BJ2" s="76">
        <f>IFERROR(IF(AND(up_Irr!I2&lt;&gt;".",up_Irr!AH2&lt;&gt;".",up_Irr!BG2&lt;&gt;"."),up_dir!AJ2/((1/1000)*(up_Irr!I2+up_Irr!AH2+up_Irr!BG2)),IF(AND(up_Irr!I2&lt;&gt;".",up_Irr!AH2&lt;&gt;".",up_Irr!BG2="."),up_dir!AJ2/((1/1000)*(up_Irr!I2+up_Irr!AH2)),IF(AND(up_Irr!I2&lt;&gt;".",up_Irr!AH2=".",up_Irr!BG2&lt;&gt;"."),up_dir!AJ2/((1/1000)*(up_Irr!I2+up_Irr!BG2)),IF(AND(up_Irr!I2=".",up_Irr!AH2&lt;&gt;".",up_Irr!BG2&lt;&gt;"."),up_dir!AJ2/((1/1000)*(up_Irr!AH2+up_Irr!BG2)),IF(AND(up_Irr!I2=".",up_Irr!AH2=".",up_Irr!BG2&lt;&gt;"."),up_dir!AJ2/((1/1000)*(up_Irr!BG2)),IF(AND(up_Irr!I2=".",up_Irr!AH2&lt;&gt;".",up_Irr!BG2="."),up_dir!AJ2/((1/1000)*(up_Irr!AH2)),IF(AND(up_Irr!I2&lt;&gt;".",up_Irr!AH2=".",up_Irr!BG2="."),up_dir!AJ2/((1/1000)*(up_Irr!I2)),IF(AND(up_Irr!I2=".",up_Irr!AH2=".",up_Irr!BG2="."),up_dir!AJ2*1000)))))))),".")</f>
        <v>6.5773651144152123E-11</v>
      </c>
      <c r="BK2" s="76">
        <f>IFERROR(IF(AND(up_Irr!J2&lt;&gt;".",up_Irr!AI2&lt;&gt;".",up_Irr!BH2&lt;&gt;"."),up_dir!AK2/((1/1000)*(up_Irr!J2+up_Irr!AI2+up_Irr!BH2)),IF(AND(up_Irr!J2&lt;&gt;".",up_Irr!AI2&lt;&gt;".",up_Irr!BH2="."),up_dir!AK2/((1/1000)*(up_Irr!J2+up_Irr!AI2)),IF(AND(up_Irr!J2&lt;&gt;".",up_Irr!AI2=".",up_Irr!BH2&lt;&gt;"."),up_dir!AK2/((1/1000)*(up_Irr!J2+up_Irr!BH2)),IF(AND(up_Irr!J2=".",up_Irr!AI2&lt;&gt;".",up_Irr!BH2&lt;&gt;"."),up_dir!AK2/((1/1000)*(up_Irr!AI2+up_Irr!BH2)),IF(AND(up_Irr!J2=".",up_Irr!AI2=".",up_Irr!BH2&lt;&gt;"."),up_dir!AK2/((1/1000)*(up_Irr!BH2)),IF(AND(up_Irr!J2=".",up_Irr!AI2&lt;&gt;".",up_Irr!BH2="."),up_dir!AK2/((1/1000)*(up_Irr!AI2)),IF(AND(up_Irr!J2&lt;&gt;".",up_Irr!AI2=".",up_Irr!BH2="."),up_dir!AK2/((1/1000)*(up_Irr!J2)),IF(AND(up_Irr!J2=".",up_Irr!AI2=".",up_Irr!BH2="."),up_dir!AK2*1000)))))))),".")</f>
        <v>6.5773651144152123E-11</v>
      </c>
      <c r="BL2" s="76">
        <f>IFERROR(IF(AND(up_Irr!K2&lt;&gt;".",up_Irr!AJ2&lt;&gt;".",up_Irr!BI2&lt;&gt;"."),up_dir!AL2/((1/1000)*(up_Irr!K2+up_Irr!AJ2+up_Irr!BI2)),IF(AND(up_Irr!K2&lt;&gt;".",up_Irr!AJ2&lt;&gt;".",up_Irr!BI2="."),up_dir!AL2/((1/1000)*(up_Irr!K2+up_Irr!AJ2)),IF(AND(up_Irr!K2&lt;&gt;".",up_Irr!AJ2=".",up_Irr!BI2&lt;&gt;"."),up_dir!AL2/((1/1000)*(up_Irr!K2+up_Irr!BI2)),IF(AND(up_Irr!K2=".",up_Irr!AJ2&lt;&gt;".",up_Irr!BI2&lt;&gt;"."),up_dir!AL2/((1/1000)*(up_Irr!AJ2+up_Irr!BI2)),IF(AND(up_Irr!K2=".",up_Irr!AJ2=".",up_Irr!BI2&lt;&gt;"."),up_dir!AL2/((1/1000)*(up_Irr!BI2)),IF(AND(up_Irr!K2=".",up_Irr!AJ2&lt;&gt;".",up_Irr!BI2="."),up_dir!AL2/((1/1000)*(up_Irr!AJ2)),IF(AND(up_Irr!K2&lt;&gt;".",up_Irr!AJ2=".",up_Irr!BI2="."),up_dir!AL2/((1/1000)*(up_Irr!K2)),IF(AND(up_Irr!K2=".",up_Irr!AJ2=".",up_Irr!BI2="."),up_dir!AL2*1000)))))))),".")</f>
        <v>6.5773651144152123E-11</v>
      </c>
      <c r="BM2" s="76">
        <f>IFERROR(IF(AND(up_Irr!L2&lt;&gt;".",up_Irr!AK2&lt;&gt;".",up_Irr!BJ2&lt;&gt;"."),up_dir!AM2/((1/1000)*(up_Irr!L2+up_Irr!AK2+up_Irr!BJ2)),IF(AND(up_Irr!L2&lt;&gt;".",up_Irr!AK2&lt;&gt;".",up_Irr!BJ2="."),up_dir!AM2/((1/1000)*(up_Irr!L2+up_Irr!AK2)),IF(AND(up_Irr!L2&lt;&gt;".",up_Irr!AK2=".",up_Irr!BJ2&lt;&gt;"."),up_dir!AM2/((1/1000)*(up_Irr!L2+up_Irr!BJ2)),IF(AND(up_Irr!L2=".",up_Irr!AK2&lt;&gt;".",up_Irr!BJ2&lt;&gt;"."),up_dir!AM2/((1/1000)*(up_Irr!AK2+up_Irr!BJ2)),IF(AND(up_Irr!L2=".",up_Irr!AK2=".",up_Irr!BJ2&lt;&gt;"."),up_dir!AM2/((1/1000)*(up_Irr!BJ2)),IF(AND(up_Irr!L2=".",up_Irr!AK2&lt;&gt;".",up_Irr!BJ2="."),up_dir!AM2/((1/1000)*(up_Irr!AK2)),IF(AND(up_Irr!L2&lt;&gt;".",up_Irr!AK2=".",up_Irr!BJ2="."),up_dir!AM2/((1/1000)*(up_Irr!L2)),IF(AND(up_Irr!L2=".",up_Irr!AK2=".",up_Irr!BJ2="."),up_dir!AM2*1000)))))))),".")</f>
        <v>6.5773651144152123E-11</v>
      </c>
      <c r="BN2" s="76">
        <f>IFERROR(IF(AND(up_Irr!M2&lt;&gt;".",up_Irr!AL2&lt;&gt;".",up_Irr!BK2&lt;&gt;"."),up_dir!AN2/((1/1000)*(up_Irr!M2+up_Irr!AL2+up_Irr!BK2)),IF(AND(up_Irr!M2&lt;&gt;".",up_Irr!AL2&lt;&gt;".",up_Irr!BK2="."),up_dir!AN2/((1/1000)*(up_Irr!M2+up_Irr!AL2)),IF(AND(up_Irr!M2&lt;&gt;".",up_Irr!AL2=".",up_Irr!BK2&lt;&gt;"."),up_dir!AN2/((1/1000)*(up_Irr!M2+up_Irr!BK2)),IF(AND(up_Irr!M2=".",up_Irr!AL2&lt;&gt;".",up_Irr!BK2&lt;&gt;"."),up_dir!AN2/((1/1000)*(up_Irr!AL2+up_Irr!BK2)),IF(AND(up_Irr!M2=".",up_Irr!AL2=".",up_Irr!BK2&lt;&gt;"."),up_dir!AN2/((1/1000)*(up_Irr!BK2)),IF(AND(up_Irr!M2=".",up_Irr!AL2&lt;&gt;".",up_Irr!BK2="."),up_dir!AN2/((1/1000)*(up_Irr!AL2)),IF(AND(up_Irr!M2&lt;&gt;".",up_Irr!AL2=".",up_Irr!BK2="."),up_dir!AN2/((1/1000)*(up_Irr!M2)),IF(AND(up_Irr!M2=".",up_Irr!AL2=".",up_Irr!BK2="."),up_dir!AN2*1000)))))))),".")</f>
        <v>6.5773651144152123E-11</v>
      </c>
      <c r="BO2" s="76">
        <f>IFERROR(IF(AND(up_Irr!N2&lt;&gt;".",up_Irr!AM2&lt;&gt;".",up_Irr!BL2&lt;&gt;"."),up_dir!AO2/((1/1000)*(up_Irr!N2+up_Irr!AM2+up_Irr!BL2)),IF(AND(up_Irr!N2&lt;&gt;".",up_Irr!AM2&lt;&gt;".",up_Irr!BL2="."),up_dir!AO2/((1/1000)*(up_Irr!N2+up_Irr!AM2)),IF(AND(up_Irr!N2&lt;&gt;".",up_Irr!AM2=".",up_Irr!BL2&lt;&gt;"."),up_dir!AO2/((1/1000)*(up_Irr!N2+up_Irr!BL2)),IF(AND(up_Irr!N2=".",up_Irr!AM2&lt;&gt;".",up_Irr!BL2&lt;&gt;"."),up_dir!AO2/((1/1000)*(up_Irr!AM2+up_Irr!BL2)),IF(AND(up_Irr!N2=".",up_Irr!AM2=".",up_Irr!BL2&lt;&gt;"."),up_dir!AO2/((1/1000)*(up_Irr!BL2)),IF(AND(up_Irr!N2=".",up_Irr!AM2&lt;&gt;".",up_Irr!BL2="."),up_dir!AO2/((1/1000)*(up_Irr!AM2)),IF(AND(up_Irr!N2&lt;&gt;".",up_Irr!AM2=".",up_Irr!BL2="."),up_dir!AO2/((1/1000)*(up_Irr!N2)),IF(AND(up_Irr!N2=".",up_Irr!AM2=".",up_Irr!BL2="."),up_dir!AO2*1000)))))))),".")</f>
        <v>6.5773651144152123E-11</v>
      </c>
      <c r="BP2" s="76">
        <f>IFERROR(IF(AND(up_Irr!O2&lt;&gt;".",up_Irr!AN2&lt;&gt;".",up_Irr!BM2&lt;&gt;"."),up_dir!AP2/((1/1000)*(up_Irr!O2+up_Irr!AN2+up_Irr!BM2)),IF(AND(up_Irr!O2&lt;&gt;".",up_Irr!AN2&lt;&gt;".",up_Irr!BM2="."),up_dir!AP2/((1/1000)*(up_Irr!O2+up_Irr!AN2)),IF(AND(up_Irr!O2&lt;&gt;".",up_Irr!AN2=".",up_Irr!BM2&lt;&gt;"."),up_dir!AP2/((1/1000)*(up_Irr!O2+up_Irr!BM2)),IF(AND(up_Irr!O2=".",up_Irr!AN2&lt;&gt;".",up_Irr!BM2&lt;&gt;"."),up_dir!AP2/((1/1000)*(up_Irr!AN2+up_Irr!BM2)),IF(AND(up_Irr!O2=".",up_Irr!AN2=".",up_Irr!BM2&lt;&gt;"."),up_dir!AP2/((1/1000)*(up_Irr!BM2)),IF(AND(up_Irr!O2=".",up_Irr!AN2&lt;&gt;".",up_Irr!BM2="."),up_dir!AP2/((1/1000)*(up_Irr!AN2)),IF(AND(up_Irr!O2&lt;&gt;".",up_Irr!AN2=".",up_Irr!BM2="."),up_dir!AP2/((1/1000)*(up_Irr!O2)),IF(AND(up_Irr!O2=".",up_Irr!AN2=".",up_Irr!BM2="."),up_dir!AP2*1000)))))))),".")</f>
        <v>6.5773651144152123E-11</v>
      </c>
      <c r="BQ2" s="76">
        <f>IFERROR(IF(AND(up_Irr!P2&lt;&gt;".",up_Irr!AO2&lt;&gt;".",up_Irr!BN2&lt;&gt;"."),up_dir!AQ2/((1/1000)*(up_Irr!P2+up_Irr!AO2+up_Irr!BN2)),IF(AND(up_Irr!P2&lt;&gt;".",up_Irr!AO2&lt;&gt;".",up_Irr!BN2="."),up_dir!AQ2/((1/1000)*(up_Irr!P2+up_Irr!AO2)),IF(AND(up_Irr!P2&lt;&gt;".",up_Irr!AO2=".",up_Irr!BN2&lt;&gt;"."),up_dir!AQ2/((1/1000)*(up_Irr!P2+up_Irr!BN2)),IF(AND(up_Irr!P2=".",up_Irr!AO2&lt;&gt;".",up_Irr!BN2&lt;&gt;"."),up_dir!AQ2/((1/1000)*(up_Irr!AO2+up_Irr!BN2)),IF(AND(up_Irr!P2=".",up_Irr!AO2=".",up_Irr!BN2&lt;&gt;"."),up_dir!AQ2/((1/1000)*(up_Irr!BN2)),IF(AND(up_Irr!P2=".",up_Irr!AO2&lt;&gt;".",up_Irr!BN2="."),up_dir!AQ2/((1/1000)*(up_Irr!AO2)),IF(AND(up_Irr!P2&lt;&gt;".",up_Irr!AO2=".",up_Irr!BN2="."),up_dir!AQ2/((1/1000)*(up_Irr!P2)),IF(AND(up_Irr!P2=".",up_Irr!AO2=".",up_Irr!BN2="."),up_dir!AQ2*1000)))))))),".")</f>
        <v>6.5773651144152123E-11</v>
      </c>
      <c r="BR2" s="76">
        <f>IFERROR(IF(AND(up_Irr!Q2&lt;&gt;".",up_Irr!AP2&lt;&gt;".",up_Irr!BO2&lt;&gt;"."),up_dir!AR2/((1/1000)*(up_Irr!Q2+up_Irr!AP2+up_Irr!BO2)),IF(AND(up_Irr!Q2&lt;&gt;".",up_Irr!AP2&lt;&gt;".",up_Irr!BO2="."),up_dir!AR2/((1/1000)*(up_Irr!Q2+up_Irr!AP2)),IF(AND(up_Irr!Q2&lt;&gt;".",up_Irr!AP2=".",up_Irr!BO2&lt;&gt;"."),up_dir!AR2/((1/1000)*(up_Irr!Q2+up_Irr!BO2)),IF(AND(up_Irr!Q2=".",up_Irr!AP2&lt;&gt;".",up_Irr!BO2&lt;&gt;"."),up_dir!AR2/((1/1000)*(up_Irr!AP2+up_Irr!BO2)),IF(AND(up_Irr!Q2=".",up_Irr!AP2=".",up_Irr!BO2&lt;&gt;"."),up_dir!AR2/((1/1000)*(up_Irr!BO2)),IF(AND(up_Irr!Q2=".",up_Irr!AP2&lt;&gt;".",up_Irr!BO2="."),up_dir!AR2/((1/1000)*(up_Irr!AP2)),IF(AND(up_Irr!Q2&lt;&gt;".",up_Irr!AP2=".",up_Irr!BO2="."),up_dir!AR2/((1/1000)*(up_Irr!Q2)),IF(AND(up_Irr!Q2=".",up_Irr!AP2=".",up_Irr!BO2="."),up_dir!AR2*1000)))))))),".")</f>
        <v>6.5773651144152123E-11</v>
      </c>
      <c r="BS2" s="76">
        <f>IFERROR(IF(AND(up_Irr!R2&lt;&gt;".",up_Irr!AQ2&lt;&gt;".",up_Irr!BP2&lt;&gt;"."),up_dir!AS2/((1/1000)*(up_Irr!R2+up_Irr!AQ2+up_Irr!BP2)),IF(AND(up_Irr!R2&lt;&gt;".",up_Irr!AQ2&lt;&gt;".",up_Irr!BP2="."),up_dir!AS2/((1/1000)*(up_Irr!R2+up_Irr!AQ2)),IF(AND(up_Irr!R2&lt;&gt;".",up_Irr!AQ2=".",up_Irr!BP2&lt;&gt;"."),up_dir!AS2/((1/1000)*(up_Irr!R2+up_Irr!BP2)),IF(AND(up_Irr!R2=".",up_Irr!AQ2&lt;&gt;".",up_Irr!BP2&lt;&gt;"."),up_dir!AS2/((1/1000)*(up_Irr!AQ2+up_Irr!BP2)),IF(AND(up_Irr!R2=".",up_Irr!AQ2=".",up_Irr!BP2&lt;&gt;"."),up_dir!AS2/((1/1000)*(up_Irr!BP2)),IF(AND(up_Irr!R2=".",up_Irr!AQ2&lt;&gt;".",up_Irr!BP2="."),up_dir!AS2/((1/1000)*(up_Irr!AQ2)),IF(AND(up_Irr!R2&lt;&gt;".",up_Irr!AQ2=".",up_Irr!BP2="."),up_dir!AS2/((1/1000)*(up_Irr!R2)),IF(AND(up_Irr!R2=".",up_Irr!AQ2=".",up_Irr!BP2="."),up_dir!AS2*1000)))))))),".")</f>
        <v>6.5773651144152123E-11</v>
      </c>
      <c r="BT2" s="76">
        <f>IFERROR(IF(AND(up_Irr!S2&lt;&gt;".",up_Irr!AR2&lt;&gt;".",up_Irr!BQ2&lt;&gt;"."),up_dir!AT2/((1/1000)*(up_Irr!S2+up_Irr!AR2+up_Irr!BQ2)),IF(AND(up_Irr!S2&lt;&gt;".",up_Irr!AR2&lt;&gt;".",up_Irr!BQ2="."),up_dir!AT2/((1/1000)*(up_Irr!S2+up_Irr!AR2)),IF(AND(up_Irr!S2&lt;&gt;".",up_Irr!AR2=".",up_Irr!BQ2&lt;&gt;"."),up_dir!AT2/((1/1000)*(up_Irr!S2+up_Irr!BQ2)),IF(AND(up_Irr!S2=".",up_Irr!AR2&lt;&gt;".",up_Irr!BQ2&lt;&gt;"."),up_dir!AT2/((1/1000)*(up_Irr!AR2+up_Irr!BQ2)),IF(AND(up_Irr!S2=".",up_Irr!AR2=".",up_Irr!BQ2&lt;&gt;"."),up_dir!AT2/((1/1000)*(up_Irr!BQ2)),IF(AND(up_Irr!S2=".",up_Irr!AR2&lt;&gt;".",up_Irr!BQ2="."),up_dir!AT2/((1/1000)*(up_Irr!AR2)),IF(AND(up_Irr!S2&lt;&gt;".",up_Irr!AR2=".",up_Irr!BQ2="."),up_dir!AT2/((1/1000)*(up_Irr!S2)),IF(AND(up_Irr!S2=".",up_Irr!AR2=".",up_Irr!BQ2="."),up_dir!AT2*1000)))))))),".")</f>
        <v>6.5773651144152123E-11</v>
      </c>
      <c r="BU2" s="76">
        <f>IFERROR(IF(AND(up_Irr!T2&lt;&gt;".",up_Irr!AS2&lt;&gt;".",up_Irr!BR2&lt;&gt;"."),up_dir!AU2/((1/1000)*(up_Irr!T2+up_Irr!AS2+up_Irr!BR2)),IF(AND(up_Irr!T2&lt;&gt;".",up_Irr!AS2&lt;&gt;".",up_Irr!BR2="."),up_dir!AU2/((1/1000)*(up_Irr!T2+up_Irr!AS2)),IF(AND(up_Irr!T2&lt;&gt;".",up_Irr!AS2=".",up_Irr!BR2&lt;&gt;"."),up_dir!AU2/((1/1000)*(up_Irr!T2+up_Irr!BR2)),IF(AND(up_Irr!T2=".",up_Irr!AS2&lt;&gt;".",up_Irr!BR2&lt;&gt;"."),up_dir!AU2/((1/1000)*(up_Irr!AS2+up_Irr!BR2)),IF(AND(up_Irr!T2=".",up_Irr!AS2=".",up_Irr!BR2&lt;&gt;"."),up_dir!AU2/((1/1000)*(up_Irr!BR2)),IF(AND(up_Irr!T2=".",up_Irr!AS2&lt;&gt;".",up_Irr!BR2="."),up_dir!AU2/((1/1000)*(up_Irr!AS2)),IF(AND(up_Irr!T2&lt;&gt;".",up_Irr!AS2=".",up_Irr!BR2="."),up_dir!AU2/((1/1000)*(up_Irr!T2)),IF(AND(up_Irr!T2=".",up_Irr!AS2=".",up_Irr!BR2="."),up_dir!AU2*1000)))))))),".")</f>
        <v>6.5773651144152123E-11</v>
      </c>
      <c r="BV2" s="76">
        <f>IFERROR(IF(AND(up_Irr!U2&lt;&gt;".",up_Irr!AT2&lt;&gt;".",up_Irr!BS2&lt;&gt;"."),up_dir!AV2/((1/1000)*(up_Irr!U2+up_Irr!AT2+up_Irr!BS2)),IF(AND(up_Irr!U2&lt;&gt;".",up_Irr!AT2&lt;&gt;".",up_Irr!BS2="."),up_dir!AV2/((1/1000)*(up_Irr!U2+up_Irr!AT2)),IF(AND(up_Irr!U2&lt;&gt;".",up_Irr!AT2=".",up_Irr!BS2&lt;&gt;"."),up_dir!AV2/((1/1000)*(up_Irr!U2+up_Irr!BS2)),IF(AND(up_Irr!U2=".",up_Irr!AT2&lt;&gt;".",up_Irr!BS2&lt;&gt;"."),up_dir!AV2/((1/1000)*(up_Irr!AT2+up_Irr!BS2)),IF(AND(up_Irr!U2=".",up_Irr!AT2=".",up_Irr!BS2&lt;&gt;"."),up_dir!AV2/((1/1000)*(up_Irr!BS2)),IF(AND(up_Irr!U2=".",up_Irr!AT2&lt;&gt;".",up_Irr!BS2="."),up_dir!AV2/((1/1000)*(up_Irr!AT2)),IF(AND(up_Irr!U2&lt;&gt;".",up_Irr!AT2=".",up_Irr!BS2="."),up_dir!AV2/((1/1000)*(up_Irr!U2)),IF(AND(up_Irr!U2=".",up_Irr!AT2=".",up_Irr!BS2="."),up_dir!AV2*1000)))))))),".")</f>
        <v>6.5773651144152123E-11</v>
      </c>
      <c r="BW2" s="76">
        <f>IFERROR(IF(AND(up_Irr!V2&lt;&gt;".",up_Irr!AU2&lt;&gt;".",up_Irr!BT2&lt;&gt;"."),up_dir!AW2/((1/1000)*(up_Irr!V2+up_Irr!AU2+up_Irr!BT2)),IF(AND(up_Irr!V2&lt;&gt;".",up_Irr!AU2&lt;&gt;".",up_Irr!BT2="."),up_dir!AW2/((1/1000)*(up_Irr!V2+up_Irr!AU2)),IF(AND(up_Irr!V2&lt;&gt;".",up_Irr!AU2=".",up_Irr!BT2&lt;&gt;"."),up_dir!AW2/((1/1000)*(up_Irr!V2+up_Irr!BT2)),IF(AND(up_Irr!V2=".",up_Irr!AU2&lt;&gt;".",up_Irr!BT2&lt;&gt;"."),up_dir!AW2/((1/1000)*(up_Irr!AU2+up_Irr!BT2)),IF(AND(up_Irr!V2=".",up_Irr!AU2=".",up_Irr!BT2&lt;&gt;"."),up_dir!AW2/((1/1000)*(up_Irr!BT2)),IF(AND(up_Irr!V2=".",up_Irr!AU2&lt;&gt;".",up_Irr!BT2="."),up_dir!AW2/((1/1000)*(up_Irr!AU2)),IF(AND(up_Irr!V2&lt;&gt;".",up_Irr!AU2=".",up_Irr!BT2="."),up_dir!AW2/((1/1000)*(up_Irr!V2)),IF(AND(up_Irr!V2=".",up_Irr!AU2=".",up_Irr!BT2="."),up_dir!AW2*1000)))))))),".")</f>
        <v>6.5773651144152123E-11</v>
      </c>
      <c r="BX2" s="76">
        <f>IFERROR(IF(AND(up_Irr!W2&lt;&gt;".",up_Irr!AV2&lt;&gt;".",up_Irr!BU2&lt;&gt;"."),up_dir!AX2/((1/1000)*(up_Irr!W2+up_Irr!AV2+up_Irr!BU2)),IF(AND(up_Irr!W2&lt;&gt;".",up_Irr!AV2&lt;&gt;".",up_Irr!BU2="."),up_dir!AX2/((1/1000)*(up_Irr!W2+up_Irr!AV2)),IF(AND(up_Irr!W2&lt;&gt;".",up_Irr!AV2=".",up_Irr!BU2&lt;&gt;"."),up_dir!AX2/((1/1000)*(up_Irr!W2+up_Irr!BU2)),IF(AND(up_Irr!W2=".",up_Irr!AV2&lt;&gt;".",up_Irr!BU2&lt;&gt;"."),up_dir!AX2/((1/1000)*(up_Irr!AV2+up_Irr!BU2)),IF(AND(up_Irr!W2=".",up_Irr!AV2=".",up_Irr!BU2&lt;&gt;"."),up_dir!AX2/((1/1000)*(up_Irr!BU2)),IF(AND(up_Irr!W2=".",up_Irr!AV2&lt;&gt;".",up_Irr!BU2="."),up_dir!AX2/((1/1000)*(up_Irr!AV2)),IF(AND(up_Irr!W2&lt;&gt;".",up_Irr!AV2=".",up_Irr!BU2="."),up_dir!AX2/((1/1000)*(up_Irr!W2)),IF(AND(up_Irr!W2=".",up_Irr!AV2=".",up_Irr!BU2="."),up_dir!AX2*1000)))))))),".")</f>
        <v>6.5773651144152123E-11</v>
      </c>
      <c r="BY2" s="76">
        <f>IFERROR(IF(AND(up_Irr!X2&lt;&gt;".",up_Irr!AW2&lt;&gt;".",up_Irr!BV2&lt;&gt;"."),up_dir!AY2/((1/1000)*(up_Irr!X2+up_Irr!AW2+up_Irr!BV2)),IF(AND(up_Irr!X2&lt;&gt;".",up_Irr!AW2&lt;&gt;".",up_Irr!BV2="."),up_dir!AY2/((1/1000)*(up_Irr!X2+up_Irr!AW2)),IF(AND(up_Irr!X2&lt;&gt;".",up_Irr!AW2=".",up_Irr!BV2&lt;&gt;"."),up_dir!AY2/((1/1000)*(up_Irr!X2+up_Irr!BV2)),IF(AND(up_Irr!X2=".",up_Irr!AW2&lt;&gt;".",up_Irr!BV2&lt;&gt;"."),up_dir!AY2/((1/1000)*(up_Irr!AW2+up_Irr!BV2)),IF(AND(up_Irr!X2=".",up_Irr!AW2=".",up_Irr!BV2&lt;&gt;"."),up_dir!AY2/((1/1000)*(up_Irr!BV2)),IF(AND(up_Irr!X2=".",up_Irr!AW2&lt;&gt;".",up_Irr!BV2="."),up_dir!AY2/((1/1000)*(up_Irr!AW2)),IF(AND(up_Irr!X2&lt;&gt;".",up_Irr!AW2=".",up_Irr!BV2="."),up_dir!AY2/((1/1000)*(up_Irr!X2)),IF(AND(up_Irr!X2=".",up_Irr!AW2=".",up_Irr!BV2="."),up_dir!AY2*1000)))))))),".")</f>
        <v>6.5773651144152123E-11</v>
      </c>
      <c r="BZ2" s="76">
        <f>IFERROR(IF(AND(up_Irr!Y2&lt;&gt;".",up_Irr!AX2&lt;&gt;".",up_Irr!BW2&lt;&gt;"."),up_dir!AZ2/((1/1000)*(up_Irr!Y2+up_Irr!AX2+up_Irr!BW2)),IF(AND(up_Irr!Y2&lt;&gt;".",up_Irr!AX2&lt;&gt;".",up_Irr!BW2="."),up_dir!AZ2/((1/1000)*(up_Irr!Y2+up_Irr!AX2)),IF(AND(up_Irr!Y2&lt;&gt;".",up_Irr!AX2=".",up_Irr!BW2&lt;&gt;"."),up_dir!AZ2/((1/1000)*(up_Irr!Y2+up_Irr!BW2)),IF(AND(up_Irr!Y2=".",up_Irr!AX2&lt;&gt;".",up_Irr!BW2&lt;&gt;"."),up_dir!AZ2/((1/1000)*(up_Irr!AX2+up_Irr!BW2)),IF(AND(up_Irr!Y2=".",up_Irr!AX2=".",up_Irr!BW2&lt;&gt;"."),up_dir!AZ2/((1/1000)*(up_Irr!BW2)),IF(AND(up_Irr!Y2=".",up_Irr!AX2&lt;&gt;".",up_Irr!BW2="."),up_dir!AZ2/((1/1000)*(up_Irr!AX2)),IF(AND(up_Irr!Y2&lt;&gt;".",up_Irr!AX2=".",up_Irr!BW2="."),up_dir!AZ2/((1/1000)*(up_Irr!Y2)),IF(AND(up_Irr!Y2=".",up_Irr!AX2=".",up_Irr!BW2="."),up_dir!AZ2*1000)))))))),".")</f>
        <v>6.5773651144152123E-11</v>
      </c>
      <c r="CA2" s="76">
        <f>IFERROR(IF(AND(up_Irr!Z2&lt;&gt;".",up_Irr!AY2&lt;&gt;".",up_Irr!BX2&lt;&gt;"."),up_dir!BA2/((1/1000)*(up_Irr!Z2+up_Irr!AY2+up_Irr!BX2)),IF(AND(up_Irr!Z2&lt;&gt;".",up_Irr!AY2&lt;&gt;".",up_Irr!BX2="."),up_dir!BA2/((1/1000)*(up_Irr!Z2+up_Irr!AY2)),IF(AND(up_Irr!Z2&lt;&gt;".",up_Irr!AY2=".",up_Irr!BX2&lt;&gt;"."),up_dir!BA2/((1/1000)*(up_Irr!Z2+up_Irr!BX2)),IF(AND(up_Irr!Z2=".",up_Irr!AY2&lt;&gt;".",up_Irr!BX2&lt;&gt;"."),up_dir!BA2/((1/1000)*(up_Irr!AY2+up_Irr!BX2)),IF(AND(up_Irr!Z2=".",up_Irr!AY2=".",up_Irr!BX2&lt;&gt;"."),up_dir!BA2/((1/1000)*(up_Irr!BX2)),IF(AND(up_Irr!Z2=".",up_Irr!AY2&lt;&gt;".",up_Irr!BX2="."),up_dir!BA2/((1/1000)*(up_Irr!AY2)),IF(AND(up_Irr!Z2&lt;&gt;".",up_Irr!AY2=".",up_Irr!BX2="."),up_dir!BA2/((1/1000)*(up_Irr!Z2)),IF(AND(up_Irr!Z2=".",up_Irr!AY2=".",up_Irr!BX2="."),up_dir!BA2*1000)))))))),".")</f>
        <v>6.5773651144152123E-11</v>
      </c>
      <c r="CB2" s="76">
        <f>IFERROR(IF(AND(up_Irr!AA2&lt;&gt;".",up_Irr!AZ2&lt;&gt;".",up_Irr!BY2&lt;&gt;"."),up_dir!BB2/((1/1000)*(up_Irr!AA2+up_Irr!AZ2+up_Irr!BY2)),IF(AND(up_Irr!AA2&lt;&gt;".",up_Irr!AZ2&lt;&gt;".",up_Irr!BY2="."),up_dir!BB2/((1/1000)*(up_Irr!AA2+up_Irr!AZ2)),IF(AND(up_Irr!AA2&lt;&gt;".",up_Irr!AZ2=".",up_Irr!BY2&lt;&gt;"."),up_dir!BB2/((1/1000)*(up_Irr!AA2+up_Irr!BY2)),IF(AND(up_Irr!AA2=".",up_Irr!AZ2&lt;&gt;".",up_Irr!BY2&lt;&gt;"."),up_dir!BB2/((1/1000)*(up_Irr!AZ2+up_Irr!BY2)),IF(AND(up_Irr!AA2=".",up_Irr!AZ2=".",up_Irr!BY2&lt;&gt;"."),up_dir!BB2/((1/1000)*(up_Irr!BY2)),IF(AND(up_Irr!AA2=".",up_Irr!AZ2&lt;&gt;".",up_Irr!BY2="."),up_dir!BB2/((1/1000)*(up_Irr!AZ2)),IF(AND(up_Irr!AA2&lt;&gt;".",up_Irr!AZ2=".",up_Irr!BY2="."),up_dir!BB2/((1/1000)*(up_Irr!AA2)),IF(AND(up_Irr!AA2=".",up_Irr!AZ2=".",up_Irr!BY2="."),up_dir!BB2*1000)))))))),".")</f>
        <v>6.5773651144152123E-11</v>
      </c>
      <c r="CC2" s="93">
        <f>SUM(CD2,CU2,DA2:DB2)</f>
        <v>608146.26076229871</v>
      </c>
      <c r="CD2" s="93">
        <f>IFERROR(s_C*s_IFAP_far_adj*s_CF_apple*(1/1000)*(up_Irr!C2+up_Irr!AB2+up_Irr!BA2),".")</f>
        <v>152036.56519057468</v>
      </c>
      <c r="CE2" s="93">
        <f>IFERROR(s_C*s_IFAS_far_adj*s_CF_asparagus*(1/1000)*(up_Irr!D2+up_Irr!AC2+up_Irr!BB2),".")</f>
        <v>152036.56519057468</v>
      </c>
      <c r="CF2" s="93">
        <f>IFERROR(s_C*s_IFBT_far_adj*s_CF_beet*(1/1000)*(up_Irr!E2+up_Irr!AD2+up_Irr!BC2),".")</f>
        <v>152036.56519057468</v>
      </c>
      <c r="CG2" s="93">
        <f>IFERROR(s_C*s_IFBE_far_adj*s_CF_berries*(1/1000)*(up_Irr!F2+up_Irr!AE2+up_Irr!BD2),".")</f>
        <v>152036.56519057468</v>
      </c>
      <c r="CH2" s="93">
        <f>IFERROR(s_C*s_IFBR_far_adj*s_CF_broccoli*(1/1000)*(up_Irr!G2+up_Irr!AF2+up_Irr!BE2),".")</f>
        <v>152036.56519057468</v>
      </c>
      <c r="CI2" s="93">
        <f>IFERROR(s_C*s_IFCB_far_adj*s_CF_cabbage*(1/1000)*(up_Irr!H2+up_Irr!AG2+up_Irr!BF2),".")</f>
        <v>152036.56519057468</v>
      </c>
      <c r="CJ2" s="93">
        <f>IFERROR(s_C*s_IFCR_far_adj*s_CF_carrot*(1/1000)*(up_Irr!I2+up_Irr!AH2+up_Irr!BG2),".")</f>
        <v>152036.56519057468</v>
      </c>
      <c r="CK2" s="93">
        <f>IFERROR(s_C*s_IFCI_far_adj*s_CF_citrus*(1/1000)*(up_Irr!J2+up_Irr!AI2+up_Irr!BH2),".")</f>
        <v>152036.56519057468</v>
      </c>
      <c r="CL2" s="93">
        <f>IFERROR(s_C*s_IFCO_far_adj*s_CF_corn*(1/1000)*(up_Irr!K2+up_Irr!AJ2+up_Irr!BI2),".")</f>
        <v>152036.56519057468</v>
      </c>
      <c r="CM2" s="93">
        <f>IFERROR(s_C*s_IFCU_far_adj*s_CF_cucumber*(1/1000)*(up_Irr!L2+up_Irr!AK2+up_Irr!BJ2),".")</f>
        <v>152036.56519057468</v>
      </c>
      <c r="CN2" s="93">
        <f>IFERROR(s_C*s_IFLE_far_adj*s_CF_lettuce*(1/1000)*(up_Irr!M2+up_Irr!AL2+up_Irr!BK2),".")</f>
        <v>152036.56519057468</v>
      </c>
      <c r="CO2" s="93">
        <f>IFERROR(s_C*s_IFLI_far_adj*s_CF_lima_bean*(1/1000)*(up_Irr!N2+up_Irr!AM2+up_Irr!BL2),".")</f>
        <v>152036.56519057468</v>
      </c>
      <c r="CP2" s="93">
        <f>IFERROR(s_C*s_IFOK_far_adj*s_CF_okra*(1/1000)*(up_Irr!O2+up_Irr!AN2+up_Irr!BM2),".")</f>
        <v>152036.56519057468</v>
      </c>
      <c r="CQ2" s="93">
        <f>IFERROR(s_C*s_IFON_far_adj*s_CF_onion*(1/1000)*(up_Irr!P2+up_Irr!AO2+up_Irr!BN2),".")</f>
        <v>152036.56519057468</v>
      </c>
      <c r="CR2" s="93">
        <f>IFERROR(s_C*s_IFPC_far_adj*s_CF_peach*(1/1000)*(up_Irr!Q2+up_Irr!AP2+up_Irr!BO2),".")</f>
        <v>152036.56519057468</v>
      </c>
      <c r="CS2" s="93">
        <f>IFERROR(s_C*s_IFPR_far_adj*s_CF_pear*(1/1000)*(up_Irr!R2+up_Irr!AQ2+up_Irr!BP2),".")</f>
        <v>152036.56519057468</v>
      </c>
      <c r="CT2" s="93">
        <f>IFERROR(s_C*s_IFPE_far_adj*s_CF_peas*(1/1000)*(up_Irr!S2+up_Irr!AR2+up_Irr!BQ2),".")</f>
        <v>152036.56519057468</v>
      </c>
      <c r="CU2" s="93">
        <f>IFERROR(s_C*s_IFPP_far_adj*s_CF_peppers*(1/1000)*(up_Irr!T2+up_Irr!AS2+up_Irr!BR2),".")</f>
        <v>152036.56519057468</v>
      </c>
      <c r="CV2" s="93">
        <f>IFERROR(s_C*s_IFPT_far_adj*s_CF_potato*(1/1000)*(up_Irr!U2+up_Irr!AT2+up_Irr!BS2),".")</f>
        <v>152036.56519057468</v>
      </c>
      <c r="CW2" s="93">
        <f>IFERROR(s_C*s_IFPU_far_adj*s_CF_pumpkin*(1/1000)*(up_Irr!V2+up_Irr!AU2+up_Irr!BT2),".")</f>
        <v>152036.56519057468</v>
      </c>
      <c r="CX2" s="93">
        <f>IFERROR(s_C*s_IFSN_far_adj*s_CF_snap_bean*(1/1000)*(up_Irr!W2+up_Irr!AV2+up_Irr!BU2),".")</f>
        <v>152036.56519057468</v>
      </c>
      <c r="CY2" s="93">
        <f>IFERROR(s_C*s_IFST_far_adj*s_CF_strawberry*(1/1000)*(up_Irr!X2+up_Irr!AW2+up_Irr!BV2),".")</f>
        <v>152036.56519057468</v>
      </c>
      <c r="CZ2" s="93">
        <f>IFERROR(s_C*s_IFTO_far_adj*s_CF_tomato*(1/1000)*(up_Irr!Y2+up_Irr!AX2+up_Irr!BW2),".")</f>
        <v>152036.56519057468</v>
      </c>
      <c r="DA2" s="93">
        <f>IFERROR(s_C*s_IFRI_far_adj*s_CF_rice*(1/1000)*(up_Irr!Z2+up_Irr!AY2+up_Irr!BX2),".")</f>
        <v>152036.56519057468</v>
      </c>
      <c r="DB2" s="93">
        <f>IFERROR(s_C*s_IFCG_far_adj*s_CF_cereal*(1/1000)*(up_Irr!AA2+up_Irr!AZ2+up_Irr!BY2),".")</f>
        <v>152036.56519057468</v>
      </c>
    </row>
    <row r="3" spans="1:106" x14ac:dyDescent="0.25">
      <c r="A3" s="94" t="s">
        <v>13</v>
      </c>
      <c r="B3" s="90" t="s">
        <v>349</v>
      </c>
      <c r="C3" s="15">
        <f t="shared" ref="C3:C30" si="0">IFERROR(1/SUM(1/D3,1/U3,1/AA3,1/AB3),".")</f>
        <v>1.6443412786038031E-11</v>
      </c>
      <c r="D3" s="76">
        <f>IFERROR(IF(AND(up_Irr!C3&lt;&gt;".",up_Irr!AB3&lt;&gt;".",up_Irr!BA3&lt;&gt;"."),up_dir!D3/((1/1000)*(up_Irr!C3+up_Irr!AB3+up_Irr!BA3)),IF(AND(up_Irr!C3&lt;&gt;".",up_Irr!AB3&lt;&gt;".",up_Irr!BA3="."),up_dir!D3/((1/1000)*(up_Irr!C3+up_Irr!AB3)),IF(AND(up_Irr!C3&lt;&gt;".",up_Irr!AB3=".",up_Irr!BA3&lt;&gt;"."),up_dir!D3/((1/1000)*(up_Irr!C3+up_Irr!BA3)),IF(AND(up_Irr!C3=".",up_Irr!AB3&lt;&gt;".",up_Irr!BA3&lt;&gt;"."),up_dir!D3/((1/1000)*(up_Irr!AB3+up_Irr!BA3)),IF(AND(up_Irr!C3=".",up_Irr!AB3=".",up_Irr!BA3&lt;&gt;"."),up_dir!D3/((1/1000)*(up_Irr!BA3)),IF(AND(up_Irr!C3=".",up_Irr!AB3&lt;&gt;".",up_Irr!BA3="."),up_dir!D3/((1/1000)*(up_Irr!AB3)),IF(AND(up_Irr!C3&lt;&gt;".",up_Irr!AB3=".",up_Irr!BA3="."),up_dir!D3/((1/1000)*(up_Irr!C3)),IF(AND(up_Irr!C3=".",up_Irr!AB3=".",up_Irr!BA3="."),up_dir!D3*1000)))))))),".")</f>
        <v>6.5773651144152123E-11</v>
      </c>
      <c r="E3" s="76">
        <f>IFERROR(IF(AND(up_Irr!D3&lt;&gt;".",up_Irr!AC3&lt;&gt;".",up_Irr!BB3&lt;&gt;"."),up_dir!E3/((1/1000)*(up_Irr!D3+up_Irr!AC3+up_Irr!BB3)),IF(AND(up_Irr!D3&lt;&gt;".",up_Irr!AC3&lt;&gt;".",up_Irr!BB3="."),up_dir!E3/((1/1000)*(up_Irr!D3+up_Irr!AC3)),IF(AND(up_Irr!D3&lt;&gt;".",up_Irr!AC3=".",up_Irr!BB3&lt;&gt;"."),up_dir!E3/((1/1000)*(up_Irr!D3+up_Irr!BB3)),IF(AND(up_Irr!D3=".",up_Irr!AC3&lt;&gt;".",up_Irr!BB3&lt;&gt;"."),up_dir!E3/((1/1000)*(up_Irr!AC3+up_Irr!BB3)),IF(AND(up_Irr!D3=".",up_Irr!AC3=".",up_Irr!BB3&lt;&gt;"."),up_dir!E3/((1/1000)*(up_Irr!BB3)),IF(AND(up_Irr!D3=".",up_Irr!AC3&lt;&gt;".",up_Irr!BB3="."),up_dir!E3/((1/1000)*(up_Irr!AC3)),IF(AND(up_Irr!D3&lt;&gt;".",up_Irr!AC3=".",up_Irr!BB3="."),up_dir!E3/((1/1000)*(up_Irr!D3)),IF(AND(up_Irr!D3=".",up_Irr!AC3=".",up_Irr!BB3="."),up_dir!E3*1000)))))))),".")</f>
        <v>6.5773651144152123E-11</v>
      </c>
      <c r="F3" s="76">
        <f>IFERROR(IF(AND(up_Irr!E3&lt;&gt;".",up_Irr!AD3&lt;&gt;".",up_Irr!BC3&lt;&gt;"."),up_dir!F3/((1/1000)*(up_Irr!E3+up_Irr!AD3+up_Irr!BC3)),IF(AND(up_Irr!E3&lt;&gt;".",up_Irr!AD3&lt;&gt;".",up_Irr!BC3="."),up_dir!F3/((1/1000)*(up_Irr!E3+up_Irr!AD3)),IF(AND(up_Irr!E3&lt;&gt;".",up_Irr!AD3=".",up_Irr!BC3&lt;&gt;"."),up_dir!F3/((1/1000)*(up_Irr!E3+up_Irr!BC3)),IF(AND(up_Irr!E3=".",up_Irr!AD3&lt;&gt;".",up_Irr!BC3&lt;&gt;"."),up_dir!F3/((1/1000)*(up_Irr!AD3+up_Irr!BC3)),IF(AND(up_Irr!E3=".",up_Irr!AD3=".",up_Irr!BC3&lt;&gt;"."),up_dir!F3/((1/1000)*(up_Irr!BC3)),IF(AND(up_Irr!E3=".",up_Irr!AD3&lt;&gt;".",up_Irr!BC3="."),up_dir!F3/((1/1000)*(up_Irr!AD3)),IF(AND(up_Irr!E3&lt;&gt;".",up_Irr!AD3=".",up_Irr!BC3="."),up_dir!F3/((1/1000)*(up_Irr!E3)),IF(AND(up_Irr!E3=".",up_Irr!AD3=".",up_Irr!BC3="."),up_dir!F3*1000)))))))),".")</f>
        <v>6.5773651144152123E-11</v>
      </c>
      <c r="G3" s="76">
        <f>IFERROR(IF(AND(up_Irr!F3&lt;&gt;".",up_Irr!AE3&lt;&gt;".",up_Irr!BD3&lt;&gt;"."),up_dir!G3/((1/1000)*(up_Irr!F3+up_Irr!AE3+up_Irr!BD3)),IF(AND(up_Irr!F3&lt;&gt;".",up_Irr!AE3&lt;&gt;".",up_Irr!BD3="."),up_dir!G3/((1/1000)*(up_Irr!F3+up_Irr!AE3)),IF(AND(up_Irr!F3&lt;&gt;".",up_Irr!AE3=".",up_Irr!BD3&lt;&gt;"."),up_dir!G3/((1/1000)*(up_Irr!F3+up_Irr!BD3)),IF(AND(up_Irr!F3=".",up_Irr!AE3&lt;&gt;".",up_Irr!BD3&lt;&gt;"."),up_dir!G3/((1/1000)*(up_Irr!AE3+up_Irr!BD3)),IF(AND(up_Irr!F3=".",up_Irr!AE3=".",up_Irr!BD3&lt;&gt;"."),up_dir!G3/((1/1000)*(up_Irr!BD3)),IF(AND(up_Irr!F3=".",up_Irr!AE3&lt;&gt;".",up_Irr!BD3="."),up_dir!G3/((1/1000)*(up_Irr!AE3)),IF(AND(up_Irr!F3&lt;&gt;".",up_Irr!AE3=".",up_Irr!BD3="."),up_dir!G3/((1/1000)*(up_Irr!F3)),IF(AND(up_Irr!F3=".",up_Irr!AE3=".",up_Irr!BD3="."),up_dir!G3*1000)))))))),".")</f>
        <v>6.5773651144152123E-11</v>
      </c>
      <c r="H3" s="76">
        <f>IFERROR(IF(AND(up_Irr!G3&lt;&gt;".",up_Irr!AF3&lt;&gt;".",up_Irr!BE3&lt;&gt;"."),up_dir!H3/((1/1000)*(up_Irr!G3+up_Irr!AF3+up_Irr!BE3)),IF(AND(up_Irr!G3&lt;&gt;".",up_Irr!AF3&lt;&gt;".",up_Irr!BE3="."),up_dir!H3/((1/1000)*(up_Irr!G3+up_Irr!AF3)),IF(AND(up_Irr!G3&lt;&gt;".",up_Irr!AF3=".",up_Irr!BE3&lt;&gt;"."),up_dir!H3/((1/1000)*(up_Irr!G3+up_Irr!BE3)),IF(AND(up_Irr!G3=".",up_Irr!AF3&lt;&gt;".",up_Irr!BE3&lt;&gt;"."),up_dir!H3/((1/1000)*(up_Irr!AF3+up_Irr!BE3)),IF(AND(up_Irr!G3=".",up_Irr!AF3=".",up_Irr!BE3&lt;&gt;"."),up_dir!H3/((1/1000)*(up_Irr!BE3)),IF(AND(up_Irr!G3=".",up_Irr!AF3&lt;&gt;".",up_Irr!BE3="."),up_dir!H3/((1/1000)*(up_Irr!AF3)),IF(AND(up_Irr!G3&lt;&gt;".",up_Irr!AF3=".",up_Irr!BE3="."),up_dir!H3/((1/1000)*(up_Irr!G3)),IF(AND(up_Irr!G3=".",up_Irr!AF3=".",up_Irr!BE3="."),up_dir!H3*1000)))))))),".")</f>
        <v>6.5773651144152123E-11</v>
      </c>
      <c r="I3" s="76">
        <f>IFERROR(IF(AND(up_Irr!H3&lt;&gt;".",up_Irr!AG3&lt;&gt;".",up_Irr!BF3&lt;&gt;"."),up_dir!I3/((1/1000)*(up_Irr!H3+up_Irr!AG3+up_Irr!BF3)),IF(AND(up_Irr!H3&lt;&gt;".",up_Irr!AG3&lt;&gt;".",up_Irr!BF3="."),up_dir!I3/((1/1000)*(up_Irr!H3+up_Irr!AG3)),IF(AND(up_Irr!H3&lt;&gt;".",up_Irr!AG3=".",up_Irr!BF3&lt;&gt;"."),up_dir!I3/((1/1000)*(up_Irr!H3+up_Irr!BF3)),IF(AND(up_Irr!H3=".",up_Irr!AG3&lt;&gt;".",up_Irr!BF3&lt;&gt;"."),up_dir!I3/((1/1000)*(up_Irr!AG3+up_Irr!BF3)),IF(AND(up_Irr!H3=".",up_Irr!AG3=".",up_Irr!BF3&lt;&gt;"."),up_dir!I3/((1/1000)*(up_Irr!BF3)),IF(AND(up_Irr!H3=".",up_Irr!AG3&lt;&gt;".",up_Irr!BF3="."),up_dir!I3/((1/1000)*(up_Irr!AG3)),IF(AND(up_Irr!H3&lt;&gt;".",up_Irr!AG3=".",up_Irr!BF3="."),up_dir!I3/((1/1000)*(up_Irr!H3)),IF(AND(up_Irr!H3=".",up_Irr!AG3=".",up_Irr!BF3="."),up_dir!I3*1000)))))))),".")</f>
        <v>6.5773651144152123E-11</v>
      </c>
      <c r="J3" s="76">
        <f>IFERROR(IF(AND(up_Irr!I3&lt;&gt;".",up_Irr!AH3&lt;&gt;".",up_Irr!BG3&lt;&gt;"."),up_dir!J3/((1/1000)*(up_Irr!I3+up_Irr!AH3+up_Irr!BG3)),IF(AND(up_Irr!I3&lt;&gt;".",up_Irr!AH3&lt;&gt;".",up_Irr!BG3="."),up_dir!J3/((1/1000)*(up_Irr!I3+up_Irr!AH3)),IF(AND(up_Irr!I3&lt;&gt;".",up_Irr!AH3=".",up_Irr!BG3&lt;&gt;"."),up_dir!J3/((1/1000)*(up_Irr!I3+up_Irr!BG3)),IF(AND(up_Irr!I3=".",up_Irr!AH3&lt;&gt;".",up_Irr!BG3&lt;&gt;"."),up_dir!J3/((1/1000)*(up_Irr!AH3+up_Irr!BG3)),IF(AND(up_Irr!I3=".",up_Irr!AH3=".",up_Irr!BG3&lt;&gt;"."),up_dir!J3/((1/1000)*(up_Irr!BG3)),IF(AND(up_Irr!I3=".",up_Irr!AH3&lt;&gt;".",up_Irr!BG3="."),up_dir!J3/((1/1000)*(up_Irr!AH3)),IF(AND(up_Irr!I3&lt;&gt;".",up_Irr!AH3=".",up_Irr!BG3="."),up_dir!J3/((1/1000)*(up_Irr!I3)),IF(AND(up_Irr!I3=".",up_Irr!AH3=".",up_Irr!BG3="."),up_dir!J3*1000)))))))),".")</f>
        <v>6.5773651144152123E-11</v>
      </c>
      <c r="K3" s="76">
        <f>IFERROR(IF(AND(up_Irr!J3&lt;&gt;".",up_Irr!AI3&lt;&gt;".",up_Irr!BH3&lt;&gt;"."),up_dir!K3/((1/1000)*(up_Irr!J3+up_Irr!AI3+up_Irr!BH3)),IF(AND(up_Irr!J3&lt;&gt;".",up_Irr!AI3&lt;&gt;".",up_Irr!BH3="."),up_dir!K3/((1/1000)*(up_Irr!J3+up_Irr!AI3)),IF(AND(up_Irr!J3&lt;&gt;".",up_Irr!AI3=".",up_Irr!BH3&lt;&gt;"."),up_dir!K3/((1/1000)*(up_Irr!J3+up_Irr!BH3)),IF(AND(up_Irr!J3=".",up_Irr!AI3&lt;&gt;".",up_Irr!BH3&lt;&gt;"."),up_dir!K3/((1/1000)*(up_Irr!AI3+up_Irr!BH3)),IF(AND(up_Irr!J3=".",up_Irr!AI3=".",up_Irr!BH3&lt;&gt;"."),up_dir!K3/((1/1000)*(up_Irr!BH3)),IF(AND(up_Irr!J3=".",up_Irr!AI3&lt;&gt;".",up_Irr!BH3="."),up_dir!K3/((1/1000)*(up_Irr!AI3)),IF(AND(up_Irr!J3&lt;&gt;".",up_Irr!AI3=".",up_Irr!BH3="."),up_dir!K3/((1/1000)*(up_Irr!J3)),IF(AND(up_Irr!J3=".",up_Irr!AI3=".",up_Irr!BH3="."),up_dir!K3*1000)))))))),".")</f>
        <v>6.5773651144152123E-11</v>
      </c>
      <c r="L3" s="76">
        <f>IFERROR(IF(AND(up_Irr!K3&lt;&gt;".",up_Irr!AJ3&lt;&gt;".",up_Irr!BI3&lt;&gt;"."),up_dir!L3/((1/1000)*(up_Irr!K3+up_Irr!AJ3+up_Irr!BI3)),IF(AND(up_Irr!K3&lt;&gt;".",up_Irr!AJ3&lt;&gt;".",up_Irr!BI3="."),up_dir!L3/((1/1000)*(up_Irr!K3+up_Irr!AJ3)),IF(AND(up_Irr!K3&lt;&gt;".",up_Irr!AJ3=".",up_Irr!BI3&lt;&gt;"."),up_dir!L3/((1/1000)*(up_Irr!K3+up_Irr!BI3)),IF(AND(up_Irr!K3=".",up_Irr!AJ3&lt;&gt;".",up_Irr!BI3&lt;&gt;"."),up_dir!L3/((1/1000)*(up_Irr!AJ3+up_Irr!BI3)),IF(AND(up_Irr!K3=".",up_Irr!AJ3=".",up_Irr!BI3&lt;&gt;"."),up_dir!L3/((1/1000)*(up_Irr!BI3)),IF(AND(up_Irr!K3=".",up_Irr!AJ3&lt;&gt;".",up_Irr!BI3="."),up_dir!L3/((1/1000)*(up_Irr!AJ3)),IF(AND(up_Irr!K3&lt;&gt;".",up_Irr!AJ3=".",up_Irr!BI3="."),up_dir!L3/((1/1000)*(up_Irr!K3)),IF(AND(up_Irr!K3=".",up_Irr!AJ3=".",up_Irr!BI3="."),up_dir!L3*1000)))))))),".")</f>
        <v>6.5773651144152123E-11</v>
      </c>
      <c r="M3" s="76">
        <f>IFERROR(IF(AND(up_Irr!L3&lt;&gt;".",up_Irr!AK3&lt;&gt;".",up_Irr!BJ3&lt;&gt;"."),up_dir!M3/((1/1000)*(up_Irr!L3+up_Irr!AK3+up_Irr!BJ3)),IF(AND(up_Irr!L3&lt;&gt;".",up_Irr!AK3&lt;&gt;".",up_Irr!BJ3="."),up_dir!M3/((1/1000)*(up_Irr!L3+up_Irr!AK3)),IF(AND(up_Irr!L3&lt;&gt;".",up_Irr!AK3=".",up_Irr!BJ3&lt;&gt;"."),up_dir!M3/((1/1000)*(up_Irr!L3+up_Irr!BJ3)),IF(AND(up_Irr!L3=".",up_Irr!AK3&lt;&gt;".",up_Irr!BJ3&lt;&gt;"."),up_dir!M3/((1/1000)*(up_Irr!AK3+up_Irr!BJ3)),IF(AND(up_Irr!L3=".",up_Irr!AK3=".",up_Irr!BJ3&lt;&gt;"."),up_dir!M3/((1/1000)*(up_Irr!BJ3)),IF(AND(up_Irr!L3=".",up_Irr!AK3&lt;&gt;".",up_Irr!BJ3="."),up_dir!M3/((1/1000)*(up_Irr!AK3)),IF(AND(up_Irr!L3&lt;&gt;".",up_Irr!AK3=".",up_Irr!BJ3="."),up_dir!M3/((1/1000)*(up_Irr!L3)),IF(AND(up_Irr!L3=".",up_Irr!AK3=".",up_Irr!BJ3="."),up_dir!M3*1000)))))))),".")</f>
        <v>6.5773651144152123E-11</v>
      </c>
      <c r="N3" s="76">
        <f>IFERROR(IF(AND(up_Irr!M3&lt;&gt;".",up_Irr!AL3&lt;&gt;".",up_Irr!BK3&lt;&gt;"."),up_dir!N3/((1/1000)*(up_Irr!M3+up_Irr!AL3+up_Irr!BK3)),IF(AND(up_Irr!M3&lt;&gt;".",up_Irr!AL3&lt;&gt;".",up_Irr!BK3="."),up_dir!N3/((1/1000)*(up_Irr!M3+up_Irr!AL3)),IF(AND(up_Irr!M3&lt;&gt;".",up_Irr!AL3=".",up_Irr!BK3&lt;&gt;"."),up_dir!N3/((1/1000)*(up_Irr!M3+up_Irr!BK3)),IF(AND(up_Irr!M3=".",up_Irr!AL3&lt;&gt;".",up_Irr!BK3&lt;&gt;"."),up_dir!N3/((1/1000)*(up_Irr!AL3+up_Irr!BK3)),IF(AND(up_Irr!M3=".",up_Irr!AL3=".",up_Irr!BK3&lt;&gt;"."),up_dir!N3/((1/1000)*(up_Irr!BK3)),IF(AND(up_Irr!M3=".",up_Irr!AL3&lt;&gt;".",up_Irr!BK3="."),up_dir!N3/((1/1000)*(up_Irr!AL3)),IF(AND(up_Irr!M3&lt;&gt;".",up_Irr!AL3=".",up_Irr!BK3="."),up_dir!N3/((1/1000)*(up_Irr!M3)),IF(AND(up_Irr!M3=".",up_Irr!AL3=".",up_Irr!BK3="."),up_dir!N3*1000)))))))),".")</f>
        <v>6.5773651144152123E-11</v>
      </c>
      <c r="O3" s="76">
        <f>IFERROR(IF(AND(up_Irr!N3&lt;&gt;".",up_Irr!AM3&lt;&gt;".",up_Irr!BL3&lt;&gt;"."),up_dir!O3/((1/1000)*(up_Irr!N3+up_Irr!AM3+up_Irr!BL3)),IF(AND(up_Irr!N3&lt;&gt;".",up_Irr!AM3&lt;&gt;".",up_Irr!BL3="."),up_dir!O3/((1/1000)*(up_Irr!N3+up_Irr!AM3)),IF(AND(up_Irr!N3&lt;&gt;".",up_Irr!AM3=".",up_Irr!BL3&lt;&gt;"."),up_dir!O3/((1/1000)*(up_Irr!N3+up_Irr!BL3)),IF(AND(up_Irr!N3=".",up_Irr!AM3&lt;&gt;".",up_Irr!BL3&lt;&gt;"."),up_dir!O3/((1/1000)*(up_Irr!AM3+up_Irr!BL3)),IF(AND(up_Irr!N3=".",up_Irr!AM3=".",up_Irr!BL3&lt;&gt;"."),up_dir!O3/((1/1000)*(up_Irr!BL3)),IF(AND(up_Irr!N3=".",up_Irr!AM3&lt;&gt;".",up_Irr!BL3="."),up_dir!O3/((1/1000)*(up_Irr!AM3)),IF(AND(up_Irr!N3&lt;&gt;".",up_Irr!AM3=".",up_Irr!BL3="."),up_dir!O3/((1/1000)*(up_Irr!N3)),IF(AND(up_Irr!N3=".",up_Irr!AM3=".",up_Irr!BL3="."),up_dir!O3*1000)))))))),".")</f>
        <v>6.5773651144152123E-11</v>
      </c>
      <c r="P3" s="76">
        <f>IFERROR(IF(AND(up_Irr!O3&lt;&gt;".",up_Irr!AN3&lt;&gt;".",up_Irr!BM3&lt;&gt;"."),up_dir!P3/((1/1000)*(up_Irr!O3+up_Irr!AN3+up_Irr!BM3)),IF(AND(up_Irr!O3&lt;&gt;".",up_Irr!AN3&lt;&gt;".",up_Irr!BM3="."),up_dir!P3/((1/1000)*(up_Irr!O3+up_Irr!AN3)),IF(AND(up_Irr!O3&lt;&gt;".",up_Irr!AN3=".",up_Irr!BM3&lt;&gt;"."),up_dir!P3/((1/1000)*(up_Irr!O3+up_Irr!BM3)),IF(AND(up_Irr!O3=".",up_Irr!AN3&lt;&gt;".",up_Irr!BM3&lt;&gt;"."),up_dir!P3/((1/1000)*(up_Irr!AN3+up_Irr!BM3)),IF(AND(up_Irr!O3=".",up_Irr!AN3=".",up_Irr!BM3&lt;&gt;"."),up_dir!P3/((1/1000)*(up_Irr!BM3)),IF(AND(up_Irr!O3=".",up_Irr!AN3&lt;&gt;".",up_Irr!BM3="."),up_dir!P3/((1/1000)*(up_Irr!AN3)),IF(AND(up_Irr!O3&lt;&gt;".",up_Irr!AN3=".",up_Irr!BM3="."),up_dir!P3/((1/1000)*(up_Irr!O3)),IF(AND(up_Irr!O3=".",up_Irr!AN3=".",up_Irr!BM3="."),up_dir!P3*1000)))))))),".")</f>
        <v>6.5773651144152123E-11</v>
      </c>
      <c r="Q3" s="76">
        <f>IFERROR(IF(AND(up_Irr!P3&lt;&gt;".",up_Irr!AO3&lt;&gt;".",up_Irr!BN3&lt;&gt;"."),up_dir!Q3/((1/1000)*(up_Irr!P3+up_Irr!AO3+up_Irr!BN3)),IF(AND(up_Irr!P3&lt;&gt;".",up_Irr!AO3&lt;&gt;".",up_Irr!BN3="."),up_dir!Q3/((1/1000)*(up_Irr!P3+up_Irr!AO3)),IF(AND(up_Irr!P3&lt;&gt;".",up_Irr!AO3=".",up_Irr!BN3&lt;&gt;"."),up_dir!Q3/((1/1000)*(up_Irr!P3+up_Irr!BN3)),IF(AND(up_Irr!P3=".",up_Irr!AO3&lt;&gt;".",up_Irr!BN3&lt;&gt;"."),up_dir!Q3/((1/1000)*(up_Irr!AO3+up_Irr!BN3)),IF(AND(up_Irr!P3=".",up_Irr!AO3=".",up_Irr!BN3&lt;&gt;"."),up_dir!Q3/((1/1000)*(up_Irr!BN3)),IF(AND(up_Irr!P3=".",up_Irr!AO3&lt;&gt;".",up_Irr!BN3="."),up_dir!Q3/((1/1000)*(up_Irr!AO3)),IF(AND(up_Irr!P3&lt;&gt;".",up_Irr!AO3=".",up_Irr!BN3="."),up_dir!Q3/((1/1000)*(up_Irr!P3)),IF(AND(up_Irr!P3=".",up_Irr!AO3=".",up_Irr!BN3="."),up_dir!Q3*1000)))))))),".")</f>
        <v>6.5773651144152123E-11</v>
      </c>
      <c r="R3" s="76">
        <f>IFERROR(IF(AND(up_Irr!Q3&lt;&gt;".",up_Irr!AP3&lt;&gt;".",up_Irr!BO3&lt;&gt;"."),up_dir!R3/((1/1000)*(up_Irr!Q3+up_Irr!AP3+up_Irr!BO3)),IF(AND(up_Irr!Q3&lt;&gt;".",up_Irr!AP3&lt;&gt;".",up_Irr!BO3="."),up_dir!R3/((1/1000)*(up_Irr!Q3+up_Irr!AP3)),IF(AND(up_Irr!Q3&lt;&gt;".",up_Irr!AP3=".",up_Irr!BO3&lt;&gt;"."),up_dir!R3/((1/1000)*(up_Irr!Q3+up_Irr!BO3)),IF(AND(up_Irr!Q3=".",up_Irr!AP3&lt;&gt;".",up_Irr!BO3&lt;&gt;"."),up_dir!R3/((1/1000)*(up_Irr!AP3+up_Irr!BO3)),IF(AND(up_Irr!Q3=".",up_Irr!AP3=".",up_Irr!BO3&lt;&gt;"."),up_dir!R3/((1/1000)*(up_Irr!BO3)),IF(AND(up_Irr!Q3=".",up_Irr!AP3&lt;&gt;".",up_Irr!BO3="."),up_dir!R3/((1/1000)*(up_Irr!AP3)),IF(AND(up_Irr!Q3&lt;&gt;".",up_Irr!AP3=".",up_Irr!BO3="."),up_dir!R3/((1/1000)*(up_Irr!Q3)),IF(AND(up_Irr!Q3=".",up_Irr!AP3=".",up_Irr!BO3="."),up_dir!R3*1000)))))))),".")</f>
        <v>6.5773651144152123E-11</v>
      </c>
      <c r="S3" s="76">
        <f>IFERROR(IF(AND(up_Irr!R3&lt;&gt;".",up_Irr!AQ3&lt;&gt;".",up_Irr!BP3&lt;&gt;"."),up_dir!S3/((1/1000)*(up_Irr!R3+up_Irr!AQ3+up_Irr!BP3)),IF(AND(up_Irr!R3&lt;&gt;".",up_Irr!AQ3&lt;&gt;".",up_Irr!BP3="."),up_dir!S3/((1/1000)*(up_Irr!R3+up_Irr!AQ3)),IF(AND(up_Irr!R3&lt;&gt;".",up_Irr!AQ3=".",up_Irr!BP3&lt;&gt;"."),up_dir!S3/((1/1000)*(up_Irr!R3+up_Irr!BP3)),IF(AND(up_Irr!R3=".",up_Irr!AQ3&lt;&gt;".",up_Irr!BP3&lt;&gt;"."),up_dir!S3/((1/1000)*(up_Irr!AQ3+up_Irr!BP3)),IF(AND(up_Irr!R3=".",up_Irr!AQ3=".",up_Irr!BP3&lt;&gt;"."),up_dir!S3/((1/1000)*(up_Irr!BP3)),IF(AND(up_Irr!R3=".",up_Irr!AQ3&lt;&gt;".",up_Irr!BP3="."),up_dir!S3/((1/1000)*(up_Irr!AQ3)),IF(AND(up_Irr!R3&lt;&gt;".",up_Irr!AQ3=".",up_Irr!BP3="."),up_dir!S3/((1/1000)*(up_Irr!R3)),IF(AND(up_Irr!R3=".",up_Irr!AQ3=".",up_Irr!BP3="."),up_dir!S3*1000)))))))),".")</f>
        <v>6.5773651144152123E-11</v>
      </c>
      <c r="T3" s="76">
        <f>IFERROR(IF(AND(up_Irr!S3&lt;&gt;".",up_Irr!AR3&lt;&gt;".",up_Irr!BQ3&lt;&gt;"."),up_dir!T3/((1/1000)*(up_Irr!S3+up_Irr!AR3+up_Irr!BQ3)),IF(AND(up_Irr!S3&lt;&gt;".",up_Irr!AR3&lt;&gt;".",up_Irr!BQ3="."),up_dir!T3/((1/1000)*(up_Irr!S3+up_Irr!AR3)),IF(AND(up_Irr!S3&lt;&gt;".",up_Irr!AR3=".",up_Irr!BQ3&lt;&gt;"."),up_dir!T3/((1/1000)*(up_Irr!S3+up_Irr!BQ3)),IF(AND(up_Irr!S3=".",up_Irr!AR3&lt;&gt;".",up_Irr!BQ3&lt;&gt;"."),up_dir!T3/((1/1000)*(up_Irr!AR3+up_Irr!BQ3)),IF(AND(up_Irr!S3=".",up_Irr!AR3=".",up_Irr!BQ3&lt;&gt;"."),up_dir!T3/((1/1000)*(up_Irr!BQ3)),IF(AND(up_Irr!S3=".",up_Irr!AR3&lt;&gt;".",up_Irr!BQ3="."),up_dir!T3/((1/1000)*(up_Irr!AR3)),IF(AND(up_Irr!S3&lt;&gt;".",up_Irr!AR3=".",up_Irr!BQ3="."),up_dir!T3/((1/1000)*(up_Irr!S3)),IF(AND(up_Irr!S3=".",up_Irr!AR3=".",up_Irr!BQ3="."),up_dir!T3*1000)))))))),".")</f>
        <v>6.5773651144152123E-11</v>
      </c>
      <c r="U3" s="76">
        <f>IFERROR(IF(AND(up_Irr!T3&lt;&gt;".",up_Irr!AS3&lt;&gt;".",up_Irr!BR3&lt;&gt;"."),up_dir!U3/((1/1000)*(up_Irr!T3+up_Irr!AS3+up_Irr!BR3)),IF(AND(up_Irr!T3&lt;&gt;".",up_Irr!AS3&lt;&gt;".",up_Irr!BR3="."),up_dir!U3/((1/1000)*(up_Irr!T3+up_Irr!AS3)),IF(AND(up_Irr!T3&lt;&gt;".",up_Irr!AS3=".",up_Irr!BR3&lt;&gt;"."),up_dir!U3/((1/1000)*(up_Irr!T3+up_Irr!BR3)),IF(AND(up_Irr!T3=".",up_Irr!AS3&lt;&gt;".",up_Irr!BR3&lt;&gt;"."),up_dir!U3/((1/1000)*(up_Irr!AS3+up_Irr!BR3)),IF(AND(up_Irr!T3=".",up_Irr!AS3=".",up_Irr!BR3&lt;&gt;"."),up_dir!U3/((1/1000)*(up_Irr!BR3)),IF(AND(up_Irr!T3=".",up_Irr!AS3&lt;&gt;".",up_Irr!BR3="."),up_dir!U3/((1/1000)*(up_Irr!AS3)),IF(AND(up_Irr!T3&lt;&gt;".",up_Irr!AS3=".",up_Irr!BR3="."),up_dir!U3/((1/1000)*(up_Irr!T3)),IF(AND(up_Irr!T3=".",up_Irr!AS3=".",up_Irr!BR3="."),up_dir!U3*1000)))))))),".")</f>
        <v>6.5773651144152123E-11</v>
      </c>
      <c r="V3" s="76">
        <f>IFERROR(IF(AND(up_Irr!U3&lt;&gt;".",up_Irr!AT3&lt;&gt;".",up_Irr!BS3&lt;&gt;"."),up_dir!V3/((1/1000)*(up_Irr!U3+up_Irr!AT3+up_Irr!BS3)),IF(AND(up_Irr!U3&lt;&gt;".",up_Irr!AT3&lt;&gt;".",up_Irr!BS3="."),up_dir!V3/((1/1000)*(up_Irr!U3+up_Irr!AT3)),IF(AND(up_Irr!U3&lt;&gt;".",up_Irr!AT3=".",up_Irr!BS3&lt;&gt;"."),up_dir!V3/((1/1000)*(up_Irr!U3+up_Irr!BS3)),IF(AND(up_Irr!U3=".",up_Irr!AT3&lt;&gt;".",up_Irr!BS3&lt;&gt;"."),up_dir!V3/((1/1000)*(up_Irr!AT3+up_Irr!BS3)),IF(AND(up_Irr!U3=".",up_Irr!AT3=".",up_Irr!BS3&lt;&gt;"."),up_dir!V3/((1/1000)*(up_Irr!BS3)),IF(AND(up_Irr!U3=".",up_Irr!AT3&lt;&gt;".",up_Irr!BS3="."),up_dir!V3/((1/1000)*(up_Irr!AT3)),IF(AND(up_Irr!U3&lt;&gt;".",up_Irr!AT3=".",up_Irr!BS3="."),up_dir!V3/((1/1000)*(up_Irr!U3)),IF(AND(up_Irr!U3=".",up_Irr!AT3=".",up_Irr!BS3="."),up_dir!V3*1000)))))))),".")</f>
        <v>6.5773651144152123E-11</v>
      </c>
      <c r="W3" s="76">
        <f>IFERROR(IF(AND(up_Irr!V3&lt;&gt;".",up_Irr!AU3&lt;&gt;".",up_Irr!BT3&lt;&gt;"."),up_dir!W3/((1/1000)*(up_Irr!V3+up_Irr!AU3+up_Irr!BT3)),IF(AND(up_Irr!V3&lt;&gt;".",up_Irr!AU3&lt;&gt;".",up_Irr!BT3="."),up_dir!W3/((1/1000)*(up_Irr!V3+up_Irr!AU3)),IF(AND(up_Irr!V3&lt;&gt;".",up_Irr!AU3=".",up_Irr!BT3&lt;&gt;"."),up_dir!W3/((1/1000)*(up_Irr!V3+up_Irr!BT3)),IF(AND(up_Irr!V3=".",up_Irr!AU3&lt;&gt;".",up_Irr!BT3&lt;&gt;"."),up_dir!W3/((1/1000)*(up_Irr!AU3+up_Irr!BT3)),IF(AND(up_Irr!V3=".",up_Irr!AU3=".",up_Irr!BT3&lt;&gt;"."),up_dir!W3/((1/1000)*(up_Irr!BT3)),IF(AND(up_Irr!V3=".",up_Irr!AU3&lt;&gt;".",up_Irr!BT3="."),up_dir!W3/((1/1000)*(up_Irr!AU3)),IF(AND(up_Irr!V3&lt;&gt;".",up_Irr!AU3=".",up_Irr!BT3="."),up_dir!W3/((1/1000)*(up_Irr!V3)),IF(AND(up_Irr!V3=".",up_Irr!AU3=".",up_Irr!BT3="."),up_dir!W3*1000)))))))),".")</f>
        <v>6.5773651144152123E-11</v>
      </c>
      <c r="X3" s="76">
        <f>IFERROR(IF(AND(up_Irr!W3&lt;&gt;".",up_Irr!AV3&lt;&gt;".",up_Irr!BU3&lt;&gt;"."),up_dir!X3/((1/1000)*(up_Irr!W3+up_Irr!AV3+up_Irr!BU3)),IF(AND(up_Irr!W3&lt;&gt;".",up_Irr!AV3&lt;&gt;".",up_Irr!BU3="."),up_dir!X3/((1/1000)*(up_Irr!W3+up_Irr!AV3)),IF(AND(up_Irr!W3&lt;&gt;".",up_Irr!AV3=".",up_Irr!BU3&lt;&gt;"."),up_dir!X3/((1/1000)*(up_Irr!W3+up_Irr!BU3)),IF(AND(up_Irr!W3=".",up_Irr!AV3&lt;&gt;".",up_Irr!BU3&lt;&gt;"."),up_dir!X3/((1/1000)*(up_Irr!AV3+up_Irr!BU3)),IF(AND(up_Irr!W3=".",up_Irr!AV3=".",up_Irr!BU3&lt;&gt;"."),up_dir!X3/((1/1000)*(up_Irr!BU3)),IF(AND(up_Irr!W3=".",up_Irr!AV3&lt;&gt;".",up_Irr!BU3="."),up_dir!X3/((1/1000)*(up_Irr!AV3)),IF(AND(up_Irr!W3&lt;&gt;".",up_Irr!AV3=".",up_Irr!BU3="."),up_dir!X3/((1/1000)*(up_Irr!W3)),IF(AND(up_Irr!W3=".",up_Irr!AV3=".",up_Irr!BU3="."),up_dir!X3*1000)))))))),".")</f>
        <v>6.5773651144152123E-11</v>
      </c>
      <c r="Y3" s="76">
        <f>IFERROR(IF(AND(up_Irr!X3&lt;&gt;".",up_Irr!AW3&lt;&gt;".",up_Irr!BV3&lt;&gt;"."),up_dir!Y3/((1/1000)*(up_Irr!X3+up_Irr!AW3+up_Irr!BV3)),IF(AND(up_Irr!X3&lt;&gt;".",up_Irr!AW3&lt;&gt;".",up_Irr!BV3="."),up_dir!Y3/((1/1000)*(up_Irr!X3+up_Irr!AW3)),IF(AND(up_Irr!X3&lt;&gt;".",up_Irr!AW3=".",up_Irr!BV3&lt;&gt;"."),up_dir!Y3/((1/1000)*(up_Irr!X3+up_Irr!BV3)),IF(AND(up_Irr!X3=".",up_Irr!AW3&lt;&gt;".",up_Irr!BV3&lt;&gt;"."),up_dir!Y3/((1/1000)*(up_Irr!AW3+up_Irr!BV3)),IF(AND(up_Irr!X3=".",up_Irr!AW3=".",up_Irr!BV3&lt;&gt;"."),up_dir!Y3/((1/1000)*(up_Irr!BV3)),IF(AND(up_Irr!X3=".",up_Irr!AW3&lt;&gt;".",up_Irr!BV3="."),up_dir!Y3/((1/1000)*(up_Irr!AW3)),IF(AND(up_Irr!X3&lt;&gt;".",up_Irr!AW3=".",up_Irr!BV3="."),up_dir!Y3/((1/1000)*(up_Irr!X3)),IF(AND(up_Irr!X3=".",up_Irr!AW3=".",up_Irr!BV3="."),up_dir!Y3*1000)))))))),".")</f>
        <v>6.5773651144152123E-11</v>
      </c>
      <c r="Z3" s="76">
        <f>IFERROR(IF(AND(up_Irr!Y3&lt;&gt;".",up_Irr!AX3&lt;&gt;".",up_Irr!BW3&lt;&gt;"."),up_dir!Z3/((1/1000)*(up_Irr!Y3+up_Irr!AX3+up_Irr!BW3)),IF(AND(up_Irr!Y3&lt;&gt;".",up_Irr!AX3&lt;&gt;".",up_Irr!BW3="."),up_dir!Z3/((1/1000)*(up_Irr!Y3+up_Irr!AX3)),IF(AND(up_Irr!Y3&lt;&gt;".",up_Irr!AX3=".",up_Irr!BW3&lt;&gt;"."),up_dir!Z3/((1/1000)*(up_Irr!Y3+up_Irr!BW3)),IF(AND(up_Irr!Y3=".",up_Irr!AX3&lt;&gt;".",up_Irr!BW3&lt;&gt;"."),up_dir!Z3/((1/1000)*(up_Irr!AX3+up_Irr!BW3)),IF(AND(up_Irr!Y3=".",up_Irr!AX3=".",up_Irr!BW3&lt;&gt;"."),up_dir!Z3/((1/1000)*(up_Irr!BW3)),IF(AND(up_Irr!Y3=".",up_Irr!AX3&lt;&gt;".",up_Irr!BW3="."),up_dir!Z3/((1/1000)*(up_Irr!AX3)),IF(AND(up_Irr!Y3&lt;&gt;".",up_Irr!AX3=".",up_Irr!BW3="."),up_dir!Z3/((1/1000)*(up_Irr!Y3)),IF(AND(up_Irr!Y3=".",up_Irr!AX3=".",up_Irr!BW3="."),up_dir!Z3*1000)))))))),".")</f>
        <v>6.5773651144152123E-11</v>
      </c>
      <c r="AA3" s="76">
        <f>IFERROR(IF(AND(up_Irr!Z3&lt;&gt;".",up_Irr!AY3&lt;&gt;".",up_Irr!BX3&lt;&gt;"."),up_dir!AA3/((1/1000)*(up_Irr!Z3+up_Irr!AY3+up_Irr!BX3)),IF(AND(up_Irr!Z3&lt;&gt;".",up_Irr!AY3&lt;&gt;".",up_Irr!BX3="."),up_dir!AA3/((1/1000)*(up_Irr!Z3+up_Irr!AY3)),IF(AND(up_Irr!Z3&lt;&gt;".",up_Irr!AY3=".",up_Irr!BX3&lt;&gt;"."),up_dir!AA3/((1/1000)*(up_Irr!Z3+up_Irr!BX3)),IF(AND(up_Irr!Z3=".",up_Irr!AY3&lt;&gt;".",up_Irr!BX3&lt;&gt;"."),up_dir!AA3/((1/1000)*(up_Irr!AY3+up_Irr!BX3)),IF(AND(up_Irr!Z3=".",up_Irr!AY3=".",up_Irr!BX3&lt;&gt;"."),up_dir!AA3/((1/1000)*(up_Irr!BX3)),IF(AND(up_Irr!Z3=".",up_Irr!AY3&lt;&gt;".",up_Irr!BX3="."),up_dir!AA3/((1/1000)*(up_Irr!AY3)),IF(AND(up_Irr!Z3&lt;&gt;".",up_Irr!AY3=".",up_Irr!BX3="."),up_dir!AA3/((1/1000)*(up_Irr!Z3)),IF(AND(up_Irr!Z3=".",up_Irr!AY3=".",up_Irr!BX3="."),up_dir!AA3*1000)))))))),".")</f>
        <v>6.5773651144152123E-11</v>
      </c>
      <c r="AB3" s="76">
        <f>IFERROR(IF(AND(up_Irr!AA3&lt;&gt;".",up_Irr!AZ3&lt;&gt;".",up_Irr!BY3&lt;&gt;"."),up_dir!AB3/((1/1000)*(up_Irr!AA3+up_Irr!AZ3+up_Irr!BY3)),IF(AND(up_Irr!AA3&lt;&gt;".",up_Irr!AZ3&lt;&gt;".",up_Irr!BY3="."),up_dir!AB3/((1/1000)*(up_Irr!AA3+up_Irr!AZ3)),IF(AND(up_Irr!AA3&lt;&gt;".",up_Irr!AZ3=".",up_Irr!BY3&lt;&gt;"."),up_dir!AB3/((1/1000)*(up_Irr!AA3+up_Irr!BY3)),IF(AND(up_Irr!AA3=".",up_Irr!AZ3&lt;&gt;".",up_Irr!BY3&lt;&gt;"."),up_dir!AB3/((1/1000)*(up_Irr!AZ3+up_Irr!BY3)),IF(AND(up_Irr!AA3=".",up_Irr!AZ3=".",up_Irr!BY3&lt;&gt;"."),up_dir!AB3/((1/1000)*(up_Irr!BY3)),IF(AND(up_Irr!AA3=".",up_Irr!AZ3&lt;&gt;".",up_Irr!BY3="."),up_dir!AB3/((1/1000)*(up_Irr!AZ3)),IF(AND(up_Irr!AA3&lt;&gt;".",up_Irr!AZ3=".",up_Irr!BY3="."),up_dir!AB3/((1/1000)*(up_Irr!AA3)),IF(AND(up_Irr!AA3=".",up_Irr!AZ3=".",up_Irr!BY3="."),up_dir!AB3*1000)))))))),".")</f>
        <v>6.5773651144152123E-11</v>
      </c>
      <c r="AC3" s="93">
        <f t="shared" ref="AC3:AC66" si="1">SUM(AD3,AU3,BA3:BB3)</f>
        <v>608146.26076229871</v>
      </c>
      <c r="AD3" s="93">
        <f>IFERROR(s_C*s_IFAP_res_adj*s_CF_apple*0.001*(up_Irr!C3+up_Irr!AB3+up_Irr!BA3),".")</f>
        <v>152036.56519057468</v>
      </c>
      <c r="AE3" s="93">
        <f>IFERROR(s_C*s_IFAS_res_adj*s_CF_asparagus*0.001*(up_Irr!D3+up_Irr!AC3+up_Irr!BB3),".")</f>
        <v>152036.56519057468</v>
      </c>
      <c r="AF3" s="93">
        <f>IFERROR(s_C*s_IFBT_res_adj*s_CF_beet*0.001*(up_Irr!E3+up_Irr!AD3+up_Irr!BC3),".")</f>
        <v>152036.56519057468</v>
      </c>
      <c r="AG3" s="93">
        <f>IFERROR(s_C*s_IFBE_res_adj*s_CF_berries*0.001*(up_Irr!F3+up_Irr!AE3+up_Irr!BD3),".")</f>
        <v>152036.56519057468</v>
      </c>
      <c r="AH3" s="93">
        <f>IFERROR(s_C*s_IFBR_res_adj*s_CF_broccoli*0.001*(up_Irr!G3+up_Irr!AF3+up_Irr!BE3),".")</f>
        <v>152036.56519057468</v>
      </c>
      <c r="AI3" s="93">
        <f>IFERROR(s_C*s_IFCB_res_adj*s_CF_cabbage*0.001*(up_Irr!H3+up_Irr!AG3+up_Irr!BF3),".")</f>
        <v>152036.56519057468</v>
      </c>
      <c r="AJ3" s="93">
        <f>IFERROR(s_C*s_IFCR_res_adj*s_CF_carrot*0.001*(up_Irr!I3+up_Irr!AH3+up_Irr!BG3),".")</f>
        <v>152036.56519057468</v>
      </c>
      <c r="AK3" s="93">
        <f>IFERROR(s_C*s_IFCI_res_adj*s_CF_citrus*0.001*(up_Irr!J3+up_Irr!AI3+up_Irr!BH3),".")</f>
        <v>152036.56519057468</v>
      </c>
      <c r="AL3" s="93">
        <f>IFERROR(s_C*s_IFCO_res_adj*s_CF_corn*0.001*(up_Irr!K3+up_Irr!AJ3+up_Irr!BI3),".")</f>
        <v>152036.56519057468</v>
      </c>
      <c r="AM3" s="93">
        <f>IFERROR(s_C*s_IFCU_res_adj*s_CF_cucumber*0.001*(up_Irr!L3+up_Irr!AK3+up_Irr!BJ3),".")</f>
        <v>152036.56519057468</v>
      </c>
      <c r="AN3" s="93">
        <f>IFERROR(s_C*s_IFLE_res_adj*s_CF_lettuce*0.001*(up_Irr!M3+up_Irr!AL3+up_Irr!BK3),".")</f>
        <v>152036.56519057468</v>
      </c>
      <c r="AO3" s="93">
        <f>IFERROR(s_C*s_IFLI_res_adj*s_CF_lima_bean*0.001*(up_Irr!N3+up_Irr!AM3+up_Irr!BL3),".")</f>
        <v>152036.56519057468</v>
      </c>
      <c r="AP3" s="93">
        <f>IFERROR(s_C*s_IFOK_res_adj*s_CF_okra*0.001*(up_Irr!O3+up_Irr!AN3+up_Irr!BM3),".")</f>
        <v>152036.56519057468</v>
      </c>
      <c r="AQ3" s="93">
        <f>IFERROR(s_C*s_IFON_res_adj*s_CF_onion*0.001*(up_Irr!P3+up_Irr!AO3+up_Irr!BN3),".")</f>
        <v>152036.56519057468</v>
      </c>
      <c r="AR3" s="93">
        <f>IFERROR(s_C*s_IFPC_res_adj*s_CF_peach*0.001*(up_Irr!Q3+up_Irr!AP3+up_Irr!BO3),".")</f>
        <v>152036.56519057468</v>
      </c>
      <c r="AS3" s="93">
        <f>IFERROR(s_C*s_IFPR_res_adj*s_CF_pear*0.001*(up_Irr!R3+up_Irr!AQ3+up_Irr!BP3),".")</f>
        <v>152036.56519057468</v>
      </c>
      <c r="AT3" s="93">
        <f>IFERROR(s_C*s_IFPE_res_adj*s_CF_peas*0.001*(up_Irr!S3+up_Irr!AR3+up_Irr!BQ3),".")</f>
        <v>152036.56519057468</v>
      </c>
      <c r="AU3" s="93">
        <f>IFERROR(s_C*s_IFPP_res_adj*s_CF_peppers*0.001*(up_Irr!T3+up_Irr!AS3+up_Irr!BR3),".")</f>
        <v>152036.56519057468</v>
      </c>
      <c r="AV3" s="93">
        <f>IFERROR(s_C*s_IFPT_res_adj*s_CF_potato*0.001*(up_Irr!U3+up_Irr!AT3+up_Irr!BS3),".")</f>
        <v>152036.56519057468</v>
      </c>
      <c r="AW3" s="93">
        <f>IFERROR(s_C*s_IFPU_res_adj*s_CF_pumpkin*0.001*(up_Irr!V3+up_Irr!AU3+up_Irr!BT3),".")</f>
        <v>152036.56519057468</v>
      </c>
      <c r="AX3" s="93">
        <f>IFERROR(s_C*s_IFSN_res_adj*s_CF_snap_bean*0.001*(up_Irr!W3+up_Irr!AV3+up_Irr!BU3),".")</f>
        <v>152036.56519057468</v>
      </c>
      <c r="AY3" s="93">
        <f>IFERROR(s_C*s_IFST_res_adj*s_CF_strawberry*0.001*(up_Irr!X3+up_Irr!AW3+up_Irr!BV3),".")</f>
        <v>152036.56519057468</v>
      </c>
      <c r="AZ3" s="93">
        <f>IFERROR(s_C*s_IFTO_res_adj*s_CF_tomato*0.001*(up_Irr!Y3+up_Irr!AX3+up_Irr!BW3),".")</f>
        <v>152036.56519057468</v>
      </c>
      <c r="BA3" s="93">
        <f>IFERROR(s_C*s_IFRI_res_adj*s_CF_rice*0.001*(up_Irr!Z3+up_Irr!AY3+up_Irr!BX3),".")</f>
        <v>152036.56519057468</v>
      </c>
      <c r="BB3" s="93">
        <f>IFERROR(s_C*s_IFCG_res_adj*s_CF_cereal*0.001*(up_Irr!AA3+up_Irr!AZ3+up_Irr!BY3),".")</f>
        <v>152036.56519057468</v>
      </c>
      <c r="BC3" s="76">
        <f t="shared" ref="BC3:BC30" si="2">IFERROR(1/SUM(1/BD3,1/BU3,1/CA3,1/CB3),".")</f>
        <v>1.6443412786038031E-11</v>
      </c>
      <c r="BD3" s="76">
        <f>IFERROR(IF(AND(up_Irr!C3&lt;&gt;".",up_Irr!AB3&lt;&gt;".",up_Irr!BA3&lt;&gt;"."),up_dir!AD3/((1/1000)*(up_Irr!C3+up_Irr!AB3+up_Irr!BA3)),IF(AND(up_Irr!C3&lt;&gt;".",up_Irr!AB3&lt;&gt;".",up_Irr!BA3="."),up_dir!AD3/((1/1000)*(up_Irr!C3+up_Irr!AB3)),IF(AND(up_Irr!C3&lt;&gt;".",up_Irr!AB3=".",up_Irr!BA3&lt;&gt;"."),up_dir!AD3/((1/1000)*(up_Irr!C3+up_Irr!BA3)),IF(AND(up_Irr!C3=".",up_Irr!AB3&lt;&gt;".",up_Irr!BA3&lt;&gt;"."),up_dir!AD3/((1/1000)*(up_Irr!AB3+up_Irr!BA3)),IF(AND(up_Irr!C3=".",up_Irr!AB3=".",up_Irr!BA3&lt;&gt;"."),up_dir!AD3/((1/1000)*(up_Irr!BA3)),IF(AND(up_Irr!C3=".",up_Irr!AB3&lt;&gt;".",up_Irr!BA3="."),up_dir!AD3/((1/1000)*(up_Irr!AB3)),IF(AND(up_Irr!C3&lt;&gt;".",up_Irr!AB3=".",up_Irr!BA3="."),up_dir!AD3/((1/1000)*(up_Irr!C3)),IF(AND(up_Irr!C3=".",up_Irr!AB3=".",up_Irr!BA3="."),up_dir!AD3*1000)))))))),".")</f>
        <v>6.5773651144152123E-11</v>
      </c>
      <c r="BE3" s="76">
        <f>IFERROR(IF(AND(up_Irr!D3&lt;&gt;".",up_Irr!AC3&lt;&gt;".",up_Irr!BB3&lt;&gt;"."),up_dir!AE3/((1/1000)*(up_Irr!D3+up_Irr!AC3+up_Irr!BB3)),IF(AND(up_Irr!D3&lt;&gt;".",up_Irr!AC3&lt;&gt;".",up_Irr!BB3="."),up_dir!AE3/((1/1000)*(up_Irr!D3+up_Irr!AC3)),IF(AND(up_Irr!D3&lt;&gt;".",up_Irr!AC3=".",up_Irr!BB3&lt;&gt;"."),up_dir!AE3/((1/1000)*(up_Irr!D3+up_Irr!BB3)),IF(AND(up_Irr!D3=".",up_Irr!AC3&lt;&gt;".",up_Irr!BB3&lt;&gt;"."),up_dir!AE3/((1/1000)*(up_Irr!AC3+up_Irr!BB3)),IF(AND(up_Irr!D3=".",up_Irr!AC3=".",up_Irr!BB3&lt;&gt;"."),up_dir!AE3/((1/1000)*(up_Irr!BB3)),IF(AND(up_Irr!D3=".",up_Irr!AC3&lt;&gt;".",up_Irr!BB3="."),up_dir!AE3/((1/1000)*(up_Irr!AC3)),IF(AND(up_Irr!D3&lt;&gt;".",up_Irr!AC3=".",up_Irr!BB3="."),up_dir!AE3/((1/1000)*(up_Irr!D3)),IF(AND(up_Irr!D3=".",up_Irr!AC3=".",up_Irr!BB3="."),up_dir!AE3*1000)))))))),".")</f>
        <v>6.5773651144152123E-11</v>
      </c>
      <c r="BF3" s="76">
        <f>IFERROR(IF(AND(up_Irr!E3&lt;&gt;".",up_Irr!AD3&lt;&gt;".",up_Irr!BC3&lt;&gt;"."),up_dir!AF3/((1/1000)*(up_Irr!E3+up_Irr!AD3+up_Irr!BC3)),IF(AND(up_Irr!E3&lt;&gt;".",up_Irr!AD3&lt;&gt;".",up_Irr!BC3="."),up_dir!AF3/((1/1000)*(up_Irr!E3+up_Irr!AD3)),IF(AND(up_Irr!E3&lt;&gt;".",up_Irr!AD3=".",up_Irr!BC3&lt;&gt;"."),up_dir!AF3/((1/1000)*(up_Irr!E3+up_Irr!BC3)),IF(AND(up_Irr!E3=".",up_Irr!AD3&lt;&gt;".",up_Irr!BC3&lt;&gt;"."),up_dir!AF3/((1/1000)*(up_Irr!AD3+up_Irr!BC3)),IF(AND(up_Irr!E3=".",up_Irr!AD3=".",up_Irr!BC3&lt;&gt;"."),up_dir!AF3/((1/1000)*(up_Irr!BC3)),IF(AND(up_Irr!E3=".",up_Irr!AD3&lt;&gt;".",up_Irr!BC3="."),up_dir!AF3/((1/1000)*(up_Irr!AD3)),IF(AND(up_Irr!E3&lt;&gt;".",up_Irr!AD3=".",up_Irr!BC3="."),up_dir!AF3/((1/1000)*(up_Irr!E3)),IF(AND(up_Irr!E3=".",up_Irr!AD3=".",up_Irr!BC3="."),up_dir!AF3*1000)))))))),".")</f>
        <v>6.5773651144152123E-11</v>
      </c>
      <c r="BG3" s="76">
        <f>IFERROR(IF(AND(up_Irr!F3&lt;&gt;".",up_Irr!AE3&lt;&gt;".",up_Irr!BD3&lt;&gt;"."),up_dir!AG3/((1/1000)*(up_Irr!F3+up_Irr!AE3+up_Irr!BD3)),IF(AND(up_Irr!F3&lt;&gt;".",up_Irr!AE3&lt;&gt;".",up_Irr!BD3="."),up_dir!AG3/((1/1000)*(up_Irr!F3+up_Irr!AE3)),IF(AND(up_Irr!F3&lt;&gt;".",up_Irr!AE3=".",up_Irr!BD3&lt;&gt;"."),up_dir!AG3/((1/1000)*(up_Irr!F3+up_Irr!BD3)),IF(AND(up_Irr!F3=".",up_Irr!AE3&lt;&gt;".",up_Irr!BD3&lt;&gt;"."),up_dir!AG3/((1/1000)*(up_Irr!AE3+up_Irr!BD3)),IF(AND(up_Irr!F3=".",up_Irr!AE3=".",up_Irr!BD3&lt;&gt;"."),up_dir!AG3/((1/1000)*(up_Irr!BD3)),IF(AND(up_Irr!F3=".",up_Irr!AE3&lt;&gt;".",up_Irr!BD3="."),up_dir!AG3/((1/1000)*(up_Irr!AE3)),IF(AND(up_Irr!F3&lt;&gt;".",up_Irr!AE3=".",up_Irr!BD3="."),up_dir!AG3/((1/1000)*(up_Irr!F3)),IF(AND(up_Irr!F3=".",up_Irr!AE3=".",up_Irr!BD3="."),up_dir!AG3*1000)))))))),".")</f>
        <v>6.5773651144152123E-11</v>
      </c>
      <c r="BH3" s="76">
        <f>IFERROR(IF(AND(up_Irr!G3&lt;&gt;".",up_Irr!AF3&lt;&gt;".",up_Irr!BE3&lt;&gt;"."),up_dir!AH3/((1/1000)*(up_Irr!G3+up_Irr!AF3+up_Irr!BE3)),IF(AND(up_Irr!G3&lt;&gt;".",up_Irr!AF3&lt;&gt;".",up_Irr!BE3="."),up_dir!AH3/((1/1000)*(up_Irr!G3+up_Irr!AF3)),IF(AND(up_Irr!G3&lt;&gt;".",up_Irr!AF3=".",up_Irr!BE3&lt;&gt;"."),up_dir!AH3/((1/1000)*(up_Irr!G3+up_Irr!BE3)),IF(AND(up_Irr!G3=".",up_Irr!AF3&lt;&gt;".",up_Irr!BE3&lt;&gt;"."),up_dir!AH3/((1/1000)*(up_Irr!AF3+up_Irr!BE3)),IF(AND(up_Irr!G3=".",up_Irr!AF3=".",up_Irr!BE3&lt;&gt;"."),up_dir!AH3/((1/1000)*(up_Irr!BE3)),IF(AND(up_Irr!G3=".",up_Irr!AF3&lt;&gt;".",up_Irr!BE3="."),up_dir!AH3/((1/1000)*(up_Irr!AF3)),IF(AND(up_Irr!G3&lt;&gt;".",up_Irr!AF3=".",up_Irr!BE3="."),up_dir!AH3/((1/1000)*(up_Irr!G3)),IF(AND(up_Irr!G3=".",up_Irr!AF3=".",up_Irr!BE3="."),up_dir!AH3*1000)))))))),".")</f>
        <v>6.5773651144152123E-11</v>
      </c>
      <c r="BI3" s="76">
        <f>IFERROR(IF(AND(up_Irr!H3&lt;&gt;".",up_Irr!AG3&lt;&gt;".",up_Irr!BF3&lt;&gt;"."),up_dir!AI3/((1/1000)*(up_Irr!H3+up_Irr!AG3+up_Irr!BF3)),IF(AND(up_Irr!H3&lt;&gt;".",up_Irr!AG3&lt;&gt;".",up_Irr!BF3="."),up_dir!AI3/((1/1000)*(up_Irr!H3+up_Irr!AG3)),IF(AND(up_Irr!H3&lt;&gt;".",up_Irr!AG3=".",up_Irr!BF3&lt;&gt;"."),up_dir!AI3/((1/1000)*(up_Irr!H3+up_Irr!BF3)),IF(AND(up_Irr!H3=".",up_Irr!AG3&lt;&gt;".",up_Irr!BF3&lt;&gt;"."),up_dir!AI3/((1/1000)*(up_Irr!AG3+up_Irr!BF3)),IF(AND(up_Irr!H3=".",up_Irr!AG3=".",up_Irr!BF3&lt;&gt;"."),up_dir!AI3/((1/1000)*(up_Irr!BF3)),IF(AND(up_Irr!H3=".",up_Irr!AG3&lt;&gt;".",up_Irr!BF3="."),up_dir!AI3/((1/1000)*(up_Irr!AG3)),IF(AND(up_Irr!H3&lt;&gt;".",up_Irr!AG3=".",up_Irr!BF3="."),up_dir!AI3/((1/1000)*(up_Irr!H3)),IF(AND(up_Irr!H3=".",up_Irr!AG3=".",up_Irr!BF3="."),up_dir!AI3*1000)))))))),".")</f>
        <v>6.5773651144152123E-11</v>
      </c>
      <c r="BJ3" s="76">
        <f>IFERROR(IF(AND(up_Irr!I3&lt;&gt;".",up_Irr!AH3&lt;&gt;".",up_Irr!BG3&lt;&gt;"."),up_dir!AJ3/((1/1000)*(up_Irr!I3+up_Irr!AH3+up_Irr!BG3)),IF(AND(up_Irr!I3&lt;&gt;".",up_Irr!AH3&lt;&gt;".",up_Irr!BG3="."),up_dir!AJ3/((1/1000)*(up_Irr!I3+up_Irr!AH3)),IF(AND(up_Irr!I3&lt;&gt;".",up_Irr!AH3=".",up_Irr!BG3&lt;&gt;"."),up_dir!AJ3/((1/1000)*(up_Irr!I3+up_Irr!BG3)),IF(AND(up_Irr!I3=".",up_Irr!AH3&lt;&gt;".",up_Irr!BG3&lt;&gt;"."),up_dir!AJ3/((1/1000)*(up_Irr!AH3+up_Irr!BG3)),IF(AND(up_Irr!I3=".",up_Irr!AH3=".",up_Irr!BG3&lt;&gt;"."),up_dir!AJ3/((1/1000)*(up_Irr!BG3)),IF(AND(up_Irr!I3=".",up_Irr!AH3&lt;&gt;".",up_Irr!BG3="."),up_dir!AJ3/((1/1000)*(up_Irr!AH3)),IF(AND(up_Irr!I3&lt;&gt;".",up_Irr!AH3=".",up_Irr!BG3="."),up_dir!AJ3/((1/1000)*(up_Irr!I3)),IF(AND(up_Irr!I3=".",up_Irr!AH3=".",up_Irr!BG3="."),up_dir!AJ3*1000)))))))),".")</f>
        <v>6.5773651144152123E-11</v>
      </c>
      <c r="BK3" s="76">
        <f>IFERROR(IF(AND(up_Irr!J3&lt;&gt;".",up_Irr!AI3&lt;&gt;".",up_Irr!BH3&lt;&gt;"."),up_dir!AK3/((1/1000)*(up_Irr!J3+up_Irr!AI3+up_Irr!BH3)),IF(AND(up_Irr!J3&lt;&gt;".",up_Irr!AI3&lt;&gt;".",up_Irr!BH3="."),up_dir!AK3/((1/1000)*(up_Irr!J3+up_Irr!AI3)),IF(AND(up_Irr!J3&lt;&gt;".",up_Irr!AI3=".",up_Irr!BH3&lt;&gt;"."),up_dir!AK3/((1/1000)*(up_Irr!J3+up_Irr!BH3)),IF(AND(up_Irr!J3=".",up_Irr!AI3&lt;&gt;".",up_Irr!BH3&lt;&gt;"."),up_dir!AK3/((1/1000)*(up_Irr!AI3+up_Irr!BH3)),IF(AND(up_Irr!J3=".",up_Irr!AI3=".",up_Irr!BH3&lt;&gt;"."),up_dir!AK3/((1/1000)*(up_Irr!BH3)),IF(AND(up_Irr!J3=".",up_Irr!AI3&lt;&gt;".",up_Irr!BH3="."),up_dir!AK3/((1/1000)*(up_Irr!AI3)),IF(AND(up_Irr!J3&lt;&gt;".",up_Irr!AI3=".",up_Irr!BH3="."),up_dir!AK3/((1/1000)*(up_Irr!J3)),IF(AND(up_Irr!J3=".",up_Irr!AI3=".",up_Irr!BH3="."),up_dir!AK3*1000)))))))),".")</f>
        <v>6.5773651144152123E-11</v>
      </c>
      <c r="BL3" s="76">
        <f>IFERROR(IF(AND(up_Irr!K3&lt;&gt;".",up_Irr!AJ3&lt;&gt;".",up_Irr!BI3&lt;&gt;"."),up_dir!AL3/((1/1000)*(up_Irr!K3+up_Irr!AJ3+up_Irr!BI3)),IF(AND(up_Irr!K3&lt;&gt;".",up_Irr!AJ3&lt;&gt;".",up_Irr!BI3="."),up_dir!AL3/((1/1000)*(up_Irr!K3+up_Irr!AJ3)),IF(AND(up_Irr!K3&lt;&gt;".",up_Irr!AJ3=".",up_Irr!BI3&lt;&gt;"."),up_dir!AL3/((1/1000)*(up_Irr!K3+up_Irr!BI3)),IF(AND(up_Irr!K3=".",up_Irr!AJ3&lt;&gt;".",up_Irr!BI3&lt;&gt;"."),up_dir!AL3/((1/1000)*(up_Irr!AJ3+up_Irr!BI3)),IF(AND(up_Irr!K3=".",up_Irr!AJ3=".",up_Irr!BI3&lt;&gt;"."),up_dir!AL3/((1/1000)*(up_Irr!BI3)),IF(AND(up_Irr!K3=".",up_Irr!AJ3&lt;&gt;".",up_Irr!BI3="."),up_dir!AL3/((1/1000)*(up_Irr!AJ3)),IF(AND(up_Irr!K3&lt;&gt;".",up_Irr!AJ3=".",up_Irr!BI3="."),up_dir!AL3/((1/1000)*(up_Irr!K3)),IF(AND(up_Irr!K3=".",up_Irr!AJ3=".",up_Irr!BI3="."),up_dir!AL3*1000)))))))),".")</f>
        <v>6.5773651144152123E-11</v>
      </c>
      <c r="BM3" s="76">
        <f>IFERROR(IF(AND(up_Irr!L3&lt;&gt;".",up_Irr!AK3&lt;&gt;".",up_Irr!BJ3&lt;&gt;"."),up_dir!AM3/((1/1000)*(up_Irr!L3+up_Irr!AK3+up_Irr!BJ3)),IF(AND(up_Irr!L3&lt;&gt;".",up_Irr!AK3&lt;&gt;".",up_Irr!BJ3="."),up_dir!AM3/((1/1000)*(up_Irr!L3+up_Irr!AK3)),IF(AND(up_Irr!L3&lt;&gt;".",up_Irr!AK3=".",up_Irr!BJ3&lt;&gt;"."),up_dir!AM3/((1/1000)*(up_Irr!L3+up_Irr!BJ3)),IF(AND(up_Irr!L3=".",up_Irr!AK3&lt;&gt;".",up_Irr!BJ3&lt;&gt;"."),up_dir!AM3/((1/1000)*(up_Irr!AK3+up_Irr!BJ3)),IF(AND(up_Irr!L3=".",up_Irr!AK3=".",up_Irr!BJ3&lt;&gt;"."),up_dir!AM3/((1/1000)*(up_Irr!BJ3)),IF(AND(up_Irr!L3=".",up_Irr!AK3&lt;&gt;".",up_Irr!BJ3="."),up_dir!AM3/((1/1000)*(up_Irr!AK3)),IF(AND(up_Irr!L3&lt;&gt;".",up_Irr!AK3=".",up_Irr!BJ3="."),up_dir!AM3/((1/1000)*(up_Irr!L3)),IF(AND(up_Irr!L3=".",up_Irr!AK3=".",up_Irr!BJ3="."),up_dir!AM3*1000)))))))),".")</f>
        <v>6.5773651144152123E-11</v>
      </c>
      <c r="BN3" s="76">
        <f>IFERROR(IF(AND(up_Irr!M3&lt;&gt;".",up_Irr!AL3&lt;&gt;".",up_Irr!BK3&lt;&gt;"."),up_dir!AN3/((1/1000)*(up_Irr!M3+up_Irr!AL3+up_Irr!BK3)),IF(AND(up_Irr!M3&lt;&gt;".",up_Irr!AL3&lt;&gt;".",up_Irr!BK3="."),up_dir!AN3/((1/1000)*(up_Irr!M3+up_Irr!AL3)),IF(AND(up_Irr!M3&lt;&gt;".",up_Irr!AL3=".",up_Irr!BK3&lt;&gt;"."),up_dir!AN3/((1/1000)*(up_Irr!M3+up_Irr!BK3)),IF(AND(up_Irr!M3=".",up_Irr!AL3&lt;&gt;".",up_Irr!BK3&lt;&gt;"."),up_dir!AN3/((1/1000)*(up_Irr!AL3+up_Irr!BK3)),IF(AND(up_Irr!M3=".",up_Irr!AL3=".",up_Irr!BK3&lt;&gt;"."),up_dir!AN3/((1/1000)*(up_Irr!BK3)),IF(AND(up_Irr!M3=".",up_Irr!AL3&lt;&gt;".",up_Irr!BK3="."),up_dir!AN3/((1/1000)*(up_Irr!AL3)),IF(AND(up_Irr!M3&lt;&gt;".",up_Irr!AL3=".",up_Irr!BK3="."),up_dir!AN3/((1/1000)*(up_Irr!M3)),IF(AND(up_Irr!M3=".",up_Irr!AL3=".",up_Irr!BK3="."),up_dir!AN3*1000)))))))),".")</f>
        <v>6.5773651144152123E-11</v>
      </c>
      <c r="BO3" s="76">
        <f>IFERROR(IF(AND(up_Irr!N3&lt;&gt;".",up_Irr!AM3&lt;&gt;".",up_Irr!BL3&lt;&gt;"."),up_dir!AO3/((1/1000)*(up_Irr!N3+up_Irr!AM3+up_Irr!BL3)),IF(AND(up_Irr!N3&lt;&gt;".",up_Irr!AM3&lt;&gt;".",up_Irr!BL3="."),up_dir!AO3/((1/1000)*(up_Irr!N3+up_Irr!AM3)),IF(AND(up_Irr!N3&lt;&gt;".",up_Irr!AM3=".",up_Irr!BL3&lt;&gt;"."),up_dir!AO3/((1/1000)*(up_Irr!N3+up_Irr!BL3)),IF(AND(up_Irr!N3=".",up_Irr!AM3&lt;&gt;".",up_Irr!BL3&lt;&gt;"."),up_dir!AO3/((1/1000)*(up_Irr!AM3+up_Irr!BL3)),IF(AND(up_Irr!N3=".",up_Irr!AM3=".",up_Irr!BL3&lt;&gt;"."),up_dir!AO3/((1/1000)*(up_Irr!BL3)),IF(AND(up_Irr!N3=".",up_Irr!AM3&lt;&gt;".",up_Irr!BL3="."),up_dir!AO3/((1/1000)*(up_Irr!AM3)),IF(AND(up_Irr!N3&lt;&gt;".",up_Irr!AM3=".",up_Irr!BL3="."),up_dir!AO3/((1/1000)*(up_Irr!N3)),IF(AND(up_Irr!N3=".",up_Irr!AM3=".",up_Irr!BL3="."),up_dir!AO3*1000)))))))),".")</f>
        <v>6.5773651144152123E-11</v>
      </c>
      <c r="BP3" s="76">
        <f>IFERROR(IF(AND(up_Irr!O3&lt;&gt;".",up_Irr!AN3&lt;&gt;".",up_Irr!BM3&lt;&gt;"."),up_dir!AP3/((1/1000)*(up_Irr!O3+up_Irr!AN3+up_Irr!BM3)),IF(AND(up_Irr!O3&lt;&gt;".",up_Irr!AN3&lt;&gt;".",up_Irr!BM3="."),up_dir!AP3/((1/1000)*(up_Irr!O3+up_Irr!AN3)),IF(AND(up_Irr!O3&lt;&gt;".",up_Irr!AN3=".",up_Irr!BM3&lt;&gt;"."),up_dir!AP3/((1/1000)*(up_Irr!O3+up_Irr!BM3)),IF(AND(up_Irr!O3=".",up_Irr!AN3&lt;&gt;".",up_Irr!BM3&lt;&gt;"."),up_dir!AP3/((1/1000)*(up_Irr!AN3+up_Irr!BM3)),IF(AND(up_Irr!O3=".",up_Irr!AN3=".",up_Irr!BM3&lt;&gt;"."),up_dir!AP3/((1/1000)*(up_Irr!BM3)),IF(AND(up_Irr!O3=".",up_Irr!AN3&lt;&gt;".",up_Irr!BM3="."),up_dir!AP3/((1/1000)*(up_Irr!AN3)),IF(AND(up_Irr!O3&lt;&gt;".",up_Irr!AN3=".",up_Irr!BM3="."),up_dir!AP3/((1/1000)*(up_Irr!O3)),IF(AND(up_Irr!O3=".",up_Irr!AN3=".",up_Irr!BM3="."),up_dir!AP3*1000)))))))),".")</f>
        <v>6.5773651144152123E-11</v>
      </c>
      <c r="BQ3" s="76">
        <f>IFERROR(IF(AND(up_Irr!P3&lt;&gt;".",up_Irr!AO3&lt;&gt;".",up_Irr!BN3&lt;&gt;"."),up_dir!AQ3/((1/1000)*(up_Irr!P3+up_Irr!AO3+up_Irr!BN3)),IF(AND(up_Irr!P3&lt;&gt;".",up_Irr!AO3&lt;&gt;".",up_Irr!BN3="."),up_dir!AQ3/((1/1000)*(up_Irr!P3+up_Irr!AO3)),IF(AND(up_Irr!P3&lt;&gt;".",up_Irr!AO3=".",up_Irr!BN3&lt;&gt;"."),up_dir!AQ3/((1/1000)*(up_Irr!P3+up_Irr!BN3)),IF(AND(up_Irr!P3=".",up_Irr!AO3&lt;&gt;".",up_Irr!BN3&lt;&gt;"."),up_dir!AQ3/((1/1000)*(up_Irr!AO3+up_Irr!BN3)),IF(AND(up_Irr!P3=".",up_Irr!AO3=".",up_Irr!BN3&lt;&gt;"."),up_dir!AQ3/((1/1000)*(up_Irr!BN3)),IF(AND(up_Irr!P3=".",up_Irr!AO3&lt;&gt;".",up_Irr!BN3="."),up_dir!AQ3/((1/1000)*(up_Irr!AO3)),IF(AND(up_Irr!P3&lt;&gt;".",up_Irr!AO3=".",up_Irr!BN3="."),up_dir!AQ3/((1/1000)*(up_Irr!P3)),IF(AND(up_Irr!P3=".",up_Irr!AO3=".",up_Irr!BN3="."),up_dir!AQ3*1000)))))))),".")</f>
        <v>6.5773651144152123E-11</v>
      </c>
      <c r="BR3" s="76">
        <f>IFERROR(IF(AND(up_Irr!Q3&lt;&gt;".",up_Irr!AP3&lt;&gt;".",up_Irr!BO3&lt;&gt;"."),up_dir!AR3/((1/1000)*(up_Irr!Q3+up_Irr!AP3+up_Irr!BO3)),IF(AND(up_Irr!Q3&lt;&gt;".",up_Irr!AP3&lt;&gt;".",up_Irr!BO3="."),up_dir!AR3/((1/1000)*(up_Irr!Q3+up_Irr!AP3)),IF(AND(up_Irr!Q3&lt;&gt;".",up_Irr!AP3=".",up_Irr!BO3&lt;&gt;"."),up_dir!AR3/((1/1000)*(up_Irr!Q3+up_Irr!BO3)),IF(AND(up_Irr!Q3=".",up_Irr!AP3&lt;&gt;".",up_Irr!BO3&lt;&gt;"."),up_dir!AR3/((1/1000)*(up_Irr!AP3+up_Irr!BO3)),IF(AND(up_Irr!Q3=".",up_Irr!AP3=".",up_Irr!BO3&lt;&gt;"."),up_dir!AR3/((1/1000)*(up_Irr!BO3)),IF(AND(up_Irr!Q3=".",up_Irr!AP3&lt;&gt;".",up_Irr!BO3="."),up_dir!AR3/((1/1000)*(up_Irr!AP3)),IF(AND(up_Irr!Q3&lt;&gt;".",up_Irr!AP3=".",up_Irr!BO3="."),up_dir!AR3/((1/1000)*(up_Irr!Q3)),IF(AND(up_Irr!Q3=".",up_Irr!AP3=".",up_Irr!BO3="."),up_dir!AR3*1000)))))))),".")</f>
        <v>6.5773651144152123E-11</v>
      </c>
      <c r="BS3" s="76">
        <f>IFERROR(IF(AND(up_Irr!R3&lt;&gt;".",up_Irr!AQ3&lt;&gt;".",up_Irr!BP3&lt;&gt;"."),up_dir!AS3/((1/1000)*(up_Irr!R3+up_Irr!AQ3+up_Irr!BP3)),IF(AND(up_Irr!R3&lt;&gt;".",up_Irr!AQ3&lt;&gt;".",up_Irr!BP3="."),up_dir!AS3/((1/1000)*(up_Irr!R3+up_Irr!AQ3)),IF(AND(up_Irr!R3&lt;&gt;".",up_Irr!AQ3=".",up_Irr!BP3&lt;&gt;"."),up_dir!AS3/((1/1000)*(up_Irr!R3+up_Irr!BP3)),IF(AND(up_Irr!R3=".",up_Irr!AQ3&lt;&gt;".",up_Irr!BP3&lt;&gt;"."),up_dir!AS3/((1/1000)*(up_Irr!AQ3+up_Irr!BP3)),IF(AND(up_Irr!R3=".",up_Irr!AQ3=".",up_Irr!BP3&lt;&gt;"."),up_dir!AS3/((1/1000)*(up_Irr!BP3)),IF(AND(up_Irr!R3=".",up_Irr!AQ3&lt;&gt;".",up_Irr!BP3="."),up_dir!AS3/((1/1000)*(up_Irr!AQ3)),IF(AND(up_Irr!R3&lt;&gt;".",up_Irr!AQ3=".",up_Irr!BP3="."),up_dir!AS3/((1/1000)*(up_Irr!R3)),IF(AND(up_Irr!R3=".",up_Irr!AQ3=".",up_Irr!BP3="."),up_dir!AS3*1000)))))))),".")</f>
        <v>6.5773651144152123E-11</v>
      </c>
      <c r="BT3" s="76">
        <f>IFERROR(IF(AND(up_Irr!S3&lt;&gt;".",up_Irr!AR3&lt;&gt;".",up_Irr!BQ3&lt;&gt;"."),up_dir!AT3/((1/1000)*(up_Irr!S3+up_Irr!AR3+up_Irr!BQ3)),IF(AND(up_Irr!S3&lt;&gt;".",up_Irr!AR3&lt;&gt;".",up_Irr!BQ3="."),up_dir!AT3/((1/1000)*(up_Irr!S3+up_Irr!AR3)),IF(AND(up_Irr!S3&lt;&gt;".",up_Irr!AR3=".",up_Irr!BQ3&lt;&gt;"."),up_dir!AT3/((1/1000)*(up_Irr!S3+up_Irr!BQ3)),IF(AND(up_Irr!S3=".",up_Irr!AR3&lt;&gt;".",up_Irr!BQ3&lt;&gt;"."),up_dir!AT3/((1/1000)*(up_Irr!AR3+up_Irr!BQ3)),IF(AND(up_Irr!S3=".",up_Irr!AR3=".",up_Irr!BQ3&lt;&gt;"."),up_dir!AT3/((1/1000)*(up_Irr!BQ3)),IF(AND(up_Irr!S3=".",up_Irr!AR3&lt;&gt;".",up_Irr!BQ3="."),up_dir!AT3/((1/1000)*(up_Irr!AR3)),IF(AND(up_Irr!S3&lt;&gt;".",up_Irr!AR3=".",up_Irr!BQ3="."),up_dir!AT3/((1/1000)*(up_Irr!S3)),IF(AND(up_Irr!S3=".",up_Irr!AR3=".",up_Irr!BQ3="."),up_dir!AT3*1000)))))))),".")</f>
        <v>6.5773651144152123E-11</v>
      </c>
      <c r="BU3" s="76">
        <f>IFERROR(IF(AND(up_Irr!T3&lt;&gt;".",up_Irr!AS3&lt;&gt;".",up_Irr!BR3&lt;&gt;"."),up_dir!AU3/((1/1000)*(up_Irr!T3+up_Irr!AS3+up_Irr!BR3)),IF(AND(up_Irr!T3&lt;&gt;".",up_Irr!AS3&lt;&gt;".",up_Irr!BR3="."),up_dir!AU3/((1/1000)*(up_Irr!T3+up_Irr!AS3)),IF(AND(up_Irr!T3&lt;&gt;".",up_Irr!AS3=".",up_Irr!BR3&lt;&gt;"."),up_dir!AU3/((1/1000)*(up_Irr!T3+up_Irr!BR3)),IF(AND(up_Irr!T3=".",up_Irr!AS3&lt;&gt;".",up_Irr!BR3&lt;&gt;"."),up_dir!AU3/((1/1000)*(up_Irr!AS3+up_Irr!BR3)),IF(AND(up_Irr!T3=".",up_Irr!AS3=".",up_Irr!BR3&lt;&gt;"."),up_dir!AU3/((1/1000)*(up_Irr!BR3)),IF(AND(up_Irr!T3=".",up_Irr!AS3&lt;&gt;".",up_Irr!BR3="."),up_dir!AU3/((1/1000)*(up_Irr!AS3)),IF(AND(up_Irr!T3&lt;&gt;".",up_Irr!AS3=".",up_Irr!BR3="."),up_dir!AU3/((1/1000)*(up_Irr!T3)),IF(AND(up_Irr!T3=".",up_Irr!AS3=".",up_Irr!BR3="."),up_dir!AU3*1000)))))))),".")</f>
        <v>6.5773651144152123E-11</v>
      </c>
      <c r="BV3" s="76">
        <f>IFERROR(IF(AND(up_Irr!U3&lt;&gt;".",up_Irr!AT3&lt;&gt;".",up_Irr!BS3&lt;&gt;"."),up_dir!AV3/((1/1000)*(up_Irr!U3+up_Irr!AT3+up_Irr!BS3)),IF(AND(up_Irr!U3&lt;&gt;".",up_Irr!AT3&lt;&gt;".",up_Irr!BS3="."),up_dir!AV3/((1/1000)*(up_Irr!U3+up_Irr!AT3)),IF(AND(up_Irr!U3&lt;&gt;".",up_Irr!AT3=".",up_Irr!BS3&lt;&gt;"."),up_dir!AV3/((1/1000)*(up_Irr!U3+up_Irr!BS3)),IF(AND(up_Irr!U3=".",up_Irr!AT3&lt;&gt;".",up_Irr!BS3&lt;&gt;"."),up_dir!AV3/((1/1000)*(up_Irr!AT3+up_Irr!BS3)),IF(AND(up_Irr!U3=".",up_Irr!AT3=".",up_Irr!BS3&lt;&gt;"."),up_dir!AV3/((1/1000)*(up_Irr!BS3)),IF(AND(up_Irr!U3=".",up_Irr!AT3&lt;&gt;".",up_Irr!BS3="."),up_dir!AV3/((1/1000)*(up_Irr!AT3)),IF(AND(up_Irr!U3&lt;&gt;".",up_Irr!AT3=".",up_Irr!BS3="."),up_dir!AV3/((1/1000)*(up_Irr!U3)),IF(AND(up_Irr!U3=".",up_Irr!AT3=".",up_Irr!BS3="."),up_dir!AV3*1000)))))))),".")</f>
        <v>6.5773651144152123E-11</v>
      </c>
      <c r="BW3" s="76">
        <f>IFERROR(IF(AND(up_Irr!V3&lt;&gt;".",up_Irr!AU3&lt;&gt;".",up_Irr!BT3&lt;&gt;"."),up_dir!AW3/((1/1000)*(up_Irr!V3+up_Irr!AU3+up_Irr!BT3)),IF(AND(up_Irr!V3&lt;&gt;".",up_Irr!AU3&lt;&gt;".",up_Irr!BT3="."),up_dir!AW3/((1/1000)*(up_Irr!V3+up_Irr!AU3)),IF(AND(up_Irr!V3&lt;&gt;".",up_Irr!AU3=".",up_Irr!BT3&lt;&gt;"."),up_dir!AW3/((1/1000)*(up_Irr!V3+up_Irr!BT3)),IF(AND(up_Irr!V3=".",up_Irr!AU3&lt;&gt;".",up_Irr!BT3&lt;&gt;"."),up_dir!AW3/((1/1000)*(up_Irr!AU3+up_Irr!BT3)),IF(AND(up_Irr!V3=".",up_Irr!AU3=".",up_Irr!BT3&lt;&gt;"."),up_dir!AW3/((1/1000)*(up_Irr!BT3)),IF(AND(up_Irr!V3=".",up_Irr!AU3&lt;&gt;".",up_Irr!BT3="."),up_dir!AW3/((1/1000)*(up_Irr!AU3)),IF(AND(up_Irr!V3&lt;&gt;".",up_Irr!AU3=".",up_Irr!BT3="."),up_dir!AW3/((1/1000)*(up_Irr!V3)),IF(AND(up_Irr!V3=".",up_Irr!AU3=".",up_Irr!BT3="."),up_dir!AW3*1000)))))))),".")</f>
        <v>6.5773651144152123E-11</v>
      </c>
      <c r="BX3" s="76">
        <f>IFERROR(IF(AND(up_Irr!W3&lt;&gt;".",up_Irr!AV3&lt;&gt;".",up_Irr!BU3&lt;&gt;"."),up_dir!AX3/((1/1000)*(up_Irr!W3+up_Irr!AV3+up_Irr!BU3)),IF(AND(up_Irr!W3&lt;&gt;".",up_Irr!AV3&lt;&gt;".",up_Irr!BU3="."),up_dir!AX3/((1/1000)*(up_Irr!W3+up_Irr!AV3)),IF(AND(up_Irr!W3&lt;&gt;".",up_Irr!AV3=".",up_Irr!BU3&lt;&gt;"."),up_dir!AX3/((1/1000)*(up_Irr!W3+up_Irr!BU3)),IF(AND(up_Irr!W3=".",up_Irr!AV3&lt;&gt;".",up_Irr!BU3&lt;&gt;"."),up_dir!AX3/((1/1000)*(up_Irr!AV3+up_Irr!BU3)),IF(AND(up_Irr!W3=".",up_Irr!AV3=".",up_Irr!BU3&lt;&gt;"."),up_dir!AX3/((1/1000)*(up_Irr!BU3)),IF(AND(up_Irr!W3=".",up_Irr!AV3&lt;&gt;".",up_Irr!BU3="."),up_dir!AX3/((1/1000)*(up_Irr!AV3)),IF(AND(up_Irr!W3&lt;&gt;".",up_Irr!AV3=".",up_Irr!BU3="."),up_dir!AX3/((1/1000)*(up_Irr!W3)),IF(AND(up_Irr!W3=".",up_Irr!AV3=".",up_Irr!BU3="."),up_dir!AX3*1000)))))))),".")</f>
        <v>6.5773651144152123E-11</v>
      </c>
      <c r="BY3" s="76">
        <f>IFERROR(IF(AND(up_Irr!X3&lt;&gt;".",up_Irr!AW3&lt;&gt;".",up_Irr!BV3&lt;&gt;"."),up_dir!AY3/((1/1000)*(up_Irr!X3+up_Irr!AW3+up_Irr!BV3)),IF(AND(up_Irr!X3&lt;&gt;".",up_Irr!AW3&lt;&gt;".",up_Irr!BV3="."),up_dir!AY3/((1/1000)*(up_Irr!X3+up_Irr!AW3)),IF(AND(up_Irr!X3&lt;&gt;".",up_Irr!AW3=".",up_Irr!BV3&lt;&gt;"."),up_dir!AY3/((1/1000)*(up_Irr!X3+up_Irr!BV3)),IF(AND(up_Irr!X3=".",up_Irr!AW3&lt;&gt;".",up_Irr!BV3&lt;&gt;"."),up_dir!AY3/((1/1000)*(up_Irr!AW3+up_Irr!BV3)),IF(AND(up_Irr!X3=".",up_Irr!AW3=".",up_Irr!BV3&lt;&gt;"."),up_dir!AY3/((1/1000)*(up_Irr!BV3)),IF(AND(up_Irr!X3=".",up_Irr!AW3&lt;&gt;".",up_Irr!BV3="."),up_dir!AY3/((1/1000)*(up_Irr!AW3)),IF(AND(up_Irr!X3&lt;&gt;".",up_Irr!AW3=".",up_Irr!BV3="."),up_dir!AY3/((1/1000)*(up_Irr!X3)),IF(AND(up_Irr!X3=".",up_Irr!AW3=".",up_Irr!BV3="."),up_dir!AY3*1000)))))))),".")</f>
        <v>6.5773651144152123E-11</v>
      </c>
      <c r="BZ3" s="76">
        <f>IFERROR(IF(AND(up_Irr!Y3&lt;&gt;".",up_Irr!AX3&lt;&gt;".",up_Irr!BW3&lt;&gt;"."),up_dir!AZ3/((1/1000)*(up_Irr!Y3+up_Irr!AX3+up_Irr!BW3)),IF(AND(up_Irr!Y3&lt;&gt;".",up_Irr!AX3&lt;&gt;".",up_Irr!BW3="."),up_dir!AZ3/((1/1000)*(up_Irr!Y3+up_Irr!AX3)),IF(AND(up_Irr!Y3&lt;&gt;".",up_Irr!AX3=".",up_Irr!BW3&lt;&gt;"."),up_dir!AZ3/((1/1000)*(up_Irr!Y3+up_Irr!BW3)),IF(AND(up_Irr!Y3=".",up_Irr!AX3&lt;&gt;".",up_Irr!BW3&lt;&gt;"."),up_dir!AZ3/((1/1000)*(up_Irr!AX3+up_Irr!BW3)),IF(AND(up_Irr!Y3=".",up_Irr!AX3=".",up_Irr!BW3&lt;&gt;"."),up_dir!AZ3/((1/1000)*(up_Irr!BW3)),IF(AND(up_Irr!Y3=".",up_Irr!AX3&lt;&gt;".",up_Irr!BW3="."),up_dir!AZ3/((1/1000)*(up_Irr!AX3)),IF(AND(up_Irr!Y3&lt;&gt;".",up_Irr!AX3=".",up_Irr!BW3="."),up_dir!AZ3/((1/1000)*(up_Irr!Y3)),IF(AND(up_Irr!Y3=".",up_Irr!AX3=".",up_Irr!BW3="."),up_dir!AZ3*1000)))))))),".")</f>
        <v>6.5773651144152123E-11</v>
      </c>
      <c r="CA3" s="76">
        <f>IFERROR(IF(AND(up_Irr!Z3&lt;&gt;".",up_Irr!AY3&lt;&gt;".",up_Irr!BX3&lt;&gt;"."),up_dir!BA3/((1/1000)*(up_Irr!Z3+up_Irr!AY3+up_Irr!BX3)),IF(AND(up_Irr!Z3&lt;&gt;".",up_Irr!AY3&lt;&gt;".",up_Irr!BX3="."),up_dir!BA3/((1/1000)*(up_Irr!Z3+up_Irr!AY3)),IF(AND(up_Irr!Z3&lt;&gt;".",up_Irr!AY3=".",up_Irr!BX3&lt;&gt;"."),up_dir!BA3/((1/1000)*(up_Irr!Z3+up_Irr!BX3)),IF(AND(up_Irr!Z3=".",up_Irr!AY3&lt;&gt;".",up_Irr!BX3&lt;&gt;"."),up_dir!BA3/((1/1000)*(up_Irr!AY3+up_Irr!BX3)),IF(AND(up_Irr!Z3=".",up_Irr!AY3=".",up_Irr!BX3&lt;&gt;"."),up_dir!BA3/((1/1000)*(up_Irr!BX3)),IF(AND(up_Irr!Z3=".",up_Irr!AY3&lt;&gt;".",up_Irr!BX3="."),up_dir!BA3/((1/1000)*(up_Irr!AY3)),IF(AND(up_Irr!Z3&lt;&gt;".",up_Irr!AY3=".",up_Irr!BX3="."),up_dir!BA3/((1/1000)*(up_Irr!Z3)),IF(AND(up_Irr!Z3=".",up_Irr!AY3=".",up_Irr!BX3="."),up_dir!BA3*1000)))))))),".")</f>
        <v>6.5773651144152123E-11</v>
      </c>
      <c r="CB3" s="76">
        <f>IFERROR(IF(AND(up_Irr!AA3&lt;&gt;".",up_Irr!AZ3&lt;&gt;".",up_Irr!BY3&lt;&gt;"."),up_dir!BB3/((1/1000)*(up_Irr!AA3+up_Irr!AZ3+up_Irr!BY3)),IF(AND(up_Irr!AA3&lt;&gt;".",up_Irr!AZ3&lt;&gt;".",up_Irr!BY3="."),up_dir!BB3/((1/1000)*(up_Irr!AA3+up_Irr!AZ3)),IF(AND(up_Irr!AA3&lt;&gt;".",up_Irr!AZ3=".",up_Irr!BY3&lt;&gt;"."),up_dir!BB3/((1/1000)*(up_Irr!AA3+up_Irr!BY3)),IF(AND(up_Irr!AA3=".",up_Irr!AZ3&lt;&gt;".",up_Irr!BY3&lt;&gt;"."),up_dir!BB3/((1/1000)*(up_Irr!AZ3+up_Irr!BY3)),IF(AND(up_Irr!AA3=".",up_Irr!AZ3=".",up_Irr!BY3&lt;&gt;"."),up_dir!BB3/((1/1000)*(up_Irr!BY3)),IF(AND(up_Irr!AA3=".",up_Irr!AZ3&lt;&gt;".",up_Irr!BY3="."),up_dir!BB3/((1/1000)*(up_Irr!AZ3)),IF(AND(up_Irr!AA3&lt;&gt;".",up_Irr!AZ3=".",up_Irr!BY3="."),up_dir!BB3/((1/1000)*(up_Irr!AA3)),IF(AND(up_Irr!AA3=".",up_Irr!AZ3=".",up_Irr!BY3="."),up_dir!BB3*1000)))))))),".")</f>
        <v>6.5773651144152123E-11</v>
      </c>
      <c r="CC3" s="93">
        <f t="shared" ref="CC3:CC66" si="3">SUM(CD3,CU3,DA3:DB3)</f>
        <v>608146.26076229871</v>
      </c>
      <c r="CD3" s="93">
        <f>IFERROR(s_C*s_IFAP_far_adj*s_CF_apple*(1/1000)*(up_Irr!C3+up_Irr!AB3+up_Irr!BA3),".")</f>
        <v>152036.56519057468</v>
      </c>
      <c r="CE3" s="93">
        <f>IFERROR(s_C*s_IFAS_far_adj*s_CF_asparagus*(1/1000)*(up_Irr!D3+up_Irr!AC3+up_Irr!BB3),".")</f>
        <v>152036.56519057468</v>
      </c>
      <c r="CF3" s="93">
        <f>IFERROR(s_C*s_IFBT_far_adj*s_CF_beet*(1/1000)*(up_Irr!E3+up_Irr!AD3+up_Irr!BC3),".")</f>
        <v>152036.56519057468</v>
      </c>
      <c r="CG3" s="93">
        <f>IFERROR(s_C*s_IFBE_far_adj*s_CF_berries*(1/1000)*(up_Irr!F3+up_Irr!AE3+up_Irr!BD3),".")</f>
        <v>152036.56519057468</v>
      </c>
      <c r="CH3" s="93">
        <f>IFERROR(s_C*s_IFBR_far_adj*s_CF_broccoli*(1/1000)*(up_Irr!G3+up_Irr!AF3+up_Irr!BE3),".")</f>
        <v>152036.56519057468</v>
      </c>
      <c r="CI3" s="93">
        <f>IFERROR(s_C*s_IFCB_far_adj*s_CF_cabbage*(1/1000)*(up_Irr!H3+up_Irr!AG3+up_Irr!BF3),".")</f>
        <v>152036.56519057468</v>
      </c>
      <c r="CJ3" s="93">
        <f>IFERROR(s_C*s_IFCR_far_adj*s_CF_carrot*(1/1000)*(up_Irr!I3+up_Irr!AH3+up_Irr!BG3),".")</f>
        <v>152036.56519057468</v>
      </c>
      <c r="CK3" s="93">
        <f>IFERROR(s_C*s_IFCI_far_adj*s_CF_citrus*(1/1000)*(up_Irr!J3+up_Irr!AI3+up_Irr!BH3),".")</f>
        <v>152036.56519057468</v>
      </c>
      <c r="CL3" s="93">
        <f>IFERROR(s_C*s_IFCO_far_adj*s_CF_corn*(1/1000)*(up_Irr!K3+up_Irr!AJ3+up_Irr!BI3),".")</f>
        <v>152036.56519057468</v>
      </c>
      <c r="CM3" s="93">
        <f>IFERROR(s_C*s_IFCU_far_adj*s_CF_cucumber*(1/1000)*(up_Irr!L3+up_Irr!AK3+up_Irr!BJ3),".")</f>
        <v>152036.56519057468</v>
      </c>
      <c r="CN3" s="93">
        <f>IFERROR(s_C*s_IFLE_far_adj*s_CF_lettuce*(1/1000)*(up_Irr!M3+up_Irr!AL3+up_Irr!BK3),".")</f>
        <v>152036.56519057468</v>
      </c>
      <c r="CO3" s="93">
        <f>IFERROR(s_C*s_IFLI_far_adj*s_CF_lima_bean*(1/1000)*(up_Irr!N3+up_Irr!AM3+up_Irr!BL3),".")</f>
        <v>152036.56519057468</v>
      </c>
      <c r="CP3" s="93">
        <f>IFERROR(s_C*s_IFOK_far_adj*s_CF_okra*(1/1000)*(up_Irr!O3+up_Irr!AN3+up_Irr!BM3),".")</f>
        <v>152036.56519057468</v>
      </c>
      <c r="CQ3" s="93">
        <f>IFERROR(s_C*s_IFON_far_adj*s_CF_onion*(1/1000)*(up_Irr!P3+up_Irr!AO3+up_Irr!BN3),".")</f>
        <v>152036.56519057468</v>
      </c>
      <c r="CR3" s="93">
        <f>IFERROR(s_C*s_IFPC_far_adj*s_CF_peach*(1/1000)*(up_Irr!Q3+up_Irr!AP3+up_Irr!BO3),".")</f>
        <v>152036.56519057468</v>
      </c>
      <c r="CS3" s="93">
        <f>IFERROR(s_C*s_IFPR_far_adj*s_CF_pear*(1/1000)*(up_Irr!R3+up_Irr!AQ3+up_Irr!BP3),".")</f>
        <v>152036.56519057468</v>
      </c>
      <c r="CT3" s="93">
        <f>IFERROR(s_C*s_IFPE_far_adj*s_CF_peas*(1/1000)*(up_Irr!S3+up_Irr!AR3+up_Irr!BQ3),".")</f>
        <v>152036.56519057468</v>
      </c>
      <c r="CU3" s="93">
        <f>IFERROR(s_C*s_IFPP_far_adj*s_CF_peppers*(1/1000)*(up_Irr!T3+up_Irr!AS3+up_Irr!BR3),".")</f>
        <v>152036.56519057468</v>
      </c>
      <c r="CV3" s="93">
        <f>IFERROR(s_C*s_IFPT_far_adj*s_CF_potato*(1/1000)*(up_Irr!U3+up_Irr!AT3+up_Irr!BS3),".")</f>
        <v>152036.56519057468</v>
      </c>
      <c r="CW3" s="93">
        <f>IFERROR(s_C*s_IFPU_far_adj*s_CF_pumpkin*(1/1000)*(up_Irr!V3+up_Irr!AU3+up_Irr!BT3),".")</f>
        <v>152036.56519057468</v>
      </c>
      <c r="CX3" s="93">
        <f>IFERROR(s_C*s_IFSN_far_adj*s_CF_snap_bean*(1/1000)*(up_Irr!W3+up_Irr!AV3+up_Irr!BU3),".")</f>
        <v>152036.56519057468</v>
      </c>
      <c r="CY3" s="93">
        <f>IFERROR(s_C*s_IFST_far_adj*s_CF_strawberry*(1/1000)*(up_Irr!X3+up_Irr!AW3+up_Irr!BV3),".")</f>
        <v>152036.56519057468</v>
      </c>
      <c r="CZ3" s="93">
        <f>IFERROR(s_C*s_IFTO_far_adj*s_CF_tomato*(1/1000)*(up_Irr!Y3+up_Irr!AX3+up_Irr!BW3),".")</f>
        <v>152036.56519057468</v>
      </c>
      <c r="DA3" s="93">
        <f>IFERROR(s_C*s_IFRI_far_adj*s_CF_rice*(1/1000)*(up_Irr!Z3+up_Irr!AY3+up_Irr!BX3),".")</f>
        <v>152036.56519057468</v>
      </c>
      <c r="DB3" s="93">
        <f>IFERROR(s_C*s_IFCG_far_adj*s_CF_cereal*(1/1000)*(up_Irr!AA3+up_Irr!AZ3+up_Irr!BY3),".")</f>
        <v>152036.56519057468</v>
      </c>
    </row>
    <row r="4" spans="1:106" ht="15" customHeight="1" x14ac:dyDescent="0.25">
      <c r="A4" s="92" t="s">
        <v>14</v>
      </c>
      <c r="B4" s="90" t="s">
        <v>1071</v>
      </c>
      <c r="C4" s="15">
        <f t="shared" si="0"/>
        <v>1.6443412786038031E-11</v>
      </c>
      <c r="D4" s="76">
        <f>IFERROR(IF(AND(up_Irr!C4&lt;&gt;".",up_Irr!AB4&lt;&gt;".",up_Irr!BA4&lt;&gt;"."),up_dir!D4/((1/1000)*(up_Irr!C4+up_Irr!AB4+up_Irr!BA4)),IF(AND(up_Irr!C4&lt;&gt;".",up_Irr!AB4&lt;&gt;".",up_Irr!BA4="."),up_dir!D4/((1/1000)*(up_Irr!C4+up_Irr!AB4)),IF(AND(up_Irr!C4&lt;&gt;".",up_Irr!AB4=".",up_Irr!BA4&lt;&gt;"."),up_dir!D4/((1/1000)*(up_Irr!C4+up_Irr!BA4)),IF(AND(up_Irr!C4=".",up_Irr!AB4&lt;&gt;".",up_Irr!BA4&lt;&gt;"."),up_dir!D4/((1/1000)*(up_Irr!AB4+up_Irr!BA4)),IF(AND(up_Irr!C4=".",up_Irr!AB4=".",up_Irr!BA4&lt;&gt;"."),up_dir!D4/((1/1000)*(up_Irr!BA4)),IF(AND(up_Irr!C4=".",up_Irr!AB4&lt;&gt;".",up_Irr!BA4="."),up_dir!D4/((1/1000)*(up_Irr!AB4)),IF(AND(up_Irr!C4&lt;&gt;".",up_Irr!AB4=".",up_Irr!BA4="."),up_dir!D4/((1/1000)*(up_Irr!C4)),IF(AND(up_Irr!C4=".",up_Irr!AB4=".",up_Irr!BA4="."),up_dir!D4*1000)))))))),".")</f>
        <v>6.5773651144152123E-11</v>
      </c>
      <c r="E4" s="76">
        <f>IFERROR(IF(AND(up_Irr!D4&lt;&gt;".",up_Irr!AC4&lt;&gt;".",up_Irr!BB4&lt;&gt;"."),up_dir!E4/((1/1000)*(up_Irr!D4+up_Irr!AC4+up_Irr!BB4)),IF(AND(up_Irr!D4&lt;&gt;".",up_Irr!AC4&lt;&gt;".",up_Irr!BB4="."),up_dir!E4/((1/1000)*(up_Irr!D4+up_Irr!AC4)),IF(AND(up_Irr!D4&lt;&gt;".",up_Irr!AC4=".",up_Irr!BB4&lt;&gt;"."),up_dir!E4/((1/1000)*(up_Irr!D4+up_Irr!BB4)),IF(AND(up_Irr!D4=".",up_Irr!AC4&lt;&gt;".",up_Irr!BB4&lt;&gt;"."),up_dir!E4/((1/1000)*(up_Irr!AC4+up_Irr!BB4)),IF(AND(up_Irr!D4=".",up_Irr!AC4=".",up_Irr!BB4&lt;&gt;"."),up_dir!E4/((1/1000)*(up_Irr!BB4)),IF(AND(up_Irr!D4=".",up_Irr!AC4&lt;&gt;".",up_Irr!BB4="."),up_dir!E4/((1/1000)*(up_Irr!AC4)),IF(AND(up_Irr!D4&lt;&gt;".",up_Irr!AC4=".",up_Irr!BB4="."),up_dir!E4/((1/1000)*(up_Irr!D4)),IF(AND(up_Irr!D4=".",up_Irr!AC4=".",up_Irr!BB4="."),up_dir!E4*1000)))))))),".")</f>
        <v>6.5773651144152123E-11</v>
      </c>
      <c r="F4" s="76">
        <f>IFERROR(IF(AND(up_Irr!E4&lt;&gt;".",up_Irr!AD4&lt;&gt;".",up_Irr!BC4&lt;&gt;"."),up_dir!F4/((1/1000)*(up_Irr!E4+up_Irr!AD4+up_Irr!BC4)),IF(AND(up_Irr!E4&lt;&gt;".",up_Irr!AD4&lt;&gt;".",up_Irr!BC4="."),up_dir!F4/((1/1000)*(up_Irr!E4+up_Irr!AD4)),IF(AND(up_Irr!E4&lt;&gt;".",up_Irr!AD4=".",up_Irr!BC4&lt;&gt;"."),up_dir!F4/((1/1000)*(up_Irr!E4+up_Irr!BC4)),IF(AND(up_Irr!E4=".",up_Irr!AD4&lt;&gt;".",up_Irr!BC4&lt;&gt;"."),up_dir!F4/((1/1000)*(up_Irr!AD4+up_Irr!BC4)),IF(AND(up_Irr!E4=".",up_Irr!AD4=".",up_Irr!BC4&lt;&gt;"."),up_dir!F4/((1/1000)*(up_Irr!BC4)),IF(AND(up_Irr!E4=".",up_Irr!AD4&lt;&gt;".",up_Irr!BC4="."),up_dir!F4/((1/1000)*(up_Irr!AD4)),IF(AND(up_Irr!E4&lt;&gt;".",up_Irr!AD4=".",up_Irr!BC4="."),up_dir!F4/((1/1000)*(up_Irr!E4)),IF(AND(up_Irr!E4=".",up_Irr!AD4=".",up_Irr!BC4="."),up_dir!F4*1000)))))))),".")</f>
        <v>6.5773651144152123E-11</v>
      </c>
      <c r="G4" s="76">
        <f>IFERROR(IF(AND(up_Irr!F4&lt;&gt;".",up_Irr!AE4&lt;&gt;".",up_Irr!BD4&lt;&gt;"."),up_dir!G4/((1/1000)*(up_Irr!F4+up_Irr!AE4+up_Irr!BD4)),IF(AND(up_Irr!F4&lt;&gt;".",up_Irr!AE4&lt;&gt;".",up_Irr!BD4="."),up_dir!G4/((1/1000)*(up_Irr!F4+up_Irr!AE4)),IF(AND(up_Irr!F4&lt;&gt;".",up_Irr!AE4=".",up_Irr!BD4&lt;&gt;"."),up_dir!G4/((1/1000)*(up_Irr!F4+up_Irr!BD4)),IF(AND(up_Irr!F4=".",up_Irr!AE4&lt;&gt;".",up_Irr!BD4&lt;&gt;"."),up_dir!G4/((1/1000)*(up_Irr!AE4+up_Irr!BD4)),IF(AND(up_Irr!F4=".",up_Irr!AE4=".",up_Irr!BD4&lt;&gt;"."),up_dir!G4/((1/1000)*(up_Irr!BD4)),IF(AND(up_Irr!F4=".",up_Irr!AE4&lt;&gt;".",up_Irr!BD4="."),up_dir!G4/((1/1000)*(up_Irr!AE4)),IF(AND(up_Irr!F4&lt;&gt;".",up_Irr!AE4=".",up_Irr!BD4="."),up_dir!G4/((1/1000)*(up_Irr!F4)),IF(AND(up_Irr!F4=".",up_Irr!AE4=".",up_Irr!BD4="."),up_dir!G4*1000)))))))),".")</f>
        <v>6.5773651144152123E-11</v>
      </c>
      <c r="H4" s="76">
        <f>IFERROR(IF(AND(up_Irr!G4&lt;&gt;".",up_Irr!AF4&lt;&gt;".",up_Irr!BE4&lt;&gt;"."),up_dir!H4/((1/1000)*(up_Irr!G4+up_Irr!AF4+up_Irr!BE4)),IF(AND(up_Irr!G4&lt;&gt;".",up_Irr!AF4&lt;&gt;".",up_Irr!BE4="."),up_dir!H4/((1/1000)*(up_Irr!G4+up_Irr!AF4)),IF(AND(up_Irr!G4&lt;&gt;".",up_Irr!AF4=".",up_Irr!BE4&lt;&gt;"."),up_dir!H4/((1/1000)*(up_Irr!G4+up_Irr!BE4)),IF(AND(up_Irr!G4=".",up_Irr!AF4&lt;&gt;".",up_Irr!BE4&lt;&gt;"."),up_dir!H4/((1/1000)*(up_Irr!AF4+up_Irr!BE4)),IF(AND(up_Irr!G4=".",up_Irr!AF4=".",up_Irr!BE4&lt;&gt;"."),up_dir!H4/((1/1000)*(up_Irr!BE4)),IF(AND(up_Irr!G4=".",up_Irr!AF4&lt;&gt;".",up_Irr!BE4="."),up_dir!H4/((1/1000)*(up_Irr!AF4)),IF(AND(up_Irr!G4&lt;&gt;".",up_Irr!AF4=".",up_Irr!BE4="."),up_dir!H4/((1/1000)*(up_Irr!G4)),IF(AND(up_Irr!G4=".",up_Irr!AF4=".",up_Irr!BE4="."),up_dir!H4*1000)))))))),".")</f>
        <v>6.5773651144152123E-11</v>
      </c>
      <c r="I4" s="76">
        <f>IFERROR(IF(AND(up_Irr!H4&lt;&gt;".",up_Irr!AG4&lt;&gt;".",up_Irr!BF4&lt;&gt;"."),up_dir!I4/((1/1000)*(up_Irr!H4+up_Irr!AG4+up_Irr!BF4)),IF(AND(up_Irr!H4&lt;&gt;".",up_Irr!AG4&lt;&gt;".",up_Irr!BF4="."),up_dir!I4/((1/1000)*(up_Irr!H4+up_Irr!AG4)),IF(AND(up_Irr!H4&lt;&gt;".",up_Irr!AG4=".",up_Irr!BF4&lt;&gt;"."),up_dir!I4/((1/1000)*(up_Irr!H4+up_Irr!BF4)),IF(AND(up_Irr!H4=".",up_Irr!AG4&lt;&gt;".",up_Irr!BF4&lt;&gt;"."),up_dir!I4/((1/1000)*(up_Irr!AG4+up_Irr!BF4)),IF(AND(up_Irr!H4=".",up_Irr!AG4=".",up_Irr!BF4&lt;&gt;"."),up_dir!I4/((1/1000)*(up_Irr!BF4)),IF(AND(up_Irr!H4=".",up_Irr!AG4&lt;&gt;".",up_Irr!BF4="."),up_dir!I4/((1/1000)*(up_Irr!AG4)),IF(AND(up_Irr!H4&lt;&gt;".",up_Irr!AG4=".",up_Irr!BF4="."),up_dir!I4/((1/1000)*(up_Irr!H4)),IF(AND(up_Irr!H4=".",up_Irr!AG4=".",up_Irr!BF4="."),up_dir!I4*1000)))))))),".")</f>
        <v>6.5773651144152123E-11</v>
      </c>
      <c r="J4" s="76">
        <f>IFERROR(IF(AND(up_Irr!I4&lt;&gt;".",up_Irr!AH4&lt;&gt;".",up_Irr!BG4&lt;&gt;"."),up_dir!J4/((1/1000)*(up_Irr!I4+up_Irr!AH4+up_Irr!BG4)),IF(AND(up_Irr!I4&lt;&gt;".",up_Irr!AH4&lt;&gt;".",up_Irr!BG4="."),up_dir!J4/((1/1000)*(up_Irr!I4+up_Irr!AH4)),IF(AND(up_Irr!I4&lt;&gt;".",up_Irr!AH4=".",up_Irr!BG4&lt;&gt;"."),up_dir!J4/((1/1000)*(up_Irr!I4+up_Irr!BG4)),IF(AND(up_Irr!I4=".",up_Irr!AH4&lt;&gt;".",up_Irr!BG4&lt;&gt;"."),up_dir!J4/((1/1000)*(up_Irr!AH4+up_Irr!BG4)),IF(AND(up_Irr!I4=".",up_Irr!AH4=".",up_Irr!BG4&lt;&gt;"."),up_dir!J4/((1/1000)*(up_Irr!BG4)),IF(AND(up_Irr!I4=".",up_Irr!AH4&lt;&gt;".",up_Irr!BG4="."),up_dir!J4/((1/1000)*(up_Irr!AH4)),IF(AND(up_Irr!I4&lt;&gt;".",up_Irr!AH4=".",up_Irr!BG4="."),up_dir!J4/((1/1000)*(up_Irr!I4)),IF(AND(up_Irr!I4=".",up_Irr!AH4=".",up_Irr!BG4="."),up_dir!J4*1000)))))))),".")</f>
        <v>6.5773651144152123E-11</v>
      </c>
      <c r="K4" s="76">
        <f>IFERROR(IF(AND(up_Irr!J4&lt;&gt;".",up_Irr!AI4&lt;&gt;".",up_Irr!BH4&lt;&gt;"."),up_dir!K4/((1/1000)*(up_Irr!J4+up_Irr!AI4+up_Irr!BH4)),IF(AND(up_Irr!J4&lt;&gt;".",up_Irr!AI4&lt;&gt;".",up_Irr!BH4="."),up_dir!K4/((1/1000)*(up_Irr!J4+up_Irr!AI4)),IF(AND(up_Irr!J4&lt;&gt;".",up_Irr!AI4=".",up_Irr!BH4&lt;&gt;"."),up_dir!K4/((1/1000)*(up_Irr!J4+up_Irr!BH4)),IF(AND(up_Irr!J4=".",up_Irr!AI4&lt;&gt;".",up_Irr!BH4&lt;&gt;"."),up_dir!K4/((1/1000)*(up_Irr!AI4+up_Irr!BH4)),IF(AND(up_Irr!J4=".",up_Irr!AI4=".",up_Irr!BH4&lt;&gt;"."),up_dir!K4/((1/1000)*(up_Irr!BH4)),IF(AND(up_Irr!J4=".",up_Irr!AI4&lt;&gt;".",up_Irr!BH4="."),up_dir!K4/((1/1000)*(up_Irr!AI4)),IF(AND(up_Irr!J4&lt;&gt;".",up_Irr!AI4=".",up_Irr!BH4="."),up_dir!K4/((1/1000)*(up_Irr!J4)),IF(AND(up_Irr!J4=".",up_Irr!AI4=".",up_Irr!BH4="."),up_dir!K4*1000)))))))),".")</f>
        <v>6.5773651144152123E-11</v>
      </c>
      <c r="L4" s="76">
        <f>IFERROR(IF(AND(up_Irr!K4&lt;&gt;".",up_Irr!AJ4&lt;&gt;".",up_Irr!BI4&lt;&gt;"."),up_dir!L4/((1/1000)*(up_Irr!K4+up_Irr!AJ4+up_Irr!BI4)),IF(AND(up_Irr!K4&lt;&gt;".",up_Irr!AJ4&lt;&gt;".",up_Irr!BI4="."),up_dir!L4/((1/1000)*(up_Irr!K4+up_Irr!AJ4)),IF(AND(up_Irr!K4&lt;&gt;".",up_Irr!AJ4=".",up_Irr!BI4&lt;&gt;"."),up_dir!L4/((1/1000)*(up_Irr!K4+up_Irr!BI4)),IF(AND(up_Irr!K4=".",up_Irr!AJ4&lt;&gt;".",up_Irr!BI4&lt;&gt;"."),up_dir!L4/((1/1000)*(up_Irr!AJ4+up_Irr!BI4)),IF(AND(up_Irr!K4=".",up_Irr!AJ4=".",up_Irr!BI4&lt;&gt;"."),up_dir!L4/((1/1000)*(up_Irr!BI4)),IF(AND(up_Irr!K4=".",up_Irr!AJ4&lt;&gt;".",up_Irr!BI4="."),up_dir!L4/((1/1000)*(up_Irr!AJ4)),IF(AND(up_Irr!K4&lt;&gt;".",up_Irr!AJ4=".",up_Irr!BI4="."),up_dir!L4/((1/1000)*(up_Irr!K4)),IF(AND(up_Irr!K4=".",up_Irr!AJ4=".",up_Irr!BI4="."),up_dir!L4*1000)))))))),".")</f>
        <v>6.5773651144152123E-11</v>
      </c>
      <c r="M4" s="76">
        <f>IFERROR(IF(AND(up_Irr!L4&lt;&gt;".",up_Irr!AK4&lt;&gt;".",up_Irr!BJ4&lt;&gt;"."),up_dir!M4/((1/1000)*(up_Irr!L4+up_Irr!AK4+up_Irr!BJ4)),IF(AND(up_Irr!L4&lt;&gt;".",up_Irr!AK4&lt;&gt;".",up_Irr!BJ4="."),up_dir!M4/((1/1000)*(up_Irr!L4+up_Irr!AK4)),IF(AND(up_Irr!L4&lt;&gt;".",up_Irr!AK4=".",up_Irr!BJ4&lt;&gt;"."),up_dir!M4/((1/1000)*(up_Irr!L4+up_Irr!BJ4)),IF(AND(up_Irr!L4=".",up_Irr!AK4&lt;&gt;".",up_Irr!BJ4&lt;&gt;"."),up_dir!M4/((1/1000)*(up_Irr!AK4+up_Irr!BJ4)),IF(AND(up_Irr!L4=".",up_Irr!AK4=".",up_Irr!BJ4&lt;&gt;"."),up_dir!M4/((1/1000)*(up_Irr!BJ4)),IF(AND(up_Irr!L4=".",up_Irr!AK4&lt;&gt;".",up_Irr!BJ4="."),up_dir!M4/((1/1000)*(up_Irr!AK4)),IF(AND(up_Irr!L4&lt;&gt;".",up_Irr!AK4=".",up_Irr!BJ4="."),up_dir!M4/((1/1000)*(up_Irr!L4)),IF(AND(up_Irr!L4=".",up_Irr!AK4=".",up_Irr!BJ4="."),up_dir!M4*1000)))))))),".")</f>
        <v>6.5773651144152123E-11</v>
      </c>
      <c r="N4" s="76">
        <f>IFERROR(IF(AND(up_Irr!M4&lt;&gt;".",up_Irr!AL4&lt;&gt;".",up_Irr!BK4&lt;&gt;"."),up_dir!N4/((1/1000)*(up_Irr!M4+up_Irr!AL4+up_Irr!BK4)),IF(AND(up_Irr!M4&lt;&gt;".",up_Irr!AL4&lt;&gt;".",up_Irr!BK4="."),up_dir!N4/((1/1000)*(up_Irr!M4+up_Irr!AL4)),IF(AND(up_Irr!M4&lt;&gt;".",up_Irr!AL4=".",up_Irr!BK4&lt;&gt;"."),up_dir!N4/((1/1000)*(up_Irr!M4+up_Irr!BK4)),IF(AND(up_Irr!M4=".",up_Irr!AL4&lt;&gt;".",up_Irr!BK4&lt;&gt;"."),up_dir!N4/((1/1000)*(up_Irr!AL4+up_Irr!BK4)),IF(AND(up_Irr!M4=".",up_Irr!AL4=".",up_Irr!BK4&lt;&gt;"."),up_dir!N4/((1/1000)*(up_Irr!BK4)),IF(AND(up_Irr!M4=".",up_Irr!AL4&lt;&gt;".",up_Irr!BK4="."),up_dir!N4/((1/1000)*(up_Irr!AL4)),IF(AND(up_Irr!M4&lt;&gt;".",up_Irr!AL4=".",up_Irr!BK4="."),up_dir!N4/((1/1000)*(up_Irr!M4)),IF(AND(up_Irr!M4=".",up_Irr!AL4=".",up_Irr!BK4="."),up_dir!N4*1000)))))))),".")</f>
        <v>6.5773651144152123E-11</v>
      </c>
      <c r="O4" s="76">
        <f>IFERROR(IF(AND(up_Irr!N4&lt;&gt;".",up_Irr!AM4&lt;&gt;".",up_Irr!BL4&lt;&gt;"."),up_dir!O4/((1/1000)*(up_Irr!N4+up_Irr!AM4+up_Irr!BL4)),IF(AND(up_Irr!N4&lt;&gt;".",up_Irr!AM4&lt;&gt;".",up_Irr!BL4="."),up_dir!O4/((1/1000)*(up_Irr!N4+up_Irr!AM4)),IF(AND(up_Irr!N4&lt;&gt;".",up_Irr!AM4=".",up_Irr!BL4&lt;&gt;"."),up_dir!O4/((1/1000)*(up_Irr!N4+up_Irr!BL4)),IF(AND(up_Irr!N4=".",up_Irr!AM4&lt;&gt;".",up_Irr!BL4&lt;&gt;"."),up_dir!O4/((1/1000)*(up_Irr!AM4+up_Irr!BL4)),IF(AND(up_Irr!N4=".",up_Irr!AM4=".",up_Irr!BL4&lt;&gt;"."),up_dir!O4/((1/1000)*(up_Irr!BL4)),IF(AND(up_Irr!N4=".",up_Irr!AM4&lt;&gt;".",up_Irr!BL4="."),up_dir!O4/((1/1000)*(up_Irr!AM4)),IF(AND(up_Irr!N4&lt;&gt;".",up_Irr!AM4=".",up_Irr!BL4="."),up_dir!O4/((1/1000)*(up_Irr!N4)),IF(AND(up_Irr!N4=".",up_Irr!AM4=".",up_Irr!BL4="."),up_dir!O4*1000)))))))),".")</f>
        <v>6.5773651144152123E-11</v>
      </c>
      <c r="P4" s="76">
        <f>IFERROR(IF(AND(up_Irr!O4&lt;&gt;".",up_Irr!AN4&lt;&gt;".",up_Irr!BM4&lt;&gt;"."),up_dir!P4/((1/1000)*(up_Irr!O4+up_Irr!AN4+up_Irr!BM4)),IF(AND(up_Irr!O4&lt;&gt;".",up_Irr!AN4&lt;&gt;".",up_Irr!BM4="."),up_dir!P4/((1/1000)*(up_Irr!O4+up_Irr!AN4)),IF(AND(up_Irr!O4&lt;&gt;".",up_Irr!AN4=".",up_Irr!BM4&lt;&gt;"."),up_dir!P4/((1/1000)*(up_Irr!O4+up_Irr!BM4)),IF(AND(up_Irr!O4=".",up_Irr!AN4&lt;&gt;".",up_Irr!BM4&lt;&gt;"."),up_dir!P4/((1/1000)*(up_Irr!AN4+up_Irr!BM4)),IF(AND(up_Irr!O4=".",up_Irr!AN4=".",up_Irr!BM4&lt;&gt;"."),up_dir!P4/((1/1000)*(up_Irr!BM4)),IF(AND(up_Irr!O4=".",up_Irr!AN4&lt;&gt;".",up_Irr!BM4="."),up_dir!P4/((1/1000)*(up_Irr!AN4)),IF(AND(up_Irr!O4&lt;&gt;".",up_Irr!AN4=".",up_Irr!BM4="."),up_dir!P4/((1/1000)*(up_Irr!O4)),IF(AND(up_Irr!O4=".",up_Irr!AN4=".",up_Irr!BM4="."),up_dir!P4*1000)))))))),".")</f>
        <v>6.5773651144152123E-11</v>
      </c>
      <c r="Q4" s="76">
        <f>IFERROR(IF(AND(up_Irr!P4&lt;&gt;".",up_Irr!AO4&lt;&gt;".",up_Irr!BN4&lt;&gt;"."),up_dir!Q4/((1/1000)*(up_Irr!P4+up_Irr!AO4+up_Irr!BN4)),IF(AND(up_Irr!P4&lt;&gt;".",up_Irr!AO4&lt;&gt;".",up_Irr!BN4="."),up_dir!Q4/((1/1000)*(up_Irr!P4+up_Irr!AO4)),IF(AND(up_Irr!P4&lt;&gt;".",up_Irr!AO4=".",up_Irr!BN4&lt;&gt;"."),up_dir!Q4/((1/1000)*(up_Irr!P4+up_Irr!BN4)),IF(AND(up_Irr!P4=".",up_Irr!AO4&lt;&gt;".",up_Irr!BN4&lt;&gt;"."),up_dir!Q4/((1/1000)*(up_Irr!AO4+up_Irr!BN4)),IF(AND(up_Irr!P4=".",up_Irr!AO4=".",up_Irr!BN4&lt;&gt;"."),up_dir!Q4/((1/1000)*(up_Irr!BN4)),IF(AND(up_Irr!P4=".",up_Irr!AO4&lt;&gt;".",up_Irr!BN4="."),up_dir!Q4/((1/1000)*(up_Irr!AO4)),IF(AND(up_Irr!P4&lt;&gt;".",up_Irr!AO4=".",up_Irr!BN4="."),up_dir!Q4/((1/1000)*(up_Irr!P4)),IF(AND(up_Irr!P4=".",up_Irr!AO4=".",up_Irr!BN4="."),up_dir!Q4*1000)))))))),".")</f>
        <v>6.5773651144152123E-11</v>
      </c>
      <c r="R4" s="76">
        <f>IFERROR(IF(AND(up_Irr!Q4&lt;&gt;".",up_Irr!AP4&lt;&gt;".",up_Irr!BO4&lt;&gt;"."),up_dir!R4/((1/1000)*(up_Irr!Q4+up_Irr!AP4+up_Irr!BO4)),IF(AND(up_Irr!Q4&lt;&gt;".",up_Irr!AP4&lt;&gt;".",up_Irr!BO4="."),up_dir!R4/((1/1000)*(up_Irr!Q4+up_Irr!AP4)),IF(AND(up_Irr!Q4&lt;&gt;".",up_Irr!AP4=".",up_Irr!BO4&lt;&gt;"."),up_dir!R4/((1/1000)*(up_Irr!Q4+up_Irr!BO4)),IF(AND(up_Irr!Q4=".",up_Irr!AP4&lt;&gt;".",up_Irr!BO4&lt;&gt;"."),up_dir!R4/((1/1000)*(up_Irr!AP4+up_Irr!BO4)),IF(AND(up_Irr!Q4=".",up_Irr!AP4=".",up_Irr!BO4&lt;&gt;"."),up_dir!R4/((1/1000)*(up_Irr!BO4)),IF(AND(up_Irr!Q4=".",up_Irr!AP4&lt;&gt;".",up_Irr!BO4="."),up_dir!R4/((1/1000)*(up_Irr!AP4)),IF(AND(up_Irr!Q4&lt;&gt;".",up_Irr!AP4=".",up_Irr!BO4="."),up_dir!R4/((1/1000)*(up_Irr!Q4)),IF(AND(up_Irr!Q4=".",up_Irr!AP4=".",up_Irr!BO4="."),up_dir!R4*1000)))))))),".")</f>
        <v>6.5773651144152123E-11</v>
      </c>
      <c r="S4" s="76">
        <f>IFERROR(IF(AND(up_Irr!R4&lt;&gt;".",up_Irr!AQ4&lt;&gt;".",up_Irr!BP4&lt;&gt;"."),up_dir!S4/((1/1000)*(up_Irr!R4+up_Irr!AQ4+up_Irr!BP4)),IF(AND(up_Irr!R4&lt;&gt;".",up_Irr!AQ4&lt;&gt;".",up_Irr!BP4="."),up_dir!S4/((1/1000)*(up_Irr!R4+up_Irr!AQ4)),IF(AND(up_Irr!R4&lt;&gt;".",up_Irr!AQ4=".",up_Irr!BP4&lt;&gt;"."),up_dir!S4/((1/1000)*(up_Irr!R4+up_Irr!BP4)),IF(AND(up_Irr!R4=".",up_Irr!AQ4&lt;&gt;".",up_Irr!BP4&lt;&gt;"."),up_dir!S4/((1/1000)*(up_Irr!AQ4+up_Irr!BP4)),IF(AND(up_Irr!R4=".",up_Irr!AQ4=".",up_Irr!BP4&lt;&gt;"."),up_dir!S4/((1/1000)*(up_Irr!BP4)),IF(AND(up_Irr!R4=".",up_Irr!AQ4&lt;&gt;".",up_Irr!BP4="."),up_dir!S4/((1/1000)*(up_Irr!AQ4)),IF(AND(up_Irr!R4&lt;&gt;".",up_Irr!AQ4=".",up_Irr!BP4="."),up_dir!S4/((1/1000)*(up_Irr!R4)),IF(AND(up_Irr!R4=".",up_Irr!AQ4=".",up_Irr!BP4="."),up_dir!S4*1000)))))))),".")</f>
        <v>6.5773651144152123E-11</v>
      </c>
      <c r="T4" s="76">
        <f>IFERROR(IF(AND(up_Irr!S4&lt;&gt;".",up_Irr!AR4&lt;&gt;".",up_Irr!BQ4&lt;&gt;"."),up_dir!T4/((1/1000)*(up_Irr!S4+up_Irr!AR4+up_Irr!BQ4)),IF(AND(up_Irr!S4&lt;&gt;".",up_Irr!AR4&lt;&gt;".",up_Irr!BQ4="."),up_dir!T4/((1/1000)*(up_Irr!S4+up_Irr!AR4)),IF(AND(up_Irr!S4&lt;&gt;".",up_Irr!AR4=".",up_Irr!BQ4&lt;&gt;"."),up_dir!T4/((1/1000)*(up_Irr!S4+up_Irr!BQ4)),IF(AND(up_Irr!S4=".",up_Irr!AR4&lt;&gt;".",up_Irr!BQ4&lt;&gt;"."),up_dir!T4/((1/1000)*(up_Irr!AR4+up_Irr!BQ4)),IF(AND(up_Irr!S4=".",up_Irr!AR4=".",up_Irr!BQ4&lt;&gt;"."),up_dir!T4/((1/1000)*(up_Irr!BQ4)),IF(AND(up_Irr!S4=".",up_Irr!AR4&lt;&gt;".",up_Irr!BQ4="."),up_dir!T4/((1/1000)*(up_Irr!AR4)),IF(AND(up_Irr!S4&lt;&gt;".",up_Irr!AR4=".",up_Irr!BQ4="."),up_dir!T4/((1/1000)*(up_Irr!S4)),IF(AND(up_Irr!S4=".",up_Irr!AR4=".",up_Irr!BQ4="."),up_dir!T4*1000)))))))),".")</f>
        <v>6.5773651144152123E-11</v>
      </c>
      <c r="U4" s="76">
        <f>IFERROR(IF(AND(up_Irr!T4&lt;&gt;".",up_Irr!AS4&lt;&gt;".",up_Irr!BR4&lt;&gt;"."),up_dir!U4/((1/1000)*(up_Irr!T4+up_Irr!AS4+up_Irr!BR4)),IF(AND(up_Irr!T4&lt;&gt;".",up_Irr!AS4&lt;&gt;".",up_Irr!BR4="."),up_dir!U4/((1/1000)*(up_Irr!T4+up_Irr!AS4)),IF(AND(up_Irr!T4&lt;&gt;".",up_Irr!AS4=".",up_Irr!BR4&lt;&gt;"."),up_dir!U4/((1/1000)*(up_Irr!T4+up_Irr!BR4)),IF(AND(up_Irr!T4=".",up_Irr!AS4&lt;&gt;".",up_Irr!BR4&lt;&gt;"."),up_dir!U4/((1/1000)*(up_Irr!AS4+up_Irr!BR4)),IF(AND(up_Irr!T4=".",up_Irr!AS4=".",up_Irr!BR4&lt;&gt;"."),up_dir!U4/((1/1000)*(up_Irr!BR4)),IF(AND(up_Irr!T4=".",up_Irr!AS4&lt;&gt;".",up_Irr!BR4="."),up_dir!U4/((1/1000)*(up_Irr!AS4)),IF(AND(up_Irr!T4&lt;&gt;".",up_Irr!AS4=".",up_Irr!BR4="."),up_dir!U4/((1/1000)*(up_Irr!T4)),IF(AND(up_Irr!T4=".",up_Irr!AS4=".",up_Irr!BR4="."),up_dir!U4*1000)))))))),".")</f>
        <v>6.5773651144152123E-11</v>
      </c>
      <c r="V4" s="76">
        <f>IFERROR(IF(AND(up_Irr!U4&lt;&gt;".",up_Irr!AT4&lt;&gt;".",up_Irr!BS4&lt;&gt;"."),up_dir!V4/((1/1000)*(up_Irr!U4+up_Irr!AT4+up_Irr!BS4)),IF(AND(up_Irr!U4&lt;&gt;".",up_Irr!AT4&lt;&gt;".",up_Irr!BS4="."),up_dir!V4/((1/1000)*(up_Irr!U4+up_Irr!AT4)),IF(AND(up_Irr!U4&lt;&gt;".",up_Irr!AT4=".",up_Irr!BS4&lt;&gt;"."),up_dir!V4/((1/1000)*(up_Irr!U4+up_Irr!BS4)),IF(AND(up_Irr!U4=".",up_Irr!AT4&lt;&gt;".",up_Irr!BS4&lt;&gt;"."),up_dir!V4/((1/1000)*(up_Irr!AT4+up_Irr!BS4)),IF(AND(up_Irr!U4=".",up_Irr!AT4=".",up_Irr!BS4&lt;&gt;"."),up_dir!V4/((1/1000)*(up_Irr!BS4)),IF(AND(up_Irr!U4=".",up_Irr!AT4&lt;&gt;".",up_Irr!BS4="."),up_dir!V4/((1/1000)*(up_Irr!AT4)),IF(AND(up_Irr!U4&lt;&gt;".",up_Irr!AT4=".",up_Irr!BS4="."),up_dir!V4/((1/1000)*(up_Irr!U4)),IF(AND(up_Irr!U4=".",up_Irr!AT4=".",up_Irr!BS4="."),up_dir!V4*1000)))))))),".")</f>
        <v>6.5773651144152123E-11</v>
      </c>
      <c r="W4" s="76">
        <f>IFERROR(IF(AND(up_Irr!V4&lt;&gt;".",up_Irr!AU4&lt;&gt;".",up_Irr!BT4&lt;&gt;"."),up_dir!W4/((1/1000)*(up_Irr!V4+up_Irr!AU4+up_Irr!BT4)),IF(AND(up_Irr!V4&lt;&gt;".",up_Irr!AU4&lt;&gt;".",up_Irr!BT4="."),up_dir!W4/((1/1000)*(up_Irr!V4+up_Irr!AU4)),IF(AND(up_Irr!V4&lt;&gt;".",up_Irr!AU4=".",up_Irr!BT4&lt;&gt;"."),up_dir!W4/((1/1000)*(up_Irr!V4+up_Irr!BT4)),IF(AND(up_Irr!V4=".",up_Irr!AU4&lt;&gt;".",up_Irr!BT4&lt;&gt;"."),up_dir!W4/((1/1000)*(up_Irr!AU4+up_Irr!BT4)),IF(AND(up_Irr!V4=".",up_Irr!AU4=".",up_Irr!BT4&lt;&gt;"."),up_dir!W4/((1/1000)*(up_Irr!BT4)),IF(AND(up_Irr!V4=".",up_Irr!AU4&lt;&gt;".",up_Irr!BT4="."),up_dir!W4/((1/1000)*(up_Irr!AU4)),IF(AND(up_Irr!V4&lt;&gt;".",up_Irr!AU4=".",up_Irr!BT4="."),up_dir!W4/((1/1000)*(up_Irr!V4)),IF(AND(up_Irr!V4=".",up_Irr!AU4=".",up_Irr!BT4="."),up_dir!W4*1000)))))))),".")</f>
        <v>6.5773651144152123E-11</v>
      </c>
      <c r="X4" s="76">
        <f>IFERROR(IF(AND(up_Irr!W4&lt;&gt;".",up_Irr!AV4&lt;&gt;".",up_Irr!BU4&lt;&gt;"."),up_dir!X4/((1/1000)*(up_Irr!W4+up_Irr!AV4+up_Irr!BU4)),IF(AND(up_Irr!W4&lt;&gt;".",up_Irr!AV4&lt;&gt;".",up_Irr!BU4="."),up_dir!X4/((1/1000)*(up_Irr!W4+up_Irr!AV4)),IF(AND(up_Irr!W4&lt;&gt;".",up_Irr!AV4=".",up_Irr!BU4&lt;&gt;"."),up_dir!X4/((1/1000)*(up_Irr!W4+up_Irr!BU4)),IF(AND(up_Irr!W4=".",up_Irr!AV4&lt;&gt;".",up_Irr!BU4&lt;&gt;"."),up_dir!X4/((1/1000)*(up_Irr!AV4+up_Irr!BU4)),IF(AND(up_Irr!W4=".",up_Irr!AV4=".",up_Irr!BU4&lt;&gt;"."),up_dir!X4/((1/1000)*(up_Irr!BU4)),IF(AND(up_Irr!W4=".",up_Irr!AV4&lt;&gt;".",up_Irr!BU4="."),up_dir!X4/((1/1000)*(up_Irr!AV4)),IF(AND(up_Irr!W4&lt;&gt;".",up_Irr!AV4=".",up_Irr!BU4="."),up_dir!X4/((1/1000)*(up_Irr!W4)),IF(AND(up_Irr!W4=".",up_Irr!AV4=".",up_Irr!BU4="."),up_dir!X4*1000)))))))),".")</f>
        <v>6.5773651144152123E-11</v>
      </c>
      <c r="Y4" s="76">
        <f>IFERROR(IF(AND(up_Irr!X4&lt;&gt;".",up_Irr!AW4&lt;&gt;".",up_Irr!BV4&lt;&gt;"."),up_dir!Y4/((1/1000)*(up_Irr!X4+up_Irr!AW4+up_Irr!BV4)),IF(AND(up_Irr!X4&lt;&gt;".",up_Irr!AW4&lt;&gt;".",up_Irr!BV4="."),up_dir!Y4/((1/1000)*(up_Irr!X4+up_Irr!AW4)),IF(AND(up_Irr!X4&lt;&gt;".",up_Irr!AW4=".",up_Irr!BV4&lt;&gt;"."),up_dir!Y4/((1/1000)*(up_Irr!X4+up_Irr!BV4)),IF(AND(up_Irr!X4=".",up_Irr!AW4&lt;&gt;".",up_Irr!BV4&lt;&gt;"."),up_dir!Y4/((1/1000)*(up_Irr!AW4+up_Irr!BV4)),IF(AND(up_Irr!X4=".",up_Irr!AW4=".",up_Irr!BV4&lt;&gt;"."),up_dir!Y4/((1/1000)*(up_Irr!BV4)),IF(AND(up_Irr!X4=".",up_Irr!AW4&lt;&gt;".",up_Irr!BV4="."),up_dir!Y4/((1/1000)*(up_Irr!AW4)),IF(AND(up_Irr!X4&lt;&gt;".",up_Irr!AW4=".",up_Irr!BV4="."),up_dir!Y4/((1/1000)*(up_Irr!X4)),IF(AND(up_Irr!X4=".",up_Irr!AW4=".",up_Irr!BV4="."),up_dir!Y4*1000)))))))),".")</f>
        <v>6.5773651144152123E-11</v>
      </c>
      <c r="Z4" s="76">
        <f>IFERROR(IF(AND(up_Irr!Y4&lt;&gt;".",up_Irr!AX4&lt;&gt;".",up_Irr!BW4&lt;&gt;"."),up_dir!Z4/((1/1000)*(up_Irr!Y4+up_Irr!AX4+up_Irr!BW4)),IF(AND(up_Irr!Y4&lt;&gt;".",up_Irr!AX4&lt;&gt;".",up_Irr!BW4="."),up_dir!Z4/((1/1000)*(up_Irr!Y4+up_Irr!AX4)),IF(AND(up_Irr!Y4&lt;&gt;".",up_Irr!AX4=".",up_Irr!BW4&lt;&gt;"."),up_dir!Z4/((1/1000)*(up_Irr!Y4+up_Irr!BW4)),IF(AND(up_Irr!Y4=".",up_Irr!AX4&lt;&gt;".",up_Irr!BW4&lt;&gt;"."),up_dir!Z4/((1/1000)*(up_Irr!AX4+up_Irr!BW4)),IF(AND(up_Irr!Y4=".",up_Irr!AX4=".",up_Irr!BW4&lt;&gt;"."),up_dir!Z4/((1/1000)*(up_Irr!BW4)),IF(AND(up_Irr!Y4=".",up_Irr!AX4&lt;&gt;".",up_Irr!BW4="."),up_dir!Z4/((1/1000)*(up_Irr!AX4)),IF(AND(up_Irr!Y4&lt;&gt;".",up_Irr!AX4=".",up_Irr!BW4="."),up_dir!Z4/((1/1000)*(up_Irr!Y4)),IF(AND(up_Irr!Y4=".",up_Irr!AX4=".",up_Irr!BW4="."),up_dir!Z4*1000)))))))),".")</f>
        <v>6.5773651144152123E-11</v>
      </c>
      <c r="AA4" s="76">
        <f>IFERROR(IF(AND(up_Irr!Z4&lt;&gt;".",up_Irr!AY4&lt;&gt;".",up_Irr!BX4&lt;&gt;"."),up_dir!AA4/((1/1000)*(up_Irr!Z4+up_Irr!AY4+up_Irr!BX4)),IF(AND(up_Irr!Z4&lt;&gt;".",up_Irr!AY4&lt;&gt;".",up_Irr!BX4="."),up_dir!AA4/((1/1000)*(up_Irr!Z4+up_Irr!AY4)),IF(AND(up_Irr!Z4&lt;&gt;".",up_Irr!AY4=".",up_Irr!BX4&lt;&gt;"."),up_dir!AA4/((1/1000)*(up_Irr!Z4+up_Irr!BX4)),IF(AND(up_Irr!Z4=".",up_Irr!AY4&lt;&gt;".",up_Irr!BX4&lt;&gt;"."),up_dir!AA4/((1/1000)*(up_Irr!AY4+up_Irr!BX4)),IF(AND(up_Irr!Z4=".",up_Irr!AY4=".",up_Irr!BX4&lt;&gt;"."),up_dir!AA4/((1/1000)*(up_Irr!BX4)),IF(AND(up_Irr!Z4=".",up_Irr!AY4&lt;&gt;".",up_Irr!BX4="."),up_dir!AA4/((1/1000)*(up_Irr!AY4)),IF(AND(up_Irr!Z4&lt;&gt;".",up_Irr!AY4=".",up_Irr!BX4="."),up_dir!AA4/((1/1000)*(up_Irr!Z4)),IF(AND(up_Irr!Z4=".",up_Irr!AY4=".",up_Irr!BX4="."),up_dir!AA4*1000)))))))),".")</f>
        <v>6.5773651144152123E-11</v>
      </c>
      <c r="AB4" s="76">
        <f>IFERROR(IF(AND(up_Irr!AA4&lt;&gt;".",up_Irr!AZ4&lt;&gt;".",up_Irr!BY4&lt;&gt;"."),up_dir!AB4/((1/1000)*(up_Irr!AA4+up_Irr!AZ4+up_Irr!BY4)),IF(AND(up_Irr!AA4&lt;&gt;".",up_Irr!AZ4&lt;&gt;".",up_Irr!BY4="."),up_dir!AB4/((1/1000)*(up_Irr!AA4+up_Irr!AZ4)),IF(AND(up_Irr!AA4&lt;&gt;".",up_Irr!AZ4=".",up_Irr!BY4&lt;&gt;"."),up_dir!AB4/((1/1000)*(up_Irr!AA4+up_Irr!BY4)),IF(AND(up_Irr!AA4=".",up_Irr!AZ4&lt;&gt;".",up_Irr!BY4&lt;&gt;"."),up_dir!AB4/((1/1000)*(up_Irr!AZ4+up_Irr!BY4)),IF(AND(up_Irr!AA4=".",up_Irr!AZ4=".",up_Irr!BY4&lt;&gt;"."),up_dir!AB4/((1/1000)*(up_Irr!BY4)),IF(AND(up_Irr!AA4=".",up_Irr!AZ4&lt;&gt;".",up_Irr!BY4="."),up_dir!AB4/((1/1000)*(up_Irr!AZ4)),IF(AND(up_Irr!AA4&lt;&gt;".",up_Irr!AZ4=".",up_Irr!BY4="."),up_dir!AB4/((1/1000)*(up_Irr!AA4)),IF(AND(up_Irr!AA4=".",up_Irr!AZ4=".",up_Irr!BY4="."),up_dir!AB4*1000)))))))),".")</f>
        <v>6.5773651144152123E-11</v>
      </c>
      <c r="AC4" s="93">
        <f t="shared" si="1"/>
        <v>608146.26076229871</v>
      </c>
      <c r="AD4" s="93">
        <f>IFERROR(s_C*s_IFAP_res_adj*s_CF_apple*0.001*(up_Irr!C4+up_Irr!AB4+up_Irr!BA4),".")</f>
        <v>152036.56519057468</v>
      </c>
      <c r="AE4" s="93">
        <f>IFERROR(s_C*s_IFAS_res_adj*s_CF_asparagus*0.001*(up_Irr!D4+up_Irr!AC4+up_Irr!BB4),".")</f>
        <v>152036.56519057468</v>
      </c>
      <c r="AF4" s="93">
        <f>IFERROR(s_C*s_IFBT_res_adj*s_CF_beet*0.001*(up_Irr!E4+up_Irr!AD4+up_Irr!BC4),".")</f>
        <v>152036.56519057468</v>
      </c>
      <c r="AG4" s="93">
        <f>IFERROR(s_C*s_IFBE_res_adj*s_CF_berries*0.001*(up_Irr!F4+up_Irr!AE4+up_Irr!BD4),".")</f>
        <v>152036.56519057468</v>
      </c>
      <c r="AH4" s="93">
        <f>IFERROR(s_C*s_IFBR_res_adj*s_CF_broccoli*0.001*(up_Irr!G4+up_Irr!AF4+up_Irr!BE4),".")</f>
        <v>152036.56519057468</v>
      </c>
      <c r="AI4" s="93">
        <f>IFERROR(s_C*s_IFCB_res_adj*s_CF_cabbage*0.001*(up_Irr!H4+up_Irr!AG4+up_Irr!BF4),".")</f>
        <v>152036.56519057468</v>
      </c>
      <c r="AJ4" s="93">
        <f>IFERROR(s_C*s_IFCR_res_adj*s_CF_carrot*0.001*(up_Irr!I4+up_Irr!AH4+up_Irr!BG4),".")</f>
        <v>152036.56519057468</v>
      </c>
      <c r="AK4" s="93">
        <f>IFERROR(s_C*s_IFCI_res_adj*s_CF_citrus*0.001*(up_Irr!J4+up_Irr!AI4+up_Irr!BH4),".")</f>
        <v>152036.56519057468</v>
      </c>
      <c r="AL4" s="93">
        <f>IFERROR(s_C*s_IFCO_res_adj*s_CF_corn*0.001*(up_Irr!K4+up_Irr!AJ4+up_Irr!BI4),".")</f>
        <v>152036.56519057468</v>
      </c>
      <c r="AM4" s="93">
        <f>IFERROR(s_C*s_IFCU_res_adj*s_CF_cucumber*0.001*(up_Irr!L4+up_Irr!AK4+up_Irr!BJ4),".")</f>
        <v>152036.56519057468</v>
      </c>
      <c r="AN4" s="93">
        <f>IFERROR(s_C*s_IFLE_res_adj*s_CF_lettuce*0.001*(up_Irr!M4+up_Irr!AL4+up_Irr!BK4),".")</f>
        <v>152036.56519057468</v>
      </c>
      <c r="AO4" s="93">
        <f>IFERROR(s_C*s_IFLI_res_adj*s_CF_lima_bean*0.001*(up_Irr!N4+up_Irr!AM4+up_Irr!BL4),".")</f>
        <v>152036.56519057468</v>
      </c>
      <c r="AP4" s="93">
        <f>IFERROR(s_C*s_IFOK_res_adj*s_CF_okra*0.001*(up_Irr!O4+up_Irr!AN4+up_Irr!BM4),".")</f>
        <v>152036.56519057468</v>
      </c>
      <c r="AQ4" s="93">
        <f>IFERROR(s_C*s_IFON_res_adj*s_CF_onion*0.001*(up_Irr!P4+up_Irr!AO4+up_Irr!BN4),".")</f>
        <v>152036.56519057468</v>
      </c>
      <c r="AR4" s="93">
        <f>IFERROR(s_C*s_IFPC_res_adj*s_CF_peach*0.001*(up_Irr!Q4+up_Irr!AP4+up_Irr!BO4),".")</f>
        <v>152036.56519057468</v>
      </c>
      <c r="AS4" s="93">
        <f>IFERROR(s_C*s_IFPR_res_adj*s_CF_pear*0.001*(up_Irr!R4+up_Irr!AQ4+up_Irr!BP4),".")</f>
        <v>152036.56519057468</v>
      </c>
      <c r="AT4" s="93">
        <f>IFERROR(s_C*s_IFPE_res_adj*s_CF_peas*0.001*(up_Irr!S4+up_Irr!AR4+up_Irr!BQ4),".")</f>
        <v>152036.56519057468</v>
      </c>
      <c r="AU4" s="93">
        <f>IFERROR(s_C*s_IFPP_res_adj*s_CF_peppers*0.001*(up_Irr!T4+up_Irr!AS4+up_Irr!BR4),".")</f>
        <v>152036.56519057468</v>
      </c>
      <c r="AV4" s="93">
        <f>IFERROR(s_C*s_IFPT_res_adj*s_CF_potato*0.001*(up_Irr!U4+up_Irr!AT4+up_Irr!BS4),".")</f>
        <v>152036.56519057468</v>
      </c>
      <c r="AW4" s="93">
        <f>IFERROR(s_C*s_IFPU_res_adj*s_CF_pumpkin*0.001*(up_Irr!V4+up_Irr!AU4+up_Irr!BT4),".")</f>
        <v>152036.56519057468</v>
      </c>
      <c r="AX4" s="93">
        <f>IFERROR(s_C*s_IFSN_res_adj*s_CF_snap_bean*0.001*(up_Irr!W4+up_Irr!AV4+up_Irr!BU4),".")</f>
        <v>152036.56519057468</v>
      </c>
      <c r="AY4" s="93">
        <f>IFERROR(s_C*s_IFST_res_adj*s_CF_strawberry*0.001*(up_Irr!X4+up_Irr!AW4+up_Irr!BV4),".")</f>
        <v>152036.56519057468</v>
      </c>
      <c r="AZ4" s="93">
        <f>IFERROR(s_C*s_IFTO_res_adj*s_CF_tomato*0.001*(up_Irr!Y4+up_Irr!AX4+up_Irr!BW4),".")</f>
        <v>152036.56519057468</v>
      </c>
      <c r="BA4" s="93">
        <f>IFERROR(s_C*s_IFRI_res_adj*s_CF_rice*0.001*(up_Irr!Z4+up_Irr!AY4+up_Irr!BX4),".")</f>
        <v>152036.56519057468</v>
      </c>
      <c r="BB4" s="93">
        <f>IFERROR(s_C*s_IFCG_res_adj*s_CF_cereal*0.001*(up_Irr!AA4+up_Irr!AZ4+up_Irr!BY4),".")</f>
        <v>152036.56519057468</v>
      </c>
      <c r="BC4" s="76">
        <f t="shared" si="2"/>
        <v>1.6443412786038031E-11</v>
      </c>
      <c r="BD4" s="76">
        <f>IFERROR(IF(AND(up_Irr!C4&lt;&gt;".",up_Irr!AB4&lt;&gt;".",up_Irr!BA4&lt;&gt;"."),up_dir!AD4/((1/1000)*(up_Irr!C4+up_Irr!AB4+up_Irr!BA4)),IF(AND(up_Irr!C4&lt;&gt;".",up_Irr!AB4&lt;&gt;".",up_Irr!BA4="."),up_dir!AD4/((1/1000)*(up_Irr!C4+up_Irr!AB4)),IF(AND(up_Irr!C4&lt;&gt;".",up_Irr!AB4=".",up_Irr!BA4&lt;&gt;"."),up_dir!AD4/((1/1000)*(up_Irr!C4+up_Irr!BA4)),IF(AND(up_Irr!C4=".",up_Irr!AB4&lt;&gt;".",up_Irr!BA4&lt;&gt;"."),up_dir!AD4/((1/1000)*(up_Irr!AB4+up_Irr!BA4)),IF(AND(up_Irr!C4=".",up_Irr!AB4=".",up_Irr!BA4&lt;&gt;"."),up_dir!AD4/((1/1000)*(up_Irr!BA4)),IF(AND(up_Irr!C4=".",up_Irr!AB4&lt;&gt;".",up_Irr!BA4="."),up_dir!AD4/((1/1000)*(up_Irr!AB4)),IF(AND(up_Irr!C4&lt;&gt;".",up_Irr!AB4=".",up_Irr!BA4="."),up_dir!AD4/((1/1000)*(up_Irr!C4)),IF(AND(up_Irr!C4=".",up_Irr!AB4=".",up_Irr!BA4="."),up_dir!AD4*1000)))))))),".")</f>
        <v>6.5773651144152123E-11</v>
      </c>
      <c r="BE4" s="76">
        <f>IFERROR(IF(AND(up_Irr!D4&lt;&gt;".",up_Irr!AC4&lt;&gt;".",up_Irr!BB4&lt;&gt;"."),up_dir!AE4/((1/1000)*(up_Irr!D4+up_Irr!AC4+up_Irr!BB4)),IF(AND(up_Irr!D4&lt;&gt;".",up_Irr!AC4&lt;&gt;".",up_Irr!BB4="."),up_dir!AE4/((1/1000)*(up_Irr!D4+up_Irr!AC4)),IF(AND(up_Irr!D4&lt;&gt;".",up_Irr!AC4=".",up_Irr!BB4&lt;&gt;"."),up_dir!AE4/((1/1000)*(up_Irr!D4+up_Irr!BB4)),IF(AND(up_Irr!D4=".",up_Irr!AC4&lt;&gt;".",up_Irr!BB4&lt;&gt;"."),up_dir!AE4/((1/1000)*(up_Irr!AC4+up_Irr!BB4)),IF(AND(up_Irr!D4=".",up_Irr!AC4=".",up_Irr!BB4&lt;&gt;"."),up_dir!AE4/((1/1000)*(up_Irr!BB4)),IF(AND(up_Irr!D4=".",up_Irr!AC4&lt;&gt;".",up_Irr!BB4="."),up_dir!AE4/((1/1000)*(up_Irr!AC4)),IF(AND(up_Irr!D4&lt;&gt;".",up_Irr!AC4=".",up_Irr!BB4="."),up_dir!AE4/((1/1000)*(up_Irr!D4)),IF(AND(up_Irr!D4=".",up_Irr!AC4=".",up_Irr!BB4="."),up_dir!AE4*1000)))))))),".")</f>
        <v>6.5773651144152123E-11</v>
      </c>
      <c r="BF4" s="76">
        <f>IFERROR(IF(AND(up_Irr!E4&lt;&gt;".",up_Irr!AD4&lt;&gt;".",up_Irr!BC4&lt;&gt;"."),up_dir!AF4/((1/1000)*(up_Irr!E4+up_Irr!AD4+up_Irr!BC4)),IF(AND(up_Irr!E4&lt;&gt;".",up_Irr!AD4&lt;&gt;".",up_Irr!BC4="."),up_dir!AF4/((1/1000)*(up_Irr!E4+up_Irr!AD4)),IF(AND(up_Irr!E4&lt;&gt;".",up_Irr!AD4=".",up_Irr!BC4&lt;&gt;"."),up_dir!AF4/((1/1000)*(up_Irr!E4+up_Irr!BC4)),IF(AND(up_Irr!E4=".",up_Irr!AD4&lt;&gt;".",up_Irr!BC4&lt;&gt;"."),up_dir!AF4/((1/1000)*(up_Irr!AD4+up_Irr!BC4)),IF(AND(up_Irr!E4=".",up_Irr!AD4=".",up_Irr!BC4&lt;&gt;"."),up_dir!AF4/((1/1000)*(up_Irr!BC4)),IF(AND(up_Irr!E4=".",up_Irr!AD4&lt;&gt;".",up_Irr!BC4="."),up_dir!AF4/((1/1000)*(up_Irr!AD4)),IF(AND(up_Irr!E4&lt;&gt;".",up_Irr!AD4=".",up_Irr!BC4="."),up_dir!AF4/((1/1000)*(up_Irr!E4)),IF(AND(up_Irr!E4=".",up_Irr!AD4=".",up_Irr!BC4="."),up_dir!AF4*1000)))))))),".")</f>
        <v>6.5773651144152123E-11</v>
      </c>
      <c r="BG4" s="76">
        <f>IFERROR(IF(AND(up_Irr!F4&lt;&gt;".",up_Irr!AE4&lt;&gt;".",up_Irr!BD4&lt;&gt;"."),up_dir!AG4/((1/1000)*(up_Irr!F4+up_Irr!AE4+up_Irr!BD4)),IF(AND(up_Irr!F4&lt;&gt;".",up_Irr!AE4&lt;&gt;".",up_Irr!BD4="."),up_dir!AG4/((1/1000)*(up_Irr!F4+up_Irr!AE4)),IF(AND(up_Irr!F4&lt;&gt;".",up_Irr!AE4=".",up_Irr!BD4&lt;&gt;"."),up_dir!AG4/((1/1000)*(up_Irr!F4+up_Irr!BD4)),IF(AND(up_Irr!F4=".",up_Irr!AE4&lt;&gt;".",up_Irr!BD4&lt;&gt;"."),up_dir!AG4/((1/1000)*(up_Irr!AE4+up_Irr!BD4)),IF(AND(up_Irr!F4=".",up_Irr!AE4=".",up_Irr!BD4&lt;&gt;"."),up_dir!AG4/((1/1000)*(up_Irr!BD4)),IF(AND(up_Irr!F4=".",up_Irr!AE4&lt;&gt;".",up_Irr!BD4="."),up_dir!AG4/((1/1000)*(up_Irr!AE4)),IF(AND(up_Irr!F4&lt;&gt;".",up_Irr!AE4=".",up_Irr!BD4="."),up_dir!AG4/((1/1000)*(up_Irr!F4)),IF(AND(up_Irr!F4=".",up_Irr!AE4=".",up_Irr!BD4="."),up_dir!AG4*1000)))))))),".")</f>
        <v>6.5773651144152123E-11</v>
      </c>
      <c r="BH4" s="76">
        <f>IFERROR(IF(AND(up_Irr!G4&lt;&gt;".",up_Irr!AF4&lt;&gt;".",up_Irr!BE4&lt;&gt;"."),up_dir!AH4/((1/1000)*(up_Irr!G4+up_Irr!AF4+up_Irr!BE4)),IF(AND(up_Irr!G4&lt;&gt;".",up_Irr!AF4&lt;&gt;".",up_Irr!BE4="."),up_dir!AH4/((1/1000)*(up_Irr!G4+up_Irr!AF4)),IF(AND(up_Irr!G4&lt;&gt;".",up_Irr!AF4=".",up_Irr!BE4&lt;&gt;"."),up_dir!AH4/((1/1000)*(up_Irr!G4+up_Irr!BE4)),IF(AND(up_Irr!G4=".",up_Irr!AF4&lt;&gt;".",up_Irr!BE4&lt;&gt;"."),up_dir!AH4/((1/1000)*(up_Irr!AF4+up_Irr!BE4)),IF(AND(up_Irr!G4=".",up_Irr!AF4=".",up_Irr!BE4&lt;&gt;"."),up_dir!AH4/((1/1000)*(up_Irr!BE4)),IF(AND(up_Irr!G4=".",up_Irr!AF4&lt;&gt;".",up_Irr!BE4="."),up_dir!AH4/((1/1000)*(up_Irr!AF4)),IF(AND(up_Irr!G4&lt;&gt;".",up_Irr!AF4=".",up_Irr!BE4="."),up_dir!AH4/((1/1000)*(up_Irr!G4)),IF(AND(up_Irr!G4=".",up_Irr!AF4=".",up_Irr!BE4="."),up_dir!AH4*1000)))))))),".")</f>
        <v>6.5773651144152123E-11</v>
      </c>
      <c r="BI4" s="76">
        <f>IFERROR(IF(AND(up_Irr!H4&lt;&gt;".",up_Irr!AG4&lt;&gt;".",up_Irr!BF4&lt;&gt;"."),up_dir!AI4/((1/1000)*(up_Irr!H4+up_Irr!AG4+up_Irr!BF4)),IF(AND(up_Irr!H4&lt;&gt;".",up_Irr!AG4&lt;&gt;".",up_Irr!BF4="."),up_dir!AI4/((1/1000)*(up_Irr!H4+up_Irr!AG4)),IF(AND(up_Irr!H4&lt;&gt;".",up_Irr!AG4=".",up_Irr!BF4&lt;&gt;"."),up_dir!AI4/((1/1000)*(up_Irr!H4+up_Irr!BF4)),IF(AND(up_Irr!H4=".",up_Irr!AG4&lt;&gt;".",up_Irr!BF4&lt;&gt;"."),up_dir!AI4/((1/1000)*(up_Irr!AG4+up_Irr!BF4)),IF(AND(up_Irr!H4=".",up_Irr!AG4=".",up_Irr!BF4&lt;&gt;"."),up_dir!AI4/((1/1000)*(up_Irr!BF4)),IF(AND(up_Irr!H4=".",up_Irr!AG4&lt;&gt;".",up_Irr!BF4="."),up_dir!AI4/((1/1000)*(up_Irr!AG4)),IF(AND(up_Irr!H4&lt;&gt;".",up_Irr!AG4=".",up_Irr!BF4="."),up_dir!AI4/((1/1000)*(up_Irr!H4)),IF(AND(up_Irr!H4=".",up_Irr!AG4=".",up_Irr!BF4="."),up_dir!AI4*1000)))))))),".")</f>
        <v>6.5773651144152123E-11</v>
      </c>
      <c r="BJ4" s="76">
        <f>IFERROR(IF(AND(up_Irr!I4&lt;&gt;".",up_Irr!AH4&lt;&gt;".",up_Irr!BG4&lt;&gt;"."),up_dir!AJ4/((1/1000)*(up_Irr!I4+up_Irr!AH4+up_Irr!BG4)),IF(AND(up_Irr!I4&lt;&gt;".",up_Irr!AH4&lt;&gt;".",up_Irr!BG4="."),up_dir!AJ4/((1/1000)*(up_Irr!I4+up_Irr!AH4)),IF(AND(up_Irr!I4&lt;&gt;".",up_Irr!AH4=".",up_Irr!BG4&lt;&gt;"."),up_dir!AJ4/((1/1000)*(up_Irr!I4+up_Irr!BG4)),IF(AND(up_Irr!I4=".",up_Irr!AH4&lt;&gt;".",up_Irr!BG4&lt;&gt;"."),up_dir!AJ4/((1/1000)*(up_Irr!AH4+up_Irr!BG4)),IF(AND(up_Irr!I4=".",up_Irr!AH4=".",up_Irr!BG4&lt;&gt;"."),up_dir!AJ4/((1/1000)*(up_Irr!BG4)),IF(AND(up_Irr!I4=".",up_Irr!AH4&lt;&gt;".",up_Irr!BG4="."),up_dir!AJ4/((1/1000)*(up_Irr!AH4)),IF(AND(up_Irr!I4&lt;&gt;".",up_Irr!AH4=".",up_Irr!BG4="."),up_dir!AJ4/((1/1000)*(up_Irr!I4)),IF(AND(up_Irr!I4=".",up_Irr!AH4=".",up_Irr!BG4="."),up_dir!AJ4*1000)))))))),".")</f>
        <v>6.5773651144152123E-11</v>
      </c>
      <c r="BK4" s="76">
        <f>IFERROR(IF(AND(up_Irr!J4&lt;&gt;".",up_Irr!AI4&lt;&gt;".",up_Irr!BH4&lt;&gt;"."),up_dir!AK4/((1/1000)*(up_Irr!J4+up_Irr!AI4+up_Irr!BH4)),IF(AND(up_Irr!J4&lt;&gt;".",up_Irr!AI4&lt;&gt;".",up_Irr!BH4="."),up_dir!AK4/((1/1000)*(up_Irr!J4+up_Irr!AI4)),IF(AND(up_Irr!J4&lt;&gt;".",up_Irr!AI4=".",up_Irr!BH4&lt;&gt;"."),up_dir!AK4/((1/1000)*(up_Irr!J4+up_Irr!BH4)),IF(AND(up_Irr!J4=".",up_Irr!AI4&lt;&gt;".",up_Irr!BH4&lt;&gt;"."),up_dir!AK4/((1/1000)*(up_Irr!AI4+up_Irr!BH4)),IF(AND(up_Irr!J4=".",up_Irr!AI4=".",up_Irr!BH4&lt;&gt;"."),up_dir!AK4/((1/1000)*(up_Irr!BH4)),IF(AND(up_Irr!J4=".",up_Irr!AI4&lt;&gt;".",up_Irr!BH4="."),up_dir!AK4/((1/1000)*(up_Irr!AI4)),IF(AND(up_Irr!J4&lt;&gt;".",up_Irr!AI4=".",up_Irr!BH4="."),up_dir!AK4/((1/1000)*(up_Irr!J4)),IF(AND(up_Irr!J4=".",up_Irr!AI4=".",up_Irr!BH4="."),up_dir!AK4*1000)))))))),".")</f>
        <v>6.5773651144152123E-11</v>
      </c>
      <c r="BL4" s="76">
        <f>IFERROR(IF(AND(up_Irr!K4&lt;&gt;".",up_Irr!AJ4&lt;&gt;".",up_Irr!BI4&lt;&gt;"."),up_dir!AL4/((1/1000)*(up_Irr!K4+up_Irr!AJ4+up_Irr!BI4)),IF(AND(up_Irr!K4&lt;&gt;".",up_Irr!AJ4&lt;&gt;".",up_Irr!BI4="."),up_dir!AL4/((1/1000)*(up_Irr!K4+up_Irr!AJ4)),IF(AND(up_Irr!K4&lt;&gt;".",up_Irr!AJ4=".",up_Irr!BI4&lt;&gt;"."),up_dir!AL4/((1/1000)*(up_Irr!K4+up_Irr!BI4)),IF(AND(up_Irr!K4=".",up_Irr!AJ4&lt;&gt;".",up_Irr!BI4&lt;&gt;"."),up_dir!AL4/((1/1000)*(up_Irr!AJ4+up_Irr!BI4)),IF(AND(up_Irr!K4=".",up_Irr!AJ4=".",up_Irr!BI4&lt;&gt;"."),up_dir!AL4/((1/1000)*(up_Irr!BI4)),IF(AND(up_Irr!K4=".",up_Irr!AJ4&lt;&gt;".",up_Irr!BI4="."),up_dir!AL4/((1/1000)*(up_Irr!AJ4)),IF(AND(up_Irr!K4&lt;&gt;".",up_Irr!AJ4=".",up_Irr!BI4="."),up_dir!AL4/((1/1000)*(up_Irr!K4)),IF(AND(up_Irr!K4=".",up_Irr!AJ4=".",up_Irr!BI4="."),up_dir!AL4*1000)))))))),".")</f>
        <v>6.5773651144152123E-11</v>
      </c>
      <c r="BM4" s="76">
        <f>IFERROR(IF(AND(up_Irr!L4&lt;&gt;".",up_Irr!AK4&lt;&gt;".",up_Irr!BJ4&lt;&gt;"."),up_dir!AM4/((1/1000)*(up_Irr!L4+up_Irr!AK4+up_Irr!BJ4)),IF(AND(up_Irr!L4&lt;&gt;".",up_Irr!AK4&lt;&gt;".",up_Irr!BJ4="."),up_dir!AM4/((1/1000)*(up_Irr!L4+up_Irr!AK4)),IF(AND(up_Irr!L4&lt;&gt;".",up_Irr!AK4=".",up_Irr!BJ4&lt;&gt;"."),up_dir!AM4/((1/1000)*(up_Irr!L4+up_Irr!BJ4)),IF(AND(up_Irr!L4=".",up_Irr!AK4&lt;&gt;".",up_Irr!BJ4&lt;&gt;"."),up_dir!AM4/((1/1000)*(up_Irr!AK4+up_Irr!BJ4)),IF(AND(up_Irr!L4=".",up_Irr!AK4=".",up_Irr!BJ4&lt;&gt;"."),up_dir!AM4/((1/1000)*(up_Irr!BJ4)),IF(AND(up_Irr!L4=".",up_Irr!AK4&lt;&gt;".",up_Irr!BJ4="."),up_dir!AM4/((1/1000)*(up_Irr!AK4)),IF(AND(up_Irr!L4&lt;&gt;".",up_Irr!AK4=".",up_Irr!BJ4="."),up_dir!AM4/((1/1000)*(up_Irr!L4)),IF(AND(up_Irr!L4=".",up_Irr!AK4=".",up_Irr!BJ4="."),up_dir!AM4*1000)))))))),".")</f>
        <v>6.5773651144152123E-11</v>
      </c>
      <c r="BN4" s="76">
        <f>IFERROR(IF(AND(up_Irr!M4&lt;&gt;".",up_Irr!AL4&lt;&gt;".",up_Irr!BK4&lt;&gt;"."),up_dir!AN4/((1/1000)*(up_Irr!M4+up_Irr!AL4+up_Irr!BK4)),IF(AND(up_Irr!M4&lt;&gt;".",up_Irr!AL4&lt;&gt;".",up_Irr!BK4="."),up_dir!AN4/((1/1000)*(up_Irr!M4+up_Irr!AL4)),IF(AND(up_Irr!M4&lt;&gt;".",up_Irr!AL4=".",up_Irr!BK4&lt;&gt;"."),up_dir!AN4/((1/1000)*(up_Irr!M4+up_Irr!BK4)),IF(AND(up_Irr!M4=".",up_Irr!AL4&lt;&gt;".",up_Irr!BK4&lt;&gt;"."),up_dir!AN4/((1/1000)*(up_Irr!AL4+up_Irr!BK4)),IF(AND(up_Irr!M4=".",up_Irr!AL4=".",up_Irr!BK4&lt;&gt;"."),up_dir!AN4/((1/1000)*(up_Irr!BK4)),IF(AND(up_Irr!M4=".",up_Irr!AL4&lt;&gt;".",up_Irr!BK4="."),up_dir!AN4/((1/1000)*(up_Irr!AL4)),IF(AND(up_Irr!M4&lt;&gt;".",up_Irr!AL4=".",up_Irr!BK4="."),up_dir!AN4/((1/1000)*(up_Irr!M4)),IF(AND(up_Irr!M4=".",up_Irr!AL4=".",up_Irr!BK4="."),up_dir!AN4*1000)))))))),".")</f>
        <v>6.5773651144152123E-11</v>
      </c>
      <c r="BO4" s="76">
        <f>IFERROR(IF(AND(up_Irr!N4&lt;&gt;".",up_Irr!AM4&lt;&gt;".",up_Irr!BL4&lt;&gt;"."),up_dir!AO4/((1/1000)*(up_Irr!N4+up_Irr!AM4+up_Irr!BL4)),IF(AND(up_Irr!N4&lt;&gt;".",up_Irr!AM4&lt;&gt;".",up_Irr!BL4="."),up_dir!AO4/((1/1000)*(up_Irr!N4+up_Irr!AM4)),IF(AND(up_Irr!N4&lt;&gt;".",up_Irr!AM4=".",up_Irr!BL4&lt;&gt;"."),up_dir!AO4/((1/1000)*(up_Irr!N4+up_Irr!BL4)),IF(AND(up_Irr!N4=".",up_Irr!AM4&lt;&gt;".",up_Irr!BL4&lt;&gt;"."),up_dir!AO4/((1/1000)*(up_Irr!AM4+up_Irr!BL4)),IF(AND(up_Irr!N4=".",up_Irr!AM4=".",up_Irr!BL4&lt;&gt;"."),up_dir!AO4/((1/1000)*(up_Irr!BL4)),IF(AND(up_Irr!N4=".",up_Irr!AM4&lt;&gt;".",up_Irr!BL4="."),up_dir!AO4/((1/1000)*(up_Irr!AM4)),IF(AND(up_Irr!N4&lt;&gt;".",up_Irr!AM4=".",up_Irr!BL4="."),up_dir!AO4/((1/1000)*(up_Irr!N4)),IF(AND(up_Irr!N4=".",up_Irr!AM4=".",up_Irr!BL4="."),up_dir!AO4*1000)))))))),".")</f>
        <v>6.5773651144152123E-11</v>
      </c>
      <c r="BP4" s="76">
        <f>IFERROR(IF(AND(up_Irr!O4&lt;&gt;".",up_Irr!AN4&lt;&gt;".",up_Irr!BM4&lt;&gt;"."),up_dir!AP4/((1/1000)*(up_Irr!O4+up_Irr!AN4+up_Irr!BM4)),IF(AND(up_Irr!O4&lt;&gt;".",up_Irr!AN4&lt;&gt;".",up_Irr!BM4="."),up_dir!AP4/((1/1000)*(up_Irr!O4+up_Irr!AN4)),IF(AND(up_Irr!O4&lt;&gt;".",up_Irr!AN4=".",up_Irr!BM4&lt;&gt;"."),up_dir!AP4/((1/1000)*(up_Irr!O4+up_Irr!BM4)),IF(AND(up_Irr!O4=".",up_Irr!AN4&lt;&gt;".",up_Irr!BM4&lt;&gt;"."),up_dir!AP4/((1/1000)*(up_Irr!AN4+up_Irr!BM4)),IF(AND(up_Irr!O4=".",up_Irr!AN4=".",up_Irr!BM4&lt;&gt;"."),up_dir!AP4/((1/1000)*(up_Irr!BM4)),IF(AND(up_Irr!O4=".",up_Irr!AN4&lt;&gt;".",up_Irr!BM4="."),up_dir!AP4/((1/1000)*(up_Irr!AN4)),IF(AND(up_Irr!O4&lt;&gt;".",up_Irr!AN4=".",up_Irr!BM4="."),up_dir!AP4/((1/1000)*(up_Irr!O4)),IF(AND(up_Irr!O4=".",up_Irr!AN4=".",up_Irr!BM4="."),up_dir!AP4*1000)))))))),".")</f>
        <v>6.5773651144152123E-11</v>
      </c>
      <c r="BQ4" s="76">
        <f>IFERROR(IF(AND(up_Irr!P4&lt;&gt;".",up_Irr!AO4&lt;&gt;".",up_Irr!BN4&lt;&gt;"."),up_dir!AQ4/((1/1000)*(up_Irr!P4+up_Irr!AO4+up_Irr!BN4)),IF(AND(up_Irr!P4&lt;&gt;".",up_Irr!AO4&lt;&gt;".",up_Irr!BN4="."),up_dir!AQ4/((1/1000)*(up_Irr!P4+up_Irr!AO4)),IF(AND(up_Irr!P4&lt;&gt;".",up_Irr!AO4=".",up_Irr!BN4&lt;&gt;"."),up_dir!AQ4/((1/1000)*(up_Irr!P4+up_Irr!BN4)),IF(AND(up_Irr!P4=".",up_Irr!AO4&lt;&gt;".",up_Irr!BN4&lt;&gt;"."),up_dir!AQ4/((1/1000)*(up_Irr!AO4+up_Irr!BN4)),IF(AND(up_Irr!P4=".",up_Irr!AO4=".",up_Irr!BN4&lt;&gt;"."),up_dir!AQ4/((1/1000)*(up_Irr!BN4)),IF(AND(up_Irr!P4=".",up_Irr!AO4&lt;&gt;".",up_Irr!BN4="."),up_dir!AQ4/((1/1000)*(up_Irr!AO4)),IF(AND(up_Irr!P4&lt;&gt;".",up_Irr!AO4=".",up_Irr!BN4="."),up_dir!AQ4/((1/1000)*(up_Irr!P4)),IF(AND(up_Irr!P4=".",up_Irr!AO4=".",up_Irr!BN4="."),up_dir!AQ4*1000)))))))),".")</f>
        <v>6.5773651144152123E-11</v>
      </c>
      <c r="BR4" s="76">
        <f>IFERROR(IF(AND(up_Irr!Q4&lt;&gt;".",up_Irr!AP4&lt;&gt;".",up_Irr!BO4&lt;&gt;"."),up_dir!AR4/((1/1000)*(up_Irr!Q4+up_Irr!AP4+up_Irr!BO4)),IF(AND(up_Irr!Q4&lt;&gt;".",up_Irr!AP4&lt;&gt;".",up_Irr!BO4="."),up_dir!AR4/((1/1000)*(up_Irr!Q4+up_Irr!AP4)),IF(AND(up_Irr!Q4&lt;&gt;".",up_Irr!AP4=".",up_Irr!BO4&lt;&gt;"."),up_dir!AR4/((1/1000)*(up_Irr!Q4+up_Irr!BO4)),IF(AND(up_Irr!Q4=".",up_Irr!AP4&lt;&gt;".",up_Irr!BO4&lt;&gt;"."),up_dir!AR4/((1/1000)*(up_Irr!AP4+up_Irr!BO4)),IF(AND(up_Irr!Q4=".",up_Irr!AP4=".",up_Irr!BO4&lt;&gt;"."),up_dir!AR4/((1/1000)*(up_Irr!BO4)),IF(AND(up_Irr!Q4=".",up_Irr!AP4&lt;&gt;".",up_Irr!BO4="."),up_dir!AR4/((1/1000)*(up_Irr!AP4)),IF(AND(up_Irr!Q4&lt;&gt;".",up_Irr!AP4=".",up_Irr!BO4="."),up_dir!AR4/((1/1000)*(up_Irr!Q4)),IF(AND(up_Irr!Q4=".",up_Irr!AP4=".",up_Irr!BO4="."),up_dir!AR4*1000)))))))),".")</f>
        <v>6.5773651144152123E-11</v>
      </c>
      <c r="BS4" s="76">
        <f>IFERROR(IF(AND(up_Irr!R4&lt;&gt;".",up_Irr!AQ4&lt;&gt;".",up_Irr!BP4&lt;&gt;"."),up_dir!AS4/((1/1000)*(up_Irr!R4+up_Irr!AQ4+up_Irr!BP4)),IF(AND(up_Irr!R4&lt;&gt;".",up_Irr!AQ4&lt;&gt;".",up_Irr!BP4="."),up_dir!AS4/((1/1000)*(up_Irr!R4+up_Irr!AQ4)),IF(AND(up_Irr!R4&lt;&gt;".",up_Irr!AQ4=".",up_Irr!BP4&lt;&gt;"."),up_dir!AS4/((1/1000)*(up_Irr!R4+up_Irr!BP4)),IF(AND(up_Irr!R4=".",up_Irr!AQ4&lt;&gt;".",up_Irr!BP4&lt;&gt;"."),up_dir!AS4/((1/1000)*(up_Irr!AQ4+up_Irr!BP4)),IF(AND(up_Irr!R4=".",up_Irr!AQ4=".",up_Irr!BP4&lt;&gt;"."),up_dir!AS4/((1/1000)*(up_Irr!BP4)),IF(AND(up_Irr!R4=".",up_Irr!AQ4&lt;&gt;".",up_Irr!BP4="."),up_dir!AS4/((1/1000)*(up_Irr!AQ4)),IF(AND(up_Irr!R4&lt;&gt;".",up_Irr!AQ4=".",up_Irr!BP4="."),up_dir!AS4/((1/1000)*(up_Irr!R4)),IF(AND(up_Irr!R4=".",up_Irr!AQ4=".",up_Irr!BP4="."),up_dir!AS4*1000)))))))),".")</f>
        <v>6.5773651144152123E-11</v>
      </c>
      <c r="BT4" s="76">
        <f>IFERROR(IF(AND(up_Irr!S4&lt;&gt;".",up_Irr!AR4&lt;&gt;".",up_Irr!BQ4&lt;&gt;"."),up_dir!AT4/((1/1000)*(up_Irr!S4+up_Irr!AR4+up_Irr!BQ4)),IF(AND(up_Irr!S4&lt;&gt;".",up_Irr!AR4&lt;&gt;".",up_Irr!BQ4="."),up_dir!AT4/((1/1000)*(up_Irr!S4+up_Irr!AR4)),IF(AND(up_Irr!S4&lt;&gt;".",up_Irr!AR4=".",up_Irr!BQ4&lt;&gt;"."),up_dir!AT4/((1/1000)*(up_Irr!S4+up_Irr!BQ4)),IF(AND(up_Irr!S4=".",up_Irr!AR4&lt;&gt;".",up_Irr!BQ4&lt;&gt;"."),up_dir!AT4/((1/1000)*(up_Irr!AR4+up_Irr!BQ4)),IF(AND(up_Irr!S4=".",up_Irr!AR4=".",up_Irr!BQ4&lt;&gt;"."),up_dir!AT4/((1/1000)*(up_Irr!BQ4)),IF(AND(up_Irr!S4=".",up_Irr!AR4&lt;&gt;".",up_Irr!BQ4="."),up_dir!AT4/((1/1000)*(up_Irr!AR4)),IF(AND(up_Irr!S4&lt;&gt;".",up_Irr!AR4=".",up_Irr!BQ4="."),up_dir!AT4/((1/1000)*(up_Irr!S4)),IF(AND(up_Irr!S4=".",up_Irr!AR4=".",up_Irr!BQ4="."),up_dir!AT4*1000)))))))),".")</f>
        <v>6.5773651144152123E-11</v>
      </c>
      <c r="BU4" s="76">
        <f>IFERROR(IF(AND(up_Irr!T4&lt;&gt;".",up_Irr!AS4&lt;&gt;".",up_Irr!BR4&lt;&gt;"."),up_dir!AU4/((1/1000)*(up_Irr!T4+up_Irr!AS4+up_Irr!BR4)),IF(AND(up_Irr!T4&lt;&gt;".",up_Irr!AS4&lt;&gt;".",up_Irr!BR4="."),up_dir!AU4/((1/1000)*(up_Irr!T4+up_Irr!AS4)),IF(AND(up_Irr!T4&lt;&gt;".",up_Irr!AS4=".",up_Irr!BR4&lt;&gt;"."),up_dir!AU4/((1/1000)*(up_Irr!T4+up_Irr!BR4)),IF(AND(up_Irr!T4=".",up_Irr!AS4&lt;&gt;".",up_Irr!BR4&lt;&gt;"."),up_dir!AU4/((1/1000)*(up_Irr!AS4+up_Irr!BR4)),IF(AND(up_Irr!T4=".",up_Irr!AS4=".",up_Irr!BR4&lt;&gt;"."),up_dir!AU4/((1/1000)*(up_Irr!BR4)),IF(AND(up_Irr!T4=".",up_Irr!AS4&lt;&gt;".",up_Irr!BR4="."),up_dir!AU4/((1/1000)*(up_Irr!AS4)),IF(AND(up_Irr!T4&lt;&gt;".",up_Irr!AS4=".",up_Irr!BR4="."),up_dir!AU4/((1/1000)*(up_Irr!T4)),IF(AND(up_Irr!T4=".",up_Irr!AS4=".",up_Irr!BR4="."),up_dir!AU4*1000)))))))),".")</f>
        <v>6.5773651144152123E-11</v>
      </c>
      <c r="BV4" s="76">
        <f>IFERROR(IF(AND(up_Irr!U4&lt;&gt;".",up_Irr!AT4&lt;&gt;".",up_Irr!BS4&lt;&gt;"."),up_dir!AV4/((1/1000)*(up_Irr!U4+up_Irr!AT4+up_Irr!BS4)),IF(AND(up_Irr!U4&lt;&gt;".",up_Irr!AT4&lt;&gt;".",up_Irr!BS4="."),up_dir!AV4/((1/1000)*(up_Irr!U4+up_Irr!AT4)),IF(AND(up_Irr!U4&lt;&gt;".",up_Irr!AT4=".",up_Irr!BS4&lt;&gt;"."),up_dir!AV4/((1/1000)*(up_Irr!U4+up_Irr!BS4)),IF(AND(up_Irr!U4=".",up_Irr!AT4&lt;&gt;".",up_Irr!BS4&lt;&gt;"."),up_dir!AV4/((1/1000)*(up_Irr!AT4+up_Irr!BS4)),IF(AND(up_Irr!U4=".",up_Irr!AT4=".",up_Irr!BS4&lt;&gt;"."),up_dir!AV4/((1/1000)*(up_Irr!BS4)),IF(AND(up_Irr!U4=".",up_Irr!AT4&lt;&gt;".",up_Irr!BS4="."),up_dir!AV4/((1/1000)*(up_Irr!AT4)),IF(AND(up_Irr!U4&lt;&gt;".",up_Irr!AT4=".",up_Irr!BS4="."),up_dir!AV4/((1/1000)*(up_Irr!U4)),IF(AND(up_Irr!U4=".",up_Irr!AT4=".",up_Irr!BS4="."),up_dir!AV4*1000)))))))),".")</f>
        <v>6.5773651144152123E-11</v>
      </c>
      <c r="BW4" s="76">
        <f>IFERROR(IF(AND(up_Irr!V4&lt;&gt;".",up_Irr!AU4&lt;&gt;".",up_Irr!BT4&lt;&gt;"."),up_dir!AW4/((1/1000)*(up_Irr!V4+up_Irr!AU4+up_Irr!BT4)),IF(AND(up_Irr!V4&lt;&gt;".",up_Irr!AU4&lt;&gt;".",up_Irr!BT4="."),up_dir!AW4/((1/1000)*(up_Irr!V4+up_Irr!AU4)),IF(AND(up_Irr!V4&lt;&gt;".",up_Irr!AU4=".",up_Irr!BT4&lt;&gt;"."),up_dir!AW4/((1/1000)*(up_Irr!V4+up_Irr!BT4)),IF(AND(up_Irr!V4=".",up_Irr!AU4&lt;&gt;".",up_Irr!BT4&lt;&gt;"."),up_dir!AW4/((1/1000)*(up_Irr!AU4+up_Irr!BT4)),IF(AND(up_Irr!V4=".",up_Irr!AU4=".",up_Irr!BT4&lt;&gt;"."),up_dir!AW4/((1/1000)*(up_Irr!BT4)),IF(AND(up_Irr!V4=".",up_Irr!AU4&lt;&gt;".",up_Irr!BT4="."),up_dir!AW4/((1/1000)*(up_Irr!AU4)),IF(AND(up_Irr!V4&lt;&gt;".",up_Irr!AU4=".",up_Irr!BT4="."),up_dir!AW4/((1/1000)*(up_Irr!V4)),IF(AND(up_Irr!V4=".",up_Irr!AU4=".",up_Irr!BT4="."),up_dir!AW4*1000)))))))),".")</f>
        <v>6.5773651144152123E-11</v>
      </c>
      <c r="BX4" s="76">
        <f>IFERROR(IF(AND(up_Irr!W4&lt;&gt;".",up_Irr!AV4&lt;&gt;".",up_Irr!BU4&lt;&gt;"."),up_dir!AX4/((1/1000)*(up_Irr!W4+up_Irr!AV4+up_Irr!BU4)),IF(AND(up_Irr!W4&lt;&gt;".",up_Irr!AV4&lt;&gt;".",up_Irr!BU4="."),up_dir!AX4/((1/1000)*(up_Irr!W4+up_Irr!AV4)),IF(AND(up_Irr!W4&lt;&gt;".",up_Irr!AV4=".",up_Irr!BU4&lt;&gt;"."),up_dir!AX4/((1/1000)*(up_Irr!W4+up_Irr!BU4)),IF(AND(up_Irr!W4=".",up_Irr!AV4&lt;&gt;".",up_Irr!BU4&lt;&gt;"."),up_dir!AX4/((1/1000)*(up_Irr!AV4+up_Irr!BU4)),IF(AND(up_Irr!W4=".",up_Irr!AV4=".",up_Irr!BU4&lt;&gt;"."),up_dir!AX4/((1/1000)*(up_Irr!BU4)),IF(AND(up_Irr!W4=".",up_Irr!AV4&lt;&gt;".",up_Irr!BU4="."),up_dir!AX4/((1/1000)*(up_Irr!AV4)),IF(AND(up_Irr!W4&lt;&gt;".",up_Irr!AV4=".",up_Irr!BU4="."),up_dir!AX4/((1/1000)*(up_Irr!W4)),IF(AND(up_Irr!W4=".",up_Irr!AV4=".",up_Irr!BU4="."),up_dir!AX4*1000)))))))),".")</f>
        <v>6.5773651144152123E-11</v>
      </c>
      <c r="BY4" s="76">
        <f>IFERROR(IF(AND(up_Irr!X4&lt;&gt;".",up_Irr!AW4&lt;&gt;".",up_Irr!BV4&lt;&gt;"."),up_dir!AY4/((1/1000)*(up_Irr!X4+up_Irr!AW4+up_Irr!BV4)),IF(AND(up_Irr!X4&lt;&gt;".",up_Irr!AW4&lt;&gt;".",up_Irr!BV4="."),up_dir!AY4/((1/1000)*(up_Irr!X4+up_Irr!AW4)),IF(AND(up_Irr!X4&lt;&gt;".",up_Irr!AW4=".",up_Irr!BV4&lt;&gt;"."),up_dir!AY4/((1/1000)*(up_Irr!X4+up_Irr!BV4)),IF(AND(up_Irr!X4=".",up_Irr!AW4&lt;&gt;".",up_Irr!BV4&lt;&gt;"."),up_dir!AY4/((1/1000)*(up_Irr!AW4+up_Irr!BV4)),IF(AND(up_Irr!X4=".",up_Irr!AW4=".",up_Irr!BV4&lt;&gt;"."),up_dir!AY4/((1/1000)*(up_Irr!BV4)),IF(AND(up_Irr!X4=".",up_Irr!AW4&lt;&gt;".",up_Irr!BV4="."),up_dir!AY4/((1/1000)*(up_Irr!AW4)),IF(AND(up_Irr!X4&lt;&gt;".",up_Irr!AW4=".",up_Irr!BV4="."),up_dir!AY4/((1/1000)*(up_Irr!X4)),IF(AND(up_Irr!X4=".",up_Irr!AW4=".",up_Irr!BV4="."),up_dir!AY4*1000)))))))),".")</f>
        <v>6.5773651144152123E-11</v>
      </c>
      <c r="BZ4" s="76">
        <f>IFERROR(IF(AND(up_Irr!Y4&lt;&gt;".",up_Irr!AX4&lt;&gt;".",up_Irr!BW4&lt;&gt;"."),up_dir!AZ4/((1/1000)*(up_Irr!Y4+up_Irr!AX4+up_Irr!BW4)),IF(AND(up_Irr!Y4&lt;&gt;".",up_Irr!AX4&lt;&gt;".",up_Irr!BW4="."),up_dir!AZ4/((1/1000)*(up_Irr!Y4+up_Irr!AX4)),IF(AND(up_Irr!Y4&lt;&gt;".",up_Irr!AX4=".",up_Irr!BW4&lt;&gt;"."),up_dir!AZ4/((1/1000)*(up_Irr!Y4+up_Irr!BW4)),IF(AND(up_Irr!Y4=".",up_Irr!AX4&lt;&gt;".",up_Irr!BW4&lt;&gt;"."),up_dir!AZ4/((1/1000)*(up_Irr!AX4+up_Irr!BW4)),IF(AND(up_Irr!Y4=".",up_Irr!AX4=".",up_Irr!BW4&lt;&gt;"."),up_dir!AZ4/((1/1000)*(up_Irr!BW4)),IF(AND(up_Irr!Y4=".",up_Irr!AX4&lt;&gt;".",up_Irr!BW4="."),up_dir!AZ4/((1/1000)*(up_Irr!AX4)),IF(AND(up_Irr!Y4&lt;&gt;".",up_Irr!AX4=".",up_Irr!BW4="."),up_dir!AZ4/((1/1000)*(up_Irr!Y4)),IF(AND(up_Irr!Y4=".",up_Irr!AX4=".",up_Irr!BW4="."),up_dir!AZ4*1000)))))))),".")</f>
        <v>6.5773651144152123E-11</v>
      </c>
      <c r="CA4" s="76">
        <f>IFERROR(IF(AND(up_Irr!Z4&lt;&gt;".",up_Irr!AY4&lt;&gt;".",up_Irr!BX4&lt;&gt;"."),up_dir!BA4/((1/1000)*(up_Irr!Z4+up_Irr!AY4+up_Irr!BX4)),IF(AND(up_Irr!Z4&lt;&gt;".",up_Irr!AY4&lt;&gt;".",up_Irr!BX4="."),up_dir!BA4/((1/1000)*(up_Irr!Z4+up_Irr!AY4)),IF(AND(up_Irr!Z4&lt;&gt;".",up_Irr!AY4=".",up_Irr!BX4&lt;&gt;"."),up_dir!BA4/((1/1000)*(up_Irr!Z4+up_Irr!BX4)),IF(AND(up_Irr!Z4=".",up_Irr!AY4&lt;&gt;".",up_Irr!BX4&lt;&gt;"."),up_dir!BA4/((1/1000)*(up_Irr!AY4+up_Irr!BX4)),IF(AND(up_Irr!Z4=".",up_Irr!AY4=".",up_Irr!BX4&lt;&gt;"."),up_dir!BA4/((1/1000)*(up_Irr!BX4)),IF(AND(up_Irr!Z4=".",up_Irr!AY4&lt;&gt;".",up_Irr!BX4="."),up_dir!BA4/((1/1000)*(up_Irr!AY4)),IF(AND(up_Irr!Z4&lt;&gt;".",up_Irr!AY4=".",up_Irr!BX4="."),up_dir!BA4/((1/1000)*(up_Irr!Z4)),IF(AND(up_Irr!Z4=".",up_Irr!AY4=".",up_Irr!BX4="."),up_dir!BA4*1000)))))))),".")</f>
        <v>6.5773651144152123E-11</v>
      </c>
      <c r="CB4" s="76">
        <f>IFERROR(IF(AND(up_Irr!AA4&lt;&gt;".",up_Irr!AZ4&lt;&gt;".",up_Irr!BY4&lt;&gt;"."),up_dir!BB4/((1/1000)*(up_Irr!AA4+up_Irr!AZ4+up_Irr!BY4)),IF(AND(up_Irr!AA4&lt;&gt;".",up_Irr!AZ4&lt;&gt;".",up_Irr!BY4="."),up_dir!BB4/((1/1000)*(up_Irr!AA4+up_Irr!AZ4)),IF(AND(up_Irr!AA4&lt;&gt;".",up_Irr!AZ4=".",up_Irr!BY4&lt;&gt;"."),up_dir!BB4/((1/1000)*(up_Irr!AA4+up_Irr!BY4)),IF(AND(up_Irr!AA4=".",up_Irr!AZ4&lt;&gt;".",up_Irr!BY4&lt;&gt;"."),up_dir!BB4/((1/1000)*(up_Irr!AZ4+up_Irr!BY4)),IF(AND(up_Irr!AA4=".",up_Irr!AZ4=".",up_Irr!BY4&lt;&gt;"."),up_dir!BB4/((1/1000)*(up_Irr!BY4)),IF(AND(up_Irr!AA4=".",up_Irr!AZ4&lt;&gt;".",up_Irr!BY4="."),up_dir!BB4/((1/1000)*(up_Irr!AZ4)),IF(AND(up_Irr!AA4&lt;&gt;".",up_Irr!AZ4=".",up_Irr!BY4="."),up_dir!BB4/((1/1000)*(up_Irr!AA4)),IF(AND(up_Irr!AA4=".",up_Irr!AZ4=".",up_Irr!BY4="."),up_dir!BB4*1000)))))))),".")</f>
        <v>6.5773651144152123E-11</v>
      </c>
      <c r="CC4" s="93">
        <f t="shared" si="3"/>
        <v>608146.26076229871</v>
      </c>
      <c r="CD4" s="93">
        <f>IFERROR(s_C*s_IFAP_far_adj*s_CF_apple*(1/1000)*(up_Irr!C4+up_Irr!AB4+up_Irr!BA4),".")</f>
        <v>152036.56519057468</v>
      </c>
      <c r="CE4" s="93">
        <f>IFERROR(s_C*s_IFAS_far_adj*s_CF_asparagus*(1/1000)*(up_Irr!D4+up_Irr!AC4+up_Irr!BB4),".")</f>
        <v>152036.56519057468</v>
      </c>
      <c r="CF4" s="93">
        <f>IFERROR(s_C*s_IFBT_far_adj*s_CF_beet*(1/1000)*(up_Irr!E4+up_Irr!AD4+up_Irr!BC4),".")</f>
        <v>152036.56519057468</v>
      </c>
      <c r="CG4" s="93">
        <f>IFERROR(s_C*s_IFBE_far_adj*s_CF_berries*(1/1000)*(up_Irr!F4+up_Irr!AE4+up_Irr!BD4),".")</f>
        <v>152036.56519057468</v>
      </c>
      <c r="CH4" s="93">
        <f>IFERROR(s_C*s_IFBR_far_adj*s_CF_broccoli*(1/1000)*(up_Irr!G4+up_Irr!AF4+up_Irr!BE4),".")</f>
        <v>152036.56519057468</v>
      </c>
      <c r="CI4" s="93">
        <f>IFERROR(s_C*s_IFCB_far_adj*s_CF_cabbage*(1/1000)*(up_Irr!H4+up_Irr!AG4+up_Irr!BF4),".")</f>
        <v>152036.56519057468</v>
      </c>
      <c r="CJ4" s="93">
        <f>IFERROR(s_C*s_IFCR_far_adj*s_CF_carrot*(1/1000)*(up_Irr!I4+up_Irr!AH4+up_Irr!BG4),".")</f>
        <v>152036.56519057468</v>
      </c>
      <c r="CK4" s="93">
        <f>IFERROR(s_C*s_IFCI_far_adj*s_CF_citrus*(1/1000)*(up_Irr!J4+up_Irr!AI4+up_Irr!BH4),".")</f>
        <v>152036.56519057468</v>
      </c>
      <c r="CL4" s="93">
        <f>IFERROR(s_C*s_IFCO_far_adj*s_CF_corn*(1/1000)*(up_Irr!K4+up_Irr!AJ4+up_Irr!BI4),".")</f>
        <v>152036.56519057468</v>
      </c>
      <c r="CM4" s="93">
        <f>IFERROR(s_C*s_IFCU_far_adj*s_CF_cucumber*(1/1000)*(up_Irr!L4+up_Irr!AK4+up_Irr!BJ4),".")</f>
        <v>152036.56519057468</v>
      </c>
      <c r="CN4" s="93">
        <f>IFERROR(s_C*s_IFLE_far_adj*s_CF_lettuce*(1/1000)*(up_Irr!M4+up_Irr!AL4+up_Irr!BK4),".")</f>
        <v>152036.56519057468</v>
      </c>
      <c r="CO4" s="93">
        <f>IFERROR(s_C*s_IFLI_far_adj*s_CF_lima_bean*(1/1000)*(up_Irr!N4+up_Irr!AM4+up_Irr!BL4),".")</f>
        <v>152036.56519057468</v>
      </c>
      <c r="CP4" s="93">
        <f>IFERROR(s_C*s_IFOK_far_adj*s_CF_okra*(1/1000)*(up_Irr!O4+up_Irr!AN4+up_Irr!BM4),".")</f>
        <v>152036.56519057468</v>
      </c>
      <c r="CQ4" s="93">
        <f>IFERROR(s_C*s_IFON_far_adj*s_CF_onion*(1/1000)*(up_Irr!P4+up_Irr!AO4+up_Irr!BN4),".")</f>
        <v>152036.56519057468</v>
      </c>
      <c r="CR4" s="93">
        <f>IFERROR(s_C*s_IFPC_far_adj*s_CF_peach*(1/1000)*(up_Irr!Q4+up_Irr!AP4+up_Irr!BO4),".")</f>
        <v>152036.56519057468</v>
      </c>
      <c r="CS4" s="93">
        <f>IFERROR(s_C*s_IFPR_far_adj*s_CF_pear*(1/1000)*(up_Irr!R4+up_Irr!AQ4+up_Irr!BP4),".")</f>
        <v>152036.56519057468</v>
      </c>
      <c r="CT4" s="93">
        <f>IFERROR(s_C*s_IFPE_far_adj*s_CF_peas*(1/1000)*(up_Irr!S4+up_Irr!AR4+up_Irr!BQ4),".")</f>
        <v>152036.56519057468</v>
      </c>
      <c r="CU4" s="93">
        <f>IFERROR(s_C*s_IFPP_far_adj*s_CF_peppers*(1/1000)*(up_Irr!T4+up_Irr!AS4+up_Irr!BR4),".")</f>
        <v>152036.56519057468</v>
      </c>
      <c r="CV4" s="93">
        <f>IFERROR(s_C*s_IFPT_far_adj*s_CF_potato*(1/1000)*(up_Irr!U4+up_Irr!AT4+up_Irr!BS4),".")</f>
        <v>152036.56519057468</v>
      </c>
      <c r="CW4" s="93">
        <f>IFERROR(s_C*s_IFPU_far_adj*s_CF_pumpkin*(1/1000)*(up_Irr!V4+up_Irr!AU4+up_Irr!BT4),".")</f>
        <v>152036.56519057468</v>
      </c>
      <c r="CX4" s="93">
        <f>IFERROR(s_C*s_IFSN_far_adj*s_CF_snap_bean*(1/1000)*(up_Irr!W4+up_Irr!AV4+up_Irr!BU4),".")</f>
        <v>152036.56519057468</v>
      </c>
      <c r="CY4" s="93">
        <f>IFERROR(s_C*s_IFST_far_adj*s_CF_strawberry*(1/1000)*(up_Irr!X4+up_Irr!AW4+up_Irr!BV4),".")</f>
        <v>152036.56519057468</v>
      </c>
      <c r="CZ4" s="93">
        <f>IFERROR(s_C*s_IFTO_far_adj*s_CF_tomato*(1/1000)*(up_Irr!Y4+up_Irr!AX4+up_Irr!BW4),".")</f>
        <v>152036.56519057468</v>
      </c>
      <c r="DA4" s="93">
        <f>IFERROR(s_C*s_IFRI_far_adj*s_CF_rice*(1/1000)*(up_Irr!Z4+up_Irr!AY4+up_Irr!BX4),".")</f>
        <v>152036.56519057468</v>
      </c>
      <c r="DB4" s="93">
        <f>IFERROR(s_C*s_IFCG_far_adj*s_CF_cereal*(1/1000)*(up_Irr!AA4+up_Irr!AZ4+up_Irr!BY4),".")</f>
        <v>152036.56519057468</v>
      </c>
    </row>
    <row r="5" spans="1:106" ht="15" customHeight="1" x14ac:dyDescent="0.25">
      <c r="A5" s="92" t="s">
        <v>15</v>
      </c>
      <c r="B5" s="90" t="s">
        <v>1071</v>
      </c>
      <c r="C5" s="15">
        <f t="shared" si="0"/>
        <v>1.6443412786038031E-11</v>
      </c>
      <c r="D5" s="76">
        <f>IFERROR(IF(AND(up_Irr!C5&lt;&gt;".",up_Irr!AB5&lt;&gt;".",up_Irr!BA5&lt;&gt;"."),up_dir!D5/((1/1000)*(up_Irr!C5+up_Irr!AB5+up_Irr!BA5)),IF(AND(up_Irr!C5&lt;&gt;".",up_Irr!AB5&lt;&gt;".",up_Irr!BA5="."),up_dir!D5/((1/1000)*(up_Irr!C5+up_Irr!AB5)),IF(AND(up_Irr!C5&lt;&gt;".",up_Irr!AB5=".",up_Irr!BA5&lt;&gt;"."),up_dir!D5/((1/1000)*(up_Irr!C5+up_Irr!BA5)),IF(AND(up_Irr!C5=".",up_Irr!AB5&lt;&gt;".",up_Irr!BA5&lt;&gt;"."),up_dir!D5/((1/1000)*(up_Irr!AB5+up_Irr!BA5)),IF(AND(up_Irr!C5=".",up_Irr!AB5=".",up_Irr!BA5&lt;&gt;"."),up_dir!D5/((1/1000)*(up_Irr!BA5)),IF(AND(up_Irr!C5=".",up_Irr!AB5&lt;&gt;".",up_Irr!BA5="."),up_dir!D5/((1/1000)*(up_Irr!AB5)),IF(AND(up_Irr!C5&lt;&gt;".",up_Irr!AB5=".",up_Irr!BA5="."),up_dir!D5/((1/1000)*(up_Irr!C5)),IF(AND(up_Irr!C5=".",up_Irr!AB5=".",up_Irr!BA5="."),up_dir!D5*1000)))))))),".")</f>
        <v>6.5773651144152123E-11</v>
      </c>
      <c r="E5" s="76">
        <f>IFERROR(IF(AND(up_Irr!D5&lt;&gt;".",up_Irr!AC5&lt;&gt;".",up_Irr!BB5&lt;&gt;"."),up_dir!E5/((1/1000)*(up_Irr!D5+up_Irr!AC5+up_Irr!BB5)),IF(AND(up_Irr!D5&lt;&gt;".",up_Irr!AC5&lt;&gt;".",up_Irr!BB5="."),up_dir!E5/((1/1000)*(up_Irr!D5+up_Irr!AC5)),IF(AND(up_Irr!D5&lt;&gt;".",up_Irr!AC5=".",up_Irr!BB5&lt;&gt;"."),up_dir!E5/((1/1000)*(up_Irr!D5+up_Irr!BB5)),IF(AND(up_Irr!D5=".",up_Irr!AC5&lt;&gt;".",up_Irr!BB5&lt;&gt;"."),up_dir!E5/((1/1000)*(up_Irr!AC5+up_Irr!BB5)),IF(AND(up_Irr!D5=".",up_Irr!AC5=".",up_Irr!BB5&lt;&gt;"."),up_dir!E5/((1/1000)*(up_Irr!BB5)),IF(AND(up_Irr!D5=".",up_Irr!AC5&lt;&gt;".",up_Irr!BB5="."),up_dir!E5/((1/1000)*(up_Irr!AC5)),IF(AND(up_Irr!D5&lt;&gt;".",up_Irr!AC5=".",up_Irr!BB5="."),up_dir!E5/((1/1000)*(up_Irr!D5)),IF(AND(up_Irr!D5=".",up_Irr!AC5=".",up_Irr!BB5="."),up_dir!E5*1000)))))))),".")</f>
        <v>6.5773651144152123E-11</v>
      </c>
      <c r="F5" s="76">
        <f>IFERROR(IF(AND(up_Irr!E5&lt;&gt;".",up_Irr!AD5&lt;&gt;".",up_Irr!BC5&lt;&gt;"."),up_dir!F5/((1/1000)*(up_Irr!E5+up_Irr!AD5+up_Irr!BC5)),IF(AND(up_Irr!E5&lt;&gt;".",up_Irr!AD5&lt;&gt;".",up_Irr!BC5="."),up_dir!F5/((1/1000)*(up_Irr!E5+up_Irr!AD5)),IF(AND(up_Irr!E5&lt;&gt;".",up_Irr!AD5=".",up_Irr!BC5&lt;&gt;"."),up_dir!F5/((1/1000)*(up_Irr!E5+up_Irr!BC5)),IF(AND(up_Irr!E5=".",up_Irr!AD5&lt;&gt;".",up_Irr!BC5&lt;&gt;"."),up_dir!F5/((1/1000)*(up_Irr!AD5+up_Irr!BC5)),IF(AND(up_Irr!E5=".",up_Irr!AD5=".",up_Irr!BC5&lt;&gt;"."),up_dir!F5/((1/1000)*(up_Irr!BC5)),IF(AND(up_Irr!E5=".",up_Irr!AD5&lt;&gt;".",up_Irr!BC5="."),up_dir!F5/((1/1000)*(up_Irr!AD5)),IF(AND(up_Irr!E5&lt;&gt;".",up_Irr!AD5=".",up_Irr!BC5="."),up_dir!F5/((1/1000)*(up_Irr!E5)),IF(AND(up_Irr!E5=".",up_Irr!AD5=".",up_Irr!BC5="."),up_dir!F5*1000)))))))),".")</f>
        <v>6.5773651144152123E-11</v>
      </c>
      <c r="G5" s="76">
        <f>IFERROR(IF(AND(up_Irr!F5&lt;&gt;".",up_Irr!AE5&lt;&gt;".",up_Irr!BD5&lt;&gt;"."),up_dir!G5/((1/1000)*(up_Irr!F5+up_Irr!AE5+up_Irr!BD5)),IF(AND(up_Irr!F5&lt;&gt;".",up_Irr!AE5&lt;&gt;".",up_Irr!BD5="."),up_dir!G5/((1/1000)*(up_Irr!F5+up_Irr!AE5)),IF(AND(up_Irr!F5&lt;&gt;".",up_Irr!AE5=".",up_Irr!BD5&lt;&gt;"."),up_dir!G5/((1/1000)*(up_Irr!F5+up_Irr!BD5)),IF(AND(up_Irr!F5=".",up_Irr!AE5&lt;&gt;".",up_Irr!BD5&lt;&gt;"."),up_dir!G5/((1/1000)*(up_Irr!AE5+up_Irr!BD5)),IF(AND(up_Irr!F5=".",up_Irr!AE5=".",up_Irr!BD5&lt;&gt;"."),up_dir!G5/((1/1000)*(up_Irr!BD5)),IF(AND(up_Irr!F5=".",up_Irr!AE5&lt;&gt;".",up_Irr!BD5="."),up_dir!G5/((1/1000)*(up_Irr!AE5)),IF(AND(up_Irr!F5&lt;&gt;".",up_Irr!AE5=".",up_Irr!BD5="."),up_dir!G5/((1/1000)*(up_Irr!F5)),IF(AND(up_Irr!F5=".",up_Irr!AE5=".",up_Irr!BD5="."),up_dir!G5*1000)))))))),".")</f>
        <v>6.5773651144152123E-11</v>
      </c>
      <c r="H5" s="76">
        <f>IFERROR(IF(AND(up_Irr!G5&lt;&gt;".",up_Irr!AF5&lt;&gt;".",up_Irr!BE5&lt;&gt;"."),up_dir!H5/((1/1000)*(up_Irr!G5+up_Irr!AF5+up_Irr!BE5)),IF(AND(up_Irr!G5&lt;&gt;".",up_Irr!AF5&lt;&gt;".",up_Irr!BE5="."),up_dir!H5/((1/1000)*(up_Irr!G5+up_Irr!AF5)),IF(AND(up_Irr!G5&lt;&gt;".",up_Irr!AF5=".",up_Irr!BE5&lt;&gt;"."),up_dir!H5/((1/1000)*(up_Irr!G5+up_Irr!BE5)),IF(AND(up_Irr!G5=".",up_Irr!AF5&lt;&gt;".",up_Irr!BE5&lt;&gt;"."),up_dir!H5/((1/1000)*(up_Irr!AF5+up_Irr!BE5)),IF(AND(up_Irr!G5=".",up_Irr!AF5=".",up_Irr!BE5&lt;&gt;"."),up_dir!H5/((1/1000)*(up_Irr!BE5)),IF(AND(up_Irr!G5=".",up_Irr!AF5&lt;&gt;".",up_Irr!BE5="."),up_dir!H5/((1/1000)*(up_Irr!AF5)),IF(AND(up_Irr!G5&lt;&gt;".",up_Irr!AF5=".",up_Irr!BE5="."),up_dir!H5/((1/1000)*(up_Irr!G5)),IF(AND(up_Irr!G5=".",up_Irr!AF5=".",up_Irr!BE5="."),up_dir!H5*1000)))))))),".")</f>
        <v>6.5773651144152123E-11</v>
      </c>
      <c r="I5" s="76">
        <f>IFERROR(IF(AND(up_Irr!H5&lt;&gt;".",up_Irr!AG5&lt;&gt;".",up_Irr!BF5&lt;&gt;"."),up_dir!I5/((1/1000)*(up_Irr!H5+up_Irr!AG5+up_Irr!BF5)),IF(AND(up_Irr!H5&lt;&gt;".",up_Irr!AG5&lt;&gt;".",up_Irr!BF5="."),up_dir!I5/((1/1000)*(up_Irr!H5+up_Irr!AG5)),IF(AND(up_Irr!H5&lt;&gt;".",up_Irr!AG5=".",up_Irr!BF5&lt;&gt;"."),up_dir!I5/((1/1000)*(up_Irr!H5+up_Irr!BF5)),IF(AND(up_Irr!H5=".",up_Irr!AG5&lt;&gt;".",up_Irr!BF5&lt;&gt;"."),up_dir!I5/((1/1000)*(up_Irr!AG5+up_Irr!BF5)),IF(AND(up_Irr!H5=".",up_Irr!AG5=".",up_Irr!BF5&lt;&gt;"."),up_dir!I5/((1/1000)*(up_Irr!BF5)),IF(AND(up_Irr!H5=".",up_Irr!AG5&lt;&gt;".",up_Irr!BF5="."),up_dir!I5/((1/1000)*(up_Irr!AG5)),IF(AND(up_Irr!H5&lt;&gt;".",up_Irr!AG5=".",up_Irr!BF5="."),up_dir!I5/((1/1000)*(up_Irr!H5)),IF(AND(up_Irr!H5=".",up_Irr!AG5=".",up_Irr!BF5="."),up_dir!I5*1000)))))))),".")</f>
        <v>6.5773651144152123E-11</v>
      </c>
      <c r="J5" s="76">
        <f>IFERROR(IF(AND(up_Irr!I5&lt;&gt;".",up_Irr!AH5&lt;&gt;".",up_Irr!BG5&lt;&gt;"."),up_dir!J5/((1/1000)*(up_Irr!I5+up_Irr!AH5+up_Irr!BG5)),IF(AND(up_Irr!I5&lt;&gt;".",up_Irr!AH5&lt;&gt;".",up_Irr!BG5="."),up_dir!J5/((1/1000)*(up_Irr!I5+up_Irr!AH5)),IF(AND(up_Irr!I5&lt;&gt;".",up_Irr!AH5=".",up_Irr!BG5&lt;&gt;"."),up_dir!J5/((1/1000)*(up_Irr!I5+up_Irr!BG5)),IF(AND(up_Irr!I5=".",up_Irr!AH5&lt;&gt;".",up_Irr!BG5&lt;&gt;"."),up_dir!J5/((1/1000)*(up_Irr!AH5+up_Irr!BG5)),IF(AND(up_Irr!I5=".",up_Irr!AH5=".",up_Irr!BG5&lt;&gt;"."),up_dir!J5/((1/1000)*(up_Irr!BG5)),IF(AND(up_Irr!I5=".",up_Irr!AH5&lt;&gt;".",up_Irr!BG5="."),up_dir!J5/((1/1000)*(up_Irr!AH5)),IF(AND(up_Irr!I5&lt;&gt;".",up_Irr!AH5=".",up_Irr!BG5="."),up_dir!J5/((1/1000)*(up_Irr!I5)),IF(AND(up_Irr!I5=".",up_Irr!AH5=".",up_Irr!BG5="."),up_dir!J5*1000)))))))),".")</f>
        <v>6.5773651144152123E-11</v>
      </c>
      <c r="K5" s="76">
        <f>IFERROR(IF(AND(up_Irr!J5&lt;&gt;".",up_Irr!AI5&lt;&gt;".",up_Irr!BH5&lt;&gt;"."),up_dir!K5/((1/1000)*(up_Irr!J5+up_Irr!AI5+up_Irr!BH5)),IF(AND(up_Irr!J5&lt;&gt;".",up_Irr!AI5&lt;&gt;".",up_Irr!BH5="."),up_dir!K5/((1/1000)*(up_Irr!J5+up_Irr!AI5)),IF(AND(up_Irr!J5&lt;&gt;".",up_Irr!AI5=".",up_Irr!BH5&lt;&gt;"."),up_dir!K5/((1/1000)*(up_Irr!J5+up_Irr!BH5)),IF(AND(up_Irr!J5=".",up_Irr!AI5&lt;&gt;".",up_Irr!BH5&lt;&gt;"."),up_dir!K5/((1/1000)*(up_Irr!AI5+up_Irr!BH5)),IF(AND(up_Irr!J5=".",up_Irr!AI5=".",up_Irr!BH5&lt;&gt;"."),up_dir!K5/((1/1000)*(up_Irr!BH5)),IF(AND(up_Irr!J5=".",up_Irr!AI5&lt;&gt;".",up_Irr!BH5="."),up_dir!K5/((1/1000)*(up_Irr!AI5)),IF(AND(up_Irr!J5&lt;&gt;".",up_Irr!AI5=".",up_Irr!BH5="."),up_dir!K5/((1/1000)*(up_Irr!J5)),IF(AND(up_Irr!J5=".",up_Irr!AI5=".",up_Irr!BH5="."),up_dir!K5*1000)))))))),".")</f>
        <v>6.5773651144152123E-11</v>
      </c>
      <c r="L5" s="76">
        <f>IFERROR(IF(AND(up_Irr!K5&lt;&gt;".",up_Irr!AJ5&lt;&gt;".",up_Irr!BI5&lt;&gt;"."),up_dir!L5/((1/1000)*(up_Irr!K5+up_Irr!AJ5+up_Irr!BI5)),IF(AND(up_Irr!K5&lt;&gt;".",up_Irr!AJ5&lt;&gt;".",up_Irr!BI5="."),up_dir!L5/((1/1000)*(up_Irr!K5+up_Irr!AJ5)),IF(AND(up_Irr!K5&lt;&gt;".",up_Irr!AJ5=".",up_Irr!BI5&lt;&gt;"."),up_dir!L5/((1/1000)*(up_Irr!K5+up_Irr!BI5)),IF(AND(up_Irr!K5=".",up_Irr!AJ5&lt;&gt;".",up_Irr!BI5&lt;&gt;"."),up_dir!L5/((1/1000)*(up_Irr!AJ5+up_Irr!BI5)),IF(AND(up_Irr!K5=".",up_Irr!AJ5=".",up_Irr!BI5&lt;&gt;"."),up_dir!L5/((1/1000)*(up_Irr!BI5)),IF(AND(up_Irr!K5=".",up_Irr!AJ5&lt;&gt;".",up_Irr!BI5="."),up_dir!L5/((1/1000)*(up_Irr!AJ5)),IF(AND(up_Irr!K5&lt;&gt;".",up_Irr!AJ5=".",up_Irr!BI5="."),up_dir!L5/((1/1000)*(up_Irr!K5)),IF(AND(up_Irr!K5=".",up_Irr!AJ5=".",up_Irr!BI5="."),up_dir!L5*1000)))))))),".")</f>
        <v>6.5773651144152123E-11</v>
      </c>
      <c r="M5" s="76">
        <f>IFERROR(IF(AND(up_Irr!L5&lt;&gt;".",up_Irr!AK5&lt;&gt;".",up_Irr!BJ5&lt;&gt;"."),up_dir!M5/((1/1000)*(up_Irr!L5+up_Irr!AK5+up_Irr!BJ5)),IF(AND(up_Irr!L5&lt;&gt;".",up_Irr!AK5&lt;&gt;".",up_Irr!BJ5="."),up_dir!M5/((1/1000)*(up_Irr!L5+up_Irr!AK5)),IF(AND(up_Irr!L5&lt;&gt;".",up_Irr!AK5=".",up_Irr!BJ5&lt;&gt;"."),up_dir!M5/((1/1000)*(up_Irr!L5+up_Irr!BJ5)),IF(AND(up_Irr!L5=".",up_Irr!AK5&lt;&gt;".",up_Irr!BJ5&lt;&gt;"."),up_dir!M5/((1/1000)*(up_Irr!AK5+up_Irr!BJ5)),IF(AND(up_Irr!L5=".",up_Irr!AK5=".",up_Irr!BJ5&lt;&gt;"."),up_dir!M5/((1/1000)*(up_Irr!BJ5)),IF(AND(up_Irr!L5=".",up_Irr!AK5&lt;&gt;".",up_Irr!BJ5="."),up_dir!M5/((1/1000)*(up_Irr!AK5)),IF(AND(up_Irr!L5&lt;&gt;".",up_Irr!AK5=".",up_Irr!BJ5="."),up_dir!M5/((1/1000)*(up_Irr!L5)),IF(AND(up_Irr!L5=".",up_Irr!AK5=".",up_Irr!BJ5="."),up_dir!M5*1000)))))))),".")</f>
        <v>6.5773651144152123E-11</v>
      </c>
      <c r="N5" s="76">
        <f>IFERROR(IF(AND(up_Irr!M5&lt;&gt;".",up_Irr!AL5&lt;&gt;".",up_Irr!BK5&lt;&gt;"."),up_dir!N5/((1/1000)*(up_Irr!M5+up_Irr!AL5+up_Irr!BK5)),IF(AND(up_Irr!M5&lt;&gt;".",up_Irr!AL5&lt;&gt;".",up_Irr!BK5="."),up_dir!N5/((1/1000)*(up_Irr!M5+up_Irr!AL5)),IF(AND(up_Irr!M5&lt;&gt;".",up_Irr!AL5=".",up_Irr!BK5&lt;&gt;"."),up_dir!N5/((1/1000)*(up_Irr!M5+up_Irr!BK5)),IF(AND(up_Irr!M5=".",up_Irr!AL5&lt;&gt;".",up_Irr!BK5&lt;&gt;"."),up_dir!N5/((1/1000)*(up_Irr!AL5+up_Irr!BK5)),IF(AND(up_Irr!M5=".",up_Irr!AL5=".",up_Irr!BK5&lt;&gt;"."),up_dir!N5/((1/1000)*(up_Irr!BK5)),IF(AND(up_Irr!M5=".",up_Irr!AL5&lt;&gt;".",up_Irr!BK5="."),up_dir!N5/((1/1000)*(up_Irr!AL5)),IF(AND(up_Irr!M5&lt;&gt;".",up_Irr!AL5=".",up_Irr!BK5="."),up_dir!N5/((1/1000)*(up_Irr!M5)),IF(AND(up_Irr!M5=".",up_Irr!AL5=".",up_Irr!BK5="."),up_dir!N5*1000)))))))),".")</f>
        <v>6.5773651144152123E-11</v>
      </c>
      <c r="O5" s="76">
        <f>IFERROR(IF(AND(up_Irr!N5&lt;&gt;".",up_Irr!AM5&lt;&gt;".",up_Irr!BL5&lt;&gt;"."),up_dir!O5/((1/1000)*(up_Irr!N5+up_Irr!AM5+up_Irr!BL5)),IF(AND(up_Irr!N5&lt;&gt;".",up_Irr!AM5&lt;&gt;".",up_Irr!BL5="."),up_dir!O5/((1/1000)*(up_Irr!N5+up_Irr!AM5)),IF(AND(up_Irr!N5&lt;&gt;".",up_Irr!AM5=".",up_Irr!BL5&lt;&gt;"."),up_dir!O5/((1/1000)*(up_Irr!N5+up_Irr!BL5)),IF(AND(up_Irr!N5=".",up_Irr!AM5&lt;&gt;".",up_Irr!BL5&lt;&gt;"."),up_dir!O5/((1/1000)*(up_Irr!AM5+up_Irr!BL5)),IF(AND(up_Irr!N5=".",up_Irr!AM5=".",up_Irr!BL5&lt;&gt;"."),up_dir!O5/((1/1000)*(up_Irr!BL5)),IF(AND(up_Irr!N5=".",up_Irr!AM5&lt;&gt;".",up_Irr!BL5="."),up_dir!O5/((1/1000)*(up_Irr!AM5)),IF(AND(up_Irr!N5&lt;&gt;".",up_Irr!AM5=".",up_Irr!BL5="."),up_dir!O5/((1/1000)*(up_Irr!N5)),IF(AND(up_Irr!N5=".",up_Irr!AM5=".",up_Irr!BL5="."),up_dir!O5*1000)))))))),".")</f>
        <v>6.5773651144152123E-11</v>
      </c>
      <c r="P5" s="76">
        <f>IFERROR(IF(AND(up_Irr!O5&lt;&gt;".",up_Irr!AN5&lt;&gt;".",up_Irr!BM5&lt;&gt;"."),up_dir!P5/((1/1000)*(up_Irr!O5+up_Irr!AN5+up_Irr!BM5)),IF(AND(up_Irr!O5&lt;&gt;".",up_Irr!AN5&lt;&gt;".",up_Irr!BM5="."),up_dir!P5/((1/1000)*(up_Irr!O5+up_Irr!AN5)),IF(AND(up_Irr!O5&lt;&gt;".",up_Irr!AN5=".",up_Irr!BM5&lt;&gt;"."),up_dir!P5/((1/1000)*(up_Irr!O5+up_Irr!BM5)),IF(AND(up_Irr!O5=".",up_Irr!AN5&lt;&gt;".",up_Irr!BM5&lt;&gt;"."),up_dir!P5/((1/1000)*(up_Irr!AN5+up_Irr!BM5)),IF(AND(up_Irr!O5=".",up_Irr!AN5=".",up_Irr!BM5&lt;&gt;"."),up_dir!P5/((1/1000)*(up_Irr!BM5)),IF(AND(up_Irr!O5=".",up_Irr!AN5&lt;&gt;".",up_Irr!BM5="."),up_dir!P5/((1/1000)*(up_Irr!AN5)),IF(AND(up_Irr!O5&lt;&gt;".",up_Irr!AN5=".",up_Irr!BM5="."),up_dir!P5/((1/1000)*(up_Irr!O5)),IF(AND(up_Irr!O5=".",up_Irr!AN5=".",up_Irr!BM5="."),up_dir!P5*1000)))))))),".")</f>
        <v>6.5773651144152123E-11</v>
      </c>
      <c r="Q5" s="76">
        <f>IFERROR(IF(AND(up_Irr!P5&lt;&gt;".",up_Irr!AO5&lt;&gt;".",up_Irr!BN5&lt;&gt;"."),up_dir!Q5/((1/1000)*(up_Irr!P5+up_Irr!AO5+up_Irr!BN5)),IF(AND(up_Irr!P5&lt;&gt;".",up_Irr!AO5&lt;&gt;".",up_Irr!BN5="."),up_dir!Q5/((1/1000)*(up_Irr!P5+up_Irr!AO5)),IF(AND(up_Irr!P5&lt;&gt;".",up_Irr!AO5=".",up_Irr!BN5&lt;&gt;"."),up_dir!Q5/((1/1000)*(up_Irr!P5+up_Irr!BN5)),IF(AND(up_Irr!P5=".",up_Irr!AO5&lt;&gt;".",up_Irr!BN5&lt;&gt;"."),up_dir!Q5/((1/1000)*(up_Irr!AO5+up_Irr!BN5)),IF(AND(up_Irr!P5=".",up_Irr!AO5=".",up_Irr!BN5&lt;&gt;"."),up_dir!Q5/((1/1000)*(up_Irr!BN5)),IF(AND(up_Irr!P5=".",up_Irr!AO5&lt;&gt;".",up_Irr!BN5="."),up_dir!Q5/((1/1000)*(up_Irr!AO5)),IF(AND(up_Irr!P5&lt;&gt;".",up_Irr!AO5=".",up_Irr!BN5="."),up_dir!Q5/((1/1000)*(up_Irr!P5)),IF(AND(up_Irr!P5=".",up_Irr!AO5=".",up_Irr!BN5="."),up_dir!Q5*1000)))))))),".")</f>
        <v>6.5773651144152123E-11</v>
      </c>
      <c r="R5" s="76">
        <f>IFERROR(IF(AND(up_Irr!Q5&lt;&gt;".",up_Irr!AP5&lt;&gt;".",up_Irr!BO5&lt;&gt;"."),up_dir!R5/((1/1000)*(up_Irr!Q5+up_Irr!AP5+up_Irr!BO5)),IF(AND(up_Irr!Q5&lt;&gt;".",up_Irr!AP5&lt;&gt;".",up_Irr!BO5="."),up_dir!R5/((1/1000)*(up_Irr!Q5+up_Irr!AP5)),IF(AND(up_Irr!Q5&lt;&gt;".",up_Irr!AP5=".",up_Irr!BO5&lt;&gt;"."),up_dir!R5/((1/1000)*(up_Irr!Q5+up_Irr!BO5)),IF(AND(up_Irr!Q5=".",up_Irr!AP5&lt;&gt;".",up_Irr!BO5&lt;&gt;"."),up_dir!R5/((1/1000)*(up_Irr!AP5+up_Irr!BO5)),IF(AND(up_Irr!Q5=".",up_Irr!AP5=".",up_Irr!BO5&lt;&gt;"."),up_dir!R5/((1/1000)*(up_Irr!BO5)),IF(AND(up_Irr!Q5=".",up_Irr!AP5&lt;&gt;".",up_Irr!BO5="."),up_dir!R5/((1/1000)*(up_Irr!AP5)),IF(AND(up_Irr!Q5&lt;&gt;".",up_Irr!AP5=".",up_Irr!BO5="."),up_dir!R5/((1/1000)*(up_Irr!Q5)),IF(AND(up_Irr!Q5=".",up_Irr!AP5=".",up_Irr!BO5="."),up_dir!R5*1000)))))))),".")</f>
        <v>6.5773651144152123E-11</v>
      </c>
      <c r="S5" s="76">
        <f>IFERROR(IF(AND(up_Irr!R5&lt;&gt;".",up_Irr!AQ5&lt;&gt;".",up_Irr!BP5&lt;&gt;"."),up_dir!S5/((1/1000)*(up_Irr!R5+up_Irr!AQ5+up_Irr!BP5)),IF(AND(up_Irr!R5&lt;&gt;".",up_Irr!AQ5&lt;&gt;".",up_Irr!BP5="."),up_dir!S5/((1/1000)*(up_Irr!R5+up_Irr!AQ5)),IF(AND(up_Irr!R5&lt;&gt;".",up_Irr!AQ5=".",up_Irr!BP5&lt;&gt;"."),up_dir!S5/((1/1000)*(up_Irr!R5+up_Irr!BP5)),IF(AND(up_Irr!R5=".",up_Irr!AQ5&lt;&gt;".",up_Irr!BP5&lt;&gt;"."),up_dir!S5/((1/1000)*(up_Irr!AQ5+up_Irr!BP5)),IF(AND(up_Irr!R5=".",up_Irr!AQ5=".",up_Irr!BP5&lt;&gt;"."),up_dir!S5/((1/1000)*(up_Irr!BP5)),IF(AND(up_Irr!R5=".",up_Irr!AQ5&lt;&gt;".",up_Irr!BP5="."),up_dir!S5/((1/1000)*(up_Irr!AQ5)),IF(AND(up_Irr!R5&lt;&gt;".",up_Irr!AQ5=".",up_Irr!BP5="."),up_dir!S5/((1/1000)*(up_Irr!R5)),IF(AND(up_Irr!R5=".",up_Irr!AQ5=".",up_Irr!BP5="."),up_dir!S5*1000)))))))),".")</f>
        <v>6.5773651144152123E-11</v>
      </c>
      <c r="T5" s="76">
        <f>IFERROR(IF(AND(up_Irr!S5&lt;&gt;".",up_Irr!AR5&lt;&gt;".",up_Irr!BQ5&lt;&gt;"."),up_dir!T5/((1/1000)*(up_Irr!S5+up_Irr!AR5+up_Irr!BQ5)),IF(AND(up_Irr!S5&lt;&gt;".",up_Irr!AR5&lt;&gt;".",up_Irr!BQ5="."),up_dir!T5/((1/1000)*(up_Irr!S5+up_Irr!AR5)),IF(AND(up_Irr!S5&lt;&gt;".",up_Irr!AR5=".",up_Irr!BQ5&lt;&gt;"."),up_dir!T5/((1/1000)*(up_Irr!S5+up_Irr!BQ5)),IF(AND(up_Irr!S5=".",up_Irr!AR5&lt;&gt;".",up_Irr!BQ5&lt;&gt;"."),up_dir!T5/((1/1000)*(up_Irr!AR5+up_Irr!BQ5)),IF(AND(up_Irr!S5=".",up_Irr!AR5=".",up_Irr!BQ5&lt;&gt;"."),up_dir!T5/((1/1000)*(up_Irr!BQ5)),IF(AND(up_Irr!S5=".",up_Irr!AR5&lt;&gt;".",up_Irr!BQ5="."),up_dir!T5/((1/1000)*(up_Irr!AR5)),IF(AND(up_Irr!S5&lt;&gt;".",up_Irr!AR5=".",up_Irr!BQ5="."),up_dir!T5/((1/1000)*(up_Irr!S5)),IF(AND(up_Irr!S5=".",up_Irr!AR5=".",up_Irr!BQ5="."),up_dir!T5*1000)))))))),".")</f>
        <v>6.5773651144152123E-11</v>
      </c>
      <c r="U5" s="76">
        <f>IFERROR(IF(AND(up_Irr!T5&lt;&gt;".",up_Irr!AS5&lt;&gt;".",up_Irr!BR5&lt;&gt;"."),up_dir!U5/((1/1000)*(up_Irr!T5+up_Irr!AS5+up_Irr!BR5)),IF(AND(up_Irr!T5&lt;&gt;".",up_Irr!AS5&lt;&gt;".",up_Irr!BR5="."),up_dir!U5/((1/1000)*(up_Irr!T5+up_Irr!AS5)),IF(AND(up_Irr!T5&lt;&gt;".",up_Irr!AS5=".",up_Irr!BR5&lt;&gt;"."),up_dir!U5/((1/1000)*(up_Irr!T5+up_Irr!BR5)),IF(AND(up_Irr!T5=".",up_Irr!AS5&lt;&gt;".",up_Irr!BR5&lt;&gt;"."),up_dir!U5/((1/1000)*(up_Irr!AS5+up_Irr!BR5)),IF(AND(up_Irr!T5=".",up_Irr!AS5=".",up_Irr!BR5&lt;&gt;"."),up_dir!U5/((1/1000)*(up_Irr!BR5)),IF(AND(up_Irr!T5=".",up_Irr!AS5&lt;&gt;".",up_Irr!BR5="."),up_dir!U5/((1/1000)*(up_Irr!AS5)),IF(AND(up_Irr!T5&lt;&gt;".",up_Irr!AS5=".",up_Irr!BR5="."),up_dir!U5/((1/1000)*(up_Irr!T5)),IF(AND(up_Irr!T5=".",up_Irr!AS5=".",up_Irr!BR5="."),up_dir!U5*1000)))))))),".")</f>
        <v>6.5773651144152123E-11</v>
      </c>
      <c r="V5" s="76">
        <f>IFERROR(IF(AND(up_Irr!U5&lt;&gt;".",up_Irr!AT5&lt;&gt;".",up_Irr!BS5&lt;&gt;"."),up_dir!V5/((1/1000)*(up_Irr!U5+up_Irr!AT5+up_Irr!BS5)),IF(AND(up_Irr!U5&lt;&gt;".",up_Irr!AT5&lt;&gt;".",up_Irr!BS5="."),up_dir!V5/((1/1000)*(up_Irr!U5+up_Irr!AT5)),IF(AND(up_Irr!U5&lt;&gt;".",up_Irr!AT5=".",up_Irr!BS5&lt;&gt;"."),up_dir!V5/((1/1000)*(up_Irr!U5+up_Irr!BS5)),IF(AND(up_Irr!U5=".",up_Irr!AT5&lt;&gt;".",up_Irr!BS5&lt;&gt;"."),up_dir!V5/((1/1000)*(up_Irr!AT5+up_Irr!BS5)),IF(AND(up_Irr!U5=".",up_Irr!AT5=".",up_Irr!BS5&lt;&gt;"."),up_dir!V5/((1/1000)*(up_Irr!BS5)),IF(AND(up_Irr!U5=".",up_Irr!AT5&lt;&gt;".",up_Irr!BS5="."),up_dir!V5/((1/1000)*(up_Irr!AT5)),IF(AND(up_Irr!U5&lt;&gt;".",up_Irr!AT5=".",up_Irr!BS5="."),up_dir!V5/((1/1000)*(up_Irr!U5)),IF(AND(up_Irr!U5=".",up_Irr!AT5=".",up_Irr!BS5="."),up_dir!V5*1000)))))))),".")</f>
        <v>6.5773651144152123E-11</v>
      </c>
      <c r="W5" s="76">
        <f>IFERROR(IF(AND(up_Irr!V5&lt;&gt;".",up_Irr!AU5&lt;&gt;".",up_Irr!BT5&lt;&gt;"."),up_dir!W5/((1/1000)*(up_Irr!V5+up_Irr!AU5+up_Irr!BT5)),IF(AND(up_Irr!V5&lt;&gt;".",up_Irr!AU5&lt;&gt;".",up_Irr!BT5="."),up_dir!W5/((1/1000)*(up_Irr!V5+up_Irr!AU5)),IF(AND(up_Irr!V5&lt;&gt;".",up_Irr!AU5=".",up_Irr!BT5&lt;&gt;"."),up_dir!W5/((1/1000)*(up_Irr!V5+up_Irr!BT5)),IF(AND(up_Irr!V5=".",up_Irr!AU5&lt;&gt;".",up_Irr!BT5&lt;&gt;"."),up_dir!W5/((1/1000)*(up_Irr!AU5+up_Irr!BT5)),IF(AND(up_Irr!V5=".",up_Irr!AU5=".",up_Irr!BT5&lt;&gt;"."),up_dir!W5/((1/1000)*(up_Irr!BT5)),IF(AND(up_Irr!V5=".",up_Irr!AU5&lt;&gt;".",up_Irr!BT5="."),up_dir!W5/((1/1000)*(up_Irr!AU5)),IF(AND(up_Irr!V5&lt;&gt;".",up_Irr!AU5=".",up_Irr!BT5="."),up_dir!W5/((1/1000)*(up_Irr!V5)),IF(AND(up_Irr!V5=".",up_Irr!AU5=".",up_Irr!BT5="."),up_dir!W5*1000)))))))),".")</f>
        <v>6.5773651144152123E-11</v>
      </c>
      <c r="X5" s="76">
        <f>IFERROR(IF(AND(up_Irr!W5&lt;&gt;".",up_Irr!AV5&lt;&gt;".",up_Irr!BU5&lt;&gt;"."),up_dir!X5/((1/1000)*(up_Irr!W5+up_Irr!AV5+up_Irr!BU5)),IF(AND(up_Irr!W5&lt;&gt;".",up_Irr!AV5&lt;&gt;".",up_Irr!BU5="."),up_dir!X5/((1/1000)*(up_Irr!W5+up_Irr!AV5)),IF(AND(up_Irr!W5&lt;&gt;".",up_Irr!AV5=".",up_Irr!BU5&lt;&gt;"."),up_dir!X5/((1/1000)*(up_Irr!W5+up_Irr!BU5)),IF(AND(up_Irr!W5=".",up_Irr!AV5&lt;&gt;".",up_Irr!BU5&lt;&gt;"."),up_dir!X5/((1/1000)*(up_Irr!AV5+up_Irr!BU5)),IF(AND(up_Irr!W5=".",up_Irr!AV5=".",up_Irr!BU5&lt;&gt;"."),up_dir!X5/((1/1000)*(up_Irr!BU5)),IF(AND(up_Irr!W5=".",up_Irr!AV5&lt;&gt;".",up_Irr!BU5="."),up_dir!X5/((1/1000)*(up_Irr!AV5)),IF(AND(up_Irr!W5&lt;&gt;".",up_Irr!AV5=".",up_Irr!BU5="."),up_dir!X5/((1/1000)*(up_Irr!W5)),IF(AND(up_Irr!W5=".",up_Irr!AV5=".",up_Irr!BU5="."),up_dir!X5*1000)))))))),".")</f>
        <v>6.5773651144152123E-11</v>
      </c>
      <c r="Y5" s="76">
        <f>IFERROR(IF(AND(up_Irr!X5&lt;&gt;".",up_Irr!AW5&lt;&gt;".",up_Irr!BV5&lt;&gt;"."),up_dir!Y5/((1/1000)*(up_Irr!X5+up_Irr!AW5+up_Irr!BV5)),IF(AND(up_Irr!X5&lt;&gt;".",up_Irr!AW5&lt;&gt;".",up_Irr!BV5="."),up_dir!Y5/((1/1000)*(up_Irr!X5+up_Irr!AW5)),IF(AND(up_Irr!X5&lt;&gt;".",up_Irr!AW5=".",up_Irr!BV5&lt;&gt;"."),up_dir!Y5/((1/1000)*(up_Irr!X5+up_Irr!BV5)),IF(AND(up_Irr!X5=".",up_Irr!AW5&lt;&gt;".",up_Irr!BV5&lt;&gt;"."),up_dir!Y5/((1/1000)*(up_Irr!AW5+up_Irr!BV5)),IF(AND(up_Irr!X5=".",up_Irr!AW5=".",up_Irr!BV5&lt;&gt;"."),up_dir!Y5/((1/1000)*(up_Irr!BV5)),IF(AND(up_Irr!X5=".",up_Irr!AW5&lt;&gt;".",up_Irr!BV5="."),up_dir!Y5/((1/1000)*(up_Irr!AW5)),IF(AND(up_Irr!X5&lt;&gt;".",up_Irr!AW5=".",up_Irr!BV5="."),up_dir!Y5/((1/1000)*(up_Irr!X5)),IF(AND(up_Irr!X5=".",up_Irr!AW5=".",up_Irr!BV5="."),up_dir!Y5*1000)))))))),".")</f>
        <v>6.5773651144152123E-11</v>
      </c>
      <c r="Z5" s="76">
        <f>IFERROR(IF(AND(up_Irr!Y5&lt;&gt;".",up_Irr!AX5&lt;&gt;".",up_Irr!BW5&lt;&gt;"."),up_dir!Z5/((1/1000)*(up_Irr!Y5+up_Irr!AX5+up_Irr!BW5)),IF(AND(up_Irr!Y5&lt;&gt;".",up_Irr!AX5&lt;&gt;".",up_Irr!BW5="."),up_dir!Z5/((1/1000)*(up_Irr!Y5+up_Irr!AX5)),IF(AND(up_Irr!Y5&lt;&gt;".",up_Irr!AX5=".",up_Irr!BW5&lt;&gt;"."),up_dir!Z5/((1/1000)*(up_Irr!Y5+up_Irr!BW5)),IF(AND(up_Irr!Y5=".",up_Irr!AX5&lt;&gt;".",up_Irr!BW5&lt;&gt;"."),up_dir!Z5/((1/1000)*(up_Irr!AX5+up_Irr!BW5)),IF(AND(up_Irr!Y5=".",up_Irr!AX5=".",up_Irr!BW5&lt;&gt;"."),up_dir!Z5/((1/1000)*(up_Irr!BW5)),IF(AND(up_Irr!Y5=".",up_Irr!AX5&lt;&gt;".",up_Irr!BW5="."),up_dir!Z5/((1/1000)*(up_Irr!AX5)),IF(AND(up_Irr!Y5&lt;&gt;".",up_Irr!AX5=".",up_Irr!BW5="."),up_dir!Z5/((1/1000)*(up_Irr!Y5)),IF(AND(up_Irr!Y5=".",up_Irr!AX5=".",up_Irr!BW5="."),up_dir!Z5*1000)))))))),".")</f>
        <v>6.5773651144152123E-11</v>
      </c>
      <c r="AA5" s="76">
        <f>IFERROR(IF(AND(up_Irr!Z5&lt;&gt;".",up_Irr!AY5&lt;&gt;".",up_Irr!BX5&lt;&gt;"."),up_dir!AA5/((1/1000)*(up_Irr!Z5+up_Irr!AY5+up_Irr!BX5)),IF(AND(up_Irr!Z5&lt;&gt;".",up_Irr!AY5&lt;&gt;".",up_Irr!BX5="."),up_dir!AA5/((1/1000)*(up_Irr!Z5+up_Irr!AY5)),IF(AND(up_Irr!Z5&lt;&gt;".",up_Irr!AY5=".",up_Irr!BX5&lt;&gt;"."),up_dir!AA5/((1/1000)*(up_Irr!Z5+up_Irr!BX5)),IF(AND(up_Irr!Z5=".",up_Irr!AY5&lt;&gt;".",up_Irr!BX5&lt;&gt;"."),up_dir!AA5/((1/1000)*(up_Irr!AY5+up_Irr!BX5)),IF(AND(up_Irr!Z5=".",up_Irr!AY5=".",up_Irr!BX5&lt;&gt;"."),up_dir!AA5/((1/1000)*(up_Irr!BX5)),IF(AND(up_Irr!Z5=".",up_Irr!AY5&lt;&gt;".",up_Irr!BX5="."),up_dir!AA5/((1/1000)*(up_Irr!AY5)),IF(AND(up_Irr!Z5&lt;&gt;".",up_Irr!AY5=".",up_Irr!BX5="."),up_dir!AA5/((1/1000)*(up_Irr!Z5)),IF(AND(up_Irr!Z5=".",up_Irr!AY5=".",up_Irr!BX5="."),up_dir!AA5*1000)))))))),".")</f>
        <v>6.5773651144152123E-11</v>
      </c>
      <c r="AB5" s="76">
        <f>IFERROR(IF(AND(up_Irr!AA5&lt;&gt;".",up_Irr!AZ5&lt;&gt;".",up_Irr!BY5&lt;&gt;"."),up_dir!AB5/((1/1000)*(up_Irr!AA5+up_Irr!AZ5+up_Irr!BY5)),IF(AND(up_Irr!AA5&lt;&gt;".",up_Irr!AZ5&lt;&gt;".",up_Irr!BY5="."),up_dir!AB5/((1/1000)*(up_Irr!AA5+up_Irr!AZ5)),IF(AND(up_Irr!AA5&lt;&gt;".",up_Irr!AZ5=".",up_Irr!BY5&lt;&gt;"."),up_dir!AB5/((1/1000)*(up_Irr!AA5+up_Irr!BY5)),IF(AND(up_Irr!AA5=".",up_Irr!AZ5&lt;&gt;".",up_Irr!BY5&lt;&gt;"."),up_dir!AB5/((1/1000)*(up_Irr!AZ5+up_Irr!BY5)),IF(AND(up_Irr!AA5=".",up_Irr!AZ5=".",up_Irr!BY5&lt;&gt;"."),up_dir!AB5/((1/1000)*(up_Irr!BY5)),IF(AND(up_Irr!AA5=".",up_Irr!AZ5&lt;&gt;".",up_Irr!BY5="."),up_dir!AB5/((1/1000)*(up_Irr!AZ5)),IF(AND(up_Irr!AA5&lt;&gt;".",up_Irr!AZ5=".",up_Irr!BY5="."),up_dir!AB5/((1/1000)*(up_Irr!AA5)),IF(AND(up_Irr!AA5=".",up_Irr!AZ5=".",up_Irr!BY5="."),up_dir!AB5*1000)))))))),".")</f>
        <v>6.5773651144152123E-11</v>
      </c>
      <c r="AC5" s="93">
        <f t="shared" si="1"/>
        <v>608146.26076229871</v>
      </c>
      <c r="AD5" s="93">
        <f>IFERROR(s_C*s_IFAP_res_adj*s_CF_apple*0.001*(up_Irr!C5+up_Irr!AB5+up_Irr!BA5),".")</f>
        <v>152036.56519057468</v>
      </c>
      <c r="AE5" s="93">
        <f>IFERROR(s_C*s_IFAS_res_adj*s_CF_asparagus*0.001*(up_Irr!D5+up_Irr!AC5+up_Irr!BB5),".")</f>
        <v>152036.56519057468</v>
      </c>
      <c r="AF5" s="93">
        <f>IFERROR(s_C*s_IFBT_res_adj*s_CF_beet*0.001*(up_Irr!E5+up_Irr!AD5+up_Irr!BC5),".")</f>
        <v>152036.56519057468</v>
      </c>
      <c r="AG5" s="93">
        <f>IFERROR(s_C*s_IFBE_res_adj*s_CF_berries*0.001*(up_Irr!F5+up_Irr!AE5+up_Irr!BD5),".")</f>
        <v>152036.56519057468</v>
      </c>
      <c r="AH5" s="93">
        <f>IFERROR(s_C*s_IFBR_res_adj*s_CF_broccoli*0.001*(up_Irr!G5+up_Irr!AF5+up_Irr!BE5),".")</f>
        <v>152036.56519057468</v>
      </c>
      <c r="AI5" s="93">
        <f>IFERROR(s_C*s_IFCB_res_adj*s_CF_cabbage*0.001*(up_Irr!H5+up_Irr!AG5+up_Irr!BF5),".")</f>
        <v>152036.56519057468</v>
      </c>
      <c r="AJ5" s="93">
        <f>IFERROR(s_C*s_IFCR_res_adj*s_CF_carrot*0.001*(up_Irr!I5+up_Irr!AH5+up_Irr!BG5),".")</f>
        <v>152036.56519057468</v>
      </c>
      <c r="AK5" s="93">
        <f>IFERROR(s_C*s_IFCI_res_adj*s_CF_citrus*0.001*(up_Irr!J5+up_Irr!AI5+up_Irr!BH5),".")</f>
        <v>152036.56519057468</v>
      </c>
      <c r="AL5" s="93">
        <f>IFERROR(s_C*s_IFCO_res_adj*s_CF_corn*0.001*(up_Irr!K5+up_Irr!AJ5+up_Irr!BI5),".")</f>
        <v>152036.56519057468</v>
      </c>
      <c r="AM5" s="93">
        <f>IFERROR(s_C*s_IFCU_res_adj*s_CF_cucumber*0.001*(up_Irr!L5+up_Irr!AK5+up_Irr!BJ5),".")</f>
        <v>152036.56519057468</v>
      </c>
      <c r="AN5" s="93">
        <f>IFERROR(s_C*s_IFLE_res_adj*s_CF_lettuce*0.001*(up_Irr!M5+up_Irr!AL5+up_Irr!BK5),".")</f>
        <v>152036.56519057468</v>
      </c>
      <c r="AO5" s="93">
        <f>IFERROR(s_C*s_IFLI_res_adj*s_CF_lima_bean*0.001*(up_Irr!N5+up_Irr!AM5+up_Irr!BL5),".")</f>
        <v>152036.56519057468</v>
      </c>
      <c r="AP5" s="93">
        <f>IFERROR(s_C*s_IFOK_res_adj*s_CF_okra*0.001*(up_Irr!O5+up_Irr!AN5+up_Irr!BM5),".")</f>
        <v>152036.56519057468</v>
      </c>
      <c r="AQ5" s="93">
        <f>IFERROR(s_C*s_IFON_res_adj*s_CF_onion*0.001*(up_Irr!P5+up_Irr!AO5+up_Irr!BN5),".")</f>
        <v>152036.56519057468</v>
      </c>
      <c r="AR5" s="93">
        <f>IFERROR(s_C*s_IFPC_res_adj*s_CF_peach*0.001*(up_Irr!Q5+up_Irr!AP5+up_Irr!BO5),".")</f>
        <v>152036.56519057468</v>
      </c>
      <c r="AS5" s="93">
        <f>IFERROR(s_C*s_IFPR_res_adj*s_CF_pear*0.001*(up_Irr!R5+up_Irr!AQ5+up_Irr!BP5),".")</f>
        <v>152036.56519057468</v>
      </c>
      <c r="AT5" s="93">
        <f>IFERROR(s_C*s_IFPE_res_adj*s_CF_peas*0.001*(up_Irr!S5+up_Irr!AR5+up_Irr!BQ5),".")</f>
        <v>152036.56519057468</v>
      </c>
      <c r="AU5" s="93">
        <f>IFERROR(s_C*s_IFPP_res_adj*s_CF_peppers*0.001*(up_Irr!T5+up_Irr!AS5+up_Irr!BR5),".")</f>
        <v>152036.56519057468</v>
      </c>
      <c r="AV5" s="93">
        <f>IFERROR(s_C*s_IFPT_res_adj*s_CF_potato*0.001*(up_Irr!U5+up_Irr!AT5+up_Irr!BS5),".")</f>
        <v>152036.56519057468</v>
      </c>
      <c r="AW5" s="93">
        <f>IFERROR(s_C*s_IFPU_res_adj*s_CF_pumpkin*0.001*(up_Irr!V5+up_Irr!AU5+up_Irr!BT5),".")</f>
        <v>152036.56519057468</v>
      </c>
      <c r="AX5" s="93">
        <f>IFERROR(s_C*s_IFSN_res_adj*s_CF_snap_bean*0.001*(up_Irr!W5+up_Irr!AV5+up_Irr!BU5),".")</f>
        <v>152036.56519057468</v>
      </c>
      <c r="AY5" s="93">
        <f>IFERROR(s_C*s_IFST_res_adj*s_CF_strawberry*0.001*(up_Irr!X5+up_Irr!AW5+up_Irr!BV5),".")</f>
        <v>152036.56519057468</v>
      </c>
      <c r="AZ5" s="93">
        <f>IFERROR(s_C*s_IFTO_res_adj*s_CF_tomato*0.001*(up_Irr!Y5+up_Irr!AX5+up_Irr!BW5),".")</f>
        <v>152036.56519057468</v>
      </c>
      <c r="BA5" s="93">
        <f>IFERROR(s_C*s_IFRI_res_adj*s_CF_rice*0.001*(up_Irr!Z5+up_Irr!AY5+up_Irr!BX5),".")</f>
        <v>152036.56519057468</v>
      </c>
      <c r="BB5" s="93">
        <f>IFERROR(s_C*s_IFCG_res_adj*s_CF_cereal*0.001*(up_Irr!AA5+up_Irr!AZ5+up_Irr!BY5),".")</f>
        <v>152036.56519057468</v>
      </c>
      <c r="BC5" s="76">
        <f t="shared" si="2"/>
        <v>1.6443412786038031E-11</v>
      </c>
      <c r="BD5" s="76">
        <f>IFERROR(IF(AND(up_Irr!C5&lt;&gt;".",up_Irr!AB5&lt;&gt;".",up_Irr!BA5&lt;&gt;"."),up_dir!AD5/((1/1000)*(up_Irr!C5+up_Irr!AB5+up_Irr!BA5)),IF(AND(up_Irr!C5&lt;&gt;".",up_Irr!AB5&lt;&gt;".",up_Irr!BA5="."),up_dir!AD5/((1/1000)*(up_Irr!C5+up_Irr!AB5)),IF(AND(up_Irr!C5&lt;&gt;".",up_Irr!AB5=".",up_Irr!BA5&lt;&gt;"."),up_dir!AD5/((1/1000)*(up_Irr!C5+up_Irr!BA5)),IF(AND(up_Irr!C5=".",up_Irr!AB5&lt;&gt;".",up_Irr!BA5&lt;&gt;"."),up_dir!AD5/((1/1000)*(up_Irr!AB5+up_Irr!BA5)),IF(AND(up_Irr!C5=".",up_Irr!AB5=".",up_Irr!BA5&lt;&gt;"."),up_dir!AD5/((1/1000)*(up_Irr!BA5)),IF(AND(up_Irr!C5=".",up_Irr!AB5&lt;&gt;".",up_Irr!BA5="."),up_dir!AD5/((1/1000)*(up_Irr!AB5)),IF(AND(up_Irr!C5&lt;&gt;".",up_Irr!AB5=".",up_Irr!BA5="."),up_dir!AD5/((1/1000)*(up_Irr!C5)),IF(AND(up_Irr!C5=".",up_Irr!AB5=".",up_Irr!BA5="."),up_dir!AD5*1000)))))))),".")</f>
        <v>6.5773651144152123E-11</v>
      </c>
      <c r="BE5" s="76">
        <f>IFERROR(IF(AND(up_Irr!D5&lt;&gt;".",up_Irr!AC5&lt;&gt;".",up_Irr!BB5&lt;&gt;"."),up_dir!AE5/((1/1000)*(up_Irr!D5+up_Irr!AC5+up_Irr!BB5)),IF(AND(up_Irr!D5&lt;&gt;".",up_Irr!AC5&lt;&gt;".",up_Irr!BB5="."),up_dir!AE5/((1/1000)*(up_Irr!D5+up_Irr!AC5)),IF(AND(up_Irr!D5&lt;&gt;".",up_Irr!AC5=".",up_Irr!BB5&lt;&gt;"."),up_dir!AE5/((1/1000)*(up_Irr!D5+up_Irr!BB5)),IF(AND(up_Irr!D5=".",up_Irr!AC5&lt;&gt;".",up_Irr!BB5&lt;&gt;"."),up_dir!AE5/((1/1000)*(up_Irr!AC5+up_Irr!BB5)),IF(AND(up_Irr!D5=".",up_Irr!AC5=".",up_Irr!BB5&lt;&gt;"."),up_dir!AE5/((1/1000)*(up_Irr!BB5)),IF(AND(up_Irr!D5=".",up_Irr!AC5&lt;&gt;".",up_Irr!BB5="."),up_dir!AE5/((1/1000)*(up_Irr!AC5)),IF(AND(up_Irr!D5&lt;&gt;".",up_Irr!AC5=".",up_Irr!BB5="."),up_dir!AE5/((1/1000)*(up_Irr!D5)),IF(AND(up_Irr!D5=".",up_Irr!AC5=".",up_Irr!BB5="."),up_dir!AE5*1000)))))))),".")</f>
        <v>6.5773651144152123E-11</v>
      </c>
      <c r="BF5" s="76">
        <f>IFERROR(IF(AND(up_Irr!E5&lt;&gt;".",up_Irr!AD5&lt;&gt;".",up_Irr!BC5&lt;&gt;"."),up_dir!AF5/((1/1000)*(up_Irr!E5+up_Irr!AD5+up_Irr!BC5)),IF(AND(up_Irr!E5&lt;&gt;".",up_Irr!AD5&lt;&gt;".",up_Irr!BC5="."),up_dir!AF5/((1/1000)*(up_Irr!E5+up_Irr!AD5)),IF(AND(up_Irr!E5&lt;&gt;".",up_Irr!AD5=".",up_Irr!BC5&lt;&gt;"."),up_dir!AF5/((1/1000)*(up_Irr!E5+up_Irr!BC5)),IF(AND(up_Irr!E5=".",up_Irr!AD5&lt;&gt;".",up_Irr!BC5&lt;&gt;"."),up_dir!AF5/((1/1000)*(up_Irr!AD5+up_Irr!BC5)),IF(AND(up_Irr!E5=".",up_Irr!AD5=".",up_Irr!BC5&lt;&gt;"."),up_dir!AF5/((1/1000)*(up_Irr!BC5)),IF(AND(up_Irr!E5=".",up_Irr!AD5&lt;&gt;".",up_Irr!BC5="."),up_dir!AF5/((1/1000)*(up_Irr!AD5)),IF(AND(up_Irr!E5&lt;&gt;".",up_Irr!AD5=".",up_Irr!BC5="."),up_dir!AF5/((1/1000)*(up_Irr!E5)),IF(AND(up_Irr!E5=".",up_Irr!AD5=".",up_Irr!BC5="."),up_dir!AF5*1000)))))))),".")</f>
        <v>6.5773651144152123E-11</v>
      </c>
      <c r="BG5" s="76">
        <f>IFERROR(IF(AND(up_Irr!F5&lt;&gt;".",up_Irr!AE5&lt;&gt;".",up_Irr!BD5&lt;&gt;"."),up_dir!AG5/((1/1000)*(up_Irr!F5+up_Irr!AE5+up_Irr!BD5)),IF(AND(up_Irr!F5&lt;&gt;".",up_Irr!AE5&lt;&gt;".",up_Irr!BD5="."),up_dir!AG5/((1/1000)*(up_Irr!F5+up_Irr!AE5)),IF(AND(up_Irr!F5&lt;&gt;".",up_Irr!AE5=".",up_Irr!BD5&lt;&gt;"."),up_dir!AG5/((1/1000)*(up_Irr!F5+up_Irr!BD5)),IF(AND(up_Irr!F5=".",up_Irr!AE5&lt;&gt;".",up_Irr!BD5&lt;&gt;"."),up_dir!AG5/((1/1000)*(up_Irr!AE5+up_Irr!BD5)),IF(AND(up_Irr!F5=".",up_Irr!AE5=".",up_Irr!BD5&lt;&gt;"."),up_dir!AG5/((1/1000)*(up_Irr!BD5)),IF(AND(up_Irr!F5=".",up_Irr!AE5&lt;&gt;".",up_Irr!BD5="."),up_dir!AG5/((1/1000)*(up_Irr!AE5)),IF(AND(up_Irr!F5&lt;&gt;".",up_Irr!AE5=".",up_Irr!BD5="."),up_dir!AG5/((1/1000)*(up_Irr!F5)),IF(AND(up_Irr!F5=".",up_Irr!AE5=".",up_Irr!BD5="."),up_dir!AG5*1000)))))))),".")</f>
        <v>6.5773651144152123E-11</v>
      </c>
      <c r="BH5" s="76">
        <f>IFERROR(IF(AND(up_Irr!G5&lt;&gt;".",up_Irr!AF5&lt;&gt;".",up_Irr!BE5&lt;&gt;"."),up_dir!AH5/((1/1000)*(up_Irr!G5+up_Irr!AF5+up_Irr!BE5)),IF(AND(up_Irr!G5&lt;&gt;".",up_Irr!AF5&lt;&gt;".",up_Irr!BE5="."),up_dir!AH5/((1/1000)*(up_Irr!G5+up_Irr!AF5)),IF(AND(up_Irr!G5&lt;&gt;".",up_Irr!AF5=".",up_Irr!BE5&lt;&gt;"."),up_dir!AH5/((1/1000)*(up_Irr!G5+up_Irr!BE5)),IF(AND(up_Irr!G5=".",up_Irr!AF5&lt;&gt;".",up_Irr!BE5&lt;&gt;"."),up_dir!AH5/((1/1000)*(up_Irr!AF5+up_Irr!BE5)),IF(AND(up_Irr!G5=".",up_Irr!AF5=".",up_Irr!BE5&lt;&gt;"."),up_dir!AH5/((1/1000)*(up_Irr!BE5)),IF(AND(up_Irr!G5=".",up_Irr!AF5&lt;&gt;".",up_Irr!BE5="."),up_dir!AH5/((1/1000)*(up_Irr!AF5)),IF(AND(up_Irr!G5&lt;&gt;".",up_Irr!AF5=".",up_Irr!BE5="."),up_dir!AH5/((1/1000)*(up_Irr!G5)),IF(AND(up_Irr!G5=".",up_Irr!AF5=".",up_Irr!BE5="."),up_dir!AH5*1000)))))))),".")</f>
        <v>6.5773651144152123E-11</v>
      </c>
      <c r="BI5" s="76">
        <f>IFERROR(IF(AND(up_Irr!H5&lt;&gt;".",up_Irr!AG5&lt;&gt;".",up_Irr!BF5&lt;&gt;"."),up_dir!AI5/((1/1000)*(up_Irr!H5+up_Irr!AG5+up_Irr!BF5)),IF(AND(up_Irr!H5&lt;&gt;".",up_Irr!AG5&lt;&gt;".",up_Irr!BF5="."),up_dir!AI5/((1/1000)*(up_Irr!H5+up_Irr!AG5)),IF(AND(up_Irr!H5&lt;&gt;".",up_Irr!AG5=".",up_Irr!BF5&lt;&gt;"."),up_dir!AI5/((1/1000)*(up_Irr!H5+up_Irr!BF5)),IF(AND(up_Irr!H5=".",up_Irr!AG5&lt;&gt;".",up_Irr!BF5&lt;&gt;"."),up_dir!AI5/((1/1000)*(up_Irr!AG5+up_Irr!BF5)),IF(AND(up_Irr!H5=".",up_Irr!AG5=".",up_Irr!BF5&lt;&gt;"."),up_dir!AI5/((1/1000)*(up_Irr!BF5)),IF(AND(up_Irr!H5=".",up_Irr!AG5&lt;&gt;".",up_Irr!BF5="."),up_dir!AI5/((1/1000)*(up_Irr!AG5)),IF(AND(up_Irr!H5&lt;&gt;".",up_Irr!AG5=".",up_Irr!BF5="."),up_dir!AI5/((1/1000)*(up_Irr!H5)),IF(AND(up_Irr!H5=".",up_Irr!AG5=".",up_Irr!BF5="."),up_dir!AI5*1000)))))))),".")</f>
        <v>6.5773651144152123E-11</v>
      </c>
      <c r="BJ5" s="76">
        <f>IFERROR(IF(AND(up_Irr!I5&lt;&gt;".",up_Irr!AH5&lt;&gt;".",up_Irr!BG5&lt;&gt;"."),up_dir!AJ5/((1/1000)*(up_Irr!I5+up_Irr!AH5+up_Irr!BG5)),IF(AND(up_Irr!I5&lt;&gt;".",up_Irr!AH5&lt;&gt;".",up_Irr!BG5="."),up_dir!AJ5/((1/1000)*(up_Irr!I5+up_Irr!AH5)),IF(AND(up_Irr!I5&lt;&gt;".",up_Irr!AH5=".",up_Irr!BG5&lt;&gt;"."),up_dir!AJ5/((1/1000)*(up_Irr!I5+up_Irr!BG5)),IF(AND(up_Irr!I5=".",up_Irr!AH5&lt;&gt;".",up_Irr!BG5&lt;&gt;"."),up_dir!AJ5/((1/1000)*(up_Irr!AH5+up_Irr!BG5)),IF(AND(up_Irr!I5=".",up_Irr!AH5=".",up_Irr!BG5&lt;&gt;"."),up_dir!AJ5/((1/1000)*(up_Irr!BG5)),IF(AND(up_Irr!I5=".",up_Irr!AH5&lt;&gt;".",up_Irr!BG5="."),up_dir!AJ5/((1/1000)*(up_Irr!AH5)),IF(AND(up_Irr!I5&lt;&gt;".",up_Irr!AH5=".",up_Irr!BG5="."),up_dir!AJ5/((1/1000)*(up_Irr!I5)),IF(AND(up_Irr!I5=".",up_Irr!AH5=".",up_Irr!BG5="."),up_dir!AJ5*1000)))))))),".")</f>
        <v>6.5773651144152123E-11</v>
      </c>
      <c r="BK5" s="76">
        <f>IFERROR(IF(AND(up_Irr!J5&lt;&gt;".",up_Irr!AI5&lt;&gt;".",up_Irr!BH5&lt;&gt;"."),up_dir!AK5/((1/1000)*(up_Irr!J5+up_Irr!AI5+up_Irr!BH5)),IF(AND(up_Irr!J5&lt;&gt;".",up_Irr!AI5&lt;&gt;".",up_Irr!BH5="."),up_dir!AK5/((1/1000)*(up_Irr!J5+up_Irr!AI5)),IF(AND(up_Irr!J5&lt;&gt;".",up_Irr!AI5=".",up_Irr!BH5&lt;&gt;"."),up_dir!AK5/((1/1000)*(up_Irr!J5+up_Irr!BH5)),IF(AND(up_Irr!J5=".",up_Irr!AI5&lt;&gt;".",up_Irr!BH5&lt;&gt;"."),up_dir!AK5/((1/1000)*(up_Irr!AI5+up_Irr!BH5)),IF(AND(up_Irr!J5=".",up_Irr!AI5=".",up_Irr!BH5&lt;&gt;"."),up_dir!AK5/((1/1000)*(up_Irr!BH5)),IF(AND(up_Irr!J5=".",up_Irr!AI5&lt;&gt;".",up_Irr!BH5="."),up_dir!AK5/((1/1000)*(up_Irr!AI5)),IF(AND(up_Irr!J5&lt;&gt;".",up_Irr!AI5=".",up_Irr!BH5="."),up_dir!AK5/((1/1000)*(up_Irr!J5)),IF(AND(up_Irr!J5=".",up_Irr!AI5=".",up_Irr!BH5="."),up_dir!AK5*1000)))))))),".")</f>
        <v>6.5773651144152123E-11</v>
      </c>
      <c r="BL5" s="76">
        <f>IFERROR(IF(AND(up_Irr!K5&lt;&gt;".",up_Irr!AJ5&lt;&gt;".",up_Irr!BI5&lt;&gt;"."),up_dir!AL5/((1/1000)*(up_Irr!K5+up_Irr!AJ5+up_Irr!BI5)),IF(AND(up_Irr!K5&lt;&gt;".",up_Irr!AJ5&lt;&gt;".",up_Irr!BI5="."),up_dir!AL5/((1/1000)*(up_Irr!K5+up_Irr!AJ5)),IF(AND(up_Irr!K5&lt;&gt;".",up_Irr!AJ5=".",up_Irr!BI5&lt;&gt;"."),up_dir!AL5/((1/1000)*(up_Irr!K5+up_Irr!BI5)),IF(AND(up_Irr!K5=".",up_Irr!AJ5&lt;&gt;".",up_Irr!BI5&lt;&gt;"."),up_dir!AL5/((1/1000)*(up_Irr!AJ5+up_Irr!BI5)),IF(AND(up_Irr!K5=".",up_Irr!AJ5=".",up_Irr!BI5&lt;&gt;"."),up_dir!AL5/((1/1000)*(up_Irr!BI5)),IF(AND(up_Irr!K5=".",up_Irr!AJ5&lt;&gt;".",up_Irr!BI5="."),up_dir!AL5/((1/1000)*(up_Irr!AJ5)),IF(AND(up_Irr!K5&lt;&gt;".",up_Irr!AJ5=".",up_Irr!BI5="."),up_dir!AL5/((1/1000)*(up_Irr!K5)),IF(AND(up_Irr!K5=".",up_Irr!AJ5=".",up_Irr!BI5="."),up_dir!AL5*1000)))))))),".")</f>
        <v>6.5773651144152123E-11</v>
      </c>
      <c r="BM5" s="76">
        <f>IFERROR(IF(AND(up_Irr!L5&lt;&gt;".",up_Irr!AK5&lt;&gt;".",up_Irr!BJ5&lt;&gt;"."),up_dir!AM5/((1/1000)*(up_Irr!L5+up_Irr!AK5+up_Irr!BJ5)),IF(AND(up_Irr!L5&lt;&gt;".",up_Irr!AK5&lt;&gt;".",up_Irr!BJ5="."),up_dir!AM5/((1/1000)*(up_Irr!L5+up_Irr!AK5)),IF(AND(up_Irr!L5&lt;&gt;".",up_Irr!AK5=".",up_Irr!BJ5&lt;&gt;"."),up_dir!AM5/((1/1000)*(up_Irr!L5+up_Irr!BJ5)),IF(AND(up_Irr!L5=".",up_Irr!AK5&lt;&gt;".",up_Irr!BJ5&lt;&gt;"."),up_dir!AM5/((1/1000)*(up_Irr!AK5+up_Irr!BJ5)),IF(AND(up_Irr!L5=".",up_Irr!AK5=".",up_Irr!BJ5&lt;&gt;"."),up_dir!AM5/((1/1000)*(up_Irr!BJ5)),IF(AND(up_Irr!L5=".",up_Irr!AK5&lt;&gt;".",up_Irr!BJ5="."),up_dir!AM5/((1/1000)*(up_Irr!AK5)),IF(AND(up_Irr!L5&lt;&gt;".",up_Irr!AK5=".",up_Irr!BJ5="."),up_dir!AM5/((1/1000)*(up_Irr!L5)),IF(AND(up_Irr!L5=".",up_Irr!AK5=".",up_Irr!BJ5="."),up_dir!AM5*1000)))))))),".")</f>
        <v>6.5773651144152123E-11</v>
      </c>
      <c r="BN5" s="76">
        <f>IFERROR(IF(AND(up_Irr!M5&lt;&gt;".",up_Irr!AL5&lt;&gt;".",up_Irr!BK5&lt;&gt;"."),up_dir!AN5/((1/1000)*(up_Irr!M5+up_Irr!AL5+up_Irr!BK5)),IF(AND(up_Irr!M5&lt;&gt;".",up_Irr!AL5&lt;&gt;".",up_Irr!BK5="."),up_dir!AN5/((1/1000)*(up_Irr!M5+up_Irr!AL5)),IF(AND(up_Irr!M5&lt;&gt;".",up_Irr!AL5=".",up_Irr!BK5&lt;&gt;"."),up_dir!AN5/((1/1000)*(up_Irr!M5+up_Irr!BK5)),IF(AND(up_Irr!M5=".",up_Irr!AL5&lt;&gt;".",up_Irr!BK5&lt;&gt;"."),up_dir!AN5/((1/1000)*(up_Irr!AL5+up_Irr!BK5)),IF(AND(up_Irr!M5=".",up_Irr!AL5=".",up_Irr!BK5&lt;&gt;"."),up_dir!AN5/((1/1000)*(up_Irr!BK5)),IF(AND(up_Irr!M5=".",up_Irr!AL5&lt;&gt;".",up_Irr!BK5="."),up_dir!AN5/((1/1000)*(up_Irr!AL5)),IF(AND(up_Irr!M5&lt;&gt;".",up_Irr!AL5=".",up_Irr!BK5="."),up_dir!AN5/((1/1000)*(up_Irr!M5)),IF(AND(up_Irr!M5=".",up_Irr!AL5=".",up_Irr!BK5="."),up_dir!AN5*1000)))))))),".")</f>
        <v>6.5773651144152123E-11</v>
      </c>
      <c r="BO5" s="76">
        <f>IFERROR(IF(AND(up_Irr!N5&lt;&gt;".",up_Irr!AM5&lt;&gt;".",up_Irr!BL5&lt;&gt;"."),up_dir!AO5/((1/1000)*(up_Irr!N5+up_Irr!AM5+up_Irr!BL5)),IF(AND(up_Irr!N5&lt;&gt;".",up_Irr!AM5&lt;&gt;".",up_Irr!BL5="."),up_dir!AO5/((1/1000)*(up_Irr!N5+up_Irr!AM5)),IF(AND(up_Irr!N5&lt;&gt;".",up_Irr!AM5=".",up_Irr!BL5&lt;&gt;"."),up_dir!AO5/((1/1000)*(up_Irr!N5+up_Irr!BL5)),IF(AND(up_Irr!N5=".",up_Irr!AM5&lt;&gt;".",up_Irr!BL5&lt;&gt;"."),up_dir!AO5/((1/1000)*(up_Irr!AM5+up_Irr!BL5)),IF(AND(up_Irr!N5=".",up_Irr!AM5=".",up_Irr!BL5&lt;&gt;"."),up_dir!AO5/((1/1000)*(up_Irr!BL5)),IF(AND(up_Irr!N5=".",up_Irr!AM5&lt;&gt;".",up_Irr!BL5="."),up_dir!AO5/((1/1000)*(up_Irr!AM5)),IF(AND(up_Irr!N5&lt;&gt;".",up_Irr!AM5=".",up_Irr!BL5="."),up_dir!AO5/((1/1000)*(up_Irr!N5)),IF(AND(up_Irr!N5=".",up_Irr!AM5=".",up_Irr!BL5="."),up_dir!AO5*1000)))))))),".")</f>
        <v>6.5773651144152123E-11</v>
      </c>
      <c r="BP5" s="76">
        <f>IFERROR(IF(AND(up_Irr!O5&lt;&gt;".",up_Irr!AN5&lt;&gt;".",up_Irr!BM5&lt;&gt;"."),up_dir!AP5/((1/1000)*(up_Irr!O5+up_Irr!AN5+up_Irr!BM5)),IF(AND(up_Irr!O5&lt;&gt;".",up_Irr!AN5&lt;&gt;".",up_Irr!BM5="."),up_dir!AP5/((1/1000)*(up_Irr!O5+up_Irr!AN5)),IF(AND(up_Irr!O5&lt;&gt;".",up_Irr!AN5=".",up_Irr!BM5&lt;&gt;"."),up_dir!AP5/((1/1000)*(up_Irr!O5+up_Irr!BM5)),IF(AND(up_Irr!O5=".",up_Irr!AN5&lt;&gt;".",up_Irr!BM5&lt;&gt;"."),up_dir!AP5/((1/1000)*(up_Irr!AN5+up_Irr!BM5)),IF(AND(up_Irr!O5=".",up_Irr!AN5=".",up_Irr!BM5&lt;&gt;"."),up_dir!AP5/((1/1000)*(up_Irr!BM5)),IF(AND(up_Irr!O5=".",up_Irr!AN5&lt;&gt;".",up_Irr!BM5="."),up_dir!AP5/((1/1000)*(up_Irr!AN5)),IF(AND(up_Irr!O5&lt;&gt;".",up_Irr!AN5=".",up_Irr!BM5="."),up_dir!AP5/((1/1000)*(up_Irr!O5)),IF(AND(up_Irr!O5=".",up_Irr!AN5=".",up_Irr!BM5="."),up_dir!AP5*1000)))))))),".")</f>
        <v>6.5773651144152123E-11</v>
      </c>
      <c r="BQ5" s="76">
        <f>IFERROR(IF(AND(up_Irr!P5&lt;&gt;".",up_Irr!AO5&lt;&gt;".",up_Irr!BN5&lt;&gt;"."),up_dir!AQ5/((1/1000)*(up_Irr!P5+up_Irr!AO5+up_Irr!BN5)),IF(AND(up_Irr!P5&lt;&gt;".",up_Irr!AO5&lt;&gt;".",up_Irr!BN5="."),up_dir!AQ5/((1/1000)*(up_Irr!P5+up_Irr!AO5)),IF(AND(up_Irr!P5&lt;&gt;".",up_Irr!AO5=".",up_Irr!BN5&lt;&gt;"."),up_dir!AQ5/((1/1000)*(up_Irr!P5+up_Irr!BN5)),IF(AND(up_Irr!P5=".",up_Irr!AO5&lt;&gt;".",up_Irr!BN5&lt;&gt;"."),up_dir!AQ5/((1/1000)*(up_Irr!AO5+up_Irr!BN5)),IF(AND(up_Irr!P5=".",up_Irr!AO5=".",up_Irr!BN5&lt;&gt;"."),up_dir!AQ5/((1/1000)*(up_Irr!BN5)),IF(AND(up_Irr!P5=".",up_Irr!AO5&lt;&gt;".",up_Irr!BN5="."),up_dir!AQ5/((1/1000)*(up_Irr!AO5)),IF(AND(up_Irr!P5&lt;&gt;".",up_Irr!AO5=".",up_Irr!BN5="."),up_dir!AQ5/((1/1000)*(up_Irr!P5)),IF(AND(up_Irr!P5=".",up_Irr!AO5=".",up_Irr!BN5="."),up_dir!AQ5*1000)))))))),".")</f>
        <v>6.5773651144152123E-11</v>
      </c>
      <c r="BR5" s="76">
        <f>IFERROR(IF(AND(up_Irr!Q5&lt;&gt;".",up_Irr!AP5&lt;&gt;".",up_Irr!BO5&lt;&gt;"."),up_dir!AR5/((1/1000)*(up_Irr!Q5+up_Irr!AP5+up_Irr!BO5)),IF(AND(up_Irr!Q5&lt;&gt;".",up_Irr!AP5&lt;&gt;".",up_Irr!BO5="."),up_dir!AR5/((1/1000)*(up_Irr!Q5+up_Irr!AP5)),IF(AND(up_Irr!Q5&lt;&gt;".",up_Irr!AP5=".",up_Irr!BO5&lt;&gt;"."),up_dir!AR5/((1/1000)*(up_Irr!Q5+up_Irr!BO5)),IF(AND(up_Irr!Q5=".",up_Irr!AP5&lt;&gt;".",up_Irr!BO5&lt;&gt;"."),up_dir!AR5/((1/1000)*(up_Irr!AP5+up_Irr!BO5)),IF(AND(up_Irr!Q5=".",up_Irr!AP5=".",up_Irr!BO5&lt;&gt;"."),up_dir!AR5/((1/1000)*(up_Irr!BO5)),IF(AND(up_Irr!Q5=".",up_Irr!AP5&lt;&gt;".",up_Irr!BO5="."),up_dir!AR5/((1/1000)*(up_Irr!AP5)),IF(AND(up_Irr!Q5&lt;&gt;".",up_Irr!AP5=".",up_Irr!BO5="."),up_dir!AR5/((1/1000)*(up_Irr!Q5)),IF(AND(up_Irr!Q5=".",up_Irr!AP5=".",up_Irr!BO5="."),up_dir!AR5*1000)))))))),".")</f>
        <v>6.5773651144152123E-11</v>
      </c>
      <c r="BS5" s="76">
        <f>IFERROR(IF(AND(up_Irr!R5&lt;&gt;".",up_Irr!AQ5&lt;&gt;".",up_Irr!BP5&lt;&gt;"."),up_dir!AS5/((1/1000)*(up_Irr!R5+up_Irr!AQ5+up_Irr!BP5)),IF(AND(up_Irr!R5&lt;&gt;".",up_Irr!AQ5&lt;&gt;".",up_Irr!BP5="."),up_dir!AS5/((1/1000)*(up_Irr!R5+up_Irr!AQ5)),IF(AND(up_Irr!R5&lt;&gt;".",up_Irr!AQ5=".",up_Irr!BP5&lt;&gt;"."),up_dir!AS5/((1/1000)*(up_Irr!R5+up_Irr!BP5)),IF(AND(up_Irr!R5=".",up_Irr!AQ5&lt;&gt;".",up_Irr!BP5&lt;&gt;"."),up_dir!AS5/((1/1000)*(up_Irr!AQ5+up_Irr!BP5)),IF(AND(up_Irr!R5=".",up_Irr!AQ5=".",up_Irr!BP5&lt;&gt;"."),up_dir!AS5/((1/1000)*(up_Irr!BP5)),IF(AND(up_Irr!R5=".",up_Irr!AQ5&lt;&gt;".",up_Irr!BP5="."),up_dir!AS5/((1/1000)*(up_Irr!AQ5)),IF(AND(up_Irr!R5&lt;&gt;".",up_Irr!AQ5=".",up_Irr!BP5="."),up_dir!AS5/((1/1000)*(up_Irr!R5)),IF(AND(up_Irr!R5=".",up_Irr!AQ5=".",up_Irr!BP5="."),up_dir!AS5*1000)))))))),".")</f>
        <v>6.5773651144152123E-11</v>
      </c>
      <c r="BT5" s="76">
        <f>IFERROR(IF(AND(up_Irr!S5&lt;&gt;".",up_Irr!AR5&lt;&gt;".",up_Irr!BQ5&lt;&gt;"."),up_dir!AT5/((1/1000)*(up_Irr!S5+up_Irr!AR5+up_Irr!BQ5)),IF(AND(up_Irr!S5&lt;&gt;".",up_Irr!AR5&lt;&gt;".",up_Irr!BQ5="."),up_dir!AT5/((1/1000)*(up_Irr!S5+up_Irr!AR5)),IF(AND(up_Irr!S5&lt;&gt;".",up_Irr!AR5=".",up_Irr!BQ5&lt;&gt;"."),up_dir!AT5/((1/1000)*(up_Irr!S5+up_Irr!BQ5)),IF(AND(up_Irr!S5=".",up_Irr!AR5&lt;&gt;".",up_Irr!BQ5&lt;&gt;"."),up_dir!AT5/((1/1000)*(up_Irr!AR5+up_Irr!BQ5)),IF(AND(up_Irr!S5=".",up_Irr!AR5=".",up_Irr!BQ5&lt;&gt;"."),up_dir!AT5/((1/1000)*(up_Irr!BQ5)),IF(AND(up_Irr!S5=".",up_Irr!AR5&lt;&gt;".",up_Irr!BQ5="."),up_dir!AT5/((1/1000)*(up_Irr!AR5)),IF(AND(up_Irr!S5&lt;&gt;".",up_Irr!AR5=".",up_Irr!BQ5="."),up_dir!AT5/((1/1000)*(up_Irr!S5)),IF(AND(up_Irr!S5=".",up_Irr!AR5=".",up_Irr!BQ5="."),up_dir!AT5*1000)))))))),".")</f>
        <v>6.5773651144152123E-11</v>
      </c>
      <c r="BU5" s="76">
        <f>IFERROR(IF(AND(up_Irr!T5&lt;&gt;".",up_Irr!AS5&lt;&gt;".",up_Irr!BR5&lt;&gt;"."),up_dir!AU5/((1/1000)*(up_Irr!T5+up_Irr!AS5+up_Irr!BR5)),IF(AND(up_Irr!T5&lt;&gt;".",up_Irr!AS5&lt;&gt;".",up_Irr!BR5="."),up_dir!AU5/((1/1000)*(up_Irr!T5+up_Irr!AS5)),IF(AND(up_Irr!T5&lt;&gt;".",up_Irr!AS5=".",up_Irr!BR5&lt;&gt;"."),up_dir!AU5/((1/1000)*(up_Irr!T5+up_Irr!BR5)),IF(AND(up_Irr!T5=".",up_Irr!AS5&lt;&gt;".",up_Irr!BR5&lt;&gt;"."),up_dir!AU5/((1/1000)*(up_Irr!AS5+up_Irr!BR5)),IF(AND(up_Irr!T5=".",up_Irr!AS5=".",up_Irr!BR5&lt;&gt;"."),up_dir!AU5/((1/1000)*(up_Irr!BR5)),IF(AND(up_Irr!T5=".",up_Irr!AS5&lt;&gt;".",up_Irr!BR5="."),up_dir!AU5/((1/1000)*(up_Irr!AS5)),IF(AND(up_Irr!T5&lt;&gt;".",up_Irr!AS5=".",up_Irr!BR5="."),up_dir!AU5/((1/1000)*(up_Irr!T5)),IF(AND(up_Irr!T5=".",up_Irr!AS5=".",up_Irr!BR5="."),up_dir!AU5*1000)))))))),".")</f>
        <v>6.5773651144152123E-11</v>
      </c>
      <c r="BV5" s="76">
        <f>IFERROR(IF(AND(up_Irr!U5&lt;&gt;".",up_Irr!AT5&lt;&gt;".",up_Irr!BS5&lt;&gt;"."),up_dir!AV5/((1/1000)*(up_Irr!U5+up_Irr!AT5+up_Irr!BS5)),IF(AND(up_Irr!U5&lt;&gt;".",up_Irr!AT5&lt;&gt;".",up_Irr!BS5="."),up_dir!AV5/((1/1000)*(up_Irr!U5+up_Irr!AT5)),IF(AND(up_Irr!U5&lt;&gt;".",up_Irr!AT5=".",up_Irr!BS5&lt;&gt;"."),up_dir!AV5/((1/1000)*(up_Irr!U5+up_Irr!BS5)),IF(AND(up_Irr!U5=".",up_Irr!AT5&lt;&gt;".",up_Irr!BS5&lt;&gt;"."),up_dir!AV5/((1/1000)*(up_Irr!AT5+up_Irr!BS5)),IF(AND(up_Irr!U5=".",up_Irr!AT5=".",up_Irr!BS5&lt;&gt;"."),up_dir!AV5/((1/1000)*(up_Irr!BS5)),IF(AND(up_Irr!U5=".",up_Irr!AT5&lt;&gt;".",up_Irr!BS5="."),up_dir!AV5/((1/1000)*(up_Irr!AT5)),IF(AND(up_Irr!U5&lt;&gt;".",up_Irr!AT5=".",up_Irr!BS5="."),up_dir!AV5/((1/1000)*(up_Irr!U5)),IF(AND(up_Irr!U5=".",up_Irr!AT5=".",up_Irr!BS5="."),up_dir!AV5*1000)))))))),".")</f>
        <v>6.5773651144152123E-11</v>
      </c>
      <c r="BW5" s="76">
        <f>IFERROR(IF(AND(up_Irr!V5&lt;&gt;".",up_Irr!AU5&lt;&gt;".",up_Irr!BT5&lt;&gt;"."),up_dir!AW5/((1/1000)*(up_Irr!V5+up_Irr!AU5+up_Irr!BT5)),IF(AND(up_Irr!V5&lt;&gt;".",up_Irr!AU5&lt;&gt;".",up_Irr!BT5="."),up_dir!AW5/((1/1000)*(up_Irr!V5+up_Irr!AU5)),IF(AND(up_Irr!V5&lt;&gt;".",up_Irr!AU5=".",up_Irr!BT5&lt;&gt;"."),up_dir!AW5/((1/1000)*(up_Irr!V5+up_Irr!BT5)),IF(AND(up_Irr!V5=".",up_Irr!AU5&lt;&gt;".",up_Irr!BT5&lt;&gt;"."),up_dir!AW5/((1/1000)*(up_Irr!AU5+up_Irr!BT5)),IF(AND(up_Irr!V5=".",up_Irr!AU5=".",up_Irr!BT5&lt;&gt;"."),up_dir!AW5/((1/1000)*(up_Irr!BT5)),IF(AND(up_Irr!V5=".",up_Irr!AU5&lt;&gt;".",up_Irr!BT5="."),up_dir!AW5/((1/1000)*(up_Irr!AU5)),IF(AND(up_Irr!V5&lt;&gt;".",up_Irr!AU5=".",up_Irr!BT5="."),up_dir!AW5/((1/1000)*(up_Irr!V5)),IF(AND(up_Irr!V5=".",up_Irr!AU5=".",up_Irr!BT5="."),up_dir!AW5*1000)))))))),".")</f>
        <v>6.5773651144152123E-11</v>
      </c>
      <c r="BX5" s="76">
        <f>IFERROR(IF(AND(up_Irr!W5&lt;&gt;".",up_Irr!AV5&lt;&gt;".",up_Irr!BU5&lt;&gt;"."),up_dir!AX5/((1/1000)*(up_Irr!W5+up_Irr!AV5+up_Irr!BU5)),IF(AND(up_Irr!W5&lt;&gt;".",up_Irr!AV5&lt;&gt;".",up_Irr!BU5="."),up_dir!AX5/((1/1000)*(up_Irr!W5+up_Irr!AV5)),IF(AND(up_Irr!W5&lt;&gt;".",up_Irr!AV5=".",up_Irr!BU5&lt;&gt;"."),up_dir!AX5/((1/1000)*(up_Irr!W5+up_Irr!BU5)),IF(AND(up_Irr!W5=".",up_Irr!AV5&lt;&gt;".",up_Irr!BU5&lt;&gt;"."),up_dir!AX5/((1/1000)*(up_Irr!AV5+up_Irr!BU5)),IF(AND(up_Irr!W5=".",up_Irr!AV5=".",up_Irr!BU5&lt;&gt;"."),up_dir!AX5/((1/1000)*(up_Irr!BU5)),IF(AND(up_Irr!W5=".",up_Irr!AV5&lt;&gt;".",up_Irr!BU5="."),up_dir!AX5/((1/1000)*(up_Irr!AV5)),IF(AND(up_Irr!W5&lt;&gt;".",up_Irr!AV5=".",up_Irr!BU5="."),up_dir!AX5/((1/1000)*(up_Irr!W5)),IF(AND(up_Irr!W5=".",up_Irr!AV5=".",up_Irr!BU5="."),up_dir!AX5*1000)))))))),".")</f>
        <v>6.5773651144152123E-11</v>
      </c>
      <c r="BY5" s="76">
        <f>IFERROR(IF(AND(up_Irr!X5&lt;&gt;".",up_Irr!AW5&lt;&gt;".",up_Irr!BV5&lt;&gt;"."),up_dir!AY5/((1/1000)*(up_Irr!X5+up_Irr!AW5+up_Irr!BV5)),IF(AND(up_Irr!X5&lt;&gt;".",up_Irr!AW5&lt;&gt;".",up_Irr!BV5="."),up_dir!AY5/((1/1000)*(up_Irr!X5+up_Irr!AW5)),IF(AND(up_Irr!X5&lt;&gt;".",up_Irr!AW5=".",up_Irr!BV5&lt;&gt;"."),up_dir!AY5/((1/1000)*(up_Irr!X5+up_Irr!BV5)),IF(AND(up_Irr!X5=".",up_Irr!AW5&lt;&gt;".",up_Irr!BV5&lt;&gt;"."),up_dir!AY5/((1/1000)*(up_Irr!AW5+up_Irr!BV5)),IF(AND(up_Irr!X5=".",up_Irr!AW5=".",up_Irr!BV5&lt;&gt;"."),up_dir!AY5/((1/1000)*(up_Irr!BV5)),IF(AND(up_Irr!X5=".",up_Irr!AW5&lt;&gt;".",up_Irr!BV5="."),up_dir!AY5/((1/1000)*(up_Irr!AW5)),IF(AND(up_Irr!X5&lt;&gt;".",up_Irr!AW5=".",up_Irr!BV5="."),up_dir!AY5/((1/1000)*(up_Irr!X5)),IF(AND(up_Irr!X5=".",up_Irr!AW5=".",up_Irr!BV5="."),up_dir!AY5*1000)))))))),".")</f>
        <v>6.5773651144152123E-11</v>
      </c>
      <c r="BZ5" s="76">
        <f>IFERROR(IF(AND(up_Irr!Y5&lt;&gt;".",up_Irr!AX5&lt;&gt;".",up_Irr!BW5&lt;&gt;"."),up_dir!AZ5/((1/1000)*(up_Irr!Y5+up_Irr!AX5+up_Irr!BW5)),IF(AND(up_Irr!Y5&lt;&gt;".",up_Irr!AX5&lt;&gt;".",up_Irr!BW5="."),up_dir!AZ5/((1/1000)*(up_Irr!Y5+up_Irr!AX5)),IF(AND(up_Irr!Y5&lt;&gt;".",up_Irr!AX5=".",up_Irr!BW5&lt;&gt;"."),up_dir!AZ5/((1/1000)*(up_Irr!Y5+up_Irr!BW5)),IF(AND(up_Irr!Y5=".",up_Irr!AX5&lt;&gt;".",up_Irr!BW5&lt;&gt;"."),up_dir!AZ5/((1/1000)*(up_Irr!AX5+up_Irr!BW5)),IF(AND(up_Irr!Y5=".",up_Irr!AX5=".",up_Irr!BW5&lt;&gt;"."),up_dir!AZ5/((1/1000)*(up_Irr!BW5)),IF(AND(up_Irr!Y5=".",up_Irr!AX5&lt;&gt;".",up_Irr!BW5="."),up_dir!AZ5/((1/1000)*(up_Irr!AX5)),IF(AND(up_Irr!Y5&lt;&gt;".",up_Irr!AX5=".",up_Irr!BW5="."),up_dir!AZ5/((1/1000)*(up_Irr!Y5)),IF(AND(up_Irr!Y5=".",up_Irr!AX5=".",up_Irr!BW5="."),up_dir!AZ5*1000)))))))),".")</f>
        <v>6.5773651144152123E-11</v>
      </c>
      <c r="CA5" s="76">
        <f>IFERROR(IF(AND(up_Irr!Z5&lt;&gt;".",up_Irr!AY5&lt;&gt;".",up_Irr!BX5&lt;&gt;"."),up_dir!BA5/((1/1000)*(up_Irr!Z5+up_Irr!AY5+up_Irr!BX5)),IF(AND(up_Irr!Z5&lt;&gt;".",up_Irr!AY5&lt;&gt;".",up_Irr!BX5="."),up_dir!BA5/((1/1000)*(up_Irr!Z5+up_Irr!AY5)),IF(AND(up_Irr!Z5&lt;&gt;".",up_Irr!AY5=".",up_Irr!BX5&lt;&gt;"."),up_dir!BA5/((1/1000)*(up_Irr!Z5+up_Irr!BX5)),IF(AND(up_Irr!Z5=".",up_Irr!AY5&lt;&gt;".",up_Irr!BX5&lt;&gt;"."),up_dir!BA5/((1/1000)*(up_Irr!AY5+up_Irr!BX5)),IF(AND(up_Irr!Z5=".",up_Irr!AY5=".",up_Irr!BX5&lt;&gt;"."),up_dir!BA5/((1/1000)*(up_Irr!BX5)),IF(AND(up_Irr!Z5=".",up_Irr!AY5&lt;&gt;".",up_Irr!BX5="."),up_dir!BA5/((1/1000)*(up_Irr!AY5)),IF(AND(up_Irr!Z5&lt;&gt;".",up_Irr!AY5=".",up_Irr!BX5="."),up_dir!BA5/((1/1000)*(up_Irr!Z5)),IF(AND(up_Irr!Z5=".",up_Irr!AY5=".",up_Irr!BX5="."),up_dir!BA5*1000)))))))),".")</f>
        <v>6.5773651144152123E-11</v>
      </c>
      <c r="CB5" s="76">
        <f>IFERROR(IF(AND(up_Irr!AA5&lt;&gt;".",up_Irr!AZ5&lt;&gt;".",up_Irr!BY5&lt;&gt;"."),up_dir!BB5/((1/1000)*(up_Irr!AA5+up_Irr!AZ5+up_Irr!BY5)),IF(AND(up_Irr!AA5&lt;&gt;".",up_Irr!AZ5&lt;&gt;".",up_Irr!BY5="."),up_dir!BB5/((1/1000)*(up_Irr!AA5+up_Irr!AZ5)),IF(AND(up_Irr!AA5&lt;&gt;".",up_Irr!AZ5=".",up_Irr!BY5&lt;&gt;"."),up_dir!BB5/((1/1000)*(up_Irr!AA5+up_Irr!BY5)),IF(AND(up_Irr!AA5=".",up_Irr!AZ5&lt;&gt;".",up_Irr!BY5&lt;&gt;"."),up_dir!BB5/((1/1000)*(up_Irr!AZ5+up_Irr!BY5)),IF(AND(up_Irr!AA5=".",up_Irr!AZ5=".",up_Irr!BY5&lt;&gt;"."),up_dir!BB5/((1/1000)*(up_Irr!BY5)),IF(AND(up_Irr!AA5=".",up_Irr!AZ5&lt;&gt;".",up_Irr!BY5="."),up_dir!BB5/((1/1000)*(up_Irr!AZ5)),IF(AND(up_Irr!AA5&lt;&gt;".",up_Irr!AZ5=".",up_Irr!BY5="."),up_dir!BB5/((1/1000)*(up_Irr!AA5)),IF(AND(up_Irr!AA5=".",up_Irr!AZ5=".",up_Irr!BY5="."),up_dir!BB5*1000)))))))),".")</f>
        <v>6.5773651144152123E-11</v>
      </c>
      <c r="CC5" s="93">
        <f t="shared" si="3"/>
        <v>608146.26076229871</v>
      </c>
      <c r="CD5" s="93">
        <f>IFERROR(s_C*s_IFAP_far_adj*s_CF_apple*(1/1000)*(up_Irr!C5+up_Irr!AB5+up_Irr!BA5),".")</f>
        <v>152036.56519057468</v>
      </c>
      <c r="CE5" s="93">
        <f>IFERROR(s_C*s_IFAS_far_adj*s_CF_asparagus*(1/1000)*(up_Irr!D5+up_Irr!AC5+up_Irr!BB5),".")</f>
        <v>152036.56519057468</v>
      </c>
      <c r="CF5" s="93">
        <f>IFERROR(s_C*s_IFBT_far_adj*s_CF_beet*(1/1000)*(up_Irr!E5+up_Irr!AD5+up_Irr!BC5),".")</f>
        <v>152036.56519057468</v>
      </c>
      <c r="CG5" s="93">
        <f>IFERROR(s_C*s_IFBE_far_adj*s_CF_berries*(1/1000)*(up_Irr!F5+up_Irr!AE5+up_Irr!BD5),".")</f>
        <v>152036.56519057468</v>
      </c>
      <c r="CH5" s="93">
        <f>IFERROR(s_C*s_IFBR_far_adj*s_CF_broccoli*(1/1000)*(up_Irr!G5+up_Irr!AF5+up_Irr!BE5),".")</f>
        <v>152036.56519057468</v>
      </c>
      <c r="CI5" s="93">
        <f>IFERROR(s_C*s_IFCB_far_adj*s_CF_cabbage*(1/1000)*(up_Irr!H5+up_Irr!AG5+up_Irr!BF5),".")</f>
        <v>152036.56519057468</v>
      </c>
      <c r="CJ5" s="93">
        <f>IFERROR(s_C*s_IFCR_far_adj*s_CF_carrot*(1/1000)*(up_Irr!I5+up_Irr!AH5+up_Irr!BG5),".")</f>
        <v>152036.56519057468</v>
      </c>
      <c r="CK5" s="93">
        <f>IFERROR(s_C*s_IFCI_far_adj*s_CF_citrus*(1/1000)*(up_Irr!J5+up_Irr!AI5+up_Irr!BH5),".")</f>
        <v>152036.56519057468</v>
      </c>
      <c r="CL5" s="93">
        <f>IFERROR(s_C*s_IFCO_far_adj*s_CF_corn*(1/1000)*(up_Irr!K5+up_Irr!AJ5+up_Irr!BI5),".")</f>
        <v>152036.56519057468</v>
      </c>
      <c r="CM5" s="93">
        <f>IFERROR(s_C*s_IFCU_far_adj*s_CF_cucumber*(1/1000)*(up_Irr!L5+up_Irr!AK5+up_Irr!BJ5),".")</f>
        <v>152036.56519057468</v>
      </c>
      <c r="CN5" s="93">
        <f>IFERROR(s_C*s_IFLE_far_adj*s_CF_lettuce*(1/1000)*(up_Irr!M5+up_Irr!AL5+up_Irr!BK5),".")</f>
        <v>152036.56519057468</v>
      </c>
      <c r="CO5" s="93">
        <f>IFERROR(s_C*s_IFLI_far_adj*s_CF_lima_bean*(1/1000)*(up_Irr!N5+up_Irr!AM5+up_Irr!BL5),".")</f>
        <v>152036.56519057468</v>
      </c>
      <c r="CP5" s="93">
        <f>IFERROR(s_C*s_IFOK_far_adj*s_CF_okra*(1/1000)*(up_Irr!O5+up_Irr!AN5+up_Irr!BM5),".")</f>
        <v>152036.56519057468</v>
      </c>
      <c r="CQ5" s="93">
        <f>IFERROR(s_C*s_IFON_far_adj*s_CF_onion*(1/1000)*(up_Irr!P5+up_Irr!AO5+up_Irr!BN5),".")</f>
        <v>152036.56519057468</v>
      </c>
      <c r="CR5" s="93">
        <f>IFERROR(s_C*s_IFPC_far_adj*s_CF_peach*(1/1000)*(up_Irr!Q5+up_Irr!AP5+up_Irr!BO5),".")</f>
        <v>152036.56519057468</v>
      </c>
      <c r="CS5" s="93">
        <f>IFERROR(s_C*s_IFPR_far_adj*s_CF_pear*(1/1000)*(up_Irr!R5+up_Irr!AQ5+up_Irr!BP5),".")</f>
        <v>152036.56519057468</v>
      </c>
      <c r="CT5" s="93">
        <f>IFERROR(s_C*s_IFPE_far_adj*s_CF_peas*(1/1000)*(up_Irr!S5+up_Irr!AR5+up_Irr!BQ5),".")</f>
        <v>152036.56519057468</v>
      </c>
      <c r="CU5" s="93">
        <f>IFERROR(s_C*s_IFPP_far_adj*s_CF_peppers*(1/1000)*(up_Irr!T5+up_Irr!AS5+up_Irr!BR5),".")</f>
        <v>152036.56519057468</v>
      </c>
      <c r="CV5" s="93">
        <f>IFERROR(s_C*s_IFPT_far_adj*s_CF_potato*(1/1000)*(up_Irr!U5+up_Irr!AT5+up_Irr!BS5),".")</f>
        <v>152036.56519057468</v>
      </c>
      <c r="CW5" s="93">
        <f>IFERROR(s_C*s_IFPU_far_adj*s_CF_pumpkin*(1/1000)*(up_Irr!V5+up_Irr!AU5+up_Irr!BT5),".")</f>
        <v>152036.56519057468</v>
      </c>
      <c r="CX5" s="93">
        <f>IFERROR(s_C*s_IFSN_far_adj*s_CF_snap_bean*(1/1000)*(up_Irr!W5+up_Irr!AV5+up_Irr!BU5),".")</f>
        <v>152036.56519057468</v>
      </c>
      <c r="CY5" s="93">
        <f>IFERROR(s_C*s_IFST_far_adj*s_CF_strawberry*(1/1000)*(up_Irr!X5+up_Irr!AW5+up_Irr!BV5),".")</f>
        <v>152036.56519057468</v>
      </c>
      <c r="CZ5" s="93">
        <f>IFERROR(s_C*s_IFTO_far_adj*s_CF_tomato*(1/1000)*(up_Irr!Y5+up_Irr!AX5+up_Irr!BW5),".")</f>
        <v>152036.56519057468</v>
      </c>
      <c r="DA5" s="93">
        <f>IFERROR(s_C*s_IFRI_far_adj*s_CF_rice*(1/1000)*(up_Irr!Z5+up_Irr!AY5+up_Irr!BX5),".")</f>
        <v>152036.56519057468</v>
      </c>
      <c r="DB5" s="93">
        <f>IFERROR(s_C*s_IFCG_far_adj*s_CF_cereal*(1/1000)*(up_Irr!AA5+up_Irr!AZ5+up_Irr!BY5),".")</f>
        <v>152036.56519057468</v>
      </c>
    </row>
    <row r="6" spans="1:106" ht="15" customHeight="1" x14ac:dyDescent="0.25">
      <c r="A6" s="92" t="s">
        <v>16</v>
      </c>
      <c r="B6" s="90" t="s">
        <v>1071</v>
      </c>
      <c r="C6" s="15">
        <f t="shared" si="0"/>
        <v>1.6443412786038031E-11</v>
      </c>
      <c r="D6" s="76">
        <f>IFERROR(IF(AND(up_Irr!C6&lt;&gt;".",up_Irr!AB6&lt;&gt;".",up_Irr!BA6&lt;&gt;"."),up_dir!D6/((1/1000)*(up_Irr!C6+up_Irr!AB6+up_Irr!BA6)),IF(AND(up_Irr!C6&lt;&gt;".",up_Irr!AB6&lt;&gt;".",up_Irr!BA6="."),up_dir!D6/((1/1000)*(up_Irr!C6+up_Irr!AB6)),IF(AND(up_Irr!C6&lt;&gt;".",up_Irr!AB6=".",up_Irr!BA6&lt;&gt;"."),up_dir!D6/((1/1000)*(up_Irr!C6+up_Irr!BA6)),IF(AND(up_Irr!C6=".",up_Irr!AB6&lt;&gt;".",up_Irr!BA6&lt;&gt;"."),up_dir!D6/((1/1000)*(up_Irr!AB6+up_Irr!BA6)),IF(AND(up_Irr!C6=".",up_Irr!AB6=".",up_Irr!BA6&lt;&gt;"."),up_dir!D6/((1/1000)*(up_Irr!BA6)),IF(AND(up_Irr!C6=".",up_Irr!AB6&lt;&gt;".",up_Irr!BA6="."),up_dir!D6/((1/1000)*(up_Irr!AB6)),IF(AND(up_Irr!C6&lt;&gt;".",up_Irr!AB6=".",up_Irr!BA6="."),up_dir!D6/((1/1000)*(up_Irr!C6)),IF(AND(up_Irr!C6=".",up_Irr!AB6=".",up_Irr!BA6="."),up_dir!D6*1000)))))))),".")</f>
        <v>6.5773651144152123E-11</v>
      </c>
      <c r="E6" s="76">
        <f>IFERROR(IF(AND(up_Irr!D6&lt;&gt;".",up_Irr!AC6&lt;&gt;".",up_Irr!BB6&lt;&gt;"."),up_dir!E6/((1/1000)*(up_Irr!D6+up_Irr!AC6+up_Irr!BB6)),IF(AND(up_Irr!D6&lt;&gt;".",up_Irr!AC6&lt;&gt;".",up_Irr!BB6="."),up_dir!E6/((1/1000)*(up_Irr!D6+up_Irr!AC6)),IF(AND(up_Irr!D6&lt;&gt;".",up_Irr!AC6=".",up_Irr!BB6&lt;&gt;"."),up_dir!E6/((1/1000)*(up_Irr!D6+up_Irr!BB6)),IF(AND(up_Irr!D6=".",up_Irr!AC6&lt;&gt;".",up_Irr!BB6&lt;&gt;"."),up_dir!E6/((1/1000)*(up_Irr!AC6+up_Irr!BB6)),IF(AND(up_Irr!D6=".",up_Irr!AC6=".",up_Irr!BB6&lt;&gt;"."),up_dir!E6/((1/1000)*(up_Irr!BB6)),IF(AND(up_Irr!D6=".",up_Irr!AC6&lt;&gt;".",up_Irr!BB6="."),up_dir!E6/((1/1000)*(up_Irr!AC6)),IF(AND(up_Irr!D6&lt;&gt;".",up_Irr!AC6=".",up_Irr!BB6="."),up_dir!E6/((1/1000)*(up_Irr!D6)),IF(AND(up_Irr!D6=".",up_Irr!AC6=".",up_Irr!BB6="."),up_dir!E6*1000)))))))),".")</f>
        <v>6.5773651144152123E-11</v>
      </c>
      <c r="F6" s="76">
        <f>IFERROR(IF(AND(up_Irr!E6&lt;&gt;".",up_Irr!AD6&lt;&gt;".",up_Irr!BC6&lt;&gt;"."),up_dir!F6/((1/1000)*(up_Irr!E6+up_Irr!AD6+up_Irr!BC6)),IF(AND(up_Irr!E6&lt;&gt;".",up_Irr!AD6&lt;&gt;".",up_Irr!BC6="."),up_dir!F6/((1/1000)*(up_Irr!E6+up_Irr!AD6)),IF(AND(up_Irr!E6&lt;&gt;".",up_Irr!AD6=".",up_Irr!BC6&lt;&gt;"."),up_dir!F6/((1/1000)*(up_Irr!E6+up_Irr!BC6)),IF(AND(up_Irr!E6=".",up_Irr!AD6&lt;&gt;".",up_Irr!BC6&lt;&gt;"."),up_dir!F6/((1/1000)*(up_Irr!AD6+up_Irr!BC6)),IF(AND(up_Irr!E6=".",up_Irr!AD6=".",up_Irr!BC6&lt;&gt;"."),up_dir!F6/((1/1000)*(up_Irr!BC6)),IF(AND(up_Irr!E6=".",up_Irr!AD6&lt;&gt;".",up_Irr!BC6="."),up_dir!F6/((1/1000)*(up_Irr!AD6)),IF(AND(up_Irr!E6&lt;&gt;".",up_Irr!AD6=".",up_Irr!BC6="."),up_dir!F6/((1/1000)*(up_Irr!E6)),IF(AND(up_Irr!E6=".",up_Irr!AD6=".",up_Irr!BC6="."),up_dir!F6*1000)))))))),".")</f>
        <v>6.5773651144152123E-11</v>
      </c>
      <c r="G6" s="76">
        <f>IFERROR(IF(AND(up_Irr!F6&lt;&gt;".",up_Irr!AE6&lt;&gt;".",up_Irr!BD6&lt;&gt;"."),up_dir!G6/((1/1000)*(up_Irr!F6+up_Irr!AE6+up_Irr!BD6)),IF(AND(up_Irr!F6&lt;&gt;".",up_Irr!AE6&lt;&gt;".",up_Irr!BD6="."),up_dir!G6/((1/1000)*(up_Irr!F6+up_Irr!AE6)),IF(AND(up_Irr!F6&lt;&gt;".",up_Irr!AE6=".",up_Irr!BD6&lt;&gt;"."),up_dir!G6/((1/1000)*(up_Irr!F6+up_Irr!BD6)),IF(AND(up_Irr!F6=".",up_Irr!AE6&lt;&gt;".",up_Irr!BD6&lt;&gt;"."),up_dir!G6/((1/1000)*(up_Irr!AE6+up_Irr!BD6)),IF(AND(up_Irr!F6=".",up_Irr!AE6=".",up_Irr!BD6&lt;&gt;"."),up_dir!G6/((1/1000)*(up_Irr!BD6)),IF(AND(up_Irr!F6=".",up_Irr!AE6&lt;&gt;".",up_Irr!BD6="."),up_dir!G6/((1/1000)*(up_Irr!AE6)),IF(AND(up_Irr!F6&lt;&gt;".",up_Irr!AE6=".",up_Irr!BD6="."),up_dir!G6/((1/1000)*(up_Irr!F6)),IF(AND(up_Irr!F6=".",up_Irr!AE6=".",up_Irr!BD6="."),up_dir!G6*1000)))))))),".")</f>
        <v>6.5773651144152123E-11</v>
      </c>
      <c r="H6" s="76">
        <f>IFERROR(IF(AND(up_Irr!G6&lt;&gt;".",up_Irr!AF6&lt;&gt;".",up_Irr!BE6&lt;&gt;"."),up_dir!H6/((1/1000)*(up_Irr!G6+up_Irr!AF6+up_Irr!BE6)),IF(AND(up_Irr!G6&lt;&gt;".",up_Irr!AF6&lt;&gt;".",up_Irr!BE6="."),up_dir!H6/((1/1000)*(up_Irr!G6+up_Irr!AF6)),IF(AND(up_Irr!G6&lt;&gt;".",up_Irr!AF6=".",up_Irr!BE6&lt;&gt;"."),up_dir!H6/((1/1000)*(up_Irr!G6+up_Irr!BE6)),IF(AND(up_Irr!G6=".",up_Irr!AF6&lt;&gt;".",up_Irr!BE6&lt;&gt;"."),up_dir!H6/((1/1000)*(up_Irr!AF6+up_Irr!BE6)),IF(AND(up_Irr!G6=".",up_Irr!AF6=".",up_Irr!BE6&lt;&gt;"."),up_dir!H6/((1/1000)*(up_Irr!BE6)),IF(AND(up_Irr!G6=".",up_Irr!AF6&lt;&gt;".",up_Irr!BE6="."),up_dir!H6/((1/1000)*(up_Irr!AF6)),IF(AND(up_Irr!G6&lt;&gt;".",up_Irr!AF6=".",up_Irr!BE6="."),up_dir!H6/((1/1000)*(up_Irr!G6)),IF(AND(up_Irr!G6=".",up_Irr!AF6=".",up_Irr!BE6="."),up_dir!H6*1000)))))))),".")</f>
        <v>6.5773651144152123E-11</v>
      </c>
      <c r="I6" s="76">
        <f>IFERROR(IF(AND(up_Irr!H6&lt;&gt;".",up_Irr!AG6&lt;&gt;".",up_Irr!BF6&lt;&gt;"."),up_dir!I6/((1/1000)*(up_Irr!H6+up_Irr!AG6+up_Irr!BF6)),IF(AND(up_Irr!H6&lt;&gt;".",up_Irr!AG6&lt;&gt;".",up_Irr!BF6="."),up_dir!I6/((1/1000)*(up_Irr!H6+up_Irr!AG6)),IF(AND(up_Irr!H6&lt;&gt;".",up_Irr!AG6=".",up_Irr!BF6&lt;&gt;"."),up_dir!I6/((1/1000)*(up_Irr!H6+up_Irr!BF6)),IF(AND(up_Irr!H6=".",up_Irr!AG6&lt;&gt;".",up_Irr!BF6&lt;&gt;"."),up_dir!I6/((1/1000)*(up_Irr!AG6+up_Irr!BF6)),IF(AND(up_Irr!H6=".",up_Irr!AG6=".",up_Irr!BF6&lt;&gt;"."),up_dir!I6/((1/1000)*(up_Irr!BF6)),IF(AND(up_Irr!H6=".",up_Irr!AG6&lt;&gt;".",up_Irr!BF6="."),up_dir!I6/((1/1000)*(up_Irr!AG6)),IF(AND(up_Irr!H6&lt;&gt;".",up_Irr!AG6=".",up_Irr!BF6="."),up_dir!I6/((1/1000)*(up_Irr!H6)),IF(AND(up_Irr!H6=".",up_Irr!AG6=".",up_Irr!BF6="."),up_dir!I6*1000)))))))),".")</f>
        <v>6.5773651144152123E-11</v>
      </c>
      <c r="J6" s="76">
        <f>IFERROR(IF(AND(up_Irr!I6&lt;&gt;".",up_Irr!AH6&lt;&gt;".",up_Irr!BG6&lt;&gt;"."),up_dir!J6/((1/1000)*(up_Irr!I6+up_Irr!AH6+up_Irr!BG6)),IF(AND(up_Irr!I6&lt;&gt;".",up_Irr!AH6&lt;&gt;".",up_Irr!BG6="."),up_dir!J6/((1/1000)*(up_Irr!I6+up_Irr!AH6)),IF(AND(up_Irr!I6&lt;&gt;".",up_Irr!AH6=".",up_Irr!BG6&lt;&gt;"."),up_dir!J6/((1/1000)*(up_Irr!I6+up_Irr!BG6)),IF(AND(up_Irr!I6=".",up_Irr!AH6&lt;&gt;".",up_Irr!BG6&lt;&gt;"."),up_dir!J6/((1/1000)*(up_Irr!AH6+up_Irr!BG6)),IF(AND(up_Irr!I6=".",up_Irr!AH6=".",up_Irr!BG6&lt;&gt;"."),up_dir!J6/((1/1000)*(up_Irr!BG6)),IF(AND(up_Irr!I6=".",up_Irr!AH6&lt;&gt;".",up_Irr!BG6="."),up_dir!J6/((1/1000)*(up_Irr!AH6)),IF(AND(up_Irr!I6&lt;&gt;".",up_Irr!AH6=".",up_Irr!BG6="."),up_dir!J6/((1/1000)*(up_Irr!I6)),IF(AND(up_Irr!I6=".",up_Irr!AH6=".",up_Irr!BG6="."),up_dir!J6*1000)))))))),".")</f>
        <v>6.5773651144152123E-11</v>
      </c>
      <c r="K6" s="76">
        <f>IFERROR(IF(AND(up_Irr!J6&lt;&gt;".",up_Irr!AI6&lt;&gt;".",up_Irr!BH6&lt;&gt;"."),up_dir!K6/((1/1000)*(up_Irr!J6+up_Irr!AI6+up_Irr!BH6)),IF(AND(up_Irr!J6&lt;&gt;".",up_Irr!AI6&lt;&gt;".",up_Irr!BH6="."),up_dir!K6/((1/1000)*(up_Irr!J6+up_Irr!AI6)),IF(AND(up_Irr!J6&lt;&gt;".",up_Irr!AI6=".",up_Irr!BH6&lt;&gt;"."),up_dir!K6/((1/1000)*(up_Irr!J6+up_Irr!BH6)),IF(AND(up_Irr!J6=".",up_Irr!AI6&lt;&gt;".",up_Irr!BH6&lt;&gt;"."),up_dir!K6/((1/1000)*(up_Irr!AI6+up_Irr!BH6)),IF(AND(up_Irr!J6=".",up_Irr!AI6=".",up_Irr!BH6&lt;&gt;"."),up_dir!K6/((1/1000)*(up_Irr!BH6)),IF(AND(up_Irr!J6=".",up_Irr!AI6&lt;&gt;".",up_Irr!BH6="."),up_dir!K6/((1/1000)*(up_Irr!AI6)),IF(AND(up_Irr!J6&lt;&gt;".",up_Irr!AI6=".",up_Irr!BH6="."),up_dir!K6/((1/1000)*(up_Irr!J6)),IF(AND(up_Irr!J6=".",up_Irr!AI6=".",up_Irr!BH6="."),up_dir!K6*1000)))))))),".")</f>
        <v>6.5773651144152123E-11</v>
      </c>
      <c r="L6" s="76">
        <f>IFERROR(IF(AND(up_Irr!K6&lt;&gt;".",up_Irr!AJ6&lt;&gt;".",up_Irr!BI6&lt;&gt;"."),up_dir!L6/((1/1000)*(up_Irr!K6+up_Irr!AJ6+up_Irr!BI6)),IF(AND(up_Irr!K6&lt;&gt;".",up_Irr!AJ6&lt;&gt;".",up_Irr!BI6="."),up_dir!L6/((1/1000)*(up_Irr!K6+up_Irr!AJ6)),IF(AND(up_Irr!K6&lt;&gt;".",up_Irr!AJ6=".",up_Irr!BI6&lt;&gt;"."),up_dir!L6/((1/1000)*(up_Irr!K6+up_Irr!BI6)),IF(AND(up_Irr!K6=".",up_Irr!AJ6&lt;&gt;".",up_Irr!BI6&lt;&gt;"."),up_dir!L6/((1/1000)*(up_Irr!AJ6+up_Irr!BI6)),IF(AND(up_Irr!K6=".",up_Irr!AJ6=".",up_Irr!BI6&lt;&gt;"."),up_dir!L6/((1/1000)*(up_Irr!BI6)),IF(AND(up_Irr!K6=".",up_Irr!AJ6&lt;&gt;".",up_Irr!BI6="."),up_dir!L6/((1/1000)*(up_Irr!AJ6)),IF(AND(up_Irr!K6&lt;&gt;".",up_Irr!AJ6=".",up_Irr!BI6="."),up_dir!L6/((1/1000)*(up_Irr!K6)),IF(AND(up_Irr!K6=".",up_Irr!AJ6=".",up_Irr!BI6="."),up_dir!L6*1000)))))))),".")</f>
        <v>6.5773651144152123E-11</v>
      </c>
      <c r="M6" s="76">
        <f>IFERROR(IF(AND(up_Irr!L6&lt;&gt;".",up_Irr!AK6&lt;&gt;".",up_Irr!BJ6&lt;&gt;"."),up_dir!M6/((1/1000)*(up_Irr!L6+up_Irr!AK6+up_Irr!BJ6)),IF(AND(up_Irr!L6&lt;&gt;".",up_Irr!AK6&lt;&gt;".",up_Irr!BJ6="."),up_dir!M6/((1/1000)*(up_Irr!L6+up_Irr!AK6)),IF(AND(up_Irr!L6&lt;&gt;".",up_Irr!AK6=".",up_Irr!BJ6&lt;&gt;"."),up_dir!M6/((1/1000)*(up_Irr!L6+up_Irr!BJ6)),IF(AND(up_Irr!L6=".",up_Irr!AK6&lt;&gt;".",up_Irr!BJ6&lt;&gt;"."),up_dir!M6/((1/1000)*(up_Irr!AK6+up_Irr!BJ6)),IF(AND(up_Irr!L6=".",up_Irr!AK6=".",up_Irr!BJ6&lt;&gt;"."),up_dir!M6/((1/1000)*(up_Irr!BJ6)),IF(AND(up_Irr!L6=".",up_Irr!AK6&lt;&gt;".",up_Irr!BJ6="."),up_dir!M6/((1/1000)*(up_Irr!AK6)),IF(AND(up_Irr!L6&lt;&gt;".",up_Irr!AK6=".",up_Irr!BJ6="."),up_dir!M6/((1/1000)*(up_Irr!L6)),IF(AND(up_Irr!L6=".",up_Irr!AK6=".",up_Irr!BJ6="."),up_dir!M6*1000)))))))),".")</f>
        <v>6.5773651144152123E-11</v>
      </c>
      <c r="N6" s="76">
        <f>IFERROR(IF(AND(up_Irr!M6&lt;&gt;".",up_Irr!AL6&lt;&gt;".",up_Irr!BK6&lt;&gt;"."),up_dir!N6/((1/1000)*(up_Irr!M6+up_Irr!AL6+up_Irr!BK6)),IF(AND(up_Irr!M6&lt;&gt;".",up_Irr!AL6&lt;&gt;".",up_Irr!BK6="."),up_dir!N6/((1/1000)*(up_Irr!M6+up_Irr!AL6)),IF(AND(up_Irr!M6&lt;&gt;".",up_Irr!AL6=".",up_Irr!BK6&lt;&gt;"."),up_dir!N6/((1/1000)*(up_Irr!M6+up_Irr!BK6)),IF(AND(up_Irr!M6=".",up_Irr!AL6&lt;&gt;".",up_Irr!BK6&lt;&gt;"."),up_dir!N6/((1/1000)*(up_Irr!AL6+up_Irr!BK6)),IF(AND(up_Irr!M6=".",up_Irr!AL6=".",up_Irr!BK6&lt;&gt;"."),up_dir!N6/((1/1000)*(up_Irr!BK6)),IF(AND(up_Irr!M6=".",up_Irr!AL6&lt;&gt;".",up_Irr!BK6="."),up_dir!N6/((1/1000)*(up_Irr!AL6)),IF(AND(up_Irr!M6&lt;&gt;".",up_Irr!AL6=".",up_Irr!BK6="."),up_dir!N6/((1/1000)*(up_Irr!M6)),IF(AND(up_Irr!M6=".",up_Irr!AL6=".",up_Irr!BK6="."),up_dir!N6*1000)))))))),".")</f>
        <v>6.5773651144152123E-11</v>
      </c>
      <c r="O6" s="76">
        <f>IFERROR(IF(AND(up_Irr!N6&lt;&gt;".",up_Irr!AM6&lt;&gt;".",up_Irr!BL6&lt;&gt;"."),up_dir!O6/((1/1000)*(up_Irr!N6+up_Irr!AM6+up_Irr!BL6)),IF(AND(up_Irr!N6&lt;&gt;".",up_Irr!AM6&lt;&gt;".",up_Irr!BL6="."),up_dir!O6/((1/1000)*(up_Irr!N6+up_Irr!AM6)),IF(AND(up_Irr!N6&lt;&gt;".",up_Irr!AM6=".",up_Irr!BL6&lt;&gt;"."),up_dir!O6/((1/1000)*(up_Irr!N6+up_Irr!BL6)),IF(AND(up_Irr!N6=".",up_Irr!AM6&lt;&gt;".",up_Irr!BL6&lt;&gt;"."),up_dir!O6/((1/1000)*(up_Irr!AM6+up_Irr!BL6)),IF(AND(up_Irr!N6=".",up_Irr!AM6=".",up_Irr!BL6&lt;&gt;"."),up_dir!O6/((1/1000)*(up_Irr!BL6)),IF(AND(up_Irr!N6=".",up_Irr!AM6&lt;&gt;".",up_Irr!BL6="."),up_dir!O6/((1/1000)*(up_Irr!AM6)),IF(AND(up_Irr!N6&lt;&gt;".",up_Irr!AM6=".",up_Irr!BL6="."),up_dir!O6/((1/1000)*(up_Irr!N6)),IF(AND(up_Irr!N6=".",up_Irr!AM6=".",up_Irr!BL6="."),up_dir!O6*1000)))))))),".")</f>
        <v>6.5773651144152123E-11</v>
      </c>
      <c r="P6" s="76">
        <f>IFERROR(IF(AND(up_Irr!O6&lt;&gt;".",up_Irr!AN6&lt;&gt;".",up_Irr!BM6&lt;&gt;"."),up_dir!P6/((1/1000)*(up_Irr!O6+up_Irr!AN6+up_Irr!BM6)),IF(AND(up_Irr!O6&lt;&gt;".",up_Irr!AN6&lt;&gt;".",up_Irr!BM6="."),up_dir!P6/((1/1000)*(up_Irr!O6+up_Irr!AN6)),IF(AND(up_Irr!O6&lt;&gt;".",up_Irr!AN6=".",up_Irr!BM6&lt;&gt;"."),up_dir!P6/((1/1000)*(up_Irr!O6+up_Irr!BM6)),IF(AND(up_Irr!O6=".",up_Irr!AN6&lt;&gt;".",up_Irr!BM6&lt;&gt;"."),up_dir!P6/((1/1000)*(up_Irr!AN6+up_Irr!BM6)),IF(AND(up_Irr!O6=".",up_Irr!AN6=".",up_Irr!BM6&lt;&gt;"."),up_dir!P6/((1/1000)*(up_Irr!BM6)),IF(AND(up_Irr!O6=".",up_Irr!AN6&lt;&gt;".",up_Irr!BM6="."),up_dir!P6/((1/1000)*(up_Irr!AN6)),IF(AND(up_Irr!O6&lt;&gt;".",up_Irr!AN6=".",up_Irr!BM6="."),up_dir!P6/((1/1000)*(up_Irr!O6)),IF(AND(up_Irr!O6=".",up_Irr!AN6=".",up_Irr!BM6="."),up_dir!P6*1000)))))))),".")</f>
        <v>6.5773651144152123E-11</v>
      </c>
      <c r="Q6" s="76">
        <f>IFERROR(IF(AND(up_Irr!P6&lt;&gt;".",up_Irr!AO6&lt;&gt;".",up_Irr!BN6&lt;&gt;"."),up_dir!Q6/((1/1000)*(up_Irr!P6+up_Irr!AO6+up_Irr!BN6)),IF(AND(up_Irr!P6&lt;&gt;".",up_Irr!AO6&lt;&gt;".",up_Irr!BN6="."),up_dir!Q6/((1/1000)*(up_Irr!P6+up_Irr!AO6)),IF(AND(up_Irr!P6&lt;&gt;".",up_Irr!AO6=".",up_Irr!BN6&lt;&gt;"."),up_dir!Q6/((1/1000)*(up_Irr!P6+up_Irr!BN6)),IF(AND(up_Irr!P6=".",up_Irr!AO6&lt;&gt;".",up_Irr!BN6&lt;&gt;"."),up_dir!Q6/((1/1000)*(up_Irr!AO6+up_Irr!BN6)),IF(AND(up_Irr!P6=".",up_Irr!AO6=".",up_Irr!BN6&lt;&gt;"."),up_dir!Q6/((1/1000)*(up_Irr!BN6)),IF(AND(up_Irr!P6=".",up_Irr!AO6&lt;&gt;".",up_Irr!BN6="."),up_dir!Q6/((1/1000)*(up_Irr!AO6)),IF(AND(up_Irr!P6&lt;&gt;".",up_Irr!AO6=".",up_Irr!BN6="."),up_dir!Q6/((1/1000)*(up_Irr!P6)),IF(AND(up_Irr!P6=".",up_Irr!AO6=".",up_Irr!BN6="."),up_dir!Q6*1000)))))))),".")</f>
        <v>6.5773651144152123E-11</v>
      </c>
      <c r="R6" s="76">
        <f>IFERROR(IF(AND(up_Irr!Q6&lt;&gt;".",up_Irr!AP6&lt;&gt;".",up_Irr!BO6&lt;&gt;"."),up_dir!R6/((1/1000)*(up_Irr!Q6+up_Irr!AP6+up_Irr!BO6)),IF(AND(up_Irr!Q6&lt;&gt;".",up_Irr!AP6&lt;&gt;".",up_Irr!BO6="."),up_dir!R6/((1/1000)*(up_Irr!Q6+up_Irr!AP6)),IF(AND(up_Irr!Q6&lt;&gt;".",up_Irr!AP6=".",up_Irr!BO6&lt;&gt;"."),up_dir!R6/((1/1000)*(up_Irr!Q6+up_Irr!BO6)),IF(AND(up_Irr!Q6=".",up_Irr!AP6&lt;&gt;".",up_Irr!BO6&lt;&gt;"."),up_dir!R6/((1/1000)*(up_Irr!AP6+up_Irr!BO6)),IF(AND(up_Irr!Q6=".",up_Irr!AP6=".",up_Irr!BO6&lt;&gt;"."),up_dir!R6/((1/1000)*(up_Irr!BO6)),IF(AND(up_Irr!Q6=".",up_Irr!AP6&lt;&gt;".",up_Irr!BO6="."),up_dir!R6/((1/1000)*(up_Irr!AP6)),IF(AND(up_Irr!Q6&lt;&gt;".",up_Irr!AP6=".",up_Irr!BO6="."),up_dir!R6/((1/1000)*(up_Irr!Q6)),IF(AND(up_Irr!Q6=".",up_Irr!AP6=".",up_Irr!BO6="."),up_dir!R6*1000)))))))),".")</f>
        <v>6.5773651144152123E-11</v>
      </c>
      <c r="S6" s="76">
        <f>IFERROR(IF(AND(up_Irr!R6&lt;&gt;".",up_Irr!AQ6&lt;&gt;".",up_Irr!BP6&lt;&gt;"."),up_dir!S6/((1/1000)*(up_Irr!R6+up_Irr!AQ6+up_Irr!BP6)),IF(AND(up_Irr!R6&lt;&gt;".",up_Irr!AQ6&lt;&gt;".",up_Irr!BP6="."),up_dir!S6/((1/1000)*(up_Irr!R6+up_Irr!AQ6)),IF(AND(up_Irr!R6&lt;&gt;".",up_Irr!AQ6=".",up_Irr!BP6&lt;&gt;"."),up_dir!S6/((1/1000)*(up_Irr!R6+up_Irr!BP6)),IF(AND(up_Irr!R6=".",up_Irr!AQ6&lt;&gt;".",up_Irr!BP6&lt;&gt;"."),up_dir!S6/((1/1000)*(up_Irr!AQ6+up_Irr!BP6)),IF(AND(up_Irr!R6=".",up_Irr!AQ6=".",up_Irr!BP6&lt;&gt;"."),up_dir!S6/((1/1000)*(up_Irr!BP6)),IF(AND(up_Irr!R6=".",up_Irr!AQ6&lt;&gt;".",up_Irr!BP6="."),up_dir!S6/((1/1000)*(up_Irr!AQ6)),IF(AND(up_Irr!R6&lt;&gt;".",up_Irr!AQ6=".",up_Irr!BP6="."),up_dir!S6/((1/1000)*(up_Irr!R6)),IF(AND(up_Irr!R6=".",up_Irr!AQ6=".",up_Irr!BP6="."),up_dir!S6*1000)))))))),".")</f>
        <v>6.5773651144152123E-11</v>
      </c>
      <c r="T6" s="76">
        <f>IFERROR(IF(AND(up_Irr!S6&lt;&gt;".",up_Irr!AR6&lt;&gt;".",up_Irr!BQ6&lt;&gt;"."),up_dir!T6/((1/1000)*(up_Irr!S6+up_Irr!AR6+up_Irr!BQ6)),IF(AND(up_Irr!S6&lt;&gt;".",up_Irr!AR6&lt;&gt;".",up_Irr!BQ6="."),up_dir!T6/((1/1000)*(up_Irr!S6+up_Irr!AR6)),IF(AND(up_Irr!S6&lt;&gt;".",up_Irr!AR6=".",up_Irr!BQ6&lt;&gt;"."),up_dir!T6/((1/1000)*(up_Irr!S6+up_Irr!BQ6)),IF(AND(up_Irr!S6=".",up_Irr!AR6&lt;&gt;".",up_Irr!BQ6&lt;&gt;"."),up_dir!T6/((1/1000)*(up_Irr!AR6+up_Irr!BQ6)),IF(AND(up_Irr!S6=".",up_Irr!AR6=".",up_Irr!BQ6&lt;&gt;"."),up_dir!T6/((1/1000)*(up_Irr!BQ6)),IF(AND(up_Irr!S6=".",up_Irr!AR6&lt;&gt;".",up_Irr!BQ6="."),up_dir!T6/((1/1000)*(up_Irr!AR6)),IF(AND(up_Irr!S6&lt;&gt;".",up_Irr!AR6=".",up_Irr!BQ6="."),up_dir!T6/((1/1000)*(up_Irr!S6)),IF(AND(up_Irr!S6=".",up_Irr!AR6=".",up_Irr!BQ6="."),up_dir!T6*1000)))))))),".")</f>
        <v>6.5773651144152123E-11</v>
      </c>
      <c r="U6" s="76">
        <f>IFERROR(IF(AND(up_Irr!T6&lt;&gt;".",up_Irr!AS6&lt;&gt;".",up_Irr!BR6&lt;&gt;"."),up_dir!U6/((1/1000)*(up_Irr!T6+up_Irr!AS6+up_Irr!BR6)),IF(AND(up_Irr!T6&lt;&gt;".",up_Irr!AS6&lt;&gt;".",up_Irr!BR6="."),up_dir!U6/((1/1000)*(up_Irr!T6+up_Irr!AS6)),IF(AND(up_Irr!T6&lt;&gt;".",up_Irr!AS6=".",up_Irr!BR6&lt;&gt;"."),up_dir!U6/((1/1000)*(up_Irr!T6+up_Irr!BR6)),IF(AND(up_Irr!T6=".",up_Irr!AS6&lt;&gt;".",up_Irr!BR6&lt;&gt;"."),up_dir!U6/((1/1000)*(up_Irr!AS6+up_Irr!BR6)),IF(AND(up_Irr!T6=".",up_Irr!AS6=".",up_Irr!BR6&lt;&gt;"."),up_dir!U6/((1/1000)*(up_Irr!BR6)),IF(AND(up_Irr!T6=".",up_Irr!AS6&lt;&gt;".",up_Irr!BR6="."),up_dir!U6/((1/1000)*(up_Irr!AS6)),IF(AND(up_Irr!T6&lt;&gt;".",up_Irr!AS6=".",up_Irr!BR6="."),up_dir!U6/((1/1000)*(up_Irr!T6)),IF(AND(up_Irr!T6=".",up_Irr!AS6=".",up_Irr!BR6="."),up_dir!U6*1000)))))))),".")</f>
        <v>6.5773651144152123E-11</v>
      </c>
      <c r="V6" s="76">
        <f>IFERROR(IF(AND(up_Irr!U6&lt;&gt;".",up_Irr!AT6&lt;&gt;".",up_Irr!BS6&lt;&gt;"."),up_dir!V6/((1/1000)*(up_Irr!U6+up_Irr!AT6+up_Irr!BS6)),IF(AND(up_Irr!U6&lt;&gt;".",up_Irr!AT6&lt;&gt;".",up_Irr!BS6="."),up_dir!V6/((1/1000)*(up_Irr!U6+up_Irr!AT6)),IF(AND(up_Irr!U6&lt;&gt;".",up_Irr!AT6=".",up_Irr!BS6&lt;&gt;"."),up_dir!V6/((1/1000)*(up_Irr!U6+up_Irr!BS6)),IF(AND(up_Irr!U6=".",up_Irr!AT6&lt;&gt;".",up_Irr!BS6&lt;&gt;"."),up_dir!V6/((1/1000)*(up_Irr!AT6+up_Irr!BS6)),IF(AND(up_Irr!U6=".",up_Irr!AT6=".",up_Irr!BS6&lt;&gt;"."),up_dir!V6/((1/1000)*(up_Irr!BS6)),IF(AND(up_Irr!U6=".",up_Irr!AT6&lt;&gt;".",up_Irr!BS6="."),up_dir!V6/((1/1000)*(up_Irr!AT6)),IF(AND(up_Irr!U6&lt;&gt;".",up_Irr!AT6=".",up_Irr!BS6="."),up_dir!V6/((1/1000)*(up_Irr!U6)),IF(AND(up_Irr!U6=".",up_Irr!AT6=".",up_Irr!BS6="."),up_dir!V6*1000)))))))),".")</f>
        <v>6.5773651144152123E-11</v>
      </c>
      <c r="W6" s="76">
        <f>IFERROR(IF(AND(up_Irr!V6&lt;&gt;".",up_Irr!AU6&lt;&gt;".",up_Irr!BT6&lt;&gt;"."),up_dir!W6/((1/1000)*(up_Irr!V6+up_Irr!AU6+up_Irr!BT6)),IF(AND(up_Irr!V6&lt;&gt;".",up_Irr!AU6&lt;&gt;".",up_Irr!BT6="."),up_dir!W6/((1/1000)*(up_Irr!V6+up_Irr!AU6)),IF(AND(up_Irr!V6&lt;&gt;".",up_Irr!AU6=".",up_Irr!BT6&lt;&gt;"."),up_dir!W6/((1/1000)*(up_Irr!V6+up_Irr!BT6)),IF(AND(up_Irr!V6=".",up_Irr!AU6&lt;&gt;".",up_Irr!BT6&lt;&gt;"."),up_dir!W6/((1/1000)*(up_Irr!AU6+up_Irr!BT6)),IF(AND(up_Irr!V6=".",up_Irr!AU6=".",up_Irr!BT6&lt;&gt;"."),up_dir!W6/((1/1000)*(up_Irr!BT6)),IF(AND(up_Irr!V6=".",up_Irr!AU6&lt;&gt;".",up_Irr!BT6="."),up_dir!W6/((1/1000)*(up_Irr!AU6)),IF(AND(up_Irr!V6&lt;&gt;".",up_Irr!AU6=".",up_Irr!BT6="."),up_dir!W6/((1/1000)*(up_Irr!V6)),IF(AND(up_Irr!V6=".",up_Irr!AU6=".",up_Irr!BT6="."),up_dir!W6*1000)))))))),".")</f>
        <v>6.5773651144152123E-11</v>
      </c>
      <c r="X6" s="76">
        <f>IFERROR(IF(AND(up_Irr!W6&lt;&gt;".",up_Irr!AV6&lt;&gt;".",up_Irr!BU6&lt;&gt;"."),up_dir!X6/((1/1000)*(up_Irr!W6+up_Irr!AV6+up_Irr!BU6)),IF(AND(up_Irr!W6&lt;&gt;".",up_Irr!AV6&lt;&gt;".",up_Irr!BU6="."),up_dir!X6/((1/1000)*(up_Irr!W6+up_Irr!AV6)),IF(AND(up_Irr!W6&lt;&gt;".",up_Irr!AV6=".",up_Irr!BU6&lt;&gt;"."),up_dir!X6/((1/1000)*(up_Irr!W6+up_Irr!BU6)),IF(AND(up_Irr!W6=".",up_Irr!AV6&lt;&gt;".",up_Irr!BU6&lt;&gt;"."),up_dir!X6/((1/1000)*(up_Irr!AV6+up_Irr!BU6)),IF(AND(up_Irr!W6=".",up_Irr!AV6=".",up_Irr!BU6&lt;&gt;"."),up_dir!X6/((1/1000)*(up_Irr!BU6)),IF(AND(up_Irr!W6=".",up_Irr!AV6&lt;&gt;".",up_Irr!BU6="."),up_dir!X6/((1/1000)*(up_Irr!AV6)),IF(AND(up_Irr!W6&lt;&gt;".",up_Irr!AV6=".",up_Irr!BU6="."),up_dir!X6/((1/1000)*(up_Irr!W6)),IF(AND(up_Irr!W6=".",up_Irr!AV6=".",up_Irr!BU6="."),up_dir!X6*1000)))))))),".")</f>
        <v>6.5773651144152123E-11</v>
      </c>
      <c r="Y6" s="76">
        <f>IFERROR(IF(AND(up_Irr!X6&lt;&gt;".",up_Irr!AW6&lt;&gt;".",up_Irr!BV6&lt;&gt;"."),up_dir!Y6/((1/1000)*(up_Irr!X6+up_Irr!AW6+up_Irr!BV6)),IF(AND(up_Irr!X6&lt;&gt;".",up_Irr!AW6&lt;&gt;".",up_Irr!BV6="."),up_dir!Y6/((1/1000)*(up_Irr!X6+up_Irr!AW6)),IF(AND(up_Irr!X6&lt;&gt;".",up_Irr!AW6=".",up_Irr!BV6&lt;&gt;"."),up_dir!Y6/((1/1000)*(up_Irr!X6+up_Irr!BV6)),IF(AND(up_Irr!X6=".",up_Irr!AW6&lt;&gt;".",up_Irr!BV6&lt;&gt;"."),up_dir!Y6/((1/1000)*(up_Irr!AW6+up_Irr!BV6)),IF(AND(up_Irr!X6=".",up_Irr!AW6=".",up_Irr!BV6&lt;&gt;"."),up_dir!Y6/((1/1000)*(up_Irr!BV6)),IF(AND(up_Irr!X6=".",up_Irr!AW6&lt;&gt;".",up_Irr!BV6="."),up_dir!Y6/((1/1000)*(up_Irr!AW6)),IF(AND(up_Irr!X6&lt;&gt;".",up_Irr!AW6=".",up_Irr!BV6="."),up_dir!Y6/((1/1000)*(up_Irr!X6)),IF(AND(up_Irr!X6=".",up_Irr!AW6=".",up_Irr!BV6="."),up_dir!Y6*1000)))))))),".")</f>
        <v>6.5773651144152123E-11</v>
      </c>
      <c r="Z6" s="76">
        <f>IFERROR(IF(AND(up_Irr!Y6&lt;&gt;".",up_Irr!AX6&lt;&gt;".",up_Irr!BW6&lt;&gt;"."),up_dir!Z6/((1/1000)*(up_Irr!Y6+up_Irr!AX6+up_Irr!BW6)),IF(AND(up_Irr!Y6&lt;&gt;".",up_Irr!AX6&lt;&gt;".",up_Irr!BW6="."),up_dir!Z6/((1/1000)*(up_Irr!Y6+up_Irr!AX6)),IF(AND(up_Irr!Y6&lt;&gt;".",up_Irr!AX6=".",up_Irr!BW6&lt;&gt;"."),up_dir!Z6/((1/1000)*(up_Irr!Y6+up_Irr!BW6)),IF(AND(up_Irr!Y6=".",up_Irr!AX6&lt;&gt;".",up_Irr!BW6&lt;&gt;"."),up_dir!Z6/((1/1000)*(up_Irr!AX6+up_Irr!BW6)),IF(AND(up_Irr!Y6=".",up_Irr!AX6=".",up_Irr!BW6&lt;&gt;"."),up_dir!Z6/((1/1000)*(up_Irr!BW6)),IF(AND(up_Irr!Y6=".",up_Irr!AX6&lt;&gt;".",up_Irr!BW6="."),up_dir!Z6/((1/1000)*(up_Irr!AX6)),IF(AND(up_Irr!Y6&lt;&gt;".",up_Irr!AX6=".",up_Irr!BW6="."),up_dir!Z6/((1/1000)*(up_Irr!Y6)),IF(AND(up_Irr!Y6=".",up_Irr!AX6=".",up_Irr!BW6="."),up_dir!Z6*1000)))))))),".")</f>
        <v>6.5773651144152123E-11</v>
      </c>
      <c r="AA6" s="76">
        <f>IFERROR(IF(AND(up_Irr!Z6&lt;&gt;".",up_Irr!AY6&lt;&gt;".",up_Irr!BX6&lt;&gt;"."),up_dir!AA6/((1/1000)*(up_Irr!Z6+up_Irr!AY6+up_Irr!BX6)),IF(AND(up_Irr!Z6&lt;&gt;".",up_Irr!AY6&lt;&gt;".",up_Irr!BX6="."),up_dir!AA6/((1/1000)*(up_Irr!Z6+up_Irr!AY6)),IF(AND(up_Irr!Z6&lt;&gt;".",up_Irr!AY6=".",up_Irr!BX6&lt;&gt;"."),up_dir!AA6/((1/1000)*(up_Irr!Z6+up_Irr!BX6)),IF(AND(up_Irr!Z6=".",up_Irr!AY6&lt;&gt;".",up_Irr!BX6&lt;&gt;"."),up_dir!AA6/((1/1000)*(up_Irr!AY6+up_Irr!BX6)),IF(AND(up_Irr!Z6=".",up_Irr!AY6=".",up_Irr!BX6&lt;&gt;"."),up_dir!AA6/((1/1000)*(up_Irr!BX6)),IF(AND(up_Irr!Z6=".",up_Irr!AY6&lt;&gt;".",up_Irr!BX6="."),up_dir!AA6/((1/1000)*(up_Irr!AY6)),IF(AND(up_Irr!Z6&lt;&gt;".",up_Irr!AY6=".",up_Irr!BX6="."),up_dir!AA6/((1/1000)*(up_Irr!Z6)),IF(AND(up_Irr!Z6=".",up_Irr!AY6=".",up_Irr!BX6="."),up_dir!AA6*1000)))))))),".")</f>
        <v>6.5773651144152123E-11</v>
      </c>
      <c r="AB6" s="76">
        <f>IFERROR(IF(AND(up_Irr!AA6&lt;&gt;".",up_Irr!AZ6&lt;&gt;".",up_Irr!BY6&lt;&gt;"."),up_dir!AB6/((1/1000)*(up_Irr!AA6+up_Irr!AZ6+up_Irr!BY6)),IF(AND(up_Irr!AA6&lt;&gt;".",up_Irr!AZ6&lt;&gt;".",up_Irr!BY6="."),up_dir!AB6/((1/1000)*(up_Irr!AA6+up_Irr!AZ6)),IF(AND(up_Irr!AA6&lt;&gt;".",up_Irr!AZ6=".",up_Irr!BY6&lt;&gt;"."),up_dir!AB6/((1/1000)*(up_Irr!AA6+up_Irr!BY6)),IF(AND(up_Irr!AA6=".",up_Irr!AZ6&lt;&gt;".",up_Irr!BY6&lt;&gt;"."),up_dir!AB6/((1/1000)*(up_Irr!AZ6+up_Irr!BY6)),IF(AND(up_Irr!AA6=".",up_Irr!AZ6=".",up_Irr!BY6&lt;&gt;"."),up_dir!AB6/((1/1000)*(up_Irr!BY6)),IF(AND(up_Irr!AA6=".",up_Irr!AZ6&lt;&gt;".",up_Irr!BY6="."),up_dir!AB6/((1/1000)*(up_Irr!AZ6)),IF(AND(up_Irr!AA6&lt;&gt;".",up_Irr!AZ6=".",up_Irr!BY6="."),up_dir!AB6/((1/1000)*(up_Irr!AA6)),IF(AND(up_Irr!AA6=".",up_Irr!AZ6=".",up_Irr!BY6="."),up_dir!AB6*1000)))))))),".")</f>
        <v>6.5773651144152123E-11</v>
      </c>
      <c r="AC6" s="93">
        <f t="shared" si="1"/>
        <v>608146.26076229871</v>
      </c>
      <c r="AD6" s="93">
        <f>IFERROR(s_C*s_IFAP_res_adj*s_CF_apple*0.001*(up_Irr!C6+up_Irr!AB6+up_Irr!BA6),".")</f>
        <v>152036.56519057468</v>
      </c>
      <c r="AE6" s="93">
        <f>IFERROR(s_C*s_IFAS_res_adj*s_CF_asparagus*0.001*(up_Irr!D6+up_Irr!AC6+up_Irr!BB6),".")</f>
        <v>152036.56519057468</v>
      </c>
      <c r="AF6" s="93">
        <f>IFERROR(s_C*s_IFBT_res_adj*s_CF_beet*0.001*(up_Irr!E6+up_Irr!AD6+up_Irr!BC6),".")</f>
        <v>152036.56519057468</v>
      </c>
      <c r="AG6" s="93">
        <f>IFERROR(s_C*s_IFBE_res_adj*s_CF_berries*0.001*(up_Irr!F6+up_Irr!AE6+up_Irr!BD6),".")</f>
        <v>152036.56519057468</v>
      </c>
      <c r="AH6" s="93">
        <f>IFERROR(s_C*s_IFBR_res_adj*s_CF_broccoli*0.001*(up_Irr!G6+up_Irr!AF6+up_Irr!BE6),".")</f>
        <v>152036.56519057468</v>
      </c>
      <c r="AI6" s="93">
        <f>IFERROR(s_C*s_IFCB_res_adj*s_CF_cabbage*0.001*(up_Irr!H6+up_Irr!AG6+up_Irr!BF6),".")</f>
        <v>152036.56519057468</v>
      </c>
      <c r="AJ6" s="93">
        <f>IFERROR(s_C*s_IFCR_res_adj*s_CF_carrot*0.001*(up_Irr!I6+up_Irr!AH6+up_Irr!BG6),".")</f>
        <v>152036.56519057468</v>
      </c>
      <c r="AK6" s="93">
        <f>IFERROR(s_C*s_IFCI_res_adj*s_CF_citrus*0.001*(up_Irr!J6+up_Irr!AI6+up_Irr!BH6),".")</f>
        <v>152036.56519057468</v>
      </c>
      <c r="AL6" s="93">
        <f>IFERROR(s_C*s_IFCO_res_adj*s_CF_corn*0.001*(up_Irr!K6+up_Irr!AJ6+up_Irr!BI6),".")</f>
        <v>152036.56519057468</v>
      </c>
      <c r="AM6" s="93">
        <f>IFERROR(s_C*s_IFCU_res_adj*s_CF_cucumber*0.001*(up_Irr!L6+up_Irr!AK6+up_Irr!BJ6),".")</f>
        <v>152036.56519057468</v>
      </c>
      <c r="AN6" s="93">
        <f>IFERROR(s_C*s_IFLE_res_adj*s_CF_lettuce*0.001*(up_Irr!M6+up_Irr!AL6+up_Irr!BK6),".")</f>
        <v>152036.56519057468</v>
      </c>
      <c r="AO6" s="93">
        <f>IFERROR(s_C*s_IFLI_res_adj*s_CF_lima_bean*0.001*(up_Irr!N6+up_Irr!AM6+up_Irr!BL6),".")</f>
        <v>152036.56519057468</v>
      </c>
      <c r="AP6" s="93">
        <f>IFERROR(s_C*s_IFOK_res_adj*s_CF_okra*0.001*(up_Irr!O6+up_Irr!AN6+up_Irr!BM6),".")</f>
        <v>152036.56519057468</v>
      </c>
      <c r="AQ6" s="93">
        <f>IFERROR(s_C*s_IFON_res_adj*s_CF_onion*0.001*(up_Irr!P6+up_Irr!AO6+up_Irr!BN6),".")</f>
        <v>152036.56519057468</v>
      </c>
      <c r="AR6" s="93">
        <f>IFERROR(s_C*s_IFPC_res_adj*s_CF_peach*0.001*(up_Irr!Q6+up_Irr!AP6+up_Irr!BO6),".")</f>
        <v>152036.56519057468</v>
      </c>
      <c r="AS6" s="93">
        <f>IFERROR(s_C*s_IFPR_res_adj*s_CF_pear*0.001*(up_Irr!R6+up_Irr!AQ6+up_Irr!BP6),".")</f>
        <v>152036.56519057468</v>
      </c>
      <c r="AT6" s="93">
        <f>IFERROR(s_C*s_IFPE_res_adj*s_CF_peas*0.001*(up_Irr!S6+up_Irr!AR6+up_Irr!BQ6),".")</f>
        <v>152036.56519057468</v>
      </c>
      <c r="AU6" s="93">
        <f>IFERROR(s_C*s_IFPP_res_adj*s_CF_peppers*0.001*(up_Irr!T6+up_Irr!AS6+up_Irr!BR6),".")</f>
        <v>152036.56519057468</v>
      </c>
      <c r="AV6" s="93">
        <f>IFERROR(s_C*s_IFPT_res_adj*s_CF_potato*0.001*(up_Irr!U6+up_Irr!AT6+up_Irr!BS6),".")</f>
        <v>152036.56519057468</v>
      </c>
      <c r="AW6" s="93">
        <f>IFERROR(s_C*s_IFPU_res_adj*s_CF_pumpkin*0.001*(up_Irr!V6+up_Irr!AU6+up_Irr!BT6),".")</f>
        <v>152036.56519057468</v>
      </c>
      <c r="AX6" s="93">
        <f>IFERROR(s_C*s_IFSN_res_adj*s_CF_snap_bean*0.001*(up_Irr!W6+up_Irr!AV6+up_Irr!BU6),".")</f>
        <v>152036.56519057468</v>
      </c>
      <c r="AY6" s="93">
        <f>IFERROR(s_C*s_IFST_res_adj*s_CF_strawberry*0.001*(up_Irr!X6+up_Irr!AW6+up_Irr!BV6),".")</f>
        <v>152036.56519057468</v>
      </c>
      <c r="AZ6" s="93">
        <f>IFERROR(s_C*s_IFTO_res_adj*s_CF_tomato*0.001*(up_Irr!Y6+up_Irr!AX6+up_Irr!BW6),".")</f>
        <v>152036.56519057468</v>
      </c>
      <c r="BA6" s="93">
        <f>IFERROR(s_C*s_IFRI_res_adj*s_CF_rice*0.001*(up_Irr!Z6+up_Irr!AY6+up_Irr!BX6),".")</f>
        <v>152036.56519057468</v>
      </c>
      <c r="BB6" s="93">
        <f>IFERROR(s_C*s_IFCG_res_adj*s_CF_cereal*0.001*(up_Irr!AA6+up_Irr!AZ6+up_Irr!BY6),".")</f>
        <v>152036.56519057468</v>
      </c>
      <c r="BC6" s="76">
        <f t="shared" si="2"/>
        <v>1.6443412786038031E-11</v>
      </c>
      <c r="BD6" s="76">
        <f>IFERROR(IF(AND(up_Irr!C6&lt;&gt;".",up_Irr!AB6&lt;&gt;".",up_Irr!BA6&lt;&gt;"."),up_dir!AD6/((1/1000)*(up_Irr!C6+up_Irr!AB6+up_Irr!BA6)),IF(AND(up_Irr!C6&lt;&gt;".",up_Irr!AB6&lt;&gt;".",up_Irr!BA6="."),up_dir!AD6/((1/1000)*(up_Irr!C6+up_Irr!AB6)),IF(AND(up_Irr!C6&lt;&gt;".",up_Irr!AB6=".",up_Irr!BA6&lt;&gt;"."),up_dir!AD6/((1/1000)*(up_Irr!C6+up_Irr!BA6)),IF(AND(up_Irr!C6=".",up_Irr!AB6&lt;&gt;".",up_Irr!BA6&lt;&gt;"."),up_dir!AD6/((1/1000)*(up_Irr!AB6+up_Irr!BA6)),IF(AND(up_Irr!C6=".",up_Irr!AB6=".",up_Irr!BA6&lt;&gt;"."),up_dir!AD6/((1/1000)*(up_Irr!BA6)),IF(AND(up_Irr!C6=".",up_Irr!AB6&lt;&gt;".",up_Irr!BA6="."),up_dir!AD6/((1/1000)*(up_Irr!AB6)),IF(AND(up_Irr!C6&lt;&gt;".",up_Irr!AB6=".",up_Irr!BA6="."),up_dir!AD6/((1/1000)*(up_Irr!C6)),IF(AND(up_Irr!C6=".",up_Irr!AB6=".",up_Irr!BA6="."),up_dir!AD6*1000)))))))),".")</f>
        <v>6.5773651144152123E-11</v>
      </c>
      <c r="BE6" s="76">
        <f>IFERROR(IF(AND(up_Irr!D6&lt;&gt;".",up_Irr!AC6&lt;&gt;".",up_Irr!BB6&lt;&gt;"."),up_dir!AE6/((1/1000)*(up_Irr!D6+up_Irr!AC6+up_Irr!BB6)),IF(AND(up_Irr!D6&lt;&gt;".",up_Irr!AC6&lt;&gt;".",up_Irr!BB6="."),up_dir!AE6/((1/1000)*(up_Irr!D6+up_Irr!AC6)),IF(AND(up_Irr!D6&lt;&gt;".",up_Irr!AC6=".",up_Irr!BB6&lt;&gt;"."),up_dir!AE6/((1/1000)*(up_Irr!D6+up_Irr!BB6)),IF(AND(up_Irr!D6=".",up_Irr!AC6&lt;&gt;".",up_Irr!BB6&lt;&gt;"."),up_dir!AE6/((1/1000)*(up_Irr!AC6+up_Irr!BB6)),IF(AND(up_Irr!D6=".",up_Irr!AC6=".",up_Irr!BB6&lt;&gt;"."),up_dir!AE6/((1/1000)*(up_Irr!BB6)),IF(AND(up_Irr!D6=".",up_Irr!AC6&lt;&gt;".",up_Irr!BB6="."),up_dir!AE6/((1/1000)*(up_Irr!AC6)),IF(AND(up_Irr!D6&lt;&gt;".",up_Irr!AC6=".",up_Irr!BB6="."),up_dir!AE6/((1/1000)*(up_Irr!D6)),IF(AND(up_Irr!D6=".",up_Irr!AC6=".",up_Irr!BB6="."),up_dir!AE6*1000)))))))),".")</f>
        <v>6.5773651144152123E-11</v>
      </c>
      <c r="BF6" s="76">
        <f>IFERROR(IF(AND(up_Irr!E6&lt;&gt;".",up_Irr!AD6&lt;&gt;".",up_Irr!BC6&lt;&gt;"."),up_dir!AF6/((1/1000)*(up_Irr!E6+up_Irr!AD6+up_Irr!BC6)),IF(AND(up_Irr!E6&lt;&gt;".",up_Irr!AD6&lt;&gt;".",up_Irr!BC6="."),up_dir!AF6/((1/1000)*(up_Irr!E6+up_Irr!AD6)),IF(AND(up_Irr!E6&lt;&gt;".",up_Irr!AD6=".",up_Irr!BC6&lt;&gt;"."),up_dir!AF6/((1/1000)*(up_Irr!E6+up_Irr!BC6)),IF(AND(up_Irr!E6=".",up_Irr!AD6&lt;&gt;".",up_Irr!BC6&lt;&gt;"."),up_dir!AF6/((1/1000)*(up_Irr!AD6+up_Irr!BC6)),IF(AND(up_Irr!E6=".",up_Irr!AD6=".",up_Irr!BC6&lt;&gt;"."),up_dir!AF6/((1/1000)*(up_Irr!BC6)),IF(AND(up_Irr!E6=".",up_Irr!AD6&lt;&gt;".",up_Irr!BC6="."),up_dir!AF6/((1/1000)*(up_Irr!AD6)),IF(AND(up_Irr!E6&lt;&gt;".",up_Irr!AD6=".",up_Irr!BC6="."),up_dir!AF6/((1/1000)*(up_Irr!E6)),IF(AND(up_Irr!E6=".",up_Irr!AD6=".",up_Irr!BC6="."),up_dir!AF6*1000)))))))),".")</f>
        <v>6.5773651144152123E-11</v>
      </c>
      <c r="BG6" s="76">
        <f>IFERROR(IF(AND(up_Irr!F6&lt;&gt;".",up_Irr!AE6&lt;&gt;".",up_Irr!BD6&lt;&gt;"."),up_dir!AG6/((1/1000)*(up_Irr!F6+up_Irr!AE6+up_Irr!BD6)),IF(AND(up_Irr!F6&lt;&gt;".",up_Irr!AE6&lt;&gt;".",up_Irr!BD6="."),up_dir!AG6/((1/1000)*(up_Irr!F6+up_Irr!AE6)),IF(AND(up_Irr!F6&lt;&gt;".",up_Irr!AE6=".",up_Irr!BD6&lt;&gt;"."),up_dir!AG6/((1/1000)*(up_Irr!F6+up_Irr!BD6)),IF(AND(up_Irr!F6=".",up_Irr!AE6&lt;&gt;".",up_Irr!BD6&lt;&gt;"."),up_dir!AG6/((1/1000)*(up_Irr!AE6+up_Irr!BD6)),IF(AND(up_Irr!F6=".",up_Irr!AE6=".",up_Irr!BD6&lt;&gt;"."),up_dir!AG6/((1/1000)*(up_Irr!BD6)),IF(AND(up_Irr!F6=".",up_Irr!AE6&lt;&gt;".",up_Irr!BD6="."),up_dir!AG6/((1/1000)*(up_Irr!AE6)),IF(AND(up_Irr!F6&lt;&gt;".",up_Irr!AE6=".",up_Irr!BD6="."),up_dir!AG6/((1/1000)*(up_Irr!F6)),IF(AND(up_Irr!F6=".",up_Irr!AE6=".",up_Irr!BD6="."),up_dir!AG6*1000)))))))),".")</f>
        <v>6.5773651144152123E-11</v>
      </c>
      <c r="BH6" s="76">
        <f>IFERROR(IF(AND(up_Irr!G6&lt;&gt;".",up_Irr!AF6&lt;&gt;".",up_Irr!BE6&lt;&gt;"."),up_dir!AH6/((1/1000)*(up_Irr!G6+up_Irr!AF6+up_Irr!BE6)),IF(AND(up_Irr!G6&lt;&gt;".",up_Irr!AF6&lt;&gt;".",up_Irr!BE6="."),up_dir!AH6/((1/1000)*(up_Irr!G6+up_Irr!AF6)),IF(AND(up_Irr!G6&lt;&gt;".",up_Irr!AF6=".",up_Irr!BE6&lt;&gt;"."),up_dir!AH6/((1/1000)*(up_Irr!G6+up_Irr!BE6)),IF(AND(up_Irr!G6=".",up_Irr!AF6&lt;&gt;".",up_Irr!BE6&lt;&gt;"."),up_dir!AH6/((1/1000)*(up_Irr!AF6+up_Irr!BE6)),IF(AND(up_Irr!G6=".",up_Irr!AF6=".",up_Irr!BE6&lt;&gt;"."),up_dir!AH6/((1/1000)*(up_Irr!BE6)),IF(AND(up_Irr!G6=".",up_Irr!AF6&lt;&gt;".",up_Irr!BE6="."),up_dir!AH6/((1/1000)*(up_Irr!AF6)),IF(AND(up_Irr!G6&lt;&gt;".",up_Irr!AF6=".",up_Irr!BE6="."),up_dir!AH6/((1/1000)*(up_Irr!G6)),IF(AND(up_Irr!G6=".",up_Irr!AF6=".",up_Irr!BE6="."),up_dir!AH6*1000)))))))),".")</f>
        <v>6.5773651144152123E-11</v>
      </c>
      <c r="BI6" s="76">
        <f>IFERROR(IF(AND(up_Irr!H6&lt;&gt;".",up_Irr!AG6&lt;&gt;".",up_Irr!BF6&lt;&gt;"."),up_dir!AI6/((1/1000)*(up_Irr!H6+up_Irr!AG6+up_Irr!BF6)),IF(AND(up_Irr!H6&lt;&gt;".",up_Irr!AG6&lt;&gt;".",up_Irr!BF6="."),up_dir!AI6/((1/1000)*(up_Irr!H6+up_Irr!AG6)),IF(AND(up_Irr!H6&lt;&gt;".",up_Irr!AG6=".",up_Irr!BF6&lt;&gt;"."),up_dir!AI6/((1/1000)*(up_Irr!H6+up_Irr!BF6)),IF(AND(up_Irr!H6=".",up_Irr!AG6&lt;&gt;".",up_Irr!BF6&lt;&gt;"."),up_dir!AI6/((1/1000)*(up_Irr!AG6+up_Irr!BF6)),IF(AND(up_Irr!H6=".",up_Irr!AG6=".",up_Irr!BF6&lt;&gt;"."),up_dir!AI6/((1/1000)*(up_Irr!BF6)),IF(AND(up_Irr!H6=".",up_Irr!AG6&lt;&gt;".",up_Irr!BF6="."),up_dir!AI6/((1/1000)*(up_Irr!AG6)),IF(AND(up_Irr!H6&lt;&gt;".",up_Irr!AG6=".",up_Irr!BF6="."),up_dir!AI6/((1/1000)*(up_Irr!H6)),IF(AND(up_Irr!H6=".",up_Irr!AG6=".",up_Irr!BF6="."),up_dir!AI6*1000)))))))),".")</f>
        <v>6.5773651144152123E-11</v>
      </c>
      <c r="BJ6" s="76">
        <f>IFERROR(IF(AND(up_Irr!I6&lt;&gt;".",up_Irr!AH6&lt;&gt;".",up_Irr!BG6&lt;&gt;"."),up_dir!AJ6/((1/1000)*(up_Irr!I6+up_Irr!AH6+up_Irr!BG6)),IF(AND(up_Irr!I6&lt;&gt;".",up_Irr!AH6&lt;&gt;".",up_Irr!BG6="."),up_dir!AJ6/((1/1000)*(up_Irr!I6+up_Irr!AH6)),IF(AND(up_Irr!I6&lt;&gt;".",up_Irr!AH6=".",up_Irr!BG6&lt;&gt;"."),up_dir!AJ6/((1/1000)*(up_Irr!I6+up_Irr!BG6)),IF(AND(up_Irr!I6=".",up_Irr!AH6&lt;&gt;".",up_Irr!BG6&lt;&gt;"."),up_dir!AJ6/((1/1000)*(up_Irr!AH6+up_Irr!BG6)),IF(AND(up_Irr!I6=".",up_Irr!AH6=".",up_Irr!BG6&lt;&gt;"."),up_dir!AJ6/((1/1000)*(up_Irr!BG6)),IF(AND(up_Irr!I6=".",up_Irr!AH6&lt;&gt;".",up_Irr!BG6="."),up_dir!AJ6/((1/1000)*(up_Irr!AH6)),IF(AND(up_Irr!I6&lt;&gt;".",up_Irr!AH6=".",up_Irr!BG6="."),up_dir!AJ6/((1/1000)*(up_Irr!I6)),IF(AND(up_Irr!I6=".",up_Irr!AH6=".",up_Irr!BG6="."),up_dir!AJ6*1000)))))))),".")</f>
        <v>6.5773651144152123E-11</v>
      </c>
      <c r="BK6" s="76">
        <f>IFERROR(IF(AND(up_Irr!J6&lt;&gt;".",up_Irr!AI6&lt;&gt;".",up_Irr!BH6&lt;&gt;"."),up_dir!AK6/((1/1000)*(up_Irr!J6+up_Irr!AI6+up_Irr!BH6)),IF(AND(up_Irr!J6&lt;&gt;".",up_Irr!AI6&lt;&gt;".",up_Irr!BH6="."),up_dir!AK6/((1/1000)*(up_Irr!J6+up_Irr!AI6)),IF(AND(up_Irr!J6&lt;&gt;".",up_Irr!AI6=".",up_Irr!BH6&lt;&gt;"."),up_dir!AK6/((1/1000)*(up_Irr!J6+up_Irr!BH6)),IF(AND(up_Irr!J6=".",up_Irr!AI6&lt;&gt;".",up_Irr!BH6&lt;&gt;"."),up_dir!AK6/((1/1000)*(up_Irr!AI6+up_Irr!BH6)),IF(AND(up_Irr!J6=".",up_Irr!AI6=".",up_Irr!BH6&lt;&gt;"."),up_dir!AK6/((1/1000)*(up_Irr!BH6)),IF(AND(up_Irr!J6=".",up_Irr!AI6&lt;&gt;".",up_Irr!BH6="."),up_dir!AK6/((1/1000)*(up_Irr!AI6)),IF(AND(up_Irr!J6&lt;&gt;".",up_Irr!AI6=".",up_Irr!BH6="."),up_dir!AK6/((1/1000)*(up_Irr!J6)),IF(AND(up_Irr!J6=".",up_Irr!AI6=".",up_Irr!BH6="."),up_dir!AK6*1000)))))))),".")</f>
        <v>6.5773651144152123E-11</v>
      </c>
      <c r="BL6" s="76">
        <f>IFERROR(IF(AND(up_Irr!K6&lt;&gt;".",up_Irr!AJ6&lt;&gt;".",up_Irr!BI6&lt;&gt;"."),up_dir!AL6/((1/1000)*(up_Irr!K6+up_Irr!AJ6+up_Irr!BI6)),IF(AND(up_Irr!K6&lt;&gt;".",up_Irr!AJ6&lt;&gt;".",up_Irr!BI6="."),up_dir!AL6/((1/1000)*(up_Irr!K6+up_Irr!AJ6)),IF(AND(up_Irr!K6&lt;&gt;".",up_Irr!AJ6=".",up_Irr!BI6&lt;&gt;"."),up_dir!AL6/((1/1000)*(up_Irr!K6+up_Irr!BI6)),IF(AND(up_Irr!K6=".",up_Irr!AJ6&lt;&gt;".",up_Irr!BI6&lt;&gt;"."),up_dir!AL6/((1/1000)*(up_Irr!AJ6+up_Irr!BI6)),IF(AND(up_Irr!K6=".",up_Irr!AJ6=".",up_Irr!BI6&lt;&gt;"."),up_dir!AL6/((1/1000)*(up_Irr!BI6)),IF(AND(up_Irr!K6=".",up_Irr!AJ6&lt;&gt;".",up_Irr!BI6="."),up_dir!AL6/((1/1000)*(up_Irr!AJ6)),IF(AND(up_Irr!K6&lt;&gt;".",up_Irr!AJ6=".",up_Irr!BI6="."),up_dir!AL6/((1/1000)*(up_Irr!K6)),IF(AND(up_Irr!K6=".",up_Irr!AJ6=".",up_Irr!BI6="."),up_dir!AL6*1000)))))))),".")</f>
        <v>6.5773651144152123E-11</v>
      </c>
      <c r="BM6" s="76">
        <f>IFERROR(IF(AND(up_Irr!L6&lt;&gt;".",up_Irr!AK6&lt;&gt;".",up_Irr!BJ6&lt;&gt;"."),up_dir!AM6/((1/1000)*(up_Irr!L6+up_Irr!AK6+up_Irr!BJ6)),IF(AND(up_Irr!L6&lt;&gt;".",up_Irr!AK6&lt;&gt;".",up_Irr!BJ6="."),up_dir!AM6/((1/1000)*(up_Irr!L6+up_Irr!AK6)),IF(AND(up_Irr!L6&lt;&gt;".",up_Irr!AK6=".",up_Irr!BJ6&lt;&gt;"."),up_dir!AM6/((1/1000)*(up_Irr!L6+up_Irr!BJ6)),IF(AND(up_Irr!L6=".",up_Irr!AK6&lt;&gt;".",up_Irr!BJ6&lt;&gt;"."),up_dir!AM6/((1/1000)*(up_Irr!AK6+up_Irr!BJ6)),IF(AND(up_Irr!L6=".",up_Irr!AK6=".",up_Irr!BJ6&lt;&gt;"."),up_dir!AM6/((1/1000)*(up_Irr!BJ6)),IF(AND(up_Irr!L6=".",up_Irr!AK6&lt;&gt;".",up_Irr!BJ6="."),up_dir!AM6/((1/1000)*(up_Irr!AK6)),IF(AND(up_Irr!L6&lt;&gt;".",up_Irr!AK6=".",up_Irr!BJ6="."),up_dir!AM6/((1/1000)*(up_Irr!L6)),IF(AND(up_Irr!L6=".",up_Irr!AK6=".",up_Irr!BJ6="."),up_dir!AM6*1000)))))))),".")</f>
        <v>6.5773651144152123E-11</v>
      </c>
      <c r="BN6" s="76">
        <f>IFERROR(IF(AND(up_Irr!M6&lt;&gt;".",up_Irr!AL6&lt;&gt;".",up_Irr!BK6&lt;&gt;"."),up_dir!AN6/((1/1000)*(up_Irr!M6+up_Irr!AL6+up_Irr!BK6)),IF(AND(up_Irr!M6&lt;&gt;".",up_Irr!AL6&lt;&gt;".",up_Irr!BK6="."),up_dir!AN6/((1/1000)*(up_Irr!M6+up_Irr!AL6)),IF(AND(up_Irr!M6&lt;&gt;".",up_Irr!AL6=".",up_Irr!BK6&lt;&gt;"."),up_dir!AN6/((1/1000)*(up_Irr!M6+up_Irr!BK6)),IF(AND(up_Irr!M6=".",up_Irr!AL6&lt;&gt;".",up_Irr!BK6&lt;&gt;"."),up_dir!AN6/((1/1000)*(up_Irr!AL6+up_Irr!BK6)),IF(AND(up_Irr!M6=".",up_Irr!AL6=".",up_Irr!BK6&lt;&gt;"."),up_dir!AN6/((1/1000)*(up_Irr!BK6)),IF(AND(up_Irr!M6=".",up_Irr!AL6&lt;&gt;".",up_Irr!BK6="."),up_dir!AN6/((1/1000)*(up_Irr!AL6)),IF(AND(up_Irr!M6&lt;&gt;".",up_Irr!AL6=".",up_Irr!BK6="."),up_dir!AN6/((1/1000)*(up_Irr!M6)),IF(AND(up_Irr!M6=".",up_Irr!AL6=".",up_Irr!BK6="."),up_dir!AN6*1000)))))))),".")</f>
        <v>6.5773651144152123E-11</v>
      </c>
      <c r="BO6" s="76">
        <f>IFERROR(IF(AND(up_Irr!N6&lt;&gt;".",up_Irr!AM6&lt;&gt;".",up_Irr!BL6&lt;&gt;"."),up_dir!AO6/((1/1000)*(up_Irr!N6+up_Irr!AM6+up_Irr!BL6)),IF(AND(up_Irr!N6&lt;&gt;".",up_Irr!AM6&lt;&gt;".",up_Irr!BL6="."),up_dir!AO6/((1/1000)*(up_Irr!N6+up_Irr!AM6)),IF(AND(up_Irr!N6&lt;&gt;".",up_Irr!AM6=".",up_Irr!BL6&lt;&gt;"."),up_dir!AO6/((1/1000)*(up_Irr!N6+up_Irr!BL6)),IF(AND(up_Irr!N6=".",up_Irr!AM6&lt;&gt;".",up_Irr!BL6&lt;&gt;"."),up_dir!AO6/((1/1000)*(up_Irr!AM6+up_Irr!BL6)),IF(AND(up_Irr!N6=".",up_Irr!AM6=".",up_Irr!BL6&lt;&gt;"."),up_dir!AO6/((1/1000)*(up_Irr!BL6)),IF(AND(up_Irr!N6=".",up_Irr!AM6&lt;&gt;".",up_Irr!BL6="."),up_dir!AO6/((1/1000)*(up_Irr!AM6)),IF(AND(up_Irr!N6&lt;&gt;".",up_Irr!AM6=".",up_Irr!BL6="."),up_dir!AO6/((1/1000)*(up_Irr!N6)),IF(AND(up_Irr!N6=".",up_Irr!AM6=".",up_Irr!BL6="."),up_dir!AO6*1000)))))))),".")</f>
        <v>6.5773651144152123E-11</v>
      </c>
      <c r="BP6" s="76">
        <f>IFERROR(IF(AND(up_Irr!O6&lt;&gt;".",up_Irr!AN6&lt;&gt;".",up_Irr!BM6&lt;&gt;"."),up_dir!AP6/((1/1000)*(up_Irr!O6+up_Irr!AN6+up_Irr!BM6)),IF(AND(up_Irr!O6&lt;&gt;".",up_Irr!AN6&lt;&gt;".",up_Irr!BM6="."),up_dir!AP6/((1/1000)*(up_Irr!O6+up_Irr!AN6)),IF(AND(up_Irr!O6&lt;&gt;".",up_Irr!AN6=".",up_Irr!BM6&lt;&gt;"."),up_dir!AP6/((1/1000)*(up_Irr!O6+up_Irr!BM6)),IF(AND(up_Irr!O6=".",up_Irr!AN6&lt;&gt;".",up_Irr!BM6&lt;&gt;"."),up_dir!AP6/((1/1000)*(up_Irr!AN6+up_Irr!BM6)),IF(AND(up_Irr!O6=".",up_Irr!AN6=".",up_Irr!BM6&lt;&gt;"."),up_dir!AP6/((1/1000)*(up_Irr!BM6)),IF(AND(up_Irr!O6=".",up_Irr!AN6&lt;&gt;".",up_Irr!BM6="."),up_dir!AP6/((1/1000)*(up_Irr!AN6)),IF(AND(up_Irr!O6&lt;&gt;".",up_Irr!AN6=".",up_Irr!BM6="."),up_dir!AP6/((1/1000)*(up_Irr!O6)),IF(AND(up_Irr!O6=".",up_Irr!AN6=".",up_Irr!BM6="."),up_dir!AP6*1000)))))))),".")</f>
        <v>6.5773651144152123E-11</v>
      </c>
      <c r="BQ6" s="76">
        <f>IFERROR(IF(AND(up_Irr!P6&lt;&gt;".",up_Irr!AO6&lt;&gt;".",up_Irr!BN6&lt;&gt;"."),up_dir!AQ6/((1/1000)*(up_Irr!P6+up_Irr!AO6+up_Irr!BN6)),IF(AND(up_Irr!P6&lt;&gt;".",up_Irr!AO6&lt;&gt;".",up_Irr!BN6="."),up_dir!AQ6/((1/1000)*(up_Irr!P6+up_Irr!AO6)),IF(AND(up_Irr!P6&lt;&gt;".",up_Irr!AO6=".",up_Irr!BN6&lt;&gt;"."),up_dir!AQ6/((1/1000)*(up_Irr!P6+up_Irr!BN6)),IF(AND(up_Irr!P6=".",up_Irr!AO6&lt;&gt;".",up_Irr!BN6&lt;&gt;"."),up_dir!AQ6/((1/1000)*(up_Irr!AO6+up_Irr!BN6)),IF(AND(up_Irr!P6=".",up_Irr!AO6=".",up_Irr!BN6&lt;&gt;"."),up_dir!AQ6/((1/1000)*(up_Irr!BN6)),IF(AND(up_Irr!P6=".",up_Irr!AO6&lt;&gt;".",up_Irr!BN6="."),up_dir!AQ6/((1/1000)*(up_Irr!AO6)),IF(AND(up_Irr!P6&lt;&gt;".",up_Irr!AO6=".",up_Irr!BN6="."),up_dir!AQ6/((1/1000)*(up_Irr!P6)),IF(AND(up_Irr!P6=".",up_Irr!AO6=".",up_Irr!BN6="."),up_dir!AQ6*1000)))))))),".")</f>
        <v>6.5773651144152123E-11</v>
      </c>
      <c r="BR6" s="76">
        <f>IFERROR(IF(AND(up_Irr!Q6&lt;&gt;".",up_Irr!AP6&lt;&gt;".",up_Irr!BO6&lt;&gt;"."),up_dir!AR6/((1/1000)*(up_Irr!Q6+up_Irr!AP6+up_Irr!BO6)),IF(AND(up_Irr!Q6&lt;&gt;".",up_Irr!AP6&lt;&gt;".",up_Irr!BO6="."),up_dir!AR6/((1/1000)*(up_Irr!Q6+up_Irr!AP6)),IF(AND(up_Irr!Q6&lt;&gt;".",up_Irr!AP6=".",up_Irr!BO6&lt;&gt;"."),up_dir!AR6/((1/1000)*(up_Irr!Q6+up_Irr!BO6)),IF(AND(up_Irr!Q6=".",up_Irr!AP6&lt;&gt;".",up_Irr!BO6&lt;&gt;"."),up_dir!AR6/((1/1000)*(up_Irr!AP6+up_Irr!BO6)),IF(AND(up_Irr!Q6=".",up_Irr!AP6=".",up_Irr!BO6&lt;&gt;"."),up_dir!AR6/((1/1000)*(up_Irr!BO6)),IF(AND(up_Irr!Q6=".",up_Irr!AP6&lt;&gt;".",up_Irr!BO6="."),up_dir!AR6/((1/1000)*(up_Irr!AP6)),IF(AND(up_Irr!Q6&lt;&gt;".",up_Irr!AP6=".",up_Irr!BO6="."),up_dir!AR6/((1/1000)*(up_Irr!Q6)),IF(AND(up_Irr!Q6=".",up_Irr!AP6=".",up_Irr!BO6="."),up_dir!AR6*1000)))))))),".")</f>
        <v>6.5773651144152123E-11</v>
      </c>
      <c r="BS6" s="76">
        <f>IFERROR(IF(AND(up_Irr!R6&lt;&gt;".",up_Irr!AQ6&lt;&gt;".",up_Irr!BP6&lt;&gt;"."),up_dir!AS6/((1/1000)*(up_Irr!R6+up_Irr!AQ6+up_Irr!BP6)),IF(AND(up_Irr!R6&lt;&gt;".",up_Irr!AQ6&lt;&gt;".",up_Irr!BP6="."),up_dir!AS6/((1/1000)*(up_Irr!R6+up_Irr!AQ6)),IF(AND(up_Irr!R6&lt;&gt;".",up_Irr!AQ6=".",up_Irr!BP6&lt;&gt;"."),up_dir!AS6/((1/1000)*(up_Irr!R6+up_Irr!BP6)),IF(AND(up_Irr!R6=".",up_Irr!AQ6&lt;&gt;".",up_Irr!BP6&lt;&gt;"."),up_dir!AS6/((1/1000)*(up_Irr!AQ6+up_Irr!BP6)),IF(AND(up_Irr!R6=".",up_Irr!AQ6=".",up_Irr!BP6&lt;&gt;"."),up_dir!AS6/((1/1000)*(up_Irr!BP6)),IF(AND(up_Irr!R6=".",up_Irr!AQ6&lt;&gt;".",up_Irr!BP6="."),up_dir!AS6/((1/1000)*(up_Irr!AQ6)),IF(AND(up_Irr!R6&lt;&gt;".",up_Irr!AQ6=".",up_Irr!BP6="."),up_dir!AS6/((1/1000)*(up_Irr!R6)),IF(AND(up_Irr!R6=".",up_Irr!AQ6=".",up_Irr!BP6="."),up_dir!AS6*1000)))))))),".")</f>
        <v>6.5773651144152123E-11</v>
      </c>
      <c r="BT6" s="76">
        <f>IFERROR(IF(AND(up_Irr!S6&lt;&gt;".",up_Irr!AR6&lt;&gt;".",up_Irr!BQ6&lt;&gt;"."),up_dir!AT6/((1/1000)*(up_Irr!S6+up_Irr!AR6+up_Irr!BQ6)),IF(AND(up_Irr!S6&lt;&gt;".",up_Irr!AR6&lt;&gt;".",up_Irr!BQ6="."),up_dir!AT6/((1/1000)*(up_Irr!S6+up_Irr!AR6)),IF(AND(up_Irr!S6&lt;&gt;".",up_Irr!AR6=".",up_Irr!BQ6&lt;&gt;"."),up_dir!AT6/((1/1000)*(up_Irr!S6+up_Irr!BQ6)),IF(AND(up_Irr!S6=".",up_Irr!AR6&lt;&gt;".",up_Irr!BQ6&lt;&gt;"."),up_dir!AT6/((1/1000)*(up_Irr!AR6+up_Irr!BQ6)),IF(AND(up_Irr!S6=".",up_Irr!AR6=".",up_Irr!BQ6&lt;&gt;"."),up_dir!AT6/((1/1000)*(up_Irr!BQ6)),IF(AND(up_Irr!S6=".",up_Irr!AR6&lt;&gt;".",up_Irr!BQ6="."),up_dir!AT6/((1/1000)*(up_Irr!AR6)),IF(AND(up_Irr!S6&lt;&gt;".",up_Irr!AR6=".",up_Irr!BQ6="."),up_dir!AT6/((1/1000)*(up_Irr!S6)),IF(AND(up_Irr!S6=".",up_Irr!AR6=".",up_Irr!BQ6="."),up_dir!AT6*1000)))))))),".")</f>
        <v>6.5773651144152123E-11</v>
      </c>
      <c r="BU6" s="76">
        <f>IFERROR(IF(AND(up_Irr!T6&lt;&gt;".",up_Irr!AS6&lt;&gt;".",up_Irr!BR6&lt;&gt;"."),up_dir!AU6/((1/1000)*(up_Irr!T6+up_Irr!AS6+up_Irr!BR6)),IF(AND(up_Irr!T6&lt;&gt;".",up_Irr!AS6&lt;&gt;".",up_Irr!BR6="."),up_dir!AU6/((1/1000)*(up_Irr!T6+up_Irr!AS6)),IF(AND(up_Irr!T6&lt;&gt;".",up_Irr!AS6=".",up_Irr!BR6&lt;&gt;"."),up_dir!AU6/((1/1000)*(up_Irr!T6+up_Irr!BR6)),IF(AND(up_Irr!T6=".",up_Irr!AS6&lt;&gt;".",up_Irr!BR6&lt;&gt;"."),up_dir!AU6/((1/1000)*(up_Irr!AS6+up_Irr!BR6)),IF(AND(up_Irr!T6=".",up_Irr!AS6=".",up_Irr!BR6&lt;&gt;"."),up_dir!AU6/((1/1000)*(up_Irr!BR6)),IF(AND(up_Irr!T6=".",up_Irr!AS6&lt;&gt;".",up_Irr!BR6="."),up_dir!AU6/((1/1000)*(up_Irr!AS6)),IF(AND(up_Irr!T6&lt;&gt;".",up_Irr!AS6=".",up_Irr!BR6="."),up_dir!AU6/((1/1000)*(up_Irr!T6)),IF(AND(up_Irr!T6=".",up_Irr!AS6=".",up_Irr!BR6="."),up_dir!AU6*1000)))))))),".")</f>
        <v>6.5773651144152123E-11</v>
      </c>
      <c r="BV6" s="76">
        <f>IFERROR(IF(AND(up_Irr!U6&lt;&gt;".",up_Irr!AT6&lt;&gt;".",up_Irr!BS6&lt;&gt;"."),up_dir!AV6/((1/1000)*(up_Irr!U6+up_Irr!AT6+up_Irr!BS6)),IF(AND(up_Irr!U6&lt;&gt;".",up_Irr!AT6&lt;&gt;".",up_Irr!BS6="."),up_dir!AV6/((1/1000)*(up_Irr!U6+up_Irr!AT6)),IF(AND(up_Irr!U6&lt;&gt;".",up_Irr!AT6=".",up_Irr!BS6&lt;&gt;"."),up_dir!AV6/((1/1000)*(up_Irr!U6+up_Irr!BS6)),IF(AND(up_Irr!U6=".",up_Irr!AT6&lt;&gt;".",up_Irr!BS6&lt;&gt;"."),up_dir!AV6/((1/1000)*(up_Irr!AT6+up_Irr!BS6)),IF(AND(up_Irr!U6=".",up_Irr!AT6=".",up_Irr!BS6&lt;&gt;"."),up_dir!AV6/((1/1000)*(up_Irr!BS6)),IF(AND(up_Irr!U6=".",up_Irr!AT6&lt;&gt;".",up_Irr!BS6="."),up_dir!AV6/((1/1000)*(up_Irr!AT6)),IF(AND(up_Irr!U6&lt;&gt;".",up_Irr!AT6=".",up_Irr!BS6="."),up_dir!AV6/((1/1000)*(up_Irr!U6)),IF(AND(up_Irr!U6=".",up_Irr!AT6=".",up_Irr!BS6="."),up_dir!AV6*1000)))))))),".")</f>
        <v>6.5773651144152123E-11</v>
      </c>
      <c r="BW6" s="76">
        <f>IFERROR(IF(AND(up_Irr!V6&lt;&gt;".",up_Irr!AU6&lt;&gt;".",up_Irr!BT6&lt;&gt;"."),up_dir!AW6/((1/1000)*(up_Irr!V6+up_Irr!AU6+up_Irr!BT6)),IF(AND(up_Irr!V6&lt;&gt;".",up_Irr!AU6&lt;&gt;".",up_Irr!BT6="."),up_dir!AW6/((1/1000)*(up_Irr!V6+up_Irr!AU6)),IF(AND(up_Irr!V6&lt;&gt;".",up_Irr!AU6=".",up_Irr!BT6&lt;&gt;"."),up_dir!AW6/((1/1000)*(up_Irr!V6+up_Irr!BT6)),IF(AND(up_Irr!V6=".",up_Irr!AU6&lt;&gt;".",up_Irr!BT6&lt;&gt;"."),up_dir!AW6/((1/1000)*(up_Irr!AU6+up_Irr!BT6)),IF(AND(up_Irr!V6=".",up_Irr!AU6=".",up_Irr!BT6&lt;&gt;"."),up_dir!AW6/((1/1000)*(up_Irr!BT6)),IF(AND(up_Irr!V6=".",up_Irr!AU6&lt;&gt;".",up_Irr!BT6="."),up_dir!AW6/((1/1000)*(up_Irr!AU6)),IF(AND(up_Irr!V6&lt;&gt;".",up_Irr!AU6=".",up_Irr!BT6="."),up_dir!AW6/((1/1000)*(up_Irr!V6)),IF(AND(up_Irr!V6=".",up_Irr!AU6=".",up_Irr!BT6="."),up_dir!AW6*1000)))))))),".")</f>
        <v>6.5773651144152123E-11</v>
      </c>
      <c r="BX6" s="76">
        <f>IFERROR(IF(AND(up_Irr!W6&lt;&gt;".",up_Irr!AV6&lt;&gt;".",up_Irr!BU6&lt;&gt;"."),up_dir!AX6/((1/1000)*(up_Irr!W6+up_Irr!AV6+up_Irr!BU6)),IF(AND(up_Irr!W6&lt;&gt;".",up_Irr!AV6&lt;&gt;".",up_Irr!BU6="."),up_dir!AX6/((1/1000)*(up_Irr!W6+up_Irr!AV6)),IF(AND(up_Irr!W6&lt;&gt;".",up_Irr!AV6=".",up_Irr!BU6&lt;&gt;"."),up_dir!AX6/((1/1000)*(up_Irr!W6+up_Irr!BU6)),IF(AND(up_Irr!W6=".",up_Irr!AV6&lt;&gt;".",up_Irr!BU6&lt;&gt;"."),up_dir!AX6/((1/1000)*(up_Irr!AV6+up_Irr!BU6)),IF(AND(up_Irr!W6=".",up_Irr!AV6=".",up_Irr!BU6&lt;&gt;"."),up_dir!AX6/((1/1000)*(up_Irr!BU6)),IF(AND(up_Irr!W6=".",up_Irr!AV6&lt;&gt;".",up_Irr!BU6="."),up_dir!AX6/((1/1000)*(up_Irr!AV6)),IF(AND(up_Irr!W6&lt;&gt;".",up_Irr!AV6=".",up_Irr!BU6="."),up_dir!AX6/((1/1000)*(up_Irr!W6)),IF(AND(up_Irr!W6=".",up_Irr!AV6=".",up_Irr!BU6="."),up_dir!AX6*1000)))))))),".")</f>
        <v>6.5773651144152123E-11</v>
      </c>
      <c r="BY6" s="76">
        <f>IFERROR(IF(AND(up_Irr!X6&lt;&gt;".",up_Irr!AW6&lt;&gt;".",up_Irr!BV6&lt;&gt;"."),up_dir!AY6/((1/1000)*(up_Irr!X6+up_Irr!AW6+up_Irr!BV6)),IF(AND(up_Irr!X6&lt;&gt;".",up_Irr!AW6&lt;&gt;".",up_Irr!BV6="."),up_dir!AY6/((1/1000)*(up_Irr!X6+up_Irr!AW6)),IF(AND(up_Irr!X6&lt;&gt;".",up_Irr!AW6=".",up_Irr!BV6&lt;&gt;"."),up_dir!AY6/((1/1000)*(up_Irr!X6+up_Irr!BV6)),IF(AND(up_Irr!X6=".",up_Irr!AW6&lt;&gt;".",up_Irr!BV6&lt;&gt;"."),up_dir!AY6/((1/1000)*(up_Irr!AW6+up_Irr!BV6)),IF(AND(up_Irr!X6=".",up_Irr!AW6=".",up_Irr!BV6&lt;&gt;"."),up_dir!AY6/((1/1000)*(up_Irr!BV6)),IF(AND(up_Irr!X6=".",up_Irr!AW6&lt;&gt;".",up_Irr!BV6="."),up_dir!AY6/((1/1000)*(up_Irr!AW6)),IF(AND(up_Irr!X6&lt;&gt;".",up_Irr!AW6=".",up_Irr!BV6="."),up_dir!AY6/((1/1000)*(up_Irr!X6)),IF(AND(up_Irr!X6=".",up_Irr!AW6=".",up_Irr!BV6="."),up_dir!AY6*1000)))))))),".")</f>
        <v>6.5773651144152123E-11</v>
      </c>
      <c r="BZ6" s="76">
        <f>IFERROR(IF(AND(up_Irr!Y6&lt;&gt;".",up_Irr!AX6&lt;&gt;".",up_Irr!BW6&lt;&gt;"."),up_dir!AZ6/((1/1000)*(up_Irr!Y6+up_Irr!AX6+up_Irr!BW6)),IF(AND(up_Irr!Y6&lt;&gt;".",up_Irr!AX6&lt;&gt;".",up_Irr!BW6="."),up_dir!AZ6/((1/1000)*(up_Irr!Y6+up_Irr!AX6)),IF(AND(up_Irr!Y6&lt;&gt;".",up_Irr!AX6=".",up_Irr!BW6&lt;&gt;"."),up_dir!AZ6/((1/1000)*(up_Irr!Y6+up_Irr!BW6)),IF(AND(up_Irr!Y6=".",up_Irr!AX6&lt;&gt;".",up_Irr!BW6&lt;&gt;"."),up_dir!AZ6/((1/1000)*(up_Irr!AX6+up_Irr!BW6)),IF(AND(up_Irr!Y6=".",up_Irr!AX6=".",up_Irr!BW6&lt;&gt;"."),up_dir!AZ6/((1/1000)*(up_Irr!BW6)),IF(AND(up_Irr!Y6=".",up_Irr!AX6&lt;&gt;".",up_Irr!BW6="."),up_dir!AZ6/((1/1000)*(up_Irr!AX6)),IF(AND(up_Irr!Y6&lt;&gt;".",up_Irr!AX6=".",up_Irr!BW6="."),up_dir!AZ6/((1/1000)*(up_Irr!Y6)),IF(AND(up_Irr!Y6=".",up_Irr!AX6=".",up_Irr!BW6="."),up_dir!AZ6*1000)))))))),".")</f>
        <v>6.5773651144152123E-11</v>
      </c>
      <c r="CA6" s="76">
        <f>IFERROR(IF(AND(up_Irr!Z6&lt;&gt;".",up_Irr!AY6&lt;&gt;".",up_Irr!BX6&lt;&gt;"."),up_dir!BA6/((1/1000)*(up_Irr!Z6+up_Irr!AY6+up_Irr!BX6)),IF(AND(up_Irr!Z6&lt;&gt;".",up_Irr!AY6&lt;&gt;".",up_Irr!BX6="."),up_dir!BA6/((1/1000)*(up_Irr!Z6+up_Irr!AY6)),IF(AND(up_Irr!Z6&lt;&gt;".",up_Irr!AY6=".",up_Irr!BX6&lt;&gt;"."),up_dir!BA6/((1/1000)*(up_Irr!Z6+up_Irr!BX6)),IF(AND(up_Irr!Z6=".",up_Irr!AY6&lt;&gt;".",up_Irr!BX6&lt;&gt;"."),up_dir!BA6/((1/1000)*(up_Irr!AY6+up_Irr!BX6)),IF(AND(up_Irr!Z6=".",up_Irr!AY6=".",up_Irr!BX6&lt;&gt;"."),up_dir!BA6/((1/1000)*(up_Irr!BX6)),IF(AND(up_Irr!Z6=".",up_Irr!AY6&lt;&gt;".",up_Irr!BX6="."),up_dir!BA6/((1/1000)*(up_Irr!AY6)),IF(AND(up_Irr!Z6&lt;&gt;".",up_Irr!AY6=".",up_Irr!BX6="."),up_dir!BA6/((1/1000)*(up_Irr!Z6)),IF(AND(up_Irr!Z6=".",up_Irr!AY6=".",up_Irr!BX6="."),up_dir!BA6*1000)))))))),".")</f>
        <v>6.5773651144152123E-11</v>
      </c>
      <c r="CB6" s="76">
        <f>IFERROR(IF(AND(up_Irr!AA6&lt;&gt;".",up_Irr!AZ6&lt;&gt;".",up_Irr!BY6&lt;&gt;"."),up_dir!BB6/((1/1000)*(up_Irr!AA6+up_Irr!AZ6+up_Irr!BY6)),IF(AND(up_Irr!AA6&lt;&gt;".",up_Irr!AZ6&lt;&gt;".",up_Irr!BY6="."),up_dir!BB6/((1/1000)*(up_Irr!AA6+up_Irr!AZ6)),IF(AND(up_Irr!AA6&lt;&gt;".",up_Irr!AZ6=".",up_Irr!BY6&lt;&gt;"."),up_dir!BB6/((1/1000)*(up_Irr!AA6+up_Irr!BY6)),IF(AND(up_Irr!AA6=".",up_Irr!AZ6&lt;&gt;".",up_Irr!BY6&lt;&gt;"."),up_dir!BB6/((1/1000)*(up_Irr!AZ6+up_Irr!BY6)),IF(AND(up_Irr!AA6=".",up_Irr!AZ6=".",up_Irr!BY6&lt;&gt;"."),up_dir!BB6/((1/1000)*(up_Irr!BY6)),IF(AND(up_Irr!AA6=".",up_Irr!AZ6&lt;&gt;".",up_Irr!BY6="."),up_dir!BB6/((1/1000)*(up_Irr!AZ6)),IF(AND(up_Irr!AA6&lt;&gt;".",up_Irr!AZ6=".",up_Irr!BY6="."),up_dir!BB6/((1/1000)*(up_Irr!AA6)),IF(AND(up_Irr!AA6=".",up_Irr!AZ6=".",up_Irr!BY6="."),up_dir!BB6*1000)))))))),".")</f>
        <v>6.5773651144152123E-11</v>
      </c>
      <c r="CC6" s="93">
        <f t="shared" si="3"/>
        <v>608146.26076229871</v>
      </c>
      <c r="CD6" s="93">
        <f>IFERROR(s_C*s_IFAP_far_adj*s_CF_apple*(1/1000)*(up_Irr!C6+up_Irr!AB6+up_Irr!BA6),".")</f>
        <v>152036.56519057468</v>
      </c>
      <c r="CE6" s="93">
        <f>IFERROR(s_C*s_IFAS_far_adj*s_CF_asparagus*(1/1000)*(up_Irr!D6+up_Irr!AC6+up_Irr!BB6),".")</f>
        <v>152036.56519057468</v>
      </c>
      <c r="CF6" s="93">
        <f>IFERROR(s_C*s_IFBT_far_adj*s_CF_beet*(1/1000)*(up_Irr!E6+up_Irr!AD6+up_Irr!BC6),".")</f>
        <v>152036.56519057468</v>
      </c>
      <c r="CG6" s="93">
        <f>IFERROR(s_C*s_IFBE_far_adj*s_CF_berries*(1/1000)*(up_Irr!F6+up_Irr!AE6+up_Irr!BD6),".")</f>
        <v>152036.56519057468</v>
      </c>
      <c r="CH6" s="93">
        <f>IFERROR(s_C*s_IFBR_far_adj*s_CF_broccoli*(1/1000)*(up_Irr!G6+up_Irr!AF6+up_Irr!BE6),".")</f>
        <v>152036.56519057468</v>
      </c>
      <c r="CI6" s="93">
        <f>IFERROR(s_C*s_IFCB_far_adj*s_CF_cabbage*(1/1000)*(up_Irr!H6+up_Irr!AG6+up_Irr!BF6),".")</f>
        <v>152036.56519057468</v>
      </c>
      <c r="CJ6" s="93">
        <f>IFERROR(s_C*s_IFCR_far_adj*s_CF_carrot*(1/1000)*(up_Irr!I6+up_Irr!AH6+up_Irr!BG6),".")</f>
        <v>152036.56519057468</v>
      </c>
      <c r="CK6" s="93">
        <f>IFERROR(s_C*s_IFCI_far_adj*s_CF_citrus*(1/1000)*(up_Irr!J6+up_Irr!AI6+up_Irr!BH6),".")</f>
        <v>152036.56519057468</v>
      </c>
      <c r="CL6" s="93">
        <f>IFERROR(s_C*s_IFCO_far_adj*s_CF_corn*(1/1000)*(up_Irr!K6+up_Irr!AJ6+up_Irr!BI6),".")</f>
        <v>152036.56519057468</v>
      </c>
      <c r="CM6" s="93">
        <f>IFERROR(s_C*s_IFCU_far_adj*s_CF_cucumber*(1/1000)*(up_Irr!L6+up_Irr!AK6+up_Irr!BJ6),".")</f>
        <v>152036.56519057468</v>
      </c>
      <c r="CN6" s="93">
        <f>IFERROR(s_C*s_IFLE_far_adj*s_CF_lettuce*(1/1000)*(up_Irr!M6+up_Irr!AL6+up_Irr!BK6),".")</f>
        <v>152036.56519057468</v>
      </c>
      <c r="CO6" s="93">
        <f>IFERROR(s_C*s_IFLI_far_adj*s_CF_lima_bean*(1/1000)*(up_Irr!N6+up_Irr!AM6+up_Irr!BL6),".")</f>
        <v>152036.56519057468</v>
      </c>
      <c r="CP6" s="93">
        <f>IFERROR(s_C*s_IFOK_far_adj*s_CF_okra*(1/1000)*(up_Irr!O6+up_Irr!AN6+up_Irr!BM6),".")</f>
        <v>152036.56519057468</v>
      </c>
      <c r="CQ6" s="93">
        <f>IFERROR(s_C*s_IFON_far_adj*s_CF_onion*(1/1000)*(up_Irr!P6+up_Irr!AO6+up_Irr!BN6),".")</f>
        <v>152036.56519057468</v>
      </c>
      <c r="CR6" s="93">
        <f>IFERROR(s_C*s_IFPC_far_adj*s_CF_peach*(1/1000)*(up_Irr!Q6+up_Irr!AP6+up_Irr!BO6),".")</f>
        <v>152036.56519057468</v>
      </c>
      <c r="CS6" s="93">
        <f>IFERROR(s_C*s_IFPR_far_adj*s_CF_pear*(1/1000)*(up_Irr!R6+up_Irr!AQ6+up_Irr!BP6),".")</f>
        <v>152036.56519057468</v>
      </c>
      <c r="CT6" s="93">
        <f>IFERROR(s_C*s_IFPE_far_adj*s_CF_peas*(1/1000)*(up_Irr!S6+up_Irr!AR6+up_Irr!BQ6),".")</f>
        <v>152036.56519057468</v>
      </c>
      <c r="CU6" s="93">
        <f>IFERROR(s_C*s_IFPP_far_adj*s_CF_peppers*(1/1000)*(up_Irr!T6+up_Irr!AS6+up_Irr!BR6),".")</f>
        <v>152036.56519057468</v>
      </c>
      <c r="CV6" s="93">
        <f>IFERROR(s_C*s_IFPT_far_adj*s_CF_potato*(1/1000)*(up_Irr!U6+up_Irr!AT6+up_Irr!BS6),".")</f>
        <v>152036.56519057468</v>
      </c>
      <c r="CW6" s="93">
        <f>IFERROR(s_C*s_IFPU_far_adj*s_CF_pumpkin*(1/1000)*(up_Irr!V6+up_Irr!AU6+up_Irr!BT6),".")</f>
        <v>152036.56519057468</v>
      </c>
      <c r="CX6" s="93">
        <f>IFERROR(s_C*s_IFSN_far_adj*s_CF_snap_bean*(1/1000)*(up_Irr!W6+up_Irr!AV6+up_Irr!BU6),".")</f>
        <v>152036.56519057468</v>
      </c>
      <c r="CY6" s="93">
        <f>IFERROR(s_C*s_IFST_far_adj*s_CF_strawberry*(1/1000)*(up_Irr!X6+up_Irr!AW6+up_Irr!BV6),".")</f>
        <v>152036.56519057468</v>
      </c>
      <c r="CZ6" s="93">
        <f>IFERROR(s_C*s_IFTO_far_adj*s_CF_tomato*(1/1000)*(up_Irr!Y6+up_Irr!AX6+up_Irr!BW6),".")</f>
        <v>152036.56519057468</v>
      </c>
      <c r="DA6" s="93">
        <f>IFERROR(s_C*s_IFRI_far_adj*s_CF_rice*(1/1000)*(up_Irr!Z6+up_Irr!AY6+up_Irr!BX6),".")</f>
        <v>152036.56519057468</v>
      </c>
      <c r="DB6" s="93">
        <f>IFERROR(s_C*s_IFCG_far_adj*s_CF_cereal*(1/1000)*(up_Irr!AA6+up_Irr!AZ6+up_Irr!BY6),".")</f>
        <v>152036.56519057468</v>
      </c>
    </row>
    <row r="7" spans="1:106" ht="15" customHeight="1" x14ac:dyDescent="0.25">
      <c r="A7" s="92" t="s">
        <v>17</v>
      </c>
      <c r="B7" s="90" t="s">
        <v>1071</v>
      </c>
      <c r="C7" s="15">
        <f t="shared" si="0"/>
        <v>1.6443412786038031E-11</v>
      </c>
      <c r="D7" s="76">
        <f>IFERROR(IF(AND(up_Irr!C7&lt;&gt;".",up_Irr!AB7&lt;&gt;".",up_Irr!BA7&lt;&gt;"."),up_dir!D7/((1/1000)*(up_Irr!C7+up_Irr!AB7+up_Irr!BA7)),IF(AND(up_Irr!C7&lt;&gt;".",up_Irr!AB7&lt;&gt;".",up_Irr!BA7="."),up_dir!D7/((1/1000)*(up_Irr!C7+up_Irr!AB7)),IF(AND(up_Irr!C7&lt;&gt;".",up_Irr!AB7=".",up_Irr!BA7&lt;&gt;"."),up_dir!D7/((1/1000)*(up_Irr!C7+up_Irr!BA7)),IF(AND(up_Irr!C7=".",up_Irr!AB7&lt;&gt;".",up_Irr!BA7&lt;&gt;"."),up_dir!D7/((1/1000)*(up_Irr!AB7+up_Irr!BA7)),IF(AND(up_Irr!C7=".",up_Irr!AB7=".",up_Irr!BA7&lt;&gt;"."),up_dir!D7/((1/1000)*(up_Irr!BA7)),IF(AND(up_Irr!C7=".",up_Irr!AB7&lt;&gt;".",up_Irr!BA7="."),up_dir!D7/((1/1000)*(up_Irr!AB7)),IF(AND(up_Irr!C7&lt;&gt;".",up_Irr!AB7=".",up_Irr!BA7="."),up_dir!D7/((1/1000)*(up_Irr!C7)),IF(AND(up_Irr!C7=".",up_Irr!AB7=".",up_Irr!BA7="."),up_dir!D7*1000)))))))),".")</f>
        <v>6.5773651144152123E-11</v>
      </c>
      <c r="E7" s="76">
        <f>IFERROR(IF(AND(up_Irr!D7&lt;&gt;".",up_Irr!AC7&lt;&gt;".",up_Irr!BB7&lt;&gt;"."),up_dir!E7/((1/1000)*(up_Irr!D7+up_Irr!AC7+up_Irr!BB7)),IF(AND(up_Irr!D7&lt;&gt;".",up_Irr!AC7&lt;&gt;".",up_Irr!BB7="."),up_dir!E7/((1/1000)*(up_Irr!D7+up_Irr!AC7)),IF(AND(up_Irr!D7&lt;&gt;".",up_Irr!AC7=".",up_Irr!BB7&lt;&gt;"."),up_dir!E7/((1/1000)*(up_Irr!D7+up_Irr!BB7)),IF(AND(up_Irr!D7=".",up_Irr!AC7&lt;&gt;".",up_Irr!BB7&lt;&gt;"."),up_dir!E7/((1/1000)*(up_Irr!AC7+up_Irr!BB7)),IF(AND(up_Irr!D7=".",up_Irr!AC7=".",up_Irr!BB7&lt;&gt;"."),up_dir!E7/((1/1000)*(up_Irr!BB7)),IF(AND(up_Irr!D7=".",up_Irr!AC7&lt;&gt;".",up_Irr!BB7="."),up_dir!E7/((1/1000)*(up_Irr!AC7)),IF(AND(up_Irr!D7&lt;&gt;".",up_Irr!AC7=".",up_Irr!BB7="."),up_dir!E7/((1/1000)*(up_Irr!D7)),IF(AND(up_Irr!D7=".",up_Irr!AC7=".",up_Irr!BB7="."),up_dir!E7*1000)))))))),".")</f>
        <v>6.5773651144152123E-11</v>
      </c>
      <c r="F7" s="76">
        <f>IFERROR(IF(AND(up_Irr!E7&lt;&gt;".",up_Irr!AD7&lt;&gt;".",up_Irr!BC7&lt;&gt;"."),up_dir!F7/((1/1000)*(up_Irr!E7+up_Irr!AD7+up_Irr!BC7)),IF(AND(up_Irr!E7&lt;&gt;".",up_Irr!AD7&lt;&gt;".",up_Irr!BC7="."),up_dir!F7/((1/1000)*(up_Irr!E7+up_Irr!AD7)),IF(AND(up_Irr!E7&lt;&gt;".",up_Irr!AD7=".",up_Irr!BC7&lt;&gt;"."),up_dir!F7/((1/1000)*(up_Irr!E7+up_Irr!BC7)),IF(AND(up_Irr!E7=".",up_Irr!AD7&lt;&gt;".",up_Irr!BC7&lt;&gt;"."),up_dir!F7/((1/1000)*(up_Irr!AD7+up_Irr!BC7)),IF(AND(up_Irr!E7=".",up_Irr!AD7=".",up_Irr!BC7&lt;&gt;"."),up_dir!F7/((1/1000)*(up_Irr!BC7)),IF(AND(up_Irr!E7=".",up_Irr!AD7&lt;&gt;".",up_Irr!BC7="."),up_dir!F7/((1/1000)*(up_Irr!AD7)),IF(AND(up_Irr!E7&lt;&gt;".",up_Irr!AD7=".",up_Irr!BC7="."),up_dir!F7/((1/1000)*(up_Irr!E7)),IF(AND(up_Irr!E7=".",up_Irr!AD7=".",up_Irr!BC7="."),up_dir!F7*1000)))))))),".")</f>
        <v>6.5773651144152123E-11</v>
      </c>
      <c r="G7" s="76">
        <f>IFERROR(IF(AND(up_Irr!F7&lt;&gt;".",up_Irr!AE7&lt;&gt;".",up_Irr!BD7&lt;&gt;"."),up_dir!G7/((1/1000)*(up_Irr!F7+up_Irr!AE7+up_Irr!BD7)),IF(AND(up_Irr!F7&lt;&gt;".",up_Irr!AE7&lt;&gt;".",up_Irr!BD7="."),up_dir!G7/((1/1000)*(up_Irr!F7+up_Irr!AE7)),IF(AND(up_Irr!F7&lt;&gt;".",up_Irr!AE7=".",up_Irr!BD7&lt;&gt;"."),up_dir!G7/((1/1000)*(up_Irr!F7+up_Irr!BD7)),IF(AND(up_Irr!F7=".",up_Irr!AE7&lt;&gt;".",up_Irr!BD7&lt;&gt;"."),up_dir!G7/((1/1000)*(up_Irr!AE7+up_Irr!BD7)),IF(AND(up_Irr!F7=".",up_Irr!AE7=".",up_Irr!BD7&lt;&gt;"."),up_dir!G7/((1/1000)*(up_Irr!BD7)),IF(AND(up_Irr!F7=".",up_Irr!AE7&lt;&gt;".",up_Irr!BD7="."),up_dir!G7/((1/1000)*(up_Irr!AE7)),IF(AND(up_Irr!F7&lt;&gt;".",up_Irr!AE7=".",up_Irr!BD7="."),up_dir!G7/((1/1000)*(up_Irr!F7)),IF(AND(up_Irr!F7=".",up_Irr!AE7=".",up_Irr!BD7="."),up_dir!G7*1000)))))))),".")</f>
        <v>6.5773651144152123E-11</v>
      </c>
      <c r="H7" s="76">
        <f>IFERROR(IF(AND(up_Irr!G7&lt;&gt;".",up_Irr!AF7&lt;&gt;".",up_Irr!BE7&lt;&gt;"."),up_dir!H7/((1/1000)*(up_Irr!G7+up_Irr!AF7+up_Irr!BE7)),IF(AND(up_Irr!G7&lt;&gt;".",up_Irr!AF7&lt;&gt;".",up_Irr!BE7="."),up_dir!H7/((1/1000)*(up_Irr!G7+up_Irr!AF7)),IF(AND(up_Irr!G7&lt;&gt;".",up_Irr!AF7=".",up_Irr!BE7&lt;&gt;"."),up_dir!H7/((1/1000)*(up_Irr!G7+up_Irr!BE7)),IF(AND(up_Irr!G7=".",up_Irr!AF7&lt;&gt;".",up_Irr!BE7&lt;&gt;"."),up_dir!H7/((1/1000)*(up_Irr!AF7+up_Irr!BE7)),IF(AND(up_Irr!G7=".",up_Irr!AF7=".",up_Irr!BE7&lt;&gt;"."),up_dir!H7/((1/1000)*(up_Irr!BE7)),IF(AND(up_Irr!G7=".",up_Irr!AF7&lt;&gt;".",up_Irr!BE7="."),up_dir!H7/((1/1000)*(up_Irr!AF7)),IF(AND(up_Irr!G7&lt;&gt;".",up_Irr!AF7=".",up_Irr!BE7="."),up_dir!H7/((1/1000)*(up_Irr!G7)),IF(AND(up_Irr!G7=".",up_Irr!AF7=".",up_Irr!BE7="."),up_dir!H7*1000)))))))),".")</f>
        <v>6.5773651144152123E-11</v>
      </c>
      <c r="I7" s="76">
        <f>IFERROR(IF(AND(up_Irr!H7&lt;&gt;".",up_Irr!AG7&lt;&gt;".",up_Irr!BF7&lt;&gt;"."),up_dir!I7/((1/1000)*(up_Irr!H7+up_Irr!AG7+up_Irr!BF7)),IF(AND(up_Irr!H7&lt;&gt;".",up_Irr!AG7&lt;&gt;".",up_Irr!BF7="."),up_dir!I7/((1/1000)*(up_Irr!H7+up_Irr!AG7)),IF(AND(up_Irr!H7&lt;&gt;".",up_Irr!AG7=".",up_Irr!BF7&lt;&gt;"."),up_dir!I7/((1/1000)*(up_Irr!H7+up_Irr!BF7)),IF(AND(up_Irr!H7=".",up_Irr!AG7&lt;&gt;".",up_Irr!BF7&lt;&gt;"."),up_dir!I7/((1/1000)*(up_Irr!AG7+up_Irr!BF7)),IF(AND(up_Irr!H7=".",up_Irr!AG7=".",up_Irr!BF7&lt;&gt;"."),up_dir!I7/((1/1000)*(up_Irr!BF7)),IF(AND(up_Irr!H7=".",up_Irr!AG7&lt;&gt;".",up_Irr!BF7="."),up_dir!I7/((1/1000)*(up_Irr!AG7)),IF(AND(up_Irr!H7&lt;&gt;".",up_Irr!AG7=".",up_Irr!BF7="."),up_dir!I7/((1/1000)*(up_Irr!H7)),IF(AND(up_Irr!H7=".",up_Irr!AG7=".",up_Irr!BF7="."),up_dir!I7*1000)))))))),".")</f>
        <v>6.5773651144152123E-11</v>
      </c>
      <c r="J7" s="76">
        <f>IFERROR(IF(AND(up_Irr!I7&lt;&gt;".",up_Irr!AH7&lt;&gt;".",up_Irr!BG7&lt;&gt;"."),up_dir!J7/((1/1000)*(up_Irr!I7+up_Irr!AH7+up_Irr!BG7)),IF(AND(up_Irr!I7&lt;&gt;".",up_Irr!AH7&lt;&gt;".",up_Irr!BG7="."),up_dir!J7/((1/1000)*(up_Irr!I7+up_Irr!AH7)),IF(AND(up_Irr!I7&lt;&gt;".",up_Irr!AH7=".",up_Irr!BG7&lt;&gt;"."),up_dir!J7/((1/1000)*(up_Irr!I7+up_Irr!BG7)),IF(AND(up_Irr!I7=".",up_Irr!AH7&lt;&gt;".",up_Irr!BG7&lt;&gt;"."),up_dir!J7/((1/1000)*(up_Irr!AH7+up_Irr!BG7)),IF(AND(up_Irr!I7=".",up_Irr!AH7=".",up_Irr!BG7&lt;&gt;"."),up_dir!J7/((1/1000)*(up_Irr!BG7)),IF(AND(up_Irr!I7=".",up_Irr!AH7&lt;&gt;".",up_Irr!BG7="."),up_dir!J7/((1/1000)*(up_Irr!AH7)),IF(AND(up_Irr!I7&lt;&gt;".",up_Irr!AH7=".",up_Irr!BG7="."),up_dir!J7/((1/1000)*(up_Irr!I7)),IF(AND(up_Irr!I7=".",up_Irr!AH7=".",up_Irr!BG7="."),up_dir!J7*1000)))))))),".")</f>
        <v>6.5773651144152123E-11</v>
      </c>
      <c r="K7" s="76">
        <f>IFERROR(IF(AND(up_Irr!J7&lt;&gt;".",up_Irr!AI7&lt;&gt;".",up_Irr!BH7&lt;&gt;"."),up_dir!K7/((1/1000)*(up_Irr!J7+up_Irr!AI7+up_Irr!BH7)),IF(AND(up_Irr!J7&lt;&gt;".",up_Irr!AI7&lt;&gt;".",up_Irr!BH7="."),up_dir!K7/((1/1000)*(up_Irr!J7+up_Irr!AI7)),IF(AND(up_Irr!J7&lt;&gt;".",up_Irr!AI7=".",up_Irr!BH7&lt;&gt;"."),up_dir!K7/((1/1000)*(up_Irr!J7+up_Irr!BH7)),IF(AND(up_Irr!J7=".",up_Irr!AI7&lt;&gt;".",up_Irr!BH7&lt;&gt;"."),up_dir!K7/((1/1000)*(up_Irr!AI7+up_Irr!BH7)),IF(AND(up_Irr!J7=".",up_Irr!AI7=".",up_Irr!BH7&lt;&gt;"."),up_dir!K7/((1/1000)*(up_Irr!BH7)),IF(AND(up_Irr!J7=".",up_Irr!AI7&lt;&gt;".",up_Irr!BH7="."),up_dir!K7/((1/1000)*(up_Irr!AI7)),IF(AND(up_Irr!J7&lt;&gt;".",up_Irr!AI7=".",up_Irr!BH7="."),up_dir!K7/((1/1000)*(up_Irr!J7)),IF(AND(up_Irr!J7=".",up_Irr!AI7=".",up_Irr!BH7="."),up_dir!K7*1000)))))))),".")</f>
        <v>6.5773651144152123E-11</v>
      </c>
      <c r="L7" s="76">
        <f>IFERROR(IF(AND(up_Irr!K7&lt;&gt;".",up_Irr!AJ7&lt;&gt;".",up_Irr!BI7&lt;&gt;"."),up_dir!L7/((1/1000)*(up_Irr!K7+up_Irr!AJ7+up_Irr!BI7)),IF(AND(up_Irr!K7&lt;&gt;".",up_Irr!AJ7&lt;&gt;".",up_Irr!BI7="."),up_dir!L7/((1/1000)*(up_Irr!K7+up_Irr!AJ7)),IF(AND(up_Irr!K7&lt;&gt;".",up_Irr!AJ7=".",up_Irr!BI7&lt;&gt;"."),up_dir!L7/((1/1000)*(up_Irr!K7+up_Irr!BI7)),IF(AND(up_Irr!K7=".",up_Irr!AJ7&lt;&gt;".",up_Irr!BI7&lt;&gt;"."),up_dir!L7/((1/1000)*(up_Irr!AJ7+up_Irr!BI7)),IF(AND(up_Irr!K7=".",up_Irr!AJ7=".",up_Irr!BI7&lt;&gt;"."),up_dir!L7/((1/1000)*(up_Irr!BI7)),IF(AND(up_Irr!K7=".",up_Irr!AJ7&lt;&gt;".",up_Irr!BI7="."),up_dir!L7/((1/1000)*(up_Irr!AJ7)),IF(AND(up_Irr!K7&lt;&gt;".",up_Irr!AJ7=".",up_Irr!BI7="."),up_dir!L7/((1/1000)*(up_Irr!K7)),IF(AND(up_Irr!K7=".",up_Irr!AJ7=".",up_Irr!BI7="."),up_dir!L7*1000)))))))),".")</f>
        <v>6.5773651144152123E-11</v>
      </c>
      <c r="M7" s="76">
        <f>IFERROR(IF(AND(up_Irr!L7&lt;&gt;".",up_Irr!AK7&lt;&gt;".",up_Irr!BJ7&lt;&gt;"."),up_dir!M7/((1/1000)*(up_Irr!L7+up_Irr!AK7+up_Irr!BJ7)),IF(AND(up_Irr!L7&lt;&gt;".",up_Irr!AK7&lt;&gt;".",up_Irr!BJ7="."),up_dir!M7/((1/1000)*(up_Irr!L7+up_Irr!AK7)),IF(AND(up_Irr!L7&lt;&gt;".",up_Irr!AK7=".",up_Irr!BJ7&lt;&gt;"."),up_dir!M7/((1/1000)*(up_Irr!L7+up_Irr!BJ7)),IF(AND(up_Irr!L7=".",up_Irr!AK7&lt;&gt;".",up_Irr!BJ7&lt;&gt;"."),up_dir!M7/((1/1000)*(up_Irr!AK7+up_Irr!BJ7)),IF(AND(up_Irr!L7=".",up_Irr!AK7=".",up_Irr!BJ7&lt;&gt;"."),up_dir!M7/((1/1000)*(up_Irr!BJ7)),IF(AND(up_Irr!L7=".",up_Irr!AK7&lt;&gt;".",up_Irr!BJ7="."),up_dir!M7/((1/1000)*(up_Irr!AK7)),IF(AND(up_Irr!L7&lt;&gt;".",up_Irr!AK7=".",up_Irr!BJ7="."),up_dir!M7/((1/1000)*(up_Irr!L7)),IF(AND(up_Irr!L7=".",up_Irr!AK7=".",up_Irr!BJ7="."),up_dir!M7*1000)))))))),".")</f>
        <v>6.5773651144152123E-11</v>
      </c>
      <c r="N7" s="76">
        <f>IFERROR(IF(AND(up_Irr!M7&lt;&gt;".",up_Irr!AL7&lt;&gt;".",up_Irr!BK7&lt;&gt;"."),up_dir!N7/((1/1000)*(up_Irr!M7+up_Irr!AL7+up_Irr!BK7)),IF(AND(up_Irr!M7&lt;&gt;".",up_Irr!AL7&lt;&gt;".",up_Irr!BK7="."),up_dir!N7/((1/1000)*(up_Irr!M7+up_Irr!AL7)),IF(AND(up_Irr!M7&lt;&gt;".",up_Irr!AL7=".",up_Irr!BK7&lt;&gt;"."),up_dir!N7/((1/1000)*(up_Irr!M7+up_Irr!BK7)),IF(AND(up_Irr!M7=".",up_Irr!AL7&lt;&gt;".",up_Irr!BK7&lt;&gt;"."),up_dir!N7/((1/1000)*(up_Irr!AL7+up_Irr!BK7)),IF(AND(up_Irr!M7=".",up_Irr!AL7=".",up_Irr!BK7&lt;&gt;"."),up_dir!N7/((1/1000)*(up_Irr!BK7)),IF(AND(up_Irr!M7=".",up_Irr!AL7&lt;&gt;".",up_Irr!BK7="."),up_dir!N7/((1/1000)*(up_Irr!AL7)),IF(AND(up_Irr!M7&lt;&gt;".",up_Irr!AL7=".",up_Irr!BK7="."),up_dir!N7/((1/1000)*(up_Irr!M7)),IF(AND(up_Irr!M7=".",up_Irr!AL7=".",up_Irr!BK7="."),up_dir!N7*1000)))))))),".")</f>
        <v>6.5773651144152123E-11</v>
      </c>
      <c r="O7" s="76">
        <f>IFERROR(IF(AND(up_Irr!N7&lt;&gt;".",up_Irr!AM7&lt;&gt;".",up_Irr!BL7&lt;&gt;"."),up_dir!O7/((1/1000)*(up_Irr!N7+up_Irr!AM7+up_Irr!BL7)),IF(AND(up_Irr!N7&lt;&gt;".",up_Irr!AM7&lt;&gt;".",up_Irr!BL7="."),up_dir!O7/((1/1000)*(up_Irr!N7+up_Irr!AM7)),IF(AND(up_Irr!N7&lt;&gt;".",up_Irr!AM7=".",up_Irr!BL7&lt;&gt;"."),up_dir!O7/((1/1000)*(up_Irr!N7+up_Irr!BL7)),IF(AND(up_Irr!N7=".",up_Irr!AM7&lt;&gt;".",up_Irr!BL7&lt;&gt;"."),up_dir!O7/((1/1000)*(up_Irr!AM7+up_Irr!BL7)),IF(AND(up_Irr!N7=".",up_Irr!AM7=".",up_Irr!BL7&lt;&gt;"."),up_dir!O7/((1/1000)*(up_Irr!BL7)),IF(AND(up_Irr!N7=".",up_Irr!AM7&lt;&gt;".",up_Irr!BL7="."),up_dir!O7/((1/1000)*(up_Irr!AM7)),IF(AND(up_Irr!N7&lt;&gt;".",up_Irr!AM7=".",up_Irr!BL7="."),up_dir!O7/((1/1000)*(up_Irr!N7)),IF(AND(up_Irr!N7=".",up_Irr!AM7=".",up_Irr!BL7="."),up_dir!O7*1000)))))))),".")</f>
        <v>6.5773651144152123E-11</v>
      </c>
      <c r="P7" s="76">
        <f>IFERROR(IF(AND(up_Irr!O7&lt;&gt;".",up_Irr!AN7&lt;&gt;".",up_Irr!BM7&lt;&gt;"."),up_dir!P7/((1/1000)*(up_Irr!O7+up_Irr!AN7+up_Irr!BM7)),IF(AND(up_Irr!O7&lt;&gt;".",up_Irr!AN7&lt;&gt;".",up_Irr!BM7="."),up_dir!P7/((1/1000)*(up_Irr!O7+up_Irr!AN7)),IF(AND(up_Irr!O7&lt;&gt;".",up_Irr!AN7=".",up_Irr!BM7&lt;&gt;"."),up_dir!P7/((1/1000)*(up_Irr!O7+up_Irr!BM7)),IF(AND(up_Irr!O7=".",up_Irr!AN7&lt;&gt;".",up_Irr!BM7&lt;&gt;"."),up_dir!P7/((1/1000)*(up_Irr!AN7+up_Irr!BM7)),IF(AND(up_Irr!O7=".",up_Irr!AN7=".",up_Irr!BM7&lt;&gt;"."),up_dir!P7/((1/1000)*(up_Irr!BM7)),IF(AND(up_Irr!O7=".",up_Irr!AN7&lt;&gt;".",up_Irr!BM7="."),up_dir!P7/((1/1000)*(up_Irr!AN7)),IF(AND(up_Irr!O7&lt;&gt;".",up_Irr!AN7=".",up_Irr!BM7="."),up_dir!P7/((1/1000)*(up_Irr!O7)),IF(AND(up_Irr!O7=".",up_Irr!AN7=".",up_Irr!BM7="."),up_dir!P7*1000)))))))),".")</f>
        <v>6.5773651144152123E-11</v>
      </c>
      <c r="Q7" s="76">
        <f>IFERROR(IF(AND(up_Irr!P7&lt;&gt;".",up_Irr!AO7&lt;&gt;".",up_Irr!BN7&lt;&gt;"."),up_dir!Q7/((1/1000)*(up_Irr!P7+up_Irr!AO7+up_Irr!BN7)),IF(AND(up_Irr!P7&lt;&gt;".",up_Irr!AO7&lt;&gt;".",up_Irr!BN7="."),up_dir!Q7/((1/1000)*(up_Irr!P7+up_Irr!AO7)),IF(AND(up_Irr!P7&lt;&gt;".",up_Irr!AO7=".",up_Irr!BN7&lt;&gt;"."),up_dir!Q7/((1/1000)*(up_Irr!P7+up_Irr!BN7)),IF(AND(up_Irr!P7=".",up_Irr!AO7&lt;&gt;".",up_Irr!BN7&lt;&gt;"."),up_dir!Q7/((1/1000)*(up_Irr!AO7+up_Irr!BN7)),IF(AND(up_Irr!P7=".",up_Irr!AO7=".",up_Irr!BN7&lt;&gt;"."),up_dir!Q7/((1/1000)*(up_Irr!BN7)),IF(AND(up_Irr!P7=".",up_Irr!AO7&lt;&gt;".",up_Irr!BN7="."),up_dir!Q7/((1/1000)*(up_Irr!AO7)),IF(AND(up_Irr!P7&lt;&gt;".",up_Irr!AO7=".",up_Irr!BN7="."),up_dir!Q7/((1/1000)*(up_Irr!P7)),IF(AND(up_Irr!P7=".",up_Irr!AO7=".",up_Irr!BN7="."),up_dir!Q7*1000)))))))),".")</f>
        <v>6.5773651144152123E-11</v>
      </c>
      <c r="R7" s="76">
        <f>IFERROR(IF(AND(up_Irr!Q7&lt;&gt;".",up_Irr!AP7&lt;&gt;".",up_Irr!BO7&lt;&gt;"."),up_dir!R7/((1/1000)*(up_Irr!Q7+up_Irr!AP7+up_Irr!BO7)),IF(AND(up_Irr!Q7&lt;&gt;".",up_Irr!AP7&lt;&gt;".",up_Irr!BO7="."),up_dir!R7/((1/1000)*(up_Irr!Q7+up_Irr!AP7)),IF(AND(up_Irr!Q7&lt;&gt;".",up_Irr!AP7=".",up_Irr!BO7&lt;&gt;"."),up_dir!R7/((1/1000)*(up_Irr!Q7+up_Irr!BO7)),IF(AND(up_Irr!Q7=".",up_Irr!AP7&lt;&gt;".",up_Irr!BO7&lt;&gt;"."),up_dir!R7/((1/1000)*(up_Irr!AP7+up_Irr!BO7)),IF(AND(up_Irr!Q7=".",up_Irr!AP7=".",up_Irr!BO7&lt;&gt;"."),up_dir!R7/((1/1000)*(up_Irr!BO7)),IF(AND(up_Irr!Q7=".",up_Irr!AP7&lt;&gt;".",up_Irr!BO7="."),up_dir!R7/((1/1000)*(up_Irr!AP7)),IF(AND(up_Irr!Q7&lt;&gt;".",up_Irr!AP7=".",up_Irr!BO7="."),up_dir!R7/((1/1000)*(up_Irr!Q7)),IF(AND(up_Irr!Q7=".",up_Irr!AP7=".",up_Irr!BO7="."),up_dir!R7*1000)))))))),".")</f>
        <v>6.5773651144152123E-11</v>
      </c>
      <c r="S7" s="76">
        <f>IFERROR(IF(AND(up_Irr!R7&lt;&gt;".",up_Irr!AQ7&lt;&gt;".",up_Irr!BP7&lt;&gt;"."),up_dir!S7/((1/1000)*(up_Irr!R7+up_Irr!AQ7+up_Irr!BP7)),IF(AND(up_Irr!R7&lt;&gt;".",up_Irr!AQ7&lt;&gt;".",up_Irr!BP7="."),up_dir!S7/((1/1000)*(up_Irr!R7+up_Irr!AQ7)),IF(AND(up_Irr!R7&lt;&gt;".",up_Irr!AQ7=".",up_Irr!BP7&lt;&gt;"."),up_dir!S7/((1/1000)*(up_Irr!R7+up_Irr!BP7)),IF(AND(up_Irr!R7=".",up_Irr!AQ7&lt;&gt;".",up_Irr!BP7&lt;&gt;"."),up_dir!S7/((1/1000)*(up_Irr!AQ7+up_Irr!BP7)),IF(AND(up_Irr!R7=".",up_Irr!AQ7=".",up_Irr!BP7&lt;&gt;"."),up_dir!S7/((1/1000)*(up_Irr!BP7)),IF(AND(up_Irr!R7=".",up_Irr!AQ7&lt;&gt;".",up_Irr!BP7="."),up_dir!S7/((1/1000)*(up_Irr!AQ7)),IF(AND(up_Irr!R7&lt;&gt;".",up_Irr!AQ7=".",up_Irr!BP7="."),up_dir!S7/((1/1000)*(up_Irr!R7)),IF(AND(up_Irr!R7=".",up_Irr!AQ7=".",up_Irr!BP7="."),up_dir!S7*1000)))))))),".")</f>
        <v>6.5773651144152123E-11</v>
      </c>
      <c r="T7" s="76">
        <f>IFERROR(IF(AND(up_Irr!S7&lt;&gt;".",up_Irr!AR7&lt;&gt;".",up_Irr!BQ7&lt;&gt;"."),up_dir!T7/((1/1000)*(up_Irr!S7+up_Irr!AR7+up_Irr!BQ7)),IF(AND(up_Irr!S7&lt;&gt;".",up_Irr!AR7&lt;&gt;".",up_Irr!BQ7="."),up_dir!T7/((1/1000)*(up_Irr!S7+up_Irr!AR7)),IF(AND(up_Irr!S7&lt;&gt;".",up_Irr!AR7=".",up_Irr!BQ7&lt;&gt;"."),up_dir!T7/((1/1000)*(up_Irr!S7+up_Irr!BQ7)),IF(AND(up_Irr!S7=".",up_Irr!AR7&lt;&gt;".",up_Irr!BQ7&lt;&gt;"."),up_dir!T7/((1/1000)*(up_Irr!AR7+up_Irr!BQ7)),IF(AND(up_Irr!S7=".",up_Irr!AR7=".",up_Irr!BQ7&lt;&gt;"."),up_dir!T7/((1/1000)*(up_Irr!BQ7)),IF(AND(up_Irr!S7=".",up_Irr!AR7&lt;&gt;".",up_Irr!BQ7="."),up_dir!T7/((1/1000)*(up_Irr!AR7)),IF(AND(up_Irr!S7&lt;&gt;".",up_Irr!AR7=".",up_Irr!BQ7="."),up_dir!T7/((1/1000)*(up_Irr!S7)),IF(AND(up_Irr!S7=".",up_Irr!AR7=".",up_Irr!BQ7="."),up_dir!T7*1000)))))))),".")</f>
        <v>6.5773651144152123E-11</v>
      </c>
      <c r="U7" s="76">
        <f>IFERROR(IF(AND(up_Irr!T7&lt;&gt;".",up_Irr!AS7&lt;&gt;".",up_Irr!BR7&lt;&gt;"."),up_dir!U7/((1/1000)*(up_Irr!T7+up_Irr!AS7+up_Irr!BR7)),IF(AND(up_Irr!T7&lt;&gt;".",up_Irr!AS7&lt;&gt;".",up_Irr!BR7="."),up_dir!U7/((1/1000)*(up_Irr!T7+up_Irr!AS7)),IF(AND(up_Irr!T7&lt;&gt;".",up_Irr!AS7=".",up_Irr!BR7&lt;&gt;"."),up_dir!U7/((1/1000)*(up_Irr!T7+up_Irr!BR7)),IF(AND(up_Irr!T7=".",up_Irr!AS7&lt;&gt;".",up_Irr!BR7&lt;&gt;"."),up_dir!U7/((1/1000)*(up_Irr!AS7+up_Irr!BR7)),IF(AND(up_Irr!T7=".",up_Irr!AS7=".",up_Irr!BR7&lt;&gt;"."),up_dir!U7/((1/1000)*(up_Irr!BR7)),IF(AND(up_Irr!T7=".",up_Irr!AS7&lt;&gt;".",up_Irr!BR7="."),up_dir!U7/((1/1000)*(up_Irr!AS7)),IF(AND(up_Irr!T7&lt;&gt;".",up_Irr!AS7=".",up_Irr!BR7="."),up_dir!U7/((1/1000)*(up_Irr!T7)),IF(AND(up_Irr!T7=".",up_Irr!AS7=".",up_Irr!BR7="."),up_dir!U7*1000)))))))),".")</f>
        <v>6.5773651144152123E-11</v>
      </c>
      <c r="V7" s="76">
        <f>IFERROR(IF(AND(up_Irr!U7&lt;&gt;".",up_Irr!AT7&lt;&gt;".",up_Irr!BS7&lt;&gt;"."),up_dir!V7/((1/1000)*(up_Irr!U7+up_Irr!AT7+up_Irr!BS7)),IF(AND(up_Irr!U7&lt;&gt;".",up_Irr!AT7&lt;&gt;".",up_Irr!BS7="."),up_dir!V7/((1/1000)*(up_Irr!U7+up_Irr!AT7)),IF(AND(up_Irr!U7&lt;&gt;".",up_Irr!AT7=".",up_Irr!BS7&lt;&gt;"."),up_dir!V7/((1/1000)*(up_Irr!U7+up_Irr!BS7)),IF(AND(up_Irr!U7=".",up_Irr!AT7&lt;&gt;".",up_Irr!BS7&lt;&gt;"."),up_dir!V7/((1/1000)*(up_Irr!AT7+up_Irr!BS7)),IF(AND(up_Irr!U7=".",up_Irr!AT7=".",up_Irr!BS7&lt;&gt;"."),up_dir!V7/((1/1000)*(up_Irr!BS7)),IF(AND(up_Irr!U7=".",up_Irr!AT7&lt;&gt;".",up_Irr!BS7="."),up_dir!V7/((1/1000)*(up_Irr!AT7)),IF(AND(up_Irr!U7&lt;&gt;".",up_Irr!AT7=".",up_Irr!BS7="."),up_dir!V7/((1/1000)*(up_Irr!U7)),IF(AND(up_Irr!U7=".",up_Irr!AT7=".",up_Irr!BS7="."),up_dir!V7*1000)))))))),".")</f>
        <v>6.5773651144152123E-11</v>
      </c>
      <c r="W7" s="76">
        <f>IFERROR(IF(AND(up_Irr!V7&lt;&gt;".",up_Irr!AU7&lt;&gt;".",up_Irr!BT7&lt;&gt;"."),up_dir!W7/((1/1000)*(up_Irr!V7+up_Irr!AU7+up_Irr!BT7)),IF(AND(up_Irr!V7&lt;&gt;".",up_Irr!AU7&lt;&gt;".",up_Irr!BT7="."),up_dir!W7/((1/1000)*(up_Irr!V7+up_Irr!AU7)),IF(AND(up_Irr!V7&lt;&gt;".",up_Irr!AU7=".",up_Irr!BT7&lt;&gt;"."),up_dir!W7/((1/1000)*(up_Irr!V7+up_Irr!BT7)),IF(AND(up_Irr!V7=".",up_Irr!AU7&lt;&gt;".",up_Irr!BT7&lt;&gt;"."),up_dir!W7/((1/1000)*(up_Irr!AU7+up_Irr!BT7)),IF(AND(up_Irr!V7=".",up_Irr!AU7=".",up_Irr!BT7&lt;&gt;"."),up_dir!W7/((1/1000)*(up_Irr!BT7)),IF(AND(up_Irr!V7=".",up_Irr!AU7&lt;&gt;".",up_Irr!BT7="."),up_dir!W7/((1/1000)*(up_Irr!AU7)),IF(AND(up_Irr!V7&lt;&gt;".",up_Irr!AU7=".",up_Irr!BT7="."),up_dir!W7/((1/1000)*(up_Irr!V7)),IF(AND(up_Irr!V7=".",up_Irr!AU7=".",up_Irr!BT7="."),up_dir!W7*1000)))))))),".")</f>
        <v>6.5773651144152123E-11</v>
      </c>
      <c r="X7" s="76">
        <f>IFERROR(IF(AND(up_Irr!W7&lt;&gt;".",up_Irr!AV7&lt;&gt;".",up_Irr!BU7&lt;&gt;"."),up_dir!X7/((1/1000)*(up_Irr!W7+up_Irr!AV7+up_Irr!BU7)),IF(AND(up_Irr!W7&lt;&gt;".",up_Irr!AV7&lt;&gt;".",up_Irr!BU7="."),up_dir!X7/((1/1000)*(up_Irr!W7+up_Irr!AV7)),IF(AND(up_Irr!W7&lt;&gt;".",up_Irr!AV7=".",up_Irr!BU7&lt;&gt;"."),up_dir!X7/((1/1000)*(up_Irr!W7+up_Irr!BU7)),IF(AND(up_Irr!W7=".",up_Irr!AV7&lt;&gt;".",up_Irr!BU7&lt;&gt;"."),up_dir!X7/((1/1000)*(up_Irr!AV7+up_Irr!BU7)),IF(AND(up_Irr!W7=".",up_Irr!AV7=".",up_Irr!BU7&lt;&gt;"."),up_dir!X7/((1/1000)*(up_Irr!BU7)),IF(AND(up_Irr!W7=".",up_Irr!AV7&lt;&gt;".",up_Irr!BU7="."),up_dir!X7/((1/1000)*(up_Irr!AV7)),IF(AND(up_Irr!W7&lt;&gt;".",up_Irr!AV7=".",up_Irr!BU7="."),up_dir!X7/((1/1000)*(up_Irr!W7)),IF(AND(up_Irr!W7=".",up_Irr!AV7=".",up_Irr!BU7="."),up_dir!X7*1000)))))))),".")</f>
        <v>6.5773651144152123E-11</v>
      </c>
      <c r="Y7" s="76">
        <f>IFERROR(IF(AND(up_Irr!X7&lt;&gt;".",up_Irr!AW7&lt;&gt;".",up_Irr!BV7&lt;&gt;"."),up_dir!Y7/((1/1000)*(up_Irr!X7+up_Irr!AW7+up_Irr!BV7)),IF(AND(up_Irr!X7&lt;&gt;".",up_Irr!AW7&lt;&gt;".",up_Irr!BV7="."),up_dir!Y7/((1/1000)*(up_Irr!X7+up_Irr!AW7)),IF(AND(up_Irr!X7&lt;&gt;".",up_Irr!AW7=".",up_Irr!BV7&lt;&gt;"."),up_dir!Y7/((1/1000)*(up_Irr!X7+up_Irr!BV7)),IF(AND(up_Irr!X7=".",up_Irr!AW7&lt;&gt;".",up_Irr!BV7&lt;&gt;"."),up_dir!Y7/((1/1000)*(up_Irr!AW7+up_Irr!BV7)),IF(AND(up_Irr!X7=".",up_Irr!AW7=".",up_Irr!BV7&lt;&gt;"."),up_dir!Y7/((1/1000)*(up_Irr!BV7)),IF(AND(up_Irr!X7=".",up_Irr!AW7&lt;&gt;".",up_Irr!BV7="."),up_dir!Y7/((1/1000)*(up_Irr!AW7)),IF(AND(up_Irr!X7&lt;&gt;".",up_Irr!AW7=".",up_Irr!BV7="."),up_dir!Y7/((1/1000)*(up_Irr!X7)),IF(AND(up_Irr!X7=".",up_Irr!AW7=".",up_Irr!BV7="."),up_dir!Y7*1000)))))))),".")</f>
        <v>6.5773651144152123E-11</v>
      </c>
      <c r="Z7" s="76">
        <f>IFERROR(IF(AND(up_Irr!Y7&lt;&gt;".",up_Irr!AX7&lt;&gt;".",up_Irr!BW7&lt;&gt;"."),up_dir!Z7/((1/1000)*(up_Irr!Y7+up_Irr!AX7+up_Irr!BW7)),IF(AND(up_Irr!Y7&lt;&gt;".",up_Irr!AX7&lt;&gt;".",up_Irr!BW7="."),up_dir!Z7/((1/1000)*(up_Irr!Y7+up_Irr!AX7)),IF(AND(up_Irr!Y7&lt;&gt;".",up_Irr!AX7=".",up_Irr!BW7&lt;&gt;"."),up_dir!Z7/((1/1000)*(up_Irr!Y7+up_Irr!BW7)),IF(AND(up_Irr!Y7=".",up_Irr!AX7&lt;&gt;".",up_Irr!BW7&lt;&gt;"."),up_dir!Z7/((1/1000)*(up_Irr!AX7+up_Irr!BW7)),IF(AND(up_Irr!Y7=".",up_Irr!AX7=".",up_Irr!BW7&lt;&gt;"."),up_dir!Z7/((1/1000)*(up_Irr!BW7)),IF(AND(up_Irr!Y7=".",up_Irr!AX7&lt;&gt;".",up_Irr!BW7="."),up_dir!Z7/((1/1000)*(up_Irr!AX7)),IF(AND(up_Irr!Y7&lt;&gt;".",up_Irr!AX7=".",up_Irr!BW7="."),up_dir!Z7/((1/1000)*(up_Irr!Y7)),IF(AND(up_Irr!Y7=".",up_Irr!AX7=".",up_Irr!BW7="."),up_dir!Z7*1000)))))))),".")</f>
        <v>6.5773651144152123E-11</v>
      </c>
      <c r="AA7" s="76">
        <f>IFERROR(IF(AND(up_Irr!Z7&lt;&gt;".",up_Irr!AY7&lt;&gt;".",up_Irr!BX7&lt;&gt;"."),up_dir!AA7/((1/1000)*(up_Irr!Z7+up_Irr!AY7+up_Irr!BX7)),IF(AND(up_Irr!Z7&lt;&gt;".",up_Irr!AY7&lt;&gt;".",up_Irr!BX7="."),up_dir!AA7/((1/1000)*(up_Irr!Z7+up_Irr!AY7)),IF(AND(up_Irr!Z7&lt;&gt;".",up_Irr!AY7=".",up_Irr!BX7&lt;&gt;"."),up_dir!AA7/((1/1000)*(up_Irr!Z7+up_Irr!BX7)),IF(AND(up_Irr!Z7=".",up_Irr!AY7&lt;&gt;".",up_Irr!BX7&lt;&gt;"."),up_dir!AA7/((1/1000)*(up_Irr!AY7+up_Irr!BX7)),IF(AND(up_Irr!Z7=".",up_Irr!AY7=".",up_Irr!BX7&lt;&gt;"."),up_dir!AA7/((1/1000)*(up_Irr!BX7)),IF(AND(up_Irr!Z7=".",up_Irr!AY7&lt;&gt;".",up_Irr!BX7="."),up_dir!AA7/((1/1000)*(up_Irr!AY7)),IF(AND(up_Irr!Z7&lt;&gt;".",up_Irr!AY7=".",up_Irr!BX7="."),up_dir!AA7/((1/1000)*(up_Irr!Z7)),IF(AND(up_Irr!Z7=".",up_Irr!AY7=".",up_Irr!BX7="."),up_dir!AA7*1000)))))))),".")</f>
        <v>6.5773651144152123E-11</v>
      </c>
      <c r="AB7" s="76">
        <f>IFERROR(IF(AND(up_Irr!AA7&lt;&gt;".",up_Irr!AZ7&lt;&gt;".",up_Irr!BY7&lt;&gt;"."),up_dir!AB7/((1/1000)*(up_Irr!AA7+up_Irr!AZ7+up_Irr!BY7)),IF(AND(up_Irr!AA7&lt;&gt;".",up_Irr!AZ7&lt;&gt;".",up_Irr!BY7="."),up_dir!AB7/((1/1000)*(up_Irr!AA7+up_Irr!AZ7)),IF(AND(up_Irr!AA7&lt;&gt;".",up_Irr!AZ7=".",up_Irr!BY7&lt;&gt;"."),up_dir!AB7/((1/1000)*(up_Irr!AA7+up_Irr!BY7)),IF(AND(up_Irr!AA7=".",up_Irr!AZ7&lt;&gt;".",up_Irr!BY7&lt;&gt;"."),up_dir!AB7/((1/1000)*(up_Irr!AZ7+up_Irr!BY7)),IF(AND(up_Irr!AA7=".",up_Irr!AZ7=".",up_Irr!BY7&lt;&gt;"."),up_dir!AB7/((1/1000)*(up_Irr!BY7)),IF(AND(up_Irr!AA7=".",up_Irr!AZ7&lt;&gt;".",up_Irr!BY7="."),up_dir!AB7/((1/1000)*(up_Irr!AZ7)),IF(AND(up_Irr!AA7&lt;&gt;".",up_Irr!AZ7=".",up_Irr!BY7="."),up_dir!AB7/((1/1000)*(up_Irr!AA7)),IF(AND(up_Irr!AA7=".",up_Irr!AZ7=".",up_Irr!BY7="."),up_dir!AB7*1000)))))))),".")</f>
        <v>6.5773651144152123E-11</v>
      </c>
      <c r="AC7" s="93">
        <f t="shared" si="1"/>
        <v>608146.26076229871</v>
      </c>
      <c r="AD7" s="93">
        <f>IFERROR(s_C*s_IFAP_res_adj*s_CF_apple*0.001*(up_Irr!C7+up_Irr!AB7+up_Irr!BA7),".")</f>
        <v>152036.56519057468</v>
      </c>
      <c r="AE7" s="93">
        <f>IFERROR(s_C*s_IFAS_res_adj*s_CF_asparagus*0.001*(up_Irr!D7+up_Irr!AC7+up_Irr!BB7),".")</f>
        <v>152036.56519057468</v>
      </c>
      <c r="AF7" s="93">
        <f>IFERROR(s_C*s_IFBT_res_adj*s_CF_beet*0.001*(up_Irr!E7+up_Irr!AD7+up_Irr!BC7),".")</f>
        <v>152036.56519057468</v>
      </c>
      <c r="AG7" s="93">
        <f>IFERROR(s_C*s_IFBE_res_adj*s_CF_berries*0.001*(up_Irr!F7+up_Irr!AE7+up_Irr!BD7),".")</f>
        <v>152036.56519057468</v>
      </c>
      <c r="AH7" s="93">
        <f>IFERROR(s_C*s_IFBR_res_adj*s_CF_broccoli*0.001*(up_Irr!G7+up_Irr!AF7+up_Irr!BE7),".")</f>
        <v>152036.56519057468</v>
      </c>
      <c r="AI7" s="93">
        <f>IFERROR(s_C*s_IFCB_res_adj*s_CF_cabbage*0.001*(up_Irr!H7+up_Irr!AG7+up_Irr!BF7),".")</f>
        <v>152036.56519057468</v>
      </c>
      <c r="AJ7" s="93">
        <f>IFERROR(s_C*s_IFCR_res_adj*s_CF_carrot*0.001*(up_Irr!I7+up_Irr!AH7+up_Irr!BG7),".")</f>
        <v>152036.56519057468</v>
      </c>
      <c r="AK7" s="93">
        <f>IFERROR(s_C*s_IFCI_res_adj*s_CF_citrus*0.001*(up_Irr!J7+up_Irr!AI7+up_Irr!BH7),".")</f>
        <v>152036.56519057468</v>
      </c>
      <c r="AL7" s="93">
        <f>IFERROR(s_C*s_IFCO_res_adj*s_CF_corn*0.001*(up_Irr!K7+up_Irr!AJ7+up_Irr!BI7),".")</f>
        <v>152036.56519057468</v>
      </c>
      <c r="AM7" s="93">
        <f>IFERROR(s_C*s_IFCU_res_adj*s_CF_cucumber*0.001*(up_Irr!L7+up_Irr!AK7+up_Irr!BJ7),".")</f>
        <v>152036.56519057468</v>
      </c>
      <c r="AN7" s="93">
        <f>IFERROR(s_C*s_IFLE_res_adj*s_CF_lettuce*0.001*(up_Irr!M7+up_Irr!AL7+up_Irr!BK7),".")</f>
        <v>152036.56519057468</v>
      </c>
      <c r="AO7" s="93">
        <f>IFERROR(s_C*s_IFLI_res_adj*s_CF_lima_bean*0.001*(up_Irr!N7+up_Irr!AM7+up_Irr!BL7),".")</f>
        <v>152036.56519057468</v>
      </c>
      <c r="AP7" s="93">
        <f>IFERROR(s_C*s_IFOK_res_adj*s_CF_okra*0.001*(up_Irr!O7+up_Irr!AN7+up_Irr!BM7),".")</f>
        <v>152036.56519057468</v>
      </c>
      <c r="AQ7" s="93">
        <f>IFERROR(s_C*s_IFON_res_adj*s_CF_onion*0.001*(up_Irr!P7+up_Irr!AO7+up_Irr!BN7),".")</f>
        <v>152036.56519057468</v>
      </c>
      <c r="AR7" s="93">
        <f>IFERROR(s_C*s_IFPC_res_adj*s_CF_peach*0.001*(up_Irr!Q7+up_Irr!AP7+up_Irr!BO7),".")</f>
        <v>152036.56519057468</v>
      </c>
      <c r="AS7" s="93">
        <f>IFERROR(s_C*s_IFPR_res_adj*s_CF_pear*0.001*(up_Irr!R7+up_Irr!AQ7+up_Irr!BP7),".")</f>
        <v>152036.56519057468</v>
      </c>
      <c r="AT7" s="93">
        <f>IFERROR(s_C*s_IFPE_res_adj*s_CF_peas*0.001*(up_Irr!S7+up_Irr!AR7+up_Irr!BQ7),".")</f>
        <v>152036.56519057468</v>
      </c>
      <c r="AU7" s="93">
        <f>IFERROR(s_C*s_IFPP_res_adj*s_CF_peppers*0.001*(up_Irr!T7+up_Irr!AS7+up_Irr!BR7),".")</f>
        <v>152036.56519057468</v>
      </c>
      <c r="AV7" s="93">
        <f>IFERROR(s_C*s_IFPT_res_adj*s_CF_potato*0.001*(up_Irr!U7+up_Irr!AT7+up_Irr!BS7),".")</f>
        <v>152036.56519057468</v>
      </c>
      <c r="AW7" s="93">
        <f>IFERROR(s_C*s_IFPU_res_adj*s_CF_pumpkin*0.001*(up_Irr!V7+up_Irr!AU7+up_Irr!BT7),".")</f>
        <v>152036.56519057468</v>
      </c>
      <c r="AX7" s="93">
        <f>IFERROR(s_C*s_IFSN_res_adj*s_CF_snap_bean*0.001*(up_Irr!W7+up_Irr!AV7+up_Irr!BU7),".")</f>
        <v>152036.56519057468</v>
      </c>
      <c r="AY7" s="93">
        <f>IFERROR(s_C*s_IFST_res_adj*s_CF_strawberry*0.001*(up_Irr!X7+up_Irr!AW7+up_Irr!BV7),".")</f>
        <v>152036.56519057468</v>
      </c>
      <c r="AZ7" s="93">
        <f>IFERROR(s_C*s_IFTO_res_adj*s_CF_tomato*0.001*(up_Irr!Y7+up_Irr!AX7+up_Irr!BW7),".")</f>
        <v>152036.56519057468</v>
      </c>
      <c r="BA7" s="93">
        <f>IFERROR(s_C*s_IFRI_res_adj*s_CF_rice*0.001*(up_Irr!Z7+up_Irr!AY7+up_Irr!BX7),".")</f>
        <v>152036.56519057468</v>
      </c>
      <c r="BB7" s="93">
        <f>IFERROR(s_C*s_IFCG_res_adj*s_CF_cereal*0.001*(up_Irr!AA7+up_Irr!AZ7+up_Irr!BY7),".")</f>
        <v>152036.56519057468</v>
      </c>
      <c r="BC7" s="76">
        <f t="shared" si="2"/>
        <v>1.6443412786038031E-11</v>
      </c>
      <c r="BD7" s="76">
        <f>IFERROR(IF(AND(up_Irr!C7&lt;&gt;".",up_Irr!AB7&lt;&gt;".",up_Irr!BA7&lt;&gt;"."),up_dir!AD7/((1/1000)*(up_Irr!C7+up_Irr!AB7+up_Irr!BA7)),IF(AND(up_Irr!C7&lt;&gt;".",up_Irr!AB7&lt;&gt;".",up_Irr!BA7="."),up_dir!AD7/((1/1000)*(up_Irr!C7+up_Irr!AB7)),IF(AND(up_Irr!C7&lt;&gt;".",up_Irr!AB7=".",up_Irr!BA7&lt;&gt;"."),up_dir!AD7/((1/1000)*(up_Irr!C7+up_Irr!BA7)),IF(AND(up_Irr!C7=".",up_Irr!AB7&lt;&gt;".",up_Irr!BA7&lt;&gt;"."),up_dir!AD7/((1/1000)*(up_Irr!AB7+up_Irr!BA7)),IF(AND(up_Irr!C7=".",up_Irr!AB7=".",up_Irr!BA7&lt;&gt;"."),up_dir!AD7/((1/1000)*(up_Irr!BA7)),IF(AND(up_Irr!C7=".",up_Irr!AB7&lt;&gt;".",up_Irr!BA7="."),up_dir!AD7/((1/1000)*(up_Irr!AB7)),IF(AND(up_Irr!C7&lt;&gt;".",up_Irr!AB7=".",up_Irr!BA7="."),up_dir!AD7/((1/1000)*(up_Irr!C7)),IF(AND(up_Irr!C7=".",up_Irr!AB7=".",up_Irr!BA7="."),up_dir!AD7*1000)))))))),".")</f>
        <v>6.5773651144152123E-11</v>
      </c>
      <c r="BE7" s="76">
        <f>IFERROR(IF(AND(up_Irr!D7&lt;&gt;".",up_Irr!AC7&lt;&gt;".",up_Irr!BB7&lt;&gt;"."),up_dir!AE7/((1/1000)*(up_Irr!D7+up_Irr!AC7+up_Irr!BB7)),IF(AND(up_Irr!D7&lt;&gt;".",up_Irr!AC7&lt;&gt;".",up_Irr!BB7="."),up_dir!AE7/((1/1000)*(up_Irr!D7+up_Irr!AC7)),IF(AND(up_Irr!D7&lt;&gt;".",up_Irr!AC7=".",up_Irr!BB7&lt;&gt;"."),up_dir!AE7/((1/1000)*(up_Irr!D7+up_Irr!BB7)),IF(AND(up_Irr!D7=".",up_Irr!AC7&lt;&gt;".",up_Irr!BB7&lt;&gt;"."),up_dir!AE7/((1/1000)*(up_Irr!AC7+up_Irr!BB7)),IF(AND(up_Irr!D7=".",up_Irr!AC7=".",up_Irr!BB7&lt;&gt;"."),up_dir!AE7/((1/1000)*(up_Irr!BB7)),IF(AND(up_Irr!D7=".",up_Irr!AC7&lt;&gt;".",up_Irr!BB7="."),up_dir!AE7/((1/1000)*(up_Irr!AC7)),IF(AND(up_Irr!D7&lt;&gt;".",up_Irr!AC7=".",up_Irr!BB7="."),up_dir!AE7/((1/1000)*(up_Irr!D7)),IF(AND(up_Irr!D7=".",up_Irr!AC7=".",up_Irr!BB7="."),up_dir!AE7*1000)))))))),".")</f>
        <v>6.5773651144152123E-11</v>
      </c>
      <c r="BF7" s="76">
        <f>IFERROR(IF(AND(up_Irr!E7&lt;&gt;".",up_Irr!AD7&lt;&gt;".",up_Irr!BC7&lt;&gt;"."),up_dir!AF7/((1/1000)*(up_Irr!E7+up_Irr!AD7+up_Irr!BC7)),IF(AND(up_Irr!E7&lt;&gt;".",up_Irr!AD7&lt;&gt;".",up_Irr!BC7="."),up_dir!AF7/((1/1000)*(up_Irr!E7+up_Irr!AD7)),IF(AND(up_Irr!E7&lt;&gt;".",up_Irr!AD7=".",up_Irr!BC7&lt;&gt;"."),up_dir!AF7/((1/1000)*(up_Irr!E7+up_Irr!BC7)),IF(AND(up_Irr!E7=".",up_Irr!AD7&lt;&gt;".",up_Irr!BC7&lt;&gt;"."),up_dir!AF7/((1/1000)*(up_Irr!AD7+up_Irr!BC7)),IF(AND(up_Irr!E7=".",up_Irr!AD7=".",up_Irr!BC7&lt;&gt;"."),up_dir!AF7/((1/1000)*(up_Irr!BC7)),IF(AND(up_Irr!E7=".",up_Irr!AD7&lt;&gt;".",up_Irr!BC7="."),up_dir!AF7/((1/1000)*(up_Irr!AD7)),IF(AND(up_Irr!E7&lt;&gt;".",up_Irr!AD7=".",up_Irr!BC7="."),up_dir!AF7/((1/1000)*(up_Irr!E7)),IF(AND(up_Irr!E7=".",up_Irr!AD7=".",up_Irr!BC7="."),up_dir!AF7*1000)))))))),".")</f>
        <v>6.5773651144152123E-11</v>
      </c>
      <c r="BG7" s="76">
        <f>IFERROR(IF(AND(up_Irr!F7&lt;&gt;".",up_Irr!AE7&lt;&gt;".",up_Irr!BD7&lt;&gt;"."),up_dir!AG7/((1/1000)*(up_Irr!F7+up_Irr!AE7+up_Irr!BD7)),IF(AND(up_Irr!F7&lt;&gt;".",up_Irr!AE7&lt;&gt;".",up_Irr!BD7="."),up_dir!AG7/((1/1000)*(up_Irr!F7+up_Irr!AE7)),IF(AND(up_Irr!F7&lt;&gt;".",up_Irr!AE7=".",up_Irr!BD7&lt;&gt;"."),up_dir!AG7/((1/1000)*(up_Irr!F7+up_Irr!BD7)),IF(AND(up_Irr!F7=".",up_Irr!AE7&lt;&gt;".",up_Irr!BD7&lt;&gt;"."),up_dir!AG7/((1/1000)*(up_Irr!AE7+up_Irr!BD7)),IF(AND(up_Irr!F7=".",up_Irr!AE7=".",up_Irr!BD7&lt;&gt;"."),up_dir!AG7/((1/1000)*(up_Irr!BD7)),IF(AND(up_Irr!F7=".",up_Irr!AE7&lt;&gt;".",up_Irr!BD7="."),up_dir!AG7/((1/1000)*(up_Irr!AE7)),IF(AND(up_Irr!F7&lt;&gt;".",up_Irr!AE7=".",up_Irr!BD7="."),up_dir!AG7/((1/1000)*(up_Irr!F7)),IF(AND(up_Irr!F7=".",up_Irr!AE7=".",up_Irr!BD7="."),up_dir!AG7*1000)))))))),".")</f>
        <v>6.5773651144152123E-11</v>
      </c>
      <c r="BH7" s="76">
        <f>IFERROR(IF(AND(up_Irr!G7&lt;&gt;".",up_Irr!AF7&lt;&gt;".",up_Irr!BE7&lt;&gt;"."),up_dir!AH7/((1/1000)*(up_Irr!G7+up_Irr!AF7+up_Irr!BE7)),IF(AND(up_Irr!G7&lt;&gt;".",up_Irr!AF7&lt;&gt;".",up_Irr!BE7="."),up_dir!AH7/((1/1000)*(up_Irr!G7+up_Irr!AF7)),IF(AND(up_Irr!G7&lt;&gt;".",up_Irr!AF7=".",up_Irr!BE7&lt;&gt;"."),up_dir!AH7/((1/1000)*(up_Irr!G7+up_Irr!BE7)),IF(AND(up_Irr!G7=".",up_Irr!AF7&lt;&gt;".",up_Irr!BE7&lt;&gt;"."),up_dir!AH7/((1/1000)*(up_Irr!AF7+up_Irr!BE7)),IF(AND(up_Irr!G7=".",up_Irr!AF7=".",up_Irr!BE7&lt;&gt;"."),up_dir!AH7/((1/1000)*(up_Irr!BE7)),IF(AND(up_Irr!G7=".",up_Irr!AF7&lt;&gt;".",up_Irr!BE7="."),up_dir!AH7/((1/1000)*(up_Irr!AF7)),IF(AND(up_Irr!G7&lt;&gt;".",up_Irr!AF7=".",up_Irr!BE7="."),up_dir!AH7/((1/1000)*(up_Irr!G7)),IF(AND(up_Irr!G7=".",up_Irr!AF7=".",up_Irr!BE7="."),up_dir!AH7*1000)))))))),".")</f>
        <v>6.5773651144152123E-11</v>
      </c>
      <c r="BI7" s="76">
        <f>IFERROR(IF(AND(up_Irr!H7&lt;&gt;".",up_Irr!AG7&lt;&gt;".",up_Irr!BF7&lt;&gt;"."),up_dir!AI7/((1/1000)*(up_Irr!H7+up_Irr!AG7+up_Irr!BF7)),IF(AND(up_Irr!H7&lt;&gt;".",up_Irr!AG7&lt;&gt;".",up_Irr!BF7="."),up_dir!AI7/((1/1000)*(up_Irr!H7+up_Irr!AG7)),IF(AND(up_Irr!H7&lt;&gt;".",up_Irr!AG7=".",up_Irr!BF7&lt;&gt;"."),up_dir!AI7/((1/1000)*(up_Irr!H7+up_Irr!BF7)),IF(AND(up_Irr!H7=".",up_Irr!AG7&lt;&gt;".",up_Irr!BF7&lt;&gt;"."),up_dir!AI7/((1/1000)*(up_Irr!AG7+up_Irr!BF7)),IF(AND(up_Irr!H7=".",up_Irr!AG7=".",up_Irr!BF7&lt;&gt;"."),up_dir!AI7/((1/1000)*(up_Irr!BF7)),IF(AND(up_Irr!H7=".",up_Irr!AG7&lt;&gt;".",up_Irr!BF7="."),up_dir!AI7/((1/1000)*(up_Irr!AG7)),IF(AND(up_Irr!H7&lt;&gt;".",up_Irr!AG7=".",up_Irr!BF7="."),up_dir!AI7/((1/1000)*(up_Irr!H7)),IF(AND(up_Irr!H7=".",up_Irr!AG7=".",up_Irr!BF7="."),up_dir!AI7*1000)))))))),".")</f>
        <v>6.5773651144152123E-11</v>
      </c>
      <c r="BJ7" s="76">
        <f>IFERROR(IF(AND(up_Irr!I7&lt;&gt;".",up_Irr!AH7&lt;&gt;".",up_Irr!BG7&lt;&gt;"."),up_dir!AJ7/((1/1000)*(up_Irr!I7+up_Irr!AH7+up_Irr!BG7)),IF(AND(up_Irr!I7&lt;&gt;".",up_Irr!AH7&lt;&gt;".",up_Irr!BG7="."),up_dir!AJ7/((1/1000)*(up_Irr!I7+up_Irr!AH7)),IF(AND(up_Irr!I7&lt;&gt;".",up_Irr!AH7=".",up_Irr!BG7&lt;&gt;"."),up_dir!AJ7/((1/1000)*(up_Irr!I7+up_Irr!BG7)),IF(AND(up_Irr!I7=".",up_Irr!AH7&lt;&gt;".",up_Irr!BG7&lt;&gt;"."),up_dir!AJ7/((1/1000)*(up_Irr!AH7+up_Irr!BG7)),IF(AND(up_Irr!I7=".",up_Irr!AH7=".",up_Irr!BG7&lt;&gt;"."),up_dir!AJ7/((1/1000)*(up_Irr!BG7)),IF(AND(up_Irr!I7=".",up_Irr!AH7&lt;&gt;".",up_Irr!BG7="."),up_dir!AJ7/((1/1000)*(up_Irr!AH7)),IF(AND(up_Irr!I7&lt;&gt;".",up_Irr!AH7=".",up_Irr!BG7="."),up_dir!AJ7/((1/1000)*(up_Irr!I7)),IF(AND(up_Irr!I7=".",up_Irr!AH7=".",up_Irr!BG7="."),up_dir!AJ7*1000)))))))),".")</f>
        <v>6.5773651144152123E-11</v>
      </c>
      <c r="BK7" s="76">
        <f>IFERROR(IF(AND(up_Irr!J7&lt;&gt;".",up_Irr!AI7&lt;&gt;".",up_Irr!BH7&lt;&gt;"."),up_dir!AK7/((1/1000)*(up_Irr!J7+up_Irr!AI7+up_Irr!BH7)),IF(AND(up_Irr!J7&lt;&gt;".",up_Irr!AI7&lt;&gt;".",up_Irr!BH7="."),up_dir!AK7/((1/1000)*(up_Irr!J7+up_Irr!AI7)),IF(AND(up_Irr!J7&lt;&gt;".",up_Irr!AI7=".",up_Irr!BH7&lt;&gt;"."),up_dir!AK7/((1/1000)*(up_Irr!J7+up_Irr!BH7)),IF(AND(up_Irr!J7=".",up_Irr!AI7&lt;&gt;".",up_Irr!BH7&lt;&gt;"."),up_dir!AK7/((1/1000)*(up_Irr!AI7+up_Irr!BH7)),IF(AND(up_Irr!J7=".",up_Irr!AI7=".",up_Irr!BH7&lt;&gt;"."),up_dir!AK7/((1/1000)*(up_Irr!BH7)),IF(AND(up_Irr!J7=".",up_Irr!AI7&lt;&gt;".",up_Irr!BH7="."),up_dir!AK7/((1/1000)*(up_Irr!AI7)),IF(AND(up_Irr!J7&lt;&gt;".",up_Irr!AI7=".",up_Irr!BH7="."),up_dir!AK7/((1/1000)*(up_Irr!J7)),IF(AND(up_Irr!J7=".",up_Irr!AI7=".",up_Irr!BH7="."),up_dir!AK7*1000)))))))),".")</f>
        <v>6.5773651144152123E-11</v>
      </c>
      <c r="BL7" s="76">
        <f>IFERROR(IF(AND(up_Irr!K7&lt;&gt;".",up_Irr!AJ7&lt;&gt;".",up_Irr!BI7&lt;&gt;"."),up_dir!AL7/((1/1000)*(up_Irr!K7+up_Irr!AJ7+up_Irr!BI7)),IF(AND(up_Irr!K7&lt;&gt;".",up_Irr!AJ7&lt;&gt;".",up_Irr!BI7="."),up_dir!AL7/((1/1000)*(up_Irr!K7+up_Irr!AJ7)),IF(AND(up_Irr!K7&lt;&gt;".",up_Irr!AJ7=".",up_Irr!BI7&lt;&gt;"."),up_dir!AL7/((1/1000)*(up_Irr!K7+up_Irr!BI7)),IF(AND(up_Irr!K7=".",up_Irr!AJ7&lt;&gt;".",up_Irr!BI7&lt;&gt;"."),up_dir!AL7/((1/1000)*(up_Irr!AJ7+up_Irr!BI7)),IF(AND(up_Irr!K7=".",up_Irr!AJ7=".",up_Irr!BI7&lt;&gt;"."),up_dir!AL7/((1/1000)*(up_Irr!BI7)),IF(AND(up_Irr!K7=".",up_Irr!AJ7&lt;&gt;".",up_Irr!BI7="."),up_dir!AL7/((1/1000)*(up_Irr!AJ7)),IF(AND(up_Irr!K7&lt;&gt;".",up_Irr!AJ7=".",up_Irr!BI7="."),up_dir!AL7/((1/1000)*(up_Irr!K7)),IF(AND(up_Irr!K7=".",up_Irr!AJ7=".",up_Irr!BI7="."),up_dir!AL7*1000)))))))),".")</f>
        <v>6.5773651144152123E-11</v>
      </c>
      <c r="BM7" s="76">
        <f>IFERROR(IF(AND(up_Irr!L7&lt;&gt;".",up_Irr!AK7&lt;&gt;".",up_Irr!BJ7&lt;&gt;"."),up_dir!AM7/((1/1000)*(up_Irr!L7+up_Irr!AK7+up_Irr!BJ7)),IF(AND(up_Irr!L7&lt;&gt;".",up_Irr!AK7&lt;&gt;".",up_Irr!BJ7="."),up_dir!AM7/((1/1000)*(up_Irr!L7+up_Irr!AK7)),IF(AND(up_Irr!L7&lt;&gt;".",up_Irr!AK7=".",up_Irr!BJ7&lt;&gt;"."),up_dir!AM7/((1/1000)*(up_Irr!L7+up_Irr!BJ7)),IF(AND(up_Irr!L7=".",up_Irr!AK7&lt;&gt;".",up_Irr!BJ7&lt;&gt;"."),up_dir!AM7/((1/1000)*(up_Irr!AK7+up_Irr!BJ7)),IF(AND(up_Irr!L7=".",up_Irr!AK7=".",up_Irr!BJ7&lt;&gt;"."),up_dir!AM7/((1/1000)*(up_Irr!BJ7)),IF(AND(up_Irr!L7=".",up_Irr!AK7&lt;&gt;".",up_Irr!BJ7="."),up_dir!AM7/((1/1000)*(up_Irr!AK7)),IF(AND(up_Irr!L7&lt;&gt;".",up_Irr!AK7=".",up_Irr!BJ7="."),up_dir!AM7/((1/1000)*(up_Irr!L7)),IF(AND(up_Irr!L7=".",up_Irr!AK7=".",up_Irr!BJ7="."),up_dir!AM7*1000)))))))),".")</f>
        <v>6.5773651144152123E-11</v>
      </c>
      <c r="BN7" s="76">
        <f>IFERROR(IF(AND(up_Irr!M7&lt;&gt;".",up_Irr!AL7&lt;&gt;".",up_Irr!BK7&lt;&gt;"."),up_dir!AN7/((1/1000)*(up_Irr!M7+up_Irr!AL7+up_Irr!BK7)),IF(AND(up_Irr!M7&lt;&gt;".",up_Irr!AL7&lt;&gt;".",up_Irr!BK7="."),up_dir!AN7/((1/1000)*(up_Irr!M7+up_Irr!AL7)),IF(AND(up_Irr!M7&lt;&gt;".",up_Irr!AL7=".",up_Irr!BK7&lt;&gt;"."),up_dir!AN7/((1/1000)*(up_Irr!M7+up_Irr!BK7)),IF(AND(up_Irr!M7=".",up_Irr!AL7&lt;&gt;".",up_Irr!BK7&lt;&gt;"."),up_dir!AN7/((1/1000)*(up_Irr!AL7+up_Irr!BK7)),IF(AND(up_Irr!M7=".",up_Irr!AL7=".",up_Irr!BK7&lt;&gt;"."),up_dir!AN7/((1/1000)*(up_Irr!BK7)),IF(AND(up_Irr!M7=".",up_Irr!AL7&lt;&gt;".",up_Irr!BK7="."),up_dir!AN7/((1/1000)*(up_Irr!AL7)),IF(AND(up_Irr!M7&lt;&gt;".",up_Irr!AL7=".",up_Irr!BK7="."),up_dir!AN7/((1/1000)*(up_Irr!M7)),IF(AND(up_Irr!M7=".",up_Irr!AL7=".",up_Irr!BK7="."),up_dir!AN7*1000)))))))),".")</f>
        <v>6.5773651144152123E-11</v>
      </c>
      <c r="BO7" s="76">
        <f>IFERROR(IF(AND(up_Irr!N7&lt;&gt;".",up_Irr!AM7&lt;&gt;".",up_Irr!BL7&lt;&gt;"."),up_dir!AO7/((1/1000)*(up_Irr!N7+up_Irr!AM7+up_Irr!BL7)),IF(AND(up_Irr!N7&lt;&gt;".",up_Irr!AM7&lt;&gt;".",up_Irr!BL7="."),up_dir!AO7/((1/1000)*(up_Irr!N7+up_Irr!AM7)),IF(AND(up_Irr!N7&lt;&gt;".",up_Irr!AM7=".",up_Irr!BL7&lt;&gt;"."),up_dir!AO7/((1/1000)*(up_Irr!N7+up_Irr!BL7)),IF(AND(up_Irr!N7=".",up_Irr!AM7&lt;&gt;".",up_Irr!BL7&lt;&gt;"."),up_dir!AO7/((1/1000)*(up_Irr!AM7+up_Irr!BL7)),IF(AND(up_Irr!N7=".",up_Irr!AM7=".",up_Irr!BL7&lt;&gt;"."),up_dir!AO7/((1/1000)*(up_Irr!BL7)),IF(AND(up_Irr!N7=".",up_Irr!AM7&lt;&gt;".",up_Irr!BL7="."),up_dir!AO7/((1/1000)*(up_Irr!AM7)),IF(AND(up_Irr!N7&lt;&gt;".",up_Irr!AM7=".",up_Irr!BL7="."),up_dir!AO7/((1/1000)*(up_Irr!N7)),IF(AND(up_Irr!N7=".",up_Irr!AM7=".",up_Irr!BL7="."),up_dir!AO7*1000)))))))),".")</f>
        <v>6.5773651144152123E-11</v>
      </c>
      <c r="BP7" s="76">
        <f>IFERROR(IF(AND(up_Irr!O7&lt;&gt;".",up_Irr!AN7&lt;&gt;".",up_Irr!BM7&lt;&gt;"."),up_dir!AP7/((1/1000)*(up_Irr!O7+up_Irr!AN7+up_Irr!BM7)),IF(AND(up_Irr!O7&lt;&gt;".",up_Irr!AN7&lt;&gt;".",up_Irr!BM7="."),up_dir!AP7/((1/1000)*(up_Irr!O7+up_Irr!AN7)),IF(AND(up_Irr!O7&lt;&gt;".",up_Irr!AN7=".",up_Irr!BM7&lt;&gt;"."),up_dir!AP7/((1/1000)*(up_Irr!O7+up_Irr!BM7)),IF(AND(up_Irr!O7=".",up_Irr!AN7&lt;&gt;".",up_Irr!BM7&lt;&gt;"."),up_dir!AP7/((1/1000)*(up_Irr!AN7+up_Irr!BM7)),IF(AND(up_Irr!O7=".",up_Irr!AN7=".",up_Irr!BM7&lt;&gt;"."),up_dir!AP7/((1/1000)*(up_Irr!BM7)),IF(AND(up_Irr!O7=".",up_Irr!AN7&lt;&gt;".",up_Irr!BM7="."),up_dir!AP7/((1/1000)*(up_Irr!AN7)),IF(AND(up_Irr!O7&lt;&gt;".",up_Irr!AN7=".",up_Irr!BM7="."),up_dir!AP7/((1/1000)*(up_Irr!O7)),IF(AND(up_Irr!O7=".",up_Irr!AN7=".",up_Irr!BM7="."),up_dir!AP7*1000)))))))),".")</f>
        <v>6.5773651144152123E-11</v>
      </c>
      <c r="BQ7" s="76">
        <f>IFERROR(IF(AND(up_Irr!P7&lt;&gt;".",up_Irr!AO7&lt;&gt;".",up_Irr!BN7&lt;&gt;"."),up_dir!AQ7/((1/1000)*(up_Irr!P7+up_Irr!AO7+up_Irr!BN7)),IF(AND(up_Irr!P7&lt;&gt;".",up_Irr!AO7&lt;&gt;".",up_Irr!BN7="."),up_dir!AQ7/((1/1000)*(up_Irr!P7+up_Irr!AO7)),IF(AND(up_Irr!P7&lt;&gt;".",up_Irr!AO7=".",up_Irr!BN7&lt;&gt;"."),up_dir!AQ7/((1/1000)*(up_Irr!P7+up_Irr!BN7)),IF(AND(up_Irr!P7=".",up_Irr!AO7&lt;&gt;".",up_Irr!BN7&lt;&gt;"."),up_dir!AQ7/((1/1000)*(up_Irr!AO7+up_Irr!BN7)),IF(AND(up_Irr!P7=".",up_Irr!AO7=".",up_Irr!BN7&lt;&gt;"."),up_dir!AQ7/((1/1000)*(up_Irr!BN7)),IF(AND(up_Irr!P7=".",up_Irr!AO7&lt;&gt;".",up_Irr!BN7="."),up_dir!AQ7/((1/1000)*(up_Irr!AO7)),IF(AND(up_Irr!P7&lt;&gt;".",up_Irr!AO7=".",up_Irr!BN7="."),up_dir!AQ7/((1/1000)*(up_Irr!P7)),IF(AND(up_Irr!P7=".",up_Irr!AO7=".",up_Irr!BN7="."),up_dir!AQ7*1000)))))))),".")</f>
        <v>6.5773651144152123E-11</v>
      </c>
      <c r="BR7" s="76">
        <f>IFERROR(IF(AND(up_Irr!Q7&lt;&gt;".",up_Irr!AP7&lt;&gt;".",up_Irr!BO7&lt;&gt;"."),up_dir!AR7/((1/1000)*(up_Irr!Q7+up_Irr!AP7+up_Irr!BO7)),IF(AND(up_Irr!Q7&lt;&gt;".",up_Irr!AP7&lt;&gt;".",up_Irr!BO7="."),up_dir!AR7/((1/1000)*(up_Irr!Q7+up_Irr!AP7)),IF(AND(up_Irr!Q7&lt;&gt;".",up_Irr!AP7=".",up_Irr!BO7&lt;&gt;"."),up_dir!AR7/((1/1000)*(up_Irr!Q7+up_Irr!BO7)),IF(AND(up_Irr!Q7=".",up_Irr!AP7&lt;&gt;".",up_Irr!BO7&lt;&gt;"."),up_dir!AR7/((1/1000)*(up_Irr!AP7+up_Irr!BO7)),IF(AND(up_Irr!Q7=".",up_Irr!AP7=".",up_Irr!BO7&lt;&gt;"."),up_dir!AR7/((1/1000)*(up_Irr!BO7)),IF(AND(up_Irr!Q7=".",up_Irr!AP7&lt;&gt;".",up_Irr!BO7="."),up_dir!AR7/((1/1000)*(up_Irr!AP7)),IF(AND(up_Irr!Q7&lt;&gt;".",up_Irr!AP7=".",up_Irr!BO7="."),up_dir!AR7/((1/1000)*(up_Irr!Q7)),IF(AND(up_Irr!Q7=".",up_Irr!AP7=".",up_Irr!BO7="."),up_dir!AR7*1000)))))))),".")</f>
        <v>6.5773651144152123E-11</v>
      </c>
      <c r="BS7" s="76">
        <f>IFERROR(IF(AND(up_Irr!R7&lt;&gt;".",up_Irr!AQ7&lt;&gt;".",up_Irr!BP7&lt;&gt;"."),up_dir!AS7/((1/1000)*(up_Irr!R7+up_Irr!AQ7+up_Irr!BP7)),IF(AND(up_Irr!R7&lt;&gt;".",up_Irr!AQ7&lt;&gt;".",up_Irr!BP7="."),up_dir!AS7/((1/1000)*(up_Irr!R7+up_Irr!AQ7)),IF(AND(up_Irr!R7&lt;&gt;".",up_Irr!AQ7=".",up_Irr!BP7&lt;&gt;"."),up_dir!AS7/((1/1000)*(up_Irr!R7+up_Irr!BP7)),IF(AND(up_Irr!R7=".",up_Irr!AQ7&lt;&gt;".",up_Irr!BP7&lt;&gt;"."),up_dir!AS7/((1/1000)*(up_Irr!AQ7+up_Irr!BP7)),IF(AND(up_Irr!R7=".",up_Irr!AQ7=".",up_Irr!BP7&lt;&gt;"."),up_dir!AS7/((1/1000)*(up_Irr!BP7)),IF(AND(up_Irr!R7=".",up_Irr!AQ7&lt;&gt;".",up_Irr!BP7="."),up_dir!AS7/((1/1000)*(up_Irr!AQ7)),IF(AND(up_Irr!R7&lt;&gt;".",up_Irr!AQ7=".",up_Irr!BP7="."),up_dir!AS7/((1/1000)*(up_Irr!R7)),IF(AND(up_Irr!R7=".",up_Irr!AQ7=".",up_Irr!BP7="."),up_dir!AS7*1000)))))))),".")</f>
        <v>6.5773651144152123E-11</v>
      </c>
      <c r="BT7" s="76">
        <f>IFERROR(IF(AND(up_Irr!S7&lt;&gt;".",up_Irr!AR7&lt;&gt;".",up_Irr!BQ7&lt;&gt;"."),up_dir!AT7/((1/1000)*(up_Irr!S7+up_Irr!AR7+up_Irr!BQ7)),IF(AND(up_Irr!S7&lt;&gt;".",up_Irr!AR7&lt;&gt;".",up_Irr!BQ7="."),up_dir!AT7/((1/1000)*(up_Irr!S7+up_Irr!AR7)),IF(AND(up_Irr!S7&lt;&gt;".",up_Irr!AR7=".",up_Irr!BQ7&lt;&gt;"."),up_dir!AT7/((1/1000)*(up_Irr!S7+up_Irr!BQ7)),IF(AND(up_Irr!S7=".",up_Irr!AR7&lt;&gt;".",up_Irr!BQ7&lt;&gt;"."),up_dir!AT7/((1/1000)*(up_Irr!AR7+up_Irr!BQ7)),IF(AND(up_Irr!S7=".",up_Irr!AR7=".",up_Irr!BQ7&lt;&gt;"."),up_dir!AT7/((1/1000)*(up_Irr!BQ7)),IF(AND(up_Irr!S7=".",up_Irr!AR7&lt;&gt;".",up_Irr!BQ7="."),up_dir!AT7/((1/1000)*(up_Irr!AR7)),IF(AND(up_Irr!S7&lt;&gt;".",up_Irr!AR7=".",up_Irr!BQ7="."),up_dir!AT7/((1/1000)*(up_Irr!S7)),IF(AND(up_Irr!S7=".",up_Irr!AR7=".",up_Irr!BQ7="."),up_dir!AT7*1000)))))))),".")</f>
        <v>6.5773651144152123E-11</v>
      </c>
      <c r="BU7" s="76">
        <f>IFERROR(IF(AND(up_Irr!T7&lt;&gt;".",up_Irr!AS7&lt;&gt;".",up_Irr!BR7&lt;&gt;"."),up_dir!AU7/((1/1000)*(up_Irr!T7+up_Irr!AS7+up_Irr!BR7)),IF(AND(up_Irr!T7&lt;&gt;".",up_Irr!AS7&lt;&gt;".",up_Irr!BR7="."),up_dir!AU7/((1/1000)*(up_Irr!T7+up_Irr!AS7)),IF(AND(up_Irr!T7&lt;&gt;".",up_Irr!AS7=".",up_Irr!BR7&lt;&gt;"."),up_dir!AU7/((1/1000)*(up_Irr!T7+up_Irr!BR7)),IF(AND(up_Irr!T7=".",up_Irr!AS7&lt;&gt;".",up_Irr!BR7&lt;&gt;"."),up_dir!AU7/((1/1000)*(up_Irr!AS7+up_Irr!BR7)),IF(AND(up_Irr!T7=".",up_Irr!AS7=".",up_Irr!BR7&lt;&gt;"."),up_dir!AU7/((1/1000)*(up_Irr!BR7)),IF(AND(up_Irr!T7=".",up_Irr!AS7&lt;&gt;".",up_Irr!BR7="."),up_dir!AU7/((1/1000)*(up_Irr!AS7)),IF(AND(up_Irr!T7&lt;&gt;".",up_Irr!AS7=".",up_Irr!BR7="."),up_dir!AU7/((1/1000)*(up_Irr!T7)),IF(AND(up_Irr!T7=".",up_Irr!AS7=".",up_Irr!BR7="."),up_dir!AU7*1000)))))))),".")</f>
        <v>6.5773651144152123E-11</v>
      </c>
      <c r="BV7" s="76">
        <f>IFERROR(IF(AND(up_Irr!U7&lt;&gt;".",up_Irr!AT7&lt;&gt;".",up_Irr!BS7&lt;&gt;"."),up_dir!AV7/((1/1000)*(up_Irr!U7+up_Irr!AT7+up_Irr!BS7)),IF(AND(up_Irr!U7&lt;&gt;".",up_Irr!AT7&lt;&gt;".",up_Irr!BS7="."),up_dir!AV7/((1/1000)*(up_Irr!U7+up_Irr!AT7)),IF(AND(up_Irr!U7&lt;&gt;".",up_Irr!AT7=".",up_Irr!BS7&lt;&gt;"."),up_dir!AV7/((1/1000)*(up_Irr!U7+up_Irr!BS7)),IF(AND(up_Irr!U7=".",up_Irr!AT7&lt;&gt;".",up_Irr!BS7&lt;&gt;"."),up_dir!AV7/((1/1000)*(up_Irr!AT7+up_Irr!BS7)),IF(AND(up_Irr!U7=".",up_Irr!AT7=".",up_Irr!BS7&lt;&gt;"."),up_dir!AV7/((1/1000)*(up_Irr!BS7)),IF(AND(up_Irr!U7=".",up_Irr!AT7&lt;&gt;".",up_Irr!BS7="."),up_dir!AV7/((1/1000)*(up_Irr!AT7)),IF(AND(up_Irr!U7&lt;&gt;".",up_Irr!AT7=".",up_Irr!BS7="."),up_dir!AV7/((1/1000)*(up_Irr!U7)),IF(AND(up_Irr!U7=".",up_Irr!AT7=".",up_Irr!BS7="."),up_dir!AV7*1000)))))))),".")</f>
        <v>6.5773651144152123E-11</v>
      </c>
      <c r="BW7" s="76">
        <f>IFERROR(IF(AND(up_Irr!V7&lt;&gt;".",up_Irr!AU7&lt;&gt;".",up_Irr!BT7&lt;&gt;"."),up_dir!AW7/((1/1000)*(up_Irr!V7+up_Irr!AU7+up_Irr!BT7)),IF(AND(up_Irr!V7&lt;&gt;".",up_Irr!AU7&lt;&gt;".",up_Irr!BT7="."),up_dir!AW7/((1/1000)*(up_Irr!V7+up_Irr!AU7)),IF(AND(up_Irr!V7&lt;&gt;".",up_Irr!AU7=".",up_Irr!BT7&lt;&gt;"."),up_dir!AW7/((1/1000)*(up_Irr!V7+up_Irr!BT7)),IF(AND(up_Irr!V7=".",up_Irr!AU7&lt;&gt;".",up_Irr!BT7&lt;&gt;"."),up_dir!AW7/((1/1000)*(up_Irr!AU7+up_Irr!BT7)),IF(AND(up_Irr!V7=".",up_Irr!AU7=".",up_Irr!BT7&lt;&gt;"."),up_dir!AW7/((1/1000)*(up_Irr!BT7)),IF(AND(up_Irr!V7=".",up_Irr!AU7&lt;&gt;".",up_Irr!BT7="."),up_dir!AW7/((1/1000)*(up_Irr!AU7)),IF(AND(up_Irr!V7&lt;&gt;".",up_Irr!AU7=".",up_Irr!BT7="."),up_dir!AW7/((1/1000)*(up_Irr!V7)),IF(AND(up_Irr!V7=".",up_Irr!AU7=".",up_Irr!BT7="."),up_dir!AW7*1000)))))))),".")</f>
        <v>6.5773651144152123E-11</v>
      </c>
      <c r="BX7" s="76">
        <f>IFERROR(IF(AND(up_Irr!W7&lt;&gt;".",up_Irr!AV7&lt;&gt;".",up_Irr!BU7&lt;&gt;"."),up_dir!AX7/((1/1000)*(up_Irr!W7+up_Irr!AV7+up_Irr!BU7)),IF(AND(up_Irr!W7&lt;&gt;".",up_Irr!AV7&lt;&gt;".",up_Irr!BU7="."),up_dir!AX7/((1/1000)*(up_Irr!W7+up_Irr!AV7)),IF(AND(up_Irr!W7&lt;&gt;".",up_Irr!AV7=".",up_Irr!BU7&lt;&gt;"."),up_dir!AX7/((1/1000)*(up_Irr!W7+up_Irr!BU7)),IF(AND(up_Irr!W7=".",up_Irr!AV7&lt;&gt;".",up_Irr!BU7&lt;&gt;"."),up_dir!AX7/((1/1000)*(up_Irr!AV7+up_Irr!BU7)),IF(AND(up_Irr!W7=".",up_Irr!AV7=".",up_Irr!BU7&lt;&gt;"."),up_dir!AX7/((1/1000)*(up_Irr!BU7)),IF(AND(up_Irr!W7=".",up_Irr!AV7&lt;&gt;".",up_Irr!BU7="."),up_dir!AX7/((1/1000)*(up_Irr!AV7)),IF(AND(up_Irr!W7&lt;&gt;".",up_Irr!AV7=".",up_Irr!BU7="."),up_dir!AX7/((1/1000)*(up_Irr!W7)),IF(AND(up_Irr!W7=".",up_Irr!AV7=".",up_Irr!BU7="."),up_dir!AX7*1000)))))))),".")</f>
        <v>6.5773651144152123E-11</v>
      </c>
      <c r="BY7" s="76">
        <f>IFERROR(IF(AND(up_Irr!X7&lt;&gt;".",up_Irr!AW7&lt;&gt;".",up_Irr!BV7&lt;&gt;"."),up_dir!AY7/((1/1000)*(up_Irr!X7+up_Irr!AW7+up_Irr!BV7)),IF(AND(up_Irr!X7&lt;&gt;".",up_Irr!AW7&lt;&gt;".",up_Irr!BV7="."),up_dir!AY7/((1/1000)*(up_Irr!X7+up_Irr!AW7)),IF(AND(up_Irr!X7&lt;&gt;".",up_Irr!AW7=".",up_Irr!BV7&lt;&gt;"."),up_dir!AY7/((1/1000)*(up_Irr!X7+up_Irr!BV7)),IF(AND(up_Irr!X7=".",up_Irr!AW7&lt;&gt;".",up_Irr!BV7&lt;&gt;"."),up_dir!AY7/((1/1000)*(up_Irr!AW7+up_Irr!BV7)),IF(AND(up_Irr!X7=".",up_Irr!AW7=".",up_Irr!BV7&lt;&gt;"."),up_dir!AY7/((1/1000)*(up_Irr!BV7)),IF(AND(up_Irr!X7=".",up_Irr!AW7&lt;&gt;".",up_Irr!BV7="."),up_dir!AY7/((1/1000)*(up_Irr!AW7)),IF(AND(up_Irr!X7&lt;&gt;".",up_Irr!AW7=".",up_Irr!BV7="."),up_dir!AY7/((1/1000)*(up_Irr!X7)),IF(AND(up_Irr!X7=".",up_Irr!AW7=".",up_Irr!BV7="."),up_dir!AY7*1000)))))))),".")</f>
        <v>6.5773651144152123E-11</v>
      </c>
      <c r="BZ7" s="76">
        <f>IFERROR(IF(AND(up_Irr!Y7&lt;&gt;".",up_Irr!AX7&lt;&gt;".",up_Irr!BW7&lt;&gt;"."),up_dir!AZ7/((1/1000)*(up_Irr!Y7+up_Irr!AX7+up_Irr!BW7)),IF(AND(up_Irr!Y7&lt;&gt;".",up_Irr!AX7&lt;&gt;".",up_Irr!BW7="."),up_dir!AZ7/((1/1000)*(up_Irr!Y7+up_Irr!AX7)),IF(AND(up_Irr!Y7&lt;&gt;".",up_Irr!AX7=".",up_Irr!BW7&lt;&gt;"."),up_dir!AZ7/((1/1000)*(up_Irr!Y7+up_Irr!BW7)),IF(AND(up_Irr!Y7=".",up_Irr!AX7&lt;&gt;".",up_Irr!BW7&lt;&gt;"."),up_dir!AZ7/((1/1000)*(up_Irr!AX7+up_Irr!BW7)),IF(AND(up_Irr!Y7=".",up_Irr!AX7=".",up_Irr!BW7&lt;&gt;"."),up_dir!AZ7/((1/1000)*(up_Irr!BW7)),IF(AND(up_Irr!Y7=".",up_Irr!AX7&lt;&gt;".",up_Irr!BW7="."),up_dir!AZ7/((1/1000)*(up_Irr!AX7)),IF(AND(up_Irr!Y7&lt;&gt;".",up_Irr!AX7=".",up_Irr!BW7="."),up_dir!AZ7/((1/1000)*(up_Irr!Y7)),IF(AND(up_Irr!Y7=".",up_Irr!AX7=".",up_Irr!BW7="."),up_dir!AZ7*1000)))))))),".")</f>
        <v>6.5773651144152123E-11</v>
      </c>
      <c r="CA7" s="76">
        <f>IFERROR(IF(AND(up_Irr!Z7&lt;&gt;".",up_Irr!AY7&lt;&gt;".",up_Irr!BX7&lt;&gt;"."),up_dir!BA7/((1/1000)*(up_Irr!Z7+up_Irr!AY7+up_Irr!BX7)),IF(AND(up_Irr!Z7&lt;&gt;".",up_Irr!AY7&lt;&gt;".",up_Irr!BX7="."),up_dir!BA7/((1/1000)*(up_Irr!Z7+up_Irr!AY7)),IF(AND(up_Irr!Z7&lt;&gt;".",up_Irr!AY7=".",up_Irr!BX7&lt;&gt;"."),up_dir!BA7/((1/1000)*(up_Irr!Z7+up_Irr!BX7)),IF(AND(up_Irr!Z7=".",up_Irr!AY7&lt;&gt;".",up_Irr!BX7&lt;&gt;"."),up_dir!BA7/((1/1000)*(up_Irr!AY7+up_Irr!BX7)),IF(AND(up_Irr!Z7=".",up_Irr!AY7=".",up_Irr!BX7&lt;&gt;"."),up_dir!BA7/((1/1000)*(up_Irr!BX7)),IF(AND(up_Irr!Z7=".",up_Irr!AY7&lt;&gt;".",up_Irr!BX7="."),up_dir!BA7/((1/1000)*(up_Irr!AY7)),IF(AND(up_Irr!Z7&lt;&gt;".",up_Irr!AY7=".",up_Irr!BX7="."),up_dir!BA7/((1/1000)*(up_Irr!Z7)),IF(AND(up_Irr!Z7=".",up_Irr!AY7=".",up_Irr!BX7="."),up_dir!BA7*1000)))))))),".")</f>
        <v>6.5773651144152123E-11</v>
      </c>
      <c r="CB7" s="76">
        <f>IFERROR(IF(AND(up_Irr!AA7&lt;&gt;".",up_Irr!AZ7&lt;&gt;".",up_Irr!BY7&lt;&gt;"."),up_dir!BB7/((1/1000)*(up_Irr!AA7+up_Irr!AZ7+up_Irr!BY7)),IF(AND(up_Irr!AA7&lt;&gt;".",up_Irr!AZ7&lt;&gt;".",up_Irr!BY7="."),up_dir!BB7/((1/1000)*(up_Irr!AA7+up_Irr!AZ7)),IF(AND(up_Irr!AA7&lt;&gt;".",up_Irr!AZ7=".",up_Irr!BY7&lt;&gt;"."),up_dir!BB7/((1/1000)*(up_Irr!AA7+up_Irr!BY7)),IF(AND(up_Irr!AA7=".",up_Irr!AZ7&lt;&gt;".",up_Irr!BY7&lt;&gt;"."),up_dir!BB7/((1/1000)*(up_Irr!AZ7+up_Irr!BY7)),IF(AND(up_Irr!AA7=".",up_Irr!AZ7=".",up_Irr!BY7&lt;&gt;"."),up_dir!BB7/((1/1000)*(up_Irr!BY7)),IF(AND(up_Irr!AA7=".",up_Irr!AZ7&lt;&gt;".",up_Irr!BY7="."),up_dir!BB7/((1/1000)*(up_Irr!AZ7)),IF(AND(up_Irr!AA7&lt;&gt;".",up_Irr!AZ7=".",up_Irr!BY7="."),up_dir!BB7/((1/1000)*(up_Irr!AA7)),IF(AND(up_Irr!AA7=".",up_Irr!AZ7=".",up_Irr!BY7="."),up_dir!BB7*1000)))))))),".")</f>
        <v>6.5773651144152123E-11</v>
      </c>
      <c r="CC7" s="93">
        <f t="shared" si="3"/>
        <v>608146.26076229871</v>
      </c>
      <c r="CD7" s="93">
        <f>IFERROR(s_C*s_IFAP_far_adj*s_CF_apple*(1/1000)*(up_Irr!C7+up_Irr!AB7+up_Irr!BA7),".")</f>
        <v>152036.56519057468</v>
      </c>
      <c r="CE7" s="93">
        <f>IFERROR(s_C*s_IFAS_far_adj*s_CF_asparagus*(1/1000)*(up_Irr!D7+up_Irr!AC7+up_Irr!BB7),".")</f>
        <v>152036.56519057468</v>
      </c>
      <c r="CF7" s="93">
        <f>IFERROR(s_C*s_IFBT_far_adj*s_CF_beet*(1/1000)*(up_Irr!E7+up_Irr!AD7+up_Irr!BC7),".")</f>
        <v>152036.56519057468</v>
      </c>
      <c r="CG7" s="93">
        <f>IFERROR(s_C*s_IFBE_far_adj*s_CF_berries*(1/1000)*(up_Irr!F7+up_Irr!AE7+up_Irr!BD7),".")</f>
        <v>152036.56519057468</v>
      </c>
      <c r="CH7" s="93">
        <f>IFERROR(s_C*s_IFBR_far_adj*s_CF_broccoli*(1/1000)*(up_Irr!G7+up_Irr!AF7+up_Irr!BE7),".")</f>
        <v>152036.56519057468</v>
      </c>
      <c r="CI7" s="93">
        <f>IFERROR(s_C*s_IFCB_far_adj*s_CF_cabbage*(1/1000)*(up_Irr!H7+up_Irr!AG7+up_Irr!BF7),".")</f>
        <v>152036.56519057468</v>
      </c>
      <c r="CJ7" s="93">
        <f>IFERROR(s_C*s_IFCR_far_adj*s_CF_carrot*(1/1000)*(up_Irr!I7+up_Irr!AH7+up_Irr!BG7),".")</f>
        <v>152036.56519057468</v>
      </c>
      <c r="CK7" s="93">
        <f>IFERROR(s_C*s_IFCI_far_adj*s_CF_citrus*(1/1000)*(up_Irr!J7+up_Irr!AI7+up_Irr!BH7),".")</f>
        <v>152036.56519057468</v>
      </c>
      <c r="CL7" s="93">
        <f>IFERROR(s_C*s_IFCO_far_adj*s_CF_corn*(1/1000)*(up_Irr!K7+up_Irr!AJ7+up_Irr!BI7),".")</f>
        <v>152036.56519057468</v>
      </c>
      <c r="CM7" s="93">
        <f>IFERROR(s_C*s_IFCU_far_adj*s_CF_cucumber*(1/1000)*(up_Irr!L7+up_Irr!AK7+up_Irr!BJ7),".")</f>
        <v>152036.56519057468</v>
      </c>
      <c r="CN7" s="93">
        <f>IFERROR(s_C*s_IFLE_far_adj*s_CF_lettuce*(1/1000)*(up_Irr!M7+up_Irr!AL7+up_Irr!BK7),".")</f>
        <v>152036.56519057468</v>
      </c>
      <c r="CO7" s="93">
        <f>IFERROR(s_C*s_IFLI_far_adj*s_CF_lima_bean*(1/1000)*(up_Irr!N7+up_Irr!AM7+up_Irr!BL7),".")</f>
        <v>152036.56519057468</v>
      </c>
      <c r="CP7" s="93">
        <f>IFERROR(s_C*s_IFOK_far_adj*s_CF_okra*(1/1000)*(up_Irr!O7+up_Irr!AN7+up_Irr!BM7),".")</f>
        <v>152036.56519057468</v>
      </c>
      <c r="CQ7" s="93">
        <f>IFERROR(s_C*s_IFON_far_adj*s_CF_onion*(1/1000)*(up_Irr!P7+up_Irr!AO7+up_Irr!BN7),".")</f>
        <v>152036.56519057468</v>
      </c>
      <c r="CR7" s="93">
        <f>IFERROR(s_C*s_IFPC_far_adj*s_CF_peach*(1/1000)*(up_Irr!Q7+up_Irr!AP7+up_Irr!BO7),".")</f>
        <v>152036.56519057468</v>
      </c>
      <c r="CS7" s="93">
        <f>IFERROR(s_C*s_IFPR_far_adj*s_CF_pear*(1/1000)*(up_Irr!R7+up_Irr!AQ7+up_Irr!BP7),".")</f>
        <v>152036.56519057468</v>
      </c>
      <c r="CT7" s="93">
        <f>IFERROR(s_C*s_IFPE_far_adj*s_CF_peas*(1/1000)*(up_Irr!S7+up_Irr!AR7+up_Irr!BQ7),".")</f>
        <v>152036.56519057468</v>
      </c>
      <c r="CU7" s="93">
        <f>IFERROR(s_C*s_IFPP_far_adj*s_CF_peppers*(1/1000)*(up_Irr!T7+up_Irr!AS7+up_Irr!BR7),".")</f>
        <v>152036.56519057468</v>
      </c>
      <c r="CV7" s="93">
        <f>IFERROR(s_C*s_IFPT_far_adj*s_CF_potato*(1/1000)*(up_Irr!U7+up_Irr!AT7+up_Irr!BS7),".")</f>
        <v>152036.56519057468</v>
      </c>
      <c r="CW7" s="93">
        <f>IFERROR(s_C*s_IFPU_far_adj*s_CF_pumpkin*(1/1000)*(up_Irr!V7+up_Irr!AU7+up_Irr!BT7),".")</f>
        <v>152036.56519057468</v>
      </c>
      <c r="CX7" s="93">
        <f>IFERROR(s_C*s_IFSN_far_adj*s_CF_snap_bean*(1/1000)*(up_Irr!W7+up_Irr!AV7+up_Irr!BU7),".")</f>
        <v>152036.56519057468</v>
      </c>
      <c r="CY7" s="93">
        <f>IFERROR(s_C*s_IFST_far_adj*s_CF_strawberry*(1/1000)*(up_Irr!X7+up_Irr!AW7+up_Irr!BV7),".")</f>
        <v>152036.56519057468</v>
      </c>
      <c r="CZ7" s="93">
        <f>IFERROR(s_C*s_IFTO_far_adj*s_CF_tomato*(1/1000)*(up_Irr!Y7+up_Irr!AX7+up_Irr!BW7),".")</f>
        <v>152036.56519057468</v>
      </c>
      <c r="DA7" s="93">
        <f>IFERROR(s_C*s_IFRI_far_adj*s_CF_rice*(1/1000)*(up_Irr!Z7+up_Irr!AY7+up_Irr!BX7),".")</f>
        <v>152036.56519057468</v>
      </c>
      <c r="DB7" s="93">
        <f>IFERROR(s_C*s_IFCG_far_adj*s_CF_cereal*(1/1000)*(up_Irr!AA7+up_Irr!AZ7+up_Irr!BY7),".")</f>
        <v>152036.56519057468</v>
      </c>
    </row>
    <row r="8" spans="1:106" ht="15" customHeight="1" x14ac:dyDescent="0.25">
      <c r="A8" s="92" t="s">
        <v>18</v>
      </c>
      <c r="B8" s="90" t="s">
        <v>1071</v>
      </c>
      <c r="C8" s="15">
        <f t="shared" si="0"/>
        <v>1.6443412786038031E-11</v>
      </c>
      <c r="D8" s="76">
        <f>IFERROR(IF(AND(up_Irr!C8&lt;&gt;".",up_Irr!AB8&lt;&gt;".",up_Irr!BA8&lt;&gt;"."),up_dir!D8/((1/1000)*(up_Irr!C8+up_Irr!AB8+up_Irr!BA8)),IF(AND(up_Irr!C8&lt;&gt;".",up_Irr!AB8&lt;&gt;".",up_Irr!BA8="."),up_dir!D8/((1/1000)*(up_Irr!C8+up_Irr!AB8)),IF(AND(up_Irr!C8&lt;&gt;".",up_Irr!AB8=".",up_Irr!BA8&lt;&gt;"."),up_dir!D8/((1/1000)*(up_Irr!C8+up_Irr!BA8)),IF(AND(up_Irr!C8=".",up_Irr!AB8&lt;&gt;".",up_Irr!BA8&lt;&gt;"."),up_dir!D8/((1/1000)*(up_Irr!AB8+up_Irr!BA8)),IF(AND(up_Irr!C8=".",up_Irr!AB8=".",up_Irr!BA8&lt;&gt;"."),up_dir!D8/((1/1000)*(up_Irr!BA8)),IF(AND(up_Irr!C8=".",up_Irr!AB8&lt;&gt;".",up_Irr!BA8="."),up_dir!D8/((1/1000)*(up_Irr!AB8)),IF(AND(up_Irr!C8&lt;&gt;".",up_Irr!AB8=".",up_Irr!BA8="."),up_dir!D8/((1/1000)*(up_Irr!C8)),IF(AND(up_Irr!C8=".",up_Irr!AB8=".",up_Irr!BA8="."),up_dir!D8*1000)))))))),".")</f>
        <v>6.5773651144152123E-11</v>
      </c>
      <c r="E8" s="76">
        <f>IFERROR(IF(AND(up_Irr!D8&lt;&gt;".",up_Irr!AC8&lt;&gt;".",up_Irr!BB8&lt;&gt;"."),up_dir!E8/((1/1000)*(up_Irr!D8+up_Irr!AC8+up_Irr!BB8)),IF(AND(up_Irr!D8&lt;&gt;".",up_Irr!AC8&lt;&gt;".",up_Irr!BB8="."),up_dir!E8/((1/1000)*(up_Irr!D8+up_Irr!AC8)),IF(AND(up_Irr!D8&lt;&gt;".",up_Irr!AC8=".",up_Irr!BB8&lt;&gt;"."),up_dir!E8/((1/1000)*(up_Irr!D8+up_Irr!BB8)),IF(AND(up_Irr!D8=".",up_Irr!AC8&lt;&gt;".",up_Irr!BB8&lt;&gt;"."),up_dir!E8/((1/1000)*(up_Irr!AC8+up_Irr!BB8)),IF(AND(up_Irr!D8=".",up_Irr!AC8=".",up_Irr!BB8&lt;&gt;"."),up_dir!E8/((1/1000)*(up_Irr!BB8)),IF(AND(up_Irr!D8=".",up_Irr!AC8&lt;&gt;".",up_Irr!BB8="."),up_dir!E8/((1/1000)*(up_Irr!AC8)),IF(AND(up_Irr!D8&lt;&gt;".",up_Irr!AC8=".",up_Irr!BB8="."),up_dir!E8/((1/1000)*(up_Irr!D8)),IF(AND(up_Irr!D8=".",up_Irr!AC8=".",up_Irr!BB8="."),up_dir!E8*1000)))))))),".")</f>
        <v>6.5773651144152123E-11</v>
      </c>
      <c r="F8" s="76">
        <f>IFERROR(IF(AND(up_Irr!E8&lt;&gt;".",up_Irr!AD8&lt;&gt;".",up_Irr!BC8&lt;&gt;"."),up_dir!F8/((1/1000)*(up_Irr!E8+up_Irr!AD8+up_Irr!BC8)),IF(AND(up_Irr!E8&lt;&gt;".",up_Irr!AD8&lt;&gt;".",up_Irr!BC8="."),up_dir!F8/((1/1000)*(up_Irr!E8+up_Irr!AD8)),IF(AND(up_Irr!E8&lt;&gt;".",up_Irr!AD8=".",up_Irr!BC8&lt;&gt;"."),up_dir!F8/((1/1000)*(up_Irr!E8+up_Irr!BC8)),IF(AND(up_Irr!E8=".",up_Irr!AD8&lt;&gt;".",up_Irr!BC8&lt;&gt;"."),up_dir!F8/((1/1000)*(up_Irr!AD8+up_Irr!BC8)),IF(AND(up_Irr!E8=".",up_Irr!AD8=".",up_Irr!BC8&lt;&gt;"."),up_dir!F8/((1/1000)*(up_Irr!BC8)),IF(AND(up_Irr!E8=".",up_Irr!AD8&lt;&gt;".",up_Irr!BC8="."),up_dir!F8/((1/1000)*(up_Irr!AD8)),IF(AND(up_Irr!E8&lt;&gt;".",up_Irr!AD8=".",up_Irr!BC8="."),up_dir!F8/((1/1000)*(up_Irr!E8)),IF(AND(up_Irr!E8=".",up_Irr!AD8=".",up_Irr!BC8="."),up_dir!F8*1000)))))))),".")</f>
        <v>6.5773651144152123E-11</v>
      </c>
      <c r="G8" s="76">
        <f>IFERROR(IF(AND(up_Irr!F8&lt;&gt;".",up_Irr!AE8&lt;&gt;".",up_Irr!BD8&lt;&gt;"."),up_dir!G8/((1/1000)*(up_Irr!F8+up_Irr!AE8+up_Irr!BD8)),IF(AND(up_Irr!F8&lt;&gt;".",up_Irr!AE8&lt;&gt;".",up_Irr!BD8="."),up_dir!G8/((1/1000)*(up_Irr!F8+up_Irr!AE8)),IF(AND(up_Irr!F8&lt;&gt;".",up_Irr!AE8=".",up_Irr!BD8&lt;&gt;"."),up_dir!G8/((1/1000)*(up_Irr!F8+up_Irr!BD8)),IF(AND(up_Irr!F8=".",up_Irr!AE8&lt;&gt;".",up_Irr!BD8&lt;&gt;"."),up_dir!G8/((1/1000)*(up_Irr!AE8+up_Irr!BD8)),IF(AND(up_Irr!F8=".",up_Irr!AE8=".",up_Irr!BD8&lt;&gt;"."),up_dir!G8/((1/1000)*(up_Irr!BD8)),IF(AND(up_Irr!F8=".",up_Irr!AE8&lt;&gt;".",up_Irr!BD8="."),up_dir!G8/((1/1000)*(up_Irr!AE8)),IF(AND(up_Irr!F8&lt;&gt;".",up_Irr!AE8=".",up_Irr!BD8="."),up_dir!G8/((1/1000)*(up_Irr!F8)),IF(AND(up_Irr!F8=".",up_Irr!AE8=".",up_Irr!BD8="."),up_dir!G8*1000)))))))),".")</f>
        <v>6.5773651144152123E-11</v>
      </c>
      <c r="H8" s="76">
        <f>IFERROR(IF(AND(up_Irr!G8&lt;&gt;".",up_Irr!AF8&lt;&gt;".",up_Irr!BE8&lt;&gt;"."),up_dir!H8/((1/1000)*(up_Irr!G8+up_Irr!AF8+up_Irr!BE8)),IF(AND(up_Irr!G8&lt;&gt;".",up_Irr!AF8&lt;&gt;".",up_Irr!BE8="."),up_dir!H8/((1/1000)*(up_Irr!G8+up_Irr!AF8)),IF(AND(up_Irr!G8&lt;&gt;".",up_Irr!AF8=".",up_Irr!BE8&lt;&gt;"."),up_dir!H8/((1/1000)*(up_Irr!G8+up_Irr!BE8)),IF(AND(up_Irr!G8=".",up_Irr!AF8&lt;&gt;".",up_Irr!BE8&lt;&gt;"."),up_dir!H8/((1/1000)*(up_Irr!AF8+up_Irr!BE8)),IF(AND(up_Irr!G8=".",up_Irr!AF8=".",up_Irr!BE8&lt;&gt;"."),up_dir!H8/((1/1000)*(up_Irr!BE8)),IF(AND(up_Irr!G8=".",up_Irr!AF8&lt;&gt;".",up_Irr!BE8="."),up_dir!H8/((1/1000)*(up_Irr!AF8)),IF(AND(up_Irr!G8&lt;&gt;".",up_Irr!AF8=".",up_Irr!BE8="."),up_dir!H8/((1/1000)*(up_Irr!G8)),IF(AND(up_Irr!G8=".",up_Irr!AF8=".",up_Irr!BE8="."),up_dir!H8*1000)))))))),".")</f>
        <v>6.5773651144152123E-11</v>
      </c>
      <c r="I8" s="76">
        <f>IFERROR(IF(AND(up_Irr!H8&lt;&gt;".",up_Irr!AG8&lt;&gt;".",up_Irr!BF8&lt;&gt;"."),up_dir!I8/((1/1000)*(up_Irr!H8+up_Irr!AG8+up_Irr!BF8)),IF(AND(up_Irr!H8&lt;&gt;".",up_Irr!AG8&lt;&gt;".",up_Irr!BF8="."),up_dir!I8/((1/1000)*(up_Irr!H8+up_Irr!AG8)),IF(AND(up_Irr!H8&lt;&gt;".",up_Irr!AG8=".",up_Irr!BF8&lt;&gt;"."),up_dir!I8/((1/1000)*(up_Irr!H8+up_Irr!BF8)),IF(AND(up_Irr!H8=".",up_Irr!AG8&lt;&gt;".",up_Irr!BF8&lt;&gt;"."),up_dir!I8/((1/1000)*(up_Irr!AG8+up_Irr!BF8)),IF(AND(up_Irr!H8=".",up_Irr!AG8=".",up_Irr!BF8&lt;&gt;"."),up_dir!I8/((1/1000)*(up_Irr!BF8)),IF(AND(up_Irr!H8=".",up_Irr!AG8&lt;&gt;".",up_Irr!BF8="."),up_dir!I8/((1/1000)*(up_Irr!AG8)),IF(AND(up_Irr!H8&lt;&gt;".",up_Irr!AG8=".",up_Irr!BF8="."),up_dir!I8/((1/1000)*(up_Irr!H8)),IF(AND(up_Irr!H8=".",up_Irr!AG8=".",up_Irr!BF8="."),up_dir!I8*1000)))))))),".")</f>
        <v>6.5773651144152123E-11</v>
      </c>
      <c r="J8" s="76">
        <f>IFERROR(IF(AND(up_Irr!I8&lt;&gt;".",up_Irr!AH8&lt;&gt;".",up_Irr!BG8&lt;&gt;"."),up_dir!J8/((1/1000)*(up_Irr!I8+up_Irr!AH8+up_Irr!BG8)),IF(AND(up_Irr!I8&lt;&gt;".",up_Irr!AH8&lt;&gt;".",up_Irr!BG8="."),up_dir!J8/((1/1000)*(up_Irr!I8+up_Irr!AH8)),IF(AND(up_Irr!I8&lt;&gt;".",up_Irr!AH8=".",up_Irr!BG8&lt;&gt;"."),up_dir!J8/((1/1000)*(up_Irr!I8+up_Irr!BG8)),IF(AND(up_Irr!I8=".",up_Irr!AH8&lt;&gt;".",up_Irr!BG8&lt;&gt;"."),up_dir!J8/((1/1000)*(up_Irr!AH8+up_Irr!BG8)),IF(AND(up_Irr!I8=".",up_Irr!AH8=".",up_Irr!BG8&lt;&gt;"."),up_dir!J8/((1/1000)*(up_Irr!BG8)),IF(AND(up_Irr!I8=".",up_Irr!AH8&lt;&gt;".",up_Irr!BG8="."),up_dir!J8/((1/1000)*(up_Irr!AH8)),IF(AND(up_Irr!I8&lt;&gt;".",up_Irr!AH8=".",up_Irr!BG8="."),up_dir!J8/((1/1000)*(up_Irr!I8)),IF(AND(up_Irr!I8=".",up_Irr!AH8=".",up_Irr!BG8="."),up_dir!J8*1000)))))))),".")</f>
        <v>6.5773651144152123E-11</v>
      </c>
      <c r="K8" s="76">
        <f>IFERROR(IF(AND(up_Irr!J8&lt;&gt;".",up_Irr!AI8&lt;&gt;".",up_Irr!BH8&lt;&gt;"."),up_dir!K8/((1/1000)*(up_Irr!J8+up_Irr!AI8+up_Irr!BH8)),IF(AND(up_Irr!J8&lt;&gt;".",up_Irr!AI8&lt;&gt;".",up_Irr!BH8="."),up_dir!K8/((1/1000)*(up_Irr!J8+up_Irr!AI8)),IF(AND(up_Irr!J8&lt;&gt;".",up_Irr!AI8=".",up_Irr!BH8&lt;&gt;"."),up_dir!K8/((1/1000)*(up_Irr!J8+up_Irr!BH8)),IF(AND(up_Irr!J8=".",up_Irr!AI8&lt;&gt;".",up_Irr!BH8&lt;&gt;"."),up_dir!K8/((1/1000)*(up_Irr!AI8+up_Irr!BH8)),IF(AND(up_Irr!J8=".",up_Irr!AI8=".",up_Irr!BH8&lt;&gt;"."),up_dir!K8/((1/1000)*(up_Irr!BH8)),IF(AND(up_Irr!J8=".",up_Irr!AI8&lt;&gt;".",up_Irr!BH8="."),up_dir!K8/((1/1000)*(up_Irr!AI8)),IF(AND(up_Irr!J8&lt;&gt;".",up_Irr!AI8=".",up_Irr!BH8="."),up_dir!K8/((1/1000)*(up_Irr!J8)),IF(AND(up_Irr!J8=".",up_Irr!AI8=".",up_Irr!BH8="."),up_dir!K8*1000)))))))),".")</f>
        <v>6.5773651144152123E-11</v>
      </c>
      <c r="L8" s="76">
        <f>IFERROR(IF(AND(up_Irr!K8&lt;&gt;".",up_Irr!AJ8&lt;&gt;".",up_Irr!BI8&lt;&gt;"."),up_dir!L8/((1/1000)*(up_Irr!K8+up_Irr!AJ8+up_Irr!BI8)),IF(AND(up_Irr!K8&lt;&gt;".",up_Irr!AJ8&lt;&gt;".",up_Irr!BI8="."),up_dir!L8/((1/1000)*(up_Irr!K8+up_Irr!AJ8)),IF(AND(up_Irr!K8&lt;&gt;".",up_Irr!AJ8=".",up_Irr!BI8&lt;&gt;"."),up_dir!L8/((1/1000)*(up_Irr!K8+up_Irr!BI8)),IF(AND(up_Irr!K8=".",up_Irr!AJ8&lt;&gt;".",up_Irr!BI8&lt;&gt;"."),up_dir!L8/((1/1000)*(up_Irr!AJ8+up_Irr!BI8)),IF(AND(up_Irr!K8=".",up_Irr!AJ8=".",up_Irr!BI8&lt;&gt;"."),up_dir!L8/((1/1000)*(up_Irr!BI8)),IF(AND(up_Irr!K8=".",up_Irr!AJ8&lt;&gt;".",up_Irr!BI8="."),up_dir!L8/((1/1000)*(up_Irr!AJ8)),IF(AND(up_Irr!K8&lt;&gt;".",up_Irr!AJ8=".",up_Irr!BI8="."),up_dir!L8/((1/1000)*(up_Irr!K8)),IF(AND(up_Irr!K8=".",up_Irr!AJ8=".",up_Irr!BI8="."),up_dir!L8*1000)))))))),".")</f>
        <v>6.5773651144152123E-11</v>
      </c>
      <c r="M8" s="76">
        <f>IFERROR(IF(AND(up_Irr!L8&lt;&gt;".",up_Irr!AK8&lt;&gt;".",up_Irr!BJ8&lt;&gt;"."),up_dir!M8/((1/1000)*(up_Irr!L8+up_Irr!AK8+up_Irr!BJ8)),IF(AND(up_Irr!L8&lt;&gt;".",up_Irr!AK8&lt;&gt;".",up_Irr!BJ8="."),up_dir!M8/((1/1000)*(up_Irr!L8+up_Irr!AK8)),IF(AND(up_Irr!L8&lt;&gt;".",up_Irr!AK8=".",up_Irr!BJ8&lt;&gt;"."),up_dir!M8/((1/1000)*(up_Irr!L8+up_Irr!BJ8)),IF(AND(up_Irr!L8=".",up_Irr!AK8&lt;&gt;".",up_Irr!BJ8&lt;&gt;"."),up_dir!M8/((1/1000)*(up_Irr!AK8+up_Irr!BJ8)),IF(AND(up_Irr!L8=".",up_Irr!AK8=".",up_Irr!BJ8&lt;&gt;"."),up_dir!M8/((1/1000)*(up_Irr!BJ8)),IF(AND(up_Irr!L8=".",up_Irr!AK8&lt;&gt;".",up_Irr!BJ8="."),up_dir!M8/((1/1000)*(up_Irr!AK8)),IF(AND(up_Irr!L8&lt;&gt;".",up_Irr!AK8=".",up_Irr!BJ8="."),up_dir!M8/((1/1000)*(up_Irr!L8)),IF(AND(up_Irr!L8=".",up_Irr!AK8=".",up_Irr!BJ8="."),up_dir!M8*1000)))))))),".")</f>
        <v>6.5773651144152123E-11</v>
      </c>
      <c r="N8" s="76">
        <f>IFERROR(IF(AND(up_Irr!M8&lt;&gt;".",up_Irr!AL8&lt;&gt;".",up_Irr!BK8&lt;&gt;"."),up_dir!N8/((1/1000)*(up_Irr!M8+up_Irr!AL8+up_Irr!BK8)),IF(AND(up_Irr!M8&lt;&gt;".",up_Irr!AL8&lt;&gt;".",up_Irr!BK8="."),up_dir!N8/((1/1000)*(up_Irr!M8+up_Irr!AL8)),IF(AND(up_Irr!M8&lt;&gt;".",up_Irr!AL8=".",up_Irr!BK8&lt;&gt;"."),up_dir!N8/((1/1000)*(up_Irr!M8+up_Irr!BK8)),IF(AND(up_Irr!M8=".",up_Irr!AL8&lt;&gt;".",up_Irr!BK8&lt;&gt;"."),up_dir!N8/((1/1000)*(up_Irr!AL8+up_Irr!BK8)),IF(AND(up_Irr!M8=".",up_Irr!AL8=".",up_Irr!BK8&lt;&gt;"."),up_dir!N8/((1/1000)*(up_Irr!BK8)),IF(AND(up_Irr!M8=".",up_Irr!AL8&lt;&gt;".",up_Irr!BK8="."),up_dir!N8/((1/1000)*(up_Irr!AL8)),IF(AND(up_Irr!M8&lt;&gt;".",up_Irr!AL8=".",up_Irr!BK8="."),up_dir!N8/((1/1000)*(up_Irr!M8)),IF(AND(up_Irr!M8=".",up_Irr!AL8=".",up_Irr!BK8="."),up_dir!N8*1000)))))))),".")</f>
        <v>6.5773651144152123E-11</v>
      </c>
      <c r="O8" s="76">
        <f>IFERROR(IF(AND(up_Irr!N8&lt;&gt;".",up_Irr!AM8&lt;&gt;".",up_Irr!BL8&lt;&gt;"."),up_dir!O8/((1/1000)*(up_Irr!N8+up_Irr!AM8+up_Irr!BL8)),IF(AND(up_Irr!N8&lt;&gt;".",up_Irr!AM8&lt;&gt;".",up_Irr!BL8="."),up_dir!O8/((1/1000)*(up_Irr!N8+up_Irr!AM8)),IF(AND(up_Irr!N8&lt;&gt;".",up_Irr!AM8=".",up_Irr!BL8&lt;&gt;"."),up_dir!O8/((1/1000)*(up_Irr!N8+up_Irr!BL8)),IF(AND(up_Irr!N8=".",up_Irr!AM8&lt;&gt;".",up_Irr!BL8&lt;&gt;"."),up_dir!O8/((1/1000)*(up_Irr!AM8+up_Irr!BL8)),IF(AND(up_Irr!N8=".",up_Irr!AM8=".",up_Irr!BL8&lt;&gt;"."),up_dir!O8/((1/1000)*(up_Irr!BL8)),IF(AND(up_Irr!N8=".",up_Irr!AM8&lt;&gt;".",up_Irr!BL8="."),up_dir!O8/((1/1000)*(up_Irr!AM8)),IF(AND(up_Irr!N8&lt;&gt;".",up_Irr!AM8=".",up_Irr!BL8="."),up_dir!O8/((1/1000)*(up_Irr!N8)),IF(AND(up_Irr!N8=".",up_Irr!AM8=".",up_Irr!BL8="."),up_dir!O8*1000)))))))),".")</f>
        <v>6.5773651144152123E-11</v>
      </c>
      <c r="P8" s="76">
        <f>IFERROR(IF(AND(up_Irr!O8&lt;&gt;".",up_Irr!AN8&lt;&gt;".",up_Irr!BM8&lt;&gt;"."),up_dir!P8/((1/1000)*(up_Irr!O8+up_Irr!AN8+up_Irr!BM8)),IF(AND(up_Irr!O8&lt;&gt;".",up_Irr!AN8&lt;&gt;".",up_Irr!BM8="."),up_dir!P8/((1/1000)*(up_Irr!O8+up_Irr!AN8)),IF(AND(up_Irr!O8&lt;&gt;".",up_Irr!AN8=".",up_Irr!BM8&lt;&gt;"."),up_dir!P8/((1/1000)*(up_Irr!O8+up_Irr!BM8)),IF(AND(up_Irr!O8=".",up_Irr!AN8&lt;&gt;".",up_Irr!BM8&lt;&gt;"."),up_dir!P8/((1/1000)*(up_Irr!AN8+up_Irr!BM8)),IF(AND(up_Irr!O8=".",up_Irr!AN8=".",up_Irr!BM8&lt;&gt;"."),up_dir!P8/((1/1000)*(up_Irr!BM8)),IF(AND(up_Irr!O8=".",up_Irr!AN8&lt;&gt;".",up_Irr!BM8="."),up_dir!P8/((1/1000)*(up_Irr!AN8)),IF(AND(up_Irr!O8&lt;&gt;".",up_Irr!AN8=".",up_Irr!BM8="."),up_dir!P8/((1/1000)*(up_Irr!O8)),IF(AND(up_Irr!O8=".",up_Irr!AN8=".",up_Irr!BM8="."),up_dir!P8*1000)))))))),".")</f>
        <v>6.5773651144152123E-11</v>
      </c>
      <c r="Q8" s="76">
        <f>IFERROR(IF(AND(up_Irr!P8&lt;&gt;".",up_Irr!AO8&lt;&gt;".",up_Irr!BN8&lt;&gt;"."),up_dir!Q8/((1/1000)*(up_Irr!P8+up_Irr!AO8+up_Irr!BN8)),IF(AND(up_Irr!P8&lt;&gt;".",up_Irr!AO8&lt;&gt;".",up_Irr!BN8="."),up_dir!Q8/((1/1000)*(up_Irr!P8+up_Irr!AO8)),IF(AND(up_Irr!P8&lt;&gt;".",up_Irr!AO8=".",up_Irr!BN8&lt;&gt;"."),up_dir!Q8/((1/1000)*(up_Irr!P8+up_Irr!BN8)),IF(AND(up_Irr!P8=".",up_Irr!AO8&lt;&gt;".",up_Irr!BN8&lt;&gt;"."),up_dir!Q8/((1/1000)*(up_Irr!AO8+up_Irr!BN8)),IF(AND(up_Irr!P8=".",up_Irr!AO8=".",up_Irr!BN8&lt;&gt;"."),up_dir!Q8/((1/1000)*(up_Irr!BN8)),IF(AND(up_Irr!P8=".",up_Irr!AO8&lt;&gt;".",up_Irr!BN8="."),up_dir!Q8/((1/1000)*(up_Irr!AO8)),IF(AND(up_Irr!P8&lt;&gt;".",up_Irr!AO8=".",up_Irr!BN8="."),up_dir!Q8/((1/1000)*(up_Irr!P8)),IF(AND(up_Irr!P8=".",up_Irr!AO8=".",up_Irr!BN8="."),up_dir!Q8*1000)))))))),".")</f>
        <v>6.5773651144152123E-11</v>
      </c>
      <c r="R8" s="76">
        <f>IFERROR(IF(AND(up_Irr!Q8&lt;&gt;".",up_Irr!AP8&lt;&gt;".",up_Irr!BO8&lt;&gt;"."),up_dir!R8/((1/1000)*(up_Irr!Q8+up_Irr!AP8+up_Irr!BO8)),IF(AND(up_Irr!Q8&lt;&gt;".",up_Irr!AP8&lt;&gt;".",up_Irr!BO8="."),up_dir!R8/((1/1000)*(up_Irr!Q8+up_Irr!AP8)),IF(AND(up_Irr!Q8&lt;&gt;".",up_Irr!AP8=".",up_Irr!BO8&lt;&gt;"."),up_dir!R8/((1/1000)*(up_Irr!Q8+up_Irr!BO8)),IF(AND(up_Irr!Q8=".",up_Irr!AP8&lt;&gt;".",up_Irr!BO8&lt;&gt;"."),up_dir!R8/((1/1000)*(up_Irr!AP8+up_Irr!BO8)),IF(AND(up_Irr!Q8=".",up_Irr!AP8=".",up_Irr!BO8&lt;&gt;"."),up_dir!R8/((1/1000)*(up_Irr!BO8)),IF(AND(up_Irr!Q8=".",up_Irr!AP8&lt;&gt;".",up_Irr!BO8="."),up_dir!R8/((1/1000)*(up_Irr!AP8)),IF(AND(up_Irr!Q8&lt;&gt;".",up_Irr!AP8=".",up_Irr!BO8="."),up_dir!R8/((1/1000)*(up_Irr!Q8)),IF(AND(up_Irr!Q8=".",up_Irr!AP8=".",up_Irr!BO8="."),up_dir!R8*1000)))))))),".")</f>
        <v>6.5773651144152123E-11</v>
      </c>
      <c r="S8" s="76">
        <f>IFERROR(IF(AND(up_Irr!R8&lt;&gt;".",up_Irr!AQ8&lt;&gt;".",up_Irr!BP8&lt;&gt;"."),up_dir!S8/((1/1000)*(up_Irr!R8+up_Irr!AQ8+up_Irr!BP8)),IF(AND(up_Irr!R8&lt;&gt;".",up_Irr!AQ8&lt;&gt;".",up_Irr!BP8="."),up_dir!S8/((1/1000)*(up_Irr!R8+up_Irr!AQ8)),IF(AND(up_Irr!R8&lt;&gt;".",up_Irr!AQ8=".",up_Irr!BP8&lt;&gt;"."),up_dir!S8/((1/1000)*(up_Irr!R8+up_Irr!BP8)),IF(AND(up_Irr!R8=".",up_Irr!AQ8&lt;&gt;".",up_Irr!BP8&lt;&gt;"."),up_dir!S8/((1/1000)*(up_Irr!AQ8+up_Irr!BP8)),IF(AND(up_Irr!R8=".",up_Irr!AQ8=".",up_Irr!BP8&lt;&gt;"."),up_dir!S8/((1/1000)*(up_Irr!BP8)),IF(AND(up_Irr!R8=".",up_Irr!AQ8&lt;&gt;".",up_Irr!BP8="."),up_dir!S8/((1/1000)*(up_Irr!AQ8)),IF(AND(up_Irr!R8&lt;&gt;".",up_Irr!AQ8=".",up_Irr!BP8="."),up_dir!S8/((1/1000)*(up_Irr!R8)),IF(AND(up_Irr!R8=".",up_Irr!AQ8=".",up_Irr!BP8="."),up_dir!S8*1000)))))))),".")</f>
        <v>6.5773651144152123E-11</v>
      </c>
      <c r="T8" s="76">
        <f>IFERROR(IF(AND(up_Irr!S8&lt;&gt;".",up_Irr!AR8&lt;&gt;".",up_Irr!BQ8&lt;&gt;"."),up_dir!T8/((1/1000)*(up_Irr!S8+up_Irr!AR8+up_Irr!BQ8)),IF(AND(up_Irr!S8&lt;&gt;".",up_Irr!AR8&lt;&gt;".",up_Irr!BQ8="."),up_dir!T8/((1/1000)*(up_Irr!S8+up_Irr!AR8)),IF(AND(up_Irr!S8&lt;&gt;".",up_Irr!AR8=".",up_Irr!BQ8&lt;&gt;"."),up_dir!T8/((1/1000)*(up_Irr!S8+up_Irr!BQ8)),IF(AND(up_Irr!S8=".",up_Irr!AR8&lt;&gt;".",up_Irr!BQ8&lt;&gt;"."),up_dir!T8/((1/1000)*(up_Irr!AR8+up_Irr!BQ8)),IF(AND(up_Irr!S8=".",up_Irr!AR8=".",up_Irr!BQ8&lt;&gt;"."),up_dir!T8/((1/1000)*(up_Irr!BQ8)),IF(AND(up_Irr!S8=".",up_Irr!AR8&lt;&gt;".",up_Irr!BQ8="."),up_dir!T8/((1/1000)*(up_Irr!AR8)),IF(AND(up_Irr!S8&lt;&gt;".",up_Irr!AR8=".",up_Irr!BQ8="."),up_dir!T8/((1/1000)*(up_Irr!S8)),IF(AND(up_Irr!S8=".",up_Irr!AR8=".",up_Irr!BQ8="."),up_dir!T8*1000)))))))),".")</f>
        <v>6.5773651144152123E-11</v>
      </c>
      <c r="U8" s="76">
        <f>IFERROR(IF(AND(up_Irr!T8&lt;&gt;".",up_Irr!AS8&lt;&gt;".",up_Irr!BR8&lt;&gt;"."),up_dir!U8/((1/1000)*(up_Irr!T8+up_Irr!AS8+up_Irr!BR8)),IF(AND(up_Irr!T8&lt;&gt;".",up_Irr!AS8&lt;&gt;".",up_Irr!BR8="."),up_dir!U8/((1/1000)*(up_Irr!T8+up_Irr!AS8)),IF(AND(up_Irr!T8&lt;&gt;".",up_Irr!AS8=".",up_Irr!BR8&lt;&gt;"."),up_dir!U8/((1/1000)*(up_Irr!T8+up_Irr!BR8)),IF(AND(up_Irr!T8=".",up_Irr!AS8&lt;&gt;".",up_Irr!BR8&lt;&gt;"."),up_dir!U8/((1/1000)*(up_Irr!AS8+up_Irr!BR8)),IF(AND(up_Irr!T8=".",up_Irr!AS8=".",up_Irr!BR8&lt;&gt;"."),up_dir!U8/((1/1000)*(up_Irr!BR8)),IF(AND(up_Irr!T8=".",up_Irr!AS8&lt;&gt;".",up_Irr!BR8="."),up_dir!U8/((1/1000)*(up_Irr!AS8)),IF(AND(up_Irr!T8&lt;&gt;".",up_Irr!AS8=".",up_Irr!BR8="."),up_dir!U8/((1/1000)*(up_Irr!T8)),IF(AND(up_Irr!T8=".",up_Irr!AS8=".",up_Irr!BR8="."),up_dir!U8*1000)))))))),".")</f>
        <v>6.5773651144152123E-11</v>
      </c>
      <c r="V8" s="76">
        <f>IFERROR(IF(AND(up_Irr!U8&lt;&gt;".",up_Irr!AT8&lt;&gt;".",up_Irr!BS8&lt;&gt;"."),up_dir!V8/((1/1000)*(up_Irr!U8+up_Irr!AT8+up_Irr!BS8)),IF(AND(up_Irr!U8&lt;&gt;".",up_Irr!AT8&lt;&gt;".",up_Irr!BS8="."),up_dir!V8/((1/1000)*(up_Irr!U8+up_Irr!AT8)),IF(AND(up_Irr!U8&lt;&gt;".",up_Irr!AT8=".",up_Irr!BS8&lt;&gt;"."),up_dir!V8/((1/1000)*(up_Irr!U8+up_Irr!BS8)),IF(AND(up_Irr!U8=".",up_Irr!AT8&lt;&gt;".",up_Irr!BS8&lt;&gt;"."),up_dir!V8/((1/1000)*(up_Irr!AT8+up_Irr!BS8)),IF(AND(up_Irr!U8=".",up_Irr!AT8=".",up_Irr!BS8&lt;&gt;"."),up_dir!V8/((1/1000)*(up_Irr!BS8)),IF(AND(up_Irr!U8=".",up_Irr!AT8&lt;&gt;".",up_Irr!BS8="."),up_dir!V8/((1/1000)*(up_Irr!AT8)),IF(AND(up_Irr!U8&lt;&gt;".",up_Irr!AT8=".",up_Irr!BS8="."),up_dir!V8/((1/1000)*(up_Irr!U8)),IF(AND(up_Irr!U8=".",up_Irr!AT8=".",up_Irr!BS8="."),up_dir!V8*1000)))))))),".")</f>
        <v>6.5773651144152123E-11</v>
      </c>
      <c r="W8" s="76">
        <f>IFERROR(IF(AND(up_Irr!V8&lt;&gt;".",up_Irr!AU8&lt;&gt;".",up_Irr!BT8&lt;&gt;"."),up_dir!W8/((1/1000)*(up_Irr!V8+up_Irr!AU8+up_Irr!BT8)),IF(AND(up_Irr!V8&lt;&gt;".",up_Irr!AU8&lt;&gt;".",up_Irr!BT8="."),up_dir!W8/((1/1000)*(up_Irr!V8+up_Irr!AU8)),IF(AND(up_Irr!V8&lt;&gt;".",up_Irr!AU8=".",up_Irr!BT8&lt;&gt;"."),up_dir!W8/((1/1000)*(up_Irr!V8+up_Irr!BT8)),IF(AND(up_Irr!V8=".",up_Irr!AU8&lt;&gt;".",up_Irr!BT8&lt;&gt;"."),up_dir!W8/((1/1000)*(up_Irr!AU8+up_Irr!BT8)),IF(AND(up_Irr!V8=".",up_Irr!AU8=".",up_Irr!BT8&lt;&gt;"."),up_dir!W8/((1/1000)*(up_Irr!BT8)),IF(AND(up_Irr!V8=".",up_Irr!AU8&lt;&gt;".",up_Irr!BT8="."),up_dir!W8/((1/1000)*(up_Irr!AU8)),IF(AND(up_Irr!V8&lt;&gt;".",up_Irr!AU8=".",up_Irr!BT8="."),up_dir!W8/((1/1000)*(up_Irr!V8)),IF(AND(up_Irr!V8=".",up_Irr!AU8=".",up_Irr!BT8="."),up_dir!W8*1000)))))))),".")</f>
        <v>6.5773651144152123E-11</v>
      </c>
      <c r="X8" s="76">
        <f>IFERROR(IF(AND(up_Irr!W8&lt;&gt;".",up_Irr!AV8&lt;&gt;".",up_Irr!BU8&lt;&gt;"."),up_dir!X8/((1/1000)*(up_Irr!W8+up_Irr!AV8+up_Irr!BU8)),IF(AND(up_Irr!W8&lt;&gt;".",up_Irr!AV8&lt;&gt;".",up_Irr!BU8="."),up_dir!X8/((1/1000)*(up_Irr!W8+up_Irr!AV8)),IF(AND(up_Irr!W8&lt;&gt;".",up_Irr!AV8=".",up_Irr!BU8&lt;&gt;"."),up_dir!X8/((1/1000)*(up_Irr!W8+up_Irr!BU8)),IF(AND(up_Irr!W8=".",up_Irr!AV8&lt;&gt;".",up_Irr!BU8&lt;&gt;"."),up_dir!X8/((1/1000)*(up_Irr!AV8+up_Irr!BU8)),IF(AND(up_Irr!W8=".",up_Irr!AV8=".",up_Irr!BU8&lt;&gt;"."),up_dir!X8/((1/1000)*(up_Irr!BU8)),IF(AND(up_Irr!W8=".",up_Irr!AV8&lt;&gt;".",up_Irr!BU8="."),up_dir!X8/((1/1000)*(up_Irr!AV8)),IF(AND(up_Irr!W8&lt;&gt;".",up_Irr!AV8=".",up_Irr!BU8="."),up_dir!X8/((1/1000)*(up_Irr!W8)),IF(AND(up_Irr!W8=".",up_Irr!AV8=".",up_Irr!BU8="."),up_dir!X8*1000)))))))),".")</f>
        <v>6.5773651144152123E-11</v>
      </c>
      <c r="Y8" s="76">
        <f>IFERROR(IF(AND(up_Irr!X8&lt;&gt;".",up_Irr!AW8&lt;&gt;".",up_Irr!BV8&lt;&gt;"."),up_dir!Y8/((1/1000)*(up_Irr!X8+up_Irr!AW8+up_Irr!BV8)),IF(AND(up_Irr!X8&lt;&gt;".",up_Irr!AW8&lt;&gt;".",up_Irr!BV8="."),up_dir!Y8/((1/1000)*(up_Irr!X8+up_Irr!AW8)),IF(AND(up_Irr!X8&lt;&gt;".",up_Irr!AW8=".",up_Irr!BV8&lt;&gt;"."),up_dir!Y8/((1/1000)*(up_Irr!X8+up_Irr!BV8)),IF(AND(up_Irr!X8=".",up_Irr!AW8&lt;&gt;".",up_Irr!BV8&lt;&gt;"."),up_dir!Y8/((1/1000)*(up_Irr!AW8+up_Irr!BV8)),IF(AND(up_Irr!X8=".",up_Irr!AW8=".",up_Irr!BV8&lt;&gt;"."),up_dir!Y8/((1/1000)*(up_Irr!BV8)),IF(AND(up_Irr!X8=".",up_Irr!AW8&lt;&gt;".",up_Irr!BV8="."),up_dir!Y8/((1/1000)*(up_Irr!AW8)),IF(AND(up_Irr!X8&lt;&gt;".",up_Irr!AW8=".",up_Irr!BV8="."),up_dir!Y8/((1/1000)*(up_Irr!X8)),IF(AND(up_Irr!X8=".",up_Irr!AW8=".",up_Irr!BV8="."),up_dir!Y8*1000)))))))),".")</f>
        <v>6.5773651144152123E-11</v>
      </c>
      <c r="Z8" s="76">
        <f>IFERROR(IF(AND(up_Irr!Y8&lt;&gt;".",up_Irr!AX8&lt;&gt;".",up_Irr!BW8&lt;&gt;"."),up_dir!Z8/((1/1000)*(up_Irr!Y8+up_Irr!AX8+up_Irr!BW8)),IF(AND(up_Irr!Y8&lt;&gt;".",up_Irr!AX8&lt;&gt;".",up_Irr!BW8="."),up_dir!Z8/((1/1000)*(up_Irr!Y8+up_Irr!AX8)),IF(AND(up_Irr!Y8&lt;&gt;".",up_Irr!AX8=".",up_Irr!BW8&lt;&gt;"."),up_dir!Z8/((1/1000)*(up_Irr!Y8+up_Irr!BW8)),IF(AND(up_Irr!Y8=".",up_Irr!AX8&lt;&gt;".",up_Irr!BW8&lt;&gt;"."),up_dir!Z8/((1/1000)*(up_Irr!AX8+up_Irr!BW8)),IF(AND(up_Irr!Y8=".",up_Irr!AX8=".",up_Irr!BW8&lt;&gt;"."),up_dir!Z8/((1/1000)*(up_Irr!BW8)),IF(AND(up_Irr!Y8=".",up_Irr!AX8&lt;&gt;".",up_Irr!BW8="."),up_dir!Z8/((1/1000)*(up_Irr!AX8)),IF(AND(up_Irr!Y8&lt;&gt;".",up_Irr!AX8=".",up_Irr!BW8="."),up_dir!Z8/((1/1000)*(up_Irr!Y8)),IF(AND(up_Irr!Y8=".",up_Irr!AX8=".",up_Irr!BW8="."),up_dir!Z8*1000)))))))),".")</f>
        <v>6.5773651144152123E-11</v>
      </c>
      <c r="AA8" s="76">
        <f>IFERROR(IF(AND(up_Irr!Z8&lt;&gt;".",up_Irr!AY8&lt;&gt;".",up_Irr!BX8&lt;&gt;"."),up_dir!AA8/((1/1000)*(up_Irr!Z8+up_Irr!AY8+up_Irr!BX8)),IF(AND(up_Irr!Z8&lt;&gt;".",up_Irr!AY8&lt;&gt;".",up_Irr!BX8="."),up_dir!AA8/((1/1000)*(up_Irr!Z8+up_Irr!AY8)),IF(AND(up_Irr!Z8&lt;&gt;".",up_Irr!AY8=".",up_Irr!BX8&lt;&gt;"."),up_dir!AA8/((1/1000)*(up_Irr!Z8+up_Irr!BX8)),IF(AND(up_Irr!Z8=".",up_Irr!AY8&lt;&gt;".",up_Irr!BX8&lt;&gt;"."),up_dir!AA8/((1/1000)*(up_Irr!AY8+up_Irr!BX8)),IF(AND(up_Irr!Z8=".",up_Irr!AY8=".",up_Irr!BX8&lt;&gt;"."),up_dir!AA8/((1/1000)*(up_Irr!BX8)),IF(AND(up_Irr!Z8=".",up_Irr!AY8&lt;&gt;".",up_Irr!BX8="."),up_dir!AA8/((1/1000)*(up_Irr!AY8)),IF(AND(up_Irr!Z8&lt;&gt;".",up_Irr!AY8=".",up_Irr!BX8="."),up_dir!AA8/((1/1000)*(up_Irr!Z8)),IF(AND(up_Irr!Z8=".",up_Irr!AY8=".",up_Irr!BX8="."),up_dir!AA8*1000)))))))),".")</f>
        <v>6.5773651144152123E-11</v>
      </c>
      <c r="AB8" s="76">
        <f>IFERROR(IF(AND(up_Irr!AA8&lt;&gt;".",up_Irr!AZ8&lt;&gt;".",up_Irr!BY8&lt;&gt;"."),up_dir!AB8/((1/1000)*(up_Irr!AA8+up_Irr!AZ8+up_Irr!BY8)),IF(AND(up_Irr!AA8&lt;&gt;".",up_Irr!AZ8&lt;&gt;".",up_Irr!BY8="."),up_dir!AB8/((1/1000)*(up_Irr!AA8+up_Irr!AZ8)),IF(AND(up_Irr!AA8&lt;&gt;".",up_Irr!AZ8=".",up_Irr!BY8&lt;&gt;"."),up_dir!AB8/((1/1000)*(up_Irr!AA8+up_Irr!BY8)),IF(AND(up_Irr!AA8=".",up_Irr!AZ8&lt;&gt;".",up_Irr!BY8&lt;&gt;"."),up_dir!AB8/((1/1000)*(up_Irr!AZ8+up_Irr!BY8)),IF(AND(up_Irr!AA8=".",up_Irr!AZ8=".",up_Irr!BY8&lt;&gt;"."),up_dir!AB8/((1/1000)*(up_Irr!BY8)),IF(AND(up_Irr!AA8=".",up_Irr!AZ8&lt;&gt;".",up_Irr!BY8="."),up_dir!AB8/((1/1000)*(up_Irr!AZ8)),IF(AND(up_Irr!AA8&lt;&gt;".",up_Irr!AZ8=".",up_Irr!BY8="."),up_dir!AB8/((1/1000)*(up_Irr!AA8)),IF(AND(up_Irr!AA8=".",up_Irr!AZ8=".",up_Irr!BY8="."),up_dir!AB8*1000)))))))),".")</f>
        <v>6.5773651144152123E-11</v>
      </c>
      <c r="AC8" s="93">
        <f t="shared" si="1"/>
        <v>608146.26076229871</v>
      </c>
      <c r="AD8" s="93">
        <f>IFERROR(s_C*s_IFAP_res_adj*s_CF_apple*0.001*(up_Irr!C8+up_Irr!AB8+up_Irr!BA8),".")</f>
        <v>152036.56519057468</v>
      </c>
      <c r="AE8" s="93">
        <f>IFERROR(s_C*s_IFAS_res_adj*s_CF_asparagus*0.001*(up_Irr!D8+up_Irr!AC8+up_Irr!BB8),".")</f>
        <v>152036.56519057468</v>
      </c>
      <c r="AF8" s="93">
        <f>IFERROR(s_C*s_IFBT_res_adj*s_CF_beet*0.001*(up_Irr!E8+up_Irr!AD8+up_Irr!BC8),".")</f>
        <v>152036.56519057468</v>
      </c>
      <c r="AG8" s="93">
        <f>IFERROR(s_C*s_IFBE_res_adj*s_CF_berries*0.001*(up_Irr!F8+up_Irr!AE8+up_Irr!BD8),".")</f>
        <v>152036.56519057468</v>
      </c>
      <c r="AH8" s="93">
        <f>IFERROR(s_C*s_IFBR_res_adj*s_CF_broccoli*0.001*(up_Irr!G8+up_Irr!AF8+up_Irr!BE8),".")</f>
        <v>152036.56519057468</v>
      </c>
      <c r="AI8" s="93">
        <f>IFERROR(s_C*s_IFCB_res_adj*s_CF_cabbage*0.001*(up_Irr!H8+up_Irr!AG8+up_Irr!BF8),".")</f>
        <v>152036.56519057468</v>
      </c>
      <c r="AJ8" s="93">
        <f>IFERROR(s_C*s_IFCR_res_adj*s_CF_carrot*0.001*(up_Irr!I8+up_Irr!AH8+up_Irr!BG8),".")</f>
        <v>152036.56519057468</v>
      </c>
      <c r="AK8" s="93">
        <f>IFERROR(s_C*s_IFCI_res_adj*s_CF_citrus*0.001*(up_Irr!J8+up_Irr!AI8+up_Irr!BH8),".")</f>
        <v>152036.56519057468</v>
      </c>
      <c r="AL8" s="93">
        <f>IFERROR(s_C*s_IFCO_res_adj*s_CF_corn*0.001*(up_Irr!K8+up_Irr!AJ8+up_Irr!BI8),".")</f>
        <v>152036.56519057468</v>
      </c>
      <c r="AM8" s="93">
        <f>IFERROR(s_C*s_IFCU_res_adj*s_CF_cucumber*0.001*(up_Irr!L8+up_Irr!AK8+up_Irr!BJ8),".")</f>
        <v>152036.56519057468</v>
      </c>
      <c r="AN8" s="93">
        <f>IFERROR(s_C*s_IFLE_res_adj*s_CF_lettuce*0.001*(up_Irr!M8+up_Irr!AL8+up_Irr!BK8),".")</f>
        <v>152036.56519057468</v>
      </c>
      <c r="AO8" s="93">
        <f>IFERROR(s_C*s_IFLI_res_adj*s_CF_lima_bean*0.001*(up_Irr!N8+up_Irr!AM8+up_Irr!BL8),".")</f>
        <v>152036.56519057468</v>
      </c>
      <c r="AP8" s="93">
        <f>IFERROR(s_C*s_IFOK_res_adj*s_CF_okra*0.001*(up_Irr!O8+up_Irr!AN8+up_Irr!BM8),".")</f>
        <v>152036.56519057468</v>
      </c>
      <c r="AQ8" s="93">
        <f>IFERROR(s_C*s_IFON_res_adj*s_CF_onion*0.001*(up_Irr!P8+up_Irr!AO8+up_Irr!BN8),".")</f>
        <v>152036.56519057468</v>
      </c>
      <c r="AR8" s="93">
        <f>IFERROR(s_C*s_IFPC_res_adj*s_CF_peach*0.001*(up_Irr!Q8+up_Irr!AP8+up_Irr!BO8),".")</f>
        <v>152036.56519057468</v>
      </c>
      <c r="AS8" s="93">
        <f>IFERROR(s_C*s_IFPR_res_adj*s_CF_pear*0.001*(up_Irr!R8+up_Irr!AQ8+up_Irr!BP8),".")</f>
        <v>152036.56519057468</v>
      </c>
      <c r="AT8" s="93">
        <f>IFERROR(s_C*s_IFPE_res_adj*s_CF_peas*0.001*(up_Irr!S8+up_Irr!AR8+up_Irr!BQ8),".")</f>
        <v>152036.56519057468</v>
      </c>
      <c r="AU8" s="93">
        <f>IFERROR(s_C*s_IFPP_res_adj*s_CF_peppers*0.001*(up_Irr!T8+up_Irr!AS8+up_Irr!BR8),".")</f>
        <v>152036.56519057468</v>
      </c>
      <c r="AV8" s="93">
        <f>IFERROR(s_C*s_IFPT_res_adj*s_CF_potato*0.001*(up_Irr!U8+up_Irr!AT8+up_Irr!BS8),".")</f>
        <v>152036.56519057468</v>
      </c>
      <c r="AW8" s="93">
        <f>IFERROR(s_C*s_IFPU_res_adj*s_CF_pumpkin*0.001*(up_Irr!V8+up_Irr!AU8+up_Irr!BT8),".")</f>
        <v>152036.56519057468</v>
      </c>
      <c r="AX8" s="93">
        <f>IFERROR(s_C*s_IFSN_res_adj*s_CF_snap_bean*0.001*(up_Irr!W8+up_Irr!AV8+up_Irr!BU8),".")</f>
        <v>152036.56519057468</v>
      </c>
      <c r="AY8" s="93">
        <f>IFERROR(s_C*s_IFST_res_adj*s_CF_strawberry*0.001*(up_Irr!X8+up_Irr!AW8+up_Irr!BV8),".")</f>
        <v>152036.56519057468</v>
      </c>
      <c r="AZ8" s="93">
        <f>IFERROR(s_C*s_IFTO_res_adj*s_CF_tomato*0.001*(up_Irr!Y8+up_Irr!AX8+up_Irr!BW8),".")</f>
        <v>152036.56519057468</v>
      </c>
      <c r="BA8" s="93">
        <f>IFERROR(s_C*s_IFRI_res_adj*s_CF_rice*0.001*(up_Irr!Z8+up_Irr!AY8+up_Irr!BX8),".")</f>
        <v>152036.56519057468</v>
      </c>
      <c r="BB8" s="93">
        <f>IFERROR(s_C*s_IFCG_res_adj*s_CF_cereal*0.001*(up_Irr!AA8+up_Irr!AZ8+up_Irr!BY8),".")</f>
        <v>152036.56519057468</v>
      </c>
      <c r="BC8" s="76">
        <f t="shared" si="2"/>
        <v>1.6443412786038031E-11</v>
      </c>
      <c r="BD8" s="76">
        <f>IFERROR(IF(AND(up_Irr!C8&lt;&gt;".",up_Irr!AB8&lt;&gt;".",up_Irr!BA8&lt;&gt;"."),up_dir!AD8/((1/1000)*(up_Irr!C8+up_Irr!AB8+up_Irr!BA8)),IF(AND(up_Irr!C8&lt;&gt;".",up_Irr!AB8&lt;&gt;".",up_Irr!BA8="."),up_dir!AD8/((1/1000)*(up_Irr!C8+up_Irr!AB8)),IF(AND(up_Irr!C8&lt;&gt;".",up_Irr!AB8=".",up_Irr!BA8&lt;&gt;"."),up_dir!AD8/((1/1000)*(up_Irr!C8+up_Irr!BA8)),IF(AND(up_Irr!C8=".",up_Irr!AB8&lt;&gt;".",up_Irr!BA8&lt;&gt;"."),up_dir!AD8/((1/1000)*(up_Irr!AB8+up_Irr!BA8)),IF(AND(up_Irr!C8=".",up_Irr!AB8=".",up_Irr!BA8&lt;&gt;"."),up_dir!AD8/((1/1000)*(up_Irr!BA8)),IF(AND(up_Irr!C8=".",up_Irr!AB8&lt;&gt;".",up_Irr!BA8="."),up_dir!AD8/((1/1000)*(up_Irr!AB8)),IF(AND(up_Irr!C8&lt;&gt;".",up_Irr!AB8=".",up_Irr!BA8="."),up_dir!AD8/((1/1000)*(up_Irr!C8)),IF(AND(up_Irr!C8=".",up_Irr!AB8=".",up_Irr!BA8="."),up_dir!AD8*1000)))))))),".")</f>
        <v>6.5773651144152123E-11</v>
      </c>
      <c r="BE8" s="76">
        <f>IFERROR(IF(AND(up_Irr!D8&lt;&gt;".",up_Irr!AC8&lt;&gt;".",up_Irr!BB8&lt;&gt;"."),up_dir!AE8/((1/1000)*(up_Irr!D8+up_Irr!AC8+up_Irr!BB8)),IF(AND(up_Irr!D8&lt;&gt;".",up_Irr!AC8&lt;&gt;".",up_Irr!BB8="."),up_dir!AE8/((1/1000)*(up_Irr!D8+up_Irr!AC8)),IF(AND(up_Irr!D8&lt;&gt;".",up_Irr!AC8=".",up_Irr!BB8&lt;&gt;"."),up_dir!AE8/((1/1000)*(up_Irr!D8+up_Irr!BB8)),IF(AND(up_Irr!D8=".",up_Irr!AC8&lt;&gt;".",up_Irr!BB8&lt;&gt;"."),up_dir!AE8/((1/1000)*(up_Irr!AC8+up_Irr!BB8)),IF(AND(up_Irr!D8=".",up_Irr!AC8=".",up_Irr!BB8&lt;&gt;"."),up_dir!AE8/((1/1000)*(up_Irr!BB8)),IF(AND(up_Irr!D8=".",up_Irr!AC8&lt;&gt;".",up_Irr!BB8="."),up_dir!AE8/((1/1000)*(up_Irr!AC8)),IF(AND(up_Irr!D8&lt;&gt;".",up_Irr!AC8=".",up_Irr!BB8="."),up_dir!AE8/((1/1000)*(up_Irr!D8)),IF(AND(up_Irr!D8=".",up_Irr!AC8=".",up_Irr!BB8="."),up_dir!AE8*1000)))))))),".")</f>
        <v>6.5773651144152123E-11</v>
      </c>
      <c r="BF8" s="76">
        <f>IFERROR(IF(AND(up_Irr!E8&lt;&gt;".",up_Irr!AD8&lt;&gt;".",up_Irr!BC8&lt;&gt;"."),up_dir!AF8/((1/1000)*(up_Irr!E8+up_Irr!AD8+up_Irr!BC8)),IF(AND(up_Irr!E8&lt;&gt;".",up_Irr!AD8&lt;&gt;".",up_Irr!BC8="."),up_dir!AF8/((1/1000)*(up_Irr!E8+up_Irr!AD8)),IF(AND(up_Irr!E8&lt;&gt;".",up_Irr!AD8=".",up_Irr!BC8&lt;&gt;"."),up_dir!AF8/((1/1000)*(up_Irr!E8+up_Irr!BC8)),IF(AND(up_Irr!E8=".",up_Irr!AD8&lt;&gt;".",up_Irr!BC8&lt;&gt;"."),up_dir!AF8/((1/1000)*(up_Irr!AD8+up_Irr!BC8)),IF(AND(up_Irr!E8=".",up_Irr!AD8=".",up_Irr!BC8&lt;&gt;"."),up_dir!AF8/((1/1000)*(up_Irr!BC8)),IF(AND(up_Irr!E8=".",up_Irr!AD8&lt;&gt;".",up_Irr!BC8="."),up_dir!AF8/((1/1000)*(up_Irr!AD8)),IF(AND(up_Irr!E8&lt;&gt;".",up_Irr!AD8=".",up_Irr!BC8="."),up_dir!AF8/((1/1000)*(up_Irr!E8)),IF(AND(up_Irr!E8=".",up_Irr!AD8=".",up_Irr!BC8="."),up_dir!AF8*1000)))))))),".")</f>
        <v>6.5773651144152123E-11</v>
      </c>
      <c r="BG8" s="76">
        <f>IFERROR(IF(AND(up_Irr!F8&lt;&gt;".",up_Irr!AE8&lt;&gt;".",up_Irr!BD8&lt;&gt;"."),up_dir!AG8/((1/1000)*(up_Irr!F8+up_Irr!AE8+up_Irr!BD8)),IF(AND(up_Irr!F8&lt;&gt;".",up_Irr!AE8&lt;&gt;".",up_Irr!BD8="."),up_dir!AG8/((1/1000)*(up_Irr!F8+up_Irr!AE8)),IF(AND(up_Irr!F8&lt;&gt;".",up_Irr!AE8=".",up_Irr!BD8&lt;&gt;"."),up_dir!AG8/((1/1000)*(up_Irr!F8+up_Irr!BD8)),IF(AND(up_Irr!F8=".",up_Irr!AE8&lt;&gt;".",up_Irr!BD8&lt;&gt;"."),up_dir!AG8/((1/1000)*(up_Irr!AE8+up_Irr!BD8)),IF(AND(up_Irr!F8=".",up_Irr!AE8=".",up_Irr!BD8&lt;&gt;"."),up_dir!AG8/((1/1000)*(up_Irr!BD8)),IF(AND(up_Irr!F8=".",up_Irr!AE8&lt;&gt;".",up_Irr!BD8="."),up_dir!AG8/((1/1000)*(up_Irr!AE8)),IF(AND(up_Irr!F8&lt;&gt;".",up_Irr!AE8=".",up_Irr!BD8="."),up_dir!AG8/((1/1000)*(up_Irr!F8)),IF(AND(up_Irr!F8=".",up_Irr!AE8=".",up_Irr!BD8="."),up_dir!AG8*1000)))))))),".")</f>
        <v>6.5773651144152123E-11</v>
      </c>
      <c r="BH8" s="76">
        <f>IFERROR(IF(AND(up_Irr!G8&lt;&gt;".",up_Irr!AF8&lt;&gt;".",up_Irr!BE8&lt;&gt;"."),up_dir!AH8/((1/1000)*(up_Irr!G8+up_Irr!AF8+up_Irr!BE8)),IF(AND(up_Irr!G8&lt;&gt;".",up_Irr!AF8&lt;&gt;".",up_Irr!BE8="."),up_dir!AH8/((1/1000)*(up_Irr!G8+up_Irr!AF8)),IF(AND(up_Irr!G8&lt;&gt;".",up_Irr!AF8=".",up_Irr!BE8&lt;&gt;"."),up_dir!AH8/((1/1000)*(up_Irr!G8+up_Irr!BE8)),IF(AND(up_Irr!G8=".",up_Irr!AF8&lt;&gt;".",up_Irr!BE8&lt;&gt;"."),up_dir!AH8/((1/1000)*(up_Irr!AF8+up_Irr!BE8)),IF(AND(up_Irr!G8=".",up_Irr!AF8=".",up_Irr!BE8&lt;&gt;"."),up_dir!AH8/((1/1000)*(up_Irr!BE8)),IF(AND(up_Irr!G8=".",up_Irr!AF8&lt;&gt;".",up_Irr!BE8="."),up_dir!AH8/((1/1000)*(up_Irr!AF8)),IF(AND(up_Irr!G8&lt;&gt;".",up_Irr!AF8=".",up_Irr!BE8="."),up_dir!AH8/((1/1000)*(up_Irr!G8)),IF(AND(up_Irr!G8=".",up_Irr!AF8=".",up_Irr!BE8="."),up_dir!AH8*1000)))))))),".")</f>
        <v>6.5773651144152123E-11</v>
      </c>
      <c r="BI8" s="76">
        <f>IFERROR(IF(AND(up_Irr!H8&lt;&gt;".",up_Irr!AG8&lt;&gt;".",up_Irr!BF8&lt;&gt;"."),up_dir!AI8/((1/1000)*(up_Irr!H8+up_Irr!AG8+up_Irr!BF8)),IF(AND(up_Irr!H8&lt;&gt;".",up_Irr!AG8&lt;&gt;".",up_Irr!BF8="."),up_dir!AI8/((1/1000)*(up_Irr!H8+up_Irr!AG8)),IF(AND(up_Irr!H8&lt;&gt;".",up_Irr!AG8=".",up_Irr!BF8&lt;&gt;"."),up_dir!AI8/((1/1000)*(up_Irr!H8+up_Irr!BF8)),IF(AND(up_Irr!H8=".",up_Irr!AG8&lt;&gt;".",up_Irr!BF8&lt;&gt;"."),up_dir!AI8/((1/1000)*(up_Irr!AG8+up_Irr!BF8)),IF(AND(up_Irr!H8=".",up_Irr!AG8=".",up_Irr!BF8&lt;&gt;"."),up_dir!AI8/((1/1000)*(up_Irr!BF8)),IF(AND(up_Irr!H8=".",up_Irr!AG8&lt;&gt;".",up_Irr!BF8="."),up_dir!AI8/((1/1000)*(up_Irr!AG8)),IF(AND(up_Irr!H8&lt;&gt;".",up_Irr!AG8=".",up_Irr!BF8="."),up_dir!AI8/((1/1000)*(up_Irr!H8)),IF(AND(up_Irr!H8=".",up_Irr!AG8=".",up_Irr!BF8="."),up_dir!AI8*1000)))))))),".")</f>
        <v>6.5773651144152123E-11</v>
      </c>
      <c r="BJ8" s="76">
        <f>IFERROR(IF(AND(up_Irr!I8&lt;&gt;".",up_Irr!AH8&lt;&gt;".",up_Irr!BG8&lt;&gt;"."),up_dir!AJ8/((1/1000)*(up_Irr!I8+up_Irr!AH8+up_Irr!BG8)),IF(AND(up_Irr!I8&lt;&gt;".",up_Irr!AH8&lt;&gt;".",up_Irr!BG8="."),up_dir!AJ8/((1/1000)*(up_Irr!I8+up_Irr!AH8)),IF(AND(up_Irr!I8&lt;&gt;".",up_Irr!AH8=".",up_Irr!BG8&lt;&gt;"."),up_dir!AJ8/((1/1000)*(up_Irr!I8+up_Irr!BG8)),IF(AND(up_Irr!I8=".",up_Irr!AH8&lt;&gt;".",up_Irr!BG8&lt;&gt;"."),up_dir!AJ8/((1/1000)*(up_Irr!AH8+up_Irr!BG8)),IF(AND(up_Irr!I8=".",up_Irr!AH8=".",up_Irr!BG8&lt;&gt;"."),up_dir!AJ8/((1/1000)*(up_Irr!BG8)),IF(AND(up_Irr!I8=".",up_Irr!AH8&lt;&gt;".",up_Irr!BG8="."),up_dir!AJ8/((1/1000)*(up_Irr!AH8)),IF(AND(up_Irr!I8&lt;&gt;".",up_Irr!AH8=".",up_Irr!BG8="."),up_dir!AJ8/((1/1000)*(up_Irr!I8)),IF(AND(up_Irr!I8=".",up_Irr!AH8=".",up_Irr!BG8="."),up_dir!AJ8*1000)))))))),".")</f>
        <v>6.5773651144152123E-11</v>
      </c>
      <c r="BK8" s="76">
        <f>IFERROR(IF(AND(up_Irr!J8&lt;&gt;".",up_Irr!AI8&lt;&gt;".",up_Irr!BH8&lt;&gt;"."),up_dir!AK8/((1/1000)*(up_Irr!J8+up_Irr!AI8+up_Irr!BH8)),IF(AND(up_Irr!J8&lt;&gt;".",up_Irr!AI8&lt;&gt;".",up_Irr!BH8="."),up_dir!AK8/((1/1000)*(up_Irr!J8+up_Irr!AI8)),IF(AND(up_Irr!J8&lt;&gt;".",up_Irr!AI8=".",up_Irr!BH8&lt;&gt;"."),up_dir!AK8/((1/1000)*(up_Irr!J8+up_Irr!BH8)),IF(AND(up_Irr!J8=".",up_Irr!AI8&lt;&gt;".",up_Irr!BH8&lt;&gt;"."),up_dir!AK8/((1/1000)*(up_Irr!AI8+up_Irr!BH8)),IF(AND(up_Irr!J8=".",up_Irr!AI8=".",up_Irr!BH8&lt;&gt;"."),up_dir!AK8/((1/1000)*(up_Irr!BH8)),IF(AND(up_Irr!J8=".",up_Irr!AI8&lt;&gt;".",up_Irr!BH8="."),up_dir!AK8/((1/1000)*(up_Irr!AI8)),IF(AND(up_Irr!J8&lt;&gt;".",up_Irr!AI8=".",up_Irr!BH8="."),up_dir!AK8/((1/1000)*(up_Irr!J8)),IF(AND(up_Irr!J8=".",up_Irr!AI8=".",up_Irr!BH8="."),up_dir!AK8*1000)))))))),".")</f>
        <v>6.5773651144152123E-11</v>
      </c>
      <c r="BL8" s="76">
        <f>IFERROR(IF(AND(up_Irr!K8&lt;&gt;".",up_Irr!AJ8&lt;&gt;".",up_Irr!BI8&lt;&gt;"."),up_dir!AL8/((1/1000)*(up_Irr!K8+up_Irr!AJ8+up_Irr!BI8)),IF(AND(up_Irr!K8&lt;&gt;".",up_Irr!AJ8&lt;&gt;".",up_Irr!BI8="."),up_dir!AL8/((1/1000)*(up_Irr!K8+up_Irr!AJ8)),IF(AND(up_Irr!K8&lt;&gt;".",up_Irr!AJ8=".",up_Irr!BI8&lt;&gt;"."),up_dir!AL8/((1/1000)*(up_Irr!K8+up_Irr!BI8)),IF(AND(up_Irr!K8=".",up_Irr!AJ8&lt;&gt;".",up_Irr!BI8&lt;&gt;"."),up_dir!AL8/((1/1000)*(up_Irr!AJ8+up_Irr!BI8)),IF(AND(up_Irr!K8=".",up_Irr!AJ8=".",up_Irr!BI8&lt;&gt;"."),up_dir!AL8/((1/1000)*(up_Irr!BI8)),IF(AND(up_Irr!K8=".",up_Irr!AJ8&lt;&gt;".",up_Irr!BI8="."),up_dir!AL8/((1/1000)*(up_Irr!AJ8)),IF(AND(up_Irr!K8&lt;&gt;".",up_Irr!AJ8=".",up_Irr!BI8="."),up_dir!AL8/((1/1000)*(up_Irr!K8)),IF(AND(up_Irr!K8=".",up_Irr!AJ8=".",up_Irr!BI8="."),up_dir!AL8*1000)))))))),".")</f>
        <v>6.5773651144152123E-11</v>
      </c>
      <c r="BM8" s="76">
        <f>IFERROR(IF(AND(up_Irr!L8&lt;&gt;".",up_Irr!AK8&lt;&gt;".",up_Irr!BJ8&lt;&gt;"."),up_dir!AM8/((1/1000)*(up_Irr!L8+up_Irr!AK8+up_Irr!BJ8)),IF(AND(up_Irr!L8&lt;&gt;".",up_Irr!AK8&lt;&gt;".",up_Irr!BJ8="."),up_dir!AM8/((1/1000)*(up_Irr!L8+up_Irr!AK8)),IF(AND(up_Irr!L8&lt;&gt;".",up_Irr!AK8=".",up_Irr!BJ8&lt;&gt;"."),up_dir!AM8/((1/1000)*(up_Irr!L8+up_Irr!BJ8)),IF(AND(up_Irr!L8=".",up_Irr!AK8&lt;&gt;".",up_Irr!BJ8&lt;&gt;"."),up_dir!AM8/((1/1000)*(up_Irr!AK8+up_Irr!BJ8)),IF(AND(up_Irr!L8=".",up_Irr!AK8=".",up_Irr!BJ8&lt;&gt;"."),up_dir!AM8/((1/1000)*(up_Irr!BJ8)),IF(AND(up_Irr!L8=".",up_Irr!AK8&lt;&gt;".",up_Irr!BJ8="."),up_dir!AM8/((1/1000)*(up_Irr!AK8)),IF(AND(up_Irr!L8&lt;&gt;".",up_Irr!AK8=".",up_Irr!BJ8="."),up_dir!AM8/((1/1000)*(up_Irr!L8)),IF(AND(up_Irr!L8=".",up_Irr!AK8=".",up_Irr!BJ8="."),up_dir!AM8*1000)))))))),".")</f>
        <v>6.5773651144152123E-11</v>
      </c>
      <c r="BN8" s="76">
        <f>IFERROR(IF(AND(up_Irr!M8&lt;&gt;".",up_Irr!AL8&lt;&gt;".",up_Irr!BK8&lt;&gt;"."),up_dir!AN8/((1/1000)*(up_Irr!M8+up_Irr!AL8+up_Irr!BK8)),IF(AND(up_Irr!M8&lt;&gt;".",up_Irr!AL8&lt;&gt;".",up_Irr!BK8="."),up_dir!AN8/((1/1000)*(up_Irr!M8+up_Irr!AL8)),IF(AND(up_Irr!M8&lt;&gt;".",up_Irr!AL8=".",up_Irr!BK8&lt;&gt;"."),up_dir!AN8/((1/1000)*(up_Irr!M8+up_Irr!BK8)),IF(AND(up_Irr!M8=".",up_Irr!AL8&lt;&gt;".",up_Irr!BK8&lt;&gt;"."),up_dir!AN8/((1/1000)*(up_Irr!AL8+up_Irr!BK8)),IF(AND(up_Irr!M8=".",up_Irr!AL8=".",up_Irr!BK8&lt;&gt;"."),up_dir!AN8/((1/1000)*(up_Irr!BK8)),IF(AND(up_Irr!M8=".",up_Irr!AL8&lt;&gt;".",up_Irr!BK8="."),up_dir!AN8/((1/1000)*(up_Irr!AL8)),IF(AND(up_Irr!M8&lt;&gt;".",up_Irr!AL8=".",up_Irr!BK8="."),up_dir!AN8/((1/1000)*(up_Irr!M8)),IF(AND(up_Irr!M8=".",up_Irr!AL8=".",up_Irr!BK8="."),up_dir!AN8*1000)))))))),".")</f>
        <v>6.5773651144152123E-11</v>
      </c>
      <c r="BO8" s="76">
        <f>IFERROR(IF(AND(up_Irr!N8&lt;&gt;".",up_Irr!AM8&lt;&gt;".",up_Irr!BL8&lt;&gt;"."),up_dir!AO8/((1/1000)*(up_Irr!N8+up_Irr!AM8+up_Irr!BL8)),IF(AND(up_Irr!N8&lt;&gt;".",up_Irr!AM8&lt;&gt;".",up_Irr!BL8="."),up_dir!AO8/((1/1000)*(up_Irr!N8+up_Irr!AM8)),IF(AND(up_Irr!N8&lt;&gt;".",up_Irr!AM8=".",up_Irr!BL8&lt;&gt;"."),up_dir!AO8/((1/1000)*(up_Irr!N8+up_Irr!BL8)),IF(AND(up_Irr!N8=".",up_Irr!AM8&lt;&gt;".",up_Irr!BL8&lt;&gt;"."),up_dir!AO8/((1/1000)*(up_Irr!AM8+up_Irr!BL8)),IF(AND(up_Irr!N8=".",up_Irr!AM8=".",up_Irr!BL8&lt;&gt;"."),up_dir!AO8/((1/1000)*(up_Irr!BL8)),IF(AND(up_Irr!N8=".",up_Irr!AM8&lt;&gt;".",up_Irr!BL8="."),up_dir!AO8/((1/1000)*(up_Irr!AM8)),IF(AND(up_Irr!N8&lt;&gt;".",up_Irr!AM8=".",up_Irr!BL8="."),up_dir!AO8/((1/1000)*(up_Irr!N8)),IF(AND(up_Irr!N8=".",up_Irr!AM8=".",up_Irr!BL8="."),up_dir!AO8*1000)))))))),".")</f>
        <v>6.5773651144152123E-11</v>
      </c>
      <c r="BP8" s="76">
        <f>IFERROR(IF(AND(up_Irr!O8&lt;&gt;".",up_Irr!AN8&lt;&gt;".",up_Irr!BM8&lt;&gt;"."),up_dir!AP8/((1/1000)*(up_Irr!O8+up_Irr!AN8+up_Irr!BM8)),IF(AND(up_Irr!O8&lt;&gt;".",up_Irr!AN8&lt;&gt;".",up_Irr!BM8="."),up_dir!AP8/((1/1000)*(up_Irr!O8+up_Irr!AN8)),IF(AND(up_Irr!O8&lt;&gt;".",up_Irr!AN8=".",up_Irr!BM8&lt;&gt;"."),up_dir!AP8/((1/1000)*(up_Irr!O8+up_Irr!BM8)),IF(AND(up_Irr!O8=".",up_Irr!AN8&lt;&gt;".",up_Irr!BM8&lt;&gt;"."),up_dir!AP8/((1/1000)*(up_Irr!AN8+up_Irr!BM8)),IF(AND(up_Irr!O8=".",up_Irr!AN8=".",up_Irr!BM8&lt;&gt;"."),up_dir!AP8/((1/1000)*(up_Irr!BM8)),IF(AND(up_Irr!O8=".",up_Irr!AN8&lt;&gt;".",up_Irr!BM8="."),up_dir!AP8/((1/1000)*(up_Irr!AN8)),IF(AND(up_Irr!O8&lt;&gt;".",up_Irr!AN8=".",up_Irr!BM8="."),up_dir!AP8/((1/1000)*(up_Irr!O8)),IF(AND(up_Irr!O8=".",up_Irr!AN8=".",up_Irr!BM8="."),up_dir!AP8*1000)))))))),".")</f>
        <v>6.5773651144152123E-11</v>
      </c>
      <c r="BQ8" s="76">
        <f>IFERROR(IF(AND(up_Irr!P8&lt;&gt;".",up_Irr!AO8&lt;&gt;".",up_Irr!BN8&lt;&gt;"."),up_dir!AQ8/((1/1000)*(up_Irr!P8+up_Irr!AO8+up_Irr!BN8)),IF(AND(up_Irr!P8&lt;&gt;".",up_Irr!AO8&lt;&gt;".",up_Irr!BN8="."),up_dir!AQ8/((1/1000)*(up_Irr!P8+up_Irr!AO8)),IF(AND(up_Irr!P8&lt;&gt;".",up_Irr!AO8=".",up_Irr!BN8&lt;&gt;"."),up_dir!AQ8/((1/1000)*(up_Irr!P8+up_Irr!BN8)),IF(AND(up_Irr!P8=".",up_Irr!AO8&lt;&gt;".",up_Irr!BN8&lt;&gt;"."),up_dir!AQ8/((1/1000)*(up_Irr!AO8+up_Irr!BN8)),IF(AND(up_Irr!P8=".",up_Irr!AO8=".",up_Irr!BN8&lt;&gt;"."),up_dir!AQ8/((1/1000)*(up_Irr!BN8)),IF(AND(up_Irr!P8=".",up_Irr!AO8&lt;&gt;".",up_Irr!BN8="."),up_dir!AQ8/((1/1000)*(up_Irr!AO8)),IF(AND(up_Irr!P8&lt;&gt;".",up_Irr!AO8=".",up_Irr!BN8="."),up_dir!AQ8/((1/1000)*(up_Irr!P8)),IF(AND(up_Irr!P8=".",up_Irr!AO8=".",up_Irr!BN8="."),up_dir!AQ8*1000)))))))),".")</f>
        <v>6.5773651144152123E-11</v>
      </c>
      <c r="BR8" s="76">
        <f>IFERROR(IF(AND(up_Irr!Q8&lt;&gt;".",up_Irr!AP8&lt;&gt;".",up_Irr!BO8&lt;&gt;"."),up_dir!AR8/((1/1000)*(up_Irr!Q8+up_Irr!AP8+up_Irr!BO8)),IF(AND(up_Irr!Q8&lt;&gt;".",up_Irr!AP8&lt;&gt;".",up_Irr!BO8="."),up_dir!AR8/((1/1000)*(up_Irr!Q8+up_Irr!AP8)),IF(AND(up_Irr!Q8&lt;&gt;".",up_Irr!AP8=".",up_Irr!BO8&lt;&gt;"."),up_dir!AR8/((1/1000)*(up_Irr!Q8+up_Irr!BO8)),IF(AND(up_Irr!Q8=".",up_Irr!AP8&lt;&gt;".",up_Irr!BO8&lt;&gt;"."),up_dir!AR8/((1/1000)*(up_Irr!AP8+up_Irr!BO8)),IF(AND(up_Irr!Q8=".",up_Irr!AP8=".",up_Irr!BO8&lt;&gt;"."),up_dir!AR8/((1/1000)*(up_Irr!BO8)),IF(AND(up_Irr!Q8=".",up_Irr!AP8&lt;&gt;".",up_Irr!BO8="."),up_dir!AR8/((1/1000)*(up_Irr!AP8)),IF(AND(up_Irr!Q8&lt;&gt;".",up_Irr!AP8=".",up_Irr!BO8="."),up_dir!AR8/((1/1000)*(up_Irr!Q8)),IF(AND(up_Irr!Q8=".",up_Irr!AP8=".",up_Irr!BO8="."),up_dir!AR8*1000)))))))),".")</f>
        <v>6.5773651144152123E-11</v>
      </c>
      <c r="BS8" s="76">
        <f>IFERROR(IF(AND(up_Irr!R8&lt;&gt;".",up_Irr!AQ8&lt;&gt;".",up_Irr!BP8&lt;&gt;"."),up_dir!AS8/((1/1000)*(up_Irr!R8+up_Irr!AQ8+up_Irr!BP8)),IF(AND(up_Irr!R8&lt;&gt;".",up_Irr!AQ8&lt;&gt;".",up_Irr!BP8="."),up_dir!AS8/((1/1000)*(up_Irr!R8+up_Irr!AQ8)),IF(AND(up_Irr!R8&lt;&gt;".",up_Irr!AQ8=".",up_Irr!BP8&lt;&gt;"."),up_dir!AS8/((1/1000)*(up_Irr!R8+up_Irr!BP8)),IF(AND(up_Irr!R8=".",up_Irr!AQ8&lt;&gt;".",up_Irr!BP8&lt;&gt;"."),up_dir!AS8/((1/1000)*(up_Irr!AQ8+up_Irr!BP8)),IF(AND(up_Irr!R8=".",up_Irr!AQ8=".",up_Irr!BP8&lt;&gt;"."),up_dir!AS8/((1/1000)*(up_Irr!BP8)),IF(AND(up_Irr!R8=".",up_Irr!AQ8&lt;&gt;".",up_Irr!BP8="."),up_dir!AS8/((1/1000)*(up_Irr!AQ8)),IF(AND(up_Irr!R8&lt;&gt;".",up_Irr!AQ8=".",up_Irr!BP8="."),up_dir!AS8/((1/1000)*(up_Irr!R8)),IF(AND(up_Irr!R8=".",up_Irr!AQ8=".",up_Irr!BP8="."),up_dir!AS8*1000)))))))),".")</f>
        <v>6.5773651144152123E-11</v>
      </c>
      <c r="BT8" s="76">
        <f>IFERROR(IF(AND(up_Irr!S8&lt;&gt;".",up_Irr!AR8&lt;&gt;".",up_Irr!BQ8&lt;&gt;"."),up_dir!AT8/((1/1000)*(up_Irr!S8+up_Irr!AR8+up_Irr!BQ8)),IF(AND(up_Irr!S8&lt;&gt;".",up_Irr!AR8&lt;&gt;".",up_Irr!BQ8="."),up_dir!AT8/((1/1000)*(up_Irr!S8+up_Irr!AR8)),IF(AND(up_Irr!S8&lt;&gt;".",up_Irr!AR8=".",up_Irr!BQ8&lt;&gt;"."),up_dir!AT8/((1/1000)*(up_Irr!S8+up_Irr!BQ8)),IF(AND(up_Irr!S8=".",up_Irr!AR8&lt;&gt;".",up_Irr!BQ8&lt;&gt;"."),up_dir!AT8/((1/1000)*(up_Irr!AR8+up_Irr!BQ8)),IF(AND(up_Irr!S8=".",up_Irr!AR8=".",up_Irr!BQ8&lt;&gt;"."),up_dir!AT8/((1/1000)*(up_Irr!BQ8)),IF(AND(up_Irr!S8=".",up_Irr!AR8&lt;&gt;".",up_Irr!BQ8="."),up_dir!AT8/((1/1000)*(up_Irr!AR8)),IF(AND(up_Irr!S8&lt;&gt;".",up_Irr!AR8=".",up_Irr!BQ8="."),up_dir!AT8/((1/1000)*(up_Irr!S8)),IF(AND(up_Irr!S8=".",up_Irr!AR8=".",up_Irr!BQ8="."),up_dir!AT8*1000)))))))),".")</f>
        <v>6.5773651144152123E-11</v>
      </c>
      <c r="BU8" s="76">
        <f>IFERROR(IF(AND(up_Irr!T8&lt;&gt;".",up_Irr!AS8&lt;&gt;".",up_Irr!BR8&lt;&gt;"."),up_dir!AU8/((1/1000)*(up_Irr!T8+up_Irr!AS8+up_Irr!BR8)),IF(AND(up_Irr!T8&lt;&gt;".",up_Irr!AS8&lt;&gt;".",up_Irr!BR8="."),up_dir!AU8/((1/1000)*(up_Irr!T8+up_Irr!AS8)),IF(AND(up_Irr!T8&lt;&gt;".",up_Irr!AS8=".",up_Irr!BR8&lt;&gt;"."),up_dir!AU8/((1/1000)*(up_Irr!T8+up_Irr!BR8)),IF(AND(up_Irr!T8=".",up_Irr!AS8&lt;&gt;".",up_Irr!BR8&lt;&gt;"."),up_dir!AU8/((1/1000)*(up_Irr!AS8+up_Irr!BR8)),IF(AND(up_Irr!T8=".",up_Irr!AS8=".",up_Irr!BR8&lt;&gt;"."),up_dir!AU8/((1/1000)*(up_Irr!BR8)),IF(AND(up_Irr!T8=".",up_Irr!AS8&lt;&gt;".",up_Irr!BR8="."),up_dir!AU8/((1/1000)*(up_Irr!AS8)),IF(AND(up_Irr!T8&lt;&gt;".",up_Irr!AS8=".",up_Irr!BR8="."),up_dir!AU8/((1/1000)*(up_Irr!T8)),IF(AND(up_Irr!T8=".",up_Irr!AS8=".",up_Irr!BR8="."),up_dir!AU8*1000)))))))),".")</f>
        <v>6.5773651144152123E-11</v>
      </c>
      <c r="BV8" s="76">
        <f>IFERROR(IF(AND(up_Irr!U8&lt;&gt;".",up_Irr!AT8&lt;&gt;".",up_Irr!BS8&lt;&gt;"."),up_dir!AV8/((1/1000)*(up_Irr!U8+up_Irr!AT8+up_Irr!BS8)),IF(AND(up_Irr!U8&lt;&gt;".",up_Irr!AT8&lt;&gt;".",up_Irr!BS8="."),up_dir!AV8/((1/1000)*(up_Irr!U8+up_Irr!AT8)),IF(AND(up_Irr!U8&lt;&gt;".",up_Irr!AT8=".",up_Irr!BS8&lt;&gt;"."),up_dir!AV8/((1/1000)*(up_Irr!U8+up_Irr!BS8)),IF(AND(up_Irr!U8=".",up_Irr!AT8&lt;&gt;".",up_Irr!BS8&lt;&gt;"."),up_dir!AV8/((1/1000)*(up_Irr!AT8+up_Irr!BS8)),IF(AND(up_Irr!U8=".",up_Irr!AT8=".",up_Irr!BS8&lt;&gt;"."),up_dir!AV8/((1/1000)*(up_Irr!BS8)),IF(AND(up_Irr!U8=".",up_Irr!AT8&lt;&gt;".",up_Irr!BS8="."),up_dir!AV8/((1/1000)*(up_Irr!AT8)),IF(AND(up_Irr!U8&lt;&gt;".",up_Irr!AT8=".",up_Irr!BS8="."),up_dir!AV8/((1/1000)*(up_Irr!U8)),IF(AND(up_Irr!U8=".",up_Irr!AT8=".",up_Irr!BS8="."),up_dir!AV8*1000)))))))),".")</f>
        <v>6.5773651144152123E-11</v>
      </c>
      <c r="BW8" s="76">
        <f>IFERROR(IF(AND(up_Irr!V8&lt;&gt;".",up_Irr!AU8&lt;&gt;".",up_Irr!BT8&lt;&gt;"."),up_dir!AW8/((1/1000)*(up_Irr!V8+up_Irr!AU8+up_Irr!BT8)),IF(AND(up_Irr!V8&lt;&gt;".",up_Irr!AU8&lt;&gt;".",up_Irr!BT8="."),up_dir!AW8/((1/1000)*(up_Irr!V8+up_Irr!AU8)),IF(AND(up_Irr!V8&lt;&gt;".",up_Irr!AU8=".",up_Irr!BT8&lt;&gt;"."),up_dir!AW8/((1/1000)*(up_Irr!V8+up_Irr!BT8)),IF(AND(up_Irr!V8=".",up_Irr!AU8&lt;&gt;".",up_Irr!BT8&lt;&gt;"."),up_dir!AW8/((1/1000)*(up_Irr!AU8+up_Irr!BT8)),IF(AND(up_Irr!V8=".",up_Irr!AU8=".",up_Irr!BT8&lt;&gt;"."),up_dir!AW8/((1/1000)*(up_Irr!BT8)),IF(AND(up_Irr!V8=".",up_Irr!AU8&lt;&gt;".",up_Irr!BT8="."),up_dir!AW8/((1/1000)*(up_Irr!AU8)),IF(AND(up_Irr!V8&lt;&gt;".",up_Irr!AU8=".",up_Irr!BT8="."),up_dir!AW8/((1/1000)*(up_Irr!V8)),IF(AND(up_Irr!V8=".",up_Irr!AU8=".",up_Irr!BT8="."),up_dir!AW8*1000)))))))),".")</f>
        <v>6.5773651144152123E-11</v>
      </c>
      <c r="BX8" s="76">
        <f>IFERROR(IF(AND(up_Irr!W8&lt;&gt;".",up_Irr!AV8&lt;&gt;".",up_Irr!BU8&lt;&gt;"."),up_dir!AX8/((1/1000)*(up_Irr!W8+up_Irr!AV8+up_Irr!BU8)),IF(AND(up_Irr!W8&lt;&gt;".",up_Irr!AV8&lt;&gt;".",up_Irr!BU8="."),up_dir!AX8/((1/1000)*(up_Irr!W8+up_Irr!AV8)),IF(AND(up_Irr!W8&lt;&gt;".",up_Irr!AV8=".",up_Irr!BU8&lt;&gt;"."),up_dir!AX8/((1/1000)*(up_Irr!W8+up_Irr!BU8)),IF(AND(up_Irr!W8=".",up_Irr!AV8&lt;&gt;".",up_Irr!BU8&lt;&gt;"."),up_dir!AX8/((1/1000)*(up_Irr!AV8+up_Irr!BU8)),IF(AND(up_Irr!W8=".",up_Irr!AV8=".",up_Irr!BU8&lt;&gt;"."),up_dir!AX8/((1/1000)*(up_Irr!BU8)),IF(AND(up_Irr!W8=".",up_Irr!AV8&lt;&gt;".",up_Irr!BU8="."),up_dir!AX8/((1/1000)*(up_Irr!AV8)),IF(AND(up_Irr!W8&lt;&gt;".",up_Irr!AV8=".",up_Irr!BU8="."),up_dir!AX8/((1/1000)*(up_Irr!W8)),IF(AND(up_Irr!W8=".",up_Irr!AV8=".",up_Irr!BU8="."),up_dir!AX8*1000)))))))),".")</f>
        <v>6.5773651144152123E-11</v>
      </c>
      <c r="BY8" s="76">
        <f>IFERROR(IF(AND(up_Irr!X8&lt;&gt;".",up_Irr!AW8&lt;&gt;".",up_Irr!BV8&lt;&gt;"."),up_dir!AY8/((1/1000)*(up_Irr!X8+up_Irr!AW8+up_Irr!BV8)),IF(AND(up_Irr!X8&lt;&gt;".",up_Irr!AW8&lt;&gt;".",up_Irr!BV8="."),up_dir!AY8/((1/1000)*(up_Irr!X8+up_Irr!AW8)),IF(AND(up_Irr!X8&lt;&gt;".",up_Irr!AW8=".",up_Irr!BV8&lt;&gt;"."),up_dir!AY8/((1/1000)*(up_Irr!X8+up_Irr!BV8)),IF(AND(up_Irr!X8=".",up_Irr!AW8&lt;&gt;".",up_Irr!BV8&lt;&gt;"."),up_dir!AY8/((1/1000)*(up_Irr!AW8+up_Irr!BV8)),IF(AND(up_Irr!X8=".",up_Irr!AW8=".",up_Irr!BV8&lt;&gt;"."),up_dir!AY8/((1/1000)*(up_Irr!BV8)),IF(AND(up_Irr!X8=".",up_Irr!AW8&lt;&gt;".",up_Irr!BV8="."),up_dir!AY8/((1/1000)*(up_Irr!AW8)),IF(AND(up_Irr!X8&lt;&gt;".",up_Irr!AW8=".",up_Irr!BV8="."),up_dir!AY8/((1/1000)*(up_Irr!X8)),IF(AND(up_Irr!X8=".",up_Irr!AW8=".",up_Irr!BV8="."),up_dir!AY8*1000)))))))),".")</f>
        <v>6.5773651144152123E-11</v>
      </c>
      <c r="BZ8" s="76">
        <f>IFERROR(IF(AND(up_Irr!Y8&lt;&gt;".",up_Irr!AX8&lt;&gt;".",up_Irr!BW8&lt;&gt;"."),up_dir!AZ8/((1/1000)*(up_Irr!Y8+up_Irr!AX8+up_Irr!BW8)),IF(AND(up_Irr!Y8&lt;&gt;".",up_Irr!AX8&lt;&gt;".",up_Irr!BW8="."),up_dir!AZ8/((1/1000)*(up_Irr!Y8+up_Irr!AX8)),IF(AND(up_Irr!Y8&lt;&gt;".",up_Irr!AX8=".",up_Irr!BW8&lt;&gt;"."),up_dir!AZ8/((1/1000)*(up_Irr!Y8+up_Irr!BW8)),IF(AND(up_Irr!Y8=".",up_Irr!AX8&lt;&gt;".",up_Irr!BW8&lt;&gt;"."),up_dir!AZ8/((1/1000)*(up_Irr!AX8+up_Irr!BW8)),IF(AND(up_Irr!Y8=".",up_Irr!AX8=".",up_Irr!BW8&lt;&gt;"."),up_dir!AZ8/((1/1000)*(up_Irr!BW8)),IF(AND(up_Irr!Y8=".",up_Irr!AX8&lt;&gt;".",up_Irr!BW8="."),up_dir!AZ8/((1/1000)*(up_Irr!AX8)),IF(AND(up_Irr!Y8&lt;&gt;".",up_Irr!AX8=".",up_Irr!BW8="."),up_dir!AZ8/((1/1000)*(up_Irr!Y8)),IF(AND(up_Irr!Y8=".",up_Irr!AX8=".",up_Irr!BW8="."),up_dir!AZ8*1000)))))))),".")</f>
        <v>6.5773651144152123E-11</v>
      </c>
      <c r="CA8" s="76">
        <f>IFERROR(IF(AND(up_Irr!Z8&lt;&gt;".",up_Irr!AY8&lt;&gt;".",up_Irr!BX8&lt;&gt;"."),up_dir!BA8/((1/1000)*(up_Irr!Z8+up_Irr!AY8+up_Irr!BX8)),IF(AND(up_Irr!Z8&lt;&gt;".",up_Irr!AY8&lt;&gt;".",up_Irr!BX8="."),up_dir!BA8/((1/1000)*(up_Irr!Z8+up_Irr!AY8)),IF(AND(up_Irr!Z8&lt;&gt;".",up_Irr!AY8=".",up_Irr!BX8&lt;&gt;"."),up_dir!BA8/((1/1000)*(up_Irr!Z8+up_Irr!BX8)),IF(AND(up_Irr!Z8=".",up_Irr!AY8&lt;&gt;".",up_Irr!BX8&lt;&gt;"."),up_dir!BA8/((1/1000)*(up_Irr!AY8+up_Irr!BX8)),IF(AND(up_Irr!Z8=".",up_Irr!AY8=".",up_Irr!BX8&lt;&gt;"."),up_dir!BA8/((1/1000)*(up_Irr!BX8)),IF(AND(up_Irr!Z8=".",up_Irr!AY8&lt;&gt;".",up_Irr!BX8="."),up_dir!BA8/((1/1000)*(up_Irr!AY8)),IF(AND(up_Irr!Z8&lt;&gt;".",up_Irr!AY8=".",up_Irr!BX8="."),up_dir!BA8/((1/1000)*(up_Irr!Z8)),IF(AND(up_Irr!Z8=".",up_Irr!AY8=".",up_Irr!BX8="."),up_dir!BA8*1000)))))))),".")</f>
        <v>6.5773651144152123E-11</v>
      </c>
      <c r="CB8" s="76">
        <f>IFERROR(IF(AND(up_Irr!AA8&lt;&gt;".",up_Irr!AZ8&lt;&gt;".",up_Irr!BY8&lt;&gt;"."),up_dir!BB8/((1/1000)*(up_Irr!AA8+up_Irr!AZ8+up_Irr!BY8)),IF(AND(up_Irr!AA8&lt;&gt;".",up_Irr!AZ8&lt;&gt;".",up_Irr!BY8="."),up_dir!BB8/((1/1000)*(up_Irr!AA8+up_Irr!AZ8)),IF(AND(up_Irr!AA8&lt;&gt;".",up_Irr!AZ8=".",up_Irr!BY8&lt;&gt;"."),up_dir!BB8/((1/1000)*(up_Irr!AA8+up_Irr!BY8)),IF(AND(up_Irr!AA8=".",up_Irr!AZ8&lt;&gt;".",up_Irr!BY8&lt;&gt;"."),up_dir!BB8/((1/1000)*(up_Irr!AZ8+up_Irr!BY8)),IF(AND(up_Irr!AA8=".",up_Irr!AZ8=".",up_Irr!BY8&lt;&gt;"."),up_dir!BB8/((1/1000)*(up_Irr!BY8)),IF(AND(up_Irr!AA8=".",up_Irr!AZ8&lt;&gt;".",up_Irr!BY8="."),up_dir!BB8/((1/1000)*(up_Irr!AZ8)),IF(AND(up_Irr!AA8&lt;&gt;".",up_Irr!AZ8=".",up_Irr!BY8="."),up_dir!BB8/((1/1000)*(up_Irr!AA8)),IF(AND(up_Irr!AA8=".",up_Irr!AZ8=".",up_Irr!BY8="."),up_dir!BB8*1000)))))))),".")</f>
        <v>6.5773651144152123E-11</v>
      </c>
      <c r="CC8" s="93">
        <f t="shared" si="3"/>
        <v>608146.26076229871</v>
      </c>
      <c r="CD8" s="93">
        <f>IFERROR(s_C*s_IFAP_far_adj*s_CF_apple*(1/1000)*(up_Irr!C8+up_Irr!AB8+up_Irr!BA8),".")</f>
        <v>152036.56519057468</v>
      </c>
      <c r="CE8" s="93">
        <f>IFERROR(s_C*s_IFAS_far_adj*s_CF_asparagus*(1/1000)*(up_Irr!D8+up_Irr!AC8+up_Irr!BB8),".")</f>
        <v>152036.56519057468</v>
      </c>
      <c r="CF8" s="93">
        <f>IFERROR(s_C*s_IFBT_far_adj*s_CF_beet*(1/1000)*(up_Irr!E8+up_Irr!AD8+up_Irr!BC8),".")</f>
        <v>152036.56519057468</v>
      </c>
      <c r="CG8" s="93">
        <f>IFERROR(s_C*s_IFBE_far_adj*s_CF_berries*(1/1000)*(up_Irr!F8+up_Irr!AE8+up_Irr!BD8),".")</f>
        <v>152036.56519057468</v>
      </c>
      <c r="CH8" s="93">
        <f>IFERROR(s_C*s_IFBR_far_adj*s_CF_broccoli*(1/1000)*(up_Irr!G8+up_Irr!AF8+up_Irr!BE8),".")</f>
        <v>152036.56519057468</v>
      </c>
      <c r="CI8" s="93">
        <f>IFERROR(s_C*s_IFCB_far_adj*s_CF_cabbage*(1/1000)*(up_Irr!H8+up_Irr!AG8+up_Irr!BF8),".")</f>
        <v>152036.56519057468</v>
      </c>
      <c r="CJ8" s="93">
        <f>IFERROR(s_C*s_IFCR_far_adj*s_CF_carrot*(1/1000)*(up_Irr!I8+up_Irr!AH8+up_Irr!BG8),".")</f>
        <v>152036.56519057468</v>
      </c>
      <c r="CK8" s="93">
        <f>IFERROR(s_C*s_IFCI_far_adj*s_CF_citrus*(1/1000)*(up_Irr!J8+up_Irr!AI8+up_Irr!BH8),".")</f>
        <v>152036.56519057468</v>
      </c>
      <c r="CL8" s="93">
        <f>IFERROR(s_C*s_IFCO_far_adj*s_CF_corn*(1/1000)*(up_Irr!K8+up_Irr!AJ8+up_Irr!BI8),".")</f>
        <v>152036.56519057468</v>
      </c>
      <c r="CM8" s="93">
        <f>IFERROR(s_C*s_IFCU_far_adj*s_CF_cucumber*(1/1000)*(up_Irr!L8+up_Irr!AK8+up_Irr!BJ8),".")</f>
        <v>152036.56519057468</v>
      </c>
      <c r="CN8" s="93">
        <f>IFERROR(s_C*s_IFLE_far_adj*s_CF_lettuce*(1/1000)*(up_Irr!M8+up_Irr!AL8+up_Irr!BK8),".")</f>
        <v>152036.56519057468</v>
      </c>
      <c r="CO8" s="93">
        <f>IFERROR(s_C*s_IFLI_far_adj*s_CF_lima_bean*(1/1000)*(up_Irr!N8+up_Irr!AM8+up_Irr!BL8),".")</f>
        <v>152036.56519057468</v>
      </c>
      <c r="CP8" s="93">
        <f>IFERROR(s_C*s_IFOK_far_adj*s_CF_okra*(1/1000)*(up_Irr!O8+up_Irr!AN8+up_Irr!BM8),".")</f>
        <v>152036.56519057468</v>
      </c>
      <c r="CQ8" s="93">
        <f>IFERROR(s_C*s_IFON_far_adj*s_CF_onion*(1/1000)*(up_Irr!P8+up_Irr!AO8+up_Irr!BN8),".")</f>
        <v>152036.56519057468</v>
      </c>
      <c r="CR8" s="93">
        <f>IFERROR(s_C*s_IFPC_far_adj*s_CF_peach*(1/1000)*(up_Irr!Q8+up_Irr!AP8+up_Irr!BO8),".")</f>
        <v>152036.56519057468</v>
      </c>
      <c r="CS8" s="93">
        <f>IFERROR(s_C*s_IFPR_far_adj*s_CF_pear*(1/1000)*(up_Irr!R8+up_Irr!AQ8+up_Irr!BP8),".")</f>
        <v>152036.56519057468</v>
      </c>
      <c r="CT8" s="93">
        <f>IFERROR(s_C*s_IFPE_far_adj*s_CF_peas*(1/1000)*(up_Irr!S8+up_Irr!AR8+up_Irr!BQ8),".")</f>
        <v>152036.56519057468</v>
      </c>
      <c r="CU8" s="93">
        <f>IFERROR(s_C*s_IFPP_far_adj*s_CF_peppers*(1/1000)*(up_Irr!T8+up_Irr!AS8+up_Irr!BR8),".")</f>
        <v>152036.56519057468</v>
      </c>
      <c r="CV8" s="93">
        <f>IFERROR(s_C*s_IFPT_far_adj*s_CF_potato*(1/1000)*(up_Irr!U8+up_Irr!AT8+up_Irr!BS8),".")</f>
        <v>152036.56519057468</v>
      </c>
      <c r="CW8" s="93">
        <f>IFERROR(s_C*s_IFPU_far_adj*s_CF_pumpkin*(1/1000)*(up_Irr!V8+up_Irr!AU8+up_Irr!BT8),".")</f>
        <v>152036.56519057468</v>
      </c>
      <c r="CX8" s="93">
        <f>IFERROR(s_C*s_IFSN_far_adj*s_CF_snap_bean*(1/1000)*(up_Irr!W8+up_Irr!AV8+up_Irr!BU8),".")</f>
        <v>152036.56519057468</v>
      </c>
      <c r="CY8" s="93">
        <f>IFERROR(s_C*s_IFST_far_adj*s_CF_strawberry*(1/1000)*(up_Irr!X8+up_Irr!AW8+up_Irr!BV8),".")</f>
        <v>152036.56519057468</v>
      </c>
      <c r="CZ8" s="93">
        <f>IFERROR(s_C*s_IFTO_far_adj*s_CF_tomato*(1/1000)*(up_Irr!Y8+up_Irr!AX8+up_Irr!BW8),".")</f>
        <v>152036.56519057468</v>
      </c>
      <c r="DA8" s="93">
        <f>IFERROR(s_C*s_IFRI_far_adj*s_CF_rice*(1/1000)*(up_Irr!Z8+up_Irr!AY8+up_Irr!BX8),".")</f>
        <v>152036.56519057468</v>
      </c>
      <c r="DB8" s="93">
        <f>IFERROR(s_C*s_IFCG_far_adj*s_CF_cereal*(1/1000)*(up_Irr!AA8+up_Irr!AZ8+up_Irr!BY8),".")</f>
        <v>152036.56519057468</v>
      </c>
    </row>
    <row r="9" spans="1:106" ht="15" customHeight="1" x14ac:dyDescent="0.25">
      <c r="A9" s="92" t="s">
        <v>19</v>
      </c>
      <c r="B9" s="90" t="s">
        <v>1071</v>
      </c>
      <c r="C9" s="15">
        <f t="shared" si="0"/>
        <v>1.6443412786038031E-11</v>
      </c>
      <c r="D9" s="76">
        <f>IFERROR(IF(AND(up_Irr!C9&lt;&gt;".",up_Irr!AB9&lt;&gt;".",up_Irr!BA9&lt;&gt;"."),up_dir!D9/((1/1000)*(up_Irr!C9+up_Irr!AB9+up_Irr!BA9)),IF(AND(up_Irr!C9&lt;&gt;".",up_Irr!AB9&lt;&gt;".",up_Irr!BA9="."),up_dir!D9/((1/1000)*(up_Irr!C9+up_Irr!AB9)),IF(AND(up_Irr!C9&lt;&gt;".",up_Irr!AB9=".",up_Irr!BA9&lt;&gt;"."),up_dir!D9/((1/1000)*(up_Irr!C9+up_Irr!BA9)),IF(AND(up_Irr!C9=".",up_Irr!AB9&lt;&gt;".",up_Irr!BA9&lt;&gt;"."),up_dir!D9/((1/1000)*(up_Irr!AB9+up_Irr!BA9)),IF(AND(up_Irr!C9=".",up_Irr!AB9=".",up_Irr!BA9&lt;&gt;"."),up_dir!D9/((1/1000)*(up_Irr!BA9)),IF(AND(up_Irr!C9=".",up_Irr!AB9&lt;&gt;".",up_Irr!BA9="."),up_dir!D9/((1/1000)*(up_Irr!AB9)),IF(AND(up_Irr!C9&lt;&gt;".",up_Irr!AB9=".",up_Irr!BA9="."),up_dir!D9/((1/1000)*(up_Irr!C9)),IF(AND(up_Irr!C9=".",up_Irr!AB9=".",up_Irr!BA9="."),up_dir!D9*1000)))))))),".")</f>
        <v>6.5773651144152123E-11</v>
      </c>
      <c r="E9" s="76">
        <f>IFERROR(IF(AND(up_Irr!D9&lt;&gt;".",up_Irr!AC9&lt;&gt;".",up_Irr!BB9&lt;&gt;"."),up_dir!E9/((1/1000)*(up_Irr!D9+up_Irr!AC9+up_Irr!BB9)),IF(AND(up_Irr!D9&lt;&gt;".",up_Irr!AC9&lt;&gt;".",up_Irr!BB9="."),up_dir!E9/((1/1000)*(up_Irr!D9+up_Irr!AC9)),IF(AND(up_Irr!D9&lt;&gt;".",up_Irr!AC9=".",up_Irr!BB9&lt;&gt;"."),up_dir!E9/((1/1000)*(up_Irr!D9+up_Irr!BB9)),IF(AND(up_Irr!D9=".",up_Irr!AC9&lt;&gt;".",up_Irr!BB9&lt;&gt;"."),up_dir!E9/((1/1000)*(up_Irr!AC9+up_Irr!BB9)),IF(AND(up_Irr!D9=".",up_Irr!AC9=".",up_Irr!BB9&lt;&gt;"."),up_dir!E9/((1/1000)*(up_Irr!BB9)),IF(AND(up_Irr!D9=".",up_Irr!AC9&lt;&gt;".",up_Irr!BB9="."),up_dir!E9/((1/1000)*(up_Irr!AC9)),IF(AND(up_Irr!D9&lt;&gt;".",up_Irr!AC9=".",up_Irr!BB9="."),up_dir!E9/((1/1000)*(up_Irr!D9)),IF(AND(up_Irr!D9=".",up_Irr!AC9=".",up_Irr!BB9="."),up_dir!E9*1000)))))))),".")</f>
        <v>6.5773651144152123E-11</v>
      </c>
      <c r="F9" s="76">
        <f>IFERROR(IF(AND(up_Irr!E9&lt;&gt;".",up_Irr!AD9&lt;&gt;".",up_Irr!BC9&lt;&gt;"."),up_dir!F9/((1/1000)*(up_Irr!E9+up_Irr!AD9+up_Irr!BC9)),IF(AND(up_Irr!E9&lt;&gt;".",up_Irr!AD9&lt;&gt;".",up_Irr!BC9="."),up_dir!F9/((1/1000)*(up_Irr!E9+up_Irr!AD9)),IF(AND(up_Irr!E9&lt;&gt;".",up_Irr!AD9=".",up_Irr!BC9&lt;&gt;"."),up_dir!F9/((1/1000)*(up_Irr!E9+up_Irr!BC9)),IF(AND(up_Irr!E9=".",up_Irr!AD9&lt;&gt;".",up_Irr!BC9&lt;&gt;"."),up_dir!F9/((1/1000)*(up_Irr!AD9+up_Irr!BC9)),IF(AND(up_Irr!E9=".",up_Irr!AD9=".",up_Irr!BC9&lt;&gt;"."),up_dir!F9/((1/1000)*(up_Irr!BC9)),IF(AND(up_Irr!E9=".",up_Irr!AD9&lt;&gt;".",up_Irr!BC9="."),up_dir!F9/((1/1000)*(up_Irr!AD9)),IF(AND(up_Irr!E9&lt;&gt;".",up_Irr!AD9=".",up_Irr!BC9="."),up_dir!F9/((1/1000)*(up_Irr!E9)),IF(AND(up_Irr!E9=".",up_Irr!AD9=".",up_Irr!BC9="."),up_dir!F9*1000)))))))),".")</f>
        <v>6.5773651144152123E-11</v>
      </c>
      <c r="G9" s="76">
        <f>IFERROR(IF(AND(up_Irr!F9&lt;&gt;".",up_Irr!AE9&lt;&gt;".",up_Irr!BD9&lt;&gt;"."),up_dir!G9/((1/1000)*(up_Irr!F9+up_Irr!AE9+up_Irr!BD9)),IF(AND(up_Irr!F9&lt;&gt;".",up_Irr!AE9&lt;&gt;".",up_Irr!BD9="."),up_dir!G9/((1/1000)*(up_Irr!F9+up_Irr!AE9)),IF(AND(up_Irr!F9&lt;&gt;".",up_Irr!AE9=".",up_Irr!BD9&lt;&gt;"."),up_dir!G9/((1/1000)*(up_Irr!F9+up_Irr!BD9)),IF(AND(up_Irr!F9=".",up_Irr!AE9&lt;&gt;".",up_Irr!BD9&lt;&gt;"."),up_dir!G9/((1/1000)*(up_Irr!AE9+up_Irr!BD9)),IF(AND(up_Irr!F9=".",up_Irr!AE9=".",up_Irr!BD9&lt;&gt;"."),up_dir!G9/((1/1000)*(up_Irr!BD9)),IF(AND(up_Irr!F9=".",up_Irr!AE9&lt;&gt;".",up_Irr!BD9="."),up_dir!G9/((1/1000)*(up_Irr!AE9)),IF(AND(up_Irr!F9&lt;&gt;".",up_Irr!AE9=".",up_Irr!BD9="."),up_dir!G9/((1/1000)*(up_Irr!F9)),IF(AND(up_Irr!F9=".",up_Irr!AE9=".",up_Irr!BD9="."),up_dir!G9*1000)))))))),".")</f>
        <v>6.5773651144152123E-11</v>
      </c>
      <c r="H9" s="76">
        <f>IFERROR(IF(AND(up_Irr!G9&lt;&gt;".",up_Irr!AF9&lt;&gt;".",up_Irr!BE9&lt;&gt;"."),up_dir!H9/((1/1000)*(up_Irr!G9+up_Irr!AF9+up_Irr!BE9)),IF(AND(up_Irr!G9&lt;&gt;".",up_Irr!AF9&lt;&gt;".",up_Irr!BE9="."),up_dir!H9/((1/1000)*(up_Irr!G9+up_Irr!AF9)),IF(AND(up_Irr!G9&lt;&gt;".",up_Irr!AF9=".",up_Irr!BE9&lt;&gt;"."),up_dir!H9/((1/1000)*(up_Irr!G9+up_Irr!BE9)),IF(AND(up_Irr!G9=".",up_Irr!AF9&lt;&gt;".",up_Irr!BE9&lt;&gt;"."),up_dir!H9/((1/1000)*(up_Irr!AF9+up_Irr!BE9)),IF(AND(up_Irr!G9=".",up_Irr!AF9=".",up_Irr!BE9&lt;&gt;"."),up_dir!H9/((1/1000)*(up_Irr!BE9)),IF(AND(up_Irr!G9=".",up_Irr!AF9&lt;&gt;".",up_Irr!BE9="."),up_dir!H9/((1/1000)*(up_Irr!AF9)),IF(AND(up_Irr!G9&lt;&gt;".",up_Irr!AF9=".",up_Irr!BE9="."),up_dir!H9/((1/1000)*(up_Irr!G9)),IF(AND(up_Irr!G9=".",up_Irr!AF9=".",up_Irr!BE9="."),up_dir!H9*1000)))))))),".")</f>
        <v>6.5773651144152123E-11</v>
      </c>
      <c r="I9" s="76">
        <f>IFERROR(IF(AND(up_Irr!H9&lt;&gt;".",up_Irr!AG9&lt;&gt;".",up_Irr!BF9&lt;&gt;"."),up_dir!I9/((1/1000)*(up_Irr!H9+up_Irr!AG9+up_Irr!BF9)),IF(AND(up_Irr!H9&lt;&gt;".",up_Irr!AG9&lt;&gt;".",up_Irr!BF9="."),up_dir!I9/((1/1000)*(up_Irr!H9+up_Irr!AG9)),IF(AND(up_Irr!H9&lt;&gt;".",up_Irr!AG9=".",up_Irr!BF9&lt;&gt;"."),up_dir!I9/((1/1000)*(up_Irr!H9+up_Irr!BF9)),IF(AND(up_Irr!H9=".",up_Irr!AG9&lt;&gt;".",up_Irr!BF9&lt;&gt;"."),up_dir!I9/((1/1000)*(up_Irr!AG9+up_Irr!BF9)),IF(AND(up_Irr!H9=".",up_Irr!AG9=".",up_Irr!BF9&lt;&gt;"."),up_dir!I9/((1/1000)*(up_Irr!BF9)),IF(AND(up_Irr!H9=".",up_Irr!AG9&lt;&gt;".",up_Irr!BF9="."),up_dir!I9/((1/1000)*(up_Irr!AG9)),IF(AND(up_Irr!H9&lt;&gt;".",up_Irr!AG9=".",up_Irr!BF9="."),up_dir!I9/((1/1000)*(up_Irr!H9)),IF(AND(up_Irr!H9=".",up_Irr!AG9=".",up_Irr!BF9="."),up_dir!I9*1000)))))))),".")</f>
        <v>6.5773651144152123E-11</v>
      </c>
      <c r="J9" s="76">
        <f>IFERROR(IF(AND(up_Irr!I9&lt;&gt;".",up_Irr!AH9&lt;&gt;".",up_Irr!BG9&lt;&gt;"."),up_dir!J9/((1/1000)*(up_Irr!I9+up_Irr!AH9+up_Irr!BG9)),IF(AND(up_Irr!I9&lt;&gt;".",up_Irr!AH9&lt;&gt;".",up_Irr!BG9="."),up_dir!J9/((1/1000)*(up_Irr!I9+up_Irr!AH9)),IF(AND(up_Irr!I9&lt;&gt;".",up_Irr!AH9=".",up_Irr!BG9&lt;&gt;"."),up_dir!J9/((1/1000)*(up_Irr!I9+up_Irr!BG9)),IF(AND(up_Irr!I9=".",up_Irr!AH9&lt;&gt;".",up_Irr!BG9&lt;&gt;"."),up_dir!J9/((1/1000)*(up_Irr!AH9+up_Irr!BG9)),IF(AND(up_Irr!I9=".",up_Irr!AH9=".",up_Irr!BG9&lt;&gt;"."),up_dir!J9/((1/1000)*(up_Irr!BG9)),IF(AND(up_Irr!I9=".",up_Irr!AH9&lt;&gt;".",up_Irr!BG9="."),up_dir!J9/((1/1000)*(up_Irr!AH9)),IF(AND(up_Irr!I9&lt;&gt;".",up_Irr!AH9=".",up_Irr!BG9="."),up_dir!J9/((1/1000)*(up_Irr!I9)),IF(AND(up_Irr!I9=".",up_Irr!AH9=".",up_Irr!BG9="."),up_dir!J9*1000)))))))),".")</f>
        <v>6.5773651144152123E-11</v>
      </c>
      <c r="K9" s="76">
        <f>IFERROR(IF(AND(up_Irr!J9&lt;&gt;".",up_Irr!AI9&lt;&gt;".",up_Irr!BH9&lt;&gt;"."),up_dir!K9/((1/1000)*(up_Irr!J9+up_Irr!AI9+up_Irr!BH9)),IF(AND(up_Irr!J9&lt;&gt;".",up_Irr!AI9&lt;&gt;".",up_Irr!BH9="."),up_dir!K9/((1/1000)*(up_Irr!J9+up_Irr!AI9)),IF(AND(up_Irr!J9&lt;&gt;".",up_Irr!AI9=".",up_Irr!BH9&lt;&gt;"."),up_dir!K9/((1/1000)*(up_Irr!J9+up_Irr!BH9)),IF(AND(up_Irr!J9=".",up_Irr!AI9&lt;&gt;".",up_Irr!BH9&lt;&gt;"."),up_dir!K9/((1/1000)*(up_Irr!AI9+up_Irr!BH9)),IF(AND(up_Irr!J9=".",up_Irr!AI9=".",up_Irr!BH9&lt;&gt;"."),up_dir!K9/((1/1000)*(up_Irr!BH9)),IF(AND(up_Irr!J9=".",up_Irr!AI9&lt;&gt;".",up_Irr!BH9="."),up_dir!K9/((1/1000)*(up_Irr!AI9)),IF(AND(up_Irr!J9&lt;&gt;".",up_Irr!AI9=".",up_Irr!BH9="."),up_dir!K9/((1/1000)*(up_Irr!J9)),IF(AND(up_Irr!J9=".",up_Irr!AI9=".",up_Irr!BH9="."),up_dir!K9*1000)))))))),".")</f>
        <v>6.5773651144152123E-11</v>
      </c>
      <c r="L9" s="76">
        <f>IFERROR(IF(AND(up_Irr!K9&lt;&gt;".",up_Irr!AJ9&lt;&gt;".",up_Irr!BI9&lt;&gt;"."),up_dir!L9/((1/1000)*(up_Irr!K9+up_Irr!AJ9+up_Irr!BI9)),IF(AND(up_Irr!K9&lt;&gt;".",up_Irr!AJ9&lt;&gt;".",up_Irr!BI9="."),up_dir!L9/((1/1000)*(up_Irr!K9+up_Irr!AJ9)),IF(AND(up_Irr!K9&lt;&gt;".",up_Irr!AJ9=".",up_Irr!BI9&lt;&gt;"."),up_dir!L9/((1/1000)*(up_Irr!K9+up_Irr!BI9)),IF(AND(up_Irr!K9=".",up_Irr!AJ9&lt;&gt;".",up_Irr!BI9&lt;&gt;"."),up_dir!L9/((1/1000)*(up_Irr!AJ9+up_Irr!BI9)),IF(AND(up_Irr!K9=".",up_Irr!AJ9=".",up_Irr!BI9&lt;&gt;"."),up_dir!L9/((1/1000)*(up_Irr!BI9)),IF(AND(up_Irr!K9=".",up_Irr!AJ9&lt;&gt;".",up_Irr!BI9="."),up_dir!L9/((1/1000)*(up_Irr!AJ9)),IF(AND(up_Irr!K9&lt;&gt;".",up_Irr!AJ9=".",up_Irr!BI9="."),up_dir!L9/((1/1000)*(up_Irr!K9)),IF(AND(up_Irr!K9=".",up_Irr!AJ9=".",up_Irr!BI9="."),up_dir!L9*1000)))))))),".")</f>
        <v>6.5773651144152123E-11</v>
      </c>
      <c r="M9" s="76">
        <f>IFERROR(IF(AND(up_Irr!L9&lt;&gt;".",up_Irr!AK9&lt;&gt;".",up_Irr!BJ9&lt;&gt;"."),up_dir!M9/((1/1000)*(up_Irr!L9+up_Irr!AK9+up_Irr!BJ9)),IF(AND(up_Irr!L9&lt;&gt;".",up_Irr!AK9&lt;&gt;".",up_Irr!BJ9="."),up_dir!M9/((1/1000)*(up_Irr!L9+up_Irr!AK9)),IF(AND(up_Irr!L9&lt;&gt;".",up_Irr!AK9=".",up_Irr!BJ9&lt;&gt;"."),up_dir!M9/((1/1000)*(up_Irr!L9+up_Irr!BJ9)),IF(AND(up_Irr!L9=".",up_Irr!AK9&lt;&gt;".",up_Irr!BJ9&lt;&gt;"."),up_dir!M9/((1/1000)*(up_Irr!AK9+up_Irr!BJ9)),IF(AND(up_Irr!L9=".",up_Irr!AK9=".",up_Irr!BJ9&lt;&gt;"."),up_dir!M9/((1/1000)*(up_Irr!BJ9)),IF(AND(up_Irr!L9=".",up_Irr!AK9&lt;&gt;".",up_Irr!BJ9="."),up_dir!M9/((1/1000)*(up_Irr!AK9)),IF(AND(up_Irr!L9&lt;&gt;".",up_Irr!AK9=".",up_Irr!BJ9="."),up_dir!M9/((1/1000)*(up_Irr!L9)),IF(AND(up_Irr!L9=".",up_Irr!AK9=".",up_Irr!BJ9="."),up_dir!M9*1000)))))))),".")</f>
        <v>6.5773651144152123E-11</v>
      </c>
      <c r="N9" s="76">
        <f>IFERROR(IF(AND(up_Irr!M9&lt;&gt;".",up_Irr!AL9&lt;&gt;".",up_Irr!BK9&lt;&gt;"."),up_dir!N9/((1/1000)*(up_Irr!M9+up_Irr!AL9+up_Irr!BK9)),IF(AND(up_Irr!M9&lt;&gt;".",up_Irr!AL9&lt;&gt;".",up_Irr!BK9="."),up_dir!N9/((1/1000)*(up_Irr!M9+up_Irr!AL9)),IF(AND(up_Irr!M9&lt;&gt;".",up_Irr!AL9=".",up_Irr!BK9&lt;&gt;"."),up_dir!N9/((1/1000)*(up_Irr!M9+up_Irr!BK9)),IF(AND(up_Irr!M9=".",up_Irr!AL9&lt;&gt;".",up_Irr!BK9&lt;&gt;"."),up_dir!N9/((1/1000)*(up_Irr!AL9+up_Irr!BK9)),IF(AND(up_Irr!M9=".",up_Irr!AL9=".",up_Irr!BK9&lt;&gt;"."),up_dir!N9/((1/1000)*(up_Irr!BK9)),IF(AND(up_Irr!M9=".",up_Irr!AL9&lt;&gt;".",up_Irr!BK9="."),up_dir!N9/((1/1000)*(up_Irr!AL9)),IF(AND(up_Irr!M9&lt;&gt;".",up_Irr!AL9=".",up_Irr!BK9="."),up_dir!N9/((1/1000)*(up_Irr!M9)),IF(AND(up_Irr!M9=".",up_Irr!AL9=".",up_Irr!BK9="."),up_dir!N9*1000)))))))),".")</f>
        <v>6.5773651144152123E-11</v>
      </c>
      <c r="O9" s="76">
        <f>IFERROR(IF(AND(up_Irr!N9&lt;&gt;".",up_Irr!AM9&lt;&gt;".",up_Irr!BL9&lt;&gt;"."),up_dir!O9/((1/1000)*(up_Irr!N9+up_Irr!AM9+up_Irr!BL9)),IF(AND(up_Irr!N9&lt;&gt;".",up_Irr!AM9&lt;&gt;".",up_Irr!BL9="."),up_dir!O9/((1/1000)*(up_Irr!N9+up_Irr!AM9)),IF(AND(up_Irr!N9&lt;&gt;".",up_Irr!AM9=".",up_Irr!BL9&lt;&gt;"."),up_dir!O9/((1/1000)*(up_Irr!N9+up_Irr!BL9)),IF(AND(up_Irr!N9=".",up_Irr!AM9&lt;&gt;".",up_Irr!BL9&lt;&gt;"."),up_dir!O9/((1/1000)*(up_Irr!AM9+up_Irr!BL9)),IF(AND(up_Irr!N9=".",up_Irr!AM9=".",up_Irr!BL9&lt;&gt;"."),up_dir!O9/((1/1000)*(up_Irr!BL9)),IF(AND(up_Irr!N9=".",up_Irr!AM9&lt;&gt;".",up_Irr!BL9="."),up_dir!O9/((1/1000)*(up_Irr!AM9)),IF(AND(up_Irr!N9&lt;&gt;".",up_Irr!AM9=".",up_Irr!BL9="."),up_dir!O9/((1/1000)*(up_Irr!N9)),IF(AND(up_Irr!N9=".",up_Irr!AM9=".",up_Irr!BL9="."),up_dir!O9*1000)))))))),".")</f>
        <v>6.5773651144152123E-11</v>
      </c>
      <c r="P9" s="76">
        <f>IFERROR(IF(AND(up_Irr!O9&lt;&gt;".",up_Irr!AN9&lt;&gt;".",up_Irr!BM9&lt;&gt;"."),up_dir!P9/((1/1000)*(up_Irr!O9+up_Irr!AN9+up_Irr!BM9)),IF(AND(up_Irr!O9&lt;&gt;".",up_Irr!AN9&lt;&gt;".",up_Irr!BM9="."),up_dir!P9/((1/1000)*(up_Irr!O9+up_Irr!AN9)),IF(AND(up_Irr!O9&lt;&gt;".",up_Irr!AN9=".",up_Irr!BM9&lt;&gt;"."),up_dir!P9/((1/1000)*(up_Irr!O9+up_Irr!BM9)),IF(AND(up_Irr!O9=".",up_Irr!AN9&lt;&gt;".",up_Irr!BM9&lt;&gt;"."),up_dir!P9/((1/1000)*(up_Irr!AN9+up_Irr!BM9)),IF(AND(up_Irr!O9=".",up_Irr!AN9=".",up_Irr!BM9&lt;&gt;"."),up_dir!P9/((1/1000)*(up_Irr!BM9)),IF(AND(up_Irr!O9=".",up_Irr!AN9&lt;&gt;".",up_Irr!BM9="."),up_dir!P9/((1/1000)*(up_Irr!AN9)),IF(AND(up_Irr!O9&lt;&gt;".",up_Irr!AN9=".",up_Irr!BM9="."),up_dir!P9/((1/1000)*(up_Irr!O9)),IF(AND(up_Irr!O9=".",up_Irr!AN9=".",up_Irr!BM9="."),up_dir!P9*1000)))))))),".")</f>
        <v>6.5773651144152123E-11</v>
      </c>
      <c r="Q9" s="76">
        <f>IFERROR(IF(AND(up_Irr!P9&lt;&gt;".",up_Irr!AO9&lt;&gt;".",up_Irr!BN9&lt;&gt;"."),up_dir!Q9/((1/1000)*(up_Irr!P9+up_Irr!AO9+up_Irr!BN9)),IF(AND(up_Irr!P9&lt;&gt;".",up_Irr!AO9&lt;&gt;".",up_Irr!BN9="."),up_dir!Q9/((1/1000)*(up_Irr!P9+up_Irr!AO9)),IF(AND(up_Irr!P9&lt;&gt;".",up_Irr!AO9=".",up_Irr!BN9&lt;&gt;"."),up_dir!Q9/((1/1000)*(up_Irr!P9+up_Irr!BN9)),IF(AND(up_Irr!P9=".",up_Irr!AO9&lt;&gt;".",up_Irr!BN9&lt;&gt;"."),up_dir!Q9/((1/1000)*(up_Irr!AO9+up_Irr!BN9)),IF(AND(up_Irr!P9=".",up_Irr!AO9=".",up_Irr!BN9&lt;&gt;"."),up_dir!Q9/((1/1000)*(up_Irr!BN9)),IF(AND(up_Irr!P9=".",up_Irr!AO9&lt;&gt;".",up_Irr!BN9="."),up_dir!Q9/((1/1000)*(up_Irr!AO9)),IF(AND(up_Irr!P9&lt;&gt;".",up_Irr!AO9=".",up_Irr!BN9="."),up_dir!Q9/((1/1000)*(up_Irr!P9)),IF(AND(up_Irr!P9=".",up_Irr!AO9=".",up_Irr!BN9="."),up_dir!Q9*1000)))))))),".")</f>
        <v>6.5773651144152123E-11</v>
      </c>
      <c r="R9" s="76">
        <f>IFERROR(IF(AND(up_Irr!Q9&lt;&gt;".",up_Irr!AP9&lt;&gt;".",up_Irr!BO9&lt;&gt;"."),up_dir!R9/((1/1000)*(up_Irr!Q9+up_Irr!AP9+up_Irr!BO9)),IF(AND(up_Irr!Q9&lt;&gt;".",up_Irr!AP9&lt;&gt;".",up_Irr!BO9="."),up_dir!R9/((1/1000)*(up_Irr!Q9+up_Irr!AP9)),IF(AND(up_Irr!Q9&lt;&gt;".",up_Irr!AP9=".",up_Irr!BO9&lt;&gt;"."),up_dir!R9/((1/1000)*(up_Irr!Q9+up_Irr!BO9)),IF(AND(up_Irr!Q9=".",up_Irr!AP9&lt;&gt;".",up_Irr!BO9&lt;&gt;"."),up_dir!R9/((1/1000)*(up_Irr!AP9+up_Irr!BO9)),IF(AND(up_Irr!Q9=".",up_Irr!AP9=".",up_Irr!BO9&lt;&gt;"."),up_dir!R9/((1/1000)*(up_Irr!BO9)),IF(AND(up_Irr!Q9=".",up_Irr!AP9&lt;&gt;".",up_Irr!BO9="."),up_dir!R9/((1/1000)*(up_Irr!AP9)),IF(AND(up_Irr!Q9&lt;&gt;".",up_Irr!AP9=".",up_Irr!BO9="."),up_dir!R9/((1/1000)*(up_Irr!Q9)),IF(AND(up_Irr!Q9=".",up_Irr!AP9=".",up_Irr!BO9="."),up_dir!R9*1000)))))))),".")</f>
        <v>6.5773651144152123E-11</v>
      </c>
      <c r="S9" s="76">
        <f>IFERROR(IF(AND(up_Irr!R9&lt;&gt;".",up_Irr!AQ9&lt;&gt;".",up_Irr!BP9&lt;&gt;"."),up_dir!S9/((1/1000)*(up_Irr!R9+up_Irr!AQ9+up_Irr!BP9)),IF(AND(up_Irr!R9&lt;&gt;".",up_Irr!AQ9&lt;&gt;".",up_Irr!BP9="."),up_dir!S9/((1/1000)*(up_Irr!R9+up_Irr!AQ9)),IF(AND(up_Irr!R9&lt;&gt;".",up_Irr!AQ9=".",up_Irr!BP9&lt;&gt;"."),up_dir!S9/((1/1000)*(up_Irr!R9+up_Irr!BP9)),IF(AND(up_Irr!R9=".",up_Irr!AQ9&lt;&gt;".",up_Irr!BP9&lt;&gt;"."),up_dir!S9/((1/1000)*(up_Irr!AQ9+up_Irr!BP9)),IF(AND(up_Irr!R9=".",up_Irr!AQ9=".",up_Irr!BP9&lt;&gt;"."),up_dir!S9/((1/1000)*(up_Irr!BP9)),IF(AND(up_Irr!R9=".",up_Irr!AQ9&lt;&gt;".",up_Irr!BP9="."),up_dir!S9/((1/1000)*(up_Irr!AQ9)),IF(AND(up_Irr!R9&lt;&gt;".",up_Irr!AQ9=".",up_Irr!BP9="."),up_dir!S9/((1/1000)*(up_Irr!R9)),IF(AND(up_Irr!R9=".",up_Irr!AQ9=".",up_Irr!BP9="."),up_dir!S9*1000)))))))),".")</f>
        <v>6.5773651144152123E-11</v>
      </c>
      <c r="T9" s="76">
        <f>IFERROR(IF(AND(up_Irr!S9&lt;&gt;".",up_Irr!AR9&lt;&gt;".",up_Irr!BQ9&lt;&gt;"."),up_dir!T9/((1/1000)*(up_Irr!S9+up_Irr!AR9+up_Irr!BQ9)),IF(AND(up_Irr!S9&lt;&gt;".",up_Irr!AR9&lt;&gt;".",up_Irr!BQ9="."),up_dir!T9/((1/1000)*(up_Irr!S9+up_Irr!AR9)),IF(AND(up_Irr!S9&lt;&gt;".",up_Irr!AR9=".",up_Irr!BQ9&lt;&gt;"."),up_dir!T9/((1/1000)*(up_Irr!S9+up_Irr!BQ9)),IF(AND(up_Irr!S9=".",up_Irr!AR9&lt;&gt;".",up_Irr!BQ9&lt;&gt;"."),up_dir!T9/((1/1000)*(up_Irr!AR9+up_Irr!BQ9)),IF(AND(up_Irr!S9=".",up_Irr!AR9=".",up_Irr!BQ9&lt;&gt;"."),up_dir!T9/((1/1000)*(up_Irr!BQ9)),IF(AND(up_Irr!S9=".",up_Irr!AR9&lt;&gt;".",up_Irr!BQ9="."),up_dir!T9/((1/1000)*(up_Irr!AR9)),IF(AND(up_Irr!S9&lt;&gt;".",up_Irr!AR9=".",up_Irr!BQ9="."),up_dir!T9/((1/1000)*(up_Irr!S9)),IF(AND(up_Irr!S9=".",up_Irr!AR9=".",up_Irr!BQ9="."),up_dir!T9*1000)))))))),".")</f>
        <v>6.5773651144152123E-11</v>
      </c>
      <c r="U9" s="76">
        <f>IFERROR(IF(AND(up_Irr!T9&lt;&gt;".",up_Irr!AS9&lt;&gt;".",up_Irr!BR9&lt;&gt;"."),up_dir!U9/((1/1000)*(up_Irr!T9+up_Irr!AS9+up_Irr!BR9)),IF(AND(up_Irr!T9&lt;&gt;".",up_Irr!AS9&lt;&gt;".",up_Irr!BR9="."),up_dir!U9/((1/1000)*(up_Irr!T9+up_Irr!AS9)),IF(AND(up_Irr!T9&lt;&gt;".",up_Irr!AS9=".",up_Irr!BR9&lt;&gt;"."),up_dir!U9/((1/1000)*(up_Irr!T9+up_Irr!BR9)),IF(AND(up_Irr!T9=".",up_Irr!AS9&lt;&gt;".",up_Irr!BR9&lt;&gt;"."),up_dir!U9/((1/1000)*(up_Irr!AS9+up_Irr!BR9)),IF(AND(up_Irr!T9=".",up_Irr!AS9=".",up_Irr!BR9&lt;&gt;"."),up_dir!U9/((1/1000)*(up_Irr!BR9)),IF(AND(up_Irr!T9=".",up_Irr!AS9&lt;&gt;".",up_Irr!BR9="."),up_dir!U9/((1/1000)*(up_Irr!AS9)),IF(AND(up_Irr!T9&lt;&gt;".",up_Irr!AS9=".",up_Irr!BR9="."),up_dir!U9/((1/1000)*(up_Irr!T9)),IF(AND(up_Irr!T9=".",up_Irr!AS9=".",up_Irr!BR9="."),up_dir!U9*1000)))))))),".")</f>
        <v>6.5773651144152123E-11</v>
      </c>
      <c r="V9" s="76">
        <f>IFERROR(IF(AND(up_Irr!U9&lt;&gt;".",up_Irr!AT9&lt;&gt;".",up_Irr!BS9&lt;&gt;"."),up_dir!V9/((1/1000)*(up_Irr!U9+up_Irr!AT9+up_Irr!BS9)),IF(AND(up_Irr!U9&lt;&gt;".",up_Irr!AT9&lt;&gt;".",up_Irr!BS9="."),up_dir!V9/((1/1000)*(up_Irr!U9+up_Irr!AT9)),IF(AND(up_Irr!U9&lt;&gt;".",up_Irr!AT9=".",up_Irr!BS9&lt;&gt;"."),up_dir!V9/((1/1000)*(up_Irr!U9+up_Irr!BS9)),IF(AND(up_Irr!U9=".",up_Irr!AT9&lt;&gt;".",up_Irr!BS9&lt;&gt;"."),up_dir!V9/((1/1000)*(up_Irr!AT9+up_Irr!BS9)),IF(AND(up_Irr!U9=".",up_Irr!AT9=".",up_Irr!BS9&lt;&gt;"."),up_dir!V9/((1/1000)*(up_Irr!BS9)),IF(AND(up_Irr!U9=".",up_Irr!AT9&lt;&gt;".",up_Irr!BS9="."),up_dir!V9/((1/1000)*(up_Irr!AT9)),IF(AND(up_Irr!U9&lt;&gt;".",up_Irr!AT9=".",up_Irr!BS9="."),up_dir!V9/((1/1000)*(up_Irr!U9)),IF(AND(up_Irr!U9=".",up_Irr!AT9=".",up_Irr!BS9="."),up_dir!V9*1000)))))))),".")</f>
        <v>6.5773651144152123E-11</v>
      </c>
      <c r="W9" s="76">
        <f>IFERROR(IF(AND(up_Irr!V9&lt;&gt;".",up_Irr!AU9&lt;&gt;".",up_Irr!BT9&lt;&gt;"."),up_dir!W9/((1/1000)*(up_Irr!V9+up_Irr!AU9+up_Irr!BT9)),IF(AND(up_Irr!V9&lt;&gt;".",up_Irr!AU9&lt;&gt;".",up_Irr!BT9="."),up_dir!W9/((1/1000)*(up_Irr!V9+up_Irr!AU9)),IF(AND(up_Irr!V9&lt;&gt;".",up_Irr!AU9=".",up_Irr!BT9&lt;&gt;"."),up_dir!W9/((1/1000)*(up_Irr!V9+up_Irr!BT9)),IF(AND(up_Irr!V9=".",up_Irr!AU9&lt;&gt;".",up_Irr!BT9&lt;&gt;"."),up_dir!W9/((1/1000)*(up_Irr!AU9+up_Irr!BT9)),IF(AND(up_Irr!V9=".",up_Irr!AU9=".",up_Irr!BT9&lt;&gt;"."),up_dir!W9/((1/1000)*(up_Irr!BT9)),IF(AND(up_Irr!V9=".",up_Irr!AU9&lt;&gt;".",up_Irr!BT9="."),up_dir!W9/((1/1000)*(up_Irr!AU9)),IF(AND(up_Irr!V9&lt;&gt;".",up_Irr!AU9=".",up_Irr!BT9="."),up_dir!W9/((1/1000)*(up_Irr!V9)),IF(AND(up_Irr!V9=".",up_Irr!AU9=".",up_Irr!BT9="."),up_dir!W9*1000)))))))),".")</f>
        <v>6.5773651144152123E-11</v>
      </c>
      <c r="X9" s="76">
        <f>IFERROR(IF(AND(up_Irr!W9&lt;&gt;".",up_Irr!AV9&lt;&gt;".",up_Irr!BU9&lt;&gt;"."),up_dir!X9/((1/1000)*(up_Irr!W9+up_Irr!AV9+up_Irr!BU9)),IF(AND(up_Irr!W9&lt;&gt;".",up_Irr!AV9&lt;&gt;".",up_Irr!BU9="."),up_dir!X9/((1/1000)*(up_Irr!W9+up_Irr!AV9)),IF(AND(up_Irr!W9&lt;&gt;".",up_Irr!AV9=".",up_Irr!BU9&lt;&gt;"."),up_dir!X9/((1/1000)*(up_Irr!W9+up_Irr!BU9)),IF(AND(up_Irr!W9=".",up_Irr!AV9&lt;&gt;".",up_Irr!BU9&lt;&gt;"."),up_dir!X9/((1/1000)*(up_Irr!AV9+up_Irr!BU9)),IF(AND(up_Irr!W9=".",up_Irr!AV9=".",up_Irr!BU9&lt;&gt;"."),up_dir!X9/((1/1000)*(up_Irr!BU9)),IF(AND(up_Irr!W9=".",up_Irr!AV9&lt;&gt;".",up_Irr!BU9="."),up_dir!X9/((1/1000)*(up_Irr!AV9)),IF(AND(up_Irr!W9&lt;&gt;".",up_Irr!AV9=".",up_Irr!BU9="."),up_dir!X9/((1/1000)*(up_Irr!W9)),IF(AND(up_Irr!W9=".",up_Irr!AV9=".",up_Irr!BU9="."),up_dir!X9*1000)))))))),".")</f>
        <v>6.5773651144152123E-11</v>
      </c>
      <c r="Y9" s="76">
        <f>IFERROR(IF(AND(up_Irr!X9&lt;&gt;".",up_Irr!AW9&lt;&gt;".",up_Irr!BV9&lt;&gt;"."),up_dir!Y9/((1/1000)*(up_Irr!X9+up_Irr!AW9+up_Irr!BV9)),IF(AND(up_Irr!X9&lt;&gt;".",up_Irr!AW9&lt;&gt;".",up_Irr!BV9="."),up_dir!Y9/((1/1000)*(up_Irr!X9+up_Irr!AW9)),IF(AND(up_Irr!X9&lt;&gt;".",up_Irr!AW9=".",up_Irr!BV9&lt;&gt;"."),up_dir!Y9/((1/1000)*(up_Irr!X9+up_Irr!BV9)),IF(AND(up_Irr!X9=".",up_Irr!AW9&lt;&gt;".",up_Irr!BV9&lt;&gt;"."),up_dir!Y9/((1/1000)*(up_Irr!AW9+up_Irr!BV9)),IF(AND(up_Irr!X9=".",up_Irr!AW9=".",up_Irr!BV9&lt;&gt;"."),up_dir!Y9/((1/1000)*(up_Irr!BV9)),IF(AND(up_Irr!X9=".",up_Irr!AW9&lt;&gt;".",up_Irr!BV9="."),up_dir!Y9/((1/1000)*(up_Irr!AW9)),IF(AND(up_Irr!X9&lt;&gt;".",up_Irr!AW9=".",up_Irr!BV9="."),up_dir!Y9/((1/1000)*(up_Irr!X9)),IF(AND(up_Irr!X9=".",up_Irr!AW9=".",up_Irr!BV9="."),up_dir!Y9*1000)))))))),".")</f>
        <v>6.5773651144152123E-11</v>
      </c>
      <c r="Z9" s="76">
        <f>IFERROR(IF(AND(up_Irr!Y9&lt;&gt;".",up_Irr!AX9&lt;&gt;".",up_Irr!BW9&lt;&gt;"."),up_dir!Z9/((1/1000)*(up_Irr!Y9+up_Irr!AX9+up_Irr!BW9)),IF(AND(up_Irr!Y9&lt;&gt;".",up_Irr!AX9&lt;&gt;".",up_Irr!BW9="."),up_dir!Z9/((1/1000)*(up_Irr!Y9+up_Irr!AX9)),IF(AND(up_Irr!Y9&lt;&gt;".",up_Irr!AX9=".",up_Irr!BW9&lt;&gt;"."),up_dir!Z9/((1/1000)*(up_Irr!Y9+up_Irr!BW9)),IF(AND(up_Irr!Y9=".",up_Irr!AX9&lt;&gt;".",up_Irr!BW9&lt;&gt;"."),up_dir!Z9/((1/1000)*(up_Irr!AX9+up_Irr!BW9)),IF(AND(up_Irr!Y9=".",up_Irr!AX9=".",up_Irr!BW9&lt;&gt;"."),up_dir!Z9/((1/1000)*(up_Irr!BW9)),IF(AND(up_Irr!Y9=".",up_Irr!AX9&lt;&gt;".",up_Irr!BW9="."),up_dir!Z9/((1/1000)*(up_Irr!AX9)),IF(AND(up_Irr!Y9&lt;&gt;".",up_Irr!AX9=".",up_Irr!BW9="."),up_dir!Z9/((1/1000)*(up_Irr!Y9)),IF(AND(up_Irr!Y9=".",up_Irr!AX9=".",up_Irr!BW9="."),up_dir!Z9*1000)))))))),".")</f>
        <v>6.5773651144152123E-11</v>
      </c>
      <c r="AA9" s="76">
        <f>IFERROR(IF(AND(up_Irr!Z9&lt;&gt;".",up_Irr!AY9&lt;&gt;".",up_Irr!BX9&lt;&gt;"."),up_dir!AA9/((1/1000)*(up_Irr!Z9+up_Irr!AY9+up_Irr!BX9)),IF(AND(up_Irr!Z9&lt;&gt;".",up_Irr!AY9&lt;&gt;".",up_Irr!BX9="."),up_dir!AA9/((1/1000)*(up_Irr!Z9+up_Irr!AY9)),IF(AND(up_Irr!Z9&lt;&gt;".",up_Irr!AY9=".",up_Irr!BX9&lt;&gt;"."),up_dir!AA9/((1/1000)*(up_Irr!Z9+up_Irr!BX9)),IF(AND(up_Irr!Z9=".",up_Irr!AY9&lt;&gt;".",up_Irr!BX9&lt;&gt;"."),up_dir!AA9/((1/1000)*(up_Irr!AY9+up_Irr!BX9)),IF(AND(up_Irr!Z9=".",up_Irr!AY9=".",up_Irr!BX9&lt;&gt;"."),up_dir!AA9/((1/1000)*(up_Irr!BX9)),IF(AND(up_Irr!Z9=".",up_Irr!AY9&lt;&gt;".",up_Irr!BX9="."),up_dir!AA9/((1/1000)*(up_Irr!AY9)),IF(AND(up_Irr!Z9&lt;&gt;".",up_Irr!AY9=".",up_Irr!BX9="."),up_dir!AA9/((1/1000)*(up_Irr!Z9)),IF(AND(up_Irr!Z9=".",up_Irr!AY9=".",up_Irr!BX9="."),up_dir!AA9*1000)))))))),".")</f>
        <v>6.5773651144152123E-11</v>
      </c>
      <c r="AB9" s="76">
        <f>IFERROR(IF(AND(up_Irr!AA9&lt;&gt;".",up_Irr!AZ9&lt;&gt;".",up_Irr!BY9&lt;&gt;"."),up_dir!AB9/((1/1000)*(up_Irr!AA9+up_Irr!AZ9+up_Irr!BY9)),IF(AND(up_Irr!AA9&lt;&gt;".",up_Irr!AZ9&lt;&gt;".",up_Irr!BY9="."),up_dir!AB9/((1/1000)*(up_Irr!AA9+up_Irr!AZ9)),IF(AND(up_Irr!AA9&lt;&gt;".",up_Irr!AZ9=".",up_Irr!BY9&lt;&gt;"."),up_dir!AB9/((1/1000)*(up_Irr!AA9+up_Irr!BY9)),IF(AND(up_Irr!AA9=".",up_Irr!AZ9&lt;&gt;".",up_Irr!BY9&lt;&gt;"."),up_dir!AB9/((1/1000)*(up_Irr!AZ9+up_Irr!BY9)),IF(AND(up_Irr!AA9=".",up_Irr!AZ9=".",up_Irr!BY9&lt;&gt;"."),up_dir!AB9/((1/1000)*(up_Irr!BY9)),IF(AND(up_Irr!AA9=".",up_Irr!AZ9&lt;&gt;".",up_Irr!BY9="."),up_dir!AB9/((1/1000)*(up_Irr!AZ9)),IF(AND(up_Irr!AA9&lt;&gt;".",up_Irr!AZ9=".",up_Irr!BY9="."),up_dir!AB9/((1/1000)*(up_Irr!AA9)),IF(AND(up_Irr!AA9=".",up_Irr!AZ9=".",up_Irr!BY9="."),up_dir!AB9*1000)))))))),".")</f>
        <v>6.5773651144152123E-11</v>
      </c>
      <c r="AC9" s="93">
        <f t="shared" si="1"/>
        <v>608146.26076229871</v>
      </c>
      <c r="AD9" s="93">
        <f>IFERROR(s_C*s_IFAP_res_adj*s_CF_apple*0.001*(up_Irr!C9+up_Irr!AB9+up_Irr!BA9),".")</f>
        <v>152036.56519057468</v>
      </c>
      <c r="AE9" s="93">
        <f>IFERROR(s_C*s_IFAS_res_adj*s_CF_asparagus*0.001*(up_Irr!D9+up_Irr!AC9+up_Irr!BB9),".")</f>
        <v>152036.56519057468</v>
      </c>
      <c r="AF9" s="93">
        <f>IFERROR(s_C*s_IFBT_res_adj*s_CF_beet*0.001*(up_Irr!E9+up_Irr!AD9+up_Irr!BC9),".")</f>
        <v>152036.56519057468</v>
      </c>
      <c r="AG9" s="93">
        <f>IFERROR(s_C*s_IFBE_res_adj*s_CF_berries*0.001*(up_Irr!F9+up_Irr!AE9+up_Irr!BD9),".")</f>
        <v>152036.56519057468</v>
      </c>
      <c r="AH9" s="93">
        <f>IFERROR(s_C*s_IFBR_res_adj*s_CF_broccoli*0.001*(up_Irr!G9+up_Irr!AF9+up_Irr!BE9),".")</f>
        <v>152036.56519057468</v>
      </c>
      <c r="AI9" s="93">
        <f>IFERROR(s_C*s_IFCB_res_adj*s_CF_cabbage*0.001*(up_Irr!H9+up_Irr!AG9+up_Irr!BF9),".")</f>
        <v>152036.56519057468</v>
      </c>
      <c r="AJ9" s="93">
        <f>IFERROR(s_C*s_IFCR_res_adj*s_CF_carrot*0.001*(up_Irr!I9+up_Irr!AH9+up_Irr!BG9),".")</f>
        <v>152036.56519057468</v>
      </c>
      <c r="AK9" s="93">
        <f>IFERROR(s_C*s_IFCI_res_adj*s_CF_citrus*0.001*(up_Irr!J9+up_Irr!AI9+up_Irr!BH9),".")</f>
        <v>152036.56519057468</v>
      </c>
      <c r="AL9" s="93">
        <f>IFERROR(s_C*s_IFCO_res_adj*s_CF_corn*0.001*(up_Irr!K9+up_Irr!AJ9+up_Irr!BI9),".")</f>
        <v>152036.56519057468</v>
      </c>
      <c r="AM9" s="93">
        <f>IFERROR(s_C*s_IFCU_res_adj*s_CF_cucumber*0.001*(up_Irr!L9+up_Irr!AK9+up_Irr!BJ9),".")</f>
        <v>152036.56519057468</v>
      </c>
      <c r="AN9" s="93">
        <f>IFERROR(s_C*s_IFLE_res_adj*s_CF_lettuce*0.001*(up_Irr!M9+up_Irr!AL9+up_Irr!BK9),".")</f>
        <v>152036.56519057468</v>
      </c>
      <c r="AO9" s="93">
        <f>IFERROR(s_C*s_IFLI_res_adj*s_CF_lima_bean*0.001*(up_Irr!N9+up_Irr!AM9+up_Irr!BL9),".")</f>
        <v>152036.56519057468</v>
      </c>
      <c r="AP9" s="93">
        <f>IFERROR(s_C*s_IFOK_res_adj*s_CF_okra*0.001*(up_Irr!O9+up_Irr!AN9+up_Irr!BM9),".")</f>
        <v>152036.56519057468</v>
      </c>
      <c r="AQ9" s="93">
        <f>IFERROR(s_C*s_IFON_res_adj*s_CF_onion*0.001*(up_Irr!P9+up_Irr!AO9+up_Irr!BN9),".")</f>
        <v>152036.56519057468</v>
      </c>
      <c r="AR9" s="93">
        <f>IFERROR(s_C*s_IFPC_res_adj*s_CF_peach*0.001*(up_Irr!Q9+up_Irr!AP9+up_Irr!BO9),".")</f>
        <v>152036.56519057468</v>
      </c>
      <c r="AS9" s="93">
        <f>IFERROR(s_C*s_IFPR_res_adj*s_CF_pear*0.001*(up_Irr!R9+up_Irr!AQ9+up_Irr!BP9),".")</f>
        <v>152036.56519057468</v>
      </c>
      <c r="AT9" s="93">
        <f>IFERROR(s_C*s_IFPE_res_adj*s_CF_peas*0.001*(up_Irr!S9+up_Irr!AR9+up_Irr!BQ9),".")</f>
        <v>152036.56519057468</v>
      </c>
      <c r="AU9" s="93">
        <f>IFERROR(s_C*s_IFPP_res_adj*s_CF_peppers*0.001*(up_Irr!T9+up_Irr!AS9+up_Irr!BR9),".")</f>
        <v>152036.56519057468</v>
      </c>
      <c r="AV9" s="93">
        <f>IFERROR(s_C*s_IFPT_res_adj*s_CF_potato*0.001*(up_Irr!U9+up_Irr!AT9+up_Irr!BS9),".")</f>
        <v>152036.56519057468</v>
      </c>
      <c r="AW9" s="93">
        <f>IFERROR(s_C*s_IFPU_res_adj*s_CF_pumpkin*0.001*(up_Irr!V9+up_Irr!AU9+up_Irr!BT9),".")</f>
        <v>152036.56519057468</v>
      </c>
      <c r="AX9" s="93">
        <f>IFERROR(s_C*s_IFSN_res_adj*s_CF_snap_bean*0.001*(up_Irr!W9+up_Irr!AV9+up_Irr!BU9),".")</f>
        <v>152036.56519057468</v>
      </c>
      <c r="AY9" s="93">
        <f>IFERROR(s_C*s_IFST_res_adj*s_CF_strawberry*0.001*(up_Irr!X9+up_Irr!AW9+up_Irr!BV9),".")</f>
        <v>152036.56519057468</v>
      </c>
      <c r="AZ9" s="93">
        <f>IFERROR(s_C*s_IFTO_res_adj*s_CF_tomato*0.001*(up_Irr!Y9+up_Irr!AX9+up_Irr!BW9),".")</f>
        <v>152036.56519057468</v>
      </c>
      <c r="BA9" s="93">
        <f>IFERROR(s_C*s_IFRI_res_adj*s_CF_rice*0.001*(up_Irr!Z9+up_Irr!AY9+up_Irr!BX9),".")</f>
        <v>152036.56519057468</v>
      </c>
      <c r="BB9" s="93">
        <f>IFERROR(s_C*s_IFCG_res_adj*s_CF_cereal*0.001*(up_Irr!AA9+up_Irr!AZ9+up_Irr!BY9),".")</f>
        <v>152036.56519057468</v>
      </c>
      <c r="BC9" s="76">
        <f t="shared" si="2"/>
        <v>1.6443412786038031E-11</v>
      </c>
      <c r="BD9" s="76">
        <f>IFERROR(IF(AND(up_Irr!C9&lt;&gt;".",up_Irr!AB9&lt;&gt;".",up_Irr!BA9&lt;&gt;"."),up_dir!AD9/((1/1000)*(up_Irr!C9+up_Irr!AB9+up_Irr!BA9)),IF(AND(up_Irr!C9&lt;&gt;".",up_Irr!AB9&lt;&gt;".",up_Irr!BA9="."),up_dir!AD9/((1/1000)*(up_Irr!C9+up_Irr!AB9)),IF(AND(up_Irr!C9&lt;&gt;".",up_Irr!AB9=".",up_Irr!BA9&lt;&gt;"."),up_dir!AD9/((1/1000)*(up_Irr!C9+up_Irr!BA9)),IF(AND(up_Irr!C9=".",up_Irr!AB9&lt;&gt;".",up_Irr!BA9&lt;&gt;"."),up_dir!AD9/((1/1000)*(up_Irr!AB9+up_Irr!BA9)),IF(AND(up_Irr!C9=".",up_Irr!AB9=".",up_Irr!BA9&lt;&gt;"."),up_dir!AD9/((1/1000)*(up_Irr!BA9)),IF(AND(up_Irr!C9=".",up_Irr!AB9&lt;&gt;".",up_Irr!BA9="."),up_dir!AD9/((1/1000)*(up_Irr!AB9)),IF(AND(up_Irr!C9&lt;&gt;".",up_Irr!AB9=".",up_Irr!BA9="."),up_dir!AD9/((1/1000)*(up_Irr!C9)),IF(AND(up_Irr!C9=".",up_Irr!AB9=".",up_Irr!BA9="."),up_dir!AD9*1000)))))))),".")</f>
        <v>6.5773651144152123E-11</v>
      </c>
      <c r="BE9" s="76">
        <f>IFERROR(IF(AND(up_Irr!D9&lt;&gt;".",up_Irr!AC9&lt;&gt;".",up_Irr!BB9&lt;&gt;"."),up_dir!AE9/((1/1000)*(up_Irr!D9+up_Irr!AC9+up_Irr!BB9)),IF(AND(up_Irr!D9&lt;&gt;".",up_Irr!AC9&lt;&gt;".",up_Irr!BB9="."),up_dir!AE9/((1/1000)*(up_Irr!D9+up_Irr!AC9)),IF(AND(up_Irr!D9&lt;&gt;".",up_Irr!AC9=".",up_Irr!BB9&lt;&gt;"."),up_dir!AE9/((1/1000)*(up_Irr!D9+up_Irr!BB9)),IF(AND(up_Irr!D9=".",up_Irr!AC9&lt;&gt;".",up_Irr!BB9&lt;&gt;"."),up_dir!AE9/((1/1000)*(up_Irr!AC9+up_Irr!BB9)),IF(AND(up_Irr!D9=".",up_Irr!AC9=".",up_Irr!BB9&lt;&gt;"."),up_dir!AE9/((1/1000)*(up_Irr!BB9)),IF(AND(up_Irr!D9=".",up_Irr!AC9&lt;&gt;".",up_Irr!BB9="."),up_dir!AE9/((1/1000)*(up_Irr!AC9)),IF(AND(up_Irr!D9&lt;&gt;".",up_Irr!AC9=".",up_Irr!BB9="."),up_dir!AE9/((1/1000)*(up_Irr!D9)),IF(AND(up_Irr!D9=".",up_Irr!AC9=".",up_Irr!BB9="."),up_dir!AE9*1000)))))))),".")</f>
        <v>6.5773651144152123E-11</v>
      </c>
      <c r="BF9" s="76">
        <f>IFERROR(IF(AND(up_Irr!E9&lt;&gt;".",up_Irr!AD9&lt;&gt;".",up_Irr!BC9&lt;&gt;"."),up_dir!AF9/((1/1000)*(up_Irr!E9+up_Irr!AD9+up_Irr!BC9)),IF(AND(up_Irr!E9&lt;&gt;".",up_Irr!AD9&lt;&gt;".",up_Irr!BC9="."),up_dir!AF9/((1/1000)*(up_Irr!E9+up_Irr!AD9)),IF(AND(up_Irr!E9&lt;&gt;".",up_Irr!AD9=".",up_Irr!BC9&lt;&gt;"."),up_dir!AF9/((1/1000)*(up_Irr!E9+up_Irr!BC9)),IF(AND(up_Irr!E9=".",up_Irr!AD9&lt;&gt;".",up_Irr!BC9&lt;&gt;"."),up_dir!AF9/((1/1000)*(up_Irr!AD9+up_Irr!BC9)),IF(AND(up_Irr!E9=".",up_Irr!AD9=".",up_Irr!BC9&lt;&gt;"."),up_dir!AF9/((1/1000)*(up_Irr!BC9)),IF(AND(up_Irr!E9=".",up_Irr!AD9&lt;&gt;".",up_Irr!BC9="."),up_dir!AF9/((1/1000)*(up_Irr!AD9)),IF(AND(up_Irr!E9&lt;&gt;".",up_Irr!AD9=".",up_Irr!BC9="."),up_dir!AF9/((1/1000)*(up_Irr!E9)),IF(AND(up_Irr!E9=".",up_Irr!AD9=".",up_Irr!BC9="."),up_dir!AF9*1000)))))))),".")</f>
        <v>6.5773651144152123E-11</v>
      </c>
      <c r="BG9" s="76">
        <f>IFERROR(IF(AND(up_Irr!F9&lt;&gt;".",up_Irr!AE9&lt;&gt;".",up_Irr!BD9&lt;&gt;"."),up_dir!AG9/((1/1000)*(up_Irr!F9+up_Irr!AE9+up_Irr!BD9)),IF(AND(up_Irr!F9&lt;&gt;".",up_Irr!AE9&lt;&gt;".",up_Irr!BD9="."),up_dir!AG9/((1/1000)*(up_Irr!F9+up_Irr!AE9)),IF(AND(up_Irr!F9&lt;&gt;".",up_Irr!AE9=".",up_Irr!BD9&lt;&gt;"."),up_dir!AG9/((1/1000)*(up_Irr!F9+up_Irr!BD9)),IF(AND(up_Irr!F9=".",up_Irr!AE9&lt;&gt;".",up_Irr!BD9&lt;&gt;"."),up_dir!AG9/((1/1000)*(up_Irr!AE9+up_Irr!BD9)),IF(AND(up_Irr!F9=".",up_Irr!AE9=".",up_Irr!BD9&lt;&gt;"."),up_dir!AG9/((1/1000)*(up_Irr!BD9)),IF(AND(up_Irr!F9=".",up_Irr!AE9&lt;&gt;".",up_Irr!BD9="."),up_dir!AG9/((1/1000)*(up_Irr!AE9)),IF(AND(up_Irr!F9&lt;&gt;".",up_Irr!AE9=".",up_Irr!BD9="."),up_dir!AG9/((1/1000)*(up_Irr!F9)),IF(AND(up_Irr!F9=".",up_Irr!AE9=".",up_Irr!BD9="."),up_dir!AG9*1000)))))))),".")</f>
        <v>6.5773651144152123E-11</v>
      </c>
      <c r="BH9" s="76">
        <f>IFERROR(IF(AND(up_Irr!G9&lt;&gt;".",up_Irr!AF9&lt;&gt;".",up_Irr!BE9&lt;&gt;"."),up_dir!AH9/((1/1000)*(up_Irr!G9+up_Irr!AF9+up_Irr!BE9)),IF(AND(up_Irr!G9&lt;&gt;".",up_Irr!AF9&lt;&gt;".",up_Irr!BE9="."),up_dir!AH9/((1/1000)*(up_Irr!G9+up_Irr!AF9)),IF(AND(up_Irr!G9&lt;&gt;".",up_Irr!AF9=".",up_Irr!BE9&lt;&gt;"."),up_dir!AH9/((1/1000)*(up_Irr!G9+up_Irr!BE9)),IF(AND(up_Irr!G9=".",up_Irr!AF9&lt;&gt;".",up_Irr!BE9&lt;&gt;"."),up_dir!AH9/((1/1000)*(up_Irr!AF9+up_Irr!BE9)),IF(AND(up_Irr!G9=".",up_Irr!AF9=".",up_Irr!BE9&lt;&gt;"."),up_dir!AH9/((1/1000)*(up_Irr!BE9)),IF(AND(up_Irr!G9=".",up_Irr!AF9&lt;&gt;".",up_Irr!BE9="."),up_dir!AH9/((1/1000)*(up_Irr!AF9)),IF(AND(up_Irr!G9&lt;&gt;".",up_Irr!AF9=".",up_Irr!BE9="."),up_dir!AH9/((1/1000)*(up_Irr!G9)),IF(AND(up_Irr!G9=".",up_Irr!AF9=".",up_Irr!BE9="."),up_dir!AH9*1000)))))))),".")</f>
        <v>6.5773651144152123E-11</v>
      </c>
      <c r="BI9" s="76">
        <f>IFERROR(IF(AND(up_Irr!H9&lt;&gt;".",up_Irr!AG9&lt;&gt;".",up_Irr!BF9&lt;&gt;"."),up_dir!AI9/((1/1000)*(up_Irr!H9+up_Irr!AG9+up_Irr!BF9)),IF(AND(up_Irr!H9&lt;&gt;".",up_Irr!AG9&lt;&gt;".",up_Irr!BF9="."),up_dir!AI9/((1/1000)*(up_Irr!H9+up_Irr!AG9)),IF(AND(up_Irr!H9&lt;&gt;".",up_Irr!AG9=".",up_Irr!BF9&lt;&gt;"."),up_dir!AI9/((1/1000)*(up_Irr!H9+up_Irr!BF9)),IF(AND(up_Irr!H9=".",up_Irr!AG9&lt;&gt;".",up_Irr!BF9&lt;&gt;"."),up_dir!AI9/((1/1000)*(up_Irr!AG9+up_Irr!BF9)),IF(AND(up_Irr!H9=".",up_Irr!AG9=".",up_Irr!BF9&lt;&gt;"."),up_dir!AI9/((1/1000)*(up_Irr!BF9)),IF(AND(up_Irr!H9=".",up_Irr!AG9&lt;&gt;".",up_Irr!BF9="."),up_dir!AI9/((1/1000)*(up_Irr!AG9)),IF(AND(up_Irr!H9&lt;&gt;".",up_Irr!AG9=".",up_Irr!BF9="."),up_dir!AI9/((1/1000)*(up_Irr!H9)),IF(AND(up_Irr!H9=".",up_Irr!AG9=".",up_Irr!BF9="."),up_dir!AI9*1000)))))))),".")</f>
        <v>6.5773651144152123E-11</v>
      </c>
      <c r="BJ9" s="76">
        <f>IFERROR(IF(AND(up_Irr!I9&lt;&gt;".",up_Irr!AH9&lt;&gt;".",up_Irr!BG9&lt;&gt;"."),up_dir!AJ9/((1/1000)*(up_Irr!I9+up_Irr!AH9+up_Irr!BG9)),IF(AND(up_Irr!I9&lt;&gt;".",up_Irr!AH9&lt;&gt;".",up_Irr!BG9="."),up_dir!AJ9/((1/1000)*(up_Irr!I9+up_Irr!AH9)),IF(AND(up_Irr!I9&lt;&gt;".",up_Irr!AH9=".",up_Irr!BG9&lt;&gt;"."),up_dir!AJ9/((1/1000)*(up_Irr!I9+up_Irr!BG9)),IF(AND(up_Irr!I9=".",up_Irr!AH9&lt;&gt;".",up_Irr!BG9&lt;&gt;"."),up_dir!AJ9/((1/1000)*(up_Irr!AH9+up_Irr!BG9)),IF(AND(up_Irr!I9=".",up_Irr!AH9=".",up_Irr!BG9&lt;&gt;"."),up_dir!AJ9/((1/1000)*(up_Irr!BG9)),IF(AND(up_Irr!I9=".",up_Irr!AH9&lt;&gt;".",up_Irr!BG9="."),up_dir!AJ9/((1/1000)*(up_Irr!AH9)),IF(AND(up_Irr!I9&lt;&gt;".",up_Irr!AH9=".",up_Irr!BG9="."),up_dir!AJ9/((1/1000)*(up_Irr!I9)),IF(AND(up_Irr!I9=".",up_Irr!AH9=".",up_Irr!BG9="."),up_dir!AJ9*1000)))))))),".")</f>
        <v>6.5773651144152123E-11</v>
      </c>
      <c r="BK9" s="76">
        <f>IFERROR(IF(AND(up_Irr!J9&lt;&gt;".",up_Irr!AI9&lt;&gt;".",up_Irr!BH9&lt;&gt;"."),up_dir!AK9/((1/1000)*(up_Irr!J9+up_Irr!AI9+up_Irr!BH9)),IF(AND(up_Irr!J9&lt;&gt;".",up_Irr!AI9&lt;&gt;".",up_Irr!BH9="."),up_dir!AK9/((1/1000)*(up_Irr!J9+up_Irr!AI9)),IF(AND(up_Irr!J9&lt;&gt;".",up_Irr!AI9=".",up_Irr!BH9&lt;&gt;"."),up_dir!AK9/((1/1000)*(up_Irr!J9+up_Irr!BH9)),IF(AND(up_Irr!J9=".",up_Irr!AI9&lt;&gt;".",up_Irr!BH9&lt;&gt;"."),up_dir!AK9/((1/1000)*(up_Irr!AI9+up_Irr!BH9)),IF(AND(up_Irr!J9=".",up_Irr!AI9=".",up_Irr!BH9&lt;&gt;"."),up_dir!AK9/((1/1000)*(up_Irr!BH9)),IF(AND(up_Irr!J9=".",up_Irr!AI9&lt;&gt;".",up_Irr!BH9="."),up_dir!AK9/((1/1000)*(up_Irr!AI9)),IF(AND(up_Irr!J9&lt;&gt;".",up_Irr!AI9=".",up_Irr!BH9="."),up_dir!AK9/((1/1000)*(up_Irr!J9)),IF(AND(up_Irr!J9=".",up_Irr!AI9=".",up_Irr!BH9="."),up_dir!AK9*1000)))))))),".")</f>
        <v>6.5773651144152123E-11</v>
      </c>
      <c r="BL9" s="76">
        <f>IFERROR(IF(AND(up_Irr!K9&lt;&gt;".",up_Irr!AJ9&lt;&gt;".",up_Irr!BI9&lt;&gt;"."),up_dir!AL9/((1/1000)*(up_Irr!K9+up_Irr!AJ9+up_Irr!BI9)),IF(AND(up_Irr!K9&lt;&gt;".",up_Irr!AJ9&lt;&gt;".",up_Irr!BI9="."),up_dir!AL9/((1/1000)*(up_Irr!K9+up_Irr!AJ9)),IF(AND(up_Irr!K9&lt;&gt;".",up_Irr!AJ9=".",up_Irr!BI9&lt;&gt;"."),up_dir!AL9/((1/1000)*(up_Irr!K9+up_Irr!BI9)),IF(AND(up_Irr!K9=".",up_Irr!AJ9&lt;&gt;".",up_Irr!BI9&lt;&gt;"."),up_dir!AL9/((1/1000)*(up_Irr!AJ9+up_Irr!BI9)),IF(AND(up_Irr!K9=".",up_Irr!AJ9=".",up_Irr!BI9&lt;&gt;"."),up_dir!AL9/((1/1000)*(up_Irr!BI9)),IF(AND(up_Irr!K9=".",up_Irr!AJ9&lt;&gt;".",up_Irr!BI9="."),up_dir!AL9/((1/1000)*(up_Irr!AJ9)),IF(AND(up_Irr!K9&lt;&gt;".",up_Irr!AJ9=".",up_Irr!BI9="."),up_dir!AL9/((1/1000)*(up_Irr!K9)),IF(AND(up_Irr!K9=".",up_Irr!AJ9=".",up_Irr!BI9="."),up_dir!AL9*1000)))))))),".")</f>
        <v>6.5773651144152123E-11</v>
      </c>
      <c r="BM9" s="76">
        <f>IFERROR(IF(AND(up_Irr!L9&lt;&gt;".",up_Irr!AK9&lt;&gt;".",up_Irr!BJ9&lt;&gt;"."),up_dir!AM9/((1/1000)*(up_Irr!L9+up_Irr!AK9+up_Irr!BJ9)),IF(AND(up_Irr!L9&lt;&gt;".",up_Irr!AK9&lt;&gt;".",up_Irr!BJ9="."),up_dir!AM9/((1/1000)*(up_Irr!L9+up_Irr!AK9)),IF(AND(up_Irr!L9&lt;&gt;".",up_Irr!AK9=".",up_Irr!BJ9&lt;&gt;"."),up_dir!AM9/((1/1000)*(up_Irr!L9+up_Irr!BJ9)),IF(AND(up_Irr!L9=".",up_Irr!AK9&lt;&gt;".",up_Irr!BJ9&lt;&gt;"."),up_dir!AM9/((1/1000)*(up_Irr!AK9+up_Irr!BJ9)),IF(AND(up_Irr!L9=".",up_Irr!AK9=".",up_Irr!BJ9&lt;&gt;"."),up_dir!AM9/((1/1000)*(up_Irr!BJ9)),IF(AND(up_Irr!L9=".",up_Irr!AK9&lt;&gt;".",up_Irr!BJ9="."),up_dir!AM9/((1/1000)*(up_Irr!AK9)),IF(AND(up_Irr!L9&lt;&gt;".",up_Irr!AK9=".",up_Irr!BJ9="."),up_dir!AM9/((1/1000)*(up_Irr!L9)),IF(AND(up_Irr!L9=".",up_Irr!AK9=".",up_Irr!BJ9="."),up_dir!AM9*1000)))))))),".")</f>
        <v>6.5773651144152123E-11</v>
      </c>
      <c r="BN9" s="76">
        <f>IFERROR(IF(AND(up_Irr!M9&lt;&gt;".",up_Irr!AL9&lt;&gt;".",up_Irr!BK9&lt;&gt;"."),up_dir!AN9/((1/1000)*(up_Irr!M9+up_Irr!AL9+up_Irr!BK9)),IF(AND(up_Irr!M9&lt;&gt;".",up_Irr!AL9&lt;&gt;".",up_Irr!BK9="."),up_dir!AN9/((1/1000)*(up_Irr!M9+up_Irr!AL9)),IF(AND(up_Irr!M9&lt;&gt;".",up_Irr!AL9=".",up_Irr!BK9&lt;&gt;"."),up_dir!AN9/((1/1000)*(up_Irr!M9+up_Irr!BK9)),IF(AND(up_Irr!M9=".",up_Irr!AL9&lt;&gt;".",up_Irr!BK9&lt;&gt;"."),up_dir!AN9/((1/1000)*(up_Irr!AL9+up_Irr!BK9)),IF(AND(up_Irr!M9=".",up_Irr!AL9=".",up_Irr!BK9&lt;&gt;"."),up_dir!AN9/((1/1000)*(up_Irr!BK9)),IF(AND(up_Irr!M9=".",up_Irr!AL9&lt;&gt;".",up_Irr!BK9="."),up_dir!AN9/((1/1000)*(up_Irr!AL9)),IF(AND(up_Irr!M9&lt;&gt;".",up_Irr!AL9=".",up_Irr!BK9="."),up_dir!AN9/((1/1000)*(up_Irr!M9)),IF(AND(up_Irr!M9=".",up_Irr!AL9=".",up_Irr!BK9="."),up_dir!AN9*1000)))))))),".")</f>
        <v>6.5773651144152123E-11</v>
      </c>
      <c r="BO9" s="76">
        <f>IFERROR(IF(AND(up_Irr!N9&lt;&gt;".",up_Irr!AM9&lt;&gt;".",up_Irr!BL9&lt;&gt;"."),up_dir!AO9/((1/1000)*(up_Irr!N9+up_Irr!AM9+up_Irr!BL9)),IF(AND(up_Irr!N9&lt;&gt;".",up_Irr!AM9&lt;&gt;".",up_Irr!BL9="."),up_dir!AO9/((1/1000)*(up_Irr!N9+up_Irr!AM9)),IF(AND(up_Irr!N9&lt;&gt;".",up_Irr!AM9=".",up_Irr!BL9&lt;&gt;"."),up_dir!AO9/((1/1000)*(up_Irr!N9+up_Irr!BL9)),IF(AND(up_Irr!N9=".",up_Irr!AM9&lt;&gt;".",up_Irr!BL9&lt;&gt;"."),up_dir!AO9/((1/1000)*(up_Irr!AM9+up_Irr!BL9)),IF(AND(up_Irr!N9=".",up_Irr!AM9=".",up_Irr!BL9&lt;&gt;"."),up_dir!AO9/((1/1000)*(up_Irr!BL9)),IF(AND(up_Irr!N9=".",up_Irr!AM9&lt;&gt;".",up_Irr!BL9="."),up_dir!AO9/((1/1000)*(up_Irr!AM9)),IF(AND(up_Irr!N9&lt;&gt;".",up_Irr!AM9=".",up_Irr!BL9="."),up_dir!AO9/((1/1000)*(up_Irr!N9)),IF(AND(up_Irr!N9=".",up_Irr!AM9=".",up_Irr!BL9="."),up_dir!AO9*1000)))))))),".")</f>
        <v>6.5773651144152123E-11</v>
      </c>
      <c r="BP9" s="76">
        <f>IFERROR(IF(AND(up_Irr!O9&lt;&gt;".",up_Irr!AN9&lt;&gt;".",up_Irr!BM9&lt;&gt;"."),up_dir!AP9/((1/1000)*(up_Irr!O9+up_Irr!AN9+up_Irr!BM9)),IF(AND(up_Irr!O9&lt;&gt;".",up_Irr!AN9&lt;&gt;".",up_Irr!BM9="."),up_dir!AP9/((1/1000)*(up_Irr!O9+up_Irr!AN9)),IF(AND(up_Irr!O9&lt;&gt;".",up_Irr!AN9=".",up_Irr!BM9&lt;&gt;"."),up_dir!AP9/((1/1000)*(up_Irr!O9+up_Irr!BM9)),IF(AND(up_Irr!O9=".",up_Irr!AN9&lt;&gt;".",up_Irr!BM9&lt;&gt;"."),up_dir!AP9/((1/1000)*(up_Irr!AN9+up_Irr!BM9)),IF(AND(up_Irr!O9=".",up_Irr!AN9=".",up_Irr!BM9&lt;&gt;"."),up_dir!AP9/((1/1000)*(up_Irr!BM9)),IF(AND(up_Irr!O9=".",up_Irr!AN9&lt;&gt;".",up_Irr!BM9="."),up_dir!AP9/((1/1000)*(up_Irr!AN9)),IF(AND(up_Irr!O9&lt;&gt;".",up_Irr!AN9=".",up_Irr!BM9="."),up_dir!AP9/((1/1000)*(up_Irr!O9)),IF(AND(up_Irr!O9=".",up_Irr!AN9=".",up_Irr!BM9="."),up_dir!AP9*1000)))))))),".")</f>
        <v>6.5773651144152123E-11</v>
      </c>
      <c r="BQ9" s="76">
        <f>IFERROR(IF(AND(up_Irr!P9&lt;&gt;".",up_Irr!AO9&lt;&gt;".",up_Irr!BN9&lt;&gt;"."),up_dir!AQ9/((1/1000)*(up_Irr!P9+up_Irr!AO9+up_Irr!BN9)),IF(AND(up_Irr!P9&lt;&gt;".",up_Irr!AO9&lt;&gt;".",up_Irr!BN9="."),up_dir!AQ9/((1/1000)*(up_Irr!P9+up_Irr!AO9)),IF(AND(up_Irr!P9&lt;&gt;".",up_Irr!AO9=".",up_Irr!BN9&lt;&gt;"."),up_dir!AQ9/((1/1000)*(up_Irr!P9+up_Irr!BN9)),IF(AND(up_Irr!P9=".",up_Irr!AO9&lt;&gt;".",up_Irr!BN9&lt;&gt;"."),up_dir!AQ9/((1/1000)*(up_Irr!AO9+up_Irr!BN9)),IF(AND(up_Irr!P9=".",up_Irr!AO9=".",up_Irr!BN9&lt;&gt;"."),up_dir!AQ9/((1/1000)*(up_Irr!BN9)),IF(AND(up_Irr!P9=".",up_Irr!AO9&lt;&gt;".",up_Irr!BN9="."),up_dir!AQ9/((1/1000)*(up_Irr!AO9)),IF(AND(up_Irr!P9&lt;&gt;".",up_Irr!AO9=".",up_Irr!BN9="."),up_dir!AQ9/((1/1000)*(up_Irr!P9)),IF(AND(up_Irr!P9=".",up_Irr!AO9=".",up_Irr!BN9="."),up_dir!AQ9*1000)))))))),".")</f>
        <v>6.5773651144152123E-11</v>
      </c>
      <c r="BR9" s="76">
        <f>IFERROR(IF(AND(up_Irr!Q9&lt;&gt;".",up_Irr!AP9&lt;&gt;".",up_Irr!BO9&lt;&gt;"."),up_dir!AR9/((1/1000)*(up_Irr!Q9+up_Irr!AP9+up_Irr!BO9)),IF(AND(up_Irr!Q9&lt;&gt;".",up_Irr!AP9&lt;&gt;".",up_Irr!BO9="."),up_dir!AR9/((1/1000)*(up_Irr!Q9+up_Irr!AP9)),IF(AND(up_Irr!Q9&lt;&gt;".",up_Irr!AP9=".",up_Irr!BO9&lt;&gt;"."),up_dir!AR9/((1/1000)*(up_Irr!Q9+up_Irr!BO9)),IF(AND(up_Irr!Q9=".",up_Irr!AP9&lt;&gt;".",up_Irr!BO9&lt;&gt;"."),up_dir!AR9/((1/1000)*(up_Irr!AP9+up_Irr!BO9)),IF(AND(up_Irr!Q9=".",up_Irr!AP9=".",up_Irr!BO9&lt;&gt;"."),up_dir!AR9/((1/1000)*(up_Irr!BO9)),IF(AND(up_Irr!Q9=".",up_Irr!AP9&lt;&gt;".",up_Irr!BO9="."),up_dir!AR9/((1/1000)*(up_Irr!AP9)),IF(AND(up_Irr!Q9&lt;&gt;".",up_Irr!AP9=".",up_Irr!BO9="."),up_dir!AR9/((1/1000)*(up_Irr!Q9)),IF(AND(up_Irr!Q9=".",up_Irr!AP9=".",up_Irr!BO9="."),up_dir!AR9*1000)))))))),".")</f>
        <v>6.5773651144152123E-11</v>
      </c>
      <c r="BS9" s="76">
        <f>IFERROR(IF(AND(up_Irr!R9&lt;&gt;".",up_Irr!AQ9&lt;&gt;".",up_Irr!BP9&lt;&gt;"."),up_dir!AS9/((1/1000)*(up_Irr!R9+up_Irr!AQ9+up_Irr!BP9)),IF(AND(up_Irr!R9&lt;&gt;".",up_Irr!AQ9&lt;&gt;".",up_Irr!BP9="."),up_dir!AS9/((1/1000)*(up_Irr!R9+up_Irr!AQ9)),IF(AND(up_Irr!R9&lt;&gt;".",up_Irr!AQ9=".",up_Irr!BP9&lt;&gt;"."),up_dir!AS9/((1/1000)*(up_Irr!R9+up_Irr!BP9)),IF(AND(up_Irr!R9=".",up_Irr!AQ9&lt;&gt;".",up_Irr!BP9&lt;&gt;"."),up_dir!AS9/((1/1000)*(up_Irr!AQ9+up_Irr!BP9)),IF(AND(up_Irr!R9=".",up_Irr!AQ9=".",up_Irr!BP9&lt;&gt;"."),up_dir!AS9/((1/1000)*(up_Irr!BP9)),IF(AND(up_Irr!R9=".",up_Irr!AQ9&lt;&gt;".",up_Irr!BP9="."),up_dir!AS9/((1/1000)*(up_Irr!AQ9)),IF(AND(up_Irr!R9&lt;&gt;".",up_Irr!AQ9=".",up_Irr!BP9="."),up_dir!AS9/((1/1000)*(up_Irr!R9)),IF(AND(up_Irr!R9=".",up_Irr!AQ9=".",up_Irr!BP9="."),up_dir!AS9*1000)))))))),".")</f>
        <v>6.5773651144152123E-11</v>
      </c>
      <c r="BT9" s="76">
        <f>IFERROR(IF(AND(up_Irr!S9&lt;&gt;".",up_Irr!AR9&lt;&gt;".",up_Irr!BQ9&lt;&gt;"."),up_dir!AT9/((1/1000)*(up_Irr!S9+up_Irr!AR9+up_Irr!BQ9)),IF(AND(up_Irr!S9&lt;&gt;".",up_Irr!AR9&lt;&gt;".",up_Irr!BQ9="."),up_dir!AT9/((1/1000)*(up_Irr!S9+up_Irr!AR9)),IF(AND(up_Irr!S9&lt;&gt;".",up_Irr!AR9=".",up_Irr!BQ9&lt;&gt;"."),up_dir!AT9/((1/1000)*(up_Irr!S9+up_Irr!BQ9)),IF(AND(up_Irr!S9=".",up_Irr!AR9&lt;&gt;".",up_Irr!BQ9&lt;&gt;"."),up_dir!AT9/((1/1000)*(up_Irr!AR9+up_Irr!BQ9)),IF(AND(up_Irr!S9=".",up_Irr!AR9=".",up_Irr!BQ9&lt;&gt;"."),up_dir!AT9/((1/1000)*(up_Irr!BQ9)),IF(AND(up_Irr!S9=".",up_Irr!AR9&lt;&gt;".",up_Irr!BQ9="."),up_dir!AT9/((1/1000)*(up_Irr!AR9)),IF(AND(up_Irr!S9&lt;&gt;".",up_Irr!AR9=".",up_Irr!BQ9="."),up_dir!AT9/((1/1000)*(up_Irr!S9)),IF(AND(up_Irr!S9=".",up_Irr!AR9=".",up_Irr!BQ9="."),up_dir!AT9*1000)))))))),".")</f>
        <v>6.5773651144152123E-11</v>
      </c>
      <c r="BU9" s="76">
        <f>IFERROR(IF(AND(up_Irr!T9&lt;&gt;".",up_Irr!AS9&lt;&gt;".",up_Irr!BR9&lt;&gt;"."),up_dir!AU9/((1/1000)*(up_Irr!T9+up_Irr!AS9+up_Irr!BR9)),IF(AND(up_Irr!T9&lt;&gt;".",up_Irr!AS9&lt;&gt;".",up_Irr!BR9="."),up_dir!AU9/((1/1000)*(up_Irr!T9+up_Irr!AS9)),IF(AND(up_Irr!T9&lt;&gt;".",up_Irr!AS9=".",up_Irr!BR9&lt;&gt;"."),up_dir!AU9/((1/1000)*(up_Irr!T9+up_Irr!BR9)),IF(AND(up_Irr!T9=".",up_Irr!AS9&lt;&gt;".",up_Irr!BR9&lt;&gt;"."),up_dir!AU9/((1/1000)*(up_Irr!AS9+up_Irr!BR9)),IF(AND(up_Irr!T9=".",up_Irr!AS9=".",up_Irr!BR9&lt;&gt;"."),up_dir!AU9/((1/1000)*(up_Irr!BR9)),IF(AND(up_Irr!T9=".",up_Irr!AS9&lt;&gt;".",up_Irr!BR9="."),up_dir!AU9/((1/1000)*(up_Irr!AS9)),IF(AND(up_Irr!T9&lt;&gt;".",up_Irr!AS9=".",up_Irr!BR9="."),up_dir!AU9/((1/1000)*(up_Irr!T9)),IF(AND(up_Irr!T9=".",up_Irr!AS9=".",up_Irr!BR9="."),up_dir!AU9*1000)))))))),".")</f>
        <v>6.5773651144152123E-11</v>
      </c>
      <c r="BV9" s="76">
        <f>IFERROR(IF(AND(up_Irr!U9&lt;&gt;".",up_Irr!AT9&lt;&gt;".",up_Irr!BS9&lt;&gt;"."),up_dir!AV9/((1/1000)*(up_Irr!U9+up_Irr!AT9+up_Irr!BS9)),IF(AND(up_Irr!U9&lt;&gt;".",up_Irr!AT9&lt;&gt;".",up_Irr!BS9="."),up_dir!AV9/((1/1000)*(up_Irr!U9+up_Irr!AT9)),IF(AND(up_Irr!U9&lt;&gt;".",up_Irr!AT9=".",up_Irr!BS9&lt;&gt;"."),up_dir!AV9/((1/1000)*(up_Irr!U9+up_Irr!BS9)),IF(AND(up_Irr!U9=".",up_Irr!AT9&lt;&gt;".",up_Irr!BS9&lt;&gt;"."),up_dir!AV9/((1/1000)*(up_Irr!AT9+up_Irr!BS9)),IF(AND(up_Irr!U9=".",up_Irr!AT9=".",up_Irr!BS9&lt;&gt;"."),up_dir!AV9/((1/1000)*(up_Irr!BS9)),IF(AND(up_Irr!U9=".",up_Irr!AT9&lt;&gt;".",up_Irr!BS9="."),up_dir!AV9/((1/1000)*(up_Irr!AT9)),IF(AND(up_Irr!U9&lt;&gt;".",up_Irr!AT9=".",up_Irr!BS9="."),up_dir!AV9/((1/1000)*(up_Irr!U9)),IF(AND(up_Irr!U9=".",up_Irr!AT9=".",up_Irr!BS9="."),up_dir!AV9*1000)))))))),".")</f>
        <v>6.5773651144152123E-11</v>
      </c>
      <c r="BW9" s="76">
        <f>IFERROR(IF(AND(up_Irr!V9&lt;&gt;".",up_Irr!AU9&lt;&gt;".",up_Irr!BT9&lt;&gt;"."),up_dir!AW9/((1/1000)*(up_Irr!V9+up_Irr!AU9+up_Irr!BT9)),IF(AND(up_Irr!V9&lt;&gt;".",up_Irr!AU9&lt;&gt;".",up_Irr!BT9="."),up_dir!AW9/((1/1000)*(up_Irr!V9+up_Irr!AU9)),IF(AND(up_Irr!V9&lt;&gt;".",up_Irr!AU9=".",up_Irr!BT9&lt;&gt;"."),up_dir!AW9/((1/1000)*(up_Irr!V9+up_Irr!BT9)),IF(AND(up_Irr!V9=".",up_Irr!AU9&lt;&gt;".",up_Irr!BT9&lt;&gt;"."),up_dir!AW9/((1/1000)*(up_Irr!AU9+up_Irr!BT9)),IF(AND(up_Irr!V9=".",up_Irr!AU9=".",up_Irr!BT9&lt;&gt;"."),up_dir!AW9/((1/1000)*(up_Irr!BT9)),IF(AND(up_Irr!V9=".",up_Irr!AU9&lt;&gt;".",up_Irr!BT9="."),up_dir!AW9/((1/1000)*(up_Irr!AU9)),IF(AND(up_Irr!V9&lt;&gt;".",up_Irr!AU9=".",up_Irr!BT9="."),up_dir!AW9/((1/1000)*(up_Irr!V9)),IF(AND(up_Irr!V9=".",up_Irr!AU9=".",up_Irr!BT9="."),up_dir!AW9*1000)))))))),".")</f>
        <v>6.5773651144152123E-11</v>
      </c>
      <c r="BX9" s="76">
        <f>IFERROR(IF(AND(up_Irr!W9&lt;&gt;".",up_Irr!AV9&lt;&gt;".",up_Irr!BU9&lt;&gt;"."),up_dir!AX9/((1/1000)*(up_Irr!W9+up_Irr!AV9+up_Irr!BU9)),IF(AND(up_Irr!W9&lt;&gt;".",up_Irr!AV9&lt;&gt;".",up_Irr!BU9="."),up_dir!AX9/((1/1000)*(up_Irr!W9+up_Irr!AV9)),IF(AND(up_Irr!W9&lt;&gt;".",up_Irr!AV9=".",up_Irr!BU9&lt;&gt;"."),up_dir!AX9/((1/1000)*(up_Irr!W9+up_Irr!BU9)),IF(AND(up_Irr!W9=".",up_Irr!AV9&lt;&gt;".",up_Irr!BU9&lt;&gt;"."),up_dir!AX9/((1/1000)*(up_Irr!AV9+up_Irr!BU9)),IF(AND(up_Irr!W9=".",up_Irr!AV9=".",up_Irr!BU9&lt;&gt;"."),up_dir!AX9/((1/1000)*(up_Irr!BU9)),IF(AND(up_Irr!W9=".",up_Irr!AV9&lt;&gt;".",up_Irr!BU9="."),up_dir!AX9/((1/1000)*(up_Irr!AV9)),IF(AND(up_Irr!W9&lt;&gt;".",up_Irr!AV9=".",up_Irr!BU9="."),up_dir!AX9/((1/1000)*(up_Irr!W9)),IF(AND(up_Irr!W9=".",up_Irr!AV9=".",up_Irr!BU9="."),up_dir!AX9*1000)))))))),".")</f>
        <v>6.5773651144152123E-11</v>
      </c>
      <c r="BY9" s="76">
        <f>IFERROR(IF(AND(up_Irr!X9&lt;&gt;".",up_Irr!AW9&lt;&gt;".",up_Irr!BV9&lt;&gt;"."),up_dir!AY9/((1/1000)*(up_Irr!X9+up_Irr!AW9+up_Irr!BV9)),IF(AND(up_Irr!X9&lt;&gt;".",up_Irr!AW9&lt;&gt;".",up_Irr!BV9="."),up_dir!AY9/((1/1000)*(up_Irr!X9+up_Irr!AW9)),IF(AND(up_Irr!X9&lt;&gt;".",up_Irr!AW9=".",up_Irr!BV9&lt;&gt;"."),up_dir!AY9/((1/1000)*(up_Irr!X9+up_Irr!BV9)),IF(AND(up_Irr!X9=".",up_Irr!AW9&lt;&gt;".",up_Irr!BV9&lt;&gt;"."),up_dir!AY9/((1/1000)*(up_Irr!AW9+up_Irr!BV9)),IF(AND(up_Irr!X9=".",up_Irr!AW9=".",up_Irr!BV9&lt;&gt;"."),up_dir!AY9/((1/1000)*(up_Irr!BV9)),IF(AND(up_Irr!X9=".",up_Irr!AW9&lt;&gt;".",up_Irr!BV9="."),up_dir!AY9/((1/1000)*(up_Irr!AW9)),IF(AND(up_Irr!X9&lt;&gt;".",up_Irr!AW9=".",up_Irr!BV9="."),up_dir!AY9/((1/1000)*(up_Irr!X9)),IF(AND(up_Irr!X9=".",up_Irr!AW9=".",up_Irr!BV9="."),up_dir!AY9*1000)))))))),".")</f>
        <v>6.5773651144152123E-11</v>
      </c>
      <c r="BZ9" s="76">
        <f>IFERROR(IF(AND(up_Irr!Y9&lt;&gt;".",up_Irr!AX9&lt;&gt;".",up_Irr!BW9&lt;&gt;"."),up_dir!AZ9/((1/1000)*(up_Irr!Y9+up_Irr!AX9+up_Irr!BW9)),IF(AND(up_Irr!Y9&lt;&gt;".",up_Irr!AX9&lt;&gt;".",up_Irr!BW9="."),up_dir!AZ9/((1/1000)*(up_Irr!Y9+up_Irr!AX9)),IF(AND(up_Irr!Y9&lt;&gt;".",up_Irr!AX9=".",up_Irr!BW9&lt;&gt;"."),up_dir!AZ9/((1/1000)*(up_Irr!Y9+up_Irr!BW9)),IF(AND(up_Irr!Y9=".",up_Irr!AX9&lt;&gt;".",up_Irr!BW9&lt;&gt;"."),up_dir!AZ9/((1/1000)*(up_Irr!AX9+up_Irr!BW9)),IF(AND(up_Irr!Y9=".",up_Irr!AX9=".",up_Irr!BW9&lt;&gt;"."),up_dir!AZ9/((1/1000)*(up_Irr!BW9)),IF(AND(up_Irr!Y9=".",up_Irr!AX9&lt;&gt;".",up_Irr!BW9="."),up_dir!AZ9/((1/1000)*(up_Irr!AX9)),IF(AND(up_Irr!Y9&lt;&gt;".",up_Irr!AX9=".",up_Irr!BW9="."),up_dir!AZ9/((1/1000)*(up_Irr!Y9)),IF(AND(up_Irr!Y9=".",up_Irr!AX9=".",up_Irr!BW9="."),up_dir!AZ9*1000)))))))),".")</f>
        <v>6.5773651144152123E-11</v>
      </c>
      <c r="CA9" s="76">
        <f>IFERROR(IF(AND(up_Irr!Z9&lt;&gt;".",up_Irr!AY9&lt;&gt;".",up_Irr!BX9&lt;&gt;"."),up_dir!BA9/((1/1000)*(up_Irr!Z9+up_Irr!AY9+up_Irr!BX9)),IF(AND(up_Irr!Z9&lt;&gt;".",up_Irr!AY9&lt;&gt;".",up_Irr!BX9="."),up_dir!BA9/((1/1000)*(up_Irr!Z9+up_Irr!AY9)),IF(AND(up_Irr!Z9&lt;&gt;".",up_Irr!AY9=".",up_Irr!BX9&lt;&gt;"."),up_dir!BA9/((1/1000)*(up_Irr!Z9+up_Irr!BX9)),IF(AND(up_Irr!Z9=".",up_Irr!AY9&lt;&gt;".",up_Irr!BX9&lt;&gt;"."),up_dir!BA9/((1/1000)*(up_Irr!AY9+up_Irr!BX9)),IF(AND(up_Irr!Z9=".",up_Irr!AY9=".",up_Irr!BX9&lt;&gt;"."),up_dir!BA9/((1/1000)*(up_Irr!BX9)),IF(AND(up_Irr!Z9=".",up_Irr!AY9&lt;&gt;".",up_Irr!BX9="."),up_dir!BA9/((1/1000)*(up_Irr!AY9)),IF(AND(up_Irr!Z9&lt;&gt;".",up_Irr!AY9=".",up_Irr!BX9="."),up_dir!BA9/((1/1000)*(up_Irr!Z9)),IF(AND(up_Irr!Z9=".",up_Irr!AY9=".",up_Irr!BX9="."),up_dir!BA9*1000)))))))),".")</f>
        <v>6.5773651144152123E-11</v>
      </c>
      <c r="CB9" s="76">
        <f>IFERROR(IF(AND(up_Irr!AA9&lt;&gt;".",up_Irr!AZ9&lt;&gt;".",up_Irr!BY9&lt;&gt;"."),up_dir!BB9/((1/1000)*(up_Irr!AA9+up_Irr!AZ9+up_Irr!BY9)),IF(AND(up_Irr!AA9&lt;&gt;".",up_Irr!AZ9&lt;&gt;".",up_Irr!BY9="."),up_dir!BB9/((1/1000)*(up_Irr!AA9+up_Irr!AZ9)),IF(AND(up_Irr!AA9&lt;&gt;".",up_Irr!AZ9=".",up_Irr!BY9&lt;&gt;"."),up_dir!BB9/((1/1000)*(up_Irr!AA9+up_Irr!BY9)),IF(AND(up_Irr!AA9=".",up_Irr!AZ9&lt;&gt;".",up_Irr!BY9&lt;&gt;"."),up_dir!BB9/((1/1000)*(up_Irr!AZ9+up_Irr!BY9)),IF(AND(up_Irr!AA9=".",up_Irr!AZ9=".",up_Irr!BY9&lt;&gt;"."),up_dir!BB9/((1/1000)*(up_Irr!BY9)),IF(AND(up_Irr!AA9=".",up_Irr!AZ9&lt;&gt;".",up_Irr!BY9="."),up_dir!BB9/((1/1000)*(up_Irr!AZ9)),IF(AND(up_Irr!AA9&lt;&gt;".",up_Irr!AZ9=".",up_Irr!BY9="."),up_dir!BB9/((1/1000)*(up_Irr!AA9)),IF(AND(up_Irr!AA9=".",up_Irr!AZ9=".",up_Irr!BY9="."),up_dir!BB9*1000)))))))),".")</f>
        <v>6.5773651144152123E-11</v>
      </c>
      <c r="CC9" s="93">
        <f t="shared" si="3"/>
        <v>608146.26076229871</v>
      </c>
      <c r="CD9" s="93">
        <f>IFERROR(s_C*s_IFAP_far_adj*s_CF_apple*(1/1000)*(up_Irr!C9+up_Irr!AB9+up_Irr!BA9),".")</f>
        <v>152036.56519057468</v>
      </c>
      <c r="CE9" s="93">
        <f>IFERROR(s_C*s_IFAS_far_adj*s_CF_asparagus*(1/1000)*(up_Irr!D9+up_Irr!AC9+up_Irr!BB9),".")</f>
        <v>152036.56519057468</v>
      </c>
      <c r="CF9" s="93">
        <f>IFERROR(s_C*s_IFBT_far_adj*s_CF_beet*(1/1000)*(up_Irr!E9+up_Irr!AD9+up_Irr!BC9),".")</f>
        <v>152036.56519057468</v>
      </c>
      <c r="CG9" s="93">
        <f>IFERROR(s_C*s_IFBE_far_adj*s_CF_berries*(1/1000)*(up_Irr!F9+up_Irr!AE9+up_Irr!BD9),".")</f>
        <v>152036.56519057468</v>
      </c>
      <c r="CH9" s="93">
        <f>IFERROR(s_C*s_IFBR_far_adj*s_CF_broccoli*(1/1000)*(up_Irr!G9+up_Irr!AF9+up_Irr!BE9),".")</f>
        <v>152036.56519057468</v>
      </c>
      <c r="CI9" s="93">
        <f>IFERROR(s_C*s_IFCB_far_adj*s_CF_cabbage*(1/1000)*(up_Irr!H9+up_Irr!AG9+up_Irr!BF9),".")</f>
        <v>152036.56519057468</v>
      </c>
      <c r="CJ9" s="93">
        <f>IFERROR(s_C*s_IFCR_far_adj*s_CF_carrot*(1/1000)*(up_Irr!I9+up_Irr!AH9+up_Irr!BG9),".")</f>
        <v>152036.56519057468</v>
      </c>
      <c r="CK9" s="93">
        <f>IFERROR(s_C*s_IFCI_far_adj*s_CF_citrus*(1/1000)*(up_Irr!J9+up_Irr!AI9+up_Irr!BH9),".")</f>
        <v>152036.56519057468</v>
      </c>
      <c r="CL9" s="93">
        <f>IFERROR(s_C*s_IFCO_far_adj*s_CF_corn*(1/1000)*(up_Irr!K9+up_Irr!AJ9+up_Irr!BI9),".")</f>
        <v>152036.56519057468</v>
      </c>
      <c r="CM9" s="93">
        <f>IFERROR(s_C*s_IFCU_far_adj*s_CF_cucumber*(1/1000)*(up_Irr!L9+up_Irr!AK9+up_Irr!BJ9),".")</f>
        <v>152036.56519057468</v>
      </c>
      <c r="CN9" s="93">
        <f>IFERROR(s_C*s_IFLE_far_adj*s_CF_lettuce*(1/1000)*(up_Irr!M9+up_Irr!AL9+up_Irr!BK9),".")</f>
        <v>152036.56519057468</v>
      </c>
      <c r="CO9" s="93">
        <f>IFERROR(s_C*s_IFLI_far_adj*s_CF_lima_bean*(1/1000)*(up_Irr!N9+up_Irr!AM9+up_Irr!BL9),".")</f>
        <v>152036.56519057468</v>
      </c>
      <c r="CP9" s="93">
        <f>IFERROR(s_C*s_IFOK_far_adj*s_CF_okra*(1/1000)*(up_Irr!O9+up_Irr!AN9+up_Irr!BM9),".")</f>
        <v>152036.56519057468</v>
      </c>
      <c r="CQ9" s="93">
        <f>IFERROR(s_C*s_IFON_far_adj*s_CF_onion*(1/1000)*(up_Irr!P9+up_Irr!AO9+up_Irr!BN9),".")</f>
        <v>152036.56519057468</v>
      </c>
      <c r="CR9" s="93">
        <f>IFERROR(s_C*s_IFPC_far_adj*s_CF_peach*(1/1000)*(up_Irr!Q9+up_Irr!AP9+up_Irr!BO9),".")</f>
        <v>152036.56519057468</v>
      </c>
      <c r="CS9" s="93">
        <f>IFERROR(s_C*s_IFPR_far_adj*s_CF_pear*(1/1000)*(up_Irr!R9+up_Irr!AQ9+up_Irr!BP9),".")</f>
        <v>152036.56519057468</v>
      </c>
      <c r="CT9" s="93">
        <f>IFERROR(s_C*s_IFPE_far_adj*s_CF_peas*(1/1000)*(up_Irr!S9+up_Irr!AR9+up_Irr!BQ9),".")</f>
        <v>152036.56519057468</v>
      </c>
      <c r="CU9" s="93">
        <f>IFERROR(s_C*s_IFPP_far_adj*s_CF_peppers*(1/1000)*(up_Irr!T9+up_Irr!AS9+up_Irr!BR9),".")</f>
        <v>152036.56519057468</v>
      </c>
      <c r="CV9" s="93">
        <f>IFERROR(s_C*s_IFPT_far_adj*s_CF_potato*(1/1000)*(up_Irr!U9+up_Irr!AT9+up_Irr!BS9),".")</f>
        <v>152036.56519057468</v>
      </c>
      <c r="CW9" s="93">
        <f>IFERROR(s_C*s_IFPU_far_adj*s_CF_pumpkin*(1/1000)*(up_Irr!V9+up_Irr!AU9+up_Irr!BT9),".")</f>
        <v>152036.56519057468</v>
      </c>
      <c r="CX9" s="93">
        <f>IFERROR(s_C*s_IFSN_far_adj*s_CF_snap_bean*(1/1000)*(up_Irr!W9+up_Irr!AV9+up_Irr!BU9),".")</f>
        <v>152036.56519057468</v>
      </c>
      <c r="CY9" s="93">
        <f>IFERROR(s_C*s_IFST_far_adj*s_CF_strawberry*(1/1000)*(up_Irr!X9+up_Irr!AW9+up_Irr!BV9),".")</f>
        <v>152036.56519057468</v>
      </c>
      <c r="CZ9" s="93">
        <f>IFERROR(s_C*s_IFTO_far_adj*s_CF_tomato*(1/1000)*(up_Irr!Y9+up_Irr!AX9+up_Irr!BW9),".")</f>
        <v>152036.56519057468</v>
      </c>
      <c r="DA9" s="93">
        <f>IFERROR(s_C*s_IFRI_far_adj*s_CF_rice*(1/1000)*(up_Irr!Z9+up_Irr!AY9+up_Irr!BX9),".")</f>
        <v>152036.56519057468</v>
      </c>
      <c r="DB9" s="93">
        <f>IFERROR(s_C*s_IFCG_far_adj*s_CF_cereal*(1/1000)*(up_Irr!AA9+up_Irr!AZ9+up_Irr!BY9),".")</f>
        <v>152036.56519057468</v>
      </c>
    </row>
    <row r="10" spans="1:106" x14ac:dyDescent="0.25">
      <c r="A10" s="94" t="s">
        <v>20</v>
      </c>
      <c r="B10" s="90" t="s">
        <v>349</v>
      </c>
      <c r="C10" s="15">
        <f t="shared" si="0"/>
        <v>1.6443412786038031E-11</v>
      </c>
      <c r="D10" s="76">
        <f>IFERROR(IF(AND(up_Irr!C10&lt;&gt;".",up_Irr!AB10&lt;&gt;".",up_Irr!BA10&lt;&gt;"."),up_dir!D10/((1/1000)*(up_Irr!C10+up_Irr!AB10+up_Irr!BA10)),IF(AND(up_Irr!C10&lt;&gt;".",up_Irr!AB10&lt;&gt;".",up_Irr!BA10="."),up_dir!D10/((1/1000)*(up_Irr!C10+up_Irr!AB10)),IF(AND(up_Irr!C10&lt;&gt;".",up_Irr!AB10=".",up_Irr!BA10&lt;&gt;"."),up_dir!D10/((1/1000)*(up_Irr!C10+up_Irr!BA10)),IF(AND(up_Irr!C10=".",up_Irr!AB10&lt;&gt;".",up_Irr!BA10&lt;&gt;"."),up_dir!D10/((1/1000)*(up_Irr!AB10+up_Irr!BA10)),IF(AND(up_Irr!C10=".",up_Irr!AB10=".",up_Irr!BA10&lt;&gt;"."),up_dir!D10/((1/1000)*(up_Irr!BA10)),IF(AND(up_Irr!C10=".",up_Irr!AB10&lt;&gt;".",up_Irr!BA10="."),up_dir!D10/((1/1000)*(up_Irr!AB10)),IF(AND(up_Irr!C10&lt;&gt;".",up_Irr!AB10=".",up_Irr!BA10="."),up_dir!D10/((1/1000)*(up_Irr!C10)),IF(AND(up_Irr!C10=".",up_Irr!AB10=".",up_Irr!BA10="."),up_dir!D10*1000)))))))),".")</f>
        <v>6.5773651144152123E-11</v>
      </c>
      <c r="E10" s="76">
        <f>IFERROR(IF(AND(up_Irr!D10&lt;&gt;".",up_Irr!AC10&lt;&gt;".",up_Irr!BB10&lt;&gt;"."),up_dir!E10/((1/1000)*(up_Irr!D10+up_Irr!AC10+up_Irr!BB10)),IF(AND(up_Irr!D10&lt;&gt;".",up_Irr!AC10&lt;&gt;".",up_Irr!BB10="."),up_dir!E10/((1/1000)*(up_Irr!D10+up_Irr!AC10)),IF(AND(up_Irr!D10&lt;&gt;".",up_Irr!AC10=".",up_Irr!BB10&lt;&gt;"."),up_dir!E10/((1/1000)*(up_Irr!D10+up_Irr!BB10)),IF(AND(up_Irr!D10=".",up_Irr!AC10&lt;&gt;".",up_Irr!BB10&lt;&gt;"."),up_dir!E10/((1/1000)*(up_Irr!AC10+up_Irr!BB10)),IF(AND(up_Irr!D10=".",up_Irr!AC10=".",up_Irr!BB10&lt;&gt;"."),up_dir!E10/((1/1000)*(up_Irr!BB10)),IF(AND(up_Irr!D10=".",up_Irr!AC10&lt;&gt;".",up_Irr!BB10="."),up_dir!E10/((1/1000)*(up_Irr!AC10)),IF(AND(up_Irr!D10&lt;&gt;".",up_Irr!AC10=".",up_Irr!BB10="."),up_dir!E10/((1/1000)*(up_Irr!D10)),IF(AND(up_Irr!D10=".",up_Irr!AC10=".",up_Irr!BB10="."),up_dir!E10*1000)))))))),".")</f>
        <v>6.5773651144152123E-11</v>
      </c>
      <c r="F10" s="76">
        <f>IFERROR(IF(AND(up_Irr!E10&lt;&gt;".",up_Irr!AD10&lt;&gt;".",up_Irr!BC10&lt;&gt;"."),up_dir!F10/((1/1000)*(up_Irr!E10+up_Irr!AD10+up_Irr!BC10)),IF(AND(up_Irr!E10&lt;&gt;".",up_Irr!AD10&lt;&gt;".",up_Irr!BC10="."),up_dir!F10/((1/1000)*(up_Irr!E10+up_Irr!AD10)),IF(AND(up_Irr!E10&lt;&gt;".",up_Irr!AD10=".",up_Irr!BC10&lt;&gt;"."),up_dir!F10/((1/1000)*(up_Irr!E10+up_Irr!BC10)),IF(AND(up_Irr!E10=".",up_Irr!AD10&lt;&gt;".",up_Irr!BC10&lt;&gt;"."),up_dir!F10/((1/1000)*(up_Irr!AD10+up_Irr!BC10)),IF(AND(up_Irr!E10=".",up_Irr!AD10=".",up_Irr!BC10&lt;&gt;"."),up_dir!F10/((1/1000)*(up_Irr!BC10)),IF(AND(up_Irr!E10=".",up_Irr!AD10&lt;&gt;".",up_Irr!BC10="."),up_dir!F10/((1/1000)*(up_Irr!AD10)),IF(AND(up_Irr!E10&lt;&gt;".",up_Irr!AD10=".",up_Irr!BC10="."),up_dir!F10/((1/1000)*(up_Irr!E10)),IF(AND(up_Irr!E10=".",up_Irr!AD10=".",up_Irr!BC10="."),up_dir!F10*1000)))))))),".")</f>
        <v>6.5773651144152123E-11</v>
      </c>
      <c r="G10" s="76">
        <f>IFERROR(IF(AND(up_Irr!F10&lt;&gt;".",up_Irr!AE10&lt;&gt;".",up_Irr!BD10&lt;&gt;"."),up_dir!G10/((1/1000)*(up_Irr!F10+up_Irr!AE10+up_Irr!BD10)),IF(AND(up_Irr!F10&lt;&gt;".",up_Irr!AE10&lt;&gt;".",up_Irr!BD10="."),up_dir!G10/((1/1000)*(up_Irr!F10+up_Irr!AE10)),IF(AND(up_Irr!F10&lt;&gt;".",up_Irr!AE10=".",up_Irr!BD10&lt;&gt;"."),up_dir!G10/((1/1000)*(up_Irr!F10+up_Irr!BD10)),IF(AND(up_Irr!F10=".",up_Irr!AE10&lt;&gt;".",up_Irr!BD10&lt;&gt;"."),up_dir!G10/((1/1000)*(up_Irr!AE10+up_Irr!BD10)),IF(AND(up_Irr!F10=".",up_Irr!AE10=".",up_Irr!BD10&lt;&gt;"."),up_dir!G10/((1/1000)*(up_Irr!BD10)),IF(AND(up_Irr!F10=".",up_Irr!AE10&lt;&gt;".",up_Irr!BD10="."),up_dir!G10/((1/1000)*(up_Irr!AE10)),IF(AND(up_Irr!F10&lt;&gt;".",up_Irr!AE10=".",up_Irr!BD10="."),up_dir!G10/((1/1000)*(up_Irr!F10)),IF(AND(up_Irr!F10=".",up_Irr!AE10=".",up_Irr!BD10="."),up_dir!G10*1000)))))))),".")</f>
        <v>6.5773651144152123E-11</v>
      </c>
      <c r="H10" s="76">
        <f>IFERROR(IF(AND(up_Irr!G10&lt;&gt;".",up_Irr!AF10&lt;&gt;".",up_Irr!BE10&lt;&gt;"."),up_dir!H10/((1/1000)*(up_Irr!G10+up_Irr!AF10+up_Irr!BE10)),IF(AND(up_Irr!G10&lt;&gt;".",up_Irr!AF10&lt;&gt;".",up_Irr!BE10="."),up_dir!H10/((1/1000)*(up_Irr!G10+up_Irr!AF10)),IF(AND(up_Irr!G10&lt;&gt;".",up_Irr!AF10=".",up_Irr!BE10&lt;&gt;"."),up_dir!H10/((1/1000)*(up_Irr!G10+up_Irr!BE10)),IF(AND(up_Irr!G10=".",up_Irr!AF10&lt;&gt;".",up_Irr!BE10&lt;&gt;"."),up_dir!H10/((1/1000)*(up_Irr!AF10+up_Irr!BE10)),IF(AND(up_Irr!G10=".",up_Irr!AF10=".",up_Irr!BE10&lt;&gt;"."),up_dir!H10/((1/1000)*(up_Irr!BE10)),IF(AND(up_Irr!G10=".",up_Irr!AF10&lt;&gt;".",up_Irr!BE10="."),up_dir!H10/((1/1000)*(up_Irr!AF10)),IF(AND(up_Irr!G10&lt;&gt;".",up_Irr!AF10=".",up_Irr!BE10="."),up_dir!H10/((1/1000)*(up_Irr!G10)),IF(AND(up_Irr!G10=".",up_Irr!AF10=".",up_Irr!BE10="."),up_dir!H10*1000)))))))),".")</f>
        <v>6.5773651144152123E-11</v>
      </c>
      <c r="I10" s="76">
        <f>IFERROR(IF(AND(up_Irr!H10&lt;&gt;".",up_Irr!AG10&lt;&gt;".",up_Irr!BF10&lt;&gt;"."),up_dir!I10/((1/1000)*(up_Irr!H10+up_Irr!AG10+up_Irr!BF10)),IF(AND(up_Irr!H10&lt;&gt;".",up_Irr!AG10&lt;&gt;".",up_Irr!BF10="."),up_dir!I10/((1/1000)*(up_Irr!H10+up_Irr!AG10)),IF(AND(up_Irr!H10&lt;&gt;".",up_Irr!AG10=".",up_Irr!BF10&lt;&gt;"."),up_dir!I10/((1/1000)*(up_Irr!H10+up_Irr!BF10)),IF(AND(up_Irr!H10=".",up_Irr!AG10&lt;&gt;".",up_Irr!BF10&lt;&gt;"."),up_dir!I10/((1/1000)*(up_Irr!AG10+up_Irr!BF10)),IF(AND(up_Irr!H10=".",up_Irr!AG10=".",up_Irr!BF10&lt;&gt;"."),up_dir!I10/((1/1000)*(up_Irr!BF10)),IF(AND(up_Irr!H10=".",up_Irr!AG10&lt;&gt;".",up_Irr!BF10="."),up_dir!I10/((1/1000)*(up_Irr!AG10)),IF(AND(up_Irr!H10&lt;&gt;".",up_Irr!AG10=".",up_Irr!BF10="."),up_dir!I10/((1/1000)*(up_Irr!H10)),IF(AND(up_Irr!H10=".",up_Irr!AG10=".",up_Irr!BF10="."),up_dir!I10*1000)))))))),".")</f>
        <v>6.5773651144152123E-11</v>
      </c>
      <c r="J10" s="76">
        <f>IFERROR(IF(AND(up_Irr!I10&lt;&gt;".",up_Irr!AH10&lt;&gt;".",up_Irr!BG10&lt;&gt;"."),up_dir!J10/((1/1000)*(up_Irr!I10+up_Irr!AH10+up_Irr!BG10)),IF(AND(up_Irr!I10&lt;&gt;".",up_Irr!AH10&lt;&gt;".",up_Irr!BG10="."),up_dir!J10/((1/1000)*(up_Irr!I10+up_Irr!AH10)),IF(AND(up_Irr!I10&lt;&gt;".",up_Irr!AH10=".",up_Irr!BG10&lt;&gt;"."),up_dir!J10/((1/1000)*(up_Irr!I10+up_Irr!BG10)),IF(AND(up_Irr!I10=".",up_Irr!AH10&lt;&gt;".",up_Irr!BG10&lt;&gt;"."),up_dir!J10/((1/1000)*(up_Irr!AH10+up_Irr!BG10)),IF(AND(up_Irr!I10=".",up_Irr!AH10=".",up_Irr!BG10&lt;&gt;"."),up_dir!J10/((1/1000)*(up_Irr!BG10)),IF(AND(up_Irr!I10=".",up_Irr!AH10&lt;&gt;".",up_Irr!BG10="."),up_dir!J10/((1/1000)*(up_Irr!AH10)),IF(AND(up_Irr!I10&lt;&gt;".",up_Irr!AH10=".",up_Irr!BG10="."),up_dir!J10/((1/1000)*(up_Irr!I10)),IF(AND(up_Irr!I10=".",up_Irr!AH10=".",up_Irr!BG10="."),up_dir!J10*1000)))))))),".")</f>
        <v>6.5773651144152123E-11</v>
      </c>
      <c r="K10" s="76">
        <f>IFERROR(IF(AND(up_Irr!J10&lt;&gt;".",up_Irr!AI10&lt;&gt;".",up_Irr!BH10&lt;&gt;"."),up_dir!K10/((1/1000)*(up_Irr!J10+up_Irr!AI10+up_Irr!BH10)),IF(AND(up_Irr!J10&lt;&gt;".",up_Irr!AI10&lt;&gt;".",up_Irr!BH10="."),up_dir!K10/((1/1000)*(up_Irr!J10+up_Irr!AI10)),IF(AND(up_Irr!J10&lt;&gt;".",up_Irr!AI10=".",up_Irr!BH10&lt;&gt;"."),up_dir!K10/((1/1000)*(up_Irr!J10+up_Irr!BH10)),IF(AND(up_Irr!J10=".",up_Irr!AI10&lt;&gt;".",up_Irr!BH10&lt;&gt;"."),up_dir!K10/((1/1000)*(up_Irr!AI10+up_Irr!BH10)),IF(AND(up_Irr!J10=".",up_Irr!AI10=".",up_Irr!BH10&lt;&gt;"."),up_dir!K10/((1/1000)*(up_Irr!BH10)),IF(AND(up_Irr!J10=".",up_Irr!AI10&lt;&gt;".",up_Irr!BH10="."),up_dir!K10/((1/1000)*(up_Irr!AI10)),IF(AND(up_Irr!J10&lt;&gt;".",up_Irr!AI10=".",up_Irr!BH10="."),up_dir!K10/((1/1000)*(up_Irr!J10)),IF(AND(up_Irr!J10=".",up_Irr!AI10=".",up_Irr!BH10="."),up_dir!K10*1000)))))))),".")</f>
        <v>6.5773651144152123E-11</v>
      </c>
      <c r="L10" s="76">
        <f>IFERROR(IF(AND(up_Irr!K10&lt;&gt;".",up_Irr!AJ10&lt;&gt;".",up_Irr!BI10&lt;&gt;"."),up_dir!L10/((1/1000)*(up_Irr!K10+up_Irr!AJ10+up_Irr!BI10)),IF(AND(up_Irr!K10&lt;&gt;".",up_Irr!AJ10&lt;&gt;".",up_Irr!BI10="."),up_dir!L10/((1/1000)*(up_Irr!K10+up_Irr!AJ10)),IF(AND(up_Irr!K10&lt;&gt;".",up_Irr!AJ10=".",up_Irr!BI10&lt;&gt;"."),up_dir!L10/((1/1000)*(up_Irr!K10+up_Irr!BI10)),IF(AND(up_Irr!K10=".",up_Irr!AJ10&lt;&gt;".",up_Irr!BI10&lt;&gt;"."),up_dir!L10/((1/1000)*(up_Irr!AJ10+up_Irr!BI10)),IF(AND(up_Irr!K10=".",up_Irr!AJ10=".",up_Irr!BI10&lt;&gt;"."),up_dir!L10/((1/1000)*(up_Irr!BI10)),IF(AND(up_Irr!K10=".",up_Irr!AJ10&lt;&gt;".",up_Irr!BI10="."),up_dir!L10/((1/1000)*(up_Irr!AJ10)),IF(AND(up_Irr!K10&lt;&gt;".",up_Irr!AJ10=".",up_Irr!BI10="."),up_dir!L10/((1/1000)*(up_Irr!K10)),IF(AND(up_Irr!K10=".",up_Irr!AJ10=".",up_Irr!BI10="."),up_dir!L10*1000)))))))),".")</f>
        <v>6.5773651144152123E-11</v>
      </c>
      <c r="M10" s="76">
        <f>IFERROR(IF(AND(up_Irr!L10&lt;&gt;".",up_Irr!AK10&lt;&gt;".",up_Irr!BJ10&lt;&gt;"."),up_dir!M10/((1/1000)*(up_Irr!L10+up_Irr!AK10+up_Irr!BJ10)),IF(AND(up_Irr!L10&lt;&gt;".",up_Irr!AK10&lt;&gt;".",up_Irr!BJ10="."),up_dir!M10/((1/1000)*(up_Irr!L10+up_Irr!AK10)),IF(AND(up_Irr!L10&lt;&gt;".",up_Irr!AK10=".",up_Irr!BJ10&lt;&gt;"."),up_dir!M10/((1/1000)*(up_Irr!L10+up_Irr!BJ10)),IF(AND(up_Irr!L10=".",up_Irr!AK10&lt;&gt;".",up_Irr!BJ10&lt;&gt;"."),up_dir!M10/((1/1000)*(up_Irr!AK10+up_Irr!BJ10)),IF(AND(up_Irr!L10=".",up_Irr!AK10=".",up_Irr!BJ10&lt;&gt;"."),up_dir!M10/((1/1000)*(up_Irr!BJ10)),IF(AND(up_Irr!L10=".",up_Irr!AK10&lt;&gt;".",up_Irr!BJ10="."),up_dir!M10/((1/1000)*(up_Irr!AK10)),IF(AND(up_Irr!L10&lt;&gt;".",up_Irr!AK10=".",up_Irr!BJ10="."),up_dir!M10/((1/1000)*(up_Irr!L10)),IF(AND(up_Irr!L10=".",up_Irr!AK10=".",up_Irr!BJ10="."),up_dir!M10*1000)))))))),".")</f>
        <v>6.5773651144152123E-11</v>
      </c>
      <c r="N10" s="76">
        <f>IFERROR(IF(AND(up_Irr!M10&lt;&gt;".",up_Irr!AL10&lt;&gt;".",up_Irr!BK10&lt;&gt;"."),up_dir!N10/((1/1000)*(up_Irr!M10+up_Irr!AL10+up_Irr!BK10)),IF(AND(up_Irr!M10&lt;&gt;".",up_Irr!AL10&lt;&gt;".",up_Irr!BK10="."),up_dir!N10/((1/1000)*(up_Irr!M10+up_Irr!AL10)),IF(AND(up_Irr!M10&lt;&gt;".",up_Irr!AL10=".",up_Irr!BK10&lt;&gt;"."),up_dir!N10/((1/1000)*(up_Irr!M10+up_Irr!BK10)),IF(AND(up_Irr!M10=".",up_Irr!AL10&lt;&gt;".",up_Irr!BK10&lt;&gt;"."),up_dir!N10/((1/1000)*(up_Irr!AL10+up_Irr!BK10)),IF(AND(up_Irr!M10=".",up_Irr!AL10=".",up_Irr!BK10&lt;&gt;"."),up_dir!N10/((1/1000)*(up_Irr!BK10)),IF(AND(up_Irr!M10=".",up_Irr!AL10&lt;&gt;".",up_Irr!BK10="."),up_dir!N10/((1/1000)*(up_Irr!AL10)),IF(AND(up_Irr!M10&lt;&gt;".",up_Irr!AL10=".",up_Irr!BK10="."),up_dir!N10/((1/1000)*(up_Irr!M10)),IF(AND(up_Irr!M10=".",up_Irr!AL10=".",up_Irr!BK10="."),up_dir!N10*1000)))))))),".")</f>
        <v>6.5773651144152123E-11</v>
      </c>
      <c r="O10" s="76">
        <f>IFERROR(IF(AND(up_Irr!N10&lt;&gt;".",up_Irr!AM10&lt;&gt;".",up_Irr!BL10&lt;&gt;"."),up_dir!O10/((1/1000)*(up_Irr!N10+up_Irr!AM10+up_Irr!BL10)),IF(AND(up_Irr!N10&lt;&gt;".",up_Irr!AM10&lt;&gt;".",up_Irr!BL10="."),up_dir!O10/((1/1000)*(up_Irr!N10+up_Irr!AM10)),IF(AND(up_Irr!N10&lt;&gt;".",up_Irr!AM10=".",up_Irr!BL10&lt;&gt;"."),up_dir!O10/((1/1000)*(up_Irr!N10+up_Irr!BL10)),IF(AND(up_Irr!N10=".",up_Irr!AM10&lt;&gt;".",up_Irr!BL10&lt;&gt;"."),up_dir!O10/((1/1000)*(up_Irr!AM10+up_Irr!BL10)),IF(AND(up_Irr!N10=".",up_Irr!AM10=".",up_Irr!BL10&lt;&gt;"."),up_dir!O10/((1/1000)*(up_Irr!BL10)),IF(AND(up_Irr!N10=".",up_Irr!AM10&lt;&gt;".",up_Irr!BL10="."),up_dir!O10/((1/1000)*(up_Irr!AM10)),IF(AND(up_Irr!N10&lt;&gt;".",up_Irr!AM10=".",up_Irr!BL10="."),up_dir!O10/((1/1000)*(up_Irr!N10)),IF(AND(up_Irr!N10=".",up_Irr!AM10=".",up_Irr!BL10="."),up_dir!O10*1000)))))))),".")</f>
        <v>6.5773651144152123E-11</v>
      </c>
      <c r="P10" s="76">
        <f>IFERROR(IF(AND(up_Irr!O10&lt;&gt;".",up_Irr!AN10&lt;&gt;".",up_Irr!BM10&lt;&gt;"."),up_dir!P10/((1/1000)*(up_Irr!O10+up_Irr!AN10+up_Irr!BM10)),IF(AND(up_Irr!O10&lt;&gt;".",up_Irr!AN10&lt;&gt;".",up_Irr!BM10="."),up_dir!P10/((1/1000)*(up_Irr!O10+up_Irr!AN10)),IF(AND(up_Irr!O10&lt;&gt;".",up_Irr!AN10=".",up_Irr!BM10&lt;&gt;"."),up_dir!P10/((1/1000)*(up_Irr!O10+up_Irr!BM10)),IF(AND(up_Irr!O10=".",up_Irr!AN10&lt;&gt;".",up_Irr!BM10&lt;&gt;"."),up_dir!P10/((1/1000)*(up_Irr!AN10+up_Irr!BM10)),IF(AND(up_Irr!O10=".",up_Irr!AN10=".",up_Irr!BM10&lt;&gt;"."),up_dir!P10/((1/1000)*(up_Irr!BM10)),IF(AND(up_Irr!O10=".",up_Irr!AN10&lt;&gt;".",up_Irr!BM10="."),up_dir!P10/((1/1000)*(up_Irr!AN10)),IF(AND(up_Irr!O10&lt;&gt;".",up_Irr!AN10=".",up_Irr!BM10="."),up_dir!P10/((1/1000)*(up_Irr!O10)),IF(AND(up_Irr!O10=".",up_Irr!AN10=".",up_Irr!BM10="."),up_dir!P10*1000)))))))),".")</f>
        <v>6.5773651144152123E-11</v>
      </c>
      <c r="Q10" s="76">
        <f>IFERROR(IF(AND(up_Irr!P10&lt;&gt;".",up_Irr!AO10&lt;&gt;".",up_Irr!BN10&lt;&gt;"."),up_dir!Q10/((1/1000)*(up_Irr!P10+up_Irr!AO10+up_Irr!BN10)),IF(AND(up_Irr!P10&lt;&gt;".",up_Irr!AO10&lt;&gt;".",up_Irr!BN10="."),up_dir!Q10/((1/1000)*(up_Irr!P10+up_Irr!AO10)),IF(AND(up_Irr!P10&lt;&gt;".",up_Irr!AO10=".",up_Irr!BN10&lt;&gt;"."),up_dir!Q10/((1/1000)*(up_Irr!P10+up_Irr!BN10)),IF(AND(up_Irr!P10=".",up_Irr!AO10&lt;&gt;".",up_Irr!BN10&lt;&gt;"."),up_dir!Q10/((1/1000)*(up_Irr!AO10+up_Irr!BN10)),IF(AND(up_Irr!P10=".",up_Irr!AO10=".",up_Irr!BN10&lt;&gt;"."),up_dir!Q10/((1/1000)*(up_Irr!BN10)),IF(AND(up_Irr!P10=".",up_Irr!AO10&lt;&gt;".",up_Irr!BN10="."),up_dir!Q10/((1/1000)*(up_Irr!AO10)),IF(AND(up_Irr!P10&lt;&gt;".",up_Irr!AO10=".",up_Irr!BN10="."),up_dir!Q10/((1/1000)*(up_Irr!P10)),IF(AND(up_Irr!P10=".",up_Irr!AO10=".",up_Irr!BN10="."),up_dir!Q10*1000)))))))),".")</f>
        <v>6.5773651144152123E-11</v>
      </c>
      <c r="R10" s="76">
        <f>IFERROR(IF(AND(up_Irr!Q10&lt;&gt;".",up_Irr!AP10&lt;&gt;".",up_Irr!BO10&lt;&gt;"."),up_dir!R10/((1/1000)*(up_Irr!Q10+up_Irr!AP10+up_Irr!BO10)),IF(AND(up_Irr!Q10&lt;&gt;".",up_Irr!AP10&lt;&gt;".",up_Irr!BO10="."),up_dir!R10/((1/1000)*(up_Irr!Q10+up_Irr!AP10)),IF(AND(up_Irr!Q10&lt;&gt;".",up_Irr!AP10=".",up_Irr!BO10&lt;&gt;"."),up_dir!R10/((1/1000)*(up_Irr!Q10+up_Irr!BO10)),IF(AND(up_Irr!Q10=".",up_Irr!AP10&lt;&gt;".",up_Irr!BO10&lt;&gt;"."),up_dir!R10/((1/1000)*(up_Irr!AP10+up_Irr!BO10)),IF(AND(up_Irr!Q10=".",up_Irr!AP10=".",up_Irr!BO10&lt;&gt;"."),up_dir!R10/((1/1000)*(up_Irr!BO10)),IF(AND(up_Irr!Q10=".",up_Irr!AP10&lt;&gt;".",up_Irr!BO10="."),up_dir!R10/((1/1000)*(up_Irr!AP10)),IF(AND(up_Irr!Q10&lt;&gt;".",up_Irr!AP10=".",up_Irr!BO10="."),up_dir!R10/((1/1000)*(up_Irr!Q10)),IF(AND(up_Irr!Q10=".",up_Irr!AP10=".",up_Irr!BO10="."),up_dir!R10*1000)))))))),".")</f>
        <v>6.5773651144152123E-11</v>
      </c>
      <c r="S10" s="76">
        <f>IFERROR(IF(AND(up_Irr!R10&lt;&gt;".",up_Irr!AQ10&lt;&gt;".",up_Irr!BP10&lt;&gt;"."),up_dir!S10/((1/1000)*(up_Irr!R10+up_Irr!AQ10+up_Irr!BP10)),IF(AND(up_Irr!R10&lt;&gt;".",up_Irr!AQ10&lt;&gt;".",up_Irr!BP10="."),up_dir!S10/((1/1000)*(up_Irr!R10+up_Irr!AQ10)),IF(AND(up_Irr!R10&lt;&gt;".",up_Irr!AQ10=".",up_Irr!BP10&lt;&gt;"."),up_dir!S10/((1/1000)*(up_Irr!R10+up_Irr!BP10)),IF(AND(up_Irr!R10=".",up_Irr!AQ10&lt;&gt;".",up_Irr!BP10&lt;&gt;"."),up_dir!S10/((1/1000)*(up_Irr!AQ10+up_Irr!BP10)),IF(AND(up_Irr!R10=".",up_Irr!AQ10=".",up_Irr!BP10&lt;&gt;"."),up_dir!S10/((1/1000)*(up_Irr!BP10)),IF(AND(up_Irr!R10=".",up_Irr!AQ10&lt;&gt;".",up_Irr!BP10="."),up_dir!S10/((1/1000)*(up_Irr!AQ10)),IF(AND(up_Irr!R10&lt;&gt;".",up_Irr!AQ10=".",up_Irr!BP10="."),up_dir!S10/((1/1000)*(up_Irr!R10)),IF(AND(up_Irr!R10=".",up_Irr!AQ10=".",up_Irr!BP10="."),up_dir!S10*1000)))))))),".")</f>
        <v>6.5773651144152123E-11</v>
      </c>
      <c r="T10" s="76">
        <f>IFERROR(IF(AND(up_Irr!S10&lt;&gt;".",up_Irr!AR10&lt;&gt;".",up_Irr!BQ10&lt;&gt;"."),up_dir!T10/((1/1000)*(up_Irr!S10+up_Irr!AR10+up_Irr!BQ10)),IF(AND(up_Irr!S10&lt;&gt;".",up_Irr!AR10&lt;&gt;".",up_Irr!BQ10="."),up_dir!T10/((1/1000)*(up_Irr!S10+up_Irr!AR10)),IF(AND(up_Irr!S10&lt;&gt;".",up_Irr!AR10=".",up_Irr!BQ10&lt;&gt;"."),up_dir!T10/((1/1000)*(up_Irr!S10+up_Irr!BQ10)),IF(AND(up_Irr!S10=".",up_Irr!AR10&lt;&gt;".",up_Irr!BQ10&lt;&gt;"."),up_dir!T10/((1/1000)*(up_Irr!AR10+up_Irr!BQ10)),IF(AND(up_Irr!S10=".",up_Irr!AR10=".",up_Irr!BQ10&lt;&gt;"."),up_dir!T10/((1/1000)*(up_Irr!BQ10)),IF(AND(up_Irr!S10=".",up_Irr!AR10&lt;&gt;".",up_Irr!BQ10="."),up_dir!T10/((1/1000)*(up_Irr!AR10)),IF(AND(up_Irr!S10&lt;&gt;".",up_Irr!AR10=".",up_Irr!BQ10="."),up_dir!T10/((1/1000)*(up_Irr!S10)),IF(AND(up_Irr!S10=".",up_Irr!AR10=".",up_Irr!BQ10="."),up_dir!T10*1000)))))))),".")</f>
        <v>6.5773651144152123E-11</v>
      </c>
      <c r="U10" s="76">
        <f>IFERROR(IF(AND(up_Irr!T10&lt;&gt;".",up_Irr!AS10&lt;&gt;".",up_Irr!BR10&lt;&gt;"."),up_dir!U10/((1/1000)*(up_Irr!T10+up_Irr!AS10+up_Irr!BR10)),IF(AND(up_Irr!T10&lt;&gt;".",up_Irr!AS10&lt;&gt;".",up_Irr!BR10="."),up_dir!U10/((1/1000)*(up_Irr!T10+up_Irr!AS10)),IF(AND(up_Irr!T10&lt;&gt;".",up_Irr!AS10=".",up_Irr!BR10&lt;&gt;"."),up_dir!U10/((1/1000)*(up_Irr!T10+up_Irr!BR10)),IF(AND(up_Irr!T10=".",up_Irr!AS10&lt;&gt;".",up_Irr!BR10&lt;&gt;"."),up_dir!U10/((1/1000)*(up_Irr!AS10+up_Irr!BR10)),IF(AND(up_Irr!T10=".",up_Irr!AS10=".",up_Irr!BR10&lt;&gt;"."),up_dir!U10/((1/1000)*(up_Irr!BR10)),IF(AND(up_Irr!T10=".",up_Irr!AS10&lt;&gt;".",up_Irr!BR10="."),up_dir!U10/((1/1000)*(up_Irr!AS10)),IF(AND(up_Irr!T10&lt;&gt;".",up_Irr!AS10=".",up_Irr!BR10="."),up_dir!U10/((1/1000)*(up_Irr!T10)),IF(AND(up_Irr!T10=".",up_Irr!AS10=".",up_Irr!BR10="."),up_dir!U10*1000)))))))),".")</f>
        <v>6.5773651144152123E-11</v>
      </c>
      <c r="V10" s="76">
        <f>IFERROR(IF(AND(up_Irr!U10&lt;&gt;".",up_Irr!AT10&lt;&gt;".",up_Irr!BS10&lt;&gt;"."),up_dir!V10/((1/1000)*(up_Irr!U10+up_Irr!AT10+up_Irr!BS10)),IF(AND(up_Irr!U10&lt;&gt;".",up_Irr!AT10&lt;&gt;".",up_Irr!BS10="."),up_dir!V10/((1/1000)*(up_Irr!U10+up_Irr!AT10)),IF(AND(up_Irr!U10&lt;&gt;".",up_Irr!AT10=".",up_Irr!BS10&lt;&gt;"."),up_dir!V10/((1/1000)*(up_Irr!U10+up_Irr!BS10)),IF(AND(up_Irr!U10=".",up_Irr!AT10&lt;&gt;".",up_Irr!BS10&lt;&gt;"."),up_dir!V10/((1/1000)*(up_Irr!AT10+up_Irr!BS10)),IF(AND(up_Irr!U10=".",up_Irr!AT10=".",up_Irr!BS10&lt;&gt;"."),up_dir!V10/((1/1000)*(up_Irr!BS10)),IF(AND(up_Irr!U10=".",up_Irr!AT10&lt;&gt;".",up_Irr!BS10="."),up_dir!V10/((1/1000)*(up_Irr!AT10)),IF(AND(up_Irr!U10&lt;&gt;".",up_Irr!AT10=".",up_Irr!BS10="."),up_dir!V10/((1/1000)*(up_Irr!U10)),IF(AND(up_Irr!U10=".",up_Irr!AT10=".",up_Irr!BS10="."),up_dir!V10*1000)))))))),".")</f>
        <v>6.5773651144152123E-11</v>
      </c>
      <c r="W10" s="76">
        <f>IFERROR(IF(AND(up_Irr!V10&lt;&gt;".",up_Irr!AU10&lt;&gt;".",up_Irr!BT10&lt;&gt;"."),up_dir!W10/((1/1000)*(up_Irr!V10+up_Irr!AU10+up_Irr!BT10)),IF(AND(up_Irr!V10&lt;&gt;".",up_Irr!AU10&lt;&gt;".",up_Irr!BT10="."),up_dir!W10/((1/1000)*(up_Irr!V10+up_Irr!AU10)),IF(AND(up_Irr!V10&lt;&gt;".",up_Irr!AU10=".",up_Irr!BT10&lt;&gt;"."),up_dir!W10/((1/1000)*(up_Irr!V10+up_Irr!BT10)),IF(AND(up_Irr!V10=".",up_Irr!AU10&lt;&gt;".",up_Irr!BT10&lt;&gt;"."),up_dir!W10/((1/1000)*(up_Irr!AU10+up_Irr!BT10)),IF(AND(up_Irr!V10=".",up_Irr!AU10=".",up_Irr!BT10&lt;&gt;"."),up_dir!W10/((1/1000)*(up_Irr!BT10)),IF(AND(up_Irr!V10=".",up_Irr!AU10&lt;&gt;".",up_Irr!BT10="."),up_dir!W10/((1/1000)*(up_Irr!AU10)),IF(AND(up_Irr!V10&lt;&gt;".",up_Irr!AU10=".",up_Irr!BT10="."),up_dir!W10/((1/1000)*(up_Irr!V10)),IF(AND(up_Irr!V10=".",up_Irr!AU10=".",up_Irr!BT10="."),up_dir!W10*1000)))))))),".")</f>
        <v>6.5773651144152123E-11</v>
      </c>
      <c r="X10" s="76">
        <f>IFERROR(IF(AND(up_Irr!W10&lt;&gt;".",up_Irr!AV10&lt;&gt;".",up_Irr!BU10&lt;&gt;"."),up_dir!X10/((1/1000)*(up_Irr!W10+up_Irr!AV10+up_Irr!BU10)),IF(AND(up_Irr!W10&lt;&gt;".",up_Irr!AV10&lt;&gt;".",up_Irr!BU10="."),up_dir!X10/((1/1000)*(up_Irr!W10+up_Irr!AV10)),IF(AND(up_Irr!W10&lt;&gt;".",up_Irr!AV10=".",up_Irr!BU10&lt;&gt;"."),up_dir!X10/((1/1000)*(up_Irr!W10+up_Irr!BU10)),IF(AND(up_Irr!W10=".",up_Irr!AV10&lt;&gt;".",up_Irr!BU10&lt;&gt;"."),up_dir!X10/((1/1000)*(up_Irr!AV10+up_Irr!BU10)),IF(AND(up_Irr!W10=".",up_Irr!AV10=".",up_Irr!BU10&lt;&gt;"."),up_dir!X10/((1/1000)*(up_Irr!BU10)),IF(AND(up_Irr!W10=".",up_Irr!AV10&lt;&gt;".",up_Irr!BU10="."),up_dir!X10/((1/1000)*(up_Irr!AV10)),IF(AND(up_Irr!W10&lt;&gt;".",up_Irr!AV10=".",up_Irr!BU10="."),up_dir!X10/((1/1000)*(up_Irr!W10)),IF(AND(up_Irr!W10=".",up_Irr!AV10=".",up_Irr!BU10="."),up_dir!X10*1000)))))))),".")</f>
        <v>6.5773651144152123E-11</v>
      </c>
      <c r="Y10" s="76">
        <f>IFERROR(IF(AND(up_Irr!X10&lt;&gt;".",up_Irr!AW10&lt;&gt;".",up_Irr!BV10&lt;&gt;"."),up_dir!Y10/((1/1000)*(up_Irr!X10+up_Irr!AW10+up_Irr!BV10)),IF(AND(up_Irr!X10&lt;&gt;".",up_Irr!AW10&lt;&gt;".",up_Irr!BV10="."),up_dir!Y10/((1/1000)*(up_Irr!X10+up_Irr!AW10)),IF(AND(up_Irr!X10&lt;&gt;".",up_Irr!AW10=".",up_Irr!BV10&lt;&gt;"."),up_dir!Y10/((1/1000)*(up_Irr!X10+up_Irr!BV10)),IF(AND(up_Irr!X10=".",up_Irr!AW10&lt;&gt;".",up_Irr!BV10&lt;&gt;"."),up_dir!Y10/((1/1000)*(up_Irr!AW10+up_Irr!BV10)),IF(AND(up_Irr!X10=".",up_Irr!AW10=".",up_Irr!BV10&lt;&gt;"."),up_dir!Y10/((1/1000)*(up_Irr!BV10)),IF(AND(up_Irr!X10=".",up_Irr!AW10&lt;&gt;".",up_Irr!BV10="."),up_dir!Y10/((1/1000)*(up_Irr!AW10)),IF(AND(up_Irr!X10&lt;&gt;".",up_Irr!AW10=".",up_Irr!BV10="."),up_dir!Y10/((1/1000)*(up_Irr!X10)),IF(AND(up_Irr!X10=".",up_Irr!AW10=".",up_Irr!BV10="."),up_dir!Y10*1000)))))))),".")</f>
        <v>6.5773651144152123E-11</v>
      </c>
      <c r="Z10" s="76">
        <f>IFERROR(IF(AND(up_Irr!Y10&lt;&gt;".",up_Irr!AX10&lt;&gt;".",up_Irr!BW10&lt;&gt;"."),up_dir!Z10/((1/1000)*(up_Irr!Y10+up_Irr!AX10+up_Irr!BW10)),IF(AND(up_Irr!Y10&lt;&gt;".",up_Irr!AX10&lt;&gt;".",up_Irr!BW10="."),up_dir!Z10/((1/1000)*(up_Irr!Y10+up_Irr!AX10)),IF(AND(up_Irr!Y10&lt;&gt;".",up_Irr!AX10=".",up_Irr!BW10&lt;&gt;"."),up_dir!Z10/((1/1000)*(up_Irr!Y10+up_Irr!BW10)),IF(AND(up_Irr!Y10=".",up_Irr!AX10&lt;&gt;".",up_Irr!BW10&lt;&gt;"."),up_dir!Z10/((1/1000)*(up_Irr!AX10+up_Irr!BW10)),IF(AND(up_Irr!Y10=".",up_Irr!AX10=".",up_Irr!BW10&lt;&gt;"."),up_dir!Z10/((1/1000)*(up_Irr!BW10)),IF(AND(up_Irr!Y10=".",up_Irr!AX10&lt;&gt;".",up_Irr!BW10="."),up_dir!Z10/((1/1000)*(up_Irr!AX10)),IF(AND(up_Irr!Y10&lt;&gt;".",up_Irr!AX10=".",up_Irr!BW10="."),up_dir!Z10/((1/1000)*(up_Irr!Y10)),IF(AND(up_Irr!Y10=".",up_Irr!AX10=".",up_Irr!BW10="."),up_dir!Z10*1000)))))))),".")</f>
        <v>6.5773651144152123E-11</v>
      </c>
      <c r="AA10" s="76">
        <f>IFERROR(IF(AND(up_Irr!Z10&lt;&gt;".",up_Irr!AY10&lt;&gt;".",up_Irr!BX10&lt;&gt;"."),up_dir!AA10/((1/1000)*(up_Irr!Z10+up_Irr!AY10+up_Irr!BX10)),IF(AND(up_Irr!Z10&lt;&gt;".",up_Irr!AY10&lt;&gt;".",up_Irr!BX10="."),up_dir!AA10/((1/1000)*(up_Irr!Z10+up_Irr!AY10)),IF(AND(up_Irr!Z10&lt;&gt;".",up_Irr!AY10=".",up_Irr!BX10&lt;&gt;"."),up_dir!AA10/((1/1000)*(up_Irr!Z10+up_Irr!BX10)),IF(AND(up_Irr!Z10=".",up_Irr!AY10&lt;&gt;".",up_Irr!BX10&lt;&gt;"."),up_dir!AA10/((1/1000)*(up_Irr!AY10+up_Irr!BX10)),IF(AND(up_Irr!Z10=".",up_Irr!AY10=".",up_Irr!BX10&lt;&gt;"."),up_dir!AA10/((1/1000)*(up_Irr!BX10)),IF(AND(up_Irr!Z10=".",up_Irr!AY10&lt;&gt;".",up_Irr!BX10="."),up_dir!AA10/((1/1000)*(up_Irr!AY10)),IF(AND(up_Irr!Z10&lt;&gt;".",up_Irr!AY10=".",up_Irr!BX10="."),up_dir!AA10/((1/1000)*(up_Irr!Z10)),IF(AND(up_Irr!Z10=".",up_Irr!AY10=".",up_Irr!BX10="."),up_dir!AA10*1000)))))))),".")</f>
        <v>6.5773651144152123E-11</v>
      </c>
      <c r="AB10" s="76">
        <f>IFERROR(IF(AND(up_Irr!AA10&lt;&gt;".",up_Irr!AZ10&lt;&gt;".",up_Irr!BY10&lt;&gt;"."),up_dir!AB10/((1/1000)*(up_Irr!AA10+up_Irr!AZ10+up_Irr!BY10)),IF(AND(up_Irr!AA10&lt;&gt;".",up_Irr!AZ10&lt;&gt;".",up_Irr!BY10="."),up_dir!AB10/((1/1000)*(up_Irr!AA10+up_Irr!AZ10)),IF(AND(up_Irr!AA10&lt;&gt;".",up_Irr!AZ10=".",up_Irr!BY10&lt;&gt;"."),up_dir!AB10/((1/1000)*(up_Irr!AA10+up_Irr!BY10)),IF(AND(up_Irr!AA10=".",up_Irr!AZ10&lt;&gt;".",up_Irr!BY10&lt;&gt;"."),up_dir!AB10/((1/1000)*(up_Irr!AZ10+up_Irr!BY10)),IF(AND(up_Irr!AA10=".",up_Irr!AZ10=".",up_Irr!BY10&lt;&gt;"."),up_dir!AB10/((1/1000)*(up_Irr!BY10)),IF(AND(up_Irr!AA10=".",up_Irr!AZ10&lt;&gt;".",up_Irr!BY10="."),up_dir!AB10/((1/1000)*(up_Irr!AZ10)),IF(AND(up_Irr!AA10&lt;&gt;".",up_Irr!AZ10=".",up_Irr!BY10="."),up_dir!AB10/((1/1000)*(up_Irr!AA10)),IF(AND(up_Irr!AA10=".",up_Irr!AZ10=".",up_Irr!BY10="."),up_dir!AB10*1000)))))))),".")</f>
        <v>6.5773651144152123E-11</v>
      </c>
      <c r="AC10" s="93">
        <f t="shared" si="1"/>
        <v>608146.26076229871</v>
      </c>
      <c r="AD10" s="93">
        <f>IFERROR(s_C*s_IFAP_res_adj*s_CF_apple*0.001*(up_Irr!C10+up_Irr!AB10+up_Irr!BA10),".")</f>
        <v>152036.56519057468</v>
      </c>
      <c r="AE10" s="93">
        <f>IFERROR(s_C*s_IFAS_res_adj*s_CF_asparagus*0.001*(up_Irr!D10+up_Irr!AC10+up_Irr!BB10),".")</f>
        <v>152036.56519057468</v>
      </c>
      <c r="AF10" s="93">
        <f>IFERROR(s_C*s_IFBT_res_adj*s_CF_beet*0.001*(up_Irr!E10+up_Irr!AD10+up_Irr!BC10),".")</f>
        <v>152036.56519057468</v>
      </c>
      <c r="AG10" s="93">
        <f>IFERROR(s_C*s_IFBE_res_adj*s_CF_berries*0.001*(up_Irr!F10+up_Irr!AE10+up_Irr!BD10),".")</f>
        <v>152036.56519057468</v>
      </c>
      <c r="AH10" s="93">
        <f>IFERROR(s_C*s_IFBR_res_adj*s_CF_broccoli*0.001*(up_Irr!G10+up_Irr!AF10+up_Irr!BE10),".")</f>
        <v>152036.56519057468</v>
      </c>
      <c r="AI10" s="93">
        <f>IFERROR(s_C*s_IFCB_res_adj*s_CF_cabbage*0.001*(up_Irr!H10+up_Irr!AG10+up_Irr!BF10),".")</f>
        <v>152036.56519057468</v>
      </c>
      <c r="AJ10" s="93">
        <f>IFERROR(s_C*s_IFCR_res_adj*s_CF_carrot*0.001*(up_Irr!I10+up_Irr!AH10+up_Irr!BG10),".")</f>
        <v>152036.56519057468</v>
      </c>
      <c r="AK10" s="93">
        <f>IFERROR(s_C*s_IFCI_res_adj*s_CF_citrus*0.001*(up_Irr!J10+up_Irr!AI10+up_Irr!BH10),".")</f>
        <v>152036.56519057468</v>
      </c>
      <c r="AL10" s="93">
        <f>IFERROR(s_C*s_IFCO_res_adj*s_CF_corn*0.001*(up_Irr!K10+up_Irr!AJ10+up_Irr!BI10),".")</f>
        <v>152036.56519057468</v>
      </c>
      <c r="AM10" s="93">
        <f>IFERROR(s_C*s_IFCU_res_adj*s_CF_cucumber*0.001*(up_Irr!L10+up_Irr!AK10+up_Irr!BJ10),".")</f>
        <v>152036.56519057468</v>
      </c>
      <c r="AN10" s="93">
        <f>IFERROR(s_C*s_IFLE_res_adj*s_CF_lettuce*0.001*(up_Irr!M10+up_Irr!AL10+up_Irr!BK10),".")</f>
        <v>152036.56519057468</v>
      </c>
      <c r="AO10" s="93">
        <f>IFERROR(s_C*s_IFLI_res_adj*s_CF_lima_bean*0.001*(up_Irr!N10+up_Irr!AM10+up_Irr!BL10),".")</f>
        <v>152036.56519057468</v>
      </c>
      <c r="AP10" s="93">
        <f>IFERROR(s_C*s_IFOK_res_adj*s_CF_okra*0.001*(up_Irr!O10+up_Irr!AN10+up_Irr!BM10),".")</f>
        <v>152036.56519057468</v>
      </c>
      <c r="AQ10" s="93">
        <f>IFERROR(s_C*s_IFON_res_adj*s_CF_onion*0.001*(up_Irr!P10+up_Irr!AO10+up_Irr!BN10),".")</f>
        <v>152036.56519057468</v>
      </c>
      <c r="AR10" s="93">
        <f>IFERROR(s_C*s_IFPC_res_adj*s_CF_peach*0.001*(up_Irr!Q10+up_Irr!AP10+up_Irr!BO10),".")</f>
        <v>152036.56519057468</v>
      </c>
      <c r="AS10" s="93">
        <f>IFERROR(s_C*s_IFPR_res_adj*s_CF_pear*0.001*(up_Irr!R10+up_Irr!AQ10+up_Irr!BP10),".")</f>
        <v>152036.56519057468</v>
      </c>
      <c r="AT10" s="93">
        <f>IFERROR(s_C*s_IFPE_res_adj*s_CF_peas*0.001*(up_Irr!S10+up_Irr!AR10+up_Irr!BQ10),".")</f>
        <v>152036.56519057468</v>
      </c>
      <c r="AU10" s="93">
        <f>IFERROR(s_C*s_IFPP_res_adj*s_CF_peppers*0.001*(up_Irr!T10+up_Irr!AS10+up_Irr!BR10),".")</f>
        <v>152036.56519057468</v>
      </c>
      <c r="AV10" s="93">
        <f>IFERROR(s_C*s_IFPT_res_adj*s_CF_potato*0.001*(up_Irr!U10+up_Irr!AT10+up_Irr!BS10),".")</f>
        <v>152036.56519057468</v>
      </c>
      <c r="AW10" s="93">
        <f>IFERROR(s_C*s_IFPU_res_adj*s_CF_pumpkin*0.001*(up_Irr!V10+up_Irr!AU10+up_Irr!BT10),".")</f>
        <v>152036.56519057468</v>
      </c>
      <c r="AX10" s="93">
        <f>IFERROR(s_C*s_IFSN_res_adj*s_CF_snap_bean*0.001*(up_Irr!W10+up_Irr!AV10+up_Irr!BU10),".")</f>
        <v>152036.56519057468</v>
      </c>
      <c r="AY10" s="93">
        <f>IFERROR(s_C*s_IFST_res_adj*s_CF_strawberry*0.001*(up_Irr!X10+up_Irr!AW10+up_Irr!BV10),".")</f>
        <v>152036.56519057468</v>
      </c>
      <c r="AZ10" s="93">
        <f>IFERROR(s_C*s_IFTO_res_adj*s_CF_tomato*0.001*(up_Irr!Y10+up_Irr!AX10+up_Irr!BW10),".")</f>
        <v>152036.56519057468</v>
      </c>
      <c r="BA10" s="93">
        <f>IFERROR(s_C*s_IFRI_res_adj*s_CF_rice*0.001*(up_Irr!Z10+up_Irr!AY10+up_Irr!BX10),".")</f>
        <v>152036.56519057468</v>
      </c>
      <c r="BB10" s="93">
        <f>IFERROR(s_C*s_IFCG_res_adj*s_CF_cereal*0.001*(up_Irr!AA10+up_Irr!AZ10+up_Irr!BY10),".")</f>
        <v>152036.56519057468</v>
      </c>
      <c r="BC10" s="76">
        <f t="shared" si="2"/>
        <v>1.6443412786038031E-11</v>
      </c>
      <c r="BD10" s="76">
        <f>IFERROR(IF(AND(up_Irr!C10&lt;&gt;".",up_Irr!AB10&lt;&gt;".",up_Irr!BA10&lt;&gt;"."),up_dir!AD10/((1/1000)*(up_Irr!C10+up_Irr!AB10+up_Irr!BA10)),IF(AND(up_Irr!C10&lt;&gt;".",up_Irr!AB10&lt;&gt;".",up_Irr!BA10="."),up_dir!AD10/((1/1000)*(up_Irr!C10+up_Irr!AB10)),IF(AND(up_Irr!C10&lt;&gt;".",up_Irr!AB10=".",up_Irr!BA10&lt;&gt;"."),up_dir!AD10/((1/1000)*(up_Irr!C10+up_Irr!BA10)),IF(AND(up_Irr!C10=".",up_Irr!AB10&lt;&gt;".",up_Irr!BA10&lt;&gt;"."),up_dir!AD10/((1/1000)*(up_Irr!AB10+up_Irr!BA10)),IF(AND(up_Irr!C10=".",up_Irr!AB10=".",up_Irr!BA10&lt;&gt;"."),up_dir!AD10/((1/1000)*(up_Irr!BA10)),IF(AND(up_Irr!C10=".",up_Irr!AB10&lt;&gt;".",up_Irr!BA10="."),up_dir!AD10/((1/1000)*(up_Irr!AB10)),IF(AND(up_Irr!C10&lt;&gt;".",up_Irr!AB10=".",up_Irr!BA10="."),up_dir!AD10/((1/1000)*(up_Irr!C10)),IF(AND(up_Irr!C10=".",up_Irr!AB10=".",up_Irr!BA10="."),up_dir!AD10*1000)))))))),".")</f>
        <v>6.5773651144152123E-11</v>
      </c>
      <c r="BE10" s="76">
        <f>IFERROR(IF(AND(up_Irr!D10&lt;&gt;".",up_Irr!AC10&lt;&gt;".",up_Irr!BB10&lt;&gt;"."),up_dir!AE10/((1/1000)*(up_Irr!D10+up_Irr!AC10+up_Irr!BB10)),IF(AND(up_Irr!D10&lt;&gt;".",up_Irr!AC10&lt;&gt;".",up_Irr!BB10="."),up_dir!AE10/((1/1000)*(up_Irr!D10+up_Irr!AC10)),IF(AND(up_Irr!D10&lt;&gt;".",up_Irr!AC10=".",up_Irr!BB10&lt;&gt;"."),up_dir!AE10/((1/1000)*(up_Irr!D10+up_Irr!BB10)),IF(AND(up_Irr!D10=".",up_Irr!AC10&lt;&gt;".",up_Irr!BB10&lt;&gt;"."),up_dir!AE10/((1/1000)*(up_Irr!AC10+up_Irr!BB10)),IF(AND(up_Irr!D10=".",up_Irr!AC10=".",up_Irr!BB10&lt;&gt;"."),up_dir!AE10/((1/1000)*(up_Irr!BB10)),IF(AND(up_Irr!D10=".",up_Irr!AC10&lt;&gt;".",up_Irr!BB10="."),up_dir!AE10/((1/1000)*(up_Irr!AC10)),IF(AND(up_Irr!D10&lt;&gt;".",up_Irr!AC10=".",up_Irr!BB10="."),up_dir!AE10/((1/1000)*(up_Irr!D10)),IF(AND(up_Irr!D10=".",up_Irr!AC10=".",up_Irr!BB10="."),up_dir!AE10*1000)))))))),".")</f>
        <v>6.5773651144152123E-11</v>
      </c>
      <c r="BF10" s="76">
        <f>IFERROR(IF(AND(up_Irr!E10&lt;&gt;".",up_Irr!AD10&lt;&gt;".",up_Irr!BC10&lt;&gt;"."),up_dir!AF10/((1/1000)*(up_Irr!E10+up_Irr!AD10+up_Irr!BC10)),IF(AND(up_Irr!E10&lt;&gt;".",up_Irr!AD10&lt;&gt;".",up_Irr!BC10="."),up_dir!AF10/((1/1000)*(up_Irr!E10+up_Irr!AD10)),IF(AND(up_Irr!E10&lt;&gt;".",up_Irr!AD10=".",up_Irr!BC10&lt;&gt;"."),up_dir!AF10/((1/1000)*(up_Irr!E10+up_Irr!BC10)),IF(AND(up_Irr!E10=".",up_Irr!AD10&lt;&gt;".",up_Irr!BC10&lt;&gt;"."),up_dir!AF10/((1/1000)*(up_Irr!AD10+up_Irr!BC10)),IF(AND(up_Irr!E10=".",up_Irr!AD10=".",up_Irr!BC10&lt;&gt;"."),up_dir!AF10/((1/1000)*(up_Irr!BC10)),IF(AND(up_Irr!E10=".",up_Irr!AD10&lt;&gt;".",up_Irr!BC10="."),up_dir!AF10/((1/1000)*(up_Irr!AD10)),IF(AND(up_Irr!E10&lt;&gt;".",up_Irr!AD10=".",up_Irr!BC10="."),up_dir!AF10/((1/1000)*(up_Irr!E10)),IF(AND(up_Irr!E10=".",up_Irr!AD10=".",up_Irr!BC10="."),up_dir!AF10*1000)))))))),".")</f>
        <v>6.5773651144152123E-11</v>
      </c>
      <c r="BG10" s="76">
        <f>IFERROR(IF(AND(up_Irr!F10&lt;&gt;".",up_Irr!AE10&lt;&gt;".",up_Irr!BD10&lt;&gt;"."),up_dir!AG10/((1/1000)*(up_Irr!F10+up_Irr!AE10+up_Irr!BD10)),IF(AND(up_Irr!F10&lt;&gt;".",up_Irr!AE10&lt;&gt;".",up_Irr!BD10="."),up_dir!AG10/((1/1000)*(up_Irr!F10+up_Irr!AE10)),IF(AND(up_Irr!F10&lt;&gt;".",up_Irr!AE10=".",up_Irr!BD10&lt;&gt;"."),up_dir!AG10/((1/1000)*(up_Irr!F10+up_Irr!BD10)),IF(AND(up_Irr!F10=".",up_Irr!AE10&lt;&gt;".",up_Irr!BD10&lt;&gt;"."),up_dir!AG10/((1/1000)*(up_Irr!AE10+up_Irr!BD10)),IF(AND(up_Irr!F10=".",up_Irr!AE10=".",up_Irr!BD10&lt;&gt;"."),up_dir!AG10/((1/1000)*(up_Irr!BD10)),IF(AND(up_Irr!F10=".",up_Irr!AE10&lt;&gt;".",up_Irr!BD10="."),up_dir!AG10/((1/1000)*(up_Irr!AE10)),IF(AND(up_Irr!F10&lt;&gt;".",up_Irr!AE10=".",up_Irr!BD10="."),up_dir!AG10/((1/1000)*(up_Irr!F10)),IF(AND(up_Irr!F10=".",up_Irr!AE10=".",up_Irr!BD10="."),up_dir!AG10*1000)))))))),".")</f>
        <v>6.5773651144152123E-11</v>
      </c>
      <c r="BH10" s="76">
        <f>IFERROR(IF(AND(up_Irr!G10&lt;&gt;".",up_Irr!AF10&lt;&gt;".",up_Irr!BE10&lt;&gt;"."),up_dir!AH10/((1/1000)*(up_Irr!G10+up_Irr!AF10+up_Irr!BE10)),IF(AND(up_Irr!G10&lt;&gt;".",up_Irr!AF10&lt;&gt;".",up_Irr!BE10="."),up_dir!AH10/((1/1000)*(up_Irr!G10+up_Irr!AF10)),IF(AND(up_Irr!G10&lt;&gt;".",up_Irr!AF10=".",up_Irr!BE10&lt;&gt;"."),up_dir!AH10/((1/1000)*(up_Irr!G10+up_Irr!BE10)),IF(AND(up_Irr!G10=".",up_Irr!AF10&lt;&gt;".",up_Irr!BE10&lt;&gt;"."),up_dir!AH10/((1/1000)*(up_Irr!AF10+up_Irr!BE10)),IF(AND(up_Irr!G10=".",up_Irr!AF10=".",up_Irr!BE10&lt;&gt;"."),up_dir!AH10/((1/1000)*(up_Irr!BE10)),IF(AND(up_Irr!G10=".",up_Irr!AF10&lt;&gt;".",up_Irr!BE10="."),up_dir!AH10/((1/1000)*(up_Irr!AF10)),IF(AND(up_Irr!G10&lt;&gt;".",up_Irr!AF10=".",up_Irr!BE10="."),up_dir!AH10/((1/1000)*(up_Irr!G10)),IF(AND(up_Irr!G10=".",up_Irr!AF10=".",up_Irr!BE10="."),up_dir!AH10*1000)))))))),".")</f>
        <v>6.5773651144152123E-11</v>
      </c>
      <c r="BI10" s="76">
        <f>IFERROR(IF(AND(up_Irr!H10&lt;&gt;".",up_Irr!AG10&lt;&gt;".",up_Irr!BF10&lt;&gt;"."),up_dir!AI10/((1/1000)*(up_Irr!H10+up_Irr!AG10+up_Irr!BF10)),IF(AND(up_Irr!H10&lt;&gt;".",up_Irr!AG10&lt;&gt;".",up_Irr!BF10="."),up_dir!AI10/((1/1000)*(up_Irr!H10+up_Irr!AG10)),IF(AND(up_Irr!H10&lt;&gt;".",up_Irr!AG10=".",up_Irr!BF10&lt;&gt;"."),up_dir!AI10/((1/1000)*(up_Irr!H10+up_Irr!BF10)),IF(AND(up_Irr!H10=".",up_Irr!AG10&lt;&gt;".",up_Irr!BF10&lt;&gt;"."),up_dir!AI10/((1/1000)*(up_Irr!AG10+up_Irr!BF10)),IF(AND(up_Irr!H10=".",up_Irr!AG10=".",up_Irr!BF10&lt;&gt;"."),up_dir!AI10/((1/1000)*(up_Irr!BF10)),IF(AND(up_Irr!H10=".",up_Irr!AG10&lt;&gt;".",up_Irr!BF10="."),up_dir!AI10/((1/1000)*(up_Irr!AG10)),IF(AND(up_Irr!H10&lt;&gt;".",up_Irr!AG10=".",up_Irr!BF10="."),up_dir!AI10/((1/1000)*(up_Irr!H10)),IF(AND(up_Irr!H10=".",up_Irr!AG10=".",up_Irr!BF10="."),up_dir!AI10*1000)))))))),".")</f>
        <v>6.5773651144152123E-11</v>
      </c>
      <c r="BJ10" s="76">
        <f>IFERROR(IF(AND(up_Irr!I10&lt;&gt;".",up_Irr!AH10&lt;&gt;".",up_Irr!BG10&lt;&gt;"."),up_dir!AJ10/((1/1000)*(up_Irr!I10+up_Irr!AH10+up_Irr!BG10)),IF(AND(up_Irr!I10&lt;&gt;".",up_Irr!AH10&lt;&gt;".",up_Irr!BG10="."),up_dir!AJ10/((1/1000)*(up_Irr!I10+up_Irr!AH10)),IF(AND(up_Irr!I10&lt;&gt;".",up_Irr!AH10=".",up_Irr!BG10&lt;&gt;"."),up_dir!AJ10/((1/1000)*(up_Irr!I10+up_Irr!BG10)),IF(AND(up_Irr!I10=".",up_Irr!AH10&lt;&gt;".",up_Irr!BG10&lt;&gt;"."),up_dir!AJ10/((1/1000)*(up_Irr!AH10+up_Irr!BG10)),IF(AND(up_Irr!I10=".",up_Irr!AH10=".",up_Irr!BG10&lt;&gt;"."),up_dir!AJ10/((1/1000)*(up_Irr!BG10)),IF(AND(up_Irr!I10=".",up_Irr!AH10&lt;&gt;".",up_Irr!BG10="."),up_dir!AJ10/((1/1000)*(up_Irr!AH10)),IF(AND(up_Irr!I10&lt;&gt;".",up_Irr!AH10=".",up_Irr!BG10="."),up_dir!AJ10/((1/1000)*(up_Irr!I10)),IF(AND(up_Irr!I10=".",up_Irr!AH10=".",up_Irr!BG10="."),up_dir!AJ10*1000)))))))),".")</f>
        <v>6.5773651144152123E-11</v>
      </c>
      <c r="BK10" s="76">
        <f>IFERROR(IF(AND(up_Irr!J10&lt;&gt;".",up_Irr!AI10&lt;&gt;".",up_Irr!BH10&lt;&gt;"."),up_dir!AK10/((1/1000)*(up_Irr!J10+up_Irr!AI10+up_Irr!BH10)),IF(AND(up_Irr!J10&lt;&gt;".",up_Irr!AI10&lt;&gt;".",up_Irr!BH10="."),up_dir!AK10/((1/1000)*(up_Irr!J10+up_Irr!AI10)),IF(AND(up_Irr!J10&lt;&gt;".",up_Irr!AI10=".",up_Irr!BH10&lt;&gt;"."),up_dir!AK10/((1/1000)*(up_Irr!J10+up_Irr!BH10)),IF(AND(up_Irr!J10=".",up_Irr!AI10&lt;&gt;".",up_Irr!BH10&lt;&gt;"."),up_dir!AK10/((1/1000)*(up_Irr!AI10+up_Irr!BH10)),IF(AND(up_Irr!J10=".",up_Irr!AI10=".",up_Irr!BH10&lt;&gt;"."),up_dir!AK10/((1/1000)*(up_Irr!BH10)),IF(AND(up_Irr!J10=".",up_Irr!AI10&lt;&gt;".",up_Irr!BH10="."),up_dir!AK10/((1/1000)*(up_Irr!AI10)),IF(AND(up_Irr!J10&lt;&gt;".",up_Irr!AI10=".",up_Irr!BH10="."),up_dir!AK10/((1/1000)*(up_Irr!J10)),IF(AND(up_Irr!J10=".",up_Irr!AI10=".",up_Irr!BH10="."),up_dir!AK10*1000)))))))),".")</f>
        <v>6.5773651144152123E-11</v>
      </c>
      <c r="BL10" s="76">
        <f>IFERROR(IF(AND(up_Irr!K10&lt;&gt;".",up_Irr!AJ10&lt;&gt;".",up_Irr!BI10&lt;&gt;"."),up_dir!AL10/((1/1000)*(up_Irr!K10+up_Irr!AJ10+up_Irr!BI10)),IF(AND(up_Irr!K10&lt;&gt;".",up_Irr!AJ10&lt;&gt;".",up_Irr!BI10="."),up_dir!AL10/((1/1000)*(up_Irr!K10+up_Irr!AJ10)),IF(AND(up_Irr!K10&lt;&gt;".",up_Irr!AJ10=".",up_Irr!BI10&lt;&gt;"."),up_dir!AL10/((1/1000)*(up_Irr!K10+up_Irr!BI10)),IF(AND(up_Irr!K10=".",up_Irr!AJ10&lt;&gt;".",up_Irr!BI10&lt;&gt;"."),up_dir!AL10/((1/1000)*(up_Irr!AJ10+up_Irr!BI10)),IF(AND(up_Irr!K10=".",up_Irr!AJ10=".",up_Irr!BI10&lt;&gt;"."),up_dir!AL10/((1/1000)*(up_Irr!BI10)),IF(AND(up_Irr!K10=".",up_Irr!AJ10&lt;&gt;".",up_Irr!BI10="."),up_dir!AL10/((1/1000)*(up_Irr!AJ10)),IF(AND(up_Irr!K10&lt;&gt;".",up_Irr!AJ10=".",up_Irr!BI10="."),up_dir!AL10/((1/1000)*(up_Irr!K10)),IF(AND(up_Irr!K10=".",up_Irr!AJ10=".",up_Irr!BI10="."),up_dir!AL10*1000)))))))),".")</f>
        <v>6.5773651144152123E-11</v>
      </c>
      <c r="BM10" s="76">
        <f>IFERROR(IF(AND(up_Irr!L10&lt;&gt;".",up_Irr!AK10&lt;&gt;".",up_Irr!BJ10&lt;&gt;"."),up_dir!AM10/((1/1000)*(up_Irr!L10+up_Irr!AK10+up_Irr!BJ10)),IF(AND(up_Irr!L10&lt;&gt;".",up_Irr!AK10&lt;&gt;".",up_Irr!BJ10="."),up_dir!AM10/((1/1000)*(up_Irr!L10+up_Irr!AK10)),IF(AND(up_Irr!L10&lt;&gt;".",up_Irr!AK10=".",up_Irr!BJ10&lt;&gt;"."),up_dir!AM10/((1/1000)*(up_Irr!L10+up_Irr!BJ10)),IF(AND(up_Irr!L10=".",up_Irr!AK10&lt;&gt;".",up_Irr!BJ10&lt;&gt;"."),up_dir!AM10/((1/1000)*(up_Irr!AK10+up_Irr!BJ10)),IF(AND(up_Irr!L10=".",up_Irr!AK10=".",up_Irr!BJ10&lt;&gt;"."),up_dir!AM10/((1/1000)*(up_Irr!BJ10)),IF(AND(up_Irr!L10=".",up_Irr!AK10&lt;&gt;".",up_Irr!BJ10="."),up_dir!AM10/((1/1000)*(up_Irr!AK10)),IF(AND(up_Irr!L10&lt;&gt;".",up_Irr!AK10=".",up_Irr!BJ10="."),up_dir!AM10/((1/1000)*(up_Irr!L10)),IF(AND(up_Irr!L10=".",up_Irr!AK10=".",up_Irr!BJ10="."),up_dir!AM10*1000)))))))),".")</f>
        <v>6.5773651144152123E-11</v>
      </c>
      <c r="BN10" s="76">
        <f>IFERROR(IF(AND(up_Irr!M10&lt;&gt;".",up_Irr!AL10&lt;&gt;".",up_Irr!BK10&lt;&gt;"."),up_dir!AN10/((1/1000)*(up_Irr!M10+up_Irr!AL10+up_Irr!BK10)),IF(AND(up_Irr!M10&lt;&gt;".",up_Irr!AL10&lt;&gt;".",up_Irr!BK10="."),up_dir!AN10/((1/1000)*(up_Irr!M10+up_Irr!AL10)),IF(AND(up_Irr!M10&lt;&gt;".",up_Irr!AL10=".",up_Irr!BK10&lt;&gt;"."),up_dir!AN10/((1/1000)*(up_Irr!M10+up_Irr!BK10)),IF(AND(up_Irr!M10=".",up_Irr!AL10&lt;&gt;".",up_Irr!BK10&lt;&gt;"."),up_dir!AN10/((1/1000)*(up_Irr!AL10+up_Irr!BK10)),IF(AND(up_Irr!M10=".",up_Irr!AL10=".",up_Irr!BK10&lt;&gt;"."),up_dir!AN10/((1/1000)*(up_Irr!BK10)),IF(AND(up_Irr!M10=".",up_Irr!AL10&lt;&gt;".",up_Irr!BK10="."),up_dir!AN10/((1/1000)*(up_Irr!AL10)),IF(AND(up_Irr!M10&lt;&gt;".",up_Irr!AL10=".",up_Irr!BK10="."),up_dir!AN10/((1/1000)*(up_Irr!M10)),IF(AND(up_Irr!M10=".",up_Irr!AL10=".",up_Irr!BK10="."),up_dir!AN10*1000)))))))),".")</f>
        <v>6.5773651144152123E-11</v>
      </c>
      <c r="BO10" s="76">
        <f>IFERROR(IF(AND(up_Irr!N10&lt;&gt;".",up_Irr!AM10&lt;&gt;".",up_Irr!BL10&lt;&gt;"."),up_dir!AO10/((1/1000)*(up_Irr!N10+up_Irr!AM10+up_Irr!BL10)),IF(AND(up_Irr!N10&lt;&gt;".",up_Irr!AM10&lt;&gt;".",up_Irr!BL10="."),up_dir!AO10/((1/1000)*(up_Irr!N10+up_Irr!AM10)),IF(AND(up_Irr!N10&lt;&gt;".",up_Irr!AM10=".",up_Irr!BL10&lt;&gt;"."),up_dir!AO10/((1/1000)*(up_Irr!N10+up_Irr!BL10)),IF(AND(up_Irr!N10=".",up_Irr!AM10&lt;&gt;".",up_Irr!BL10&lt;&gt;"."),up_dir!AO10/((1/1000)*(up_Irr!AM10+up_Irr!BL10)),IF(AND(up_Irr!N10=".",up_Irr!AM10=".",up_Irr!BL10&lt;&gt;"."),up_dir!AO10/((1/1000)*(up_Irr!BL10)),IF(AND(up_Irr!N10=".",up_Irr!AM10&lt;&gt;".",up_Irr!BL10="."),up_dir!AO10/((1/1000)*(up_Irr!AM10)),IF(AND(up_Irr!N10&lt;&gt;".",up_Irr!AM10=".",up_Irr!BL10="."),up_dir!AO10/((1/1000)*(up_Irr!N10)),IF(AND(up_Irr!N10=".",up_Irr!AM10=".",up_Irr!BL10="."),up_dir!AO10*1000)))))))),".")</f>
        <v>6.5773651144152123E-11</v>
      </c>
      <c r="BP10" s="76">
        <f>IFERROR(IF(AND(up_Irr!O10&lt;&gt;".",up_Irr!AN10&lt;&gt;".",up_Irr!BM10&lt;&gt;"."),up_dir!AP10/((1/1000)*(up_Irr!O10+up_Irr!AN10+up_Irr!BM10)),IF(AND(up_Irr!O10&lt;&gt;".",up_Irr!AN10&lt;&gt;".",up_Irr!BM10="."),up_dir!AP10/((1/1000)*(up_Irr!O10+up_Irr!AN10)),IF(AND(up_Irr!O10&lt;&gt;".",up_Irr!AN10=".",up_Irr!BM10&lt;&gt;"."),up_dir!AP10/((1/1000)*(up_Irr!O10+up_Irr!BM10)),IF(AND(up_Irr!O10=".",up_Irr!AN10&lt;&gt;".",up_Irr!BM10&lt;&gt;"."),up_dir!AP10/((1/1000)*(up_Irr!AN10+up_Irr!BM10)),IF(AND(up_Irr!O10=".",up_Irr!AN10=".",up_Irr!BM10&lt;&gt;"."),up_dir!AP10/((1/1000)*(up_Irr!BM10)),IF(AND(up_Irr!O10=".",up_Irr!AN10&lt;&gt;".",up_Irr!BM10="."),up_dir!AP10/((1/1000)*(up_Irr!AN10)),IF(AND(up_Irr!O10&lt;&gt;".",up_Irr!AN10=".",up_Irr!BM10="."),up_dir!AP10/((1/1000)*(up_Irr!O10)),IF(AND(up_Irr!O10=".",up_Irr!AN10=".",up_Irr!BM10="."),up_dir!AP10*1000)))))))),".")</f>
        <v>6.5773651144152123E-11</v>
      </c>
      <c r="BQ10" s="76">
        <f>IFERROR(IF(AND(up_Irr!P10&lt;&gt;".",up_Irr!AO10&lt;&gt;".",up_Irr!BN10&lt;&gt;"."),up_dir!AQ10/((1/1000)*(up_Irr!P10+up_Irr!AO10+up_Irr!BN10)),IF(AND(up_Irr!P10&lt;&gt;".",up_Irr!AO10&lt;&gt;".",up_Irr!BN10="."),up_dir!AQ10/((1/1000)*(up_Irr!P10+up_Irr!AO10)),IF(AND(up_Irr!P10&lt;&gt;".",up_Irr!AO10=".",up_Irr!BN10&lt;&gt;"."),up_dir!AQ10/((1/1000)*(up_Irr!P10+up_Irr!BN10)),IF(AND(up_Irr!P10=".",up_Irr!AO10&lt;&gt;".",up_Irr!BN10&lt;&gt;"."),up_dir!AQ10/((1/1000)*(up_Irr!AO10+up_Irr!BN10)),IF(AND(up_Irr!P10=".",up_Irr!AO10=".",up_Irr!BN10&lt;&gt;"."),up_dir!AQ10/((1/1000)*(up_Irr!BN10)),IF(AND(up_Irr!P10=".",up_Irr!AO10&lt;&gt;".",up_Irr!BN10="."),up_dir!AQ10/((1/1000)*(up_Irr!AO10)),IF(AND(up_Irr!P10&lt;&gt;".",up_Irr!AO10=".",up_Irr!BN10="."),up_dir!AQ10/((1/1000)*(up_Irr!P10)),IF(AND(up_Irr!P10=".",up_Irr!AO10=".",up_Irr!BN10="."),up_dir!AQ10*1000)))))))),".")</f>
        <v>6.5773651144152123E-11</v>
      </c>
      <c r="BR10" s="76">
        <f>IFERROR(IF(AND(up_Irr!Q10&lt;&gt;".",up_Irr!AP10&lt;&gt;".",up_Irr!BO10&lt;&gt;"."),up_dir!AR10/((1/1000)*(up_Irr!Q10+up_Irr!AP10+up_Irr!BO10)),IF(AND(up_Irr!Q10&lt;&gt;".",up_Irr!AP10&lt;&gt;".",up_Irr!BO10="."),up_dir!AR10/((1/1000)*(up_Irr!Q10+up_Irr!AP10)),IF(AND(up_Irr!Q10&lt;&gt;".",up_Irr!AP10=".",up_Irr!BO10&lt;&gt;"."),up_dir!AR10/((1/1000)*(up_Irr!Q10+up_Irr!BO10)),IF(AND(up_Irr!Q10=".",up_Irr!AP10&lt;&gt;".",up_Irr!BO10&lt;&gt;"."),up_dir!AR10/((1/1000)*(up_Irr!AP10+up_Irr!BO10)),IF(AND(up_Irr!Q10=".",up_Irr!AP10=".",up_Irr!BO10&lt;&gt;"."),up_dir!AR10/((1/1000)*(up_Irr!BO10)),IF(AND(up_Irr!Q10=".",up_Irr!AP10&lt;&gt;".",up_Irr!BO10="."),up_dir!AR10/((1/1000)*(up_Irr!AP10)),IF(AND(up_Irr!Q10&lt;&gt;".",up_Irr!AP10=".",up_Irr!BO10="."),up_dir!AR10/((1/1000)*(up_Irr!Q10)),IF(AND(up_Irr!Q10=".",up_Irr!AP10=".",up_Irr!BO10="."),up_dir!AR10*1000)))))))),".")</f>
        <v>6.5773651144152123E-11</v>
      </c>
      <c r="BS10" s="76">
        <f>IFERROR(IF(AND(up_Irr!R10&lt;&gt;".",up_Irr!AQ10&lt;&gt;".",up_Irr!BP10&lt;&gt;"."),up_dir!AS10/((1/1000)*(up_Irr!R10+up_Irr!AQ10+up_Irr!BP10)),IF(AND(up_Irr!R10&lt;&gt;".",up_Irr!AQ10&lt;&gt;".",up_Irr!BP10="."),up_dir!AS10/((1/1000)*(up_Irr!R10+up_Irr!AQ10)),IF(AND(up_Irr!R10&lt;&gt;".",up_Irr!AQ10=".",up_Irr!BP10&lt;&gt;"."),up_dir!AS10/((1/1000)*(up_Irr!R10+up_Irr!BP10)),IF(AND(up_Irr!R10=".",up_Irr!AQ10&lt;&gt;".",up_Irr!BP10&lt;&gt;"."),up_dir!AS10/((1/1000)*(up_Irr!AQ10+up_Irr!BP10)),IF(AND(up_Irr!R10=".",up_Irr!AQ10=".",up_Irr!BP10&lt;&gt;"."),up_dir!AS10/((1/1000)*(up_Irr!BP10)),IF(AND(up_Irr!R10=".",up_Irr!AQ10&lt;&gt;".",up_Irr!BP10="."),up_dir!AS10/((1/1000)*(up_Irr!AQ10)),IF(AND(up_Irr!R10&lt;&gt;".",up_Irr!AQ10=".",up_Irr!BP10="."),up_dir!AS10/((1/1000)*(up_Irr!R10)),IF(AND(up_Irr!R10=".",up_Irr!AQ10=".",up_Irr!BP10="."),up_dir!AS10*1000)))))))),".")</f>
        <v>6.5773651144152123E-11</v>
      </c>
      <c r="BT10" s="76">
        <f>IFERROR(IF(AND(up_Irr!S10&lt;&gt;".",up_Irr!AR10&lt;&gt;".",up_Irr!BQ10&lt;&gt;"."),up_dir!AT10/((1/1000)*(up_Irr!S10+up_Irr!AR10+up_Irr!BQ10)),IF(AND(up_Irr!S10&lt;&gt;".",up_Irr!AR10&lt;&gt;".",up_Irr!BQ10="."),up_dir!AT10/((1/1000)*(up_Irr!S10+up_Irr!AR10)),IF(AND(up_Irr!S10&lt;&gt;".",up_Irr!AR10=".",up_Irr!BQ10&lt;&gt;"."),up_dir!AT10/((1/1000)*(up_Irr!S10+up_Irr!BQ10)),IF(AND(up_Irr!S10=".",up_Irr!AR10&lt;&gt;".",up_Irr!BQ10&lt;&gt;"."),up_dir!AT10/((1/1000)*(up_Irr!AR10+up_Irr!BQ10)),IF(AND(up_Irr!S10=".",up_Irr!AR10=".",up_Irr!BQ10&lt;&gt;"."),up_dir!AT10/((1/1000)*(up_Irr!BQ10)),IF(AND(up_Irr!S10=".",up_Irr!AR10&lt;&gt;".",up_Irr!BQ10="."),up_dir!AT10/((1/1000)*(up_Irr!AR10)),IF(AND(up_Irr!S10&lt;&gt;".",up_Irr!AR10=".",up_Irr!BQ10="."),up_dir!AT10/((1/1000)*(up_Irr!S10)),IF(AND(up_Irr!S10=".",up_Irr!AR10=".",up_Irr!BQ10="."),up_dir!AT10*1000)))))))),".")</f>
        <v>6.5773651144152123E-11</v>
      </c>
      <c r="BU10" s="76">
        <f>IFERROR(IF(AND(up_Irr!T10&lt;&gt;".",up_Irr!AS10&lt;&gt;".",up_Irr!BR10&lt;&gt;"."),up_dir!AU10/((1/1000)*(up_Irr!T10+up_Irr!AS10+up_Irr!BR10)),IF(AND(up_Irr!T10&lt;&gt;".",up_Irr!AS10&lt;&gt;".",up_Irr!BR10="."),up_dir!AU10/((1/1000)*(up_Irr!T10+up_Irr!AS10)),IF(AND(up_Irr!T10&lt;&gt;".",up_Irr!AS10=".",up_Irr!BR10&lt;&gt;"."),up_dir!AU10/((1/1000)*(up_Irr!T10+up_Irr!BR10)),IF(AND(up_Irr!T10=".",up_Irr!AS10&lt;&gt;".",up_Irr!BR10&lt;&gt;"."),up_dir!AU10/((1/1000)*(up_Irr!AS10+up_Irr!BR10)),IF(AND(up_Irr!T10=".",up_Irr!AS10=".",up_Irr!BR10&lt;&gt;"."),up_dir!AU10/((1/1000)*(up_Irr!BR10)),IF(AND(up_Irr!T10=".",up_Irr!AS10&lt;&gt;".",up_Irr!BR10="."),up_dir!AU10/((1/1000)*(up_Irr!AS10)),IF(AND(up_Irr!T10&lt;&gt;".",up_Irr!AS10=".",up_Irr!BR10="."),up_dir!AU10/((1/1000)*(up_Irr!T10)),IF(AND(up_Irr!T10=".",up_Irr!AS10=".",up_Irr!BR10="."),up_dir!AU10*1000)))))))),".")</f>
        <v>6.5773651144152123E-11</v>
      </c>
      <c r="BV10" s="76">
        <f>IFERROR(IF(AND(up_Irr!U10&lt;&gt;".",up_Irr!AT10&lt;&gt;".",up_Irr!BS10&lt;&gt;"."),up_dir!AV10/((1/1000)*(up_Irr!U10+up_Irr!AT10+up_Irr!BS10)),IF(AND(up_Irr!U10&lt;&gt;".",up_Irr!AT10&lt;&gt;".",up_Irr!BS10="."),up_dir!AV10/((1/1000)*(up_Irr!U10+up_Irr!AT10)),IF(AND(up_Irr!U10&lt;&gt;".",up_Irr!AT10=".",up_Irr!BS10&lt;&gt;"."),up_dir!AV10/((1/1000)*(up_Irr!U10+up_Irr!BS10)),IF(AND(up_Irr!U10=".",up_Irr!AT10&lt;&gt;".",up_Irr!BS10&lt;&gt;"."),up_dir!AV10/((1/1000)*(up_Irr!AT10+up_Irr!BS10)),IF(AND(up_Irr!U10=".",up_Irr!AT10=".",up_Irr!BS10&lt;&gt;"."),up_dir!AV10/((1/1000)*(up_Irr!BS10)),IF(AND(up_Irr!U10=".",up_Irr!AT10&lt;&gt;".",up_Irr!BS10="."),up_dir!AV10/((1/1000)*(up_Irr!AT10)),IF(AND(up_Irr!U10&lt;&gt;".",up_Irr!AT10=".",up_Irr!BS10="."),up_dir!AV10/((1/1000)*(up_Irr!U10)),IF(AND(up_Irr!U10=".",up_Irr!AT10=".",up_Irr!BS10="."),up_dir!AV10*1000)))))))),".")</f>
        <v>6.5773651144152123E-11</v>
      </c>
      <c r="BW10" s="76">
        <f>IFERROR(IF(AND(up_Irr!V10&lt;&gt;".",up_Irr!AU10&lt;&gt;".",up_Irr!BT10&lt;&gt;"."),up_dir!AW10/((1/1000)*(up_Irr!V10+up_Irr!AU10+up_Irr!BT10)),IF(AND(up_Irr!V10&lt;&gt;".",up_Irr!AU10&lt;&gt;".",up_Irr!BT10="."),up_dir!AW10/((1/1000)*(up_Irr!V10+up_Irr!AU10)),IF(AND(up_Irr!V10&lt;&gt;".",up_Irr!AU10=".",up_Irr!BT10&lt;&gt;"."),up_dir!AW10/((1/1000)*(up_Irr!V10+up_Irr!BT10)),IF(AND(up_Irr!V10=".",up_Irr!AU10&lt;&gt;".",up_Irr!BT10&lt;&gt;"."),up_dir!AW10/((1/1000)*(up_Irr!AU10+up_Irr!BT10)),IF(AND(up_Irr!V10=".",up_Irr!AU10=".",up_Irr!BT10&lt;&gt;"."),up_dir!AW10/((1/1000)*(up_Irr!BT10)),IF(AND(up_Irr!V10=".",up_Irr!AU10&lt;&gt;".",up_Irr!BT10="."),up_dir!AW10/((1/1000)*(up_Irr!AU10)),IF(AND(up_Irr!V10&lt;&gt;".",up_Irr!AU10=".",up_Irr!BT10="."),up_dir!AW10/((1/1000)*(up_Irr!V10)),IF(AND(up_Irr!V10=".",up_Irr!AU10=".",up_Irr!BT10="."),up_dir!AW10*1000)))))))),".")</f>
        <v>6.5773651144152123E-11</v>
      </c>
      <c r="BX10" s="76">
        <f>IFERROR(IF(AND(up_Irr!W10&lt;&gt;".",up_Irr!AV10&lt;&gt;".",up_Irr!BU10&lt;&gt;"."),up_dir!AX10/((1/1000)*(up_Irr!W10+up_Irr!AV10+up_Irr!BU10)),IF(AND(up_Irr!W10&lt;&gt;".",up_Irr!AV10&lt;&gt;".",up_Irr!BU10="."),up_dir!AX10/((1/1000)*(up_Irr!W10+up_Irr!AV10)),IF(AND(up_Irr!W10&lt;&gt;".",up_Irr!AV10=".",up_Irr!BU10&lt;&gt;"."),up_dir!AX10/((1/1000)*(up_Irr!W10+up_Irr!BU10)),IF(AND(up_Irr!W10=".",up_Irr!AV10&lt;&gt;".",up_Irr!BU10&lt;&gt;"."),up_dir!AX10/((1/1000)*(up_Irr!AV10+up_Irr!BU10)),IF(AND(up_Irr!W10=".",up_Irr!AV10=".",up_Irr!BU10&lt;&gt;"."),up_dir!AX10/((1/1000)*(up_Irr!BU10)),IF(AND(up_Irr!W10=".",up_Irr!AV10&lt;&gt;".",up_Irr!BU10="."),up_dir!AX10/((1/1000)*(up_Irr!AV10)),IF(AND(up_Irr!W10&lt;&gt;".",up_Irr!AV10=".",up_Irr!BU10="."),up_dir!AX10/((1/1000)*(up_Irr!W10)),IF(AND(up_Irr!W10=".",up_Irr!AV10=".",up_Irr!BU10="."),up_dir!AX10*1000)))))))),".")</f>
        <v>6.5773651144152123E-11</v>
      </c>
      <c r="BY10" s="76">
        <f>IFERROR(IF(AND(up_Irr!X10&lt;&gt;".",up_Irr!AW10&lt;&gt;".",up_Irr!BV10&lt;&gt;"."),up_dir!AY10/((1/1000)*(up_Irr!X10+up_Irr!AW10+up_Irr!BV10)),IF(AND(up_Irr!X10&lt;&gt;".",up_Irr!AW10&lt;&gt;".",up_Irr!BV10="."),up_dir!AY10/((1/1000)*(up_Irr!X10+up_Irr!AW10)),IF(AND(up_Irr!X10&lt;&gt;".",up_Irr!AW10=".",up_Irr!BV10&lt;&gt;"."),up_dir!AY10/((1/1000)*(up_Irr!X10+up_Irr!BV10)),IF(AND(up_Irr!X10=".",up_Irr!AW10&lt;&gt;".",up_Irr!BV10&lt;&gt;"."),up_dir!AY10/((1/1000)*(up_Irr!AW10+up_Irr!BV10)),IF(AND(up_Irr!X10=".",up_Irr!AW10=".",up_Irr!BV10&lt;&gt;"."),up_dir!AY10/((1/1000)*(up_Irr!BV10)),IF(AND(up_Irr!X10=".",up_Irr!AW10&lt;&gt;".",up_Irr!BV10="."),up_dir!AY10/((1/1000)*(up_Irr!AW10)),IF(AND(up_Irr!X10&lt;&gt;".",up_Irr!AW10=".",up_Irr!BV10="."),up_dir!AY10/((1/1000)*(up_Irr!X10)),IF(AND(up_Irr!X10=".",up_Irr!AW10=".",up_Irr!BV10="."),up_dir!AY10*1000)))))))),".")</f>
        <v>6.5773651144152123E-11</v>
      </c>
      <c r="BZ10" s="76">
        <f>IFERROR(IF(AND(up_Irr!Y10&lt;&gt;".",up_Irr!AX10&lt;&gt;".",up_Irr!BW10&lt;&gt;"."),up_dir!AZ10/((1/1000)*(up_Irr!Y10+up_Irr!AX10+up_Irr!BW10)),IF(AND(up_Irr!Y10&lt;&gt;".",up_Irr!AX10&lt;&gt;".",up_Irr!BW10="."),up_dir!AZ10/((1/1000)*(up_Irr!Y10+up_Irr!AX10)),IF(AND(up_Irr!Y10&lt;&gt;".",up_Irr!AX10=".",up_Irr!BW10&lt;&gt;"."),up_dir!AZ10/((1/1000)*(up_Irr!Y10+up_Irr!BW10)),IF(AND(up_Irr!Y10=".",up_Irr!AX10&lt;&gt;".",up_Irr!BW10&lt;&gt;"."),up_dir!AZ10/((1/1000)*(up_Irr!AX10+up_Irr!BW10)),IF(AND(up_Irr!Y10=".",up_Irr!AX10=".",up_Irr!BW10&lt;&gt;"."),up_dir!AZ10/((1/1000)*(up_Irr!BW10)),IF(AND(up_Irr!Y10=".",up_Irr!AX10&lt;&gt;".",up_Irr!BW10="."),up_dir!AZ10/((1/1000)*(up_Irr!AX10)),IF(AND(up_Irr!Y10&lt;&gt;".",up_Irr!AX10=".",up_Irr!BW10="."),up_dir!AZ10/((1/1000)*(up_Irr!Y10)),IF(AND(up_Irr!Y10=".",up_Irr!AX10=".",up_Irr!BW10="."),up_dir!AZ10*1000)))))))),".")</f>
        <v>6.5773651144152123E-11</v>
      </c>
      <c r="CA10" s="76">
        <f>IFERROR(IF(AND(up_Irr!Z10&lt;&gt;".",up_Irr!AY10&lt;&gt;".",up_Irr!BX10&lt;&gt;"."),up_dir!BA10/((1/1000)*(up_Irr!Z10+up_Irr!AY10+up_Irr!BX10)),IF(AND(up_Irr!Z10&lt;&gt;".",up_Irr!AY10&lt;&gt;".",up_Irr!BX10="."),up_dir!BA10/((1/1000)*(up_Irr!Z10+up_Irr!AY10)),IF(AND(up_Irr!Z10&lt;&gt;".",up_Irr!AY10=".",up_Irr!BX10&lt;&gt;"."),up_dir!BA10/((1/1000)*(up_Irr!Z10+up_Irr!BX10)),IF(AND(up_Irr!Z10=".",up_Irr!AY10&lt;&gt;".",up_Irr!BX10&lt;&gt;"."),up_dir!BA10/((1/1000)*(up_Irr!AY10+up_Irr!BX10)),IF(AND(up_Irr!Z10=".",up_Irr!AY10=".",up_Irr!BX10&lt;&gt;"."),up_dir!BA10/((1/1000)*(up_Irr!BX10)),IF(AND(up_Irr!Z10=".",up_Irr!AY10&lt;&gt;".",up_Irr!BX10="."),up_dir!BA10/((1/1000)*(up_Irr!AY10)),IF(AND(up_Irr!Z10&lt;&gt;".",up_Irr!AY10=".",up_Irr!BX10="."),up_dir!BA10/((1/1000)*(up_Irr!Z10)),IF(AND(up_Irr!Z10=".",up_Irr!AY10=".",up_Irr!BX10="."),up_dir!BA10*1000)))))))),".")</f>
        <v>6.5773651144152123E-11</v>
      </c>
      <c r="CB10" s="76">
        <f>IFERROR(IF(AND(up_Irr!AA10&lt;&gt;".",up_Irr!AZ10&lt;&gt;".",up_Irr!BY10&lt;&gt;"."),up_dir!BB10/((1/1000)*(up_Irr!AA10+up_Irr!AZ10+up_Irr!BY10)),IF(AND(up_Irr!AA10&lt;&gt;".",up_Irr!AZ10&lt;&gt;".",up_Irr!BY10="."),up_dir!BB10/((1/1000)*(up_Irr!AA10+up_Irr!AZ10)),IF(AND(up_Irr!AA10&lt;&gt;".",up_Irr!AZ10=".",up_Irr!BY10&lt;&gt;"."),up_dir!BB10/((1/1000)*(up_Irr!AA10+up_Irr!BY10)),IF(AND(up_Irr!AA10=".",up_Irr!AZ10&lt;&gt;".",up_Irr!BY10&lt;&gt;"."),up_dir!BB10/((1/1000)*(up_Irr!AZ10+up_Irr!BY10)),IF(AND(up_Irr!AA10=".",up_Irr!AZ10=".",up_Irr!BY10&lt;&gt;"."),up_dir!BB10/((1/1000)*(up_Irr!BY10)),IF(AND(up_Irr!AA10=".",up_Irr!AZ10&lt;&gt;".",up_Irr!BY10="."),up_dir!BB10/((1/1000)*(up_Irr!AZ10)),IF(AND(up_Irr!AA10&lt;&gt;".",up_Irr!AZ10=".",up_Irr!BY10="."),up_dir!BB10/((1/1000)*(up_Irr!AA10)),IF(AND(up_Irr!AA10=".",up_Irr!AZ10=".",up_Irr!BY10="."),up_dir!BB10*1000)))))))),".")</f>
        <v>6.5773651144152123E-11</v>
      </c>
      <c r="CC10" s="93">
        <f t="shared" si="3"/>
        <v>608146.26076229871</v>
      </c>
      <c r="CD10" s="93">
        <f>IFERROR(s_C*s_IFAP_far_adj*s_CF_apple*(1/1000)*(up_Irr!C10+up_Irr!AB10+up_Irr!BA10),".")</f>
        <v>152036.56519057468</v>
      </c>
      <c r="CE10" s="93">
        <f>IFERROR(s_C*s_IFAS_far_adj*s_CF_asparagus*(1/1000)*(up_Irr!D10+up_Irr!AC10+up_Irr!BB10),".")</f>
        <v>152036.56519057468</v>
      </c>
      <c r="CF10" s="93">
        <f>IFERROR(s_C*s_IFBT_far_adj*s_CF_beet*(1/1000)*(up_Irr!E10+up_Irr!AD10+up_Irr!BC10),".")</f>
        <v>152036.56519057468</v>
      </c>
      <c r="CG10" s="93">
        <f>IFERROR(s_C*s_IFBE_far_adj*s_CF_berries*(1/1000)*(up_Irr!F10+up_Irr!AE10+up_Irr!BD10),".")</f>
        <v>152036.56519057468</v>
      </c>
      <c r="CH10" s="93">
        <f>IFERROR(s_C*s_IFBR_far_adj*s_CF_broccoli*(1/1000)*(up_Irr!G10+up_Irr!AF10+up_Irr!BE10),".")</f>
        <v>152036.56519057468</v>
      </c>
      <c r="CI10" s="93">
        <f>IFERROR(s_C*s_IFCB_far_adj*s_CF_cabbage*(1/1000)*(up_Irr!H10+up_Irr!AG10+up_Irr!BF10),".")</f>
        <v>152036.56519057468</v>
      </c>
      <c r="CJ10" s="93">
        <f>IFERROR(s_C*s_IFCR_far_adj*s_CF_carrot*(1/1000)*(up_Irr!I10+up_Irr!AH10+up_Irr!BG10),".")</f>
        <v>152036.56519057468</v>
      </c>
      <c r="CK10" s="93">
        <f>IFERROR(s_C*s_IFCI_far_adj*s_CF_citrus*(1/1000)*(up_Irr!J10+up_Irr!AI10+up_Irr!BH10),".")</f>
        <v>152036.56519057468</v>
      </c>
      <c r="CL10" s="93">
        <f>IFERROR(s_C*s_IFCO_far_adj*s_CF_corn*(1/1000)*(up_Irr!K10+up_Irr!AJ10+up_Irr!BI10),".")</f>
        <v>152036.56519057468</v>
      </c>
      <c r="CM10" s="93">
        <f>IFERROR(s_C*s_IFCU_far_adj*s_CF_cucumber*(1/1000)*(up_Irr!L10+up_Irr!AK10+up_Irr!BJ10),".")</f>
        <v>152036.56519057468</v>
      </c>
      <c r="CN10" s="93">
        <f>IFERROR(s_C*s_IFLE_far_adj*s_CF_lettuce*(1/1000)*(up_Irr!M10+up_Irr!AL10+up_Irr!BK10),".")</f>
        <v>152036.56519057468</v>
      </c>
      <c r="CO10" s="93">
        <f>IFERROR(s_C*s_IFLI_far_adj*s_CF_lima_bean*(1/1000)*(up_Irr!N10+up_Irr!AM10+up_Irr!BL10),".")</f>
        <v>152036.56519057468</v>
      </c>
      <c r="CP10" s="93">
        <f>IFERROR(s_C*s_IFOK_far_adj*s_CF_okra*(1/1000)*(up_Irr!O10+up_Irr!AN10+up_Irr!BM10),".")</f>
        <v>152036.56519057468</v>
      </c>
      <c r="CQ10" s="93">
        <f>IFERROR(s_C*s_IFON_far_adj*s_CF_onion*(1/1000)*(up_Irr!P10+up_Irr!AO10+up_Irr!BN10),".")</f>
        <v>152036.56519057468</v>
      </c>
      <c r="CR10" s="93">
        <f>IFERROR(s_C*s_IFPC_far_adj*s_CF_peach*(1/1000)*(up_Irr!Q10+up_Irr!AP10+up_Irr!BO10),".")</f>
        <v>152036.56519057468</v>
      </c>
      <c r="CS10" s="93">
        <f>IFERROR(s_C*s_IFPR_far_adj*s_CF_pear*(1/1000)*(up_Irr!R10+up_Irr!AQ10+up_Irr!BP10),".")</f>
        <v>152036.56519057468</v>
      </c>
      <c r="CT10" s="93">
        <f>IFERROR(s_C*s_IFPE_far_adj*s_CF_peas*(1/1000)*(up_Irr!S10+up_Irr!AR10+up_Irr!BQ10),".")</f>
        <v>152036.56519057468</v>
      </c>
      <c r="CU10" s="93">
        <f>IFERROR(s_C*s_IFPP_far_adj*s_CF_peppers*(1/1000)*(up_Irr!T10+up_Irr!AS10+up_Irr!BR10),".")</f>
        <v>152036.56519057468</v>
      </c>
      <c r="CV10" s="93">
        <f>IFERROR(s_C*s_IFPT_far_adj*s_CF_potato*(1/1000)*(up_Irr!U10+up_Irr!AT10+up_Irr!BS10),".")</f>
        <v>152036.56519057468</v>
      </c>
      <c r="CW10" s="93">
        <f>IFERROR(s_C*s_IFPU_far_adj*s_CF_pumpkin*(1/1000)*(up_Irr!V10+up_Irr!AU10+up_Irr!BT10),".")</f>
        <v>152036.56519057468</v>
      </c>
      <c r="CX10" s="93">
        <f>IFERROR(s_C*s_IFSN_far_adj*s_CF_snap_bean*(1/1000)*(up_Irr!W10+up_Irr!AV10+up_Irr!BU10),".")</f>
        <v>152036.56519057468</v>
      </c>
      <c r="CY10" s="93">
        <f>IFERROR(s_C*s_IFST_far_adj*s_CF_strawberry*(1/1000)*(up_Irr!X10+up_Irr!AW10+up_Irr!BV10),".")</f>
        <v>152036.56519057468</v>
      </c>
      <c r="CZ10" s="93">
        <f>IFERROR(s_C*s_IFTO_far_adj*s_CF_tomato*(1/1000)*(up_Irr!Y10+up_Irr!AX10+up_Irr!BW10),".")</f>
        <v>152036.56519057468</v>
      </c>
      <c r="DA10" s="93">
        <f>IFERROR(s_C*s_IFRI_far_adj*s_CF_rice*(1/1000)*(up_Irr!Z10+up_Irr!AY10+up_Irr!BX10),".")</f>
        <v>152036.56519057468</v>
      </c>
      <c r="DB10" s="93">
        <f>IFERROR(s_C*s_IFCG_far_adj*s_CF_cereal*(1/1000)*(up_Irr!AA10+up_Irr!AZ10+up_Irr!BY10),".")</f>
        <v>152036.56519057468</v>
      </c>
    </row>
    <row r="11" spans="1:106" ht="15" customHeight="1" x14ac:dyDescent="0.25">
      <c r="A11" s="92" t="s">
        <v>21</v>
      </c>
      <c r="B11" s="90" t="s">
        <v>1071</v>
      </c>
      <c r="C11" s="15">
        <f t="shared" si="0"/>
        <v>1.6443412786038031E-11</v>
      </c>
      <c r="D11" s="76">
        <f>IFERROR(IF(AND(up_Irr!C11&lt;&gt;".",up_Irr!AB11&lt;&gt;".",up_Irr!BA11&lt;&gt;"."),up_dir!D11/((1/1000)*(up_Irr!C11+up_Irr!AB11+up_Irr!BA11)),IF(AND(up_Irr!C11&lt;&gt;".",up_Irr!AB11&lt;&gt;".",up_Irr!BA11="."),up_dir!D11/((1/1000)*(up_Irr!C11+up_Irr!AB11)),IF(AND(up_Irr!C11&lt;&gt;".",up_Irr!AB11=".",up_Irr!BA11&lt;&gt;"."),up_dir!D11/((1/1000)*(up_Irr!C11+up_Irr!BA11)),IF(AND(up_Irr!C11=".",up_Irr!AB11&lt;&gt;".",up_Irr!BA11&lt;&gt;"."),up_dir!D11/((1/1000)*(up_Irr!AB11+up_Irr!BA11)),IF(AND(up_Irr!C11=".",up_Irr!AB11=".",up_Irr!BA11&lt;&gt;"."),up_dir!D11/((1/1000)*(up_Irr!BA11)),IF(AND(up_Irr!C11=".",up_Irr!AB11&lt;&gt;".",up_Irr!BA11="."),up_dir!D11/((1/1000)*(up_Irr!AB11)),IF(AND(up_Irr!C11&lt;&gt;".",up_Irr!AB11=".",up_Irr!BA11="."),up_dir!D11/((1/1000)*(up_Irr!C11)),IF(AND(up_Irr!C11=".",up_Irr!AB11=".",up_Irr!BA11="."),up_dir!D11*1000)))))))),".")</f>
        <v>6.5773651144152123E-11</v>
      </c>
      <c r="E11" s="76">
        <f>IFERROR(IF(AND(up_Irr!D11&lt;&gt;".",up_Irr!AC11&lt;&gt;".",up_Irr!BB11&lt;&gt;"."),up_dir!E11/((1/1000)*(up_Irr!D11+up_Irr!AC11+up_Irr!BB11)),IF(AND(up_Irr!D11&lt;&gt;".",up_Irr!AC11&lt;&gt;".",up_Irr!BB11="."),up_dir!E11/((1/1000)*(up_Irr!D11+up_Irr!AC11)),IF(AND(up_Irr!D11&lt;&gt;".",up_Irr!AC11=".",up_Irr!BB11&lt;&gt;"."),up_dir!E11/((1/1000)*(up_Irr!D11+up_Irr!BB11)),IF(AND(up_Irr!D11=".",up_Irr!AC11&lt;&gt;".",up_Irr!BB11&lt;&gt;"."),up_dir!E11/((1/1000)*(up_Irr!AC11+up_Irr!BB11)),IF(AND(up_Irr!D11=".",up_Irr!AC11=".",up_Irr!BB11&lt;&gt;"."),up_dir!E11/((1/1000)*(up_Irr!BB11)),IF(AND(up_Irr!D11=".",up_Irr!AC11&lt;&gt;".",up_Irr!BB11="."),up_dir!E11/((1/1000)*(up_Irr!AC11)),IF(AND(up_Irr!D11&lt;&gt;".",up_Irr!AC11=".",up_Irr!BB11="."),up_dir!E11/((1/1000)*(up_Irr!D11)),IF(AND(up_Irr!D11=".",up_Irr!AC11=".",up_Irr!BB11="."),up_dir!E11*1000)))))))),".")</f>
        <v>6.5773651144152123E-11</v>
      </c>
      <c r="F11" s="76">
        <f>IFERROR(IF(AND(up_Irr!E11&lt;&gt;".",up_Irr!AD11&lt;&gt;".",up_Irr!BC11&lt;&gt;"."),up_dir!F11/((1/1000)*(up_Irr!E11+up_Irr!AD11+up_Irr!BC11)),IF(AND(up_Irr!E11&lt;&gt;".",up_Irr!AD11&lt;&gt;".",up_Irr!BC11="."),up_dir!F11/((1/1000)*(up_Irr!E11+up_Irr!AD11)),IF(AND(up_Irr!E11&lt;&gt;".",up_Irr!AD11=".",up_Irr!BC11&lt;&gt;"."),up_dir!F11/((1/1000)*(up_Irr!E11+up_Irr!BC11)),IF(AND(up_Irr!E11=".",up_Irr!AD11&lt;&gt;".",up_Irr!BC11&lt;&gt;"."),up_dir!F11/((1/1000)*(up_Irr!AD11+up_Irr!BC11)),IF(AND(up_Irr!E11=".",up_Irr!AD11=".",up_Irr!BC11&lt;&gt;"."),up_dir!F11/((1/1000)*(up_Irr!BC11)),IF(AND(up_Irr!E11=".",up_Irr!AD11&lt;&gt;".",up_Irr!BC11="."),up_dir!F11/((1/1000)*(up_Irr!AD11)),IF(AND(up_Irr!E11&lt;&gt;".",up_Irr!AD11=".",up_Irr!BC11="."),up_dir!F11/((1/1000)*(up_Irr!E11)),IF(AND(up_Irr!E11=".",up_Irr!AD11=".",up_Irr!BC11="."),up_dir!F11*1000)))))))),".")</f>
        <v>6.5773651144152123E-11</v>
      </c>
      <c r="G11" s="76">
        <f>IFERROR(IF(AND(up_Irr!F11&lt;&gt;".",up_Irr!AE11&lt;&gt;".",up_Irr!BD11&lt;&gt;"."),up_dir!G11/((1/1000)*(up_Irr!F11+up_Irr!AE11+up_Irr!BD11)),IF(AND(up_Irr!F11&lt;&gt;".",up_Irr!AE11&lt;&gt;".",up_Irr!BD11="."),up_dir!G11/((1/1000)*(up_Irr!F11+up_Irr!AE11)),IF(AND(up_Irr!F11&lt;&gt;".",up_Irr!AE11=".",up_Irr!BD11&lt;&gt;"."),up_dir!G11/((1/1000)*(up_Irr!F11+up_Irr!BD11)),IF(AND(up_Irr!F11=".",up_Irr!AE11&lt;&gt;".",up_Irr!BD11&lt;&gt;"."),up_dir!G11/((1/1000)*(up_Irr!AE11+up_Irr!BD11)),IF(AND(up_Irr!F11=".",up_Irr!AE11=".",up_Irr!BD11&lt;&gt;"."),up_dir!G11/((1/1000)*(up_Irr!BD11)),IF(AND(up_Irr!F11=".",up_Irr!AE11&lt;&gt;".",up_Irr!BD11="."),up_dir!G11/((1/1000)*(up_Irr!AE11)),IF(AND(up_Irr!F11&lt;&gt;".",up_Irr!AE11=".",up_Irr!BD11="."),up_dir!G11/((1/1000)*(up_Irr!F11)),IF(AND(up_Irr!F11=".",up_Irr!AE11=".",up_Irr!BD11="."),up_dir!G11*1000)))))))),".")</f>
        <v>6.5773651144152123E-11</v>
      </c>
      <c r="H11" s="76">
        <f>IFERROR(IF(AND(up_Irr!G11&lt;&gt;".",up_Irr!AF11&lt;&gt;".",up_Irr!BE11&lt;&gt;"."),up_dir!H11/((1/1000)*(up_Irr!G11+up_Irr!AF11+up_Irr!BE11)),IF(AND(up_Irr!G11&lt;&gt;".",up_Irr!AF11&lt;&gt;".",up_Irr!BE11="."),up_dir!H11/((1/1000)*(up_Irr!G11+up_Irr!AF11)),IF(AND(up_Irr!G11&lt;&gt;".",up_Irr!AF11=".",up_Irr!BE11&lt;&gt;"."),up_dir!H11/((1/1000)*(up_Irr!G11+up_Irr!BE11)),IF(AND(up_Irr!G11=".",up_Irr!AF11&lt;&gt;".",up_Irr!BE11&lt;&gt;"."),up_dir!H11/((1/1000)*(up_Irr!AF11+up_Irr!BE11)),IF(AND(up_Irr!G11=".",up_Irr!AF11=".",up_Irr!BE11&lt;&gt;"."),up_dir!H11/((1/1000)*(up_Irr!BE11)),IF(AND(up_Irr!G11=".",up_Irr!AF11&lt;&gt;".",up_Irr!BE11="."),up_dir!H11/((1/1000)*(up_Irr!AF11)),IF(AND(up_Irr!G11&lt;&gt;".",up_Irr!AF11=".",up_Irr!BE11="."),up_dir!H11/((1/1000)*(up_Irr!G11)),IF(AND(up_Irr!G11=".",up_Irr!AF11=".",up_Irr!BE11="."),up_dir!H11*1000)))))))),".")</f>
        <v>6.5773651144152123E-11</v>
      </c>
      <c r="I11" s="76">
        <f>IFERROR(IF(AND(up_Irr!H11&lt;&gt;".",up_Irr!AG11&lt;&gt;".",up_Irr!BF11&lt;&gt;"."),up_dir!I11/((1/1000)*(up_Irr!H11+up_Irr!AG11+up_Irr!BF11)),IF(AND(up_Irr!H11&lt;&gt;".",up_Irr!AG11&lt;&gt;".",up_Irr!BF11="."),up_dir!I11/((1/1000)*(up_Irr!H11+up_Irr!AG11)),IF(AND(up_Irr!H11&lt;&gt;".",up_Irr!AG11=".",up_Irr!BF11&lt;&gt;"."),up_dir!I11/((1/1000)*(up_Irr!H11+up_Irr!BF11)),IF(AND(up_Irr!H11=".",up_Irr!AG11&lt;&gt;".",up_Irr!BF11&lt;&gt;"."),up_dir!I11/((1/1000)*(up_Irr!AG11+up_Irr!BF11)),IF(AND(up_Irr!H11=".",up_Irr!AG11=".",up_Irr!BF11&lt;&gt;"."),up_dir!I11/((1/1000)*(up_Irr!BF11)),IF(AND(up_Irr!H11=".",up_Irr!AG11&lt;&gt;".",up_Irr!BF11="."),up_dir!I11/((1/1000)*(up_Irr!AG11)),IF(AND(up_Irr!H11&lt;&gt;".",up_Irr!AG11=".",up_Irr!BF11="."),up_dir!I11/((1/1000)*(up_Irr!H11)),IF(AND(up_Irr!H11=".",up_Irr!AG11=".",up_Irr!BF11="."),up_dir!I11*1000)))))))),".")</f>
        <v>6.5773651144152123E-11</v>
      </c>
      <c r="J11" s="76">
        <f>IFERROR(IF(AND(up_Irr!I11&lt;&gt;".",up_Irr!AH11&lt;&gt;".",up_Irr!BG11&lt;&gt;"."),up_dir!J11/((1/1000)*(up_Irr!I11+up_Irr!AH11+up_Irr!BG11)),IF(AND(up_Irr!I11&lt;&gt;".",up_Irr!AH11&lt;&gt;".",up_Irr!BG11="."),up_dir!J11/((1/1000)*(up_Irr!I11+up_Irr!AH11)),IF(AND(up_Irr!I11&lt;&gt;".",up_Irr!AH11=".",up_Irr!BG11&lt;&gt;"."),up_dir!J11/((1/1000)*(up_Irr!I11+up_Irr!BG11)),IF(AND(up_Irr!I11=".",up_Irr!AH11&lt;&gt;".",up_Irr!BG11&lt;&gt;"."),up_dir!J11/((1/1000)*(up_Irr!AH11+up_Irr!BG11)),IF(AND(up_Irr!I11=".",up_Irr!AH11=".",up_Irr!BG11&lt;&gt;"."),up_dir!J11/((1/1000)*(up_Irr!BG11)),IF(AND(up_Irr!I11=".",up_Irr!AH11&lt;&gt;".",up_Irr!BG11="."),up_dir!J11/((1/1000)*(up_Irr!AH11)),IF(AND(up_Irr!I11&lt;&gt;".",up_Irr!AH11=".",up_Irr!BG11="."),up_dir!J11/((1/1000)*(up_Irr!I11)),IF(AND(up_Irr!I11=".",up_Irr!AH11=".",up_Irr!BG11="."),up_dir!J11*1000)))))))),".")</f>
        <v>6.5773651144152123E-11</v>
      </c>
      <c r="K11" s="76">
        <f>IFERROR(IF(AND(up_Irr!J11&lt;&gt;".",up_Irr!AI11&lt;&gt;".",up_Irr!BH11&lt;&gt;"."),up_dir!K11/((1/1000)*(up_Irr!J11+up_Irr!AI11+up_Irr!BH11)),IF(AND(up_Irr!J11&lt;&gt;".",up_Irr!AI11&lt;&gt;".",up_Irr!BH11="."),up_dir!K11/((1/1000)*(up_Irr!J11+up_Irr!AI11)),IF(AND(up_Irr!J11&lt;&gt;".",up_Irr!AI11=".",up_Irr!BH11&lt;&gt;"."),up_dir!K11/((1/1000)*(up_Irr!J11+up_Irr!BH11)),IF(AND(up_Irr!J11=".",up_Irr!AI11&lt;&gt;".",up_Irr!BH11&lt;&gt;"."),up_dir!K11/((1/1000)*(up_Irr!AI11+up_Irr!BH11)),IF(AND(up_Irr!J11=".",up_Irr!AI11=".",up_Irr!BH11&lt;&gt;"."),up_dir!K11/((1/1000)*(up_Irr!BH11)),IF(AND(up_Irr!J11=".",up_Irr!AI11&lt;&gt;".",up_Irr!BH11="."),up_dir!K11/((1/1000)*(up_Irr!AI11)),IF(AND(up_Irr!J11&lt;&gt;".",up_Irr!AI11=".",up_Irr!BH11="."),up_dir!K11/((1/1000)*(up_Irr!J11)),IF(AND(up_Irr!J11=".",up_Irr!AI11=".",up_Irr!BH11="."),up_dir!K11*1000)))))))),".")</f>
        <v>6.5773651144152123E-11</v>
      </c>
      <c r="L11" s="76">
        <f>IFERROR(IF(AND(up_Irr!K11&lt;&gt;".",up_Irr!AJ11&lt;&gt;".",up_Irr!BI11&lt;&gt;"."),up_dir!L11/((1/1000)*(up_Irr!K11+up_Irr!AJ11+up_Irr!BI11)),IF(AND(up_Irr!K11&lt;&gt;".",up_Irr!AJ11&lt;&gt;".",up_Irr!BI11="."),up_dir!L11/((1/1000)*(up_Irr!K11+up_Irr!AJ11)),IF(AND(up_Irr!K11&lt;&gt;".",up_Irr!AJ11=".",up_Irr!BI11&lt;&gt;"."),up_dir!L11/((1/1000)*(up_Irr!K11+up_Irr!BI11)),IF(AND(up_Irr!K11=".",up_Irr!AJ11&lt;&gt;".",up_Irr!BI11&lt;&gt;"."),up_dir!L11/((1/1000)*(up_Irr!AJ11+up_Irr!BI11)),IF(AND(up_Irr!K11=".",up_Irr!AJ11=".",up_Irr!BI11&lt;&gt;"."),up_dir!L11/((1/1000)*(up_Irr!BI11)),IF(AND(up_Irr!K11=".",up_Irr!AJ11&lt;&gt;".",up_Irr!BI11="."),up_dir!L11/((1/1000)*(up_Irr!AJ11)),IF(AND(up_Irr!K11&lt;&gt;".",up_Irr!AJ11=".",up_Irr!BI11="."),up_dir!L11/((1/1000)*(up_Irr!K11)),IF(AND(up_Irr!K11=".",up_Irr!AJ11=".",up_Irr!BI11="."),up_dir!L11*1000)))))))),".")</f>
        <v>6.5773651144152123E-11</v>
      </c>
      <c r="M11" s="76">
        <f>IFERROR(IF(AND(up_Irr!L11&lt;&gt;".",up_Irr!AK11&lt;&gt;".",up_Irr!BJ11&lt;&gt;"."),up_dir!M11/((1/1000)*(up_Irr!L11+up_Irr!AK11+up_Irr!BJ11)),IF(AND(up_Irr!L11&lt;&gt;".",up_Irr!AK11&lt;&gt;".",up_Irr!BJ11="."),up_dir!M11/((1/1000)*(up_Irr!L11+up_Irr!AK11)),IF(AND(up_Irr!L11&lt;&gt;".",up_Irr!AK11=".",up_Irr!BJ11&lt;&gt;"."),up_dir!M11/((1/1000)*(up_Irr!L11+up_Irr!BJ11)),IF(AND(up_Irr!L11=".",up_Irr!AK11&lt;&gt;".",up_Irr!BJ11&lt;&gt;"."),up_dir!M11/((1/1000)*(up_Irr!AK11+up_Irr!BJ11)),IF(AND(up_Irr!L11=".",up_Irr!AK11=".",up_Irr!BJ11&lt;&gt;"."),up_dir!M11/((1/1000)*(up_Irr!BJ11)),IF(AND(up_Irr!L11=".",up_Irr!AK11&lt;&gt;".",up_Irr!BJ11="."),up_dir!M11/((1/1000)*(up_Irr!AK11)),IF(AND(up_Irr!L11&lt;&gt;".",up_Irr!AK11=".",up_Irr!BJ11="."),up_dir!M11/((1/1000)*(up_Irr!L11)),IF(AND(up_Irr!L11=".",up_Irr!AK11=".",up_Irr!BJ11="."),up_dir!M11*1000)))))))),".")</f>
        <v>6.5773651144152123E-11</v>
      </c>
      <c r="N11" s="76">
        <f>IFERROR(IF(AND(up_Irr!M11&lt;&gt;".",up_Irr!AL11&lt;&gt;".",up_Irr!BK11&lt;&gt;"."),up_dir!N11/((1/1000)*(up_Irr!M11+up_Irr!AL11+up_Irr!BK11)),IF(AND(up_Irr!M11&lt;&gt;".",up_Irr!AL11&lt;&gt;".",up_Irr!BK11="."),up_dir!N11/((1/1000)*(up_Irr!M11+up_Irr!AL11)),IF(AND(up_Irr!M11&lt;&gt;".",up_Irr!AL11=".",up_Irr!BK11&lt;&gt;"."),up_dir!N11/((1/1000)*(up_Irr!M11+up_Irr!BK11)),IF(AND(up_Irr!M11=".",up_Irr!AL11&lt;&gt;".",up_Irr!BK11&lt;&gt;"."),up_dir!N11/((1/1000)*(up_Irr!AL11+up_Irr!BK11)),IF(AND(up_Irr!M11=".",up_Irr!AL11=".",up_Irr!BK11&lt;&gt;"."),up_dir!N11/((1/1000)*(up_Irr!BK11)),IF(AND(up_Irr!M11=".",up_Irr!AL11&lt;&gt;".",up_Irr!BK11="."),up_dir!N11/((1/1000)*(up_Irr!AL11)),IF(AND(up_Irr!M11&lt;&gt;".",up_Irr!AL11=".",up_Irr!BK11="."),up_dir!N11/((1/1000)*(up_Irr!M11)),IF(AND(up_Irr!M11=".",up_Irr!AL11=".",up_Irr!BK11="."),up_dir!N11*1000)))))))),".")</f>
        <v>6.5773651144152123E-11</v>
      </c>
      <c r="O11" s="76">
        <f>IFERROR(IF(AND(up_Irr!N11&lt;&gt;".",up_Irr!AM11&lt;&gt;".",up_Irr!BL11&lt;&gt;"."),up_dir!O11/((1/1000)*(up_Irr!N11+up_Irr!AM11+up_Irr!BL11)),IF(AND(up_Irr!N11&lt;&gt;".",up_Irr!AM11&lt;&gt;".",up_Irr!BL11="."),up_dir!O11/((1/1000)*(up_Irr!N11+up_Irr!AM11)),IF(AND(up_Irr!N11&lt;&gt;".",up_Irr!AM11=".",up_Irr!BL11&lt;&gt;"."),up_dir!O11/((1/1000)*(up_Irr!N11+up_Irr!BL11)),IF(AND(up_Irr!N11=".",up_Irr!AM11&lt;&gt;".",up_Irr!BL11&lt;&gt;"."),up_dir!O11/((1/1000)*(up_Irr!AM11+up_Irr!BL11)),IF(AND(up_Irr!N11=".",up_Irr!AM11=".",up_Irr!BL11&lt;&gt;"."),up_dir!O11/((1/1000)*(up_Irr!BL11)),IF(AND(up_Irr!N11=".",up_Irr!AM11&lt;&gt;".",up_Irr!BL11="."),up_dir!O11/((1/1000)*(up_Irr!AM11)),IF(AND(up_Irr!N11&lt;&gt;".",up_Irr!AM11=".",up_Irr!BL11="."),up_dir!O11/((1/1000)*(up_Irr!N11)),IF(AND(up_Irr!N11=".",up_Irr!AM11=".",up_Irr!BL11="."),up_dir!O11*1000)))))))),".")</f>
        <v>6.5773651144152123E-11</v>
      </c>
      <c r="P11" s="76">
        <f>IFERROR(IF(AND(up_Irr!O11&lt;&gt;".",up_Irr!AN11&lt;&gt;".",up_Irr!BM11&lt;&gt;"."),up_dir!P11/((1/1000)*(up_Irr!O11+up_Irr!AN11+up_Irr!BM11)),IF(AND(up_Irr!O11&lt;&gt;".",up_Irr!AN11&lt;&gt;".",up_Irr!BM11="."),up_dir!P11/((1/1000)*(up_Irr!O11+up_Irr!AN11)),IF(AND(up_Irr!O11&lt;&gt;".",up_Irr!AN11=".",up_Irr!BM11&lt;&gt;"."),up_dir!P11/((1/1000)*(up_Irr!O11+up_Irr!BM11)),IF(AND(up_Irr!O11=".",up_Irr!AN11&lt;&gt;".",up_Irr!BM11&lt;&gt;"."),up_dir!P11/((1/1000)*(up_Irr!AN11+up_Irr!BM11)),IF(AND(up_Irr!O11=".",up_Irr!AN11=".",up_Irr!BM11&lt;&gt;"."),up_dir!P11/((1/1000)*(up_Irr!BM11)),IF(AND(up_Irr!O11=".",up_Irr!AN11&lt;&gt;".",up_Irr!BM11="."),up_dir!P11/((1/1000)*(up_Irr!AN11)),IF(AND(up_Irr!O11&lt;&gt;".",up_Irr!AN11=".",up_Irr!BM11="."),up_dir!P11/((1/1000)*(up_Irr!O11)),IF(AND(up_Irr!O11=".",up_Irr!AN11=".",up_Irr!BM11="."),up_dir!P11*1000)))))))),".")</f>
        <v>6.5773651144152123E-11</v>
      </c>
      <c r="Q11" s="76">
        <f>IFERROR(IF(AND(up_Irr!P11&lt;&gt;".",up_Irr!AO11&lt;&gt;".",up_Irr!BN11&lt;&gt;"."),up_dir!Q11/((1/1000)*(up_Irr!P11+up_Irr!AO11+up_Irr!BN11)),IF(AND(up_Irr!P11&lt;&gt;".",up_Irr!AO11&lt;&gt;".",up_Irr!BN11="."),up_dir!Q11/((1/1000)*(up_Irr!P11+up_Irr!AO11)),IF(AND(up_Irr!P11&lt;&gt;".",up_Irr!AO11=".",up_Irr!BN11&lt;&gt;"."),up_dir!Q11/((1/1000)*(up_Irr!P11+up_Irr!BN11)),IF(AND(up_Irr!P11=".",up_Irr!AO11&lt;&gt;".",up_Irr!BN11&lt;&gt;"."),up_dir!Q11/((1/1000)*(up_Irr!AO11+up_Irr!BN11)),IF(AND(up_Irr!P11=".",up_Irr!AO11=".",up_Irr!BN11&lt;&gt;"."),up_dir!Q11/((1/1000)*(up_Irr!BN11)),IF(AND(up_Irr!P11=".",up_Irr!AO11&lt;&gt;".",up_Irr!BN11="."),up_dir!Q11/((1/1000)*(up_Irr!AO11)),IF(AND(up_Irr!P11&lt;&gt;".",up_Irr!AO11=".",up_Irr!BN11="."),up_dir!Q11/((1/1000)*(up_Irr!P11)),IF(AND(up_Irr!P11=".",up_Irr!AO11=".",up_Irr!BN11="."),up_dir!Q11*1000)))))))),".")</f>
        <v>6.5773651144152123E-11</v>
      </c>
      <c r="R11" s="76">
        <f>IFERROR(IF(AND(up_Irr!Q11&lt;&gt;".",up_Irr!AP11&lt;&gt;".",up_Irr!BO11&lt;&gt;"."),up_dir!R11/((1/1000)*(up_Irr!Q11+up_Irr!AP11+up_Irr!BO11)),IF(AND(up_Irr!Q11&lt;&gt;".",up_Irr!AP11&lt;&gt;".",up_Irr!BO11="."),up_dir!R11/((1/1000)*(up_Irr!Q11+up_Irr!AP11)),IF(AND(up_Irr!Q11&lt;&gt;".",up_Irr!AP11=".",up_Irr!BO11&lt;&gt;"."),up_dir!R11/((1/1000)*(up_Irr!Q11+up_Irr!BO11)),IF(AND(up_Irr!Q11=".",up_Irr!AP11&lt;&gt;".",up_Irr!BO11&lt;&gt;"."),up_dir!R11/((1/1000)*(up_Irr!AP11+up_Irr!BO11)),IF(AND(up_Irr!Q11=".",up_Irr!AP11=".",up_Irr!BO11&lt;&gt;"."),up_dir!R11/((1/1000)*(up_Irr!BO11)),IF(AND(up_Irr!Q11=".",up_Irr!AP11&lt;&gt;".",up_Irr!BO11="."),up_dir!R11/((1/1000)*(up_Irr!AP11)),IF(AND(up_Irr!Q11&lt;&gt;".",up_Irr!AP11=".",up_Irr!BO11="."),up_dir!R11/((1/1000)*(up_Irr!Q11)),IF(AND(up_Irr!Q11=".",up_Irr!AP11=".",up_Irr!BO11="."),up_dir!R11*1000)))))))),".")</f>
        <v>6.5773651144152123E-11</v>
      </c>
      <c r="S11" s="76">
        <f>IFERROR(IF(AND(up_Irr!R11&lt;&gt;".",up_Irr!AQ11&lt;&gt;".",up_Irr!BP11&lt;&gt;"."),up_dir!S11/((1/1000)*(up_Irr!R11+up_Irr!AQ11+up_Irr!BP11)),IF(AND(up_Irr!R11&lt;&gt;".",up_Irr!AQ11&lt;&gt;".",up_Irr!BP11="."),up_dir!S11/((1/1000)*(up_Irr!R11+up_Irr!AQ11)),IF(AND(up_Irr!R11&lt;&gt;".",up_Irr!AQ11=".",up_Irr!BP11&lt;&gt;"."),up_dir!S11/((1/1000)*(up_Irr!R11+up_Irr!BP11)),IF(AND(up_Irr!R11=".",up_Irr!AQ11&lt;&gt;".",up_Irr!BP11&lt;&gt;"."),up_dir!S11/((1/1000)*(up_Irr!AQ11+up_Irr!BP11)),IF(AND(up_Irr!R11=".",up_Irr!AQ11=".",up_Irr!BP11&lt;&gt;"."),up_dir!S11/((1/1000)*(up_Irr!BP11)),IF(AND(up_Irr!R11=".",up_Irr!AQ11&lt;&gt;".",up_Irr!BP11="."),up_dir!S11/((1/1000)*(up_Irr!AQ11)),IF(AND(up_Irr!R11&lt;&gt;".",up_Irr!AQ11=".",up_Irr!BP11="."),up_dir!S11/((1/1000)*(up_Irr!R11)),IF(AND(up_Irr!R11=".",up_Irr!AQ11=".",up_Irr!BP11="."),up_dir!S11*1000)))))))),".")</f>
        <v>6.5773651144152123E-11</v>
      </c>
      <c r="T11" s="76">
        <f>IFERROR(IF(AND(up_Irr!S11&lt;&gt;".",up_Irr!AR11&lt;&gt;".",up_Irr!BQ11&lt;&gt;"."),up_dir!T11/((1/1000)*(up_Irr!S11+up_Irr!AR11+up_Irr!BQ11)),IF(AND(up_Irr!S11&lt;&gt;".",up_Irr!AR11&lt;&gt;".",up_Irr!BQ11="."),up_dir!T11/((1/1000)*(up_Irr!S11+up_Irr!AR11)),IF(AND(up_Irr!S11&lt;&gt;".",up_Irr!AR11=".",up_Irr!BQ11&lt;&gt;"."),up_dir!T11/((1/1000)*(up_Irr!S11+up_Irr!BQ11)),IF(AND(up_Irr!S11=".",up_Irr!AR11&lt;&gt;".",up_Irr!BQ11&lt;&gt;"."),up_dir!T11/((1/1000)*(up_Irr!AR11+up_Irr!BQ11)),IF(AND(up_Irr!S11=".",up_Irr!AR11=".",up_Irr!BQ11&lt;&gt;"."),up_dir!T11/((1/1000)*(up_Irr!BQ11)),IF(AND(up_Irr!S11=".",up_Irr!AR11&lt;&gt;".",up_Irr!BQ11="."),up_dir!T11/((1/1000)*(up_Irr!AR11)),IF(AND(up_Irr!S11&lt;&gt;".",up_Irr!AR11=".",up_Irr!BQ11="."),up_dir!T11/((1/1000)*(up_Irr!S11)),IF(AND(up_Irr!S11=".",up_Irr!AR11=".",up_Irr!BQ11="."),up_dir!T11*1000)))))))),".")</f>
        <v>6.5773651144152123E-11</v>
      </c>
      <c r="U11" s="76">
        <f>IFERROR(IF(AND(up_Irr!T11&lt;&gt;".",up_Irr!AS11&lt;&gt;".",up_Irr!BR11&lt;&gt;"."),up_dir!U11/((1/1000)*(up_Irr!T11+up_Irr!AS11+up_Irr!BR11)),IF(AND(up_Irr!T11&lt;&gt;".",up_Irr!AS11&lt;&gt;".",up_Irr!BR11="."),up_dir!U11/((1/1000)*(up_Irr!T11+up_Irr!AS11)),IF(AND(up_Irr!T11&lt;&gt;".",up_Irr!AS11=".",up_Irr!BR11&lt;&gt;"."),up_dir!U11/((1/1000)*(up_Irr!T11+up_Irr!BR11)),IF(AND(up_Irr!T11=".",up_Irr!AS11&lt;&gt;".",up_Irr!BR11&lt;&gt;"."),up_dir!U11/((1/1000)*(up_Irr!AS11+up_Irr!BR11)),IF(AND(up_Irr!T11=".",up_Irr!AS11=".",up_Irr!BR11&lt;&gt;"."),up_dir!U11/((1/1000)*(up_Irr!BR11)),IF(AND(up_Irr!T11=".",up_Irr!AS11&lt;&gt;".",up_Irr!BR11="."),up_dir!U11/((1/1000)*(up_Irr!AS11)),IF(AND(up_Irr!T11&lt;&gt;".",up_Irr!AS11=".",up_Irr!BR11="."),up_dir!U11/((1/1000)*(up_Irr!T11)),IF(AND(up_Irr!T11=".",up_Irr!AS11=".",up_Irr!BR11="."),up_dir!U11*1000)))))))),".")</f>
        <v>6.5773651144152123E-11</v>
      </c>
      <c r="V11" s="76">
        <f>IFERROR(IF(AND(up_Irr!U11&lt;&gt;".",up_Irr!AT11&lt;&gt;".",up_Irr!BS11&lt;&gt;"."),up_dir!V11/((1/1000)*(up_Irr!U11+up_Irr!AT11+up_Irr!BS11)),IF(AND(up_Irr!U11&lt;&gt;".",up_Irr!AT11&lt;&gt;".",up_Irr!BS11="."),up_dir!V11/((1/1000)*(up_Irr!U11+up_Irr!AT11)),IF(AND(up_Irr!U11&lt;&gt;".",up_Irr!AT11=".",up_Irr!BS11&lt;&gt;"."),up_dir!V11/((1/1000)*(up_Irr!U11+up_Irr!BS11)),IF(AND(up_Irr!U11=".",up_Irr!AT11&lt;&gt;".",up_Irr!BS11&lt;&gt;"."),up_dir!V11/((1/1000)*(up_Irr!AT11+up_Irr!BS11)),IF(AND(up_Irr!U11=".",up_Irr!AT11=".",up_Irr!BS11&lt;&gt;"."),up_dir!V11/((1/1000)*(up_Irr!BS11)),IF(AND(up_Irr!U11=".",up_Irr!AT11&lt;&gt;".",up_Irr!BS11="."),up_dir!V11/((1/1000)*(up_Irr!AT11)),IF(AND(up_Irr!U11&lt;&gt;".",up_Irr!AT11=".",up_Irr!BS11="."),up_dir!V11/((1/1000)*(up_Irr!U11)),IF(AND(up_Irr!U11=".",up_Irr!AT11=".",up_Irr!BS11="."),up_dir!V11*1000)))))))),".")</f>
        <v>6.5773651144152123E-11</v>
      </c>
      <c r="W11" s="76">
        <f>IFERROR(IF(AND(up_Irr!V11&lt;&gt;".",up_Irr!AU11&lt;&gt;".",up_Irr!BT11&lt;&gt;"."),up_dir!W11/((1/1000)*(up_Irr!V11+up_Irr!AU11+up_Irr!BT11)),IF(AND(up_Irr!V11&lt;&gt;".",up_Irr!AU11&lt;&gt;".",up_Irr!BT11="."),up_dir!W11/((1/1000)*(up_Irr!V11+up_Irr!AU11)),IF(AND(up_Irr!V11&lt;&gt;".",up_Irr!AU11=".",up_Irr!BT11&lt;&gt;"."),up_dir!W11/((1/1000)*(up_Irr!V11+up_Irr!BT11)),IF(AND(up_Irr!V11=".",up_Irr!AU11&lt;&gt;".",up_Irr!BT11&lt;&gt;"."),up_dir!W11/((1/1000)*(up_Irr!AU11+up_Irr!BT11)),IF(AND(up_Irr!V11=".",up_Irr!AU11=".",up_Irr!BT11&lt;&gt;"."),up_dir!W11/((1/1000)*(up_Irr!BT11)),IF(AND(up_Irr!V11=".",up_Irr!AU11&lt;&gt;".",up_Irr!BT11="."),up_dir!W11/((1/1000)*(up_Irr!AU11)),IF(AND(up_Irr!V11&lt;&gt;".",up_Irr!AU11=".",up_Irr!BT11="."),up_dir!W11/((1/1000)*(up_Irr!V11)),IF(AND(up_Irr!V11=".",up_Irr!AU11=".",up_Irr!BT11="."),up_dir!W11*1000)))))))),".")</f>
        <v>6.5773651144152123E-11</v>
      </c>
      <c r="X11" s="76">
        <f>IFERROR(IF(AND(up_Irr!W11&lt;&gt;".",up_Irr!AV11&lt;&gt;".",up_Irr!BU11&lt;&gt;"."),up_dir!X11/((1/1000)*(up_Irr!W11+up_Irr!AV11+up_Irr!BU11)),IF(AND(up_Irr!W11&lt;&gt;".",up_Irr!AV11&lt;&gt;".",up_Irr!BU11="."),up_dir!X11/((1/1000)*(up_Irr!W11+up_Irr!AV11)),IF(AND(up_Irr!W11&lt;&gt;".",up_Irr!AV11=".",up_Irr!BU11&lt;&gt;"."),up_dir!X11/((1/1000)*(up_Irr!W11+up_Irr!BU11)),IF(AND(up_Irr!W11=".",up_Irr!AV11&lt;&gt;".",up_Irr!BU11&lt;&gt;"."),up_dir!X11/((1/1000)*(up_Irr!AV11+up_Irr!BU11)),IF(AND(up_Irr!W11=".",up_Irr!AV11=".",up_Irr!BU11&lt;&gt;"."),up_dir!X11/((1/1000)*(up_Irr!BU11)),IF(AND(up_Irr!W11=".",up_Irr!AV11&lt;&gt;".",up_Irr!BU11="."),up_dir!X11/((1/1000)*(up_Irr!AV11)),IF(AND(up_Irr!W11&lt;&gt;".",up_Irr!AV11=".",up_Irr!BU11="."),up_dir!X11/((1/1000)*(up_Irr!W11)),IF(AND(up_Irr!W11=".",up_Irr!AV11=".",up_Irr!BU11="."),up_dir!X11*1000)))))))),".")</f>
        <v>6.5773651144152123E-11</v>
      </c>
      <c r="Y11" s="76">
        <f>IFERROR(IF(AND(up_Irr!X11&lt;&gt;".",up_Irr!AW11&lt;&gt;".",up_Irr!BV11&lt;&gt;"."),up_dir!Y11/((1/1000)*(up_Irr!X11+up_Irr!AW11+up_Irr!BV11)),IF(AND(up_Irr!X11&lt;&gt;".",up_Irr!AW11&lt;&gt;".",up_Irr!BV11="."),up_dir!Y11/((1/1000)*(up_Irr!X11+up_Irr!AW11)),IF(AND(up_Irr!X11&lt;&gt;".",up_Irr!AW11=".",up_Irr!BV11&lt;&gt;"."),up_dir!Y11/((1/1000)*(up_Irr!X11+up_Irr!BV11)),IF(AND(up_Irr!X11=".",up_Irr!AW11&lt;&gt;".",up_Irr!BV11&lt;&gt;"."),up_dir!Y11/((1/1000)*(up_Irr!AW11+up_Irr!BV11)),IF(AND(up_Irr!X11=".",up_Irr!AW11=".",up_Irr!BV11&lt;&gt;"."),up_dir!Y11/((1/1000)*(up_Irr!BV11)),IF(AND(up_Irr!X11=".",up_Irr!AW11&lt;&gt;".",up_Irr!BV11="."),up_dir!Y11/((1/1000)*(up_Irr!AW11)),IF(AND(up_Irr!X11&lt;&gt;".",up_Irr!AW11=".",up_Irr!BV11="."),up_dir!Y11/((1/1000)*(up_Irr!X11)),IF(AND(up_Irr!X11=".",up_Irr!AW11=".",up_Irr!BV11="."),up_dir!Y11*1000)))))))),".")</f>
        <v>6.5773651144152123E-11</v>
      </c>
      <c r="Z11" s="76">
        <f>IFERROR(IF(AND(up_Irr!Y11&lt;&gt;".",up_Irr!AX11&lt;&gt;".",up_Irr!BW11&lt;&gt;"."),up_dir!Z11/((1/1000)*(up_Irr!Y11+up_Irr!AX11+up_Irr!BW11)),IF(AND(up_Irr!Y11&lt;&gt;".",up_Irr!AX11&lt;&gt;".",up_Irr!BW11="."),up_dir!Z11/((1/1000)*(up_Irr!Y11+up_Irr!AX11)),IF(AND(up_Irr!Y11&lt;&gt;".",up_Irr!AX11=".",up_Irr!BW11&lt;&gt;"."),up_dir!Z11/((1/1000)*(up_Irr!Y11+up_Irr!BW11)),IF(AND(up_Irr!Y11=".",up_Irr!AX11&lt;&gt;".",up_Irr!BW11&lt;&gt;"."),up_dir!Z11/((1/1000)*(up_Irr!AX11+up_Irr!BW11)),IF(AND(up_Irr!Y11=".",up_Irr!AX11=".",up_Irr!BW11&lt;&gt;"."),up_dir!Z11/((1/1000)*(up_Irr!BW11)),IF(AND(up_Irr!Y11=".",up_Irr!AX11&lt;&gt;".",up_Irr!BW11="."),up_dir!Z11/((1/1000)*(up_Irr!AX11)),IF(AND(up_Irr!Y11&lt;&gt;".",up_Irr!AX11=".",up_Irr!BW11="."),up_dir!Z11/((1/1000)*(up_Irr!Y11)),IF(AND(up_Irr!Y11=".",up_Irr!AX11=".",up_Irr!BW11="."),up_dir!Z11*1000)))))))),".")</f>
        <v>6.5773651144152123E-11</v>
      </c>
      <c r="AA11" s="76">
        <f>IFERROR(IF(AND(up_Irr!Z11&lt;&gt;".",up_Irr!AY11&lt;&gt;".",up_Irr!BX11&lt;&gt;"."),up_dir!AA11/((1/1000)*(up_Irr!Z11+up_Irr!AY11+up_Irr!BX11)),IF(AND(up_Irr!Z11&lt;&gt;".",up_Irr!AY11&lt;&gt;".",up_Irr!BX11="."),up_dir!AA11/((1/1000)*(up_Irr!Z11+up_Irr!AY11)),IF(AND(up_Irr!Z11&lt;&gt;".",up_Irr!AY11=".",up_Irr!BX11&lt;&gt;"."),up_dir!AA11/((1/1000)*(up_Irr!Z11+up_Irr!BX11)),IF(AND(up_Irr!Z11=".",up_Irr!AY11&lt;&gt;".",up_Irr!BX11&lt;&gt;"."),up_dir!AA11/((1/1000)*(up_Irr!AY11+up_Irr!BX11)),IF(AND(up_Irr!Z11=".",up_Irr!AY11=".",up_Irr!BX11&lt;&gt;"."),up_dir!AA11/((1/1000)*(up_Irr!BX11)),IF(AND(up_Irr!Z11=".",up_Irr!AY11&lt;&gt;".",up_Irr!BX11="."),up_dir!AA11/((1/1000)*(up_Irr!AY11)),IF(AND(up_Irr!Z11&lt;&gt;".",up_Irr!AY11=".",up_Irr!BX11="."),up_dir!AA11/((1/1000)*(up_Irr!Z11)),IF(AND(up_Irr!Z11=".",up_Irr!AY11=".",up_Irr!BX11="."),up_dir!AA11*1000)))))))),".")</f>
        <v>6.5773651144152123E-11</v>
      </c>
      <c r="AB11" s="76">
        <f>IFERROR(IF(AND(up_Irr!AA11&lt;&gt;".",up_Irr!AZ11&lt;&gt;".",up_Irr!BY11&lt;&gt;"."),up_dir!AB11/((1/1000)*(up_Irr!AA11+up_Irr!AZ11+up_Irr!BY11)),IF(AND(up_Irr!AA11&lt;&gt;".",up_Irr!AZ11&lt;&gt;".",up_Irr!BY11="."),up_dir!AB11/((1/1000)*(up_Irr!AA11+up_Irr!AZ11)),IF(AND(up_Irr!AA11&lt;&gt;".",up_Irr!AZ11=".",up_Irr!BY11&lt;&gt;"."),up_dir!AB11/((1/1000)*(up_Irr!AA11+up_Irr!BY11)),IF(AND(up_Irr!AA11=".",up_Irr!AZ11&lt;&gt;".",up_Irr!BY11&lt;&gt;"."),up_dir!AB11/((1/1000)*(up_Irr!AZ11+up_Irr!BY11)),IF(AND(up_Irr!AA11=".",up_Irr!AZ11=".",up_Irr!BY11&lt;&gt;"."),up_dir!AB11/((1/1000)*(up_Irr!BY11)),IF(AND(up_Irr!AA11=".",up_Irr!AZ11&lt;&gt;".",up_Irr!BY11="."),up_dir!AB11/((1/1000)*(up_Irr!AZ11)),IF(AND(up_Irr!AA11&lt;&gt;".",up_Irr!AZ11=".",up_Irr!BY11="."),up_dir!AB11/((1/1000)*(up_Irr!AA11)),IF(AND(up_Irr!AA11=".",up_Irr!AZ11=".",up_Irr!BY11="."),up_dir!AB11*1000)))))))),".")</f>
        <v>6.5773651144152123E-11</v>
      </c>
      <c r="AC11" s="93">
        <f t="shared" si="1"/>
        <v>608146.26076229871</v>
      </c>
      <c r="AD11" s="93">
        <f>IFERROR(s_C*s_IFAP_res_adj*s_CF_apple*0.001*(up_Irr!C11+up_Irr!AB11+up_Irr!BA11),".")</f>
        <v>152036.56519057468</v>
      </c>
      <c r="AE11" s="93">
        <f>IFERROR(s_C*s_IFAS_res_adj*s_CF_asparagus*0.001*(up_Irr!D11+up_Irr!AC11+up_Irr!BB11),".")</f>
        <v>152036.56519057468</v>
      </c>
      <c r="AF11" s="93">
        <f>IFERROR(s_C*s_IFBT_res_adj*s_CF_beet*0.001*(up_Irr!E11+up_Irr!AD11+up_Irr!BC11),".")</f>
        <v>152036.56519057468</v>
      </c>
      <c r="AG11" s="93">
        <f>IFERROR(s_C*s_IFBE_res_adj*s_CF_berries*0.001*(up_Irr!F11+up_Irr!AE11+up_Irr!BD11),".")</f>
        <v>152036.56519057468</v>
      </c>
      <c r="AH11" s="93">
        <f>IFERROR(s_C*s_IFBR_res_adj*s_CF_broccoli*0.001*(up_Irr!G11+up_Irr!AF11+up_Irr!BE11),".")</f>
        <v>152036.56519057468</v>
      </c>
      <c r="AI11" s="93">
        <f>IFERROR(s_C*s_IFCB_res_adj*s_CF_cabbage*0.001*(up_Irr!H11+up_Irr!AG11+up_Irr!BF11),".")</f>
        <v>152036.56519057468</v>
      </c>
      <c r="AJ11" s="93">
        <f>IFERROR(s_C*s_IFCR_res_adj*s_CF_carrot*0.001*(up_Irr!I11+up_Irr!AH11+up_Irr!BG11),".")</f>
        <v>152036.56519057468</v>
      </c>
      <c r="AK11" s="93">
        <f>IFERROR(s_C*s_IFCI_res_adj*s_CF_citrus*0.001*(up_Irr!J11+up_Irr!AI11+up_Irr!BH11),".")</f>
        <v>152036.56519057468</v>
      </c>
      <c r="AL11" s="93">
        <f>IFERROR(s_C*s_IFCO_res_adj*s_CF_corn*0.001*(up_Irr!K11+up_Irr!AJ11+up_Irr!BI11),".")</f>
        <v>152036.56519057468</v>
      </c>
      <c r="AM11" s="93">
        <f>IFERROR(s_C*s_IFCU_res_adj*s_CF_cucumber*0.001*(up_Irr!L11+up_Irr!AK11+up_Irr!BJ11),".")</f>
        <v>152036.56519057468</v>
      </c>
      <c r="AN11" s="93">
        <f>IFERROR(s_C*s_IFLE_res_adj*s_CF_lettuce*0.001*(up_Irr!M11+up_Irr!AL11+up_Irr!BK11),".")</f>
        <v>152036.56519057468</v>
      </c>
      <c r="AO11" s="93">
        <f>IFERROR(s_C*s_IFLI_res_adj*s_CF_lima_bean*0.001*(up_Irr!N11+up_Irr!AM11+up_Irr!BL11),".")</f>
        <v>152036.56519057468</v>
      </c>
      <c r="AP11" s="93">
        <f>IFERROR(s_C*s_IFOK_res_adj*s_CF_okra*0.001*(up_Irr!O11+up_Irr!AN11+up_Irr!BM11),".")</f>
        <v>152036.56519057468</v>
      </c>
      <c r="AQ11" s="93">
        <f>IFERROR(s_C*s_IFON_res_adj*s_CF_onion*0.001*(up_Irr!P11+up_Irr!AO11+up_Irr!BN11),".")</f>
        <v>152036.56519057468</v>
      </c>
      <c r="AR11" s="93">
        <f>IFERROR(s_C*s_IFPC_res_adj*s_CF_peach*0.001*(up_Irr!Q11+up_Irr!AP11+up_Irr!BO11),".")</f>
        <v>152036.56519057468</v>
      </c>
      <c r="AS11" s="93">
        <f>IFERROR(s_C*s_IFPR_res_adj*s_CF_pear*0.001*(up_Irr!R11+up_Irr!AQ11+up_Irr!BP11),".")</f>
        <v>152036.56519057468</v>
      </c>
      <c r="AT11" s="93">
        <f>IFERROR(s_C*s_IFPE_res_adj*s_CF_peas*0.001*(up_Irr!S11+up_Irr!AR11+up_Irr!BQ11),".")</f>
        <v>152036.56519057468</v>
      </c>
      <c r="AU11" s="93">
        <f>IFERROR(s_C*s_IFPP_res_adj*s_CF_peppers*0.001*(up_Irr!T11+up_Irr!AS11+up_Irr!BR11),".")</f>
        <v>152036.56519057468</v>
      </c>
      <c r="AV11" s="93">
        <f>IFERROR(s_C*s_IFPT_res_adj*s_CF_potato*0.001*(up_Irr!U11+up_Irr!AT11+up_Irr!BS11),".")</f>
        <v>152036.56519057468</v>
      </c>
      <c r="AW11" s="93">
        <f>IFERROR(s_C*s_IFPU_res_adj*s_CF_pumpkin*0.001*(up_Irr!V11+up_Irr!AU11+up_Irr!BT11),".")</f>
        <v>152036.56519057468</v>
      </c>
      <c r="AX11" s="93">
        <f>IFERROR(s_C*s_IFSN_res_adj*s_CF_snap_bean*0.001*(up_Irr!W11+up_Irr!AV11+up_Irr!BU11),".")</f>
        <v>152036.56519057468</v>
      </c>
      <c r="AY11" s="93">
        <f>IFERROR(s_C*s_IFST_res_adj*s_CF_strawberry*0.001*(up_Irr!X11+up_Irr!AW11+up_Irr!BV11),".")</f>
        <v>152036.56519057468</v>
      </c>
      <c r="AZ11" s="93">
        <f>IFERROR(s_C*s_IFTO_res_adj*s_CF_tomato*0.001*(up_Irr!Y11+up_Irr!AX11+up_Irr!BW11),".")</f>
        <v>152036.56519057468</v>
      </c>
      <c r="BA11" s="93">
        <f>IFERROR(s_C*s_IFRI_res_adj*s_CF_rice*0.001*(up_Irr!Z11+up_Irr!AY11+up_Irr!BX11),".")</f>
        <v>152036.56519057468</v>
      </c>
      <c r="BB11" s="93">
        <f>IFERROR(s_C*s_IFCG_res_adj*s_CF_cereal*0.001*(up_Irr!AA11+up_Irr!AZ11+up_Irr!BY11),".")</f>
        <v>152036.56519057468</v>
      </c>
      <c r="BC11" s="76">
        <f t="shared" si="2"/>
        <v>1.6443412786038031E-11</v>
      </c>
      <c r="BD11" s="76">
        <f>IFERROR(IF(AND(up_Irr!C11&lt;&gt;".",up_Irr!AB11&lt;&gt;".",up_Irr!BA11&lt;&gt;"."),up_dir!AD11/((1/1000)*(up_Irr!C11+up_Irr!AB11+up_Irr!BA11)),IF(AND(up_Irr!C11&lt;&gt;".",up_Irr!AB11&lt;&gt;".",up_Irr!BA11="."),up_dir!AD11/((1/1000)*(up_Irr!C11+up_Irr!AB11)),IF(AND(up_Irr!C11&lt;&gt;".",up_Irr!AB11=".",up_Irr!BA11&lt;&gt;"."),up_dir!AD11/((1/1000)*(up_Irr!C11+up_Irr!BA11)),IF(AND(up_Irr!C11=".",up_Irr!AB11&lt;&gt;".",up_Irr!BA11&lt;&gt;"."),up_dir!AD11/((1/1000)*(up_Irr!AB11+up_Irr!BA11)),IF(AND(up_Irr!C11=".",up_Irr!AB11=".",up_Irr!BA11&lt;&gt;"."),up_dir!AD11/((1/1000)*(up_Irr!BA11)),IF(AND(up_Irr!C11=".",up_Irr!AB11&lt;&gt;".",up_Irr!BA11="."),up_dir!AD11/((1/1000)*(up_Irr!AB11)),IF(AND(up_Irr!C11&lt;&gt;".",up_Irr!AB11=".",up_Irr!BA11="."),up_dir!AD11/((1/1000)*(up_Irr!C11)),IF(AND(up_Irr!C11=".",up_Irr!AB11=".",up_Irr!BA11="."),up_dir!AD11*1000)))))))),".")</f>
        <v>6.5773651144152123E-11</v>
      </c>
      <c r="BE11" s="76">
        <f>IFERROR(IF(AND(up_Irr!D11&lt;&gt;".",up_Irr!AC11&lt;&gt;".",up_Irr!BB11&lt;&gt;"."),up_dir!AE11/((1/1000)*(up_Irr!D11+up_Irr!AC11+up_Irr!BB11)),IF(AND(up_Irr!D11&lt;&gt;".",up_Irr!AC11&lt;&gt;".",up_Irr!BB11="."),up_dir!AE11/((1/1000)*(up_Irr!D11+up_Irr!AC11)),IF(AND(up_Irr!D11&lt;&gt;".",up_Irr!AC11=".",up_Irr!BB11&lt;&gt;"."),up_dir!AE11/((1/1000)*(up_Irr!D11+up_Irr!BB11)),IF(AND(up_Irr!D11=".",up_Irr!AC11&lt;&gt;".",up_Irr!BB11&lt;&gt;"."),up_dir!AE11/((1/1000)*(up_Irr!AC11+up_Irr!BB11)),IF(AND(up_Irr!D11=".",up_Irr!AC11=".",up_Irr!BB11&lt;&gt;"."),up_dir!AE11/((1/1000)*(up_Irr!BB11)),IF(AND(up_Irr!D11=".",up_Irr!AC11&lt;&gt;".",up_Irr!BB11="."),up_dir!AE11/((1/1000)*(up_Irr!AC11)),IF(AND(up_Irr!D11&lt;&gt;".",up_Irr!AC11=".",up_Irr!BB11="."),up_dir!AE11/((1/1000)*(up_Irr!D11)),IF(AND(up_Irr!D11=".",up_Irr!AC11=".",up_Irr!BB11="."),up_dir!AE11*1000)))))))),".")</f>
        <v>6.5773651144152123E-11</v>
      </c>
      <c r="BF11" s="76">
        <f>IFERROR(IF(AND(up_Irr!E11&lt;&gt;".",up_Irr!AD11&lt;&gt;".",up_Irr!BC11&lt;&gt;"."),up_dir!AF11/((1/1000)*(up_Irr!E11+up_Irr!AD11+up_Irr!BC11)),IF(AND(up_Irr!E11&lt;&gt;".",up_Irr!AD11&lt;&gt;".",up_Irr!BC11="."),up_dir!AF11/((1/1000)*(up_Irr!E11+up_Irr!AD11)),IF(AND(up_Irr!E11&lt;&gt;".",up_Irr!AD11=".",up_Irr!BC11&lt;&gt;"."),up_dir!AF11/((1/1000)*(up_Irr!E11+up_Irr!BC11)),IF(AND(up_Irr!E11=".",up_Irr!AD11&lt;&gt;".",up_Irr!BC11&lt;&gt;"."),up_dir!AF11/((1/1000)*(up_Irr!AD11+up_Irr!BC11)),IF(AND(up_Irr!E11=".",up_Irr!AD11=".",up_Irr!BC11&lt;&gt;"."),up_dir!AF11/((1/1000)*(up_Irr!BC11)),IF(AND(up_Irr!E11=".",up_Irr!AD11&lt;&gt;".",up_Irr!BC11="."),up_dir!AF11/((1/1000)*(up_Irr!AD11)),IF(AND(up_Irr!E11&lt;&gt;".",up_Irr!AD11=".",up_Irr!BC11="."),up_dir!AF11/((1/1000)*(up_Irr!E11)),IF(AND(up_Irr!E11=".",up_Irr!AD11=".",up_Irr!BC11="."),up_dir!AF11*1000)))))))),".")</f>
        <v>6.5773651144152123E-11</v>
      </c>
      <c r="BG11" s="76">
        <f>IFERROR(IF(AND(up_Irr!F11&lt;&gt;".",up_Irr!AE11&lt;&gt;".",up_Irr!BD11&lt;&gt;"."),up_dir!AG11/((1/1000)*(up_Irr!F11+up_Irr!AE11+up_Irr!BD11)),IF(AND(up_Irr!F11&lt;&gt;".",up_Irr!AE11&lt;&gt;".",up_Irr!BD11="."),up_dir!AG11/((1/1000)*(up_Irr!F11+up_Irr!AE11)),IF(AND(up_Irr!F11&lt;&gt;".",up_Irr!AE11=".",up_Irr!BD11&lt;&gt;"."),up_dir!AG11/((1/1000)*(up_Irr!F11+up_Irr!BD11)),IF(AND(up_Irr!F11=".",up_Irr!AE11&lt;&gt;".",up_Irr!BD11&lt;&gt;"."),up_dir!AG11/((1/1000)*(up_Irr!AE11+up_Irr!BD11)),IF(AND(up_Irr!F11=".",up_Irr!AE11=".",up_Irr!BD11&lt;&gt;"."),up_dir!AG11/((1/1000)*(up_Irr!BD11)),IF(AND(up_Irr!F11=".",up_Irr!AE11&lt;&gt;".",up_Irr!BD11="."),up_dir!AG11/((1/1000)*(up_Irr!AE11)),IF(AND(up_Irr!F11&lt;&gt;".",up_Irr!AE11=".",up_Irr!BD11="."),up_dir!AG11/((1/1000)*(up_Irr!F11)),IF(AND(up_Irr!F11=".",up_Irr!AE11=".",up_Irr!BD11="."),up_dir!AG11*1000)))))))),".")</f>
        <v>6.5773651144152123E-11</v>
      </c>
      <c r="BH11" s="76">
        <f>IFERROR(IF(AND(up_Irr!G11&lt;&gt;".",up_Irr!AF11&lt;&gt;".",up_Irr!BE11&lt;&gt;"."),up_dir!AH11/((1/1000)*(up_Irr!G11+up_Irr!AF11+up_Irr!BE11)),IF(AND(up_Irr!G11&lt;&gt;".",up_Irr!AF11&lt;&gt;".",up_Irr!BE11="."),up_dir!AH11/((1/1000)*(up_Irr!G11+up_Irr!AF11)),IF(AND(up_Irr!G11&lt;&gt;".",up_Irr!AF11=".",up_Irr!BE11&lt;&gt;"."),up_dir!AH11/((1/1000)*(up_Irr!G11+up_Irr!BE11)),IF(AND(up_Irr!G11=".",up_Irr!AF11&lt;&gt;".",up_Irr!BE11&lt;&gt;"."),up_dir!AH11/((1/1000)*(up_Irr!AF11+up_Irr!BE11)),IF(AND(up_Irr!G11=".",up_Irr!AF11=".",up_Irr!BE11&lt;&gt;"."),up_dir!AH11/((1/1000)*(up_Irr!BE11)),IF(AND(up_Irr!G11=".",up_Irr!AF11&lt;&gt;".",up_Irr!BE11="."),up_dir!AH11/((1/1000)*(up_Irr!AF11)),IF(AND(up_Irr!G11&lt;&gt;".",up_Irr!AF11=".",up_Irr!BE11="."),up_dir!AH11/((1/1000)*(up_Irr!G11)),IF(AND(up_Irr!G11=".",up_Irr!AF11=".",up_Irr!BE11="."),up_dir!AH11*1000)))))))),".")</f>
        <v>6.5773651144152123E-11</v>
      </c>
      <c r="BI11" s="76">
        <f>IFERROR(IF(AND(up_Irr!H11&lt;&gt;".",up_Irr!AG11&lt;&gt;".",up_Irr!BF11&lt;&gt;"."),up_dir!AI11/((1/1000)*(up_Irr!H11+up_Irr!AG11+up_Irr!BF11)),IF(AND(up_Irr!H11&lt;&gt;".",up_Irr!AG11&lt;&gt;".",up_Irr!BF11="."),up_dir!AI11/((1/1000)*(up_Irr!H11+up_Irr!AG11)),IF(AND(up_Irr!H11&lt;&gt;".",up_Irr!AG11=".",up_Irr!BF11&lt;&gt;"."),up_dir!AI11/((1/1000)*(up_Irr!H11+up_Irr!BF11)),IF(AND(up_Irr!H11=".",up_Irr!AG11&lt;&gt;".",up_Irr!BF11&lt;&gt;"."),up_dir!AI11/((1/1000)*(up_Irr!AG11+up_Irr!BF11)),IF(AND(up_Irr!H11=".",up_Irr!AG11=".",up_Irr!BF11&lt;&gt;"."),up_dir!AI11/((1/1000)*(up_Irr!BF11)),IF(AND(up_Irr!H11=".",up_Irr!AG11&lt;&gt;".",up_Irr!BF11="."),up_dir!AI11/((1/1000)*(up_Irr!AG11)),IF(AND(up_Irr!H11&lt;&gt;".",up_Irr!AG11=".",up_Irr!BF11="."),up_dir!AI11/((1/1000)*(up_Irr!H11)),IF(AND(up_Irr!H11=".",up_Irr!AG11=".",up_Irr!BF11="."),up_dir!AI11*1000)))))))),".")</f>
        <v>6.5773651144152123E-11</v>
      </c>
      <c r="BJ11" s="76">
        <f>IFERROR(IF(AND(up_Irr!I11&lt;&gt;".",up_Irr!AH11&lt;&gt;".",up_Irr!BG11&lt;&gt;"."),up_dir!AJ11/((1/1000)*(up_Irr!I11+up_Irr!AH11+up_Irr!BG11)),IF(AND(up_Irr!I11&lt;&gt;".",up_Irr!AH11&lt;&gt;".",up_Irr!BG11="."),up_dir!AJ11/((1/1000)*(up_Irr!I11+up_Irr!AH11)),IF(AND(up_Irr!I11&lt;&gt;".",up_Irr!AH11=".",up_Irr!BG11&lt;&gt;"."),up_dir!AJ11/((1/1000)*(up_Irr!I11+up_Irr!BG11)),IF(AND(up_Irr!I11=".",up_Irr!AH11&lt;&gt;".",up_Irr!BG11&lt;&gt;"."),up_dir!AJ11/((1/1000)*(up_Irr!AH11+up_Irr!BG11)),IF(AND(up_Irr!I11=".",up_Irr!AH11=".",up_Irr!BG11&lt;&gt;"."),up_dir!AJ11/((1/1000)*(up_Irr!BG11)),IF(AND(up_Irr!I11=".",up_Irr!AH11&lt;&gt;".",up_Irr!BG11="."),up_dir!AJ11/((1/1000)*(up_Irr!AH11)),IF(AND(up_Irr!I11&lt;&gt;".",up_Irr!AH11=".",up_Irr!BG11="."),up_dir!AJ11/((1/1000)*(up_Irr!I11)),IF(AND(up_Irr!I11=".",up_Irr!AH11=".",up_Irr!BG11="."),up_dir!AJ11*1000)))))))),".")</f>
        <v>6.5773651144152123E-11</v>
      </c>
      <c r="BK11" s="76">
        <f>IFERROR(IF(AND(up_Irr!J11&lt;&gt;".",up_Irr!AI11&lt;&gt;".",up_Irr!BH11&lt;&gt;"."),up_dir!AK11/((1/1000)*(up_Irr!J11+up_Irr!AI11+up_Irr!BH11)),IF(AND(up_Irr!J11&lt;&gt;".",up_Irr!AI11&lt;&gt;".",up_Irr!BH11="."),up_dir!AK11/((1/1000)*(up_Irr!J11+up_Irr!AI11)),IF(AND(up_Irr!J11&lt;&gt;".",up_Irr!AI11=".",up_Irr!BH11&lt;&gt;"."),up_dir!AK11/((1/1000)*(up_Irr!J11+up_Irr!BH11)),IF(AND(up_Irr!J11=".",up_Irr!AI11&lt;&gt;".",up_Irr!BH11&lt;&gt;"."),up_dir!AK11/((1/1000)*(up_Irr!AI11+up_Irr!BH11)),IF(AND(up_Irr!J11=".",up_Irr!AI11=".",up_Irr!BH11&lt;&gt;"."),up_dir!AK11/((1/1000)*(up_Irr!BH11)),IF(AND(up_Irr!J11=".",up_Irr!AI11&lt;&gt;".",up_Irr!BH11="."),up_dir!AK11/((1/1000)*(up_Irr!AI11)),IF(AND(up_Irr!J11&lt;&gt;".",up_Irr!AI11=".",up_Irr!BH11="."),up_dir!AK11/((1/1000)*(up_Irr!J11)),IF(AND(up_Irr!J11=".",up_Irr!AI11=".",up_Irr!BH11="."),up_dir!AK11*1000)))))))),".")</f>
        <v>6.5773651144152123E-11</v>
      </c>
      <c r="BL11" s="76">
        <f>IFERROR(IF(AND(up_Irr!K11&lt;&gt;".",up_Irr!AJ11&lt;&gt;".",up_Irr!BI11&lt;&gt;"."),up_dir!AL11/((1/1000)*(up_Irr!K11+up_Irr!AJ11+up_Irr!BI11)),IF(AND(up_Irr!K11&lt;&gt;".",up_Irr!AJ11&lt;&gt;".",up_Irr!BI11="."),up_dir!AL11/((1/1000)*(up_Irr!K11+up_Irr!AJ11)),IF(AND(up_Irr!K11&lt;&gt;".",up_Irr!AJ11=".",up_Irr!BI11&lt;&gt;"."),up_dir!AL11/((1/1000)*(up_Irr!K11+up_Irr!BI11)),IF(AND(up_Irr!K11=".",up_Irr!AJ11&lt;&gt;".",up_Irr!BI11&lt;&gt;"."),up_dir!AL11/((1/1000)*(up_Irr!AJ11+up_Irr!BI11)),IF(AND(up_Irr!K11=".",up_Irr!AJ11=".",up_Irr!BI11&lt;&gt;"."),up_dir!AL11/((1/1000)*(up_Irr!BI11)),IF(AND(up_Irr!K11=".",up_Irr!AJ11&lt;&gt;".",up_Irr!BI11="."),up_dir!AL11/((1/1000)*(up_Irr!AJ11)),IF(AND(up_Irr!K11&lt;&gt;".",up_Irr!AJ11=".",up_Irr!BI11="."),up_dir!AL11/((1/1000)*(up_Irr!K11)),IF(AND(up_Irr!K11=".",up_Irr!AJ11=".",up_Irr!BI11="."),up_dir!AL11*1000)))))))),".")</f>
        <v>6.5773651144152123E-11</v>
      </c>
      <c r="BM11" s="76">
        <f>IFERROR(IF(AND(up_Irr!L11&lt;&gt;".",up_Irr!AK11&lt;&gt;".",up_Irr!BJ11&lt;&gt;"."),up_dir!AM11/((1/1000)*(up_Irr!L11+up_Irr!AK11+up_Irr!BJ11)),IF(AND(up_Irr!L11&lt;&gt;".",up_Irr!AK11&lt;&gt;".",up_Irr!BJ11="."),up_dir!AM11/((1/1000)*(up_Irr!L11+up_Irr!AK11)),IF(AND(up_Irr!L11&lt;&gt;".",up_Irr!AK11=".",up_Irr!BJ11&lt;&gt;"."),up_dir!AM11/((1/1000)*(up_Irr!L11+up_Irr!BJ11)),IF(AND(up_Irr!L11=".",up_Irr!AK11&lt;&gt;".",up_Irr!BJ11&lt;&gt;"."),up_dir!AM11/((1/1000)*(up_Irr!AK11+up_Irr!BJ11)),IF(AND(up_Irr!L11=".",up_Irr!AK11=".",up_Irr!BJ11&lt;&gt;"."),up_dir!AM11/((1/1000)*(up_Irr!BJ11)),IF(AND(up_Irr!L11=".",up_Irr!AK11&lt;&gt;".",up_Irr!BJ11="."),up_dir!AM11/((1/1000)*(up_Irr!AK11)),IF(AND(up_Irr!L11&lt;&gt;".",up_Irr!AK11=".",up_Irr!BJ11="."),up_dir!AM11/((1/1000)*(up_Irr!L11)),IF(AND(up_Irr!L11=".",up_Irr!AK11=".",up_Irr!BJ11="."),up_dir!AM11*1000)))))))),".")</f>
        <v>6.5773651144152123E-11</v>
      </c>
      <c r="BN11" s="76">
        <f>IFERROR(IF(AND(up_Irr!M11&lt;&gt;".",up_Irr!AL11&lt;&gt;".",up_Irr!BK11&lt;&gt;"."),up_dir!AN11/((1/1000)*(up_Irr!M11+up_Irr!AL11+up_Irr!BK11)),IF(AND(up_Irr!M11&lt;&gt;".",up_Irr!AL11&lt;&gt;".",up_Irr!BK11="."),up_dir!AN11/((1/1000)*(up_Irr!M11+up_Irr!AL11)),IF(AND(up_Irr!M11&lt;&gt;".",up_Irr!AL11=".",up_Irr!BK11&lt;&gt;"."),up_dir!AN11/((1/1000)*(up_Irr!M11+up_Irr!BK11)),IF(AND(up_Irr!M11=".",up_Irr!AL11&lt;&gt;".",up_Irr!BK11&lt;&gt;"."),up_dir!AN11/((1/1000)*(up_Irr!AL11+up_Irr!BK11)),IF(AND(up_Irr!M11=".",up_Irr!AL11=".",up_Irr!BK11&lt;&gt;"."),up_dir!AN11/((1/1000)*(up_Irr!BK11)),IF(AND(up_Irr!M11=".",up_Irr!AL11&lt;&gt;".",up_Irr!BK11="."),up_dir!AN11/((1/1000)*(up_Irr!AL11)),IF(AND(up_Irr!M11&lt;&gt;".",up_Irr!AL11=".",up_Irr!BK11="."),up_dir!AN11/((1/1000)*(up_Irr!M11)),IF(AND(up_Irr!M11=".",up_Irr!AL11=".",up_Irr!BK11="."),up_dir!AN11*1000)))))))),".")</f>
        <v>6.5773651144152123E-11</v>
      </c>
      <c r="BO11" s="76">
        <f>IFERROR(IF(AND(up_Irr!N11&lt;&gt;".",up_Irr!AM11&lt;&gt;".",up_Irr!BL11&lt;&gt;"."),up_dir!AO11/((1/1000)*(up_Irr!N11+up_Irr!AM11+up_Irr!BL11)),IF(AND(up_Irr!N11&lt;&gt;".",up_Irr!AM11&lt;&gt;".",up_Irr!BL11="."),up_dir!AO11/((1/1000)*(up_Irr!N11+up_Irr!AM11)),IF(AND(up_Irr!N11&lt;&gt;".",up_Irr!AM11=".",up_Irr!BL11&lt;&gt;"."),up_dir!AO11/((1/1000)*(up_Irr!N11+up_Irr!BL11)),IF(AND(up_Irr!N11=".",up_Irr!AM11&lt;&gt;".",up_Irr!BL11&lt;&gt;"."),up_dir!AO11/((1/1000)*(up_Irr!AM11+up_Irr!BL11)),IF(AND(up_Irr!N11=".",up_Irr!AM11=".",up_Irr!BL11&lt;&gt;"."),up_dir!AO11/((1/1000)*(up_Irr!BL11)),IF(AND(up_Irr!N11=".",up_Irr!AM11&lt;&gt;".",up_Irr!BL11="."),up_dir!AO11/((1/1000)*(up_Irr!AM11)),IF(AND(up_Irr!N11&lt;&gt;".",up_Irr!AM11=".",up_Irr!BL11="."),up_dir!AO11/((1/1000)*(up_Irr!N11)),IF(AND(up_Irr!N11=".",up_Irr!AM11=".",up_Irr!BL11="."),up_dir!AO11*1000)))))))),".")</f>
        <v>6.5773651144152123E-11</v>
      </c>
      <c r="BP11" s="76">
        <f>IFERROR(IF(AND(up_Irr!O11&lt;&gt;".",up_Irr!AN11&lt;&gt;".",up_Irr!BM11&lt;&gt;"."),up_dir!AP11/((1/1000)*(up_Irr!O11+up_Irr!AN11+up_Irr!BM11)),IF(AND(up_Irr!O11&lt;&gt;".",up_Irr!AN11&lt;&gt;".",up_Irr!BM11="."),up_dir!AP11/((1/1000)*(up_Irr!O11+up_Irr!AN11)),IF(AND(up_Irr!O11&lt;&gt;".",up_Irr!AN11=".",up_Irr!BM11&lt;&gt;"."),up_dir!AP11/((1/1000)*(up_Irr!O11+up_Irr!BM11)),IF(AND(up_Irr!O11=".",up_Irr!AN11&lt;&gt;".",up_Irr!BM11&lt;&gt;"."),up_dir!AP11/((1/1000)*(up_Irr!AN11+up_Irr!BM11)),IF(AND(up_Irr!O11=".",up_Irr!AN11=".",up_Irr!BM11&lt;&gt;"."),up_dir!AP11/((1/1000)*(up_Irr!BM11)),IF(AND(up_Irr!O11=".",up_Irr!AN11&lt;&gt;".",up_Irr!BM11="."),up_dir!AP11/((1/1000)*(up_Irr!AN11)),IF(AND(up_Irr!O11&lt;&gt;".",up_Irr!AN11=".",up_Irr!BM11="."),up_dir!AP11/((1/1000)*(up_Irr!O11)),IF(AND(up_Irr!O11=".",up_Irr!AN11=".",up_Irr!BM11="."),up_dir!AP11*1000)))))))),".")</f>
        <v>6.5773651144152123E-11</v>
      </c>
      <c r="BQ11" s="76">
        <f>IFERROR(IF(AND(up_Irr!P11&lt;&gt;".",up_Irr!AO11&lt;&gt;".",up_Irr!BN11&lt;&gt;"."),up_dir!AQ11/((1/1000)*(up_Irr!P11+up_Irr!AO11+up_Irr!BN11)),IF(AND(up_Irr!P11&lt;&gt;".",up_Irr!AO11&lt;&gt;".",up_Irr!BN11="."),up_dir!AQ11/((1/1000)*(up_Irr!P11+up_Irr!AO11)),IF(AND(up_Irr!P11&lt;&gt;".",up_Irr!AO11=".",up_Irr!BN11&lt;&gt;"."),up_dir!AQ11/((1/1000)*(up_Irr!P11+up_Irr!BN11)),IF(AND(up_Irr!P11=".",up_Irr!AO11&lt;&gt;".",up_Irr!BN11&lt;&gt;"."),up_dir!AQ11/((1/1000)*(up_Irr!AO11+up_Irr!BN11)),IF(AND(up_Irr!P11=".",up_Irr!AO11=".",up_Irr!BN11&lt;&gt;"."),up_dir!AQ11/((1/1000)*(up_Irr!BN11)),IF(AND(up_Irr!P11=".",up_Irr!AO11&lt;&gt;".",up_Irr!BN11="."),up_dir!AQ11/((1/1000)*(up_Irr!AO11)),IF(AND(up_Irr!P11&lt;&gt;".",up_Irr!AO11=".",up_Irr!BN11="."),up_dir!AQ11/((1/1000)*(up_Irr!P11)),IF(AND(up_Irr!P11=".",up_Irr!AO11=".",up_Irr!BN11="."),up_dir!AQ11*1000)))))))),".")</f>
        <v>6.5773651144152123E-11</v>
      </c>
      <c r="BR11" s="76">
        <f>IFERROR(IF(AND(up_Irr!Q11&lt;&gt;".",up_Irr!AP11&lt;&gt;".",up_Irr!BO11&lt;&gt;"."),up_dir!AR11/((1/1000)*(up_Irr!Q11+up_Irr!AP11+up_Irr!BO11)),IF(AND(up_Irr!Q11&lt;&gt;".",up_Irr!AP11&lt;&gt;".",up_Irr!BO11="."),up_dir!AR11/((1/1000)*(up_Irr!Q11+up_Irr!AP11)),IF(AND(up_Irr!Q11&lt;&gt;".",up_Irr!AP11=".",up_Irr!BO11&lt;&gt;"."),up_dir!AR11/((1/1000)*(up_Irr!Q11+up_Irr!BO11)),IF(AND(up_Irr!Q11=".",up_Irr!AP11&lt;&gt;".",up_Irr!BO11&lt;&gt;"."),up_dir!AR11/((1/1000)*(up_Irr!AP11+up_Irr!BO11)),IF(AND(up_Irr!Q11=".",up_Irr!AP11=".",up_Irr!BO11&lt;&gt;"."),up_dir!AR11/((1/1000)*(up_Irr!BO11)),IF(AND(up_Irr!Q11=".",up_Irr!AP11&lt;&gt;".",up_Irr!BO11="."),up_dir!AR11/((1/1000)*(up_Irr!AP11)),IF(AND(up_Irr!Q11&lt;&gt;".",up_Irr!AP11=".",up_Irr!BO11="."),up_dir!AR11/((1/1000)*(up_Irr!Q11)),IF(AND(up_Irr!Q11=".",up_Irr!AP11=".",up_Irr!BO11="."),up_dir!AR11*1000)))))))),".")</f>
        <v>6.5773651144152123E-11</v>
      </c>
      <c r="BS11" s="76">
        <f>IFERROR(IF(AND(up_Irr!R11&lt;&gt;".",up_Irr!AQ11&lt;&gt;".",up_Irr!BP11&lt;&gt;"."),up_dir!AS11/((1/1000)*(up_Irr!R11+up_Irr!AQ11+up_Irr!BP11)),IF(AND(up_Irr!R11&lt;&gt;".",up_Irr!AQ11&lt;&gt;".",up_Irr!BP11="."),up_dir!AS11/((1/1000)*(up_Irr!R11+up_Irr!AQ11)),IF(AND(up_Irr!R11&lt;&gt;".",up_Irr!AQ11=".",up_Irr!BP11&lt;&gt;"."),up_dir!AS11/((1/1000)*(up_Irr!R11+up_Irr!BP11)),IF(AND(up_Irr!R11=".",up_Irr!AQ11&lt;&gt;".",up_Irr!BP11&lt;&gt;"."),up_dir!AS11/((1/1000)*(up_Irr!AQ11+up_Irr!BP11)),IF(AND(up_Irr!R11=".",up_Irr!AQ11=".",up_Irr!BP11&lt;&gt;"."),up_dir!AS11/((1/1000)*(up_Irr!BP11)),IF(AND(up_Irr!R11=".",up_Irr!AQ11&lt;&gt;".",up_Irr!BP11="."),up_dir!AS11/((1/1000)*(up_Irr!AQ11)),IF(AND(up_Irr!R11&lt;&gt;".",up_Irr!AQ11=".",up_Irr!BP11="."),up_dir!AS11/((1/1000)*(up_Irr!R11)),IF(AND(up_Irr!R11=".",up_Irr!AQ11=".",up_Irr!BP11="."),up_dir!AS11*1000)))))))),".")</f>
        <v>6.5773651144152123E-11</v>
      </c>
      <c r="BT11" s="76">
        <f>IFERROR(IF(AND(up_Irr!S11&lt;&gt;".",up_Irr!AR11&lt;&gt;".",up_Irr!BQ11&lt;&gt;"."),up_dir!AT11/((1/1000)*(up_Irr!S11+up_Irr!AR11+up_Irr!BQ11)),IF(AND(up_Irr!S11&lt;&gt;".",up_Irr!AR11&lt;&gt;".",up_Irr!BQ11="."),up_dir!AT11/((1/1000)*(up_Irr!S11+up_Irr!AR11)),IF(AND(up_Irr!S11&lt;&gt;".",up_Irr!AR11=".",up_Irr!BQ11&lt;&gt;"."),up_dir!AT11/((1/1000)*(up_Irr!S11+up_Irr!BQ11)),IF(AND(up_Irr!S11=".",up_Irr!AR11&lt;&gt;".",up_Irr!BQ11&lt;&gt;"."),up_dir!AT11/((1/1000)*(up_Irr!AR11+up_Irr!BQ11)),IF(AND(up_Irr!S11=".",up_Irr!AR11=".",up_Irr!BQ11&lt;&gt;"."),up_dir!AT11/((1/1000)*(up_Irr!BQ11)),IF(AND(up_Irr!S11=".",up_Irr!AR11&lt;&gt;".",up_Irr!BQ11="."),up_dir!AT11/((1/1000)*(up_Irr!AR11)),IF(AND(up_Irr!S11&lt;&gt;".",up_Irr!AR11=".",up_Irr!BQ11="."),up_dir!AT11/((1/1000)*(up_Irr!S11)),IF(AND(up_Irr!S11=".",up_Irr!AR11=".",up_Irr!BQ11="."),up_dir!AT11*1000)))))))),".")</f>
        <v>6.5773651144152123E-11</v>
      </c>
      <c r="BU11" s="76">
        <f>IFERROR(IF(AND(up_Irr!T11&lt;&gt;".",up_Irr!AS11&lt;&gt;".",up_Irr!BR11&lt;&gt;"."),up_dir!AU11/((1/1000)*(up_Irr!T11+up_Irr!AS11+up_Irr!BR11)),IF(AND(up_Irr!T11&lt;&gt;".",up_Irr!AS11&lt;&gt;".",up_Irr!BR11="."),up_dir!AU11/((1/1000)*(up_Irr!T11+up_Irr!AS11)),IF(AND(up_Irr!T11&lt;&gt;".",up_Irr!AS11=".",up_Irr!BR11&lt;&gt;"."),up_dir!AU11/((1/1000)*(up_Irr!T11+up_Irr!BR11)),IF(AND(up_Irr!T11=".",up_Irr!AS11&lt;&gt;".",up_Irr!BR11&lt;&gt;"."),up_dir!AU11/((1/1000)*(up_Irr!AS11+up_Irr!BR11)),IF(AND(up_Irr!T11=".",up_Irr!AS11=".",up_Irr!BR11&lt;&gt;"."),up_dir!AU11/((1/1000)*(up_Irr!BR11)),IF(AND(up_Irr!T11=".",up_Irr!AS11&lt;&gt;".",up_Irr!BR11="."),up_dir!AU11/((1/1000)*(up_Irr!AS11)),IF(AND(up_Irr!T11&lt;&gt;".",up_Irr!AS11=".",up_Irr!BR11="."),up_dir!AU11/((1/1000)*(up_Irr!T11)),IF(AND(up_Irr!T11=".",up_Irr!AS11=".",up_Irr!BR11="."),up_dir!AU11*1000)))))))),".")</f>
        <v>6.5773651144152123E-11</v>
      </c>
      <c r="BV11" s="76">
        <f>IFERROR(IF(AND(up_Irr!U11&lt;&gt;".",up_Irr!AT11&lt;&gt;".",up_Irr!BS11&lt;&gt;"."),up_dir!AV11/((1/1000)*(up_Irr!U11+up_Irr!AT11+up_Irr!BS11)),IF(AND(up_Irr!U11&lt;&gt;".",up_Irr!AT11&lt;&gt;".",up_Irr!BS11="."),up_dir!AV11/((1/1000)*(up_Irr!U11+up_Irr!AT11)),IF(AND(up_Irr!U11&lt;&gt;".",up_Irr!AT11=".",up_Irr!BS11&lt;&gt;"."),up_dir!AV11/((1/1000)*(up_Irr!U11+up_Irr!BS11)),IF(AND(up_Irr!U11=".",up_Irr!AT11&lt;&gt;".",up_Irr!BS11&lt;&gt;"."),up_dir!AV11/((1/1000)*(up_Irr!AT11+up_Irr!BS11)),IF(AND(up_Irr!U11=".",up_Irr!AT11=".",up_Irr!BS11&lt;&gt;"."),up_dir!AV11/((1/1000)*(up_Irr!BS11)),IF(AND(up_Irr!U11=".",up_Irr!AT11&lt;&gt;".",up_Irr!BS11="."),up_dir!AV11/((1/1000)*(up_Irr!AT11)),IF(AND(up_Irr!U11&lt;&gt;".",up_Irr!AT11=".",up_Irr!BS11="."),up_dir!AV11/((1/1000)*(up_Irr!U11)),IF(AND(up_Irr!U11=".",up_Irr!AT11=".",up_Irr!BS11="."),up_dir!AV11*1000)))))))),".")</f>
        <v>6.5773651144152123E-11</v>
      </c>
      <c r="BW11" s="76">
        <f>IFERROR(IF(AND(up_Irr!V11&lt;&gt;".",up_Irr!AU11&lt;&gt;".",up_Irr!BT11&lt;&gt;"."),up_dir!AW11/((1/1000)*(up_Irr!V11+up_Irr!AU11+up_Irr!BT11)),IF(AND(up_Irr!V11&lt;&gt;".",up_Irr!AU11&lt;&gt;".",up_Irr!BT11="."),up_dir!AW11/((1/1000)*(up_Irr!V11+up_Irr!AU11)),IF(AND(up_Irr!V11&lt;&gt;".",up_Irr!AU11=".",up_Irr!BT11&lt;&gt;"."),up_dir!AW11/((1/1000)*(up_Irr!V11+up_Irr!BT11)),IF(AND(up_Irr!V11=".",up_Irr!AU11&lt;&gt;".",up_Irr!BT11&lt;&gt;"."),up_dir!AW11/((1/1000)*(up_Irr!AU11+up_Irr!BT11)),IF(AND(up_Irr!V11=".",up_Irr!AU11=".",up_Irr!BT11&lt;&gt;"."),up_dir!AW11/((1/1000)*(up_Irr!BT11)),IF(AND(up_Irr!V11=".",up_Irr!AU11&lt;&gt;".",up_Irr!BT11="."),up_dir!AW11/((1/1000)*(up_Irr!AU11)),IF(AND(up_Irr!V11&lt;&gt;".",up_Irr!AU11=".",up_Irr!BT11="."),up_dir!AW11/((1/1000)*(up_Irr!V11)),IF(AND(up_Irr!V11=".",up_Irr!AU11=".",up_Irr!BT11="."),up_dir!AW11*1000)))))))),".")</f>
        <v>6.5773651144152123E-11</v>
      </c>
      <c r="BX11" s="76">
        <f>IFERROR(IF(AND(up_Irr!W11&lt;&gt;".",up_Irr!AV11&lt;&gt;".",up_Irr!BU11&lt;&gt;"."),up_dir!AX11/((1/1000)*(up_Irr!W11+up_Irr!AV11+up_Irr!BU11)),IF(AND(up_Irr!W11&lt;&gt;".",up_Irr!AV11&lt;&gt;".",up_Irr!BU11="."),up_dir!AX11/((1/1000)*(up_Irr!W11+up_Irr!AV11)),IF(AND(up_Irr!W11&lt;&gt;".",up_Irr!AV11=".",up_Irr!BU11&lt;&gt;"."),up_dir!AX11/((1/1000)*(up_Irr!W11+up_Irr!BU11)),IF(AND(up_Irr!W11=".",up_Irr!AV11&lt;&gt;".",up_Irr!BU11&lt;&gt;"."),up_dir!AX11/((1/1000)*(up_Irr!AV11+up_Irr!BU11)),IF(AND(up_Irr!W11=".",up_Irr!AV11=".",up_Irr!BU11&lt;&gt;"."),up_dir!AX11/((1/1000)*(up_Irr!BU11)),IF(AND(up_Irr!W11=".",up_Irr!AV11&lt;&gt;".",up_Irr!BU11="."),up_dir!AX11/((1/1000)*(up_Irr!AV11)),IF(AND(up_Irr!W11&lt;&gt;".",up_Irr!AV11=".",up_Irr!BU11="."),up_dir!AX11/((1/1000)*(up_Irr!W11)),IF(AND(up_Irr!W11=".",up_Irr!AV11=".",up_Irr!BU11="."),up_dir!AX11*1000)))))))),".")</f>
        <v>6.5773651144152123E-11</v>
      </c>
      <c r="BY11" s="76">
        <f>IFERROR(IF(AND(up_Irr!X11&lt;&gt;".",up_Irr!AW11&lt;&gt;".",up_Irr!BV11&lt;&gt;"."),up_dir!AY11/((1/1000)*(up_Irr!X11+up_Irr!AW11+up_Irr!BV11)),IF(AND(up_Irr!X11&lt;&gt;".",up_Irr!AW11&lt;&gt;".",up_Irr!BV11="."),up_dir!AY11/((1/1000)*(up_Irr!X11+up_Irr!AW11)),IF(AND(up_Irr!X11&lt;&gt;".",up_Irr!AW11=".",up_Irr!BV11&lt;&gt;"."),up_dir!AY11/((1/1000)*(up_Irr!X11+up_Irr!BV11)),IF(AND(up_Irr!X11=".",up_Irr!AW11&lt;&gt;".",up_Irr!BV11&lt;&gt;"."),up_dir!AY11/((1/1000)*(up_Irr!AW11+up_Irr!BV11)),IF(AND(up_Irr!X11=".",up_Irr!AW11=".",up_Irr!BV11&lt;&gt;"."),up_dir!AY11/((1/1000)*(up_Irr!BV11)),IF(AND(up_Irr!X11=".",up_Irr!AW11&lt;&gt;".",up_Irr!BV11="."),up_dir!AY11/((1/1000)*(up_Irr!AW11)),IF(AND(up_Irr!X11&lt;&gt;".",up_Irr!AW11=".",up_Irr!BV11="."),up_dir!AY11/((1/1000)*(up_Irr!X11)),IF(AND(up_Irr!X11=".",up_Irr!AW11=".",up_Irr!BV11="."),up_dir!AY11*1000)))))))),".")</f>
        <v>6.5773651144152123E-11</v>
      </c>
      <c r="BZ11" s="76">
        <f>IFERROR(IF(AND(up_Irr!Y11&lt;&gt;".",up_Irr!AX11&lt;&gt;".",up_Irr!BW11&lt;&gt;"."),up_dir!AZ11/((1/1000)*(up_Irr!Y11+up_Irr!AX11+up_Irr!BW11)),IF(AND(up_Irr!Y11&lt;&gt;".",up_Irr!AX11&lt;&gt;".",up_Irr!BW11="."),up_dir!AZ11/((1/1000)*(up_Irr!Y11+up_Irr!AX11)),IF(AND(up_Irr!Y11&lt;&gt;".",up_Irr!AX11=".",up_Irr!BW11&lt;&gt;"."),up_dir!AZ11/((1/1000)*(up_Irr!Y11+up_Irr!BW11)),IF(AND(up_Irr!Y11=".",up_Irr!AX11&lt;&gt;".",up_Irr!BW11&lt;&gt;"."),up_dir!AZ11/((1/1000)*(up_Irr!AX11+up_Irr!BW11)),IF(AND(up_Irr!Y11=".",up_Irr!AX11=".",up_Irr!BW11&lt;&gt;"."),up_dir!AZ11/((1/1000)*(up_Irr!BW11)),IF(AND(up_Irr!Y11=".",up_Irr!AX11&lt;&gt;".",up_Irr!BW11="."),up_dir!AZ11/((1/1000)*(up_Irr!AX11)),IF(AND(up_Irr!Y11&lt;&gt;".",up_Irr!AX11=".",up_Irr!BW11="."),up_dir!AZ11/((1/1000)*(up_Irr!Y11)),IF(AND(up_Irr!Y11=".",up_Irr!AX11=".",up_Irr!BW11="."),up_dir!AZ11*1000)))))))),".")</f>
        <v>6.5773651144152123E-11</v>
      </c>
      <c r="CA11" s="76">
        <f>IFERROR(IF(AND(up_Irr!Z11&lt;&gt;".",up_Irr!AY11&lt;&gt;".",up_Irr!BX11&lt;&gt;"."),up_dir!BA11/((1/1000)*(up_Irr!Z11+up_Irr!AY11+up_Irr!BX11)),IF(AND(up_Irr!Z11&lt;&gt;".",up_Irr!AY11&lt;&gt;".",up_Irr!BX11="."),up_dir!BA11/((1/1000)*(up_Irr!Z11+up_Irr!AY11)),IF(AND(up_Irr!Z11&lt;&gt;".",up_Irr!AY11=".",up_Irr!BX11&lt;&gt;"."),up_dir!BA11/((1/1000)*(up_Irr!Z11+up_Irr!BX11)),IF(AND(up_Irr!Z11=".",up_Irr!AY11&lt;&gt;".",up_Irr!BX11&lt;&gt;"."),up_dir!BA11/((1/1000)*(up_Irr!AY11+up_Irr!BX11)),IF(AND(up_Irr!Z11=".",up_Irr!AY11=".",up_Irr!BX11&lt;&gt;"."),up_dir!BA11/((1/1000)*(up_Irr!BX11)),IF(AND(up_Irr!Z11=".",up_Irr!AY11&lt;&gt;".",up_Irr!BX11="."),up_dir!BA11/((1/1000)*(up_Irr!AY11)),IF(AND(up_Irr!Z11&lt;&gt;".",up_Irr!AY11=".",up_Irr!BX11="."),up_dir!BA11/((1/1000)*(up_Irr!Z11)),IF(AND(up_Irr!Z11=".",up_Irr!AY11=".",up_Irr!BX11="."),up_dir!BA11*1000)))))))),".")</f>
        <v>6.5773651144152123E-11</v>
      </c>
      <c r="CB11" s="76">
        <f>IFERROR(IF(AND(up_Irr!AA11&lt;&gt;".",up_Irr!AZ11&lt;&gt;".",up_Irr!BY11&lt;&gt;"."),up_dir!BB11/((1/1000)*(up_Irr!AA11+up_Irr!AZ11+up_Irr!BY11)),IF(AND(up_Irr!AA11&lt;&gt;".",up_Irr!AZ11&lt;&gt;".",up_Irr!BY11="."),up_dir!BB11/((1/1000)*(up_Irr!AA11+up_Irr!AZ11)),IF(AND(up_Irr!AA11&lt;&gt;".",up_Irr!AZ11=".",up_Irr!BY11&lt;&gt;"."),up_dir!BB11/((1/1000)*(up_Irr!AA11+up_Irr!BY11)),IF(AND(up_Irr!AA11=".",up_Irr!AZ11&lt;&gt;".",up_Irr!BY11&lt;&gt;"."),up_dir!BB11/((1/1000)*(up_Irr!AZ11+up_Irr!BY11)),IF(AND(up_Irr!AA11=".",up_Irr!AZ11=".",up_Irr!BY11&lt;&gt;"."),up_dir!BB11/((1/1000)*(up_Irr!BY11)),IF(AND(up_Irr!AA11=".",up_Irr!AZ11&lt;&gt;".",up_Irr!BY11="."),up_dir!BB11/((1/1000)*(up_Irr!AZ11)),IF(AND(up_Irr!AA11&lt;&gt;".",up_Irr!AZ11=".",up_Irr!BY11="."),up_dir!BB11/((1/1000)*(up_Irr!AA11)),IF(AND(up_Irr!AA11=".",up_Irr!AZ11=".",up_Irr!BY11="."),up_dir!BB11*1000)))))))),".")</f>
        <v>6.5773651144152123E-11</v>
      </c>
      <c r="CC11" s="93">
        <f t="shared" si="3"/>
        <v>608146.26076229871</v>
      </c>
      <c r="CD11" s="93">
        <f>IFERROR(s_C*s_IFAP_far_adj*s_CF_apple*(1/1000)*(up_Irr!C11+up_Irr!AB11+up_Irr!BA11),".")</f>
        <v>152036.56519057468</v>
      </c>
      <c r="CE11" s="93">
        <f>IFERROR(s_C*s_IFAS_far_adj*s_CF_asparagus*(1/1000)*(up_Irr!D11+up_Irr!AC11+up_Irr!BB11),".")</f>
        <v>152036.56519057468</v>
      </c>
      <c r="CF11" s="93">
        <f>IFERROR(s_C*s_IFBT_far_adj*s_CF_beet*(1/1000)*(up_Irr!E11+up_Irr!AD11+up_Irr!BC11),".")</f>
        <v>152036.56519057468</v>
      </c>
      <c r="CG11" s="93">
        <f>IFERROR(s_C*s_IFBE_far_adj*s_CF_berries*(1/1000)*(up_Irr!F11+up_Irr!AE11+up_Irr!BD11),".")</f>
        <v>152036.56519057468</v>
      </c>
      <c r="CH11" s="93">
        <f>IFERROR(s_C*s_IFBR_far_adj*s_CF_broccoli*(1/1000)*(up_Irr!G11+up_Irr!AF11+up_Irr!BE11),".")</f>
        <v>152036.56519057468</v>
      </c>
      <c r="CI11" s="93">
        <f>IFERROR(s_C*s_IFCB_far_adj*s_CF_cabbage*(1/1000)*(up_Irr!H11+up_Irr!AG11+up_Irr!BF11),".")</f>
        <v>152036.56519057468</v>
      </c>
      <c r="CJ11" s="93">
        <f>IFERROR(s_C*s_IFCR_far_adj*s_CF_carrot*(1/1000)*(up_Irr!I11+up_Irr!AH11+up_Irr!BG11),".")</f>
        <v>152036.56519057468</v>
      </c>
      <c r="CK11" s="93">
        <f>IFERROR(s_C*s_IFCI_far_adj*s_CF_citrus*(1/1000)*(up_Irr!J11+up_Irr!AI11+up_Irr!BH11),".")</f>
        <v>152036.56519057468</v>
      </c>
      <c r="CL11" s="93">
        <f>IFERROR(s_C*s_IFCO_far_adj*s_CF_corn*(1/1000)*(up_Irr!K11+up_Irr!AJ11+up_Irr!BI11),".")</f>
        <v>152036.56519057468</v>
      </c>
      <c r="CM11" s="93">
        <f>IFERROR(s_C*s_IFCU_far_adj*s_CF_cucumber*(1/1000)*(up_Irr!L11+up_Irr!AK11+up_Irr!BJ11),".")</f>
        <v>152036.56519057468</v>
      </c>
      <c r="CN11" s="93">
        <f>IFERROR(s_C*s_IFLE_far_adj*s_CF_lettuce*(1/1000)*(up_Irr!M11+up_Irr!AL11+up_Irr!BK11),".")</f>
        <v>152036.56519057468</v>
      </c>
      <c r="CO11" s="93">
        <f>IFERROR(s_C*s_IFLI_far_adj*s_CF_lima_bean*(1/1000)*(up_Irr!N11+up_Irr!AM11+up_Irr!BL11),".")</f>
        <v>152036.56519057468</v>
      </c>
      <c r="CP11" s="93">
        <f>IFERROR(s_C*s_IFOK_far_adj*s_CF_okra*(1/1000)*(up_Irr!O11+up_Irr!AN11+up_Irr!BM11),".")</f>
        <v>152036.56519057468</v>
      </c>
      <c r="CQ11" s="93">
        <f>IFERROR(s_C*s_IFON_far_adj*s_CF_onion*(1/1000)*(up_Irr!P11+up_Irr!AO11+up_Irr!BN11),".")</f>
        <v>152036.56519057468</v>
      </c>
      <c r="CR11" s="93">
        <f>IFERROR(s_C*s_IFPC_far_adj*s_CF_peach*(1/1000)*(up_Irr!Q11+up_Irr!AP11+up_Irr!BO11),".")</f>
        <v>152036.56519057468</v>
      </c>
      <c r="CS11" s="93">
        <f>IFERROR(s_C*s_IFPR_far_adj*s_CF_pear*(1/1000)*(up_Irr!R11+up_Irr!AQ11+up_Irr!BP11),".")</f>
        <v>152036.56519057468</v>
      </c>
      <c r="CT11" s="93">
        <f>IFERROR(s_C*s_IFPE_far_adj*s_CF_peas*(1/1000)*(up_Irr!S11+up_Irr!AR11+up_Irr!BQ11),".")</f>
        <v>152036.56519057468</v>
      </c>
      <c r="CU11" s="93">
        <f>IFERROR(s_C*s_IFPP_far_adj*s_CF_peppers*(1/1000)*(up_Irr!T11+up_Irr!AS11+up_Irr!BR11),".")</f>
        <v>152036.56519057468</v>
      </c>
      <c r="CV11" s="93">
        <f>IFERROR(s_C*s_IFPT_far_adj*s_CF_potato*(1/1000)*(up_Irr!U11+up_Irr!AT11+up_Irr!BS11),".")</f>
        <v>152036.56519057468</v>
      </c>
      <c r="CW11" s="93">
        <f>IFERROR(s_C*s_IFPU_far_adj*s_CF_pumpkin*(1/1000)*(up_Irr!V11+up_Irr!AU11+up_Irr!BT11),".")</f>
        <v>152036.56519057468</v>
      </c>
      <c r="CX11" s="93">
        <f>IFERROR(s_C*s_IFSN_far_adj*s_CF_snap_bean*(1/1000)*(up_Irr!W11+up_Irr!AV11+up_Irr!BU11),".")</f>
        <v>152036.56519057468</v>
      </c>
      <c r="CY11" s="93">
        <f>IFERROR(s_C*s_IFST_far_adj*s_CF_strawberry*(1/1000)*(up_Irr!X11+up_Irr!AW11+up_Irr!BV11),".")</f>
        <v>152036.56519057468</v>
      </c>
      <c r="CZ11" s="93">
        <f>IFERROR(s_C*s_IFTO_far_adj*s_CF_tomato*(1/1000)*(up_Irr!Y11+up_Irr!AX11+up_Irr!BW11),".")</f>
        <v>152036.56519057468</v>
      </c>
      <c r="DA11" s="93">
        <f>IFERROR(s_C*s_IFRI_far_adj*s_CF_rice*(1/1000)*(up_Irr!Z11+up_Irr!AY11+up_Irr!BX11),".")</f>
        <v>152036.56519057468</v>
      </c>
      <c r="DB11" s="93">
        <f>IFERROR(s_C*s_IFCG_far_adj*s_CF_cereal*(1/1000)*(up_Irr!AA11+up_Irr!AZ11+up_Irr!BY11),".")</f>
        <v>152036.56519057468</v>
      </c>
    </row>
    <row r="12" spans="1:106" ht="15" customHeight="1" x14ac:dyDescent="0.25">
      <c r="A12" s="92" t="s">
        <v>22</v>
      </c>
      <c r="B12" s="90" t="s">
        <v>1071</v>
      </c>
      <c r="C12" s="15">
        <f t="shared" si="0"/>
        <v>1.6443412786038031E-11</v>
      </c>
      <c r="D12" s="76">
        <f>IFERROR(IF(AND(up_Irr!C12&lt;&gt;".",up_Irr!AB12&lt;&gt;".",up_Irr!BA12&lt;&gt;"."),up_dir!D12/((1/1000)*(up_Irr!C12+up_Irr!AB12+up_Irr!BA12)),IF(AND(up_Irr!C12&lt;&gt;".",up_Irr!AB12&lt;&gt;".",up_Irr!BA12="."),up_dir!D12/((1/1000)*(up_Irr!C12+up_Irr!AB12)),IF(AND(up_Irr!C12&lt;&gt;".",up_Irr!AB12=".",up_Irr!BA12&lt;&gt;"."),up_dir!D12/((1/1000)*(up_Irr!C12+up_Irr!BA12)),IF(AND(up_Irr!C12=".",up_Irr!AB12&lt;&gt;".",up_Irr!BA12&lt;&gt;"."),up_dir!D12/((1/1000)*(up_Irr!AB12+up_Irr!BA12)),IF(AND(up_Irr!C12=".",up_Irr!AB12=".",up_Irr!BA12&lt;&gt;"."),up_dir!D12/((1/1000)*(up_Irr!BA12)),IF(AND(up_Irr!C12=".",up_Irr!AB12&lt;&gt;".",up_Irr!BA12="."),up_dir!D12/((1/1000)*(up_Irr!AB12)),IF(AND(up_Irr!C12&lt;&gt;".",up_Irr!AB12=".",up_Irr!BA12="."),up_dir!D12/((1/1000)*(up_Irr!C12)),IF(AND(up_Irr!C12=".",up_Irr!AB12=".",up_Irr!BA12="."),up_dir!D12*1000)))))))),".")</f>
        <v>6.5773651144152123E-11</v>
      </c>
      <c r="E12" s="76">
        <f>IFERROR(IF(AND(up_Irr!D12&lt;&gt;".",up_Irr!AC12&lt;&gt;".",up_Irr!BB12&lt;&gt;"."),up_dir!E12/((1/1000)*(up_Irr!D12+up_Irr!AC12+up_Irr!BB12)),IF(AND(up_Irr!D12&lt;&gt;".",up_Irr!AC12&lt;&gt;".",up_Irr!BB12="."),up_dir!E12/((1/1000)*(up_Irr!D12+up_Irr!AC12)),IF(AND(up_Irr!D12&lt;&gt;".",up_Irr!AC12=".",up_Irr!BB12&lt;&gt;"."),up_dir!E12/((1/1000)*(up_Irr!D12+up_Irr!BB12)),IF(AND(up_Irr!D12=".",up_Irr!AC12&lt;&gt;".",up_Irr!BB12&lt;&gt;"."),up_dir!E12/((1/1000)*(up_Irr!AC12+up_Irr!BB12)),IF(AND(up_Irr!D12=".",up_Irr!AC12=".",up_Irr!BB12&lt;&gt;"."),up_dir!E12/((1/1000)*(up_Irr!BB12)),IF(AND(up_Irr!D12=".",up_Irr!AC12&lt;&gt;".",up_Irr!BB12="."),up_dir!E12/((1/1000)*(up_Irr!AC12)),IF(AND(up_Irr!D12&lt;&gt;".",up_Irr!AC12=".",up_Irr!BB12="."),up_dir!E12/((1/1000)*(up_Irr!D12)),IF(AND(up_Irr!D12=".",up_Irr!AC12=".",up_Irr!BB12="."),up_dir!E12*1000)))))))),".")</f>
        <v>6.5773651144152123E-11</v>
      </c>
      <c r="F12" s="76">
        <f>IFERROR(IF(AND(up_Irr!E12&lt;&gt;".",up_Irr!AD12&lt;&gt;".",up_Irr!BC12&lt;&gt;"."),up_dir!F12/((1/1000)*(up_Irr!E12+up_Irr!AD12+up_Irr!BC12)),IF(AND(up_Irr!E12&lt;&gt;".",up_Irr!AD12&lt;&gt;".",up_Irr!BC12="."),up_dir!F12/((1/1000)*(up_Irr!E12+up_Irr!AD12)),IF(AND(up_Irr!E12&lt;&gt;".",up_Irr!AD12=".",up_Irr!BC12&lt;&gt;"."),up_dir!F12/((1/1000)*(up_Irr!E12+up_Irr!BC12)),IF(AND(up_Irr!E12=".",up_Irr!AD12&lt;&gt;".",up_Irr!BC12&lt;&gt;"."),up_dir!F12/((1/1000)*(up_Irr!AD12+up_Irr!BC12)),IF(AND(up_Irr!E12=".",up_Irr!AD12=".",up_Irr!BC12&lt;&gt;"."),up_dir!F12/((1/1000)*(up_Irr!BC12)),IF(AND(up_Irr!E12=".",up_Irr!AD12&lt;&gt;".",up_Irr!BC12="."),up_dir!F12/((1/1000)*(up_Irr!AD12)),IF(AND(up_Irr!E12&lt;&gt;".",up_Irr!AD12=".",up_Irr!BC12="."),up_dir!F12/((1/1000)*(up_Irr!E12)),IF(AND(up_Irr!E12=".",up_Irr!AD12=".",up_Irr!BC12="."),up_dir!F12*1000)))))))),".")</f>
        <v>6.5773651144152123E-11</v>
      </c>
      <c r="G12" s="76">
        <f>IFERROR(IF(AND(up_Irr!F12&lt;&gt;".",up_Irr!AE12&lt;&gt;".",up_Irr!BD12&lt;&gt;"."),up_dir!G12/((1/1000)*(up_Irr!F12+up_Irr!AE12+up_Irr!BD12)),IF(AND(up_Irr!F12&lt;&gt;".",up_Irr!AE12&lt;&gt;".",up_Irr!BD12="."),up_dir!G12/((1/1000)*(up_Irr!F12+up_Irr!AE12)),IF(AND(up_Irr!F12&lt;&gt;".",up_Irr!AE12=".",up_Irr!BD12&lt;&gt;"."),up_dir!G12/((1/1000)*(up_Irr!F12+up_Irr!BD12)),IF(AND(up_Irr!F12=".",up_Irr!AE12&lt;&gt;".",up_Irr!BD12&lt;&gt;"."),up_dir!G12/((1/1000)*(up_Irr!AE12+up_Irr!BD12)),IF(AND(up_Irr!F12=".",up_Irr!AE12=".",up_Irr!BD12&lt;&gt;"."),up_dir!G12/((1/1000)*(up_Irr!BD12)),IF(AND(up_Irr!F12=".",up_Irr!AE12&lt;&gt;".",up_Irr!BD12="."),up_dir!G12/((1/1000)*(up_Irr!AE12)),IF(AND(up_Irr!F12&lt;&gt;".",up_Irr!AE12=".",up_Irr!BD12="."),up_dir!G12/((1/1000)*(up_Irr!F12)),IF(AND(up_Irr!F12=".",up_Irr!AE12=".",up_Irr!BD12="."),up_dir!G12*1000)))))))),".")</f>
        <v>6.5773651144152123E-11</v>
      </c>
      <c r="H12" s="76">
        <f>IFERROR(IF(AND(up_Irr!G12&lt;&gt;".",up_Irr!AF12&lt;&gt;".",up_Irr!BE12&lt;&gt;"."),up_dir!H12/((1/1000)*(up_Irr!G12+up_Irr!AF12+up_Irr!BE12)),IF(AND(up_Irr!G12&lt;&gt;".",up_Irr!AF12&lt;&gt;".",up_Irr!BE12="."),up_dir!H12/((1/1000)*(up_Irr!G12+up_Irr!AF12)),IF(AND(up_Irr!G12&lt;&gt;".",up_Irr!AF12=".",up_Irr!BE12&lt;&gt;"."),up_dir!H12/((1/1000)*(up_Irr!G12+up_Irr!BE12)),IF(AND(up_Irr!G12=".",up_Irr!AF12&lt;&gt;".",up_Irr!BE12&lt;&gt;"."),up_dir!H12/((1/1000)*(up_Irr!AF12+up_Irr!BE12)),IF(AND(up_Irr!G12=".",up_Irr!AF12=".",up_Irr!BE12&lt;&gt;"."),up_dir!H12/((1/1000)*(up_Irr!BE12)),IF(AND(up_Irr!G12=".",up_Irr!AF12&lt;&gt;".",up_Irr!BE12="."),up_dir!H12/((1/1000)*(up_Irr!AF12)),IF(AND(up_Irr!G12&lt;&gt;".",up_Irr!AF12=".",up_Irr!BE12="."),up_dir!H12/((1/1000)*(up_Irr!G12)),IF(AND(up_Irr!G12=".",up_Irr!AF12=".",up_Irr!BE12="."),up_dir!H12*1000)))))))),".")</f>
        <v>6.5773651144152123E-11</v>
      </c>
      <c r="I12" s="76">
        <f>IFERROR(IF(AND(up_Irr!H12&lt;&gt;".",up_Irr!AG12&lt;&gt;".",up_Irr!BF12&lt;&gt;"."),up_dir!I12/((1/1000)*(up_Irr!H12+up_Irr!AG12+up_Irr!BF12)),IF(AND(up_Irr!H12&lt;&gt;".",up_Irr!AG12&lt;&gt;".",up_Irr!BF12="."),up_dir!I12/((1/1000)*(up_Irr!H12+up_Irr!AG12)),IF(AND(up_Irr!H12&lt;&gt;".",up_Irr!AG12=".",up_Irr!BF12&lt;&gt;"."),up_dir!I12/((1/1000)*(up_Irr!H12+up_Irr!BF12)),IF(AND(up_Irr!H12=".",up_Irr!AG12&lt;&gt;".",up_Irr!BF12&lt;&gt;"."),up_dir!I12/((1/1000)*(up_Irr!AG12+up_Irr!BF12)),IF(AND(up_Irr!H12=".",up_Irr!AG12=".",up_Irr!BF12&lt;&gt;"."),up_dir!I12/((1/1000)*(up_Irr!BF12)),IF(AND(up_Irr!H12=".",up_Irr!AG12&lt;&gt;".",up_Irr!BF12="."),up_dir!I12/((1/1000)*(up_Irr!AG12)),IF(AND(up_Irr!H12&lt;&gt;".",up_Irr!AG12=".",up_Irr!BF12="."),up_dir!I12/((1/1000)*(up_Irr!H12)),IF(AND(up_Irr!H12=".",up_Irr!AG12=".",up_Irr!BF12="."),up_dir!I12*1000)))))))),".")</f>
        <v>6.5773651144152123E-11</v>
      </c>
      <c r="J12" s="76">
        <f>IFERROR(IF(AND(up_Irr!I12&lt;&gt;".",up_Irr!AH12&lt;&gt;".",up_Irr!BG12&lt;&gt;"."),up_dir!J12/((1/1000)*(up_Irr!I12+up_Irr!AH12+up_Irr!BG12)),IF(AND(up_Irr!I12&lt;&gt;".",up_Irr!AH12&lt;&gt;".",up_Irr!BG12="."),up_dir!J12/((1/1000)*(up_Irr!I12+up_Irr!AH12)),IF(AND(up_Irr!I12&lt;&gt;".",up_Irr!AH12=".",up_Irr!BG12&lt;&gt;"."),up_dir!J12/((1/1000)*(up_Irr!I12+up_Irr!BG12)),IF(AND(up_Irr!I12=".",up_Irr!AH12&lt;&gt;".",up_Irr!BG12&lt;&gt;"."),up_dir!J12/((1/1000)*(up_Irr!AH12+up_Irr!BG12)),IF(AND(up_Irr!I12=".",up_Irr!AH12=".",up_Irr!BG12&lt;&gt;"."),up_dir!J12/((1/1000)*(up_Irr!BG12)),IF(AND(up_Irr!I12=".",up_Irr!AH12&lt;&gt;".",up_Irr!BG12="."),up_dir!J12/((1/1000)*(up_Irr!AH12)),IF(AND(up_Irr!I12&lt;&gt;".",up_Irr!AH12=".",up_Irr!BG12="."),up_dir!J12/((1/1000)*(up_Irr!I12)),IF(AND(up_Irr!I12=".",up_Irr!AH12=".",up_Irr!BG12="."),up_dir!J12*1000)))))))),".")</f>
        <v>6.5773651144152123E-11</v>
      </c>
      <c r="K12" s="76">
        <f>IFERROR(IF(AND(up_Irr!J12&lt;&gt;".",up_Irr!AI12&lt;&gt;".",up_Irr!BH12&lt;&gt;"."),up_dir!K12/((1/1000)*(up_Irr!J12+up_Irr!AI12+up_Irr!BH12)),IF(AND(up_Irr!J12&lt;&gt;".",up_Irr!AI12&lt;&gt;".",up_Irr!BH12="."),up_dir!K12/((1/1000)*(up_Irr!J12+up_Irr!AI12)),IF(AND(up_Irr!J12&lt;&gt;".",up_Irr!AI12=".",up_Irr!BH12&lt;&gt;"."),up_dir!K12/((1/1000)*(up_Irr!J12+up_Irr!BH12)),IF(AND(up_Irr!J12=".",up_Irr!AI12&lt;&gt;".",up_Irr!BH12&lt;&gt;"."),up_dir!K12/((1/1000)*(up_Irr!AI12+up_Irr!BH12)),IF(AND(up_Irr!J12=".",up_Irr!AI12=".",up_Irr!BH12&lt;&gt;"."),up_dir!K12/((1/1000)*(up_Irr!BH12)),IF(AND(up_Irr!J12=".",up_Irr!AI12&lt;&gt;".",up_Irr!BH12="."),up_dir!K12/((1/1000)*(up_Irr!AI12)),IF(AND(up_Irr!J12&lt;&gt;".",up_Irr!AI12=".",up_Irr!BH12="."),up_dir!K12/((1/1000)*(up_Irr!J12)),IF(AND(up_Irr!J12=".",up_Irr!AI12=".",up_Irr!BH12="."),up_dir!K12*1000)))))))),".")</f>
        <v>6.5773651144152123E-11</v>
      </c>
      <c r="L12" s="76">
        <f>IFERROR(IF(AND(up_Irr!K12&lt;&gt;".",up_Irr!AJ12&lt;&gt;".",up_Irr!BI12&lt;&gt;"."),up_dir!L12/((1/1000)*(up_Irr!K12+up_Irr!AJ12+up_Irr!BI12)),IF(AND(up_Irr!K12&lt;&gt;".",up_Irr!AJ12&lt;&gt;".",up_Irr!BI12="."),up_dir!L12/((1/1000)*(up_Irr!K12+up_Irr!AJ12)),IF(AND(up_Irr!K12&lt;&gt;".",up_Irr!AJ12=".",up_Irr!BI12&lt;&gt;"."),up_dir!L12/((1/1000)*(up_Irr!K12+up_Irr!BI12)),IF(AND(up_Irr!K12=".",up_Irr!AJ12&lt;&gt;".",up_Irr!BI12&lt;&gt;"."),up_dir!L12/((1/1000)*(up_Irr!AJ12+up_Irr!BI12)),IF(AND(up_Irr!K12=".",up_Irr!AJ12=".",up_Irr!BI12&lt;&gt;"."),up_dir!L12/((1/1000)*(up_Irr!BI12)),IF(AND(up_Irr!K12=".",up_Irr!AJ12&lt;&gt;".",up_Irr!BI12="."),up_dir!L12/((1/1000)*(up_Irr!AJ12)),IF(AND(up_Irr!K12&lt;&gt;".",up_Irr!AJ12=".",up_Irr!BI12="."),up_dir!L12/((1/1000)*(up_Irr!K12)),IF(AND(up_Irr!K12=".",up_Irr!AJ12=".",up_Irr!BI12="."),up_dir!L12*1000)))))))),".")</f>
        <v>6.5773651144152123E-11</v>
      </c>
      <c r="M12" s="76">
        <f>IFERROR(IF(AND(up_Irr!L12&lt;&gt;".",up_Irr!AK12&lt;&gt;".",up_Irr!BJ12&lt;&gt;"."),up_dir!M12/((1/1000)*(up_Irr!L12+up_Irr!AK12+up_Irr!BJ12)),IF(AND(up_Irr!L12&lt;&gt;".",up_Irr!AK12&lt;&gt;".",up_Irr!BJ12="."),up_dir!M12/((1/1000)*(up_Irr!L12+up_Irr!AK12)),IF(AND(up_Irr!L12&lt;&gt;".",up_Irr!AK12=".",up_Irr!BJ12&lt;&gt;"."),up_dir!M12/((1/1000)*(up_Irr!L12+up_Irr!BJ12)),IF(AND(up_Irr!L12=".",up_Irr!AK12&lt;&gt;".",up_Irr!BJ12&lt;&gt;"."),up_dir!M12/((1/1000)*(up_Irr!AK12+up_Irr!BJ12)),IF(AND(up_Irr!L12=".",up_Irr!AK12=".",up_Irr!BJ12&lt;&gt;"."),up_dir!M12/((1/1000)*(up_Irr!BJ12)),IF(AND(up_Irr!L12=".",up_Irr!AK12&lt;&gt;".",up_Irr!BJ12="."),up_dir!M12/((1/1000)*(up_Irr!AK12)),IF(AND(up_Irr!L12&lt;&gt;".",up_Irr!AK12=".",up_Irr!BJ12="."),up_dir!M12/((1/1000)*(up_Irr!L12)),IF(AND(up_Irr!L12=".",up_Irr!AK12=".",up_Irr!BJ12="."),up_dir!M12*1000)))))))),".")</f>
        <v>6.5773651144152123E-11</v>
      </c>
      <c r="N12" s="76">
        <f>IFERROR(IF(AND(up_Irr!M12&lt;&gt;".",up_Irr!AL12&lt;&gt;".",up_Irr!BK12&lt;&gt;"."),up_dir!N12/((1/1000)*(up_Irr!M12+up_Irr!AL12+up_Irr!BK12)),IF(AND(up_Irr!M12&lt;&gt;".",up_Irr!AL12&lt;&gt;".",up_Irr!BK12="."),up_dir!N12/((1/1000)*(up_Irr!M12+up_Irr!AL12)),IF(AND(up_Irr!M12&lt;&gt;".",up_Irr!AL12=".",up_Irr!BK12&lt;&gt;"."),up_dir!N12/((1/1000)*(up_Irr!M12+up_Irr!BK12)),IF(AND(up_Irr!M12=".",up_Irr!AL12&lt;&gt;".",up_Irr!BK12&lt;&gt;"."),up_dir!N12/((1/1000)*(up_Irr!AL12+up_Irr!BK12)),IF(AND(up_Irr!M12=".",up_Irr!AL12=".",up_Irr!BK12&lt;&gt;"."),up_dir!N12/((1/1000)*(up_Irr!BK12)),IF(AND(up_Irr!M12=".",up_Irr!AL12&lt;&gt;".",up_Irr!BK12="."),up_dir!N12/((1/1000)*(up_Irr!AL12)),IF(AND(up_Irr!M12&lt;&gt;".",up_Irr!AL12=".",up_Irr!BK12="."),up_dir!N12/((1/1000)*(up_Irr!M12)),IF(AND(up_Irr!M12=".",up_Irr!AL12=".",up_Irr!BK12="."),up_dir!N12*1000)))))))),".")</f>
        <v>6.5773651144152123E-11</v>
      </c>
      <c r="O12" s="76">
        <f>IFERROR(IF(AND(up_Irr!N12&lt;&gt;".",up_Irr!AM12&lt;&gt;".",up_Irr!BL12&lt;&gt;"."),up_dir!O12/((1/1000)*(up_Irr!N12+up_Irr!AM12+up_Irr!BL12)),IF(AND(up_Irr!N12&lt;&gt;".",up_Irr!AM12&lt;&gt;".",up_Irr!BL12="."),up_dir!O12/((1/1000)*(up_Irr!N12+up_Irr!AM12)),IF(AND(up_Irr!N12&lt;&gt;".",up_Irr!AM12=".",up_Irr!BL12&lt;&gt;"."),up_dir!O12/((1/1000)*(up_Irr!N12+up_Irr!BL12)),IF(AND(up_Irr!N12=".",up_Irr!AM12&lt;&gt;".",up_Irr!BL12&lt;&gt;"."),up_dir!O12/((1/1000)*(up_Irr!AM12+up_Irr!BL12)),IF(AND(up_Irr!N12=".",up_Irr!AM12=".",up_Irr!BL12&lt;&gt;"."),up_dir!O12/((1/1000)*(up_Irr!BL12)),IF(AND(up_Irr!N12=".",up_Irr!AM12&lt;&gt;".",up_Irr!BL12="."),up_dir!O12/((1/1000)*(up_Irr!AM12)),IF(AND(up_Irr!N12&lt;&gt;".",up_Irr!AM12=".",up_Irr!BL12="."),up_dir!O12/((1/1000)*(up_Irr!N12)),IF(AND(up_Irr!N12=".",up_Irr!AM12=".",up_Irr!BL12="."),up_dir!O12*1000)))))))),".")</f>
        <v>6.5773651144152123E-11</v>
      </c>
      <c r="P12" s="76">
        <f>IFERROR(IF(AND(up_Irr!O12&lt;&gt;".",up_Irr!AN12&lt;&gt;".",up_Irr!BM12&lt;&gt;"."),up_dir!P12/((1/1000)*(up_Irr!O12+up_Irr!AN12+up_Irr!BM12)),IF(AND(up_Irr!O12&lt;&gt;".",up_Irr!AN12&lt;&gt;".",up_Irr!BM12="."),up_dir!P12/((1/1000)*(up_Irr!O12+up_Irr!AN12)),IF(AND(up_Irr!O12&lt;&gt;".",up_Irr!AN12=".",up_Irr!BM12&lt;&gt;"."),up_dir!P12/((1/1000)*(up_Irr!O12+up_Irr!BM12)),IF(AND(up_Irr!O12=".",up_Irr!AN12&lt;&gt;".",up_Irr!BM12&lt;&gt;"."),up_dir!P12/((1/1000)*(up_Irr!AN12+up_Irr!BM12)),IF(AND(up_Irr!O12=".",up_Irr!AN12=".",up_Irr!BM12&lt;&gt;"."),up_dir!P12/((1/1000)*(up_Irr!BM12)),IF(AND(up_Irr!O12=".",up_Irr!AN12&lt;&gt;".",up_Irr!BM12="."),up_dir!P12/((1/1000)*(up_Irr!AN12)),IF(AND(up_Irr!O12&lt;&gt;".",up_Irr!AN12=".",up_Irr!BM12="."),up_dir!P12/((1/1000)*(up_Irr!O12)),IF(AND(up_Irr!O12=".",up_Irr!AN12=".",up_Irr!BM12="."),up_dir!P12*1000)))))))),".")</f>
        <v>6.5773651144152123E-11</v>
      </c>
      <c r="Q12" s="76">
        <f>IFERROR(IF(AND(up_Irr!P12&lt;&gt;".",up_Irr!AO12&lt;&gt;".",up_Irr!BN12&lt;&gt;"."),up_dir!Q12/((1/1000)*(up_Irr!P12+up_Irr!AO12+up_Irr!BN12)),IF(AND(up_Irr!P12&lt;&gt;".",up_Irr!AO12&lt;&gt;".",up_Irr!BN12="."),up_dir!Q12/((1/1000)*(up_Irr!P12+up_Irr!AO12)),IF(AND(up_Irr!P12&lt;&gt;".",up_Irr!AO12=".",up_Irr!BN12&lt;&gt;"."),up_dir!Q12/((1/1000)*(up_Irr!P12+up_Irr!BN12)),IF(AND(up_Irr!P12=".",up_Irr!AO12&lt;&gt;".",up_Irr!BN12&lt;&gt;"."),up_dir!Q12/((1/1000)*(up_Irr!AO12+up_Irr!BN12)),IF(AND(up_Irr!P12=".",up_Irr!AO12=".",up_Irr!BN12&lt;&gt;"."),up_dir!Q12/((1/1000)*(up_Irr!BN12)),IF(AND(up_Irr!P12=".",up_Irr!AO12&lt;&gt;".",up_Irr!BN12="."),up_dir!Q12/((1/1000)*(up_Irr!AO12)),IF(AND(up_Irr!P12&lt;&gt;".",up_Irr!AO12=".",up_Irr!BN12="."),up_dir!Q12/((1/1000)*(up_Irr!P12)),IF(AND(up_Irr!P12=".",up_Irr!AO12=".",up_Irr!BN12="."),up_dir!Q12*1000)))))))),".")</f>
        <v>6.5773651144152123E-11</v>
      </c>
      <c r="R12" s="76">
        <f>IFERROR(IF(AND(up_Irr!Q12&lt;&gt;".",up_Irr!AP12&lt;&gt;".",up_Irr!BO12&lt;&gt;"."),up_dir!R12/((1/1000)*(up_Irr!Q12+up_Irr!AP12+up_Irr!BO12)),IF(AND(up_Irr!Q12&lt;&gt;".",up_Irr!AP12&lt;&gt;".",up_Irr!BO12="."),up_dir!R12/((1/1000)*(up_Irr!Q12+up_Irr!AP12)),IF(AND(up_Irr!Q12&lt;&gt;".",up_Irr!AP12=".",up_Irr!BO12&lt;&gt;"."),up_dir!R12/((1/1000)*(up_Irr!Q12+up_Irr!BO12)),IF(AND(up_Irr!Q12=".",up_Irr!AP12&lt;&gt;".",up_Irr!BO12&lt;&gt;"."),up_dir!R12/((1/1000)*(up_Irr!AP12+up_Irr!BO12)),IF(AND(up_Irr!Q12=".",up_Irr!AP12=".",up_Irr!BO12&lt;&gt;"."),up_dir!R12/((1/1000)*(up_Irr!BO12)),IF(AND(up_Irr!Q12=".",up_Irr!AP12&lt;&gt;".",up_Irr!BO12="."),up_dir!R12/((1/1000)*(up_Irr!AP12)),IF(AND(up_Irr!Q12&lt;&gt;".",up_Irr!AP12=".",up_Irr!BO12="."),up_dir!R12/((1/1000)*(up_Irr!Q12)),IF(AND(up_Irr!Q12=".",up_Irr!AP12=".",up_Irr!BO12="."),up_dir!R12*1000)))))))),".")</f>
        <v>6.5773651144152123E-11</v>
      </c>
      <c r="S12" s="76">
        <f>IFERROR(IF(AND(up_Irr!R12&lt;&gt;".",up_Irr!AQ12&lt;&gt;".",up_Irr!BP12&lt;&gt;"."),up_dir!S12/((1/1000)*(up_Irr!R12+up_Irr!AQ12+up_Irr!BP12)),IF(AND(up_Irr!R12&lt;&gt;".",up_Irr!AQ12&lt;&gt;".",up_Irr!BP12="."),up_dir!S12/((1/1000)*(up_Irr!R12+up_Irr!AQ12)),IF(AND(up_Irr!R12&lt;&gt;".",up_Irr!AQ12=".",up_Irr!BP12&lt;&gt;"."),up_dir!S12/((1/1000)*(up_Irr!R12+up_Irr!BP12)),IF(AND(up_Irr!R12=".",up_Irr!AQ12&lt;&gt;".",up_Irr!BP12&lt;&gt;"."),up_dir!S12/((1/1000)*(up_Irr!AQ12+up_Irr!BP12)),IF(AND(up_Irr!R12=".",up_Irr!AQ12=".",up_Irr!BP12&lt;&gt;"."),up_dir!S12/((1/1000)*(up_Irr!BP12)),IF(AND(up_Irr!R12=".",up_Irr!AQ12&lt;&gt;".",up_Irr!BP12="."),up_dir!S12/((1/1000)*(up_Irr!AQ12)),IF(AND(up_Irr!R12&lt;&gt;".",up_Irr!AQ12=".",up_Irr!BP12="."),up_dir!S12/((1/1000)*(up_Irr!R12)),IF(AND(up_Irr!R12=".",up_Irr!AQ12=".",up_Irr!BP12="."),up_dir!S12*1000)))))))),".")</f>
        <v>6.5773651144152123E-11</v>
      </c>
      <c r="T12" s="76">
        <f>IFERROR(IF(AND(up_Irr!S12&lt;&gt;".",up_Irr!AR12&lt;&gt;".",up_Irr!BQ12&lt;&gt;"."),up_dir!T12/((1/1000)*(up_Irr!S12+up_Irr!AR12+up_Irr!BQ12)),IF(AND(up_Irr!S12&lt;&gt;".",up_Irr!AR12&lt;&gt;".",up_Irr!BQ12="."),up_dir!T12/((1/1000)*(up_Irr!S12+up_Irr!AR12)),IF(AND(up_Irr!S12&lt;&gt;".",up_Irr!AR12=".",up_Irr!BQ12&lt;&gt;"."),up_dir!T12/((1/1000)*(up_Irr!S12+up_Irr!BQ12)),IF(AND(up_Irr!S12=".",up_Irr!AR12&lt;&gt;".",up_Irr!BQ12&lt;&gt;"."),up_dir!T12/((1/1000)*(up_Irr!AR12+up_Irr!BQ12)),IF(AND(up_Irr!S12=".",up_Irr!AR12=".",up_Irr!BQ12&lt;&gt;"."),up_dir!T12/((1/1000)*(up_Irr!BQ12)),IF(AND(up_Irr!S12=".",up_Irr!AR12&lt;&gt;".",up_Irr!BQ12="."),up_dir!T12/((1/1000)*(up_Irr!AR12)),IF(AND(up_Irr!S12&lt;&gt;".",up_Irr!AR12=".",up_Irr!BQ12="."),up_dir!T12/((1/1000)*(up_Irr!S12)),IF(AND(up_Irr!S12=".",up_Irr!AR12=".",up_Irr!BQ12="."),up_dir!T12*1000)))))))),".")</f>
        <v>6.5773651144152123E-11</v>
      </c>
      <c r="U12" s="76">
        <f>IFERROR(IF(AND(up_Irr!T12&lt;&gt;".",up_Irr!AS12&lt;&gt;".",up_Irr!BR12&lt;&gt;"."),up_dir!U12/((1/1000)*(up_Irr!T12+up_Irr!AS12+up_Irr!BR12)),IF(AND(up_Irr!T12&lt;&gt;".",up_Irr!AS12&lt;&gt;".",up_Irr!BR12="."),up_dir!U12/((1/1000)*(up_Irr!T12+up_Irr!AS12)),IF(AND(up_Irr!T12&lt;&gt;".",up_Irr!AS12=".",up_Irr!BR12&lt;&gt;"."),up_dir!U12/((1/1000)*(up_Irr!T12+up_Irr!BR12)),IF(AND(up_Irr!T12=".",up_Irr!AS12&lt;&gt;".",up_Irr!BR12&lt;&gt;"."),up_dir!U12/((1/1000)*(up_Irr!AS12+up_Irr!BR12)),IF(AND(up_Irr!T12=".",up_Irr!AS12=".",up_Irr!BR12&lt;&gt;"."),up_dir!U12/((1/1000)*(up_Irr!BR12)),IF(AND(up_Irr!T12=".",up_Irr!AS12&lt;&gt;".",up_Irr!BR12="."),up_dir!U12/((1/1000)*(up_Irr!AS12)),IF(AND(up_Irr!T12&lt;&gt;".",up_Irr!AS12=".",up_Irr!BR12="."),up_dir!U12/((1/1000)*(up_Irr!T12)),IF(AND(up_Irr!T12=".",up_Irr!AS12=".",up_Irr!BR12="."),up_dir!U12*1000)))))))),".")</f>
        <v>6.5773651144152123E-11</v>
      </c>
      <c r="V12" s="76">
        <f>IFERROR(IF(AND(up_Irr!U12&lt;&gt;".",up_Irr!AT12&lt;&gt;".",up_Irr!BS12&lt;&gt;"."),up_dir!V12/((1/1000)*(up_Irr!U12+up_Irr!AT12+up_Irr!BS12)),IF(AND(up_Irr!U12&lt;&gt;".",up_Irr!AT12&lt;&gt;".",up_Irr!BS12="."),up_dir!V12/((1/1000)*(up_Irr!U12+up_Irr!AT12)),IF(AND(up_Irr!U12&lt;&gt;".",up_Irr!AT12=".",up_Irr!BS12&lt;&gt;"."),up_dir!V12/((1/1000)*(up_Irr!U12+up_Irr!BS12)),IF(AND(up_Irr!U12=".",up_Irr!AT12&lt;&gt;".",up_Irr!BS12&lt;&gt;"."),up_dir!V12/((1/1000)*(up_Irr!AT12+up_Irr!BS12)),IF(AND(up_Irr!U12=".",up_Irr!AT12=".",up_Irr!BS12&lt;&gt;"."),up_dir!V12/((1/1000)*(up_Irr!BS12)),IF(AND(up_Irr!U12=".",up_Irr!AT12&lt;&gt;".",up_Irr!BS12="."),up_dir!V12/((1/1000)*(up_Irr!AT12)),IF(AND(up_Irr!U12&lt;&gt;".",up_Irr!AT12=".",up_Irr!BS12="."),up_dir!V12/((1/1000)*(up_Irr!U12)),IF(AND(up_Irr!U12=".",up_Irr!AT12=".",up_Irr!BS12="."),up_dir!V12*1000)))))))),".")</f>
        <v>6.5773651144152123E-11</v>
      </c>
      <c r="W12" s="76">
        <f>IFERROR(IF(AND(up_Irr!V12&lt;&gt;".",up_Irr!AU12&lt;&gt;".",up_Irr!BT12&lt;&gt;"."),up_dir!W12/((1/1000)*(up_Irr!V12+up_Irr!AU12+up_Irr!BT12)),IF(AND(up_Irr!V12&lt;&gt;".",up_Irr!AU12&lt;&gt;".",up_Irr!BT12="."),up_dir!W12/((1/1000)*(up_Irr!V12+up_Irr!AU12)),IF(AND(up_Irr!V12&lt;&gt;".",up_Irr!AU12=".",up_Irr!BT12&lt;&gt;"."),up_dir!W12/((1/1000)*(up_Irr!V12+up_Irr!BT12)),IF(AND(up_Irr!V12=".",up_Irr!AU12&lt;&gt;".",up_Irr!BT12&lt;&gt;"."),up_dir!W12/((1/1000)*(up_Irr!AU12+up_Irr!BT12)),IF(AND(up_Irr!V12=".",up_Irr!AU12=".",up_Irr!BT12&lt;&gt;"."),up_dir!W12/((1/1000)*(up_Irr!BT12)),IF(AND(up_Irr!V12=".",up_Irr!AU12&lt;&gt;".",up_Irr!BT12="."),up_dir!W12/((1/1000)*(up_Irr!AU12)),IF(AND(up_Irr!V12&lt;&gt;".",up_Irr!AU12=".",up_Irr!BT12="."),up_dir!W12/((1/1000)*(up_Irr!V12)),IF(AND(up_Irr!V12=".",up_Irr!AU12=".",up_Irr!BT12="."),up_dir!W12*1000)))))))),".")</f>
        <v>6.5773651144152123E-11</v>
      </c>
      <c r="X12" s="76">
        <f>IFERROR(IF(AND(up_Irr!W12&lt;&gt;".",up_Irr!AV12&lt;&gt;".",up_Irr!BU12&lt;&gt;"."),up_dir!X12/((1/1000)*(up_Irr!W12+up_Irr!AV12+up_Irr!BU12)),IF(AND(up_Irr!W12&lt;&gt;".",up_Irr!AV12&lt;&gt;".",up_Irr!BU12="."),up_dir!X12/((1/1000)*(up_Irr!W12+up_Irr!AV12)),IF(AND(up_Irr!W12&lt;&gt;".",up_Irr!AV12=".",up_Irr!BU12&lt;&gt;"."),up_dir!X12/((1/1000)*(up_Irr!W12+up_Irr!BU12)),IF(AND(up_Irr!W12=".",up_Irr!AV12&lt;&gt;".",up_Irr!BU12&lt;&gt;"."),up_dir!X12/((1/1000)*(up_Irr!AV12+up_Irr!BU12)),IF(AND(up_Irr!W12=".",up_Irr!AV12=".",up_Irr!BU12&lt;&gt;"."),up_dir!X12/((1/1000)*(up_Irr!BU12)),IF(AND(up_Irr!W12=".",up_Irr!AV12&lt;&gt;".",up_Irr!BU12="."),up_dir!X12/((1/1000)*(up_Irr!AV12)),IF(AND(up_Irr!W12&lt;&gt;".",up_Irr!AV12=".",up_Irr!BU12="."),up_dir!X12/((1/1000)*(up_Irr!W12)),IF(AND(up_Irr!W12=".",up_Irr!AV12=".",up_Irr!BU12="."),up_dir!X12*1000)))))))),".")</f>
        <v>6.5773651144152123E-11</v>
      </c>
      <c r="Y12" s="76">
        <f>IFERROR(IF(AND(up_Irr!X12&lt;&gt;".",up_Irr!AW12&lt;&gt;".",up_Irr!BV12&lt;&gt;"."),up_dir!Y12/((1/1000)*(up_Irr!X12+up_Irr!AW12+up_Irr!BV12)),IF(AND(up_Irr!X12&lt;&gt;".",up_Irr!AW12&lt;&gt;".",up_Irr!BV12="."),up_dir!Y12/((1/1000)*(up_Irr!X12+up_Irr!AW12)),IF(AND(up_Irr!X12&lt;&gt;".",up_Irr!AW12=".",up_Irr!BV12&lt;&gt;"."),up_dir!Y12/((1/1000)*(up_Irr!X12+up_Irr!BV12)),IF(AND(up_Irr!X12=".",up_Irr!AW12&lt;&gt;".",up_Irr!BV12&lt;&gt;"."),up_dir!Y12/((1/1000)*(up_Irr!AW12+up_Irr!BV12)),IF(AND(up_Irr!X12=".",up_Irr!AW12=".",up_Irr!BV12&lt;&gt;"."),up_dir!Y12/((1/1000)*(up_Irr!BV12)),IF(AND(up_Irr!X12=".",up_Irr!AW12&lt;&gt;".",up_Irr!BV12="."),up_dir!Y12/((1/1000)*(up_Irr!AW12)),IF(AND(up_Irr!X12&lt;&gt;".",up_Irr!AW12=".",up_Irr!BV12="."),up_dir!Y12/((1/1000)*(up_Irr!X12)),IF(AND(up_Irr!X12=".",up_Irr!AW12=".",up_Irr!BV12="."),up_dir!Y12*1000)))))))),".")</f>
        <v>6.5773651144152123E-11</v>
      </c>
      <c r="Z12" s="76">
        <f>IFERROR(IF(AND(up_Irr!Y12&lt;&gt;".",up_Irr!AX12&lt;&gt;".",up_Irr!BW12&lt;&gt;"."),up_dir!Z12/((1/1000)*(up_Irr!Y12+up_Irr!AX12+up_Irr!BW12)),IF(AND(up_Irr!Y12&lt;&gt;".",up_Irr!AX12&lt;&gt;".",up_Irr!BW12="."),up_dir!Z12/((1/1000)*(up_Irr!Y12+up_Irr!AX12)),IF(AND(up_Irr!Y12&lt;&gt;".",up_Irr!AX12=".",up_Irr!BW12&lt;&gt;"."),up_dir!Z12/((1/1000)*(up_Irr!Y12+up_Irr!BW12)),IF(AND(up_Irr!Y12=".",up_Irr!AX12&lt;&gt;".",up_Irr!BW12&lt;&gt;"."),up_dir!Z12/((1/1000)*(up_Irr!AX12+up_Irr!BW12)),IF(AND(up_Irr!Y12=".",up_Irr!AX12=".",up_Irr!BW12&lt;&gt;"."),up_dir!Z12/((1/1000)*(up_Irr!BW12)),IF(AND(up_Irr!Y12=".",up_Irr!AX12&lt;&gt;".",up_Irr!BW12="."),up_dir!Z12/((1/1000)*(up_Irr!AX12)),IF(AND(up_Irr!Y12&lt;&gt;".",up_Irr!AX12=".",up_Irr!BW12="."),up_dir!Z12/((1/1000)*(up_Irr!Y12)),IF(AND(up_Irr!Y12=".",up_Irr!AX12=".",up_Irr!BW12="."),up_dir!Z12*1000)))))))),".")</f>
        <v>6.5773651144152123E-11</v>
      </c>
      <c r="AA12" s="76">
        <f>IFERROR(IF(AND(up_Irr!Z12&lt;&gt;".",up_Irr!AY12&lt;&gt;".",up_Irr!BX12&lt;&gt;"."),up_dir!AA12/((1/1000)*(up_Irr!Z12+up_Irr!AY12+up_Irr!BX12)),IF(AND(up_Irr!Z12&lt;&gt;".",up_Irr!AY12&lt;&gt;".",up_Irr!BX12="."),up_dir!AA12/((1/1000)*(up_Irr!Z12+up_Irr!AY12)),IF(AND(up_Irr!Z12&lt;&gt;".",up_Irr!AY12=".",up_Irr!BX12&lt;&gt;"."),up_dir!AA12/((1/1000)*(up_Irr!Z12+up_Irr!BX12)),IF(AND(up_Irr!Z12=".",up_Irr!AY12&lt;&gt;".",up_Irr!BX12&lt;&gt;"."),up_dir!AA12/((1/1000)*(up_Irr!AY12+up_Irr!BX12)),IF(AND(up_Irr!Z12=".",up_Irr!AY12=".",up_Irr!BX12&lt;&gt;"."),up_dir!AA12/((1/1000)*(up_Irr!BX12)),IF(AND(up_Irr!Z12=".",up_Irr!AY12&lt;&gt;".",up_Irr!BX12="."),up_dir!AA12/((1/1000)*(up_Irr!AY12)),IF(AND(up_Irr!Z12&lt;&gt;".",up_Irr!AY12=".",up_Irr!BX12="."),up_dir!AA12/((1/1000)*(up_Irr!Z12)),IF(AND(up_Irr!Z12=".",up_Irr!AY12=".",up_Irr!BX12="."),up_dir!AA12*1000)))))))),".")</f>
        <v>6.5773651144152123E-11</v>
      </c>
      <c r="AB12" s="76">
        <f>IFERROR(IF(AND(up_Irr!AA12&lt;&gt;".",up_Irr!AZ12&lt;&gt;".",up_Irr!BY12&lt;&gt;"."),up_dir!AB12/((1/1000)*(up_Irr!AA12+up_Irr!AZ12+up_Irr!BY12)),IF(AND(up_Irr!AA12&lt;&gt;".",up_Irr!AZ12&lt;&gt;".",up_Irr!BY12="."),up_dir!AB12/((1/1000)*(up_Irr!AA12+up_Irr!AZ12)),IF(AND(up_Irr!AA12&lt;&gt;".",up_Irr!AZ12=".",up_Irr!BY12&lt;&gt;"."),up_dir!AB12/((1/1000)*(up_Irr!AA12+up_Irr!BY12)),IF(AND(up_Irr!AA12=".",up_Irr!AZ12&lt;&gt;".",up_Irr!BY12&lt;&gt;"."),up_dir!AB12/((1/1000)*(up_Irr!AZ12+up_Irr!BY12)),IF(AND(up_Irr!AA12=".",up_Irr!AZ12=".",up_Irr!BY12&lt;&gt;"."),up_dir!AB12/((1/1000)*(up_Irr!BY12)),IF(AND(up_Irr!AA12=".",up_Irr!AZ12&lt;&gt;".",up_Irr!BY12="."),up_dir!AB12/((1/1000)*(up_Irr!AZ12)),IF(AND(up_Irr!AA12&lt;&gt;".",up_Irr!AZ12=".",up_Irr!BY12="."),up_dir!AB12/((1/1000)*(up_Irr!AA12)),IF(AND(up_Irr!AA12=".",up_Irr!AZ12=".",up_Irr!BY12="."),up_dir!AB12*1000)))))))),".")</f>
        <v>6.5773651144152123E-11</v>
      </c>
      <c r="AC12" s="93">
        <f t="shared" si="1"/>
        <v>608146.26076229871</v>
      </c>
      <c r="AD12" s="93">
        <f>IFERROR(s_C*s_IFAP_res_adj*s_CF_apple*0.001*(up_Irr!C12+up_Irr!AB12+up_Irr!BA12),".")</f>
        <v>152036.56519057468</v>
      </c>
      <c r="AE12" s="93">
        <f>IFERROR(s_C*s_IFAS_res_adj*s_CF_asparagus*0.001*(up_Irr!D12+up_Irr!AC12+up_Irr!BB12),".")</f>
        <v>152036.56519057468</v>
      </c>
      <c r="AF12" s="93">
        <f>IFERROR(s_C*s_IFBT_res_adj*s_CF_beet*0.001*(up_Irr!E12+up_Irr!AD12+up_Irr!BC12),".")</f>
        <v>152036.56519057468</v>
      </c>
      <c r="AG12" s="93">
        <f>IFERROR(s_C*s_IFBE_res_adj*s_CF_berries*0.001*(up_Irr!F12+up_Irr!AE12+up_Irr!BD12),".")</f>
        <v>152036.56519057468</v>
      </c>
      <c r="AH12" s="93">
        <f>IFERROR(s_C*s_IFBR_res_adj*s_CF_broccoli*0.001*(up_Irr!G12+up_Irr!AF12+up_Irr!BE12),".")</f>
        <v>152036.56519057468</v>
      </c>
      <c r="AI12" s="93">
        <f>IFERROR(s_C*s_IFCB_res_adj*s_CF_cabbage*0.001*(up_Irr!H12+up_Irr!AG12+up_Irr!BF12),".")</f>
        <v>152036.56519057468</v>
      </c>
      <c r="AJ12" s="93">
        <f>IFERROR(s_C*s_IFCR_res_adj*s_CF_carrot*0.001*(up_Irr!I12+up_Irr!AH12+up_Irr!BG12),".")</f>
        <v>152036.56519057468</v>
      </c>
      <c r="AK12" s="93">
        <f>IFERROR(s_C*s_IFCI_res_adj*s_CF_citrus*0.001*(up_Irr!J12+up_Irr!AI12+up_Irr!BH12),".")</f>
        <v>152036.56519057468</v>
      </c>
      <c r="AL12" s="93">
        <f>IFERROR(s_C*s_IFCO_res_adj*s_CF_corn*0.001*(up_Irr!K12+up_Irr!AJ12+up_Irr!BI12),".")</f>
        <v>152036.56519057468</v>
      </c>
      <c r="AM12" s="93">
        <f>IFERROR(s_C*s_IFCU_res_adj*s_CF_cucumber*0.001*(up_Irr!L12+up_Irr!AK12+up_Irr!BJ12),".")</f>
        <v>152036.56519057468</v>
      </c>
      <c r="AN12" s="93">
        <f>IFERROR(s_C*s_IFLE_res_adj*s_CF_lettuce*0.001*(up_Irr!M12+up_Irr!AL12+up_Irr!BK12),".")</f>
        <v>152036.56519057468</v>
      </c>
      <c r="AO12" s="93">
        <f>IFERROR(s_C*s_IFLI_res_adj*s_CF_lima_bean*0.001*(up_Irr!N12+up_Irr!AM12+up_Irr!BL12),".")</f>
        <v>152036.56519057468</v>
      </c>
      <c r="AP12" s="93">
        <f>IFERROR(s_C*s_IFOK_res_adj*s_CF_okra*0.001*(up_Irr!O12+up_Irr!AN12+up_Irr!BM12),".")</f>
        <v>152036.56519057468</v>
      </c>
      <c r="AQ12" s="93">
        <f>IFERROR(s_C*s_IFON_res_adj*s_CF_onion*0.001*(up_Irr!P12+up_Irr!AO12+up_Irr!BN12),".")</f>
        <v>152036.56519057468</v>
      </c>
      <c r="AR12" s="93">
        <f>IFERROR(s_C*s_IFPC_res_adj*s_CF_peach*0.001*(up_Irr!Q12+up_Irr!AP12+up_Irr!BO12),".")</f>
        <v>152036.56519057468</v>
      </c>
      <c r="AS12" s="93">
        <f>IFERROR(s_C*s_IFPR_res_adj*s_CF_pear*0.001*(up_Irr!R12+up_Irr!AQ12+up_Irr!BP12),".")</f>
        <v>152036.56519057468</v>
      </c>
      <c r="AT12" s="93">
        <f>IFERROR(s_C*s_IFPE_res_adj*s_CF_peas*0.001*(up_Irr!S12+up_Irr!AR12+up_Irr!BQ12),".")</f>
        <v>152036.56519057468</v>
      </c>
      <c r="AU12" s="93">
        <f>IFERROR(s_C*s_IFPP_res_adj*s_CF_peppers*0.001*(up_Irr!T12+up_Irr!AS12+up_Irr!BR12),".")</f>
        <v>152036.56519057468</v>
      </c>
      <c r="AV12" s="93">
        <f>IFERROR(s_C*s_IFPT_res_adj*s_CF_potato*0.001*(up_Irr!U12+up_Irr!AT12+up_Irr!BS12),".")</f>
        <v>152036.56519057468</v>
      </c>
      <c r="AW12" s="93">
        <f>IFERROR(s_C*s_IFPU_res_adj*s_CF_pumpkin*0.001*(up_Irr!V12+up_Irr!AU12+up_Irr!BT12),".")</f>
        <v>152036.56519057468</v>
      </c>
      <c r="AX12" s="93">
        <f>IFERROR(s_C*s_IFSN_res_adj*s_CF_snap_bean*0.001*(up_Irr!W12+up_Irr!AV12+up_Irr!BU12),".")</f>
        <v>152036.56519057468</v>
      </c>
      <c r="AY12" s="93">
        <f>IFERROR(s_C*s_IFST_res_adj*s_CF_strawberry*0.001*(up_Irr!X12+up_Irr!AW12+up_Irr!BV12),".")</f>
        <v>152036.56519057468</v>
      </c>
      <c r="AZ12" s="93">
        <f>IFERROR(s_C*s_IFTO_res_adj*s_CF_tomato*0.001*(up_Irr!Y12+up_Irr!AX12+up_Irr!BW12),".")</f>
        <v>152036.56519057468</v>
      </c>
      <c r="BA12" s="93">
        <f>IFERROR(s_C*s_IFRI_res_adj*s_CF_rice*0.001*(up_Irr!Z12+up_Irr!AY12+up_Irr!BX12),".")</f>
        <v>152036.56519057468</v>
      </c>
      <c r="BB12" s="93">
        <f>IFERROR(s_C*s_IFCG_res_adj*s_CF_cereal*0.001*(up_Irr!AA12+up_Irr!AZ12+up_Irr!BY12),".")</f>
        <v>152036.56519057468</v>
      </c>
      <c r="BC12" s="76">
        <f t="shared" si="2"/>
        <v>1.6443412786038031E-11</v>
      </c>
      <c r="BD12" s="76">
        <f>IFERROR(IF(AND(up_Irr!C12&lt;&gt;".",up_Irr!AB12&lt;&gt;".",up_Irr!BA12&lt;&gt;"."),up_dir!AD12/((1/1000)*(up_Irr!C12+up_Irr!AB12+up_Irr!BA12)),IF(AND(up_Irr!C12&lt;&gt;".",up_Irr!AB12&lt;&gt;".",up_Irr!BA12="."),up_dir!AD12/((1/1000)*(up_Irr!C12+up_Irr!AB12)),IF(AND(up_Irr!C12&lt;&gt;".",up_Irr!AB12=".",up_Irr!BA12&lt;&gt;"."),up_dir!AD12/((1/1000)*(up_Irr!C12+up_Irr!BA12)),IF(AND(up_Irr!C12=".",up_Irr!AB12&lt;&gt;".",up_Irr!BA12&lt;&gt;"."),up_dir!AD12/((1/1000)*(up_Irr!AB12+up_Irr!BA12)),IF(AND(up_Irr!C12=".",up_Irr!AB12=".",up_Irr!BA12&lt;&gt;"."),up_dir!AD12/((1/1000)*(up_Irr!BA12)),IF(AND(up_Irr!C12=".",up_Irr!AB12&lt;&gt;".",up_Irr!BA12="."),up_dir!AD12/((1/1000)*(up_Irr!AB12)),IF(AND(up_Irr!C12&lt;&gt;".",up_Irr!AB12=".",up_Irr!BA12="."),up_dir!AD12/((1/1000)*(up_Irr!C12)),IF(AND(up_Irr!C12=".",up_Irr!AB12=".",up_Irr!BA12="."),up_dir!AD12*1000)))))))),".")</f>
        <v>6.5773651144152123E-11</v>
      </c>
      <c r="BE12" s="76">
        <f>IFERROR(IF(AND(up_Irr!D12&lt;&gt;".",up_Irr!AC12&lt;&gt;".",up_Irr!BB12&lt;&gt;"."),up_dir!AE12/((1/1000)*(up_Irr!D12+up_Irr!AC12+up_Irr!BB12)),IF(AND(up_Irr!D12&lt;&gt;".",up_Irr!AC12&lt;&gt;".",up_Irr!BB12="."),up_dir!AE12/((1/1000)*(up_Irr!D12+up_Irr!AC12)),IF(AND(up_Irr!D12&lt;&gt;".",up_Irr!AC12=".",up_Irr!BB12&lt;&gt;"."),up_dir!AE12/((1/1000)*(up_Irr!D12+up_Irr!BB12)),IF(AND(up_Irr!D12=".",up_Irr!AC12&lt;&gt;".",up_Irr!BB12&lt;&gt;"."),up_dir!AE12/((1/1000)*(up_Irr!AC12+up_Irr!BB12)),IF(AND(up_Irr!D12=".",up_Irr!AC12=".",up_Irr!BB12&lt;&gt;"."),up_dir!AE12/((1/1000)*(up_Irr!BB12)),IF(AND(up_Irr!D12=".",up_Irr!AC12&lt;&gt;".",up_Irr!BB12="."),up_dir!AE12/((1/1000)*(up_Irr!AC12)),IF(AND(up_Irr!D12&lt;&gt;".",up_Irr!AC12=".",up_Irr!BB12="."),up_dir!AE12/((1/1000)*(up_Irr!D12)),IF(AND(up_Irr!D12=".",up_Irr!AC12=".",up_Irr!BB12="."),up_dir!AE12*1000)))))))),".")</f>
        <v>6.5773651144152123E-11</v>
      </c>
      <c r="BF12" s="76">
        <f>IFERROR(IF(AND(up_Irr!E12&lt;&gt;".",up_Irr!AD12&lt;&gt;".",up_Irr!BC12&lt;&gt;"."),up_dir!AF12/((1/1000)*(up_Irr!E12+up_Irr!AD12+up_Irr!BC12)),IF(AND(up_Irr!E12&lt;&gt;".",up_Irr!AD12&lt;&gt;".",up_Irr!BC12="."),up_dir!AF12/((1/1000)*(up_Irr!E12+up_Irr!AD12)),IF(AND(up_Irr!E12&lt;&gt;".",up_Irr!AD12=".",up_Irr!BC12&lt;&gt;"."),up_dir!AF12/((1/1000)*(up_Irr!E12+up_Irr!BC12)),IF(AND(up_Irr!E12=".",up_Irr!AD12&lt;&gt;".",up_Irr!BC12&lt;&gt;"."),up_dir!AF12/((1/1000)*(up_Irr!AD12+up_Irr!BC12)),IF(AND(up_Irr!E12=".",up_Irr!AD12=".",up_Irr!BC12&lt;&gt;"."),up_dir!AF12/((1/1000)*(up_Irr!BC12)),IF(AND(up_Irr!E12=".",up_Irr!AD12&lt;&gt;".",up_Irr!BC12="."),up_dir!AF12/((1/1000)*(up_Irr!AD12)),IF(AND(up_Irr!E12&lt;&gt;".",up_Irr!AD12=".",up_Irr!BC12="."),up_dir!AF12/((1/1000)*(up_Irr!E12)),IF(AND(up_Irr!E12=".",up_Irr!AD12=".",up_Irr!BC12="."),up_dir!AF12*1000)))))))),".")</f>
        <v>6.5773651144152123E-11</v>
      </c>
      <c r="BG12" s="76">
        <f>IFERROR(IF(AND(up_Irr!F12&lt;&gt;".",up_Irr!AE12&lt;&gt;".",up_Irr!BD12&lt;&gt;"."),up_dir!AG12/((1/1000)*(up_Irr!F12+up_Irr!AE12+up_Irr!BD12)),IF(AND(up_Irr!F12&lt;&gt;".",up_Irr!AE12&lt;&gt;".",up_Irr!BD12="."),up_dir!AG12/((1/1000)*(up_Irr!F12+up_Irr!AE12)),IF(AND(up_Irr!F12&lt;&gt;".",up_Irr!AE12=".",up_Irr!BD12&lt;&gt;"."),up_dir!AG12/((1/1000)*(up_Irr!F12+up_Irr!BD12)),IF(AND(up_Irr!F12=".",up_Irr!AE12&lt;&gt;".",up_Irr!BD12&lt;&gt;"."),up_dir!AG12/((1/1000)*(up_Irr!AE12+up_Irr!BD12)),IF(AND(up_Irr!F12=".",up_Irr!AE12=".",up_Irr!BD12&lt;&gt;"."),up_dir!AG12/((1/1000)*(up_Irr!BD12)),IF(AND(up_Irr!F12=".",up_Irr!AE12&lt;&gt;".",up_Irr!BD12="."),up_dir!AG12/((1/1000)*(up_Irr!AE12)),IF(AND(up_Irr!F12&lt;&gt;".",up_Irr!AE12=".",up_Irr!BD12="."),up_dir!AG12/((1/1000)*(up_Irr!F12)),IF(AND(up_Irr!F12=".",up_Irr!AE12=".",up_Irr!BD12="."),up_dir!AG12*1000)))))))),".")</f>
        <v>6.5773651144152123E-11</v>
      </c>
      <c r="BH12" s="76">
        <f>IFERROR(IF(AND(up_Irr!G12&lt;&gt;".",up_Irr!AF12&lt;&gt;".",up_Irr!BE12&lt;&gt;"."),up_dir!AH12/((1/1000)*(up_Irr!G12+up_Irr!AF12+up_Irr!BE12)),IF(AND(up_Irr!G12&lt;&gt;".",up_Irr!AF12&lt;&gt;".",up_Irr!BE12="."),up_dir!AH12/((1/1000)*(up_Irr!G12+up_Irr!AF12)),IF(AND(up_Irr!G12&lt;&gt;".",up_Irr!AF12=".",up_Irr!BE12&lt;&gt;"."),up_dir!AH12/((1/1000)*(up_Irr!G12+up_Irr!BE12)),IF(AND(up_Irr!G12=".",up_Irr!AF12&lt;&gt;".",up_Irr!BE12&lt;&gt;"."),up_dir!AH12/((1/1000)*(up_Irr!AF12+up_Irr!BE12)),IF(AND(up_Irr!G12=".",up_Irr!AF12=".",up_Irr!BE12&lt;&gt;"."),up_dir!AH12/((1/1000)*(up_Irr!BE12)),IF(AND(up_Irr!G12=".",up_Irr!AF12&lt;&gt;".",up_Irr!BE12="."),up_dir!AH12/((1/1000)*(up_Irr!AF12)),IF(AND(up_Irr!G12&lt;&gt;".",up_Irr!AF12=".",up_Irr!BE12="."),up_dir!AH12/((1/1000)*(up_Irr!G12)),IF(AND(up_Irr!G12=".",up_Irr!AF12=".",up_Irr!BE12="."),up_dir!AH12*1000)))))))),".")</f>
        <v>6.5773651144152123E-11</v>
      </c>
      <c r="BI12" s="76">
        <f>IFERROR(IF(AND(up_Irr!H12&lt;&gt;".",up_Irr!AG12&lt;&gt;".",up_Irr!BF12&lt;&gt;"."),up_dir!AI12/((1/1000)*(up_Irr!H12+up_Irr!AG12+up_Irr!BF12)),IF(AND(up_Irr!H12&lt;&gt;".",up_Irr!AG12&lt;&gt;".",up_Irr!BF12="."),up_dir!AI12/((1/1000)*(up_Irr!H12+up_Irr!AG12)),IF(AND(up_Irr!H12&lt;&gt;".",up_Irr!AG12=".",up_Irr!BF12&lt;&gt;"."),up_dir!AI12/((1/1000)*(up_Irr!H12+up_Irr!BF12)),IF(AND(up_Irr!H12=".",up_Irr!AG12&lt;&gt;".",up_Irr!BF12&lt;&gt;"."),up_dir!AI12/((1/1000)*(up_Irr!AG12+up_Irr!BF12)),IF(AND(up_Irr!H12=".",up_Irr!AG12=".",up_Irr!BF12&lt;&gt;"."),up_dir!AI12/((1/1000)*(up_Irr!BF12)),IF(AND(up_Irr!H12=".",up_Irr!AG12&lt;&gt;".",up_Irr!BF12="."),up_dir!AI12/((1/1000)*(up_Irr!AG12)),IF(AND(up_Irr!H12&lt;&gt;".",up_Irr!AG12=".",up_Irr!BF12="."),up_dir!AI12/((1/1000)*(up_Irr!H12)),IF(AND(up_Irr!H12=".",up_Irr!AG12=".",up_Irr!BF12="."),up_dir!AI12*1000)))))))),".")</f>
        <v>6.5773651144152123E-11</v>
      </c>
      <c r="BJ12" s="76">
        <f>IFERROR(IF(AND(up_Irr!I12&lt;&gt;".",up_Irr!AH12&lt;&gt;".",up_Irr!BG12&lt;&gt;"."),up_dir!AJ12/((1/1000)*(up_Irr!I12+up_Irr!AH12+up_Irr!BG12)),IF(AND(up_Irr!I12&lt;&gt;".",up_Irr!AH12&lt;&gt;".",up_Irr!BG12="."),up_dir!AJ12/((1/1000)*(up_Irr!I12+up_Irr!AH12)),IF(AND(up_Irr!I12&lt;&gt;".",up_Irr!AH12=".",up_Irr!BG12&lt;&gt;"."),up_dir!AJ12/((1/1000)*(up_Irr!I12+up_Irr!BG12)),IF(AND(up_Irr!I12=".",up_Irr!AH12&lt;&gt;".",up_Irr!BG12&lt;&gt;"."),up_dir!AJ12/((1/1000)*(up_Irr!AH12+up_Irr!BG12)),IF(AND(up_Irr!I12=".",up_Irr!AH12=".",up_Irr!BG12&lt;&gt;"."),up_dir!AJ12/((1/1000)*(up_Irr!BG12)),IF(AND(up_Irr!I12=".",up_Irr!AH12&lt;&gt;".",up_Irr!BG12="."),up_dir!AJ12/((1/1000)*(up_Irr!AH12)),IF(AND(up_Irr!I12&lt;&gt;".",up_Irr!AH12=".",up_Irr!BG12="."),up_dir!AJ12/((1/1000)*(up_Irr!I12)),IF(AND(up_Irr!I12=".",up_Irr!AH12=".",up_Irr!BG12="."),up_dir!AJ12*1000)))))))),".")</f>
        <v>6.5773651144152123E-11</v>
      </c>
      <c r="BK12" s="76">
        <f>IFERROR(IF(AND(up_Irr!J12&lt;&gt;".",up_Irr!AI12&lt;&gt;".",up_Irr!BH12&lt;&gt;"."),up_dir!AK12/((1/1000)*(up_Irr!J12+up_Irr!AI12+up_Irr!BH12)),IF(AND(up_Irr!J12&lt;&gt;".",up_Irr!AI12&lt;&gt;".",up_Irr!BH12="."),up_dir!AK12/((1/1000)*(up_Irr!J12+up_Irr!AI12)),IF(AND(up_Irr!J12&lt;&gt;".",up_Irr!AI12=".",up_Irr!BH12&lt;&gt;"."),up_dir!AK12/((1/1000)*(up_Irr!J12+up_Irr!BH12)),IF(AND(up_Irr!J12=".",up_Irr!AI12&lt;&gt;".",up_Irr!BH12&lt;&gt;"."),up_dir!AK12/((1/1000)*(up_Irr!AI12+up_Irr!BH12)),IF(AND(up_Irr!J12=".",up_Irr!AI12=".",up_Irr!BH12&lt;&gt;"."),up_dir!AK12/((1/1000)*(up_Irr!BH12)),IF(AND(up_Irr!J12=".",up_Irr!AI12&lt;&gt;".",up_Irr!BH12="."),up_dir!AK12/((1/1000)*(up_Irr!AI12)),IF(AND(up_Irr!J12&lt;&gt;".",up_Irr!AI12=".",up_Irr!BH12="."),up_dir!AK12/((1/1000)*(up_Irr!J12)),IF(AND(up_Irr!J12=".",up_Irr!AI12=".",up_Irr!BH12="."),up_dir!AK12*1000)))))))),".")</f>
        <v>6.5773651144152123E-11</v>
      </c>
      <c r="BL12" s="76">
        <f>IFERROR(IF(AND(up_Irr!K12&lt;&gt;".",up_Irr!AJ12&lt;&gt;".",up_Irr!BI12&lt;&gt;"."),up_dir!AL12/((1/1000)*(up_Irr!K12+up_Irr!AJ12+up_Irr!BI12)),IF(AND(up_Irr!K12&lt;&gt;".",up_Irr!AJ12&lt;&gt;".",up_Irr!BI12="."),up_dir!AL12/((1/1000)*(up_Irr!K12+up_Irr!AJ12)),IF(AND(up_Irr!K12&lt;&gt;".",up_Irr!AJ12=".",up_Irr!BI12&lt;&gt;"."),up_dir!AL12/((1/1000)*(up_Irr!K12+up_Irr!BI12)),IF(AND(up_Irr!K12=".",up_Irr!AJ12&lt;&gt;".",up_Irr!BI12&lt;&gt;"."),up_dir!AL12/((1/1000)*(up_Irr!AJ12+up_Irr!BI12)),IF(AND(up_Irr!K12=".",up_Irr!AJ12=".",up_Irr!BI12&lt;&gt;"."),up_dir!AL12/((1/1000)*(up_Irr!BI12)),IF(AND(up_Irr!K12=".",up_Irr!AJ12&lt;&gt;".",up_Irr!BI12="."),up_dir!AL12/((1/1000)*(up_Irr!AJ12)),IF(AND(up_Irr!K12&lt;&gt;".",up_Irr!AJ12=".",up_Irr!BI12="."),up_dir!AL12/((1/1000)*(up_Irr!K12)),IF(AND(up_Irr!K12=".",up_Irr!AJ12=".",up_Irr!BI12="."),up_dir!AL12*1000)))))))),".")</f>
        <v>6.5773651144152123E-11</v>
      </c>
      <c r="BM12" s="76">
        <f>IFERROR(IF(AND(up_Irr!L12&lt;&gt;".",up_Irr!AK12&lt;&gt;".",up_Irr!BJ12&lt;&gt;"."),up_dir!AM12/((1/1000)*(up_Irr!L12+up_Irr!AK12+up_Irr!BJ12)),IF(AND(up_Irr!L12&lt;&gt;".",up_Irr!AK12&lt;&gt;".",up_Irr!BJ12="."),up_dir!AM12/((1/1000)*(up_Irr!L12+up_Irr!AK12)),IF(AND(up_Irr!L12&lt;&gt;".",up_Irr!AK12=".",up_Irr!BJ12&lt;&gt;"."),up_dir!AM12/((1/1000)*(up_Irr!L12+up_Irr!BJ12)),IF(AND(up_Irr!L12=".",up_Irr!AK12&lt;&gt;".",up_Irr!BJ12&lt;&gt;"."),up_dir!AM12/((1/1000)*(up_Irr!AK12+up_Irr!BJ12)),IF(AND(up_Irr!L12=".",up_Irr!AK12=".",up_Irr!BJ12&lt;&gt;"."),up_dir!AM12/((1/1000)*(up_Irr!BJ12)),IF(AND(up_Irr!L12=".",up_Irr!AK12&lt;&gt;".",up_Irr!BJ12="."),up_dir!AM12/((1/1000)*(up_Irr!AK12)),IF(AND(up_Irr!L12&lt;&gt;".",up_Irr!AK12=".",up_Irr!BJ12="."),up_dir!AM12/((1/1000)*(up_Irr!L12)),IF(AND(up_Irr!L12=".",up_Irr!AK12=".",up_Irr!BJ12="."),up_dir!AM12*1000)))))))),".")</f>
        <v>6.5773651144152123E-11</v>
      </c>
      <c r="BN12" s="76">
        <f>IFERROR(IF(AND(up_Irr!M12&lt;&gt;".",up_Irr!AL12&lt;&gt;".",up_Irr!BK12&lt;&gt;"."),up_dir!AN12/((1/1000)*(up_Irr!M12+up_Irr!AL12+up_Irr!BK12)),IF(AND(up_Irr!M12&lt;&gt;".",up_Irr!AL12&lt;&gt;".",up_Irr!BK12="."),up_dir!AN12/((1/1000)*(up_Irr!M12+up_Irr!AL12)),IF(AND(up_Irr!M12&lt;&gt;".",up_Irr!AL12=".",up_Irr!BK12&lt;&gt;"."),up_dir!AN12/((1/1000)*(up_Irr!M12+up_Irr!BK12)),IF(AND(up_Irr!M12=".",up_Irr!AL12&lt;&gt;".",up_Irr!BK12&lt;&gt;"."),up_dir!AN12/((1/1000)*(up_Irr!AL12+up_Irr!BK12)),IF(AND(up_Irr!M12=".",up_Irr!AL12=".",up_Irr!BK12&lt;&gt;"."),up_dir!AN12/((1/1000)*(up_Irr!BK12)),IF(AND(up_Irr!M12=".",up_Irr!AL12&lt;&gt;".",up_Irr!BK12="."),up_dir!AN12/((1/1000)*(up_Irr!AL12)),IF(AND(up_Irr!M12&lt;&gt;".",up_Irr!AL12=".",up_Irr!BK12="."),up_dir!AN12/((1/1000)*(up_Irr!M12)),IF(AND(up_Irr!M12=".",up_Irr!AL12=".",up_Irr!BK12="."),up_dir!AN12*1000)))))))),".")</f>
        <v>6.5773651144152123E-11</v>
      </c>
      <c r="BO12" s="76">
        <f>IFERROR(IF(AND(up_Irr!N12&lt;&gt;".",up_Irr!AM12&lt;&gt;".",up_Irr!BL12&lt;&gt;"."),up_dir!AO12/((1/1000)*(up_Irr!N12+up_Irr!AM12+up_Irr!BL12)),IF(AND(up_Irr!N12&lt;&gt;".",up_Irr!AM12&lt;&gt;".",up_Irr!BL12="."),up_dir!AO12/((1/1000)*(up_Irr!N12+up_Irr!AM12)),IF(AND(up_Irr!N12&lt;&gt;".",up_Irr!AM12=".",up_Irr!BL12&lt;&gt;"."),up_dir!AO12/((1/1000)*(up_Irr!N12+up_Irr!BL12)),IF(AND(up_Irr!N12=".",up_Irr!AM12&lt;&gt;".",up_Irr!BL12&lt;&gt;"."),up_dir!AO12/((1/1000)*(up_Irr!AM12+up_Irr!BL12)),IF(AND(up_Irr!N12=".",up_Irr!AM12=".",up_Irr!BL12&lt;&gt;"."),up_dir!AO12/((1/1000)*(up_Irr!BL12)),IF(AND(up_Irr!N12=".",up_Irr!AM12&lt;&gt;".",up_Irr!BL12="."),up_dir!AO12/((1/1000)*(up_Irr!AM12)),IF(AND(up_Irr!N12&lt;&gt;".",up_Irr!AM12=".",up_Irr!BL12="."),up_dir!AO12/((1/1000)*(up_Irr!N12)),IF(AND(up_Irr!N12=".",up_Irr!AM12=".",up_Irr!BL12="."),up_dir!AO12*1000)))))))),".")</f>
        <v>6.5773651144152123E-11</v>
      </c>
      <c r="BP12" s="76">
        <f>IFERROR(IF(AND(up_Irr!O12&lt;&gt;".",up_Irr!AN12&lt;&gt;".",up_Irr!BM12&lt;&gt;"."),up_dir!AP12/((1/1000)*(up_Irr!O12+up_Irr!AN12+up_Irr!BM12)),IF(AND(up_Irr!O12&lt;&gt;".",up_Irr!AN12&lt;&gt;".",up_Irr!BM12="."),up_dir!AP12/((1/1000)*(up_Irr!O12+up_Irr!AN12)),IF(AND(up_Irr!O12&lt;&gt;".",up_Irr!AN12=".",up_Irr!BM12&lt;&gt;"."),up_dir!AP12/((1/1000)*(up_Irr!O12+up_Irr!BM12)),IF(AND(up_Irr!O12=".",up_Irr!AN12&lt;&gt;".",up_Irr!BM12&lt;&gt;"."),up_dir!AP12/((1/1000)*(up_Irr!AN12+up_Irr!BM12)),IF(AND(up_Irr!O12=".",up_Irr!AN12=".",up_Irr!BM12&lt;&gt;"."),up_dir!AP12/((1/1000)*(up_Irr!BM12)),IF(AND(up_Irr!O12=".",up_Irr!AN12&lt;&gt;".",up_Irr!BM12="."),up_dir!AP12/((1/1000)*(up_Irr!AN12)),IF(AND(up_Irr!O12&lt;&gt;".",up_Irr!AN12=".",up_Irr!BM12="."),up_dir!AP12/((1/1000)*(up_Irr!O12)),IF(AND(up_Irr!O12=".",up_Irr!AN12=".",up_Irr!BM12="."),up_dir!AP12*1000)))))))),".")</f>
        <v>6.5773651144152123E-11</v>
      </c>
      <c r="BQ12" s="76">
        <f>IFERROR(IF(AND(up_Irr!P12&lt;&gt;".",up_Irr!AO12&lt;&gt;".",up_Irr!BN12&lt;&gt;"."),up_dir!AQ12/((1/1000)*(up_Irr!P12+up_Irr!AO12+up_Irr!BN12)),IF(AND(up_Irr!P12&lt;&gt;".",up_Irr!AO12&lt;&gt;".",up_Irr!BN12="."),up_dir!AQ12/((1/1000)*(up_Irr!P12+up_Irr!AO12)),IF(AND(up_Irr!P12&lt;&gt;".",up_Irr!AO12=".",up_Irr!BN12&lt;&gt;"."),up_dir!AQ12/((1/1000)*(up_Irr!P12+up_Irr!BN12)),IF(AND(up_Irr!P12=".",up_Irr!AO12&lt;&gt;".",up_Irr!BN12&lt;&gt;"."),up_dir!AQ12/((1/1000)*(up_Irr!AO12+up_Irr!BN12)),IF(AND(up_Irr!P12=".",up_Irr!AO12=".",up_Irr!BN12&lt;&gt;"."),up_dir!AQ12/((1/1000)*(up_Irr!BN12)),IF(AND(up_Irr!P12=".",up_Irr!AO12&lt;&gt;".",up_Irr!BN12="."),up_dir!AQ12/((1/1000)*(up_Irr!AO12)),IF(AND(up_Irr!P12&lt;&gt;".",up_Irr!AO12=".",up_Irr!BN12="."),up_dir!AQ12/((1/1000)*(up_Irr!P12)),IF(AND(up_Irr!P12=".",up_Irr!AO12=".",up_Irr!BN12="."),up_dir!AQ12*1000)))))))),".")</f>
        <v>6.5773651144152123E-11</v>
      </c>
      <c r="BR12" s="76">
        <f>IFERROR(IF(AND(up_Irr!Q12&lt;&gt;".",up_Irr!AP12&lt;&gt;".",up_Irr!BO12&lt;&gt;"."),up_dir!AR12/((1/1000)*(up_Irr!Q12+up_Irr!AP12+up_Irr!BO12)),IF(AND(up_Irr!Q12&lt;&gt;".",up_Irr!AP12&lt;&gt;".",up_Irr!BO12="."),up_dir!AR12/((1/1000)*(up_Irr!Q12+up_Irr!AP12)),IF(AND(up_Irr!Q12&lt;&gt;".",up_Irr!AP12=".",up_Irr!BO12&lt;&gt;"."),up_dir!AR12/((1/1000)*(up_Irr!Q12+up_Irr!BO12)),IF(AND(up_Irr!Q12=".",up_Irr!AP12&lt;&gt;".",up_Irr!BO12&lt;&gt;"."),up_dir!AR12/((1/1000)*(up_Irr!AP12+up_Irr!BO12)),IF(AND(up_Irr!Q12=".",up_Irr!AP12=".",up_Irr!BO12&lt;&gt;"."),up_dir!AR12/((1/1000)*(up_Irr!BO12)),IF(AND(up_Irr!Q12=".",up_Irr!AP12&lt;&gt;".",up_Irr!BO12="."),up_dir!AR12/((1/1000)*(up_Irr!AP12)),IF(AND(up_Irr!Q12&lt;&gt;".",up_Irr!AP12=".",up_Irr!BO12="."),up_dir!AR12/((1/1000)*(up_Irr!Q12)),IF(AND(up_Irr!Q12=".",up_Irr!AP12=".",up_Irr!BO12="."),up_dir!AR12*1000)))))))),".")</f>
        <v>6.5773651144152123E-11</v>
      </c>
      <c r="BS12" s="76">
        <f>IFERROR(IF(AND(up_Irr!R12&lt;&gt;".",up_Irr!AQ12&lt;&gt;".",up_Irr!BP12&lt;&gt;"."),up_dir!AS12/((1/1000)*(up_Irr!R12+up_Irr!AQ12+up_Irr!BP12)),IF(AND(up_Irr!R12&lt;&gt;".",up_Irr!AQ12&lt;&gt;".",up_Irr!BP12="."),up_dir!AS12/((1/1000)*(up_Irr!R12+up_Irr!AQ12)),IF(AND(up_Irr!R12&lt;&gt;".",up_Irr!AQ12=".",up_Irr!BP12&lt;&gt;"."),up_dir!AS12/((1/1000)*(up_Irr!R12+up_Irr!BP12)),IF(AND(up_Irr!R12=".",up_Irr!AQ12&lt;&gt;".",up_Irr!BP12&lt;&gt;"."),up_dir!AS12/((1/1000)*(up_Irr!AQ12+up_Irr!BP12)),IF(AND(up_Irr!R12=".",up_Irr!AQ12=".",up_Irr!BP12&lt;&gt;"."),up_dir!AS12/((1/1000)*(up_Irr!BP12)),IF(AND(up_Irr!R12=".",up_Irr!AQ12&lt;&gt;".",up_Irr!BP12="."),up_dir!AS12/((1/1000)*(up_Irr!AQ12)),IF(AND(up_Irr!R12&lt;&gt;".",up_Irr!AQ12=".",up_Irr!BP12="."),up_dir!AS12/((1/1000)*(up_Irr!R12)),IF(AND(up_Irr!R12=".",up_Irr!AQ12=".",up_Irr!BP12="."),up_dir!AS12*1000)))))))),".")</f>
        <v>6.5773651144152123E-11</v>
      </c>
      <c r="BT12" s="76">
        <f>IFERROR(IF(AND(up_Irr!S12&lt;&gt;".",up_Irr!AR12&lt;&gt;".",up_Irr!BQ12&lt;&gt;"."),up_dir!AT12/((1/1000)*(up_Irr!S12+up_Irr!AR12+up_Irr!BQ12)),IF(AND(up_Irr!S12&lt;&gt;".",up_Irr!AR12&lt;&gt;".",up_Irr!BQ12="."),up_dir!AT12/((1/1000)*(up_Irr!S12+up_Irr!AR12)),IF(AND(up_Irr!S12&lt;&gt;".",up_Irr!AR12=".",up_Irr!BQ12&lt;&gt;"."),up_dir!AT12/((1/1000)*(up_Irr!S12+up_Irr!BQ12)),IF(AND(up_Irr!S12=".",up_Irr!AR12&lt;&gt;".",up_Irr!BQ12&lt;&gt;"."),up_dir!AT12/((1/1000)*(up_Irr!AR12+up_Irr!BQ12)),IF(AND(up_Irr!S12=".",up_Irr!AR12=".",up_Irr!BQ12&lt;&gt;"."),up_dir!AT12/((1/1000)*(up_Irr!BQ12)),IF(AND(up_Irr!S12=".",up_Irr!AR12&lt;&gt;".",up_Irr!BQ12="."),up_dir!AT12/((1/1000)*(up_Irr!AR12)),IF(AND(up_Irr!S12&lt;&gt;".",up_Irr!AR12=".",up_Irr!BQ12="."),up_dir!AT12/((1/1000)*(up_Irr!S12)),IF(AND(up_Irr!S12=".",up_Irr!AR12=".",up_Irr!BQ12="."),up_dir!AT12*1000)))))))),".")</f>
        <v>6.5773651144152123E-11</v>
      </c>
      <c r="BU12" s="76">
        <f>IFERROR(IF(AND(up_Irr!T12&lt;&gt;".",up_Irr!AS12&lt;&gt;".",up_Irr!BR12&lt;&gt;"."),up_dir!AU12/((1/1000)*(up_Irr!T12+up_Irr!AS12+up_Irr!BR12)),IF(AND(up_Irr!T12&lt;&gt;".",up_Irr!AS12&lt;&gt;".",up_Irr!BR12="."),up_dir!AU12/((1/1000)*(up_Irr!T12+up_Irr!AS12)),IF(AND(up_Irr!T12&lt;&gt;".",up_Irr!AS12=".",up_Irr!BR12&lt;&gt;"."),up_dir!AU12/((1/1000)*(up_Irr!T12+up_Irr!BR12)),IF(AND(up_Irr!T12=".",up_Irr!AS12&lt;&gt;".",up_Irr!BR12&lt;&gt;"."),up_dir!AU12/((1/1000)*(up_Irr!AS12+up_Irr!BR12)),IF(AND(up_Irr!T12=".",up_Irr!AS12=".",up_Irr!BR12&lt;&gt;"."),up_dir!AU12/((1/1000)*(up_Irr!BR12)),IF(AND(up_Irr!T12=".",up_Irr!AS12&lt;&gt;".",up_Irr!BR12="."),up_dir!AU12/((1/1000)*(up_Irr!AS12)),IF(AND(up_Irr!T12&lt;&gt;".",up_Irr!AS12=".",up_Irr!BR12="."),up_dir!AU12/((1/1000)*(up_Irr!T12)),IF(AND(up_Irr!T12=".",up_Irr!AS12=".",up_Irr!BR12="."),up_dir!AU12*1000)))))))),".")</f>
        <v>6.5773651144152123E-11</v>
      </c>
      <c r="BV12" s="76">
        <f>IFERROR(IF(AND(up_Irr!U12&lt;&gt;".",up_Irr!AT12&lt;&gt;".",up_Irr!BS12&lt;&gt;"."),up_dir!AV12/((1/1000)*(up_Irr!U12+up_Irr!AT12+up_Irr!BS12)),IF(AND(up_Irr!U12&lt;&gt;".",up_Irr!AT12&lt;&gt;".",up_Irr!BS12="."),up_dir!AV12/((1/1000)*(up_Irr!U12+up_Irr!AT12)),IF(AND(up_Irr!U12&lt;&gt;".",up_Irr!AT12=".",up_Irr!BS12&lt;&gt;"."),up_dir!AV12/((1/1000)*(up_Irr!U12+up_Irr!BS12)),IF(AND(up_Irr!U12=".",up_Irr!AT12&lt;&gt;".",up_Irr!BS12&lt;&gt;"."),up_dir!AV12/((1/1000)*(up_Irr!AT12+up_Irr!BS12)),IF(AND(up_Irr!U12=".",up_Irr!AT12=".",up_Irr!BS12&lt;&gt;"."),up_dir!AV12/((1/1000)*(up_Irr!BS12)),IF(AND(up_Irr!U12=".",up_Irr!AT12&lt;&gt;".",up_Irr!BS12="."),up_dir!AV12/((1/1000)*(up_Irr!AT12)),IF(AND(up_Irr!U12&lt;&gt;".",up_Irr!AT12=".",up_Irr!BS12="."),up_dir!AV12/((1/1000)*(up_Irr!U12)),IF(AND(up_Irr!U12=".",up_Irr!AT12=".",up_Irr!BS12="."),up_dir!AV12*1000)))))))),".")</f>
        <v>6.5773651144152123E-11</v>
      </c>
      <c r="BW12" s="76">
        <f>IFERROR(IF(AND(up_Irr!V12&lt;&gt;".",up_Irr!AU12&lt;&gt;".",up_Irr!BT12&lt;&gt;"."),up_dir!AW12/((1/1000)*(up_Irr!V12+up_Irr!AU12+up_Irr!BT12)),IF(AND(up_Irr!V12&lt;&gt;".",up_Irr!AU12&lt;&gt;".",up_Irr!BT12="."),up_dir!AW12/((1/1000)*(up_Irr!V12+up_Irr!AU12)),IF(AND(up_Irr!V12&lt;&gt;".",up_Irr!AU12=".",up_Irr!BT12&lt;&gt;"."),up_dir!AW12/((1/1000)*(up_Irr!V12+up_Irr!BT12)),IF(AND(up_Irr!V12=".",up_Irr!AU12&lt;&gt;".",up_Irr!BT12&lt;&gt;"."),up_dir!AW12/((1/1000)*(up_Irr!AU12+up_Irr!BT12)),IF(AND(up_Irr!V12=".",up_Irr!AU12=".",up_Irr!BT12&lt;&gt;"."),up_dir!AW12/((1/1000)*(up_Irr!BT12)),IF(AND(up_Irr!V12=".",up_Irr!AU12&lt;&gt;".",up_Irr!BT12="."),up_dir!AW12/((1/1000)*(up_Irr!AU12)),IF(AND(up_Irr!V12&lt;&gt;".",up_Irr!AU12=".",up_Irr!BT12="."),up_dir!AW12/((1/1000)*(up_Irr!V12)),IF(AND(up_Irr!V12=".",up_Irr!AU12=".",up_Irr!BT12="."),up_dir!AW12*1000)))))))),".")</f>
        <v>6.5773651144152123E-11</v>
      </c>
      <c r="BX12" s="76">
        <f>IFERROR(IF(AND(up_Irr!W12&lt;&gt;".",up_Irr!AV12&lt;&gt;".",up_Irr!BU12&lt;&gt;"."),up_dir!AX12/((1/1000)*(up_Irr!W12+up_Irr!AV12+up_Irr!BU12)),IF(AND(up_Irr!W12&lt;&gt;".",up_Irr!AV12&lt;&gt;".",up_Irr!BU12="."),up_dir!AX12/((1/1000)*(up_Irr!W12+up_Irr!AV12)),IF(AND(up_Irr!W12&lt;&gt;".",up_Irr!AV12=".",up_Irr!BU12&lt;&gt;"."),up_dir!AX12/((1/1000)*(up_Irr!W12+up_Irr!BU12)),IF(AND(up_Irr!W12=".",up_Irr!AV12&lt;&gt;".",up_Irr!BU12&lt;&gt;"."),up_dir!AX12/((1/1000)*(up_Irr!AV12+up_Irr!BU12)),IF(AND(up_Irr!W12=".",up_Irr!AV12=".",up_Irr!BU12&lt;&gt;"."),up_dir!AX12/((1/1000)*(up_Irr!BU12)),IF(AND(up_Irr!W12=".",up_Irr!AV12&lt;&gt;".",up_Irr!BU12="."),up_dir!AX12/((1/1000)*(up_Irr!AV12)),IF(AND(up_Irr!W12&lt;&gt;".",up_Irr!AV12=".",up_Irr!BU12="."),up_dir!AX12/((1/1000)*(up_Irr!W12)),IF(AND(up_Irr!W12=".",up_Irr!AV12=".",up_Irr!BU12="."),up_dir!AX12*1000)))))))),".")</f>
        <v>6.5773651144152123E-11</v>
      </c>
      <c r="BY12" s="76">
        <f>IFERROR(IF(AND(up_Irr!X12&lt;&gt;".",up_Irr!AW12&lt;&gt;".",up_Irr!BV12&lt;&gt;"."),up_dir!AY12/((1/1000)*(up_Irr!X12+up_Irr!AW12+up_Irr!BV12)),IF(AND(up_Irr!X12&lt;&gt;".",up_Irr!AW12&lt;&gt;".",up_Irr!BV12="."),up_dir!AY12/((1/1000)*(up_Irr!X12+up_Irr!AW12)),IF(AND(up_Irr!X12&lt;&gt;".",up_Irr!AW12=".",up_Irr!BV12&lt;&gt;"."),up_dir!AY12/((1/1000)*(up_Irr!X12+up_Irr!BV12)),IF(AND(up_Irr!X12=".",up_Irr!AW12&lt;&gt;".",up_Irr!BV12&lt;&gt;"."),up_dir!AY12/((1/1000)*(up_Irr!AW12+up_Irr!BV12)),IF(AND(up_Irr!X12=".",up_Irr!AW12=".",up_Irr!BV12&lt;&gt;"."),up_dir!AY12/((1/1000)*(up_Irr!BV12)),IF(AND(up_Irr!X12=".",up_Irr!AW12&lt;&gt;".",up_Irr!BV12="."),up_dir!AY12/((1/1000)*(up_Irr!AW12)),IF(AND(up_Irr!X12&lt;&gt;".",up_Irr!AW12=".",up_Irr!BV12="."),up_dir!AY12/((1/1000)*(up_Irr!X12)),IF(AND(up_Irr!X12=".",up_Irr!AW12=".",up_Irr!BV12="."),up_dir!AY12*1000)))))))),".")</f>
        <v>6.5773651144152123E-11</v>
      </c>
      <c r="BZ12" s="76">
        <f>IFERROR(IF(AND(up_Irr!Y12&lt;&gt;".",up_Irr!AX12&lt;&gt;".",up_Irr!BW12&lt;&gt;"."),up_dir!AZ12/((1/1000)*(up_Irr!Y12+up_Irr!AX12+up_Irr!BW12)),IF(AND(up_Irr!Y12&lt;&gt;".",up_Irr!AX12&lt;&gt;".",up_Irr!BW12="."),up_dir!AZ12/((1/1000)*(up_Irr!Y12+up_Irr!AX12)),IF(AND(up_Irr!Y12&lt;&gt;".",up_Irr!AX12=".",up_Irr!BW12&lt;&gt;"."),up_dir!AZ12/((1/1000)*(up_Irr!Y12+up_Irr!BW12)),IF(AND(up_Irr!Y12=".",up_Irr!AX12&lt;&gt;".",up_Irr!BW12&lt;&gt;"."),up_dir!AZ12/((1/1000)*(up_Irr!AX12+up_Irr!BW12)),IF(AND(up_Irr!Y12=".",up_Irr!AX12=".",up_Irr!BW12&lt;&gt;"."),up_dir!AZ12/((1/1000)*(up_Irr!BW12)),IF(AND(up_Irr!Y12=".",up_Irr!AX12&lt;&gt;".",up_Irr!BW12="."),up_dir!AZ12/((1/1000)*(up_Irr!AX12)),IF(AND(up_Irr!Y12&lt;&gt;".",up_Irr!AX12=".",up_Irr!BW12="."),up_dir!AZ12/((1/1000)*(up_Irr!Y12)),IF(AND(up_Irr!Y12=".",up_Irr!AX12=".",up_Irr!BW12="."),up_dir!AZ12*1000)))))))),".")</f>
        <v>6.5773651144152123E-11</v>
      </c>
      <c r="CA12" s="76">
        <f>IFERROR(IF(AND(up_Irr!Z12&lt;&gt;".",up_Irr!AY12&lt;&gt;".",up_Irr!BX12&lt;&gt;"."),up_dir!BA12/((1/1000)*(up_Irr!Z12+up_Irr!AY12+up_Irr!BX12)),IF(AND(up_Irr!Z12&lt;&gt;".",up_Irr!AY12&lt;&gt;".",up_Irr!BX12="."),up_dir!BA12/((1/1000)*(up_Irr!Z12+up_Irr!AY12)),IF(AND(up_Irr!Z12&lt;&gt;".",up_Irr!AY12=".",up_Irr!BX12&lt;&gt;"."),up_dir!BA12/((1/1000)*(up_Irr!Z12+up_Irr!BX12)),IF(AND(up_Irr!Z12=".",up_Irr!AY12&lt;&gt;".",up_Irr!BX12&lt;&gt;"."),up_dir!BA12/((1/1000)*(up_Irr!AY12+up_Irr!BX12)),IF(AND(up_Irr!Z12=".",up_Irr!AY12=".",up_Irr!BX12&lt;&gt;"."),up_dir!BA12/((1/1000)*(up_Irr!BX12)),IF(AND(up_Irr!Z12=".",up_Irr!AY12&lt;&gt;".",up_Irr!BX12="."),up_dir!BA12/((1/1000)*(up_Irr!AY12)),IF(AND(up_Irr!Z12&lt;&gt;".",up_Irr!AY12=".",up_Irr!BX12="."),up_dir!BA12/((1/1000)*(up_Irr!Z12)),IF(AND(up_Irr!Z12=".",up_Irr!AY12=".",up_Irr!BX12="."),up_dir!BA12*1000)))))))),".")</f>
        <v>6.5773651144152123E-11</v>
      </c>
      <c r="CB12" s="76">
        <f>IFERROR(IF(AND(up_Irr!AA12&lt;&gt;".",up_Irr!AZ12&lt;&gt;".",up_Irr!BY12&lt;&gt;"."),up_dir!BB12/((1/1000)*(up_Irr!AA12+up_Irr!AZ12+up_Irr!BY12)),IF(AND(up_Irr!AA12&lt;&gt;".",up_Irr!AZ12&lt;&gt;".",up_Irr!BY12="."),up_dir!BB12/((1/1000)*(up_Irr!AA12+up_Irr!AZ12)),IF(AND(up_Irr!AA12&lt;&gt;".",up_Irr!AZ12=".",up_Irr!BY12&lt;&gt;"."),up_dir!BB12/((1/1000)*(up_Irr!AA12+up_Irr!BY12)),IF(AND(up_Irr!AA12=".",up_Irr!AZ12&lt;&gt;".",up_Irr!BY12&lt;&gt;"."),up_dir!BB12/((1/1000)*(up_Irr!AZ12+up_Irr!BY12)),IF(AND(up_Irr!AA12=".",up_Irr!AZ12=".",up_Irr!BY12&lt;&gt;"."),up_dir!BB12/((1/1000)*(up_Irr!BY12)),IF(AND(up_Irr!AA12=".",up_Irr!AZ12&lt;&gt;".",up_Irr!BY12="."),up_dir!BB12/((1/1000)*(up_Irr!AZ12)),IF(AND(up_Irr!AA12&lt;&gt;".",up_Irr!AZ12=".",up_Irr!BY12="."),up_dir!BB12/((1/1000)*(up_Irr!AA12)),IF(AND(up_Irr!AA12=".",up_Irr!AZ12=".",up_Irr!BY12="."),up_dir!BB12*1000)))))))),".")</f>
        <v>6.5773651144152123E-11</v>
      </c>
      <c r="CC12" s="93">
        <f t="shared" si="3"/>
        <v>608146.26076229871</v>
      </c>
      <c r="CD12" s="93">
        <f>IFERROR(s_C*s_IFAP_far_adj*s_CF_apple*(1/1000)*(up_Irr!C12+up_Irr!AB12+up_Irr!BA12),".")</f>
        <v>152036.56519057468</v>
      </c>
      <c r="CE12" s="93">
        <f>IFERROR(s_C*s_IFAS_far_adj*s_CF_asparagus*(1/1000)*(up_Irr!D12+up_Irr!AC12+up_Irr!BB12),".")</f>
        <v>152036.56519057468</v>
      </c>
      <c r="CF12" s="93">
        <f>IFERROR(s_C*s_IFBT_far_adj*s_CF_beet*(1/1000)*(up_Irr!E12+up_Irr!AD12+up_Irr!BC12),".")</f>
        <v>152036.56519057468</v>
      </c>
      <c r="CG12" s="93">
        <f>IFERROR(s_C*s_IFBE_far_adj*s_CF_berries*(1/1000)*(up_Irr!F12+up_Irr!AE12+up_Irr!BD12),".")</f>
        <v>152036.56519057468</v>
      </c>
      <c r="CH12" s="93">
        <f>IFERROR(s_C*s_IFBR_far_adj*s_CF_broccoli*(1/1000)*(up_Irr!G12+up_Irr!AF12+up_Irr!BE12),".")</f>
        <v>152036.56519057468</v>
      </c>
      <c r="CI12" s="93">
        <f>IFERROR(s_C*s_IFCB_far_adj*s_CF_cabbage*(1/1000)*(up_Irr!H12+up_Irr!AG12+up_Irr!BF12),".")</f>
        <v>152036.56519057468</v>
      </c>
      <c r="CJ12" s="93">
        <f>IFERROR(s_C*s_IFCR_far_adj*s_CF_carrot*(1/1000)*(up_Irr!I12+up_Irr!AH12+up_Irr!BG12),".")</f>
        <v>152036.56519057468</v>
      </c>
      <c r="CK12" s="93">
        <f>IFERROR(s_C*s_IFCI_far_adj*s_CF_citrus*(1/1000)*(up_Irr!J12+up_Irr!AI12+up_Irr!BH12),".")</f>
        <v>152036.56519057468</v>
      </c>
      <c r="CL12" s="93">
        <f>IFERROR(s_C*s_IFCO_far_adj*s_CF_corn*(1/1000)*(up_Irr!K12+up_Irr!AJ12+up_Irr!BI12),".")</f>
        <v>152036.56519057468</v>
      </c>
      <c r="CM12" s="93">
        <f>IFERROR(s_C*s_IFCU_far_adj*s_CF_cucumber*(1/1000)*(up_Irr!L12+up_Irr!AK12+up_Irr!BJ12),".")</f>
        <v>152036.56519057468</v>
      </c>
      <c r="CN12" s="93">
        <f>IFERROR(s_C*s_IFLE_far_adj*s_CF_lettuce*(1/1000)*(up_Irr!M12+up_Irr!AL12+up_Irr!BK12),".")</f>
        <v>152036.56519057468</v>
      </c>
      <c r="CO12" s="93">
        <f>IFERROR(s_C*s_IFLI_far_adj*s_CF_lima_bean*(1/1000)*(up_Irr!N12+up_Irr!AM12+up_Irr!BL12),".")</f>
        <v>152036.56519057468</v>
      </c>
      <c r="CP12" s="93">
        <f>IFERROR(s_C*s_IFOK_far_adj*s_CF_okra*(1/1000)*(up_Irr!O12+up_Irr!AN12+up_Irr!BM12),".")</f>
        <v>152036.56519057468</v>
      </c>
      <c r="CQ12" s="93">
        <f>IFERROR(s_C*s_IFON_far_adj*s_CF_onion*(1/1000)*(up_Irr!P12+up_Irr!AO12+up_Irr!BN12),".")</f>
        <v>152036.56519057468</v>
      </c>
      <c r="CR12" s="93">
        <f>IFERROR(s_C*s_IFPC_far_adj*s_CF_peach*(1/1000)*(up_Irr!Q12+up_Irr!AP12+up_Irr!BO12),".")</f>
        <v>152036.56519057468</v>
      </c>
      <c r="CS12" s="93">
        <f>IFERROR(s_C*s_IFPR_far_adj*s_CF_pear*(1/1000)*(up_Irr!R12+up_Irr!AQ12+up_Irr!BP12),".")</f>
        <v>152036.56519057468</v>
      </c>
      <c r="CT12" s="93">
        <f>IFERROR(s_C*s_IFPE_far_adj*s_CF_peas*(1/1000)*(up_Irr!S12+up_Irr!AR12+up_Irr!BQ12),".")</f>
        <v>152036.56519057468</v>
      </c>
      <c r="CU12" s="93">
        <f>IFERROR(s_C*s_IFPP_far_adj*s_CF_peppers*(1/1000)*(up_Irr!T12+up_Irr!AS12+up_Irr!BR12),".")</f>
        <v>152036.56519057468</v>
      </c>
      <c r="CV12" s="93">
        <f>IFERROR(s_C*s_IFPT_far_adj*s_CF_potato*(1/1000)*(up_Irr!U12+up_Irr!AT12+up_Irr!BS12),".")</f>
        <v>152036.56519057468</v>
      </c>
      <c r="CW12" s="93">
        <f>IFERROR(s_C*s_IFPU_far_adj*s_CF_pumpkin*(1/1000)*(up_Irr!V12+up_Irr!AU12+up_Irr!BT12),".")</f>
        <v>152036.56519057468</v>
      </c>
      <c r="CX12" s="93">
        <f>IFERROR(s_C*s_IFSN_far_adj*s_CF_snap_bean*(1/1000)*(up_Irr!W12+up_Irr!AV12+up_Irr!BU12),".")</f>
        <v>152036.56519057468</v>
      </c>
      <c r="CY12" s="93">
        <f>IFERROR(s_C*s_IFST_far_adj*s_CF_strawberry*(1/1000)*(up_Irr!X12+up_Irr!AW12+up_Irr!BV12),".")</f>
        <v>152036.56519057468</v>
      </c>
      <c r="CZ12" s="93">
        <f>IFERROR(s_C*s_IFTO_far_adj*s_CF_tomato*(1/1000)*(up_Irr!Y12+up_Irr!AX12+up_Irr!BW12),".")</f>
        <v>152036.56519057468</v>
      </c>
      <c r="DA12" s="93">
        <f>IFERROR(s_C*s_IFRI_far_adj*s_CF_rice*(1/1000)*(up_Irr!Z12+up_Irr!AY12+up_Irr!BX12),".")</f>
        <v>152036.56519057468</v>
      </c>
      <c r="DB12" s="93">
        <f>IFERROR(s_C*s_IFCG_far_adj*s_CF_cereal*(1/1000)*(up_Irr!AA12+up_Irr!AZ12+up_Irr!BY12),".")</f>
        <v>152036.56519057468</v>
      </c>
    </row>
    <row r="13" spans="1:106" ht="15" customHeight="1" x14ac:dyDescent="0.25">
      <c r="A13" s="92" t="s">
        <v>23</v>
      </c>
      <c r="B13" s="90" t="s">
        <v>1071</v>
      </c>
      <c r="C13" s="15">
        <f t="shared" si="0"/>
        <v>1.6443412786038031E-11</v>
      </c>
      <c r="D13" s="76">
        <f>IFERROR(IF(AND(up_Irr!C13&lt;&gt;".",up_Irr!AB13&lt;&gt;".",up_Irr!BA13&lt;&gt;"."),up_dir!D13/((1/1000)*(up_Irr!C13+up_Irr!AB13+up_Irr!BA13)),IF(AND(up_Irr!C13&lt;&gt;".",up_Irr!AB13&lt;&gt;".",up_Irr!BA13="."),up_dir!D13/((1/1000)*(up_Irr!C13+up_Irr!AB13)),IF(AND(up_Irr!C13&lt;&gt;".",up_Irr!AB13=".",up_Irr!BA13&lt;&gt;"."),up_dir!D13/((1/1000)*(up_Irr!C13+up_Irr!BA13)),IF(AND(up_Irr!C13=".",up_Irr!AB13&lt;&gt;".",up_Irr!BA13&lt;&gt;"."),up_dir!D13/((1/1000)*(up_Irr!AB13+up_Irr!BA13)),IF(AND(up_Irr!C13=".",up_Irr!AB13=".",up_Irr!BA13&lt;&gt;"."),up_dir!D13/((1/1000)*(up_Irr!BA13)),IF(AND(up_Irr!C13=".",up_Irr!AB13&lt;&gt;".",up_Irr!BA13="."),up_dir!D13/((1/1000)*(up_Irr!AB13)),IF(AND(up_Irr!C13&lt;&gt;".",up_Irr!AB13=".",up_Irr!BA13="."),up_dir!D13/((1/1000)*(up_Irr!C13)),IF(AND(up_Irr!C13=".",up_Irr!AB13=".",up_Irr!BA13="."),up_dir!D13*1000)))))))),".")</f>
        <v>6.5773651144152123E-11</v>
      </c>
      <c r="E13" s="76">
        <f>IFERROR(IF(AND(up_Irr!D13&lt;&gt;".",up_Irr!AC13&lt;&gt;".",up_Irr!BB13&lt;&gt;"."),up_dir!E13/((1/1000)*(up_Irr!D13+up_Irr!AC13+up_Irr!BB13)),IF(AND(up_Irr!D13&lt;&gt;".",up_Irr!AC13&lt;&gt;".",up_Irr!BB13="."),up_dir!E13/((1/1000)*(up_Irr!D13+up_Irr!AC13)),IF(AND(up_Irr!D13&lt;&gt;".",up_Irr!AC13=".",up_Irr!BB13&lt;&gt;"."),up_dir!E13/((1/1000)*(up_Irr!D13+up_Irr!BB13)),IF(AND(up_Irr!D13=".",up_Irr!AC13&lt;&gt;".",up_Irr!BB13&lt;&gt;"."),up_dir!E13/((1/1000)*(up_Irr!AC13+up_Irr!BB13)),IF(AND(up_Irr!D13=".",up_Irr!AC13=".",up_Irr!BB13&lt;&gt;"."),up_dir!E13/((1/1000)*(up_Irr!BB13)),IF(AND(up_Irr!D13=".",up_Irr!AC13&lt;&gt;".",up_Irr!BB13="."),up_dir!E13/((1/1000)*(up_Irr!AC13)),IF(AND(up_Irr!D13&lt;&gt;".",up_Irr!AC13=".",up_Irr!BB13="."),up_dir!E13/((1/1000)*(up_Irr!D13)),IF(AND(up_Irr!D13=".",up_Irr!AC13=".",up_Irr!BB13="."),up_dir!E13*1000)))))))),".")</f>
        <v>6.5773651144152123E-11</v>
      </c>
      <c r="F13" s="76">
        <f>IFERROR(IF(AND(up_Irr!E13&lt;&gt;".",up_Irr!AD13&lt;&gt;".",up_Irr!BC13&lt;&gt;"."),up_dir!F13/((1/1000)*(up_Irr!E13+up_Irr!AD13+up_Irr!BC13)),IF(AND(up_Irr!E13&lt;&gt;".",up_Irr!AD13&lt;&gt;".",up_Irr!BC13="."),up_dir!F13/((1/1000)*(up_Irr!E13+up_Irr!AD13)),IF(AND(up_Irr!E13&lt;&gt;".",up_Irr!AD13=".",up_Irr!BC13&lt;&gt;"."),up_dir!F13/((1/1000)*(up_Irr!E13+up_Irr!BC13)),IF(AND(up_Irr!E13=".",up_Irr!AD13&lt;&gt;".",up_Irr!BC13&lt;&gt;"."),up_dir!F13/((1/1000)*(up_Irr!AD13+up_Irr!BC13)),IF(AND(up_Irr!E13=".",up_Irr!AD13=".",up_Irr!BC13&lt;&gt;"."),up_dir!F13/((1/1000)*(up_Irr!BC13)),IF(AND(up_Irr!E13=".",up_Irr!AD13&lt;&gt;".",up_Irr!BC13="."),up_dir!F13/((1/1000)*(up_Irr!AD13)),IF(AND(up_Irr!E13&lt;&gt;".",up_Irr!AD13=".",up_Irr!BC13="."),up_dir!F13/((1/1000)*(up_Irr!E13)),IF(AND(up_Irr!E13=".",up_Irr!AD13=".",up_Irr!BC13="."),up_dir!F13*1000)))))))),".")</f>
        <v>6.5773651144152123E-11</v>
      </c>
      <c r="G13" s="76">
        <f>IFERROR(IF(AND(up_Irr!F13&lt;&gt;".",up_Irr!AE13&lt;&gt;".",up_Irr!BD13&lt;&gt;"."),up_dir!G13/((1/1000)*(up_Irr!F13+up_Irr!AE13+up_Irr!BD13)),IF(AND(up_Irr!F13&lt;&gt;".",up_Irr!AE13&lt;&gt;".",up_Irr!BD13="."),up_dir!G13/((1/1000)*(up_Irr!F13+up_Irr!AE13)),IF(AND(up_Irr!F13&lt;&gt;".",up_Irr!AE13=".",up_Irr!BD13&lt;&gt;"."),up_dir!G13/((1/1000)*(up_Irr!F13+up_Irr!BD13)),IF(AND(up_Irr!F13=".",up_Irr!AE13&lt;&gt;".",up_Irr!BD13&lt;&gt;"."),up_dir!G13/((1/1000)*(up_Irr!AE13+up_Irr!BD13)),IF(AND(up_Irr!F13=".",up_Irr!AE13=".",up_Irr!BD13&lt;&gt;"."),up_dir!G13/((1/1000)*(up_Irr!BD13)),IF(AND(up_Irr!F13=".",up_Irr!AE13&lt;&gt;".",up_Irr!BD13="."),up_dir!G13/((1/1000)*(up_Irr!AE13)),IF(AND(up_Irr!F13&lt;&gt;".",up_Irr!AE13=".",up_Irr!BD13="."),up_dir!G13/((1/1000)*(up_Irr!F13)),IF(AND(up_Irr!F13=".",up_Irr!AE13=".",up_Irr!BD13="."),up_dir!G13*1000)))))))),".")</f>
        <v>6.5773651144152123E-11</v>
      </c>
      <c r="H13" s="76">
        <f>IFERROR(IF(AND(up_Irr!G13&lt;&gt;".",up_Irr!AF13&lt;&gt;".",up_Irr!BE13&lt;&gt;"."),up_dir!H13/((1/1000)*(up_Irr!G13+up_Irr!AF13+up_Irr!BE13)),IF(AND(up_Irr!G13&lt;&gt;".",up_Irr!AF13&lt;&gt;".",up_Irr!BE13="."),up_dir!H13/((1/1000)*(up_Irr!G13+up_Irr!AF13)),IF(AND(up_Irr!G13&lt;&gt;".",up_Irr!AF13=".",up_Irr!BE13&lt;&gt;"."),up_dir!H13/((1/1000)*(up_Irr!G13+up_Irr!BE13)),IF(AND(up_Irr!G13=".",up_Irr!AF13&lt;&gt;".",up_Irr!BE13&lt;&gt;"."),up_dir!H13/((1/1000)*(up_Irr!AF13+up_Irr!BE13)),IF(AND(up_Irr!G13=".",up_Irr!AF13=".",up_Irr!BE13&lt;&gt;"."),up_dir!H13/((1/1000)*(up_Irr!BE13)),IF(AND(up_Irr!G13=".",up_Irr!AF13&lt;&gt;".",up_Irr!BE13="."),up_dir!H13/((1/1000)*(up_Irr!AF13)),IF(AND(up_Irr!G13&lt;&gt;".",up_Irr!AF13=".",up_Irr!BE13="."),up_dir!H13/((1/1000)*(up_Irr!G13)),IF(AND(up_Irr!G13=".",up_Irr!AF13=".",up_Irr!BE13="."),up_dir!H13*1000)))))))),".")</f>
        <v>6.5773651144152123E-11</v>
      </c>
      <c r="I13" s="76">
        <f>IFERROR(IF(AND(up_Irr!H13&lt;&gt;".",up_Irr!AG13&lt;&gt;".",up_Irr!BF13&lt;&gt;"."),up_dir!I13/((1/1000)*(up_Irr!H13+up_Irr!AG13+up_Irr!BF13)),IF(AND(up_Irr!H13&lt;&gt;".",up_Irr!AG13&lt;&gt;".",up_Irr!BF13="."),up_dir!I13/((1/1000)*(up_Irr!H13+up_Irr!AG13)),IF(AND(up_Irr!H13&lt;&gt;".",up_Irr!AG13=".",up_Irr!BF13&lt;&gt;"."),up_dir!I13/((1/1000)*(up_Irr!H13+up_Irr!BF13)),IF(AND(up_Irr!H13=".",up_Irr!AG13&lt;&gt;".",up_Irr!BF13&lt;&gt;"."),up_dir!I13/((1/1000)*(up_Irr!AG13+up_Irr!BF13)),IF(AND(up_Irr!H13=".",up_Irr!AG13=".",up_Irr!BF13&lt;&gt;"."),up_dir!I13/((1/1000)*(up_Irr!BF13)),IF(AND(up_Irr!H13=".",up_Irr!AG13&lt;&gt;".",up_Irr!BF13="."),up_dir!I13/((1/1000)*(up_Irr!AG13)),IF(AND(up_Irr!H13&lt;&gt;".",up_Irr!AG13=".",up_Irr!BF13="."),up_dir!I13/((1/1000)*(up_Irr!H13)),IF(AND(up_Irr!H13=".",up_Irr!AG13=".",up_Irr!BF13="."),up_dir!I13*1000)))))))),".")</f>
        <v>6.5773651144152123E-11</v>
      </c>
      <c r="J13" s="76">
        <f>IFERROR(IF(AND(up_Irr!I13&lt;&gt;".",up_Irr!AH13&lt;&gt;".",up_Irr!BG13&lt;&gt;"."),up_dir!J13/((1/1000)*(up_Irr!I13+up_Irr!AH13+up_Irr!BG13)),IF(AND(up_Irr!I13&lt;&gt;".",up_Irr!AH13&lt;&gt;".",up_Irr!BG13="."),up_dir!J13/((1/1000)*(up_Irr!I13+up_Irr!AH13)),IF(AND(up_Irr!I13&lt;&gt;".",up_Irr!AH13=".",up_Irr!BG13&lt;&gt;"."),up_dir!J13/((1/1000)*(up_Irr!I13+up_Irr!BG13)),IF(AND(up_Irr!I13=".",up_Irr!AH13&lt;&gt;".",up_Irr!BG13&lt;&gt;"."),up_dir!J13/((1/1000)*(up_Irr!AH13+up_Irr!BG13)),IF(AND(up_Irr!I13=".",up_Irr!AH13=".",up_Irr!BG13&lt;&gt;"."),up_dir!J13/((1/1000)*(up_Irr!BG13)),IF(AND(up_Irr!I13=".",up_Irr!AH13&lt;&gt;".",up_Irr!BG13="."),up_dir!J13/((1/1000)*(up_Irr!AH13)),IF(AND(up_Irr!I13&lt;&gt;".",up_Irr!AH13=".",up_Irr!BG13="."),up_dir!J13/((1/1000)*(up_Irr!I13)),IF(AND(up_Irr!I13=".",up_Irr!AH13=".",up_Irr!BG13="."),up_dir!J13*1000)))))))),".")</f>
        <v>6.5773651144152123E-11</v>
      </c>
      <c r="K13" s="76">
        <f>IFERROR(IF(AND(up_Irr!J13&lt;&gt;".",up_Irr!AI13&lt;&gt;".",up_Irr!BH13&lt;&gt;"."),up_dir!K13/((1/1000)*(up_Irr!J13+up_Irr!AI13+up_Irr!BH13)),IF(AND(up_Irr!J13&lt;&gt;".",up_Irr!AI13&lt;&gt;".",up_Irr!BH13="."),up_dir!K13/((1/1000)*(up_Irr!J13+up_Irr!AI13)),IF(AND(up_Irr!J13&lt;&gt;".",up_Irr!AI13=".",up_Irr!BH13&lt;&gt;"."),up_dir!K13/((1/1000)*(up_Irr!J13+up_Irr!BH13)),IF(AND(up_Irr!J13=".",up_Irr!AI13&lt;&gt;".",up_Irr!BH13&lt;&gt;"."),up_dir!K13/((1/1000)*(up_Irr!AI13+up_Irr!BH13)),IF(AND(up_Irr!J13=".",up_Irr!AI13=".",up_Irr!BH13&lt;&gt;"."),up_dir!K13/((1/1000)*(up_Irr!BH13)),IF(AND(up_Irr!J13=".",up_Irr!AI13&lt;&gt;".",up_Irr!BH13="."),up_dir!K13/((1/1000)*(up_Irr!AI13)),IF(AND(up_Irr!J13&lt;&gt;".",up_Irr!AI13=".",up_Irr!BH13="."),up_dir!K13/((1/1000)*(up_Irr!J13)),IF(AND(up_Irr!J13=".",up_Irr!AI13=".",up_Irr!BH13="."),up_dir!K13*1000)))))))),".")</f>
        <v>6.5773651144152123E-11</v>
      </c>
      <c r="L13" s="76">
        <f>IFERROR(IF(AND(up_Irr!K13&lt;&gt;".",up_Irr!AJ13&lt;&gt;".",up_Irr!BI13&lt;&gt;"."),up_dir!L13/((1/1000)*(up_Irr!K13+up_Irr!AJ13+up_Irr!BI13)),IF(AND(up_Irr!K13&lt;&gt;".",up_Irr!AJ13&lt;&gt;".",up_Irr!BI13="."),up_dir!L13/((1/1000)*(up_Irr!K13+up_Irr!AJ13)),IF(AND(up_Irr!K13&lt;&gt;".",up_Irr!AJ13=".",up_Irr!BI13&lt;&gt;"."),up_dir!L13/((1/1000)*(up_Irr!K13+up_Irr!BI13)),IF(AND(up_Irr!K13=".",up_Irr!AJ13&lt;&gt;".",up_Irr!BI13&lt;&gt;"."),up_dir!L13/((1/1000)*(up_Irr!AJ13+up_Irr!BI13)),IF(AND(up_Irr!K13=".",up_Irr!AJ13=".",up_Irr!BI13&lt;&gt;"."),up_dir!L13/((1/1000)*(up_Irr!BI13)),IF(AND(up_Irr!K13=".",up_Irr!AJ13&lt;&gt;".",up_Irr!BI13="."),up_dir!L13/((1/1000)*(up_Irr!AJ13)),IF(AND(up_Irr!K13&lt;&gt;".",up_Irr!AJ13=".",up_Irr!BI13="."),up_dir!L13/((1/1000)*(up_Irr!K13)),IF(AND(up_Irr!K13=".",up_Irr!AJ13=".",up_Irr!BI13="."),up_dir!L13*1000)))))))),".")</f>
        <v>6.5773651144152123E-11</v>
      </c>
      <c r="M13" s="76">
        <f>IFERROR(IF(AND(up_Irr!L13&lt;&gt;".",up_Irr!AK13&lt;&gt;".",up_Irr!BJ13&lt;&gt;"."),up_dir!M13/((1/1000)*(up_Irr!L13+up_Irr!AK13+up_Irr!BJ13)),IF(AND(up_Irr!L13&lt;&gt;".",up_Irr!AK13&lt;&gt;".",up_Irr!BJ13="."),up_dir!M13/((1/1000)*(up_Irr!L13+up_Irr!AK13)),IF(AND(up_Irr!L13&lt;&gt;".",up_Irr!AK13=".",up_Irr!BJ13&lt;&gt;"."),up_dir!M13/((1/1000)*(up_Irr!L13+up_Irr!BJ13)),IF(AND(up_Irr!L13=".",up_Irr!AK13&lt;&gt;".",up_Irr!BJ13&lt;&gt;"."),up_dir!M13/((1/1000)*(up_Irr!AK13+up_Irr!BJ13)),IF(AND(up_Irr!L13=".",up_Irr!AK13=".",up_Irr!BJ13&lt;&gt;"."),up_dir!M13/((1/1000)*(up_Irr!BJ13)),IF(AND(up_Irr!L13=".",up_Irr!AK13&lt;&gt;".",up_Irr!BJ13="."),up_dir!M13/((1/1000)*(up_Irr!AK13)),IF(AND(up_Irr!L13&lt;&gt;".",up_Irr!AK13=".",up_Irr!BJ13="."),up_dir!M13/((1/1000)*(up_Irr!L13)),IF(AND(up_Irr!L13=".",up_Irr!AK13=".",up_Irr!BJ13="."),up_dir!M13*1000)))))))),".")</f>
        <v>6.5773651144152123E-11</v>
      </c>
      <c r="N13" s="76">
        <f>IFERROR(IF(AND(up_Irr!M13&lt;&gt;".",up_Irr!AL13&lt;&gt;".",up_Irr!BK13&lt;&gt;"."),up_dir!N13/((1/1000)*(up_Irr!M13+up_Irr!AL13+up_Irr!BK13)),IF(AND(up_Irr!M13&lt;&gt;".",up_Irr!AL13&lt;&gt;".",up_Irr!BK13="."),up_dir!N13/((1/1000)*(up_Irr!M13+up_Irr!AL13)),IF(AND(up_Irr!M13&lt;&gt;".",up_Irr!AL13=".",up_Irr!BK13&lt;&gt;"."),up_dir!N13/((1/1000)*(up_Irr!M13+up_Irr!BK13)),IF(AND(up_Irr!M13=".",up_Irr!AL13&lt;&gt;".",up_Irr!BK13&lt;&gt;"."),up_dir!N13/((1/1000)*(up_Irr!AL13+up_Irr!BK13)),IF(AND(up_Irr!M13=".",up_Irr!AL13=".",up_Irr!BK13&lt;&gt;"."),up_dir!N13/((1/1000)*(up_Irr!BK13)),IF(AND(up_Irr!M13=".",up_Irr!AL13&lt;&gt;".",up_Irr!BK13="."),up_dir!N13/((1/1000)*(up_Irr!AL13)),IF(AND(up_Irr!M13&lt;&gt;".",up_Irr!AL13=".",up_Irr!BK13="."),up_dir!N13/((1/1000)*(up_Irr!M13)),IF(AND(up_Irr!M13=".",up_Irr!AL13=".",up_Irr!BK13="."),up_dir!N13*1000)))))))),".")</f>
        <v>6.5773651144152123E-11</v>
      </c>
      <c r="O13" s="76">
        <f>IFERROR(IF(AND(up_Irr!N13&lt;&gt;".",up_Irr!AM13&lt;&gt;".",up_Irr!BL13&lt;&gt;"."),up_dir!O13/((1/1000)*(up_Irr!N13+up_Irr!AM13+up_Irr!BL13)),IF(AND(up_Irr!N13&lt;&gt;".",up_Irr!AM13&lt;&gt;".",up_Irr!BL13="."),up_dir!O13/((1/1000)*(up_Irr!N13+up_Irr!AM13)),IF(AND(up_Irr!N13&lt;&gt;".",up_Irr!AM13=".",up_Irr!BL13&lt;&gt;"."),up_dir!O13/((1/1000)*(up_Irr!N13+up_Irr!BL13)),IF(AND(up_Irr!N13=".",up_Irr!AM13&lt;&gt;".",up_Irr!BL13&lt;&gt;"."),up_dir!O13/((1/1000)*(up_Irr!AM13+up_Irr!BL13)),IF(AND(up_Irr!N13=".",up_Irr!AM13=".",up_Irr!BL13&lt;&gt;"."),up_dir!O13/((1/1000)*(up_Irr!BL13)),IF(AND(up_Irr!N13=".",up_Irr!AM13&lt;&gt;".",up_Irr!BL13="."),up_dir!O13/((1/1000)*(up_Irr!AM13)),IF(AND(up_Irr!N13&lt;&gt;".",up_Irr!AM13=".",up_Irr!BL13="."),up_dir!O13/((1/1000)*(up_Irr!N13)),IF(AND(up_Irr!N13=".",up_Irr!AM13=".",up_Irr!BL13="."),up_dir!O13*1000)))))))),".")</f>
        <v>6.5773651144152123E-11</v>
      </c>
      <c r="P13" s="76">
        <f>IFERROR(IF(AND(up_Irr!O13&lt;&gt;".",up_Irr!AN13&lt;&gt;".",up_Irr!BM13&lt;&gt;"."),up_dir!P13/((1/1000)*(up_Irr!O13+up_Irr!AN13+up_Irr!BM13)),IF(AND(up_Irr!O13&lt;&gt;".",up_Irr!AN13&lt;&gt;".",up_Irr!BM13="."),up_dir!P13/((1/1000)*(up_Irr!O13+up_Irr!AN13)),IF(AND(up_Irr!O13&lt;&gt;".",up_Irr!AN13=".",up_Irr!BM13&lt;&gt;"."),up_dir!P13/((1/1000)*(up_Irr!O13+up_Irr!BM13)),IF(AND(up_Irr!O13=".",up_Irr!AN13&lt;&gt;".",up_Irr!BM13&lt;&gt;"."),up_dir!P13/((1/1000)*(up_Irr!AN13+up_Irr!BM13)),IF(AND(up_Irr!O13=".",up_Irr!AN13=".",up_Irr!BM13&lt;&gt;"."),up_dir!P13/((1/1000)*(up_Irr!BM13)),IF(AND(up_Irr!O13=".",up_Irr!AN13&lt;&gt;".",up_Irr!BM13="."),up_dir!P13/((1/1000)*(up_Irr!AN13)),IF(AND(up_Irr!O13&lt;&gt;".",up_Irr!AN13=".",up_Irr!BM13="."),up_dir!P13/((1/1000)*(up_Irr!O13)),IF(AND(up_Irr!O13=".",up_Irr!AN13=".",up_Irr!BM13="."),up_dir!P13*1000)))))))),".")</f>
        <v>6.5773651144152123E-11</v>
      </c>
      <c r="Q13" s="76">
        <f>IFERROR(IF(AND(up_Irr!P13&lt;&gt;".",up_Irr!AO13&lt;&gt;".",up_Irr!BN13&lt;&gt;"."),up_dir!Q13/((1/1000)*(up_Irr!P13+up_Irr!AO13+up_Irr!BN13)),IF(AND(up_Irr!P13&lt;&gt;".",up_Irr!AO13&lt;&gt;".",up_Irr!BN13="."),up_dir!Q13/((1/1000)*(up_Irr!P13+up_Irr!AO13)),IF(AND(up_Irr!P13&lt;&gt;".",up_Irr!AO13=".",up_Irr!BN13&lt;&gt;"."),up_dir!Q13/((1/1000)*(up_Irr!P13+up_Irr!BN13)),IF(AND(up_Irr!P13=".",up_Irr!AO13&lt;&gt;".",up_Irr!BN13&lt;&gt;"."),up_dir!Q13/((1/1000)*(up_Irr!AO13+up_Irr!BN13)),IF(AND(up_Irr!P13=".",up_Irr!AO13=".",up_Irr!BN13&lt;&gt;"."),up_dir!Q13/((1/1000)*(up_Irr!BN13)),IF(AND(up_Irr!P13=".",up_Irr!AO13&lt;&gt;".",up_Irr!BN13="."),up_dir!Q13/((1/1000)*(up_Irr!AO13)),IF(AND(up_Irr!P13&lt;&gt;".",up_Irr!AO13=".",up_Irr!BN13="."),up_dir!Q13/((1/1000)*(up_Irr!P13)),IF(AND(up_Irr!P13=".",up_Irr!AO13=".",up_Irr!BN13="."),up_dir!Q13*1000)))))))),".")</f>
        <v>6.5773651144152123E-11</v>
      </c>
      <c r="R13" s="76">
        <f>IFERROR(IF(AND(up_Irr!Q13&lt;&gt;".",up_Irr!AP13&lt;&gt;".",up_Irr!BO13&lt;&gt;"."),up_dir!R13/((1/1000)*(up_Irr!Q13+up_Irr!AP13+up_Irr!BO13)),IF(AND(up_Irr!Q13&lt;&gt;".",up_Irr!AP13&lt;&gt;".",up_Irr!BO13="."),up_dir!R13/((1/1000)*(up_Irr!Q13+up_Irr!AP13)),IF(AND(up_Irr!Q13&lt;&gt;".",up_Irr!AP13=".",up_Irr!BO13&lt;&gt;"."),up_dir!R13/((1/1000)*(up_Irr!Q13+up_Irr!BO13)),IF(AND(up_Irr!Q13=".",up_Irr!AP13&lt;&gt;".",up_Irr!BO13&lt;&gt;"."),up_dir!R13/((1/1000)*(up_Irr!AP13+up_Irr!BO13)),IF(AND(up_Irr!Q13=".",up_Irr!AP13=".",up_Irr!BO13&lt;&gt;"."),up_dir!R13/((1/1000)*(up_Irr!BO13)),IF(AND(up_Irr!Q13=".",up_Irr!AP13&lt;&gt;".",up_Irr!BO13="."),up_dir!R13/((1/1000)*(up_Irr!AP13)),IF(AND(up_Irr!Q13&lt;&gt;".",up_Irr!AP13=".",up_Irr!BO13="."),up_dir!R13/((1/1000)*(up_Irr!Q13)),IF(AND(up_Irr!Q13=".",up_Irr!AP13=".",up_Irr!BO13="."),up_dir!R13*1000)))))))),".")</f>
        <v>6.5773651144152123E-11</v>
      </c>
      <c r="S13" s="76">
        <f>IFERROR(IF(AND(up_Irr!R13&lt;&gt;".",up_Irr!AQ13&lt;&gt;".",up_Irr!BP13&lt;&gt;"."),up_dir!S13/((1/1000)*(up_Irr!R13+up_Irr!AQ13+up_Irr!BP13)),IF(AND(up_Irr!R13&lt;&gt;".",up_Irr!AQ13&lt;&gt;".",up_Irr!BP13="."),up_dir!S13/((1/1000)*(up_Irr!R13+up_Irr!AQ13)),IF(AND(up_Irr!R13&lt;&gt;".",up_Irr!AQ13=".",up_Irr!BP13&lt;&gt;"."),up_dir!S13/((1/1000)*(up_Irr!R13+up_Irr!BP13)),IF(AND(up_Irr!R13=".",up_Irr!AQ13&lt;&gt;".",up_Irr!BP13&lt;&gt;"."),up_dir!S13/((1/1000)*(up_Irr!AQ13+up_Irr!BP13)),IF(AND(up_Irr!R13=".",up_Irr!AQ13=".",up_Irr!BP13&lt;&gt;"."),up_dir!S13/((1/1000)*(up_Irr!BP13)),IF(AND(up_Irr!R13=".",up_Irr!AQ13&lt;&gt;".",up_Irr!BP13="."),up_dir!S13/((1/1000)*(up_Irr!AQ13)),IF(AND(up_Irr!R13&lt;&gt;".",up_Irr!AQ13=".",up_Irr!BP13="."),up_dir!S13/((1/1000)*(up_Irr!R13)),IF(AND(up_Irr!R13=".",up_Irr!AQ13=".",up_Irr!BP13="."),up_dir!S13*1000)))))))),".")</f>
        <v>6.5773651144152123E-11</v>
      </c>
      <c r="T13" s="76">
        <f>IFERROR(IF(AND(up_Irr!S13&lt;&gt;".",up_Irr!AR13&lt;&gt;".",up_Irr!BQ13&lt;&gt;"."),up_dir!T13/((1/1000)*(up_Irr!S13+up_Irr!AR13+up_Irr!BQ13)),IF(AND(up_Irr!S13&lt;&gt;".",up_Irr!AR13&lt;&gt;".",up_Irr!BQ13="."),up_dir!T13/((1/1000)*(up_Irr!S13+up_Irr!AR13)),IF(AND(up_Irr!S13&lt;&gt;".",up_Irr!AR13=".",up_Irr!BQ13&lt;&gt;"."),up_dir!T13/((1/1000)*(up_Irr!S13+up_Irr!BQ13)),IF(AND(up_Irr!S13=".",up_Irr!AR13&lt;&gt;".",up_Irr!BQ13&lt;&gt;"."),up_dir!T13/((1/1000)*(up_Irr!AR13+up_Irr!BQ13)),IF(AND(up_Irr!S13=".",up_Irr!AR13=".",up_Irr!BQ13&lt;&gt;"."),up_dir!T13/((1/1000)*(up_Irr!BQ13)),IF(AND(up_Irr!S13=".",up_Irr!AR13&lt;&gt;".",up_Irr!BQ13="."),up_dir!T13/((1/1000)*(up_Irr!AR13)),IF(AND(up_Irr!S13&lt;&gt;".",up_Irr!AR13=".",up_Irr!BQ13="."),up_dir!T13/((1/1000)*(up_Irr!S13)),IF(AND(up_Irr!S13=".",up_Irr!AR13=".",up_Irr!BQ13="."),up_dir!T13*1000)))))))),".")</f>
        <v>6.5773651144152123E-11</v>
      </c>
      <c r="U13" s="76">
        <f>IFERROR(IF(AND(up_Irr!T13&lt;&gt;".",up_Irr!AS13&lt;&gt;".",up_Irr!BR13&lt;&gt;"."),up_dir!U13/((1/1000)*(up_Irr!T13+up_Irr!AS13+up_Irr!BR13)),IF(AND(up_Irr!T13&lt;&gt;".",up_Irr!AS13&lt;&gt;".",up_Irr!BR13="."),up_dir!U13/((1/1000)*(up_Irr!T13+up_Irr!AS13)),IF(AND(up_Irr!T13&lt;&gt;".",up_Irr!AS13=".",up_Irr!BR13&lt;&gt;"."),up_dir!U13/((1/1000)*(up_Irr!T13+up_Irr!BR13)),IF(AND(up_Irr!T13=".",up_Irr!AS13&lt;&gt;".",up_Irr!BR13&lt;&gt;"."),up_dir!U13/((1/1000)*(up_Irr!AS13+up_Irr!BR13)),IF(AND(up_Irr!T13=".",up_Irr!AS13=".",up_Irr!BR13&lt;&gt;"."),up_dir!U13/((1/1000)*(up_Irr!BR13)),IF(AND(up_Irr!T13=".",up_Irr!AS13&lt;&gt;".",up_Irr!BR13="."),up_dir!U13/((1/1000)*(up_Irr!AS13)),IF(AND(up_Irr!T13&lt;&gt;".",up_Irr!AS13=".",up_Irr!BR13="."),up_dir!U13/((1/1000)*(up_Irr!T13)),IF(AND(up_Irr!T13=".",up_Irr!AS13=".",up_Irr!BR13="."),up_dir!U13*1000)))))))),".")</f>
        <v>6.5773651144152123E-11</v>
      </c>
      <c r="V13" s="76">
        <f>IFERROR(IF(AND(up_Irr!U13&lt;&gt;".",up_Irr!AT13&lt;&gt;".",up_Irr!BS13&lt;&gt;"."),up_dir!V13/((1/1000)*(up_Irr!U13+up_Irr!AT13+up_Irr!BS13)),IF(AND(up_Irr!U13&lt;&gt;".",up_Irr!AT13&lt;&gt;".",up_Irr!BS13="."),up_dir!V13/((1/1000)*(up_Irr!U13+up_Irr!AT13)),IF(AND(up_Irr!U13&lt;&gt;".",up_Irr!AT13=".",up_Irr!BS13&lt;&gt;"."),up_dir!V13/((1/1000)*(up_Irr!U13+up_Irr!BS13)),IF(AND(up_Irr!U13=".",up_Irr!AT13&lt;&gt;".",up_Irr!BS13&lt;&gt;"."),up_dir!V13/((1/1000)*(up_Irr!AT13+up_Irr!BS13)),IF(AND(up_Irr!U13=".",up_Irr!AT13=".",up_Irr!BS13&lt;&gt;"."),up_dir!V13/((1/1000)*(up_Irr!BS13)),IF(AND(up_Irr!U13=".",up_Irr!AT13&lt;&gt;".",up_Irr!BS13="."),up_dir!V13/((1/1000)*(up_Irr!AT13)),IF(AND(up_Irr!U13&lt;&gt;".",up_Irr!AT13=".",up_Irr!BS13="."),up_dir!V13/((1/1000)*(up_Irr!U13)),IF(AND(up_Irr!U13=".",up_Irr!AT13=".",up_Irr!BS13="."),up_dir!V13*1000)))))))),".")</f>
        <v>6.5773651144152123E-11</v>
      </c>
      <c r="W13" s="76">
        <f>IFERROR(IF(AND(up_Irr!V13&lt;&gt;".",up_Irr!AU13&lt;&gt;".",up_Irr!BT13&lt;&gt;"."),up_dir!W13/((1/1000)*(up_Irr!V13+up_Irr!AU13+up_Irr!BT13)),IF(AND(up_Irr!V13&lt;&gt;".",up_Irr!AU13&lt;&gt;".",up_Irr!BT13="."),up_dir!W13/((1/1000)*(up_Irr!V13+up_Irr!AU13)),IF(AND(up_Irr!V13&lt;&gt;".",up_Irr!AU13=".",up_Irr!BT13&lt;&gt;"."),up_dir!W13/((1/1000)*(up_Irr!V13+up_Irr!BT13)),IF(AND(up_Irr!V13=".",up_Irr!AU13&lt;&gt;".",up_Irr!BT13&lt;&gt;"."),up_dir!W13/((1/1000)*(up_Irr!AU13+up_Irr!BT13)),IF(AND(up_Irr!V13=".",up_Irr!AU13=".",up_Irr!BT13&lt;&gt;"."),up_dir!W13/((1/1000)*(up_Irr!BT13)),IF(AND(up_Irr!V13=".",up_Irr!AU13&lt;&gt;".",up_Irr!BT13="."),up_dir!W13/((1/1000)*(up_Irr!AU13)),IF(AND(up_Irr!V13&lt;&gt;".",up_Irr!AU13=".",up_Irr!BT13="."),up_dir!W13/((1/1000)*(up_Irr!V13)),IF(AND(up_Irr!V13=".",up_Irr!AU13=".",up_Irr!BT13="."),up_dir!W13*1000)))))))),".")</f>
        <v>6.5773651144152123E-11</v>
      </c>
      <c r="X13" s="76">
        <f>IFERROR(IF(AND(up_Irr!W13&lt;&gt;".",up_Irr!AV13&lt;&gt;".",up_Irr!BU13&lt;&gt;"."),up_dir!X13/((1/1000)*(up_Irr!W13+up_Irr!AV13+up_Irr!BU13)),IF(AND(up_Irr!W13&lt;&gt;".",up_Irr!AV13&lt;&gt;".",up_Irr!BU13="."),up_dir!X13/((1/1000)*(up_Irr!W13+up_Irr!AV13)),IF(AND(up_Irr!W13&lt;&gt;".",up_Irr!AV13=".",up_Irr!BU13&lt;&gt;"."),up_dir!X13/((1/1000)*(up_Irr!W13+up_Irr!BU13)),IF(AND(up_Irr!W13=".",up_Irr!AV13&lt;&gt;".",up_Irr!BU13&lt;&gt;"."),up_dir!X13/((1/1000)*(up_Irr!AV13+up_Irr!BU13)),IF(AND(up_Irr!W13=".",up_Irr!AV13=".",up_Irr!BU13&lt;&gt;"."),up_dir!X13/((1/1000)*(up_Irr!BU13)),IF(AND(up_Irr!W13=".",up_Irr!AV13&lt;&gt;".",up_Irr!BU13="."),up_dir!X13/((1/1000)*(up_Irr!AV13)),IF(AND(up_Irr!W13&lt;&gt;".",up_Irr!AV13=".",up_Irr!BU13="."),up_dir!X13/((1/1000)*(up_Irr!W13)),IF(AND(up_Irr!W13=".",up_Irr!AV13=".",up_Irr!BU13="."),up_dir!X13*1000)))))))),".")</f>
        <v>6.5773651144152123E-11</v>
      </c>
      <c r="Y13" s="76">
        <f>IFERROR(IF(AND(up_Irr!X13&lt;&gt;".",up_Irr!AW13&lt;&gt;".",up_Irr!BV13&lt;&gt;"."),up_dir!Y13/((1/1000)*(up_Irr!X13+up_Irr!AW13+up_Irr!BV13)),IF(AND(up_Irr!X13&lt;&gt;".",up_Irr!AW13&lt;&gt;".",up_Irr!BV13="."),up_dir!Y13/((1/1000)*(up_Irr!X13+up_Irr!AW13)),IF(AND(up_Irr!X13&lt;&gt;".",up_Irr!AW13=".",up_Irr!BV13&lt;&gt;"."),up_dir!Y13/((1/1000)*(up_Irr!X13+up_Irr!BV13)),IF(AND(up_Irr!X13=".",up_Irr!AW13&lt;&gt;".",up_Irr!BV13&lt;&gt;"."),up_dir!Y13/((1/1000)*(up_Irr!AW13+up_Irr!BV13)),IF(AND(up_Irr!X13=".",up_Irr!AW13=".",up_Irr!BV13&lt;&gt;"."),up_dir!Y13/((1/1000)*(up_Irr!BV13)),IF(AND(up_Irr!X13=".",up_Irr!AW13&lt;&gt;".",up_Irr!BV13="."),up_dir!Y13/((1/1000)*(up_Irr!AW13)),IF(AND(up_Irr!X13&lt;&gt;".",up_Irr!AW13=".",up_Irr!BV13="."),up_dir!Y13/((1/1000)*(up_Irr!X13)),IF(AND(up_Irr!X13=".",up_Irr!AW13=".",up_Irr!BV13="."),up_dir!Y13*1000)))))))),".")</f>
        <v>6.5773651144152123E-11</v>
      </c>
      <c r="Z13" s="76">
        <f>IFERROR(IF(AND(up_Irr!Y13&lt;&gt;".",up_Irr!AX13&lt;&gt;".",up_Irr!BW13&lt;&gt;"."),up_dir!Z13/((1/1000)*(up_Irr!Y13+up_Irr!AX13+up_Irr!BW13)),IF(AND(up_Irr!Y13&lt;&gt;".",up_Irr!AX13&lt;&gt;".",up_Irr!BW13="."),up_dir!Z13/((1/1000)*(up_Irr!Y13+up_Irr!AX13)),IF(AND(up_Irr!Y13&lt;&gt;".",up_Irr!AX13=".",up_Irr!BW13&lt;&gt;"."),up_dir!Z13/((1/1000)*(up_Irr!Y13+up_Irr!BW13)),IF(AND(up_Irr!Y13=".",up_Irr!AX13&lt;&gt;".",up_Irr!BW13&lt;&gt;"."),up_dir!Z13/((1/1000)*(up_Irr!AX13+up_Irr!BW13)),IF(AND(up_Irr!Y13=".",up_Irr!AX13=".",up_Irr!BW13&lt;&gt;"."),up_dir!Z13/((1/1000)*(up_Irr!BW13)),IF(AND(up_Irr!Y13=".",up_Irr!AX13&lt;&gt;".",up_Irr!BW13="."),up_dir!Z13/((1/1000)*(up_Irr!AX13)),IF(AND(up_Irr!Y13&lt;&gt;".",up_Irr!AX13=".",up_Irr!BW13="."),up_dir!Z13/((1/1000)*(up_Irr!Y13)),IF(AND(up_Irr!Y13=".",up_Irr!AX13=".",up_Irr!BW13="."),up_dir!Z13*1000)))))))),".")</f>
        <v>6.5773651144152123E-11</v>
      </c>
      <c r="AA13" s="76">
        <f>IFERROR(IF(AND(up_Irr!Z13&lt;&gt;".",up_Irr!AY13&lt;&gt;".",up_Irr!BX13&lt;&gt;"."),up_dir!AA13/((1/1000)*(up_Irr!Z13+up_Irr!AY13+up_Irr!BX13)),IF(AND(up_Irr!Z13&lt;&gt;".",up_Irr!AY13&lt;&gt;".",up_Irr!BX13="."),up_dir!AA13/((1/1000)*(up_Irr!Z13+up_Irr!AY13)),IF(AND(up_Irr!Z13&lt;&gt;".",up_Irr!AY13=".",up_Irr!BX13&lt;&gt;"."),up_dir!AA13/((1/1000)*(up_Irr!Z13+up_Irr!BX13)),IF(AND(up_Irr!Z13=".",up_Irr!AY13&lt;&gt;".",up_Irr!BX13&lt;&gt;"."),up_dir!AA13/((1/1000)*(up_Irr!AY13+up_Irr!BX13)),IF(AND(up_Irr!Z13=".",up_Irr!AY13=".",up_Irr!BX13&lt;&gt;"."),up_dir!AA13/((1/1000)*(up_Irr!BX13)),IF(AND(up_Irr!Z13=".",up_Irr!AY13&lt;&gt;".",up_Irr!BX13="."),up_dir!AA13/((1/1000)*(up_Irr!AY13)),IF(AND(up_Irr!Z13&lt;&gt;".",up_Irr!AY13=".",up_Irr!BX13="."),up_dir!AA13/((1/1000)*(up_Irr!Z13)),IF(AND(up_Irr!Z13=".",up_Irr!AY13=".",up_Irr!BX13="."),up_dir!AA13*1000)))))))),".")</f>
        <v>6.5773651144152123E-11</v>
      </c>
      <c r="AB13" s="76">
        <f>IFERROR(IF(AND(up_Irr!AA13&lt;&gt;".",up_Irr!AZ13&lt;&gt;".",up_Irr!BY13&lt;&gt;"."),up_dir!AB13/((1/1000)*(up_Irr!AA13+up_Irr!AZ13+up_Irr!BY13)),IF(AND(up_Irr!AA13&lt;&gt;".",up_Irr!AZ13&lt;&gt;".",up_Irr!BY13="."),up_dir!AB13/((1/1000)*(up_Irr!AA13+up_Irr!AZ13)),IF(AND(up_Irr!AA13&lt;&gt;".",up_Irr!AZ13=".",up_Irr!BY13&lt;&gt;"."),up_dir!AB13/((1/1000)*(up_Irr!AA13+up_Irr!BY13)),IF(AND(up_Irr!AA13=".",up_Irr!AZ13&lt;&gt;".",up_Irr!BY13&lt;&gt;"."),up_dir!AB13/((1/1000)*(up_Irr!AZ13+up_Irr!BY13)),IF(AND(up_Irr!AA13=".",up_Irr!AZ13=".",up_Irr!BY13&lt;&gt;"."),up_dir!AB13/((1/1000)*(up_Irr!BY13)),IF(AND(up_Irr!AA13=".",up_Irr!AZ13&lt;&gt;".",up_Irr!BY13="."),up_dir!AB13/((1/1000)*(up_Irr!AZ13)),IF(AND(up_Irr!AA13&lt;&gt;".",up_Irr!AZ13=".",up_Irr!BY13="."),up_dir!AB13/((1/1000)*(up_Irr!AA13)),IF(AND(up_Irr!AA13=".",up_Irr!AZ13=".",up_Irr!BY13="."),up_dir!AB13*1000)))))))),".")</f>
        <v>6.5773651144152123E-11</v>
      </c>
      <c r="AC13" s="93">
        <f t="shared" si="1"/>
        <v>608146.26076229871</v>
      </c>
      <c r="AD13" s="93">
        <f>IFERROR(s_C*s_IFAP_res_adj*s_CF_apple*0.001*(up_Irr!C13+up_Irr!AB13+up_Irr!BA13),".")</f>
        <v>152036.56519057468</v>
      </c>
      <c r="AE13" s="93">
        <f>IFERROR(s_C*s_IFAS_res_adj*s_CF_asparagus*0.001*(up_Irr!D13+up_Irr!AC13+up_Irr!BB13),".")</f>
        <v>152036.56519057468</v>
      </c>
      <c r="AF13" s="93">
        <f>IFERROR(s_C*s_IFBT_res_adj*s_CF_beet*0.001*(up_Irr!E13+up_Irr!AD13+up_Irr!BC13),".")</f>
        <v>152036.56519057468</v>
      </c>
      <c r="AG13" s="93">
        <f>IFERROR(s_C*s_IFBE_res_adj*s_CF_berries*0.001*(up_Irr!F13+up_Irr!AE13+up_Irr!BD13),".")</f>
        <v>152036.56519057468</v>
      </c>
      <c r="AH13" s="93">
        <f>IFERROR(s_C*s_IFBR_res_adj*s_CF_broccoli*0.001*(up_Irr!G13+up_Irr!AF13+up_Irr!BE13),".")</f>
        <v>152036.56519057468</v>
      </c>
      <c r="AI13" s="93">
        <f>IFERROR(s_C*s_IFCB_res_adj*s_CF_cabbage*0.001*(up_Irr!H13+up_Irr!AG13+up_Irr!BF13),".")</f>
        <v>152036.56519057468</v>
      </c>
      <c r="AJ13" s="93">
        <f>IFERROR(s_C*s_IFCR_res_adj*s_CF_carrot*0.001*(up_Irr!I13+up_Irr!AH13+up_Irr!BG13),".")</f>
        <v>152036.56519057468</v>
      </c>
      <c r="AK13" s="93">
        <f>IFERROR(s_C*s_IFCI_res_adj*s_CF_citrus*0.001*(up_Irr!J13+up_Irr!AI13+up_Irr!BH13),".")</f>
        <v>152036.56519057468</v>
      </c>
      <c r="AL13" s="93">
        <f>IFERROR(s_C*s_IFCO_res_adj*s_CF_corn*0.001*(up_Irr!K13+up_Irr!AJ13+up_Irr!BI13),".")</f>
        <v>152036.56519057468</v>
      </c>
      <c r="AM13" s="93">
        <f>IFERROR(s_C*s_IFCU_res_adj*s_CF_cucumber*0.001*(up_Irr!L13+up_Irr!AK13+up_Irr!BJ13),".")</f>
        <v>152036.56519057468</v>
      </c>
      <c r="AN13" s="93">
        <f>IFERROR(s_C*s_IFLE_res_adj*s_CF_lettuce*0.001*(up_Irr!M13+up_Irr!AL13+up_Irr!BK13),".")</f>
        <v>152036.56519057468</v>
      </c>
      <c r="AO13" s="93">
        <f>IFERROR(s_C*s_IFLI_res_adj*s_CF_lima_bean*0.001*(up_Irr!N13+up_Irr!AM13+up_Irr!BL13),".")</f>
        <v>152036.56519057468</v>
      </c>
      <c r="AP13" s="93">
        <f>IFERROR(s_C*s_IFOK_res_adj*s_CF_okra*0.001*(up_Irr!O13+up_Irr!AN13+up_Irr!BM13),".")</f>
        <v>152036.56519057468</v>
      </c>
      <c r="AQ13" s="93">
        <f>IFERROR(s_C*s_IFON_res_adj*s_CF_onion*0.001*(up_Irr!P13+up_Irr!AO13+up_Irr!BN13),".")</f>
        <v>152036.56519057468</v>
      </c>
      <c r="AR13" s="93">
        <f>IFERROR(s_C*s_IFPC_res_adj*s_CF_peach*0.001*(up_Irr!Q13+up_Irr!AP13+up_Irr!BO13),".")</f>
        <v>152036.56519057468</v>
      </c>
      <c r="AS13" s="93">
        <f>IFERROR(s_C*s_IFPR_res_adj*s_CF_pear*0.001*(up_Irr!R13+up_Irr!AQ13+up_Irr!BP13),".")</f>
        <v>152036.56519057468</v>
      </c>
      <c r="AT13" s="93">
        <f>IFERROR(s_C*s_IFPE_res_adj*s_CF_peas*0.001*(up_Irr!S13+up_Irr!AR13+up_Irr!BQ13),".")</f>
        <v>152036.56519057468</v>
      </c>
      <c r="AU13" s="93">
        <f>IFERROR(s_C*s_IFPP_res_adj*s_CF_peppers*0.001*(up_Irr!T13+up_Irr!AS13+up_Irr!BR13),".")</f>
        <v>152036.56519057468</v>
      </c>
      <c r="AV13" s="93">
        <f>IFERROR(s_C*s_IFPT_res_adj*s_CF_potato*0.001*(up_Irr!U13+up_Irr!AT13+up_Irr!BS13),".")</f>
        <v>152036.56519057468</v>
      </c>
      <c r="AW13" s="93">
        <f>IFERROR(s_C*s_IFPU_res_adj*s_CF_pumpkin*0.001*(up_Irr!V13+up_Irr!AU13+up_Irr!BT13),".")</f>
        <v>152036.56519057468</v>
      </c>
      <c r="AX13" s="93">
        <f>IFERROR(s_C*s_IFSN_res_adj*s_CF_snap_bean*0.001*(up_Irr!W13+up_Irr!AV13+up_Irr!BU13),".")</f>
        <v>152036.56519057468</v>
      </c>
      <c r="AY13" s="93">
        <f>IFERROR(s_C*s_IFST_res_adj*s_CF_strawberry*0.001*(up_Irr!X13+up_Irr!AW13+up_Irr!BV13),".")</f>
        <v>152036.56519057468</v>
      </c>
      <c r="AZ13" s="93">
        <f>IFERROR(s_C*s_IFTO_res_adj*s_CF_tomato*0.001*(up_Irr!Y13+up_Irr!AX13+up_Irr!BW13),".")</f>
        <v>152036.56519057468</v>
      </c>
      <c r="BA13" s="93">
        <f>IFERROR(s_C*s_IFRI_res_adj*s_CF_rice*0.001*(up_Irr!Z13+up_Irr!AY13+up_Irr!BX13),".")</f>
        <v>152036.56519057468</v>
      </c>
      <c r="BB13" s="93">
        <f>IFERROR(s_C*s_IFCG_res_adj*s_CF_cereal*0.001*(up_Irr!AA13+up_Irr!AZ13+up_Irr!BY13),".")</f>
        <v>152036.56519057468</v>
      </c>
      <c r="BC13" s="76">
        <f t="shared" si="2"/>
        <v>1.6443412786038031E-11</v>
      </c>
      <c r="BD13" s="76">
        <f>IFERROR(IF(AND(up_Irr!C13&lt;&gt;".",up_Irr!AB13&lt;&gt;".",up_Irr!BA13&lt;&gt;"."),up_dir!AD13/((1/1000)*(up_Irr!C13+up_Irr!AB13+up_Irr!BA13)),IF(AND(up_Irr!C13&lt;&gt;".",up_Irr!AB13&lt;&gt;".",up_Irr!BA13="."),up_dir!AD13/((1/1000)*(up_Irr!C13+up_Irr!AB13)),IF(AND(up_Irr!C13&lt;&gt;".",up_Irr!AB13=".",up_Irr!BA13&lt;&gt;"."),up_dir!AD13/((1/1000)*(up_Irr!C13+up_Irr!BA13)),IF(AND(up_Irr!C13=".",up_Irr!AB13&lt;&gt;".",up_Irr!BA13&lt;&gt;"."),up_dir!AD13/((1/1000)*(up_Irr!AB13+up_Irr!BA13)),IF(AND(up_Irr!C13=".",up_Irr!AB13=".",up_Irr!BA13&lt;&gt;"."),up_dir!AD13/((1/1000)*(up_Irr!BA13)),IF(AND(up_Irr!C13=".",up_Irr!AB13&lt;&gt;".",up_Irr!BA13="."),up_dir!AD13/((1/1000)*(up_Irr!AB13)),IF(AND(up_Irr!C13&lt;&gt;".",up_Irr!AB13=".",up_Irr!BA13="."),up_dir!AD13/((1/1000)*(up_Irr!C13)),IF(AND(up_Irr!C13=".",up_Irr!AB13=".",up_Irr!BA13="."),up_dir!AD13*1000)))))))),".")</f>
        <v>6.5773651144152123E-11</v>
      </c>
      <c r="BE13" s="76">
        <f>IFERROR(IF(AND(up_Irr!D13&lt;&gt;".",up_Irr!AC13&lt;&gt;".",up_Irr!BB13&lt;&gt;"."),up_dir!AE13/((1/1000)*(up_Irr!D13+up_Irr!AC13+up_Irr!BB13)),IF(AND(up_Irr!D13&lt;&gt;".",up_Irr!AC13&lt;&gt;".",up_Irr!BB13="."),up_dir!AE13/((1/1000)*(up_Irr!D13+up_Irr!AC13)),IF(AND(up_Irr!D13&lt;&gt;".",up_Irr!AC13=".",up_Irr!BB13&lt;&gt;"."),up_dir!AE13/((1/1000)*(up_Irr!D13+up_Irr!BB13)),IF(AND(up_Irr!D13=".",up_Irr!AC13&lt;&gt;".",up_Irr!BB13&lt;&gt;"."),up_dir!AE13/((1/1000)*(up_Irr!AC13+up_Irr!BB13)),IF(AND(up_Irr!D13=".",up_Irr!AC13=".",up_Irr!BB13&lt;&gt;"."),up_dir!AE13/((1/1000)*(up_Irr!BB13)),IF(AND(up_Irr!D13=".",up_Irr!AC13&lt;&gt;".",up_Irr!BB13="."),up_dir!AE13/((1/1000)*(up_Irr!AC13)),IF(AND(up_Irr!D13&lt;&gt;".",up_Irr!AC13=".",up_Irr!BB13="."),up_dir!AE13/((1/1000)*(up_Irr!D13)),IF(AND(up_Irr!D13=".",up_Irr!AC13=".",up_Irr!BB13="."),up_dir!AE13*1000)))))))),".")</f>
        <v>6.5773651144152123E-11</v>
      </c>
      <c r="BF13" s="76">
        <f>IFERROR(IF(AND(up_Irr!E13&lt;&gt;".",up_Irr!AD13&lt;&gt;".",up_Irr!BC13&lt;&gt;"."),up_dir!AF13/((1/1000)*(up_Irr!E13+up_Irr!AD13+up_Irr!BC13)),IF(AND(up_Irr!E13&lt;&gt;".",up_Irr!AD13&lt;&gt;".",up_Irr!BC13="."),up_dir!AF13/((1/1000)*(up_Irr!E13+up_Irr!AD13)),IF(AND(up_Irr!E13&lt;&gt;".",up_Irr!AD13=".",up_Irr!BC13&lt;&gt;"."),up_dir!AF13/((1/1000)*(up_Irr!E13+up_Irr!BC13)),IF(AND(up_Irr!E13=".",up_Irr!AD13&lt;&gt;".",up_Irr!BC13&lt;&gt;"."),up_dir!AF13/((1/1000)*(up_Irr!AD13+up_Irr!BC13)),IF(AND(up_Irr!E13=".",up_Irr!AD13=".",up_Irr!BC13&lt;&gt;"."),up_dir!AF13/((1/1000)*(up_Irr!BC13)),IF(AND(up_Irr!E13=".",up_Irr!AD13&lt;&gt;".",up_Irr!BC13="."),up_dir!AF13/((1/1000)*(up_Irr!AD13)),IF(AND(up_Irr!E13&lt;&gt;".",up_Irr!AD13=".",up_Irr!BC13="."),up_dir!AF13/((1/1000)*(up_Irr!E13)),IF(AND(up_Irr!E13=".",up_Irr!AD13=".",up_Irr!BC13="."),up_dir!AF13*1000)))))))),".")</f>
        <v>6.5773651144152123E-11</v>
      </c>
      <c r="BG13" s="76">
        <f>IFERROR(IF(AND(up_Irr!F13&lt;&gt;".",up_Irr!AE13&lt;&gt;".",up_Irr!BD13&lt;&gt;"."),up_dir!AG13/((1/1000)*(up_Irr!F13+up_Irr!AE13+up_Irr!BD13)),IF(AND(up_Irr!F13&lt;&gt;".",up_Irr!AE13&lt;&gt;".",up_Irr!BD13="."),up_dir!AG13/((1/1000)*(up_Irr!F13+up_Irr!AE13)),IF(AND(up_Irr!F13&lt;&gt;".",up_Irr!AE13=".",up_Irr!BD13&lt;&gt;"."),up_dir!AG13/((1/1000)*(up_Irr!F13+up_Irr!BD13)),IF(AND(up_Irr!F13=".",up_Irr!AE13&lt;&gt;".",up_Irr!BD13&lt;&gt;"."),up_dir!AG13/((1/1000)*(up_Irr!AE13+up_Irr!BD13)),IF(AND(up_Irr!F13=".",up_Irr!AE13=".",up_Irr!BD13&lt;&gt;"."),up_dir!AG13/((1/1000)*(up_Irr!BD13)),IF(AND(up_Irr!F13=".",up_Irr!AE13&lt;&gt;".",up_Irr!BD13="."),up_dir!AG13/((1/1000)*(up_Irr!AE13)),IF(AND(up_Irr!F13&lt;&gt;".",up_Irr!AE13=".",up_Irr!BD13="."),up_dir!AG13/((1/1000)*(up_Irr!F13)),IF(AND(up_Irr!F13=".",up_Irr!AE13=".",up_Irr!BD13="."),up_dir!AG13*1000)))))))),".")</f>
        <v>6.5773651144152123E-11</v>
      </c>
      <c r="BH13" s="76">
        <f>IFERROR(IF(AND(up_Irr!G13&lt;&gt;".",up_Irr!AF13&lt;&gt;".",up_Irr!BE13&lt;&gt;"."),up_dir!AH13/((1/1000)*(up_Irr!G13+up_Irr!AF13+up_Irr!BE13)),IF(AND(up_Irr!G13&lt;&gt;".",up_Irr!AF13&lt;&gt;".",up_Irr!BE13="."),up_dir!AH13/((1/1000)*(up_Irr!G13+up_Irr!AF13)),IF(AND(up_Irr!G13&lt;&gt;".",up_Irr!AF13=".",up_Irr!BE13&lt;&gt;"."),up_dir!AH13/((1/1000)*(up_Irr!G13+up_Irr!BE13)),IF(AND(up_Irr!G13=".",up_Irr!AF13&lt;&gt;".",up_Irr!BE13&lt;&gt;"."),up_dir!AH13/((1/1000)*(up_Irr!AF13+up_Irr!BE13)),IF(AND(up_Irr!G13=".",up_Irr!AF13=".",up_Irr!BE13&lt;&gt;"."),up_dir!AH13/((1/1000)*(up_Irr!BE13)),IF(AND(up_Irr!G13=".",up_Irr!AF13&lt;&gt;".",up_Irr!BE13="."),up_dir!AH13/((1/1000)*(up_Irr!AF13)),IF(AND(up_Irr!G13&lt;&gt;".",up_Irr!AF13=".",up_Irr!BE13="."),up_dir!AH13/((1/1000)*(up_Irr!G13)),IF(AND(up_Irr!G13=".",up_Irr!AF13=".",up_Irr!BE13="."),up_dir!AH13*1000)))))))),".")</f>
        <v>6.5773651144152123E-11</v>
      </c>
      <c r="BI13" s="76">
        <f>IFERROR(IF(AND(up_Irr!H13&lt;&gt;".",up_Irr!AG13&lt;&gt;".",up_Irr!BF13&lt;&gt;"."),up_dir!AI13/((1/1000)*(up_Irr!H13+up_Irr!AG13+up_Irr!BF13)),IF(AND(up_Irr!H13&lt;&gt;".",up_Irr!AG13&lt;&gt;".",up_Irr!BF13="."),up_dir!AI13/((1/1000)*(up_Irr!H13+up_Irr!AG13)),IF(AND(up_Irr!H13&lt;&gt;".",up_Irr!AG13=".",up_Irr!BF13&lt;&gt;"."),up_dir!AI13/((1/1000)*(up_Irr!H13+up_Irr!BF13)),IF(AND(up_Irr!H13=".",up_Irr!AG13&lt;&gt;".",up_Irr!BF13&lt;&gt;"."),up_dir!AI13/((1/1000)*(up_Irr!AG13+up_Irr!BF13)),IF(AND(up_Irr!H13=".",up_Irr!AG13=".",up_Irr!BF13&lt;&gt;"."),up_dir!AI13/((1/1000)*(up_Irr!BF13)),IF(AND(up_Irr!H13=".",up_Irr!AG13&lt;&gt;".",up_Irr!BF13="."),up_dir!AI13/((1/1000)*(up_Irr!AG13)),IF(AND(up_Irr!H13&lt;&gt;".",up_Irr!AG13=".",up_Irr!BF13="."),up_dir!AI13/((1/1000)*(up_Irr!H13)),IF(AND(up_Irr!H13=".",up_Irr!AG13=".",up_Irr!BF13="."),up_dir!AI13*1000)))))))),".")</f>
        <v>6.5773651144152123E-11</v>
      </c>
      <c r="BJ13" s="76">
        <f>IFERROR(IF(AND(up_Irr!I13&lt;&gt;".",up_Irr!AH13&lt;&gt;".",up_Irr!BG13&lt;&gt;"."),up_dir!AJ13/((1/1000)*(up_Irr!I13+up_Irr!AH13+up_Irr!BG13)),IF(AND(up_Irr!I13&lt;&gt;".",up_Irr!AH13&lt;&gt;".",up_Irr!BG13="."),up_dir!AJ13/((1/1000)*(up_Irr!I13+up_Irr!AH13)),IF(AND(up_Irr!I13&lt;&gt;".",up_Irr!AH13=".",up_Irr!BG13&lt;&gt;"."),up_dir!AJ13/((1/1000)*(up_Irr!I13+up_Irr!BG13)),IF(AND(up_Irr!I13=".",up_Irr!AH13&lt;&gt;".",up_Irr!BG13&lt;&gt;"."),up_dir!AJ13/((1/1000)*(up_Irr!AH13+up_Irr!BG13)),IF(AND(up_Irr!I13=".",up_Irr!AH13=".",up_Irr!BG13&lt;&gt;"."),up_dir!AJ13/((1/1000)*(up_Irr!BG13)),IF(AND(up_Irr!I13=".",up_Irr!AH13&lt;&gt;".",up_Irr!BG13="."),up_dir!AJ13/((1/1000)*(up_Irr!AH13)),IF(AND(up_Irr!I13&lt;&gt;".",up_Irr!AH13=".",up_Irr!BG13="."),up_dir!AJ13/((1/1000)*(up_Irr!I13)),IF(AND(up_Irr!I13=".",up_Irr!AH13=".",up_Irr!BG13="."),up_dir!AJ13*1000)))))))),".")</f>
        <v>6.5773651144152123E-11</v>
      </c>
      <c r="BK13" s="76">
        <f>IFERROR(IF(AND(up_Irr!J13&lt;&gt;".",up_Irr!AI13&lt;&gt;".",up_Irr!BH13&lt;&gt;"."),up_dir!AK13/((1/1000)*(up_Irr!J13+up_Irr!AI13+up_Irr!BH13)),IF(AND(up_Irr!J13&lt;&gt;".",up_Irr!AI13&lt;&gt;".",up_Irr!BH13="."),up_dir!AK13/((1/1000)*(up_Irr!J13+up_Irr!AI13)),IF(AND(up_Irr!J13&lt;&gt;".",up_Irr!AI13=".",up_Irr!BH13&lt;&gt;"."),up_dir!AK13/((1/1000)*(up_Irr!J13+up_Irr!BH13)),IF(AND(up_Irr!J13=".",up_Irr!AI13&lt;&gt;".",up_Irr!BH13&lt;&gt;"."),up_dir!AK13/((1/1000)*(up_Irr!AI13+up_Irr!BH13)),IF(AND(up_Irr!J13=".",up_Irr!AI13=".",up_Irr!BH13&lt;&gt;"."),up_dir!AK13/((1/1000)*(up_Irr!BH13)),IF(AND(up_Irr!J13=".",up_Irr!AI13&lt;&gt;".",up_Irr!BH13="."),up_dir!AK13/((1/1000)*(up_Irr!AI13)),IF(AND(up_Irr!J13&lt;&gt;".",up_Irr!AI13=".",up_Irr!BH13="."),up_dir!AK13/((1/1000)*(up_Irr!J13)),IF(AND(up_Irr!J13=".",up_Irr!AI13=".",up_Irr!BH13="."),up_dir!AK13*1000)))))))),".")</f>
        <v>6.5773651144152123E-11</v>
      </c>
      <c r="BL13" s="76">
        <f>IFERROR(IF(AND(up_Irr!K13&lt;&gt;".",up_Irr!AJ13&lt;&gt;".",up_Irr!BI13&lt;&gt;"."),up_dir!AL13/((1/1000)*(up_Irr!K13+up_Irr!AJ13+up_Irr!BI13)),IF(AND(up_Irr!K13&lt;&gt;".",up_Irr!AJ13&lt;&gt;".",up_Irr!BI13="."),up_dir!AL13/((1/1000)*(up_Irr!K13+up_Irr!AJ13)),IF(AND(up_Irr!K13&lt;&gt;".",up_Irr!AJ13=".",up_Irr!BI13&lt;&gt;"."),up_dir!AL13/((1/1000)*(up_Irr!K13+up_Irr!BI13)),IF(AND(up_Irr!K13=".",up_Irr!AJ13&lt;&gt;".",up_Irr!BI13&lt;&gt;"."),up_dir!AL13/((1/1000)*(up_Irr!AJ13+up_Irr!BI13)),IF(AND(up_Irr!K13=".",up_Irr!AJ13=".",up_Irr!BI13&lt;&gt;"."),up_dir!AL13/((1/1000)*(up_Irr!BI13)),IF(AND(up_Irr!K13=".",up_Irr!AJ13&lt;&gt;".",up_Irr!BI13="."),up_dir!AL13/((1/1000)*(up_Irr!AJ13)),IF(AND(up_Irr!K13&lt;&gt;".",up_Irr!AJ13=".",up_Irr!BI13="."),up_dir!AL13/((1/1000)*(up_Irr!K13)),IF(AND(up_Irr!K13=".",up_Irr!AJ13=".",up_Irr!BI13="."),up_dir!AL13*1000)))))))),".")</f>
        <v>6.5773651144152123E-11</v>
      </c>
      <c r="BM13" s="76">
        <f>IFERROR(IF(AND(up_Irr!L13&lt;&gt;".",up_Irr!AK13&lt;&gt;".",up_Irr!BJ13&lt;&gt;"."),up_dir!AM13/((1/1000)*(up_Irr!L13+up_Irr!AK13+up_Irr!BJ13)),IF(AND(up_Irr!L13&lt;&gt;".",up_Irr!AK13&lt;&gt;".",up_Irr!BJ13="."),up_dir!AM13/((1/1000)*(up_Irr!L13+up_Irr!AK13)),IF(AND(up_Irr!L13&lt;&gt;".",up_Irr!AK13=".",up_Irr!BJ13&lt;&gt;"."),up_dir!AM13/((1/1000)*(up_Irr!L13+up_Irr!BJ13)),IF(AND(up_Irr!L13=".",up_Irr!AK13&lt;&gt;".",up_Irr!BJ13&lt;&gt;"."),up_dir!AM13/((1/1000)*(up_Irr!AK13+up_Irr!BJ13)),IF(AND(up_Irr!L13=".",up_Irr!AK13=".",up_Irr!BJ13&lt;&gt;"."),up_dir!AM13/((1/1000)*(up_Irr!BJ13)),IF(AND(up_Irr!L13=".",up_Irr!AK13&lt;&gt;".",up_Irr!BJ13="."),up_dir!AM13/((1/1000)*(up_Irr!AK13)),IF(AND(up_Irr!L13&lt;&gt;".",up_Irr!AK13=".",up_Irr!BJ13="."),up_dir!AM13/((1/1000)*(up_Irr!L13)),IF(AND(up_Irr!L13=".",up_Irr!AK13=".",up_Irr!BJ13="."),up_dir!AM13*1000)))))))),".")</f>
        <v>6.5773651144152123E-11</v>
      </c>
      <c r="BN13" s="76">
        <f>IFERROR(IF(AND(up_Irr!M13&lt;&gt;".",up_Irr!AL13&lt;&gt;".",up_Irr!BK13&lt;&gt;"."),up_dir!AN13/((1/1000)*(up_Irr!M13+up_Irr!AL13+up_Irr!BK13)),IF(AND(up_Irr!M13&lt;&gt;".",up_Irr!AL13&lt;&gt;".",up_Irr!BK13="."),up_dir!AN13/((1/1000)*(up_Irr!M13+up_Irr!AL13)),IF(AND(up_Irr!M13&lt;&gt;".",up_Irr!AL13=".",up_Irr!BK13&lt;&gt;"."),up_dir!AN13/((1/1000)*(up_Irr!M13+up_Irr!BK13)),IF(AND(up_Irr!M13=".",up_Irr!AL13&lt;&gt;".",up_Irr!BK13&lt;&gt;"."),up_dir!AN13/((1/1000)*(up_Irr!AL13+up_Irr!BK13)),IF(AND(up_Irr!M13=".",up_Irr!AL13=".",up_Irr!BK13&lt;&gt;"."),up_dir!AN13/((1/1000)*(up_Irr!BK13)),IF(AND(up_Irr!M13=".",up_Irr!AL13&lt;&gt;".",up_Irr!BK13="."),up_dir!AN13/((1/1000)*(up_Irr!AL13)),IF(AND(up_Irr!M13&lt;&gt;".",up_Irr!AL13=".",up_Irr!BK13="."),up_dir!AN13/((1/1000)*(up_Irr!M13)),IF(AND(up_Irr!M13=".",up_Irr!AL13=".",up_Irr!BK13="."),up_dir!AN13*1000)))))))),".")</f>
        <v>6.5773651144152123E-11</v>
      </c>
      <c r="BO13" s="76">
        <f>IFERROR(IF(AND(up_Irr!N13&lt;&gt;".",up_Irr!AM13&lt;&gt;".",up_Irr!BL13&lt;&gt;"."),up_dir!AO13/((1/1000)*(up_Irr!N13+up_Irr!AM13+up_Irr!BL13)),IF(AND(up_Irr!N13&lt;&gt;".",up_Irr!AM13&lt;&gt;".",up_Irr!BL13="."),up_dir!AO13/((1/1000)*(up_Irr!N13+up_Irr!AM13)),IF(AND(up_Irr!N13&lt;&gt;".",up_Irr!AM13=".",up_Irr!BL13&lt;&gt;"."),up_dir!AO13/((1/1000)*(up_Irr!N13+up_Irr!BL13)),IF(AND(up_Irr!N13=".",up_Irr!AM13&lt;&gt;".",up_Irr!BL13&lt;&gt;"."),up_dir!AO13/((1/1000)*(up_Irr!AM13+up_Irr!BL13)),IF(AND(up_Irr!N13=".",up_Irr!AM13=".",up_Irr!BL13&lt;&gt;"."),up_dir!AO13/((1/1000)*(up_Irr!BL13)),IF(AND(up_Irr!N13=".",up_Irr!AM13&lt;&gt;".",up_Irr!BL13="."),up_dir!AO13/((1/1000)*(up_Irr!AM13)),IF(AND(up_Irr!N13&lt;&gt;".",up_Irr!AM13=".",up_Irr!BL13="."),up_dir!AO13/((1/1000)*(up_Irr!N13)),IF(AND(up_Irr!N13=".",up_Irr!AM13=".",up_Irr!BL13="."),up_dir!AO13*1000)))))))),".")</f>
        <v>6.5773651144152123E-11</v>
      </c>
      <c r="BP13" s="76">
        <f>IFERROR(IF(AND(up_Irr!O13&lt;&gt;".",up_Irr!AN13&lt;&gt;".",up_Irr!BM13&lt;&gt;"."),up_dir!AP13/((1/1000)*(up_Irr!O13+up_Irr!AN13+up_Irr!BM13)),IF(AND(up_Irr!O13&lt;&gt;".",up_Irr!AN13&lt;&gt;".",up_Irr!BM13="."),up_dir!AP13/((1/1000)*(up_Irr!O13+up_Irr!AN13)),IF(AND(up_Irr!O13&lt;&gt;".",up_Irr!AN13=".",up_Irr!BM13&lt;&gt;"."),up_dir!AP13/((1/1000)*(up_Irr!O13+up_Irr!BM13)),IF(AND(up_Irr!O13=".",up_Irr!AN13&lt;&gt;".",up_Irr!BM13&lt;&gt;"."),up_dir!AP13/((1/1000)*(up_Irr!AN13+up_Irr!BM13)),IF(AND(up_Irr!O13=".",up_Irr!AN13=".",up_Irr!BM13&lt;&gt;"."),up_dir!AP13/((1/1000)*(up_Irr!BM13)),IF(AND(up_Irr!O13=".",up_Irr!AN13&lt;&gt;".",up_Irr!BM13="."),up_dir!AP13/((1/1000)*(up_Irr!AN13)),IF(AND(up_Irr!O13&lt;&gt;".",up_Irr!AN13=".",up_Irr!BM13="."),up_dir!AP13/((1/1000)*(up_Irr!O13)),IF(AND(up_Irr!O13=".",up_Irr!AN13=".",up_Irr!BM13="."),up_dir!AP13*1000)))))))),".")</f>
        <v>6.5773651144152123E-11</v>
      </c>
      <c r="BQ13" s="76">
        <f>IFERROR(IF(AND(up_Irr!P13&lt;&gt;".",up_Irr!AO13&lt;&gt;".",up_Irr!BN13&lt;&gt;"."),up_dir!AQ13/((1/1000)*(up_Irr!P13+up_Irr!AO13+up_Irr!BN13)),IF(AND(up_Irr!P13&lt;&gt;".",up_Irr!AO13&lt;&gt;".",up_Irr!BN13="."),up_dir!AQ13/((1/1000)*(up_Irr!P13+up_Irr!AO13)),IF(AND(up_Irr!P13&lt;&gt;".",up_Irr!AO13=".",up_Irr!BN13&lt;&gt;"."),up_dir!AQ13/((1/1000)*(up_Irr!P13+up_Irr!BN13)),IF(AND(up_Irr!P13=".",up_Irr!AO13&lt;&gt;".",up_Irr!BN13&lt;&gt;"."),up_dir!AQ13/((1/1000)*(up_Irr!AO13+up_Irr!BN13)),IF(AND(up_Irr!P13=".",up_Irr!AO13=".",up_Irr!BN13&lt;&gt;"."),up_dir!AQ13/((1/1000)*(up_Irr!BN13)),IF(AND(up_Irr!P13=".",up_Irr!AO13&lt;&gt;".",up_Irr!BN13="."),up_dir!AQ13/((1/1000)*(up_Irr!AO13)),IF(AND(up_Irr!P13&lt;&gt;".",up_Irr!AO13=".",up_Irr!BN13="."),up_dir!AQ13/((1/1000)*(up_Irr!P13)),IF(AND(up_Irr!P13=".",up_Irr!AO13=".",up_Irr!BN13="."),up_dir!AQ13*1000)))))))),".")</f>
        <v>6.5773651144152123E-11</v>
      </c>
      <c r="BR13" s="76">
        <f>IFERROR(IF(AND(up_Irr!Q13&lt;&gt;".",up_Irr!AP13&lt;&gt;".",up_Irr!BO13&lt;&gt;"."),up_dir!AR13/((1/1000)*(up_Irr!Q13+up_Irr!AP13+up_Irr!BO13)),IF(AND(up_Irr!Q13&lt;&gt;".",up_Irr!AP13&lt;&gt;".",up_Irr!BO13="."),up_dir!AR13/((1/1000)*(up_Irr!Q13+up_Irr!AP13)),IF(AND(up_Irr!Q13&lt;&gt;".",up_Irr!AP13=".",up_Irr!BO13&lt;&gt;"."),up_dir!AR13/((1/1000)*(up_Irr!Q13+up_Irr!BO13)),IF(AND(up_Irr!Q13=".",up_Irr!AP13&lt;&gt;".",up_Irr!BO13&lt;&gt;"."),up_dir!AR13/((1/1000)*(up_Irr!AP13+up_Irr!BO13)),IF(AND(up_Irr!Q13=".",up_Irr!AP13=".",up_Irr!BO13&lt;&gt;"."),up_dir!AR13/((1/1000)*(up_Irr!BO13)),IF(AND(up_Irr!Q13=".",up_Irr!AP13&lt;&gt;".",up_Irr!BO13="."),up_dir!AR13/((1/1000)*(up_Irr!AP13)),IF(AND(up_Irr!Q13&lt;&gt;".",up_Irr!AP13=".",up_Irr!BO13="."),up_dir!AR13/((1/1000)*(up_Irr!Q13)),IF(AND(up_Irr!Q13=".",up_Irr!AP13=".",up_Irr!BO13="."),up_dir!AR13*1000)))))))),".")</f>
        <v>6.5773651144152123E-11</v>
      </c>
      <c r="BS13" s="76">
        <f>IFERROR(IF(AND(up_Irr!R13&lt;&gt;".",up_Irr!AQ13&lt;&gt;".",up_Irr!BP13&lt;&gt;"."),up_dir!AS13/((1/1000)*(up_Irr!R13+up_Irr!AQ13+up_Irr!BP13)),IF(AND(up_Irr!R13&lt;&gt;".",up_Irr!AQ13&lt;&gt;".",up_Irr!BP13="."),up_dir!AS13/((1/1000)*(up_Irr!R13+up_Irr!AQ13)),IF(AND(up_Irr!R13&lt;&gt;".",up_Irr!AQ13=".",up_Irr!BP13&lt;&gt;"."),up_dir!AS13/((1/1000)*(up_Irr!R13+up_Irr!BP13)),IF(AND(up_Irr!R13=".",up_Irr!AQ13&lt;&gt;".",up_Irr!BP13&lt;&gt;"."),up_dir!AS13/((1/1000)*(up_Irr!AQ13+up_Irr!BP13)),IF(AND(up_Irr!R13=".",up_Irr!AQ13=".",up_Irr!BP13&lt;&gt;"."),up_dir!AS13/((1/1000)*(up_Irr!BP13)),IF(AND(up_Irr!R13=".",up_Irr!AQ13&lt;&gt;".",up_Irr!BP13="."),up_dir!AS13/((1/1000)*(up_Irr!AQ13)),IF(AND(up_Irr!R13&lt;&gt;".",up_Irr!AQ13=".",up_Irr!BP13="."),up_dir!AS13/((1/1000)*(up_Irr!R13)),IF(AND(up_Irr!R13=".",up_Irr!AQ13=".",up_Irr!BP13="."),up_dir!AS13*1000)))))))),".")</f>
        <v>6.5773651144152123E-11</v>
      </c>
      <c r="BT13" s="76">
        <f>IFERROR(IF(AND(up_Irr!S13&lt;&gt;".",up_Irr!AR13&lt;&gt;".",up_Irr!BQ13&lt;&gt;"."),up_dir!AT13/((1/1000)*(up_Irr!S13+up_Irr!AR13+up_Irr!BQ13)),IF(AND(up_Irr!S13&lt;&gt;".",up_Irr!AR13&lt;&gt;".",up_Irr!BQ13="."),up_dir!AT13/((1/1000)*(up_Irr!S13+up_Irr!AR13)),IF(AND(up_Irr!S13&lt;&gt;".",up_Irr!AR13=".",up_Irr!BQ13&lt;&gt;"."),up_dir!AT13/((1/1000)*(up_Irr!S13+up_Irr!BQ13)),IF(AND(up_Irr!S13=".",up_Irr!AR13&lt;&gt;".",up_Irr!BQ13&lt;&gt;"."),up_dir!AT13/((1/1000)*(up_Irr!AR13+up_Irr!BQ13)),IF(AND(up_Irr!S13=".",up_Irr!AR13=".",up_Irr!BQ13&lt;&gt;"."),up_dir!AT13/((1/1000)*(up_Irr!BQ13)),IF(AND(up_Irr!S13=".",up_Irr!AR13&lt;&gt;".",up_Irr!BQ13="."),up_dir!AT13/((1/1000)*(up_Irr!AR13)),IF(AND(up_Irr!S13&lt;&gt;".",up_Irr!AR13=".",up_Irr!BQ13="."),up_dir!AT13/((1/1000)*(up_Irr!S13)),IF(AND(up_Irr!S13=".",up_Irr!AR13=".",up_Irr!BQ13="."),up_dir!AT13*1000)))))))),".")</f>
        <v>6.5773651144152123E-11</v>
      </c>
      <c r="BU13" s="76">
        <f>IFERROR(IF(AND(up_Irr!T13&lt;&gt;".",up_Irr!AS13&lt;&gt;".",up_Irr!BR13&lt;&gt;"."),up_dir!AU13/((1/1000)*(up_Irr!T13+up_Irr!AS13+up_Irr!BR13)),IF(AND(up_Irr!T13&lt;&gt;".",up_Irr!AS13&lt;&gt;".",up_Irr!BR13="."),up_dir!AU13/((1/1000)*(up_Irr!T13+up_Irr!AS13)),IF(AND(up_Irr!T13&lt;&gt;".",up_Irr!AS13=".",up_Irr!BR13&lt;&gt;"."),up_dir!AU13/((1/1000)*(up_Irr!T13+up_Irr!BR13)),IF(AND(up_Irr!T13=".",up_Irr!AS13&lt;&gt;".",up_Irr!BR13&lt;&gt;"."),up_dir!AU13/((1/1000)*(up_Irr!AS13+up_Irr!BR13)),IF(AND(up_Irr!T13=".",up_Irr!AS13=".",up_Irr!BR13&lt;&gt;"."),up_dir!AU13/((1/1000)*(up_Irr!BR13)),IF(AND(up_Irr!T13=".",up_Irr!AS13&lt;&gt;".",up_Irr!BR13="."),up_dir!AU13/((1/1000)*(up_Irr!AS13)),IF(AND(up_Irr!T13&lt;&gt;".",up_Irr!AS13=".",up_Irr!BR13="."),up_dir!AU13/((1/1000)*(up_Irr!T13)),IF(AND(up_Irr!T13=".",up_Irr!AS13=".",up_Irr!BR13="."),up_dir!AU13*1000)))))))),".")</f>
        <v>6.5773651144152123E-11</v>
      </c>
      <c r="BV13" s="76">
        <f>IFERROR(IF(AND(up_Irr!U13&lt;&gt;".",up_Irr!AT13&lt;&gt;".",up_Irr!BS13&lt;&gt;"."),up_dir!AV13/((1/1000)*(up_Irr!U13+up_Irr!AT13+up_Irr!BS13)),IF(AND(up_Irr!U13&lt;&gt;".",up_Irr!AT13&lt;&gt;".",up_Irr!BS13="."),up_dir!AV13/((1/1000)*(up_Irr!U13+up_Irr!AT13)),IF(AND(up_Irr!U13&lt;&gt;".",up_Irr!AT13=".",up_Irr!BS13&lt;&gt;"."),up_dir!AV13/((1/1000)*(up_Irr!U13+up_Irr!BS13)),IF(AND(up_Irr!U13=".",up_Irr!AT13&lt;&gt;".",up_Irr!BS13&lt;&gt;"."),up_dir!AV13/((1/1000)*(up_Irr!AT13+up_Irr!BS13)),IF(AND(up_Irr!U13=".",up_Irr!AT13=".",up_Irr!BS13&lt;&gt;"."),up_dir!AV13/((1/1000)*(up_Irr!BS13)),IF(AND(up_Irr!U13=".",up_Irr!AT13&lt;&gt;".",up_Irr!BS13="."),up_dir!AV13/((1/1000)*(up_Irr!AT13)),IF(AND(up_Irr!U13&lt;&gt;".",up_Irr!AT13=".",up_Irr!BS13="."),up_dir!AV13/((1/1000)*(up_Irr!U13)),IF(AND(up_Irr!U13=".",up_Irr!AT13=".",up_Irr!BS13="."),up_dir!AV13*1000)))))))),".")</f>
        <v>6.5773651144152123E-11</v>
      </c>
      <c r="BW13" s="76">
        <f>IFERROR(IF(AND(up_Irr!V13&lt;&gt;".",up_Irr!AU13&lt;&gt;".",up_Irr!BT13&lt;&gt;"."),up_dir!AW13/((1/1000)*(up_Irr!V13+up_Irr!AU13+up_Irr!BT13)),IF(AND(up_Irr!V13&lt;&gt;".",up_Irr!AU13&lt;&gt;".",up_Irr!BT13="."),up_dir!AW13/((1/1000)*(up_Irr!V13+up_Irr!AU13)),IF(AND(up_Irr!V13&lt;&gt;".",up_Irr!AU13=".",up_Irr!BT13&lt;&gt;"."),up_dir!AW13/((1/1000)*(up_Irr!V13+up_Irr!BT13)),IF(AND(up_Irr!V13=".",up_Irr!AU13&lt;&gt;".",up_Irr!BT13&lt;&gt;"."),up_dir!AW13/((1/1000)*(up_Irr!AU13+up_Irr!BT13)),IF(AND(up_Irr!V13=".",up_Irr!AU13=".",up_Irr!BT13&lt;&gt;"."),up_dir!AW13/((1/1000)*(up_Irr!BT13)),IF(AND(up_Irr!V13=".",up_Irr!AU13&lt;&gt;".",up_Irr!BT13="."),up_dir!AW13/((1/1000)*(up_Irr!AU13)),IF(AND(up_Irr!V13&lt;&gt;".",up_Irr!AU13=".",up_Irr!BT13="."),up_dir!AW13/((1/1000)*(up_Irr!V13)),IF(AND(up_Irr!V13=".",up_Irr!AU13=".",up_Irr!BT13="."),up_dir!AW13*1000)))))))),".")</f>
        <v>6.5773651144152123E-11</v>
      </c>
      <c r="BX13" s="76">
        <f>IFERROR(IF(AND(up_Irr!W13&lt;&gt;".",up_Irr!AV13&lt;&gt;".",up_Irr!BU13&lt;&gt;"."),up_dir!AX13/((1/1000)*(up_Irr!W13+up_Irr!AV13+up_Irr!BU13)),IF(AND(up_Irr!W13&lt;&gt;".",up_Irr!AV13&lt;&gt;".",up_Irr!BU13="."),up_dir!AX13/((1/1000)*(up_Irr!W13+up_Irr!AV13)),IF(AND(up_Irr!W13&lt;&gt;".",up_Irr!AV13=".",up_Irr!BU13&lt;&gt;"."),up_dir!AX13/((1/1000)*(up_Irr!W13+up_Irr!BU13)),IF(AND(up_Irr!W13=".",up_Irr!AV13&lt;&gt;".",up_Irr!BU13&lt;&gt;"."),up_dir!AX13/((1/1000)*(up_Irr!AV13+up_Irr!BU13)),IF(AND(up_Irr!W13=".",up_Irr!AV13=".",up_Irr!BU13&lt;&gt;"."),up_dir!AX13/((1/1000)*(up_Irr!BU13)),IF(AND(up_Irr!W13=".",up_Irr!AV13&lt;&gt;".",up_Irr!BU13="."),up_dir!AX13/((1/1000)*(up_Irr!AV13)),IF(AND(up_Irr!W13&lt;&gt;".",up_Irr!AV13=".",up_Irr!BU13="."),up_dir!AX13/((1/1000)*(up_Irr!W13)),IF(AND(up_Irr!W13=".",up_Irr!AV13=".",up_Irr!BU13="."),up_dir!AX13*1000)))))))),".")</f>
        <v>6.5773651144152123E-11</v>
      </c>
      <c r="BY13" s="76">
        <f>IFERROR(IF(AND(up_Irr!X13&lt;&gt;".",up_Irr!AW13&lt;&gt;".",up_Irr!BV13&lt;&gt;"."),up_dir!AY13/((1/1000)*(up_Irr!X13+up_Irr!AW13+up_Irr!BV13)),IF(AND(up_Irr!X13&lt;&gt;".",up_Irr!AW13&lt;&gt;".",up_Irr!BV13="."),up_dir!AY13/((1/1000)*(up_Irr!X13+up_Irr!AW13)),IF(AND(up_Irr!X13&lt;&gt;".",up_Irr!AW13=".",up_Irr!BV13&lt;&gt;"."),up_dir!AY13/((1/1000)*(up_Irr!X13+up_Irr!BV13)),IF(AND(up_Irr!X13=".",up_Irr!AW13&lt;&gt;".",up_Irr!BV13&lt;&gt;"."),up_dir!AY13/((1/1000)*(up_Irr!AW13+up_Irr!BV13)),IF(AND(up_Irr!X13=".",up_Irr!AW13=".",up_Irr!BV13&lt;&gt;"."),up_dir!AY13/((1/1000)*(up_Irr!BV13)),IF(AND(up_Irr!X13=".",up_Irr!AW13&lt;&gt;".",up_Irr!BV13="."),up_dir!AY13/((1/1000)*(up_Irr!AW13)),IF(AND(up_Irr!X13&lt;&gt;".",up_Irr!AW13=".",up_Irr!BV13="."),up_dir!AY13/((1/1000)*(up_Irr!X13)),IF(AND(up_Irr!X13=".",up_Irr!AW13=".",up_Irr!BV13="."),up_dir!AY13*1000)))))))),".")</f>
        <v>6.5773651144152123E-11</v>
      </c>
      <c r="BZ13" s="76">
        <f>IFERROR(IF(AND(up_Irr!Y13&lt;&gt;".",up_Irr!AX13&lt;&gt;".",up_Irr!BW13&lt;&gt;"."),up_dir!AZ13/((1/1000)*(up_Irr!Y13+up_Irr!AX13+up_Irr!BW13)),IF(AND(up_Irr!Y13&lt;&gt;".",up_Irr!AX13&lt;&gt;".",up_Irr!BW13="."),up_dir!AZ13/((1/1000)*(up_Irr!Y13+up_Irr!AX13)),IF(AND(up_Irr!Y13&lt;&gt;".",up_Irr!AX13=".",up_Irr!BW13&lt;&gt;"."),up_dir!AZ13/((1/1000)*(up_Irr!Y13+up_Irr!BW13)),IF(AND(up_Irr!Y13=".",up_Irr!AX13&lt;&gt;".",up_Irr!BW13&lt;&gt;"."),up_dir!AZ13/((1/1000)*(up_Irr!AX13+up_Irr!BW13)),IF(AND(up_Irr!Y13=".",up_Irr!AX13=".",up_Irr!BW13&lt;&gt;"."),up_dir!AZ13/((1/1000)*(up_Irr!BW13)),IF(AND(up_Irr!Y13=".",up_Irr!AX13&lt;&gt;".",up_Irr!BW13="."),up_dir!AZ13/((1/1000)*(up_Irr!AX13)),IF(AND(up_Irr!Y13&lt;&gt;".",up_Irr!AX13=".",up_Irr!BW13="."),up_dir!AZ13/((1/1000)*(up_Irr!Y13)),IF(AND(up_Irr!Y13=".",up_Irr!AX13=".",up_Irr!BW13="."),up_dir!AZ13*1000)))))))),".")</f>
        <v>6.5773651144152123E-11</v>
      </c>
      <c r="CA13" s="76">
        <f>IFERROR(IF(AND(up_Irr!Z13&lt;&gt;".",up_Irr!AY13&lt;&gt;".",up_Irr!BX13&lt;&gt;"."),up_dir!BA13/((1/1000)*(up_Irr!Z13+up_Irr!AY13+up_Irr!BX13)),IF(AND(up_Irr!Z13&lt;&gt;".",up_Irr!AY13&lt;&gt;".",up_Irr!BX13="."),up_dir!BA13/((1/1000)*(up_Irr!Z13+up_Irr!AY13)),IF(AND(up_Irr!Z13&lt;&gt;".",up_Irr!AY13=".",up_Irr!BX13&lt;&gt;"."),up_dir!BA13/((1/1000)*(up_Irr!Z13+up_Irr!BX13)),IF(AND(up_Irr!Z13=".",up_Irr!AY13&lt;&gt;".",up_Irr!BX13&lt;&gt;"."),up_dir!BA13/((1/1000)*(up_Irr!AY13+up_Irr!BX13)),IF(AND(up_Irr!Z13=".",up_Irr!AY13=".",up_Irr!BX13&lt;&gt;"."),up_dir!BA13/((1/1000)*(up_Irr!BX13)),IF(AND(up_Irr!Z13=".",up_Irr!AY13&lt;&gt;".",up_Irr!BX13="."),up_dir!BA13/((1/1000)*(up_Irr!AY13)),IF(AND(up_Irr!Z13&lt;&gt;".",up_Irr!AY13=".",up_Irr!BX13="."),up_dir!BA13/((1/1000)*(up_Irr!Z13)),IF(AND(up_Irr!Z13=".",up_Irr!AY13=".",up_Irr!BX13="."),up_dir!BA13*1000)))))))),".")</f>
        <v>6.5773651144152123E-11</v>
      </c>
      <c r="CB13" s="76">
        <f>IFERROR(IF(AND(up_Irr!AA13&lt;&gt;".",up_Irr!AZ13&lt;&gt;".",up_Irr!BY13&lt;&gt;"."),up_dir!BB13/((1/1000)*(up_Irr!AA13+up_Irr!AZ13+up_Irr!BY13)),IF(AND(up_Irr!AA13&lt;&gt;".",up_Irr!AZ13&lt;&gt;".",up_Irr!BY13="."),up_dir!BB13/((1/1000)*(up_Irr!AA13+up_Irr!AZ13)),IF(AND(up_Irr!AA13&lt;&gt;".",up_Irr!AZ13=".",up_Irr!BY13&lt;&gt;"."),up_dir!BB13/((1/1000)*(up_Irr!AA13+up_Irr!BY13)),IF(AND(up_Irr!AA13=".",up_Irr!AZ13&lt;&gt;".",up_Irr!BY13&lt;&gt;"."),up_dir!BB13/((1/1000)*(up_Irr!AZ13+up_Irr!BY13)),IF(AND(up_Irr!AA13=".",up_Irr!AZ13=".",up_Irr!BY13&lt;&gt;"."),up_dir!BB13/((1/1000)*(up_Irr!BY13)),IF(AND(up_Irr!AA13=".",up_Irr!AZ13&lt;&gt;".",up_Irr!BY13="."),up_dir!BB13/((1/1000)*(up_Irr!AZ13)),IF(AND(up_Irr!AA13&lt;&gt;".",up_Irr!AZ13=".",up_Irr!BY13="."),up_dir!BB13/((1/1000)*(up_Irr!AA13)),IF(AND(up_Irr!AA13=".",up_Irr!AZ13=".",up_Irr!BY13="."),up_dir!BB13*1000)))))))),".")</f>
        <v>6.5773651144152123E-11</v>
      </c>
      <c r="CC13" s="93">
        <f t="shared" si="3"/>
        <v>608146.26076229871</v>
      </c>
      <c r="CD13" s="93">
        <f>IFERROR(s_C*s_IFAP_far_adj*s_CF_apple*(1/1000)*(up_Irr!C13+up_Irr!AB13+up_Irr!BA13),".")</f>
        <v>152036.56519057468</v>
      </c>
      <c r="CE13" s="93">
        <f>IFERROR(s_C*s_IFAS_far_adj*s_CF_asparagus*(1/1000)*(up_Irr!D13+up_Irr!AC13+up_Irr!BB13),".")</f>
        <v>152036.56519057468</v>
      </c>
      <c r="CF13" s="93">
        <f>IFERROR(s_C*s_IFBT_far_adj*s_CF_beet*(1/1000)*(up_Irr!E13+up_Irr!AD13+up_Irr!BC13),".")</f>
        <v>152036.56519057468</v>
      </c>
      <c r="CG13" s="93">
        <f>IFERROR(s_C*s_IFBE_far_adj*s_CF_berries*(1/1000)*(up_Irr!F13+up_Irr!AE13+up_Irr!BD13),".")</f>
        <v>152036.56519057468</v>
      </c>
      <c r="CH13" s="93">
        <f>IFERROR(s_C*s_IFBR_far_adj*s_CF_broccoli*(1/1000)*(up_Irr!G13+up_Irr!AF13+up_Irr!BE13),".")</f>
        <v>152036.56519057468</v>
      </c>
      <c r="CI13" s="93">
        <f>IFERROR(s_C*s_IFCB_far_adj*s_CF_cabbage*(1/1000)*(up_Irr!H13+up_Irr!AG13+up_Irr!BF13),".")</f>
        <v>152036.56519057468</v>
      </c>
      <c r="CJ13" s="93">
        <f>IFERROR(s_C*s_IFCR_far_adj*s_CF_carrot*(1/1000)*(up_Irr!I13+up_Irr!AH13+up_Irr!BG13),".")</f>
        <v>152036.56519057468</v>
      </c>
      <c r="CK13" s="93">
        <f>IFERROR(s_C*s_IFCI_far_adj*s_CF_citrus*(1/1000)*(up_Irr!J13+up_Irr!AI13+up_Irr!BH13),".")</f>
        <v>152036.56519057468</v>
      </c>
      <c r="CL13" s="93">
        <f>IFERROR(s_C*s_IFCO_far_adj*s_CF_corn*(1/1000)*(up_Irr!K13+up_Irr!AJ13+up_Irr!BI13),".")</f>
        <v>152036.56519057468</v>
      </c>
      <c r="CM13" s="93">
        <f>IFERROR(s_C*s_IFCU_far_adj*s_CF_cucumber*(1/1000)*(up_Irr!L13+up_Irr!AK13+up_Irr!BJ13),".")</f>
        <v>152036.56519057468</v>
      </c>
      <c r="CN13" s="93">
        <f>IFERROR(s_C*s_IFLE_far_adj*s_CF_lettuce*(1/1000)*(up_Irr!M13+up_Irr!AL13+up_Irr!BK13),".")</f>
        <v>152036.56519057468</v>
      </c>
      <c r="CO13" s="93">
        <f>IFERROR(s_C*s_IFLI_far_adj*s_CF_lima_bean*(1/1000)*(up_Irr!N13+up_Irr!AM13+up_Irr!BL13),".")</f>
        <v>152036.56519057468</v>
      </c>
      <c r="CP13" s="93">
        <f>IFERROR(s_C*s_IFOK_far_adj*s_CF_okra*(1/1000)*(up_Irr!O13+up_Irr!AN13+up_Irr!BM13),".")</f>
        <v>152036.56519057468</v>
      </c>
      <c r="CQ13" s="93">
        <f>IFERROR(s_C*s_IFON_far_adj*s_CF_onion*(1/1000)*(up_Irr!P13+up_Irr!AO13+up_Irr!BN13),".")</f>
        <v>152036.56519057468</v>
      </c>
      <c r="CR13" s="93">
        <f>IFERROR(s_C*s_IFPC_far_adj*s_CF_peach*(1/1000)*(up_Irr!Q13+up_Irr!AP13+up_Irr!BO13),".")</f>
        <v>152036.56519057468</v>
      </c>
      <c r="CS13" s="93">
        <f>IFERROR(s_C*s_IFPR_far_adj*s_CF_pear*(1/1000)*(up_Irr!R13+up_Irr!AQ13+up_Irr!BP13),".")</f>
        <v>152036.56519057468</v>
      </c>
      <c r="CT13" s="93">
        <f>IFERROR(s_C*s_IFPE_far_adj*s_CF_peas*(1/1000)*(up_Irr!S13+up_Irr!AR13+up_Irr!BQ13),".")</f>
        <v>152036.56519057468</v>
      </c>
      <c r="CU13" s="93">
        <f>IFERROR(s_C*s_IFPP_far_adj*s_CF_peppers*(1/1000)*(up_Irr!T13+up_Irr!AS13+up_Irr!BR13),".")</f>
        <v>152036.56519057468</v>
      </c>
      <c r="CV13" s="93">
        <f>IFERROR(s_C*s_IFPT_far_adj*s_CF_potato*(1/1000)*(up_Irr!U13+up_Irr!AT13+up_Irr!BS13),".")</f>
        <v>152036.56519057468</v>
      </c>
      <c r="CW13" s="93">
        <f>IFERROR(s_C*s_IFPU_far_adj*s_CF_pumpkin*(1/1000)*(up_Irr!V13+up_Irr!AU13+up_Irr!BT13),".")</f>
        <v>152036.56519057468</v>
      </c>
      <c r="CX13" s="93">
        <f>IFERROR(s_C*s_IFSN_far_adj*s_CF_snap_bean*(1/1000)*(up_Irr!W13+up_Irr!AV13+up_Irr!BU13),".")</f>
        <v>152036.56519057468</v>
      </c>
      <c r="CY13" s="93">
        <f>IFERROR(s_C*s_IFST_far_adj*s_CF_strawberry*(1/1000)*(up_Irr!X13+up_Irr!AW13+up_Irr!BV13),".")</f>
        <v>152036.56519057468</v>
      </c>
      <c r="CZ13" s="93">
        <f>IFERROR(s_C*s_IFTO_far_adj*s_CF_tomato*(1/1000)*(up_Irr!Y13+up_Irr!AX13+up_Irr!BW13),".")</f>
        <v>152036.56519057468</v>
      </c>
      <c r="DA13" s="93">
        <f>IFERROR(s_C*s_IFRI_far_adj*s_CF_rice*(1/1000)*(up_Irr!Z13+up_Irr!AY13+up_Irr!BX13),".")</f>
        <v>152036.56519057468</v>
      </c>
      <c r="DB13" s="93">
        <f>IFERROR(s_C*s_IFCG_far_adj*s_CF_cereal*(1/1000)*(up_Irr!AA13+up_Irr!AZ13+up_Irr!BY13),".")</f>
        <v>152036.56519057468</v>
      </c>
    </row>
    <row r="14" spans="1:106" ht="15" customHeight="1" x14ac:dyDescent="0.25">
      <c r="A14" s="92" t="s">
        <v>24</v>
      </c>
      <c r="B14" s="90" t="s">
        <v>1071</v>
      </c>
      <c r="C14" s="15">
        <f t="shared" si="0"/>
        <v>1.6443412786038031E-11</v>
      </c>
      <c r="D14" s="76">
        <f>IFERROR(IF(AND(up_Irr!C14&lt;&gt;".",up_Irr!AB14&lt;&gt;".",up_Irr!BA14&lt;&gt;"."),up_dir!D14/((1/1000)*(up_Irr!C14+up_Irr!AB14+up_Irr!BA14)),IF(AND(up_Irr!C14&lt;&gt;".",up_Irr!AB14&lt;&gt;".",up_Irr!BA14="."),up_dir!D14/((1/1000)*(up_Irr!C14+up_Irr!AB14)),IF(AND(up_Irr!C14&lt;&gt;".",up_Irr!AB14=".",up_Irr!BA14&lt;&gt;"."),up_dir!D14/((1/1000)*(up_Irr!C14+up_Irr!BA14)),IF(AND(up_Irr!C14=".",up_Irr!AB14&lt;&gt;".",up_Irr!BA14&lt;&gt;"."),up_dir!D14/((1/1000)*(up_Irr!AB14+up_Irr!BA14)),IF(AND(up_Irr!C14=".",up_Irr!AB14=".",up_Irr!BA14&lt;&gt;"."),up_dir!D14/((1/1000)*(up_Irr!BA14)),IF(AND(up_Irr!C14=".",up_Irr!AB14&lt;&gt;".",up_Irr!BA14="."),up_dir!D14/((1/1000)*(up_Irr!AB14)),IF(AND(up_Irr!C14&lt;&gt;".",up_Irr!AB14=".",up_Irr!BA14="."),up_dir!D14/((1/1000)*(up_Irr!C14)),IF(AND(up_Irr!C14=".",up_Irr!AB14=".",up_Irr!BA14="."),up_dir!D14*1000)))))))),".")</f>
        <v>6.5773651144152123E-11</v>
      </c>
      <c r="E14" s="76">
        <f>IFERROR(IF(AND(up_Irr!D14&lt;&gt;".",up_Irr!AC14&lt;&gt;".",up_Irr!BB14&lt;&gt;"."),up_dir!E14/((1/1000)*(up_Irr!D14+up_Irr!AC14+up_Irr!BB14)),IF(AND(up_Irr!D14&lt;&gt;".",up_Irr!AC14&lt;&gt;".",up_Irr!BB14="."),up_dir!E14/((1/1000)*(up_Irr!D14+up_Irr!AC14)),IF(AND(up_Irr!D14&lt;&gt;".",up_Irr!AC14=".",up_Irr!BB14&lt;&gt;"."),up_dir!E14/((1/1000)*(up_Irr!D14+up_Irr!BB14)),IF(AND(up_Irr!D14=".",up_Irr!AC14&lt;&gt;".",up_Irr!BB14&lt;&gt;"."),up_dir!E14/((1/1000)*(up_Irr!AC14+up_Irr!BB14)),IF(AND(up_Irr!D14=".",up_Irr!AC14=".",up_Irr!BB14&lt;&gt;"."),up_dir!E14/((1/1000)*(up_Irr!BB14)),IF(AND(up_Irr!D14=".",up_Irr!AC14&lt;&gt;".",up_Irr!BB14="."),up_dir!E14/((1/1000)*(up_Irr!AC14)),IF(AND(up_Irr!D14&lt;&gt;".",up_Irr!AC14=".",up_Irr!BB14="."),up_dir!E14/((1/1000)*(up_Irr!D14)),IF(AND(up_Irr!D14=".",up_Irr!AC14=".",up_Irr!BB14="."),up_dir!E14*1000)))))))),".")</f>
        <v>6.5773651144152123E-11</v>
      </c>
      <c r="F14" s="76">
        <f>IFERROR(IF(AND(up_Irr!E14&lt;&gt;".",up_Irr!AD14&lt;&gt;".",up_Irr!BC14&lt;&gt;"."),up_dir!F14/((1/1000)*(up_Irr!E14+up_Irr!AD14+up_Irr!BC14)),IF(AND(up_Irr!E14&lt;&gt;".",up_Irr!AD14&lt;&gt;".",up_Irr!BC14="."),up_dir!F14/((1/1000)*(up_Irr!E14+up_Irr!AD14)),IF(AND(up_Irr!E14&lt;&gt;".",up_Irr!AD14=".",up_Irr!BC14&lt;&gt;"."),up_dir!F14/((1/1000)*(up_Irr!E14+up_Irr!BC14)),IF(AND(up_Irr!E14=".",up_Irr!AD14&lt;&gt;".",up_Irr!BC14&lt;&gt;"."),up_dir!F14/((1/1000)*(up_Irr!AD14+up_Irr!BC14)),IF(AND(up_Irr!E14=".",up_Irr!AD14=".",up_Irr!BC14&lt;&gt;"."),up_dir!F14/((1/1000)*(up_Irr!BC14)),IF(AND(up_Irr!E14=".",up_Irr!AD14&lt;&gt;".",up_Irr!BC14="."),up_dir!F14/((1/1000)*(up_Irr!AD14)),IF(AND(up_Irr!E14&lt;&gt;".",up_Irr!AD14=".",up_Irr!BC14="."),up_dir!F14/((1/1000)*(up_Irr!E14)),IF(AND(up_Irr!E14=".",up_Irr!AD14=".",up_Irr!BC14="."),up_dir!F14*1000)))))))),".")</f>
        <v>6.5773651144152123E-11</v>
      </c>
      <c r="G14" s="76">
        <f>IFERROR(IF(AND(up_Irr!F14&lt;&gt;".",up_Irr!AE14&lt;&gt;".",up_Irr!BD14&lt;&gt;"."),up_dir!G14/((1/1000)*(up_Irr!F14+up_Irr!AE14+up_Irr!BD14)),IF(AND(up_Irr!F14&lt;&gt;".",up_Irr!AE14&lt;&gt;".",up_Irr!BD14="."),up_dir!G14/((1/1000)*(up_Irr!F14+up_Irr!AE14)),IF(AND(up_Irr!F14&lt;&gt;".",up_Irr!AE14=".",up_Irr!BD14&lt;&gt;"."),up_dir!G14/((1/1000)*(up_Irr!F14+up_Irr!BD14)),IF(AND(up_Irr!F14=".",up_Irr!AE14&lt;&gt;".",up_Irr!BD14&lt;&gt;"."),up_dir!G14/((1/1000)*(up_Irr!AE14+up_Irr!BD14)),IF(AND(up_Irr!F14=".",up_Irr!AE14=".",up_Irr!BD14&lt;&gt;"."),up_dir!G14/((1/1000)*(up_Irr!BD14)),IF(AND(up_Irr!F14=".",up_Irr!AE14&lt;&gt;".",up_Irr!BD14="."),up_dir!G14/((1/1000)*(up_Irr!AE14)),IF(AND(up_Irr!F14&lt;&gt;".",up_Irr!AE14=".",up_Irr!BD14="."),up_dir!G14/((1/1000)*(up_Irr!F14)),IF(AND(up_Irr!F14=".",up_Irr!AE14=".",up_Irr!BD14="."),up_dir!G14*1000)))))))),".")</f>
        <v>6.5773651144152123E-11</v>
      </c>
      <c r="H14" s="76">
        <f>IFERROR(IF(AND(up_Irr!G14&lt;&gt;".",up_Irr!AF14&lt;&gt;".",up_Irr!BE14&lt;&gt;"."),up_dir!H14/((1/1000)*(up_Irr!G14+up_Irr!AF14+up_Irr!BE14)),IF(AND(up_Irr!G14&lt;&gt;".",up_Irr!AF14&lt;&gt;".",up_Irr!BE14="."),up_dir!H14/((1/1000)*(up_Irr!G14+up_Irr!AF14)),IF(AND(up_Irr!G14&lt;&gt;".",up_Irr!AF14=".",up_Irr!BE14&lt;&gt;"."),up_dir!H14/((1/1000)*(up_Irr!G14+up_Irr!BE14)),IF(AND(up_Irr!G14=".",up_Irr!AF14&lt;&gt;".",up_Irr!BE14&lt;&gt;"."),up_dir!H14/((1/1000)*(up_Irr!AF14+up_Irr!BE14)),IF(AND(up_Irr!G14=".",up_Irr!AF14=".",up_Irr!BE14&lt;&gt;"."),up_dir!H14/((1/1000)*(up_Irr!BE14)),IF(AND(up_Irr!G14=".",up_Irr!AF14&lt;&gt;".",up_Irr!BE14="."),up_dir!H14/((1/1000)*(up_Irr!AF14)),IF(AND(up_Irr!G14&lt;&gt;".",up_Irr!AF14=".",up_Irr!BE14="."),up_dir!H14/((1/1000)*(up_Irr!G14)),IF(AND(up_Irr!G14=".",up_Irr!AF14=".",up_Irr!BE14="."),up_dir!H14*1000)))))))),".")</f>
        <v>6.5773651144152123E-11</v>
      </c>
      <c r="I14" s="76">
        <f>IFERROR(IF(AND(up_Irr!H14&lt;&gt;".",up_Irr!AG14&lt;&gt;".",up_Irr!BF14&lt;&gt;"."),up_dir!I14/((1/1000)*(up_Irr!H14+up_Irr!AG14+up_Irr!BF14)),IF(AND(up_Irr!H14&lt;&gt;".",up_Irr!AG14&lt;&gt;".",up_Irr!BF14="."),up_dir!I14/((1/1000)*(up_Irr!H14+up_Irr!AG14)),IF(AND(up_Irr!H14&lt;&gt;".",up_Irr!AG14=".",up_Irr!BF14&lt;&gt;"."),up_dir!I14/((1/1000)*(up_Irr!H14+up_Irr!BF14)),IF(AND(up_Irr!H14=".",up_Irr!AG14&lt;&gt;".",up_Irr!BF14&lt;&gt;"."),up_dir!I14/((1/1000)*(up_Irr!AG14+up_Irr!BF14)),IF(AND(up_Irr!H14=".",up_Irr!AG14=".",up_Irr!BF14&lt;&gt;"."),up_dir!I14/((1/1000)*(up_Irr!BF14)),IF(AND(up_Irr!H14=".",up_Irr!AG14&lt;&gt;".",up_Irr!BF14="."),up_dir!I14/((1/1000)*(up_Irr!AG14)),IF(AND(up_Irr!H14&lt;&gt;".",up_Irr!AG14=".",up_Irr!BF14="."),up_dir!I14/((1/1000)*(up_Irr!H14)),IF(AND(up_Irr!H14=".",up_Irr!AG14=".",up_Irr!BF14="."),up_dir!I14*1000)))))))),".")</f>
        <v>6.5773651144152123E-11</v>
      </c>
      <c r="J14" s="76">
        <f>IFERROR(IF(AND(up_Irr!I14&lt;&gt;".",up_Irr!AH14&lt;&gt;".",up_Irr!BG14&lt;&gt;"."),up_dir!J14/((1/1000)*(up_Irr!I14+up_Irr!AH14+up_Irr!BG14)),IF(AND(up_Irr!I14&lt;&gt;".",up_Irr!AH14&lt;&gt;".",up_Irr!BG14="."),up_dir!J14/((1/1000)*(up_Irr!I14+up_Irr!AH14)),IF(AND(up_Irr!I14&lt;&gt;".",up_Irr!AH14=".",up_Irr!BG14&lt;&gt;"."),up_dir!J14/((1/1000)*(up_Irr!I14+up_Irr!BG14)),IF(AND(up_Irr!I14=".",up_Irr!AH14&lt;&gt;".",up_Irr!BG14&lt;&gt;"."),up_dir!J14/((1/1000)*(up_Irr!AH14+up_Irr!BG14)),IF(AND(up_Irr!I14=".",up_Irr!AH14=".",up_Irr!BG14&lt;&gt;"."),up_dir!J14/((1/1000)*(up_Irr!BG14)),IF(AND(up_Irr!I14=".",up_Irr!AH14&lt;&gt;".",up_Irr!BG14="."),up_dir!J14/((1/1000)*(up_Irr!AH14)),IF(AND(up_Irr!I14&lt;&gt;".",up_Irr!AH14=".",up_Irr!BG14="."),up_dir!J14/((1/1000)*(up_Irr!I14)),IF(AND(up_Irr!I14=".",up_Irr!AH14=".",up_Irr!BG14="."),up_dir!J14*1000)))))))),".")</f>
        <v>6.5773651144152123E-11</v>
      </c>
      <c r="K14" s="76">
        <f>IFERROR(IF(AND(up_Irr!J14&lt;&gt;".",up_Irr!AI14&lt;&gt;".",up_Irr!BH14&lt;&gt;"."),up_dir!K14/((1/1000)*(up_Irr!J14+up_Irr!AI14+up_Irr!BH14)),IF(AND(up_Irr!J14&lt;&gt;".",up_Irr!AI14&lt;&gt;".",up_Irr!BH14="."),up_dir!K14/((1/1000)*(up_Irr!J14+up_Irr!AI14)),IF(AND(up_Irr!J14&lt;&gt;".",up_Irr!AI14=".",up_Irr!BH14&lt;&gt;"."),up_dir!K14/((1/1000)*(up_Irr!J14+up_Irr!BH14)),IF(AND(up_Irr!J14=".",up_Irr!AI14&lt;&gt;".",up_Irr!BH14&lt;&gt;"."),up_dir!K14/((1/1000)*(up_Irr!AI14+up_Irr!BH14)),IF(AND(up_Irr!J14=".",up_Irr!AI14=".",up_Irr!BH14&lt;&gt;"."),up_dir!K14/((1/1000)*(up_Irr!BH14)),IF(AND(up_Irr!J14=".",up_Irr!AI14&lt;&gt;".",up_Irr!BH14="."),up_dir!K14/((1/1000)*(up_Irr!AI14)),IF(AND(up_Irr!J14&lt;&gt;".",up_Irr!AI14=".",up_Irr!BH14="."),up_dir!K14/((1/1000)*(up_Irr!J14)),IF(AND(up_Irr!J14=".",up_Irr!AI14=".",up_Irr!BH14="."),up_dir!K14*1000)))))))),".")</f>
        <v>6.5773651144152123E-11</v>
      </c>
      <c r="L14" s="76">
        <f>IFERROR(IF(AND(up_Irr!K14&lt;&gt;".",up_Irr!AJ14&lt;&gt;".",up_Irr!BI14&lt;&gt;"."),up_dir!L14/((1/1000)*(up_Irr!K14+up_Irr!AJ14+up_Irr!BI14)),IF(AND(up_Irr!K14&lt;&gt;".",up_Irr!AJ14&lt;&gt;".",up_Irr!BI14="."),up_dir!L14/((1/1000)*(up_Irr!K14+up_Irr!AJ14)),IF(AND(up_Irr!K14&lt;&gt;".",up_Irr!AJ14=".",up_Irr!BI14&lt;&gt;"."),up_dir!L14/((1/1000)*(up_Irr!K14+up_Irr!BI14)),IF(AND(up_Irr!K14=".",up_Irr!AJ14&lt;&gt;".",up_Irr!BI14&lt;&gt;"."),up_dir!L14/((1/1000)*(up_Irr!AJ14+up_Irr!BI14)),IF(AND(up_Irr!K14=".",up_Irr!AJ14=".",up_Irr!BI14&lt;&gt;"."),up_dir!L14/((1/1000)*(up_Irr!BI14)),IF(AND(up_Irr!K14=".",up_Irr!AJ14&lt;&gt;".",up_Irr!BI14="."),up_dir!L14/((1/1000)*(up_Irr!AJ14)),IF(AND(up_Irr!K14&lt;&gt;".",up_Irr!AJ14=".",up_Irr!BI14="."),up_dir!L14/((1/1000)*(up_Irr!K14)),IF(AND(up_Irr!K14=".",up_Irr!AJ14=".",up_Irr!BI14="."),up_dir!L14*1000)))))))),".")</f>
        <v>6.5773651144152123E-11</v>
      </c>
      <c r="M14" s="76">
        <f>IFERROR(IF(AND(up_Irr!L14&lt;&gt;".",up_Irr!AK14&lt;&gt;".",up_Irr!BJ14&lt;&gt;"."),up_dir!M14/((1/1000)*(up_Irr!L14+up_Irr!AK14+up_Irr!BJ14)),IF(AND(up_Irr!L14&lt;&gt;".",up_Irr!AK14&lt;&gt;".",up_Irr!BJ14="."),up_dir!M14/((1/1000)*(up_Irr!L14+up_Irr!AK14)),IF(AND(up_Irr!L14&lt;&gt;".",up_Irr!AK14=".",up_Irr!BJ14&lt;&gt;"."),up_dir!M14/((1/1000)*(up_Irr!L14+up_Irr!BJ14)),IF(AND(up_Irr!L14=".",up_Irr!AK14&lt;&gt;".",up_Irr!BJ14&lt;&gt;"."),up_dir!M14/((1/1000)*(up_Irr!AK14+up_Irr!BJ14)),IF(AND(up_Irr!L14=".",up_Irr!AK14=".",up_Irr!BJ14&lt;&gt;"."),up_dir!M14/((1/1000)*(up_Irr!BJ14)),IF(AND(up_Irr!L14=".",up_Irr!AK14&lt;&gt;".",up_Irr!BJ14="."),up_dir!M14/((1/1000)*(up_Irr!AK14)),IF(AND(up_Irr!L14&lt;&gt;".",up_Irr!AK14=".",up_Irr!BJ14="."),up_dir!M14/((1/1000)*(up_Irr!L14)),IF(AND(up_Irr!L14=".",up_Irr!AK14=".",up_Irr!BJ14="."),up_dir!M14*1000)))))))),".")</f>
        <v>6.5773651144152123E-11</v>
      </c>
      <c r="N14" s="76">
        <f>IFERROR(IF(AND(up_Irr!M14&lt;&gt;".",up_Irr!AL14&lt;&gt;".",up_Irr!BK14&lt;&gt;"."),up_dir!N14/((1/1000)*(up_Irr!M14+up_Irr!AL14+up_Irr!BK14)),IF(AND(up_Irr!M14&lt;&gt;".",up_Irr!AL14&lt;&gt;".",up_Irr!BK14="."),up_dir!N14/((1/1000)*(up_Irr!M14+up_Irr!AL14)),IF(AND(up_Irr!M14&lt;&gt;".",up_Irr!AL14=".",up_Irr!BK14&lt;&gt;"."),up_dir!N14/((1/1000)*(up_Irr!M14+up_Irr!BK14)),IF(AND(up_Irr!M14=".",up_Irr!AL14&lt;&gt;".",up_Irr!BK14&lt;&gt;"."),up_dir!N14/((1/1000)*(up_Irr!AL14+up_Irr!BK14)),IF(AND(up_Irr!M14=".",up_Irr!AL14=".",up_Irr!BK14&lt;&gt;"."),up_dir!N14/((1/1000)*(up_Irr!BK14)),IF(AND(up_Irr!M14=".",up_Irr!AL14&lt;&gt;".",up_Irr!BK14="."),up_dir!N14/((1/1000)*(up_Irr!AL14)),IF(AND(up_Irr!M14&lt;&gt;".",up_Irr!AL14=".",up_Irr!BK14="."),up_dir!N14/((1/1000)*(up_Irr!M14)),IF(AND(up_Irr!M14=".",up_Irr!AL14=".",up_Irr!BK14="."),up_dir!N14*1000)))))))),".")</f>
        <v>6.5773651144152123E-11</v>
      </c>
      <c r="O14" s="76">
        <f>IFERROR(IF(AND(up_Irr!N14&lt;&gt;".",up_Irr!AM14&lt;&gt;".",up_Irr!BL14&lt;&gt;"."),up_dir!O14/((1/1000)*(up_Irr!N14+up_Irr!AM14+up_Irr!BL14)),IF(AND(up_Irr!N14&lt;&gt;".",up_Irr!AM14&lt;&gt;".",up_Irr!BL14="."),up_dir!O14/((1/1000)*(up_Irr!N14+up_Irr!AM14)),IF(AND(up_Irr!N14&lt;&gt;".",up_Irr!AM14=".",up_Irr!BL14&lt;&gt;"."),up_dir!O14/((1/1000)*(up_Irr!N14+up_Irr!BL14)),IF(AND(up_Irr!N14=".",up_Irr!AM14&lt;&gt;".",up_Irr!BL14&lt;&gt;"."),up_dir!O14/((1/1000)*(up_Irr!AM14+up_Irr!BL14)),IF(AND(up_Irr!N14=".",up_Irr!AM14=".",up_Irr!BL14&lt;&gt;"."),up_dir!O14/((1/1000)*(up_Irr!BL14)),IF(AND(up_Irr!N14=".",up_Irr!AM14&lt;&gt;".",up_Irr!BL14="."),up_dir!O14/((1/1000)*(up_Irr!AM14)),IF(AND(up_Irr!N14&lt;&gt;".",up_Irr!AM14=".",up_Irr!BL14="."),up_dir!O14/((1/1000)*(up_Irr!N14)),IF(AND(up_Irr!N14=".",up_Irr!AM14=".",up_Irr!BL14="."),up_dir!O14*1000)))))))),".")</f>
        <v>6.5773651144152123E-11</v>
      </c>
      <c r="P14" s="76">
        <f>IFERROR(IF(AND(up_Irr!O14&lt;&gt;".",up_Irr!AN14&lt;&gt;".",up_Irr!BM14&lt;&gt;"."),up_dir!P14/((1/1000)*(up_Irr!O14+up_Irr!AN14+up_Irr!BM14)),IF(AND(up_Irr!O14&lt;&gt;".",up_Irr!AN14&lt;&gt;".",up_Irr!BM14="."),up_dir!P14/((1/1000)*(up_Irr!O14+up_Irr!AN14)),IF(AND(up_Irr!O14&lt;&gt;".",up_Irr!AN14=".",up_Irr!BM14&lt;&gt;"."),up_dir!P14/((1/1000)*(up_Irr!O14+up_Irr!BM14)),IF(AND(up_Irr!O14=".",up_Irr!AN14&lt;&gt;".",up_Irr!BM14&lt;&gt;"."),up_dir!P14/((1/1000)*(up_Irr!AN14+up_Irr!BM14)),IF(AND(up_Irr!O14=".",up_Irr!AN14=".",up_Irr!BM14&lt;&gt;"."),up_dir!P14/((1/1000)*(up_Irr!BM14)),IF(AND(up_Irr!O14=".",up_Irr!AN14&lt;&gt;".",up_Irr!BM14="."),up_dir!P14/((1/1000)*(up_Irr!AN14)),IF(AND(up_Irr!O14&lt;&gt;".",up_Irr!AN14=".",up_Irr!BM14="."),up_dir!P14/((1/1000)*(up_Irr!O14)),IF(AND(up_Irr!O14=".",up_Irr!AN14=".",up_Irr!BM14="."),up_dir!P14*1000)))))))),".")</f>
        <v>6.5773651144152123E-11</v>
      </c>
      <c r="Q14" s="76">
        <f>IFERROR(IF(AND(up_Irr!P14&lt;&gt;".",up_Irr!AO14&lt;&gt;".",up_Irr!BN14&lt;&gt;"."),up_dir!Q14/((1/1000)*(up_Irr!P14+up_Irr!AO14+up_Irr!BN14)),IF(AND(up_Irr!P14&lt;&gt;".",up_Irr!AO14&lt;&gt;".",up_Irr!BN14="."),up_dir!Q14/((1/1000)*(up_Irr!P14+up_Irr!AO14)),IF(AND(up_Irr!P14&lt;&gt;".",up_Irr!AO14=".",up_Irr!BN14&lt;&gt;"."),up_dir!Q14/((1/1000)*(up_Irr!P14+up_Irr!BN14)),IF(AND(up_Irr!P14=".",up_Irr!AO14&lt;&gt;".",up_Irr!BN14&lt;&gt;"."),up_dir!Q14/((1/1000)*(up_Irr!AO14+up_Irr!BN14)),IF(AND(up_Irr!P14=".",up_Irr!AO14=".",up_Irr!BN14&lt;&gt;"."),up_dir!Q14/((1/1000)*(up_Irr!BN14)),IF(AND(up_Irr!P14=".",up_Irr!AO14&lt;&gt;".",up_Irr!BN14="."),up_dir!Q14/((1/1000)*(up_Irr!AO14)),IF(AND(up_Irr!P14&lt;&gt;".",up_Irr!AO14=".",up_Irr!BN14="."),up_dir!Q14/((1/1000)*(up_Irr!P14)),IF(AND(up_Irr!P14=".",up_Irr!AO14=".",up_Irr!BN14="."),up_dir!Q14*1000)))))))),".")</f>
        <v>6.5773651144152123E-11</v>
      </c>
      <c r="R14" s="76">
        <f>IFERROR(IF(AND(up_Irr!Q14&lt;&gt;".",up_Irr!AP14&lt;&gt;".",up_Irr!BO14&lt;&gt;"."),up_dir!R14/((1/1000)*(up_Irr!Q14+up_Irr!AP14+up_Irr!BO14)),IF(AND(up_Irr!Q14&lt;&gt;".",up_Irr!AP14&lt;&gt;".",up_Irr!BO14="."),up_dir!R14/((1/1000)*(up_Irr!Q14+up_Irr!AP14)),IF(AND(up_Irr!Q14&lt;&gt;".",up_Irr!AP14=".",up_Irr!BO14&lt;&gt;"."),up_dir!R14/((1/1000)*(up_Irr!Q14+up_Irr!BO14)),IF(AND(up_Irr!Q14=".",up_Irr!AP14&lt;&gt;".",up_Irr!BO14&lt;&gt;"."),up_dir!R14/((1/1000)*(up_Irr!AP14+up_Irr!BO14)),IF(AND(up_Irr!Q14=".",up_Irr!AP14=".",up_Irr!BO14&lt;&gt;"."),up_dir!R14/((1/1000)*(up_Irr!BO14)),IF(AND(up_Irr!Q14=".",up_Irr!AP14&lt;&gt;".",up_Irr!BO14="."),up_dir!R14/((1/1000)*(up_Irr!AP14)),IF(AND(up_Irr!Q14&lt;&gt;".",up_Irr!AP14=".",up_Irr!BO14="."),up_dir!R14/((1/1000)*(up_Irr!Q14)),IF(AND(up_Irr!Q14=".",up_Irr!AP14=".",up_Irr!BO14="."),up_dir!R14*1000)))))))),".")</f>
        <v>6.5773651144152123E-11</v>
      </c>
      <c r="S14" s="76">
        <f>IFERROR(IF(AND(up_Irr!R14&lt;&gt;".",up_Irr!AQ14&lt;&gt;".",up_Irr!BP14&lt;&gt;"."),up_dir!S14/((1/1000)*(up_Irr!R14+up_Irr!AQ14+up_Irr!BP14)),IF(AND(up_Irr!R14&lt;&gt;".",up_Irr!AQ14&lt;&gt;".",up_Irr!BP14="."),up_dir!S14/((1/1000)*(up_Irr!R14+up_Irr!AQ14)),IF(AND(up_Irr!R14&lt;&gt;".",up_Irr!AQ14=".",up_Irr!BP14&lt;&gt;"."),up_dir!S14/((1/1000)*(up_Irr!R14+up_Irr!BP14)),IF(AND(up_Irr!R14=".",up_Irr!AQ14&lt;&gt;".",up_Irr!BP14&lt;&gt;"."),up_dir!S14/((1/1000)*(up_Irr!AQ14+up_Irr!BP14)),IF(AND(up_Irr!R14=".",up_Irr!AQ14=".",up_Irr!BP14&lt;&gt;"."),up_dir!S14/((1/1000)*(up_Irr!BP14)),IF(AND(up_Irr!R14=".",up_Irr!AQ14&lt;&gt;".",up_Irr!BP14="."),up_dir!S14/((1/1000)*(up_Irr!AQ14)),IF(AND(up_Irr!R14&lt;&gt;".",up_Irr!AQ14=".",up_Irr!BP14="."),up_dir!S14/((1/1000)*(up_Irr!R14)),IF(AND(up_Irr!R14=".",up_Irr!AQ14=".",up_Irr!BP14="."),up_dir!S14*1000)))))))),".")</f>
        <v>6.5773651144152123E-11</v>
      </c>
      <c r="T14" s="76">
        <f>IFERROR(IF(AND(up_Irr!S14&lt;&gt;".",up_Irr!AR14&lt;&gt;".",up_Irr!BQ14&lt;&gt;"."),up_dir!T14/((1/1000)*(up_Irr!S14+up_Irr!AR14+up_Irr!BQ14)),IF(AND(up_Irr!S14&lt;&gt;".",up_Irr!AR14&lt;&gt;".",up_Irr!BQ14="."),up_dir!T14/((1/1000)*(up_Irr!S14+up_Irr!AR14)),IF(AND(up_Irr!S14&lt;&gt;".",up_Irr!AR14=".",up_Irr!BQ14&lt;&gt;"."),up_dir!T14/((1/1000)*(up_Irr!S14+up_Irr!BQ14)),IF(AND(up_Irr!S14=".",up_Irr!AR14&lt;&gt;".",up_Irr!BQ14&lt;&gt;"."),up_dir!T14/((1/1000)*(up_Irr!AR14+up_Irr!BQ14)),IF(AND(up_Irr!S14=".",up_Irr!AR14=".",up_Irr!BQ14&lt;&gt;"."),up_dir!T14/((1/1000)*(up_Irr!BQ14)),IF(AND(up_Irr!S14=".",up_Irr!AR14&lt;&gt;".",up_Irr!BQ14="."),up_dir!T14/((1/1000)*(up_Irr!AR14)),IF(AND(up_Irr!S14&lt;&gt;".",up_Irr!AR14=".",up_Irr!BQ14="."),up_dir!T14/((1/1000)*(up_Irr!S14)),IF(AND(up_Irr!S14=".",up_Irr!AR14=".",up_Irr!BQ14="."),up_dir!T14*1000)))))))),".")</f>
        <v>6.5773651144152123E-11</v>
      </c>
      <c r="U14" s="76">
        <f>IFERROR(IF(AND(up_Irr!T14&lt;&gt;".",up_Irr!AS14&lt;&gt;".",up_Irr!BR14&lt;&gt;"."),up_dir!U14/((1/1000)*(up_Irr!T14+up_Irr!AS14+up_Irr!BR14)),IF(AND(up_Irr!T14&lt;&gt;".",up_Irr!AS14&lt;&gt;".",up_Irr!BR14="."),up_dir!U14/((1/1000)*(up_Irr!T14+up_Irr!AS14)),IF(AND(up_Irr!T14&lt;&gt;".",up_Irr!AS14=".",up_Irr!BR14&lt;&gt;"."),up_dir!U14/((1/1000)*(up_Irr!T14+up_Irr!BR14)),IF(AND(up_Irr!T14=".",up_Irr!AS14&lt;&gt;".",up_Irr!BR14&lt;&gt;"."),up_dir!U14/((1/1000)*(up_Irr!AS14+up_Irr!BR14)),IF(AND(up_Irr!T14=".",up_Irr!AS14=".",up_Irr!BR14&lt;&gt;"."),up_dir!U14/((1/1000)*(up_Irr!BR14)),IF(AND(up_Irr!T14=".",up_Irr!AS14&lt;&gt;".",up_Irr!BR14="."),up_dir!U14/((1/1000)*(up_Irr!AS14)),IF(AND(up_Irr!T14&lt;&gt;".",up_Irr!AS14=".",up_Irr!BR14="."),up_dir!U14/((1/1000)*(up_Irr!T14)),IF(AND(up_Irr!T14=".",up_Irr!AS14=".",up_Irr!BR14="."),up_dir!U14*1000)))))))),".")</f>
        <v>6.5773651144152123E-11</v>
      </c>
      <c r="V14" s="76">
        <f>IFERROR(IF(AND(up_Irr!U14&lt;&gt;".",up_Irr!AT14&lt;&gt;".",up_Irr!BS14&lt;&gt;"."),up_dir!V14/((1/1000)*(up_Irr!U14+up_Irr!AT14+up_Irr!BS14)),IF(AND(up_Irr!U14&lt;&gt;".",up_Irr!AT14&lt;&gt;".",up_Irr!BS14="."),up_dir!V14/((1/1000)*(up_Irr!U14+up_Irr!AT14)),IF(AND(up_Irr!U14&lt;&gt;".",up_Irr!AT14=".",up_Irr!BS14&lt;&gt;"."),up_dir!V14/((1/1000)*(up_Irr!U14+up_Irr!BS14)),IF(AND(up_Irr!U14=".",up_Irr!AT14&lt;&gt;".",up_Irr!BS14&lt;&gt;"."),up_dir!V14/((1/1000)*(up_Irr!AT14+up_Irr!BS14)),IF(AND(up_Irr!U14=".",up_Irr!AT14=".",up_Irr!BS14&lt;&gt;"."),up_dir!V14/((1/1000)*(up_Irr!BS14)),IF(AND(up_Irr!U14=".",up_Irr!AT14&lt;&gt;".",up_Irr!BS14="."),up_dir!V14/((1/1000)*(up_Irr!AT14)),IF(AND(up_Irr!U14&lt;&gt;".",up_Irr!AT14=".",up_Irr!BS14="."),up_dir!V14/((1/1000)*(up_Irr!U14)),IF(AND(up_Irr!U14=".",up_Irr!AT14=".",up_Irr!BS14="."),up_dir!V14*1000)))))))),".")</f>
        <v>6.5773651144152123E-11</v>
      </c>
      <c r="W14" s="76">
        <f>IFERROR(IF(AND(up_Irr!V14&lt;&gt;".",up_Irr!AU14&lt;&gt;".",up_Irr!BT14&lt;&gt;"."),up_dir!W14/((1/1000)*(up_Irr!V14+up_Irr!AU14+up_Irr!BT14)),IF(AND(up_Irr!V14&lt;&gt;".",up_Irr!AU14&lt;&gt;".",up_Irr!BT14="."),up_dir!W14/((1/1000)*(up_Irr!V14+up_Irr!AU14)),IF(AND(up_Irr!V14&lt;&gt;".",up_Irr!AU14=".",up_Irr!BT14&lt;&gt;"."),up_dir!W14/((1/1000)*(up_Irr!V14+up_Irr!BT14)),IF(AND(up_Irr!V14=".",up_Irr!AU14&lt;&gt;".",up_Irr!BT14&lt;&gt;"."),up_dir!W14/((1/1000)*(up_Irr!AU14+up_Irr!BT14)),IF(AND(up_Irr!V14=".",up_Irr!AU14=".",up_Irr!BT14&lt;&gt;"."),up_dir!W14/((1/1000)*(up_Irr!BT14)),IF(AND(up_Irr!V14=".",up_Irr!AU14&lt;&gt;".",up_Irr!BT14="."),up_dir!W14/((1/1000)*(up_Irr!AU14)),IF(AND(up_Irr!V14&lt;&gt;".",up_Irr!AU14=".",up_Irr!BT14="."),up_dir!W14/((1/1000)*(up_Irr!V14)),IF(AND(up_Irr!V14=".",up_Irr!AU14=".",up_Irr!BT14="."),up_dir!W14*1000)))))))),".")</f>
        <v>6.5773651144152123E-11</v>
      </c>
      <c r="X14" s="76">
        <f>IFERROR(IF(AND(up_Irr!W14&lt;&gt;".",up_Irr!AV14&lt;&gt;".",up_Irr!BU14&lt;&gt;"."),up_dir!X14/((1/1000)*(up_Irr!W14+up_Irr!AV14+up_Irr!BU14)),IF(AND(up_Irr!W14&lt;&gt;".",up_Irr!AV14&lt;&gt;".",up_Irr!BU14="."),up_dir!X14/((1/1000)*(up_Irr!W14+up_Irr!AV14)),IF(AND(up_Irr!W14&lt;&gt;".",up_Irr!AV14=".",up_Irr!BU14&lt;&gt;"."),up_dir!X14/((1/1000)*(up_Irr!W14+up_Irr!BU14)),IF(AND(up_Irr!W14=".",up_Irr!AV14&lt;&gt;".",up_Irr!BU14&lt;&gt;"."),up_dir!X14/((1/1000)*(up_Irr!AV14+up_Irr!BU14)),IF(AND(up_Irr!W14=".",up_Irr!AV14=".",up_Irr!BU14&lt;&gt;"."),up_dir!X14/((1/1000)*(up_Irr!BU14)),IF(AND(up_Irr!W14=".",up_Irr!AV14&lt;&gt;".",up_Irr!BU14="."),up_dir!X14/((1/1000)*(up_Irr!AV14)),IF(AND(up_Irr!W14&lt;&gt;".",up_Irr!AV14=".",up_Irr!BU14="."),up_dir!X14/((1/1000)*(up_Irr!W14)),IF(AND(up_Irr!W14=".",up_Irr!AV14=".",up_Irr!BU14="."),up_dir!X14*1000)))))))),".")</f>
        <v>6.5773651144152123E-11</v>
      </c>
      <c r="Y14" s="76">
        <f>IFERROR(IF(AND(up_Irr!X14&lt;&gt;".",up_Irr!AW14&lt;&gt;".",up_Irr!BV14&lt;&gt;"."),up_dir!Y14/((1/1000)*(up_Irr!X14+up_Irr!AW14+up_Irr!BV14)),IF(AND(up_Irr!X14&lt;&gt;".",up_Irr!AW14&lt;&gt;".",up_Irr!BV14="."),up_dir!Y14/((1/1000)*(up_Irr!X14+up_Irr!AW14)),IF(AND(up_Irr!X14&lt;&gt;".",up_Irr!AW14=".",up_Irr!BV14&lt;&gt;"."),up_dir!Y14/((1/1000)*(up_Irr!X14+up_Irr!BV14)),IF(AND(up_Irr!X14=".",up_Irr!AW14&lt;&gt;".",up_Irr!BV14&lt;&gt;"."),up_dir!Y14/((1/1000)*(up_Irr!AW14+up_Irr!BV14)),IF(AND(up_Irr!X14=".",up_Irr!AW14=".",up_Irr!BV14&lt;&gt;"."),up_dir!Y14/((1/1000)*(up_Irr!BV14)),IF(AND(up_Irr!X14=".",up_Irr!AW14&lt;&gt;".",up_Irr!BV14="."),up_dir!Y14/((1/1000)*(up_Irr!AW14)),IF(AND(up_Irr!X14&lt;&gt;".",up_Irr!AW14=".",up_Irr!BV14="."),up_dir!Y14/((1/1000)*(up_Irr!X14)),IF(AND(up_Irr!X14=".",up_Irr!AW14=".",up_Irr!BV14="."),up_dir!Y14*1000)))))))),".")</f>
        <v>6.5773651144152123E-11</v>
      </c>
      <c r="Z14" s="76">
        <f>IFERROR(IF(AND(up_Irr!Y14&lt;&gt;".",up_Irr!AX14&lt;&gt;".",up_Irr!BW14&lt;&gt;"."),up_dir!Z14/((1/1000)*(up_Irr!Y14+up_Irr!AX14+up_Irr!BW14)),IF(AND(up_Irr!Y14&lt;&gt;".",up_Irr!AX14&lt;&gt;".",up_Irr!BW14="."),up_dir!Z14/((1/1000)*(up_Irr!Y14+up_Irr!AX14)),IF(AND(up_Irr!Y14&lt;&gt;".",up_Irr!AX14=".",up_Irr!BW14&lt;&gt;"."),up_dir!Z14/((1/1000)*(up_Irr!Y14+up_Irr!BW14)),IF(AND(up_Irr!Y14=".",up_Irr!AX14&lt;&gt;".",up_Irr!BW14&lt;&gt;"."),up_dir!Z14/((1/1000)*(up_Irr!AX14+up_Irr!BW14)),IF(AND(up_Irr!Y14=".",up_Irr!AX14=".",up_Irr!BW14&lt;&gt;"."),up_dir!Z14/((1/1000)*(up_Irr!BW14)),IF(AND(up_Irr!Y14=".",up_Irr!AX14&lt;&gt;".",up_Irr!BW14="."),up_dir!Z14/((1/1000)*(up_Irr!AX14)),IF(AND(up_Irr!Y14&lt;&gt;".",up_Irr!AX14=".",up_Irr!BW14="."),up_dir!Z14/((1/1000)*(up_Irr!Y14)),IF(AND(up_Irr!Y14=".",up_Irr!AX14=".",up_Irr!BW14="."),up_dir!Z14*1000)))))))),".")</f>
        <v>6.5773651144152123E-11</v>
      </c>
      <c r="AA14" s="76">
        <f>IFERROR(IF(AND(up_Irr!Z14&lt;&gt;".",up_Irr!AY14&lt;&gt;".",up_Irr!BX14&lt;&gt;"."),up_dir!AA14/((1/1000)*(up_Irr!Z14+up_Irr!AY14+up_Irr!BX14)),IF(AND(up_Irr!Z14&lt;&gt;".",up_Irr!AY14&lt;&gt;".",up_Irr!BX14="."),up_dir!AA14/((1/1000)*(up_Irr!Z14+up_Irr!AY14)),IF(AND(up_Irr!Z14&lt;&gt;".",up_Irr!AY14=".",up_Irr!BX14&lt;&gt;"."),up_dir!AA14/((1/1000)*(up_Irr!Z14+up_Irr!BX14)),IF(AND(up_Irr!Z14=".",up_Irr!AY14&lt;&gt;".",up_Irr!BX14&lt;&gt;"."),up_dir!AA14/((1/1000)*(up_Irr!AY14+up_Irr!BX14)),IF(AND(up_Irr!Z14=".",up_Irr!AY14=".",up_Irr!BX14&lt;&gt;"."),up_dir!AA14/((1/1000)*(up_Irr!BX14)),IF(AND(up_Irr!Z14=".",up_Irr!AY14&lt;&gt;".",up_Irr!BX14="."),up_dir!AA14/((1/1000)*(up_Irr!AY14)),IF(AND(up_Irr!Z14&lt;&gt;".",up_Irr!AY14=".",up_Irr!BX14="."),up_dir!AA14/((1/1000)*(up_Irr!Z14)),IF(AND(up_Irr!Z14=".",up_Irr!AY14=".",up_Irr!BX14="."),up_dir!AA14*1000)))))))),".")</f>
        <v>6.5773651144152123E-11</v>
      </c>
      <c r="AB14" s="76">
        <f>IFERROR(IF(AND(up_Irr!AA14&lt;&gt;".",up_Irr!AZ14&lt;&gt;".",up_Irr!BY14&lt;&gt;"."),up_dir!AB14/((1/1000)*(up_Irr!AA14+up_Irr!AZ14+up_Irr!BY14)),IF(AND(up_Irr!AA14&lt;&gt;".",up_Irr!AZ14&lt;&gt;".",up_Irr!BY14="."),up_dir!AB14/((1/1000)*(up_Irr!AA14+up_Irr!AZ14)),IF(AND(up_Irr!AA14&lt;&gt;".",up_Irr!AZ14=".",up_Irr!BY14&lt;&gt;"."),up_dir!AB14/((1/1000)*(up_Irr!AA14+up_Irr!BY14)),IF(AND(up_Irr!AA14=".",up_Irr!AZ14&lt;&gt;".",up_Irr!BY14&lt;&gt;"."),up_dir!AB14/((1/1000)*(up_Irr!AZ14+up_Irr!BY14)),IF(AND(up_Irr!AA14=".",up_Irr!AZ14=".",up_Irr!BY14&lt;&gt;"."),up_dir!AB14/((1/1000)*(up_Irr!BY14)),IF(AND(up_Irr!AA14=".",up_Irr!AZ14&lt;&gt;".",up_Irr!BY14="."),up_dir!AB14/((1/1000)*(up_Irr!AZ14)),IF(AND(up_Irr!AA14&lt;&gt;".",up_Irr!AZ14=".",up_Irr!BY14="."),up_dir!AB14/((1/1000)*(up_Irr!AA14)),IF(AND(up_Irr!AA14=".",up_Irr!AZ14=".",up_Irr!BY14="."),up_dir!AB14*1000)))))))),".")</f>
        <v>6.5773651144152123E-11</v>
      </c>
      <c r="AC14" s="93">
        <f t="shared" si="1"/>
        <v>608146.26076229871</v>
      </c>
      <c r="AD14" s="93">
        <f>IFERROR(s_C*s_IFAP_res_adj*s_CF_apple*0.001*(up_Irr!C14+up_Irr!AB14+up_Irr!BA14),".")</f>
        <v>152036.56519057468</v>
      </c>
      <c r="AE14" s="93">
        <f>IFERROR(s_C*s_IFAS_res_adj*s_CF_asparagus*0.001*(up_Irr!D14+up_Irr!AC14+up_Irr!BB14),".")</f>
        <v>152036.56519057468</v>
      </c>
      <c r="AF14" s="93">
        <f>IFERROR(s_C*s_IFBT_res_adj*s_CF_beet*0.001*(up_Irr!E14+up_Irr!AD14+up_Irr!BC14),".")</f>
        <v>152036.56519057468</v>
      </c>
      <c r="AG14" s="93">
        <f>IFERROR(s_C*s_IFBE_res_adj*s_CF_berries*0.001*(up_Irr!F14+up_Irr!AE14+up_Irr!BD14),".")</f>
        <v>152036.56519057468</v>
      </c>
      <c r="AH14" s="93">
        <f>IFERROR(s_C*s_IFBR_res_adj*s_CF_broccoli*0.001*(up_Irr!G14+up_Irr!AF14+up_Irr!BE14),".")</f>
        <v>152036.56519057468</v>
      </c>
      <c r="AI14" s="93">
        <f>IFERROR(s_C*s_IFCB_res_adj*s_CF_cabbage*0.001*(up_Irr!H14+up_Irr!AG14+up_Irr!BF14),".")</f>
        <v>152036.56519057468</v>
      </c>
      <c r="AJ14" s="93">
        <f>IFERROR(s_C*s_IFCR_res_adj*s_CF_carrot*0.001*(up_Irr!I14+up_Irr!AH14+up_Irr!BG14),".")</f>
        <v>152036.56519057468</v>
      </c>
      <c r="AK14" s="93">
        <f>IFERROR(s_C*s_IFCI_res_adj*s_CF_citrus*0.001*(up_Irr!J14+up_Irr!AI14+up_Irr!BH14),".")</f>
        <v>152036.56519057468</v>
      </c>
      <c r="AL14" s="93">
        <f>IFERROR(s_C*s_IFCO_res_adj*s_CF_corn*0.001*(up_Irr!K14+up_Irr!AJ14+up_Irr!BI14),".")</f>
        <v>152036.56519057468</v>
      </c>
      <c r="AM14" s="93">
        <f>IFERROR(s_C*s_IFCU_res_adj*s_CF_cucumber*0.001*(up_Irr!L14+up_Irr!AK14+up_Irr!BJ14),".")</f>
        <v>152036.56519057468</v>
      </c>
      <c r="AN14" s="93">
        <f>IFERROR(s_C*s_IFLE_res_adj*s_CF_lettuce*0.001*(up_Irr!M14+up_Irr!AL14+up_Irr!BK14),".")</f>
        <v>152036.56519057468</v>
      </c>
      <c r="AO14" s="93">
        <f>IFERROR(s_C*s_IFLI_res_adj*s_CF_lima_bean*0.001*(up_Irr!N14+up_Irr!AM14+up_Irr!BL14),".")</f>
        <v>152036.56519057468</v>
      </c>
      <c r="AP14" s="93">
        <f>IFERROR(s_C*s_IFOK_res_adj*s_CF_okra*0.001*(up_Irr!O14+up_Irr!AN14+up_Irr!BM14),".")</f>
        <v>152036.56519057468</v>
      </c>
      <c r="AQ14" s="93">
        <f>IFERROR(s_C*s_IFON_res_adj*s_CF_onion*0.001*(up_Irr!P14+up_Irr!AO14+up_Irr!BN14),".")</f>
        <v>152036.56519057468</v>
      </c>
      <c r="AR14" s="93">
        <f>IFERROR(s_C*s_IFPC_res_adj*s_CF_peach*0.001*(up_Irr!Q14+up_Irr!AP14+up_Irr!BO14),".")</f>
        <v>152036.56519057468</v>
      </c>
      <c r="AS14" s="93">
        <f>IFERROR(s_C*s_IFPR_res_adj*s_CF_pear*0.001*(up_Irr!R14+up_Irr!AQ14+up_Irr!BP14),".")</f>
        <v>152036.56519057468</v>
      </c>
      <c r="AT14" s="93">
        <f>IFERROR(s_C*s_IFPE_res_adj*s_CF_peas*0.001*(up_Irr!S14+up_Irr!AR14+up_Irr!BQ14),".")</f>
        <v>152036.56519057468</v>
      </c>
      <c r="AU14" s="93">
        <f>IFERROR(s_C*s_IFPP_res_adj*s_CF_peppers*0.001*(up_Irr!T14+up_Irr!AS14+up_Irr!BR14),".")</f>
        <v>152036.56519057468</v>
      </c>
      <c r="AV14" s="93">
        <f>IFERROR(s_C*s_IFPT_res_adj*s_CF_potato*0.001*(up_Irr!U14+up_Irr!AT14+up_Irr!BS14),".")</f>
        <v>152036.56519057468</v>
      </c>
      <c r="AW14" s="93">
        <f>IFERROR(s_C*s_IFPU_res_adj*s_CF_pumpkin*0.001*(up_Irr!V14+up_Irr!AU14+up_Irr!BT14),".")</f>
        <v>152036.56519057468</v>
      </c>
      <c r="AX14" s="93">
        <f>IFERROR(s_C*s_IFSN_res_adj*s_CF_snap_bean*0.001*(up_Irr!W14+up_Irr!AV14+up_Irr!BU14),".")</f>
        <v>152036.56519057468</v>
      </c>
      <c r="AY14" s="93">
        <f>IFERROR(s_C*s_IFST_res_adj*s_CF_strawberry*0.001*(up_Irr!X14+up_Irr!AW14+up_Irr!BV14),".")</f>
        <v>152036.56519057468</v>
      </c>
      <c r="AZ14" s="93">
        <f>IFERROR(s_C*s_IFTO_res_adj*s_CF_tomato*0.001*(up_Irr!Y14+up_Irr!AX14+up_Irr!BW14),".")</f>
        <v>152036.56519057468</v>
      </c>
      <c r="BA14" s="93">
        <f>IFERROR(s_C*s_IFRI_res_adj*s_CF_rice*0.001*(up_Irr!Z14+up_Irr!AY14+up_Irr!BX14),".")</f>
        <v>152036.56519057468</v>
      </c>
      <c r="BB14" s="93">
        <f>IFERROR(s_C*s_IFCG_res_adj*s_CF_cereal*0.001*(up_Irr!AA14+up_Irr!AZ14+up_Irr!BY14),".")</f>
        <v>152036.56519057468</v>
      </c>
      <c r="BC14" s="76">
        <f t="shared" si="2"/>
        <v>1.6443412786038031E-11</v>
      </c>
      <c r="BD14" s="76">
        <f>IFERROR(IF(AND(up_Irr!C14&lt;&gt;".",up_Irr!AB14&lt;&gt;".",up_Irr!BA14&lt;&gt;"."),up_dir!AD14/((1/1000)*(up_Irr!C14+up_Irr!AB14+up_Irr!BA14)),IF(AND(up_Irr!C14&lt;&gt;".",up_Irr!AB14&lt;&gt;".",up_Irr!BA14="."),up_dir!AD14/((1/1000)*(up_Irr!C14+up_Irr!AB14)),IF(AND(up_Irr!C14&lt;&gt;".",up_Irr!AB14=".",up_Irr!BA14&lt;&gt;"."),up_dir!AD14/((1/1000)*(up_Irr!C14+up_Irr!BA14)),IF(AND(up_Irr!C14=".",up_Irr!AB14&lt;&gt;".",up_Irr!BA14&lt;&gt;"."),up_dir!AD14/((1/1000)*(up_Irr!AB14+up_Irr!BA14)),IF(AND(up_Irr!C14=".",up_Irr!AB14=".",up_Irr!BA14&lt;&gt;"."),up_dir!AD14/((1/1000)*(up_Irr!BA14)),IF(AND(up_Irr!C14=".",up_Irr!AB14&lt;&gt;".",up_Irr!BA14="."),up_dir!AD14/((1/1000)*(up_Irr!AB14)),IF(AND(up_Irr!C14&lt;&gt;".",up_Irr!AB14=".",up_Irr!BA14="."),up_dir!AD14/((1/1000)*(up_Irr!C14)),IF(AND(up_Irr!C14=".",up_Irr!AB14=".",up_Irr!BA14="."),up_dir!AD14*1000)))))))),".")</f>
        <v>6.5773651144152123E-11</v>
      </c>
      <c r="BE14" s="76">
        <f>IFERROR(IF(AND(up_Irr!D14&lt;&gt;".",up_Irr!AC14&lt;&gt;".",up_Irr!BB14&lt;&gt;"."),up_dir!AE14/((1/1000)*(up_Irr!D14+up_Irr!AC14+up_Irr!BB14)),IF(AND(up_Irr!D14&lt;&gt;".",up_Irr!AC14&lt;&gt;".",up_Irr!BB14="."),up_dir!AE14/((1/1000)*(up_Irr!D14+up_Irr!AC14)),IF(AND(up_Irr!D14&lt;&gt;".",up_Irr!AC14=".",up_Irr!BB14&lt;&gt;"."),up_dir!AE14/((1/1000)*(up_Irr!D14+up_Irr!BB14)),IF(AND(up_Irr!D14=".",up_Irr!AC14&lt;&gt;".",up_Irr!BB14&lt;&gt;"."),up_dir!AE14/((1/1000)*(up_Irr!AC14+up_Irr!BB14)),IF(AND(up_Irr!D14=".",up_Irr!AC14=".",up_Irr!BB14&lt;&gt;"."),up_dir!AE14/((1/1000)*(up_Irr!BB14)),IF(AND(up_Irr!D14=".",up_Irr!AC14&lt;&gt;".",up_Irr!BB14="."),up_dir!AE14/((1/1000)*(up_Irr!AC14)),IF(AND(up_Irr!D14&lt;&gt;".",up_Irr!AC14=".",up_Irr!BB14="."),up_dir!AE14/((1/1000)*(up_Irr!D14)),IF(AND(up_Irr!D14=".",up_Irr!AC14=".",up_Irr!BB14="."),up_dir!AE14*1000)))))))),".")</f>
        <v>6.5773651144152123E-11</v>
      </c>
      <c r="BF14" s="76">
        <f>IFERROR(IF(AND(up_Irr!E14&lt;&gt;".",up_Irr!AD14&lt;&gt;".",up_Irr!BC14&lt;&gt;"."),up_dir!AF14/((1/1000)*(up_Irr!E14+up_Irr!AD14+up_Irr!BC14)),IF(AND(up_Irr!E14&lt;&gt;".",up_Irr!AD14&lt;&gt;".",up_Irr!BC14="."),up_dir!AF14/((1/1000)*(up_Irr!E14+up_Irr!AD14)),IF(AND(up_Irr!E14&lt;&gt;".",up_Irr!AD14=".",up_Irr!BC14&lt;&gt;"."),up_dir!AF14/((1/1000)*(up_Irr!E14+up_Irr!BC14)),IF(AND(up_Irr!E14=".",up_Irr!AD14&lt;&gt;".",up_Irr!BC14&lt;&gt;"."),up_dir!AF14/((1/1000)*(up_Irr!AD14+up_Irr!BC14)),IF(AND(up_Irr!E14=".",up_Irr!AD14=".",up_Irr!BC14&lt;&gt;"."),up_dir!AF14/((1/1000)*(up_Irr!BC14)),IF(AND(up_Irr!E14=".",up_Irr!AD14&lt;&gt;".",up_Irr!BC14="."),up_dir!AF14/((1/1000)*(up_Irr!AD14)),IF(AND(up_Irr!E14&lt;&gt;".",up_Irr!AD14=".",up_Irr!BC14="."),up_dir!AF14/((1/1000)*(up_Irr!E14)),IF(AND(up_Irr!E14=".",up_Irr!AD14=".",up_Irr!BC14="."),up_dir!AF14*1000)))))))),".")</f>
        <v>6.5773651144152123E-11</v>
      </c>
      <c r="BG14" s="76">
        <f>IFERROR(IF(AND(up_Irr!F14&lt;&gt;".",up_Irr!AE14&lt;&gt;".",up_Irr!BD14&lt;&gt;"."),up_dir!AG14/((1/1000)*(up_Irr!F14+up_Irr!AE14+up_Irr!BD14)),IF(AND(up_Irr!F14&lt;&gt;".",up_Irr!AE14&lt;&gt;".",up_Irr!BD14="."),up_dir!AG14/((1/1000)*(up_Irr!F14+up_Irr!AE14)),IF(AND(up_Irr!F14&lt;&gt;".",up_Irr!AE14=".",up_Irr!BD14&lt;&gt;"."),up_dir!AG14/((1/1000)*(up_Irr!F14+up_Irr!BD14)),IF(AND(up_Irr!F14=".",up_Irr!AE14&lt;&gt;".",up_Irr!BD14&lt;&gt;"."),up_dir!AG14/((1/1000)*(up_Irr!AE14+up_Irr!BD14)),IF(AND(up_Irr!F14=".",up_Irr!AE14=".",up_Irr!BD14&lt;&gt;"."),up_dir!AG14/((1/1000)*(up_Irr!BD14)),IF(AND(up_Irr!F14=".",up_Irr!AE14&lt;&gt;".",up_Irr!BD14="."),up_dir!AG14/((1/1000)*(up_Irr!AE14)),IF(AND(up_Irr!F14&lt;&gt;".",up_Irr!AE14=".",up_Irr!BD14="."),up_dir!AG14/((1/1000)*(up_Irr!F14)),IF(AND(up_Irr!F14=".",up_Irr!AE14=".",up_Irr!BD14="."),up_dir!AG14*1000)))))))),".")</f>
        <v>6.5773651144152123E-11</v>
      </c>
      <c r="BH14" s="76">
        <f>IFERROR(IF(AND(up_Irr!G14&lt;&gt;".",up_Irr!AF14&lt;&gt;".",up_Irr!BE14&lt;&gt;"."),up_dir!AH14/((1/1000)*(up_Irr!G14+up_Irr!AF14+up_Irr!BE14)),IF(AND(up_Irr!G14&lt;&gt;".",up_Irr!AF14&lt;&gt;".",up_Irr!BE14="."),up_dir!AH14/((1/1000)*(up_Irr!G14+up_Irr!AF14)),IF(AND(up_Irr!G14&lt;&gt;".",up_Irr!AF14=".",up_Irr!BE14&lt;&gt;"."),up_dir!AH14/((1/1000)*(up_Irr!G14+up_Irr!BE14)),IF(AND(up_Irr!G14=".",up_Irr!AF14&lt;&gt;".",up_Irr!BE14&lt;&gt;"."),up_dir!AH14/((1/1000)*(up_Irr!AF14+up_Irr!BE14)),IF(AND(up_Irr!G14=".",up_Irr!AF14=".",up_Irr!BE14&lt;&gt;"."),up_dir!AH14/((1/1000)*(up_Irr!BE14)),IF(AND(up_Irr!G14=".",up_Irr!AF14&lt;&gt;".",up_Irr!BE14="."),up_dir!AH14/((1/1000)*(up_Irr!AF14)),IF(AND(up_Irr!G14&lt;&gt;".",up_Irr!AF14=".",up_Irr!BE14="."),up_dir!AH14/((1/1000)*(up_Irr!G14)),IF(AND(up_Irr!G14=".",up_Irr!AF14=".",up_Irr!BE14="."),up_dir!AH14*1000)))))))),".")</f>
        <v>6.5773651144152123E-11</v>
      </c>
      <c r="BI14" s="76">
        <f>IFERROR(IF(AND(up_Irr!H14&lt;&gt;".",up_Irr!AG14&lt;&gt;".",up_Irr!BF14&lt;&gt;"."),up_dir!AI14/((1/1000)*(up_Irr!H14+up_Irr!AG14+up_Irr!BF14)),IF(AND(up_Irr!H14&lt;&gt;".",up_Irr!AG14&lt;&gt;".",up_Irr!BF14="."),up_dir!AI14/((1/1000)*(up_Irr!H14+up_Irr!AG14)),IF(AND(up_Irr!H14&lt;&gt;".",up_Irr!AG14=".",up_Irr!BF14&lt;&gt;"."),up_dir!AI14/((1/1000)*(up_Irr!H14+up_Irr!BF14)),IF(AND(up_Irr!H14=".",up_Irr!AG14&lt;&gt;".",up_Irr!BF14&lt;&gt;"."),up_dir!AI14/((1/1000)*(up_Irr!AG14+up_Irr!BF14)),IF(AND(up_Irr!H14=".",up_Irr!AG14=".",up_Irr!BF14&lt;&gt;"."),up_dir!AI14/((1/1000)*(up_Irr!BF14)),IF(AND(up_Irr!H14=".",up_Irr!AG14&lt;&gt;".",up_Irr!BF14="."),up_dir!AI14/((1/1000)*(up_Irr!AG14)),IF(AND(up_Irr!H14&lt;&gt;".",up_Irr!AG14=".",up_Irr!BF14="."),up_dir!AI14/((1/1000)*(up_Irr!H14)),IF(AND(up_Irr!H14=".",up_Irr!AG14=".",up_Irr!BF14="."),up_dir!AI14*1000)))))))),".")</f>
        <v>6.5773651144152123E-11</v>
      </c>
      <c r="BJ14" s="76">
        <f>IFERROR(IF(AND(up_Irr!I14&lt;&gt;".",up_Irr!AH14&lt;&gt;".",up_Irr!BG14&lt;&gt;"."),up_dir!AJ14/((1/1000)*(up_Irr!I14+up_Irr!AH14+up_Irr!BG14)),IF(AND(up_Irr!I14&lt;&gt;".",up_Irr!AH14&lt;&gt;".",up_Irr!BG14="."),up_dir!AJ14/((1/1000)*(up_Irr!I14+up_Irr!AH14)),IF(AND(up_Irr!I14&lt;&gt;".",up_Irr!AH14=".",up_Irr!BG14&lt;&gt;"."),up_dir!AJ14/((1/1000)*(up_Irr!I14+up_Irr!BG14)),IF(AND(up_Irr!I14=".",up_Irr!AH14&lt;&gt;".",up_Irr!BG14&lt;&gt;"."),up_dir!AJ14/((1/1000)*(up_Irr!AH14+up_Irr!BG14)),IF(AND(up_Irr!I14=".",up_Irr!AH14=".",up_Irr!BG14&lt;&gt;"."),up_dir!AJ14/((1/1000)*(up_Irr!BG14)),IF(AND(up_Irr!I14=".",up_Irr!AH14&lt;&gt;".",up_Irr!BG14="."),up_dir!AJ14/((1/1000)*(up_Irr!AH14)),IF(AND(up_Irr!I14&lt;&gt;".",up_Irr!AH14=".",up_Irr!BG14="."),up_dir!AJ14/((1/1000)*(up_Irr!I14)),IF(AND(up_Irr!I14=".",up_Irr!AH14=".",up_Irr!BG14="."),up_dir!AJ14*1000)))))))),".")</f>
        <v>6.5773651144152123E-11</v>
      </c>
      <c r="BK14" s="76">
        <f>IFERROR(IF(AND(up_Irr!J14&lt;&gt;".",up_Irr!AI14&lt;&gt;".",up_Irr!BH14&lt;&gt;"."),up_dir!AK14/((1/1000)*(up_Irr!J14+up_Irr!AI14+up_Irr!BH14)),IF(AND(up_Irr!J14&lt;&gt;".",up_Irr!AI14&lt;&gt;".",up_Irr!BH14="."),up_dir!AK14/((1/1000)*(up_Irr!J14+up_Irr!AI14)),IF(AND(up_Irr!J14&lt;&gt;".",up_Irr!AI14=".",up_Irr!BH14&lt;&gt;"."),up_dir!AK14/((1/1000)*(up_Irr!J14+up_Irr!BH14)),IF(AND(up_Irr!J14=".",up_Irr!AI14&lt;&gt;".",up_Irr!BH14&lt;&gt;"."),up_dir!AK14/((1/1000)*(up_Irr!AI14+up_Irr!BH14)),IF(AND(up_Irr!J14=".",up_Irr!AI14=".",up_Irr!BH14&lt;&gt;"."),up_dir!AK14/((1/1000)*(up_Irr!BH14)),IF(AND(up_Irr!J14=".",up_Irr!AI14&lt;&gt;".",up_Irr!BH14="."),up_dir!AK14/((1/1000)*(up_Irr!AI14)),IF(AND(up_Irr!J14&lt;&gt;".",up_Irr!AI14=".",up_Irr!BH14="."),up_dir!AK14/((1/1000)*(up_Irr!J14)),IF(AND(up_Irr!J14=".",up_Irr!AI14=".",up_Irr!BH14="."),up_dir!AK14*1000)))))))),".")</f>
        <v>6.5773651144152123E-11</v>
      </c>
      <c r="BL14" s="76">
        <f>IFERROR(IF(AND(up_Irr!K14&lt;&gt;".",up_Irr!AJ14&lt;&gt;".",up_Irr!BI14&lt;&gt;"."),up_dir!AL14/((1/1000)*(up_Irr!K14+up_Irr!AJ14+up_Irr!BI14)),IF(AND(up_Irr!K14&lt;&gt;".",up_Irr!AJ14&lt;&gt;".",up_Irr!BI14="."),up_dir!AL14/((1/1000)*(up_Irr!K14+up_Irr!AJ14)),IF(AND(up_Irr!K14&lt;&gt;".",up_Irr!AJ14=".",up_Irr!BI14&lt;&gt;"."),up_dir!AL14/((1/1000)*(up_Irr!K14+up_Irr!BI14)),IF(AND(up_Irr!K14=".",up_Irr!AJ14&lt;&gt;".",up_Irr!BI14&lt;&gt;"."),up_dir!AL14/((1/1000)*(up_Irr!AJ14+up_Irr!BI14)),IF(AND(up_Irr!K14=".",up_Irr!AJ14=".",up_Irr!BI14&lt;&gt;"."),up_dir!AL14/((1/1000)*(up_Irr!BI14)),IF(AND(up_Irr!K14=".",up_Irr!AJ14&lt;&gt;".",up_Irr!BI14="."),up_dir!AL14/((1/1000)*(up_Irr!AJ14)),IF(AND(up_Irr!K14&lt;&gt;".",up_Irr!AJ14=".",up_Irr!BI14="."),up_dir!AL14/((1/1000)*(up_Irr!K14)),IF(AND(up_Irr!K14=".",up_Irr!AJ14=".",up_Irr!BI14="."),up_dir!AL14*1000)))))))),".")</f>
        <v>6.5773651144152123E-11</v>
      </c>
      <c r="BM14" s="76">
        <f>IFERROR(IF(AND(up_Irr!L14&lt;&gt;".",up_Irr!AK14&lt;&gt;".",up_Irr!BJ14&lt;&gt;"."),up_dir!AM14/((1/1000)*(up_Irr!L14+up_Irr!AK14+up_Irr!BJ14)),IF(AND(up_Irr!L14&lt;&gt;".",up_Irr!AK14&lt;&gt;".",up_Irr!BJ14="."),up_dir!AM14/((1/1000)*(up_Irr!L14+up_Irr!AK14)),IF(AND(up_Irr!L14&lt;&gt;".",up_Irr!AK14=".",up_Irr!BJ14&lt;&gt;"."),up_dir!AM14/((1/1000)*(up_Irr!L14+up_Irr!BJ14)),IF(AND(up_Irr!L14=".",up_Irr!AK14&lt;&gt;".",up_Irr!BJ14&lt;&gt;"."),up_dir!AM14/((1/1000)*(up_Irr!AK14+up_Irr!BJ14)),IF(AND(up_Irr!L14=".",up_Irr!AK14=".",up_Irr!BJ14&lt;&gt;"."),up_dir!AM14/((1/1000)*(up_Irr!BJ14)),IF(AND(up_Irr!L14=".",up_Irr!AK14&lt;&gt;".",up_Irr!BJ14="."),up_dir!AM14/((1/1000)*(up_Irr!AK14)),IF(AND(up_Irr!L14&lt;&gt;".",up_Irr!AK14=".",up_Irr!BJ14="."),up_dir!AM14/((1/1000)*(up_Irr!L14)),IF(AND(up_Irr!L14=".",up_Irr!AK14=".",up_Irr!BJ14="."),up_dir!AM14*1000)))))))),".")</f>
        <v>6.5773651144152123E-11</v>
      </c>
      <c r="BN14" s="76">
        <f>IFERROR(IF(AND(up_Irr!M14&lt;&gt;".",up_Irr!AL14&lt;&gt;".",up_Irr!BK14&lt;&gt;"."),up_dir!AN14/((1/1000)*(up_Irr!M14+up_Irr!AL14+up_Irr!BK14)),IF(AND(up_Irr!M14&lt;&gt;".",up_Irr!AL14&lt;&gt;".",up_Irr!BK14="."),up_dir!AN14/((1/1000)*(up_Irr!M14+up_Irr!AL14)),IF(AND(up_Irr!M14&lt;&gt;".",up_Irr!AL14=".",up_Irr!BK14&lt;&gt;"."),up_dir!AN14/((1/1000)*(up_Irr!M14+up_Irr!BK14)),IF(AND(up_Irr!M14=".",up_Irr!AL14&lt;&gt;".",up_Irr!BK14&lt;&gt;"."),up_dir!AN14/((1/1000)*(up_Irr!AL14+up_Irr!BK14)),IF(AND(up_Irr!M14=".",up_Irr!AL14=".",up_Irr!BK14&lt;&gt;"."),up_dir!AN14/((1/1000)*(up_Irr!BK14)),IF(AND(up_Irr!M14=".",up_Irr!AL14&lt;&gt;".",up_Irr!BK14="."),up_dir!AN14/((1/1000)*(up_Irr!AL14)),IF(AND(up_Irr!M14&lt;&gt;".",up_Irr!AL14=".",up_Irr!BK14="."),up_dir!AN14/((1/1000)*(up_Irr!M14)),IF(AND(up_Irr!M14=".",up_Irr!AL14=".",up_Irr!BK14="."),up_dir!AN14*1000)))))))),".")</f>
        <v>6.5773651144152123E-11</v>
      </c>
      <c r="BO14" s="76">
        <f>IFERROR(IF(AND(up_Irr!N14&lt;&gt;".",up_Irr!AM14&lt;&gt;".",up_Irr!BL14&lt;&gt;"."),up_dir!AO14/((1/1000)*(up_Irr!N14+up_Irr!AM14+up_Irr!BL14)),IF(AND(up_Irr!N14&lt;&gt;".",up_Irr!AM14&lt;&gt;".",up_Irr!BL14="."),up_dir!AO14/((1/1000)*(up_Irr!N14+up_Irr!AM14)),IF(AND(up_Irr!N14&lt;&gt;".",up_Irr!AM14=".",up_Irr!BL14&lt;&gt;"."),up_dir!AO14/((1/1000)*(up_Irr!N14+up_Irr!BL14)),IF(AND(up_Irr!N14=".",up_Irr!AM14&lt;&gt;".",up_Irr!BL14&lt;&gt;"."),up_dir!AO14/((1/1000)*(up_Irr!AM14+up_Irr!BL14)),IF(AND(up_Irr!N14=".",up_Irr!AM14=".",up_Irr!BL14&lt;&gt;"."),up_dir!AO14/((1/1000)*(up_Irr!BL14)),IF(AND(up_Irr!N14=".",up_Irr!AM14&lt;&gt;".",up_Irr!BL14="."),up_dir!AO14/((1/1000)*(up_Irr!AM14)),IF(AND(up_Irr!N14&lt;&gt;".",up_Irr!AM14=".",up_Irr!BL14="."),up_dir!AO14/((1/1000)*(up_Irr!N14)),IF(AND(up_Irr!N14=".",up_Irr!AM14=".",up_Irr!BL14="."),up_dir!AO14*1000)))))))),".")</f>
        <v>6.5773651144152123E-11</v>
      </c>
      <c r="BP14" s="76">
        <f>IFERROR(IF(AND(up_Irr!O14&lt;&gt;".",up_Irr!AN14&lt;&gt;".",up_Irr!BM14&lt;&gt;"."),up_dir!AP14/((1/1000)*(up_Irr!O14+up_Irr!AN14+up_Irr!BM14)),IF(AND(up_Irr!O14&lt;&gt;".",up_Irr!AN14&lt;&gt;".",up_Irr!BM14="."),up_dir!AP14/((1/1000)*(up_Irr!O14+up_Irr!AN14)),IF(AND(up_Irr!O14&lt;&gt;".",up_Irr!AN14=".",up_Irr!BM14&lt;&gt;"."),up_dir!AP14/((1/1000)*(up_Irr!O14+up_Irr!BM14)),IF(AND(up_Irr!O14=".",up_Irr!AN14&lt;&gt;".",up_Irr!BM14&lt;&gt;"."),up_dir!AP14/((1/1000)*(up_Irr!AN14+up_Irr!BM14)),IF(AND(up_Irr!O14=".",up_Irr!AN14=".",up_Irr!BM14&lt;&gt;"."),up_dir!AP14/((1/1000)*(up_Irr!BM14)),IF(AND(up_Irr!O14=".",up_Irr!AN14&lt;&gt;".",up_Irr!BM14="."),up_dir!AP14/((1/1000)*(up_Irr!AN14)),IF(AND(up_Irr!O14&lt;&gt;".",up_Irr!AN14=".",up_Irr!BM14="."),up_dir!AP14/((1/1000)*(up_Irr!O14)),IF(AND(up_Irr!O14=".",up_Irr!AN14=".",up_Irr!BM14="."),up_dir!AP14*1000)))))))),".")</f>
        <v>6.5773651144152123E-11</v>
      </c>
      <c r="BQ14" s="76">
        <f>IFERROR(IF(AND(up_Irr!P14&lt;&gt;".",up_Irr!AO14&lt;&gt;".",up_Irr!BN14&lt;&gt;"."),up_dir!AQ14/((1/1000)*(up_Irr!P14+up_Irr!AO14+up_Irr!BN14)),IF(AND(up_Irr!P14&lt;&gt;".",up_Irr!AO14&lt;&gt;".",up_Irr!BN14="."),up_dir!AQ14/((1/1000)*(up_Irr!P14+up_Irr!AO14)),IF(AND(up_Irr!P14&lt;&gt;".",up_Irr!AO14=".",up_Irr!BN14&lt;&gt;"."),up_dir!AQ14/((1/1000)*(up_Irr!P14+up_Irr!BN14)),IF(AND(up_Irr!P14=".",up_Irr!AO14&lt;&gt;".",up_Irr!BN14&lt;&gt;"."),up_dir!AQ14/((1/1000)*(up_Irr!AO14+up_Irr!BN14)),IF(AND(up_Irr!P14=".",up_Irr!AO14=".",up_Irr!BN14&lt;&gt;"."),up_dir!AQ14/((1/1000)*(up_Irr!BN14)),IF(AND(up_Irr!P14=".",up_Irr!AO14&lt;&gt;".",up_Irr!BN14="."),up_dir!AQ14/((1/1000)*(up_Irr!AO14)),IF(AND(up_Irr!P14&lt;&gt;".",up_Irr!AO14=".",up_Irr!BN14="."),up_dir!AQ14/((1/1000)*(up_Irr!P14)),IF(AND(up_Irr!P14=".",up_Irr!AO14=".",up_Irr!BN14="."),up_dir!AQ14*1000)))))))),".")</f>
        <v>6.5773651144152123E-11</v>
      </c>
      <c r="BR14" s="76">
        <f>IFERROR(IF(AND(up_Irr!Q14&lt;&gt;".",up_Irr!AP14&lt;&gt;".",up_Irr!BO14&lt;&gt;"."),up_dir!AR14/((1/1000)*(up_Irr!Q14+up_Irr!AP14+up_Irr!BO14)),IF(AND(up_Irr!Q14&lt;&gt;".",up_Irr!AP14&lt;&gt;".",up_Irr!BO14="."),up_dir!AR14/((1/1000)*(up_Irr!Q14+up_Irr!AP14)),IF(AND(up_Irr!Q14&lt;&gt;".",up_Irr!AP14=".",up_Irr!BO14&lt;&gt;"."),up_dir!AR14/((1/1000)*(up_Irr!Q14+up_Irr!BO14)),IF(AND(up_Irr!Q14=".",up_Irr!AP14&lt;&gt;".",up_Irr!BO14&lt;&gt;"."),up_dir!AR14/((1/1000)*(up_Irr!AP14+up_Irr!BO14)),IF(AND(up_Irr!Q14=".",up_Irr!AP14=".",up_Irr!BO14&lt;&gt;"."),up_dir!AR14/((1/1000)*(up_Irr!BO14)),IF(AND(up_Irr!Q14=".",up_Irr!AP14&lt;&gt;".",up_Irr!BO14="."),up_dir!AR14/((1/1000)*(up_Irr!AP14)),IF(AND(up_Irr!Q14&lt;&gt;".",up_Irr!AP14=".",up_Irr!BO14="."),up_dir!AR14/((1/1000)*(up_Irr!Q14)),IF(AND(up_Irr!Q14=".",up_Irr!AP14=".",up_Irr!BO14="."),up_dir!AR14*1000)))))))),".")</f>
        <v>6.5773651144152123E-11</v>
      </c>
      <c r="BS14" s="76">
        <f>IFERROR(IF(AND(up_Irr!R14&lt;&gt;".",up_Irr!AQ14&lt;&gt;".",up_Irr!BP14&lt;&gt;"."),up_dir!AS14/((1/1000)*(up_Irr!R14+up_Irr!AQ14+up_Irr!BP14)),IF(AND(up_Irr!R14&lt;&gt;".",up_Irr!AQ14&lt;&gt;".",up_Irr!BP14="."),up_dir!AS14/((1/1000)*(up_Irr!R14+up_Irr!AQ14)),IF(AND(up_Irr!R14&lt;&gt;".",up_Irr!AQ14=".",up_Irr!BP14&lt;&gt;"."),up_dir!AS14/((1/1000)*(up_Irr!R14+up_Irr!BP14)),IF(AND(up_Irr!R14=".",up_Irr!AQ14&lt;&gt;".",up_Irr!BP14&lt;&gt;"."),up_dir!AS14/((1/1000)*(up_Irr!AQ14+up_Irr!BP14)),IF(AND(up_Irr!R14=".",up_Irr!AQ14=".",up_Irr!BP14&lt;&gt;"."),up_dir!AS14/((1/1000)*(up_Irr!BP14)),IF(AND(up_Irr!R14=".",up_Irr!AQ14&lt;&gt;".",up_Irr!BP14="."),up_dir!AS14/((1/1000)*(up_Irr!AQ14)),IF(AND(up_Irr!R14&lt;&gt;".",up_Irr!AQ14=".",up_Irr!BP14="."),up_dir!AS14/((1/1000)*(up_Irr!R14)),IF(AND(up_Irr!R14=".",up_Irr!AQ14=".",up_Irr!BP14="."),up_dir!AS14*1000)))))))),".")</f>
        <v>6.5773651144152123E-11</v>
      </c>
      <c r="BT14" s="76">
        <f>IFERROR(IF(AND(up_Irr!S14&lt;&gt;".",up_Irr!AR14&lt;&gt;".",up_Irr!BQ14&lt;&gt;"."),up_dir!AT14/((1/1000)*(up_Irr!S14+up_Irr!AR14+up_Irr!BQ14)),IF(AND(up_Irr!S14&lt;&gt;".",up_Irr!AR14&lt;&gt;".",up_Irr!BQ14="."),up_dir!AT14/((1/1000)*(up_Irr!S14+up_Irr!AR14)),IF(AND(up_Irr!S14&lt;&gt;".",up_Irr!AR14=".",up_Irr!BQ14&lt;&gt;"."),up_dir!AT14/((1/1000)*(up_Irr!S14+up_Irr!BQ14)),IF(AND(up_Irr!S14=".",up_Irr!AR14&lt;&gt;".",up_Irr!BQ14&lt;&gt;"."),up_dir!AT14/((1/1000)*(up_Irr!AR14+up_Irr!BQ14)),IF(AND(up_Irr!S14=".",up_Irr!AR14=".",up_Irr!BQ14&lt;&gt;"."),up_dir!AT14/((1/1000)*(up_Irr!BQ14)),IF(AND(up_Irr!S14=".",up_Irr!AR14&lt;&gt;".",up_Irr!BQ14="."),up_dir!AT14/((1/1000)*(up_Irr!AR14)),IF(AND(up_Irr!S14&lt;&gt;".",up_Irr!AR14=".",up_Irr!BQ14="."),up_dir!AT14/((1/1000)*(up_Irr!S14)),IF(AND(up_Irr!S14=".",up_Irr!AR14=".",up_Irr!BQ14="."),up_dir!AT14*1000)))))))),".")</f>
        <v>6.5773651144152123E-11</v>
      </c>
      <c r="BU14" s="76">
        <f>IFERROR(IF(AND(up_Irr!T14&lt;&gt;".",up_Irr!AS14&lt;&gt;".",up_Irr!BR14&lt;&gt;"."),up_dir!AU14/((1/1000)*(up_Irr!T14+up_Irr!AS14+up_Irr!BR14)),IF(AND(up_Irr!T14&lt;&gt;".",up_Irr!AS14&lt;&gt;".",up_Irr!BR14="."),up_dir!AU14/((1/1000)*(up_Irr!T14+up_Irr!AS14)),IF(AND(up_Irr!T14&lt;&gt;".",up_Irr!AS14=".",up_Irr!BR14&lt;&gt;"."),up_dir!AU14/((1/1000)*(up_Irr!T14+up_Irr!BR14)),IF(AND(up_Irr!T14=".",up_Irr!AS14&lt;&gt;".",up_Irr!BR14&lt;&gt;"."),up_dir!AU14/((1/1000)*(up_Irr!AS14+up_Irr!BR14)),IF(AND(up_Irr!T14=".",up_Irr!AS14=".",up_Irr!BR14&lt;&gt;"."),up_dir!AU14/((1/1000)*(up_Irr!BR14)),IF(AND(up_Irr!T14=".",up_Irr!AS14&lt;&gt;".",up_Irr!BR14="."),up_dir!AU14/((1/1000)*(up_Irr!AS14)),IF(AND(up_Irr!T14&lt;&gt;".",up_Irr!AS14=".",up_Irr!BR14="."),up_dir!AU14/((1/1000)*(up_Irr!T14)),IF(AND(up_Irr!T14=".",up_Irr!AS14=".",up_Irr!BR14="."),up_dir!AU14*1000)))))))),".")</f>
        <v>6.5773651144152123E-11</v>
      </c>
      <c r="BV14" s="76">
        <f>IFERROR(IF(AND(up_Irr!U14&lt;&gt;".",up_Irr!AT14&lt;&gt;".",up_Irr!BS14&lt;&gt;"."),up_dir!AV14/((1/1000)*(up_Irr!U14+up_Irr!AT14+up_Irr!BS14)),IF(AND(up_Irr!U14&lt;&gt;".",up_Irr!AT14&lt;&gt;".",up_Irr!BS14="."),up_dir!AV14/((1/1000)*(up_Irr!U14+up_Irr!AT14)),IF(AND(up_Irr!U14&lt;&gt;".",up_Irr!AT14=".",up_Irr!BS14&lt;&gt;"."),up_dir!AV14/((1/1000)*(up_Irr!U14+up_Irr!BS14)),IF(AND(up_Irr!U14=".",up_Irr!AT14&lt;&gt;".",up_Irr!BS14&lt;&gt;"."),up_dir!AV14/((1/1000)*(up_Irr!AT14+up_Irr!BS14)),IF(AND(up_Irr!U14=".",up_Irr!AT14=".",up_Irr!BS14&lt;&gt;"."),up_dir!AV14/((1/1000)*(up_Irr!BS14)),IF(AND(up_Irr!U14=".",up_Irr!AT14&lt;&gt;".",up_Irr!BS14="."),up_dir!AV14/((1/1000)*(up_Irr!AT14)),IF(AND(up_Irr!U14&lt;&gt;".",up_Irr!AT14=".",up_Irr!BS14="."),up_dir!AV14/((1/1000)*(up_Irr!U14)),IF(AND(up_Irr!U14=".",up_Irr!AT14=".",up_Irr!BS14="."),up_dir!AV14*1000)))))))),".")</f>
        <v>6.5773651144152123E-11</v>
      </c>
      <c r="BW14" s="76">
        <f>IFERROR(IF(AND(up_Irr!V14&lt;&gt;".",up_Irr!AU14&lt;&gt;".",up_Irr!BT14&lt;&gt;"."),up_dir!AW14/((1/1000)*(up_Irr!V14+up_Irr!AU14+up_Irr!BT14)),IF(AND(up_Irr!V14&lt;&gt;".",up_Irr!AU14&lt;&gt;".",up_Irr!BT14="."),up_dir!AW14/((1/1000)*(up_Irr!V14+up_Irr!AU14)),IF(AND(up_Irr!V14&lt;&gt;".",up_Irr!AU14=".",up_Irr!BT14&lt;&gt;"."),up_dir!AW14/((1/1000)*(up_Irr!V14+up_Irr!BT14)),IF(AND(up_Irr!V14=".",up_Irr!AU14&lt;&gt;".",up_Irr!BT14&lt;&gt;"."),up_dir!AW14/((1/1000)*(up_Irr!AU14+up_Irr!BT14)),IF(AND(up_Irr!V14=".",up_Irr!AU14=".",up_Irr!BT14&lt;&gt;"."),up_dir!AW14/((1/1000)*(up_Irr!BT14)),IF(AND(up_Irr!V14=".",up_Irr!AU14&lt;&gt;".",up_Irr!BT14="."),up_dir!AW14/((1/1000)*(up_Irr!AU14)),IF(AND(up_Irr!V14&lt;&gt;".",up_Irr!AU14=".",up_Irr!BT14="."),up_dir!AW14/((1/1000)*(up_Irr!V14)),IF(AND(up_Irr!V14=".",up_Irr!AU14=".",up_Irr!BT14="."),up_dir!AW14*1000)))))))),".")</f>
        <v>6.5773651144152123E-11</v>
      </c>
      <c r="BX14" s="76">
        <f>IFERROR(IF(AND(up_Irr!W14&lt;&gt;".",up_Irr!AV14&lt;&gt;".",up_Irr!BU14&lt;&gt;"."),up_dir!AX14/((1/1000)*(up_Irr!W14+up_Irr!AV14+up_Irr!BU14)),IF(AND(up_Irr!W14&lt;&gt;".",up_Irr!AV14&lt;&gt;".",up_Irr!BU14="."),up_dir!AX14/((1/1000)*(up_Irr!W14+up_Irr!AV14)),IF(AND(up_Irr!W14&lt;&gt;".",up_Irr!AV14=".",up_Irr!BU14&lt;&gt;"."),up_dir!AX14/((1/1000)*(up_Irr!W14+up_Irr!BU14)),IF(AND(up_Irr!W14=".",up_Irr!AV14&lt;&gt;".",up_Irr!BU14&lt;&gt;"."),up_dir!AX14/((1/1000)*(up_Irr!AV14+up_Irr!BU14)),IF(AND(up_Irr!W14=".",up_Irr!AV14=".",up_Irr!BU14&lt;&gt;"."),up_dir!AX14/((1/1000)*(up_Irr!BU14)),IF(AND(up_Irr!W14=".",up_Irr!AV14&lt;&gt;".",up_Irr!BU14="."),up_dir!AX14/((1/1000)*(up_Irr!AV14)),IF(AND(up_Irr!W14&lt;&gt;".",up_Irr!AV14=".",up_Irr!BU14="."),up_dir!AX14/((1/1000)*(up_Irr!W14)),IF(AND(up_Irr!W14=".",up_Irr!AV14=".",up_Irr!BU14="."),up_dir!AX14*1000)))))))),".")</f>
        <v>6.5773651144152123E-11</v>
      </c>
      <c r="BY14" s="76">
        <f>IFERROR(IF(AND(up_Irr!X14&lt;&gt;".",up_Irr!AW14&lt;&gt;".",up_Irr!BV14&lt;&gt;"."),up_dir!AY14/((1/1000)*(up_Irr!X14+up_Irr!AW14+up_Irr!BV14)),IF(AND(up_Irr!X14&lt;&gt;".",up_Irr!AW14&lt;&gt;".",up_Irr!BV14="."),up_dir!AY14/((1/1000)*(up_Irr!X14+up_Irr!AW14)),IF(AND(up_Irr!X14&lt;&gt;".",up_Irr!AW14=".",up_Irr!BV14&lt;&gt;"."),up_dir!AY14/((1/1000)*(up_Irr!X14+up_Irr!BV14)),IF(AND(up_Irr!X14=".",up_Irr!AW14&lt;&gt;".",up_Irr!BV14&lt;&gt;"."),up_dir!AY14/((1/1000)*(up_Irr!AW14+up_Irr!BV14)),IF(AND(up_Irr!X14=".",up_Irr!AW14=".",up_Irr!BV14&lt;&gt;"."),up_dir!AY14/((1/1000)*(up_Irr!BV14)),IF(AND(up_Irr!X14=".",up_Irr!AW14&lt;&gt;".",up_Irr!BV14="."),up_dir!AY14/((1/1000)*(up_Irr!AW14)),IF(AND(up_Irr!X14&lt;&gt;".",up_Irr!AW14=".",up_Irr!BV14="."),up_dir!AY14/((1/1000)*(up_Irr!X14)),IF(AND(up_Irr!X14=".",up_Irr!AW14=".",up_Irr!BV14="."),up_dir!AY14*1000)))))))),".")</f>
        <v>6.5773651144152123E-11</v>
      </c>
      <c r="BZ14" s="76">
        <f>IFERROR(IF(AND(up_Irr!Y14&lt;&gt;".",up_Irr!AX14&lt;&gt;".",up_Irr!BW14&lt;&gt;"."),up_dir!AZ14/((1/1000)*(up_Irr!Y14+up_Irr!AX14+up_Irr!BW14)),IF(AND(up_Irr!Y14&lt;&gt;".",up_Irr!AX14&lt;&gt;".",up_Irr!BW14="."),up_dir!AZ14/((1/1000)*(up_Irr!Y14+up_Irr!AX14)),IF(AND(up_Irr!Y14&lt;&gt;".",up_Irr!AX14=".",up_Irr!BW14&lt;&gt;"."),up_dir!AZ14/((1/1000)*(up_Irr!Y14+up_Irr!BW14)),IF(AND(up_Irr!Y14=".",up_Irr!AX14&lt;&gt;".",up_Irr!BW14&lt;&gt;"."),up_dir!AZ14/((1/1000)*(up_Irr!AX14+up_Irr!BW14)),IF(AND(up_Irr!Y14=".",up_Irr!AX14=".",up_Irr!BW14&lt;&gt;"."),up_dir!AZ14/((1/1000)*(up_Irr!BW14)),IF(AND(up_Irr!Y14=".",up_Irr!AX14&lt;&gt;".",up_Irr!BW14="."),up_dir!AZ14/((1/1000)*(up_Irr!AX14)),IF(AND(up_Irr!Y14&lt;&gt;".",up_Irr!AX14=".",up_Irr!BW14="."),up_dir!AZ14/((1/1000)*(up_Irr!Y14)),IF(AND(up_Irr!Y14=".",up_Irr!AX14=".",up_Irr!BW14="."),up_dir!AZ14*1000)))))))),".")</f>
        <v>6.5773651144152123E-11</v>
      </c>
      <c r="CA14" s="76">
        <f>IFERROR(IF(AND(up_Irr!Z14&lt;&gt;".",up_Irr!AY14&lt;&gt;".",up_Irr!BX14&lt;&gt;"."),up_dir!BA14/((1/1000)*(up_Irr!Z14+up_Irr!AY14+up_Irr!BX14)),IF(AND(up_Irr!Z14&lt;&gt;".",up_Irr!AY14&lt;&gt;".",up_Irr!BX14="."),up_dir!BA14/((1/1000)*(up_Irr!Z14+up_Irr!AY14)),IF(AND(up_Irr!Z14&lt;&gt;".",up_Irr!AY14=".",up_Irr!BX14&lt;&gt;"."),up_dir!BA14/((1/1000)*(up_Irr!Z14+up_Irr!BX14)),IF(AND(up_Irr!Z14=".",up_Irr!AY14&lt;&gt;".",up_Irr!BX14&lt;&gt;"."),up_dir!BA14/((1/1000)*(up_Irr!AY14+up_Irr!BX14)),IF(AND(up_Irr!Z14=".",up_Irr!AY14=".",up_Irr!BX14&lt;&gt;"."),up_dir!BA14/((1/1000)*(up_Irr!BX14)),IF(AND(up_Irr!Z14=".",up_Irr!AY14&lt;&gt;".",up_Irr!BX14="."),up_dir!BA14/((1/1000)*(up_Irr!AY14)),IF(AND(up_Irr!Z14&lt;&gt;".",up_Irr!AY14=".",up_Irr!BX14="."),up_dir!BA14/((1/1000)*(up_Irr!Z14)),IF(AND(up_Irr!Z14=".",up_Irr!AY14=".",up_Irr!BX14="."),up_dir!BA14*1000)))))))),".")</f>
        <v>6.5773651144152123E-11</v>
      </c>
      <c r="CB14" s="76">
        <f>IFERROR(IF(AND(up_Irr!AA14&lt;&gt;".",up_Irr!AZ14&lt;&gt;".",up_Irr!BY14&lt;&gt;"."),up_dir!BB14/((1/1000)*(up_Irr!AA14+up_Irr!AZ14+up_Irr!BY14)),IF(AND(up_Irr!AA14&lt;&gt;".",up_Irr!AZ14&lt;&gt;".",up_Irr!BY14="."),up_dir!BB14/((1/1000)*(up_Irr!AA14+up_Irr!AZ14)),IF(AND(up_Irr!AA14&lt;&gt;".",up_Irr!AZ14=".",up_Irr!BY14&lt;&gt;"."),up_dir!BB14/((1/1000)*(up_Irr!AA14+up_Irr!BY14)),IF(AND(up_Irr!AA14=".",up_Irr!AZ14&lt;&gt;".",up_Irr!BY14&lt;&gt;"."),up_dir!BB14/((1/1000)*(up_Irr!AZ14+up_Irr!BY14)),IF(AND(up_Irr!AA14=".",up_Irr!AZ14=".",up_Irr!BY14&lt;&gt;"."),up_dir!BB14/((1/1000)*(up_Irr!BY14)),IF(AND(up_Irr!AA14=".",up_Irr!AZ14&lt;&gt;".",up_Irr!BY14="."),up_dir!BB14/((1/1000)*(up_Irr!AZ14)),IF(AND(up_Irr!AA14&lt;&gt;".",up_Irr!AZ14=".",up_Irr!BY14="."),up_dir!BB14/((1/1000)*(up_Irr!AA14)),IF(AND(up_Irr!AA14=".",up_Irr!AZ14=".",up_Irr!BY14="."),up_dir!BB14*1000)))))))),".")</f>
        <v>6.5773651144152123E-11</v>
      </c>
      <c r="CC14" s="93">
        <f t="shared" si="3"/>
        <v>608146.26076229871</v>
      </c>
      <c r="CD14" s="93">
        <f>IFERROR(s_C*s_IFAP_far_adj*s_CF_apple*(1/1000)*(up_Irr!C14+up_Irr!AB14+up_Irr!BA14),".")</f>
        <v>152036.56519057468</v>
      </c>
      <c r="CE14" s="93">
        <f>IFERROR(s_C*s_IFAS_far_adj*s_CF_asparagus*(1/1000)*(up_Irr!D14+up_Irr!AC14+up_Irr!BB14),".")</f>
        <v>152036.56519057468</v>
      </c>
      <c r="CF14" s="93">
        <f>IFERROR(s_C*s_IFBT_far_adj*s_CF_beet*(1/1000)*(up_Irr!E14+up_Irr!AD14+up_Irr!BC14),".")</f>
        <v>152036.56519057468</v>
      </c>
      <c r="CG14" s="93">
        <f>IFERROR(s_C*s_IFBE_far_adj*s_CF_berries*(1/1000)*(up_Irr!F14+up_Irr!AE14+up_Irr!BD14),".")</f>
        <v>152036.56519057468</v>
      </c>
      <c r="CH14" s="93">
        <f>IFERROR(s_C*s_IFBR_far_adj*s_CF_broccoli*(1/1000)*(up_Irr!G14+up_Irr!AF14+up_Irr!BE14),".")</f>
        <v>152036.56519057468</v>
      </c>
      <c r="CI14" s="93">
        <f>IFERROR(s_C*s_IFCB_far_adj*s_CF_cabbage*(1/1000)*(up_Irr!H14+up_Irr!AG14+up_Irr!BF14),".")</f>
        <v>152036.56519057468</v>
      </c>
      <c r="CJ14" s="93">
        <f>IFERROR(s_C*s_IFCR_far_adj*s_CF_carrot*(1/1000)*(up_Irr!I14+up_Irr!AH14+up_Irr!BG14),".")</f>
        <v>152036.56519057468</v>
      </c>
      <c r="CK14" s="93">
        <f>IFERROR(s_C*s_IFCI_far_adj*s_CF_citrus*(1/1000)*(up_Irr!J14+up_Irr!AI14+up_Irr!BH14),".")</f>
        <v>152036.56519057468</v>
      </c>
      <c r="CL14" s="93">
        <f>IFERROR(s_C*s_IFCO_far_adj*s_CF_corn*(1/1000)*(up_Irr!K14+up_Irr!AJ14+up_Irr!BI14),".")</f>
        <v>152036.56519057468</v>
      </c>
      <c r="CM14" s="93">
        <f>IFERROR(s_C*s_IFCU_far_adj*s_CF_cucumber*(1/1000)*(up_Irr!L14+up_Irr!AK14+up_Irr!BJ14),".")</f>
        <v>152036.56519057468</v>
      </c>
      <c r="CN14" s="93">
        <f>IFERROR(s_C*s_IFLE_far_adj*s_CF_lettuce*(1/1000)*(up_Irr!M14+up_Irr!AL14+up_Irr!BK14),".")</f>
        <v>152036.56519057468</v>
      </c>
      <c r="CO14" s="93">
        <f>IFERROR(s_C*s_IFLI_far_adj*s_CF_lima_bean*(1/1000)*(up_Irr!N14+up_Irr!AM14+up_Irr!BL14),".")</f>
        <v>152036.56519057468</v>
      </c>
      <c r="CP14" s="93">
        <f>IFERROR(s_C*s_IFOK_far_adj*s_CF_okra*(1/1000)*(up_Irr!O14+up_Irr!AN14+up_Irr!BM14),".")</f>
        <v>152036.56519057468</v>
      </c>
      <c r="CQ14" s="93">
        <f>IFERROR(s_C*s_IFON_far_adj*s_CF_onion*(1/1000)*(up_Irr!P14+up_Irr!AO14+up_Irr!BN14),".")</f>
        <v>152036.56519057468</v>
      </c>
      <c r="CR14" s="93">
        <f>IFERROR(s_C*s_IFPC_far_adj*s_CF_peach*(1/1000)*(up_Irr!Q14+up_Irr!AP14+up_Irr!BO14),".")</f>
        <v>152036.56519057468</v>
      </c>
      <c r="CS14" s="93">
        <f>IFERROR(s_C*s_IFPR_far_adj*s_CF_pear*(1/1000)*(up_Irr!R14+up_Irr!AQ14+up_Irr!BP14),".")</f>
        <v>152036.56519057468</v>
      </c>
      <c r="CT14" s="93">
        <f>IFERROR(s_C*s_IFPE_far_adj*s_CF_peas*(1/1000)*(up_Irr!S14+up_Irr!AR14+up_Irr!BQ14),".")</f>
        <v>152036.56519057468</v>
      </c>
      <c r="CU14" s="93">
        <f>IFERROR(s_C*s_IFPP_far_adj*s_CF_peppers*(1/1000)*(up_Irr!T14+up_Irr!AS14+up_Irr!BR14),".")</f>
        <v>152036.56519057468</v>
      </c>
      <c r="CV14" s="93">
        <f>IFERROR(s_C*s_IFPT_far_adj*s_CF_potato*(1/1000)*(up_Irr!U14+up_Irr!AT14+up_Irr!BS14),".")</f>
        <v>152036.56519057468</v>
      </c>
      <c r="CW14" s="93">
        <f>IFERROR(s_C*s_IFPU_far_adj*s_CF_pumpkin*(1/1000)*(up_Irr!V14+up_Irr!AU14+up_Irr!BT14),".")</f>
        <v>152036.56519057468</v>
      </c>
      <c r="CX14" s="93">
        <f>IFERROR(s_C*s_IFSN_far_adj*s_CF_snap_bean*(1/1000)*(up_Irr!W14+up_Irr!AV14+up_Irr!BU14),".")</f>
        <v>152036.56519057468</v>
      </c>
      <c r="CY14" s="93">
        <f>IFERROR(s_C*s_IFST_far_adj*s_CF_strawberry*(1/1000)*(up_Irr!X14+up_Irr!AW14+up_Irr!BV14),".")</f>
        <v>152036.56519057468</v>
      </c>
      <c r="CZ14" s="93">
        <f>IFERROR(s_C*s_IFTO_far_adj*s_CF_tomato*(1/1000)*(up_Irr!Y14+up_Irr!AX14+up_Irr!BW14),".")</f>
        <v>152036.56519057468</v>
      </c>
      <c r="DA14" s="93">
        <f>IFERROR(s_C*s_IFRI_far_adj*s_CF_rice*(1/1000)*(up_Irr!Z14+up_Irr!AY14+up_Irr!BX14),".")</f>
        <v>152036.56519057468</v>
      </c>
      <c r="DB14" s="93">
        <f>IFERROR(s_C*s_IFCG_far_adj*s_CF_cereal*(1/1000)*(up_Irr!AA14+up_Irr!AZ14+up_Irr!BY14),".")</f>
        <v>152036.56519057468</v>
      </c>
    </row>
    <row r="15" spans="1:106" ht="15" customHeight="1" x14ac:dyDescent="0.25">
      <c r="A15" s="92" t="s">
        <v>25</v>
      </c>
      <c r="B15" s="90" t="s">
        <v>1071</v>
      </c>
      <c r="C15" s="15">
        <f t="shared" si="0"/>
        <v>1.6443412786038031E-11</v>
      </c>
      <c r="D15" s="76">
        <f>IFERROR(IF(AND(up_Irr!C15&lt;&gt;".",up_Irr!AB15&lt;&gt;".",up_Irr!BA15&lt;&gt;"."),up_dir!D15/((1/1000)*(up_Irr!C15+up_Irr!AB15+up_Irr!BA15)),IF(AND(up_Irr!C15&lt;&gt;".",up_Irr!AB15&lt;&gt;".",up_Irr!BA15="."),up_dir!D15/((1/1000)*(up_Irr!C15+up_Irr!AB15)),IF(AND(up_Irr!C15&lt;&gt;".",up_Irr!AB15=".",up_Irr!BA15&lt;&gt;"."),up_dir!D15/((1/1000)*(up_Irr!C15+up_Irr!BA15)),IF(AND(up_Irr!C15=".",up_Irr!AB15&lt;&gt;".",up_Irr!BA15&lt;&gt;"."),up_dir!D15/((1/1000)*(up_Irr!AB15+up_Irr!BA15)),IF(AND(up_Irr!C15=".",up_Irr!AB15=".",up_Irr!BA15&lt;&gt;"."),up_dir!D15/((1/1000)*(up_Irr!BA15)),IF(AND(up_Irr!C15=".",up_Irr!AB15&lt;&gt;".",up_Irr!BA15="."),up_dir!D15/((1/1000)*(up_Irr!AB15)),IF(AND(up_Irr!C15&lt;&gt;".",up_Irr!AB15=".",up_Irr!BA15="."),up_dir!D15/((1/1000)*(up_Irr!C15)),IF(AND(up_Irr!C15=".",up_Irr!AB15=".",up_Irr!BA15="."),up_dir!D15*1000)))))))),".")</f>
        <v>6.5773651144152123E-11</v>
      </c>
      <c r="E15" s="76">
        <f>IFERROR(IF(AND(up_Irr!D15&lt;&gt;".",up_Irr!AC15&lt;&gt;".",up_Irr!BB15&lt;&gt;"."),up_dir!E15/((1/1000)*(up_Irr!D15+up_Irr!AC15+up_Irr!BB15)),IF(AND(up_Irr!D15&lt;&gt;".",up_Irr!AC15&lt;&gt;".",up_Irr!BB15="."),up_dir!E15/((1/1000)*(up_Irr!D15+up_Irr!AC15)),IF(AND(up_Irr!D15&lt;&gt;".",up_Irr!AC15=".",up_Irr!BB15&lt;&gt;"."),up_dir!E15/((1/1000)*(up_Irr!D15+up_Irr!BB15)),IF(AND(up_Irr!D15=".",up_Irr!AC15&lt;&gt;".",up_Irr!BB15&lt;&gt;"."),up_dir!E15/((1/1000)*(up_Irr!AC15+up_Irr!BB15)),IF(AND(up_Irr!D15=".",up_Irr!AC15=".",up_Irr!BB15&lt;&gt;"."),up_dir!E15/((1/1000)*(up_Irr!BB15)),IF(AND(up_Irr!D15=".",up_Irr!AC15&lt;&gt;".",up_Irr!BB15="."),up_dir!E15/((1/1000)*(up_Irr!AC15)),IF(AND(up_Irr!D15&lt;&gt;".",up_Irr!AC15=".",up_Irr!BB15="."),up_dir!E15/((1/1000)*(up_Irr!D15)),IF(AND(up_Irr!D15=".",up_Irr!AC15=".",up_Irr!BB15="."),up_dir!E15*1000)))))))),".")</f>
        <v>6.5773651144152123E-11</v>
      </c>
      <c r="F15" s="76">
        <f>IFERROR(IF(AND(up_Irr!E15&lt;&gt;".",up_Irr!AD15&lt;&gt;".",up_Irr!BC15&lt;&gt;"."),up_dir!F15/((1/1000)*(up_Irr!E15+up_Irr!AD15+up_Irr!BC15)),IF(AND(up_Irr!E15&lt;&gt;".",up_Irr!AD15&lt;&gt;".",up_Irr!BC15="."),up_dir!F15/((1/1000)*(up_Irr!E15+up_Irr!AD15)),IF(AND(up_Irr!E15&lt;&gt;".",up_Irr!AD15=".",up_Irr!BC15&lt;&gt;"."),up_dir!F15/((1/1000)*(up_Irr!E15+up_Irr!BC15)),IF(AND(up_Irr!E15=".",up_Irr!AD15&lt;&gt;".",up_Irr!BC15&lt;&gt;"."),up_dir!F15/((1/1000)*(up_Irr!AD15+up_Irr!BC15)),IF(AND(up_Irr!E15=".",up_Irr!AD15=".",up_Irr!BC15&lt;&gt;"."),up_dir!F15/((1/1000)*(up_Irr!BC15)),IF(AND(up_Irr!E15=".",up_Irr!AD15&lt;&gt;".",up_Irr!BC15="."),up_dir!F15/((1/1000)*(up_Irr!AD15)),IF(AND(up_Irr!E15&lt;&gt;".",up_Irr!AD15=".",up_Irr!BC15="."),up_dir!F15/((1/1000)*(up_Irr!E15)),IF(AND(up_Irr!E15=".",up_Irr!AD15=".",up_Irr!BC15="."),up_dir!F15*1000)))))))),".")</f>
        <v>6.5773651144152123E-11</v>
      </c>
      <c r="G15" s="76">
        <f>IFERROR(IF(AND(up_Irr!F15&lt;&gt;".",up_Irr!AE15&lt;&gt;".",up_Irr!BD15&lt;&gt;"."),up_dir!G15/((1/1000)*(up_Irr!F15+up_Irr!AE15+up_Irr!BD15)),IF(AND(up_Irr!F15&lt;&gt;".",up_Irr!AE15&lt;&gt;".",up_Irr!BD15="."),up_dir!G15/((1/1000)*(up_Irr!F15+up_Irr!AE15)),IF(AND(up_Irr!F15&lt;&gt;".",up_Irr!AE15=".",up_Irr!BD15&lt;&gt;"."),up_dir!G15/((1/1000)*(up_Irr!F15+up_Irr!BD15)),IF(AND(up_Irr!F15=".",up_Irr!AE15&lt;&gt;".",up_Irr!BD15&lt;&gt;"."),up_dir!G15/((1/1000)*(up_Irr!AE15+up_Irr!BD15)),IF(AND(up_Irr!F15=".",up_Irr!AE15=".",up_Irr!BD15&lt;&gt;"."),up_dir!G15/((1/1000)*(up_Irr!BD15)),IF(AND(up_Irr!F15=".",up_Irr!AE15&lt;&gt;".",up_Irr!BD15="."),up_dir!G15/((1/1000)*(up_Irr!AE15)),IF(AND(up_Irr!F15&lt;&gt;".",up_Irr!AE15=".",up_Irr!BD15="."),up_dir!G15/((1/1000)*(up_Irr!F15)),IF(AND(up_Irr!F15=".",up_Irr!AE15=".",up_Irr!BD15="."),up_dir!G15*1000)))))))),".")</f>
        <v>6.5773651144152123E-11</v>
      </c>
      <c r="H15" s="76">
        <f>IFERROR(IF(AND(up_Irr!G15&lt;&gt;".",up_Irr!AF15&lt;&gt;".",up_Irr!BE15&lt;&gt;"."),up_dir!H15/((1/1000)*(up_Irr!G15+up_Irr!AF15+up_Irr!BE15)),IF(AND(up_Irr!G15&lt;&gt;".",up_Irr!AF15&lt;&gt;".",up_Irr!BE15="."),up_dir!H15/((1/1000)*(up_Irr!G15+up_Irr!AF15)),IF(AND(up_Irr!G15&lt;&gt;".",up_Irr!AF15=".",up_Irr!BE15&lt;&gt;"."),up_dir!H15/((1/1000)*(up_Irr!G15+up_Irr!BE15)),IF(AND(up_Irr!G15=".",up_Irr!AF15&lt;&gt;".",up_Irr!BE15&lt;&gt;"."),up_dir!H15/((1/1000)*(up_Irr!AF15+up_Irr!BE15)),IF(AND(up_Irr!G15=".",up_Irr!AF15=".",up_Irr!BE15&lt;&gt;"."),up_dir!H15/((1/1000)*(up_Irr!BE15)),IF(AND(up_Irr!G15=".",up_Irr!AF15&lt;&gt;".",up_Irr!BE15="."),up_dir!H15/((1/1000)*(up_Irr!AF15)),IF(AND(up_Irr!G15&lt;&gt;".",up_Irr!AF15=".",up_Irr!BE15="."),up_dir!H15/((1/1000)*(up_Irr!G15)),IF(AND(up_Irr!G15=".",up_Irr!AF15=".",up_Irr!BE15="."),up_dir!H15*1000)))))))),".")</f>
        <v>6.5773651144152123E-11</v>
      </c>
      <c r="I15" s="76">
        <f>IFERROR(IF(AND(up_Irr!H15&lt;&gt;".",up_Irr!AG15&lt;&gt;".",up_Irr!BF15&lt;&gt;"."),up_dir!I15/((1/1000)*(up_Irr!H15+up_Irr!AG15+up_Irr!BF15)),IF(AND(up_Irr!H15&lt;&gt;".",up_Irr!AG15&lt;&gt;".",up_Irr!BF15="."),up_dir!I15/((1/1000)*(up_Irr!H15+up_Irr!AG15)),IF(AND(up_Irr!H15&lt;&gt;".",up_Irr!AG15=".",up_Irr!BF15&lt;&gt;"."),up_dir!I15/((1/1000)*(up_Irr!H15+up_Irr!BF15)),IF(AND(up_Irr!H15=".",up_Irr!AG15&lt;&gt;".",up_Irr!BF15&lt;&gt;"."),up_dir!I15/((1/1000)*(up_Irr!AG15+up_Irr!BF15)),IF(AND(up_Irr!H15=".",up_Irr!AG15=".",up_Irr!BF15&lt;&gt;"."),up_dir!I15/((1/1000)*(up_Irr!BF15)),IF(AND(up_Irr!H15=".",up_Irr!AG15&lt;&gt;".",up_Irr!BF15="."),up_dir!I15/((1/1000)*(up_Irr!AG15)),IF(AND(up_Irr!H15&lt;&gt;".",up_Irr!AG15=".",up_Irr!BF15="."),up_dir!I15/((1/1000)*(up_Irr!H15)),IF(AND(up_Irr!H15=".",up_Irr!AG15=".",up_Irr!BF15="."),up_dir!I15*1000)))))))),".")</f>
        <v>6.5773651144152123E-11</v>
      </c>
      <c r="J15" s="76">
        <f>IFERROR(IF(AND(up_Irr!I15&lt;&gt;".",up_Irr!AH15&lt;&gt;".",up_Irr!BG15&lt;&gt;"."),up_dir!J15/((1/1000)*(up_Irr!I15+up_Irr!AH15+up_Irr!BG15)),IF(AND(up_Irr!I15&lt;&gt;".",up_Irr!AH15&lt;&gt;".",up_Irr!BG15="."),up_dir!J15/((1/1000)*(up_Irr!I15+up_Irr!AH15)),IF(AND(up_Irr!I15&lt;&gt;".",up_Irr!AH15=".",up_Irr!BG15&lt;&gt;"."),up_dir!J15/((1/1000)*(up_Irr!I15+up_Irr!BG15)),IF(AND(up_Irr!I15=".",up_Irr!AH15&lt;&gt;".",up_Irr!BG15&lt;&gt;"."),up_dir!J15/((1/1000)*(up_Irr!AH15+up_Irr!BG15)),IF(AND(up_Irr!I15=".",up_Irr!AH15=".",up_Irr!BG15&lt;&gt;"."),up_dir!J15/((1/1000)*(up_Irr!BG15)),IF(AND(up_Irr!I15=".",up_Irr!AH15&lt;&gt;".",up_Irr!BG15="."),up_dir!J15/((1/1000)*(up_Irr!AH15)),IF(AND(up_Irr!I15&lt;&gt;".",up_Irr!AH15=".",up_Irr!BG15="."),up_dir!J15/((1/1000)*(up_Irr!I15)),IF(AND(up_Irr!I15=".",up_Irr!AH15=".",up_Irr!BG15="."),up_dir!J15*1000)))))))),".")</f>
        <v>6.5773651144152123E-11</v>
      </c>
      <c r="K15" s="76">
        <f>IFERROR(IF(AND(up_Irr!J15&lt;&gt;".",up_Irr!AI15&lt;&gt;".",up_Irr!BH15&lt;&gt;"."),up_dir!K15/((1/1000)*(up_Irr!J15+up_Irr!AI15+up_Irr!BH15)),IF(AND(up_Irr!J15&lt;&gt;".",up_Irr!AI15&lt;&gt;".",up_Irr!BH15="."),up_dir!K15/((1/1000)*(up_Irr!J15+up_Irr!AI15)),IF(AND(up_Irr!J15&lt;&gt;".",up_Irr!AI15=".",up_Irr!BH15&lt;&gt;"."),up_dir!K15/((1/1000)*(up_Irr!J15+up_Irr!BH15)),IF(AND(up_Irr!J15=".",up_Irr!AI15&lt;&gt;".",up_Irr!BH15&lt;&gt;"."),up_dir!K15/((1/1000)*(up_Irr!AI15+up_Irr!BH15)),IF(AND(up_Irr!J15=".",up_Irr!AI15=".",up_Irr!BH15&lt;&gt;"."),up_dir!K15/((1/1000)*(up_Irr!BH15)),IF(AND(up_Irr!J15=".",up_Irr!AI15&lt;&gt;".",up_Irr!BH15="."),up_dir!K15/((1/1000)*(up_Irr!AI15)),IF(AND(up_Irr!J15&lt;&gt;".",up_Irr!AI15=".",up_Irr!BH15="."),up_dir!K15/((1/1000)*(up_Irr!J15)),IF(AND(up_Irr!J15=".",up_Irr!AI15=".",up_Irr!BH15="."),up_dir!K15*1000)))))))),".")</f>
        <v>6.5773651144152123E-11</v>
      </c>
      <c r="L15" s="76">
        <f>IFERROR(IF(AND(up_Irr!K15&lt;&gt;".",up_Irr!AJ15&lt;&gt;".",up_Irr!BI15&lt;&gt;"."),up_dir!L15/((1/1000)*(up_Irr!K15+up_Irr!AJ15+up_Irr!BI15)),IF(AND(up_Irr!K15&lt;&gt;".",up_Irr!AJ15&lt;&gt;".",up_Irr!BI15="."),up_dir!L15/((1/1000)*(up_Irr!K15+up_Irr!AJ15)),IF(AND(up_Irr!K15&lt;&gt;".",up_Irr!AJ15=".",up_Irr!BI15&lt;&gt;"."),up_dir!L15/((1/1000)*(up_Irr!K15+up_Irr!BI15)),IF(AND(up_Irr!K15=".",up_Irr!AJ15&lt;&gt;".",up_Irr!BI15&lt;&gt;"."),up_dir!L15/((1/1000)*(up_Irr!AJ15+up_Irr!BI15)),IF(AND(up_Irr!K15=".",up_Irr!AJ15=".",up_Irr!BI15&lt;&gt;"."),up_dir!L15/((1/1000)*(up_Irr!BI15)),IF(AND(up_Irr!K15=".",up_Irr!AJ15&lt;&gt;".",up_Irr!BI15="."),up_dir!L15/((1/1000)*(up_Irr!AJ15)),IF(AND(up_Irr!K15&lt;&gt;".",up_Irr!AJ15=".",up_Irr!BI15="."),up_dir!L15/((1/1000)*(up_Irr!K15)),IF(AND(up_Irr!K15=".",up_Irr!AJ15=".",up_Irr!BI15="."),up_dir!L15*1000)))))))),".")</f>
        <v>6.5773651144152123E-11</v>
      </c>
      <c r="M15" s="76">
        <f>IFERROR(IF(AND(up_Irr!L15&lt;&gt;".",up_Irr!AK15&lt;&gt;".",up_Irr!BJ15&lt;&gt;"."),up_dir!M15/((1/1000)*(up_Irr!L15+up_Irr!AK15+up_Irr!BJ15)),IF(AND(up_Irr!L15&lt;&gt;".",up_Irr!AK15&lt;&gt;".",up_Irr!BJ15="."),up_dir!M15/((1/1000)*(up_Irr!L15+up_Irr!AK15)),IF(AND(up_Irr!L15&lt;&gt;".",up_Irr!AK15=".",up_Irr!BJ15&lt;&gt;"."),up_dir!M15/((1/1000)*(up_Irr!L15+up_Irr!BJ15)),IF(AND(up_Irr!L15=".",up_Irr!AK15&lt;&gt;".",up_Irr!BJ15&lt;&gt;"."),up_dir!M15/((1/1000)*(up_Irr!AK15+up_Irr!BJ15)),IF(AND(up_Irr!L15=".",up_Irr!AK15=".",up_Irr!BJ15&lt;&gt;"."),up_dir!M15/((1/1000)*(up_Irr!BJ15)),IF(AND(up_Irr!L15=".",up_Irr!AK15&lt;&gt;".",up_Irr!BJ15="."),up_dir!M15/((1/1000)*(up_Irr!AK15)),IF(AND(up_Irr!L15&lt;&gt;".",up_Irr!AK15=".",up_Irr!BJ15="."),up_dir!M15/((1/1000)*(up_Irr!L15)),IF(AND(up_Irr!L15=".",up_Irr!AK15=".",up_Irr!BJ15="."),up_dir!M15*1000)))))))),".")</f>
        <v>6.5773651144152123E-11</v>
      </c>
      <c r="N15" s="76">
        <f>IFERROR(IF(AND(up_Irr!M15&lt;&gt;".",up_Irr!AL15&lt;&gt;".",up_Irr!BK15&lt;&gt;"."),up_dir!N15/((1/1000)*(up_Irr!M15+up_Irr!AL15+up_Irr!BK15)),IF(AND(up_Irr!M15&lt;&gt;".",up_Irr!AL15&lt;&gt;".",up_Irr!BK15="."),up_dir!N15/((1/1000)*(up_Irr!M15+up_Irr!AL15)),IF(AND(up_Irr!M15&lt;&gt;".",up_Irr!AL15=".",up_Irr!BK15&lt;&gt;"."),up_dir!N15/((1/1000)*(up_Irr!M15+up_Irr!BK15)),IF(AND(up_Irr!M15=".",up_Irr!AL15&lt;&gt;".",up_Irr!BK15&lt;&gt;"."),up_dir!N15/((1/1000)*(up_Irr!AL15+up_Irr!BK15)),IF(AND(up_Irr!M15=".",up_Irr!AL15=".",up_Irr!BK15&lt;&gt;"."),up_dir!N15/((1/1000)*(up_Irr!BK15)),IF(AND(up_Irr!M15=".",up_Irr!AL15&lt;&gt;".",up_Irr!BK15="."),up_dir!N15/((1/1000)*(up_Irr!AL15)),IF(AND(up_Irr!M15&lt;&gt;".",up_Irr!AL15=".",up_Irr!BK15="."),up_dir!N15/((1/1000)*(up_Irr!M15)),IF(AND(up_Irr!M15=".",up_Irr!AL15=".",up_Irr!BK15="."),up_dir!N15*1000)))))))),".")</f>
        <v>6.5773651144152123E-11</v>
      </c>
      <c r="O15" s="76">
        <f>IFERROR(IF(AND(up_Irr!N15&lt;&gt;".",up_Irr!AM15&lt;&gt;".",up_Irr!BL15&lt;&gt;"."),up_dir!O15/((1/1000)*(up_Irr!N15+up_Irr!AM15+up_Irr!BL15)),IF(AND(up_Irr!N15&lt;&gt;".",up_Irr!AM15&lt;&gt;".",up_Irr!BL15="."),up_dir!O15/((1/1000)*(up_Irr!N15+up_Irr!AM15)),IF(AND(up_Irr!N15&lt;&gt;".",up_Irr!AM15=".",up_Irr!BL15&lt;&gt;"."),up_dir!O15/((1/1000)*(up_Irr!N15+up_Irr!BL15)),IF(AND(up_Irr!N15=".",up_Irr!AM15&lt;&gt;".",up_Irr!BL15&lt;&gt;"."),up_dir!O15/((1/1000)*(up_Irr!AM15+up_Irr!BL15)),IF(AND(up_Irr!N15=".",up_Irr!AM15=".",up_Irr!BL15&lt;&gt;"."),up_dir!O15/((1/1000)*(up_Irr!BL15)),IF(AND(up_Irr!N15=".",up_Irr!AM15&lt;&gt;".",up_Irr!BL15="."),up_dir!O15/((1/1000)*(up_Irr!AM15)),IF(AND(up_Irr!N15&lt;&gt;".",up_Irr!AM15=".",up_Irr!BL15="."),up_dir!O15/((1/1000)*(up_Irr!N15)),IF(AND(up_Irr!N15=".",up_Irr!AM15=".",up_Irr!BL15="."),up_dir!O15*1000)))))))),".")</f>
        <v>6.5773651144152123E-11</v>
      </c>
      <c r="P15" s="76">
        <f>IFERROR(IF(AND(up_Irr!O15&lt;&gt;".",up_Irr!AN15&lt;&gt;".",up_Irr!BM15&lt;&gt;"."),up_dir!P15/((1/1000)*(up_Irr!O15+up_Irr!AN15+up_Irr!BM15)),IF(AND(up_Irr!O15&lt;&gt;".",up_Irr!AN15&lt;&gt;".",up_Irr!BM15="."),up_dir!P15/((1/1000)*(up_Irr!O15+up_Irr!AN15)),IF(AND(up_Irr!O15&lt;&gt;".",up_Irr!AN15=".",up_Irr!BM15&lt;&gt;"."),up_dir!P15/((1/1000)*(up_Irr!O15+up_Irr!BM15)),IF(AND(up_Irr!O15=".",up_Irr!AN15&lt;&gt;".",up_Irr!BM15&lt;&gt;"."),up_dir!P15/((1/1000)*(up_Irr!AN15+up_Irr!BM15)),IF(AND(up_Irr!O15=".",up_Irr!AN15=".",up_Irr!BM15&lt;&gt;"."),up_dir!P15/((1/1000)*(up_Irr!BM15)),IF(AND(up_Irr!O15=".",up_Irr!AN15&lt;&gt;".",up_Irr!BM15="."),up_dir!P15/((1/1000)*(up_Irr!AN15)),IF(AND(up_Irr!O15&lt;&gt;".",up_Irr!AN15=".",up_Irr!BM15="."),up_dir!P15/((1/1000)*(up_Irr!O15)),IF(AND(up_Irr!O15=".",up_Irr!AN15=".",up_Irr!BM15="."),up_dir!P15*1000)))))))),".")</f>
        <v>6.5773651144152123E-11</v>
      </c>
      <c r="Q15" s="76">
        <f>IFERROR(IF(AND(up_Irr!P15&lt;&gt;".",up_Irr!AO15&lt;&gt;".",up_Irr!BN15&lt;&gt;"."),up_dir!Q15/((1/1000)*(up_Irr!P15+up_Irr!AO15+up_Irr!BN15)),IF(AND(up_Irr!P15&lt;&gt;".",up_Irr!AO15&lt;&gt;".",up_Irr!BN15="."),up_dir!Q15/((1/1000)*(up_Irr!P15+up_Irr!AO15)),IF(AND(up_Irr!P15&lt;&gt;".",up_Irr!AO15=".",up_Irr!BN15&lt;&gt;"."),up_dir!Q15/((1/1000)*(up_Irr!P15+up_Irr!BN15)),IF(AND(up_Irr!P15=".",up_Irr!AO15&lt;&gt;".",up_Irr!BN15&lt;&gt;"."),up_dir!Q15/((1/1000)*(up_Irr!AO15+up_Irr!BN15)),IF(AND(up_Irr!P15=".",up_Irr!AO15=".",up_Irr!BN15&lt;&gt;"."),up_dir!Q15/((1/1000)*(up_Irr!BN15)),IF(AND(up_Irr!P15=".",up_Irr!AO15&lt;&gt;".",up_Irr!BN15="."),up_dir!Q15/((1/1000)*(up_Irr!AO15)),IF(AND(up_Irr!P15&lt;&gt;".",up_Irr!AO15=".",up_Irr!BN15="."),up_dir!Q15/((1/1000)*(up_Irr!P15)),IF(AND(up_Irr!P15=".",up_Irr!AO15=".",up_Irr!BN15="."),up_dir!Q15*1000)))))))),".")</f>
        <v>6.5773651144152123E-11</v>
      </c>
      <c r="R15" s="76">
        <f>IFERROR(IF(AND(up_Irr!Q15&lt;&gt;".",up_Irr!AP15&lt;&gt;".",up_Irr!BO15&lt;&gt;"."),up_dir!R15/((1/1000)*(up_Irr!Q15+up_Irr!AP15+up_Irr!BO15)),IF(AND(up_Irr!Q15&lt;&gt;".",up_Irr!AP15&lt;&gt;".",up_Irr!BO15="."),up_dir!R15/((1/1000)*(up_Irr!Q15+up_Irr!AP15)),IF(AND(up_Irr!Q15&lt;&gt;".",up_Irr!AP15=".",up_Irr!BO15&lt;&gt;"."),up_dir!R15/((1/1000)*(up_Irr!Q15+up_Irr!BO15)),IF(AND(up_Irr!Q15=".",up_Irr!AP15&lt;&gt;".",up_Irr!BO15&lt;&gt;"."),up_dir!R15/((1/1000)*(up_Irr!AP15+up_Irr!BO15)),IF(AND(up_Irr!Q15=".",up_Irr!AP15=".",up_Irr!BO15&lt;&gt;"."),up_dir!R15/((1/1000)*(up_Irr!BO15)),IF(AND(up_Irr!Q15=".",up_Irr!AP15&lt;&gt;".",up_Irr!BO15="."),up_dir!R15/((1/1000)*(up_Irr!AP15)),IF(AND(up_Irr!Q15&lt;&gt;".",up_Irr!AP15=".",up_Irr!BO15="."),up_dir!R15/((1/1000)*(up_Irr!Q15)),IF(AND(up_Irr!Q15=".",up_Irr!AP15=".",up_Irr!BO15="."),up_dir!R15*1000)))))))),".")</f>
        <v>6.5773651144152123E-11</v>
      </c>
      <c r="S15" s="76">
        <f>IFERROR(IF(AND(up_Irr!R15&lt;&gt;".",up_Irr!AQ15&lt;&gt;".",up_Irr!BP15&lt;&gt;"."),up_dir!S15/((1/1000)*(up_Irr!R15+up_Irr!AQ15+up_Irr!BP15)),IF(AND(up_Irr!R15&lt;&gt;".",up_Irr!AQ15&lt;&gt;".",up_Irr!BP15="."),up_dir!S15/((1/1000)*(up_Irr!R15+up_Irr!AQ15)),IF(AND(up_Irr!R15&lt;&gt;".",up_Irr!AQ15=".",up_Irr!BP15&lt;&gt;"."),up_dir!S15/((1/1000)*(up_Irr!R15+up_Irr!BP15)),IF(AND(up_Irr!R15=".",up_Irr!AQ15&lt;&gt;".",up_Irr!BP15&lt;&gt;"."),up_dir!S15/((1/1000)*(up_Irr!AQ15+up_Irr!BP15)),IF(AND(up_Irr!R15=".",up_Irr!AQ15=".",up_Irr!BP15&lt;&gt;"."),up_dir!S15/((1/1000)*(up_Irr!BP15)),IF(AND(up_Irr!R15=".",up_Irr!AQ15&lt;&gt;".",up_Irr!BP15="."),up_dir!S15/((1/1000)*(up_Irr!AQ15)),IF(AND(up_Irr!R15&lt;&gt;".",up_Irr!AQ15=".",up_Irr!BP15="."),up_dir!S15/((1/1000)*(up_Irr!R15)),IF(AND(up_Irr!R15=".",up_Irr!AQ15=".",up_Irr!BP15="."),up_dir!S15*1000)))))))),".")</f>
        <v>6.5773651144152123E-11</v>
      </c>
      <c r="T15" s="76">
        <f>IFERROR(IF(AND(up_Irr!S15&lt;&gt;".",up_Irr!AR15&lt;&gt;".",up_Irr!BQ15&lt;&gt;"."),up_dir!T15/((1/1000)*(up_Irr!S15+up_Irr!AR15+up_Irr!BQ15)),IF(AND(up_Irr!S15&lt;&gt;".",up_Irr!AR15&lt;&gt;".",up_Irr!BQ15="."),up_dir!T15/((1/1000)*(up_Irr!S15+up_Irr!AR15)),IF(AND(up_Irr!S15&lt;&gt;".",up_Irr!AR15=".",up_Irr!BQ15&lt;&gt;"."),up_dir!T15/((1/1000)*(up_Irr!S15+up_Irr!BQ15)),IF(AND(up_Irr!S15=".",up_Irr!AR15&lt;&gt;".",up_Irr!BQ15&lt;&gt;"."),up_dir!T15/((1/1000)*(up_Irr!AR15+up_Irr!BQ15)),IF(AND(up_Irr!S15=".",up_Irr!AR15=".",up_Irr!BQ15&lt;&gt;"."),up_dir!T15/((1/1000)*(up_Irr!BQ15)),IF(AND(up_Irr!S15=".",up_Irr!AR15&lt;&gt;".",up_Irr!BQ15="."),up_dir!T15/((1/1000)*(up_Irr!AR15)),IF(AND(up_Irr!S15&lt;&gt;".",up_Irr!AR15=".",up_Irr!BQ15="."),up_dir!T15/((1/1000)*(up_Irr!S15)),IF(AND(up_Irr!S15=".",up_Irr!AR15=".",up_Irr!BQ15="."),up_dir!T15*1000)))))))),".")</f>
        <v>6.5773651144152123E-11</v>
      </c>
      <c r="U15" s="76">
        <f>IFERROR(IF(AND(up_Irr!T15&lt;&gt;".",up_Irr!AS15&lt;&gt;".",up_Irr!BR15&lt;&gt;"."),up_dir!U15/((1/1000)*(up_Irr!T15+up_Irr!AS15+up_Irr!BR15)),IF(AND(up_Irr!T15&lt;&gt;".",up_Irr!AS15&lt;&gt;".",up_Irr!BR15="."),up_dir!U15/((1/1000)*(up_Irr!T15+up_Irr!AS15)),IF(AND(up_Irr!T15&lt;&gt;".",up_Irr!AS15=".",up_Irr!BR15&lt;&gt;"."),up_dir!U15/((1/1000)*(up_Irr!T15+up_Irr!BR15)),IF(AND(up_Irr!T15=".",up_Irr!AS15&lt;&gt;".",up_Irr!BR15&lt;&gt;"."),up_dir!U15/((1/1000)*(up_Irr!AS15+up_Irr!BR15)),IF(AND(up_Irr!T15=".",up_Irr!AS15=".",up_Irr!BR15&lt;&gt;"."),up_dir!U15/((1/1000)*(up_Irr!BR15)),IF(AND(up_Irr!T15=".",up_Irr!AS15&lt;&gt;".",up_Irr!BR15="."),up_dir!U15/((1/1000)*(up_Irr!AS15)),IF(AND(up_Irr!T15&lt;&gt;".",up_Irr!AS15=".",up_Irr!BR15="."),up_dir!U15/((1/1000)*(up_Irr!T15)),IF(AND(up_Irr!T15=".",up_Irr!AS15=".",up_Irr!BR15="."),up_dir!U15*1000)))))))),".")</f>
        <v>6.5773651144152123E-11</v>
      </c>
      <c r="V15" s="76">
        <f>IFERROR(IF(AND(up_Irr!U15&lt;&gt;".",up_Irr!AT15&lt;&gt;".",up_Irr!BS15&lt;&gt;"."),up_dir!V15/((1/1000)*(up_Irr!U15+up_Irr!AT15+up_Irr!BS15)),IF(AND(up_Irr!U15&lt;&gt;".",up_Irr!AT15&lt;&gt;".",up_Irr!BS15="."),up_dir!V15/((1/1000)*(up_Irr!U15+up_Irr!AT15)),IF(AND(up_Irr!U15&lt;&gt;".",up_Irr!AT15=".",up_Irr!BS15&lt;&gt;"."),up_dir!V15/((1/1000)*(up_Irr!U15+up_Irr!BS15)),IF(AND(up_Irr!U15=".",up_Irr!AT15&lt;&gt;".",up_Irr!BS15&lt;&gt;"."),up_dir!V15/((1/1000)*(up_Irr!AT15+up_Irr!BS15)),IF(AND(up_Irr!U15=".",up_Irr!AT15=".",up_Irr!BS15&lt;&gt;"."),up_dir!V15/((1/1000)*(up_Irr!BS15)),IF(AND(up_Irr!U15=".",up_Irr!AT15&lt;&gt;".",up_Irr!BS15="."),up_dir!V15/((1/1000)*(up_Irr!AT15)),IF(AND(up_Irr!U15&lt;&gt;".",up_Irr!AT15=".",up_Irr!BS15="."),up_dir!V15/((1/1000)*(up_Irr!U15)),IF(AND(up_Irr!U15=".",up_Irr!AT15=".",up_Irr!BS15="."),up_dir!V15*1000)))))))),".")</f>
        <v>6.5773651144152123E-11</v>
      </c>
      <c r="W15" s="76">
        <f>IFERROR(IF(AND(up_Irr!V15&lt;&gt;".",up_Irr!AU15&lt;&gt;".",up_Irr!BT15&lt;&gt;"."),up_dir!W15/((1/1000)*(up_Irr!V15+up_Irr!AU15+up_Irr!BT15)),IF(AND(up_Irr!V15&lt;&gt;".",up_Irr!AU15&lt;&gt;".",up_Irr!BT15="."),up_dir!W15/((1/1000)*(up_Irr!V15+up_Irr!AU15)),IF(AND(up_Irr!V15&lt;&gt;".",up_Irr!AU15=".",up_Irr!BT15&lt;&gt;"."),up_dir!W15/((1/1000)*(up_Irr!V15+up_Irr!BT15)),IF(AND(up_Irr!V15=".",up_Irr!AU15&lt;&gt;".",up_Irr!BT15&lt;&gt;"."),up_dir!W15/((1/1000)*(up_Irr!AU15+up_Irr!BT15)),IF(AND(up_Irr!V15=".",up_Irr!AU15=".",up_Irr!BT15&lt;&gt;"."),up_dir!W15/((1/1000)*(up_Irr!BT15)),IF(AND(up_Irr!V15=".",up_Irr!AU15&lt;&gt;".",up_Irr!BT15="."),up_dir!W15/((1/1000)*(up_Irr!AU15)),IF(AND(up_Irr!V15&lt;&gt;".",up_Irr!AU15=".",up_Irr!BT15="."),up_dir!W15/((1/1000)*(up_Irr!V15)),IF(AND(up_Irr!V15=".",up_Irr!AU15=".",up_Irr!BT15="."),up_dir!W15*1000)))))))),".")</f>
        <v>6.5773651144152123E-11</v>
      </c>
      <c r="X15" s="76">
        <f>IFERROR(IF(AND(up_Irr!W15&lt;&gt;".",up_Irr!AV15&lt;&gt;".",up_Irr!BU15&lt;&gt;"."),up_dir!X15/((1/1000)*(up_Irr!W15+up_Irr!AV15+up_Irr!BU15)),IF(AND(up_Irr!W15&lt;&gt;".",up_Irr!AV15&lt;&gt;".",up_Irr!BU15="."),up_dir!X15/((1/1000)*(up_Irr!W15+up_Irr!AV15)),IF(AND(up_Irr!W15&lt;&gt;".",up_Irr!AV15=".",up_Irr!BU15&lt;&gt;"."),up_dir!X15/((1/1000)*(up_Irr!W15+up_Irr!BU15)),IF(AND(up_Irr!W15=".",up_Irr!AV15&lt;&gt;".",up_Irr!BU15&lt;&gt;"."),up_dir!X15/((1/1000)*(up_Irr!AV15+up_Irr!BU15)),IF(AND(up_Irr!W15=".",up_Irr!AV15=".",up_Irr!BU15&lt;&gt;"."),up_dir!X15/((1/1000)*(up_Irr!BU15)),IF(AND(up_Irr!W15=".",up_Irr!AV15&lt;&gt;".",up_Irr!BU15="."),up_dir!X15/((1/1000)*(up_Irr!AV15)),IF(AND(up_Irr!W15&lt;&gt;".",up_Irr!AV15=".",up_Irr!BU15="."),up_dir!X15/((1/1000)*(up_Irr!W15)),IF(AND(up_Irr!W15=".",up_Irr!AV15=".",up_Irr!BU15="."),up_dir!X15*1000)))))))),".")</f>
        <v>6.5773651144152123E-11</v>
      </c>
      <c r="Y15" s="76">
        <f>IFERROR(IF(AND(up_Irr!X15&lt;&gt;".",up_Irr!AW15&lt;&gt;".",up_Irr!BV15&lt;&gt;"."),up_dir!Y15/((1/1000)*(up_Irr!X15+up_Irr!AW15+up_Irr!BV15)),IF(AND(up_Irr!X15&lt;&gt;".",up_Irr!AW15&lt;&gt;".",up_Irr!BV15="."),up_dir!Y15/((1/1000)*(up_Irr!X15+up_Irr!AW15)),IF(AND(up_Irr!X15&lt;&gt;".",up_Irr!AW15=".",up_Irr!BV15&lt;&gt;"."),up_dir!Y15/((1/1000)*(up_Irr!X15+up_Irr!BV15)),IF(AND(up_Irr!X15=".",up_Irr!AW15&lt;&gt;".",up_Irr!BV15&lt;&gt;"."),up_dir!Y15/((1/1000)*(up_Irr!AW15+up_Irr!BV15)),IF(AND(up_Irr!X15=".",up_Irr!AW15=".",up_Irr!BV15&lt;&gt;"."),up_dir!Y15/((1/1000)*(up_Irr!BV15)),IF(AND(up_Irr!X15=".",up_Irr!AW15&lt;&gt;".",up_Irr!BV15="."),up_dir!Y15/((1/1000)*(up_Irr!AW15)),IF(AND(up_Irr!X15&lt;&gt;".",up_Irr!AW15=".",up_Irr!BV15="."),up_dir!Y15/((1/1000)*(up_Irr!X15)),IF(AND(up_Irr!X15=".",up_Irr!AW15=".",up_Irr!BV15="."),up_dir!Y15*1000)))))))),".")</f>
        <v>6.5773651144152123E-11</v>
      </c>
      <c r="Z15" s="76">
        <f>IFERROR(IF(AND(up_Irr!Y15&lt;&gt;".",up_Irr!AX15&lt;&gt;".",up_Irr!BW15&lt;&gt;"."),up_dir!Z15/((1/1000)*(up_Irr!Y15+up_Irr!AX15+up_Irr!BW15)),IF(AND(up_Irr!Y15&lt;&gt;".",up_Irr!AX15&lt;&gt;".",up_Irr!BW15="."),up_dir!Z15/((1/1000)*(up_Irr!Y15+up_Irr!AX15)),IF(AND(up_Irr!Y15&lt;&gt;".",up_Irr!AX15=".",up_Irr!BW15&lt;&gt;"."),up_dir!Z15/((1/1000)*(up_Irr!Y15+up_Irr!BW15)),IF(AND(up_Irr!Y15=".",up_Irr!AX15&lt;&gt;".",up_Irr!BW15&lt;&gt;"."),up_dir!Z15/((1/1000)*(up_Irr!AX15+up_Irr!BW15)),IF(AND(up_Irr!Y15=".",up_Irr!AX15=".",up_Irr!BW15&lt;&gt;"."),up_dir!Z15/((1/1000)*(up_Irr!BW15)),IF(AND(up_Irr!Y15=".",up_Irr!AX15&lt;&gt;".",up_Irr!BW15="."),up_dir!Z15/((1/1000)*(up_Irr!AX15)),IF(AND(up_Irr!Y15&lt;&gt;".",up_Irr!AX15=".",up_Irr!BW15="."),up_dir!Z15/((1/1000)*(up_Irr!Y15)),IF(AND(up_Irr!Y15=".",up_Irr!AX15=".",up_Irr!BW15="."),up_dir!Z15*1000)))))))),".")</f>
        <v>6.5773651144152123E-11</v>
      </c>
      <c r="AA15" s="76">
        <f>IFERROR(IF(AND(up_Irr!Z15&lt;&gt;".",up_Irr!AY15&lt;&gt;".",up_Irr!BX15&lt;&gt;"."),up_dir!AA15/((1/1000)*(up_Irr!Z15+up_Irr!AY15+up_Irr!BX15)),IF(AND(up_Irr!Z15&lt;&gt;".",up_Irr!AY15&lt;&gt;".",up_Irr!BX15="."),up_dir!AA15/((1/1000)*(up_Irr!Z15+up_Irr!AY15)),IF(AND(up_Irr!Z15&lt;&gt;".",up_Irr!AY15=".",up_Irr!BX15&lt;&gt;"."),up_dir!AA15/((1/1000)*(up_Irr!Z15+up_Irr!BX15)),IF(AND(up_Irr!Z15=".",up_Irr!AY15&lt;&gt;".",up_Irr!BX15&lt;&gt;"."),up_dir!AA15/((1/1000)*(up_Irr!AY15+up_Irr!BX15)),IF(AND(up_Irr!Z15=".",up_Irr!AY15=".",up_Irr!BX15&lt;&gt;"."),up_dir!AA15/((1/1000)*(up_Irr!BX15)),IF(AND(up_Irr!Z15=".",up_Irr!AY15&lt;&gt;".",up_Irr!BX15="."),up_dir!AA15/((1/1000)*(up_Irr!AY15)),IF(AND(up_Irr!Z15&lt;&gt;".",up_Irr!AY15=".",up_Irr!BX15="."),up_dir!AA15/((1/1000)*(up_Irr!Z15)),IF(AND(up_Irr!Z15=".",up_Irr!AY15=".",up_Irr!BX15="."),up_dir!AA15*1000)))))))),".")</f>
        <v>6.5773651144152123E-11</v>
      </c>
      <c r="AB15" s="76">
        <f>IFERROR(IF(AND(up_Irr!AA15&lt;&gt;".",up_Irr!AZ15&lt;&gt;".",up_Irr!BY15&lt;&gt;"."),up_dir!AB15/((1/1000)*(up_Irr!AA15+up_Irr!AZ15+up_Irr!BY15)),IF(AND(up_Irr!AA15&lt;&gt;".",up_Irr!AZ15&lt;&gt;".",up_Irr!BY15="."),up_dir!AB15/((1/1000)*(up_Irr!AA15+up_Irr!AZ15)),IF(AND(up_Irr!AA15&lt;&gt;".",up_Irr!AZ15=".",up_Irr!BY15&lt;&gt;"."),up_dir!AB15/((1/1000)*(up_Irr!AA15+up_Irr!BY15)),IF(AND(up_Irr!AA15=".",up_Irr!AZ15&lt;&gt;".",up_Irr!BY15&lt;&gt;"."),up_dir!AB15/((1/1000)*(up_Irr!AZ15+up_Irr!BY15)),IF(AND(up_Irr!AA15=".",up_Irr!AZ15=".",up_Irr!BY15&lt;&gt;"."),up_dir!AB15/((1/1000)*(up_Irr!BY15)),IF(AND(up_Irr!AA15=".",up_Irr!AZ15&lt;&gt;".",up_Irr!BY15="."),up_dir!AB15/((1/1000)*(up_Irr!AZ15)),IF(AND(up_Irr!AA15&lt;&gt;".",up_Irr!AZ15=".",up_Irr!BY15="."),up_dir!AB15/((1/1000)*(up_Irr!AA15)),IF(AND(up_Irr!AA15=".",up_Irr!AZ15=".",up_Irr!BY15="."),up_dir!AB15*1000)))))))),".")</f>
        <v>6.5773651144152123E-11</v>
      </c>
      <c r="AC15" s="93">
        <f t="shared" si="1"/>
        <v>608146.26076229871</v>
      </c>
      <c r="AD15" s="93">
        <f>IFERROR(s_C*s_IFAP_res_adj*s_CF_apple*0.001*(up_Irr!C15+up_Irr!AB15+up_Irr!BA15),".")</f>
        <v>152036.56519057468</v>
      </c>
      <c r="AE15" s="93">
        <f>IFERROR(s_C*s_IFAS_res_adj*s_CF_asparagus*0.001*(up_Irr!D15+up_Irr!AC15+up_Irr!BB15),".")</f>
        <v>152036.56519057468</v>
      </c>
      <c r="AF15" s="93">
        <f>IFERROR(s_C*s_IFBT_res_adj*s_CF_beet*0.001*(up_Irr!E15+up_Irr!AD15+up_Irr!BC15),".")</f>
        <v>152036.56519057468</v>
      </c>
      <c r="AG15" s="93">
        <f>IFERROR(s_C*s_IFBE_res_adj*s_CF_berries*0.001*(up_Irr!F15+up_Irr!AE15+up_Irr!BD15),".")</f>
        <v>152036.56519057468</v>
      </c>
      <c r="AH15" s="93">
        <f>IFERROR(s_C*s_IFBR_res_adj*s_CF_broccoli*0.001*(up_Irr!G15+up_Irr!AF15+up_Irr!BE15),".")</f>
        <v>152036.56519057468</v>
      </c>
      <c r="AI15" s="93">
        <f>IFERROR(s_C*s_IFCB_res_adj*s_CF_cabbage*0.001*(up_Irr!H15+up_Irr!AG15+up_Irr!BF15),".")</f>
        <v>152036.56519057468</v>
      </c>
      <c r="AJ15" s="93">
        <f>IFERROR(s_C*s_IFCR_res_adj*s_CF_carrot*0.001*(up_Irr!I15+up_Irr!AH15+up_Irr!BG15),".")</f>
        <v>152036.56519057468</v>
      </c>
      <c r="AK15" s="93">
        <f>IFERROR(s_C*s_IFCI_res_adj*s_CF_citrus*0.001*(up_Irr!J15+up_Irr!AI15+up_Irr!BH15),".")</f>
        <v>152036.56519057468</v>
      </c>
      <c r="AL15" s="93">
        <f>IFERROR(s_C*s_IFCO_res_adj*s_CF_corn*0.001*(up_Irr!K15+up_Irr!AJ15+up_Irr!BI15),".")</f>
        <v>152036.56519057468</v>
      </c>
      <c r="AM15" s="93">
        <f>IFERROR(s_C*s_IFCU_res_adj*s_CF_cucumber*0.001*(up_Irr!L15+up_Irr!AK15+up_Irr!BJ15),".")</f>
        <v>152036.56519057468</v>
      </c>
      <c r="AN15" s="93">
        <f>IFERROR(s_C*s_IFLE_res_adj*s_CF_lettuce*0.001*(up_Irr!M15+up_Irr!AL15+up_Irr!BK15),".")</f>
        <v>152036.56519057468</v>
      </c>
      <c r="AO15" s="93">
        <f>IFERROR(s_C*s_IFLI_res_adj*s_CF_lima_bean*0.001*(up_Irr!N15+up_Irr!AM15+up_Irr!BL15),".")</f>
        <v>152036.56519057468</v>
      </c>
      <c r="AP15" s="93">
        <f>IFERROR(s_C*s_IFOK_res_adj*s_CF_okra*0.001*(up_Irr!O15+up_Irr!AN15+up_Irr!BM15),".")</f>
        <v>152036.56519057468</v>
      </c>
      <c r="AQ15" s="93">
        <f>IFERROR(s_C*s_IFON_res_adj*s_CF_onion*0.001*(up_Irr!P15+up_Irr!AO15+up_Irr!BN15),".")</f>
        <v>152036.56519057468</v>
      </c>
      <c r="AR15" s="93">
        <f>IFERROR(s_C*s_IFPC_res_adj*s_CF_peach*0.001*(up_Irr!Q15+up_Irr!AP15+up_Irr!BO15),".")</f>
        <v>152036.56519057468</v>
      </c>
      <c r="AS15" s="93">
        <f>IFERROR(s_C*s_IFPR_res_adj*s_CF_pear*0.001*(up_Irr!R15+up_Irr!AQ15+up_Irr!BP15),".")</f>
        <v>152036.56519057468</v>
      </c>
      <c r="AT15" s="93">
        <f>IFERROR(s_C*s_IFPE_res_adj*s_CF_peas*0.001*(up_Irr!S15+up_Irr!AR15+up_Irr!BQ15),".")</f>
        <v>152036.56519057468</v>
      </c>
      <c r="AU15" s="93">
        <f>IFERROR(s_C*s_IFPP_res_adj*s_CF_peppers*0.001*(up_Irr!T15+up_Irr!AS15+up_Irr!BR15),".")</f>
        <v>152036.56519057468</v>
      </c>
      <c r="AV15" s="93">
        <f>IFERROR(s_C*s_IFPT_res_adj*s_CF_potato*0.001*(up_Irr!U15+up_Irr!AT15+up_Irr!BS15),".")</f>
        <v>152036.56519057468</v>
      </c>
      <c r="AW15" s="93">
        <f>IFERROR(s_C*s_IFPU_res_adj*s_CF_pumpkin*0.001*(up_Irr!V15+up_Irr!AU15+up_Irr!BT15),".")</f>
        <v>152036.56519057468</v>
      </c>
      <c r="AX15" s="93">
        <f>IFERROR(s_C*s_IFSN_res_adj*s_CF_snap_bean*0.001*(up_Irr!W15+up_Irr!AV15+up_Irr!BU15),".")</f>
        <v>152036.56519057468</v>
      </c>
      <c r="AY15" s="93">
        <f>IFERROR(s_C*s_IFST_res_adj*s_CF_strawberry*0.001*(up_Irr!X15+up_Irr!AW15+up_Irr!BV15),".")</f>
        <v>152036.56519057468</v>
      </c>
      <c r="AZ15" s="93">
        <f>IFERROR(s_C*s_IFTO_res_adj*s_CF_tomato*0.001*(up_Irr!Y15+up_Irr!AX15+up_Irr!BW15),".")</f>
        <v>152036.56519057468</v>
      </c>
      <c r="BA15" s="93">
        <f>IFERROR(s_C*s_IFRI_res_adj*s_CF_rice*0.001*(up_Irr!Z15+up_Irr!AY15+up_Irr!BX15),".")</f>
        <v>152036.56519057468</v>
      </c>
      <c r="BB15" s="93">
        <f>IFERROR(s_C*s_IFCG_res_adj*s_CF_cereal*0.001*(up_Irr!AA15+up_Irr!AZ15+up_Irr!BY15),".")</f>
        <v>152036.56519057468</v>
      </c>
      <c r="BC15" s="76">
        <f t="shared" si="2"/>
        <v>1.6443412786038031E-11</v>
      </c>
      <c r="BD15" s="76">
        <f>IFERROR(IF(AND(up_Irr!C15&lt;&gt;".",up_Irr!AB15&lt;&gt;".",up_Irr!BA15&lt;&gt;"."),up_dir!AD15/((1/1000)*(up_Irr!C15+up_Irr!AB15+up_Irr!BA15)),IF(AND(up_Irr!C15&lt;&gt;".",up_Irr!AB15&lt;&gt;".",up_Irr!BA15="."),up_dir!AD15/((1/1000)*(up_Irr!C15+up_Irr!AB15)),IF(AND(up_Irr!C15&lt;&gt;".",up_Irr!AB15=".",up_Irr!BA15&lt;&gt;"."),up_dir!AD15/((1/1000)*(up_Irr!C15+up_Irr!BA15)),IF(AND(up_Irr!C15=".",up_Irr!AB15&lt;&gt;".",up_Irr!BA15&lt;&gt;"."),up_dir!AD15/((1/1000)*(up_Irr!AB15+up_Irr!BA15)),IF(AND(up_Irr!C15=".",up_Irr!AB15=".",up_Irr!BA15&lt;&gt;"."),up_dir!AD15/((1/1000)*(up_Irr!BA15)),IF(AND(up_Irr!C15=".",up_Irr!AB15&lt;&gt;".",up_Irr!BA15="."),up_dir!AD15/((1/1000)*(up_Irr!AB15)),IF(AND(up_Irr!C15&lt;&gt;".",up_Irr!AB15=".",up_Irr!BA15="."),up_dir!AD15/((1/1000)*(up_Irr!C15)),IF(AND(up_Irr!C15=".",up_Irr!AB15=".",up_Irr!BA15="."),up_dir!AD15*1000)))))))),".")</f>
        <v>6.5773651144152123E-11</v>
      </c>
      <c r="BE15" s="76">
        <f>IFERROR(IF(AND(up_Irr!D15&lt;&gt;".",up_Irr!AC15&lt;&gt;".",up_Irr!BB15&lt;&gt;"."),up_dir!AE15/((1/1000)*(up_Irr!D15+up_Irr!AC15+up_Irr!BB15)),IF(AND(up_Irr!D15&lt;&gt;".",up_Irr!AC15&lt;&gt;".",up_Irr!BB15="."),up_dir!AE15/((1/1000)*(up_Irr!D15+up_Irr!AC15)),IF(AND(up_Irr!D15&lt;&gt;".",up_Irr!AC15=".",up_Irr!BB15&lt;&gt;"."),up_dir!AE15/((1/1000)*(up_Irr!D15+up_Irr!BB15)),IF(AND(up_Irr!D15=".",up_Irr!AC15&lt;&gt;".",up_Irr!BB15&lt;&gt;"."),up_dir!AE15/((1/1000)*(up_Irr!AC15+up_Irr!BB15)),IF(AND(up_Irr!D15=".",up_Irr!AC15=".",up_Irr!BB15&lt;&gt;"."),up_dir!AE15/((1/1000)*(up_Irr!BB15)),IF(AND(up_Irr!D15=".",up_Irr!AC15&lt;&gt;".",up_Irr!BB15="."),up_dir!AE15/((1/1000)*(up_Irr!AC15)),IF(AND(up_Irr!D15&lt;&gt;".",up_Irr!AC15=".",up_Irr!BB15="."),up_dir!AE15/((1/1000)*(up_Irr!D15)),IF(AND(up_Irr!D15=".",up_Irr!AC15=".",up_Irr!BB15="."),up_dir!AE15*1000)))))))),".")</f>
        <v>6.5773651144152123E-11</v>
      </c>
      <c r="BF15" s="76">
        <f>IFERROR(IF(AND(up_Irr!E15&lt;&gt;".",up_Irr!AD15&lt;&gt;".",up_Irr!BC15&lt;&gt;"."),up_dir!AF15/((1/1000)*(up_Irr!E15+up_Irr!AD15+up_Irr!BC15)),IF(AND(up_Irr!E15&lt;&gt;".",up_Irr!AD15&lt;&gt;".",up_Irr!BC15="."),up_dir!AF15/((1/1000)*(up_Irr!E15+up_Irr!AD15)),IF(AND(up_Irr!E15&lt;&gt;".",up_Irr!AD15=".",up_Irr!BC15&lt;&gt;"."),up_dir!AF15/((1/1000)*(up_Irr!E15+up_Irr!BC15)),IF(AND(up_Irr!E15=".",up_Irr!AD15&lt;&gt;".",up_Irr!BC15&lt;&gt;"."),up_dir!AF15/((1/1000)*(up_Irr!AD15+up_Irr!BC15)),IF(AND(up_Irr!E15=".",up_Irr!AD15=".",up_Irr!BC15&lt;&gt;"."),up_dir!AF15/((1/1000)*(up_Irr!BC15)),IF(AND(up_Irr!E15=".",up_Irr!AD15&lt;&gt;".",up_Irr!BC15="."),up_dir!AF15/((1/1000)*(up_Irr!AD15)),IF(AND(up_Irr!E15&lt;&gt;".",up_Irr!AD15=".",up_Irr!BC15="."),up_dir!AF15/((1/1000)*(up_Irr!E15)),IF(AND(up_Irr!E15=".",up_Irr!AD15=".",up_Irr!BC15="."),up_dir!AF15*1000)))))))),".")</f>
        <v>6.5773651144152123E-11</v>
      </c>
      <c r="BG15" s="76">
        <f>IFERROR(IF(AND(up_Irr!F15&lt;&gt;".",up_Irr!AE15&lt;&gt;".",up_Irr!BD15&lt;&gt;"."),up_dir!AG15/((1/1000)*(up_Irr!F15+up_Irr!AE15+up_Irr!BD15)),IF(AND(up_Irr!F15&lt;&gt;".",up_Irr!AE15&lt;&gt;".",up_Irr!BD15="."),up_dir!AG15/((1/1000)*(up_Irr!F15+up_Irr!AE15)),IF(AND(up_Irr!F15&lt;&gt;".",up_Irr!AE15=".",up_Irr!BD15&lt;&gt;"."),up_dir!AG15/((1/1000)*(up_Irr!F15+up_Irr!BD15)),IF(AND(up_Irr!F15=".",up_Irr!AE15&lt;&gt;".",up_Irr!BD15&lt;&gt;"."),up_dir!AG15/((1/1000)*(up_Irr!AE15+up_Irr!BD15)),IF(AND(up_Irr!F15=".",up_Irr!AE15=".",up_Irr!BD15&lt;&gt;"."),up_dir!AG15/((1/1000)*(up_Irr!BD15)),IF(AND(up_Irr!F15=".",up_Irr!AE15&lt;&gt;".",up_Irr!BD15="."),up_dir!AG15/((1/1000)*(up_Irr!AE15)),IF(AND(up_Irr!F15&lt;&gt;".",up_Irr!AE15=".",up_Irr!BD15="."),up_dir!AG15/((1/1000)*(up_Irr!F15)),IF(AND(up_Irr!F15=".",up_Irr!AE15=".",up_Irr!BD15="."),up_dir!AG15*1000)))))))),".")</f>
        <v>6.5773651144152123E-11</v>
      </c>
      <c r="BH15" s="76">
        <f>IFERROR(IF(AND(up_Irr!G15&lt;&gt;".",up_Irr!AF15&lt;&gt;".",up_Irr!BE15&lt;&gt;"."),up_dir!AH15/((1/1000)*(up_Irr!G15+up_Irr!AF15+up_Irr!BE15)),IF(AND(up_Irr!G15&lt;&gt;".",up_Irr!AF15&lt;&gt;".",up_Irr!BE15="."),up_dir!AH15/((1/1000)*(up_Irr!G15+up_Irr!AF15)),IF(AND(up_Irr!G15&lt;&gt;".",up_Irr!AF15=".",up_Irr!BE15&lt;&gt;"."),up_dir!AH15/((1/1000)*(up_Irr!G15+up_Irr!BE15)),IF(AND(up_Irr!G15=".",up_Irr!AF15&lt;&gt;".",up_Irr!BE15&lt;&gt;"."),up_dir!AH15/((1/1000)*(up_Irr!AF15+up_Irr!BE15)),IF(AND(up_Irr!G15=".",up_Irr!AF15=".",up_Irr!BE15&lt;&gt;"."),up_dir!AH15/((1/1000)*(up_Irr!BE15)),IF(AND(up_Irr!G15=".",up_Irr!AF15&lt;&gt;".",up_Irr!BE15="."),up_dir!AH15/((1/1000)*(up_Irr!AF15)),IF(AND(up_Irr!G15&lt;&gt;".",up_Irr!AF15=".",up_Irr!BE15="."),up_dir!AH15/((1/1000)*(up_Irr!G15)),IF(AND(up_Irr!G15=".",up_Irr!AF15=".",up_Irr!BE15="."),up_dir!AH15*1000)))))))),".")</f>
        <v>6.5773651144152123E-11</v>
      </c>
      <c r="BI15" s="76">
        <f>IFERROR(IF(AND(up_Irr!H15&lt;&gt;".",up_Irr!AG15&lt;&gt;".",up_Irr!BF15&lt;&gt;"."),up_dir!AI15/((1/1000)*(up_Irr!H15+up_Irr!AG15+up_Irr!BF15)),IF(AND(up_Irr!H15&lt;&gt;".",up_Irr!AG15&lt;&gt;".",up_Irr!BF15="."),up_dir!AI15/((1/1000)*(up_Irr!H15+up_Irr!AG15)),IF(AND(up_Irr!H15&lt;&gt;".",up_Irr!AG15=".",up_Irr!BF15&lt;&gt;"."),up_dir!AI15/((1/1000)*(up_Irr!H15+up_Irr!BF15)),IF(AND(up_Irr!H15=".",up_Irr!AG15&lt;&gt;".",up_Irr!BF15&lt;&gt;"."),up_dir!AI15/((1/1000)*(up_Irr!AG15+up_Irr!BF15)),IF(AND(up_Irr!H15=".",up_Irr!AG15=".",up_Irr!BF15&lt;&gt;"."),up_dir!AI15/((1/1000)*(up_Irr!BF15)),IF(AND(up_Irr!H15=".",up_Irr!AG15&lt;&gt;".",up_Irr!BF15="."),up_dir!AI15/((1/1000)*(up_Irr!AG15)),IF(AND(up_Irr!H15&lt;&gt;".",up_Irr!AG15=".",up_Irr!BF15="."),up_dir!AI15/((1/1000)*(up_Irr!H15)),IF(AND(up_Irr!H15=".",up_Irr!AG15=".",up_Irr!BF15="."),up_dir!AI15*1000)))))))),".")</f>
        <v>6.5773651144152123E-11</v>
      </c>
      <c r="BJ15" s="76">
        <f>IFERROR(IF(AND(up_Irr!I15&lt;&gt;".",up_Irr!AH15&lt;&gt;".",up_Irr!BG15&lt;&gt;"."),up_dir!AJ15/((1/1000)*(up_Irr!I15+up_Irr!AH15+up_Irr!BG15)),IF(AND(up_Irr!I15&lt;&gt;".",up_Irr!AH15&lt;&gt;".",up_Irr!BG15="."),up_dir!AJ15/((1/1000)*(up_Irr!I15+up_Irr!AH15)),IF(AND(up_Irr!I15&lt;&gt;".",up_Irr!AH15=".",up_Irr!BG15&lt;&gt;"."),up_dir!AJ15/((1/1000)*(up_Irr!I15+up_Irr!BG15)),IF(AND(up_Irr!I15=".",up_Irr!AH15&lt;&gt;".",up_Irr!BG15&lt;&gt;"."),up_dir!AJ15/((1/1000)*(up_Irr!AH15+up_Irr!BG15)),IF(AND(up_Irr!I15=".",up_Irr!AH15=".",up_Irr!BG15&lt;&gt;"."),up_dir!AJ15/((1/1000)*(up_Irr!BG15)),IF(AND(up_Irr!I15=".",up_Irr!AH15&lt;&gt;".",up_Irr!BG15="."),up_dir!AJ15/((1/1000)*(up_Irr!AH15)),IF(AND(up_Irr!I15&lt;&gt;".",up_Irr!AH15=".",up_Irr!BG15="."),up_dir!AJ15/((1/1000)*(up_Irr!I15)),IF(AND(up_Irr!I15=".",up_Irr!AH15=".",up_Irr!BG15="."),up_dir!AJ15*1000)))))))),".")</f>
        <v>6.5773651144152123E-11</v>
      </c>
      <c r="BK15" s="76">
        <f>IFERROR(IF(AND(up_Irr!J15&lt;&gt;".",up_Irr!AI15&lt;&gt;".",up_Irr!BH15&lt;&gt;"."),up_dir!AK15/((1/1000)*(up_Irr!J15+up_Irr!AI15+up_Irr!BH15)),IF(AND(up_Irr!J15&lt;&gt;".",up_Irr!AI15&lt;&gt;".",up_Irr!BH15="."),up_dir!AK15/((1/1000)*(up_Irr!J15+up_Irr!AI15)),IF(AND(up_Irr!J15&lt;&gt;".",up_Irr!AI15=".",up_Irr!BH15&lt;&gt;"."),up_dir!AK15/((1/1000)*(up_Irr!J15+up_Irr!BH15)),IF(AND(up_Irr!J15=".",up_Irr!AI15&lt;&gt;".",up_Irr!BH15&lt;&gt;"."),up_dir!AK15/((1/1000)*(up_Irr!AI15+up_Irr!BH15)),IF(AND(up_Irr!J15=".",up_Irr!AI15=".",up_Irr!BH15&lt;&gt;"."),up_dir!AK15/((1/1000)*(up_Irr!BH15)),IF(AND(up_Irr!J15=".",up_Irr!AI15&lt;&gt;".",up_Irr!BH15="."),up_dir!AK15/((1/1000)*(up_Irr!AI15)),IF(AND(up_Irr!J15&lt;&gt;".",up_Irr!AI15=".",up_Irr!BH15="."),up_dir!AK15/((1/1000)*(up_Irr!J15)),IF(AND(up_Irr!J15=".",up_Irr!AI15=".",up_Irr!BH15="."),up_dir!AK15*1000)))))))),".")</f>
        <v>6.5773651144152123E-11</v>
      </c>
      <c r="BL15" s="76">
        <f>IFERROR(IF(AND(up_Irr!K15&lt;&gt;".",up_Irr!AJ15&lt;&gt;".",up_Irr!BI15&lt;&gt;"."),up_dir!AL15/((1/1000)*(up_Irr!K15+up_Irr!AJ15+up_Irr!BI15)),IF(AND(up_Irr!K15&lt;&gt;".",up_Irr!AJ15&lt;&gt;".",up_Irr!BI15="."),up_dir!AL15/((1/1000)*(up_Irr!K15+up_Irr!AJ15)),IF(AND(up_Irr!K15&lt;&gt;".",up_Irr!AJ15=".",up_Irr!BI15&lt;&gt;"."),up_dir!AL15/((1/1000)*(up_Irr!K15+up_Irr!BI15)),IF(AND(up_Irr!K15=".",up_Irr!AJ15&lt;&gt;".",up_Irr!BI15&lt;&gt;"."),up_dir!AL15/((1/1000)*(up_Irr!AJ15+up_Irr!BI15)),IF(AND(up_Irr!K15=".",up_Irr!AJ15=".",up_Irr!BI15&lt;&gt;"."),up_dir!AL15/((1/1000)*(up_Irr!BI15)),IF(AND(up_Irr!K15=".",up_Irr!AJ15&lt;&gt;".",up_Irr!BI15="."),up_dir!AL15/((1/1000)*(up_Irr!AJ15)),IF(AND(up_Irr!K15&lt;&gt;".",up_Irr!AJ15=".",up_Irr!BI15="."),up_dir!AL15/((1/1000)*(up_Irr!K15)),IF(AND(up_Irr!K15=".",up_Irr!AJ15=".",up_Irr!BI15="."),up_dir!AL15*1000)))))))),".")</f>
        <v>6.5773651144152123E-11</v>
      </c>
      <c r="BM15" s="76">
        <f>IFERROR(IF(AND(up_Irr!L15&lt;&gt;".",up_Irr!AK15&lt;&gt;".",up_Irr!BJ15&lt;&gt;"."),up_dir!AM15/((1/1000)*(up_Irr!L15+up_Irr!AK15+up_Irr!BJ15)),IF(AND(up_Irr!L15&lt;&gt;".",up_Irr!AK15&lt;&gt;".",up_Irr!BJ15="."),up_dir!AM15/((1/1000)*(up_Irr!L15+up_Irr!AK15)),IF(AND(up_Irr!L15&lt;&gt;".",up_Irr!AK15=".",up_Irr!BJ15&lt;&gt;"."),up_dir!AM15/((1/1000)*(up_Irr!L15+up_Irr!BJ15)),IF(AND(up_Irr!L15=".",up_Irr!AK15&lt;&gt;".",up_Irr!BJ15&lt;&gt;"."),up_dir!AM15/((1/1000)*(up_Irr!AK15+up_Irr!BJ15)),IF(AND(up_Irr!L15=".",up_Irr!AK15=".",up_Irr!BJ15&lt;&gt;"."),up_dir!AM15/((1/1000)*(up_Irr!BJ15)),IF(AND(up_Irr!L15=".",up_Irr!AK15&lt;&gt;".",up_Irr!BJ15="."),up_dir!AM15/((1/1000)*(up_Irr!AK15)),IF(AND(up_Irr!L15&lt;&gt;".",up_Irr!AK15=".",up_Irr!BJ15="."),up_dir!AM15/((1/1000)*(up_Irr!L15)),IF(AND(up_Irr!L15=".",up_Irr!AK15=".",up_Irr!BJ15="."),up_dir!AM15*1000)))))))),".")</f>
        <v>6.5773651144152123E-11</v>
      </c>
      <c r="BN15" s="76">
        <f>IFERROR(IF(AND(up_Irr!M15&lt;&gt;".",up_Irr!AL15&lt;&gt;".",up_Irr!BK15&lt;&gt;"."),up_dir!AN15/((1/1000)*(up_Irr!M15+up_Irr!AL15+up_Irr!BK15)),IF(AND(up_Irr!M15&lt;&gt;".",up_Irr!AL15&lt;&gt;".",up_Irr!BK15="."),up_dir!AN15/((1/1000)*(up_Irr!M15+up_Irr!AL15)),IF(AND(up_Irr!M15&lt;&gt;".",up_Irr!AL15=".",up_Irr!BK15&lt;&gt;"."),up_dir!AN15/((1/1000)*(up_Irr!M15+up_Irr!BK15)),IF(AND(up_Irr!M15=".",up_Irr!AL15&lt;&gt;".",up_Irr!BK15&lt;&gt;"."),up_dir!AN15/((1/1000)*(up_Irr!AL15+up_Irr!BK15)),IF(AND(up_Irr!M15=".",up_Irr!AL15=".",up_Irr!BK15&lt;&gt;"."),up_dir!AN15/((1/1000)*(up_Irr!BK15)),IF(AND(up_Irr!M15=".",up_Irr!AL15&lt;&gt;".",up_Irr!BK15="."),up_dir!AN15/((1/1000)*(up_Irr!AL15)),IF(AND(up_Irr!M15&lt;&gt;".",up_Irr!AL15=".",up_Irr!BK15="."),up_dir!AN15/((1/1000)*(up_Irr!M15)),IF(AND(up_Irr!M15=".",up_Irr!AL15=".",up_Irr!BK15="."),up_dir!AN15*1000)))))))),".")</f>
        <v>6.5773651144152123E-11</v>
      </c>
      <c r="BO15" s="76">
        <f>IFERROR(IF(AND(up_Irr!N15&lt;&gt;".",up_Irr!AM15&lt;&gt;".",up_Irr!BL15&lt;&gt;"."),up_dir!AO15/((1/1000)*(up_Irr!N15+up_Irr!AM15+up_Irr!BL15)),IF(AND(up_Irr!N15&lt;&gt;".",up_Irr!AM15&lt;&gt;".",up_Irr!BL15="."),up_dir!AO15/((1/1000)*(up_Irr!N15+up_Irr!AM15)),IF(AND(up_Irr!N15&lt;&gt;".",up_Irr!AM15=".",up_Irr!BL15&lt;&gt;"."),up_dir!AO15/((1/1000)*(up_Irr!N15+up_Irr!BL15)),IF(AND(up_Irr!N15=".",up_Irr!AM15&lt;&gt;".",up_Irr!BL15&lt;&gt;"."),up_dir!AO15/((1/1000)*(up_Irr!AM15+up_Irr!BL15)),IF(AND(up_Irr!N15=".",up_Irr!AM15=".",up_Irr!BL15&lt;&gt;"."),up_dir!AO15/((1/1000)*(up_Irr!BL15)),IF(AND(up_Irr!N15=".",up_Irr!AM15&lt;&gt;".",up_Irr!BL15="."),up_dir!AO15/((1/1000)*(up_Irr!AM15)),IF(AND(up_Irr!N15&lt;&gt;".",up_Irr!AM15=".",up_Irr!BL15="."),up_dir!AO15/((1/1000)*(up_Irr!N15)),IF(AND(up_Irr!N15=".",up_Irr!AM15=".",up_Irr!BL15="."),up_dir!AO15*1000)))))))),".")</f>
        <v>6.5773651144152123E-11</v>
      </c>
      <c r="BP15" s="76">
        <f>IFERROR(IF(AND(up_Irr!O15&lt;&gt;".",up_Irr!AN15&lt;&gt;".",up_Irr!BM15&lt;&gt;"."),up_dir!AP15/((1/1000)*(up_Irr!O15+up_Irr!AN15+up_Irr!BM15)),IF(AND(up_Irr!O15&lt;&gt;".",up_Irr!AN15&lt;&gt;".",up_Irr!BM15="."),up_dir!AP15/((1/1000)*(up_Irr!O15+up_Irr!AN15)),IF(AND(up_Irr!O15&lt;&gt;".",up_Irr!AN15=".",up_Irr!BM15&lt;&gt;"."),up_dir!AP15/((1/1000)*(up_Irr!O15+up_Irr!BM15)),IF(AND(up_Irr!O15=".",up_Irr!AN15&lt;&gt;".",up_Irr!BM15&lt;&gt;"."),up_dir!AP15/((1/1000)*(up_Irr!AN15+up_Irr!BM15)),IF(AND(up_Irr!O15=".",up_Irr!AN15=".",up_Irr!BM15&lt;&gt;"."),up_dir!AP15/((1/1000)*(up_Irr!BM15)),IF(AND(up_Irr!O15=".",up_Irr!AN15&lt;&gt;".",up_Irr!BM15="."),up_dir!AP15/((1/1000)*(up_Irr!AN15)),IF(AND(up_Irr!O15&lt;&gt;".",up_Irr!AN15=".",up_Irr!BM15="."),up_dir!AP15/((1/1000)*(up_Irr!O15)),IF(AND(up_Irr!O15=".",up_Irr!AN15=".",up_Irr!BM15="."),up_dir!AP15*1000)))))))),".")</f>
        <v>6.5773651144152123E-11</v>
      </c>
      <c r="BQ15" s="76">
        <f>IFERROR(IF(AND(up_Irr!P15&lt;&gt;".",up_Irr!AO15&lt;&gt;".",up_Irr!BN15&lt;&gt;"."),up_dir!AQ15/((1/1000)*(up_Irr!P15+up_Irr!AO15+up_Irr!BN15)),IF(AND(up_Irr!P15&lt;&gt;".",up_Irr!AO15&lt;&gt;".",up_Irr!BN15="."),up_dir!AQ15/((1/1000)*(up_Irr!P15+up_Irr!AO15)),IF(AND(up_Irr!P15&lt;&gt;".",up_Irr!AO15=".",up_Irr!BN15&lt;&gt;"."),up_dir!AQ15/((1/1000)*(up_Irr!P15+up_Irr!BN15)),IF(AND(up_Irr!P15=".",up_Irr!AO15&lt;&gt;".",up_Irr!BN15&lt;&gt;"."),up_dir!AQ15/((1/1000)*(up_Irr!AO15+up_Irr!BN15)),IF(AND(up_Irr!P15=".",up_Irr!AO15=".",up_Irr!BN15&lt;&gt;"."),up_dir!AQ15/((1/1000)*(up_Irr!BN15)),IF(AND(up_Irr!P15=".",up_Irr!AO15&lt;&gt;".",up_Irr!BN15="."),up_dir!AQ15/((1/1000)*(up_Irr!AO15)),IF(AND(up_Irr!P15&lt;&gt;".",up_Irr!AO15=".",up_Irr!BN15="."),up_dir!AQ15/((1/1000)*(up_Irr!P15)),IF(AND(up_Irr!P15=".",up_Irr!AO15=".",up_Irr!BN15="."),up_dir!AQ15*1000)))))))),".")</f>
        <v>6.5773651144152123E-11</v>
      </c>
      <c r="BR15" s="76">
        <f>IFERROR(IF(AND(up_Irr!Q15&lt;&gt;".",up_Irr!AP15&lt;&gt;".",up_Irr!BO15&lt;&gt;"."),up_dir!AR15/((1/1000)*(up_Irr!Q15+up_Irr!AP15+up_Irr!BO15)),IF(AND(up_Irr!Q15&lt;&gt;".",up_Irr!AP15&lt;&gt;".",up_Irr!BO15="."),up_dir!AR15/((1/1000)*(up_Irr!Q15+up_Irr!AP15)),IF(AND(up_Irr!Q15&lt;&gt;".",up_Irr!AP15=".",up_Irr!BO15&lt;&gt;"."),up_dir!AR15/((1/1000)*(up_Irr!Q15+up_Irr!BO15)),IF(AND(up_Irr!Q15=".",up_Irr!AP15&lt;&gt;".",up_Irr!BO15&lt;&gt;"."),up_dir!AR15/((1/1000)*(up_Irr!AP15+up_Irr!BO15)),IF(AND(up_Irr!Q15=".",up_Irr!AP15=".",up_Irr!BO15&lt;&gt;"."),up_dir!AR15/((1/1000)*(up_Irr!BO15)),IF(AND(up_Irr!Q15=".",up_Irr!AP15&lt;&gt;".",up_Irr!BO15="."),up_dir!AR15/((1/1000)*(up_Irr!AP15)),IF(AND(up_Irr!Q15&lt;&gt;".",up_Irr!AP15=".",up_Irr!BO15="."),up_dir!AR15/((1/1000)*(up_Irr!Q15)),IF(AND(up_Irr!Q15=".",up_Irr!AP15=".",up_Irr!BO15="."),up_dir!AR15*1000)))))))),".")</f>
        <v>6.5773651144152123E-11</v>
      </c>
      <c r="BS15" s="76">
        <f>IFERROR(IF(AND(up_Irr!R15&lt;&gt;".",up_Irr!AQ15&lt;&gt;".",up_Irr!BP15&lt;&gt;"."),up_dir!AS15/((1/1000)*(up_Irr!R15+up_Irr!AQ15+up_Irr!BP15)),IF(AND(up_Irr!R15&lt;&gt;".",up_Irr!AQ15&lt;&gt;".",up_Irr!BP15="."),up_dir!AS15/((1/1000)*(up_Irr!R15+up_Irr!AQ15)),IF(AND(up_Irr!R15&lt;&gt;".",up_Irr!AQ15=".",up_Irr!BP15&lt;&gt;"."),up_dir!AS15/((1/1000)*(up_Irr!R15+up_Irr!BP15)),IF(AND(up_Irr!R15=".",up_Irr!AQ15&lt;&gt;".",up_Irr!BP15&lt;&gt;"."),up_dir!AS15/((1/1000)*(up_Irr!AQ15+up_Irr!BP15)),IF(AND(up_Irr!R15=".",up_Irr!AQ15=".",up_Irr!BP15&lt;&gt;"."),up_dir!AS15/((1/1000)*(up_Irr!BP15)),IF(AND(up_Irr!R15=".",up_Irr!AQ15&lt;&gt;".",up_Irr!BP15="."),up_dir!AS15/((1/1000)*(up_Irr!AQ15)),IF(AND(up_Irr!R15&lt;&gt;".",up_Irr!AQ15=".",up_Irr!BP15="."),up_dir!AS15/((1/1000)*(up_Irr!R15)),IF(AND(up_Irr!R15=".",up_Irr!AQ15=".",up_Irr!BP15="."),up_dir!AS15*1000)))))))),".")</f>
        <v>6.5773651144152123E-11</v>
      </c>
      <c r="BT15" s="76">
        <f>IFERROR(IF(AND(up_Irr!S15&lt;&gt;".",up_Irr!AR15&lt;&gt;".",up_Irr!BQ15&lt;&gt;"."),up_dir!AT15/((1/1000)*(up_Irr!S15+up_Irr!AR15+up_Irr!BQ15)),IF(AND(up_Irr!S15&lt;&gt;".",up_Irr!AR15&lt;&gt;".",up_Irr!BQ15="."),up_dir!AT15/((1/1000)*(up_Irr!S15+up_Irr!AR15)),IF(AND(up_Irr!S15&lt;&gt;".",up_Irr!AR15=".",up_Irr!BQ15&lt;&gt;"."),up_dir!AT15/((1/1000)*(up_Irr!S15+up_Irr!BQ15)),IF(AND(up_Irr!S15=".",up_Irr!AR15&lt;&gt;".",up_Irr!BQ15&lt;&gt;"."),up_dir!AT15/((1/1000)*(up_Irr!AR15+up_Irr!BQ15)),IF(AND(up_Irr!S15=".",up_Irr!AR15=".",up_Irr!BQ15&lt;&gt;"."),up_dir!AT15/((1/1000)*(up_Irr!BQ15)),IF(AND(up_Irr!S15=".",up_Irr!AR15&lt;&gt;".",up_Irr!BQ15="."),up_dir!AT15/((1/1000)*(up_Irr!AR15)),IF(AND(up_Irr!S15&lt;&gt;".",up_Irr!AR15=".",up_Irr!BQ15="."),up_dir!AT15/((1/1000)*(up_Irr!S15)),IF(AND(up_Irr!S15=".",up_Irr!AR15=".",up_Irr!BQ15="."),up_dir!AT15*1000)))))))),".")</f>
        <v>6.5773651144152123E-11</v>
      </c>
      <c r="BU15" s="76">
        <f>IFERROR(IF(AND(up_Irr!T15&lt;&gt;".",up_Irr!AS15&lt;&gt;".",up_Irr!BR15&lt;&gt;"."),up_dir!AU15/((1/1000)*(up_Irr!T15+up_Irr!AS15+up_Irr!BR15)),IF(AND(up_Irr!T15&lt;&gt;".",up_Irr!AS15&lt;&gt;".",up_Irr!BR15="."),up_dir!AU15/((1/1000)*(up_Irr!T15+up_Irr!AS15)),IF(AND(up_Irr!T15&lt;&gt;".",up_Irr!AS15=".",up_Irr!BR15&lt;&gt;"."),up_dir!AU15/((1/1000)*(up_Irr!T15+up_Irr!BR15)),IF(AND(up_Irr!T15=".",up_Irr!AS15&lt;&gt;".",up_Irr!BR15&lt;&gt;"."),up_dir!AU15/((1/1000)*(up_Irr!AS15+up_Irr!BR15)),IF(AND(up_Irr!T15=".",up_Irr!AS15=".",up_Irr!BR15&lt;&gt;"."),up_dir!AU15/((1/1000)*(up_Irr!BR15)),IF(AND(up_Irr!T15=".",up_Irr!AS15&lt;&gt;".",up_Irr!BR15="."),up_dir!AU15/((1/1000)*(up_Irr!AS15)),IF(AND(up_Irr!T15&lt;&gt;".",up_Irr!AS15=".",up_Irr!BR15="."),up_dir!AU15/((1/1000)*(up_Irr!T15)),IF(AND(up_Irr!T15=".",up_Irr!AS15=".",up_Irr!BR15="."),up_dir!AU15*1000)))))))),".")</f>
        <v>6.5773651144152123E-11</v>
      </c>
      <c r="BV15" s="76">
        <f>IFERROR(IF(AND(up_Irr!U15&lt;&gt;".",up_Irr!AT15&lt;&gt;".",up_Irr!BS15&lt;&gt;"."),up_dir!AV15/((1/1000)*(up_Irr!U15+up_Irr!AT15+up_Irr!BS15)),IF(AND(up_Irr!U15&lt;&gt;".",up_Irr!AT15&lt;&gt;".",up_Irr!BS15="."),up_dir!AV15/((1/1000)*(up_Irr!U15+up_Irr!AT15)),IF(AND(up_Irr!U15&lt;&gt;".",up_Irr!AT15=".",up_Irr!BS15&lt;&gt;"."),up_dir!AV15/((1/1000)*(up_Irr!U15+up_Irr!BS15)),IF(AND(up_Irr!U15=".",up_Irr!AT15&lt;&gt;".",up_Irr!BS15&lt;&gt;"."),up_dir!AV15/((1/1000)*(up_Irr!AT15+up_Irr!BS15)),IF(AND(up_Irr!U15=".",up_Irr!AT15=".",up_Irr!BS15&lt;&gt;"."),up_dir!AV15/((1/1000)*(up_Irr!BS15)),IF(AND(up_Irr!U15=".",up_Irr!AT15&lt;&gt;".",up_Irr!BS15="."),up_dir!AV15/((1/1000)*(up_Irr!AT15)),IF(AND(up_Irr!U15&lt;&gt;".",up_Irr!AT15=".",up_Irr!BS15="."),up_dir!AV15/((1/1000)*(up_Irr!U15)),IF(AND(up_Irr!U15=".",up_Irr!AT15=".",up_Irr!BS15="."),up_dir!AV15*1000)))))))),".")</f>
        <v>6.5773651144152123E-11</v>
      </c>
      <c r="BW15" s="76">
        <f>IFERROR(IF(AND(up_Irr!V15&lt;&gt;".",up_Irr!AU15&lt;&gt;".",up_Irr!BT15&lt;&gt;"."),up_dir!AW15/((1/1000)*(up_Irr!V15+up_Irr!AU15+up_Irr!BT15)),IF(AND(up_Irr!V15&lt;&gt;".",up_Irr!AU15&lt;&gt;".",up_Irr!BT15="."),up_dir!AW15/((1/1000)*(up_Irr!V15+up_Irr!AU15)),IF(AND(up_Irr!V15&lt;&gt;".",up_Irr!AU15=".",up_Irr!BT15&lt;&gt;"."),up_dir!AW15/((1/1000)*(up_Irr!V15+up_Irr!BT15)),IF(AND(up_Irr!V15=".",up_Irr!AU15&lt;&gt;".",up_Irr!BT15&lt;&gt;"."),up_dir!AW15/((1/1000)*(up_Irr!AU15+up_Irr!BT15)),IF(AND(up_Irr!V15=".",up_Irr!AU15=".",up_Irr!BT15&lt;&gt;"."),up_dir!AW15/((1/1000)*(up_Irr!BT15)),IF(AND(up_Irr!V15=".",up_Irr!AU15&lt;&gt;".",up_Irr!BT15="."),up_dir!AW15/((1/1000)*(up_Irr!AU15)),IF(AND(up_Irr!V15&lt;&gt;".",up_Irr!AU15=".",up_Irr!BT15="."),up_dir!AW15/((1/1000)*(up_Irr!V15)),IF(AND(up_Irr!V15=".",up_Irr!AU15=".",up_Irr!BT15="."),up_dir!AW15*1000)))))))),".")</f>
        <v>6.5773651144152123E-11</v>
      </c>
      <c r="BX15" s="76">
        <f>IFERROR(IF(AND(up_Irr!W15&lt;&gt;".",up_Irr!AV15&lt;&gt;".",up_Irr!BU15&lt;&gt;"."),up_dir!AX15/((1/1000)*(up_Irr!W15+up_Irr!AV15+up_Irr!BU15)),IF(AND(up_Irr!W15&lt;&gt;".",up_Irr!AV15&lt;&gt;".",up_Irr!BU15="."),up_dir!AX15/((1/1000)*(up_Irr!W15+up_Irr!AV15)),IF(AND(up_Irr!W15&lt;&gt;".",up_Irr!AV15=".",up_Irr!BU15&lt;&gt;"."),up_dir!AX15/((1/1000)*(up_Irr!W15+up_Irr!BU15)),IF(AND(up_Irr!W15=".",up_Irr!AV15&lt;&gt;".",up_Irr!BU15&lt;&gt;"."),up_dir!AX15/((1/1000)*(up_Irr!AV15+up_Irr!BU15)),IF(AND(up_Irr!W15=".",up_Irr!AV15=".",up_Irr!BU15&lt;&gt;"."),up_dir!AX15/((1/1000)*(up_Irr!BU15)),IF(AND(up_Irr!W15=".",up_Irr!AV15&lt;&gt;".",up_Irr!BU15="."),up_dir!AX15/((1/1000)*(up_Irr!AV15)),IF(AND(up_Irr!W15&lt;&gt;".",up_Irr!AV15=".",up_Irr!BU15="."),up_dir!AX15/((1/1000)*(up_Irr!W15)),IF(AND(up_Irr!W15=".",up_Irr!AV15=".",up_Irr!BU15="."),up_dir!AX15*1000)))))))),".")</f>
        <v>6.5773651144152123E-11</v>
      </c>
      <c r="BY15" s="76">
        <f>IFERROR(IF(AND(up_Irr!X15&lt;&gt;".",up_Irr!AW15&lt;&gt;".",up_Irr!BV15&lt;&gt;"."),up_dir!AY15/((1/1000)*(up_Irr!X15+up_Irr!AW15+up_Irr!BV15)),IF(AND(up_Irr!X15&lt;&gt;".",up_Irr!AW15&lt;&gt;".",up_Irr!BV15="."),up_dir!AY15/((1/1000)*(up_Irr!X15+up_Irr!AW15)),IF(AND(up_Irr!X15&lt;&gt;".",up_Irr!AW15=".",up_Irr!BV15&lt;&gt;"."),up_dir!AY15/((1/1000)*(up_Irr!X15+up_Irr!BV15)),IF(AND(up_Irr!X15=".",up_Irr!AW15&lt;&gt;".",up_Irr!BV15&lt;&gt;"."),up_dir!AY15/((1/1000)*(up_Irr!AW15+up_Irr!BV15)),IF(AND(up_Irr!X15=".",up_Irr!AW15=".",up_Irr!BV15&lt;&gt;"."),up_dir!AY15/((1/1000)*(up_Irr!BV15)),IF(AND(up_Irr!X15=".",up_Irr!AW15&lt;&gt;".",up_Irr!BV15="."),up_dir!AY15/((1/1000)*(up_Irr!AW15)),IF(AND(up_Irr!X15&lt;&gt;".",up_Irr!AW15=".",up_Irr!BV15="."),up_dir!AY15/((1/1000)*(up_Irr!X15)),IF(AND(up_Irr!X15=".",up_Irr!AW15=".",up_Irr!BV15="."),up_dir!AY15*1000)))))))),".")</f>
        <v>6.5773651144152123E-11</v>
      </c>
      <c r="BZ15" s="76">
        <f>IFERROR(IF(AND(up_Irr!Y15&lt;&gt;".",up_Irr!AX15&lt;&gt;".",up_Irr!BW15&lt;&gt;"."),up_dir!AZ15/((1/1000)*(up_Irr!Y15+up_Irr!AX15+up_Irr!BW15)),IF(AND(up_Irr!Y15&lt;&gt;".",up_Irr!AX15&lt;&gt;".",up_Irr!BW15="."),up_dir!AZ15/((1/1000)*(up_Irr!Y15+up_Irr!AX15)),IF(AND(up_Irr!Y15&lt;&gt;".",up_Irr!AX15=".",up_Irr!BW15&lt;&gt;"."),up_dir!AZ15/((1/1000)*(up_Irr!Y15+up_Irr!BW15)),IF(AND(up_Irr!Y15=".",up_Irr!AX15&lt;&gt;".",up_Irr!BW15&lt;&gt;"."),up_dir!AZ15/((1/1000)*(up_Irr!AX15+up_Irr!BW15)),IF(AND(up_Irr!Y15=".",up_Irr!AX15=".",up_Irr!BW15&lt;&gt;"."),up_dir!AZ15/((1/1000)*(up_Irr!BW15)),IF(AND(up_Irr!Y15=".",up_Irr!AX15&lt;&gt;".",up_Irr!BW15="."),up_dir!AZ15/((1/1000)*(up_Irr!AX15)),IF(AND(up_Irr!Y15&lt;&gt;".",up_Irr!AX15=".",up_Irr!BW15="."),up_dir!AZ15/((1/1000)*(up_Irr!Y15)),IF(AND(up_Irr!Y15=".",up_Irr!AX15=".",up_Irr!BW15="."),up_dir!AZ15*1000)))))))),".")</f>
        <v>6.5773651144152123E-11</v>
      </c>
      <c r="CA15" s="76">
        <f>IFERROR(IF(AND(up_Irr!Z15&lt;&gt;".",up_Irr!AY15&lt;&gt;".",up_Irr!BX15&lt;&gt;"."),up_dir!BA15/((1/1000)*(up_Irr!Z15+up_Irr!AY15+up_Irr!BX15)),IF(AND(up_Irr!Z15&lt;&gt;".",up_Irr!AY15&lt;&gt;".",up_Irr!BX15="."),up_dir!BA15/((1/1000)*(up_Irr!Z15+up_Irr!AY15)),IF(AND(up_Irr!Z15&lt;&gt;".",up_Irr!AY15=".",up_Irr!BX15&lt;&gt;"."),up_dir!BA15/((1/1000)*(up_Irr!Z15+up_Irr!BX15)),IF(AND(up_Irr!Z15=".",up_Irr!AY15&lt;&gt;".",up_Irr!BX15&lt;&gt;"."),up_dir!BA15/((1/1000)*(up_Irr!AY15+up_Irr!BX15)),IF(AND(up_Irr!Z15=".",up_Irr!AY15=".",up_Irr!BX15&lt;&gt;"."),up_dir!BA15/((1/1000)*(up_Irr!BX15)),IF(AND(up_Irr!Z15=".",up_Irr!AY15&lt;&gt;".",up_Irr!BX15="."),up_dir!BA15/((1/1000)*(up_Irr!AY15)),IF(AND(up_Irr!Z15&lt;&gt;".",up_Irr!AY15=".",up_Irr!BX15="."),up_dir!BA15/((1/1000)*(up_Irr!Z15)),IF(AND(up_Irr!Z15=".",up_Irr!AY15=".",up_Irr!BX15="."),up_dir!BA15*1000)))))))),".")</f>
        <v>6.5773651144152123E-11</v>
      </c>
      <c r="CB15" s="76">
        <f>IFERROR(IF(AND(up_Irr!AA15&lt;&gt;".",up_Irr!AZ15&lt;&gt;".",up_Irr!BY15&lt;&gt;"."),up_dir!BB15/((1/1000)*(up_Irr!AA15+up_Irr!AZ15+up_Irr!BY15)),IF(AND(up_Irr!AA15&lt;&gt;".",up_Irr!AZ15&lt;&gt;".",up_Irr!BY15="."),up_dir!BB15/((1/1000)*(up_Irr!AA15+up_Irr!AZ15)),IF(AND(up_Irr!AA15&lt;&gt;".",up_Irr!AZ15=".",up_Irr!BY15&lt;&gt;"."),up_dir!BB15/((1/1000)*(up_Irr!AA15+up_Irr!BY15)),IF(AND(up_Irr!AA15=".",up_Irr!AZ15&lt;&gt;".",up_Irr!BY15&lt;&gt;"."),up_dir!BB15/((1/1000)*(up_Irr!AZ15+up_Irr!BY15)),IF(AND(up_Irr!AA15=".",up_Irr!AZ15=".",up_Irr!BY15&lt;&gt;"."),up_dir!BB15/((1/1000)*(up_Irr!BY15)),IF(AND(up_Irr!AA15=".",up_Irr!AZ15&lt;&gt;".",up_Irr!BY15="."),up_dir!BB15/((1/1000)*(up_Irr!AZ15)),IF(AND(up_Irr!AA15&lt;&gt;".",up_Irr!AZ15=".",up_Irr!BY15="."),up_dir!BB15/((1/1000)*(up_Irr!AA15)),IF(AND(up_Irr!AA15=".",up_Irr!AZ15=".",up_Irr!BY15="."),up_dir!BB15*1000)))))))),".")</f>
        <v>6.5773651144152123E-11</v>
      </c>
      <c r="CC15" s="93">
        <f t="shared" si="3"/>
        <v>608146.26076229871</v>
      </c>
      <c r="CD15" s="93">
        <f>IFERROR(s_C*s_IFAP_far_adj*s_CF_apple*(1/1000)*(up_Irr!C15+up_Irr!AB15+up_Irr!BA15),".")</f>
        <v>152036.56519057468</v>
      </c>
      <c r="CE15" s="93">
        <f>IFERROR(s_C*s_IFAS_far_adj*s_CF_asparagus*(1/1000)*(up_Irr!D15+up_Irr!AC15+up_Irr!BB15),".")</f>
        <v>152036.56519057468</v>
      </c>
      <c r="CF15" s="93">
        <f>IFERROR(s_C*s_IFBT_far_adj*s_CF_beet*(1/1000)*(up_Irr!E15+up_Irr!AD15+up_Irr!BC15),".")</f>
        <v>152036.56519057468</v>
      </c>
      <c r="CG15" s="93">
        <f>IFERROR(s_C*s_IFBE_far_adj*s_CF_berries*(1/1000)*(up_Irr!F15+up_Irr!AE15+up_Irr!BD15),".")</f>
        <v>152036.56519057468</v>
      </c>
      <c r="CH15" s="93">
        <f>IFERROR(s_C*s_IFBR_far_adj*s_CF_broccoli*(1/1000)*(up_Irr!G15+up_Irr!AF15+up_Irr!BE15),".")</f>
        <v>152036.56519057468</v>
      </c>
      <c r="CI15" s="93">
        <f>IFERROR(s_C*s_IFCB_far_adj*s_CF_cabbage*(1/1000)*(up_Irr!H15+up_Irr!AG15+up_Irr!BF15),".")</f>
        <v>152036.56519057468</v>
      </c>
      <c r="CJ15" s="93">
        <f>IFERROR(s_C*s_IFCR_far_adj*s_CF_carrot*(1/1000)*(up_Irr!I15+up_Irr!AH15+up_Irr!BG15),".")</f>
        <v>152036.56519057468</v>
      </c>
      <c r="CK15" s="93">
        <f>IFERROR(s_C*s_IFCI_far_adj*s_CF_citrus*(1/1000)*(up_Irr!J15+up_Irr!AI15+up_Irr!BH15),".")</f>
        <v>152036.56519057468</v>
      </c>
      <c r="CL15" s="93">
        <f>IFERROR(s_C*s_IFCO_far_adj*s_CF_corn*(1/1000)*(up_Irr!K15+up_Irr!AJ15+up_Irr!BI15),".")</f>
        <v>152036.56519057468</v>
      </c>
      <c r="CM15" s="93">
        <f>IFERROR(s_C*s_IFCU_far_adj*s_CF_cucumber*(1/1000)*(up_Irr!L15+up_Irr!AK15+up_Irr!BJ15),".")</f>
        <v>152036.56519057468</v>
      </c>
      <c r="CN15" s="93">
        <f>IFERROR(s_C*s_IFLE_far_adj*s_CF_lettuce*(1/1000)*(up_Irr!M15+up_Irr!AL15+up_Irr!BK15),".")</f>
        <v>152036.56519057468</v>
      </c>
      <c r="CO15" s="93">
        <f>IFERROR(s_C*s_IFLI_far_adj*s_CF_lima_bean*(1/1000)*(up_Irr!N15+up_Irr!AM15+up_Irr!BL15),".")</f>
        <v>152036.56519057468</v>
      </c>
      <c r="CP15" s="93">
        <f>IFERROR(s_C*s_IFOK_far_adj*s_CF_okra*(1/1000)*(up_Irr!O15+up_Irr!AN15+up_Irr!BM15),".")</f>
        <v>152036.56519057468</v>
      </c>
      <c r="CQ15" s="93">
        <f>IFERROR(s_C*s_IFON_far_adj*s_CF_onion*(1/1000)*(up_Irr!P15+up_Irr!AO15+up_Irr!BN15),".")</f>
        <v>152036.56519057468</v>
      </c>
      <c r="CR15" s="93">
        <f>IFERROR(s_C*s_IFPC_far_adj*s_CF_peach*(1/1000)*(up_Irr!Q15+up_Irr!AP15+up_Irr!BO15),".")</f>
        <v>152036.56519057468</v>
      </c>
      <c r="CS15" s="93">
        <f>IFERROR(s_C*s_IFPR_far_adj*s_CF_pear*(1/1000)*(up_Irr!R15+up_Irr!AQ15+up_Irr!BP15),".")</f>
        <v>152036.56519057468</v>
      </c>
      <c r="CT15" s="93">
        <f>IFERROR(s_C*s_IFPE_far_adj*s_CF_peas*(1/1000)*(up_Irr!S15+up_Irr!AR15+up_Irr!BQ15),".")</f>
        <v>152036.56519057468</v>
      </c>
      <c r="CU15" s="93">
        <f>IFERROR(s_C*s_IFPP_far_adj*s_CF_peppers*(1/1000)*(up_Irr!T15+up_Irr!AS15+up_Irr!BR15),".")</f>
        <v>152036.56519057468</v>
      </c>
      <c r="CV15" s="93">
        <f>IFERROR(s_C*s_IFPT_far_adj*s_CF_potato*(1/1000)*(up_Irr!U15+up_Irr!AT15+up_Irr!BS15),".")</f>
        <v>152036.56519057468</v>
      </c>
      <c r="CW15" s="93">
        <f>IFERROR(s_C*s_IFPU_far_adj*s_CF_pumpkin*(1/1000)*(up_Irr!V15+up_Irr!AU15+up_Irr!BT15),".")</f>
        <v>152036.56519057468</v>
      </c>
      <c r="CX15" s="93">
        <f>IFERROR(s_C*s_IFSN_far_adj*s_CF_snap_bean*(1/1000)*(up_Irr!W15+up_Irr!AV15+up_Irr!BU15),".")</f>
        <v>152036.56519057468</v>
      </c>
      <c r="CY15" s="93">
        <f>IFERROR(s_C*s_IFST_far_adj*s_CF_strawberry*(1/1000)*(up_Irr!X15+up_Irr!AW15+up_Irr!BV15),".")</f>
        <v>152036.56519057468</v>
      </c>
      <c r="CZ15" s="93">
        <f>IFERROR(s_C*s_IFTO_far_adj*s_CF_tomato*(1/1000)*(up_Irr!Y15+up_Irr!AX15+up_Irr!BW15),".")</f>
        <v>152036.56519057468</v>
      </c>
      <c r="DA15" s="93">
        <f>IFERROR(s_C*s_IFRI_far_adj*s_CF_rice*(1/1000)*(up_Irr!Z15+up_Irr!AY15+up_Irr!BX15),".")</f>
        <v>152036.56519057468</v>
      </c>
      <c r="DB15" s="93">
        <f>IFERROR(s_C*s_IFCG_far_adj*s_CF_cereal*(1/1000)*(up_Irr!AA15+up_Irr!AZ15+up_Irr!BY15),".")</f>
        <v>152036.56519057468</v>
      </c>
    </row>
    <row r="16" spans="1:106" ht="15" customHeight="1" x14ac:dyDescent="0.25">
      <c r="A16" s="92" t="s">
        <v>26</v>
      </c>
      <c r="B16" s="90" t="s">
        <v>1071</v>
      </c>
      <c r="C16" s="15">
        <f t="shared" si="0"/>
        <v>1.6443412786038031E-11</v>
      </c>
      <c r="D16" s="76">
        <f>IFERROR(IF(AND(up_Irr!C16&lt;&gt;".",up_Irr!AB16&lt;&gt;".",up_Irr!BA16&lt;&gt;"."),up_dir!D16/((1/1000)*(up_Irr!C16+up_Irr!AB16+up_Irr!BA16)),IF(AND(up_Irr!C16&lt;&gt;".",up_Irr!AB16&lt;&gt;".",up_Irr!BA16="."),up_dir!D16/((1/1000)*(up_Irr!C16+up_Irr!AB16)),IF(AND(up_Irr!C16&lt;&gt;".",up_Irr!AB16=".",up_Irr!BA16&lt;&gt;"."),up_dir!D16/((1/1000)*(up_Irr!C16+up_Irr!BA16)),IF(AND(up_Irr!C16=".",up_Irr!AB16&lt;&gt;".",up_Irr!BA16&lt;&gt;"."),up_dir!D16/((1/1000)*(up_Irr!AB16+up_Irr!BA16)),IF(AND(up_Irr!C16=".",up_Irr!AB16=".",up_Irr!BA16&lt;&gt;"."),up_dir!D16/((1/1000)*(up_Irr!BA16)),IF(AND(up_Irr!C16=".",up_Irr!AB16&lt;&gt;".",up_Irr!BA16="."),up_dir!D16/((1/1000)*(up_Irr!AB16)),IF(AND(up_Irr!C16&lt;&gt;".",up_Irr!AB16=".",up_Irr!BA16="."),up_dir!D16/((1/1000)*(up_Irr!C16)),IF(AND(up_Irr!C16=".",up_Irr!AB16=".",up_Irr!BA16="."),up_dir!D16*1000)))))))),".")</f>
        <v>6.5773651144152123E-11</v>
      </c>
      <c r="E16" s="76">
        <f>IFERROR(IF(AND(up_Irr!D16&lt;&gt;".",up_Irr!AC16&lt;&gt;".",up_Irr!BB16&lt;&gt;"."),up_dir!E16/((1/1000)*(up_Irr!D16+up_Irr!AC16+up_Irr!BB16)),IF(AND(up_Irr!D16&lt;&gt;".",up_Irr!AC16&lt;&gt;".",up_Irr!BB16="."),up_dir!E16/((1/1000)*(up_Irr!D16+up_Irr!AC16)),IF(AND(up_Irr!D16&lt;&gt;".",up_Irr!AC16=".",up_Irr!BB16&lt;&gt;"."),up_dir!E16/((1/1000)*(up_Irr!D16+up_Irr!BB16)),IF(AND(up_Irr!D16=".",up_Irr!AC16&lt;&gt;".",up_Irr!BB16&lt;&gt;"."),up_dir!E16/((1/1000)*(up_Irr!AC16+up_Irr!BB16)),IF(AND(up_Irr!D16=".",up_Irr!AC16=".",up_Irr!BB16&lt;&gt;"."),up_dir!E16/((1/1000)*(up_Irr!BB16)),IF(AND(up_Irr!D16=".",up_Irr!AC16&lt;&gt;".",up_Irr!BB16="."),up_dir!E16/((1/1000)*(up_Irr!AC16)),IF(AND(up_Irr!D16&lt;&gt;".",up_Irr!AC16=".",up_Irr!BB16="."),up_dir!E16/((1/1000)*(up_Irr!D16)),IF(AND(up_Irr!D16=".",up_Irr!AC16=".",up_Irr!BB16="."),up_dir!E16*1000)))))))),".")</f>
        <v>6.5773651144152123E-11</v>
      </c>
      <c r="F16" s="76">
        <f>IFERROR(IF(AND(up_Irr!E16&lt;&gt;".",up_Irr!AD16&lt;&gt;".",up_Irr!BC16&lt;&gt;"."),up_dir!F16/((1/1000)*(up_Irr!E16+up_Irr!AD16+up_Irr!BC16)),IF(AND(up_Irr!E16&lt;&gt;".",up_Irr!AD16&lt;&gt;".",up_Irr!BC16="."),up_dir!F16/((1/1000)*(up_Irr!E16+up_Irr!AD16)),IF(AND(up_Irr!E16&lt;&gt;".",up_Irr!AD16=".",up_Irr!BC16&lt;&gt;"."),up_dir!F16/((1/1000)*(up_Irr!E16+up_Irr!BC16)),IF(AND(up_Irr!E16=".",up_Irr!AD16&lt;&gt;".",up_Irr!BC16&lt;&gt;"."),up_dir!F16/((1/1000)*(up_Irr!AD16+up_Irr!BC16)),IF(AND(up_Irr!E16=".",up_Irr!AD16=".",up_Irr!BC16&lt;&gt;"."),up_dir!F16/((1/1000)*(up_Irr!BC16)),IF(AND(up_Irr!E16=".",up_Irr!AD16&lt;&gt;".",up_Irr!BC16="."),up_dir!F16/((1/1000)*(up_Irr!AD16)),IF(AND(up_Irr!E16&lt;&gt;".",up_Irr!AD16=".",up_Irr!BC16="."),up_dir!F16/((1/1000)*(up_Irr!E16)),IF(AND(up_Irr!E16=".",up_Irr!AD16=".",up_Irr!BC16="."),up_dir!F16*1000)))))))),".")</f>
        <v>6.5773651144152123E-11</v>
      </c>
      <c r="G16" s="76">
        <f>IFERROR(IF(AND(up_Irr!F16&lt;&gt;".",up_Irr!AE16&lt;&gt;".",up_Irr!BD16&lt;&gt;"."),up_dir!G16/((1/1000)*(up_Irr!F16+up_Irr!AE16+up_Irr!BD16)),IF(AND(up_Irr!F16&lt;&gt;".",up_Irr!AE16&lt;&gt;".",up_Irr!BD16="."),up_dir!G16/((1/1000)*(up_Irr!F16+up_Irr!AE16)),IF(AND(up_Irr!F16&lt;&gt;".",up_Irr!AE16=".",up_Irr!BD16&lt;&gt;"."),up_dir!G16/((1/1000)*(up_Irr!F16+up_Irr!BD16)),IF(AND(up_Irr!F16=".",up_Irr!AE16&lt;&gt;".",up_Irr!BD16&lt;&gt;"."),up_dir!G16/((1/1000)*(up_Irr!AE16+up_Irr!BD16)),IF(AND(up_Irr!F16=".",up_Irr!AE16=".",up_Irr!BD16&lt;&gt;"."),up_dir!G16/((1/1000)*(up_Irr!BD16)),IF(AND(up_Irr!F16=".",up_Irr!AE16&lt;&gt;".",up_Irr!BD16="."),up_dir!G16/((1/1000)*(up_Irr!AE16)),IF(AND(up_Irr!F16&lt;&gt;".",up_Irr!AE16=".",up_Irr!BD16="."),up_dir!G16/((1/1000)*(up_Irr!F16)),IF(AND(up_Irr!F16=".",up_Irr!AE16=".",up_Irr!BD16="."),up_dir!G16*1000)))))))),".")</f>
        <v>6.5773651144152123E-11</v>
      </c>
      <c r="H16" s="76">
        <f>IFERROR(IF(AND(up_Irr!G16&lt;&gt;".",up_Irr!AF16&lt;&gt;".",up_Irr!BE16&lt;&gt;"."),up_dir!H16/((1/1000)*(up_Irr!G16+up_Irr!AF16+up_Irr!BE16)),IF(AND(up_Irr!G16&lt;&gt;".",up_Irr!AF16&lt;&gt;".",up_Irr!BE16="."),up_dir!H16/((1/1000)*(up_Irr!G16+up_Irr!AF16)),IF(AND(up_Irr!G16&lt;&gt;".",up_Irr!AF16=".",up_Irr!BE16&lt;&gt;"."),up_dir!H16/((1/1000)*(up_Irr!G16+up_Irr!BE16)),IF(AND(up_Irr!G16=".",up_Irr!AF16&lt;&gt;".",up_Irr!BE16&lt;&gt;"."),up_dir!H16/((1/1000)*(up_Irr!AF16+up_Irr!BE16)),IF(AND(up_Irr!G16=".",up_Irr!AF16=".",up_Irr!BE16&lt;&gt;"."),up_dir!H16/((1/1000)*(up_Irr!BE16)),IF(AND(up_Irr!G16=".",up_Irr!AF16&lt;&gt;".",up_Irr!BE16="."),up_dir!H16/((1/1000)*(up_Irr!AF16)),IF(AND(up_Irr!G16&lt;&gt;".",up_Irr!AF16=".",up_Irr!BE16="."),up_dir!H16/((1/1000)*(up_Irr!G16)),IF(AND(up_Irr!G16=".",up_Irr!AF16=".",up_Irr!BE16="."),up_dir!H16*1000)))))))),".")</f>
        <v>6.5773651144152123E-11</v>
      </c>
      <c r="I16" s="76">
        <f>IFERROR(IF(AND(up_Irr!H16&lt;&gt;".",up_Irr!AG16&lt;&gt;".",up_Irr!BF16&lt;&gt;"."),up_dir!I16/((1/1000)*(up_Irr!H16+up_Irr!AG16+up_Irr!BF16)),IF(AND(up_Irr!H16&lt;&gt;".",up_Irr!AG16&lt;&gt;".",up_Irr!BF16="."),up_dir!I16/((1/1000)*(up_Irr!H16+up_Irr!AG16)),IF(AND(up_Irr!H16&lt;&gt;".",up_Irr!AG16=".",up_Irr!BF16&lt;&gt;"."),up_dir!I16/((1/1000)*(up_Irr!H16+up_Irr!BF16)),IF(AND(up_Irr!H16=".",up_Irr!AG16&lt;&gt;".",up_Irr!BF16&lt;&gt;"."),up_dir!I16/((1/1000)*(up_Irr!AG16+up_Irr!BF16)),IF(AND(up_Irr!H16=".",up_Irr!AG16=".",up_Irr!BF16&lt;&gt;"."),up_dir!I16/((1/1000)*(up_Irr!BF16)),IF(AND(up_Irr!H16=".",up_Irr!AG16&lt;&gt;".",up_Irr!BF16="."),up_dir!I16/((1/1000)*(up_Irr!AG16)),IF(AND(up_Irr!H16&lt;&gt;".",up_Irr!AG16=".",up_Irr!BF16="."),up_dir!I16/((1/1000)*(up_Irr!H16)),IF(AND(up_Irr!H16=".",up_Irr!AG16=".",up_Irr!BF16="."),up_dir!I16*1000)))))))),".")</f>
        <v>6.5773651144152123E-11</v>
      </c>
      <c r="J16" s="76">
        <f>IFERROR(IF(AND(up_Irr!I16&lt;&gt;".",up_Irr!AH16&lt;&gt;".",up_Irr!BG16&lt;&gt;"."),up_dir!J16/((1/1000)*(up_Irr!I16+up_Irr!AH16+up_Irr!BG16)),IF(AND(up_Irr!I16&lt;&gt;".",up_Irr!AH16&lt;&gt;".",up_Irr!BG16="."),up_dir!J16/((1/1000)*(up_Irr!I16+up_Irr!AH16)),IF(AND(up_Irr!I16&lt;&gt;".",up_Irr!AH16=".",up_Irr!BG16&lt;&gt;"."),up_dir!J16/((1/1000)*(up_Irr!I16+up_Irr!BG16)),IF(AND(up_Irr!I16=".",up_Irr!AH16&lt;&gt;".",up_Irr!BG16&lt;&gt;"."),up_dir!J16/((1/1000)*(up_Irr!AH16+up_Irr!BG16)),IF(AND(up_Irr!I16=".",up_Irr!AH16=".",up_Irr!BG16&lt;&gt;"."),up_dir!J16/((1/1000)*(up_Irr!BG16)),IF(AND(up_Irr!I16=".",up_Irr!AH16&lt;&gt;".",up_Irr!BG16="."),up_dir!J16/((1/1000)*(up_Irr!AH16)),IF(AND(up_Irr!I16&lt;&gt;".",up_Irr!AH16=".",up_Irr!BG16="."),up_dir!J16/((1/1000)*(up_Irr!I16)),IF(AND(up_Irr!I16=".",up_Irr!AH16=".",up_Irr!BG16="."),up_dir!J16*1000)))))))),".")</f>
        <v>6.5773651144152123E-11</v>
      </c>
      <c r="K16" s="76">
        <f>IFERROR(IF(AND(up_Irr!J16&lt;&gt;".",up_Irr!AI16&lt;&gt;".",up_Irr!BH16&lt;&gt;"."),up_dir!K16/((1/1000)*(up_Irr!J16+up_Irr!AI16+up_Irr!BH16)),IF(AND(up_Irr!J16&lt;&gt;".",up_Irr!AI16&lt;&gt;".",up_Irr!BH16="."),up_dir!K16/((1/1000)*(up_Irr!J16+up_Irr!AI16)),IF(AND(up_Irr!J16&lt;&gt;".",up_Irr!AI16=".",up_Irr!BH16&lt;&gt;"."),up_dir!K16/((1/1000)*(up_Irr!J16+up_Irr!BH16)),IF(AND(up_Irr!J16=".",up_Irr!AI16&lt;&gt;".",up_Irr!BH16&lt;&gt;"."),up_dir!K16/((1/1000)*(up_Irr!AI16+up_Irr!BH16)),IF(AND(up_Irr!J16=".",up_Irr!AI16=".",up_Irr!BH16&lt;&gt;"."),up_dir!K16/((1/1000)*(up_Irr!BH16)),IF(AND(up_Irr!J16=".",up_Irr!AI16&lt;&gt;".",up_Irr!BH16="."),up_dir!K16/((1/1000)*(up_Irr!AI16)),IF(AND(up_Irr!J16&lt;&gt;".",up_Irr!AI16=".",up_Irr!BH16="."),up_dir!K16/((1/1000)*(up_Irr!J16)),IF(AND(up_Irr!J16=".",up_Irr!AI16=".",up_Irr!BH16="."),up_dir!K16*1000)))))))),".")</f>
        <v>6.5773651144152123E-11</v>
      </c>
      <c r="L16" s="76">
        <f>IFERROR(IF(AND(up_Irr!K16&lt;&gt;".",up_Irr!AJ16&lt;&gt;".",up_Irr!BI16&lt;&gt;"."),up_dir!L16/((1/1000)*(up_Irr!K16+up_Irr!AJ16+up_Irr!BI16)),IF(AND(up_Irr!K16&lt;&gt;".",up_Irr!AJ16&lt;&gt;".",up_Irr!BI16="."),up_dir!L16/((1/1000)*(up_Irr!K16+up_Irr!AJ16)),IF(AND(up_Irr!K16&lt;&gt;".",up_Irr!AJ16=".",up_Irr!BI16&lt;&gt;"."),up_dir!L16/((1/1000)*(up_Irr!K16+up_Irr!BI16)),IF(AND(up_Irr!K16=".",up_Irr!AJ16&lt;&gt;".",up_Irr!BI16&lt;&gt;"."),up_dir!L16/((1/1000)*(up_Irr!AJ16+up_Irr!BI16)),IF(AND(up_Irr!K16=".",up_Irr!AJ16=".",up_Irr!BI16&lt;&gt;"."),up_dir!L16/((1/1000)*(up_Irr!BI16)),IF(AND(up_Irr!K16=".",up_Irr!AJ16&lt;&gt;".",up_Irr!BI16="."),up_dir!L16/((1/1000)*(up_Irr!AJ16)),IF(AND(up_Irr!K16&lt;&gt;".",up_Irr!AJ16=".",up_Irr!BI16="."),up_dir!L16/((1/1000)*(up_Irr!K16)),IF(AND(up_Irr!K16=".",up_Irr!AJ16=".",up_Irr!BI16="."),up_dir!L16*1000)))))))),".")</f>
        <v>6.5773651144152123E-11</v>
      </c>
      <c r="M16" s="76">
        <f>IFERROR(IF(AND(up_Irr!L16&lt;&gt;".",up_Irr!AK16&lt;&gt;".",up_Irr!BJ16&lt;&gt;"."),up_dir!M16/((1/1000)*(up_Irr!L16+up_Irr!AK16+up_Irr!BJ16)),IF(AND(up_Irr!L16&lt;&gt;".",up_Irr!AK16&lt;&gt;".",up_Irr!BJ16="."),up_dir!M16/((1/1000)*(up_Irr!L16+up_Irr!AK16)),IF(AND(up_Irr!L16&lt;&gt;".",up_Irr!AK16=".",up_Irr!BJ16&lt;&gt;"."),up_dir!M16/((1/1000)*(up_Irr!L16+up_Irr!BJ16)),IF(AND(up_Irr!L16=".",up_Irr!AK16&lt;&gt;".",up_Irr!BJ16&lt;&gt;"."),up_dir!M16/((1/1000)*(up_Irr!AK16+up_Irr!BJ16)),IF(AND(up_Irr!L16=".",up_Irr!AK16=".",up_Irr!BJ16&lt;&gt;"."),up_dir!M16/((1/1000)*(up_Irr!BJ16)),IF(AND(up_Irr!L16=".",up_Irr!AK16&lt;&gt;".",up_Irr!BJ16="."),up_dir!M16/((1/1000)*(up_Irr!AK16)),IF(AND(up_Irr!L16&lt;&gt;".",up_Irr!AK16=".",up_Irr!BJ16="."),up_dir!M16/((1/1000)*(up_Irr!L16)),IF(AND(up_Irr!L16=".",up_Irr!AK16=".",up_Irr!BJ16="."),up_dir!M16*1000)))))))),".")</f>
        <v>6.5773651144152123E-11</v>
      </c>
      <c r="N16" s="76">
        <f>IFERROR(IF(AND(up_Irr!M16&lt;&gt;".",up_Irr!AL16&lt;&gt;".",up_Irr!BK16&lt;&gt;"."),up_dir!N16/((1/1000)*(up_Irr!M16+up_Irr!AL16+up_Irr!BK16)),IF(AND(up_Irr!M16&lt;&gt;".",up_Irr!AL16&lt;&gt;".",up_Irr!BK16="."),up_dir!N16/((1/1000)*(up_Irr!M16+up_Irr!AL16)),IF(AND(up_Irr!M16&lt;&gt;".",up_Irr!AL16=".",up_Irr!BK16&lt;&gt;"."),up_dir!N16/((1/1000)*(up_Irr!M16+up_Irr!BK16)),IF(AND(up_Irr!M16=".",up_Irr!AL16&lt;&gt;".",up_Irr!BK16&lt;&gt;"."),up_dir!N16/((1/1000)*(up_Irr!AL16+up_Irr!BK16)),IF(AND(up_Irr!M16=".",up_Irr!AL16=".",up_Irr!BK16&lt;&gt;"."),up_dir!N16/((1/1000)*(up_Irr!BK16)),IF(AND(up_Irr!M16=".",up_Irr!AL16&lt;&gt;".",up_Irr!BK16="."),up_dir!N16/((1/1000)*(up_Irr!AL16)),IF(AND(up_Irr!M16&lt;&gt;".",up_Irr!AL16=".",up_Irr!BK16="."),up_dir!N16/((1/1000)*(up_Irr!M16)),IF(AND(up_Irr!M16=".",up_Irr!AL16=".",up_Irr!BK16="."),up_dir!N16*1000)))))))),".")</f>
        <v>6.5773651144152123E-11</v>
      </c>
      <c r="O16" s="76">
        <f>IFERROR(IF(AND(up_Irr!N16&lt;&gt;".",up_Irr!AM16&lt;&gt;".",up_Irr!BL16&lt;&gt;"."),up_dir!O16/((1/1000)*(up_Irr!N16+up_Irr!AM16+up_Irr!BL16)),IF(AND(up_Irr!N16&lt;&gt;".",up_Irr!AM16&lt;&gt;".",up_Irr!BL16="."),up_dir!O16/((1/1000)*(up_Irr!N16+up_Irr!AM16)),IF(AND(up_Irr!N16&lt;&gt;".",up_Irr!AM16=".",up_Irr!BL16&lt;&gt;"."),up_dir!O16/((1/1000)*(up_Irr!N16+up_Irr!BL16)),IF(AND(up_Irr!N16=".",up_Irr!AM16&lt;&gt;".",up_Irr!BL16&lt;&gt;"."),up_dir!O16/((1/1000)*(up_Irr!AM16+up_Irr!BL16)),IF(AND(up_Irr!N16=".",up_Irr!AM16=".",up_Irr!BL16&lt;&gt;"."),up_dir!O16/((1/1000)*(up_Irr!BL16)),IF(AND(up_Irr!N16=".",up_Irr!AM16&lt;&gt;".",up_Irr!BL16="."),up_dir!O16/((1/1000)*(up_Irr!AM16)),IF(AND(up_Irr!N16&lt;&gt;".",up_Irr!AM16=".",up_Irr!BL16="."),up_dir!O16/((1/1000)*(up_Irr!N16)),IF(AND(up_Irr!N16=".",up_Irr!AM16=".",up_Irr!BL16="."),up_dir!O16*1000)))))))),".")</f>
        <v>6.5773651144152123E-11</v>
      </c>
      <c r="P16" s="76">
        <f>IFERROR(IF(AND(up_Irr!O16&lt;&gt;".",up_Irr!AN16&lt;&gt;".",up_Irr!BM16&lt;&gt;"."),up_dir!P16/((1/1000)*(up_Irr!O16+up_Irr!AN16+up_Irr!BM16)),IF(AND(up_Irr!O16&lt;&gt;".",up_Irr!AN16&lt;&gt;".",up_Irr!BM16="."),up_dir!P16/((1/1000)*(up_Irr!O16+up_Irr!AN16)),IF(AND(up_Irr!O16&lt;&gt;".",up_Irr!AN16=".",up_Irr!BM16&lt;&gt;"."),up_dir!P16/((1/1000)*(up_Irr!O16+up_Irr!BM16)),IF(AND(up_Irr!O16=".",up_Irr!AN16&lt;&gt;".",up_Irr!BM16&lt;&gt;"."),up_dir!P16/((1/1000)*(up_Irr!AN16+up_Irr!BM16)),IF(AND(up_Irr!O16=".",up_Irr!AN16=".",up_Irr!BM16&lt;&gt;"."),up_dir!P16/((1/1000)*(up_Irr!BM16)),IF(AND(up_Irr!O16=".",up_Irr!AN16&lt;&gt;".",up_Irr!BM16="."),up_dir!P16/((1/1000)*(up_Irr!AN16)),IF(AND(up_Irr!O16&lt;&gt;".",up_Irr!AN16=".",up_Irr!BM16="."),up_dir!P16/((1/1000)*(up_Irr!O16)),IF(AND(up_Irr!O16=".",up_Irr!AN16=".",up_Irr!BM16="."),up_dir!P16*1000)))))))),".")</f>
        <v>6.5773651144152123E-11</v>
      </c>
      <c r="Q16" s="76">
        <f>IFERROR(IF(AND(up_Irr!P16&lt;&gt;".",up_Irr!AO16&lt;&gt;".",up_Irr!BN16&lt;&gt;"."),up_dir!Q16/((1/1000)*(up_Irr!P16+up_Irr!AO16+up_Irr!BN16)),IF(AND(up_Irr!P16&lt;&gt;".",up_Irr!AO16&lt;&gt;".",up_Irr!BN16="."),up_dir!Q16/((1/1000)*(up_Irr!P16+up_Irr!AO16)),IF(AND(up_Irr!P16&lt;&gt;".",up_Irr!AO16=".",up_Irr!BN16&lt;&gt;"."),up_dir!Q16/((1/1000)*(up_Irr!P16+up_Irr!BN16)),IF(AND(up_Irr!P16=".",up_Irr!AO16&lt;&gt;".",up_Irr!BN16&lt;&gt;"."),up_dir!Q16/((1/1000)*(up_Irr!AO16+up_Irr!BN16)),IF(AND(up_Irr!P16=".",up_Irr!AO16=".",up_Irr!BN16&lt;&gt;"."),up_dir!Q16/((1/1000)*(up_Irr!BN16)),IF(AND(up_Irr!P16=".",up_Irr!AO16&lt;&gt;".",up_Irr!BN16="."),up_dir!Q16/((1/1000)*(up_Irr!AO16)),IF(AND(up_Irr!P16&lt;&gt;".",up_Irr!AO16=".",up_Irr!BN16="."),up_dir!Q16/((1/1000)*(up_Irr!P16)),IF(AND(up_Irr!P16=".",up_Irr!AO16=".",up_Irr!BN16="."),up_dir!Q16*1000)))))))),".")</f>
        <v>6.5773651144152123E-11</v>
      </c>
      <c r="R16" s="76">
        <f>IFERROR(IF(AND(up_Irr!Q16&lt;&gt;".",up_Irr!AP16&lt;&gt;".",up_Irr!BO16&lt;&gt;"."),up_dir!R16/((1/1000)*(up_Irr!Q16+up_Irr!AP16+up_Irr!BO16)),IF(AND(up_Irr!Q16&lt;&gt;".",up_Irr!AP16&lt;&gt;".",up_Irr!BO16="."),up_dir!R16/((1/1000)*(up_Irr!Q16+up_Irr!AP16)),IF(AND(up_Irr!Q16&lt;&gt;".",up_Irr!AP16=".",up_Irr!BO16&lt;&gt;"."),up_dir!R16/((1/1000)*(up_Irr!Q16+up_Irr!BO16)),IF(AND(up_Irr!Q16=".",up_Irr!AP16&lt;&gt;".",up_Irr!BO16&lt;&gt;"."),up_dir!R16/((1/1000)*(up_Irr!AP16+up_Irr!BO16)),IF(AND(up_Irr!Q16=".",up_Irr!AP16=".",up_Irr!BO16&lt;&gt;"."),up_dir!R16/((1/1000)*(up_Irr!BO16)),IF(AND(up_Irr!Q16=".",up_Irr!AP16&lt;&gt;".",up_Irr!BO16="."),up_dir!R16/((1/1000)*(up_Irr!AP16)),IF(AND(up_Irr!Q16&lt;&gt;".",up_Irr!AP16=".",up_Irr!BO16="."),up_dir!R16/((1/1000)*(up_Irr!Q16)),IF(AND(up_Irr!Q16=".",up_Irr!AP16=".",up_Irr!BO16="."),up_dir!R16*1000)))))))),".")</f>
        <v>6.5773651144152123E-11</v>
      </c>
      <c r="S16" s="76">
        <f>IFERROR(IF(AND(up_Irr!R16&lt;&gt;".",up_Irr!AQ16&lt;&gt;".",up_Irr!BP16&lt;&gt;"."),up_dir!S16/((1/1000)*(up_Irr!R16+up_Irr!AQ16+up_Irr!BP16)),IF(AND(up_Irr!R16&lt;&gt;".",up_Irr!AQ16&lt;&gt;".",up_Irr!BP16="."),up_dir!S16/((1/1000)*(up_Irr!R16+up_Irr!AQ16)),IF(AND(up_Irr!R16&lt;&gt;".",up_Irr!AQ16=".",up_Irr!BP16&lt;&gt;"."),up_dir!S16/((1/1000)*(up_Irr!R16+up_Irr!BP16)),IF(AND(up_Irr!R16=".",up_Irr!AQ16&lt;&gt;".",up_Irr!BP16&lt;&gt;"."),up_dir!S16/((1/1000)*(up_Irr!AQ16+up_Irr!BP16)),IF(AND(up_Irr!R16=".",up_Irr!AQ16=".",up_Irr!BP16&lt;&gt;"."),up_dir!S16/((1/1000)*(up_Irr!BP16)),IF(AND(up_Irr!R16=".",up_Irr!AQ16&lt;&gt;".",up_Irr!BP16="."),up_dir!S16/((1/1000)*(up_Irr!AQ16)),IF(AND(up_Irr!R16&lt;&gt;".",up_Irr!AQ16=".",up_Irr!BP16="."),up_dir!S16/((1/1000)*(up_Irr!R16)),IF(AND(up_Irr!R16=".",up_Irr!AQ16=".",up_Irr!BP16="."),up_dir!S16*1000)))))))),".")</f>
        <v>6.5773651144152123E-11</v>
      </c>
      <c r="T16" s="76">
        <f>IFERROR(IF(AND(up_Irr!S16&lt;&gt;".",up_Irr!AR16&lt;&gt;".",up_Irr!BQ16&lt;&gt;"."),up_dir!T16/((1/1000)*(up_Irr!S16+up_Irr!AR16+up_Irr!BQ16)),IF(AND(up_Irr!S16&lt;&gt;".",up_Irr!AR16&lt;&gt;".",up_Irr!BQ16="."),up_dir!T16/((1/1000)*(up_Irr!S16+up_Irr!AR16)),IF(AND(up_Irr!S16&lt;&gt;".",up_Irr!AR16=".",up_Irr!BQ16&lt;&gt;"."),up_dir!T16/((1/1000)*(up_Irr!S16+up_Irr!BQ16)),IF(AND(up_Irr!S16=".",up_Irr!AR16&lt;&gt;".",up_Irr!BQ16&lt;&gt;"."),up_dir!T16/((1/1000)*(up_Irr!AR16+up_Irr!BQ16)),IF(AND(up_Irr!S16=".",up_Irr!AR16=".",up_Irr!BQ16&lt;&gt;"."),up_dir!T16/((1/1000)*(up_Irr!BQ16)),IF(AND(up_Irr!S16=".",up_Irr!AR16&lt;&gt;".",up_Irr!BQ16="."),up_dir!T16/((1/1000)*(up_Irr!AR16)),IF(AND(up_Irr!S16&lt;&gt;".",up_Irr!AR16=".",up_Irr!BQ16="."),up_dir!T16/((1/1000)*(up_Irr!S16)),IF(AND(up_Irr!S16=".",up_Irr!AR16=".",up_Irr!BQ16="."),up_dir!T16*1000)))))))),".")</f>
        <v>6.5773651144152123E-11</v>
      </c>
      <c r="U16" s="76">
        <f>IFERROR(IF(AND(up_Irr!T16&lt;&gt;".",up_Irr!AS16&lt;&gt;".",up_Irr!BR16&lt;&gt;"."),up_dir!U16/((1/1000)*(up_Irr!T16+up_Irr!AS16+up_Irr!BR16)),IF(AND(up_Irr!T16&lt;&gt;".",up_Irr!AS16&lt;&gt;".",up_Irr!BR16="."),up_dir!U16/((1/1000)*(up_Irr!T16+up_Irr!AS16)),IF(AND(up_Irr!T16&lt;&gt;".",up_Irr!AS16=".",up_Irr!BR16&lt;&gt;"."),up_dir!U16/((1/1000)*(up_Irr!T16+up_Irr!BR16)),IF(AND(up_Irr!T16=".",up_Irr!AS16&lt;&gt;".",up_Irr!BR16&lt;&gt;"."),up_dir!U16/((1/1000)*(up_Irr!AS16+up_Irr!BR16)),IF(AND(up_Irr!T16=".",up_Irr!AS16=".",up_Irr!BR16&lt;&gt;"."),up_dir!U16/((1/1000)*(up_Irr!BR16)),IF(AND(up_Irr!T16=".",up_Irr!AS16&lt;&gt;".",up_Irr!BR16="."),up_dir!U16/((1/1000)*(up_Irr!AS16)),IF(AND(up_Irr!T16&lt;&gt;".",up_Irr!AS16=".",up_Irr!BR16="."),up_dir!U16/((1/1000)*(up_Irr!T16)),IF(AND(up_Irr!T16=".",up_Irr!AS16=".",up_Irr!BR16="."),up_dir!U16*1000)))))))),".")</f>
        <v>6.5773651144152123E-11</v>
      </c>
      <c r="V16" s="76">
        <f>IFERROR(IF(AND(up_Irr!U16&lt;&gt;".",up_Irr!AT16&lt;&gt;".",up_Irr!BS16&lt;&gt;"."),up_dir!V16/((1/1000)*(up_Irr!U16+up_Irr!AT16+up_Irr!BS16)),IF(AND(up_Irr!U16&lt;&gt;".",up_Irr!AT16&lt;&gt;".",up_Irr!BS16="."),up_dir!V16/((1/1000)*(up_Irr!U16+up_Irr!AT16)),IF(AND(up_Irr!U16&lt;&gt;".",up_Irr!AT16=".",up_Irr!BS16&lt;&gt;"."),up_dir!V16/((1/1000)*(up_Irr!U16+up_Irr!BS16)),IF(AND(up_Irr!U16=".",up_Irr!AT16&lt;&gt;".",up_Irr!BS16&lt;&gt;"."),up_dir!V16/((1/1000)*(up_Irr!AT16+up_Irr!BS16)),IF(AND(up_Irr!U16=".",up_Irr!AT16=".",up_Irr!BS16&lt;&gt;"."),up_dir!V16/((1/1000)*(up_Irr!BS16)),IF(AND(up_Irr!U16=".",up_Irr!AT16&lt;&gt;".",up_Irr!BS16="."),up_dir!V16/((1/1000)*(up_Irr!AT16)),IF(AND(up_Irr!U16&lt;&gt;".",up_Irr!AT16=".",up_Irr!BS16="."),up_dir!V16/((1/1000)*(up_Irr!U16)),IF(AND(up_Irr!U16=".",up_Irr!AT16=".",up_Irr!BS16="."),up_dir!V16*1000)))))))),".")</f>
        <v>6.5773651144152123E-11</v>
      </c>
      <c r="W16" s="76">
        <f>IFERROR(IF(AND(up_Irr!V16&lt;&gt;".",up_Irr!AU16&lt;&gt;".",up_Irr!BT16&lt;&gt;"."),up_dir!W16/((1/1000)*(up_Irr!V16+up_Irr!AU16+up_Irr!BT16)),IF(AND(up_Irr!V16&lt;&gt;".",up_Irr!AU16&lt;&gt;".",up_Irr!BT16="."),up_dir!W16/((1/1000)*(up_Irr!V16+up_Irr!AU16)),IF(AND(up_Irr!V16&lt;&gt;".",up_Irr!AU16=".",up_Irr!BT16&lt;&gt;"."),up_dir!W16/((1/1000)*(up_Irr!V16+up_Irr!BT16)),IF(AND(up_Irr!V16=".",up_Irr!AU16&lt;&gt;".",up_Irr!BT16&lt;&gt;"."),up_dir!W16/((1/1000)*(up_Irr!AU16+up_Irr!BT16)),IF(AND(up_Irr!V16=".",up_Irr!AU16=".",up_Irr!BT16&lt;&gt;"."),up_dir!W16/((1/1000)*(up_Irr!BT16)),IF(AND(up_Irr!V16=".",up_Irr!AU16&lt;&gt;".",up_Irr!BT16="."),up_dir!W16/((1/1000)*(up_Irr!AU16)),IF(AND(up_Irr!V16&lt;&gt;".",up_Irr!AU16=".",up_Irr!BT16="."),up_dir!W16/((1/1000)*(up_Irr!V16)),IF(AND(up_Irr!V16=".",up_Irr!AU16=".",up_Irr!BT16="."),up_dir!W16*1000)))))))),".")</f>
        <v>6.5773651144152123E-11</v>
      </c>
      <c r="X16" s="76">
        <f>IFERROR(IF(AND(up_Irr!W16&lt;&gt;".",up_Irr!AV16&lt;&gt;".",up_Irr!BU16&lt;&gt;"."),up_dir!X16/((1/1000)*(up_Irr!W16+up_Irr!AV16+up_Irr!BU16)),IF(AND(up_Irr!W16&lt;&gt;".",up_Irr!AV16&lt;&gt;".",up_Irr!BU16="."),up_dir!X16/((1/1000)*(up_Irr!W16+up_Irr!AV16)),IF(AND(up_Irr!W16&lt;&gt;".",up_Irr!AV16=".",up_Irr!BU16&lt;&gt;"."),up_dir!X16/((1/1000)*(up_Irr!W16+up_Irr!BU16)),IF(AND(up_Irr!W16=".",up_Irr!AV16&lt;&gt;".",up_Irr!BU16&lt;&gt;"."),up_dir!X16/((1/1000)*(up_Irr!AV16+up_Irr!BU16)),IF(AND(up_Irr!W16=".",up_Irr!AV16=".",up_Irr!BU16&lt;&gt;"."),up_dir!X16/((1/1000)*(up_Irr!BU16)),IF(AND(up_Irr!W16=".",up_Irr!AV16&lt;&gt;".",up_Irr!BU16="."),up_dir!X16/((1/1000)*(up_Irr!AV16)),IF(AND(up_Irr!W16&lt;&gt;".",up_Irr!AV16=".",up_Irr!BU16="."),up_dir!X16/((1/1000)*(up_Irr!W16)),IF(AND(up_Irr!W16=".",up_Irr!AV16=".",up_Irr!BU16="."),up_dir!X16*1000)))))))),".")</f>
        <v>6.5773651144152123E-11</v>
      </c>
      <c r="Y16" s="76">
        <f>IFERROR(IF(AND(up_Irr!X16&lt;&gt;".",up_Irr!AW16&lt;&gt;".",up_Irr!BV16&lt;&gt;"."),up_dir!Y16/((1/1000)*(up_Irr!X16+up_Irr!AW16+up_Irr!BV16)),IF(AND(up_Irr!X16&lt;&gt;".",up_Irr!AW16&lt;&gt;".",up_Irr!BV16="."),up_dir!Y16/((1/1000)*(up_Irr!X16+up_Irr!AW16)),IF(AND(up_Irr!X16&lt;&gt;".",up_Irr!AW16=".",up_Irr!BV16&lt;&gt;"."),up_dir!Y16/((1/1000)*(up_Irr!X16+up_Irr!BV16)),IF(AND(up_Irr!X16=".",up_Irr!AW16&lt;&gt;".",up_Irr!BV16&lt;&gt;"."),up_dir!Y16/((1/1000)*(up_Irr!AW16+up_Irr!BV16)),IF(AND(up_Irr!X16=".",up_Irr!AW16=".",up_Irr!BV16&lt;&gt;"."),up_dir!Y16/((1/1000)*(up_Irr!BV16)),IF(AND(up_Irr!X16=".",up_Irr!AW16&lt;&gt;".",up_Irr!BV16="."),up_dir!Y16/((1/1000)*(up_Irr!AW16)),IF(AND(up_Irr!X16&lt;&gt;".",up_Irr!AW16=".",up_Irr!BV16="."),up_dir!Y16/((1/1000)*(up_Irr!X16)),IF(AND(up_Irr!X16=".",up_Irr!AW16=".",up_Irr!BV16="."),up_dir!Y16*1000)))))))),".")</f>
        <v>6.5773651144152123E-11</v>
      </c>
      <c r="Z16" s="76">
        <f>IFERROR(IF(AND(up_Irr!Y16&lt;&gt;".",up_Irr!AX16&lt;&gt;".",up_Irr!BW16&lt;&gt;"."),up_dir!Z16/((1/1000)*(up_Irr!Y16+up_Irr!AX16+up_Irr!BW16)),IF(AND(up_Irr!Y16&lt;&gt;".",up_Irr!AX16&lt;&gt;".",up_Irr!BW16="."),up_dir!Z16/((1/1000)*(up_Irr!Y16+up_Irr!AX16)),IF(AND(up_Irr!Y16&lt;&gt;".",up_Irr!AX16=".",up_Irr!BW16&lt;&gt;"."),up_dir!Z16/((1/1000)*(up_Irr!Y16+up_Irr!BW16)),IF(AND(up_Irr!Y16=".",up_Irr!AX16&lt;&gt;".",up_Irr!BW16&lt;&gt;"."),up_dir!Z16/((1/1000)*(up_Irr!AX16+up_Irr!BW16)),IF(AND(up_Irr!Y16=".",up_Irr!AX16=".",up_Irr!BW16&lt;&gt;"."),up_dir!Z16/((1/1000)*(up_Irr!BW16)),IF(AND(up_Irr!Y16=".",up_Irr!AX16&lt;&gt;".",up_Irr!BW16="."),up_dir!Z16/((1/1000)*(up_Irr!AX16)),IF(AND(up_Irr!Y16&lt;&gt;".",up_Irr!AX16=".",up_Irr!BW16="."),up_dir!Z16/((1/1000)*(up_Irr!Y16)),IF(AND(up_Irr!Y16=".",up_Irr!AX16=".",up_Irr!BW16="."),up_dir!Z16*1000)))))))),".")</f>
        <v>6.5773651144152123E-11</v>
      </c>
      <c r="AA16" s="76">
        <f>IFERROR(IF(AND(up_Irr!Z16&lt;&gt;".",up_Irr!AY16&lt;&gt;".",up_Irr!BX16&lt;&gt;"."),up_dir!AA16/((1/1000)*(up_Irr!Z16+up_Irr!AY16+up_Irr!BX16)),IF(AND(up_Irr!Z16&lt;&gt;".",up_Irr!AY16&lt;&gt;".",up_Irr!BX16="."),up_dir!AA16/((1/1000)*(up_Irr!Z16+up_Irr!AY16)),IF(AND(up_Irr!Z16&lt;&gt;".",up_Irr!AY16=".",up_Irr!BX16&lt;&gt;"."),up_dir!AA16/((1/1000)*(up_Irr!Z16+up_Irr!BX16)),IF(AND(up_Irr!Z16=".",up_Irr!AY16&lt;&gt;".",up_Irr!BX16&lt;&gt;"."),up_dir!AA16/((1/1000)*(up_Irr!AY16+up_Irr!BX16)),IF(AND(up_Irr!Z16=".",up_Irr!AY16=".",up_Irr!BX16&lt;&gt;"."),up_dir!AA16/((1/1000)*(up_Irr!BX16)),IF(AND(up_Irr!Z16=".",up_Irr!AY16&lt;&gt;".",up_Irr!BX16="."),up_dir!AA16/((1/1000)*(up_Irr!AY16)),IF(AND(up_Irr!Z16&lt;&gt;".",up_Irr!AY16=".",up_Irr!BX16="."),up_dir!AA16/((1/1000)*(up_Irr!Z16)),IF(AND(up_Irr!Z16=".",up_Irr!AY16=".",up_Irr!BX16="."),up_dir!AA16*1000)))))))),".")</f>
        <v>6.5773651144152123E-11</v>
      </c>
      <c r="AB16" s="76">
        <f>IFERROR(IF(AND(up_Irr!AA16&lt;&gt;".",up_Irr!AZ16&lt;&gt;".",up_Irr!BY16&lt;&gt;"."),up_dir!AB16/((1/1000)*(up_Irr!AA16+up_Irr!AZ16+up_Irr!BY16)),IF(AND(up_Irr!AA16&lt;&gt;".",up_Irr!AZ16&lt;&gt;".",up_Irr!BY16="."),up_dir!AB16/((1/1000)*(up_Irr!AA16+up_Irr!AZ16)),IF(AND(up_Irr!AA16&lt;&gt;".",up_Irr!AZ16=".",up_Irr!BY16&lt;&gt;"."),up_dir!AB16/((1/1000)*(up_Irr!AA16+up_Irr!BY16)),IF(AND(up_Irr!AA16=".",up_Irr!AZ16&lt;&gt;".",up_Irr!BY16&lt;&gt;"."),up_dir!AB16/((1/1000)*(up_Irr!AZ16+up_Irr!BY16)),IF(AND(up_Irr!AA16=".",up_Irr!AZ16=".",up_Irr!BY16&lt;&gt;"."),up_dir!AB16/((1/1000)*(up_Irr!BY16)),IF(AND(up_Irr!AA16=".",up_Irr!AZ16&lt;&gt;".",up_Irr!BY16="."),up_dir!AB16/((1/1000)*(up_Irr!AZ16)),IF(AND(up_Irr!AA16&lt;&gt;".",up_Irr!AZ16=".",up_Irr!BY16="."),up_dir!AB16/((1/1000)*(up_Irr!AA16)),IF(AND(up_Irr!AA16=".",up_Irr!AZ16=".",up_Irr!BY16="."),up_dir!AB16*1000)))))))),".")</f>
        <v>6.5773651144152123E-11</v>
      </c>
      <c r="AC16" s="93">
        <f t="shared" si="1"/>
        <v>608146.26076229871</v>
      </c>
      <c r="AD16" s="93">
        <f>IFERROR(s_C*s_IFAP_res_adj*s_CF_apple*0.001*(up_Irr!C16+up_Irr!AB16+up_Irr!BA16),".")</f>
        <v>152036.56519057468</v>
      </c>
      <c r="AE16" s="93">
        <f>IFERROR(s_C*s_IFAS_res_adj*s_CF_asparagus*0.001*(up_Irr!D16+up_Irr!AC16+up_Irr!BB16),".")</f>
        <v>152036.56519057468</v>
      </c>
      <c r="AF16" s="93">
        <f>IFERROR(s_C*s_IFBT_res_adj*s_CF_beet*0.001*(up_Irr!E16+up_Irr!AD16+up_Irr!BC16),".")</f>
        <v>152036.56519057468</v>
      </c>
      <c r="AG16" s="93">
        <f>IFERROR(s_C*s_IFBE_res_adj*s_CF_berries*0.001*(up_Irr!F16+up_Irr!AE16+up_Irr!BD16),".")</f>
        <v>152036.56519057468</v>
      </c>
      <c r="AH16" s="93">
        <f>IFERROR(s_C*s_IFBR_res_adj*s_CF_broccoli*0.001*(up_Irr!G16+up_Irr!AF16+up_Irr!BE16),".")</f>
        <v>152036.56519057468</v>
      </c>
      <c r="AI16" s="93">
        <f>IFERROR(s_C*s_IFCB_res_adj*s_CF_cabbage*0.001*(up_Irr!H16+up_Irr!AG16+up_Irr!BF16),".")</f>
        <v>152036.56519057468</v>
      </c>
      <c r="AJ16" s="93">
        <f>IFERROR(s_C*s_IFCR_res_adj*s_CF_carrot*0.001*(up_Irr!I16+up_Irr!AH16+up_Irr!BG16),".")</f>
        <v>152036.56519057468</v>
      </c>
      <c r="AK16" s="93">
        <f>IFERROR(s_C*s_IFCI_res_adj*s_CF_citrus*0.001*(up_Irr!J16+up_Irr!AI16+up_Irr!BH16),".")</f>
        <v>152036.56519057468</v>
      </c>
      <c r="AL16" s="93">
        <f>IFERROR(s_C*s_IFCO_res_adj*s_CF_corn*0.001*(up_Irr!K16+up_Irr!AJ16+up_Irr!BI16),".")</f>
        <v>152036.56519057468</v>
      </c>
      <c r="AM16" s="93">
        <f>IFERROR(s_C*s_IFCU_res_adj*s_CF_cucumber*0.001*(up_Irr!L16+up_Irr!AK16+up_Irr!BJ16),".")</f>
        <v>152036.56519057468</v>
      </c>
      <c r="AN16" s="93">
        <f>IFERROR(s_C*s_IFLE_res_adj*s_CF_lettuce*0.001*(up_Irr!M16+up_Irr!AL16+up_Irr!BK16),".")</f>
        <v>152036.56519057468</v>
      </c>
      <c r="AO16" s="93">
        <f>IFERROR(s_C*s_IFLI_res_adj*s_CF_lima_bean*0.001*(up_Irr!N16+up_Irr!AM16+up_Irr!BL16),".")</f>
        <v>152036.56519057468</v>
      </c>
      <c r="AP16" s="93">
        <f>IFERROR(s_C*s_IFOK_res_adj*s_CF_okra*0.001*(up_Irr!O16+up_Irr!AN16+up_Irr!BM16),".")</f>
        <v>152036.56519057468</v>
      </c>
      <c r="AQ16" s="93">
        <f>IFERROR(s_C*s_IFON_res_adj*s_CF_onion*0.001*(up_Irr!P16+up_Irr!AO16+up_Irr!BN16),".")</f>
        <v>152036.56519057468</v>
      </c>
      <c r="AR16" s="93">
        <f>IFERROR(s_C*s_IFPC_res_adj*s_CF_peach*0.001*(up_Irr!Q16+up_Irr!AP16+up_Irr!BO16),".")</f>
        <v>152036.56519057468</v>
      </c>
      <c r="AS16" s="93">
        <f>IFERROR(s_C*s_IFPR_res_adj*s_CF_pear*0.001*(up_Irr!R16+up_Irr!AQ16+up_Irr!BP16),".")</f>
        <v>152036.56519057468</v>
      </c>
      <c r="AT16" s="93">
        <f>IFERROR(s_C*s_IFPE_res_adj*s_CF_peas*0.001*(up_Irr!S16+up_Irr!AR16+up_Irr!BQ16),".")</f>
        <v>152036.56519057468</v>
      </c>
      <c r="AU16" s="93">
        <f>IFERROR(s_C*s_IFPP_res_adj*s_CF_peppers*0.001*(up_Irr!T16+up_Irr!AS16+up_Irr!BR16),".")</f>
        <v>152036.56519057468</v>
      </c>
      <c r="AV16" s="93">
        <f>IFERROR(s_C*s_IFPT_res_adj*s_CF_potato*0.001*(up_Irr!U16+up_Irr!AT16+up_Irr!BS16),".")</f>
        <v>152036.56519057468</v>
      </c>
      <c r="AW16" s="93">
        <f>IFERROR(s_C*s_IFPU_res_adj*s_CF_pumpkin*0.001*(up_Irr!V16+up_Irr!AU16+up_Irr!BT16),".")</f>
        <v>152036.56519057468</v>
      </c>
      <c r="AX16" s="93">
        <f>IFERROR(s_C*s_IFSN_res_adj*s_CF_snap_bean*0.001*(up_Irr!W16+up_Irr!AV16+up_Irr!BU16),".")</f>
        <v>152036.56519057468</v>
      </c>
      <c r="AY16" s="93">
        <f>IFERROR(s_C*s_IFST_res_adj*s_CF_strawberry*0.001*(up_Irr!X16+up_Irr!AW16+up_Irr!BV16),".")</f>
        <v>152036.56519057468</v>
      </c>
      <c r="AZ16" s="93">
        <f>IFERROR(s_C*s_IFTO_res_adj*s_CF_tomato*0.001*(up_Irr!Y16+up_Irr!AX16+up_Irr!BW16),".")</f>
        <v>152036.56519057468</v>
      </c>
      <c r="BA16" s="93">
        <f>IFERROR(s_C*s_IFRI_res_adj*s_CF_rice*0.001*(up_Irr!Z16+up_Irr!AY16+up_Irr!BX16),".")</f>
        <v>152036.56519057468</v>
      </c>
      <c r="BB16" s="93">
        <f>IFERROR(s_C*s_IFCG_res_adj*s_CF_cereal*0.001*(up_Irr!AA16+up_Irr!AZ16+up_Irr!BY16),".")</f>
        <v>152036.56519057468</v>
      </c>
      <c r="BC16" s="76">
        <f t="shared" si="2"/>
        <v>1.6443412786038031E-11</v>
      </c>
      <c r="BD16" s="76">
        <f>IFERROR(IF(AND(up_Irr!C16&lt;&gt;".",up_Irr!AB16&lt;&gt;".",up_Irr!BA16&lt;&gt;"."),up_dir!AD16/((1/1000)*(up_Irr!C16+up_Irr!AB16+up_Irr!BA16)),IF(AND(up_Irr!C16&lt;&gt;".",up_Irr!AB16&lt;&gt;".",up_Irr!BA16="."),up_dir!AD16/((1/1000)*(up_Irr!C16+up_Irr!AB16)),IF(AND(up_Irr!C16&lt;&gt;".",up_Irr!AB16=".",up_Irr!BA16&lt;&gt;"."),up_dir!AD16/((1/1000)*(up_Irr!C16+up_Irr!BA16)),IF(AND(up_Irr!C16=".",up_Irr!AB16&lt;&gt;".",up_Irr!BA16&lt;&gt;"."),up_dir!AD16/((1/1000)*(up_Irr!AB16+up_Irr!BA16)),IF(AND(up_Irr!C16=".",up_Irr!AB16=".",up_Irr!BA16&lt;&gt;"."),up_dir!AD16/((1/1000)*(up_Irr!BA16)),IF(AND(up_Irr!C16=".",up_Irr!AB16&lt;&gt;".",up_Irr!BA16="."),up_dir!AD16/((1/1000)*(up_Irr!AB16)),IF(AND(up_Irr!C16&lt;&gt;".",up_Irr!AB16=".",up_Irr!BA16="."),up_dir!AD16/((1/1000)*(up_Irr!C16)),IF(AND(up_Irr!C16=".",up_Irr!AB16=".",up_Irr!BA16="."),up_dir!AD16*1000)))))))),".")</f>
        <v>6.5773651144152123E-11</v>
      </c>
      <c r="BE16" s="76">
        <f>IFERROR(IF(AND(up_Irr!D16&lt;&gt;".",up_Irr!AC16&lt;&gt;".",up_Irr!BB16&lt;&gt;"."),up_dir!AE16/((1/1000)*(up_Irr!D16+up_Irr!AC16+up_Irr!BB16)),IF(AND(up_Irr!D16&lt;&gt;".",up_Irr!AC16&lt;&gt;".",up_Irr!BB16="."),up_dir!AE16/((1/1000)*(up_Irr!D16+up_Irr!AC16)),IF(AND(up_Irr!D16&lt;&gt;".",up_Irr!AC16=".",up_Irr!BB16&lt;&gt;"."),up_dir!AE16/((1/1000)*(up_Irr!D16+up_Irr!BB16)),IF(AND(up_Irr!D16=".",up_Irr!AC16&lt;&gt;".",up_Irr!BB16&lt;&gt;"."),up_dir!AE16/((1/1000)*(up_Irr!AC16+up_Irr!BB16)),IF(AND(up_Irr!D16=".",up_Irr!AC16=".",up_Irr!BB16&lt;&gt;"."),up_dir!AE16/((1/1000)*(up_Irr!BB16)),IF(AND(up_Irr!D16=".",up_Irr!AC16&lt;&gt;".",up_Irr!BB16="."),up_dir!AE16/((1/1000)*(up_Irr!AC16)),IF(AND(up_Irr!D16&lt;&gt;".",up_Irr!AC16=".",up_Irr!BB16="."),up_dir!AE16/((1/1000)*(up_Irr!D16)),IF(AND(up_Irr!D16=".",up_Irr!AC16=".",up_Irr!BB16="."),up_dir!AE16*1000)))))))),".")</f>
        <v>6.5773651144152123E-11</v>
      </c>
      <c r="BF16" s="76">
        <f>IFERROR(IF(AND(up_Irr!E16&lt;&gt;".",up_Irr!AD16&lt;&gt;".",up_Irr!BC16&lt;&gt;"."),up_dir!AF16/((1/1000)*(up_Irr!E16+up_Irr!AD16+up_Irr!BC16)),IF(AND(up_Irr!E16&lt;&gt;".",up_Irr!AD16&lt;&gt;".",up_Irr!BC16="."),up_dir!AF16/((1/1000)*(up_Irr!E16+up_Irr!AD16)),IF(AND(up_Irr!E16&lt;&gt;".",up_Irr!AD16=".",up_Irr!BC16&lt;&gt;"."),up_dir!AF16/((1/1000)*(up_Irr!E16+up_Irr!BC16)),IF(AND(up_Irr!E16=".",up_Irr!AD16&lt;&gt;".",up_Irr!BC16&lt;&gt;"."),up_dir!AF16/((1/1000)*(up_Irr!AD16+up_Irr!BC16)),IF(AND(up_Irr!E16=".",up_Irr!AD16=".",up_Irr!BC16&lt;&gt;"."),up_dir!AF16/((1/1000)*(up_Irr!BC16)),IF(AND(up_Irr!E16=".",up_Irr!AD16&lt;&gt;".",up_Irr!BC16="."),up_dir!AF16/((1/1000)*(up_Irr!AD16)),IF(AND(up_Irr!E16&lt;&gt;".",up_Irr!AD16=".",up_Irr!BC16="."),up_dir!AF16/((1/1000)*(up_Irr!E16)),IF(AND(up_Irr!E16=".",up_Irr!AD16=".",up_Irr!BC16="."),up_dir!AF16*1000)))))))),".")</f>
        <v>6.5773651144152123E-11</v>
      </c>
      <c r="BG16" s="76">
        <f>IFERROR(IF(AND(up_Irr!F16&lt;&gt;".",up_Irr!AE16&lt;&gt;".",up_Irr!BD16&lt;&gt;"."),up_dir!AG16/((1/1000)*(up_Irr!F16+up_Irr!AE16+up_Irr!BD16)),IF(AND(up_Irr!F16&lt;&gt;".",up_Irr!AE16&lt;&gt;".",up_Irr!BD16="."),up_dir!AG16/((1/1000)*(up_Irr!F16+up_Irr!AE16)),IF(AND(up_Irr!F16&lt;&gt;".",up_Irr!AE16=".",up_Irr!BD16&lt;&gt;"."),up_dir!AG16/((1/1000)*(up_Irr!F16+up_Irr!BD16)),IF(AND(up_Irr!F16=".",up_Irr!AE16&lt;&gt;".",up_Irr!BD16&lt;&gt;"."),up_dir!AG16/((1/1000)*(up_Irr!AE16+up_Irr!BD16)),IF(AND(up_Irr!F16=".",up_Irr!AE16=".",up_Irr!BD16&lt;&gt;"."),up_dir!AG16/((1/1000)*(up_Irr!BD16)),IF(AND(up_Irr!F16=".",up_Irr!AE16&lt;&gt;".",up_Irr!BD16="."),up_dir!AG16/((1/1000)*(up_Irr!AE16)),IF(AND(up_Irr!F16&lt;&gt;".",up_Irr!AE16=".",up_Irr!BD16="."),up_dir!AG16/((1/1000)*(up_Irr!F16)),IF(AND(up_Irr!F16=".",up_Irr!AE16=".",up_Irr!BD16="."),up_dir!AG16*1000)))))))),".")</f>
        <v>6.5773651144152123E-11</v>
      </c>
      <c r="BH16" s="76">
        <f>IFERROR(IF(AND(up_Irr!G16&lt;&gt;".",up_Irr!AF16&lt;&gt;".",up_Irr!BE16&lt;&gt;"."),up_dir!AH16/((1/1000)*(up_Irr!G16+up_Irr!AF16+up_Irr!BE16)),IF(AND(up_Irr!G16&lt;&gt;".",up_Irr!AF16&lt;&gt;".",up_Irr!BE16="."),up_dir!AH16/((1/1000)*(up_Irr!G16+up_Irr!AF16)),IF(AND(up_Irr!G16&lt;&gt;".",up_Irr!AF16=".",up_Irr!BE16&lt;&gt;"."),up_dir!AH16/((1/1000)*(up_Irr!G16+up_Irr!BE16)),IF(AND(up_Irr!G16=".",up_Irr!AF16&lt;&gt;".",up_Irr!BE16&lt;&gt;"."),up_dir!AH16/((1/1000)*(up_Irr!AF16+up_Irr!BE16)),IF(AND(up_Irr!G16=".",up_Irr!AF16=".",up_Irr!BE16&lt;&gt;"."),up_dir!AH16/((1/1000)*(up_Irr!BE16)),IF(AND(up_Irr!G16=".",up_Irr!AF16&lt;&gt;".",up_Irr!BE16="."),up_dir!AH16/((1/1000)*(up_Irr!AF16)),IF(AND(up_Irr!G16&lt;&gt;".",up_Irr!AF16=".",up_Irr!BE16="."),up_dir!AH16/((1/1000)*(up_Irr!G16)),IF(AND(up_Irr!G16=".",up_Irr!AF16=".",up_Irr!BE16="."),up_dir!AH16*1000)))))))),".")</f>
        <v>6.5773651144152123E-11</v>
      </c>
      <c r="BI16" s="76">
        <f>IFERROR(IF(AND(up_Irr!H16&lt;&gt;".",up_Irr!AG16&lt;&gt;".",up_Irr!BF16&lt;&gt;"."),up_dir!AI16/((1/1000)*(up_Irr!H16+up_Irr!AG16+up_Irr!BF16)),IF(AND(up_Irr!H16&lt;&gt;".",up_Irr!AG16&lt;&gt;".",up_Irr!BF16="."),up_dir!AI16/((1/1000)*(up_Irr!H16+up_Irr!AG16)),IF(AND(up_Irr!H16&lt;&gt;".",up_Irr!AG16=".",up_Irr!BF16&lt;&gt;"."),up_dir!AI16/((1/1000)*(up_Irr!H16+up_Irr!BF16)),IF(AND(up_Irr!H16=".",up_Irr!AG16&lt;&gt;".",up_Irr!BF16&lt;&gt;"."),up_dir!AI16/((1/1000)*(up_Irr!AG16+up_Irr!BF16)),IF(AND(up_Irr!H16=".",up_Irr!AG16=".",up_Irr!BF16&lt;&gt;"."),up_dir!AI16/((1/1000)*(up_Irr!BF16)),IF(AND(up_Irr!H16=".",up_Irr!AG16&lt;&gt;".",up_Irr!BF16="."),up_dir!AI16/((1/1000)*(up_Irr!AG16)),IF(AND(up_Irr!H16&lt;&gt;".",up_Irr!AG16=".",up_Irr!BF16="."),up_dir!AI16/((1/1000)*(up_Irr!H16)),IF(AND(up_Irr!H16=".",up_Irr!AG16=".",up_Irr!BF16="."),up_dir!AI16*1000)))))))),".")</f>
        <v>6.5773651144152123E-11</v>
      </c>
      <c r="BJ16" s="76">
        <f>IFERROR(IF(AND(up_Irr!I16&lt;&gt;".",up_Irr!AH16&lt;&gt;".",up_Irr!BG16&lt;&gt;"."),up_dir!AJ16/((1/1000)*(up_Irr!I16+up_Irr!AH16+up_Irr!BG16)),IF(AND(up_Irr!I16&lt;&gt;".",up_Irr!AH16&lt;&gt;".",up_Irr!BG16="."),up_dir!AJ16/((1/1000)*(up_Irr!I16+up_Irr!AH16)),IF(AND(up_Irr!I16&lt;&gt;".",up_Irr!AH16=".",up_Irr!BG16&lt;&gt;"."),up_dir!AJ16/((1/1000)*(up_Irr!I16+up_Irr!BG16)),IF(AND(up_Irr!I16=".",up_Irr!AH16&lt;&gt;".",up_Irr!BG16&lt;&gt;"."),up_dir!AJ16/((1/1000)*(up_Irr!AH16+up_Irr!BG16)),IF(AND(up_Irr!I16=".",up_Irr!AH16=".",up_Irr!BG16&lt;&gt;"."),up_dir!AJ16/((1/1000)*(up_Irr!BG16)),IF(AND(up_Irr!I16=".",up_Irr!AH16&lt;&gt;".",up_Irr!BG16="."),up_dir!AJ16/((1/1000)*(up_Irr!AH16)),IF(AND(up_Irr!I16&lt;&gt;".",up_Irr!AH16=".",up_Irr!BG16="."),up_dir!AJ16/((1/1000)*(up_Irr!I16)),IF(AND(up_Irr!I16=".",up_Irr!AH16=".",up_Irr!BG16="."),up_dir!AJ16*1000)))))))),".")</f>
        <v>6.5773651144152123E-11</v>
      </c>
      <c r="BK16" s="76">
        <f>IFERROR(IF(AND(up_Irr!J16&lt;&gt;".",up_Irr!AI16&lt;&gt;".",up_Irr!BH16&lt;&gt;"."),up_dir!AK16/((1/1000)*(up_Irr!J16+up_Irr!AI16+up_Irr!BH16)),IF(AND(up_Irr!J16&lt;&gt;".",up_Irr!AI16&lt;&gt;".",up_Irr!BH16="."),up_dir!AK16/((1/1000)*(up_Irr!J16+up_Irr!AI16)),IF(AND(up_Irr!J16&lt;&gt;".",up_Irr!AI16=".",up_Irr!BH16&lt;&gt;"."),up_dir!AK16/((1/1000)*(up_Irr!J16+up_Irr!BH16)),IF(AND(up_Irr!J16=".",up_Irr!AI16&lt;&gt;".",up_Irr!BH16&lt;&gt;"."),up_dir!AK16/((1/1000)*(up_Irr!AI16+up_Irr!BH16)),IF(AND(up_Irr!J16=".",up_Irr!AI16=".",up_Irr!BH16&lt;&gt;"."),up_dir!AK16/((1/1000)*(up_Irr!BH16)),IF(AND(up_Irr!J16=".",up_Irr!AI16&lt;&gt;".",up_Irr!BH16="."),up_dir!AK16/((1/1000)*(up_Irr!AI16)),IF(AND(up_Irr!J16&lt;&gt;".",up_Irr!AI16=".",up_Irr!BH16="."),up_dir!AK16/((1/1000)*(up_Irr!J16)),IF(AND(up_Irr!J16=".",up_Irr!AI16=".",up_Irr!BH16="."),up_dir!AK16*1000)))))))),".")</f>
        <v>6.5773651144152123E-11</v>
      </c>
      <c r="BL16" s="76">
        <f>IFERROR(IF(AND(up_Irr!K16&lt;&gt;".",up_Irr!AJ16&lt;&gt;".",up_Irr!BI16&lt;&gt;"."),up_dir!AL16/((1/1000)*(up_Irr!K16+up_Irr!AJ16+up_Irr!BI16)),IF(AND(up_Irr!K16&lt;&gt;".",up_Irr!AJ16&lt;&gt;".",up_Irr!BI16="."),up_dir!AL16/((1/1000)*(up_Irr!K16+up_Irr!AJ16)),IF(AND(up_Irr!K16&lt;&gt;".",up_Irr!AJ16=".",up_Irr!BI16&lt;&gt;"."),up_dir!AL16/((1/1000)*(up_Irr!K16+up_Irr!BI16)),IF(AND(up_Irr!K16=".",up_Irr!AJ16&lt;&gt;".",up_Irr!BI16&lt;&gt;"."),up_dir!AL16/((1/1000)*(up_Irr!AJ16+up_Irr!BI16)),IF(AND(up_Irr!K16=".",up_Irr!AJ16=".",up_Irr!BI16&lt;&gt;"."),up_dir!AL16/((1/1000)*(up_Irr!BI16)),IF(AND(up_Irr!K16=".",up_Irr!AJ16&lt;&gt;".",up_Irr!BI16="."),up_dir!AL16/((1/1000)*(up_Irr!AJ16)),IF(AND(up_Irr!K16&lt;&gt;".",up_Irr!AJ16=".",up_Irr!BI16="."),up_dir!AL16/((1/1000)*(up_Irr!K16)),IF(AND(up_Irr!K16=".",up_Irr!AJ16=".",up_Irr!BI16="."),up_dir!AL16*1000)))))))),".")</f>
        <v>6.5773651144152123E-11</v>
      </c>
      <c r="BM16" s="76">
        <f>IFERROR(IF(AND(up_Irr!L16&lt;&gt;".",up_Irr!AK16&lt;&gt;".",up_Irr!BJ16&lt;&gt;"."),up_dir!AM16/((1/1000)*(up_Irr!L16+up_Irr!AK16+up_Irr!BJ16)),IF(AND(up_Irr!L16&lt;&gt;".",up_Irr!AK16&lt;&gt;".",up_Irr!BJ16="."),up_dir!AM16/((1/1000)*(up_Irr!L16+up_Irr!AK16)),IF(AND(up_Irr!L16&lt;&gt;".",up_Irr!AK16=".",up_Irr!BJ16&lt;&gt;"."),up_dir!AM16/((1/1000)*(up_Irr!L16+up_Irr!BJ16)),IF(AND(up_Irr!L16=".",up_Irr!AK16&lt;&gt;".",up_Irr!BJ16&lt;&gt;"."),up_dir!AM16/((1/1000)*(up_Irr!AK16+up_Irr!BJ16)),IF(AND(up_Irr!L16=".",up_Irr!AK16=".",up_Irr!BJ16&lt;&gt;"."),up_dir!AM16/((1/1000)*(up_Irr!BJ16)),IF(AND(up_Irr!L16=".",up_Irr!AK16&lt;&gt;".",up_Irr!BJ16="."),up_dir!AM16/((1/1000)*(up_Irr!AK16)),IF(AND(up_Irr!L16&lt;&gt;".",up_Irr!AK16=".",up_Irr!BJ16="."),up_dir!AM16/((1/1000)*(up_Irr!L16)),IF(AND(up_Irr!L16=".",up_Irr!AK16=".",up_Irr!BJ16="."),up_dir!AM16*1000)))))))),".")</f>
        <v>6.5773651144152123E-11</v>
      </c>
      <c r="BN16" s="76">
        <f>IFERROR(IF(AND(up_Irr!M16&lt;&gt;".",up_Irr!AL16&lt;&gt;".",up_Irr!BK16&lt;&gt;"."),up_dir!AN16/((1/1000)*(up_Irr!M16+up_Irr!AL16+up_Irr!BK16)),IF(AND(up_Irr!M16&lt;&gt;".",up_Irr!AL16&lt;&gt;".",up_Irr!BK16="."),up_dir!AN16/((1/1000)*(up_Irr!M16+up_Irr!AL16)),IF(AND(up_Irr!M16&lt;&gt;".",up_Irr!AL16=".",up_Irr!BK16&lt;&gt;"."),up_dir!AN16/((1/1000)*(up_Irr!M16+up_Irr!BK16)),IF(AND(up_Irr!M16=".",up_Irr!AL16&lt;&gt;".",up_Irr!BK16&lt;&gt;"."),up_dir!AN16/((1/1000)*(up_Irr!AL16+up_Irr!BK16)),IF(AND(up_Irr!M16=".",up_Irr!AL16=".",up_Irr!BK16&lt;&gt;"."),up_dir!AN16/((1/1000)*(up_Irr!BK16)),IF(AND(up_Irr!M16=".",up_Irr!AL16&lt;&gt;".",up_Irr!BK16="."),up_dir!AN16/((1/1000)*(up_Irr!AL16)),IF(AND(up_Irr!M16&lt;&gt;".",up_Irr!AL16=".",up_Irr!BK16="."),up_dir!AN16/((1/1000)*(up_Irr!M16)),IF(AND(up_Irr!M16=".",up_Irr!AL16=".",up_Irr!BK16="."),up_dir!AN16*1000)))))))),".")</f>
        <v>6.5773651144152123E-11</v>
      </c>
      <c r="BO16" s="76">
        <f>IFERROR(IF(AND(up_Irr!N16&lt;&gt;".",up_Irr!AM16&lt;&gt;".",up_Irr!BL16&lt;&gt;"."),up_dir!AO16/((1/1000)*(up_Irr!N16+up_Irr!AM16+up_Irr!BL16)),IF(AND(up_Irr!N16&lt;&gt;".",up_Irr!AM16&lt;&gt;".",up_Irr!BL16="."),up_dir!AO16/((1/1000)*(up_Irr!N16+up_Irr!AM16)),IF(AND(up_Irr!N16&lt;&gt;".",up_Irr!AM16=".",up_Irr!BL16&lt;&gt;"."),up_dir!AO16/((1/1000)*(up_Irr!N16+up_Irr!BL16)),IF(AND(up_Irr!N16=".",up_Irr!AM16&lt;&gt;".",up_Irr!BL16&lt;&gt;"."),up_dir!AO16/((1/1000)*(up_Irr!AM16+up_Irr!BL16)),IF(AND(up_Irr!N16=".",up_Irr!AM16=".",up_Irr!BL16&lt;&gt;"."),up_dir!AO16/((1/1000)*(up_Irr!BL16)),IF(AND(up_Irr!N16=".",up_Irr!AM16&lt;&gt;".",up_Irr!BL16="."),up_dir!AO16/((1/1000)*(up_Irr!AM16)),IF(AND(up_Irr!N16&lt;&gt;".",up_Irr!AM16=".",up_Irr!BL16="."),up_dir!AO16/((1/1000)*(up_Irr!N16)),IF(AND(up_Irr!N16=".",up_Irr!AM16=".",up_Irr!BL16="."),up_dir!AO16*1000)))))))),".")</f>
        <v>6.5773651144152123E-11</v>
      </c>
      <c r="BP16" s="76">
        <f>IFERROR(IF(AND(up_Irr!O16&lt;&gt;".",up_Irr!AN16&lt;&gt;".",up_Irr!BM16&lt;&gt;"."),up_dir!AP16/((1/1000)*(up_Irr!O16+up_Irr!AN16+up_Irr!BM16)),IF(AND(up_Irr!O16&lt;&gt;".",up_Irr!AN16&lt;&gt;".",up_Irr!BM16="."),up_dir!AP16/((1/1000)*(up_Irr!O16+up_Irr!AN16)),IF(AND(up_Irr!O16&lt;&gt;".",up_Irr!AN16=".",up_Irr!BM16&lt;&gt;"."),up_dir!AP16/((1/1000)*(up_Irr!O16+up_Irr!BM16)),IF(AND(up_Irr!O16=".",up_Irr!AN16&lt;&gt;".",up_Irr!BM16&lt;&gt;"."),up_dir!AP16/((1/1000)*(up_Irr!AN16+up_Irr!BM16)),IF(AND(up_Irr!O16=".",up_Irr!AN16=".",up_Irr!BM16&lt;&gt;"."),up_dir!AP16/((1/1000)*(up_Irr!BM16)),IF(AND(up_Irr!O16=".",up_Irr!AN16&lt;&gt;".",up_Irr!BM16="."),up_dir!AP16/((1/1000)*(up_Irr!AN16)),IF(AND(up_Irr!O16&lt;&gt;".",up_Irr!AN16=".",up_Irr!BM16="."),up_dir!AP16/((1/1000)*(up_Irr!O16)),IF(AND(up_Irr!O16=".",up_Irr!AN16=".",up_Irr!BM16="."),up_dir!AP16*1000)))))))),".")</f>
        <v>6.5773651144152123E-11</v>
      </c>
      <c r="BQ16" s="76">
        <f>IFERROR(IF(AND(up_Irr!P16&lt;&gt;".",up_Irr!AO16&lt;&gt;".",up_Irr!BN16&lt;&gt;"."),up_dir!AQ16/((1/1000)*(up_Irr!P16+up_Irr!AO16+up_Irr!BN16)),IF(AND(up_Irr!P16&lt;&gt;".",up_Irr!AO16&lt;&gt;".",up_Irr!BN16="."),up_dir!AQ16/((1/1000)*(up_Irr!P16+up_Irr!AO16)),IF(AND(up_Irr!P16&lt;&gt;".",up_Irr!AO16=".",up_Irr!BN16&lt;&gt;"."),up_dir!AQ16/((1/1000)*(up_Irr!P16+up_Irr!BN16)),IF(AND(up_Irr!P16=".",up_Irr!AO16&lt;&gt;".",up_Irr!BN16&lt;&gt;"."),up_dir!AQ16/((1/1000)*(up_Irr!AO16+up_Irr!BN16)),IF(AND(up_Irr!P16=".",up_Irr!AO16=".",up_Irr!BN16&lt;&gt;"."),up_dir!AQ16/((1/1000)*(up_Irr!BN16)),IF(AND(up_Irr!P16=".",up_Irr!AO16&lt;&gt;".",up_Irr!BN16="."),up_dir!AQ16/((1/1000)*(up_Irr!AO16)),IF(AND(up_Irr!P16&lt;&gt;".",up_Irr!AO16=".",up_Irr!BN16="."),up_dir!AQ16/((1/1000)*(up_Irr!P16)),IF(AND(up_Irr!P16=".",up_Irr!AO16=".",up_Irr!BN16="."),up_dir!AQ16*1000)))))))),".")</f>
        <v>6.5773651144152123E-11</v>
      </c>
      <c r="BR16" s="76">
        <f>IFERROR(IF(AND(up_Irr!Q16&lt;&gt;".",up_Irr!AP16&lt;&gt;".",up_Irr!BO16&lt;&gt;"."),up_dir!AR16/((1/1000)*(up_Irr!Q16+up_Irr!AP16+up_Irr!BO16)),IF(AND(up_Irr!Q16&lt;&gt;".",up_Irr!AP16&lt;&gt;".",up_Irr!BO16="."),up_dir!AR16/((1/1000)*(up_Irr!Q16+up_Irr!AP16)),IF(AND(up_Irr!Q16&lt;&gt;".",up_Irr!AP16=".",up_Irr!BO16&lt;&gt;"."),up_dir!AR16/((1/1000)*(up_Irr!Q16+up_Irr!BO16)),IF(AND(up_Irr!Q16=".",up_Irr!AP16&lt;&gt;".",up_Irr!BO16&lt;&gt;"."),up_dir!AR16/((1/1000)*(up_Irr!AP16+up_Irr!BO16)),IF(AND(up_Irr!Q16=".",up_Irr!AP16=".",up_Irr!BO16&lt;&gt;"."),up_dir!AR16/((1/1000)*(up_Irr!BO16)),IF(AND(up_Irr!Q16=".",up_Irr!AP16&lt;&gt;".",up_Irr!BO16="."),up_dir!AR16/((1/1000)*(up_Irr!AP16)),IF(AND(up_Irr!Q16&lt;&gt;".",up_Irr!AP16=".",up_Irr!BO16="."),up_dir!AR16/((1/1000)*(up_Irr!Q16)),IF(AND(up_Irr!Q16=".",up_Irr!AP16=".",up_Irr!BO16="."),up_dir!AR16*1000)))))))),".")</f>
        <v>6.5773651144152123E-11</v>
      </c>
      <c r="BS16" s="76">
        <f>IFERROR(IF(AND(up_Irr!R16&lt;&gt;".",up_Irr!AQ16&lt;&gt;".",up_Irr!BP16&lt;&gt;"."),up_dir!AS16/((1/1000)*(up_Irr!R16+up_Irr!AQ16+up_Irr!BP16)),IF(AND(up_Irr!R16&lt;&gt;".",up_Irr!AQ16&lt;&gt;".",up_Irr!BP16="."),up_dir!AS16/((1/1000)*(up_Irr!R16+up_Irr!AQ16)),IF(AND(up_Irr!R16&lt;&gt;".",up_Irr!AQ16=".",up_Irr!BP16&lt;&gt;"."),up_dir!AS16/((1/1000)*(up_Irr!R16+up_Irr!BP16)),IF(AND(up_Irr!R16=".",up_Irr!AQ16&lt;&gt;".",up_Irr!BP16&lt;&gt;"."),up_dir!AS16/((1/1000)*(up_Irr!AQ16+up_Irr!BP16)),IF(AND(up_Irr!R16=".",up_Irr!AQ16=".",up_Irr!BP16&lt;&gt;"."),up_dir!AS16/((1/1000)*(up_Irr!BP16)),IF(AND(up_Irr!R16=".",up_Irr!AQ16&lt;&gt;".",up_Irr!BP16="."),up_dir!AS16/((1/1000)*(up_Irr!AQ16)),IF(AND(up_Irr!R16&lt;&gt;".",up_Irr!AQ16=".",up_Irr!BP16="."),up_dir!AS16/((1/1000)*(up_Irr!R16)),IF(AND(up_Irr!R16=".",up_Irr!AQ16=".",up_Irr!BP16="."),up_dir!AS16*1000)))))))),".")</f>
        <v>6.5773651144152123E-11</v>
      </c>
      <c r="BT16" s="76">
        <f>IFERROR(IF(AND(up_Irr!S16&lt;&gt;".",up_Irr!AR16&lt;&gt;".",up_Irr!BQ16&lt;&gt;"."),up_dir!AT16/((1/1000)*(up_Irr!S16+up_Irr!AR16+up_Irr!BQ16)),IF(AND(up_Irr!S16&lt;&gt;".",up_Irr!AR16&lt;&gt;".",up_Irr!BQ16="."),up_dir!AT16/((1/1000)*(up_Irr!S16+up_Irr!AR16)),IF(AND(up_Irr!S16&lt;&gt;".",up_Irr!AR16=".",up_Irr!BQ16&lt;&gt;"."),up_dir!AT16/((1/1000)*(up_Irr!S16+up_Irr!BQ16)),IF(AND(up_Irr!S16=".",up_Irr!AR16&lt;&gt;".",up_Irr!BQ16&lt;&gt;"."),up_dir!AT16/((1/1000)*(up_Irr!AR16+up_Irr!BQ16)),IF(AND(up_Irr!S16=".",up_Irr!AR16=".",up_Irr!BQ16&lt;&gt;"."),up_dir!AT16/((1/1000)*(up_Irr!BQ16)),IF(AND(up_Irr!S16=".",up_Irr!AR16&lt;&gt;".",up_Irr!BQ16="."),up_dir!AT16/((1/1000)*(up_Irr!AR16)),IF(AND(up_Irr!S16&lt;&gt;".",up_Irr!AR16=".",up_Irr!BQ16="."),up_dir!AT16/((1/1000)*(up_Irr!S16)),IF(AND(up_Irr!S16=".",up_Irr!AR16=".",up_Irr!BQ16="."),up_dir!AT16*1000)))))))),".")</f>
        <v>6.5773651144152123E-11</v>
      </c>
      <c r="BU16" s="76">
        <f>IFERROR(IF(AND(up_Irr!T16&lt;&gt;".",up_Irr!AS16&lt;&gt;".",up_Irr!BR16&lt;&gt;"."),up_dir!AU16/((1/1000)*(up_Irr!T16+up_Irr!AS16+up_Irr!BR16)),IF(AND(up_Irr!T16&lt;&gt;".",up_Irr!AS16&lt;&gt;".",up_Irr!BR16="."),up_dir!AU16/((1/1000)*(up_Irr!T16+up_Irr!AS16)),IF(AND(up_Irr!T16&lt;&gt;".",up_Irr!AS16=".",up_Irr!BR16&lt;&gt;"."),up_dir!AU16/((1/1000)*(up_Irr!T16+up_Irr!BR16)),IF(AND(up_Irr!T16=".",up_Irr!AS16&lt;&gt;".",up_Irr!BR16&lt;&gt;"."),up_dir!AU16/((1/1000)*(up_Irr!AS16+up_Irr!BR16)),IF(AND(up_Irr!T16=".",up_Irr!AS16=".",up_Irr!BR16&lt;&gt;"."),up_dir!AU16/((1/1000)*(up_Irr!BR16)),IF(AND(up_Irr!T16=".",up_Irr!AS16&lt;&gt;".",up_Irr!BR16="."),up_dir!AU16/((1/1000)*(up_Irr!AS16)),IF(AND(up_Irr!T16&lt;&gt;".",up_Irr!AS16=".",up_Irr!BR16="."),up_dir!AU16/((1/1000)*(up_Irr!T16)),IF(AND(up_Irr!T16=".",up_Irr!AS16=".",up_Irr!BR16="."),up_dir!AU16*1000)))))))),".")</f>
        <v>6.5773651144152123E-11</v>
      </c>
      <c r="BV16" s="76">
        <f>IFERROR(IF(AND(up_Irr!U16&lt;&gt;".",up_Irr!AT16&lt;&gt;".",up_Irr!BS16&lt;&gt;"."),up_dir!AV16/((1/1000)*(up_Irr!U16+up_Irr!AT16+up_Irr!BS16)),IF(AND(up_Irr!U16&lt;&gt;".",up_Irr!AT16&lt;&gt;".",up_Irr!BS16="."),up_dir!AV16/((1/1000)*(up_Irr!U16+up_Irr!AT16)),IF(AND(up_Irr!U16&lt;&gt;".",up_Irr!AT16=".",up_Irr!BS16&lt;&gt;"."),up_dir!AV16/((1/1000)*(up_Irr!U16+up_Irr!BS16)),IF(AND(up_Irr!U16=".",up_Irr!AT16&lt;&gt;".",up_Irr!BS16&lt;&gt;"."),up_dir!AV16/((1/1000)*(up_Irr!AT16+up_Irr!BS16)),IF(AND(up_Irr!U16=".",up_Irr!AT16=".",up_Irr!BS16&lt;&gt;"."),up_dir!AV16/((1/1000)*(up_Irr!BS16)),IF(AND(up_Irr!U16=".",up_Irr!AT16&lt;&gt;".",up_Irr!BS16="."),up_dir!AV16/((1/1000)*(up_Irr!AT16)),IF(AND(up_Irr!U16&lt;&gt;".",up_Irr!AT16=".",up_Irr!BS16="."),up_dir!AV16/((1/1000)*(up_Irr!U16)),IF(AND(up_Irr!U16=".",up_Irr!AT16=".",up_Irr!BS16="."),up_dir!AV16*1000)))))))),".")</f>
        <v>6.5773651144152123E-11</v>
      </c>
      <c r="BW16" s="76">
        <f>IFERROR(IF(AND(up_Irr!V16&lt;&gt;".",up_Irr!AU16&lt;&gt;".",up_Irr!BT16&lt;&gt;"."),up_dir!AW16/((1/1000)*(up_Irr!V16+up_Irr!AU16+up_Irr!BT16)),IF(AND(up_Irr!V16&lt;&gt;".",up_Irr!AU16&lt;&gt;".",up_Irr!BT16="."),up_dir!AW16/((1/1000)*(up_Irr!V16+up_Irr!AU16)),IF(AND(up_Irr!V16&lt;&gt;".",up_Irr!AU16=".",up_Irr!BT16&lt;&gt;"."),up_dir!AW16/((1/1000)*(up_Irr!V16+up_Irr!BT16)),IF(AND(up_Irr!V16=".",up_Irr!AU16&lt;&gt;".",up_Irr!BT16&lt;&gt;"."),up_dir!AW16/((1/1000)*(up_Irr!AU16+up_Irr!BT16)),IF(AND(up_Irr!V16=".",up_Irr!AU16=".",up_Irr!BT16&lt;&gt;"."),up_dir!AW16/((1/1000)*(up_Irr!BT16)),IF(AND(up_Irr!V16=".",up_Irr!AU16&lt;&gt;".",up_Irr!BT16="."),up_dir!AW16/((1/1000)*(up_Irr!AU16)),IF(AND(up_Irr!V16&lt;&gt;".",up_Irr!AU16=".",up_Irr!BT16="."),up_dir!AW16/((1/1000)*(up_Irr!V16)),IF(AND(up_Irr!V16=".",up_Irr!AU16=".",up_Irr!BT16="."),up_dir!AW16*1000)))))))),".")</f>
        <v>6.5773651144152123E-11</v>
      </c>
      <c r="BX16" s="76">
        <f>IFERROR(IF(AND(up_Irr!W16&lt;&gt;".",up_Irr!AV16&lt;&gt;".",up_Irr!BU16&lt;&gt;"."),up_dir!AX16/((1/1000)*(up_Irr!W16+up_Irr!AV16+up_Irr!BU16)),IF(AND(up_Irr!W16&lt;&gt;".",up_Irr!AV16&lt;&gt;".",up_Irr!BU16="."),up_dir!AX16/((1/1000)*(up_Irr!W16+up_Irr!AV16)),IF(AND(up_Irr!W16&lt;&gt;".",up_Irr!AV16=".",up_Irr!BU16&lt;&gt;"."),up_dir!AX16/((1/1000)*(up_Irr!W16+up_Irr!BU16)),IF(AND(up_Irr!W16=".",up_Irr!AV16&lt;&gt;".",up_Irr!BU16&lt;&gt;"."),up_dir!AX16/((1/1000)*(up_Irr!AV16+up_Irr!BU16)),IF(AND(up_Irr!W16=".",up_Irr!AV16=".",up_Irr!BU16&lt;&gt;"."),up_dir!AX16/((1/1000)*(up_Irr!BU16)),IF(AND(up_Irr!W16=".",up_Irr!AV16&lt;&gt;".",up_Irr!BU16="."),up_dir!AX16/((1/1000)*(up_Irr!AV16)),IF(AND(up_Irr!W16&lt;&gt;".",up_Irr!AV16=".",up_Irr!BU16="."),up_dir!AX16/((1/1000)*(up_Irr!W16)),IF(AND(up_Irr!W16=".",up_Irr!AV16=".",up_Irr!BU16="."),up_dir!AX16*1000)))))))),".")</f>
        <v>6.5773651144152123E-11</v>
      </c>
      <c r="BY16" s="76">
        <f>IFERROR(IF(AND(up_Irr!X16&lt;&gt;".",up_Irr!AW16&lt;&gt;".",up_Irr!BV16&lt;&gt;"."),up_dir!AY16/((1/1000)*(up_Irr!X16+up_Irr!AW16+up_Irr!BV16)),IF(AND(up_Irr!X16&lt;&gt;".",up_Irr!AW16&lt;&gt;".",up_Irr!BV16="."),up_dir!AY16/((1/1000)*(up_Irr!X16+up_Irr!AW16)),IF(AND(up_Irr!X16&lt;&gt;".",up_Irr!AW16=".",up_Irr!BV16&lt;&gt;"."),up_dir!AY16/((1/1000)*(up_Irr!X16+up_Irr!BV16)),IF(AND(up_Irr!X16=".",up_Irr!AW16&lt;&gt;".",up_Irr!BV16&lt;&gt;"."),up_dir!AY16/((1/1000)*(up_Irr!AW16+up_Irr!BV16)),IF(AND(up_Irr!X16=".",up_Irr!AW16=".",up_Irr!BV16&lt;&gt;"."),up_dir!AY16/((1/1000)*(up_Irr!BV16)),IF(AND(up_Irr!X16=".",up_Irr!AW16&lt;&gt;".",up_Irr!BV16="."),up_dir!AY16/((1/1000)*(up_Irr!AW16)),IF(AND(up_Irr!X16&lt;&gt;".",up_Irr!AW16=".",up_Irr!BV16="."),up_dir!AY16/((1/1000)*(up_Irr!X16)),IF(AND(up_Irr!X16=".",up_Irr!AW16=".",up_Irr!BV16="."),up_dir!AY16*1000)))))))),".")</f>
        <v>6.5773651144152123E-11</v>
      </c>
      <c r="BZ16" s="76">
        <f>IFERROR(IF(AND(up_Irr!Y16&lt;&gt;".",up_Irr!AX16&lt;&gt;".",up_Irr!BW16&lt;&gt;"."),up_dir!AZ16/((1/1000)*(up_Irr!Y16+up_Irr!AX16+up_Irr!BW16)),IF(AND(up_Irr!Y16&lt;&gt;".",up_Irr!AX16&lt;&gt;".",up_Irr!BW16="."),up_dir!AZ16/((1/1000)*(up_Irr!Y16+up_Irr!AX16)),IF(AND(up_Irr!Y16&lt;&gt;".",up_Irr!AX16=".",up_Irr!BW16&lt;&gt;"."),up_dir!AZ16/((1/1000)*(up_Irr!Y16+up_Irr!BW16)),IF(AND(up_Irr!Y16=".",up_Irr!AX16&lt;&gt;".",up_Irr!BW16&lt;&gt;"."),up_dir!AZ16/((1/1000)*(up_Irr!AX16+up_Irr!BW16)),IF(AND(up_Irr!Y16=".",up_Irr!AX16=".",up_Irr!BW16&lt;&gt;"."),up_dir!AZ16/((1/1000)*(up_Irr!BW16)),IF(AND(up_Irr!Y16=".",up_Irr!AX16&lt;&gt;".",up_Irr!BW16="."),up_dir!AZ16/((1/1000)*(up_Irr!AX16)),IF(AND(up_Irr!Y16&lt;&gt;".",up_Irr!AX16=".",up_Irr!BW16="."),up_dir!AZ16/((1/1000)*(up_Irr!Y16)),IF(AND(up_Irr!Y16=".",up_Irr!AX16=".",up_Irr!BW16="."),up_dir!AZ16*1000)))))))),".")</f>
        <v>6.5773651144152123E-11</v>
      </c>
      <c r="CA16" s="76">
        <f>IFERROR(IF(AND(up_Irr!Z16&lt;&gt;".",up_Irr!AY16&lt;&gt;".",up_Irr!BX16&lt;&gt;"."),up_dir!BA16/((1/1000)*(up_Irr!Z16+up_Irr!AY16+up_Irr!BX16)),IF(AND(up_Irr!Z16&lt;&gt;".",up_Irr!AY16&lt;&gt;".",up_Irr!BX16="."),up_dir!BA16/((1/1000)*(up_Irr!Z16+up_Irr!AY16)),IF(AND(up_Irr!Z16&lt;&gt;".",up_Irr!AY16=".",up_Irr!BX16&lt;&gt;"."),up_dir!BA16/((1/1000)*(up_Irr!Z16+up_Irr!BX16)),IF(AND(up_Irr!Z16=".",up_Irr!AY16&lt;&gt;".",up_Irr!BX16&lt;&gt;"."),up_dir!BA16/((1/1000)*(up_Irr!AY16+up_Irr!BX16)),IF(AND(up_Irr!Z16=".",up_Irr!AY16=".",up_Irr!BX16&lt;&gt;"."),up_dir!BA16/((1/1000)*(up_Irr!BX16)),IF(AND(up_Irr!Z16=".",up_Irr!AY16&lt;&gt;".",up_Irr!BX16="."),up_dir!BA16/((1/1000)*(up_Irr!AY16)),IF(AND(up_Irr!Z16&lt;&gt;".",up_Irr!AY16=".",up_Irr!BX16="."),up_dir!BA16/((1/1000)*(up_Irr!Z16)),IF(AND(up_Irr!Z16=".",up_Irr!AY16=".",up_Irr!BX16="."),up_dir!BA16*1000)))))))),".")</f>
        <v>6.5773651144152123E-11</v>
      </c>
      <c r="CB16" s="76">
        <f>IFERROR(IF(AND(up_Irr!AA16&lt;&gt;".",up_Irr!AZ16&lt;&gt;".",up_Irr!BY16&lt;&gt;"."),up_dir!BB16/((1/1000)*(up_Irr!AA16+up_Irr!AZ16+up_Irr!BY16)),IF(AND(up_Irr!AA16&lt;&gt;".",up_Irr!AZ16&lt;&gt;".",up_Irr!BY16="."),up_dir!BB16/((1/1000)*(up_Irr!AA16+up_Irr!AZ16)),IF(AND(up_Irr!AA16&lt;&gt;".",up_Irr!AZ16=".",up_Irr!BY16&lt;&gt;"."),up_dir!BB16/((1/1000)*(up_Irr!AA16+up_Irr!BY16)),IF(AND(up_Irr!AA16=".",up_Irr!AZ16&lt;&gt;".",up_Irr!BY16&lt;&gt;"."),up_dir!BB16/((1/1000)*(up_Irr!AZ16+up_Irr!BY16)),IF(AND(up_Irr!AA16=".",up_Irr!AZ16=".",up_Irr!BY16&lt;&gt;"."),up_dir!BB16/((1/1000)*(up_Irr!BY16)),IF(AND(up_Irr!AA16=".",up_Irr!AZ16&lt;&gt;".",up_Irr!BY16="."),up_dir!BB16/((1/1000)*(up_Irr!AZ16)),IF(AND(up_Irr!AA16&lt;&gt;".",up_Irr!AZ16=".",up_Irr!BY16="."),up_dir!BB16/((1/1000)*(up_Irr!AA16)),IF(AND(up_Irr!AA16=".",up_Irr!AZ16=".",up_Irr!BY16="."),up_dir!BB16*1000)))))))),".")</f>
        <v>6.5773651144152123E-11</v>
      </c>
      <c r="CC16" s="93">
        <f t="shared" si="3"/>
        <v>608146.26076229871</v>
      </c>
      <c r="CD16" s="93">
        <f>IFERROR(s_C*s_IFAP_far_adj*s_CF_apple*(1/1000)*(up_Irr!C16+up_Irr!AB16+up_Irr!BA16),".")</f>
        <v>152036.56519057468</v>
      </c>
      <c r="CE16" s="93">
        <f>IFERROR(s_C*s_IFAS_far_adj*s_CF_asparagus*(1/1000)*(up_Irr!D16+up_Irr!AC16+up_Irr!BB16),".")</f>
        <v>152036.56519057468</v>
      </c>
      <c r="CF16" s="93">
        <f>IFERROR(s_C*s_IFBT_far_adj*s_CF_beet*(1/1000)*(up_Irr!E16+up_Irr!AD16+up_Irr!BC16),".")</f>
        <v>152036.56519057468</v>
      </c>
      <c r="CG16" s="93">
        <f>IFERROR(s_C*s_IFBE_far_adj*s_CF_berries*(1/1000)*(up_Irr!F16+up_Irr!AE16+up_Irr!BD16),".")</f>
        <v>152036.56519057468</v>
      </c>
      <c r="CH16" s="93">
        <f>IFERROR(s_C*s_IFBR_far_adj*s_CF_broccoli*(1/1000)*(up_Irr!G16+up_Irr!AF16+up_Irr!BE16),".")</f>
        <v>152036.56519057468</v>
      </c>
      <c r="CI16" s="93">
        <f>IFERROR(s_C*s_IFCB_far_adj*s_CF_cabbage*(1/1000)*(up_Irr!H16+up_Irr!AG16+up_Irr!BF16),".")</f>
        <v>152036.56519057468</v>
      </c>
      <c r="CJ16" s="93">
        <f>IFERROR(s_C*s_IFCR_far_adj*s_CF_carrot*(1/1000)*(up_Irr!I16+up_Irr!AH16+up_Irr!BG16),".")</f>
        <v>152036.56519057468</v>
      </c>
      <c r="CK16" s="93">
        <f>IFERROR(s_C*s_IFCI_far_adj*s_CF_citrus*(1/1000)*(up_Irr!J16+up_Irr!AI16+up_Irr!BH16),".")</f>
        <v>152036.56519057468</v>
      </c>
      <c r="CL16" s="93">
        <f>IFERROR(s_C*s_IFCO_far_adj*s_CF_corn*(1/1000)*(up_Irr!K16+up_Irr!AJ16+up_Irr!BI16),".")</f>
        <v>152036.56519057468</v>
      </c>
      <c r="CM16" s="93">
        <f>IFERROR(s_C*s_IFCU_far_adj*s_CF_cucumber*(1/1000)*(up_Irr!L16+up_Irr!AK16+up_Irr!BJ16),".")</f>
        <v>152036.56519057468</v>
      </c>
      <c r="CN16" s="93">
        <f>IFERROR(s_C*s_IFLE_far_adj*s_CF_lettuce*(1/1000)*(up_Irr!M16+up_Irr!AL16+up_Irr!BK16),".")</f>
        <v>152036.56519057468</v>
      </c>
      <c r="CO16" s="93">
        <f>IFERROR(s_C*s_IFLI_far_adj*s_CF_lima_bean*(1/1000)*(up_Irr!N16+up_Irr!AM16+up_Irr!BL16),".")</f>
        <v>152036.56519057468</v>
      </c>
      <c r="CP16" s="93">
        <f>IFERROR(s_C*s_IFOK_far_adj*s_CF_okra*(1/1000)*(up_Irr!O16+up_Irr!AN16+up_Irr!BM16),".")</f>
        <v>152036.56519057468</v>
      </c>
      <c r="CQ16" s="93">
        <f>IFERROR(s_C*s_IFON_far_adj*s_CF_onion*(1/1000)*(up_Irr!P16+up_Irr!AO16+up_Irr!BN16),".")</f>
        <v>152036.56519057468</v>
      </c>
      <c r="CR16" s="93">
        <f>IFERROR(s_C*s_IFPC_far_adj*s_CF_peach*(1/1000)*(up_Irr!Q16+up_Irr!AP16+up_Irr!BO16),".")</f>
        <v>152036.56519057468</v>
      </c>
      <c r="CS16" s="93">
        <f>IFERROR(s_C*s_IFPR_far_adj*s_CF_pear*(1/1000)*(up_Irr!R16+up_Irr!AQ16+up_Irr!BP16),".")</f>
        <v>152036.56519057468</v>
      </c>
      <c r="CT16" s="93">
        <f>IFERROR(s_C*s_IFPE_far_adj*s_CF_peas*(1/1000)*(up_Irr!S16+up_Irr!AR16+up_Irr!BQ16),".")</f>
        <v>152036.56519057468</v>
      </c>
      <c r="CU16" s="93">
        <f>IFERROR(s_C*s_IFPP_far_adj*s_CF_peppers*(1/1000)*(up_Irr!T16+up_Irr!AS16+up_Irr!BR16),".")</f>
        <v>152036.56519057468</v>
      </c>
      <c r="CV16" s="93">
        <f>IFERROR(s_C*s_IFPT_far_adj*s_CF_potato*(1/1000)*(up_Irr!U16+up_Irr!AT16+up_Irr!BS16),".")</f>
        <v>152036.56519057468</v>
      </c>
      <c r="CW16" s="93">
        <f>IFERROR(s_C*s_IFPU_far_adj*s_CF_pumpkin*(1/1000)*(up_Irr!V16+up_Irr!AU16+up_Irr!BT16),".")</f>
        <v>152036.56519057468</v>
      </c>
      <c r="CX16" s="93">
        <f>IFERROR(s_C*s_IFSN_far_adj*s_CF_snap_bean*(1/1000)*(up_Irr!W16+up_Irr!AV16+up_Irr!BU16),".")</f>
        <v>152036.56519057468</v>
      </c>
      <c r="CY16" s="93">
        <f>IFERROR(s_C*s_IFST_far_adj*s_CF_strawberry*(1/1000)*(up_Irr!X16+up_Irr!AW16+up_Irr!BV16),".")</f>
        <v>152036.56519057468</v>
      </c>
      <c r="CZ16" s="93">
        <f>IFERROR(s_C*s_IFTO_far_adj*s_CF_tomato*(1/1000)*(up_Irr!Y16+up_Irr!AX16+up_Irr!BW16),".")</f>
        <v>152036.56519057468</v>
      </c>
      <c r="DA16" s="93">
        <f>IFERROR(s_C*s_IFRI_far_adj*s_CF_rice*(1/1000)*(up_Irr!Z16+up_Irr!AY16+up_Irr!BX16),".")</f>
        <v>152036.56519057468</v>
      </c>
      <c r="DB16" s="93">
        <f>IFERROR(s_C*s_IFCG_far_adj*s_CF_cereal*(1/1000)*(up_Irr!AA16+up_Irr!AZ16+up_Irr!BY16),".")</f>
        <v>152036.56519057468</v>
      </c>
    </row>
    <row r="17" spans="1:106" ht="15" customHeight="1" x14ac:dyDescent="0.25">
      <c r="A17" s="92" t="s">
        <v>27</v>
      </c>
      <c r="B17" s="90" t="s">
        <v>1071</v>
      </c>
      <c r="C17" s="15">
        <f t="shared" si="0"/>
        <v>1.6443412786038031E-11</v>
      </c>
      <c r="D17" s="76">
        <f>IFERROR(IF(AND(up_Irr!C17&lt;&gt;".",up_Irr!AB17&lt;&gt;".",up_Irr!BA17&lt;&gt;"."),up_dir!D17/((1/1000)*(up_Irr!C17+up_Irr!AB17+up_Irr!BA17)),IF(AND(up_Irr!C17&lt;&gt;".",up_Irr!AB17&lt;&gt;".",up_Irr!BA17="."),up_dir!D17/((1/1000)*(up_Irr!C17+up_Irr!AB17)),IF(AND(up_Irr!C17&lt;&gt;".",up_Irr!AB17=".",up_Irr!BA17&lt;&gt;"."),up_dir!D17/((1/1000)*(up_Irr!C17+up_Irr!BA17)),IF(AND(up_Irr!C17=".",up_Irr!AB17&lt;&gt;".",up_Irr!BA17&lt;&gt;"."),up_dir!D17/((1/1000)*(up_Irr!AB17+up_Irr!BA17)),IF(AND(up_Irr!C17=".",up_Irr!AB17=".",up_Irr!BA17&lt;&gt;"."),up_dir!D17/((1/1000)*(up_Irr!BA17)),IF(AND(up_Irr!C17=".",up_Irr!AB17&lt;&gt;".",up_Irr!BA17="."),up_dir!D17/((1/1000)*(up_Irr!AB17)),IF(AND(up_Irr!C17&lt;&gt;".",up_Irr!AB17=".",up_Irr!BA17="."),up_dir!D17/((1/1000)*(up_Irr!C17)),IF(AND(up_Irr!C17=".",up_Irr!AB17=".",up_Irr!BA17="."),up_dir!D17*1000)))))))),".")</f>
        <v>6.5773651144152123E-11</v>
      </c>
      <c r="E17" s="76">
        <f>IFERROR(IF(AND(up_Irr!D17&lt;&gt;".",up_Irr!AC17&lt;&gt;".",up_Irr!BB17&lt;&gt;"."),up_dir!E17/((1/1000)*(up_Irr!D17+up_Irr!AC17+up_Irr!BB17)),IF(AND(up_Irr!D17&lt;&gt;".",up_Irr!AC17&lt;&gt;".",up_Irr!BB17="."),up_dir!E17/((1/1000)*(up_Irr!D17+up_Irr!AC17)),IF(AND(up_Irr!D17&lt;&gt;".",up_Irr!AC17=".",up_Irr!BB17&lt;&gt;"."),up_dir!E17/((1/1000)*(up_Irr!D17+up_Irr!BB17)),IF(AND(up_Irr!D17=".",up_Irr!AC17&lt;&gt;".",up_Irr!BB17&lt;&gt;"."),up_dir!E17/((1/1000)*(up_Irr!AC17+up_Irr!BB17)),IF(AND(up_Irr!D17=".",up_Irr!AC17=".",up_Irr!BB17&lt;&gt;"."),up_dir!E17/((1/1000)*(up_Irr!BB17)),IF(AND(up_Irr!D17=".",up_Irr!AC17&lt;&gt;".",up_Irr!BB17="."),up_dir!E17/((1/1000)*(up_Irr!AC17)),IF(AND(up_Irr!D17&lt;&gt;".",up_Irr!AC17=".",up_Irr!BB17="."),up_dir!E17/((1/1000)*(up_Irr!D17)),IF(AND(up_Irr!D17=".",up_Irr!AC17=".",up_Irr!BB17="."),up_dir!E17*1000)))))))),".")</f>
        <v>6.5773651144152123E-11</v>
      </c>
      <c r="F17" s="76">
        <f>IFERROR(IF(AND(up_Irr!E17&lt;&gt;".",up_Irr!AD17&lt;&gt;".",up_Irr!BC17&lt;&gt;"."),up_dir!F17/((1/1000)*(up_Irr!E17+up_Irr!AD17+up_Irr!BC17)),IF(AND(up_Irr!E17&lt;&gt;".",up_Irr!AD17&lt;&gt;".",up_Irr!BC17="."),up_dir!F17/((1/1000)*(up_Irr!E17+up_Irr!AD17)),IF(AND(up_Irr!E17&lt;&gt;".",up_Irr!AD17=".",up_Irr!BC17&lt;&gt;"."),up_dir!F17/((1/1000)*(up_Irr!E17+up_Irr!BC17)),IF(AND(up_Irr!E17=".",up_Irr!AD17&lt;&gt;".",up_Irr!BC17&lt;&gt;"."),up_dir!F17/((1/1000)*(up_Irr!AD17+up_Irr!BC17)),IF(AND(up_Irr!E17=".",up_Irr!AD17=".",up_Irr!BC17&lt;&gt;"."),up_dir!F17/((1/1000)*(up_Irr!BC17)),IF(AND(up_Irr!E17=".",up_Irr!AD17&lt;&gt;".",up_Irr!BC17="."),up_dir!F17/((1/1000)*(up_Irr!AD17)),IF(AND(up_Irr!E17&lt;&gt;".",up_Irr!AD17=".",up_Irr!BC17="."),up_dir!F17/((1/1000)*(up_Irr!E17)),IF(AND(up_Irr!E17=".",up_Irr!AD17=".",up_Irr!BC17="."),up_dir!F17*1000)))))))),".")</f>
        <v>6.5773651144152123E-11</v>
      </c>
      <c r="G17" s="76">
        <f>IFERROR(IF(AND(up_Irr!F17&lt;&gt;".",up_Irr!AE17&lt;&gt;".",up_Irr!BD17&lt;&gt;"."),up_dir!G17/((1/1000)*(up_Irr!F17+up_Irr!AE17+up_Irr!BD17)),IF(AND(up_Irr!F17&lt;&gt;".",up_Irr!AE17&lt;&gt;".",up_Irr!BD17="."),up_dir!G17/((1/1000)*(up_Irr!F17+up_Irr!AE17)),IF(AND(up_Irr!F17&lt;&gt;".",up_Irr!AE17=".",up_Irr!BD17&lt;&gt;"."),up_dir!G17/((1/1000)*(up_Irr!F17+up_Irr!BD17)),IF(AND(up_Irr!F17=".",up_Irr!AE17&lt;&gt;".",up_Irr!BD17&lt;&gt;"."),up_dir!G17/((1/1000)*(up_Irr!AE17+up_Irr!BD17)),IF(AND(up_Irr!F17=".",up_Irr!AE17=".",up_Irr!BD17&lt;&gt;"."),up_dir!G17/((1/1000)*(up_Irr!BD17)),IF(AND(up_Irr!F17=".",up_Irr!AE17&lt;&gt;".",up_Irr!BD17="."),up_dir!G17/((1/1000)*(up_Irr!AE17)),IF(AND(up_Irr!F17&lt;&gt;".",up_Irr!AE17=".",up_Irr!BD17="."),up_dir!G17/((1/1000)*(up_Irr!F17)),IF(AND(up_Irr!F17=".",up_Irr!AE17=".",up_Irr!BD17="."),up_dir!G17*1000)))))))),".")</f>
        <v>6.5773651144152123E-11</v>
      </c>
      <c r="H17" s="76">
        <f>IFERROR(IF(AND(up_Irr!G17&lt;&gt;".",up_Irr!AF17&lt;&gt;".",up_Irr!BE17&lt;&gt;"."),up_dir!H17/((1/1000)*(up_Irr!G17+up_Irr!AF17+up_Irr!BE17)),IF(AND(up_Irr!G17&lt;&gt;".",up_Irr!AF17&lt;&gt;".",up_Irr!BE17="."),up_dir!H17/((1/1000)*(up_Irr!G17+up_Irr!AF17)),IF(AND(up_Irr!G17&lt;&gt;".",up_Irr!AF17=".",up_Irr!BE17&lt;&gt;"."),up_dir!H17/((1/1000)*(up_Irr!G17+up_Irr!BE17)),IF(AND(up_Irr!G17=".",up_Irr!AF17&lt;&gt;".",up_Irr!BE17&lt;&gt;"."),up_dir!H17/((1/1000)*(up_Irr!AF17+up_Irr!BE17)),IF(AND(up_Irr!G17=".",up_Irr!AF17=".",up_Irr!BE17&lt;&gt;"."),up_dir!H17/((1/1000)*(up_Irr!BE17)),IF(AND(up_Irr!G17=".",up_Irr!AF17&lt;&gt;".",up_Irr!BE17="."),up_dir!H17/((1/1000)*(up_Irr!AF17)),IF(AND(up_Irr!G17&lt;&gt;".",up_Irr!AF17=".",up_Irr!BE17="."),up_dir!H17/((1/1000)*(up_Irr!G17)),IF(AND(up_Irr!G17=".",up_Irr!AF17=".",up_Irr!BE17="."),up_dir!H17*1000)))))))),".")</f>
        <v>6.5773651144152123E-11</v>
      </c>
      <c r="I17" s="76">
        <f>IFERROR(IF(AND(up_Irr!H17&lt;&gt;".",up_Irr!AG17&lt;&gt;".",up_Irr!BF17&lt;&gt;"."),up_dir!I17/((1/1000)*(up_Irr!H17+up_Irr!AG17+up_Irr!BF17)),IF(AND(up_Irr!H17&lt;&gt;".",up_Irr!AG17&lt;&gt;".",up_Irr!BF17="."),up_dir!I17/((1/1000)*(up_Irr!H17+up_Irr!AG17)),IF(AND(up_Irr!H17&lt;&gt;".",up_Irr!AG17=".",up_Irr!BF17&lt;&gt;"."),up_dir!I17/((1/1000)*(up_Irr!H17+up_Irr!BF17)),IF(AND(up_Irr!H17=".",up_Irr!AG17&lt;&gt;".",up_Irr!BF17&lt;&gt;"."),up_dir!I17/((1/1000)*(up_Irr!AG17+up_Irr!BF17)),IF(AND(up_Irr!H17=".",up_Irr!AG17=".",up_Irr!BF17&lt;&gt;"."),up_dir!I17/((1/1000)*(up_Irr!BF17)),IF(AND(up_Irr!H17=".",up_Irr!AG17&lt;&gt;".",up_Irr!BF17="."),up_dir!I17/((1/1000)*(up_Irr!AG17)),IF(AND(up_Irr!H17&lt;&gt;".",up_Irr!AG17=".",up_Irr!BF17="."),up_dir!I17/((1/1000)*(up_Irr!H17)),IF(AND(up_Irr!H17=".",up_Irr!AG17=".",up_Irr!BF17="."),up_dir!I17*1000)))))))),".")</f>
        <v>6.5773651144152123E-11</v>
      </c>
      <c r="J17" s="76">
        <f>IFERROR(IF(AND(up_Irr!I17&lt;&gt;".",up_Irr!AH17&lt;&gt;".",up_Irr!BG17&lt;&gt;"."),up_dir!J17/((1/1000)*(up_Irr!I17+up_Irr!AH17+up_Irr!BG17)),IF(AND(up_Irr!I17&lt;&gt;".",up_Irr!AH17&lt;&gt;".",up_Irr!BG17="."),up_dir!J17/((1/1000)*(up_Irr!I17+up_Irr!AH17)),IF(AND(up_Irr!I17&lt;&gt;".",up_Irr!AH17=".",up_Irr!BG17&lt;&gt;"."),up_dir!J17/((1/1000)*(up_Irr!I17+up_Irr!BG17)),IF(AND(up_Irr!I17=".",up_Irr!AH17&lt;&gt;".",up_Irr!BG17&lt;&gt;"."),up_dir!J17/((1/1000)*(up_Irr!AH17+up_Irr!BG17)),IF(AND(up_Irr!I17=".",up_Irr!AH17=".",up_Irr!BG17&lt;&gt;"."),up_dir!J17/((1/1000)*(up_Irr!BG17)),IF(AND(up_Irr!I17=".",up_Irr!AH17&lt;&gt;".",up_Irr!BG17="."),up_dir!J17/((1/1000)*(up_Irr!AH17)),IF(AND(up_Irr!I17&lt;&gt;".",up_Irr!AH17=".",up_Irr!BG17="."),up_dir!J17/((1/1000)*(up_Irr!I17)),IF(AND(up_Irr!I17=".",up_Irr!AH17=".",up_Irr!BG17="."),up_dir!J17*1000)))))))),".")</f>
        <v>6.5773651144152123E-11</v>
      </c>
      <c r="K17" s="76">
        <f>IFERROR(IF(AND(up_Irr!J17&lt;&gt;".",up_Irr!AI17&lt;&gt;".",up_Irr!BH17&lt;&gt;"."),up_dir!K17/((1/1000)*(up_Irr!J17+up_Irr!AI17+up_Irr!BH17)),IF(AND(up_Irr!J17&lt;&gt;".",up_Irr!AI17&lt;&gt;".",up_Irr!BH17="."),up_dir!K17/((1/1000)*(up_Irr!J17+up_Irr!AI17)),IF(AND(up_Irr!J17&lt;&gt;".",up_Irr!AI17=".",up_Irr!BH17&lt;&gt;"."),up_dir!K17/((1/1000)*(up_Irr!J17+up_Irr!BH17)),IF(AND(up_Irr!J17=".",up_Irr!AI17&lt;&gt;".",up_Irr!BH17&lt;&gt;"."),up_dir!K17/((1/1000)*(up_Irr!AI17+up_Irr!BH17)),IF(AND(up_Irr!J17=".",up_Irr!AI17=".",up_Irr!BH17&lt;&gt;"."),up_dir!K17/((1/1000)*(up_Irr!BH17)),IF(AND(up_Irr!J17=".",up_Irr!AI17&lt;&gt;".",up_Irr!BH17="."),up_dir!K17/((1/1000)*(up_Irr!AI17)),IF(AND(up_Irr!J17&lt;&gt;".",up_Irr!AI17=".",up_Irr!BH17="."),up_dir!K17/((1/1000)*(up_Irr!J17)),IF(AND(up_Irr!J17=".",up_Irr!AI17=".",up_Irr!BH17="."),up_dir!K17*1000)))))))),".")</f>
        <v>6.5773651144152123E-11</v>
      </c>
      <c r="L17" s="76">
        <f>IFERROR(IF(AND(up_Irr!K17&lt;&gt;".",up_Irr!AJ17&lt;&gt;".",up_Irr!BI17&lt;&gt;"."),up_dir!L17/((1/1000)*(up_Irr!K17+up_Irr!AJ17+up_Irr!BI17)),IF(AND(up_Irr!K17&lt;&gt;".",up_Irr!AJ17&lt;&gt;".",up_Irr!BI17="."),up_dir!L17/((1/1000)*(up_Irr!K17+up_Irr!AJ17)),IF(AND(up_Irr!K17&lt;&gt;".",up_Irr!AJ17=".",up_Irr!BI17&lt;&gt;"."),up_dir!L17/((1/1000)*(up_Irr!K17+up_Irr!BI17)),IF(AND(up_Irr!K17=".",up_Irr!AJ17&lt;&gt;".",up_Irr!BI17&lt;&gt;"."),up_dir!L17/((1/1000)*(up_Irr!AJ17+up_Irr!BI17)),IF(AND(up_Irr!K17=".",up_Irr!AJ17=".",up_Irr!BI17&lt;&gt;"."),up_dir!L17/((1/1000)*(up_Irr!BI17)),IF(AND(up_Irr!K17=".",up_Irr!AJ17&lt;&gt;".",up_Irr!BI17="."),up_dir!L17/((1/1000)*(up_Irr!AJ17)),IF(AND(up_Irr!K17&lt;&gt;".",up_Irr!AJ17=".",up_Irr!BI17="."),up_dir!L17/((1/1000)*(up_Irr!K17)),IF(AND(up_Irr!K17=".",up_Irr!AJ17=".",up_Irr!BI17="."),up_dir!L17*1000)))))))),".")</f>
        <v>6.5773651144152123E-11</v>
      </c>
      <c r="M17" s="76">
        <f>IFERROR(IF(AND(up_Irr!L17&lt;&gt;".",up_Irr!AK17&lt;&gt;".",up_Irr!BJ17&lt;&gt;"."),up_dir!M17/((1/1000)*(up_Irr!L17+up_Irr!AK17+up_Irr!BJ17)),IF(AND(up_Irr!L17&lt;&gt;".",up_Irr!AK17&lt;&gt;".",up_Irr!BJ17="."),up_dir!M17/((1/1000)*(up_Irr!L17+up_Irr!AK17)),IF(AND(up_Irr!L17&lt;&gt;".",up_Irr!AK17=".",up_Irr!BJ17&lt;&gt;"."),up_dir!M17/((1/1000)*(up_Irr!L17+up_Irr!BJ17)),IF(AND(up_Irr!L17=".",up_Irr!AK17&lt;&gt;".",up_Irr!BJ17&lt;&gt;"."),up_dir!M17/((1/1000)*(up_Irr!AK17+up_Irr!BJ17)),IF(AND(up_Irr!L17=".",up_Irr!AK17=".",up_Irr!BJ17&lt;&gt;"."),up_dir!M17/((1/1000)*(up_Irr!BJ17)),IF(AND(up_Irr!L17=".",up_Irr!AK17&lt;&gt;".",up_Irr!BJ17="."),up_dir!M17/((1/1000)*(up_Irr!AK17)),IF(AND(up_Irr!L17&lt;&gt;".",up_Irr!AK17=".",up_Irr!BJ17="."),up_dir!M17/((1/1000)*(up_Irr!L17)),IF(AND(up_Irr!L17=".",up_Irr!AK17=".",up_Irr!BJ17="."),up_dir!M17*1000)))))))),".")</f>
        <v>6.5773651144152123E-11</v>
      </c>
      <c r="N17" s="76">
        <f>IFERROR(IF(AND(up_Irr!M17&lt;&gt;".",up_Irr!AL17&lt;&gt;".",up_Irr!BK17&lt;&gt;"."),up_dir!N17/((1/1000)*(up_Irr!M17+up_Irr!AL17+up_Irr!BK17)),IF(AND(up_Irr!M17&lt;&gt;".",up_Irr!AL17&lt;&gt;".",up_Irr!BK17="."),up_dir!N17/((1/1000)*(up_Irr!M17+up_Irr!AL17)),IF(AND(up_Irr!M17&lt;&gt;".",up_Irr!AL17=".",up_Irr!BK17&lt;&gt;"."),up_dir!N17/((1/1000)*(up_Irr!M17+up_Irr!BK17)),IF(AND(up_Irr!M17=".",up_Irr!AL17&lt;&gt;".",up_Irr!BK17&lt;&gt;"."),up_dir!N17/((1/1000)*(up_Irr!AL17+up_Irr!BK17)),IF(AND(up_Irr!M17=".",up_Irr!AL17=".",up_Irr!BK17&lt;&gt;"."),up_dir!N17/((1/1000)*(up_Irr!BK17)),IF(AND(up_Irr!M17=".",up_Irr!AL17&lt;&gt;".",up_Irr!BK17="."),up_dir!N17/((1/1000)*(up_Irr!AL17)),IF(AND(up_Irr!M17&lt;&gt;".",up_Irr!AL17=".",up_Irr!BK17="."),up_dir!N17/((1/1000)*(up_Irr!M17)),IF(AND(up_Irr!M17=".",up_Irr!AL17=".",up_Irr!BK17="."),up_dir!N17*1000)))))))),".")</f>
        <v>6.5773651144152123E-11</v>
      </c>
      <c r="O17" s="76">
        <f>IFERROR(IF(AND(up_Irr!N17&lt;&gt;".",up_Irr!AM17&lt;&gt;".",up_Irr!BL17&lt;&gt;"."),up_dir!O17/((1/1000)*(up_Irr!N17+up_Irr!AM17+up_Irr!BL17)),IF(AND(up_Irr!N17&lt;&gt;".",up_Irr!AM17&lt;&gt;".",up_Irr!BL17="."),up_dir!O17/((1/1000)*(up_Irr!N17+up_Irr!AM17)),IF(AND(up_Irr!N17&lt;&gt;".",up_Irr!AM17=".",up_Irr!BL17&lt;&gt;"."),up_dir!O17/((1/1000)*(up_Irr!N17+up_Irr!BL17)),IF(AND(up_Irr!N17=".",up_Irr!AM17&lt;&gt;".",up_Irr!BL17&lt;&gt;"."),up_dir!O17/((1/1000)*(up_Irr!AM17+up_Irr!BL17)),IF(AND(up_Irr!N17=".",up_Irr!AM17=".",up_Irr!BL17&lt;&gt;"."),up_dir!O17/((1/1000)*(up_Irr!BL17)),IF(AND(up_Irr!N17=".",up_Irr!AM17&lt;&gt;".",up_Irr!BL17="."),up_dir!O17/((1/1000)*(up_Irr!AM17)),IF(AND(up_Irr!N17&lt;&gt;".",up_Irr!AM17=".",up_Irr!BL17="."),up_dir!O17/((1/1000)*(up_Irr!N17)),IF(AND(up_Irr!N17=".",up_Irr!AM17=".",up_Irr!BL17="."),up_dir!O17*1000)))))))),".")</f>
        <v>6.5773651144152123E-11</v>
      </c>
      <c r="P17" s="76">
        <f>IFERROR(IF(AND(up_Irr!O17&lt;&gt;".",up_Irr!AN17&lt;&gt;".",up_Irr!BM17&lt;&gt;"."),up_dir!P17/((1/1000)*(up_Irr!O17+up_Irr!AN17+up_Irr!BM17)),IF(AND(up_Irr!O17&lt;&gt;".",up_Irr!AN17&lt;&gt;".",up_Irr!BM17="."),up_dir!P17/((1/1000)*(up_Irr!O17+up_Irr!AN17)),IF(AND(up_Irr!O17&lt;&gt;".",up_Irr!AN17=".",up_Irr!BM17&lt;&gt;"."),up_dir!P17/((1/1000)*(up_Irr!O17+up_Irr!BM17)),IF(AND(up_Irr!O17=".",up_Irr!AN17&lt;&gt;".",up_Irr!BM17&lt;&gt;"."),up_dir!P17/((1/1000)*(up_Irr!AN17+up_Irr!BM17)),IF(AND(up_Irr!O17=".",up_Irr!AN17=".",up_Irr!BM17&lt;&gt;"."),up_dir!P17/((1/1000)*(up_Irr!BM17)),IF(AND(up_Irr!O17=".",up_Irr!AN17&lt;&gt;".",up_Irr!BM17="."),up_dir!P17/((1/1000)*(up_Irr!AN17)),IF(AND(up_Irr!O17&lt;&gt;".",up_Irr!AN17=".",up_Irr!BM17="."),up_dir!P17/((1/1000)*(up_Irr!O17)),IF(AND(up_Irr!O17=".",up_Irr!AN17=".",up_Irr!BM17="."),up_dir!P17*1000)))))))),".")</f>
        <v>6.5773651144152123E-11</v>
      </c>
      <c r="Q17" s="76">
        <f>IFERROR(IF(AND(up_Irr!P17&lt;&gt;".",up_Irr!AO17&lt;&gt;".",up_Irr!BN17&lt;&gt;"."),up_dir!Q17/((1/1000)*(up_Irr!P17+up_Irr!AO17+up_Irr!BN17)),IF(AND(up_Irr!P17&lt;&gt;".",up_Irr!AO17&lt;&gt;".",up_Irr!BN17="."),up_dir!Q17/((1/1000)*(up_Irr!P17+up_Irr!AO17)),IF(AND(up_Irr!P17&lt;&gt;".",up_Irr!AO17=".",up_Irr!BN17&lt;&gt;"."),up_dir!Q17/((1/1000)*(up_Irr!P17+up_Irr!BN17)),IF(AND(up_Irr!P17=".",up_Irr!AO17&lt;&gt;".",up_Irr!BN17&lt;&gt;"."),up_dir!Q17/((1/1000)*(up_Irr!AO17+up_Irr!BN17)),IF(AND(up_Irr!P17=".",up_Irr!AO17=".",up_Irr!BN17&lt;&gt;"."),up_dir!Q17/((1/1000)*(up_Irr!BN17)),IF(AND(up_Irr!P17=".",up_Irr!AO17&lt;&gt;".",up_Irr!BN17="."),up_dir!Q17/((1/1000)*(up_Irr!AO17)),IF(AND(up_Irr!P17&lt;&gt;".",up_Irr!AO17=".",up_Irr!BN17="."),up_dir!Q17/((1/1000)*(up_Irr!P17)),IF(AND(up_Irr!P17=".",up_Irr!AO17=".",up_Irr!BN17="."),up_dir!Q17*1000)))))))),".")</f>
        <v>6.5773651144152123E-11</v>
      </c>
      <c r="R17" s="76">
        <f>IFERROR(IF(AND(up_Irr!Q17&lt;&gt;".",up_Irr!AP17&lt;&gt;".",up_Irr!BO17&lt;&gt;"."),up_dir!R17/((1/1000)*(up_Irr!Q17+up_Irr!AP17+up_Irr!BO17)),IF(AND(up_Irr!Q17&lt;&gt;".",up_Irr!AP17&lt;&gt;".",up_Irr!BO17="."),up_dir!R17/((1/1000)*(up_Irr!Q17+up_Irr!AP17)),IF(AND(up_Irr!Q17&lt;&gt;".",up_Irr!AP17=".",up_Irr!BO17&lt;&gt;"."),up_dir!R17/((1/1000)*(up_Irr!Q17+up_Irr!BO17)),IF(AND(up_Irr!Q17=".",up_Irr!AP17&lt;&gt;".",up_Irr!BO17&lt;&gt;"."),up_dir!R17/((1/1000)*(up_Irr!AP17+up_Irr!BO17)),IF(AND(up_Irr!Q17=".",up_Irr!AP17=".",up_Irr!BO17&lt;&gt;"."),up_dir!R17/((1/1000)*(up_Irr!BO17)),IF(AND(up_Irr!Q17=".",up_Irr!AP17&lt;&gt;".",up_Irr!BO17="."),up_dir!R17/((1/1000)*(up_Irr!AP17)),IF(AND(up_Irr!Q17&lt;&gt;".",up_Irr!AP17=".",up_Irr!BO17="."),up_dir!R17/((1/1000)*(up_Irr!Q17)),IF(AND(up_Irr!Q17=".",up_Irr!AP17=".",up_Irr!BO17="."),up_dir!R17*1000)))))))),".")</f>
        <v>6.5773651144152123E-11</v>
      </c>
      <c r="S17" s="76">
        <f>IFERROR(IF(AND(up_Irr!R17&lt;&gt;".",up_Irr!AQ17&lt;&gt;".",up_Irr!BP17&lt;&gt;"."),up_dir!S17/((1/1000)*(up_Irr!R17+up_Irr!AQ17+up_Irr!BP17)),IF(AND(up_Irr!R17&lt;&gt;".",up_Irr!AQ17&lt;&gt;".",up_Irr!BP17="."),up_dir!S17/((1/1000)*(up_Irr!R17+up_Irr!AQ17)),IF(AND(up_Irr!R17&lt;&gt;".",up_Irr!AQ17=".",up_Irr!BP17&lt;&gt;"."),up_dir!S17/((1/1000)*(up_Irr!R17+up_Irr!BP17)),IF(AND(up_Irr!R17=".",up_Irr!AQ17&lt;&gt;".",up_Irr!BP17&lt;&gt;"."),up_dir!S17/((1/1000)*(up_Irr!AQ17+up_Irr!BP17)),IF(AND(up_Irr!R17=".",up_Irr!AQ17=".",up_Irr!BP17&lt;&gt;"."),up_dir!S17/((1/1000)*(up_Irr!BP17)),IF(AND(up_Irr!R17=".",up_Irr!AQ17&lt;&gt;".",up_Irr!BP17="."),up_dir!S17/((1/1000)*(up_Irr!AQ17)),IF(AND(up_Irr!R17&lt;&gt;".",up_Irr!AQ17=".",up_Irr!BP17="."),up_dir!S17/((1/1000)*(up_Irr!R17)),IF(AND(up_Irr!R17=".",up_Irr!AQ17=".",up_Irr!BP17="."),up_dir!S17*1000)))))))),".")</f>
        <v>6.5773651144152123E-11</v>
      </c>
      <c r="T17" s="76">
        <f>IFERROR(IF(AND(up_Irr!S17&lt;&gt;".",up_Irr!AR17&lt;&gt;".",up_Irr!BQ17&lt;&gt;"."),up_dir!T17/((1/1000)*(up_Irr!S17+up_Irr!AR17+up_Irr!BQ17)),IF(AND(up_Irr!S17&lt;&gt;".",up_Irr!AR17&lt;&gt;".",up_Irr!BQ17="."),up_dir!T17/((1/1000)*(up_Irr!S17+up_Irr!AR17)),IF(AND(up_Irr!S17&lt;&gt;".",up_Irr!AR17=".",up_Irr!BQ17&lt;&gt;"."),up_dir!T17/((1/1000)*(up_Irr!S17+up_Irr!BQ17)),IF(AND(up_Irr!S17=".",up_Irr!AR17&lt;&gt;".",up_Irr!BQ17&lt;&gt;"."),up_dir!T17/((1/1000)*(up_Irr!AR17+up_Irr!BQ17)),IF(AND(up_Irr!S17=".",up_Irr!AR17=".",up_Irr!BQ17&lt;&gt;"."),up_dir!T17/((1/1000)*(up_Irr!BQ17)),IF(AND(up_Irr!S17=".",up_Irr!AR17&lt;&gt;".",up_Irr!BQ17="."),up_dir!T17/((1/1000)*(up_Irr!AR17)),IF(AND(up_Irr!S17&lt;&gt;".",up_Irr!AR17=".",up_Irr!BQ17="."),up_dir!T17/((1/1000)*(up_Irr!S17)),IF(AND(up_Irr!S17=".",up_Irr!AR17=".",up_Irr!BQ17="."),up_dir!T17*1000)))))))),".")</f>
        <v>6.5773651144152123E-11</v>
      </c>
      <c r="U17" s="76">
        <f>IFERROR(IF(AND(up_Irr!T17&lt;&gt;".",up_Irr!AS17&lt;&gt;".",up_Irr!BR17&lt;&gt;"."),up_dir!U17/((1/1000)*(up_Irr!T17+up_Irr!AS17+up_Irr!BR17)),IF(AND(up_Irr!T17&lt;&gt;".",up_Irr!AS17&lt;&gt;".",up_Irr!BR17="."),up_dir!U17/((1/1000)*(up_Irr!T17+up_Irr!AS17)),IF(AND(up_Irr!T17&lt;&gt;".",up_Irr!AS17=".",up_Irr!BR17&lt;&gt;"."),up_dir!U17/((1/1000)*(up_Irr!T17+up_Irr!BR17)),IF(AND(up_Irr!T17=".",up_Irr!AS17&lt;&gt;".",up_Irr!BR17&lt;&gt;"."),up_dir!U17/((1/1000)*(up_Irr!AS17+up_Irr!BR17)),IF(AND(up_Irr!T17=".",up_Irr!AS17=".",up_Irr!BR17&lt;&gt;"."),up_dir!U17/((1/1000)*(up_Irr!BR17)),IF(AND(up_Irr!T17=".",up_Irr!AS17&lt;&gt;".",up_Irr!BR17="."),up_dir!U17/((1/1000)*(up_Irr!AS17)),IF(AND(up_Irr!T17&lt;&gt;".",up_Irr!AS17=".",up_Irr!BR17="."),up_dir!U17/((1/1000)*(up_Irr!T17)),IF(AND(up_Irr!T17=".",up_Irr!AS17=".",up_Irr!BR17="."),up_dir!U17*1000)))))))),".")</f>
        <v>6.5773651144152123E-11</v>
      </c>
      <c r="V17" s="76">
        <f>IFERROR(IF(AND(up_Irr!U17&lt;&gt;".",up_Irr!AT17&lt;&gt;".",up_Irr!BS17&lt;&gt;"."),up_dir!V17/((1/1000)*(up_Irr!U17+up_Irr!AT17+up_Irr!BS17)),IF(AND(up_Irr!U17&lt;&gt;".",up_Irr!AT17&lt;&gt;".",up_Irr!BS17="."),up_dir!V17/((1/1000)*(up_Irr!U17+up_Irr!AT17)),IF(AND(up_Irr!U17&lt;&gt;".",up_Irr!AT17=".",up_Irr!BS17&lt;&gt;"."),up_dir!V17/((1/1000)*(up_Irr!U17+up_Irr!BS17)),IF(AND(up_Irr!U17=".",up_Irr!AT17&lt;&gt;".",up_Irr!BS17&lt;&gt;"."),up_dir!V17/((1/1000)*(up_Irr!AT17+up_Irr!BS17)),IF(AND(up_Irr!U17=".",up_Irr!AT17=".",up_Irr!BS17&lt;&gt;"."),up_dir!V17/((1/1000)*(up_Irr!BS17)),IF(AND(up_Irr!U17=".",up_Irr!AT17&lt;&gt;".",up_Irr!BS17="."),up_dir!V17/((1/1000)*(up_Irr!AT17)),IF(AND(up_Irr!U17&lt;&gt;".",up_Irr!AT17=".",up_Irr!BS17="."),up_dir!V17/((1/1000)*(up_Irr!U17)),IF(AND(up_Irr!U17=".",up_Irr!AT17=".",up_Irr!BS17="."),up_dir!V17*1000)))))))),".")</f>
        <v>6.5773651144152123E-11</v>
      </c>
      <c r="W17" s="76">
        <f>IFERROR(IF(AND(up_Irr!V17&lt;&gt;".",up_Irr!AU17&lt;&gt;".",up_Irr!BT17&lt;&gt;"."),up_dir!W17/((1/1000)*(up_Irr!V17+up_Irr!AU17+up_Irr!BT17)),IF(AND(up_Irr!V17&lt;&gt;".",up_Irr!AU17&lt;&gt;".",up_Irr!BT17="."),up_dir!W17/((1/1000)*(up_Irr!V17+up_Irr!AU17)),IF(AND(up_Irr!V17&lt;&gt;".",up_Irr!AU17=".",up_Irr!BT17&lt;&gt;"."),up_dir!W17/((1/1000)*(up_Irr!V17+up_Irr!BT17)),IF(AND(up_Irr!V17=".",up_Irr!AU17&lt;&gt;".",up_Irr!BT17&lt;&gt;"."),up_dir!W17/((1/1000)*(up_Irr!AU17+up_Irr!BT17)),IF(AND(up_Irr!V17=".",up_Irr!AU17=".",up_Irr!BT17&lt;&gt;"."),up_dir!W17/((1/1000)*(up_Irr!BT17)),IF(AND(up_Irr!V17=".",up_Irr!AU17&lt;&gt;".",up_Irr!BT17="."),up_dir!W17/((1/1000)*(up_Irr!AU17)),IF(AND(up_Irr!V17&lt;&gt;".",up_Irr!AU17=".",up_Irr!BT17="."),up_dir!W17/((1/1000)*(up_Irr!V17)),IF(AND(up_Irr!V17=".",up_Irr!AU17=".",up_Irr!BT17="."),up_dir!W17*1000)))))))),".")</f>
        <v>6.5773651144152123E-11</v>
      </c>
      <c r="X17" s="76">
        <f>IFERROR(IF(AND(up_Irr!W17&lt;&gt;".",up_Irr!AV17&lt;&gt;".",up_Irr!BU17&lt;&gt;"."),up_dir!X17/((1/1000)*(up_Irr!W17+up_Irr!AV17+up_Irr!BU17)),IF(AND(up_Irr!W17&lt;&gt;".",up_Irr!AV17&lt;&gt;".",up_Irr!BU17="."),up_dir!X17/((1/1000)*(up_Irr!W17+up_Irr!AV17)),IF(AND(up_Irr!W17&lt;&gt;".",up_Irr!AV17=".",up_Irr!BU17&lt;&gt;"."),up_dir!X17/((1/1000)*(up_Irr!W17+up_Irr!BU17)),IF(AND(up_Irr!W17=".",up_Irr!AV17&lt;&gt;".",up_Irr!BU17&lt;&gt;"."),up_dir!X17/((1/1000)*(up_Irr!AV17+up_Irr!BU17)),IF(AND(up_Irr!W17=".",up_Irr!AV17=".",up_Irr!BU17&lt;&gt;"."),up_dir!X17/((1/1000)*(up_Irr!BU17)),IF(AND(up_Irr!W17=".",up_Irr!AV17&lt;&gt;".",up_Irr!BU17="."),up_dir!X17/((1/1000)*(up_Irr!AV17)),IF(AND(up_Irr!W17&lt;&gt;".",up_Irr!AV17=".",up_Irr!BU17="."),up_dir!X17/((1/1000)*(up_Irr!W17)),IF(AND(up_Irr!W17=".",up_Irr!AV17=".",up_Irr!BU17="."),up_dir!X17*1000)))))))),".")</f>
        <v>6.5773651144152123E-11</v>
      </c>
      <c r="Y17" s="76">
        <f>IFERROR(IF(AND(up_Irr!X17&lt;&gt;".",up_Irr!AW17&lt;&gt;".",up_Irr!BV17&lt;&gt;"."),up_dir!Y17/((1/1000)*(up_Irr!X17+up_Irr!AW17+up_Irr!BV17)),IF(AND(up_Irr!X17&lt;&gt;".",up_Irr!AW17&lt;&gt;".",up_Irr!BV17="."),up_dir!Y17/((1/1000)*(up_Irr!X17+up_Irr!AW17)),IF(AND(up_Irr!X17&lt;&gt;".",up_Irr!AW17=".",up_Irr!BV17&lt;&gt;"."),up_dir!Y17/((1/1000)*(up_Irr!X17+up_Irr!BV17)),IF(AND(up_Irr!X17=".",up_Irr!AW17&lt;&gt;".",up_Irr!BV17&lt;&gt;"."),up_dir!Y17/((1/1000)*(up_Irr!AW17+up_Irr!BV17)),IF(AND(up_Irr!X17=".",up_Irr!AW17=".",up_Irr!BV17&lt;&gt;"."),up_dir!Y17/((1/1000)*(up_Irr!BV17)),IF(AND(up_Irr!X17=".",up_Irr!AW17&lt;&gt;".",up_Irr!BV17="."),up_dir!Y17/((1/1000)*(up_Irr!AW17)),IF(AND(up_Irr!X17&lt;&gt;".",up_Irr!AW17=".",up_Irr!BV17="."),up_dir!Y17/((1/1000)*(up_Irr!X17)),IF(AND(up_Irr!X17=".",up_Irr!AW17=".",up_Irr!BV17="."),up_dir!Y17*1000)))))))),".")</f>
        <v>6.5773651144152123E-11</v>
      </c>
      <c r="Z17" s="76">
        <f>IFERROR(IF(AND(up_Irr!Y17&lt;&gt;".",up_Irr!AX17&lt;&gt;".",up_Irr!BW17&lt;&gt;"."),up_dir!Z17/((1/1000)*(up_Irr!Y17+up_Irr!AX17+up_Irr!BW17)),IF(AND(up_Irr!Y17&lt;&gt;".",up_Irr!AX17&lt;&gt;".",up_Irr!BW17="."),up_dir!Z17/((1/1000)*(up_Irr!Y17+up_Irr!AX17)),IF(AND(up_Irr!Y17&lt;&gt;".",up_Irr!AX17=".",up_Irr!BW17&lt;&gt;"."),up_dir!Z17/((1/1000)*(up_Irr!Y17+up_Irr!BW17)),IF(AND(up_Irr!Y17=".",up_Irr!AX17&lt;&gt;".",up_Irr!BW17&lt;&gt;"."),up_dir!Z17/((1/1000)*(up_Irr!AX17+up_Irr!BW17)),IF(AND(up_Irr!Y17=".",up_Irr!AX17=".",up_Irr!BW17&lt;&gt;"."),up_dir!Z17/((1/1000)*(up_Irr!BW17)),IF(AND(up_Irr!Y17=".",up_Irr!AX17&lt;&gt;".",up_Irr!BW17="."),up_dir!Z17/((1/1000)*(up_Irr!AX17)),IF(AND(up_Irr!Y17&lt;&gt;".",up_Irr!AX17=".",up_Irr!BW17="."),up_dir!Z17/((1/1000)*(up_Irr!Y17)),IF(AND(up_Irr!Y17=".",up_Irr!AX17=".",up_Irr!BW17="."),up_dir!Z17*1000)))))))),".")</f>
        <v>6.5773651144152123E-11</v>
      </c>
      <c r="AA17" s="76">
        <f>IFERROR(IF(AND(up_Irr!Z17&lt;&gt;".",up_Irr!AY17&lt;&gt;".",up_Irr!BX17&lt;&gt;"."),up_dir!AA17/((1/1000)*(up_Irr!Z17+up_Irr!AY17+up_Irr!BX17)),IF(AND(up_Irr!Z17&lt;&gt;".",up_Irr!AY17&lt;&gt;".",up_Irr!BX17="."),up_dir!AA17/((1/1000)*(up_Irr!Z17+up_Irr!AY17)),IF(AND(up_Irr!Z17&lt;&gt;".",up_Irr!AY17=".",up_Irr!BX17&lt;&gt;"."),up_dir!AA17/((1/1000)*(up_Irr!Z17+up_Irr!BX17)),IF(AND(up_Irr!Z17=".",up_Irr!AY17&lt;&gt;".",up_Irr!BX17&lt;&gt;"."),up_dir!AA17/((1/1000)*(up_Irr!AY17+up_Irr!BX17)),IF(AND(up_Irr!Z17=".",up_Irr!AY17=".",up_Irr!BX17&lt;&gt;"."),up_dir!AA17/((1/1000)*(up_Irr!BX17)),IF(AND(up_Irr!Z17=".",up_Irr!AY17&lt;&gt;".",up_Irr!BX17="."),up_dir!AA17/((1/1000)*(up_Irr!AY17)),IF(AND(up_Irr!Z17&lt;&gt;".",up_Irr!AY17=".",up_Irr!BX17="."),up_dir!AA17/((1/1000)*(up_Irr!Z17)),IF(AND(up_Irr!Z17=".",up_Irr!AY17=".",up_Irr!BX17="."),up_dir!AA17*1000)))))))),".")</f>
        <v>6.5773651144152123E-11</v>
      </c>
      <c r="AB17" s="76">
        <f>IFERROR(IF(AND(up_Irr!AA17&lt;&gt;".",up_Irr!AZ17&lt;&gt;".",up_Irr!BY17&lt;&gt;"."),up_dir!AB17/((1/1000)*(up_Irr!AA17+up_Irr!AZ17+up_Irr!BY17)),IF(AND(up_Irr!AA17&lt;&gt;".",up_Irr!AZ17&lt;&gt;".",up_Irr!BY17="."),up_dir!AB17/((1/1000)*(up_Irr!AA17+up_Irr!AZ17)),IF(AND(up_Irr!AA17&lt;&gt;".",up_Irr!AZ17=".",up_Irr!BY17&lt;&gt;"."),up_dir!AB17/((1/1000)*(up_Irr!AA17+up_Irr!BY17)),IF(AND(up_Irr!AA17=".",up_Irr!AZ17&lt;&gt;".",up_Irr!BY17&lt;&gt;"."),up_dir!AB17/((1/1000)*(up_Irr!AZ17+up_Irr!BY17)),IF(AND(up_Irr!AA17=".",up_Irr!AZ17=".",up_Irr!BY17&lt;&gt;"."),up_dir!AB17/((1/1000)*(up_Irr!BY17)),IF(AND(up_Irr!AA17=".",up_Irr!AZ17&lt;&gt;".",up_Irr!BY17="."),up_dir!AB17/((1/1000)*(up_Irr!AZ17)),IF(AND(up_Irr!AA17&lt;&gt;".",up_Irr!AZ17=".",up_Irr!BY17="."),up_dir!AB17/((1/1000)*(up_Irr!AA17)),IF(AND(up_Irr!AA17=".",up_Irr!AZ17=".",up_Irr!BY17="."),up_dir!AB17*1000)))))))),".")</f>
        <v>6.5773651144152123E-11</v>
      </c>
      <c r="AC17" s="93">
        <f t="shared" si="1"/>
        <v>608146.26076229871</v>
      </c>
      <c r="AD17" s="93">
        <f>IFERROR(s_C*s_IFAP_res_adj*s_CF_apple*0.001*(up_Irr!C17+up_Irr!AB17+up_Irr!BA17),".")</f>
        <v>152036.56519057468</v>
      </c>
      <c r="AE17" s="93">
        <f>IFERROR(s_C*s_IFAS_res_adj*s_CF_asparagus*0.001*(up_Irr!D17+up_Irr!AC17+up_Irr!BB17),".")</f>
        <v>152036.56519057468</v>
      </c>
      <c r="AF17" s="93">
        <f>IFERROR(s_C*s_IFBT_res_adj*s_CF_beet*0.001*(up_Irr!E17+up_Irr!AD17+up_Irr!BC17),".")</f>
        <v>152036.56519057468</v>
      </c>
      <c r="AG17" s="93">
        <f>IFERROR(s_C*s_IFBE_res_adj*s_CF_berries*0.001*(up_Irr!F17+up_Irr!AE17+up_Irr!BD17),".")</f>
        <v>152036.56519057468</v>
      </c>
      <c r="AH17" s="93">
        <f>IFERROR(s_C*s_IFBR_res_adj*s_CF_broccoli*0.001*(up_Irr!G17+up_Irr!AF17+up_Irr!BE17),".")</f>
        <v>152036.56519057468</v>
      </c>
      <c r="AI17" s="93">
        <f>IFERROR(s_C*s_IFCB_res_adj*s_CF_cabbage*0.001*(up_Irr!H17+up_Irr!AG17+up_Irr!BF17),".")</f>
        <v>152036.56519057468</v>
      </c>
      <c r="AJ17" s="93">
        <f>IFERROR(s_C*s_IFCR_res_adj*s_CF_carrot*0.001*(up_Irr!I17+up_Irr!AH17+up_Irr!BG17),".")</f>
        <v>152036.56519057468</v>
      </c>
      <c r="AK17" s="93">
        <f>IFERROR(s_C*s_IFCI_res_adj*s_CF_citrus*0.001*(up_Irr!J17+up_Irr!AI17+up_Irr!BH17),".")</f>
        <v>152036.56519057468</v>
      </c>
      <c r="AL17" s="93">
        <f>IFERROR(s_C*s_IFCO_res_adj*s_CF_corn*0.001*(up_Irr!K17+up_Irr!AJ17+up_Irr!BI17),".")</f>
        <v>152036.56519057468</v>
      </c>
      <c r="AM17" s="93">
        <f>IFERROR(s_C*s_IFCU_res_adj*s_CF_cucumber*0.001*(up_Irr!L17+up_Irr!AK17+up_Irr!BJ17),".")</f>
        <v>152036.56519057468</v>
      </c>
      <c r="AN17" s="93">
        <f>IFERROR(s_C*s_IFLE_res_adj*s_CF_lettuce*0.001*(up_Irr!M17+up_Irr!AL17+up_Irr!BK17),".")</f>
        <v>152036.56519057468</v>
      </c>
      <c r="AO17" s="93">
        <f>IFERROR(s_C*s_IFLI_res_adj*s_CF_lima_bean*0.001*(up_Irr!N17+up_Irr!AM17+up_Irr!BL17),".")</f>
        <v>152036.56519057468</v>
      </c>
      <c r="AP17" s="93">
        <f>IFERROR(s_C*s_IFOK_res_adj*s_CF_okra*0.001*(up_Irr!O17+up_Irr!AN17+up_Irr!BM17),".")</f>
        <v>152036.56519057468</v>
      </c>
      <c r="AQ17" s="93">
        <f>IFERROR(s_C*s_IFON_res_adj*s_CF_onion*0.001*(up_Irr!P17+up_Irr!AO17+up_Irr!BN17),".")</f>
        <v>152036.56519057468</v>
      </c>
      <c r="AR17" s="93">
        <f>IFERROR(s_C*s_IFPC_res_adj*s_CF_peach*0.001*(up_Irr!Q17+up_Irr!AP17+up_Irr!BO17),".")</f>
        <v>152036.56519057468</v>
      </c>
      <c r="AS17" s="93">
        <f>IFERROR(s_C*s_IFPR_res_adj*s_CF_pear*0.001*(up_Irr!R17+up_Irr!AQ17+up_Irr!BP17),".")</f>
        <v>152036.56519057468</v>
      </c>
      <c r="AT17" s="93">
        <f>IFERROR(s_C*s_IFPE_res_adj*s_CF_peas*0.001*(up_Irr!S17+up_Irr!AR17+up_Irr!BQ17),".")</f>
        <v>152036.56519057468</v>
      </c>
      <c r="AU17" s="93">
        <f>IFERROR(s_C*s_IFPP_res_adj*s_CF_peppers*0.001*(up_Irr!T17+up_Irr!AS17+up_Irr!BR17),".")</f>
        <v>152036.56519057468</v>
      </c>
      <c r="AV17" s="93">
        <f>IFERROR(s_C*s_IFPT_res_adj*s_CF_potato*0.001*(up_Irr!U17+up_Irr!AT17+up_Irr!BS17),".")</f>
        <v>152036.56519057468</v>
      </c>
      <c r="AW17" s="93">
        <f>IFERROR(s_C*s_IFPU_res_adj*s_CF_pumpkin*0.001*(up_Irr!V17+up_Irr!AU17+up_Irr!BT17),".")</f>
        <v>152036.56519057468</v>
      </c>
      <c r="AX17" s="93">
        <f>IFERROR(s_C*s_IFSN_res_adj*s_CF_snap_bean*0.001*(up_Irr!W17+up_Irr!AV17+up_Irr!BU17),".")</f>
        <v>152036.56519057468</v>
      </c>
      <c r="AY17" s="93">
        <f>IFERROR(s_C*s_IFST_res_adj*s_CF_strawberry*0.001*(up_Irr!X17+up_Irr!AW17+up_Irr!BV17),".")</f>
        <v>152036.56519057468</v>
      </c>
      <c r="AZ17" s="93">
        <f>IFERROR(s_C*s_IFTO_res_adj*s_CF_tomato*0.001*(up_Irr!Y17+up_Irr!AX17+up_Irr!BW17),".")</f>
        <v>152036.56519057468</v>
      </c>
      <c r="BA17" s="93">
        <f>IFERROR(s_C*s_IFRI_res_adj*s_CF_rice*0.001*(up_Irr!Z17+up_Irr!AY17+up_Irr!BX17),".")</f>
        <v>152036.56519057468</v>
      </c>
      <c r="BB17" s="93">
        <f>IFERROR(s_C*s_IFCG_res_adj*s_CF_cereal*0.001*(up_Irr!AA17+up_Irr!AZ17+up_Irr!BY17),".")</f>
        <v>152036.56519057468</v>
      </c>
      <c r="BC17" s="76">
        <f t="shared" si="2"/>
        <v>1.6443412786038031E-11</v>
      </c>
      <c r="BD17" s="76">
        <f>IFERROR(IF(AND(up_Irr!C17&lt;&gt;".",up_Irr!AB17&lt;&gt;".",up_Irr!BA17&lt;&gt;"."),up_dir!AD17/((1/1000)*(up_Irr!C17+up_Irr!AB17+up_Irr!BA17)),IF(AND(up_Irr!C17&lt;&gt;".",up_Irr!AB17&lt;&gt;".",up_Irr!BA17="."),up_dir!AD17/((1/1000)*(up_Irr!C17+up_Irr!AB17)),IF(AND(up_Irr!C17&lt;&gt;".",up_Irr!AB17=".",up_Irr!BA17&lt;&gt;"."),up_dir!AD17/((1/1000)*(up_Irr!C17+up_Irr!BA17)),IF(AND(up_Irr!C17=".",up_Irr!AB17&lt;&gt;".",up_Irr!BA17&lt;&gt;"."),up_dir!AD17/((1/1000)*(up_Irr!AB17+up_Irr!BA17)),IF(AND(up_Irr!C17=".",up_Irr!AB17=".",up_Irr!BA17&lt;&gt;"."),up_dir!AD17/((1/1000)*(up_Irr!BA17)),IF(AND(up_Irr!C17=".",up_Irr!AB17&lt;&gt;".",up_Irr!BA17="."),up_dir!AD17/((1/1000)*(up_Irr!AB17)),IF(AND(up_Irr!C17&lt;&gt;".",up_Irr!AB17=".",up_Irr!BA17="."),up_dir!AD17/((1/1000)*(up_Irr!C17)),IF(AND(up_Irr!C17=".",up_Irr!AB17=".",up_Irr!BA17="."),up_dir!AD17*1000)))))))),".")</f>
        <v>6.5773651144152123E-11</v>
      </c>
      <c r="BE17" s="76">
        <f>IFERROR(IF(AND(up_Irr!D17&lt;&gt;".",up_Irr!AC17&lt;&gt;".",up_Irr!BB17&lt;&gt;"."),up_dir!AE17/((1/1000)*(up_Irr!D17+up_Irr!AC17+up_Irr!BB17)),IF(AND(up_Irr!D17&lt;&gt;".",up_Irr!AC17&lt;&gt;".",up_Irr!BB17="."),up_dir!AE17/((1/1000)*(up_Irr!D17+up_Irr!AC17)),IF(AND(up_Irr!D17&lt;&gt;".",up_Irr!AC17=".",up_Irr!BB17&lt;&gt;"."),up_dir!AE17/((1/1000)*(up_Irr!D17+up_Irr!BB17)),IF(AND(up_Irr!D17=".",up_Irr!AC17&lt;&gt;".",up_Irr!BB17&lt;&gt;"."),up_dir!AE17/((1/1000)*(up_Irr!AC17+up_Irr!BB17)),IF(AND(up_Irr!D17=".",up_Irr!AC17=".",up_Irr!BB17&lt;&gt;"."),up_dir!AE17/((1/1000)*(up_Irr!BB17)),IF(AND(up_Irr!D17=".",up_Irr!AC17&lt;&gt;".",up_Irr!BB17="."),up_dir!AE17/((1/1000)*(up_Irr!AC17)),IF(AND(up_Irr!D17&lt;&gt;".",up_Irr!AC17=".",up_Irr!BB17="."),up_dir!AE17/((1/1000)*(up_Irr!D17)),IF(AND(up_Irr!D17=".",up_Irr!AC17=".",up_Irr!BB17="."),up_dir!AE17*1000)))))))),".")</f>
        <v>6.5773651144152123E-11</v>
      </c>
      <c r="BF17" s="76">
        <f>IFERROR(IF(AND(up_Irr!E17&lt;&gt;".",up_Irr!AD17&lt;&gt;".",up_Irr!BC17&lt;&gt;"."),up_dir!AF17/((1/1000)*(up_Irr!E17+up_Irr!AD17+up_Irr!BC17)),IF(AND(up_Irr!E17&lt;&gt;".",up_Irr!AD17&lt;&gt;".",up_Irr!BC17="."),up_dir!AF17/((1/1000)*(up_Irr!E17+up_Irr!AD17)),IF(AND(up_Irr!E17&lt;&gt;".",up_Irr!AD17=".",up_Irr!BC17&lt;&gt;"."),up_dir!AF17/((1/1000)*(up_Irr!E17+up_Irr!BC17)),IF(AND(up_Irr!E17=".",up_Irr!AD17&lt;&gt;".",up_Irr!BC17&lt;&gt;"."),up_dir!AF17/((1/1000)*(up_Irr!AD17+up_Irr!BC17)),IF(AND(up_Irr!E17=".",up_Irr!AD17=".",up_Irr!BC17&lt;&gt;"."),up_dir!AF17/((1/1000)*(up_Irr!BC17)),IF(AND(up_Irr!E17=".",up_Irr!AD17&lt;&gt;".",up_Irr!BC17="."),up_dir!AF17/((1/1000)*(up_Irr!AD17)),IF(AND(up_Irr!E17&lt;&gt;".",up_Irr!AD17=".",up_Irr!BC17="."),up_dir!AF17/((1/1000)*(up_Irr!E17)),IF(AND(up_Irr!E17=".",up_Irr!AD17=".",up_Irr!BC17="."),up_dir!AF17*1000)))))))),".")</f>
        <v>6.5773651144152123E-11</v>
      </c>
      <c r="BG17" s="76">
        <f>IFERROR(IF(AND(up_Irr!F17&lt;&gt;".",up_Irr!AE17&lt;&gt;".",up_Irr!BD17&lt;&gt;"."),up_dir!AG17/((1/1000)*(up_Irr!F17+up_Irr!AE17+up_Irr!BD17)),IF(AND(up_Irr!F17&lt;&gt;".",up_Irr!AE17&lt;&gt;".",up_Irr!BD17="."),up_dir!AG17/((1/1000)*(up_Irr!F17+up_Irr!AE17)),IF(AND(up_Irr!F17&lt;&gt;".",up_Irr!AE17=".",up_Irr!BD17&lt;&gt;"."),up_dir!AG17/((1/1000)*(up_Irr!F17+up_Irr!BD17)),IF(AND(up_Irr!F17=".",up_Irr!AE17&lt;&gt;".",up_Irr!BD17&lt;&gt;"."),up_dir!AG17/((1/1000)*(up_Irr!AE17+up_Irr!BD17)),IF(AND(up_Irr!F17=".",up_Irr!AE17=".",up_Irr!BD17&lt;&gt;"."),up_dir!AG17/((1/1000)*(up_Irr!BD17)),IF(AND(up_Irr!F17=".",up_Irr!AE17&lt;&gt;".",up_Irr!BD17="."),up_dir!AG17/((1/1000)*(up_Irr!AE17)),IF(AND(up_Irr!F17&lt;&gt;".",up_Irr!AE17=".",up_Irr!BD17="."),up_dir!AG17/((1/1000)*(up_Irr!F17)),IF(AND(up_Irr!F17=".",up_Irr!AE17=".",up_Irr!BD17="."),up_dir!AG17*1000)))))))),".")</f>
        <v>6.5773651144152123E-11</v>
      </c>
      <c r="BH17" s="76">
        <f>IFERROR(IF(AND(up_Irr!G17&lt;&gt;".",up_Irr!AF17&lt;&gt;".",up_Irr!BE17&lt;&gt;"."),up_dir!AH17/((1/1000)*(up_Irr!G17+up_Irr!AF17+up_Irr!BE17)),IF(AND(up_Irr!G17&lt;&gt;".",up_Irr!AF17&lt;&gt;".",up_Irr!BE17="."),up_dir!AH17/((1/1000)*(up_Irr!G17+up_Irr!AF17)),IF(AND(up_Irr!G17&lt;&gt;".",up_Irr!AF17=".",up_Irr!BE17&lt;&gt;"."),up_dir!AH17/((1/1000)*(up_Irr!G17+up_Irr!BE17)),IF(AND(up_Irr!G17=".",up_Irr!AF17&lt;&gt;".",up_Irr!BE17&lt;&gt;"."),up_dir!AH17/((1/1000)*(up_Irr!AF17+up_Irr!BE17)),IF(AND(up_Irr!G17=".",up_Irr!AF17=".",up_Irr!BE17&lt;&gt;"."),up_dir!AH17/((1/1000)*(up_Irr!BE17)),IF(AND(up_Irr!G17=".",up_Irr!AF17&lt;&gt;".",up_Irr!BE17="."),up_dir!AH17/((1/1000)*(up_Irr!AF17)),IF(AND(up_Irr!G17&lt;&gt;".",up_Irr!AF17=".",up_Irr!BE17="."),up_dir!AH17/((1/1000)*(up_Irr!G17)),IF(AND(up_Irr!G17=".",up_Irr!AF17=".",up_Irr!BE17="."),up_dir!AH17*1000)))))))),".")</f>
        <v>6.5773651144152123E-11</v>
      </c>
      <c r="BI17" s="76">
        <f>IFERROR(IF(AND(up_Irr!H17&lt;&gt;".",up_Irr!AG17&lt;&gt;".",up_Irr!BF17&lt;&gt;"."),up_dir!AI17/((1/1000)*(up_Irr!H17+up_Irr!AG17+up_Irr!BF17)),IF(AND(up_Irr!H17&lt;&gt;".",up_Irr!AG17&lt;&gt;".",up_Irr!BF17="."),up_dir!AI17/((1/1000)*(up_Irr!H17+up_Irr!AG17)),IF(AND(up_Irr!H17&lt;&gt;".",up_Irr!AG17=".",up_Irr!BF17&lt;&gt;"."),up_dir!AI17/((1/1000)*(up_Irr!H17+up_Irr!BF17)),IF(AND(up_Irr!H17=".",up_Irr!AG17&lt;&gt;".",up_Irr!BF17&lt;&gt;"."),up_dir!AI17/((1/1000)*(up_Irr!AG17+up_Irr!BF17)),IF(AND(up_Irr!H17=".",up_Irr!AG17=".",up_Irr!BF17&lt;&gt;"."),up_dir!AI17/((1/1000)*(up_Irr!BF17)),IF(AND(up_Irr!H17=".",up_Irr!AG17&lt;&gt;".",up_Irr!BF17="."),up_dir!AI17/((1/1000)*(up_Irr!AG17)),IF(AND(up_Irr!H17&lt;&gt;".",up_Irr!AG17=".",up_Irr!BF17="."),up_dir!AI17/((1/1000)*(up_Irr!H17)),IF(AND(up_Irr!H17=".",up_Irr!AG17=".",up_Irr!BF17="."),up_dir!AI17*1000)))))))),".")</f>
        <v>6.5773651144152123E-11</v>
      </c>
      <c r="BJ17" s="76">
        <f>IFERROR(IF(AND(up_Irr!I17&lt;&gt;".",up_Irr!AH17&lt;&gt;".",up_Irr!BG17&lt;&gt;"."),up_dir!AJ17/((1/1000)*(up_Irr!I17+up_Irr!AH17+up_Irr!BG17)),IF(AND(up_Irr!I17&lt;&gt;".",up_Irr!AH17&lt;&gt;".",up_Irr!BG17="."),up_dir!AJ17/((1/1000)*(up_Irr!I17+up_Irr!AH17)),IF(AND(up_Irr!I17&lt;&gt;".",up_Irr!AH17=".",up_Irr!BG17&lt;&gt;"."),up_dir!AJ17/((1/1000)*(up_Irr!I17+up_Irr!BG17)),IF(AND(up_Irr!I17=".",up_Irr!AH17&lt;&gt;".",up_Irr!BG17&lt;&gt;"."),up_dir!AJ17/((1/1000)*(up_Irr!AH17+up_Irr!BG17)),IF(AND(up_Irr!I17=".",up_Irr!AH17=".",up_Irr!BG17&lt;&gt;"."),up_dir!AJ17/((1/1000)*(up_Irr!BG17)),IF(AND(up_Irr!I17=".",up_Irr!AH17&lt;&gt;".",up_Irr!BG17="."),up_dir!AJ17/((1/1000)*(up_Irr!AH17)),IF(AND(up_Irr!I17&lt;&gt;".",up_Irr!AH17=".",up_Irr!BG17="."),up_dir!AJ17/((1/1000)*(up_Irr!I17)),IF(AND(up_Irr!I17=".",up_Irr!AH17=".",up_Irr!BG17="."),up_dir!AJ17*1000)))))))),".")</f>
        <v>6.5773651144152123E-11</v>
      </c>
      <c r="BK17" s="76">
        <f>IFERROR(IF(AND(up_Irr!J17&lt;&gt;".",up_Irr!AI17&lt;&gt;".",up_Irr!BH17&lt;&gt;"."),up_dir!AK17/((1/1000)*(up_Irr!J17+up_Irr!AI17+up_Irr!BH17)),IF(AND(up_Irr!J17&lt;&gt;".",up_Irr!AI17&lt;&gt;".",up_Irr!BH17="."),up_dir!AK17/((1/1000)*(up_Irr!J17+up_Irr!AI17)),IF(AND(up_Irr!J17&lt;&gt;".",up_Irr!AI17=".",up_Irr!BH17&lt;&gt;"."),up_dir!AK17/((1/1000)*(up_Irr!J17+up_Irr!BH17)),IF(AND(up_Irr!J17=".",up_Irr!AI17&lt;&gt;".",up_Irr!BH17&lt;&gt;"."),up_dir!AK17/((1/1000)*(up_Irr!AI17+up_Irr!BH17)),IF(AND(up_Irr!J17=".",up_Irr!AI17=".",up_Irr!BH17&lt;&gt;"."),up_dir!AK17/((1/1000)*(up_Irr!BH17)),IF(AND(up_Irr!J17=".",up_Irr!AI17&lt;&gt;".",up_Irr!BH17="."),up_dir!AK17/((1/1000)*(up_Irr!AI17)),IF(AND(up_Irr!J17&lt;&gt;".",up_Irr!AI17=".",up_Irr!BH17="."),up_dir!AK17/((1/1000)*(up_Irr!J17)),IF(AND(up_Irr!J17=".",up_Irr!AI17=".",up_Irr!BH17="."),up_dir!AK17*1000)))))))),".")</f>
        <v>6.5773651144152123E-11</v>
      </c>
      <c r="BL17" s="76">
        <f>IFERROR(IF(AND(up_Irr!K17&lt;&gt;".",up_Irr!AJ17&lt;&gt;".",up_Irr!BI17&lt;&gt;"."),up_dir!AL17/((1/1000)*(up_Irr!K17+up_Irr!AJ17+up_Irr!BI17)),IF(AND(up_Irr!K17&lt;&gt;".",up_Irr!AJ17&lt;&gt;".",up_Irr!BI17="."),up_dir!AL17/((1/1000)*(up_Irr!K17+up_Irr!AJ17)),IF(AND(up_Irr!K17&lt;&gt;".",up_Irr!AJ17=".",up_Irr!BI17&lt;&gt;"."),up_dir!AL17/((1/1000)*(up_Irr!K17+up_Irr!BI17)),IF(AND(up_Irr!K17=".",up_Irr!AJ17&lt;&gt;".",up_Irr!BI17&lt;&gt;"."),up_dir!AL17/((1/1000)*(up_Irr!AJ17+up_Irr!BI17)),IF(AND(up_Irr!K17=".",up_Irr!AJ17=".",up_Irr!BI17&lt;&gt;"."),up_dir!AL17/((1/1000)*(up_Irr!BI17)),IF(AND(up_Irr!K17=".",up_Irr!AJ17&lt;&gt;".",up_Irr!BI17="."),up_dir!AL17/((1/1000)*(up_Irr!AJ17)),IF(AND(up_Irr!K17&lt;&gt;".",up_Irr!AJ17=".",up_Irr!BI17="."),up_dir!AL17/((1/1000)*(up_Irr!K17)),IF(AND(up_Irr!K17=".",up_Irr!AJ17=".",up_Irr!BI17="."),up_dir!AL17*1000)))))))),".")</f>
        <v>6.5773651144152123E-11</v>
      </c>
      <c r="BM17" s="76">
        <f>IFERROR(IF(AND(up_Irr!L17&lt;&gt;".",up_Irr!AK17&lt;&gt;".",up_Irr!BJ17&lt;&gt;"."),up_dir!AM17/((1/1000)*(up_Irr!L17+up_Irr!AK17+up_Irr!BJ17)),IF(AND(up_Irr!L17&lt;&gt;".",up_Irr!AK17&lt;&gt;".",up_Irr!BJ17="."),up_dir!AM17/((1/1000)*(up_Irr!L17+up_Irr!AK17)),IF(AND(up_Irr!L17&lt;&gt;".",up_Irr!AK17=".",up_Irr!BJ17&lt;&gt;"."),up_dir!AM17/((1/1000)*(up_Irr!L17+up_Irr!BJ17)),IF(AND(up_Irr!L17=".",up_Irr!AK17&lt;&gt;".",up_Irr!BJ17&lt;&gt;"."),up_dir!AM17/((1/1000)*(up_Irr!AK17+up_Irr!BJ17)),IF(AND(up_Irr!L17=".",up_Irr!AK17=".",up_Irr!BJ17&lt;&gt;"."),up_dir!AM17/((1/1000)*(up_Irr!BJ17)),IF(AND(up_Irr!L17=".",up_Irr!AK17&lt;&gt;".",up_Irr!BJ17="."),up_dir!AM17/((1/1000)*(up_Irr!AK17)),IF(AND(up_Irr!L17&lt;&gt;".",up_Irr!AK17=".",up_Irr!BJ17="."),up_dir!AM17/((1/1000)*(up_Irr!L17)),IF(AND(up_Irr!L17=".",up_Irr!AK17=".",up_Irr!BJ17="."),up_dir!AM17*1000)))))))),".")</f>
        <v>6.5773651144152123E-11</v>
      </c>
      <c r="BN17" s="76">
        <f>IFERROR(IF(AND(up_Irr!M17&lt;&gt;".",up_Irr!AL17&lt;&gt;".",up_Irr!BK17&lt;&gt;"."),up_dir!AN17/((1/1000)*(up_Irr!M17+up_Irr!AL17+up_Irr!BK17)),IF(AND(up_Irr!M17&lt;&gt;".",up_Irr!AL17&lt;&gt;".",up_Irr!BK17="."),up_dir!AN17/((1/1000)*(up_Irr!M17+up_Irr!AL17)),IF(AND(up_Irr!M17&lt;&gt;".",up_Irr!AL17=".",up_Irr!BK17&lt;&gt;"."),up_dir!AN17/((1/1000)*(up_Irr!M17+up_Irr!BK17)),IF(AND(up_Irr!M17=".",up_Irr!AL17&lt;&gt;".",up_Irr!BK17&lt;&gt;"."),up_dir!AN17/((1/1000)*(up_Irr!AL17+up_Irr!BK17)),IF(AND(up_Irr!M17=".",up_Irr!AL17=".",up_Irr!BK17&lt;&gt;"."),up_dir!AN17/((1/1000)*(up_Irr!BK17)),IF(AND(up_Irr!M17=".",up_Irr!AL17&lt;&gt;".",up_Irr!BK17="."),up_dir!AN17/((1/1000)*(up_Irr!AL17)),IF(AND(up_Irr!M17&lt;&gt;".",up_Irr!AL17=".",up_Irr!BK17="."),up_dir!AN17/((1/1000)*(up_Irr!M17)),IF(AND(up_Irr!M17=".",up_Irr!AL17=".",up_Irr!BK17="."),up_dir!AN17*1000)))))))),".")</f>
        <v>6.5773651144152123E-11</v>
      </c>
      <c r="BO17" s="76">
        <f>IFERROR(IF(AND(up_Irr!N17&lt;&gt;".",up_Irr!AM17&lt;&gt;".",up_Irr!BL17&lt;&gt;"."),up_dir!AO17/((1/1000)*(up_Irr!N17+up_Irr!AM17+up_Irr!BL17)),IF(AND(up_Irr!N17&lt;&gt;".",up_Irr!AM17&lt;&gt;".",up_Irr!BL17="."),up_dir!AO17/((1/1000)*(up_Irr!N17+up_Irr!AM17)),IF(AND(up_Irr!N17&lt;&gt;".",up_Irr!AM17=".",up_Irr!BL17&lt;&gt;"."),up_dir!AO17/((1/1000)*(up_Irr!N17+up_Irr!BL17)),IF(AND(up_Irr!N17=".",up_Irr!AM17&lt;&gt;".",up_Irr!BL17&lt;&gt;"."),up_dir!AO17/((1/1000)*(up_Irr!AM17+up_Irr!BL17)),IF(AND(up_Irr!N17=".",up_Irr!AM17=".",up_Irr!BL17&lt;&gt;"."),up_dir!AO17/((1/1000)*(up_Irr!BL17)),IF(AND(up_Irr!N17=".",up_Irr!AM17&lt;&gt;".",up_Irr!BL17="."),up_dir!AO17/((1/1000)*(up_Irr!AM17)),IF(AND(up_Irr!N17&lt;&gt;".",up_Irr!AM17=".",up_Irr!BL17="."),up_dir!AO17/((1/1000)*(up_Irr!N17)),IF(AND(up_Irr!N17=".",up_Irr!AM17=".",up_Irr!BL17="."),up_dir!AO17*1000)))))))),".")</f>
        <v>6.5773651144152123E-11</v>
      </c>
      <c r="BP17" s="76">
        <f>IFERROR(IF(AND(up_Irr!O17&lt;&gt;".",up_Irr!AN17&lt;&gt;".",up_Irr!BM17&lt;&gt;"."),up_dir!AP17/((1/1000)*(up_Irr!O17+up_Irr!AN17+up_Irr!BM17)),IF(AND(up_Irr!O17&lt;&gt;".",up_Irr!AN17&lt;&gt;".",up_Irr!BM17="."),up_dir!AP17/((1/1000)*(up_Irr!O17+up_Irr!AN17)),IF(AND(up_Irr!O17&lt;&gt;".",up_Irr!AN17=".",up_Irr!BM17&lt;&gt;"."),up_dir!AP17/((1/1000)*(up_Irr!O17+up_Irr!BM17)),IF(AND(up_Irr!O17=".",up_Irr!AN17&lt;&gt;".",up_Irr!BM17&lt;&gt;"."),up_dir!AP17/((1/1000)*(up_Irr!AN17+up_Irr!BM17)),IF(AND(up_Irr!O17=".",up_Irr!AN17=".",up_Irr!BM17&lt;&gt;"."),up_dir!AP17/((1/1000)*(up_Irr!BM17)),IF(AND(up_Irr!O17=".",up_Irr!AN17&lt;&gt;".",up_Irr!BM17="."),up_dir!AP17/((1/1000)*(up_Irr!AN17)),IF(AND(up_Irr!O17&lt;&gt;".",up_Irr!AN17=".",up_Irr!BM17="."),up_dir!AP17/((1/1000)*(up_Irr!O17)),IF(AND(up_Irr!O17=".",up_Irr!AN17=".",up_Irr!BM17="."),up_dir!AP17*1000)))))))),".")</f>
        <v>6.5773651144152123E-11</v>
      </c>
      <c r="BQ17" s="76">
        <f>IFERROR(IF(AND(up_Irr!P17&lt;&gt;".",up_Irr!AO17&lt;&gt;".",up_Irr!BN17&lt;&gt;"."),up_dir!AQ17/((1/1000)*(up_Irr!P17+up_Irr!AO17+up_Irr!BN17)),IF(AND(up_Irr!P17&lt;&gt;".",up_Irr!AO17&lt;&gt;".",up_Irr!BN17="."),up_dir!AQ17/((1/1000)*(up_Irr!P17+up_Irr!AO17)),IF(AND(up_Irr!P17&lt;&gt;".",up_Irr!AO17=".",up_Irr!BN17&lt;&gt;"."),up_dir!AQ17/((1/1000)*(up_Irr!P17+up_Irr!BN17)),IF(AND(up_Irr!P17=".",up_Irr!AO17&lt;&gt;".",up_Irr!BN17&lt;&gt;"."),up_dir!AQ17/((1/1000)*(up_Irr!AO17+up_Irr!BN17)),IF(AND(up_Irr!P17=".",up_Irr!AO17=".",up_Irr!BN17&lt;&gt;"."),up_dir!AQ17/((1/1000)*(up_Irr!BN17)),IF(AND(up_Irr!P17=".",up_Irr!AO17&lt;&gt;".",up_Irr!BN17="."),up_dir!AQ17/((1/1000)*(up_Irr!AO17)),IF(AND(up_Irr!P17&lt;&gt;".",up_Irr!AO17=".",up_Irr!BN17="."),up_dir!AQ17/((1/1000)*(up_Irr!P17)),IF(AND(up_Irr!P17=".",up_Irr!AO17=".",up_Irr!BN17="."),up_dir!AQ17*1000)))))))),".")</f>
        <v>6.5773651144152123E-11</v>
      </c>
      <c r="BR17" s="76">
        <f>IFERROR(IF(AND(up_Irr!Q17&lt;&gt;".",up_Irr!AP17&lt;&gt;".",up_Irr!BO17&lt;&gt;"."),up_dir!AR17/((1/1000)*(up_Irr!Q17+up_Irr!AP17+up_Irr!BO17)),IF(AND(up_Irr!Q17&lt;&gt;".",up_Irr!AP17&lt;&gt;".",up_Irr!BO17="."),up_dir!AR17/((1/1000)*(up_Irr!Q17+up_Irr!AP17)),IF(AND(up_Irr!Q17&lt;&gt;".",up_Irr!AP17=".",up_Irr!BO17&lt;&gt;"."),up_dir!AR17/((1/1000)*(up_Irr!Q17+up_Irr!BO17)),IF(AND(up_Irr!Q17=".",up_Irr!AP17&lt;&gt;".",up_Irr!BO17&lt;&gt;"."),up_dir!AR17/((1/1000)*(up_Irr!AP17+up_Irr!BO17)),IF(AND(up_Irr!Q17=".",up_Irr!AP17=".",up_Irr!BO17&lt;&gt;"."),up_dir!AR17/((1/1000)*(up_Irr!BO17)),IF(AND(up_Irr!Q17=".",up_Irr!AP17&lt;&gt;".",up_Irr!BO17="."),up_dir!AR17/((1/1000)*(up_Irr!AP17)),IF(AND(up_Irr!Q17&lt;&gt;".",up_Irr!AP17=".",up_Irr!BO17="."),up_dir!AR17/((1/1000)*(up_Irr!Q17)),IF(AND(up_Irr!Q17=".",up_Irr!AP17=".",up_Irr!BO17="."),up_dir!AR17*1000)))))))),".")</f>
        <v>6.5773651144152123E-11</v>
      </c>
      <c r="BS17" s="76">
        <f>IFERROR(IF(AND(up_Irr!R17&lt;&gt;".",up_Irr!AQ17&lt;&gt;".",up_Irr!BP17&lt;&gt;"."),up_dir!AS17/((1/1000)*(up_Irr!R17+up_Irr!AQ17+up_Irr!BP17)),IF(AND(up_Irr!R17&lt;&gt;".",up_Irr!AQ17&lt;&gt;".",up_Irr!BP17="."),up_dir!AS17/((1/1000)*(up_Irr!R17+up_Irr!AQ17)),IF(AND(up_Irr!R17&lt;&gt;".",up_Irr!AQ17=".",up_Irr!BP17&lt;&gt;"."),up_dir!AS17/((1/1000)*(up_Irr!R17+up_Irr!BP17)),IF(AND(up_Irr!R17=".",up_Irr!AQ17&lt;&gt;".",up_Irr!BP17&lt;&gt;"."),up_dir!AS17/((1/1000)*(up_Irr!AQ17+up_Irr!BP17)),IF(AND(up_Irr!R17=".",up_Irr!AQ17=".",up_Irr!BP17&lt;&gt;"."),up_dir!AS17/((1/1000)*(up_Irr!BP17)),IF(AND(up_Irr!R17=".",up_Irr!AQ17&lt;&gt;".",up_Irr!BP17="."),up_dir!AS17/((1/1000)*(up_Irr!AQ17)),IF(AND(up_Irr!R17&lt;&gt;".",up_Irr!AQ17=".",up_Irr!BP17="."),up_dir!AS17/((1/1000)*(up_Irr!R17)),IF(AND(up_Irr!R17=".",up_Irr!AQ17=".",up_Irr!BP17="."),up_dir!AS17*1000)))))))),".")</f>
        <v>6.5773651144152123E-11</v>
      </c>
      <c r="BT17" s="76">
        <f>IFERROR(IF(AND(up_Irr!S17&lt;&gt;".",up_Irr!AR17&lt;&gt;".",up_Irr!BQ17&lt;&gt;"."),up_dir!AT17/((1/1000)*(up_Irr!S17+up_Irr!AR17+up_Irr!BQ17)),IF(AND(up_Irr!S17&lt;&gt;".",up_Irr!AR17&lt;&gt;".",up_Irr!BQ17="."),up_dir!AT17/((1/1000)*(up_Irr!S17+up_Irr!AR17)),IF(AND(up_Irr!S17&lt;&gt;".",up_Irr!AR17=".",up_Irr!BQ17&lt;&gt;"."),up_dir!AT17/((1/1000)*(up_Irr!S17+up_Irr!BQ17)),IF(AND(up_Irr!S17=".",up_Irr!AR17&lt;&gt;".",up_Irr!BQ17&lt;&gt;"."),up_dir!AT17/((1/1000)*(up_Irr!AR17+up_Irr!BQ17)),IF(AND(up_Irr!S17=".",up_Irr!AR17=".",up_Irr!BQ17&lt;&gt;"."),up_dir!AT17/((1/1000)*(up_Irr!BQ17)),IF(AND(up_Irr!S17=".",up_Irr!AR17&lt;&gt;".",up_Irr!BQ17="."),up_dir!AT17/((1/1000)*(up_Irr!AR17)),IF(AND(up_Irr!S17&lt;&gt;".",up_Irr!AR17=".",up_Irr!BQ17="."),up_dir!AT17/((1/1000)*(up_Irr!S17)),IF(AND(up_Irr!S17=".",up_Irr!AR17=".",up_Irr!BQ17="."),up_dir!AT17*1000)))))))),".")</f>
        <v>6.5773651144152123E-11</v>
      </c>
      <c r="BU17" s="76">
        <f>IFERROR(IF(AND(up_Irr!T17&lt;&gt;".",up_Irr!AS17&lt;&gt;".",up_Irr!BR17&lt;&gt;"."),up_dir!AU17/((1/1000)*(up_Irr!T17+up_Irr!AS17+up_Irr!BR17)),IF(AND(up_Irr!T17&lt;&gt;".",up_Irr!AS17&lt;&gt;".",up_Irr!BR17="."),up_dir!AU17/((1/1000)*(up_Irr!T17+up_Irr!AS17)),IF(AND(up_Irr!T17&lt;&gt;".",up_Irr!AS17=".",up_Irr!BR17&lt;&gt;"."),up_dir!AU17/((1/1000)*(up_Irr!T17+up_Irr!BR17)),IF(AND(up_Irr!T17=".",up_Irr!AS17&lt;&gt;".",up_Irr!BR17&lt;&gt;"."),up_dir!AU17/((1/1000)*(up_Irr!AS17+up_Irr!BR17)),IF(AND(up_Irr!T17=".",up_Irr!AS17=".",up_Irr!BR17&lt;&gt;"."),up_dir!AU17/((1/1000)*(up_Irr!BR17)),IF(AND(up_Irr!T17=".",up_Irr!AS17&lt;&gt;".",up_Irr!BR17="."),up_dir!AU17/((1/1000)*(up_Irr!AS17)),IF(AND(up_Irr!T17&lt;&gt;".",up_Irr!AS17=".",up_Irr!BR17="."),up_dir!AU17/((1/1000)*(up_Irr!T17)),IF(AND(up_Irr!T17=".",up_Irr!AS17=".",up_Irr!BR17="."),up_dir!AU17*1000)))))))),".")</f>
        <v>6.5773651144152123E-11</v>
      </c>
      <c r="BV17" s="76">
        <f>IFERROR(IF(AND(up_Irr!U17&lt;&gt;".",up_Irr!AT17&lt;&gt;".",up_Irr!BS17&lt;&gt;"."),up_dir!AV17/((1/1000)*(up_Irr!U17+up_Irr!AT17+up_Irr!BS17)),IF(AND(up_Irr!U17&lt;&gt;".",up_Irr!AT17&lt;&gt;".",up_Irr!BS17="."),up_dir!AV17/((1/1000)*(up_Irr!U17+up_Irr!AT17)),IF(AND(up_Irr!U17&lt;&gt;".",up_Irr!AT17=".",up_Irr!BS17&lt;&gt;"."),up_dir!AV17/((1/1000)*(up_Irr!U17+up_Irr!BS17)),IF(AND(up_Irr!U17=".",up_Irr!AT17&lt;&gt;".",up_Irr!BS17&lt;&gt;"."),up_dir!AV17/((1/1000)*(up_Irr!AT17+up_Irr!BS17)),IF(AND(up_Irr!U17=".",up_Irr!AT17=".",up_Irr!BS17&lt;&gt;"."),up_dir!AV17/((1/1000)*(up_Irr!BS17)),IF(AND(up_Irr!U17=".",up_Irr!AT17&lt;&gt;".",up_Irr!BS17="."),up_dir!AV17/((1/1000)*(up_Irr!AT17)),IF(AND(up_Irr!U17&lt;&gt;".",up_Irr!AT17=".",up_Irr!BS17="."),up_dir!AV17/((1/1000)*(up_Irr!U17)),IF(AND(up_Irr!U17=".",up_Irr!AT17=".",up_Irr!BS17="."),up_dir!AV17*1000)))))))),".")</f>
        <v>6.5773651144152123E-11</v>
      </c>
      <c r="BW17" s="76">
        <f>IFERROR(IF(AND(up_Irr!V17&lt;&gt;".",up_Irr!AU17&lt;&gt;".",up_Irr!BT17&lt;&gt;"."),up_dir!AW17/((1/1000)*(up_Irr!V17+up_Irr!AU17+up_Irr!BT17)),IF(AND(up_Irr!V17&lt;&gt;".",up_Irr!AU17&lt;&gt;".",up_Irr!BT17="."),up_dir!AW17/((1/1000)*(up_Irr!V17+up_Irr!AU17)),IF(AND(up_Irr!V17&lt;&gt;".",up_Irr!AU17=".",up_Irr!BT17&lt;&gt;"."),up_dir!AW17/((1/1000)*(up_Irr!V17+up_Irr!BT17)),IF(AND(up_Irr!V17=".",up_Irr!AU17&lt;&gt;".",up_Irr!BT17&lt;&gt;"."),up_dir!AW17/((1/1000)*(up_Irr!AU17+up_Irr!BT17)),IF(AND(up_Irr!V17=".",up_Irr!AU17=".",up_Irr!BT17&lt;&gt;"."),up_dir!AW17/((1/1000)*(up_Irr!BT17)),IF(AND(up_Irr!V17=".",up_Irr!AU17&lt;&gt;".",up_Irr!BT17="."),up_dir!AW17/((1/1000)*(up_Irr!AU17)),IF(AND(up_Irr!V17&lt;&gt;".",up_Irr!AU17=".",up_Irr!BT17="."),up_dir!AW17/((1/1000)*(up_Irr!V17)),IF(AND(up_Irr!V17=".",up_Irr!AU17=".",up_Irr!BT17="."),up_dir!AW17*1000)))))))),".")</f>
        <v>6.5773651144152123E-11</v>
      </c>
      <c r="BX17" s="76">
        <f>IFERROR(IF(AND(up_Irr!W17&lt;&gt;".",up_Irr!AV17&lt;&gt;".",up_Irr!BU17&lt;&gt;"."),up_dir!AX17/((1/1000)*(up_Irr!W17+up_Irr!AV17+up_Irr!BU17)),IF(AND(up_Irr!W17&lt;&gt;".",up_Irr!AV17&lt;&gt;".",up_Irr!BU17="."),up_dir!AX17/((1/1000)*(up_Irr!W17+up_Irr!AV17)),IF(AND(up_Irr!W17&lt;&gt;".",up_Irr!AV17=".",up_Irr!BU17&lt;&gt;"."),up_dir!AX17/((1/1000)*(up_Irr!W17+up_Irr!BU17)),IF(AND(up_Irr!W17=".",up_Irr!AV17&lt;&gt;".",up_Irr!BU17&lt;&gt;"."),up_dir!AX17/((1/1000)*(up_Irr!AV17+up_Irr!BU17)),IF(AND(up_Irr!W17=".",up_Irr!AV17=".",up_Irr!BU17&lt;&gt;"."),up_dir!AX17/((1/1000)*(up_Irr!BU17)),IF(AND(up_Irr!W17=".",up_Irr!AV17&lt;&gt;".",up_Irr!BU17="."),up_dir!AX17/((1/1000)*(up_Irr!AV17)),IF(AND(up_Irr!W17&lt;&gt;".",up_Irr!AV17=".",up_Irr!BU17="."),up_dir!AX17/((1/1000)*(up_Irr!W17)),IF(AND(up_Irr!W17=".",up_Irr!AV17=".",up_Irr!BU17="."),up_dir!AX17*1000)))))))),".")</f>
        <v>6.5773651144152123E-11</v>
      </c>
      <c r="BY17" s="76">
        <f>IFERROR(IF(AND(up_Irr!X17&lt;&gt;".",up_Irr!AW17&lt;&gt;".",up_Irr!BV17&lt;&gt;"."),up_dir!AY17/((1/1000)*(up_Irr!X17+up_Irr!AW17+up_Irr!BV17)),IF(AND(up_Irr!X17&lt;&gt;".",up_Irr!AW17&lt;&gt;".",up_Irr!BV17="."),up_dir!AY17/((1/1000)*(up_Irr!X17+up_Irr!AW17)),IF(AND(up_Irr!X17&lt;&gt;".",up_Irr!AW17=".",up_Irr!BV17&lt;&gt;"."),up_dir!AY17/((1/1000)*(up_Irr!X17+up_Irr!BV17)),IF(AND(up_Irr!X17=".",up_Irr!AW17&lt;&gt;".",up_Irr!BV17&lt;&gt;"."),up_dir!AY17/((1/1000)*(up_Irr!AW17+up_Irr!BV17)),IF(AND(up_Irr!X17=".",up_Irr!AW17=".",up_Irr!BV17&lt;&gt;"."),up_dir!AY17/((1/1000)*(up_Irr!BV17)),IF(AND(up_Irr!X17=".",up_Irr!AW17&lt;&gt;".",up_Irr!BV17="."),up_dir!AY17/((1/1000)*(up_Irr!AW17)),IF(AND(up_Irr!X17&lt;&gt;".",up_Irr!AW17=".",up_Irr!BV17="."),up_dir!AY17/((1/1000)*(up_Irr!X17)),IF(AND(up_Irr!X17=".",up_Irr!AW17=".",up_Irr!BV17="."),up_dir!AY17*1000)))))))),".")</f>
        <v>6.5773651144152123E-11</v>
      </c>
      <c r="BZ17" s="76">
        <f>IFERROR(IF(AND(up_Irr!Y17&lt;&gt;".",up_Irr!AX17&lt;&gt;".",up_Irr!BW17&lt;&gt;"."),up_dir!AZ17/((1/1000)*(up_Irr!Y17+up_Irr!AX17+up_Irr!BW17)),IF(AND(up_Irr!Y17&lt;&gt;".",up_Irr!AX17&lt;&gt;".",up_Irr!BW17="."),up_dir!AZ17/((1/1000)*(up_Irr!Y17+up_Irr!AX17)),IF(AND(up_Irr!Y17&lt;&gt;".",up_Irr!AX17=".",up_Irr!BW17&lt;&gt;"."),up_dir!AZ17/((1/1000)*(up_Irr!Y17+up_Irr!BW17)),IF(AND(up_Irr!Y17=".",up_Irr!AX17&lt;&gt;".",up_Irr!BW17&lt;&gt;"."),up_dir!AZ17/((1/1000)*(up_Irr!AX17+up_Irr!BW17)),IF(AND(up_Irr!Y17=".",up_Irr!AX17=".",up_Irr!BW17&lt;&gt;"."),up_dir!AZ17/((1/1000)*(up_Irr!BW17)),IF(AND(up_Irr!Y17=".",up_Irr!AX17&lt;&gt;".",up_Irr!BW17="."),up_dir!AZ17/((1/1000)*(up_Irr!AX17)),IF(AND(up_Irr!Y17&lt;&gt;".",up_Irr!AX17=".",up_Irr!BW17="."),up_dir!AZ17/((1/1000)*(up_Irr!Y17)),IF(AND(up_Irr!Y17=".",up_Irr!AX17=".",up_Irr!BW17="."),up_dir!AZ17*1000)))))))),".")</f>
        <v>6.5773651144152123E-11</v>
      </c>
      <c r="CA17" s="76">
        <f>IFERROR(IF(AND(up_Irr!Z17&lt;&gt;".",up_Irr!AY17&lt;&gt;".",up_Irr!BX17&lt;&gt;"."),up_dir!BA17/((1/1000)*(up_Irr!Z17+up_Irr!AY17+up_Irr!BX17)),IF(AND(up_Irr!Z17&lt;&gt;".",up_Irr!AY17&lt;&gt;".",up_Irr!BX17="."),up_dir!BA17/((1/1000)*(up_Irr!Z17+up_Irr!AY17)),IF(AND(up_Irr!Z17&lt;&gt;".",up_Irr!AY17=".",up_Irr!BX17&lt;&gt;"."),up_dir!BA17/((1/1000)*(up_Irr!Z17+up_Irr!BX17)),IF(AND(up_Irr!Z17=".",up_Irr!AY17&lt;&gt;".",up_Irr!BX17&lt;&gt;"."),up_dir!BA17/((1/1000)*(up_Irr!AY17+up_Irr!BX17)),IF(AND(up_Irr!Z17=".",up_Irr!AY17=".",up_Irr!BX17&lt;&gt;"."),up_dir!BA17/((1/1000)*(up_Irr!BX17)),IF(AND(up_Irr!Z17=".",up_Irr!AY17&lt;&gt;".",up_Irr!BX17="."),up_dir!BA17/((1/1000)*(up_Irr!AY17)),IF(AND(up_Irr!Z17&lt;&gt;".",up_Irr!AY17=".",up_Irr!BX17="."),up_dir!BA17/((1/1000)*(up_Irr!Z17)),IF(AND(up_Irr!Z17=".",up_Irr!AY17=".",up_Irr!BX17="."),up_dir!BA17*1000)))))))),".")</f>
        <v>6.5773651144152123E-11</v>
      </c>
      <c r="CB17" s="76">
        <f>IFERROR(IF(AND(up_Irr!AA17&lt;&gt;".",up_Irr!AZ17&lt;&gt;".",up_Irr!BY17&lt;&gt;"."),up_dir!BB17/((1/1000)*(up_Irr!AA17+up_Irr!AZ17+up_Irr!BY17)),IF(AND(up_Irr!AA17&lt;&gt;".",up_Irr!AZ17&lt;&gt;".",up_Irr!BY17="."),up_dir!BB17/((1/1000)*(up_Irr!AA17+up_Irr!AZ17)),IF(AND(up_Irr!AA17&lt;&gt;".",up_Irr!AZ17=".",up_Irr!BY17&lt;&gt;"."),up_dir!BB17/((1/1000)*(up_Irr!AA17+up_Irr!BY17)),IF(AND(up_Irr!AA17=".",up_Irr!AZ17&lt;&gt;".",up_Irr!BY17&lt;&gt;"."),up_dir!BB17/((1/1000)*(up_Irr!AZ17+up_Irr!BY17)),IF(AND(up_Irr!AA17=".",up_Irr!AZ17=".",up_Irr!BY17&lt;&gt;"."),up_dir!BB17/((1/1000)*(up_Irr!BY17)),IF(AND(up_Irr!AA17=".",up_Irr!AZ17&lt;&gt;".",up_Irr!BY17="."),up_dir!BB17/((1/1000)*(up_Irr!AZ17)),IF(AND(up_Irr!AA17&lt;&gt;".",up_Irr!AZ17=".",up_Irr!BY17="."),up_dir!BB17/((1/1000)*(up_Irr!AA17)),IF(AND(up_Irr!AA17=".",up_Irr!AZ17=".",up_Irr!BY17="."),up_dir!BB17*1000)))))))),".")</f>
        <v>6.5773651144152123E-11</v>
      </c>
      <c r="CC17" s="93">
        <f t="shared" si="3"/>
        <v>608146.26076229871</v>
      </c>
      <c r="CD17" s="93">
        <f>IFERROR(s_C*s_IFAP_far_adj*s_CF_apple*(1/1000)*(up_Irr!C17+up_Irr!AB17+up_Irr!BA17),".")</f>
        <v>152036.56519057468</v>
      </c>
      <c r="CE17" s="93">
        <f>IFERROR(s_C*s_IFAS_far_adj*s_CF_asparagus*(1/1000)*(up_Irr!D17+up_Irr!AC17+up_Irr!BB17),".")</f>
        <v>152036.56519057468</v>
      </c>
      <c r="CF17" s="93">
        <f>IFERROR(s_C*s_IFBT_far_adj*s_CF_beet*(1/1000)*(up_Irr!E17+up_Irr!AD17+up_Irr!BC17),".")</f>
        <v>152036.56519057468</v>
      </c>
      <c r="CG17" s="93">
        <f>IFERROR(s_C*s_IFBE_far_adj*s_CF_berries*(1/1000)*(up_Irr!F17+up_Irr!AE17+up_Irr!BD17),".")</f>
        <v>152036.56519057468</v>
      </c>
      <c r="CH17" s="93">
        <f>IFERROR(s_C*s_IFBR_far_adj*s_CF_broccoli*(1/1000)*(up_Irr!G17+up_Irr!AF17+up_Irr!BE17),".")</f>
        <v>152036.56519057468</v>
      </c>
      <c r="CI17" s="93">
        <f>IFERROR(s_C*s_IFCB_far_adj*s_CF_cabbage*(1/1000)*(up_Irr!H17+up_Irr!AG17+up_Irr!BF17),".")</f>
        <v>152036.56519057468</v>
      </c>
      <c r="CJ17" s="93">
        <f>IFERROR(s_C*s_IFCR_far_adj*s_CF_carrot*(1/1000)*(up_Irr!I17+up_Irr!AH17+up_Irr!BG17),".")</f>
        <v>152036.56519057468</v>
      </c>
      <c r="CK17" s="93">
        <f>IFERROR(s_C*s_IFCI_far_adj*s_CF_citrus*(1/1000)*(up_Irr!J17+up_Irr!AI17+up_Irr!BH17),".")</f>
        <v>152036.56519057468</v>
      </c>
      <c r="CL17" s="93">
        <f>IFERROR(s_C*s_IFCO_far_adj*s_CF_corn*(1/1000)*(up_Irr!K17+up_Irr!AJ17+up_Irr!BI17),".")</f>
        <v>152036.56519057468</v>
      </c>
      <c r="CM17" s="93">
        <f>IFERROR(s_C*s_IFCU_far_adj*s_CF_cucumber*(1/1000)*(up_Irr!L17+up_Irr!AK17+up_Irr!BJ17),".")</f>
        <v>152036.56519057468</v>
      </c>
      <c r="CN17" s="93">
        <f>IFERROR(s_C*s_IFLE_far_adj*s_CF_lettuce*(1/1000)*(up_Irr!M17+up_Irr!AL17+up_Irr!BK17),".")</f>
        <v>152036.56519057468</v>
      </c>
      <c r="CO17" s="93">
        <f>IFERROR(s_C*s_IFLI_far_adj*s_CF_lima_bean*(1/1000)*(up_Irr!N17+up_Irr!AM17+up_Irr!BL17),".")</f>
        <v>152036.56519057468</v>
      </c>
      <c r="CP17" s="93">
        <f>IFERROR(s_C*s_IFOK_far_adj*s_CF_okra*(1/1000)*(up_Irr!O17+up_Irr!AN17+up_Irr!BM17),".")</f>
        <v>152036.56519057468</v>
      </c>
      <c r="CQ17" s="93">
        <f>IFERROR(s_C*s_IFON_far_adj*s_CF_onion*(1/1000)*(up_Irr!P17+up_Irr!AO17+up_Irr!BN17),".")</f>
        <v>152036.56519057468</v>
      </c>
      <c r="CR17" s="93">
        <f>IFERROR(s_C*s_IFPC_far_adj*s_CF_peach*(1/1000)*(up_Irr!Q17+up_Irr!AP17+up_Irr!BO17),".")</f>
        <v>152036.56519057468</v>
      </c>
      <c r="CS17" s="93">
        <f>IFERROR(s_C*s_IFPR_far_adj*s_CF_pear*(1/1000)*(up_Irr!R17+up_Irr!AQ17+up_Irr!BP17),".")</f>
        <v>152036.56519057468</v>
      </c>
      <c r="CT17" s="93">
        <f>IFERROR(s_C*s_IFPE_far_adj*s_CF_peas*(1/1000)*(up_Irr!S17+up_Irr!AR17+up_Irr!BQ17),".")</f>
        <v>152036.56519057468</v>
      </c>
      <c r="CU17" s="93">
        <f>IFERROR(s_C*s_IFPP_far_adj*s_CF_peppers*(1/1000)*(up_Irr!T17+up_Irr!AS17+up_Irr!BR17),".")</f>
        <v>152036.56519057468</v>
      </c>
      <c r="CV17" s="93">
        <f>IFERROR(s_C*s_IFPT_far_adj*s_CF_potato*(1/1000)*(up_Irr!U17+up_Irr!AT17+up_Irr!BS17),".")</f>
        <v>152036.56519057468</v>
      </c>
      <c r="CW17" s="93">
        <f>IFERROR(s_C*s_IFPU_far_adj*s_CF_pumpkin*(1/1000)*(up_Irr!V17+up_Irr!AU17+up_Irr!BT17),".")</f>
        <v>152036.56519057468</v>
      </c>
      <c r="CX17" s="93">
        <f>IFERROR(s_C*s_IFSN_far_adj*s_CF_snap_bean*(1/1000)*(up_Irr!W17+up_Irr!AV17+up_Irr!BU17),".")</f>
        <v>152036.56519057468</v>
      </c>
      <c r="CY17" s="93">
        <f>IFERROR(s_C*s_IFST_far_adj*s_CF_strawberry*(1/1000)*(up_Irr!X17+up_Irr!AW17+up_Irr!BV17),".")</f>
        <v>152036.56519057468</v>
      </c>
      <c r="CZ17" s="93">
        <f>IFERROR(s_C*s_IFTO_far_adj*s_CF_tomato*(1/1000)*(up_Irr!Y17+up_Irr!AX17+up_Irr!BW17),".")</f>
        <v>152036.56519057468</v>
      </c>
      <c r="DA17" s="93">
        <f>IFERROR(s_C*s_IFRI_far_adj*s_CF_rice*(1/1000)*(up_Irr!Z17+up_Irr!AY17+up_Irr!BX17),".")</f>
        <v>152036.56519057468</v>
      </c>
      <c r="DB17" s="93">
        <f>IFERROR(s_C*s_IFCG_far_adj*s_CF_cereal*(1/1000)*(up_Irr!AA17+up_Irr!AZ17+up_Irr!BY17),".")</f>
        <v>152036.56519057468</v>
      </c>
    </row>
    <row r="18" spans="1:106" ht="15" customHeight="1" x14ac:dyDescent="0.25">
      <c r="A18" s="92" t="s">
        <v>28</v>
      </c>
      <c r="B18" s="90" t="s">
        <v>1071</v>
      </c>
      <c r="C18" s="15">
        <f t="shared" si="0"/>
        <v>1.6443412786038031E-11</v>
      </c>
      <c r="D18" s="76">
        <f>IFERROR(IF(AND(up_Irr!C18&lt;&gt;".",up_Irr!AB18&lt;&gt;".",up_Irr!BA18&lt;&gt;"."),up_dir!D18/((1/1000)*(up_Irr!C18+up_Irr!AB18+up_Irr!BA18)),IF(AND(up_Irr!C18&lt;&gt;".",up_Irr!AB18&lt;&gt;".",up_Irr!BA18="."),up_dir!D18/((1/1000)*(up_Irr!C18+up_Irr!AB18)),IF(AND(up_Irr!C18&lt;&gt;".",up_Irr!AB18=".",up_Irr!BA18&lt;&gt;"."),up_dir!D18/((1/1000)*(up_Irr!C18+up_Irr!BA18)),IF(AND(up_Irr!C18=".",up_Irr!AB18&lt;&gt;".",up_Irr!BA18&lt;&gt;"."),up_dir!D18/((1/1000)*(up_Irr!AB18+up_Irr!BA18)),IF(AND(up_Irr!C18=".",up_Irr!AB18=".",up_Irr!BA18&lt;&gt;"."),up_dir!D18/((1/1000)*(up_Irr!BA18)),IF(AND(up_Irr!C18=".",up_Irr!AB18&lt;&gt;".",up_Irr!BA18="."),up_dir!D18/((1/1000)*(up_Irr!AB18)),IF(AND(up_Irr!C18&lt;&gt;".",up_Irr!AB18=".",up_Irr!BA18="."),up_dir!D18/((1/1000)*(up_Irr!C18)),IF(AND(up_Irr!C18=".",up_Irr!AB18=".",up_Irr!BA18="."),up_dir!D18*1000)))))))),".")</f>
        <v>6.5773651144152123E-11</v>
      </c>
      <c r="E18" s="76">
        <f>IFERROR(IF(AND(up_Irr!D18&lt;&gt;".",up_Irr!AC18&lt;&gt;".",up_Irr!BB18&lt;&gt;"."),up_dir!E18/((1/1000)*(up_Irr!D18+up_Irr!AC18+up_Irr!BB18)),IF(AND(up_Irr!D18&lt;&gt;".",up_Irr!AC18&lt;&gt;".",up_Irr!BB18="."),up_dir!E18/((1/1000)*(up_Irr!D18+up_Irr!AC18)),IF(AND(up_Irr!D18&lt;&gt;".",up_Irr!AC18=".",up_Irr!BB18&lt;&gt;"."),up_dir!E18/((1/1000)*(up_Irr!D18+up_Irr!BB18)),IF(AND(up_Irr!D18=".",up_Irr!AC18&lt;&gt;".",up_Irr!BB18&lt;&gt;"."),up_dir!E18/((1/1000)*(up_Irr!AC18+up_Irr!BB18)),IF(AND(up_Irr!D18=".",up_Irr!AC18=".",up_Irr!BB18&lt;&gt;"."),up_dir!E18/((1/1000)*(up_Irr!BB18)),IF(AND(up_Irr!D18=".",up_Irr!AC18&lt;&gt;".",up_Irr!BB18="."),up_dir!E18/((1/1000)*(up_Irr!AC18)),IF(AND(up_Irr!D18&lt;&gt;".",up_Irr!AC18=".",up_Irr!BB18="."),up_dir!E18/((1/1000)*(up_Irr!D18)),IF(AND(up_Irr!D18=".",up_Irr!AC18=".",up_Irr!BB18="."),up_dir!E18*1000)))))))),".")</f>
        <v>6.5773651144152123E-11</v>
      </c>
      <c r="F18" s="76">
        <f>IFERROR(IF(AND(up_Irr!E18&lt;&gt;".",up_Irr!AD18&lt;&gt;".",up_Irr!BC18&lt;&gt;"."),up_dir!F18/((1/1000)*(up_Irr!E18+up_Irr!AD18+up_Irr!BC18)),IF(AND(up_Irr!E18&lt;&gt;".",up_Irr!AD18&lt;&gt;".",up_Irr!BC18="."),up_dir!F18/((1/1000)*(up_Irr!E18+up_Irr!AD18)),IF(AND(up_Irr!E18&lt;&gt;".",up_Irr!AD18=".",up_Irr!BC18&lt;&gt;"."),up_dir!F18/((1/1000)*(up_Irr!E18+up_Irr!BC18)),IF(AND(up_Irr!E18=".",up_Irr!AD18&lt;&gt;".",up_Irr!BC18&lt;&gt;"."),up_dir!F18/((1/1000)*(up_Irr!AD18+up_Irr!BC18)),IF(AND(up_Irr!E18=".",up_Irr!AD18=".",up_Irr!BC18&lt;&gt;"."),up_dir!F18/((1/1000)*(up_Irr!BC18)),IF(AND(up_Irr!E18=".",up_Irr!AD18&lt;&gt;".",up_Irr!BC18="."),up_dir!F18/((1/1000)*(up_Irr!AD18)),IF(AND(up_Irr!E18&lt;&gt;".",up_Irr!AD18=".",up_Irr!BC18="."),up_dir!F18/((1/1000)*(up_Irr!E18)),IF(AND(up_Irr!E18=".",up_Irr!AD18=".",up_Irr!BC18="."),up_dir!F18*1000)))))))),".")</f>
        <v>6.5773651144152123E-11</v>
      </c>
      <c r="G18" s="76">
        <f>IFERROR(IF(AND(up_Irr!F18&lt;&gt;".",up_Irr!AE18&lt;&gt;".",up_Irr!BD18&lt;&gt;"."),up_dir!G18/((1/1000)*(up_Irr!F18+up_Irr!AE18+up_Irr!BD18)),IF(AND(up_Irr!F18&lt;&gt;".",up_Irr!AE18&lt;&gt;".",up_Irr!BD18="."),up_dir!G18/((1/1000)*(up_Irr!F18+up_Irr!AE18)),IF(AND(up_Irr!F18&lt;&gt;".",up_Irr!AE18=".",up_Irr!BD18&lt;&gt;"."),up_dir!G18/((1/1000)*(up_Irr!F18+up_Irr!BD18)),IF(AND(up_Irr!F18=".",up_Irr!AE18&lt;&gt;".",up_Irr!BD18&lt;&gt;"."),up_dir!G18/((1/1000)*(up_Irr!AE18+up_Irr!BD18)),IF(AND(up_Irr!F18=".",up_Irr!AE18=".",up_Irr!BD18&lt;&gt;"."),up_dir!G18/((1/1000)*(up_Irr!BD18)),IF(AND(up_Irr!F18=".",up_Irr!AE18&lt;&gt;".",up_Irr!BD18="."),up_dir!G18/((1/1000)*(up_Irr!AE18)),IF(AND(up_Irr!F18&lt;&gt;".",up_Irr!AE18=".",up_Irr!BD18="."),up_dir!G18/((1/1000)*(up_Irr!F18)),IF(AND(up_Irr!F18=".",up_Irr!AE18=".",up_Irr!BD18="."),up_dir!G18*1000)))))))),".")</f>
        <v>6.5773651144152123E-11</v>
      </c>
      <c r="H18" s="76">
        <f>IFERROR(IF(AND(up_Irr!G18&lt;&gt;".",up_Irr!AF18&lt;&gt;".",up_Irr!BE18&lt;&gt;"."),up_dir!H18/((1/1000)*(up_Irr!G18+up_Irr!AF18+up_Irr!BE18)),IF(AND(up_Irr!G18&lt;&gt;".",up_Irr!AF18&lt;&gt;".",up_Irr!BE18="."),up_dir!H18/((1/1000)*(up_Irr!G18+up_Irr!AF18)),IF(AND(up_Irr!G18&lt;&gt;".",up_Irr!AF18=".",up_Irr!BE18&lt;&gt;"."),up_dir!H18/((1/1000)*(up_Irr!G18+up_Irr!BE18)),IF(AND(up_Irr!G18=".",up_Irr!AF18&lt;&gt;".",up_Irr!BE18&lt;&gt;"."),up_dir!H18/((1/1000)*(up_Irr!AF18+up_Irr!BE18)),IF(AND(up_Irr!G18=".",up_Irr!AF18=".",up_Irr!BE18&lt;&gt;"."),up_dir!H18/((1/1000)*(up_Irr!BE18)),IF(AND(up_Irr!G18=".",up_Irr!AF18&lt;&gt;".",up_Irr!BE18="."),up_dir!H18/((1/1000)*(up_Irr!AF18)),IF(AND(up_Irr!G18&lt;&gt;".",up_Irr!AF18=".",up_Irr!BE18="."),up_dir!H18/((1/1000)*(up_Irr!G18)),IF(AND(up_Irr!G18=".",up_Irr!AF18=".",up_Irr!BE18="."),up_dir!H18*1000)))))))),".")</f>
        <v>6.5773651144152123E-11</v>
      </c>
      <c r="I18" s="76">
        <f>IFERROR(IF(AND(up_Irr!H18&lt;&gt;".",up_Irr!AG18&lt;&gt;".",up_Irr!BF18&lt;&gt;"."),up_dir!I18/((1/1000)*(up_Irr!H18+up_Irr!AG18+up_Irr!BF18)),IF(AND(up_Irr!H18&lt;&gt;".",up_Irr!AG18&lt;&gt;".",up_Irr!BF18="."),up_dir!I18/((1/1000)*(up_Irr!H18+up_Irr!AG18)),IF(AND(up_Irr!H18&lt;&gt;".",up_Irr!AG18=".",up_Irr!BF18&lt;&gt;"."),up_dir!I18/((1/1000)*(up_Irr!H18+up_Irr!BF18)),IF(AND(up_Irr!H18=".",up_Irr!AG18&lt;&gt;".",up_Irr!BF18&lt;&gt;"."),up_dir!I18/((1/1000)*(up_Irr!AG18+up_Irr!BF18)),IF(AND(up_Irr!H18=".",up_Irr!AG18=".",up_Irr!BF18&lt;&gt;"."),up_dir!I18/((1/1000)*(up_Irr!BF18)),IF(AND(up_Irr!H18=".",up_Irr!AG18&lt;&gt;".",up_Irr!BF18="."),up_dir!I18/((1/1000)*(up_Irr!AG18)),IF(AND(up_Irr!H18&lt;&gt;".",up_Irr!AG18=".",up_Irr!BF18="."),up_dir!I18/((1/1000)*(up_Irr!H18)),IF(AND(up_Irr!H18=".",up_Irr!AG18=".",up_Irr!BF18="."),up_dir!I18*1000)))))))),".")</f>
        <v>6.5773651144152123E-11</v>
      </c>
      <c r="J18" s="76">
        <f>IFERROR(IF(AND(up_Irr!I18&lt;&gt;".",up_Irr!AH18&lt;&gt;".",up_Irr!BG18&lt;&gt;"."),up_dir!J18/((1/1000)*(up_Irr!I18+up_Irr!AH18+up_Irr!BG18)),IF(AND(up_Irr!I18&lt;&gt;".",up_Irr!AH18&lt;&gt;".",up_Irr!BG18="."),up_dir!J18/((1/1000)*(up_Irr!I18+up_Irr!AH18)),IF(AND(up_Irr!I18&lt;&gt;".",up_Irr!AH18=".",up_Irr!BG18&lt;&gt;"."),up_dir!J18/((1/1000)*(up_Irr!I18+up_Irr!BG18)),IF(AND(up_Irr!I18=".",up_Irr!AH18&lt;&gt;".",up_Irr!BG18&lt;&gt;"."),up_dir!J18/((1/1000)*(up_Irr!AH18+up_Irr!BG18)),IF(AND(up_Irr!I18=".",up_Irr!AH18=".",up_Irr!BG18&lt;&gt;"."),up_dir!J18/((1/1000)*(up_Irr!BG18)),IF(AND(up_Irr!I18=".",up_Irr!AH18&lt;&gt;".",up_Irr!BG18="."),up_dir!J18/((1/1000)*(up_Irr!AH18)),IF(AND(up_Irr!I18&lt;&gt;".",up_Irr!AH18=".",up_Irr!BG18="."),up_dir!J18/((1/1000)*(up_Irr!I18)),IF(AND(up_Irr!I18=".",up_Irr!AH18=".",up_Irr!BG18="."),up_dir!J18*1000)))))))),".")</f>
        <v>6.5773651144152123E-11</v>
      </c>
      <c r="K18" s="76">
        <f>IFERROR(IF(AND(up_Irr!J18&lt;&gt;".",up_Irr!AI18&lt;&gt;".",up_Irr!BH18&lt;&gt;"."),up_dir!K18/((1/1000)*(up_Irr!J18+up_Irr!AI18+up_Irr!BH18)),IF(AND(up_Irr!J18&lt;&gt;".",up_Irr!AI18&lt;&gt;".",up_Irr!BH18="."),up_dir!K18/((1/1000)*(up_Irr!J18+up_Irr!AI18)),IF(AND(up_Irr!J18&lt;&gt;".",up_Irr!AI18=".",up_Irr!BH18&lt;&gt;"."),up_dir!K18/((1/1000)*(up_Irr!J18+up_Irr!BH18)),IF(AND(up_Irr!J18=".",up_Irr!AI18&lt;&gt;".",up_Irr!BH18&lt;&gt;"."),up_dir!K18/((1/1000)*(up_Irr!AI18+up_Irr!BH18)),IF(AND(up_Irr!J18=".",up_Irr!AI18=".",up_Irr!BH18&lt;&gt;"."),up_dir!K18/((1/1000)*(up_Irr!BH18)),IF(AND(up_Irr!J18=".",up_Irr!AI18&lt;&gt;".",up_Irr!BH18="."),up_dir!K18/((1/1000)*(up_Irr!AI18)),IF(AND(up_Irr!J18&lt;&gt;".",up_Irr!AI18=".",up_Irr!BH18="."),up_dir!K18/((1/1000)*(up_Irr!J18)),IF(AND(up_Irr!J18=".",up_Irr!AI18=".",up_Irr!BH18="."),up_dir!K18*1000)))))))),".")</f>
        <v>6.5773651144152123E-11</v>
      </c>
      <c r="L18" s="76">
        <f>IFERROR(IF(AND(up_Irr!K18&lt;&gt;".",up_Irr!AJ18&lt;&gt;".",up_Irr!BI18&lt;&gt;"."),up_dir!L18/((1/1000)*(up_Irr!K18+up_Irr!AJ18+up_Irr!BI18)),IF(AND(up_Irr!K18&lt;&gt;".",up_Irr!AJ18&lt;&gt;".",up_Irr!BI18="."),up_dir!L18/((1/1000)*(up_Irr!K18+up_Irr!AJ18)),IF(AND(up_Irr!K18&lt;&gt;".",up_Irr!AJ18=".",up_Irr!BI18&lt;&gt;"."),up_dir!L18/((1/1000)*(up_Irr!K18+up_Irr!BI18)),IF(AND(up_Irr!K18=".",up_Irr!AJ18&lt;&gt;".",up_Irr!BI18&lt;&gt;"."),up_dir!L18/((1/1000)*(up_Irr!AJ18+up_Irr!BI18)),IF(AND(up_Irr!K18=".",up_Irr!AJ18=".",up_Irr!BI18&lt;&gt;"."),up_dir!L18/((1/1000)*(up_Irr!BI18)),IF(AND(up_Irr!K18=".",up_Irr!AJ18&lt;&gt;".",up_Irr!BI18="."),up_dir!L18/((1/1000)*(up_Irr!AJ18)),IF(AND(up_Irr!K18&lt;&gt;".",up_Irr!AJ18=".",up_Irr!BI18="."),up_dir!L18/((1/1000)*(up_Irr!K18)),IF(AND(up_Irr!K18=".",up_Irr!AJ18=".",up_Irr!BI18="."),up_dir!L18*1000)))))))),".")</f>
        <v>6.5773651144152123E-11</v>
      </c>
      <c r="M18" s="76">
        <f>IFERROR(IF(AND(up_Irr!L18&lt;&gt;".",up_Irr!AK18&lt;&gt;".",up_Irr!BJ18&lt;&gt;"."),up_dir!M18/((1/1000)*(up_Irr!L18+up_Irr!AK18+up_Irr!BJ18)),IF(AND(up_Irr!L18&lt;&gt;".",up_Irr!AK18&lt;&gt;".",up_Irr!BJ18="."),up_dir!M18/((1/1000)*(up_Irr!L18+up_Irr!AK18)),IF(AND(up_Irr!L18&lt;&gt;".",up_Irr!AK18=".",up_Irr!BJ18&lt;&gt;"."),up_dir!M18/((1/1000)*(up_Irr!L18+up_Irr!BJ18)),IF(AND(up_Irr!L18=".",up_Irr!AK18&lt;&gt;".",up_Irr!BJ18&lt;&gt;"."),up_dir!M18/((1/1000)*(up_Irr!AK18+up_Irr!BJ18)),IF(AND(up_Irr!L18=".",up_Irr!AK18=".",up_Irr!BJ18&lt;&gt;"."),up_dir!M18/((1/1000)*(up_Irr!BJ18)),IF(AND(up_Irr!L18=".",up_Irr!AK18&lt;&gt;".",up_Irr!BJ18="."),up_dir!M18/((1/1000)*(up_Irr!AK18)),IF(AND(up_Irr!L18&lt;&gt;".",up_Irr!AK18=".",up_Irr!BJ18="."),up_dir!M18/((1/1000)*(up_Irr!L18)),IF(AND(up_Irr!L18=".",up_Irr!AK18=".",up_Irr!BJ18="."),up_dir!M18*1000)))))))),".")</f>
        <v>6.5773651144152123E-11</v>
      </c>
      <c r="N18" s="76">
        <f>IFERROR(IF(AND(up_Irr!M18&lt;&gt;".",up_Irr!AL18&lt;&gt;".",up_Irr!BK18&lt;&gt;"."),up_dir!N18/((1/1000)*(up_Irr!M18+up_Irr!AL18+up_Irr!BK18)),IF(AND(up_Irr!M18&lt;&gt;".",up_Irr!AL18&lt;&gt;".",up_Irr!BK18="."),up_dir!N18/((1/1000)*(up_Irr!M18+up_Irr!AL18)),IF(AND(up_Irr!M18&lt;&gt;".",up_Irr!AL18=".",up_Irr!BK18&lt;&gt;"."),up_dir!N18/((1/1000)*(up_Irr!M18+up_Irr!BK18)),IF(AND(up_Irr!M18=".",up_Irr!AL18&lt;&gt;".",up_Irr!BK18&lt;&gt;"."),up_dir!N18/((1/1000)*(up_Irr!AL18+up_Irr!BK18)),IF(AND(up_Irr!M18=".",up_Irr!AL18=".",up_Irr!BK18&lt;&gt;"."),up_dir!N18/((1/1000)*(up_Irr!BK18)),IF(AND(up_Irr!M18=".",up_Irr!AL18&lt;&gt;".",up_Irr!BK18="."),up_dir!N18/((1/1000)*(up_Irr!AL18)),IF(AND(up_Irr!M18&lt;&gt;".",up_Irr!AL18=".",up_Irr!BK18="."),up_dir!N18/((1/1000)*(up_Irr!M18)),IF(AND(up_Irr!M18=".",up_Irr!AL18=".",up_Irr!BK18="."),up_dir!N18*1000)))))))),".")</f>
        <v>6.5773651144152123E-11</v>
      </c>
      <c r="O18" s="76">
        <f>IFERROR(IF(AND(up_Irr!N18&lt;&gt;".",up_Irr!AM18&lt;&gt;".",up_Irr!BL18&lt;&gt;"."),up_dir!O18/((1/1000)*(up_Irr!N18+up_Irr!AM18+up_Irr!BL18)),IF(AND(up_Irr!N18&lt;&gt;".",up_Irr!AM18&lt;&gt;".",up_Irr!BL18="."),up_dir!O18/((1/1000)*(up_Irr!N18+up_Irr!AM18)),IF(AND(up_Irr!N18&lt;&gt;".",up_Irr!AM18=".",up_Irr!BL18&lt;&gt;"."),up_dir!O18/((1/1000)*(up_Irr!N18+up_Irr!BL18)),IF(AND(up_Irr!N18=".",up_Irr!AM18&lt;&gt;".",up_Irr!BL18&lt;&gt;"."),up_dir!O18/((1/1000)*(up_Irr!AM18+up_Irr!BL18)),IF(AND(up_Irr!N18=".",up_Irr!AM18=".",up_Irr!BL18&lt;&gt;"."),up_dir!O18/((1/1000)*(up_Irr!BL18)),IF(AND(up_Irr!N18=".",up_Irr!AM18&lt;&gt;".",up_Irr!BL18="."),up_dir!O18/((1/1000)*(up_Irr!AM18)),IF(AND(up_Irr!N18&lt;&gt;".",up_Irr!AM18=".",up_Irr!BL18="."),up_dir!O18/((1/1000)*(up_Irr!N18)),IF(AND(up_Irr!N18=".",up_Irr!AM18=".",up_Irr!BL18="."),up_dir!O18*1000)))))))),".")</f>
        <v>6.5773651144152123E-11</v>
      </c>
      <c r="P18" s="76">
        <f>IFERROR(IF(AND(up_Irr!O18&lt;&gt;".",up_Irr!AN18&lt;&gt;".",up_Irr!BM18&lt;&gt;"."),up_dir!P18/((1/1000)*(up_Irr!O18+up_Irr!AN18+up_Irr!BM18)),IF(AND(up_Irr!O18&lt;&gt;".",up_Irr!AN18&lt;&gt;".",up_Irr!BM18="."),up_dir!P18/((1/1000)*(up_Irr!O18+up_Irr!AN18)),IF(AND(up_Irr!O18&lt;&gt;".",up_Irr!AN18=".",up_Irr!BM18&lt;&gt;"."),up_dir!P18/((1/1000)*(up_Irr!O18+up_Irr!BM18)),IF(AND(up_Irr!O18=".",up_Irr!AN18&lt;&gt;".",up_Irr!BM18&lt;&gt;"."),up_dir!P18/((1/1000)*(up_Irr!AN18+up_Irr!BM18)),IF(AND(up_Irr!O18=".",up_Irr!AN18=".",up_Irr!BM18&lt;&gt;"."),up_dir!P18/((1/1000)*(up_Irr!BM18)),IF(AND(up_Irr!O18=".",up_Irr!AN18&lt;&gt;".",up_Irr!BM18="."),up_dir!P18/((1/1000)*(up_Irr!AN18)),IF(AND(up_Irr!O18&lt;&gt;".",up_Irr!AN18=".",up_Irr!BM18="."),up_dir!P18/((1/1000)*(up_Irr!O18)),IF(AND(up_Irr!O18=".",up_Irr!AN18=".",up_Irr!BM18="."),up_dir!P18*1000)))))))),".")</f>
        <v>6.5773651144152123E-11</v>
      </c>
      <c r="Q18" s="76">
        <f>IFERROR(IF(AND(up_Irr!P18&lt;&gt;".",up_Irr!AO18&lt;&gt;".",up_Irr!BN18&lt;&gt;"."),up_dir!Q18/((1/1000)*(up_Irr!P18+up_Irr!AO18+up_Irr!BN18)),IF(AND(up_Irr!P18&lt;&gt;".",up_Irr!AO18&lt;&gt;".",up_Irr!BN18="."),up_dir!Q18/((1/1000)*(up_Irr!P18+up_Irr!AO18)),IF(AND(up_Irr!P18&lt;&gt;".",up_Irr!AO18=".",up_Irr!BN18&lt;&gt;"."),up_dir!Q18/((1/1000)*(up_Irr!P18+up_Irr!BN18)),IF(AND(up_Irr!P18=".",up_Irr!AO18&lt;&gt;".",up_Irr!BN18&lt;&gt;"."),up_dir!Q18/((1/1000)*(up_Irr!AO18+up_Irr!BN18)),IF(AND(up_Irr!P18=".",up_Irr!AO18=".",up_Irr!BN18&lt;&gt;"."),up_dir!Q18/((1/1000)*(up_Irr!BN18)),IF(AND(up_Irr!P18=".",up_Irr!AO18&lt;&gt;".",up_Irr!BN18="."),up_dir!Q18/((1/1000)*(up_Irr!AO18)),IF(AND(up_Irr!P18&lt;&gt;".",up_Irr!AO18=".",up_Irr!BN18="."),up_dir!Q18/((1/1000)*(up_Irr!P18)),IF(AND(up_Irr!P18=".",up_Irr!AO18=".",up_Irr!BN18="."),up_dir!Q18*1000)))))))),".")</f>
        <v>6.5773651144152123E-11</v>
      </c>
      <c r="R18" s="76">
        <f>IFERROR(IF(AND(up_Irr!Q18&lt;&gt;".",up_Irr!AP18&lt;&gt;".",up_Irr!BO18&lt;&gt;"."),up_dir!R18/((1/1000)*(up_Irr!Q18+up_Irr!AP18+up_Irr!BO18)),IF(AND(up_Irr!Q18&lt;&gt;".",up_Irr!AP18&lt;&gt;".",up_Irr!BO18="."),up_dir!R18/((1/1000)*(up_Irr!Q18+up_Irr!AP18)),IF(AND(up_Irr!Q18&lt;&gt;".",up_Irr!AP18=".",up_Irr!BO18&lt;&gt;"."),up_dir!R18/((1/1000)*(up_Irr!Q18+up_Irr!BO18)),IF(AND(up_Irr!Q18=".",up_Irr!AP18&lt;&gt;".",up_Irr!BO18&lt;&gt;"."),up_dir!R18/((1/1000)*(up_Irr!AP18+up_Irr!BO18)),IF(AND(up_Irr!Q18=".",up_Irr!AP18=".",up_Irr!BO18&lt;&gt;"."),up_dir!R18/((1/1000)*(up_Irr!BO18)),IF(AND(up_Irr!Q18=".",up_Irr!AP18&lt;&gt;".",up_Irr!BO18="."),up_dir!R18/((1/1000)*(up_Irr!AP18)),IF(AND(up_Irr!Q18&lt;&gt;".",up_Irr!AP18=".",up_Irr!BO18="."),up_dir!R18/((1/1000)*(up_Irr!Q18)),IF(AND(up_Irr!Q18=".",up_Irr!AP18=".",up_Irr!BO18="."),up_dir!R18*1000)))))))),".")</f>
        <v>6.5773651144152123E-11</v>
      </c>
      <c r="S18" s="76">
        <f>IFERROR(IF(AND(up_Irr!R18&lt;&gt;".",up_Irr!AQ18&lt;&gt;".",up_Irr!BP18&lt;&gt;"."),up_dir!S18/((1/1000)*(up_Irr!R18+up_Irr!AQ18+up_Irr!BP18)),IF(AND(up_Irr!R18&lt;&gt;".",up_Irr!AQ18&lt;&gt;".",up_Irr!BP18="."),up_dir!S18/((1/1000)*(up_Irr!R18+up_Irr!AQ18)),IF(AND(up_Irr!R18&lt;&gt;".",up_Irr!AQ18=".",up_Irr!BP18&lt;&gt;"."),up_dir!S18/((1/1000)*(up_Irr!R18+up_Irr!BP18)),IF(AND(up_Irr!R18=".",up_Irr!AQ18&lt;&gt;".",up_Irr!BP18&lt;&gt;"."),up_dir!S18/((1/1000)*(up_Irr!AQ18+up_Irr!BP18)),IF(AND(up_Irr!R18=".",up_Irr!AQ18=".",up_Irr!BP18&lt;&gt;"."),up_dir!S18/((1/1000)*(up_Irr!BP18)),IF(AND(up_Irr!R18=".",up_Irr!AQ18&lt;&gt;".",up_Irr!BP18="."),up_dir!S18/((1/1000)*(up_Irr!AQ18)),IF(AND(up_Irr!R18&lt;&gt;".",up_Irr!AQ18=".",up_Irr!BP18="."),up_dir!S18/((1/1000)*(up_Irr!R18)),IF(AND(up_Irr!R18=".",up_Irr!AQ18=".",up_Irr!BP18="."),up_dir!S18*1000)))))))),".")</f>
        <v>6.5773651144152123E-11</v>
      </c>
      <c r="T18" s="76">
        <f>IFERROR(IF(AND(up_Irr!S18&lt;&gt;".",up_Irr!AR18&lt;&gt;".",up_Irr!BQ18&lt;&gt;"."),up_dir!T18/((1/1000)*(up_Irr!S18+up_Irr!AR18+up_Irr!BQ18)),IF(AND(up_Irr!S18&lt;&gt;".",up_Irr!AR18&lt;&gt;".",up_Irr!BQ18="."),up_dir!T18/((1/1000)*(up_Irr!S18+up_Irr!AR18)),IF(AND(up_Irr!S18&lt;&gt;".",up_Irr!AR18=".",up_Irr!BQ18&lt;&gt;"."),up_dir!T18/((1/1000)*(up_Irr!S18+up_Irr!BQ18)),IF(AND(up_Irr!S18=".",up_Irr!AR18&lt;&gt;".",up_Irr!BQ18&lt;&gt;"."),up_dir!T18/((1/1000)*(up_Irr!AR18+up_Irr!BQ18)),IF(AND(up_Irr!S18=".",up_Irr!AR18=".",up_Irr!BQ18&lt;&gt;"."),up_dir!T18/((1/1000)*(up_Irr!BQ18)),IF(AND(up_Irr!S18=".",up_Irr!AR18&lt;&gt;".",up_Irr!BQ18="."),up_dir!T18/((1/1000)*(up_Irr!AR18)),IF(AND(up_Irr!S18&lt;&gt;".",up_Irr!AR18=".",up_Irr!BQ18="."),up_dir!T18/((1/1000)*(up_Irr!S18)),IF(AND(up_Irr!S18=".",up_Irr!AR18=".",up_Irr!BQ18="."),up_dir!T18*1000)))))))),".")</f>
        <v>6.5773651144152123E-11</v>
      </c>
      <c r="U18" s="76">
        <f>IFERROR(IF(AND(up_Irr!T18&lt;&gt;".",up_Irr!AS18&lt;&gt;".",up_Irr!BR18&lt;&gt;"."),up_dir!U18/((1/1000)*(up_Irr!T18+up_Irr!AS18+up_Irr!BR18)),IF(AND(up_Irr!T18&lt;&gt;".",up_Irr!AS18&lt;&gt;".",up_Irr!BR18="."),up_dir!U18/((1/1000)*(up_Irr!T18+up_Irr!AS18)),IF(AND(up_Irr!T18&lt;&gt;".",up_Irr!AS18=".",up_Irr!BR18&lt;&gt;"."),up_dir!U18/((1/1000)*(up_Irr!T18+up_Irr!BR18)),IF(AND(up_Irr!T18=".",up_Irr!AS18&lt;&gt;".",up_Irr!BR18&lt;&gt;"."),up_dir!U18/((1/1000)*(up_Irr!AS18+up_Irr!BR18)),IF(AND(up_Irr!T18=".",up_Irr!AS18=".",up_Irr!BR18&lt;&gt;"."),up_dir!U18/((1/1000)*(up_Irr!BR18)),IF(AND(up_Irr!T18=".",up_Irr!AS18&lt;&gt;".",up_Irr!BR18="."),up_dir!U18/((1/1000)*(up_Irr!AS18)),IF(AND(up_Irr!T18&lt;&gt;".",up_Irr!AS18=".",up_Irr!BR18="."),up_dir!U18/((1/1000)*(up_Irr!T18)),IF(AND(up_Irr!T18=".",up_Irr!AS18=".",up_Irr!BR18="."),up_dir!U18*1000)))))))),".")</f>
        <v>6.5773651144152123E-11</v>
      </c>
      <c r="V18" s="76">
        <f>IFERROR(IF(AND(up_Irr!U18&lt;&gt;".",up_Irr!AT18&lt;&gt;".",up_Irr!BS18&lt;&gt;"."),up_dir!V18/((1/1000)*(up_Irr!U18+up_Irr!AT18+up_Irr!BS18)),IF(AND(up_Irr!U18&lt;&gt;".",up_Irr!AT18&lt;&gt;".",up_Irr!BS18="."),up_dir!V18/((1/1000)*(up_Irr!U18+up_Irr!AT18)),IF(AND(up_Irr!U18&lt;&gt;".",up_Irr!AT18=".",up_Irr!BS18&lt;&gt;"."),up_dir!V18/((1/1000)*(up_Irr!U18+up_Irr!BS18)),IF(AND(up_Irr!U18=".",up_Irr!AT18&lt;&gt;".",up_Irr!BS18&lt;&gt;"."),up_dir!V18/((1/1000)*(up_Irr!AT18+up_Irr!BS18)),IF(AND(up_Irr!U18=".",up_Irr!AT18=".",up_Irr!BS18&lt;&gt;"."),up_dir!V18/((1/1000)*(up_Irr!BS18)),IF(AND(up_Irr!U18=".",up_Irr!AT18&lt;&gt;".",up_Irr!BS18="."),up_dir!V18/((1/1000)*(up_Irr!AT18)),IF(AND(up_Irr!U18&lt;&gt;".",up_Irr!AT18=".",up_Irr!BS18="."),up_dir!V18/((1/1000)*(up_Irr!U18)),IF(AND(up_Irr!U18=".",up_Irr!AT18=".",up_Irr!BS18="."),up_dir!V18*1000)))))))),".")</f>
        <v>6.5773651144152123E-11</v>
      </c>
      <c r="W18" s="76">
        <f>IFERROR(IF(AND(up_Irr!V18&lt;&gt;".",up_Irr!AU18&lt;&gt;".",up_Irr!BT18&lt;&gt;"."),up_dir!W18/((1/1000)*(up_Irr!V18+up_Irr!AU18+up_Irr!BT18)),IF(AND(up_Irr!V18&lt;&gt;".",up_Irr!AU18&lt;&gt;".",up_Irr!BT18="."),up_dir!W18/((1/1000)*(up_Irr!V18+up_Irr!AU18)),IF(AND(up_Irr!V18&lt;&gt;".",up_Irr!AU18=".",up_Irr!BT18&lt;&gt;"."),up_dir!W18/((1/1000)*(up_Irr!V18+up_Irr!BT18)),IF(AND(up_Irr!V18=".",up_Irr!AU18&lt;&gt;".",up_Irr!BT18&lt;&gt;"."),up_dir!W18/((1/1000)*(up_Irr!AU18+up_Irr!BT18)),IF(AND(up_Irr!V18=".",up_Irr!AU18=".",up_Irr!BT18&lt;&gt;"."),up_dir!W18/((1/1000)*(up_Irr!BT18)),IF(AND(up_Irr!V18=".",up_Irr!AU18&lt;&gt;".",up_Irr!BT18="."),up_dir!W18/((1/1000)*(up_Irr!AU18)),IF(AND(up_Irr!V18&lt;&gt;".",up_Irr!AU18=".",up_Irr!BT18="."),up_dir!W18/((1/1000)*(up_Irr!V18)),IF(AND(up_Irr!V18=".",up_Irr!AU18=".",up_Irr!BT18="."),up_dir!W18*1000)))))))),".")</f>
        <v>6.5773651144152123E-11</v>
      </c>
      <c r="X18" s="76">
        <f>IFERROR(IF(AND(up_Irr!W18&lt;&gt;".",up_Irr!AV18&lt;&gt;".",up_Irr!BU18&lt;&gt;"."),up_dir!X18/((1/1000)*(up_Irr!W18+up_Irr!AV18+up_Irr!BU18)),IF(AND(up_Irr!W18&lt;&gt;".",up_Irr!AV18&lt;&gt;".",up_Irr!BU18="."),up_dir!X18/((1/1000)*(up_Irr!W18+up_Irr!AV18)),IF(AND(up_Irr!W18&lt;&gt;".",up_Irr!AV18=".",up_Irr!BU18&lt;&gt;"."),up_dir!X18/((1/1000)*(up_Irr!W18+up_Irr!BU18)),IF(AND(up_Irr!W18=".",up_Irr!AV18&lt;&gt;".",up_Irr!BU18&lt;&gt;"."),up_dir!X18/((1/1000)*(up_Irr!AV18+up_Irr!BU18)),IF(AND(up_Irr!W18=".",up_Irr!AV18=".",up_Irr!BU18&lt;&gt;"."),up_dir!X18/((1/1000)*(up_Irr!BU18)),IF(AND(up_Irr!W18=".",up_Irr!AV18&lt;&gt;".",up_Irr!BU18="."),up_dir!X18/((1/1000)*(up_Irr!AV18)),IF(AND(up_Irr!W18&lt;&gt;".",up_Irr!AV18=".",up_Irr!BU18="."),up_dir!X18/((1/1000)*(up_Irr!W18)),IF(AND(up_Irr!W18=".",up_Irr!AV18=".",up_Irr!BU18="."),up_dir!X18*1000)))))))),".")</f>
        <v>6.5773651144152123E-11</v>
      </c>
      <c r="Y18" s="76">
        <f>IFERROR(IF(AND(up_Irr!X18&lt;&gt;".",up_Irr!AW18&lt;&gt;".",up_Irr!BV18&lt;&gt;"."),up_dir!Y18/((1/1000)*(up_Irr!X18+up_Irr!AW18+up_Irr!BV18)),IF(AND(up_Irr!X18&lt;&gt;".",up_Irr!AW18&lt;&gt;".",up_Irr!BV18="."),up_dir!Y18/((1/1000)*(up_Irr!X18+up_Irr!AW18)),IF(AND(up_Irr!X18&lt;&gt;".",up_Irr!AW18=".",up_Irr!BV18&lt;&gt;"."),up_dir!Y18/((1/1000)*(up_Irr!X18+up_Irr!BV18)),IF(AND(up_Irr!X18=".",up_Irr!AW18&lt;&gt;".",up_Irr!BV18&lt;&gt;"."),up_dir!Y18/((1/1000)*(up_Irr!AW18+up_Irr!BV18)),IF(AND(up_Irr!X18=".",up_Irr!AW18=".",up_Irr!BV18&lt;&gt;"."),up_dir!Y18/((1/1000)*(up_Irr!BV18)),IF(AND(up_Irr!X18=".",up_Irr!AW18&lt;&gt;".",up_Irr!BV18="."),up_dir!Y18/((1/1000)*(up_Irr!AW18)),IF(AND(up_Irr!X18&lt;&gt;".",up_Irr!AW18=".",up_Irr!BV18="."),up_dir!Y18/((1/1000)*(up_Irr!X18)),IF(AND(up_Irr!X18=".",up_Irr!AW18=".",up_Irr!BV18="."),up_dir!Y18*1000)))))))),".")</f>
        <v>6.5773651144152123E-11</v>
      </c>
      <c r="Z18" s="76">
        <f>IFERROR(IF(AND(up_Irr!Y18&lt;&gt;".",up_Irr!AX18&lt;&gt;".",up_Irr!BW18&lt;&gt;"."),up_dir!Z18/((1/1000)*(up_Irr!Y18+up_Irr!AX18+up_Irr!BW18)),IF(AND(up_Irr!Y18&lt;&gt;".",up_Irr!AX18&lt;&gt;".",up_Irr!BW18="."),up_dir!Z18/((1/1000)*(up_Irr!Y18+up_Irr!AX18)),IF(AND(up_Irr!Y18&lt;&gt;".",up_Irr!AX18=".",up_Irr!BW18&lt;&gt;"."),up_dir!Z18/((1/1000)*(up_Irr!Y18+up_Irr!BW18)),IF(AND(up_Irr!Y18=".",up_Irr!AX18&lt;&gt;".",up_Irr!BW18&lt;&gt;"."),up_dir!Z18/((1/1000)*(up_Irr!AX18+up_Irr!BW18)),IF(AND(up_Irr!Y18=".",up_Irr!AX18=".",up_Irr!BW18&lt;&gt;"."),up_dir!Z18/((1/1000)*(up_Irr!BW18)),IF(AND(up_Irr!Y18=".",up_Irr!AX18&lt;&gt;".",up_Irr!BW18="."),up_dir!Z18/((1/1000)*(up_Irr!AX18)),IF(AND(up_Irr!Y18&lt;&gt;".",up_Irr!AX18=".",up_Irr!BW18="."),up_dir!Z18/((1/1000)*(up_Irr!Y18)),IF(AND(up_Irr!Y18=".",up_Irr!AX18=".",up_Irr!BW18="."),up_dir!Z18*1000)))))))),".")</f>
        <v>6.5773651144152123E-11</v>
      </c>
      <c r="AA18" s="76">
        <f>IFERROR(IF(AND(up_Irr!Z18&lt;&gt;".",up_Irr!AY18&lt;&gt;".",up_Irr!BX18&lt;&gt;"."),up_dir!AA18/((1/1000)*(up_Irr!Z18+up_Irr!AY18+up_Irr!BX18)),IF(AND(up_Irr!Z18&lt;&gt;".",up_Irr!AY18&lt;&gt;".",up_Irr!BX18="."),up_dir!AA18/((1/1000)*(up_Irr!Z18+up_Irr!AY18)),IF(AND(up_Irr!Z18&lt;&gt;".",up_Irr!AY18=".",up_Irr!BX18&lt;&gt;"."),up_dir!AA18/((1/1000)*(up_Irr!Z18+up_Irr!BX18)),IF(AND(up_Irr!Z18=".",up_Irr!AY18&lt;&gt;".",up_Irr!BX18&lt;&gt;"."),up_dir!AA18/((1/1000)*(up_Irr!AY18+up_Irr!BX18)),IF(AND(up_Irr!Z18=".",up_Irr!AY18=".",up_Irr!BX18&lt;&gt;"."),up_dir!AA18/((1/1000)*(up_Irr!BX18)),IF(AND(up_Irr!Z18=".",up_Irr!AY18&lt;&gt;".",up_Irr!BX18="."),up_dir!AA18/((1/1000)*(up_Irr!AY18)),IF(AND(up_Irr!Z18&lt;&gt;".",up_Irr!AY18=".",up_Irr!BX18="."),up_dir!AA18/((1/1000)*(up_Irr!Z18)),IF(AND(up_Irr!Z18=".",up_Irr!AY18=".",up_Irr!BX18="."),up_dir!AA18*1000)))))))),".")</f>
        <v>6.5773651144152123E-11</v>
      </c>
      <c r="AB18" s="76">
        <f>IFERROR(IF(AND(up_Irr!AA18&lt;&gt;".",up_Irr!AZ18&lt;&gt;".",up_Irr!BY18&lt;&gt;"."),up_dir!AB18/((1/1000)*(up_Irr!AA18+up_Irr!AZ18+up_Irr!BY18)),IF(AND(up_Irr!AA18&lt;&gt;".",up_Irr!AZ18&lt;&gt;".",up_Irr!BY18="."),up_dir!AB18/((1/1000)*(up_Irr!AA18+up_Irr!AZ18)),IF(AND(up_Irr!AA18&lt;&gt;".",up_Irr!AZ18=".",up_Irr!BY18&lt;&gt;"."),up_dir!AB18/((1/1000)*(up_Irr!AA18+up_Irr!BY18)),IF(AND(up_Irr!AA18=".",up_Irr!AZ18&lt;&gt;".",up_Irr!BY18&lt;&gt;"."),up_dir!AB18/((1/1000)*(up_Irr!AZ18+up_Irr!BY18)),IF(AND(up_Irr!AA18=".",up_Irr!AZ18=".",up_Irr!BY18&lt;&gt;"."),up_dir!AB18/((1/1000)*(up_Irr!BY18)),IF(AND(up_Irr!AA18=".",up_Irr!AZ18&lt;&gt;".",up_Irr!BY18="."),up_dir!AB18/((1/1000)*(up_Irr!AZ18)),IF(AND(up_Irr!AA18&lt;&gt;".",up_Irr!AZ18=".",up_Irr!BY18="."),up_dir!AB18/((1/1000)*(up_Irr!AA18)),IF(AND(up_Irr!AA18=".",up_Irr!AZ18=".",up_Irr!BY18="."),up_dir!AB18*1000)))))))),".")</f>
        <v>6.5773651144152123E-11</v>
      </c>
      <c r="AC18" s="93">
        <f t="shared" si="1"/>
        <v>608146.26076229871</v>
      </c>
      <c r="AD18" s="93">
        <f>IFERROR(s_C*s_IFAP_res_adj*s_CF_apple*0.001*(up_Irr!C18+up_Irr!AB18+up_Irr!BA18),".")</f>
        <v>152036.56519057468</v>
      </c>
      <c r="AE18" s="93">
        <f>IFERROR(s_C*s_IFAS_res_adj*s_CF_asparagus*0.001*(up_Irr!D18+up_Irr!AC18+up_Irr!BB18),".")</f>
        <v>152036.56519057468</v>
      </c>
      <c r="AF18" s="93">
        <f>IFERROR(s_C*s_IFBT_res_adj*s_CF_beet*0.001*(up_Irr!E18+up_Irr!AD18+up_Irr!BC18),".")</f>
        <v>152036.56519057468</v>
      </c>
      <c r="AG18" s="93">
        <f>IFERROR(s_C*s_IFBE_res_adj*s_CF_berries*0.001*(up_Irr!F18+up_Irr!AE18+up_Irr!BD18),".")</f>
        <v>152036.56519057468</v>
      </c>
      <c r="AH18" s="93">
        <f>IFERROR(s_C*s_IFBR_res_adj*s_CF_broccoli*0.001*(up_Irr!G18+up_Irr!AF18+up_Irr!BE18),".")</f>
        <v>152036.56519057468</v>
      </c>
      <c r="AI18" s="93">
        <f>IFERROR(s_C*s_IFCB_res_adj*s_CF_cabbage*0.001*(up_Irr!H18+up_Irr!AG18+up_Irr!BF18),".")</f>
        <v>152036.56519057468</v>
      </c>
      <c r="AJ18" s="93">
        <f>IFERROR(s_C*s_IFCR_res_adj*s_CF_carrot*0.001*(up_Irr!I18+up_Irr!AH18+up_Irr!BG18),".")</f>
        <v>152036.56519057468</v>
      </c>
      <c r="AK18" s="93">
        <f>IFERROR(s_C*s_IFCI_res_adj*s_CF_citrus*0.001*(up_Irr!J18+up_Irr!AI18+up_Irr!BH18),".")</f>
        <v>152036.56519057468</v>
      </c>
      <c r="AL18" s="93">
        <f>IFERROR(s_C*s_IFCO_res_adj*s_CF_corn*0.001*(up_Irr!K18+up_Irr!AJ18+up_Irr!BI18),".")</f>
        <v>152036.56519057468</v>
      </c>
      <c r="AM18" s="93">
        <f>IFERROR(s_C*s_IFCU_res_adj*s_CF_cucumber*0.001*(up_Irr!L18+up_Irr!AK18+up_Irr!BJ18),".")</f>
        <v>152036.56519057468</v>
      </c>
      <c r="AN18" s="93">
        <f>IFERROR(s_C*s_IFLE_res_adj*s_CF_lettuce*0.001*(up_Irr!M18+up_Irr!AL18+up_Irr!BK18),".")</f>
        <v>152036.56519057468</v>
      </c>
      <c r="AO18" s="93">
        <f>IFERROR(s_C*s_IFLI_res_adj*s_CF_lima_bean*0.001*(up_Irr!N18+up_Irr!AM18+up_Irr!BL18),".")</f>
        <v>152036.56519057468</v>
      </c>
      <c r="AP18" s="93">
        <f>IFERROR(s_C*s_IFOK_res_adj*s_CF_okra*0.001*(up_Irr!O18+up_Irr!AN18+up_Irr!BM18),".")</f>
        <v>152036.56519057468</v>
      </c>
      <c r="AQ18" s="93">
        <f>IFERROR(s_C*s_IFON_res_adj*s_CF_onion*0.001*(up_Irr!P18+up_Irr!AO18+up_Irr!BN18),".")</f>
        <v>152036.56519057468</v>
      </c>
      <c r="AR18" s="93">
        <f>IFERROR(s_C*s_IFPC_res_adj*s_CF_peach*0.001*(up_Irr!Q18+up_Irr!AP18+up_Irr!BO18),".")</f>
        <v>152036.56519057468</v>
      </c>
      <c r="AS18" s="93">
        <f>IFERROR(s_C*s_IFPR_res_adj*s_CF_pear*0.001*(up_Irr!R18+up_Irr!AQ18+up_Irr!BP18),".")</f>
        <v>152036.56519057468</v>
      </c>
      <c r="AT18" s="93">
        <f>IFERROR(s_C*s_IFPE_res_adj*s_CF_peas*0.001*(up_Irr!S18+up_Irr!AR18+up_Irr!BQ18),".")</f>
        <v>152036.56519057468</v>
      </c>
      <c r="AU18" s="93">
        <f>IFERROR(s_C*s_IFPP_res_adj*s_CF_peppers*0.001*(up_Irr!T18+up_Irr!AS18+up_Irr!BR18),".")</f>
        <v>152036.56519057468</v>
      </c>
      <c r="AV18" s="93">
        <f>IFERROR(s_C*s_IFPT_res_adj*s_CF_potato*0.001*(up_Irr!U18+up_Irr!AT18+up_Irr!BS18),".")</f>
        <v>152036.56519057468</v>
      </c>
      <c r="AW18" s="93">
        <f>IFERROR(s_C*s_IFPU_res_adj*s_CF_pumpkin*0.001*(up_Irr!V18+up_Irr!AU18+up_Irr!BT18),".")</f>
        <v>152036.56519057468</v>
      </c>
      <c r="AX18" s="93">
        <f>IFERROR(s_C*s_IFSN_res_adj*s_CF_snap_bean*0.001*(up_Irr!W18+up_Irr!AV18+up_Irr!BU18),".")</f>
        <v>152036.56519057468</v>
      </c>
      <c r="AY18" s="93">
        <f>IFERROR(s_C*s_IFST_res_adj*s_CF_strawberry*0.001*(up_Irr!X18+up_Irr!AW18+up_Irr!BV18),".")</f>
        <v>152036.56519057468</v>
      </c>
      <c r="AZ18" s="93">
        <f>IFERROR(s_C*s_IFTO_res_adj*s_CF_tomato*0.001*(up_Irr!Y18+up_Irr!AX18+up_Irr!BW18),".")</f>
        <v>152036.56519057468</v>
      </c>
      <c r="BA18" s="93">
        <f>IFERROR(s_C*s_IFRI_res_adj*s_CF_rice*0.001*(up_Irr!Z18+up_Irr!AY18+up_Irr!BX18),".")</f>
        <v>152036.56519057468</v>
      </c>
      <c r="BB18" s="93">
        <f>IFERROR(s_C*s_IFCG_res_adj*s_CF_cereal*0.001*(up_Irr!AA18+up_Irr!AZ18+up_Irr!BY18),".")</f>
        <v>152036.56519057468</v>
      </c>
      <c r="BC18" s="76">
        <f t="shared" si="2"/>
        <v>1.6443412786038031E-11</v>
      </c>
      <c r="BD18" s="76">
        <f>IFERROR(IF(AND(up_Irr!C18&lt;&gt;".",up_Irr!AB18&lt;&gt;".",up_Irr!BA18&lt;&gt;"."),up_dir!AD18/((1/1000)*(up_Irr!C18+up_Irr!AB18+up_Irr!BA18)),IF(AND(up_Irr!C18&lt;&gt;".",up_Irr!AB18&lt;&gt;".",up_Irr!BA18="."),up_dir!AD18/((1/1000)*(up_Irr!C18+up_Irr!AB18)),IF(AND(up_Irr!C18&lt;&gt;".",up_Irr!AB18=".",up_Irr!BA18&lt;&gt;"."),up_dir!AD18/((1/1000)*(up_Irr!C18+up_Irr!BA18)),IF(AND(up_Irr!C18=".",up_Irr!AB18&lt;&gt;".",up_Irr!BA18&lt;&gt;"."),up_dir!AD18/((1/1000)*(up_Irr!AB18+up_Irr!BA18)),IF(AND(up_Irr!C18=".",up_Irr!AB18=".",up_Irr!BA18&lt;&gt;"."),up_dir!AD18/((1/1000)*(up_Irr!BA18)),IF(AND(up_Irr!C18=".",up_Irr!AB18&lt;&gt;".",up_Irr!BA18="."),up_dir!AD18/((1/1000)*(up_Irr!AB18)),IF(AND(up_Irr!C18&lt;&gt;".",up_Irr!AB18=".",up_Irr!BA18="."),up_dir!AD18/((1/1000)*(up_Irr!C18)),IF(AND(up_Irr!C18=".",up_Irr!AB18=".",up_Irr!BA18="."),up_dir!AD18*1000)))))))),".")</f>
        <v>6.5773651144152123E-11</v>
      </c>
      <c r="BE18" s="76">
        <f>IFERROR(IF(AND(up_Irr!D18&lt;&gt;".",up_Irr!AC18&lt;&gt;".",up_Irr!BB18&lt;&gt;"."),up_dir!AE18/((1/1000)*(up_Irr!D18+up_Irr!AC18+up_Irr!BB18)),IF(AND(up_Irr!D18&lt;&gt;".",up_Irr!AC18&lt;&gt;".",up_Irr!BB18="."),up_dir!AE18/((1/1000)*(up_Irr!D18+up_Irr!AC18)),IF(AND(up_Irr!D18&lt;&gt;".",up_Irr!AC18=".",up_Irr!BB18&lt;&gt;"."),up_dir!AE18/((1/1000)*(up_Irr!D18+up_Irr!BB18)),IF(AND(up_Irr!D18=".",up_Irr!AC18&lt;&gt;".",up_Irr!BB18&lt;&gt;"."),up_dir!AE18/((1/1000)*(up_Irr!AC18+up_Irr!BB18)),IF(AND(up_Irr!D18=".",up_Irr!AC18=".",up_Irr!BB18&lt;&gt;"."),up_dir!AE18/((1/1000)*(up_Irr!BB18)),IF(AND(up_Irr!D18=".",up_Irr!AC18&lt;&gt;".",up_Irr!BB18="."),up_dir!AE18/((1/1000)*(up_Irr!AC18)),IF(AND(up_Irr!D18&lt;&gt;".",up_Irr!AC18=".",up_Irr!BB18="."),up_dir!AE18/((1/1000)*(up_Irr!D18)),IF(AND(up_Irr!D18=".",up_Irr!AC18=".",up_Irr!BB18="."),up_dir!AE18*1000)))))))),".")</f>
        <v>6.5773651144152123E-11</v>
      </c>
      <c r="BF18" s="76">
        <f>IFERROR(IF(AND(up_Irr!E18&lt;&gt;".",up_Irr!AD18&lt;&gt;".",up_Irr!BC18&lt;&gt;"."),up_dir!AF18/((1/1000)*(up_Irr!E18+up_Irr!AD18+up_Irr!BC18)),IF(AND(up_Irr!E18&lt;&gt;".",up_Irr!AD18&lt;&gt;".",up_Irr!BC18="."),up_dir!AF18/((1/1000)*(up_Irr!E18+up_Irr!AD18)),IF(AND(up_Irr!E18&lt;&gt;".",up_Irr!AD18=".",up_Irr!BC18&lt;&gt;"."),up_dir!AF18/((1/1000)*(up_Irr!E18+up_Irr!BC18)),IF(AND(up_Irr!E18=".",up_Irr!AD18&lt;&gt;".",up_Irr!BC18&lt;&gt;"."),up_dir!AF18/((1/1000)*(up_Irr!AD18+up_Irr!BC18)),IF(AND(up_Irr!E18=".",up_Irr!AD18=".",up_Irr!BC18&lt;&gt;"."),up_dir!AF18/((1/1000)*(up_Irr!BC18)),IF(AND(up_Irr!E18=".",up_Irr!AD18&lt;&gt;".",up_Irr!BC18="."),up_dir!AF18/((1/1000)*(up_Irr!AD18)),IF(AND(up_Irr!E18&lt;&gt;".",up_Irr!AD18=".",up_Irr!BC18="."),up_dir!AF18/((1/1000)*(up_Irr!E18)),IF(AND(up_Irr!E18=".",up_Irr!AD18=".",up_Irr!BC18="."),up_dir!AF18*1000)))))))),".")</f>
        <v>6.5773651144152123E-11</v>
      </c>
      <c r="BG18" s="76">
        <f>IFERROR(IF(AND(up_Irr!F18&lt;&gt;".",up_Irr!AE18&lt;&gt;".",up_Irr!BD18&lt;&gt;"."),up_dir!AG18/((1/1000)*(up_Irr!F18+up_Irr!AE18+up_Irr!BD18)),IF(AND(up_Irr!F18&lt;&gt;".",up_Irr!AE18&lt;&gt;".",up_Irr!BD18="."),up_dir!AG18/((1/1000)*(up_Irr!F18+up_Irr!AE18)),IF(AND(up_Irr!F18&lt;&gt;".",up_Irr!AE18=".",up_Irr!BD18&lt;&gt;"."),up_dir!AG18/((1/1000)*(up_Irr!F18+up_Irr!BD18)),IF(AND(up_Irr!F18=".",up_Irr!AE18&lt;&gt;".",up_Irr!BD18&lt;&gt;"."),up_dir!AG18/((1/1000)*(up_Irr!AE18+up_Irr!BD18)),IF(AND(up_Irr!F18=".",up_Irr!AE18=".",up_Irr!BD18&lt;&gt;"."),up_dir!AG18/((1/1000)*(up_Irr!BD18)),IF(AND(up_Irr!F18=".",up_Irr!AE18&lt;&gt;".",up_Irr!BD18="."),up_dir!AG18/((1/1000)*(up_Irr!AE18)),IF(AND(up_Irr!F18&lt;&gt;".",up_Irr!AE18=".",up_Irr!BD18="."),up_dir!AG18/((1/1000)*(up_Irr!F18)),IF(AND(up_Irr!F18=".",up_Irr!AE18=".",up_Irr!BD18="."),up_dir!AG18*1000)))))))),".")</f>
        <v>6.5773651144152123E-11</v>
      </c>
      <c r="BH18" s="76">
        <f>IFERROR(IF(AND(up_Irr!G18&lt;&gt;".",up_Irr!AF18&lt;&gt;".",up_Irr!BE18&lt;&gt;"."),up_dir!AH18/((1/1000)*(up_Irr!G18+up_Irr!AF18+up_Irr!BE18)),IF(AND(up_Irr!G18&lt;&gt;".",up_Irr!AF18&lt;&gt;".",up_Irr!BE18="."),up_dir!AH18/((1/1000)*(up_Irr!G18+up_Irr!AF18)),IF(AND(up_Irr!G18&lt;&gt;".",up_Irr!AF18=".",up_Irr!BE18&lt;&gt;"."),up_dir!AH18/((1/1000)*(up_Irr!G18+up_Irr!BE18)),IF(AND(up_Irr!G18=".",up_Irr!AF18&lt;&gt;".",up_Irr!BE18&lt;&gt;"."),up_dir!AH18/((1/1000)*(up_Irr!AF18+up_Irr!BE18)),IF(AND(up_Irr!G18=".",up_Irr!AF18=".",up_Irr!BE18&lt;&gt;"."),up_dir!AH18/((1/1000)*(up_Irr!BE18)),IF(AND(up_Irr!G18=".",up_Irr!AF18&lt;&gt;".",up_Irr!BE18="."),up_dir!AH18/((1/1000)*(up_Irr!AF18)),IF(AND(up_Irr!G18&lt;&gt;".",up_Irr!AF18=".",up_Irr!BE18="."),up_dir!AH18/((1/1000)*(up_Irr!G18)),IF(AND(up_Irr!G18=".",up_Irr!AF18=".",up_Irr!BE18="."),up_dir!AH18*1000)))))))),".")</f>
        <v>6.5773651144152123E-11</v>
      </c>
      <c r="BI18" s="76">
        <f>IFERROR(IF(AND(up_Irr!H18&lt;&gt;".",up_Irr!AG18&lt;&gt;".",up_Irr!BF18&lt;&gt;"."),up_dir!AI18/((1/1000)*(up_Irr!H18+up_Irr!AG18+up_Irr!BF18)),IF(AND(up_Irr!H18&lt;&gt;".",up_Irr!AG18&lt;&gt;".",up_Irr!BF18="."),up_dir!AI18/((1/1000)*(up_Irr!H18+up_Irr!AG18)),IF(AND(up_Irr!H18&lt;&gt;".",up_Irr!AG18=".",up_Irr!BF18&lt;&gt;"."),up_dir!AI18/((1/1000)*(up_Irr!H18+up_Irr!BF18)),IF(AND(up_Irr!H18=".",up_Irr!AG18&lt;&gt;".",up_Irr!BF18&lt;&gt;"."),up_dir!AI18/((1/1000)*(up_Irr!AG18+up_Irr!BF18)),IF(AND(up_Irr!H18=".",up_Irr!AG18=".",up_Irr!BF18&lt;&gt;"."),up_dir!AI18/((1/1000)*(up_Irr!BF18)),IF(AND(up_Irr!H18=".",up_Irr!AG18&lt;&gt;".",up_Irr!BF18="."),up_dir!AI18/((1/1000)*(up_Irr!AG18)),IF(AND(up_Irr!H18&lt;&gt;".",up_Irr!AG18=".",up_Irr!BF18="."),up_dir!AI18/((1/1000)*(up_Irr!H18)),IF(AND(up_Irr!H18=".",up_Irr!AG18=".",up_Irr!BF18="."),up_dir!AI18*1000)))))))),".")</f>
        <v>6.5773651144152123E-11</v>
      </c>
      <c r="BJ18" s="76">
        <f>IFERROR(IF(AND(up_Irr!I18&lt;&gt;".",up_Irr!AH18&lt;&gt;".",up_Irr!BG18&lt;&gt;"."),up_dir!AJ18/((1/1000)*(up_Irr!I18+up_Irr!AH18+up_Irr!BG18)),IF(AND(up_Irr!I18&lt;&gt;".",up_Irr!AH18&lt;&gt;".",up_Irr!BG18="."),up_dir!AJ18/((1/1000)*(up_Irr!I18+up_Irr!AH18)),IF(AND(up_Irr!I18&lt;&gt;".",up_Irr!AH18=".",up_Irr!BG18&lt;&gt;"."),up_dir!AJ18/((1/1000)*(up_Irr!I18+up_Irr!BG18)),IF(AND(up_Irr!I18=".",up_Irr!AH18&lt;&gt;".",up_Irr!BG18&lt;&gt;"."),up_dir!AJ18/((1/1000)*(up_Irr!AH18+up_Irr!BG18)),IF(AND(up_Irr!I18=".",up_Irr!AH18=".",up_Irr!BG18&lt;&gt;"."),up_dir!AJ18/((1/1000)*(up_Irr!BG18)),IF(AND(up_Irr!I18=".",up_Irr!AH18&lt;&gt;".",up_Irr!BG18="."),up_dir!AJ18/((1/1000)*(up_Irr!AH18)),IF(AND(up_Irr!I18&lt;&gt;".",up_Irr!AH18=".",up_Irr!BG18="."),up_dir!AJ18/((1/1000)*(up_Irr!I18)),IF(AND(up_Irr!I18=".",up_Irr!AH18=".",up_Irr!BG18="."),up_dir!AJ18*1000)))))))),".")</f>
        <v>6.5773651144152123E-11</v>
      </c>
      <c r="BK18" s="76">
        <f>IFERROR(IF(AND(up_Irr!J18&lt;&gt;".",up_Irr!AI18&lt;&gt;".",up_Irr!BH18&lt;&gt;"."),up_dir!AK18/((1/1000)*(up_Irr!J18+up_Irr!AI18+up_Irr!BH18)),IF(AND(up_Irr!J18&lt;&gt;".",up_Irr!AI18&lt;&gt;".",up_Irr!BH18="."),up_dir!AK18/((1/1000)*(up_Irr!J18+up_Irr!AI18)),IF(AND(up_Irr!J18&lt;&gt;".",up_Irr!AI18=".",up_Irr!BH18&lt;&gt;"."),up_dir!AK18/((1/1000)*(up_Irr!J18+up_Irr!BH18)),IF(AND(up_Irr!J18=".",up_Irr!AI18&lt;&gt;".",up_Irr!BH18&lt;&gt;"."),up_dir!AK18/((1/1000)*(up_Irr!AI18+up_Irr!BH18)),IF(AND(up_Irr!J18=".",up_Irr!AI18=".",up_Irr!BH18&lt;&gt;"."),up_dir!AK18/((1/1000)*(up_Irr!BH18)),IF(AND(up_Irr!J18=".",up_Irr!AI18&lt;&gt;".",up_Irr!BH18="."),up_dir!AK18/((1/1000)*(up_Irr!AI18)),IF(AND(up_Irr!J18&lt;&gt;".",up_Irr!AI18=".",up_Irr!BH18="."),up_dir!AK18/((1/1000)*(up_Irr!J18)),IF(AND(up_Irr!J18=".",up_Irr!AI18=".",up_Irr!BH18="."),up_dir!AK18*1000)))))))),".")</f>
        <v>6.5773651144152123E-11</v>
      </c>
      <c r="BL18" s="76">
        <f>IFERROR(IF(AND(up_Irr!K18&lt;&gt;".",up_Irr!AJ18&lt;&gt;".",up_Irr!BI18&lt;&gt;"."),up_dir!AL18/((1/1000)*(up_Irr!K18+up_Irr!AJ18+up_Irr!BI18)),IF(AND(up_Irr!K18&lt;&gt;".",up_Irr!AJ18&lt;&gt;".",up_Irr!BI18="."),up_dir!AL18/((1/1000)*(up_Irr!K18+up_Irr!AJ18)),IF(AND(up_Irr!K18&lt;&gt;".",up_Irr!AJ18=".",up_Irr!BI18&lt;&gt;"."),up_dir!AL18/((1/1000)*(up_Irr!K18+up_Irr!BI18)),IF(AND(up_Irr!K18=".",up_Irr!AJ18&lt;&gt;".",up_Irr!BI18&lt;&gt;"."),up_dir!AL18/((1/1000)*(up_Irr!AJ18+up_Irr!BI18)),IF(AND(up_Irr!K18=".",up_Irr!AJ18=".",up_Irr!BI18&lt;&gt;"."),up_dir!AL18/((1/1000)*(up_Irr!BI18)),IF(AND(up_Irr!K18=".",up_Irr!AJ18&lt;&gt;".",up_Irr!BI18="."),up_dir!AL18/((1/1000)*(up_Irr!AJ18)),IF(AND(up_Irr!K18&lt;&gt;".",up_Irr!AJ18=".",up_Irr!BI18="."),up_dir!AL18/((1/1000)*(up_Irr!K18)),IF(AND(up_Irr!K18=".",up_Irr!AJ18=".",up_Irr!BI18="."),up_dir!AL18*1000)))))))),".")</f>
        <v>6.5773651144152123E-11</v>
      </c>
      <c r="BM18" s="76">
        <f>IFERROR(IF(AND(up_Irr!L18&lt;&gt;".",up_Irr!AK18&lt;&gt;".",up_Irr!BJ18&lt;&gt;"."),up_dir!AM18/((1/1000)*(up_Irr!L18+up_Irr!AK18+up_Irr!BJ18)),IF(AND(up_Irr!L18&lt;&gt;".",up_Irr!AK18&lt;&gt;".",up_Irr!BJ18="."),up_dir!AM18/((1/1000)*(up_Irr!L18+up_Irr!AK18)),IF(AND(up_Irr!L18&lt;&gt;".",up_Irr!AK18=".",up_Irr!BJ18&lt;&gt;"."),up_dir!AM18/((1/1000)*(up_Irr!L18+up_Irr!BJ18)),IF(AND(up_Irr!L18=".",up_Irr!AK18&lt;&gt;".",up_Irr!BJ18&lt;&gt;"."),up_dir!AM18/((1/1000)*(up_Irr!AK18+up_Irr!BJ18)),IF(AND(up_Irr!L18=".",up_Irr!AK18=".",up_Irr!BJ18&lt;&gt;"."),up_dir!AM18/((1/1000)*(up_Irr!BJ18)),IF(AND(up_Irr!L18=".",up_Irr!AK18&lt;&gt;".",up_Irr!BJ18="."),up_dir!AM18/((1/1000)*(up_Irr!AK18)),IF(AND(up_Irr!L18&lt;&gt;".",up_Irr!AK18=".",up_Irr!BJ18="."),up_dir!AM18/((1/1000)*(up_Irr!L18)),IF(AND(up_Irr!L18=".",up_Irr!AK18=".",up_Irr!BJ18="."),up_dir!AM18*1000)))))))),".")</f>
        <v>6.5773651144152123E-11</v>
      </c>
      <c r="BN18" s="76">
        <f>IFERROR(IF(AND(up_Irr!M18&lt;&gt;".",up_Irr!AL18&lt;&gt;".",up_Irr!BK18&lt;&gt;"."),up_dir!AN18/((1/1000)*(up_Irr!M18+up_Irr!AL18+up_Irr!BK18)),IF(AND(up_Irr!M18&lt;&gt;".",up_Irr!AL18&lt;&gt;".",up_Irr!BK18="."),up_dir!AN18/((1/1000)*(up_Irr!M18+up_Irr!AL18)),IF(AND(up_Irr!M18&lt;&gt;".",up_Irr!AL18=".",up_Irr!BK18&lt;&gt;"."),up_dir!AN18/((1/1000)*(up_Irr!M18+up_Irr!BK18)),IF(AND(up_Irr!M18=".",up_Irr!AL18&lt;&gt;".",up_Irr!BK18&lt;&gt;"."),up_dir!AN18/((1/1000)*(up_Irr!AL18+up_Irr!BK18)),IF(AND(up_Irr!M18=".",up_Irr!AL18=".",up_Irr!BK18&lt;&gt;"."),up_dir!AN18/((1/1000)*(up_Irr!BK18)),IF(AND(up_Irr!M18=".",up_Irr!AL18&lt;&gt;".",up_Irr!BK18="."),up_dir!AN18/((1/1000)*(up_Irr!AL18)),IF(AND(up_Irr!M18&lt;&gt;".",up_Irr!AL18=".",up_Irr!BK18="."),up_dir!AN18/((1/1000)*(up_Irr!M18)),IF(AND(up_Irr!M18=".",up_Irr!AL18=".",up_Irr!BK18="."),up_dir!AN18*1000)))))))),".")</f>
        <v>6.5773651144152123E-11</v>
      </c>
      <c r="BO18" s="76">
        <f>IFERROR(IF(AND(up_Irr!N18&lt;&gt;".",up_Irr!AM18&lt;&gt;".",up_Irr!BL18&lt;&gt;"."),up_dir!AO18/((1/1000)*(up_Irr!N18+up_Irr!AM18+up_Irr!BL18)),IF(AND(up_Irr!N18&lt;&gt;".",up_Irr!AM18&lt;&gt;".",up_Irr!BL18="."),up_dir!AO18/((1/1000)*(up_Irr!N18+up_Irr!AM18)),IF(AND(up_Irr!N18&lt;&gt;".",up_Irr!AM18=".",up_Irr!BL18&lt;&gt;"."),up_dir!AO18/((1/1000)*(up_Irr!N18+up_Irr!BL18)),IF(AND(up_Irr!N18=".",up_Irr!AM18&lt;&gt;".",up_Irr!BL18&lt;&gt;"."),up_dir!AO18/((1/1000)*(up_Irr!AM18+up_Irr!BL18)),IF(AND(up_Irr!N18=".",up_Irr!AM18=".",up_Irr!BL18&lt;&gt;"."),up_dir!AO18/((1/1000)*(up_Irr!BL18)),IF(AND(up_Irr!N18=".",up_Irr!AM18&lt;&gt;".",up_Irr!BL18="."),up_dir!AO18/((1/1000)*(up_Irr!AM18)),IF(AND(up_Irr!N18&lt;&gt;".",up_Irr!AM18=".",up_Irr!BL18="."),up_dir!AO18/((1/1000)*(up_Irr!N18)),IF(AND(up_Irr!N18=".",up_Irr!AM18=".",up_Irr!BL18="."),up_dir!AO18*1000)))))))),".")</f>
        <v>6.5773651144152123E-11</v>
      </c>
      <c r="BP18" s="76">
        <f>IFERROR(IF(AND(up_Irr!O18&lt;&gt;".",up_Irr!AN18&lt;&gt;".",up_Irr!BM18&lt;&gt;"."),up_dir!AP18/((1/1000)*(up_Irr!O18+up_Irr!AN18+up_Irr!BM18)),IF(AND(up_Irr!O18&lt;&gt;".",up_Irr!AN18&lt;&gt;".",up_Irr!BM18="."),up_dir!AP18/((1/1000)*(up_Irr!O18+up_Irr!AN18)),IF(AND(up_Irr!O18&lt;&gt;".",up_Irr!AN18=".",up_Irr!BM18&lt;&gt;"."),up_dir!AP18/((1/1000)*(up_Irr!O18+up_Irr!BM18)),IF(AND(up_Irr!O18=".",up_Irr!AN18&lt;&gt;".",up_Irr!BM18&lt;&gt;"."),up_dir!AP18/((1/1000)*(up_Irr!AN18+up_Irr!BM18)),IF(AND(up_Irr!O18=".",up_Irr!AN18=".",up_Irr!BM18&lt;&gt;"."),up_dir!AP18/((1/1000)*(up_Irr!BM18)),IF(AND(up_Irr!O18=".",up_Irr!AN18&lt;&gt;".",up_Irr!BM18="."),up_dir!AP18/((1/1000)*(up_Irr!AN18)),IF(AND(up_Irr!O18&lt;&gt;".",up_Irr!AN18=".",up_Irr!BM18="."),up_dir!AP18/((1/1000)*(up_Irr!O18)),IF(AND(up_Irr!O18=".",up_Irr!AN18=".",up_Irr!BM18="."),up_dir!AP18*1000)))))))),".")</f>
        <v>6.5773651144152123E-11</v>
      </c>
      <c r="BQ18" s="76">
        <f>IFERROR(IF(AND(up_Irr!P18&lt;&gt;".",up_Irr!AO18&lt;&gt;".",up_Irr!BN18&lt;&gt;"."),up_dir!AQ18/((1/1000)*(up_Irr!P18+up_Irr!AO18+up_Irr!BN18)),IF(AND(up_Irr!P18&lt;&gt;".",up_Irr!AO18&lt;&gt;".",up_Irr!BN18="."),up_dir!AQ18/((1/1000)*(up_Irr!P18+up_Irr!AO18)),IF(AND(up_Irr!P18&lt;&gt;".",up_Irr!AO18=".",up_Irr!BN18&lt;&gt;"."),up_dir!AQ18/((1/1000)*(up_Irr!P18+up_Irr!BN18)),IF(AND(up_Irr!P18=".",up_Irr!AO18&lt;&gt;".",up_Irr!BN18&lt;&gt;"."),up_dir!AQ18/((1/1000)*(up_Irr!AO18+up_Irr!BN18)),IF(AND(up_Irr!P18=".",up_Irr!AO18=".",up_Irr!BN18&lt;&gt;"."),up_dir!AQ18/((1/1000)*(up_Irr!BN18)),IF(AND(up_Irr!P18=".",up_Irr!AO18&lt;&gt;".",up_Irr!BN18="."),up_dir!AQ18/((1/1000)*(up_Irr!AO18)),IF(AND(up_Irr!P18&lt;&gt;".",up_Irr!AO18=".",up_Irr!BN18="."),up_dir!AQ18/((1/1000)*(up_Irr!P18)),IF(AND(up_Irr!P18=".",up_Irr!AO18=".",up_Irr!BN18="."),up_dir!AQ18*1000)))))))),".")</f>
        <v>6.5773651144152123E-11</v>
      </c>
      <c r="BR18" s="76">
        <f>IFERROR(IF(AND(up_Irr!Q18&lt;&gt;".",up_Irr!AP18&lt;&gt;".",up_Irr!BO18&lt;&gt;"."),up_dir!AR18/((1/1000)*(up_Irr!Q18+up_Irr!AP18+up_Irr!BO18)),IF(AND(up_Irr!Q18&lt;&gt;".",up_Irr!AP18&lt;&gt;".",up_Irr!BO18="."),up_dir!AR18/((1/1000)*(up_Irr!Q18+up_Irr!AP18)),IF(AND(up_Irr!Q18&lt;&gt;".",up_Irr!AP18=".",up_Irr!BO18&lt;&gt;"."),up_dir!AR18/((1/1000)*(up_Irr!Q18+up_Irr!BO18)),IF(AND(up_Irr!Q18=".",up_Irr!AP18&lt;&gt;".",up_Irr!BO18&lt;&gt;"."),up_dir!AR18/((1/1000)*(up_Irr!AP18+up_Irr!BO18)),IF(AND(up_Irr!Q18=".",up_Irr!AP18=".",up_Irr!BO18&lt;&gt;"."),up_dir!AR18/((1/1000)*(up_Irr!BO18)),IF(AND(up_Irr!Q18=".",up_Irr!AP18&lt;&gt;".",up_Irr!BO18="."),up_dir!AR18/((1/1000)*(up_Irr!AP18)),IF(AND(up_Irr!Q18&lt;&gt;".",up_Irr!AP18=".",up_Irr!BO18="."),up_dir!AR18/((1/1000)*(up_Irr!Q18)),IF(AND(up_Irr!Q18=".",up_Irr!AP18=".",up_Irr!BO18="."),up_dir!AR18*1000)))))))),".")</f>
        <v>6.5773651144152123E-11</v>
      </c>
      <c r="BS18" s="76">
        <f>IFERROR(IF(AND(up_Irr!R18&lt;&gt;".",up_Irr!AQ18&lt;&gt;".",up_Irr!BP18&lt;&gt;"."),up_dir!AS18/((1/1000)*(up_Irr!R18+up_Irr!AQ18+up_Irr!BP18)),IF(AND(up_Irr!R18&lt;&gt;".",up_Irr!AQ18&lt;&gt;".",up_Irr!BP18="."),up_dir!AS18/((1/1000)*(up_Irr!R18+up_Irr!AQ18)),IF(AND(up_Irr!R18&lt;&gt;".",up_Irr!AQ18=".",up_Irr!BP18&lt;&gt;"."),up_dir!AS18/((1/1000)*(up_Irr!R18+up_Irr!BP18)),IF(AND(up_Irr!R18=".",up_Irr!AQ18&lt;&gt;".",up_Irr!BP18&lt;&gt;"."),up_dir!AS18/((1/1000)*(up_Irr!AQ18+up_Irr!BP18)),IF(AND(up_Irr!R18=".",up_Irr!AQ18=".",up_Irr!BP18&lt;&gt;"."),up_dir!AS18/((1/1000)*(up_Irr!BP18)),IF(AND(up_Irr!R18=".",up_Irr!AQ18&lt;&gt;".",up_Irr!BP18="."),up_dir!AS18/((1/1000)*(up_Irr!AQ18)),IF(AND(up_Irr!R18&lt;&gt;".",up_Irr!AQ18=".",up_Irr!BP18="."),up_dir!AS18/((1/1000)*(up_Irr!R18)),IF(AND(up_Irr!R18=".",up_Irr!AQ18=".",up_Irr!BP18="."),up_dir!AS18*1000)))))))),".")</f>
        <v>6.5773651144152123E-11</v>
      </c>
      <c r="BT18" s="76">
        <f>IFERROR(IF(AND(up_Irr!S18&lt;&gt;".",up_Irr!AR18&lt;&gt;".",up_Irr!BQ18&lt;&gt;"."),up_dir!AT18/((1/1000)*(up_Irr!S18+up_Irr!AR18+up_Irr!BQ18)),IF(AND(up_Irr!S18&lt;&gt;".",up_Irr!AR18&lt;&gt;".",up_Irr!BQ18="."),up_dir!AT18/((1/1000)*(up_Irr!S18+up_Irr!AR18)),IF(AND(up_Irr!S18&lt;&gt;".",up_Irr!AR18=".",up_Irr!BQ18&lt;&gt;"."),up_dir!AT18/((1/1000)*(up_Irr!S18+up_Irr!BQ18)),IF(AND(up_Irr!S18=".",up_Irr!AR18&lt;&gt;".",up_Irr!BQ18&lt;&gt;"."),up_dir!AT18/((1/1000)*(up_Irr!AR18+up_Irr!BQ18)),IF(AND(up_Irr!S18=".",up_Irr!AR18=".",up_Irr!BQ18&lt;&gt;"."),up_dir!AT18/((1/1000)*(up_Irr!BQ18)),IF(AND(up_Irr!S18=".",up_Irr!AR18&lt;&gt;".",up_Irr!BQ18="."),up_dir!AT18/((1/1000)*(up_Irr!AR18)),IF(AND(up_Irr!S18&lt;&gt;".",up_Irr!AR18=".",up_Irr!BQ18="."),up_dir!AT18/((1/1000)*(up_Irr!S18)),IF(AND(up_Irr!S18=".",up_Irr!AR18=".",up_Irr!BQ18="."),up_dir!AT18*1000)))))))),".")</f>
        <v>6.5773651144152123E-11</v>
      </c>
      <c r="BU18" s="76">
        <f>IFERROR(IF(AND(up_Irr!T18&lt;&gt;".",up_Irr!AS18&lt;&gt;".",up_Irr!BR18&lt;&gt;"."),up_dir!AU18/((1/1000)*(up_Irr!T18+up_Irr!AS18+up_Irr!BR18)),IF(AND(up_Irr!T18&lt;&gt;".",up_Irr!AS18&lt;&gt;".",up_Irr!BR18="."),up_dir!AU18/((1/1000)*(up_Irr!T18+up_Irr!AS18)),IF(AND(up_Irr!T18&lt;&gt;".",up_Irr!AS18=".",up_Irr!BR18&lt;&gt;"."),up_dir!AU18/((1/1000)*(up_Irr!T18+up_Irr!BR18)),IF(AND(up_Irr!T18=".",up_Irr!AS18&lt;&gt;".",up_Irr!BR18&lt;&gt;"."),up_dir!AU18/((1/1000)*(up_Irr!AS18+up_Irr!BR18)),IF(AND(up_Irr!T18=".",up_Irr!AS18=".",up_Irr!BR18&lt;&gt;"."),up_dir!AU18/((1/1000)*(up_Irr!BR18)),IF(AND(up_Irr!T18=".",up_Irr!AS18&lt;&gt;".",up_Irr!BR18="."),up_dir!AU18/((1/1000)*(up_Irr!AS18)),IF(AND(up_Irr!T18&lt;&gt;".",up_Irr!AS18=".",up_Irr!BR18="."),up_dir!AU18/((1/1000)*(up_Irr!T18)),IF(AND(up_Irr!T18=".",up_Irr!AS18=".",up_Irr!BR18="."),up_dir!AU18*1000)))))))),".")</f>
        <v>6.5773651144152123E-11</v>
      </c>
      <c r="BV18" s="76">
        <f>IFERROR(IF(AND(up_Irr!U18&lt;&gt;".",up_Irr!AT18&lt;&gt;".",up_Irr!BS18&lt;&gt;"."),up_dir!AV18/((1/1000)*(up_Irr!U18+up_Irr!AT18+up_Irr!BS18)),IF(AND(up_Irr!U18&lt;&gt;".",up_Irr!AT18&lt;&gt;".",up_Irr!BS18="."),up_dir!AV18/((1/1000)*(up_Irr!U18+up_Irr!AT18)),IF(AND(up_Irr!U18&lt;&gt;".",up_Irr!AT18=".",up_Irr!BS18&lt;&gt;"."),up_dir!AV18/((1/1000)*(up_Irr!U18+up_Irr!BS18)),IF(AND(up_Irr!U18=".",up_Irr!AT18&lt;&gt;".",up_Irr!BS18&lt;&gt;"."),up_dir!AV18/((1/1000)*(up_Irr!AT18+up_Irr!BS18)),IF(AND(up_Irr!U18=".",up_Irr!AT18=".",up_Irr!BS18&lt;&gt;"."),up_dir!AV18/((1/1000)*(up_Irr!BS18)),IF(AND(up_Irr!U18=".",up_Irr!AT18&lt;&gt;".",up_Irr!BS18="."),up_dir!AV18/((1/1000)*(up_Irr!AT18)),IF(AND(up_Irr!U18&lt;&gt;".",up_Irr!AT18=".",up_Irr!BS18="."),up_dir!AV18/((1/1000)*(up_Irr!U18)),IF(AND(up_Irr!U18=".",up_Irr!AT18=".",up_Irr!BS18="."),up_dir!AV18*1000)))))))),".")</f>
        <v>6.5773651144152123E-11</v>
      </c>
      <c r="BW18" s="76">
        <f>IFERROR(IF(AND(up_Irr!V18&lt;&gt;".",up_Irr!AU18&lt;&gt;".",up_Irr!BT18&lt;&gt;"."),up_dir!AW18/((1/1000)*(up_Irr!V18+up_Irr!AU18+up_Irr!BT18)),IF(AND(up_Irr!V18&lt;&gt;".",up_Irr!AU18&lt;&gt;".",up_Irr!BT18="."),up_dir!AW18/((1/1000)*(up_Irr!V18+up_Irr!AU18)),IF(AND(up_Irr!V18&lt;&gt;".",up_Irr!AU18=".",up_Irr!BT18&lt;&gt;"."),up_dir!AW18/((1/1000)*(up_Irr!V18+up_Irr!BT18)),IF(AND(up_Irr!V18=".",up_Irr!AU18&lt;&gt;".",up_Irr!BT18&lt;&gt;"."),up_dir!AW18/((1/1000)*(up_Irr!AU18+up_Irr!BT18)),IF(AND(up_Irr!V18=".",up_Irr!AU18=".",up_Irr!BT18&lt;&gt;"."),up_dir!AW18/((1/1000)*(up_Irr!BT18)),IF(AND(up_Irr!V18=".",up_Irr!AU18&lt;&gt;".",up_Irr!BT18="."),up_dir!AW18/((1/1000)*(up_Irr!AU18)),IF(AND(up_Irr!V18&lt;&gt;".",up_Irr!AU18=".",up_Irr!BT18="."),up_dir!AW18/((1/1000)*(up_Irr!V18)),IF(AND(up_Irr!V18=".",up_Irr!AU18=".",up_Irr!BT18="."),up_dir!AW18*1000)))))))),".")</f>
        <v>6.5773651144152123E-11</v>
      </c>
      <c r="BX18" s="76">
        <f>IFERROR(IF(AND(up_Irr!W18&lt;&gt;".",up_Irr!AV18&lt;&gt;".",up_Irr!BU18&lt;&gt;"."),up_dir!AX18/((1/1000)*(up_Irr!W18+up_Irr!AV18+up_Irr!BU18)),IF(AND(up_Irr!W18&lt;&gt;".",up_Irr!AV18&lt;&gt;".",up_Irr!BU18="."),up_dir!AX18/((1/1000)*(up_Irr!W18+up_Irr!AV18)),IF(AND(up_Irr!W18&lt;&gt;".",up_Irr!AV18=".",up_Irr!BU18&lt;&gt;"."),up_dir!AX18/((1/1000)*(up_Irr!W18+up_Irr!BU18)),IF(AND(up_Irr!W18=".",up_Irr!AV18&lt;&gt;".",up_Irr!BU18&lt;&gt;"."),up_dir!AX18/((1/1000)*(up_Irr!AV18+up_Irr!BU18)),IF(AND(up_Irr!W18=".",up_Irr!AV18=".",up_Irr!BU18&lt;&gt;"."),up_dir!AX18/((1/1000)*(up_Irr!BU18)),IF(AND(up_Irr!W18=".",up_Irr!AV18&lt;&gt;".",up_Irr!BU18="."),up_dir!AX18/((1/1000)*(up_Irr!AV18)),IF(AND(up_Irr!W18&lt;&gt;".",up_Irr!AV18=".",up_Irr!BU18="."),up_dir!AX18/((1/1000)*(up_Irr!W18)),IF(AND(up_Irr!W18=".",up_Irr!AV18=".",up_Irr!BU18="."),up_dir!AX18*1000)))))))),".")</f>
        <v>6.5773651144152123E-11</v>
      </c>
      <c r="BY18" s="76">
        <f>IFERROR(IF(AND(up_Irr!X18&lt;&gt;".",up_Irr!AW18&lt;&gt;".",up_Irr!BV18&lt;&gt;"."),up_dir!AY18/((1/1000)*(up_Irr!X18+up_Irr!AW18+up_Irr!BV18)),IF(AND(up_Irr!X18&lt;&gt;".",up_Irr!AW18&lt;&gt;".",up_Irr!BV18="."),up_dir!AY18/((1/1000)*(up_Irr!X18+up_Irr!AW18)),IF(AND(up_Irr!X18&lt;&gt;".",up_Irr!AW18=".",up_Irr!BV18&lt;&gt;"."),up_dir!AY18/((1/1000)*(up_Irr!X18+up_Irr!BV18)),IF(AND(up_Irr!X18=".",up_Irr!AW18&lt;&gt;".",up_Irr!BV18&lt;&gt;"."),up_dir!AY18/((1/1000)*(up_Irr!AW18+up_Irr!BV18)),IF(AND(up_Irr!X18=".",up_Irr!AW18=".",up_Irr!BV18&lt;&gt;"."),up_dir!AY18/((1/1000)*(up_Irr!BV18)),IF(AND(up_Irr!X18=".",up_Irr!AW18&lt;&gt;".",up_Irr!BV18="."),up_dir!AY18/((1/1000)*(up_Irr!AW18)),IF(AND(up_Irr!X18&lt;&gt;".",up_Irr!AW18=".",up_Irr!BV18="."),up_dir!AY18/((1/1000)*(up_Irr!X18)),IF(AND(up_Irr!X18=".",up_Irr!AW18=".",up_Irr!BV18="."),up_dir!AY18*1000)))))))),".")</f>
        <v>6.5773651144152123E-11</v>
      </c>
      <c r="BZ18" s="76">
        <f>IFERROR(IF(AND(up_Irr!Y18&lt;&gt;".",up_Irr!AX18&lt;&gt;".",up_Irr!BW18&lt;&gt;"."),up_dir!AZ18/((1/1000)*(up_Irr!Y18+up_Irr!AX18+up_Irr!BW18)),IF(AND(up_Irr!Y18&lt;&gt;".",up_Irr!AX18&lt;&gt;".",up_Irr!BW18="."),up_dir!AZ18/((1/1000)*(up_Irr!Y18+up_Irr!AX18)),IF(AND(up_Irr!Y18&lt;&gt;".",up_Irr!AX18=".",up_Irr!BW18&lt;&gt;"."),up_dir!AZ18/((1/1000)*(up_Irr!Y18+up_Irr!BW18)),IF(AND(up_Irr!Y18=".",up_Irr!AX18&lt;&gt;".",up_Irr!BW18&lt;&gt;"."),up_dir!AZ18/((1/1000)*(up_Irr!AX18+up_Irr!BW18)),IF(AND(up_Irr!Y18=".",up_Irr!AX18=".",up_Irr!BW18&lt;&gt;"."),up_dir!AZ18/((1/1000)*(up_Irr!BW18)),IF(AND(up_Irr!Y18=".",up_Irr!AX18&lt;&gt;".",up_Irr!BW18="."),up_dir!AZ18/((1/1000)*(up_Irr!AX18)),IF(AND(up_Irr!Y18&lt;&gt;".",up_Irr!AX18=".",up_Irr!BW18="."),up_dir!AZ18/((1/1000)*(up_Irr!Y18)),IF(AND(up_Irr!Y18=".",up_Irr!AX18=".",up_Irr!BW18="."),up_dir!AZ18*1000)))))))),".")</f>
        <v>6.5773651144152123E-11</v>
      </c>
      <c r="CA18" s="76">
        <f>IFERROR(IF(AND(up_Irr!Z18&lt;&gt;".",up_Irr!AY18&lt;&gt;".",up_Irr!BX18&lt;&gt;"."),up_dir!BA18/((1/1000)*(up_Irr!Z18+up_Irr!AY18+up_Irr!BX18)),IF(AND(up_Irr!Z18&lt;&gt;".",up_Irr!AY18&lt;&gt;".",up_Irr!BX18="."),up_dir!BA18/((1/1000)*(up_Irr!Z18+up_Irr!AY18)),IF(AND(up_Irr!Z18&lt;&gt;".",up_Irr!AY18=".",up_Irr!BX18&lt;&gt;"."),up_dir!BA18/((1/1000)*(up_Irr!Z18+up_Irr!BX18)),IF(AND(up_Irr!Z18=".",up_Irr!AY18&lt;&gt;".",up_Irr!BX18&lt;&gt;"."),up_dir!BA18/((1/1000)*(up_Irr!AY18+up_Irr!BX18)),IF(AND(up_Irr!Z18=".",up_Irr!AY18=".",up_Irr!BX18&lt;&gt;"."),up_dir!BA18/((1/1000)*(up_Irr!BX18)),IF(AND(up_Irr!Z18=".",up_Irr!AY18&lt;&gt;".",up_Irr!BX18="."),up_dir!BA18/((1/1000)*(up_Irr!AY18)),IF(AND(up_Irr!Z18&lt;&gt;".",up_Irr!AY18=".",up_Irr!BX18="."),up_dir!BA18/((1/1000)*(up_Irr!Z18)),IF(AND(up_Irr!Z18=".",up_Irr!AY18=".",up_Irr!BX18="."),up_dir!BA18*1000)))))))),".")</f>
        <v>6.5773651144152123E-11</v>
      </c>
      <c r="CB18" s="76">
        <f>IFERROR(IF(AND(up_Irr!AA18&lt;&gt;".",up_Irr!AZ18&lt;&gt;".",up_Irr!BY18&lt;&gt;"."),up_dir!BB18/((1/1000)*(up_Irr!AA18+up_Irr!AZ18+up_Irr!BY18)),IF(AND(up_Irr!AA18&lt;&gt;".",up_Irr!AZ18&lt;&gt;".",up_Irr!BY18="."),up_dir!BB18/((1/1000)*(up_Irr!AA18+up_Irr!AZ18)),IF(AND(up_Irr!AA18&lt;&gt;".",up_Irr!AZ18=".",up_Irr!BY18&lt;&gt;"."),up_dir!BB18/((1/1000)*(up_Irr!AA18+up_Irr!BY18)),IF(AND(up_Irr!AA18=".",up_Irr!AZ18&lt;&gt;".",up_Irr!BY18&lt;&gt;"."),up_dir!BB18/((1/1000)*(up_Irr!AZ18+up_Irr!BY18)),IF(AND(up_Irr!AA18=".",up_Irr!AZ18=".",up_Irr!BY18&lt;&gt;"."),up_dir!BB18/((1/1000)*(up_Irr!BY18)),IF(AND(up_Irr!AA18=".",up_Irr!AZ18&lt;&gt;".",up_Irr!BY18="."),up_dir!BB18/((1/1000)*(up_Irr!AZ18)),IF(AND(up_Irr!AA18&lt;&gt;".",up_Irr!AZ18=".",up_Irr!BY18="."),up_dir!BB18/((1/1000)*(up_Irr!AA18)),IF(AND(up_Irr!AA18=".",up_Irr!AZ18=".",up_Irr!BY18="."),up_dir!BB18*1000)))))))),".")</f>
        <v>6.5773651144152123E-11</v>
      </c>
      <c r="CC18" s="93">
        <f t="shared" si="3"/>
        <v>608146.26076229871</v>
      </c>
      <c r="CD18" s="93">
        <f>IFERROR(s_C*s_IFAP_far_adj*s_CF_apple*(1/1000)*(up_Irr!C18+up_Irr!AB18+up_Irr!BA18),".")</f>
        <v>152036.56519057468</v>
      </c>
      <c r="CE18" s="93">
        <f>IFERROR(s_C*s_IFAS_far_adj*s_CF_asparagus*(1/1000)*(up_Irr!D18+up_Irr!AC18+up_Irr!BB18),".")</f>
        <v>152036.56519057468</v>
      </c>
      <c r="CF18" s="93">
        <f>IFERROR(s_C*s_IFBT_far_adj*s_CF_beet*(1/1000)*(up_Irr!E18+up_Irr!AD18+up_Irr!BC18),".")</f>
        <v>152036.56519057468</v>
      </c>
      <c r="CG18" s="93">
        <f>IFERROR(s_C*s_IFBE_far_adj*s_CF_berries*(1/1000)*(up_Irr!F18+up_Irr!AE18+up_Irr!BD18),".")</f>
        <v>152036.56519057468</v>
      </c>
      <c r="CH18" s="93">
        <f>IFERROR(s_C*s_IFBR_far_adj*s_CF_broccoli*(1/1000)*(up_Irr!G18+up_Irr!AF18+up_Irr!BE18),".")</f>
        <v>152036.56519057468</v>
      </c>
      <c r="CI18" s="93">
        <f>IFERROR(s_C*s_IFCB_far_adj*s_CF_cabbage*(1/1000)*(up_Irr!H18+up_Irr!AG18+up_Irr!BF18),".")</f>
        <v>152036.56519057468</v>
      </c>
      <c r="CJ18" s="93">
        <f>IFERROR(s_C*s_IFCR_far_adj*s_CF_carrot*(1/1000)*(up_Irr!I18+up_Irr!AH18+up_Irr!BG18),".")</f>
        <v>152036.56519057468</v>
      </c>
      <c r="CK18" s="93">
        <f>IFERROR(s_C*s_IFCI_far_adj*s_CF_citrus*(1/1000)*(up_Irr!J18+up_Irr!AI18+up_Irr!BH18),".")</f>
        <v>152036.56519057468</v>
      </c>
      <c r="CL18" s="93">
        <f>IFERROR(s_C*s_IFCO_far_adj*s_CF_corn*(1/1000)*(up_Irr!K18+up_Irr!AJ18+up_Irr!BI18),".")</f>
        <v>152036.56519057468</v>
      </c>
      <c r="CM18" s="93">
        <f>IFERROR(s_C*s_IFCU_far_adj*s_CF_cucumber*(1/1000)*(up_Irr!L18+up_Irr!AK18+up_Irr!BJ18),".")</f>
        <v>152036.56519057468</v>
      </c>
      <c r="CN18" s="93">
        <f>IFERROR(s_C*s_IFLE_far_adj*s_CF_lettuce*(1/1000)*(up_Irr!M18+up_Irr!AL18+up_Irr!BK18),".")</f>
        <v>152036.56519057468</v>
      </c>
      <c r="CO18" s="93">
        <f>IFERROR(s_C*s_IFLI_far_adj*s_CF_lima_bean*(1/1000)*(up_Irr!N18+up_Irr!AM18+up_Irr!BL18),".")</f>
        <v>152036.56519057468</v>
      </c>
      <c r="CP18" s="93">
        <f>IFERROR(s_C*s_IFOK_far_adj*s_CF_okra*(1/1000)*(up_Irr!O18+up_Irr!AN18+up_Irr!BM18),".")</f>
        <v>152036.56519057468</v>
      </c>
      <c r="CQ18" s="93">
        <f>IFERROR(s_C*s_IFON_far_adj*s_CF_onion*(1/1000)*(up_Irr!P18+up_Irr!AO18+up_Irr!BN18),".")</f>
        <v>152036.56519057468</v>
      </c>
      <c r="CR18" s="93">
        <f>IFERROR(s_C*s_IFPC_far_adj*s_CF_peach*(1/1000)*(up_Irr!Q18+up_Irr!AP18+up_Irr!BO18),".")</f>
        <v>152036.56519057468</v>
      </c>
      <c r="CS18" s="93">
        <f>IFERROR(s_C*s_IFPR_far_adj*s_CF_pear*(1/1000)*(up_Irr!R18+up_Irr!AQ18+up_Irr!BP18),".")</f>
        <v>152036.56519057468</v>
      </c>
      <c r="CT18" s="93">
        <f>IFERROR(s_C*s_IFPE_far_adj*s_CF_peas*(1/1000)*(up_Irr!S18+up_Irr!AR18+up_Irr!BQ18),".")</f>
        <v>152036.56519057468</v>
      </c>
      <c r="CU18" s="93">
        <f>IFERROR(s_C*s_IFPP_far_adj*s_CF_peppers*(1/1000)*(up_Irr!T18+up_Irr!AS18+up_Irr!BR18),".")</f>
        <v>152036.56519057468</v>
      </c>
      <c r="CV18" s="93">
        <f>IFERROR(s_C*s_IFPT_far_adj*s_CF_potato*(1/1000)*(up_Irr!U18+up_Irr!AT18+up_Irr!BS18),".")</f>
        <v>152036.56519057468</v>
      </c>
      <c r="CW18" s="93">
        <f>IFERROR(s_C*s_IFPU_far_adj*s_CF_pumpkin*(1/1000)*(up_Irr!V18+up_Irr!AU18+up_Irr!BT18),".")</f>
        <v>152036.56519057468</v>
      </c>
      <c r="CX18" s="93">
        <f>IFERROR(s_C*s_IFSN_far_adj*s_CF_snap_bean*(1/1000)*(up_Irr!W18+up_Irr!AV18+up_Irr!BU18),".")</f>
        <v>152036.56519057468</v>
      </c>
      <c r="CY18" s="93">
        <f>IFERROR(s_C*s_IFST_far_adj*s_CF_strawberry*(1/1000)*(up_Irr!X18+up_Irr!AW18+up_Irr!BV18),".")</f>
        <v>152036.56519057468</v>
      </c>
      <c r="CZ18" s="93">
        <f>IFERROR(s_C*s_IFTO_far_adj*s_CF_tomato*(1/1000)*(up_Irr!Y18+up_Irr!AX18+up_Irr!BW18),".")</f>
        <v>152036.56519057468</v>
      </c>
      <c r="DA18" s="93">
        <f>IFERROR(s_C*s_IFRI_far_adj*s_CF_rice*(1/1000)*(up_Irr!Z18+up_Irr!AY18+up_Irr!BX18),".")</f>
        <v>152036.56519057468</v>
      </c>
      <c r="DB18" s="93">
        <f>IFERROR(s_C*s_IFCG_far_adj*s_CF_cereal*(1/1000)*(up_Irr!AA18+up_Irr!AZ18+up_Irr!BY18),".")</f>
        <v>152036.56519057468</v>
      </c>
    </row>
    <row r="19" spans="1:106" ht="15" customHeight="1" x14ac:dyDescent="0.25">
      <c r="A19" s="92" t="s">
        <v>29</v>
      </c>
      <c r="B19" s="90" t="s">
        <v>1071</v>
      </c>
      <c r="C19" s="15">
        <f t="shared" si="0"/>
        <v>1.6443412786038031E-11</v>
      </c>
      <c r="D19" s="76">
        <f>IFERROR(IF(AND(up_Irr!C19&lt;&gt;".",up_Irr!AB19&lt;&gt;".",up_Irr!BA19&lt;&gt;"."),up_dir!D19/((1/1000)*(up_Irr!C19+up_Irr!AB19+up_Irr!BA19)),IF(AND(up_Irr!C19&lt;&gt;".",up_Irr!AB19&lt;&gt;".",up_Irr!BA19="."),up_dir!D19/((1/1000)*(up_Irr!C19+up_Irr!AB19)),IF(AND(up_Irr!C19&lt;&gt;".",up_Irr!AB19=".",up_Irr!BA19&lt;&gt;"."),up_dir!D19/((1/1000)*(up_Irr!C19+up_Irr!BA19)),IF(AND(up_Irr!C19=".",up_Irr!AB19&lt;&gt;".",up_Irr!BA19&lt;&gt;"."),up_dir!D19/((1/1000)*(up_Irr!AB19+up_Irr!BA19)),IF(AND(up_Irr!C19=".",up_Irr!AB19=".",up_Irr!BA19&lt;&gt;"."),up_dir!D19/((1/1000)*(up_Irr!BA19)),IF(AND(up_Irr!C19=".",up_Irr!AB19&lt;&gt;".",up_Irr!BA19="."),up_dir!D19/((1/1000)*(up_Irr!AB19)),IF(AND(up_Irr!C19&lt;&gt;".",up_Irr!AB19=".",up_Irr!BA19="."),up_dir!D19/((1/1000)*(up_Irr!C19)),IF(AND(up_Irr!C19=".",up_Irr!AB19=".",up_Irr!BA19="."),up_dir!D19*1000)))))))),".")</f>
        <v>6.5773651144152123E-11</v>
      </c>
      <c r="E19" s="76">
        <f>IFERROR(IF(AND(up_Irr!D19&lt;&gt;".",up_Irr!AC19&lt;&gt;".",up_Irr!BB19&lt;&gt;"."),up_dir!E19/((1/1000)*(up_Irr!D19+up_Irr!AC19+up_Irr!BB19)),IF(AND(up_Irr!D19&lt;&gt;".",up_Irr!AC19&lt;&gt;".",up_Irr!BB19="."),up_dir!E19/((1/1000)*(up_Irr!D19+up_Irr!AC19)),IF(AND(up_Irr!D19&lt;&gt;".",up_Irr!AC19=".",up_Irr!BB19&lt;&gt;"."),up_dir!E19/((1/1000)*(up_Irr!D19+up_Irr!BB19)),IF(AND(up_Irr!D19=".",up_Irr!AC19&lt;&gt;".",up_Irr!BB19&lt;&gt;"."),up_dir!E19/((1/1000)*(up_Irr!AC19+up_Irr!BB19)),IF(AND(up_Irr!D19=".",up_Irr!AC19=".",up_Irr!BB19&lt;&gt;"."),up_dir!E19/((1/1000)*(up_Irr!BB19)),IF(AND(up_Irr!D19=".",up_Irr!AC19&lt;&gt;".",up_Irr!BB19="."),up_dir!E19/((1/1000)*(up_Irr!AC19)),IF(AND(up_Irr!D19&lt;&gt;".",up_Irr!AC19=".",up_Irr!BB19="."),up_dir!E19/((1/1000)*(up_Irr!D19)),IF(AND(up_Irr!D19=".",up_Irr!AC19=".",up_Irr!BB19="."),up_dir!E19*1000)))))))),".")</f>
        <v>6.5773651144152123E-11</v>
      </c>
      <c r="F19" s="76">
        <f>IFERROR(IF(AND(up_Irr!E19&lt;&gt;".",up_Irr!AD19&lt;&gt;".",up_Irr!BC19&lt;&gt;"."),up_dir!F19/((1/1000)*(up_Irr!E19+up_Irr!AD19+up_Irr!BC19)),IF(AND(up_Irr!E19&lt;&gt;".",up_Irr!AD19&lt;&gt;".",up_Irr!BC19="."),up_dir!F19/((1/1000)*(up_Irr!E19+up_Irr!AD19)),IF(AND(up_Irr!E19&lt;&gt;".",up_Irr!AD19=".",up_Irr!BC19&lt;&gt;"."),up_dir!F19/((1/1000)*(up_Irr!E19+up_Irr!BC19)),IF(AND(up_Irr!E19=".",up_Irr!AD19&lt;&gt;".",up_Irr!BC19&lt;&gt;"."),up_dir!F19/((1/1000)*(up_Irr!AD19+up_Irr!BC19)),IF(AND(up_Irr!E19=".",up_Irr!AD19=".",up_Irr!BC19&lt;&gt;"."),up_dir!F19/((1/1000)*(up_Irr!BC19)),IF(AND(up_Irr!E19=".",up_Irr!AD19&lt;&gt;".",up_Irr!BC19="."),up_dir!F19/((1/1000)*(up_Irr!AD19)),IF(AND(up_Irr!E19&lt;&gt;".",up_Irr!AD19=".",up_Irr!BC19="."),up_dir!F19/((1/1000)*(up_Irr!E19)),IF(AND(up_Irr!E19=".",up_Irr!AD19=".",up_Irr!BC19="."),up_dir!F19*1000)))))))),".")</f>
        <v>6.5773651144152123E-11</v>
      </c>
      <c r="G19" s="76">
        <f>IFERROR(IF(AND(up_Irr!F19&lt;&gt;".",up_Irr!AE19&lt;&gt;".",up_Irr!BD19&lt;&gt;"."),up_dir!G19/((1/1000)*(up_Irr!F19+up_Irr!AE19+up_Irr!BD19)),IF(AND(up_Irr!F19&lt;&gt;".",up_Irr!AE19&lt;&gt;".",up_Irr!BD19="."),up_dir!G19/((1/1000)*(up_Irr!F19+up_Irr!AE19)),IF(AND(up_Irr!F19&lt;&gt;".",up_Irr!AE19=".",up_Irr!BD19&lt;&gt;"."),up_dir!G19/((1/1000)*(up_Irr!F19+up_Irr!BD19)),IF(AND(up_Irr!F19=".",up_Irr!AE19&lt;&gt;".",up_Irr!BD19&lt;&gt;"."),up_dir!G19/((1/1000)*(up_Irr!AE19+up_Irr!BD19)),IF(AND(up_Irr!F19=".",up_Irr!AE19=".",up_Irr!BD19&lt;&gt;"."),up_dir!G19/((1/1000)*(up_Irr!BD19)),IF(AND(up_Irr!F19=".",up_Irr!AE19&lt;&gt;".",up_Irr!BD19="."),up_dir!G19/((1/1000)*(up_Irr!AE19)),IF(AND(up_Irr!F19&lt;&gt;".",up_Irr!AE19=".",up_Irr!BD19="."),up_dir!G19/((1/1000)*(up_Irr!F19)),IF(AND(up_Irr!F19=".",up_Irr!AE19=".",up_Irr!BD19="."),up_dir!G19*1000)))))))),".")</f>
        <v>6.5773651144152123E-11</v>
      </c>
      <c r="H19" s="76">
        <f>IFERROR(IF(AND(up_Irr!G19&lt;&gt;".",up_Irr!AF19&lt;&gt;".",up_Irr!BE19&lt;&gt;"."),up_dir!H19/((1/1000)*(up_Irr!G19+up_Irr!AF19+up_Irr!BE19)),IF(AND(up_Irr!G19&lt;&gt;".",up_Irr!AF19&lt;&gt;".",up_Irr!BE19="."),up_dir!H19/((1/1000)*(up_Irr!G19+up_Irr!AF19)),IF(AND(up_Irr!G19&lt;&gt;".",up_Irr!AF19=".",up_Irr!BE19&lt;&gt;"."),up_dir!H19/((1/1000)*(up_Irr!G19+up_Irr!BE19)),IF(AND(up_Irr!G19=".",up_Irr!AF19&lt;&gt;".",up_Irr!BE19&lt;&gt;"."),up_dir!H19/((1/1000)*(up_Irr!AF19+up_Irr!BE19)),IF(AND(up_Irr!G19=".",up_Irr!AF19=".",up_Irr!BE19&lt;&gt;"."),up_dir!H19/((1/1000)*(up_Irr!BE19)),IF(AND(up_Irr!G19=".",up_Irr!AF19&lt;&gt;".",up_Irr!BE19="."),up_dir!H19/((1/1000)*(up_Irr!AF19)),IF(AND(up_Irr!G19&lt;&gt;".",up_Irr!AF19=".",up_Irr!BE19="."),up_dir!H19/((1/1000)*(up_Irr!G19)),IF(AND(up_Irr!G19=".",up_Irr!AF19=".",up_Irr!BE19="."),up_dir!H19*1000)))))))),".")</f>
        <v>6.5773651144152123E-11</v>
      </c>
      <c r="I19" s="76">
        <f>IFERROR(IF(AND(up_Irr!H19&lt;&gt;".",up_Irr!AG19&lt;&gt;".",up_Irr!BF19&lt;&gt;"."),up_dir!I19/((1/1000)*(up_Irr!H19+up_Irr!AG19+up_Irr!BF19)),IF(AND(up_Irr!H19&lt;&gt;".",up_Irr!AG19&lt;&gt;".",up_Irr!BF19="."),up_dir!I19/((1/1000)*(up_Irr!H19+up_Irr!AG19)),IF(AND(up_Irr!H19&lt;&gt;".",up_Irr!AG19=".",up_Irr!BF19&lt;&gt;"."),up_dir!I19/((1/1000)*(up_Irr!H19+up_Irr!BF19)),IF(AND(up_Irr!H19=".",up_Irr!AG19&lt;&gt;".",up_Irr!BF19&lt;&gt;"."),up_dir!I19/((1/1000)*(up_Irr!AG19+up_Irr!BF19)),IF(AND(up_Irr!H19=".",up_Irr!AG19=".",up_Irr!BF19&lt;&gt;"."),up_dir!I19/((1/1000)*(up_Irr!BF19)),IF(AND(up_Irr!H19=".",up_Irr!AG19&lt;&gt;".",up_Irr!BF19="."),up_dir!I19/((1/1000)*(up_Irr!AG19)),IF(AND(up_Irr!H19&lt;&gt;".",up_Irr!AG19=".",up_Irr!BF19="."),up_dir!I19/((1/1000)*(up_Irr!H19)),IF(AND(up_Irr!H19=".",up_Irr!AG19=".",up_Irr!BF19="."),up_dir!I19*1000)))))))),".")</f>
        <v>6.5773651144152123E-11</v>
      </c>
      <c r="J19" s="76">
        <f>IFERROR(IF(AND(up_Irr!I19&lt;&gt;".",up_Irr!AH19&lt;&gt;".",up_Irr!BG19&lt;&gt;"."),up_dir!J19/((1/1000)*(up_Irr!I19+up_Irr!AH19+up_Irr!BG19)),IF(AND(up_Irr!I19&lt;&gt;".",up_Irr!AH19&lt;&gt;".",up_Irr!BG19="."),up_dir!J19/((1/1000)*(up_Irr!I19+up_Irr!AH19)),IF(AND(up_Irr!I19&lt;&gt;".",up_Irr!AH19=".",up_Irr!BG19&lt;&gt;"."),up_dir!J19/((1/1000)*(up_Irr!I19+up_Irr!BG19)),IF(AND(up_Irr!I19=".",up_Irr!AH19&lt;&gt;".",up_Irr!BG19&lt;&gt;"."),up_dir!J19/((1/1000)*(up_Irr!AH19+up_Irr!BG19)),IF(AND(up_Irr!I19=".",up_Irr!AH19=".",up_Irr!BG19&lt;&gt;"."),up_dir!J19/((1/1000)*(up_Irr!BG19)),IF(AND(up_Irr!I19=".",up_Irr!AH19&lt;&gt;".",up_Irr!BG19="."),up_dir!J19/((1/1000)*(up_Irr!AH19)),IF(AND(up_Irr!I19&lt;&gt;".",up_Irr!AH19=".",up_Irr!BG19="."),up_dir!J19/((1/1000)*(up_Irr!I19)),IF(AND(up_Irr!I19=".",up_Irr!AH19=".",up_Irr!BG19="."),up_dir!J19*1000)))))))),".")</f>
        <v>6.5773651144152123E-11</v>
      </c>
      <c r="K19" s="76">
        <f>IFERROR(IF(AND(up_Irr!J19&lt;&gt;".",up_Irr!AI19&lt;&gt;".",up_Irr!BH19&lt;&gt;"."),up_dir!K19/((1/1000)*(up_Irr!J19+up_Irr!AI19+up_Irr!BH19)),IF(AND(up_Irr!J19&lt;&gt;".",up_Irr!AI19&lt;&gt;".",up_Irr!BH19="."),up_dir!K19/((1/1000)*(up_Irr!J19+up_Irr!AI19)),IF(AND(up_Irr!J19&lt;&gt;".",up_Irr!AI19=".",up_Irr!BH19&lt;&gt;"."),up_dir!K19/((1/1000)*(up_Irr!J19+up_Irr!BH19)),IF(AND(up_Irr!J19=".",up_Irr!AI19&lt;&gt;".",up_Irr!BH19&lt;&gt;"."),up_dir!K19/((1/1000)*(up_Irr!AI19+up_Irr!BH19)),IF(AND(up_Irr!J19=".",up_Irr!AI19=".",up_Irr!BH19&lt;&gt;"."),up_dir!K19/((1/1000)*(up_Irr!BH19)),IF(AND(up_Irr!J19=".",up_Irr!AI19&lt;&gt;".",up_Irr!BH19="."),up_dir!K19/((1/1000)*(up_Irr!AI19)),IF(AND(up_Irr!J19&lt;&gt;".",up_Irr!AI19=".",up_Irr!BH19="."),up_dir!K19/((1/1000)*(up_Irr!J19)),IF(AND(up_Irr!J19=".",up_Irr!AI19=".",up_Irr!BH19="."),up_dir!K19*1000)))))))),".")</f>
        <v>6.5773651144152123E-11</v>
      </c>
      <c r="L19" s="76">
        <f>IFERROR(IF(AND(up_Irr!K19&lt;&gt;".",up_Irr!AJ19&lt;&gt;".",up_Irr!BI19&lt;&gt;"."),up_dir!L19/((1/1000)*(up_Irr!K19+up_Irr!AJ19+up_Irr!BI19)),IF(AND(up_Irr!K19&lt;&gt;".",up_Irr!AJ19&lt;&gt;".",up_Irr!BI19="."),up_dir!L19/((1/1000)*(up_Irr!K19+up_Irr!AJ19)),IF(AND(up_Irr!K19&lt;&gt;".",up_Irr!AJ19=".",up_Irr!BI19&lt;&gt;"."),up_dir!L19/((1/1000)*(up_Irr!K19+up_Irr!BI19)),IF(AND(up_Irr!K19=".",up_Irr!AJ19&lt;&gt;".",up_Irr!BI19&lt;&gt;"."),up_dir!L19/((1/1000)*(up_Irr!AJ19+up_Irr!BI19)),IF(AND(up_Irr!K19=".",up_Irr!AJ19=".",up_Irr!BI19&lt;&gt;"."),up_dir!L19/((1/1000)*(up_Irr!BI19)),IF(AND(up_Irr!K19=".",up_Irr!AJ19&lt;&gt;".",up_Irr!BI19="."),up_dir!L19/((1/1000)*(up_Irr!AJ19)),IF(AND(up_Irr!K19&lt;&gt;".",up_Irr!AJ19=".",up_Irr!BI19="."),up_dir!L19/((1/1000)*(up_Irr!K19)),IF(AND(up_Irr!K19=".",up_Irr!AJ19=".",up_Irr!BI19="."),up_dir!L19*1000)))))))),".")</f>
        <v>6.5773651144152123E-11</v>
      </c>
      <c r="M19" s="76">
        <f>IFERROR(IF(AND(up_Irr!L19&lt;&gt;".",up_Irr!AK19&lt;&gt;".",up_Irr!BJ19&lt;&gt;"."),up_dir!M19/((1/1000)*(up_Irr!L19+up_Irr!AK19+up_Irr!BJ19)),IF(AND(up_Irr!L19&lt;&gt;".",up_Irr!AK19&lt;&gt;".",up_Irr!BJ19="."),up_dir!M19/((1/1000)*(up_Irr!L19+up_Irr!AK19)),IF(AND(up_Irr!L19&lt;&gt;".",up_Irr!AK19=".",up_Irr!BJ19&lt;&gt;"."),up_dir!M19/((1/1000)*(up_Irr!L19+up_Irr!BJ19)),IF(AND(up_Irr!L19=".",up_Irr!AK19&lt;&gt;".",up_Irr!BJ19&lt;&gt;"."),up_dir!M19/((1/1000)*(up_Irr!AK19+up_Irr!BJ19)),IF(AND(up_Irr!L19=".",up_Irr!AK19=".",up_Irr!BJ19&lt;&gt;"."),up_dir!M19/((1/1000)*(up_Irr!BJ19)),IF(AND(up_Irr!L19=".",up_Irr!AK19&lt;&gt;".",up_Irr!BJ19="."),up_dir!M19/((1/1000)*(up_Irr!AK19)),IF(AND(up_Irr!L19&lt;&gt;".",up_Irr!AK19=".",up_Irr!BJ19="."),up_dir!M19/((1/1000)*(up_Irr!L19)),IF(AND(up_Irr!L19=".",up_Irr!AK19=".",up_Irr!BJ19="."),up_dir!M19*1000)))))))),".")</f>
        <v>6.5773651144152123E-11</v>
      </c>
      <c r="N19" s="76">
        <f>IFERROR(IF(AND(up_Irr!M19&lt;&gt;".",up_Irr!AL19&lt;&gt;".",up_Irr!BK19&lt;&gt;"."),up_dir!N19/((1/1000)*(up_Irr!M19+up_Irr!AL19+up_Irr!BK19)),IF(AND(up_Irr!M19&lt;&gt;".",up_Irr!AL19&lt;&gt;".",up_Irr!BK19="."),up_dir!N19/((1/1000)*(up_Irr!M19+up_Irr!AL19)),IF(AND(up_Irr!M19&lt;&gt;".",up_Irr!AL19=".",up_Irr!BK19&lt;&gt;"."),up_dir!N19/((1/1000)*(up_Irr!M19+up_Irr!BK19)),IF(AND(up_Irr!M19=".",up_Irr!AL19&lt;&gt;".",up_Irr!BK19&lt;&gt;"."),up_dir!N19/((1/1000)*(up_Irr!AL19+up_Irr!BK19)),IF(AND(up_Irr!M19=".",up_Irr!AL19=".",up_Irr!BK19&lt;&gt;"."),up_dir!N19/((1/1000)*(up_Irr!BK19)),IF(AND(up_Irr!M19=".",up_Irr!AL19&lt;&gt;".",up_Irr!BK19="."),up_dir!N19/((1/1000)*(up_Irr!AL19)),IF(AND(up_Irr!M19&lt;&gt;".",up_Irr!AL19=".",up_Irr!BK19="."),up_dir!N19/((1/1000)*(up_Irr!M19)),IF(AND(up_Irr!M19=".",up_Irr!AL19=".",up_Irr!BK19="."),up_dir!N19*1000)))))))),".")</f>
        <v>6.5773651144152123E-11</v>
      </c>
      <c r="O19" s="76">
        <f>IFERROR(IF(AND(up_Irr!N19&lt;&gt;".",up_Irr!AM19&lt;&gt;".",up_Irr!BL19&lt;&gt;"."),up_dir!O19/((1/1000)*(up_Irr!N19+up_Irr!AM19+up_Irr!BL19)),IF(AND(up_Irr!N19&lt;&gt;".",up_Irr!AM19&lt;&gt;".",up_Irr!BL19="."),up_dir!O19/((1/1000)*(up_Irr!N19+up_Irr!AM19)),IF(AND(up_Irr!N19&lt;&gt;".",up_Irr!AM19=".",up_Irr!BL19&lt;&gt;"."),up_dir!O19/((1/1000)*(up_Irr!N19+up_Irr!BL19)),IF(AND(up_Irr!N19=".",up_Irr!AM19&lt;&gt;".",up_Irr!BL19&lt;&gt;"."),up_dir!O19/((1/1000)*(up_Irr!AM19+up_Irr!BL19)),IF(AND(up_Irr!N19=".",up_Irr!AM19=".",up_Irr!BL19&lt;&gt;"."),up_dir!O19/((1/1000)*(up_Irr!BL19)),IF(AND(up_Irr!N19=".",up_Irr!AM19&lt;&gt;".",up_Irr!BL19="."),up_dir!O19/((1/1000)*(up_Irr!AM19)),IF(AND(up_Irr!N19&lt;&gt;".",up_Irr!AM19=".",up_Irr!BL19="."),up_dir!O19/((1/1000)*(up_Irr!N19)),IF(AND(up_Irr!N19=".",up_Irr!AM19=".",up_Irr!BL19="."),up_dir!O19*1000)))))))),".")</f>
        <v>6.5773651144152123E-11</v>
      </c>
      <c r="P19" s="76">
        <f>IFERROR(IF(AND(up_Irr!O19&lt;&gt;".",up_Irr!AN19&lt;&gt;".",up_Irr!BM19&lt;&gt;"."),up_dir!P19/((1/1000)*(up_Irr!O19+up_Irr!AN19+up_Irr!BM19)),IF(AND(up_Irr!O19&lt;&gt;".",up_Irr!AN19&lt;&gt;".",up_Irr!BM19="."),up_dir!P19/((1/1000)*(up_Irr!O19+up_Irr!AN19)),IF(AND(up_Irr!O19&lt;&gt;".",up_Irr!AN19=".",up_Irr!BM19&lt;&gt;"."),up_dir!P19/((1/1000)*(up_Irr!O19+up_Irr!BM19)),IF(AND(up_Irr!O19=".",up_Irr!AN19&lt;&gt;".",up_Irr!BM19&lt;&gt;"."),up_dir!P19/((1/1000)*(up_Irr!AN19+up_Irr!BM19)),IF(AND(up_Irr!O19=".",up_Irr!AN19=".",up_Irr!BM19&lt;&gt;"."),up_dir!P19/((1/1000)*(up_Irr!BM19)),IF(AND(up_Irr!O19=".",up_Irr!AN19&lt;&gt;".",up_Irr!BM19="."),up_dir!P19/((1/1000)*(up_Irr!AN19)),IF(AND(up_Irr!O19&lt;&gt;".",up_Irr!AN19=".",up_Irr!BM19="."),up_dir!P19/((1/1000)*(up_Irr!O19)),IF(AND(up_Irr!O19=".",up_Irr!AN19=".",up_Irr!BM19="."),up_dir!P19*1000)))))))),".")</f>
        <v>6.5773651144152123E-11</v>
      </c>
      <c r="Q19" s="76">
        <f>IFERROR(IF(AND(up_Irr!P19&lt;&gt;".",up_Irr!AO19&lt;&gt;".",up_Irr!BN19&lt;&gt;"."),up_dir!Q19/((1/1000)*(up_Irr!P19+up_Irr!AO19+up_Irr!BN19)),IF(AND(up_Irr!P19&lt;&gt;".",up_Irr!AO19&lt;&gt;".",up_Irr!BN19="."),up_dir!Q19/((1/1000)*(up_Irr!P19+up_Irr!AO19)),IF(AND(up_Irr!P19&lt;&gt;".",up_Irr!AO19=".",up_Irr!BN19&lt;&gt;"."),up_dir!Q19/((1/1000)*(up_Irr!P19+up_Irr!BN19)),IF(AND(up_Irr!P19=".",up_Irr!AO19&lt;&gt;".",up_Irr!BN19&lt;&gt;"."),up_dir!Q19/((1/1000)*(up_Irr!AO19+up_Irr!BN19)),IF(AND(up_Irr!P19=".",up_Irr!AO19=".",up_Irr!BN19&lt;&gt;"."),up_dir!Q19/((1/1000)*(up_Irr!BN19)),IF(AND(up_Irr!P19=".",up_Irr!AO19&lt;&gt;".",up_Irr!BN19="."),up_dir!Q19/((1/1000)*(up_Irr!AO19)),IF(AND(up_Irr!P19&lt;&gt;".",up_Irr!AO19=".",up_Irr!BN19="."),up_dir!Q19/((1/1000)*(up_Irr!P19)),IF(AND(up_Irr!P19=".",up_Irr!AO19=".",up_Irr!BN19="."),up_dir!Q19*1000)))))))),".")</f>
        <v>6.5773651144152123E-11</v>
      </c>
      <c r="R19" s="76">
        <f>IFERROR(IF(AND(up_Irr!Q19&lt;&gt;".",up_Irr!AP19&lt;&gt;".",up_Irr!BO19&lt;&gt;"."),up_dir!R19/((1/1000)*(up_Irr!Q19+up_Irr!AP19+up_Irr!BO19)),IF(AND(up_Irr!Q19&lt;&gt;".",up_Irr!AP19&lt;&gt;".",up_Irr!BO19="."),up_dir!R19/((1/1000)*(up_Irr!Q19+up_Irr!AP19)),IF(AND(up_Irr!Q19&lt;&gt;".",up_Irr!AP19=".",up_Irr!BO19&lt;&gt;"."),up_dir!R19/((1/1000)*(up_Irr!Q19+up_Irr!BO19)),IF(AND(up_Irr!Q19=".",up_Irr!AP19&lt;&gt;".",up_Irr!BO19&lt;&gt;"."),up_dir!R19/((1/1000)*(up_Irr!AP19+up_Irr!BO19)),IF(AND(up_Irr!Q19=".",up_Irr!AP19=".",up_Irr!BO19&lt;&gt;"."),up_dir!R19/((1/1000)*(up_Irr!BO19)),IF(AND(up_Irr!Q19=".",up_Irr!AP19&lt;&gt;".",up_Irr!BO19="."),up_dir!R19/((1/1000)*(up_Irr!AP19)),IF(AND(up_Irr!Q19&lt;&gt;".",up_Irr!AP19=".",up_Irr!BO19="."),up_dir!R19/((1/1000)*(up_Irr!Q19)),IF(AND(up_Irr!Q19=".",up_Irr!AP19=".",up_Irr!BO19="."),up_dir!R19*1000)))))))),".")</f>
        <v>6.5773651144152123E-11</v>
      </c>
      <c r="S19" s="76">
        <f>IFERROR(IF(AND(up_Irr!R19&lt;&gt;".",up_Irr!AQ19&lt;&gt;".",up_Irr!BP19&lt;&gt;"."),up_dir!S19/((1/1000)*(up_Irr!R19+up_Irr!AQ19+up_Irr!BP19)),IF(AND(up_Irr!R19&lt;&gt;".",up_Irr!AQ19&lt;&gt;".",up_Irr!BP19="."),up_dir!S19/((1/1000)*(up_Irr!R19+up_Irr!AQ19)),IF(AND(up_Irr!R19&lt;&gt;".",up_Irr!AQ19=".",up_Irr!BP19&lt;&gt;"."),up_dir!S19/((1/1000)*(up_Irr!R19+up_Irr!BP19)),IF(AND(up_Irr!R19=".",up_Irr!AQ19&lt;&gt;".",up_Irr!BP19&lt;&gt;"."),up_dir!S19/((1/1000)*(up_Irr!AQ19+up_Irr!BP19)),IF(AND(up_Irr!R19=".",up_Irr!AQ19=".",up_Irr!BP19&lt;&gt;"."),up_dir!S19/((1/1000)*(up_Irr!BP19)),IF(AND(up_Irr!R19=".",up_Irr!AQ19&lt;&gt;".",up_Irr!BP19="."),up_dir!S19/((1/1000)*(up_Irr!AQ19)),IF(AND(up_Irr!R19&lt;&gt;".",up_Irr!AQ19=".",up_Irr!BP19="."),up_dir!S19/((1/1000)*(up_Irr!R19)),IF(AND(up_Irr!R19=".",up_Irr!AQ19=".",up_Irr!BP19="."),up_dir!S19*1000)))))))),".")</f>
        <v>6.5773651144152123E-11</v>
      </c>
      <c r="T19" s="76">
        <f>IFERROR(IF(AND(up_Irr!S19&lt;&gt;".",up_Irr!AR19&lt;&gt;".",up_Irr!BQ19&lt;&gt;"."),up_dir!T19/((1/1000)*(up_Irr!S19+up_Irr!AR19+up_Irr!BQ19)),IF(AND(up_Irr!S19&lt;&gt;".",up_Irr!AR19&lt;&gt;".",up_Irr!BQ19="."),up_dir!T19/((1/1000)*(up_Irr!S19+up_Irr!AR19)),IF(AND(up_Irr!S19&lt;&gt;".",up_Irr!AR19=".",up_Irr!BQ19&lt;&gt;"."),up_dir!T19/((1/1000)*(up_Irr!S19+up_Irr!BQ19)),IF(AND(up_Irr!S19=".",up_Irr!AR19&lt;&gt;".",up_Irr!BQ19&lt;&gt;"."),up_dir!T19/((1/1000)*(up_Irr!AR19+up_Irr!BQ19)),IF(AND(up_Irr!S19=".",up_Irr!AR19=".",up_Irr!BQ19&lt;&gt;"."),up_dir!T19/((1/1000)*(up_Irr!BQ19)),IF(AND(up_Irr!S19=".",up_Irr!AR19&lt;&gt;".",up_Irr!BQ19="."),up_dir!T19/((1/1000)*(up_Irr!AR19)),IF(AND(up_Irr!S19&lt;&gt;".",up_Irr!AR19=".",up_Irr!BQ19="."),up_dir!T19/((1/1000)*(up_Irr!S19)),IF(AND(up_Irr!S19=".",up_Irr!AR19=".",up_Irr!BQ19="."),up_dir!T19*1000)))))))),".")</f>
        <v>6.5773651144152123E-11</v>
      </c>
      <c r="U19" s="76">
        <f>IFERROR(IF(AND(up_Irr!T19&lt;&gt;".",up_Irr!AS19&lt;&gt;".",up_Irr!BR19&lt;&gt;"."),up_dir!U19/((1/1000)*(up_Irr!T19+up_Irr!AS19+up_Irr!BR19)),IF(AND(up_Irr!T19&lt;&gt;".",up_Irr!AS19&lt;&gt;".",up_Irr!BR19="."),up_dir!U19/((1/1000)*(up_Irr!T19+up_Irr!AS19)),IF(AND(up_Irr!T19&lt;&gt;".",up_Irr!AS19=".",up_Irr!BR19&lt;&gt;"."),up_dir!U19/((1/1000)*(up_Irr!T19+up_Irr!BR19)),IF(AND(up_Irr!T19=".",up_Irr!AS19&lt;&gt;".",up_Irr!BR19&lt;&gt;"."),up_dir!U19/((1/1000)*(up_Irr!AS19+up_Irr!BR19)),IF(AND(up_Irr!T19=".",up_Irr!AS19=".",up_Irr!BR19&lt;&gt;"."),up_dir!U19/((1/1000)*(up_Irr!BR19)),IF(AND(up_Irr!T19=".",up_Irr!AS19&lt;&gt;".",up_Irr!BR19="."),up_dir!U19/((1/1000)*(up_Irr!AS19)),IF(AND(up_Irr!T19&lt;&gt;".",up_Irr!AS19=".",up_Irr!BR19="."),up_dir!U19/((1/1000)*(up_Irr!T19)),IF(AND(up_Irr!T19=".",up_Irr!AS19=".",up_Irr!BR19="."),up_dir!U19*1000)))))))),".")</f>
        <v>6.5773651144152123E-11</v>
      </c>
      <c r="V19" s="76">
        <f>IFERROR(IF(AND(up_Irr!U19&lt;&gt;".",up_Irr!AT19&lt;&gt;".",up_Irr!BS19&lt;&gt;"."),up_dir!V19/((1/1000)*(up_Irr!U19+up_Irr!AT19+up_Irr!BS19)),IF(AND(up_Irr!U19&lt;&gt;".",up_Irr!AT19&lt;&gt;".",up_Irr!BS19="."),up_dir!V19/((1/1000)*(up_Irr!U19+up_Irr!AT19)),IF(AND(up_Irr!U19&lt;&gt;".",up_Irr!AT19=".",up_Irr!BS19&lt;&gt;"."),up_dir!V19/((1/1000)*(up_Irr!U19+up_Irr!BS19)),IF(AND(up_Irr!U19=".",up_Irr!AT19&lt;&gt;".",up_Irr!BS19&lt;&gt;"."),up_dir!V19/((1/1000)*(up_Irr!AT19+up_Irr!BS19)),IF(AND(up_Irr!U19=".",up_Irr!AT19=".",up_Irr!BS19&lt;&gt;"."),up_dir!V19/((1/1000)*(up_Irr!BS19)),IF(AND(up_Irr!U19=".",up_Irr!AT19&lt;&gt;".",up_Irr!BS19="."),up_dir!V19/((1/1000)*(up_Irr!AT19)),IF(AND(up_Irr!U19&lt;&gt;".",up_Irr!AT19=".",up_Irr!BS19="."),up_dir!V19/((1/1000)*(up_Irr!U19)),IF(AND(up_Irr!U19=".",up_Irr!AT19=".",up_Irr!BS19="."),up_dir!V19*1000)))))))),".")</f>
        <v>6.5773651144152123E-11</v>
      </c>
      <c r="W19" s="76">
        <f>IFERROR(IF(AND(up_Irr!V19&lt;&gt;".",up_Irr!AU19&lt;&gt;".",up_Irr!BT19&lt;&gt;"."),up_dir!W19/((1/1000)*(up_Irr!V19+up_Irr!AU19+up_Irr!BT19)),IF(AND(up_Irr!V19&lt;&gt;".",up_Irr!AU19&lt;&gt;".",up_Irr!BT19="."),up_dir!W19/((1/1000)*(up_Irr!V19+up_Irr!AU19)),IF(AND(up_Irr!V19&lt;&gt;".",up_Irr!AU19=".",up_Irr!BT19&lt;&gt;"."),up_dir!W19/((1/1000)*(up_Irr!V19+up_Irr!BT19)),IF(AND(up_Irr!V19=".",up_Irr!AU19&lt;&gt;".",up_Irr!BT19&lt;&gt;"."),up_dir!W19/((1/1000)*(up_Irr!AU19+up_Irr!BT19)),IF(AND(up_Irr!V19=".",up_Irr!AU19=".",up_Irr!BT19&lt;&gt;"."),up_dir!W19/((1/1000)*(up_Irr!BT19)),IF(AND(up_Irr!V19=".",up_Irr!AU19&lt;&gt;".",up_Irr!BT19="."),up_dir!W19/((1/1000)*(up_Irr!AU19)),IF(AND(up_Irr!V19&lt;&gt;".",up_Irr!AU19=".",up_Irr!BT19="."),up_dir!W19/((1/1000)*(up_Irr!V19)),IF(AND(up_Irr!V19=".",up_Irr!AU19=".",up_Irr!BT19="."),up_dir!W19*1000)))))))),".")</f>
        <v>6.5773651144152123E-11</v>
      </c>
      <c r="X19" s="76">
        <f>IFERROR(IF(AND(up_Irr!W19&lt;&gt;".",up_Irr!AV19&lt;&gt;".",up_Irr!BU19&lt;&gt;"."),up_dir!X19/((1/1000)*(up_Irr!W19+up_Irr!AV19+up_Irr!BU19)),IF(AND(up_Irr!W19&lt;&gt;".",up_Irr!AV19&lt;&gt;".",up_Irr!BU19="."),up_dir!X19/((1/1000)*(up_Irr!W19+up_Irr!AV19)),IF(AND(up_Irr!W19&lt;&gt;".",up_Irr!AV19=".",up_Irr!BU19&lt;&gt;"."),up_dir!X19/((1/1000)*(up_Irr!W19+up_Irr!BU19)),IF(AND(up_Irr!W19=".",up_Irr!AV19&lt;&gt;".",up_Irr!BU19&lt;&gt;"."),up_dir!X19/((1/1000)*(up_Irr!AV19+up_Irr!BU19)),IF(AND(up_Irr!W19=".",up_Irr!AV19=".",up_Irr!BU19&lt;&gt;"."),up_dir!X19/((1/1000)*(up_Irr!BU19)),IF(AND(up_Irr!W19=".",up_Irr!AV19&lt;&gt;".",up_Irr!BU19="."),up_dir!X19/((1/1000)*(up_Irr!AV19)),IF(AND(up_Irr!W19&lt;&gt;".",up_Irr!AV19=".",up_Irr!BU19="."),up_dir!X19/((1/1000)*(up_Irr!W19)),IF(AND(up_Irr!W19=".",up_Irr!AV19=".",up_Irr!BU19="."),up_dir!X19*1000)))))))),".")</f>
        <v>6.5773651144152123E-11</v>
      </c>
      <c r="Y19" s="76">
        <f>IFERROR(IF(AND(up_Irr!X19&lt;&gt;".",up_Irr!AW19&lt;&gt;".",up_Irr!BV19&lt;&gt;"."),up_dir!Y19/((1/1000)*(up_Irr!X19+up_Irr!AW19+up_Irr!BV19)),IF(AND(up_Irr!X19&lt;&gt;".",up_Irr!AW19&lt;&gt;".",up_Irr!BV19="."),up_dir!Y19/((1/1000)*(up_Irr!X19+up_Irr!AW19)),IF(AND(up_Irr!X19&lt;&gt;".",up_Irr!AW19=".",up_Irr!BV19&lt;&gt;"."),up_dir!Y19/((1/1000)*(up_Irr!X19+up_Irr!BV19)),IF(AND(up_Irr!X19=".",up_Irr!AW19&lt;&gt;".",up_Irr!BV19&lt;&gt;"."),up_dir!Y19/((1/1000)*(up_Irr!AW19+up_Irr!BV19)),IF(AND(up_Irr!X19=".",up_Irr!AW19=".",up_Irr!BV19&lt;&gt;"."),up_dir!Y19/((1/1000)*(up_Irr!BV19)),IF(AND(up_Irr!X19=".",up_Irr!AW19&lt;&gt;".",up_Irr!BV19="."),up_dir!Y19/((1/1000)*(up_Irr!AW19)),IF(AND(up_Irr!X19&lt;&gt;".",up_Irr!AW19=".",up_Irr!BV19="."),up_dir!Y19/((1/1000)*(up_Irr!X19)),IF(AND(up_Irr!X19=".",up_Irr!AW19=".",up_Irr!BV19="."),up_dir!Y19*1000)))))))),".")</f>
        <v>6.5773651144152123E-11</v>
      </c>
      <c r="Z19" s="76">
        <f>IFERROR(IF(AND(up_Irr!Y19&lt;&gt;".",up_Irr!AX19&lt;&gt;".",up_Irr!BW19&lt;&gt;"."),up_dir!Z19/((1/1000)*(up_Irr!Y19+up_Irr!AX19+up_Irr!BW19)),IF(AND(up_Irr!Y19&lt;&gt;".",up_Irr!AX19&lt;&gt;".",up_Irr!BW19="."),up_dir!Z19/((1/1000)*(up_Irr!Y19+up_Irr!AX19)),IF(AND(up_Irr!Y19&lt;&gt;".",up_Irr!AX19=".",up_Irr!BW19&lt;&gt;"."),up_dir!Z19/((1/1000)*(up_Irr!Y19+up_Irr!BW19)),IF(AND(up_Irr!Y19=".",up_Irr!AX19&lt;&gt;".",up_Irr!BW19&lt;&gt;"."),up_dir!Z19/((1/1000)*(up_Irr!AX19+up_Irr!BW19)),IF(AND(up_Irr!Y19=".",up_Irr!AX19=".",up_Irr!BW19&lt;&gt;"."),up_dir!Z19/((1/1000)*(up_Irr!BW19)),IF(AND(up_Irr!Y19=".",up_Irr!AX19&lt;&gt;".",up_Irr!BW19="."),up_dir!Z19/((1/1000)*(up_Irr!AX19)),IF(AND(up_Irr!Y19&lt;&gt;".",up_Irr!AX19=".",up_Irr!BW19="."),up_dir!Z19/((1/1000)*(up_Irr!Y19)),IF(AND(up_Irr!Y19=".",up_Irr!AX19=".",up_Irr!BW19="."),up_dir!Z19*1000)))))))),".")</f>
        <v>6.5773651144152123E-11</v>
      </c>
      <c r="AA19" s="76">
        <f>IFERROR(IF(AND(up_Irr!Z19&lt;&gt;".",up_Irr!AY19&lt;&gt;".",up_Irr!BX19&lt;&gt;"."),up_dir!AA19/((1/1000)*(up_Irr!Z19+up_Irr!AY19+up_Irr!BX19)),IF(AND(up_Irr!Z19&lt;&gt;".",up_Irr!AY19&lt;&gt;".",up_Irr!BX19="."),up_dir!AA19/((1/1000)*(up_Irr!Z19+up_Irr!AY19)),IF(AND(up_Irr!Z19&lt;&gt;".",up_Irr!AY19=".",up_Irr!BX19&lt;&gt;"."),up_dir!AA19/((1/1000)*(up_Irr!Z19+up_Irr!BX19)),IF(AND(up_Irr!Z19=".",up_Irr!AY19&lt;&gt;".",up_Irr!BX19&lt;&gt;"."),up_dir!AA19/((1/1000)*(up_Irr!AY19+up_Irr!BX19)),IF(AND(up_Irr!Z19=".",up_Irr!AY19=".",up_Irr!BX19&lt;&gt;"."),up_dir!AA19/((1/1000)*(up_Irr!BX19)),IF(AND(up_Irr!Z19=".",up_Irr!AY19&lt;&gt;".",up_Irr!BX19="."),up_dir!AA19/((1/1000)*(up_Irr!AY19)),IF(AND(up_Irr!Z19&lt;&gt;".",up_Irr!AY19=".",up_Irr!BX19="."),up_dir!AA19/((1/1000)*(up_Irr!Z19)),IF(AND(up_Irr!Z19=".",up_Irr!AY19=".",up_Irr!BX19="."),up_dir!AA19*1000)))))))),".")</f>
        <v>6.5773651144152123E-11</v>
      </c>
      <c r="AB19" s="76">
        <f>IFERROR(IF(AND(up_Irr!AA19&lt;&gt;".",up_Irr!AZ19&lt;&gt;".",up_Irr!BY19&lt;&gt;"."),up_dir!AB19/((1/1000)*(up_Irr!AA19+up_Irr!AZ19+up_Irr!BY19)),IF(AND(up_Irr!AA19&lt;&gt;".",up_Irr!AZ19&lt;&gt;".",up_Irr!BY19="."),up_dir!AB19/((1/1000)*(up_Irr!AA19+up_Irr!AZ19)),IF(AND(up_Irr!AA19&lt;&gt;".",up_Irr!AZ19=".",up_Irr!BY19&lt;&gt;"."),up_dir!AB19/((1/1000)*(up_Irr!AA19+up_Irr!BY19)),IF(AND(up_Irr!AA19=".",up_Irr!AZ19&lt;&gt;".",up_Irr!BY19&lt;&gt;"."),up_dir!AB19/((1/1000)*(up_Irr!AZ19+up_Irr!BY19)),IF(AND(up_Irr!AA19=".",up_Irr!AZ19=".",up_Irr!BY19&lt;&gt;"."),up_dir!AB19/((1/1000)*(up_Irr!BY19)),IF(AND(up_Irr!AA19=".",up_Irr!AZ19&lt;&gt;".",up_Irr!BY19="."),up_dir!AB19/((1/1000)*(up_Irr!AZ19)),IF(AND(up_Irr!AA19&lt;&gt;".",up_Irr!AZ19=".",up_Irr!BY19="."),up_dir!AB19/((1/1000)*(up_Irr!AA19)),IF(AND(up_Irr!AA19=".",up_Irr!AZ19=".",up_Irr!BY19="."),up_dir!AB19*1000)))))))),".")</f>
        <v>6.5773651144152123E-11</v>
      </c>
      <c r="AC19" s="93">
        <f t="shared" si="1"/>
        <v>608146.26076229871</v>
      </c>
      <c r="AD19" s="93">
        <f>IFERROR(s_C*s_IFAP_res_adj*s_CF_apple*0.001*(up_Irr!C19+up_Irr!AB19+up_Irr!BA19),".")</f>
        <v>152036.56519057468</v>
      </c>
      <c r="AE19" s="93">
        <f>IFERROR(s_C*s_IFAS_res_adj*s_CF_asparagus*0.001*(up_Irr!D19+up_Irr!AC19+up_Irr!BB19),".")</f>
        <v>152036.56519057468</v>
      </c>
      <c r="AF19" s="93">
        <f>IFERROR(s_C*s_IFBT_res_adj*s_CF_beet*0.001*(up_Irr!E19+up_Irr!AD19+up_Irr!BC19),".")</f>
        <v>152036.56519057468</v>
      </c>
      <c r="AG19" s="93">
        <f>IFERROR(s_C*s_IFBE_res_adj*s_CF_berries*0.001*(up_Irr!F19+up_Irr!AE19+up_Irr!BD19),".")</f>
        <v>152036.56519057468</v>
      </c>
      <c r="AH19" s="93">
        <f>IFERROR(s_C*s_IFBR_res_adj*s_CF_broccoli*0.001*(up_Irr!G19+up_Irr!AF19+up_Irr!BE19),".")</f>
        <v>152036.56519057468</v>
      </c>
      <c r="AI19" s="93">
        <f>IFERROR(s_C*s_IFCB_res_adj*s_CF_cabbage*0.001*(up_Irr!H19+up_Irr!AG19+up_Irr!BF19),".")</f>
        <v>152036.56519057468</v>
      </c>
      <c r="AJ19" s="93">
        <f>IFERROR(s_C*s_IFCR_res_adj*s_CF_carrot*0.001*(up_Irr!I19+up_Irr!AH19+up_Irr!BG19),".")</f>
        <v>152036.56519057468</v>
      </c>
      <c r="AK19" s="93">
        <f>IFERROR(s_C*s_IFCI_res_adj*s_CF_citrus*0.001*(up_Irr!J19+up_Irr!AI19+up_Irr!BH19),".")</f>
        <v>152036.56519057468</v>
      </c>
      <c r="AL19" s="93">
        <f>IFERROR(s_C*s_IFCO_res_adj*s_CF_corn*0.001*(up_Irr!K19+up_Irr!AJ19+up_Irr!BI19),".")</f>
        <v>152036.56519057468</v>
      </c>
      <c r="AM19" s="93">
        <f>IFERROR(s_C*s_IFCU_res_adj*s_CF_cucumber*0.001*(up_Irr!L19+up_Irr!AK19+up_Irr!BJ19),".")</f>
        <v>152036.56519057468</v>
      </c>
      <c r="AN19" s="93">
        <f>IFERROR(s_C*s_IFLE_res_adj*s_CF_lettuce*0.001*(up_Irr!M19+up_Irr!AL19+up_Irr!BK19),".")</f>
        <v>152036.56519057468</v>
      </c>
      <c r="AO19" s="93">
        <f>IFERROR(s_C*s_IFLI_res_adj*s_CF_lima_bean*0.001*(up_Irr!N19+up_Irr!AM19+up_Irr!BL19),".")</f>
        <v>152036.56519057468</v>
      </c>
      <c r="AP19" s="93">
        <f>IFERROR(s_C*s_IFOK_res_adj*s_CF_okra*0.001*(up_Irr!O19+up_Irr!AN19+up_Irr!BM19),".")</f>
        <v>152036.56519057468</v>
      </c>
      <c r="AQ19" s="93">
        <f>IFERROR(s_C*s_IFON_res_adj*s_CF_onion*0.001*(up_Irr!P19+up_Irr!AO19+up_Irr!BN19),".")</f>
        <v>152036.56519057468</v>
      </c>
      <c r="AR19" s="93">
        <f>IFERROR(s_C*s_IFPC_res_adj*s_CF_peach*0.001*(up_Irr!Q19+up_Irr!AP19+up_Irr!BO19),".")</f>
        <v>152036.56519057468</v>
      </c>
      <c r="AS19" s="93">
        <f>IFERROR(s_C*s_IFPR_res_adj*s_CF_pear*0.001*(up_Irr!R19+up_Irr!AQ19+up_Irr!BP19),".")</f>
        <v>152036.56519057468</v>
      </c>
      <c r="AT19" s="93">
        <f>IFERROR(s_C*s_IFPE_res_adj*s_CF_peas*0.001*(up_Irr!S19+up_Irr!AR19+up_Irr!BQ19),".")</f>
        <v>152036.56519057468</v>
      </c>
      <c r="AU19" s="93">
        <f>IFERROR(s_C*s_IFPP_res_adj*s_CF_peppers*0.001*(up_Irr!T19+up_Irr!AS19+up_Irr!BR19),".")</f>
        <v>152036.56519057468</v>
      </c>
      <c r="AV19" s="93">
        <f>IFERROR(s_C*s_IFPT_res_adj*s_CF_potato*0.001*(up_Irr!U19+up_Irr!AT19+up_Irr!BS19),".")</f>
        <v>152036.56519057468</v>
      </c>
      <c r="AW19" s="93">
        <f>IFERROR(s_C*s_IFPU_res_adj*s_CF_pumpkin*0.001*(up_Irr!V19+up_Irr!AU19+up_Irr!BT19),".")</f>
        <v>152036.56519057468</v>
      </c>
      <c r="AX19" s="93">
        <f>IFERROR(s_C*s_IFSN_res_adj*s_CF_snap_bean*0.001*(up_Irr!W19+up_Irr!AV19+up_Irr!BU19),".")</f>
        <v>152036.56519057468</v>
      </c>
      <c r="AY19" s="93">
        <f>IFERROR(s_C*s_IFST_res_adj*s_CF_strawberry*0.001*(up_Irr!X19+up_Irr!AW19+up_Irr!BV19),".")</f>
        <v>152036.56519057468</v>
      </c>
      <c r="AZ19" s="93">
        <f>IFERROR(s_C*s_IFTO_res_adj*s_CF_tomato*0.001*(up_Irr!Y19+up_Irr!AX19+up_Irr!BW19),".")</f>
        <v>152036.56519057468</v>
      </c>
      <c r="BA19" s="93">
        <f>IFERROR(s_C*s_IFRI_res_adj*s_CF_rice*0.001*(up_Irr!Z19+up_Irr!AY19+up_Irr!BX19),".")</f>
        <v>152036.56519057468</v>
      </c>
      <c r="BB19" s="93">
        <f>IFERROR(s_C*s_IFCG_res_adj*s_CF_cereal*0.001*(up_Irr!AA19+up_Irr!AZ19+up_Irr!BY19),".")</f>
        <v>152036.56519057468</v>
      </c>
      <c r="BC19" s="76">
        <f t="shared" si="2"/>
        <v>1.6443412786038031E-11</v>
      </c>
      <c r="BD19" s="76">
        <f>IFERROR(IF(AND(up_Irr!C19&lt;&gt;".",up_Irr!AB19&lt;&gt;".",up_Irr!BA19&lt;&gt;"."),up_dir!AD19/((1/1000)*(up_Irr!C19+up_Irr!AB19+up_Irr!BA19)),IF(AND(up_Irr!C19&lt;&gt;".",up_Irr!AB19&lt;&gt;".",up_Irr!BA19="."),up_dir!AD19/((1/1000)*(up_Irr!C19+up_Irr!AB19)),IF(AND(up_Irr!C19&lt;&gt;".",up_Irr!AB19=".",up_Irr!BA19&lt;&gt;"."),up_dir!AD19/((1/1000)*(up_Irr!C19+up_Irr!BA19)),IF(AND(up_Irr!C19=".",up_Irr!AB19&lt;&gt;".",up_Irr!BA19&lt;&gt;"."),up_dir!AD19/((1/1000)*(up_Irr!AB19+up_Irr!BA19)),IF(AND(up_Irr!C19=".",up_Irr!AB19=".",up_Irr!BA19&lt;&gt;"."),up_dir!AD19/((1/1000)*(up_Irr!BA19)),IF(AND(up_Irr!C19=".",up_Irr!AB19&lt;&gt;".",up_Irr!BA19="."),up_dir!AD19/((1/1000)*(up_Irr!AB19)),IF(AND(up_Irr!C19&lt;&gt;".",up_Irr!AB19=".",up_Irr!BA19="."),up_dir!AD19/((1/1000)*(up_Irr!C19)),IF(AND(up_Irr!C19=".",up_Irr!AB19=".",up_Irr!BA19="."),up_dir!AD19*1000)))))))),".")</f>
        <v>6.5773651144152123E-11</v>
      </c>
      <c r="BE19" s="76">
        <f>IFERROR(IF(AND(up_Irr!D19&lt;&gt;".",up_Irr!AC19&lt;&gt;".",up_Irr!BB19&lt;&gt;"."),up_dir!AE19/((1/1000)*(up_Irr!D19+up_Irr!AC19+up_Irr!BB19)),IF(AND(up_Irr!D19&lt;&gt;".",up_Irr!AC19&lt;&gt;".",up_Irr!BB19="."),up_dir!AE19/((1/1000)*(up_Irr!D19+up_Irr!AC19)),IF(AND(up_Irr!D19&lt;&gt;".",up_Irr!AC19=".",up_Irr!BB19&lt;&gt;"."),up_dir!AE19/((1/1000)*(up_Irr!D19+up_Irr!BB19)),IF(AND(up_Irr!D19=".",up_Irr!AC19&lt;&gt;".",up_Irr!BB19&lt;&gt;"."),up_dir!AE19/((1/1000)*(up_Irr!AC19+up_Irr!BB19)),IF(AND(up_Irr!D19=".",up_Irr!AC19=".",up_Irr!BB19&lt;&gt;"."),up_dir!AE19/((1/1000)*(up_Irr!BB19)),IF(AND(up_Irr!D19=".",up_Irr!AC19&lt;&gt;".",up_Irr!BB19="."),up_dir!AE19/((1/1000)*(up_Irr!AC19)),IF(AND(up_Irr!D19&lt;&gt;".",up_Irr!AC19=".",up_Irr!BB19="."),up_dir!AE19/((1/1000)*(up_Irr!D19)),IF(AND(up_Irr!D19=".",up_Irr!AC19=".",up_Irr!BB19="."),up_dir!AE19*1000)))))))),".")</f>
        <v>6.5773651144152123E-11</v>
      </c>
      <c r="BF19" s="76">
        <f>IFERROR(IF(AND(up_Irr!E19&lt;&gt;".",up_Irr!AD19&lt;&gt;".",up_Irr!BC19&lt;&gt;"."),up_dir!AF19/((1/1000)*(up_Irr!E19+up_Irr!AD19+up_Irr!BC19)),IF(AND(up_Irr!E19&lt;&gt;".",up_Irr!AD19&lt;&gt;".",up_Irr!BC19="."),up_dir!AF19/((1/1000)*(up_Irr!E19+up_Irr!AD19)),IF(AND(up_Irr!E19&lt;&gt;".",up_Irr!AD19=".",up_Irr!BC19&lt;&gt;"."),up_dir!AF19/((1/1000)*(up_Irr!E19+up_Irr!BC19)),IF(AND(up_Irr!E19=".",up_Irr!AD19&lt;&gt;".",up_Irr!BC19&lt;&gt;"."),up_dir!AF19/((1/1000)*(up_Irr!AD19+up_Irr!BC19)),IF(AND(up_Irr!E19=".",up_Irr!AD19=".",up_Irr!BC19&lt;&gt;"."),up_dir!AF19/((1/1000)*(up_Irr!BC19)),IF(AND(up_Irr!E19=".",up_Irr!AD19&lt;&gt;".",up_Irr!BC19="."),up_dir!AF19/((1/1000)*(up_Irr!AD19)),IF(AND(up_Irr!E19&lt;&gt;".",up_Irr!AD19=".",up_Irr!BC19="."),up_dir!AF19/((1/1000)*(up_Irr!E19)),IF(AND(up_Irr!E19=".",up_Irr!AD19=".",up_Irr!BC19="."),up_dir!AF19*1000)))))))),".")</f>
        <v>6.5773651144152123E-11</v>
      </c>
      <c r="BG19" s="76">
        <f>IFERROR(IF(AND(up_Irr!F19&lt;&gt;".",up_Irr!AE19&lt;&gt;".",up_Irr!BD19&lt;&gt;"."),up_dir!AG19/((1/1000)*(up_Irr!F19+up_Irr!AE19+up_Irr!BD19)),IF(AND(up_Irr!F19&lt;&gt;".",up_Irr!AE19&lt;&gt;".",up_Irr!BD19="."),up_dir!AG19/((1/1000)*(up_Irr!F19+up_Irr!AE19)),IF(AND(up_Irr!F19&lt;&gt;".",up_Irr!AE19=".",up_Irr!BD19&lt;&gt;"."),up_dir!AG19/((1/1000)*(up_Irr!F19+up_Irr!BD19)),IF(AND(up_Irr!F19=".",up_Irr!AE19&lt;&gt;".",up_Irr!BD19&lt;&gt;"."),up_dir!AG19/((1/1000)*(up_Irr!AE19+up_Irr!BD19)),IF(AND(up_Irr!F19=".",up_Irr!AE19=".",up_Irr!BD19&lt;&gt;"."),up_dir!AG19/((1/1000)*(up_Irr!BD19)),IF(AND(up_Irr!F19=".",up_Irr!AE19&lt;&gt;".",up_Irr!BD19="."),up_dir!AG19/((1/1000)*(up_Irr!AE19)),IF(AND(up_Irr!F19&lt;&gt;".",up_Irr!AE19=".",up_Irr!BD19="."),up_dir!AG19/((1/1000)*(up_Irr!F19)),IF(AND(up_Irr!F19=".",up_Irr!AE19=".",up_Irr!BD19="."),up_dir!AG19*1000)))))))),".")</f>
        <v>6.5773651144152123E-11</v>
      </c>
      <c r="BH19" s="76">
        <f>IFERROR(IF(AND(up_Irr!G19&lt;&gt;".",up_Irr!AF19&lt;&gt;".",up_Irr!BE19&lt;&gt;"."),up_dir!AH19/((1/1000)*(up_Irr!G19+up_Irr!AF19+up_Irr!BE19)),IF(AND(up_Irr!G19&lt;&gt;".",up_Irr!AF19&lt;&gt;".",up_Irr!BE19="."),up_dir!AH19/((1/1000)*(up_Irr!G19+up_Irr!AF19)),IF(AND(up_Irr!G19&lt;&gt;".",up_Irr!AF19=".",up_Irr!BE19&lt;&gt;"."),up_dir!AH19/((1/1000)*(up_Irr!G19+up_Irr!BE19)),IF(AND(up_Irr!G19=".",up_Irr!AF19&lt;&gt;".",up_Irr!BE19&lt;&gt;"."),up_dir!AH19/((1/1000)*(up_Irr!AF19+up_Irr!BE19)),IF(AND(up_Irr!G19=".",up_Irr!AF19=".",up_Irr!BE19&lt;&gt;"."),up_dir!AH19/((1/1000)*(up_Irr!BE19)),IF(AND(up_Irr!G19=".",up_Irr!AF19&lt;&gt;".",up_Irr!BE19="."),up_dir!AH19/((1/1000)*(up_Irr!AF19)),IF(AND(up_Irr!G19&lt;&gt;".",up_Irr!AF19=".",up_Irr!BE19="."),up_dir!AH19/((1/1000)*(up_Irr!G19)),IF(AND(up_Irr!G19=".",up_Irr!AF19=".",up_Irr!BE19="."),up_dir!AH19*1000)))))))),".")</f>
        <v>6.5773651144152123E-11</v>
      </c>
      <c r="BI19" s="76">
        <f>IFERROR(IF(AND(up_Irr!H19&lt;&gt;".",up_Irr!AG19&lt;&gt;".",up_Irr!BF19&lt;&gt;"."),up_dir!AI19/((1/1000)*(up_Irr!H19+up_Irr!AG19+up_Irr!BF19)),IF(AND(up_Irr!H19&lt;&gt;".",up_Irr!AG19&lt;&gt;".",up_Irr!BF19="."),up_dir!AI19/((1/1000)*(up_Irr!H19+up_Irr!AG19)),IF(AND(up_Irr!H19&lt;&gt;".",up_Irr!AG19=".",up_Irr!BF19&lt;&gt;"."),up_dir!AI19/((1/1000)*(up_Irr!H19+up_Irr!BF19)),IF(AND(up_Irr!H19=".",up_Irr!AG19&lt;&gt;".",up_Irr!BF19&lt;&gt;"."),up_dir!AI19/((1/1000)*(up_Irr!AG19+up_Irr!BF19)),IF(AND(up_Irr!H19=".",up_Irr!AG19=".",up_Irr!BF19&lt;&gt;"."),up_dir!AI19/((1/1000)*(up_Irr!BF19)),IF(AND(up_Irr!H19=".",up_Irr!AG19&lt;&gt;".",up_Irr!BF19="."),up_dir!AI19/((1/1000)*(up_Irr!AG19)),IF(AND(up_Irr!H19&lt;&gt;".",up_Irr!AG19=".",up_Irr!BF19="."),up_dir!AI19/((1/1000)*(up_Irr!H19)),IF(AND(up_Irr!H19=".",up_Irr!AG19=".",up_Irr!BF19="."),up_dir!AI19*1000)))))))),".")</f>
        <v>6.5773651144152123E-11</v>
      </c>
      <c r="BJ19" s="76">
        <f>IFERROR(IF(AND(up_Irr!I19&lt;&gt;".",up_Irr!AH19&lt;&gt;".",up_Irr!BG19&lt;&gt;"."),up_dir!AJ19/((1/1000)*(up_Irr!I19+up_Irr!AH19+up_Irr!BG19)),IF(AND(up_Irr!I19&lt;&gt;".",up_Irr!AH19&lt;&gt;".",up_Irr!BG19="."),up_dir!AJ19/((1/1000)*(up_Irr!I19+up_Irr!AH19)),IF(AND(up_Irr!I19&lt;&gt;".",up_Irr!AH19=".",up_Irr!BG19&lt;&gt;"."),up_dir!AJ19/((1/1000)*(up_Irr!I19+up_Irr!BG19)),IF(AND(up_Irr!I19=".",up_Irr!AH19&lt;&gt;".",up_Irr!BG19&lt;&gt;"."),up_dir!AJ19/((1/1000)*(up_Irr!AH19+up_Irr!BG19)),IF(AND(up_Irr!I19=".",up_Irr!AH19=".",up_Irr!BG19&lt;&gt;"."),up_dir!AJ19/((1/1000)*(up_Irr!BG19)),IF(AND(up_Irr!I19=".",up_Irr!AH19&lt;&gt;".",up_Irr!BG19="."),up_dir!AJ19/((1/1000)*(up_Irr!AH19)),IF(AND(up_Irr!I19&lt;&gt;".",up_Irr!AH19=".",up_Irr!BG19="."),up_dir!AJ19/((1/1000)*(up_Irr!I19)),IF(AND(up_Irr!I19=".",up_Irr!AH19=".",up_Irr!BG19="."),up_dir!AJ19*1000)))))))),".")</f>
        <v>6.5773651144152123E-11</v>
      </c>
      <c r="BK19" s="76">
        <f>IFERROR(IF(AND(up_Irr!J19&lt;&gt;".",up_Irr!AI19&lt;&gt;".",up_Irr!BH19&lt;&gt;"."),up_dir!AK19/((1/1000)*(up_Irr!J19+up_Irr!AI19+up_Irr!BH19)),IF(AND(up_Irr!J19&lt;&gt;".",up_Irr!AI19&lt;&gt;".",up_Irr!BH19="."),up_dir!AK19/((1/1000)*(up_Irr!J19+up_Irr!AI19)),IF(AND(up_Irr!J19&lt;&gt;".",up_Irr!AI19=".",up_Irr!BH19&lt;&gt;"."),up_dir!AK19/((1/1000)*(up_Irr!J19+up_Irr!BH19)),IF(AND(up_Irr!J19=".",up_Irr!AI19&lt;&gt;".",up_Irr!BH19&lt;&gt;"."),up_dir!AK19/((1/1000)*(up_Irr!AI19+up_Irr!BH19)),IF(AND(up_Irr!J19=".",up_Irr!AI19=".",up_Irr!BH19&lt;&gt;"."),up_dir!AK19/((1/1000)*(up_Irr!BH19)),IF(AND(up_Irr!J19=".",up_Irr!AI19&lt;&gt;".",up_Irr!BH19="."),up_dir!AK19/((1/1000)*(up_Irr!AI19)),IF(AND(up_Irr!J19&lt;&gt;".",up_Irr!AI19=".",up_Irr!BH19="."),up_dir!AK19/((1/1000)*(up_Irr!J19)),IF(AND(up_Irr!J19=".",up_Irr!AI19=".",up_Irr!BH19="."),up_dir!AK19*1000)))))))),".")</f>
        <v>6.5773651144152123E-11</v>
      </c>
      <c r="BL19" s="76">
        <f>IFERROR(IF(AND(up_Irr!K19&lt;&gt;".",up_Irr!AJ19&lt;&gt;".",up_Irr!BI19&lt;&gt;"."),up_dir!AL19/((1/1000)*(up_Irr!K19+up_Irr!AJ19+up_Irr!BI19)),IF(AND(up_Irr!K19&lt;&gt;".",up_Irr!AJ19&lt;&gt;".",up_Irr!BI19="."),up_dir!AL19/((1/1000)*(up_Irr!K19+up_Irr!AJ19)),IF(AND(up_Irr!K19&lt;&gt;".",up_Irr!AJ19=".",up_Irr!BI19&lt;&gt;"."),up_dir!AL19/((1/1000)*(up_Irr!K19+up_Irr!BI19)),IF(AND(up_Irr!K19=".",up_Irr!AJ19&lt;&gt;".",up_Irr!BI19&lt;&gt;"."),up_dir!AL19/((1/1000)*(up_Irr!AJ19+up_Irr!BI19)),IF(AND(up_Irr!K19=".",up_Irr!AJ19=".",up_Irr!BI19&lt;&gt;"."),up_dir!AL19/((1/1000)*(up_Irr!BI19)),IF(AND(up_Irr!K19=".",up_Irr!AJ19&lt;&gt;".",up_Irr!BI19="."),up_dir!AL19/((1/1000)*(up_Irr!AJ19)),IF(AND(up_Irr!K19&lt;&gt;".",up_Irr!AJ19=".",up_Irr!BI19="."),up_dir!AL19/((1/1000)*(up_Irr!K19)),IF(AND(up_Irr!K19=".",up_Irr!AJ19=".",up_Irr!BI19="."),up_dir!AL19*1000)))))))),".")</f>
        <v>6.5773651144152123E-11</v>
      </c>
      <c r="BM19" s="76">
        <f>IFERROR(IF(AND(up_Irr!L19&lt;&gt;".",up_Irr!AK19&lt;&gt;".",up_Irr!BJ19&lt;&gt;"."),up_dir!AM19/((1/1000)*(up_Irr!L19+up_Irr!AK19+up_Irr!BJ19)),IF(AND(up_Irr!L19&lt;&gt;".",up_Irr!AK19&lt;&gt;".",up_Irr!BJ19="."),up_dir!AM19/((1/1000)*(up_Irr!L19+up_Irr!AK19)),IF(AND(up_Irr!L19&lt;&gt;".",up_Irr!AK19=".",up_Irr!BJ19&lt;&gt;"."),up_dir!AM19/((1/1000)*(up_Irr!L19+up_Irr!BJ19)),IF(AND(up_Irr!L19=".",up_Irr!AK19&lt;&gt;".",up_Irr!BJ19&lt;&gt;"."),up_dir!AM19/((1/1000)*(up_Irr!AK19+up_Irr!BJ19)),IF(AND(up_Irr!L19=".",up_Irr!AK19=".",up_Irr!BJ19&lt;&gt;"."),up_dir!AM19/((1/1000)*(up_Irr!BJ19)),IF(AND(up_Irr!L19=".",up_Irr!AK19&lt;&gt;".",up_Irr!BJ19="."),up_dir!AM19/((1/1000)*(up_Irr!AK19)),IF(AND(up_Irr!L19&lt;&gt;".",up_Irr!AK19=".",up_Irr!BJ19="."),up_dir!AM19/((1/1000)*(up_Irr!L19)),IF(AND(up_Irr!L19=".",up_Irr!AK19=".",up_Irr!BJ19="."),up_dir!AM19*1000)))))))),".")</f>
        <v>6.5773651144152123E-11</v>
      </c>
      <c r="BN19" s="76">
        <f>IFERROR(IF(AND(up_Irr!M19&lt;&gt;".",up_Irr!AL19&lt;&gt;".",up_Irr!BK19&lt;&gt;"."),up_dir!AN19/((1/1000)*(up_Irr!M19+up_Irr!AL19+up_Irr!BK19)),IF(AND(up_Irr!M19&lt;&gt;".",up_Irr!AL19&lt;&gt;".",up_Irr!BK19="."),up_dir!AN19/((1/1000)*(up_Irr!M19+up_Irr!AL19)),IF(AND(up_Irr!M19&lt;&gt;".",up_Irr!AL19=".",up_Irr!BK19&lt;&gt;"."),up_dir!AN19/((1/1000)*(up_Irr!M19+up_Irr!BK19)),IF(AND(up_Irr!M19=".",up_Irr!AL19&lt;&gt;".",up_Irr!BK19&lt;&gt;"."),up_dir!AN19/((1/1000)*(up_Irr!AL19+up_Irr!BK19)),IF(AND(up_Irr!M19=".",up_Irr!AL19=".",up_Irr!BK19&lt;&gt;"."),up_dir!AN19/((1/1000)*(up_Irr!BK19)),IF(AND(up_Irr!M19=".",up_Irr!AL19&lt;&gt;".",up_Irr!BK19="."),up_dir!AN19/((1/1000)*(up_Irr!AL19)),IF(AND(up_Irr!M19&lt;&gt;".",up_Irr!AL19=".",up_Irr!BK19="."),up_dir!AN19/((1/1000)*(up_Irr!M19)),IF(AND(up_Irr!M19=".",up_Irr!AL19=".",up_Irr!BK19="."),up_dir!AN19*1000)))))))),".")</f>
        <v>6.5773651144152123E-11</v>
      </c>
      <c r="BO19" s="76">
        <f>IFERROR(IF(AND(up_Irr!N19&lt;&gt;".",up_Irr!AM19&lt;&gt;".",up_Irr!BL19&lt;&gt;"."),up_dir!AO19/((1/1000)*(up_Irr!N19+up_Irr!AM19+up_Irr!BL19)),IF(AND(up_Irr!N19&lt;&gt;".",up_Irr!AM19&lt;&gt;".",up_Irr!BL19="."),up_dir!AO19/((1/1000)*(up_Irr!N19+up_Irr!AM19)),IF(AND(up_Irr!N19&lt;&gt;".",up_Irr!AM19=".",up_Irr!BL19&lt;&gt;"."),up_dir!AO19/((1/1000)*(up_Irr!N19+up_Irr!BL19)),IF(AND(up_Irr!N19=".",up_Irr!AM19&lt;&gt;".",up_Irr!BL19&lt;&gt;"."),up_dir!AO19/((1/1000)*(up_Irr!AM19+up_Irr!BL19)),IF(AND(up_Irr!N19=".",up_Irr!AM19=".",up_Irr!BL19&lt;&gt;"."),up_dir!AO19/((1/1000)*(up_Irr!BL19)),IF(AND(up_Irr!N19=".",up_Irr!AM19&lt;&gt;".",up_Irr!BL19="."),up_dir!AO19/((1/1000)*(up_Irr!AM19)),IF(AND(up_Irr!N19&lt;&gt;".",up_Irr!AM19=".",up_Irr!BL19="."),up_dir!AO19/((1/1000)*(up_Irr!N19)),IF(AND(up_Irr!N19=".",up_Irr!AM19=".",up_Irr!BL19="."),up_dir!AO19*1000)))))))),".")</f>
        <v>6.5773651144152123E-11</v>
      </c>
      <c r="BP19" s="76">
        <f>IFERROR(IF(AND(up_Irr!O19&lt;&gt;".",up_Irr!AN19&lt;&gt;".",up_Irr!BM19&lt;&gt;"."),up_dir!AP19/((1/1000)*(up_Irr!O19+up_Irr!AN19+up_Irr!BM19)),IF(AND(up_Irr!O19&lt;&gt;".",up_Irr!AN19&lt;&gt;".",up_Irr!BM19="."),up_dir!AP19/((1/1000)*(up_Irr!O19+up_Irr!AN19)),IF(AND(up_Irr!O19&lt;&gt;".",up_Irr!AN19=".",up_Irr!BM19&lt;&gt;"."),up_dir!AP19/((1/1000)*(up_Irr!O19+up_Irr!BM19)),IF(AND(up_Irr!O19=".",up_Irr!AN19&lt;&gt;".",up_Irr!BM19&lt;&gt;"."),up_dir!AP19/((1/1000)*(up_Irr!AN19+up_Irr!BM19)),IF(AND(up_Irr!O19=".",up_Irr!AN19=".",up_Irr!BM19&lt;&gt;"."),up_dir!AP19/((1/1000)*(up_Irr!BM19)),IF(AND(up_Irr!O19=".",up_Irr!AN19&lt;&gt;".",up_Irr!BM19="."),up_dir!AP19/((1/1000)*(up_Irr!AN19)),IF(AND(up_Irr!O19&lt;&gt;".",up_Irr!AN19=".",up_Irr!BM19="."),up_dir!AP19/((1/1000)*(up_Irr!O19)),IF(AND(up_Irr!O19=".",up_Irr!AN19=".",up_Irr!BM19="."),up_dir!AP19*1000)))))))),".")</f>
        <v>6.5773651144152123E-11</v>
      </c>
      <c r="BQ19" s="76">
        <f>IFERROR(IF(AND(up_Irr!P19&lt;&gt;".",up_Irr!AO19&lt;&gt;".",up_Irr!BN19&lt;&gt;"."),up_dir!AQ19/((1/1000)*(up_Irr!P19+up_Irr!AO19+up_Irr!BN19)),IF(AND(up_Irr!P19&lt;&gt;".",up_Irr!AO19&lt;&gt;".",up_Irr!BN19="."),up_dir!AQ19/((1/1000)*(up_Irr!P19+up_Irr!AO19)),IF(AND(up_Irr!P19&lt;&gt;".",up_Irr!AO19=".",up_Irr!BN19&lt;&gt;"."),up_dir!AQ19/((1/1000)*(up_Irr!P19+up_Irr!BN19)),IF(AND(up_Irr!P19=".",up_Irr!AO19&lt;&gt;".",up_Irr!BN19&lt;&gt;"."),up_dir!AQ19/((1/1000)*(up_Irr!AO19+up_Irr!BN19)),IF(AND(up_Irr!P19=".",up_Irr!AO19=".",up_Irr!BN19&lt;&gt;"."),up_dir!AQ19/((1/1000)*(up_Irr!BN19)),IF(AND(up_Irr!P19=".",up_Irr!AO19&lt;&gt;".",up_Irr!BN19="."),up_dir!AQ19/((1/1000)*(up_Irr!AO19)),IF(AND(up_Irr!P19&lt;&gt;".",up_Irr!AO19=".",up_Irr!BN19="."),up_dir!AQ19/((1/1000)*(up_Irr!P19)),IF(AND(up_Irr!P19=".",up_Irr!AO19=".",up_Irr!BN19="."),up_dir!AQ19*1000)))))))),".")</f>
        <v>6.5773651144152123E-11</v>
      </c>
      <c r="BR19" s="76">
        <f>IFERROR(IF(AND(up_Irr!Q19&lt;&gt;".",up_Irr!AP19&lt;&gt;".",up_Irr!BO19&lt;&gt;"."),up_dir!AR19/((1/1000)*(up_Irr!Q19+up_Irr!AP19+up_Irr!BO19)),IF(AND(up_Irr!Q19&lt;&gt;".",up_Irr!AP19&lt;&gt;".",up_Irr!BO19="."),up_dir!AR19/((1/1000)*(up_Irr!Q19+up_Irr!AP19)),IF(AND(up_Irr!Q19&lt;&gt;".",up_Irr!AP19=".",up_Irr!BO19&lt;&gt;"."),up_dir!AR19/((1/1000)*(up_Irr!Q19+up_Irr!BO19)),IF(AND(up_Irr!Q19=".",up_Irr!AP19&lt;&gt;".",up_Irr!BO19&lt;&gt;"."),up_dir!AR19/((1/1000)*(up_Irr!AP19+up_Irr!BO19)),IF(AND(up_Irr!Q19=".",up_Irr!AP19=".",up_Irr!BO19&lt;&gt;"."),up_dir!AR19/((1/1000)*(up_Irr!BO19)),IF(AND(up_Irr!Q19=".",up_Irr!AP19&lt;&gt;".",up_Irr!BO19="."),up_dir!AR19/((1/1000)*(up_Irr!AP19)),IF(AND(up_Irr!Q19&lt;&gt;".",up_Irr!AP19=".",up_Irr!BO19="."),up_dir!AR19/((1/1000)*(up_Irr!Q19)),IF(AND(up_Irr!Q19=".",up_Irr!AP19=".",up_Irr!BO19="."),up_dir!AR19*1000)))))))),".")</f>
        <v>6.5773651144152123E-11</v>
      </c>
      <c r="BS19" s="76">
        <f>IFERROR(IF(AND(up_Irr!R19&lt;&gt;".",up_Irr!AQ19&lt;&gt;".",up_Irr!BP19&lt;&gt;"."),up_dir!AS19/((1/1000)*(up_Irr!R19+up_Irr!AQ19+up_Irr!BP19)),IF(AND(up_Irr!R19&lt;&gt;".",up_Irr!AQ19&lt;&gt;".",up_Irr!BP19="."),up_dir!AS19/((1/1000)*(up_Irr!R19+up_Irr!AQ19)),IF(AND(up_Irr!R19&lt;&gt;".",up_Irr!AQ19=".",up_Irr!BP19&lt;&gt;"."),up_dir!AS19/((1/1000)*(up_Irr!R19+up_Irr!BP19)),IF(AND(up_Irr!R19=".",up_Irr!AQ19&lt;&gt;".",up_Irr!BP19&lt;&gt;"."),up_dir!AS19/((1/1000)*(up_Irr!AQ19+up_Irr!BP19)),IF(AND(up_Irr!R19=".",up_Irr!AQ19=".",up_Irr!BP19&lt;&gt;"."),up_dir!AS19/((1/1000)*(up_Irr!BP19)),IF(AND(up_Irr!R19=".",up_Irr!AQ19&lt;&gt;".",up_Irr!BP19="."),up_dir!AS19/((1/1000)*(up_Irr!AQ19)),IF(AND(up_Irr!R19&lt;&gt;".",up_Irr!AQ19=".",up_Irr!BP19="."),up_dir!AS19/((1/1000)*(up_Irr!R19)),IF(AND(up_Irr!R19=".",up_Irr!AQ19=".",up_Irr!BP19="."),up_dir!AS19*1000)))))))),".")</f>
        <v>6.5773651144152123E-11</v>
      </c>
      <c r="BT19" s="76">
        <f>IFERROR(IF(AND(up_Irr!S19&lt;&gt;".",up_Irr!AR19&lt;&gt;".",up_Irr!BQ19&lt;&gt;"."),up_dir!AT19/((1/1000)*(up_Irr!S19+up_Irr!AR19+up_Irr!BQ19)),IF(AND(up_Irr!S19&lt;&gt;".",up_Irr!AR19&lt;&gt;".",up_Irr!BQ19="."),up_dir!AT19/((1/1000)*(up_Irr!S19+up_Irr!AR19)),IF(AND(up_Irr!S19&lt;&gt;".",up_Irr!AR19=".",up_Irr!BQ19&lt;&gt;"."),up_dir!AT19/((1/1000)*(up_Irr!S19+up_Irr!BQ19)),IF(AND(up_Irr!S19=".",up_Irr!AR19&lt;&gt;".",up_Irr!BQ19&lt;&gt;"."),up_dir!AT19/((1/1000)*(up_Irr!AR19+up_Irr!BQ19)),IF(AND(up_Irr!S19=".",up_Irr!AR19=".",up_Irr!BQ19&lt;&gt;"."),up_dir!AT19/((1/1000)*(up_Irr!BQ19)),IF(AND(up_Irr!S19=".",up_Irr!AR19&lt;&gt;".",up_Irr!BQ19="."),up_dir!AT19/((1/1000)*(up_Irr!AR19)),IF(AND(up_Irr!S19&lt;&gt;".",up_Irr!AR19=".",up_Irr!BQ19="."),up_dir!AT19/((1/1000)*(up_Irr!S19)),IF(AND(up_Irr!S19=".",up_Irr!AR19=".",up_Irr!BQ19="."),up_dir!AT19*1000)))))))),".")</f>
        <v>6.5773651144152123E-11</v>
      </c>
      <c r="BU19" s="76">
        <f>IFERROR(IF(AND(up_Irr!T19&lt;&gt;".",up_Irr!AS19&lt;&gt;".",up_Irr!BR19&lt;&gt;"."),up_dir!AU19/((1/1000)*(up_Irr!T19+up_Irr!AS19+up_Irr!BR19)),IF(AND(up_Irr!T19&lt;&gt;".",up_Irr!AS19&lt;&gt;".",up_Irr!BR19="."),up_dir!AU19/((1/1000)*(up_Irr!T19+up_Irr!AS19)),IF(AND(up_Irr!T19&lt;&gt;".",up_Irr!AS19=".",up_Irr!BR19&lt;&gt;"."),up_dir!AU19/((1/1000)*(up_Irr!T19+up_Irr!BR19)),IF(AND(up_Irr!T19=".",up_Irr!AS19&lt;&gt;".",up_Irr!BR19&lt;&gt;"."),up_dir!AU19/((1/1000)*(up_Irr!AS19+up_Irr!BR19)),IF(AND(up_Irr!T19=".",up_Irr!AS19=".",up_Irr!BR19&lt;&gt;"."),up_dir!AU19/((1/1000)*(up_Irr!BR19)),IF(AND(up_Irr!T19=".",up_Irr!AS19&lt;&gt;".",up_Irr!BR19="."),up_dir!AU19/((1/1000)*(up_Irr!AS19)),IF(AND(up_Irr!T19&lt;&gt;".",up_Irr!AS19=".",up_Irr!BR19="."),up_dir!AU19/((1/1000)*(up_Irr!T19)),IF(AND(up_Irr!T19=".",up_Irr!AS19=".",up_Irr!BR19="."),up_dir!AU19*1000)))))))),".")</f>
        <v>6.5773651144152123E-11</v>
      </c>
      <c r="BV19" s="76">
        <f>IFERROR(IF(AND(up_Irr!U19&lt;&gt;".",up_Irr!AT19&lt;&gt;".",up_Irr!BS19&lt;&gt;"."),up_dir!AV19/((1/1000)*(up_Irr!U19+up_Irr!AT19+up_Irr!BS19)),IF(AND(up_Irr!U19&lt;&gt;".",up_Irr!AT19&lt;&gt;".",up_Irr!BS19="."),up_dir!AV19/((1/1000)*(up_Irr!U19+up_Irr!AT19)),IF(AND(up_Irr!U19&lt;&gt;".",up_Irr!AT19=".",up_Irr!BS19&lt;&gt;"."),up_dir!AV19/((1/1000)*(up_Irr!U19+up_Irr!BS19)),IF(AND(up_Irr!U19=".",up_Irr!AT19&lt;&gt;".",up_Irr!BS19&lt;&gt;"."),up_dir!AV19/((1/1000)*(up_Irr!AT19+up_Irr!BS19)),IF(AND(up_Irr!U19=".",up_Irr!AT19=".",up_Irr!BS19&lt;&gt;"."),up_dir!AV19/((1/1000)*(up_Irr!BS19)),IF(AND(up_Irr!U19=".",up_Irr!AT19&lt;&gt;".",up_Irr!BS19="."),up_dir!AV19/((1/1000)*(up_Irr!AT19)),IF(AND(up_Irr!U19&lt;&gt;".",up_Irr!AT19=".",up_Irr!BS19="."),up_dir!AV19/((1/1000)*(up_Irr!U19)),IF(AND(up_Irr!U19=".",up_Irr!AT19=".",up_Irr!BS19="."),up_dir!AV19*1000)))))))),".")</f>
        <v>6.5773651144152123E-11</v>
      </c>
      <c r="BW19" s="76">
        <f>IFERROR(IF(AND(up_Irr!V19&lt;&gt;".",up_Irr!AU19&lt;&gt;".",up_Irr!BT19&lt;&gt;"."),up_dir!AW19/((1/1000)*(up_Irr!V19+up_Irr!AU19+up_Irr!BT19)),IF(AND(up_Irr!V19&lt;&gt;".",up_Irr!AU19&lt;&gt;".",up_Irr!BT19="."),up_dir!AW19/((1/1000)*(up_Irr!V19+up_Irr!AU19)),IF(AND(up_Irr!V19&lt;&gt;".",up_Irr!AU19=".",up_Irr!BT19&lt;&gt;"."),up_dir!AW19/((1/1000)*(up_Irr!V19+up_Irr!BT19)),IF(AND(up_Irr!V19=".",up_Irr!AU19&lt;&gt;".",up_Irr!BT19&lt;&gt;"."),up_dir!AW19/((1/1000)*(up_Irr!AU19+up_Irr!BT19)),IF(AND(up_Irr!V19=".",up_Irr!AU19=".",up_Irr!BT19&lt;&gt;"."),up_dir!AW19/((1/1000)*(up_Irr!BT19)),IF(AND(up_Irr!V19=".",up_Irr!AU19&lt;&gt;".",up_Irr!BT19="."),up_dir!AW19/((1/1000)*(up_Irr!AU19)),IF(AND(up_Irr!V19&lt;&gt;".",up_Irr!AU19=".",up_Irr!BT19="."),up_dir!AW19/((1/1000)*(up_Irr!V19)),IF(AND(up_Irr!V19=".",up_Irr!AU19=".",up_Irr!BT19="."),up_dir!AW19*1000)))))))),".")</f>
        <v>6.5773651144152123E-11</v>
      </c>
      <c r="BX19" s="76">
        <f>IFERROR(IF(AND(up_Irr!W19&lt;&gt;".",up_Irr!AV19&lt;&gt;".",up_Irr!BU19&lt;&gt;"."),up_dir!AX19/((1/1000)*(up_Irr!W19+up_Irr!AV19+up_Irr!BU19)),IF(AND(up_Irr!W19&lt;&gt;".",up_Irr!AV19&lt;&gt;".",up_Irr!BU19="."),up_dir!AX19/((1/1000)*(up_Irr!W19+up_Irr!AV19)),IF(AND(up_Irr!W19&lt;&gt;".",up_Irr!AV19=".",up_Irr!BU19&lt;&gt;"."),up_dir!AX19/((1/1000)*(up_Irr!W19+up_Irr!BU19)),IF(AND(up_Irr!W19=".",up_Irr!AV19&lt;&gt;".",up_Irr!BU19&lt;&gt;"."),up_dir!AX19/((1/1000)*(up_Irr!AV19+up_Irr!BU19)),IF(AND(up_Irr!W19=".",up_Irr!AV19=".",up_Irr!BU19&lt;&gt;"."),up_dir!AX19/((1/1000)*(up_Irr!BU19)),IF(AND(up_Irr!W19=".",up_Irr!AV19&lt;&gt;".",up_Irr!BU19="."),up_dir!AX19/((1/1000)*(up_Irr!AV19)),IF(AND(up_Irr!W19&lt;&gt;".",up_Irr!AV19=".",up_Irr!BU19="."),up_dir!AX19/((1/1000)*(up_Irr!W19)),IF(AND(up_Irr!W19=".",up_Irr!AV19=".",up_Irr!BU19="."),up_dir!AX19*1000)))))))),".")</f>
        <v>6.5773651144152123E-11</v>
      </c>
      <c r="BY19" s="76">
        <f>IFERROR(IF(AND(up_Irr!X19&lt;&gt;".",up_Irr!AW19&lt;&gt;".",up_Irr!BV19&lt;&gt;"."),up_dir!AY19/((1/1000)*(up_Irr!X19+up_Irr!AW19+up_Irr!BV19)),IF(AND(up_Irr!X19&lt;&gt;".",up_Irr!AW19&lt;&gt;".",up_Irr!BV19="."),up_dir!AY19/((1/1000)*(up_Irr!X19+up_Irr!AW19)),IF(AND(up_Irr!X19&lt;&gt;".",up_Irr!AW19=".",up_Irr!BV19&lt;&gt;"."),up_dir!AY19/((1/1000)*(up_Irr!X19+up_Irr!BV19)),IF(AND(up_Irr!X19=".",up_Irr!AW19&lt;&gt;".",up_Irr!BV19&lt;&gt;"."),up_dir!AY19/((1/1000)*(up_Irr!AW19+up_Irr!BV19)),IF(AND(up_Irr!X19=".",up_Irr!AW19=".",up_Irr!BV19&lt;&gt;"."),up_dir!AY19/((1/1000)*(up_Irr!BV19)),IF(AND(up_Irr!X19=".",up_Irr!AW19&lt;&gt;".",up_Irr!BV19="."),up_dir!AY19/((1/1000)*(up_Irr!AW19)),IF(AND(up_Irr!X19&lt;&gt;".",up_Irr!AW19=".",up_Irr!BV19="."),up_dir!AY19/((1/1000)*(up_Irr!X19)),IF(AND(up_Irr!X19=".",up_Irr!AW19=".",up_Irr!BV19="."),up_dir!AY19*1000)))))))),".")</f>
        <v>6.5773651144152123E-11</v>
      </c>
      <c r="BZ19" s="76">
        <f>IFERROR(IF(AND(up_Irr!Y19&lt;&gt;".",up_Irr!AX19&lt;&gt;".",up_Irr!BW19&lt;&gt;"."),up_dir!AZ19/((1/1000)*(up_Irr!Y19+up_Irr!AX19+up_Irr!BW19)),IF(AND(up_Irr!Y19&lt;&gt;".",up_Irr!AX19&lt;&gt;".",up_Irr!BW19="."),up_dir!AZ19/((1/1000)*(up_Irr!Y19+up_Irr!AX19)),IF(AND(up_Irr!Y19&lt;&gt;".",up_Irr!AX19=".",up_Irr!BW19&lt;&gt;"."),up_dir!AZ19/((1/1000)*(up_Irr!Y19+up_Irr!BW19)),IF(AND(up_Irr!Y19=".",up_Irr!AX19&lt;&gt;".",up_Irr!BW19&lt;&gt;"."),up_dir!AZ19/((1/1000)*(up_Irr!AX19+up_Irr!BW19)),IF(AND(up_Irr!Y19=".",up_Irr!AX19=".",up_Irr!BW19&lt;&gt;"."),up_dir!AZ19/((1/1000)*(up_Irr!BW19)),IF(AND(up_Irr!Y19=".",up_Irr!AX19&lt;&gt;".",up_Irr!BW19="."),up_dir!AZ19/((1/1000)*(up_Irr!AX19)),IF(AND(up_Irr!Y19&lt;&gt;".",up_Irr!AX19=".",up_Irr!BW19="."),up_dir!AZ19/((1/1000)*(up_Irr!Y19)),IF(AND(up_Irr!Y19=".",up_Irr!AX19=".",up_Irr!BW19="."),up_dir!AZ19*1000)))))))),".")</f>
        <v>6.5773651144152123E-11</v>
      </c>
      <c r="CA19" s="76">
        <f>IFERROR(IF(AND(up_Irr!Z19&lt;&gt;".",up_Irr!AY19&lt;&gt;".",up_Irr!BX19&lt;&gt;"."),up_dir!BA19/((1/1000)*(up_Irr!Z19+up_Irr!AY19+up_Irr!BX19)),IF(AND(up_Irr!Z19&lt;&gt;".",up_Irr!AY19&lt;&gt;".",up_Irr!BX19="."),up_dir!BA19/((1/1000)*(up_Irr!Z19+up_Irr!AY19)),IF(AND(up_Irr!Z19&lt;&gt;".",up_Irr!AY19=".",up_Irr!BX19&lt;&gt;"."),up_dir!BA19/((1/1000)*(up_Irr!Z19+up_Irr!BX19)),IF(AND(up_Irr!Z19=".",up_Irr!AY19&lt;&gt;".",up_Irr!BX19&lt;&gt;"."),up_dir!BA19/((1/1000)*(up_Irr!AY19+up_Irr!BX19)),IF(AND(up_Irr!Z19=".",up_Irr!AY19=".",up_Irr!BX19&lt;&gt;"."),up_dir!BA19/((1/1000)*(up_Irr!BX19)),IF(AND(up_Irr!Z19=".",up_Irr!AY19&lt;&gt;".",up_Irr!BX19="."),up_dir!BA19/((1/1000)*(up_Irr!AY19)),IF(AND(up_Irr!Z19&lt;&gt;".",up_Irr!AY19=".",up_Irr!BX19="."),up_dir!BA19/((1/1000)*(up_Irr!Z19)),IF(AND(up_Irr!Z19=".",up_Irr!AY19=".",up_Irr!BX19="."),up_dir!BA19*1000)))))))),".")</f>
        <v>6.5773651144152123E-11</v>
      </c>
      <c r="CB19" s="76">
        <f>IFERROR(IF(AND(up_Irr!AA19&lt;&gt;".",up_Irr!AZ19&lt;&gt;".",up_Irr!BY19&lt;&gt;"."),up_dir!BB19/((1/1000)*(up_Irr!AA19+up_Irr!AZ19+up_Irr!BY19)),IF(AND(up_Irr!AA19&lt;&gt;".",up_Irr!AZ19&lt;&gt;".",up_Irr!BY19="."),up_dir!BB19/((1/1000)*(up_Irr!AA19+up_Irr!AZ19)),IF(AND(up_Irr!AA19&lt;&gt;".",up_Irr!AZ19=".",up_Irr!BY19&lt;&gt;"."),up_dir!BB19/((1/1000)*(up_Irr!AA19+up_Irr!BY19)),IF(AND(up_Irr!AA19=".",up_Irr!AZ19&lt;&gt;".",up_Irr!BY19&lt;&gt;"."),up_dir!BB19/((1/1000)*(up_Irr!AZ19+up_Irr!BY19)),IF(AND(up_Irr!AA19=".",up_Irr!AZ19=".",up_Irr!BY19&lt;&gt;"."),up_dir!BB19/((1/1000)*(up_Irr!BY19)),IF(AND(up_Irr!AA19=".",up_Irr!AZ19&lt;&gt;".",up_Irr!BY19="."),up_dir!BB19/((1/1000)*(up_Irr!AZ19)),IF(AND(up_Irr!AA19&lt;&gt;".",up_Irr!AZ19=".",up_Irr!BY19="."),up_dir!BB19/((1/1000)*(up_Irr!AA19)),IF(AND(up_Irr!AA19=".",up_Irr!AZ19=".",up_Irr!BY19="."),up_dir!BB19*1000)))))))),".")</f>
        <v>6.5773651144152123E-11</v>
      </c>
      <c r="CC19" s="93">
        <f t="shared" si="3"/>
        <v>608146.26076229871</v>
      </c>
      <c r="CD19" s="93">
        <f>IFERROR(s_C*s_IFAP_far_adj*s_CF_apple*(1/1000)*(up_Irr!C19+up_Irr!AB19+up_Irr!BA19),".")</f>
        <v>152036.56519057468</v>
      </c>
      <c r="CE19" s="93">
        <f>IFERROR(s_C*s_IFAS_far_adj*s_CF_asparagus*(1/1000)*(up_Irr!D19+up_Irr!AC19+up_Irr!BB19),".")</f>
        <v>152036.56519057468</v>
      </c>
      <c r="CF19" s="93">
        <f>IFERROR(s_C*s_IFBT_far_adj*s_CF_beet*(1/1000)*(up_Irr!E19+up_Irr!AD19+up_Irr!BC19),".")</f>
        <v>152036.56519057468</v>
      </c>
      <c r="CG19" s="93">
        <f>IFERROR(s_C*s_IFBE_far_adj*s_CF_berries*(1/1000)*(up_Irr!F19+up_Irr!AE19+up_Irr!BD19),".")</f>
        <v>152036.56519057468</v>
      </c>
      <c r="CH19" s="93">
        <f>IFERROR(s_C*s_IFBR_far_adj*s_CF_broccoli*(1/1000)*(up_Irr!G19+up_Irr!AF19+up_Irr!BE19),".")</f>
        <v>152036.56519057468</v>
      </c>
      <c r="CI19" s="93">
        <f>IFERROR(s_C*s_IFCB_far_adj*s_CF_cabbage*(1/1000)*(up_Irr!H19+up_Irr!AG19+up_Irr!BF19),".")</f>
        <v>152036.56519057468</v>
      </c>
      <c r="CJ19" s="93">
        <f>IFERROR(s_C*s_IFCR_far_adj*s_CF_carrot*(1/1000)*(up_Irr!I19+up_Irr!AH19+up_Irr!BG19),".")</f>
        <v>152036.56519057468</v>
      </c>
      <c r="CK19" s="93">
        <f>IFERROR(s_C*s_IFCI_far_adj*s_CF_citrus*(1/1000)*(up_Irr!J19+up_Irr!AI19+up_Irr!BH19),".")</f>
        <v>152036.56519057468</v>
      </c>
      <c r="CL19" s="93">
        <f>IFERROR(s_C*s_IFCO_far_adj*s_CF_corn*(1/1000)*(up_Irr!K19+up_Irr!AJ19+up_Irr!BI19),".")</f>
        <v>152036.56519057468</v>
      </c>
      <c r="CM19" s="93">
        <f>IFERROR(s_C*s_IFCU_far_adj*s_CF_cucumber*(1/1000)*(up_Irr!L19+up_Irr!AK19+up_Irr!BJ19),".")</f>
        <v>152036.56519057468</v>
      </c>
      <c r="CN19" s="93">
        <f>IFERROR(s_C*s_IFLE_far_adj*s_CF_lettuce*(1/1000)*(up_Irr!M19+up_Irr!AL19+up_Irr!BK19),".")</f>
        <v>152036.56519057468</v>
      </c>
      <c r="CO19" s="93">
        <f>IFERROR(s_C*s_IFLI_far_adj*s_CF_lima_bean*(1/1000)*(up_Irr!N19+up_Irr!AM19+up_Irr!BL19),".")</f>
        <v>152036.56519057468</v>
      </c>
      <c r="CP19" s="93">
        <f>IFERROR(s_C*s_IFOK_far_adj*s_CF_okra*(1/1000)*(up_Irr!O19+up_Irr!AN19+up_Irr!BM19),".")</f>
        <v>152036.56519057468</v>
      </c>
      <c r="CQ19" s="93">
        <f>IFERROR(s_C*s_IFON_far_adj*s_CF_onion*(1/1000)*(up_Irr!P19+up_Irr!AO19+up_Irr!BN19),".")</f>
        <v>152036.56519057468</v>
      </c>
      <c r="CR19" s="93">
        <f>IFERROR(s_C*s_IFPC_far_adj*s_CF_peach*(1/1000)*(up_Irr!Q19+up_Irr!AP19+up_Irr!BO19),".")</f>
        <v>152036.56519057468</v>
      </c>
      <c r="CS19" s="93">
        <f>IFERROR(s_C*s_IFPR_far_adj*s_CF_pear*(1/1000)*(up_Irr!R19+up_Irr!AQ19+up_Irr!BP19),".")</f>
        <v>152036.56519057468</v>
      </c>
      <c r="CT19" s="93">
        <f>IFERROR(s_C*s_IFPE_far_adj*s_CF_peas*(1/1000)*(up_Irr!S19+up_Irr!AR19+up_Irr!BQ19),".")</f>
        <v>152036.56519057468</v>
      </c>
      <c r="CU19" s="93">
        <f>IFERROR(s_C*s_IFPP_far_adj*s_CF_peppers*(1/1000)*(up_Irr!T19+up_Irr!AS19+up_Irr!BR19),".")</f>
        <v>152036.56519057468</v>
      </c>
      <c r="CV19" s="93">
        <f>IFERROR(s_C*s_IFPT_far_adj*s_CF_potato*(1/1000)*(up_Irr!U19+up_Irr!AT19+up_Irr!BS19),".")</f>
        <v>152036.56519057468</v>
      </c>
      <c r="CW19" s="93">
        <f>IFERROR(s_C*s_IFPU_far_adj*s_CF_pumpkin*(1/1000)*(up_Irr!V19+up_Irr!AU19+up_Irr!BT19),".")</f>
        <v>152036.56519057468</v>
      </c>
      <c r="CX19" s="93">
        <f>IFERROR(s_C*s_IFSN_far_adj*s_CF_snap_bean*(1/1000)*(up_Irr!W19+up_Irr!AV19+up_Irr!BU19),".")</f>
        <v>152036.56519057468</v>
      </c>
      <c r="CY19" s="93">
        <f>IFERROR(s_C*s_IFST_far_adj*s_CF_strawberry*(1/1000)*(up_Irr!X19+up_Irr!AW19+up_Irr!BV19),".")</f>
        <v>152036.56519057468</v>
      </c>
      <c r="CZ19" s="93">
        <f>IFERROR(s_C*s_IFTO_far_adj*s_CF_tomato*(1/1000)*(up_Irr!Y19+up_Irr!AX19+up_Irr!BW19),".")</f>
        <v>152036.56519057468</v>
      </c>
      <c r="DA19" s="93">
        <f>IFERROR(s_C*s_IFRI_far_adj*s_CF_rice*(1/1000)*(up_Irr!Z19+up_Irr!AY19+up_Irr!BX19),".")</f>
        <v>152036.56519057468</v>
      </c>
      <c r="DB19" s="93">
        <f>IFERROR(s_C*s_IFCG_far_adj*s_CF_cereal*(1/1000)*(up_Irr!AA19+up_Irr!AZ19+up_Irr!BY19),".")</f>
        <v>152036.56519057468</v>
      </c>
    </row>
    <row r="20" spans="1:106" ht="15" customHeight="1" x14ac:dyDescent="0.25">
      <c r="A20" s="92" t="s">
        <v>30</v>
      </c>
      <c r="B20" s="90" t="s">
        <v>1071</v>
      </c>
      <c r="C20" s="15">
        <f t="shared" si="0"/>
        <v>1.6443412786038031E-11</v>
      </c>
      <c r="D20" s="76">
        <f>IFERROR(IF(AND(up_Irr!C20&lt;&gt;".",up_Irr!AB20&lt;&gt;".",up_Irr!BA20&lt;&gt;"."),up_dir!D20/((1/1000)*(up_Irr!C20+up_Irr!AB20+up_Irr!BA20)),IF(AND(up_Irr!C20&lt;&gt;".",up_Irr!AB20&lt;&gt;".",up_Irr!BA20="."),up_dir!D20/((1/1000)*(up_Irr!C20+up_Irr!AB20)),IF(AND(up_Irr!C20&lt;&gt;".",up_Irr!AB20=".",up_Irr!BA20&lt;&gt;"."),up_dir!D20/((1/1000)*(up_Irr!C20+up_Irr!BA20)),IF(AND(up_Irr!C20=".",up_Irr!AB20&lt;&gt;".",up_Irr!BA20&lt;&gt;"."),up_dir!D20/((1/1000)*(up_Irr!AB20+up_Irr!BA20)),IF(AND(up_Irr!C20=".",up_Irr!AB20=".",up_Irr!BA20&lt;&gt;"."),up_dir!D20/((1/1000)*(up_Irr!BA20)),IF(AND(up_Irr!C20=".",up_Irr!AB20&lt;&gt;".",up_Irr!BA20="."),up_dir!D20/((1/1000)*(up_Irr!AB20)),IF(AND(up_Irr!C20&lt;&gt;".",up_Irr!AB20=".",up_Irr!BA20="."),up_dir!D20/((1/1000)*(up_Irr!C20)),IF(AND(up_Irr!C20=".",up_Irr!AB20=".",up_Irr!BA20="."),up_dir!D20*1000)))))))),".")</f>
        <v>6.5773651144152123E-11</v>
      </c>
      <c r="E20" s="76">
        <f>IFERROR(IF(AND(up_Irr!D20&lt;&gt;".",up_Irr!AC20&lt;&gt;".",up_Irr!BB20&lt;&gt;"."),up_dir!E20/((1/1000)*(up_Irr!D20+up_Irr!AC20+up_Irr!BB20)),IF(AND(up_Irr!D20&lt;&gt;".",up_Irr!AC20&lt;&gt;".",up_Irr!BB20="."),up_dir!E20/((1/1000)*(up_Irr!D20+up_Irr!AC20)),IF(AND(up_Irr!D20&lt;&gt;".",up_Irr!AC20=".",up_Irr!BB20&lt;&gt;"."),up_dir!E20/((1/1000)*(up_Irr!D20+up_Irr!BB20)),IF(AND(up_Irr!D20=".",up_Irr!AC20&lt;&gt;".",up_Irr!BB20&lt;&gt;"."),up_dir!E20/((1/1000)*(up_Irr!AC20+up_Irr!BB20)),IF(AND(up_Irr!D20=".",up_Irr!AC20=".",up_Irr!BB20&lt;&gt;"."),up_dir!E20/((1/1000)*(up_Irr!BB20)),IF(AND(up_Irr!D20=".",up_Irr!AC20&lt;&gt;".",up_Irr!BB20="."),up_dir!E20/((1/1000)*(up_Irr!AC20)),IF(AND(up_Irr!D20&lt;&gt;".",up_Irr!AC20=".",up_Irr!BB20="."),up_dir!E20/((1/1000)*(up_Irr!D20)),IF(AND(up_Irr!D20=".",up_Irr!AC20=".",up_Irr!BB20="."),up_dir!E20*1000)))))))),".")</f>
        <v>6.5773651144152123E-11</v>
      </c>
      <c r="F20" s="76">
        <f>IFERROR(IF(AND(up_Irr!E20&lt;&gt;".",up_Irr!AD20&lt;&gt;".",up_Irr!BC20&lt;&gt;"."),up_dir!F20/((1/1000)*(up_Irr!E20+up_Irr!AD20+up_Irr!BC20)),IF(AND(up_Irr!E20&lt;&gt;".",up_Irr!AD20&lt;&gt;".",up_Irr!BC20="."),up_dir!F20/((1/1000)*(up_Irr!E20+up_Irr!AD20)),IF(AND(up_Irr!E20&lt;&gt;".",up_Irr!AD20=".",up_Irr!BC20&lt;&gt;"."),up_dir!F20/((1/1000)*(up_Irr!E20+up_Irr!BC20)),IF(AND(up_Irr!E20=".",up_Irr!AD20&lt;&gt;".",up_Irr!BC20&lt;&gt;"."),up_dir!F20/((1/1000)*(up_Irr!AD20+up_Irr!BC20)),IF(AND(up_Irr!E20=".",up_Irr!AD20=".",up_Irr!BC20&lt;&gt;"."),up_dir!F20/((1/1000)*(up_Irr!BC20)),IF(AND(up_Irr!E20=".",up_Irr!AD20&lt;&gt;".",up_Irr!BC20="."),up_dir!F20/((1/1000)*(up_Irr!AD20)),IF(AND(up_Irr!E20&lt;&gt;".",up_Irr!AD20=".",up_Irr!BC20="."),up_dir!F20/((1/1000)*(up_Irr!E20)),IF(AND(up_Irr!E20=".",up_Irr!AD20=".",up_Irr!BC20="."),up_dir!F20*1000)))))))),".")</f>
        <v>6.5773651144152123E-11</v>
      </c>
      <c r="G20" s="76">
        <f>IFERROR(IF(AND(up_Irr!F20&lt;&gt;".",up_Irr!AE20&lt;&gt;".",up_Irr!BD20&lt;&gt;"."),up_dir!G20/((1/1000)*(up_Irr!F20+up_Irr!AE20+up_Irr!BD20)),IF(AND(up_Irr!F20&lt;&gt;".",up_Irr!AE20&lt;&gt;".",up_Irr!BD20="."),up_dir!G20/((1/1000)*(up_Irr!F20+up_Irr!AE20)),IF(AND(up_Irr!F20&lt;&gt;".",up_Irr!AE20=".",up_Irr!BD20&lt;&gt;"."),up_dir!G20/((1/1000)*(up_Irr!F20+up_Irr!BD20)),IF(AND(up_Irr!F20=".",up_Irr!AE20&lt;&gt;".",up_Irr!BD20&lt;&gt;"."),up_dir!G20/((1/1000)*(up_Irr!AE20+up_Irr!BD20)),IF(AND(up_Irr!F20=".",up_Irr!AE20=".",up_Irr!BD20&lt;&gt;"."),up_dir!G20/((1/1000)*(up_Irr!BD20)),IF(AND(up_Irr!F20=".",up_Irr!AE20&lt;&gt;".",up_Irr!BD20="."),up_dir!G20/((1/1000)*(up_Irr!AE20)),IF(AND(up_Irr!F20&lt;&gt;".",up_Irr!AE20=".",up_Irr!BD20="."),up_dir!G20/((1/1000)*(up_Irr!F20)),IF(AND(up_Irr!F20=".",up_Irr!AE20=".",up_Irr!BD20="."),up_dir!G20*1000)))))))),".")</f>
        <v>6.5773651144152123E-11</v>
      </c>
      <c r="H20" s="76">
        <f>IFERROR(IF(AND(up_Irr!G20&lt;&gt;".",up_Irr!AF20&lt;&gt;".",up_Irr!BE20&lt;&gt;"."),up_dir!H20/((1/1000)*(up_Irr!G20+up_Irr!AF20+up_Irr!BE20)),IF(AND(up_Irr!G20&lt;&gt;".",up_Irr!AF20&lt;&gt;".",up_Irr!BE20="."),up_dir!H20/((1/1000)*(up_Irr!G20+up_Irr!AF20)),IF(AND(up_Irr!G20&lt;&gt;".",up_Irr!AF20=".",up_Irr!BE20&lt;&gt;"."),up_dir!H20/((1/1000)*(up_Irr!G20+up_Irr!BE20)),IF(AND(up_Irr!G20=".",up_Irr!AF20&lt;&gt;".",up_Irr!BE20&lt;&gt;"."),up_dir!H20/((1/1000)*(up_Irr!AF20+up_Irr!BE20)),IF(AND(up_Irr!G20=".",up_Irr!AF20=".",up_Irr!BE20&lt;&gt;"."),up_dir!H20/((1/1000)*(up_Irr!BE20)),IF(AND(up_Irr!G20=".",up_Irr!AF20&lt;&gt;".",up_Irr!BE20="."),up_dir!H20/((1/1000)*(up_Irr!AF20)),IF(AND(up_Irr!G20&lt;&gt;".",up_Irr!AF20=".",up_Irr!BE20="."),up_dir!H20/((1/1000)*(up_Irr!G20)),IF(AND(up_Irr!G20=".",up_Irr!AF20=".",up_Irr!BE20="."),up_dir!H20*1000)))))))),".")</f>
        <v>6.5773651144152123E-11</v>
      </c>
      <c r="I20" s="76">
        <f>IFERROR(IF(AND(up_Irr!H20&lt;&gt;".",up_Irr!AG20&lt;&gt;".",up_Irr!BF20&lt;&gt;"."),up_dir!I20/((1/1000)*(up_Irr!H20+up_Irr!AG20+up_Irr!BF20)),IF(AND(up_Irr!H20&lt;&gt;".",up_Irr!AG20&lt;&gt;".",up_Irr!BF20="."),up_dir!I20/((1/1000)*(up_Irr!H20+up_Irr!AG20)),IF(AND(up_Irr!H20&lt;&gt;".",up_Irr!AG20=".",up_Irr!BF20&lt;&gt;"."),up_dir!I20/((1/1000)*(up_Irr!H20+up_Irr!BF20)),IF(AND(up_Irr!H20=".",up_Irr!AG20&lt;&gt;".",up_Irr!BF20&lt;&gt;"."),up_dir!I20/((1/1000)*(up_Irr!AG20+up_Irr!BF20)),IF(AND(up_Irr!H20=".",up_Irr!AG20=".",up_Irr!BF20&lt;&gt;"."),up_dir!I20/((1/1000)*(up_Irr!BF20)),IF(AND(up_Irr!H20=".",up_Irr!AG20&lt;&gt;".",up_Irr!BF20="."),up_dir!I20/((1/1000)*(up_Irr!AG20)),IF(AND(up_Irr!H20&lt;&gt;".",up_Irr!AG20=".",up_Irr!BF20="."),up_dir!I20/((1/1000)*(up_Irr!H20)),IF(AND(up_Irr!H20=".",up_Irr!AG20=".",up_Irr!BF20="."),up_dir!I20*1000)))))))),".")</f>
        <v>6.5773651144152123E-11</v>
      </c>
      <c r="J20" s="76">
        <f>IFERROR(IF(AND(up_Irr!I20&lt;&gt;".",up_Irr!AH20&lt;&gt;".",up_Irr!BG20&lt;&gt;"."),up_dir!J20/((1/1000)*(up_Irr!I20+up_Irr!AH20+up_Irr!BG20)),IF(AND(up_Irr!I20&lt;&gt;".",up_Irr!AH20&lt;&gt;".",up_Irr!BG20="."),up_dir!J20/((1/1000)*(up_Irr!I20+up_Irr!AH20)),IF(AND(up_Irr!I20&lt;&gt;".",up_Irr!AH20=".",up_Irr!BG20&lt;&gt;"."),up_dir!J20/((1/1000)*(up_Irr!I20+up_Irr!BG20)),IF(AND(up_Irr!I20=".",up_Irr!AH20&lt;&gt;".",up_Irr!BG20&lt;&gt;"."),up_dir!J20/((1/1000)*(up_Irr!AH20+up_Irr!BG20)),IF(AND(up_Irr!I20=".",up_Irr!AH20=".",up_Irr!BG20&lt;&gt;"."),up_dir!J20/((1/1000)*(up_Irr!BG20)),IF(AND(up_Irr!I20=".",up_Irr!AH20&lt;&gt;".",up_Irr!BG20="."),up_dir!J20/((1/1000)*(up_Irr!AH20)),IF(AND(up_Irr!I20&lt;&gt;".",up_Irr!AH20=".",up_Irr!BG20="."),up_dir!J20/((1/1000)*(up_Irr!I20)),IF(AND(up_Irr!I20=".",up_Irr!AH20=".",up_Irr!BG20="."),up_dir!J20*1000)))))))),".")</f>
        <v>6.5773651144152123E-11</v>
      </c>
      <c r="K20" s="76">
        <f>IFERROR(IF(AND(up_Irr!J20&lt;&gt;".",up_Irr!AI20&lt;&gt;".",up_Irr!BH20&lt;&gt;"."),up_dir!K20/((1/1000)*(up_Irr!J20+up_Irr!AI20+up_Irr!BH20)),IF(AND(up_Irr!J20&lt;&gt;".",up_Irr!AI20&lt;&gt;".",up_Irr!BH20="."),up_dir!K20/((1/1000)*(up_Irr!J20+up_Irr!AI20)),IF(AND(up_Irr!J20&lt;&gt;".",up_Irr!AI20=".",up_Irr!BH20&lt;&gt;"."),up_dir!K20/((1/1000)*(up_Irr!J20+up_Irr!BH20)),IF(AND(up_Irr!J20=".",up_Irr!AI20&lt;&gt;".",up_Irr!BH20&lt;&gt;"."),up_dir!K20/((1/1000)*(up_Irr!AI20+up_Irr!BH20)),IF(AND(up_Irr!J20=".",up_Irr!AI20=".",up_Irr!BH20&lt;&gt;"."),up_dir!K20/((1/1000)*(up_Irr!BH20)),IF(AND(up_Irr!J20=".",up_Irr!AI20&lt;&gt;".",up_Irr!BH20="."),up_dir!K20/((1/1000)*(up_Irr!AI20)),IF(AND(up_Irr!J20&lt;&gt;".",up_Irr!AI20=".",up_Irr!BH20="."),up_dir!K20/((1/1000)*(up_Irr!J20)),IF(AND(up_Irr!J20=".",up_Irr!AI20=".",up_Irr!BH20="."),up_dir!K20*1000)))))))),".")</f>
        <v>6.5773651144152123E-11</v>
      </c>
      <c r="L20" s="76">
        <f>IFERROR(IF(AND(up_Irr!K20&lt;&gt;".",up_Irr!AJ20&lt;&gt;".",up_Irr!BI20&lt;&gt;"."),up_dir!L20/((1/1000)*(up_Irr!K20+up_Irr!AJ20+up_Irr!BI20)),IF(AND(up_Irr!K20&lt;&gt;".",up_Irr!AJ20&lt;&gt;".",up_Irr!BI20="."),up_dir!L20/((1/1000)*(up_Irr!K20+up_Irr!AJ20)),IF(AND(up_Irr!K20&lt;&gt;".",up_Irr!AJ20=".",up_Irr!BI20&lt;&gt;"."),up_dir!L20/((1/1000)*(up_Irr!K20+up_Irr!BI20)),IF(AND(up_Irr!K20=".",up_Irr!AJ20&lt;&gt;".",up_Irr!BI20&lt;&gt;"."),up_dir!L20/((1/1000)*(up_Irr!AJ20+up_Irr!BI20)),IF(AND(up_Irr!K20=".",up_Irr!AJ20=".",up_Irr!BI20&lt;&gt;"."),up_dir!L20/((1/1000)*(up_Irr!BI20)),IF(AND(up_Irr!K20=".",up_Irr!AJ20&lt;&gt;".",up_Irr!BI20="."),up_dir!L20/((1/1000)*(up_Irr!AJ20)),IF(AND(up_Irr!K20&lt;&gt;".",up_Irr!AJ20=".",up_Irr!BI20="."),up_dir!L20/((1/1000)*(up_Irr!K20)),IF(AND(up_Irr!K20=".",up_Irr!AJ20=".",up_Irr!BI20="."),up_dir!L20*1000)))))))),".")</f>
        <v>6.5773651144152123E-11</v>
      </c>
      <c r="M20" s="76">
        <f>IFERROR(IF(AND(up_Irr!L20&lt;&gt;".",up_Irr!AK20&lt;&gt;".",up_Irr!BJ20&lt;&gt;"."),up_dir!M20/((1/1000)*(up_Irr!L20+up_Irr!AK20+up_Irr!BJ20)),IF(AND(up_Irr!L20&lt;&gt;".",up_Irr!AK20&lt;&gt;".",up_Irr!BJ20="."),up_dir!M20/((1/1000)*(up_Irr!L20+up_Irr!AK20)),IF(AND(up_Irr!L20&lt;&gt;".",up_Irr!AK20=".",up_Irr!BJ20&lt;&gt;"."),up_dir!M20/((1/1000)*(up_Irr!L20+up_Irr!BJ20)),IF(AND(up_Irr!L20=".",up_Irr!AK20&lt;&gt;".",up_Irr!BJ20&lt;&gt;"."),up_dir!M20/((1/1000)*(up_Irr!AK20+up_Irr!BJ20)),IF(AND(up_Irr!L20=".",up_Irr!AK20=".",up_Irr!BJ20&lt;&gt;"."),up_dir!M20/((1/1000)*(up_Irr!BJ20)),IF(AND(up_Irr!L20=".",up_Irr!AK20&lt;&gt;".",up_Irr!BJ20="."),up_dir!M20/((1/1000)*(up_Irr!AK20)),IF(AND(up_Irr!L20&lt;&gt;".",up_Irr!AK20=".",up_Irr!BJ20="."),up_dir!M20/((1/1000)*(up_Irr!L20)),IF(AND(up_Irr!L20=".",up_Irr!AK20=".",up_Irr!BJ20="."),up_dir!M20*1000)))))))),".")</f>
        <v>6.5773651144152123E-11</v>
      </c>
      <c r="N20" s="76">
        <f>IFERROR(IF(AND(up_Irr!M20&lt;&gt;".",up_Irr!AL20&lt;&gt;".",up_Irr!BK20&lt;&gt;"."),up_dir!N20/((1/1000)*(up_Irr!M20+up_Irr!AL20+up_Irr!BK20)),IF(AND(up_Irr!M20&lt;&gt;".",up_Irr!AL20&lt;&gt;".",up_Irr!BK20="."),up_dir!N20/((1/1000)*(up_Irr!M20+up_Irr!AL20)),IF(AND(up_Irr!M20&lt;&gt;".",up_Irr!AL20=".",up_Irr!BK20&lt;&gt;"."),up_dir!N20/((1/1000)*(up_Irr!M20+up_Irr!BK20)),IF(AND(up_Irr!M20=".",up_Irr!AL20&lt;&gt;".",up_Irr!BK20&lt;&gt;"."),up_dir!N20/((1/1000)*(up_Irr!AL20+up_Irr!BK20)),IF(AND(up_Irr!M20=".",up_Irr!AL20=".",up_Irr!BK20&lt;&gt;"."),up_dir!N20/((1/1000)*(up_Irr!BK20)),IF(AND(up_Irr!M20=".",up_Irr!AL20&lt;&gt;".",up_Irr!BK20="."),up_dir!N20/((1/1000)*(up_Irr!AL20)),IF(AND(up_Irr!M20&lt;&gt;".",up_Irr!AL20=".",up_Irr!BK20="."),up_dir!N20/((1/1000)*(up_Irr!M20)),IF(AND(up_Irr!M20=".",up_Irr!AL20=".",up_Irr!BK20="."),up_dir!N20*1000)))))))),".")</f>
        <v>6.5773651144152123E-11</v>
      </c>
      <c r="O20" s="76">
        <f>IFERROR(IF(AND(up_Irr!N20&lt;&gt;".",up_Irr!AM20&lt;&gt;".",up_Irr!BL20&lt;&gt;"."),up_dir!O20/((1/1000)*(up_Irr!N20+up_Irr!AM20+up_Irr!BL20)),IF(AND(up_Irr!N20&lt;&gt;".",up_Irr!AM20&lt;&gt;".",up_Irr!BL20="."),up_dir!O20/((1/1000)*(up_Irr!N20+up_Irr!AM20)),IF(AND(up_Irr!N20&lt;&gt;".",up_Irr!AM20=".",up_Irr!BL20&lt;&gt;"."),up_dir!O20/((1/1000)*(up_Irr!N20+up_Irr!BL20)),IF(AND(up_Irr!N20=".",up_Irr!AM20&lt;&gt;".",up_Irr!BL20&lt;&gt;"."),up_dir!O20/((1/1000)*(up_Irr!AM20+up_Irr!BL20)),IF(AND(up_Irr!N20=".",up_Irr!AM20=".",up_Irr!BL20&lt;&gt;"."),up_dir!O20/((1/1000)*(up_Irr!BL20)),IF(AND(up_Irr!N20=".",up_Irr!AM20&lt;&gt;".",up_Irr!BL20="."),up_dir!O20/((1/1000)*(up_Irr!AM20)),IF(AND(up_Irr!N20&lt;&gt;".",up_Irr!AM20=".",up_Irr!BL20="."),up_dir!O20/((1/1000)*(up_Irr!N20)),IF(AND(up_Irr!N20=".",up_Irr!AM20=".",up_Irr!BL20="."),up_dir!O20*1000)))))))),".")</f>
        <v>6.5773651144152123E-11</v>
      </c>
      <c r="P20" s="76">
        <f>IFERROR(IF(AND(up_Irr!O20&lt;&gt;".",up_Irr!AN20&lt;&gt;".",up_Irr!BM20&lt;&gt;"."),up_dir!P20/((1/1000)*(up_Irr!O20+up_Irr!AN20+up_Irr!BM20)),IF(AND(up_Irr!O20&lt;&gt;".",up_Irr!AN20&lt;&gt;".",up_Irr!BM20="."),up_dir!P20/((1/1000)*(up_Irr!O20+up_Irr!AN20)),IF(AND(up_Irr!O20&lt;&gt;".",up_Irr!AN20=".",up_Irr!BM20&lt;&gt;"."),up_dir!P20/((1/1000)*(up_Irr!O20+up_Irr!BM20)),IF(AND(up_Irr!O20=".",up_Irr!AN20&lt;&gt;".",up_Irr!BM20&lt;&gt;"."),up_dir!P20/((1/1000)*(up_Irr!AN20+up_Irr!BM20)),IF(AND(up_Irr!O20=".",up_Irr!AN20=".",up_Irr!BM20&lt;&gt;"."),up_dir!P20/((1/1000)*(up_Irr!BM20)),IF(AND(up_Irr!O20=".",up_Irr!AN20&lt;&gt;".",up_Irr!BM20="."),up_dir!P20/((1/1000)*(up_Irr!AN20)),IF(AND(up_Irr!O20&lt;&gt;".",up_Irr!AN20=".",up_Irr!BM20="."),up_dir!P20/((1/1000)*(up_Irr!O20)),IF(AND(up_Irr!O20=".",up_Irr!AN20=".",up_Irr!BM20="."),up_dir!P20*1000)))))))),".")</f>
        <v>6.5773651144152123E-11</v>
      </c>
      <c r="Q20" s="76">
        <f>IFERROR(IF(AND(up_Irr!P20&lt;&gt;".",up_Irr!AO20&lt;&gt;".",up_Irr!BN20&lt;&gt;"."),up_dir!Q20/((1/1000)*(up_Irr!P20+up_Irr!AO20+up_Irr!BN20)),IF(AND(up_Irr!P20&lt;&gt;".",up_Irr!AO20&lt;&gt;".",up_Irr!BN20="."),up_dir!Q20/((1/1000)*(up_Irr!P20+up_Irr!AO20)),IF(AND(up_Irr!P20&lt;&gt;".",up_Irr!AO20=".",up_Irr!BN20&lt;&gt;"."),up_dir!Q20/((1/1000)*(up_Irr!P20+up_Irr!BN20)),IF(AND(up_Irr!P20=".",up_Irr!AO20&lt;&gt;".",up_Irr!BN20&lt;&gt;"."),up_dir!Q20/((1/1000)*(up_Irr!AO20+up_Irr!BN20)),IF(AND(up_Irr!P20=".",up_Irr!AO20=".",up_Irr!BN20&lt;&gt;"."),up_dir!Q20/((1/1000)*(up_Irr!BN20)),IF(AND(up_Irr!P20=".",up_Irr!AO20&lt;&gt;".",up_Irr!BN20="."),up_dir!Q20/((1/1000)*(up_Irr!AO20)),IF(AND(up_Irr!P20&lt;&gt;".",up_Irr!AO20=".",up_Irr!BN20="."),up_dir!Q20/((1/1000)*(up_Irr!P20)),IF(AND(up_Irr!P20=".",up_Irr!AO20=".",up_Irr!BN20="."),up_dir!Q20*1000)))))))),".")</f>
        <v>6.5773651144152123E-11</v>
      </c>
      <c r="R20" s="76">
        <f>IFERROR(IF(AND(up_Irr!Q20&lt;&gt;".",up_Irr!AP20&lt;&gt;".",up_Irr!BO20&lt;&gt;"."),up_dir!R20/((1/1000)*(up_Irr!Q20+up_Irr!AP20+up_Irr!BO20)),IF(AND(up_Irr!Q20&lt;&gt;".",up_Irr!AP20&lt;&gt;".",up_Irr!BO20="."),up_dir!R20/((1/1000)*(up_Irr!Q20+up_Irr!AP20)),IF(AND(up_Irr!Q20&lt;&gt;".",up_Irr!AP20=".",up_Irr!BO20&lt;&gt;"."),up_dir!R20/((1/1000)*(up_Irr!Q20+up_Irr!BO20)),IF(AND(up_Irr!Q20=".",up_Irr!AP20&lt;&gt;".",up_Irr!BO20&lt;&gt;"."),up_dir!R20/((1/1000)*(up_Irr!AP20+up_Irr!BO20)),IF(AND(up_Irr!Q20=".",up_Irr!AP20=".",up_Irr!BO20&lt;&gt;"."),up_dir!R20/((1/1000)*(up_Irr!BO20)),IF(AND(up_Irr!Q20=".",up_Irr!AP20&lt;&gt;".",up_Irr!BO20="."),up_dir!R20/((1/1000)*(up_Irr!AP20)),IF(AND(up_Irr!Q20&lt;&gt;".",up_Irr!AP20=".",up_Irr!BO20="."),up_dir!R20/((1/1000)*(up_Irr!Q20)),IF(AND(up_Irr!Q20=".",up_Irr!AP20=".",up_Irr!BO20="."),up_dir!R20*1000)))))))),".")</f>
        <v>6.5773651144152123E-11</v>
      </c>
      <c r="S20" s="76">
        <f>IFERROR(IF(AND(up_Irr!R20&lt;&gt;".",up_Irr!AQ20&lt;&gt;".",up_Irr!BP20&lt;&gt;"."),up_dir!S20/((1/1000)*(up_Irr!R20+up_Irr!AQ20+up_Irr!BP20)),IF(AND(up_Irr!R20&lt;&gt;".",up_Irr!AQ20&lt;&gt;".",up_Irr!BP20="."),up_dir!S20/((1/1000)*(up_Irr!R20+up_Irr!AQ20)),IF(AND(up_Irr!R20&lt;&gt;".",up_Irr!AQ20=".",up_Irr!BP20&lt;&gt;"."),up_dir!S20/((1/1000)*(up_Irr!R20+up_Irr!BP20)),IF(AND(up_Irr!R20=".",up_Irr!AQ20&lt;&gt;".",up_Irr!BP20&lt;&gt;"."),up_dir!S20/((1/1000)*(up_Irr!AQ20+up_Irr!BP20)),IF(AND(up_Irr!R20=".",up_Irr!AQ20=".",up_Irr!BP20&lt;&gt;"."),up_dir!S20/((1/1000)*(up_Irr!BP20)),IF(AND(up_Irr!R20=".",up_Irr!AQ20&lt;&gt;".",up_Irr!BP20="."),up_dir!S20/((1/1000)*(up_Irr!AQ20)),IF(AND(up_Irr!R20&lt;&gt;".",up_Irr!AQ20=".",up_Irr!BP20="."),up_dir!S20/((1/1000)*(up_Irr!R20)),IF(AND(up_Irr!R20=".",up_Irr!AQ20=".",up_Irr!BP20="."),up_dir!S20*1000)))))))),".")</f>
        <v>6.5773651144152123E-11</v>
      </c>
      <c r="T20" s="76">
        <f>IFERROR(IF(AND(up_Irr!S20&lt;&gt;".",up_Irr!AR20&lt;&gt;".",up_Irr!BQ20&lt;&gt;"."),up_dir!T20/((1/1000)*(up_Irr!S20+up_Irr!AR20+up_Irr!BQ20)),IF(AND(up_Irr!S20&lt;&gt;".",up_Irr!AR20&lt;&gt;".",up_Irr!BQ20="."),up_dir!T20/((1/1000)*(up_Irr!S20+up_Irr!AR20)),IF(AND(up_Irr!S20&lt;&gt;".",up_Irr!AR20=".",up_Irr!BQ20&lt;&gt;"."),up_dir!T20/((1/1000)*(up_Irr!S20+up_Irr!BQ20)),IF(AND(up_Irr!S20=".",up_Irr!AR20&lt;&gt;".",up_Irr!BQ20&lt;&gt;"."),up_dir!T20/((1/1000)*(up_Irr!AR20+up_Irr!BQ20)),IF(AND(up_Irr!S20=".",up_Irr!AR20=".",up_Irr!BQ20&lt;&gt;"."),up_dir!T20/((1/1000)*(up_Irr!BQ20)),IF(AND(up_Irr!S20=".",up_Irr!AR20&lt;&gt;".",up_Irr!BQ20="."),up_dir!T20/((1/1000)*(up_Irr!AR20)),IF(AND(up_Irr!S20&lt;&gt;".",up_Irr!AR20=".",up_Irr!BQ20="."),up_dir!T20/((1/1000)*(up_Irr!S20)),IF(AND(up_Irr!S20=".",up_Irr!AR20=".",up_Irr!BQ20="."),up_dir!T20*1000)))))))),".")</f>
        <v>6.5773651144152123E-11</v>
      </c>
      <c r="U20" s="76">
        <f>IFERROR(IF(AND(up_Irr!T20&lt;&gt;".",up_Irr!AS20&lt;&gt;".",up_Irr!BR20&lt;&gt;"."),up_dir!U20/((1/1000)*(up_Irr!T20+up_Irr!AS20+up_Irr!BR20)),IF(AND(up_Irr!T20&lt;&gt;".",up_Irr!AS20&lt;&gt;".",up_Irr!BR20="."),up_dir!U20/((1/1000)*(up_Irr!T20+up_Irr!AS20)),IF(AND(up_Irr!T20&lt;&gt;".",up_Irr!AS20=".",up_Irr!BR20&lt;&gt;"."),up_dir!U20/((1/1000)*(up_Irr!T20+up_Irr!BR20)),IF(AND(up_Irr!T20=".",up_Irr!AS20&lt;&gt;".",up_Irr!BR20&lt;&gt;"."),up_dir!U20/((1/1000)*(up_Irr!AS20+up_Irr!BR20)),IF(AND(up_Irr!T20=".",up_Irr!AS20=".",up_Irr!BR20&lt;&gt;"."),up_dir!U20/((1/1000)*(up_Irr!BR20)),IF(AND(up_Irr!T20=".",up_Irr!AS20&lt;&gt;".",up_Irr!BR20="."),up_dir!U20/((1/1000)*(up_Irr!AS20)),IF(AND(up_Irr!T20&lt;&gt;".",up_Irr!AS20=".",up_Irr!BR20="."),up_dir!U20/((1/1000)*(up_Irr!T20)),IF(AND(up_Irr!T20=".",up_Irr!AS20=".",up_Irr!BR20="."),up_dir!U20*1000)))))))),".")</f>
        <v>6.5773651144152123E-11</v>
      </c>
      <c r="V20" s="76">
        <f>IFERROR(IF(AND(up_Irr!U20&lt;&gt;".",up_Irr!AT20&lt;&gt;".",up_Irr!BS20&lt;&gt;"."),up_dir!V20/((1/1000)*(up_Irr!U20+up_Irr!AT20+up_Irr!BS20)),IF(AND(up_Irr!U20&lt;&gt;".",up_Irr!AT20&lt;&gt;".",up_Irr!BS20="."),up_dir!V20/((1/1000)*(up_Irr!U20+up_Irr!AT20)),IF(AND(up_Irr!U20&lt;&gt;".",up_Irr!AT20=".",up_Irr!BS20&lt;&gt;"."),up_dir!V20/((1/1000)*(up_Irr!U20+up_Irr!BS20)),IF(AND(up_Irr!U20=".",up_Irr!AT20&lt;&gt;".",up_Irr!BS20&lt;&gt;"."),up_dir!V20/((1/1000)*(up_Irr!AT20+up_Irr!BS20)),IF(AND(up_Irr!U20=".",up_Irr!AT20=".",up_Irr!BS20&lt;&gt;"."),up_dir!V20/((1/1000)*(up_Irr!BS20)),IF(AND(up_Irr!U20=".",up_Irr!AT20&lt;&gt;".",up_Irr!BS20="."),up_dir!V20/((1/1000)*(up_Irr!AT20)),IF(AND(up_Irr!U20&lt;&gt;".",up_Irr!AT20=".",up_Irr!BS20="."),up_dir!V20/((1/1000)*(up_Irr!U20)),IF(AND(up_Irr!U20=".",up_Irr!AT20=".",up_Irr!BS20="."),up_dir!V20*1000)))))))),".")</f>
        <v>6.5773651144152123E-11</v>
      </c>
      <c r="W20" s="76">
        <f>IFERROR(IF(AND(up_Irr!V20&lt;&gt;".",up_Irr!AU20&lt;&gt;".",up_Irr!BT20&lt;&gt;"."),up_dir!W20/((1/1000)*(up_Irr!V20+up_Irr!AU20+up_Irr!BT20)),IF(AND(up_Irr!V20&lt;&gt;".",up_Irr!AU20&lt;&gt;".",up_Irr!BT20="."),up_dir!W20/((1/1000)*(up_Irr!V20+up_Irr!AU20)),IF(AND(up_Irr!V20&lt;&gt;".",up_Irr!AU20=".",up_Irr!BT20&lt;&gt;"."),up_dir!W20/((1/1000)*(up_Irr!V20+up_Irr!BT20)),IF(AND(up_Irr!V20=".",up_Irr!AU20&lt;&gt;".",up_Irr!BT20&lt;&gt;"."),up_dir!W20/((1/1000)*(up_Irr!AU20+up_Irr!BT20)),IF(AND(up_Irr!V20=".",up_Irr!AU20=".",up_Irr!BT20&lt;&gt;"."),up_dir!W20/((1/1000)*(up_Irr!BT20)),IF(AND(up_Irr!V20=".",up_Irr!AU20&lt;&gt;".",up_Irr!BT20="."),up_dir!W20/((1/1000)*(up_Irr!AU20)),IF(AND(up_Irr!V20&lt;&gt;".",up_Irr!AU20=".",up_Irr!BT20="."),up_dir!W20/((1/1000)*(up_Irr!V20)),IF(AND(up_Irr!V20=".",up_Irr!AU20=".",up_Irr!BT20="."),up_dir!W20*1000)))))))),".")</f>
        <v>6.5773651144152123E-11</v>
      </c>
      <c r="X20" s="76">
        <f>IFERROR(IF(AND(up_Irr!W20&lt;&gt;".",up_Irr!AV20&lt;&gt;".",up_Irr!BU20&lt;&gt;"."),up_dir!X20/((1/1000)*(up_Irr!W20+up_Irr!AV20+up_Irr!BU20)),IF(AND(up_Irr!W20&lt;&gt;".",up_Irr!AV20&lt;&gt;".",up_Irr!BU20="."),up_dir!X20/((1/1000)*(up_Irr!W20+up_Irr!AV20)),IF(AND(up_Irr!W20&lt;&gt;".",up_Irr!AV20=".",up_Irr!BU20&lt;&gt;"."),up_dir!X20/((1/1000)*(up_Irr!W20+up_Irr!BU20)),IF(AND(up_Irr!W20=".",up_Irr!AV20&lt;&gt;".",up_Irr!BU20&lt;&gt;"."),up_dir!X20/((1/1000)*(up_Irr!AV20+up_Irr!BU20)),IF(AND(up_Irr!W20=".",up_Irr!AV20=".",up_Irr!BU20&lt;&gt;"."),up_dir!X20/((1/1000)*(up_Irr!BU20)),IF(AND(up_Irr!W20=".",up_Irr!AV20&lt;&gt;".",up_Irr!BU20="."),up_dir!X20/((1/1000)*(up_Irr!AV20)),IF(AND(up_Irr!W20&lt;&gt;".",up_Irr!AV20=".",up_Irr!BU20="."),up_dir!X20/((1/1000)*(up_Irr!W20)),IF(AND(up_Irr!W20=".",up_Irr!AV20=".",up_Irr!BU20="."),up_dir!X20*1000)))))))),".")</f>
        <v>6.5773651144152123E-11</v>
      </c>
      <c r="Y20" s="76">
        <f>IFERROR(IF(AND(up_Irr!X20&lt;&gt;".",up_Irr!AW20&lt;&gt;".",up_Irr!BV20&lt;&gt;"."),up_dir!Y20/((1/1000)*(up_Irr!X20+up_Irr!AW20+up_Irr!BV20)),IF(AND(up_Irr!X20&lt;&gt;".",up_Irr!AW20&lt;&gt;".",up_Irr!BV20="."),up_dir!Y20/((1/1000)*(up_Irr!X20+up_Irr!AW20)),IF(AND(up_Irr!X20&lt;&gt;".",up_Irr!AW20=".",up_Irr!BV20&lt;&gt;"."),up_dir!Y20/((1/1000)*(up_Irr!X20+up_Irr!BV20)),IF(AND(up_Irr!X20=".",up_Irr!AW20&lt;&gt;".",up_Irr!BV20&lt;&gt;"."),up_dir!Y20/((1/1000)*(up_Irr!AW20+up_Irr!BV20)),IF(AND(up_Irr!X20=".",up_Irr!AW20=".",up_Irr!BV20&lt;&gt;"."),up_dir!Y20/((1/1000)*(up_Irr!BV20)),IF(AND(up_Irr!X20=".",up_Irr!AW20&lt;&gt;".",up_Irr!BV20="."),up_dir!Y20/((1/1000)*(up_Irr!AW20)),IF(AND(up_Irr!X20&lt;&gt;".",up_Irr!AW20=".",up_Irr!BV20="."),up_dir!Y20/((1/1000)*(up_Irr!X20)),IF(AND(up_Irr!X20=".",up_Irr!AW20=".",up_Irr!BV20="."),up_dir!Y20*1000)))))))),".")</f>
        <v>6.5773651144152123E-11</v>
      </c>
      <c r="Z20" s="76">
        <f>IFERROR(IF(AND(up_Irr!Y20&lt;&gt;".",up_Irr!AX20&lt;&gt;".",up_Irr!BW20&lt;&gt;"."),up_dir!Z20/((1/1000)*(up_Irr!Y20+up_Irr!AX20+up_Irr!BW20)),IF(AND(up_Irr!Y20&lt;&gt;".",up_Irr!AX20&lt;&gt;".",up_Irr!BW20="."),up_dir!Z20/((1/1000)*(up_Irr!Y20+up_Irr!AX20)),IF(AND(up_Irr!Y20&lt;&gt;".",up_Irr!AX20=".",up_Irr!BW20&lt;&gt;"."),up_dir!Z20/((1/1000)*(up_Irr!Y20+up_Irr!BW20)),IF(AND(up_Irr!Y20=".",up_Irr!AX20&lt;&gt;".",up_Irr!BW20&lt;&gt;"."),up_dir!Z20/((1/1000)*(up_Irr!AX20+up_Irr!BW20)),IF(AND(up_Irr!Y20=".",up_Irr!AX20=".",up_Irr!BW20&lt;&gt;"."),up_dir!Z20/((1/1000)*(up_Irr!BW20)),IF(AND(up_Irr!Y20=".",up_Irr!AX20&lt;&gt;".",up_Irr!BW20="."),up_dir!Z20/((1/1000)*(up_Irr!AX20)),IF(AND(up_Irr!Y20&lt;&gt;".",up_Irr!AX20=".",up_Irr!BW20="."),up_dir!Z20/((1/1000)*(up_Irr!Y20)),IF(AND(up_Irr!Y20=".",up_Irr!AX20=".",up_Irr!BW20="."),up_dir!Z20*1000)))))))),".")</f>
        <v>6.5773651144152123E-11</v>
      </c>
      <c r="AA20" s="76">
        <f>IFERROR(IF(AND(up_Irr!Z20&lt;&gt;".",up_Irr!AY20&lt;&gt;".",up_Irr!BX20&lt;&gt;"."),up_dir!AA20/((1/1000)*(up_Irr!Z20+up_Irr!AY20+up_Irr!BX20)),IF(AND(up_Irr!Z20&lt;&gt;".",up_Irr!AY20&lt;&gt;".",up_Irr!BX20="."),up_dir!AA20/((1/1000)*(up_Irr!Z20+up_Irr!AY20)),IF(AND(up_Irr!Z20&lt;&gt;".",up_Irr!AY20=".",up_Irr!BX20&lt;&gt;"."),up_dir!AA20/((1/1000)*(up_Irr!Z20+up_Irr!BX20)),IF(AND(up_Irr!Z20=".",up_Irr!AY20&lt;&gt;".",up_Irr!BX20&lt;&gt;"."),up_dir!AA20/((1/1000)*(up_Irr!AY20+up_Irr!BX20)),IF(AND(up_Irr!Z20=".",up_Irr!AY20=".",up_Irr!BX20&lt;&gt;"."),up_dir!AA20/((1/1000)*(up_Irr!BX20)),IF(AND(up_Irr!Z20=".",up_Irr!AY20&lt;&gt;".",up_Irr!BX20="."),up_dir!AA20/((1/1000)*(up_Irr!AY20)),IF(AND(up_Irr!Z20&lt;&gt;".",up_Irr!AY20=".",up_Irr!BX20="."),up_dir!AA20/((1/1000)*(up_Irr!Z20)),IF(AND(up_Irr!Z20=".",up_Irr!AY20=".",up_Irr!BX20="."),up_dir!AA20*1000)))))))),".")</f>
        <v>6.5773651144152123E-11</v>
      </c>
      <c r="AB20" s="76">
        <f>IFERROR(IF(AND(up_Irr!AA20&lt;&gt;".",up_Irr!AZ20&lt;&gt;".",up_Irr!BY20&lt;&gt;"."),up_dir!AB20/((1/1000)*(up_Irr!AA20+up_Irr!AZ20+up_Irr!BY20)),IF(AND(up_Irr!AA20&lt;&gt;".",up_Irr!AZ20&lt;&gt;".",up_Irr!BY20="."),up_dir!AB20/((1/1000)*(up_Irr!AA20+up_Irr!AZ20)),IF(AND(up_Irr!AA20&lt;&gt;".",up_Irr!AZ20=".",up_Irr!BY20&lt;&gt;"."),up_dir!AB20/((1/1000)*(up_Irr!AA20+up_Irr!BY20)),IF(AND(up_Irr!AA20=".",up_Irr!AZ20&lt;&gt;".",up_Irr!BY20&lt;&gt;"."),up_dir!AB20/((1/1000)*(up_Irr!AZ20+up_Irr!BY20)),IF(AND(up_Irr!AA20=".",up_Irr!AZ20=".",up_Irr!BY20&lt;&gt;"."),up_dir!AB20/((1/1000)*(up_Irr!BY20)),IF(AND(up_Irr!AA20=".",up_Irr!AZ20&lt;&gt;".",up_Irr!BY20="."),up_dir!AB20/((1/1000)*(up_Irr!AZ20)),IF(AND(up_Irr!AA20&lt;&gt;".",up_Irr!AZ20=".",up_Irr!BY20="."),up_dir!AB20/((1/1000)*(up_Irr!AA20)),IF(AND(up_Irr!AA20=".",up_Irr!AZ20=".",up_Irr!BY20="."),up_dir!AB20*1000)))))))),".")</f>
        <v>6.5773651144152123E-11</v>
      </c>
      <c r="AC20" s="93">
        <f t="shared" si="1"/>
        <v>608146.26076229871</v>
      </c>
      <c r="AD20" s="93">
        <f>IFERROR(s_C*s_IFAP_res_adj*s_CF_apple*0.001*(up_Irr!C20+up_Irr!AB20+up_Irr!BA20),".")</f>
        <v>152036.56519057468</v>
      </c>
      <c r="AE20" s="93">
        <f>IFERROR(s_C*s_IFAS_res_adj*s_CF_asparagus*0.001*(up_Irr!D20+up_Irr!AC20+up_Irr!BB20),".")</f>
        <v>152036.56519057468</v>
      </c>
      <c r="AF20" s="93">
        <f>IFERROR(s_C*s_IFBT_res_adj*s_CF_beet*0.001*(up_Irr!E20+up_Irr!AD20+up_Irr!BC20),".")</f>
        <v>152036.56519057468</v>
      </c>
      <c r="AG20" s="93">
        <f>IFERROR(s_C*s_IFBE_res_adj*s_CF_berries*0.001*(up_Irr!F20+up_Irr!AE20+up_Irr!BD20),".")</f>
        <v>152036.56519057468</v>
      </c>
      <c r="AH20" s="93">
        <f>IFERROR(s_C*s_IFBR_res_adj*s_CF_broccoli*0.001*(up_Irr!G20+up_Irr!AF20+up_Irr!BE20),".")</f>
        <v>152036.56519057468</v>
      </c>
      <c r="AI20" s="93">
        <f>IFERROR(s_C*s_IFCB_res_adj*s_CF_cabbage*0.001*(up_Irr!H20+up_Irr!AG20+up_Irr!BF20),".")</f>
        <v>152036.56519057468</v>
      </c>
      <c r="AJ20" s="93">
        <f>IFERROR(s_C*s_IFCR_res_adj*s_CF_carrot*0.001*(up_Irr!I20+up_Irr!AH20+up_Irr!BG20),".")</f>
        <v>152036.56519057468</v>
      </c>
      <c r="AK20" s="93">
        <f>IFERROR(s_C*s_IFCI_res_adj*s_CF_citrus*0.001*(up_Irr!J20+up_Irr!AI20+up_Irr!BH20),".")</f>
        <v>152036.56519057468</v>
      </c>
      <c r="AL20" s="93">
        <f>IFERROR(s_C*s_IFCO_res_adj*s_CF_corn*0.001*(up_Irr!K20+up_Irr!AJ20+up_Irr!BI20),".")</f>
        <v>152036.56519057468</v>
      </c>
      <c r="AM20" s="93">
        <f>IFERROR(s_C*s_IFCU_res_adj*s_CF_cucumber*0.001*(up_Irr!L20+up_Irr!AK20+up_Irr!BJ20),".")</f>
        <v>152036.56519057468</v>
      </c>
      <c r="AN20" s="93">
        <f>IFERROR(s_C*s_IFLE_res_adj*s_CF_lettuce*0.001*(up_Irr!M20+up_Irr!AL20+up_Irr!BK20),".")</f>
        <v>152036.56519057468</v>
      </c>
      <c r="AO20" s="93">
        <f>IFERROR(s_C*s_IFLI_res_adj*s_CF_lima_bean*0.001*(up_Irr!N20+up_Irr!AM20+up_Irr!BL20),".")</f>
        <v>152036.56519057468</v>
      </c>
      <c r="AP20" s="93">
        <f>IFERROR(s_C*s_IFOK_res_adj*s_CF_okra*0.001*(up_Irr!O20+up_Irr!AN20+up_Irr!BM20),".")</f>
        <v>152036.56519057468</v>
      </c>
      <c r="AQ20" s="93">
        <f>IFERROR(s_C*s_IFON_res_adj*s_CF_onion*0.001*(up_Irr!P20+up_Irr!AO20+up_Irr!BN20),".")</f>
        <v>152036.56519057468</v>
      </c>
      <c r="AR20" s="93">
        <f>IFERROR(s_C*s_IFPC_res_adj*s_CF_peach*0.001*(up_Irr!Q20+up_Irr!AP20+up_Irr!BO20),".")</f>
        <v>152036.56519057468</v>
      </c>
      <c r="AS20" s="93">
        <f>IFERROR(s_C*s_IFPR_res_adj*s_CF_pear*0.001*(up_Irr!R20+up_Irr!AQ20+up_Irr!BP20),".")</f>
        <v>152036.56519057468</v>
      </c>
      <c r="AT20" s="93">
        <f>IFERROR(s_C*s_IFPE_res_adj*s_CF_peas*0.001*(up_Irr!S20+up_Irr!AR20+up_Irr!BQ20),".")</f>
        <v>152036.56519057468</v>
      </c>
      <c r="AU20" s="93">
        <f>IFERROR(s_C*s_IFPP_res_adj*s_CF_peppers*0.001*(up_Irr!T20+up_Irr!AS20+up_Irr!BR20),".")</f>
        <v>152036.56519057468</v>
      </c>
      <c r="AV20" s="93">
        <f>IFERROR(s_C*s_IFPT_res_adj*s_CF_potato*0.001*(up_Irr!U20+up_Irr!AT20+up_Irr!BS20),".")</f>
        <v>152036.56519057468</v>
      </c>
      <c r="AW20" s="93">
        <f>IFERROR(s_C*s_IFPU_res_adj*s_CF_pumpkin*0.001*(up_Irr!V20+up_Irr!AU20+up_Irr!BT20),".")</f>
        <v>152036.56519057468</v>
      </c>
      <c r="AX20" s="93">
        <f>IFERROR(s_C*s_IFSN_res_adj*s_CF_snap_bean*0.001*(up_Irr!W20+up_Irr!AV20+up_Irr!BU20),".")</f>
        <v>152036.56519057468</v>
      </c>
      <c r="AY20" s="93">
        <f>IFERROR(s_C*s_IFST_res_adj*s_CF_strawberry*0.001*(up_Irr!X20+up_Irr!AW20+up_Irr!BV20),".")</f>
        <v>152036.56519057468</v>
      </c>
      <c r="AZ20" s="93">
        <f>IFERROR(s_C*s_IFTO_res_adj*s_CF_tomato*0.001*(up_Irr!Y20+up_Irr!AX20+up_Irr!BW20),".")</f>
        <v>152036.56519057468</v>
      </c>
      <c r="BA20" s="93">
        <f>IFERROR(s_C*s_IFRI_res_adj*s_CF_rice*0.001*(up_Irr!Z20+up_Irr!AY20+up_Irr!BX20),".")</f>
        <v>152036.56519057468</v>
      </c>
      <c r="BB20" s="93">
        <f>IFERROR(s_C*s_IFCG_res_adj*s_CF_cereal*0.001*(up_Irr!AA20+up_Irr!AZ20+up_Irr!BY20),".")</f>
        <v>152036.56519057468</v>
      </c>
      <c r="BC20" s="76">
        <f t="shared" si="2"/>
        <v>1.6443412786038031E-11</v>
      </c>
      <c r="BD20" s="76">
        <f>IFERROR(IF(AND(up_Irr!C20&lt;&gt;".",up_Irr!AB20&lt;&gt;".",up_Irr!BA20&lt;&gt;"."),up_dir!AD20/((1/1000)*(up_Irr!C20+up_Irr!AB20+up_Irr!BA20)),IF(AND(up_Irr!C20&lt;&gt;".",up_Irr!AB20&lt;&gt;".",up_Irr!BA20="."),up_dir!AD20/((1/1000)*(up_Irr!C20+up_Irr!AB20)),IF(AND(up_Irr!C20&lt;&gt;".",up_Irr!AB20=".",up_Irr!BA20&lt;&gt;"."),up_dir!AD20/((1/1000)*(up_Irr!C20+up_Irr!BA20)),IF(AND(up_Irr!C20=".",up_Irr!AB20&lt;&gt;".",up_Irr!BA20&lt;&gt;"."),up_dir!AD20/((1/1000)*(up_Irr!AB20+up_Irr!BA20)),IF(AND(up_Irr!C20=".",up_Irr!AB20=".",up_Irr!BA20&lt;&gt;"."),up_dir!AD20/((1/1000)*(up_Irr!BA20)),IF(AND(up_Irr!C20=".",up_Irr!AB20&lt;&gt;".",up_Irr!BA20="."),up_dir!AD20/((1/1000)*(up_Irr!AB20)),IF(AND(up_Irr!C20&lt;&gt;".",up_Irr!AB20=".",up_Irr!BA20="."),up_dir!AD20/((1/1000)*(up_Irr!C20)),IF(AND(up_Irr!C20=".",up_Irr!AB20=".",up_Irr!BA20="."),up_dir!AD20*1000)))))))),".")</f>
        <v>6.5773651144152123E-11</v>
      </c>
      <c r="BE20" s="76">
        <f>IFERROR(IF(AND(up_Irr!D20&lt;&gt;".",up_Irr!AC20&lt;&gt;".",up_Irr!BB20&lt;&gt;"."),up_dir!AE20/((1/1000)*(up_Irr!D20+up_Irr!AC20+up_Irr!BB20)),IF(AND(up_Irr!D20&lt;&gt;".",up_Irr!AC20&lt;&gt;".",up_Irr!BB20="."),up_dir!AE20/((1/1000)*(up_Irr!D20+up_Irr!AC20)),IF(AND(up_Irr!D20&lt;&gt;".",up_Irr!AC20=".",up_Irr!BB20&lt;&gt;"."),up_dir!AE20/((1/1000)*(up_Irr!D20+up_Irr!BB20)),IF(AND(up_Irr!D20=".",up_Irr!AC20&lt;&gt;".",up_Irr!BB20&lt;&gt;"."),up_dir!AE20/((1/1000)*(up_Irr!AC20+up_Irr!BB20)),IF(AND(up_Irr!D20=".",up_Irr!AC20=".",up_Irr!BB20&lt;&gt;"."),up_dir!AE20/((1/1000)*(up_Irr!BB20)),IF(AND(up_Irr!D20=".",up_Irr!AC20&lt;&gt;".",up_Irr!BB20="."),up_dir!AE20/((1/1000)*(up_Irr!AC20)),IF(AND(up_Irr!D20&lt;&gt;".",up_Irr!AC20=".",up_Irr!BB20="."),up_dir!AE20/((1/1000)*(up_Irr!D20)),IF(AND(up_Irr!D20=".",up_Irr!AC20=".",up_Irr!BB20="."),up_dir!AE20*1000)))))))),".")</f>
        <v>6.5773651144152123E-11</v>
      </c>
      <c r="BF20" s="76">
        <f>IFERROR(IF(AND(up_Irr!E20&lt;&gt;".",up_Irr!AD20&lt;&gt;".",up_Irr!BC20&lt;&gt;"."),up_dir!AF20/((1/1000)*(up_Irr!E20+up_Irr!AD20+up_Irr!BC20)),IF(AND(up_Irr!E20&lt;&gt;".",up_Irr!AD20&lt;&gt;".",up_Irr!BC20="."),up_dir!AF20/((1/1000)*(up_Irr!E20+up_Irr!AD20)),IF(AND(up_Irr!E20&lt;&gt;".",up_Irr!AD20=".",up_Irr!BC20&lt;&gt;"."),up_dir!AF20/((1/1000)*(up_Irr!E20+up_Irr!BC20)),IF(AND(up_Irr!E20=".",up_Irr!AD20&lt;&gt;".",up_Irr!BC20&lt;&gt;"."),up_dir!AF20/((1/1000)*(up_Irr!AD20+up_Irr!BC20)),IF(AND(up_Irr!E20=".",up_Irr!AD20=".",up_Irr!BC20&lt;&gt;"."),up_dir!AF20/((1/1000)*(up_Irr!BC20)),IF(AND(up_Irr!E20=".",up_Irr!AD20&lt;&gt;".",up_Irr!BC20="."),up_dir!AF20/((1/1000)*(up_Irr!AD20)),IF(AND(up_Irr!E20&lt;&gt;".",up_Irr!AD20=".",up_Irr!BC20="."),up_dir!AF20/((1/1000)*(up_Irr!E20)),IF(AND(up_Irr!E20=".",up_Irr!AD20=".",up_Irr!BC20="."),up_dir!AF20*1000)))))))),".")</f>
        <v>6.5773651144152123E-11</v>
      </c>
      <c r="BG20" s="76">
        <f>IFERROR(IF(AND(up_Irr!F20&lt;&gt;".",up_Irr!AE20&lt;&gt;".",up_Irr!BD20&lt;&gt;"."),up_dir!AG20/((1/1000)*(up_Irr!F20+up_Irr!AE20+up_Irr!BD20)),IF(AND(up_Irr!F20&lt;&gt;".",up_Irr!AE20&lt;&gt;".",up_Irr!BD20="."),up_dir!AG20/((1/1000)*(up_Irr!F20+up_Irr!AE20)),IF(AND(up_Irr!F20&lt;&gt;".",up_Irr!AE20=".",up_Irr!BD20&lt;&gt;"."),up_dir!AG20/((1/1000)*(up_Irr!F20+up_Irr!BD20)),IF(AND(up_Irr!F20=".",up_Irr!AE20&lt;&gt;".",up_Irr!BD20&lt;&gt;"."),up_dir!AG20/((1/1000)*(up_Irr!AE20+up_Irr!BD20)),IF(AND(up_Irr!F20=".",up_Irr!AE20=".",up_Irr!BD20&lt;&gt;"."),up_dir!AG20/((1/1000)*(up_Irr!BD20)),IF(AND(up_Irr!F20=".",up_Irr!AE20&lt;&gt;".",up_Irr!BD20="."),up_dir!AG20/((1/1000)*(up_Irr!AE20)),IF(AND(up_Irr!F20&lt;&gt;".",up_Irr!AE20=".",up_Irr!BD20="."),up_dir!AG20/((1/1000)*(up_Irr!F20)),IF(AND(up_Irr!F20=".",up_Irr!AE20=".",up_Irr!BD20="."),up_dir!AG20*1000)))))))),".")</f>
        <v>6.5773651144152123E-11</v>
      </c>
      <c r="BH20" s="76">
        <f>IFERROR(IF(AND(up_Irr!G20&lt;&gt;".",up_Irr!AF20&lt;&gt;".",up_Irr!BE20&lt;&gt;"."),up_dir!AH20/((1/1000)*(up_Irr!G20+up_Irr!AF20+up_Irr!BE20)),IF(AND(up_Irr!G20&lt;&gt;".",up_Irr!AF20&lt;&gt;".",up_Irr!BE20="."),up_dir!AH20/((1/1000)*(up_Irr!G20+up_Irr!AF20)),IF(AND(up_Irr!G20&lt;&gt;".",up_Irr!AF20=".",up_Irr!BE20&lt;&gt;"."),up_dir!AH20/((1/1000)*(up_Irr!G20+up_Irr!BE20)),IF(AND(up_Irr!G20=".",up_Irr!AF20&lt;&gt;".",up_Irr!BE20&lt;&gt;"."),up_dir!AH20/((1/1000)*(up_Irr!AF20+up_Irr!BE20)),IF(AND(up_Irr!G20=".",up_Irr!AF20=".",up_Irr!BE20&lt;&gt;"."),up_dir!AH20/((1/1000)*(up_Irr!BE20)),IF(AND(up_Irr!G20=".",up_Irr!AF20&lt;&gt;".",up_Irr!BE20="."),up_dir!AH20/((1/1000)*(up_Irr!AF20)),IF(AND(up_Irr!G20&lt;&gt;".",up_Irr!AF20=".",up_Irr!BE20="."),up_dir!AH20/((1/1000)*(up_Irr!G20)),IF(AND(up_Irr!G20=".",up_Irr!AF20=".",up_Irr!BE20="."),up_dir!AH20*1000)))))))),".")</f>
        <v>6.5773651144152123E-11</v>
      </c>
      <c r="BI20" s="76">
        <f>IFERROR(IF(AND(up_Irr!H20&lt;&gt;".",up_Irr!AG20&lt;&gt;".",up_Irr!BF20&lt;&gt;"."),up_dir!AI20/((1/1000)*(up_Irr!H20+up_Irr!AG20+up_Irr!BF20)),IF(AND(up_Irr!H20&lt;&gt;".",up_Irr!AG20&lt;&gt;".",up_Irr!BF20="."),up_dir!AI20/((1/1000)*(up_Irr!H20+up_Irr!AG20)),IF(AND(up_Irr!H20&lt;&gt;".",up_Irr!AG20=".",up_Irr!BF20&lt;&gt;"."),up_dir!AI20/((1/1000)*(up_Irr!H20+up_Irr!BF20)),IF(AND(up_Irr!H20=".",up_Irr!AG20&lt;&gt;".",up_Irr!BF20&lt;&gt;"."),up_dir!AI20/((1/1000)*(up_Irr!AG20+up_Irr!BF20)),IF(AND(up_Irr!H20=".",up_Irr!AG20=".",up_Irr!BF20&lt;&gt;"."),up_dir!AI20/((1/1000)*(up_Irr!BF20)),IF(AND(up_Irr!H20=".",up_Irr!AG20&lt;&gt;".",up_Irr!BF20="."),up_dir!AI20/((1/1000)*(up_Irr!AG20)),IF(AND(up_Irr!H20&lt;&gt;".",up_Irr!AG20=".",up_Irr!BF20="."),up_dir!AI20/((1/1000)*(up_Irr!H20)),IF(AND(up_Irr!H20=".",up_Irr!AG20=".",up_Irr!BF20="."),up_dir!AI20*1000)))))))),".")</f>
        <v>6.5773651144152123E-11</v>
      </c>
      <c r="BJ20" s="76">
        <f>IFERROR(IF(AND(up_Irr!I20&lt;&gt;".",up_Irr!AH20&lt;&gt;".",up_Irr!BG20&lt;&gt;"."),up_dir!AJ20/((1/1000)*(up_Irr!I20+up_Irr!AH20+up_Irr!BG20)),IF(AND(up_Irr!I20&lt;&gt;".",up_Irr!AH20&lt;&gt;".",up_Irr!BG20="."),up_dir!AJ20/((1/1000)*(up_Irr!I20+up_Irr!AH20)),IF(AND(up_Irr!I20&lt;&gt;".",up_Irr!AH20=".",up_Irr!BG20&lt;&gt;"."),up_dir!AJ20/((1/1000)*(up_Irr!I20+up_Irr!BG20)),IF(AND(up_Irr!I20=".",up_Irr!AH20&lt;&gt;".",up_Irr!BG20&lt;&gt;"."),up_dir!AJ20/((1/1000)*(up_Irr!AH20+up_Irr!BG20)),IF(AND(up_Irr!I20=".",up_Irr!AH20=".",up_Irr!BG20&lt;&gt;"."),up_dir!AJ20/((1/1000)*(up_Irr!BG20)),IF(AND(up_Irr!I20=".",up_Irr!AH20&lt;&gt;".",up_Irr!BG20="."),up_dir!AJ20/((1/1000)*(up_Irr!AH20)),IF(AND(up_Irr!I20&lt;&gt;".",up_Irr!AH20=".",up_Irr!BG20="."),up_dir!AJ20/((1/1000)*(up_Irr!I20)),IF(AND(up_Irr!I20=".",up_Irr!AH20=".",up_Irr!BG20="."),up_dir!AJ20*1000)))))))),".")</f>
        <v>6.5773651144152123E-11</v>
      </c>
      <c r="BK20" s="76">
        <f>IFERROR(IF(AND(up_Irr!J20&lt;&gt;".",up_Irr!AI20&lt;&gt;".",up_Irr!BH20&lt;&gt;"."),up_dir!AK20/((1/1000)*(up_Irr!J20+up_Irr!AI20+up_Irr!BH20)),IF(AND(up_Irr!J20&lt;&gt;".",up_Irr!AI20&lt;&gt;".",up_Irr!BH20="."),up_dir!AK20/((1/1000)*(up_Irr!J20+up_Irr!AI20)),IF(AND(up_Irr!J20&lt;&gt;".",up_Irr!AI20=".",up_Irr!BH20&lt;&gt;"."),up_dir!AK20/((1/1000)*(up_Irr!J20+up_Irr!BH20)),IF(AND(up_Irr!J20=".",up_Irr!AI20&lt;&gt;".",up_Irr!BH20&lt;&gt;"."),up_dir!AK20/((1/1000)*(up_Irr!AI20+up_Irr!BH20)),IF(AND(up_Irr!J20=".",up_Irr!AI20=".",up_Irr!BH20&lt;&gt;"."),up_dir!AK20/((1/1000)*(up_Irr!BH20)),IF(AND(up_Irr!J20=".",up_Irr!AI20&lt;&gt;".",up_Irr!BH20="."),up_dir!AK20/((1/1000)*(up_Irr!AI20)),IF(AND(up_Irr!J20&lt;&gt;".",up_Irr!AI20=".",up_Irr!BH20="."),up_dir!AK20/((1/1000)*(up_Irr!J20)),IF(AND(up_Irr!J20=".",up_Irr!AI20=".",up_Irr!BH20="."),up_dir!AK20*1000)))))))),".")</f>
        <v>6.5773651144152123E-11</v>
      </c>
      <c r="BL20" s="76">
        <f>IFERROR(IF(AND(up_Irr!K20&lt;&gt;".",up_Irr!AJ20&lt;&gt;".",up_Irr!BI20&lt;&gt;"."),up_dir!AL20/((1/1000)*(up_Irr!K20+up_Irr!AJ20+up_Irr!BI20)),IF(AND(up_Irr!K20&lt;&gt;".",up_Irr!AJ20&lt;&gt;".",up_Irr!BI20="."),up_dir!AL20/((1/1000)*(up_Irr!K20+up_Irr!AJ20)),IF(AND(up_Irr!K20&lt;&gt;".",up_Irr!AJ20=".",up_Irr!BI20&lt;&gt;"."),up_dir!AL20/((1/1000)*(up_Irr!K20+up_Irr!BI20)),IF(AND(up_Irr!K20=".",up_Irr!AJ20&lt;&gt;".",up_Irr!BI20&lt;&gt;"."),up_dir!AL20/((1/1000)*(up_Irr!AJ20+up_Irr!BI20)),IF(AND(up_Irr!K20=".",up_Irr!AJ20=".",up_Irr!BI20&lt;&gt;"."),up_dir!AL20/((1/1000)*(up_Irr!BI20)),IF(AND(up_Irr!K20=".",up_Irr!AJ20&lt;&gt;".",up_Irr!BI20="."),up_dir!AL20/((1/1000)*(up_Irr!AJ20)),IF(AND(up_Irr!K20&lt;&gt;".",up_Irr!AJ20=".",up_Irr!BI20="."),up_dir!AL20/((1/1000)*(up_Irr!K20)),IF(AND(up_Irr!K20=".",up_Irr!AJ20=".",up_Irr!BI20="."),up_dir!AL20*1000)))))))),".")</f>
        <v>6.5773651144152123E-11</v>
      </c>
      <c r="BM20" s="76">
        <f>IFERROR(IF(AND(up_Irr!L20&lt;&gt;".",up_Irr!AK20&lt;&gt;".",up_Irr!BJ20&lt;&gt;"."),up_dir!AM20/((1/1000)*(up_Irr!L20+up_Irr!AK20+up_Irr!BJ20)),IF(AND(up_Irr!L20&lt;&gt;".",up_Irr!AK20&lt;&gt;".",up_Irr!BJ20="."),up_dir!AM20/((1/1000)*(up_Irr!L20+up_Irr!AK20)),IF(AND(up_Irr!L20&lt;&gt;".",up_Irr!AK20=".",up_Irr!BJ20&lt;&gt;"."),up_dir!AM20/((1/1000)*(up_Irr!L20+up_Irr!BJ20)),IF(AND(up_Irr!L20=".",up_Irr!AK20&lt;&gt;".",up_Irr!BJ20&lt;&gt;"."),up_dir!AM20/((1/1000)*(up_Irr!AK20+up_Irr!BJ20)),IF(AND(up_Irr!L20=".",up_Irr!AK20=".",up_Irr!BJ20&lt;&gt;"."),up_dir!AM20/((1/1000)*(up_Irr!BJ20)),IF(AND(up_Irr!L20=".",up_Irr!AK20&lt;&gt;".",up_Irr!BJ20="."),up_dir!AM20/((1/1000)*(up_Irr!AK20)),IF(AND(up_Irr!L20&lt;&gt;".",up_Irr!AK20=".",up_Irr!BJ20="."),up_dir!AM20/((1/1000)*(up_Irr!L20)),IF(AND(up_Irr!L20=".",up_Irr!AK20=".",up_Irr!BJ20="."),up_dir!AM20*1000)))))))),".")</f>
        <v>6.5773651144152123E-11</v>
      </c>
      <c r="BN20" s="76">
        <f>IFERROR(IF(AND(up_Irr!M20&lt;&gt;".",up_Irr!AL20&lt;&gt;".",up_Irr!BK20&lt;&gt;"."),up_dir!AN20/((1/1000)*(up_Irr!M20+up_Irr!AL20+up_Irr!BK20)),IF(AND(up_Irr!M20&lt;&gt;".",up_Irr!AL20&lt;&gt;".",up_Irr!BK20="."),up_dir!AN20/((1/1000)*(up_Irr!M20+up_Irr!AL20)),IF(AND(up_Irr!M20&lt;&gt;".",up_Irr!AL20=".",up_Irr!BK20&lt;&gt;"."),up_dir!AN20/((1/1000)*(up_Irr!M20+up_Irr!BK20)),IF(AND(up_Irr!M20=".",up_Irr!AL20&lt;&gt;".",up_Irr!BK20&lt;&gt;"."),up_dir!AN20/((1/1000)*(up_Irr!AL20+up_Irr!BK20)),IF(AND(up_Irr!M20=".",up_Irr!AL20=".",up_Irr!BK20&lt;&gt;"."),up_dir!AN20/((1/1000)*(up_Irr!BK20)),IF(AND(up_Irr!M20=".",up_Irr!AL20&lt;&gt;".",up_Irr!BK20="."),up_dir!AN20/((1/1000)*(up_Irr!AL20)),IF(AND(up_Irr!M20&lt;&gt;".",up_Irr!AL20=".",up_Irr!BK20="."),up_dir!AN20/((1/1000)*(up_Irr!M20)),IF(AND(up_Irr!M20=".",up_Irr!AL20=".",up_Irr!BK20="."),up_dir!AN20*1000)))))))),".")</f>
        <v>6.5773651144152123E-11</v>
      </c>
      <c r="BO20" s="76">
        <f>IFERROR(IF(AND(up_Irr!N20&lt;&gt;".",up_Irr!AM20&lt;&gt;".",up_Irr!BL20&lt;&gt;"."),up_dir!AO20/((1/1000)*(up_Irr!N20+up_Irr!AM20+up_Irr!BL20)),IF(AND(up_Irr!N20&lt;&gt;".",up_Irr!AM20&lt;&gt;".",up_Irr!BL20="."),up_dir!AO20/((1/1000)*(up_Irr!N20+up_Irr!AM20)),IF(AND(up_Irr!N20&lt;&gt;".",up_Irr!AM20=".",up_Irr!BL20&lt;&gt;"."),up_dir!AO20/((1/1000)*(up_Irr!N20+up_Irr!BL20)),IF(AND(up_Irr!N20=".",up_Irr!AM20&lt;&gt;".",up_Irr!BL20&lt;&gt;"."),up_dir!AO20/((1/1000)*(up_Irr!AM20+up_Irr!BL20)),IF(AND(up_Irr!N20=".",up_Irr!AM20=".",up_Irr!BL20&lt;&gt;"."),up_dir!AO20/((1/1000)*(up_Irr!BL20)),IF(AND(up_Irr!N20=".",up_Irr!AM20&lt;&gt;".",up_Irr!BL20="."),up_dir!AO20/((1/1000)*(up_Irr!AM20)),IF(AND(up_Irr!N20&lt;&gt;".",up_Irr!AM20=".",up_Irr!BL20="."),up_dir!AO20/((1/1000)*(up_Irr!N20)),IF(AND(up_Irr!N20=".",up_Irr!AM20=".",up_Irr!BL20="."),up_dir!AO20*1000)))))))),".")</f>
        <v>6.5773651144152123E-11</v>
      </c>
      <c r="BP20" s="76">
        <f>IFERROR(IF(AND(up_Irr!O20&lt;&gt;".",up_Irr!AN20&lt;&gt;".",up_Irr!BM20&lt;&gt;"."),up_dir!AP20/((1/1000)*(up_Irr!O20+up_Irr!AN20+up_Irr!BM20)),IF(AND(up_Irr!O20&lt;&gt;".",up_Irr!AN20&lt;&gt;".",up_Irr!BM20="."),up_dir!AP20/((1/1000)*(up_Irr!O20+up_Irr!AN20)),IF(AND(up_Irr!O20&lt;&gt;".",up_Irr!AN20=".",up_Irr!BM20&lt;&gt;"."),up_dir!AP20/((1/1000)*(up_Irr!O20+up_Irr!BM20)),IF(AND(up_Irr!O20=".",up_Irr!AN20&lt;&gt;".",up_Irr!BM20&lt;&gt;"."),up_dir!AP20/((1/1000)*(up_Irr!AN20+up_Irr!BM20)),IF(AND(up_Irr!O20=".",up_Irr!AN20=".",up_Irr!BM20&lt;&gt;"."),up_dir!AP20/((1/1000)*(up_Irr!BM20)),IF(AND(up_Irr!O20=".",up_Irr!AN20&lt;&gt;".",up_Irr!BM20="."),up_dir!AP20/((1/1000)*(up_Irr!AN20)),IF(AND(up_Irr!O20&lt;&gt;".",up_Irr!AN20=".",up_Irr!BM20="."),up_dir!AP20/((1/1000)*(up_Irr!O20)),IF(AND(up_Irr!O20=".",up_Irr!AN20=".",up_Irr!BM20="."),up_dir!AP20*1000)))))))),".")</f>
        <v>6.5773651144152123E-11</v>
      </c>
      <c r="BQ20" s="76">
        <f>IFERROR(IF(AND(up_Irr!P20&lt;&gt;".",up_Irr!AO20&lt;&gt;".",up_Irr!BN20&lt;&gt;"."),up_dir!AQ20/((1/1000)*(up_Irr!P20+up_Irr!AO20+up_Irr!BN20)),IF(AND(up_Irr!P20&lt;&gt;".",up_Irr!AO20&lt;&gt;".",up_Irr!BN20="."),up_dir!AQ20/((1/1000)*(up_Irr!P20+up_Irr!AO20)),IF(AND(up_Irr!P20&lt;&gt;".",up_Irr!AO20=".",up_Irr!BN20&lt;&gt;"."),up_dir!AQ20/((1/1000)*(up_Irr!P20+up_Irr!BN20)),IF(AND(up_Irr!P20=".",up_Irr!AO20&lt;&gt;".",up_Irr!BN20&lt;&gt;"."),up_dir!AQ20/((1/1000)*(up_Irr!AO20+up_Irr!BN20)),IF(AND(up_Irr!P20=".",up_Irr!AO20=".",up_Irr!BN20&lt;&gt;"."),up_dir!AQ20/((1/1000)*(up_Irr!BN20)),IF(AND(up_Irr!P20=".",up_Irr!AO20&lt;&gt;".",up_Irr!BN20="."),up_dir!AQ20/((1/1000)*(up_Irr!AO20)),IF(AND(up_Irr!P20&lt;&gt;".",up_Irr!AO20=".",up_Irr!BN20="."),up_dir!AQ20/((1/1000)*(up_Irr!P20)),IF(AND(up_Irr!P20=".",up_Irr!AO20=".",up_Irr!BN20="."),up_dir!AQ20*1000)))))))),".")</f>
        <v>6.5773651144152123E-11</v>
      </c>
      <c r="BR20" s="76">
        <f>IFERROR(IF(AND(up_Irr!Q20&lt;&gt;".",up_Irr!AP20&lt;&gt;".",up_Irr!BO20&lt;&gt;"."),up_dir!AR20/((1/1000)*(up_Irr!Q20+up_Irr!AP20+up_Irr!BO20)),IF(AND(up_Irr!Q20&lt;&gt;".",up_Irr!AP20&lt;&gt;".",up_Irr!BO20="."),up_dir!AR20/((1/1000)*(up_Irr!Q20+up_Irr!AP20)),IF(AND(up_Irr!Q20&lt;&gt;".",up_Irr!AP20=".",up_Irr!BO20&lt;&gt;"."),up_dir!AR20/((1/1000)*(up_Irr!Q20+up_Irr!BO20)),IF(AND(up_Irr!Q20=".",up_Irr!AP20&lt;&gt;".",up_Irr!BO20&lt;&gt;"."),up_dir!AR20/((1/1000)*(up_Irr!AP20+up_Irr!BO20)),IF(AND(up_Irr!Q20=".",up_Irr!AP20=".",up_Irr!BO20&lt;&gt;"."),up_dir!AR20/((1/1000)*(up_Irr!BO20)),IF(AND(up_Irr!Q20=".",up_Irr!AP20&lt;&gt;".",up_Irr!BO20="."),up_dir!AR20/((1/1000)*(up_Irr!AP20)),IF(AND(up_Irr!Q20&lt;&gt;".",up_Irr!AP20=".",up_Irr!BO20="."),up_dir!AR20/((1/1000)*(up_Irr!Q20)),IF(AND(up_Irr!Q20=".",up_Irr!AP20=".",up_Irr!BO20="."),up_dir!AR20*1000)))))))),".")</f>
        <v>6.5773651144152123E-11</v>
      </c>
      <c r="BS20" s="76">
        <f>IFERROR(IF(AND(up_Irr!R20&lt;&gt;".",up_Irr!AQ20&lt;&gt;".",up_Irr!BP20&lt;&gt;"."),up_dir!AS20/((1/1000)*(up_Irr!R20+up_Irr!AQ20+up_Irr!BP20)),IF(AND(up_Irr!R20&lt;&gt;".",up_Irr!AQ20&lt;&gt;".",up_Irr!BP20="."),up_dir!AS20/((1/1000)*(up_Irr!R20+up_Irr!AQ20)),IF(AND(up_Irr!R20&lt;&gt;".",up_Irr!AQ20=".",up_Irr!BP20&lt;&gt;"."),up_dir!AS20/((1/1000)*(up_Irr!R20+up_Irr!BP20)),IF(AND(up_Irr!R20=".",up_Irr!AQ20&lt;&gt;".",up_Irr!BP20&lt;&gt;"."),up_dir!AS20/((1/1000)*(up_Irr!AQ20+up_Irr!BP20)),IF(AND(up_Irr!R20=".",up_Irr!AQ20=".",up_Irr!BP20&lt;&gt;"."),up_dir!AS20/((1/1000)*(up_Irr!BP20)),IF(AND(up_Irr!R20=".",up_Irr!AQ20&lt;&gt;".",up_Irr!BP20="."),up_dir!AS20/((1/1000)*(up_Irr!AQ20)),IF(AND(up_Irr!R20&lt;&gt;".",up_Irr!AQ20=".",up_Irr!BP20="."),up_dir!AS20/((1/1000)*(up_Irr!R20)),IF(AND(up_Irr!R20=".",up_Irr!AQ20=".",up_Irr!BP20="."),up_dir!AS20*1000)))))))),".")</f>
        <v>6.5773651144152123E-11</v>
      </c>
      <c r="BT20" s="76">
        <f>IFERROR(IF(AND(up_Irr!S20&lt;&gt;".",up_Irr!AR20&lt;&gt;".",up_Irr!BQ20&lt;&gt;"."),up_dir!AT20/((1/1000)*(up_Irr!S20+up_Irr!AR20+up_Irr!BQ20)),IF(AND(up_Irr!S20&lt;&gt;".",up_Irr!AR20&lt;&gt;".",up_Irr!BQ20="."),up_dir!AT20/((1/1000)*(up_Irr!S20+up_Irr!AR20)),IF(AND(up_Irr!S20&lt;&gt;".",up_Irr!AR20=".",up_Irr!BQ20&lt;&gt;"."),up_dir!AT20/((1/1000)*(up_Irr!S20+up_Irr!BQ20)),IF(AND(up_Irr!S20=".",up_Irr!AR20&lt;&gt;".",up_Irr!BQ20&lt;&gt;"."),up_dir!AT20/((1/1000)*(up_Irr!AR20+up_Irr!BQ20)),IF(AND(up_Irr!S20=".",up_Irr!AR20=".",up_Irr!BQ20&lt;&gt;"."),up_dir!AT20/((1/1000)*(up_Irr!BQ20)),IF(AND(up_Irr!S20=".",up_Irr!AR20&lt;&gt;".",up_Irr!BQ20="."),up_dir!AT20/((1/1000)*(up_Irr!AR20)),IF(AND(up_Irr!S20&lt;&gt;".",up_Irr!AR20=".",up_Irr!BQ20="."),up_dir!AT20/((1/1000)*(up_Irr!S20)),IF(AND(up_Irr!S20=".",up_Irr!AR20=".",up_Irr!BQ20="."),up_dir!AT20*1000)))))))),".")</f>
        <v>6.5773651144152123E-11</v>
      </c>
      <c r="BU20" s="76">
        <f>IFERROR(IF(AND(up_Irr!T20&lt;&gt;".",up_Irr!AS20&lt;&gt;".",up_Irr!BR20&lt;&gt;"."),up_dir!AU20/((1/1000)*(up_Irr!T20+up_Irr!AS20+up_Irr!BR20)),IF(AND(up_Irr!T20&lt;&gt;".",up_Irr!AS20&lt;&gt;".",up_Irr!BR20="."),up_dir!AU20/((1/1000)*(up_Irr!T20+up_Irr!AS20)),IF(AND(up_Irr!T20&lt;&gt;".",up_Irr!AS20=".",up_Irr!BR20&lt;&gt;"."),up_dir!AU20/((1/1000)*(up_Irr!T20+up_Irr!BR20)),IF(AND(up_Irr!T20=".",up_Irr!AS20&lt;&gt;".",up_Irr!BR20&lt;&gt;"."),up_dir!AU20/((1/1000)*(up_Irr!AS20+up_Irr!BR20)),IF(AND(up_Irr!T20=".",up_Irr!AS20=".",up_Irr!BR20&lt;&gt;"."),up_dir!AU20/((1/1000)*(up_Irr!BR20)),IF(AND(up_Irr!T20=".",up_Irr!AS20&lt;&gt;".",up_Irr!BR20="."),up_dir!AU20/((1/1000)*(up_Irr!AS20)),IF(AND(up_Irr!T20&lt;&gt;".",up_Irr!AS20=".",up_Irr!BR20="."),up_dir!AU20/((1/1000)*(up_Irr!T20)),IF(AND(up_Irr!T20=".",up_Irr!AS20=".",up_Irr!BR20="."),up_dir!AU20*1000)))))))),".")</f>
        <v>6.5773651144152123E-11</v>
      </c>
      <c r="BV20" s="76">
        <f>IFERROR(IF(AND(up_Irr!U20&lt;&gt;".",up_Irr!AT20&lt;&gt;".",up_Irr!BS20&lt;&gt;"."),up_dir!AV20/((1/1000)*(up_Irr!U20+up_Irr!AT20+up_Irr!BS20)),IF(AND(up_Irr!U20&lt;&gt;".",up_Irr!AT20&lt;&gt;".",up_Irr!BS20="."),up_dir!AV20/((1/1000)*(up_Irr!U20+up_Irr!AT20)),IF(AND(up_Irr!U20&lt;&gt;".",up_Irr!AT20=".",up_Irr!BS20&lt;&gt;"."),up_dir!AV20/((1/1000)*(up_Irr!U20+up_Irr!BS20)),IF(AND(up_Irr!U20=".",up_Irr!AT20&lt;&gt;".",up_Irr!BS20&lt;&gt;"."),up_dir!AV20/((1/1000)*(up_Irr!AT20+up_Irr!BS20)),IF(AND(up_Irr!U20=".",up_Irr!AT20=".",up_Irr!BS20&lt;&gt;"."),up_dir!AV20/((1/1000)*(up_Irr!BS20)),IF(AND(up_Irr!U20=".",up_Irr!AT20&lt;&gt;".",up_Irr!BS20="."),up_dir!AV20/((1/1000)*(up_Irr!AT20)),IF(AND(up_Irr!U20&lt;&gt;".",up_Irr!AT20=".",up_Irr!BS20="."),up_dir!AV20/((1/1000)*(up_Irr!U20)),IF(AND(up_Irr!U20=".",up_Irr!AT20=".",up_Irr!BS20="."),up_dir!AV20*1000)))))))),".")</f>
        <v>6.5773651144152123E-11</v>
      </c>
      <c r="BW20" s="76">
        <f>IFERROR(IF(AND(up_Irr!V20&lt;&gt;".",up_Irr!AU20&lt;&gt;".",up_Irr!BT20&lt;&gt;"."),up_dir!AW20/((1/1000)*(up_Irr!V20+up_Irr!AU20+up_Irr!BT20)),IF(AND(up_Irr!V20&lt;&gt;".",up_Irr!AU20&lt;&gt;".",up_Irr!BT20="."),up_dir!AW20/((1/1000)*(up_Irr!V20+up_Irr!AU20)),IF(AND(up_Irr!V20&lt;&gt;".",up_Irr!AU20=".",up_Irr!BT20&lt;&gt;"."),up_dir!AW20/((1/1000)*(up_Irr!V20+up_Irr!BT20)),IF(AND(up_Irr!V20=".",up_Irr!AU20&lt;&gt;".",up_Irr!BT20&lt;&gt;"."),up_dir!AW20/((1/1000)*(up_Irr!AU20+up_Irr!BT20)),IF(AND(up_Irr!V20=".",up_Irr!AU20=".",up_Irr!BT20&lt;&gt;"."),up_dir!AW20/((1/1000)*(up_Irr!BT20)),IF(AND(up_Irr!V20=".",up_Irr!AU20&lt;&gt;".",up_Irr!BT20="."),up_dir!AW20/((1/1000)*(up_Irr!AU20)),IF(AND(up_Irr!V20&lt;&gt;".",up_Irr!AU20=".",up_Irr!BT20="."),up_dir!AW20/((1/1000)*(up_Irr!V20)),IF(AND(up_Irr!V20=".",up_Irr!AU20=".",up_Irr!BT20="."),up_dir!AW20*1000)))))))),".")</f>
        <v>6.5773651144152123E-11</v>
      </c>
      <c r="BX20" s="76">
        <f>IFERROR(IF(AND(up_Irr!W20&lt;&gt;".",up_Irr!AV20&lt;&gt;".",up_Irr!BU20&lt;&gt;"."),up_dir!AX20/((1/1000)*(up_Irr!W20+up_Irr!AV20+up_Irr!BU20)),IF(AND(up_Irr!W20&lt;&gt;".",up_Irr!AV20&lt;&gt;".",up_Irr!BU20="."),up_dir!AX20/((1/1000)*(up_Irr!W20+up_Irr!AV20)),IF(AND(up_Irr!W20&lt;&gt;".",up_Irr!AV20=".",up_Irr!BU20&lt;&gt;"."),up_dir!AX20/((1/1000)*(up_Irr!W20+up_Irr!BU20)),IF(AND(up_Irr!W20=".",up_Irr!AV20&lt;&gt;".",up_Irr!BU20&lt;&gt;"."),up_dir!AX20/((1/1000)*(up_Irr!AV20+up_Irr!BU20)),IF(AND(up_Irr!W20=".",up_Irr!AV20=".",up_Irr!BU20&lt;&gt;"."),up_dir!AX20/((1/1000)*(up_Irr!BU20)),IF(AND(up_Irr!W20=".",up_Irr!AV20&lt;&gt;".",up_Irr!BU20="."),up_dir!AX20/((1/1000)*(up_Irr!AV20)),IF(AND(up_Irr!W20&lt;&gt;".",up_Irr!AV20=".",up_Irr!BU20="."),up_dir!AX20/((1/1000)*(up_Irr!W20)),IF(AND(up_Irr!W20=".",up_Irr!AV20=".",up_Irr!BU20="."),up_dir!AX20*1000)))))))),".")</f>
        <v>6.5773651144152123E-11</v>
      </c>
      <c r="BY20" s="76">
        <f>IFERROR(IF(AND(up_Irr!X20&lt;&gt;".",up_Irr!AW20&lt;&gt;".",up_Irr!BV20&lt;&gt;"."),up_dir!AY20/((1/1000)*(up_Irr!X20+up_Irr!AW20+up_Irr!BV20)),IF(AND(up_Irr!X20&lt;&gt;".",up_Irr!AW20&lt;&gt;".",up_Irr!BV20="."),up_dir!AY20/((1/1000)*(up_Irr!X20+up_Irr!AW20)),IF(AND(up_Irr!X20&lt;&gt;".",up_Irr!AW20=".",up_Irr!BV20&lt;&gt;"."),up_dir!AY20/((1/1000)*(up_Irr!X20+up_Irr!BV20)),IF(AND(up_Irr!X20=".",up_Irr!AW20&lt;&gt;".",up_Irr!BV20&lt;&gt;"."),up_dir!AY20/((1/1000)*(up_Irr!AW20+up_Irr!BV20)),IF(AND(up_Irr!X20=".",up_Irr!AW20=".",up_Irr!BV20&lt;&gt;"."),up_dir!AY20/((1/1000)*(up_Irr!BV20)),IF(AND(up_Irr!X20=".",up_Irr!AW20&lt;&gt;".",up_Irr!BV20="."),up_dir!AY20/((1/1000)*(up_Irr!AW20)),IF(AND(up_Irr!X20&lt;&gt;".",up_Irr!AW20=".",up_Irr!BV20="."),up_dir!AY20/((1/1000)*(up_Irr!X20)),IF(AND(up_Irr!X20=".",up_Irr!AW20=".",up_Irr!BV20="."),up_dir!AY20*1000)))))))),".")</f>
        <v>6.5773651144152123E-11</v>
      </c>
      <c r="BZ20" s="76">
        <f>IFERROR(IF(AND(up_Irr!Y20&lt;&gt;".",up_Irr!AX20&lt;&gt;".",up_Irr!BW20&lt;&gt;"."),up_dir!AZ20/((1/1000)*(up_Irr!Y20+up_Irr!AX20+up_Irr!BW20)),IF(AND(up_Irr!Y20&lt;&gt;".",up_Irr!AX20&lt;&gt;".",up_Irr!BW20="."),up_dir!AZ20/((1/1000)*(up_Irr!Y20+up_Irr!AX20)),IF(AND(up_Irr!Y20&lt;&gt;".",up_Irr!AX20=".",up_Irr!BW20&lt;&gt;"."),up_dir!AZ20/((1/1000)*(up_Irr!Y20+up_Irr!BW20)),IF(AND(up_Irr!Y20=".",up_Irr!AX20&lt;&gt;".",up_Irr!BW20&lt;&gt;"."),up_dir!AZ20/((1/1000)*(up_Irr!AX20+up_Irr!BW20)),IF(AND(up_Irr!Y20=".",up_Irr!AX20=".",up_Irr!BW20&lt;&gt;"."),up_dir!AZ20/((1/1000)*(up_Irr!BW20)),IF(AND(up_Irr!Y20=".",up_Irr!AX20&lt;&gt;".",up_Irr!BW20="."),up_dir!AZ20/((1/1000)*(up_Irr!AX20)),IF(AND(up_Irr!Y20&lt;&gt;".",up_Irr!AX20=".",up_Irr!BW20="."),up_dir!AZ20/((1/1000)*(up_Irr!Y20)),IF(AND(up_Irr!Y20=".",up_Irr!AX20=".",up_Irr!BW20="."),up_dir!AZ20*1000)))))))),".")</f>
        <v>6.5773651144152123E-11</v>
      </c>
      <c r="CA20" s="76">
        <f>IFERROR(IF(AND(up_Irr!Z20&lt;&gt;".",up_Irr!AY20&lt;&gt;".",up_Irr!BX20&lt;&gt;"."),up_dir!BA20/((1/1000)*(up_Irr!Z20+up_Irr!AY20+up_Irr!BX20)),IF(AND(up_Irr!Z20&lt;&gt;".",up_Irr!AY20&lt;&gt;".",up_Irr!BX20="."),up_dir!BA20/((1/1000)*(up_Irr!Z20+up_Irr!AY20)),IF(AND(up_Irr!Z20&lt;&gt;".",up_Irr!AY20=".",up_Irr!BX20&lt;&gt;"."),up_dir!BA20/((1/1000)*(up_Irr!Z20+up_Irr!BX20)),IF(AND(up_Irr!Z20=".",up_Irr!AY20&lt;&gt;".",up_Irr!BX20&lt;&gt;"."),up_dir!BA20/((1/1000)*(up_Irr!AY20+up_Irr!BX20)),IF(AND(up_Irr!Z20=".",up_Irr!AY20=".",up_Irr!BX20&lt;&gt;"."),up_dir!BA20/((1/1000)*(up_Irr!BX20)),IF(AND(up_Irr!Z20=".",up_Irr!AY20&lt;&gt;".",up_Irr!BX20="."),up_dir!BA20/((1/1000)*(up_Irr!AY20)),IF(AND(up_Irr!Z20&lt;&gt;".",up_Irr!AY20=".",up_Irr!BX20="."),up_dir!BA20/((1/1000)*(up_Irr!Z20)),IF(AND(up_Irr!Z20=".",up_Irr!AY20=".",up_Irr!BX20="."),up_dir!BA20*1000)))))))),".")</f>
        <v>6.5773651144152123E-11</v>
      </c>
      <c r="CB20" s="76">
        <f>IFERROR(IF(AND(up_Irr!AA20&lt;&gt;".",up_Irr!AZ20&lt;&gt;".",up_Irr!BY20&lt;&gt;"."),up_dir!BB20/((1/1000)*(up_Irr!AA20+up_Irr!AZ20+up_Irr!BY20)),IF(AND(up_Irr!AA20&lt;&gt;".",up_Irr!AZ20&lt;&gt;".",up_Irr!BY20="."),up_dir!BB20/((1/1000)*(up_Irr!AA20+up_Irr!AZ20)),IF(AND(up_Irr!AA20&lt;&gt;".",up_Irr!AZ20=".",up_Irr!BY20&lt;&gt;"."),up_dir!BB20/((1/1000)*(up_Irr!AA20+up_Irr!BY20)),IF(AND(up_Irr!AA20=".",up_Irr!AZ20&lt;&gt;".",up_Irr!BY20&lt;&gt;"."),up_dir!BB20/((1/1000)*(up_Irr!AZ20+up_Irr!BY20)),IF(AND(up_Irr!AA20=".",up_Irr!AZ20=".",up_Irr!BY20&lt;&gt;"."),up_dir!BB20/((1/1000)*(up_Irr!BY20)),IF(AND(up_Irr!AA20=".",up_Irr!AZ20&lt;&gt;".",up_Irr!BY20="."),up_dir!BB20/((1/1000)*(up_Irr!AZ20)),IF(AND(up_Irr!AA20&lt;&gt;".",up_Irr!AZ20=".",up_Irr!BY20="."),up_dir!BB20/((1/1000)*(up_Irr!AA20)),IF(AND(up_Irr!AA20=".",up_Irr!AZ20=".",up_Irr!BY20="."),up_dir!BB20*1000)))))))),".")</f>
        <v>6.5773651144152123E-11</v>
      </c>
      <c r="CC20" s="93">
        <f t="shared" si="3"/>
        <v>608146.26076229871</v>
      </c>
      <c r="CD20" s="93">
        <f>IFERROR(s_C*s_IFAP_far_adj*s_CF_apple*(1/1000)*(up_Irr!C20+up_Irr!AB20+up_Irr!BA20),".")</f>
        <v>152036.56519057468</v>
      </c>
      <c r="CE20" s="93">
        <f>IFERROR(s_C*s_IFAS_far_adj*s_CF_asparagus*(1/1000)*(up_Irr!D20+up_Irr!AC20+up_Irr!BB20),".")</f>
        <v>152036.56519057468</v>
      </c>
      <c r="CF20" s="93">
        <f>IFERROR(s_C*s_IFBT_far_adj*s_CF_beet*(1/1000)*(up_Irr!E20+up_Irr!AD20+up_Irr!BC20),".")</f>
        <v>152036.56519057468</v>
      </c>
      <c r="CG20" s="93">
        <f>IFERROR(s_C*s_IFBE_far_adj*s_CF_berries*(1/1000)*(up_Irr!F20+up_Irr!AE20+up_Irr!BD20),".")</f>
        <v>152036.56519057468</v>
      </c>
      <c r="CH20" s="93">
        <f>IFERROR(s_C*s_IFBR_far_adj*s_CF_broccoli*(1/1000)*(up_Irr!G20+up_Irr!AF20+up_Irr!BE20),".")</f>
        <v>152036.56519057468</v>
      </c>
      <c r="CI20" s="93">
        <f>IFERROR(s_C*s_IFCB_far_adj*s_CF_cabbage*(1/1000)*(up_Irr!H20+up_Irr!AG20+up_Irr!BF20),".")</f>
        <v>152036.56519057468</v>
      </c>
      <c r="CJ20" s="93">
        <f>IFERROR(s_C*s_IFCR_far_adj*s_CF_carrot*(1/1000)*(up_Irr!I20+up_Irr!AH20+up_Irr!BG20),".")</f>
        <v>152036.56519057468</v>
      </c>
      <c r="CK20" s="93">
        <f>IFERROR(s_C*s_IFCI_far_adj*s_CF_citrus*(1/1000)*(up_Irr!J20+up_Irr!AI20+up_Irr!BH20),".")</f>
        <v>152036.56519057468</v>
      </c>
      <c r="CL20" s="93">
        <f>IFERROR(s_C*s_IFCO_far_adj*s_CF_corn*(1/1000)*(up_Irr!K20+up_Irr!AJ20+up_Irr!BI20),".")</f>
        <v>152036.56519057468</v>
      </c>
      <c r="CM20" s="93">
        <f>IFERROR(s_C*s_IFCU_far_adj*s_CF_cucumber*(1/1000)*(up_Irr!L20+up_Irr!AK20+up_Irr!BJ20),".")</f>
        <v>152036.56519057468</v>
      </c>
      <c r="CN20" s="93">
        <f>IFERROR(s_C*s_IFLE_far_adj*s_CF_lettuce*(1/1000)*(up_Irr!M20+up_Irr!AL20+up_Irr!BK20),".")</f>
        <v>152036.56519057468</v>
      </c>
      <c r="CO20" s="93">
        <f>IFERROR(s_C*s_IFLI_far_adj*s_CF_lima_bean*(1/1000)*(up_Irr!N20+up_Irr!AM20+up_Irr!BL20),".")</f>
        <v>152036.56519057468</v>
      </c>
      <c r="CP20" s="93">
        <f>IFERROR(s_C*s_IFOK_far_adj*s_CF_okra*(1/1000)*(up_Irr!O20+up_Irr!AN20+up_Irr!BM20),".")</f>
        <v>152036.56519057468</v>
      </c>
      <c r="CQ20" s="93">
        <f>IFERROR(s_C*s_IFON_far_adj*s_CF_onion*(1/1000)*(up_Irr!P20+up_Irr!AO20+up_Irr!BN20),".")</f>
        <v>152036.56519057468</v>
      </c>
      <c r="CR20" s="93">
        <f>IFERROR(s_C*s_IFPC_far_adj*s_CF_peach*(1/1000)*(up_Irr!Q20+up_Irr!AP20+up_Irr!BO20),".")</f>
        <v>152036.56519057468</v>
      </c>
      <c r="CS20" s="93">
        <f>IFERROR(s_C*s_IFPR_far_adj*s_CF_pear*(1/1000)*(up_Irr!R20+up_Irr!AQ20+up_Irr!BP20),".")</f>
        <v>152036.56519057468</v>
      </c>
      <c r="CT20" s="93">
        <f>IFERROR(s_C*s_IFPE_far_adj*s_CF_peas*(1/1000)*(up_Irr!S20+up_Irr!AR20+up_Irr!BQ20),".")</f>
        <v>152036.56519057468</v>
      </c>
      <c r="CU20" s="93">
        <f>IFERROR(s_C*s_IFPP_far_adj*s_CF_peppers*(1/1000)*(up_Irr!T20+up_Irr!AS20+up_Irr!BR20),".")</f>
        <v>152036.56519057468</v>
      </c>
      <c r="CV20" s="93">
        <f>IFERROR(s_C*s_IFPT_far_adj*s_CF_potato*(1/1000)*(up_Irr!U20+up_Irr!AT20+up_Irr!BS20),".")</f>
        <v>152036.56519057468</v>
      </c>
      <c r="CW20" s="93">
        <f>IFERROR(s_C*s_IFPU_far_adj*s_CF_pumpkin*(1/1000)*(up_Irr!V20+up_Irr!AU20+up_Irr!BT20),".")</f>
        <v>152036.56519057468</v>
      </c>
      <c r="CX20" s="93">
        <f>IFERROR(s_C*s_IFSN_far_adj*s_CF_snap_bean*(1/1000)*(up_Irr!W20+up_Irr!AV20+up_Irr!BU20),".")</f>
        <v>152036.56519057468</v>
      </c>
      <c r="CY20" s="93">
        <f>IFERROR(s_C*s_IFST_far_adj*s_CF_strawberry*(1/1000)*(up_Irr!X20+up_Irr!AW20+up_Irr!BV20),".")</f>
        <v>152036.56519057468</v>
      </c>
      <c r="CZ20" s="93">
        <f>IFERROR(s_C*s_IFTO_far_adj*s_CF_tomato*(1/1000)*(up_Irr!Y20+up_Irr!AX20+up_Irr!BW20),".")</f>
        <v>152036.56519057468</v>
      </c>
      <c r="DA20" s="93">
        <f>IFERROR(s_C*s_IFRI_far_adj*s_CF_rice*(1/1000)*(up_Irr!Z20+up_Irr!AY20+up_Irr!BX20),".")</f>
        <v>152036.56519057468</v>
      </c>
      <c r="DB20" s="93">
        <f>IFERROR(s_C*s_IFCG_far_adj*s_CF_cereal*(1/1000)*(up_Irr!AA20+up_Irr!AZ20+up_Irr!BY20),".")</f>
        <v>152036.56519057468</v>
      </c>
    </row>
    <row r="21" spans="1:106" ht="15" customHeight="1" x14ac:dyDescent="0.25">
      <c r="A21" s="92" t="s">
        <v>31</v>
      </c>
      <c r="B21" s="90" t="s">
        <v>1071</v>
      </c>
      <c r="C21" s="15">
        <f t="shared" si="0"/>
        <v>1.6443412786038031E-11</v>
      </c>
      <c r="D21" s="76">
        <f>IFERROR(IF(AND(up_Irr!C21&lt;&gt;".",up_Irr!AB21&lt;&gt;".",up_Irr!BA21&lt;&gt;"."),up_dir!D21/((1/1000)*(up_Irr!C21+up_Irr!AB21+up_Irr!BA21)),IF(AND(up_Irr!C21&lt;&gt;".",up_Irr!AB21&lt;&gt;".",up_Irr!BA21="."),up_dir!D21/((1/1000)*(up_Irr!C21+up_Irr!AB21)),IF(AND(up_Irr!C21&lt;&gt;".",up_Irr!AB21=".",up_Irr!BA21&lt;&gt;"."),up_dir!D21/((1/1000)*(up_Irr!C21+up_Irr!BA21)),IF(AND(up_Irr!C21=".",up_Irr!AB21&lt;&gt;".",up_Irr!BA21&lt;&gt;"."),up_dir!D21/((1/1000)*(up_Irr!AB21+up_Irr!BA21)),IF(AND(up_Irr!C21=".",up_Irr!AB21=".",up_Irr!BA21&lt;&gt;"."),up_dir!D21/((1/1000)*(up_Irr!BA21)),IF(AND(up_Irr!C21=".",up_Irr!AB21&lt;&gt;".",up_Irr!BA21="."),up_dir!D21/((1/1000)*(up_Irr!AB21)),IF(AND(up_Irr!C21&lt;&gt;".",up_Irr!AB21=".",up_Irr!BA21="."),up_dir!D21/((1/1000)*(up_Irr!C21)),IF(AND(up_Irr!C21=".",up_Irr!AB21=".",up_Irr!BA21="."),up_dir!D21*1000)))))))),".")</f>
        <v>6.5773651144152123E-11</v>
      </c>
      <c r="E21" s="76">
        <f>IFERROR(IF(AND(up_Irr!D21&lt;&gt;".",up_Irr!AC21&lt;&gt;".",up_Irr!BB21&lt;&gt;"."),up_dir!E21/((1/1000)*(up_Irr!D21+up_Irr!AC21+up_Irr!BB21)),IF(AND(up_Irr!D21&lt;&gt;".",up_Irr!AC21&lt;&gt;".",up_Irr!BB21="."),up_dir!E21/((1/1000)*(up_Irr!D21+up_Irr!AC21)),IF(AND(up_Irr!D21&lt;&gt;".",up_Irr!AC21=".",up_Irr!BB21&lt;&gt;"."),up_dir!E21/((1/1000)*(up_Irr!D21+up_Irr!BB21)),IF(AND(up_Irr!D21=".",up_Irr!AC21&lt;&gt;".",up_Irr!BB21&lt;&gt;"."),up_dir!E21/((1/1000)*(up_Irr!AC21+up_Irr!BB21)),IF(AND(up_Irr!D21=".",up_Irr!AC21=".",up_Irr!BB21&lt;&gt;"."),up_dir!E21/((1/1000)*(up_Irr!BB21)),IF(AND(up_Irr!D21=".",up_Irr!AC21&lt;&gt;".",up_Irr!BB21="."),up_dir!E21/((1/1000)*(up_Irr!AC21)),IF(AND(up_Irr!D21&lt;&gt;".",up_Irr!AC21=".",up_Irr!BB21="."),up_dir!E21/((1/1000)*(up_Irr!D21)),IF(AND(up_Irr!D21=".",up_Irr!AC21=".",up_Irr!BB21="."),up_dir!E21*1000)))))))),".")</f>
        <v>6.5773651144152123E-11</v>
      </c>
      <c r="F21" s="76">
        <f>IFERROR(IF(AND(up_Irr!E21&lt;&gt;".",up_Irr!AD21&lt;&gt;".",up_Irr!BC21&lt;&gt;"."),up_dir!F21/((1/1000)*(up_Irr!E21+up_Irr!AD21+up_Irr!BC21)),IF(AND(up_Irr!E21&lt;&gt;".",up_Irr!AD21&lt;&gt;".",up_Irr!BC21="."),up_dir!F21/((1/1000)*(up_Irr!E21+up_Irr!AD21)),IF(AND(up_Irr!E21&lt;&gt;".",up_Irr!AD21=".",up_Irr!BC21&lt;&gt;"."),up_dir!F21/((1/1000)*(up_Irr!E21+up_Irr!BC21)),IF(AND(up_Irr!E21=".",up_Irr!AD21&lt;&gt;".",up_Irr!BC21&lt;&gt;"."),up_dir!F21/((1/1000)*(up_Irr!AD21+up_Irr!BC21)),IF(AND(up_Irr!E21=".",up_Irr!AD21=".",up_Irr!BC21&lt;&gt;"."),up_dir!F21/((1/1000)*(up_Irr!BC21)),IF(AND(up_Irr!E21=".",up_Irr!AD21&lt;&gt;".",up_Irr!BC21="."),up_dir!F21/((1/1000)*(up_Irr!AD21)),IF(AND(up_Irr!E21&lt;&gt;".",up_Irr!AD21=".",up_Irr!BC21="."),up_dir!F21/((1/1000)*(up_Irr!E21)),IF(AND(up_Irr!E21=".",up_Irr!AD21=".",up_Irr!BC21="."),up_dir!F21*1000)))))))),".")</f>
        <v>6.5773651144152123E-11</v>
      </c>
      <c r="G21" s="76">
        <f>IFERROR(IF(AND(up_Irr!F21&lt;&gt;".",up_Irr!AE21&lt;&gt;".",up_Irr!BD21&lt;&gt;"."),up_dir!G21/((1/1000)*(up_Irr!F21+up_Irr!AE21+up_Irr!BD21)),IF(AND(up_Irr!F21&lt;&gt;".",up_Irr!AE21&lt;&gt;".",up_Irr!BD21="."),up_dir!G21/((1/1000)*(up_Irr!F21+up_Irr!AE21)),IF(AND(up_Irr!F21&lt;&gt;".",up_Irr!AE21=".",up_Irr!BD21&lt;&gt;"."),up_dir!G21/((1/1000)*(up_Irr!F21+up_Irr!BD21)),IF(AND(up_Irr!F21=".",up_Irr!AE21&lt;&gt;".",up_Irr!BD21&lt;&gt;"."),up_dir!G21/((1/1000)*(up_Irr!AE21+up_Irr!BD21)),IF(AND(up_Irr!F21=".",up_Irr!AE21=".",up_Irr!BD21&lt;&gt;"."),up_dir!G21/((1/1000)*(up_Irr!BD21)),IF(AND(up_Irr!F21=".",up_Irr!AE21&lt;&gt;".",up_Irr!BD21="."),up_dir!G21/((1/1000)*(up_Irr!AE21)),IF(AND(up_Irr!F21&lt;&gt;".",up_Irr!AE21=".",up_Irr!BD21="."),up_dir!G21/((1/1000)*(up_Irr!F21)),IF(AND(up_Irr!F21=".",up_Irr!AE21=".",up_Irr!BD21="."),up_dir!G21*1000)))))))),".")</f>
        <v>6.5773651144152123E-11</v>
      </c>
      <c r="H21" s="76">
        <f>IFERROR(IF(AND(up_Irr!G21&lt;&gt;".",up_Irr!AF21&lt;&gt;".",up_Irr!BE21&lt;&gt;"."),up_dir!H21/((1/1000)*(up_Irr!G21+up_Irr!AF21+up_Irr!BE21)),IF(AND(up_Irr!G21&lt;&gt;".",up_Irr!AF21&lt;&gt;".",up_Irr!BE21="."),up_dir!H21/((1/1000)*(up_Irr!G21+up_Irr!AF21)),IF(AND(up_Irr!G21&lt;&gt;".",up_Irr!AF21=".",up_Irr!BE21&lt;&gt;"."),up_dir!H21/((1/1000)*(up_Irr!G21+up_Irr!BE21)),IF(AND(up_Irr!G21=".",up_Irr!AF21&lt;&gt;".",up_Irr!BE21&lt;&gt;"."),up_dir!H21/((1/1000)*(up_Irr!AF21+up_Irr!BE21)),IF(AND(up_Irr!G21=".",up_Irr!AF21=".",up_Irr!BE21&lt;&gt;"."),up_dir!H21/((1/1000)*(up_Irr!BE21)),IF(AND(up_Irr!G21=".",up_Irr!AF21&lt;&gt;".",up_Irr!BE21="."),up_dir!H21/((1/1000)*(up_Irr!AF21)),IF(AND(up_Irr!G21&lt;&gt;".",up_Irr!AF21=".",up_Irr!BE21="."),up_dir!H21/((1/1000)*(up_Irr!G21)),IF(AND(up_Irr!G21=".",up_Irr!AF21=".",up_Irr!BE21="."),up_dir!H21*1000)))))))),".")</f>
        <v>6.5773651144152123E-11</v>
      </c>
      <c r="I21" s="76">
        <f>IFERROR(IF(AND(up_Irr!H21&lt;&gt;".",up_Irr!AG21&lt;&gt;".",up_Irr!BF21&lt;&gt;"."),up_dir!I21/((1/1000)*(up_Irr!H21+up_Irr!AG21+up_Irr!BF21)),IF(AND(up_Irr!H21&lt;&gt;".",up_Irr!AG21&lt;&gt;".",up_Irr!BF21="."),up_dir!I21/((1/1000)*(up_Irr!H21+up_Irr!AG21)),IF(AND(up_Irr!H21&lt;&gt;".",up_Irr!AG21=".",up_Irr!BF21&lt;&gt;"."),up_dir!I21/((1/1000)*(up_Irr!H21+up_Irr!BF21)),IF(AND(up_Irr!H21=".",up_Irr!AG21&lt;&gt;".",up_Irr!BF21&lt;&gt;"."),up_dir!I21/((1/1000)*(up_Irr!AG21+up_Irr!BF21)),IF(AND(up_Irr!H21=".",up_Irr!AG21=".",up_Irr!BF21&lt;&gt;"."),up_dir!I21/((1/1000)*(up_Irr!BF21)),IF(AND(up_Irr!H21=".",up_Irr!AG21&lt;&gt;".",up_Irr!BF21="."),up_dir!I21/((1/1000)*(up_Irr!AG21)),IF(AND(up_Irr!H21&lt;&gt;".",up_Irr!AG21=".",up_Irr!BF21="."),up_dir!I21/((1/1000)*(up_Irr!H21)),IF(AND(up_Irr!H21=".",up_Irr!AG21=".",up_Irr!BF21="."),up_dir!I21*1000)))))))),".")</f>
        <v>6.5773651144152123E-11</v>
      </c>
      <c r="J21" s="76">
        <f>IFERROR(IF(AND(up_Irr!I21&lt;&gt;".",up_Irr!AH21&lt;&gt;".",up_Irr!BG21&lt;&gt;"."),up_dir!J21/((1/1000)*(up_Irr!I21+up_Irr!AH21+up_Irr!BG21)),IF(AND(up_Irr!I21&lt;&gt;".",up_Irr!AH21&lt;&gt;".",up_Irr!BG21="."),up_dir!J21/((1/1000)*(up_Irr!I21+up_Irr!AH21)),IF(AND(up_Irr!I21&lt;&gt;".",up_Irr!AH21=".",up_Irr!BG21&lt;&gt;"."),up_dir!J21/((1/1000)*(up_Irr!I21+up_Irr!BG21)),IF(AND(up_Irr!I21=".",up_Irr!AH21&lt;&gt;".",up_Irr!BG21&lt;&gt;"."),up_dir!J21/((1/1000)*(up_Irr!AH21+up_Irr!BG21)),IF(AND(up_Irr!I21=".",up_Irr!AH21=".",up_Irr!BG21&lt;&gt;"."),up_dir!J21/((1/1000)*(up_Irr!BG21)),IF(AND(up_Irr!I21=".",up_Irr!AH21&lt;&gt;".",up_Irr!BG21="."),up_dir!J21/((1/1000)*(up_Irr!AH21)),IF(AND(up_Irr!I21&lt;&gt;".",up_Irr!AH21=".",up_Irr!BG21="."),up_dir!J21/((1/1000)*(up_Irr!I21)),IF(AND(up_Irr!I21=".",up_Irr!AH21=".",up_Irr!BG21="."),up_dir!J21*1000)))))))),".")</f>
        <v>6.5773651144152123E-11</v>
      </c>
      <c r="K21" s="76">
        <f>IFERROR(IF(AND(up_Irr!J21&lt;&gt;".",up_Irr!AI21&lt;&gt;".",up_Irr!BH21&lt;&gt;"."),up_dir!K21/((1/1000)*(up_Irr!J21+up_Irr!AI21+up_Irr!BH21)),IF(AND(up_Irr!J21&lt;&gt;".",up_Irr!AI21&lt;&gt;".",up_Irr!BH21="."),up_dir!K21/((1/1000)*(up_Irr!J21+up_Irr!AI21)),IF(AND(up_Irr!J21&lt;&gt;".",up_Irr!AI21=".",up_Irr!BH21&lt;&gt;"."),up_dir!K21/((1/1000)*(up_Irr!J21+up_Irr!BH21)),IF(AND(up_Irr!J21=".",up_Irr!AI21&lt;&gt;".",up_Irr!BH21&lt;&gt;"."),up_dir!K21/((1/1000)*(up_Irr!AI21+up_Irr!BH21)),IF(AND(up_Irr!J21=".",up_Irr!AI21=".",up_Irr!BH21&lt;&gt;"."),up_dir!K21/((1/1000)*(up_Irr!BH21)),IF(AND(up_Irr!J21=".",up_Irr!AI21&lt;&gt;".",up_Irr!BH21="."),up_dir!K21/((1/1000)*(up_Irr!AI21)),IF(AND(up_Irr!J21&lt;&gt;".",up_Irr!AI21=".",up_Irr!BH21="."),up_dir!K21/((1/1000)*(up_Irr!J21)),IF(AND(up_Irr!J21=".",up_Irr!AI21=".",up_Irr!BH21="."),up_dir!K21*1000)))))))),".")</f>
        <v>6.5773651144152123E-11</v>
      </c>
      <c r="L21" s="76">
        <f>IFERROR(IF(AND(up_Irr!K21&lt;&gt;".",up_Irr!AJ21&lt;&gt;".",up_Irr!BI21&lt;&gt;"."),up_dir!L21/((1/1000)*(up_Irr!K21+up_Irr!AJ21+up_Irr!BI21)),IF(AND(up_Irr!K21&lt;&gt;".",up_Irr!AJ21&lt;&gt;".",up_Irr!BI21="."),up_dir!L21/((1/1000)*(up_Irr!K21+up_Irr!AJ21)),IF(AND(up_Irr!K21&lt;&gt;".",up_Irr!AJ21=".",up_Irr!BI21&lt;&gt;"."),up_dir!L21/((1/1000)*(up_Irr!K21+up_Irr!BI21)),IF(AND(up_Irr!K21=".",up_Irr!AJ21&lt;&gt;".",up_Irr!BI21&lt;&gt;"."),up_dir!L21/((1/1000)*(up_Irr!AJ21+up_Irr!BI21)),IF(AND(up_Irr!K21=".",up_Irr!AJ21=".",up_Irr!BI21&lt;&gt;"."),up_dir!L21/((1/1000)*(up_Irr!BI21)),IF(AND(up_Irr!K21=".",up_Irr!AJ21&lt;&gt;".",up_Irr!BI21="."),up_dir!L21/((1/1000)*(up_Irr!AJ21)),IF(AND(up_Irr!K21&lt;&gt;".",up_Irr!AJ21=".",up_Irr!BI21="."),up_dir!L21/((1/1000)*(up_Irr!K21)),IF(AND(up_Irr!K21=".",up_Irr!AJ21=".",up_Irr!BI21="."),up_dir!L21*1000)))))))),".")</f>
        <v>6.5773651144152123E-11</v>
      </c>
      <c r="M21" s="76">
        <f>IFERROR(IF(AND(up_Irr!L21&lt;&gt;".",up_Irr!AK21&lt;&gt;".",up_Irr!BJ21&lt;&gt;"."),up_dir!M21/((1/1000)*(up_Irr!L21+up_Irr!AK21+up_Irr!BJ21)),IF(AND(up_Irr!L21&lt;&gt;".",up_Irr!AK21&lt;&gt;".",up_Irr!BJ21="."),up_dir!M21/((1/1000)*(up_Irr!L21+up_Irr!AK21)),IF(AND(up_Irr!L21&lt;&gt;".",up_Irr!AK21=".",up_Irr!BJ21&lt;&gt;"."),up_dir!M21/((1/1000)*(up_Irr!L21+up_Irr!BJ21)),IF(AND(up_Irr!L21=".",up_Irr!AK21&lt;&gt;".",up_Irr!BJ21&lt;&gt;"."),up_dir!M21/((1/1000)*(up_Irr!AK21+up_Irr!BJ21)),IF(AND(up_Irr!L21=".",up_Irr!AK21=".",up_Irr!BJ21&lt;&gt;"."),up_dir!M21/((1/1000)*(up_Irr!BJ21)),IF(AND(up_Irr!L21=".",up_Irr!AK21&lt;&gt;".",up_Irr!BJ21="."),up_dir!M21/((1/1000)*(up_Irr!AK21)),IF(AND(up_Irr!L21&lt;&gt;".",up_Irr!AK21=".",up_Irr!BJ21="."),up_dir!M21/((1/1000)*(up_Irr!L21)),IF(AND(up_Irr!L21=".",up_Irr!AK21=".",up_Irr!BJ21="."),up_dir!M21*1000)))))))),".")</f>
        <v>6.5773651144152123E-11</v>
      </c>
      <c r="N21" s="76">
        <f>IFERROR(IF(AND(up_Irr!M21&lt;&gt;".",up_Irr!AL21&lt;&gt;".",up_Irr!BK21&lt;&gt;"."),up_dir!N21/((1/1000)*(up_Irr!M21+up_Irr!AL21+up_Irr!BK21)),IF(AND(up_Irr!M21&lt;&gt;".",up_Irr!AL21&lt;&gt;".",up_Irr!BK21="."),up_dir!N21/((1/1000)*(up_Irr!M21+up_Irr!AL21)),IF(AND(up_Irr!M21&lt;&gt;".",up_Irr!AL21=".",up_Irr!BK21&lt;&gt;"."),up_dir!N21/((1/1000)*(up_Irr!M21+up_Irr!BK21)),IF(AND(up_Irr!M21=".",up_Irr!AL21&lt;&gt;".",up_Irr!BK21&lt;&gt;"."),up_dir!N21/((1/1000)*(up_Irr!AL21+up_Irr!BK21)),IF(AND(up_Irr!M21=".",up_Irr!AL21=".",up_Irr!BK21&lt;&gt;"."),up_dir!N21/((1/1000)*(up_Irr!BK21)),IF(AND(up_Irr!M21=".",up_Irr!AL21&lt;&gt;".",up_Irr!BK21="."),up_dir!N21/((1/1000)*(up_Irr!AL21)),IF(AND(up_Irr!M21&lt;&gt;".",up_Irr!AL21=".",up_Irr!BK21="."),up_dir!N21/((1/1000)*(up_Irr!M21)),IF(AND(up_Irr!M21=".",up_Irr!AL21=".",up_Irr!BK21="."),up_dir!N21*1000)))))))),".")</f>
        <v>6.5773651144152123E-11</v>
      </c>
      <c r="O21" s="76">
        <f>IFERROR(IF(AND(up_Irr!N21&lt;&gt;".",up_Irr!AM21&lt;&gt;".",up_Irr!BL21&lt;&gt;"."),up_dir!O21/((1/1000)*(up_Irr!N21+up_Irr!AM21+up_Irr!BL21)),IF(AND(up_Irr!N21&lt;&gt;".",up_Irr!AM21&lt;&gt;".",up_Irr!BL21="."),up_dir!O21/((1/1000)*(up_Irr!N21+up_Irr!AM21)),IF(AND(up_Irr!N21&lt;&gt;".",up_Irr!AM21=".",up_Irr!BL21&lt;&gt;"."),up_dir!O21/((1/1000)*(up_Irr!N21+up_Irr!BL21)),IF(AND(up_Irr!N21=".",up_Irr!AM21&lt;&gt;".",up_Irr!BL21&lt;&gt;"."),up_dir!O21/((1/1000)*(up_Irr!AM21+up_Irr!BL21)),IF(AND(up_Irr!N21=".",up_Irr!AM21=".",up_Irr!BL21&lt;&gt;"."),up_dir!O21/((1/1000)*(up_Irr!BL21)),IF(AND(up_Irr!N21=".",up_Irr!AM21&lt;&gt;".",up_Irr!BL21="."),up_dir!O21/((1/1000)*(up_Irr!AM21)),IF(AND(up_Irr!N21&lt;&gt;".",up_Irr!AM21=".",up_Irr!BL21="."),up_dir!O21/((1/1000)*(up_Irr!N21)),IF(AND(up_Irr!N21=".",up_Irr!AM21=".",up_Irr!BL21="."),up_dir!O21*1000)))))))),".")</f>
        <v>6.5773651144152123E-11</v>
      </c>
      <c r="P21" s="76">
        <f>IFERROR(IF(AND(up_Irr!O21&lt;&gt;".",up_Irr!AN21&lt;&gt;".",up_Irr!BM21&lt;&gt;"."),up_dir!P21/((1/1000)*(up_Irr!O21+up_Irr!AN21+up_Irr!BM21)),IF(AND(up_Irr!O21&lt;&gt;".",up_Irr!AN21&lt;&gt;".",up_Irr!BM21="."),up_dir!P21/((1/1000)*(up_Irr!O21+up_Irr!AN21)),IF(AND(up_Irr!O21&lt;&gt;".",up_Irr!AN21=".",up_Irr!BM21&lt;&gt;"."),up_dir!P21/((1/1000)*(up_Irr!O21+up_Irr!BM21)),IF(AND(up_Irr!O21=".",up_Irr!AN21&lt;&gt;".",up_Irr!BM21&lt;&gt;"."),up_dir!P21/((1/1000)*(up_Irr!AN21+up_Irr!BM21)),IF(AND(up_Irr!O21=".",up_Irr!AN21=".",up_Irr!BM21&lt;&gt;"."),up_dir!P21/((1/1000)*(up_Irr!BM21)),IF(AND(up_Irr!O21=".",up_Irr!AN21&lt;&gt;".",up_Irr!BM21="."),up_dir!P21/((1/1000)*(up_Irr!AN21)),IF(AND(up_Irr!O21&lt;&gt;".",up_Irr!AN21=".",up_Irr!BM21="."),up_dir!P21/((1/1000)*(up_Irr!O21)),IF(AND(up_Irr!O21=".",up_Irr!AN21=".",up_Irr!BM21="."),up_dir!P21*1000)))))))),".")</f>
        <v>6.5773651144152123E-11</v>
      </c>
      <c r="Q21" s="76">
        <f>IFERROR(IF(AND(up_Irr!P21&lt;&gt;".",up_Irr!AO21&lt;&gt;".",up_Irr!BN21&lt;&gt;"."),up_dir!Q21/((1/1000)*(up_Irr!P21+up_Irr!AO21+up_Irr!BN21)),IF(AND(up_Irr!P21&lt;&gt;".",up_Irr!AO21&lt;&gt;".",up_Irr!BN21="."),up_dir!Q21/((1/1000)*(up_Irr!P21+up_Irr!AO21)),IF(AND(up_Irr!P21&lt;&gt;".",up_Irr!AO21=".",up_Irr!BN21&lt;&gt;"."),up_dir!Q21/((1/1000)*(up_Irr!P21+up_Irr!BN21)),IF(AND(up_Irr!P21=".",up_Irr!AO21&lt;&gt;".",up_Irr!BN21&lt;&gt;"."),up_dir!Q21/((1/1000)*(up_Irr!AO21+up_Irr!BN21)),IF(AND(up_Irr!P21=".",up_Irr!AO21=".",up_Irr!BN21&lt;&gt;"."),up_dir!Q21/((1/1000)*(up_Irr!BN21)),IF(AND(up_Irr!P21=".",up_Irr!AO21&lt;&gt;".",up_Irr!BN21="."),up_dir!Q21/((1/1000)*(up_Irr!AO21)),IF(AND(up_Irr!P21&lt;&gt;".",up_Irr!AO21=".",up_Irr!BN21="."),up_dir!Q21/((1/1000)*(up_Irr!P21)),IF(AND(up_Irr!P21=".",up_Irr!AO21=".",up_Irr!BN21="."),up_dir!Q21*1000)))))))),".")</f>
        <v>6.5773651144152123E-11</v>
      </c>
      <c r="R21" s="76">
        <f>IFERROR(IF(AND(up_Irr!Q21&lt;&gt;".",up_Irr!AP21&lt;&gt;".",up_Irr!BO21&lt;&gt;"."),up_dir!R21/((1/1000)*(up_Irr!Q21+up_Irr!AP21+up_Irr!BO21)),IF(AND(up_Irr!Q21&lt;&gt;".",up_Irr!AP21&lt;&gt;".",up_Irr!BO21="."),up_dir!R21/((1/1000)*(up_Irr!Q21+up_Irr!AP21)),IF(AND(up_Irr!Q21&lt;&gt;".",up_Irr!AP21=".",up_Irr!BO21&lt;&gt;"."),up_dir!R21/((1/1000)*(up_Irr!Q21+up_Irr!BO21)),IF(AND(up_Irr!Q21=".",up_Irr!AP21&lt;&gt;".",up_Irr!BO21&lt;&gt;"."),up_dir!R21/((1/1000)*(up_Irr!AP21+up_Irr!BO21)),IF(AND(up_Irr!Q21=".",up_Irr!AP21=".",up_Irr!BO21&lt;&gt;"."),up_dir!R21/((1/1000)*(up_Irr!BO21)),IF(AND(up_Irr!Q21=".",up_Irr!AP21&lt;&gt;".",up_Irr!BO21="."),up_dir!R21/((1/1000)*(up_Irr!AP21)),IF(AND(up_Irr!Q21&lt;&gt;".",up_Irr!AP21=".",up_Irr!BO21="."),up_dir!R21/((1/1000)*(up_Irr!Q21)),IF(AND(up_Irr!Q21=".",up_Irr!AP21=".",up_Irr!BO21="."),up_dir!R21*1000)))))))),".")</f>
        <v>6.5773651144152123E-11</v>
      </c>
      <c r="S21" s="76">
        <f>IFERROR(IF(AND(up_Irr!R21&lt;&gt;".",up_Irr!AQ21&lt;&gt;".",up_Irr!BP21&lt;&gt;"."),up_dir!S21/((1/1000)*(up_Irr!R21+up_Irr!AQ21+up_Irr!BP21)),IF(AND(up_Irr!R21&lt;&gt;".",up_Irr!AQ21&lt;&gt;".",up_Irr!BP21="."),up_dir!S21/((1/1000)*(up_Irr!R21+up_Irr!AQ21)),IF(AND(up_Irr!R21&lt;&gt;".",up_Irr!AQ21=".",up_Irr!BP21&lt;&gt;"."),up_dir!S21/((1/1000)*(up_Irr!R21+up_Irr!BP21)),IF(AND(up_Irr!R21=".",up_Irr!AQ21&lt;&gt;".",up_Irr!BP21&lt;&gt;"."),up_dir!S21/((1/1000)*(up_Irr!AQ21+up_Irr!BP21)),IF(AND(up_Irr!R21=".",up_Irr!AQ21=".",up_Irr!BP21&lt;&gt;"."),up_dir!S21/((1/1000)*(up_Irr!BP21)),IF(AND(up_Irr!R21=".",up_Irr!AQ21&lt;&gt;".",up_Irr!BP21="."),up_dir!S21/((1/1000)*(up_Irr!AQ21)),IF(AND(up_Irr!R21&lt;&gt;".",up_Irr!AQ21=".",up_Irr!BP21="."),up_dir!S21/((1/1000)*(up_Irr!R21)),IF(AND(up_Irr!R21=".",up_Irr!AQ21=".",up_Irr!BP21="."),up_dir!S21*1000)))))))),".")</f>
        <v>6.5773651144152123E-11</v>
      </c>
      <c r="T21" s="76">
        <f>IFERROR(IF(AND(up_Irr!S21&lt;&gt;".",up_Irr!AR21&lt;&gt;".",up_Irr!BQ21&lt;&gt;"."),up_dir!T21/((1/1000)*(up_Irr!S21+up_Irr!AR21+up_Irr!BQ21)),IF(AND(up_Irr!S21&lt;&gt;".",up_Irr!AR21&lt;&gt;".",up_Irr!BQ21="."),up_dir!T21/((1/1000)*(up_Irr!S21+up_Irr!AR21)),IF(AND(up_Irr!S21&lt;&gt;".",up_Irr!AR21=".",up_Irr!BQ21&lt;&gt;"."),up_dir!T21/((1/1000)*(up_Irr!S21+up_Irr!BQ21)),IF(AND(up_Irr!S21=".",up_Irr!AR21&lt;&gt;".",up_Irr!BQ21&lt;&gt;"."),up_dir!T21/((1/1000)*(up_Irr!AR21+up_Irr!BQ21)),IF(AND(up_Irr!S21=".",up_Irr!AR21=".",up_Irr!BQ21&lt;&gt;"."),up_dir!T21/((1/1000)*(up_Irr!BQ21)),IF(AND(up_Irr!S21=".",up_Irr!AR21&lt;&gt;".",up_Irr!BQ21="."),up_dir!T21/((1/1000)*(up_Irr!AR21)),IF(AND(up_Irr!S21&lt;&gt;".",up_Irr!AR21=".",up_Irr!BQ21="."),up_dir!T21/((1/1000)*(up_Irr!S21)),IF(AND(up_Irr!S21=".",up_Irr!AR21=".",up_Irr!BQ21="."),up_dir!T21*1000)))))))),".")</f>
        <v>6.5773651144152123E-11</v>
      </c>
      <c r="U21" s="76">
        <f>IFERROR(IF(AND(up_Irr!T21&lt;&gt;".",up_Irr!AS21&lt;&gt;".",up_Irr!BR21&lt;&gt;"."),up_dir!U21/((1/1000)*(up_Irr!T21+up_Irr!AS21+up_Irr!BR21)),IF(AND(up_Irr!T21&lt;&gt;".",up_Irr!AS21&lt;&gt;".",up_Irr!BR21="."),up_dir!U21/((1/1000)*(up_Irr!T21+up_Irr!AS21)),IF(AND(up_Irr!T21&lt;&gt;".",up_Irr!AS21=".",up_Irr!BR21&lt;&gt;"."),up_dir!U21/((1/1000)*(up_Irr!T21+up_Irr!BR21)),IF(AND(up_Irr!T21=".",up_Irr!AS21&lt;&gt;".",up_Irr!BR21&lt;&gt;"."),up_dir!U21/((1/1000)*(up_Irr!AS21+up_Irr!BR21)),IF(AND(up_Irr!T21=".",up_Irr!AS21=".",up_Irr!BR21&lt;&gt;"."),up_dir!U21/((1/1000)*(up_Irr!BR21)),IF(AND(up_Irr!T21=".",up_Irr!AS21&lt;&gt;".",up_Irr!BR21="."),up_dir!U21/((1/1000)*(up_Irr!AS21)),IF(AND(up_Irr!T21&lt;&gt;".",up_Irr!AS21=".",up_Irr!BR21="."),up_dir!U21/((1/1000)*(up_Irr!T21)),IF(AND(up_Irr!T21=".",up_Irr!AS21=".",up_Irr!BR21="."),up_dir!U21*1000)))))))),".")</f>
        <v>6.5773651144152123E-11</v>
      </c>
      <c r="V21" s="76">
        <f>IFERROR(IF(AND(up_Irr!U21&lt;&gt;".",up_Irr!AT21&lt;&gt;".",up_Irr!BS21&lt;&gt;"."),up_dir!V21/((1/1000)*(up_Irr!U21+up_Irr!AT21+up_Irr!BS21)),IF(AND(up_Irr!U21&lt;&gt;".",up_Irr!AT21&lt;&gt;".",up_Irr!BS21="."),up_dir!V21/((1/1000)*(up_Irr!U21+up_Irr!AT21)),IF(AND(up_Irr!U21&lt;&gt;".",up_Irr!AT21=".",up_Irr!BS21&lt;&gt;"."),up_dir!V21/((1/1000)*(up_Irr!U21+up_Irr!BS21)),IF(AND(up_Irr!U21=".",up_Irr!AT21&lt;&gt;".",up_Irr!BS21&lt;&gt;"."),up_dir!V21/((1/1000)*(up_Irr!AT21+up_Irr!BS21)),IF(AND(up_Irr!U21=".",up_Irr!AT21=".",up_Irr!BS21&lt;&gt;"."),up_dir!V21/((1/1000)*(up_Irr!BS21)),IF(AND(up_Irr!U21=".",up_Irr!AT21&lt;&gt;".",up_Irr!BS21="."),up_dir!V21/((1/1000)*(up_Irr!AT21)),IF(AND(up_Irr!U21&lt;&gt;".",up_Irr!AT21=".",up_Irr!BS21="."),up_dir!V21/((1/1000)*(up_Irr!U21)),IF(AND(up_Irr!U21=".",up_Irr!AT21=".",up_Irr!BS21="."),up_dir!V21*1000)))))))),".")</f>
        <v>6.5773651144152123E-11</v>
      </c>
      <c r="W21" s="76">
        <f>IFERROR(IF(AND(up_Irr!V21&lt;&gt;".",up_Irr!AU21&lt;&gt;".",up_Irr!BT21&lt;&gt;"."),up_dir!W21/((1/1000)*(up_Irr!V21+up_Irr!AU21+up_Irr!BT21)),IF(AND(up_Irr!V21&lt;&gt;".",up_Irr!AU21&lt;&gt;".",up_Irr!BT21="."),up_dir!W21/((1/1000)*(up_Irr!V21+up_Irr!AU21)),IF(AND(up_Irr!V21&lt;&gt;".",up_Irr!AU21=".",up_Irr!BT21&lt;&gt;"."),up_dir!W21/((1/1000)*(up_Irr!V21+up_Irr!BT21)),IF(AND(up_Irr!V21=".",up_Irr!AU21&lt;&gt;".",up_Irr!BT21&lt;&gt;"."),up_dir!W21/((1/1000)*(up_Irr!AU21+up_Irr!BT21)),IF(AND(up_Irr!V21=".",up_Irr!AU21=".",up_Irr!BT21&lt;&gt;"."),up_dir!W21/((1/1000)*(up_Irr!BT21)),IF(AND(up_Irr!V21=".",up_Irr!AU21&lt;&gt;".",up_Irr!BT21="."),up_dir!W21/((1/1000)*(up_Irr!AU21)),IF(AND(up_Irr!V21&lt;&gt;".",up_Irr!AU21=".",up_Irr!BT21="."),up_dir!W21/((1/1000)*(up_Irr!V21)),IF(AND(up_Irr!V21=".",up_Irr!AU21=".",up_Irr!BT21="."),up_dir!W21*1000)))))))),".")</f>
        <v>6.5773651144152123E-11</v>
      </c>
      <c r="X21" s="76">
        <f>IFERROR(IF(AND(up_Irr!W21&lt;&gt;".",up_Irr!AV21&lt;&gt;".",up_Irr!BU21&lt;&gt;"."),up_dir!X21/((1/1000)*(up_Irr!W21+up_Irr!AV21+up_Irr!BU21)),IF(AND(up_Irr!W21&lt;&gt;".",up_Irr!AV21&lt;&gt;".",up_Irr!BU21="."),up_dir!X21/((1/1000)*(up_Irr!W21+up_Irr!AV21)),IF(AND(up_Irr!W21&lt;&gt;".",up_Irr!AV21=".",up_Irr!BU21&lt;&gt;"."),up_dir!X21/((1/1000)*(up_Irr!W21+up_Irr!BU21)),IF(AND(up_Irr!W21=".",up_Irr!AV21&lt;&gt;".",up_Irr!BU21&lt;&gt;"."),up_dir!X21/((1/1000)*(up_Irr!AV21+up_Irr!BU21)),IF(AND(up_Irr!W21=".",up_Irr!AV21=".",up_Irr!BU21&lt;&gt;"."),up_dir!X21/((1/1000)*(up_Irr!BU21)),IF(AND(up_Irr!W21=".",up_Irr!AV21&lt;&gt;".",up_Irr!BU21="."),up_dir!X21/((1/1000)*(up_Irr!AV21)),IF(AND(up_Irr!W21&lt;&gt;".",up_Irr!AV21=".",up_Irr!BU21="."),up_dir!X21/((1/1000)*(up_Irr!W21)),IF(AND(up_Irr!W21=".",up_Irr!AV21=".",up_Irr!BU21="."),up_dir!X21*1000)))))))),".")</f>
        <v>6.5773651144152123E-11</v>
      </c>
      <c r="Y21" s="76">
        <f>IFERROR(IF(AND(up_Irr!X21&lt;&gt;".",up_Irr!AW21&lt;&gt;".",up_Irr!BV21&lt;&gt;"."),up_dir!Y21/((1/1000)*(up_Irr!X21+up_Irr!AW21+up_Irr!BV21)),IF(AND(up_Irr!X21&lt;&gt;".",up_Irr!AW21&lt;&gt;".",up_Irr!BV21="."),up_dir!Y21/((1/1000)*(up_Irr!X21+up_Irr!AW21)),IF(AND(up_Irr!X21&lt;&gt;".",up_Irr!AW21=".",up_Irr!BV21&lt;&gt;"."),up_dir!Y21/((1/1000)*(up_Irr!X21+up_Irr!BV21)),IF(AND(up_Irr!X21=".",up_Irr!AW21&lt;&gt;".",up_Irr!BV21&lt;&gt;"."),up_dir!Y21/((1/1000)*(up_Irr!AW21+up_Irr!BV21)),IF(AND(up_Irr!X21=".",up_Irr!AW21=".",up_Irr!BV21&lt;&gt;"."),up_dir!Y21/((1/1000)*(up_Irr!BV21)),IF(AND(up_Irr!X21=".",up_Irr!AW21&lt;&gt;".",up_Irr!BV21="."),up_dir!Y21/((1/1000)*(up_Irr!AW21)),IF(AND(up_Irr!X21&lt;&gt;".",up_Irr!AW21=".",up_Irr!BV21="."),up_dir!Y21/((1/1000)*(up_Irr!X21)),IF(AND(up_Irr!X21=".",up_Irr!AW21=".",up_Irr!BV21="."),up_dir!Y21*1000)))))))),".")</f>
        <v>6.5773651144152123E-11</v>
      </c>
      <c r="Z21" s="76">
        <f>IFERROR(IF(AND(up_Irr!Y21&lt;&gt;".",up_Irr!AX21&lt;&gt;".",up_Irr!BW21&lt;&gt;"."),up_dir!Z21/((1/1000)*(up_Irr!Y21+up_Irr!AX21+up_Irr!BW21)),IF(AND(up_Irr!Y21&lt;&gt;".",up_Irr!AX21&lt;&gt;".",up_Irr!BW21="."),up_dir!Z21/((1/1000)*(up_Irr!Y21+up_Irr!AX21)),IF(AND(up_Irr!Y21&lt;&gt;".",up_Irr!AX21=".",up_Irr!BW21&lt;&gt;"."),up_dir!Z21/((1/1000)*(up_Irr!Y21+up_Irr!BW21)),IF(AND(up_Irr!Y21=".",up_Irr!AX21&lt;&gt;".",up_Irr!BW21&lt;&gt;"."),up_dir!Z21/((1/1000)*(up_Irr!AX21+up_Irr!BW21)),IF(AND(up_Irr!Y21=".",up_Irr!AX21=".",up_Irr!BW21&lt;&gt;"."),up_dir!Z21/((1/1000)*(up_Irr!BW21)),IF(AND(up_Irr!Y21=".",up_Irr!AX21&lt;&gt;".",up_Irr!BW21="."),up_dir!Z21/((1/1000)*(up_Irr!AX21)),IF(AND(up_Irr!Y21&lt;&gt;".",up_Irr!AX21=".",up_Irr!BW21="."),up_dir!Z21/((1/1000)*(up_Irr!Y21)),IF(AND(up_Irr!Y21=".",up_Irr!AX21=".",up_Irr!BW21="."),up_dir!Z21*1000)))))))),".")</f>
        <v>6.5773651144152123E-11</v>
      </c>
      <c r="AA21" s="76">
        <f>IFERROR(IF(AND(up_Irr!Z21&lt;&gt;".",up_Irr!AY21&lt;&gt;".",up_Irr!BX21&lt;&gt;"."),up_dir!AA21/((1/1000)*(up_Irr!Z21+up_Irr!AY21+up_Irr!BX21)),IF(AND(up_Irr!Z21&lt;&gt;".",up_Irr!AY21&lt;&gt;".",up_Irr!BX21="."),up_dir!AA21/((1/1000)*(up_Irr!Z21+up_Irr!AY21)),IF(AND(up_Irr!Z21&lt;&gt;".",up_Irr!AY21=".",up_Irr!BX21&lt;&gt;"."),up_dir!AA21/((1/1000)*(up_Irr!Z21+up_Irr!BX21)),IF(AND(up_Irr!Z21=".",up_Irr!AY21&lt;&gt;".",up_Irr!BX21&lt;&gt;"."),up_dir!AA21/((1/1000)*(up_Irr!AY21+up_Irr!BX21)),IF(AND(up_Irr!Z21=".",up_Irr!AY21=".",up_Irr!BX21&lt;&gt;"."),up_dir!AA21/((1/1000)*(up_Irr!BX21)),IF(AND(up_Irr!Z21=".",up_Irr!AY21&lt;&gt;".",up_Irr!BX21="."),up_dir!AA21/((1/1000)*(up_Irr!AY21)),IF(AND(up_Irr!Z21&lt;&gt;".",up_Irr!AY21=".",up_Irr!BX21="."),up_dir!AA21/((1/1000)*(up_Irr!Z21)),IF(AND(up_Irr!Z21=".",up_Irr!AY21=".",up_Irr!BX21="."),up_dir!AA21*1000)))))))),".")</f>
        <v>6.5773651144152123E-11</v>
      </c>
      <c r="AB21" s="76">
        <f>IFERROR(IF(AND(up_Irr!AA21&lt;&gt;".",up_Irr!AZ21&lt;&gt;".",up_Irr!BY21&lt;&gt;"."),up_dir!AB21/((1/1000)*(up_Irr!AA21+up_Irr!AZ21+up_Irr!BY21)),IF(AND(up_Irr!AA21&lt;&gt;".",up_Irr!AZ21&lt;&gt;".",up_Irr!BY21="."),up_dir!AB21/((1/1000)*(up_Irr!AA21+up_Irr!AZ21)),IF(AND(up_Irr!AA21&lt;&gt;".",up_Irr!AZ21=".",up_Irr!BY21&lt;&gt;"."),up_dir!AB21/((1/1000)*(up_Irr!AA21+up_Irr!BY21)),IF(AND(up_Irr!AA21=".",up_Irr!AZ21&lt;&gt;".",up_Irr!BY21&lt;&gt;"."),up_dir!AB21/((1/1000)*(up_Irr!AZ21+up_Irr!BY21)),IF(AND(up_Irr!AA21=".",up_Irr!AZ21=".",up_Irr!BY21&lt;&gt;"."),up_dir!AB21/((1/1000)*(up_Irr!BY21)),IF(AND(up_Irr!AA21=".",up_Irr!AZ21&lt;&gt;".",up_Irr!BY21="."),up_dir!AB21/((1/1000)*(up_Irr!AZ21)),IF(AND(up_Irr!AA21&lt;&gt;".",up_Irr!AZ21=".",up_Irr!BY21="."),up_dir!AB21/((1/1000)*(up_Irr!AA21)),IF(AND(up_Irr!AA21=".",up_Irr!AZ21=".",up_Irr!BY21="."),up_dir!AB21*1000)))))))),".")</f>
        <v>6.5773651144152123E-11</v>
      </c>
      <c r="AC21" s="93">
        <f t="shared" si="1"/>
        <v>608146.26076229871</v>
      </c>
      <c r="AD21" s="93">
        <f>IFERROR(s_C*s_IFAP_res_adj*s_CF_apple*0.001*(up_Irr!C21+up_Irr!AB21+up_Irr!BA21),".")</f>
        <v>152036.56519057468</v>
      </c>
      <c r="AE21" s="93">
        <f>IFERROR(s_C*s_IFAS_res_adj*s_CF_asparagus*0.001*(up_Irr!D21+up_Irr!AC21+up_Irr!BB21),".")</f>
        <v>152036.56519057468</v>
      </c>
      <c r="AF21" s="93">
        <f>IFERROR(s_C*s_IFBT_res_adj*s_CF_beet*0.001*(up_Irr!E21+up_Irr!AD21+up_Irr!BC21),".")</f>
        <v>152036.56519057468</v>
      </c>
      <c r="AG21" s="93">
        <f>IFERROR(s_C*s_IFBE_res_adj*s_CF_berries*0.001*(up_Irr!F21+up_Irr!AE21+up_Irr!BD21),".")</f>
        <v>152036.56519057468</v>
      </c>
      <c r="AH21" s="93">
        <f>IFERROR(s_C*s_IFBR_res_adj*s_CF_broccoli*0.001*(up_Irr!G21+up_Irr!AF21+up_Irr!BE21),".")</f>
        <v>152036.56519057468</v>
      </c>
      <c r="AI21" s="93">
        <f>IFERROR(s_C*s_IFCB_res_adj*s_CF_cabbage*0.001*(up_Irr!H21+up_Irr!AG21+up_Irr!BF21),".")</f>
        <v>152036.56519057468</v>
      </c>
      <c r="AJ21" s="93">
        <f>IFERROR(s_C*s_IFCR_res_adj*s_CF_carrot*0.001*(up_Irr!I21+up_Irr!AH21+up_Irr!BG21),".")</f>
        <v>152036.56519057468</v>
      </c>
      <c r="AK21" s="93">
        <f>IFERROR(s_C*s_IFCI_res_adj*s_CF_citrus*0.001*(up_Irr!J21+up_Irr!AI21+up_Irr!BH21),".")</f>
        <v>152036.56519057468</v>
      </c>
      <c r="AL21" s="93">
        <f>IFERROR(s_C*s_IFCO_res_adj*s_CF_corn*0.001*(up_Irr!K21+up_Irr!AJ21+up_Irr!BI21),".")</f>
        <v>152036.56519057468</v>
      </c>
      <c r="AM21" s="93">
        <f>IFERROR(s_C*s_IFCU_res_adj*s_CF_cucumber*0.001*(up_Irr!L21+up_Irr!AK21+up_Irr!BJ21),".")</f>
        <v>152036.56519057468</v>
      </c>
      <c r="AN21" s="93">
        <f>IFERROR(s_C*s_IFLE_res_adj*s_CF_lettuce*0.001*(up_Irr!M21+up_Irr!AL21+up_Irr!BK21),".")</f>
        <v>152036.56519057468</v>
      </c>
      <c r="AO21" s="93">
        <f>IFERROR(s_C*s_IFLI_res_adj*s_CF_lima_bean*0.001*(up_Irr!N21+up_Irr!AM21+up_Irr!BL21),".")</f>
        <v>152036.56519057468</v>
      </c>
      <c r="AP21" s="93">
        <f>IFERROR(s_C*s_IFOK_res_adj*s_CF_okra*0.001*(up_Irr!O21+up_Irr!AN21+up_Irr!BM21),".")</f>
        <v>152036.56519057468</v>
      </c>
      <c r="AQ21" s="93">
        <f>IFERROR(s_C*s_IFON_res_adj*s_CF_onion*0.001*(up_Irr!P21+up_Irr!AO21+up_Irr!BN21),".")</f>
        <v>152036.56519057468</v>
      </c>
      <c r="AR21" s="93">
        <f>IFERROR(s_C*s_IFPC_res_adj*s_CF_peach*0.001*(up_Irr!Q21+up_Irr!AP21+up_Irr!BO21),".")</f>
        <v>152036.56519057468</v>
      </c>
      <c r="AS21" s="93">
        <f>IFERROR(s_C*s_IFPR_res_adj*s_CF_pear*0.001*(up_Irr!R21+up_Irr!AQ21+up_Irr!BP21),".")</f>
        <v>152036.56519057468</v>
      </c>
      <c r="AT21" s="93">
        <f>IFERROR(s_C*s_IFPE_res_adj*s_CF_peas*0.001*(up_Irr!S21+up_Irr!AR21+up_Irr!BQ21),".")</f>
        <v>152036.56519057468</v>
      </c>
      <c r="AU21" s="93">
        <f>IFERROR(s_C*s_IFPP_res_adj*s_CF_peppers*0.001*(up_Irr!T21+up_Irr!AS21+up_Irr!BR21),".")</f>
        <v>152036.56519057468</v>
      </c>
      <c r="AV21" s="93">
        <f>IFERROR(s_C*s_IFPT_res_adj*s_CF_potato*0.001*(up_Irr!U21+up_Irr!AT21+up_Irr!BS21),".")</f>
        <v>152036.56519057468</v>
      </c>
      <c r="AW21" s="93">
        <f>IFERROR(s_C*s_IFPU_res_adj*s_CF_pumpkin*0.001*(up_Irr!V21+up_Irr!AU21+up_Irr!BT21),".")</f>
        <v>152036.56519057468</v>
      </c>
      <c r="AX21" s="93">
        <f>IFERROR(s_C*s_IFSN_res_adj*s_CF_snap_bean*0.001*(up_Irr!W21+up_Irr!AV21+up_Irr!BU21),".")</f>
        <v>152036.56519057468</v>
      </c>
      <c r="AY21" s="93">
        <f>IFERROR(s_C*s_IFST_res_adj*s_CF_strawberry*0.001*(up_Irr!X21+up_Irr!AW21+up_Irr!BV21),".")</f>
        <v>152036.56519057468</v>
      </c>
      <c r="AZ21" s="93">
        <f>IFERROR(s_C*s_IFTO_res_adj*s_CF_tomato*0.001*(up_Irr!Y21+up_Irr!AX21+up_Irr!BW21),".")</f>
        <v>152036.56519057468</v>
      </c>
      <c r="BA21" s="93">
        <f>IFERROR(s_C*s_IFRI_res_adj*s_CF_rice*0.001*(up_Irr!Z21+up_Irr!AY21+up_Irr!BX21),".")</f>
        <v>152036.56519057468</v>
      </c>
      <c r="BB21" s="93">
        <f>IFERROR(s_C*s_IFCG_res_adj*s_CF_cereal*0.001*(up_Irr!AA21+up_Irr!AZ21+up_Irr!BY21),".")</f>
        <v>152036.56519057468</v>
      </c>
      <c r="BC21" s="76">
        <f t="shared" si="2"/>
        <v>1.6443412786038031E-11</v>
      </c>
      <c r="BD21" s="76">
        <f>IFERROR(IF(AND(up_Irr!C21&lt;&gt;".",up_Irr!AB21&lt;&gt;".",up_Irr!BA21&lt;&gt;"."),up_dir!AD21/((1/1000)*(up_Irr!C21+up_Irr!AB21+up_Irr!BA21)),IF(AND(up_Irr!C21&lt;&gt;".",up_Irr!AB21&lt;&gt;".",up_Irr!BA21="."),up_dir!AD21/((1/1000)*(up_Irr!C21+up_Irr!AB21)),IF(AND(up_Irr!C21&lt;&gt;".",up_Irr!AB21=".",up_Irr!BA21&lt;&gt;"."),up_dir!AD21/((1/1000)*(up_Irr!C21+up_Irr!BA21)),IF(AND(up_Irr!C21=".",up_Irr!AB21&lt;&gt;".",up_Irr!BA21&lt;&gt;"."),up_dir!AD21/((1/1000)*(up_Irr!AB21+up_Irr!BA21)),IF(AND(up_Irr!C21=".",up_Irr!AB21=".",up_Irr!BA21&lt;&gt;"."),up_dir!AD21/((1/1000)*(up_Irr!BA21)),IF(AND(up_Irr!C21=".",up_Irr!AB21&lt;&gt;".",up_Irr!BA21="."),up_dir!AD21/((1/1000)*(up_Irr!AB21)),IF(AND(up_Irr!C21&lt;&gt;".",up_Irr!AB21=".",up_Irr!BA21="."),up_dir!AD21/((1/1000)*(up_Irr!C21)),IF(AND(up_Irr!C21=".",up_Irr!AB21=".",up_Irr!BA21="."),up_dir!AD21*1000)))))))),".")</f>
        <v>6.5773651144152123E-11</v>
      </c>
      <c r="BE21" s="76">
        <f>IFERROR(IF(AND(up_Irr!D21&lt;&gt;".",up_Irr!AC21&lt;&gt;".",up_Irr!BB21&lt;&gt;"."),up_dir!AE21/((1/1000)*(up_Irr!D21+up_Irr!AC21+up_Irr!BB21)),IF(AND(up_Irr!D21&lt;&gt;".",up_Irr!AC21&lt;&gt;".",up_Irr!BB21="."),up_dir!AE21/((1/1000)*(up_Irr!D21+up_Irr!AC21)),IF(AND(up_Irr!D21&lt;&gt;".",up_Irr!AC21=".",up_Irr!BB21&lt;&gt;"."),up_dir!AE21/((1/1000)*(up_Irr!D21+up_Irr!BB21)),IF(AND(up_Irr!D21=".",up_Irr!AC21&lt;&gt;".",up_Irr!BB21&lt;&gt;"."),up_dir!AE21/((1/1000)*(up_Irr!AC21+up_Irr!BB21)),IF(AND(up_Irr!D21=".",up_Irr!AC21=".",up_Irr!BB21&lt;&gt;"."),up_dir!AE21/((1/1000)*(up_Irr!BB21)),IF(AND(up_Irr!D21=".",up_Irr!AC21&lt;&gt;".",up_Irr!BB21="."),up_dir!AE21/((1/1000)*(up_Irr!AC21)),IF(AND(up_Irr!D21&lt;&gt;".",up_Irr!AC21=".",up_Irr!BB21="."),up_dir!AE21/((1/1000)*(up_Irr!D21)),IF(AND(up_Irr!D21=".",up_Irr!AC21=".",up_Irr!BB21="."),up_dir!AE21*1000)))))))),".")</f>
        <v>6.5773651144152123E-11</v>
      </c>
      <c r="BF21" s="76">
        <f>IFERROR(IF(AND(up_Irr!E21&lt;&gt;".",up_Irr!AD21&lt;&gt;".",up_Irr!BC21&lt;&gt;"."),up_dir!AF21/((1/1000)*(up_Irr!E21+up_Irr!AD21+up_Irr!BC21)),IF(AND(up_Irr!E21&lt;&gt;".",up_Irr!AD21&lt;&gt;".",up_Irr!BC21="."),up_dir!AF21/((1/1000)*(up_Irr!E21+up_Irr!AD21)),IF(AND(up_Irr!E21&lt;&gt;".",up_Irr!AD21=".",up_Irr!BC21&lt;&gt;"."),up_dir!AF21/((1/1000)*(up_Irr!E21+up_Irr!BC21)),IF(AND(up_Irr!E21=".",up_Irr!AD21&lt;&gt;".",up_Irr!BC21&lt;&gt;"."),up_dir!AF21/((1/1000)*(up_Irr!AD21+up_Irr!BC21)),IF(AND(up_Irr!E21=".",up_Irr!AD21=".",up_Irr!BC21&lt;&gt;"."),up_dir!AF21/((1/1000)*(up_Irr!BC21)),IF(AND(up_Irr!E21=".",up_Irr!AD21&lt;&gt;".",up_Irr!BC21="."),up_dir!AF21/((1/1000)*(up_Irr!AD21)),IF(AND(up_Irr!E21&lt;&gt;".",up_Irr!AD21=".",up_Irr!BC21="."),up_dir!AF21/((1/1000)*(up_Irr!E21)),IF(AND(up_Irr!E21=".",up_Irr!AD21=".",up_Irr!BC21="."),up_dir!AF21*1000)))))))),".")</f>
        <v>6.5773651144152123E-11</v>
      </c>
      <c r="BG21" s="76">
        <f>IFERROR(IF(AND(up_Irr!F21&lt;&gt;".",up_Irr!AE21&lt;&gt;".",up_Irr!BD21&lt;&gt;"."),up_dir!AG21/((1/1000)*(up_Irr!F21+up_Irr!AE21+up_Irr!BD21)),IF(AND(up_Irr!F21&lt;&gt;".",up_Irr!AE21&lt;&gt;".",up_Irr!BD21="."),up_dir!AG21/((1/1000)*(up_Irr!F21+up_Irr!AE21)),IF(AND(up_Irr!F21&lt;&gt;".",up_Irr!AE21=".",up_Irr!BD21&lt;&gt;"."),up_dir!AG21/((1/1000)*(up_Irr!F21+up_Irr!BD21)),IF(AND(up_Irr!F21=".",up_Irr!AE21&lt;&gt;".",up_Irr!BD21&lt;&gt;"."),up_dir!AG21/((1/1000)*(up_Irr!AE21+up_Irr!BD21)),IF(AND(up_Irr!F21=".",up_Irr!AE21=".",up_Irr!BD21&lt;&gt;"."),up_dir!AG21/((1/1000)*(up_Irr!BD21)),IF(AND(up_Irr!F21=".",up_Irr!AE21&lt;&gt;".",up_Irr!BD21="."),up_dir!AG21/((1/1000)*(up_Irr!AE21)),IF(AND(up_Irr!F21&lt;&gt;".",up_Irr!AE21=".",up_Irr!BD21="."),up_dir!AG21/((1/1000)*(up_Irr!F21)),IF(AND(up_Irr!F21=".",up_Irr!AE21=".",up_Irr!BD21="."),up_dir!AG21*1000)))))))),".")</f>
        <v>6.5773651144152123E-11</v>
      </c>
      <c r="BH21" s="76">
        <f>IFERROR(IF(AND(up_Irr!G21&lt;&gt;".",up_Irr!AF21&lt;&gt;".",up_Irr!BE21&lt;&gt;"."),up_dir!AH21/((1/1000)*(up_Irr!G21+up_Irr!AF21+up_Irr!BE21)),IF(AND(up_Irr!G21&lt;&gt;".",up_Irr!AF21&lt;&gt;".",up_Irr!BE21="."),up_dir!AH21/((1/1000)*(up_Irr!G21+up_Irr!AF21)),IF(AND(up_Irr!G21&lt;&gt;".",up_Irr!AF21=".",up_Irr!BE21&lt;&gt;"."),up_dir!AH21/((1/1000)*(up_Irr!G21+up_Irr!BE21)),IF(AND(up_Irr!G21=".",up_Irr!AF21&lt;&gt;".",up_Irr!BE21&lt;&gt;"."),up_dir!AH21/((1/1000)*(up_Irr!AF21+up_Irr!BE21)),IF(AND(up_Irr!G21=".",up_Irr!AF21=".",up_Irr!BE21&lt;&gt;"."),up_dir!AH21/((1/1000)*(up_Irr!BE21)),IF(AND(up_Irr!G21=".",up_Irr!AF21&lt;&gt;".",up_Irr!BE21="."),up_dir!AH21/((1/1000)*(up_Irr!AF21)),IF(AND(up_Irr!G21&lt;&gt;".",up_Irr!AF21=".",up_Irr!BE21="."),up_dir!AH21/((1/1000)*(up_Irr!G21)),IF(AND(up_Irr!G21=".",up_Irr!AF21=".",up_Irr!BE21="."),up_dir!AH21*1000)))))))),".")</f>
        <v>6.5773651144152123E-11</v>
      </c>
      <c r="BI21" s="76">
        <f>IFERROR(IF(AND(up_Irr!H21&lt;&gt;".",up_Irr!AG21&lt;&gt;".",up_Irr!BF21&lt;&gt;"."),up_dir!AI21/((1/1000)*(up_Irr!H21+up_Irr!AG21+up_Irr!BF21)),IF(AND(up_Irr!H21&lt;&gt;".",up_Irr!AG21&lt;&gt;".",up_Irr!BF21="."),up_dir!AI21/((1/1000)*(up_Irr!H21+up_Irr!AG21)),IF(AND(up_Irr!H21&lt;&gt;".",up_Irr!AG21=".",up_Irr!BF21&lt;&gt;"."),up_dir!AI21/((1/1000)*(up_Irr!H21+up_Irr!BF21)),IF(AND(up_Irr!H21=".",up_Irr!AG21&lt;&gt;".",up_Irr!BF21&lt;&gt;"."),up_dir!AI21/((1/1000)*(up_Irr!AG21+up_Irr!BF21)),IF(AND(up_Irr!H21=".",up_Irr!AG21=".",up_Irr!BF21&lt;&gt;"."),up_dir!AI21/((1/1000)*(up_Irr!BF21)),IF(AND(up_Irr!H21=".",up_Irr!AG21&lt;&gt;".",up_Irr!BF21="."),up_dir!AI21/((1/1000)*(up_Irr!AG21)),IF(AND(up_Irr!H21&lt;&gt;".",up_Irr!AG21=".",up_Irr!BF21="."),up_dir!AI21/((1/1000)*(up_Irr!H21)),IF(AND(up_Irr!H21=".",up_Irr!AG21=".",up_Irr!BF21="."),up_dir!AI21*1000)))))))),".")</f>
        <v>6.5773651144152123E-11</v>
      </c>
      <c r="BJ21" s="76">
        <f>IFERROR(IF(AND(up_Irr!I21&lt;&gt;".",up_Irr!AH21&lt;&gt;".",up_Irr!BG21&lt;&gt;"."),up_dir!AJ21/((1/1000)*(up_Irr!I21+up_Irr!AH21+up_Irr!BG21)),IF(AND(up_Irr!I21&lt;&gt;".",up_Irr!AH21&lt;&gt;".",up_Irr!BG21="."),up_dir!AJ21/((1/1000)*(up_Irr!I21+up_Irr!AH21)),IF(AND(up_Irr!I21&lt;&gt;".",up_Irr!AH21=".",up_Irr!BG21&lt;&gt;"."),up_dir!AJ21/((1/1000)*(up_Irr!I21+up_Irr!BG21)),IF(AND(up_Irr!I21=".",up_Irr!AH21&lt;&gt;".",up_Irr!BG21&lt;&gt;"."),up_dir!AJ21/((1/1000)*(up_Irr!AH21+up_Irr!BG21)),IF(AND(up_Irr!I21=".",up_Irr!AH21=".",up_Irr!BG21&lt;&gt;"."),up_dir!AJ21/((1/1000)*(up_Irr!BG21)),IF(AND(up_Irr!I21=".",up_Irr!AH21&lt;&gt;".",up_Irr!BG21="."),up_dir!AJ21/((1/1000)*(up_Irr!AH21)),IF(AND(up_Irr!I21&lt;&gt;".",up_Irr!AH21=".",up_Irr!BG21="."),up_dir!AJ21/((1/1000)*(up_Irr!I21)),IF(AND(up_Irr!I21=".",up_Irr!AH21=".",up_Irr!BG21="."),up_dir!AJ21*1000)))))))),".")</f>
        <v>6.5773651144152123E-11</v>
      </c>
      <c r="BK21" s="76">
        <f>IFERROR(IF(AND(up_Irr!J21&lt;&gt;".",up_Irr!AI21&lt;&gt;".",up_Irr!BH21&lt;&gt;"."),up_dir!AK21/((1/1000)*(up_Irr!J21+up_Irr!AI21+up_Irr!BH21)),IF(AND(up_Irr!J21&lt;&gt;".",up_Irr!AI21&lt;&gt;".",up_Irr!BH21="."),up_dir!AK21/((1/1000)*(up_Irr!J21+up_Irr!AI21)),IF(AND(up_Irr!J21&lt;&gt;".",up_Irr!AI21=".",up_Irr!BH21&lt;&gt;"."),up_dir!AK21/((1/1000)*(up_Irr!J21+up_Irr!BH21)),IF(AND(up_Irr!J21=".",up_Irr!AI21&lt;&gt;".",up_Irr!BH21&lt;&gt;"."),up_dir!AK21/((1/1000)*(up_Irr!AI21+up_Irr!BH21)),IF(AND(up_Irr!J21=".",up_Irr!AI21=".",up_Irr!BH21&lt;&gt;"."),up_dir!AK21/((1/1000)*(up_Irr!BH21)),IF(AND(up_Irr!J21=".",up_Irr!AI21&lt;&gt;".",up_Irr!BH21="."),up_dir!AK21/((1/1000)*(up_Irr!AI21)),IF(AND(up_Irr!J21&lt;&gt;".",up_Irr!AI21=".",up_Irr!BH21="."),up_dir!AK21/((1/1000)*(up_Irr!J21)),IF(AND(up_Irr!J21=".",up_Irr!AI21=".",up_Irr!BH21="."),up_dir!AK21*1000)))))))),".")</f>
        <v>6.5773651144152123E-11</v>
      </c>
      <c r="BL21" s="76">
        <f>IFERROR(IF(AND(up_Irr!K21&lt;&gt;".",up_Irr!AJ21&lt;&gt;".",up_Irr!BI21&lt;&gt;"."),up_dir!AL21/((1/1000)*(up_Irr!K21+up_Irr!AJ21+up_Irr!BI21)),IF(AND(up_Irr!K21&lt;&gt;".",up_Irr!AJ21&lt;&gt;".",up_Irr!BI21="."),up_dir!AL21/((1/1000)*(up_Irr!K21+up_Irr!AJ21)),IF(AND(up_Irr!K21&lt;&gt;".",up_Irr!AJ21=".",up_Irr!BI21&lt;&gt;"."),up_dir!AL21/((1/1000)*(up_Irr!K21+up_Irr!BI21)),IF(AND(up_Irr!K21=".",up_Irr!AJ21&lt;&gt;".",up_Irr!BI21&lt;&gt;"."),up_dir!AL21/((1/1000)*(up_Irr!AJ21+up_Irr!BI21)),IF(AND(up_Irr!K21=".",up_Irr!AJ21=".",up_Irr!BI21&lt;&gt;"."),up_dir!AL21/((1/1000)*(up_Irr!BI21)),IF(AND(up_Irr!K21=".",up_Irr!AJ21&lt;&gt;".",up_Irr!BI21="."),up_dir!AL21/((1/1000)*(up_Irr!AJ21)),IF(AND(up_Irr!K21&lt;&gt;".",up_Irr!AJ21=".",up_Irr!BI21="."),up_dir!AL21/((1/1000)*(up_Irr!K21)),IF(AND(up_Irr!K21=".",up_Irr!AJ21=".",up_Irr!BI21="."),up_dir!AL21*1000)))))))),".")</f>
        <v>6.5773651144152123E-11</v>
      </c>
      <c r="BM21" s="76">
        <f>IFERROR(IF(AND(up_Irr!L21&lt;&gt;".",up_Irr!AK21&lt;&gt;".",up_Irr!BJ21&lt;&gt;"."),up_dir!AM21/((1/1000)*(up_Irr!L21+up_Irr!AK21+up_Irr!BJ21)),IF(AND(up_Irr!L21&lt;&gt;".",up_Irr!AK21&lt;&gt;".",up_Irr!BJ21="."),up_dir!AM21/((1/1000)*(up_Irr!L21+up_Irr!AK21)),IF(AND(up_Irr!L21&lt;&gt;".",up_Irr!AK21=".",up_Irr!BJ21&lt;&gt;"."),up_dir!AM21/((1/1000)*(up_Irr!L21+up_Irr!BJ21)),IF(AND(up_Irr!L21=".",up_Irr!AK21&lt;&gt;".",up_Irr!BJ21&lt;&gt;"."),up_dir!AM21/((1/1000)*(up_Irr!AK21+up_Irr!BJ21)),IF(AND(up_Irr!L21=".",up_Irr!AK21=".",up_Irr!BJ21&lt;&gt;"."),up_dir!AM21/((1/1000)*(up_Irr!BJ21)),IF(AND(up_Irr!L21=".",up_Irr!AK21&lt;&gt;".",up_Irr!BJ21="."),up_dir!AM21/((1/1000)*(up_Irr!AK21)),IF(AND(up_Irr!L21&lt;&gt;".",up_Irr!AK21=".",up_Irr!BJ21="."),up_dir!AM21/((1/1000)*(up_Irr!L21)),IF(AND(up_Irr!L21=".",up_Irr!AK21=".",up_Irr!BJ21="."),up_dir!AM21*1000)))))))),".")</f>
        <v>6.5773651144152123E-11</v>
      </c>
      <c r="BN21" s="76">
        <f>IFERROR(IF(AND(up_Irr!M21&lt;&gt;".",up_Irr!AL21&lt;&gt;".",up_Irr!BK21&lt;&gt;"."),up_dir!AN21/((1/1000)*(up_Irr!M21+up_Irr!AL21+up_Irr!BK21)),IF(AND(up_Irr!M21&lt;&gt;".",up_Irr!AL21&lt;&gt;".",up_Irr!BK21="."),up_dir!AN21/((1/1000)*(up_Irr!M21+up_Irr!AL21)),IF(AND(up_Irr!M21&lt;&gt;".",up_Irr!AL21=".",up_Irr!BK21&lt;&gt;"."),up_dir!AN21/((1/1000)*(up_Irr!M21+up_Irr!BK21)),IF(AND(up_Irr!M21=".",up_Irr!AL21&lt;&gt;".",up_Irr!BK21&lt;&gt;"."),up_dir!AN21/((1/1000)*(up_Irr!AL21+up_Irr!BK21)),IF(AND(up_Irr!M21=".",up_Irr!AL21=".",up_Irr!BK21&lt;&gt;"."),up_dir!AN21/((1/1000)*(up_Irr!BK21)),IF(AND(up_Irr!M21=".",up_Irr!AL21&lt;&gt;".",up_Irr!BK21="."),up_dir!AN21/((1/1000)*(up_Irr!AL21)),IF(AND(up_Irr!M21&lt;&gt;".",up_Irr!AL21=".",up_Irr!BK21="."),up_dir!AN21/((1/1000)*(up_Irr!M21)),IF(AND(up_Irr!M21=".",up_Irr!AL21=".",up_Irr!BK21="."),up_dir!AN21*1000)))))))),".")</f>
        <v>6.5773651144152123E-11</v>
      </c>
      <c r="BO21" s="76">
        <f>IFERROR(IF(AND(up_Irr!N21&lt;&gt;".",up_Irr!AM21&lt;&gt;".",up_Irr!BL21&lt;&gt;"."),up_dir!AO21/((1/1000)*(up_Irr!N21+up_Irr!AM21+up_Irr!BL21)),IF(AND(up_Irr!N21&lt;&gt;".",up_Irr!AM21&lt;&gt;".",up_Irr!BL21="."),up_dir!AO21/((1/1000)*(up_Irr!N21+up_Irr!AM21)),IF(AND(up_Irr!N21&lt;&gt;".",up_Irr!AM21=".",up_Irr!BL21&lt;&gt;"."),up_dir!AO21/((1/1000)*(up_Irr!N21+up_Irr!BL21)),IF(AND(up_Irr!N21=".",up_Irr!AM21&lt;&gt;".",up_Irr!BL21&lt;&gt;"."),up_dir!AO21/((1/1000)*(up_Irr!AM21+up_Irr!BL21)),IF(AND(up_Irr!N21=".",up_Irr!AM21=".",up_Irr!BL21&lt;&gt;"."),up_dir!AO21/((1/1000)*(up_Irr!BL21)),IF(AND(up_Irr!N21=".",up_Irr!AM21&lt;&gt;".",up_Irr!BL21="."),up_dir!AO21/((1/1000)*(up_Irr!AM21)),IF(AND(up_Irr!N21&lt;&gt;".",up_Irr!AM21=".",up_Irr!BL21="."),up_dir!AO21/((1/1000)*(up_Irr!N21)),IF(AND(up_Irr!N21=".",up_Irr!AM21=".",up_Irr!BL21="."),up_dir!AO21*1000)))))))),".")</f>
        <v>6.5773651144152123E-11</v>
      </c>
      <c r="BP21" s="76">
        <f>IFERROR(IF(AND(up_Irr!O21&lt;&gt;".",up_Irr!AN21&lt;&gt;".",up_Irr!BM21&lt;&gt;"."),up_dir!AP21/((1/1000)*(up_Irr!O21+up_Irr!AN21+up_Irr!BM21)),IF(AND(up_Irr!O21&lt;&gt;".",up_Irr!AN21&lt;&gt;".",up_Irr!BM21="."),up_dir!AP21/((1/1000)*(up_Irr!O21+up_Irr!AN21)),IF(AND(up_Irr!O21&lt;&gt;".",up_Irr!AN21=".",up_Irr!BM21&lt;&gt;"."),up_dir!AP21/((1/1000)*(up_Irr!O21+up_Irr!BM21)),IF(AND(up_Irr!O21=".",up_Irr!AN21&lt;&gt;".",up_Irr!BM21&lt;&gt;"."),up_dir!AP21/((1/1000)*(up_Irr!AN21+up_Irr!BM21)),IF(AND(up_Irr!O21=".",up_Irr!AN21=".",up_Irr!BM21&lt;&gt;"."),up_dir!AP21/((1/1000)*(up_Irr!BM21)),IF(AND(up_Irr!O21=".",up_Irr!AN21&lt;&gt;".",up_Irr!BM21="."),up_dir!AP21/((1/1000)*(up_Irr!AN21)),IF(AND(up_Irr!O21&lt;&gt;".",up_Irr!AN21=".",up_Irr!BM21="."),up_dir!AP21/((1/1000)*(up_Irr!O21)),IF(AND(up_Irr!O21=".",up_Irr!AN21=".",up_Irr!BM21="."),up_dir!AP21*1000)))))))),".")</f>
        <v>6.5773651144152123E-11</v>
      </c>
      <c r="BQ21" s="76">
        <f>IFERROR(IF(AND(up_Irr!P21&lt;&gt;".",up_Irr!AO21&lt;&gt;".",up_Irr!BN21&lt;&gt;"."),up_dir!AQ21/((1/1000)*(up_Irr!P21+up_Irr!AO21+up_Irr!BN21)),IF(AND(up_Irr!P21&lt;&gt;".",up_Irr!AO21&lt;&gt;".",up_Irr!BN21="."),up_dir!AQ21/((1/1000)*(up_Irr!P21+up_Irr!AO21)),IF(AND(up_Irr!P21&lt;&gt;".",up_Irr!AO21=".",up_Irr!BN21&lt;&gt;"."),up_dir!AQ21/((1/1000)*(up_Irr!P21+up_Irr!BN21)),IF(AND(up_Irr!P21=".",up_Irr!AO21&lt;&gt;".",up_Irr!BN21&lt;&gt;"."),up_dir!AQ21/((1/1000)*(up_Irr!AO21+up_Irr!BN21)),IF(AND(up_Irr!P21=".",up_Irr!AO21=".",up_Irr!BN21&lt;&gt;"."),up_dir!AQ21/((1/1000)*(up_Irr!BN21)),IF(AND(up_Irr!P21=".",up_Irr!AO21&lt;&gt;".",up_Irr!BN21="."),up_dir!AQ21/((1/1000)*(up_Irr!AO21)),IF(AND(up_Irr!P21&lt;&gt;".",up_Irr!AO21=".",up_Irr!BN21="."),up_dir!AQ21/((1/1000)*(up_Irr!P21)),IF(AND(up_Irr!P21=".",up_Irr!AO21=".",up_Irr!BN21="."),up_dir!AQ21*1000)))))))),".")</f>
        <v>6.5773651144152123E-11</v>
      </c>
      <c r="BR21" s="76">
        <f>IFERROR(IF(AND(up_Irr!Q21&lt;&gt;".",up_Irr!AP21&lt;&gt;".",up_Irr!BO21&lt;&gt;"."),up_dir!AR21/((1/1000)*(up_Irr!Q21+up_Irr!AP21+up_Irr!BO21)),IF(AND(up_Irr!Q21&lt;&gt;".",up_Irr!AP21&lt;&gt;".",up_Irr!BO21="."),up_dir!AR21/((1/1000)*(up_Irr!Q21+up_Irr!AP21)),IF(AND(up_Irr!Q21&lt;&gt;".",up_Irr!AP21=".",up_Irr!BO21&lt;&gt;"."),up_dir!AR21/((1/1000)*(up_Irr!Q21+up_Irr!BO21)),IF(AND(up_Irr!Q21=".",up_Irr!AP21&lt;&gt;".",up_Irr!BO21&lt;&gt;"."),up_dir!AR21/((1/1000)*(up_Irr!AP21+up_Irr!BO21)),IF(AND(up_Irr!Q21=".",up_Irr!AP21=".",up_Irr!BO21&lt;&gt;"."),up_dir!AR21/((1/1000)*(up_Irr!BO21)),IF(AND(up_Irr!Q21=".",up_Irr!AP21&lt;&gt;".",up_Irr!BO21="."),up_dir!AR21/((1/1000)*(up_Irr!AP21)),IF(AND(up_Irr!Q21&lt;&gt;".",up_Irr!AP21=".",up_Irr!BO21="."),up_dir!AR21/((1/1000)*(up_Irr!Q21)),IF(AND(up_Irr!Q21=".",up_Irr!AP21=".",up_Irr!BO21="."),up_dir!AR21*1000)))))))),".")</f>
        <v>6.5773651144152123E-11</v>
      </c>
      <c r="BS21" s="76">
        <f>IFERROR(IF(AND(up_Irr!R21&lt;&gt;".",up_Irr!AQ21&lt;&gt;".",up_Irr!BP21&lt;&gt;"."),up_dir!AS21/((1/1000)*(up_Irr!R21+up_Irr!AQ21+up_Irr!BP21)),IF(AND(up_Irr!R21&lt;&gt;".",up_Irr!AQ21&lt;&gt;".",up_Irr!BP21="."),up_dir!AS21/((1/1000)*(up_Irr!R21+up_Irr!AQ21)),IF(AND(up_Irr!R21&lt;&gt;".",up_Irr!AQ21=".",up_Irr!BP21&lt;&gt;"."),up_dir!AS21/((1/1000)*(up_Irr!R21+up_Irr!BP21)),IF(AND(up_Irr!R21=".",up_Irr!AQ21&lt;&gt;".",up_Irr!BP21&lt;&gt;"."),up_dir!AS21/((1/1000)*(up_Irr!AQ21+up_Irr!BP21)),IF(AND(up_Irr!R21=".",up_Irr!AQ21=".",up_Irr!BP21&lt;&gt;"."),up_dir!AS21/((1/1000)*(up_Irr!BP21)),IF(AND(up_Irr!R21=".",up_Irr!AQ21&lt;&gt;".",up_Irr!BP21="."),up_dir!AS21/((1/1000)*(up_Irr!AQ21)),IF(AND(up_Irr!R21&lt;&gt;".",up_Irr!AQ21=".",up_Irr!BP21="."),up_dir!AS21/((1/1000)*(up_Irr!R21)),IF(AND(up_Irr!R21=".",up_Irr!AQ21=".",up_Irr!BP21="."),up_dir!AS21*1000)))))))),".")</f>
        <v>6.5773651144152123E-11</v>
      </c>
      <c r="BT21" s="76">
        <f>IFERROR(IF(AND(up_Irr!S21&lt;&gt;".",up_Irr!AR21&lt;&gt;".",up_Irr!BQ21&lt;&gt;"."),up_dir!AT21/((1/1000)*(up_Irr!S21+up_Irr!AR21+up_Irr!BQ21)),IF(AND(up_Irr!S21&lt;&gt;".",up_Irr!AR21&lt;&gt;".",up_Irr!BQ21="."),up_dir!AT21/((1/1000)*(up_Irr!S21+up_Irr!AR21)),IF(AND(up_Irr!S21&lt;&gt;".",up_Irr!AR21=".",up_Irr!BQ21&lt;&gt;"."),up_dir!AT21/((1/1000)*(up_Irr!S21+up_Irr!BQ21)),IF(AND(up_Irr!S21=".",up_Irr!AR21&lt;&gt;".",up_Irr!BQ21&lt;&gt;"."),up_dir!AT21/((1/1000)*(up_Irr!AR21+up_Irr!BQ21)),IF(AND(up_Irr!S21=".",up_Irr!AR21=".",up_Irr!BQ21&lt;&gt;"."),up_dir!AT21/((1/1000)*(up_Irr!BQ21)),IF(AND(up_Irr!S21=".",up_Irr!AR21&lt;&gt;".",up_Irr!BQ21="."),up_dir!AT21/((1/1000)*(up_Irr!AR21)),IF(AND(up_Irr!S21&lt;&gt;".",up_Irr!AR21=".",up_Irr!BQ21="."),up_dir!AT21/((1/1000)*(up_Irr!S21)),IF(AND(up_Irr!S21=".",up_Irr!AR21=".",up_Irr!BQ21="."),up_dir!AT21*1000)))))))),".")</f>
        <v>6.5773651144152123E-11</v>
      </c>
      <c r="BU21" s="76">
        <f>IFERROR(IF(AND(up_Irr!T21&lt;&gt;".",up_Irr!AS21&lt;&gt;".",up_Irr!BR21&lt;&gt;"."),up_dir!AU21/((1/1000)*(up_Irr!T21+up_Irr!AS21+up_Irr!BR21)),IF(AND(up_Irr!T21&lt;&gt;".",up_Irr!AS21&lt;&gt;".",up_Irr!BR21="."),up_dir!AU21/((1/1000)*(up_Irr!T21+up_Irr!AS21)),IF(AND(up_Irr!T21&lt;&gt;".",up_Irr!AS21=".",up_Irr!BR21&lt;&gt;"."),up_dir!AU21/((1/1000)*(up_Irr!T21+up_Irr!BR21)),IF(AND(up_Irr!T21=".",up_Irr!AS21&lt;&gt;".",up_Irr!BR21&lt;&gt;"."),up_dir!AU21/((1/1000)*(up_Irr!AS21+up_Irr!BR21)),IF(AND(up_Irr!T21=".",up_Irr!AS21=".",up_Irr!BR21&lt;&gt;"."),up_dir!AU21/((1/1000)*(up_Irr!BR21)),IF(AND(up_Irr!T21=".",up_Irr!AS21&lt;&gt;".",up_Irr!BR21="."),up_dir!AU21/((1/1000)*(up_Irr!AS21)),IF(AND(up_Irr!T21&lt;&gt;".",up_Irr!AS21=".",up_Irr!BR21="."),up_dir!AU21/((1/1000)*(up_Irr!T21)),IF(AND(up_Irr!T21=".",up_Irr!AS21=".",up_Irr!BR21="."),up_dir!AU21*1000)))))))),".")</f>
        <v>6.5773651144152123E-11</v>
      </c>
      <c r="BV21" s="76">
        <f>IFERROR(IF(AND(up_Irr!U21&lt;&gt;".",up_Irr!AT21&lt;&gt;".",up_Irr!BS21&lt;&gt;"."),up_dir!AV21/((1/1000)*(up_Irr!U21+up_Irr!AT21+up_Irr!BS21)),IF(AND(up_Irr!U21&lt;&gt;".",up_Irr!AT21&lt;&gt;".",up_Irr!BS21="."),up_dir!AV21/((1/1000)*(up_Irr!U21+up_Irr!AT21)),IF(AND(up_Irr!U21&lt;&gt;".",up_Irr!AT21=".",up_Irr!BS21&lt;&gt;"."),up_dir!AV21/((1/1000)*(up_Irr!U21+up_Irr!BS21)),IF(AND(up_Irr!U21=".",up_Irr!AT21&lt;&gt;".",up_Irr!BS21&lt;&gt;"."),up_dir!AV21/((1/1000)*(up_Irr!AT21+up_Irr!BS21)),IF(AND(up_Irr!U21=".",up_Irr!AT21=".",up_Irr!BS21&lt;&gt;"."),up_dir!AV21/((1/1000)*(up_Irr!BS21)),IF(AND(up_Irr!U21=".",up_Irr!AT21&lt;&gt;".",up_Irr!BS21="."),up_dir!AV21/((1/1000)*(up_Irr!AT21)),IF(AND(up_Irr!U21&lt;&gt;".",up_Irr!AT21=".",up_Irr!BS21="."),up_dir!AV21/((1/1000)*(up_Irr!U21)),IF(AND(up_Irr!U21=".",up_Irr!AT21=".",up_Irr!BS21="."),up_dir!AV21*1000)))))))),".")</f>
        <v>6.5773651144152123E-11</v>
      </c>
      <c r="BW21" s="76">
        <f>IFERROR(IF(AND(up_Irr!V21&lt;&gt;".",up_Irr!AU21&lt;&gt;".",up_Irr!BT21&lt;&gt;"."),up_dir!AW21/((1/1000)*(up_Irr!V21+up_Irr!AU21+up_Irr!BT21)),IF(AND(up_Irr!V21&lt;&gt;".",up_Irr!AU21&lt;&gt;".",up_Irr!BT21="."),up_dir!AW21/((1/1000)*(up_Irr!V21+up_Irr!AU21)),IF(AND(up_Irr!V21&lt;&gt;".",up_Irr!AU21=".",up_Irr!BT21&lt;&gt;"."),up_dir!AW21/((1/1000)*(up_Irr!V21+up_Irr!BT21)),IF(AND(up_Irr!V21=".",up_Irr!AU21&lt;&gt;".",up_Irr!BT21&lt;&gt;"."),up_dir!AW21/((1/1000)*(up_Irr!AU21+up_Irr!BT21)),IF(AND(up_Irr!V21=".",up_Irr!AU21=".",up_Irr!BT21&lt;&gt;"."),up_dir!AW21/((1/1000)*(up_Irr!BT21)),IF(AND(up_Irr!V21=".",up_Irr!AU21&lt;&gt;".",up_Irr!BT21="."),up_dir!AW21/((1/1000)*(up_Irr!AU21)),IF(AND(up_Irr!V21&lt;&gt;".",up_Irr!AU21=".",up_Irr!BT21="."),up_dir!AW21/((1/1000)*(up_Irr!V21)),IF(AND(up_Irr!V21=".",up_Irr!AU21=".",up_Irr!BT21="."),up_dir!AW21*1000)))))))),".")</f>
        <v>6.5773651144152123E-11</v>
      </c>
      <c r="BX21" s="76">
        <f>IFERROR(IF(AND(up_Irr!W21&lt;&gt;".",up_Irr!AV21&lt;&gt;".",up_Irr!BU21&lt;&gt;"."),up_dir!AX21/((1/1000)*(up_Irr!W21+up_Irr!AV21+up_Irr!BU21)),IF(AND(up_Irr!W21&lt;&gt;".",up_Irr!AV21&lt;&gt;".",up_Irr!BU21="."),up_dir!AX21/((1/1000)*(up_Irr!W21+up_Irr!AV21)),IF(AND(up_Irr!W21&lt;&gt;".",up_Irr!AV21=".",up_Irr!BU21&lt;&gt;"."),up_dir!AX21/((1/1000)*(up_Irr!W21+up_Irr!BU21)),IF(AND(up_Irr!W21=".",up_Irr!AV21&lt;&gt;".",up_Irr!BU21&lt;&gt;"."),up_dir!AX21/((1/1000)*(up_Irr!AV21+up_Irr!BU21)),IF(AND(up_Irr!W21=".",up_Irr!AV21=".",up_Irr!BU21&lt;&gt;"."),up_dir!AX21/((1/1000)*(up_Irr!BU21)),IF(AND(up_Irr!W21=".",up_Irr!AV21&lt;&gt;".",up_Irr!BU21="."),up_dir!AX21/((1/1000)*(up_Irr!AV21)),IF(AND(up_Irr!W21&lt;&gt;".",up_Irr!AV21=".",up_Irr!BU21="."),up_dir!AX21/((1/1000)*(up_Irr!W21)),IF(AND(up_Irr!W21=".",up_Irr!AV21=".",up_Irr!BU21="."),up_dir!AX21*1000)))))))),".")</f>
        <v>6.5773651144152123E-11</v>
      </c>
      <c r="BY21" s="76">
        <f>IFERROR(IF(AND(up_Irr!X21&lt;&gt;".",up_Irr!AW21&lt;&gt;".",up_Irr!BV21&lt;&gt;"."),up_dir!AY21/((1/1000)*(up_Irr!X21+up_Irr!AW21+up_Irr!BV21)),IF(AND(up_Irr!X21&lt;&gt;".",up_Irr!AW21&lt;&gt;".",up_Irr!BV21="."),up_dir!AY21/((1/1000)*(up_Irr!X21+up_Irr!AW21)),IF(AND(up_Irr!X21&lt;&gt;".",up_Irr!AW21=".",up_Irr!BV21&lt;&gt;"."),up_dir!AY21/((1/1000)*(up_Irr!X21+up_Irr!BV21)),IF(AND(up_Irr!X21=".",up_Irr!AW21&lt;&gt;".",up_Irr!BV21&lt;&gt;"."),up_dir!AY21/((1/1000)*(up_Irr!AW21+up_Irr!BV21)),IF(AND(up_Irr!X21=".",up_Irr!AW21=".",up_Irr!BV21&lt;&gt;"."),up_dir!AY21/((1/1000)*(up_Irr!BV21)),IF(AND(up_Irr!X21=".",up_Irr!AW21&lt;&gt;".",up_Irr!BV21="."),up_dir!AY21/((1/1000)*(up_Irr!AW21)),IF(AND(up_Irr!X21&lt;&gt;".",up_Irr!AW21=".",up_Irr!BV21="."),up_dir!AY21/((1/1000)*(up_Irr!X21)),IF(AND(up_Irr!X21=".",up_Irr!AW21=".",up_Irr!BV21="."),up_dir!AY21*1000)))))))),".")</f>
        <v>6.5773651144152123E-11</v>
      </c>
      <c r="BZ21" s="76">
        <f>IFERROR(IF(AND(up_Irr!Y21&lt;&gt;".",up_Irr!AX21&lt;&gt;".",up_Irr!BW21&lt;&gt;"."),up_dir!AZ21/((1/1000)*(up_Irr!Y21+up_Irr!AX21+up_Irr!BW21)),IF(AND(up_Irr!Y21&lt;&gt;".",up_Irr!AX21&lt;&gt;".",up_Irr!BW21="."),up_dir!AZ21/((1/1000)*(up_Irr!Y21+up_Irr!AX21)),IF(AND(up_Irr!Y21&lt;&gt;".",up_Irr!AX21=".",up_Irr!BW21&lt;&gt;"."),up_dir!AZ21/((1/1000)*(up_Irr!Y21+up_Irr!BW21)),IF(AND(up_Irr!Y21=".",up_Irr!AX21&lt;&gt;".",up_Irr!BW21&lt;&gt;"."),up_dir!AZ21/((1/1000)*(up_Irr!AX21+up_Irr!BW21)),IF(AND(up_Irr!Y21=".",up_Irr!AX21=".",up_Irr!BW21&lt;&gt;"."),up_dir!AZ21/((1/1000)*(up_Irr!BW21)),IF(AND(up_Irr!Y21=".",up_Irr!AX21&lt;&gt;".",up_Irr!BW21="."),up_dir!AZ21/((1/1000)*(up_Irr!AX21)),IF(AND(up_Irr!Y21&lt;&gt;".",up_Irr!AX21=".",up_Irr!BW21="."),up_dir!AZ21/((1/1000)*(up_Irr!Y21)),IF(AND(up_Irr!Y21=".",up_Irr!AX21=".",up_Irr!BW21="."),up_dir!AZ21*1000)))))))),".")</f>
        <v>6.5773651144152123E-11</v>
      </c>
      <c r="CA21" s="76">
        <f>IFERROR(IF(AND(up_Irr!Z21&lt;&gt;".",up_Irr!AY21&lt;&gt;".",up_Irr!BX21&lt;&gt;"."),up_dir!BA21/((1/1000)*(up_Irr!Z21+up_Irr!AY21+up_Irr!BX21)),IF(AND(up_Irr!Z21&lt;&gt;".",up_Irr!AY21&lt;&gt;".",up_Irr!BX21="."),up_dir!BA21/((1/1000)*(up_Irr!Z21+up_Irr!AY21)),IF(AND(up_Irr!Z21&lt;&gt;".",up_Irr!AY21=".",up_Irr!BX21&lt;&gt;"."),up_dir!BA21/((1/1000)*(up_Irr!Z21+up_Irr!BX21)),IF(AND(up_Irr!Z21=".",up_Irr!AY21&lt;&gt;".",up_Irr!BX21&lt;&gt;"."),up_dir!BA21/((1/1000)*(up_Irr!AY21+up_Irr!BX21)),IF(AND(up_Irr!Z21=".",up_Irr!AY21=".",up_Irr!BX21&lt;&gt;"."),up_dir!BA21/((1/1000)*(up_Irr!BX21)),IF(AND(up_Irr!Z21=".",up_Irr!AY21&lt;&gt;".",up_Irr!BX21="."),up_dir!BA21/((1/1000)*(up_Irr!AY21)),IF(AND(up_Irr!Z21&lt;&gt;".",up_Irr!AY21=".",up_Irr!BX21="."),up_dir!BA21/((1/1000)*(up_Irr!Z21)),IF(AND(up_Irr!Z21=".",up_Irr!AY21=".",up_Irr!BX21="."),up_dir!BA21*1000)))))))),".")</f>
        <v>6.5773651144152123E-11</v>
      </c>
      <c r="CB21" s="76">
        <f>IFERROR(IF(AND(up_Irr!AA21&lt;&gt;".",up_Irr!AZ21&lt;&gt;".",up_Irr!BY21&lt;&gt;"."),up_dir!BB21/((1/1000)*(up_Irr!AA21+up_Irr!AZ21+up_Irr!BY21)),IF(AND(up_Irr!AA21&lt;&gt;".",up_Irr!AZ21&lt;&gt;".",up_Irr!BY21="."),up_dir!BB21/((1/1000)*(up_Irr!AA21+up_Irr!AZ21)),IF(AND(up_Irr!AA21&lt;&gt;".",up_Irr!AZ21=".",up_Irr!BY21&lt;&gt;"."),up_dir!BB21/((1/1000)*(up_Irr!AA21+up_Irr!BY21)),IF(AND(up_Irr!AA21=".",up_Irr!AZ21&lt;&gt;".",up_Irr!BY21&lt;&gt;"."),up_dir!BB21/((1/1000)*(up_Irr!AZ21+up_Irr!BY21)),IF(AND(up_Irr!AA21=".",up_Irr!AZ21=".",up_Irr!BY21&lt;&gt;"."),up_dir!BB21/((1/1000)*(up_Irr!BY21)),IF(AND(up_Irr!AA21=".",up_Irr!AZ21&lt;&gt;".",up_Irr!BY21="."),up_dir!BB21/((1/1000)*(up_Irr!AZ21)),IF(AND(up_Irr!AA21&lt;&gt;".",up_Irr!AZ21=".",up_Irr!BY21="."),up_dir!BB21/((1/1000)*(up_Irr!AA21)),IF(AND(up_Irr!AA21=".",up_Irr!AZ21=".",up_Irr!BY21="."),up_dir!BB21*1000)))))))),".")</f>
        <v>6.5773651144152123E-11</v>
      </c>
      <c r="CC21" s="93">
        <f t="shared" si="3"/>
        <v>608146.26076229871</v>
      </c>
      <c r="CD21" s="93">
        <f>IFERROR(s_C*s_IFAP_far_adj*s_CF_apple*(1/1000)*(up_Irr!C21+up_Irr!AB21+up_Irr!BA21),".")</f>
        <v>152036.56519057468</v>
      </c>
      <c r="CE21" s="93">
        <f>IFERROR(s_C*s_IFAS_far_adj*s_CF_asparagus*(1/1000)*(up_Irr!D21+up_Irr!AC21+up_Irr!BB21),".")</f>
        <v>152036.56519057468</v>
      </c>
      <c r="CF21" s="93">
        <f>IFERROR(s_C*s_IFBT_far_adj*s_CF_beet*(1/1000)*(up_Irr!E21+up_Irr!AD21+up_Irr!BC21),".")</f>
        <v>152036.56519057468</v>
      </c>
      <c r="CG21" s="93">
        <f>IFERROR(s_C*s_IFBE_far_adj*s_CF_berries*(1/1000)*(up_Irr!F21+up_Irr!AE21+up_Irr!BD21),".")</f>
        <v>152036.56519057468</v>
      </c>
      <c r="CH21" s="93">
        <f>IFERROR(s_C*s_IFBR_far_adj*s_CF_broccoli*(1/1000)*(up_Irr!G21+up_Irr!AF21+up_Irr!BE21),".")</f>
        <v>152036.56519057468</v>
      </c>
      <c r="CI21" s="93">
        <f>IFERROR(s_C*s_IFCB_far_adj*s_CF_cabbage*(1/1000)*(up_Irr!H21+up_Irr!AG21+up_Irr!BF21),".")</f>
        <v>152036.56519057468</v>
      </c>
      <c r="CJ21" s="93">
        <f>IFERROR(s_C*s_IFCR_far_adj*s_CF_carrot*(1/1000)*(up_Irr!I21+up_Irr!AH21+up_Irr!BG21),".")</f>
        <v>152036.56519057468</v>
      </c>
      <c r="CK21" s="93">
        <f>IFERROR(s_C*s_IFCI_far_adj*s_CF_citrus*(1/1000)*(up_Irr!J21+up_Irr!AI21+up_Irr!BH21),".")</f>
        <v>152036.56519057468</v>
      </c>
      <c r="CL21" s="93">
        <f>IFERROR(s_C*s_IFCO_far_adj*s_CF_corn*(1/1000)*(up_Irr!K21+up_Irr!AJ21+up_Irr!BI21),".")</f>
        <v>152036.56519057468</v>
      </c>
      <c r="CM21" s="93">
        <f>IFERROR(s_C*s_IFCU_far_adj*s_CF_cucumber*(1/1000)*(up_Irr!L21+up_Irr!AK21+up_Irr!BJ21),".")</f>
        <v>152036.56519057468</v>
      </c>
      <c r="CN21" s="93">
        <f>IFERROR(s_C*s_IFLE_far_adj*s_CF_lettuce*(1/1000)*(up_Irr!M21+up_Irr!AL21+up_Irr!BK21),".")</f>
        <v>152036.56519057468</v>
      </c>
      <c r="CO21" s="93">
        <f>IFERROR(s_C*s_IFLI_far_adj*s_CF_lima_bean*(1/1000)*(up_Irr!N21+up_Irr!AM21+up_Irr!BL21),".")</f>
        <v>152036.56519057468</v>
      </c>
      <c r="CP21" s="93">
        <f>IFERROR(s_C*s_IFOK_far_adj*s_CF_okra*(1/1000)*(up_Irr!O21+up_Irr!AN21+up_Irr!BM21),".")</f>
        <v>152036.56519057468</v>
      </c>
      <c r="CQ21" s="93">
        <f>IFERROR(s_C*s_IFON_far_adj*s_CF_onion*(1/1000)*(up_Irr!P21+up_Irr!AO21+up_Irr!BN21),".")</f>
        <v>152036.56519057468</v>
      </c>
      <c r="CR21" s="93">
        <f>IFERROR(s_C*s_IFPC_far_adj*s_CF_peach*(1/1000)*(up_Irr!Q21+up_Irr!AP21+up_Irr!BO21),".")</f>
        <v>152036.56519057468</v>
      </c>
      <c r="CS21" s="93">
        <f>IFERROR(s_C*s_IFPR_far_adj*s_CF_pear*(1/1000)*(up_Irr!R21+up_Irr!AQ21+up_Irr!BP21),".")</f>
        <v>152036.56519057468</v>
      </c>
      <c r="CT21" s="93">
        <f>IFERROR(s_C*s_IFPE_far_adj*s_CF_peas*(1/1000)*(up_Irr!S21+up_Irr!AR21+up_Irr!BQ21),".")</f>
        <v>152036.56519057468</v>
      </c>
      <c r="CU21" s="93">
        <f>IFERROR(s_C*s_IFPP_far_adj*s_CF_peppers*(1/1000)*(up_Irr!T21+up_Irr!AS21+up_Irr!BR21),".")</f>
        <v>152036.56519057468</v>
      </c>
      <c r="CV21" s="93">
        <f>IFERROR(s_C*s_IFPT_far_adj*s_CF_potato*(1/1000)*(up_Irr!U21+up_Irr!AT21+up_Irr!BS21),".")</f>
        <v>152036.56519057468</v>
      </c>
      <c r="CW21" s="93">
        <f>IFERROR(s_C*s_IFPU_far_adj*s_CF_pumpkin*(1/1000)*(up_Irr!V21+up_Irr!AU21+up_Irr!BT21),".")</f>
        <v>152036.56519057468</v>
      </c>
      <c r="CX21" s="93">
        <f>IFERROR(s_C*s_IFSN_far_adj*s_CF_snap_bean*(1/1000)*(up_Irr!W21+up_Irr!AV21+up_Irr!BU21),".")</f>
        <v>152036.56519057468</v>
      </c>
      <c r="CY21" s="93">
        <f>IFERROR(s_C*s_IFST_far_adj*s_CF_strawberry*(1/1000)*(up_Irr!X21+up_Irr!AW21+up_Irr!BV21),".")</f>
        <v>152036.56519057468</v>
      </c>
      <c r="CZ21" s="93">
        <f>IFERROR(s_C*s_IFTO_far_adj*s_CF_tomato*(1/1000)*(up_Irr!Y21+up_Irr!AX21+up_Irr!BW21),".")</f>
        <v>152036.56519057468</v>
      </c>
      <c r="DA21" s="93">
        <f>IFERROR(s_C*s_IFRI_far_adj*s_CF_rice*(1/1000)*(up_Irr!Z21+up_Irr!AY21+up_Irr!BX21),".")</f>
        <v>152036.56519057468</v>
      </c>
      <c r="DB21" s="93">
        <f>IFERROR(s_C*s_IFCG_far_adj*s_CF_cereal*(1/1000)*(up_Irr!AA21+up_Irr!AZ21+up_Irr!BY21),".")</f>
        <v>152036.56519057468</v>
      </c>
    </row>
    <row r="22" spans="1:106" ht="15" customHeight="1" x14ac:dyDescent="0.25">
      <c r="A22" s="92" t="s">
        <v>32</v>
      </c>
      <c r="B22" s="90" t="s">
        <v>1071</v>
      </c>
      <c r="C22" s="15">
        <f t="shared" si="0"/>
        <v>1.6443412786038031E-11</v>
      </c>
      <c r="D22" s="76">
        <f>IFERROR(IF(AND(up_Irr!C22&lt;&gt;".",up_Irr!AB22&lt;&gt;".",up_Irr!BA22&lt;&gt;"."),up_dir!D22/((1/1000)*(up_Irr!C22+up_Irr!AB22+up_Irr!BA22)),IF(AND(up_Irr!C22&lt;&gt;".",up_Irr!AB22&lt;&gt;".",up_Irr!BA22="."),up_dir!D22/((1/1000)*(up_Irr!C22+up_Irr!AB22)),IF(AND(up_Irr!C22&lt;&gt;".",up_Irr!AB22=".",up_Irr!BA22&lt;&gt;"."),up_dir!D22/((1/1000)*(up_Irr!C22+up_Irr!BA22)),IF(AND(up_Irr!C22=".",up_Irr!AB22&lt;&gt;".",up_Irr!BA22&lt;&gt;"."),up_dir!D22/((1/1000)*(up_Irr!AB22+up_Irr!BA22)),IF(AND(up_Irr!C22=".",up_Irr!AB22=".",up_Irr!BA22&lt;&gt;"."),up_dir!D22/((1/1000)*(up_Irr!BA22)),IF(AND(up_Irr!C22=".",up_Irr!AB22&lt;&gt;".",up_Irr!BA22="."),up_dir!D22/((1/1000)*(up_Irr!AB22)),IF(AND(up_Irr!C22&lt;&gt;".",up_Irr!AB22=".",up_Irr!BA22="."),up_dir!D22/((1/1000)*(up_Irr!C22)),IF(AND(up_Irr!C22=".",up_Irr!AB22=".",up_Irr!BA22="."),up_dir!D22*1000)))))))),".")</f>
        <v>6.5773651144152123E-11</v>
      </c>
      <c r="E22" s="76">
        <f>IFERROR(IF(AND(up_Irr!D22&lt;&gt;".",up_Irr!AC22&lt;&gt;".",up_Irr!BB22&lt;&gt;"."),up_dir!E22/((1/1000)*(up_Irr!D22+up_Irr!AC22+up_Irr!BB22)),IF(AND(up_Irr!D22&lt;&gt;".",up_Irr!AC22&lt;&gt;".",up_Irr!BB22="."),up_dir!E22/((1/1000)*(up_Irr!D22+up_Irr!AC22)),IF(AND(up_Irr!D22&lt;&gt;".",up_Irr!AC22=".",up_Irr!BB22&lt;&gt;"."),up_dir!E22/((1/1000)*(up_Irr!D22+up_Irr!BB22)),IF(AND(up_Irr!D22=".",up_Irr!AC22&lt;&gt;".",up_Irr!BB22&lt;&gt;"."),up_dir!E22/((1/1000)*(up_Irr!AC22+up_Irr!BB22)),IF(AND(up_Irr!D22=".",up_Irr!AC22=".",up_Irr!BB22&lt;&gt;"."),up_dir!E22/((1/1000)*(up_Irr!BB22)),IF(AND(up_Irr!D22=".",up_Irr!AC22&lt;&gt;".",up_Irr!BB22="."),up_dir!E22/((1/1000)*(up_Irr!AC22)),IF(AND(up_Irr!D22&lt;&gt;".",up_Irr!AC22=".",up_Irr!BB22="."),up_dir!E22/((1/1000)*(up_Irr!D22)),IF(AND(up_Irr!D22=".",up_Irr!AC22=".",up_Irr!BB22="."),up_dir!E22*1000)))))))),".")</f>
        <v>6.5773651144152123E-11</v>
      </c>
      <c r="F22" s="76">
        <f>IFERROR(IF(AND(up_Irr!E22&lt;&gt;".",up_Irr!AD22&lt;&gt;".",up_Irr!BC22&lt;&gt;"."),up_dir!F22/((1/1000)*(up_Irr!E22+up_Irr!AD22+up_Irr!BC22)),IF(AND(up_Irr!E22&lt;&gt;".",up_Irr!AD22&lt;&gt;".",up_Irr!BC22="."),up_dir!F22/((1/1000)*(up_Irr!E22+up_Irr!AD22)),IF(AND(up_Irr!E22&lt;&gt;".",up_Irr!AD22=".",up_Irr!BC22&lt;&gt;"."),up_dir!F22/((1/1000)*(up_Irr!E22+up_Irr!BC22)),IF(AND(up_Irr!E22=".",up_Irr!AD22&lt;&gt;".",up_Irr!BC22&lt;&gt;"."),up_dir!F22/((1/1000)*(up_Irr!AD22+up_Irr!BC22)),IF(AND(up_Irr!E22=".",up_Irr!AD22=".",up_Irr!BC22&lt;&gt;"."),up_dir!F22/((1/1000)*(up_Irr!BC22)),IF(AND(up_Irr!E22=".",up_Irr!AD22&lt;&gt;".",up_Irr!BC22="."),up_dir!F22/((1/1000)*(up_Irr!AD22)),IF(AND(up_Irr!E22&lt;&gt;".",up_Irr!AD22=".",up_Irr!BC22="."),up_dir!F22/((1/1000)*(up_Irr!E22)),IF(AND(up_Irr!E22=".",up_Irr!AD22=".",up_Irr!BC22="."),up_dir!F22*1000)))))))),".")</f>
        <v>6.5773651144152123E-11</v>
      </c>
      <c r="G22" s="76">
        <f>IFERROR(IF(AND(up_Irr!F22&lt;&gt;".",up_Irr!AE22&lt;&gt;".",up_Irr!BD22&lt;&gt;"."),up_dir!G22/((1/1000)*(up_Irr!F22+up_Irr!AE22+up_Irr!BD22)),IF(AND(up_Irr!F22&lt;&gt;".",up_Irr!AE22&lt;&gt;".",up_Irr!BD22="."),up_dir!G22/((1/1000)*(up_Irr!F22+up_Irr!AE22)),IF(AND(up_Irr!F22&lt;&gt;".",up_Irr!AE22=".",up_Irr!BD22&lt;&gt;"."),up_dir!G22/((1/1000)*(up_Irr!F22+up_Irr!BD22)),IF(AND(up_Irr!F22=".",up_Irr!AE22&lt;&gt;".",up_Irr!BD22&lt;&gt;"."),up_dir!G22/((1/1000)*(up_Irr!AE22+up_Irr!BD22)),IF(AND(up_Irr!F22=".",up_Irr!AE22=".",up_Irr!BD22&lt;&gt;"."),up_dir!G22/((1/1000)*(up_Irr!BD22)),IF(AND(up_Irr!F22=".",up_Irr!AE22&lt;&gt;".",up_Irr!BD22="."),up_dir!G22/((1/1000)*(up_Irr!AE22)),IF(AND(up_Irr!F22&lt;&gt;".",up_Irr!AE22=".",up_Irr!BD22="."),up_dir!G22/((1/1000)*(up_Irr!F22)),IF(AND(up_Irr!F22=".",up_Irr!AE22=".",up_Irr!BD22="."),up_dir!G22*1000)))))))),".")</f>
        <v>6.5773651144152123E-11</v>
      </c>
      <c r="H22" s="76">
        <f>IFERROR(IF(AND(up_Irr!G22&lt;&gt;".",up_Irr!AF22&lt;&gt;".",up_Irr!BE22&lt;&gt;"."),up_dir!H22/((1/1000)*(up_Irr!G22+up_Irr!AF22+up_Irr!BE22)),IF(AND(up_Irr!G22&lt;&gt;".",up_Irr!AF22&lt;&gt;".",up_Irr!BE22="."),up_dir!H22/((1/1000)*(up_Irr!G22+up_Irr!AF22)),IF(AND(up_Irr!G22&lt;&gt;".",up_Irr!AF22=".",up_Irr!BE22&lt;&gt;"."),up_dir!H22/((1/1000)*(up_Irr!G22+up_Irr!BE22)),IF(AND(up_Irr!G22=".",up_Irr!AF22&lt;&gt;".",up_Irr!BE22&lt;&gt;"."),up_dir!H22/((1/1000)*(up_Irr!AF22+up_Irr!BE22)),IF(AND(up_Irr!G22=".",up_Irr!AF22=".",up_Irr!BE22&lt;&gt;"."),up_dir!H22/((1/1000)*(up_Irr!BE22)),IF(AND(up_Irr!G22=".",up_Irr!AF22&lt;&gt;".",up_Irr!BE22="."),up_dir!H22/((1/1000)*(up_Irr!AF22)),IF(AND(up_Irr!G22&lt;&gt;".",up_Irr!AF22=".",up_Irr!BE22="."),up_dir!H22/((1/1000)*(up_Irr!G22)),IF(AND(up_Irr!G22=".",up_Irr!AF22=".",up_Irr!BE22="."),up_dir!H22*1000)))))))),".")</f>
        <v>6.5773651144152123E-11</v>
      </c>
      <c r="I22" s="76">
        <f>IFERROR(IF(AND(up_Irr!H22&lt;&gt;".",up_Irr!AG22&lt;&gt;".",up_Irr!BF22&lt;&gt;"."),up_dir!I22/((1/1000)*(up_Irr!H22+up_Irr!AG22+up_Irr!BF22)),IF(AND(up_Irr!H22&lt;&gt;".",up_Irr!AG22&lt;&gt;".",up_Irr!BF22="."),up_dir!I22/((1/1000)*(up_Irr!H22+up_Irr!AG22)),IF(AND(up_Irr!H22&lt;&gt;".",up_Irr!AG22=".",up_Irr!BF22&lt;&gt;"."),up_dir!I22/((1/1000)*(up_Irr!H22+up_Irr!BF22)),IF(AND(up_Irr!H22=".",up_Irr!AG22&lt;&gt;".",up_Irr!BF22&lt;&gt;"."),up_dir!I22/((1/1000)*(up_Irr!AG22+up_Irr!BF22)),IF(AND(up_Irr!H22=".",up_Irr!AG22=".",up_Irr!BF22&lt;&gt;"."),up_dir!I22/((1/1000)*(up_Irr!BF22)),IF(AND(up_Irr!H22=".",up_Irr!AG22&lt;&gt;".",up_Irr!BF22="."),up_dir!I22/((1/1000)*(up_Irr!AG22)),IF(AND(up_Irr!H22&lt;&gt;".",up_Irr!AG22=".",up_Irr!BF22="."),up_dir!I22/((1/1000)*(up_Irr!H22)),IF(AND(up_Irr!H22=".",up_Irr!AG22=".",up_Irr!BF22="."),up_dir!I22*1000)))))))),".")</f>
        <v>6.5773651144152123E-11</v>
      </c>
      <c r="J22" s="76">
        <f>IFERROR(IF(AND(up_Irr!I22&lt;&gt;".",up_Irr!AH22&lt;&gt;".",up_Irr!BG22&lt;&gt;"."),up_dir!J22/((1/1000)*(up_Irr!I22+up_Irr!AH22+up_Irr!BG22)),IF(AND(up_Irr!I22&lt;&gt;".",up_Irr!AH22&lt;&gt;".",up_Irr!BG22="."),up_dir!J22/((1/1000)*(up_Irr!I22+up_Irr!AH22)),IF(AND(up_Irr!I22&lt;&gt;".",up_Irr!AH22=".",up_Irr!BG22&lt;&gt;"."),up_dir!J22/((1/1000)*(up_Irr!I22+up_Irr!BG22)),IF(AND(up_Irr!I22=".",up_Irr!AH22&lt;&gt;".",up_Irr!BG22&lt;&gt;"."),up_dir!J22/((1/1000)*(up_Irr!AH22+up_Irr!BG22)),IF(AND(up_Irr!I22=".",up_Irr!AH22=".",up_Irr!BG22&lt;&gt;"."),up_dir!J22/((1/1000)*(up_Irr!BG22)),IF(AND(up_Irr!I22=".",up_Irr!AH22&lt;&gt;".",up_Irr!BG22="."),up_dir!J22/((1/1000)*(up_Irr!AH22)),IF(AND(up_Irr!I22&lt;&gt;".",up_Irr!AH22=".",up_Irr!BG22="."),up_dir!J22/((1/1000)*(up_Irr!I22)),IF(AND(up_Irr!I22=".",up_Irr!AH22=".",up_Irr!BG22="."),up_dir!J22*1000)))))))),".")</f>
        <v>6.5773651144152123E-11</v>
      </c>
      <c r="K22" s="76">
        <f>IFERROR(IF(AND(up_Irr!J22&lt;&gt;".",up_Irr!AI22&lt;&gt;".",up_Irr!BH22&lt;&gt;"."),up_dir!K22/((1/1000)*(up_Irr!J22+up_Irr!AI22+up_Irr!BH22)),IF(AND(up_Irr!J22&lt;&gt;".",up_Irr!AI22&lt;&gt;".",up_Irr!BH22="."),up_dir!K22/((1/1000)*(up_Irr!J22+up_Irr!AI22)),IF(AND(up_Irr!J22&lt;&gt;".",up_Irr!AI22=".",up_Irr!BH22&lt;&gt;"."),up_dir!K22/((1/1000)*(up_Irr!J22+up_Irr!BH22)),IF(AND(up_Irr!J22=".",up_Irr!AI22&lt;&gt;".",up_Irr!BH22&lt;&gt;"."),up_dir!K22/((1/1000)*(up_Irr!AI22+up_Irr!BH22)),IF(AND(up_Irr!J22=".",up_Irr!AI22=".",up_Irr!BH22&lt;&gt;"."),up_dir!K22/((1/1000)*(up_Irr!BH22)),IF(AND(up_Irr!J22=".",up_Irr!AI22&lt;&gt;".",up_Irr!BH22="."),up_dir!K22/((1/1000)*(up_Irr!AI22)),IF(AND(up_Irr!J22&lt;&gt;".",up_Irr!AI22=".",up_Irr!BH22="."),up_dir!K22/((1/1000)*(up_Irr!J22)),IF(AND(up_Irr!J22=".",up_Irr!AI22=".",up_Irr!BH22="."),up_dir!K22*1000)))))))),".")</f>
        <v>6.5773651144152123E-11</v>
      </c>
      <c r="L22" s="76">
        <f>IFERROR(IF(AND(up_Irr!K22&lt;&gt;".",up_Irr!AJ22&lt;&gt;".",up_Irr!BI22&lt;&gt;"."),up_dir!L22/((1/1000)*(up_Irr!K22+up_Irr!AJ22+up_Irr!BI22)),IF(AND(up_Irr!K22&lt;&gt;".",up_Irr!AJ22&lt;&gt;".",up_Irr!BI22="."),up_dir!L22/((1/1000)*(up_Irr!K22+up_Irr!AJ22)),IF(AND(up_Irr!K22&lt;&gt;".",up_Irr!AJ22=".",up_Irr!BI22&lt;&gt;"."),up_dir!L22/((1/1000)*(up_Irr!K22+up_Irr!BI22)),IF(AND(up_Irr!K22=".",up_Irr!AJ22&lt;&gt;".",up_Irr!BI22&lt;&gt;"."),up_dir!L22/((1/1000)*(up_Irr!AJ22+up_Irr!BI22)),IF(AND(up_Irr!K22=".",up_Irr!AJ22=".",up_Irr!BI22&lt;&gt;"."),up_dir!L22/((1/1000)*(up_Irr!BI22)),IF(AND(up_Irr!K22=".",up_Irr!AJ22&lt;&gt;".",up_Irr!BI22="."),up_dir!L22/((1/1000)*(up_Irr!AJ22)),IF(AND(up_Irr!K22&lt;&gt;".",up_Irr!AJ22=".",up_Irr!BI22="."),up_dir!L22/((1/1000)*(up_Irr!K22)),IF(AND(up_Irr!K22=".",up_Irr!AJ22=".",up_Irr!BI22="."),up_dir!L22*1000)))))))),".")</f>
        <v>6.5773651144152123E-11</v>
      </c>
      <c r="M22" s="76">
        <f>IFERROR(IF(AND(up_Irr!L22&lt;&gt;".",up_Irr!AK22&lt;&gt;".",up_Irr!BJ22&lt;&gt;"."),up_dir!M22/((1/1000)*(up_Irr!L22+up_Irr!AK22+up_Irr!BJ22)),IF(AND(up_Irr!L22&lt;&gt;".",up_Irr!AK22&lt;&gt;".",up_Irr!BJ22="."),up_dir!M22/((1/1000)*(up_Irr!L22+up_Irr!AK22)),IF(AND(up_Irr!L22&lt;&gt;".",up_Irr!AK22=".",up_Irr!BJ22&lt;&gt;"."),up_dir!M22/((1/1000)*(up_Irr!L22+up_Irr!BJ22)),IF(AND(up_Irr!L22=".",up_Irr!AK22&lt;&gt;".",up_Irr!BJ22&lt;&gt;"."),up_dir!M22/((1/1000)*(up_Irr!AK22+up_Irr!BJ22)),IF(AND(up_Irr!L22=".",up_Irr!AK22=".",up_Irr!BJ22&lt;&gt;"."),up_dir!M22/((1/1000)*(up_Irr!BJ22)),IF(AND(up_Irr!L22=".",up_Irr!AK22&lt;&gt;".",up_Irr!BJ22="."),up_dir!M22/((1/1000)*(up_Irr!AK22)),IF(AND(up_Irr!L22&lt;&gt;".",up_Irr!AK22=".",up_Irr!BJ22="."),up_dir!M22/((1/1000)*(up_Irr!L22)),IF(AND(up_Irr!L22=".",up_Irr!AK22=".",up_Irr!BJ22="."),up_dir!M22*1000)))))))),".")</f>
        <v>6.5773651144152123E-11</v>
      </c>
      <c r="N22" s="76">
        <f>IFERROR(IF(AND(up_Irr!M22&lt;&gt;".",up_Irr!AL22&lt;&gt;".",up_Irr!BK22&lt;&gt;"."),up_dir!N22/((1/1000)*(up_Irr!M22+up_Irr!AL22+up_Irr!BK22)),IF(AND(up_Irr!M22&lt;&gt;".",up_Irr!AL22&lt;&gt;".",up_Irr!BK22="."),up_dir!N22/((1/1000)*(up_Irr!M22+up_Irr!AL22)),IF(AND(up_Irr!M22&lt;&gt;".",up_Irr!AL22=".",up_Irr!BK22&lt;&gt;"."),up_dir!N22/((1/1000)*(up_Irr!M22+up_Irr!BK22)),IF(AND(up_Irr!M22=".",up_Irr!AL22&lt;&gt;".",up_Irr!BK22&lt;&gt;"."),up_dir!N22/((1/1000)*(up_Irr!AL22+up_Irr!BK22)),IF(AND(up_Irr!M22=".",up_Irr!AL22=".",up_Irr!BK22&lt;&gt;"."),up_dir!N22/((1/1000)*(up_Irr!BK22)),IF(AND(up_Irr!M22=".",up_Irr!AL22&lt;&gt;".",up_Irr!BK22="."),up_dir!N22/((1/1000)*(up_Irr!AL22)),IF(AND(up_Irr!M22&lt;&gt;".",up_Irr!AL22=".",up_Irr!BK22="."),up_dir!N22/((1/1000)*(up_Irr!M22)),IF(AND(up_Irr!M22=".",up_Irr!AL22=".",up_Irr!BK22="."),up_dir!N22*1000)))))))),".")</f>
        <v>6.5773651144152123E-11</v>
      </c>
      <c r="O22" s="76">
        <f>IFERROR(IF(AND(up_Irr!N22&lt;&gt;".",up_Irr!AM22&lt;&gt;".",up_Irr!BL22&lt;&gt;"."),up_dir!O22/((1/1000)*(up_Irr!N22+up_Irr!AM22+up_Irr!BL22)),IF(AND(up_Irr!N22&lt;&gt;".",up_Irr!AM22&lt;&gt;".",up_Irr!BL22="."),up_dir!O22/((1/1000)*(up_Irr!N22+up_Irr!AM22)),IF(AND(up_Irr!N22&lt;&gt;".",up_Irr!AM22=".",up_Irr!BL22&lt;&gt;"."),up_dir!O22/((1/1000)*(up_Irr!N22+up_Irr!BL22)),IF(AND(up_Irr!N22=".",up_Irr!AM22&lt;&gt;".",up_Irr!BL22&lt;&gt;"."),up_dir!O22/((1/1000)*(up_Irr!AM22+up_Irr!BL22)),IF(AND(up_Irr!N22=".",up_Irr!AM22=".",up_Irr!BL22&lt;&gt;"."),up_dir!O22/((1/1000)*(up_Irr!BL22)),IF(AND(up_Irr!N22=".",up_Irr!AM22&lt;&gt;".",up_Irr!BL22="."),up_dir!O22/((1/1000)*(up_Irr!AM22)),IF(AND(up_Irr!N22&lt;&gt;".",up_Irr!AM22=".",up_Irr!BL22="."),up_dir!O22/((1/1000)*(up_Irr!N22)),IF(AND(up_Irr!N22=".",up_Irr!AM22=".",up_Irr!BL22="."),up_dir!O22*1000)))))))),".")</f>
        <v>6.5773651144152123E-11</v>
      </c>
      <c r="P22" s="76">
        <f>IFERROR(IF(AND(up_Irr!O22&lt;&gt;".",up_Irr!AN22&lt;&gt;".",up_Irr!BM22&lt;&gt;"."),up_dir!P22/((1/1000)*(up_Irr!O22+up_Irr!AN22+up_Irr!BM22)),IF(AND(up_Irr!O22&lt;&gt;".",up_Irr!AN22&lt;&gt;".",up_Irr!BM22="."),up_dir!P22/((1/1000)*(up_Irr!O22+up_Irr!AN22)),IF(AND(up_Irr!O22&lt;&gt;".",up_Irr!AN22=".",up_Irr!BM22&lt;&gt;"."),up_dir!P22/((1/1000)*(up_Irr!O22+up_Irr!BM22)),IF(AND(up_Irr!O22=".",up_Irr!AN22&lt;&gt;".",up_Irr!BM22&lt;&gt;"."),up_dir!P22/((1/1000)*(up_Irr!AN22+up_Irr!BM22)),IF(AND(up_Irr!O22=".",up_Irr!AN22=".",up_Irr!BM22&lt;&gt;"."),up_dir!P22/((1/1000)*(up_Irr!BM22)),IF(AND(up_Irr!O22=".",up_Irr!AN22&lt;&gt;".",up_Irr!BM22="."),up_dir!P22/((1/1000)*(up_Irr!AN22)),IF(AND(up_Irr!O22&lt;&gt;".",up_Irr!AN22=".",up_Irr!BM22="."),up_dir!P22/((1/1000)*(up_Irr!O22)),IF(AND(up_Irr!O22=".",up_Irr!AN22=".",up_Irr!BM22="."),up_dir!P22*1000)))))))),".")</f>
        <v>6.5773651144152123E-11</v>
      </c>
      <c r="Q22" s="76">
        <f>IFERROR(IF(AND(up_Irr!P22&lt;&gt;".",up_Irr!AO22&lt;&gt;".",up_Irr!BN22&lt;&gt;"."),up_dir!Q22/((1/1000)*(up_Irr!P22+up_Irr!AO22+up_Irr!BN22)),IF(AND(up_Irr!P22&lt;&gt;".",up_Irr!AO22&lt;&gt;".",up_Irr!BN22="."),up_dir!Q22/((1/1000)*(up_Irr!P22+up_Irr!AO22)),IF(AND(up_Irr!P22&lt;&gt;".",up_Irr!AO22=".",up_Irr!BN22&lt;&gt;"."),up_dir!Q22/((1/1000)*(up_Irr!P22+up_Irr!BN22)),IF(AND(up_Irr!P22=".",up_Irr!AO22&lt;&gt;".",up_Irr!BN22&lt;&gt;"."),up_dir!Q22/((1/1000)*(up_Irr!AO22+up_Irr!BN22)),IF(AND(up_Irr!P22=".",up_Irr!AO22=".",up_Irr!BN22&lt;&gt;"."),up_dir!Q22/((1/1000)*(up_Irr!BN22)),IF(AND(up_Irr!P22=".",up_Irr!AO22&lt;&gt;".",up_Irr!BN22="."),up_dir!Q22/((1/1000)*(up_Irr!AO22)),IF(AND(up_Irr!P22&lt;&gt;".",up_Irr!AO22=".",up_Irr!BN22="."),up_dir!Q22/((1/1000)*(up_Irr!P22)),IF(AND(up_Irr!P22=".",up_Irr!AO22=".",up_Irr!BN22="."),up_dir!Q22*1000)))))))),".")</f>
        <v>6.5773651144152123E-11</v>
      </c>
      <c r="R22" s="76">
        <f>IFERROR(IF(AND(up_Irr!Q22&lt;&gt;".",up_Irr!AP22&lt;&gt;".",up_Irr!BO22&lt;&gt;"."),up_dir!R22/((1/1000)*(up_Irr!Q22+up_Irr!AP22+up_Irr!BO22)),IF(AND(up_Irr!Q22&lt;&gt;".",up_Irr!AP22&lt;&gt;".",up_Irr!BO22="."),up_dir!R22/((1/1000)*(up_Irr!Q22+up_Irr!AP22)),IF(AND(up_Irr!Q22&lt;&gt;".",up_Irr!AP22=".",up_Irr!BO22&lt;&gt;"."),up_dir!R22/((1/1000)*(up_Irr!Q22+up_Irr!BO22)),IF(AND(up_Irr!Q22=".",up_Irr!AP22&lt;&gt;".",up_Irr!BO22&lt;&gt;"."),up_dir!R22/((1/1000)*(up_Irr!AP22+up_Irr!BO22)),IF(AND(up_Irr!Q22=".",up_Irr!AP22=".",up_Irr!BO22&lt;&gt;"."),up_dir!R22/((1/1000)*(up_Irr!BO22)),IF(AND(up_Irr!Q22=".",up_Irr!AP22&lt;&gt;".",up_Irr!BO22="."),up_dir!R22/((1/1000)*(up_Irr!AP22)),IF(AND(up_Irr!Q22&lt;&gt;".",up_Irr!AP22=".",up_Irr!BO22="."),up_dir!R22/((1/1000)*(up_Irr!Q22)),IF(AND(up_Irr!Q22=".",up_Irr!AP22=".",up_Irr!BO22="."),up_dir!R22*1000)))))))),".")</f>
        <v>6.5773651144152123E-11</v>
      </c>
      <c r="S22" s="76">
        <f>IFERROR(IF(AND(up_Irr!R22&lt;&gt;".",up_Irr!AQ22&lt;&gt;".",up_Irr!BP22&lt;&gt;"."),up_dir!S22/((1/1000)*(up_Irr!R22+up_Irr!AQ22+up_Irr!BP22)),IF(AND(up_Irr!R22&lt;&gt;".",up_Irr!AQ22&lt;&gt;".",up_Irr!BP22="."),up_dir!S22/((1/1000)*(up_Irr!R22+up_Irr!AQ22)),IF(AND(up_Irr!R22&lt;&gt;".",up_Irr!AQ22=".",up_Irr!BP22&lt;&gt;"."),up_dir!S22/((1/1000)*(up_Irr!R22+up_Irr!BP22)),IF(AND(up_Irr!R22=".",up_Irr!AQ22&lt;&gt;".",up_Irr!BP22&lt;&gt;"."),up_dir!S22/((1/1000)*(up_Irr!AQ22+up_Irr!BP22)),IF(AND(up_Irr!R22=".",up_Irr!AQ22=".",up_Irr!BP22&lt;&gt;"."),up_dir!S22/((1/1000)*(up_Irr!BP22)),IF(AND(up_Irr!R22=".",up_Irr!AQ22&lt;&gt;".",up_Irr!BP22="."),up_dir!S22/((1/1000)*(up_Irr!AQ22)),IF(AND(up_Irr!R22&lt;&gt;".",up_Irr!AQ22=".",up_Irr!BP22="."),up_dir!S22/((1/1000)*(up_Irr!R22)),IF(AND(up_Irr!R22=".",up_Irr!AQ22=".",up_Irr!BP22="."),up_dir!S22*1000)))))))),".")</f>
        <v>6.5773651144152123E-11</v>
      </c>
      <c r="T22" s="76">
        <f>IFERROR(IF(AND(up_Irr!S22&lt;&gt;".",up_Irr!AR22&lt;&gt;".",up_Irr!BQ22&lt;&gt;"."),up_dir!T22/((1/1000)*(up_Irr!S22+up_Irr!AR22+up_Irr!BQ22)),IF(AND(up_Irr!S22&lt;&gt;".",up_Irr!AR22&lt;&gt;".",up_Irr!BQ22="."),up_dir!T22/((1/1000)*(up_Irr!S22+up_Irr!AR22)),IF(AND(up_Irr!S22&lt;&gt;".",up_Irr!AR22=".",up_Irr!BQ22&lt;&gt;"."),up_dir!T22/((1/1000)*(up_Irr!S22+up_Irr!BQ22)),IF(AND(up_Irr!S22=".",up_Irr!AR22&lt;&gt;".",up_Irr!BQ22&lt;&gt;"."),up_dir!T22/((1/1000)*(up_Irr!AR22+up_Irr!BQ22)),IF(AND(up_Irr!S22=".",up_Irr!AR22=".",up_Irr!BQ22&lt;&gt;"."),up_dir!T22/((1/1000)*(up_Irr!BQ22)),IF(AND(up_Irr!S22=".",up_Irr!AR22&lt;&gt;".",up_Irr!BQ22="."),up_dir!T22/((1/1000)*(up_Irr!AR22)),IF(AND(up_Irr!S22&lt;&gt;".",up_Irr!AR22=".",up_Irr!BQ22="."),up_dir!T22/((1/1000)*(up_Irr!S22)),IF(AND(up_Irr!S22=".",up_Irr!AR22=".",up_Irr!BQ22="."),up_dir!T22*1000)))))))),".")</f>
        <v>6.5773651144152123E-11</v>
      </c>
      <c r="U22" s="76">
        <f>IFERROR(IF(AND(up_Irr!T22&lt;&gt;".",up_Irr!AS22&lt;&gt;".",up_Irr!BR22&lt;&gt;"."),up_dir!U22/((1/1000)*(up_Irr!T22+up_Irr!AS22+up_Irr!BR22)),IF(AND(up_Irr!T22&lt;&gt;".",up_Irr!AS22&lt;&gt;".",up_Irr!BR22="."),up_dir!U22/((1/1000)*(up_Irr!T22+up_Irr!AS22)),IF(AND(up_Irr!T22&lt;&gt;".",up_Irr!AS22=".",up_Irr!BR22&lt;&gt;"."),up_dir!U22/((1/1000)*(up_Irr!T22+up_Irr!BR22)),IF(AND(up_Irr!T22=".",up_Irr!AS22&lt;&gt;".",up_Irr!BR22&lt;&gt;"."),up_dir!U22/((1/1000)*(up_Irr!AS22+up_Irr!BR22)),IF(AND(up_Irr!T22=".",up_Irr!AS22=".",up_Irr!BR22&lt;&gt;"."),up_dir!U22/((1/1000)*(up_Irr!BR22)),IF(AND(up_Irr!T22=".",up_Irr!AS22&lt;&gt;".",up_Irr!BR22="."),up_dir!U22/((1/1000)*(up_Irr!AS22)),IF(AND(up_Irr!T22&lt;&gt;".",up_Irr!AS22=".",up_Irr!BR22="."),up_dir!U22/((1/1000)*(up_Irr!T22)),IF(AND(up_Irr!T22=".",up_Irr!AS22=".",up_Irr!BR22="."),up_dir!U22*1000)))))))),".")</f>
        <v>6.5773651144152123E-11</v>
      </c>
      <c r="V22" s="76">
        <f>IFERROR(IF(AND(up_Irr!U22&lt;&gt;".",up_Irr!AT22&lt;&gt;".",up_Irr!BS22&lt;&gt;"."),up_dir!V22/((1/1000)*(up_Irr!U22+up_Irr!AT22+up_Irr!BS22)),IF(AND(up_Irr!U22&lt;&gt;".",up_Irr!AT22&lt;&gt;".",up_Irr!BS22="."),up_dir!V22/((1/1000)*(up_Irr!U22+up_Irr!AT22)),IF(AND(up_Irr!U22&lt;&gt;".",up_Irr!AT22=".",up_Irr!BS22&lt;&gt;"."),up_dir!V22/((1/1000)*(up_Irr!U22+up_Irr!BS22)),IF(AND(up_Irr!U22=".",up_Irr!AT22&lt;&gt;".",up_Irr!BS22&lt;&gt;"."),up_dir!V22/((1/1000)*(up_Irr!AT22+up_Irr!BS22)),IF(AND(up_Irr!U22=".",up_Irr!AT22=".",up_Irr!BS22&lt;&gt;"."),up_dir!V22/((1/1000)*(up_Irr!BS22)),IF(AND(up_Irr!U22=".",up_Irr!AT22&lt;&gt;".",up_Irr!BS22="."),up_dir!V22/((1/1000)*(up_Irr!AT22)),IF(AND(up_Irr!U22&lt;&gt;".",up_Irr!AT22=".",up_Irr!BS22="."),up_dir!V22/((1/1000)*(up_Irr!U22)),IF(AND(up_Irr!U22=".",up_Irr!AT22=".",up_Irr!BS22="."),up_dir!V22*1000)))))))),".")</f>
        <v>6.5773651144152123E-11</v>
      </c>
      <c r="W22" s="76">
        <f>IFERROR(IF(AND(up_Irr!V22&lt;&gt;".",up_Irr!AU22&lt;&gt;".",up_Irr!BT22&lt;&gt;"."),up_dir!W22/((1/1000)*(up_Irr!V22+up_Irr!AU22+up_Irr!BT22)),IF(AND(up_Irr!V22&lt;&gt;".",up_Irr!AU22&lt;&gt;".",up_Irr!BT22="."),up_dir!W22/((1/1000)*(up_Irr!V22+up_Irr!AU22)),IF(AND(up_Irr!V22&lt;&gt;".",up_Irr!AU22=".",up_Irr!BT22&lt;&gt;"."),up_dir!W22/((1/1000)*(up_Irr!V22+up_Irr!BT22)),IF(AND(up_Irr!V22=".",up_Irr!AU22&lt;&gt;".",up_Irr!BT22&lt;&gt;"."),up_dir!W22/((1/1000)*(up_Irr!AU22+up_Irr!BT22)),IF(AND(up_Irr!V22=".",up_Irr!AU22=".",up_Irr!BT22&lt;&gt;"."),up_dir!W22/((1/1000)*(up_Irr!BT22)),IF(AND(up_Irr!V22=".",up_Irr!AU22&lt;&gt;".",up_Irr!BT22="."),up_dir!W22/((1/1000)*(up_Irr!AU22)),IF(AND(up_Irr!V22&lt;&gt;".",up_Irr!AU22=".",up_Irr!BT22="."),up_dir!W22/((1/1000)*(up_Irr!V22)),IF(AND(up_Irr!V22=".",up_Irr!AU22=".",up_Irr!BT22="."),up_dir!W22*1000)))))))),".")</f>
        <v>6.5773651144152123E-11</v>
      </c>
      <c r="X22" s="76">
        <f>IFERROR(IF(AND(up_Irr!W22&lt;&gt;".",up_Irr!AV22&lt;&gt;".",up_Irr!BU22&lt;&gt;"."),up_dir!X22/((1/1000)*(up_Irr!W22+up_Irr!AV22+up_Irr!BU22)),IF(AND(up_Irr!W22&lt;&gt;".",up_Irr!AV22&lt;&gt;".",up_Irr!BU22="."),up_dir!X22/((1/1000)*(up_Irr!W22+up_Irr!AV22)),IF(AND(up_Irr!W22&lt;&gt;".",up_Irr!AV22=".",up_Irr!BU22&lt;&gt;"."),up_dir!X22/((1/1000)*(up_Irr!W22+up_Irr!BU22)),IF(AND(up_Irr!W22=".",up_Irr!AV22&lt;&gt;".",up_Irr!BU22&lt;&gt;"."),up_dir!X22/((1/1000)*(up_Irr!AV22+up_Irr!BU22)),IF(AND(up_Irr!W22=".",up_Irr!AV22=".",up_Irr!BU22&lt;&gt;"."),up_dir!X22/((1/1000)*(up_Irr!BU22)),IF(AND(up_Irr!W22=".",up_Irr!AV22&lt;&gt;".",up_Irr!BU22="."),up_dir!X22/((1/1000)*(up_Irr!AV22)),IF(AND(up_Irr!W22&lt;&gt;".",up_Irr!AV22=".",up_Irr!BU22="."),up_dir!X22/((1/1000)*(up_Irr!W22)),IF(AND(up_Irr!W22=".",up_Irr!AV22=".",up_Irr!BU22="."),up_dir!X22*1000)))))))),".")</f>
        <v>6.5773651144152123E-11</v>
      </c>
      <c r="Y22" s="76">
        <f>IFERROR(IF(AND(up_Irr!X22&lt;&gt;".",up_Irr!AW22&lt;&gt;".",up_Irr!BV22&lt;&gt;"."),up_dir!Y22/((1/1000)*(up_Irr!X22+up_Irr!AW22+up_Irr!BV22)),IF(AND(up_Irr!X22&lt;&gt;".",up_Irr!AW22&lt;&gt;".",up_Irr!BV22="."),up_dir!Y22/((1/1000)*(up_Irr!X22+up_Irr!AW22)),IF(AND(up_Irr!X22&lt;&gt;".",up_Irr!AW22=".",up_Irr!BV22&lt;&gt;"."),up_dir!Y22/((1/1000)*(up_Irr!X22+up_Irr!BV22)),IF(AND(up_Irr!X22=".",up_Irr!AW22&lt;&gt;".",up_Irr!BV22&lt;&gt;"."),up_dir!Y22/((1/1000)*(up_Irr!AW22+up_Irr!BV22)),IF(AND(up_Irr!X22=".",up_Irr!AW22=".",up_Irr!BV22&lt;&gt;"."),up_dir!Y22/((1/1000)*(up_Irr!BV22)),IF(AND(up_Irr!X22=".",up_Irr!AW22&lt;&gt;".",up_Irr!BV22="."),up_dir!Y22/((1/1000)*(up_Irr!AW22)),IF(AND(up_Irr!X22&lt;&gt;".",up_Irr!AW22=".",up_Irr!BV22="."),up_dir!Y22/((1/1000)*(up_Irr!X22)),IF(AND(up_Irr!X22=".",up_Irr!AW22=".",up_Irr!BV22="."),up_dir!Y22*1000)))))))),".")</f>
        <v>6.5773651144152123E-11</v>
      </c>
      <c r="Z22" s="76">
        <f>IFERROR(IF(AND(up_Irr!Y22&lt;&gt;".",up_Irr!AX22&lt;&gt;".",up_Irr!BW22&lt;&gt;"."),up_dir!Z22/((1/1000)*(up_Irr!Y22+up_Irr!AX22+up_Irr!BW22)),IF(AND(up_Irr!Y22&lt;&gt;".",up_Irr!AX22&lt;&gt;".",up_Irr!BW22="."),up_dir!Z22/((1/1000)*(up_Irr!Y22+up_Irr!AX22)),IF(AND(up_Irr!Y22&lt;&gt;".",up_Irr!AX22=".",up_Irr!BW22&lt;&gt;"."),up_dir!Z22/((1/1000)*(up_Irr!Y22+up_Irr!BW22)),IF(AND(up_Irr!Y22=".",up_Irr!AX22&lt;&gt;".",up_Irr!BW22&lt;&gt;"."),up_dir!Z22/((1/1000)*(up_Irr!AX22+up_Irr!BW22)),IF(AND(up_Irr!Y22=".",up_Irr!AX22=".",up_Irr!BW22&lt;&gt;"."),up_dir!Z22/((1/1000)*(up_Irr!BW22)),IF(AND(up_Irr!Y22=".",up_Irr!AX22&lt;&gt;".",up_Irr!BW22="."),up_dir!Z22/((1/1000)*(up_Irr!AX22)),IF(AND(up_Irr!Y22&lt;&gt;".",up_Irr!AX22=".",up_Irr!BW22="."),up_dir!Z22/((1/1000)*(up_Irr!Y22)),IF(AND(up_Irr!Y22=".",up_Irr!AX22=".",up_Irr!BW22="."),up_dir!Z22*1000)))))))),".")</f>
        <v>6.5773651144152123E-11</v>
      </c>
      <c r="AA22" s="76">
        <f>IFERROR(IF(AND(up_Irr!Z22&lt;&gt;".",up_Irr!AY22&lt;&gt;".",up_Irr!BX22&lt;&gt;"."),up_dir!AA22/((1/1000)*(up_Irr!Z22+up_Irr!AY22+up_Irr!BX22)),IF(AND(up_Irr!Z22&lt;&gt;".",up_Irr!AY22&lt;&gt;".",up_Irr!BX22="."),up_dir!AA22/((1/1000)*(up_Irr!Z22+up_Irr!AY22)),IF(AND(up_Irr!Z22&lt;&gt;".",up_Irr!AY22=".",up_Irr!BX22&lt;&gt;"."),up_dir!AA22/((1/1000)*(up_Irr!Z22+up_Irr!BX22)),IF(AND(up_Irr!Z22=".",up_Irr!AY22&lt;&gt;".",up_Irr!BX22&lt;&gt;"."),up_dir!AA22/((1/1000)*(up_Irr!AY22+up_Irr!BX22)),IF(AND(up_Irr!Z22=".",up_Irr!AY22=".",up_Irr!BX22&lt;&gt;"."),up_dir!AA22/((1/1000)*(up_Irr!BX22)),IF(AND(up_Irr!Z22=".",up_Irr!AY22&lt;&gt;".",up_Irr!BX22="."),up_dir!AA22/((1/1000)*(up_Irr!AY22)),IF(AND(up_Irr!Z22&lt;&gt;".",up_Irr!AY22=".",up_Irr!BX22="."),up_dir!AA22/((1/1000)*(up_Irr!Z22)),IF(AND(up_Irr!Z22=".",up_Irr!AY22=".",up_Irr!BX22="."),up_dir!AA22*1000)))))))),".")</f>
        <v>6.5773651144152123E-11</v>
      </c>
      <c r="AB22" s="76">
        <f>IFERROR(IF(AND(up_Irr!AA22&lt;&gt;".",up_Irr!AZ22&lt;&gt;".",up_Irr!BY22&lt;&gt;"."),up_dir!AB22/((1/1000)*(up_Irr!AA22+up_Irr!AZ22+up_Irr!BY22)),IF(AND(up_Irr!AA22&lt;&gt;".",up_Irr!AZ22&lt;&gt;".",up_Irr!BY22="."),up_dir!AB22/((1/1000)*(up_Irr!AA22+up_Irr!AZ22)),IF(AND(up_Irr!AA22&lt;&gt;".",up_Irr!AZ22=".",up_Irr!BY22&lt;&gt;"."),up_dir!AB22/((1/1000)*(up_Irr!AA22+up_Irr!BY22)),IF(AND(up_Irr!AA22=".",up_Irr!AZ22&lt;&gt;".",up_Irr!BY22&lt;&gt;"."),up_dir!AB22/((1/1000)*(up_Irr!AZ22+up_Irr!BY22)),IF(AND(up_Irr!AA22=".",up_Irr!AZ22=".",up_Irr!BY22&lt;&gt;"."),up_dir!AB22/((1/1000)*(up_Irr!BY22)),IF(AND(up_Irr!AA22=".",up_Irr!AZ22&lt;&gt;".",up_Irr!BY22="."),up_dir!AB22/((1/1000)*(up_Irr!AZ22)),IF(AND(up_Irr!AA22&lt;&gt;".",up_Irr!AZ22=".",up_Irr!BY22="."),up_dir!AB22/((1/1000)*(up_Irr!AA22)),IF(AND(up_Irr!AA22=".",up_Irr!AZ22=".",up_Irr!BY22="."),up_dir!AB22*1000)))))))),".")</f>
        <v>6.5773651144152123E-11</v>
      </c>
      <c r="AC22" s="93">
        <f t="shared" si="1"/>
        <v>608146.26076229871</v>
      </c>
      <c r="AD22" s="93">
        <f>IFERROR(s_C*s_IFAP_res_adj*s_CF_apple*0.001*(up_Irr!C22+up_Irr!AB22+up_Irr!BA22),".")</f>
        <v>152036.56519057468</v>
      </c>
      <c r="AE22" s="93">
        <f>IFERROR(s_C*s_IFAS_res_adj*s_CF_asparagus*0.001*(up_Irr!D22+up_Irr!AC22+up_Irr!BB22),".")</f>
        <v>152036.56519057468</v>
      </c>
      <c r="AF22" s="93">
        <f>IFERROR(s_C*s_IFBT_res_adj*s_CF_beet*0.001*(up_Irr!E22+up_Irr!AD22+up_Irr!BC22),".")</f>
        <v>152036.56519057468</v>
      </c>
      <c r="AG22" s="93">
        <f>IFERROR(s_C*s_IFBE_res_adj*s_CF_berries*0.001*(up_Irr!F22+up_Irr!AE22+up_Irr!BD22),".")</f>
        <v>152036.56519057468</v>
      </c>
      <c r="AH22" s="93">
        <f>IFERROR(s_C*s_IFBR_res_adj*s_CF_broccoli*0.001*(up_Irr!G22+up_Irr!AF22+up_Irr!BE22),".")</f>
        <v>152036.56519057468</v>
      </c>
      <c r="AI22" s="93">
        <f>IFERROR(s_C*s_IFCB_res_adj*s_CF_cabbage*0.001*(up_Irr!H22+up_Irr!AG22+up_Irr!BF22),".")</f>
        <v>152036.56519057468</v>
      </c>
      <c r="AJ22" s="93">
        <f>IFERROR(s_C*s_IFCR_res_adj*s_CF_carrot*0.001*(up_Irr!I22+up_Irr!AH22+up_Irr!BG22),".")</f>
        <v>152036.56519057468</v>
      </c>
      <c r="AK22" s="93">
        <f>IFERROR(s_C*s_IFCI_res_adj*s_CF_citrus*0.001*(up_Irr!J22+up_Irr!AI22+up_Irr!BH22),".")</f>
        <v>152036.56519057468</v>
      </c>
      <c r="AL22" s="93">
        <f>IFERROR(s_C*s_IFCO_res_adj*s_CF_corn*0.001*(up_Irr!K22+up_Irr!AJ22+up_Irr!BI22),".")</f>
        <v>152036.56519057468</v>
      </c>
      <c r="AM22" s="93">
        <f>IFERROR(s_C*s_IFCU_res_adj*s_CF_cucumber*0.001*(up_Irr!L22+up_Irr!AK22+up_Irr!BJ22),".")</f>
        <v>152036.56519057468</v>
      </c>
      <c r="AN22" s="93">
        <f>IFERROR(s_C*s_IFLE_res_adj*s_CF_lettuce*0.001*(up_Irr!M22+up_Irr!AL22+up_Irr!BK22),".")</f>
        <v>152036.56519057468</v>
      </c>
      <c r="AO22" s="93">
        <f>IFERROR(s_C*s_IFLI_res_adj*s_CF_lima_bean*0.001*(up_Irr!N22+up_Irr!AM22+up_Irr!BL22),".")</f>
        <v>152036.56519057468</v>
      </c>
      <c r="AP22" s="93">
        <f>IFERROR(s_C*s_IFOK_res_adj*s_CF_okra*0.001*(up_Irr!O22+up_Irr!AN22+up_Irr!BM22),".")</f>
        <v>152036.56519057468</v>
      </c>
      <c r="AQ22" s="93">
        <f>IFERROR(s_C*s_IFON_res_adj*s_CF_onion*0.001*(up_Irr!P22+up_Irr!AO22+up_Irr!BN22),".")</f>
        <v>152036.56519057468</v>
      </c>
      <c r="AR22" s="93">
        <f>IFERROR(s_C*s_IFPC_res_adj*s_CF_peach*0.001*(up_Irr!Q22+up_Irr!AP22+up_Irr!BO22),".")</f>
        <v>152036.56519057468</v>
      </c>
      <c r="AS22" s="93">
        <f>IFERROR(s_C*s_IFPR_res_adj*s_CF_pear*0.001*(up_Irr!R22+up_Irr!AQ22+up_Irr!BP22),".")</f>
        <v>152036.56519057468</v>
      </c>
      <c r="AT22" s="93">
        <f>IFERROR(s_C*s_IFPE_res_adj*s_CF_peas*0.001*(up_Irr!S22+up_Irr!AR22+up_Irr!BQ22),".")</f>
        <v>152036.56519057468</v>
      </c>
      <c r="AU22" s="93">
        <f>IFERROR(s_C*s_IFPP_res_adj*s_CF_peppers*0.001*(up_Irr!T22+up_Irr!AS22+up_Irr!BR22),".")</f>
        <v>152036.56519057468</v>
      </c>
      <c r="AV22" s="93">
        <f>IFERROR(s_C*s_IFPT_res_adj*s_CF_potato*0.001*(up_Irr!U22+up_Irr!AT22+up_Irr!BS22),".")</f>
        <v>152036.56519057468</v>
      </c>
      <c r="AW22" s="93">
        <f>IFERROR(s_C*s_IFPU_res_adj*s_CF_pumpkin*0.001*(up_Irr!V22+up_Irr!AU22+up_Irr!BT22),".")</f>
        <v>152036.56519057468</v>
      </c>
      <c r="AX22" s="93">
        <f>IFERROR(s_C*s_IFSN_res_adj*s_CF_snap_bean*0.001*(up_Irr!W22+up_Irr!AV22+up_Irr!BU22),".")</f>
        <v>152036.56519057468</v>
      </c>
      <c r="AY22" s="93">
        <f>IFERROR(s_C*s_IFST_res_adj*s_CF_strawberry*0.001*(up_Irr!X22+up_Irr!AW22+up_Irr!BV22),".")</f>
        <v>152036.56519057468</v>
      </c>
      <c r="AZ22" s="93">
        <f>IFERROR(s_C*s_IFTO_res_adj*s_CF_tomato*0.001*(up_Irr!Y22+up_Irr!AX22+up_Irr!BW22),".")</f>
        <v>152036.56519057468</v>
      </c>
      <c r="BA22" s="93">
        <f>IFERROR(s_C*s_IFRI_res_adj*s_CF_rice*0.001*(up_Irr!Z22+up_Irr!AY22+up_Irr!BX22),".")</f>
        <v>152036.56519057468</v>
      </c>
      <c r="BB22" s="93">
        <f>IFERROR(s_C*s_IFCG_res_adj*s_CF_cereal*0.001*(up_Irr!AA22+up_Irr!AZ22+up_Irr!BY22),".")</f>
        <v>152036.56519057468</v>
      </c>
      <c r="BC22" s="76">
        <f t="shared" si="2"/>
        <v>1.6443412786038031E-11</v>
      </c>
      <c r="BD22" s="76">
        <f>IFERROR(IF(AND(up_Irr!C22&lt;&gt;".",up_Irr!AB22&lt;&gt;".",up_Irr!BA22&lt;&gt;"."),up_dir!AD22/((1/1000)*(up_Irr!C22+up_Irr!AB22+up_Irr!BA22)),IF(AND(up_Irr!C22&lt;&gt;".",up_Irr!AB22&lt;&gt;".",up_Irr!BA22="."),up_dir!AD22/((1/1000)*(up_Irr!C22+up_Irr!AB22)),IF(AND(up_Irr!C22&lt;&gt;".",up_Irr!AB22=".",up_Irr!BA22&lt;&gt;"."),up_dir!AD22/((1/1000)*(up_Irr!C22+up_Irr!BA22)),IF(AND(up_Irr!C22=".",up_Irr!AB22&lt;&gt;".",up_Irr!BA22&lt;&gt;"."),up_dir!AD22/((1/1000)*(up_Irr!AB22+up_Irr!BA22)),IF(AND(up_Irr!C22=".",up_Irr!AB22=".",up_Irr!BA22&lt;&gt;"."),up_dir!AD22/((1/1000)*(up_Irr!BA22)),IF(AND(up_Irr!C22=".",up_Irr!AB22&lt;&gt;".",up_Irr!BA22="."),up_dir!AD22/((1/1000)*(up_Irr!AB22)),IF(AND(up_Irr!C22&lt;&gt;".",up_Irr!AB22=".",up_Irr!BA22="."),up_dir!AD22/((1/1000)*(up_Irr!C22)),IF(AND(up_Irr!C22=".",up_Irr!AB22=".",up_Irr!BA22="."),up_dir!AD22*1000)))))))),".")</f>
        <v>6.5773651144152123E-11</v>
      </c>
      <c r="BE22" s="76">
        <f>IFERROR(IF(AND(up_Irr!D22&lt;&gt;".",up_Irr!AC22&lt;&gt;".",up_Irr!BB22&lt;&gt;"."),up_dir!AE22/((1/1000)*(up_Irr!D22+up_Irr!AC22+up_Irr!BB22)),IF(AND(up_Irr!D22&lt;&gt;".",up_Irr!AC22&lt;&gt;".",up_Irr!BB22="."),up_dir!AE22/((1/1000)*(up_Irr!D22+up_Irr!AC22)),IF(AND(up_Irr!D22&lt;&gt;".",up_Irr!AC22=".",up_Irr!BB22&lt;&gt;"."),up_dir!AE22/((1/1000)*(up_Irr!D22+up_Irr!BB22)),IF(AND(up_Irr!D22=".",up_Irr!AC22&lt;&gt;".",up_Irr!BB22&lt;&gt;"."),up_dir!AE22/((1/1000)*(up_Irr!AC22+up_Irr!BB22)),IF(AND(up_Irr!D22=".",up_Irr!AC22=".",up_Irr!BB22&lt;&gt;"."),up_dir!AE22/((1/1000)*(up_Irr!BB22)),IF(AND(up_Irr!D22=".",up_Irr!AC22&lt;&gt;".",up_Irr!BB22="."),up_dir!AE22/((1/1000)*(up_Irr!AC22)),IF(AND(up_Irr!D22&lt;&gt;".",up_Irr!AC22=".",up_Irr!BB22="."),up_dir!AE22/((1/1000)*(up_Irr!D22)),IF(AND(up_Irr!D22=".",up_Irr!AC22=".",up_Irr!BB22="."),up_dir!AE22*1000)))))))),".")</f>
        <v>6.5773651144152123E-11</v>
      </c>
      <c r="BF22" s="76">
        <f>IFERROR(IF(AND(up_Irr!E22&lt;&gt;".",up_Irr!AD22&lt;&gt;".",up_Irr!BC22&lt;&gt;"."),up_dir!AF22/((1/1000)*(up_Irr!E22+up_Irr!AD22+up_Irr!BC22)),IF(AND(up_Irr!E22&lt;&gt;".",up_Irr!AD22&lt;&gt;".",up_Irr!BC22="."),up_dir!AF22/((1/1000)*(up_Irr!E22+up_Irr!AD22)),IF(AND(up_Irr!E22&lt;&gt;".",up_Irr!AD22=".",up_Irr!BC22&lt;&gt;"."),up_dir!AF22/((1/1000)*(up_Irr!E22+up_Irr!BC22)),IF(AND(up_Irr!E22=".",up_Irr!AD22&lt;&gt;".",up_Irr!BC22&lt;&gt;"."),up_dir!AF22/((1/1000)*(up_Irr!AD22+up_Irr!BC22)),IF(AND(up_Irr!E22=".",up_Irr!AD22=".",up_Irr!BC22&lt;&gt;"."),up_dir!AF22/((1/1000)*(up_Irr!BC22)),IF(AND(up_Irr!E22=".",up_Irr!AD22&lt;&gt;".",up_Irr!BC22="."),up_dir!AF22/((1/1000)*(up_Irr!AD22)),IF(AND(up_Irr!E22&lt;&gt;".",up_Irr!AD22=".",up_Irr!BC22="."),up_dir!AF22/((1/1000)*(up_Irr!E22)),IF(AND(up_Irr!E22=".",up_Irr!AD22=".",up_Irr!BC22="."),up_dir!AF22*1000)))))))),".")</f>
        <v>6.5773651144152123E-11</v>
      </c>
      <c r="BG22" s="76">
        <f>IFERROR(IF(AND(up_Irr!F22&lt;&gt;".",up_Irr!AE22&lt;&gt;".",up_Irr!BD22&lt;&gt;"."),up_dir!AG22/((1/1000)*(up_Irr!F22+up_Irr!AE22+up_Irr!BD22)),IF(AND(up_Irr!F22&lt;&gt;".",up_Irr!AE22&lt;&gt;".",up_Irr!BD22="."),up_dir!AG22/((1/1000)*(up_Irr!F22+up_Irr!AE22)),IF(AND(up_Irr!F22&lt;&gt;".",up_Irr!AE22=".",up_Irr!BD22&lt;&gt;"."),up_dir!AG22/((1/1000)*(up_Irr!F22+up_Irr!BD22)),IF(AND(up_Irr!F22=".",up_Irr!AE22&lt;&gt;".",up_Irr!BD22&lt;&gt;"."),up_dir!AG22/((1/1000)*(up_Irr!AE22+up_Irr!BD22)),IF(AND(up_Irr!F22=".",up_Irr!AE22=".",up_Irr!BD22&lt;&gt;"."),up_dir!AG22/((1/1000)*(up_Irr!BD22)),IF(AND(up_Irr!F22=".",up_Irr!AE22&lt;&gt;".",up_Irr!BD22="."),up_dir!AG22/((1/1000)*(up_Irr!AE22)),IF(AND(up_Irr!F22&lt;&gt;".",up_Irr!AE22=".",up_Irr!BD22="."),up_dir!AG22/((1/1000)*(up_Irr!F22)),IF(AND(up_Irr!F22=".",up_Irr!AE22=".",up_Irr!BD22="."),up_dir!AG22*1000)))))))),".")</f>
        <v>6.5773651144152123E-11</v>
      </c>
      <c r="BH22" s="76">
        <f>IFERROR(IF(AND(up_Irr!G22&lt;&gt;".",up_Irr!AF22&lt;&gt;".",up_Irr!BE22&lt;&gt;"."),up_dir!AH22/((1/1000)*(up_Irr!G22+up_Irr!AF22+up_Irr!BE22)),IF(AND(up_Irr!G22&lt;&gt;".",up_Irr!AF22&lt;&gt;".",up_Irr!BE22="."),up_dir!AH22/((1/1000)*(up_Irr!G22+up_Irr!AF22)),IF(AND(up_Irr!G22&lt;&gt;".",up_Irr!AF22=".",up_Irr!BE22&lt;&gt;"."),up_dir!AH22/((1/1000)*(up_Irr!G22+up_Irr!BE22)),IF(AND(up_Irr!G22=".",up_Irr!AF22&lt;&gt;".",up_Irr!BE22&lt;&gt;"."),up_dir!AH22/((1/1000)*(up_Irr!AF22+up_Irr!BE22)),IF(AND(up_Irr!G22=".",up_Irr!AF22=".",up_Irr!BE22&lt;&gt;"."),up_dir!AH22/((1/1000)*(up_Irr!BE22)),IF(AND(up_Irr!G22=".",up_Irr!AF22&lt;&gt;".",up_Irr!BE22="."),up_dir!AH22/((1/1000)*(up_Irr!AF22)),IF(AND(up_Irr!G22&lt;&gt;".",up_Irr!AF22=".",up_Irr!BE22="."),up_dir!AH22/((1/1000)*(up_Irr!G22)),IF(AND(up_Irr!G22=".",up_Irr!AF22=".",up_Irr!BE22="."),up_dir!AH22*1000)))))))),".")</f>
        <v>6.5773651144152123E-11</v>
      </c>
      <c r="BI22" s="76">
        <f>IFERROR(IF(AND(up_Irr!H22&lt;&gt;".",up_Irr!AG22&lt;&gt;".",up_Irr!BF22&lt;&gt;"."),up_dir!AI22/((1/1000)*(up_Irr!H22+up_Irr!AG22+up_Irr!BF22)),IF(AND(up_Irr!H22&lt;&gt;".",up_Irr!AG22&lt;&gt;".",up_Irr!BF22="."),up_dir!AI22/((1/1000)*(up_Irr!H22+up_Irr!AG22)),IF(AND(up_Irr!H22&lt;&gt;".",up_Irr!AG22=".",up_Irr!BF22&lt;&gt;"."),up_dir!AI22/((1/1000)*(up_Irr!H22+up_Irr!BF22)),IF(AND(up_Irr!H22=".",up_Irr!AG22&lt;&gt;".",up_Irr!BF22&lt;&gt;"."),up_dir!AI22/((1/1000)*(up_Irr!AG22+up_Irr!BF22)),IF(AND(up_Irr!H22=".",up_Irr!AG22=".",up_Irr!BF22&lt;&gt;"."),up_dir!AI22/((1/1000)*(up_Irr!BF22)),IF(AND(up_Irr!H22=".",up_Irr!AG22&lt;&gt;".",up_Irr!BF22="."),up_dir!AI22/((1/1000)*(up_Irr!AG22)),IF(AND(up_Irr!H22&lt;&gt;".",up_Irr!AG22=".",up_Irr!BF22="."),up_dir!AI22/((1/1000)*(up_Irr!H22)),IF(AND(up_Irr!H22=".",up_Irr!AG22=".",up_Irr!BF22="."),up_dir!AI22*1000)))))))),".")</f>
        <v>6.5773651144152123E-11</v>
      </c>
      <c r="BJ22" s="76">
        <f>IFERROR(IF(AND(up_Irr!I22&lt;&gt;".",up_Irr!AH22&lt;&gt;".",up_Irr!BG22&lt;&gt;"."),up_dir!AJ22/((1/1000)*(up_Irr!I22+up_Irr!AH22+up_Irr!BG22)),IF(AND(up_Irr!I22&lt;&gt;".",up_Irr!AH22&lt;&gt;".",up_Irr!BG22="."),up_dir!AJ22/((1/1000)*(up_Irr!I22+up_Irr!AH22)),IF(AND(up_Irr!I22&lt;&gt;".",up_Irr!AH22=".",up_Irr!BG22&lt;&gt;"."),up_dir!AJ22/((1/1000)*(up_Irr!I22+up_Irr!BG22)),IF(AND(up_Irr!I22=".",up_Irr!AH22&lt;&gt;".",up_Irr!BG22&lt;&gt;"."),up_dir!AJ22/((1/1000)*(up_Irr!AH22+up_Irr!BG22)),IF(AND(up_Irr!I22=".",up_Irr!AH22=".",up_Irr!BG22&lt;&gt;"."),up_dir!AJ22/((1/1000)*(up_Irr!BG22)),IF(AND(up_Irr!I22=".",up_Irr!AH22&lt;&gt;".",up_Irr!BG22="."),up_dir!AJ22/((1/1000)*(up_Irr!AH22)),IF(AND(up_Irr!I22&lt;&gt;".",up_Irr!AH22=".",up_Irr!BG22="."),up_dir!AJ22/((1/1000)*(up_Irr!I22)),IF(AND(up_Irr!I22=".",up_Irr!AH22=".",up_Irr!BG22="."),up_dir!AJ22*1000)))))))),".")</f>
        <v>6.5773651144152123E-11</v>
      </c>
      <c r="BK22" s="76">
        <f>IFERROR(IF(AND(up_Irr!J22&lt;&gt;".",up_Irr!AI22&lt;&gt;".",up_Irr!BH22&lt;&gt;"."),up_dir!AK22/((1/1000)*(up_Irr!J22+up_Irr!AI22+up_Irr!BH22)),IF(AND(up_Irr!J22&lt;&gt;".",up_Irr!AI22&lt;&gt;".",up_Irr!BH22="."),up_dir!AK22/((1/1000)*(up_Irr!J22+up_Irr!AI22)),IF(AND(up_Irr!J22&lt;&gt;".",up_Irr!AI22=".",up_Irr!BH22&lt;&gt;"."),up_dir!AK22/((1/1000)*(up_Irr!J22+up_Irr!BH22)),IF(AND(up_Irr!J22=".",up_Irr!AI22&lt;&gt;".",up_Irr!BH22&lt;&gt;"."),up_dir!AK22/((1/1000)*(up_Irr!AI22+up_Irr!BH22)),IF(AND(up_Irr!J22=".",up_Irr!AI22=".",up_Irr!BH22&lt;&gt;"."),up_dir!AK22/((1/1000)*(up_Irr!BH22)),IF(AND(up_Irr!J22=".",up_Irr!AI22&lt;&gt;".",up_Irr!BH22="."),up_dir!AK22/((1/1000)*(up_Irr!AI22)),IF(AND(up_Irr!J22&lt;&gt;".",up_Irr!AI22=".",up_Irr!BH22="."),up_dir!AK22/((1/1000)*(up_Irr!J22)),IF(AND(up_Irr!J22=".",up_Irr!AI22=".",up_Irr!BH22="."),up_dir!AK22*1000)))))))),".")</f>
        <v>6.5773651144152123E-11</v>
      </c>
      <c r="BL22" s="76">
        <f>IFERROR(IF(AND(up_Irr!K22&lt;&gt;".",up_Irr!AJ22&lt;&gt;".",up_Irr!BI22&lt;&gt;"."),up_dir!AL22/((1/1000)*(up_Irr!K22+up_Irr!AJ22+up_Irr!BI22)),IF(AND(up_Irr!K22&lt;&gt;".",up_Irr!AJ22&lt;&gt;".",up_Irr!BI22="."),up_dir!AL22/((1/1000)*(up_Irr!K22+up_Irr!AJ22)),IF(AND(up_Irr!K22&lt;&gt;".",up_Irr!AJ22=".",up_Irr!BI22&lt;&gt;"."),up_dir!AL22/((1/1000)*(up_Irr!K22+up_Irr!BI22)),IF(AND(up_Irr!K22=".",up_Irr!AJ22&lt;&gt;".",up_Irr!BI22&lt;&gt;"."),up_dir!AL22/((1/1000)*(up_Irr!AJ22+up_Irr!BI22)),IF(AND(up_Irr!K22=".",up_Irr!AJ22=".",up_Irr!BI22&lt;&gt;"."),up_dir!AL22/((1/1000)*(up_Irr!BI22)),IF(AND(up_Irr!K22=".",up_Irr!AJ22&lt;&gt;".",up_Irr!BI22="."),up_dir!AL22/((1/1000)*(up_Irr!AJ22)),IF(AND(up_Irr!K22&lt;&gt;".",up_Irr!AJ22=".",up_Irr!BI22="."),up_dir!AL22/((1/1000)*(up_Irr!K22)),IF(AND(up_Irr!K22=".",up_Irr!AJ22=".",up_Irr!BI22="."),up_dir!AL22*1000)))))))),".")</f>
        <v>6.5773651144152123E-11</v>
      </c>
      <c r="BM22" s="76">
        <f>IFERROR(IF(AND(up_Irr!L22&lt;&gt;".",up_Irr!AK22&lt;&gt;".",up_Irr!BJ22&lt;&gt;"."),up_dir!AM22/((1/1000)*(up_Irr!L22+up_Irr!AK22+up_Irr!BJ22)),IF(AND(up_Irr!L22&lt;&gt;".",up_Irr!AK22&lt;&gt;".",up_Irr!BJ22="."),up_dir!AM22/((1/1000)*(up_Irr!L22+up_Irr!AK22)),IF(AND(up_Irr!L22&lt;&gt;".",up_Irr!AK22=".",up_Irr!BJ22&lt;&gt;"."),up_dir!AM22/((1/1000)*(up_Irr!L22+up_Irr!BJ22)),IF(AND(up_Irr!L22=".",up_Irr!AK22&lt;&gt;".",up_Irr!BJ22&lt;&gt;"."),up_dir!AM22/((1/1000)*(up_Irr!AK22+up_Irr!BJ22)),IF(AND(up_Irr!L22=".",up_Irr!AK22=".",up_Irr!BJ22&lt;&gt;"."),up_dir!AM22/((1/1000)*(up_Irr!BJ22)),IF(AND(up_Irr!L22=".",up_Irr!AK22&lt;&gt;".",up_Irr!BJ22="."),up_dir!AM22/((1/1000)*(up_Irr!AK22)),IF(AND(up_Irr!L22&lt;&gt;".",up_Irr!AK22=".",up_Irr!BJ22="."),up_dir!AM22/((1/1000)*(up_Irr!L22)),IF(AND(up_Irr!L22=".",up_Irr!AK22=".",up_Irr!BJ22="."),up_dir!AM22*1000)))))))),".")</f>
        <v>6.5773651144152123E-11</v>
      </c>
      <c r="BN22" s="76">
        <f>IFERROR(IF(AND(up_Irr!M22&lt;&gt;".",up_Irr!AL22&lt;&gt;".",up_Irr!BK22&lt;&gt;"."),up_dir!AN22/((1/1000)*(up_Irr!M22+up_Irr!AL22+up_Irr!BK22)),IF(AND(up_Irr!M22&lt;&gt;".",up_Irr!AL22&lt;&gt;".",up_Irr!BK22="."),up_dir!AN22/((1/1000)*(up_Irr!M22+up_Irr!AL22)),IF(AND(up_Irr!M22&lt;&gt;".",up_Irr!AL22=".",up_Irr!BK22&lt;&gt;"."),up_dir!AN22/((1/1000)*(up_Irr!M22+up_Irr!BK22)),IF(AND(up_Irr!M22=".",up_Irr!AL22&lt;&gt;".",up_Irr!BK22&lt;&gt;"."),up_dir!AN22/((1/1000)*(up_Irr!AL22+up_Irr!BK22)),IF(AND(up_Irr!M22=".",up_Irr!AL22=".",up_Irr!BK22&lt;&gt;"."),up_dir!AN22/((1/1000)*(up_Irr!BK22)),IF(AND(up_Irr!M22=".",up_Irr!AL22&lt;&gt;".",up_Irr!BK22="."),up_dir!AN22/((1/1000)*(up_Irr!AL22)),IF(AND(up_Irr!M22&lt;&gt;".",up_Irr!AL22=".",up_Irr!BK22="."),up_dir!AN22/((1/1000)*(up_Irr!M22)),IF(AND(up_Irr!M22=".",up_Irr!AL22=".",up_Irr!BK22="."),up_dir!AN22*1000)))))))),".")</f>
        <v>6.5773651144152123E-11</v>
      </c>
      <c r="BO22" s="76">
        <f>IFERROR(IF(AND(up_Irr!N22&lt;&gt;".",up_Irr!AM22&lt;&gt;".",up_Irr!BL22&lt;&gt;"."),up_dir!AO22/((1/1000)*(up_Irr!N22+up_Irr!AM22+up_Irr!BL22)),IF(AND(up_Irr!N22&lt;&gt;".",up_Irr!AM22&lt;&gt;".",up_Irr!BL22="."),up_dir!AO22/((1/1000)*(up_Irr!N22+up_Irr!AM22)),IF(AND(up_Irr!N22&lt;&gt;".",up_Irr!AM22=".",up_Irr!BL22&lt;&gt;"."),up_dir!AO22/((1/1000)*(up_Irr!N22+up_Irr!BL22)),IF(AND(up_Irr!N22=".",up_Irr!AM22&lt;&gt;".",up_Irr!BL22&lt;&gt;"."),up_dir!AO22/((1/1000)*(up_Irr!AM22+up_Irr!BL22)),IF(AND(up_Irr!N22=".",up_Irr!AM22=".",up_Irr!BL22&lt;&gt;"."),up_dir!AO22/((1/1000)*(up_Irr!BL22)),IF(AND(up_Irr!N22=".",up_Irr!AM22&lt;&gt;".",up_Irr!BL22="."),up_dir!AO22/((1/1000)*(up_Irr!AM22)),IF(AND(up_Irr!N22&lt;&gt;".",up_Irr!AM22=".",up_Irr!BL22="."),up_dir!AO22/((1/1000)*(up_Irr!N22)),IF(AND(up_Irr!N22=".",up_Irr!AM22=".",up_Irr!BL22="."),up_dir!AO22*1000)))))))),".")</f>
        <v>6.5773651144152123E-11</v>
      </c>
      <c r="BP22" s="76">
        <f>IFERROR(IF(AND(up_Irr!O22&lt;&gt;".",up_Irr!AN22&lt;&gt;".",up_Irr!BM22&lt;&gt;"."),up_dir!AP22/((1/1000)*(up_Irr!O22+up_Irr!AN22+up_Irr!BM22)),IF(AND(up_Irr!O22&lt;&gt;".",up_Irr!AN22&lt;&gt;".",up_Irr!BM22="."),up_dir!AP22/((1/1000)*(up_Irr!O22+up_Irr!AN22)),IF(AND(up_Irr!O22&lt;&gt;".",up_Irr!AN22=".",up_Irr!BM22&lt;&gt;"."),up_dir!AP22/((1/1000)*(up_Irr!O22+up_Irr!BM22)),IF(AND(up_Irr!O22=".",up_Irr!AN22&lt;&gt;".",up_Irr!BM22&lt;&gt;"."),up_dir!AP22/((1/1000)*(up_Irr!AN22+up_Irr!BM22)),IF(AND(up_Irr!O22=".",up_Irr!AN22=".",up_Irr!BM22&lt;&gt;"."),up_dir!AP22/((1/1000)*(up_Irr!BM22)),IF(AND(up_Irr!O22=".",up_Irr!AN22&lt;&gt;".",up_Irr!BM22="."),up_dir!AP22/((1/1000)*(up_Irr!AN22)),IF(AND(up_Irr!O22&lt;&gt;".",up_Irr!AN22=".",up_Irr!BM22="."),up_dir!AP22/((1/1000)*(up_Irr!O22)),IF(AND(up_Irr!O22=".",up_Irr!AN22=".",up_Irr!BM22="."),up_dir!AP22*1000)))))))),".")</f>
        <v>6.5773651144152123E-11</v>
      </c>
      <c r="BQ22" s="76">
        <f>IFERROR(IF(AND(up_Irr!P22&lt;&gt;".",up_Irr!AO22&lt;&gt;".",up_Irr!BN22&lt;&gt;"."),up_dir!AQ22/((1/1000)*(up_Irr!P22+up_Irr!AO22+up_Irr!BN22)),IF(AND(up_Irr!P22&lt;&gt;".",up_Irr!AO22&lt;&gt;".",up_Irr!BN22="."),up_dir!AQ22/((1/1000)*(up_Irr!P22+up_Irr!AO22)),IF(AND(up_Irr!P22&lt;&gt;".",up_Irr!AO22=".",up_Irr!BN22&lt;&gt;"."),up_dir!AQ22/((1/1000)*(up_Irr!P22+up_Irr!BN22)),IF(AND(up_Irr!P22=".",up_Irr!AO22&lt;&gt;".",up_Irr!BN22&lt;&gt;"."),up_dir!AQ22/((1/1000)*(up_Irr!AO22+up_Irr!BN22)),IF(AND(up_Irr!P22=".",up_Irr!AO22=".",up_Irr!BN22&lt;&gt;"."),up_dir!AQ22/((1/1000)*(up_Irr!BN22)),IF(AND(up_Irr!P22=".",up_Irr!AO22&lt;&gt;".",up_Irr!BN22="."),up_dir!AQ22/((1/1000)*(up_Irr!AO22)),IF(AND(up_Irr!P22&lt;&gt;".",up_Irr!AO22=".",up_Irr!BN22="."),up_dir!AQ22/((1/1000)*(up_Irr!P22)),IF(AND(up_Irr!P22=".",up_Irr!AO22=".",up_Irr!BN22="."),up_dir!AQ22*1000)))))))),".")</f>
        <v>6.5773651144152123E-11</v>
      </c>
      <c r="BR22" s="76">
        <f>IFERROR(IF(AND(up_Irr!Q22&lt;&gt;".",up_Irr!AP22&lt;&gt;".",up_Irr!BO22&lt;&gt;"."),up_dir!AR22/((1/1000)*(up_Irr!Q22+up_Irr!AP22+up_Irr!BO22)),IF(AND(up_Irr!Q22&lt;&gt;".",up_Irr!AP22&lt;&gt;".",up_Irr!BO22="."),up_dir!AR22/((1/1000)*(up_Irr!Q22+up_Irr!AP22)),IF(AND(up_Irr!Q22&lt;&gt;".",up_Irr!AP22=".",up_Irr!BO22&lt;&gt;"."),up_dir!AR22/((1/1000)*(up_Irr!Q22+up_Irr!BO22)),IF(AND(up_Irr!Q22=".",up_Irr!AP22&lt;&gt;".",up_Irr!BO22&lt;&gt;"."),up_dir!AR22/((1/1000)*(up_Irr!AP22+up_Irr!BO22)),IF(AND(up_Irr!Q22=".",up_Irr!AP22=".",up_Irr!BO22&lt;&gt;"."),up_dir!AR22/((1/1000)*(up_Irr!BO22)),IF(AND(up_Irr!Q22=".",up_Irr!AP22&lt;&gt;".",up_Irr!BO22="."),up_dir!AR22/((1/1000)*(up_Irr!AP22)),IF(AND(up_Irr!Q22&lt;&gt;".",up_Irr!AP22=".",up_Irr!BO22="."),up_dir!AR22/((1/1000)*(up_Irr!Q22)),IF(AND(up_Irr!Q22=".",up_Irr!AP22=".",up_Irr!BO22="."),up_dir!AR22*1000)))))))),".")</f>
        <v>6.5773651144152123E-11</v>
      </c>
      <c r="BS22" s="76">
        <f>IFERROR(IF(AND(up_Irr!R22&lt;&gt;".",up_Irr!AQ22&lt;&gt;".",up_Irr!BP22&lt;&gt;"."),up_dir!AS22/((1/1000)*(up_Irr!R22+up_Irr!AQ22+up_Irr!BP22)),IF(AND(up_Irr!R22&lt;&gt;".",up_Irr!AQ22&lt;&gt;".",up_Irr!BP22="."),up_dir!AS22/((1/1000)*(up_Irr!R22+up_Irr!AQ22)),IF(AND(up_Irr!R22&lt;&gt;".",up_Irr!AQ22=".",up_Irr!BP22&lt;&gt;"."),up_dir!AS22/((1/1000)*(up_Irr!R22+up_Irr!BP22)),IF(AND(up_Irr!R22=".",up_Irr!AQ22&lt;&gt;".",up_Irr!BP22&lt;&gt;"."),up_dir!AS22/((1/1000)*(up_Irr!AQ22+up_Irr!BP22)),IF(AND(up_Irr!R22=".",up_Irr!AQ22=".",up_Irr!BP22&lt;&gt;"."),up_dir!AS22/((1/1000)*(up_Irr!BP22)),IF(AND(up_Irr!R22=".",up_Irr!AQ22&lt;&gt;".",up_Irr!BP22="."),up_dir!AS22/((1/1000)*(up_Irr!AQ22)),IF(AND(up_Irr!R22&lt;&gt;".",up_Irr!AQ22=".",up_Irr!BP22="."),up_dir!AS22/((1/1000)*(up_Irr!R22)),IF(AND(up_Irr!R22=".",up_Irr!AQ22=".",up_Irr!BP22="."),up_dir!AS22*1000)))))))),".")</f>
        <v>6.5773651144152123E-11</v>
      </c>
      <c r="BT22" s="76">
        <f>IFERROR(IF(AND(up_Irr!S22&lt;&gt;".",up_Irr!AR22&lt;&gt;".",up_Irr!BQ22&lt;&gt;"."),up_dir!AT22/((1/1000)*(up_Irr!S22+up_Irr!AR22+up_Irr!BQ22)),IF(AND(up_Irr!S22&lt;&gt;".",up_Irr!AR22&lt;&gt;".",up_Irr!BQ22="."),up_dir!AT22/((1/1000)*(up_Irr!S22+up_Irr!AR22)),IF(AND(up_Irr!S22&lt;&gt;".",up_Irr!AR22=".",up_Irr!BQ22&lt;&gt;"."),up_dir!AT22/((1/1000)*(up_Irr!S22+up_Irr!BQ22)),IF(AND(up_Irr!S22=".",up_Irr!AR22&lt;&gt;".",up_Irr!BQ22&lt;&gt;"."),up_dir!AT22/((1/1000)*(up_Irr!AR22+up_Irr!BQ22)),IF(AND(up_Irr!S22=".",up_Irr!AR22=".",up_Irr!BQ22&lt;&gt;"."),up_dir!AT22/((1/1000)*(up_Irr!BQ22)),IF(AND(up_Irr!S22=".",up_Irr!AR22&lt;&gt;".",up_Irr!BQ22="."),up_dir!AT22/((1/1000)*(up_Irr!AR22)),IF(AND(up_Irr!S22&lt;&gt;".",up_Irr!AR22=".",up_Irr!BQ22="."),up_dir!AT22/((1/1000)*(up_Irr!S22)),IF(AND(up_Irr!S22=".",up_Irr!AR22=".",up_Irr!BQ22="."),up_dir!AT22*1000)))))))),".")</f>
        <v>6.5773651144152123E-11</v>
      </c>
      <c r="BU22" s="76">
        <f>IFERROR(IF(AND(up_Irr!T22&lt;&gt;".",up_Irr!AS22&lt;&gt;".",up_Irr!BR22&lt;&gt;"."),up_dir!AU22/((1/1000)*(up_Irr!T22+up_Irr!AS22+up_Irr!BR22)),IF(AND(up_Irr!T22&lt;&gt;".",up_Irr!AS22&lt;&gt;".",up_Irr!BR22="."),up_dir!AU22/((1/1000)*(up_Irr!T22+up_Irr!AS22)),IF(AND(up_Irr!T22&lt;&gt;".",up_Irr!AS22=".",up_Irr!BR22&lt;&gt;"."),up_dir!AU22/((1/1000)*(up_Irr!T22+up_Irr!BR22)),IF(AND(up_Irr!T22=".",up_Irr!AS22&lt;&gt;".",up_Irr!BR22&lt;&gt;"."),up_dir!AU22/((1/1000)*(up_Irr!AS22+up_Irr!BR22)),IF(AND(up_Irr!T22=".",up_Irr!AS22=".",up_Irr!BR22&lt;&gt;"."),up_dir!AU22/((1/1000)*(up_Irr!BR22)),IF(AND(up_Irr!T22=".",up_Irr!AS22&lt;&gt;".",up_Irr!BR22="."),up_dir!AU22/((1/1000)*(up_Irr!AS22)),IF(AND(up_Irr!T22&lt;&gt;".",up_Irr!AS22=".",up_Irr!BR22="."),up_dir!AU22/((1/1000)*(up_Irr!T22)),IF(AND(up_Irr!T22=".",up_Irr!AS22=".",up_Irr!BR22="."),up_dir!AU22*1000)))))))),".")</f>
        <v>6.5773651144152123E-11</v>
      </c>
      <c r="BV22" s="76">
        <f>IFERROR(IF(AND(up_Irr!U22&lt;&gt;".",up_Irr!AT22&lt;&gt;".",up_Irr!BS22&lt;&gt;"."),up_dir!AV22/((1/1000)*(up_Irr!U22+up_Irr!AT22+up_Irr!BS22)),IF(AND(up_Irr!U22&lt;&gt;".",up_Irr!AT22&lt;&gt;".",up_Irr!BS22="."),up_dir!AV22/((1/1000)*(up_Irr!U22+up_Irr!AT22)),IF(AND(up_Irr!U22&lt;&gt;".",up_Irr!AT22=".",up_Irr!BS22&lt;&gt;"."),up_dir!AV22/((1/1000)*(up_Irr!U22+up_Irr!BS22)),IF(AND(up_Irr!U22=".",up_Irr!AT22&lt;&gt;".",up_Irr!BS22&lt;&gt;"."),up_dir!AV22/((1/1000)*(up_Irr!AT22+up_Irr!BS22)),IF(AND(up_Irr!U22=".",up_Irr!AT22=".",up_Irr!BS22&lt;&gt;"."),up_dir!AV22/((1/1000)*(up_Irr!BS22)),IF(AND(up_Irr!U22=".",up_Irr!AT22&lt;&gt;".",up_Irr!BS22="."),up_dir!AV22/((1/1000)*(up_Irr!AT22)),IF(AND(up_Irr!U22&lt;&gt;".",up_Irr!AT22=".",up_Irr!BS22="."),up_dir!AV22/((1/1000)*(up_Irr!U22)),IF(AND(up_Irr!U22=".",up_Irr!AT22=".",up_Irr!BS22="."),up_dir!AV22*1000)))))))),".")</f>
        <v>6.5773651144152123E-11</v>
      </c>
      <c r="BW22" s="76">
        <f>IFERROR(IF(AND(up_Irr!V22&lt;&gt;".",up_Irr!AU22&lt;&gt;".",up_Irr!BT22&lt;&gt;"."),up_dir!AW22/((1/1000)*(up_Irr!V22+up_Irr!AU22+up_Irr!BT22)),IF(AND(up_Irr!V22&lt;&gt;".",up_Irr!AU22&lt;&gt;".",up_Irr!BT22="."),up_dir!AW22/((1/1000)*(up_Irr!V22+up_Irr!AU22)),IF(AND(up_Irr!V22&lt;&gt;".",up_Irr!AU22=".",up_Irr!BT22&lt;&gt;"."),up_dir!AW22/((1/1000)*(up_Irr!V22+up_Irr!BT22)),IF(AND(up_Irr!V22=".",up_Irr!AU22&lt;&gt;".",up_Irr!BT22&lt;&gt;"."),up_dir!AW22/((1/1000)*(up_Irr!AU22+up_Irr!BT22)),IF(AND(up_Irr!V22=".",up_Irr!AU22=".",up_Irr!BT22&lt;&gt;"."),up_dir!AW22/((1/1000)*(up_Irr!BT22)),IF(AND(up_Irr!V22=".",up_Irr!AU22&lt;&gt;".",up_Irr!BT22="."),up_dir!AW22/((1/1000)*(up_Irr!AU22)),IF(AND(up_Irr!V22&lt;&gt;".",up_Irr!AU22=".",up_Irr!BT22="."),up_dir!AW22/((1/1000)*(up_Irr!V22)),IF(AND(up_Irr!V22=".",up_Irr!AU22=".",up_Irr!BT22="."),up_dir!AW22*1000)))))))),".")</f>
        <v>6.5773651144152123E-11</v>
      </c>
      <c r="BX22" s="76">
        <f>IFERROR(IF(AND(up_Irr!W22&lt;&gt;".",up_Irr!AV22&lt;&gt;".",up_Irr!BU22&lt;&gt;"."),up_dir!AX22/((1/1000)*(up_Irr!W22+up_Irr!AV22+up_Irr!BU22)),IF(AND(up_Irr!W22&lt;&gt;".",up_Irr!AV22&lt;&gt;".",up_Irr!BU22="."),up_dir!AX22/((1/1000)*(up_Irr!W22+up_Irr!AV22)),IF(AND(up_Irr!W22&lt;&gt;".",up_Irr!AV22=".",up_Irr!BU22&lt;&gt;"."),up_dir!AX22/((1/1000)*(up_Irr!W22+up_Irr!BU22)),IF(AND(up_Irr!W22=".",up_Irr!AV22&lt;&gt;".",up_Irr!BU22&lt;&gt;"."),up_dir!AX22/((1/1000)*(up_Irr!AV22+up_Irr!BU22)),IF(AND(up_Irr!W22=".",up_Irr!AV22=".",up_Irr!BU22&lt;&gt;"."),up_dir!AX22/((1/1000)*(up_Irr!BU22)),IF(AND(up_Irr!W22=".",up_Irr!AV22&lt;&gt;".",up_Irr!BU22="."),up_dir!AX22/((1/1000)*(up_Irr!AV22)),IF(AND(up_Irr!W22&lt;&gt;".",up_Irr!AV22=".",up_Irr!BU22="."),up_dir!AX22/((1/1000)*(up_Irr!W22)),IF(AND(up_Irr!W22=".",up_Irr!AV22=".",up_Irr!BU22="."),up_dir!AX22*1000)))))))),".")</f>
        <v>6.5773651144152123E-11</v>
      </c>
      <c r="BY22" s="76">
        <f>IFERROR(IF(AND(up_Irr!X22&lt;&gt;".",up_Irr!AW22&lt;&gt;".",up_Irr!BV22&lt;&gt;"."),up_dir!AY22/((1/1000)*(up_Irr!X22+up_Irr!AW22+up_Irr!BV22)),IF(AND(up_Irr!X22&lt;&gt;".",up_Irr!AW22&lt;&gt;".",up_Irr!BV22="."),up_dir!AY22/((1/1000)*(up_Irr!X22+up_Irr!AW22)),IF(AND(up_Irr!X22&lt;&gt;".",up_Irr!AW22=".",up_Irr!BV22&lt;&gt;"."),up_dir!AY22/((1/1000)*(up_Irr!X22+up_Irr!BV22)),IF(AND(up_Irr!X22=".",up_Irr!AW22&lt;&gt;".",up_Irr!BV22&lt;&gt;"."),up_dir!AY22/((1/1000)*(up_Irr!AW22+up_Irr!BV22)),IF(AND(up_Irr!X22=".",up_Irr!AW22=".",up_Irr!BV22&lt;&gt;"."),up_dir!AY22/((1/1000)*(up_Irr!BV22)),IF(AND(up_Irr!X22=".",up_Irr!AW22&lt;&gt;".",up_Irr!BV22="."),up_dir!AY22/((1/1000)*(up_Irr!AW22)),IF(AND(up_Irr!X22&lt;&gt;".",up_Irr!AW22=".",up_Irr!BV22="."),up_dir!AY22/((1/1000)*(up_Irr!X22)),IF(AND(up_Irr!X22=".",up_Irr!AW22=".",up_Irr!BV22="."),up_dir!AY22*1000)))))))),".")</f>
        <v>6.5773651144152123E-11</v>
      </c>
      <c r="BZ22" s="76">
        <f>IFERROR(IF(AND(up_Irr!Y22&lt;&gt;".",up_Irr!AX22&lt;&gt;".",up_Irr!BW22&lt;&gt;"."),up_dir!AZ22/((1/1000)*(up_Irr!Y22+up_Irr!AX22+up_Irr!BW22)),IF(AND(up_Irr!Y22&lt;&gt;".",up_Irr!AX22&lt;&gt;".",up_Irr!BW22="."),up_dir!AZ22/((1/1000)*(up_Irr!Y22+up_Irr!AX22)),IF(AND(up_Irr!Y22&lt;&gt;".",up_Irr!AX22=".",up_Irr!BW22&lt;&gt;"."),up_dir!AZ22/((1/1000)*(up_Irr!Y22+up_Irr!BW22)),IF(AND(up_Irr!Y22=".",up_Irr!AX22&lt;&gt;".",up_Irr!BW22&lt;&gt;"."),up_dir!AZ22/((1/1000)*(up_Irr!AX22+up_Irr!BW22)),IF(AND(up_Irr!Y22=".",up_Irr!AX22=".",up_Irr!BW22&lt;&gt;"."),up_dir!AZ22/((1/1000)*(up_Irr!BW22)),IF(AND(up_Irr!Y22=".",up_Irr!AX22&lt;&gt;".",up_Irr!BW22="."),up_dir!AZ22/((1/1000)*(up_Irr!AX22)),IF(AND(up_Irr!Y22&lt;&gt;".",up_Irr!AX22=".",up_Irr!BW22="."),up_dir!AZ22/((1/1000)*(up_Irr!Y22)),IF(AND(up_Irr!Y22=".",up_Irr!AX22=".",up_Irr!BW22="."),up_dir!AZ22*1000)))))))),".")</f>
        <v>6.5773651144152123E-11</v>
      </c>
      <c r="CA22" s="76">
        <f>IFERROR(IF(AND(up_Irr!Z22&lt;&gt;".",up_Irr!AY22&lt;&gt;".",up_Irr!BX22&lt;&gt;"."),up_dir!BA22/((1/1000)*(up_Irr!Z22+up_Irr!AY22+up_Irr!BX22)),IF(AND(up_Irr!Z22&lt;&gt;".",up_Irr!AY22&lt;&gt;".",up_Irr!BX22="."),up_dir!BA22/((1/1000)*(up_Irr!Z22+up_Irr!AY22)),IF(AND(up_Irr!Z22&lt;&gt;".",up_Irr!AY22=".",up_Irr!BX22&lt;&gt;"."),up_dir!BA22/((1/1000)*(up_Irr!Z22+up_Irr!BX22)),IF(AND(up_Irr!Z22=".",up_Irr!AY22&lt;&gt;".",up_Irr!BX22&lt;&gt;"."),up_dir!BA22/((1/1000)*(up_Irr!AY22+up_Irr!BX22)),IF(AND(up_Irr!Z22=".",up_Irr!AY22=".",up_Irr!BX22&lt;&gt;"."),up_dir!BA22/((1/1000)*(up_Irr!BX22)),IF(AND(up_Irr!Z22=".",up_Irr!AY22&lt;&gt;".",up_Irr!BX22="."),up_dir!BA22/((1/1000)*(up_Irr!AY22)),IF(AND(up_Irr!Z22&lt;&gt;".",up_Irr!AY22=".",up_Irr!BX22="."),up_dir!BA22/((1/1000)*(up_Irr!Z22)),IF(AND(up_Irr!Z22=".",up_Irr!AY22=".",up_Irr!BX22="."),up_dir!BA22*1000)))))))),".")</f>
        <v>6.5773651144152123E-11</v>
      </c>
      <c r="CB22" s="76">
        <f>IFERROR(IF(AND(up_Irr!AA22&lt;&gt;".",up_Irr!AZ22&lt;&gt;".",up_Irr!BY22&lt;&gt;"."),up_dir!BB22/((1/1000)*(up_Irr!AA22+up_Irr!AZ22+up_Irr!BY22)),IF(AND(up_Irr!AA22&lt;&gt;".",up_Irr!AZ22&lt;&gt;".",up_Irr!BY22="."),up_dir!BB22/((1/1000)*(up_Irr!AA22+up_Irr!AZ22)),IF(AND(up_Irr!AA22&lt;&gt;".",up_Irr!AZ22=".",up_Irr!BY22&lt;&gt;"."),up_dir!BB22/((1/1000)*(up_Irr!AA22+up_Irr!BY22)),IF(AND(up_Irr!AA22=".",up_Irr!AZ22&lt;&gt;".",up_Irr!BY22&lt;&gt;"."),up_dir!BB22/((1/1000)*(up_Irr!AZ22+up_Irr!BY22)),IF(AND(up_Irr!AA22=".",up_Irr!AZ22=".",up_Irr!BY22&lt;&gt;"."),up_dir!BB22/((1/1000)*(up_Irr!BY22)),IF(AND(up_Irr!AA22=".",up_Irr!AZ22&lt;&gt;".",up_Irr!BY22="."),up_dir!BB22/((1/1000)*(up_Irr!AZ22)),IF(AND(up_Irr!AA22&lt;&gt;".",up_Irr!AZ22=".",up_Irr!BY22="."),up_dir!BB22/((1/1000)*(up_Irr!AA22)),IF(AND(up_Irr!AA22=".",up_Irr!AZ22=".",up_Irr!BY22="."),up_dir!BB22*1000)))))))),".")</f>
        <v>6.5773651144152123E-11</v>
      </c>
      <c r="CC22" s="93">
        <f t="shared" si="3"/>
        <v>608146.26076229871</v>
      </c>
      <c r="CD22" s="93">
        <f>IFERROR(s_C*s_IFAP_far_adj*s_CF_apple*(1/1000)*(up_Irr!C22+up_Irr!AB22+up_Irr!BA22),".")</f>
        <v>152036.56519057468</v>
      </c>
      <c r="CE22" s="93">
        <f>IFERROR(s_C*s_IFAS_far_adj*s_CF_asparagus*(1/1000)*(up_Irr!D22+up_Irr!AC22+up_Irr!BB22),".")</f>
        <v>152036.56519057468</v>
      </c>
      <c r="CF22" s="93">
        <f>IFERROR(s_C*s_IFBT_far_adj*s_CF_beet*(1/1000)*(up_Irr!E22+up_Irr!AD22+up_Irr!BC22),".")</f>
        <v>152036.56519057468</v>
      </c>
      <c r="CG22" s="93">
        <f>IFERROR(s_C*s_IFBE_far_adj*s_CF_berries*(1/1000)*(up_Irr!F22+up_Irr!AE22+up_Irr!BD22),".")</f>
        <v>152036.56519057468</v>
      </c>
      <c r="CH22" s="93">
        <f>IFERROR(s_C*s_IFBR_far_adj*s_CF_broccoli*(1/1000)*(up_Irr!G22+up_Irr!AF22+up_Irr!BE22),".")</f>
        <v>152036.56519057468</v>
      </c>
      <c r="CI22" s="93">
        <f>IFERROR(s_C*s_IFCB_far_adj*s_CF_cabbage*(1/1000)*(up_Irr!H22+up_Irr!AG22+up_Irr!BF22),".")</f>
        <v>152036.56519057468</v>
      </c>
      <c r="CJ22" s="93">
        <f>IFERROR(s_C*s_IFCR_far_adj*s_CF_carrot*(1/1000)*(up_Irr!I22+up_Irr!AH22+up_Irr!BG22),".")</f>
        <v>152036.56519057468</v>
      </c>
      <c r="CK22" s="93">
        <f>IFERROR(s_C*s_IFCI_far_adj*s_CF_citrus*(1/1000)*(up_Irr!J22+up_Irr!AI22+up_Irr!BH22),".")</f>
        <v>152036.56519057468</v>
      </c>
      <c r="CL22" s="93">
        <f>IFERROR(s_C*s_IFCO_far_adj*s_CF_corn*(1/1000)*(up_Irr!K22+up_Irr!AJ22+up_Irr!BI22),".")</f>
        <v>152036.56519057468</v>
      </c>
      <c r="CM22" s="93">
        <f>IFERROR(s_C*s_IFCU_far_adj*s_CF_cucumber*(1/1000)*(up_Irr!L22+up_Irr!AK22+up_Irr!BJ22),".")</f>
        <v>152036.56519057468</v>
      </c>
      <c r="CN22" s="93">
        <f>IFERROR(s_C*s_IFLE_far_adj*s_CF_lettuce*(1/1000)*(up_Irr!M22+up_Irr!AL22+up_Irr!BK22),".")</f>
        <v>152036.56519057468</v>
      </c>
      <c r="CO22" s="93">
        <f>IFERROR(s_C*s_IFLI_far_adj*s_CF_lima_bean*(1/1000)*(up_Irr!N22+up_Irr!AM22+up_Irr!BL22),".")</f>
        <v>152036.56519057468</v>
      </c>
      <c r="CP22" s="93">
        <f>IFERROR(s_C*s_IFOK_far_adj*s_CF_okra*(1/1000)*(up_Irr!O22+up_Irr!AN22+up_Irr!BM22),".")</f>
        <v>152036.56519057468</v>
      </c>
      <c r="CQ22" s="93">
        <f>IFERROR(s_C*s_IFON_far_adj*s_CF_onion*(1/1000)*(up_Irr!P22+up_Irr!AO22+up_Irr!BN22),".")</f>
        <v>152036.56519057468</v>
      </c>
      <c r="CR22" s="93">
        <f>IFERROR(s_C*s_IFPC_far_adj*s_CF_peach*(1/1000)*(up_Irr!Q22+up_Irr!AP22+up_Irr!BO22),".")</f>
        <v>152036.56519057468</v>
      </c>
      <c r="CS22" s="93">
        <f>IFERROR(s_C*s_IFPR_far_adj*s_CF_pear*(1/1000)*(up_Irr!R22+up_Irr!AQ22+up_Irr!BP22),".")</f>
        <v>152036.56519057468</v>
      </c>
      <c r="CT22" s="93">
        <f>IFERROR(s_C*s_IFPE_far_adj*s_CF_peas*(1/1000)*(up_Irr!S22+up_Irr!AR22+up_Irr!BQ22),".")</f>
        <v>152036.56519057468</v>
      </c>
      <c r="CU22" s="93">
        <f>IFERROR(s_C*s_IFPP_far_adj*s_CF_peppers*(1/1000)*(up_Irr!T22+up_Irr!AS22+up_Irr!BR22),".")</f>
        <v>152036.56519057468</v>
      </c>
      <c r="CV22" s="93">
        <f>IFERROR(s_C*s_IFPT_far_adj*s_CF_potato*(1/1000)*(up_Irr!U22+up_Irr!AT22+up_Irr!BS22),".")</f>
        <v>152036.56519057468</v>
      </c>
      <c r="CW22" s="93">
        <f>IFERROR(s_C*s_IFPU_far_adj*s_CF_pumpkin*(1/1000)*(up_Irr!V22+up_Irr!AU22+up_Irr!BT22),".")</f>
        <v>152036.56519057468</v>
      </c>
      <c r="CX22" s="93">
        <f>IFERROR(s_C*s_IFSN_far_adj*s_CF_snap_bean*(1/1000)*(up_Irr!W22+up_Irr!AV22+up_Irr!BU22),".")</f>
        <v>152036.56519057468</v>
      </c>
      <c r="CY22" s="93">
        <f>IFERROR(s_C*s_IFST_far_adj*s_CF_strawberry*(1/1000)*(up_Irr!X22+up_Irr!AW22+up_Irr!BV22),".")</f>
        <v>152036.56519057468</v>
      </c>
      <c r="CZ22" s="93">
        <f>IFERROR(s_C*s_IFTO_far_adj*s_CF_tomato*(1/1000)*(up_Irr!Y22+up_Irr!AX22+up_Irr!BW22),".")</f>
        <v>152036.56519057468</v>
      </c>
      <c r="DA22" s="93">
        <f>IFERROR(s_C*s_IFRI_far_adj*s_CF_rice*(1/1000)*(up_Irr!Z22+up_Irr!AY22+up_Irr!BX22),".")</f>
        <v>152036.56519057468</v>
      </c>
      <c r="DB22" s="93">
        <f>IFERROR(s_C*s_IFCG_far_adj*s_CF_cereal*(1/1000)*(up_Irr!AA22+up_Irr!AZ22+up_Irr!BY22),".")</f>
        <v>152036.56519057468</v>
      </c>
    </row>
    <row r="23" spans="1:106" x14ac:dyDescent="0.25">
      <c r="A23" s="94" t="s">
        <v>33</v>
      </c>
      <c r="B23" s="90" t="s">
        <v>349</v>
      </c>
      <c r="C23" s="15">
        <f t="shared" si="0"/>
        <v>1.6443412786038031E-11</v>
      </c>
      <c r="D23" s="76">
        <f>IFERROR(IF(AND(up_Irr!C23&lt;&gt;".",up_Irr!AB23&lt;&gt;".",up_Irr!BA23&lt;&gt;"."),up_dir!D23/((1/1000)*(up_Irr!C23+up_Irr!AB23+up_Irr!BA23)),IF(AND(up_Irr!C23&lt;&gt;".",up_Irr!AB23&lt;&gt;".",up_Irr!BA23="."),up_dir!D23/((1/1000)*(up_Irr!C23+up_Irr!AB23)),IF(AND(up_Irr!C23&lt;&gt;".",up_Irr!AB23=".",up_Irr!BA23&lt;&gt;"."),up_dir!D23/((1/1000)*(up_Irr!C23+up_Irr!BA23)),IF(AND(up_Irr!C23=".",up_Irr!AB23&lt;&gt;".",up_Irr!BA23&lt;&gt;"."),up_dir!D23/((1/1000)*(up_Irr!AB23+up_Irr!BA23)),IF(AND(up_Irr!C23=".",up_Irr!AB23=".",up_Irr!BA23&lt;&gt;"."),up_dir!D23/((1/1000)*(up_Irr!BA23)),IF(AND(up_Irr!C23=".",up_Irr!AB23&lt;&gt;".",up_Irr!BA23="."),up_dir!D23/((1/1000)*(up_Irr!AB23)),IF(AND(up_Irr!C23&lt;&gt;".",up_Irr!AB23=".",up_Irr!BA23="."),up_dir!D23/((1/1000)*(up_Irr!C23)),IF(AND(up_Irr!C23=".",up_Irr!AB23=".",up_Irr!BA23="."),up_dir!D23*1000)))))))),".")</f>
        <v>6.5773651144152123E-11</v>
      </c>
      <c r="E23" s="76">
        <f>IFERROR(IF(AND(up_Irr!D23&lt;&gt;".",up_Irr!AC23&lt;&gt;".",up_Irr!BB23&lt;&gt;"."),up_dir!E23/((1/1000)*(up_Irr!D23+up_Irr!AC23+up_Irr!BB23)),IF(AND(up_Irr!D23&lt;&gt;".",up_Irr!AC23&lt;&gt;".",up_Irr!BB23="."),up_dir!E23/((1/1000)*(up_Irr!D23+up_Irr!AC23)),IF(AND(up_Irr!D23&lt;&gt;".",up_Irr!AC23=".",up_Irr!BB23&lt;&gt;"."),up_dir!E23/((1/1000)*(up_Irr!D23+up_Irr!BB23)),IF(AND(up_Irr!D23=".",up_Irr!AC23&lt;&gt;".",up_Irr!BB23&lt;&gt;"."),up_dir!E23/((1/1000)*(up_Irr!AC23+up_Irr!BB23)),IF(AND(up_Irr!D23=".",up_Irr!AC23=".",up_Irr!BB23&lt;&gt;"."),up_dir!E23/((1/1000)*(up_Irr!BB23)),IF(AND(up_Irr!D23=".",up_Irr!AC23&lt;&gt;".",up_Irr!BB23="."),up_dir!E23/((1/1000)*(up_Irr!AC23)),IF(AND(up_Irr!D23&lt;&gt;".",up_Irr!AC23=".",up_Irr!BB23="."),up_dir!E23/((1/1000)*(up_Irr!D23)),IF(AND(up_Irr!D23=".",up_Irr!AC23=".",up_Irr!BB23="."),up_dir!E23*1000)))))))),".")</f>
        <v>6.5773651144152123E-11</v>
      </c>
      <c r="F23" s="76">
        <f>IFERROR(IF(AND(up_Irr!E23&lt;&gt;".",up_Irr!AD23&lt;&gt;".",up_Irr!BC23&lt;&gt;"."),up_dir!F23/((1/1000)*(up_Irr!E23+up_Irr!AD23+up_Irr!BC23)),IF(AND(up_Irr!E23&lt;&gt;".",up_Irr!AD23&lt;&gt;".",up_Irr!BC23="."),up_dir!F23/((1/1000)*(up_Irr!E23+up_Irr!AD23)),IF(AND(up_Irr!E23&lt;&gt;".",up_Irr!AD23=".",up_Irr!BC23&lt;&gt;"."),up_dir!F23/((1/1000)*(up_Irr!E23+up_Irr!BC23)),IF(AND(up_Irr!E23=".",up_Irr!AD23&lt;&gt;".",up_Irr!BC23&lt;&gt;"."),up_dir!F23/((1/1000)*(up_Irr!AD23+up_Irr!BC23)),IF(AND(up_Irr!E23=".",up_Irr!AD23=".",up_Irr!BC23&lt;&gt;"."),up_dir!F23/((1/1000)*(up_Irr!BC23)),IF(AND(up_Irr!E23=".",up_Irr!AD23&lt;&gt;".",up_Irr!BC23="."),up_dir!F23/((1/1000)*(up_Irr!AD23)),IF(AND(up_Irr!E23&lt;&gt;".",up_Irr!AD23=".",up_Irr!BC23="."),up_dir!F23/((1/1000)*(up_Irr!E23)),IF(AND(up_Irr!E23=".",up_Irr!AD23=".",up_Irr!BC23="."),up_dir!F23*1000)))))))),".")</f>
        <v>6.5773651144152123E-11</v>
      </c>
      <c r="G23" s="76">
        <f>IFERROR(IF(AND(up_Irr!F23&lt;&gt;".",up_Irr!AE23&lt;&gt;".",up_Irr!BD23&lt;&gt;"."),up_dir!G23/((1/1000)*(up_Irr!F23+up_Irr!AE23+up_Irr!BD23)),IF(AND(up_Irr!F23&lt;&gt;".",up_Irr!AE23&lt;&gt;".",up_Irr!BD23="."),up_dir!G23/((1/1000)*(up_Irr!F23+up_Irr!AE23)),IF(AND(up_Irr!F23&lt;&gt;".",up_Irr!AE23=".",up_Irr!BD23&lt;&gt;"."),up_dir!G23/((1/1000)*(up_Irr!F23+up_Irr!BD23)),IF(AND(up_Irr!F23=".",up_Irr!AE23&lt;&gt;".",up_Irr!BD23&lt;&gt;"."),up_dir!G23/((1/1000)*(up_Irr!AE23+up_Irr!BD23)),IF(AND(up_Irr!F23=".",up_Irr!AE23=".",up_Irr!BD23&lt;&gt;"."),up_dir!G23/((1/1000)*(up_Irr!BD23)),IF(AND(up_Irr!F23=".",up_Irr!AE23&lt;&gt;".",up_Irr!BD23="."),up_dir!G23/((1/1000)*(up_Irr!AE23)),IF(AND(up_Irr!F23&lt;&gt;".",up_Irr!AE23=".",up_Irr!BD23="."),up_dir!G23/((1/1000)*(up_Irr!F23)),IF(AND(up_Irr!F23=".",up_Irr!AE23=".",up_Irr!BD23="."),up_dir!G23*1000)))))))),".")</f>
        <v>6.5773651144152123E-11</v>
      </c>
      <c r="H23" s="76">
        <f>IFERROR(IF(AND(up_Irr!G23&lt;&gt;".",up_Irr!AF23&lt;&gt;".",up_Irr!BE23&lt;&gt;"."),up_dir!H23/((1/1000)*(up_Irr!G23+up_Irr!AF23+up_Irr!BE23)),IF(AND(up_Irr!G23&lt;&gt;".",up_Irr!AF23&lt;&gt;".",up_Irr!BE23="."),up_dir!H23/((1/1000)*(up_Irr!G23+up_Irr!AF23)),IF(AND(up_Irr!G23&lt;&gt;".",up_Irr!AF23=".",up_Irr!BE23&lt;&gt;"."),up_dir!H23/((1/1000)*(up_Irr!G23+up_Irr!BE23)),IF(AND(up_Irr!G23=".",up_Irr!AF23&lt;&gt;".",up_Irr!BE23&lt;&gt;"."),up_dir!H23/((1/1000)*(up_Irr!AF23+up_Irr!BE23)),IF(AND(up_Irr!G23=".",up_Irr!AF23=".",up_Irr!BE23&lt;&gt;"."),up_dir!H23/((1/1000)*(up_Irr!BE23)),IF(AND(up_Irr!G23=".",up_Irr!AF23&lt;&gt;".",up_Irr!BE23="."),up_dir!H23/((1/1000)*(up_Irr!AF23)),IF(AND(up_Irr!G23&lt;&gt;".",up_Irr!AF23=".",up_Irr!BE23="."),up_dir!H23/((1/1000)*(up_Irr!G23)),IF(AND(up_Irr!G23=".",up_Irr!AF23=".",up_Irr!BE23="."),up_dir!H23*1000)))))))),".")</f>
        <v>6.5773651144152123E-11</v>
      </c>
      <c r="I23" s="76">
        <f>IFERROR(IF(AND(up_Irr!H23&lt;&gt;".",up_Irr!AG23&lt;&gt;".",up_Irr!BF23&lt;&gt;"."),up_dir!I23/((1/1000)*(up_Irr!H23+up_Irr!AG23+up_Irr!BF23)),IF(AND(up_Irr!H23&lt;&gt;".",up_Irr!AG23&lt;&gt;".",up_Irr!BF23="."),up_dir!I23/((1/1000)*(up_Irr!H23+up_Irr!AG23)),IF(AND(up_Irr!H23&lt;&gt;".",up_Irr!AG23=".",up_Irr!BF23&lt;&gt;"."),up_dir!I23/((1/1000)*(up_Irr!H23+up_Irr!BF23)),IF(AND(up_Irr!H23=".",up_Irr!AG23&lt;&gt;".",up_Irr!BF23&lt;&gt;"."),up_dir!I23/((1/1000)*(up_Irr!AG23+up_Irr!BF23)),IF(AND(up_Irr!H23=".",up_Irr!AG23=".",up_Irr!BF23&lt;&gt;"."),up_dir!I23/((1/1000)*(up_Irr!BF23)),IF(AND(up_Irr!H23=".",up_Irr!AG23&lt;&gt;".",up_Irr!BF23="."),up_dir!I23/((1/1000)*(up_Irr!AG23)),IF(AND(up_Irr!H23&lt;&gt;".",up_Irr!AG23=".",up_Irr!BF23="."),up_dir!I23/((1/1000)*(up_Irr!H23)),IF(AND(up_Irr!H23=".",up_Irr!AG23=".",up_Irr!BF23="."),up_dir!I23*1000)))))))),".")</f>
        <v>6.5773651144152123E-11</v>
      </c>
      <c r="J23" s="76">
        <f>IFERROR(IF(AND(up_Irr!I23&lt;&gt;".",up_Irr!AH23&lt;&gt;".",up_Irr!BG23&lt;&gt;"."),up_dir!J23/((1/1000)*(up_Irr!I23+up_Irr!AH23+up_Irr!BG23)),IF(AND(up_Irr!I23&lt;&gt;".",up_Irr!AH23&lt;&gt;".",up_Irr!BG23="."),up_dir!J23/((1/1000)*(up_Irr!I23+up_Irr!AH23)),IF(AND(up_Irr!I23&lt;&gt;".",up_Irr!AH23=".",up_Irr!BG23&lt;&gt;"."),up_dir!J23/((1/1000)*(up_Irr!I23+up_Irr!BG23)),IF(AND(up_Irr!I23=".",up_Irr!AH23&lt;&gt;".",up_Irr!BG23&lt;&gt;"."),up_dir!J23/((1/1000)*(up_Irr!AH23+up_Irr!BG23)),IF(AND(up_Irr!I23=".",up_Irr!AH23=".",up_Irr!BG23&lt;&gt;"."),up_dir!J23/((1/1000)*(up_Irr!BG23)),IF(AND(up_Irr!I23=".",up_Irr!AH23&lt;&gt;".",up_Irr!BG23="."),up_dir!J23/((1/1000)*(up_Irr!AH23)),IF(AND(up_Irr!I23&lt;&gt;".",up_Irr!AH23=".",up_Irr!BG23="."),up_dir!J23/((1/1000)*(up_Irr!I23)),IF(AND(up_Irr!I23=".",up_Irr!AH23=".",up_Irr!BG23="."),up_dir!J23*1000)))))))),".")</f>
        <v>6.5773651144152123E-11</v>
      </c>
      <c r="K23" s="76">
        <f>IFERROR(IF(AND(up_Irr!J23&lt;&gt;".",up_Irr!AI23&lt;&gt;".",up_Irr!BH23&lt;&gt;"."),up_dir!K23/((1/1000)*(up_Irr!J23+up_Irr!AI23+up_Irr!BH23)),IF(AND(up_Irr!J23&lt;&gt;".",up_Irr!AI23&lt;&gt;".",up_Irr!BH23="."),up_dir!K23/((1/1000)*(up_Irr!J23+up_Irr!AI23)),IF(AND(up_Irr!J23&lt;&gt;".",up_Irr!AI23=".",up_Irr!BH23&lt;&gt;"."),up_dir!K23/((1/1000)*(up_Irr!J23+up_Irr!BH23)),IF(AND(up_Irr!J23=".",up_Irr!AI23&lt;&gt;".",up_Irr!BH23&lt;&gt;"."),up_dir!K23/((1/1000)*(up_Irr!AI23+up_Irr!BH23)),IF(AND(up_Irr!J23=".",up_Irr!AI23=".",up_Irr!BH23&lt;&gt;"."),up_dir!K23/((1/1000)*(up_Irr!BH23)),IF(AND(up_Irr!J23=".",up_Irr!AI23&lt;&gt;".",up_Irr!BH23="."),up_dir!K23/((1/1000)*(up_Irr!AI23)),IF(AND(up_Irr!J23&lt;&gt;".",up_Irr!AI23=".",up_Irr!BH23="."),up_dir!K23/((1/1000)*(up_Irr!J23)),IF(AND(up_Irr!J23=".",up_Irr!AI23=".",up_Irr!BH23="."),up_dir!K23*1000)))))))),".")</f>
        <v>6.5773651144152123E-11</v>
      </c>
      <c r="L23" s="76">
        <f>IFERROR(IF(AND(up_Irr!K23&lt;&gt;".",up_Irr!AJ23&lt;&gt;".",up_Irr!BI23&lt;&gt;"."),up_dir!L23/((1/1000)*(up_Irr!K23+up_Irr!AJ23+up_Irr!BI23)),IF(AND(up_Irr!K23&lt;&gt;".",up_Irr!AJ23&lt;&gt;".",up_Irr!BI23="."),up_dir!L23/((1/1000)*(up_Irr!K23+up_Irr!AJ23)),IF(AND(up_Irr!K23&lt;&gt;".",up_Irr!AJ23=".",up_Irr!BI23&lt;&gt;"."),up_dir!L23/((1/1000)*(up_Irr!K23+up_Irr!BI23)),IF(AND(up_Irr!K23=".",up_Irr!AJ23&lt;&gt;".",up_Irr!BI23&lt;&gt;"."),up_dir!L23/((1/1000)*(up_Irr!AJ23+up_Irr!BI23)),IF(AND(up_Irr!K23=".",up_Irr!AJ23=".",up_Irr!BI23&lt;&gt;"."),up_dir!L23/((1/1000)*(up_Irr!BI23)),IF(AND(up_Irr!K23=".",up_Irr!AJ23&lt;&gt;".",up_Irr!BI23="."),up_dir!L23/((1/1000)*(up_Irr!AJ23)),IF(AND(up_Irr!K23&lt;&gt;".",up_Irr!AJ23=".",up_Irr!BI23="."),up_dir!L23/((1/1000)*(up_Irr!K23)),IF(AND(up_Irr!K23=".",up_Irr!AJ23=".",up_Irr!BI23="."),up_dir!L23*1000)))))))),".")</f>
        <v>6.5773651144152123E-11</v>
      </c>
      <c r="M23" s="76">
        <f>IFERROR(IF(AND(up_Irr!L23&lt;&gt;".",up_Irr!AK23&lt;&gt;".",up_Irr!BJ23&lt;&gt;"."),up_dir!M23/((1/1000)*(up_Irr!L23+up_Irr!AK23+up_Irr!BJ23)),IF(AND(up_Irr!L23&lt;&gt;".",up_Irr!AK23&lt;&gt;".",up_Irr!BJ23="."),up_dir!M23/((1/1000)*(up_Irr!L23+up_Irr!AK23)),IF(AND(up_Irr!L23&lt;&gt;".",up_Irr!AK23=".",up_Irr!BJ23&lt;&gt;"."),up_dir!M23/((1/1000)*(up_Irr!L23+up_Irr!BJ23)),IF(AND(up_Irr!L23=".",up_Irr!AK23&lt;&gt;".",up_Irr!BJ23&lt;&gt;"."),up_dir!M23/((1/1000)*(up_Irr!AK23+up_Irr!BJ23)),IF(AND(up_Irr!L23=".",up_Irr!AK23=".",up_Irr!BJ23&lt;&gt;"."),up_dir!M23/((1/1000)*(up_Irr!BJ23)),IF(AND(up_Irr!L23=".",up_Irr!AK23&lt;&gt;".",up_Irr!BJ23="."),up_dir!M23/((1/1000)*(up_Irr!AK23)),IF(AND(up_Irr!L23&lt;&gt;".",up_Irr!AK23=".",up_Irr!BJ23="."),up_dir!M23/((1/1000)*(up_Irr!L23)),IF(AND(up_Irr!L23=".",up_Irr!AK23=".",up_Irr!BJ23="."),up_dir!M23*1000)))))))),".")</f>
        <v>6.5773651144152123E-11</v>
      </c>
      <c r="N23" s="76">
        <f>IFERROR(IF(AND(up_Irr!M23&lt;&gt;".",up_Irr!AL23&lt;&gt;".",up_Irr!BK23&lt;&gt;"."),up_dir!N23/((1/1000)*(up_Irr!M23+up_Irr!AL23+up_Irr!BK23)),IF(AND(up_Irr!M23&lt;&gt;".",up_Irr!AL23&lt;&gt;".",up_Irr!BK23="."),up_dir!N23/((1/1000)*(up_Irr!M23+up_Irr!AL23)),IF(AND(up_Irr!M23&lt;&gt;".",up_Irr!AL23=".",up_Irr!BK23&lt;&gt;"."),up_dir!N23/((1/1000)*(up_Irr!M23+up_Irr!BK23)),IF(AND(up_Irr!M23=".",up_Irr!AL23&lt;&gt;".",up_Irr!BK23&lt;&gt;"."),up_dir!N23/((1/1000)*(up_Irr!AL23+up_Irr!BK23)),IF(AND(up_Irr!M23=".",up_Irr!AL23=".",up_Irr!BK23&lt;&gt;"."),up_dir!N23/((1/1000)*(up_Irr!BK23)),IF(AND(up_Irr!M23=".",up_Irr!AL23&lt;&gt;".",up_Irr!BK23="."),up_dir!N23/((1/1000)*(up_Irr!AL23)),IF(AND(up_Irr!M23&lt;&gt;".",up_Irr!AL23=".",up_Irr!BK23="."),up_dir!N23/((1/1000)*(up_Irr!M23)),IF(AND(up_Irr!M23=".",up_Irr!AL23=".",up_Irr!BK23="."),up_dir!N23*1000)))))))),".")</f>
        <v>6.5773651144152123E-11</v>
      </c>
      <c r="O23" s="76">
        <f>IFERROR(IF(AND(up_Irr!N23&lt;&gt;".",up_Irr!AM23&lt;&gt;".",up_Irr!BL23&lt;&gt;"."),up_dir!O23/((1/1000)*(up_Irr!N23+up_Irr!AM23+up_Irr!BL23)),IF(AND(up_Irr!N23&lt;&gt;".",up_Irr!AM23&lt;&gt;".",up_Irr!BL23="."),up_dir!O23/((1/1000)*(up_Irr!N23+up_Irr!AM23)),IF(AND(up_Irr!N23&lt;&gt;".",up_Irr!AM23=".",up_Irr!BL23&lt;&gt;"."),up_dir!O23/((1/1000)*(up_Irr!N23+up_Irr!BL23)),IF(AND(up_Irr!N23=".",up_Irr!AM23&lt;&gt;".",up_Irr!BL23&lt;&gt;"."),up_dir!O23/((1/1000)*(up_Irr!AM23+up_Irr!BL23)),IF(AND(up_Irr!N23=".",up_Irr!AM23=".",up_Irr!BL23&lt;&gt;"."),up_dir!O23/((1/1000)*(up_Irr!BL23)),IF(AND(up_Irr!N23=".",up_Irr!AM23&lt;&gt;".",up_Irr!BL23="."),up_dir!O23/((1/1000)*(up_Irr!AM23)),IF(AND(up_Irr!N23&lt;&gt;".",up_Irr!AM23=".",up_Irr!BL23="."),up_dir!O23/((1/1000)*(up_Irr!N23)),IF(AND(up_Irr!N23=".",up_Irr!AM23=".",up_Irr!BL23="."),up_dir!O23*1000)))))))),".")</f>
        <v>6.5773651144152123E-11</v>
      </c>
      <c r="P23" s="76">
        <f>IFERROR(IF(AND(up_Irr!O23&lt;&gt;".",up_Irr!AN23&lt;&gt;".",up_Irr!BM23&lt;&gt;"."),up_dir!P23/((1/1000)*(up_Irr!O23+up_Irr!AN23+up_Irr!BM23)),IF(AND(up_Irr!O23&lt;&gt;".",up_Irr!AN23&lt;&gt;".",up_Irr!BM23="."),up_dir!P23/((1/1000)*(up_Irr!O23+up_Irr!AN23)),IF(AND(up_Irr!O23&lt;&gt;".",up_Irr!AN23=".",up_Irr!BM23&lt;&gt;"."),up_dir!P23/((1/1000)*(up_Irr!O23+up_Irr!BM23)),IF(AND(up_Irr!O23=".",up_Irr!AN23&lt;&gt;".",up_Irr!BM23&lt;&gt;"."),up_dir!P23/((1/1000)*(up_Irr!AN23+up_Irr!BM23)),IF(AND(up_Irr!O23=".",up_Irr!AN23=".",up_Irr!BM23&lt;&gt;"."),up_dir!P23/((1/1000)*(up_Irr!BM23)),IF(AND(up_Irr!O23=".",up_Irr!AN23&lt;&gt;".",up_Irr!BM23="."),up_dir!P23/((1/1000)*(up_Irr!AN23)),IF(AND(up_Irr!O23&lt;&gt;".",up_Irr!AN23=".",up_Irr!BM23="."),up_dir!P23/((1/1000)*(up_Irr!O23)),IF(AND(up_Irr!O23=".",up_Irr!AN23=".",up_Irr!BM23="."),up_dir!P23*1000)))))))),".")</f>
        <v>6.5773651144152123E-11</v>
      </c>
      <c r="Q23" s="76">
        <f>IFERROR(IF(AND(up_Irr!P23&lt;&gt;".",up_Irr!AO23&lt;&gt;".",up_Irr!BN23&lt;&gt;"."),up_dir!Q23/((1/1000)*(up_Irr!P23+up_Irr!AO23+up_Irr!BN23)),IF(AND(up_Irr!P23&lt;&gt;".",up_Irr!AO23&lt;&gt;".",up_Irr!BN23="."),up_dir!Q23/((1/1000)*(up_Irr!P23+up_Irr!AO23)),IF(AND(up_Irr!P23&lt;&gt;".",up_Irr!AO23=".",up_Irr!BN23&lt;&gt;"."),up_dir!Q23/((1/1000)*(up_Irr!P23+up_Irr!BN23)),IF(AND(up_Irr!P23=".",up_Irr!AO23&lt;&gt;".",up_Irr!BN23&lt;&gt;"."),up_dir!Q23/((1/1000)*(up_Irr!AO23+up_Irr!BN23)),IF(AND(up_Irr!P23=".",up_Irr!AO23=".",up_Irr!BN23&lt;&gt;"."),up_dir!Q23/((1/1000)*(up_Irr!BN23)),IF(AND(up_Irr!P23=".",up_Irr!AO23&lt;&gt;".",up_Irr!BN23="."),up_dir!Q23/((1/1000)*(up_Irr!AO23)),IF(AND(up_Irr!P23&lt;&gt;".",up_Irr!AO23=".",up_Irr!BN23="."),up_dir!Q23/((1/1000)*(up_Irr!P23)),IF(AND(up_Irr!P23=".",up_Irr!AO23=".",up_Irr!BN23="."),up_dir!Q23*1000)))))))),".")</f>
        <v>6.5773651144152123E-11</v>
      </c>
      <c r="R23" s="76">
        <f>IFERROR(IF(AND(up_Irr!Q23&lt;&gt;".",up_Irr!AP23&lt;&gt;".",up_Irr!BO23&lt;&gt;"."),up_dir!R23/((1/1000)*(up_Irr!Q23+up_Irr!AP23+up_Irr!BO23)),IF(AND(up_Irr!Q23&lt;&gt;".",up_Irr!AP23&lt;&gt;".",up_Irr!BO23="."),up_dir!R23/((1/1000)*(up_Irr!Q23+up_Irr!AP23)),IF(AND(up_Irr!Q23&lt;&gt;".",up_Irr!AP23=".",up_Irr!BO23&lt;&gt;"."),up_dir!R23/((1/1000)*(up_Irr!Q23+up_Irr!BO23)),IF(AND(up_Irr!Q23=".",up_Irr!AP23&lt;&gt;".",up_Irr!BO23&lt;&gt;"."),up_dir!R23/((1/1000)*(up_Irr!AP23+up_Irr!BO23)),IF(AND(up_Irr!Q23=".",up_Irr!AP23=".",up_Irr!BO23&lt;&gt;"."),up_dir!R23/((1/1000)*(up_Irr!BO23)),IF(AND(up_Irr!Q23=".",up_Irr!AP23&lt;&gt;".",up_Irr!BO23="."),up_dir!R23/((1/1000)*(up_Irr!AP23)),IF(AND(up_Irr!Q23&lt;&gt;".",up_Irr!AP23=".",up_Irr!BO23="."),up_dir!R23/((1/1000)*(up_Irr!Q23)),IF(AND(up_Irr!Q23=".",up_Irr!AP23=".",up_Irr!BO23="."),up_dir!R23*1000)))))))),".")</f>
        <v>6.5773651144152123E-11</v>
      </c>
      <c r="S23" s="76">
        <f>IFERROR(IF(AND(up_Irr!R23&lt;&gt;".",up_Irr!AQ23&lt;&gt;".",up_Irr!BP23&lt;&gt;"."),up_dir!S23/((1/1000)*(up_Irr!R23+up_Irr!AQ23+up_Irr!BP23)),IF(AND(up_Irr!R23&lt;&gt;".",up_Irr!AQ23&lt;&gt;".",up_Irr!BP23="."),up_dir!S23/((1/1000)*(up_Irr!R23+up_Irr!AQ23)),IF(AND(up_Irr!R23&lt;&gt;".",up_Irr!AQ23=".",up_Irr!BP23&lt;&gt;"."),up_dir!S23/((1/1000)*(up_Irr!R23+up_Irr!BP23)),IF(AND(up_Irr!R23=".",up_Irr!AQ23&lt;&gt;".",up_Irr!BP23&lt;&gt;"."),up_dir!S23/((1/1000)*(up_Irr!AQ23+up_Irr!BP23)),IF(AND(up_Irr!R23=".",up_Irr!AQ23=".",up_Irr!BP23&lt;&gt;"."),up_dir!S23/((1/1000)*(up_Irr!BP23)),IF(AND(up_Irr!R23=".",up_Irr!AQ23&lt;&gt;".",up_Irr!BP23="."),up_dir!S23/((1/1000)*(up_Irr!AQ23)),IF(AND(up_Irr!R23&lt;&gt;".",up_Irr!AQ23=".",up_Irr!BP23="."),up_dir!S23/((1/1000)*(up_Irr!R23)),IF(AND(up_Irr!R23=".",up_Irr!AQ23=".",up_Irr!BP23="."),up_dir!S23*1000)))))))),".")</f>
        <v>6.5773651144152123E-11</v>
      </c>
      <c r="T23" s="76">
        <f>IFERROR(IF(AND(up_Irr!S23&lt;&gt;".",up_Irr!AR23&lt;&gt;".",up_Irr!BQ23&lt;&gt;"."),up_dir!T23/((1/1000)*(up_Irr!S23+up_Irr!AR23+up_Irr!BQ23)),IF(AND(up_Irr!S23&lt;&gt;".",up_Irr!AR23&lt;&gt;".",up_Irr!BQ23="."),up_dir!T23/((1/1000)*(up_Irr!S23+up_Irr!AR23)),IF(AND(up_Irr!S23&lt;&gt;".",up_Irr!AR23=".",up_Irr!BQ23&lt;&gt;"."),up_dir!T23/((1/1000)*(up_Irr!S23+up_Irr!BQ23)),IF(AND(up_Irr!S23=".",up_Irr!AR23&lt;&gt;".",up_Irr!BQ23&lt;&gt;"."),up_dir!T23/((1/1000)*(up_Irr!AR23+up_Irr!BQ23)),IF(AND(up_Irr!S23=".",up_Irr!AR23=".",up_Irr!BQ23&lt;&gt;"."),up_dir!T23/((1/1000)*(up_Irr!BQ23)),IF(AND(up_Irr!S23=".",up_Irr!AR23&lt;&gt;".",up_Irr!BQ23="."),up_dir!T23/((1/1000)*(up_Irr!AR23)),IF(AND(up_Irr!S23&lt;&gt;".",up_Irr!AR23=".",up_Irr!BQ23="."),up_dir!T23/((1/1000)*(up_Irr!S23)),IF(AND(up_Irr!S23=".",up_Irr!AR23=".",up_Irr!BQ23="."),up_dir!T23*1000)))))))),".")</f>
        <v>6.5773651144152123E-11</v>
      </c>
      <c r="U23" s="76">
        <f>IFERROR(IF(AND(up_Irr!T23&lt;&gt;".",up_Irr!AS23&lt;&gt;".",up_Irr!BR23&lt;&gt;"."),up_dir!U23/((1/1000)*(up_Irr!T23+up_Irr!AS23+up_Irr!BR23)),IF(AND(up_Irr!T23&lt;&gt;".",up_Irr!AS23&lt;&gt;".",up_Irr!BR23="."),up_dir!U23/((1/1000)*(up_Irr!T23+up_Irr!AS23)),IF(AND(up_Irr!T23&lt;&gt;".",up_Irr!AS23=".",up_Irr!BR23&lt;&gt;"."),up_dir!U23/((1/1000)*(up_Irr!T23+up_Irr!BR23)),IF(AND(up_Irr!T23=".",up_Irr!AS23&lt;&gt;".",up_Irr!BR23&lt;&gt;"."),up_dir!U23/((1/1000)*(up_Irr!AS23+up_Irr!BR23)),IF(AND(up_Irr!T23=".",up_Irr!AS23=".",up_Irr!BR23&lt;&gt;"."),up_dir!U23/((1/1000)*(up_Irr!BR23)),IF(AND(up_Irr!T23=".",up_Irr!AS23&lt;&gt;".",up_Irr!BR23="."),up_dir!U23/((1/1000)*(up_Irr!AS23)),IF(AND(up_Irr!T23&lt;&gt;".",up_Irr!AS23=".",up_Irr!BR23="."),up_dir!U23/((1/1000)*(up_Irr!T23)),IF(AND(up_Irr!T23=".",up_Irr!AS23=".",up_Irr!BR23="."),up_dir!U23*1000)))))))),".")</f>
        <v>6.5773651144152123E-11</v>
      </c>
      <c r="V23" s="76">
        <f>IFERROR(IF(AND(up_Irr!U23&lt;&gt;".",up_Irr!AT23&lt;&gt;".",up_Irr!BS23&lt;&gt;"."),up_dir!V23/((1/1000)*(up_Irr!U23+up_Irr!AT23+up_Irr!BS23)),IF(AND(up_Irr!U23&lt;&gt;".",up_Irr!AT23&lt;&gt;".",up_Irr!BS23="."),up_dir!V23/((1/1000)*(up_Irr!U23+up_Irr!AT23)),IF(AND(up_Irr!U23&lt;&gt;".",up_Irr!AT23=".",up_Irr!BS23&lt;&gt;"."),up_dir!V23/((1/1000)*(up_Irr!U23+up_Irr!BS23)),IF(AND(up_Irr!U23=".",up_Irr!AT23&lt;&gt;".",up_Irr!BS23&lt;&gt;"."),up_dir!V23/((1/1000)*(up_Irr!AT23+up_Irr!BS23)),IF(AND(up_Irr!U23=".",up_Irr!AT23=".",up_Irr!BS23&lt;&gt;"."),up_dir!V23/((1/1000)*(up_Irr!BS23)),IF(AND(up_Irr!U23=".",up_Irr!AT23&lt;&gt;".",up_Irr!BS23="."),up_dir!V23/((1/1000)*(up_Irr!AT23)),IF(AND(up_Irr!U23&lt;&gt;".",up_Irr!AT23=".",up_Irr!BS23="."),up_dir!V23/((1/1000)*(up_Irr!U23)),IF(AND(up_Irr!U23=".",up_Irr!AT23=".",up_Irr!BS23="."),up_dir!V23*1000)))))))),".")</f>
        <v>6.5773651144152123E-11</v>
      </c>
      <c r="W23" s="76">
        <f>IFERROR(IF(AND(up_Irr!V23&lt;&gt;".",up_Irr!AU23&lt;&gt;".",up_Irr!BT23&lt;&gt;"."),up_dir!W23/((1/1000)*(up_Irr!V23+up_Irr!AU23+up_Irr!BT23)),IF(AND(up_Irr!V23&lt;&gt;".",up_Irr!AU23&lt;&gt;".",up_Irr!BT23="."),up_dir!W23/((1/1000)*(up_Irr!V23+up_Irr!AU23)),IF(AND(up_Irr!V23&lt;&gt;".",up_Irr!AU23=".",up_Irr!BT23&lt;&gt;"."),up_dir!W23/((1/1000)*(up_Irr!V23+up_Irr!BT23)),IF(AND(up_Irr!V23=".",up_Irr!AU23&lt;&gt;".",up_Irr!BT23&lt;&gt;"."),up_dir!W23/((1/1000)*(up_Irr!AU23+up_Irr!BT23)),IF(AND(up_Irr!V23=".",up_Irr!AU23=".",up_Irr!BT23&lt;&gt;"."),up_dir!W23/((1/1000)*(up_Irr!BT23)),IF(AND(up_Irr!V23=".",up_Irr!AU23&lt;&gt;".",up_Irr!BT23="."),up_dir!W23/((1/1000)*(up_Irr!AU23)),IF(AND(up_Irr!V23&lt;&gt;".",up_Irr!AU23=".",up_Irr!BT23="."),up_dir!W23/((1/1000)*(up_Irr!V23)),IF(AND(up_Irr!V23=".",up_Irr!AU23=".",up_Irr!BT23="."),up_dir!W23*1000)))))))),".")</f>
        <v>6.5773651144152123E-11</v>
      </c>
      <c r="X23" s="76">
        <f>IFERROR(IF(AND(up_Irr!W23&lt;&gt;".",up_Irr!AV23&lt;&gt;".",up_Irr!BU23&lt;&gt;"."),up_dir!X23/((1/1000)*(up_Irr!W23+up_Irr!AV23+up_Irr!BU23)),IF(AND(up_Irr!W23&lt;&gt;".",up_Irr!AV23&lt;&gt;".",up_Irr!BU23="."),up_dir!X23/((1/1000)*(up_Irr!W23+up_Irr!AV23)),IF(AND(up_Irr!W23&lt;&gt;".",up_Irr!AV23=".",up_Irr!BU23&lt;&gt;"."),up_dir!X23/((1/1000)*(up_Irr!W23+up_Irr!BU23)),IF(AND(up_Irr!W23=".",up_Irr!AV23&lt;&gt;".",up_Irr!BU23&lt;&gt;"."),up_dir!X23/((1/1000)*(up_Irr!AV23+up_Irr!BU23)),IF(AND(up_Irr!W23=".",up_Irr!AV23=".",up_Irr!BU23&lt;&gt;"."),up_dir!X23/((1/1000)*(up_Irr!BU23)),IF(AND(up_Irr!W23=".",up_Irr!AV23&lt;&gt;".",up_Irr!BU23="."),up_dir!X23/((1/1000)*(up_Irr!AV23)),IF(AND(up_Irr!W23&lt;&gt;".",up_Irr!AV23=".",up_Irr!BU23="."),up_dir!X23/((1/1000)*(up_Irr!W23)),IF(AND(up_Irr!W23=".",up_Irr!AV23=".",up_Irr!BU23="."),up_dir!X23*1000)))))))),".")</f>
        <v>6.5773651144152123E-11</v>
      </c>
      <c r="Y23" s="76">
        <f>IFERROR(IF(AND(up_Irr!X23&lt;&gt;".",up_Irr!AW23&lt;&gt;".",up_Irr!BV23&lt;&gt;"."),up_dir!Y23/((1/1000)*(up_Irr!X23+up_Irr!AW23+up_Irr!BV23)),IF(AND(up_Irr!X23&lt;&gt;".",up_Irr!AW23&lt;&gt;".",up_Irr!BV23="."),up_dir!Y23/((1/1000)*(up_Irr!X23+up_Irr!AW23)),IF(AND(up_Irr!X23&lt;&gt;".",up_Irr!AW23=".",up_Irr!BV23&lt;&gt;"."),up_dir!Y23/((1/1000)*(up_Irr!X23+up_Irr!BV23)),IF(AND(up_Irr!X23=".",up_Irr!AW23&lt;&gt;".",up_Irr!BV23&lt;&gt;"."),up_dir!Y23/((1/1000)*(up_Irr!AW23+up_Irr!BV23)),IF(AND(up_Irr!X23=".",up_Irr!AW23=".",up_Irr!BV23&lt;&gt;"."),up_dir!Y23/((1/1000)*(up_Irr!BV23)),IF(AND(up_Irr!X23=".",up_Irr!AW23&lt;&gt;".",up_Irr!BV23="."),up_dir!Y23/((1/1000)*(up_Irr!AW23)),IF(AND(up_Irr!X23&lt;&gt;".",up_Irr!AW23=".",up_Irr!BV23="."),up_dir!Y23/((1/1000)*(up_Irr!X23)),IF(AND(up_Irr!X23=".",up_Irr!AW23=".",up_Irr!BV23="."),up_dir!Y23*1000)))))))),".")</f>
        <v>6.5773651144152123E-11</v>
      </c>
      <c r="Z23" s="76">
        <f>IFERROR(IF(AND(up_Irr!Y23&lt;&gt;".",up_Irr!AX23&lt;&gt;".",up_Irr!BW23&lt;&gt;"."),up_dir!Z23/((1/1000)*(up_Irr!Y23+up_Irr!AX23+up_Irr!BW23)),IF(AND(up_Irr!Y23&lt;&gt;".",up_Irr!AX23&lt;&gt;".",up_Irr!BW23="."),up_dir!Z23/((1/1000)*(up_Irr!Y23+up_Irr!AX23)),IF(AND(up_Irr!Y23&lt;&gt;".",up_Irr!AX23=".",up_Irr!BW23&lt;&gt;"."),up_dir!Z23/((1/1000)*(up_Irr!Y23+up_Irr!BW23)),IF(AND(up_Irr!Y23=".",up_Irr!AX23&lt;&gt;".",up_Irr!BW23&lt;&gt;"."),up_dir!Z23/((1/1000)*(up_Irr!AX23+up_Irr!BW23)),IF(AND(up_Irr!Y23=".",up_Irr!AX23=".",up_Irr!BW23&lt;&gt;"."),up_dir!Z23/((1/1000)*(up_Irr!BW23)),IF(AND(up_Irr!Y23=".",up_Irr!AX23&lt;&gt;".",up_Irr!BW23="."),up_dir!Z23/((1/1000)*(up_Irr!AX23)),IF(AND(up_Irr!Y23&lt;&gt;".",up_Irr!AX23=".",up_Irr!BW23="."),up_dir!Z23/((1/1000)*(up_Irr!Y23)),IF(AND(up_Irr!Y23=".",up_Irr!AX23=".",up_Irr!BW23="."),up_dir!Z23*1000)))))))),".")</f>
        <v>6.5773651144152123E-11</v>
      </c>
      <c r="AA23" s="76">
        <f>IFERROR(IF(AND(up_Irr!Z23&lt;&gt;".",up_Irr!AY23&lt;&gt;".",up_Irr!BX23&lt;&gt;"."),up_dir!AA23/((1/1000)*(up_Irr!Z23+up_Irr!AY23+up_Irr!BX23)),IF(AND(up_Irr!Z23&lt;&gt;".",up_Irr!AY23&lt;&gt;".",up_Irr!BX23="."),up_dir!AA23/((1/1000)*(up_Irr!Z23+up_Irr!AY23)),IF(AND(up_Irr!Z23&lt;&gt;".",up_Irr!AY23=".",up_Irr!BX23&lt;&gt;"."),up_dir!AA23/((1/1000)*(up_Irr!Z23+up_Irr!BX23)),IF(AND(up_Irr!Z23=".",up_Irr!AY23&lt;&gt;".",up_Irr!BX23&lt;&gt;"."),up_dir!AA23/((1/1000)*(up_Irr!AY23+up_Irr!BX23)),IF(AND(up_Irr!Z23=".",up_Irr!AY23=".",up_Irr!BX23&lt;&gt;"."),up_dir!AA23/((1/1000)*(up_Irr!BX23)),IF(AND(up_Irr!Z23=".",up_Irr!AY23&lt;&gt;".",up_Irr!BX23="."),up_dir!AA23/((1/1000)*(up_Irr!AY23)),IF(AND(up_Irr!Z23&lt;&gt;".",up_Irr!AY23=".",up_Irr!BX23="."),up_dir!AA23/((1/1000)*(up_Irr!Z23)),IF(AND(up_Irr!Z23=".",up_Irr!AY23=".",up_Irr!BX23="."),up_dir!AA23*1000)))))))),".")</f>
        <v>6.5773651144152123E-11</v>
      </c>
      <c r="AB23" s="76">
        <f>IFERROR(IF(AND(up_Irr!AA23&lt;&gt;".",up_Irr!AZ23&lt;&gt;".",up_Irr!BY23&lt;&gt;"."),up_dir!AB23/((1/1000)*(up_Irr!AA23+up_Irr!AZ23+up_Irr!BY23)),IF(AND(up_Irr!AA23&lt;&gt;".",up_Irr!AZ23&lt;&gt;".",up_Irr!BY23="."),up_dir!AB23/((1/1000)*(up_Irr!AA23+up_Irr!AZ23)),IF(AND(up_Irr!AA23&lt;&gt;".",up_Irr!AZ23=".",up_Irr!BY23&lt;&gt;"."),up_dir!AB23/((1/1000)*(up_Irr!AA23+up_Irr!BY23)),IF(AND(up_Irr!AA23=".",up_Irr!AZ23&lt;&gt;".",up_Irr!BY23&lt;&gt;"."),up_dir!AB23/((1/1000)*(up_Irr!AZ23+up_Irr!BY23)),IF(AND(up_Irr!AA23=".",up_Irr!AZ23=".",up_Irr!BY23&lt;&gt;"."),up_dir!AB23/((1/1000)*(up_Irr!BY23)),IF(AND(up_Irr!AA23=".",up_Irr!AZ23&lt;&gt;".",up_Irr!BY23="."),up_dir!AB23/((1/1000)*(up_Irr!AZ23)),IF(AND(up_Irr!AA23&lt;&gt;".",up_Irr!AZ23=".",up_Irr!BY23="."),up_dir!AB23/((1/1000)*(up_Irr!AA23)),IF(AND(up_Irr!AA23=".",up_Irr!AZ23=".",up_Irr!BY23="."),up_dir!AB23*1000)))))))),".")</f>
        <v>6.5773651144152123E-11</v>
      </c>
      <c r="AC23" s="93">
        <f t="shared" si="1"/>
        <v>608146.26076229871</v>
      </c>
      <c r="AD23" s="93">
        <f>IFERROR(s_C*s_IFAP_res_adj*s_CF_apple*0.001*(up_Irr!C23+up_Irr!AB23+up_Irr!BA23),".")</f>
        <v>152036.56519057468</v>
      </c>
      <c r="AE23" s="93">
        <f>IFERROR(s_C*s_IFAS_res_adj*s_CF_asparagus*0.001*(up_Irr!D23+up_Irr!AC23+up_Irr!BB23),".")</f>
        <v>152036.56519057468</v>
      </c>
      <c r="AF23" s="93">
        <f>IFERROR(s_C*s_IFBT_res_adj*s_CF_beet*0.001*(up_Irr!E23+up_Irr!AD23+up_Irr!BC23),".")</f>
        <v>152036.56519057468</v>
      </c>
      <c r="AG23" s="93">
        <f>IFERROR(s_C*s_IFBE_res_adj*s_CF_berries*0.001*(up_Irr!F23+up_Irr!AE23+up_Irr!BD23),".")</f>
        <v>152036.56519057468</v>
      </c>
      <c r="AH23" s="93">
        <f>IFERROR(s_C*s_IFBR_res_adj*s_CF_broccoli*0.001*(up_Irr!G23+up_Irr!AF23+up_Irr!BE23),".")</f>
        <v>152036.56519057468</v>
      </c>
      <c r="AI23" s="93">
        <f>IFERROR(s_C*s_IFCB_res_adj*s_CF_cabbage*0.001*(up_Irr!H23+up_Irr!AG23+up_Irr!BF23),".")</f>
        <v>152036.56519057468</v>
      </c>
      <c r="AJ23" s="93">
        <f>IFERROR(s_C*s_IFCR_res_adj*s_CF_carrot*0.001*(up_Irr!I23+up_Irr!AH23+up_Irr!BG23),".")</f>
        <v>152036.56519057468</v>
      </c>
      <c r="AK23" s="93">
        <f>IFERROR(s_C*s_IFCI_res_adj*s_CF_citrus*0.001*(up_Irr!J23+up_Irr!AI23+up_Irr!BH23),".")</f>
        <v>152036.56519057468</v>
      </c>
      <c r="AL23" s="93">
        <f>IFERROR(s_C*s_IFCO_res_adj*s_CF_corn*0.001*(up_Irr!K23+up_Irr!AJ23+up_Irr!BI23),".")</f>
        <v>152036.56519057468</v>
      </c>
      <c r="AM23" s="93">
        <f>IFERROR(s_C*s_IFCU_res_adj*s_CF_cucumber*0.001*(up_Irr!L23+up_Irr!AK23+up_Irr!BJ23),".")</f>
        <v>152036.56519057468</v>
      </c>
      <c r="AN23" s="93">
        <f>IFERROR(s_C*s_IFLE_res_adj*s_CF_lettuce*0.001*(up_Irr!M23+up_Irr!AL23+up_Irr!BK23),".")</f>
        <v>152036.56519057468</v>
      </c>
      <c r="AO23" s="93">
        <f>IFERROR(s_C*s_IFLI_res_adj*s_CF_lima_bean*0.001*(up_Irr!N23+up_Irr!AM23+up_Irr!BL23),".")</f>
        <v>152036.56519057468</v>
      </c>
      <c r="AP23" s="93">
        <f>IFERROR(s_C*s_IFOK_res_adj*s_CF_okra*0.001*(up_Irr!O23+up_Irr!AN23+up_Irr!BM23),".")</f>
        <v>152036.56519057468</v>
      </c>
      <c r="AQ23" s="93">
        <f>IFERROR(s_C*s_IFON_res_adj*s_CF_onion*0.001*(up_Irr!P23+up_Irr!AO23+up_Irr!BN23),".")</f>
        <v>152036.56519057468</v>
      </c>
      <c r="AR23" s="93">
        <f>IFERROR(s_C*s_IFPC_res_adj*s_CF_peach*0.001*(up_Irr!Q23+up_Irr!AP23+up_Irr!BO23),".")</f>
        <v>152036.56519057468</v>
      </c>
      <c r="AS23" s="93">
        <f>IFERROR(s_C*s_IFPR_res_adj*s_CF_pear*0.001*(up_Irr!R23+up_Irr!AQ23+up_Irr!BP23),".")</f>
        <v>152036.56519057468</v>
      </c>
      <c r="AT23" s="93">
        <f>IFERROR(s_C*s_IFPE_res_adj*s_CF_peas*0.001*(up_Irr!S23+up_Irr!AR23+up_Irr!BQ23),".")</f>
        <v>152036.56519057468</v>
      </c>
      <c r="AU23" s="93">
        <f>IFERROR(s_C*s_IFPP_res_adj*s_CF_peppers*0.001*(up_Irr!T23+up_Irr!AS23+up_Irr!BR23),".")</f>
        <v>152036.56519057468</v>
      </c>
      <c r="AV23" s="93">
        <f>IFERROR(s_C*s_IFPT_res_adj*s_CF_potato*0.001*(up_Irr!U23+up_Irr!AT23+up_Irr!BS23),".")</f>
        <v>152036.56519057468</v>
      </c>
      <c r="AW23" s="93">
        <f>IFERROR(s_C*s_IFPU_res_adj*s_CF_pumpkin*0.001*(up_Irr!V23+up_Irr!AU23+up_Irr!BT23),".")</f>
        <v>152036.56519057468</v>
      </c>
      <c r="AX23" s="93">
        <f>IFERROR(s_C*s_IFSN_res_adj*s_CF_snap_bean*0.001*(up_Irr!W23+up_Irr!AV23+up_Irr!BU23),".")</f>
        <v>152036.56519057468</v>
      </c>
      <c r="AY23" s="93">
        <f>IFERROR(s_C*s_IFST_res_adj*s_CF_strawberry*0.001*(up_Irr!X23+up_Irr!AW23+up_Irr!BV23),".")</f>
        <v>152036.56519057468</v>
      </c>
      <c r="AZ23" s="93">
        <f>IFERROR(s_C*s_IFTO_res_adj*s_CF_tomato*0.001*(up_Irr!Y23+up_Irr!AX23+up_Irr!BW23),".")</f>
        <v>152036.56519057468</v>
      </c>
      <c r="BA23" s="93">
        <f>IFERROR(s_C*s_IFRI_res_adj*s_CF_rice*0.001*(up_Irr!Z23+up_Irr!AY23+up_Irr!BX23),".")</f>
        <v>152036.56519057468</v>
      </c>
      <c r="BB23" s="93">
        <f>IFERROR(s_C*s_IFCG_res_adj*s_CF_cereal*0.001*(up_Irr!AA23+up_Irr!AZ23+up_Irr!BY23),".")</f>
        <v>152036.56519057468</v>
      </c>
      <c r="BC23" s="76">
        <f t="shared" si="2"/>
        <v>1.6443412786038031E-11</v>
      </c>
      <c r="BD23" s="76">
        <f>IFERROR(IF(AND(up_Irr!C23&lt;&gt;".",up_Irr!AB23&lt;&gt;".",up_Irr!BA23&lt;&gt;"."),up_dir!AD23/((1/1000)*(up_Irr!C23+up_Irr!AB23+up_Irr!BA23)),IF(AND(up_Irr!C23&lt;&gt;".",up_Irr!AB23&lt;&gt;".",up_Irr!BA23="."),up_dir!AD23/((1/1000)*(up_Irr!C23+up_Irr!AB23)),IF(AND(up_Irr!C23&lt;&gt;".",up_Irr!AB23=".",up_Irr!BA23&lt;&gt;"."),up_dir!AD23/((1/1000)*(up_Irr!C23+up_Irr!BA23)),IF(AND(up_Irr!C23=".",up_Irr!AB23&lt;&gt;".",up_Irr!BA23&lt;&gt;"."),up_dir!AD23/((1/1000)*(up_Irr!AB23+up_Irr!BA23)),IF(AND(up_Irr!C23=".",up_Irr!AB23=".",up_Irr!BA23&lt;&gt;"."),up_dir!AD23/((1/1000)*(up_Irr!BA23)),IF(AND(up_Irr!C23=".",up_Irr!AB23&lt;&gt;".",up_Irr!BA23="."),up_dir!AD23/((1/1000)*(up_Irr!AB23)),IF(AND(up_Irr!C23&lt;&gt;".",up_Irr!AB23=".",up_Irr!BA23="."),up_dir!AD23/((1/1000)*(up_Irr!C23)),IF(AND(up_Irr!C23=".",up_Irr!AB23=".",up_Irr!BA23="."),up_dir!AD23*1000)))))))),".")</f>
        <v>6.5773651144152123E-11</v>
      </c>
      <c r="BE23" s="76">
        <f>IFERROR(IF(AND(up_Irr!D23&lt;&gt;".",up_Irr!AC23&lt;&gt;".",up_Irr!BB23&lt;&gt;"."),up_dir!AE23/((1/1000)*(up_Irr!D23+up_Irr!AC23+up_Irr!BB23)),IF(AND(up_Irr!D23&lt;&gt;".",up_Irr!AC23&lt;&gt;".",up_Irr!BB23="."),up_dir!AE23/((1/1000)*(up_Irr!D23+up_Irr!AC23)),IF(AND(up_Irr!D23&lt;&gt;".",up_Irr!AC23=".",up_Irr!BB23&lt;&gt;"."),up_dir!AE23/((1/1000)*(up_Irr!D23+up_Irr!BB23)),IF(AND(up_Irr!D23=".",up_Irr!AC23&lt;&gt;".",up_Irr!BB23&lt;&gt;"."),up_dir!AE23/((1/1000)*(up_Irr!AC23+up_Irr!BB23)),IF(AND(up_Irr!D23=".",up_Irr!AC23=".",up_Irr!BB23&lt;&gt;"."),up_dir!AE23/((1/1000)*(up_Irr!BB23)),IF(AND(up_Irr!D23=".",up_Irr!AC23&lt;&gt;".",up_Irr!BB23="."),up_dir!AE23/((1/1000)*(up_Irr!AC23)),IF(AND(up_Irr!D23&lt;&gt;".",up_Irr!AC23=".",up_Irr!BB23="."),up_dir!AE23/((1/1000)*(up_Irr!D23)),IF(AND(up_Irr!D23=".",up_Irr!AC23=".",up_Irr!BB23="."),up_dir!AE23*1000)))))))),".")</f>
        <v>6.5773651144152123E-11</v>
      </c>
      <c r="BF23" s="76">
        <f>IFERROR(IF(AND(up_Irr!E23&lt;&gt;".",up_Irr!AD23&lt;&gt;".",up_Irr!BC23&lt;&gt;"."),up_dir!AF23/((1/1000)*(up_Irr!E23+up_Irr!AD23+up_Irr!BC23)),IF(AND(up_Irr!E23&lt;&gt;".",up_Irr!AD23&lt;&gt;".",up_Irr!BC23="."),up_dir!AF23/((1/1000)*(up_Irr!E23+up_Irr!AD23)),IF(AND(up_Irr!E23&lt;&gt;".",up_Irr!AD23=".",up_Irr!BC23&lt;&gt;"."),up_dir!AF23/((1/1000)*(up_Irr!E23+up_Irr!BC23)),IF(AND(up_Irr!E23=".",up_Irr!AD23&lt;&gt;".",up_Irr!BC23&lt;&gt;"."),up_dir!AF23/((1/1000)*(up_Irr!AD23+up_Irr!BC23)),IF(AND(up_Irr!E23=".",up_Irr!AD23=".",up_Irr!BC23&lt;&gt;"."),up_dir!AF23/((1/1000)*(up_Irr!BC23)),IF(AND(up_Irr!E23=".",up_Irr!AD23&lt;&gt;".",up_Irr!BC23="."),up_dir!AF23/((1/1000)*(up_Irr!AD23)),IF(AND(up_Irr!E23&lt;&gt;".",up_Irr!AD23=".",up_Irr!BC23="."),up_dir!AF23/((1/1000)*(up_Irr!E23)),IF(AND(up_Irr!E23=".",up_Irr!AD23=".",up_Irr!BC23="."),up_dir!AF23*1000)))))))),".")</f>
        <v>6.5773651144152123E-11</v>
      </c>
      <c r="BG23" s="76">
        <f>IFERROR(IF(AND(up_Irr!F23&lt;&gt;".",up_Irr!AE23&lt;&gt;".",up_Irr!BD23&lt;&gt;"."),up_dir!AG23/((1/1000)*(up_Irr!F23+up_Irr!AE23+up_Irr!BD23)),IF(AND(up_Irr!F23&lt;&gt;".",up_Irr!AE23&lt;&gt;".",up_Irr!BD23="."),up_dir!AG23/((1/1000)*(up_Irr!F23+up_Irr!AE23)),IF(AND(up_Irr!F23&lt;&gt;".",up_Irr!AE23=".",up_Irr!BD23&lt;&gt;"."),up_dir!AG23/((1/1000)*(up_Irr!F23+up_Irr!BD23)),IF(AND(up_Irr!F23=".",up_Irr!AE23&lt;&gt;".",up_Irr!BD23&lt;&gt;"."),up_dir!AG23/((1/1000)*(up_Irr!AE23+up_Irr!BD23)),IF(AND(up_Irr!F23=".",up_Irr!AE23=".",up_Irr!BD23&lt;&gt;"."),up_dir!AG23/((1/1000)*(up_Irr!BD23)),IF(AND(up_Irr!F23=".",up_Irr!AE23&lt;&gt;".",up_Irr!BD23="."),up_dir!AG23/((1/1000)*(up_Irr!AE23)),IF(AND(up_Irr!F23&lt;&gt;".",up_Irr!AE23=".",up_Irr!BD23="."),up_dir!AG23/((1/1000)*(up_Irr!F23)),IF(AND(up_Irr!F23=".",up_Irr!AE23=".",up_Irr!BD23="."),up_dir!AG23*1000)))))))),".")</f>
        <v>6.5773651144152123E-11</v>
      </c>
      <c r="BH23" s="76">
        <f>IFERROR(IF(AND(up_Irr!G23&lt;&gt;".",up_Irr!AF23&lt;&gt;".",up_Irr!BE23&lt;&gt;"."),up_dir!AH23/((1/1000)*(up_Irr!G23+up_Irr!AF23+up_Irr!BE23)),IF(AND(up_Irr!G23&lt;&gt;".",up_Irr!AF23&lt;&gt;".",up_Irr!BE23="."),up_dir!AH23/((1/1000)*(up_Irr!G23+up_Irr!AF23)),IF(AND(up_Irr!G23&lt;&gt;".",up_Irr!AF23=".",up_Irr!BE23&lt;&gt;"."),up_dir!AH23/((1/1000)*(up_Irr!G23+up_Irr!BE23)),IF(AND(up_Irr!G23=".",up_Irr!AF23&lt;&gt;".",up_Irr!BE23&lt;&gt;"."),up_dir!AH23/((1/1000)*(up_Irr!AF23+up_Irr!BE23)),IF(AND(up_Irr!G23=".",up_Irr!AF23=".",up_Irr!BE23&lt;&gt;"."),up_dir!AH23/((1/1000)*(up_Irr!BE23)),IF(AND(up_Irr!G23=".",up_Irr!AF23&lt;&gt;".",up_Irr!BE23="."),up_dir!AH23/((1/1000)*(up_Irr!AF23)),IF(AND(up_Irr!G23&lt;&gt;".",up_Irr!AF23=".",up_Irr!BE23="."),up_dir!AH23/((1/1000)*(up_Irr!G23)),IF(AND(up_Irr!G23=".",up_Irr!AF23=".",up_Irr!BE23="."),up_dir!AH23*1000)))))))),".")</f>
        <v>6.5773651144152123E-11</v>
      </c>
      <c r="BI23" s="76">
        <f>IFERROR(IF(AND(up_Irr!H23&lt;&gt;".",up_Irr!AG23&lt;&gt;".",up_Irr!BF23&lt;&gt;"."),up_dir!AI23/((1/1000)*(up_Irr!H23+up_Irr!AG23+up_Irr!BF23)),IF(AND(up_Irr!H23&lt;&gt;".",up_Irr!AG23&lt;&gt;".",up_Irr!BF23="."),up_dir!AI23/((1/1000)*(up_Irr!H23+up_Irr!AG23)),IF(AND(up_Irr!H23&lt;&gt;".",up_Irr!AG23=".",up_Irr!BF23&lt;&gt;"."),up_dir!AI23/((1/1000)*(up_Irr!H23+up_Irr!BF23)),IF(AND(up_Irr!H23=".",up_Irr!AG23&lt;&gt;".",up_Irr!BF23&lt;&gt;"."),up_dir!AI23/((1/1000)*(up_Irr!AG23+up_Irr!BF23)),IF(AND(up_Irr!H23=".",up_Irr!AG23=".",up_Irr!BF23&lt;&gt;"."),up_dir!AI23/((1/1000)*(up_Irr!BF23)),IF(AND(up_Irr!H23=".",up_Irr!AG23&lt;&gt;".",up_Irr!BF23="."),up_dir!AI23/((1/1000)*(up_Irr!AG23)),IF(AND(up_Irr!H23&lt;&gt;".",up_Irr!AG23=".",up_Irr!BF23="."),up_dir!AI23/((1/1000)*(up_Irr!H23)),IF(AND(up_Irr!H23=".",up_Irr!AG23=".",up_Irr!BF23="."),up_dir!AI23*1000)))))))),".")</f>
        <v>6.5773651144152123E-11</v>
      </c>
      <c r="BJ23" s="76">
        <f>IFERROR(IF(AND(up_Irr!I23&lt;&gt;".",up_Irr!AH23&lt;&gt;".",up_Irr!BG23&lt;&gt;"."),up_dir!AJ23/((1/1000)*(up_Irr!I23+up_Irr!AH23+up_Irr!BG23)),IF(AND(up_Irr!I23&lt;&gt;".",up_Irr!AH23&lt;&gt;".",up_Irr!BG23="."),up_dir!AJ23/((1/1000)*(up_Irr!I23+up_Irr!AH23)),IF(AND(up_Irr!I23&lt;&gt;".",up_Irr!AH23=".",up_Irr!BG23&lt;&gt;"."),up_dir!AJ23/((1/1000)*(up_Irr!I23+up_Irr!BG23)),IF(AND(up_Irr!I23=".",up_Irr!AH23&lt;&gt;".",up_Irr!BG23&lt;&gt;"."),up_dir!AJ23/((1/1000)*(up_Irr!AH23+up_Irr!BG23)),IF(AND(up_Irr!I23=".",up_Irr!AH23=".",up_Irr!BG23&lt;&gt;"."),up_dir!AJ23/((1/1000)*(up_Irr!BG23)),IF(AND(up_Irr!I23=".",up_Irr!AH23&lt;&gt;".",up_Irr!BG23="."),up_dir!AJ23/((1/1000)*(up_Irr!AH23)),IF(AND(up_Irr!I23&lt;&gt;".",up_Irr!AH23=".",up_Irr!BG23="."),up_dir!AJ23/((1/1000)*(up_Irr!I23)),IF(AND(up_Irr!I23=".",up_Irr!AH23=".",up_Irr!BG23="."),up_dir!AJ23*1000)))))))),".")</f>
        <v>6.5773651144152123E-11</v>
      </c>
      <c r="BK23" s="76">
        <f>IFERROR(IF(AND(up_Irr!J23&lt;&gt;".",up_Irr!AI23&lt;&gt;".",up_Irr!BH23&lt;&gt;"."),up_dir!AK23/((1/1000)*(up_Irr!J23+up_Irr!AI23+up_Irr!BH23)),IF(AND(up_Irr!J23&lt;&gt;".",up_Irr!AI23&lt;&gt;".",up_Irr!BH23="."),up_dir!AK23/((1/1000)*(up_Irr!J23+up_Irr!AI23)),IF(AND(up_Irr!J23&lt;&gt;".",up_Irr!AI23=".",up_Irr!BH23&lt;&gt;"."),up_dir!AK23/((1/1000)*(up_Irr!J23+up_Irr!BH23)),IF(AND(up_Irr!J23=".",up_Irr!AI23&lt;&gt;".",up_Irr!BH23&lt;&gt;"."),up_dir!AK23/((1/1000)*(up_Irr!AI23+up_Irr!BH23)),IF(AND(up_Irr!J23=".",up_Irr!AI23=".",up_Irr!BH23&lt;&gt;"."),up_dir!AK23/((1/1000)*(up_Irr!BH23)),IF(AND(up_Irr!J23=".",up_Irr!AI23&lt;&gt;".",up_Irr!BH23="."),up_dir!AK23/((1/1000)*(up_Irr!AI23)),IF(AND(up_Irr!J23&lt;&gt;".",up_Irr!AI23=".",up_Irr!BH23="."),up_dir!AK23/((1/1000)*(up_Irr!J23)),IF(AND(up_Irr!J23=".",up_Irr!AI23=".",up_Irr!BH23="."),up_dir!AK23*1000)))))))),".")</f>
        <v>6.5773651144152123E-11</v>
      </c>
      <c r="BL23" s="76">
        <f>IFERROR(IF(AND(up_Irr!K23&lt;&gt;".",up_Irr!AJ23&lt;&gt;".",up_Irr!BI23&lt;&gt;"."),up_dir!AL23/((1/1000)*(up_Irr!K23+up_Irr!AJ23+up_Irr!BI23)),IF(AND(up_Irr!K23&lt;&gt;".",up_Irr!AJ23&lt;&gt;".",up_Irr!BI23="."),up_dir!AL23/((1/1000)*(up_Irr!K23+up_Irr!AJ23)),IF(AND(up_Irr!K23&lt;&gt;".",up_Irr!AJ23=".",up_Irr!BI23&lt;&gt;"."),up_dir!AL23/((1/1000)*(up_Irr!K23+up_Irr!BI23)),IF(AND(up_Irr!K23=".",up_Irr!AJ23&lt;&gt;".",up_Irr!BI23&lt;&gt;"."),up_dir!AL23/((1/1000)*(up_Irr!AJ23+up_Irr!BI23)),IF(AND(up_Irr!K23=".",up_Irr!AJ23=".",up_Irr!BI23&lt;&gt;"."),up_dir!AL23/((1/1000)*(up_Irr!BI23)),IF(AND(up_Irr!K23=".",up_Irr!AJ23&lt;&gt;".",up_Irr!BI23="."),up_dir!AL23/((1/1000)*(up_Irr!AJ23)),IF(AND(up_Irr!K23&lt;&gt;".",up_Irr!AJ23=".",up_Irr!BI23="."),up_dir!AL23/((1/1000)*(up_Irr!K23)),IF(AND(up_Irr!K23=".",up_Irr!AJ23=".",up_Irr!BI23="."),up_dir!AL23*1000)))))))),".")</f>
        <v>6.5773651144152123E-11</v>
      </c>
      <c r="BM23" s="76">
        <f>IFERROR(IF(AND(up_Irr!L23&lt;&gt;".",up_Irr!AK23&lt;&gt;".",up_Irr!BJ23&lt;&gt;"."),up_dir!AM23/((1/1000)*(up_Irr!L23+up_Irr!AK23+up_Irr!BJ23)),IF(AND(up_Irr!L23&lt;&gt;".",up_Irr!AK23&lt;&gt;".",up_Irr!BJ23="."),up_dir!AM23/((1/1000)*(up_Irr!L23+up_Irr!AK23)),IF(AND(up_Irr!L23&lt;&gt;".",up_Irr!AK23=".",up_Irr!BJ23&lt;&gt;"."),up_dir!AM23/((1/1000)*(up_Irr!L23+up_Irr!BJ23)),IF(AND(up_Irr!L23=".",up_Irr!AK23&lt;&gt;".",up_Irr!BJ23&lt;&gt;"."),up_dir!AM23/((1/1000)*(up_Irr!AK23+up_Irr!BJ23)),IF(AND(up_Irr!L23=".",up_Irr!AK23=".",up_Irr!BJ23&lt;&gt;"."),up_dir!AM23/((1/1000)*(up_Irr!BJ23)),IF(AND(up_Irr!L23=".",up_Irr!AK23&lt;&gt;".",up_Irr!BJ23="."),up_dir!AM23/((1/1000)*(up_Irr!AK23)),IF(AND(up_Irr!L23&lt;&gt;".",up_Irr!AK23=".",up_Irr!BJ23="."),up_dir!AM23/((1/1000)*(up_Irr!L23)),IF(AND(up_Irr!L23=".",up_Irr!AK23=".",up_Irr!BJ23="."),up_dir!AM23*1000)))))))),".")</f>
        <v>6.5773651144152123E-11</v>
      </c>
      <c r="BN23" s="76">
        <f>IFERROR(IF(AND(up_Irr!M23&lt;&gt;".",up_Irr!AL23&lt;&gt;".",up_Irr!BK23&lt;&gt;"."),up_dir!AN23/((1/1000)*(up_Irr!M23+up_Irr!AL23+up_Irr!BK23)),IF(AND(up_Irr!M23&lt;&gt;".",up_Irr!AL23&lt;&gt;".",up_Irr!BK23="."),up_dir!AN23/((1/1000)*(up_Irr!M23+up_Irr!AL23)),IF(AND(up_Irr!M23&lt;&gt;".",up_Irr!AL23=".",up_Irr!BK23&lt;&gt;"."),up_dir!AN23/((1/1000)*(up_Irr!M23+up_Irr!BK23)),IF(AND(up_Irr!M23=".",up_Irr!AL23&lt;&gt;".",up_Irr!BK23&lt;&gt;"."),up_dir!AN23/((1/1000)*(up_Irr!AL23+up_Irr!BK23)),IF(AND(up_Irr!M23=".",up_Irr!AL23=".",up_Irr!BK23&lt;&gt;"."),up_dir!AN23/((1/1000)*(up_Irr!BK23)),IF(AND(up_Irr!M23=".",up_Irr!AL23&lt;&gt;".",up_Irr!BK23="."),up_dir!AN23/((1/1000)*(up_Irr!AL23)),IF(AND(up_Irr!M23&lt;&gt;".",up_Irr!AL23=".",up_Irr!BK23="."),up_dir!AN23/((1/1000)*(up_Irr!M23)),IF(AND(up_Irr!M23=".",up_Irr!AL23=".",up_Irr!BK23="."),up_dir!AN23*1000)))))))),".")</f>
        <v>6.5773651144152123E-11</v>
      </c>
      <c r="BO23" s="76">
        <f>IFERROR(IF(AND(up_Irr!N23&lt;&gt;".",up_Irr!AM23&lt;&gt;".",up_Irr!BL23&lt;&gt;"."),up_dir!AO23/((1/1000)*(up_Irr!N23+up_Irr!AM23+up_Irr!BL23)),IF(AND(up_Irr!N23&lt;&gt;".",up_Irr!AM23&lt;&gt;".",up_Irr!BL23="."),up_dir!AO23/((1/1000)*(up_Irr!N23+up_Irr!AM23)),IF(AND(up_Irr!N23&lt;&gt;".",up_Irr!AM23=".",up_Irr!BL23&lt;&gt;"."),up_dir!AO23/((1/1000)*(up_Irr!N23+up_Irr!BL23)),IF(AND(up_Irr!N23=".",up_Irr!AM23&lt;&gt;".",up_Irr!BL23&lt;&gt;"."),up_dir!AO23/((1/1000)*(up_Irr!AM23+up_Irr!BL23)),IF(AND(up_Irr!N23=".",up_Irr!AM23=".",up_Irr!BL23&lt;&gt;"."),up_dir!AO23/((1/1000)*(up_Irr!BL23)),IF(AND(up_Irr!N23=".",up_Irr!AM23&lt;&gt;".",up_Irr!BL23="."),up_dir!AO23/((1/1000)*(up_Irr!AM23)),IF(AND(up_Irr!N23&lt;&gt;".",up_Irr!AM23=".",up_Irr!BL23="."),up_dir!AO23/((1/1000)*(up_Irr!N23)),IF(AND(up_Irr!N23=".",up_Irr!AM23=".",up_Irr!BL23="."),up_dir!AO23*1000)))))))),".")</f>
        <v>6.5773651144152123E-11</v>
      </c>
      <c r="BP23" s="76">
        <f>IFERROR(IF(AND(up_Irr!O23&lt;&gt;".",up_Irr!AN23&lt;&gt;".",up_Irr!BM23&lt;&gt;"."),up_dir!AP23/((1/1000)*(up_Irr!O23+up_Irr!AN23+up_Irr!BM23)),IF(AND(up_Irr!O23&lt;&gt;".",up_Irr!AN23&lt;&gt;".",up_Irr!BM23="."),up_dir!AP23/((1/1000)*(up_Irr!O23+up_Irr!AN23)),IF(AND(up_Irr!O23&lt;&gt;".",up_Irr!AN23=".",up_Irr!BM23&lt;&gt;"."),up_dir!AP23/((1/1000)*(up_Irr!O23+up_Irr!BM23)),IF(AND(up_Irr!O23=".",up_Irr!AN23&lt;&gt;".",up_Irr!BM23&lt;&gt;"."),up_dir!AP23/((1/1000)*(up_Irr!AN23+up_Irr!BM23)),IF(AND(up_Irr!O23=".",up_Irr!AN23=".",up_Irr!BM23&lt;&gt;"."),up_dir!AP23/((1/1000)*(up_Irr!BM23)),IF(AND(up_Irr!O23=".",up_Irr!AN23&lt;&gt;".",up_Irr!BM23="."),up_dir!AP23/((1/1000)*(up_Irr!AN23)),IF(AND(up_Irr!O23&lt;&gt;".",up_Irr!AN23=".",up_Irr!BM23="."),up_dir!AP23/((1/1000)*(up_Irr!O23)),IF(AND(up_Irr!O23=".",up_Irr!AN23=".",up_Irr!BM23="."),up_dir!AP23*1000)))))))),".")</f>
        <v>6.5773651144152123E-11</v>
      </c>
      <c r="BQ23" s="76">
        <f>IFERROR(IF(AND(up_Irr!P23&lt;&gt;".",up_Irr!AO23&lt;&gt;".",up_Irr!BN23&lt;&gt;"."),up_dir!AQ23/((1/1000)*(up_Irr!P23+up_Irr!AO23+up_Irr!BN23)),IF(AND(up_Irr!P23&lt;&gt;".",up_Irr!AO23&lt;&gt;".",up_Irr!BN23="."),up_dir!AQ23/((1/1000)*(up_Irr!P23+up_Irr!AO23)),IF(AND(up_Irr!P23&lt;&gt;".",up_Irr!AO23=".",up_Irr!BN23&lt;&gt;"."),up_dir!AQ23/((1/1000)*(up_Irr!P23+up_Irr!BN23)),IF(AND(up_Irr!P23=".",up_Irr!AO23&lt;&gt;".",up_Irr!BN23&lt;&gt;"."),up_dir!AQ23/((1/1000)*(up_Irr!AO23+up_Irr!BN23)),IF(AND(up_Irr!P23=".",up_Irr!AO23=".",up_Irr!BN23&lt;&gt;"."),up_dir!AQ23/((1/1000)*(up_Irr!BN23)),IF(AND(up_Irr!P23=".",up_Irr!AO23&lt;&gt;".",up_Irr!BN23="."),up_dir!AQ23/((1/1000)*(up_Irr!AO23)),IF(AND(up_Irr!P23&lt;&gt;".",up_Irr!AO23=".",up_Irr!BN23="."),up_dir!AQ23/((1/1000)*(up_Irr!P23)),IF(AND(up_Irr!P23=".",up_Irr!AO23=".",up_Irr!BN23="."),up_dir!AQ23*1000)))))))),".")</f>
        <v>6.5773651144152123E-11</v>
      </c>
      <c r="BR23" s="76">
        <f>IFERROR(IF(AND(up_Irr!Q23&lt;&gt;".",up_Irr!AP23&lt;&gt;".",up_Irr!BO23&lt;&gt;"."),up_dir!AR23/((1/1000)*(up_Irr!Q23+up_Irr!AP23+up_Irr!BO23)),IF(AND(up_Irr!Q23&lt;&gt;".",up_Irr!AP23&lt;&gt;".",up_Irr!BO23="."),up_dir!AR23/((1/1000)*(up_Irr!Q23+up_Irr!AP23)),IF(AND(up_Irr!Q23&lt;&gt;".",up_Irr!AP23=".",up_Irr!BO23&lt;&gt;"."),up_dir!AR23/((1/1000)*(up_Irr!Q23+up_Irr!BO23)),IF(AND(up_Irr!Q23=".",up_Irr!AP23&lt;&gt;".",up_Irr!BO23&lt;&gt;"."),up_dir!AR23/((1/1000)*(up_Irr!AP23+up_Irr!BO23)),IF(AND(up_Irr!Q23=".",up_Irr!AP23=".",up_Irr!BO23&lt;&gt;"."),up_dir!AR23/((1/1000)*(up_Irr!BO23)),IF(AND(up_Irr!Q23=".",up_Irr!AP23&lt;&gt;".",up_Irr!BO23="."),up_dir!AR23/((1/1000)*(up_Irr!AP23)),IF(AND(up_Irr!Q23&lt;&gt;".",up_Irr!AP23=".",up_Irr!BO23="."),up_dir!AR23/((1/1000)*(up_Irr!Q23)),IF(AND(up_Irr!Q23=".",up_Irr!AP23=".",up_Irr!BO23="."),up_dir!AR23*1000)))))))),".")</f>
        <v>6.5773651144152123E-11</v>
      </c>
      <c r="BS23" s="76">
        <f>IFERROR(IF(AND(up_Irr!R23&lt;&gt;".",up_Irr!AQ23&lt;&gt;".",up_Irr!BP23&lt;&gt;"."),up_dir!AS23/((1/1000)*(up_Irr!R23+up_Irr!AQ23+up_Irr!BP23)),IF(AND(up_Irr!R23&lt;&gt;".",up_Irr!AQ23&lt;&gt;".",up_Irr!BP23="."),up_dir!AS23/((1/1000)*(up_Irr!R23+up_Irr!AQ23)),IF(AND(up_Irr!R23&lt;&gt;".",up_Irr!AQ23=".",up_Irr!BP23&lt;&gt;"."),up_dir!AS23/((1/1000)*(up_Irr!R23+up_Irr!BP23)),IF(AND(up_Irr!R23=".",up_Irr!AQ23&lt;&gt;".",up_Irr!BP23&lt;&gt;"."),up_dir!AS23/((1/1000)*(up_Irr!AQ23+up_Irr!BP23)),IF(AND(up_Irr!R23=".",up_Irr!AQ23=".",up_Irr!BP23&lt;&gt;"."),up_dir!AS23/((1/1000)*(up_Irr!BP23)),IF(AND(up_Irr!R23=".",up_Irr!AQ23&lt;&gt;".",up_Irr!BP23="."),up_dir!AS23/((1/1000)*(up_Irr!AQ23)),IF(AND(up_Irr!R23&lt;&gt;".",up_Irr!AQ23=".",up_Irr!BP23="."),up_dir!AS23/((1/1000)*(up_Irr!R23)),IF(AND(up_Irr!R23=".",up_Irr!AQ23=".",up_Irr!BP23="."),up_dir!AS23*1000)))))))),".")</f>
        <v>6.5773651144152123E-11</v>
      </c>
      <c r="BT23" s="76">
        <f>IFERROR(IF(AND(up_Irr!S23&lt;&gt;".",up_Irr!AR23&lt;&gt;".",up_Irr!BQ23&lt;&gt;"."),up_dir!AT23/((1/1000)*(up_Irr!S23+up_Irr!AR23+up_Irr!BQ23)),IF(AND(up_Irr!S23&lt;&gt;".",up_Irr!AR23&lt;&gt;".",up_Irr!BQ23="."),up_dir!AT23/((1/1000)*(up_Irr!S23+up_Irr!AR23)),IF(AND(up_Irr!S23&lt;&gt;".",up_Irr!AR23=".",up_Irr!BQ23&lt;&gt;"."),up_dir!AT23/((1/1000)*(up_Irr!S23+up_Irr!BQ23)),IF(AND(up_Irr!S23=".",up_Irr!AR23&lt;&gt;".",up_Irr!BQ23&lt;&gt;"."),up_dir!AT23/((1/1000)*(up_Irr!AR23+up_Irr!BQ23)),IF(AND(up_Irr!S23=".",up_Irr!AR23=".",up_Irr!BQ23&lt;&gt;"."),up_dir!AT23/((1/1000)*(up_Irr!BQ23)),IF(AND(up_Irr!S23=".",up_Irr!AR23&lt;&gt;".",up_Irr!BQ23="."),up_dir!AT23/((1/1000)*(up_Irr!AR23)),IF(AND(up_Irr!S23&lt;&gt;".",up_Irr!AR23=".",up_Irr!BQ23="."),up_dir!AT23/((1/1000)*(up_Irr!S23)),IF(AND(up_Irr!S23=".",up_Irr!AR23=".",up_Irr!BQ23="."),up_dir!AT23*1000)))))))),".")</f>
        <v>6.5773651144152123E-11</v>
      </c>
      <c r="BU23" s="76">
        <f>IFERROR(IF(AND(up_Irr!T23&lt;&gt;".",up_Irr!AS23&lt;&gt;".",up_Irr!BR23&lt;&gt;"."),up_dir!AU23/((1/1000)*(up_Irr!T23+up_Irr!AS23+up_Irr!BR23)),IF(AND(up_Irr!T23&lt;&gt;".",up_Irr!AS23&lt;&gt;".",up_Irr!BR23="."),up_dir!AU23/((1/1000)*(up_Irr!T23+up_Irr!AS23)),IF(AND(up_Irr!T23&lt;&gt;".",up_Irr!AS23=".",up_Irr!BR23&lt;&gt;"."),up_dir!AU23/((1/1000)*(up_Irr!T23+up_Irr!BR23)),IF(AND(up_Irr!T23=".",up_Irr!AS23&lt;&gt;".",up_Irr!BR23&lt;&gt;"."),up_dir!AU23/((1/1000)*(up_Irr!AS23+up_Irr!BR23)),IF(AND(up_Irr!T23=".",up_Irr!AS23=".",up_Irr!BR23&lt;&gt;"."),up_dir!AU23/((1/1000)*(up_Irr!BR23)),IF(AND(up_Irr!T23=".",up_Irr!AS23&lt;&gt;".",up_Irr!BR23="."),up_dir!AU23/((1/1000)*(up_Irr!AS23)),IF(AND(up_Irr!T23&lt;&gt;".",up_Irr!AS23=".",up_Irr!BR23="."),up_dir!AU23/((1/1000)*(up_Irr!T23)),IF(AND(up_Irr!T23=".",up_Irr!AS23=".",up_Irr!BR23="."),up_dir!AU23*1000)))))))),".")</f>
        <v>6.5773651144152123E-11</v>
      </c>
      <c r="BV23" s="76">
        <f>IFERROR(IF(AND(up_Irr!U23&lt;&gt;".",up_Irr!AT23&lt;&gt;".",up_Irr!BS23&lt;&gt;"."),up_dir!AV23/((1/1000)*(up_Irr!U23+up_Irr!AT23+up_Irr!BS23)),IF(AND(up_Irr!U23&lt;&gt;".",up_Irr!AT23&lt;&gt;".",up_Irr!BS23="."),up_dir!AV23/((1/1000)*(up_Irr!U23+up_Irr!AT23)),IF(AND(up_Irr!U23&lt;&gt;".",up_Irr!AT23=".",up_Irr!BS23&lt;&gt;"."),up_dir!AV23/((1/1000)*(up_Irr!U23+up_Irr!BS23)),IF(AND(up_Irr!U23=".",up_Irr!AT23&lt;&gt;".",up_Irr!BS23&lt;&gt;"."),up_dir!AV23/((1/1000)*(up_Irr!AT23+up_Irr!BS23)),IF(AND(up_Irr!U23=".",up_Irr!AT23=".",up_Irr!BS23&lt;&gt;"."),up_dir!AV23/((1/1000)*(up_Irr!BS23)),IF(AND(up_Irr!U23=".",up_Irr!AT23&lt;&gt;".",up_Irr!BS23="."),up_dir!AV23/((1/1000)*(up_Irr!AT23)),IF(AND(up_Irr!U23&lt;&gt;".",up_Irr!AT23=".",up_Irr!BS23="."),up_dir!AV23/((1/1000)*(up_Irr!U23)),IF(AND(up_Irr!U23=".",up_Irr!AT23=".",up_Irr!BS23="."),up_dir!AV23*1000)))))))),".")</f>
        <v>6.5773651144152123E-11</v>
      </c>
      <c r="BW23" s="76">
        <f>IFERROR(IF(AND(up_Irr!V23&lt;&gt;".",up_Irr!AU23&lt;&gt;".",up_Irr!BT23&lt;&gt;"."),up_dir!AW23/((1/1000)*(up_Irr!V23+up_Irr!AU23+up_Irr!BT23)),IF(AND(up_Irr!V23&lt;&gt;".",up_Irr!AU23&lt;&gt;".",up_Irr!BT23="."),up_dir!AW23/((1/1000)*(up_Irr!V23+up_Irr!AU23)),IF(AND(up_Irr!V23&lt;&gt;".",up_Irr!AU23=".",up_Irr!BT23&lt;&gt;"."),up_dir!AW23/((1/1000)*(up_Irr!V23+up_Irr!BT23)),IF(AND(up_Irr!V23=".",up_Irr!AU23&lt;&gt;".",up_Irr!BT23&lt;&gt;"."),up_dir!AW23/((1/1000)*(up_Irr!AU23+up_Irr!BT23)),IF(AND(up_Irr!V23=".",up_Irr!AU23=".",up_Irr!BT23&lt;&gt;"."),up_dir!AW23/((1/1000)*(up_Irr!BT23)),IF(AND(up_Irr!V23=".",up_Irr!AU23&lt;&gt;".",up_Irr!BT23="."),up_dir!AW23/((1/1000)*(up_Irr!AU23)),IF(AND(up_Irr!V23&lt;&gt;".",up_Irr!AU23=".",up_Irr!BT23="."),up_dir!AW23/((1/1000)*(up_Irr!V23)),IF(AND(up_Irr!V23=".",up_Irr!AU23=".",up_Irr!BT23="."),up_dir!AW23*1000)))))))),".")</f>
        <v>6.5773651144152123E-11</v>
      </c>
      <c r="BX23" s="76">
        <f>IFERROR(IF(AND(up_Irr!W23&lt;&gt;".",up_Irr!AV23&lt;&gt;".",up_Irr!BU23&lt;&gt;"."),up_dir!AX23/((1/1000)*(up_Irr!W23+up_Irr!AV23+up_Irr!BU23)),IF(AND(up_Irr!W23&lt;&gt;".",up_Irr!AV23&lt;&gt;".",up_Irr!BU23="."),up_dir!AX23/((1/1000)*(up_Irr!W23+up_Irr!AV23)),IF(AND(up_Irr!W23&lt;&gt;".",up_Irr!AV23=".",up_Irr!BU23&lt;&gt;"."),up_dir!AX23/((1/1000)*(up_Irr!W23+up_Irr!BU23)),IF(AND(up_Irr!W23=".",up_Irr!AV23&lt;&gt;".",up_Irr!BU23&lt;&gt;"."),up_dir!AX23/((1/1000)*(up_Irr!AV23+up_Irr!BU23)),IF(AND(up_Irr!W23=".",up_Irr!AV23=".",up_Irr!BU23&lt;&gt;"."),up_dir!AX23/((1/1000)*(up_Irr!BU23)),IF(AND(up_Irr!W23=".",up_Irr!AV23&lt;&gt;".",up_Irr!BU23="."),up_dir!AX23/((1/1000)*(up_Irr!AV23)),IF(AND(up_Irr!W23&lt;&gt;".",up_Irr!AV23=".",up_Irr!BU23="."),up_dir!AX23/((1/1000)*(up_Irr!W23)),IF(AND(up_Irr!W23=".",up_Irr!AV23=".",up_Irr!BU23="."),up_dir!AX23*1000)))))))),".")</f>
        <v>6.5773651144152123E-11</v>
      </c>
      <c r="BY23" s="76">
        <f>IFERROR(IF(AND(up_Irr!X23&lt;&gt;".",up_Irr!AW23&lt;&gt;".",up_Irr!BV23&lt;&gt;"."),up_dir!AY23/((1/1000)*(up_Irr!X23+up_Irr!AW23+up_Irr!BV23)),IF(AND(up_Irr!X23&lt;&gt;".",up_Irr!AW23&lt;&gt;".",up_Irr!BV23="."),up_dir!AY23/((1/1000)*(up_Irr!X23+up_Irr!AW23)),IF(AND(up_Irr!X23&lt;&gt;".",up_Irr!AW23=".",up_Irr!BV23&lt;&gt;"."),up_dir!AY23/((1/1000)*(up_Irr!X23+up_Irr!BV23)),IF(AND(up_Irr!X23=".",up_Irr!AW23&lt;&gt;".",up_Irr!BV23&lt;&gt;"."),up_dir!AY23/((1/1000)*(up_Irr!AW23+up_Irr!BV23)),IF(AND(up_Irr!X23=".",up_Irr!AW23=".",up_Irr!BV23&lt;&gt;"."),up_dir!AY23/((1/1000)*(up_Irr!BV23)),IF(AND(up_Irr!X23=".",up_Irr!AW23&lt;&gt;".",up_Irr!BV23="."),up_dir!AY23/((1/1000)*(up_Irr!AW23)),IF(AND(up_Irr!X23&lt;&gt;".",up_Irr!AW23=".",up_Irr!BV23="."),up_dir!AY23/((1/1000)*(up_Irr!X23)),IF(AND(up_Irr!X23=".",up_Irr!AW23=".",up_Irr!BV23="."),up_dir!AY23*1000)))))))),".")</f>
        <v>6.5773651144152123E-11</v>
      </c>
      <c r="BZ23" s="76">
        <f>IFERROR(IF(AND(up_Irr!Y23&lt;&gt;".",up_Irr!AX23&lt;&gt;".",up_Irr!BW23&lt;&gt;"."),up_dir!AZ23/((1/1000)*(up_Irr!Y23+up_Irr!AX23+up_Irr!BW23)),IF(AND(up_Irr!Y23&lt;&gt;".",up_Irr!AX23&lt;&gt;".",up_Irr!BW23="."),up_dir!AZ23/((1/1000)*(up_Irr!Y23+up_Irr!AX23)),IF(AND(up_Irr!Y23&lt;&gt;".",up_Irr!AX23=".",up_Irr!BW23&lt;&gt;"."),up_dir!AZ23/((1/1000)*(up_Irr!Y23+up_Irr!BW23)),IF(AND(up_Irr!Y23=".",up_Irr!AX23&lt;&gt;".",up_Irr!BW23&lt;&gt;"."),up_dir!AZ23/((1/1000)*(up_Irr!AX23+up_Irr!BW23)),IF(AND(up_Irr!Y23=".",up_Irr!AX23=".",up_Irr!BW23&lt;&gt;"."),up_dir!AZ23/((1/1000)*(up_Irr!BW23)),IF(AND(up_Irr!Y23=".",up_Irr!AX23&lt;&gt;".",up_Irr!BW23="."),up_dir!AZ23/((1/1000)*(up_Irr!AX23)),IF(AND(up_Irr!Y23&lt;&gt;".",up_Irr!AX23=".",up_Irr!BW23="."),up_dir!AZ23/((1/1000)*(up_Irr!Y23)),IF(AND(up_Irr!Y23=".",up_Irr!AX23=".",up_Irr!BW23="."),up_dir!AZ23*1000)))))))),".")</f>
        <v>6.5773651144152123E-11</v>
      </c>
      <c r="CA23" s="76">
        <f>IFERROR(IF(AND(up_Irr!Z23&lt;&gt;".",up_Irr!AY23&lt;&gt;".",up_Irr!BX23&lt;&gt;"."),up_dir!BA23/((1/1000)*(up_Irr!Z23+up_Irr!AY23+up_Irr!BX23)),IF(AND(up_Irr!Z23&lt;&gt;".",up_Irr!AY23&lt;&gt;".",up_Irr!BX23="."),up_dir!BA23/((1/1000)*(up_Irr!Z23+up_Irr!AY23)),IF(AND(up_Irr!Z23&lt;&gt;".",up_Irr!AY23=".",up_Irr!BX23&lt;&gt;"."),up_dir!BA23/((1/1000)*(up_Irr!Z23+up_Irr!BX23)),IF(AND(up_Irr!Z23=".",up_Irr!AY23&lt;&gt;".",up_Irr!BX23&lt;&gt;"."),up_dir!BA23/((1/1000)*(up_Irr!AY23+up_Irr!BX23)),IF(AND(up_Irr!Z23=".",up_Irr!AY23=".",up_Irr!BX23&lt;&gt;"."),up_dir!BA23/((1/1000)*(up_Irr!BX23)),IF(AND(up_Irr!Z23=".",up_Irr!AY23&lt;&gt;".",up_Irr!BX23="."),up_dir!BA23/((1/1000)*(up_Irr!AY23)),IF(AND(up_Irr!Z23&lt;&gt;".",up_Irr!AY23=".",up_Irr!BX23="."),up_dir!BA23/((1/1000)*(up_Irr!Z23)),IF(AND(up_Irr!Z23=".",up_Irr!AY23=".",up_Irr!BX23="."),up_dir!BA23*1000)))))))),".")</f>
        <v>6.5773651144152123E-11</v>
      </c>
      <c r="CB23" s="76">
        <f>IFERROR(IF(AND(up_Irr!AA23&lt;&gt;".",up_Irr!AZ23&lt;&gt;".",up_Irr!BY23&lt;&gt;"."),up_dir!BB23/((1/1000)*(up_Irr!AA23+up_Irr!AZ23+up_Irr!BY23)),IF(AND(up_Irr!AA23&lt;&gt;".",up_Irr!AZ23&lt;&gt;".",up_Irr!BY23="."),up_dir!BB23/((1/1000)*(up_Irr!AA23+up_Irr!AZ23)),IF(AND(up_Irr!AA23&lt;&gt;".",up_Irr!AZ23=".",up_Irr!BY23&lt;&gt;"."),up_dir!BB23/((1/1000)*(up_Irr!AA23+up_Irr!BY23)),IF(AND(up_Irr!AA23=".",up_Irr!AZ23&lt;&gt;".",up_Irr!BY23&lt;&gt;"."),up_dir!BB23/((1/1000)*(up_Irr!AZ23+up_Irr!BY23)),IF(AND(up_Irr!AA23=".",up_Irr!AZ23=".",up_Irr!BY23&lt;&gt;"."),up_dir!BB23/((1/1000)*(up_Irr!BY23)),IF(AND(up_Irr!AA23=".",up_Irr!AZ23&lt;&gt;".",up_Irr!BY23="."),up_dir!BB23/((1/1000)*(up_Irr!AZ23)),IF(AND(up_Irr!AA23&lt;&gt;".",up_Irr!AZ23=".",up_Irr!BY23="."),up_dir!BB23/((1/1000)*(up_Irr!AA23)),IF(AND(up_Irr!AA23=".",up_Irr!AZ23=".",up_Irr!BY23="."),up_dir!BB23*1000)))))))),".")</f>
        <v>6.5773651144152123E-11</v>
      </c>
      <c r="CC23" s="93">
        <f t="shared" si="3"/>
        <v>608146.26076229871</v>
      </c>
      <c r="CD23" s="93">
        <f>IFERROR(s_C*s_IFAP_far_adj*s_CF_apple*(1/1000)*(up_Irr!C23+up_Irr!AB23+up_Irr!BA23),".")</f>
        <v>152036.56519057468</v>
      </c>
      <c r="CE23" s="93">
        <f>IFERROR(s_C*s_IFAS_far_adj*s_CF_asparagus*(1/1000)*(up_Irr!D23+up_Irr!AC23+up_Irr!BB23),".")</f>
        <v>152036.56519057468</v>
      </c>
      <c r="CF23" s="93">
        <f>IFERROR(s_C*s_IFBT_far_adj*s_CF_beet*(1/1000)*(up_Irr!E23+up_Irr!AD23+up_Irr!BC23),".")</f>
        <v>152036.56519057468</v>
      </c>
      <c r="CG23" s="93">
        <f>IFERROR(s_C*s_IFBE_far_adj*s_CF_berries*(1/1000)*(up_Irr!F23+up_Irr!AE23+up_Irr!BD23),".")</f>
        <v>152036.56519057468</v>
      </c>
      <c r="CH23" s="93">
        <f>IFERROR(s_C*s_IFBR_far_adj*s_CF_broccoli*(1/1000)*(up_Irr!G23+up_Irr!AF23+up_Irr!BE23),".")</f>
        <v>152036.56519057468</v>
      </c>
      <c r="CI23" s="93">
        <f>IFERROR(s_C*s_IFCB_far_adj*s_CF_cabbage*(1/1000)*(up_Irr!H23+up_Irr!AG23+up_Irr!BF23),".")</f>
        <v>152036.56519057468</v>
      </c>
      <c r="CJ23" s="93">
        <f>IFERROR(s_C*s_IFCR_far_adj*s_CF_carrot*(1/1000)*(up_Irr!I23+up_Irr!AH23+up_Irr!BG23),".")</f>
        <v>152036.56519057468</v>
      </c>
      <c r="CK23" s="93">
        <f>IFERROR(s_C*s_IFCI_far_adj*s_CF_citrus*(1/1000)*(up_Irr!J23+up_Irr!AI23+up_Irr!BH23),".")</f>
        <v>152036.56519057468</v>
      </c>
      <c r="CL23" s="93">
        <f>IFERROR(s_C*s_IFCO_far_adj*s_CF_corn*(1/1000)*(up_Irr!K23+up_Irr!AJ23+up_Irr!BI23),".")</f>
        <v>152036.56519057468</v>
      </c>
      <c r="CM23" s="93">
        <f>IFERROR(s_C*s_IFCU_far_adj*s_CF_cucumber*(1/1000)*(up_Irr!L23+up_Irr!AK23+up_Irr!BJ23),".")</f>
        <v>152036.56519057468</v>
      </c>
      <c r="CN23" s="93">
        <f>IFERROR(s_C*s_IFLE_far_adj*s_CF_lettuce*(1/1000)*(up_Irr!M23+up_Irr!AL23+up_Irr!BK23),".")</f>
        <v>152036.56519057468</v>
      </c>
      <c r="CO23" s="93">
        <f>IFERROR(s_C*s_IFLI_far_adj*s_CF_lima_bean*(1/1000)*(up_Irr!N23+up_Irr!AM23+up_Irr!BL23),".")</f>
        <v>152036.56519057468</v>
      </c>
      <c r="CP23" s="93">
        <f>IFERROR(s_C*s_IFOK_far_adj*s_CF_okra*(1/1000)*(up_Irr!O23+up_Irr!AN23+up_Irr!BM23),".")</f>
        <v>152036.56519057468</v>
      </c>
      <c r="CQ23" s="93">
        <f>IFERROR(s_C*s_IFON_far_adj*s_CF_onion*(1/1000)*(up_Irr!P23+up_Irr!AO23+up_Irr!BN23),".")</f>
        <v>152036.56519057468</v>
      </c>
      <c r="CR23" s="93">
        <f>IFERROR(s_C*s_IFPC_far_adj*s_CF_peach*(1/1000)*(up_Irr!Q23+up_Irr!AP23+up_Irr!BO23),".")</f>
        <v>152036.56519057468</v>
      </c>
      <c r="CS23" s="93">
        <f>IFERROR(s_C*s_IFPR_far_adj*s_CF_pear*(1/1000)*(up_Irr!R23+up_Irr!AQ23+up_Irr!BP23),".")</f>
        <v>152036.56519057468</v>
      </c>
      <c r="CT23" s="93">
        <f>IFERROR(s_C*s_IFPE_far_adj*s_CF_peas*(1/1000)*(up_Irr!S23+up_Irr!AR23+up_Irr!BQ23),".")</f>
        <v>152036.56519057468</v>
      </c>
      <c r="CU23" s="93">
        <f>IFERROR(s_C*s_IFPP_far_adj*s_CF_peppers*(1/1000)*(up_Irr!T23+up_Irr!AS23+up_Irr!BR23),".")</f>
        <v>152036.56519057468</v>
      </c>
      <c r="CV23" s="93">
        <f>IFERROR(s_C*s_IFPT_far_adj*s_CF_potato*(1/1000)*(up_Irr!U23+up_Irr!AT23+up_Irr!BS23),".")</f>
        <v>152036.56519057468</v>
      </c>
      <c r="CW23" s="93">
        <f>IFERROR(s_C*s_IFPU_far_adj*s_CF_pumpkin*(1/1000)*(up_Irr!V23+up_Irr!AU23+up_Irr!BT23),".")</f>
        <v>152036.56519057468</v>
      </c>
      <c r="CX23" s="93">
        <f>IFERROR(s_C*s_IFSN_far_adj*s_CF_snap_bean*(1/1000)*(up_Irr!W23+up_Irr!AV23+up_Irr!BU23),".")</f>
        <v>152036.56519057468</v>
      </c>
      <c r="CY23" s="93">
        <f>IFERROR(s_C*s_IFST_far_adj*s_CF_strawberry*(1/1000)*(up_Irr!X23+up_Irr!AW23+up_Irr!BV23),".")</f>
        <v>152036.56519057468</v>
      </c>
      <c r="CZ23" s="93">
        <f>IFERROR(s_C*s_IFTO_far_adj*s_CF_tomato*(1/1000)*(up_Irr!Y23+up_Irr!AX23+up_Irr!BW23),".")</f>
        <v>152036.56519057468</v>
      </c>
      <c r="DA23" s="93">
        <f>IFERROR(s_C*s_IFRI_far_adj*s_CF_rice*(1/1000)*(up_Irr!Z23+up_Irr!AY23+up_Irr!BX23),".")</f>
        <v>152036.56519057468</v>
      </c>
      <c r="DB23" s="93">
        <f>IFERROR(s_C*s_IFCG_far_adj*s_CF_cereal*(1/1000)*(up_Irr!AA23+up_Irr!AZ23+up_Irr!BY23),".")</f>
        <v>152036.56519057468</v>
      </c>
    </row>
    <row r="24" spans="1:106" ht="15" customHeight="1" x14ac:dyDescent="0.25">
      <c r="A24" s="92" t="s">
        <v>34</v>
      </c>
      <c r="B24" s="90" t="s">
        <v>1071</v>
      </c>
      <c r="C24" s="15">
        <f t="shared" si="0"/>
        <v>1.6443412786038031E-11</v>
      </c>
      <c r="D24" s="76">
        <f>IFERROR(IF(AND(up_Irr!C24&lt;&gt;".",up_Irr!AB24&lt;&gt;".",up_Irr!BA24&lt;&gt;"."),up_dir!D24/((1/1000)*(up_Irr!C24+up_Irr!AB24+up_Irr!BA24)),IF(AND(up_Irr!C24&lt;&gt;".",up_Irr!AB24&lt;&gt;".",up_Irr!BA24="."),up_dir!D24/((1/1000)*(up_Irr!C24+up_Irr!AB24)),IF(AND(up_Irr!C24&lt;&gt;".",up_Irr!AB24=".",up_Irr!BA24&lt;&gt;"."),up_dir!D24/((1/1000)*(up_Irr!C24+up_Irr!BA24)),IF(AND(up_Irr!C24=".",up_Irr!AB24&lt;&gt;".",up_Irr!BA24&lt;&gt;"."),up_dir!D24/((1/1000)*(up_Irr!AB24+up_Irr!BA24)),IF(AND(up_Irr!C24=".",up_Irr!AB24=".",up_Irr!BA24&lt;&gt;"."),up_dir!D24/((1/1000)*(up_Irr!BA24)),IF(AND(up_Irr!C24=".",up_Irr!AB24&lt;&gt;".",up_Irr!BA24="."),up_dir!D24/((1/1000)*(up_Irr!AB24)),IF(AND(up_Irr!C24&lt;&gt;".",up_Irr!AB24=".",up_Irr!BA24="."),up_dir!D24/((1/1000)*(up_Irr!C24)),IF(AND(up_Irr!C24=".",up_Irr!AB24=".",up_Irr!BA24="."),up_dir!D24*1000)))))))),".")</f>
        <v>6.5773651144152123E-11</v>
      </c>
      <c r="E24" s="76">
        <f>IFERROR(IF(AND(up_Irr!D24&lt;&gt;".",up_Irr!AC24&lt;&gt;".",up_Irr!BB24&lt;&gt;"."),up_dir!E24/((1/1000)*(up_Irr!D24+up_Irr!AC24+up_Irr!BB24)),IF(AND(up_Irr!D24&lt;&gt;".",up_Irr!AC24&lt;&gt;".",up_Irr!BB24="."),up_dir!E24/((1/1000)*(up_Irr!D24+up_Irr!AC24)),IF(AND(up_Irr!D24&lt;&gt;".",up_Irr!AC24=".",up_Irr!BB24&lt;&gt;"."),up_dir!E24/((1/1000)*(up_Irr!D24+up_Irr!BB24)),IF(AND(up_Irr!D24=".",up_Irr!AC24&lt;&gt;".",up_Irr!BB24&lt;&gt;"."),up_dir!E24/((1/1000)*(up_Irr!AC24+up_Irr!BB24)),IF(AND(up_Irr!D24=".",up_Irr!AC24=".",up_Irr!BB24&lt;&gt;"."),up_dir!E24/((1/1000)*(up_Irr!BB24)),IF(AND(up_Irr!D24=".",up_Irr!AC24&lt;&gt;".",up_Irr!BB24="."),up_dir!E24/((1/1000)*(up_Irr!AC24)),IF(AND(up_Irr!D24&lt;&gt;".",up_Irr!AC24=".",up_Irr!BB24="."),up_dir!E24/((1/1000)*(up_Irr!D24)),IF(AND(up_Irr!D24=".",up_Irr!AC24=".",up_Irr!BB24="."),up_dir!E24*1000)))))))),".")</f>
        <v>6.5773651144152123E-11</v>
      </c>
      <c r="F24" s="76">
        <f>IFERROR(IF(AND(up_Irr!E24&lt;&gt;".",up_Irr!AD24&lt;&gt;".",up_Irr!BC24&lt;&gt;"."),up_dir!F24/((1/1000)*(up_Irr!E24+up_Irr!AD24+up_Irr!BC24)),IF(AND(up_Irr!E24&lt;&gt;".",up_Irr!AD24&lt;&gt;".",up_Irr!BC24="."),up_dir!F24/((1/1000)*(up_Irr!E24+up_Irr!AD24)),IF(AND(up_Irr!E24&lt;&gt;".",up_Irr!AD24=".",up_Irr!BC24&lt;&gt;"."),up_dir!F24/((1/1000)*(up_Irr!E24+up_Irr!BC24)),IF(AND(up_Irr!E24=".",up_Irr!AD24&lt;&gt;".",up_Irr!BC24&lt;&gt;"."),up_dir!F24/((1/1000)*(up_Irr!AD24+up_Irr!BC24)),IF(AND(up_Irr!E24=".",up_Irr!AD24=".",up_Irr!BC24&lt;&gt;"."),up_dir!F24/((1/1000)*(up_Irr!BC24)),IF(AND(up_Irr!E24=".",up_Irr!AD24&lt;&gt;".",up_Irr!BC24="."),up_dir!F24/((1/1000)*(up_Irr!AD24)),IF(AND(up_Irr!E24&lt;&gt;".",up_Irr!AD24=".",up_Irr!BC24="."),up_dir!F24/((1/1000)*(up_Irr!E24)),IF(AND(up_Irr!E24=".",up_Irr!AD24=".",up_Irr!BC24="."),up_dir!F24*1000)))))))),".")</f>
        <v>6.5773651144152123E-11</v>
      </c>
      <c r="G24" s="76">
        <f>IFERROR(IF(AND(up_Irr!F24&lt;&gt;".",up_Irr!AE24&lt;&gt;".",up_Irr!BD24&lt;&gt;"."),up_dir!G24/((1/1000)*(up_Irr!F24+up_Irr!AE24+up_Irr!BD24)),IF(AND(up_Irr!F24&lt;&gt;".",up_Irr!AE24&lt;&gt;".",up_Irr!BD24="."),up_dir!G24/((1/1000)*(up_Irr!F24+up_Irr!AE24)),IF(AND(up_Irr!F24&lt;&gt;".",up_Irr!AE24=".",up_Irr!BD24&lt;&gt;"."),up_dir!G24/((1/1000)*(up_Irr!F24+up_Irr!BD24)),IF(AND(up_Irr!F24=".",up_Irr!AE24&lt;&gt;".",up_Irr!BD24&lt;&gt;"."),up_dir!G24/((1/1000)*(up_Irr!AE24+up_Irr!BD24)),IF(AND(up_Irr!F24=".",up_Irr!AE24=".",up_Irr!BD24&lt;&gt;"."),up_dir!G24/((1/1000)*(up_Irr!BD24)),IF(AND(up_Irr!F24=".",up_Irr!AE24&lt;&gt;".",up_Irr!BD24="."),up_dir!G24/((1/1000)*(up_Irr!AE24)),IF(AND(up_Irr!F24&lt;&gt;".",up_Irr!AE24=".",up_Irr!BD24="."),up_dir!G24/((1/1000)*(up_Irr!F24)),IF(AND(up_Irr!F24=".",up_Irr!AE24=".",up_Irr!BD24="."),up_dir!G24*1000)))))))),".")</f>
        <v>6.5773651144152123E-11</v>
      </c>
      <c r="H24" s="76">
        <f>IFERROR(IF(AND(up_Irr!G24&lt;&gt;".",up_Irr!AF24&lt;&gt;".",up_Irr!BE24&lt;&gt;"."),up_dir!H24/((1/1000)*(up_Irr!G24+up_Irr!AF24+up_Irr!BE24)),IF(AND(up_Irr!G24&lt;&gt;".",up_Irr!AF24&lt;&gt;".",up_Irr!BE24="."),up_dir!H24/((1/1000)*(up_Irr!G24+up_Irr!AF24)),IF(AND(up_Irr!G24&lt;&gt;".",up_Irr!AF24=".",up_Irr!BE24&lt;&gt;"."),up_dir!H24/((1/1000)*(up_Irr!G24+up_Irr!BE24)),IF(AND(up_Irr!G24=".",up_Irr!AF24&lt;&gt;".",up_Irr!BE24&lt;&gt;"."),up_dir!H24/((1/1000)*(up_Irr!AF24+up_Irr!BE24)),IF(AND(up_Irr!G24=".",up_Irr!AF24=".",up_Irr!BE24&lt;&gt;"."),up_dir!H24/((1/1000)*(up_Irr!BE24)),IF(AND(up_Irr!G24=".",up_Irr!AF24&lt;&gt;".",up_Irr!BE24="."),up_dir!H24/((1/1000)*(up_Irr!AF24)),IF(AND(up_Irr!G24&lt;&gt;".",up_Irr!AF24=".",up_Irr!BE24="."),up_dir!H24/((1/1000)*(up_Irr!G24)),IF(AND(up_Irr!G24=".",up_Irr!AF24=".",up_Irr!BE24="."),up_dir!H24*1000)))))))),".")</f>
        <v>6.5773651144152123E-11</v>
      </c>
      <c r="I24" s="76">
        <f>IFERROR(IF(AND(up_Irr!H24&lt;&gt;".",up_Irr!AG24&lt;&gt;".",up_Irr!BF24&lt;&gt;"."),up_dir!I24/((1/1000)*(up_Irr!H24+up_Irr!AG24+up_Irr!BF24)),IF(AND(up_Irr!H24&lt;&gt;".",up_Irr!AG24&lt;&gt;".",up_Irr!BF24="."),up_dir!I24/((1/1000)*(up_Irr!H24+up_Irr!AG24)),IF(AND(up_Irr!H24&lt;&gt;".",up_Irr!AG24=".",up_Irr!BF24&lt;&gt;"."),up_dir!I24/((1/1000)*(up_Irr!H24+up_Irr!BF24)),IF(AND(up_Irr!H24=".",up_Irr!AG24&lt;&gt;".",up_Irr!BF24&lt;&gt;"."),up_dir!I24/((1/1000)*(up_Irr!AG24+up_Irr!BF24)),IF(AND(up_Irr!H24=".",up_Irr!AG24=".",up_Irr!BF24&lt;&gt;"."),up_dir!I24/((1/1000)*(up_Irr!BF24)),IF(AND(up_Irr!H24=".",up_Irr!AG24&lt;&gt;".",up_Irr!BF24="."),up_dir!I24/((1/1000)*(up_Irr!AG24)),IF(AND(up_Irr!H24&lt;&gt;".",up_Irr!AG24=".",up_Irr!BF24="."),up_dir!I24/((1/1000)*(up_Irr!H24)),IF(AND(up_Irr!H24=".",up_Irr!AG24=".",up_Irr!BF24="."),up_dir!I24*1000)))))))),".")</f>
        <v>6.5773651144152123E-11</v>
      </c>
      <c r="J24" s="76">
        <f>IFERROR(IF(AND(up_Irr!I24&lt;&gt;".",up_Irr!AH24&lt;&gt;".",up_Irr!BG24&lt;&gt;"."),up_dir!J24/((1/1000)*(up_Irr!I24+up_Irr!AH24+up_Irr!BG24)),IF(AND(up_Irr!I24&lt;&gt;".",up_Irr!AH24&lt;&gt;".",up_Irr!BG24="."),up_dir!J24/((1/1000)*(up_Irr!I24+up_Irr!AH24)),IF(AND(up_Irr!I24&lt;&gt;".",up_Irr!AH24=".",up_Irr!BG24&lt;&gt;"."),up_dir!J24/((1/1000)*(up_Irr!I24+up_Irr!BG24)),IF(AND(up_Irr!I24=".",up_Irr!AH24&lt;&gt;".",up_Irr!BG24&lt;&gt;"."),up_dir!J24/((1/1000)*(up_Irr!AH24+up_Irr!BG24)),IF(AND(up_Irr!I24=".",up_Irr!AH24=".",up_Irr!BG24&lt;&gt;"."),up_dir!J24/((1/1000)*(up_Irr!BG24)),IF(AND(up_Irr!I24=".",up_Irr!AH24&lt;&gt;".",up_Irr!BG24="."),up_dir!J24/((1/1000)*(up_Irr!AH24)),IF(AND(up_Irr!I24&lt;&gt;".",up_Irr!AH24=".",up_Irr!BG24="."),up_dir!J24/((1/1000)*(up_Irr!I24)),IF(AND(up_Irr!I24=".",up_Irr!AH24=".",up_Irr!BG24="."),up_dir!J24*1000)))))))),".")</f>
        <v>6.5773651144152123E-11</v>
      </c>
      <c r="K24" s="76">
        <f>IFERROR(IF(AND(up_Irr!J24&lt;&gt;".",up_Irr!AI24&lt;&gt;".",up_Irr!BH24&lt;&gt;"."),up_dir!K24/((1/1000)*(up_Irr!J24+up_Irr!AI24+up_Irr!BH24)),IF(AND(up_Irr!J24&lt;&gt;".",up_Irr!AI24&lt;&gt;".",up_Irr!BH24="."),up_dir!K24/((1/1000)*(up_Irr!J24+up_Irr!AI24)),IF(AND(up_Irr!J24&lt;&gt;".",up_Irr!AI24=".",up_Irr!BH24&lt;&gt;"."),up_dir!K24/((1/1000)*(up_Irr!J24+up_Irr!BH24)),IF(AND(up_Irr!J24=".",up_Irr!AI24&lt;&gt;".",up_Irr!BH24&lt;&gt;"."),up_dir!K24/((1/1000)*(up_Irr!AI24+up_Irr!BH24)),IF(AND(up_Irr!J24=".",up_Irr!AI24=".",up_Irr!BH24&lt;&gt;"."),up_dir!K24/((1/1000)*(up_Irr!BH24)),IF(AND(up_Irr!J24=".",up_Irr!AI24&lt;&gt;".",up_Irr!BH24="."),up_dir!K24/((1/1000)*(up_Irr!AI24)),IF(AND(up_Irr!J24&lt;&gt;".",up_Irr!AI24=".",up_Irr!BH24="."),up_dir!K24/((1/1000)*(up_Irr!J24)),IF(AND(up_Irr!J24=".",up_Irr!AI24=".",up_Irr!BH24="."),up_dir!K24*1000)))))))),".")</f>
        <v>6.5773651144152123E-11</v>
      </c>
      <c r="L24" s="76">
        <f>IFERROR(IF(AND(up_Irr!K24&lt;&gt;".",up_Irr!AJ24&lt;&gt;".",up_Irr!BI24&lt;&gt;"."),up_dir!L24/((1/1000)*(up_Irr!K24+up_Irr!AJ24+up_Irr!BI24)),IF(AND(up_Irr!K24&lt;&gt;".",up_Irr!AJ24&lt;&gt;".",up_Irr!BI24="."),up_dir!L24/((1/1000)*(up_Irr!K24+up_Irr!AJ24)),IF(AND(up_Irr!K24&lt;&gt;".",up_Irr!AJ24=".",up_Irr!BI24&lt;&gt;"."),up_dir!L24/((1/1000)*(up_Irr!K24+up_Irr!BI24)),IF(AND(up_Irr!K24=".",up_Irr!AJ24&lt;&gt;".",up_Irr!BI24&lt;&gt;"."),up_dir!L24/((1/1000)*(up_Irr!AJ24+up_Irr!BI24)),IF(AND(up_Irr!K24=".",up_Irr!AJ24=".",up_Irr!BI24&lt;&gt;"."),up_dir!L24/((1/1000)*(up_Irr!BI24)),IF(AND(up_Irr!K24=".",up_Irr!AJ24&lt;&gt;".",up_Irr!BI24="."),up_dir!L24/((1/1000)*(up_Irr!AJ24)),IF(AND(up_Irr!K24&lt;&gt;".",up_Irr!AJ24=".",up_Irr!BI24="."),up_dir!L24/((1/1000)*(up_Irr!K24)),IF(AND(up_Irr!K24=".",up_Irr!AJ24=".",up_Irr!BI24="."),up_dir!L24*1000)))))))),".")</f>
        <v>6.5773651144152123E-11</v>
      </c>
      <c r="M24" s="76">
        <f>IFERROR(IF(AND(up_Irr!L24&lt;&gt;".",up_Irr!AK24&lt;&gt;".",up_Irr!BJ24&lt;&gt;"."),up_dir!M24/((1/1000)*(up_Irr!L24+up_Irr!AK24+up_Irr!BJ24)),IF(AND(up_Irr!L24&lt;&gt;".",up_Irr!AK24&lt;&gt;".",up_Irr!BJ24="."),up_dir!M24/((1/1000)*(up_Irr!L24+up_Irr!AK24)),IF(AND(up_Irr!L24&lt;&gt;".",up_Irr!AK24=".",up_Irr!BJ24&lt;&gt;"."),up_dir!M24/((1/1000)*(up_Irr!L24+up_Irr!BJ24)),IF(AND(up_Irr!L24=".",up_Irr!AK24&lt;&gt;".",up_Irr!BJ24&lt;&gt;"."),up_dir!M24/((1/1000)*(up_Irr!AK24+up_Irr!BJ24)),IF(AND(up_Irr!L24=".",up_Irr!AK24=".",up_Irr!BJ24&lt;&gt;"."),up_dir!M24/((1/1000)*(up_Irr!BJ24)),IF(AND(up_Irr!L24=".",up_Irr!AK24&lt;&gt;".",up_Irr!BJ24="."),up_dir!M24/((1/1000)*(up_Irr!AK24)),IF(AND(up_Irr!L24&lt;&gt;".",up_Irr!AK24=".",up_Irr!BJ24="."),up_dir!M24/((1/1000)*(up_Irr!L24)),IF(AND(up_Irr!L24=".",up_Irr!AK24=".",up_Irr!BJ24="."),up_dir!M24*1000)))))))),".")</f>
        <v>6.5773651144152123E-11</v>
      </c>
      <c r="N24" s="76">
        <f>IFERROR(IF(AND(up_Irr!M24&lt;&gt;".",up_Irr!AL24&lt;&gt;".",up_Irr!BK24&lt;&gt;"."),up_dir!N24/((1/1000)*(up_Irr!M24+up_Irr!AL24+up_Irr!BK24)),IF(AND(up_Irr!M24&lt;&gt;".",up_Irr!AL24&lt;&gt;".",up_Irr!BK24="."),up_dir!N24/((1/1000)*(up_Irr!M24+up_Irr!AL24)),IF(AND(up_Irr!M24&lt;&gt;".",up_Irr!AL24=".",up_Irr!BK24&lt;&gt;"."),up_dir!N24/((1/1000)*(up_Irr!M24+up_Irr!BK24)),IF(AND(up_Irr!M24=".",up_Irr!AL24&lt;&gt;".",up_Irr!BK24&lt;&gt;"."),up_dir!N24/((1/1000)*(up_Irr!AL24+up_Irr!BK24)),IF(AND(up_Irr!M24=".",up_Irr!AL24=".",up_Irr!BK24&lt;&gt;"."),up_dir!N24/((1/1000)*(up_Irr!BK24)),IF(AND(up_Irr!M24=".",up_Irr!AL24&lt;&gt;".",up_Irr!BK24="."),up_dir!N24/((1/1000)*(up_Irr!AL24)),IF(AND(up_Irr!M24&lt;&gt;".",up_Irr!AL24=".",up_Irr!BK24="."),up_dir!N24/((1/1000)*(up_Irr!M24)),IF(AND(up_Irr!M24=".",up_Irr!AL24=".",up_Irr!BK24="."),up_dir!N24*1000)))))))),".")</f>
        <v>6.5773651144152123E-11</v>
      </c>
      <c r="O24" s="76">
        <f>IFERROR(IF(AND(up_Irr!N24&lt;&gt;".",up_Irr!AM24&lt;&gt;".",up_Irr!BL24&lt;&gt;"."),up_dir!O24/((1/1000)*(up_Irr!N24+up_Irr!AM24+up_Irr!BL24)),IF(AND(up_Irr!N24&lt;&gt;".",up_Irr!AM24&lt;&gt;".",up_Irr!BL24="."),up_dir!O24/((1/1000)*(up_Irr!N24+up_Irr!AM24)),IF(AND(up_Irr!N24&lt;&gt;".",up_Irr!AM24=".",up_Irr!BL24&lt;&gt;"."),up_dir!O24/((1/1000)*(up_Irr!N24+up_Irr!BL24)),IF(AND(up_Irr!N24=".",up_Irr!AM24&lt;&gt;".",up_Irr!BL24&lt;&gt;"."),up_dir!O24/((1/1000)*(up_Irr!AM24+up_Irr!BL24)),IF(AND(up_Irr!N24=".",up_Irr!AM24=".",up_Irr!BL24&lt;&gt;"."),up_dir!O24/((1/1000)*(up_Irr!BL24)),IF(AND(up_Irr!N24=".",up_Irr!AM24&lt;&gt;".",up_Irr!BL24="."),up_dir!O24/((1/1000)*(up_Irr!AM24)),IF(AND(up_Irr!N24&lt;&gt;".",up_Irr!AM24=".",up_Irr!BL24="."),up_dir!O24/((1/1000)*(up_Irr!N24)),IF(AND(up_Irr!N24=".",up_Irr!AM24=".",up_Irr!BL24="."),up_dir!O24*1000)))))))),".")</f>
        <v>6.5773651144152123E-11</v>
      </c>
      <c r="P24" s="76">
        <f>IFERROR(IF(AND(up_Irr!O24&lt;&gt;".",up_Irr!AN24&lt;&gt;".",up_Irr!BM24&lt;&gt;"."),up_dir!P24/((1/1000)*(up_Irr!O24+up_Irr!AN24+up_Irr!BM24)),IF(AND(up_Irr!O24&lt;&gt;".",up_Irr!AN24&lt;&gt;".",up_Irr!BM24="."),up_dir!P24/((1/1000)*(up_Irr!O24+up_Irr!AN24)),IF(AND(up_Irr!O24&lt;&gt;".",up_Irr!AN24=".",up_Irr!BM24&lt;&gt;"."),up_dir!P24/((1/1000)*(up_Irr!O24+up_Irr!BM24)),IF(AND(up_Irr!O24=".",up_Irr!AN24&lt;&gt;".",up_Irr!BM24&lt;&gt;"."),up_dir!P24/((1/1000)*(up_Irr!AN24+up_Irr!BM24)),IF(AND(up_Irr!O24=".",up_Irr!AN24=".",up_Irr!BM24&lt;&gt;"."),up_dir!P24/((1/1000)*(up_Irr!BM24)),IF(AND(up_Irr!O24=".",up_Irr!AN24&lt;&gt;".",up_Irr!BM24="."),up_dir!P24/((1/1000)*(up_Irr!AN24)),IF(AND(up_Irr!O24&lt;&gt;".",up_Irr!AN24=".",up_Irr!BM24="."),up_dir!P24/((1/1000)*(up_Irr!O24)),IF(AND(up_Irr!O24=".",up_Irr!AN24=".",up_Irr!BM24="."),up_dir!P24*1000)))))))),".")</f>
        <v>6.5773651144152123E-11</v>
      </c>
      <c r="Q24" s="76">
        <f>IFERROR(IF(AND(up_Irr!P24&lt;&gt;".",up_Irr!AO24&lt;&gt;".",up_Irr!BN24&lt;&gt;"."),up_dir!Q24/((1/1000)*(up_Irr!P24+up_Irr!AO24+up_Irr!BN24)),IF(AND(up_Irr!P24&lt;&gt;".",up_Irr!AO24&lt;&gt;".",up_Irr!BN24="."),up_dir!Q24/((1/1000)*(up_Irr!P24+up_Irr!AO24)),IF(AND(up_Irr!P24&lt;&gt;".",up_Irr!AO24=".",up_Irr!BN24&lt;&gt;"."),up_dir!Q24/((1/1000)*(up_Irr!P24+up_Irr!BN24)),IF(AND(up_Irr!P24=".",up_Irr!AO24&lt;&gt;".",up_Irr!BN24&lt;&gt;"."),up_dir!Q24/((1/1000)*(up_Irr!AO24+up_Irr!BN24)),IF(AND(up_Irr!P24=".",up_Irr!AO24=".",up_Irr!BN24&lt;&gt;"."),up_dir!Q24/((1/1000)*(up_Irr!BN24)),IF(AND(up_Irr!P24=".",up_Irr!AO24&lt;&gt;".",up_Irr!BN24="."),up_dir!Q24/((1/1000)*(up_Irr!AO24)),IF(AND(up_Irr!P24&lt;&gt;".",up_Irr!AO24=".",up_Irr!BN24="."),up_dir!Q24/((1/1000)*(up_Irr!P24)),IF(AND(up_Irr!P24=".",up_Irr!AO24=".",up_Irr!BN24="."),up_dir!Q24*1000)))))))),".")</f>
        <v>6.5773651144152123E-11</v>
      </c>
      <c r="R24" s="76">
        <f>IFERROR(IF(AND(up_Irr!Q24&lt;&gt;".",up_Irr!AP24&lt;&gt;".",up_Irr!BO24&lt;&gt;"."),up_dir!R24/((1/1000)*(up_Irr!Q24+up_Irr!AP24+up_Irr!BO24)),IF(AND(up_Irr!Q24&lt;&gt;".",up_Irr!AP24&lt;&gt;".",up_Irr!BO24="."),up_dir!R24/((1/1000)*(up_Irr!Q24+up_Irr!AP24)),IF(AND(up_Irr!Q24&lt;&gt;".",up_Irr!AP24=".",up_Irr!BO24&lt;&gt;"."),up_dir!R24/((1/1000)*(up_Irr!Q24+up_Irr!BO24)),IF(AND(up_Irr!Q24=".",up_Irr!AP24&lt;&gt;".",up_Irr!BO24&lt;&gt;"."),up_dir!R24/((1/1000)*(up_Irr!AP24+up_Irr!BO24)),IF(AND(up_Irr!Q24=".",up_Irr!AP24=".",up_Irr!BO24&lt;&gt;"."),up_dir!R24/((1/1000)*(up_Irr!BO24)),IF(AND(up_Irr!Q24=".",up_Irr!AP24&lt;&gt;".",up_Irr!BO24="."),up_dir!R24/((1/1000)*(up_Irr!AP24)),IF(AND(up_Irr!Q24&lt;&gt;".",up_Irr!AP24=".",up_Irr!BO24="."),up_dir!R24/((1/1000)*(up_Irr!Q24)),IF(AND(up_Irr!Q24=".",up_Irr!AP24=".",up_Irr!BO24="."),up_dir!R24*1000)))))))),".")</f>
        <v>6.5773651144152123E-11</v>
      </c>
      <c r="S24" s="76">
        <f>IFERROR(IF(AND(up_Irr!R24&lt;&gt;".",up_Irr!AQ24&lt;&gt;".",up_Irr!BP24&lt;&gt;"."),up_dir!S24/((1/1000)*(up_Irr!R24+up_Irr!AQ24+up_Irr!BP24)),IF(AND(up_Irr!R24&lt;&gt;".",up_Irr!AQ24&lt;&gt;".",up_Irr!BP24="."),up_dir!S24/((1/1000)*(up_Irr!R24+up_Irr!AQ24)),IF(AND(up_Irr!R24&lt;&gt;".",up_Irr!AQ24=".",up_Irr!BP24&lt;&gt;"."),up_dir!S24/((1/1000)*(up_Irr!R24+up_Irr!BP24)),IF(AND(up_Irr!R24=".",up_Irr!AQ24&lt;&gt;".",up_Irr!BP24&lt;&gt;"."),up_dir!S24/((1/1000)*(up_Irr!AQ24+up_Irr!BP24)),IF(AND(up_Irr!R24=".",up_Irr!AQ24=".",up_Irr!BP24&lt;&gt;"."),up_dir!S24/((1/1000)*(up_Irr!BP24)),IF(AND(up_Irr!R24=".",up_Irr!AQ24&lt;&gt;".",up_Irr!BP24="."),up_dir!S24/((1/1000)*(up_Irr!AQ24)),IF(AND(up_Irr!R24&lt;&gt;".",up_Irr!AQ24=".",up_Irr!BP24="."),up_dir!S24/((1/1000)*(up_Irr!R24)),IF(AND(up_Irr!R24=".",up_Irr!AQ24=".",up_Irr!BP24="."),up_dir!S24*1000)))))))),".")</f>
        <v>6.5773651144152123E-11</v>
      </c>
      <c r="T24" s="76">
        <f>IFERROR(IF(AND(up_Irr!S24&lt;&gt;".",up_Irr!AR24&lt;&gt;".",up_Irr!BQ24&lt;&gt;"."),up_dir!T24/((1/1000)*(up_Irr!S24+up_Irr!AR24+up_Irr!BQ24)),IF(AND(up_Irr!S24&lt;&gt;".",up_Irr!AR24&lt;&gt;".",up_Irr!BQ24="."),up_dir!T24/((1/1000)*(up_Irr!S24+up_Irr!AR24)),IF(AND(up_Irr!S24&lt;&gt;".",up_Irr!AR24=".",up_Irr!BQ24&lt;&gt;"."),up_dir!T24/((1/1000)*(up_Irr!S24+up_Irr!BQ24)),IF(AND(up_Irr!S24=".",up_Irr!AR24&lt;&gt;".",up_Irr!BQ24&lt;&gt;"."),up_dir!T24/((1/1000)*(up_Irr!AR24+up_Irr!BQ24)),IF(AND(up_Irr!S24=".",up_Irr!AR24=".",up_Irr!BQ24&lt;&gt;"."),up_dir!T24/((1/1000)*(up_Irr!BQ24)),IF(AND(up_Irr!S24=".",up_Irr!AR24&lt;&gt;".",up_Irr!BQ24="."),up_dir!T24/((1/1000)*(up_Irr!AR24)),IF(AND(up_Irr!S24&lt;&gt;".",up_Irr!AR24=".",up_Irr!BQ24="."),up_dir!T24/((1/1000)*(up_Irr!S24)),IF(AND(up_Irr!S24=".",up_Irr!AR24=".",up_Irr!BQ24="."),up_dir!T24*1000)))))))),".")</f>
        <v>6.5773651144152123E-11</v>
      </c>
      <c r="U24" s="76">
        <f>IFERROR(IF(AND(up_Irr!T24&lt;&gt;".",up_Irr!AS24&lt;&gt;".",up_Irr!BR24&lt;&gt;"."),up_dir!U24/((1/1000)*(up_Irr!T24+up_Irr!AS24+up_Irr!BR24)),IF(AND(up_Irr!T24&lt;&gt;".",up_Irr!AS24&lt;&gt;".",up_Irr!BR24="."),up_dir!U24/((1/1000)*(up_Irr!T24+up_Irr!AS24)),IF(AND(up_Irr!T24&lt;&gt;".",up_Irr!AS24=".",up_Irr!BR24&lt;&gt;"."),up_dir!U24/((1/1000)*(up_Irr!T24+up_Irr!BR24)),IF(AND(up_Irr!T24=".",up_Irr!AS24&lt;&gt;".",up_Irr!BR24&lt;&gt;"."),up_dir!U24/((1/1000)*(up_Irr!AS24+up_Irr!BR24)),IF(AND(up_Irr!T24=".",up_Irr!AS24=".",up_Irr!BR24&lt;&gt;"."),up_dir!U24/((1/1000)*(up_Irr!BR24)),IF(AND(up_Irr!T24=".",up_Irr!AS24&lt;&gt;".",up_Irr!BR24="."),up_dir!U24/((1/1000)*(up_Irr!AS24)),IF(AND(up_Irr!T24&lt;&gt;".",up_Irr!AS24=".",up_Irr!BR24="."),up_dir!U24/((1/1000)*(up_Irr!T24)),IF(AND(up_Irr!T24=".",up_Irr!AS24=".",up_Irr!BR24="."),up_dir!U24*1000)))))))),".")</f>
        <v>6.5773651144152123E-11</v>
      </c>
      <c r="V24" s="76">
        <f>IFERROR(IF(AND(up_Irr!U24&lt;&gt;".",up_Irr!AT24&lt;&gt;".",up_Irr!BS24&lt;&gt;"."),up_dir!V24/((1/1000)*(up_Irr!U24+up_Irr!AT24+up_Irr!BS24)),IF(AND(up_Irr!U24&lt;&gt;".",up_Irr!AT24&lt;&gt;".",up_Irr!BS24="."),up_dir!V24/((1/1000)*(up_Irr!U24+up_Irr!AT24)),IF(AND(up_Irr!U24&lt;&gt;".",up_Irr!AT24=".",up_Irr!BS24&lt;&gt;"."),up_dir!V24/((1/1000)*(up_Irr!U24+up_Irr!BS24)),IF(AND(up_Irr!U24=".",up_Irr!AT24&lt;&gt;".",up_Irr!BS24&lt;&gt;"."),up_dir!V24/((1/1000)*(up_Irr!AT24+up_Irr!BS24)),IF(AND(up_Irr!U24=".",up_Irr!AT24=".",up_Irr!BS24&lt;&gt;"."),up_dir!V24/((1/1000)*(up_Irr!BS24)),IF(AND(up_Irr!U24=".",up_Irr!AT24&lt;&gt;".",up_Irr!BS24="."),up_dir!V24/((1/1000)*(up_Irr!AT24)),IF(AND(up_Irr!U24&lt;&gt;".",up_Irr!AT24=".",up_Irr!BS24="."),up_dir!V24/((1/1000)*(up_Irr!U24)),IF(AND(up_Irr!U24=".",up_Irr!AT24=".",up_Irr!BS24="."),up_dir!V24*1000)))))))),".")</f>
        <v>6.5773651144152123E-11</v>
      </c>
      <c r="W24" s="76">
        <f>IFERROR(IF(AND(up_Irr!V24&lt;&gt;".",up_Irr!AU24&lt;&gt;".",up_Irr!BT24&lt;&gt;"."),up_dir!W24/((1/1000)*(up_Irr!V24+up_Irr!AU24+up_Irr!BT24)),IF(AND(up_Irr!V24&lt;&gt;".",up_Irr!AU24&lt;&gt;".",up_Irr!BT24="."),up_dir!W24/((1/1000)*(up_Irr!V24+up_Irr!AU24)),IF(AND(up_Irr!V24&lt;&gt;".",up_Irr!AU24=".",up_Irr!BT24&lt;&gt;"."),up_dir!W24/((1/1000)*(up_Irr!V24+up_Irr!BT24)),IF(AND(up_Irr!V24=".",up_Irr!AU24&lt;&gt;".",up_Irr!BT24&lt;&gt;"."),up_dir!W24/((1/1000)*(up_Irr!AU24+up_Irr!BT24)),IF(AND(up_Irr!V24=".",up_Irr!AU24=".",up_Irr!BT24&lt;&gt;"."),up_dir!W24/((1/1000)*(up_Irr!BT24)),IF(AND(up_Irr!V24=".",up_Irr!AU24&lt;&gt;".",up_Irr!BT24="."),up_dir!W24/((1/1000)*(up_Irr!AU24)),IF(AND(up_Irr!V24&lt;&gt;".",up_Irr!AU24=".",up_Irr!BT24="."),up_dir!W24/((1/1000)*(up_Irr!V24)),IF(AND(up_Irr!V24=".",up_Irr!AU24=".",up_Irr!BT24="."),up_dir!W24*1000)))))))),".")</f>
        <v>6.5773651144152123E-11</v>
      </c>
      <c r="X24" s="76">
        <f>IFERROR(IF(AND(up_Irr!W24&lt;&gt;".",up_Irr!AV24&lt;&gt;".",up_Irr!BU24&lt;&gt;"."),up_dir!X24/((1/1000)*(up_Irr!W24+up_Irr!AV24+up_Irr!BU24)),IF(AND(up_Irr!W24&lt;&gt;".",up_Irr!AV24&lt;&gt;".",up_Irr!BU24="."),up_dir!X24/((1/1000)*(up_Irr!W24+up_Irr!AV24)),IF(AND(up_Irr!W24&lt;&gt;".",up_Irr!AV24=".",up_Irr!BU24&lt;&gt;"."),up_dir!X24/((1/1000)*(up_Irr!W24+up_Irr!BU24)),IF(AND(up_Irr!W24=".",up_Irr!AV24&lt;&gt;".",up_Irr!BU24&lt;&gt;"."),up_dir!X24/((1/1000)*(up_Irr!AV24+up_Irr!BU24)),IF(AND(up_Irr!W24=".",up_Irr!AV24=".",up_Irr!BU24&lt;&gt;"."),up_dir!X24/((1/1000)*(up_Irr!BU24)),IF(AND(up_Irr!W24=".",up_Irr!AV24&lt;&gt;".",up_Irr!BU24="."),up_dir!X24/((1/1000)*(up_Irr!AV24)),IF(AND(up_Irr!W24&lt;&gt;".",up_Irr!AV24=".",up_Irr!BU24="."),up_dir!X24/((1/1000)*(up_Irr!W24)),IF(AND(up_Irr!W24=".",up_Irr!AV24=".",up_Irr!BU24="."),up_dir!X24*1000)))))))),".")</f>
        <v>6.5773651144152123E-11</v>
      </c>
      <c r="Y24" s="76">
        <f>IFERROR(IF(AND(up_Irr!X24&lt;&gt;".",up_Irr!AW24&lt;&gt;".",up_Irr!BV24&lt;&gt;"."),up_dir!Y24/((1/1000)*(up_Irr!X24+up_Irr!AW24+up_Irr!BV24)),IF(AND(up_Irr!X24&lt;&gt;".",up_Irr!AW24&lt;&gt;".",up_Irr!BV24="."),up_dir!Y24/((1/1000)*(up_Irr!X24+up_Irr!AW24)),IF(AND(up_Irr!X24&lt;&gt;".",up_Irr!AW24=".",up_Irr!BV24&lt;&gt;"."),up_dir!Y24/((1/1000)*(up_Irr!X24+up_Irr!BV24)),IF(AND(up_Irr!X24=".",up_Irr!AW24&lt;&gt;".",up_Irr!BV24&lt;&gt;"."),up_dir!Y24/((1/1000)*(up_Irr!AW24+up_Irr!BV24)),IF(AND(up_Irr!X24=".",up_Irr!AW24=".",up_Irr!BV24&lt;&gt;"."),up_dir!Y24/((1/1000)*(up_Irr!BV24)),IF(AND(up_Irr!X24=".",up_Irr!AW24&lt;&gt;".",up_Irr!BV24="."),up_dir!Y24/((1/1000)*(up_Irr!AW24)),IF(AND(up_Irr!X24&lt;&gt;".",up_Irr!AW24=".",up_Irr!BV24="."),up_dir!Y24/((1/1000)*(up_Irr!X24)),IF(AND(up_Irr!X24=".",up_Irr!AW24=".",up_Irr!BV24="."),up_dir!Y24*1000)))))))),".")</f>
        <v>6.5773651144152123E-11</v>
      </c>
      <c r="Z24" s="76">
        <f>IFERROR(IF(AND(up_Irr!Y24&lt;&gt;".",up_Irr!AX24&lt;&gt;".",up_Irr!BW24&lt;&gt;"."),up_dir!Z24/((1/1000)*(up_Irr!Y24+up_Irr!AX24+up_Irr!BW24)),IF(AND(up_Irr!Y24&lt;&gt;".",up_Irr!AX24&lt;&gt;".",up_Irr!BW24="."),up_dir!Z24/((1/1000)*(up_Irr!Y24+up_Irr!AX24)),IF(AND(up_Irr!Y24&lt;&gt;".",up_Irr!AX24=".",up_Irr!BW24&lt;&gt;"."),up_dir!Z24/((1/1000)*(up_Irr!Y24+up_Irr!BW24)),IF(AND(up_Irr!Y24=".",up_Irr!AX24&lt;&gt;".",up_Irr!BW24&lt;&gt;"."),up_dir!Z24/((1/1000)*(up_Irr!AX24+up_Irr!BW24)),IF(AND(up_Irr!Y24=".",up_Irr!AX24=".",up_Irr!BW24&lt;&gt;"."),up_dir!Z24/((1/1000)*(up_Irr!BW24)),IF(AND(up_Irr!Y24=".",up_Irr!AX24&lt;&gt;".",up_Irr!BW24="."),up_dir!Z24/((1/1000)*(up_Irr!AX24)),IF(AND(up_Irr!Y24&lt;&gt;".",up_Irr!AX24=".",up_Irr!BW24="."),up_dir!Z24/((1/1000)*(up_Irr!Y24)),IF(AND(up_Irr!Y24=".",up_Irr!AX24=".",up_Irr!BW24="."),up_dir!Z24*1000)))))))),".")</f>
        <v>6.5773651144152123E-11</v>
      </c>
      <c r="AA24" s="76">
        <f>IFERROR(IF(AND(up_Irr!Z24&lt;&gt;".",up_Irr!AY24&lt;&gt;".",up_Irr!BX24&lt;&gt;"."),up_dir!AA24/((1/1000)*(up_Irr!Z24+up_Irr!AY24+up_Irr!BX24)),IF(AND(up_Irr!Z24&lt;&gt;".",up_Irr!AY24&lt;&gt;".",up_Irr!BX24="."),up_dir!AA24/((1/1000)*(up_Irr!Z24+up_Irr!AY24)),IF(AND(up_Irr!Z24&lt;&gt;".",up_Irr!AY24=".",up_Irr!BX24&lt;&gt;"."),up_dir!AA24/((1/1000)*(up_Irr!Z24+up_Irr!BX24)),IF(AND(up_Irr!Z24=".",up_Irr!AY24&lt;&gt;".",up_Irr!BX24&lt;&gt;"."),up_dir!AA24/((1/1000)*(up_Irr!AY24+up_Irr!BX24)),IF(AND(up_Irr!Z24=".",up_Irr!AY24=".",up_Irr!BX24&lt;&gt;"."),up_dir!AA24/((1/1000)*(up_Irr!BX24)),IF(AND(up_Irr!Z24=".",up_Irr!AY24&lt;&gt;".",up_Irr!BX24="."),up_dir!AA24/((1/1000)*(up_Irr!AY24)),IF(AND(up_Irr!Z24&lt;&gt;".",up_Irr!AY24=".",up_Irr!BX24="."),up_dir!AA24/((1/1000)*(up_Irr!Z24)),IF(AND(up_Irr!Z24=".",up_Irr!AY24=".",up_Irr!BX24="."),up_dir!AA24*1000)))))))),".")</f>
        <v>6.5773651144152123E-11</v>
      </c>
      <c r="AB24" s="76">
        <f>IFERROR(IF(AND(up_Irr!AA24&lt;&gt;".",up_Irr!AZ24&lt;&gt;".",up_Irr!BY24&lt;&gt;"."),up_dir!AB24/((1/1000)*(up_Irr!AA24+up_Irr!AZ24+up_Irr!BY24)),IF(AND(up_Irr!AA24&lt;&gt;".",up_Irr!AZ24&lt;&gt;".",up_Irr!BY24="."),up_dir!AB24/((1/1000)*(up_Irr!AA24+up_Irr!AZ24)),IF(AND(up_Irr!AA24&lt;&gt;".",up_Irr!AZ24=".",up_Irr!BY24&lt;&gt;"."),up_dir!AB24/((1/1000)*(up_Irr!AA24+up_Irr!BY24)),IF(AND(up_Irr!AA24=".",up_Irr!AZ24&lt;&gt;".",up_Irr!BY24&lt;&gt;"."),up_dir!AB24/((1/1000)*(up_Irr!AZ24+up_Irr!BY24)),IF(AND(up_Irr!AA24=".",up_Irr!AZ24=".",up_Irr!BY24&lt;&gt;"."),up_dir!AB24/((1/1000)*(up_Irr!BY24)),IF(AND(up_Irr!AA24=".",up_Irr!AZ24&lt;&gt;".",up_Irr!BY24="."),up_dir!AB24/((1/1000)*(up_Irr!AZ24)),IF(AND(up_Irr!AA24&lt;&gt;".",up_Irr!AZ24=".",up_Irr!BY24="."),up_dir!AB24/((1/1000)*(up_Irr!AA24)),IF(AND(up_Irr!AA24=".",up_Irr!AZ24=".",up_Irr!BY24="."),up_dir!AB24*1000)))))))),".")</f>
        <v>6.5773651144152123E-11</v>
      </c>
      <c r="AC24" s="93">
        <f t="shared" si="1"/>
        <v>608146.26076229871</v>
      </c>
      <c r="AD24" s="93">
        <f>IFERROR(s_C*s_IFAP_res_adj*s_CF_apple*0.001*(up_Irr!C24+up_Irr!AB24+up_Irr!BA24),".")</f>
        <v>152036.56519057468</v>
      </c>
      <c r="AE24" s="93">
        <f>IFERROR(s_C*s_IFAS_res_adj*s_CF_asparagus*0.001*(up_Irr!D24+up_Irr!AC24+up_Irr!BB24),".")</f>
        <v>152036.56519057468</v>
      </c>
      <c r="AF24" s="93">
        <f>IFERROR(s_C*s_IFBT_res_adj*s_CF_beet*0.001*(up_Irr!E24+up_Irr!AD24+up_Irr!BC24),".")</f>
        <v>152036.56519057468</v>
      </c>
      <c r="AG24" s="93">
        <f>IFERROR(s_C*s_IFBE_res_adj*s_CF_berries*0.001*(up_Irr!F24+up_Irr!AE24+up_Irr!BD24),".")</f>
        <v>152036.56519057468</v>
      </c>
      <c r="AH24" s="93">
        <f>IFERROR(s_C*s_IFBR_res_adj*s_CF_broccoli*0.001*(up_Irr!G24+up_Irr!AF24+up_Irr!BE24),".")</f>
        <v>152036.56519057468</v>
      </c>
      <c r="AI24" s="93">
        <f>IFERROR(s_C*s_IFCB_res_adj*s_CF_cabbage*0.001*(up_Irr!H24+up_Irr!AG24+up_Irr!BF24),".")</f>
        <v>152036.56519057468</v>
      </c>
      <c r="AJ24" s="93">
        <f>IFERROR(s_C*s_IFCR_res_adj*s_CF_carrot*0.001*(up_Irr!I24+up_Irr!AH24+up_Irr!BG24),".")</f>
        <v>152036.56519057468</v>
      </c>
      <c r="AK24" s="93">
        <f>IFERROR(s_C*s_IFCI_res_adj*s_CF_citrus*0.001*(up_Irr!J24+up_Irr!AI24+up_Irr!BH24),".")</f>
        <v>152036.56519057468</v>
      </c>
      <c r="AL24" s="93">
        <f>IFERROR(s_C*s_IFCO_res_adj*s_CF_corn*0.001*(up_Irr!K24+up_Irr!AJ24+up_Irr!BI24),".")</f>
        <v>152036.56519057468</v>
      </c>
      <c r="AM24" s="93">
        <f>IFERROR(s_C*s_IFCU_res_adj*s_CF_cucumber*0.001*(up_Irr!L24+up_Irr!AK24+up_Irr!BJ24),".")</f>
        <v>152036.56519057468</v>
      </c>
      <c r="AN24" s="93">
        <f>IFERROR(s_C*s_IFLE_res_adj*s_CF_lettuce*0.001*(up_Irr!M24+up_Irr!AL24+up_Irr!BK24),".")</f>
        <v>152036.56519057468</v>
      </c>
      <c r="AO24" s="93">
        <f>IFERROR(s_C*s_IFLI_res_adj*s_CF_lima_bean*0.001*(up_Irr!N24+up_Irr!AM24+up_Irr!BL24),".")</f>
        <v>152036.56519057468</v>
      </c>
      <c r="AP24" s="93">
        <f>IFERROR(s_C*s_IFOK_res_adj*s_CF_okra*0.001*(up_Irr!O24+up_Irr!AN24+up_Irr!BM24),".")</f>
        <v>152036.56519057468</v>
      </c>
      <c r="AQ24" s="93">
        <f>IFERROR(s_C*s_IFON_res_adj*s_CF_onion*0.001*(up_Irr!P24+up_Irr!AO24+up_Irr!BN24),".")</f>
        <v>152036.56519057468</v>
      </c>
      <c r="AR24" s="93">
        <f>IFERROR(s_C*s_IFPC_res_adj*s_CF_peach*0.001*(up_Irr!Q24+up_Irr!AP24+up_Irr!BO24),".")</f>
        <v>152036.56519057468</v>
      </c>
      <c r="AS24" s="93">
        <f>IFERROR(s_C*s_IFPR_res_adj*s_CF_pear*0.001*(up_Irr!R24+up_Irr!AQ24+up_Irr!BP24),".")</f>
        <v>152036.56519057468</v>
      </c>
      <c r="AT24" s="93">
        <f>IFERROR(s_C*s_IFPE_res_adj*s_CF_peas*0.001*(up_Irr!S24+up_Irr!AR24+up_Irr!BQ24),".")</f>
        <v>152036.56519057468</v>
      </c>
      <c r="AU24" s="93">
        <f>IFERROR(s_C*s_IFPP_res_adj*s_CF_peppers*0.001*(up_Irr!T24+up_Irr!AS24+up_Irr!BR24),".")</f>
        <v>152036.56519057468</v>
      </c>
      <c r="AV24" s="93">
        <f>IFERROR(s_C*s_IFPT_res_adj*s_CF_potato*0.001*(up_Irr!U24+up_Irr!AT24+up_Irr!BS24),".")</f>
        <v>152036.56519057468</v>
      </c>
      <c r="AW24" s="93">
        <f>IFERROR(s_C*s_IFPU_res_adj*s_CF_pumpkin*0.001*(up_Irr!V24+up_Irr!AU24+up_Irr!BT24),".")</f>
        <v>152036.56519057468</v>
      </c>
      <c r="AX24" s="93">
        <f>IFERROR(s_C*s_IFSN_res_adj*s_CF_snap_bean*0.001*(up_Irr!W24+up_Irr!AV24+up_Irr!BU24),".")</f>
        <v>152036.56519057468</v>
      </c>
      <c r="AY24" s="93">
        <f>IFERROR(s_C*s_IFST_res_adj*s_CF_strawberry*0.001*(up_Irr!X24+up_Irr!AW24+up_Irr!BV24),".")</f>
        <v>152036.56519057468</v>
      </c>
      <c r="AZ24" s="93">
        <f>IFERROR(s_C*s_IFTO_res_adj*s_CF_tomato*0.001*(up_Irr!Y24+up_Irr!AX24+up_Irr!BW24),".")</f>
        <v>152036.56519057468</v>
      </c>
      <c r="BA24" s="93">
        <f>IFERROR(s_C*s_IFRI_res_adj*s_CF_rice*0.001*(up_Irr!Z24+up_Irr!AY24+up_Irr!BX24),".")</f>
        <v>152036.56519057468</v>
      </c>
      <c r="BB24" s="93">
        <f>IFERROR(s_C*s_IFCG_res_adj*s_CF_cereal*0.001*(up_Irr!AA24+up_Irr!AZ24+up_Irr!BY24),".")</f>
        <v>152036.56519057468</v>
      </c>
      <c r="BC24" s="76">
        <f t="shared" si="2"/>
        <v>1.6443412786038031E-11</v>
      </c>
      <c r="BD24" s="76">
        <f>IFERROR(IF(AND(up_Irr!C24&lt;&gt;".",up_Irr!AB24&lt;&gt;".",up_Irr!BA24&lt;&gt;"."),up_dir!AD24/((1/1000)*(up_Irr!C24+up_Irr!AB24+up_Irr!BA24)),IF(AND(up_Irr!C24&lt;&gt;".",up_Irr!AB24&lt;&gt;".",up_Irr!BA24="."),up_dir!AD24/((1/1000)*(up_Irr!C24+up_Irr!AB24)),IF(AND(up_Irr!C24&lt;&gt;".",up_Irr!AB24=".",up_Irr!BA24&lt;&gt;"."),up_dir!AD24/((1/1000)*(up_Irr!C24+up_Irr!BA24)),IF(AND(up_Irr!C24=".",up_Irr!AB24&lt;&gt;".",up_Irr!BA24&lt;&gt;"."),up_dir!AD24/((1/1000)*(up_Irr!AB24+up_Irr!BA24)),IF(AND(up_Irr!C24=".",up_Irr!AB24=".",up_Irr!BA24&lt;&gt;"."),up_dir!AD24/((1/1000)*(up_Irr!BA24)),IF(AND(up_Irr!C24=".",up_Irr!AB24&lt;&gt;".",up_Irr!BA24="."),up_dir!AD24/((1/1000)*(up_Irr!AB24)),IF(AND(up_Irr!C24&lt;&gt;".",up_Irr!AB24=".",up_Irr!BA24="."),up_dir!AD24/((1/1000)*(up_Irr!C24)),IF(AND(up_Irr!C24=".",up_Irr!AB24=".",up_Irr!BA24="."),up_dir!AD24*1000)))))))),".")</f>
        <v>6.5773651144152123E-11</v>
      </c>
      <c r="BE24" s="76">
        <f>IFERROR(IF(AND(up_Irr!D24&lt;&gt;".",up_Irr!AC24&lt;&gt;".",up_Irr!BB24&lt;&gt;"."),up_dir!AE24/((1/1000)*(up_Irr!D24+up_Irr!AC24+up_Irr!BB24)),IF(AND(up_Irr!D24&lt;&gt;".",up_Irr!AC24&lt;&gt;".",up_Irr!BB24="."),up_dir!AE24/((1/1000)*(up_Irr!D24+up_Irr!AC24)),IF(AND(up_Irr!D24&lt;&gt;".",up_Irr!AC24=".",up_Irr!BB24&lt;&gt;"."),up_dir!AE24/((1/1000)*(up_Irr!D24+up_Irr!BB24)),IF(AND(up_Irr!D24=".",up_Irr!AC24&lt;&gt;".",up_Irr!BB24&lt;&gt;"."),up_dir!AE24/((1/1000)*(up_Irr!AC24+up_Irr!BB24)),IF(AND(up_Irr!D24=".",up_Irr!AC24=".",up_Irr!BB24&lt;&gt;"."),up_dir!AE24/((1/1000)*(up_Irr!BB24)),IF(AND(up_Irr!D24=".",up_Irr!AC24&lt;&gt;".",up_Irr!BB24="."),up_dir!AE24/((1/1000)*(up_Irr!AC24)),IF(AND(up_Irr!D24&lt;&gt;".",up_Irr!AC24=".",up_Irr!BB24="."),up_dir!AE24/((1/1000)*(up_Irr!D24)),IF(AND(up_Irr!D24=".",up_Irr!AC24=".",up_Irr!BB24="."),up_dir!AE24*1000)))))))),".")</f>
        <v>6.5773651144152123E-11</v>
      </c>
      <c r="BF24" s="76">
        <f>IFERROR(IF(AND(up_Irr!E24&lt;&gt;".",up_Irr!AD24&lt;&gt;".",up_Irr!BC24&lt;&gt;"."),up_dir!AF24/((1/1000)*(up_Irr!E24+up_Irr!AD24+up_Irr!BC24)),IF(AND(up_Irr!E24&lt;&gt;".",up_Irr!AD24&lt;&gt;".",up_Irr!BC24="."),up_dir!AF24/((1/1000)*(up_Irr!E24+up_Irr!AD24)),IF(AND(up_Irr!E24&lt;&gt;".",up_Irr!AD24=".",up_Irr!BC24&lt;&gt;"."),up_dir!AF24/((1/1000)*(up_Irr!E24+up_Irr!BC24)),IF(AND(up_Irr!E24=".",up_Irr!AD24&lt;&gt;".",up_Irr!BC24&lt;&gt;"."),up_dir!AF24/((1/1000)*(up_Irr!AD24+up_Irr!BC24)),IF(AND(up_Irr!E24=".",up_Irr!AD24=".",up_Irr!BC24&lt;&gt;"."),up_dir!AF24/((1/1000)*(up_Irr!BC24)),IF(AND(up_Irr!E24=".",up_Irr!AD24&lt;&gt;".",up_Irr!BC24="."),up_dir!AF24/((1/1000)*(up_Irr!AD24)),IF(AND(up_Irr!E24&lt;&gt;".",up_Irr!AD24=".",up_Irr!BC24="."),up_dir!AF24/((1/1000)*(up_Irr!E24)),IF(AND(up_Irr!E24=".",up_Irr!AD24=".",up_Irr!BC24="."),up_dir!AF24*1000)))))))),".")</f>
        <v>6.5773651144152123E-11</v>
      </c>
      <c r="BG24" s="76">
        <f>IFERROR(IF(AND(up_Irr!F24&lt;&gt;".",up_Irr!AE24&lt;&gt;".",up_Irr!BD24&lt;&gt;"."),up_dir!AG24/((1/1000)*(up_Irr!F24+up_Irr!AE24+up_Irr!BD24)),IF(AND(up_Irr!F24&lt;&gt;".",up_Irr!AE24&lt;&gt;".",up_Irr!BD24="."),up_dir!AG24/((1/1000)*(up_Irr!F24+up_Irr!AE24)),IF(AND(up_Irr!F24&lt;&gt;".",up_Irr!AE24=".",up_Irr!BD24&lt;&gt;"."),up_dir!AG24/((1/1000)*(up_Irr!F24+up_Irr!BD24)),IF(AND(up_Irr!F24=".",up_Irr!AE24&lt;&gt;".",up_Irr!BD24&lt;&gt;"."),up_dir!AG24/((1/1000)*(up_Irr!AE24+up_Irr!BD24)),IF(AND(up_Irr!F24=".",up_Irr!AE24=".",up_Irr!BD24&lt;&gt;"."),up_dir!AG24/((1/1000)*(up_Irr!BD24)),IF(AND(up_Irr!F24=".",up_Irr!AE24&lt;&gt;".",up_Irr!BD24="."),up_dir!AG24/((1/1000)*(up_Irr!AE24)),IF(AND(up_Irr!F24&lt;&gt;".",up_Irr!AE24=".",up_Irr!BD24="."),up_dir!AG24/((1/1000)*(up_Irr!F24)),IF(AND(up_Irr!F24=".",up_Irr!AE24=".",up_Irr!BD24="."),up_dir!AG24*1000)))))))),".")</f>
        <v>6.5773651144152123E-11</v>
      </c>
      <c r="BH24" s="76">
        <f>IFERROR(IF(AND(up_Irr!G24&lt;&gt;".",up_Irr!AF24&lt;&gt;".",up_Irr!BE24&lt;&gt;"."),up_dir!AH24/((1/1000)*(up_Irr!G24+up_Irr!AF24+up_Irr!BE24)),IF(AND(up_Irr!G24&lt;&gt;".",up_Irr!AF24&lt;&gt;".",up_Irr!BE24="."),up_dir!AH24/((1/1000)*(up_Irr!G24+up_Irr!AF24)),IF(AND(up_Irr!G24&lt;&gt;".",up_Irr!AF24=".",up_Irr!BE24&lt;&gt;"."),up_dir!AH24/((1/1000)*(up_Irr!G24+up_Irr!BE24)),IF(AND(up_Irr!G24=".",up_Irr!AF24&lt;&gt;".",up_Irr!BE24&lt;&gt;"."),up_dir!AH24/((1/1000)*(up_Irr!AF24+up_Irr!BE24)),IF(AND(up_Irr!G24=".",up_Irr!AF24=".",up_Irr!BE24&lt;&gt;"."),up_dir!AH24/((1/1000)*(up_Irr!BE24)),IF(AND(up_Irr!G24=".",up_Irr!AF24&lt;&gt;".",up_Irr!BE24="."),up_dir!AH24/((1/1000)*(up_Irr!AF24)),IF(AND(up_Irr!G24&lt;&gt;".",up_Irr!AF24=".",up_Irr!BE24="."),up_dir!AH24/((1/1000)*(up_Irr!G24)),IF(AND(up_Irr!G24=".",up_Irr!AF24=".",up_Irr!BE24="."),up_dir!AH24*1000)))))))),".")</f>
        <v>6.5773651144152123E-11</v>
      </c>
      <c r="BI24" s="76">
        <f>IFERROR(IF(AND(up_Irr!H24&lt;&gt;".",up_Irr!AG24&lt;&gt;".",up_Irr!BF24&lt;&gt;"."),up_dir!AI24/((1/1000)*(up_Irr!H24+up_Irr!AG24+up_Irr!BF24)),IF(AND(up_Irr!H24&lt;&gt;".",up_Irr!AG24&lt;&gt;".",up_Irr!BF24="."),up_dir!AI24/((1/1000)*(up_Irr!H24+up_Irr!AG24)),IF(AND(up_Irr!H24&lt;&gt;".",up_Irr!AG24=".",up_Irr!BF24&lt;&gt;"."),up_dir!AI24/((1/1000)*(up_Irr!H24+up_Irr!BF24)),IF(AND(up_Irr!H24=".",up_Irr!AG24&lt;&gt;".",up_Irr!BF24&lt;&gt;"."),up_dir!AI24/((1/1000)*(up_Irr!AG24+up_Irr!BF24)),IF(AND(up_Irr!H24=".",up_Irr!AG24=".",up_Irr!BF24&lt;&gt;"."),up_dir!AI24/((1/1000)*(up_Irr!BF24)),IF(AND(up_Irr!H24=".",up_Irr!AG24&lt;&gt;".",up_Irr!BF24="."),up_dir!AI24/((1/1000)*(up_Irr!AG24)),IF(AND(up_Irr!H24&lt;&gt;".",up_Irr!AG24=".",up_Irr!BF24="."),up_dir!AI24/((1/1000)*(up_Irr!H24)),IF(AND(up_Irr!H24=".",up_Irr!AG24=".",up_Irr!BF24="."),up_dir!AI24*1000)))))))),".")</f>
        <v>6.5773651144152123E-11</v>
      </c>
      <c r="BJ24" s="76">
        <f>IFERROR(IF(AND(up_Irr!I24&lt;&gt;".",up_Irr!AH24&lt;&gt;".",up_Irr!BG24&lt;&gt;"."),up_dir!AJ24/((1/1000)*(up_Irr!I24+up_Irr!AH24+up_Irr!BG24)),IF(AND(up_Irr!I24&lt;&gt;".",up_Irr!AH24&lt;&gt;".",up_Irr!BG24="."),up_dir!AJ24/((1/1000)*(up_Irr!I24+up_Irr!AH24)),IF(AND(up_Irr!I24&lt;&gt;".",up_Irr!AH24=".",up_Irr!BG24&lt;&gt;"."),up_dir!AJ24/((1/1000)*(up_Irr!I24+up_Irr!BG24)),IF(AND(up_Irr!I24=".",up_Irr!AH24&lt;&gt;".",up_Irr!BG24&lt;&gt;"."),up_dir!AJ24/((1/1000)*(up_Irr!AH24+up_Irr!BG24)),IF(AND(up_Irr!I24=".",up_Irr!AH24=".",up_Irr!BG24&lt;&gt;"."),up_dir!AJ24/((1/1000)*(up_Irr!BG24)),IF(AND(up_Irr!I24=".",up_Irr!AH24&lt;&gt;".",up_Irr!BG24="."),up_dir!AJ24/((1/1000)*(up_Irr!AH24)),IF(AND(up_Irr!I24&lt;&gt;".",up_Irr!AH24=".",up_Irr!BG24="."),up_dir!AJ24/((1/1000)*(up_Irr!I24)),IF(AND(up_Irr!I24=".",up_Irr!AH24=".",up_Irr!BG24="."),up_dir!AJ24*1000)))))))),".")</f>
        <v>6.5773651144152123E-11</v>
      </c>
      <c r="BK24" s="76">
        <f>IFERROR(IF(AND(up_Irr!J24&lt;&gt;".",up_Irr!AI24&lt;&gt;".",up_Irr!BH24&lt;&gt;"."),up_dir!AK24/((1/1000)*(up_Irr!J24+up_Irr!AI24+up_Irr!BH24)),IF(AND(up_Irr!J24&lt;&gt;".",up_Irr!AI24&lt;&gt;".",up_Irr!BH24="."),up_dir!AK24/((1/1000)*(up_Irr!J24+up_Irr!AI24)),IF(AND(up_Irr!J24&lt;&gt;".",up_Irr!AI24=".",up_Irr!BH24&lt;&gt;"."),up_dir!AK24/((1/1000)*(up_Irr!J24+up_Irr!BH24)),IF(AND(up_Irr!J24=".",up_Irr!AI24&lt;&gt;".",up_Irr!BH24&lt;&gt;"."),up_dir!AK24/((1/1000)*(up_Irr!AI24+up_Irr!BH24)),IF(AND(up_Irr!J24=".",up_Irr!AI24=".",up_Irr!BH24&lt;&gt;"."),up_dir!AK24/((1/1000)*(up_Irr!BH24)),IF(AND(up_Irr!J24=".",up_Irr!AI24&lt;&gt;".",up_Irr!BH24="."),up_dir!AK24/((1/1000)*(up_Irr!AI24)),IF(AND(up_Irr!J24&lt;&gt;".",up_Irr!AI24=".",up_Irr!BH24="."),up_dir!AK24/((1/1000)*(up_Irr!J24)),IF(AND(up_Irr!J24=".",up_Irr!AI24=".",up_Irr!BH24="."),up_dir!AK24*1000)))))))),".")</f>
        <v>6.5773651144152123E-11</v>
      </c>
      <c r="BL24" s="76">
        <f>IFERROR(IF(AND(up_Irr!K24&lt;&gt;".",up_Irr!AJ24&lt;&gt;".",up_Irr!BI24&lt;&gt;"."),up_dir!AL24/((1/1000)*(up_Irr!K24+up_Irr!AJ24+up_Irr!BI24)),IF(AND(up_Irr!K24&lt;&gt;".",up_Irr!AJ24&lt;&gt;".",up_Irr!BI24="."),up_dir!AL24/((1/1000)*(up_Irr!K24+up_Irr!AJ24)),IF(AND(up_Irr!K24&lt;&gt;".",up_Irr!AJ24=".",up_Irr!BI24&lt;&gt;"."),up_dir!AL24/((1/1000)*(up_Irr!K24+up_Irr!BI24)),IF(AND(up_Irr!K24=".",up_Irr!AJ24&lt;&gt;".",up_Irr!BI24&lt;&gt;"."),up_dir!AL24/((1/1000)*(up_Irr!AJ24+up_Irr!BI24)),IF(AND(up_Irr!K24=".",up_Irr!AJ24=".",up_Irr!BI24&lt;&gt;"."),up_dir!AL24/((1/1000)*(up_Irr!BI24)),IF(AND(up_Irr!K24=".",up_Irr!AJ24&lt;&gt;".",up_Irr!BI24="."),up_dir!AL24/((1/1000)*(up_Irr!AJ24)),IF(AND(up_Irr!K24&lt;&gt;".",up_Irr!AJ24=".",up_Irr!BI24="."),up_dir!AL24/((1/1000)*(up_Irr!K24)),IF(AND(up_Irr!K24=".",up_Irr!AJ24=".",up_Irr!BI24="."),up_dir!AL24*1000)))))))),".")</f>
        <v>6.5773651144152123E-11</v>
      </c>
      <c r="BM24" s="76">
        <f>IFERROR(IF(AND(up_Irr!L24&lt;&gt;".",up_Irr!AK24&lt;&gt;".",up_Irr!BJ24&lt;&gt;"."),up_dir!AM24/((1/1000)*(up_Irr!L24+up_Irr!AK24+up_Irr!BJ24)),IF(AND(up_Irr!L24&lt;&gt;".",up_Irr!AK24&lt;&gt;".",up_Irr!BJ24="."),up_dir!AM24/((1/1000)*(up_Irr!L24+up_Irr!AK24)),IF(AND(up_Irr!L24&lt;&gt;".",up_Irr!AK24=".",up_Irr!BJ24&lt;&gt;"."),up_dir!AM24/((1/1000)*(up_Irr!L24+up_Irr!BJ24)),IF(AND(up_Irr!L24=".",up_Irr!AK24&lt;&gt;".",up_Irr!BJ24&lt;&gt;"."),up_dir!AM24/((1/1000)*(up_Irr!AK24+up_Irr!BJ24)),IF(AND(up_Irr!L24=".",up_Irr!AK24=".",up_Irr!BJ24&lt;&gt;"."),up_dir!AM24/((1/1000)*(up_Irr!BJ24)),IF(AND(up_Irr!L24=".",up_Irr!AK24&lt;&gt;".",up_Irr!BJ24="."),up_dir!AM24/((1/1000)*(up_Irr!AK24)),IF(AND(up_Irr!L24&lt;&gt;".",up_Irr!AK24=".",up_Irr!BJ24="."),up_dir!AM24/((1/1000)*(up_Irr!L24)),IF(AND(up_Irr!L24=".",up_Irr!AK24=".",up_Irr!BJ24="."),up_dir!AM24*1000)))))))),".")</f>
        <v>6.5773651144152123E-11</v>
      </c>
      <c r="BN24" s="76">
        <f>IFERROR(IF(AND(up_Irr!M24&lt;&gt;".",up_Irr!AL24&lt;&gt;".",up_Irr!BK24&lt;&gt;"."),up_dir!AN24/((1/1000)*(up_Irr!M24+up_Irr!AL24+up_Irr!BK24)),IF(AND(up_Irr!M24&lt;&gt;".",up_Irr!AL24&lt;&gt;".",up_Irr!BK24="."),up_dir!AN24/((1/1000)*(up_Irr!M24+up_Irr!AL24)),IF(AND(up_Irr!M24&lt;&gt;".",up_Irr!AL24=".",up_Irr!BK24&lt;&gt;"."),up_dir!AN24/((1/1000)*(up_Irr!M24+up_Irr!BK24)),IF(AND(up_Irr!M24=".",up_Irr!AL24&lt;&gt;".",up_Irr!BK24&lt;&gt;"."),up_dir!AN24/((1/1000)*(up_Irr!AL24+up_Irr!BK24)),IF(AND(up_Irr!M24=".",up_Irr!AL24=".",up_Irr!BK24&lt;&gt;"."),up_dir!AN24/((1/1000)*(up_Irr!BK24)),IF(AND(up_Irr!M24=".",up_Irr!AL24&lt;&gt;".",up_Irr!BK24="."),up_dir!AN24/((1/1000)*(up_Irr!AL24)),IF(AND(up_Irr!M24&lt;&gt;".",up_Irr!AL24=".",up_Irr!BK24="."),up_dir!AN24/((1/1000)*(up_Irr!M24)),IF(AND(up_Irr!M24=".",up_Irr!AL24=".",up_Irr!BK24="."),up_dir!AN24*1000)))))))),".")</f>
        <v>6.5773651144152123E-11</v>
      </c>
      <c r="BO24" s="76">
        <f>IFERROR(IF(AND(up_Irr!N24&lt;&gt;".",up_Irr!AM24&lt;&gt;".",up_Irr!BL24&lt;&gt;"."),up_dir!AO24/((1/1000)*(up_Irr!N24+up_Irr!AM24+up_Irr!BL24)),IF(AND(up_Irr!N24&lt;&gt;".",up_Irr!AM24&lt;&gt;".",up_Irr!BL24="."),up_dir!AO24/((1/1000)*(up_Irr!N24+up_Irr!AM24)),IF(AND(up_Irr!N24&lt;&gt;".",up_Irr!AM24=".",up_Irr!BL24&lt;&gt;"."),up_dir!AO24/((1/1000)*(up_Irr!N24+up_Irr!BL24)),IF(AND(up_Irr!N24=".",up_Irr!AM24&lt;&gt;".",up_Irr!BL24&lt;&gt;"."),up_dir!AO24/((1/1000)*(up_Irr!AM24+up_Irr!BL24)),IF(AND(up_Irr!N24=".",up_Irr!AM24=".",up_Irr!BL24&lt;&gt;"."),up_dir!AO24/((1/1000)*(up_Irr!BL24)),IF(AND(up_Irr!N24=".",up_Irr!AM24&lt;&gt;".",up_Irr!BL24="."),up_dir!AO24/((1/1000)*(up_Irr!AM24)),IF(AND(up_Irr!N24&lt;&gt;".",up_Irr!AM24=".",up_Irr!BL24="."),up_dir!AO24/((1/1000)*(up_Irr!N24)),IF(AND(up_Irr!N24=".",up_Irr!AM24=".",up_Irr!BL24="."),up_dir!AO24*1000)))))))),".")</f>
        <v>6.5773651144152123E-11</v>
      </c>
      <c r="BP24" s="76">
        <f>IFERROR(IF(AND(up_Irr!O24&lt;&gt;".",up_Irr!AN24&lt;&gt;".",up_Irr!BM24&lt;&gt;"."),up_dir!AP24/((1/1000)*(up_Irr!O24+up_Irr!AN24+up_Irr!BM24)),IF(AND(up_Irr!O24&lt;&gt;".",up_Irr!AN24&lt;&gt;".",up_Irr!BM24="."),up_dir!AP24/((1/1000)*(up_Irr!O24+up_Irr!AN24)),IF(AND(up_Irr!O24&lt;&gt;".",up_Irr!AN24=".",up_Irr!BM24&lt;&gt;"."),up_dir!AP24/((1/1000)*(up_Irr!O24+up_Irr!BM24)),IF(AND(up_Irr!O24=".",up_Irr!AN24&lt;&gt;".",up_Irr!BM24&lt;&gt;"."),up_dir!AP24/((1/1000)*(up_Irr!AN24+up_Irr!BM24)),IF(AND(up_Irr!O24=".",up_Irr!AN24=".",up_Irr!BM24&lt;&gt;"."),up_dir!AP24/((1/1000)*(up_Irr!BM24)),IF(AND(up_Irr!O24=".",up_Irr!AN24&lt;&gt;".",up_Irr!BM24="."),up_dir!AP24/((1/1000)*(up_Irr!AN24)),IF(AND(up_Irr!O24&lt;&gt;".",up_Irr!AN24=".",up_Irr!BM24="."),up_dir!AP24/((1/1000)*(up_Irr!O24)),IF(AND(up_Irr!O24=".",up_Irr!AN24=".",up_Irr!BM24="."),up_dir!AP24*1000)))))))),".")</f>
        <v>6.5773651144152123E-11</v>
      </c>
      <c r="BQ24" s="76">
        <f>IFERROR(IF(AND(up_Irr!P24&lt;&gt;".",up_Irr!AO24&lt;&gt;".",up_Irr!BN24&lt;&gt;"."),up_dir!AQ24/((1/1000)*(up_Irr!P24+up_Irr!AO24+up_Irr!BN24)),IF(AND(up_Irr!P24&lt;&gt;".",up_Irr!AO24&lt;&gt;".",up_Irr!BN24="."),up_dir!AQ24/((1/1000)*(up_Irr!P24+up_Irr!AO24)),IF(AND(up_Irr!P24&lt;&gt;".",up_Irr!AO24=".",up_Irr!BN24&lt;&gt;"."),up_dir!AQ24/((1/1000)*(up_Irr!P24+up_Irr!BN24)),IF(AND(up_Irr!P24=".",up_Irr!AO24&lt;&gt;".",up_Irr!BN24&lt;&gt;"."),up_dir!AQ24/((1/1000)*(up_Irr!AO24+up_Irr!BN24)),IF(AND(up_Irr!P24=".",up_Irr!AO24=".",up_Irr!BN24&lt;&gt;"."),up_dir!AQ24/((1/1000)*(up_Irr!BN24)),IF(AND(up_Irr!P24=".",up_Irr!AO24&lt;&gt;".",up_Irr!BN24="."),up_dir!AQ24/((1/1000)*(up_Irr!AO24)),IF(AND(up_Irr!P24&lt;&gt;".",up_Irr!AO24=".",up_Irr!BN24="."),up_dir!AQ24/((1/1000)*(up_Irr!P24)),IF(AND(up_Irr!P24=".",up_Irr!AO24=".",up_Irr!BN24="."),up_dir!AQ24*1000)))))))),".")</f>
        <v>6.5773651144152123E-11</v>
      </c>
      <c r="BR24" s="76">
        <f>IFERROR(IF(AND(up_Irr!Q24&lt;&gt;".",up_Irr!AP24&lt;&gt;".",up_Irr!BO24&lt;&gt;"."),up_dir!AR24/((1/1000)*(up_Irr!Q24+up_Irr!AP24+up_Irr!BO24)),IF(AND(up_Irr!Q24&lt;&gt;".",up_Irr!AP24&lt;&gt;".",up_Irr!BO24="."),up_dir!AR24/((1/1000)*(up_Irr!Q24+up_Irr!AP24)),IF(AND(up_Irr!Q24&lt;&gt;".",up_Irr!AP24=".",up_Irr!BO24&lt;&gt;"."),up_dir!AR24/((1/1000)*(up_Irr!Q24+up_Irr!BO24)),IF(AND(up_Irr!Q24=".",up_Irr!AP24&lt;&gt;".",up_Irr!BO24&lt;&gt;"."),up_dir!AR24/((1/1000)*(up_Irr!AP24+up_Irr!BO24)),IF(AND(up_Irr!Q24=".",up_Irr!AP24=".",up_Irr!BO24&lt;&gt;"."),up_dir!AR24/((1/1000)*(up_Irr!BO24)),IF(AND(up_Irr!Q24=".",up_Irr!AP24&lt;&gt;".",up_Irr!BO24="."),up_dir!AR24/((1/1000)*(up_Irr!AP24)),IF(AND(up_Irr!Q24&lt;&gt;".",up_Irr!AP24=".",up_Irr!BO24="."),up_dir!AR24/((1/1000)*(up_Irr!Q24)),IF(AND(up_Irr!Q24=".",up_Irr!AP24=".",up_Irr!BO24="."),up_dir!AR24*1000)))))))),".")</f>
        <v>6.5773651144152123E-11</v>
      </c>
      <c r="BS24" s="76">
        <f>IFERROR(IF(AND(up_Irr!R24&lt;&gt;".",up_Irr!AQ24&lt;&gt;".",up_Irr!BP24&lt;&gt;"."),up_dir!AS24/((1/1000)*(up_Irr!R24+up_Irr!AQ24+up_Irr!BP24)),IF(AND(up_Irr!R24&lt;&gt;".",up_Irr!AQ24&lt;&gt;".",up_Irr!BP24="."),up_dir!AS24/((1/1000)*(up_Irr!R24+up_Irr!AQ24)),IF(AND(up_Irr!R24&lt;&gt;".",up_Irr!AQ24=".",up_Irr!BP24&lt;&gt;"."),up_dir!AS24/((1/1000)*(up_Irr!R24+up_Irr!BP24)),IF(AND(up_Irr!R24=".",up_Irr!AQ24&lt;&gt;".",up_Irr!BP24&lt;&gt;"."),up_dir!AS24/((1/1000)*(up_Irr!AQ24+up_Irr!BP24)),IF(AND(up_Irr!R24=".",up_Irr!AQ24=".",up_Irr!BP24&lt;&gt;"."),up_dir!AS24/((1/1000)*(up_Irr!BP24)),IF(AND(up_Irr!R24=".",up_Irr!AQ24&lt;&gt;".",up_Irr!BP24="."),up_dir!AS24/((1/1000)*(up_Irr!AQ24)),IF(AND(up_Irr!R24&lt;&gt;".",up_Irr!AQ24=".",up_Irr!BP24="."),up_dir!AS24/((1/1000)*(up_Irr!R24)),IF(AND(up_Irr!R24=".",up_Irr!AQ24=".",up_Irr!BP24="."),up_dir!AS24*1000)))))))),".")</f>
        <v>6.5773651144152123E-11</v>
      </c>
      <c r="BT24" s="76">
        <f>IFERROR(IF(AND(up_Irr!S24&lt;&gt;".",up_Irr!AR24&lt;&gt;".",up_Irr!BQ24&lt;&gt;"."),up_dir!AT24/((1/1000)*(up_Irr!S24+up_Irr!AR24+up_Irr!BQ24)),IF(AND(up_Irr!S24&lt;&gt;".",up_Irr!AR24&lt;&gt;".",up_Irr!BQ24="."),up_dir!AT24/((1/1000)*(up_Irr!S24+up_Irr!AR24)),IF(AND(up_Irr!S24&lt;&gt;".",up_Irr!AR24=".",up_Irr!BQ24&lt;&gt;"."),up_dir!AT24/((1/1000)*(up_Irr!S24+up_Irr!BQ24)),IF(AND(up_Irr!S24=".",up_Irr!AR24&lt;&gt;".",up_Irr!BQ24&lt;&gt;"."),up_dir!AT24/((1/1000)*(up_Irr!AR24+up_Irr!BQ24)),IF(AND(up_Irr!S24=".",up_Irr!AR24=".",up_Irr!BQ24&lt;&gt;"."),up_dir!AT24/((1/1000)*(up_Irr!BQ24)),IF(AND(up_Irr!S24=".",up_Irr!AR24&lt;&gt;".",up_Irr!BQ24="."),up_dir!AT24/((1/1000)*(up_Irr!AR24)),IF(AND(up_Irr!S24&lt;&gt;".",up_Irr!AR24=".",up_Irr!BQ24="."),up_dir!AT24/((1/1000)*(up_Irr!S24)),IF(AND(up_Irr!S24=".",up_Irr!AR24=".",up_Irr!BQ24="."),up_dir!AT24*1000)))))))),".")</f>
        <v>6.5773651144152123E-11</v>
      </c>
      <c r="BU24" s="76">
        <f>IFERROR(IF(AND(up_Irr!T24&lt;&gt;".",up_Irr!AS24&lt;&gt;".",up_Irr!BR24&lt;&gt;"."),up_dir!AU24/((1/1000)*(up_Irr!T24+up_Irr!AS24+up_Irr!BR24)),IF(AND(up_Irr!T24&lt;&gt;".",up_Irr!AS24&lt;&gt;".",up_Irr!BR24="."),up_dir!AU24/((1/1000)*(up_Irr!T24+up_Irr!AS24)),IF(AND(up_Irr!T24&lt;&gt;".",up_Irr!AS24=".",up_Irr!BR24&lt;&gt;"."),up_dir!AU24/((1/1000)*(up_Irr!T24+up_Irr!BR24)),IF(AND(up_Irr!T24=".",up_Irr!AS24&lt;&gt;".",up_Irr!BR24&lt;&gt;"."),up_dir!AU24/((1/1000)*(up_Irr!AS24+up_Irr!BR24)),IF(AND(up_Irr!T24=".",up_Irr!AS24=".",up_Irr!BR24&lt;&gt;"."),up_dir!AU24/((1/1000)*(up_Irr!BR24)),IF(AND(up_Irr!T24=".",up_Irr!AS24&lt;&gt;".",up_Irr!BR24="."),up_dir!AU24/((1/1000)*(up_Irr!AS24)),IF(AND(up_Irr!T24&lt;&gt;".",up_Irr!AS24=".",up_Irr!BR24="."),up_dir!AU24/((1/1000)*(up_Irr!T24)),IF(AND(up_Irr!T24=".",up_Irr!AS24=".",up_Irr!BR24="."),up_dir!AU24*1000)))))))),".")</f>
        <v>6.5773651144152123E-11</v>
      </c>
      <c r="BV24" s="76">
        <f>IFERROR(IF(AND(up_Irr!U24&lt;&gt;".",up_Irr!AT24&lt;&gt;".",up_Irr!BS24&lt;&gt;"."),up_dir!AV24/((1/1000)*(up_Irr!U24+up_Irr!AT24+up_Irr!BS24)),IF(AND(up_Irr!U24&lt;&gt;".",up_Irr!AT24&lt;&gt;".",up_Irr!BS24="."),up_dir!AV24/((1/1000)*(up_Irr!U24+up_Irr!AT24)),IF(AND(up_Irr!U24&lt;&gt;".",up_Irr!AT24=".",up_Irr!BS24&lt;&gt;"."),up_dir!AV24/((1/1000)*(up_Irr!U24+up_Irr!BS24)),IF(AND(up_Irr!U24=".",up_Irr!AT24&lt;&gt;".",up_Irr!BS24&lt;&gt;"."),up_dir!AV24/((1/1000)*(up_Irr!AT24+up_Irr!BS24)),IF(AND(up_Irr!U24=".",up_Irr!AT24=".",up_Irr!BS24&lt;&gt;"."),up_dir!AV24/((1/1000)*(up_Irr!BS24)),IF(AND(up_Irr!U24=".",up_Irr!AT24&lt;&gt;".",up_Irr!BS24="."),up_dir!AV24/((1/1000)*(up_Irr!AT24)),IF(AND(up_Irr!U24&lt;&gt;".",up_Irr!AT24=".",up_Irr!BS24="."),up_dir!AV24/((1/1000)*(up_Irr!U24)),IF(AND(up_Irr!U24=".",up_Irr!AT24=".",up_Irr!BS24="."),up_dir!AV24*1000)))))))),".")</f>
        <v>6.5773651144152123E-11</v>
      </c>
      <c r="BW24" s="76">
        <f>IFERROR(IF(AND(up_Irr!V24&lt;&gt;".",up_Irr!AU24&lt;&gt;".",up_Irr!BT24&lt;&gt;"."),up_dir!AW24/((1/1000)*(up_Irr!V24+up_Irr!AU24+up_Irr!BT24)),IF(AND(up_Irr!V24&lt;&gt;".",up_Irr!AU24&lt;&gt;".",up_Irr!BT24="."),up_dir!AW24/((1/1000)*(up_Irr!V24+up_Irr!AU24)),IF(AND(up_Irr!V24&lt;&gt;".",up_Irr!AU24=".",up_Irr!BT24&lt;&gt;"."),up_dir!AW24/((1/1000)*(up_Irr!V24+up_Irr!BT24)),IF(AND(up_Irr!V24=".",up_Irr!AU24&lt;&gt;".",up_Irr!BT24&lt;&gt;"."),up_dir!AW24/((1/1000)*(up_Irr!AU24+up_Irr!BT24)),IF(AND(up_Irr!V24=".",up_Irr!AU24=".",up_Irr!BT24&lt;&gt;"."),up_dir!AW24/((1/1000)*(up_Irr!BT24)),IF(AND(up_Irr!V24=".",up_Irr!AU24&lt;&gt;".",up_Irr!BT24="."),up_dir!AW24/((1/1000)*(up_Irr!AU24)),IF(AND(up_Irr!V24&lt;&gt;".",up_Irr!AU24=".",up_Irr!BT24="."),up_dir!AW24/((1/1000)*(up_Irr!V24)),IF(AND(up_Irr!V24=".",up_Irr!AU24=".",up_Irr!BT24="."),up_dir!AW24*1000)))))))),".")</f>
        <v>6.5773651144152123E-11</v>
      </c>
      <c r="BX24" s="76">
        <f>IFERROR(IF(AND(up_Irr!W24&lt;&gt;".",up_Irr!AV24&lt;&gt;".",up_Irr!BU24&lt;&gt;"."),up_dir!AX24/((1/1000)*(up_Irr!W24+up_Irr!AV24+up_Irr!BU24)),IF(AND(up_Irr!W24&lt;&gt;".",up_Irr!AV24&lt;&gt;".",up_Irr!BU24="."),up_dir!AX24/((1/1000)*(up_Irr!W24+up_Irr!AV24)),IF(AND(up_Irr!W24&lt;&gt;".",up_Irr!AV24=".",up_Irr!BU24&lt;&gt;"."),up_dir!AX24/((1/1000)*(up_Irr!W24+up_Irr!BU24)),IF(AND(up_Irr!W24=".",up_Irr!AV24&lt;&gt;".",up_Irr!BU24&lt;&gt;"."),up_dir!AX24/((1/1000)*(up_Irr!AV24+up_Irr!BU24)),IF(AND(up_Irr!W24=".",up_Irr!AV24=".",up_Irr!BU24&lt;&gt;"."),up_dir!AX24/((1/1000)*(up_Irr!BU24)),IF(AND(up_Irr!W24=".",up_Irr!AV24&lt;&gt;".",up_Irr!BU24="."),up_dir!AX24/((1/1000)*(up_Irr!AV24)),IF(AND(up_Irr!W24&lt;&gt;".",up_Irr!AV24=".",up_Irr!BU24="."),up_dir!AX24/((1/1000)*(up_Irr!W24)),IF(AND(up_Irr!W24=".",up_Irr!AV24=".",up_Irr!BU24="."),up_dir!AX24*1000)))))))),".")</f>
        <v>6.5773651144152123E-11</v>
      </c>
      <c r="BY24" s="76">
        <f>IFERROR(IF(AND(up_Irr!X24&lt;&gt;".",up_Irr!AW24&lt;&gt;".",up_Irr!BV24&lt;&gt;"."),up_dir!AY24/((1/1000)*(up_Irr!X24+up_Irr!AW24+up_Irr!BV24)),IF(AND(up_Irr!X24&lt;&gt;".",up_Irr!AW24&lt;&gt;".",up_Irr!BV24="."),up_dir!AY24/((1/1000)*(up_Irr!X24+up_Irr!AW24)),IF(AND(up_Irr!X24&lt;&gt;".",up_Irr!AW24=".",up_Irr!BV24&lt;&gt;"."),up_dir!AY24/((1/1000)*(up_Irr!X24+up_Irr!BV24)),IF(AND(up_Irr!X24=".",up_Irr!AW24&lt;&gt;".",up_Irr!BV24&lt;&gt;"."),up_dir!AY24/((1/1000)*(up_Irr!AW24+up_Irr!BV24)),IF(AND(up_Irr!X24=".",up_Irr!AW24=".",up_Irr!BV24&lt;&gt;"."),up_dir!AY24/((1/1000)*(up_Irr!BV24)),IF(AND(up_Irr!X24=".",up_Irr!AW24&lt;&gt;".",up_Irr!BV24="."),up_dir!AY24/((1/1000)*(up_Irr!AW24)),IF(AND(up_Irr!X24&lt;&gt;".",up_Irr!AW24=".",up_Irr!BV24="."),up_dir!AY24/((1/1000)*(up_Irr!X24)),IF(AND(up_Irr!X24=".",up_Irr!AW24=".",up_Irr!BV24="."),up_dir!AY24*1000)))))))),".")</f>
        <v>6.5773651144152123E-11</v>
      </c>
      <c r="BZ24" s="76">
        <f>IFERROR(IF(AND(up_Irr!Y24&lt;&gt;".",up_Irr!AX24&lt;&gt;".",up_Irr!BW24&lt;&gt;"."),up_dir!AZ24/((1/1000)*(up_Irr!Y24+up_Irr!AX24+up_Irr!BW24)),IF(AND(up_Irr!Y24&lt;&gt;".",up_Irr!AX24&lt;&gt;".",up_Irr!BW24="."),up_dir!AZ24/((1/1000)*(up_Irr!Y24+up_Irr!AX24)),IF(AND(up_Irr!Y24&lt;&gt;".",up_Irr!AX24=".",up_Irr!BW24&lt;&gt;"."),up_dir!AZ24/((1/1000)*(up_Irr!Y24+up_Irr!BW24)),IF(AND(up_Irr!Y24=".",up_Irr!AX24&lt;&gt;".",up_Irr!BW24&lt;&gt;"."),up_dir!AZ24/((1/1000)*(up_Irr!AX24+up_Irr!BW24)),IF(AND(up_Irr!Y24=".",up_Irr!AX24=".",up_Irr!BW24&lt;&gt;"."),up_dir!AZ24/((1/1000)*(up_Irr!BW24)),IF(AND(up_Irr!Y24=".",up_Irr!AX24&lt;&gt;".",up_Irr!BW24="."),up_dir!AZ24/((1/1000)*(up_Irr!AX24)),IF(AND(up_Irr!Y24&lt;&gt;".",up_Irr!AX24=".",up_Irr!BW24="."),up_dir!AZ24/((1/1000)*(up_Irr!Y24)),IF(AND(up_Irr!Y24=".",up_Irr!AX24=".",up_Irr!BW24="."),up_dir!AZ24*1000)))))))),".")</f>
        <v>6.5773651144152123E-11</v>
      </c>
      <c r="CA24" s="76">
        <f>IFERROR(IF(AND(up_Irr!Z24&lt;&gt;".",up_Irr!AY24&lt;&gt;".",up_Irr!BX24&lt;&gt;"."),up_dir!BA24/((1/1000)*(up_Irr!Z24+up_Irr!AY24+up_Irr!BX24)),IF(AND(up_Irr!Z24&lt;&gt;".",up_Irr!AY24&lt;&gt;".",up_Irr!BX24="."),up_dir!BA24/((1/1000)*(up_Irr!Z24+up_Irr!AY24)),IF(AND(up_Irr!Z24&lt;&gt;".",up_Irr!AY24=".",up_Irr!BX24&lt;&gt;"."),up_dir!BA24/((1/1000)*(up_Irr!Z24+up_Irr!BX24)),IF(AND(up_Irr!Z24=".",up_Irr!AY24&lt;&gt;".",up_Irr!BX24&lt;&gt;"."),up_dir!BA24/((1/1000)*(up_Irr!AY24+up_Irr!BX24)),IF(AND(up_Irr!Z24=".",up_Irr!AY24=".",up_Irr!BX24&lt;&gt;"."),up_dir!BA24/((1/1000)*(up_Irr!BX24)),IF(AND(up_Irr!Z24=".",up_Irr!AY24&lt;&gt;".",up_Irr!BX24="."),up_dir!BA24/((1/1000)*(up_Irr!AY24)),IF(AND(up_Irr!Z24&lt;&gt;".",up_Irr!AY24=".",up_Irr!BX24="."),up_dir!BA24/((1/1000)*(up_Irr!Z24)),IF(AND(up_Irr!Z24=".",up_Irr!AY24=".",up_Irr!BX24="."),up_dir!BA24*1000)))))))),".")</f>
        <v>6.5773651144152123E-11</v>
      </c>
      <c r="CB24" s="76">
        <f>IFERROR(IF(AND(up_Irr!AA24&lt;&gt;".",up_Irr!AZ24&lt;&gt;".",up_Irr!BY24&lt;&gt;"."),up_dir!BB24/((1/1000)*(up_Irr!AA24+up_Irr!AZ24+up_Irr!BY24)),IF(AND(up_Irr!AA24&lt;&gt;".",up_Irr!AZ24&lt;&gt;".",up_Irr!BY24="."),up_dir!BB24/((1/1000)*(up_Irr!AA24+up_Irr!AZ24)),IF(AND(up_Irr!AA24&lt;&gt;".",up_Irr!AZ24=".",up_Irr!BY24&lt;&gt;"."),up_dir!BB24/((1/1000)*(up_Irr!AA24+up_Irr!BY24)),IF(AND(up_Irr!AA24=".",up_Irr!AZ24&lt;&gt;".",up_Irr!BY24&lt;&gt;"."),up_dir!BB24/((1/1000)*(up_Irr!AZ24+up_Irr!BY24)),IF(AND(up_Irr!AA24=".",up_Irr!AZ24=".",up_Irr!BY24&lt;&gt;"."),up_dir!BB24/((1/1000)*(up_Irr!BY24)),IF(AND(up_Irr!AA24=".",up_Irr!AZ24&lt;&gt;".",up_Irr!BY24="."),up_dir!BB24/((1/1000)*(up_Irr!AZ24)),IF(AND(up_Irr!AA24&lt;&gt;".",up_Irr!AZ24=".",up_Irr!BY24="."),up_dir!BB24/((1/1000)*(up_Irr!AA24)),IF(AND(up_Irr!AA24=".",up_Irr!AZ24=".",up_Irr!BY24="."),up_dir!BB24*1000)))))))),".")</f>
        <v>6.5773651144152123E-11</v>
      </c>
      <c r="CC24" s="93">
        <f t="shared" si="3"/>
        <v>608146.26076229871</v>
      </c>
      <c r="CD24" s="93">
        <f>IFERROR(s_C*s_IFAP_far_adj*s_CF_apple*(1/1000)*(up_Irr!C24+up_Irr!AB24+up_Irr!BA24),".")</f>
        <v>152036.56519057468</v>
      </c>
      <c r="CE24" s="93">
        <f>IFERROR(s_C*s_IFAS_far_adj*s_CF_asparagus*(1/1000)*(up_Irr!D24+up_Irr!AC24+up_Irr!BB24),".")</f>
        <v>152036.56519057468</v>
      </c>
      <c r="CF24" s="93">
        <f>IFERROR(s_C*s_IFBT_far_adj*s_CF_beet*(1/1000)*(up_Irr!E24+up_Irr!AD24+up_Irr!BC24),".")</f>
        <v>152036.56519057468</v>
      </c>
      <c r="CG24" s="93">
        <f>IFERROR(s_C*s_IFBE_far_adj*s_CF_berries*(1/1000)*(up_Irr!F24+up_Irr!AE24+up_Irr!BD24),".")</f>
        <v>152036.56519057468</v>
      </c>
      <c r="CH24" s="93">
        <f>IFERROR(s_C*s_IFBR_far_adj*s_CF_broccoli*(1/1000)*(up_Irr!G24+up_Irr!AF24+up_Irr!BE24),".")</f>
        <v>152036.56519057468</v>
      </c>
      <c r="CI24" s="93">
        <f>IFERROR(s_C*s_IFCB_far_adj*s_CF_cabbage*(1/1000)*(up_Irr!H24+up_Irr!AG24+up_Irr!BF24),".")</f>
        <v>152036.56519057468</v>
      </c>
      <c r="CJ24" s="93">
        <f>IFERROR(s_C*s_IFCR_far_adj*s_CF_carrot*(1/1000)*(up_Irr!I24+up_Irr!AH24+up_Irr!BG24),".")</f>
        <v>152036.56519057468</v>
      </c>
      <c r="CK24" s="93">
        <f>IFERROR(s_C*s_IFCI_far_adj*s_CF_citrus*(1/1000)*(up_Irr!J24+up_Irr!AI24+up_Irr!BH24),".")</f>
        <v>152036.56519057468</v>
      </c>
      <c r="CL24" s="93">
        <f>IFERROR(s_C*s_IFCO_far_adj*s_CF_corn*(1/1000)*(up_Irr!K24+up_Irr!AJ24+up_Irr!BI24),".")</f>
        <v>152036.56519057468</v>
      </c>
      <c r="CM24" s="93">
        <f>IFERROR(s_C*s_IFCU_far_adj*s_CF_cucumber*(1/1000)*(up_Irr!L24+up_Irr!AK24+up_Irr!BJ24),".")</f>
        <v>152036.56519057468</v>
      </c>
      <c r="CN24" s="93">
        <f>IFERROR(s_C*s_IFLE_far_adj*s_CF_lettuce*(1/1000)*(up_Irr!M24+up_Irr!AL24+up_Irr!BK24),".")</f>
        <v>152036.56519057468</v>
      </c>
      <c r="CO24" s="93">
        <f>IFERROR(s_C*s_IFLI_far_adj*s_CF_lima_bean*(1/1000)*(up_Irr!N24+up_Irr!AM24+up_Irr!BL24),".")</f>
        <v>152036.56519057468</v>
      </c>
      <c r="CP24" s="93">
        <f>IFERROR(s_C*s_IFOK_far_adj*s_CF_okra*(1/1000)*(up_Irr!O24+up_Irr!AN24+up_Irr!BM24),".")</f>
        <v>152036.56519057468</v>
      </c>
      <c r="CQ24" s="93">
        <f>IFERROR(s_C*s_IFON_far_adj*s_CF_onion*(1/1000)*(up_Irr!P24+up_Irr!AO24+up_Irr!BN24),".")</f>
        <v>152036.56519057468</v>
      </c>
      <c r="CR24" s="93">
        <f>IFERROR(s_C*s_IFPC_far_adj*s_CF_peach*(1/1000)*(up_Irr!Q24+up_Irr!AP24+up_Irr!BO24),".")</f>
        <v>152036.56519057468</v>
      </c>
      <c r="CS24" s="93">
        <f>IFERROR(s_C*s_IFPR_far_adj*s_CF_pear*(1/1000)*(up_Irr!R24+up_Irr!AQ24+up_Irr!BP24),".")</f>
        <v>152036.56519057468</v>
      </c>
      <c r="CT24" s="93">
        <f>IFERROR(s_C*s_IFPE_far_adj*s_CF_peas*(1/1000)*(up_Irr!S24+up_Irr!AR24+up_Irr!BQ24),".")</f>
        <v>152036.56519057468</v>
      </c>
      <c r="CU24" s="93">
        <f>IFERROR(s_C*s_IFPP_far_adj*s_CF_peppers*(1/1000)*(up_Irr!T24+up_Irr!AS24+up_Irr!BR24),".")</f>
        <v>152036.56519057468</v>
      </c>
      <c r="CV24" s="93">
        <f>IFERROR(s_C*s_IFPT_far_adj*s_CF_potato*(1/1000)*(up_Irr!U24+up_Irr!AT24+up_Irr!BS24),".")</f>
        <v>152036.56519057468</v>
      </c>
      <c r="CW24" s="93">
        <f>IFERROR(s_C*s_IFPU_far_adj*s_CF_pumpkin*(1/1000)*(up_Irr!V24+up_Irr!AU24+up_Irr!BT24),".")</f>
        <v>152036.56519057468</v>
      </c>
      <c r="CX24" s="93">
        <f>IFERROR(s_C*s_IFSN_far_adj*s_CF_snap_bean*(1/1000)*(up_Irr!W24+up_Irr!AV24+up_Irr!BU24),".")</f>
        <v>152036.56519057468</v>
      </c>
      <c r="CY24" s="93">
        <f>IFERROR(s_C*s_IFST_far_adj*s_CF_strawberry*(1/1000)*(up_Irr!X24+up_Irr!AW24+up_Irr!BV24),".")</f>
        <v>152036.56519057468</v>
      </c>
      <c r="CZ24" s="93">
        <f>IFERROR(s_C*s_IFTO_far_adj*s_CF_tomato*(1/1000)*(up_Irr!Y24+up_Irr!AX24+up_Irr!BW24),".")</f>
        <v>152036.56519057468</v>
      </c>
      <c r="DA24" s="93">
        <f>IFERROR(s_C*s_IFRI_far_adj*s_CF_rice*(1/1000)*(up_Irr!Z24+up_Irr!AY24+up_Irr!BX24),".")</f>
        <v>152036.56519057468</v>
      </c>
      <c r="DB24" s="93">
        <f>IFERROR(s_C*s_IFCG_far_adj*s_CF_cereal*(1/1000)*(up_Irr!AA24+up_Irr!AZ24+up_Irr!BY24),".")</f>
        <v>152036.56519057468</v>
      </c>
    </row>
    <row r="25" spans="1:106" x14ac:dyDescent="0.25">
      <c r="A25" s="94" t="s">
        <v>35</v>
      </c>
      <c r="B25" s="90" t="s">
        <v>349</v>
      </c>
      <c r="C25" s="15">
        <f t="shared" si="0"/>
        <v>1.6443412786038031E-11</v>
      </c>
      <c r="D25" s="76">
        <f>IFERROR(IF(AND(up_Irr!C25&lt;&gt;".",up_Irr!AB25&lt;&gt;".",up_Irr!BA25&lt;&gt;"."),up_dir!D25/((1/1000)*(up_Irr!C25+up_Irr!AB25+up_Irr!BA25)),IF(AND(up_Irr!C25&lt;&gt;".",up_Irr!AB25&lt;&gt;".",up_Irr!BA25="."),up_dir!D25/((1/1000)*(up_Irr!C25+up_Irr!AB25)),IF(AND(up_Irr!C25&lt;&gt;".",up_Irr!AB25=".",up_Irr!BA25&lt;&gt;"."),up_dir!D25/((1/1000)*(up_Irr!C25+up_Irr!BA25)),IF(AND(up_Irr!C25=".",up_Irr!AB25&lt;&gt;".",up_Irr!BA25&lt;&gt;"."),up_dir!D25/((1/1000)*(up_Irr!AB25+up_Irr!BA25)),IF(AND(up_Irr!C25=".",up_Irr!AB25=".",up_Irr!BA25&lt;&gt;"."),up_dir!D25/((1/1000)*(up_Irr!BA25)),IF(AND(up_Irr!C25=".",up_Irr!AB25&lt;&gt;".",up_Irr!BA25="."),up_dir!D25/((1/1000)*(up_Irr!AB25)),IF(AND(up_Irr!C25&lt;&gt;".",up_Irr!AB25=".",up_Irr!BA25="."),up_dir!D25/((1/1000)*(up_Irr!C25)),IF(AND(up_Irr!C25=".",up_Irr!AB25=".",up_Irr!BA25="."),up_dir!D25*1000)))))))),".")</f>
        <v>6.5773651144152123E-11</v>
      </c>
      <c r="E25" s="76">
        <f>IFERROR(IF(AND(up_Irr!D25&lt;&gt;".",up_Irr!AC25&lt;&gt;".",up_Irr!BB25&lt;&gt;"."),up_dir!E25/((1/1000)*(up_Irr!D25+up_Irr!AC25+up_Irr!BB25)),IF(AND(up_Irr!D25&lt;&gt;".",up_Irr!AC25&lt;&gt;".",up_Irr!BB25="."),up_dir!E25/((1/1000)*(up_Irr!D25+up_Irr!AC25)),IF(AND(up_Irr!D25&lt;&gt;".",up_Irr!AC25=".",up_Irr!BB25&lt;&gt;"."),up_dir!E25/((1/1000)*(up_Irr!D25+up_Irr!BB25)),IF(AND(up_Irr!D25=".",up_Irr!AC25&lt;&gt;".",up_Irr!BB25&lt;&gt;"."),up_dir!E25/((1/1000)*(up_Irr!AC25+up_Irr!BB25)),IF(AND(up_Irr!D25=".",up_Irr!AC25=".",up_Irr!BB25&lt;&gt;"."),up_dir!E25/((1/1000)*(up_Irr!BB25)),IF(AND(up_Irr!D25=".",up_Irr!AC25&lt;&gt;".",up_Irr!BB25="."),up_dir!E25/((1/1000)*(up_Irr!AC25)),IF(AND(up_Irr!D25&lt;&gt;".",up_Irr!AC25=".",up_Irr!BB25="."),up_dir!E25/((1/1000)*(up_Irr!D25)),IF(AND(up_Irr!D25=".",up_Irr!AC25=".",up_Irr!BB25="."),up_dir!E25*1000)))))))),".")</f>
        <v>6.5773651144152123E-11</v>
      </c>
      <c r="F25" s="76">
        <f>IFERROR(IF(AND(up_Irr!E25&lt;&gt;".",up_Irr!AD25&lt;&gt;".",up_Irr!BC25&lt;&gt;"."),up_dir!F25/((1/1000)*(up_Irr!E25+up_Irr!AD25+up_Irr!BC25)),IF(AND(up_Irr!E25&lt;&gt;".",up_Irr!AD25&lt;&gt;".",up_Irr!BC25="."),up_dir!F25/((1/1000)*(up_Irr!E25+up_Irr!AD25)),IF(AND(up_Irr!E25&lt;&gt;".",up_Irr!AD25=".",up_Irr!BC25&lt;&gt;"."),up_dir!F25/((1/1000)*(up_Irr!E25+up_Irr!BC25)),IF(AND(up_Irr!E25=".",up_Irr!AD25&lt;&gt;".",up_Irr!BC25&lt;&gt;"."),up_dir!F25/((1/1000)*(up_Irr!AD25+up_Irr!BC25)),IF(AND(up_Irr!E25=".",up_Irr!AD25=".",up_Irr!BC25&lt;&gt;"."),up_dir!F25/((1/1000)*(up_Irr!BC25)),IF(AND(up_Irr!E25=".",up_Irr!AD25&lt;&gt;".",up_Irr!BC25="."),up_dir!F25/((1/1000)*(up_Irr!AD25)),IF(AND(up_Irr!E25&lt;&gt;".",up_Irr!AD25=".",up_Irr!BC25="."),up_dir!F25/((1/1000)*(up_Irr!E25)),IF(AND(up_Irr!E25=".",up_Irr!AD25=".",up_Irr!BC25="."),up_dir!F25*1000)))))))),".")</f>
        <v>6.5773651144152123E-11</v>
      </c>
      <c r="G25" s="76">
        <f>IFERROR(IF(AND(up_Irr!F25&lt;&gt;".",up_Irr!AE25&lt;&gt;".",up_Irr!BD25&lt;&gt;"."),up_dir!G25/((1/1000)*(up_Irr!F25+up_Irr!AE25+up_Irr!BD25)),IF(AND(up_Irr!F25&lt;&gt;".",up_Irr!AE25&lt;&gt;".",up_Irr!BD25="."),up_dir!G25/((1/1000)*(up_Irr!F25+up_Irr!AE25)),IF(AND(up_Irr!F25&lt;&gt;".",up_Irr!AE25=".",up_Irr!BD25&lt;&gt;"."),up_dir!G25/((1/1000)*(up_Irr!F25+up_Irr!BD25)),IF(AND(up_Irr!F25=".",up_Irr!AE25&lt;&gt;".",up_Irr!BD25&lt;&gt;"."),up_dir!G25/((1/1000)*(up_Irr!AE25+up_Irr!BD25)),IF(AND(up_Irr!F25=".",up_Irr!AE25=".",up_Irr!BD25&lt;&gt;"."),up_dir!G25/((1/1000)*(up_Irr!BD25)),IF(AND(up_Irr!F25=".",up_Irr!AE25&lt;&gt;".",up_Irr!BD25="."),up_dir!G25/((1/1000)*(up_Irr!AE25)),IF(AND(up_Irr!F25&lt;&gt;".",up_Irr!AE25=".",up_Irr!BD25="."),up_dir!G25/((1/1000)*(up_Irr!F25)),IF(AND(up_Irr!F25=".",up_Irr!AE25=".",up_Irr!BD25="."),up_dir!G25*1000)))))))),".")</f>
        <v>6.5773651144152123E-11</v>
      </c>
      <c r="H25" s="76">
        <f>IFERROR(IF(AND(up_Irr!G25&lt;&gt;".",up_Irr!AF25&lt;&gt;".",up_Irr!BE25&lt;&gt;"."),up_dir!H25/((1/1000)*(up_Irr!G25+up_Irr!AF25+up_Irr!BE25)),IF(AND(up_Irr!G25&lt;&gt;".",up_Irr!AF25&lt;&gt;".",up_Irr!BE25="."),up_dir!H25/((1/1000)*(up_Irr!G25+up_Irr!AF25)),IF(AND(up_Irr!G25&lt;&gt;".",up_Irr!AF25=".",up_Irr!BE25&lt;&gt;"."),up_dir!H25/((1/1000)*(up_Irr!G25+up_Irr!BE25)),IF(AND(up_Irr!G25=".",up_Irr!AF25&lt;&gt;".",up_Irr!BE25&lt;&gt;"."),up_dir!H25/((1/1000)*(up_Irr!AF25+up_Irr!BE25)),IF(AND(up_Irr!G25=".",up_Irr!AF25=".",up_Irr!BE25&lt;&gt;"."),up_dir!H25/((1/1000)*(up_Irr!BE25)),IF(AND(up_Irr!G25=".",up_Irr!AF25&lt;&gt;".",up_Irr!BE25="."),up_dir!H25/((1/1000)*(up_Irr!AF25)),IF(AND(up_Irr!G25&lt;&gt;".",up_Irr!AF25=".",up_Irr!BE25="."),up_dir!H25/((1/1000)*(up_Irr!G25)),IF(AND(up_Irr!G25=".",up_Irr!AF25=".",up_Irr!BE25="."),up_dir!H25*1000)))))))),".")</f>
        <v>6.5773651144152123E-11</v>
      </c>
      <c r="I25" s="76">
        <f>IFERROR(IF(AND(up_Irr!H25&lt;&gt;".",up_Irr!AG25&lt;&gt;".",up_Irr!BF25&lt;&gt;"."),up_dir!I25/((1/1000)*(up_Irr!H25+up_Irr!AG25+up_Irr!BF25)),IF(AND(up_Irr!H25&lt;&gt;".",up_Irr!AG25&lt;&gt;".",up_Irr!BF25="."),up_dir!I25/((1/1000)*(up_Irr!H25+up_Irr!AG25)),IF(AND(up_Irr!H25&lt;&gt;".",up_Irr!AG25=".",up_Irr!BF25&lt;&gt;"."),up_dir!I25/((1/1000)*(up_Irr!H25+up_Irr!BF25)),IF(AND(up_Irr!H25=".",up_Irr!AG25&lt;&gt;".",up_Irr!BF25&lt;&gt;"."),up_dir!I25/((1/1000)*(up_Irr!AG25+up_Irr!BF25)),IF(AND(up_Irr!H25=".",up_Irr!AG25=".",up_Irr!BF25&lt;&gt;"."),up_dir!I25/((1/1000)*(up_Irr!BF25)),IF(AND(up_Irr!H25=".",up_Irr!AG25&lt;&gt;".",up_Irr!BF25="."),up_dir!I25/((1/1000)*(up_Irr!AG25)),IF(AND(up_Irr!H25&lt;&gt;".",up_Irr!AG25=".",up_Irr!BF25="."),up_dir!I25/((1/1000)*(up_Irr!H25)),IF(AND(up_Irr!H25=".",up_Irr!AG25=".",up_Irr!BF25="."),up_dir!I25*1000)))))))),".")</f>
        <v>6.5773651144152123E-11</v>
      </c>
      <c r="J25" s="76">
        <f>IFERROR(IF(AND(up_Irr!I25&lt;&gt;".",up_Irr!AH25&lt;&gt;".",up_Irr!BG25&lt;&gt;"."),up_dir!J25/((1/1000)*(up_Irr!I25+up_Irr!AH25+up_Irr!BG25)),IF(AND(up_Irr!I25&lt;&gt;".",up_Irr!AH25&lt;&gt;".",up_Irr!BG25="."),up_dir!J25/((1/1000)*(up_Irr!I25+up_Irr!AH25)),IF(AND(up_Irr!I25&lt;&gt;".",up_Irr!AH25=".",up_Irr!BG25&lt;&gt;"."),up_dir!J25/((1/1000)*(up_Irr!I25+up_Irr!BG25)),IF(AND(up_Irr!I25=".",up_Irr!AH25&lt;&gt;".",up_Irr!BG25&lt;&gt;"."),up_dir!J25/((1/1000)*(up_Irr!AH25+up_Irr!BG25)),IF(AND(up_Irr!I25=".",up_Irr!AH25=".",up_Irr!BG25&lt;&gt;"."),up_dir!J25/((1/1000)*(up_Irr!BG25)),IF(AND(up_Irr!I25=".",up_Irr!AH25&lt;&gt;".",up_Irr!BG25="."),up_dir!J25/((1/1000)*(up_Irr!AH25)),IF(AND(up_Irr!I25&lt;&gt;".",up_Irr!AH25=".",up_Irr!BG25="."),up_dir!J25/((1/1000)*(up_Irr!I25)),IF(AND(up_Irr!I25=".",up_Irr!AH25=".",up_Irr!BG25="."),up_dir!J25*1000)))))))),".")</f>
        <v>6.5773651144152123E-11</v>
      </c>
      <c r="K25" s="76">
        <f>IFERROR(IF(AND(up_Irr!J25&lt;&gt;".",up_Irr!AI25&lt;&gt;".",up_Irr!BH25&lt;&gt;"."),up_dir!K25/((1/1000)*(up_Irr!J25+up_Irr!AI25+up_Irr!BH25)),IF(AND(up_Irr!J25&lt;&gt;".",up_Irr!AI25&lt;&gt;".",up_Irr!BH25="."),up_dir!K25/((1/1000)*(up_Irr!J25+up_Irr!AI25)),IF(AND(up_Irr!J25&lt;&gt;".",up_Irr!AI25=".",up_Irr!BH25&lt;&gt;"."),up_dir!K25/((1/1000)*(up_Irr!J25+up_Irr!BH25)),IF(AND(up_Irr!J25=".",up_Irr!AI25&lt;&gt;".",up_Irr!BH25&lt;&gt;"."),up_dir!K25/((1/1000)*(up_Irr!AI25+up_Irr!BH25)),IF(AND(up_Irr!J25=".",up_Irr!AI25=".",up_Irr!BH25&lt;&gt;"."),up_dir!K25/((1/1000)*(up_Irr!BH25)),IF(AND(up_Irr!J25=".",up_Irr!AI25&lt;&gt;".",up_Irr!BH25="."),up_dir!K25/((1/1000)*(up_Irr!AI25)),IF(AND(up_Irr!J25&lt;&gt;".",up_Irr!AI25=".",up_Irr!BH25="."),up_dir!K25/((1/1000)*(up_Irr!J25)),IF(AND(up_Irr!J25=".",up_Irr!AI25=".",up_Irr!BH25="."),up_dir!K25*1000)))))))),".")</f>
        <v>6.5773651144152123E-11</v>
      </c>
      <c r="L25" s="76">
        <f>IFERROR(IF(AND(up_Irr!K25&lt;&gt;".",up_Irr!AJ25&lt;&gt;".",up_Irr!BI25&lt;&gt;"."),up_dir!L25/((1/1000)*(up_Irr!K25+up_Irr!AJ25+up_Irr!BI25)),IF(AND(up_Irr!K25&lt;&gt;".",up_Irr!AJ25&lt;&gt;".",up_Irr!BI25="."),up_dir!L25/((1/1000)*(up_Irr!K25+up_Irr!AJ25)),IF(AND(up_Irr!K25&lt;&gt;".",up_Irr!AJ25=".",up_Irr!BI25&lt;&gt;"."),up_dir!L25/((1/1000)*(up_Irr!K25+up_Irr!BI25)),IF(AND(up_Irr!K25=".",up_Irr!AJ25&lt;&gt;".",up_Irr!BI25&lt;&gt;"."),up_dir!L25/((1/1000)*(up_Irr!AJ25+up_Irr!BI25)),IF(AND(up_Irr!K25=".",up_Irr!AJ25=".",up_Irr!BI25&lt;&gt;"."),up_dir!L25/((1/1000)*(up_Irr!BI25)),IF(AND(up_Irr!K25=".",up_Irr!AJ25&lt;&gt;".",up_Irr!BI25="."),up_dir!L25/((1/1000)*(up_Irr!AJ25)),IF(AND(up_Irr!K25&lt;&gt;".",up_Irr!AJ25=".",up_Irr!BI25="."),up_dir!L25/((1/1000)*(up_Irr!K25)),IF(AND(up_Irr!K25=".",up_Irr!AJ25=".",up_Irr!BI25="."),up_dir!L25*1000)))))))),".")</f>
        <v>6.5773651144152123E-11</v>
      </c>
      <c r="M25" s="76">
        <f>IFERROR(IF(AND(up_Irr!L25&lt;&gt;".",up_Irr!AK25&lt;&gt;".",up_Irr!BJ25&lt;&gt;"."),up_dir!M25/((1/1000)*(up_Irr!L25+up_Irr!AK25+up_Irr!BJ25)),IF(AND(up_Irr!L25&lt;&gt;".",up_Irr!AK25&lt;&gt;".",up_Irr!BJ25="."),up_dir!M25/((1/1000)*(up_Irr!L25+up_Irr!AK25)),IF(AND(up_Irr!L25&lt;&gt;".",up_Irr!AK25=".",up_Irr!BJ25&lt;&gt;"."),up_dir!M25/((1/1000)*(up_Irr!L25+up_Irr!BJ25)),IF(AND(up_Irr!L25=".",up_Irr!AK25&lt;&gt;".",up_Irr!BJ25&lt;&gt;"."),up_dir!M25/((1/1000)*(up_Irr!AK25+up_Irr!BJ25)),IF(AND(up_Irr!L25=".",up_Irr!AK25=".",up_Irr!BJ25&lt;&gt;"."),up_dir!M25/((1/1000)*(up_Irr!BJ25)),IF(AND(up_Irr!L25=".",up_Irr!AK25&lt;&gt;".",up_Irr!BJ25="."),up_dir!M25/((1/1000)*(up_Irr!AK25)),IF(AND(up_Irr!L25&lt;&gt;".",up_Irr!AK25=".",up_Irr!BJ25="."),up_dir!M25/((1/1000)*(up_Irr!L25)),IF(AND(up_Irr!L25=".",up_Irr!AK25=".",up_Irr!BJ25="."),up_dir!M25*1000)))))))),".")</f>
        <v>6.5773651144152123E-11</v>
      </c>
      <c r="N25" s="76">
        <f>IFERROR(IF(AND(up_Irr!M25&lt;&gt;".",up_Irr!AL25&lt;&gt;".",up_Irr!BK25&lt;&gt;"."),up_dir!N25/((1/1000)*(up_Irr!M25+up_Irr!AL25+up_Irr!BK25)),IF(AND(up_Irr!M25&lt;&gt;".",up_Irr!AL25&lt;&gt;".",up_Irr!BK25="."),up_dir!N25/((1/1000)*(up_Irr!M25+up_Irr!AL25)),IF(AND(up_Irr!M25&lt;&gt;".",up_Irr!AL25=".",up_Irr!BK25&lt;&gt;"."),up_dir!N25/((1/1000)*(up_Irr!M25+up_Irr!BK25)),IF(AND(up_Irr!M25=".",up_Irr!AL25&lt;&gt;".",up_Irr!BK25&lt;&gt;"."),up_dir!N25/((1/1000)*(up_Irr!AL25+up_Irr!BK25)),IF(AND(up_Irr!M25=".",up_Irr!AL25=".",up_Irr!BK25&lt;&gt;"."),up_dir!N25/((1/1000)*(up_Irr!BK25)),IF(AND(up_Irr!M25=".",up_Irr!AL25&lt;&gt;".",up_Irr!BK25="."),up_dir!N25/((1/1000)*(up_Irr!AL25)),IF(AND(up_Irr!M25&lt;&gt;".",up_Irr!AL25=".",up_Irr!BK25="."),up_dir!N25/((1/1000)*(up_Irr!M25)),IF(AND(up_Irr!M25=".",up_Irr!AL25=".",up_Irr!BK25="."),up_dir!N25*1000)))))))),".")</f>
        <v>6.5773651144152123E-11</v>
      </c>
      <c r="O25" s="76">
        <f>IFERROR(IF(AND(up_Irr!N25&lt;&gt;".",up_Irr!AM25&lt;&gt;".",up_Irr!BL25&lt;&gt;"."),up_dir!O25/((1/1000)*(up_Irr!N25+up_Irr!AM25+up_Irr!BL25)),IF(AND(up_Irr!N25&lt;&gt;".",up_Irr!AM25&lt;&gt;".",up_Irr!BL25="."),up_dir!O25/((1/1000)*(up_Irr!N25+up_Irr!AM25)),IF(AND(up_Irr!N25&lt;&gt;".",up_Irr!AM25=".",up_Irr!BL25&lt;&gt;"."),up_dir!O25/((1/1000)*(up_Irr!N25+up_Irr!BL25)),IF(AND(up_Irr!N25=".",up_Irr!AM25&lt;&gt;".",up_Irr!BL25&lt;&gt;"."),up_dir!O25/((1/1000)*(up_Irr!AM25+up_Irr!BL25)),IF(AND(up_Irr!N25=".",up_Irr!AM25=".",up_Irr!BL25&lt;&gt;"."),up_dir!O25/((1/1000)*(up_Irr!BL25)),IF(AND(up_Irr!N25=".",up_Irr!AM25&lt;&gt;".",up_Irr!BL25="."),up_dir!O25/((1/1000)*(up_Irr!AM25)),IF(AND(up_Irr!N25&lt;&gt;".",up_Irr!AM25=".",up_Irr!BL25="."),up_dir!O25/((1/1000)*(up_Irr!N25)),IF(AND(up_Irr!N25=".",up_Irr!AM25=".",up_Irr!BL25="."),up_dir!O25*1000)))))))),".")</f>
        <v>6.5773651144152123E-11</v>
      </c>
      <c r="P25" s="76">
        <f>IFERROR(IF(AND(up_Irr!O25&lt;&gt;".",up_Irr!AN25&lt;&gt;".",up_Irr!BM25&lt;&gt;"."),up_dir!P25/((1/1000)*(up_Irr!O25+up_Irr!AN25+up_Irr!BM25)),IF(AND(up_Irr!O25&lt;&gt;".",up_Irr!AN25&lt;&gt;".",up_Irr!BM25="."),up_dir!P25/((1/1000)*(up_Irr!O25+up_Irr!AN25)),IF(AND(up_Irr!O25&lt;&gt;".",up_Irr!AN25=".",up_Irr!BM25&lt;&gt;"."),up_dir!P25/((1/1000)*(up_Irr!O25+up_Irr!BM25)),IF(AND(up_Irr!O25=".",up_Irr!AN25&lt;&gt;".",up_Irr!BM25&lt;&gt;"."),up_dir!P25/((1/1000)*(up_Irr!AN25+up_Irr!BM25)),IF(AND(up_Irr!O25=".",up_Irr!AN25=".",up_Irr!BM25&lt;&gt;"."),up_dir!P25/((1/1000)*(up_Irr!BM25)),IF(AND(up_Irr!O25=".",up_Irr!AN25&lt;&gt;".",up_Irr!BM25="."),up_dir!P25/((1/1000)*(up_Irr!AN25)),IF(AND(up_Irr!O25&lt;&gt;".",up_Irr!AN25=".",up_Irr!BM25="."),up_dir!P25/((1/1000)*(up_Irr!O25)),IF(AND(up_Irr!O25=".",up_Irr!AN25=".",up_Irr!BM25="."),up_dir!P25*1000)))))))),".")</f>
        <v>6.5773651144152123E-11</v>
      </c>
      <c r="Q25" s="76">
        <f>IFERROR(IF(AND(up_Irr!P25&lt;&gt;".",up_Irr!AO25&lt;&gt;".",up_Irr!BN25&lt;&gt;"."),up_dir!Q25/((1/1000)*(up_Irr!P25+up_Irr!AO25+up_Irr!BN25)),IF(AND(up_Irr!P25&lt;&gt;".",up_Irr!AO25&lt;&gt;".",up_Irr!BN25="."),up_dir!Q25/((1/1000)*(up_Irr!P25+up_Irr!AO25)),IF(AND(up_Irr!P25&lt;&gt;".",up_Irr!AO25=".",up_Irr!BN25&lt;&gt;"."),up_dir!Q25/((1/1000)*(up_Irr!P25+up_Irr!BN25)),IF(AND(up_Irr!P25=".",up_Irr!AO25&lt;&gt;".",up_Irr!BN25&lt;&gt;"."),up_dir!Q25/((1/1000)*(up_Irr!AO25+up_Irr!BN25)),IF(AND(up_Irr!P25=".",up_Irr!AO25=".",up_Irr!BN25&lt;&gt;"."),up_dir!Q25/((1/1000)*(up_Irr!BN25)),IF(AND(up_Irr!P25=".",up_Irr!AO25&lt;&gt;".",up_Irr!BN25="."),up_dir!Q25/((1/1000)*(up_Irr!AO25)),IF(AND(up_Irr!P25&lt;&gt;".",up_Irr!AO25=".",up_Irr!BN25="."),up_dir!Q25/((1/1000)*(up_Irr!P25)),IF(AND(up_Irr!P25=".",up_Irr!AO25=".",up_Irr!BN25="."),up_dir!Q25*1000)))))))),".")</f>
        <v>6.5773651144152123E-11</v>
      </c>
      <c r="R25" s="76">
        <f>IFERROR(IF(AND(up_Irr!Q25&lt;&gt;".",up_Irr!AP25&lt;&gt;".",up_Irr!BO25&lt;&gt;"."),up_dir!R25/((1/1000)*(up_Irr!Q25+up_Irr!AP25+up_Irr!BO25)),IF(AND(up_Irr!Q25&lt;&gt;".",up_Irr!AP25&lt;&gt;".",up_Irr!BO25="."),up_dir!R25/((1/1000)*(up_Irr!Q25+up_Irr!AP25)),IF(AND(up_Irr!Q25&lt;&gt;".",up_Irr!AP25=".",up_Irr!BO25&lt;&gt;"."),up_dir!R25/((1/1000)*(up_Irr!Q25+up_Irr!BO25)),IF(AND(up_Irr!Q25=".",up_Irr!AP25&lt;&gt;".",up_Irr!BO25&lt;&gt;"."),up_dir!R25/((1/1000)*(up_Irr!AP25+up_Irr!BO25)),IF(AND(up_Irr!Q25=".",up_Irr!AP25=".",up_Irr!BO25&lt;&gt;"."),up_dir!R25/((1/1000)*(up_Irr!BO25)),IF(AND(up_Irr!Q25=".",up_Irr!AP25&lt;&gt;".",up_Irr!BO25="."),up_dir!R25/((1/1000)*(up_Irr!AP25)),IF(AND(up_Irr!Q25&lt;&gt;".",up_Irr!AP25=".",up_Irr!BO25="."),up_dir!R25/((1/1000)*(up_Irr!Q25)),IF(AND(up_Irr!Q25=".",up_Irr!AP25=".",up_Irr!BO25="."),up_dir!R25*1000)))))))),".")</f>
        <v>6.5773651144152123E-11</v>
      </c>
      <c r="S25" s="76">
        <f>IFERROR(IF(AND(up_Irr!R25&lt;&gt;".",up_Irr!AQ25&lt;&gt;".",up_Irr!BP25&lt;&gt;"."),up_dir!S25/((1/1000)*(up_Irr!R25+up_Irr!AQ25+up_Irr!BP25)),IF(AND(up_Irr!R25&lt;&gt;".",up_Irr!AQ25&lt;&gt;".",up_Irr!BP25="."),up_dir!S25/((1/1000)*(up_Irr!R25+up_Irr!AQ25)),IF(AND(up_Irr!R25&lt;&gt;".",up_Irr!AQ25=".",up_Irr!BP25&lt;&gt;"."),up_dir!S25/((1/1000)*(up_Irr!R25+up_Irr!BP25)),IF(AND(up_Irr!R25=".",up_Irr!AQ25&lt;&gt;".",up_Irr!BP25&lt;&gt;"."),up_dir!S25/((1/1000)*(up_Irr!AQ25+up_Irr!BP25)),IF(AND(up_Irr!R25=".",up_Irr!AQ25=".",up_Irr!BP25&lt;&gt;"."),up_dir!S25/((1/1000)*(up_Irr!BP25)),IF(AND(up_Irr!R25=".",up_Irr!AQ25&lt;&gt;".",up_Irr!BP25="."),up_dir!S25/((1/1000)*(up_Irr!AQ25)),IF(AND(up_Irr!R25&lt;&gt;".",up_Irr!AQ25=".",up_Irr!BP25="."),up_dir!S25/((1/1000)*(up_Irr!R25)),IF(AND(up_Irr!R25=".",up_Irr!AQ25=".",up_Irr!BP25="."),up_dir!S25*1000)))))))),".")</f>
        <v>6.5773651144152123E-11</v>
      </c>
      <c r="T25" s="76">
        <f>IFERROR(IF(AND(up_Irr!S25&lt;&gt;".",up_Irr!AR25&lt;&gt;".",up_Irr!BQ25&lt;&gt;"."),up_dir!T25/((1/1000)*(up_Irr!S25+up_Irr!AR25+up_Irr!BQ25)),IF(AND(up_Irr!S25&lt;&gt;".",up_Irr!AR25&lt;&gt;".",up_Irr!BQ25="."),up_dir!T25/((1/1000)*(up_Irr!S25+up_Irr!AR25)),IF(AND(up_Irr!S25&lt;&gt;".",up_Irr!AR25=".",up_Irr!BQ25&lt;&gt;"."),up_dir!T25/((1/1000)*(up_Irr!S25+up_Irr!BQ25)),IF(AND(up_Irr!S25=".",up_Irr!AR25&lt;&gt;".",up_Irr!BQ25&lt;&gt;"."),up_dir!T25/((1/1000)*(up_Irr!AR25+up_Irr!BQ25)),IF(AND(up_Irr!S25=".",up_Irr!AR25=".",up_Irr!BQ25&lt;&gt;"."),up_dir!T25/((1/1000)*(up_Irr!BQ25)),IF(AND(up_Irr!S25=".",up_Irr!AR25&lt;&gt;".",up_Irr!BQ25="."),up_dir!T25/((1/1000)*(up_Irr!AR25)),IF(AND(up_Irr!S25&lt;&gt;".",up_Irr!AR25=".",up_Irr!BQ25="."),up_dir!T25/((1/1000)*(up_Irr!S25)),IF(AND(up_Irr!S25=".",up_Irr!AR25=".",up_Irr!BQ25="."),up_dir!T25*1000)))))))),".")</f>
        <v>6.5773651144152123E-11</v>
      </c>
      <c r="U25" s="76">
        <f>IFERROR(IF(AND(up_Irr!T25&lt;&gt;".",up_Irr!AS25&lt;&gt;".",up_Irr!BR25&lt;&gt;"."),up_dir!U25/((1/1000)*(up_Irr!T25+up_Irr!AS25+up_Irr!BR25)),IF(AND(up_Irr!T25&lt;&gt;".",up_Irr!AS25&lt;&gt;".",up_Irr!BR25="."),up_dir!U25/((1/1000)*(up_Irr!T25+up_Irr!AS25)),IF(AND(up_Irr!T25&lt;&gt;".",up_Irr!AS25=".",up_Irr!BR25&lt;&gt;"."),up_dir!U25/((1/1000)*(up_Irr!T25+up_Irr!BR25)),IF(AND(up_Irr!T25=".",up_Irr!AS25&lt;&gt;".",up_Irr!BR25&lt;&gt;"."),up_dir!U25/((1/1000)*(up_Irr!AS25+up_Irr!BR25)),IF(AND(up_Irr!T25=".",up_Irr!AS25=".",up_Irr!BR25&lt;&gt;"."),up_dir!U25/((1/1000)*(up_Irr!BR25)),IF(AND(up_Irr!T25=".",up_Irr!AS25&lt;&gt;".",up_Irr!BR25="."),up_dir!U25/((1/1000)*(up_Irr!AS25)),IF(AND(up_Irr!T25&lt;&gt;".",up_Irr!AS25=".",up_Irr!BR25="."),up_dir!U25/((1/1000)*(up_Irr!T25)),IF(AND(up_Irr!T25=".",up_Irr!AS25=".",up_Irr!BR25="."),up_dir!U25*1000)))))))),".")</f>
        <v>6.5773651144152123E-11</v>
      </c>
      <c r="V25" s="76">
        <f>IFERROR(IF(AND(up_Irr!U25&lt;&gt;".",up_Irr!AT25&lt;&gt;".",up_Irr!BS25&lt;&gt;"."),up_dir!V25/((1/1000)*(up_Irr!U25+up_Irr!AT25+up_Irr!BS25)),IF(AND(up_Irr!U25&lt;&gt;".",up_Irr!AT25&lt;&gt;".",up_Irr!BS25="."),up_dir!V25/((1/1000)*(up_Irr!U25+up_Irr!AT25)),IF(AND(up_Irr!U25&lt;&gt;".",up_Irr!AT25=".",up_Irr!BS25&lt;&gt;"."),up_dir!V25/((1/1000)*(up_Irr!U25+up_Irr!BS25)),IF(AND(up_Irr!U25=".",up_Irr!AT25&lt;&gt;".",up_Irr!BS25&lt;&gt;"."),up_dir!V25/((1/1000)*(up_Irr!AT25+up_Irr!BS25)),IF(AND(up_Irr!U25=".",up_Irr!AT25=".",up_Irr!BS25&lt;&gt;"."),up_dir!V25/((1/1000)*(up_Irr!BS25)),IF(AND(up_Irr!U25=".",up_Irr!AT25&lt;&gt;".",up_Irr!BS25="."),up_dir!V25/((1/1000)*(up_Irr!AT25)),IF(AND(up_Irr!U25&lt;&gt;".",up_Irr!AT25=".",up_Irr!BS25="."),up_dir!V25/((1/1000)*(up_Irr!U25)),IF(AND(up_Irr!U25=".",up_Irr!AT25=".",up_Irr!BS25="."),up_dir!V25*1000)))))))),".")</f>
        <v>6.5773651144152123E-11</v>
      </c>
      <c r="W25" s="76">
        <f>IFERROR(IF(AND(up_Irr!V25&lt;&gt;".",up_Irr!AU25&lt;&gt;".",up_Irr!BT25&lt;&gt;"."),up_dir!W25/((1/1000)*(up_Irr!V25+up_Irr!AU25+up_Irr!BT25)),IF(AND(up_Irr!V25&lt;&gt;".",up_Irr!AU25&lt;&gt;".",up_Irr!BT25="."),up_dir!W25/((1/1000)*(up_Irr!V25+up_Irr!AU25)),IF(AND(up_Irr!V25&lt;&gt;".",up_Irr!AU25=".",up_Irr!BT25&lt;&gt;"."),up_dir!W25/((1/1000)*(up_Irr!V25+up_Irr!BT25)),IF(AND(up_Irr!V25=".",up_Irr!AU25&lt;&gt;".",up_Irr!BT25&lt;&gt;"."),up_dir!W25/((1/1000)*(up_Irr!AU25+up_Irr!BT25)),IF(AND(up_Irr!V25=".",up_Irr!AU25=".",up_Irr!BT25&lt;&gt;"."),up_dir!W25/((1/1000)*(up_Irr!BT25)),IF(AND(up_Irr!V25=".",up_Irr!AU25&lt;&gt;".",up_Irr!BT25="."),up_dir!W25/((1/1000)*(up_Irr!AU25)),IF(AND(up_Irr!V25&lt;&gt;".",up_Irr!AU25=".",up_Irr!BT25="."),up_dir!W25/((1/1000)*(up_Irr!V25)),IF(AND(up_Irr!V25=".",up_Irr!AU25=".",up_Irr!BT25="."),up_dir!W25*1000)))))))),".")</f>
        <v>6.5773651144152123E-11</v>
      </c>
      <c r="X25" s="76">
        <f>IFERROR(IF(AND(up_Irr!W25&lt;&gt;".",up_Irr!AV25&lt;&gt;".",up_Irr!BU25&lt;&gt;"."),up_dir!X25/((1/1000)*(up_Irr!W25+up_Irr!AV25+up_Irr!BU25)),IF(AND(up_Irr!W25&lt;&gt;".",up_Irr!AV25&lt;&gt;".",up_Irr!BU25="."),up_dir!X25/((1/1000)*(up_Irr!W25+up_Irr!AV25)),IF(AND(up_Irr!W25&lt;&gt;".",up_Irr!AV25=".",up_Irr!BU25&lt;&gt;"."),up_dir!X25/((1/1000)*(up_Irr!W25+up_Irr!BU25)),IF(AND(up_Irr!W25=".",up_Irr!AV25&lt;&gt;".",up_Irr!BU25&lt;&gt;"."),up_dir!X25/((1/1000)*(up_Irr!AV25+up_Irr!BU25)),IF(AND(up_Irr!W25=".",up_Irr!AV25=".",up_Irr!BU25&lt;&gt;"."),up_dir!X25/((1/1000)*(up_Irr!BU25)),IF(AND(up_Irr!W25=".",up_Irr!AV25&lt;&gt;".",up_Irr!BU25="."),up_dir!X25/((1/1000)*(up_Irr!AV25)),IF(AND(up_Irr!W25&lt;&gt;".",up_Irr!AV25=".",up_Irr!BU25="."),up_dir!X25/((1/1000)*(up_Irr!W25)),IF(AND(up_Irr!W25=".",up_Irr!AV25=".",up_Irr!BU25="."),up_dir!X25*1000)))))))),".")</f>
        <v>6.5773651144152123E-11</v>
      </c>
      <c r="Y25" s="76">
        <f>IFERROR(IF(AND(up_Irr!X25&lt;&gt;".",up_Irr!AW25&lt;&gt;".",up_Irr!BV25&lt;&gt;"."),up_dir!Y25/((1/1000)*(up_Irr!X25+up_Irr!AW25+up_Irr!BV25)),IF(AND(up_Irr!X25&lt;&gt;".",up_Irr!AW25&lt;&gt;".",up_Irr!BV25="."),up_dir!Y25/((1/1000)*(up_Irr!X25+up_Irr!AW25)),IF(AND(up_Irr!X25&lt;&gt;".",up_Irr!AW25=".",up_Irr!BV25&lt;&gt;"."),up_dir!Y25/((1/1000)*(up_Irr!X25+up_Irr!BV25)),IF(AND(up_Irr!X25=".",up_Irr!AW25&lt;&gt;".",up_Irr!BV25&lt;&gt;"."),up_dir!Y25/((1/1000)*(up_Irr!AW25+up_Irr!BV25)),IF(AND(up_Irr!X25=".",up_Irr!AW25=".",up_Irr!BV25&lt;&gt;"."),up_dir!Y25/((1/1000)*(up_Irr!BV25)),IF(AND(up_Irr!X25=".",up_Irr!AW25&lt;&gt;".",up_Irr!BV25="."),up_dir!Y25/((1/1000)*(up_Irr!AW25)),IF(AND(up_Irr!X25&lt;&gt;".",up_Irr!AW25=".",up_Irr!BV25="."),up_dir!Y25/((1/1000)*(up_Irr!X25)),IF(AND(up_Irr!X25=".",up_Irr!AW25=".",up_Irr!BV25="."),up_dir!Y25*1000)))))))),".")</f>
        <v>6.5773651144152123E-11</v>
      </c>
      <c r="Z25" s="76">
        <f>IFERROR(IF(AND(up_Irr!Y25&lt;&gt;".",up_Irr!AX25&lt;&gt;".",up_Irr!BW25&lt;&gt;"."),up_dir!Z25/((1/1000)*(up_Irr!Y25+up_Irr!AX25+up_Irr!BW25)),IF(AND(up_Irr!Y25&lt;&gt;".",up_Irr!AX25&lt;&gt;".",up_Irr!BW25="."),up_dir!Z25/((1/1000)*(up_Irr!Y25+up_Irr!AX25)),IF(AND(up_Irr!Y25&lt;&gt;".",up_Irr!AX25=".",up_Irr!BW25&lt;&gt;"."),up_dir!Z25/((1/1000)*(up_Irr!Y25+up_Irr!BW25)),IF(AND(up_Irr!Y25=".",up_Irr!AX25&lt;&gt;".",up_Irr!BW25&lt;&gt;"."),up_dir!Z25/((1/1000)*(up_Irr!AX25+up_Irr!BW25)),IF(AND(up_Irr!Y25=".",up_Irr!AX25=".",up_Irr!BW25&lt;&gt;"."),up_dir!Z25/((1/1000)*(up_Irr!BW25)),IF(AND(up_Irr!Y25=".",up_Irr!AX25&lt;&gt;".",up_Irr!BW25="."),up_dir!Z25/((1/1000)*(up_Irr!AX25)),IF(AND(up_Irr!Y25&lt;&gt;".",up_Irr!AX25=".",up_Irr!BW25="."),up_dir!Z25/((1/1000)*(up_Irr!Y25)),IF(AND(up_Irr!Y25=".",up_Irr!AX25=".",up_Irr!BW25="."),up_dir!Z25*1000)))))))),".")</f>
        <v>6.5773651144152123E-11</v>
      </c>
      <c r="AA25" s="76">
        <f>IFERROR(IF(AND(up_Irr!Z25&lt;&gt;".",up_Irr!AY25&lt;&gt;".",up_Irr!BX25&lt;&gt;"."),up_dir!AA25/((1/1000)*(up_Irr!Z25+up_Irr!AY25+up_Irr!BX25)),IF(AND(up_Irr!Z25&lt;&gt;".",up_Irr!AY25&lt;&gt;".",up_Irr!BX25="."),up_dir!AA25/((1/1000)*(up_Irr!Z25+up_Irr!AY25)),IF(AND(up_Irr!Z25&lt;&gt;".",up_Irr!AY25=".",up_Irr!BX25&lt;&gt;"."),up_dir!AA25/((1/1000)*(up_Irr!Z25+up_Irr!BX25)),IF(AND(up_Irr!Z25=".",up_Irr!AY25&lt;&gt;".",up_Irr!BX25&lt;&gt;"."),up_dir!AA25/((1/1000)*(up_Irr!AY25+up_Irr!BX25)),IF(AND(up_Irr!Z25=".",up_Irr!AY25=".",up_Irr!BX25&lt;&gt;"."),up_dir!AA25/((1/1000)*(up_Irr!BX25)),IF(AND(up_Irr!Z25=".",up_Irr!AY25&lt;&gt;".",up_Irr!BX25="."),up_dir!AA25/((1/1000)*(up_Irr!AY25)),IF(AND(up_Irr!Z25&lt;&gt;".",up_Irr!AY25=".",up_Irr!BX25="."),up_dir!AA25/((1/1000)*(up_Irr!Z25)),IF(AND(up_Irr!Z25=".",up_Irr!AY25=".",up_Irr!BX25="."),up_dir!AA25*1000)))))))),".")</f>
        <v>6.5773651144152123E-11</v>
      </c>
      <c r="AB25" s="76">
        <f>IFERROR(IF(AND(up_Irr!AA25&lt;&gt;".",up_Irr!AZ25&lt;&gt;".",up_Irr!BY25&lt;&gt;"."),up_dir!AB25/((1/1000)*(up_Irr!AA25+up_Irr!AZ25+up_Irr!BY25)),IF(AND(up_Irr!AA25&lt;&gt;".",up_Irr!AZ25&lt;&gt;".",up_Irr!BY25="."),up_dir!AB25/((1/1000)*(up_Irr!AA25+up_Irr!AZ25)),IF(AND(up_Irr!AA25&lt;&gt;".",up_Irr!AZ25=".",up_Irr!BY25&lt;&gt;"."),up_dir!AB25/((1/1000)*(up_Irr!AA25+up_Irr!BY25)),IF(AND(up_Irr!AA25=".",up_Irr!AZ25&lt;&gt;".",up_Irr!BY25&lt;&gt;"."),up_dir!AB25/((1/1000)*(up_Irr!AZ25+up_Irr!BY25)),IF(AND(up_Irr!AA25=".",up_Irr!AZ25=".",up_Irr!BY25&lt;&gt;"."),up_dir!AB25/((1/1000)*(up_Irr!BY25)),IF(AND(up_Irr!AA25=".",up_Irr!AZ25&lt;&gt;".",up_Irr!BY25="."),up_dir!AB25/((1/1000)*(up_Irr!AZ25)),IF(AND(up_Irr!AA25&lt;&gt;".",up_Irr!AZ25=".",up_Irr!BY25="."),up_dir!AB25/((1/1000)*(up_Irr!AA25)),IF(AND(up_Irr!AA25=".",up_Irr!AZ25=".",up_Irr!BY25="."),up_dir!AB25*1000)))))))),".")</f>
        <v>6.5773651144152123E-11</v>
      </c>
      <c r="AC25" s="93">
        <f t="shared" si="1"/>
        <v>608146.26076229871</v>
      </c>
      <c r="AD25" s="93">
        <f>IFERROR(s_C*s_IFAP_res_adj*s_CF_apple*0.001*(up_Irr!C25+up_Irr!AB25+up_Irr!BA25),".")</f>
        <v>152036.56519057468</v>
      </c>
      <c r="AE25" s="93">
        <f>IFERROR(s_C*s_IFAS_res_adj*s_CF_asparagus*0.001*(up_Irr!D25+up_Irr!AC25+up_Irr!BB25),".")</f>
        <v>152036.56519057468</v>
      </c>
      <c r="AF25" s="93">
        <f>IFERROR(s_C*s_IFBT_res_adj*s_CF_beet*0.001*(up_Irr!E25+up_Irr!AD25+up_Irr!BC25),".")</f>
        <v>152036.56519057468</v>
      </c>
      <c r="AG25" s="93">
        <f>IFERROR(s_C*s_IFBE_res_adj*s_CF_berries*0.001*(up_Irr!F25+up_Irr!AE25+up_Irr!BD25),".")</f>
        <v>152036.56519057468</v>
      </c>
      <c r="AH25" s="93">
        <f>IFERROR(s_C*s_IFBR_res_adj*s_CF_broccoli*0.001*(up_Irr!G25+up_Irr!AF25+up_Irr!BE25),".")</f>
        <v>152036.56519057468</v>
      </c>
      <c r="AI25" s="93">
        <f>IFERROR(s_C*s_IFCB_res_adj*s_CF_cabbage*0.001*(up_Irr!H25+up_Irr!AG25+up_Irr!BF25),".")</f>
        <v>152036.56519057468</v>
      </c>
      <c r="AJ25" s="93">
        <f>IFERROR(s_C*s_IFCR_res_adj*s_CF_carrot*0.001*(up_Irr!I25+up_Irr!AH25+up_Irr!BG25),".")</f>
        <v>152036.56519057468</v>
      </c>
      <c r="AK25" s="93">
        <f>IFERROR(s_C*s_IFCI_res_adj*s_CF_citrus*0.001*(up_Irr!J25+up_Irr!AI25+up_Irr!BH25),".")</f>
        <v>152036.56519057468</v>
      </c>
      <c r="AL25" s="93">
        <f>IFERROR(s_C*s_IFCO_res_adj*s_CF_corn*0.001*(up_Irr!K25+up_Irr!AJ25+up_Irr!BI25),".")</f>
        <v>152036.56519057468</v>
      </c>
      <c r="AM25" s="93">
        <f>IFERROR(s_C*s_IFCU_res_adj*s_CF_cucumber*0.001*(up_Irr!L25+up_Irr!AK25+up_Irr!BJ25),".")</f>
        <v>152036.56519057468</v>
      </c>
      <c r="AN25" s="93">
        <f>IFERROR(s_C*s_IFLE_res_adj*s_CF_lettuce*0.001*(up_Irr!M25+up_Irr!AL25+up_Irr!BK25),".")</f>
        <v>152036.56519057468</v>
      </c>
      <c r="AO25" s="93">
        <f>IFERROR(s_C*s_IFLI_res_adj*s_CF_lima_bean*0.001*(up_Irr!N25+up_Irr!AM25+up_Irr!BL25),".")</f>
        <v>152036.56519057468</v>
      </c>
      <c r="AP25" s="93">
        <f>IFERROR(s_C*s_IFOK_res_adj*s_CF_okra*0.001*(up_Irr!O25+up_Irr!AN25+up_Irr!BM25),".")</f>
        <v>152036.56519057468</v>
      </c>
      <c r="AQ25" s="93">
        <f>IFERROR(s_C*s_IFON_res_adj*s_CF_onion*0.001*(up_Irr!P25+up_Irr!AO25+up_Irr!BN25),".")</f>
        <v>152036.56519057468</v>
      </c>
      <c r="AR25" s="93">
        <f>IFERROR(s_C*s_IFPC_res_adj*s_CF_peach*0.001*(up_Irr!Q25+up_Irr!AP25+up_Irr!BO25),".")</f>
        <v>152036.56519057468</v>
      </c>
      <c r="AS25" s="93">
        <f>IFERROR(s_C*s_IFPR_res_adj*s_CF_pear*0.001*(up_Irr!R25+up_Irr!AQ25+up_Irr!BP25),".")</f>
        <v>152036.56519057468</v>
      </c>
      <c r="AT25" s="93">
        <f>IFERROR(s_C*s_IFPE_res_adj*s_CF_peas*0.001*(up_Irr!S25+up_Irr!AR25+up_Irr!BQ25),".")</f>
        <v>152036.56519057468</v>
      </c>
      <c r="AU25" s="93">
        <f>IFERROR(s_C*s_IFPP_res_adj*s_CF_peppers*0.001*(up_Irr!T25+up_Irr!AS25+up_Irr!BR25),".")</f>
        <v>152036.56519057468</v>
      </c>
      <c r="AV25" s="93">
        <f>IFERROR(s_C*s_IFPT_res_adj*s_CF_potato*0.001*(up_Irr!U25+up_Irr!AT25+up_Irr!BS25),".")</f>
        <v>152036.56519057468</v>
      </c>
      <c r="AW25" s="93">
        <f>IFERROR(s_C*s_IFPU_res_adj*s_CF_pumpkin*0.001*(up_Irr!V25+up_Irr!AU25+up_Irr!BT25),".")</f>
        <v>152036.56519057468</v>
      </c>
      <c r="AX25" s="93">
        <f>IFERROR(s_C*s_IFSN_res_adj*s_CF_snap_bean*0.001*(up_Irr!W25+up_Irr!AV25+up_Irr!BU25),".")</f>
        <v>152036.56519057468</v>
      </c>
      <c r="AY25" s="93">
        <f>IFERROR(s_C*s_IFST_res_adj*s_CF_strawberry*0.001*(up_Irr!X25+up_Irr!AW25+up_Irr!BV25),".")</f>
        <v>152036.56519057468</v>
      </c>
      <c r="AZ25" s="93">
        <f>IFERROR(s_C*s_IFTO_res_adj*s_CF_tomato*0.001*(up_Irr!Y25+up_Irr!AX25+up_Irr!BW25),".")</f>
        <v>152036.56519057468</v>
      </c>
      <c r="BA25" s="93">
        <f>IFERROR(s_C*s_IFRI_res_adj*s_CF_rice*0.001*(up_Irr!Z25+up_Irr!AY25+up_Irr!BX25),".")</f>
        <v>152036.56519057468</v>
      </c>
      <c r="BB25" s="93">
        <f>IFERROR(s_C*s_IFCG_res_adj*s_CF_cereal*0.001*(up_Irr!AA25+up_Irr!AZ25+up_Irr!BY25),".")</f>
        <v>152036.56519057468</v>
      </c>
      <c r="BC25" s="76">
        <f t="shared" si="2"/>
        <v>1.6443412786038031E-11</v>
      </c>
      <c r="BD25" s="76">
        <f>IFERROR(IF(AND(up_Irr!C25&lt;&gt;".",up_Irr!AB25&lt;&gt;".",up_Irr!BA25&lt;&gt;"."),up_dir!AD25/((1/1000)*(up_Irr!C25+up_Irr!AB25+up_Irr!BA25)),IF(AND(up_Irr!C25&lt;&gt;".",up_Irr!AB25&lt;&gt;".",up_Irr!BA25="."),up_dir!AD25/((1/1000)*(up_Irr!C25+up_Irr!AB25)),IF(AND(up_Irr!C25&lt;&gt;".",up_Irr!AB25=".",up_Irr!BA25&lt;&gt;"."),up_dir!AD25/((1/1000)*(up_Irr!C25+up_Irr!BA25)),IF(AND(up_Irr!C25=".",up_Irr!AB25&lt;&gt;".",up_Irr!BA25&lt;&gt;"."),up_dir!AD25/((1/1000)*(up_Irr!AB25+up_Irr!BA25)),IF(AND(up_Irr!C25=".",up_Irr!AB25=".",up_Irr!BA25&lt;&gt;"."),up_dir!AD25/((1/1000)*(up_Irr!BA25)),IF(AND(up_Irr!C25=".",up_Irr!AB25&lt;&gt;".",up_Irr!BA25="."),up_dir!AD25/((1/1000)*(up_Irr!AB25)),IF(AND(up_Irr!C25&lt;&gt;".",up_Irr!AB25=".",up_Irr!BA25="."),up_dir!AD25/((1/1000)*(up_Irr!C25)),IF(AND(up_Irr!C25=".",up_Irr!AB25=".",up_Irr!BA25="."),up_dir!AD25*1000)))))))),".")</f>
        <v>6.5773651144152123E-11</v>
      </c>
      <c r="BE25" s="76">
        <f>IFERROR(IF(AND(up_Irr!D25&lt;&gt;".",up_Irr!AC25&lt;&gt;".",up_Irr!BB25&lt;&gt;"."),up_dir!AE25/((1/1000)*(up_Irr!D25+up_Irr!AC25+up_Irr!BB25)),IF(AND(up_Irr!D25&lt;&gt;".",up_Irr!AC25&lt;&gt;".",up_Irr!BB25="."),up_dir!AE25/((1/1000)*(up_Irr!D25+up_Irr!AC25)),IF(AND(up_Irr!D25&lt;&gt;".",up_Irr!AC25=".",up_Irr!BB25&lt;&gt;"."),up_dir!AE25/((1/1000)*(up_Irr!D25+up_Irr!BB25)),IF(AND(up_Irr!D25=".",up_Irr!AC25&lt;&gt;".",up_Irr!BB25&lt;&gt;"."),up_dir!AE25/((1/1000)*(up_Irr!AC25+up_Irr!BB25)),IF(AND(up_Irr!D25=".",up_Irr!AC25=".",up_Irr!BB25&lt;&gt;"."),up_dir!AE25/((1/1000)*(up_Irr!BB25)),IF(AND(up_Irr!D25=".",up_Irr!AC25&lt;&gt;".",up_Irr!BB25="."),up_dir!AE25/((1/1000)*(up_Irr!AC25)),IF(AND(up_Irr!D25&lt;&gt;".",up_Irr!AC25=".",up_Irr!BB25="."),up_dir!AE25/((1/1000)*(up_Irr!D25)),IF(AND(up_Irr!D25=".",up_Irr!AC25=".",up_Irr!BB25="."),up_dir!AE25*1000)))))))),".")</f>
        <v>6.5773651144152123E-11</v>
      </c>
      <c r="BF25" s="76">
        <f>IFERROR(IF(AND(up_Irr!E25&lt;&gt;".",up_Irr!AD25&lt;&gt;".",up_Irr!BC25&lt;&gt;"."),up_dir!AF25/((1/1000)*(up_Irr!E25+up_Irr!AD25+up_Irr!BC25)),IF(AND(up_Irr!E25&lt;&gt;".",up_Irr!AD25&lt;&gt;".",up_Irr!BC25="."),up_dir!AF25/((1/1000)*(up_Irr!E25+up_Irr!AD25)),IF(AND(up_Irr!E25&lt;&gt;".",up_Irr!AD25=".",up_Irr!BC25&lt;&gt;"."),up_dir!AF25/((1/1000)*(up_Irr!E25+up_Irr!BC25)),IF(AND(up_Irr!E25=".",up_Irr!AD25&lt;&gt;".",up_Irr!BC25&lt;&gt;"."),up_dir!AF25/((1/1000)*(up_Irr!AD25+up_Irr!BC25)),IF(AND(up_Irr!E25=".",up_Irr!AD25=".",up_Irr!BC25&lt;&gt;"."),up_dir!AF25/((1/1000)*(up_Irr!BC25)),IF(AND(up_Irr!E25=".",up_Irr!AD25&lt;&gt;".",up_Irr!BC25="."),up_dir!AF25/((1/1000)*(up_Irr!AD25)),IF(AND(up_Irr!E25&lt;&gt;".",up_Irr!AD25=".",up_Irr!BC25="."),up_dir!AF25/((1/1000)*(up_Irr!E25)),IF(AND(up_Irr!E25=".",up_Irr!AD25=".",up_Irr!BC25="."),up_dir!AF25*1000)))))))),".")</f>
        <v>6.5773651144152123E-11</v>
      </c>
      <c r="BG25" s="76">
        <f>IFERROR(IF(AND(up_Irr!F25&lt;&gt;".",up_Irr!AE25&lt;&gt;".",up_Irr!BD25&lt;&gt;"."),up_dir!AG25/((1/1000)*(up_Irr!F25+up_Irr!AE25+up_Irr!BD25)),IF(AND(up_Irr!F25&lt;&gt;".",up_Irr!AE25&lt;&gt;".",up_Irr!BD25="."),up_dir!AG25/((1/1000)*(up_Irr!F25+up_Irr!AE25)),IF(AND(up_Irr!F25&lt;&gt;".",up_Irr!AE25=".",up_Irr!BD25&lt;&gt;"."),up_dir!AG25/((1/1000)*(up_Irr!F25+up_Irr!BD25)),IF(AND(up_Irr!F25=".",up_Irr!AE25&lt;&gt;".",up_Irr!BD25&lt;&gt;"."),up_dir!AG25/((1/1000)*(up_Irr!AE25+up_Irr!BD25)),IF(AND(up_Irr!F25=".",up_Irr!AE25=".",up_Irr!BD25&lt;&gt;"."),up_dir!AG25/((1/1000)*(up_Irr!BD25)),IF(AND(up_Irr!F25=".",up_Irr!AE25&lt;&gt;".",up_Irr!BD25="."),up_dir!AG25/((1/1000)*(up_Irr!AE25)),IF(AND(up_Irr!F25&lt;&gt;".",up_Irr!AE25=".",up_Irr!BD25="."),up_dir!AG25/((1/1000)*(up_Irr!F25)),IF(AND(up_Irr!F25=".",up_Irr!AE25=".",up_Irr!BD25="."),up_dir!AG25*1000)))))))),".")</f>
        <v>6.5773651144152123E-11</v>
      </c>
      <c r="BH25" s="76">
        <f>IFERROR(IF(AND(up_Irr!G25&lt;&gt;".",up_Irr!AF25&lt;&gt;".",up_Irr!BE25&lt;&gt;"."),up_dir!AH25/((1/1000)*(up_Irr!G25+up_Irr!AF25+up_Irr!BE25)),IF(AND(up_Irr!G25&lt;&gt;".",up_Irr!AF25&lt;&gt;".",up_Irr!BE25="."),up_dir!AH25/((1/1000)*(up_Irr!G25+up_Irr!AF25)),IF(AND(up_Irr!G25&lt;&gt;".",up_Irr!AF25=".",up_Irr!BE25&lt;&gt;"."),up_dir!AH25/((1/1000)*(up_Irr!G25+up_Irr!BE25)),IF(AND(up_Irr!G25=".",up_Irr!AF25&lt;&gt;".",up_Irr!BE25&lt;&gt;"."),up_dir!AH25/((1/1000)*(up_Irr!AF25+up_Irr!BE25)),IF(AND(up_Irr!G25=".",up_Irr!AF25=".",up_Irr!BE25&lt;&gt;"."),up_dir!AH25/((1/1000)*(up_Irr!BE25)),IF(AND(up_Irr!G25=".",up_Irr!AF25&lt;&gt;".",up_Irr!BE25="."),up_dir!AH25/((1/1000)*(up_Irr!AF25)),IF(AND(up_Irr!G25&lt;&gt;".",up_Irr!AF25=".",up_Irr!BE25="."),up_dir!AH25/((1/1000)*(up_Irr!G25)),IF(AND(up_Irr!G25=".",up_Irr!AF25=".",up_Irr!BE25="."),up_dir!AH25*1000)))))))),".")</f>
        <v>6.5773651144152123E-11</v>
      </c>
      <c r="BI25" s="76">
        <f>IFERROR(IF(AND(up_Irr!H25&lt;&gt;".",up_Irr!AG25&lt;&gt;".",up_Irr!BF25&lt;&gt;"."),up_dir!AI25/((1/1000)*(up_Irr!H25+up_Irr!AG25+up_Irr!BF25)),IF(AND(up_Irr!H25&lt;&gt;".",up_Irr!AG25&lt;&gt;".",up_Irr!BF25="."),up_dir!AI25/((1/1000)*(up_Irr!H25+up_Irr!AG25)),IF(AND(up_Irr!H25&lt;&gt;".",up_Irr!AG25=".",up_Irr!BF25&lt;&gt;"."),up_dir!AI25/((1/1000)*(up_Irr!H25+up_Irr!BF25)),IF(AND(up_Irr!H25=".",up_Irr!AG25&lt;&gt;".",up_Irr!BF25&lt;&gt;"."),up_dir!AI25/((1/1000)*(up_Irr!AG25+up_Irr!BF25)),IF(AND(up_Irr!H25=".",up_Irr!AG25=".",up_Irr!BF25&lt;&gt;"."),up_dir!AI25/((1/1000)*(up_Irr!BF25)),IF(AND(up_Irr!H25=".",up_Irr!AG25&lt;&gt;".",up_Irr!BF25="."),up_dir!AI25/((1/1000)*(up_Irr!AG25)),IF(AND(up_Irr!H25&lt;&gt;".",up_Irr!AG25=".",up_Irr!BF25="."),up_dir!AI25/((1/1000)*(up_Irr!H25)),IF(AND(up_Irr!H25=".",up_Irr!AG25=".",up_Irr!BF25="."),up_dir!AI25*1000)))))))),".")</f>
        <v>6.5773651144152123E-11</v>
      </c>
      <c r="BJ25" s="76">
        <f>IFERROR(IF(AND(up_Irr!I25&lt;&gt;".",up_Irr!AH25&lt;&gt;".",up_Irr!BG25&lt;&gt;"."),up_dir!AJ25/((1/1000)*(up_Irr!I25+up_Irr!AH25+up_Irr!BG25)),IF(AND(up_Irr!I25&lt;&gt;".",up_Irr!AH25&lt;&gt;".",up_Irr!BG25="."),up_dir!AJ25/((1/1000)*(up_Irr!I25+up_Irr!AH25)),IF(AND(up_Irr!I25&lt;&gt;".",up_Irr!AH25=".",up_Irr!BG25&lt;&gt;"."),up_dir!AJ25/((1/1000)*(up_Irr!I25+up_Irr!BG25)),IF(AND(up_Irr!I25=".",up_Irr!AH25&lt;&gt;".",up_Irr!BG25&lt;&gt;"."),up_dir!AJ25/((1/1000)*(up_Irr!AH25+up_Irr!BG25)),IF(AND(up_Irr!I25=".",up_Irr!AH25=".",up_Irr!BG25&lt;&gt;"."),up_dir!AJ25/((1/1000)*(up_Irr!BG25)),IF(AND(up_Irr!I25=".",up_Irr!AH25&lt;&gt;".",up_Irr!BG25="."),up_dir!AJ25/((1/1000)*(up_Irr!AH25)),IF(AND(up_Irr!I25&lt;&gt;".",up_Irr!AH25=".",up_Irr!BG25="."),up_dir!AJ25/((1/1000)*(up_Irr!I25)),IF(AND(up_Irr!I25=".",up_Irr!AH25=".",up_Irr!BG25="."),up_dir!AJ25*1000)))))))),".")</f>
        <v>6.5773651144152123E-11</v>
      </c>
      <c r="BK25" s="76">
        <f>IFERROR(IF(AND(up_Irr!J25&lt;&gt;".",up_Irr!AI25&lt;&gt;".",up_Irr!BH25&lt;&gt;"."),up_dir!AK25/((1/1000)*(up_Irr!J25+up_Irr!AI25+up_Irr!BH25)),IF(AND(up_Irr!J25&lt;&gt;".",up_Irr!AI25&lt;&gt;".",up_Irr!BH25="."),up_dir!AK25/((1/1000)*(up_Irr!J25+up_Irr!AI25)),IF(AND(up_Irr!J25&lt;&gt;".",up_Irr!AI25=".",up_Irr!BH25&lt;&gt;"."),up_dir!AK25/((1/1000)*(up_Irr!J25+up_Irr!BH25)),IF(AND(up_Irr!J25=".",up_Irr!AI25&lt;&gt;".",up_Irr!BH25&lt;&gt;"."),up_dir!AK25/((1/1000)*(up_Irr!AI25+up_Irr!BH25)),IF(AND(up_Irr!J25=".",up_Irr!AI25=".",up_Irr!BH25&lt;&gt;"."),up_dir!AK25/((1/1000)*(up_Irr!BH25)),IF(AND(up_Irr!J25=".",up_Irr!AI25&lt;&gt;".",up_Irr!BH25="."),up_dir!AK25/((1/1000)*(up_Irr!AI25)),IF(AND(up_Irr!J25&lt;&gt;".",up_Irr!AI25=".",up_Irr!BH25="."),up_dir!AK25/((1/1000)*(up_Irr!J25)),IF(AND(up_Irr!J25=".",up_Irr!AI25=".",up_Irr!BH25="."),up_dir!AK25*1000)))))))),".")</f>
        <v>6.5773651144152123E-11</v>
      </c>
      <c r="BL25" s="76">
        <f>IFERROR(IF(AND(up_Irr!K25&lt;&gt;".",up_Irr!AJ25&lt;&gt;".",up_Irr!BI25&lt;&gt;"."),up_dir!AL25/((1/1000)*(up_Irr!K25+up_Irr!AJ25+up_Irr!BI25)),IF(AND(up_Irr!K25&lt;&gt;".",up_Irr!AJ25&lt;&gt;".",up_Irr!BI25="."),up_dir!AL25/((1/1000)*(up_Irr!K25+up_Irr!AJ25)),IF(AND(up_Irr!K25&lt;&gt;".",up_Irr!AJ25=".",up_Irr!BI25&lt;&gt;"."),up_dir!AL25/((1/1000)*(up_Irr!K25+up_Irr!BI25)),IF(AND(up_Irr!K25=".",up_Irr!AJ25&lt;&gt;".",up_Irr!BI25&lt;&gt;"."),up_dir!AL25/((1/1000)*(up_Irr!AJ25+up_Irr!BI25)),IF(AND(up_Irr!K25=".",up_Irr!AJ25=".",up_Irr!BI25&lt;&gt;"."),up_dir!AL25/((1/1000)*(up_Irr!BI25)),IF(AND(up_Irr!K25=".",up_Irr!AJ25&lt;&gt;".",up_Irr!BI25="."),up_dir!AL25/((1/1000)*(up_Irr!AJ25)),IF(AND(up_Irr!K25&lt;&gt;".",up_Irr!AJ25=".",up_Irr!BI25="."),up_dir!AL25/((1/1000)*(up_Irr!K25)),IF(AND(up_Irr!K25=".",up_Irr!AJ25=".",up_Irr!BI25="."),up_dir!AL25*1000)))))))),".")</f>
        <v>6.5773651144152123E-11</v>
      </c>
      <c r="BM25" s="76">
        <f>IFERROR(IF(AND(up_Irr!L25&lt;&gt;".",up_Irr!AK25&lt;&gt;".",up_Irr!BJ25&lt;&gt;"."),up_dir!AM25/((1/1000)*(up_Irr!L25+up_Irr!AK25+up_Irr!BJ25)),IF(AND(up_Irr!L25&lt;&gt;".",up_Irr!AK25&lt;&gt;".",up_Irr!BJ25="."),up_dir!AM25/((1/1000)*(up_Irr!L25+up_Irr!AK25)),IF(AND(up_Irr!L25&lt;&gt;".",up_Irr!AK25=".",up_Irr!BJ25&lt;&gt;"."),up_dir!AM25/((1/1000)*(up_Irr!L25+up_Irr!BJ25)),IF(AND(up_Irr!L25=".",up_Irr!AK25&lt;&gt;".",up_Irr!BJ25&lt;&gt;"."),up_dir!AM25/((1/1000)*(up_Irr!AK25+up_Irr!BJ25)),IF(AND(up_Irr!L25=".",up_Irr!AK25=".",up_Irr!BJ25&lt;&gt;"."),up_dir!AM25/((1/1000)*(up_Irr!BJ25)),IF(AND(up_Irr!L25=".",up_Irr!AK25&lt;&gt;".",up_Irr!BJ25="."),up_dir!AM25/((1/1000)*(up_Irr!AK25)),IF(AND(up_Irr!L25&lt;&gt;".",up_Irr!AK25=".",up_Irr!BJ25="."),up_dir!AM25/((1/1000)*(up_Irr!L25)),IF(AND(up_Irr!L25=".",up_Irr!AK25=".",up_Irr!BJ25="."),up_dir!AM25*1000)))))))),".")</f>
        <v>6.5773651144152123E-11</v>
      </c>
      <c r="BN25" s="76">
        <f>IFERROR(IF(AND(up_Irr!M25&lt;&gt;".",up_Irr!AL25&lt;&gt;".",up_Irr!BK25&lt;&gt;"."),up_dir!AN25/((1/1000)*(up_Irr!M25+up_Irr!AL25+up_Irr!BK25)),IF(AND(up_Irr!M25&lt;&gt;".",up_Irr!AL25&lt;&gt;".",up_Irr!BK25="."),up_dir!AN25/((1/1000)*(up_Irr!M25+up_Irr!AL25)),IF(AND(up_Irr!M25&lt;&gt;".",up_Irr!AL25=".",up_Irr!BK25&lt;&gt;"."),up_dir!AN25/((1/1000)*(up_Irr!M25+up_Irr!BK25)),IF(AND(up_Irr!M25=".",up_Irr!AL25&lt;&gt;".",up_Irr!BK25&lt;&gt;"."),up_dir!AN25/((1/1000)*(up_Irr!AL25+up_Irr!BK25)),IF(AND(up_Irr!M25=".",up_Irr!AL25=".",up_Irr!BK25&lt;&gt;"."),up_dir!AN25/((1/1000)*(up_Irr!BK25)),IF(AND(up_Irr!M25=".",up_Irr!AL25&lt;&gt;".",up_Irr!BK25="."),up_dir!AN25/((1/1000)*(up_Irr!AL25)),IF(AND(up_Irr!M25&lt;&gt;".",up_Irr!AL25=".",up_Irr!BK25="."),up_dir!AN25/((1/1000)*(up_Irr!M25)),IF(AND(up_Irr!M25=".",up_Irr!AL25=".",up_Irr!BK25="."),up_dir!AN25*1000)))))))),".")</f>
        <v>6.5773651144152123E-11</v>
      </c>
      <c r="BO25" s="76">
        <f>IFERROR(IF(AND(up_Irr!N25&lt;&gt;".",up_Irr!AM25&lt;&gt;".",up_Irr!BL25&lt;&gt;"."),up_dir!AO25/((1/1000)*(up_Irr!N25+up_Irr!AM25+up_Irr!BL25)),IF(AND(up_Irr!N25&lt;&gt;".",up_Irr!AM25&lt;&gt;".",up_Irr!BL25="."),up_dir!AO25/((1/1000)*(up_Irr!N25+up_Irr!AM25)),IF(AND(up_Irr!N25&lt;&gt;".",up_Irr!AM25=".",up_Irr!BL25&lt;&gt;"."),up_dir!AO25/((1/1000)*(up_Irr!N25+up_Irr!BL25)),IF(AND(up_Irr!N25=".",up_Irr!AM25&lt;&gt;".",up_Irr!BL25&lt;&gt;"."),up_dir!AO25/((1/1000)*(up_Irr!AM25+up_Irr!BL25)),IF(AND(up_Irr!N25=".",up_Irr!AM25=".",up_Irr!BL25&lt;&gt;"."),up_dir!AO25/((1/1000)*(up_Irr!BL25)),IF(AND(up_Irr!N25=".",up_Irr!AM25&lt;&gt;".",up_Irr!BL25="."),up_dir!AO25/((1/1000)*(up_Irr!AM25)),IF(AND(up_Irr!N25&lt;&gt;".",up_Irr!AM25=".",up_Irr!BL25="."),up_dir!AO25/((1/1000)*(up_Irr!N25)),IF(AND(up_Irr!N25=".",up_Irr!AM25=".",up_Irr!BL25="."),up_dir!AO25*1000)))))))),".")</f>
        <v>6.5773651144152123E-11</v>
      </c>
      <c r="BP25" s="76">
        <f>IFERROR(IF(AND(up_Irr!O25&lt;&gt;".",up_Irr!AN25&lt;&gt;".",up_Irr!BM25&lt;&gt;"."),up_dir!AP25/((1/1000)*(up_Irr!O25+up_Irr!AN25+up_Irr!BM25)),IF(AND(up_Irr!O25&lt;&gt;".",up_Irr!AN25&lt;&gt;".",up_Irr!BM25="."),up_dir!AP25/((1/1000)*(up_Irr!O25+up_Irr!AN25)),IF(AND(up_Irr!O25&lt;&gt;".",up_Irr!AN25=".",up_Irr!BM25&lt;&gt;"."),up_dir!AP25/((1/1000)*(up_Irr!O25+up_Irr!BM25)),IF(AND(up_Irr!O25=".",up_Irr!AN25&lt;&gt;".",up_Irr!BM25&lt;&gt;"."),up_dir!AP25/((1/1000)*(up_Irr!AN25+up_Irr!BM25)),IF(AND(up_Irr!O25=".",up_Irr!AN25=".",up_Irr!BM25&lt;&gt;"."),up_dir!AP25/((1/1000)*(up_Irr!BM25)),IF(AND(up_Irr!O25=".",up_Irr!AN25&lt;&gt;".",up_Irr!BM25="."),up_dir!AP25/((1/1000)*(up_Irr!AN25)),IF(AND(up_Irr!O25&lt;&gt;".",up_Irr!AN25=".",up_Irr!BM25="."),up_dir!AP25/((1/1000)*(up_Irr!O25)),IF(AND(up_Irr!O25=".",up_Irr!AN25=".",up_Irr!BM25="."),up_dir!AP25*1000)))))))),".")</f>
        <v>6.5773651144152123E-11</v>
      </c>
      <c r="BQ25" s="76">
        <f>IFERROR(IF(AND(up_Irr!P25&lt;&gt;".",up_Irr!AO25&lt;&gt;".",up_Irr!BN25&lt;&gt;"."),up_dir!AQ25/((1/1000)*(up_Irr!P25+up_Irr!AO25+up_Irr!BN25)),IF(AND(up_Irr!P25&lt;&gt;".",up_Irr!AO25&lt;&gt;".",up_Irr!BN25="."),up_dir!AQ25/((1/1000)*(up_Irr!P25+up_Irr!AO25)),IF(AND(up_Irr!P25&lt;&gt;".",up_Irr!AO25=".",up_Irr!BN25&lt;&gt;"."),up_dir!AQ25/((1/1000)*(up_Irr!P25+up_Irr!BN25)),IF(AND(up_Irr!P25=".",up_Irr!AO25&lt;&gt;".",up_Irr!BN25&lt;&gt;"."),up_dir!AQ25/((1/1000)*(up_Irr!AO25+up_Irr!BN25)),IF(AND(up_Irr!P25=".",up_Irr!AO25=".",up_Irr!BN25&lt;&gt;"."),up_dir!AQ25/((1/1000)*(up_Irr!BN25)),IF(AND(up_Irr!P25=".",up_Irr!AO25&lt;&gt;".",up_Irr!BN25="."),up_dir!AQ25/((1/1000)*(up_Irr!AO25)),IF(AND(up_Irr!P25&lt;&gt;".",up_Irr!AO25=".",up_Irr!BN25="."),up_dir!AQ25/((1/1000)*(up_Irr!P25)),IF(AND(up_Irr!P25=".",up_Irr!AO25=".",up_Irr!BN25="."),up_dir!AQ25*1000)))))))),".")</f>
        <v>6.5773651144152123E-11</v>
      </c>
      <c r="BR25" s="76">
        <f>IFERROR(IF(AND(up_Irr!Q25&lt;&gt;".",up_Irr!AP25&lt;&gt;".",up_Irr!BO25&lt;&gt;"."),up_dir!AR25/((1/1000)*(up_Irr!Q25+up_Irr!AP25+up_Irr!BO25)),IF(AND(up_Irr!Q25&lt;&gt;".",up_Irr!AP25&lt;&gt;".",up_Irr!BO25="."),up_dir!AR25/((1/1000)*(up_Irr!Q25+up_Irr!AP25)),IF(AND(up_Irr!Q25&lt;&gt;".",up_Irr!AP25=".",up_Irr!BO25&lt;&gt;"."),up_dir!AR25/((1/1000)*(up_Irr!Q25+up_Irr!BO25)),IF(AND(up_Irr!Q25=".",up_Irr!AP25&lt;&gt;".",up_Irr!BO25&lt;&gt;"."),up_dir!AR25/((1/1000)*(up_Irr!AP25+up_Irr!BO25)),IF(AND(up_Irr!Q25=".",up_Irr!AP25=".",up_Irr!BO25&lt;&gt;"."),up_dir!AR25/((1/1000)*(up_Irr!BO25)),IF(AND(up_Irr!Q25=".",up_Irr!AP25&lt;&gt;".",up_Irr!BO25="."),up_dir!AR25/((1/1000)*(up_Irr!AP25)),IF(AND(up_Irr!Q25&lt;&gt;".",up_Irr!AP25=".",up_Irr!BO25="."),up_dir!AR25/((1/1000)*(up_Irr!Q25)),IF(AND(up_Irr!Q25=".",up_Irr!AP25=".",up_Irr!BO25="."),up_dir!AR25*1000)))))))),".")</f>
        <v>6.5773651144152123E-11</v>
      </c>
      <c r="BS25" s="76">
        <f>IFERROR(IF(AND(up_Irr!R25&lt;&gt;".",up_Irr!AQ25&lt;&gt;".",up_Irr!BP25&lt;&gt;"."),up_dir!AS25/((1/1000)*(up_Irr!R25+up_Irr!AQ25+up_Irr!BP25)),IF(AND(up_Irr!R25&lt;&gt;".",up_Irr!AQ25&lt;&gt;".",up_Irr!BP25="."),up_dir!AS25/((1/1000)*(up_Irr!R25+up_Irr!AQ25)),IF(AND(up_Irr!R25&lt;&gt;".",up_Irr!AQ25=".",up_Irr!BP25&lt;&gt;"."),up_dir!AS25/((1/1000)*(up_Irr!R25+up_Irr!BP25)),IF(AND(up_Irr!R25=".",up_Irr!AQ25&lt;&gt;".",up_Irr!BP25&lt;&gt;"."),up_dir!AS25/((1/1000)*(up_Irr!AQ25+up_Irr!BP25)),IF(AND(up_Irr!R25=".",up_Irr!AQ25=".",up_Irr!BP25&lt;&gt;"."),up_dir!AS25/((1/1000)*(up_Irr!BP25)),IF(AND(up_Irr!R25=".",up_Irr!AQ25&lt;&gt;".",up_Irr!BP25="."),up_dir!AS25/((1/1000)*(up_Irr!AQ25)),IF(AND(up_Irr!R25&lt;&gt;".",up_Irr!AQ25=".",up_Irr!BP25="."),up_dir!AS25/((1/1000)*(up_Irr!R25)),IF(AND(up_Irr!R25=".",up_Irr!AQ25=".",up_Irr!BP25="."),up_dir!AS25*1000)))))))),".")</f>
        <v>6.5773651144152123E-11</v>
      </c>
      <c r="BT25" s="76">
        <f>IFERROR(IF(AND(up_Irr!S25&lt;&gt;".",up_Irr!AR25&lt;&gt;".",up_Irr!BQ25&lt;&gt;"."),up_dir!AT25/((1/1000)*(up_Irr!S25+up_Irr!AR25+up_Irr!BQ25)),IF(AND(up_Irr!S25&lt;&gt;".",up_Irr!AR25&lt;&gt;".",up_Irr!BQ25="."),up_dir!AT25/((1/1000)*(up_Irr!S25+up_Irr!AR25)),IF(AND(up_Irr!S25&lt;&gt;".",up_Irr!AR25=".",up_Irr!BQ25&lt;&gt;"."),up_dir!AT25/((1/1000)*(up_Irr!S25+up_Irr!BQ25)),IF(AND(up_Irr!S25=".",up_Irr!AR25&lt;&gt;".",up_Irr!BQ25&lt;&gt;"."),up_dir!AT25/((1/1000)*(up_Irr!AR25+up_Irr!BQ25)),IF(AND(up_Irr!S25=".",up_Irr!AR25=".",up_Irr!BQ25&lt;&gt;"."),up_dir!AT25/((1/1000)*(up_Irr!BQ25)),IF(AND(up_Irr!S25=".",up_Irr!AR25&lt;&gt;".",up_Irr!BQ25="."),up_dir!AT25/((1/1000)*(up_Irr!AR25)),IF(AND(up_Irr!S25&lt;&gt;".",up_Irr!AR25=".",up_Irr!BQ25="."),up_dir!AT25/((1/1000)*(up_Irr!S25)),IF(AND(up_Irr!S25=".",up_Irr!AR25=".",up_Irr!BQ25="."),up_dir!AT25*1000)))))))),".")</f>
        <v>6.5773651144152123E-11</v>
      </c>
      <c r="BU25" s="76">
        <f>IFERROR(IF(AND(up_Irr!T25&lt;&gt;".",up_Irr!AS25&lt;&gt;".",up_Irr!BR25&lt;&gt;"."),up_dir!AU25/((1/1000)*(up_Irr!T25+up_Irr!AS25+up_Irr!BR25)),IF(AND(up_Irr!T25&lt;&gt;".",up_Irr!AS25&lt;&gt;".",up_Irr!BR25="."),up_dir!AU25/((1/1000)*(up_Irr!T25+up_Irr!AS25)),IF(AND(up_Irr!T25&lt;&gt;".",up_Irr!AS25=".",up_Irr!BR25&lt;&gt;"."),up_dir!AU25/((1/1000)*(up_Irr!T25+up_Irr!BR25)),IF(AND(up_Irr!T25=".",up_Irr!AS25&lt;&gt;".",up_Irr!BR25&lt;&gt;"."),up_dir!AU25/((1/1000)*(up_Irr!AS25+up_Irr!BR25)),IF(AND(up_Irr!T25=".",up_Irr!AS25=".",up_Irr!BR25&lt;&gt;"."),up_dir!AU25/((1/1000)*(up_Irr!BR25)),IF(AND(up_Irr!T25=".",up_Irr!AS25&lt;&gt;".",up_Irr!BR25="."),up_dir!AU25/((1/1000)*(up_Irr!AS25)),IF(AND(up_Irr!T25&lt;&gt;".",up_Irr!AS25=".",up_Irr!BR25="."),up_dir!AU25/((1/1000)*(up_Irr!T25)),IF(AND(up_Irr!T25=".",up_Irr!AS25=".",up_Irr!BR25="."),up_dir!AU25*1000)))))))),".")</f>
        <v>6.5773651144152123E-11</v>
      </c>
      <c r="BV25" s="76">
        <f>IFERROR(IF(AND(up_Irr!U25&lt;&gt;".",up_Irr!AT25&lt;&gt;".",up_Irr!BS25&lt;&gt;"."),up_dir!AV25/((1/1000)*(up_Irr!U25+up_Irr!AT25+up_Irr!BS25)),IF(AND(up_Irr!U25&lt;&gt;".",up_Irr!AT25&lt;&gt;".",up_Irr!BS25="."),up_dir!AV25/((1/1000)*(up_Irr!U25+up_Irr!AT25)),IF(AND(up_Irr!U25&lt;&gt;".",up_Irr!AT25=".",up_Irr!BS25&lt;&gt;"."),up_dir!AV25/((1/1000)*(up_Irr!U25+up_Irr!BS25)),IF(AND(up_Irr!U25=".",up_Irr!AT25&lt;&gt;".",up_Irr!BS25&lt;&gt;"."),up_dir!AV25/((1/1000)*(up_Irr!AT25+up_Irr!BS25)),IF(AND(up_Irr!U25=".",up_Irr!AT25=".",up_Irr!BS25&lt;&gt;"."),up_dir!AV25/((1/1000)*(up_Irr!BS25)),IF(AND(up_Irr!U25=".",up_Irr!AT25&lt;&gt;".",up_Irr!BS25="."),up_dir!AV25/((1/1000)*(up_Irr!AT25)),IF(AND(up_Irr!U25&lt;&gt;".",up_Irr!AT25=".",up_Irr!BS25="."),up_dir!AV25/((1/1000)*(up_Irr!U25)),IF(AND(up_Irr!U25=".",up_Irr!AT25=".",up_Irr!BS25="."),up_dir!AV25*1000)))))))),".")</f>
        <v>6.5773651144152123E-11</v>
      </c>
      <c r="BW25" s="76">
        <f>IFERROR(IF(AND(up_Irr!V25&lt;&gt;".",up_Irr!AU25&lt;&gt;".",up_Irr!BT25&lt;&gt;"."),up_dir!AW25/((1/1000)*(up_Irr!V25+up_Irr!AU25+up_Irr!BT25)),IF(AND(up_Irr!V25&lt;&gt;".",up_Irr!AU25&lt;&gt;".",up_Irr!BT25="."),up_dir!AW25/((1/1000)*(up_Irr!V25+up_Irr!AU25)),IF(AND(up_Irr!V25&lt;&gt;".",up_Irr!AU25=".",up_Irr!BT25&lt;&gt;"."),up_dir!AW25/((1/1000)*(up_Irr!V25+up_Irr!BT25)),IF(AND(up_Irr!V25=".",up_Irr!AU25&lt;&gt;".",up_Irr!BT25&lt;&gt;"."),up_dir!AW25/((1/1000)*(up_Irr!AU25+up_Irr!BT25)),IF(AND(up_Irr!V25=".",up_Irr!AU25=".",up_Irr!BT25&lt;&gt;"."),up_dir!AW25/((1/1000)*(up_Irr!BT25)),IF(AND(up_Irr!V25=".",up_Irr!AU25&lt;&gt;".",up_Irr!BT25="."),up_dir!AW25/((1/1000)*(up_Irr!AU25)),IF(AND(up_Irr!V25&lt;&gt;".",up_Irr!AU25=".",up_Irr!BT25="."),up_dir!AW25/((1/1000)*(up_Irr!V25)),IF(AND(up_Irr!V25=".",up_Irr!AU25=".",up_Irr!BT25="."),up_dir!AW25*1000)))))))),".")</f>
        <v>6.5773651144152123E-11</v>
      </c>
      <c r="BX25" s="76">
        <f>IFERROR(IF(AND(up_Irr!W25&lt;&gt;".",up_Irr!AV25&lt;&gt;".",up_Irr!BU25&lt;&gt;"."),up_dir!AX25/((1/1000)*(up_Irr!W25+up_Irr!AV25+up_Irr!BU25)),IF(AND(up_Irr!W25&lt;&gt;".",up_Irr!AV25&lt;&gt;".",up_Irr!BU25="."),up_dir!AX25/((1/1000)*(up_Irr!W25+up_Irr!AV25)),IF(AND(up_Irr!W25&lt;&gt;".",up_Irr!AV25=".",up_Irr!BU25&lt;&gt;"."),up_dir!AX25/((1/1000)*(up_Irr!W25+up_Irr!BU25)),IF(AND(up_Irr!W25=".",up_Irr!AV25&lt;&gt;".",up_Irr!BU25&lt;&gt;"."),up_dir!AX25/((1/1000)*(up_Irr!AV25+up_Irr!BU25)),IF(AND(up_Irr!W25=".",up_Irr!AV25=".",up_Irr!BU25&lt;&gt;"."),up_dir!AX25/((1/1000)*(up_Irr!BU25)),IF(AND(up_Irr!W25=".",up_Irr!AV25&lt;&gt;".",up_Irr!BU25="."),up_dir!AX25/((1/1000)*(up_Irr!AV25)),IF(AND(up_Irr!W25&lt;&gt;".",up_Irr!AV25=".",up_Irr!BU25="."),up_dir!AX25/((1/1000)*(up_Irr!W25)),IF(AND(up_Irr!W25=".",up_Irr!AV25=".",up_Irr!BU25="."),up_dir!AX25*1000)))))))),".")</f>
        <v>6.5773651144152123E-11</v>
      </c>
      <c r="BY25" s="76">
        <f>IFERROR(IF(AND(up_Irr!X25&lt;&gt;".",up_Irr!AW25&lt;&gt;".",up_Irr!BV25&lt;&gt;"."),up_dir!AY25/((1/1000)*(up_Irr!X25+up_Irr!AW25+up_Irr!BV25)),IF(AND(up_Irr!X25&lt;&gt;".",up_Irr!AW25&lt;&gt;".",up_Irr!BV25="."),up_dir!AY25/((1/1000)*(up_Irr!X25+up_Irr!AW25)),IF(AND(up_Irr!X25&lt;&gt;".",up_Irr!AW25=".",up_Irr!BV25&lt;&gt;"."),up_dir!AY25/((1/1000)*(up_Irr!X25+up_Irr!BV25)),IF(AND(up_Irr!X25=".",up_Irr!AW25&lt;&gt;".",up_Irr!BV25&lt;&gt;"."),up_dir!AY25/((1/1000)*(up_Irr!AW25+up_Irr!BV25)),IF(AND(up_Irr!X25=".",up_Irr!AW25=".",up_Irr!BV25&lt;&gt;"."),up_dir!AY25/((1/1000)*(up_Irr!BV25)),IF(AND(up_Irr!X25=".",up_Irr!AW25&lt;&gt;".",up_Irr!BV25="."),up_dir!AY25/((1/1000)*(up_Irr!AW25)),IF(AND(up_Irr!X25&lt;&gt;".",up_Irr!AW25=".",up_Irr!BV25="."),up_dir!AY25/((1/1000)*(up_Irr!X25)),IF(AND(up_Irr!X25=".",up_Irr!AW25=".",up_Irr!BV25="."),up_dir!AY25*1000)))))))),".")</f>
        <v>6.5773651144152123E-11</v>
      </c>
      <c r="BZ25" s="76">
        <f>IFERROR(IF(AND(up_Irr!Y25&lt;&gt;".",up_Irr!AX25&lt;&gt;".",up_Irr!BW25&lt;&gt;"."),up_dir!AZ25/((1/1000)*(up_Irr!Y25+up_Irr!AX25+up_Irr!BW25)),IF(AND(up_Irr!Y25&lt;&gt;".",up_Irr!AX25&lt;&gt;".",up_Irr!BW25="."),up_dir!AZ25/((1/1000)*(up_Irr!Y25+up_Irr!AX25)),IF(AND(up_Irr!Y25&lt;&gt;".",up_Irr!AX25=".",up_Irr!BW25&lt;&gt;"."),up_dir!AZ25/((1/1000)*(up_Irr!Y25+up_Irr!BW25)),IF(AND(up_Irr!Y25=".",up_Irr!AX25&lt;&gt;".",up_Irr!BW25&lt;&gt;"."),up_dir!AZ25/((1/1000)*(up_Irr!AX25+up_Irr!BW25)),IF(AND(up_Irr!Y25=".",up_Irr!AX25=".",up_Irr!BW25&lt;&gt;"."),up_dir!AZ25/((1/1000)*(up_Irr!BW25)),IF(AND(up_Irr!Y25=".",up_Irr!AX25&lt;&gt;".",up_Irr!BW25="."),up_dir!AZ25/((1/1000)*(up_Irr!AX25)),IF(AND(up_Irr!Y25&lt;&gt;".",up_Irr!AX25=".",up_Irr!BW25="."),up_dir!AZ25/((1/1000)*(up_Irr!Y25)),IF(AND(up_Irr!Y25=".",up_Irr!AX25=".",up_Irr!BW25="."),up_dir!AZ25*1000)))))))),".")</f>
        <v>6.5773651144152123E-11</v>
      </c>
      <c r="CA25" s="76">
        <f>IFERROR(IF(AND(up_Irr!Z25&lt;&gt;".",up_Irr!AY25&lt;&gt;".",up_Irr!BX25&lt;&gt;"."),up_dir!BA25/((1/1000)*(up_Irr!Z25+up_Irr!AY25+up_Irr!BX25)),IF(AND(up_Irr!Z25&lt;&gt;".",up_Irr!AY25&lt;&gt;".",up_Irr!BX25="."),up_dir!BA25/((1/1000)*(up_Irr!Z25+up_Irr!AY25)),IF(AND(up_Irr!Z25&lt;&gt;".",up_Irr!AY25=".",up_Irr!BX25&lt;&gt;"."),up_dir!BA25/((1/1000)*(up_Irr!Z25+up_Irr!BX25)),IF(AND(up_Irr!Z25=".",up_Irr!AY25&lt;&gt;".",up_Irr!BX25&lt;&gt;"."),up_dir!BA25/((1/1000)*(up_Irr!AY25+up_Irr!BX25)),IF(AND(up_Irr!Z25=".",up_Irr!AY25=".",up_Irr!BX25&lt;&gt;"."),up_dir!BA25/((1/1000)*(up_Irr!BX25)),IF(AND(up_Irr!Z25=".",up_Irr!AY25&lt;&gt;".",up_Irr!BX25="."),up_dir!BA25/((1/1000)*(up_Irr!AY25)),IF(AND(up_Irr!Z25&lt;&gt;".",up_Irr!AY25=".",up_Irr!BX25="."),up_dir!BA25/((1/1000)*(up_Irr!Z25)),IF(AND(up_Irr!Z25=".",up_Irr!AY25=".",up_Irr!BX25="."),up_dir!BA25*1000)))))))),".")</f>
        <v>6.5773651144152123E-11</v>
      </c>
      <c r="CB25" s="76">
        <f>IFERROR(IF(AND(up_Irr!AA25&lt;&gt;".",up_Irr!AZ25&lt;&gt;".",up_Irr!BY25&lt;&gt;"."),up_dir!BB25/((1/1000)*(up_Irr!AA25+up_Irr!AZ25+up_Irr!BY25)),IF(AND(up_Irr!AA25&lt;&gt;".",up_Irr!AZ25&lt;&gt;".",up_Irr!BY25="."),up_dir!BB25/((1/1000)*(up_Irr!AA25+up_Irr!AZ25)),IF(AND(up_Irr!AA25&lt;&gt;".",up_Irr!AZ25=".",up_Irr!BY25&lt;&gt;"."),up_dir!BB25/((1/1000)*(up_Irr!AA25+up_Irr!BY25)),IF(AND(up_Irr!AA25=".",up_Irr!AZ25&lt;&gt;".",up_Irr!BY25&lt;&gt;"."),up_dir!BB25/((1/1000)*(up_Irr!AZ25+up_Irr!BY25)),IF(AND(up_Irr!AA25=".",up_Irr!AZ25=".",up_Irr!BY25&lt;&gt;"."),up_dir!BB25/((1/1000)*(up_Irr!BY25)),IF(AND(up_Irr!AA25=".",up_Irr!AZ25&lt;&gt;".",up_Irr!BY25="."),up_dir!BB25/((1/1000)*(up_Irr!AZ25)),IF(AND(up_Irr!AA25&lt;&gt;".",up_Irr!AZ25=".",up_Irr!BY25="."),up_dir!BB25/((1/1000)*(up_Irr!AA25)),IF(AND(up_Irr!AA25=".",up_Irr!AZ25=".",up_Irr!BY25="."),up_dir!BB25*1000)))))))),".")</f>
        <v>6.5773651144152123E-11</v>
      </c>
      <c r="CC25" s="93">
        <f t="shared" si="3"/>
        <v>608146.26076229871</v>
      </c>
      <c r="CD25" s="93">
        <f>IFERROR(s_C*s_IFAP_far_adj*s_CF_apple*(1/1000)*(up_Irr!C25+up_Irr!AB25+up_Irr!BA25),".")</f>
        <v>152036.56519057468</v>
      </c>
      <c r="CE25" s="93">
        <f>IFERROR(s_C*s_IFAS_far_adj*s_CF_asparagus*(1/1000)*(up_Irr!D25+up_Irr!AC25+up_Irr!BB25),".")</f>
        <v>152036.56519057468</v>
      </c>
      <c r="CF25" s="93">
        <f>IFERROR(s_C*s_IFBT_far_adj*s_CF_beet*(1/1000)*(up_Irr!E25+up_Irr!AD25+up_Irr!BC25),".")</f>
        <v>152036.56519057468</v>
      </c>
      <c r="CG25" s="93">
        <f>IFERROR(s_C*s_IFBE_far_adj*s_CF_berries*(1/1000)*(up_Irr!F25+up_Irr!AE25+up_Irr!BD25),".")</f>
        <v>152036.56519057468</v>
      </c>
      <c r="CH25" s="93">
        <f>IFERROR(s_C*s_IFBR_far_adj*s_CF_broccoli*(1/1000)*(up_Irr!G25+up_Irr!AF25+up_Irr!BE25),".")</f>
        <v>152036.56519057468</v>
      </c>
      <c r="CI25" s="93">
        <f>IFERROR(s_C*s_IFCB_far_adj*s_CF_cabbage*(1/1000)*(up_Irr!H25+up_Irr!AG25+up_Irr!BF25),".")</f>
        <v>152036.56519057468</v>
      </c>
      <c r="CJ25" s="93">
        <f>IFERROR(s_C*s_IFCR_far_adj*s_CF_carrot*(1/1000)*(up_Irr!I25+up_Irr!AH25+up_Irr!BG25),".")</f>
        <v>152036.56519057468</v>
      </c>
      <c r="CK25" s="93">
        <f>IFERROR(s_C*s_IFCI_far_adj*s_CF_citrus*(1/1000)*(up_Irr!J25+up_Irr!AI25+up_Irr!BH25),".")</f>
        <v>152036.56519057468</v>
      </c>
      <c r="CL25" s="93">
        <f>IFERROR(s_C*s_IFCO_far_adj*s_CF_corn*(1/1000)*(up_Irr!K25+up_Irr!AJ25+up_Irr!BI25),".")</f>
        <v>152036.56519057468</v>
      </c>
      <c r="CM25" s="93">
        <f>IFERROR(s_C*s_IFCU_far_adj*s_CF_cucumber*(1/1000)*(up_Irr!L25+up_Irr!AK25+up_Irr!BJ25),".")</f>
        <v>152036.56519057468</v>
      </c>
      <c r="CN25" s="93">
        <f>IFERROR(s_C*s_IFLE_far_adj*s_CF_lettuce*(1/1000)*(up_Irr!M25+up_Irr!AL25+up_Irr!BK25),".")</f>
        <v>152036.56519057468</v>
      </c>
      <c r="CO25" s="93">
        <f>IFERROR(s_C*s_IFLI_far_adj*s_CF_lima_bean*(1/1000)*(up_Irr!N25+up_Irr!AM25+up_Irr!BL25),".")</f>
        <v>152036.56519057468</v>
      </c>
      <c r="CP25" s="93">
        <f>IFERROR(s_C*s_IFOK_far_adj*s_CF_okra*(1/1000)*(up_Irr!O25+up_Irr!AN25+up_Irr!BM25),".")</f>
        <v>152036.56519057468</v>
      </c>
      <c r="CQ25" s="93">
        <f>IFERROR(s_C*s_IFON_far_adj*s_CF_onion*(1/1000)*(up_Irr!P25+up_Irr!AO25+up_Irr!BN25),".")</f>
        <v>152036.56519057468</v>
      </c>
      <c r="CR25" s="93">
        <f>IFERROR(s_C*s_IFPC_far_adj*s_CF_peach*(1/1000)*(up_Irr!Q25+up_Irr!AP25+up_Irr!BO25),".")</f>
        <v>152036.56519057468</v>
      </c>
      <c r="CS25" s="93">
        <f>IFERROR(s_C*s_IFPR_far_adj*s_CF_pear*(1/1000)*(up_Irr!R25+up_Irr!AQ25+up_Irr!BP25),".")</f>
        <v>152036.56519057468</v>
      </c>
      <c r="CT25" s="93">
        <f>IFERROR(s_C*s_IFPE_far_adj*s_CF_peas*(1/1000)*(up_Irr!S25+up_Irr!AR25+up_Irr!BQ25),".")</f>
        <v>152036.56519057468</v>
      </c>
      <c r="CU25" s="93">
        <f>IFERROR(s_C*s_IFPP_far_adj*s_CF_peppers*(1/1000)*(up_Irr!T25+up_Irr!AS25+up_Irr!BR25),".")</f>
        <v>152036.56519057468</v>
      </c>
      <c r="CV25" s="93">
        <f>IFERROR(s_C*s_IFPT_far_adj*s_CF_potato*(1/1000)*(up_Irr!U25+up_Irr!AT25+up_Irr!BS25),".")</f>
        <v>152036.56519057468</v>
      </c>
      <c r="CW25" s="93">
        <f>IFERROR(s_C*s_IFPU_far_adj*s_CF_pumpkin*(1/1000)*(up_Irr!V25+up_Irr!AU25+up_Irr!BT25),".")</f>
        <v>152036.56519057468</v>
      </c>
      <c r="CX25" s="93">
        <f>IFERROR(s_C*s_IFSN_far_adj*s_CF_snap_bean*(1/1000)*(up_Irr!W25+up_Irr!AV25+up_Irr!BU25),".")</f>
        <v>152036.56519057468</v>
      </c>
      <c r="CY25" s="93">
        <f>IFERROR(s_C*s_IFST_far_adj*s_CF_strawberry*(1/1000)*(up_Irr!X25+up_Irr!AW25+up_Irr!BV25),".")</f>
        <v>152036.56519057468</v>
      </c>
      <c r="CZ25" s="93">
        <f>IFERROR(s_C*s_IFTO_far_adj*s_CF_tomato*(1/1000)*(up_Irr!Y25+up_Irr!AX25+up_Irr!BW25),".")</f>
        <v>152036.56519057468</v>
      </c>
      <c r="DA25" s="93">
        <f>IFERROR(s_C*s_IFRI_far_adj*s_CF_rice*(1/1000)*(up_Irr!Z25+up_Irr!AY25+up_Irr!BX25),".")</f>
        <v>152036.56519057468</v>
      </c>
      <c r="DB25" s="93">
        <f>IFERROR(s_C*s_IFCG_far_adj*s_CF_cereal*(1/1000)*(up_Irr!AA25+up_Irr!AZ25+up_Irr!BY25),".")</f>
        <v>152036.56519057468</v>
      </c>
    </row>
    <row r="26" spans="1:106" ht="15" customHeight="1" x14ac:dyDescent="0.25">
      <c r="A26" s="92" t="s">
        <v>36</v>
      </c>
      <c r="B26" s="90" t="s">
        <v>1071</v>
      </c>
      <c r="C26" s="15">
        <f t="shared" si="0"/>
        <v>1.6443412786038031E-11</v>
      </c>
      <c r="D26" s="76">
        <f>IFERROR(IF(AND(up_Irr!C26&lt;&gt;".",up_Irr!AB26&lt;&gt;".",up_Irr!BA26&lt;&gt;"."),up_dir!D26/((1/1000)*(up_Irr!C26+up_Irr!AB26+up_Irr!BA26)),IF(AND(up_Irr!C26&lt;&gt;".",up_Irr!AB26&lt;&gt;".",up_Irr!BA26="."),up_dir!D26/((1/1000)*(up_Irr!C26+up_Irr!AB26)),IF(AND(up_Irr!C26&lt;&gt;".",up_Irr!AB26=".",up_Irr!BA26&lt;&gt;"."),up_dir!D26/((1/1000)*(up_Irr!C26+up_Irr!BA26)),IF(AND(up_Irr!C26=".",up_Irr!AB26&lt;&gt;".",up_Irr!BA26&lt;&gt;"."),up_dir!D26/((1/1000)*(up_Irr!AB26+up_Irr!BA26)),IF(AND(up_Irr!C26=".",up_Irr!AB26=".",up_Irr!BA26&lt;&gt;"."),up_dir!D26/((1/1000)*(up_Irr!BA26)),IF(AND(up_Irr!C26=".",up_Irr!AB26&lt;&gt;".",up_Irr!BA26="."),up_dir!D26/((1/1000)*(up_Irr!AB26)),IF(AND(up_Irr!C26&lt;&gt;".",up_Irr!AB26=".",up_Irr!BA26="."),up_dir!D26/((1/1000)*(up_Irr!C26)),IF(AND(up_Irr!C26=".",up_Irr!AB26=".",up_Irr!BA26="."),up_dir!D26*1000)))))))),".")</f>
        <v>6.5773651144152123E-11</v>
      </c>
      <c r="E26" s="76">
        <f>IFERROR(IF(AND(up_Irr!D26&lt;&gt;".",up_Irr!AC26&lt;&gt;".",up_Irr!BB26&lt;&gt;"."),up_dir!E26/((1/1000)*(up_Irr!D26+up_Irr!AC26+up_Irr!BB26)),IF(AND(up_Irr!D26&lt;&gt;".",up_Irr!AC26&lt;&gt;".",up_Irr!BB26="."),up_dir!E26/((1/1000)*(up_Irr!D26+up_Irr!AC26)),IF(AND(up_Irr!D26&lt;&gt;".",up_Irr!AC26=".",up_Irr!BB26&lt;&gt;"."),up_dir!E26/((1/1000)*(up_Irr!D26+up_Irr!BB26)),IF(AND(up_Irr!D26=".",up_Irr!AC26&lt;&gt;".",up_Irr!BB26&lt;&gt;"."),up_dir!E26/((1/1000)*(up_Irr!AC26+up_Irr!BB26)),IF(AND(up_Irr!D26=".",up_Irr!AC26=".",up_Irr!BB26&lt;&gt;"."),up_dir!E26/((1/1000)*(up_Irr!BB26)),IF(AND(up_Irr!D26=".",up_Irr!AC26&lt;&gt;".",up_Irr!BB26="."),up_dir!E26/((1/1000)*(up_Irr!AC26)),IF(AND(up_Irr!D26&lt;&gt;".",up_Irr!AC26=".",up_Irr!BB26="."),up_dir!E26/((1/1000)*(up_Irr!D26)),IF(AND(up_Irr!D26=".",up_Irr!AC26=".",up_Irr!BB26="."),up_dir!E26*1000)))))))),".")</f>
        <v>6.5773651144152123E-11</v>
      </c>
      <c r="F26" s="76">
        <f>IFERROR(IF(AND(up_Irr!E26&lt;&gt;".",up_Irr!AD26&lt;&gt;".",up_Irr!BC26&lt;&gt;"."),up_dir!F26/((1/1000)*(up_Irr!E26+up_Irr!AD26+up_Irr!BC26)),IF(AND(up_Irr!E26&lt;&gt;".",up_Irr!AD26&lt;&gt;".",up_Irr!BC26="."),up_dir!F26/((1/1000)*(up_Irr!E26+up_Irr!AD26)),IF(AND(up_Irr!E26&lt;&gt;".",up_Irr!AD26=".",up_Irr!BC26&lt;&gt;"."),up_dir!F26/((1/1000)*(up_Irr!E26+up_Irr!BC26)),IF(AND(up_Irr!E26=".",up_Irr!AD26&lt;&gt;".",up_Irr!BC26&lt;&gt;"."),up_dir!F26/((1/1000)*(up_Irr!AD26+up_Irr!BC26)),IF(AND(up_Irr!E26=".",up_Irr!AD26=".",up_Irr!BC26&lt;&gt;"."),up_dir!F26/((1/1000)*(up_Irr!BC26)),IF(AND(up_Irr!E26=".",up_Irr!AD26&lt;&gt;".",up_Irr!BC26="."),up_dir!F26/((1/1000)*(up_Irr!AD26)),IF(AND(up_Irr!E26&lt;&gt;".",up_Irr!AD26=".",up_Irr!BC26="."),up_dir!F26/((1/1000)*(up_Irr!E26)),IF(AND(up_Irr!E26=".",up_Irr!AD26=".",up_Irr!BC26="."),up_dir!F26*1000)))))))),".")</f>
        <v>6.5773651144152123E-11</v>
      </c>
      <c r="G26" s="76">
        <f>IFERROR(IF(AND(up_Irr!F26&lt;&gt;".",up_Irr!AE26&lt;&gt;".",up_Irr!BD26&lt;&gt;"."),up_dir!G26/((1/1000)*(up_Irr!F26+up_Irr!AE26+up_Irr!BD26)),IF(AND(up_Irr!F26&lt;&gt;".",up_Irr!AE26&lt;&gt;".",up_Irr!BD26="."),up_dir!G26/((1/1000)*(up_Irr!F26+up_Irr!AE26)),IF(AND(up_Irr!F26&lt;&gt;".",up_Irr!AE26=".",up_Irr!BD26&lt;&gt;"."),up_dir!G26/((1/1000)*(up_Irr!F26+up_Irr!BD26)),IF(AND(up_Irr!F26=".",up_Irr!AE26&lt;&gt;".",up_Irr!BD26&lt;&gt;"."),up_dir!G26/((1/1000)*(up_Irr!AE26+up_Irr!BD26)),IF(AND(up_Irr!F26=".",up_Irr!AE26=".",up_Irr!BD26&lt;&gt;"."),up_dir!G26/((1/1000)*(up_Irr!BD26)),IF(AND(up_Irr!F26=".",up_Irr!AE26&lt;&gt;".",up_Irr!BD26="."),up_dir!G26/((1/1000)*(up_Irr!AE26)),IF(AND(up_Irr!F26&lt;&gt;".",up_Irr!AE26=".",up_Irr!BD26="."),up_dir!G26/((1/1000)*(up_Irr!F26)),IF(AND(up_Irr!F26=".",up_Irr!AE26=".",up_Irr!BD26="."),up_dir!G26*1000)))))))),".")</f>
        <v>6.5773651144152123E-11</v>
      </c>
      <c r="H26" s="76">
        <f>IFERROR(IF(AND(up_Irr!G26&lt;&gt;".",up_Irr!AF26&lt;&gt;".",up_Irr!BE26&lt;&gt;"."),up_dir!H26/((1/1000)*(up_Irr!G26+up_Irr!AF26+up_Irr!BE26)),IF(AND(up_Irr!G26&lt;&gt;".",up_Irr!AF26&lt;&gt;".",up_Irr!BE26="."),up_dir!H26/((1/1000)*(up_Irr!G26+up_Irr!AF26)),IF(AND(up_Irr!G26&lt;&gt;".",up_Irr!AF26=".",up_Irr!BE26&lt;&gt;"."),up_dir!H26/((1/1000)*(up_Irr!G26+up_Irr!BE26)),IF(AND(up_Irr!G26=".",up_Irr!AF26&lt;&gt;".",up_Irr!BE26&lt;&gt;"."),up_dir!H26/((1/1000)*(up_Irr!AF26+up_Irr!BE26)),IF(AND(up_Irr!G26=".",up_Irr!AF26=".",up_Irr!BE26&lt;&gt;"."),up_dir!H26/((1/1000)*(up_Irr!BE26)),IF(AND(up_Irr!G26=".",up_Irr!AF26&lt;&gt;".",up_Irr!BE26="."),up_dir!H26/((1/1000)*(up_Irr!AF26)),IF(AND(up_Irr!G26&lt;&gt;".",up_Irr!AF26=".",up_Irr!BE26="."),up_dir!H26/((1/1000)*(up_Irr!G26)),IF(AND(up_Irr!G26=".",up_Irr!AF26=".",up_Irr!BE26="."),up_dir!H26*1000)))))))),".")</f>
        <v>6.5773651144152123E-11</v>
      </c>
      <c r="I26" s="76">
        <f>IFERROR(IF(AND(up_Irr!H26&lt;&gt;".",up_Irr!AG26&lt;&gt;".",up_Irr!BF26&lt;&gt;"."),up_dir!I26/((1/1000)*(up_Irr!H26+up_Irr!AG26+up_Irr!BF26)),IF(AND(up_Irr!H26&lt;&gt;".",up_Irr!AG26&lt;&gt;".",up_Irr!BF26="."),up_dir!I26/((1/1000)*(up_Irr!H26+up_Irr!AG26)),IF(AND(up_Irr!H26&lt;&gt;".",up_Irr!AG26=".",up_Irr!BF26&lt;&gt;"."),up_dir!I26/((1/1000)*(up_Irr!H26+up_Irr!BF26)),IF(AND(up_Irr!H26=".",up_Irr!AG26&lt;&gt;".",up_Irr!BF26&lt;&gt;"."),up_dir!I26/((1/1000)*(up_Irr!AG26+up_Irr!BF26)),IF(AND(up_Irr!H26=".",up_Irr!AG26=".",up_Irr!BF26&lt;&gt;"."),up_dir!I26/((1/1000)*(up_Irr!BF26)),IF(AND(up_Irr!H26=".",up_Irr!AG26&lt;&gt;".",up_Irr!BF26="."),up_dir!I26/((1/1000)*(up_Irr!AG26)),IF(AND(up_Irr!H26&lt;&gt;".",up_Irr!AG26=".",up_Irr!BF26="."),up_dir!I26/((1/1000)*(up_Irr!H26)),IF(AND(up_Irr!H26=".",up_Irr!AG26=".",up_Irr!BF26="."),up_dir!I26*1000)))))))),".")</f>
        <v>6.5773651144152123E-11</v>
      </c>
      <c r="J26" s="76">
        <f>IFERROR(IF(AND(up_Irr!I26&lt;&gt;".",up_Irr!AH26&lt;&gt;".",up_Irr!BG26&lt;&gt;"."),up_dir!J26/((1/1000)*(up_Irr!I26+up_Irr!AH26+up_Irr!BG26)),IF(AND(up_Irr!I26&lt;&gt;".",up_Irr!AH26&lt;&gt;".",up_Irr!BG26="."),up_dir!J26/((1/1000)*(up_Irr!I26+up_Irr!AH26)),IF(AND(up_Irr!I26&lt;&gt;".",up_Irr!AH26=".",up_Irr!BG26&lt;&gt;"."),up_dir!J26/((1/1000)*(up_Irr!I26+up_Irr!BG26)),IF(AND(up_Irr!I26=".",up_Irr!AH26&lt;&gt;".",up_Irr!BG26&lt;&gt;"."),up_dir!J26/((1/1000)*(up_Irr!AH26+up_Irr!BG26)),IF(AND(up_Irr!I26=".",up_Irr!AH26=".",up_Irr!BG26&lt;&gt;"."),up_dir!J26/((1/1000)*(up_Irr!BG26)),IF(AND(up_Irr!I26=".",up_Irr!AH26&lt;&gt;".",up_Irr!BG26="."),up_dir!J26/((1/1000)*(up_Irr!AH26)),IF(AND(up_Irr!I26&lt;&gt;".",up_Irr!AH26=".",up_Irr!BG26="."),up_dir!J26/((1/1000)*(up_Irr!I26)),IF(AND(up_Irr!I26=".",up_Irr!AH26=".",up_Irr!BG26="."),up_dir!J26*1000)))))))),".")</f>
        <v>6.5773651144152123E-11</v>
      </c>
      <c r="K26" s="76">
        <f>IFERROR(IF(AND(up_Irr!J26&lt;&gt;".",up_Irr!AI26&lt;&gt;".",up_Irr!BH26&lt;&gt;"."),up_dir!K26/((1/1000)*(up_Irr!J26+up_Irr!AI26+up_Irr!BH26)),IF(AND(up_Irr!J26&lt;&gt;".",up_Irr!AI26&lt;&gt;".",up_Irr!BH26="."),up_dir!K26/((1/1000)*(up_Irr!J26+up_Irr!AI26)),IF(AND(up_Irr!J26&lt;&gt;".",up_Irr!AI26=".",up_Irr!BH26&lt;&gt;"."),up_dir!K26/((1/1000)*(up_Irr!J26+up_Irr!BH26)),IF(AND(up_Irr!J26=".",up_Irr!AI26&lt;&gt;".",up_Irr!BH26&lt;&gt;"."),up_dir!K26/((1/1000)*(up_Irr!AI26+up_Irr!BH26)),IF(AND(up_Irr!J26=".",up_Irr!AI26=".",up_Irr!BH26&lt;&gt;"."),up_dir!K26/((1/1000)*(up_Irr!BH26)),IF(AND(up_Irr!J26=".",up_Irr!AI26&lt;&gt;".",up_Irr!BH26="."),up_dir!K26/((1/1000)*(up_Irr!AI26)),IF(AND(up_Irr!J26&lt;&gt;".",up_Irr!AI26=".",up_Irr!BH26="."),up_dir!K26/((1/1000)*(up_Irr!J26)),IF(AND(up_Irr!J26=".",up_Irr!AI26=".",up_Irr!BH26="."),up_dir!K26*1000)))))))),".")</f>
        <v>6.5773651144152123E-11</v>
      </c>
      <c r="L26" s="76">
        <f>IFERROR(IF(AND(up_Irr!K26&lt;&gt;".",up_Irr!AJ26&lt;&gt;".",up_Irr!BI26&lt;&gt;"."),up_dir!L26/((1/1000)*(up_Irr!K26+up_Irr!AJ26+up_Irr!BI26)),IF(AND(up_Irr!K26&lt;&gt;".",up_Irr!AJ26&lt;&gt;".",up_Irr!BI26="."),up_dir!L26/((1/1000)*(up_Irr!K26+up_Irr!AJ26)),IF(AND(up_Irr!K26&lt;&gt;".",up_Irr!AJ26=".",up_Irr!BI26&lt;&gt;"."),up_dir!L26/((1/1000)*(up_Irr!K26+up_Irr!BI26)),IF(AND(up_Irr!K26=".",up_Irr!AJ26&lt;&gt;".",up_Irr!BI26&lt;&gt;"."),up_dir!L26/((1/1000)*(up_Irr!AJ26+up_Irr!BI26)),IF(AND(up_Irr!K26=".",up_Irr!AJ26=".",up_Irr!BI26&lt;&gt;"."),up_dir!L26/((1/1000)*(up_Irr!BI26)),IF(AND(up_Irr!K26=".",up_Irr!AJ26&lt;&gt;".",up_Irr!BI26="."),up_dir!L26/((1/1000)*(up_Irr!AJ26)),IF(AND(up_Irr!K26&lt;&gt;".",up_Irr!AJ26=".",up_Irr!BI26="."),up_dir!L26/((1/1000)*(up_Irr!K26)),IF(AND(up_Irr!K26=".",up_Irr!AJ26=".",up_Irr!BI26="."),up_dir!L26*1000)))))))),".")</f>
        <v>6.5773651144152123E-11</v>
      </c>
      <c r="M26" s="76">
        <f>IFERROR(IF(AND(up_Irr!L26&lt;&gt;".",up_Irr!AK26&lt;&gt;".",up_Irr!BJ26&lt;&gt;"."),up_dir!M26/((1/1000)*(up_Irr!L26+up_Irr!AK26+up_Irr!BJ26)),IF(AND(up_Irr!L26&lt;&gt;".",up_Irr!AK26&lt;&gt;".",up_Irr!BJ26="."),up_dir!M26/((1/1000)*(up_Irr!L26+up_Irr!AK26)),IF(AND(up_Irr!L26&lt;&gt;".",up_Irr!AK26=".",up_Irr!BJ26&lt;&gt;"."),up_dir!M26/((1/1000)*(up_Irr!L26+up_Irr!BJ26)),IF(AND(up_Irr!L26=".",up_Irr!AK26&lt;&gt;".",up_Irr!BJ26&lt;&gt;"."),up_dir!M26/((1/1000)*(up_Irr!AK26+up_Irr!BJ26)),IF(AND(up_Irr!L26=".",up_Irr!AK26=".",up_Irr!BJ26&lt;&gt;"."),up_dir!M26/((1/1000)*(up_Irr!BJ26)),IF(AND(up_Irr!L26=".",up_Irr!AK26&lt;&gt;".",up_Irr!BJ26="."),up_dir!M26/((1/1000)*(up_Irr!AK26)),IF(AND(up_Irr!L26&lt;&gt;".",up_Irr!AK26=".",up_Irr!BJ26="."),up_dir!M26/((1/1000)*(up_Irr!L26)),IF(AND(up_Irr!L26=".",up_Irr!AK26=".",up_Irr!BJ26="."),up_dir!M26*1000)))))))),".")</f>
        <v>6.5773651144152123E-11</v>
      </c>
      <c r="N26" s="76">
        <f>IFERROR(IF(AND(up_Irr!M26&lt;&gt;".",up_Irr!AL26&lt;&gt;".",up_Irr!BK26&lt;&gt;"."),up_dir!N26/((1/1000)*(up_Irr!M26+up_Irr!AL26+up_Irr!BK26)),IF(AND(up_Irr!M26&lt;&gt;".",up_Irr!AL26&lt;&gt;".",up_Irr!BK26="."),up_dir!N26/((1/1000)*(up_Irr!M26+up_Irr!AL26)),IF(AND(up_Irr!M26&lt;&gt;".",up_Irr!AL26=".",up_Irr!BK26&lt;&gt;"."),up_dir!N26/((1/1000)*(up_Irr!M26+up_Irr!BK26)),IF(AND(up_Irr!M26=".",up_Irr!AL26&lt;&gt;".",up_Irr!BK26&lt;&gt;"."),up_dir!N26/((1/1000)*(up_Irr!AL26+up_Irr!BK26)),IF(AND(up_Irr!M26=".",up_Irr!AL26=".",up_Irr!BK26&lt;&gt;"."),up_dir!N26/((1/1000)*(up_Irr!BK26)),IF(AND(up_Irr!M26=".",up_Irr!AL26&lt;&gt;".",up_Irr!BK26="."),up_dir!N26/((1/1000)*(up_Irr!AL26)),IF(AND(up_Irr!M26&lt;&gt;".",up_Irr!AL26=".",up_Irr!BK26="."),up_dir!N26/((1/1000)*(up_Irr!M26)),IF(AND(up_Irr!M26=".",up_Irr!AL26=".",up_Irr!BK26="."),up_dir!N26*1000)))))))),".")</f>
        <v>6.5773651144152123E-11</v>
      </c>
      <c r="O26" s="76">
        <f>IFERROR(IF(AND(up_Irr!N26&lt;&gt;".",up_Irr!AM26&lt;&gt;".",up_Irr!BL26&lt;&gt;"."),up_dir!O26/((1/1000)*(up_Irr!N26+up_Irr!AM26+up_Irr!BL26)),IF(AND(up_Irr!N26&lt;&gt;".",up_Irr!AM26&lt;&gt;".",up_Irr!BL26="."),up_dir!O26/((1/1000)*(up_Irr!N26+up_Irr!AM26)),IF(AND(up_Irr!N26&lt;&gt;".",up_Irr!AM26=".",up_Irr!BL26&lt;&gt;"."),up_dir!O26/((1/1000)*(up_Irr!N26+up_Irr!BL26)),IF(AND(up_Irr!N26=".",up_Irr!AM26&lt;&gt;".",up_Irr!BL26&lt;&gt;"."),up_dir!O26/((1/1000)*(up_Irr!AM26+up_Irr!BL26)),IF(AND(up_Irr!N26=".",up_Irr!AM26=".",up_Irr!BL26&lt;&gt;"."),up_dir!O26/((1/1000)*(up_Irr!BL26)),IF(AND(up_Irr!N26=".",up_Irr!AM26&lt;&gt;".",up_Irr!BL26="."),up_dir!O26/((1/1000)*(up_Irr!AM26)),IF(AND(up_Irr!N26&lt;&gt;".",up_Irr!AM26=".",up_Irr!BL26="."),up_dir!O26/((1/1000)*(up_Irr!N26)),IF(AND(up_Irr!N26=".",up_Irr!AM26=".",up_Irr!BL26="."),up_dir!O26*1000)))))))),".")</f>
        <v>6.5773651144152123E-11</v>
      </c>
      <c r="P26" s="76">
        <f>IFERROR(IF(AND(up_Irr!O26&lt;&gt;".",up_Irr!AN26&lt;&gt;".",up_Irr!BM26&lt;&gt;"."),up_dir!P26/((1/1000)*(up_Irr!O26+up_Irr!AN26+up_Irr!BM26)),IF(AND(up_Irr!O26&lt;&gt;".",up_Irr!AN26&lt;&gt;".",up_Irr!BM26="."),up_dir!P26/((1/1000)*(up_Irr!O26+up_Irr!AN26)),IF(AND(up_Irr!O26&lt;&gt;".",up_Irr!AN26=".",up_Irr!BM26&lt;&gt;"."),up_dir!P26/((1/1000)*(up_Irr!O26+up_Irr!BM26)),IF(AND(up_Irr!O26=".",up_Irr!AN26&lt;&gt;".",up_Irr!BM26&lt;&gt;"."),up_dir!P26/((1/1000)*(up_Irr!AN26+up_Irr!BM26)),IF(AND(up_Irr!O26=".",up_Irr!AN26=".",up_Irr!BM26&lt;&gt;"."),up_dir!P26/((1/1000)*(up_Irr!BM26)),IF(AND(up_Irr!O26=".",up_Irr!AN26&lt;&gt;".",up_Irr!BM26="."),up_dir!P26/((1/1000)*(up_Irr!AN26)),IF(AND(up_Irr!O26&lt;&gt;".",up_Irr!AN26=".",up_Irr!BM26="."),up_dir!P26/((1/1000)*(up_Irr!O26)),IF(AND(up_Irr!O26=".",up_Irr!AN26=".",up_Irr!BM26="."),up_dir!P26*1000)))))))),".")</f>
        <v>6.5773651144152123E-11</v>
      </c>
      <c r="Q26" s="76">
        <f>IFERROR(IF(AND(up_Irr!P26&lt;&gt;".",up_Irr!AO26&lt;&gt;".",up_Irr!BN26&lt;&gt;"."),up_dir!Q26/((1/1000)*(up_Irr!P26+up_Irr!AO26+up_Irr!BN26)),IF(AND(up_Irr!P26&lt;&gt;".",up_Irr!AO26&lt;&gt;".",up_Irr!BN26="."),up_dir!Q26/((1/1000)*(up_Irr!P26+up_Irr!AO26)),IF(AND(up_Irr!P26&lt;&gt;".",up_Irr!AO26=".",up_Irr!BN26&lt;&gt;"."),up_dir!Q26/((1/1000)*(up_Irr!P26+up_Irr!BN26)),IF(AND(up_Irr!P26=".",up_Irr!AO26&lt;&gt;".",up_Irr!BN26&lt;&gt;"."),up_dir!Q26/((1/1000)*(up_Irr!AO26+up_Irr!BN26)),IF(AND(up_Irr!P26=".",up_Irr!AO26=".",up_Irr!BN26&lt;&gt;"."),up_dir!Q26/((1/1000)*(up_Irr!BN26)),IF(AND(up_Irr!P26=".",up_Irr!AO26&lt;&gt;".",up_Irr!BN26="."),up_dir!Q26/((1/1000)*(up_Irr!AO26)),IF(AND(up_Irr!P26&lt;&gt;".",up_Irr!AO26=".",up_Irr!BN26="."),up_dir!Q26/((1/1000)*(up_Irr!P26)),IF(AND(up_Irr!P26=".",up_Irr!AO26=".",up_Irr!BN26="."),up_dir!Q26*1000)))))))),".")</f>
        <v>6.5773651144152123E-11</v>
      </c>
      <c r="R26" s="76">
        <f>IFERROR(IF(AND(up_Irr!Q26&lt;&gt;".",up_Irr!AP26&lt;&gt;".",up_Irr!BO26&lt;&gt;"."),up_dir!R26/((1/1000)*(up_Irr!Q26+up_Irr!AP26+up_Irr!BO26)),IF(AND(up_Irr!Q26&lt;&gt;".",up_Irr!AP26&lt;&gt;".",up_Irr!BO26="."),up_dir!R26/((1/1000)*(up_Irr!Q26+up_Irr!AP26)),IF(AND(up_Irr!Q26&lt;&gt;".",up_Irr!AP26=".",up_Irr!BO26&lt;&gt;"."),up_dir!R26/((1/1000)*(up_Irr!Q26+up_Irr!BO26)),IF(AND(up_Irr!Q26=".",up_Irr!AP26&lt;&gt;".",up_Irr!BO26&lt;&gt;"."),up_dir!R26/((1/1000)*(up_Irr!AP26+up_Irr!BO26)),IF(AND(up_Irr!Q26=".",up_Irr!AP26=".",up_Irr!BO26&lt;&gt;"."),up_dir!R26/((1/1000)*(up_Irr!BO26)),IF(AND(up_Irr!Q26=".",up_Irr!AP26&lt;&gt;".",up_Irr!BO26="."),up_dir!R26/((1/1000)*(up_Irr!AP26)),IF(AND(up_Irr!Q26&lt;&gt;".",up_Irr!AP26=".",up_Irr!BO26="."),up_dir!R26/((1/1000)*(up_Irr!Q26)),IF(AND(up_Irr!Q26=".",up_Irr!AP26=".",up_Irr!BO26="."),up_dir!R26*1000)))))))),".")</f>
        <v>6.5773651144152123E-11</v>
      </c>
      <c r="S26" s="76">
        <f>IFERROR(IF(AND(up_Irr!R26&lt;&gt;".",up_Irr!AQ26&lt;&gt;".",up_Irr!BP26&lt;&gt;"."),up_dir!S26/((1/1000)*(up_Irr!R26+up_Irr!AQ26+up_Irr!BP26)),IF(AND(up_Irr!R26&lt;&gt;".",up_Irr!AQ26&lt;&gt;".",up_Irr!BP26="."),up_dir!S26/((1/1000)*(up_Irr!R26+up_Irr!AQ26)),IF(AND(up_Irr!R26&lt;&gt;".",up_Irr!AQ26=".",up_Irr!BP26&lt;&gt;"."),up_dir!S26/((1/1000)*(up_Irr!R26+up_Irr!BP26)),IF(AND(up_Irr!R26=".",up_Irr!AQ26&lt;&gt;".",up_Irr!BP26&lt;&gt;"."),up_dir!S26/((1/1000)*(up_Irr!AQ26+up_Irr!BP26)),IF(AND(up_Irr!R26=".",up_Irr!AQ26=".",up_Irr!BP26&lt;&gt;"."),up_dir!S26/((1/1000)*(up_Irr!BP26)),IF(AND(up_Irr!R26=".",up_Irr!AQ26&lt;&gt;".",up_Irr!BP26="."),up_dir!S26/((1/1000)*(up_Irr!AQ26)),IF(AND(up_Irr!R26&lt;&gt;".",up_Irr!AQ26=".",up_Irr!BP26="."),up_dir!S26/((1/1000)*(up_Irr!R26)),IF(AND(up_Irr!R26=".",up_Irr!AQ26=".",up_Irr!BP26="."),up_dir!S26*1000)))))))),".")</f>
        <v>6.5773651144152123E-11</v>
      </c>
      <c r="T26" s="76">
        <f>IFERROR(IF(AND(up_Irr!S26&lt;&gt;".",up_Irr!AR26&lt;&gt;".",up_Irr!BQ26&lt;&gt;"."),up_dir!T26/((1/1000)*(up_Irr!S26+up_Irr!AR26+up_Irr!BQ26)),IF(AND(up_Irr!S26&lt;&gt;".",up_Irr!AR26&lt;&gt;".",up_Irr!BQ26="."),up_dir!T26/((1/1000)*(up_Irr!S26+up_Irr!AR26)),IF(AND(up_Irr!S26&lt;&gt;".",up_Irr!AR26=".",up_Irr!BQ26&lt;&gt;"."),up_dir!T26/((1/1000)*(up_Irr!S26+up_Irr!BQ26)),IF(AND(up_Irr!S26=".",up_Irr!AR26&lt;&gt;".",up_Irr!BQ26&lt;&gt;"."),up_dir!T26/((1/1000)*(up_Irr!AR26+up_Irr!BQ26)),IF(AND(up_Irr!S26=".",up_Irr!AR26=".",up_Irr!BQ26&lt;&gt;"."),up_dir!T26/((1/1000)*(up_Irr!BQ26)),IF(AND(up_Irr!S26=".",up_Irr!AR26&lt;&gt;".",up_Irr!BQ26="."),up_dir!T26/((1/1000)*(up_Irr!AR26)),IF(AND(up_Irr!S26&lt;&gt;".",up_Irr!AR26=".",up_Irr!BQ26="."),up_dir!T26/((1/1000)*(up_Irr!S26)),IF(AND(up_Irr!S26=".",up_Irr!AR26=".",up_Irr!BQ26="."),up_dir!T26*1000)))))))),".")</f>
        <v>6.5773651144152123E-11</v>
      </c>
      <c r="U26" s="76">
        <f>IFERROR(IF(AND(up_Irr!T26&lt;&gt;".",up_Irr!AS26&lt;&gt;".",up_Irr!BR26&lt;&gt;"."),up_dir!U26/((1/1000)*(up_Irr!T26+up_Irr!AS26+up_Irr!BR26)),IF(AND(up_Irr!T26&lt;&gt;".",up_Irr!AS26&lt;&gt;".",up_Irr!BR26="."),up_dir!U26/((1/1000)*(up_Irr!T26+up_Irr!AS26)),IF(AND(up_Irr!T26&lt;&gt;".",up_Irr!AS26=".",up_Irr!BR26&lt;&gt;"."),up_dir!U26/((1/1000)*(up_Irr!T26+up_Irr!BR26)),IF(AND(up_Irr!T26=".",up_Irr!AS26&lt;&gt;".",up_Irr!BR26&lt;&gt;"."),up_dir!U26/((1/1000)*(up_Irr!AS26+up_Irr!BR26)),IF(AND(up_Irr!T26=".",up_Irr!AS26=".",up_Irr!BR26&lt;&gt;"."),up_dir!U26/((1/1000)*(up_Irr!BR26)),IF(AND(up_Irr!T26=".",up_Irr!AS26&lt;&gt;".",up_Irr!BR26="."),up_dir!U26/((1/1000)*(up_Irr!AS26)),IF(AND(up_Irr!T26&lt;&gt;".",up_Irr!AS26=".",up_Irr!BR26="."),up_dir!U26/((1/1000)*(up_Irr!T26)),IF(AND(up_Irr!T26=".",up_Irr!AS26=".",up_Irr!BR26="."),up_dir!U26*1000)))))))),".")</f>
        <v>6.5773651144152123E-11</v>
      </c>
      <c r="V26" s="76">
        <f>IFERROR(IF(AND(up_Irr!U26&lt;&gt;".",up_Irr!AT26&lt;&gt;".",up_Irr!BS26&lt;&gt;"."),up_dir!V26/((1/1000)*(up_Irr!U26+up_Irr!AT26+up_Irr!BS26)),IF(AND(up_Irr!U26&lt;&gt;".",up_Irr!AT26&lt;&gt;".",up_Irr!BS26="."),up_dir!V26/((1/1000)*(up_Irr!U26+up_Irr!AT26)),IF(AND(up_Irr!U26&lt;&gt;".",up_Irr!AT26=".",up_Irr!BS26&lt;&gt;"."),up_dir!V26/((1/1000)*(up_Irr!U26+up_Irr!BS26)),IF(AND(up_Irr!U26=".",up_Irr!AT26&lt;&gt;".",up_Irr!BS26&lt;&gt;"."),up_dir!V26/((1/1000)*(up_Irr!AT26+up_Irr!BS26)),IF(AND(up_Irr!U26=".",up_Irr!AT26=".",up_Irr!BS26&lt;&gt;"."),up_dir!V26/((1/1000)*(up_Irr!BS26)),IF(AND(up_Irr!U26=".",up_Irr!AT26&lt;&gt;".",up_Irr!BS26="."),up_dir!V26/((1/1000)*(up_Irr!AT26)),IF(AND(up_Irr!U26&lt;&gt;".",up_Irr!AT26=".",up_Irr!BS26="."),up_dir!V26/((1/1000)*(up_Irr!U26)),IF(AND(up_Irr!U26=".",up_Irr!AT26=".",up_Irr!BS26="."),up_dir!V26*1000)))))))),".")</f>
        <v>6.5773651144152123E-11</v>
      </c>
      <c r="W26" s="76">
        <f>IFERROR(IF(AND(up_Irr!V26&lt;&gt;".",up_Irr!AU26&lt;&gt;".",up_Irr!BT26&lt;&gt;"."),up_dir!W26/((1/1000)*(up_Irr!V26+up_Irr!AU26+up_Irr!BT26)),IF(AND(up_Irr!V26&lt;&gt;".",up_Irr!AU26&lt;&gt;".",up_Irr!BT26="."),up_dir!W26/((1/1000)*(up_Irr!V26+up_Irr!AU26)),IF(AND(up_Irr!V26&lt;&gt;".",up_Irr!AU26=".",up_Irr!BT26&lt;&gt;"."),up_dir!W26/((1/1000)*(up_Irr!V26+up_Irr!BT26)),IF(AND(up_Irr!V26=".",up_Irr!AU26&lt;&gt;".",up_Irr!BT26&lt;&gt;"."),up_dir!W26/((1/1000)*(up_Irr!AU26+up_Irr!BT26)),IF(AND(up_Irr!V26=".",up_Irr!AU26=".",up_Irr!BT26&lt;&gt;"."),up_dir!W26/((1/1000)*(up_Irr!BT26)),IF(AND(up_Irr!V26=".",up_Irr!AU26&lt;&gt;".",up_Irr!BT26="."),up_dir!W26/((1/1000)*(up_Irr!AU26)),IF(AND(up_Irr!V26&lt;&gt;".",up_Irr!AU26=".",up_Irr!BT26="."),up_dir!W26/((1/1000)*(up_Irr!V26)),IF(AND(up_Irr!V26=".",up_Irr!AU26=".",up_Irr!BT26="."),up_dir!W26*1000)))))))),".")</f>
        <v>6.5773651144152123E-11</v>
      </c>
      <c r="X26" s="76">
        <f>IFERROR(IF(AND(up_Irr!W26&lt;&gt;".",up_Irr!AV26&lt;&gt;".",up_Irr!BU26&lt;&gt;"."),up_dir!X26/((1/1000)*(up_Irr!W26+up_Irr!AV26+up_Irr!BU26)),IF(AND(up_Irr!W26&lt;&gt;".",up_Irr!AV26&lt;&gt;".",up_Irr!BU26="."),up_dir!X26/((1/1000)*(up_Irr!W26+up_Irr!AV26)),IF(AND(up_Irr!W26&lt;&gt;".",up_Irr!AV26=".",up_Irr!BU26&lt;&gt;"."),up_dir!X26/((1/1000)*(up_Irr!W26+up_Irr!BU26)),IF(AND(up_Irr!W26=".",up_Irr!AV26&lt;&gt;".",up_Irr!BU26&lt;&gt;"."),up_dir!X26/((1/1000)*(up_Irr!AV26+up_Irr!BU26)),IF(AND(up_Irr!W26=".",up_Irr!AV26=".",up_Irr!BU26&lt;&gt;"."),up_dir!X26/((1/1000)*(up_Irr!BU26)),IF(AND(up_Irr!W26=".",up_Irr!AV26&lt;&gt;".",up_Irr!BU26="."),up_dir!X26/((1/1000)*(up_Irr!AV26)),IF(AND(up_Irr!W26&lt;&gt;".",up_Irr!AV26=".",up_Irr!BU26="."),up_dir!X26/((1/1000)*(up_Irr!W26)),IF(AND(up_Irr!W26=".",up_Irr!AV26=".",up_Irr!BU26="."),up_dir!X26*1000)))))))),".")</f>
        <v>6.5773651144152123E-11</v>
      </c>
      <c r="Y26" s="76">
        <f>IFERROR(IF(AND(up_Irr!X26&lt;&gt;".",up_Irr!AW26&lt;&gt;".",up_Irr!BV26&lt;&gt;"."),up_dir!Y26/((1/1000)*(up_Irr!X26+up_Irr!AW26+up_Irr!BV26)),IF(AND(up_Irr!X26&lt;&gt;".",up_Irr!AW26&lt;&gt;".",up_Irr!BV26="."),up_dir!Y26/((1/1000)*(up_Irr!X26+up_Irr!AW26)),IF(AND(up_Irr!X26&lt;&gt;".",up_Irr!AW26=".",up_Irr!BV26&lt;&gt;"."),up_dir!Y26/((1/1000)*(up_Irr!X26+up_Irr!BV26)),IF(AND(up_Irr!X26=".",up_Irr!AW26&lt;&gt;".",up_Irr!BV26&lt;&gt;"."),up_dir!Y26/((1/1000)*(up_Irr!AW26+up_Irr!BV26)),IF(AND(up_Irr!X26=".",up_Irr!AW26=".",up_Irr!BV26&lt;&gt;"."),up_dir!Y26/((1/1000)*(up_Irr!BV26)),IF(AND(up_Irr!X26=".",up_Irr!AW26&lt;&gt;".",up_Irr!BV26="."),up_dir!Y26/((1/1000)*(up_Irr!AW26)),IF(AND(up_Irr!X26&lt;&gt;".",up_Irr!AW26=".",up_Irr!BV26="."),up_dir!Y26/((1/1000)*(up_Irr!X26)),IF(AND(up_Irr!X26=".",up_Irr!AW26=".",up_Irr!BV26="."),up_dir!Y26*1000)))))))),".")</f>
        <v>6.5773651144152123E-11</v>
      </c>
      <c r="Z26" s="76">
        <f>IFERROR(IF(AND(up_Irr!Y26&lt;&gt;".",up_Irr!AX26&lt;&gt;".",up_Irr!BW26&lt;&gt;"."),up_dir!Z26/((1/1000)*(up_Irr!Y26+up_Irr!AX26+up_Irr!BW26)),IF(AND(up_Irr!Y26&lt;&gt;".",up_Irr!AX26&lt;&gt;".",up_Irr!BW26="."),up_dir!Z26/((1/1000)*(up_Irr!Y26+up_Irr!AX26)),IF(AND(up_Irr!Y26&lt;&gt;".",up_Irr!AX26=".",up_Irr!BW26&lt;&gt;"."),up_dir!Z26/((1/1000)*(up_Irr!Y26+up_Irr!BW26)),IF(AND(up_Irr!Y26=".",up_Irr!AX26&lt;&gt;".",up_Irr!BW26&lt;&gt;"."),up_dir!Z26/((1/1000)*(up_Irr!AX26+up_Irr!BW26)),IF(AND(up_Irr!Y26=".",up_Irr!AX26=".",up_Irr!BW26&lt;&gt;"."),up_dir!Z26/((1/1000)*(up_Irr!BW26)),IF(AND(up_Irr!Y26=".",up_Irr!AX26&lt;&gt;".",up_Irr!BW26="."),up_dir!Z26/((1/1000)*(up_Irr!AX26)),IF(AND(up_Irr!Y26&lt;&gt;".",up_Irr!AX26=".",up_Irr!BW26="."),up_dir!Z26/((1/1000)*(up_Irr!Y26)),IF(AND(up_Irr!Y26=".",up_Irr!AX26=".",up_Irr!BW26="."),up_dir!Z26*1000)))))))),".")</f>
        <v>6.5773651144152123E-11</v>
      </c>
      <c r="AA26" s="76">
        <f>IFERROR(IF(AND(up_Irr!Z26&lt;&gt;".",up_Irr!AY26&lt;&gt;".",up_Irr!BX26&lt;&gt;"."),up_dir!AA26/((1/1000)*(up_Irr!Z26+up_Irr!AY26+up_Irr!BX26)),IF(AND(up_Irr!Z26&lt;&gt;".",up_Irr!AY26&lt;&gt;".",up_Irr!BX26="."),up_dir!AA26/((1/1000)*(up_Irr!Z26+up_Irr!AY26)),IF(AND(up_Irr!Z26&lt;&gt;".",up_Irr!AY26=".",up_Irr!BX26&lt;&gt;"."),up_dir!AA26/((1/1000)*(up_Irr!Z26+up_Irr!BX26)),IF(AND(up_Irr!Z26=".",up_Irr!AY26&lt;&gt;".",up_Irr!BX26&lt;&gt;"."),up_dir!AA26/((1/1000)*(up_Irr!AY26+up_Irr!BX26)),IF(AND(up_Irr!Z26=".",up_Irr!AY26=".",up_Irr!BX26&lt;&gt;"."),up_dir!AA26/((1/1000)*(up_Irr!BX26)),IF(AND(up_Irr!Z26=".",up_Irr!AY26&lt;&gt;".",up_Irr!BX26="."),up_dir!AA26/((1/1000)*(up_Irr!AY26)),IF(AND(up_Irr!Z26&lt;&gt;".",up_Irr!AY26=".",up_Irr!BX26="."),up_dir!AA26/((1/1000)*(up_Irr!Z26)),IF(AND(up_Irr!Z26=".",up_Irr!AY26=".",up_Irr!BX26="."),up_dir!AA26*1000)))))))),".")</f>
        <v>6.5773651144152123E-11</v>
      </c>
      <c r="AB26" s="76">
        <f>IFERROR(IF(AND(up_Irr!AA26&lt;&gt;".",up_Irr!AZ26&lt;&gt;".",up_Irr!BY26&lt;&gt;"."),up_dir!AB26/((1/1000)*(up_Irr!AA26+up_Irr!AZ26+up_Irr!BY26)),IF(AND(up_Irr!AA26&lt;&gt;".",up_Irr!AZ26&lt;&gt;".",up_Irr!BY26="."),up_dir!AB26/((1/1000)*(up_Irr!AA26+up_Irr!AZ26)),IF(AND(up_Irr!AA26&lt;&gt;".",up_Irr!AZ26=".",up_Irr!BY26&lt;&gt;"."),up_dir!AB26/((1/1000)*(up_Irr!AA26+up_Irr!BY26)),IF(AND(up_Irr!AA26=".",up_Irr!AZ26&lt;&gt;".",up_Irr!BY26&lt;&gt;"."),up_dir!AB26/((1/1000)*(up_Irr!AZ26+up_Irr!BY26)),IF(AND(up_Irr!AA26=".",up_Irr!AZ26=".",up_Irr!BY26&lt;&gt;"."),up_dir!AB26/((1/1000)*(up_Irr!BY26)),IF(AND(up_Irr!AA26=".",up_Irr!AZ26&lt;&gt;".",up_Irr!BY26="."),up_dir!AB26/((1/1000)*(up_Irr!AZ26)),IF(AND(up_Irr!AA26&lt;&gt;".",up_Irr!AZ26=".",up_Irr!BY26="."),up_dir!AB26/((1/1000)*(up_Irr!AA26)),IF(AND(up_Irr!AA26=".",up_Irr!AZ26=".",up_Irr!BY26="."),up_dir!AB26*1000)))))))),".")</f>
        <v>6.5773651144152123E-11</v>
      </c>
      <c r="AC26" s="93">
        <f t="shared" si="1"/>
        <v>608146.26076229871</v>
      </c>
      <c r="AD26" s="93">
        <f>IFERROR(s_C*s_IFAP_res_adj*s_CF_apple*0.001*(up_Irr!C26+up_Irr!AB26+up_Irr!BA26),".")</f>
        <v>152036.56519057468</v>
      </c>
      <c r="AE26" s="93">
        <f>IFERROR(s_C*s_IFAS_res_adj*s_CF_asparagus*0.001*(up_Irr!D26+up_Irr!AC26+up_Irr!BB26),".")</f>
        <v>152036.56519057468</v>
      </c>
      <c r="AF26" s="93">
        <f>IFERROR(s_C*s_IFBT_res_adj*s_CF_beet*0.001*(up_Irr!E26+up_Irr!AD26+up_Irr!BC26),".")</f>
        <v>152036.56519057468</v>
      </c>
      <c r="AG26" s="93">
        <f>IFERROR(s_C*s_IFBE_res_adj*s_CF_berries*0.001*(up_Irr!F26+up_Irr!AE26+up_Irr!BD26),".")</f>
        <v>152036.56519057468</v>
      </c>
      <c r="AH26" s="93">
        <f>IFERROR(s_C*s_IFBR_res_adj*s_CF_broccoli*0.001*(up_Irr!G26+up_Irr!AF26+up_Irr!BE26),".")</f>
        <v>152036.56519057468</v>
      </c>
      <c r="AI26" s="93">
        <f>IFERROR(s_C*s_IFCB_res_adj*s_CF_cabbage*0.001*(up_Irr!H26+up_Irr!AG26+up_Irr!BF26),".")</f>
        <v>152036.56519057468</v>
      </c>
      <c r="AJ26" s="93">
        <f>IFERROR(s_C*s_IFCR_res_adj*s_CF_carrot*0.001*(up_Irr!I26+up_Irr!AH26+up_Irr!BG26),".")</f>
        <v>152036.56519057468</v>
      </c>
      <c r="AK26" s="93">
        <f>IFERROR(s_C*s_IFCI_res_adj*s_CF_citrus*0.001*(up_Irr!J26+up_Irr!AI26+up_Irr!BH26),".")</f>
        <v>152036.56519057468</v>
      </c>
      <c r="AL26" s="93">
        <f>IFERROR(s_C*s_IFCO_res_adj*s_CF_corn*0.001*(up_Irr!K26+up_Irr!AJ26+up_Irr!BI26),".")</f>
        <v>152036.56519057468</v>
      </c>
      <c r="AM26" s="93">
        <f>IFERROR(s_C*s_IFCU_res_adj*s_CF_cucumber*0.001*(up_Irr!L26+up_Irr!AK26+up_Irr!BJ26),".")</f>
        <v>152036.56519057468</v>
      </c>
      <c r="AN26" s="93">
        <f>IFERROR(s_C*s_IFLE_res_adj*s_CF_lettuce*0.001*(up_Irr!M26+up_Irr!AL26+up_Irr!BK26),".")</f>
        <v>152036.56519057468</v>
      </c>
      <c r="AO26" s="93">
        <f>IFERROR(s_C*s_IFLI_res_adj*s_CF_lima_bean*0.001*(up_Irr!N26+up_Irr!AM26+up_Irr!BL26),".")</f>
        <v>152036.56519057468</v>
      </c>
      <c r="AP26" s="93">
        <f>IFERROR(s_C*s_IFOK_res_adj*s_CF_okra*0.001*(up_Irr!O26+up_Irr!AN26+up_Irr!BM26),".")</f>
        <v>152036.56519057468</v>
      </c>
      <c r="AQ26" s="93">
        <f>IFERROR(s_C*s_IFON_res_adj*s_CF_onion*0.001*(up_Irr!P26+up_Irr!AO26+up_Irr!BN26),".")</f>
        <v>152036.56519057468</v>
      </c>
      <c r="AR26" s="93">
        <f>IFERROR(s_C*s_IFPC_res_adj*s_CF_peach*0.001*(up_Irr!Q26+up_Irr!AP26+up_Irr!BO26),".")</f>
        <v>152036.56519057468</v>
      </c>
      <c r="AS26" s="93">
        <f>IFERROR(s_C*s_IFPR_res_adj*s_CF_pear*0.001*(up_Irr!R26+up_Irr!AQ26+up_Irr!BP26),".")</f>
        <v>152036.56519057468</v>
      </c>
      <c r="AT26" s="93">
        <f>IFERROR(s_C*s_IFPE_res_adj*s_CF_peas*0.001*(up_Irr!S26+up_Irr!AR26+up_Irr!BQ26),".")</f>
        <v>152036.56519057468</v>
      </c>
      <c r="AU26" s="93">
        <f>IFERROR(s_C*s_IFPP_res_adj*s_CF_peppers*0.001*(up_Irr!T26+up_Irr!AS26+up_Irr!BR26),".")</f>
        <v>152036.56519057468</v>
      </c>
      <c r="AV26" s="93">
        <f>IFERROR(s_C*s_IFPT_res_adj*s_CF_potato*0.001*(up_Irr!U26+up_Irr!AT26+up_Irr!BS26),".")</f>
        <v>152036.56519057468</v>
      </c>
      <c r="AW26" s="93">
        <f>IFERROR(s_C*s_IFPU_res_adj*s_CF_pumpkin*0.001*(up_Irr!V26+up_Irr!AU26+up_Irr!BT26),".")</f>
        <v>152036.56519057468</v>
      </c>
      <c r="AX26" s="93">
        <f>IFERROR(s_C*s_IFSN_res_adj*s_CF_snap_bean*0.001*(up_Irr!W26+up_Irr!AV26+up_Irr!BU26),".")</f>
        <v>152036.56519057468</v>
      </c>
      <c r="AY26" s="93">
        <f>IFERROR(s_C*s_IFST_res_adj*s_CF_strawberry*0.001*(up_Irr!X26+up_Irr!AW26+up_Irr!BV26),".")</f>
        <v>152036.56519057468</v>
      </c>
      <c r="AZ26" s="93">
        <f>IFERROR(s_C*s_IFTO_res_adj*s_CF_tomato*0.001*(up_Irr!Y26+up_Irr!AX26+up_Irr!BW26),".")</f>
        <v>152036.56519057468</v>
      </c>
      <c r="BA26" s="93">
        <f>IFERROR(s_C*s_IFRI_res_adj*s_CF_rice*0.001*(up_Irr!Z26+up_Irr!AY26+up_Irr!BX26),".")</f>
        <v>152036.56519057468</v>
      </c>
      <c r="BB26" s="93">
        <f>IFERROR(s_C*s_IFCG_res_adj*s_CF_cereal*0.001*(up_Irr!AA26+up_Irr!AZ26+up_Irr!BY26),".")</f>
        <v>152036.56519057468</v>
      </c>
      <c r="BC26" s="76">
        <f t="shared" si="2"/>
        <v>1.6443412786038031E-11</v>
      </c>
      <c r="BD26" s="76">
        <f>IFERROR(IF(AND(up_Irr!C26&lt;&gt;".",up_Irr!AB26&lt;&gt;".",up_Irr!BA26&lt;&gt;"."),up_dir!AD26/((1/1000)*(up_Irr!C26+up_Irr!AB26+up_Irr!BA26)),IF(AND(up_Irr!C26&lt;&gt;".",up_Irr!AB26&lt;&gt;".",up_Irr!BA26="."),up_dir!AD26/((1/1000)*(up_Irr!C26+up_Irr!AB26)),IF(AND(up_Irr!C26&lt;&gt;".",up_Irr!AB26=".",up_Irr!BA26&lt;&gt;"."),up_dir!AD26/((1/1000)*(up_Irr!C26+up_Irr!BA26)),IF(AND(up_Irr!C26=".",up_Irr!AB26&lt;&gt;".",up_Irr!BA26&lt;&gt;"."),up_dir!AD26/((1/1000)*(up_Irr!AB26+up_Irr!BA26)),IF(AND(up_Irr!C26=".",up_Irr!AB26=".",up_Irr!BA26&lt;&gt;"."),up_dir!AD26/((1/1000)*(up_Irr!BA26)),IF(AND(up_Irr!C26=".",up_Irr!AB26&lt;&gt;".",up_Irr!BA26="."),up_dir!AD26/((1/1000)*(up_Irr!AB26)),IF(AND(up_Irr!C26&lt;&gt;".",up_Irr!AB26=".",up_Irr!BA26="."),up_dir!AD26/((1/1000)*(up_Irr!C26)),IF(AND(up_Irr!C26=".",up_Irr!AB26=".",up_Irr!BA26="."),up_dir!AD26*1000)))))))),".")</f>
        <v>6.5773651144152123E-11</v>
      </c>
      <c r="BE26" s="76">
        <f>IFERROR(IF(AND(up_Irr!D26&lt;&gt;".",up_Irr!AC26&lt;&gt;".",up_Irr!BB26&lt;&gt;"."),up_dir!AE26/((1/1000)*(up_Irr!D26+up_Irr!AC26+up_Irr!BB26)),IF(AND(up_Irr!D26&lt;&gt;".",up_Irr!AC26&lt;&gt;".",up_Irr!BB26="."),up_dir!AE26/((1/1000)*(up_Irr!D26+up_Irr!AC26)),IF(AND(up_Irr!D26&lt;&gt;".",up_Irr!AC26=".",up_Irr!BB26&lt;&gt;"."),up_dir!AE26/((1/1000)*(up_Irr!D26+up_Irr!BB26)),IF(AND(up_Irr!D26=".",up_Irr!AC26&lt;&gt;".",up_Irr!BB26&lt;&gt;"."),up_dir!AE26/((1/1000)*(up_Irr!AC26+up_Irr!BB26)),IF(AND(up_Irr!D26=".",up_Irr!AC26=".",up_Irr!BB26&lt;&gt;"."),up_dir!AE26/((1/1000)*(up_Irr!BB26)),IF(AND(up_Irr!D26=".",up_Irr!AC26&lt;&gt;".",up_Irr!BB26="."),up_dir!AE26/((1/1000)*(up_Irr!AC26)),IF(AND(up_Irr!D26&lt;&gt;".",up_Irr!AC26=".",up_Irr!BB26="."),up_dir!AE26/((1/1000)*(up_Irr!D26)),IF(AND(up_Irr!D26=".",up_Irr!AC26=".",up_Irr!BB26="."),up_dir!AE26*1000)))))))),".")</f>
        <v>6.5773651144152123E-11</v>
      </c>
      <c r="BF26" s="76">
        <f>IFERROR(IF(AND(up_Irr!E26&lt;&gt;".",up_Irr!AD26&lt;&gt;".",up_Irr!BC26&lt;&gt;"."),up_dir!AF26/((1/1000)*(up_Irr!E26+up_Irr!AD26+up_Irr!BC26)),IF(AND(up_Irr!E26&lt;&gt;".",up_Irr!AD26&lt;&gt;".",up_Irr!BC26="."),up_dir!AF26/((1/1000)*(up_Irr!E26+up_Irr!AD26)),IF(AND(up_Irr!E26&lt;&gt;".",up_Irr!AD26=".",up_Irr!BC26&lt;&gt;"."),up_dir!AF26/((1/1000)*(up_Irr!E26+up_Irr!BC26)),IF(AND(up_Irr!E26=".",up_Irr!AD26&lt;&gt;".",up_Irr!BC26&lt;&gt;"."),up_dir!AF26/((1/1000)*(up_Irr!AD26+up_Irr!BC26)),IF(AND(up_Irr!E26=".",up_Irr!AD26=".",up_Irr!BC26&lt;&gt;"."),up_dir!AF26/((1/1000)*(up_Irr!BC26)),IF(AND(up_Irr!E26=".",up_Irr!AD26&lt;&gt;".",up_Irr!BC26="."),up_dir!AF26/((1/1000)*(up_Irr!AD26)),IF(AND(up_Irr!E26&lt;&gt;".",up_Irr!AD26=".",up_Irr!BC26="."),up_dir!AF26/((1/1000)*(up_Irr!E26)),IF(AND(up_Irr!E26=".",up_Irr!AD26=".",up_Irr!BC26="."),up_dir!AF26*1000)))))))),".")</f>
        <v>6.5773651144152123E-11</v>
      </c>
      <c r="BG26" s="76">
        <f>IFERROR(IF(AND(up_Irr!F26&lt;&gt;".",up_Irr!AE26&lt;&gt;".",up_Irr!BD26&lt;&gt;"."),up_dir!AG26/((1/1000)*(up_Irr!F26+up_Irr!AE26+up_Irr!BD26)),IF(AND(up_Irr!F26&lt;&gt;".",up_Irr!AE26&lt;&gt;".",up_Irr!BD26="."),up_dir!AG26/((1/1000)*(up_Irr!F26+up_Irr!AE26)),IF(AND(up_Irr!F26&lt;&gt;".",up_Irr!AE26=".",up_Irr!BD26&lt;&gt;"."),up_dir!AG26/((1/1000)*(up_Irr!F26+up_Irr!BD26)),IF(AND(up_Irr!F26=".",up_Irr!AE26&lt;&gt;".",up_Irr!BD26&lt;&gt;"."),up_dir!AG26/((1/1000)*(up_Irr!AE26+up_Irr!BD26)),IF(AND(up_Irr!F26=".",up_Irr!AE26=".",up_Irr!BD26&lt;&gt;"."),up_dir!AG26/((1/1000)*(up_Irr!BD26)),IF(AND(up_Irr!F26=".",up_Irr!AE26&lt;&gt;".",up_Irr!BD26="."),up_dir!AG26/((1/1000)*(up_Irr!AE26)),IF(AND(up_Irr!F26&lt;&gt;".",up_Irr!AE26=".",up_Irr!BD26="."),up_dir!AG26/((1/1000)*(up_Irr!F26)),IF(AND(up_Irr!F26=".",up_Irr!AE26=".",up_Irr!BD26="."),up_dir!AG26*1000)))))))),".")</f>
        <v>6.5773651144152123E-11</v>
      </c>
      <c r="BH26" s="76">
        <f>IFERROR(IF(AND(up_Irr!G26&lt;&gt;".",up_Irr!AF26&lt;&gt;".",up_Irr!BE26&lt;&gt;"."),up_dir!AH26/((1/1000)*(up_Irr!G26+up_Irr!AF26+up_Irr!BE26)),IF(AND(up_Irr!G26&lt;&gt;".",up_Irr!AF26&lt;&gt;".",up_Irr!BE26="."),up_dir!AH26/((1/1000)*(up_Irr!G26+up_Irr!AF26)),IF(AND(up_Irr!G26&lt;&gt;".",up_Irr!AF26=".",up_Irr!BE26&lt;&gt;"."),up_dir!AH26/((1/1000)*(up_Irr!G26+up_Irr!BE26)),IF(AND(up_Irr!G26=".",up_Irr!AF26&lt;&gt;".",up_Irr!BE26&lt;&gt;"."),up_dir!AH26/((1/1000)*(up_Irr!AF26+up_Irr!BE26)),IF(AND(up_Irr!G26=".",up_Irr!AF26=".",up_Irr!BE26&lt;&gt;"."),up_dir!AH26/((1/1000)*(up_Irr!BE26)),IF(AND(up_Irr!G26=".",up_Irr!AF26&lt;&gt;".",up_Irr!BE26="."),up_dir!AH26/((1/1000)*(up_Irr!AF26)),IF(AND(up_Irr!G26&lt;&gt;".",up_Irr!AF26=".",up_Irr!BE26="."),up_dir!AH26/((1/1000)*(up_Irr!G26)),IF(AND(up_Irr!G26=".",up_Irr!AF26=".",up_Irr!BE26="."),up_dir!AH26*1000)))))))),".")</f>
        <v>6.5773651144152123E-11</v>
      </c>
      <c r="BI26" s="76">
        <f>IFERROR(IF(AND(up_Irr!H26&lt;&gt;".",up_Irr!AG26&lt;&gt;".",up_Irr!BF26&lt;&gt;"."),up_dir!AI26/((1/1000)*(up_Irr!H26+up_Irr!AG26+up_Irr!BF26)),IF(AND(up_Irr!H26&lt;&gt;".",up_Irr!AG26&lt;&gt;".",up_Irr!BF26="."),up_dir!AI26/((1/1000)*(up_Irr!H26+up_Irr!AG26)),IF(AND(up_Irr!H26&lt;&gt;".",up_Irr!AG26=".",up_Irr!BF26&lt;&gt;"."),up_dir!AI26/((1/1000)*(up_Irr!H26+up_Irr!BF26)),IF(AND(up_Irr!H26=".",up_Irr!AG26&lt;&gt;".",up_Irr!BF26&lt;&gt;"."),up_dir!AI26/((1/1000)*(up_Irr!AG26+up_Irr!BF26)),IF(AND(up_Irr!H26=".",up_Irr!AG26=".",up_Irr!BF26&lt;&gt;"."),up_dir!AI26/((1/1000)*(up_Irr!BF26)),IF(AND(up_Irr!H26=".",up_Irr!AG26&lt;&gt;".",up_Irr!BF26="."),up_dir!AI26/((1/1000)*(up_Irr!AG26)),IF(AND(up_Irr!H26&lt;&gt;".",up_Irr!AG26=".",up_Irr!BF26="."),up_dir!AI26/((1/1000)*(up_Irr!H26)),IF(AND(up_Irr!H26=".",up_Irr!AG26=".",up_Irr!BF26="."),up_dir!AI26*1000)))))))),".")</f>
        <v>6.5773651144152123E-11</v>
      </c>
      <c r="BJ26" s="76">
        <f>IFERROR(IF(AND(up_Irr!I26&lt;&gt;".",up_Irr!AH26&lt;&gt;".",up_Irr!BG26&lt;&gt;"."),up_dir!AJ26/((1/1000)*(up_Irr!I26+up_Irr!AH26+up_Irr!BG26)),IF(AND(up_Irr!I26&lt;&gt;".",up_Irr!AH26&lt;&gt;".",up_Irr!BG26="."),up_dir!AJ26/((1/1000)*(up_Irr!I26+up_Irr!AH26)),IF(AND(up_Irr!I26&lt;&gt;".",up_Irr!AH26=".",up_Irr!BG26&lt;&gt;"."),up_dir!AJ26/((1/1000)*(up_Irr!I26+up_Irr!BG26)),IF(AND(up_Irr!I26=".",up_Irr!AH26&lt;&gt;".",up_Irr!BG26&lt;&gt;"."),up_dir!AJ26/((1/1000)*(up_Irr!AH26+up_Irr!BG26)),IF(AND(up_Irr!I26=".",up_Irr!AH26=".",up_Irr!BG26&lt;&gt;"."),up_dir!AJ26/((1/1000)*(up_Irr!BG26)),IF(AND(up_Irr!I26=".",up_Irr!AH26&lt;&gt;".",up_Irr!BG26="."),up_dir!AJ26/((1/1000)*(up_Irr!AH26)),IF(AND(up_Irr!I26&lt;&gt;".",up_Irr!AH26=".",up_Irr!BG26="."),up_dir!AJ26/((1/1000)*(up_Irr!I26)),IF(AND(up_Irr!I26=".",up_Irr!AH26=".",up_Irr!BG26="."),up_dir!AJ26*1000)))))))),".")</f>
        <v>6.5773651144152123E-11</v>
      </c>
      <c r="BK26" s="76">
        <f>IFERROR(IF(AND(up_Irr!J26&lt;&gt;".",up_Irr!AI26&lt;&gt;".",up_Irr!BH26&lt;&gt;"."),up_dir!AK26/((1/1000)*(up_Irr!J26+up_Irr!AI26+up_Irr!BH26)),IF(AND(up_Irr!J26&lt;&gt;".",up_Irr!AI26&lt;&gt;".",up_Irr!BH26="."),up_dir!AK26/((1/1000)*(up_Irr!J26+up_Irr!AI26)),IF(AND(up_Irr!J26&lt;&gt;".",up_Irr!AI26=".",up_Irr!BH26&lt;&gt;"."),up_dir!AK26/((1/1000)*(up_Irr!J26+up_Irr!BH26)),IF(AND(up_Irr!J26=".",up_Irr!AI26&lt;&gt;".",up_Irr!BH26&lt;&gt;"."),up_dir!AK26/((1/1000)*(up_Irr!AI26+up_Irr!BH26)),IF(AND(up_Irr!J26=".",up_Irr!AI26=".",up_Irr!BH26&lt;&gt;"."),up_dir!AK26/((1/1000)*(up_Irr!BH26)),IF(AND(up_Irr!J26=".",up_Irr!AI26&lt;&gt;".",up_Irr!BH26="."),up_dir!AK26/((1/1000)*(up_Irr!AI26)),IF(AND(up_Irr!J26&lt;&gt;".",up_Irr!AI26=".",up_Irr!BH26="."),up_dir!AK26/((1/1000)*(up_Irr!J26)),IF(AND(up_Irr!J26=".",up_Irr!AI26=".",up_Irr!BH26="."),up_dir!AK26*1000)))))))),".")</f>
        <v>6.5773651144152123E-11</v>
      </c>
      <c r="BL26" s="76">
        <f>IFERROR(IF(AND(up_Irr!K26&lt;&gt;".",up_Irr!AJ26&lt;&gt;".",up_Irr!BI26&lt;&gt;"."),up_dir!AL26/((1/1000)*(up_Irr!K26+up_Irr!AJ26+up_Irr!BI26)),IF(AND(up_Irr!K26&lt;&gt;".",up_Irr!AJ26&lt;&gt;".",up_Irr!BI26="."),up_dir!AL26/((1/1000)*(up_Irr!K26+up_Irr!AJ26)),IF(AND(up_Irr!K26&lt;&gt;".",up_Irr!AJ26=".",up_Irr!BI26&lt;&gt;"."),up_dir!AL26/((1/1000)*(up_Irr!K26+up_Irr!BI26)),IF(AND(up_Irr!K26=".",up_Irr!AJ26&lt;&gt;".",up_Irr!BI26&lt;&gt;"."),up_dir!AL26/((1/1000)*(up_Irr!AJ26+up_Irr!BI26)),IF(AND(up_Irr!K26=".",up_Irr!AJ26=".",up_Irr!BI26&lt;&gt;"."),up_dir!AL26/((1/1000)*(up_Irr!BI26)),IF(AND(up_Irr!K26=".",up_Irr!AJ26&lt;&gt;".",up_Irr!BI26="."),up_dir!AL26/((1/1000)*(up_Irr!AJ26)),IF(AND(up_Irr!K26&lt;&gt;".",up_Irr!AJ26=".",up_Irr!BI26="."),up_dir!AL26/((1/1000)*(up_Irr!K26)),IF(AND(up_Irr!K26=".",up_Irr!AJ26=".",up_Irr!BI26="."),up_dir!AL26*1000)))))))),".")</f>
        <v>6.5773651144152123E-11</v>
      </c>
      <c r="BM26" s="76">
        <f>IFERROR(IF(AND(up_Irr!L26&lt;&gt;".",up_Irr!AK26&lt;&gt;".",up_Irr!BJ26&lt;&gt;"."),up_dir!AM26/((1/1000)*(up_Irr!L26+up_Irr!AK26+up_Irr!BJ26)),IF(AND(up_Irr!L26&lt;&gt;".",up_Irr!AK26&lt;&gt;".",up_Irr!BJ26="."),up_dir!AM26/((1/1000)*(up_Irr!L26+up_Irr!AK26)),IF(AND(up_Irr!L26&lt;&gt;".",up_Irr!AK26=".",up_Irr!BJ26&lt;&gt;"."),up_dir!AM26/((1/1000)*(up_Irr!L26+up_Irr!BJ26)),IF(AND(up_Irr!L26=".",up_Irr!AK26&lt;&gt;".",up_Irr!BJ26&lt;&gt;"."),up_dir!AM26/((1/1000)*(up_Irr!AK26+up_Irr!BJ26)),IF(AND(up_Irr!L26=".",up_Irr!AK26=".",up_Irr!BJ26&lt;&gt;"."),up_dir!AM26/((1/1000)*(up_Irr!BJ26)),IF(AND(up_Irr!L26=".",up_Irr!AK26&lt;&gt;".",up_Irr!BJ26="."),up_dir!AM26/((1/1000)*(up_Irr!AK26)),IF(AND(up_Irr!L26&lt;&gt;".",up_Irr!AK26=".",up_Irr!BJ26="."),up_dir!AM26/((1/1000)*(up_Irr!L26)),IF(AND(up_Irr!L26=".",up_Irr!AK26=".",up_Irr!BJ26="."),up_dir!AM26*1000)))))))),".")</f>
        <v>6.5773651144152123E-11</v>
      </c>
      <c r="BN26" s="76">
        <f>IFERROR(IF(AND(up_Irr!M26&lt;&gt;".",up_Irr!AL26&lt;&gt;".",up_Irr!BK26&lt;&gt;"."),up_dir!AN26/((1/1000)*(up_Irr!M26+up_Irr!AL26+up_Irr!BK26)),IF(AND(up_Irr!M26&lt;&gt;".",up_Irr!AL26&lt;&gt;".",up_Irr!BK26="."),up_dir!AN26/((1/1000)*(up_Irr!M26+up_Irr!AL26)),IF(AND(up_Irr!M26&lt;&gt;".",up_Irr!AL26=".",up_Irr!BK26&lt;&gt;"."),up_dir!AN26/((1/1000)*(up_Irr!M26+up_Irr!BK26)),IF(AND(up_Irr!M26=".",up_Irr!AL26&lt;&gt;".",up_Irr!BK26&lt;&gt;"."),up_dir!AN26/((1/1000)*(up_Irr!AL26+up_Irr!BK26)),IF(AND(up_Irr!M26=".",up_Irr!AL26=".",up_Irr!BK26&lt;&gt;"."),up_dir!AN26/((1/1000)*(up_Irr!BK26)),IF(AND(up_Irr!M26=".",up_Irr!AL26&lt;&gt;".",up_Irr!BK26="."),up_dir!AN26/((1/1000)*(up_Irr!AL26)),IF(AND(up_Irr!M26&lt;&gt;".",up_Irr!AL26=".",up_Irr!BK26="."),up_dir!AN26/((1/1000)*(up_Irr!M26)),IF(AND(up_Irr!M26=".",up_Irr!AL26=".",up_Irr!BK26="."),up_dir!AN26*1000)))))))),".")</f>
        <v>6.5773651144152123E-11</v>
      </c>
      <c r="BO26" s="76">
        <f>IFERROR(IF(AND(up_Irr!N26&lt;&gt;".",up_Irr!AM26&lt;&gt;".",up_Irr!BL26&lt;&gt;"."),up_dir!AO26/((1/1000)*(up_Irr!N26+up_Irr!AM26+up_Irr!BL26)),IF(AND(up_Irr!N26&lt;&gt;".",up_Irr!AM26&lt;&gt;".",up_Irr!BL26="."),up_dir!AO26/((1/1000)*(up_Irr!N26+up_Irr!AM26)),IF(AND(up_Irr!N26&lt;&gt;".",up_Irr!AM26=".",up_Irr!BL26&lt;&gt;"."),up_dir!AO26/((1/1000)*(up_Irr!N26+up_Irr!BL26)),IF(AND(up_Irr!N26=".",up_Irr!AM26&lt;&gt;".",up_Irr!BL26&lt;&gt;"."),up_dir!AO26/((1/1000)*(up_Irr!AM26+up_Irr!BL26)),IF(AND(up_Irr!N26=".",up_Irr!AM26=".",up_Irr!BL26&lt;&gt;"."),up_dir!AO26/((1/1000)*(up_Irr!BL26)),IF(AND(up_Irr!N26=".",up_Irr!AM26&lt;&gt;".",up_Irr!BL26="."),up_dir!AO26/((1/1000)*(up_Irr!AM26)),IF(AND(up_Irr!N26&lt;&gt;".",up_Irr!AM26=".",up_Irr!BL26="."),up_dir!AO26/((1/1000)*(up_Irr!N26)),IF(AND(up_Irr!N26=".",up_Irr!AM26=".",up_Irr!BL26="."),up_dir!AO26*1000)))))))),".")</f>
        <v>6.5773651144152123E-11</v>
      </c>
      <c r="BP26" s="76">
        <f>IFERROR(IF(AND(up_Irr!O26&lt;&gt;".",up_Irr!AN26&lt;&gt;".",up_Irr!BM26&lt;&gt;"."),up_dir!AP26/((1/1000)*(up_Irr!O26+up_Irr!AN26+up_Irr!BM26)),IF(AND(up_Irr!O26&lt;&gt;".",up_Irr!AN26&lt;&gt;".",up_Irr!BM26="."),up_dir!AP26/((1/1000)*(up_Irr!O26+up_Irr!AN26)),IF(AND(up_Irr!O26&lt;&gt;".",up_Irr!AN26=".",up_Irr!BM26&lt;&gt;"."),up_dir!AP26/((1/1000)*(up_Irr!O26+up_Irr!BM26)),IF(AND(up_Irr!O26=".",up_Irr!AN26&lt;&gt;".",up_Irr!BM26&lt;&gt;"."),up_dir!AP26/((1/1000)*(up_Irr!AN26+up_Irr!BM26)),IF(AND(up_Irr!O26=".",up_Irr!AN26=".",up_Irr!BM26&lt;&gt;"."),up_dir!AP26/((1/1000)*(up_Irr!BM26)),IF(AND(up_Irr!O26=".",up_Irr!AN26&lt;&gt;".",up_Irr!BM26="."),up_dir!AP26/((1/1000)*(up_Irr!AN26)),IF(AND(up_Irr!O26&lt;&gt;".",up_Irr!AN26=".",up_Irr!BM26="."),up_dir!AP26/((1/1000)*(up_Irr!O26)),IF(AND(up_Irr!O26=".",up_Irr!AN26=".",up_Irr!BM26="."),up_dir!AP26*1000)))))))),".")</f>
        <v>6.5773651144152123E-11</v>
      </c>
      <c r="BQ26" s="76">
        <f>IFERROR(IF(AND(up_Irr!P26&lt;&gt;".",up_Irr!AO26&lt;&gt;".",up_Irr!BN26&lt;&gt;"."),up_dir!AQ26/((1/1000)*(up_Irr!P26+up_Irr!AO26+up_Irr!BN26)),IF(AND(up_Irr!P26&lt;&gt;".",up_Irr!AO26&lt;&gt;".",up_Irr!BN26="."),up_dir!AQ26/((1/1000)*(up_Irr!P26+up_Irr!AO26)),IF(AND(up_Irr!P26&lt;&gt;".",up_Irr!AO26=".",up_Irr!BN26&lt;&gt;"."),up_dir!AQ26/((1/1000)*(up_Irr!P26+up_Irr!BN26)),IF(AND(up_Irr!P26=".",up_Irr!AO26&lt;&gt;".",up_Irr!BN26&lt;&gt;"."),up_dir!AQ26/((1/1000)*(up_Irr!AO26+up_Irr!BN26)),IF(AND(up_Irr!P26=".",up_Irr!AO26=".",up_Irr!BN26&lt;&gt;"."),up_dir!AQ26/((1/1000)*(up_Irr!BN26)),IF(AND(up_Irr!P26=".",up_Irr!AO26&lt;&gt;".",up_Irr!BN26="."),up_dir!AQ26/((1/1000)*(up_Irr!AO26)),IF(AND(up_Irr!P26&lt;&gt;".",up_Irr!AO26=".",up_Irr!BN26="."),up_dir!AQ26/((1/1000)*(up_Irr!P26)),IF(AND(up_Irr!P26=".",up_Irr!AO26=".",up_Irr!BN26="."),up_dir!AQ26*1000)))))))),".")</f>
        <v>6.5773651144152123E-11</v>
      </c>
      <c r="BR26" s="76">
        <f>IFERROR(IF(AND(up_Irr!Q26&lt;&gt;".",up_Irr!AP26&lt;&gt;".",up_Irr!BO26&lt;&gt;"."),up_dir!AR26/((1/1000)*(up_Irr!Q26+up_Irr!AP26+up_Irr!BO26)),IF(AND(up_Irr!Q26&lt;&gt;".",up_Irr!AP26&lt;&gt;".",up_Irr!BO26="."),up_dir!AR26/((1/1000)*(up_Irr!Q26+up_Irr!AP26)),IF(AND(up_Irr!Q26&lt;&gt;".",up_Irr!AP26=".",up_Irr!BO26&lt;&gt;"."),up_dir!AR26/((1/1000)*(up_Irr!Q26+up_Irr!BO26)),IF(AND(up_Irr!Q26=".",up_Irr!AP26&lt;&gt;".",up_Irr!BO26&lt;&gt;"."),up_dir!AR26/((1/1000)*(up_Irr!AP26+up_Irr!BO26)),IF(AND(up_Irr!Q26=".",up_Irr!AP26=".",up_Irr!BO26&lt;&gt;"."),up_dir!AR26/((1/1000)*(up_Irr!BO26)),IF(AND(up_Irr!Q26=".",up_Irr!AP26&lt;&gt;".",up_Irr!BO26="."),up_dir!AR26/((1/1000)*(up_Irr!AP26)),IF(AND(up_Irr!Q26&lt;&gt;".",up_Irr!AP26=".",up_Irr!BO26="."),up_dir!AR26/((1/1000)*(up_Irr!Q26)),IF(AND(up_Irr!Q26=".",up_Irr!AP26=".",up_Irr!BO26="."),up_dir!AR26*1000)))))))),".")</f>
        <v>6.5773651144152123E-11</v>
      </c>
      <c r="BS26" s="76">
        <f>IFERROR(IF(AND(up_Irr!R26&lt;&gt;".",up_Irr!AQ26&lt;&gt;".",up_Irr!BP26&lt;&gt;"."),up_dir!AS26/((1/1000)*(up_Irr!R26+up_Irr!AQ26+up_Irr!BP26)),IF(AND(up_Irr!R26&lt;&gt;".",up_Irr!AQ26&lt;&gt;".",up_Irr!BP26="."),up_dir!AS26/((1/1000)*(up_Irr!R26+up_Irr!AQ26)),IF(AND(up_Irr!R26&lt;&gt;".",up_Irr!AQ26=".",up_Irr!BP26&lt;&gt;"."),up_dir!AS26/((1/1000)*(up_Irr!R26+up_Irr!BP26)),IF(AND(up_Irr!R26=".",up_Irr!AQ26&lt;&gt;".",up_Irr!BP26&lt;&gt;"."),up_dir!AS26/((1/1000)*(up_Irr!AQ26+up_Irr!BP26)),IF(AND(up_Irr!R26=".",up_Irr!AQ26=".",up_Irr!BP26&lt;&gt;"."),up_dir!AS26/((1/1000)*(up_Irr!BP26)),IF(AND(up_Irr!R26=".",up_Irr!AQ26&lt;&gt;".",up_Irr!BP26="."),up_dir!AS26/((1/1000)*(up_Irr!AQ26)),IF(AND(up_Irr!R26&lt;&gt;".",up_Irr!AQ26=".",up_Irr!BP26="."),up_dir!AS26/((1/1000)*(up_Irr!R26)),IF(AND(up_Irr!R26=".",up_Irr!AQ26=".",up_Irr!BP26="."),up_dir!AS26*1000)))))))),".")</f>
        <v>6.5773651144152123E-11</v>
      </c>
      <c r="BT26" s="76">
        <f>IFERROR(IF(AND(up_Irr!S26&lt;&gt;".",up_Irr!AR26&lt;&gt;".",up_Irr!BQ26&lt;&gt;"."),up_dir!AT26/((1/1000)*(up_Irr!S26+up_Irr!AR26+up_Irr!BQ26)),IF(AND(up_Irr!S26&lt;&gt;".",up_Irr!AR26&lt;&gt;".",up_Irr!BQ26="."),up_dir!AT26/((1/1000)*(up_Irr!S26+up_Irr!AR26)),IF(AND(up_Irr!S26&lt;&gt;".",up_Irr!AR26=".",up_Irr!BQ26&lt;&gt;"."),up_dir!AT26/((1/1000)*(up_Irr!S26+up_Irr!BQ26)),IF(AND(up_Irr!S26=".",up_Irr!AR26&lt;&gt;".",up_Irr!BQ26&lt;&gt;"."),up_dir!AT26/((1/1000)*(up_Irr!AR26+up_Irr!BQ26)),IF(AND(up_Irr!S26=".",up_Irr!AR26=".",up_Irr!BQ26&lt;&gt;"."),up_dir!AT26/((1/1000)*(up_Irr!BQ26)),IF(AND(up_Irr!S26=".",up_Irr!AR26&lt;&gt;".",up_Irr!BQ26="."),up_dir!AT26/((1/1000)*(up_Irr!AR26)),IF(AND(up_Irr!S26&lt;&gt;".",up_Irr!AR26=".",up_Irr!BQ26="."),up_dir!AT26/((1/1000)*(up_Irr!S26)),IF(AND(up_Irr!S26=".",up_Irr!AR26=".",up_Irr!BQ26="."),up_dir!AT26*1000)))))))),".")</f>
        <v>6.5773651144152123E-11</v>
      </c>
      <c r="BU26" s="76">
        <f>IFERROR(IF(AND(up_Irr!T26&lt;&gt;".",up_Irr!AS26&lt;&gt;".",up_Irr!BR26&lt;&gt;"."),up_dir!AU26/((1/1000)*(up_Irr!T26+up_Irr!AS26+up_Irr!BR26)),IF(AND(up_Irr!T26&lt;&gt;".",up_Irr!AS26&lt;&gt;".",up_Irr!BR26="."),up_dir!AU26/((1/1000)*(up_Irr!T26+up_Irr!AS26)),IF(AND(up_Irr!T26&lt;&gt;".",up_Irr!AS26=".",up_Irr!BR26&lt;&gt;"."),up_dir!AU26/((1/1000)*(up_Irr!T26+up_Irr!BR26)),IF(AND(up_Irr!T26=".",up_Irr!AS26&lt;&gt;".",up_Irr!BR26&lt;&gt;"."),up_dir!AU26/((1/1000)*(up_Irr!AS26+up_Irr!BR26)),IF(AND(up_Irr!T26=".",up_Irr!AS26=".",up_Irr!BR26&lt;&gt;"."),up_dir!AU26/((1/1000)*(up_Irr!BR26)),IF(AND(up_Irr!T26=".",up_Irr!AS26&lt;&gt;".",up_Irr!BR26="."),up_dir!AU26/((1/1000)*(up_Irr!AS26)),IF(AND(up_Irr!T26&lt;&gt;".",up_Irr!AS26=".",up_Irr!BR26="."),up_dir!AU26/((1/1000)*(up_Irr!T26)),IF(AND(up_Irr!T26=".",up_Irr!AS26=".",up_Irr!BR26="."),up_dir!AU26*1000)))))))),".")</f>
        <v>6.5773651144152123E-11</v>
      </c>
      <c r="BV26" s="76">
        <f>IFERROR(IF(AND(up_Irr!U26&lt;&gt;".",up_Irr!AT26&lt;&gt;".",up_Irr!BS26&lt;&gt;"."),up_dir!AV26/((1/1000)*(up_Irr!U26+up_Irr!AT26+up_Irr!BS26)),IF(AND(up_Irr!U26&lt;&gt;".",up_Irr!AT26&lt;&gt;".",up_Irr!BS26="."),up_dir!AV26/((1/1000)*(up_Irr!U26+up_Irr!AT26)),IF(AND(up_Irr!U26&lt;&gt;".",up_Irr!AT26=".",up_Irr!BS26&lt;&gt;"."),up_dir!AV26/((1/1000)*(up_Irr!U26+up_Irr!BS26)),IF(AND(up_Irr!U26=".",up_Irr!AT26&lt;&gt;".",up_Irr!BS26&lt;&gt;"."),up_dir!AV26/((1/1000)*(up_Irr!AT26+up_Irr!BS26)),IF(AND(up_Irr!U26=".",up_Irr!AT26=".",up_Irr!BS26&lt;&gt;"."),up_dir!AV26/((1/1000)*(up_Irr!BS26)),IF(AND(up_Irr!U26=".",up_Irr!AT26&lt;&gt;".",up_Irr!BS26="."),up_dir!AV26/((1/1000)*(up_Irr!AT26)),IF(AND(up_Irr!U26&lt;&gt;".",up_Irr!AT26=".",up_Irr!BS26="."),up_dir!AV26/((1/1000)*(up_Irr!U26)),IF(AND(up_Irr!U26=".",up_Irr!AT26=".",up_Irr!BS26="."),up_dir!AV26*1000)))))))),".")</f>
        <v>6.5773651144152123E-11</v>
      </c>
      <c r="BW26" s="76">
        <f>IFERROR(IF(AND(up_Irr!V26&lt;&gt;".",up_Irr!AU26&lt;&gt;".",up_Irr!BT26&lt;&gt;"."),up_dir!AW26/((1/1000)*(up_Irr!V26+up_Irr!AU26+up_Irr!BT26)),IF(AND(up_Irr!V26&lt;&gt;".",up_Irr!AU26&lt;&gt;".",up_Irr!BT26="."),up_dir!AW26/((1/1000)*(up_Irr!V26+up_Irr!AU26)),IF(AND(up_Irr!V26&lt;&gt;".",up_Irr!AU26=".",up_Irr!BT26&lt;&gt;"."),up_dir!AW26/((1/1000)*(up_Irr!V26+up_Irr!BT26)),IF(AND(up_Irr!V26=".",up_Irr!AU26&lt;&gt;".",up_Irr!BT26&lt;&gt;"."),up_dir!AW26/((1/1000)*(up_Irr!AU26+up_Irr!BT26)),IF(AND(up_Irr!V26=".",up_Irr!AU26=".",up_Irr!BT26&lt;&gt;"."),up_dir!AW26/((1/1000)*(up_Irr!BT26)),IF(AND(up_Irr!V26=".",up_Irr!AU26&lt;&gt;".",up_Irr!BT26="."),up_dir!AW26/((1/1000)*(up_Irr!AU26)),IF(AND(up_Irr!V26&lt;&gt;".",up_Irr!AU26=".",up_Irr!BT26="."),up_dir!AW26/((1/1000)*(up_Irr!V26)),IF(AND(up_Irr!V26=".",up_Irr!AU26=".",up_Irr!BT26="."),up_dir!AW26*1000)))))))),".")</f>
        <v>6.5773651144152123E-11</v>
      </c>
      <c r="BX26" s="76">
        <f>IFERROR(IF(AND(up_Irr!W26&lt;&gt;".",up_Irr!AV26&lt;&gt;".",up_Irr!BU26&lt;&gt;"."),up_dir!AX26/((1/1000)*(up_Irr!W26+up_Irr!AV26+up_Irr!BU26)),IF(AND(up_Irr!W26&lt;&gt;".",up_Irr!AV26&lt;&gt;".",up_Irr!BU26="."),up_dir!AX26/((1/1000)*(up_Irr!W26+up_Irr!AV26)),IF(AND(up_Irr!W26&lt;&gt;".",up_Irr!AV26=".",up_Irr!BU26&lt;&gt;"."),up_dir!AX26/((1/1000)*(up_Irr!W26+up_Irr!BU26)),IF(AND(up_Irr!W26=".",up_Irr!AV26&lt;&gt;".",up_Irr!BU26&lt;&gt;"."),up_dir!AX26/((1/1000)*(up_Irr!AV26+up_Irr!BU26)),IF(AND(up_Irr!W26=".",up_Irr!AV26=".",up_Irr!BU26&lt;&gt;"."),up_dir!AX26/((1/1000)*(up_Irr!BU26)),IF(AND(up_Irr!W26=".",up_Irr!AV26&lt;&gt;".",up_Irr!BU26="."),up_dir!AX26/((1/1000)*(up_Irr!AV26)),IF(AND(up_Irr!W26&lt;&gt;".",up_Irr!AV26=".",up_Irr!BU26="."),up_dir!AX26/((1/1000)*(up_Irr!W26)),IF(AND(up_Irr!W26=".",up_Irr!AV26=".",up_Irr!BU26="."),up_dir!AX26*1000)))))))),".")</f>
        <v>6.5773651144152123E-11</v>
      </c>
      <c r="BY26" s="76">
        <f>IFERROR(IF(AND(up_Irr!X26&lt;&gt;".",up_Irr!AW26&lt;&gt;".",up_Irr!BV26&lt;&gt;"."),up_dir!AY26/((1/1000)*(up_Irr!X26+up_Irr!AW26+up_Irr!BV26)),IF(AND(up_Irr!X26&lt;&gt;".",up_Irr!AW26&lt;&gt;".",up_Irr!BV26="."),up_dir!AY26/((1/1000)*(up_Irr!X26+up_Irr!AW26)),IF(AND(up_Irr!X26&lt;&gt;".",up_Irr!AW26=".",up_Irr!BV26&lt;&gt;"."),up_dir!AY26/((1/1000)*(up_Irr!X26+up_Irr!BV26)),IF(AND(up_Irr!X26=".",up_Irr!AW26&lt;&gt;".",up_Irr!BV26&lt;&gt;"."),up_dir!AY26/((1/1000)*(up_Irr!AW26+up_Irr!BV26)),IF(AND(up_Irr!X26=".",up_Irr!AW26=".",up_Irr!BV26&lt;&gt;"."),up_dir!AY26/((1/1000)*(up_Irr!BV26)),IF(AND(up_Irr!X26=".",up_Irr!AW26&lt;&gt;".",up_Irr!BV26="."),up_dir!AY26/((1/1000)*(up_Irr!AW26)),IF(AND(up_Irr!X26&lt;&gt;".",up_Irr!AW26=".",up_Irr!BV26="."),up_dir!AY26/((1/1000)*(up_Irr!X26)),IF(AND(up_Irr!X26=".",up_Irr!AW26=".",up_Irr!BV26="."),up_dir!AY26*1000)))))))),".")</f>
        <v>6.5773651144152123E-11</v>
      </c>
      <c r="BZ26" s="76">
        <f>IFERROR(IF(AND(up_Irr!Y26&lt;&gt;".",up_Irr!AX26&lt;&gt;".",up_Irr!BW26&lt;&gt;"."),up_dir!AZ26/((1/1000)*(up_Irr!Y26+up_Irr!AX26+up_Irr!BW26)),IF(AND(up_Irr!Y26&lt;&gt;".",up_Irr!AX26&lt;&gt;".",up_Irr!BW26="."),up_dir!AZ26/((1/1000)*(up_Irr!Y26+up_Irr!AX26)),IF(AND(up_Irr!Y26&lt;&gt;".",up_Irr!AX26=".",up_Irr!BW26&lt;&gt;"."),up_dir!AZ26/((1/1000)*(up_Irr!Y26+up_Irr!BW26)),IF(AND(up_Irr!Y26=".",up_Irr!AX26&lt;&gt;".",up_Irr!BW26&lt;&gt;"."),up_dir!AZ26/((1/1000)*(up_Irr!AX26+up_Irr!BW26)),IF(AND(up_Irr!Y26=".",up_Irr!AX26=".",up_Irr!BW26&lt;&gt;"."),up_dir!AZ26/((1/1000)*(up_Irr!BW26)),IF(AND(up_Irr!Y26=".",up_Irr!AX26&lt;&gt;".",up_Irr!BW26="."),up_dir!AZ26/((1/1000)*(up_Irr!AX26)),IF(AND(up_Irr!Y26&lt;&gt;".",up_Irr!AX26=".",up_Irr!BW26="."),up_dir!AZ26/((1/1000)*(up_Irr!Y26)),IF(AND(up_Irr!Y26=".",up_Irr!AX26=".",up_Irr!BW26="."),up_dir!AZ26*1000)))))))),".")</f>
        <v>6.5773651144152123E-11</v>
      </c>
      <c r="CA26" s="76">
        <f>IFERROR(IF(AND(up_Irr!Z26&lt;&gt;".",up_Irr!AY26&lt;&gt;".",up_Irr!BX26&lt;&gt;"."),up_dir!BA26/((1/1000)*(up_Irr!Z26+up_Irr!AY26+up_Irr!BX26)),IF(AND(up_Irr!Z26&lt;&gt;".",up_Irr!AY26&lt;&gt;".",up_Irr!BX26="."),up_dir!BA26/((1/1000)*(up_Irr!Z26+up_Irr!AY26)),IF(AND(up_Irr!Z26&lt;&gt;".",up_Irr!AY26=".",up_Irr!BX26&lt;&gt;"."),up_dir!BA26/((1/1000)*(up_Irr!Z26+up_Irr!BX26)),IF(AND(up_Irr!Z26=".",up_Irr!AY26&lt;&gt;".",up_Irr!BX26&lt;&gt;"."),up_dir!BA26/((1/1000)*(up_Irr!AY26+up_Irr!BX26)),IF(AND(up_Irr!Z26=".",up_Irr!AY26=".",up_Irr!BX26&lt;&gt;"."),up_dir!BA26/((1/1000)*(up_Irr!BX26)),IF(AND(up_Irr!Z26=".",up_Irr!AY26&lt;&gt;".",up_Irr!BX26="."),up_dir!BA26/((1/1000)*(up_Irr!AY26)),IF(AND(up_Irr!Z26&lt;&gt;".",up_Irr!AY26=".",up_Irr!BX26="."),up_dir!BA26/((1/1000)*(up_Irr!Z26)),IF(AND(up_Irr!Z26=".",up_Irr!AY26=".",up_Irr!BX26="."),up_dir!BA26*1000)))))))),".")</f>
        <v>6.5773651144152123E-11</v>
      </c>
      <c r="CB26" s="76">
        <f>IFERROR(IF(AND(up_Irr!AA26&lt;&gt;".",up_Irr!AZ26&lt;&gt;".",up_Irr!BY26&lt;&gt;"."),up_dir!BB26/((1/1000)*(up_Irr!AA26+up_Irr!AZ26+up_Irr!BY26)),IF(AND(up_Irr!AA26&lt;&gt;".",up_Irr!AZ26&lt;&gt;".",up_Irr!BY26="."),up_dir!BB26/((1/1000)*(up_Irr!AA26+up_Irr!AZ26)),IF(AND(up_Irr!AA26&lt;&gt;".",up_Irr!AZ26=".",up_Irr!BY26&lt;&gt;"."),up_dir!BB26/((1/1000)*(up_Irr!AA26+up_Irr!BY26)),IF(AND(up_Irr!AA26=".",up_Irr!AZ26&lt;&gt;".",up_Irr!BY26&lt;&gt;"."),up_dir!BB26/((1/1000)*(up_Irr!AZ26+up_Irr!BY26)),IF(AND(up_Irr!AA26=".",up_Irr!AZ26=".",up_Irr!BY26&lt;&gt;"."),up_dir!BB26/((1/1000)*(up_Irr!BY26)),IF(AND(up_Irr!AA26=".",up_Irr!AZ26&lt;&gt;".",up_Irr!BY26="."),up_dir!BB26/((1/1000)*(up_Irr!AZ26)),IF(AND(up_Irr!AA26&lt;&gt;".",up_Irr!AZ26=".",up_Irr!BY26="."),up_dir!BB26/((1/1000)*(up_Irr!AA26)),IF(AND(up_Irr!AA26=".",up_Irr!AZ26=".",up_Irr!BY26="."),up_dir!BB26*1000)))))))),".")</f>
        <v>6.5773651144152123E-11</v>
      </c>
      <c r="CC26" s="93">
        <f t="shared" si="3"/>
        <v>608146.26076229871</v>
      </c>
      <c r="CD26" s="93">
        <f>IFERROR(s_C*s_IFAP_far_adj*s_CF_apple*(1/1000)*(up_Irr!C26+up_Irr!AB26+up_Irr!BA26),".")</f>
        <v>152036.56519057468</v>
      </c>
      <c r="CE26" s="93">
        <f>IFERROR(s_C*s_IFAS_far_adj*s_CF_asparagus*(1/1000)*(up_Irr!D26+up_Irr!AC26+up_Irr!BB26),".")</f>
        <v>152036.56519057468</v>
      </c>
      <c r="CF26" s="93">
        <f>IFERROR(s_C*s_IFBT_far_adj*s_CF_beet*(1/1000)*(up_Irr!E26+up_Irr!AD26+up_Irr!BC26),".")</f>
        <v>152036.56519057468</v>
      </c>
      <c r="CG26" s="93">
        <f>IFERROR(s_C*s_IFBE_far_adj*s_CF_berries*(1/1000)*(up_Irr!F26+up_Irr!AE26+up_Irr!BD26),".")</f>
        <v>152036.56519057468</v>
      </c>
      <c r="CH26" s="93">
        <f>IFERROR(s_C*s_IFBR_far_adj*s_CF_broccoli*(1/1000)*(up_Irr!G26+up_Irr!AF26+up_Irr!BE26),".")</f>
        <v>152036.56519057468</v>
      </c>
      <c r="CI26" s="93">
        <f>IFERROR(s_C*s_IFCB_far_adj*s_CF_cabbage*(1/1000)*(up_Irr!H26+up_Irr!AG26+up_Irr!BF26),".")</f>
        <v>152036.56519057468</v>
      </c>
      <c r="CJ26" s="93">
        <f>IFERROR(s_C*s_IFCR_far_adj*s_CF_carrot*(1/1000)*(up_Irr!I26+up_Irr!AH26+up_Irr!BG26),".")</f>
        <v>152036.56519057468</v>
      </c>
      <c r="CK26" s="93">
        <f>IFERROR(s_C*s_IFCI_far_adj*s_CF_citrus*(1/1000)*(up_Irr!J26+up_Irr!AI26+up_Irr!BH26),".")</f>
        <v>152036.56519057468</v>
      </c>
      <c r="CL26" s="93">
        <f>IFERROR(s_C*s_IFCO_far_adj*s_CF_corn*(1/1000)*(up_Irr!K26+up_Irr!AJ26+up_Irr!BI26),".")</f>
        <v>152036.56519057468</v>
      </c>
      <c r="CM26" s="93">
        <f>IFERROR(s_C*s_IFCU_far_adj*s_CF_cucumber*(1/1000)*(up_Irr!L26+up_Irr!AK26+up_Irr!BJ26),".")</f>
        <v>152036.56519057468</v>
      </c>
      <c r="CN26" s="93">
        <f>IFERROR(s_C*s_IFLE_far_adj*s_CF_lettuce*(1/1000)*(up_Irr!M26+up_Irr!AL26+up_Irr!BK26),".")</f>
        <v>152036.56519057468</v>
      </c>
      <c r="CO26" s="93">
        <f>IFERROR(s_C*s_IFLI_far_adj*s_CF_lima_bean*(1/1000)*(up_Irr!N26+up_Irr!AM26+up_Irr!BL26),".")</f>
        <v>152036.56519057468</v>
      </c>
      <c r="CP26" s="93">
        <f>IFERROR(s_C*s_IFOK_far_adj*s_CF_okra*(1/1000)*(up_Irr!O26+up_Irr!AN26+up_Irr!BM26),".")</f>
        <v>152036.56519057468</v>
      </c>
      <c r="CQ26" s="93">
        <f>IFERROR(s_C*s_IFON_far_adj*s_CF_onion*(1/1000)*(up_Irr!P26+up_Irr!AO26+up_Irr!BN26),".")</f>
        <v>152036.56519057468</v>
      </c>
      <c r="CR26" s="93">
        <f>IFERROR(s_C*s_IFPC_far_adj*s_CF_peach*(1/1000)*(up_Irr!Q26+up_Irr!AP26+up_Irr!BO26),".")</f>
        <v>152036.56519057468</v>
      </c>
      <c r="CS26" s="93">
        <f>IFERROR(s_C*s_IFPR_far_adj*s_CF_pear*(1/1000)*(up_Irr!R26+up_Irr!AQ26+up_Irr!BP26),".")</f>
        <v>152036.56519057468</v>
      </c>
      <c r="CT26" s="93">
        <f>IFERROR(s_C*s_IFPE_far_adj*s_CF_peas*(1/1000)*(up_Irr!S26+up_Irr!AR26+up_Irr!BQ26),".")</f>
        <v>152036.56519057468</v>
      </c>
      <c r="CU26" s="93">
        <f>IFERROR(s_C*s_IFPP_far_adj*s_CF_peppers*(1/1000)*(up_Irr!T26+up_Irr!AS26+up_Irr!BR26),".")</f>
        <v>152036.56519057468</v>
      </c>
      <c r="CV26" s="93">
        <f>IFERROR(s_C*s_IFPT_far_adj*s_CF_potato*(1/1000)*(up_Irr!U26+up_Irr!AT26+up_Irr!BS26),".")</f>
        <v>152036.56519057468</v>
      </c>
      <c r="CW26" s="93">
        <f>IFERROR(s_C*s_IFPU_far_adj*s_CF_pumpkin*(1/1000)*(up_Irr!V26+up_Irr!AU26+up_Irr!BT26),".")</f>
        <v>152036.56519057468</v>
      </c>
      <c r="CX26" s="93">
        <f>IFERROR(s_C*s_IFSN_far_adj*s_CF_snap_bean*(1/1000)*(up_Irr!W26+up_Irr!AV26+up_Irr!BU26),".")</f>
        <v>152036.56519057468</v>
      </c>
      <c r="CY26" s="93">
        <f>IFERROR(s_C*s_IFST_far_adj*s_CF_strawberry*(1/1000)*(up_Irr!X26+up_Irr!AW26+up_Irr!BV26),".")</f>
        <v>152036.56519057468</v>
      </c>
      <c r="CZ26" s="93">
        <f>IFERROR(s_C*s_IFTO_far_adj*s_CF_tomato*(1/1000)*(up_Irr!Y26+up_Irr!AX26+up_Irr!BW26),".")</f>
        <v>152036.56519057468</v>
      </c>
      <c r="DA26" s="93">
        <f>IFERROR(s_C*s_IFRI_far_adj*s_CF_rice*(1/1000)*(up_Irr!Z26+up_Irr!AY26+up_Irr!BX26),".")</f>
        <v>152036.56519057468</v>
      </c>
      <c r="DB26" s="93">
        <f>IFERROR(s_C*s_IFCG_far_adj*s_CF_cereal*(1/1000)*(up_Irr!AA26+up_Irr!AZ26+up_Irr!BY26),".")</f>
        <v>152036.56519057468</v>
      </c>
    </row>
    <row r="27" spans="1:106" ht="15" customHeight="1" x14ac:dyDescent="0.25">
      <c r="A27" s="92" t="s">
        <v>37</v>
      </c>
      <c r="B27" s="90" t="s">
        <v>1071</v>
      </c>
      <c r="C27" s="15">
        <f t="shared" si="0"/>
        <v>1.6443412786038031E-11</v>
      </c>
      <c r="D27" s="76">
        <f>IFERROR(IF(AND(up_Irr!C27&lt;&gt;".",up_Irr!AB27&lt;&gt;".",up_Irr!BA27&lt;&gt;"."),up_dir!D27/((1/1000)*(up_Irr!C27+up_Irr!AB27+up_Irr!BA27)),IF(AND(up_Irr!C27&lt;&gt;".",up_Irr!AB27&lt;&gt;".",up_Irr!BA27="."),up_dir!D27/((1/1000)*(up_Irr!C27+up_Irr!AB27)),IF(AND(up_Irr!C27&lt;&gt;".",up_Irr!AB27=".",up_Irr!BA27&lt;&gt;"."),up_dir!D27/((1/1000)*(up_Irr!C27+up_Irr!BA27)),IF(AND(up_Irr!C27=".",up_Irr!AB27&lt;&gt;".",up_Irr!BA27&lt;&gt;"."),up_dir!D27/((1/1000)*(up_Irr!AB27+up_Irr!BA27)),IF(AND(up_Irr!C27=".",up_Irr!AB27=".",up_Irr!BA27&lt;&gt;"."),up_dir!D27/((1/1000)*(up_Irr!BA27)),IF(AND(up_Irr!C27=".",up_Irr!AB27&lt;&gt;".",up_Irr!BA27="."),up_dir!D27/((1/1000)*(up_Irr!AB27)),IF(AND(up_Irr!C27&lt;&gt;".",up_Irr!AB27=".",up_Irr!BA27="."),up_dir!D27/((1/1000)*(up_Irr!C27)),IF(AND(up_Irr!C27=".",up_Irr!AB27=".",up_Irr!BA27="."),up_dir!D27*1000)))))))),".")</f>
        <v>6.5773651144152123E-11</v>
      </c>
      <c r="E27" s="76">
        <f>IFERROR(IF(AND(up_Irr!D27&lt;&gt;".",up_Irr!AC27&lt;&gt;".",up_Irr!BB27&lt;&gt;"."),up_dir!E27/((1/1000)*(up_Irr!D27+up_Irr!AC27+up_Irr!BB27)),IF(AND(up_Irr!D27&lt;&gt;".",up_Irr!AC27&lt;&gt;".",up_Irr!BB27="."),up_dir!E27/((1/1000)*(up_Irr!D27+up_Irr!AC27)),IF(AND(up_Irr!D27&lt;&gt;".",up_Irr!AC27=".",up_Irr!BB27&lt;&gt;"."),up_dir!E27/((1/1000)*(up_Irr!D27+up_Irr!BB27)),IF(AND(up_Irr!D27=".",up_Irr!AC27&lt;&gt;".",up_Irr!BB27&lt;&gt;"."),up_dir!E27/((1/1000)*(up_Irr!AC27+up_Irr!BB27)),IF(AND(up_Irr!D27=".",up_Irr!AC27=".",up_Irr!BB27&lt;&gt;"."),up_dir!E27/((1/1000)*(up_Irr!BB27)),IF(AND(up_Irr!D27=".",up_Irr!AC27&lt;&gt;".",up_Irr!BB27="."),up_dir!E27/((1/1000)*(up_Irr!AC27)),IF(AND(up_Irr!D27&lt;&gt;".",up_Irr!AC27=".",up_Irr!BB27="."),up_dir!E27/((1/1000)*(up_Irr!D27)),IF(AND(up_Irr!D27=".",up_Irr!AC27=".",up_Irr!BB27="."),up_dir!E27*1000)))))))),".")</f>
        <v>6.5773651144152123E-11</v>
      </c>
      <c r="F27" s="76">
        <f>IFERROR(IF(AND(up_Irr!E27&lt;&gt;".",up_Irr!AD27&lt;&gt;".",up_Irr!BC27&lt;&gt;"."),up_dir!F27/((1/1000)*(up_Irr!E27+up_Irr!AD27+up_Irr!BC27)),IF(AND(up_Irr!E27&lt;&gt;".",up_Irr!AD27&lt;&gt;".",up_Irr!BC27="."),up_dir!F27/((1/1000)*(up_Irr!E27+up_Irr!AD27)),IF(AND(up_Irr!E27&lt;&gt;".",up_Irr!AD27=".",up_Irr!BC27&lt;&gt;"."),up_dir!F27/((1/1000)*(up_Irr!E27+up_Irr!BC27)),IF(AND(up_Irr!E27=".",up_Irr!AD27&lt;&gt;".",up_Irr!BC27&lt;&gt;"."),up_dir!F27/((1/1000)*(up_Irr!AD27+up_Irr!BC27)),IF(AND(up_Irr!E27=".",up_Irr!AD27=".",up_Irr!BC27&lt;&gt;"."),up_dir!F27/((1/1000)*(up_Irr!BC27)),IF(AND(up_Irr!E27=".",up_Irr!AD27&lt;&gt;".",up_Irr!BC27="."),up_dir!F27/((1/1000)*(up_Irr!AD27)),IF(AND(up_Irr!E27&lt;&gt;".",up_Irr!AD27=".",up_Irr!BC27="."),up_dir!F27/((1/1000)*(up_Irr!E27)),IF(AND(up_Irr!E27=".",up_Irr!AD27=".",up_Irr!BC27="."),up_dir!F27*1000)))))))),".")</f>
        <v>6.5773651144152123E-11</v>
      </c>
      <c r="G27" s="76">
        <f>IFERROR(IF(AND(up_Irr!F27&lt;&gt;".",up_Irr!AE27&lt;&gt;".",up_Irr!BD27&lt;&gt;"."),up_dir!G27/((1/1000)*(up_Irr!F27+up_Irr!AE27+up_Irr!BD27)),IF(AND(up_Irr!F27&lt;&gt;".",up_Irr!AE27&lt;&gt;".",up_Irr!BD27="."),up_dir!G27/((1/1000)*(up_Irr!F27+up_Irr!AE27)),IF(AND(up_Irr!F27&lt;&gt;".",up_Irr!AE27=".",up_Irr!BD27&lt;&gt;"."),up_dir!G27/((1/1000)*(up_Irr!F27+up_Irr!BD27)),IF(AND(up_Irr!F27=".",up_Irr!AE27&lt;&gt;".",up_Irr!BD27&lt;&gt;"."),up_dir!G27/((1/1000)*(up_Irr!AE27+up_Irr!BD27)),IF(AND(up_Irr!F27=".",up_Irr!AE27=".",up_Irr!BD27&lt;&gt;"."),up_dir!G27/((1/1000)*(up_Irr!BD27)),IF(AND(up_Irr!F27=".",up_Irr!AE27&lt;&gt;".",up_Irr!BD27="."),up_dir!G27/((1/1000)*(up_Irr!AE27)),IF(AND(up_Irr!F27&lt;&gt;".",up_Irr!AE27=".",up_Irr!BD27="."),up_dir!G27/((1/1000)*(up_Irr!F27)),IF(AND(up_Irr!F27=".",up_Irr!AE27=".",up_Irr!BD27="."),up_dir!G27*1000)))))))),".")</f>
        <v>6.5773651144152123E-11</v>
      </c>
      <c r="H27" s="76">
        <f>IFERROR(IF(AND(up_Irr!G27&lt;&gt;".",up_Irr!AF27&lt;&gt;".",up_Irr!BE27&lt;&gt;"."),up_dir!H27/((1/1000)*(up_Irr!G27+up_Irr!AF27+up_Irr!BE27)),IF(AND(up_Irr!G27&lt;&gt;".",up_Irr!AF27&lt;&gt;".",up_Irr!BE27="."),up_dir!H27/((1/1000)*(up_Irr!G27+up_Irr!AF27)),IF(AND(up_Irr!G27&lt;&gt;".",up_Irr!AF27=".",up_Irr!BE27&lt;&gt;"."),up_dir!H27/((1/1000)*(up_Irr!G27+up_Irr!BE27)),IF(AND(up_Irr!G27=".",up_Irr!AF27&lt;&gt;".",up_Irr!BE27&lt;&gt;"."),up_dir!H27/((1/1000)*(up_Irr!AF27+up_Irr!BE27)),IF(AND(up_Irr!G27=".",up_Irr!AF27=".",up_Irr!BE27&lt;&gt;"."),up_dir!H27/((1/1000)*(up_Irr!BE27)),IF(AND(up_Irr!G27=".",up_Irr!AF27&lt;&gt;".",up_Irr!BE27="."),up_dir!H27/((1/1000)*(up_Irr!AF27)),IF(AND(up_Irr!G27&lt;&gt;".",up_Irr!AF27=".",up_Irr!BE27="."),up_dir!H27/((1/1000)*(up_Irr!G27)),IF(AND(up_Irr!G27=".",up_Irr!AF27=".",up_Irr!BE27="."),up_dir!H27*1000)))))))),".")</f>
        <v>6.5773651144152123E-11</v>
      </c>
      <c r="I27" s="76">
        <f>IFERROR(IF(AND(up_Irr!H27&lt;&gt;".",up_Irr!AG27&lt;&gt;".",up_Irr!BF27&lt;&gt;"."),up_dir!I27/((1/1000)*(up_Irr!H27+up_Irr!AG27+up_Irr!BF27)),IF(AND(up_Irr!H27&lt;&gt;".",up_Irr!AG27&lt;&gt;".",up_Irr!BF27="."),up_dir!I27/((1/1000)*(up_Irr!H27+up_Irr!AG27)),IF(AND(up_Irr!H27&lt;&gt;".",up_Irr!AG27=".",up_Irr!BF27&lt;&gt;"."),up_dir!I27/((1/1000)*(up_Irr!H27+up_Irr!BF27)),IF(AND(up_Irr!H27=".",up_Irr!AG27&lt;&gt;".",up_Irr!BF27&lt;&gt;"."),up_dir!I27/((1/1000)*(up_Irr!AG27+up_Irr!BF27)),IF(AND(up_Irr!H27=".",up_Irr!AG27=".",up_Irr!BF27&lt;&gt;"."),up_dir!I27/((1/1000)*(up_Irr!BF27)),IF(AND(up_Irr!H27=".",up_Irr!AG27&lt;&gt;".",up_Irr!BF27="."),up_dir!I27/((1/1000)*(up_Irr!AG27)),IF(AND(up_Irr!H27&lt;&gt;".",up_Irr!AG27=".",up_Irr!BF27="."),up_dir!I27/((1/1000)*(up_Irr!H27)),IF(AND(up_Irr!H27=".",up_Irr!AG27=".",up_Irr!BF27="."),up_dir!I27*1000)))))))),".")</f>
        <v>6.5773651144152123E-11</v>
      </c>
      <c r="J27" s="76">
        <f>IFERROR(IF(AND(up_Irr!I27&lt;&gt;".",up_Irr!AH27&lt;&gt;".",up_Irr!BG27&lt;&gt;"."),up_dir!J27/((1/1000)*(up_Irr!I27+up_Irr!AH27+up_Irr!BG27)),IF(AND(up_Irr!I27&lt;&gt;".",up_Irr!AH27&lt;&gt;".",up_Irr!BG27="."),up_dir!J27/((1/1000)*(up_Irr!I27+up_Irr!AH27)),IF(AND(up_Irr!I27&lt;&gt;".",up_Irr!AH27=".",up_Irr!BG27&lt;&gt;"."),up_dir!J27/((1/1000)*(up_Irr!I27+up_Irr!BG27)),IF(AND(up_Irr!I27=".",up_Irr!AH27&lt;&gt;".",up_Irr!BG27&lt;&gt;"."),up_dir!J27/((1/1000)*(up_Irr!AH27+up_Irr!BG27)),IF(AND(up_Irr!I27=".",up_Irr!AH27=".",up_Irr!BG27&lt;&gt;"."),up_dir!J27/((1/1000)*(up_Irr!BG27)),IF(AND(up_Irr!I27=".",up_Irr!AH27&lt;&gt;".",up_Irr!BG27="."),up_dir!J27/((1/1000)*(up_Irr!AH27)),IF(AND(up_Irr!I27&lt;&gt;".",up_Irr!AH27=".",up_Irr!BG27="."),up_dir!J27/((1/1000)*(up_Irr!I27)),IF(AND(up_Irr!I27=".",up_Irr!AH27=".",up_Irr!BG27="."),up_dir!J27*1000)))))))),".")</f>
        <v>6.5773651144152123E-11</v>
      </c>
      <c r="K27" s="76">
        <f>IFERROR(IF(AND(up_Irr!J27&lt;&gt;".",up_Irr!AI27&lt;&gt;".",up_Irr!BH27&lt;&gt;"."),up_dir!K27/((1/1000)*(up_Irr!J27+up_Irr!AI27+up_Irr!BH27)),IF(AND(up_Irr!J27&lt;&gt;".",up_Irr!AI27&lt;&gt;".",up_Irr!BH27="."),up_dir!K27/((1/1000)*(up_Irr!J27+up_Irr!AI27)),IF(AND(up_Irr!J27&lt;&gt;".",up_Irr!AI27=".",up_Irr!BH27&lt;&gt;"."),up_dir!K27/((1/1000)*(up_Irr!J27+up_Irr!BH27)),IF(AND(up_Irr!J27=".",up_Irr!AI27&lt;&gt;".",up_Irr!BH27&lt;&gt;"."),up_dir!K27/((1/1000)*(up_Irr!AI27+up_Irr!BH27)),IF(AND(up_Irr!J27=".",up_Irr!AI27=".",up_Irr!BH27&lt;&gt;"."),up_dir!K27/((1/1000)*(up_Irr!BH27)),IF(AND(up_Irr!J27=".",up_Irr!AI27&lt;&gt;".",up_Irr!BH27="."),up_dir!K27/((1/1000)*(up_Irr!AI27)),IF(AND(up_Irr!J27&lt;&gt;".",up_Irr!AI27=".",up_Irr!BH27="."),up_dir!K27/((1/1000)*(up_Irr!J27)),IF(AND(up_Irr!J27=".",up_Irr!AI27=".",up_Irr!BH27="."),up_dir!K27*1000)))))))),".")</f>
        <v>6.5773651144152123E-11</v>
      </c>
      <c r="L27" s="76">
        <f>IFERROR(IF(AND(up_Irr!K27&lt;&gt;".",up_Irr!AJ27&lt;&gt;".",up_Irr!BI27&lt;&gt;"."),up_dir!L27/((1/1000)*(up_Irr!K27+up_Irr!AJ27+up_Irr!BI27)),IF(AND(up_Irr!K27&lt;&gt;".",up_Irr!AJ27&lt;&gt;".",up_Irr!BI27="."),up_dir!L27/((1/1000)*(up_Irr!K27+up_Irr!AJ27)),IF(AND(up_Irr!K27&lt;&gt;".",up_Irr!AJ27=".",up_Irr!BI27&lt;&gt;"."),up_dir!L27/((1/1000)*(up_Irr!K27+up_Irr!BI27)),IF(AND(up_Irr!K27=".",up_Irr!AJ27&lt;&gt;".",up_Irr!BI27&lt;&gt;"."),up_dir!L27/((1/1000)*(up_Irr!AJ27+up_Irr!BI27)),IF(AND(up_Irr!K27=".",up_Irr!AJ27=".",up_Irr!BI27&lt;&gt;"."),up_dir!L27/((1/1000)*(up_Irr!BI27)),IF(AND(up_Irr!K27=".",up_Irr!AJ27&lt;&gt;".",up_Irr!BI27="."),up_dir!L27/((1/1000)*(up_Irr!AJ27)),IF(AND(up_Irr!K27&lt;&gt;".",up_Irr!AJ27=".",up_Irr!BI27="."),up_dir!L27/((1/1000)*(up_Irr!K27)),IF(AND(up_Irr!K27=".",up_Irr!AJ27=".",up_Irr!BI27="."),up_dir!L27*1000)))))))),".")</f>
        <v>6.5773651144152123E-11</v>
      </c>
      <c r="M27" s="76">
        <f>IFERROR(IF(AND(up_Irr!L27&lt;&gt;".",up_Irr!AK27&lt;&gt;".",up_Irr!BJ27&lt;&gt;"."),up_dir!M27/((1/1000)*(up_Irr!L27+up_Irr!AK27+up_Irr!BJ27)),IF(AND(up_Irr!L27&lt;&gt;".",up_Irr!AK27&lt;&gt;".",up_Irr!BJ27="."),up_dir!M27/((1/1000)*(up_Irr!L27+up_Irr!AK27)),IF(AND(up_Irr!L27&lt;&gt;".",up_Irr!AK27=".",up_Irr!BJ27&lt;&gt;"."),up_dir!M27/((1/1000)*(up_Irr!L27+up_Irr!BJ27)),IF(AND(up_Irr!L27=".",up_Irr!AK27&lt;&gt;".",up_Irr!BJ27&lt;&gt;"."),up_dir!M27/((1/1000)*(up_Irr!AK27+up_Irr!BJ27)),IF(AND(up_Irr!L27=".",up_Irr!AK27=".",up_Irr!BJ27&lt;&gt;"."),up_dir!M27/((1/1000)*(up_Irr!BJ27)),IF(AND(up_Irr!L27=".",up_Irr!AK27&lt;&gt;".",up_Irr!BJ27="."),up_dir!M27/((1/1000)*(up_Irr!AK27)),IF(AND(up_Irr!L27&lt;&gt;".",up_Irr!AK27=".",up_Irr!BJ27="."),up_dir!M27/((1/1000)*(up_Irr!L27)),IF(AND(up_Irr!L27=".",up_Irr!AK27=".",up_Irr!BJ27="."),up_dir!M27*1000)))))))),".")</f>
        <v>6.5773651144152123E-11</v>
      </c>
      <c r="N27" s="76">
        <f>IFERROR(IF(AND(up_Irr!M27&lt;&gt;".",up_Irr!AL27&lt;&gt;".",up_Irr!BK27&lt;&gt;"."),up_dir!N27/((1/1000)*(up_Irr!M27+up_Irr!AL27+up_Irr!BK27)),IF(AND(up_Irr!M27&lt;&gt;".",up_Irr!AL27&lt;&gt;".",up_Irr!BK27="."),up_dir!N27/((1/1000)*(up_Irr!M27+up_Irr!AL27)),IF(AND(up_Irr!M27&lt;&gt;".",up_Irr!AL27=".",up_Irr!BK27&lt;&gt;"."),up_dir!N27/((1/1000)*(up_Irr!M27+up_Irr!BK27)),IF(AND(up_Irr!M27=".",up_Irr!AL27&lt;&gt;".",up_Irr!BK27&lt;&gt;"."),up_dir!N27/((1/1000)*(up_Irr!AL27+up_Irr!BK27)),IF(AND(up_Irr!M27=".",up_Irr!AL27=".",up_Irr!BK27&lt;&gt;"."),up_dir!N27/((1/1000)*(up_Irr!BK27)),IF(AND(up_Irr!M27=".",up_Irr!AL27&lt;&gt;".",up_Irr!BK27="."),up_dir!N27/((1/1000)*(up_Irr!AL27)),IF(AND(up_Irr!M27&lt;&gt;".",up_Irr!AL27=".",up_Irr!BK27="."),up_dir!N27/((1/1000)*(up_Irr!M27)),IF(AND(up_Irr!M27=".",up_Irr!AL27=".",up_Irr!BK27="."),up_dir!N27*1000)))))))),".")</f>
        <v>6.5773651144152123E-11</v>
      </c>
      <c r="O27" s="76">
        <f>IFERROR(IF(AND(up_Irr!N27&lt;&gt;".",up_Irr!AM27&lt;&gt;".",up_Irr!BL27&lt;&gt;"."),up_dir!O27/((1/1000)*(up_Irr!N27+up_Irr!AM27+up_Irr!BL27)),IF(AND(up_Irr!N27&lt;&gt;".",up_Irr!AM27&lt;&gt;".",up_Irr!BL27="."),up_dir!O27/((1/1000)*(up_Irr!N27+up_Irr!AM27)),IF(AND(up_Irr!N27&lt;&gt;".",up_Irr!AM27=".",up_Irr!BL27&lt;&gt;"."),up_dir!O27/((1/1000)*(up_Irr!N27+up_Irr!BL27)),IF(AND(up_Irr!N27=".",up_Irr!AM27&lt;&gt;".",up_Irr!BL27&lt;&gt;"."),up_dir!O27/((1/1000)*(up_Irr!AM27+up_Irr!BL27)),IF(AND(up_Irr!N27=".",up_Irr!AM27=".",up_Irr!BL27&lt;&gt;"."),up_dir!O27/((1/1000)*(up_Irr!BL27)),IF(AND(up_Irr!N27=".",up_Irr!AM27&lt;&gt;".",up_Irr!BL27="."),up_dir!O27/((1/1000)*(up_Irr!AM27)),IF(AND(up_Irr!N27&lt;&gt;".",up_Irr!AM27=".",up_Irr!BL27="."),up_dir!O27/((1/1000)*(up_Irr!N27)),IF(AND(up_Irr!N27=".",up_Irr!AM27=".",up_Irr!BL27="."),up_dir!O27*1000)))))))),".")</f>
        <v>6.5773651144152123E-11</v>
      </c>
      <c r="P27" s="76">
        <f>IFERROR(IF(AND(up_Irr!O27&lt;&gt;".",up_Irr!AN27&lt;&gt;".",up_Irr!BM27&lt;&gt;"."),up_dir!P27/((1/1000)*(up_Irr!O27+up_Irr!AN27+up_Irr!BM27)),IF(AND(up_Irr!O27&lt;&gt;".",up_Irr!AN27&lt;&gt;".",up_Irr!BM27="."),up_dir!P27/((1/1000)*(up_Irr!O27+up_Irr!AN27)),IF(AND(up_Irr!O27&lt;&gt;".",up_Irr!AN27=".",up_Irr!BM27&lt;&gt;"."),up_dir!P27/((1/1000)*(up_Irr!O27+up_Irr!BM27)),IF(AND(up_Irr!O27=".",up_Irr!AN27&lt;&gt;".",up_Irr!BM27&lt;&gt;"."),up_dir!P27/((1/1000)*(up_Irr!AN27+up_Irr!BM27)),IF(AND(up_Irr!O27=".",up_Irr!AN27=".",up_Irr!BM27&lt;&gt;"."),up_dir!P27/((1/1000)*(up_Irr!BM27)),IF(AND(up_Irr!O27=".",up_Irr!AN27&lt;&gt;".",up_Irr!BM27="."),up_dir!P27/((1/1000)*(up_Irr!AN27)),IF(AND(up_Irr!O27&lt;&gt;".",up_Irr!AN27=".",up_Irr!BM27="."),up_dir!P27/((1/1000)*(up_Irr!O27)),IF(AND(up_Irr!O27=".",up_Irr!AN27=".",up_Irr!BM27="."),up_dir!P27*1000)))))))),".")</f>
        <v>6.5773651144152123E-11</v>
      </c>
      <c r="Q27" s="76">
        <f>IFERROR(IF(AND(up_Irr!P27&lt;&gt;".",up_Irr!AO27&lt;&gt;".",up_Irr!BN27&lt;&gt;"."),up_dir!Q27/((1/1000)*(up_Irr!P27+up_Irr!AO27+up_Irr!BN27)),IF(AND(up_Irr!P27&lt;&gt;".",up_Irr!AO27&lt;&gt;".",up_Irr!BN27="."),up_dir!Q27/((1/1000)*(up_Irr!P27+up_Irr!AO27)),IF(AND(up_Irr!P27&lt;&gt;".",up_Irr!AO27=".",up_Irr!BN27&lt;&gt;"."),up_dir!Q27/((1/1000)*(up_Irr!P27+up_Irr!BN27)),IF(AND(up_Irr!P27=".",up_Irr!AO27&lt;&gt;".",up_Irr!BN27&lt;&gt;"."),up_dir!Q27/((1/1000)*(up_Irr!AO27+up_Irr!BN27)),IF(AND(up_Irr!P27=".",up_Irr!AO27=".",up_Irr!BN27&lt;&gt;"."),up_dir!Q27/((1/1000)*(up_Irr!BN27)),IF(AND(up_Irr!P27=".",up_Irr!AO27&lt;&gt;".",up_Irr!BN27="."),up_dir!Q27/((1/1000)*(up_Irr!AO27)),IF(AND(up_Irr!P27&lt;&gt;".",up_Irr!AO27=".",up_Irr!BN27="."),up_dir!Q27/((1/1000)*(up_Irr!P27)),IF(AND(up_Irr!P27=".",up_Irr!AO27=".",up_Irr!BN27="."),up_dir!Q27*1000)))))))),".")</f>
        <v>6.5773651144152123E-11</v>
      </c>
      <c r="R27" s="76">
        <f>IFERROR(IF(AND(up_Irr!Q27&lt;&gt;".",up_Irr!AP27&lt;&gt;".",up_Irr!BO27&lt;&gt;"."),up_dir!R27/((1/1000)*(up_Irr!Q27+up_Irr!AP27+up_Irr!BO27)),IF(AND(up_Irr!Q27&lt;&gt;".",up_Irr!AP27&lt;&gt;".",up_Irr!BO27="."),up_dir!R27/((1/1000)*(up_Irr!Q27+up_Irr!AP27)),IF(AND(up_Irr!Q27&lt;&gt;".",up_Irr!AP27=".",up_Irr!BO27&lt;&gt;"."),up_dir!R27/((1/1000)*(up_Irr!Q27+up_Irr!BO27)),IF(AND(up_Irr!Q27=".",up_Irr!AP27&lt;&gt;".",up_Irr!BO27&lt;&gt;"."),up_dir!R27/((1/1000)*(up_Irr!AP27+up_Irr!BO27)),IF(AND(up_Irr!Q27=".",up_Irr!AP27=".",up_Irr!BO27&lt;&gt;"."),up_dir!R27/((1/1000)*(up_Irr!BO27)),IF(AND(up_Irr!Q27=".",up_Irr!AP27&lt;&gt;".",up_Irr!BO27="."),up_dir!R27/((1/1000)*(up_Irr!AP27)),IF(AND(up_Irr!Q27&lt;&gt;".",up_Irr!AP27=".",up_Irr!BO27="."),up_dir!R27/((1/1000)*(up_Irr!Q27)),IF(AND(up_Irr!Q27=".",up_Irr!AP27=".",up_Irr!BO27="."),up_dir!R27*1000)))))))),".")</f>
        <v>6.5773651144152123E-11</v>
      </c>
      <c r="S27" s="76">
        <f>IFERROR(IF(AND(up_Irr!R27&lt;&gt;".",up_Irr!AQ27&lt;&gt;".",up_Irr!BP27&lt;&gt;"."),up_dir!S27/((1/1000)*(up_Irr!R27+up_Irr!AQ27+up_Irr!BP27)),IF(AND(up_Irr!R27&lt;&gt;".",up_Irr!AQ27&lt;&gt;".",up_Irr!BP27="."),up_dir!S27/((1/1000)*(up_Irr!R27+up_Irr!AQ27)),IF(AND(up_Irr!R27&lt;&gt;".",up_Irr!AQ27=".",up_Irr!BP27&lt;&gt;"."),up_dir!S27/((1/1000)*(up_Irr!R27+up_Irr!BP27)),IF(AND(up_Irr!R27=".",up_Irr!AQ27&lt;&gt;".",up_Irr!BP27&lt;&gt;"."),up_dir!S27/((1/1000)*(up_Irr!AQ27+up_Irr!BP27)),IF(AND(up_Irr!R27=".",up_Irr!AQ27=".",up_Irr!BP27&lt;&gt;"."),up_dir!S27/((1/1000)*(up_Irr!BP27)),IF(AND(up_Irr!R27=".",up_Irr!AQ27&lt;&gt;".",up_Irr!BP27="."),up_dir!S27/((1/1000)*(up_Irr!AQ27)),IF(AND(up_Irr!R27&lt;&gt;".",up_Irr!AQ27=".",up_Irr!BP27="."),up_dir!S27/((1/1000)*(up_Irr!R27)),IF(AND(up_Irr!R27=".",up_Irr!AQ27=".",up_Irr!BP27="."),up_dir!S27*1000)))))))),".")</f>
        <v>6.5773651144152123E-11</v>
      </c>
      <c r="T27" s="76">
        <f>IFERROR(IF(AND(up_Irr!S27&lt;&gt;".",up_Irr!AR27&lt;&gt;".",up_Irr!BQ27&lt;&gt;"."),up_dir!T27/((1/1000)*(up_Irr!S27+up_Irr!AR27+up_Irr!BQ27)),IF(AND(up_Irr!S27&lt;&gt;".",up_Irr!AR27&lt;&gt;".",up_Irr!BQ27="."),up_dir!T27/((1/1000)*(up_Irr!S27+up_Irr!AR27)),IF(AND(up_Irr!S27&lt;&gt;".",up_Irr!AR27=".",up_Irr!BQ27&lt;&gt;"."),up_dir!T27/((1/1000)*(up_Irr!S27+up_Irr!BQ27)),IF(AND(up_Irr!S27=".",up_Irr!AR27&lt;&gt;".",up_Irr!BQ27&lt;&gt;"."),up_dir!T27/((1/1000)*(up_Irr!AR27+up_Irr!BQ27)),IF(AND(up_Irr!S27=".",up_Irr!AR27=".",up_Irr!BQ27&lt;&gt;"."),up_dir!T27/((1/1000)*(up_Irr!BQ27)),IF(AND(up_Irr!S27=".",up_Irr!AR27&lt;&gt;".",up_Irr!BQ27="."),up_dir!T27/((1/1000)*(up_Irr!AR27)),IF(AND(up_Irr!S27&lt;&gt;".",up_Irr!AR27=".",up_Irr!BQ27="."),up_dir!T27/((1/1000)*(up_Irr!S27)),IF(AND(up_Irr!S27=".",up_Irr!AR27=".",up_Irr!BQ27="."),up_dir!T27*1000)))))))),".")</f>
        <v>6.5773651144152123E-11</v>
      </c>
      <c r="U27" s="76">
        <f>IFERROR(IF(AND(up_Irr!T27&lt;&gt;".",up_Irr!AS27&lt;&gt;".",up_Irr!BR27&lt;&gt;"."),up_dir!U27/((1/1000)*(up_Irr!T27+up_Irr!AS27+up_Irr!BR27)),IF(AND(up_Irr!T27&lt;&gt;".",up_Irr!AS27&lt;&gt;".",up_Irr!BR27="."),up_dir!U27/((1/1000)*(up_Irr!T27+up_Irr!AS27)),IF(AND(up_Irr!T27&lt;&gt;".",up_Irr!AS27=".",up_Irr!BR27&lt;&gt;"."),up_dir!U27/((1/1000)*(up_Irr!T27+up_Irr!BR27)),IF(AND(up_Irr!T27=".",up_Irr!AS27&lt;&gt;".",up_Irr!BR27&lt;&gt;"."),up_dir!U27/((1/1000)*(up_Irr!AS27+up_Irr!BR27)),IF(AND(up_Irr!T27=".",up_Irr!AS27=".",up_Irr!BR27&lt;&gt;"."),up_dir!U27/((1/1000)*(up_Irr!BR27)),IF(AND(up_Irr!T27=".",up_Irr!AS27&lt;&gt;".",up_Irr!BR27="."),up_dir!U27/((1/1000)*(up_Irr!AS27)),IF(AND(up_Irr!T27&lt;&gt;".",up_Irr!AS27=".",up_Irr!BR27="."),up_dir!U27/((1/1000)*(up_Irr!T27)),IF(AND(up_Irr!T27=".",up_Irr!AS27=".",up_Irr!BR27="."),up_dir!U27*1000)))))))),".")</f>
        <v>6.5773651144152123E-11</v>
      </c>
      <c r="V27" s="76">
        <f>IFERROR(IF(AND(up_Irr!U27&lt;&gt;".",up_Irr!AT27&lt;&gt;".",up_Irr!BS27&lt;&gt;"."),up_dir!V27/((1/1000)*(up_Irr!U27+up_Irr!AT27+up_Irr!BS27)),IF(AND(up_Irr!U27&lt;&gt;".",up_Irr!AT27&lt;&gt;".",up_Irr!BS27="."),up_dir!V27/((1/1000)*(up_Irr!U27+up_Irr!AT27)),IF(AND(up_Irr!U27&lt;&gt;".",up_Irr!AT27=".",up_Irr!BS27&lt;&gt;"."),up_dir!V27/((1/1000)*(up_Irr!U27+up_Irr!BS27)),IF(AND(up_Irr!U27=".",up_Irr!AT27&lt;&gt;".",up_Irr!BS27&lt;&gt;"."),up_dir!V27/((1/1000)*(up_Irr!AT27+up_Irr!BS27)),IF(AND(up_Irr!U27=".",up_Irr!AT27=".",up_Irr!BS27&lt;&gt;"."),up_dir!V27/((1/1000)*(up_Irr!BS27)),IF(AND(up_Irr!U27=".",up_Irr!AT27&lt;&gt;".",up_Irr!BS27="."),up_dir!V27/((1/1000)*(up_Irr!AT27)),IF(AND(up_Irr!U27&lt;&gt;".",up_Irr!AT27=".",up_Irr!BS27="."),up_dir!V27/((1/1000)*(up_Irr!U27)),IF(AND(up_Irr!U27=".",up_Irr!AT27=".",up_Irr!BS27="."),up_dir!V27*1000)))))))),".")</f>
        <v>6.5773651144152123E-11</v>
      </c>
      <c r="W27" s="76">
        <f>IFERROR(IF(AND(up_Irr!V27&lt;&gt;".",up_Irr!AU27&lt;&gt;".",up_Irr!BT27&lt;&gt;"."),up_dir!W27/((1/1000)*(up_Irr!V27+up_Irr!AU27+up_Irr!BT27)),IF(AND(up_Irr!V27&lt;&gt;".",up_Irr!AU27&lt;&gt;".",up_Irr!BT27="."),up_dir!W27/((1/1000)*(up_Irr!V27+up_Irr!AU27)),IF(AND(up_Irr!V27&lt;&gt;".",up_Irr!AU27=".",up_Irr!BT27&lt;&gt;"."),up_dir!W27/((1/1000)*(up_Irr!V27+up_Irr!BT27)),IF(AND(up_Irr!V27=".",up_Irr!AU27&lt;&gt;".",up_Irr!BT27&lt;&gt;"."),up_dir!W27/((1/1000)*(up_Irr!AU27+up_Irr!BT27)),IF(AND(up_Irr!V27=".",up_Irr!AU27=".",up_Irr!BT27&lt;&gt;"."),up_dir!W27/((1/1000)*(up_Irr!BT27)),IF(AND(up_Irr!V27=".",up_Irr!AU27&lt;&gt;".",up_Irr!BT27="."),up_dir!W27/((1/1000)*(up_Irr!AU27)),IF(AND(up_Irr!V27&lt;&gt;".",up_Irr!AU27=".",up_Irr!BT27="."),up_dir!W27/((1/1000)*(up_Irr!V27)),IF(AND(up_Irr!V27=".",up_Irr!AU27=".",up_Irr!BT27="."),up_dir!W27*1000)))))))),".")</f>
        <v>6.5773651144152123E-11</v>
      </c>
      <c r="X27" s="76">
        <f>IFERROR(IF(AND(up_Irr!W27&lt;&gt;".",up_Irr!AV27&lt;&gt;".",up_Irr!BU27&lt;&gt;"."),up_dir!X27/((1/1000)*(up_Irr!W27+up_Irr!AV27+up_Irr!BU27)),IF(AND(up_Irr!W27&lt;&gt;".",up_Irr!AV27&lt;&gt;".",up_Irr!BU27="."),up_dir!X27/((1/1000)*(up_Irr!W27+up_Irr!AV27)),IF(AND(up_Irr!W27&lt;&gt;".",up_Irr!AV27=".",up_Irr!BU27&lt;&gt;"."),up_dir!X27/((1/1000)*(up_Irr!W27+up_Irr!BU27)),IF(AND(up_Irr!W27=".",up_Irr!AV27&lt;&gt;".",up_Irr!BU27&lt;&gt;"."),up_dir!X27/((1/1000)*(up_Irr!AV27+up_Irr!BU27)),IF(AND(up_Irr!W27=".",up_Irr!AV27=".",up_Irr!BU27&lt;&gt;"."),up_dir!X27/((1/1000)*(up_Irr!BU27)),IF(AND(up_Irr!W27=".",up_Irr!AV27&lt;&gt;".",up_Irr!BU27="."),up_dir!X27/((1/1000)*(up_Irr!AV27)),IF(AND(up_Irr!W27&lt;&gt;".",up_Irr!AV27=".",up_Irr!BU27="."),up_dir!X27/((1/1000)*(up_Irr!W27)),IF(AND(up_Irr!W27=".",up_Irr!AV27=".",up_Irr!BU27="."),up_dir!X27*1000)))))))),".")</f>
        <v>6.5773651144152123E-11</v>
      </c>
      <c r="Y27" s="76">
        <f>IFERROR(IF(AND(up_Irr!X27&lt;&gt;".",up_Irr!AW27&lt;&gt;".",up_Irr!BV27&lt;&gt;"."),up_dir!Y27/((1/1000)*(up_Irr!X27+up_Irr!AW27+up_Irr!BV27)),IF(AND(up_Irr!X27&lt;&gt;".",up_Irr!AW27&lt;&gt;".",up_Irr!BV27="."),up_dir!Y27/((1/1000)*(up_Irr!X27+up_Irr!AW27)),IF(AND(up_Irr!X27&lt;&gt;".",up_Irr!AW27=".",up_Irr!BV27&lt;&gt;"."),up_dir!Y27/((1/1000)*(up_Irr!X27+up_Irr!BV27)),IF(AND(up_Irr!X27=".",up_Irr!AW27&lt;&gt;".",up_Irr!BV27&lt;&gt;"."),up_dir!Y27/((1/1000)*(up_Irr!AW27+up_Irr!BV27)),IF(AND(up_Irr!X27=".",up_Irr!AW27=".",up_Irr!BV27&lt;&gt;"."),up_dir!Y27/((1/1000)*(up_Irr!BV27)),IF(AND(up_Irr!X27=".",up_Irr!AW27&lt;&gt;".",up_Irr!BV27="."),up_dir!Y27/((1/1000)*(up_Irr!AW27)),IF(AND(up_Irr!X27&lt;&gt;".",up_Irr!AW27=".",up_Irr!BV27="."),up_dir!Y27/((1/1000)*(up_Irr!X27)),IF(AND(up_Irr!X27=".",up_Irr!AW27=".",up_Irr!BV27="."),up_dir!Y27*1000)))))))),".")</f>
        <v>6.5773651144152123E-11</v>
      </c>
      <c r="Z27" s="76">
        <f>IFERROR(IF(AND(up_Irr!Y27&lt;&gt;".",up_Irr!AX27&lt;&gt;".",up_Irr!BW27&lt;&gt;"."),up_dir!Z27/((1/1000)*(up_Irr!Y27+up_Irr!AX27+up_Irr!BW27)),IF(AND(up_Irr!Y27&lt;&gt;".",up_Irr!AX27&lt;&gt;".",up_Irr!BW27="."),up_dir!Z27/((1/1000)*(up_Irr!Y27+up_Irr!AX27)),IF(AND(up_Irr!Y27&lt;&gt;".",up_Irr!AX27=".",up_Irr!BW27&lt;&gt;"."),up_dir!Z27/((1/1000)*(up_Irr!Y27+up_Irr!BW27)),IF(AND(up_Irr!Y27=".",up_Irr!AX27&lt;&gt;".",up_Irr!BW27&lt;&gt;"."),up_dir!Z27/((1/1000)*(up_Irr!AX27+up_Irr!BW27)),IF(AND(up_Irr!Y27=".",up_Irr!AX27=".",up_Irr!BW27&lt;&gt;"."),up_dir!Z27/((1/1000)*(up_Irr!BW27)),IF(AND(up_Irr!Y27=".",up_Irr!AX27&lt;&gt;".",up_Irr!BW27="."),up_dir!Z27/((1/1000)*(up_Irr!AX27)),IF(AND(up_Irr!Y27&lt;&gt;".",up_Irr!AX27=".",up_Irr!BW27="."),up_dir!Z27/((1/1000)*(up_Irr!Y27)),IF(AND(up_Irr!Y27=".",up_Irr!AX27=".",up_Irr!BW27="."),up_dir!Z27*1000)))))))),".")</f>
        <v>6.5773651144152123E-11</v>
      </c>
      <c r="AA27" s="76">
        <f>IFERROR(IF(AND(up_Irr!Z27&lt;&gt;".",up_Irr!AY27&lt;&gt;".",up_Irr!BX27&lt;&gt;"."),up_dir!AA27/((1/1000)*(up_Irr!Z27+up_Irr!AY27+up_Irr!BX27)),IF(AND(up_Irr!Z27&lt;&gt;".",up_Irr!AY27&lt;&gt;".",up_Irr!BX27="."),up_dir!AA27/((1/1000)*(up_Irr!Z27+up_Irr!AY27)),IF(AND(up_Irr!Z27&lt;&gt;".",up_Irr!AY27=".",up_Irr!BX27&lt;&gt;"."),up_dir!AA27/((1/1000)*(up_Irr!Z27+up_Irr!BX27)),IF(AND(up_Irr!Z27=".",up_Irr!AY27&lt;&gt;".",up_Irr!BX27&lt;&gt;"."),up_dir!AA27/((1/1000)*(up_Irr!AY27+up_Irr!BX27)),IF(AND(up_Irr!Z27=".",up_Irr!AY27=".",up_Irr!BX27&lt;&gt;"."),up_dir!AA27/((1/1000)*(up_Irr!BX27)),IF(AND(up_Irr!Z27=".",up_Irr!AY27&lt;&gt;".",up_Irr!BX27="."),up_dir!AA27/((1/1000)*(up_Irr!AY27)),IF(AND(up_Irr!Z27&lt;&gt;".",up_Irr!AY27=".",up_Irr!BX27="."),up_dir!AA27/((1/1000)*(up_Irr!Z27)),IF(AND(up_Irr!Z27=".",up_Irr!AY27=".",up_Irr!BX27="."),up_dir!AA27*1000)))))))),".")</f>
        <v>6.5773651144152123E-11</v>
      </c>
      <c r="AB27" s="76">
        <f>IFERROR(IF(AND(up_Irr!AA27&lt;&gt;".",up_Irr!AZ27&lt;&gt;".",up_Irr!BY27&lt;&gt;"."),up_dir!AB27/((1/1000)*(up_Irr!AA27+up_Irr!AZ27+up_Irr!BY27)),IF(AND(up_Irr!AA27&lt;&gt;".",up_Irr!AZ27&lt;&gt;".",up_Irr!BY27="."),up_dir!AB27/((1/1000)*(up_Irr!AA27+up_Irr!AZ27)),IF(AND(up_Irr!AA27&lt;&gt;".",up_Irr!AZ27=".",up_Irr!BY27&lt;&gt;"."),up_dir!AB27/((1/1000)*(up_Irr!AA27+up_Irr!BY27)),IF(AND(up_Irr!AA27=".",up_Irr!AZ27&lt;&gt;".",up_Irr!BY27&lt;&gt;"."),up_dir!AB27/((1/1000)*(up_Irr!AZ27+up_Irr!BY27)),IF(AND(up_Irr!AA27=".",up_Irr!AZ27=".",up_Irr!BY27&lt;&gt;"."),up_dir!AB27/((1/1000)*(up_Irr!BY27)),IF(AND(up_Irr!AA27=".",up_Irr!AZ27&lt;&gt;".",up_Irr!BY27="."),up_dir!AB27/((1/1000)*(up_Irr!AZ27)),IF(AND(up_Irr!AA27&lt;&gt;".",up_Irr!AZ27=".",up_Irr!BY27="."),up_dir!AB27/((1/1000)*(up_Irr!AA27)),IF(AND(up_Irr!AA27=".",up_Irr!AZ27=".",up_Irr!BY27="."),up_dir!AB27*1000)))))))),".")</f>
        <v>6.5773651144152123E-11</v>
      </c>
      <c r="AC27" s="93">
        <f t="shared" si="1"/>
        <v>608146.26076229871</v>
      </c>
      <c r="AD27" s="93">
        <f>IFERROR(s_C*s_IFAP_res_adj*s_CF_apple*0.001*(up_Irr!C27+up_Irr!AB27+up_Irr!BA27),".")</f>
        <v>152036.56519057468</v>
      </c>
      <c r="AE27" s="93">
        <f>IFERROR(s_C*s_IFAS_res_adj*s_CF_asparagus*0.001*(up_Irr!D27+up_Irr!AC27+up_Irr!BB27),".")</f>
        <v>152036.56519057468</v>
      </c>
      <c r="AF27" s="93">
        <f>IFERROR(s_C*s_IFBT_res_adj*s_CF_beet*0.001*(up_Irr!E27+up_Irr!AD27+up_Irr!BC27),".")</f>
        <v>152036.56519057468</v>
      </c>
      <c r="AG27" s="93">
        <f>IFERROR(s_C*s_IFBE_res_adj*s_CF_berries*0.001*(up_Irr!F27+up_Irr!AE27+up_Irr!BD27),".")</f>
        <v>152036.56519057468</v>
      </c>
      <c r="AH27" s="93">
        <f>IFERROR(s_C*s_IFBR_res_adj*s_CF_broccoli*0.001*(up_Irr!G27+up_Irr!AF27+up_Irr!BE27),".")</f>
        <v>152036.56519057468</v>
      </c>
      <c r="AI27" s="93">
        <f>IFERROR(s_C*s_IFCB_res_adj*s_CF_cabbage*0.001*(up_Irr!H27+up_Irr!AG27+up_Irr!BF27),".")</f>
        <v>152036.56519057468</v>
      </c>
      <c r="AJ27" s="93">
        <f>IFERROR(s_C*s_IFCR_res_adj*s_CF_carrot*0.001*(up_Irr!I27+up_Irr!AH27+up_Irr!BG27),".")</f>
        <v>152036.56519057468</v>
      </c>
      <c r="AK27" s="93">
        <f>IFERROR(s_C*s_IFCI_res_adj*s_CF_citrus*0.001*(up_Irr!J27+up_Irr!AI27+up_Irr!BH27),".")</f>
        <v>152036.56519057468</v>
      </c>
      <c r="AL27" s="93">
        <f>IFERROR(s_C*s_IFCO_res_adj*s_CF_corn*0.001*(up_Irr!K27+up_Irr!AJ27+up_Irr!BI27),".")</f>
        <v>152036.56519057468</v>
      </c>
      <c r="AM27" s="93">
        <f>IFERROR(s_C*s_IFCU_res_adj*s_CF_cucumber*0.001*(up_Irr!L27+up_Irr!AK27+up_Irr!BJ27),".")</f>
        <v>152036.56519057468</v>
      </c>
      <c r="AN27" s="93">
        <f>IFERROR(s_C*s_IFLE_res_adj*s_CF_lettuce*0.001*(up_Irr!M27+up_Irr!AL27+up_Irr!BK27),".")</f>
        <v>152036.56519057468</v>
      </c>
      <c r="AO27" s="93">
        <f>IFERROR(s_C*s_IFLI_res_adj*s_CF_lima_bean*0.001*(up_Irr!N27+up_Irr!AM27+up_Irr!BL27),".")</f>
        <v>152036.56519057468</v>
      </c>
      <c r="AP27" s="93">
        <f>IFERROR(s_C*s_IFOK_res_adj*s_CF_okra*0.001*(up_Irr!O27+up_Irr!AN27+up_Irr!BM27),".")</f>
        <v>152036.56519057468</v>
      </c>
      <c r="AQ27" s="93">
        <f>IFERROR(s_C*s_IFON_res_adj*s_CF_onion*0.001*(up_Irr!P27+up_Irr!AO27+up_Irr!BN27),".")</f>
        <v>152036.56519057468</v>
      </c>
      <c r="AR27" s="93">
        <f>IFERROR(s_C*s_IFPC_res_adj*s_CF_peach*0.001*(up_Irr!Q27+up_Irr!AP27+up_Irr!BO27),".")</f>
        <v>152036.56519057468</v>
      </c>
      <c r="AS27" s="93">
        <f>IFERROR(s_C*s_IFPR_res_adj*s_CF_pear*0.001*(up_Irr!R27+up_Irr!AQ27+up_Irr!BP27),".")</f>
        <v>152036.56519057468</v>
      </c>
      <c r="AT27" s="93">
        <f>IFERROR(s_C*s_IFPE_res_adj*s_CF_peas*0.001*(up_Irr!S27+up_Irr!AR27+up_Irr!BQ27),".")</f>
        <v>152036.56519057468</v>
      </c>
      <c r="AU27" s="93">
        <f>IFERROR(s_C*s_IFPP_res_adj*s_CF_peppers*0.001*(up_Irr!T27+up_Irr!AS27+up_Irr!BR27),".")</f>
        <v>152036.56519057468</v>
      </c>
      <c r="AV27" s="93">
        <f>IFERROR(s_C*s_IFPT_res_adj*s_CF_potato*0.001*(up_Irr!U27+up_Irr!AT27+up_Irr!BS27),".")</f>
        <v>152036.56519057468</v>
      </c>
      <c r="AW27" s="93">
        <f>IFERROR(s_C*s_IFPU_res_adj*s_CF_pumpkin*0.001*(up_Irr!V27+up_Irr!AU27+up_Irr!BT27),".")</f>
        <v>152036.56519057468</v>
      </c>
      <c r="AX27" s="93">
        <f>IFERROR(s_C*s_IFSN_res_adj*s_CF_snap_bean*0.001*(up_Irr!W27+up_Irr!AV27+up_Irr!BU27),".")</f>
        <v>152036.56519057468</v>
      </c>
      <c r="AY27" s="93">
        <f>IFERROR(s_C*s_IFST_res_adj*s_CF_strawberry*0.001*(up_Irr!X27+up_Irr!AW27+up_Irr!BV27),".")</f>
        <v>152036.56519057468</v>
      </c>
      <c r="AZ27" s="93">
        <f>IFERROR(s_C*s_IFTO_res_adj*s_CF_tomato*0.001*(up_Irr!Y27+up_Irr!AX27+up_Irr!BW27),".")</f>
        <v>152036.56519057468</v>
      </c>
      <c r="BA27" s="93">
        <f>IFERROR(s_C*s_IFRI_res_adj*s_CF_rice*0.001*(up_Irr!Z27+up_Irr!AY27+up_Irr!BX27),".")</f>
        <v>152036.56519057468</v>
      </c>
      <c r="BB27" s="93">
        <f>IFERROR(s_C*s_IFCG_res_adj*s_CF_cereal*0.001*(up_Irr!AA27+up_Irr!AZ27+up_Irr!BY27),".")</f>
        <v>152036.56519057468</v>
      </c>
      <c r="BC27" s="76">
        <f t="shared" si="2"/>
        <v>1.6443412786038031E-11</v>
      </c>
      <c r="BD27" s="76">
        <f>IFERROR(IF(AND(up_Irr!C27&lt;&gt;".",up_Irr!AB27&lt;&gt;".",up_Irr!BA27&lt;&gt;"."),up_dir!AD27/((1/1000)*(up_Irr!C27+up_Irr!AB27+up_Irr!BA27)),IF(AND(up_Irr!C27&lt;&gt;".",up_Irr!AB27&lt;&gt;".",up_Irr!BA27="."),up_dir!AD27/((1/1000)*(up_Irr!C27+up_Irr!AB27)),IF(AND(up_Irr!C27&lt;&gt;".",up_Irr!AB27=".",up_Irr!BA27&lt;&gt;"."),up_dir!AD27/((1/1000)*(up_Irr!C27+up_Irr!BA27)),IF(AND(up_Irr!C27=".",up_Irr!AB27&lt;&gt;".",up_Irr!BA27&lt;&gt;"."),up_dir!AD27/((1/1000)*(up_Irr!AB27+up_Irr!BA27)),IF(AND(up_Irr!C27=".",up_Irr!AB27=".",up_Irr!BA27&lt;&gt;"."),up_dir!AD27/((1/1000)*(up_Irr!BA27)),IF(AND(up_Irr!C27=".",up_Irr!AB27&lt;&gt;".",up_Irr!BA27="."),up_dir!AD27/((1/1000)*(up_Irr!AB27)),IF(AND(up_Irr!C27&lt;&gt;".",up_Irr!AB27=".",up_Irr!BA27="."),up_dir!AD27/((1/1000)*(up_Irr!C27)),IF(AND(up_Irr!C27=".",up_Irr!AB27=".",up_Irr!BA27="."),up_dir!AD27*1000)))))))),".")</f>
        <v>6.5773651144152123E-11</v>
      </c>
      <c r="BE27" s="76">
        <f>IFERROR(IF(AND(up_Irr!D27&lt;&gt;".",up_Irr!AC27&lt;&gt;".",up_Irr!BB27&lt;&gt;"."),up_dir!AE27/((1/1000)*(up_Irr!D27+up_Irr!AC27+up_Irr!BB27)),IF(AND(up_Irr!D27&lt;&gt;".",up_Irr!AC27&lt;&gt;".",up_Irr!BB27="."),up_dir!AE27/((1/1000)*(up_Irr!D27+up_Irr!AC27)),IF(AND(up_Irr!D27&lt;&gt;".",up_Irr!AC27=".",up_Irr!BB27&lt;&gt;"."),up_dir!AE27/((1/1000)*(up_Irr!D27+up_Irr!BB27)),IF(AND(up_Irr!D27=".",up_Irr!AC27&lt;&gt;".",up_Irr!BB27&lt;&gt;"."),up_dir!AE27/((1/1000)*(up_Irr!AC27+up_Irr!BB27)),IF(AND(up_Irr!D27=".",up_Irr!AC27=".",up_Irr!BB27&lt;&gt;"."),up_dir!AE27/((1/1000)*(up_Irr!BB27)),IF(AND(up_Irr!D27=".",up_Irr!AC27&lt;&gt;".",up_Irr!BB27="."),up_dir!AE27/((1/1000)*(up_Irr!AC27)),IF(AND(up_Irr!D27&lt;&gt;".",up_Irr!AC27=".",up_Irr!BB27="."),up_dir!AE27/((1/1000)*(up_Irr!D27)),IF(AND(up_Irr!D27=".",up_Irr!AC27=".",up_Irr!BB27="."),up_dir!AE27*1000)))))))),".")</f>
        <v>6.5773651144152123E-11</v>
      </c>
      <c r="BF27" s="76">
        <f>IFERROR(IF(AND(up_Irr!E27&lt;&gt;".",up_Irr!AD27&lt;&gt;".",up_Irr!BC27&lt;&gt;"."),up_dir!AF27/((1/1000)*(up_Irr!E27+up_Irr!AD27+up_Irr!BC27)),IF(AND(up_Irr!E27&lt;&gt;".",up_Irr!AD27&lt;&gt;".",up_Irr!BC27="."),up_dir!AF27/((1/1000)*(up_Irr!E27+up_Irr!AD27)),IF(AND(up_Irr!E27&lt;&gt;".",up_Irr!AD27=".",up_Irr!BC27&lt;&gt;"."),up_dir!AF27/((1/1000)*(up_Irr!E27+up_Irr!BC27)),IF(AND(up_Irr!E27=".",up_Irr!AD27&lt;&gt;".",up_Irr!BC27&lt;&gt;"."),up_dir!AF27/((1/1000)*(up_Irr!AD27+up_Irr!BC27)),IF(AND(up_Irr!E27=".",up_Irr!AD27=".",up_Irr!BC27&lt;&gt;"."),up_dir!AF27/((1/1000)*(up_Irr!BC27)),IF(AND(up_Irr!E27=".",up_Irr!AD27&lt;&gt;".",up_Irr!BC27="."),up_dir!AF27/((1/1000)*(up_Irr!AD27)),IF(AND(up_Irr!E27&lt;&gt;".",up_Irr!AD27=".",up_Irr!BC27="."),up_dir!AF27/((1/1000)*(up_Irr!E27)),IF(AND(up_Irr!E27=".",up_Irr!AD27=".",up_Irr!BC27="."),up_dir!AF27*1000)))))))),".")</f>
        <v>6.5773651144152123E-11</v>
      </c>
      <c r="BG27" s="76">
        <f>IFERROR(IF(AND(up_Irr!F27&lt;&gt;".",up_Irr!AE27&lt;&gt;".",up_Irr!BD27&lt;&gt;"."),up_dir!AG27/((1/1000)*(up_Irr!F27+up_Irr!AE27+up_Irr!BD27)),IF(AND(up_Irr!F27&lt;&gt;".",up_Irr!AE27&lt;&gt;".",up_Irr!BD27="."),up_dir!AG27/((1/1000)*(up_Irr!F27+up_Irr!AE27)),IF(AND(up_Irr!F27&lt;&gt;".",up_Irr!AE27=".",up_Irr!BD27&lt;&gt;"."),up_dir!AG27/((1/1000)*(up_Irr!F27+up_Irr!BD27)),IF(AND(up_Irr!F27=".",up_Irr!AE27&lt;&gt;".",up_Irr!BD27&lt;&gt;"."),up_dir!AG27/((1/1000)*(up_Irr!AE27+up_Irr!BD27)),IF(AND(up_Irr!F27=".",up_Irr!AE27=".",up_Irr!BD27&lt;&gt;"."),up_dir!AG27/((1/1000)*(up_Irr!BD27)),IF(AND(up_Irr!F27=".",up_Irr!AE27&lt;&gt;".",up_Irr!BD27="."),up_dir!AG27/((1/1000)*(up_Irr!AE27)),IF(AND(up_Irr!F27&lt;&gt;".",up_Irr!AE27=".",up_Irr!BD27="."),up_dir!AG27/((1/1000)*(up_Irr!F27)),IF(AND(up_Irr!F27=".",up_Irr!AE27=".",up_Irr!BD27="."),up_dir!AG27*1000)))))))),".")</f>
        <v>6.5773651144152123E-11</v>
      </c>
      <c r="BH27" s="76">
        <f>IFERROR(IF(AND(up_Irr!G27&lt;&gt;".",up_Irr!AF27&lt;&gt;".",up_Irr!BE27&lt;&gt;"."),up_dir!AH27/((1/1000)*(up_Irr!G27+up_Irr!AF27+up_Irr!BE27)),IF(AND(up_Irr!G27&lt;&gt;".",up_Irr!AF27&lt;&gt;".",up_Irr!BE27="."),up_dir!AH27/((1/1000)*(up_Irr!G27+up_Irr!AF27)),IF(AND(up_Irr!G27&lt;&gt;".",up_Irr!AF27=".",up_Irr!BE27&lt;&gt;"."),up_dir!AH27/((1/1000)*(up_Irr!G27+up_Irr!BE27)),IF(AND(up_Irr!G27=".",up_Irr!AF27&lt;&gt;".",up_Irr!BE27&lt;&gt;"."),up_dir!AH27/((1/1000)*(up_Irr!AF27+up_Irr!BE27)),IF(AND(up_Irr!G27=".",up_Irr!AF27=".",up_Irr!BE27&lt;&gt;"."),up_dir!AH27/((1/1000)*(up_Irr!BE27)),IF(AND(up_Irr!G27=".",up_Irr!AF27&lt;&gt;".",up_Irr!BE27="."),up_dir!AH27/((1/1000)*(up_Irr!AF27)),IF(AND(up_Irr!G27&lt;&gt;".",up_Irr!AF27=".",up_Irr!BE27="."),up_dir!AH27/((1/1000)*(up_Irr!G27)),IF(AND(up_Irr!G27=".",up_Irr!AF27=".",up_Irr!BE27="."),up_dir!AH27*1000)))))))),".")</f>
        <v>6.5773651144152123E-11</v>
      </c>
      <c r="BI27" s="76">
        <f>IFERROR(IF(AND(up_Irr!H27&lt;&gt;".",up_Irr!AG27&lt;&gt;".",up_Irr!BF27&lt;&gt;"."),up_dir!AI27/((1/1000)*(up_Irr!H27+up_Irr!AG27+up_Irr!BF27)),IF(AND(up_Irr!H27&lt;&gt;".",up_Irr!AG27&lt;&gt;".",up_Irr!BF27="."),up_dir!AI27/((1/1000)*(up_Irr!H27+up_Irr!AG27)),IF(AND(up_Irr!H27&lt;&gt;".",up_Irr!AG27=".",up_Irr!BF27&lt;&gt;"."),up_dir!AI27/((1/1000)*(up_Irr!H27+up_Irr!BF27)),IF(AND(up_Irr!H27=".",up_Irr!AG27&lt;&gt;".",up_Irr!BF27&lt;&gt;"."),up_dir!AI27/((1/1000)*(up_Irr!AG27+up_Irr!BF27)),IF(AND(up_Irr!H27=".",up_Irr!AG27=".",up_Irr!BF27&lt;&gt;"."),up_dir!AI27/((1/1000)*(up_Irr!BF27)),IF(AND(up_Irr!H27=".",up_Irr!AG27&lt;&gt;".",up_Irr!BF27="."),up_dir!AI27/((1/1000)*(up_Irr!AG27)),IF(AND(up_Irr!H27&lt;&gt;".",up_Irr!AG27=".",up_Irr!BF27="."),up_dir!AI27/((1/1000)*(up_Irr!H27)),IF(AND(up_Irr!H27=".",up_Irr!AG27=".",up_Irr!BF27="."),up_dir!AI27*1000)))))))),".")</f>
        <v>6.5773651144152123E-11</v>
      </c>
      <c r="BJ27" s="76">
        <f>IFERROR(IF(AND(up_Irr!I27&lt;&gt;".",up_Irr!AH27&lt;&gt;".",up_Irr!BG27&lt;&gt;"."),up_dir!AJ27/((1/1000)*(up_Irr!I27+up_Irr!AH27+up_Irr!BG27)),IF(AND(up_Irr!I27&lt;&gt;".",up_Irr!AH27&lt;&gt;".",up_Irr!BG27="."),up_dir!AJ27/((1/1000)*(up_Irr!I27+up_Irr!AH27)),IF(AND(up_Irr!I27&lt;&gt;".",up_Irr!AH27=".",up_Irr!BG27&lt;&gt;"."),up_dir!AJ27/((1/1000)*(up_Irr!I27+up_Irr!BG27)),IF(AND(up_Irr!I27=".",up_Irr!AH27&lt;&gt;".",up_Irr!BG27&lt;&gt;"."),up_dir!AJ27/((1/1000)*(up_Irr!AH27+up_Irr!BG27)),IF(AND(up_Irr!I27=".",up_Irr!AH27=".",up_Irr!BG27&lt;&gt;"."),up_dir!AJ27/((1/1000)*(up_Irr!BG27)),IF(AND(up_Irr!I27=".",up_Irr!AH27&lt;&gt;".",up_Irr!BG27="."),up_dir!AJ27/((1/1000)*(up_Irr!AH27)),IF(AND(up_Irr!I27&lt;&gt;".",up_Irr!AH27=".",up_Irr!BG27="."),up_dir!AJ27/((1/1000)*(up_Irr!I27)),IF(AND(up_Irr!I27=".",up_Irr!AH27=".",up_Irr!BG27="."),up_dir!AJ27*1000)))))))),".")</f>
        <v>6.5773651144152123E-11</v>
      </c>
      <c r="BK27" s="76">
        <f>IFERROR(IF(AND(up_Irr!J27&lt;&gt;".",up_Irr!AI27&lt;&gt;".",up_Irr!BH27&lt;&gt;"."),up_dir!AK27/((1/1000)*(up_Irr!J27+up_Irr!AI27+up_Irr!BH27)),IF(AND(up_Irr!J27&lt;&gt;".",up_Irr!AI27&lt;&gt;".",up_Irr!BH27="."),up_dir!AK27/((1/1000)*(up_Irr!J27+up_Irr!AI27)),IF(AND(up_Irr!J27&lt;&gt;".",up_Irr!AI27=".",up_Irr!BH27&lt;&gt;"."),up_dir!AK27/((1/1000)*(up_Irr!J27+up_Irr!BH27)),IF(AND(up_Irr!J27=".",up_Irr!AI27&lt;&gt;".",up_Irr!BH27&lt;&gt;"."),up_dir!AK27/((1/1000)*(up_Irr!AI27+up_Irr!BH27)),IF(AND(up_Irr!J27=".",up_Irr!AI27=".",up_Irr!BH27&lt;&gt;"."),up_dir!AK27/((1/1000)*(up_Irr!BH27)),IF(AND(up_Irr!J27=".",up_Irr!AI27&lt;&gt;".",up_Irr!BH27="."),up_dir!AK27/((1/1000)*(up_Irr!AI27)),IF(AND(up_Irr!J27&lt;&gt;".",up_Irr!AI27=".",up_Irr!BH27="."),up_dir!AK27/((1/1000)*(up_Irr!J27)),IF(AND(up_Irr!J27=".",up_Irr!AI27=".",up_Irr!BH27="."),up_dir!AK27*1000)))))))),".")</f>
        <v>6.5773651144152123E-11</v>
      </c>
      <c r="BL27" s="76">
        <f>IFERROR(IF(AND(up_Irr!K27&lt;&gt;".",up_Irr!AJ27&lt;&gt;".",up_Irr!BI27&lt;&gt;"."),up_dir!AL27/((1/1000)*(up_Irr!K27+up_Irr!AJ27+up_Irr!BI27)),IF(AND(up_Irr!K27&lt;&gt;".",up_Irr!AJ27&lt;&gt;".",up_Irr!BI27="."),up_dir!AL27/((1/1000)*(up_Irr!K27+up_Irr!AJ27)),IF(AND(up_Irr!K27&lt;&gt;".",up_Irr!AJ27=".",up_Irr!BI27&lt;&gt;"."),up_dir!AL27/((1/1000)*(up_Irr!K27+up_Irr!BI27)),IF(AND(up_Irr!K27=".",up_Irr!AJ27&lt;&gt;".",up_Irr!BI27&lt;&gt;"."),up_dir!AL27/((1/1000)*(up_Irr!AJ27+up_Irr!BI27)),IF(AND(up_Irr!K27=".",up_Irr!AJ27=".",up_Irr!BI27&lt;&gt;"."),up_dir!AL27/((1/1000)*(up_Irr!BI27)),IF(AND(up_Irr!K27=".",up_Irr!AJ27&lt;&gt;".",up_Irr!BI27="."),up_dir!AL27/((1/1000)*(up_Irr!AJ27)),IF(AND(up_Irr!K27&lt;&gt;".",up_Irr!AJ27=".",up_Irr!BI27="."),up_dir!AL27/((1/1000)*(up_Irr!K27)),IF(AND(up_Irr!K27=".",up_Irr!AJ27=".",up_Irr!BI27="."),up_dir!AL27*1000)))))))),".")</f>
        <v>6.5773651144152123E-11</v>
      </c>
      <c r="BM27" s="76">
        <f>IFERROR(IF(AND(up_Irr!L27&lt;&gt;".",up_Irr!AK27&lt;&gt;".",up_Irr!BJ27&lt;&gt;"."),up_dir!AM27/((1/1000)*(up_Irr!L27+up_Irr!AK27+up_Irr!BJ27)),IF(AND(up_Irr!L27&lt;&gt;".",up_Irr!AK27&lt;&gt;".",up_Irr!BJ27="."),up_dir!AM27/((1/1000)*(up_Irr!L27+up_Irr!AK27)),IF(AND(up_Irr!L27&lt;&gt;".",up_Irr!AK27=".",up_Irr!BJ27&lt;&gt;"."),up_dir!AM27/((1/1000)*(up_Irr!L27+up_Irr!BJ27)),IF(AND(up_Irr!L27=".",up_Irr!AK27&lt;&gt;".",up_Irr!BJ27&lt;&gt;"."),up_dir!AM27/((1/1000)*(up_Irr!AK27+up_Irr!BJ27)),IF(AND(up_Irr!L27=".",up_Irr!AK27=".",up_Irr!BJ27&lt;&gt;"."),up_dir!AM27/((1/1000)*(up_Irr!BJ27)),IF(AND(up_Irr!L27=".",up_Irr!AK27&lt;&gt;".",up_Irr!BJ27="."),up_dir!AM27/((1/1000)*(up_Irr!AK27)),IF(AND(up_Irr!L27&lt;&gt;".",up_Irr!AK27=".",up_Irr!BJ27="."),up_dir!AM27/((1/1000)*(up_Irr!L27)),IF(AND(up_Irr!L27=".",up_Irr!AK27=".",up_Irr!BJ27="."),up_dir!AM27*1000)))))))),".")</f>
        <v>6.5773651144152123E-11</v>
      </c>
      <c r="BN27" s="76">
        <f>IFERROR(IF(AND(up_Irr!M27&lt;&gt;".",up_Irr!AL27&lt;&gt;".",up_Irr!BK27&lt;&gt;"."),up_dir!AN27/((1/1000)*(up_Irr!M27+up_Irr!AL27+up_Irr!BK27)),IF(AND(up_Irr!M27&lt;&gt;".",up_Irr!AL27&lt;&gt;".",up_Irr!BK27="."),up_dir!AN27/((1/1000)*(up_Irr!M27+up_Irr!AL27)),IF(AND(up_Irr!M27&lt;&gt;".",up_Irr!AL27=".",up_Irr!BK27&lt;&gt;"."),up_dir!AN27/((1/1000)*(up_Irr!M27+up_Irr!BK27)),IF(AND(up_Irr!M27=".",up_Irr!AL27&lt;&gt;".",up_Irr!BK27&lt;&gt;"."),up_dir!AN27/((1/1000)*(up_Irr!AL27+up_Irr!BK27)),IF(AND(up_Irr!M27=".",up_Irr!AL27=".",up_Irr!BK27&lt;&gt;"."),up_dir!AN27/((1/1000)*(up_Irr!BK27)),IF(AND(up_Irr!M27=".",up_Irr!AL27&lt;&gt;".",up_Irr!BK27="."),up_dir!AN27/((1/1000)*(up_Irr!AL27)),IF(AND(up_Irr!M27&lt;&gt;".",up_Irr!AL27=".",up_Irr!BK27="."),up_dir!AN27/((1/1000)*(up_Irr!M27)),IF(AND(up_Irr!M27=".",up_Irr!AL27=".",up_Irr!BK27="."),up_dir!AN27*1000)))))))),".")</f>
        <v>6.5773651144152123E-11</v>
      </c>
      <c r="BO27" s="76">
        <f>IFERROR(IF(AND(up_Irr!N27&lt;&gt;".",up_Irr!AM27&lt;&gt;".",up_Irr!BL27&lt;&gt;"."),up_dir!AO27/((1/1000)*(up_Irr!N27+up_Irr!AM27+up_Irr!BL27)),IF(AND(up_Irr!N27&lt;&gt;".",up_Irr!AM27&lt;&gt;".",up_Irr!BL27="."),up_dir!AO27/((1/1000)*(up_Irr!N27+up_Irr!AM27)),IF(AND(up_Irr!N27&lt;&gt;".",up_Irr!AM27=".",up_Irr!BL27&lt;&gt;"."),up_dir!AO27/((1/1000)*(up_Irr!N27+up_Irr!BL27)),IF(AND(up_Irr!N27=".",up_Irr!AM27&lt;&gt;".",up_Irr!BL27&lt;&gt;"."),up_dir!AO27/((1/1000)*(up_Irr!AM27+up_Irr!BL27)),IF(AND(up_Irr!N27=".",up_Irr!AM27=".",up_Irr!BL27&lt;&gt;"."),up_dir!AO27/((1/1000)*(up_Irr!BL27)),IF(AND(up_Irr!N27=".",up_Irr!AM27&lt;&gt;".",up_Irr!BL27="."),up_dir!AO27/((1/1000)*(up_Irr!AM27)),IF(AND(up_Irr!N27&lt;&gt;".",up_Irr!AM27=".",up_Irr!BL27="."),up_dir!AO27/((1/1000)*(up_Irr!N27)),IF(AND(up_Irr!N27=".",up_Irr!AM27=".",up_Irr!BL27="."),up_dir!AO27*1000)))))))),".")</f>
        <v>6.5773651144152123E-11</v>
      </c>
      <c r="BP27" s="76">
        <f>IFERROR(IF(AND(up_Irr!O27&lt;&gt;".",up_Irr!AN27&lt;&gt;".",up_Irr!BM27&lt;&gt;"."),up_dir!AP27/((1/1000)*(up_Irr!O27+up_Irr!AN27+up_Irr!BM27)),IF(AND(up_Irr!O27&lt;&gt;".",up_Irr!AN27&lt;&gt;".",up_Irr!BM27="."),up_dir!AP27/((1/1000)*(up_Irr!O27+up_Irr!AN27)),IF(AND(up_Irr!O27&lt;&gt;".",up_Irr!AN27=".",up_Irr!BM27&lt;&gt;"."),up_dir!AP27/((1/1000)*(up_Irr!O27+up_Irr!BM27)),IF(AND(up_Irr!O27=".",up_Irr!AN27&lt;&gt;".",up_Irr!BM27&lt;&gt;"."),up_dir!AP27/((1/1000)*(up_Irr!AN27+up_Irr!BM27)),IF(AND(up_Irr!O27=".",up_Irr!AN27=".",up_Irr!BM27&lt;&gt;"."),up_dir!AP27/((1/1000)*(up_Irr!BM27)),IF(AND(up_Irr!O27=".",up_Irr!AN27&lt;&gt;".",up_Irr!BM27="."),up_dir!AP27/((1/1000)*(up_Irr!AN27)),IF(AND(up_Irr!O27&lt;&gt;".",up_Irr!AN27=".",up_Irr!BM27="."),up_dir!AP27/((1/1000)*(up_Irr!O27)),IF(AND(up_Irr!O27=".",up_Irr!AN27=".",up_Irr!BM27="."),up_dir!AP27*1000)))))))),".")</f>
        <v>6.5773651144152123E-11</v>
      </c>
      <c r="BQ27" s="76">
        <f>IFERROR(IF(AND(up_Irr!P27&lt;&gt;".",up_Irr!AO27&lt;&gt;".",up_Irr!BN27&lt;&gt;"."),up_dir!AQ27/((1/1000)*(up_Irr!P27+up_Irr!AO27+up_Irr!BN27)),IF(AND(up_Irr!P27&lt;&gt;".",up_Irr!AO27&lt;&gt;".",up_Irr!BN27="."),up_dir!AQ27/((1/1000)*(up_Irr!P27+up_Irr!AO27)),IF(AND(up_Irr!P27&lt;&gt;".",up_Irr!AO27=".",up_Irr!BN27&lt;&gt;"."),up_dir!AQ27/((1/1000)*(up_Irr!P27+up_Irr!BN27)),IF(AND(up_Irr!P27=".",up_Irr!AO27&lt;&gt;".",up_Irr!BN27&lt;&gt;"."),up_dir!AQ27/((1/1000)*(up_Irr!AO27+up_Irr!BN27)),IF(AND(up_Irr!P27=".",up_Irr!AO27=".",up_Irr!BN27&lt;&gt;"."),up_dir!AQ27/((1/1000)*(up_Irr!BN27)),IF(AND(up_Irr!P27=".",up_Irr!AO27&lt;&gt;".",up_Irr!BN27="."),up_dir!AQ27/((1/1000)*(up_Irr!AO27)),IF(AND(up_Irr!P27&lt;&gt;".",up_Irr!AO27=".",up_Irr!BN27="."),up_dir!AQ27/((1/1000)*(up_Irr!P27)),IF(AND(up_Irr!P27=".",up_Irr!AO27=".",up_Irr!BN27="."),up_dir!AQ27*1000)))))))),".")</f>
        <v>6.5773651144152123E-11</v>
      </c>
      <c r="BR27" s="76">
        <f>IFERROR(IF(AND(up_Irr!Q27&lt;&gt;".",up_Irr!AP27&lt;&gt;".",up_Irr!BO27&lt;&gt;"."),up_dir!AR27/((1/1000)*(up_Irr!Q27+up_Irr!AP27+up_Irr!BO27)),IF(AND(up_Irr!Q27&lt;&gt;".",up_Irr!AP27&lt;&gt;".",up_Irr!BO27="."),up_dir!AR27/((1/1000)*(up_Irr!Q27+up_Irr!AP27)),IF(AND(up_Irr!Q27&lt;&gt;".",up_Irr!AP27=".",up_Irr!BO27&lt;&gt;"."),up_dir!AR27/((1/1000)*(up_Irr!Q27+up_Irr!BO27)),IF(AND(up_Irr!Q27=".",up_Irr!AP27&lt;&gt;".",up_Irr!BO27&lt;&gt;"."),up_dir!AR27/((1/1000)*(up_Irr!AP27+up_Irr!BO27)),IF(AND(up_Irr!Q27=".",up_Irr!AP27=".",up_Irr!BO27&lt;&gt;"."),up_dir!AR27/((1/1000)*(up_Irr!BO27)),IF(AND(up_Irr!Q27=".",up_Irr!AP27&lt;&gt;".",up_Irr!BO27="."),up_dir!AR27/((1/1000)*(up_Irr!AP27)),IF(AND(up_Irr!Q27&lt;&gt;".",up_Irr!AP27=".",up_Irr!BO27="."),up_dir!AR27/((1/1000)*(up_Irr!Q27)),IF(AND(up_Irr!Q27=".",up_Irr!AP27=".",up_Irr!BO27="."),up_dir!AR27*1000)))))))),".")</f>
        <v>6.5773651144152123E-11</v>
      </c>
      <c r="BS27" s="76">
        <f>IFERROR(IF(AND(up_Irr!R27&lt;&gt;".",up_Irr!AQ27&lt;&gt;".",up_Irr!BP27&lt;&gt;"."),up_dir!AS27/((1/1000)*(up_Irr!R27+up_Irr!AQ27+up_Irr!BP27)),IF(AND(up_Irr!R27&lt;&gt;".",up_Irr!AQ27&lt;&gt;".",up_Irr!BP27="."),up_dir!AS27/((1/1000)*(up_Irr!R27+up_Irr!AQ27)),IF(AND(up_Irr!R27&lt;&gt;".",up_Irr!AQ27=".",up_Irr!BP27&lt;&gt;"."),up_dir!AS27/((1/1000)*(up_Irr!R27+up_Irr!BP27)),IF(AND(up_Irr!R27=".",up_Irr!AQ27&lt;&gt;".",up_Irr!BP27&lt;&gt;"."),up_dir!AS27/((1/1000)*(up_Irr!AQ27+up_Irr!BP27)),IF(AND(up_Irr!R27=".",up_Irr!AQ27=".",up_Irr!BP27&lt;&gt;"."),up_dir!AS27/((1/1000)*(up_Irr!BP27)),IF(AND(up_Irr!R27=".",up_Irr!AQ27&lt;&gt;".",up_Irr!BP27="."),up_dir!AS27/((1/1000)*(up_Irr!AQ27)),IF(AND(up_Irr!R27&lt;&gt;".",up_Irr!AQ27=".",up_Irr!BP27="."),up_dir!AS27/((1/1000)*(up_Irr!R27)),IF(AND(up_Irr!R27=".",up_Irr!AQ27=".",up_Irr!BP27="."),up_dir!AS27*1000)))))))),".")</f>
        <v>6.5773651144152123E-11</v>
      </c>
      <c r="BT27" s="76">
        <f>IFERROR(IF(AND(up_Irr!S27&lt;&gt;".",up_Irr!AR27&lt;&gt;".",up_Irr!BQ27&lt;&gt;"."),up_dir!AT27/((1/1000)*(up_Irr!S27+up_Irr!AR27+up_Irr!BQ27)),IF(AND(up_Irr!S27&lt;&gt;".",up_Irr!AR27&lt;&gt;".",up_Irr!BQ27="."),up_dir!AT27/((1/1000)*(up_Irr!S27+up_Irr!AR27)),IF(AND(up_Irr!S27&lt;&gt;".",up_Irr!AR27=".",up_Irr!BQ27&lt;&gt;"."),up_dir!AT27/((1/1000)*(up_Irr!S27+up_Irr!BQ27)),IF(AND(up_Irr!S27=".",up_Irr!AR27&lt;&gt;".",up_Irr!BQ27&lt;&gt;"."),up_dir!AT27/((1/1000)*(up_Irr!AR27+up_Irr!BQ27)),IF(AND(up_Irr!S27=".",up_Irr!AR27=".",up_Irr!BQ27&lt;&gt;"."),up_dir!AT27/((1/1000)*(up_Irr!BQ27)),IF(AND(up_Irr!S27=".",up_Irr!AR27&lt;&gt;".",up_Irr!BQ27="."),up_dir!AT27/((1/1000)*(up_Irr!AR27)),IF(AND(up_Irr!S27&lt;&gt;".",up_Irr!AR27=".",up_Irr!BQ27="."),up_dir!AT27/((1/1000)*(up_Irr!S27)),IF(AND(up_Irr!S27=".",up_Irr!AR27=".",up_Irr!BQ27="."),up_dir!AT27*1000)))))))),".")</f>
        <v>6.5773651144152123E-11</v>
      </c>
      <c r="BU27" s="76">
        <f>IFERROR(IF(AND(up_Irr!T27&lt;&gt;".",up_Irr!AS27&lt;&gt;".",up_Irr!BR27&lt;&gt;"."),up_dir!AU27/((1/1000)*(up_Irr!T27+up_Irr!AS27+up_Irr!BR27)),IF(AND(up_Irr!T27&lt;&gt;".",up_Irr!AS27&lt;&gt;".",up_Irr!BR27="."),up_dir!AU27/((1/1000)*(up_Irr!T27+up_Irr!AS27)),IF(AND(up_Irr!T27&lt;&gt;".",up_Irr!AS27=".",up_Irr!BR27&lt;&gt;"."),up_dir!AU27/((1/1000)*(up_Irr!T27+up_Irr!BR27)),IF(AND(up_Irr!T27=".",up_Irr!AS27&lt;&gt;".",up_Irr!BR27&lt;&gt;"."),up_dir!AU27/((1/1000)*(up_Irr!AS27+up_Irr!BR27)),IF(AND(up_Irr!T27=".",up_Irr!AS27=".",up_Irr!BR27&lt;&gt;"."),up_dir!AU27/((1/1000)*(up_Irr!BR27)),IF(AND(up_Irr!T27=".",up_Irr!AS27&lt;&gt;".",up_Irr!BR27="."),up_dir!AU27/((1/1000)*(up_Irr!AS27)),IF(AND(up_Irr!T27&lt;&gt;".",up_Irr!AS27=".",up_Irr!BR27="."),up_dir!AU27/((1/1000)*(up_Irr!T27)),IF(AND(up_Irr!T27=".",up_Irr!AS27=".",up_Irr!BR27="."),up_dir!AU27*1000)))))))),".")</f>
        <v>6.5773651144152123E-11</v>
      </c>
      <c r="BV27" s="76">
        <f>IFERROR(IF(AND(up_Irr!U27&lt;&gt;".",up_Irr!AT27&lt;&gt;".",up_Irr!BS27&lt;&gt;"."),up_dir!AV27/((1/1000)*(up_Irr!U27+up_Irr!AT27+up_Irr!BS27)),IF(AND(up_Irr!U27&lt;&gt;".",up_Irr!AT27&lt;&gt;".",up_Irr!BS27="."),up_dir!AV27/((1/1000)*(up_Irr!U27+up_Irr!AT27)),IF(AND(up_Irr!U27&lt;&gt;".",up_Irr!AT27=".",up_Irr!BS27&lt;&gt;"."),up_dir!AV27/((1/1000)*(up_Irr!U27+up_Irr!BS27)),IF(AND(up_Irr!U27=".",up_Irr!AT27&lt;&gt;".",up_Irr!BS27&lt;&gt;"."),up_dir!AV27/((1/1000)*(up_Irr!AT27+up_Irr!BS27)),IF(AND(up_Irr!U27=".",up_Irr!AT27=".",up_Irr!BS27&lt;&gt;"."),up_dir!AV27/((1/1000)*(up_Irr!BS27)),IF(AND(up_Irr!U27=".",up_Irr!AT27&lt;&gt;".",up_Irr!BS27="."),up_dir!AV27/((1/1000)*(up_Irr!AT27)),IF(AND(up_Irr!U27&lt;&gt;".",up_Irr!AT27=".",up_Irr!BS27="."),up_dir!AV27/((1/1000)*(up_Irr!U27)),IF(AND(up_Irr!U27=".",up_Irr!AT27=".",up_Irr!BS27="."),up_dir!AV27*1000)))))))),".")</f>
        <v>6.5773651144152123E-11</v>
      </c>
      <c r="BW27" s="76">
        <f>IFERROR(IF(AND(up_Irr!V27&lt;&gt;".",up_Irr!AU27&lt;&gt;".",up_Irr!BT27&lt;&gt;"."),up_dir!AW27/((1/1000)*(up_Irr!V27+up_Irr!AU27+up_Irr!BT27)),IF(AND(up_Irr!V27&lt;&gt;".",up_Irr!AU27&lt;&gt;".",up_Irr!BT27="."),up_dir!AW27/((1/1000)*(up_Irr!V27+up_Irr!AU27)),IF(AND(up_Irr!V27&lt;&gt;".",up_Irr!AU27=".",up_Irr!BT27&lt;&gt;"."),up_dir!AW27/((1/1000)*(up_Irr!V27+up_Irr!BT27)),IF(AND(up_Irr!V27=".",up_Irr!AU27&lt;&gt;".",up_Irr!BT27&lt;&gt;"."),up_dir!AW27/((1/1000)*(up_Irr!AU27+up_Irr!BT27)),IF(AND(up_Irr!V27=".",up_Irr!AU27=".",up_Irr!BT27&lt;&gt;"."),up_dir!AW27/((1/1000)*(up_Irr!BT27)),IF(AND(up_Irr!V27=".",up_Irr!AU27&lt;&gt;".",up_Irr!BT27="."),up_dir!AW27/((1/1000)*(up_Irr!AU27)),IF(AND(up_Irr!V27&lt;&gt;".",up_Irr!AU27=".",up_Irr!BT27="."),up_dir!AW27/((1/1000)*(up_Irr!V27)),IF(AND(up_Irr!V27=".",up_Irr!AU27=".",up_Irr!BT27="."),up_dir!AW27*1000)))))))),".")</f>
        <v>6.5773651144152123E-11</v>
      </c>
      <c r="BX27" s="76">
        <f>IFERROR(IF(AND(up_Irr!W27&lt;&gt;".",up_Irr!AV27&lt;&gt;".",up_Irr!BU27&lt;&gt;"."),up_dir!AX27/((1/1000)*(up_Irr!W27+up_Irr!AV27+up_Irr!BU27)),IF(AND(up_Irr!W27&lt;&gt;".",up_Irr!AV27&lt;&gt;".",up_Irr!BU27="."),up_dir!AX27/((1/1000)*(up_Irr!W27+up_Irr!AV27)),IF(AND(up_Irr!W27&lt;&gt;".",up_Irr!AV27=".",up_Irr!BU27&lt;&gt;"."),up_dir!AX27/((1/1000)*(up_Irr!W27+up_Irr!BU27)),IF(AND(up_Irr!W27=".",up_Irr!AV27&lt;&gt;".",up_Irr!BU27&lt;&gt;"."),up_dir!AX27/((1/1000)*(up_Irr!AV27+up_Irr!BU27)),IF(AND(up_Irr!W27=".",up_Irr!AV27=".",up_Irr!BU27&lt;&gt;"."),up_dir!AX27/((1/1000)*(up_Irr!BU27)),IF(AND(up_Irr!W27=".",up_Irr!AV27&lt;&gt;".",up_Irr!BU27="."),up_dir!AX27/((1/1000)*(up_Irr!AV27)),IF(AND(up_Irr!W27&lt;&gt;".",up_Irr!AV27=".",up_Irr!BU27="."),up_dir!AX27/((1/1000)*(up_Irr!W27)),IF(AND(up_Irr!W27=".",up_Irr!AV27=".",up_Irr!BU27="."),up_dir!AX27*1000)))))))),".")</f>
        <v>6.5773651144152123E-11</v>
      </c>
      <c r="BY27" s="76">
        <f>IFERROR(IF(AND(up_Irr!X27&lt;&gt;".",up_Irr!AW27&lt;&gt;".",up_Irr!BV27&lt;&gt;"."),up_dir!AY27/((1/1000)*(up_Irr!X27+up_Irr!AW27+up_Irr!BV27)),IF(AND(up_Irr!X27&lt;&gt;".",up_Irr!AW27&lt;&gt;".",up_Irr!BV27="."),up_dir!AY27/((1/1000)*(up_Irr!X27+up_Irr!AW27)),IF(AND(up_Irr!X27&lt;&gt;".",up_Irr!AW27=".",up_Irr!BV27&lt;&gt;"."),up_dir!AY27/((1/1000)*(up_Irr!X27+up_Irr!BV27)),IF(AND(up_Irr!X27=".",up_Irr!AW27&lt;&gt;".",up_Irr!BV27&lt;&gt;"."),up_dir!AY27/((1/1000)*(up_Irr!AW27+up_Irr!BV27)),IF(AND(up_Irr!X27=".",up_Irr!AW27=".",up_Irr!BV27&lt;&gt;"."),up_dir!AY27/((1/1000)*(up_Irr!BV27)),IF(AND(up_Irr!X27=".",up_Irr!AW27&lt;&gt;".",up_Irr!BV27="."),up_dir!AY27/((1/1000)*(up_Irr!AW27)),IF(AND(up_Irr!X27&lt;&gt;".",up_Irr!AW27=".",up_Irr!BV27="."),up_dir!AY27/((1/1000)*(up_Irr!X27)),IF(AND(up_Irr!X27=".",up_Irr!AW27=".",up_Irr!BV27="."),up_dir!AY27*1000)))))))),".")</f>
        <v>6.5773651144152123E-11</v>
      </c>
      <c r="BZ27" s="76">
        <f>IFERROR(IF(AND(up_Irr!Y27&lt;&gt;".",up_Irr!AX27&lt;&gt;".",up_Irr!BW27&lt;&gt;"."),up_dir!AZ27/((1/1000)*(up_Irr!Y27+up_Irr!AX27+up_Irr!BW27)),IF(AND(up_Irr!Y27&lt;&gt;".",up_Irr!AX27&lt;&gt;".",up_Irr!BW27="."),up_dir!AZ27/((1/1000)*(up_Irr!Y27+up_Irr!AX27)),IF(AND(up_Irr!Y27&lt;&gt;".",up_Irr!AX27=".",up_Irr!BW27&lt;&gt;"."),up_dir!AZ27/((1/1000)*(up_Irr!Y27+up_Irr!BW27)),IF(AND(up_Irr!Y27=".",up_Irr!AX27&lt;&gt;".",up_Irr!BW27&lt;&gt;"."),up_dir!AZ27/((1/1000)*(up_Irr!AX27+up_Irr!BW27)),IF(AND(up_Irr!Y27=".",up_Irr!AX27=".",up_Irr!BW27&lt;&gt;"."),up_dir!AZ27/((1/1000)*(up_Irr!BW27)),IF(AND(up_Irr!Y27=".",up_Irr!AX27&lt;&gt;".",up_Irr!BW27="."),up_dir!AZ27/((1/1000)*(up_Irr!AX27)),IF(AND(up_Irr!Y27&lt;&gt;".",up_Irr!AX27=".",up_Irr!BW27="."),up_dir!AZ27/((1/1000)*(up_Irr!Y27)),IF(AND(up_Irr!Y27=".",up_Irr!AX27=".",up_Irr!BW27="."),up_dir!AZ27*1000)))))))),".")</f>
        <v>6.5773651144152123E-11</v>
      </c>
      <c r="CA27" s="76">
        <f>IFERROR(IF(AND(up_Irr!Z27&lt;&gt;".",up_Irr!AY27&lt;&gt;".",up_Irr!BX27&lt;&gt;"."),up_dir!BA27/((1/1000)*(up_Irr!Z27+up_Irr!AY27+up_Irr!BX27)),IF(AND(up_Irr!Z27&lt;&gt;".",up_Irr!AY27&lt;&gt;".",up_Irr!BX27="."),up_dir!BA27/((1/1000)*(up_Irr!Z27+up_Irr!AY27)),IF(AND(up_Irr!Z27&lt;&gt;".",up_Irr!AY27=".",up_Irr!BX27&lt;&gt;"."),up_dir!BA27/((1/1000)*(up_Irr!Z27+up_Irr!BX27)),IF(AND(up_Irr!Z27=".",up_Irr!AY27&lt;&gt;".",up_Irr!BX27&lt;&gt;"."),up_dir!BA27/((1/1000)*(up_Irr!AY27+up_Irr!BX27)),IF(AND(up_Irr!Z27=".",up_Irr!AY27=".",up_Irr!BX27&lt;&gt;"."),up_dir!BA27/((1/1000)*(up_Irr!BX27)),IF(AND(up_Irr!Z27=".",up_Irr!AY27&lt;&gt;".",up_Irr!BX27="."),up_dir!BA27/((1/1000)*(up_Irr!AY27)),IF(AND(up_Irr!Z27&lt;&gt;".",up_Irr!AY27=".",up_Irr!BX27="."),up_dir!BA27/((1/1000)*(up_Irr!Z27)),IF(AND(up_Irr!Z27=".",up_Irr!AY27=".",up_Irr!BX27="."),up_dir!BA27*1000)))))))),".")</f>
        <v>6.5773651144152123E-11</v>
      </c>
      <c r="CB27" s="76">
        <f>IFERROR(IF(AND(up_Irr!AA27&lt;&gt;".",up_Irr!AZ27&lt;&gt;".",up_Irr!BY27&lt;&gt;"."),up_dir!BB27/((1/1000)*(up_Irr!AA27+up_Irr!AZ27+up_Irr!BY27)),IF(AND(up_Irr!AA27&lt;&gt;".",up_Irr!AZ27&lt;&gt;".",up_Irr!BY27="."),up_dir!BB27/((1/1000)*(up_Irr!AA27+up_Irr!AZ27)),IF(AND(up_Irr!AA27&lt;&gt;".",up_Irr!AZ27=".",up_Irr!BY27&lt;&gt;"."),up_dir!BB27/((1/1000)*(up_Irr!AA27+up_Irr!BY27)),IF(AND(up_Irr!AA27=".",up_Irr!AZ27&lt;&gt;".",up_Irr!BY27&lt;&gt;"."),up_dir!BB27/((1/1000)*(up_Irr!AZ27+up_Irr!BY27)),IF(AND(up_Irr!AA27=".",up_Irr!AZ27=".",up_Irr!BY27&lt;&gt;"."),up_dir!BB27/((1/1000)*(up_Irr!BY27)),IF(AND(up_Irr!AA27=".",up_Irr!AZ27&lt;&gt;".",up_Irr!BY27="."),up_dir!BB27/((1/1000)*(up_Irr!AZ27)),IF(AND(up_Irr!AA27&lt;&gt;".",up_Irr!AZ27=".",up_Irr!BY27="."),up_dir!BB27/((1/1000)*(up_Irr!AA27)),IF(AND(up_Irr!AA27=".",up_Irr!AZ27=".",up_Irr!BY27="."),up_dir!BB27*1000)))))))),".")</f>
        <v>6.5773651144152123E-11</v>
      </c>
      <c r="CC27" s="93">
        <f t="shared" si="3"/>
        <v>608146.26076229871</v>
      </c>
      <c r="CD27" s="93">
        <f>IFERROR(s_C*s_IFAP_far_adj*s_CF_apple*(1/1000)*(up_Irr!C27+up_Irr!AB27+up_Irr!BA27),".")</f>
        <v>152036.56519057468</v>
      </c>
      <c r="CE27" s="93">
        <f>IFERROR(s_C*s_IFAS_far_adj*s_CF_asparagus*(1/1000)*(up_Irr!D27+up_Irr!AC27+up_Irr!BB27),".")</f>
        <v>152036.56519057468</v>
      </c>
      <c r="CF27" s="93">
        <f>IFERROR(s_C*s_IFBT_far_adj*s_CF_beet*(1/1000)*(up_Irr!E27+up_Irr!AD27+up_Irr!BC27),".")</f>
        <v>152036.56519057468</v>
      </c>
      <c r="CG27" s="93">
        <f>IFERROR(s_C*s_IFBE_far_adj*s_CF_berries*(1/1000)*(up_Irr!F27+up_Irr!AE27+up_Irr!BD27),".")</f>
        <v>152036.56519057468</v>
      </c>
      <c r="CH27" s="93">
        <f>IFERROR(s_C*s_IFBR_far_adj*s_CF_broccoli*(1/1000)*(up_Irr!G27+up_Irr!AF27+up_Irr!BE27),".")</f>
        <v>152036.56519057468</v>
      </c>
      <c r="CI27" s="93">
        <f>IFERROR(s_C*s_IFCB_far_adj*s_CF_cabbage*(1/1000)*(up_Irr!H27+up_Irr!AG27+up_Irr!BF27),".")</f>
        <v>152036.56519057468</v>
      </c>
      <c r="CJ27" s="93">
        <f>IFERROR(s_C*s_IFCR_far_adj*s_CF_carrot*(1/1000)*(up_Irr!I27+up_Irr!AH27+up_Irr!BG27),".")</f>
        <v>152036.56519057468</v>
      </c>
      <c r="CK27" s="93">
        <f>IFERROR(s_C*s_IFCI_far_adj*s_CF_citrus*(1/1000)*(up_Irr!J27+up_Irr!AI27+up_Irr!BH27),".")</f>
        <v>152036.56519057468</v>
      </c>
      <c r="CL27" s="93">
        <f>IFERROR(s_C*s_IFCO_far_adj*s_CF_corn*(1/1000)*(up_Irr!K27+up_Irr!AJ27+up_Irr!BI27),".")</f>
        <v>152036.56519057468</v>
      </c>
      <c r="CM27" s="93">
        <f>IFERROR(s_C*s_IFCU_far_adj*s_CF_cucumber*(1/1000)*(up_Irr!L27+up_Irr!AK27+up_Irr!BJ27),".")</f>
        <v>152036.56519057468</v>
      </c>
      <c r="CN27" s="93">
        <f>IFERROR(s_C*s_IFLE_far_adj*s_CF_lettuce*(1/1000)*(up_Irr!M27+up_Irr!AL27+up_Irr!BK27),".")</f>
        <v>152036.56519057468</v>
      </c>
      <c r="CO27" s="93">
        <f>IFERROR(s_C*s_IFLI_far_adj*s_CF_lima_bean*(1/1000)*(up_Irr!N27+up_Irr!AM27+up_Irr!BL27),".")</f>
        <v>152036.56519057468</v>
      </c>
      <c r="CP27" s="93">
        <f>IFERROR(s_C*s_IFOK_far_adj*s_CF_okra*(1/1000)*(up_Irr!O27+up_Irr!AN27+up_Irr!BM27),".")</f>
        <v>152036.56519057468</v>
      </c>
      <c r="CQ27" s="93">
        <f>IFERROR(s_C*s_IFON_far_adj*s_CF_onion*(1/1000)*(up_Irr!P27+up_Irr!AO27+up_Irr!BN27),".")</f>
        <v>152036.56519057468</v>
      </c>
      <c r="CR27" s="93">
        <f>IFERROR(s_C*s_IFPC_far_adj*s_CF_peach*(1/1000)*(up_Irr!Q27+up_Irr!AP27+up_Irr!BO27),".")</f>
        <v>152036.56519057468</v>
      </c>
      <c r="CS27" s="93">
        <f>IFERROR(s_C*s_IFPR_far_adj*s_CF_pear*(1/1000)*(up_Irr!R27+up_Irr!AQ27+up_Irr!BP27),".")</f>
        <v>152036.56519057468</v>
      </c>
      <c r="CT27" s="93">
        <f>IFERROR(s_C*s_IFPE_far_adj*s_CF_peas*(1/1000)*(up_Irr!S27+up_Irr!AR27+up_Irr!BQ27),".")</f>
        <v>152036.56519057468</v>
      </c>
      <c r="CU27" s="93">
        <f>IFERROR(s_C*s_IFPP_far_adj*s_CF_peppers*(1/1000)*(up_Irr!T27+up_Irr!AS27+up_Irr!BR27),".")</f>
        <v>152036.56519057468</v>
      </c>
      <c r="CV27" s="93">
        <f>IFERROR(s_C*s_IFPT_far_adj*s_CF_potato*(1/1000)*(up_Irr!U27+up_Irr!AT27+up_Irr!BS27),".")</f>
        <v>152036.56519057468</v>
      </c>
      <c r="CW27" s="93">
        <f>IFERROR(s_C*s_IFPU_far_adj*s_CF_pumpkin*(1/1000)*(up_Irr!V27+up_Irr!AU27+up_Irr!BT27),".")</f>
        <v>152036.56519057468</v>
      </c>
      <c r="CX27" s="93">
        <f>IFERROR(s_C*s_IFSN_far_adj*s_CF_snap_bean*(1/1000)*(up_Irr!W27+up_Irr!AV27+up_Irr!BU27),".")</f>
        <v>152036.56519057468</v>
      </c>
      <c r="CY27" s="93">
        <f>IFERROR(s_C*s_IFST_far_adj*s_CF_strawberry*(1/1000)*(up_Irr!X27+up_Irr!AW27+up_Irr!BV27),".")</f>
        <v>152036.56519057468</v>
      </c>
      <c r="CZ27" s="93">
        <f>IFERROR(s_C*s_IFTO_far_adj*s_CF_tomato*(1/1000)*(up_Irr!Y27+up_Irr!AX27+up_Irr!BW27),".")</f>
        <v>152036.56519057468</v>
      </c>
      <c r="DA27" s="93">
        <f>IFERROR(s_C*s_IFRI_far_adj*s_CF_rice*(1/1000)*(up_Irr!Z27+up_Irr!AY27+up_Irr!BX27),".")</f>
        <v>152036.56519057468</v>
      </c>
      <c r="DB27" s="93">
        <f>IFERROR(s_C*s_IFCG_far_adj*s_CF_cereal*(1/1000)*(up_Irr!AA27+up_Irr!AZ27+up_Irr!BY27),".")</f>
        <v>152036.56519057468</v>
      </c>
    </row>
    <row r="28" spans="1:106" ht="15" customHeight="1" x14ac:dyDescent="0.25">
      <c r="A28" s="92" t="s">
        <v>38</v>
      </c>
      <c r="B28" s="90" t="s">
        <v>1071</v>
      </c>
      <c r="C28" s="15">
        <f t="shared" si="0"/>
        <v>1.6443412786038031E-11</v>
      </c>
      <c r="D28" s="76">
        <f>IFERROR(IF(AND(up_Irr!C28&lt;&gt;".",up_Irr!AB28&lt;&gt;".",up_Irr!BA28&lt;&gt;"."),up_dir!D28/((1/1000)*(up_Irr!C28+up_Irr!AB28+up_Irr!BA28)),IF(AND(up_Irr!C28&lt;&gt;".",up_Irr!AB28&lt;&gt;".",up_Irr!BA28="."),up_dir!D28/((1/1000)*(up_Irr!C28+up_Irr!AB28)),IF(AND(up_Irr!C28&lt;&gt;".",up_Irr!AB28=".",up_Irr!BA28&lt;&gt;"."),up_dir!D28/((1/1000)*(up_Irr!C28+up_Irr!BA28)),IF(AND(up_Irr!C28=".",up_Irr!AB28&lt;&gt;".",up_Irr!BA28&lt;&gt;"."),up_dir!D28/((1/1000)*(up_Irr!AB28+up_Irr!BA28)),IF(AND(up_Irr!C28=".",up_Irr!AB28=".",up_Irr!BA28&lt;&gt;"."),up_dir!D28/((1/1000)*(up_Irr!BA28)),IF(AND(up_Irr!C28=".",up_Irr!AB28&lt;&gt;".",up_Irr!BA28="."),up_dir!D28/((1/1000)*(up_Irr!AB28)),IF(AND(up_Irr!C28&lt;&gt;".",up_Irr!AB28=".",up_Irr!BA28="."),up_dir!D28/((1/1000)*(up_Irr!C28)),IF(AND(up_Irr!C28=".",up_Irr!AB28=".",up_Irr!BA28="."),up_dir!D28*1000)))))))),".")</f>
        <v>6.5773651144152123E-11</v>
      </c>
      <c r="E28" s="76">
        <f>IFERROR(IF(AND(up_Irr!D28&lt;&gt;".",up_Irr!AC28&lt;&gt;".",up_Irr!BB28&lt;&gt;"."),up_dir!E28/((1/1000)*(up_Irr!D28+up_Irr!AC28+up_Irr!BB28)),IF(AND(up_Irr!D28&lt;&gt;".",up_Irr!AC28&lt;&gt;".",up_Irr!BB28="."),up_dir!E28/((1/1000)*(up_Irr!D28+up_Irr!AC28)),IF(AND(up_Irr!D28&lt;&gt;".",up_Irr!AC28=".",up_Irr!BB28&lt;&gt;"."),up_dir!E28/((1/1000)*(up_Irr!D28+up_Irr!BB28)),IF(AND(up_Irr!D28=".",up_Irr!AC28&lt;&gt;".",up_Irr!BB28&lt;&gt;"."),up_dir!E28/((1/1000)*(up_Irr!AC28+up_Irr!BB28)),IF(AND(up_Irr!D28=".",up_Irr!AC28=".",up_Irr!BB28&lt;&gt;"."),up_dir!E28/((1/1000)*(up_Irr!BB28)),IF(AND(up_Irr!D28=".",up_Irr!AC28&lt;&gt;".",up_Irr!BB28="."),up_dir!E28/((1/1000)*(up_Irr!AC28)),IF(AND(up_Irr!D28&lt;&gt;".",up_Irr!AC28=".",up_Irr!BB28="."),up_dir!E28/((1/1000)*(up_Irr!D28)),IF(AND(up_Irr!D28=".",up_Irr!AC28=".",up_Irr!BB28="."),up_dir!E28*1000)))))))),".")</f>
        <v>6.5773651144152123E-11</v>
      </c>
      <c r="F28" s="76">
        <f>IFERROR(IF(AND(up_Irr!E28&lt;&gt;".",up_Irr!AD28&lt;&gt;".",up_Irr!BC28&lt;&gt;"."),up_dir!F28/((1/1000)*(up_Irr!E28+up_Irr!AD28+up_Irr!BC28)),IF(AND(up_Irr!E28&lt;&gt;".",up_Irr!AD28&lt;&gt;".",up_Irr!BC28="."),up_dir!F28/((1/1000)*(up_Irr!E28+up_Irr!AD28)),IF(AND(up_Irr!E28&lt;&gt;".",up_Irr!AD28=".",up_Irr!BC28&lt;&gt;"."),up_dir!F28/((1/1000)*(up_Irr!E28+up_Irr!BC28)),IF(AND(up_Irr!E28=".",up_Irr!AD28&lt;&gt;".",up_Irr!BC28&lt;&gt;"."),up_dir!F28/((1/1000)*(up_Irr!AD28+up_Irr!BC28)),IF(AND(up_Irr!E28=".",up_Irr!AD28=".",up_Irr!BC28&lt;&gt;"."),up_dir!F28/((1/1000)*(up_Irr!BC28)),IF(AND(up_Irr!E28=".",up_Irr!AD28&lt;&gt;".",up_Irr!BC28="."),up_dir!F28/((1/1000)*(up_Irr!AD28)),IF(AND(up_Irr!E28&lt;&gt;".",up_Irr!AD28=".",up_Irr!BC28="."),up_dir!F28/((1/1000)*(up_Irr!E28)),IF(AND(up_Irr!E28=".",up_Irr!AD28=".",up_Irr!BC28="."),up_dir!F28*1000)))))))),".")</f>
        <v>6.5773651144152123E-11</v>
      </c>
      <c r="G28" s="76">
        <f>IFERROR(IF(AND(up_Irr!F28&lt;&gt;".",up_Irr!AE28&lt;&gt;".",up_Irr!BD28&lt;&gt;"."),up_dir!G28/((1/1000)*(up_Irr!F28+up_Irr!AE28+up_Irr!BD28)),IF(AND(up_Irr!F28&lt;&gt;".",up_Irr!AE28&lt;&gt;".",up_Irr!BD28="."),up_dir!G28/((1/1000)*(up_Irr!F28+up_Irr!AE28)),IF(AND(up_Irr!F28&lt;&gt;".",up_Irr!AE28=".",up_Irr!BD28&lt;&gt;"."),up_dir!G28/((1/1000)*(up_Irr!F28+up_Irr!BD28)),IF(AND(up_Irr!F28=".",up_Irr!AE28&lt;&gt;".",up_Irr!BD28&lt;&gt;"."),up_dir!G28/((1/1000)*(up_Irr!AE28+up_Irr!BD28)),IF(AND(up_Irr!F28=".",up_Irr!AE28=".",up_Irr!BD28&lt;&gt;"."),up_dir!G28/((1/1000)*(up_Irr!BD28)),IF(AND(up_Irr!F28=".",up_Irr!AE28&lt;&gt;".",up_Irr!BD28="."),up_dir!G28/((1/1000)*(up_Irr!AE28)),IF(AND(up_Irr!F28&lt;&gt;".",up_Irr!AE28=".",up_Irr!BD28="."),up_dir!G28/((1/1000)*(up_Irr!F28)),IF(AND(up_Irr!F28=".",up_Irr!AE28=".",up_Irr!BD28="."),up_dir!G28*1000)))))))),".")</f>
        <v>6.5773651144152123E-11</v>
      </c>
      <c r="H28" s="76">
        <f>IFERROR(IF(AND(up_Irr!G28&lt;&gt;".",up_Irr!AF28&lt;&gt;".",up_Irr!BE28&lt;&gt;"."),up_dir!H28/((1/1000)*(up_Irr!G28+up_Irr!AF28+up_Irr!BE28)),IF(AND(up_Irr!G28&lt;&gt;".",up_Irr!AF28&lt;&gt;".",up_Irr!BE28="."),up_dir!H28/((1/1000)*(up_Irr!G28+up_Irr!AF28)),IF(AND(up_Irr!G28&lt;&gt;".",up_Irr!AF28=".",up_Irr!BE28&lt;&gt;"."),up_dir!H28/((1/1000)*(up_Irr!G28+up_Irr!BE28)),IF(AND(up_Irr!G28=".",up_Irr!AF28&lt;&gt;".",up_Irr!BE28&lt;&gt;"."),up_dir!H28/((1/1000)*(up_Irr!AF28+up_Irr!BE28)),IF(AND(up_Irr!G28=".",up_Irr!AF28=".",up_Irr!BE28&lt;&gt;"."),up_dir!H28/((1/1000)*(up_Irr!BE28)),IF(AND(up_Irr!G28=".",up_Irr!AF28&lt;&gt;".",up_Irr!BE28="."),up_dir!H28/((1/1000)*(up_Irr!AF28)),IF(AND(up_Irr!G28&lt;&gt;".",up_Irr!AF28=".",up_Irr!BE28="."),up_dir!H28/((1/1000)*(up_Irr!G28)),IF(AND(up_Irr!G28=".",up_Irr!AF28=".",up_Irr!BE28="."),up_dir!H28*1000)))))))),".")</f>
        <v>6.5773651144152123E-11</v>
      </c>
      <c r="I28" s="76">
        <f>IFERROR(IF(AND(up_Irr!H28&lt;&gt;".",up_Irr!AG28&lt;&gt;".",up_Irr!BF28&lt;&gt;"."),up_dir!I28/((1/1000)*(up_Irr!H28+up_Irr!AG28+up_Irr!BF28)),IF(AND(up_Irr!H28&lt;&gt;".",up_Irr!AG28&lt;&gt;".",up_Irr!BF28="."),up_dir!I28/((1/1000)*(up_Irr!H28+up_Irr!AG28)),IF(AND(up_Irr!H28&lt;&gt;".",up_Irr!AG28=".",up_Irr!BF28&lt;&gt;"."),up_dir!I28/((1/1000)*(up_Irr!H28+up_Irr!BF28)),IF(AND(up_Irr!H28=".",up_Irr!AG28&lt;&gt;".",up_Irr!BF28&lt;&gt;"."),up_dir!I28/((1/1000)*(up_Irr!AG28+up_Irr!BF28)),IF(AND(up_Irr!H28=".",up_Irr!AG28=".",up_Irr!BF28&lt;&gt;"."),up_dir!I28/((1/1000)*(up_Irr!BF28)),IF(AND(up_Irr!H28=".",up_Irr!AG28&lt;&gt;".",up_Irr!BF28="."),up_dir!I28/((1/1000)*(up_Irr!AG28)),IF(AND(up_Irr!H28&lt;&gt;".",up_Irr!AG28=".",up_Irr!BF28="."),up_dir!I28/((1/1000)*(up_Irr!H28)),IF(AND(up_Irr!H28=".",up_Irr!AG28=".",up_Irr!BF28="."),up_dir!I28*1000)))))))),".")</f>
        <v>6.5773651144152123E-11</v>
      </c>
      <c r="J28" s="76">
        <f>IFERROR(IF(AND(up_Irr!I28&lt;&gt;".",up_Irr!AH28&lt;&gt;".",up_Irr!BG28&lt;&gt;"."),up_dir!J28/((1/1000)*(up_Irr!I28+up_Irr!AH28+up_Irr!BG28)),IF(AND(up_Irr!I28&lt;&gt;".",up_Irr!AH28&lt;&gt;".",up_Irr!BG28="."),up_dir!J28/((1/1000)*(up_Irr!I28+up_Irr!AH28)),IF(AND(up_Irr!I28&lt;&gt;".",up_Irr!AH28=".",up_Irr!BG28&lt;&gt;"."),up_dir!J28/((1/1000)*(up_Irr!I28+up_Irr!BG28)),IF(AND(up_Irr!I28=".",up_Irr!AH28&lt;&gt;".",up_Irr!BG28&lt;&gt;"."),up_dir!J28/((1/1000)*(up_Irr!AH28+up_Irr!BG28)),IF(AND(up_Irr!I28=".",up_Irr!AH28=".",up_Irr!BG28&lt;&gt;"."),up_dir!J28/((1/1000)*(up_Irr!BG28)),IF(AND(up_Irr!I28=".",up_Irr!AH28&lt;&gt;".",up_Irr!BG28="."),up_dir!J28/((1/1000)*(up_Irr!AH28)),IF(AND(up_Irr!I28&lt;&gt;".",up_Irr!AH28=".",up_Irr!BG28="."),up_dir!J28/((1/1000)*(up_Irr!I28)),IF(AND(up_Irr!I28=".",up_Irr!AH28=".",up_Irr!BG28="."),up_dir!J28*1000)))))))),".")</f>
        <v>6.5773651144152123E-11</v>
      </c>
      <c r="K28" s="76">
        <f>IFERROR(IF(AND(up_Irr!J28&lt;&gt;".",up_Irr!AI28&lt;&gt;".",up_Irr!BH28&lt;&gt;"."),up_dir!K28/((1/1000)*(up_Irr!J28+up_Irr!AI28+up_Irr!BH28)),IF(AND(up_Irr!J28&lt;&gt;".",up_Irr!AI28&lt;&gt;".",up_Irr!BH28="."),up_dir!K28/((1/1000)*(up_Irr!J28+up_Irr!AI28)),IF(AND(up_Irr!J28&lt;&gt;".",up_Irr!AI28=".",up_Irr!BH28&lt;&gt;"."),up_dir!K28/((1/1000)*(up_Irr!J28+up_Irr!BH28)),IF(AND(up_Irr!J28=".",up_Irr!AI28&lt;&gt;".",up_Irr!BH28&lt;&gt;"."),up_dir!K28/((1/1000)*(up_Irr!AI28+up_Irr!BH28)),IF(AND(up_Irr!J28=".",up_Irr!AI28=".",up_Irr!BH28&lt;&gt;"."),up_dir!K28/((1/1000)*(up_Irr!BH28)),IF(AND(up_Irr!J28=".",up_Irr!AI28&lt;&gt;".",up_Irr!BH28="."),up_dir!K28/((1/1000)*(up_Irr!AI28)),IF(AND(up_Irr!J28&lt;&gt;".",up_Irr!AI28=".",up_Irr!BH28="."),up_dir!K28/((1/1000)*(up_Irr!J28)),IF(AND(up_Irr!J28=".",up_Irr!AI28=".",up_Irr!BH28="."),up_dir!K28*1000)))))))),".")</f>
        <v>6.5773651144152123E-11</v>
      </c>
      <c r="L28" s="76">
        <f>IFERROR(IF(AND(up_Irr!K28&lt;&gt;".",up_Irr!AJ28&lt;&gt;".",up_Irr!BI28&lt;&gt;"."),up_dir!L28/((1/1000)*(up_Irr!K28+up_Irr!AJ28+up_Irr!BI28)),IF(AND(up_Irr!K28&lt;&gt;".",up_Irr!AJ28&lt;&gt;".",up_Irr!BI28="."),up_dir!L28/((1/1000)*(up_Irr!K28+up_Irr!AJ28)),IF(AND(up_Irr!K28&lt;&gt;".",up_Irr!AJ28=".",up_Irr!BI28&lt;&gt;"."),up_dir!L28/((1/1000)*(up_Irr!K28+up_Irr!BI28)),IF(AND(up_Irr!K28=".",up_Irr!AJ28&lt;&gt;".",up_Irr!BI28&lt;&gt;"."),up_dir!L28/((1/1000)*(up_Irr!AJ28+up_Irr!BI28)),IF(AND(up_Irr!K28=".",up_Irr!AJ28=".",up_Irr!BI28&lt;&gt;"."),up_dir!L28/((1/1000)*(up_Irr!BI28)),IF(AND(up_Irr!K28=".",up_Irr!AJ28&lt;&gt;".",up_Irr!BI28="."),up_dir!L28/((1/1000)*(up_Irr!AJ28)),IF(AND(up_Irr!K28&lt;&gt;".",up_Irr!AJ28=".",up_Irr!BI28="."),up_dir!L28/((1/1000)*(up_Irr!K28)),IF(AND(up_Irr!K28=".",up_Irr!AJ28=".",up_Irr!BI28="."),up_dir!L28*1000)))))))),".")</f>
        <v>6.5773651144152123E-11</v>
      </c>
      <c r="M28" s="76">
        <f>IFERROR(IF(AND(up_Irr!L28&lt;&gt;".",up_Irr!AK28&lt;&gt;".",up_Irr!BJ28&lt;&gt;"."),up_dir!M28/((1/1000)*(up_Irr!L28+up_Irr!AK28+up_Irr!BJ28)),IF(AND(up_Irr!L28&lt;&gt;".",up_Irr!AK28&lt;&gt;".",up_Irr!BJ28="."),up_dir!M28/((1/1000)*(up_Irr!L28+up_Irr!AK28)),IF(AND(up_Irr!L28&lt;&gt;".",up_Irr!AK28=".",up_Irr!BJ28&lt;&gt;"."),up_dir!M28/((1/1000)*(up_Irr!L28+up_Irr!BJ28)),IF(AND(up_Irr!L28=".",up_Irr!AK28&lt;&gt;".",up_Irr!BJ28&lt;&gt;"."),up_dir!M28/((1/1000)*(up_Irr!AK28+up_Irr!BJ28)),IF(AND(up_Irr!L28=".",up_Irr!AK28=".",up_Irr!BJ28&lt;&gt;"."),up_dir!M28/((1/1000)*(up_Irr!BJ28)),IF(AND(up_Irr!L28=".",up_Irr!AK28&lt;&gt;".",up_Irr!BJ28="."),up_dir!M28/((1/1000)*(up_Irr!AK28)),IF(AND(up_Irr!L28&lt;&gt;".",up_Irr!AK28=".",up_Irr!BJ28="."),up_dir!M28/((1/1000)*(up_Irr!L28)),IF(AND(up_Irr!L28=".",up_Irr!AK28=".",up_Irr!BJ28="."),up_dir!M28*1000)))))))),".")</f>
        <v>6.5773651144152123E-11</v>
      </c>
      <c r="N28" s="76">
        <f>IFERROR(IF(AND(up_Irr!M28&lt;&gt;".",up_Irr!AL28&lt;&gt;".",up_Irr!BK28&lt;&gt;"."),up_dir!N28/((1/1000)*(up_Irr!M28+up_Irr!AL28+up_Irr!BK28)),IF(AND(up_Irr!M28&lt;&gt;".",up_Irr!AL28&lt;&gt;".",up_Irr!BK28="."),up_dir!N28/((1/1000)*(up_Irr!M28+up_Irr!AL28)),IF(AND(up_Irr!M28&lt;&gt;".",up_Irr!AL28=".",up_Irr!BK28&lt;&gt;"."),up_dir!N28/((1/1000)*(up_Irr!M28+up_Irr!BK28)),IF(AND(up_Irr!M28=".",up_Irr!AL28&lt;&gt;".",up_Irr!BK28&lt;&gt;"."),up_dir!N28/((1/1000)*(up_Irr!AL28+up_Irr!BK28)),IF(AND(up_Irr!M28=".",up_Irr!AL28=".",up_Irr!BK28&lt;&gt;"."),up_dir!N28/((1/1000)*(up_Irr!BK28)),IF(AND(up_Irr!M28=".",up_Irr!AL28&lt;&gt;".",up_Irr!BK28="."),up_dir!N28/((1/1000)*(up_Irr!AL28)),IF(AND(up_Irr!M28&lt;&gt;".",up_Irr!AL28=".",up_Irr!BK28="."),up_dir!N28/((1/1000)*(up_Irr!M28)),IF(AND(up_Irr!M28=".",up_Irr!AL28=".",up_Irr!BK28="."),up_dir!N28*1000)))))))),".")</f>
        <v>6.5773651144152123E-11</v>
      </c>
      <c r="O28" s="76">
        <f>IFERROR(IF(AND(up_Irr!N28&lt;&gt;".",up_Irr!AM28&lt;&gt;".",up_Irr!BL28&lt;&gt;"."),up_dir!O28/((1/1000)*(up_Irr!N28+up_Irr!AM28+up_Irr!BL28)),IF(AND(up_Irr!N28&lt;&gt;".",up_Irr!AM28&lt;&gt;".",up_Irr!BL28="."),up_dir!O28/((1/1000)*(up_Irr!N28+up_Irr!AM28)),IF(AND(up_Irr!N28&lt;&gt;".",up_Irr!AM28=".",up_Irr!BL28&lt;&gt;"."),up_dir!O28/((1/1000)*(up_Irr!N28+up_Irr!BL28)),IF(AND(up_Irr!N28=".",up_Irr!AM28&lt;&gt;".",up_Irr!BL28&lt;&gt;"."),up_dir!O28/((1/1000)*(up_Irr!AM28+up_Irr!BL28)),IF(AND(up_Irr!N28=".",up_Irr!AM28=".",up_Irr!BL28&lt;&gt;"."),up_dir!O28/((1/1000)*(up_Irr!BL28)),IF(AND(up_Irr!N28=".",up_Irr!AM28&lt;&gt;".",up_Irr!BL28="."),up_dir!O28/((1/1000)*(up_Irr!AM28)),IF(AND(up_Irr!N28&lt;&gt;".",up_Irr!AM28=".",up_Irr!BL28="."),up_dir!O28/((1/1000)*(up_Irr!N28)),IF(AND(up_Irr!N28=".",up_Irr!AM28=".",up_Irr!BL28="."),up_dir!O28*1000)))))))),".")</f>
        <v>6.5773651144152123E-11</v>
      </c>
      <c r="P28" s="76">
        <f>IFERROR(IF(AND(up_Irr!O28&lt;&gt;".",up_Irr!AN28&lt;&gt;".",up_Irr!BM28&lt;&gt;"."),up_dir!P28/((1/1000)*(up_Irr!O28+up_Irr!AN28+up_Irr!BM28)),IF(AND(up_Irr!O28&lt;&gt;".",up_Irr!AN28&lt;&gt;".",up_Irr!BM28="."),up_dir!P28/((1/1000)*(up_Irr!O28+up_Irr!AN28)),IF(AND(up_Irr!O28&lt;&gt;".",up_Irr!AN28=".",up_Irr!BM28&lt;&gt;"."),up_dir!P28/((1/1000)*(up_Irr!O28+up_Irr!BM28)),IF(AND(up_Irr!O28=".",up_Irr!AN28&lt;&gt;".",up_Irr!BM28&lt;&gt;"."),up_dir!P28/((1/1000)*(up_Irr!AN28+up_Irr!BM28)),IF(AND(up_Irr!O28=".",up_Irr!AN28=".",up_Irr!BM28&lt;&gt;"."),up_dir!P28/((1/1000)*(up_Irr!BM28)),IF(AND(up_Irr!O28=".",up_Irr!AN28&lt;&gt;".",up_Irr!BM28="."),up_dir!P28/((1/1000)*(up_Irr!AN28)),IF(AND(up_Irr!O28&lt;&gt;".",up_Irr!AN28=".",up_Irr!BM28="."),up_dir!P28/((1/1000)*(up_Irr!O28)),IF(AND(up_Irr!O28=".",up_Irr!AN28=".",up_Irr!BM28="."),up_dir!P28*1000)))))))),".")</f>
        <v>6.5773651144152123E-11</v>
      </c>
      <c r="Q28" s="76">
        <f>IFERROR(IF(AND(up_Irr!P28&lt;&gt;".",up_Irr!AO28&lt;&gt;".",up_Irr!BN28&lt;&gt;"."),up_dir!Q28/((1/1000)*(up_Irr!P28+up_Irr!AO28+up_Irr!BN28)),IF(AND(up_Irr!P28&lt;&gt;".",up_Irr!AO28&lt;&gt;".",up_Irr!BN28="."),up_dir!Q28/((1/1000)*(up_Irr!P28+up_Irr!AO28)),IF(AND(up_Irr!P28&lt;&gt;".",up_Irr!AO28=".",up_Irr!BN28&lt;&gt;"."),up_dir!Q28/((1/1000)*(up_Irr!P28+up_Irr!BN28)),IF(AND(up_Irr!P28=".",up_Irr!AO28&lt;&gt;".",up_Irr!BN28&lt;&gt;"."),up_dir!Q28/((1/1000)*(up_Irr!AO28+up_Irr!BN28)),IF(AND(up_Irr!P28=".",up_Irr!AO28=".",up_Irr!BN28&lt;&gt;"."),up_dir!Q28/((1/1000)*(up_Irr!BN28)),IF(AND(up_Irr!P28=".",up_Irr!AO28&lt;&gt;".",up_Irr!BN28="."),up_dir!Q28/((1/1000)*(up_Irr!AO28)),IF(AND(up_Irr!P28&lt;&gt;".",up_Irr!AO28=".",up_Irr!BN28="."),up_dir!Q28/((1/1000)*(up_Irr!P28)),IF(AND(up_Irr!P28=".",up_Irr!AO28=".",up_Irr!BN28="."),up_dir!Q28*1000)))))))),".")</f>
        <v>6.5773651144152123E-11</v>
      </c>
      <c r="R28" s="76">
        <f>IFERROR(IF(AND(up_Irr!Q28&lt;&gt;".",up_Irr!AP28&lt;&gt;".",up_Irr!BO28&lt;&gt;"."),up_dir!R28/((1/1000)*(up_Irr!Q28+up_Irr!AP28+up_Irr!BO28)),IF(AND(up_Irr!Q28&lt;&gt;".",up_Irr!AP28&lt;&gt;".",up_Irr!BO28="."),up_dir!R28/((1/1000)*(up_Irr!Q28+up_Irr!AP28)),IF(AND(up_Irr!Q28&lt;&gt;".",up_Irr!AP28=".",up_Irr!BO28&lt;&gt;"."),up_dir!R28/((1/1000)*(up_Irr!Q28+up_Irr!BO28)),IF(AND(up_Irr!Q28=".",up_Irr!AP28&lt;&gt;".",up_Irr!BO28&lt;&gt;"."),up_dir!R28/((1/1000)*(up_Irr!AP28+up_Irr!BO28)),IF(AND(up_Irr!Q28=".",up_Irr!AP28=".",up_Irr!BO28&lt;&gt;"."),up_dir!R28/((1/1000)*(up_Irr!BO28)),IF(AND(up_Irr!Q28=".",up_Irr!AP28&lt;&gt;".",up_Irr!BO28="."),up_dir!R28/((1/1000)*(up_Irr!AP28)),IF(AND(up_Irr!Q28&lt;&gt;".",up_Irr!AP28=".",up_Irr!BO28="."),up_dir!R28/((1/1000)*(up_Irr!Q28)),IF(AND(up_Irr!Q28=".",up_Irr!AP28=".",up_Irr!BO28="."),up_dir!R28*1000)))))))),".")</f>
        <v>6.5773651144152123E-11</v>
      </c>
      <c r="S28" s="76">
        <f>IFERROR(IF(AND(up_Irr!R28&lt;&gt;".",up_Irr!AQ28&lt;&gt;".",up_Irr!BP28&lt;&gt;"."),up_dir!S28/((1/1000)*(up_Irr!R28+up_Irr!AQ28+up_Irr!BP28)),IF(AND(up_Irr!R28&lt;&gt;".",up_Irr!AQ28&lt;&gt;".",up_Irr!BP28="."),up_dir!S28/((1/1000)*(up_Irr!R28+up_Irr!AQ28)),IF(AND(up_Irr!R28&lt;&gt;".",up_Irr!AQ28=".",up_Irr!BP28&lt;&gt;"."),up_dir!S28/((1/1000)*(up_Irr!R28+up_Irr!BP28)),IF(AND(up_Irr!R28=".",up_Irr!AQ28&lt;&gt;".",up_Irr!BP28&lt;&gt;"."),up_dir!S28/((1/1000)*(up_Irr!AQ28+up_Irr!BP28)),IF(AND(up_Irr!R28=".",up_Irr!AQ28=".",up_Irr!BP28&lt;&gt;"."),up_dir!S28/((1/1000)*(up_Irr!BP28)),IF(AND(up_Irr!R28=".",up_Irr!AQ28&lt;&gt;".",up_Irr!BP28="."),up_dir!S28/((1/1000)*(up_Irr!AQ28)),IF(AND(up_Irr!R28&lt;&gt;".",up_Irr!AQ28=".",up_Irr!BP28="."),up_dir!S28/((1/1000)*(up_Irr!R28)),IF(AND(up_Irr!R28=".",up_Irr!AQ28=".",up_Irr!BP28="."),up_dir!S28*1000)))))))),".")</f>
        <v>6.5773651144152123E-11</v>
      </c>
      <c r="T28" s="76">
        <f>IFERROR(IF(AND(up_Irr!S28&lt;&gt;".",up_Irr!AR28&lt;&gt;".",up_Irr!BQ28&lt;&gt;"."),up_dir!T28/((1/1000)*(up_Irr!S28+up_Irr!AR28+up_Irr!BQ28)),IF(AND(up_Irr!S28&lt;&gt;".",up_Irr!AR28&lt;&gt;".",up_Irr!BQ28="."),up_dir!T28/((1/1000)*(up_Irr!S28+up_Irr!AR28)),IF(AND(up_Irr!S28&lt;&gt;".",up_Irr!AR28=".",up_Irr!BQ28&lt;&gt;"."),up_dir!T28/((1/1000)*(up_Irr!S28+up_Irr!BQ28)),IF(AND(up_Irr!S28=".",up_Irr!AR28&lt;&gt;".",up_Irr!BQ28&lt;&gt;"."),up_dir!T28/((1/1000)*(up_Irr!AR28+up_Irr!BQ28)),IF(AND(up_Irr!S28=".",up_Irr!AR28=".",up_Irr!BQ28&lt;&gt;"."),up_dir!T28/((1/1000)*(up_Irr!BQ28)),IF(AND(up_Irr!S28=".",up_Irr!AR28&lt;&gt;".",up_Irr!BQ28="."),up_dir!T28/((1/1000)*(up_Irr!AR28)),IF(AND(up_Irr!S28&lt;&gt;".",up_Irr!AR28=".",up_Irr!BQ28="."),up_dir!T28/((1/1000)*(up_Irr!S28)),IF(AND(up_Irr!S28=".",up_Irr!AR28=".",up_Irr!BQ28="."),up_dir!T28*1000)))))))),".")</f>
        <v>6.5773651144152123E-11</v>
      </c>
      <c r="U28" s="76">
        <f>IFERROR(IF(AND(up_Irr!T28&lt;&gt;".",up_Irr!AS28&lt;&gt;".",up_Irr!BR28&lt;&gt;"."),up_dir!U28/((1/1000)*(up_Irr!T28+up_Irr!AS28+up_Irr!BR28)),IF(AND(up_Irr!T28&lt;&gt;".",up_Irr!AS28&lt;&gt;".",up_Irr!BR28="."),up_dir!U28/((1/1000)*(up_Irr!T28+up_Irr!AS28)),IF(AND(up_Irr!T28&lt;&gt;".",up_Irr!AS28=".",up_Irr!BR28&lt;&gt;"."),up_dir!U28/((1/1000)*(up_Irr!T28+up_Irr!BR28)),IF(AND(up_Irr!T28=".",up_Irr!AS28&lt;&gt;".",up_Irr!BR28&lt;&gt;"."),up_dir!U28/((1/1000)*(up_Irr!AS28+up_Irr!BR28)),IF(AND(up_Irr!T28=".",up_Irr!AS28=".",up_Irr!BR28&lt;&gt;"."),up_dir!U28/((1/1000)*(up_Irr!BR28)),IF(AND(up_Irr!T28=".",up_Irr!AS28&lt;&gt;".",up_Irr!BR28="."),up_dir!U28/((1/1000)*(up_Irr!AS28)),IF(AND(up_Irr!T28&lt;&gt;".",up_Irr!AS28=".",up_Irr!BR28="."),up_dir!U28/((1/1000)*(up_Irr!T28)),IF(AND(up_Irr!T28=".",up_Irr!AS28=".",up_Irr!BR28="."),up_dir!U28*1000)))))))),".")</f>
        <v>6.5773651144152123E-11</v>
      </c>
      <c r="V28" s="76">
        <f>IFERROR(IF(AND(up_Irr!U28&lt;&gt;".",up_Irr!AT28&lt;&gt;".",up_Irr!BS28&lt;&gt;"."),up_dir!V28/((1/1000)*(up_Irr!U28+up_Irr!AT28+up_Irr!BS28)),IF(AND(up_Irr!U28&lt;&gt;".",up_Irr!AT28&lt;&gt;".",up_Irr!BS28="."),up_dir!V28/((1/1000)*(up_Irr!U28+up_Irr!AT28)),IF(AND(up_Irr!U28&lt;&gt;".",up_Irr!AT28=".",up_Irr!BS28&lt;&gt;"."),up_dir!V28/((1/1000)*(up_Irr!U28+up_Irr!BS28)),IF(AND(up_Irr!U28=".",up_Irr!AT28&lt;&gt;".",up_Irr!BS28&lt;&gt;"."),up_dir!V28/((1/1000)*(up_Irr!AT28+up_Irr!BS28)),IF(AND(up_Irr!U28=".",up_Irr!AT28=".",up_Irr!BS28&lt;&gt;"."),up_dir!V28/((1/1000)*(up_Irr!BS28)),IF(AND(up_Irr!U28=".",up_Irr!AT28&lt;&gt;".",up_Irr!BS28="."),up_dir!V28/((1/1000)*(up_Irr!AT28)),IF(AND(up_Irr!U28&lt;&gt;".",up_Irr!AT28=".",up_Irr!BS28="."),up_dir!V28/((1/1000)*(up_Irr!U28)),IF(AND(up_Irr!U28=".",up_Irr!AT28=".",up_Irr!BS28="."),up_dir!V28*1000)))))))),".")</f>
        <v>6.5773651144152123E-11</v>
      </c>
      <c r="W28" s="76">
        <f>IFERROR(IF(AND(up_Irr!V28&lt;&gt;".",up_Irr!AU28&lt;&gt;".",up_Irr!BT28&lt;&gt;"."),up_dir!W28/((1/1000)*(up_Irr!V28+up_Irr!AU28+up_Irr!BT28)),IF(AND(up_Irr!V28&lt;&gt;".",up_Irr!AU28&lt;&gt;".",up_Irr!BT28="."),up_dir!W28/((1/1000)*(up_Irr!V28+up_Irr!AU28)),IF(AND(up_Irr!V28&lt;&gt;".",up_Irr!AU28=".",up_Irr!BT28&lt;&gt;"."),up_dir!W28/((1/1000)*(up_Irr!V28+up_Irr!BT28)),IF(AND(up_Irr!V28=".",up_Irr!AU28&lt;&gt;".",up_Irr!BT28&lt;&gt;"."),up_dir!W28/((1/1000)*(up_Irr!AU28+up_Irr!BT28)),IF(AND(up_Irr!V28=".",up_Irr!AU28=".",up_Irr!BT28&lt;&gt;"."),up_dir!W28/((1/1000)*(up_Irr!BT28)),IF(AND(up_Irr!V28=".",up_Irr!AU28&lt;&gt;".",up_Irr!BT28="."),up_dir!W28/((1/1000)*(up_Irr!AU28)),IF(AND(up_Irr!V28&lt;&gt;".",up_Irr!AU28=".",up_Irr!BT28="."),up_dir!W28/((1/1000)*(up_Irr!V28)),IF(AND(up_Irr!V28=".",up_Irr!AU28=".",up_Irr!BT28="."),up_dir!W28*1000)))))))),".")</f>
        <v>6.5773651144152123E-11</v>
      </c>
      <c r="X28" s="76">
        <f>IFERROR(IF(AND(up_Irr!W28&lt;&gt;".",up_Irr!AV28&lt;&gt;".",up_Irr!BU28&lt;&gt;"."),up_dir!X28/((1/1000)*(up_Irr!W28+up_Irr!AV28+up_Irr!BU28)),IF(AND(up_Irr!W28&lt;&gt;".",up_Irr!AV28&lt;&gt;".",up_Irr!BU28="."),up_dir!X28/((1/1000)*(up_Irr!W28+up_Irr!AV28)),IF(AND(up_Irr!W28&lt;&gt;".",up_Irr!AV28=".",up_Irr!BU28&lt;&gt;"."),up_dir!X28/((1/1000)*(up_Irr!W28+up_Irr!BU28)),IF(AND(up_Irr!W28=".",up_Irr!AV28&lt;&gt;".",up_Irr!BU28&lt;&gt;"."),up_dir!X28/((1/1000)*(up_Irr!AV28+up_Irr!BU28)),IF(AND(up_Irr!W28=".",up_Irr!AV28=".",up_Irr!BU28&lt;&gt;"."),up_dir!X28/((1/1000)*(up_Irr!BU28)),IF(AND(up_Irr!W28=".",up_Irr!AV28&lt;&gt;".",up_Irr!BU28="."),up_dir!X28/((1/1000)*(up_Irr!AV28)),IF(AND(up_Irr!W28&lt;&gt;".",up_Irr!AV28=".",up_Irr!BU28="."),up_dir!X28/((1/1000)*(up_Irr!W28)),IF(AND(up_Irr!W28=".",up_Irr!AV28=".",up_Irr!BU28="."),up_dir!X28*1000)))))))),".")</f>
        <v>6.5773651144152123E-11</v>
      </c>
      <c r="Y28" s="76">
        <f>IFERROR(IF(AND(up_Irr!X28&lt;&gt;".",up_Irr!AW28&lt;&gt;".",up_Irr!BV28&lt;&gt;"."),up_dir!Y28/((1/1000)*(up_Irr!X28+up_Irr!AW28+up_Irr!BV28)),IF(AND(up_Irr!X28&lt;&gt;".",up_Irr!AW28&lt;&gt;".",up_Irr!BV28="."),up_dir!Y28/((1/1000)*(up_Irr!X28+up_Irr!AW28)),IF(AND(up_Irr!X28&lt;&gt;".",up_Irr!AW28=".",up_Irr!BV28&lt;&gt;"."),up_dir!Y28/((1/1000)*(up_Irr!X28+up_Irr!BV28)),IF(AND(up_Irr!X28=".",up_Irr!AW28&lt;&gt;".",up_Irr!BV28&lt;&gt;"."),up_dir!Y28/((1/1000)*(up_Irr!AW28+up_Irr!BV28)),IF(AND(up_Irr!X28=".",up_Irr!AW28=".",up_Irr!BV28&lt;&gt;"."),up_dir!Y28/((1/1000)*(up_Irr!BV28)),IF(AND(up_Irr!X28=".",up_Irr!AW28&lt;&gt;".",up_Irr!BV28="."),up_dir!Y28/((1/1000)*(up_Irr!AW28)),IF(AND(up_Irr!X28&lt;&gt;".",up_Irr!AW28=".",up_Irr!BV28="."),up_dir!Y28/((1/1000)*(up_Irr!X28)),IF(AND(up_Irr!X28=".",up_Irr!AW28=".",up_Irr!BV28="."),up_dir!Y28*1000)))))))),".")</f>
        <v>6.5773651144152123E-11</v>
      </c>
      <c r="Z28" s="76">
        <f>IFERROR(IF(AND(up_Irr!Y28&lt;&gt;".",up_Irr!AX28&lt;&gt;".",up_Irr!BW28&lt;&gt;"."),up_dir!Z28/((1/1000)*(up_Irr!Y28+up_Irr!AX28+up_Irr!BW28)),IF(AND(up_Irr!Y28&lt;&gt;".",up_Irr!AX28&lt;&gt;".",up_Irr!BW28="."),up_dir!Z28/((1/1000)*(up_Irr!Y28+up_Irr!AX28)),IF(AND(up_Irr!Y28&lt;&gt;".",up_Irr!AX28=".",up_Irr!BW28&lt;&gt;"."),up_dir!Z28/((1/1000)*(up_Irr!Y28+up_Irr!BW28)),IF(AND(up_Irr!Y28=".",up_Irr!AX28&lt;&gt;".",up_Irr!BW28&lt;&gt;"."),up_dir!Z28/((1/1000)*(up_Irr!AX28+up_Irr!BW28)),IF(AND(up_Irr!Y28=".",up_Irr!AX28=".",up_Irr!BW28&lt;&gt;"."),up_dir!Z28/((1/1000)*(up_Irr!BW28)),IF(AND(up_Irr!Y28=".",up_Irr!AX28&lt;&gt;".",up_Irr!BW28="."),up_dir!Z28/((1/1000)*(up_Irr!AX28)),IF(AND(up_Irr!Y28&lt;&gt;".",up_Irr!AX28=".",up_Irr!BW28="."),up_dir!Z28/((1/1000)*(up_Irr!Y28)),IF(AND(up_Irr!Y28=".",up_Irr!AX28=".",up_Irr!BW28="."),up_dir!Z28*1000)))))))),".")</f>
        <v>6.5773651144152123E-11</v>
      </c>
      <c r="AA28" s="76">
        <f>IFERROR(IF(AND(up_Irr!Z28&lt;&gt;".",up_Irr!AY28&lt;&gt;".",up_Irr!BX28&lt;&gt;"."),up_dir!AA28/((1/1000)*(up_Irr!Z28+up_Irr!AY28+up_Irr!BX28)),IF(AND(up_Irr!Z28&lt;&gt;".",up_Irr!AY28&lt;&gt;".",up_Irr!BX28="."),up_dir!AA28/((1/1000)*(up_Irr!Z28+up_Irr!AY28)),IF(AND(up_Irr!Z28&lt;&gt;".",up_Irr!AY28=".",up_Irr!BX28&lt;&gt;"."),up_dir!AA28/((1/1000)*(up_Irr!Z28+up_Irr!BX28)),IF(AND(up_Irr!Z28=".",up_Irr!AY28&lt;&gt;".",up_Irr!BX28&lt;&gt;"."),up_dir!AA28/((1/1000)*(up_Irr!AY28+up_Irr!BX28)),IF(AND(up_Irr!Z28=".",up_Irr!AY28=".",up_Irr!BX28&lt;&gt;"."),up_dir!AA28/((1/1000)*(up_Irr!BX28)),IF(AND(up_Irr!Z28=".",up_Irr!AY28&lt;&gt;".",up_Irr!BX28="."),up_dir!AA28/((1/1000)*(up_Irr!AY28)),IF(AND(up_Irr!Z28&lt;&gt;".",up_Irr!AY28=".",up_Irr!BX28="."),up_dir!AA28/((1/1000)*(up_Irr!Z28)),IF(AND(up_Irr!Z28=".",up_Irr!AY28=".",up_Irr!BX28="."),up_dir!AA28*1000)))))))),".")</f>
        <v>6.5773651144152123E-11</v>
      </c>
      <c r="AB28" s="76">
        <f>IFERROR(IF(AND(up_Irr!AA28&lt;&gt;".",up_Irr!AZ28&lt;&gt;".",up_Irr!BY28&lt;&gt;"."),up_dir!AB28/((1/1000)*(up_Irr!AA28+up_Irr!AZ28+up_Irr!BY28)),IF(AND(up_Irr!AA28&lt;&gt;".",up_Irr!AZ28&lt;&gt;".",up_Irr!BY28="."),up_dir!AB28/((1/1000)*(up_Irr!AA28+up_Irr!AZ28)),IF(AND(up_Irr!AA28&lt;&gt;".",up_Irr!AZ28=".",up_Irr!BY28&lt;&gt;"."),up_dir!AB28/((1/1000)*(up_Irr!AA28+up_Irr!BY28)),IF(AND(up_Irr!AA28=".",up_Irr!AZ28&lt;&gt;".",up_Irr!BY28&lt;&gt;"."),up_dir!AB28/((1/1000)*(up_Irr!AZ28+up_Irr!BY28)),IF(AND(up_Irr!AA28=".",up_Irr!AZ28=".",up_Irr!BY28&lt;&gt;"."),up_dir!AB28/((1/1000)*(up_Irr!BY28)),IF(AND(up_Irr!AA28=".",up_Irr!AZ28&lt;&gt;".",up_Irr!BY28="."),up_dir!AB28/((1/1000)*(up_Irr!AZ28)),IF(AND(up_Irr!AA28&lt;&gt;".",up_Irr!AZ28=".",up_Irr!BY28="."),up_dir!AB28/((1/1000)*(up_Irr!AA28)),IF(AND(up_Irr!AA28=".",up_Irr!AZ28=".",up_Irr!BY28="."),up_dir!AB28*1000)))))))),".")</f>
        <v>6.5773651144152123E-11</v>
      </c>
      <c r="AC28" s="93">
        <f t="shared" si="1"/>
        <v>608146.26076229871</v>
      </c>
      <c r="AD28" s="93">
        <f>IFERROR(s_C*s_IFAP_res_adj*s_CF_apple*0.001*(up_Irr!C28+up_Irr!AB28+up_Irr!BA28),".")</f>
        <v>152036.56519057468</v>
      </c>
      <c r="AE28" s="93">
        <f>IFERROR(s_C*s_IFAS_res_adj*s_CF_asparagus*0.001*(up_Irr!D28+up_Irr!AC28+up_Irr!BB28),".")</f>
        <v>152036.56519057468</v>
      </c>
      <c r="AF28" s="93">
        <f>IFERROR(s_C*s_IFBT_res_adj*s_CF_beet*0.001*(up_Irr!E28+up_Irr!AD28+up_Irr!BC28),".")</f>
        <v>152036.56519057468</v>
      </c>
      <c r="AG28" s="93">
        <f>IFERROR(s_C*s_IFBE_res_adj*s_CF_berries*0.001*(up_Irr!F28+up_Irr!AE28+up_Irr!BD28),".")</f>
        <v>152036.56519057468</v>
      </c>
      <c r="AH28" s="93">
        <f>IFERROR(s_C*s_IFBR_res_adj*s_CF_broccoli*0.001*(up_Irr!G28+up_Irr!AF28+up_Irr!BE28),".")</f>
        <v>152036.56519057468</v>
      </c>
      <c r="AI28" s="93">
        <f>IFERROR(s_C*s_IFCB_res_adj*s_CF_cabbage*0.001*(up_Irr!H28+up_Irr!AG28+up_Irr!BF28),".")</f>
        <v>152036.56519057468</v>
      </c>
      <c r="AJ28" s="93">
        <f>IFERROR(s_C*s_IFCR_res_adj*s_CF_carrot*0.001*(up_Irr!I28+up_Irr!AH28+up_Irr!BG28),".")</f>
        <v>152036.56519057468</v>
      </c>
      <c r="AK28" s="93">
        <f>IFERROR(s_C*s_IFCI_res_adj*s_CF_citrus*0.001*(up_Irr!J28+up_Irr!AI28+up_Irr!BH28),".")</f>
        <v>152036.56519057468</v>
      </c>
      <c r="AL28" s="93">
        <f>IFERROR(s_C*s_IFCO_res_adj*s_CF_corn*0.001*(up_Irr!K28+up_Irr!AJ28+up_Irr!BI28),".")</f>
        <v>152036.56519057468</v>
      </c>
      <c r="AM28" s="93">
        <f>IFERROR(s_C*s_IFCU_res_adj*s_CF_cucumber*0.001*(up_Irr!L28+up_Irr!AK28+up_Irr!BJ28),".")</f>
        <v>152036.56519057468</v>
      </c>
      <c r="AN28" s="93">
        <f>IFERROR(s_C*s_IFLE_res_adj*s_CF_lettuce*0.001*(up_Irr!M28+up_Irr!AL28+up_Irr!BK28),".")</f>
        <v>152036.56519057468</v>
      </c>
      <c r="AO28" s="93">
        <f>IFERROR(s_C*s_IFLI_res_adj*s_CF_lima_bean*0.001*(up_Irr!N28+up_Irr!AM28+up_Irr!BL28),".")</f>
        <v>152036.56519057468</v>
      </c>
      <c r="AP28" s="93">
        <f>IFERROR(s_C*s_IFOK_res_adj*s_CF_okra*0.001*(up_Irr!O28+up_Irr!AN28+up_Irr!BM28),".")</f>
        <v>152036.56519057468</v>
      </c>
      <c r="AQ28" s="93">
        <f>IFERROR(s_C*s_IFON_res_adj*s_CF_onion*0.001*(up_Irr!P28+up_Irr!AO28+up_Irr!BN28),".")</f>
        <v>152036.56519057468</v>
      </c>
      <c r="AR28" s="93">
        <f>IFERROR(s_C*s_IFPC_res_adj*s_CF_peach*0.001*(up_Irr!Q28+up_Irr!AP28+up_Irr!BO28),".")</f>
        <v>152036.56519057468</v>
      </c>
      <c r="AS28" s="93">
        <f>IFERROR(s_C*s_IFPR_res_adj*s_CF_pear*0.001*(up_Irr!R28+up_Irr!AQ28+up_Irr!BP28),".")</f>
        <v>152036.56519057468</v>
      </c>
      <c r="AT28" s="93">
        <f>IFERROR(s_C*s_IFPE_res_adj*s_CF_peas*0.001*(up_Irr!S28+up_Irr!AR28+up_Irr!BQ28),".")</f>
        <v>152036.56519057468</v>
      </c>
      <c r="AU28" s="93">
        <f>IFERROR(s_C*s_IFPP_res_adj*s_CF_peppers*0.001*(up_Irr!T28+up_Irr!AS28+up_Irr!BR28),".")</f>
        <v>152036.56519057468</v>
      </c>
      <c r="AV28" s="93">
        <f>IFERROR(s_C*s_IFPT_res_adj*s_CF_potato*0.001*(up_Irr!U28+up_Irr!AT28+up_Irr!BS28),".")</f>
        <v>152036.56519057468</v>
      </c>
      <c r="AW28" s="93">
        <f>IFERROR(s_C*s_IFPU_res_adj*s_CF_pumpkin*0.001*(up_Irr!V28+up_Irr!AU28+up_Irr!BT28),".")</f>
        <v>152036.56519057468</v>
      </c>
      <c r="AX28" s="93">
        <f>IFERROR(s_C*s_IFSN_res_adj*s_CF_snap_bean*0.001*(up_Irr!W28+up_Irr!AV28+up_Irr!BU28),".")</f>
        <v>152036.56519057468</v>
      </c>
      <c r="AY28" s="93">
        <f>IFERROR(s_C*s_IFST_res_adj*s_CF_strawberry*0.001*(up_Irr!X28+up_Irr!AW28+up_Irr!BV28),".")</f>
        <v>152036.56519057468</v>
      </c>
      <c r="AZ28" s="93">
        <f>IFERROR(s_C*s_IFTO_res_adj*s_CF_tomato*0.001*(up_Irr!Y28+up_Irr!AX28+up_Irr!BW28),".")</f>
        <v>152036.56519057468</v>
      </c>
      <c r="BA28" s="93">
        <f>IFERROR(s_C*s_IFRI_res_adj*s_CF_rice*0.001*(up_Irr!Z28+up_Irr!AY28+up_Irr!BX28),".")</f>
        <v>152036.56519057468</v>
      </c>
      <c r="BB28" s="93">
        <f>IFERROR(s_C*s_IFCG_res_adj*s_CF_cereal*0.001*(up_Irr!AA28+up_Irr!AZ28+up_Irr!BY28),".")</f>
        <v>152036.56519057468</v>
      </c>
      <c r="BC28" s="76">
        <f t="shared" si="2"/>
        <v>1.6443412786038031E-11</v>
      </c>
      <c r="BD28" s="76">
        <f>IFERROR(IF(AND(up_Irr!C28&lt;&gt;".",up_Irr!AB28&lt;&gt;".",up_Irr!BA28&lt;&gt;"."),up_dir!AD28/((1/1000)*(up_Irr!C28+up_Irr!AB28+up_Irr!BA28)),IF(AND(up_Irr!C28&lt;&gt;".",up_Irr!AB28&lt;&gt;".",up_Irr!BA28="."),up_dir!AD28/((1/1000)*(up_Irr!C28+up_Irr!AB28)),IF(AND(up_Irr!C28&lt;&gt;".",up_Irr!AB28=".",up_Irr!BA28&lt;&gt;"."),up_dir!AD28/((1/1000)*(up_Irr!C28+up_Irr!BA28)),IF(AND(up_Irr!C28=".",up_Irr!AB28&lt;&gt;".",up_Irr!BA28&lt;&gt;"."),up_dir!AD28/((1/1000)*(up_Irr!AB28+up_Irr!BA28)),IF(AND(up_Irr!C28=".",up_Irr!AB28=".",up_Irr!BA28&lt;&gt;"."),up_dir!AD28/((1/1000)*(up_Irr!BA28)),IF(AND(up_Irr!C28=".",up_Irr!AB28&lt;&gt;".",up_Irr!BA28="."),up_dir!AD28/((1/1000)*(up_Irr!AB28)),IF(AND(up_Irr!C28&lt;&gt;".",up_Irr!AB28=".",up_Irr!BA28="."),up_dir!AD28/((1/1000)*(up_Irr!C28)),IF(AND(up_Irr!C28=".",up_Irr!AB28=".",up_Irr!BA28="."),up_dir!AD28*1000)))))))),".")</f>
        <v>6.5773651144152123E-11</v>
      </c>
      <c r="BE28" s="76">
        <f>IFERROR(IF(AND(up_Irr!D28&lt;&gt;".",up_Irr!AC28&lt;&gt;".",up_Irr!BB28&lt;&gt;"."),up_dir!AE28/((1/1000)*(up_Irr!D28+up_Irr!AC28+up_Irr!BB28)),IF(AND(up_Irr!D28&lt;&gt;".",up_Irr!AC28&lt;&gt;".",up_Irr!BB28="."),up_dir!AE28/((1/1000)*(up_Irr!D28+up_Irr!AC28)),IF(AND(up_Irr!D28&lt;&gt;".",up_Irr!AC28=".",up_Irr!BB28&lt;&gt;"."),up_dir!AE28/((1/1000)*(up_Irr!D28+up_Irr!BB28)),IF(AND(up_Irr!D28=".",up_Irr!AC28&lt;&gt;".",up_Irr!BB28&lt;&gt;"."),up_dir!AE28/((1/1000)*(up_Irr!AC28+up_Irr!BB28)),IF(AND(up_Irr!D28=".",up_Irr!AC28=".",up_Irr!BB28&lt;&gt;"."),up_dir!AE28/((1/1000)*(up_Irr!BB28)),IF(AND(up_Irr!D28=".",up_Irr!AC28&lt;&gt;".",up_Irr!BB28="."),up_dir!AE28/((1/1000)*(up_Irr!AC28)),IF(AND(up_Irr!D28&lt;&gt;".",up_Irr!AC28=".",up_Irr!BB28="."),up_dir!AE28/((1/1000)*(up_Irr!D28)),IF(AND(up_Irr!D28=".",up_Irr!AC28=".",up_Irr!BB28="."),up_dir!AE28*1000)))))))),".")</f>
        <v>6.5773651144152123E-11</v>
      </c>
      <c r="BF28" s="76">
        <f>IFERROR(IF(AND(up_Irr!E28&lt;&gt;".",up_Irr!AD28&lt;&gt;".",up_Irr!BC28&lt;&gt;"."),up_dir!AF28/((1/1000)*(up_Irr!E28+up_Irr!AD28+up_Irr!BC28)),IF(AND(up_Irr!E28&lt;&gt;".",up_Irr!AD28&lt;&gt;".",up_Irr!BC28="."),up_dir!AF28/((1/1000)*(up_Irr!E28+up_Irr!AD28)),IF(AND(up_Irr!E28&lt;&gt;".",up_Irr!AD28=".",up_Irr!BC28&lt;&gt;"."),up_dir!AF28/((1/1000)*(up_Irr!E28+up_Irr!BC28)),IF(AND(up_Irr!E28=".",up_Irr!AD28&lt;&gt;".",up_Irr!BC28&lt;&gt;"."),up_dir!AF28/((1/1000)*(up_Irr!AD28+up_Irr!BC28)),IF(AND(up_Irr!E28=".",up_Irr!AD28=".",up_Irr!BC28&lt;&gt;"."),up_dir!AF28/((1/1000)*(up_Irr!BC28)),IF(AND(up_Irr!E28=".",up_Irr!AD28&lt;&gt;".",up_Irr!BC28="."),up_dir!AF28/((1/1000)*(up_Irr!AD28)),IF(AND(up_Irr!E28&lt;&gt;".",up_Irr!AD28=".",up_Irr!BC28="."),up_dir!AF28/((1/1000)*(up_Irr!E28)),IF(AND(up_Irr!E28=".",up_Irr!AD28=".",up_Irr!BC28="."),up_dir!AF28*1000)))))))),".")</f>
        <v>6.5773651144152123E-11</v>
      </c>
      <c r="BG28" s="76">
        <f>IFERROR(IF(AND(up_Irr!F28&lt;&gt;".",up_Irr!AE28&lt;&gt;".",up_Irr!BD28&lt;&gt;"."),up_dir!AG28/((1/1000)*(up_Irr!F28+up_Irr!AE28+up_Irr!BD28)),IF(AND(up_Irr!F28&lt;&gt;".",up_Irr!AE28&lt;&gt;".",up_Irr!BD28="."),up_dir!AG28/((1/1000)*(up_Irr!F28+up_Irr!AE28)),IF(AND(up_Irr!F28&lt;&gt;".",up_Irr!AE28=".",up_Irr!BD28&lt;&gt;"."),up_dir!AG28/((1/1000)*(up_Irr!F28+up_Irr!BD28)),IF(AND(up_Irr!F28=".",up_Irr!AE28&lt;&gt;".",up_Irr!BD28&lt;&gt;"."),up_dir!AG28/((1/1000)*(up_Irr!AE28+up_Irr!BD28)),IF(AND(up_Irr!F28=".",up_Irr!AE28=".",up_Irr!BD28&lt;&gt;"."),up_dir!AG28/((1/1000)*(up_Irr!BD28)),IF(AND(up_Irr!F28=".",up_Irr!AE28&lt;&gt;".",up_Irr!BD28="."),up_dir!AG28/((1/1000)*(up_Irr!AE28)),IF(AND(up_Irr!F28&lt;&gt;".",up_Irr!AE28=".",up_Irr!BD28="."),up_dir!AG28/((1/1000)*(up_Irr!F28)),IF(AND(up_Irr!F28=".",up_Irr!AE28=".",up_Irr!BD28="."),up_dir!AG28*1000)))))))),".")</f>
        <v>6.5773651144152123E-11</v>
      </c>
      <c r="BH28" s="76">
        <f>IFERROR(IF(AND(up_Irr!G28&lt;&gt;".",up_Irr!AF28&lt;&gt;".",up_Irr!BE28&lt;&gt;"."),up_dir!AH28/((1/1000)*(up_Irr!G28+up_Irr!AF28+up_Irr!BE28)),IF(AND(up_Irr!G28&lt;&gt;".",up_Irr!AF28&lt;&gt;".",up_Irr!BE28="."),up_dir!AH28/((1/1000)*(up_Irr!G28+up_Irr!AF28)),IF(AND(up_Irr!G28&lt;&gt;".",up_Irr!AF28=".",up_Irr!BE28&lt;&gt;"."),up_dir!AH28/((1/1000)*(up_Irr!G28+up_Irr!BE28)),IF(AND(up_Irr!G28=".",up_Irr!AF28&lt;&gt;".",up_Irr!BE28&lt;&gt;"."),up_dir!AH28/((1/1000)*(up_Irr!AF28+up_Irr!BE28)),IF(AND(up_Irr!G28=".",up_Irr!AF28=".",up_Irr!BE28&lt;&gt;"."),up_dir!AH28/((1/1000)*(up_Irr!BE28)),IF(AND(up_Irr!G28=".",up_Irr!AF28&lt;&gt;".",up_Irr!BE28="."),up_dir!AH28/((1/1000)*(up_Irr!AF28)),IF(AND(up_Irr!G28&lt;&gt;".",up_Irr!AF28=".",up_Irr!BE28="."),up_dir!AH28/((1/1000)*(up_Irr!G28)),IF(AND(up_Irr!G28=".",up_Irr!AF28=".",up_Irr!BE28="."),up_dir!AH28*1000)))))))),".")</f>
        <v>6.5773651144152123E-11</v>
      </c>
      <c r="BI28" s="76">
        <f>IFERROR(IF(AND(up_Irr!H28&lt;&gt;".",up_Irr!AG28&lt;&gt;".",up_Irr!BF28&lt;&gt;"."),up_dir!AI28/((1/1000)*(up_Irr!H28+up_Irr!AG28+up_Irr!BF28)),IF(AND(up_Irr!H28&lt;&gt;".",up_Irr!AG28&lt;&gt;".",up_Irr!BF28="."),up_dir!AI28/((1/1000)*(up_Irr!H28+up_Irr!AG28)),IF(AND(up_Irr!H28&lt;&gt;".",up_Irr!AG28=".",up_Irr!BF28&lt;&gt;"."),up_dir!AI28/((1/1000)*(up_Irr!H28+up_Irr!BF28)),IF(AND(up_Irr!H28=".",up_Irr!AG28&lt;&gt;".",up_Irr!BF28&lt;&gt;"."),up_dir!AI28/((1/1000)*(up_Irr!AG28+up_Irr!BF28)),IF(AND(up_Irr!H28=".",up_Irr!AG28=".",up_Irr!BF28&lt;&gt;"."),up_dir!AI28/((1/1000)*(up_Irr!BF28)),IF(AND(up_Irr!H28=".",up_Irr!AG28&lt;&gt;".",up_Irr!BF28="."),up_dir!AI28/((1/1000)*(up_Irr!AG28)),IF(AND(up_Irr!H28&lt;&gt;".",up_Irr!AG28=".",up_Irr!BF28="."),up_dir!AI28/((1/1000)*(up_Irr!H28)),IF(AND(up_Irr!H28=".",up_Irr!AG28=".",up_Irr!BF28="."),up_dir!AI28*1000)))))))),".")</f>
        <v>6.5773651144152123E-11</v>
      </c>
      <c r="BJ28" s="76">
        <f>IFERROR(IF(AND(up_Irr!I28&lt;&gt;".",up_Irr!AH28&lt;&gt;".",up_Irr!BG28&lt;&gt;"."),up_dir!AJ28/((1/1000)*(up_Irr!I28+up_Irr!AH28+up_Irr!BG28)),IF(AND(up_Irr!I28&lt;&gt;".",up_Irr!AH28&lt;&gt;".",up_Irr!BG28="."),up_dir!AJ28/((1/1000)*(up_Irr!I28+up_Irr!AH28)),IF(AND(up_Irr!I28&lt;&gt;".",up_Irr!AH28=".",up_Irr!BG28&lt;&gt;"."),up_dir!AJ28/((1/1000)*(up_Irr!I28+up_Irr!BG28)),IF(AND(up_Irr!I28=".",up_Irr!AH28&lt;&gt;".",up_Irr!BG28&lt;&gt;"."),up_dir!AJ28/((1/1000)*(up_Irr!AH28+up_Irr!BG28)),IF(AND(up_Irr!I28=".",up_Irr!AH28=".",up_Irr!BG28&lt;&gt;"."),up_dir!AJ28/((1/1000)*(up_Irr!BG28)),IF(AND(up_Irr!I28=".",up_Irr!AH28&lt;&gt;".",up_Irr!BG28="."),up_dir!AJ28/((1/1000)*(up_Irr!AH28)),IF(AND(up_Irr!I28&lt;&gt;".",up_Irr!AH28=".",up_Irr!BG28="."),up_dir!AJ28/((1/1000)*(up_Irr!I28)),IF(AND(up_Irr!I28=".",up_Irr!AH28=".",up_Irr!BG28="."),up_dir!AJ28*1000)))))))),".")</f>
        <v>6.5773651144152123E-11</v>
      </c>
      <c r="BK28" s="76">
        <f>IFERROR(IF(AND(up_Irr!J28&lt;&gt;".",up_Irr!AI28&lt;&gt;".",up_Irr!BH28&lt;&gt;"."),up_dir!AK28/((1/1000)*(up_Irr!J28+up_Irr!AI28+up_Irr!BH28)),IF(AND(up_Irr!J28&lt;&gt;".",up_Irr!AI28&lt;&gt;".",up_Irr!BH28="."),up_dir!AK28/((1/1000)*(up_Irr!J28+up_Irr!AI28)),IF(AND(up_Irr!J28&lt;&gt;".",up_Irr!AI28=".",up_Irr!BH28&lt;&gt;"."),up_dir!AK28/((1/1000)*(up_Irr!J28+up_Irr!BH28)),IF(AND(up_Irr!J28=".",up_Irr!AI28&lt;&gt;".",up_Irr!BH28&lt;&gt;"."),up_dir!AK28/((1/1000)*(up_Irr!AI28+up_Irr!BH28)),IF(AND(up_Irr!J28=".",up_Irr!AI28=".",up_Irr!BH28&lt;&gt;"."),up_dir!AK28/((1/1000)*(up_Irr!BH28)),IF(AND(up_Irr!J28=".",up_Irr!AI28&lt;&gt;".",up_Irr!BH28="."),up_dir!AK28/((1/1000)*(up_Irr!AI28)),IF(AND(up_Irr!J28&lt;&gt;".",up_Irr!AI28=".",up_Irr!BH28="."),up_dir!AK28/((1/1000)*(up_Irr!J28)),IF(AND(up_Irr!J28=".",up_Irr!AI28=".",up_Irr!BH28="."),up_dir!AK28*1000)))))))),".")</f>
        <v>6.5773651144152123E-11</v>
      </c>
      <c r="BL28" s="76">
        <f>IFERROR(IF(AND(up_Irr!K28&lt;&gt;".",up_Irr!AJ28&lt;&gt;".",up_Irr!BI28&lt;&gt;"."),up_dir!AL28/((1/1000)*(up_Irr!K28+up_Irr!AJ28+up_Irr!BI28)),IF(AND(up_Irr!K28&lt;&gt;".",up_Irr!AJ28&lt;&gt;".",up_Irr!BI28="."),up_dir!AL28/((1/1000)*(up_Irr!K28+up_Irr!AJ28)),IF(AND(up_Irr!K28&lt;&gt;".",up_Irr!AJ28=".",up_Irr!BI28&lt;&gt;"."),up_dir!AL28/((1/1000)*(up_Irr!K28+up_Irr!BI28)),IF(AND(up_Irr!K28=".",up_Irr!AJ28&lt;&gt;".",up_Irr!BI28&lt;&gt;"."),up_dir!AL28/((1/1000)*(up_Irr!AJ28+up_Irr!BI28)),IF(AND(up_Irr!K28=".",up_Irr!AJ28=".",up_Irr!BI28&lt;&gt;"."),up_dir!AL28/((1/1000)*(up_Irr!BI28)),IF(AND(up_Irr!K28=".",up_Irr!AJ28&lt;&gt;".",up_Irr!BI28="."),up_dir!AL28/((1/1000)*(up_Irr!AJ28)),IF(AND(up_Irr!K28&lt;&gt;".",up_Irr!AJ28=".",up_Irr!BI28="."),up_dir!AL28/((1/1000)*(up_Irr!K28)),IF(AND(up_Irr!K28=".",up_Irr!AJ28=".",up_Irr!BI28="."),up_dir!AL28*1000)))))))),".")</f>
        <v>6.5773651144152123E-11</v>
      </c>
      <c r="BM28" s="76">
        <f>IFERROR(IF(AND(up_Irr!L28&lt;&gt;".",up_Irr!AK28&lt;&gt;".",up_Irr!BJ28&lt;&gt;"."),up_dir!AM28/((1/1000)*(up_Irr!L28+up_Irr!AK28+up_Irr!BJ28)),IF(AND(up_Irr!L28&lt;&gt;".",up_Irr!AK28&lt;&gt;".",up_Irr!BJ28="."),up_dir!AM28/((1/1000)*(up_Irr!L28+up_Irr!AK28)),IF(AND(up_Irr!L28&lt;&gt;".",up_Irr!AK28=".",up_Irr!BJ28&lt;&gt;"."),up_dir!AM28/((1/1000)*(up_Irr!L28+up_Irr!BJ28)),IF(AND(up_Irr!L28=".",up_Irr!AK28&lt;&gt;".",up_Irr!BJ28&lt;&gt;"."),up_dir!AM28/((1/1000)*(up_Irr!AK28+up_Irr!BJ28)),IF(AND(up_Irr!L28=".",up_Irr!AK28=".",up_Irr!BJ28&lt;&gt;"."),up_dir!AM28/((1/1000)*(up_Irr!BJ28)),IF(AND(up_Irr!L28=".",up_Irr!AK28&lt;&gt;".",up_Irr!BJ28="."),up_dir!AM28/((1/1000)*(up_Irr!AK28)),IF(AND(up_Irr!L28&lt;&gt;".",up_Irr!AK28=".",up_Irr!BJ28="."),up_dir!AM28/((1/1000)*(up_Irr!L28)),IF(AND(up_Irr!L28=".",up_Irr!AK28=".",up_Irr!BJ28="."),up_dir!AM28*1000)))))))),".")</f>
        <v>6.5773651144152123E-11</v>
      </c>
      <c r="BN28" s="76">
        <f>IFERROR(IF(AND(up_Irr!M28&lt;&gt;".",up_Irr!AL28&lt;&gt;".",up_Irr!BK28&lt;&gt;"."),up_dir!AN28/((1/1000)*(up_Irr!M28+up_Irr!AL28+up_Irr!BK28)),IF(AND(up_Irr!M28&lt;&gt;".",up_Irr!AL28&lt;&gt;".",up_Irr!BK28="."),up_dir!AN28/((1/1000)*(up_Irr!M28+up_Irr!AL28)),IF(AND(up_Irr!M28&lt;&gt;".",up_Irr!AL28=".",up_Irr!BK28&lt;&gt;"."),up_dir!AN28/((1/1000)*(up_Irr!M28+up_Irr!BK28)),IF(AND(up_Irr!M28=".",up_Irr!AL28&lt;&gt;".",up_Irr!BK28&lt;&gt;"."),up_dir!AN28/((1/1000)*(up_Irr!AL28+up_Irr!BK28)),IF(AND(up_Irr!M28=".",up_Irr!AL28=".",up_Irr!BK28&lt;&gt;"."),up_dir!AN28/((1/1000)*(up_Irr!BK28)),IF(AND(up_Irr!M28=".",up_Irr!AL28&lt;&gt;".",up_Irr!BK28="."),up_dir!AN28/((1/1000)*(up_Irr!AL28)),IF(AND(up_Irr!M28&lt;&gt;".",up_Irr!AL28=".",up_Irr!BK28="."),up_dir!AN28/((1/1000)*(up_Irr!M28)),IF(AND(up_Irr!M28=".",up_Irr!AL28=".",up_Irr!BK28="."),up_dir!AN28*1000)))))))),".")</f>
        <v>6.5773651144152123E-11</v>
      </c>
      <c r="BO28" s="76">
        <f>IFERROR(IF(AND(up_Irr!N28&lt;&gt;".",up_Irr!AM28&lt;&gt;".",up_Irr!BL28&lt;&gt;"."),up_dir!AO28/((1/1000)*(up_Irr!N28+up_Irr!AM28+up_Irr!BL28)),IF(AND(up_Irr!N28&lt;&gt;".",up_Irr!AM28&lt;&gt;".",up_Irr!BL28="."),up_dir!AO28/((1/1000)*(up_Irr!N28+up_Irr!AM28)),IF(AND(up_Irr!N28&lt;&gt;".",up_Irr!AM28=".",up_Irr!BL28&lt;&gt;"."),up_dir!AO28/((1/1000)*(up_Irr!N28+up_Irr!BL28)),IF(AND(up_Irr!N28=".",up_Irr!AM28&lt;&gt;".",up_Irr!BL28&lt;&gt;"."),up_dir!AO28/((1/1000)*(up_Irr!AM28+up_Irr!BL28)),IF(AND(up_Irr!N28=".",up_Irr!AM28=".",up_Irr!BL28&lt;&gt;"."),up_dir!AO28/((1/1000)*(up_Irr!BL28)),IF(AND(up_Irr!N28=".",up_Irr!AM28&lt;&gt;".",up_Irr!BL28="."),up_dir!AO28/((1/1000)*(up_Irr!AM28)),IF(AND(up_Irr!N28&lt;&gt;".",up_Irr!AM28=".",up_Irr!BL28="."),up_dir!AO28/((1/1000)*(up_Irr!N28)),IF(AND(up_Irr!N28=".",up_Irr!AM28=".",up_Irr!BL28="."),up_dir!AO28*1000)))))))),".")</f>
        <v>6.5773651144152123E-11</v>
      </c>
      <c r="BP28" s="76">
        <f>IFERROR(IF(AND(up_Irr!O28&lt;&gt;".",up_Irr!AN28&lt;&gt;".",up_Irr!BM28&lt;&gt;"."),up_dir!AP28/((1/1000)*(up_Irr!O28+up_Irr!AN28+up_Irr!BM28)),IF(AND(up_Irr!O28&lt;&gt;".",up_Irr!AN28&lt;&gt;".",up_Irr!BM28="."),up_dir!AP28/((1/1000)*(up_Irr!O28+up_Irr!AN28)),IF(AND(up_Irr!O28&lt;&gt;".",up_Irr!AN28=".",up_Irr!BM28&lt;&gt;"."),up_dir!AP28/((1/1000)*(up_Irr!O28+up_Irr!BM28)),IF(AND(up_Irr!O28=".",up_Irr!AN28&lt;&gt;".",up_Irr!BM28&lt;&gt;"."),up_dir!AP28/((1/1000)*(up_Irr!AN28+up_Irr!BM28)),IF(AND(up_Irr!O28=".",up_Irr!AN28=".",up_Irr!BM28&lt;&gt;"."),up_dir!AP28/((1/1000)*(up_Irr!BM28)),IF(AND(up_Irr!O28=".",up_Irr!AN28&lt;&gt;".",up_Irr!BM28="."),up_dir!AP28/((1/1000)*(up_Irr!AN28)),IF(AND(up_Irr!O28&lt;&gt;".",up_Irr!AN28=".",up_Irr!BM28="."),up_dir!AP28/((1/1000)*(up_Irr!O28)),IF(AND(up_Irr!O28=".",up_Irr!AN28=".",up_Irr!BM28="."),up_dir!AP28*1000)))))))),".")</f>
        <v>6.5773651144152123E-11</v>
      </c>
      <c r="BQ28" s="76">
        <f>IFERROR(IF(AND(up_Irr!P28&lt;&gt;".",up_Irr!AO28&lt;&gt;".",up_Irr!BN28&lt;&gt;"."),up_dir!AQ28/((1/1000)*(up_Irr!P28+up_Irr!AO28+up_Irr!BN28)),IF(AND(up_Irr!P28&lt;&gt;".",up_Irr!AO28&lt;&gt;".",up_Irr!BN28="."),up_dir!AQ28/((1/1000)*(up_Irr!P28+up_Irr!AO28)),IF(AND(up_Irr!P28&lt;&gt;".",up_Irr!AO28=".",up_Irr!BN28&lt;&gt;"."),up_dir!AQ28/((1/1000)*(up_Irr!P28+up_Irr!BN28)),IF(AND(up_Irr!P28=".",up_Irr!AO28&lt;&gt;".",up_Irr!BN28&lt;&gt;"."),up_dir!AQ28/((1/1000)*(up_Irr!AO28+up_Irr!BN28)),IF(AND(up_Irr!P28=".",up_Irr!AO28=".",up_Irr!BN28&lt;&gt;"."),up_dir!AQ28/((1/1000)*(up_Irr!BN28)),IF(AND(up_Irr!P28=".",up_Irr!AO28&lt;&gt;".",up_Irr!BN28="."),up_dir!AQ28/((1/1000)*(up_Irr!AO28)),IF(AND(up_Irr!P28&lt;&gt;".",up_Irr!AO28=".",up_Irr!BN28="."),up_dir!AQ28/((1/1000)*(up_Irr!P28)),IF(AND(up_Irr!P28=".",up_Irr!AO28=".",up_Irr!BN28="."),up_dir!AQ28*1000)))))))),".")</f>
        <v>6.5773651144152123E-11</v>
      </c>
      <c r="BR28" s="76">
        <f>IFERROR(IF(AND(up_Irr!Q28&lt;&gt;".",up_Irr!AP28&lt;&gt;".",up_Irr!BO28&lt;&gt;"."),up_dir!AR28/((1/1000)*(up_Irr!Q28+up_Irr!AP28+up_Irr!BO28)),IF(AND(up_Irr!Q28&lt;&gt;".",up_Irr!AP28&lt;&gt;".",up_Irr!BO28="."),up_dir!AR28/((1/1000)*(up_Irr!Q28+up_Irr!AP28)),IF(AND(up_Irr!Q28&lt;&gt;".",up_Irr!AP28=".",up_Irr!BO28&lt;&gt;"."),up_dir!AR28/((1/1000)*(up_Irr!Q28+up_Irr!BO28)),IF(AND(up_Irr!Q28=".",up_Irr!AP28&lt;&gt;".",up_Irr!BO28&lt;&gt;"."),up_dir!AR28/((1/1000)*(up_Irr!AP28+up_Irr!BO28)),IF(AND(up_Irr!Q28=".",up_Irr!AP28=".",up_Irr!BO28&lt;&gt;"."),up_dir!AR28/((1/1000)*(up_Irr!BO28)),IF(AND(up_Irr!Q28=".",up_Irr!AP28&lt;&gt;".",up_Irr!BO28="."),up_dir!AR28/((1/1000)*(up_Irr!AP28)),IF(AND(up_Irr!Q28&lt;&gt;".",up_Irr!AP28=".",up_Irr!BO28="."),up_dir!AR28/((1/1000)*(up_Irr!Q28)),IF(AND(up_Irr!Q28=".",up_Irr!AP28=".",up_Irr!BO28="."),up_dir!AR28*1000)))))))),".")</f>
        <v>6.5773651144152123E-11</v>
      </c>
      <c r="BS28" s="76">
        <f>IFERROR(IF(AND(up_Irr!R28&lt;&gt;".",up_Irr!AQ28&lt;&gt;".",up_Irr!BP28&lt;&gt;"."),up_dir!AS28/((1/1000)*(up_Irr!R28+up_Irr!AQ28+up_Irr!BP28)),IF(AND(up_Irr!R28&lt;&gt;".",up_Irr!AQ28&lt;&gt;".",up_Irr!BP28="."),up_dir!AS28/((1/1000)*(up_Irr!R28+up_Irr!AQ28)),IF(AND(up_Irr!R28&lt;&gt;".",up_Irr!AQ28=".",up_Irr!BP28&lt;&gt;"."),up_dir!AS28/((1/1000)*(up_Irr!R28+up_Irr!BP28)),IF(AND(up_Irr!R28=".",up_Irr!AQ28&lt;&gt;".",up_Irr!BP28&lt;&gt;"."),up_dir!AS28/((1/1000)*(up_Irr!AQ28+up_Irr!BP28)),IF(AND(up_Irr!R28=".",up_Irr!AQ28=".",up_Irr!BP28&lt;&gt;"."),up_dir!AS28/((1/1000)*(up_Irr!BP28)),IF(AND(up_Irr!R28=".",up_Irr!AQ28&lt;&gt;".",up_Irr!BP28="."),up_dir!AS28/((1/1000)*(up_Irr!AQ28)),IF(AND(up_Irr!R28&lt;&gt;".",up_Irr!AQ28=".",up_Irr!BP28="."),up_dir!AS28/((1/1000)*(up_Irr!R28)),IF(AND(up_Irr!R28=".",up_Irr!AQ28=".",up_Irr!BP28="."),up_dir!AS28*1000)))))))),".")</f>
        <v>6.5773651144152123E-11</v>
      </c>
      <c r="BT28" s="76">
        <f>IFERROR(IF(AND(up_Irr!S28&lt;&gt;".",up_Irr!AR28&lt;&gt;".",up_Irr!BQ28&lt;&gt;"."),up_dir!AT28/((1/1000)*(up_Irr!S28+up_Irr!AR28+up_Irr!BQ28)),IF(AND(up_Irr!S28&lt;&gt;".",up_Irr!AR28&lt;&gt;".",up_Irr!BQ28="."),up_dir!AT28/((1/1000)*(up_Irr!S28+up_Irr!AR28)),IF(AND(up_Irr!S28&lt;&gt;".",up_Irr!AR28=".",up_Irr!BQ28&lt;&gt;"."),up_dir!AT28/((1/1000)*(up_Irr!S28+up_Irr!BQ28)),IF(AND(up_Irr!S28=".",up_Irr!AR28&lt;&gt;".",up_Irr!BQ28&lt;&gt;"."),up_dir!AT28/((1/1000)*(up_Irr!AR28+up_Irr!BQ28)),IF(AND(up_Irr!S28=".",up_Irr!AR28=".",up_Irr!BQ28&lt;&gt;"."),up_dir!AT28/((1/1000)*(up_Irr!BQ28)),IF(AND(up_Irr!S28=".",up_Irr!AR28&lt;&gt;".",up_Irr!BQ28="."),up_dir!AT28/((1/1000)*(up_Irr!AR28)),IF(AND(up_Irr!S28&lt;&gt;".",up_Irr!AR28=".",up_Irr!BQ28="."),up_dir!AT28/((1/1000)*(up_Irr!S28)),IF(AND(up_Irr!S28=".",up_Irr!AR28=".",up_Irr!BQ28="."),up_dir!AT28*1000)))))))),".")</f>
        <v>6.5773651144152123E-11</v>
      </c>
      <c r="BU28" s="76">
        <f>IFERROR(IF(AND(up_Irr!T28&lt;&gt;".",up_Irr!AS28&lt;&gt;".",up_Irr!BR28&lt;&gt;"."),up_dir!AU28/((1/1000)*(up_Irr!T28+up_Irr!AS28+up_Irr!BR28)),IF(AND(up_Irr!T28&lt;&gt;".",up_Irr!AS28&lt;&gt;".",up_Irr!BR28="."),up_dir!AU28/((1/1000)*(up_Irr!T28+up_Irr!AS28)),IF(AND(up_Irr!T28&lt;&gt;".",up_Irr!AS28=".",up_Irr!BR28&lt;&gt;"."),up_dir!AU28/((1/1000)*(up_Irr!T28+up_Irr!BR28)),IF(AND(up_Irr!T28=".",up_Irr!AS28&lt;&gt;".",up_Irr!BR28&lt;&gt;"."),up_dir!AU28/((1/1000)*(up_Irr!AS28+up_Irr!BR28)),IF(AND(up_Irr!T28=".",up_Irr!AS28=".",up_Irr!BR28&lt;&gt;"."),up_dir!AU28/((1/1000)*(up_Irr!BR28)),IF(AND(up_Irr!T28=".",up_Irr!AS28&lt;&gt;".",up_Irr!BR28="."),up_dir!AU28/((1/1000)*(up_Irr!AS28)),IF(AND(up_Irr!T28&lt;&gt;".",up_Irr!AS28=".",up_Irr!BR28="."),up_dir!AU28/((1/1000)*(up_Irr!T28)),IF(AND(up_Irr!T28=".",up_Irr!AS28=".",up_Irr!BR28="."),up_dir!AU28*1000)))))))),".")</f>
        <v>6.5773651144152123E-11</v>
      </c>
      <c r="BV28" s="76">
        <f>IFERROR(IF(AND(up_Irr!U28&lt;&gt;".",up_Irr!AT28&lt;&gt;".",up_Irr!BS28&lt;&gt;"."),up_dir!AV28/((1/1000)*(up_Irr!U28+up_Irr!AT28+up_Irr!BS28)),IF(AND(up_Irr!U28&lt;&gt;".",up_Irr!AT28&lt;&gt;".",up_Irr!BS28="."),up_dir!AV28/((1/1000)*(up_Irr!U28+up_Irr!AT28)),IF(AND(up_Irr!U28&lt;&gt;".",up_Irr!AT28=".",up_Irr!BS28&lt;&gt;"."),up_dir!AV28/((1/1000)*(up_Irr!U28+up_Irr!BS28)),IF(AND(up_Irr!U28=".",up_Irr!AT28&lt;&gt;".",up_Irr!BS28&lt;&gt;"."),up_dir!AV28/((1/1000)*(up_Irr!AT28+up_Irr!BS28)),IF(AND(up_Irr!U28=".",up_Irr!AT28=".",up_Irr!BS28&lt;&gt;"."),up_dir!AV28/((1/1000)*(up_Irr!BS28)),IF(AND(up_Irr!U28=".",up_Irr!AT28&lt;&gt;".",up_Irr!BS28="."),up_dir!AV28/((1/1000)*(up_Irr!AT28)),IF(AND(up_Irr!U28&lt;&gt;".",up_Irr!AT28=".",up_Irr!BS28="."),up_dir!AV28/((1/1000)*(up_Irr!U28)),IF(AND(up_Irr!U28=".",up_Irr!AT28=".",up_Irr!BS28="."),up_dir!AV28*1000)))))))),".")</f>
        <v>6.5773651144152123E-11</v>
      </c>
      <c r="BW28" s="76">
        <f>IFERROR(IF(AND(up_Irr!V28&lt;&gt;".",up_Irr!AU28&lt;&gt;".",up_Irr!BT28&lt;&gt;"."),up_dir!AW28/((1/1000)*(up_Irr!V28+up_Irr!AU28+up_Irr!BT28)),IF(AND(up_Irr!V28&lt;&gt;".",up_Irr!AU28&lt;&gt;".",up_Irr!BT28="."),up_dir!AW28/((1/1000)*(up_Irr!V28+up_Irr!AU28)),IF(AND(up_Irr!V28&lt;&gt;".",up_Irr!AU28=".",up_Irr!BT28&lt;&gt;"."),up_dir!AW28/((1/1000)*(up_Irr!V28+up_Irr!BT28)),IF(AND(up_Irr!V28=".",up_Irr!AU28&lt;&gt;".",up_Irr!BT28&lt;&gt;"."),up_dir!AW28/((1/1000)*(up_Irr!AU28+up_Irr!BT28)),IF(AND(up_Irr!V28=".",up_Irr!AU28=".",up_Irr!BT28&lt;&gt;"."),up_dir!AW28/((1/1000)*(up_Irr!BT28)),IF(AND(up_Irr!V28=".",up_Irr!AU28&lt;&gt;".",up_Irr!BT28="."),up_dir!AW28/((1/1000)*(up_Irr!AU28)),IF(AND(up_Irr!V28&lt;&gt;".",up_Irr!AU28=".",up_Irr!BT28="."),up_dir!AW28/((1/1000)*(up_Irr!V28)),IF(AND(up_Irr!V28=".",up_Irr!AU28=".",up_Irr!BT28="."),up_dir!AW28*1000)))))))),".")</f>
        <v>6.5773651144152123E-11</v>
      </c>
      <c r="BX28" s="76">
        <f>IFERROR(IF(AND(up_Irr!W28&lt;&gt;".",up_Irr!AV28&lt;&gt;".",up_Irr!BU28&lt;&gt;"."),up_dir!AX28/((1/1000)*(up_Irr!W28+up_Irr!AV28+up_Irr!BU28)),IF(AND(up_Irr!W28&lt;&gt;".",up_Irr!AV28&lt;&gt;".",up_Irr!BU28="."),up_dir!AX28/((1/1000)*(up_Irr!W28+up_Irr!AV28)),IF(AND(up_Irr!W28&lt;&gt;".",up_Irr!AV28=".",up_Irr!BU28&lt;&gt;"."),up_dir!AX28/((1/1000)*(up_Irr!W28+up_Irr!BU28)),IF(AND(up_Irr!W28=".",up_Irr!AV28&lt;&gt;".",up_Irr!BU28&lt;&gt;"."),up_dir!AX28/((1/1000)*(up_Irr!AV28+up_Irr!BU28)),IF(AND(up_Irr!W28=".",up_Irr!AV28=".",up_Irr!BU28&lt;&gt;"."),up_dir!AX28/((1/1000)*(up_Irr!BU28)),IF(AND(up_Irr!W28=".",up_Irr!AV28&lt;&gt;".",up_Irr!BU28="."),up_dir!AX28/((1/1000)*(up_Irr!AV28)),IF(AND(up_Irr!W28&lt;&gt;".",up_Irr!AV28=".",up_Irr!BU28="."),up_dir!AX28/((1/1000)*(up_Irr!W28)),IF(AND(up_Irr!W28=".",up_Irr!AV28=".",up_Irr!BU28="."),up_dir!AX28*1000)))))))),".")</f>
        <v>6.5773651144152123E-11</v>
      </c>
      <c r="BY28" s="76">
        <f>IFERROR(IF(AND(up_Irr!X28&lt;&gt;".",up_Irr!AW28&lt;&gt;".",up_Irr!BV28&lt;&gt;"."),up_dir!AY28/((1/1000)*(up_Irr!X28+up_Irr!AW28+up_Irr!BV28)),IF(AND(up_Irr!X28&lt;&gt;".",up_Irr!AW28&lt;&gt;".",up_Irr!BV28="."),up_dir!AY28/((1/1000)*(up_Irr!X28+up_Irr!AW28)),IF(AND(up_Irr!X28&lt;&gt;".",up_Irr!AW28=".",up_Irr!BV28&lt;&gt;"."),up_dir!AY28/((1/1000)*(up_Irr!X28+up_Irr!BV28)),IF(AND(up_Irr!X28=".",up_Irr!AW28&lt;&gt;".",up_Irr!BV28&lt;&gt;"."),up_dir!AY28/((1/1000)*(up_Irr!AW28+up_Irr!BV28)),IF(AND(up_Irr!X28=".",up_Irr!AW28=".",up_Irr!BV28&lt;&gt;"."),up_dir!AY28/((1/1000)*(up_Irr!BV28)),IF(AND(up_Irr!X28=".",up_Irr!AW28&lt;&gt;".",up_Irr!BV28="."),up_dir!AY28/((1/1000)*(up_Irr!AW28)),IF(AND(up_Irr!X28&lt;&gt;".",up_Irr!AW28=".",up_Irr!BV28="."),up_dir!AY28/((1/1000)*(up_Irr!X28)),IF(AND(up_Irr!X28=".",up_Irr!AW28=".",up_Irr!BV28="."),up_dir!AY28*1000)))))))),".")</f>
        <v>6.5773651144152123E-11</v>
      </c>
      <c r="BZ28" s="76">
        <f>IFERROR(IF(AND(up_Irr!Y28&lt;&gt;".",up_Irr!AX28&lt;&gt;".",up_Irr!BW28&lt;&gt;"."),up_dir!AZ28/((1/1000)*(up_Irr!Y28+up_Irr!AX28+up_Irr!BW28)),IF(AND(up_Irr!Y28&lt;&gt;".",up_Irr!AX28&lt;&gt;".",up_Irr!BW28="."),up_dir!AZ28/((1/1000)*(up_Irr!Y28+up_Irr!AX28)),IF(AND(up_Irr!Y28&lt;&gt;".",up_Irr!AX28=".",up_Irr!BW28&lt;&gt;"."),up_dir!AZ28/((1/1000)*(up_Irr!Y28+up_Irr!BW28)),IF(AND(up_Irr!Y28=".",up_Irr!AX28&lt;&gt;".",up_Irr!BW28&lt;&gt;"."),up_dir!AZ28/((1/1000)*(up_Irr!AX28+up_Irr!BW28)),IF(AND(up_Irr!Y28=".",up_Irr!AX28=".",up_Irr!BW28&lt;&gt;"."),up_dir!AZ28/((1/1000)*(up_Irr!BW28)),IF(AND(up_Irr!Y28=".",up_Irr!AX28&lt;&gt;".",up_Irr!BW28="."),up_dir!AZ28/((1/1000)*(up_Irr!AX28)),IF(AND(up_Irr!Y28&lt;&gt;".",up_Irr!AX28=".",up_Irr!BW28="."),up_dir!AZ28/((1/1000)*(up_Irr!Y28)),IF(AND(up_Irr!Y28=".",up_Irr!AX28=".",up_Irr!BW28="."),up_dir!AZ28*1000)))))))),".")</f>
        <v>6.5773651144152123E-11</v>
      </c>
      <c r="CA28" s="76">
        <f>IFERROR(IF(AND(up_Irr!Z28&lt;&gt;".",up_Irr!AY28&lt;&gt;".",up_Irr!BX28&lt;&gt;"."),up_dir!BA28/((1/1000)*(up_Irr!Z28+up_Irr!AY28+up_Irr!BX28)),IF(AND(up_Irr!Z28&lt;&gt;".",up_Irr!AY28&lt;&gt;".",up_Irr!BX28="."),up_dir!BA28/((1/1000)*(up_Irr!Z28+up_Irr!AY28)),IF(AND(up_Irr!Z28&lt;&gt;".",up_Irr!AY28=".",up_Irr!BX28&lt;&gt;"."),up_dir!BA28/((1/1000)*(up_Irr!Z28+up_Irr!BX28)),IF(AND(up_Irr!Z28=".",up_Irr!AY28&lt;&gt;".",up_Irr!BX28&lt;&gt;"."),up_dir!BA28/((1/1000)*(up_Irr!AY28+up_Irr!BX28)),IF(AND(up_Irr!Z28=".",up_Irr!AY28=".",up_Irr!BX28&lt;&gt;"."),up_dir!BA28/((1/1000)*(up_Irr!BX28)),IF(AND(up_Irr!Z28=".",up_Irr!AY28&lt;&gt;".",up_Irr!BX28="."),up_dir!BA28/((1/1000)*(up_Irr!AY28)),IF(AND(up_Irr!Z28&lt;&gt;".",up_Irr!AY28=".",up_Irr!BX28="."),up_dir!BA28/((1/1000)*(up_Irr!Z28)),IF(AND(up_Irr!Z28=".",up_Irr!AY28=".",up_Irr!BX28="."),up_dir!BA28*1000)))))))),".")</f>
        <v>6.5773651144152123E-11</v>
      </c>
      <c r="CB28" s="76">
        <f>IFERROR(IF(AND(up_Irr!AA28&lt;&gt;".",up_Irr!AZ28&lt;&gt;".",up_Irr!BY28&lt;&gt;"."),up_dir!BB28/((1/1000)*(up_Irr!AA28+up_Irr!AZ28+up_Irr!BY28)),IF(AND(up_Irr!AA28&lt;&gt;".",up_Irr!AZ28&lt;&gt;".",up_Irr!BY28="."),up_dir!BB28/((1/1000)*(up_Irr!AA28+up_Irr!AZ28)),IF(AND(up_Irr!AA28&lt;&gt;".",up_Irr!AZ28=".",up_Irr!BY28&lt;&gt;"."),up_dir!BB28/((1/1000)*(up_Irr!AA28+up_Irr!BY28)),IF(AND(up_Irr!AA28=".",up_Irr!AZ28&lt;&gt;".",up_Irr!BY28&lt;&gt;"."),up_dir!BB28/((1/1000)*(up_Irr!AZ28+up_Irr!BY28)),IF(AND(up_Irr!AA28=".",up_Irr!AZ28=".",up_Irr!BY28&lt;&gt;"."),up_dir!BB28/((1/1000)*(up_Irr!BY28)),IF(AND(up_Irr!AA28=".",up_Irr!AZ28&lt;&gt;".",up_Irr!BY28="."),up_dir!BB28/((1/1000)*(up_Irr!AZ28)),IF(AND(up_Irr!AA28&lt;&gt;".",up_Irr!AZ28=".",up_Irr!BY28="."),up_dir!BB28/((1/1000)*(up_Irr!AA28)),IF(AND(up_Irr!AA28=".",up_Irr!AZ28=".",up_Irr!BY28="."),up_dir!BB28*1000)))))))),".")</f>
        <v>6.5773651144152123E-11</v>
      </c>
      <c r="CC28" s="93">
        <f t="shared" si="3"/>
        <v>608146.26076229871</v>
      </c>
      <c r="CD28" s="93">
        <f>IFERROR(s_C*s_IFAP_far_adj*s_CF_apple*(1/1000)*(up_Irr!C28+up_Irr!AB28+up_Irr!BA28),".")</f>
        <v>152036.56519057468</v>
      </c>
      <c r="CE28" s="93">
        <f>IFERROR(s_C*s_IFAS_far_adj*s_CF_asparagus*(1/1000)*(up_Irr!D28+up_Irr!AC28+up_Irr!BB28),".")</f>
        <v>152036.56519057468</v>
      </c>
      <c r="CF28" s="93">
        <f>IFERROR(s_C*s_IFBT_far_adj*s_CF_beet*(1/1000)*(up_Irr!E28+up_Irr!AD28+up_Irr!BC28),".")</f>
        <v>152036.56519057468</v>
      </c>
      <c r="CG28" s="93">
        <f>IFERROR(s_C*s_IFBE_far_adj*s_CF_berries*(1/1000)*(up_Irr!F28+up_Irr!AE28+up_Irr!BD28),".")</f>
        <v>152036.56519057468</v>
      </c>
      <c r="CH28" s="93">
        <f>IFERROR(s_C*s_IFBR_far_adj*s_CF_broccoli*(1/1000)*(up_Irr!G28+up_Irr!AF28+up_Irr!BE28),".")</f>
        <v>152036.56519057468</v>
      </c>
      <c r="CI28" s="93">
        <f>IFERROR(s_C*s_IFCB_far_adj*s_CF_cabbage*(1/1000)*(up_Irr!H28+up_Irr!AG28+up_Irr!BF28),".")</f>
        <v>152036.56519057468</v>
      </c>
      <c r="CJ28" s="93">
        <f>IFERROR(s_C*s_IFCR_far_adj*s_CF_carrot*(1/1000)*(up_Irr!I28+up_Irr!AH28+up_Irr!BG28),".")</f>
        <v>152036.56519057468</v>
      </c>
      <c r="CK28" s="93">
        <f>IFERROR(s_C*s_IFCI_far_adj*s_CF_citrus*(1/1000)*(up_Irr!J28+up_Irr!AI28+up_Irr!BH28),".")</f>
        <v>152036.56519057468</v>
      </c>
      <c r="CL28" s="93">
        <f>IFERROR(s_C*s_IFCO_far_adj*s_CF_corn*(1/1000)*(up_Irr!K28+up_Irr!AJ28+up_Irr!BI28),".")</f>
        <v>152036.56519057468</v>
      </c>
      <c r="CM28" s="93">
        <f>IFERROR(s_C*s_IFCU_far_adj*s_CF_cucumber*(1/1000)*(up_Irr!L28+up_Irr!AK28+up_Irr!BJ28),".")</f>
        <v>152036.56519057468</v>
      </c>
      <c r="CN28" s="93">
        <f>IFERROR(s_C*s_IFLE_far_adj*s_CF_lettuce*(1/1000)*(up_Irr!M28+up_Irr!AL28+up_Irr!BK28),".")</f>
        <v>152036.56519057468</v>
      </c>
      <c r="CO28" s="93">
        <f>IFERROR(s_C*s_IFLI_far_adj*s_CF_lima_bean*(1/1000)*(up_Irr!N28+up_Irr!AM28+up_Irr!BL28),".")</f>
        <v>152036.56519057468</v>
      </c>
      <c r="CP28" s="93">
        <f>IFERROR(s_C*s_IFOK_far_adj*s_CF_okra*(1/1000)*(up_Irr!O28+up_Irr!AN28+up_Irr!BM28),".")</f>
        <v>152036.56519057468</v>
      </c>
      <c r="CQ28" s="93">
        <f>IFERROR(s_C*s_IFON_far_adj*s_CF_onion*(1/1000)*(up_Irr!P28+up_Irr!AO28+up_Irr!BN28),".")</f>
        <v>152036.56519057468</v>
      </c>
      <c r="CR28" s="93">
        <f>IFERROR(s_C*s_IFPC_far_adj*s_CF_peach*(1/1000)*(up_Irr!Q28+up_Irr!AP28+up_Irr!BO28),".")</f>
        <v>152036.56519057468</v>
      </c>
      <c r="CS28" s="93">
        <f>IFERROR(s_C*s_IFPR_far_adj*s_CF_pear*(1/1000)*(up_Irr!R28+up_Irr!AQ28+up_Irr!BP28),".")</f>
        <v>152036.56519057468</v>
      </c>
      <c r="CT28" s="93">
        <f>IFERROR(s_C*s_IFPE_far_adj*s_CF_peas*(1/1000)*(up_Irr!S28+up_Irr!AR28+up_Irr!BQ28),".")</f>
        <v>152036.56519057468</v>
      </c>
      <c r="CU28" s="93">
        <f>IFERROR(s_C*s_IFPP_far_adj*s_CF_peppers*(1/1000)*(up_Irr!T28+up_Irr!AS28+up_Irr!BR28),".")</f>
        <v>152036.56519057468</v>
      </c>
      <c r="CV28" s="93">
        <f>IFERROR(s_C*s_IFPT_far_adj*s_CF_potato*(1/1000)*(up_Irr!U28+up_Irr!AT28+up_Irr!BS28),".")</f>
        <v>152036.56519057468</v>
      </c>
      <c r="CW28" s="93">
        <f>IFERROR(s_C*s_IFPU_far_adj*s_CF_pumpkin*(1/1000)*(up_Irr!V28+up_Irr!AU28+up_Irr!BT28),".")</f>
        <v>152036.56519057468</v>
      </c>
      <c r="CX28" s="93">
        <f>IFERROR(s_C*s_IFSN_far_adj*s_CF_snap_bean*(1/1000)*(up_Irr!W28+up_Irr!AV28+up_Irr!BU28),".")</f>
        <v>152036.56519057468</v>
      </c>
      <c r="CY28" s="93">
        <f>IFERROR(s_C*s_IFST_far_adj*s_CF_strawberry*(1/1000)*(up_Irr!X28+up_Irr!AW28+up_Irr!BV28),".")</f>
        <v>152036.56519057468</v>
      </c>
      <c r="CZ28" s="93">
        <f>IFERROR(s_C*s_IFTO_far_adj*s_CF_tomato*(1/1000)*(up_Irr!Y28+up_Irr!AX28+up_Irr!BW28),".")</f>
        <v>152036.56519057468</v>
      </c>
      <c r="DA28" s="93">
        <f>IFERROR(s_C*s_IFRI_far_adj*s_CF_rice*(1/1000)*(up_Irr!Z28+up_Irr!AY28+up_Irr!BX28),".")</f>
        <v>152036.56519057468</v>
      </c>
      <c r="DB28" s="93">
        <f>IFERROR(s_C*s_IFCG_far_adj*s_CF_cereal*(1/1000)*(up_Irr!AA28+up_Irr!AZ28+up_Irr!BY28),".")</f>
        <v>152036.56519057468</v>
      </c>
    </row>
    <row r="29" spans="1:106" ht="15" customHeight="1" x14ac:dyDescent="0.25">
      <c r="A29" s="92" t="s">
        <v>39</v>
      </c>
      <c r="B29" s="90" t="s">
        <v>1071</v>
      </c>
      <c r="C29" s="15">
        <f t="shared" si="0"/>
        <v>1.6443412786038031E-11</v>
      </c>
      <c r="D29" s="76">
        <f>IFERROR(IF(AND(up_Irr!C29&lt;&gt;".",up_Irr!AB29&lt;&gt;".",up_Irr!BA29&lt;&gt;"."),up_dir!D29/((1/1000)*(up_Irr!C29+up_Irr!AB29+up_Irr!BA29)),IF(AND(up_Irr!C29&lt;&gt;".",up_Irr!AB29&lt;&gt;".",up_Irr!BA29="."),up_dir!D29/((1/1000)*(up_Irr!C29+up_Irr!AB29)),IF(AND(up_Irr!C29&lt;&gt;".",up_Irr!AB29=".",up_Irr!BA29&lt;&gt;"."),up_dir!D29/((1/1000)*(up_Irr!C29+up_Irr!BA29)),IF(AND(up_Irr!C29=".",up_Irr!AB29&lt;&gt;".",up_Irr!BA29&lt;&gt;"."),up_dir!D29/((1/1000)*(up_Irr!AB29+up_Irr!BA29)),IF(AND(up_Irr!C29=".",up_Irr!AB29=".",up_Irr!BA29&lt;&gt;"."),up_dir!D29/((1/1000)*(up_Irr!BA29)),IF(AND(up_Irr!C29=".",up_Irr!AB29&lt;&gt;".",up_Irr!BA29="."),up_dir!D29/((1/1000)*(up_Irr!AB29)),IF(AND(up_Irr!C29&lt;&gt;".",up_Irr!AB29=".",up_Irr!BA29="."),up_dir!D29/((1/1000)*(up_Irr!C29)),IF(AND(up_Irr!C29=".",up_Irr!AB29=".",up_Irr!BA29="."),up_dir!D29*1000)))))))),".")</f>
        <v>6.5773651144152123E-11</v>
      </c>
      <c r="E29" s="76">
        <f>IFERROR(IF(AND(up_Irr!D29&lt;&gt;".",up_Irr!AC29&lt;&gt;".",up_Irr!BB29&lt;&gt;"."),up_dir!E29/((1/1000)*(up_Irr!D29+up_Irr!AC29+up_Irr!BB29)),IF(AND(up_Irr!D29&lt;&gt;".",up_Irr!AC29&lt;&gt;".",up_Irr!BB29="."),up_dir!E29/((1/1000)*(up_Irr!D29+up_Irr!AC29)),IF(AND(up_Irr!D29&lt;&gt;".",up_Irr!AC29=".",up_Irr!BB29&lt;&gt;"."),up_dir!E29/((1/1000)*(up_Irr!D29+up_Irr!BB29)),IF(AND(up_Irr!D29=".",up_Irr!AC29&lt;&gt;".",up_Irr!BB29&lt;&gt;"."),up_dir!E29/((1/1000)*(up_Irr!AC29+up_Irr!BB29)),IF(AND(up_Irr!D29=".",up_Irr!AC29=".",up_Irr!BB29&lt;&gt;"."),up_dir!E29/((1/1000)*(up_Irr!BB29)),IF(AND(up_Irr!D29=".",up_Irr!AC29&lt;&gt;".",up_Irr!BB29="."),up_dir!E29/((1/1000)*(up_Irr!AC29)),IF(AND(up_Irr!D29&lt;&gt;".",up_Irr!AC29=".",up_Irr!BB29="."),up_dir!E29/((1/1000)*(up_Irr!D29)),IF(AND(up_Irr!D29=".",up_Irr!AC29=".",up_Irr!BB29="."),up_dir!E29*1000)))))))),".")</f>
        <v>6.5773651144152123E-11</v>
      </c>
      <c r="F29" s="76">
        <f>IFERROR(IF(AND(up_Irr!E29&lt;&gt;".",up_Irr!AD29&lt;&gt;".",up_Irr!BC29&lt;&gt;"."),up_dir!F29/((1/1000)*(up_Irr!E29+up_Irr!AD29+up_Irr!BC29)),IF(AND(up_Irr!E29&lt;&gt;".",up_Irr!AD29&lt;&gt;".",up_Irr!BC29="."),up_dir!F29/((1/1000)*(up_Irr!E29+up_Irr!AD29)),IF(AND(up_Irr!E29&lt;&gt;".",up_Irr!AD29=".",up_Irr!BC29&lt;&gt;"."),up_dir!F29/((1/1000)*(up_Irr!E29+up_Irr!BC29)),IF(AND(up_Irr!E29=".",up_Irr!AD29&lt;&gt;".",up_Irr!BC29&lt;&gt;"."),up_dir!F29/((1/1000)*(up_Irr!AD29+up_Irr!BC29)),IF(AND(up_Irr!E29=".",up_Irr!AD29=".",up_Irr!BC29&lt;&gt;"."),up_dir!F29/((1/1000)*(up_Irr!BC29)),IF(AND(up_Irr!E29=".",up_Irr!AD29&lt;&gt;".",up_Irr!BC29="."),up_dir!F29/((1/1000)*(up_Irr!AD29)),IF(AND(up_Irr!E29&lt;&gt;".",up_Irr!AD29=".",up_Irr!BC29="."),up_dir!F29/((1/1000)*(up_Irr!E29)),IF(AND(up_Irr!E29=".",up_Irr!AD29=".",up_Irr!BC29="."),up_dir!F29*1000)))))))),".")</f>
        <v>6.5773651144152123E-11</v>
      </c>
      <c r="G29" s="76">
        <f>IFERROR(IF(AND(up_Irr!F29&lt;&gt;".",up_Irr!AE29&lt;&gt;".",up_Irr!BD29&lt;&gt;"."),up_dir!G29/((1/1000)*(up_Irr!F29+up_Irr!AE29+up_Irr!BD29)),IF(AND(up_Irr!F29&lt;&gt;".",up_Irr!AE29&lt;&gt;".",up_Irr!BD29="."),up_dir!G29/((1/1000)*(up_Irr!F29+up_Irr!AE29)),IF(AND(up_Irr!F29&lt;&gt;".",up_Irr!AE29=".",up_Irr!BD29&lt;&gt;"."),up_dir!G29/((1/1000)*(up_Irr!F29+up_Irr!BD29)),IF(AND(up_Irr!F29=".",up_Irr!AE29&lt;&gt;".",up_Irr!BD29&lt;&gt;"."),up_dir!G29/((1/1000)*(up_Irr!AE29+up_Irr!BD29)),IF(AND(up_Irr!F29=".",up_Irr!AE29=".",up_Irr!BD29&lt;&gt;"."),up_dir!G29/((1/1000)*(up_Irr!BD29)),IF(AND(up_Irr!F29=".",up_Irr!AE29&lt;&gt;".",up_Irr!BD29="."),up_dir!G29/((1/1000)*(up_Irr!AE29)),IF(AND(up_Irr!F29&lt;&gt;".",up_Irr!AE29=".",up_Irr!BD29="."),up_dir!G29/((1/1000)*(up_Irr!F29)),IF(AND(up_Irr!F29=".",up_Irr!AE29=".",up_Irr!BD29="."),up_dir!G29*1000)))))))),".")</f>
        <v>6.5773651144152123E-11</v>
      </c>
      <c r="H29" s="76">
        <f>IFERROR(IF(AND(up_Irr!G29&lt;&gt;".",up_Irr!AF29&lt;&gt;".",up_Irr!BE29&lt;&gt;"."),up_dir!H29/((1/1000)*(up_Irr!G29+up_Irr!AF29+up_Irr!BE29)),IF(AND(up_Irr!G29&lt;&gt;".",up_Irr!AF29&lt;&gt;".",up_Irr!BE29="."),up_dir!H29/((1/1000)*(up_Irr!G29+up_Irr!AF29)),IF(AND(up_Irr!G29&lt;&gt;".",up_Irr!AF29=".",up_Irr!BE29&lt;&gt;"."),up_dir!H29/((1/1000)*(up_Irr!G29+up_Irr!BE29)),IF(AND(up_Irr!G29=".",up_Irr!AF29&lt;&gt;".",up_Irr!BE29&lt;&gt;"."),up_dir!H29/((1/1000)*(up_Irr!AF29+up_Irr!BE29)),IF(AND(up_Irr!G29=".",up_Irr!AF29=".",up_Irr!BE29&lt;&gt;"."),up_dir!H29/((1/1000)*(up_Irr!BE29)),IF(AND(up_Irr!G29=".",up_Irr!AF29&lt;&gt;".",up_Irr!BE29="."),up_dir!H29/((1/1000)*(up_Irr!AF29)),IF(AND(up_Irr!G29&lt;&gt;".",up_Irr!AF29=".",up_Irr!BE29="."),up_dir!H29/((1/1000)*(up_Irr!G29)),IF(AND(up_Irr!G29=".",up_Irr!AF29=".",up_Irr!BE29="."),up_dir!H29*1000)))))))),".")</f>
        <v>6.5773651144152123E-11</v>
      </c>
      <c r="I29" s="76">
        <f>IFERROR(IF(AND(up_Irr!H29&lt;&gt;".",up_Irr!AG29&lt;&gt;".",up_Irr!BF29&lt;&gt;"."),up_dir!I29/((1/1000)*(up_Irr!H29+up_Irr!AG29+up_Irr!BF29)),IF(AND(up_Irr!H29&lt;&gt;".",up_Irr!AG29&lt;&gt;".",up_Irr!BF29="."),up_dir!I29/((1/1000)*(up_Irr!H29+up_Irr!AG29)),IF(AND(up_Irr!H29&lt;&gt;".",up_Irr!AG29=".",up_Irr!BF29&lt;&gt;"."),up_dir!I29/((1/1000)*(up_Irr!H29+up_Irr!BF29)),IF(AND(up_Irr!H29=".",up_Irr!AG29&lt;&gt;".",up_Irr!BF29&lt;&gt;"."),up_dir!I29/((1/1000)*(up_Irr!AG29+up_Irr!BF29)),IF(AND(up_Irr!H29=".",up_Irr!AG29=".",up_Irr!BF29&lt;&gt;"."),up_dir!I29/((1/1000)*(up_Irr!BF29)),IF(AND(up_Irr!H29=".",up_Irr!AG29&lt;&gt;".",up_Irr!BF29="."),up_dir!I29/((1/1000)*(up_Irr!AG29)),IF(AND(up_Irr!H29&lt;&gt;".",up_Irr!AG29=".",up_Irr!BF29="."),up_dir!I29/((1/1000)*(up_Irr!H29)),IF(AND(up_Irr!H29=".",up_Irr!AG29=".",up_Irr!BF29="."),up_dir!I29*1000)))))))),".")</f>
        <v>6.5773651144152123E-11</v>
      </c>
      <c r="J29" s="76">
        <f>IFERROR(IF(AND(up_Irr!I29&lt;&gt;".",up_Irr!AH29&lt;&gt;".",up_Irr!BG29&lt;&gt;"."),up_dir!J29/((1/1000)*(up_Irr!I29+up_Irr!AH29+up_Irr!BG29)),IF(AND(up_Irr!I29&lt;&gt;".",up_Irr!AH29&lt;&gt;".",up_Irr!BG29="."),up_dir!J29/((1/1000)*(up_Irr!I29+up_Irr!AH29)),IF(AND(up_Irr!I29&lt;&gt;".",up_Irr!AH29=".",up_Irr!BG29&lt;&gt;"."),up_dir!J29/((1/1000)*(up_Irr!I29+up_Irr!BG29)),IF(AND(up_Irr!I29=".",up_Irr!AH29&lt;&gt;".",up_Irr!BG29&lt;&gt;"."),up_dir!J29/((1/1000)*(up_Irr!AH29+up_Irr!BG29)),IF(AND(up_Irr!I29=".",up_Irr!AH29=".",up_Irr!BG29&lt;&gt;"."),up_dir!J29/((1/1000)*(up_Irr!BG29)),IF(AND(up_Irr!I29=".",up_Irr!AH29&lt;&gt;".",up_Irr!BG29="."),up_dir!J29/((1/1000)*(up_Irr!AH29)),IF(AND(up_Irr!I29&lt;&gt;".",up_Irr!AH29=".",up_Irr!BG29="."),up_dir!J29/((1/1000)*(up_Irr!I29)),IF(AND(up_Irr!I29=".",up_Irr!AH29=".",up_Irr!BG29="."),up_dir!J29*1000)))))))),".")</f>
        <v>6.5773651144152123E-11</v>
      </c>
      <c r="K29" s="76">
        <f>IFERROR(IF(AND(up_Irr!J29&lt;&gt;".",up_Irr!AI29&lt;&gt;".",up_Irr!BH29&lt;&gt;"."),up_dir!K29/((1/1000)*(up_Irr!J29+up_Irr!AI29+up_Irr!BH29)),IF(AND(up_Irr!J29&lt;&gt;".",up_Irr!AI29&lt;&gt;".",up_Irr!BH29="."),up_dir!K29/((1/1000)*(up_Irr!J29+up_Irr!AI29)),IF(AND(up_Irr!J29&lt;&gt;".",up_Irr!AI29=".",up_Irr!BH29&lt;&gt;"."),up_dir!K29/((1/1000)*(up_Irr!J29+up_Irr!BH29)),IF(AND(up_Irr!J29=".",up_Irr!AI29&lt;&gt;".",up_Irr!BH29&lt;&gt;"."),up_dir!K29/((1/1000)*(up_Irr!AI29+up_Irr!BH29)),IF(AND(up_Irr!J29=".",up_Irr!AI29=".",up_Irr!BH29&lt;&gt;"."),up_dir!K29/((1/1000)*(up_Irr!BH29)),IF(AND(up_Irr!J29=".",up_Irr!AI29&lt;&gt;".",up_Irr!BH29="."),up_dir!K29/((1/1000)*(up_Irr!AI29)),IF(AND(up_Irr!J29&lt;&gt;".",up_Irr!AI29=".",up_Irr!BH29="."),up_dir!K29/((1/1000)*(up_Irr!J29)),IF(AND(up_Irr!J29=".",up_Irr!AI29=".",up_Irr!BH29="."),up_dir!K29*1000)))))))),".")</f>
        <v>6.5773651144152123E-11</v>
      </c>
      <c r="L29" s="76">
        <f>IFERROR(IF(AND(up_Irr!K29&lt;&gt;".",up_Irr!AJ29&lt;&gt;".",up_Irr!BI29&lt;&gt;"."),up_dir!L29/((1/1000)*(up_Irr!K29+up_Irr!AJ29+up_Irr!BI29)),IF(AND(up_Irr!K29&lt;&gt;".",up_Irr!AJ29&lt;&gt;".",up_Irr!BI29="."),up_dir!L29/((1/1000)*(up_Irr!K29+up_Irr!AJ29)),IF(AND(up_Irr!K29&lt;&gt;".",up_Irr!AJ29=".",up_Irr!BI29&lt;&gt;"."),up_dir!L29/((1/1000)*(up_Irr!K29+up_Irr!BI29)),IF(AND(up_Irr!K29=".",up_Irr!AJ29&lt;&gt;".",up_Irr!BI29&lt;&gt;"."),up_dir!L29/((1/1000)*(up_Irr!AJ29+up_Irr!BI29)),IF(AND(up_Irr!K29=".",up_Irr!AJ29=".",up_Irr!BI29&lt;&gt;"."),up_dir!L29/((1/1000)*(up_Irr!BI29)),IF(AND(up_Irr!K29=".",up_Irr!AJ29&lt;&gt;".",up_Irr!BI29="."),up_dir!L29/((1/1000)*(up_Irr!AJ29)),IF(AND(up_Irr!K29&lt;&gt;".",up_Irr!AJ29=".",up_Irr!BI29="."),up_dir!L29/((1/1000)*(up_Irr!K29)),IF(AND(up_Irr!K29=".",up_Irr!AJ29=".",up_Irr!BI29="."),up_dir!L29*1000)))))))),".")</f>
        <v>6.5773651144152123E-11</v>
      </c>
      <c r="M29" s="76">
        <f>IFERROR(IF(AND(up_Irr!L29&lt;&gt;".",up_Irr!AK29&lt;&gt;".",up_Irr!BJ29&lt;&gt;"."),up_dir!M29/((1/1000)*(up_Irr!L29+up_Irr!AK29+up_Irr!BJ29)),IF(AND(up_Irr!L29&lt;&gt;".",up_Irr!AK29&lt;&gt;".",up_Irr!BJ29="."),up_dir!M29/((1/1000)*(up_Irr!L29+up_Irr!AK29)),IF(AND(up_Irr!L29&lt;&gt;".",up_Irr!AK29=".",up_Irr!BJ29&lt;&gt;"."),up_dir!M29/((1/1000)*(up_Irr!L29+up_Irr!BJ29)),IF(AND(up_Irr!L29=".",up_Irr!AK29&lt;&gt;".",up_Irr!BJ29&lt;&gt;"."),up_dir!M29/((1/1000)*(up_Irr!AK29+up_Irr!BJ29)),IF(AND(up_Irr!L29=".",up_Irr!AK29=".",up_Irr!BJ29&lt;&gt;"."),up_dir!M29/((1/1000)*(up_Irr!BJ29)),IF(AND(up_Irr!L29=".",up_Irr!AK29&lt;&gt;".",up_Irr!BJ29="."),up_dir!M29/((1/1000)*(up_Irr!AK29)),IF(AND(up_Irr!L29&lt;&gt;".",up_Irr!AK29=".",up_Irr!BJ29="."),up_dir!M29/((1/1000)*(up_Irr!L29)),IF(AND(up_Irr!L29=".",up_Irr!AK29=".",up_Irr!BJ29="."),up_dir!M29*1000)))))))),".")</f>
        <v>6.5773651144152123E-11</v>
      </c>
      <c r="N29" s="76">
        <f>IFERROR(IF(AND(up_Irr!M29&lt;&gt;".",up_Irr!AL29&lt;&gt;".",up_Irr!BK29&lt;&gt;"."),up_dir!N29/((1/1000)*(up_Irr!M29+up_Irr!AL29+up_Irr!BK29)),IF(AND(up_Irr!M29&lt;&gt;".",up_Irr!AL29&lt;&gt;".",up_Irr!BK29="."),up_dir!N29/((1/1000)*(up_Irr!M29+up_Irr!AL29)),IF(AND(up_Irr!M29&lt;&gt;".",up_Irr!AL29=".",up_Irr!BK29&lt;&gt;"."),up_dir!N29/((1/1000)*(up_Irr!M29+up_Irr!BK29)),IF(AND(up_Irr!M29=".",up_Irr!AL29&lt;&gt;".",up_Irr!BK29&lt;&gt;"."),up_dir!N29/((1/1000)*(up_Irr!AL29+up_Irr!BK29)),IF(AND(up_Irr!M29=".",up_Irr!AL29=".",up_Irr!BK29&lt;&gt;"."),up_dir!N29/((1/1000)*(up_Irr!BK29)),IF(AND(up_Irr!M29=".",up_Irr!AL29&lt;&gt;".",up_Irr!BK29="."),up_dir!N29/((1/1000)*(up_Irr!AL29)),IF(AND(up_Irr!M29&lt;&gt;".",up_Irr!AL29=".",up_Irr!BK29="."),up_dir!N29/((1/1000)*(up_Irr!M29)),IF(AND(up_Irr!M29=".",up_Irr!AL29=".",up_Irr!BK29="."),up_dir!N29*1000)))))))),".")</f>
        <v>6.5773651144152123E-11</v>
      </c>
      <c r="O29" s="76">
        <f>IFERROR(IF(AND(up_Irr!N29&lt;&gt;".",up_Irr!AM29&lt;&gt;".",up_Irr!BL29&lt;&gt;"."),up_dir!O29/((1/1000)*(up_Irr!N29+up_Irr!AM29+up_Irr!BL29)),IF(AND(up_Irr!N29&lt;&gt;".",up_Irr!AM29&lt;&gt;".",up_Irr!BL29="."),up_dir!O29/((1/1000)*(up_Irr!N29+up_Irr!AM29)),IF(AND(up_Irr!N29&lt;&gt;".",up_Irr!AM29=".",up_Irr!BL29&lt;&gt;"."),up_dir!O29/((1/1000)*(up_Irr!N29+up_Irr!BL29)),IF(AND(up_Irr!N29=".",up_Irr!AM29&lt;&gt;".",up_Irr!BL29&lt;&gt;"."),up_dir!O29/((1/1000)*(up_Irr!AM29+up_Irr!BL29)),IF(AND(up_Irr!N29=".",up_Irr!AM29=".",up_Irr!BL29&lt;&gt;"."),up_dir!O29/((1/1000)*(up_Irr!BL29)),IF(AND(up_Irr!N29=".",up_Irr!AM29&lt;&gt;".",up_Irr!BL29="."),up_dir!O29/((1/1000)*(up_Irr!AM29)),IF(AND(up_Irr!N29&lt;&gt;".",up_Irr!AM29=".",up_Irr!BL29="."),up_dir!O29/((1/1000)*(up_Irr!N29)),IF(AND(up_Irr!N29=".",up_Irr!AM29=".",up_Irr!BL29="."),up_dir!O29*1000)))))))),".")</f>
        <v>6.5773651144152123E-11</v>
      </c>
      <c r="P29" s="76">
        <f>IFERROR(IF(AND(up_Irr!O29&lt;&gt;".",up_Irr!AN29&lt;&gt;".",up_Irr!BM29&lt;&gt;"."),up_dir!P29/((1/1000)*(up_Irr!O29+up_Irr!AN29+up_Irr!BM29)),IF(AND(up_Irr!O29&lt;&gt;".",up_Irr!AN29&lt;&gt;".",up_Irr!BM29="."),up_dir!P29/((1/1000)*(up_Irr!O29+up_Irr!AN29)),IF(AND(up_Irr!O29&lt;&gt;".",up_Irr!AN29=".",up_Irr!BM29&lt;&gt;"."),up_dir!P29/((1/1000)*(up_Irr!O29+up_Irr!BM29)),IF(AND(up_Irr!O29=".",up_Irr!AN29&lt;&gt;".",up_Irr!BM29&lt;&gt;"."),up_dir!P29/((1/1000)*(up_Irr!AN29+up_Irr!BM29)),IF(AND(up_Irr!O29=".",up_Irr!AN29=".",up_Irr!BM29&lt;&gt;"."),up_dir!P29/((1/1000)*(up_Irr!BM29)),IF(AND(up_Irr!O29=".",up_Irr!AN29&lt;&gt;".",up_Irr!BM29="."),up_dir!P29/((1/1000)*(up_Irr!AN29)),IF(AND(up_Irr!O29&lt;&gt;".",up_Irr!AN29=".",up_Irr!BM29="."),up_dir!P29/((1/1000)*(up_Irr!O29)),IF(AND(up_Irr!O29=".",up_Irr!AN29=".",up_Irr!BM29="."),up_dir!P29*1000)))))))),".")</f>
        <v>6.5773651144152123E-11</v>
      </c>
      <c r="Q29" s="76">
        <f>IFERROR(IF(AND(up_Irr!P29&lt;&gt;".",up_Irr!AO29&lt;&gt;".",up_Irr!BN29&lt;&gt;"."),up_dir!Q29/((1/1000)*(up_Irr!P29+up_Irr!AO29+up_Irr!BN29)),IF(AND(up_Irr!P29&lt;&gt;".",up_Irr!AO29&lt;&gt;".",up_Irr!BN29="."),up_dir!Q29/((1/1000)*(up_Irr!P29+up_Irr!AO29)),IF(AND(up_Irr!P29&lt;&gt;".",up_Irr!AO29=".",up_Irr!BN29&lt;&gt;"."),up_dir!Q29/((1/1000)*(up_Irr!P29+up_Irr!BN29)),IF(AND(up_Irr!P29=".",up_Irr!AO29&lt;&gt;".",up_Irr!BN29&lt;&gt;"."),up_dir!Q29/((1/1000)*(up_Irr!AO29+up_Irr!BN29)),IF(AND(up_Irr!P29=".",up_Irr!AO29=".",up_Irr!BN29&lt;&gt;"."),up_dir!Q29/((1/1000)*(up_Irr!BN29)),IF(AND(up_Irr!P29=".",up_Irr!AO29&lt;&gt;".",up_Irr!BN29="."),up_dir!Q29/((1/1000)*(up_Irr!AO29)),IF(AND(up_Irr!P29&lt;&gt;".",up_Irr!AO29=".",up_Irr!BN29="."),up_dir!Q29/((1/1000)*(up_Irr!P29)),IF(AND(up_Irr!P29=".",up_Irr!AO29=".",up_Irr!BN29="."),up_dir!Q29*1000)))))))),".")</f>
        <v>6.5773651144152123E-11</v>
      </c>
      <c r="R29" s="76">
        <f>IFERROR(IF(AND(up_Irr!Q29&lt;&gt;".",up_Irr!AP29&lt;&gt;".",up_Irr!BO29&lt;&gt;"."),up_dir!R29/((1/1000)*(up_Irr!Q29+up_Irr!AP29+up_Irr!BO29)),IF(AND(up_Irr!Q29&lt;&gt;".",up_Irr!AP29&lt;&gt;".",up_Irr!BO29="."),up_dir!R29/((1/1000)*(up_Irr!Q29+up_Irr!AP29)),IF(AND(up_Irr!Q29&lt;&gt;".",up_Irr!AP29=".",up_Irr!BO29&lt;&gt;"."),up_dir!R29/((1/1000)*(up_Irr!Q29+up_Irr!BO29)),IF(AND(up_Irr!Q29=".",up_Irr!AP29&lt;&gt;".",up_Irr!BO29&lt;&gt;"."),up_dir!R29/((1/1000)*(up_Irr!AP29+up_Irr!BO29)),IF(AND(up_Irr!Q29=".",up_Irr!AP29=".",up_Irr!BO29&lt;&gt;"."),up_dir!R29/((1/1000)*(up_Irr!BO29)),IF(AND(up_Irr!Q29=".",up_Irr!AP29&lt;&gt;".",up_Irr!BO29="."),up_dir!R29/((1/1000)*(up_Irr!AP29)),IF(AND(up_Irr!Q29&lt;&gt;".",up_Irr!AP29=".",up_Irr!BO29="."),up_dir!R29/((1/1000)*(up_Irr!Q29)),IF(AND(up_Irr!Q29=".",up_Irr!AP29=".",up_Irr!BO29="."),up_dir!R29*1000)))))))),".")</f>
        <v>6.5773651144152123E-11</v>
      </c>
      <c r="S29" s="76">
        <f>IFERROR(IF(AND(up_Irr!R29&lt;&gt;".",up_Irr!AQ29&lt;&gt;".",up_Irr!BP29&lt;&gt;"."),up_dir!S29/((1/1000)*(up_Irr!R29+up_Irr!AQ29+up_Irr!BP29)),IF(AND(up_Irr!R29&lt;&gt;".",up_Irr!AQ29&lt;&gt;".",up_Irr!BP29="."),up_dir!S29/((1/1000)*(up_Irr!R29+up_Irr!AQ29)),IF(AND(up_Irr!R29&lt;&gt;".",up_Irr!AQ29=".",up_Irr!BP29&lt;&gt;"."),up_dir!S29/((1/1000)*(up_Irr!R29+up_Irr!BP29)),IF(AND(up_Irr!R29=".",up_Irr!AQ29&lt;&gt;".",up_Irr!BP29&lt;&gt;"."),up_dir!S29/((1/1000)*(up_Irr!AQ29+up_Irr!BP29)),IF(AND(up_Irr!R29=".",up_Irr!AQ29=".",up_Irr!BP29&lt;&gt;"."),up_dir!S29/((1/1000)*(up_Irr!BP29)),IF(AND(up_Irr!R29=".",up_Irr!AQ29&lt;&gt;".",up_Irr!BP29="."),up_dir!S29/((1/1000)*(up_Irr!AQ29)),IF(AND(up_Irr!R29&lt;&gt;".",up_Irr!AQ29=".",up_Irr!BP29="."),up_dir!S29/((1/1000)*(up_Irr!R29)),IF(AND(up_Irr!R29=".",up_Irr!AQ29=".",up_Irr!BP29="."),up_dir!S29*1000)))))))),".")</f>
        <v>6.5773651144152123E-11</v>
      </c>
      <c r="T29" s="76">
        <f>IFERROR(IF(AND(up_Irr!S29&lt;&gt;".",up_Irr!AR29&lt;&gt;".",up_Irr!BQ29&lt;&gt;"."),up_dir!T29/((1/1000)*(up_Irr!S29+up_Irr!AR29+up_Irr!BQ29)),IF(AND(up_Irr!S29&lt;&gt;".",up_Irr!AR29&lt;&gt;".",up_Irr!BQ29="."),up_dir!T29/((1/1000)*(up_Irr!S29+up_Irr!AR29)),IF(AND(up_Irr!S29&lt;&gt;".",up_Irr!AR29=".",up_Irr!BQ29&lt;&gt;"."),up_dir!T29/((1/1000)*(up_Irr!S29+up_Irr!BQ29)),IF(AND(up_Irr!S29=".",up_Irr!AR29&lt;&gt;".",up_Irr!BQ29&lt;&gt;"."),up_dir!T29/((1/1000)*(up_Irr!AR29+up_Irr!BQ29)),IF(AND(up_Irr!S29=".",up_Irr!AR29=".",up_Irr!BQ29&lt;&gt;"."),up_dir!T29/((1/1000)*(up_Irr!BQ29)),IF(AND(up_Irr!S29=".",up_Irr!AR29&lt;&gt;".",up_Irr!BQ29="."),up_dir!T29/((1/1000)*(up_Irr!AR29)),IF(AND(up_Irr!S29&lt;&gt;".",up_Irr!AR29=".",up_Irr!BQ29="."),up_dir!T29/((1/1000)*(up_Irr!S29)),IF(AND(up_Irr!S29=".",up_Irr!AR29=".",up_Irr!BQ29="."),up_dir!T29*1000)))))))),".")</f>
        <v>6.5773651144152123E-11</v>
      </c>
      <c r="U29" s="76">
        <f>IFERROR(IF(AND(up_Irr!T29&lt;&gt;".",up_Irr!AS29&lt;&gt;".",up_Irr!BR29&lt;&gt;"."),up_dir!U29/((1/1000)*(up_Irr!T29+up_Irr!AS29+up_Irr!BR29)),IF(AND(up_Irr!T29&lt;&gt;".",up_Irr!AS29&lt;&gt;".",up_Irr!BR29="."),up_dir!U29/((1/1000)*(up_Irr!T29+up_Irr!AS29)),IF(AND(up_Irr!T29&lt;&gt;".",up_Irr!AS29=".",up_Irr!BR29&lt;&gt;"."),up_dir!U29/((1/1000)*(up_Irr!T29+up_Irr!BR29)),IF(AND(up_Irr!T29=".",up_Irr!AS29&lt;&gt;".",up_Irr!BR29&lt;&gt;"."),up_dir!U29/((1/1000)*(up_Irr!AS29+up_Irr!BR29)),IF(AND(up_Irr!T29=".",up_Irr!AS29=".",up_Irr!BR29&lt;&gt;"."),up_dir!U29/((1/1000)*(up_Irr!BR29)),IF(AND(up_Irr!T29=".",up_Irr!AS29&lt;&gt;".",up_Irr!BR29="."),up_dir!U29/((1/1000)*(up_Irr!AS29)),IF(AND(up_Irr!T29&lt;&gt;".",up_Irr!AS29=".",up_Irr!BR29="."),up_dir!U29/((1/1000)*(up_Irr!T29)),IF(AND(up_Irr!T29=".",up_Irr!AS29=".",up_Irr!BR29="."),up_dir!U29*1000)))))))),".")</f>
        <v>6.5773651144152123E-11</v>
      </c>
      <c r="V29" s="76">
        <f>IFERROR(IF(AND(up_Irr!U29&lt;&gt;".",up_Irr!AT29&lt;&gt;".",up_Irr!BS29&lt;&gt;"."),up_dir!V29/((1/1000)*(up_Irr!U29+up_Irr!AT29+up_Irr!BS29)),IF(AND(up_Irr!U29&lt;&gt;".",up_Irr!AT29&lt;&gt;".",up_Irr!BS29="."),up_dir!V29/((1/1000)*(up_Irr!U29+up_Irr!AT29)),IF(AND(up_Irr!U29&lt;&gt;".",up_Irr!AT29=".",up_Irr!BS29&lt;&gt;"."),up_dir!V29/((1/1000)*(up_Irr!U29+up_Irr!BS29)),IF(AND(up_Irr!U29=".",up_Irr!AT29&lt;&gt;".",up_Irr!BS29&lt;&gt;"."),up_dir!V29/((1/1000)*(up_Irr!AT29+up_Irr!BS29)),IF(AND(up_Irr!U29=".",up_Irr!AT29=".",up_Irr!BS29&lt;&gt;"."),up_dir!V29/((1/1000)*(up_Irr!BS29)),IF(AND(up_Irr!U29=".",up_Irr!AT29&lt;&gt;".",up_Irr!BS29="."),up_dir!V29/((1/1000)*(up_Irr!AT29)),IF(AND(up_Irr!U29&lt;&gt;".",up_Irr!AT29=".",up_Irr!BS29="."),up_dir!V29/((1/1000)*(up_Irr!U29)),IF(AND(up_Irr!U29=".",up_Irr!AT29=".",up_Irr!BS29="."),up_dir!V29*1000)))))))),".")</f>
        <v>6.5773651144152123E-11</v>
      </c>
      <c r="W29" s="76">
        <f>IFERROR(IF(AND(up_Irr!V29&lt;&gt;".",up_Irr!AU29&lt;&gt;".",up_Irr!BT29&lt;&gt;"."),up_dir!W29/((1/1000)*(up_Irr!V29+up_Irr!AU29+up_Irr!BT29)),IF(AND(up_Irr!V29&lt;&gt;".",up_Irr!AU29&lt;&gt;".",up_Irr!BT29="."),up_dir!W29/((1/1000)*(up_Irr!V29+up_Irr!AU29)),IF(AND(up_Irr!V29&lt;&gt;".",up_Irr!AU29=".",up_Irr!BT29&lt;&gt;"."),up_dir!W29/((1/1000)*(up_Irr!V29+up_Irr!BT29)),IF(AND(up_Irr!V29=".",up_Irr!AU29&lt;&gt;".",up_Irr!BT29&lt;&gt;"."),up_dir!W29/((1/1000)*(up_Irr!AU29+up_Irr!BT29)),IF(AND(up_Irr!V29=".",up_Irr!AU29=".",up_Irr!BT29&lt;&gt;"."),up_dir!W29/((1/1000)*(up_Irr!BT29)),IF(AND(up_Irr!V29=".",up_Irr!AU29&lt;&gt;".",up_Irr!BT29="."),up_dir!W29/((1/1000)*(up_Irr!AU29)),IF(AND(up_Irr!V29&lt;&gt;".",up_Irr!AU29=".",up_Irr!BT29="."),up_dir!W29/((1/1000)*(up_Irr!V29)),IF(AND(up_Irr!V29=".",up_Irr!AU29=".",up_Irr!BT29="."),up_dir!W29*1000)))))))),".")</f>
        <v>6.5773651144152123E-11</v>
      </c>
      <c r="X29" s="76">
        <f>IFERROR(IF(AND(up_Irr!W29&lt;&gt;".",up_Irr!AV29&lt;&gt;".",up_Irr!BU29&lt;&gt;"."),up_dir!X29/((1/1000)*(up_Irr!W29+up_Irr!AV29+up_Irr!BU29)),IF(AND(up_Irr!W29&lt;&gt;".",up_Irr!AV29&lt;&gt;".",up_Irr!BU29="."),up_dir!X29/((1/1000)*(up_Irr!W29+up_Irr!AV29)),IF(AND(up_Irr!W29&lt;&gt;".",up_Irr!AV29=".",up_Irr!BU29&lt;&gt;"."),up_dir!X29/((1/1000)*(up_Irr!W29+up_Irr!BU29)),IF(AND(up_Irr!W29=".",up_Irr!AV29&lt;&gt;".",up_Irr!BU29&lt;&gt;"."),up_dir!X29/((1/1000)*(up_Irr!AV29+up_Irr!BU29)),IF(AND(up_Irr!W29=".",up_Irr!AV29=".",up_Irr!BU29&lt;&gt;"."),up_dir!X29/((1/1000)*(up_Irr!BU29)),IF(AND(up_Irr!W29=".",up_Irr!AV29&lt;&gt;".",up_Irr!BU29="."),up_dir!X29/((1/1000)*(up_Irr!AV29)),IF(AND(up_Irr!W29&lt;&gt;".",up_Irr!AV29=".",up_Irr!BU29="."),up_dir!X29/((1/1000)*(up_Irr!W29)),IF(AND(up_Irr!W29=".",up_Irr!AV29=".",up_Irr!BU29="."),up_dir!X29*1000)))))))),".")</f>
        <v>6.5773651144152123E-11</v>
      </c>
      <c r="Y29" s="76">
        <f>IFERROR(IF(AND(up_Irr!X29&lt;&gt;".",up_Irr!AW29&lt;&gt;".",up_Irr!BV29&lt;&gt;"."),up_dir!Y29/((1/1000)*(up_Irr!X29+up_Irr!AW29+up_Irr!BV29)),IF(AND(up_Irr!X29&lt;&gt;".",up_Irr!AW29&lt;&gt;".",up_Irr!BV29="."),up_dir!Y29/((1/1000)*(up_Irr!X29+up_Irr!AW29)),IF(AND(up_Irr!X29&lt;&gt;".",up_Irr!AW29=".",up_Irr!BV29&lt;&gt;"."),up_dir!Y29/((1/1000)*(up_Irr!X29+up_Irr!BV29)),IF(AND(up_Irr!X29=".",up_Irr!AW29&lt;&gt;".",up_Irr!BV29&lt;&gt;"."),up_dir!Y29/((1/1000)*(up_Irr!AW29+up_Irr!BV29)),IF(AND(up_Irr!X29=".",up_Irr!AW29=".",up_Irr!BV29&lt;&gt;"."),up_dir!Y29/((1/1000)*(up_Irr!BV29)),IF(AND(up_Irr!X29=".",up_Irr!AW29&lt;&gt;".",up_Irr!BV29="."),up_dir!Y29/((1/1000)*(up_Irr!AW29)),IF(AND(up_Irr!X29&lt;&gt;".",up_Irr!AW29=".",up_Irr!BV29="."),up_dir!Y29/((1/1000)*(up_Irr!X29)),IF(AND(up_Irr!X29=".",up_Irr!AW29=".",up_Irr!BV29="."),up_dir!Y29*1000)))))))),".")</f>
        <v>6.5773651144152123E-11</v>
      </c>
      <c r="Z29" s="76">
        <f>IFERROR(IF(AND(up_Irr!Y29&lt;&gt;".",up_Irr!AX29&lt;&gt;".",up_Irr!BW29&lt;&gt;"."),up_dir!Z29/((1/1000)*(up_Irr!Y29+up_Irr!AX29+up_Irr!BW29)),IF(AND(up_Irr!Y29&lt;&gt;".",up_Irr!AX29&lt;&gt;".",up_Irr!BW29="."),up_dir!Z29/((1/1000)*(up_Irr!Y29+up_Irr!AX29)),IF(AND(up_Irr!Y29&lt;&gt;".",up_Irr!AX29=".",up_Irr!BW29&lt;&gt;"."),up_dir!Z29/((1/1000)*(up_Irr!Y29+up_Irr!BW29)),IF(AND(up_Irr!Y29=".",up_Irr!AX29&lt;&gt;".",up_Irr!BW29&lt;&gt;"."),up_dir!Z29/((1/1000)*(up_Irr!AX29+up_Irr!BW29)),IF(AND(up_Irr!Y29=".",up_Irr!AX29=".",up_Irr!BW29&lt;&gt;"."),up_dir!Z29/((1/1000)*(up_Irr!BW29)),IF(AND(up_Irr!Y29=".",up_Irr!AX29&lt;&gt;".",up_Irr!BW29="."),up_dir!Z29/((1/1000)*(up_Irr!AX29)),IF(AND(up_Irr!Y29&lt;&gt;".",up_Irr!AX29=".",up_Irr!BW29="."),up_dir!Z29/((1/1000)*(up_Irr!Y29)),IF(AND(up_Irr!Y29=".",up_Irr!AX29=".",up_Irr!BW29="."),up_dir!Z29*1000)))))))),".")</f>
        <v>6.5773651144152123E-11</v>
      </c>
      <c r="AA29" s="76">
        <f>IFERROR(IF(AND(up_Irr!Z29&lt;&gt;".",up_Irr!AY29&lt;&gt;".",up_Irr!BX29&lt;&gt;"."),up_dir!AA29/((1/1000)*(up_Irr!Z29+up_Irr!AY29+up_Irr!BX29)),IF(AND(up_Irr!Z29&lt;&gt;".",up_Irr!AY29&lt;&gt;".",up_Irr!BX29="."),up_dir!AA29/((1/1000)*(up_Irr!Z29+up_Irr!AY29)),IF(AND(up_Irr!Z29&lt;&gt;".",up_Irr!AY29=".",up_Irr!BX29&lt;&gt;"."),up_dir!AA29/((1/1000)*(up_Irr!Z29+up_Irr!BX29)),IF(AND(up_Irr!Z29=".",up_Irr!AY29&lt;&gt;".",up_Irr!BX29&lt;&gt;"."),up_dir!AA29/((1/1000)*(up_Irr!AY29+up_Irr!BX29)),IF(AND(up_Irr!Z29=".",up_Irr!AY29=".",up_Irr!BX29&lt;&gt;"."),up_dir!AA29/((1/1000)*(up_Irr!BX29)),IF(AND(up_Irr!Z29=".",up_Irr!AY29&lt;&gt;".",up_Irr!BX29="."),up_dir!AA29/((1/1000)*(up_Irr!AY29)),IF(AND(up_Irr!Z29&lt;&gt;".",up_Irr!AY29=".",up_Irr!BX29="."),up_dir!AA29/((1/1000)*(up_Irr!Z29)),IF(AND(up_Irr!Z29=".",up_Irr!AY29=".",up_Irr!BX29="."),up_dir!AA29*1000)))))))),".")</f>
        <v>6.5773651144152123E-11</v>
      </c>
      <c r="AB29" s="76">
        <f>IFERROR(IF(AND(up_Irr!AA29&lt;&gt;".",up_Irr!AZ29&lt;&gt;".",up_Irr!BY29&lt;&gt;"."),up_dir!AB29/((1/1000)*(up_Irr!AA29+up_Irr!AZ29+up_Irr!BY29)),IF(AND(up_Irr!AA29&lt;&gt;".",up_Irr!AZ29&lt;&gt;".",up_Irr!BY29="."),up_dir!AB29/((1/1000)*(up_Irr!AA29+up_Irr!AZ29)),IF(AND(up_Irr!AA29&lt;&gt;".",up_Irr!AZ29=".",up_Irr!BY29&lt;&gt;"."),up_dir!AB29/((1/1000)*(up_Irr!AA29+up_Irr!BY29)),IF(AND(up_Irr!AA29=".",up_Irr!AZ29&lt;&gt;".",up_Irr!BY29&lt;&gt;"."),up_dir!AB29/((1/1000)*(up_Irr!AZ29+up_Irr!BY29)),IF(AND(up_Irr!AA29=".",up_Irr!AZ29=".",up_Irr!BY29&lt;&gt;"."),up_dir!AB29/((1/1000)*(up_Irr!BY29)),IF(AND(up_Irr!AA29=".",up_Irr!AZ29&lt;&gt;".",up_Irr!BY29="."),up_dir!AB29/((1/1000)*(up_Irr!AZ29)),IF(AND(up_Irr!AA29&lt;&gt;".",up_Irr!AZ29=".",up_Irr!BY29="."),up_dir!AB29/((1/1000)*(up_Irr!AA29)),IF(AND(up_Irr!AA29=".",up_Irr!AZ29=".",up_Irr!BY29="."),up_dir!AB29*1000)))))))),".")</f>
        <v>6.5773651144152123E-11</v>
      </c>
      <c r="AC29" s="93">
        <f t="shared" si="1"/>
        <v>608146.26076229871</v>
      </c>
      <c r="AD29" s="93">
        <f>IFERROR(s_C*s_IFAP_res_adj*s_CF_apple*0.001*(up_Irr!C29+up_Irr!AB29+up_Irr!BA29),".")</f>
        <v>152036.56519057468</v>
      </c>
      <c r="AE29" s="93">
        <f>IFERROR(s_C*s_IFAS_res_adj*s_CF_asparagus*0.001*(up_Irr!D29+up_Irr!AC29+up_Irr!BB29),".")</f>
        <v>152036.56519057468</v>
      </c>
      <c r="AF29" s="93">
        <f>IFERROR(s_C*s_IFBT_res_adj*s_CF_beet*0.001*(up_Irr!E29+up_Irr!AD29+up_Irr!BC29),".")</f>
        <v>152036.56519057468</v>
      </c>
      <c r="AG29" s="93">
        <f>IFERROR(s_C*s_IFBE_res_adj*s_CF_berries*0.001*(up_Irr!F29+up_Irr!AE29+up_Irr!BD29),".")</f>
        <v>152036.56519057468</v>
      </c>
      <c r="AH29" s="93">
        <f>IFERROR(s_C*s_IFBR_res_adj*s_CF_broccoli*0.001*(up_Irr!G29+up_Irr!AF29+up_Irr!BE29),".")</f>
        <v>152036.56519057468</v>
      </c>
      <c r="AI29" s="93">
        <f>IFERROR(s_C*s_IFCB_res_adj*s_CF_cabbage*0.001*(up_Irr!H29+up_Irr!AG29+up_Irr!BF29),".")</f>
        <v>152036.56519057468</v>
      </c>
      <c r="AJ29" s="93">
        <f>IFERROR(s_C*s_IFCR_res_adj*s_CF_carrot*0.001*(up_Irr!I29+up_Irr!AH29+up_Irr!BG29),".")</f>
        <v>152036.56519057468</v>
      </c>
      <c r="AK29" s="93">
        <f>IFERROR(s_C*s_IFCI_res_adj*s_CF_citrus*0.001*(up_Irr!J29+up_Irr!AI29+up_Irr!BH29),".")</f>
        <v>152036.56519057468</v>
      </c>
      <c r="AL29" s="93">
        <f>IFERROR(s_C*s_IFCO_res_adj*s_CF_corn*0.001*(up_Irr!K29+up_Irr!AJ29+up_Irr!BI29),".")</f>
        <v>152036.56519057468</v>
      </c>
      <c r="AM29" s="93">
        <f>IFERROR(s_C*s_IFCU_res_adj*s_CF_cucumber*0.001*(up_Irr!L29+up_Irr!AK29+up_Irr!BJ29),".")</f>
        <v>152036.56519057468</v>
      </c>
      <c r="AN29" s="93">
        <f>IFERROR(s_C*s_IFLE_res_adj*s_CF_lettuce*0.001*(up_Irr!M29+up_Irr!AL29+up_Irr!BK29),".")</f>
        <v>152036.56519057468</v>
      </c>
      <c r="AO29" s="93">
        <f>IFERROR(s_C*s_IFLI_res_adj*s_CF_lima_bean*0.001*(up_Irr!N29+up_Irr!AM29+up_Irr!BL29),".")</f>
        <v>152036.56519057468</v>
      </c>
      <c r="AP29" s="93">
        <f>IFERROR(s_C*s_IFOK_res_adj*s_CF_okra*0.001*(up_Irr!O29+up_Irr!AN29+up_Irr!BM29),".")</f>
        <v>152036.56519057468</v>
      </c>
      <c r="AQ29" s="93">
        <f>IFERROR(s_C*s_IFON_res_adj*s_CF_onion*0.001*(up_Irr!P29+up_Irr!AO29+up_Irr!BN29),".")</f>
        <v>152036.56519057468</v>
      </c>
      <c r="AR29" s="93">
        <f>IFERROR(s_C*s_IFPC_res_adj*s_CF_peach*0.001*(up_Irr!Q29+up_Irr!AP29+up_Irr!BO29),".")</f>
        <v>152036.56519057468</v>
      </c>
      <c r="AS29" s="93">
        <f>IFERROR(s_C*s_IFPR_res_adj*s_CF_pear*0.001*(up_Irr!R29+up_Irr!AQ29+up_Irr!BP29),".")</f>
        <v>152036.56519057468</v>
      </c>
      <c r="AT29" s="93">
        <f>IFERROR(s_C*s_IFPE_res_adj*s_CF_peas*0.001*(up_Irr!S29+up_Irr!AR29+up_Irr!BQ29),".")</f>
        <v>152036.56519057468</v>
      </c>
      <c r="AU29" s="93">
        <f>IFERROR(s_C*s_IFPP_res_adj*s_CF_peppers*0.001*(up_Irr!T29+up_Irr!AS29+up_Irr!BR29),".")</f>
        <v>152036.56519057468</v>
      </c>
      <c r="AV29" s="93">
        <f>IFERROR(s_C*s_IFPT_res_adj*s_CF_potato*0.001*(up_Irr!U29+up_Irr!AT29+up_Irr!BS29),".")</f>
        <v>152036.56519057468</v>
      </c>
      <c r="AW29" s="93">
        <f>IFERROR(s_C*s_IFPU_res_adj*s_CF_pumpkin*0.001*(up_Irr!V29+up_Irr!AU29+up_Irr!BT29),".")</f>
        <v>152036.56519057468</v>
      </c>
      <c r="AX29" s="93">
        <f>IFERROR(s_C*s_IFSN_res_adj*s_CF_snap_bean*0.001*(up_Irr!W29+up_Irr!AV29+up_Irr!BU29),".")</f>
        <v>152036.56519057468</v>
      </c>
      <c r="AY29" s="93">
        <f>IFERROR(s_C*s_IFST_res_adj*s_CF_strawberry*0.001*(up_Irr!X29+up_Irr!AW29+up_Irr!BV29),".")</f>
        <v>152036.56519057468</v>
      </c>
      <c r="AZ29" s="93">
        <f>IFERROR(s_C*s_IFTO_res_adj*s_CF_tomato*0.001*(up_Irr!Y29+up_Irr!AX29+up_Irr!BW29),".")</f>
        <v>152036.56519057468</v>
      </c>
      <c r="BA29" s="93">
        <f>IFERROR(s_C*s_IFRI_res_adj*s_CF_rice*0.001*(up_Irr!Z29+up_Irr!AY29+up_Irr!BX29),".")</f>
        <v>152036.56519057468</v>
      </c>
      <c r="BB29" s="93">
        <f>IFERROR(s_C*s_IFCG_res_adj*s_CF_cereal*0.001*(up_Irr!AA29+up_Irr!AZ29+up_Irr!BY29),".")</f>
        <v>152036.56519057468</v>
      </c>
      <c r="BC29" s="76">
        <f t="shared" si="2"/>
        <v>1.6443412786038031E-11</v>
      </c>
      <c r="BD29" s="76">
        <f>IFERROR(IF(AND(up_Irr!C29&lt;&gt;".",up_Irr!AB29&lt;&gt;".",up_Irr!BA29&lt;&gt;"."),up_dir!AD29/((1/1000)*(up_Irr!C29+up_Irr!AB29+up_Irr!BA29)),IF(AND(up_Irr!C29&lt;&gt;".",up_Irr!AB29&lt;&gt;".",up_Irr!BA29="."),up_dir!AD29/((1/1000)*(up_Irr!C29+up_Irr!AB29)),IF(AND(up_Irr!C29&lt;&gt;".",up_Irr!AB29=".",up_Irr!BA29&lt;&gt;"."),up_dir!AD29/((1/1000)*(up_Irr!C29+up_Irr!BA29)),IF(AND(up_Irr!C29=".",up_Irr!AB29&lt;&gt;".",up_Irr!BA29&lt;&gt;"."),up_dir!AD29/((1/1000)*(up_Irr!AB29+up_Irr!BA29)),IF(AND(up_Irr!C29=".",up_Irr!AB29=".",up_Irr!BA29&lt;&gt;"."),up_dir!AD29/((1/1000)*(up_Irr!BA29)),IF(AND(up_Irr!C29=".",up_Irr!AB29&lt;&gt;".",up_Irr!BA29="."),up_dir!AD29/((1/1000)*(up_Irr!AB29)),IF(AND(up_Irr!C29&lt;&gt;".",up_Irr!AB29=".",up_Irr!BA29="."),up_dir!AD29/((1/1000)*(up_Irr!C29)),IF(AND(up_Irr!C29=".",up_Irr!AB29=".",up_Irr!BA29="."),up_dir!AD29*1000)))))))),".")</f>
        <v>6.5773651144152123E-11</v>
      </c>
      <c r="BE29" s="76">
        <f>IFERROR(IF(AND(up_Irr!D29&lt;&gt;".",up_Irr!AC29&lt;&gt;".",up_Irr!BB29&lt;&gt;"."),up_dir!AE29/((1/1000)*(up_Irr!D29+up_Irr!AC29+up_Irr!BB29)),IF(AND(up_Irr!D29&lt;&gt;".",up_Irr!AC29&lt;&gt;".",up_Irr!BB29="."),up_dir!AE29/((1/1000)*(up_Irr!D29+up_Irr!AC29)),IF(AND(up_Irr!D29&lt;&gt;".",up_Irr!AC29=".",up_Irr!BB29&lt;&gt;"."),up_dir!AE29/((1/1000)*(up_Irr!D29+up_Irr!BB29)),IF(AND(up_Irr!D29=".",up_Irr!AC29&lt;&gt;".",up_Irr!BB29&lt;&gt;"."),up_dir!AE29/((1/1000)*(up_Irr!AC29+up_Irr!BB29)),IF(AND(up_Irr!D29=".",up_Irr!AC29=".",up_Irr!BB29&lt;&gt;"."),up_dir!AE29/((1/1000)*(up_Irr!BB29)),IF(AND(up_Irr!D29=".",up_Irr!AC29&lt;&gt;".",up_Irr!BB29="."),up_dir!AE29/((1/1000)*(up_Irr!AC29)),IF(AND(up_Irr!D29&lt;&gt;".",up_Irr!AC29=".",up_Irr!BB29="."),up_dir!AE29/((1/1000)*(up_Irr!D29)),IF(AND(up_Irr!D29=".",up_Irr!AC29=".",up_Irr!BB29="."),up_dir!AE29*1000)))))))),".")</f>
        <v>6.5773651144152123E-11</v>
      </c>
      <c r="BF29" s="76">
        <f>IFERROR(IF(AND(up_Irr!E29&lt;&gt;".",up_Irr!AD29&lt;&gt;".",up_Irr!BC29&lt;&gt;"."),up_dir!AF29/((1/1000)*(up_Irr!E29+up_Irr!AD29+up_Irr!BC29)),IF(AND(up_Irr!E29&lt;&gt;".",up_Irr!AD29&lt;&gt;".",up_Irr!BC29="."),up_dir!AF29/((1/1000)*(up_Irr!E29+up_Irr!AD29)),IF(AND(up_Irr!E29&lt;&gt;".",up_Irr!AD29=".",up_Irr!BC29&lt;&gt;"."),up_dir!AF29/((1/1000)*(up_Irr!E29+up_Irr!BC29)),IF(AND(up_Irr!E29=".",up_Irr!AD29&lt;&gt;".",up_Irr!BC29&lt;&gt;"."),up_dir!AF29/((1/1000)*(up_Irr!AD29+up_Irr!BC29)),IF(AND(up_Irr!E29=".",up_Irr!AD29=".",up_Irr!BC29&lt;&gt;"."),up_dir!AF29/((1/1000)*(up_Irr!BC29)),IF(AND(up_Irr!E29=".",up_Irr!AD29&lt;&gt;".",up_Irr!BC29="."),up_dir!AF29/((1/1000)*(up_Irr!AD29)),IF(AND(up_Irr!E29&lt;&gt;".",up_Irr!AD29=".",up_Irr!BC29="."),up_dir!AF29/((1/1000)*(up_Irr!E29)),IF(AND(up_Irr!E29=".",up_Irr!AD29=".",up_Irr!BC29="."),up_dir!AF29*1000)))))))),".")</f>
        <v>6.5773651144152123E-11</v>
      </c>
      <c r="BG29" s="76">
        <f>IFERROR(IF(AND(up_Irr!F29&lt;&gt;".",up_Irr!AE29&lt;&gt;".",up_Irr!BD29&lt;&gt;"."),up_dir!AG29/((1/1000)*(up_Irr!F29+up_Irr!AE29+up_Irr!BD29)),IF(AND(up_Irr!F29&lt;&gt;".",up_Irr!AE29&lt;&gt;".",up_Irr!BD29="."),up_dir!AG29/((1/1000)*(up_Irr!F29+up_Irr!AE29)),IF(AND(up_Irr!F29&lt;&gt;".",up_Irr!AE29=".",up_Irr!BD29&lt;&gt;"."),up_dir!AG29/((1/1000)*(up_Irr!F29+up_Irr!BD29)),IF(AND(up_Irr!F29=".",up_Irr!AE29&lt;&gt;".",up_Irr!BD29&lt;&gt;"."),up_dir!AG29/((1/1000)*(up_Irr!AE29+up_Irr!BD29)),IF(AND(up_Irr!F29=".",up_Irr!AE29=".",up_Irr!BD29&lt;&gt;"."),up_dir!AG29/((1/1000)*(up_Irr!BD29)),IF(AND(up_Irr!F29=".",up_Irr!AE29&lt;&gt;".",up_Irr!BD29="."),up_dir!AG29/((1/1000)*(up_Irr!AE29)),IF(AND(up_Irr!F29&lt;&gt;".",up_Irr!AE29=".",up_Irr!BD29="."),up_dir!AG29/((1/1000)*(up_Irr!F29)),IF(AND(up_Irr!F29=".",up_Irr!AE29=".",up_Irr!BD29="."),up_dir!AG29*1000)))))))),".")</f>
        <v>6.5773651144152123E-11</v>
      </c>
      <c r="BH29" s="76">
        <f>IFERROR(IF(AND(up_Irr!G29&lt;&gt;".",up_Irr!AF29&lt;&gt;".",up_Irr!BE29&lt;&gt;"."),up_dir!AH29/((1/1000)*(up_Irr!G29+up_Irr!AF29+up_Irr!BE29)),IF(AND(up_Irr!G29&lt;&gt;".",up_Irr!AF29&lt;&gt;".",up_Irr!BE29="."),up_dir!AH29/((1/1000)*(up_Irr!G29+up_Irr!AF29)),IF(AND(up_Irr!G29&lt;&gt;".",up_Irr!AF29=".",up_Irr!BE29&lt;&gt;"."),up_dir!AH29/((1/1000)*(up_Irr!G29+up_Irr!BE29)),IF(AND(up_Irr!G29=".",up_Irr!AF29&lt;&gt;".",up_Irr!BE29&lt;&gt;"."),up_dir!AH29/((1/1000)*(up_Irr!AF29+up_Irr!BE29)),IF(AND(up_Irr!G29=".",up_Irr!AF29=".",up_Irr!BE29&lt;&gt;"."),up_dir!AH29/((1/1000)*(up_Irr!BE29)),IF(AND(up_Irr!G29=".",up_Irr!AF29&lt;&gt;".",up_Irr!BE29="."),up_dir!AH29/((1/1000)*(up_Irr!AF29)),IF(AND(up_Irr!G29&lt;&gt;".",up_Irr!AF29=".",up_Irr!BE29="."),up_dir!AH29/((1/1000)*(up_Irr!G29)),IF(AND(up_Irr!G29=".",up_Irr!AF29=".",up_Irr!BE29="."),up_dir!AH29*1000)))))))),".")</f>
        <v>6.5773651144152123E-11</v>
      </c>
      <c r="BI29" s="76">
        <f>IFERROR(IF(AND(up_Irr!H29&lt;&gt;".",up_Irr!AG29&lt;&gt;".",up_Irr!BF29&lt;&gt;"."),up_dir!AI29/((1/1000)*(up_Irr!H29+up_Irr!AG29+up_Irr!BF29)),IF(AND(up_Irr!H29&lt;&gt;".",up_Irr!AG29&lt;&gt;".",up_Irr!BF29="."),up_dir!AI29/((1/1000)*(up_Irr!H29+up_Irr!AG29)),IF(AND(up_Irr!H29&lt;&gt;".",up_Irr!AG29=".",up_Irr!BF29&lt;&gt;"."),up_dir!AI29/((1/1000)*(up_Irr!H29+up_Irr!BF29)),IF(AND(up_Irr!H29=".",up_Irr!AG29&lt;&gt;".",up_Irr!BF29&lt;&gt;"."),up_dir!AI29/((1/1000)*(up_Irr!AG29+up_Irr!BF29)),IF(AND(up_Irr!H29=".",up_Irr!AG29=".",up_Irr!BF29&lt;&gt;"."),up_dir!AI29/((1/1000)*(up_Irr!BF29)),IF(AND(up_Irr!H29=".",up_Irr!AG29&lt;&gt;".",up_Irr!BF29="."),up_dir!AI29/((1/1000)*(up_Irr!AG29)),IF(AND(up_Irr!H29&lt;&gt;".",up_Irr!AG29=".",up_Irr!BF29="."),up_dir!AI29/((1/1000)*(up_Irr!H29)),IF(AND(up_Irr!H29=".",up_Irr!AG29=".",up_Irr!BF29="."),up_dir!AI29*1000)))))))),".")</f>
        <v>6.5773651144152123E-11</v>
      </c>
      <c r="BJ29" s="76">
        <f>IFERROR(IF(AND(up_Irr!I29&lt;&gt;".",up_Irr!AH29&lt;&gt;".",up_Irr!BG29&lt;&gt;"."),up_dir!AJ29/((1/1000)*(up_Irr!I29+up_Irr!AH29+up_Irr!BG29)),IF(AND(up_Irr!I29&lt;&gt;".",up_Irr!AH29&lt;&gt;".",up_Irr!BG29="."),up_dir!AJ29/((1/1000)*(up_Irr!I29+up_Irr!AH29)),IF(AND(up_Irr!I29&lt;&gt;".",up_Irr!AH29=".",up_Irr!BG29&lt;&gt;"."),up_dir!AJ29/((1/1000)*(up_Irr!I29+up_Irr!BG29)),IF(AND(up_Irr!I29=".",up_Irr!AH29&lt;&gt;".",up_Irr!BG29&lt;&gt;"."),up_dir!AJ29/((1/1000)*(up_Irr!AH29+up_Irr!BG29)),IF(AND(up_Irr!I29=".",up_Irr!AH29=".",up_Irr!BG29&lt;&gt;"."),up_dir!AJ29/((1/1000)*(up_Irr!BG29)),IF(AND(up_Irr!I29=".",up_Irr!AH29&lt;&gt;".",up_Irr!BG29="."),up_dir!AJ29/((1/1000)*(up_Irr!AH29)),IF(AND(up_Irr!I29&lt;&gt;".",up_Irr!AH29=".",up_Irr!BG29="."),up_dir!AJ29/((1/1000)*(up_Irr!I29)),IF(AND(up_Irr!I29=".",up_Irr!AH29=".",up_Irr!BG29="."),up_dir!AJ29*1000)))))))),".")</f>
        <v>6.5773651144152123E-11</v>
      </c>
      <c r="BK29" s="76">
        <f>IFERROR(IF(AND(up_Irr!J29&lt;&gt;".",up_Irr!AI29&lt;&gt;".",up_Irr!BH29&lt;&gt;"."),up_dir!AK29/((1/1000)*(up_Irr!J29+up_Irr!AI29+up_Irr!BH29)),IF(AND(up_Irr!J29&lt;&gt;".",up_Irr!AI29&lt;&gt;".",up_Irr!BH29="."),up_dir!AK29/((1/1000)*(up_Irr!J29+up_Irr!AI29)),IF(AND(up_Irr!J29&lt;&gt;".",up_Irr!AI29=".",up_Irr!BH29&lt;&gt;"."),up_dir!AK29/((1/1000)*(up_Irr!J29+up_Irr!BH29)),IF(AND(up_Irr!J29=".",up_Irr!AI29&lt;&gt;".",up_Irr!BH29&lt;&gt;"."),up_dir!AK29/((1/1000)*(up_Irr!AI29+up_Irr!BH29)),IF(AND(up_Irr!J29=".",up_Irr!AI29=".",up_Irr!BH29&lt;&gt;"."),up_dir!AK29/((1/1000)*(up_Irr!BH29)),IF(AND(up_Irr!J29=".",up_Irr!AI29&lt;&gt;".",up_Irr!BH29="."),up_dir!AK29/((1/1000)*(up_Irr!AI29)),IF(AND(up_Irr!J29&lt;&gt;".",up_Irr!AI29=".",up_Irr!BH29="."),up_dir!AK29/((1/1000)*(up_Irr!J29)),IF(AND(up_Irr!J29=".",up_Irr!AI29=".",up_Irr!BH29="."),up_dir!AK29*1000)))))))),".")</f>
        <v>6.5773651144152123E-11</v>
      </c>
      <c r="BL29" s="76">
        <f>IFERROR(IF(AND(up_Irr!K29&lt;&gt;".",up_Irr!AJ29&lt;&gt;".",up_Irr!BI29&lt;&gt;"."),up_dir!AL29/((1/1000)*(up_Irr!K29+up_Irr!AJ29+up_Irr!BI29)),IF(AND(up_Irr!K29&lt;&gt;".",up_Irr!AJ29&lt;&gt;".",up_Irr!BI29="."),up_dir!AL29/((1/1000)*(up_Irr!K29+up_Irr!AJ29)),IF(AND(up_Irr!K29&lt;&gt;".",up_Irr!AJ29=".",up_Irr!BI29&lt;&gt;"."),up_dir!AL29/((1/1000)*(up_Irr!K29+up_Irr!BI29)),IF(AND(up_Irr!K29=".",up_Irr!AJ29&lt;&gt;".",up_Irr!BI29&lt;&gt;"."),up_dir!AL29/((1/1000)*(up_Irr!AJ29+up_Irr!BI29)),IF(AND(up_Irr!K29=".",up_Irr!AJ29=".",up_Irr!BI29&lt;&gt;"."),up_dir!AL29/((1/1000)*(up_Irr!BI29)),IF(AND(up_Irr!K29=".",up_Irr!AJ29&lt;&gt;".",up_Irr!BI29="."),up_dir!AL29/((1/1000)*(up_Irr!AJ29)),IF(AND(up_Irr!K29&lt;&gt;".",up_Irr!AJ29=".",up_Irr!BI29="."),up_dir!AL29/((1/1000)*(up_Irr!K29)),IF(AND(up_Irr!K29=".",up_Irr!AJ29=".",up_Irr!BI29="."),up_dir!AL29*1000)))))))),".")</f>
        <v>6.5773651144152123E-11</v>
      </c>
      <c r="BM29" s="76">
        <f>IFERROR(IF(AND(up_Irr!L29&lt;&gt;".",up_Irr!AK29&lt;&gt;".",up_Irr!BJ29&lt;&gt;"."),up_dir!AM29/((1/1000)*(up_Irr!L29+up_Irr!AK29+up_Irr!BJ29)),IF(AND(up_Irr!L29&lt;&gt;".",up_Irr!AK29&lt;&gt;".",up_Irr!BJ29="."),up_dir!AM29/((1/1000)*(up_Irr!L29+up_Irr!AK29)),IF(AND(up_Irr!L29&lt;&gt;".",up_Irr!AK29=".",up_Irr!BJ29&lt;&gt;"."),up_dir!AM29/((1/1000)*(up_Irr!L29+up_Irr!BJ29)),IF(AND(up_Irr!L29=".",up_Irr!AK29&lt;&gt;".",up_Irr!BJ29&lt;&gt;"."),up_dir!AM29/((1/1000)*(up_Irr!AK29+up_Irr!BJ29)),IF(AND(up_Irr!L29=".",up_Irr!AK29=".",up_Irr!BJ29&lt;&gt;"."),up_dir!AM29/((1/1000)*(up_Irr!BJ29)),IF(AND(up_Irr!L29=".",up_Irr!AK29&lt;&gt;".",up_Irr!BJ29="."),up_dir!AM29/((1/1000)*(up_Irr!AK29)),IF(AND(up_Irr!L29&lt;&gt;".",up_Irr!AK29=".",up_Irr!BJ29="."),up_dir!AM29/((1/1000)*(up_Irr!L29)),IF(AND(up_Irr!L29=".",up_Irr!AK29=".",up_Irr!BJ29="."),up_dir!AM29*1000)))))))),".")</f>
        <v>6.5773651144152123E-11</v>
      </c>
      <c r="BN29" s="76">
        <f>IFERROR(IF(AND(up_Irr!M29&lt;&gt;".",up_Irr!AL29&lt;&gt;".",up_Irr!BK29&lt;&gt;"."),up_dir!AN29/((1/1000)*(up_Irr!M29+up_Irr!AL29+up_Irr!BK29)),IF(AND(up_Irr!M29&lt;&gt;".",up_Irr!AL29&lt;&gt;".",up_Irr!BK29="."),up_dir!AN29/((1/1000)*(up_Irr!M29+up_Irr!AL29)),IF(AND(up_Irr!M29&lt;&gt;".",up_Irr!AL29=".",up_Irr!BK29&lt;&gt;"."),up_dir!AN29/((1/1000)*(up_Irr!M29+up_Irr!BK29)),IF(AND(up_Irr!M29=".",up_Irr!AL29&lt;&gt;".",up_Irr!BK29&lt;&gt;"."),up_dir!AN29/((1/1000)*(up_Irr!AL29+up_Irr!BK29)),IF(AND(up_Irr!M29=".",up_Irr!AL29=".",up_Irr!BK29&lt;&gt;"."),up_dir!AN29/((1/1000)*(up_Irr!BK29)),IF(AND(up_Irr!M29=".",up_Irr!AL29&lt;&gt;".",up_Irr!BK29="."),up_dir!AN29/((1/1000)*(up_Irr!AL29)),IF(AND(up_Irr!M29&lt;&gt;".",up_Irr!AL29=".",up_Irr!BK29="."),up_dir!AN29/((1/1000)*(up_Irr!M29)),IF(AND(up_Irr!M29=".",up_Irr!AL29=".",up_Irr!BK29="."),up_dir!AN29*1000)))))))),".")</f>
        <v>6.5773651144152123E-11</v>
      </c>
      <c r="BO29" s="76">
        <f>IFERROR(IF(AND(up_Irr!N29&lt;&gt;".",up_Irr!AM29&lt;&gt;".",up_Irr!BL29&lt;&gt;"."),up_dir!AO29/((1/1000)*(up_Irr!N29+up_Irr!AM29+up_Irr!BL29)),IF(AND(up_Irr!N29&lt;&gt;".",up_Irr!AM29&lt;&gt;".",up_Irr!BL29="."),up_dir!AO29/((1/1000)*(up_Irr!N29+up_Irr!AM29)),IF(AND(up_Irr!N29&lt;&gt;".",up_Irr!AM29=".",up_Irr!BL29&lt;&gt;"."),up_dir!AO29/((1/1000)*(up_Irr!N29+up_Irr!BL29)),IF(AND(up_Irr!N29=".",up_Irr!AM29&lt;&gt;".",up_Irr!BL29&lt;&gt;"."),up_dir!AO29/((1/1000)*(up_Irr!AM29+up_Irr!BL29)),IF(AND(up_Irr!N29=".",up_Irr!AM29=".",up_Irr!BL29&lt;&gt;"."),up_dir!AO29/((1/1000)*(up_Irr!BL29)),IF(AND(up_Irr!N29=".",up_Irr!AM29&lt;&gt;".",up_Irr!BL29="."),up_dir!AO29/((1/1000)*(up_Irr!AM29)),IF(AND(up_Irr!N29&lt;&gt;".",up_Irr!AM29=".",up_Irr!BL29="."),up_dir!AO29/((1/1000)*(up_Irr!N29)),IF(AND(up_Irr!N29=".",up_Irr!AM29=".",up_Irr!BL29="."),up_dir!AO29*1000)))))))),".")</f>
        <v>6.5773651144152123E-11</v>
      </c>
      <c r="BP29" s="76">
        <f>IFERROR(IF(AND(up_Irr!O29&lt;&gt;".",up_Irr!AN29&lt;&gt;".",up_Irr!BM29&lt;&gt;"."),up_dir!AP29/((1/1000)*(up_Irr!O29+up_Irr!AN29+up_Irr!BM29)),IF(AND(up_Irr!O29&lt;&gt;".",up_Irr!AN29&lt;&gt;".",up_Irr!BM29="."),up_dir!AP29/((1/1000)*(up_Irr!O29+up_Irr!AN29)),IF(AND(up_Irr!O29&lt;&gt;".",up_Irr!AN29=".",up_Irr!BM29&lt;&gt;"."),up_dir!AP29/((1/1000)*(up_Irr!O29+up_Irr!BM29)),IF(AND(up_Irr!O29=".",up_Irr!AN29&lt;&gt;".",up_Irr!BM29&lt;&gt;"."),up_dir!AP29/((1/1000)*(up_Irr!AN29+up_Irr!BM29)),IF(AND(up_Irr!O29=".",up_Irr!AN29=".",up_Irr!BM29&lt;&gt;"."),up_dir!AP29/((1/1000)*(up_Irr!BM29)),IF(AND(up_Irr!O29=".",up_Irr!AN29&lt;&gt;".",up_Irr!BM29="."),up_dir!AP29/((1/1000)*(up_Irr!AN29)),IF(AND(up_Irr!O29&lt;&gt;".",up_Irr!AN29=".",up_Irr!BM29="."),up_dir!AP29/((1/1000)*(up_Irr!O29)),IF(AND(up_Irr!O29=".",up_Irr!AN29=".",up_Irr!BM29="."),up_dir!AP29*1000)))))))),".")</f>
        <v>6.5773651144152123E-11</v>
      </c>
      <c r="BQ29" s="76">
        <f>IFERROR(IF(AND(up_Irr!P29&lt;&gt;".",up_Irr!AO29&lt;&gt;".",up_Irr!BN29&lt;&gt;"."),up_dir!AQ29/((1/1000)*(up_Irr!P29+up_Irr!AO29+up_Irr!BN29)),IF(AND(up_Irr!P29&lt;&gt;".",up_Irr!AO29&lt;&gt;".",up_Irr!BN29="."),up_dir!AQ29/((1/1000)*(up_Irr!P29+up_Irr!AO29)),IF(AND(up_Irr!P29&lt;&gt;".",up_Irr!AO29=".",up_Irr!BN29&lt;&gt;"."),up_dir!AQ29/((1/1000)*(up_Irr!P29+up_Irr!BN29)),IF(AND(up_Irr!P29=".",up_Irr!AO29&lt;&gt;".",up_Irr!BN29&lt;&gt;"."),up_dir!AQ29/((1/1000)*(up_Irr!AO29+up_Irr!BN29)),IF(AND(up_Irr!P29=".",up_Irr!AO29=".",up_Irr!BN29&lt;&gt;"."),up_dir!AQ29/((1/1000)*(up_Irr!BN29)),IF(AND(up_Irr!P29=".",up_Irr!AO29&lt;&gt;".",up_Irr!BN29="."),up_dir!AQ29/((1/1000)*(up_Irr!AO29)),IF(AND(up_Irr!P29&lt;&gt;".",up_Irr!AO29=".",up_Irr!BN29="."),up_dir!AQ29/((1/1000)*(up_Irr!P29)),IF(AND(up_Irr!P29=".",up_Irr!AO29=".",up_Irr!BN29="."),up_dir!AQ29*1000)))))))),".")</f>
        <v>6.5773651144152123E-11</v>
      </c>
      <c r="BR29" s="76">
        <f>IFERROR(IF(AND(up_Irr!Q29&lt;&gt;".",up_Irr!AP29&lt;&gt;".",up_Irr!BO29&lt;&gt;"."),up_dir!AR29/((1/1000)*(up_Irr!Q29+up_Irr!AP29+up_Irr!BO29)),IF(AND(up_Irr!Q29&lt;&gt;".",up_Irr!AP29&lt;&gt;".",up_Irr!BO29="."),up_dir!AR29/((1/1000)*(up_Irr!Q29+up_Irr!AP29)),IF(AND(up_Irr!Q29&lt;&gt;".",up_Irr!AP29=".",up_Irr!BO29&lt;&gt;"."),up_dir!AR29/((1/1000)*(up_Irr!Q29+up_Irr!BO29)),IF(AND(up_Irr!Q29=".",up_Irr!AP29&lt;&gt;".",up_Irr!BO29&lt;&gt;"."),up_dir!AR29/((1/1000)*(up_Irr!AP29+up_Irr!BO29)),IF(AND(up_Irr!Q29=".",up_Irr!AP29=".",up_Irr!BO29&lt;&gt;"."),up_dir!AR29/((1/1000)*(up_Irr!BO29)),IF(AND(up_Irr!Q29=".",up_Irr!AP29&lt;&gt;".",up_Irr!BO29="."),up_dir!AR29/((1/1000)*(up_Irr!AP29)),IF(AND(up_Irr!Q29&lt;&gt;".",up_Irr!AP29=".",up_Irr!BO29="."),up_dir!AR29/((1/1000)*(up_Irr!Q29)),IF(AND(up_Irr!Q29=".",up_Irr!AP29=".",up_Irr!BO29="."),up_dir!AR29*1000)))))))),".")</f>
        <v>6.5773651144152123E-11</v>
      </c>
      <c r="BS29" s="76">
        <f>IFERROR(IF(AND(up_Irr!R29&lt;&gt;".",up_Irr!AQ29&lt;&gt;".",up_Irr!BP29&lt;&gt;"."),up_dir!AS29/((1/1000)*(up_Irr!R29+up_Irr!AQ29+up_Irr!BP29)),IF(AND(up_Irr!R29&lt;&gt;".",up_Irr!AQ29&lt;&gt;".",up_Irr!BP29="."),up_dir!AS29/((1/1000)*(up_Irr!R29+up_Irr!AQ29)),IF(AND(up_Irr!R29&lt;&gt;".",up_Irr!AQ29=".",up_Irr!BP29&lt;&gt;"."),up_dir!AS29/((1/1000)*(up_Irr!R29+up_Irr!BP29)),IF(AND(up_Irr!R29=".",up_Irr!AQ29&lt;&gt;".",up_Irr!BP29&lt;&gt;"."),up_dir!AS29/((1/1000)*(up_Irr!AQ29+up_Irr!BP29)),IF(AND(up_Irr!R29=".",up_Irr!AQ29=".",up_Irr!BP29&lt;&gt;"."),up_dir!AS29/((1/1000)*(up_Irr!BP29)),IF(AND(up_Irr!R29=".",up_Irr!AQ29&lt;&gt;".",up_Irr!BP29="."),up_dir!AS29/((1/1000)*(up_Irr!AQ29)),IF(AND(up_Irr!R29&lt;&gt;".",up_Irr!AQ29=".",up_Irr!BP29="."),up_dir!AS29/((1/1000)*(up_Irr!R29)),IF(AND(up_Irr!R29=".",up_Irr!AQ29=".",up_Irr!BP29="."),up_dir!AS29*1000)))))))),".")</f>
        <v>6.5773651144152123E-11</v>
      </c>
      <c r="BT29" s="76">
        <f>IFERROR(IF(AND(up_Irr!S29&lt;&gt;".",up_Irr!AR29&lt;&gt;".",up_Irr!BQ29&lt;&gt;"."),up_dir!AT29/((1/1000)*(up_Irr!S29+up_Irr!AR29+up_Irr!BQ29)),IF(AND(up_Irr!S29&lt;&gt;".",up_Irr!AR29&lt;&gt;".",up_Irr!BQ29="."),up_dir!AT29/((1/1000)*(up_Irr!S29+up_Irr!AR29)),IF(AND(up_Irr!S29&lt;&gt;".",up_Irr!AR29=".",up_Irr!BQ29&lt;&gt;"."),up_dir!AT29/((1/1000)*(up_Irr!S29+up_Irr!BQ29)),IF(AND(up_Irr!S29=".",up_Irr!AR29&lt;&gt;".",up_Irr!BQ29&lt;&gt;"."),up_dir!AT29/((1/1000)*(up_Irr!AR29+up_Irr!BQ29)),IF(AND(up_Irr!S29=".",up_Irr!AR29=".",up_Irr!BQ29&lt;&gt;"."),up_dir!AT29/((1/1000)*(up_Irr!BQ29)),IF(AND(up_Irr!S29=".",up_Irr!AR29&lt;&gt;".",up_Irr!BQ29="."),up_dir!AT29/((1/1000)*(up_Irr!AR29)),IF(AND(up_Irr!S29&lt;&gt;".",up_Irr!AR29=".",up_Irr!BQ29="."),up_dir!AT29/((1/1000)*(up_Irr!S29)),IF(AND(up_Irr!S29=".",up_Irr!AR29=".",up_Irr!BQ29="."),up_dir!AT29*1000)))))))),".")</f>
        <v>6.5773651144152123E-11</v>
      </c>
      <c r="BU29" s="76">
        <f>IFERROR(IF(AND(up_Irr!T29&lt;&gt;".",up_Irr!AS29&lt;&gt;".",up_Irr!BR29&lt;&gt;"."),up_dir!AU29/((1/1000)*(up_Irr!T29+up_Irr!AS29+up_Irr!BR29)),IF(AND(up_Irr!T29&lt;&gt;".",up_Irr!AS29&lt;&gt;".",up_Irr!BR29="."),up_dir!AU29/((1/1000)*(up_Irr!T29+up_Irr!AS29)),IF(AND(up_Irr!T29&lt;&gt;".",up_Irr!AS29=".",up_Irr!BR29&lt;&gt;"."),up_dir!AU29/((1/1000)*(up_Irr!T29+up_Irr!BR29)),IF(AND(up_Irr!T29=".",up_Irr!AS29&lt;&gt;".",up_Irr!BR29&lt;&gt;"."),up_dir!AU29/((1/1000)*(up_Irr!AS29+up_Irr!BR29)),IF(AND(up_Irr!T29=".",up_Irr!AS29=".",up_Irr!BR29&lt;&gt;"."),up_dir!AU29/((1/1000)*(up_Irr!BR29)),IF(AND(up_Irr!T29=".",up_Irr!AS29&lt;&gt;".",up_Irr!BR29="."),up_dir!AU29/((1/1000)*(up_Irr!AS29)),IF(AND(up_Irr!T29&lt;&gt;".",up_Irr!AS29=".",up_Irr!BR29="."),up_dir!AU29/((1/1000)*(up_Irr!T29)),IF(AND(up_Irr!T29=".",up_Irr!AS29=".",up_Irr!BR29="."),up_dir!AU29*1000)))))))),".")</f>
        <v>6.5773651144152123E-11</v>
      </c>
      <c r="BV29" s="76">
        <f>IFERROR(IF(AND(up_Irr!U29&lt;&gt;".",up_Irr!AT29&lt;&gt;".",up_Irr!BS29&lt;&gt;"."),up_dir!AV29/((1/1000)*(up_Irr!U29+up_Irr!AT29+up_Irr!BS29)),IF(AND(up_Irr!U29&lt;&gt;".",up_Irr!AT29&lt;&gt;".",up_Irr!BS29="."),up_dir!AV29/((1/1000)*(up_Irr!U29+up_Irr!AT29)),IF(AND(up_Irr!U29&lt;&gt;".",up_Irr!AT29=".",up_Irr!BS29&lt;&gt;"."),up_dir!AV29/((1/1000)*(up_Irr!U29+up_Irr!BS29)),IF(AND(up_Irr!U29=".",up_Irr!AT29&lt;&gt;".",up_Irr!BS29&lt;&gt;"."),up_dir!AV29/((1/1000)*(up_Irr!AT29+up_Irr!BS29)),IF(AND(up_Irr!U29=".",up_Irr!AT29=".",up_Irr!BS29&lt;&gt;"."),up_dir!AV29/((1/1000)*(up_Irr!BS29)),IF(AND(up_Irr!U29=".",up_Irr!AT29&lt;&gt;".",up_Irr!BS29="."),up_dir!AV29/((1/1000)*(up_Irr!AT29)),IF(AND(up_Irr!U29&lt;&gt;".",up_Irr!AT29=".",up_Irr!BS29="."),up_dir!AV29/((1/1000)*(up_Irr!U29)),IF(AND(up_Irr!U29=".",up_Irr!AT29=".",up_Irr!BS29="."),up_dir!AV29*1000)))))))),".")</f>
        <v>6.5773651144152123E-11</v>
      </c>
      <c r="BW29" s="76">
        <f>IFERROR(IF(AND(up_Irr!V29&lt;&gt;".",up_Irr!AU29&lt;&gt;".",up_Irr!BT29&lt;&gt;"."),up_dir!AW29/((1/1000)*(up_Irr!V29+up_Irr!AU29+up_Irr!BT29)),IF(AND(up_Irr!V29&lt;&gt;".",up_Irr!AU29&lt;&gt;".",up_Irr!BT29="."),up_dir!AW29/((1/1000)*(up_Irr!V29+up_Irr!AU29)),IF(AND(up_Irr!V29&lt;&gt;".",up_Irr!AU29=".",up_Irr!BT29&lt;&gt;"."),up_dir!AW29/((1/1000)*(up_Irr!V29+up_Irr!BT29)),IF(AND(up_Irr!V29=".",up_Irr!AU29&lt;&gt;".",up_Irr!BT29&lt;&gt;"."),up_dir!AW29/((1/1000)*(up_Irr!AU29+up_Irr!BT29)),IF(AND(up_Irr!V29=".",up_Irr!AU29=".",up_Irr!BT29&lt;&gt;"."),up_dir!AW29/((1/1000)*(up_Irr!BT29)),IF(AND(up_Irr!V29=".",up_Irr!AU29&lt;&gt;".",up_Irr!BT29="."),up_dir!AW29/((1/1000)*(up_Irr!AU29)),IF(AND(up_Irr!V29&lt;&gt;".",up_Irr!AU29=".",up_Irr!BT29="."),up_dir!AW29/((1/1000)*(up_Irr!V29)),IF(AND(up_Irr!V29=".",up_Irr!AU29=".",up_Irr!BT29="."),up_dir!AW29*1000)))))))),".")</f>
        <v>6.5773651144152123E-11</v>
      </c>
      <c r="BX29" s="76">
        <f>IFERROR(IF(AND(up_Irr!W29&lt;&gt;".",up_Irr!AV29&lt;&gt;".",up_Irr!BU29&lt;&gt;"."),up_dir!AX29/((1/1000)*(up_Irr!W29+up_Irr!AV29+up_Irr!BU29)),IF(AND(up_Irr!W29&lt;&gt;".",up_Irr!AV29&lt;&gt;".",up_Irr!BU29="."),up_dir!AX29/((1/1000)*(up_Irr!W29+up_Irr!AV29)),IF(AND(up_Irr!W29&lt;&gt;".",up_Irr!AV29=".",up_Irr!BU29&lt;&gt;"."),up_dir!AX29/((1/1000)*(up_Irr!W29+up_Irr!BU29)),IF(AND(up_Irr!W29=".",up_Irr!AV29&lt;&gt;".",up_Irr!BU29&lt;&gt;"."),up_dir!AX29/((1/1000)*(up_Irr!AV29+up_Irr!BU29)),IF(AND(up_Irr!W29=".",up_Irr!AV29=".",up_Irr!BU29&lt;&gt;"."),up_dir!AX29/((1/1000)*(up_Irr!BU29)),IF(AND(up_Irr!W29=".",up_Irr!AV29&lt;&gt;".",up_Irr!BU29="."),up_dir!AX29/((1/1000)*(up_Irr!AV29)),IF(AND(up_Irr!W29&lt;&gt;".",up_Irr!AV29=".",up_Irr!BU29="."),up_dir!AX29/((1/1000)*(up_Irr!W29)),IF(AND(up_Irr!W29=".",up_Irr!AV29=".",up_Irr!BU29="."),up_dir!AX29*1000)))))))),".")</f>
        <v>6.5773651144152123E-11</v>
      </c>
      <c r="BY29" s="76">
        <f>IFERROR(IF(AND(up_Irr!X29&lt;&gt;".",up_Irr!AW29&lt;&gt;".",up_Irr!BV29&lt;&gt;"."),up_dir!AY29/((1/1000)*(up_Irr!X29+up_Irr!AW29+up_Irr!BV29)),IF(AND(up_Irr!X29&lt;&gt;".",up_Irr!AW29&lt;&gt;".",up_Irr!BV29="."),up_dir!AY29/((1/1000)*(up_Irr!X29+up_Irr!AW29)),IF(AND(up_Irr!X29&lt;&gt;".",up_Irr!AW29=".",up_Irr!BV29&lt;&gt;"."),up_dir!AY29/((1/1000)*(up_Irr!X29+up_Irr!BV29)),IF(AND(up_Irr!X29=".",up_Irr!AW29&lt;&gt;".",up_Irr!BV29&lt;&gt;"."),up_dir!AY29/((1/1000)*(up_Irr!AW29+up_Irr!BV29)),IF(AND(up_Irr!X29=".",up_Irr!AW29=".",up_Irr!BV29&lt;&gt;"."),up_dir!AY29/((1/1000)*(up_Irr!BV29)),IF(AND(up_Irr!X29=".",up_Irr!AW29&lt;&gt;".",up_Irr!BV29="."),up_dir!AY29/((1/1000)*(up_Irr!AW29)),IF(AND(up_Irr!X29&lt;&gt;".",up_Irr!AW29=".",up_Irr!BV29="."),up_dir!AY29/((1/1000)*(up_Irr!X29)),IF(AND(up_Irr!X29=".",up_Irr!AW29=".",up_Irr!BV29="."),up_dir!AY29*1000)))))))),".")</f>
        <v>6.5773651144152123E-11</v>
      </c>
      <c r="BZ29" s="76">
        <f>IFERROR(IF(AND(up_Irr!Y29&lt;&gt;".",up_Irr!AX29&lt;&gt;".",up_Irr!BW29&lt;&gt;"."),up_dir!AZ29/((1/1000)*(up_Irr!Y29+up_Irr!AX29+up_Irr!BW29)),IF(AND(up_Irr!Y29&lt;&gt;".",up_Irr!AX29&lt;&gt;".",up_Irr!BW29="."),up_dir!AZ29/((1/1000)*(up_Irr!Y29+up_Irr!AX29)),IF(AND(up_Irr!Y29&lt;&gt;".",up_Irr!AX29=".",up_Irr!BW29&lt;&gt;"."),up_dir!AZ29/((1/1000)*(up_Irr!Y29+up_Irr!BW29)),IF(AND(up_Irr!Y29=".",up_Irr!AX29&lt;&gt;".",up_Irr!BW29&lt;&gt;"."),up_dir!AZ29/((1/1000)*(up_Irr!AX29+up_Irr!BW29)),IF(AND(up_Irr!Y29=".",up_Irr!AX29=".",up_Irr!BW29&lt;&gt;"."),up_dir!AZ29/((1/1000)*(up_Irr!BW29)),IF(AND(up_Irr!Y29=".",up_Irr!AX29&lt;&gt;".",up_Irr!BW29="."),up_dir!AZ29/((1/1000)*(up_Irr!AX29)),IF(AND(up_Irr!Y29&lt;&gt;".",up_Irr!AX29=".",up_Irr!BW29="."),up_dir!AZ29/((1/1000)*(up_Irr!Y29)),IF(AND(up_Irr!Y29=".",up_Irr!AX29=".",up_Irr!BW29="."),up_dir!AZ29*1000)))))))),".")</f>
        <v>6.5773651144152123E-11</v>
      </c>
      <c r="CA29" s="76">
        <f>IFERROR(IF(AND(up_Irr!Z29&lt;&gt;".",up_Irr!AY29&lt;&gt;".",up_Irr!BX29&lt;&gt;"."),up_dir!BA29/((1/1000)*(up_Irr!Z29+up_Irr!AY29+up_Irr!BX29)),IF(AND(up_Irr!Z29&lt;&gt;".",up_Irr!AY29&lt;&gt;".",up_Irr!BX29="."),up_dir!BA29/((1/1000)*(up_Irr!Z29+up_Irr!AY29)),IF(AND(up_Irr!Z29&lt;&gt;".",up_Irr!AY29=".",up_Irr!BX29&lt;&gt;"."),up_dir!BA29/((1/1000)*(up_Irr!Z29+up_Irr!BX29)),IF(AND(up_Irr!Z29=".",up_Irr!AY29&lt;&gt;".",up_Irr!BX29&lt;&gt;"."),up_dir!BA29/((1/1000)*(up_Irr!AY29+up_Irr!BX29)),IF(AND(up_Irr!Z29=".",up_Irr!AY29=".",up_Irr!BX29&lt;&gt;"."),up_dir!BA29/((1/1000)*(up_Irr!BX29)),IF(AND(up_Irr!Z29=".",up_Irr!AY29&lt;&gt;".",up_Irr!BX29="."),up_dir!BA29/((1/1000)*(up_Irr!AY29)),IF(AND(up_Irr!Z29&lt;&gt;".",up_Irr!AY29=".",up_Irr!BX29="."),up_dir!BA29/((1/1000)*(up_Irr!Z29)),IF(AND(up_Irr!Z29=".",up_Irr!AY29=".",up_Irr!BX29="."),up_dir!BA29*1000)))))))),".")</f>
        <v>6.5773651144152123E-11</v>
      </c>
      <c r="CB29" s="76">
        <f>IFERROR(IF(AND(up_Irr!AA29&lt;&gt;".",up_Irr!AZ29&lt;&gt;".",up_Irr!BY29&lt;&gt;"."),up_dir!BB29/((1/1000)*(up_Irr!AA29+up_Irr!AZ29+up_Irr!BY29)),IF(AND(up_Irr!AA29&lt;&gt;".",up_Irr!AZ29&lt;&gt;".",up_Irr!BY29="."),up_dir!BB29/((1/1000)*(up_Irr!AA29+up_Irr!AZ29)),IF(AND(up_Irr!AA29&lt;&gt;".",up_Irr!AZ29=".",up_Irr!BY29&lt;&gt;"."),up_dir!BB29/((1/1000)*(up_Irr!AA29+up_Irr!BY29)),IF(AND(up_Irr!AA29=".",up_Irr!AZ29&lt;&gt;".",up_Irr!BY29&lt;&gt;"."),up_dir!BB29/((1/1000)*(up_Irr!AZ29+up_Irr!BY29)),IF(AND(up_Irr!AA29=".",up_Irr!AZ29=".",up_Irr!BY29&lt;&gt;"."),up_dir!BB29/((1/1000)*(up_Irr!BY29)),IF(AND(up_Irr!AA29=".",up_Irr!AZ29&lt;&gt;".",up_Irr!BY29="."),up_dir!BB29/((1/1000)*(up_Irr!AZ29)),IF(AND(up_Irr!AA29&lt;&gt;".",up_Irr!AZ29=".",up_Irr!BY29="."),up_dir!BB29/((1/1000)*(up_Irr!AA29)),IF(AND(up_Irr!AA29=".",up_Irr!AZ29=".",up_Irr!BY29="."),up_dir!BB29*1000)))))))),".")</f>
        <v>6.5773651144152123E-11</v>
      </c>
      <c r="CC29" s="93">
        <f t="shared" si="3"/>
        <v>608146.26076229871</v>
      </c>
      <c r="CD29" s="93">
        <f>IFERROR(s_C*s_IFAP_far_adj*s_CF_apple*(1/1000)*(up_Irr!C29+up_Irr!AB29+up_Irr!BA29),".")</f>
        <v>152036.56519057468</v>
      </c>
      <c r="CE29" s="93">
        <f>IFERROR(s_C*s_IFAS_far_adj*s_CF_asparagus*(1/1000)*(up_Irr!D29+up_Irr!AC29+up_Irr!BB29),".")</f>
        <v>152036.56519057468</v>
      </c>
      <c r="CF29" s="93">
        <f>IFERROR(s_C*s_IFBT_far_adj*s_CF_beet*(1/1000)*(up_Irr!E29+up_Irr!AD29+up_Irr!BC29),".")</f>
        <v>152036.56519057468</v>
      </c>
      <c r="CG29" s="93">
        <f>IFERROR(s_C*s_IFBE_far_adj*s_CF_berries*(1/1000)*(up_Irr!F29+up_Irr!AE29+up_Irr!BD29),".")</f>
        <v>152036.56519057468</v>
      </c>
      <c r="CH29" s="93">
        <f>IFERROR(s_C*s_IFBR_far_adj*s_CF_broccoli*(1/1000)*(up_Irr!G29+up_Irr!AF29+up_Irr!BE29),".")</f>
        <v>152036.56519057468</v>
      </c>
      <c r="CI29" s="93">
        <f>IFERROR(s_C*s_IFCB_far_adj*s_CF_cabbage*(1/1000)*(up_Irr!H29+up_Irr!AG29+up_Irr!BF29),".")</f>
        <v>152036.56519057468</v>
      </c>
      <c r="CJ29" s="93">
        <f>IFERROR(s_C*s_IFCR_far_adj*s_CF_carrot*(1/1000)*(up_Irr!I29+up_Irr!AH29+up_Irr!BG29),".")</f>
        <v>152036.56519057468</v>
      </c>
      <c r="CK29" s="93">
        <f>IFERROR(s_C*s_IFCI_far_adj*s_CF_citrus*(1/1000)*(up_Irr!J29+up_Irr!AI29+up_Irr!BH29),".")</f>
        <v>152036.56519057468</v>
      </c>
      <c r="CL29" s="93">
        <f>IFERROR(s_C*s_IFCO_far_adj*s_CF_corn*(1/1000)*(up_Irr!K29+up_Irr!AJ29+up_Irr!BI29),".")</f>
        <v>152036.56519057468</v>
      </c>
      <c r="CM29" s="93">
        <f>IFERROR(s_C*s_IFCU_far_adj*s_CF_cucumber*(1/1000)*(up_Irr!L29+up_Irr!AK29+up_Irr!BJ29),".")</f>
        <v>152036.56519057468</v>
      </c>
      <c r="CN29" s="93">
        <f>IFERROR(s_C*s_IFLE_far_adj*s_CF_lettuce*(1/1000)*(up_Irr!M29+up_Irr!AL29+up_Irr!BK29),".")</f>
        <v>152036.56519057468</v>
      </c>
      <c r="CO29" s="93">
        <f>IFERROR(s_C*s_IFLI_far_adj*s_CF_lima_bean*(1/1000)*(up_Irr!N29+up_Irr!AM29+up_Irr!BL29),".")</f>
        <v>152036.56519057468</v>
      </c>
      <c r="CP29" s="93">
        <f>IFERROR(s_C*s_IFOK_far_adj*s_CF_okra*(1/1000)*(up_Irr!O29+up_Irr!AN29+up_Irr!BM29),".")</f>
        <v>152036.56519057468</v>
      </c>
      <c r="CQ29" s="93">
        <f>IFERROR(s_C*s_IFON_far_adj*s_CF_onion*(1/1000)*(up_Irr!P29+up_Irr!AO29+up_Irr!BN29),".")</f>
        <v>152036.56519057468</v>
      </c>
      <c r="CR29" s="93">
        <f>IFERROR(s_C*s_IFPC_far_adj*s_CF_peach*(1/1000)*(up_Irr!Q29+up_Irr!AP29+up_Irr!BO29),".")</f>
        <v>152036.56519057468</v>
      </c>
      <c r="CS29" s="93">
        <f>IFERROR(s_C*s_IFPR_far_adj*s_CF_pear*(1/1000)*(up_Irr!R29+up_Irr!AQ29+up_Irr!BP29),".")</f>
        <v>152036.56519057468</v>
      </c>
      <c r="CT29" s="93">
        <f>IFERROR(s_C*s_IFPE_far_adj*s_CF_peas*(1/1000)*(up_Irr!S29+up_Irr!AR29+up_Irr!BQ29),".")</f>
        <v>152036.56519057468</v>
      </c>
      <c r="CU29" s="93">
        <f>IFERROR(s_C*s_IFPP_far_adj*s_CF_peppers*(1/1000)*(up_Irr!T29+up_Irr!AS29+up_Irr!BR29),".")</f>
        <v>152036.56519057468</v>
      </c>
      <c r="CV29" s="93">
        <f>IFERROR(s_C*s_IFPT_far_adj*s_CF_potato*(1/1000)*(up_Irr!U29+up_Irr!AT29+up_Irr!BS29),".")</f>
        <v>152036.56519057468</v>
      </c>
      <c r="CW29" s="93">
        <f>IFERROR(s_C*s_IFPU_far_adj*s_CF_pumpkin*(1/1000)*(up_Irr!V29+up_Irr!AU29+up_Irr!BT29),".")</f>
        <v>152036.56519057468</v>
      </c>
      <c r="CX29" s="93">
        <f>IFERROR(s_C*s_IFSN_far_adj*s_CF_snap_bean*(1/1000)*(up_Irr!W29+up_Irr!AV29+up_Irr!BU29),".")</f>
        <v>152036.56519057468</v>
      </c>
      <c r="CY29" s="93">
        <f>IFERROR(s_C*s_IFST_far_adj*s_CF_strawberry*(1/1000)*(up_Irr!X29+up_Irr!AW29+up_Irr!BV29),".")</f>
        <v>152036.56519057468</v>
      </c>
      <c r="CZ29" s="93">
        <f>IFERROR(s_C*s_IFTO_far_adj*s_CF_tomato*(1/1000)*(up_Irr!Y29+up_Irr!AX29+up_Irr!BW29),".")</f>
        <v>152036.56519057468</v>
      </c>
      <c r="DA29" s="93">
        <f>IFERROR(s_C*s_IFRI_far_adj*s_CF_rice*(1/1000)*(up_Irr!Z29+up_Irr!AY29+up_Irr!BX29),".")</f>
        <v>152036.56519057468</v>
      </c>
      <c r="DB29" s="93">
        <f>IFERROR(s_C*s_IFCG_far_adj*s_CF_cereal*(1/1000)*(up_Irr!AA29+up_Irr!AZ29+up_Irr!BY29),".")</f>
        <v>152036.56519057468</v>
      </c>
    </row>
    <row r="30" spans="1:106" ht="15" customHeight="1" x14ac:dyDescent="0.25">
      <c r="A30" s="92" t="s">
        <v>40</v>
      </c>
      <c r="B30" s="90" t="s">
        <v>1071</v>
      </c>
      <c r="C30" s="15">
        <f t="shared" si="0"/>
        <v>1.6443412786038031E-11</v>
      </c>
      <c r="D30" s="76">
        <f>IFERROR(IF(AND(up_Irr!C30&lt;&gt;".",up_Irr!AB30&lt;&gt;".",up_Irr!BA30&lt;&gt;"."),up_dir!D30/((1/1000)*(up_Irr!C30+up_Irr!AB30+up_Irr!BA30)),IF(AND(up_Irr!C30&lt;&gt;".",up_Irr!AB30&lt;&gt;".",up_Irr!BA30="."),up_dir!D30/((1/1000)*(up_Irr!C30+up_Irr!AB30)),IF(AND(up_Irr!C30&lt;&gt;".",up_Irr!AB30=".",up_Irr!BA30&lt;&gt;"."),up_dir!D30/((1/1000)*(up_Irr!C30+up_Irr!BA30)),IF(AND(up_Irr!C30=".",up_Irr!AB30&lt;&gt;".",up_Irr!BA30&lt;&gt;"."),up_dir!D30/((1/1000)*(up_Irr!AB30+up_Irr!BA30)),IF(AND(up_Irr!C30=".",up_Irr!AB30=".",up_Irr!BA30&lt;&gt;"."),up_dir!D30/((1/1000)*(up_Irr!BA30)),IF(AND(up_Irr!C30=".",up_Irr!AB30&lt;&gt;".",up_Irr!BA30="."),up_dir!D30/((1/1000)*(up_Irr!AB30)),IF(AND(up_Irr!C30&lt;&gt;".",up_Irr!AB30=".",up_Irr!BA30="."),up_dir!D30/((1/1000)*(up_Irr!C30)),IF(AND(up_Irr!C30=".",up_Irr!AB30=".",up_Irr!BA30="."),up_dir!D30*1000)))))))),".")</f>
        <v>6.5773651144152123E-11</v>
      </c>
      <c r="E30" s="76">
        <f>IFERROR(IF(AND(up_Irr!D30&lt;&gt;".",up_Irr!AC30&lt;&gt;".",up_Irr!BB30&lt;&gt;"."),up_dir!E30/((1/1000)*(up_Irr!D30+up_Irr!AC30+up_Irr!BB30)),IF(AND(up_Irr!D30&lt;&gt;".",up_Irr!AC30&lt;&gt;".",up_Irr!BB30="."),up_dir!E30/((1/1000)*(up_Irr!D30+up_Irr!AC30)),IF(AND(up_Irr!D30&lt;&gt;".",up_Irr!AC30=".",up_Irr!BB30&lt;&gt;"."),up_dir!E30/((1/1000)*(up_Irr!D30+up_Irr!BB30)),IF(AND(up_Irr!D30=".",up_Irr!AC30&lt;&gt;".",up_Irr!BB30&lt;&gt;"."),up_dir!E30/((1/1000)*(up_Irr!AC30+up_Irr!BB30)),IF(AND(up_Irr!D30=".",up_Irr!AC30=".",up_Irr!BB30&lt;&gt;"."),up_dir!E30/((1/1000)*(up_Irr!BB30)),IF(AND(up_Irr!D30=".",up_Irr!AC30&lt;&gt;".",up_Irr!BB30="."),up_dir!E30/((1/1000)*(up_Irr!AC30)),IF(AND(up_Irr!D30&lt;&gt;".",up_Irr!AC30=".",up_Irr!BB30="."),up_dir!E30/((1/1000)*(up_Irr!D30)),IF(AND(up_Irr!D30=".",up_Irr!AC30=".",up_Irr!BB30="."),up_dir!E30*1000)))))))),".")</f>
        <v>6.5773651144152123E-11</v>
      </c>
      <c r="F30" s="76">
        <f>IFERROR(IF(AND(up_Irr!E30&lt;&gt;".",up_Irr!AD30&lt;&gt;".",up_Irr!BC30&lt;&gt;"."),up_dir!F30/((1/1000)*(up_Irr!E30+up_Irr!AD30+up_Irr!BC30)),IF(AND(up_Irr!E30&lt;&gt;".",up_Irr!AD30&lt;&gt;".",up_Irr!BC30="."),up_dir!F30/((1/1000)*(up_Irr!E30+up_Irr!AD30)),IF(AND(up_Irr!E30&lt;&gt;".",up_Irr!AD30=".",up_Irr!BC30&lt;&gt;"."),up_dir!F30/((1/1000)*(up_Irr!E30+up_Irr!BC30)),IF(AND(up_Irr!E30=".",up_Irr!AD30&lt;&gt;".",up_Irr!BC30&lt;&gt;"."),up_dir!F30/((1/1000)*(up_Irr!AD30+up_Irr!BC30)),IF(AND(up_Irr!E30=".",up_Irr!AD30=".",up_Irr!BC30&lt;&gt;"."),up_dir!F30/((1/1000)*(up_Irr!BC30)),IF(AND(up_Irr!E30=".",up_Irr!AD30&lt;&gt;".",up_Irr!BC30="."),up_dir!F30/((1/1000)*(up_Irr!AD30)),IF(AND(up_Irr!E30&lt;&gt;".",up_Irr!AD30=".",up_Irr!BC30="."),up_dir!F30/((1/1000)*(up_Irr!E30)),IF(AND(up_Irr!E30=".",up_Irr!AD30=".",up_Irr!BC30="."),up_dir!F30*1000)))))))),".")</f>
        <v>6.5773651144152123E-11</v>
      </c>
      <c r="G30" s="76">
        <f>IFERROR(IF(AND(up_Irr!F30&lt;&gt;".",up_Irr!AE30&lt;&gt;".",up_Irr!BD30&lt;&gt;"."),up_dir!G30/((1/1000)*(up_Irr!F30+up_Irr!AE30+up_Irr!BD30)),IF(AND(up_Irr!F30&lt;&gt;".",up_Irr!AE30&lt;&gt;".",up_Irr!BD30="."),up_dir!G30/((1/1000)*(up_Irr!F30+up_Irr!AE30)),IF(AND(up_Irr!F30&lt;&gt;".",up_Irr!AE30=".",up_Irr!BD30&lt;&gt;"."),up_dir!G30/((1/1000)*(up_Irr!F30+up_Irr!BD30)),IF(AND(up_Irr!F30=".",up_Irr!AE30&lt;&gt;".",up_Irr!BD30&lt;&gt;"."),up_dir!G30/((1/1000)*(up_Irr!AE30+up_Irr!BD30)),IF(AND(up_Irr!F30=".",up_Irr!AE30=".",up_Irr!BD30&lt;&gt;"."),up_dir!G30/((1/1000)*(up_Irr!BD30)),IF(AND(up_Irr!F30=".",up_Irr!AE30&lt;&gt;".",up_Irr!BD30="."),up_dir!G30/((1/1000)*(up_Irr!AE30)),IF(AND(up_Irr!F30&lt;&gt;".",up_Irr!AE30=".",up_Irr!BD30="."),up_dir!G30/((1/1000)*(up_Irr!F30)),IF(AND(up_Irr!F30=".",up_Irr!AE30=".",up_Irr!BD30="."),up_dir!G30*1000)))))))),".")</f>
        <v>6.5773651144152123E-11</v>
      </c>
      <c r="H30" s="76">
        <f>IFERROR(IF(AND(up_Irr!G30&lt;&gt;".",up_Irr!AF30&lt;&gt;".",up_Irr!BE30&lt;&gt;"."),up_dir!H30/((1/1000)*(up_Irr!G30+up_Irr!AF30+up_Irr!BE30)),IF(AND(up_Irr!G30&lt;&gt;".",up_Irr!AF30&lt;&gt;".",up_Irr!BE30="."),up_dir!H30/((1/1000)*(up_Irr!G30+up_Irr!AF30)),IF(AND(up_Irr!G30&lt;&gt;".",up_Irr!AF30=".",up_Irr!BE30&lt;&gt;"."),up_dir!H30/((1/1000)*(up_Irr!G30+up_Irr!BE30)),IF(AND(up_Irr!G30=".",up_Irr!AF30&lt;&gt;".",up_Irr!BE30&lt;&gt;"."),up_dir!H30/((1/1000)*(up_Irr!AF30+up_Irr!BE30)),IF(AND(up_Irr!G30=".",up_Irr!AF30=".",up_Irr!BE30&lt;&gt;"."),up_dir!H30/((1/1000)*(up_Irr!BE30)),IF(AND(up_Irr!G30=".",up_Irr!AF30&lt;&gt;".",up_Irr!BE30="."),up_dir!H30/((1/1000)*(up_Irr!AF30)),IF(AND(up_Irr!G30&lt;&gt;".",up_Irr!AF30=".",up_Irr!BE30="."),up_dir!H30/((1/1000)*(up_Irr!G30)),IF(AND(up_Irr!G30=".",up_Irr!AF30=".",up_Irr!BE30="."),up_dir!H30*1000)))))))),".")</f>
        <v>6.5773651144152123E-11</v>
      </c>
      <c r="I30" s="76">
        <f>IFERROR(IF(AND(up_Irr!H30&lt;&gt;".",up_Irr!AG30&lt;&gt;".",up_Irr!BF30&lt;&gt;"."),up_dir!I30/((1/1000)*(up_Irr!H30+up_Irr!AG30+up_Irr!BF30)),IF(AND(up_Irr!H30&lt;&gt;".",up_Irr!AG30&lt;&gt;".",up_Irr!BF30="."),up_dir!I30/((1/1000)*(up_Irr!H30+up_Irr!AG30)),IF(AND(up_Irr!H30&lt;&gt;".",up_Irr!AG30=".",up_Irr!BF30&lt;&gt;"."),up_dir!I30/((1/1000)*(up_Irr!H30+up_Irr!BF30)),IF(AND(up_Irr!H30=".",up_Irr!AG30&lt;&gt;".",up_Irr!BF30&lt;&gt;"."),up_dir!I30/((1/1000)*(up_Irr!AG30+up_Irr!BF30)),IF(AND(up_Irr!H30=".",up_Irr!AG30=".",up_Irr!BF30&lt;&gt;"."),up_dir!I30/((1/1000)*(up_Irr!BF30)),IF(AND(up_Irr!H30=".",up_Irr!AG30&lt;&gt;".",up_Irr!BF30="."),up_dir!I30/((1/1000)*(up_Irr!AG30)),IF(AND(up_Irr!H30&lt;&gt;".",up_Irr!AG30=".",up_Irr!BF30="."),up_dir!I30/((1/1000)*(up_Irr!H30)),IF(AND(up_Irr!H30=".",up_Irr!AG30=".",up_Irr!BF30="."),up_dir!I30*1000)))))))),".")</f>
        <v>6.5773651144152123E-11</v>
      </c>
      <c r="J30" s="76">
        <f>IFERROR(IF(AND(up_Irr!I30&lt;&gt;".",up_Irr!AH30&lt;&gt;".",up_Irr!BG30&lt;&gt;"."),up_dir!J30/((1/1000)*(up_Irr!I30+up_Irr!AH30+up_Irr!BG30)),IF(AND(up_Irr!I30&lt;&gt;".",up_Irr!AH30&lt;&gt;".",up_Irr!BG30="."),up_dir!J30/((1/1000)*(up_Irr!I30+up_Irr!AH30)),IF(AND(up_Irr!I30&lt;&gt;".",up_Irr!AH30=".",up_Irr!BG30&lt;&gt;"."),up_dir!J30/((1/1000)*(up_Irr!I30+up_Irr!BG30)),IF(AND(up_Irr!I30=".",up_Irr!AH30&lt;&gt;".",up_Irr!BG30&lt;&gt;"."),up_dir!J30/((1/1000)*(up_Irr!AH30+up_Irr!BG30)),IF(AND(up_Irr!I30=".",up_Irr!AH30=".",up_Irr!BG30&lt;&gt;"."),up_dir!J30/((1/1000)*(up_Irr!BG30)),IF(AND(up_Irr!I30=".",up_Irr!AH30&lt;&gt;".",up_Irr!BG30="."),up_dir!J30/((1/1000)*(up_Irr!AH30)),IF(AND(up_Irr!I30&lt;&gt;".",up_Irr!AH30=".",up_Irr!BG30="."),up_dir!J30/((1/1000)*(up_Irr!I30)),IF(AND(up_Irr!I30=".",up_Irr!AH30=".",up_Irr!BG30="."),up_dir!J30*1000)))))))),".")</f>
        <v>6.5773651144152123E-11</v>
      </c>
      <c r="K30" s="76">
        <f>IFERROR(IF(AND(up_Irr!J30&lt;&gt;".",up_Irr!AI30&lt;&gt;".",up_Irr!BH30&lt;&gt;"."),up_dir!K30/((1/1000)*(up_Irr!J30+up_Irr!AI30+up_Irr!BH30)),IF(AND(up_Irr!J30&lt;&gt;".",up_Irr!AI30&lt;&gt;".",up_Irr!BH30="."),up_dir!K30/((1/1000)*(up_Irr!J30+up_Irr!AI30)),IF(AND(up_Irr!J30&lt;&gt;".",up_Irr!AI30=".",up_Irr!BH30&lt;&gt;"."),up_dir!K30/((1/1000)*(up_Irr!J30+up_Irr!BH30)),IF(AND(up_Irr!J30=".",up_Irr!AI30&lt;&gt;".",up_Irr!BH30&lt;&gt;"."),up_dir!K30/((1/1000)*(up_Irr!AI30+up_Irr!BH30)),IF(AND(up_Irr!J30=".",up_Irr!AI30=".",up_Irr!BH30&lt;&gt;"."),up_dir!K30/((1/1000)*(up_Irr!BH30)),IF(AND(up_Irr!J30=".",up_Irr!AI30&lt;&gt;".",up_Irr!BH30="."),up_dir!K30/((1/1000)*(up_Irr!AI30)),IF(AND(up_Irr!J30&lt;&gt;".",up_Irr!AI30=".",up_Irr!BH30="."),up_dir!K30/((1/1000)*(up_Irr!J30)),IF(AND(up_Irr!J30=".",up_Irr!AI30=".",up_Irr!BH30="."),up_dir!K30*1000)))))))),".")</f>
        <v>6.5773651144152123E-11</v>
      </c>
      <c r="L30" s="76">
        <f>IFERROR(IF(AND(up_Irr!K30&lt;&gt;".",up_Irr!AJ30&lt;&gt;".",up_Irr!BI30&lt;&gt;"."),up_dir!L30/((1/1000)*(up_Irr!K30+up_Irr!AJ30+up_Irr!BI30)),IF(AND(up_Irr!K30&lt;&gt;".",up_Irr!AJ30&lt;&gt;".",up_Irr!BI30="."),up_dir!L30/((1/1000)*(up_Irr!K30+up_Irr!AJ30)),IF(AND(up_Irr!K30&lt;&gt;".",up_Irr!AJ30=".",up_Irr!BI30&lt;&gt;"."),up_dir!L30/((1/1000)*(up_Irr!K30+up_Irr!BI30)),IF(AND(up_Irr!K30=".",up_Irr!AJ30&lt;&gt;".",up_Irr!BI30&lt;&gt;"."),up_dir!L30/((1/1000)*(up_Irr!AJ30+up_Irr!BI30)),IF(AND(up_Irr!K30=".",up_Irr!AJ30=".",up_Irr!BI30&lt;&gt;"."),up_dir!L30/((1/1000)*(up_Irr!BI30)),IF(AND(up_Irr!K30=".",up_Irr!AJ30&lt;&gt;".",up_Irr!BI30="."),up_dir!L30/((1/1000)*(up_Irr!AJ30)),IF(AND(up_Irr!K30&lt;&gt;".",up_Irr!AJ30=".",up_Irr!BI30="."),up_dir!L30/((1/1000)*(up_Irr!K30)),IF(AND(up_Irr!K30=".",up_Irr!AJ30=".",up_Irr!BI30="."),up_dir!L30*1000)))))))),".")</f>
        <v>6.5773651144152123E-11</v>
      </c>
      <c r="M30" s="76">
        <f>IFERROR(IF(AND(up_Irr!L30&lt;&gt;".",up_Irr!AK30&lt;&gt;".",up_Irr!BJ30&lt;&gt;"."),up_dir!M30/((1/1000)*(up_Irr!L30+up_Irr!AK30+up_Irr!BJ30)),IF(AND(up_Irr!L30&lt;&gt;".",up_Irr!AK30&lt;&gt;".",up_Irr!BJ30="."),up_dir!M30/((1/1000)*(up_Irr!L30+up_Irr!AK30)),IF(AND(up_Irr!L30&lt;&gt;".",up_Irr!AK30=".",up_Irr!BJ30&lt;&gt;"."),up_dir!M30/((1/1000)*(up_Irr!L30+up_Irr!BJ30)),IF(AND(up_Irr!L30=".",up_Irr!AK30&lt;&gt;".",up_Irr!BJ30&lt;&gt;"."),up_dir!M30/((1/1000)*(up_Irr!AK30+up_Irr!BJ30)),IF(AND(up_Irr!L30=".",up_Irr!AK30=".",up_Irr!BJ30&lt;&gt;"."),up_dir!M30/((1/1000)*(up_Irr!BJ30)),IF(AND(up_Irr!L30=".",up_Irr!AK30&lt;&gt;".",up_Irr!BJ30="."),up_dir!M30/((1/1000)*(up_Irr!AK30)),IF(AND(up_Irr!L30&lt;&gt;".",up_Irr!AK30=".",up_Irr!BJ30="."),up_dir!M30/((1/1000)*(up_Irr!L30)),IF(AND(up_Irr!L30=".",up_Irr!AK30=".",up_Irr!BJ30="."),up_dir!M30*1000)))))))),".")</f>
        <v>6.5773651144152123E-11</v>
      </c>
      <c r="N30" s="76">
        <f>IFERROR(IF(AND(up_Irr!M30&lt;&gt;".",up_Irr!AL30&lt;&gt;".",up_Irr!BK30&lt;&gt;"."),up_dir!N30/((1/1000)*(up_Irr!M30+up_Irr!AL30+up_Irr!BK30)),IF(AND(up_Irr!M30&lt;&gt;".",up_Irr!AL30&lt;&gt;".",up_Irr!BK30="."),up_dir!N30/((1/1000)*(up_Irr!M30+up_Irr!AL30)),IF(AND(up_Irr!M30&lt;&gt;".",up_Irr!AL30=".",up_Irr!BK30&lt;&gt;"."),up_dir!N30/((1/1000)*(up_Irr!M30+up_Irr!BK30)),IF(AND(up_Irr!M30=".",up_Irr!AL30&lt;&gt;".",up_Irr!BK30&lt;&gt;"."),up_dir!N30/((1/1000)*(up_Irr!AL30+up_Irr!BK30)),IF(AND(up_Irr!M30=".",up_Irr!AL30=".",up_Irr!BK30&lt;&gt;"."),up_dir!N30/((1/1000)*(up_Irr!BK30)),IF(AND(up_Irr!M30=".",up_Irr!AL30&lt;&gt;".",up_Irr!BK30="."),up_dir!N30/((1/1000)*(up_Irr!AL30)),IF(AND(up_Irr!M30&lt;&gt;".",up_Irr!AL30=".",up_Irr!BK30="."),up_dir!N30/((1/1000)*(up_Irr!M30)),IF(AND(up_Irr!M30=".",up_Irr!AL30=".",up_Irr!BK30="."),up_dir!N30*1000)))))))),".")</f>
        <v>6.5773651144152123E-11</v>
      </c>
      <c r="O30" s="76">
        <f>IFERROR(IF(AND(up_Irr!N30&lt;&gt;".",up_Irr!AM30&lt;&gt;".",up_Irr!BL30&lt;&gt;"."),up_dir!O30/((1/1000)*(up_Irr!N30+up_Irr!AM30+up_Irr!BL30)),IF(AND(up_Irr!N30&lt;&gt;".",up_Irr!AM30&lt;&gt;".",up_Irr!BL30="."),up_dir!O30/((1/1000)*(up_Irr!N30+up_Irr!AM30)),IF(AND(up_Irr!N30&lt;&gt;".",up_Irr!AM30=".",up_Irr!BL30&lt;&gt;"."),up_dir!O30/((1/1000)*(up_Irr!N30+up_Irr!BL30)),IF(AND(up_Irr!N30=".",up_Irr!AM30&lt;&gt;".",up_Irr!BL30&lt;&gt;"."),up_dir!O30/((1/1000)*(up_Irr!AM30+up_Irr!BL30)),IF(AND(up_Irr!N30=".",up_Irr!AM30=".",up_Irr!BL30&lt;&gt;"."),up_dir!O30/((1/1000)*(up_Irr!BL30)),IF(AND(up_Irr!N30=".",up_Irr!AM30&lt;&gt;".",up_Irr!BL30="."),up_dir!O30/((1/1000)*(up_Irr!AM30)),IF(AND(up_Irr!N30&lt;&gt;".",up_Irr!AM30=".",up_Irr!BL30="."),up_dir!O30/((1/1000)*(up_Irr!N30)),IF(AND(up_Irr!N30=".",up_Irr!AM30=".",up_Irr!BL30="."),up_dir!O30*1000)))))))),".")</f>
        <v>6.5773651144152123E-11</v>
      </c>
      <c r="P30" s="76">
        <f>IFERROR(IF(AND(up_Irr!O30&lt;&gt;".",up_Irr!AN30&lt;&gt;".",up_Irr!BM30&lt;&gt;"."),up_dir!P30/((1/1000)*(up_Irr!O30+up_Irr!AN30+up_Irr!BM30)),IF(AND(up_Irr!O30&lt;&gt;".",up_Irr!AN30&lt;&gt;".",up_Irr!BM30="."),up_dir!P30/((1/1000)*(up_Irr!O30+up_Irr!AN30)),IF(AND(up_Irr!O30&lt;&gt;".",up_Irr!AN30=".",up_Irr!BM30&lt;&gt;"."),up_dir!P30/((1/1000)*(up_Irr!O30+up_Irr!BM30)),IF(AND(up_Irr!O30=".",up_Irr!AN30&lt;&gt;".",up_Irr!BM30&lt;&gt;"."),up_dir!P30/((1/1000)*(up_Irr!AN30+up_Irr!BM30)),IF(AND(up_Irr!O30=".",up_Irr!AN30=".",up_Irr!BM30&lt;&gt;"."),up_dir!P30/((1/1000)*(up_Irr!BM30)),IF(AND(up_Irr!O30=".",up_Irr!AN30&lt;&gt;".",up_Irr!BM30="."),up_dir!P30/((1/1000)*(up_Irr!AN30)),IF(AND(up_Irr!O30&lt;&gt;".",up_Irr!AN30=".",up_Irr!BM30="."),up_dir!P30/((1/1000)*(up_Irr!O30)),IF(AND(up_Irr!O30=".",up_Irr!AN30=".",up_Irr!BM30="."),up_dir!P30*1000)))))))),".")</f>
        <v>6.5773651144152123E-11</v>
      </c>
      <c r="Q30" s="76">
        <f>IFERROR(IF(AND(up_Irr!P30&lt;&gt;".",up_Irr!AO30&lt;&gt;".",up_Irr!BN30&lt;&gt;"."),up_dir!Q30/((1/1000)*(up_Irr!P30+up_Irr!AO30+up_Irr!BN30)),IF(AND(up_Irr!P30&lt;&gt;".",up_Irr!AO30&lt;&gt;".",up_Irr!BN30="."),up_dir!Q30/((1/1000)*(up_Irr!P30+up_Irr!AO30)),IF(AND(up_Irr!P30&lt;&gt;".",up_Irr!AO30=".",up_Irr!BN30&lt;&gt;"."),up_dir!Q30/((1/1000)*(up_Irr!P30+up_Irr!BN30)),IF(AND(up_Irr!P30=".",up_Irr!AO30&lt;&gt;".",up_Irr!BN30&lt;&gt;"."),up_dir!Q30/((1/1000)*(up_Irr!AO30+up_Irr!BN30)),IF(AND(up_Irr!P30=".",up_Irr!AO30=".",up_Irr!BN30&lt;&gt;"."),up_dir!Q30/((1/1000)*(up_Irr!BN30)),IF(AND(up_Irr!P30=".",up_Irr!AO30&lt;&gt;".",up_Irr!BN30="."),up_dir!Q30/((1/1000)*(up_Irr!AO30)),IF(AND(up_Irr!P30&lt;&gt;".",up_Irr!AO30=".",up_Irr!BN30="."),up_dir!Q30/((1/1000)*(up_Irr!P30)),IF(AND(up_Irr!P30=".",up_Irr!AO30=".",up_Irr!BN30="."),up_dir!Q30*1000)))))))),".")</f>
        <v>6.5773651144152123E-11</v>
      </c>
      <c r="R30" s="76">
        <f>IFERROR(IF(AND(up_Irr!Q30&lt;&gt;".",up_Irr!AP30&lt;&gt;".",up_Irr!BO30&lt;&gt;"."),up_dir!R30/((1/1000)*(up_Irr!Q30+up_Irr!AP30+up_Irr!BO30)),IF(AND(up_Irr!Q30&lt;&gt;".",up_Irr!AP30&lt;&gt;".",up_Irr!BO30="."),up_dir!R30/((1/1000)*(up_Irr!Q30+up_Irr!AP30)),IF(AND(up_Irr!Q30&lt;&gt;".",up_Irr!AP30=".",up_Irr!BO30&lt;&gt;"."),up_dir!R30/((1/1000)*(up_Irr!Q30+up_Irr!BO30)),IF(AND(up_Irr!Q30=".",up_Irr!AP30&lt;&gt;".",up_Irr!BO30&lt;&gt;"."),up_dir!R30/((1/1000)*(up_Irr!AP30+up_Irr!BO30)),IF(AND(up_Irr!Q30=".",up_Irr!AP30=".",up_Irr!BO30&lt;&gt;"."),up_dir!R30/((1/1000)*(up_Irr!BO30)),IF(AND(up_Irr!Q30=".",up_Irr!AP30&lt;&gt;".",up_Irr!BO30="."),up_dir!R30/((1/1000)*(up_Irr!AP30)),IF(AND(up_Irr!Q30&lt;&gt;".",up_Irr!AP30=".",up_Irr!BO30="."),up_dir!R30/((1/1000)*(up_Irr!Q30)),IF(AND(up_Irr!Q30=".",up_Irr!AP30=".",up_Irr!BO30="."),up_dir!R30*1000)))))))),".")</f>
        <v>6.5773651144152123E-11</v>
      </c>
      <c r="S30" s="76">
        <f>IFERROR(IF(AND(up_Irr!R30&lt;&gt;".",up_Irr!AQ30&lt;&gt;".",up_Irr!BP30&lt;&gt;"."),up_dir!S30/((1/1000)*(up_Irr!R30+up_Irr!AQ30+up_Irr!BP30)),IF(AND(up_Irr!R30&lt;&gt;".",up_Irr!AQ30&lt;&gt;".",up_Irr!BP30="."),up_dir!S30/((1/1000)*(up_Irr!R30+up_Irr!AQ30)),IF(AND(up_Irr!R30&lt;&gt;".",up_Irr!AQ30=".",up_Irr!BP30&lt;&gt;"."),up_dir!S30/((1/1000)*(up_Irr!R30+up_Irr!BP30)),IF(AND(up_Irr!R30=".",up_Irr!AQ30&lt;&gt;".",up_Irr!BP30&lt;&gt;"."),up_dir!S30/((1/1000)*(up_Irr!AQ30+up_Irr!BP30)),IF(AND(up_Irr!R30=".",up_Irr!AQ30=".",up_Irr!BP30&lt;&gt;"."),up_dir!S30/((1/1000)*(up_Irr!BP30)),IF(AND(up_Irr!R30=".",up_Irr!AQ30&lt;&gt;".",up_Irr!BP30="."),up_dir!S30/((1/1000)*(up_Irr!AQ30)),IF(AND(up_Irr!R30&lt;&gt;".",up_Irr!AQ30=".",up_Irr!BP30="."),up_dir!S30/((1/1000)*(up_Irr!R30)),IF(AND(up_Irr!R30=".",up_Irr!AQ30=".",up_Irr!BP30="."),up_dir!S30*1000)))))))),".")</f>
        <v>6.5773651144152123E-11</v>
      </c>
      <c r="T30" s="76">
        <f>IFERROR(IF(AND(up_Irr!S30&lt;&gt;".",up_Irr!AR30&lt;&gt;".",up_Irr!BQ30&lt;&gt;"."),up_dir!T30/((1/1000)*(up_Irr!S30+up_Irr!AR30+up_Irr!BQ30)),IF(AND(up_Irr!S30&lt;&gt;".",up_Irr!AR30&lt;&gt;".",up_Irr!BQ30="."),up_dir!T30/((1/1000)*(up_Irr!S30+up_Irr!AR30)),IF(AND(up_Irr!S30&lt;&gt;".",up_Irr!AR30=".",up_Irr!BQ30&lt;&gt;"."),up_dir!T30/((1/1000)*(up_Irr!S30+up_Irr!BQ30)),IF(AND(up_Irr!S30=".",up_Irr!AR30&lt;&gt;".",up_Irr!BQ30&lt;&gt;"."),up_dir!T30/((1/1000)*(up_Irr!AR30+up_Irr!BQ30)),IF(AND(up_Irr!S30=".",up_Irr!AR30=".",up_Irr!BQ30&lt;&gt;"."),up_dir!T30/((1/1000)*(up_Irr!BQ30)),IF(AND(up_Irr!S30=".",up_Irr!AR30&lt;&gt;".",up_Irr!BQ30="."),up_dir!T30/((1/1000)*(up_Irr!AR30)),IF(AND(up_Irr!S30&lt;&gt;".",up_Irr!AR30=".",up_Irr!BQ30="."),up_dir!T30/((1/1000)*(up_Irr!S30)),IF(AND(up_Irr!S30=".",up_Irr!AR30=".",up_Irr!BQ30="."),up_dir!T30*1000)))))))),".")</f>
        <v>6.5773651144152123E-11</v>
      </c>
      <c r="U30" s="76">
        <f>IFERROR(IF(AND(up_Irr!T30&lt;&gt;".",up_Irr!AS30&lt;&gt;".",up_Irr!BR30&lt;&gt;"."),up_dir!U30/((1/1000)*(up_Irr!T30+up_Irr!AS30+up_Irr!BR30)),IF(AND(up_Irr!T30&lt;&gt;".",up_Irr!AS30&lt;&gt;".",up_Irr!BR30="."),up_dir!U30/((1/1000)*(up_Irr!T30+up_Irr!AS30)),IF(AND(up_Irr!T30&lt;&gt;".",up_Irr!AS30=".",up_Irr!BR30&lt;&gt;"."),up_dir!U30/((1/1000)*(up_Irr!T30+up_Irr!BR30)),IF(AND(up_Irr!T30=".",up_Irr!AS30&lt;&gt;".",up_Irr!BR30&lt;&gt;"."),up_dir!U30/((1/1000)*(up_Irr!AS30+up_Irr!BR30)),IF(AND(up_Irr!T30=".",up_Irr!AS30=".",up_Irr!BR30&lt;&gt;"."),up_dir!U30/((1/1000)*(up_Irr!BR30)),IF(AND(up_Irr!T30=".",up_Irr!AS30&lt;&gt;".",up_Irr!BR30="."),up_dir!U30/((1/1000)*(up_Irr!AS30)),IF(AND(up_Irr!T30&lt;&gt;".",up_Irr!AS30=".",up_Irr!BR30="."),up_dir!U30/((1/1000)*(up_Irr!T30)),IF(AND(up_Irr!T30=".",up_Irr!AS30=".",up_Irr!BR30="."),up_dir!U30*1000)))))))),".")</f>
        <v>6.5773651144152123E-11</v>
      </c>
      <c r="V30" s="76">
        <f>IFERROR(IF(AND(up_Irr!U30&lt;&gt;".",up_Irr!AT30&lt;&gt;".",up_Irr!BS30&lt;&gt;"."),up_dir!V30/((1/1000)*(up_Irr!U30+up_Irr!AT30+up_Irr!BS30)),IF(AND(up_Irr!U30&lt;&gt;".",up_Irr!AT30&lt;&gt;".",up_Irr!BS30="."),up_dir!V30/((1/1000)*(up_Irr!U30+up_Irr!AT30)),IF(AND(up_Irr!U30&lt;&gt;".",up_Irr!AT30=".",up_Irr!BS30&lt;&gt;"."),up_dir!V30/((1/1000)*(up_Irr!U30+up_Irr!BS30)),IF(AND(up_Irr!U30=".",up_Irr!AT30&lt;&gt;".",up_Irr!BS30&lt;&gt;"."),up_dir!V30/((1/1000)*(up_Irr!AT30+up_Irr!BS30)),IF(AND(up_Irr!U30=".",up_Irr!AT30=".",up_Irr!BS30&lt;&gt;"."),up_dir!V30/((1/1000)*(up_Irr!BS30)),IF(AND(up_Irr!U30=".",up_Irr!AT30&lt;&gt;".",up_Irr!BS30="."),up_dir!V30/((1/1000)*(up_Irr!AT30)),IF(AND(up_Irr!U30&lt;&gt;".",up_Irr!AT30=".",up_Irr!BS30="."),up_dir!V30/((1/1000)*(up_Irr!U30)),IF(AND(up_Irr!U30=".",up_Irr!AT30=".",up_Irr!BS30="."),up_dir!V30*1000)))))))),".")</f>
        <v>6.5773651144152123E-11</v>
      </c>
      <c r="W30" s="76">
        <f>IFERROR(IF(AND(up_Irr!V30&lt;&gt;".",up_Irr!AU30&lt;&gt;".",up_Irr!BT30&lt;&gt;"."),up_dir!W30/((1/1000)*(up_Irr!V30+up_Irr!AU30+up_Irr!BT30)),IF(AND(up_Irr!V30&lt;&gt;".",up_Irr!AU30&lt;&gt;".",up_Irr!BT30="."),up_dir!W30/((1/1000)*(up_Irr!V30+up_Irr!AU30)),IF(AND(up_Irr!V30&lt;&gt;".",up_Irr!AU30=".",up_Irr!BT30&lt;&gt;"."),up_dir!W30/((1/1000)*(up_Irr!V30+up_Irr!BT30)),IF(AND(up_Irr!V30=".",up_Irr!AU30&lt;&gt;".",up_Irr!BT30&lt;&gt;"."),up_dir!W30/((1/1000)*(up_Irr!AU30+up_Irr!BT30)),IF(AND(up_Irr!V30=".",up_Irr!AU30=".",up_Irr!BT30&lt;&gt;"."),up_dir!W30/((1/1000)*(up_Irr!BT30)),IF(AND(up_Irr!V30=".",up_Irr!AU30&lt;&gt;".",up_Irr!BT30="."),up_dir!W30/((1/1000)*(up_Irr!AU30)),IF(AND(up_Irr!V30&lt;&gt;".",up_Irr!AU30=".",up_Irr!BT30="."),up_dir!W30/((1/1000)*(up_Irr!V30)),IF(AND(up_Irr!V30=".",up_Irr!AU30=".",up_Irr!BT30="."),up_dir!W30*1000)))))))),".")</f>
        <v>6.5773651144152123E-11</v>
      </c>
      <c r="X30" s="76">
        <f>IFERROR(IF(AND(up_Irr!W30&lt;&gt;".",up_Irr!AV30&lt;&gt;".",up_Irr!BU30&lt;&gt;"."),up_dir!X30/((1/1000)*(up_Irr!W30+up_Irr!AV30+up_Irr!BU30)),IF(AND(up_Irr!W30&lt;&gt;".",up_Irr!AV30&lt;&gt;".",up_Irr!BU30="."),up_dir!X30/((1/1000)*(up_Irr!W30+up_Irr!AV30)),IF(AND(up_Irr!W30&lt;&gt;".",up_Irr!AV30=".",up_Irr!BU30&lt;&gt;"."),up_dir!X30/((1/1000)*(up_Irr!W30+up_Irr!BU30)),IF(AND(up_Irr!W30=".",up_Irr!AV30&lt;&gt;".",up_Irr!BU30&lt;&gt;"."),up_dir!X30/((1/1000)*(up_Irr!AV30+up_Irr!BU30)),IF(AND(up_Irr!W30=".",up_Irr!AV30=".",up_Irr!BU30&lt;&gt;"."),up_dir!X30/((1/1000)*(up_Irr!BU30)),IF(AND(up_Irr!W30=".",up_Irr!AV30&lt;&gt;".",up_Irr!BU30="."),up_dir!X30/((1/1000)*(up_Irr!AV30)),IF(AND(up_Irr!W30&lt;&gt;".",up_Irr!AV30=".",up_Irr!BU30="."),up_dir!X30/((1/1000)*(up_Irr!W30)),IF(AND(up_Irr!W30=".",up_Irr!AV30=".",up_Irr!BU30="."),up_dir!X30*1000)))))))),".")</f>
        <v>6.5773651144152123E-11</v>
      </c>
      <c r="Y30" s="76">
        <f>IFERROR(IF(AND(up_Irr!X30&lt;&gt;".",up_Irr!AW30&lt;&gt;".",up_Irr!BV30&lt;&gt;"."),up_dir!Y30/((1/1000)*(up_Irr!X30+up_Irr!AW30+up_Irr!BV30)),IF(AND(up_Irr!X30&lt;&gt;".",up_Irr!AW30&lt;&gt;".",up_Irr!BV30="."),up_dir!Y30/((1/1000)*(up_Irr!X30+up_Irr!AW30)),IF(AND(up_Irr!X30&lt;&gt;".",up_Irr!AW30=".",up_Irr!BV30&lt;&gt;"."),up_dir!Y30/((1/1000)*(up_Irr!X30+up_Irr!BV30)),IF(AND(up_Irr!X30=".",up_Irr!AW30&lt;&gt;".",up_Irr!BV30&lt;&gt;"."),up_dir!Y30/((1/1000)*(up_Irr!AW30+up_Irr!BV30)),IF(AND(up_Irr!X30=".",up_Irr!AW30=".",up_Irr!BV30&lt;&gt;"."),up_dir!Y30/((1/1000)*(up_Irr!BV30)),IF(AND(up_Irr!X30=".",up_Irr!AW30&lt;&gt;".",up_Irr!BV30="."),up_dir!Y30/((1/1000)*(up_Irr!AW30)),IF(AND(up_Irr!X30&lt;&gt;".",up_Irr!AW30=".",up_Irr!BV30="."),up_dir!Y30/((1/1000)*(up_Irr!X30)),IF(AND(up_Irr!X30=".",up_Irr!AW30=".",up_Irr!BV30="."),up_dir!Y30*1000)))))))),".")</f>
        <v>6.5773651144152123E-11</v>
      </c>
      <c r="Z30" s="76">
        <f>IFERROR(IF(AND(up_Irr!Y30&lt;&gt;".",up_Irr!AX30&lt;&gt;".",up_Irr!BW30&lt;&gt;"."),up_dir!Z30/((1/1000)*(up_Irr!Y30+up_Irr!AX30+up_Irr!BW30)),IF(AND(up_Irr!Y30&lt;&gt;".",up_Irr!AX30&lt;&gt;".",up_Irr!BW30="."),up_dir!Z30/((1/1000)*(up_Irr!Y30+up_Irr!AX30)),IF(AND(up_Irr!Y30&lt;&gt;".",up_Irr!AX30=".",up_Irr!BW30&lt;&gt;"."),up_dir!Z30/((1/1000)*(up_Irr!Y30+up_Irr!BW30)),IF(AND(up_Irr!Y30=".",up_Irr!AX30&lt;&gt;".",up_Irr!BW30&lt;&gt;"."),up_dir!Z30/((1/1000)*(up_Irr!AX30+up_Irr!BW30)),IF(AND(up_Irr!Y30=".",up_Irr!AX30=".",up_Irr!BW30&lt;&gt;"."),up_dir!Z30/((1/1000)*(up_Irr!BW30)),IF(AND(up_Irr!Y30=".",up_Irr!AX30&lt;&gt;".",up_Irr!BW30="."),up_dir!Z30/((1/1000)*(up_Irr!AX30)),IF(AND(up_Irr!Y30&lt;&gt;".",up_Irr!AX30=".",up_Irr!BW30="."),up_dir!Z30/((1/1000)*(up_Irr!Y30)),IF(AND(up_Irr!Y30=".",up_Irr!AX30=".",up_Irr!BW30="."),up_dir!Z30*1000)))))))),".")</f>
        <v>6.5773651144152123E-11</v>
      </c>
      <c r="AA30" s="76">
        <f>IFERROR(IF(AND(up_Irr!Z30&lt;&gt;".",up_Irr!AY30&lt;&gt;".",up_Irr!BX30&lt;&gt;"."),up_dir!AA30/((1/1000)*(up_Irr!Z30+up_Irr!AY30+up_Irr!BX30)),IF(AND(up_Irr!Z30&lt;&gt;".",up_Irr!AY30&lt;&gt;".",up_Irr!BX30="."),up_dir!AA30/((1/1000)*(up_Irr!Z30+up_Irr!AY30)),IF(AND(up_Irr!Z30&lt;&gt;".",up_Irr!AY30=".",up_Irr!BX30&lt;&gt;"."),up_dir!AA30/((1/1000)*(up_Irr!Z30+up_Irr!BX30)),IF(AND(up_Irr!Z30=".",up_Irr!AY30&lt;&gt;".",up_Irr!BX30&lt;&gt;"."),up_dir!AA30/((1/1000)*(up_Irr!AY30+up_Irr!BX30)),IF(AND(up_Irr!Z30=".",up_Irr!AY30=".",up_Irr!BX30&lt;&gt;"."),up_dir!AA30/((1/1000)*(up_Irr!BX30)),IF(AND(up_Irr!Z30=".",up_Irr!AY30&lt;&gt;".",up_Irr!BX30="."),up_dir!AA30/((1/1000)*(up_Irr!AY30)),IF(AND(up_Irr!Z30&lt;&gt;".",up_Irr!AY30=".",up_Irr!BX30="."),up_dir!AA30/((1/1000)*(up_Irr!Z30)),IF(AND(up_Irr!Z30=".",up_Irr!AY30=".",up_Irr!BX30="."),up_dir!AA30*1000)))))))),".")</f>
        <v>6.5773651144152123E-11</v>
      </c>
      <c r="AB30" s="76">
        <f>IFERROR(IF(AND(up_Irr!AA30&lt;&gt;".",up_Irr!AZ30&lt;&gt;".",up_Irr!BY30&lt;&gt;"."),up_dir!AB30/((1/1000)*(up_Irr!AA30+up_Irr!AZ30+up_Irr!BY30)),IF(AND(up_Irr!AA30&lt;&gt;".",up_Irr!AZ30&lt;&gt;".",up_Irr!BY30="."),up_dir!AB30/((1/1000)*(up_Irr!AA30+up_Irr!AZ30)),IF(AND(up_Irr!AA30&lt;&gt;".",up_Irr!AZ30=".",up_Irr!BY30&lt;&gt;"."),up_dir!AB30/((1/1000)*(up_Irr!AA30+up_Irr!BY30)),IF(AND(up_Irr!AA30=".",up_Irr!AZ30&lt;&gt;".",up_Irr!BY30&lt;&gt;"."),up_dir!AB30/((1/1000)*(up_Irr!AZ30+up_Irr!BY30)),IF(AND(up_Irr!AA30=".",up_Irr!AZ30=".",up_Irr!BY30&lt;&gt;"."),up_dir!AB30/((1/1000)*(up_Irr!BY30)),IF(AND(up_Irr!AA30=".",up_Irr!AZ30&lt;&gt;".",up_Irr!BY30="."),up_dir!AB30/((1/1000)*(up_Irr!AZ30)),IF(AND(up_Irr!AA30&lt;&gt;".",up_Irr!AZ30=".",up_Irr!BY30="."),up_dir!AB30/((1/1000)*(up_Irr!AA30)),IF(AND(up_Irr!AA30=".",up_Irr!AZ30=".",up_Irr!BY30="."),up_dir!AB30*1000)))))))),".")</f>
        <v>6.5773651144152123E-11</v>
      </c>
      <c r="AC30" s="93">
        <f t="shared" si="1"/>
        <v>608146.26076229871</v>
      </c>
      <c r="AD30" s="93">
        <f>IFERROR(s_C*s_IFAP_res_adj*s_CF_apple*0.001*(up_Irr!C30+up_Irr!AB30+up_Irr!BA30),".")</f>
        <v>152036.56519057468</v>
      </c>
      <c r="AE30" s="93">
        <f>IFERROR(s_C*s_IFAS_res_adj*s_CF_asparagus*0.001*(up_Irr!D30+up_Irr!AC30+up_Irr!BB30),".")</f>
        <v>152036.56519057468</v>
      </c>
      <c r="AF30" s="93">
        <f>IFERROR(s_C*s_IFBT_res_adj*s_CF_beet*0.001*(up_Irr!E30+up_Irr!AD30+up_Irr!BC30),".")</f>
        <v>152036.56519057468</v>
      </c>
      <c r="AG30" s="93">
        <f>IFERROR(s_C*s_IFBE_res_adj*s_CF_berries*0.001*(up_Irr!F30+up_Irr!AE30+up_Irr!BD30),".")</f>
        <v>152036.56519057468</v>
      </c>
      <c r="AH30" s="93">
        <f>IFERROR(s_C*s_IFBR_res_adj*s_CF_broccoli*0.001*(up_Irr!G30+up_Irr!AF30+up_Irr!BE30),".")</f>
        <v>152036.56519057468</v>
      </c>
      <c r="AI30" s="93">
        <f>IFERROR(s_C*s_IFCB_res_adj*s_CF_cabbage*0.001*(up_Irr!H30+up_Irr!AG30+up_Irr!BF30),".")</f>
        <v>152036.56519057468</v>
      </c>
      <c r="AJ30" s="93">
        <f>IFERROR(s_C*s_IFCR_res_adj*s_CF_carrot*0.001*(up_Irr!I30+up_Irr!AH30+up_Irr!BG30),".")</f>
        <v>152036.56519057468</v>
      </c>
      <c r="AK30" s="93">
        <f>IFERROR(s_C*s_IFCI_res_adj*s_CF_citrus*0.001*(up_Irr!J30+up_Irr!AI30+up_Irr!BH30),".")</f>
        <v>152036.56519057468</v>
      </c>
      <c r="AL30" s="93">
        <f>IFERROR(s_C*s_IFCO_res_adj*s_CF_corn*0.001*(up_Irr!K30+up_Irr!AJ30+up_Irr!BI30),".")</f>
        <v>152036.56519057468</v>
      </c>
      <c r="AM30" s="93">
        <f>IFERROR(s_C*s_IFCU_res_adj*s_CF_cucumber*0.001*(up_Irr!L30+up_Irr!AK30+up_Irr!BJ30),".")</f>
        <v>152036.56519057468</v>
      </c>
      <c r="AN30" s="93">
        <f>IFERROR(s_C*s_IFLE_res_adj*s_CF_lettuce*0.001*(up_Irr!M30+up_Irr!AL30+up_Irr!BK30),".")</f>
        <v>152036.56519057468</v>
      </c>
      <c r="AO30" s="93">
        <f>IFERROR(s_C*s_IFLI_res_adj*s_CF_lima_bean*0.001*(up_Irr!N30+up_Irr!AM30+up_Irr!BL30),".")</f>
        <v>152036.56519057468</v>
      </c>
      <c r="AP30" s="93">
        <f>IFERROR(s_C*s_IFOK_res_adj*s_CF_okra*0.001*(up_Irr!O30+up_Irr!AN30+up_Irr!BM30),".")</f>
        <v>152036.56519057468</v>
      </c>
      <c r="AQ30" s="93">
        <f>IFERROR(s_C*s_IFON_res_adj*s_CF_onion*0.001*(up_Irr!P30+up_Irr!AO30+up_Irr!BN30),".")</f>
        <v>152036.56519057468</v>
      </c>
      <c r="AR30" s="93">
        <f>IFERROR(s_C*s_IFPC_res_adj*s_CF_peach*0.001*(up_Irr!Q30+up_Irr!AP30+up_Irr!BO30),".")</f>
        <v>152036.56519057468</v>
      </c>
      <c r="AS30" s="93">
        <f>IFERROR(s_C*s_IFPR_res_adj*s_CF_pear*0.001*(up_Irr!R30+up_Irr!AQ30+up_Irr!BP30),".")</f>
        <v>152036.56519057468</v>
      </c>
      <c r="AT30" s="93">
        <f>IFERROR(s_C*s_IFPE_res_adj*s_CF_peas*0.001*(up_Irr!S30+up_Irr!AR30+up_Irr!BQ30),".")</f>
        <v>152036.56519057468</v>
      </c>
      <c r="AU30" s="93">
        <f>IFERROR(s_C*s_IFPP_res_adj*s_CF_peppers*0.001*(up_Irr!T30+up_Irr!AS30+up_Irr!BR30),".")</f>
        <v>152036.56519057468</v>
      </c>
      <c r="AV30" s="93">
        <f>IFERROR(s_C*s_IFPT_res_adj*s_CF_potato*0.001*(up_Irr!U30+up_Irr!AT30+up_Irr!BS30),".")</f>
        <v>152036.56519057468</v>
      </c>
      <c r="AW30" s="93">
        <f>IFERROR(s_C*s_IFPU_res_adj*s_CF_pumpkin*0.001*(up_Irr!V30+up_Irr!AU30+up_Irr!BT30),".")</f>
        <v>152036.56519057468</v>
      </c>
      <c r="AX30" s="93">
        <f>IFERROR(s_C*s_IFSN_res_adj*s_CF_snap_bean*0.001*(up_Irr!W30+up_Irr!AV30+up_Irr!BU30),".")</f>
        <v>152036.56519057468</v>
      </c>
      <c r="AY30" s="93">
        <f>IFERROR(s_C*s_IFST_res_adj*s_CF_strawberry*0.001*(up_Irr!X30+up_Irr!AW30+up_Irr!BV30),".")</f>
        <v>152036.56519057468</v>
      </c>
      <c r="AZ30" s="93">
        <f>IFERROR(s_C*s_IFTO_res_adj*s_CF_tomato*0.001*(up_Irr!Y30+up_Irr!AX30+up_Irr!BW30),".")</f>
        <v>152036.56519057468</v>
      </c>
      <c r="BA30" s="93">
        <f>IFERROR(s_C*s_IFRI_res_adj*s_CF_rice*0.001*(up_Irr!Z30+up_Irr!AY30+up_Irr!BX30),".")</f>
        <v>152036.56519057468</v>
      </c>
      <c r="BB30" s="93">
        <f>IFERROR(s_C*s_IFCG_res_adj*s_CF_cereal*0.001*(up_Irr!AA30+up_Irr!AZ30+up_Irr!BY30),".")</f>
        <v>152036.56519057468</v>
      </c>
      <c r="BC30" s="76">
        <f t="shared" si="2"/>
        <v>1.6443412786038031E-11</v>
      </c>
      <c r="BD30" s="76">
        <f>IFERROR(IF(AND(up_Irr!C30&lt;&gt;".",up_Irr!AB30&lt;&gt;".",up_Irr!BA30&lt;&gt;"."),up_dir!AD30/((1/1000)*(up_Irr!C30+up_Irr!AB30+up_Irr!BA30)),IF(AND(up_Irr!C30&lt;&gt;".",up_Irr!AB30&lt;&gt;".",up_Irr!BA30="."),up_dir!AD30/((1/1000)*(up_Irr!C30+up_Irr!AB30)),IF(AND(up_Irr!C30&lt;&gt;".",up_Irr!AB30=".",up_Irr!BA30&lt;&gt;"."),up_dir!AD30/((1/1000)*(up_Irr!C30+up_Irr!BA30)),IF(AND(up_Irr!C30=".",up_Irr!AB30&lt;&gt;".",up_Irr!BA30&lt;&gt;"."),up_dir!AD30/((1/1000)*(up_Irr!AB30+up_Irr!BA30)),IF(AND(up_Irr!C30=".",up_Irr!AB30=".",up_Irr!BA30&lt;&gt;"."),up_dir!AD30/((1/1000)*(up_Irr!BA30)),IF(AND(up_Irr!C30=".",up_Irr!AB30&lt;&gt;".",up_Irr!BA30="."),up_dir!AD30/((1/1000)*(up_Irr!AB30)),IF(AND(up_Irr!C30&lt;&gt;".",up_Irr!AB30=".",up_Irr!BA30="."),up_dir!AD30/((1/1000)*(up_Irr!C30)),IF(AND(up_Irr!C30=".",up_Irr!AB30=".",up_Irr!BA30="."),up_dir!AD30*1000)))))))),".")</f>
        <v>6.5773651144152123E-11</v>
      </c>
      <c r="BE30" s="76">
        <f>IFERROR(IF(AND(up_Irr!D30&lt;&gt;".",up_Irr!AC30&lt;&gt;".",up_Irr!BB30&lt;&gt;"."),up_dir!AE30/((1/1000)*(up_Irr!D30+up_Irr!AC30+up_Irr!BB30)),IF(AND(up_Irr!D30&lt;&gt;".",up_Irr!AC30&lt;&gt;".",up_Irr!BB30="."),up_dir!AE30/((1/1000)*(up_Irr!D30+up_Irr!AC30)),IF(AND(up_Irr!D30&lt;&gt;".",up_Irr!AC30=".",up_Irr!BB30&lt;&gt;"."),up_dir!AE30/((1/1000)*(up_Irr!D30+up_Irr!BB30)),IF(AND(up_Irr!D30=".",up_Irr!AC30&lt;&gt;".",up_Irr!BB30&lt;&gt;"."),up_dir!AE30/((1/1000)*(up_Irr!AC30+up_Irr!BB30)),IF(AND(up_Irr!D30=".",up_Irr!AC30=".",up_Irr!BB30&lt;&gt;"."),up_dir!AE30/((1/1000)*(up_Irr!BB30)),IF(AND(up_Irr!D30=".",up_Irr!AC30&lt;&gt;".",up_Irr!BB30="."),up_dir!AE30/((1/1000)*(up_Irr!AC30)),IF(AND(up_Irr!D30&lt;&gt;".",up_Irr!AC30=".",up_Irr!BB30="."),up_dir!AE30/((1/1000)*(up_Irr!D30)),IF(AND(up_Irr!D30=".",up_Irr!AC30=".",up_Irr!BB30="."),up_dir!AE30*1000)))))))),".")</f>
        <v>6.5773651144152123E-11</v>
      </c>
      <c r="BF30" s="76">
        <f>IFERROR(IF(AND(up_Irr!E30&lt;&gt;".",up_Irr!AD30&lt;&gt;".",up_Irr!BC30&lt;&gt;"."),up_dir!AF30/((1/1000)*(up_Irr!E30+up_Irr!AD30+up_Irr!BC30)),IF(AND(up_Irr!E30&lt;&gt;".",up_Irr!AD30&lt;&gt;".",up_Irr!BC30="."),up_dir!AF30/((1/1000)*(up_Irr!E30+up_Irr!AD30)),IF(AND(up_Irr!E30&lt;&gt;".",up_Irr!AD30=".",up_Irr!BC30&lt;&gt;"."),up_dir!AF30/((1/1000)*(up_Irr!E30+up_Irr!BC30)),IF(AND(up_Irr!E30=".",up_Irr!AD30&lt;&gt;".",up_Irr!BC30&lt;&gt;"."),up_dir!AF30/((1/1000)*(up_Irr!AD30+up_Irr!BC30)),IF(AND(up_Irr!E30=".",up_Irr!AD30=".",up_Irr!BC30&lt;&gt;"."),up_dir!AF30/((1/1000)*(up_Irr!BC30)),IF(AND(up_Irr!E30=".",up_Irr!AD30&lt;&gt;".",up_Irr!BC30="."),up_dir!AF30/((1/1000)*(up_Irr!AD30)),IF(AND(up_Irr!E30&lt;&gt;".",up_Irr!AD30=".",up_Irr!BC30="."),up_dir!AF30/((1/1000)*(up_Irr!E30)),IF(AND(up_Irr!E30=".",up_Irr!AD30=".",up_Irr!BC30="."),up_dir!AF30*1000)))))))),".")</f>
        <v>6.5773651144152123E-11</v>
      </c>
      <c r="BG30" s="76">
        <f>IFERROR(IF(AND(up_Irr!F30&lt;&gt;".",up_Irr!AE30&lt;&gt;".",up_Irr!BD30&lt;&gt;"."),up_dir!AG30/((1/1000)*(up_Irr!F30+up_Irr!AE30+up_Irr!BD30)),IF(AND(up_Irr!F30&lt;&gt;".",up_Irr!AE30&lt;&gt;".",up_Irr!BD30="."),up_dir!AG30/((1/1000)*(up_Irr!F30+up_Irr!AE30)),IF(AND(up_Irr!F30&lt;&gt;".",up_Irr!AE30=".",up_Irr!BD30&lt;&gt;"."),up_dir!AG30/((1/1000)*(up_Irr!F30+up_Irr!BD30)),IF(AND(up_Irr!F30=".",up_Irr!AE30&lt;&gt;".",up_Irr!BD30&lt;&gt;"."),up_dir!AG30/((1/1000)*(up_Irr!AE30+up_Irr!BD30)),IF(AND(up_Irr!F30=".",up_Irr!AE30=".",up_Irr!BD30&lt;&gt;"."),up_dir!AG30/((1/1000)*(up_Irr!BD30)),IF(AND(up_Irr!F30=".",up_Irr!AE30&lt;&gt;".",up_Irr!BD30="."),up_dir!AG30/((1/1000)*(up_Irr!AE30)),IF(AND(up_Irr!F30&lt;&gt;".",up_Irr!AE30=".",up_Irr!BD30="."),up_dir!AG30/((1/1000)*(up_Irr!F30)),IF(AND(up_Irr!F30=".",up_Irr!AE30=".",up_Irr!BD30="."),up_dir!AG30*1000)))))))),".")</f>
        <v>6.5773651144152123E-11</v>
      </c>
      <c r="BH30" s="76">
        <f>IFERROR(IF(AND(up_Irr!G30&lt;&gt;".",up_Irr!AF30&lt;&gt;".",up_Irr!BE30&lt;&gt;"."),up_dir!AH30/((1/1000)*(up_Irr!G30+up_Irr!AF30+up_Irr!BE30)),IF(AND(up_Irr!G30&lt;&gt;".",up_Irr!AF30&lt;&gt;".",up_Irr!BE30="."),up_dir!AH30/((1/1000)*(up_Irr!G30+up_Irr!AF30)),IF(AND(up_Irr!G30&lt;&gt;".",up_Irr!AF30=".",up_Irr!BE30&lt;&gt;"."),up_dir!AH30/((1/1000)*(up_Irr!G30+up_Irr!BE30)),IF(AND(up_Irr!G30=".",up_Irr!AF30&lt;&gt;".",up_Irr!BE30&lt;&gt;"."),up_dir!AH30/((1/1000)*(up_Irr!AF30+up_Irr!BE30)),IF(AND(up_Irr!G30=".",up_Irr!AF30=".",up_Irr!BE30&lt;&gt;"."),up_dir!AH30/((1/1000)*(up_Irr!BE30)),IF(AND(up_Irr!G30=".",up_Irr!AF30&lt;&gt;".",up_Irr!BE30="."),up_dir!AH30/((1/1000)*(up_Irr!AF30)),IF(AND(up_Irr!G30&lt;&gt;".",up_Irr!AF30=".",up_Irr!BE30="."),up_dir!AH30/((1/1000)*(up_Irr!G30)),IF(AND(up_Irr!G30=".",up_Irr!AF30=".",up_Irr!BE30="."),up_dir!AH30*1000)))))))),".")</f>
        <v>6.5773651144152123E-11</v>
      </c>
      <c r="BI30" s="76">
        <f>IFERROR(IF(AND(up_Irr!H30&lt;&gt;".",up_Irr!AG30&lt;&gt;".",up_Irr!BF30&lt;&gt;"."),up_dir!AI30/((1/1000)*(up_Irr!H30+up_Irr!AG30+up_Irr!BF30)),IF(AND(up_Irr!H30&lt;&gt;".",up_Irr!AG30&lt;&gt;".",up_Irr!BF30="."),up_dir!AI30/((1/1000)*(up_Irr!H30+up_Irr!AG30)),IF(AND(up_Irr!H30&lt;&gt;".",up_Irr!AG30=".",up_Irr!BF30&lt;&gt;"."),up_dir!AI30/((1/1000)*(up_Irr!H30+up_Irr!BF30)),IF(AND(up_Irr!H30=".",up_Irr!AG30&lt;&gt;".",up_Irr!BF30&lt;&gt;"."),up_dir!AI30/((1/1000)*(up_Irr!AG30+up_Irr!BF30)),IF(AND(up_Irr!H30=".",up_Irr!AG30=".",up_Irr!BF30&lt;&gt;"."),up_dir!AI30/((1/1000)*(up_Irr!BF30)),IF(AND(up_Irr!H30=".",up_Irr!AG30&lt;&gt;".",up_Irr!BF30="."),up_dir!AI30/((1/1000)*(up_Irr!AG30)),IF(AND(up_Irr!H30&lt;&gt;".",up_Irr!AG30=".",up_Irr!BF30="."),up_dir!AI30/((1/1000)*(up_Irr!H30)),IF(AND(up_Irr!H30=".",up_Irr!AG30=".",up_Irr!BF30="."),up_dir!AI30*1000)))))))),".")</f>
        <v>6.5773651144152123E-11</v>
      </c>
      <c r="BJ30" s="76">
        <f>IFERROR(IF(AND(up_Irr!I30&lt;&gt;".",up_Irr!AH30&lt;&gt;".",up_Irr!BG30&lt;&gt;"."),up_dir!AJ30/((1/1000)*(up_Irr!I30+up_Irr!AH30+up_Irr!BG30)),IF(AND(up_Irr!I30&lt;&gt;".",up_Irr!AH30&lt;&gt;".",up_Irr!BG30="."),up_dir!AJ30/((1/1000)*(up_Irr!I30+up_Irr!AH30)),IF(AND(up_Irr!I30&lt;&gt;".",up_Irr!AH30=".",up_Irr!BG30&lt;&gt;"."),up_dir!AJ30/((1/1000)*(up_Irr!I30+up_Irr!BG30)),IF(AND(up_Irr!I30=".",up_Irr!AH30&lt;&gt;".",up_Irr!BG30&lt;&gt;"."),up_dir!AJ30/((1/1000)*(up_Irr!AH30+up_Irr!BG30)),IF(AND(up_Irr!I30=".",up_Irr!AH30=".",up_Irr!BG30&lt;&gt;"."),up_dir!AJ30/((1/1000)*(up_Irr!BG30)),IF(AND(up_Irr!I30=".",up_Irr!AH30&lt;&gt;".",up_Irr!BG30="."),up_dir!AJ30/((1/1000)*(up_Irr!AH30)),IF(AND(up_Irr!I30&lt;&gt;".",up_Irr!AH30=".",up_Irr!BG30="."),up_dir!AJ30/((1/1000)*(up_Irr!I30)),IF(AND(up_Irr!I30=".",up_Irr!AH30=".",up_Irr!BG30="."),up_dir!AJ30*1000)))))))),".")</f>
        <v>6.5773651144152123E-11</v>
      </c>
      <c r="BK30" s="76">
        <f>IFERROR(IF(AND(up_Irr!J30&lt;&gt;".",up_Irr!AI30&lt;&gt;".",up_Irr!BH30&lt;&gt;"."),up_dir!AK30/((1/1000)*(up_Irr!J30+up_Irr!AI30+up_Irr!BH30)),IF(AND(up_Irr!J30&lt;&gt;".",up_Irr!AI30&lt;&gt;".",up_Irr!BH30="."),up_dir!AK30/((1/1000)*(up_Irr!J30+up_Irr!AI30)),IF(AND(up_Irr!J30&lt;&gt;".",up_Irr!AI30=".",up_Irr!BH30&lt;&gt;"."),up_dir!AK30/((1/1000)*(up_Irr!J30+up_Irr!BH30)),IF(AND(up_Irr!J30=".",up_Irr!AI30&lt;&gt;".",up_Irr!BH30&lt;&gt;"."),up_dir!AK30/((1/1000)*(up_Irr!AI30+up_Irr!BH30)),IF(AND(up_Irr!J30=".",up_Irr!AI30=".",up_Irr!BH30&lt;&gt;"."),up_dir!AK30/((1/1000)*(up_Irr!BH30)),IF(AND(up_Irr!J30=".",up_Irr!AI30&lt;&gt;".",up_Irr!BH30="."),up_dir!AK30/((1/1000)*(up_Irr!AI30)),IF(AND(up_Irr!J30&lt;&gt;".",up_Irr!AI30=".",up_Irr!BH30="."),up_dir!AK30/((1/1000)*(up_Irr!J30)),IF(AND(up_Irr!J30=".",up_Irr!AI30=".",up_Irr!BH30="."),up_dir!AK30*1000)))))))),".")</f>
        <v>6.5773651144152123E-11</v>
      </c>
      <c r="BL30" s="76">
        <f>IFERROR(IF(AND(up_Irr!K30&lt;&gt;".",up_Irr!AJ30&lt;&gt;".",up_Irr!BI30&lt;&gt;"."),up_dir!AL30/((1/1000)*(up_Irr!K30+up_Irr!AJ30+up_Irr!BI30)),IF(AND(up_Irr!K30&lt;&gt;".",up_Irr!AJ30&lt;&gt;".",up_Irr!BI30="."),up_dir!AL30/((1/1000)*(up_Irr!K30+up_Irr!AJ30)),IF(AND(up_Irr!K30&lt;&gt;".",up_Irr!AJ30=".",up_Irr!BI30&lt;&gt;"."),up_dir!AL30/((1/1000)*(up_Irr!K30+up_Irr!BI30)),IF(AND(up_Irr!K30=".",up_Irr!AJ30&lt;&gt;".",up_Irr!BI30&lt;&gt;"."),up_dir!AL30/((1/1000)*(up_Irr!AJ30+up_Irr!BI30)),IF(AND(up_Irr!K30=".",up_Irr!AJ30=".",up_Irr!BI30&lt;&gt;"."),up_dir!AL30/((1/1000)*(up_Irr!BI30)),IF(AND(up_Irr!K30=".",up_Irr!AJ30&lt;&gt;".",up_Irr!BI30="."),up_dir!AL30/((1/1000)*(up_Irr!AJ30)),IF(AND(up_Irr!K30&lt;&gt;".",up_Irr!AJ30=".",up_Irr!BI30="."),up_dir!AL30/((1/1000)*(up_Irr!K30)),IF(AND(up_Irr!K30=".",up_Irr!AJ30=".",up_Irr!BI30="."),up_dir!AL30*1000)))))))),".")</f>
        <v>6.5773651144152123E-11</v>
      </c>
      <c r="BM30" s="76">
        <f>IFERROR(IF(AND(up_Irr!L30&lt;&gt;".",up_Irr!AK30&lt;&gt;".",up_Irr!BJ30&lt;&gt;"."),up_dir!AM30/((1/1000)*(up_Irr!L30+up_Irr!AK30+up_Irr!BJ30)),IF(AND(up_Irr!L30&lt;&gt;".",up_Irr!AK30&lt;&gt;".",up_Irr!BJ30="."),up_dir!AM30/((1/1000)*(up_Irr!L30+up_Irr!AK30)),IF(AND(up_Irr!L30&lt;&gt;".",up_Irr!AK30=".",up_Irr!BJ30&lt;&gt;"."),up_dir!AM30/((1/1000)*(up_Irr!L30+up_Irr!BJ30)),IF(AND(up_Irr!L30=".",up_Irr!AK30&lt;&gt;".",up_Irr!BJ30&lt;&gt;"."),up_dir!AM30/((1/1000)*(up_Irr!AK30+up_Irr!BJ30)),IF(AND(up_Irr!L30=".",up_Irr!AK30=".",up_Irr!BJ30&lt;&gt;"."),up_dir!AM30/((1/1000)*(up_Irr!BJ30)),IF(AND(up_Irr!L30=".",up_Irr!AK30&lt;&gt;".",up_Irr!BJ30="."),up_dir!AM30/((1/1000)*(up_Irr!AK30)),IF(AND(up_Irr!L30&lt;&gt;".",up_Irr!AK30=".",up_Irr!BJ30="."),up_dir!AM30/((1/1000)*(up_Irr!L30)),IF(AND(up_Irr!L30=".",up_Irr!AK30=".",up_Irr!BJ30="."),up_dir!AM30*1000)))))))),".")</f>
        <v>6.5773651144152123E-11</v>
      </c>
      <c r="BN30" s="76">
        <f>IFERROR(IF(AND(up_Irr!M30&lt;&gt;".",up_Irr!AL30&lt;&gt;".",up_Irr!BK30&lt;&gt;"."),up_dir!AN30/((1/1000)*(up_Irr!M30+up_Irr!AL30+up_Irr!BK30)),IF(AND(up_Irr!M30&lt;&gt;".",up_Irr!AL30&lt;&gt;".",up_Irr!BK30="."),up_dir!AN30/((1/1000)*(up_Irr!M30+up_Irr!AL30)),IF(AND(up_Irr!M30&lt;&gt;".",up_Irr!AL30=".",up_Irr!BK30&lt;&gt;"."),up_dir!AN30/((1/1000)*(up_Irr!M30+up_Irr!BK30)),IF(AND(up_Irr!M30=".",up_Irr!AL30&lt;&gt;".",up_Irr!BK30&lt;&gt;"."),up_dir!AN30/((1/1000)*(up_Irr!AL30+up_Irr!BK30)),IF(AND(up_Irr!M30=".",up_Irr!AL30=".",up_Irr!BK30&lt;&gt;"."),up_dir!AN30/((1/1000)*(up_Irr!BK30)),IF(AND(up_Irr!M30=".",up_Irr!AL30&lt;&gt;".",up_Irr!BK30="."),up_dir!AN30/((1/1000)*(up_Irr!AL30)),IF(AND(up_Irr!M30&lt;&gt;".",up_Irr!AL30=".",up_Irr!BK30="."),up_dir!AN30/((1/1000)*(up_Irr!M30)),IF(AND(up_Irr!M30=".",up_Irr!AL30=".",up_Irr!BK30="."),up_dir!AN30*1000)))))))),".")</f>
        <v>6.5773651144152123E-11</v>
      </c>
      <c r="BO30" s="76">
        <f>IFERROR(IF(AND(up_Irr!N30&lt;&gt;".",up_Irr!AM30&lt;&gt;".",up_Irr!BL30&lt;&gt;"."),up_dir!AO30/((1/1000)*(up_Irr!N30+up_Irr!AM30+up_Irr!BL30)),IF(AND(up_Irr!N30&lt;&gt;".",up_Irr!AM30&lt;&gt;".",up_Irr!BL30="."),up_dir!AO30/((1/1000)*(up_Irr!N30+up_Irr!AM30)),IF(AND(up_Irr!N30&lt;&gt;".",up_Irr!AM30=".",up_Irr!BL30&lt;&gt;"."),up_dir!AO30/((1/1000)*(up_Irr!N30+up_Irr!BL30)),IF(AND(up_Irr!N30=".",up_Irr!AM30&lt;&gt;".",up_Irr!BL30&lt;&gt;"."),up_dir!AO30/((1/1000)*(up_Irr!AM30+up_Irr!BL30)),IF(AND(up_Irr!N30=".",up_Irr!AM30=".",up_Irr!BL30&lt;&gt;"."),up_dir!AO30/((1/1000)*(up_Irr!BL30)),IF(AND(up_Irr!N30=".",up_Irr!AM30&lt;&gt;".",up_Irr!BL30="."),up_dir!AO30/((1/1000)*(up_Irr!AM30)),IF(AND(up_Irr!N30&lt;&gt;".",up_Irr!AM30=".",up_Irr!BL30="."),up_dir!AO30/((1/1000)*(up_Irr!N30)),IF(AND(up_Irr!N30=".",up_Irr!AM30=".",up_Irr!BL30="."),up_dir!AO30*1000)))))))),".")</f>
        <v>6.5773651144152123E-11</v>
      </c>
      <c r="BP30" s="76">
        <f>IFERROR(IF(AND(up_Irr!O30&lt;&gt;".",up_Irr!AN30&lt;&gt;".",up_Irr!BM30&lt;&gt;"."),up_dir!AP30/((1/1000)*(up_Irr!O30+up_Irr!AN30+up_Irr!BM30)),IF(AND(up_Irr!O30&lt;&gt;".",up_Irr!AN30&lt;&gt;".",up_Irr!BM30="."),up_dir!AP30/((1/1000)*(up_Irr!O30+up_Irr!AN30)),IF(AND(up_Irr!O30&lt;&gt;".",up_Irr!AN30=".",up_Irr!BM30&lt;&gt;"."),up_dir!AP30/((1/1000)*(up_Irr!O30+up_Irr!BM30)),IF(AND(up_Irr!O30=".",up_Irr!AN30&lt;&gt;".",up_Irr!BM30&lt;&gt;"."),up_dir!AP30/((1/1000)*(up_Irr!AN30+up_Irr!BM30)),IF(AND(up_Irr!O30=".",up_Irr!AN30=".",up_Irr!BM30&lt;&gt;"."),up_dir!AP30/((1/1000)*(up_Irr!BM30)),IF(AND(up_Irr!O30=".",up_Irr!AN30&lt;&gt;".",up_Irr!BM30="."),up_dir!AP30/((1/1000)*(up_Irr!AN30)),IF(AND(up_Irr!O30&lt;&gt;".",up_Irr!AN30=".",up_Irr!BM30="."),up_dir!AP30/((1/1000)*(up_Irr!O30)),IF(AND(up_Irr!O30=".",up_Irr!AN30=".",up_Irr!BM30="."),up_dir!AP30*1000)))))))),".")</f>
        <v>6.5773651144152123E-11</v>
      </c>
      <c r="BQ30" s="76">
        <f>IFERROR(IF(AND(up_Irr!P30&lt;&gt;".",up_Irr!AO30&lt;&gt;".",up_Irr!BN30&lt;&gt;"."),up_dir!AQ30/((1/1000)*(up_Irr!P30+up_Irr!AO30+up_Irr!BN30)),IF(AND(up_Irr!P30&lt;&gt;".",up_Irr!AO30&lt;&gt;".",up_Irr!BN30="."),up_dir!AQ30/((1/1000)*(up_Irr!P30+up_Irr!AO30)),IF(AND(up_Irr!P30&lt;&gt;".",up_Irr!AO30=".",up_Irr!BN30&lt;&gt;"."),up_dir!AQ30/((1/1000)*(up_Irr!P30+up_Irr!BN30)),IF(AND(up_Irr!P30=".",up_Irr!AO30&lt;&gt;".",up_Irr!BN30&lt;&gt;"."),up_dir!AQ30/((1/1000)*(up_Irr!AO30+up_Irr!BN30)),IF(AND(up_Irr!P30=".",up_Irr!AO30=".",up_Irr!BN30&lt;&gt;"."),up_dir!AQ30/((1/1000)*(up_Irr!BN30)),IF(AND(up_Irr!P30=".",up_Irr!AO30&lt;&gt;".",up_Irr!BN30="."),up_dir!AQ30/((1/1000)*(up_Irr!AO30)),IF(AND(up_Irr!P30&lt;&gt;".",up_Irr!AO30=".",up_Irr!BN30="."),up_dir!AQ30/((1/1000)*(up_Irr!P30)),IF(AND(up_Irr!P30=".",up_Irr!AO30=".",up_Irr!BN30="."),up_dir!AQ30*1000)))))))),".")</f>
        <v>6.5773651144152123E-11</v>
      </c>
      <c r="BR30" s="76">
        <f>IFERROR(IF(AND(up_Irr!Q30&lt;&gt;".",up_Irr!AP30&lt;&gt;".",up_Irr!BO30&lt;&gt;"."),up_dir!AR30/((1/1000)*(up_Irr!Q30+up_Irr!AP30+up_Irr!BO30)),IF(AND(up_Irr!Q30&lt;&gt;".",up_Irr!AP30&lt;&gt;".",up_Irr!BO30="."),up_dir!AR30/((1/1000)*(up_Irr!Q30+up_Irr!AP30)),IF(AND(up_Irr!Q30&lt;&gt;".",up_Irr!AP30=".",up_Irr!BO30&lt;&gt;"."),up_dir!AR30/((1/1000)*(up_Irr!Q30+up_Irr!BO30)),IF(AND(up_Irr!Q30=".",up_Irr!AP30&lt;&gt;".",up_Irr!BO30&lt;&gt;"."),up_dir!AR30/((1/1000)*(up_Irr!AP30+up_Irr!BO30)),IF(AND(up_Irr!Q30=".",up_Irr!AP30=".",up_Irr!BO30&lt;&gt;"."),up_dir!AR30/((1/1000)*(up_Irr!BO30)),IF(AND(up_Irr!Q30=".",up_Irr!AP30&lt;&gt;".",up_Irr!BO30="."),up_dir!AR30/((1/1000)*(up_Irr!AP30)),IF(AND(up_Irr!Q30&lt;&gt;".",up_Irr!AP30=".",up_Irr!BO30="."),up_dir!AR30/((1/1000)*(up_Irr!Q30)),IF(AND(up_Irr!Q30=".",up_Irr!AP30=".",up_Irr!BO30="."),up_dir!AR30*1000)))))))),".")</f>
        <v>6.5773651144152123E-11</v>
      </c>
      <c r="BS30" s="76">
        <f>IFERROR(IF(AND(up_Irr!R30&lt;&gt;".",up_Irr!AQ30&lt;&gt;".",up_Irr!BP30&lt;&gt;"."),up_dir!AS30/((1/1000)*(up_Irr!R30+up_Irr!AQ30+up_Irr!BP30)),IF(AND(up_Irr!R30&lt;&gt;".",up_Irr!AQ30&lt;&gt;".",up_Irr!BP30="."),up_dir!AS30/((1/1000)*(up_Irr!R30+up_Irr!AQ30)),IF(AND(up_Irr!R30&lt;&gt;".",up_Irr!AQ30=".",up_Irr!BP30&lt;&gt;"."),up_dir!AS30/((1/1000)*(up_Irr!R30+up_Irr!BP30)),IF(AND(up_Irr!R30=".",up_Irr!AQ30&lt;&gt;".",up_Irr!BP30&lt;&gt;"."),up_dir!AS30/((1/1000)*(up_Irr!AQ30+up_Irr!BP30)),IF(AND(up_Irr!R30=".",up_Irr!AQ30=".",up_Irr!BP30&lt;&gt;"."),up_dir!AS30/((1/1000)*(up_Irr!BP30)),IF(AND(up_Irr!R30=".",up_Irr!AQ30&lt;&gt;".",up_Irr!BP30="."),up_dir!AS30/((1/1000)*(up_Irr!AQ30)),IF(AND(up_Irr!R30&lt;&gt;".",up_Irr!AQ30=".",up_Irr!BP30="."),up_dir!AS30/((1/1000)*(up_Irr!R30)),IF(AND(up_Irr!R30=".",up_Irr!AQ30=".",up_Irr!BP30="."),up_dir!AS30*1000)))))))),".")</f>
        <v>6.5773651144152123E-11</v>
      </c>
      <c r="BT30" s="76">
        <f>IFERROR(IF(AND(up_Irr!S30&lt;&gt;".",up_Irr!AR30&lt;&gt;".",up_Irr!BQ30&lt;&gt;"."),up_dir!AT30/((1/1000)*(up_Irr!S30+up_Irr!AR30+up_Irr!BQ30)),IF(AND(up_Irr!S30&lt;&gt;".",up_Irr!AR30&lt;&gt;".",up_Irr!BQ30="."),up_dir!AT30/((1/1000)*(up_Irr!S30+up_Irr!AR30)),IF(AND(up_Irr!S30&lt;&gt;".",up_Irr!AR30=".",up_Irr!BQ30&lt;&gt;"."),up_dir!AT30/((1/1000)*(up_Irr!S30+up_Irr!BQ30)),IF(AND(up_Irr!S30=".",up_Irr!AR30&lt;&gt;".",up_Irr!BQ30&lt;&gt;"."),up_dir!AT30/((1/1000)*(up_Irr!AR30+up_Irr!BQ30)),IF(AND(up_Irr!S30=".",up_Irr!AR30=".",up_Irr!BQ30&lt;&gt;"."),up_dir!AT30/((1/1000)*(up_Irr!BQ30)),IF(AND(up_Irr!S30=".",up_Irr!AR30&lt;&gt;".",up_Irr!BQ30="."),up_dir!AT30/((1/1000)*(up_Irr!AR30)),IF(AND(up_Irr!S30&lt;&gt;".",up_Irr!AR30=".",up_Irr!BQ30="."),up_dir!AT30/((1/1000)*(up_Irr!S30)),IF(AND(up_Irr!S30=".",up_Irr!AR30=".",up_Irr!BQ30="."),up_dir!AT30*1000)))))))),".")</f>
        <v>6.5773651144152123E-11</v>
      </c>
      <c r="BU30" s="76">
        <f>IFERROR(IF(AND(up_Irr!T30&lt;&gt;".",up_Irr!AS30&lt;&gt;".",up_Irr!BR30&lt;&gt;"."),up_dir!AU30/((1/1000)*(up_Irr!T30+up_Irr!AS30+up_Irr!BR30)),IF(AND(up_Irr!T30&lt;&gt;".",up_Irr!AS30&lt;&gt;".",up_Irr!BR30="."),up_dir!AU30/((1/1000)*(up_Irr!T30+up_Irr!AS30)),IF(AND(up_Irr!T30&lt;&gt;".",up_Irr!AS30=".",up_Irr!BR30&lt;&gt;"."),up_dir!AU30/((1/1000)*(up_Irr!T30+up_Irr!BR30)),IF(AND(up_Irr!T30=".",up_Irr!AS30&lt;&gt;".",up_Irr!BR30&lt;&gt;"."),up_dir!AU30/((1/1000)*(up_Irr!AS30+up_Irr!BR30)),IF(AND(up_Irr!T30=".",up_Irr!AS30=".",up_Irr!BR30&lt;&gt;"."),up_dir!AU30/((1/1000)*(up_Irr!BR30)),IF(AND(up_Irr!T30=".",up_Irr!AS30&lt;&gt;".",up_Irr!BR30="."),up_dir!AU30/((1/1000)*(up_Irr!AS30)),IF(AND(up_Irr!T30&lt;&gt;".",up_Irr!AS30=".",up_Irr!BR30="."),up_dir!AU30/((1/1000)*(up_Irr!T30)),IF(AND(up_Irr!T30=".",up_Irr!AS30=".",up_Irr!BR30="."),up_dir!AU30*1000)))))))),".")</f>
        <v>6.5773651144152123E-11</v>
      </c>
      <c r="BV30" s="76">
        <f>IFERROR(IF(AND(up_Irr!U30&lt;&gt;".",up_Irr!AT30&lt;&gt;".",up_Irr!BS30&lt;&gt;"."),up_dir!AV30/((1/1000)*(up_Irr!U30+up_Irr!AT30+up_Irr!BS30)),IF(AND(up_Irr!U30&lt;&gt;".",up_Irr!AT30&lt;&gt;".",up_Irr!BS30="."),up_dir!AV30/((1/1000)*(up_Irr!U30+up_Irr!AT30)),IF(AND(up_Irr!U30&lt;&gt;".",up_Irr!AT30=".",up_Irr!BS30&lt;&gt;"."),up_dir!AV30/((1/1000)*(up_Irr!U30+up_Irr!BS30)),IF(AND(up_Irr!U30=".",up_Irr!AT30&lt;&gt;".",up_Irr!BS30&lt;&gt;"."),up_dir!AV30/((1/1000)*(up_Irr!AT30+up_Irr!BS30)),IF(AND(up_Irr!U30=".",up_Irr!AT30=".",up_Irr!BS30&lt;&gt;"."),up_dir!AV30/((1/1000)*(up_Irr!BS30)),IF(AND(up_Irr!U30=".",up_Irr!AT30&lt;&gt;".",up_Irr!BS30="."),up_dir!AV30/((1/1000)*(up_Irr!AT30)),IF(AND(up_Irr!U30&lt;&gt;".",up_Irr!AT30=".",up_Irr!BS30="."),up_dir!AV30/((1/1000)*(up_Irr!U30)),IF(AND(up_Irr!U30=".",up_Irr!AT30=".",up_Irr!BS30="."),up_dir!AV30*1000)))))))),".")</f>
        <v>6.5773651144152123E-11</v>
      </c>
      <c r="BW30" s="76">
        <f>IFERROR(IF(AND(up_Irr!V30&lt;&gt;".",up_Irr!AU30&lt;&gt;".",up_Irr!BT30&lt;&gt;"."),up_dir!AW30/((1/1000)*(up_Irr!V30+up_Irr!AU30+up_Irr!BT30)),IF(AND(up_Irr!V30&lt;&gt;".",up_Irr!AU30&lt;&gt;".",up_Irr!BT30="."),up_dir!AW30/((1/1000)*(up_Irr!V30+up_Irr!AU30)),IF(AND(up_Irr!V30&lt;&gt;".",up_Irr!AU30=".",up_Irr!BT30&lt;&gt;"."),up_dir!AW30/((1/1000)*(up_Irr!V30+up_Irr!BT30)),IF(AND(up_Irr!V30=".",up_Irr!AU30&lt;&gt;".",up_Irr!BT30&lt;&gt;"."),up_dir!AW30/((1/1000)*(up_Irr!AU30+up_Irr!BT30)),IF(AND(up_Irr!V30=".",up_Irr!AU30=".",up_Irr!BT30&lt;&gt;"."),up_dir!AW30/((1/1000)*(up_Irr!BT30)),IF(AND(up_Irr!V30=".",up_Irr!AU30&lt;&gt;".",up_Irr!BT30="."),up_dir!AW30/((1/1000)*(up_Irr!AU30)),IF(AND(up_Irr!V30&lt;&gt;".",up_Irr!AU30=".",up_Irr!BT30="."),up_dir!AW30/((1/1000)*(up_Irr!V30)),IF(AND(up_Irr!V30=".",up_Irr!AU30=".",up_Irr!BT30="."),up_dir!AW30*1000)))))))),".")</f>
        <v>6.5773651144152123E-11</v>
      </c>
      <c r="BX30" s="76">
        <f>IFERROR(IF(AND(up_Irr!W30&lt;&gt;".",up_Irr!AV30&lt;&gt;".",up_Irr!BU30&lt;&gt;"."),up_dir!AX30/((1/1000)*(up_Irr!W30+up_Irr!AV30+up_Irr!BU30)),IF(AND(up_Irr!W30&lt;&gt;".",up_Irr!AV30&lt;&gt;".",up_Irr!BU30="."),up_dir!AX30/((1/1000)*(up_Irr!W30+up_Irr!AV30)),IF(AND(up_Irr!W30&lt;&gt;".",up_Irr!AV30=".",up_Irr!BU30&lt;&gt;"."),up_dir!AX30/((1/1000)*(up_Irr!W30+up_Irr!BU30)),IF(AND(up_Irr!W30=".",up_Irr!AV30&lt;&gt;".",up_Irr!BU30&lt;&gt;"."),up_dir!AX30/((1/1000)*(up_Irr!AV30+up_Irr!BU30)),IF(AND(up_Irr!W30=".",up_Irr!AV30=".",up_Irr!BU30&lt;&gt;"."),up_dir!AX30/((1/1000)*(up_Irr!BU30)),IF(AND(up_Irr!W30=".",up_Irr!AV30&lt;&gt;".",up_Irr!BU30="."),up_dir!AX30/((1/1000)*(up_Irr!AV30)),IF(AND(up_Irr!W30&lt;&gt;".",up_Irr!AV30=".",up_Irr!BU30="."),up_dir!AX30/((1/1000)*(up_Irr!W30)),IF(AND(up_Irr!W30=".",up_Irr!AV30=".",up_Irr!BU30="."),up_dir!AX30*1000)))))))),".")</f>
        <v>6.5773651144152123E-11</v>
      </c>
      <c r="BY30" s="76">
        <f>IFERROR(IF(AND(up_Irr!X30&lt;&gt;".",up_Irr!AW30&lt;&gt;".",up_Irr!BV30&lt;&gt;"."),up_dir!AY30/((1/1000)*(up_Irr!X30+up_Irr!AW30+up_Irr!BV30)),IF(AND(up_Irr!X30&lt;&gt;".",up_Irr!AW30&lt;&gt;".",up_Irr!BV30="."),up_dir!AY30/((1/1000)*(up_Irr!X30+up_Irr!AW30)),IF(AND(up_Irr!X30&lt;&gt;".",up_Irr!AW30=".",up_Irr!BV30&lt;&gt;"."),up_dir!AY30/((1/1000)*(up_Irr!X30+up_Irr!BV30)),IF(AND(up_Irr!X30=".",up_Irr!AW30&lt;&gt;".",up_Irr!BV30&lt;&gt;"."),up_dir!AY30/((1/1000)*(up_Irr!AW30+up_Irr!BV30)),IF(AND(up_Irr!X30=".",up_Irr!AW30=".",up_Irr!BV30&lt;&gt;"."),up_dir!AY30/((1/1000)*(up_Irr!BV30)),IF(AND(up_Irr!X30=".",up_Irr!AW30&lt;&gt;".",up_Irr!BV30="."),up_dir!AY30/((1/1000)*(up_Irr!AW30)),IF(AND(up_Irr!X30&lt;&gt;".",up_Irr!AW30=".",up_Irr!BV30="."),up_dir!AY30/((1/1000)*(up_Irr!X30)),IF(AND(up_Irr!X30=".",up_Irr!AW30=".",up_Irr!BV30="."),up_dir!AY30*1000)))))))),".")</f>
        <v>6.5773651144152123E-11</v>
      </c>
      <c r="BZ30" s="76">
        <f>IFERROR(IF(AND(up_Irr!Y30&lt;&gt;".",up_Irr!AX30&lt;&gt;".",up_Irr!BW30&lt;&gt;"."),up_dir!AZ30/((1/1000)*(up_Irr!Y30+up_Irr!AX30+up_Irr!BW30)),IF(AND(up_Irr!Y30&lt;&gt;".",up_Irr!AX30&lt;&gt;".",up_Irr!BW30="."),up_dir!AZ30/((1/1000)*(up_Irr!Y30+up_Irr!AX30)),IF(AND(up_Irr!Y30&lt;&gt;".",up_Irr!AX30=".",up_Irr!BW30&lt;&gt;"."),up_dir!AZ30/((1/1000)*(up_Irr!Y30+up_Irr!BW30)),IF(AND(up_Irr!Y30=".",up_Irr!AX30&lt;&gt;".",up_Irr!BW30&lt;&gt;"."),up_dir!AZ30/((1/1000)*(up_Irr!AX30+up_Irr!BW30)),IF(AND(up_Irr!Y30=".",up_Irr!AX30=".",up_Irr!BW30&lt;&gt;"."),up_dir!AZ30/((1/1000)*(up_Irr!BW30)),IF(AND(up_Irr!Y30=".",up_Irr!AX30&lt;&gt;".",up_Irr!BW30="."),up_dir!AZ30/((1/1000)*(up_Irr!AX30)),IF(AND(up_Irr!Y30&lt;&gt;".",up_Irr!AX30=".",up_Irr!BW30="."),up_dir!AZ30/((1/1000)*(up_Irr!Y30)),IF(AND(up_Irr!Y30=".",up_Irr!AX30=".",up_Irr!BW30="."),up_dir!AZ30*1000)))))))),".")</f>
        <v>6.5773651144152123E-11</v>
      </c>
      <c r="CA30" s="76">
        <f>IFERROR(IF(AND(up_Irr!Z30&lt;&gt;".",up_Irr!AY30&lt;&gt;".",up_Irr!BX30&lt;&gt;"."),up_dir!BA30/((1/1000)*(up_Irr!Z30+up_Irr!AY30+up_Irr!BX30)),IF(AND(up_Irr!Z30&lt;&gt;".",up_Irr!AY30&lt;&gt;".",up_Irr!BX30="."),up_dir!BA30/((1/1000)*(up_Irr!Z30+up_Irr!AY30)),IF(AND(up_Irr!Z30&lt;&gt;".",up_Irr!AY30=".",up_Irr!BX30&lt;&gt;"."),up_dir!BA30/((1/1000)*(up_Irr!Z30+up_Irr!BX30)),IF(AND(up_Irr!Z30=".",up_Irr!AY30&lt;&gt;".",up_Irr!BX30&lt;&gt;"."),up_dir!BA30/((1/1000)*(up_Irr!AY30+up_Irr!BX30)),IF(AND(up_Irr!Z30=".",up_Irr!AY30=".",up_Irr!BX30&lt;&gt;"."),up_dir!BA30/((1/1000)*(up_Irr!BX30)),IF(AND(up_Irr!Z30=".",up_Irr!AY30&lt;&gt;".",up_Irr!BX30="."),up_dir!BA30/((1/1000)*(up_Irr!AY30)),IF(AND(up_Irr!Z30&lt;&gt;".",up_Irr!AY30=".",up_Irr!BX30="."),up_dir!BA30/((1/1000)*(up_Irr!Z30)),IF(AND(up_Irr!Z30=".",up_Irr!AY30=".",up_Irr!BX30="."),up_dir!BA30*1000)))))))),".")</f>
        <v>6.5773651144152123E-11</v>
      </c>
      <c r="CB30" s="76">
        <f>IFERROR(IF(AND(up_Irr!AA30&lt;&gt;".",up_Irr!AZ30&lt;&gt;".",up_Irr!BY30&lt;&gt;"."),up_dir!BB30/((1/1000)*(up_Irr!AA30+up_Irr!AZ30+up_Irr!BY30)),IF(AND(up_Irr!AA30&lt;&gt;".",up_Irr!AZ30&lt;&gt;".",up_Irr!BY30="."),up_dir!BB30/((1/1000)*(up_Irr!AA30+up_Irr!AZ30)),IF(AND(up_Irr!AA30&lt;&gt;".",up_Irr!AZ30=".",up_Irr!BY30&lt;&gt;"."),up_dir!BB30/((1/1000)*(up_Irr!AA30+up_Irr!BY30)),IF(AND(up_Irr!AA30=".",up_Irr!AZ30&lt;&gt;".",up_Irr!BY30&lt;&gt;"."),up_dir!BB30/((1/1000)*(up_Irr!AZ30+up_Irr!BY30)),IF(AND(up_Irr!AA30=".",up_Irr!AZ30=".",up_Irr!BY30&lt;&gt;"."),up_dir!BB30/((1/1000)*(up_Irr!BY30)),IF(AND(up_Irr!AA30=".",up_Irr!AZ30&lt;&gt;".",up_Irr!BY30="."),up_dir!BB30/((1/1000)*(up_Irr!AZ30)),IF(AND(up_Irr!AA30&lt;&gt;".",up_Irr!AZ30=".",up_Irr!BY30="."),up_dir!BB30/((1/1000)*(up_Irr!AA30)),IF(AND(up_Irr!AA30=".",up_Irr!AZ30=".",up_Irr!BY30="."),up_dir!BB30*1000)))))))),".")</f>
        <v>6.5773651144152123E-11</v>
      </c>
      <c r="CC30" s="93">
        <f t="shared" si="3"/>
        <v>608146.26076229871</v>
      </c>
      <c r="CD30" s="93">
        <f>IFERROR(s_C*s_IFAP_far_adj*s_CF_apple*(1/1000)*(up_Irr!C30+up_Irr!AB30+up_Irr!BA30),".")</f>
        <v>152036.56519057468</v>
      </c>
      <c r="CE30" s="93">
        <f>IFERROR(s_C*s_IFAS_far_adj*s_CF_asparagus*(1/1000)*(up_Irr!D30+up_Irr!AC30+up_Irr!BB30),".")</f>
        <v>152036.56519057468</v>
      </c>
      <c r="CF30" s="93">
        <f>IFERROR(s_C*s_IFBT_far_adj*s_CF_beet*(1/1000)*(up_Irr!E30+up_Irr!AD30+up_Irr!BC30),".")</f>
        <v>152036.56519057468</v>
      </c>
      <c r="CG30" s="93">
        <f>IFERROR(s_C*s_IFBE_far_adj*s_CF_berries*(1/1000)*(up_Irr!F30+up_Irr!AE30+up_Irr!BD30),".")</f>
        <v>152036.56519057468</v>
      </c>
      <c r="CH30" s="93">
        <f>IFERROR(s_C*s_IFBR_far_adj*s_CF_broccoli*(1/1000)*(up_Irr!G30+up_Irr!AF30+up_Irr!BE30),".")</f>
        <v>152036.56519057468</v>
      </c>
      <c r="CI30" s="93">
        <f>IFERROR(s_C*s_IFCB_far_adj*s_CF_cabbage*(1/1000)*(up_Irr!H30+up_Irr!AG30+up_Irr!BF30),".")</f>
        <v>152036.56519057468</v>
      </c>
      <c r="CJ30" s="93">
        <f>IFERROR(s_C*s_IFCR_far_adj*s_CF_carrot*(1/1000)*(up_Irr!I30+up_Irr!AH30+up_Irr!BG30),".")</f>
        <v>152036.56519057468</v>
      </c>
      <c r="CK30" s="93">
        <f>IFERROR(s_C*s_IFCI_far_adj*s_CF_citrus*(1/1000)*(up_Irr!J30+up_Irr!AI30+up_Irr!BH30),".")</f>
        <v>152036.56519057468</v>
      </c>
      <c r="CL30" s="93">
        <f>IFERROR(s_C*s_IFCO_far_adj*s_CF_corn*(1/1000)*(up_Irr!K30+up_Irr!AJ30+up_Irr!BI30),".")</f>
        <v>152036.56519057468</v>
      </c>
      <c r="CM30" s="93">
        <f>IFERROR(s_C*s_IFCU_far_adj*s_CF_cucumber*(1/1000)*(up_Irr!L30+up_Irr!AK30+up_Irr!BJ30),".")</f>
        <v>152036.56519057468</v>
      </c>
      <c r="CN30" s="93">
        <f>IFERROR(s_C*s_IFLE_far_adj*s_CF_lettuce*(1/1000)*(up_Irr!M30+up_Irr!AL30+up_Irr!BK30),".")</f>
        <v>152036.56519057468</v>
      </c>
      <c r="CO30" s="93">
        <f>IFERROR(s_C*s_IFLI_far_adj*s_CF_lima_bean*(1/1000)*(up_Irr!N30+up_Irr!AM30+up_Irr!BL30),".")</f>
        <v>152036.56519057468</v>
      </c>
      <c r="CP30" s="93">
        <f>IFERROR(s_C*s_IFOK_far_adj*s_CF_okra*(1/1000)*(up_Irr!O30+up_Irr!AN30+up_Irr!BM30),".")</f>
        <v>152036.56519057468</v>
      </c>
      <c r="CQ30" s="93">
        <f>IFERROR(s_C*s_IFON_far_adj*s_CF_onion*(1/1000)*(up_Irr!P30+up_Irr!AO30+up_Irr!BN30),".")</f>
        <v>152036.56519057468</v>
      </c>
      <c r="CR30" s="93">
        <f>IFERROR(s_C*s_IFPC_far_adj*s_CF_peach*(1/1000)*(up_Irr!Q30+up_Irr!AP30+up_Irr!BO30),".")</f>
        <v>152036.56519057468</v>
      </c>
      <c r="CS30" s="93">
        <f>IFERROR(s_C*s_IFPR_far_adj*s_CF_pear*(1/1000)*(up_Irr!R30+up_Irr!AQ30+up_Irr!BP30),".")</f>
        <v>152036.56519057468</v>
      </c>
      <c r="CT30" s="93">
        <f>IFERROR(s_C*s_IFPE_far_adj*s_CF_peas*(1/1000)*(up_Irr!S30+up_Irr!AR30+up_Irr!BQ30),".")</f>
        <v>152036.56519057468</v>
      </c>
      <c r="CU30" s="93">
        <f>IFERROR(s_C*s_IFPP_far_adj*s_CF_peppers*(1/1000)*(up_Irr!T30+up_Irr!AS30+up_Irr!BR30),".")</f>
        <v>152036.56519057468</v>
      </c>
      <c r="CV30" s="93">
        <f>IFERROR(s_C*s_IFPT_far_adj*s_CF_potato*(1/1000)*(up_Irr!U30+up_Irr!AT30+up_Irr!BS30),".")</f>
        <v>152036.56519057468</v>
      </c>
      <c r="CW30" s="93">
        <f>IFERROR(s_C*s_IFPU_far_adj*s_CF_pumpkin*(1/1000)*(up_Irr!V30+up_Irr!AU30+up_Irr!BT30),".")</f>
        <v>152036.56519057468</v>
      </c>
      <c r="CX30" s="93">
        <f>IFERROR(s_C*s_IFSN_far_adj*s_CF_snap_bean*(1/1000)*(up_Irr!W30+up_Irr!AV30+up_Irr!BU30),".")</f>
        <v>152036.56519057468</v>
      </c>
      <c r="CY30" s="93">
        <f>IFERROR(s_C*s_IFST_far_adj*s_CF_strawberry*(1/1000)*(up_Irr!X30+up_Irr!AW30+up_Irr!BV30),".")</f>
        <v>152036.56519057468</v>
      </c>
      <c r="CZ30" s="93">
        <f>IFERROR(s_C*s_IFTO_far_adj*s_CF_tomato*(1/1000)*(up_Irr!Y30+up_Irr!AX30+up_Irr!BW30),".")</f>
        <v>152036.56519057468</v>
      </c>
      <c r="DA30" s="93">
        <f>IFERROR(s_C*s_IFRI_far_adj*s_CF_rice*(1/1000)*(up_Irr!Z30+up_Irr!AY30+up_Irr!BX30),".")</f>
        <v>152036.56519057468</v>
      </c>
      <c r="DB30" s="93">
        <f>IFERROR(s_C*s_IFCG_far_adj*s_CF_cereal*(1/1000)*(up_Irr!AA30+up_Irr!AZ30+up_Irr!BY30),".")</f>
        <v>152036.56519057468</v>
      </c>
    </row>
    <row r="31" spans="1:106" s="42" customFormat="1" x14ac:dyDescent="0.25">
      <c r="A31" s="95" t="s">
        <v>13</v>
      </c>
      <c r="B31" s="95" t="s">
        <v>1071</v>
      </c>
      <c r="C31" s="96">
        <f>IFERROR(1/SUM(C32:C44),0)</f>
        <v>1.3703255086017606E-12</v>
      </c>
      <c r="D31" s="96">
        <f>IFERROR(1/SUM(D32:D44),0)</f>
        <v>5.4813020344070425E-12</v>
      </c>
      <c r="E31" s="96">
        <f>IFERROR(1/SUM(E32:E44),0)</f>
        <v>5.4813020344070425E-12</v>
      </c>
      <c r="F31" s="96">
        <f t="shared" ref="F31:AB31" si="4">IFERROR(1/SUM(F32:F44),0)</f>
        <v>5.4813020344070425E-12</v>
      </c>
      <c r="G31" s="96">
        <f t="shared" si="4"/>
        <v>5.4813020344070425E-12</v>
      </c>
      <c r="H31" s="96">
        <f t="shared" si="4"/>
        <v>5.4813020344070425E-12</v>
      </c>
      <c r="I31" s="96">
        <f t="shared" si="4"/>
        <v>5.4813020344070425E-12</v>
      </c>
      <c r="J31" s="96">
        <f t="shared" si="4"/>
        <v>5.4813020344070425E-12</v>
      </c>
      <c r="K31" s="96">
        <f t="shared" si="4"/>
        <v>5.4813020344070425E-12</v>
      </c>
      <c r="L31" s="96">
        <f t="shared" si="4"/>
        <v>5.4813020344070425E-12</v>
      </c>
      <c r="M31" s="96">
        <f t="shared" si="4"/>
        <v>5.4813020344070425E-12</v>
      </c>
      <c r="N31" s="96">
        <f t="shared" si="4"/>
        <v>5.4813020344070425E-12</v>
      </c>
      <c r="O31" s="96">
        <f t="shared" si="4"/>
        <v>5.4813020344070425E-12</v>
      </c>
      <c r="P31" s="96">
        <f t="shared" si="4"/>
        <v>5.4813020344070425E-12</v>
      </c>
      <c r="Q31" s="96">
        <f t="shared" si="4"/>
        <v>5.4813020344070425E-12</v>
      </c>
      <c r="R31" s="96">
        <f t="shared" si="4"/>
        <v>5.4813020344070425E-12</v>
      </c>
      <c r="S31" s="96">
        <f t="shared" si="4"/>
        <v>5.4813020344070425E-12</v>
      </c>
      <c r="T31" s="96">
        <f t="shared" si="4"/>
        <v>5.4813020344070425E-12</v>
      </c>
      <c r="U31" s="96">
        <f t="shared" si="4"/>
        <v>5.4813020344070425E-12</v>
      </c>
      <c r="V31" s="96">
        <f t="shared" si="4"/>
        <v>5.4813020344070425E-12</v>
      </c>
      <c r="W31" s="96">
        <f t="shared" si="4"/>
        <v>5.4813020344070425E-12</v>
      </c>
      <c r="X31" s="96">
        <f t="shared" si="4"/>
        <v>5.4813020344070425E-12</v>
      </c>
      <c r="Y31" s="96">
        <f t="shared" si="4"/>
        <v>5.4813020344070425E-12</v>
      </c>
      <c r="Z31" s="96">
        <f t="shared" si="4"/>
        <v>5.4813020344070425E-12</v>
      </c>
      <c r="AA31" s="96">
        <f t="shared" si="4"/>
        <v>5.4813020344070425E-12</v>
      </c>
      <c r="AB31" s="96">
        <f t="shared" si="4"/>
        <v>5.4813020344070425E-12</v>
      </c>
      <c r="AC31" s="47">
        <f t="shared" si="1"/>
        <v>4</v>
      </c>
      <c r="AD31" s="97">
        <f>IFERROR(IF(SUM(AD32:AD44)&gt;0.01,1-EXP(-(SUM(AD32:AD44))),SUM(AD32:AD44)),".")</f>
        <v>1</v>
      </c>
      <c r="AE31" s="97">
        <f>IFERROR(IF(SUM(AE32:AE44)&gt;0.01,1-EXP(-(SUM(AE32:AE44))),SUM(AE32:AE44)),".")</f>
        <v>1</v>
      </c>
      <c r="AF31" s="97">
        <f t="shared" ref="AF31:AZ31" si="5">IFERROR(IF(SUM(AF32:AF44)&gt;0.01,1-EXP(-(SUM(AF32:AF44))),SUM(AF32:AF44)),".")</f>
        <v>1</v>
      </c>
      <c r="AG31" s="97">
        <f t="shared" si="5"/>
        <v>1</v>
      </c>
      <c r="AH31" s="97">
        <f t="shared" si="5"/>
        <v>1</v>
      </c>
      <c r="AI31" s="97">
        <f t="shared" si="5"/>
        <v>1</v>
      </c>
      <c r="AJ31" s="97">
        <f t="shared" si="5"/>
        <v>1</v>
      </c>
      <c r="AK31" s="97">
        <f t="shared" si="5"/>
        <v>1</v>
      </c>
      <c r="AL31" s="97">
        <f t="shared" si="5"/>
        <v>1</v>
      </c>
      <c r="AM31" s="97">
        <f t="shared" si="5"/>
        <v>1</v>
      </c>
      <c r="AN31" s="97">
        <f t="shared" si="5"/>
        <v>1</v>
      </c>
      <c r="AO31" s="97">
        <f t="shared" si="5"/>
        <v>1</v>
      </c>
      <c r="AP31" s="97">
        <f t="shared" si="5"/>
        <v>1</v>
      </c>
      <c r="AQ31" s="97">
        <f t="shared" si="5"/>
        <v>1</v>
      </c>
      <c r="AR31" s="97">
        <f t="shared" si="5"/>
        <v>1</v>
      </c>
      <c r="AS31" s="97">
        <f t="shared" si="5"/>
        <v>1</v>
      </c>
      <c r="AT31" s="97">
        <f t="shared" si="5"/>
        <v>1</v>
      </c>
      <c r="AU31" s="97">
        <f t="shared" si="5"/>
        <v>1</v>
      </c>
      <c r="AV31" s="97">
        <f t="shared" si="5"/>
        <v>1</v>
      </c>
      <c r="AW31" s="97">
        <f t="shared" si="5"/>
        <v>1</v>
      </c>
      <c r="AX31" s="97">
        <f t="shared" si="5"/>
        <v>1</v>
      </c>
      <c r="AY31" s="97">
        <f t="shared" si="5"/>
        <v>1</v>
      </c>
      <c r="AZ31" s="97">
        <f t="shared" si="5"/>
        <v>1</v>
      </c>
      <c r="BA31" s="97">
        <f>IFERROR(IF(SUM(BA32:BA44)&gt;0.01,1-EXP(-(SUM(BA32:BA44))),SUM(BA32:BA44)),".")</f>
        <v>1</v>
      </c>
      <c r="BB31" s="97">
        <f>IFERROR(IF(SUM(BB32:BB44)&gt;0.01,1-EXP(-(SUM(BB32:BB44))),SUM(BB32:BB44)),".")</f>
        <v>1</v>
      </c>
      <c r="BC31" s="98">
        <f>IFERROR(1/SUM(BC32:BC44),0)</f>
        <v>1.3703255086017606E-12</v>
      </c>
      <c r="BD31" s="98">
        <f>IFERROR(1/SUM(BD32:BD44),0)</f>
        <v>5.4813020344070425E-12</v>
      </c>
      <c r="BE31" s="98">
        <f>IFERROR(1/SUM(BE32:BE44),0)</f>
        <v>5.4813020344070425E-12</v>
      </c>
      <c r="BF31" s="98">
        <f t="shared" ref="BF31:CB31" si="6">IFERROR(1/SUM(BF32:BF44),0)</f>
        <v>5.4813020344070425E-12</v>
      </c>
      <c r="BG31" s="98">
        <f t="shared" si="6"/>
        <v>5.4813020344070425E-12</v>
      </c>
      <c r="BH31" s="98">
        <f t="shared" si="6"/>
        <v>5.4813020344070425E-12</v>
      </c>
      <c r="BI31" s="98">
        <f t="shared" si="6"/>
        <v>5.4813020344070425E-12</v>
      </c>
      <c r="BJ31" s="98">
        <f t="shared" si="6"/>
        <v>5.4813020344070425E-12</v>
      </c>
      <c r="BK31" s="98">
        <f t="shared" si="6"/>
        <v>5.4813020344070425E-12</v>
      </c>
      <c r="BL31" s="98">
        <f t="shared" si="6"/>
        <v>5.4813020344070425E-12</v>
      </c>
      <c r="BM31" s="98">
        <f t="shared" si="6"/>
        <v>5.4813020344070425E-12</v>
      </c>
      <c r="BN31" s="98">
        <f t="shared" si="6"/>
        <v>5.4813020344070425E-12</v>
      </c>
      <c r="BO31" s="98">
        <f t="shared" si="6"/>
        <v>5.4813020344070425E-12</v>
      </c>
      <c r="BP31" s="98">
        <f t="shared" si="6"/>
        <v>5.4813020344070425E-12</v>
      </c>
      <c r="BQ31" s="98">
        <f t="shared" si="6"/>
        <v>5.4813020344070425E-12</v>
      </c>
      <c r="BR31" s="98">
        <f t="shared" si="6"/>
        <v>5.4813020344070425E-12</v>
      </c>
      <c r="BS31" s="98">
        <f t="shared" si="6"/>
        <v>5.4813020344070425E-12</v>
      </c>
      <c r="BT31" s="98">
        <f t="shared" si="6"/>
        <v>5.4813020344070425E-12</v>
      </c>
      <c r="BU31" s="98">
        <f t="shared" si="6"/>
        <v>5.4813020344070425E-12</v>
      </c>
      <c r="BV31" s="98">
        <f t="shared" si="6"/>
        <v>5.4813020344070425E-12</v>
      </c>
      <c r="BW31" s="98">
        <f t="shared" si="6"/>
        <v>5.4813020344070425E-12</v>
      </c>
      <c r="BX31" s="98">
        <f t="shared" si="6"/>
        <v>5.4813020344070425E-12</v>
      </c>
      <c r="BY31" s="98">
        <f t="shared" si="6"/>
        <v>5.4813020344070425E-12</v>
      </c>
      <c r="BZ31" s="98">
        <f t="shared" si="6"/>
        <v>5.4813020344070425E-12</v>
      </c>
      <c r="CA31" s="98">
        <f t="shared" si="6"/>
        <v>5.4813020344070425E-12</v>
      </c>
      <c r="CB31" s="98">
        <f t="shared" si="6"/>
        <v>5.4813020344070425E-12</v>
      </c>
      <c r="CC31" s="47">
        <f t="shared" si="3"/>
        <v>4</v>
      </c>
      <c r="CD31" s="97">
        <f>IFERROR(IF(SUM(CD32:CD44)&gt;0.01,1-EXP(-(SUM(CD32:CD44))),SUM(CD32:CD44)),".")</f>
        <v>1</v>
      </c>
      <c r="CE31" s="97">
        <f>IFERROR(IF(SUM(CE32:CE44)&gt;0.01,1-EXP(-(SUM(CE32:CE44))),SUM(CE32:CE44)),".")</f>
        <v>1</v>
      </c>
      <c r="CF31" s="97">
        <f t="shared" ref="CF31:CZ31" si="7">IFERROR(IF(SUM(CF32:CF44)&gt;0.01,1-EXP(-(SUM(CF32:CF44))),SUM(CF32:CF44)),".")</f>
        <v>1</v>
      </c>
      <c r="CG31" s="97">
        <f t="shared" si="7"/>
        <v>1</v>
      </c>
      <c r="CH31" s="97">
        <f t="shared" si="7"/>
        <v>1</v>
      </c>
      <c r="CI31" s="97">
        <f t="shared" si="7"/>
        <v>1</v>
      </c>
      <c r="CJ31" s="97">
        <f t="shared" si="7"/>
        <v>1</v>
      </c>
      <c r="CK31" s="97">
        <f t="shared" si="7"/>
        <v>1</v>
      </c>
      <c r="CL31" s="97">
        <f t="shared" si="7"/>
        <v>1</v>
      </c>
      <c r="CM31" s="97">
        <f t="shared" si="7"/>
        <v>1</v>
      </c>
      <c r="CN31" s="97">
        <f t="shared" si="7"/>
        <v>1</v>
      </c>
      <c r="CO31" s="97">
        <f t="shared" si="7"/>
        <v>1</v>
      </c>
      <c r="CP31" s="97">
        <f t="shared" si="7"/>
        <v>1</v>
      </c>
      <c r="CQ31" s="97">
        <f t="shared" si="7"/>
        <v>1</v>
      </c>
      <c r="CR31" s="97">
        <f t="shared" si="7"/>
        <v>1</v>
      </c>
      <c r="CS31" s="97">
        <f t="shared" si="7"/>
        <v>1</v>
      </c>
      <c r="CT31" s="97">
        <f t="shared" si="7"/>
        <v>1</v>
      </c>
      <c r="CU31" s="97">
        <f t="shared" si="7"/>
        <v>1</v>
      </c>
      <c r="CV31" s="97">
        <f t="shared" si="7"/>
        <v>1</v>
      </c>
      <c r="CW31" s="97">
        <f t="shared" si="7"/>
        <v>1</v>
      </c>
      <c r="CX31" s="97">
        <f t="shared" si="7"/>
        <v>1</v>
      </c>
      <c r="CY31" s="97">
        <f t="shared" si="7"/>
        <v>1</v>
      </c>
      <c r="CZ31" s="97">
        <f t="shared" si="7"/>
        <v>1</v>
      </c>
      <c r="DA31" s="97">
        <f>IFERROR(IF(SUM(DA32:DA44)&gt;0.01,1-EXP(-(SUM(DA32:DA44))),SUM(DA32:DA44)),".")</f>
        <v>1</v>
      </c>
      <c r="DB31" s="97">
        <f>IFERROR(IF(SUM(DB32:DB44)&gt;0.01,1-EXP(-(SUM(DB32:DB44))),SUM(DB32:DB44)),".")</f>
        <v>1</v>
      </c>
    </row>
    <row r="32" spans="1:106" s="42" customFormat="1" x14ac:dyDescent="0.25">
      <c r="A32" s="99" t="s">
        <v>1099</v>
      </c>
      <c r="B32" s="90">
        <v>1</v>
      </c>
      <c r="C32" s="100">
        <f t="shared" ref="C32" si="8">IFERROR($B32/C3,0)</f>
        <v>60814626076.229866</v>
      </c>
      <c r="D32" s="100">
        <f t="shared" ref="D32:AB32" si="9">IFERROR($B32/D3,0)</f>
        <v>15203656519.057467</v>
      </c>
      <c r="E32" s="100">
        <f t="shared" si="9"/>
        <v>15203656519.057467</v>
      </c>
      <c r="F32" s="100">
        <f t="shared" si="9"/>
        <v>15203656519.057467</v>
      </c>
      <c r="G32" s="100">
        <f t="shared" si="9"/>
        <v>15203656519.057467</v>
      </c>
      <c r="H32" s="100">
        <f t="shared" si="9"/>
        <v>15203656519.057467</v>
      </c>
      <c r="I32" s="100">
        <f t="shared" si="9"/>
        <v>15203656519.057467</v>
      </c>
      <c r="J32" s="100">
        <f t="shared" si="9"/>
        <v>15203656519.057467</v>
      </c>
      <c r="K32" s="100">
        <f t="shared" si="9"/>
        <v>15203656519.057467</v>
      </c>
      <c r="L32" s="100">
        <f t="shared" si="9"/>
        <v>15203656519.057467</v>
      </c>
      <c r="M32" s="100">
        <f t="shared" si="9"/>
        <v>15203656519.057467</v>
      </c>
      <c r="N32" s="100">
        <f t="shared" si="9"/>
        <v>15203656519.057467</v>
      </c>
      <c r="O32" s="100">
        <f t="shared" si="9"/>
        <v>15203656519.057467</v>
      </c>
      <c r="P32" s="100">
        <f t="shared" si="9"/>
        <v>15203656519.057467</v>
      </c>
      <c r="Q32" s="100">
        <f t="shared" si="9"/>
        <v>15203656519.057467</v>
      </c>
      <c r="R32" s="100">
        <f t="shared" si="9"/>
        <v>15203656519.057467</v>
      </c>
      <c r="S32" s="100">
        <f t="shared" si="9"/>
        <v>15203656519.057467</v>
      </c>
      <c r="T32" s="100">
        <f t="shared" si="9"/>
        <v>15203656519.057467</v>
      </c>
      <c r="U32" s="100">
        <f t="shared" si="9"/>
        <v>15203656519.057467</v>
      </c>
      <c r="V32" s="100">
        <f t="shared" si="9"/>
        <v>15203656519.057467</v>
      </c>
      <c r="W32" s="100">
        <f t="shared" si="9"/>
        <v>15203656519.057467</v>
      </c>
      <c r="X32" s="100">
        <f t="shared" si="9"/>
        <v>15203656519.057467</v>
      </c>
      <c r="Y32" s="100">
        <f t="shared" si="9"/>
        <v>15203656519.057467</v>
      </c>
      <c r="Z32" s="100">
        <f t="shared" si="9"/>
        <v>15203656519.057467</v>
      </c>
      <c r="AA32" s="100">
        <f t="shared" si="9"/>
        <v>15203656519.057467</v>
      </c>
      <c r="AB32" s="100">
        <f t="shared" si="9"/>
        <v>15203656519.057467</v>
      </c>
      <c r="AC32" s="49">
        <f t="shared" si="1"/>
        <v>3040731.3038114933</v>
      </c>
      <c r="AD32" s="101">
        <f>IFERROR(up_RadSpec!$H$3*(AD3/$B32),".")</f>
        <v>760182.82595287333</v>
      </c>
      <c r="AE32" s="101">
        <f>IFERROR(up_RadSpec!$H$3*(AE3/$B32),".")</f>
        <v>760182.82595287333</v>
      </c>
      <c r="AF32" s="101">
        <f>IFERROR(up_RadSpec!$H$3*(AF3/$B32),".")</f>
        <v>760182.82595287333</v>
      </c>
      <c r="AG32" s="101">
        <f>IFERROR(up_RadSpec!$H$3*(AG3/$B32),".")</f>
        <v>760182.82595287333</v>
      </c>
      <c r="AH32" s="101">
        <f>IFERROR(up_RadSpec!$H$3*(AH3/$B32),".")</f>
        <v>760182.82595287333</v>
      </c>
      <c r="AI32" s="101">
        <f>IFERROR(up_RadSpec!$H$3*(AI3/$B32),".")</f>
        <v>760182.82595287333</v>
      </c>
      <c r="AJ32" s="101">
        <f>IFERROR(up_RadSpec!$H$3*(AJ3/$B32),".")</f>
        <v>760182.82595287333</v>
      </c>
      <c r="AK32" s="101">
        <f>IFERROR(up_RadSpec!$H$3*(AK3/$B32),".")</f>
        <v>760182.82595287333</v>
      </c>
      <c r="AL32" s="101">
        <f>IFERROR(up_RadSpec!$H$3*(AL3/$B32),".")</f>
        <v>760182.82595287333</v>
      </c>
      <c r="AM32" s="101">
        <f>IFERROR(up_RadSpec!$H$3*(AM3/$B32),".")</f>
        <v>760182.82595287333</v>
      </c>
      <c r="AN32" s="101">
        <f>IFERROR(up_RadSpec!$H$3*(AN3/$B32),".")</f>
        <v>760182.82595287333</v>
      </c>
      <c r="AO32" s="101">
        <f>IFERROR(up_RadSpec!$H$3*(AO3/$B32),".")</f>
        <v>760182.82595287333</v>
      </c>
      <c r="AP32" s="101">
        <f>IFERROR(up_RadSpec!$H$3*(AP3/$B32),".")</f>
        <v>760182.82595287333</v>
      </c>
      <c r="AQ32" s="101">
        <f>IFERROR(up_RadSpec!$H$3*(AQ3/$B32),".")</f>
        <v>760182.82595287333</v>
      </c>
      <c r="AR32" s="101">
        <f>IFERROR(up_RadSpec!$H$3*(AR3/$B32),".")</f>
        <v>760182.82595287333</v>
      </c>
      <c r="AS32" s="101">
        <f>IFERROR(up_RadSpec!$H$3*(AS3/$B32),".")</f>
        <v>760182.82595287333</v>
      </c>
      <c r="AT32" s="101">
        <f>IFERROR(up_RadSpec!$H$3*(AT3/$B32),".")</f>
        <v>760182.82595287333</v>
      </c>
      <c r="AU32" s="101">
        <f>IFERROR(up_RadSpec!$H$3*(AU3/$B32),".")</f>
        <v>760182.82595287333</v>
      </c>
      <c r="AV32" s="101">
        <f>IFERROR(up_RadSpec!$H$3*(AV3/$B32),".")</f>
        <v>760182.82595287333</v>
      </c>
      <c r="AW32" s="101">
        <f>IFERROR(up_RadSpec!$H$3*(AW3/$B32),".")</f>
        <v>760182.82595287333</v>
      </c>
      <c r="AX32" s="101">
        <f>IFERROR(up_RadSpec!$H$3*(AX3/$B32),".")</f>
        <v>760182.82595287333</v>
      </c>
      <c r="AY32" s="101">
        <f>IFERROR(up_RadSpec!$H$3*(AY3/$B32),".")</f>
        <v>760182.82595287333</v>
      </c>
      <c r="AZ32" s="101">
        <f>IFERROR(up_RadSpec!$H$3*(AZ3/$B32),".")</f>
        <v>760182.82595287333</v>
      </c>
      <c r="BA32" s="101">
        <f>IFERROR(up_RadSpec!$H$3*(BA3/$B32),".")</f>
        <v>760182.82595287333</v>
      </c>
      <c r="BB32" s="101">
        <f>IFERROR(up_RadSpec!$H$3*(BB3/$B32),".")</f>
        <v>760182.82595287333</v>
      </c>
      <c r="BC32" s="100">
        <f t="shared" ref="BC32" si="10">IFERROR($B32/BC3,0)</f>
        <v>60814626076.229866</v>
      </c>
      <c r="BD32" s="100">
        <f t="shared" ref="BD32:CB32" si="11">IFERROR($B32/BD3,0)</f>
        <v>15203656519.057467</v>
      </c>
      <c r="BE32" s="100">
        <f t="shared" si="11"/>
        <v>15203656519.057467</v>
      </c>
      <c r="BF32" s="100">
        <f t="shared" si="11"/>
        <v>15203656519.057467</v>
      </c>
      <c r="BG32" s="100">
        <f t="shared" si="11"/>
        <v>15203656519.057467</v>
      </c>
      <c r="BH32" s="100">
        <f t="shared" si="11"/>
        <v>15203656519.057467</v>
      </c>
      <c r="BI32" s="100">
        <f t="shared" si="11"/>
        <v>15203656519.057467</v>
      </c>
      <c r="BJ32" s="100">
        <f t="shared" si="11"/>
        <v>15203656519.057467</v>
      </c>
      <c r="BK32" s="100">
        <f t="shared" si="11"/>
        <v>15203656519.057467</v>
      </c>
      <c r="BL32" s="100">
        <f t="shared" si="11"/>
        <v>15203656519.057467</v>
      </c>
      <c r="BM32" s="100">
        <f t="shared" si="11"/>
        <v>15203656519.057467</v>
      </c>
      <c r="BN32" s="100">
        <f t="shared" si="11"/>
        <v>15203656519.057467</v>
      </c>
      <c r="BO32" s="100">
        <f t="shared" si="11"/>
        <v>15203656519.057467</v>
      </c>
      <c r="BP32" s="100">
        <f t="shared" si="11"/>
        <v>15203656519.057467</v>
      </c>
      <c r="BQ32" s="100">
        <f t="shared" si="11"/>
        <v>15203656519.057467</v>
      </c>
      <c r="BR32" s="100">
        <f t="shared" si="11"/>
        <v>15203656519.057467</v>
      </c>
      <c r="BS32" s="100">
        <f t="shared" si="11"/>
        <v>15203656519.057467</v>
      </c>
      <c r="BT32" s="100">
        <f t="shared" si="11"/>
        <v>15203656519.057467</v>
      </c>
      <c r="BU32" s="100">
        <f t="shared" si="11"/>
        <v>15203656519.057467</v>
      </c>
      <c r="BV32" s="100">
        <f t="shared" si="11"/>
        <v>15203656519.057467</v>
      </c>
      <c r="BW32" s="100">
        <f t="shared" si="11"/>
        <v>15203656519.057467</v>
      </c>
      <c r="BX32" s="100">
        <f t="shared" si="11"/>
        <v>15203656519.057467</v>
      </c>
      <c r="BY32" s="100">
        <f t="shared" si="11"/>
        <v>15203656519.057467</v>
      </c>
      <c r="BZ32" s="100">
        <f t="shared" si="11"/>
        <v>15203656519.057467</v>
      </c>
      <c r="CA32" s="100">
        <f t="shared" si="11"/>
        <v>15203656519.057467</v>
      </c>
      <c r="CB32" s="100">
        <f t="shared" si="11"/>
        <v>15203656519.057467</v>
      </c>
      <c r="CC32" s="49">
        <f t="shared" si="3"/>
        <v>3040731.3038114933</v>
      </c>
      <c r="CD32" s="101">
        <f>IFERROR(up_RadSpec!$H$3*(CD3/$B32),".")</f>
        <v>760182.82595287333</v>
      </c>
      <c r="CE32" s="101">
        <f>IFERROR(up_RadSpec!$H$3*(CE3/$B32),".")</f>
        <v>760182.82595287333</v>
      </c>
      <c r="CF32" s="101">
        <f>IFERROR(up_RadSpec!$H$3*(CF3/$B32),".")</f>
        <v>760182.82595287333</v>
      </c>
      <c r="CG32" s="101">
        <f>IFERROR(up_RadSpec!$H$3*(CG3/$B32),".")</f>
        <v>760182.82595287333</v>
      </c>
      <c r="CH32" s="101">
        <f>IFERROR(up_RadSpec!$H$3*(CH3/$B32),".")</f>
        <v>760182.82595287333</v>
      </c>
      <c r="CI32" s="101">
        <f>IFERROR(up_RadSpec!$H$3*(CI3/$B32),".")</f>
        <v>760182.82595287333</v>
      </c>
      <c r="CJ32" s="101">
        <f>IFERROR(up_RadSpec!$H$3*(CJ3/$B32),".")</f>
        <v>760182.82595287333</v>
      </c>
      <c r="CK32" s="101">
        <f>IFERROR(up_RadSpec!$H$3*(CK3/$B32),".")</f>
        <v>760182.82595287333</v>
      </c>
      <c r="CL32" s="101">
        <f>IFERROR(up_RadSpec!$H$3*(CL3/$B32),".")</f>
        <v>760182.82595287333</v>
      </c>
      <c r="CM32" s="101">
        <f>IFERROR(up_RadSpec!$H$3*(CM3/$B32),".")</f>
        <v>760182.82595287333</v>
      </c>
      <c r="CN32" s="101">
        <f>IFERROR(up_RadSpec!$H$3*(CN3/$B32),".")</f>
        <v>760182.82595287333</v>
      </c>
      <c r="CO32" s="101">
        <f>IFERROR(up_RadSpec!$H$3*(CO3/$B32),".")</f>
        <v>760182.82595287333</v>
      </c>
      <c r="CP32" s="101">
        <f>IFERROR(up_RadSpec!$H$3*(CP3/$B32),".")</f>
        <v>760182.82595287333</v>
      </c>
      <c r="CQ32" s="101">
        <f>IFERROR(up_RadSpec!$H$3*(CQ3/$B32),".")</f>
        <v>760182.82595287333</v>
      </c>
      <c r="CR32" s="101">
        <f>IFERROR(up_RadSpec!$H$3*(CR3/$B32),".")</f>
        <v>760182.82595287333</v>
      </c>
      <c r="CS32" s="101">
        <f>IFERROR(up_RadSpec!$H$3*(CS3/$B32),".")</f>
        <v>760182.82595287333</v>
      </c>
      <c r="CT32" s="101">
        <f>IFERROR(up_RadSpec!$H$3*(CT3/$B32),".")</f>
        <v>760182.82595287333</v>
      </c>
      <c r="CU32" s="101">
        <f>IFERROR(up_RadSpec!$H$3*(CU3/$B32),".")</f>
        <v>760182.82595287333</v>
      </c>
      <c r="CV32" s="101">
        <f>IFERROR(up_RadSpec!$H$3*(CV3/$B32),".")</f>
        <v>760182.82595287333</v>
      </c>
      <c r="CW32" s="101">
        <f>IFERROR(up_RadSpec!$H$3*(CW3/$B32),".")</f>
        <v>760182.82595287333</v>
      </c>
      <c r="CX32" s="101">
        <f>IFERROR(up_RadSpec!$H$3*(CX3/$B32),".")</f>
        <v>760182.82595287333</v>
      </c>
      <c r="CY32" s="101">
        <f>IFERROR(up_RadSpec!$H$3*(CY3/$B32),".")</f>
        <v>760182.82595287333</v>
      </c>
      <c r="CZ32" s="101">
        <f>IFERROR(up_RadSpec!$H$3*(CZ3/$B32),".")</f>
        <v>760182.82595287333</v>
      </c>
      <c r="DA32" s="101">
        <f>IFERROR(up_RadSpec!$H$3*(DA3/$B32),".")</f>
        <v>760182.82595287333</v>
      </c>
      <c r="DB32" s="101">
        <f>IFERROR(up_RadSpec!$H$3*(DB3/$B32),".")</f>
        <v>760182.82595287333</v>
      </c>
    </row>
    <row r="33" spans="1:106" s="42" customFormat="1" x14ac:dyDescent="0.25">
      <c r="A33" s="99" t="s">
        <v>1075</v>
      </c>
      <c r="B33" s="90">
        <v>1</v>
      </c>
      <c r="C33" s="100">
        <f t="shared" ref="C33" si="12">IFERROR($B33/C13,0)</f>
        <v>60814626076.229866</v>
      </c>
      <c r="D33" s="100">
        <f t="shared" ref="D33:AB34" si="13">IFERROR($B33/D13,0)</f>
        <v>15203656519.057467</v>
      </c>
      <c r="E33" s="100">
        <f t="shared" si="13"/>
        <v>15203656519.057467</v>
      </c>
      <c r="F33" s="100">
        <f t="shared" si="13"/>
        <v>15203656519.057467</v>
      </c>
      <c r="G33" s="100">
        <f t="shared" si="13"/>
        <v>15203656519.057467</v>
      </c>
      <c r="H33" s="100">
        <f t="shared" si="13"/>
        <v>15203656519.057467</v>
      </c>
      <c r="I33" s="100">
        <f t="shared" si="13"/>
        <v>15203656519.057467</v>
      </c>
      <c r="J33" s="100">
        <f t="shared" si="13"/>
        <v>15203656519.057467</v>
      </c>
      <c r="K33" s="100">
        <f t="shared" si="13"/>
        <v>15203656519.057467</v>
      </c>
      <c r="L33" s="100">
        <f t="shared" si="13"/>
        <v>15203656519.057467</v>
      </c>
      <c r="M33" s="100">
        <f t="shared" si="13"/>
        <v>15203656519.057467</v>
      </c>
      <c r="N33" s="100">
        <f t="shared" si="13"/>
        <v>15203656519.057467</v>
      </c>
      <c r="O33" s="100">
        <f t="shared" si="13"/>
        <v>15203656519.057467</v>
      </c>
      <c r="P33" s="100">
        <f t="shared" si="13"/>
        <v>15203656519.057467</v>
      </c>
      <c r="Q33" s="100">
        <f t="shared" si="13"/>
        <v>15203656519.057467</v>
      </c>
      <c r="R33" s="100">
        <f t="shared" si="13"/>
        <v>15203656519.057467</v>
      </c>
      <c r="S33" s="100">
        <f t="shared" si="13"/>
        <v>15203656519.057467</v>
      </c>
      <c r="T33" s="100">
        <f t="shared" si="13"/>
        <v>15203656519.057467</v>
      </c>
      <c r="U33" s="100">
        <f t="shared" si="13"/>
        <v>15203656519.057467</v>
      </c>
      <c r="V33" s="100">
        <f t="shared" si="13"/>
        <v>15203656519.057467</v>
      </c>
      <c r="W33" s="100">
        <f t="shared" si="13"/>
        <v>15203656519.057467</v>
      </c>
      <c r="X33" s="100">
        <f t="shared" si="13"/>
        <v>15203656519.057467</v>
      </c>
      <c r="Y33" s="100">
        <f t="shared" si="13"/>
        <v>15203656519.057467</v>
      </c>
      <c r="Z33" s="100">
        <f t="shared" si="13"/>
        <v>15203656519.057467</v>
      </c>
      <c r="AA33" s="100">
        <f t="shared" si="13"/>
        <v>15203656519.057467</v>
      </c>
      <c r="AB33" s="100">
        <f t="shared" si="13"/>
        <v>15203656519.057467</v>
      </c>
      <c r="AC33" s="49">
        <f t="shared" si="1"/>
        <v>3040731.3038114933</v>
      </c>
      <c r="AD33" s="101">
        <f>IFERROR(up_RadSpec!$H$13*(AD13/$B33),".")</f>
        <v>760182.82595287333</v>
      </c>
      <c r="AE33" s="101">
        <f>IFERROR(up_RadSpec!$H$13*(AE13/$B33),".")</f>
        <v>760182.82595287333</v>
      </c>
      <c r="AF33" s="101">
        <f>IFERROR(up_RadSpec!$H$13*(AF13/$B33),".")</f>
        <v>760182.82595287333</v>
      </c>
      <c r="AG33" s="101">
        <f>IFERROR(up_RadSpec!$H$13*(AG13/$B33),".")</f>
        <v>760182.82595287333</v>
      </c>
      <c r="AH33" s="101">
        <f>IFERROR(up_RadSpec!$H$13*(AH13/$B33),".")</f>
        <v>760182.82595287333</v>
      </c>
      <c r="AI33" s="101">
        <f>IFERROR(up_RadSpec!$H$13*(AI13/$B33),".")</f>
        <v>760182.82595287333</v>
      </c>
      <c r="AJ33" s="101">
        <f>IFERROR(up_RadSpec!$H$13*(AJ13/$B33),".")</f>
        <v>760182.82595287333</v>
      </c>
      <c r="AK33" s="101">
        <f>IFERROR(up_RadSpec!$H$13*(AK13/$B33),".")</f>
        <v>760182.82595287333</v>
      </c>
      <c r="AL33" s="101">
        <f>IFERROR(up_RadSpec!$H$13*(AL13/$B33),".")</f>
        <v>760182.82595287333</v>
      </c>
      <c r="AM33" s="101">
        <f>IFERROR(up_RadSpec!$H$13*(AM13/$B33),".")</f>
        <v>760182.82595287333</v>
      </c>
      <c r="AN33" s="101">
        <f>IFERROR(up_RadSpec!$H$13*(AN13/$B33),".")</f>
        <v>760182.82595287333</v>
      </c>
      <c r="AO33" s="101">
        <f>IFERROR(up_RadSpec!$H$13*(AO13/$B33),".")</f>
        <v>760182.82595287333</v>
      </c>
      <c r="AP33" s="101">
        <f>IFERROR(up_RadSpec!$H$13*(AP13/$B33),".")</f>
        <v>760182.82595287333</v>
      </c>
      <c r="AQ33" s="101">
        <f>IFERROR(up_RadSpec!$H$13*(AQ13/$B33),".")</f>
        <v>760182.82595287333</v>
      </c>
      <c r="AR33" s="101">
        <f>IFERROR(up_RadSpec!$H$13*(AR13/$B33),".")</f>
        <v>760182.82595287333</v>
      </c>
      <c r="AS33" s="101">
        <f>IFERROR(up_RadSpec!$H$13*(AS13/$B33),".")</f>
        <v>760182.82595287333</v>
      </c>
      <c r="AT33" s="101">
        <f>IFERROR(up_RadSpec!$H$13*(AT13/$B33),".")</f>
        <v>760182.82595287333</v>
      </c>
      <c r="AU33" s="101">
        <f>IFERROR(up_RadSpec!$H$13*(AU13/$B33),".")</f>
        <v>760182.82595287333</v>
      </c>
      <c r="AV33" s="101">
        <f>IFERROR(up_RadSpec!$H$13*(AV13/$B33),".")</f>
        <v>760182.82595287333</v>
      </c>
      <c r="AW33" s="101">
        <f>IFERROR(up_RadSpec!$H$13*(AW13/$B33),".")</f>
        <v>760182.82595287333</v>
      </c>
      <c r="AX33" s="101">
        <f>IFERROR(up_RadSpec!$H$13*(AX13/$B33),".")</f>
        <v>760182.82595287333</v>
      </c>
      <c r="AY33" s="101">
        <f>IFERROR(up_RadSpec!$H$13*(AY13/$B33),".")</f>
        <v>760182.82595287333</v>
      </c>
      <c r="AZ33" s="101">
        <f>IFERROR(up_RadSpec!$H$13*(AZ13/$B33),".")</f>
        <v>760182.82595287333</v>
      </c>
      <c r="BA33" s="101">
        <f>IFERROR(up_RadSpec!$H$13*(BA13/$B33),".")</f>
        <v>760182.82595287333</v>
      </c>
      <c r="BB33" s="101">
        <f>IFERROR(up_RadSpec!$H$13*(BB13/$B33),".")</f>
        <v>760182.82595287333</v>
      </c>
      <c r="BC33" s="100">
        <f t="shared" ref="BC33" si="14">IFERROR($B33/BC13,0)</f>
        <v>60814626076.229866</v>
      </c>
      <c r="BD33" s="100">
        <f t="shared" ref="BD33:CB34" si="15">IFERROR($B33/BD13,0)</f>
        <v>15203656519.057467</v>
      </c>
      <c r="BE33" s="100">
        <f t="shared" si="15"/>
        <v>15203656519.057467</v>
      </c>
      <c r="BF33" s="100">
        <f t="shared" si="15"/>
        <v>15203656519.057467</v>
      </c>
      <c r="BG33" s="100">
        <f t="shared" si="15"/>
        <v>15203656519.057467</v>
      </c>
      <c r="BH33" s="100">
        <f t="shared" si="15"/>
        <v>15203656519.057467</v>
      </c>
      <c r="BI33" s="100">
        <f t="shared" si="15"/>
        <v>15203656519.057467</v>
      </c>
      <c r="BJ33" s="100">
        <f t="shared" si="15"/>
        <v>15203656519.057467</v>
      </c>
      <c r="BK33" s="100">
        <f t="shared" si="15"/>
        <v>15203656519.057467</v>
      </c>
      <c r="BL33" s="100">
        <f t="shared" si="15"/>
        <v>15203656519.057467</v>
      </c>
      <c r="BM33" s="100">
        <f t="shared" si="15"/>
        <v>15203656519.057467</v>
      </c>
      <c r="BN33" s="100">
        <f t="shared" si="15"/>
        <v>15203656519.057467</v>
      </c>
      <c r="BO33" s="100">
        <f t="shared" si="15"/>
        <v>15203656519.057467</v>
      </c>
      <c r="BP33" s="100">
        <f t="shared" si="15"/>
        <v>15203656519.057467</v>
      </c>
      <c r="BQ33" s="100">
        <f t="shared" si="15"/>
        <v>15203656519.057467</v>
      </c>
      <c r="BR33" s="100">
        <f t="shared" si="15"/>
        <v>15203656519.057467</v>
      </c>
      <c r="BS33" s="100">
        <f t="shared" si="15"/>
        <v>15203656519.057467</v>
      </c>
      <c r="BT33" s="100">
        <f t="shared" si="15"/>
        <v>15203656519.057467</v>
      </c>
      <c r="BU33" s="100">
        <f t="shared" si="15"/>
        <v>15203656519.057467</v>
      </c>
      <c r="BV33" s="100">
        <f t="shared" si="15"/>
        <v>15203656519.057467</v>
      </c>
      <c r="BW33" s="100">
        <f t="shared" si="15"/>
        <v>15203656519.057467</v>
      </c>
      <c r="BX33" s="100">
        <f t="shared" si="15"/>
        <v>15203656519.057467</v>
      </c>
      <c r="BY33" s="100">
        <f t="shared" si="15"/>
        <v>15203656519.057467</v>
      </c>
      <c r="BZ33" s="100">
        <f t="shared" si="15"/>
        <v>15203656519.057467</v>
      </c>
      <c r="CA33" s="100">
        <f t="shared" si="15"/>
        <v>15203656519.057467</v>
      </c>
      <c r="CB33" s="100">
        <f t="shared" si="15"/>
        <v>15203656519.057467</v>
      </c>
      <c r="CC33" s="49">
        <f t="shared" si="3"/>
        <v>3040731.3038114933</v>
      </c>
      <c r="CD33" s="101">
        <f>IFERROR(up_RadSpec!$H$13*(CD13/$B33),".")</f>
        <v>760182.82595287333</v>
      </c>
      <c r="CE33" s="101">
        <f>IFERROR(up_RadSpec!$H$13*(CE13/$B33),".")</f>
        <v>760182.82595287333</v>
      </c>
      <c r="CF33" s="101">
        <f>IFERROR(up_RadSpec!$H$13*(CF13/$B33),".")</f>
        <v>760182.82595287333</v>
      </c>
      <c r="CG33" s="101">
        <f>IFERROR(up_RadSpec!$H$13*(CG13/$B33),".")</f>
        <v>760182.82595287333</v>
      </c>
      <c r="CH33" s="101">
        <f>IFERROR(up_RadSpec!$H$13*(CH13/$B33),".")</f>
        <v>760182.82595287333</v>
      </c>
      <c r="CI33" s="101">
        <f>IFERROR(up_RadSpec!$H$13*(CI13/$B33),".")</f>
        <v>760182.82595287333</v>
      </c>
      <c r="CJ33" s="101">
        <f>IFERROR(up_RadSpec!$H$13*(CJ13/$B33),".")</f>
        <v>760182.82595287333</v>
      </c>
      <c r="CK33" s="101">
        <f>IFERROR(up_RadSpec!$H$13*(CK13/$B33),".")</f>
        <v>760182.82595287333</v>
      </c>
      <c r="CL33" s="101">
        <f>IFERROR(up_RadSpec!$H$13*(CL13/$B33),".")</f>
        <v>760182.82595287333</v>
      </c>
      <c r="CM33" s="101">
        <f>IFERROR(up_RadSpec!$H$13*(CM13/$B33),".")</f>
        <v>760182.82595287333</v>
      </c>
      <c r="CN33" s="101">
        <f>IFERROR(up_RadSpec!$H$13*(CN13/$B33),".")</f>
        <v>760182.82595287333</v>
      </c>
      <c r="CO33" s="101">
        <f>IFERROR(up_RadSpec!$H$13*(CO13/$B33),".")</f>
        <v>760182.82595287333</v>
      </c>
      <c r="CP33" s="101">
        <f>IFERROR(up_RadSpec!$H$13*(CP13/$B33),".")</f>
        <v>760182.82595287333</v>
      </c>
      <c r="CQ33" s="101">
        <f>IFERROR(up_RadSpec!$H$13*(CQ13/$B33),".")</f>
        <v>760182.82595287333</v>
      </c>
      <c r="CR33" s="101">
        <f>IFERROR(up_RadSpec!$H$13*(CR13/$B33),".")</f>
        <v>760182.82595287333</v>
      </c>
      <c r="CS33" s="101">
        <f>IFERROR(up_RadSpec!$H$13*(CS13/$B33),".")</f>
        <v>760182.82595287333</v>
      </c>
      <c r="CT33" s="101">
        <f>IFERROR(up_RadSpec!$H$13*(CT13/$B33),".")</f>
        <v>760182.82595287333</v>
      </c>
      <c r="CU33" s="101">
        <f>IFERROR(up_RadSpec!$H$13*(CU13/$B33),".")</f>
        <v>760182.82595287333</v>
      </c>
      <c r="CV33" s="101">
        <f>IFERROR(up_RadSpec!$H$13*(CV13/$B33),".")</f>
        <v>760182.82595287333</v>
      </c>
      <c r="CW33" s="101">
        <f>IFERROR(up_RadSpec!$H$13*(CW13/$B33),".")</f>
        <v>760182.82595287333</v>
      </c>
      <c r="CX33" s="101">
        <f>IFERROR(up_RadSpec!$H$13*(CX13/$B33),".")</f>
        <v>760182.82595287333</v>
      </c>
      <c r="CY33" s="101">
        <f>IFERROR(up_RadSpec!$H$13*(CY13/$B33),".")</f>
        <v>760182.82595287333</v>
      </c>
      <c r="CZ33" s="101">
        <f>IFERROR(up_RadSpec!$H$13*(CZ13/$B33),".")</f>
        <v>760182.82595287333</v>
      </c>
      <c r="DA33" s="101">
        <f>IFERROR(up_RadSpec!$H$13*(DA13/$B33),".")</f>
        <v>760182.82595287333</v>
      </c>
      <c r="DB33" s="101">
        <f>IFERROR(up_RadSpec!$H$13*(DB13/$B33),".")</f>
        <v>760182.82595287333</v>
      </c>
    </row>
    <row r="34" spans="1:106" s="42" customFormat="1" x14ac:dyDescent="0.25">
      <c r="A34" s="99" t="s">
        <v>1076</v>
      </c>
      <c r="B34" s="90">
        <v>1</v>
      </c>
      <c r="C34" s="100">
        <f t="shared" ref="C34" si="16">IFERROR($B34/C14,0)</f>
        <v>60814626076.229866</v>
      </c>
      <c r="D34" s="100">
        <f t="shared" si="13"/>
        <v>15203656519.057467</v>
      </c>
      <c r="E34" s="100">
        <f t="shared" si="13"/>
        <v>15203656519.057467</v>
      </c>
      <c r="F34" s="100">
        <f t="shared" si="13"/>
        <v>15203656519.057467</v>
      </c>
      <c r="G34" s="100">
        <f t="shared" si="13"/>
        <v>15203656519.057467</v>
      </c>
      <c r="H34" s="100">
        <f t="shared" si="13"/>
        <v>15203656519.057467</v>
      </c>
      <c r="I34" s="100">
        <f t="shared" si="13"/>
        <v>15203656519.057467</v>
      </c>
      <c r="J34" s="100">
        <f t="shared" si="13"/>
        <v>15203656519.057467</v>
      </c>
      <c r="K34" s="100">
        <f t="shared" si="13"/>
        <v>15203656519.057467</v>
      </c>
      <c r="L34" s="100">
        <f t="shared" si="13"/>
        <v>15203656519.057467</v>
      </c>
      <c r="M34" s="100">
        <f t="shared" si="13"/>
        <v>15203656519.057467</v>
      </c>
      <c r="N34" s="100">
        <f t="shared" si="13"/>
        <v>15203656519.057467</v>
      </c>
      <c r="O34" s="100">
        <f t="shared" si="13"/>
        <v>15203656519.057467</v>
      </c>
      <c r="P34" s="100">
        <f t="shared" si="13"/>
        <v>15203656519.057467</v>
      </c>
      <c r="Q34" s="100">
        <f t="shared" si="13"/>
        <v>15203656519.057467</v>
      </c>
      <c r="R34" s="100">
        <f t="shared" si="13"/>
        <v>15203656519.057467</v>
      </c>
      <c r="S34" s="100">
        <f t="shared" si="13"/>
        <v>15203656519.057467</v>
      </c>
      <c r="T34" s="100">
        <f t="shared" si="13"/>
        <v>15203656519.057467</v>
      </c>
      <c r="U34" s="100">
        <f t="shared" si="13"/>
        <v>15203656519.057467</v>
      </c>
      <c r="V34" s="100">
        <f t="shared" si="13"/>
        <v>15203656519.057467</v>
      </c>
      <c r="W34" s="100">
        <f t="shared" si="13"/>
        <v>15203656519.057467</v>
      </c>
      <c r="X34" s="100">
        <f t="shared" si="13"/>
        <v>15203656519.057467</v>
      </c>
      <c r="Y34" s="100">
        <f t="shared" si="13"/>
        <v>15203656519.057467</v>
      </c>
      <c r="Z34" s="100">
        <f t="shared" si="13"/>
        <v>15203656519.057467</v>
      </c>
      <c r="AA34" s="100">
        <f t="shared" si="13"/>
        <v>15203656519.057467</v>
      </c>
      <c r="AB34" s="100">
        <f t="shared" si="13"/>
        <v>15203656519.057467</v>
      </c>
      <c r="AC34" s="49">
        <f t="shared" si="1"/>
        <v>3040731.3038114933</v>
      </c>
      <c r="AD34" s="101">
        <f>IFERROR(up_RadSpec!$H$14*(AD14/$B34),".")</f>
        <v>760182.82595287333</v>
      </c>
      <c r="AE34" s="101">
        <f>IFERROR(up_RadSpec!$H$14*(AE14/$B34),".")</f>
        <v>760182.82595287333</v>
      </c>
      <c r="AF34" s="101">
        <f>IFERROR(up_RadSpec!$H$14*(AF14/$B34),".")</f>
        <v>760182.82595287333</v>
      </c>
      <c r="AG34" s="101">
        <f>IFERROR(up_RadSpec!$H$14*(AG14/$B34),".")</f>
        <v>760182.82595287333</v>
      </c>
      <c r="AH34" s="101">
        <f>IFERROR(up_RadSpec!$H$14*(AH14/$B34),".")</f>
        <v>760182.82595287333</v>
      </c>
      <c r="AI34" s="101">
        <f>IFERROR(up_RadSpec!$H$14*(AI14/$B34),".")</f>
        <v>760182.82595287333</v>
      </c>
      <c r="AJ34" s="101">
        <f>IFERROR(up_RadSpec!$H$14*(AJ14/$B34),".")</f>
        <v>760182.82595287333</v>
      </c>
      <c r="AK34" s="101">
        <f>IFERROR(up_RadSpec!$H$14*(AK14/$B34),".")</f>
        <v>760182.82595287333</v>
      </c>
      <c r="AL34" s="101">
        <f>IFERROR(up_RadSpec!$H$14*(AL14/$B34),".")</f>
        <v>760182.82595287333</v>
      </c>
      <c r="AM34" s="101">
        <f>IFERROR(up_RadSpec!$H$14*(AM14/$B34),".")</f>
        <v>760182.82595287333</v>
      </c>
      <c r="AN34" s="101">
        <f>IFERROR(up_RadSpec!$H$14*(AN14/$B34),".")</f>
        <v>760182.82595287333</v>
      </c>
      <c r="AO34" s="101">
        <f>IFERROR(up_RadSpec!$H$14*(AO14/$B34),".")</f>
        <v>760182.82595287333</v>
      </c>
      <c r="AP34" s="101">
        <f>IFERROR(up_RadSpec!$H$14*(AP14/$B34),".")</f>
        <v>760182.82595287333</v>
      </c>
      <c r="AQ34" s="101">
        <f>IFERROR(up_RadSpec!$H$14*(AQ14/$B34),".")</f>
        <v>760182.82595287333</v>
      </c>
      <c r="AR34" s="101">
        <f>IFERROR(up_RadSpec!$H$14*(AR14/$B34),".")</f>
        <v>760182.82595287333</v>
      </c>
      <c r="AS34" s="101">
        <f>IFERROR(up_RadSpec!$H$14*(AS14/$B34),".")</f>
        <v>760182.82595287333</v>
      </c>
      <c r="AT34" s="101">
        <f>IFERROR(up_RadSpec!$H$14*(AT14/$B34),".")</f>
        <v>760182.82595287333</v>
      </c>
      <c r="AU34" s="101">
        <f>IFERROR(up_RadSpec!$H$14*(AU14/$B34),".")</f>
        <v>760182.82595287333</v>
      </c>
      <c r="AV34" s="101">
        <f>IFERROR(up_RadSpec!$H$14*(AV14/$B34),".")</f>
        <v>760182.82595287333</v>
      </c>
      <c r="AW34" s="101">
        <f>IFERROR(up_RadSpec!$H$14*(AW14/$B34),".")</f>
        <v>760182.82595287333</v>
      </c>
      <c r="AX34" s="101">
        <f>IFERROR(up_RadSpec!$H$14*(AX14/$B34),".")</f>
        <v>760182.82595287333</v>
      </c>
      <c r="AY34" s="101">
        <f>IFERROR(up_RadSpec!$H$14*(AY14/$B34),".")</f>
        <v>760182.82595287333</v>
      </c>
      <c r="AZ34" s="101">
        <f>IFERROR(up_RadSpec!$H$14*(AZ14/$B34),".")</f>
        <v>760182.82595287333</v>
      </c>
      <c r="BA34" s="101">
        <f>IFERROR(up_RadSpec!$H$14*(BA14/$B34),".")</f>
        <v>760182.82595287333</v>
      </c>
      <c r="BB34" s="101">
        <f>IFERROR(up_RadSpec!$H$14*(BB14/$B34),".")</f>
        <v>760182.82595287333</v>
      </c>
      <c r="BC34" s="100">
        <f t="shared" ref="BC34" si="17">IFERROR($B34/BC14,0)</f>
        <v>60814626076.229866</v>
      </c>
      <c r="BD34" s="100">
        <f t="shared" si="15"/>
        <v>15203656519.057467</v>
      </c>
      <c r="BE34" s="100">
        <f t="shared" si="15"/>
        <v>15203656519.057467</v>
      </c>
      <c r="BF34" s="100">
        <f t="shared" si="15"/>
        <v>15203656519.057467</v>
      </c>
      <c r="BG34" s="100">
        <f t="shared" si="15"/>
        <v>15203656519.057467</v>
      </c>
      <c r="BH34" s="100">
        <f t="shared" si="15"/>
        <v>15203656519.057467</v>
      </c>
      <c r="BI34" s="100">
        <f t="shared" si="15"/>
        <v>15203656519.057467</v>
      </c>
      <c r="BJ34" s="100">
        <f t="shared" si="15"/>
        <v>15203656519.057467</v>
      </c>
      <c r="BK34" s="100">
        <f t="shared" si="15"/>
        <v>15203656519.057467</v>
      </c>
      <c r="BL34" s="100">
        <f t="shared" si="15"/>
        <v>15203656519.057467</v>
      </c>
      <c r="BM34" s="100">
        <f t="shared" si="15"/>
        <v>15203656519.057467</v>
      </c>
      <c r="BN34" s="100">
        <f t="shared" si="15"/>
        <v>15203656519.057467</v>
      </c>
      <c r="BO34" s="100">
        <f t="shared" si="15"/>
        <v>15203656519.057467</v>
      </c>
      <c r="BP34" s="100">
        <f t="shared" si="15"/>
        <v>15203656519.057467</v>
      </c>
      <c r="BQ34" s="100">
        <f t="shared" si="15"/>
        <v>15203656519.057467</v>
      </c>
      <c r="BR34" s="100">
        <f t="shared" si="15"/>
        <v>15203656519.057467</v>
      </c>
      <c r="BS34" s="100">
        <f t="shared" si="15"/>
        <v>15203656519.057467</v>
      </c>
      <c r="BT34" s="100">
        <f t="shared" si="15"/>
        <v>15203656519.057467</v>
      </c>
      <c r="BU34" s="100">
        <f t="shared" si="15"/>
        <v>15203656519.057467</v>
      </c>
      <c r="BV34" s="100">
        <f t="shared" si="15"/>
        <v>15203656519.057467</v>
      </c>
      <c r="BW34" s="100">
        <f t="shared" si="15"/>
        <v>15203656519.057467</v>
      </c>
      <c r="BX34" s="100">
        <f t="shared" si="15"/>
        <v>15203656519.057467</v>
      </c>
      <c r="BY34" s="100">
        <f t="shared" si="15"/>
        <v>15203656519.057467</v>
      </c>
      <c r="BZ34" s="100">
        <f t="shared" si="15"/>
        <v>15203656519.057467</v>
      </c>
      <c r="CA34" s="100">
        <f t="shared" si="15"/>
        <v>15203656519.057467</v>
      </c>
      <c r="CB34" s="100">
        <f t="shared" si="15"/>
        <v>15203656519.057467</v>
      </c>
      <c r="CC34" s="49">
        <f t="shared" si="3"/>
        <v>3040731.3038114933</v>
      </c>
      <c r="CD34" s="101">
        <f>IFERROR(up_RadSpec!$H$14*(CD14/$B34),".")</f>
        <v>760182.82595287333</v>
      </c>
      <c r="CE34" s="101">
        <f>IFERROR(up_RadSpec!$H$14*(CE14/$B34),".")</f>
        <v>760182.82595287333</v>
      </c>
      <c r="CF34" s="101">
        <f>IFERROR(up_RadSpec!$H$14*(CF14/$B34),".")</f>
        <v>760182.82595287333</v>
      </c>
      <c r="CG34" s="101">
        <f>IFERROR(up_RadSpec!$H$14*(CG14/$B34),".")</f>
        <v>760182.82595287333</v>
      </c>
      <c r="CH34" s="101">
        <f>IFERROR(up_RadSpec!$H$14*(CH14/$B34),".")</f>
        <v>760182.82595287333</v>
      </c>
      <c r="CI34" s="101">
        <f>IFERROR(up_RadSpec!$H$14*(CI14/$B34),".")</f>
        <v>760182.82595287333</v>
      </c>
      <c r="CJ34" s="101">
        <f>IFERROR(up_RadSpec!$H$14*(CJ14/$B34),".")</f>
        <v>760182.82595287333</v>
      </c>
      <c r="CK34" s="101">
        <f>IFERROR(up_RadSpec!$H$14*(CK14/$B34),".")</f>
        <v>760182.82595287333</v>
      </c>
      <c r="CL34" s="101">
        <f>IFERROR(up_RadSpec!$H$14*(CL14/$B34),".")</f>
        <v>760182.82595287333</v>
      </c>
      <c r="CM34" s="101">
        <f>IFERROR(up_RadSpec!$H$14*(CM14/$B34),".")</f>
        <v>760182.82595287333</v>
      </c>
      <c r="CN34" s="101">
        <f>IFERROR(up_RadSpec!$H$14*(CN14/$B34),".")</f>
        <v>760182.82595287333</v>
      </c>
      <c r="CO34" s="101">
        <f>IFERROR(up_RadSpec!$H$14*(CO14/$B34),".")</f>
        <v>760182.82595287333</v>
      </c>
      <c r="CP34" s="101">
        <f>IFERROR(up_RadSpec!$H$14*(CP14/$B34),".")</f>
        <v>760182.82595287333</v>
      </c>
      <c r="CQ34" s="101">
        <f>IFERROR(up_RadSpec!$H$14*(CQ14/$B34),".")</f>
        <v>760182.82595287333</v>
      </c>
      <c r="CR34" s="101">
        <f>IFERROR(up_RadSpec!$H$14*(CR14/$B34),".")</f>
        <v>760182.82595287333</v>
      </c>
      <c r="CS34" s="101">
        <f>IFERROR(up_RadSpec!$H$14*(CS14/$B34),".")</f>
        <v>760182.82595287333</v>
      </c>
      <c r="CT34" s="101">
        <f>IFERROR(up_RadSpec!$H$14*(CT14/$B34),".")</f>
        <v>760182.82595287333</v>
      </c>
      <c r="CU34" s="101">
        <f>IFERROR(up_RadSpec!$H$14*(CU14/$B34),".")</f>
        <v>760182.82595287333</v>
      </c>
      <c r="CV34" s="101">
        <f>IFERROR(up_RadSpec!$H$14*(CV14/$B34),".")</f>
        <v>760182.82595287333</v>
      </c>
      <c r="CW34" s="101">
        <f>IFERROR(up_RadSpec!$H$14*(CW14/$B34),".")</f>
        <v>760182.82595287333</v>
      </c>
      <c r="CX34" s="101">
        <f>IFERROR(up_RadSpec!$H$14*(CX14/$B34),".")</f>
        <v>760182.82595287333</v>
      </c>
      <c r="CY34" s="101">
        <f>IFERROR(up_RadSpec!$H$14*(CY14/$B34),".")</f>
        <v>760182.82595287333</v>
      </c>
      <c r="CZ34" s="101">
        <f>IFERROR(up_RadSpec!$H$14*(CZ14/$B34),".")</f>
        <v>760182.82595287333</v>
      </c>
      <c r="DA34" s="101">
        <f>IFERROR(up_RadSpec!$H$14*(DA14/$B34),".")</f>
        <v>760182.82595287333</v>
      </c>
      <c r="DB34" s="101">
        <f>IFERROR(up_RadSpec!$H$14*(DB14/$B34),".")</f>
        <v>760182.82595287333</v>
      </c>
    </row>
    <row r="35" spans="1:106" s="42" customFormat="1" x14ac:dyDescent="0.25">
      <c r="A35" s="99" t="s">
        <v>1077</v>
      </c>
      <c r="B35" s="90">
        <v>1</v>
      </c>
      <c r="C35" s="100">
        <f t="shared" ref="C35" si="18">IFERROR($B35/C30,0)</f>
        <v>60814626076.229866</v>
      </c>
      <c r="D35" s="100">
        <f t="shared" ref="D35:AB35" si="19">IFERROR($B35/D30,0)</f>
        <v>15203656519.057467</v>
      </c>
      <c r="E35" s="100">
        <f t="shared" si="19"/>
        <v>15203656519.057467</v>
      </c>
      <c r="F35" s="100">
        <f t="shared" si="19"/>
        <v>15203656519.057467</v>
      </c>
      <c r="G35" s="100">
        <f t="shared" si="19"/>
        <v>15203656519.057467</v>
      </c>
      <c r="H35" s="100">
        <f t="shared" si="19"/>
        <v>15203656519.057467</v>
      </c>
      <c r="I35" s="100">
        <f t="shared" si="19"/>
        <v>15203656519.057467</v>
      </c>
      <c r="J35" s="100">
        <f t="shared" si="19"/>
        <v>15203656519.057467</v>
      </c>
      <c r="K35" s="100">
        <f t="shared" si="19"/>
        <v>15203656519.057467</v>
      </c>
      <c r="L35" s="100">
        <f t="shared" si="19"/>
        <v>15203656519.057467</v>
      </c>
      <c r="M35" s="100">
        <f t="shared" si="19"/>
        <v>15203656519.057467</v>
      </c>
      <c r="N35" s="100">
        <f t="shared" si="19"/>
        <v>15203656519.057467</v>
      </c>
      <c r="O35" s="100">
        <f t="shared" si="19"/>
        <v>15203656519.057467</v>
      </c>
      <c r="P35" s="100">
        <f t="shared" si="19"/>
        <v>15203656519.057467</v>
      </c>
      <c r="Q35" s="100">
        <f t="shared" si="19"/>
        <v>15203656519.057467</v>
      </c>
      <c r="R35" s="100">
        <f t="shared" si="19"/>
        <v>15203656519.057467</v>
      </c>
      <c r="S35" s="100">
        <f t="shared" si="19"/>
        <v>15203656519.057467</v>
      </c>
      <c r="T35" s="100">
        <f t="shared" si="19"/>
        <v>15203656519.057467</v>
      </c>
      <c r="U35" s="100">
        <f t="shared" si="19"/>
        <v>15203656519.057467</v>
      </c>
      <c r="V35" s="100">
        <f t="shared" si="19"/>
        <v>15203656519.057467</v>
      </c>
      <c r="W35" s="100">
        <f t="shared" si="19"/>
        <v>15203656519.057467</v>
      </c>
      <c r="X35" s="100">
        <f t="shared" si="19"/>
        <v>15203656519.057467</v>
      </c>
      <c r="Y35" s="100">
        <f t="shared" si="19"/>
        <v>15203656519.057467</v>
      </c>
      <c r="Z35" s="100">
        <f t="shared" si="19"/>
        <v>15203656519.057467</v>
      </c>
      <c r="AA35" s="100">
        <f t="shared" si="19"/>
        <v>15203656519.057467</v>
      </c>
      <c r="AB35" s="100">
        <f t="shared" si="19"/>
        <v>15203656519.057467</v>
      </c>
      <c r="AC35" s="49">
        <f t="shared" si="1"/>
        <v>3040731.3038114933</v>
      </c>
      <c r="AD35" s="101">
        <f>IFERROR(up_RadSpec!$H$30*(AD30/$B35),".")</f>
        <v>760182.82595287333</v>
      </c>
      <c r="AE35" s="101">
        <f>IFERROR(up_RadSpec!$H$30*(AE30/$B35),".")</f>
        <v>760182.82595287333</v>
      </c>
      <c r="AF35" s="101">
        <f>IFERROR(up_RadSpec!$H$30*(AF30/$B35),".")</f>
        <v>760182.82595287333</v>
      </c>
      <c r="AG35" s="101">
        <f>IFERROR(up_RadSpec!$H$30*(AG30/$B35),".")</f>
        <v>760182.82595287333</v>
      </c>
      <c r="AH35" s="101">
        <f>IFERROR(up_RadSpec!$H$30*(AH30/$B35),".")</f>
        <v>760182.82595287333</v>
      </c>
      <c r="AI35" s="101">
        <f>IFERROR(up_RadSpec!$H$30*(AI30/$B35),".")</f>
        <v>760182.82595287333</v>
      </c>
      <c r="AJ35" s="101">
        <f>IFERROR(up_RadSpec!$H$30*(AJ30/$B35),".")</f>
        <v>760182.82595287333</v>
      </c>
      <c r="AK35" s="101">
        <f>IFERROR(up_RadSpec!$H$30*(AK30/$B35),".")</f>
        <v>760182.82595287333</v>
      </c>
      <c r="AL35" s="101">
        <f>IFERROR(up_RadSpec!$H$30*(AL30/$B35),".")</f>
        <v>760182.82595287333</v>
      </c>
      <c r="AM35" s="101">
        <f>IFERROR(up_RadSpec!$H$30*(AM30/$B35),".")</f>
        <v>760182.82595287333</v>
      </c>
      <c r="AN35" s="101">
        <f>IFERROR(up_RadSpec!$H$30*(AN30/$B35),".")</f>
        <v>760182.82595287333</v>
      </c>
      <c r="AO35" s="101">
        <f>IFERROR(up_RadSpec!$H$30*(AO30/$B35),".")</f>
        <v>760182.82595287333</v>
      </c>
      <c r="AP35" s="101">
        <f>IFERROR(up_RadSpec!$H$30*(AP30/$B35),".")</f>
        <v>760182.82595287333</v>
      </c>
      <c r="AQ35" s="101">
        <f>IFERROR(up_RadSpec!$H$30*(AQ30/$B35),".")</f>
        <v>760182.82595287333</v>
      </c>
      <c r="AR35" s="101">
        <f>IFERROR(up_RadSpec!$H$30*(AR30/$B35),".")</f>
        <v>760182.82595287333</v>
      </c>
      <c r="AS35" s="101">
        <f>IFERROR(up_RadSpec!$H$30*(AS30/$B35),".")</f>
        <v>760182.82595287333</v>
      </c>
      <c r="AT35" s="101">
        <f>IFERROR(up_RadSpec!$H$30*(AT30/$B35),".")</f>
        <v>760182.82595287333</v>
      </c>
      <c r="AU35" s="101">
        <f>IFERROR(up_RadSpec!$H$30*(AU30/$B35),".")</f>
        <v>760182.82595287333</v>
      </c>
      <c r="AV35" s="101">
        <f>IFERROR(up_RadSpec!$H$30*(AV30/$B35),".")</f>
        <v>760182.82595287333</v>
      </c>
      <c r="AW35" s="101">
        <f>IFERROR(up_RadSpec!$H$30*(AW30/$B35),".")</f>
        <v>760182.82595287333</v>
      </c>
      <c r="AX35" s="101">
        <f>IFERROR(up_RadSpec!$H$30*(AX30/$B35),".")</f>
        <v>760182.82595287333</v>
      </c>
      <c r="AY35" s="101">
        <f>IFERROR(up_RadSpec!$H$30*(AY30/$B35),".")</f>
        <v>760182.82595287333</v>
      </c>
      <c r="AZ35" s="101">
        <f>IFERROR(up_RadSpec!$H$30*(AZ30/$B35),".")</f>
        <v>760182.82595287333</v>
      </c>
      <c r="BA35" s="101">
        <f>IFERROR(up_RadSpec!$H$30*(BA30/$B35),".")</f>
        <v>760182.82595287333</v>
      </c>
      <c r="BB35" s="101">
        <f>IFERROR(up_RadSpec!$H$30*(BB30/$B35),".")</f>
        <v>760182.82595287333</v>
      </c>
      <c r="BC35" s="100">
        <f t="shared" ref="BC35" si="20">IFERROR($B35/BC30,0)</f>
        <v>60814626076.229866</v>
      </c>
      <c r="BD35" s="100">
        <f t="shared" ref="BD35:CB35" si="21">IFERROR($B35/BD30,0)</f>
        <v>15203656519.057467</v>
      </c>
      <c r="BE35" s="100">
        <f t="shared" si="21"/>
        <v>15203656519.057467</v>
      </c>
      <c r="BF35" s="100">
        <f t="shared" si="21"/>
        <v>15203656519.057467</v>
      </c>
      <c r="BG35" s="100">
        <f t="shared" si="21"/>
        <v>15203656519.057467</v>
      </c>
      <c r="BH35" s="100">
        <f t="shared" si="21"/>
        <v>15203656519.057467</v>
      </c>
      <c r="BI35" s="100">
        <f t="shared" si="21"/>
        <v>15203656519.057467</v>
      </c>
      <c r="BJ35" s="100">
        <f t="shared" si="21"/>
        <v>15203656519.057467</v>
      </c>
      <c r="BK35" s="100">
        <f t="shared" si="21"/>
        <v>15203656519.057467</v>
      </c>
      <c r="BL35" s="100">
        <f t="shared" si="21"/>
        <v>15203656519.057467</v>
      </c>
      <c r="BM35" s="100">
        <f t="shared" si="21"/>
        <v>15203656519.057467</v>
      </c>
      <c r="BN35" s="100">
        <f t="shared" si="21"/>
        <v>15203656519.057467</v>
      </c>
      <c r="BO35" s="100">
        <f t="shared" si="21"/>
        <v>15203656519.057467</v>
      </c>
      <c r="BP35" s="100">
        <f t="shared" si="21"/>
        <v>15203656519.057467</v>
      </c>
      <c r="BQ35" s="100">
        <f t="shared" si="21"/>
        <v>15203656519.057467</v>
      </c>
      <c r="BR35" s="100">
        <f t="shared" si="21"/>
        <v>15203656519.057467</v>
      </c>
      <c r="BS35" s="100">
        <f t="shared" si="21"/>
        <v>15203656519.057467</v>
      </c>
      <c r="BT35" s="100">
        <f t="shared" si="21"/>
        <v>15203656519.057467</v>
      </c>
      <c r="BU35" s="100">
        <f t="shared" si="21"/>
        <v>15203656519.057467</v>
      </c>
      <c r="BV35" s="100">
        <f t="shared" si="21"/>
        <v>15203656519.057467</v>
      </c>
      <c r="BW35" s="100">
        <f t="shared" si="21"/>
        <v>15203656519.057467</v>
      </c>
      <c r="BX35" s="100">
        <f t="shared" si="21"/>
        <v>15203656519.057467</v>
      </c>
      <c r="BY35" s="100">
        <f t="shared" si="21"/>
        <v>15203656519.057467</v>
      </c>
      <c r="BZ35" s="100">
        <f t="shared" si="21"/>
        <v>15203656519.057467</v>
      </c>
      <c r="CA35" s="100">
        <f t="shared" si="21"/>
        <v>15203656519.057467</v>
      </c>
      <c r="CB35" s="100">
        <f t="shared" si="21"/>
        <v>15203656519.057467</v>
      </c>
      <c r="CC35" s="49">
        <f t="shared" si="3"/>
        <v>3040731.3038114933</v>
      </c>
      <c r="CD35" s="101">
        <f>IFERROR(up_RadSpec!$H$30*(CD30/$B35),".")</f>
        <v>760182.82595287333</v>
      </c>
      <c r="CE35" s="101">
        <f>IFERROR(up_RadSpec!$H$30*(CE30/$B35),".")</f>
        <v>760182.82595287333</v>
      </c>
      <c r="CF35" s="101">
        <f>IFERROR(up_RadSpec!$H$30*(CF30/$B35),".")</f>
        <v>760182.82595287333</v>
      </c>
      <c r="CG35" s="101">
        <f>IFERROR(up_RadSpec!$H$30*(CG30/$B35),".")</f>
        <v>760182.82595287333</v>
      </c>
      <c r="CH35" s="101">
        <f>IFERROR(up_RadSpec!$H$30*(CH30/$B35),".")</f>
        <v>760182.82595287333</v>
      </c>
      <c r="CI35" s="101">
        <f>IFERROR(up_RadSpec!$H$30*(CI30/$B35),".")</f>
        <v>760182.82595287333</v>
      </c>
      <c r="CJ35" s="101">
        <f>IFERROR(up_RadSpec!$H$30*(CJ30/$B35),".")</f>
        <v>760182.82595287333</v>
      </c>
      <c r="CK35" s="101">
        <f>IFERROR(up_RadSpec!$H$30*(CK30/$B35),".")</f>
        <v>760182.82595287333</v>
      </c>
      <c r="CL35" s="101">
        <f>IFERROR(up_RadSpec!$H$30*(CL30/$B35),".")</f>
        <v>760182.82595287333</v>
      </c>
      <c r="CM35" s="101">
        <f>IFERROR(up_RadSpec!$H$30*(CM30/$B35),".")</f>
        <v>760182.82595287333</v>
      </c>
      <c r="CN35" s="101">
        <f>IFERROR(up_RadSpec!$H$30*(CN30/$B35),".")</f>
        <v>760182.82595287333</v>
      </c>
      <c r="CO35" s="101">
        <f>IFERROR(up_RadSpec!$H$30*(CO30/$B35),".")</f>
        <v>760182.82595287333</v>
      </c>
      <c r="CP35" s="101">
        <f>IFERROR(up_RadSpec!$H$30*(CP30/$B35),".")</f>
        <v>760182.82595287333</v>
      </c>
      <c r="CQ35" s="101">
        <f>IFERROR(up_RadSpec!$H$30*(CQ30/$B35),".")</f>
        <v>760182.82595287333</v>
      </c>
      <c r="CR35" s="101">
        <f>IFERROR(up_RadSpec!$H$30*(CR30/$B35),".")</f>
        <v>760182.82595287333</v>
      </c>
      <c r="CS35" s="101">
        <f>IFERROR(up_RadSpec!$H$30*(CS30/$B35),".")</f>
        <v>760182.82595287333</v>
      </c>
      <c r="CT35" s="101">
        <f>IFERROR(up_RadSpec!$H$30*(CT30/$B35),".")</f>
        <v>760182.82595287333</v>
      </c>
      <c r="CU35" s="101">
        <f>IFERROR(up_RadSpec!$H$30*(CU30/$B35),".")</f>
        <v>760182.82595287333</v>
      </c>
      <c r="CV35" s="101">
        <f>IFERROR(up_RadSpec!$H$30*(CV30/$B35),".")</f>
        <v>760182.82595287333</v>
      </c>
      <c r="CW35" s="101">
        <f>IFERROR(up_RadSpec!$H$30*(CW30/$B35),".")</f>
        <v>760182.82595287333</v>
      </c>
      <c r="CX35" s="101">
        <f>IFERROR(up_RadSpec!$H$30*(CX30/$B35),".")</f>
        <v>760182.82595287333</v>
      </c>
      <c r="CY35" s="101">
        <f>IFERROR(up_RadSpec!$H$30*(CY30/$B35),".")</f>
        <v>760182.82595287333</v>
      </c>
      <c r="CZ35" s="101">
        <f>IFERROR(up_RadSpec!$H$30*(CZ30/$B35),".")</f>
        <v>760182.82595287333</v>
      </c>
      <c r="DA35" s="101">
        <f>IFERROR(up_RadSpec!$H$30*(DA30/$B35),".")</f>
        <v>760182.82595287333</v>
      </c>
      <c r="DB35" s="101">
        <f>IFERROR(up_RadSpec!$H$30*(DB30/$B35),".")</f>
        <v>760182.82595287333</v>
      </c>
    </row>
    <row r="36" spans="1:106" s="42" customFormat="1" x14ac:dyDescent="0.25">
      <c r="A36" s="99" t="s">
        <v>1078</v>
      </c>
      <c r="B36" s="90">
        <v>1</v>
      </c>
      <c r="C36" s="100">
        <f t="shared" ref="C36" si="22">IFERROR($B36/C26,0)</f>
        <v>60814626076.229866</v>
      </c>
      <c r="D36" s="100">
        <f t="shared" ref="D36:AB36" si="23">IFERROR($B36/D26,0)</f>
        <v>15203656519.057467</v>
      </c>
      <c r="E36" s="100">
        <f t="shared" si="23"/>
        <v>15203656519.057467</v>
      </c>
      <c r="F36" s="100">
        <f t="shared" si="23"/>
        <v>15203656519.057467</v>
      </c>
      <c r="G36" s="100">
        <f t="shared" si="23"/>
        <v>15203656519.057467</v>
      </c>
      <c r="H36" s="100">
        <f t="shared" si="23"/>
        <v>15203656519.057467</v>
      </c>
      <c r="I36" s="100">
        <f t="shared" si="23"/>
        <v>15203656519.057467</v>
      </c>
      <c r="J36" s="100">
        <f t="shared" si="23"/>
        <v>15203656519.057467</v>
      </c>
      <c r="K36" s="100">
        <f t="shared" si="23"/>
        <v>15203656519.057467</v>
      </c>
      <c r="L36" s="100">
        <f t="shared" si="23"/>
        <v>15203656519.057467</v>
      </c>
      <c r="M36" s="100">
        <f t="shared" si="23"/>
        <v>15203656519.057467</v>
      </c>
      <c r="N36" s="100">
        <f t="shared" si="23"/>
        <v>15203656519.057467</v>
      </c>
      <c r="O36" s="100">
        <f t="shared" si="23"/>
        <v>15203656519.057467</v>
      </c>
      <c r="P36" s="100">
        <f t="shared" si="23"/>
        <v>15203656519.057467</v>
      </c>
      <c r="Q36" s="100">
        <f t="shared" si="23"/>
        <v>15203656519.057467</v>
      </c>
      <c r="R36" s="100">
        <f t="shared" si="23"/>
        <v>15203656519.057467</v>
      </c>
      <c r="S36" s="100">
        <f t="shared" si="23"/>
        <v>15203656519.057467</v>
      </c>
      <c r="T36" s="100">
        <f t="shared" si="23"/>
        <v>15203656519.057467</v>
      </c>
      <c r="U36" s="100">
        <f t="shared" si="23"/>
        <v>15203656519.057467</v>
      </c>
      <c r="V36" s="100">
        <f t="shared" si="23"/>
        <v>15203656519.057467</v>
      </c>
      <c r="W36" s="100">
        <f t="shared" si="23"/>
        <v>15203656519.057467</v>
      </c>
      <c r="X36" s="100">
        <f t="shared" si="23"/>
        <v>15203656519.057467</v>
      </c>
      <c r="Y36" s="100">
        <f t="shared" si="23"/>
        <v>15203656519.057467</v>
      </c>
      <c r="Z36" s="100">
        <f t="shared" si="23"/>
        <v>15203656519.057467</v>
      </c>
      <c r="AA36" s="100">
        <f t="shared" si="23"/>
        <v>15203656519.057467</v>
      </c>
      <c r="AB36" s="100">
        <f t="shared" si="23"/>
        <v>15203656519.057467</v>
      </c>
      <c r="AC36" s="49">
        <f t="shared" si="1"/>
        <v>3040731.3038114933</v>
      </c>
      <c r="AD36" s="101">
        <f>IFERROR(up_RadSpec!$H$26*(AD26/$B36),".")</f>
        <v>760182.82595287333</v>
      </c>
      <c r="AE36" s="101">
        <f>IFERROR(up_RadSpec!$H$26*(AE26/$B36),".")</f>
        <v>760182.82595287333</v>
      </c>
      <c r="AF36" s="101">
        <f>IFERROR(up_RadSpec!$H$26*(AF26/$B36),".")</f>
        <v>760182.82595287333</v>
      </c>
      <c r="AG36" s="101">
        <f>IFERROR(up_RadSpec!$H$26*(AG26/$B36),".")</f>
        <v>760182.82595287333</v>
      </c>
      <c r="AH36" s="101">
        <f>IFERROR(up_RadSpec!$H$26*(AH26/$B36),".")</f>
        <v>760182.82595287333</v>
      </c>
      <c r="AI36" s="101">
        <f>IFERROR(up_RadSpec!$H$26*(AI26/$B36),".")</f>
        <v>760182.82595287333</v>
      </c>
      <c r="AJ36" s="101">
        <f>IFERROR(up_RadSpec!$H$26*(AJ26/$B36),".")</f>
        <v>760182.82595287333</v>
      </c>
      <c r="AK36" s="101">
        <f>IFERROR(up_RadSpec!$H$26*(AK26/$B36),".")</f>
        <v>760182.82595287333</v>
      </c>
      <c r="AL36" s="101">
        <f>IFERROR(up_RadSpec!$H$26*(AL26/$B36),".")</f>
        <v>760182.82595287333</v>
      </c>
      <c r="AM36" s="101">
        <f>IFERROR(up_RadSpec!$H$26*(AM26/$B36),".")</f>
        <v>760182.82595287333</v>
      </c>
      <c r="AN36" s="101">
        <f>IFERROR(up_RadSpec!$H$26*(AN26/$B36),".")</f>
        <v>760182.82595287333</v>
      </c>
      <c r="AO36" s="101">
        <f>IFERROR(up_RadSpec!$H$26*(AO26/$B36),".")</f>
        <v>760182.82595287333</v>
      </c>
      <c r="AP36" s="101">
        <f>IFERROR(up_RadSpec!$H$26*(AP26/$B36),".")</f>
        <v>760182.82595287333</v>
      </c>
      <c r="AQ36" s="101">
        <f>IFERROR(up_RadSpec!$H$26*(AQ26/$B36),".")</f>
        <v>760182.82595287333</v>
      </c>
      <c r="AR36" s="101">
        <f>IFERROR(up_RadSpec!$H$26*(AR26/$B36),".")</f>
        <v>760182.82595287333</v>
      </c>
      <c r="AS36" s="101">
        <f>IFERROR(up_RadSpec!$H$26*(AS26/$B36),".")</f>
        <v>760182.82595287333</v>
      </c>
      <c r="AT36" s="101">
        <f>IFERROR(up_RadSpec!$H$26*(AT26/$B36),".")</f>
        <v>760182.82595287333</v>
      </c>
      <c r="AU36" s="101">
        <f>IFERROR(up_RadSpec!$H$26*(AU26/$B36),".")</f>
        <v>760182.82595287333</v>
      </c>
      <c r="AV36" s="101">
        <f>IFERROR(up_RadSpec!$H$26*(AV26/$B36),".")</f>
        <v>760182.82595287333</v>
      </c>
      <c r="AW36" s="101">
        <f>IFERROR(up_RadSpec!$H$26*(AW26/$B36),".")</f>
        <v>760182.82595287333</v>
      </c>
      <c r="AX36" s="101">
        <f>IFERROR(up_RadSpec!$H$26*(AX26/$B36),".")</f>
        <v>760182.82595287333</v>
      </c>
      <c r="AY36" s="101">
        <f>IFERROR(up_RadSpec!$H$26*(AY26/$B36),".")</f>
        <v>760182.82595287333</v>
      </c>
      <c r="AZ36" s="101">
        <f>IFERROR(up_RadSpec!$H$26*(AZ26/$B36),".")</f>
        <v>760182.82595287333</v>
      </c>
      <c r="BA36" s="101">
        <f>IFERROR(up_RadSpec!$H$26*(BA26/$B36),".")</f>
        <v>760182.82595287333</v>
      </c>
      <c r="BB36" s="101">
        <f>IFERROR(up_RadSpec!$H$26*(BB26/$B36),".")</f>
        <v>760182.82595287333</v>
      </c>
      <c r="BC36" s="100">
        <f t="shared" ref="BC36" si="24">IFERROR($B36/BC26,0)</f>
        <v>60814626076.229866</v>
      </c>
      <c r="BD36" s="100">
        <f t="shared" ref="BD36:CB36" si="25">IFERROR($B36/BD26,0)</f>
        <v>15203656519.057467</v>
      </c>
      <c r="BE36" s="100">
        <f t="shared" si="25"/>
        <v>15203656519.057467</v>
      </c>
      <c r="BF36" s="100">
        <f t="shared" si="25"/>
        <v>15203656519.057467</v>
      </c>
      <c r="BG36" s="100">
        <f t="shared" si="25"/>
        <v>15203656519.057467</v>
      </c>
      <c r="BH36" s="100">
        <f t="shared" si="25"/>
        <v>15203656519.057467</v>
      </c>
      <c r="BI36" s="100">
        <f t="shared" si="25"/>
        <v>15203656519.057467</v>
      </c>
      <c r="BJ36" s="100">
        <f t="shared" si="25"/>
        <v>15203656519.057467</v>
      </c>
      <c r="BK36" s="100">
        <f t="shared" si="25"/>
        <v>15203656519.057467</v>
      </c>
      <c r="BL36" s="100">
        <f t="shared" si="25"/>
        <v>15203656519.057467</v>
      </c>
      <c r="BM36" s="100">
        <f t="shared" si="25"/>
        <v>15203656519.057467</v>
      </c>
      <c r="BN36" s="100">
        <f t="shared" si="25"/>
        <v>15203656519.057467</v>
      </c>
      <c r="BO36" s="100">
        <f t="shared" si="25"/>
        <v>15203656519.057467</v>
      </c>
      <c r="BP36" s="100">
        <f t="shared" si="25"/>
        <v>15203656519.057467</v>
      </c>
      <c r="BQ36" s="100">
        <f t="shared" si="25"/>
        <v>15203656519.057467</v>
      </c>
      <c r="BR36" s="100">
        <f t="shared" si="25"/>
        <v>15203656519.057467</v>
      </c>
      <c r="BS36" s="100">
        <f t="shared" si="25"/>
        <v>15203656519.057467</v>
      </c>
      <c r="BT36" s="100">
        <f t="shared" si="25"/>
        <v>15203656519.057467</v>
      </c>
      <c r="BU36" s="100">
        <f t="shared" si="25"/>
        <v>15203656519.057467</v>
      </c>
      <c r="BV36" s="100">
        <f t="shared" si="25"/>
        <v>15203656519.057467</v>
      </c>
      <c r="BW36" s="100">
        <f t="shared" si="25"/>
        <v>15203656519.057467</v>
      </c>
      <c r="BX36" s="100">
        <f t="shared" si="25"/>
        <v>15203656519.057467</v>
      </c>
      <c r="BY36" s="100">
        <f t="shared" si="25"/>
        <v>15203656519.057467</v>
      </c>
      <c r="BZ36" s="100">
        <f t="shared" si="25"/>
        <v>15203656519.057467</v>
      </c>
      <c r="CA36" s="100">
        <f t="shared" si="25"/>
        <v>15203656519.057467</v>
      </c>
      <c r="CB36" s="100">
        <f t="shared" si="25"/>
        <v>15203656519.057467</v>
      </c>
      <c r="CC36" s="49">
        <f t="shared" si="3"/>
        <v>3040731.3038114933</v>
      </c>
      <c r="CD36" s="101">
        <f>IFERROR(up_RadSpec!$H$26*(CD26/$B36),".")</f>
        <v>760182.82595287333</v>
      </c>
      <c r="CE36" s="101">
        <f>IFERROR(up_RadSpec!$H$26*(CE26/$B36),".")</f>
        <v>760182.82595287333</v>
      </c>
      <c r="CF36" s="101">
        <f>IFERROR(up_RadSpec!$H$26*(CF26/$B36),".")</f>
        <v>760182.82595287333</v>
      </c>
      <c r="CG36" s="101">
        <f>IFERROR(up_RadSpec!$H$26*(CG26/$B36),".")</f>
        <v>760182.82595287333</v>
      </c>
      <c r="CH36" s="101">
        <f>IFERROR(up_RadSpec!$H$26*(CH26/$B36),".")</f>
        <v>760182.82595287333</v>
      </c>
      <c r="CI36" s="101">
        <f>IFERROR(up_RadSpec!$H$26*(CI26/$B36),".")</f>
        <v>760182.82595287333</v>
      </c>
      <c r="CJ36" s="101">
        <f>IFERROR(up_RadSpec!$H$26*(CJ26/$B36),".")</f>
        <v>760182.82595287333</v>
      </c>
      <c r="CK36" s="101">
        <f>IFERROR(up_RadSpec!$H$26*(CK26/$B36),".")</f>
        <v>760182.82595287333</v>
      </c>
      <c r="CL36" s="101">
        <f>IFERROR(up_RadSpec!$H$26*(CL26/$B36),".")</f>
        <v>760182.82595287333</v>
      </c>
      <c r="CM36" s="101">
        <f>IFERROR(up_RadSpec!$H$26*(CM26/$B36),".")</f>
        <v>760182.82595287333</v>
      </c>
      <c r="CN36" s="101">
        <f>IFERROR(up_RadSpec!$H$26*(CN26/$B36),".")</f>
        <v>760182.82595287333</v>
      </c>
      <c r="CO36" s="101">
        <f>IFERROR(up_RadSpec!$H$26*(CO26/$B36),".")</f>
        <v>760182.82595287333</v>
      </c>
      <c r="CP36" s="101">
        <f>IFERROR(up_RadSpec!$H$26*(CP26/$B36),".")</f>
        <v>760182.82595287333</v>
      </c>
      <c r="CQ36" s="101">
        <f>IFERROR(up_RadSpec!$H$26*(CQ26/$B36),".")</f>
        <v>760182.82595287333</v>
      </c>
      <c r="CR36" s="101">
        <f>IFERROR(up_RadSpec!$H$26*(CR26/$B36),".")</f>
        <v>760182.82595287333</v>
      </c>
      <c r="CS36" s="101">
        <f>IFERROR(up_RadSpec!$H$26*(CS26/$B36),".")</f>
        <v>760182.82595287333</v>
      </c>
      <c r="CT36" s="101">
        <f>IFERROR(up_RadSpec!$H$26*(CT26/$B36),".")</f>
        <v>760182.82595287333</v>
      </c>
      <c r="CU36" s="101">
        <f>IFERROR(up_RadSpec!$H$26*(CU26/$B36),".")</f>
        <v>760182.82595287333</v>
      </c>
      <c r="CV36" s="101">
        <f>IFERROR(up_RadSpec!$H$26*(CV26/$B36),".")</f>
        <v>760182.82595287333</v>
      </c>
      <c r="CW36" s="101">
        <f>IFERROR(up_RadSpec!$H$26*(CW26/$B36),".")</f>
        <v>760182.82595287333</v>
      </c>
      <c r="CX36" s="101">
        <f>IFERROR(up_RadSpec!$H$26*(CX26/$B36),".")</f>
        <v>760182.82595287333</v>
      </c>
      <c r="CY36" s="101">
        <f>IFERROR(up_RadSpec!$H$26*(CY26/$B36),".")</f>
        <v>760182.82595287333</v>
      </c>
      <c r="CZ36" s="101">
        <f>IFERROR(up_RadSpec!$H$26*(CZ26/$B36),".")</f>
        <v>760182.82595287333</v>
      </c>
      <c r="DA36" s="101">
        <f>IFERROR(up_RadSpec!$H$26*(DA26/$B36),".")</f>
        <v>760182.82595287333</v>
      </c>
      <c r="DB36" s="101">
        <f>IFERROR(up_RadSpec!$H$26*(DB26/$B36),".")</f>
        <v>760182.82595287333</v>
      </c>
    </row>
    <row r="37" spans="1:106" s="42" customFormat="1" x14ac:dyDescent="0.25">
      <c r="A37" s="99" t="s">
        <v>1079</v>
      </c>
      <c r="B37" s="90">
        <v>1</v>
      </c>
      <c r="C37" s="100">
        <f t="shared" ref="C37" si="26">IFERROR($B37/C22,0)</f>
        <v>60814626076.229866</v>
      </c>
      <c r="D37" s="100">
        <f t="shared" ref="D37:AB37" si="27">IFERROR($B37/D22,0)</f>
        <v>15203656519.057467</v>
      </c>
      <c r="E37" s="100">
        <f t="shared" si="27"/>
        <v>15203656519.057467</v>
      </c>
      <c r="F37" s="100">
        <f t="shared" si="27"/>
        <v>15203656519.057467</v>
      </c>
      <c r="G37" s="100">
        <f t="shared" si="27"/>
        <v>15203656519.057467</v>
      </c>
      <c r="H37" s="100">
        <f t="shared" si="27"/>
        <v>15203656519.057467</v>
      </c>
      <c r="I37" s="100">
        <f t="shared" si="27"/>
        <v>15203656519.057467</v>
      </c>
      <c r="J37" s="100">
        <f t="shared" si="27"/>
        <v>15203656519.057467</v>
      </c>
      <c r="K37" s="100">
        <f t="shared" si="27"/>
        <v>15203656519.057467</v>
      </c>
      <c r="L37" s="100">
        <f t="shared" si="27"/>
        <v>15203656519.057467</v>
      </c>
      <c r="M37" s="100">
        <f t="shared" si="27"/>
        <v>15203656519.057467</v>
      </c>
      <c r="N37" s="100">
        <f t="shared" si="27"/>
        <v>15203656519.057467</v>
      </c>
      <c r="O37" s="100">
        <f t="shared" si="27"/>
        <v>15203656519.057467</v>
      </c>
      <c r="P37" s="100">
        <f t="shared" si="27"/>
        <v>15203656519.057467</v>
      </c>
      <c r="Q37" s="100">
        <f t="shared" si="27"/>
        <v>15203656519.057467</v>
      </c>
      <c r="R37" s="100">
        <f t="shared" si="27"/>
        <v>15203656519.057467</v>
      </c>
      <c r="S37" s="100">
        <f t="shared" si="27"/>
        <v>15203656519.057467</v>
      </c>
      <c r="T37" s="100">
        <f t="shared" si="27"/>
        <v>15203656519.057467</v>
      </c>
      <c r="U37" s="100">
        <f t="shared" si="27"/>
        <v>15203656519.057467</v>
      </c>
      <c r="V37" s="100">
        <f t="shared" si="27"/>
        <v>15203656519.057467</v>
      </c>
      <c r="W37" s="100">
        <f t="shared" si="27"/>
        <v>15203656519.057467</v>
      </c>
      <c r="X37" s="100">
        <f t="shared" si="27"/>
        <v>15203656519.057467</v>
      </c>
      <c r="Y37" s="100">
        <f t="shared" si="27"/>
        <v>15203656519.057467</v>
      </c>
      <c r="Z37" s="100">
        <f t="shared" si="27"/>
        <v>15203656519.057467</v>
      </c>
      <c r="AA37" s="100">
        <f t="shared" si="27"/>
        <v>15203656519.057467</v>
      </c>
      <c r="AB37" s="100">
        <f t="shared" si="27"/>
        <v>15203656519.057467</v>
      </c>
      <c r="AC37" s="49">
        <f t="shared" si="1"/>
        <v>3040731.3038114933</v>
      </c>
      <c r="AD37" s="101">
        <f>IFERROR(up_RadSpec!$H$22*(AD22/$B37),".")</f>
        <v>760182.82595287333</v>
      </c>
      <c r="AE37" s="101">
        <f>IFERROR(up_RadSpec!$H$22*(AE22/$B37),".")</f>
        <v>760182.82595287333</v>
      </c>
      <c r="AF37" s="101">
        <f>IFERROR(up_RadSpec!$H$22*(AF22/$B37),".")</f>
        <v>760182.82595287333</v>
      </c>
      <c r="AG37" s="101">
        <f>IFERROR(up_RadSpec!$H$22*(AG22/$B37),".")</f>
        <v>760182.82595287333</v>
      </c>
      <c r="AH37" s="101">
        <f>IFERROR(up_RadSpec!$H$22*(AH22/$B37),".")</f>
        <v>760182.82595287333</v>
      </c>
      <c r="AI37" s="101">
        <f>IFERROR(up_RadSpec!$H$22*(AI22/$B37),".")</f>
        <v>760182.82595287333</v>
      </c>
      <c r="AJ37" s="101">
        <f>IFERROR(up_RadSpec!$H$22*(AJ22/$B37),".")</f>
        <v>760182.82595287333</v>
      </c>
      <c r="AK37" s="101">
        <f>IFERROR(up_RadSpec!$H$22*(AK22/$B37),".")</f>
        <v>760182.82595287333</v>
      </c>
      <c r="AL37" s="101">
        <f>IFERROR(up_RadSpec!$H$22*(AL22/$B37),".")</f>
        <v>760182.82595287333</v>
      </c>
      <c r="AM37" s="101">
        <f>IFERROR(up_RadSpec!$H$22*(AM22/$B37),".")</f>
        <v>760182.82595287333</v>
      </c>
      <c r="AN37" s="101">
        <f>IFERROR(up_RadSpec!$H$22*(AN22/$B37),".")</f>
        <v>760182.82595287333</v>
      </c>
      <c r="AO37" s="101">
        <f>IFERROR(up_RadSpec!$H$22*(AO22/$B37),".")</f>
        <v>760182.82595287333</v>
      </c>
      <c r="AP37" s="101">
        <f>IFERROR(up_RadSpec!$H$22*(AP22/$B37),".")</f>
        <v>760182.82595287333</v>
      </c>
      <c r="AQ37" s="101">
        <f>IFERROR(up_RadSpec!$H$22*(AQ22/$B37),".")</f>
        <v>760182.82595287333</v>
      </c>
      <c r="AR37" s="101">
        <f>IFERROR(up_RadSpec!$H$22*(AR22/$B37),".")</f>
        <v>760182.82595287333</v>
      </c>
      <c r="AS37" s="101">
        <f>IFERROR(up_RadSpec!$H$22*(AS22/$B37),".")</f>
        <v>760182.82595287333</v>
      </c>
      <c r="AT37" s="101">
        <f>IFERROR(up_RadSpec!$H$22*(AT22/$B37),".")</f>
        <v>760182.82595287333</v>
      </c>
      <c r="AU37" s="101">
        <f>IFERROR(up_RadSpec!$H$22*(AU22/$B37),".")</f>
        <v>760182.82595287333</v>
      </c>
      <c r="AV37" s="101">
        <f>IFERROR(up_RadSpec!$H$22*(AV22/$B37),".")</f>
        <v>760182.82595287333</v>
      </c>
      <c r="AW37" s="101">
        <f>IFERROR(up_RadSpec!$H$22*(AW22/$B37),".")</f>
        <v>760182.82595287333</v>
      </c>
      <c r="AX37" s="101">
        <f>IFERROR(up_RadSpec!$H$22*(AX22/$B37),".")</f>
        <v>760182.82595287333</v>
      </c>
      <c r="AY37" s="101">
        <f>IFERROR(up_RadSpec!$H$22*(AY22/$B37),".")</f>
        <v>760182.82595287333</v>
      </c>
      <c r="AZ37" s="101">
        <f>IFERROR(up_RadSpec!$H$22*(AZ22/$B37),".")</f>
        <v>760182.82595287333</v>
      </c>
      <c r="BA37" s="101">
        <f>IFERROR(up_RadSpec!$H$22*(BA22/$B37),".")</f>
        <v>760182.82595287333</v>
      </c>
      <c r="BB37" s="101">
        <f>IFERROR(up_RadSpec!$H$22*(BB22/$B37),".")</f>
        <v>760182.82595287333</v>
      </c>
      <c r="BC37" s="100">
        <f t="shared" ref="BC37" si="28">IFERROR($B37/BC22,0)</f>
        <v>60814626076.229866</v>
      </c>
      <c r="BD37" s="100">
        <f t="shared" ref="BD37:CB37" si="29">IFERROR($B37/BD22,0)</f>
        <v>15203656519.057467</v>
      </c>
      <c r="BE37" s="100">
        <f t="shared" si="29"/>
        <v>15203656519.057467</v>
      </c>
      <c r="BF37" s="100">
        <f t="shared" si="29"/>
        <v>15203656519.057467</v>
      </c>
      <c r="BG37" s="100">
        <f t="shared" si="29"/>
        <v>15203656519.057467</v>
      </c>
      <c r="BH37" s="100">
        <f t="shared" si="29"/>
        <v>15203656519.057467</v>
      </c>
      <c r="BI37" s="100">
        <f t="shared" si="29"/>
        <v>15203656519.057467</v>
      </c>
      <c r="BJ37" s="100">
        <f t="shared" si="29"/>
        <v>15203656519.057467</v>
      </c>
      <c r="BK37" s="100">
        <f t="shared" si="29"/>
        <v>15203656519.057467</v>
      </c>
      <c r="BL37" s="100">
        <f t="shared" si="29"/>
        <v>15203656519.057467</v>
      </c>
      <c r="BM37" s="100">
        <f t="shared" si="29"/>
        <v>15203656519.057467</v>
      </c>
      <c r="BN37" s="100">
        <f t="shared" si="29"/>
        <v>15203656519.057467</v>
      </c>
      <c r="BO37" s="100">
        <f t="shared" si="29"/>
        <v>15203656519.057467</v>
      </c>
      <c r="BP37" s="100">
        <f t="shared" si="29"/>
        <v>15203656519.057467</v>
      </c>
      <c r="BQ37" s="100">
        <f t="shared" si="29"/>
        <v>15203656519.057467</v>
      </c>
      <c r="BR37" s="100">
        <f t="shared" si="29"/>
        <v>15203656519.057467</v>
      </c>
      <c r="BS37" s="100">
        <f t="shared" si="29"/>
        <v>15203656519.057467</v>
      </c>
      <c r="BT37" s="100">
        <f t="shared" si="29"/>
        <v>15203656519.057467</v>
      </c>
      <c r="BU37" s="100">
        <f t="shared" si="29"/>
        <v>15203656519.057467</v>
      </c>
      <c r="BV37" s="100">
        <f t="shared" si="29"/>
        <v>15203656519.057467</v>
      </c>
      <c r="BW37" s="100">
        <f t="shared" si="29"/>
        <v>15203656519.057467</v>
      </c>
      <c r="BX37" s="100">
        <f t="shared" si="29"/>
        <v>15203656519.057467</v>
      </c>
      <c r="BY37" s="100">
        <f t="shared" si="29"/>
        <v>15203656519.057467</v>
      </c>
      <c r="BZ37" s="100">
        <f t="shared" si="29"/>
        <v>15203656519.057467</v>
      </c>
      <c r="CA37" s="100">
        <f t="shared" si="29"/>
        <v>15203656519.057467</v>
      </c>
      <c r="CB37" s="100">
        <f t="shared" si="29"/>
        <v>15203656519.057467</v>
      </c>
      <c r="CC37" s="49">
        <f t="shared" si="3"/>
        <v>3040731.3038114933</v>
      </c>
      <c r="CD37" s="101">
        <f>IFERROR(up_RadSpec!$H$22*(CD22/$B37),".")</f>
        <v>760182.82595287333</v>
      </c>
      <c r="CE37" s="101">
        <f>IFERROR(up_RadSpec!$H$22*(CE22/$B37),".")</f>
        <v>760182.82595287333</v>
      </c>
      <c r="CF37" s="101">
        <f>IFERROR(up_RadSpec!$H$22*(CF22/$B37),".")</f>
        <v>760182.82595287333</v>
      </c>
      <c r="CG37" s="101">
        <f>IFERROR(up_RadSpec!$H$22*(CG22/$B37),".")</f>
        <v>760182.82595287333</v>
      </c>
      <c r="CH37" s="101">
        <f>IFERROR(up_RadSpec!$H$22*(CH22/$B37),".")</f>
        <v>760182.82595287333</v>
      </c>
      <c r="CI37" s="101">
        <f>IFERROR(up_RadSpec!$H$22*(CI22/$B37),".")</f>
        <v>760182.82595287333</v>
      </c>
      <c r="CJ37" s="101">
        <f>IFERROR(up_RadSpec!$H$22*(CJ22/$B37),".")</f>
        <v>760182.82595287333</v>
      </c>
      <c r="CK37" s="101">
        <f>IFERROR(up_RadSpec!$H$22*(CK22/$B37),".")</f>
        <v>760182.82595287333</v>
      </c>
      <c r="CL37" s="101">
        <f>IFERROR(up_RadSpec!$H$22*(CL22/$B37),".")</f>
        <v>760182.82595287333</v>
      </c>
      <c r="CM37" s="101">
        <f>IFERROR(up_RadSpec!$H$22*(CM22/$B37),".")</f>
        <v>760182.82595287333</v>
      </c>
      <c r="CN37" s="101">
        <f>IFERROR(up_RadSpec!$H$22*(CN22/$B37),".")</f>
        <v>760182.82595287333</v>
      </c>
      <c r="CO37" s="101">
        <f>IFERROR(up_RadSpec!$H$22*(CO22/$B37),".")</f>
        <v>760182.82595287333</v>
      </c>
      <c r="CP37" s="101">
        <f>IFERROR(up_RadSpec!$H$22*(CP22/$B37),".")</f>
        <v>760182.82595287333</v>
      </c>
      <c r="CQ37" s="101">
        <f>IFERROR(up_RadSpec!$H$22*(CQ22/$B37),".")</f>
        <v>760182.82595287333</v>
      </c>
      <c r="CR37" s="101">
        <f>IFERROR(up_RadSpec!$H$22*(CR22/$B37),".")</f>
        <v>760182.82595287333</v>
      </c>
      <c r="CS37" s="101">
        <f>IFERROR(up_RadSpec!$H$22*(CS22/$B37),".")</f>
        <v>760182.82595287333</v>
      </c>
      <c r="CT37" s="101">
        <f>IFERROR(up_RadSpec!$H$22*(CT22/$B37),".")</f>
        <v>760182.82595287333</v>
      </c>
      <c r="CU37" s="101">
        <f>IFERROR(up_RadSpec!$H$22*(CU22/$B37),".")</f>
        <v>760182.82595287333</v>
      </c>
      <c r="CV37" s="101">
        <f>IFERROR(up_RadSpec!$H$22*(CV22/$B37),".")</f>
        <v>760182.82595287333</v>
      </c>
      <c r="CW37" s="101">
        <f>IFERROR(up_RadSpec!$H$22*(CW22/$B37),".")</f>
        <v>760182.82595287333</v>
      </c>
      <c r="CX37" s="101">
        <f>IFERROR(up_RadSpec!$H$22*(CX22/$B37),".")</f>
        <v>760182.82595287333</v>
      </c>
      <c r="CY37" s="101">
        <f>IFERROR(up_RadSpec!$H$22*(CY22/$B37),".")</f>
        <v>760182.82595287333</v>
      </c>
      <c r="CZ37" s="101">
        <f>IFERROR(up_RadSpec!$H$22*(CZ22/$B37),".")</f>
        <v>760182.82595287333</v>
      </c>
      <c r="DA37" s="101">
        <f>IFERROR(up_RadSpec!$H$22*(DA22/$B37),".")</f>
        <v>760182.82595287333</v>
      </c>
      <c r="DB37" s="101">
        <f>IFERROR(up_RadSpec!$H$22*(DB22/$B37),".")</f>
        <v>760182.82595287333</v>
      </c>
    </row>
    <row r="38" spans="1:106" s="42" customFormat="1" x14ac:dyDescent="0.25">
      <c r="A38" s="99" t="s">
        <v>1080</v>
      </c>
      <c r="B38" s="90">
        <v>1</v>
      </c>
      <c r="C38" s="100">
        <f t="shared" ref="C38" si="30">IFERROR($B38/C2,0)</f>
        <v>60814626076.229866</v>
      </c>
      <c r="D38" s="100">
        <f t="shared" ref="D38:AB38" si="31">IFERROR($B38/D2,0)</f>
        <v>15203656519.057467</v>
      </c>
      <c r="E38" s="100">
        <f t="shared" si="31"/>
        <v>15203656519.057467</v>
      </c>
      <c r="F38" s="100">
        <f t="shared" si="31"/>
        <v>15203656519.057467</v>
      </c>
      <c r="G38" s="100">
        <f t="shared" si="31"/>
        <v>15203656519.057467</v>
      </c>
      <c r="H38" s="100">
        <f t="shared" si="31"/>
        <v>15203656519.057467</v>
      </c>
      <c r="I38" s="100">
        <f t="shared" si="31"/>
        <v>15203656519.057467</v>
      </c>
      <c r="J38" s="100">
        <f t="shared" si="31"/>
        <v>15203656519.057467</v>
      </c>
      <c r="K38" s="100">
        <f t="shared" si="31"/>
        <v>15203656519.057467</v>
      </c>
      <c r="L38" s="100">
        <f t="shared" si="31"/>
        <v>15203656519.057467</v>
      </c>
      <c r="M38" s="100">
        <f t="shared" si="31"/>
        <v>15203656519.057467</v>
      </c>
      <c r="N38" s="100">
        <f t="shared" si="31"/>
        <v>15203656519.057467</v>
      </c>
      <c r="O38" s="100">
        <f t="shared" si="31"/>
        <v>15203656519.057467</v>
      </c>
      <c r="P38" s="100">
        <f t="shared" si="31"/>
        <v>15203656519.057467</v>
      </c>
      <c r="Q38" s="100">
        <f t="shared" si="31"/>
        <v>15203656519.057467</v>
      </c>
      <c r="R38" s="100">
        <f t="shared" si="31"/>
        <v>15203656519.057467</v>
      </c>
      <c r="S38" s="100">
        <f t="shared" si="31"/>
        <v>15203656519.057467</v>
      </c>
      <c r="T38" s="100">
        <f t="shared" si="31"/>
        <v>15203656519.057467</v>
      </c>
      <c r="U38" s="100">
        <f t="shared" si="31"/>
        <v>15203656519.057467</v>
      </c>
      <c r="V38" s="100">
        <f t="shared" si="31"/>
        <v>15203656519.057467</v>
      </c>
      <c r="W38" s="100">
        <f t="shared" si="31"/>
        <v>15203656519.057467</v>
      </c>
      <c r="X38" s="100">
        <f t="shared" si="31"/>
        <v>15203656519.057467</v>
      </c>
      <c r="Y38" s="100">
        <f t="shared" si="31"/>
        <v>15203656519.057467</v>
      </c>
      <c r="Z38" s="100">
        <f t="shared" si="31"/>
        <v>15203656519.057467</v>
      </c>
      <c r="AA38" s="100">
        <f t="shared" si="31"/>
        <v>15203656519.057467</v>
      </c>
      <c r="AB38" s="100">
        <f t="shared" si="31"/>
        <v>15203656519.057467</v>
      </c>
      <c r="AC38" s="49">
        <f t="shared" si="1"/>
        <v>3040731.3038114933</v>
      </c>
      <c r="AD38" s="101">
        <f>IFERROR(up_RadSpec!$H$2*(AD2/$B38),".")</f>
        <v>760182.82595287333</v>
      </c>
      <c r="AE38" s="101">
        <f>IFERROR(up_RadSpec!$H$2*(AE2/$B38),".")</f>
        <v>760182.82595287333</v>
      </c>
      <c r="AF38" s="101">
        <f>IFERROR(up_RadSpec!$H$2*(AF2/$B38),".")</f>
        <v>760182.82595287333</v>
      </c>
      <c r="AG38" s="101">
        <f>IFERROR(up_RadSpec!$H$2*(AG2/$B38),".")</f>
        <v>760182.82595287333</v>
      </c>
      <c r="AH38" s="101">
        <f>IFERROR(up_RadSpec!$H$2*(AH2/$B38),".")</f>
        <v>760182.82595287333</v>
      </c>
      <c r="AI38" s="101">
        <f>IFERROR(up_RadSpec!$H$2*(AI2/$B38),".")</f>
        <v>760182.82595287333</v>
      </c>
      <c r="AJ38" s="101">
        <f>IFERROR(up_RadSpec!$H$2*(AJ2/$B38),".")</f>
        <v>760182.82595287333</v>
      </c>
      <c r="AK38" s="101">
        <f>IFERROR(up_RadSpec!$H$2*(AK2/$B38),".")</f>
        <v>760182.82595287333</v>
      </c>
      <c r="AL38" s="101">
        <f>IFERROR(up_RadSpec!$H$2*(AL2/$B38),".")</f>
        <v>760182.82595287333</v>
      </c>
      <c r="AM38" s="101">
        <f>IFERROR(up_RadSpec!$H$2*(AM2/$B38),".")</f>
        <v>760182.82595287333</v>
      </c>
      <c r="AN38" s="101">
        <f>IFERROR(up_RadSpec!$H$2*(AN2/$B38),".")</f>
        <v>760182.82595287333</v>
      </c>
      <c r="AO38" s="101">
        <f>IFERROR(up_RadSpec!$H$2*(AO2/$B38),".")</f>
        <v>760182.82595287333</v>
      </c>
      <c r="AP38" s="101">
        <f>IFERROR(up_RadSpec!$H$2*(AP2/$B38),".")</f>
        <v>760182.82595287333</v>
      </c>
      <c r="AQ38" s="101">
        <f>IFERROR(up_RadSpec!$H$2*(AQ2/$B38),".")</f>
        <v>760182.82595287333</v>
      </c>
      <c r="AR38" s="101">
        <f>IFERROR(up_RadSpec!$H$2*(AR2/$B38),".")</f>
        <v>760182.82595287333</v>
      </c>
      <c r="AS38" s="101">
        <f>IFERROR(up_RadSpec!$H$2*(AS2/$B38),".")</f>
        <v>760182.82595287333</v>
      </c>
      <c r="AT38" s="101">
        <f>IFERROR(up_RadSpec!$H$2*(AT2/$B38),".")</f>
        <v>760182.82595287333</v>
      </c>
      <c r="AU38" s="101">
        <f>IFERROR(up_RadSpec!$H$2*(AU2/$B38),".")</f>
        <v>760182.82595287333</v>
      </c>
      <c r="AV38" s="101">
        <f>IFERROR(up_RadSpec!$H$2*(AV2/$B38),".")</f>
        <v>760182.82595287333</v>
      </c>
      <c r="AW38" s="101">
        <f>IFERROR(up_RadSpec!$H$2*(AW2/$B38),".")</f>
        <v>760182.82595287333</v>
      </c>
      <c r="AX38" s="101">
        <f>IFERROR(up_RadSpec!$H$2*(AX2/$B38),".")</f>
        <v>760182.82595287333</v>
      </c>
      <c r="AY38" s="101">
        <f>IFERROR(up_RadSpec!$H$2*(AY2/$B38),".")</f>
        <v>760182.82595287333</v>
      </c>
      <c r="AZ38" s="101">
        <f>IFERROR(up_RadSpec!$H$2*(AZ2/$B38),".")</f>
        <v>760182.82595287333</v>
      </c>
      <c r="BA38" s="101">
        <f>IFERROR(up_RadSpec!$H$2*(BA2/$B38),".")</f>
        <v>760182.82595287333</v>
      </c>
      <c r="BB38" s="101">
        <f>IFERROR(up_RadSpec!$H$2*(BB2/$B38),".")</f>
        <v>760182.82595287333</v>
      </c>
      <c r="BC38" s="100">
        <f t="shared" ref="BC38" si="32">IFERROR($B38/BC2,0)</f>
        <v>60814626076.229866</v>
      </c>
      <c r="BD38" s="100">
        <f t="shared" ref="BD38:CB38" si="33">IFERROR($B38/BD2,0)</f>
        <v>15203656519.057467</v>
      </c>
      <c r="BE38" s="100">
        <f t="shared" si="33"/>
        <v>15203656519.057467</v>
      </c>
      <c r="BF38" s="100">
        <f t="shared" si="33"/>
        <v>15203656519.057467</v>
      </c>
      <c r="BG38" s="100">
        <f t="shared" si="33"/>
        <v>15203656519.057467</v>
      </c>
      <c r="BH38" s="100">
        <f t="shared" si="33"/>
        <v>15203656519.057467</v>
      </c>
      <c r="BI38" s="100">
        <f t="shared" si="33"/>
        <v>15203656519.057467</v>
      </c>
      <c r="BJ38" s="100">
        <f t="shared" si="33"/>
        <v>15203656519.057467</v>
      </c>
      <c r="BK38" s="100">
        <f t="shared" si="33"/>
        <v>15203656519.057467</v>
      </c>
      <c r="BL38" s="100">
        <f t="shared" si="33"/>
        <v>15203656519.057467</v>
      </c>
      <c r="BM38" s="100">
        <f t="shared" si="33"/>
        <v>15203656519.057467</v>
      </c>
      <c r="BN38" s="100">
        <f t="shared" si="33"/>
        <v>15203656519.057467</v>
      </c>
      <c r="BO38" s="100">
        <f t="shared" si="33"/>
        <v>15203656519.057467</v>
      </c>
      <c r="BP38" s="100">
        <f t="shared" si="33"/>
        <v>15203656519.057467</v>
      </c>
      <c r="BQ38" s="100">
        <f t="shared" si="33"/>
        <v>15203656519.057467</v>
      </c>
      <c r="BR38" s="100">
        <f t="shared" si="33"/>
        <v>15203656519.057467</v>
      </c>
      <c r="BS38" s="100">
        <f t="shared" si="33"/>
        <v>15203656519.057467</v>
      </c>
      <c r="BT38" s="100">
        <f t="shared" si="33"/>
        <v>15203656519.057467</v>
      </c>
      <c r="BU38" s="100">
        <f t="shared" si="33"/>
        <v>15203656519.057467</v>
      </c>
      <c r="BV38" s="100">
        <f t="shared" si="33"/>
        <v>15203656519.057467</v>
      </c>
      <c r="BW38" s="100">
        <f t="shared" si="33"/>
        <v>15203656519.057467</v>
      </c>
      <c r="BX38" s="100">
        <f t="shared" si="33"/>
        <v>15203656519.057467</v>
      </c>
      <c r="BY38" s="100">
        <f t="shared" si="33"/>
        <v>15203656519.057467</v>
      </c>
      <c r="BZ38" s="100">
        <f t="shared" si="33"/>
        <v>15203656519.057467</v>
      </c>
      <c r="CA38" s="100">
        <f t="shared" si="33"/>
        <v>15203656519.057467</v>
      </c>
      <c r="CB38" s="100">
        <f t="shared" si="33"/>
        <v>15203656519.057467</v>
      </c>
      <c r="CC38" s="49">
        <f t="shared" si="3"/>
        <v>3040731.3038114933</v>
      </c>
      <c r="CD38" s="101">
        <f>IFERROR(up_RadSpec!$H$2*(CD2/$B38),".")</f>
        <v>760182.82595287333</v>
      </c>
      <c r="CE38" s="101">
        <f>IFERROR(up_RadSpec!$H$2*(CE2/$B38),".")</f>
        <v>760182.82595287333</v>
      </c>
      <c r="CF38" s="101">
        <f>IFERROR(up_RadSpec!$H$2*(CF2/$B38),".")</f>
        <v>760182.82595287333</v>
      </c>
      <c r="CG38" s="101">
        <f>IFERROR(up_RadSpec!$H$2*(CG2/$B38),".")</f>
        <v>760182.82595287333</v>
      </c>
      <c r="CH38" s="101">
        <f>IFERROR(up_RadSpec!$H$2*(CH2/$B38),".")</f>
        <v>760182.82595287333</v>
      </c>
      <c r="CI38" s="101">
        <f>IFERROR(up_RadSpec!$H$2*(CI2/$B38),".")</f>
        <v>760182.82595287333</v>
      </c>
      <c r="CJ38" s="101">
        <f>IFERROR(up_RadSpec!$H$2*(CJ2/$B38),".")</f>
        <v>760182.82595287333</v>
      </c>
      <c r="CK38" s="101">
        <f>IFERROR(up_RadSpec!$H$2*(CK2/$B38),".")</f>
        <v>760182.82595287333</v>
      </c>
      <c r="CL38" s="101">
        <f>IFERROR(up_RadSpec!$H$2*(CL2/$B38),".")</f>
        <v>760182.82595287333</v>
      </c>
      <c r="CM38" s="101">
        <f>IFERROR(up_RadSpec!$H$2*(CM2/$B38),".")</f>
        <v>760182.82595287333</v>
      </c>
      <c r="CN38" s="101">
        <f>IFERROR(up_RadSpec!$H$2*(CN2/$B38),".")</f>
        <v>760182.82595287333</v>
      </c>
      <c r="CO38" s="101">
        <f>IFERROR(up_RadSpec!$H$2*(CO2/$B38),".")</f>
        <v>760182.82595287333</v>
      </c>
      <c r="CP38" s="101">
        <f>IFERROR(up_RadSpec!$H$2*(CP2/$B38),".")</f>
        <v>760182.82595287333</v>
      </c>
      <c r="CQ38" s="101">
        <f>IFERROR(up_RadSpec!$H$2*(CQ2/$B38),".")</f>
        <v>760182.82595287333</v>
      </c>
      <c r="CR38" s="101">
        <f>IFERROR(up_RadSpec!$H$2*(CR2/$B38),".")</f>
        <v>760182.82595287333</v>
      </c>
      <c r="CS38" s="101">
        <f>IFERROR(up_RadSpec!$H$2*(CS2/$B38),".")</f>
        <v>760182.82595287333</v>
      </c>
      <c r="CT38" s="101">
        <f>IFERROR(up_RadSpec!$H$2*(CT2/$B38),".")</f>
        <v>760182.82595287333</v>
      </c>
      <c r="CU38" s="101">
        <f>IFERROR(up_RadSpec!$H$2*(CU2/$B38),".")</f>
        <v>760182.82595287333</v>
      </c>
      <c r="CV38" s="101">
        <f>IFERROR(up_RadSpec!$H$2*(CV2/$B38),".")</f>
        <v>760182.82595287333</v>
      </c>
      <c r="CW38" s="101">
        <f>IFERROR(up_RadSpec!$H$2*(CW2/$B38),".")</f>
        <v>760182.82595287333</v>
      </c>
      <c r="CX38" s="101">
        <f>IFERROR(up_RadSpec!$H$2*(CX2/$B38),".")</f>
        <v>760182.82595287333</v>
      </c>
      <c r="CY38" s="101">
        <f>IFERROR(up_RadSpec!$H$2*(CY2/$B38),".")</f>
        <v>760182.82595287333</v>
      </c>
      <c r="CZ38" s="101">
        <f>IFERROR(up_RadSpec!$H$2*(CZ2/$B38),".")</f>
        <v>760182.82595287333</v>
      </c>
      <c r="DA38" s="101">
        <f>IFERROR(up_RadSpec!$H$2*(DA2/$B38),".")</f>
        <v>760182.82595287333</v>
      </c>
      <c r="DB38" s="101">
        <f>IFERROR(up_RadSpec!$H$2*(DB2/$B38),".")</f>
        <v>760182.82595287333</v>
      </c>
    </row>
    <row r="39" spans="1:106" s="42" customFormat="1" x14ac:dyDescent="0.25">
      <c r="A39" s="99" t="s">
        <v>1081</v>
      </c>
      <c r="B39" s="90">
        <v>1</v>
      </c>
      <c r="C39" s="100">
        <f t="shared" ref="C39" si="34">IFERROR($B39/C11,0)</f>
        <v>60814626076.229866</v>
      </c>
      <c r="D39" s="100">
        <f t="shared" ref="D39:AB39" si="35">IFERROR($B39/D11,0)</f>
        <v>15203656519.057467</v>
      </c>
      <c r="E39" s="100">
        <f t="shared" si="35"/>
        <v>15203656519.057467</v>
      </c>
      <c r="F39" s="100">
        <f t="shared" si="35"/>
        <v>15203656519.057467</v>
      </c>
      <c r="G39" s="100">
        <f t="shared" si="35"/>
        <v>15203656519.057467</v>
      </c>
      <c r="H39" s="100">
        <f t="shared" si="35"/>
        <v>15203656519.057467</v>
      </c>
      <c r="I39" s="100">
        <f t="shared" si="35"/>
        <v>15203656519.057467</v>
      </c>
      <c r="J39" s="100">
        <f t="shared" si="35"/>
        <v>15203656519.057467</v>
      </c>
      <c r="K39" s="100">
        <f t="shared" si="35"/>
        <v>15203656519.057467</v>
      </c>
      <c r="L39" s="100">
        <f t="shared" si="35"/>
        <v>15203656519.057467</v>
      </c>
      <c r="M39" s="100">
        <f t="shared" si="35"/>
        <v>15203656519.057467</v>
      </c>
      <c r="N39" s="100">
        <f t="shared" si="35"/>
        <v>15203656519.057467</v>
      </c>
      <c r="O39" s="100">
        <f t="shared" si="35"/>
        <v>15203656519.057467</v>
      </c>
      <c r="P39" s="100">
        <f t="shared" si="35"/>
        <v>15203656519.057467</v>
      </c>
      <c r="Q39" s="100">
        <f t="shared" si="35"/>
        <v>15203656519.057467</v>
      </c>
      <c r="R39" s="100">
        <f t="shared" si="35"/>
        <v>15203656519.057467</v>
      </c>
      <c r="S39" s="100">
        <f t="shared" si="35"/>
        <v>15203656519.057467</v>
      </c>
      <c r="T39" s="100">
        <f t="shared" si="35"/>
        <v>15203656519.057467</v>
      </c>
      <c r="U39" s="100">
        <f t="shared" si="35"/>
        <v>15203656519.057467</v>
      </c>
      <c r="V39" s="100">
        <f t="shared" si="35"/>
        <v>15203656519.057467</v>
      </c>
      <c r="W39" s="100">
        <f t="shared" si="35"/>
        <v>15203656519.057467</v>
      </c>
      <c r="X39" s="100">
        <f t="shared" si="35"/>
        <v>15203656519.057467</v>
      </c>
      <c r="Y39" s="100">
        <f t="shared" si="35"/>
        <v>15203656519.057467</v>
      </c>
      <c r="Z39" s="100">
        <f t="shared" si="35"/>
        <v>15203656519.057467</v>
      </c>
      <c r="AA39" s="100">
        <f t="shared" si="35"/>
        <v>15203656519.057467</v>
      </c>
      <c r="AB39" s="100">
        <f t="shared" si="35"/>
        <v>15203656519.057467</v>
      </c>
      <c r="AC39" s="49">
        <f t="shared" si="1"/>
        <v>3040731.3038114933</v>
      </c>
      <c r="AD39" s="101">
        <f>IFERROR(up_RadSpec!$H$11*(AD11/$B39),".")</f>
        <v>760182.82595287333</v>
      </c>
      <c r="AE39" s="101">
        <f>IFERROR(up_RadSpec!$H$11*(AE11/$B39),".")</f>
        <v>760182.82595287333</v>
      </c>
      <c r="AF39" s="101">
        <f>IFERROR(up_RadSpec!$H$11*(AF11/$B39),".")</f>
        <v>760182.82595287333</v>
      </c>
      <c r="AG39" s="101">
        <f>IFERROR(up_RadSpec!$H$11*(AG11/$B39),".")</f>
        <v>760182.82595287333</v>
      </c>
      <c r="AH39" s="101">
        <f>IFERROR(up_RadSpec!$H$11*(AH11/$B39),".")</f>
        <v>760182.82595287333</v>
      </c>
      <c r="AI39" s="101">
        <f>IFERROR(up_RadSpec!$H$11*(AI11/$B39),".")</f>
        <v>760182.82595287333</v>
      </c>
      <c r="AJ39" s="101">
        <f>IFERROR(up_RadSpec!$H$11*(AJ11/$B39),".")</f>
        <v>760182.82595287333</v>
      </c>
      <c r="AK39" s="101">
        <f>IFERROR(up_RadSpec!$H$11*(AK11/$B39),".")</f>
        <v>760182.82595287333</v>
      </c>
      <c r="AL39" s="101">
        <f>IFERROR(up_RadSpec!$H$11*(AL11/$B39),".")</f>
        <v>760182.82595287333</v>
      </c>
      <c r="AM39" s="101">
        <f>IFERROR(up_RadSpec!$H$11*(AM11/$B39),".")</f>
        <v>760182.82595287333</v>
      </c>
      <c r="AN39" s="101">
        <f>IFERROR(up_RadSpec!$H$11*(AN11/$B39),".")</f>
        <v>760182.82595287333</v>
      </c>
      <c r="AO39" s="101">
        <f>IFERROR(up_RadSpec!$H$11*(AO11/$B39),".")</f>
        <v>760182.82595287333</v>
      </c>
      <c r="AP39" s="101">
        <f>IFERROR(up_RadSpec!$H$11*(AP11/$B39),".")</f>
        <v>760182.82595287333</v>
      </c>
      <c r="AQ39" s="101">
        <f>IFERROR(up_RadSpec!$H$11*(AQ11/$B39),".")</f>
        <v>760182.82595287333</v>
      </c>
      <c r="AR39" s="101">
        <f>IFERROR(up_RadSpec!$H$11*(AR11/$B39),".")</f>
        <v>760182.82595287333</v>
      </c>
      <c r="AS39" s="101">
        <f>IFERROR(up_RadSpec!$H$11*(AS11/$B39),".")</f>
        <v>760182.82595287333</v>
      </c>
      <c r="AT39" s="101">
        <f>IFERROR(up_RadSpec!$H$11*(AT11/$B39),".")</f>
        <v>760182.82595287333</v>
      </c>
      <c r="AU39" s="101">
        <f>IFERROR(up_RadSpec!$H$11*(AU11/$B39),".")</f>
        <v>760182.82595287333</v>
      </c>
      <c r="AV39" s="101">
        <f>IFERROR(up_RadSpec!$H$11*(AV11/$B39),".")</f>
        <v>760182.82595287333</v>
      </c>
      <c r="AW39" s="101">
        <f>IFERROR(up_RadSpec!$H$11*(AW11/$B39),".")</f>
        <v>760182.82595287333</v>
      </c>
      <c r="AX39" s="101">
        <f>IFERROR(up_RadSpec!$H$11*(AX11/$B39),".")</f>
        <v>760182.82595287333</v>
      </c>
      <c r="AY39" s="101">
        <f>IFERROR(up_RadSpec!$H$11*(AY11/$B39),".")</f>
        <v>760182.82595287333</v>
      </c>
      <c r="AZ39" s="101">
        <f>IFERROR(up_RadSpec!$H$11*(AZ11/$B39),".")</f>
        <v>760182.82595287333</v>
      </c>
      <c r="BA39" s="101">
        <f>IFERROR(up_RadSpec!$H$11*(BA11/$B39),".")</f>
        <v>760182.82595287333</v>
      </c>
      <c r="BB39" s="101">
        <f>IFERROR(up_RadSpec!$H$11*(BB11/$B39),".")</f>
        <v>760182.82595287333</v>
      </c>
      <c r="BC39" s="100">
        <f t="shared" ref="BC39" si="36">IFERROR($B39/BC11,0)</f>
        <v>60814626076.229866</v>
      </c>
      <c r="BD39" s="100">
        <f t="shared" ref="BD39:CB39" si="37">IFERROR($B39/BD11,0)</f>
        <v>15203656519.057467</v>
      </c>
      <c r="BE39" s="100">
        <f t="shared" si="37"/>
        <v>15203656519.057467</v>
      </c>
      <c r="BF39" s="100">
        <f t="shared" si="37"/>
        <v>15203656519.057467</v>
      </c>
      <c r="BG39" s="100">
        <f t="shared" si="37"/>
        <v>15203656519.057467</v>
      </c>
      <c r="BH39" s="100">
        <f t="shared" si="37"/>
        <v>15203656519.057467</v>
      </c>
      <c r="BI39" s="100">
        <f t="shared" si="37"/>
        <v>15203656519.057467</v>
      </c>
      <c r="BJ39" s="100">
        <f t="shared" si="37"/>
        <v>15203656519.057467</v>
      </c>
      <c r="BK39" s="100">
        <f t="shared" si="37"/>
        <v>15203656519.057467</v>
      </c>
      <c r="BL39" s="100">
        <f t="shared" si="37"/>
        <v>15203656519.057467</v>
      </c>
      <c r="BM39" s="100">
        <f t="shared" si="37"/>
        <v>15203656519.057467</v>
      </c>
      <c r="BN39" s="100">
        <f t="shared" si="37"/>
        <v>15203656519.057467</v>
      </c>
      <c r="BO39" s="100">
        <f t="shared" si="37"/>
        <v>15203656519.057467</v>
      </c>
      <c r="BP39" s="100">
        <f t="shared" si="37"/>
        <v>15203656519.057467</v>
      </c>
      <c r="BQ39" s="100">
        <f t="shared" si="37"/>
        <v>15203656519.057467</v>
      </c>
      <c r="BR39" s="100">
        <f t="shared" si="37"/>
        <v>15203656519.057467</v>
      </c>
      <c r="BS39" s="100">
        <f t="shared" si="37"/>
        <v>15203656519.057467</v>
      </c>
      <c r="BT39" s="100">
        <f t="shared" si="37"/>
        <v>15203656519.057467</v>
      </c>
      <c r="BU39" s="100">
        <f t="shared" si="37"/>
        <v>15203656519.057467</v>
      </c>
      <c r="BV39" s="100">
        <f t="shared" si="37"/>
        <v>15203656519.057467</v>
      </c>
      <c r="BW39" s="100">
        <f t="shared" si="37"/>
        <v>15203656519.057467</v>
      </c>
      <c r="BX39" s="100">
        <f t="shared" si="37"/>
        <v>15203656519.057467</v>
      </c>
      <c r="BY39" s="100">
        <f t="shared" si="37"/>
        <v>15203656519.057467</v>
      </c>
      <c r="BZ39" s="100">
        <f t="shared" si="37"/>
        <v>15203656519.057467</v>
      </c>
      <c r="CA39" s="100">
        <f t="shared" si="37"/>
        <v>15203656519.057467</v>
      </c>
      <c r="CB39" s="100">
        <f t="shared" si="37"/>
        <v>15203656519.057467</v>
      </c>
      <c r="CC39" s="49">
        <f t="shared" si="3"/>
        <v>3040731.3038114933</v>
      </c>
      <c r="CD39" s="101">
        <f>IFERROR(up_RadSpec!$H$11*(CD11/$B39),".")</f>
        <v>760182.82595287333</v>
      </c>
      <c r="CE39" s="101">
        <f>IFERROR(up_RadSpec!$H$11*(CE11/$B39),".")</f>
        <v>760182.82595287333</v>
      </c>
      <c r="CF39" s="101">
        <f>IFERROR(up_RadSpec!$H$11*(CF11/$B39),".")</f>
        <v>760182.82595287333</v>
      </c>
      <c r="CG39" s="101">
        <f>IFERROR(up_RadSpec!$H$11*(CG11/$B39),".")</f>
        <v>760182.82595287333</v>
      </c>
      <c r="CH39" s="101">
        <f>IFERROR(up_RadSpec!$H$11*(CH11/$B39),".")</f>
        <v>760182.82595287333</v>
      </c>
      <c r="CI39" s="101">
        <f>IFERROR(up_RadSpec!$H$11*(CI11/$B39),".")</f>
        <v>760182.82595287333</v>
      </c>
      <c r="CJ39" s="101">
        <f>IFERROR(up_RadSpec!$H$11*(CJ11/$B39),".")</f>
        <v>760182.82595287333</v>
      </c>
      <c r="CK39" s="101">
        <f>IFERROR(up_RadSpec!$H$11*(CK11/$B39),".")</f>
        <v>760182.82595287333</v>
      </c>
      <c r="CL39" s="101">
        <f>IFERROR(up_RadSpec!$H$11*(CL11/$B39),".")</f>
        <v>760182.82595287333</v>
      </c>
      <c r="CM39" s="101">
        <f>IFERROR(up_RadSpec!$H$11*(CM11/$B39),".")</f>
        <v>760182.82595287333</v>
      </c>
      <c r="CN39" s="101">
        <f>IFERROR(up_RadSpec!$H$11*(CN11/$B39),".")</f>
        <v>760182.82595287333</v>
      </c>
      <c r="CO39" s="101">
        <f>IFERROR(up_RadSpec!$H$11*(CO11/$B39),".")</f>
        <v>760182.82595287333</v>
      </c>
      <c r="CP39" s="101">
        <f>IFERROR(up_RadSpec!$H$11*(CP11/$B39),".")</f>
        <v>760182.82595287333</v>
      </c>
      <c r="CQ39" s="101">
        <f>IFERROR(up_RadSpec!$H$11*(CQ11/$B39),".")</f>
        <v>760182.82595287333</v>
      </c>
      <c r="CR39" s="101">
        <f>IFERROR(up_RadSpec!$H$11*(CR11/$B39),".")</f>
        <v>760182.82595287333</v>
      </c>
      <c r="CS39" s="101">
        <f>IFERROR(up_RadSpec!$H$11*(CS11/$B39),".")</f>
        <v>760182.82595287333</v>
      </c>
      <c r="CT39" s="101">
        <f>IFERROR(up_RadSpec!$H$11*(CT11/$B39),".")</f>
        <v>760182.82595287333</v>
      </c>
      <c r="CU39" s="101">
        <f>IFERROR(up_RadSpec!$H$11*(CU11/$B39),".")</f>
        <v>760182.82595287333</v>
      </c>
      <c r="CV39" s="101">
        <f>IFERROR(up_RadSpec!$H$11*(CV11/$B39),".")</f>
        <v>760182.82595287333</v>
      </c>
      <c r="CW39" s="101">
        <f>IFERROR(up_RadSpec!$H$11*(CW11/$B39),".")</f>
        <v>760182.82595287333</v>
      </c>
      <c r="CX39" s="101">
        <f>IFERROR(up_RadSpec!$H$11*(CX11/$B39),".")</f>
        <v>760182.82595287333</v>
      </c>
      <c r="CY39" s="101">
        <f>IFERROR(up_RadSpec!$H$11*(CY11/$B39),".")</f>
        <v>760182.82595287333</v>
      </c>
      <c r="CZ39" s="101">
        <f>IFERROR(up_RadSpec!$H$11*(CZ11/$B39),".")</f>
        <v>760182.82595287333</v>
      </c>
      <c r="DA39" s="101">
        <f>IFERROR(up_RadSpec!$H$11*(DA11/$B39),".")</f>
        <v>760182.82595287333</v>
      </c>
      <c r="DB39" s="101">
        <f>IFERROR(up_RadSpec!$H$11*(DB11/$B39),".")</f>
        <v>760182.82595287333</v>
      </c>
    </row>
    <row r="40" spans="1:106" s="42" customFormat="1" x14ac:dyDescent="0.25">
      <c r="A40" s="99" t="s">
        <v>1082</v>
      </c>
      <c r="B40" s="90">
        <v>1</v>
      </c>
      <c r="C40" s="100">
        <f t="shared" ref="C40" si="38">IFERROR($B40/C4,0)</f>
        <v>60814626076.229866</v>
      </c>
      <c r="D40" s="100">
        <f t="shared" ref="D40:AB40" si="39">IFERROR($B40/D4,0)</f>
        <v>15203656519.057467</v>
      </c>
      <c r="E40" s="100">
        <f t="shared" si="39"/>
        <v>15203656519.057467</v>
      </c>
      <c r="F40" s="100">
        <f t="shared" si="39"/>
        <v>15203656519.057467</v>
      </c>
      <c r="G40" s="100">
        <f t="shared" si="39"/>
        <v>15203656519.057467</v>
      </c>
      <c r="H40" s="100">
        <f t="shared" si="39"/>
        <v>15203656519.057467</v>
      </c>
      <c r="I40" s="100">
        <f t="shared" si="39"/>
        <v>15203656519.057467</v>
      </c>
      <c r="J40" s="100">
        <f t="shared" si="39"/>
        <v>15203656519.057467</v>
      </c>
      <c r="K40" s="100">
        <f t="shared" si="39"/>
        <v>15203656519.057467</v>
      </c>
      <c r="L40" s="100">
        <f t="shared" si="39"/>
        <v>15203656519.057467</v>
      </c>
      <c r="M40" s="100">
        <f t="shared" si="39"/>
        <v>15203656519.057467</v>
      </c>
      <c r="N40" s="100">
        <f t="shared" si="39"/>
        <v>15203656519.057467</v>
      </c>
      <c r="O40" s="100">
        <f t="shared" si="39"/>
        <v>15203656519.057467</v>
      </c>
      <c r="P40" s="100">
        <f t="shared" si="39"/>
        <v>15203656519.057467</v>
      </c>
      <c r="Q40" s="100">
        <f t="shared" si="39"/>
        <v>15203656519.057467</v>
      </c>
      <c r="R40" s="100">
        <f t="shared" si="39"/>
        <v>15203656519.057467</v>
      </c>
      <c r="S40" s="100">
        <f t="shared" si="39"/>
        <v>15203656519.057467</v>
      </c>
      <c r="T40" s="100">
        <f t="shared" si="39"/>
        <v>15203656519.057467</v>
      </c>
      <c r="U40" s="100">
        <f t="shared" si="39"/>
        <v>15203656519.057467</v>
      </c>
      <c r="V40" s="100">
        <f t="shared" si="39"/>
        <v>15203656519.057467</v>
      </c>
      <c r="W40" s="100">
        <f t="shared" si="39"/>
        <v>15203656519.057467</v>
      </c>
      <c r="X40" s="100">
        <f t="shared" si="39"/>
        <v>15203656519.057467</v>
      </c>
      <c r="Y40" s="100">
        <f t="shared" si="39"/>
        <v>15203656519.057467</v>
      </c>
      <c r="Z40" s="100">
        <f t="shared" si="39"/>
        <v>15203656519.057467</v>
      </c>
      <c r="AA40" s="100">
        <f t="shared" si="39"/>
        <v>15203656519.057467</v>
      </c>
      <c r="AB40" s="100">
        <f t="shared" si="39"/>
        <v>15203656519.057467</v>
      </c>
      <c r="AC40" s="49">
        <f t="shared" si="1"/>
        <v>3040731.3038114933</v>
      </c>
      <c r="AD40" s="101">
        <f>IFERROR(up_RadSpec!$H$4*(AD4/$B40),".")</f>
        <v>760182.82595287333</v>
      </c>
      <c r="AE40" s="101">
        <f>IFERROR(up_RadSpec!$H$4*(AE4/$B40),".")</f>
        <v>760182.82595287333</v>
      </c>
      <c r="AF40" s="101">
        <f>IFERROR(up_RadSpec!$H$4*(AF4/$B40),".")</f>
        <v>760182.82595287333</v>
      </c>
      <c r="AG40" s="101">
        <f>IFERROR(up_RadSpec!$H$4*(AG4/$B40),".")</f>
        <v>760182.82595287333</v>
      </c>
      <c r="AH40" s="101">
        <f>IFERROR(up_RadSpec!$H$4*(AH4/$B40),".")</f>
        <v>760182.82595287333</v>
      </c>
      <c r="AI40" s="101">
        <f>IFERROR(up_RadSpec!$H$4*(AI4/$B40),".")</f>
        <v>760182.82595287333</v>
      </c>
      <c r="AJ40" s="101">
        <f>IFERROR(up_RadSpec!$H$4*(AJ4/$B40),".")</f>
        <v>760182.82595287333</v>
      </c>
      <c r="AK40" s="101">
        <f>IFERROR(up_RadSpec!$H$4*(AK4/$B40),".")</f>
        <v>760182.82595287333</v>
      </c>
      <c r="AL40" s="101">
        <f>IFERROR(up_RadSpec!$H$4*(AL4/$B40),".")</f>
        <v>760182.82595287333</v>
      </c>
      <c r="AM40" s="101">
        <f>IFERROR(up_RadSpec!$H$4*(AM4/$B40),".")</f>
        <v>760182.82595287333</v>
      </c>
      <c r="AN40" s="101">
        <f>IFERROR(up_RadSpec!$H$4*(AN4/$B40),".")</f>
        <v>760182.82595287333</v>
      </c>
      <c r="AO40" s="101">
        <f>IFERROR(up_RadSpec!$H$4*(AO4/$B40),".")</f>
        <v>760182.82595287333</v>
      </c>
      <c r="AP40" s="101">
        <f>IFERROR(up_RadSpec!$H$4*(AP4/$B40),".")</f>
        <v>760182.82595287333</v>
      </c>
      <c r="AQ40" s="101">
        <f>IFERROR(up_RadSpec!$H$4*(AQ4/$B40),".")</f>
        <v>760182.82595287333</v>
      </c>
      <c r="AR40" s="101">
        <f>IFERROR(up_RadSpec!$H$4*(AR4/$B40),".")</f>
        <v>760182.82595287333</v>
      </c>
      <c r="AS40" s="101">
        <f>IFERROR(up_RadSpec!$H$4*(AS4/$B40),".")</f>
        <v>760182.82595287333</v>
      </c>
      <c r="AT40" s="101">
        <f>IFERROR(up_RadSpec!$H$4*(AT4/$B40),".")</f>
        <v>760182.82595287333</v>
      </c>
      <c r="AU40" s="101">
        <f>IFERROR(up_RadSpec!$H$4*(AU4/$B40),".")</f>
        <v>760182.82595287333</v>
      </c>
      <c r="AV40" s="101">
        <f>IFERROR(up_RadSpec!$H$4*(AV4/$B40),".")</f>
        <v>760182.82595287333</v>
      </c>
      <c r="AW40" s="101">
        <f>IFERROR(up_RadSpec!$H$4*(AW4/$B40),".")</f>
        <v>760182.82595287333</v>
      </c>
      <c r="AX40" s="101">
        <f>IFERROR(up_RadSpec!$H$4*(AX4/$B40),".")</f>
        <v>760182.82595287333</v>
      </c>
      <c r="AY40" s="101">
        <f>IFERROR(up_RadSpec!$H$4*(AY4/$B40),".")</f>
        <v>760182.82595287333</v>
      </c>
      <c r="AZ40" s="101">
        <f>IFERROR(up_RadSpec!$H$4*(AZ4/$B40),".")</f>
        <v>760182.82595287333</v>
      </c>
      <c r="BA40" s="101">
        <f>IFERROR(up_RadSpec!$H$4*(BA4/$B40),".")</f>
        <v>760182.82595287333</v>
      </c>
      <c r="BB40" s="101">
        <f>IFERROR(up_RadSpec!$H$4*(BB4/$B40),".")</f>
        <v>760182.82595287333</v>
      </c>
      <c r="BC40" s="100">
        <f t="shared" ref="BC40" si="40">IFERROR($B40/BC4,0)</f>
        <v>60814626076.229866</v>
      </c>
      <c r="BD40" s="100">
        <f t="shared" ref="BD40:CB40" si="41">IFERROR($B40/BD4,0)</f>
        <v>15203656519.057467</v>
      </c>
      <c r="BE40" s="100">
        <f t="shared" si="41"/>
        <v>15203656519.057467</v>
      </c>
      <c r="BF40" s="100">
        <f t="shared" si="41"/>
        <v>15203656519.057467</v>
      </c>
      <c r="BG40" s="100">
        <f t="shared" si="41"/>
        <v>15203656519.057467</v>
      </c>
      <c r="BH40" s="100">
        <f t="shared" si="41"/>
        <v>15203656519.057467</v>
      </c>
      <c r="BI40" s="100">
        <f t="shared" si="41"/>
        <v>15203656519.057467</v>
      </c>
      <c r="BJ40" s="100">
        <f t="shared" si="41"/>
        <v>15203656519.057467</v>
      </c>
      <c r="BK40" s="100">
        <f t="shared" si="41"/>
        <v>15203656519.057467</v>
      </c>
      <c r="BL40" s="100">
        <f t="shared" si="41"/>
        <v>15203656519.057467</v>
      </c>
      <c r="BM40" s="100">
        <f t="shared" si="41"/>
        <v>15203656519.057467</v>
      </c>
      <c r="BN40" s="100">
        <f t="shared" si="41"/>
        <v>15203656519.057467</v>
      </c>
      <c r="BO40" s="100">
        <f t="shared" si="41"/>
        <v>15203656519.057467</v>
      </c>
      <c r="BP40" s="100">
        <f t="shared" si="41"/>
        <v>15203656519.057467</v>
      </c>
      <c r="BQ40" s="100">
        <f t="shared" si="41"/>
        <v>15203656519.057467</v>
      </c>
      <c r="BR40" s="100">
        <f t="shared" si="41"/>
        <v>15203656519.057467</v>
      </c>
      <c r="BS40" s="100">
        <f t="shared" si="41"/>
        <v>15203656519.057467</v>
      </c>
      <c r="BT40" s="100">
        <f t="shared" si="41"/>
        <v>15203656519.057467</v>
      </c>
      <c r="BU40" s="100">
        <f t="shared" si="41"/>
        <v>15203656519.057467</v>
      </c>
      <c r="BV40" s="100">
        <f t="shared" si="41"/>
        <v>15203656519.057467</v>
      </c>
      <c r="BW40" s="100">
        <f t="shared" si="41"/>
        <v>15203656519.057467</v>
      </c>
      <c r="BX40" s="100">
        <f t="shared" si="41"/>
        <v>15203656519.057467</v>
      </c>
      <c r="BY40" s="100">
        <f t="shared" si="41"/>
        <v>15203656519.057467</v>
      </c>
      <c r="BZ40" s="100">
        <f t="shared" si="41"/>
        <v>15203656519.057467</v>
      </c>
      <c r="CA40" s="100">
        <f t="shared" si="41"/>
        <v>15203656519.057467</v>
      </c>
      <c r="CB40" s="100">
        <f t="shared" si="41"/>
        <v>15203656519.057467</v>
      </c>
      <c r="CC40" s="49">
        <f t="shared" si="3"/>
        <v>3040731.3038114933</v>
      </c>
      <c r="CD40" s="101">
        <f>IFERROR(up_RadSpec!$H$4*(CD4/$B40),".")</f>
        <v>760182.82595287333</v>
      </c>
      <c r="CE40" s="101">
        <f>IFERROR(up_RadSpec!$H$4*(CE4/$B40),".")</f>
        <v>760182.82595287333</v>
      </c>
      <c r="CF40" s="101">
        <f>IFERROR(up_RadSpec!$H$4*(CF4/$B40),".")</f>
        <v>760182.82595287333</v>
      </c>
      <c r="CG40" s="101">
        <f>IFERROR(up_RadSpec!$H$4*(CG4/$B40),".")</f>
        <v>760182.82595287333</v>
      </c>
      <c r="CH40" s="101">
        <f>IFERROR(up_RadSpec!$H$4*(CH4/$B40),".")</f>
        <v>760182.82595287333</v>
      </c>
      <c r="CI40" s="101">
        <f>IFERROR(up_RadSpec!$H$4*(CI4/$B40),".")</f>
        <v>760182.82595287333</v>
      </c>
      <c r="CJ40" s="101">
        <f>IFERROR(up_RadSpec!$H$4*(CJ4/$B40),".")</f>
        <v>760182.82595287333</v>
      </c>
      <c r="CK40" s="101">
        <f>IFERROR(up_RadSpec!$H$4*(CK4/$B40),".")</f>
        <v>760182.82595287333</v>
      </c>
      <c r="CL40" s="101">
        <f>IFERROR(up_RadSpec!$H$4*(CL4/$B40),".")</f>
        <v>760182.82595287333</v>
      </c>
      <c r="CM40" s="101">
        <f>IFERROR(up_RadSpec!$H$4*(CM4/$B40),".")</f>
        <v>760182.82595287333</v>
      </c>
      <c r="CN40" s="101">
        <f>IFERROR(up_RadSpec!$H$4*(CN4/$B40),".")</f>
        <v>760182.82595287333</v>
      </c>
      <c r="CO40" s="101">
        <f>IFERROR(up_RadSpec!$H$4*(CO4/$B40),".")</f>
        <v>760182.82595287333</v>
      </c>
      <c r="CP40" s="101">
        <f>IFERROR(up_RadSpec!$H$4*(CP4/$B40),".")</f>
        <v>760182.82595287333</v>
      </c>
      <c r="CQ40" s="101">
        <f>IFERROR(up_RadSpec!$H$4*(CQ4/$B40),".")</f>
        <v>760182.82595287333</v>
      </c>
      <c r="CR40" s="101">
        <f>IFERROR(up_RadSpec!$H$4*(CR4/$B40),".")</f>
        <v>760182.82595287333</v>
      </c>
      <c r="CS40" s="101">
        <f>IFERROR(up_RadSpec!$H$4*(CS4/$B40),".")</f>
        <v>760182.82595287333</v>
      </c>
      <c r="CT40" s="101">
        <f>IFERROR(up_RadSpec!$H$4*(CT4/$B40),".")</f>
        <v>760182.82595287333</v>
      </c>
      <c r="CU40" s="101">
        <f>IFERROR(up_RadSpec!$H$4*(CU4/$B40),".")</f>
        <v>760182.82595287333</v>
      </c>
      <c r="CV40" s="101">
        <f>IFERROR(up_RadSpec!$H$4*(CV4/$B40),".")</f>
        <v>760182.82595287333</v>
      </c>
      <c r="CW40" s="101">
        <f>IFERROR(up_RadSpec!$H$4*(CW4/$B40),".")</f>
        <v>760182.82595287333</v>
      </c>
      <c r="CX40" s="101">
        <f>IFERROR(up_RadSpec!$H$4*(CX4/$B40),".")</f>
        <v>760182.82595287333</v>
      </c>
      <c r="CY40" s="101">
        <f>IFERROR(up_RadSpec!$H$4*(CY4/$B40),".")</f>
        <v>760182.82595287333</v>
      </c>
      <c r="CZ40" s="101">
        <f>IFERROR(up_RadSpec!$H$4*(CZ4/$B40),".")</f>
        <v>760182.82595287333</v>
      </c>
      <c r="DA40" s="101">
        <f>IFERROR(up_RadSpec!$H$4*(DA4/$B40),".")</f>
        <v>760182.82595287333</v>
      </c>
      <c r="DB40" s="101">
        <f>IFERROR(up_RadSpec!$H$4*(DB4/$B40),".")</f>
        <v>760182.82595287333</v>
      </c>
    </row>
    <row r="41" spans="1:106" s="42" customFormat="1" x14ac:dyDescent="0.25">
      <c r="A41" s="99" t="s">
        <v>1083</v>
      </c>
      <c r="B41" s="102">
        <v>0.99987999999999999</v>
      </c>
      <c r="C41" s="100">
        <f t="shared" ref="C41" si="42">IFERROR($B41/C8,0)</f>
        <v>60807328321.100716</v>
      </c>
      <c r="D41" s="100">
        <f t="shared" ref="D41:AB41" si="43">IFERROR($B41/D8,0)</f>
        <v>15201832080.275179</v>
      </c>
      <c r="E41" s="100">
        <f t="shared" si="43"/>
        <v>15201832080.275179</v>
      </c>
      <c r="F41" s="100">
        <f t="shared" si="43"/>
        <v>15201832080.275179</v>
      </c>
      <c r="G41" s="100">
        <f t="shared" si="43"/>
        <v>15201832080.275179</v>
      </c>
      <c r="H41" s="100">
        <f t="shared" si="43"/>
        <v>15201832080.275179</v>
      </c>
      <c r="I41" s="100">
        <f t="shared" si="43"/>
        <v>15201832080.275179</v>
      </c>
      <c r="J41" s="100">
        <f t="shared" si="43"/>
        <v>15201832080.275179</v>
      </c>
      <c r="K41" s="100">
        <f t="shared" si="43"/>
        <v>15201832080.275179</v>
      </c>
      <c r="L41" s="100">
        <f t="shared" si="43"/>
        <v>15201832080.275179</v>
      </c>
      <c r="M41" s="100">
        <f t="shared" si="43"/>
        <v>15201832080.275179</v>
      </c>
      <c r="N41" s="100">
        <f t="shared" si="43"/>
        <v>15201832080.275179</v>
      </c>
      <c r="O41" s="100">
        <f t="shared" si="43"/>
        <v>15201832080.275179</v>
      </c>
      <c r="P41" s="100">
        <f t="shared" si="43"/>
        <v>15201832080.275179</v>
      </c>
      <c r="Q41" s="100">
        <f t="shared" si="43"/>
        <v>15201832080.275179</v>
      </c>
      <c r="R41" s="100">
        <f t="shared" si="43"/>
        <v>15201832080.275179</v>
      </c>
      <c r="S41" s="100">
        <f t="shared" si="43"/>
        <v>15201832080.275179</v>
      </c>
      <c r="T41" s="100">
        <f t="shared" si="43"/>
        <v>15201832080.275179</v>
      </c>
      <c r="U41" s="100">
        <f t="shared" si="43"/>
        <v>15201832080.275179</v>
      </c>
      <c r="V41" s="100">
        <f t="shared" si="43"/>
        <v>15201832080.275179</v>
      </c>
      <c r="W41" s="100">
        <f t="shared" si="43"/>
        <v>15201832080.275179</v>
      </c>
      <c r="X41" s="100">
        <f t="shared" si="43"/>
        <v>15201832080.275179</v>
      </c>
      <c r="Y41" s="100">
        <f t="shared" si="43"/>
        <v>15201832080.275179</v>
      </c>
      <c r="Z41" s="100">
        <f t="shared" si="43"/>
        <v>15201832080.275179</v>
      </c>
      <c r="AA41" s="100">
        <f t="shared" si="43"/>
        <v>15201832080.275179</v>
      </c>
      <c r="AB41" s="100">
        <f t="shared" si="43"/>
        <v>15201832080.275179</v>
      </c>
      <c r="AC41" s="49">
        <f t="shared" si="1"/>
        <v>3041096.2353597367</v>
      </c>
      <c r="AD41" s="101">
        <f>IFERROR(up_RadSpec!$H$8*(AD8/$B41),".")</f>
        <v>760274.05883993418</v>
      </c>
      <c r="AE41" s="101">
        <f>IFERROR(up_RadSpec!$H$8*(AE8/$B41),".")</f>
        <v>760274.05883993418</v>
      </c>
      <c r="AF41" s="101">
        <f>IFERROR(up_RadSpec!$H$8*(AF8/$B41),".")</f>
        <v>760274.05883993418</v>
      </c>
      <c r="AG41" s="101">
        <f>IFERROR(up_RadSpec!$H$8*(AG8/$B41),".")</f>
        <v>760274.05883993418</v>
      </c>
      <c r="AH41" s="101">
        <f>IFERROR(up_RadSpec!$H$8*(AH8/$B41),".")</f>
        <v>760274.05883993418</v>
      </c>
      <c r="AI41" s="101">
        <f>IFERROR(up_RadSpec!$H$8*(AI8/$B41),".")</f>
        <v>760274.05883993418</v>
      </c>
      <c r="AJ41" s="101">
        <f>IFERROR(up_RadSpec!$H$8*(AJ8/$B41),".")</f>
        <v>760274.05883993418</v>
      </c>
      <c r="AK41" s="101">
        <f>IFERROR(up_RadSpec!$H$8*(AK8/$B41),".")</f>
        <v>760274.05883993418</v>
      </c>
      <c r="AL41" s="101">
        <f>IFERROR(up_RadSpec!$H$8*(AL8/$B41),".")</f>
        <v>760274.05883993418</v>
      </c>
      <c r="AM41" s="101">
        <f>IFERROR(up_RadSpec!$H$8*(AM8/$B41),".")</f>
        <v>760274.05883993418</v>
      </c>
      <c r="AN41" s="101">
        <f>IFERROR(up_RadSpec!$H$8*(AN8/$B41),".")</f>
        <v>760274.05883993418</v>
      </c>
      <c r="AO41" s="101">
        <f>IFERROR(up_RadSpec!$H$8*(AO8/$B41),".")</f>
        <v>760274.05883993418</v>
      </c>
      <c r="AP41" s="101">
        <f>IFERROR(up_RadSpec!$H$8*(AP8/$B41),".")</f>
        <v>760274.05883993418</v>
      </c>
      <c r="AQ41" s="101">
        <f>IFERROR(up_RadSpec!$H$8*(AQ8/$B41),".")</f>
        <v>760274.05883993418</v>
      </c>
      <c r="AR41" s="101">
        <f>IFERROR(up_RadSpec!$H$8*(AR8/$B41),".")</f>
        <v>760274.05883993418</v>
      </c>
      <c r="AS41" s="101">
        <f>IFERROR(up_RadSpec!$H$8*(AS8/$B41),".")</f>
        <v>760274.05883993418</v>
      </c>
      <c r="AT41" s="101">
        <f>IFERROR(up_RadSpec!$H$8*(AT8/$B41),".")</f>
        <v>760274.05883993418</v>
      </c>
      <c r="AU41" s="101">
        <f>IFERROR(up_RadSpec!$H$8*(AU8/$B41),".")</f>
        <v>760274.05883993418</v>
      </c>
      <c r="AV41" s="101">
        <f>IFERROR(up_RadSpec!$H$8*(AV8/$B41),".")</f>
        <v>760274.05883993418</v>
      </c>
      <c r="AW41" s="101">
        <f>IFERROR(up_RadSpec!$H$8*(AW8/$B41),".")</f>
        <v>760274.05883993418</v>
      </c>
      <c r="AX41" s="101">
        <f>IFERROR(up_RadSpec!$H$8*(AX8/$B41),".")</f>
        <v>760274.05883993418</v>
      </c>
      <c r="AY41" s="101">
        <f>IFERROR(up_RadSpec!$H$8*(AY8/$B41),".")</f>
        <v>760274.05883993418</v>
      </c>
      <c r="AZ41" s="101">
        <f>IFERROR(up_RadSpec!$H$8*(AZ8/$B41),".")</f>
        <v>760274.05883993418</v>
      </c>
      <c r="BA41" s="101">
        <f>IFERROR(up_RadSpec!$H$8*(BA8/$B41),".")</f>
        <v>760274.05883993418</v>
      </c>
      <c r="BB41" s="101">
        <f>IFERROR(up_RadSpec!$H$8*(BB8/$B41),".")</f>
        <v>760274.05883993418</v>
      </c>
      <c r="BC41" s="100">
        <f t="shared" ref="BC41" si="44">IFERROR($B41/BC8,0)</f>
        <v>60807328321.100716</v>
      </c>
      <c r="BD41" s="100">
        <f t="shared" ref="BD41:CB41" si="45">IFERROR($B41/BD8,0)</f>
        <v>15201832080.275179</v>
      </c>
      <c r="BE41" s="100">
        <f t="shared" si="45"/>
        <v>15201832080.275179</v>
      </c>
      <c r="BF41" s="100">
        <f t="shared" si="45"/>
        <v>15201832080.275179</v>
      </c>
      <c r="BG41" s="100">
        <f t="shared" si="45"/>
        <v>15201832080.275179</v>
      </c>
      <c r="BH41" s="100">
        <f t="shared" si="45"/>
        <v>15201832080.275179</v>
      </c>
      <c r="BI41" s="100">
        <f t="shared" si="45"/>
        <v>15201832080.275179</v>
      </c>
      <c r="BJ41" s="100">
        <f t="shared" si="45"/>
        <v>15201832080.275179</v>
      </c>
      <c r="BK41" s="100">
        <f t="shared" si="45"/>
        <v>15201832080.275179</v>
      </c>
      <c r="BL41" s="100">
        <f t="shared" si="45"/>
        <v>15201832080.275179</v>
      </c>
      <c r="BM41" s="100">
        <f t="shared" si="45"/>
        <v>15201832080.275179</v>
      </c>
      <c r="BN41" s="100">
        <f t="shared" si="45"/>
        <v>15201832080.275179</v>
      </c>
      <c r="BO41" s="100">
        <f t="shared" si="45"/>
        <v>15201832080.275179</v>
      </c>
      <c r="BP41" s="100">
        <f t="shared" si="45"/>
        <v>15201832080.275179</v>
      </c>
      <c r="BQ41" s="100">
        <f t="shared" si="45"/>
        <v>15201832080.275179</v>
      </c>
      <c r="BR41" s="100">
        <f t="shared" si="45"/>
        <v>15201832080.275179</v>
      </c>
      <c r="BS41" s="100">
        <f t="shared" si="45"/>
        <v>15201832080.275179</v>
      </c>
      <c r="BT41" s="100">
        <f t="shared" si="45"/>
        <v>15201832080.275179</v>
      </c>
      <c r="BU41" s="100">
        <f t="shared" si="45"/>
        <v>15201832080.275179</v>
      </c>
      <c r="BV41" s="100">
        <f t="shared" si="45"/>
        <v>15201832080.275179</v>
      </c>
      <c r="BW41" s="100">
        <f t="shared" si="45"/>
        <v>15201832080.275179</v>
      </c>
      <c r="BX41" s="100">
        <f t="shared" si="45"/>
        <v>15201832080.275179</v>
      </c>
      <c r="BY41" s="100">
        <f t="shared" si="45"/>
        <v>15201832080.275179</v>
      </c>
      <c r="BZ41" s="100">
        <f t="shared" si="45"/>
        <v>15201832080.275179</v>
      </c>
      <c r="CA41" s="100">
        <f t="shared" si="45"/>
        <v>15201832080.275179</v>
      </c>
      <c r="CB41" s="100">
        <f t="shared" si="45"/>
        <v>15201832080.275179</v>
      </c>
      <c r="CC41" s="49">
        <f t="shared" si="3"/>
        <v>3041096.2353597367</v>
      </c>
      <c r="CD41" s="101">
        <f>IFERROR(up_RadSpec!$H$8*(CD8/$B41),".")</f>
        <v>760274.05883993418</v>
      </c>
      <c r="CE41" s="101">
        <f>IFERROR(up_RadSpec!$H$8*(CE8/$B41),".")</f>
        <v>760274.05883993418</v>
      </c>
      <c r="CF41" s="101">
        <f>IFERROR(up_RadSpec!$H$8*(CF8/$B41),".")</f>
        <v>760274.05883993418</v>
      </c>
      <c r="CG41" s="101">
        <f>IFERROR(up_RadSpec!$H$8*(CG8/$B41),".")</f>
        <v>760274.05883993418</v>
      </c>
      <c r="CH41" s="101">
        <f>IFERROR(up_RadSpec!$H$8*(CH8/$B41),".")</f>
        <v>760274.05883993418</v>
      </c>
      <c r="CI41" s="101">
        <f>IFERROR(up_RadSpec!$H$8*(CI8/$B41),".")</f>
        <v>760274.05883993418</v>
      </c>
      <c r="CJ41" s="101">
        <f>IFERROR(up_RadSpec!$H$8*(CJ8/$B41),".")</f>
        <v>760274.05883993418</v>
      </c>
      <c r="CK41" s="101">
        <f>IFERROR(up_RadSpec!$H$8*(CK8/$B41),".")</f>
        <v>760274.05883993418</v>
      </c>
      <c r="CL41" s="101">
        <f>IFERROR(up_RadSpec!$H$8*(CL8/$B41),".")</f>
        <v>760274.05883993418</v>
      </c>
      <c r="CM41" s="101">
        <f>IFERROR(up_RadSpec!$H$8*(CM8/$B41),".")</f>
        <v>760274.05883993418</v>
      </c>
      <c r="CN41" s="101">
        <f>IFERROR(up_RadSpec!$H$8*(CN8/$B41),".")</f>
        <v>760274.05883993418</v>
      </c>
      <c r="CO41" s="101">
        <f>IFERROR(up_RadSpec!$H$8*(CO8/$B41),".")</f>
        <v>760274.05883993418</v>
      </c>
      <c r="CP41" s="101">
        <f>IFERROR(up_RadSpec!$H$8*(CP8/$B41),".")</f>
        <v>760274.05883993418</v>
      </c>
      <c r="CQ41" s="101">
        <f>IFERROR(up_RadSpec!$H$8*(CQ8/$B41),".")</f>
        <v>760274.05883993418</v>
      </c>
      <c r="CR41" s="101">
        <f>IFERROR(up_RadSpec!$H$8*(CR8/$B41),".")</f>
        <v>760274.05883993418</v>
      </c>
      <c r="CS41" s="101">
        <f>IFERROR(up_RadSpec!$H$8*(CS8/$B41),".")</f>
        <v>760274.05883993418</v>
      </c>
      <c r="CT41" s="101">
        <f>IFERROR(up_RadSpec!$H$8*(CT8/$B41),".")</f>
        <v>760274.05883993418</v>
      </c>
      <c r="CU41" s="101">
        <f>IFERROR(up_RadSpec!$H$8*(CU8/$B41),".")</f>
        <v>760274.05883993418</v>
      </c>
      <c r="CV41" s="101">
        <f>IFERROR(up_RadSpec!$H$8*(CV8/$B41),".")</f>
        <v>760274.05883993418</v>
      </c>
      <c r="CW41" s="101">
        <f>IFERROR(up_RadSpec!$H$8*(CW8/$B41),".")</f>
        <v>760274.05883993418</v>
      </c>
      <c r="CX41" s="101">
        <f>IFERROR(up_RadSpec!$H$8*(CX8/$B41),".")</f>
        <v>760274.05883993418</v>
      </c>
      <c r="CY41" s="101">
        <f>IFERROR(up_RadSpec!$H$8*(CY8/$B41),".")</f>
        <v>760274.05883993418</v>
      </c>
      <c r="CZ41" s="101">
        <f>IFERROR(up_RadSpec!$H$8*(CZ8/$B41),".")</f>
        <v>760274.05883993418</v>
      </c>
      <c r="DA41" s="101">
        <f>IFERROR(up_RadSpec!$H$8*(DA8/$B41),".")</f>
        <v>760274.05883993418</v>
      </c>
      <c r="DB41" s="101">
        <f>IFERROR(up_RadSpec!$H$8*(DB8/$B41),".")</f>
        <v>760274.05883993418</v>
      </c>
    </row>
    <row r="42" spans="1:106" s="42" customFormat="1" x14ac:dyDescent="0.25">
      <c r="A42" s="99" t="s">
        <v>1084</v>
      </c>
      <c r="B42" s="90">
        <v>0.97898250799999997</v>
      </c>
      <c r="C42" s="100">
        <f t="shared" ref="C42" si="46">IFERROR($B42/C19,0)</f>
        <v>59536455159.189713</v>
      </c>
      <c r="D42" s="100">
        <f t="shared" ref="D42:AB42" si="47">IFERROR($B42/D19,0)</f>
        <v>14884113789.797428</v>
      </c>
      <c r="E42" s="100">
        <f t="shared" si="47"/>
        <v>14884113789.797428</v>
      </c>
      <c r="F42" s="100">
        <f t="shared" si="47"/>
        <v>14884113789.797428</v>
      </c>
      <c r="G42" s="100">
        <f t="shared" si="47"/>
        <v>14884113789.797428</v>
      </c>
      <c r="H42" s="100">
        <f t="shared" si="47"/>
        <v>14884113789.797428</v>
      </c>
      <c r="I42" s="100">
        <f t="shared" si="47"/>
        <v>14884113789.797428</v>
      </c>
      <c r="J42" s="100">
        <f t="shared" si="47"/>
        <v>14884113789.797428</v>
      </c>
      <c r="K42" s="100">
        <f t="shared" si="47"/>
        <v>14884113789.797428</v>
      </c>
      <c r="L42" s="100">
        <f t="shared" si="47"/>
        <v>14884113789.797428</v>
      </c>
      <c r="M42" s="100">
        <f t="shared" si="47"/>
        <v>14884113789.797428</v>
      </c>
      <c r="N42" s="100">
        <f t="shared" si="47"/>
        <v>14884113789.797428</v>
      </c>
      <c r="O42" s="100">
        <f t="shared" si="47"/>
        <v>14884113789.797428</v>
      </c>
      <c r="P42" s="100">
        <f t="shared" si="47"/>
        <v>14884113789.797428</v>
      </c>
      <c r="Q42" s="100">
        <f t="shared" si="47"/>
        <v>14884113789.797428</v>
      </c>
      <c r="R42" s="100">
        <f t="shared" si="47"/>
        <v>14884113789.797428</v>
      </c>
      <c r="S42" s="100">
        <f t="shared" si="47"/>
        <v>14884113789.797428</v>
      </c>
      <c r="T42" s="100">
        <f t="shared" si="47"/>
        <v>14884113789.797428</v>
      </c>
      <c r="U42" s="100">
        <f t="shared" si="47"/>
        <v>14884113789.797428</v>
      </c>
      <c r="V42" s="100">
        <f t="shared" si="47"/>
        <v>14884113789.797428</v>
      </c>
      <c r="W42" s="100">
        <f t="shared" si="47"/>
        <v>14884113789.797428</v>
      </c>
      <c r="X42" s="100">
        <f t="shared" si="47"/>
        <v>14884113789.797428</v>
      </c>
      <c r="Y42" s="100">
        <f t="shared" si="47"/>
        <v>14884113789.797428</v>
      </c>
      <c r="Z42" s="100">
        <f t="shared" si="47"/>
        <v>14884113789.797428</v>
      </c>
      <c r="AA42" s="100">
        <f t="shared" si="47"/>
        <v>14884113789.797428</v>
      </c>
      <c r="AB42" s="100">
        <f t="shared" si="47"/>
        <v>14884113789.797428</v>
      </c>
      <c r="AC42" s="49">
        <f t="shared" si="1"/>
        <v>3106011.8837296874</v>
      </c>
      <c r="AD42" s="101">
        <f>IFERROR(up_RadSpec!$H$19*(AD19/$B42),".")</f>
        <v>776502.97093242186</v>
      </c>
      <c r="AE42" s="101">
        <f>IFERROR(up_RadSpec!$H$19*(AE19/$B42),".")</f>
        <v>776502.97093242186</v>
      </c>
      <c r="AF42" s="101">
        <f>IFERROR(up_RadSpec!$H$19*(AF19/$B42),".")</f>
        <v>776502.97093242186</v>
      </c>
      <c r="AG42" s="101">
        <f>IFERROR(up_RadSpec!$H$19*(AG19/$B42),".")</f>
        <v>776502.97093242186</v>
      </c>
      <c r="AH42" s="101">
        <f>IFERROR(up_RadSpec!$H$19*(AH19/$B42),".")</f>
        <v>776502.97093242186</v>
      </c>
      <c r="AI42" s="101">
        <f>IFERROR(up_RadSpec!$H$19*(AI19/$B42),".")</f>
        <v>776502.97093242186</v>
      </c>
      <c r="AJ42" s="101">
        <f>IFERROR(up_RadSpec!$H$19*(AJ19/$B42),".")</f>
        <v>776502.97093242186</v>
      </c>
      <c r="AK42" s="101">
        <f>IFERROR(up_RadSpec!$H$19*(AK19/$B42),".")</f>
        <v>776502.97093242186</v>
      </c>
      <c r="AL42" s="101">
        <f>IFERROR(up_RadSpec!$H$19*(AL19/$B42),".")</f>
        <v>776502.97093242186</v>
      </c>
      <c r="AM42" s="101">
        <f>IFERROR(up_RadSpec!$H$19*(AM19/$B42),".")</f>
        <v>776502.97093242186</v>
      </c>
      <c r="AN42" s="101">
        <f>IFERROR(up_RadSpec!$H$19*(AN19/$B42),".")</f>
        <v>776502.97093242186</v>
      </c>
      <c r="AO42" s="101">
        <f>IFERROR(up_RadSpec!$H$19*(AO19/$B42),".")</f>
        <v>776502.97093242186</v>
      </c>
      <c r="AP42" s="101">
        <f>IFERROR(up_RadSpec!$H$19*(AP19/$B42),".")</f>
        <v>776502.97093242186</v>
      </c>
      <c r="AQ42" s="101">
        <f>IFERROR(up_RadSpec!$H$19*(AQ19/$B42),".")</f>
        <v>776502.97093242186</v>
      </c>
      <c r="AR42" s="101">
        <f>IFERROR(up_RadSpec!$H$19*(AR19/$B42),".")</f>
        <v>776502.97093242186</v>
      </c>
      <c r="AS42" s="101">
        <f>IFERROR(up_RadSpec!$H$19*(AS19/$B42),".")</f>
        <v>776502.97093242186</v>
      </c>
      <c r="AT42" s="101">
        <f>IFERROR(up_RadSpec!$H$19*(AT19/$B42),".")</f>
        <v>776502.97093242186</v>
      </c>
      <c r="AU42" s="101">
        <f>IFERROR(up_RadSpec!$H$19*(AU19/$B42),".")</f>
        <v>776502.97093242186</v>
      </c>
      <c r="AV42" s="101">
        <f>IFERROR(up_RadSpec!$H$19*(AV19/$B42),".")</f>
        <v>776502.97093242186</v>
      </c>
      <c r="AW42" s="101">
        <f>IFERROR(up_RadSpec!$H$19*(AW19/$B42),".")</f>
        <v>776502.97093242186</v>
      </c>
      <c r="AX42" s="101">
        <f>IFERROR(up_RadSpec!$H$19*(AX19/$B42),".")</f>
        <v>776502.97093242186</v>
      </c>
      <c r="AY42" s="101">
        <f>IFERROR(up_RadSpec!$H$19*(AY19/$B42),".")</f>
        <v>776502.97093242186</v>
      </c>
      <c r="AZ42" s="101">
        <f>IFERROR(up_RadSpec!$H$19*(AZ19/$B42),".")</f>
        <v>776502.97093242186</v>
      </c>
      <c r="BA42" s="101">
        <f>IFERROR(up_RadSpec!$H$19*(BA19/$B42),".")</f>
        <v>776502.97093242186</v>
      </c>
      <c r="BB42" s="101">
        <f>IFERROR(up_RadSpec!$H$19*(BB19/$B42),".")</f>
        <v>776502.97093242186</v>
      </c>
      <c r="BC42" s="100">
        <f t="shared" ref="BC42" si="48">IFERROR($B42/BC19,0)</f>
        <v>59536455159.189713</v>
      </c>
      <c r="BD42" s="100">
        <f t="shared" ref="BD42:CB42" si="49">IFERROR($B42/BD19,0)</f>
        <v>14884113789.797428</v>
      </c>
      <c r="BE42" s="100">
        <f t="shared" si="49"/>
        <v>14884113789.797428</v>
      </c>
      <c r="BF42" s="100">
        <f t="shared" si="49"/>
        <v>14884113789.797428</v>
      </c>
      <c r="BG42" s="100">
        <f t="shared" si="49"/>
        <v>14884113789.797428</v>
      </c>
      <c r="BH42" s="100">
        <f t="shared" si="49"/>
        <v>14884113789.797428</v>
      </c>
      <c r="BI42" s="100">
        <f t="shared" si="49"/>
        <v>14884113789.797428</v>
      </c>
      <c r="BJ42" s="100">
        <f t="shared" si="49"/>
        <v>14884113789.797428</v>
      </c>
      <c r="BK42" s="100">
        <f t="shared" si="49"/>
        <v>14884113789.797428</v>
      </c>
      <c r="BL42" s="100">
        <f t="shared" si="49"/>
        <v>14884113789.797428</v>
      </c>
      <c r="BM42" s="100">
        <f t="shared" si="49"/>
        <v>14884113789.797428</v>
      </c>
      <c r="BN42" s="100">
        <f t="shared" si="49"/>
        <v>14884113789.797428</v>
      </c>
      <c r="BO42" s="100">
        <f t="shared" si="49"/>
        <v>14884113789.797428</v>
      </c>
      <c r="BP42" s="100">
        <f t="shared" si="49"/>
        <v>14884113789.797428</v>
      </c>
      <c r="BQ42" s="100">
        <f t="shared" si="49"/>
        <v>14884113789.797428</v>
      </c>
      <c r="BR42" s="100">
        <f t="shared" si="49"/>
        <v>14884113789.797428</v>
      </c>
      <c r="BS42" s="100">
        <f t="shared" si="49"/>
        <v>14884113789.797428</v>
      </c>
      <c r="BT42" s="100">
        <f t="shared" si="49"/>
        <v>14884113789.797428</v>
      </c>
      <c r="BU42" s="100">
        <f t="shared" si="49"/>
        <v>14884113789.797428</v>
      </c>
      <c r="BV42" s="100">
        <f t="shared" si="49"/>
        <v>14884113789.797428</v>
      </c>
      <c r="BW42" s="100">
        <f t="shared" si="49"/>
        <v>14884113789.797428</v>
      </c>
      <c r="BX42" s="100">
        <f t="shared" si="49"/>
        <v>14884113789.797428</v>
      </c>
      <c r="BY42" s="100">
        <f t="shared" si="49"/>
        <v>14884113789.797428</v>
      </c>
      <c r="BZ42" s="100">
        <f t="shared" si="49"/>
        <v>14884113789.797428</v>
      </c>
      <c r="CA42" s="100">
        <f t="shared" si="49"/>
        <v>14884113789.797428</v>
      </c>
      <c r="CB42" s="100">
        <f t="shared" si="49"/>
        <v>14884113789.797428</v>
      </c>
      <c r="CC42" s="49">
        <f t="shared" si="3"/>
        <v>3106011.8837296874</v>
      </c>
      <c r="CD42" s="101">
        <f>IFERROR(up_RadSpec!$H$19*(CD19/$B42),".")</f>
        <v>776502.97093242186</v>
      </c>
      <c r="CE42" s="101">
        <f>IFERROR(up_RadSpec!$H$19*(CE19/$B42),".")</f>
        <v>776502.97093242186</v>
      </c>
      <c r="CF42" s="101">
        <f>IFERROR(up_RadSpec!$H$19*(CF19/$B42),".")</f>
        <v>776502.97093242186</v>
      </c>
      <c r="CG42" s="101">
        <f>IFERROR(up_RadSpec!$H$19*(CG19/$B42),".")</f>
        <v>776502.97093242186</v>
      </c>
      <c r="CH42" s="101">
        <f>IFERROR(up_RadSpec!$H$19*(CH19/$B42),".")</f>
        <v>776502.97093242186</v>
      </c>
      <c r="CI42" s="101">
        <f>IFERROR(up_RadSpec!$H$19*(CI19/$B42),".")</f>
        <v>776502.97093242186</v>
      </c>
      <c r="CJ42" s="101">
        <f>IFERROR(up_RadSpec!$H$19*(CJ19/$B42),".")</f>
        <v>776502.97093242186</v>
      </c>
      <c r="CK42" s="101">
        <f>IFERROR(up_RadSpec!$H$19*(CK19/$B42),".")</f>
        <v>776502.97093242186</v>
      </c>
      <c r="CL42" s="101">
        <f>IFERROR(up_RadSpec!$H$19*(CL19/$B42),".")</f>
        <v>776502.97093242186</v>
      </c>
      <c r="CM42" s="101">
        <f>IFERROR(up_RadSpec!$H$19*(CM19/$B42),".")</f>
        <v>776502.97093242186</v>
      </c>
      <c r="CN42" s="101">
        <f>IFERROR(up_RadSpec!$H$19*(CN19/$B42),".")</f>
        <v>776502.97093242186</v>
      </c>
      <c r="CO42" s="101">
        <f>IFERROR(up_RadSpec!$H$19*(CO19/$B42),".")</f>
        <v>776502.97093242186</v>
      </c>
      <c r="CP42" s="101">
        <f>IFERROR(up_RadSpec!$H$19*(CP19/$B42),".")</f>
        <v>776502.97093242186</v>
      </c>
      <c r="CQ42" s="101">
        <f>IFERROR(up_RadSpec!$H$19*(CQ19/$B42),".")</f>
        <v>776502.97093242186</v>
      </c>
      <c r="CR42" s="101">
        <f>IFERROR(up_RadSpec!$H$19*(CR19/$B42),".")</f>
        <v>776502.97093242186</v>
      </c>
      <c r="CS42" s="101">
        <f>IFERROR(up_RadSpec!$H$19*(CS19/$B42),".")</f>
        <v>776502.97093242186</v>
      </c>
      <c r="CT42" s="101">
        <f>IFERROR(up_RadSpec!$H$19*(CT19/$B42),".")</f>
        <v>776502.97093242186</v>
      </c>
      <c r="CU42" s="101">
        <f>IFERROR(up_RadSpec!$H$19*(CU19/$B42),".")</f>
        <v>776502.97093242186</v>
      </c>
      <c r="CV42" s="101">
        <f>IFERROR(up_RadSpec!$H$19*(CV19/$B42),".")</f>
        <v>776502.97093242186</v>
      </c>
      <c r="CW42" s="101">
        <f>IFERROR(up_RadSpec!$H$19*(CW19/$B42),".")</f>
        <v>776502.97093242186</v>
      </c>
      <c r="CX42" s="101">
        <f>IFERROR(up_RadSpec!$H$19*(CX19/$B42),".")</f>
        <v>776502.97093242186</v>
      </c>
      <c r="CY42" s="101">
        <f>IFERROR(up_RadSpec!$H$19*(CY19/$B42),".")</f>
        <v>776502.97093242186</v>
      </c>
      <c r="CZ42" s="101">
        <f>IFERROR(up_RadSpec!$H$19*(CZ19/$B42),".")</f>
        <v>776502.97093242186</v>
      </c>
      <c r="DA42" s="101">
        <f>IFERROR(up_RadSpec!$H$19*(DA19/$B42),".")</f>
        <v>776502.97093242186</v>
      </c>
      <c r="DB42" s="101">
        <f>IFERROR(up_RadSpec!$H$19*(DB19/$B42),".")</f>
        <v>776502.97093242186</v>
      </c>
    </row>
    <row r="43" spans="1:106" s="42" customFormat="1" x14ac:dyDescent="0.25">
      <c r="A43" s="99" t="s">
        <v>1085</v>
      </c>
      <c r="B43" s="90">
        <v>2.0897492E-2</v>
      </c>
      <c r="C43" s="100">
        <f t="shared" ref="C43" si="50">IFERROR($B43/C28,0)</f>
        <v>1270873161.911005</v>
      </c>
      <c r="D43" s="100">
        <f t="shared" ref="D43:AB43" si="51">IFERROR($B43/D28,0)</f>
        <v>317718290.47775126</v>
      </c>
      <c r="E43" s="100">
        <f t="shared" si="51"/>
        <v>317718290.47775126</v>
      </c>
      <c r="F43" s="100">
        <f t="shared" si="51"/>
        <v>317718290.47775126</v>
      </c>
      <c r="G43" s="100">
        <f t="shared" si="51"/>
        <v>317718290.47775126</v>
      </c>
      <c r="H43" s="100">
        <f t="shared" si="51"/>
        <v>317718290.47775126</v>
      </c>
      <c r="I43" s="100">
        <f t="shared" si="51"/>
        <v>317718290.47775126</v>
      </c>
      <c r="J43" s="100">
        <f t="shared" si="51"/>
        <v>317718290.47775126</v>
      </c>
      <c r="K43" s="100">
        <f t="shared" si="51"/>
        <v>317718290.47775126</v>
      </c>
      <c r="L43" s="100">
        <f t="shared" si="51"/>
        <v>317718290.47775126</v>
      </c>
      <c r="M43" s="100">
        <f t="shared" si="51"/>
        <v>317718290.47775126</v>
      </c>
      <c r="N43" s="100">
        <f t="shared" si="51"/>
        <v>317718290.47775126</v>
      </c>
      <c r="O43" s="100">
        <f t="shared" si="51"/>
        <v>317718290.47775126</v>
      </c>
      <c r="P43" s="100">
        <f t="shared" si="51"/>
        <v>317718290.47775126</v>
      </c>
      <c r="Q43" s="100">
        <f t="shared" si="51"/>
        <v>317718290.47775126</v>
      </c>
      <c r="R43" s="100">
        <f t="shared" si="51"/>
        <v>317718290.47775126</v>
      </c>
      <c r="S43" s="100">
        <f t="shared" si="51"/>
        <v>317718290.47775126</v>
      </c>
      <c r="T43" s="100">
        <f t="shared" si="51"/>
        <v>317718290.47775126</v>
      </c>
      <c r="U43" s="100">
        <f t="shared" si="51"/>
        <v>317718290.47775126</v>
      </c>
      <c r="V43" s="100">
        <f t="shared" si="51"/>
        <v>317718290.47775126</v>
      </c>
      <c r="W43" s="100">
        <f t="shared" si="51"/>
        <v>317718290.47775126</v>
      </c>
      <c r="X43" s="100">
        <f t="shared" si="51"/>
        <v>317718290.47775126</v>
      </c>
      <c r="Y43" s="100">
        <f t="shared" si="51"/>
        <v>317718290.47775126</v>
      </c>
      <c r="Z43" s="100">
        <f t="shared" si="51"/>
        <v>317718290.47775126</v>
      </c>
      <c r="AA43" s="100">
        <f t="shared" si="51"/>
        <v>317718290.47775126</v>
      </c>
      <c r="AB43" s="100">
        <f t="shared" si="51"/>
        <v>317718290.47775126</v>
      </c>
      <c r="AC43" s="49">
        <f t="shared" si="1"/>
        <v>145506996.90716442</v>
      </c>
      <c r="AD43" s="101">
        <f>IFERROR(up_RadSpec!$H$28*(AD28/$B43),".")</f>
        <v>36376749.226791106</v>
      </c>
      <c r="AE43" s="101">
        <f>IFERROR(up_RadSpec!$H$28*(AE28/$B43),".")</f>
        <v>36376749.226791106</v>
      </c>
      <c r="AF43" s="101">
        <f>IFERROR(up_RadSpec!$H$28*(AF28/$B43),".")</f>
        <v>36376749.226791106</v>
      </c>
      <c r="AG43" s="101">
        <f>IFERROR(up_RadSpec!$H$28*(AG28/$B43),".")</f>
        <v>36376749.226791106</v>
      </c>
      <c r="AH43" s="101">
        <f>IFERROR(up_RadSpec!$H$28*(AH28/$B43),".")</f>
        <v>36376749.226791106</v>
      </c>
      <c r="AI43" s="101">
        <f>IFERROR(up_RadSpec!$H$28*(AI28/$B43),".")</f>
        <v>36376749.226791106</v>
      </c>
      <c r="AJ43" s="101">
        <f>IFERROR(up_RadSpec!$H$28*(AJ28/$B43),".")</f>
        <v>36376749.226791106</v>
      </c>
      <c r="AK43" s="101">
        <f>IFERROR(up_RadSpec!$H$28*(AK28/$B43),".")</f>
        <v>36376749.226791106</v>
      </c>
      <c r="AL43" s="101">
        <f>IFERROR(up_RadSpec!$H$28*(AL28/$B43),".")</f>
        <v>36376749.226791106</v>
      </c>
      <c r="AM43" s="101">
        <f>IFERROR(up_RadSpec!$H$28*(AM28/$B43),".")</f>
        <v>36376749.226791106</v>
      </c>
      <c r="AN43" s="101">
        <f>IFERROR(up_RadSpec!$H$28*(AN28/$B43),".")</f>
        <v>36376749.226791106</v>
      </c>
      <c r="AO43" s="101">
        <f>IFERROR(up_RadSpec!$H$28*(AO28/$B43),".")</f>
        <v>36376749.226791106</v>
      </c>
      <c r="AP43" s="101">
        <f>IFERROR(up_RadSpec!$H$28*(AP28/$B43),".")</f>
        <v>36376749.226791106</v>
      </c>
      <c r="AQ43" s="101">
        <f>IFERROR(up_RadSpec!$H$28*(AQ28/$B43),".")</f>
        <v>36376749.226791106</v>
      </c>
      <c r="AR43" s="101">
        <f>IFERROR(up_RadSpec!$H$28*(AR28/$B43),".")</f>
        <v>36376749.226791106</v>
      </c>
      <c r="AS43" s="101">
        <f>IFERROR(up_RadSpec!$H$28*(AS28/$B43),".")</f>
        <v>36376749.226791106</v>
      </c>
      <c r="AT43" s="101">
        <f>IFERROR(up_RadSpec!$H$28*(AT28/$B43),".")</f>
        <v>36376749.226791106</v>
      </c>
      <c r="AU43" s="101">
        <f>IFERROR(up_RadSpec!$H$28*(AU28/$B43),".")</f>
        <v>36376749.226791106</v>
      </c>
      <c r="AV43" s="101">
        <f>IFERROR(up_RadSpec!$H$28*(AV28/$B43),".")</f>
        <v>36376749.226791106</v>
      </c>
      <c r="AW43" s="101">
        <f>IFERROR(up_RadSpec!$H$28*(AW28/$B43),".")</f>
        <v>36376749.226791106</v>
      </c>
      <c r="AX43" s="101">
        <f>IFERROR(up_RadSpec!$H$28*(AX28/$B43),".")</f>
        <v>36376749.226791106</v>
      </c>
      <c r="AY43" s="101">
        <f>IFERROR(up_RadSpec!$H$28*(AY28/$B43),".")</f>
        <v>36376749.226791106</v>
      </c>
      <c r="AZ43" s="101">
        <f>IFERROR(up_RadSpec!$H$28*(AZ28/$B43),".")</f>
        <v>36376749.226791106</v>
      </c>
      <c r="BA43" s="101">
        <f>IFERROR(up_RadSpec!$H$28*(BA28/$B43),".")</f>
        <v>36376749.226791106</v>
      </c>
      <c r="BB43" s="101">
        <f>IFERROR(up_RadSpec!$H$28*(BB28/$B43),".")</f>
        <v>36376749.226791106</v>
      </c>
      <c r="BC43" s="100">
        <f t="shared" ref="BC43" si="52">IFERROR($B43/BC28,0)</f>
        <v>1270873161.911005</v>
      </c>
      <c r="BD43" s="100">
        <f t="shared" ref="BD43:CB43" si="53">IFERROR($B43/BD28,0)</f>
        <v>317718290.47775126</v>
      </c>
      <c r="BE43" s="100">
        <f t="shared" si="53"/>
        <v>317718290.47775126</v>
      </c>
      <c r="BF43" s="100">
        <f t="shared" si="53"/>
        <v>317718290.47775126</v>
      </c>
      <c r="BG43" s="100">
        <f t="shared" si="53"/>
        <v>317718290.47775126</v>
      </c>
      <c r="BH43" s="100">
        <f t="shared" si="53"/>
        <v>317718290.47775126</v>
      </c>
      <c r="BI43" s="100">
        <f t="shared" si="53"/>
        <v>317718290.47775126</v>
      </c>
      <c r="BJ43" s="100">
        <f t="shared" si="53"/>
        <v>317718290.47775126</v>
      </c>
      <c r="BK43" s="100">
        <f t="shared" si="53"/>
        <v>317718290.47775126</v>
      </c>
      <c r="BL43" s="100">
        <f t="shared" si="53"/>
        <v>317718290.47775126</v>
      </c>
      <c r="BM43" s="100">
        <f t="shared" si="53"/>
        <v>317718290.47775126</v>
      </c>
      <c r="BN43" s="100">
        <f t="shared" si="53"/>
        <v>317718290.47775126</v>
      </c>
      <c r="BO43" s="100">
        <f t="shared" si="53"/>
        <v>317718290.47775126</v>
      </c>
      <c r="BP43" s="100">
        <f t="shared" si="53"/>
        <v>317718290.47775126</v>
      </c>
      <c r="BQ43" s="100">
        <f t="shared" si="53"/>
        <v>317718290.47775126</v>
      </c>
      <c r="BR43" s="100">
        <f t="shared" si="53"/>
        <v>317718290.47775126</v>
      </c>
      <c r="BS43" s="100">
        <f t="shared" si="53"/>
        <v>317718290.47775126</v>
      </c>
      <c r="BT43" s="100">
        <f t="shared" si="53"/>
        <v>317718290.47775126</v>
      </c>
      <c r="BU43" s="100">
        <f t="shared" si="53"/>
        <v>317718290.47775126</v>
      </c>
      <c r="BV43" s="100">
        <f t="shared" si="53"/>
        <v>317718290.47775126</v>
      </c>
      <c r="BW43" s="100">
        <f t="shared" si="53"/>
        <v>317718290.47775126</v>
      </c>
      <c r="BX43" s="100">
        <f t="shared" si="53"/>
        <v>317718290.47775126</v>
      </c>
      <c r="BY43" s="100">
        <f t="shared" si="53"/>
        <v>317718290.47775126</v>
      </c>
      <c r="BZ43" s="100">
        <f t="shared" si="53"/>
        <v>317718290.47775126</v>
      </c>
      <c r="CA43" s="100">
        <f t="shared" si="53"/>
        <v>317718290.47775126</v>
      </c>
      <c r="CB43" s="100">
        <f t="shared" si="53"/>
        <v>317718290.47775126</v>
      </c>
      <c r="CC43" s="49">
        <f t="shared" si="3"/>
        <v>145506996.90716442</v>
      </c>
      <c r="CD43" s="101">
        <f>IFERROR(up_RadSpec!$H$28*(CD28/$B43),".")</f>
        <v>36376749.226791106</v>
      </c>
      <c r="CE43" s="101">
        <f>IFERROR(up_RadSpec!$H$28*(CE28/$B43),".")</f>
        <v>36376749.226791106</v>
      </c>
      <c r="CF43" s="101">
        <f>IFERROR(up_RadSpec!$H$28*(CF28/$B43),".")</f>
        <v>36376749.226791106</v>
      </c>
      <c r="CG43" s="101">
        <f>IFERROR(up_RadSpec!$H$28*(CG28/$B43),".")</f>
        <v>36376749.226791106</v>
      </c>
      <c r="CH43" s="101">
        <f>IFERROR(up_RadSpec!$H$28*(CH28/$B43),".")</f>
        <v>36376749.226791106</v>
      </c>
      <c r="CI43" s="101">
        <f>IFERROR(up_RadSpec!$H$28*(CI28/$B43),".")</f>
        <v>36376749.226791106</v>
      </c>
      <c r="CJ43" s="101">
        <f>IFERROR(up_RadSpec!$H$28*(CJ28/$B43),".")</f>
        <v>36376749.226791106</v>
      </c>
      <c r="CK43" s="101">
        <f>IFERROR(up_RadSpec!$H$28*(CK28/$B43),".")</f>
        <v>36376749.226791106</v>
      </c>
      <c r="CL43" s="101">
        <f>IFERROR(up_RadSpec!$H$28*(CL28/$B43),".")</f>
        <v>36376749.226791106</v>
      </c>
      <c r="CM43" s="101">
        <f>IFERROR(up_RadSpec!$H$28*(CM28/$B43),".")</f>
        <v>36376749.226791106</v>
      </c>
      <c r="CN43" s="101">
        <f>IFERROR(up_RadSpec!$H$28*(CN28/$B43),".")</f>
        <v>36376749.226791106</v>
      </c>
      <c r="CO43" s="101">
        <f>IFERROR(up_RadSpec!$H$28*(CO28/$B43),".")</f>
        <v>36376749.226791106</v>
      </c>
      <c r="CP43" s="101">
        <f>IFERROR(up_RadSpec!$H$28*(CP28/$B43),".")</f>
        <v>36376749.226791106</v>
      </c>
      <c r="CQ43" s="101">
        <f>IFERROR(up_RadSpec!$H$28*(CQ28/$B43),".")</f>
        <v>36376749.226791106</v>
      </c>
      <c r="CR43" s="101">
        <f>IFERROR(up_RadSpec!$H$28*(CR28/$B43),".")</f>
        <v>36376749.226791106</v>
      </c>
      <c r="CS43" s="101">
        <f>IFERROR(up_RadSpec!$H$28*(CS28/$B43),".")</f>
        <v>36376749.226791106</v>
      </c>
      <c r="CT43" s="101">
        <f>IFERROR(up_RadSpec!$H$28*(CT28/$B43),".")</f>
        <v>36376749.226791106</v>
      </c>
      <c r="CU43" s="101">
        <f>IFERROR(up_RadSpec!$H$28*(CU28/$B43),".")</f>
        <v>36376749.226791106</v>
      </c>
      <c r="CV43" s="101">
        <f>IFERROR(up_RadSpec!$H$28*(CV28/$B43),".")</f>
        <v>36376749.226791106</v>
      </c>
      <c r="CW43" s="101">
        <f>IFERROR(up_RadSpec!$H$28*(CW28/$B43),".")</f>
        <v>36376749.226791106</v>
      </c>
      <c r="CX43" s="101">
        <f>IFERROR(up_RadSpec!$H$28*(CX28/$B43),".")</f>
        <v>36376749.226791106</v>
      </c>
      <c r="CY43" s="101">
        <f>IFERROR(up_RadSpec!$H$28*(CY28/$B43),".")</f>
        <v>36376749.226791106</v>
      </c>
      <c r="CZ43" s="101">
        <f>IFERROR(up_RadSpec!$H$28*(CZ28/$B43),".")</f>
        <v>36376749.226791106</v>
      </c>
      <c r="DA43" s="101">
        <f>IFERROR(up_RadSpec!$H$28*(DA28/$B43),".")</f>
        <v>36376749.226791106</v>
      </c>
      <c r="DB43" s="101">
        <f>IFERROR(up_RadSpec!$H$28*(DB28/$B43),".")</f>
        <v>36376749.226791106</v>
      </c>
    </row>
    <row r="44" spans="1:106" s="42" customFormat="1" x14ac:dyDescent="0.25">
      <c r="A44" s="99" t="s">
        <v>1086</v>
      </c>
      <c r="B44" s="90">
        <v>0.99987999999999999</v>
      </c>
      <c r="C44" s="100">
        <f t="shared" ref="C44" si="54">IFERROR($B44/C15,0)</f>
        <v>60807328321.100716</v>
      </c>
      <c r="D44" s="100">
        <f t="shared" ref="D44:AB44" si="55">IFERROR($B44/D15,0)</f>
        <v>15201832080.275179</v>
      </c>
      <c r="E44" s="100">
        <f t="shared" si="55"/>
        <v>15201832080.275179</v>
      </c>
      <c r="F44" s="100">
        <f t="shared" si="55"/>
        <v>15201832080.275179</v>
      </c>
      <c r="G44" s="100">
        <f t="shared" si="55"/>
        <v>15201832080.275179</v>
      </c>
      <c r="H44" s="100">
        <f t="shared" si="55"/>
        <v>15201832080.275179</v>
      </c>
      <c r="I44" s="100">
        <f t="shared" si="55"/>
        <v>15201832080.275179</v>
      </c>
      <c r="J44" s="100">
        <f t="shared" si="55"/>
        <v>15201832080.275179</v>
      </c>
      <c r="K44" s="100">
        <f t="shared" si="55"/>
        <v>15201832080.275179</v>
      </c>
      <c r="L44" s="100">
        <f t="shared" si="55"/>
        <v>15201832080.275179</v>
      </c>
      <c r="M44" s="100">
        <f t="shared" si="55"/>
        <v>15201832080.275179</v>
      </c>
      <c r="N44" s="100">
        <f t="shared" si="55"/>
        <v>15201832080.275179</v>
      </c>
      <c r="O44" s="100">
        <f t="shared" si="55"/>
        <v>15201832080.275179</v>
      </c>
      <c r="P44" s="100">
        <f t="shared" si="55"/>
        <v>15201832080.275179</v>
      </c>
      <c r="Q44" s="100">
        <f t="shared" si="55"/>
        <v>15201832080.275179</v>
      </c>
      <c r="R44" s="100">
        <f t="shared" si="55"/>
        <v>15201832080.275179</v>
      </c>
      <c r="S44" s="100">
        <f t="shared" si="55"/>
        <v>15201832080.275179</v>
      </c>
      <c r="T44" s="100">
        <f t="shared" si="55"/>
        <v>15201832080.275179</v>
      </c>
      <c r="U44" s="100">
        <f t="shared" si="55"/>
        <v>15201832080.275179</v>
      </c>
      <c r="V44" s="100">
        <f t="shared" si="55"/>
        <v>15201832080.275179</v>
      </c>
      <c r="W44" s="100">
        <f t="shared" si="55"/>
        <v>15201832080.275179</v>
      </c>
      <c r="X44" s="100">
        <f t="shared" si="55"/>
        <v>15201832080.275179</v>
      </c>
      <c r="Y44" s="100">
        <f t="shared" si="55"/>
        <v>15201832080.275179</v>
      </c>
      <c r="Z44" s="100">
        <f t="shared" si="55"/>
        <v>15201832080.275179</v>
      </c>
      <c r="AA44" s="100">
        <f t="shared" si="55"/>
        <v>15201832080.275179</v>
      </c>
      <c r="AB44" s="100">
        <f t="shared" si="55"/>
        <v>15201832080.275179</v>
      </c>
      <c r="AC44" s="49">
        <f t="shared" si="1"/>
        <v>3041096.2353597367</v>
      </c>
      <c r="AD44" s="101">
        <f>IFERROR(up_RadSpec!$H$15*(AD15/$B44),".")</f>
        <v>760274.05883993418</v>
      </c>
      <c r="AE44" s="101">
        <f>IFERROR(up_RadSpec!$H$15*(AE15/$B44),".")</f>
        <v>760274.05883993418</v>
      </c>
      <c r="AF44" s="101">
        <f>IFERROR(up_RadSpec!$H$15*(AF15/$B44),".")</f>
        <v>760274.05883993418</v>
      </c>
      <c r="AG44" s="101">
        <f>IFERROR(up_RadSpec!$H$15*(AG15/$B44),".")</f>
        <v>760274.05883993418</v>
      </c>
      <c r="AH44" s="101">
        <f>IFERROR(up_RadSpec!$H$15*(AH15/$B44),".")</f>
        <v>760274.05883993418</v>
      </c>
      <c r="AI44" s="101">
        <f>IFERROR(up_RadSpec!$H$15*(AI15/$B44),".")</f>
        <v>760274.05883993418</v>
      </c>
      <c r="AJ44" s="101">
        <f>IFERROR(up_RadSpec!$H$15*(AJ15/$B44),".")</f>
        <v>760274.05883993418</v>
      </c>
      <c r="AK44" s="101">
        <f>IFERROR(up_RadSpec!$H$15*(AK15/$B44),".")</f>
        <v>760274.05883993418</v>
      </c>
      <c r="AL44" s="101">
        <f>IFERROR(up_RadSpec!$H$15*(AL15/$B44),".")</f>
        <v>760274.05883993418</v>
      </c>
      <c r="AM44" s="101">
        <f>IFERROR(up_RadSpec!$H$15*(AM15/$B44),".")</f>
        <v>760274.05883993418</v>
      </c>
      <c r="AN44" s="101">
        <f>IFERROR(up_RadSpec!$H$15*(AN15/$B44),".")</f>
        <v>760274.05883993418</v>
      </c>
      <c r="AO44" s="101">
        <f>IFERROR(up_RadSpec!$H$15*(AO15/$B44),".")</f>
        <v>760274.05883993418</v>
      </c>
      <c r="AP44" s="101">
        <f>IFERROR(up_RadSpec!$H$15*(AP15/$B44),".")</f>
        <v>760274.05883993418</v>
      </c>
      <c r="AQ44" s="101">
        <f>IFERROR(up_RadSpec!$H$15*(AQ15/$B44),".")</f>
        <v>760274.05883993418</v>
      </c>
      <c r="AR44" s="101">
        <f>IFERROR(up_RadSpec!$H$15*(AR15/$B44),".")</f>
        <v>760274.05883993418</v>
      </c>
      <c r="AS44" s="101">
        <f>IFERROR(up_RadSpec!$H$15*(AS15/$B44),".")</f>
        <v>760274.05883993418</v>
      </c>
      <c r="AT44" s="101">
        <f>IFERROR(up_RadSpec!$H$15*(AT15/$B44),".")</f>
        <v>760274.05883993418</v>
      </c>
      <c r="AU44" s="101">
        <f>IFERROR(up_RadSpec!$H$15*(AU15/$B44),".")</f>
        <v>760274.05883993418</v>
      </c>
      <c r="AV44" s="101">
        <f>IFERROR(up_RadSpec!$H$15*(AV15/$B44),".")</f>
        <v>760274.05883993418</v>
      </c>
      <c r="AW44" s="101">
        <f>IFERROR(up_RadSpec!$H$15*(AW15/$B44),".")</f>
        <v>760274.05883993418</v>
      </c>
      <c r="AX44" s="101">
        <f>IFERROR(up_RadSpec!$H$15*(AX15/$B44),".")</f>
        <v>760274.05883993418</v>
      </c>
      <c r="AY44" s="101">
        <f>IFERROR(up_RadSpec!$H$15*(AY15/$B44),".")</f>
        <v>760274.05883993418</v>
      </c>
      <c r="AZ44" s="101">
        <f>IFERROR(up_RadSpec!$H$15*(AZ15/$B44),".")</f>
        <v>760274.05883993418</v>
      </c>
      <c r="BA44" s="101">
        <f>IFERROR(up_RadSpec!$H$15*(BA15/$B44),".")</f>
        <v>760274.05883993418</v>
      </c>
      <c r="BB44" s="101">
        <f>IFERROR(up_RadSpec!$H$15*(BB15/$B44),".")</f>
        <v>760274.05883993418</v>
      </c>
      <c r="BC44" s="100">
        <f t="shared" ref="BC44" si="56">IFERROR($B44/BC15,0)</f>
        <v>60807328321.100716</v>
      </c>
      <c r="BD44" s="100">
        <f t="shared" ref="BD44:CB44" si="57">IFERROR($B44/BD15,0)</f>
        <v>15201832080.275179</v>
      </c>
      <c r="BE44" s="100">
        <f t="shared" si="57"/>
        <v>15201832080.275179</v>
      </c>
      <c r="BF44" s="100">
        <f t="shared" si="57"/>
        <v>15201832080.275179</v>
      </c>
      <c r="BG44" s="100">
        <f t="shared" si="57"/>
        <v>15201832080.275179</v>
      </c>
      <c r="BH44" s="100">
        <f t="shared" si="57"/>
        <v>15201832080.275179</v>
      </c>
      <c r="BI44" s="100">
        <f t="shared" si="57"/>
        <v>15201832080.275179</v>
      </c>
      <c r="BJ44" s="100">
        <f t="shared" si="57"/>
        <v>15201832080.275179</v>
      </c>
      <c r="BK44" s="100">
        <f t="shared" si="57"/>
        <v>15201832080.275179</v>
      </c>
      <c r="BL44" s="100">
        <f t="shared" si="57"/>
        <v>15201832080.275179</v>
      </c>
      <c r="BM44" s="100">
        <f t="shared" si="57"/>
        <v>15201832080.275179</v>
      </c>
      <c r="BN44" s="100">
        <f t="shared" si="57"/>
        <v>15201832080.275179</v>
      </c>
      <c r="BO44" s="100">
        <f t="shared" si="57"/>
        <v>15201832080.275179</v>
      </c>
      <c r="BP44" s="100">
        <f t="shared" si="57"/>
        <v>15201832080.275179</v>
      </c>
      <c r="BQ44" s="100">
        <f t="shared" si="57"/>
        <v>15201832080.275179</v>
      </c>
      <c r="BR44" s="100">
        <f t="shared" si="57"/>
        <v>15201832080.275179</v>
      </c>
      <c r="BS44" s="100">
        <f t="shared" si="57"/>
        <v>15201832080.275179</v>
      </c>
      <c r="BT44" s="100">
        <f t="shared" si="57"/>
        <v>15201832080.275179</v>
      </c>
      <c r="BU44" s="100">
        <f t="shared" si="57"/>
        <v>15201832080.275179</v>
      </c>
      <c r="BV44" s="100">
        <f t="shared" si="57"/>
        <v>15201832080.275179</v>
      </c>
      <c r="BW44" s="100">
        <f t="shared" si="57"/>
        <v>15201832080.275179</v>
      </c>
      <c r="BX44" s="100">
        <f t="shared" si="57"/>
        <v>15201832080.275179</v>
      </c>
      <c r="BY44" s="100">
        <f t="shared" si="57"/>
        <v>15201832080.275179</v>
      </c>
      <c r="BZ44" s="100">
        <f t="shared" si="57"/>
        <v>15201832080.275179</v>
      </c>
      <c r="CA44" s="100">
        <f t="shared" si="57"/>
        <v>15201832080.275179</v>
      </c>
      <c r="CB44" s="100">
        <f t="shared" si="57"/>
        <v>15201832080.275179</v>
      </c>
      <c r="CC44" s="49">
        <f t="shared" si="3"/>
        <v>3041096.2353597367</v>
      </c>
      <c r="CD44" s="101">
        <f>IFERROR(up_RadSpec!$H$15*(CD15/$B44),".")</f>
        <v>760274.05883993418</v>
      </c>
      <c r="CE44" s="101">
        <f>IFERROR(up_RadSpec!$H$15*(CE15/$B44),".")</f>
        <v>760274.05883993418</v>
      </c>
      <c r="CF44" s="101">
        <f>IFERROR(up_RadSpec!$H$15*(CF15/$B44),".")</f>
        <v>760274.05883993418</v>
      </c>
      <c r="CG44" s="101">
        <f>IFERROR(up_RadSpec!$H$15*(CG15/$B44),".")</f>
        <v>760274.05883993418</v>
      </c>
      <c r="CH44" s="101">
        <f>IFERROR(up_RadSpec!$H$15*(CH15/$B44),".")</f>
        <v>760274.05883993418</v>
      </c>
      <c r="CI44" s="101">
        <f>IFERROR(up_RadSpec!$H$15*(CI15/$B44),".")</f>
        <v>760274.05883993418</v>
      </c>
      <c r="CJ44" s="101">
        <f>IFERROR(up_RadSpec!$H$15*(CJ15/$B44),".")</f>
        <v>760274.05883993418</v>
      </c>
      <c r="CK44" s="101">
        <f>IFERROR(up_RadSpec!$H$15*(CK15/$B44),".")</f>
        <v>760274.05883993418</v>
      </c>
      <c r="CL44" s="101">
        <f>IFERROR(up_RadSpec!$H$15*(CL15/$B44),".")</f>
        <v>760274.05883993418</v>
      </c>
      <c r="CM44" s="101">
        <f>IFERROR(up_RadSpec!$H$15*(CM15/$B44),".")</f>
        <v>760274.05883993418</v>
      </c>
      <c r="CN44" s="101">
        <f>IFERROR(up_RadSpec!$H$15*(CN15/$B44),".")</f>
        <v>760274.05883993418</v>
      </c>
      <c r="CO44" s="101">
        <f>IFERROR(up_RadSpec!$H$15*(CO15/$B44),".")</f>
        <v>760274.05883993418</v>
      </c>
      <c r="CP44" s="101">
        <f>IFERROR(up_RadSpec!$H$15*(CP15/$B44),".")</f>
        <v>760274.05883993418</v>
      </c>
      <c r="CQ44" s="101">
        <f>IFERROR(up_RadSpec!$H$15*(CQ15/$B44),".")</f>
        <v>760274.05883993418</v>
      </c>
      <c r="CR44" s="101">
        <f>IFERROR(up_RadSpec!$H$15*(CR15/$B44),".")</f>
        <v>760274.05883993418</v>
      </c>
      <c r="CS44" s="101">
        <f>IFERROR(up_RadSpec!$H$15*(CS15/$B44),".")</f>
        <v>760274.05883993418</v>
      </c>
      <c r="CT44" s="101">
        <f>IFERROR(up_RadSpec!$H$15*(CT15/$B44),".")</f>
        <v>760274.05883993418</v>
      </c>
      <c r="CU44" s="101">
        <f>IFERROR(up_RadSpec!$H$15*(CU15/$B44),".")</f>
        <v>760274.05883993418</v>
      </c>
      <c r="CV44" s="101">
        <f>IFERROR(up_RadSpec!$H$15*(CV15/$B44),".")</f>
        <v>760274.05883993418</v>
      </c>
      <c r="CW44" s="101">
        <f>IFERROR(up_RadSpec!$H$15*(CW15/$B44),".")</f>
        <v>760274.05883993418</v>
      </c>
      <c r="CX44" s="101">
        <f>IFERROR(up_RadSpec!$H$15*(CX15/$B44),".")</f>
        <v>760274.05883993418</v>
      </c>
      <c r="CY44" s="101">
        <f>IFERROR(up_RadSpec!$H$15*(CY15/$B44),".")</f>
        <v>760274.05883993418</v>
      </c>
      <c r="CZ44" s="101">
        <f>IFERROR(up_RadSpec!$H$15*(CZ15/$B44),".")</f>
        <v>760274.05883993418</v>
      </c>
      <c r="DA44" s="101">
        <f>IFERROR(up_RadSpec!$H$15*(DA15/$B44),".")</f>
        <v>760274.05883993418</v>
      </c>
      <c r="DB44" s="101">
        <f>IFERROR(up_RadSpec!$H$15*(DB15/$B44),".")</f>
        <v>760274.05883993418</v>
      </c>
    </row>
    <row r="45" spans="1:106" s="42" customFormat="1" x14ac:dyDescent="0.25">
      <c r="A45" s="95" t="s">
        <v>20</v>
      </c>
      <c r="B45" s="95" t="s">
        <v>1071</v>
      </c>
      <c r="C45" s="96">
        <f>IFERROR(1/SUM(C46:C47),".")</f>
        <v>8.4585891830914918E-12</v>
      </c>
      <c r="D45" s="96">
        <f>IFERROR(1/SUM(D46:D47),".")</f>
        <v>3.3834356732365967E-11</v>
      </c>
      <c r="E45" s="96">
        <f t="shared" ref="E45:AB45" si="58">IFERROR(1/SUM(E46:E47),".")</f>
        <v>3.3834356732365967E-11</v>
      </c>
      <c r="F45" s="96">
        <f t="shared" si="58"/>
        <v>3.3834356732365967E-11</v>
      </c>
      <c r="G45" s="96">
        <f t="shared" si="58"/>
        <v>3.3834356732365967E-11</v>
      </c>
      <c r="H45" s="96">
        <f t="shared" si="58"/>
        <v>3.3834356732365967E-11</v>
      </c>
      <c r="I45" s="96">
        <f t="shared" si="58"/>
        <v>3.3834356732365967E-11</v>
      </c>
      <c r="J45" s="96">
        <f t="shared" si="58"/>
        <v>3.3834356732365967E-11</v>
      </c>
      <c r="K45" s="96">
        <f t="shared" si="58"/>
        <v>3.3834356732365967E-11</v>
      </c>
      <c r="L45" s="96">
        <f t="shared" si="58"/>
        <v>3.3834356732365967E-11</v>
      </c>
      <c r="M45" s="96">
        <f t="shared" si="58"/>
        <v>3.3834356732365967E-11</v>
      </c>
      <c r="N45" s="96">
        <f t="shared" si="58"/>
        <v>3.3834356732365967E-11</v>
      </c>
      <c r="O45" s="96">
        <f t="shared" si="58"/>
        <v>3.3834356732365967E-11</v>
      </c>
      <c r="P45" s="96">
        <f t="shared" si="58"/>
        <v>3.3834356732365967E-11</v>
      </c>
      <c r="Q45" s="96">
        <f t="shared" si="58"/>
        <v>3.3834356732365967E-11</v>
      </c>
      <c r="R45" s="96">
        <f t="shared" si="58"/>
        <v>3.3834356732365967E-11</v>
      </c>
      <c r="S45" s="96">
        <f t="shared" si="58"/>
        <v>3.3834356732365967E-11</v>
      </c>
      <c r="T45" s="96">
        <f t="shared" si="58"/>
        <v>3.3834356732365967E-11</v>
      </c>
      <c r="U45" s="96">
        <f t="shared" si="58"/>
        <v>3.3834356732365967E-11</v>
      </c>
      <c r="V45" s="96">
        <f t="shared" si="58"/>
        <v>3.3834356732365967E-11</v>
      </c>
      <c r="W45" s="96">
        <f t="shared" si="58"/>
        <v>3.3834356732365967E-11</v>
      </c>
      <c r="X45" s="96">
        <f t="shared" si="58"/>
        <v>3.3834356732365967E-11</v>
      </c>
      <c r="Y45" s="96">
        <f t="shared" si="58"/>
        <v>3.3834356732365967E-11</v>
      </c>
      <c r="Z45" s="96">
        <f t="shared" si="58"/>
        <v>3.3834356732365967E-11</v>
      </c>
      <c r="AA45" s="96">
        <f t="shared" si="58"/>
        <v>3.3834356732365967E-11</v>
      </c>
      <c r="AB45" s="96">
        <f t="shared" si="58"/>
        <v>3.3834356732365967E-11</v>
      </c>
      <c r="AC45" s="47">
        <f t="shared" si="1"/>
        <v>4</v>
      </c>
      <c r="AD45" s="97">
        <f>IFERROR(IF(SUM(AD46:AD47)&gt;0.01,1-EXP(-(SUM(AD46:AD47))),SUM(AD46:AD47)),".")</f>
        <v>1</v>
      </c>
      <c r="AE45" s="97">
        <f>IFERROR(IF(SUM(AE46:AE47)&gt;0.01,1-EXP(-(SUM(AE46:AE47))),SUM(AE46:AE47)),".")</f>
        <v>1</v>
      </c>
      <c r="AF45" s="97">
        <f t="shared" ref="AF45:AZ45" si="59">IFERROR(IF(SUM(AF46:AF47)&gt;0.01,1-EXP(-(SUM(AF46:AF47))),SUM(AF46:AF47)),".")</f>
        <v>1</v>
      </c>
      <c r="AG45" s="97">
        <f t="shared" si="59"/>
        <v>1</v>
      </c>
      <c r="AH45" s="97">
        <f t="shared" si="59"/>
        <v>1</v>
      </c>
      <c r="AI45" s="97">
        <f t="shared" si="59"/>
        <v>1</v>
      </c>
      <c r="AJ45" s="97">
        <f t="shared" si="59"/>
        <v>1</v>
      </c>
      <c r="AK45" s="97">
        <f t="shared" si="59"/>
        <v>1</v>
      </c>
      <c r="AL45" s="97">
        <f t="shared" si="59"/>
        <v>1</v>
      </c>
      <c r="AM45" s="97">
        <f t="shared" si="59"/>
        <v>1</v>
      </c>
      <c r="AN45" s="97">
        <f t="shared" si="59"/>
        <v>1</v>
      </c>
      <c r="AO45" s="97">
        <f t="shared" si="59"/>
        <v>1</v>
      </c>
      <c r="AP45" s="97">
        <f t="shared" si="59"/>
        <v>1</v>
      </c>
      <c r="AQ45" s="97">
        <f t="shared" si="59"/>
        <v>1</v>
      </c>
      <c r="AR45" s="97">
        <f t="shared" si="59"/>
        <v>1</v>
      </c>
      <c r="AS45" s="97">
        <f t="shared" si="59"/>
        <v>1</v>
      </c>
      <c r="AT45" s="97">
        <f t="shared" si="59"/>
        <v>1</v>
      </c>
      <c r="AU45" s="97">
        <f t="shared" si="59"/>
        <v>1</v>
      </c>
      <c r="AV45" s="97">
        <f t="shared" si="59"/>
        <v>1</v>
      </c>
      <c r="AW45" s="97">
        <f t="shared" si="59"/>
        <v>1</v>
      </c>
      <c r="AX45" s="97">
        <f t="shared" si="59"/>
        <v>1</v>
      </c>
      <c r="AY45" s="97">
        <f t="shared" si="59"/>
        <v>1</v>
      </c>
      <c r="AZ45" s="97">
        <f t="shared" si="59"/>
        <v>1</v>
      </c>
      <c r="BA45" s="97">
        <f>IFERROR(IF(SUM(BA46:BA47)&gt;0.01,1-EXP(-(SUM(BA46:BA47))),SUM(BA46:BA47)),".")</f>
        <v>1</v>
      </c>
      <c r="BB45" s="97">
        <f>IFERROR(IF(SUM(BB46:BB47)&gt;0.01,1-EXP(-(SUM(BB46:BB47))),SUM(BB46:BB47)),".")</f>
        <v>1</v>
      </c>
      <c r="BC45" s="98">
        <f>IFERROR(1/SUM(BC46:BC47),".")</f>
        <v>8.4585891830914918E-12</v>
      </c>
      <c r="BD45" s="98">
        <f>IFERROR(1/SUM(BD46:BD47),".")</f>
        <v>3.3834356732365967E-11</v>
      </c>
      <c r="BE45" s="98">
        <f t="shared" ref="BE45:CB45" si="60">IFERROR(1/SUM(BE46:BE47),".")</f>
        <v>3.3834356732365967E-11</v>
      </c>
      <c r="BF45" s="98">
        <f t="shared" si="60"/>
        <v>3.3834356732365967E-11</v>
      </c>
      <c r="BG45" s="98">
        <f t="shared" si="60"/>
        <v>3.3834356732365967E-11</v>
      </c>
      <c r="BH45" s="98">
        <f t="shared" si="60"/>
        <v>3.3834356732365967E-11</v>
      </c>
      <c r="BI45" s="98">
        <f t="shared" si="60"/>
        <v>3.3834356732365967E-11</v>
      </c>
      <c r="BJ45" s="98">
        <f t="shared" si="60"/>
        <v>3.3834356732365967E-11</v>
      </c>
      <c r="BK45" s="98">
        <f t="shared" si="60"/>
        <v>3.3834356732365967E-11</v>
      </c>
      <c r="BL45" s="98">
        <f t="shared" si="60"/>
        <v>3.3834356732365967E-11</v>
      </c>
      <c r="BM45" s="98">
        <f t="shared" si="60"/>
        <v>3.3834356732365967E-11</v>
      </c>
      <c r="BN45" s="98">
        <f t="shared" si="60"/>
        <v>3.3834356732365967E-11</v>
      </c>
      <c r="BO45" s="98">
        <f t="shared" si="60"/>
        <v>3.3834356732365967E-11</v>
      </c>
      <c r="BP45" s="98">
        <f t="shared" si="60"/>
        <v>3.3834356732365967E-11</v>
      </c>
      <c r="BQ45" s="98">
        <f t="shared" si="60"/>
        <v>3.3834356732365967E-11</v>
      </c>
      <c r="BR45" s="98">
        <f t="shared" si="60"/>
        <v>3.3834356732365967E-11</v>
      </c>
      <c r="BS45" s="98">
        <f t="shared" si="60"/>
        <v>3.3834356732365967E-11</v>
      </c>
      <c r="BT45" s="98">
        <f t="shared" si="60"/>
        <v>3.3834356732365967E-11</v>
      </c>
      <c r="BU45" s="98">
        <f t="shared" si="60"/>
        <v>3.3834356732365967E-11</v>
      </c>
      <c r="BV45" s="98">
        <f t="shared" si="60"/>
        <v>3.3834356732365967E-11</v>
      </c>
      <c r="BW45" s="98">
        <f t="shared" si="60"/>
        <v>3.3834356732365967E-11</v>
      </c>
      <c r="BX45" s="98">
        <f t="shared" si="60"/>
        <v>3.3834356732365967E-11</v>
      </c>
      <c r="BY45" s="98">
        <f t="shared" si="60"/>
        <v>3.3834356732365967E-11</v>
      </c>
      <c r="BZ45" s="98">
        <f t="shared" si="60"/>
        <v>3.3834356732365967E-11</v>
      </c>
      <c r="CA45" s="98">
        <f t="shared" si="60"/>
        <v>3.3834356732365967E-11</v>
      </c>
      <c r="CB45" s="98">
        <f t="shared" si="60"/>
        <v>3.3834356732365967E-11</v>
      </c>
      <c r="CC45" s="47">
        <f t="shared" si="3"/>
        <v>4</v>
      </c>
      <c r="CD45" s="97">
        <f>IFERROR(IF(SUM(CD46:CD47)&gt;0.01,1-EXP(-(SUM(CD46:CD47))),SUM(CD46:CD47)),".")</f>
        <v>1</v>
      </c>
      <c r="CE45" s="97">
        <f>IFERROR(IF(SUM(CE46:CE47)&gt;0.01,1-EXP(-(SUM(CE46:CE47))),SUM(CE46:CE47)),".")</f>
        <v>1</v>
      </c>
      <c r="CF45" s="97">
        <f t="shared" ref="CF45:CZ45" si="61">IFERROR(IF(SUM(CF46:CF47)&gt;0.01,1-EXP(-(SUM(CF46:CF47))),SUM(CF46:CF47)),".")</f>
        <v>1</v>
      </c>
      <c r="CG45" s="97">
        <f t="shared" si="61"/>
        <v>1</v>
      </c>
      <c r="CH45" s="97">
        <f t="shared" si="61"/>
        <v>1</v>
      </c>
      <c r="CI45" s="97">
        <f t="shared" si="61"/>
        <v>1</v>
      </c>
      <c r="CJ45" s="97">
        <f t="shared" si="61"/>
        <v>1</v>
      </c>
      <c r="CK45" s="97">
        <f t="shared" si="61"/>
        <v>1</v>
      </c>
      <c r="CL45" s="97">
        <f t="shared" si="61"/>
        <v>1</v>
      </c>
      <c r="CM45" s="97">
        <f t="shared" si="61"/>
        <v>1</v>
      </c>
      <c r="CN45" s="97">
        <f t="shared" si="61"/>
        <v>1</v>
      </c>
      <c r="CO45" s="97">
        <f t="shared" si="61"/>
        <v>1</v>
      </c>
      <c r="CP45" s="97">
        <f t="shared" si="61"/>
        <v>1</v>
      </c>
      <c r="CQ45" s="97">
        <f t="shared" si="61"/>
        <v>1</v>
      </c>
      <c r="CR45" s="97">
        <f t="shared" si="61"/>
        <v>1</v>
      </c>
      <c r="CS45" s="97">
        <f t="shared" si="61"/>
        <v>1</v>
      </c>
      <c r="CT45" s="97">
        <f t="shared" si="61"/>
        <v>1</v>
      </c>
      <c r="CU45" s="97">
        <f t="shared" si="61"/>
        <v>1</v>
      </c>
      <c r="CV45" s="97">
        <f t="shared" si="61"/>
        <v>1</v>
      </c>
      <c r="CW45" s="97">
        <f t="shared" si="61"/>
        <v>1</v>
      </c>
      <c r="CX45" s="97">
        <f t="shared" si="61"/>
        <v>1</v>
      </c>
      <c r="CY45" s="97">
        <f t="shared" si="61"/>
        <v>1</v>
      </c>
      <c r="CZ45" s="97">
        <f t="shared" si="61"/>
        <v>1</v>
      </c>
      <c r="DA45" s="97">
        <f>IFERROR(IF(SUM(DA46:DA47)&gt;0.01,1-EXP(-(SUM(DA46:DA47))),SUM(DA46:DA47)),".")</f>
        <v>1</v>
      </c>
      <c r="DB45" s="97">
        <f>IFERROR(IF(SUM(DB46:DB47)&gt;0.01,1-EXP(-(SUM(DB46:DB47))),SUM(DB46:DB47)),".")</f>
        <v>1</v>
      </c>
    </row>
    <row r="46" spans="1:106" s="42" customFormat="1" x14ac:dyDescent="0.25">
      <c r="A46" s="99" t="s">
        <v>1098</v>
      </c>
      <c r="B46" s="90">
        <v>1</v>
      </c>
      <c r="C46" s="100">
        <f t="shared" ref="C46" si="62">IFERROR($B46/C10,0)</f>
        <v>60814626076.229866</v>
      </c>
      <c r="D46" s="100">
        <f t="shared" ref="D46:AB46" si="63">IFERROR($B46/D10,0)</f>
        <v>15203656519.057467</v>
      </c>
      <c r="E46" s="100">
        <f t="shared" si="63"/>
        <v>15203656519.057467</v>
      </c>
      <c r="F46" s="100">
        <f t="shared" si="63"/>
        <v>15203656519.057467</v>
      </c>
      <c r="G46" s="100">
        <f t="shared" si="63"/>
        <v>15203656519.057467</v>
      </c>
      <c r="H46" s="100">
        <f t="shared" si="63"/>
        <v>15203656519.057467</v>
      </c>
      <c r="I46" s="100">
        <f t="shared" si="63"/>
        <v>15203656519.057467</v>
      </c>
      <c r="J46" s="100">
        <f t="shared" si="63"/>
        <v>15203656519.057467</v>
      </c>
      <c r="K46" s="100">
        <f t="shared" si="63"/>
        <v>15203656519.057467</v>
      </c>
      <c r="L46" s="100">
        <f t="shared" si="63"/>
        <v>15203656519.057467</v>
      </c>
      <c r="M46" s="100">
        <f t="shared" si="63"/>
        <v>15203656519.057467</v>
      </c>
      <c r="N46" s="100">
        <f t="shared" si="63"/>
        <v>15203656519.057467</v>
      </c>
      <c r="O46" s="100">
        <f t="shared" si="63"/>
        <v>15203656519.057467</v>
      </c>
      <c r="P46" s="100">
        <f t="shared" si="63"/>
        <v>15203656519.057467</v>
      </c>
      <c r="Q46" s="100">
        <f t="shared" si="63"/>
        <v>15203656519.057467</v>
      </c>
      <c r="R46" s="100">
        <f t="shared" si="63"/>
        <v>15203656519.057467</v>
      </c>
      <c r="S46" s="100">
        <f t="shared" si="63"/>
        <v>15203656519.057467</v>
      </c>
      <c r="T46" s="100">
        <f t="shared" si="63"/>
        <v>15203656519.057467</v>
      </c>
      <c r="U46" s="100">
        <f t="shared" si="63"/>
        <v>15203656519.057467</v>
      </c>
      <c r="V46" s="100">
        <f t="shared" si="63"/>
        <v>15203656519.057467</v>
      </c>
      <c r="W46" s="100">
        <f t="shared" si="63"/>
        <v>15203656519.057467</v>
      </c>
      <c r="X46" s="100">
        <f t="shared" si="63"/>
        <v>15203656519.057467</v>
      </c>
      <c r="Y46" s="100">
        <f t="shared" si="63"/>
        <v>15203656519.057467</v>
      </c>
      <c r="Z46" s="100">
        <f t="shared" si="63"/>
        <v>15203656519.057467</v>
      </c>
      <c r="AA46" s="100">
        <f t="shared" si="63"/>
        <v>15203656519.057467</v>
      </c>
      <c r="AB46" s="100">
        <f t="shared" si="63"/>
        <v>15203656519.057467</v>
      </c>
      <c r="AC46" s="49">
        <f t="shared" si="1"/>
        <v>3040731.3038114933</v>
      </c>
      <c r="AD46" s="101">
        <f>IFERROR(up_RadSpec!$H$10*(AD10/$B46),".")</f>
        <v>760182.82595287333</v>
      </c>
      <c r="AE46" s="101">
        <f>IFERROR(up_RadSpec!$H$10*(AE10/$B46),".")</f>
        <v>760182.82595287333</v>
      </c>
      <c r="AF46" s="101">
        <f>IFERROR(up_RadSpec!$H$10*(AF10/$B46),".")</f>
        <v>760182.82595287333</v>
      </c>
      <c r="AG46" s="101">
        <f>IFERROR(up_RadSpec!$H$10*(AG10/$B46),".")</f>
        <v>760182.82595287333</v>
      </c>
      <c r="AH46" s="101">
        <f>IFERROR(up_RadSpec!$H$10*(AH10/$B46),".")</f>
        <v>760182.82595287333</v>
      </c>
      <c r="AI46" s="101">
        <f>IFERROR(up_RadSpec!$H$10*(AI10/$B46),".")</f>
        <v>760182.82595287333</v>
      </c>
      <c r="AJ46" s="101">
        <f>IFERROR(up_RadSpec!$H$10*(AJ10/$B46),".")</f>
        <v>760182.82595287333</v>
      </c>
      <c r="AK46" s="101">
        <f>IFERROR(up_RadSpec!$H$10*(AK10/$B46),".")</f>
        <v>760182.82595287333</v>
      </c>
      <c r="AL46" s="101">
        <f>IFERROR(up_RadSpec!$H$10*(AL10/$B46),".")</f>
        <v>760182.82595287333</v>
      </c>
      <c r="AM46" s="101">
        <f>IFERROR(up_RadSpec!$H$10*(AM10/$B46),".")</f>
        <v>760182.82595287333</v>
      </c>
      <c r="AN46" s="101">
        <f>IFERROR(up_RadSpec!$H$10*(AN10/$B46),".")</f>
        <v>760182.82595287333</v>
      </c>
      <c r="AO46" s="101">
        <f>IFERROR(up_RadSpec!$H$10*(AO10/$B46),".")</f>
        <v>760182.82595287333</v>
      </c>
      <c r="AP46" s="101">
        <f>IFERROR(up_RadSpec!$H$10*(AP10/$B46),".")</f>
        <v>760182.82595287333</v>
      </c>
      <c r="AQ46" s="101">
        <f>IFERROR(up_RadSpec!$H$10*(AQ10/$B46),".")</f>
        <v>760182.82595287333</v>
      </c>
      <c r="AR46" s="101">
        <f>IFERROR(up_RadSpec!$H$10*(AR10/$B46),".")</f>
        <v>760182.82595287333</v>
      </c>
      <c r="AS46" s="101">
        <f>IFERROR(up_RadSpec!$H$10*(AS10/$B46),".")</f>
        <v>760182.82595287333</v>
      </c>
      <c r="AT46" s="101">
        <f>IFERROR(up_RadSpec!$H$10*(AT10/$B46),".")</f>
        <v>760182.82595287333</v>
      </c>
      <c r="AU46" s="101">
        <f>IFERROR(up_RadSpec!$H$10*(AU10/$B46),".")</f>
        <v>760182.82595287333</v>
      </c>
      <c r="AV46" s="101">
        <f>IFERROR(up_RadSpec!$H$10*(AV10/$B46),".")</f>
        <v>760182.82595287333</v>
      </c>
      <c r="AW46" s="101">
        <f>IFERROR(up_RadSpec!$H$10*(AW10/$B46),".")</f>
        <v>760182.82595287333</v>
      </c>
      <c r="AX46" s="101">
        <f>IFERROR(up_RadSpec!$H$10*(AX10/$B46),".")</f>
        <v>760182.82595287333</v>
      </c>
      <c r="AY46" s="101">
        <f>IFERROR(up_RadSpec!$H$10*(AY10/$B46),".")</f>
        <v>760182.82595287333</v>
      </c>
      <c r="AZ46" s="101">
        <f>IFERROR(up_RadSpec!$H$10*(AZ10/$B46),".")</f>
        <v>760182.82595287333</v>
      </c>
      <c r="BA46" s="101">
        <f>IFERROR(up_RadSpec!$H$10*(BA10/$B46),".")</f>
        <v>760182.82595287333</v>
      </c>
      <c r="BB46" s="101">
        <f>IFERROR(up_RadSpec!$H$10*(BB10/$B46),".")</f>
        <v>760182.82595287333</v>
      </c>
      <c r="BC46" s="100">
        <f t="shared" ref="BC46" si="64">IFERROR($B46/BC10,0)</f>
        <v>60814626076.229866</v>
      </c>
      <c r="BD46" s="100">
        <f t="shared" ref="BD46:CB46" si="65">IFERROR($B46/BD10,0)</f>
        <v>15203656519.057467</v>
      </c>
      <c r="BE46" s="100">
        <f t="shared" si="65"/>
        <v>15203656519.057467</v>
      </c>
      <c r="BF46" s="100">
        <f t="shared" si="65"/>
        <v>15203656519.057467</v>
      </c>
      <c r="BG46" s="100">
        <f t="shared" si="65"/>
        <v>15203656519.057467</v>
      </c>
      <c r="BH46" s="100">
        <f t="shared" si="65"/>
        <v>15203656519.057467</v>
      </c>
      <c r="BI46" s="100">
        <f t="shared" si="65"/>
        <v>15203656519.057467</v>
      </c>
      <c r="BJ46" s="100">
        <f t="shared" si="65"/>
        <v>15203656519.057467</v>
      </c>
      <c r="BK46" s="100">
        <f t="shared" si="65"/>
        <v>15203656519.057467</v>
      </c>
      <c r="BL46" s="100">
        <f t="shared" si="65"/>
        <v>15203656519.057467</v>
      </c>
      <c r="BM46" s="100">
        <f t="shared" si="65"/>
        <v>15203656519.057467</v>
      </c>
      <c r="BN46" s="100">
        <f t="shared" si="65"/>
        <v>15203656519.057467</v>
      </c>
      <c r="BO46" s="100">
        <f t="shared" si="65"/>
        <v>15203656519.057467</v>
      </c>
      <c r="BP46" s="100">
        <f t="shared" si="65"/>
        <v>15203656519.057467</v>
      </c>
      <c r="BQ46" s="100">
        <f t="shared" si="65"/>
        <v>15203656519.057467</v>
      </c>
      <c r="BR46" s="100">
        <f t="shared" si="65"/>
        <v>15203656519.057467</v>
      </c>
      <c r="BS46" s="100">
        <f t="shared" si="65"/>
        <v>15203656519.057467</v>
      </c>
      <c r="BT46" s="100">
        <f t="shared" si="65"/>
        <v>15203656519.057467</v>
      </c>
      <c r="BU46" s="100">
        <f t="shared" si="65"/>
        <v>15203656519.057467</v>
      </c>
      <c r="BV46" s="100">
        <f t="shared" si="65"/>
        <v>15203656519.057467</v>
      </c>
      <c r="BW46" s="100">
        <f t="shared" si="65"/>
        <v>15203656519.057467</v>
      </c>
      <c r="BX46" s="100">
        <f t="shared" si="65"/>
        <v>15203656519.057467</v>
      </c>
      <c r="BY46" s="100">
        <f t="shared" si="65"/>
        <v>15203656519.057467</v>
      </c>
      <c r="BZ46" s="100">
        <f t="shared" si="65"/>
        <v>15203656519.057467</v>
      </c>
      <c r="CA46" s="100">
        <f t="shared" si="65"/>
        <v>15203656519.057467</v>
      </c>
      <c r="CB46" s="100">
        <f t="shared" si="65"/>
        <v>15203656519.057467</v>
      </c>
      <c r="CC46" s="49">
        <f t="shared" si="3"/>
        <v>3040731.3038114933</v>
      </c>
      <c r="CD46" s="101">
        <f>IFERROR(up_RadSpec!$H$10*(CD10/$B46),".")</f>
        <v>760182.82595287333</v>
      </c>
      <c r="CE46" s="101">
        <f>IFERROR(up_RadSpec!$H$10*(CE10/$B46),".")</f>
        <v>760182.82595287333</v>
      </c>
      <c r="CF46" s="101">
        <f>IFERROR(up_RadSpec!$H$10*(CF10/$B46),".")</f>
        <v>760182.82595287333</v>
      </c>
      <c r="CG46" s="101">
        <f>IFERROR(up_RadSpec!$H$10*(CG10/$B46),".")</f>
        <v>760182.82595287333</v>
      </c>
      <c r="CH46" s="101">
        <f>IFERROR(up_RadSpec!$H$10*(CH10/$B46),".")</f>
        <v>760182.82595287333</v>
      </c>
      <c r="CI46" s="101">
        <f>IFERROR(up_RadSpec!$H$10*(CI10/$B46),".")</f>
        <v>760182.82595287333</v>
      </c>
      <c r="CJ46" s="101">
        <f>IFERROR(up_RadSpec!$H$10*(CJ10/$B46),".")</f>
        <v>760182.82595287333</v>
      </c>
      <c r="CK46" s="101">
        <f>IFERROR(up_RadSpec!$H$10*(CK10/$B46),".")</f>
        <v>760182.82595287333</v>
      </c>
      <c r="CL46" s="101">
        <f>IFERROR(up_RadSpec!$H$10*(CL10/$B46),".")</f>
        <v>760182.82595287333</v>
      </c>
      <c r="CM46" s="101">
        <f>IFERROR(up_RadSpec!$H$10*(CM10/$B46),".")</f>
        <v>760182.82595287333</v>
      </c>
      <c r="CN46" s="101">
        <f>IFERROR(up_RadSpec!$H$10*(CN10/$B46),".")</f>
        <v>760182.82595287333</v>
      </c>
      <c r="CO46" s="101">
        <f>IFERROR(up_RadSpec!$H$10*(CO10/$B46),".")</f>
        <v>760182.82595287333</v>
      </c>
      <c r="CP46" s="101">
        <f>IFERROR(up_RadSpec!$H$10*(CP10/$B46),".")</f>
        <v>760182.82595287333</v>
      </c>
      <c r="CQ46" s="101">
        <f>IFERROR(up_RadSpec!$H$10*(CQ10/$B46),".")</f>
        <v>760182.82595287333</v>
      </c>
      <c r="CR46" s="101">
        <f>IFERROR(up_RadSpec!$H$10*(CR10/$B46),".")</f>
        <v>760182.82595287333</v>
      </c>
      <c r="CS46" s="101">
        <f>IFERROR(up_RadSpec!$H$10*(CS10/$B46),".")</f>
        <v>760182.82595287333</v>
      </c>
      <c r="CT46" s="101">
        <f>IFERROR(up_RadSpec!$H$10*(CT10/$B46),".")</f>
        <v>760182.82595287333</v>
      </c>
      <c r="CU46" s="101">
        <f>IFERROR(up_RadSpec!$H$10*(CU10/$B46),".")</f>
        <v>760182.82595287333</v>
      </c>
      <c r="CV46" s="101">
        <f>IFERROR(up_RadSpec!$H$10*(CV10/$B46),".")</f>
        <v>760182.82595287333</v>
      </c>
      <c r="CW46" s="101">
        <f>IFERROR(up_RadSpec!$H$10*(CW10/$B46),".")</f>
        <v>760182.82595287333</v>
      </c>
      <c r="CX46" s="101">
        <f>IFERROR(up_RadSpec!$H$10*(CX10/$B46),".")</f>
        <v>760182.82595287333</v>
      </c>
      <c r="CY46" s="101">
        <f>IFERROR(up_RadSpec!$H$10*(CY10/$B46),".")</f>
        <v>760182.82595287333</v>
      </c>
      <c r="CZ46" s="101">
        <f>IFERROR(up_RadSpec!$H$10*(CZ10/$B46),".")</f>
        <v>760182.82595287333</v>
      </c>
      <c r="DA46" s="101">
        <f>IFERROR(up_RadSpec!$H$10*(DA10/$B46),".")</f>
        <v>760182.82595287333</v>
      </c>
      <c r="DB46" s="101">
        <f>IFERROR(up_RadSpec!$H$10*(DB10/$B46),".")</f>
        <v>760182.82595287333</v>
      </c>
    </row>
    <row r="47" spans="1:106" s="42" customFormat="1" x14ac:dyDescent="0.25">
      <c r="A47" s="99" t="s">
        <v>1072</v>
      </c>
      <c r="B47" s="103">
        <v>0.94399</v>
      </c>
      <c r="C47" s="100">
        <f t="shared" ref="C47" si="66">IFERROR($B47/C6,0)</f>
        <v>57408398869.700233</v>
      </c>
      <c r="D47" s="100">
        <f t="shared" ref="D47:AB47" si="67">IFERROR($B47/D6,0)</f>
        <v>14352099717.425058</v>
      </c>
      <c r="E47" s="100">
        <f t="shared" si="67"/>
        <v>14352099717.425058</v>
      </c>
      <c r="F47" s="100">
        <f t="shared" si="67"/>
        <v>14352099717.425058</v>
      </c>
      <c r="G47" s="100">
        <f t="shared" si="67"/>
        <v>14352099717.425058</v>
      </c>
      <c r="H47" s="100">
        <f t="shared" si="67"/>
        <v>14352099717.425058</v>
      </c>
      <c r="I47" s="100">
        <f t="shared" si="67"/>
        <v>14352099717.425058</v>
      </c>
      <c r="J47" s="100">
        <f t="shared" si="67"/>
        <v>14352099717.425058</v>
      </c>
      <c r="K47" s="100">
        <f t="shared" si="67"/>
        <v>14352099717.425058</v>
      </c>
      <c r="L47" s="100">
        <f t="shared" si="67"/>
        <v>14352099717.425058</v>
      </c>
      <c r="M47" s="100">
        <f t="shared" si="67"/>
        <v>14352099717.425058</v>
      </c>
      <c r="N47" s="100">
        <f t="shared" si="67"/>
        <v>14352099717.425058</v>
      </c>
      <c r="O47" s="100">
        <f t="shared" si="67"/>
        <v>14352099717.425058</v>
      </c>
      <c r="P47" s="100">
        <f t="shared" si="67"/>
        <v>14352099717.425058</v>
      </c>
      <c r="Q47" s="100">
        <f t="shared" si="67"/>
        <v>14352099717.425058</v>
      </c>
      <c r="R47" s="100">
        <f t="shared" si="67"/>
        <v>14352099717.425058</v>
      </c>
      <c r="S47" s="100">
        <f t="shared" si="67"/>
        <v>14352099717.425058</v>
      </c>
      <c r="T47" s="100">
        <f t="shared" si="67"/>
        <v>14352099717.425058</v>
      </c>
      <c r="U47" s="100">
        <f t="shared" si="67"/>
        <v>14352099717.425058</v>
      </c>
      <c r="V47" s="100">
        <f t="shared" si="67"/>
        <v>14352099717.425058</v>
      </c>
      <c r="W47" s="100">
        <f t="shared" si="67"/>
        <v>14352099717.425058</v>
      </c>
      <c r="X47" s="100">
        <f t="shared" si="67"/>
        <v>14352099717.425058</v>
      </c>
      <c r="Y47" s="100">
        <f t="shared" si="67"/>
        <v>14352099717.425058</v>
      </c>
      <c r="Z47" s="100">
        <f t="shared" si="67"/>
        <v>14352099717.425058</v>
      </c>
      <c r="AA47" s="100">
        <f t="shared" si="67"/>
        <v>14352099717.425058</v>
      </c>
      <c r="AB47" s="100">
        <f t="shared" si="67"/>
        <v>14352099717.425058</v>
      </c>
      <c r="AC47" s="49">
        <f t="shared" si="1"/>
        <v>3221147.7916201372</v>
      </c>
      <c r="AD47" s="101">
        <f>IFERROR(up_RadSpec!$H$6*(AD6/$B47),".")</f>
        <v>805286.94790503429</v>
      </c>
      <c r="AE47" s="101">
        <f>IFERROR(up_RadSpec!$H$6*(AE6/$B47),".")</f>
        <v>805286.94790503429</v>
      </c>
      <c r="AF47" s="101">
        <f>IFERROR(up_RadSpec!$H$6*(AF6/$B47),".")</f>
        <v>805286.94790503429</v>
      </c>
      <c r="AG47" s="101">
        <f>IFERROR(up_RadSpec!$H$6*(AG6/$B47),".")</f>
        <v>805286.94790503429</v>
      </c>
      <c r="AH47" s="101">
        <f>IFERROR(up_RadSpec!$H$6*(AH6/$B47),".")</f>
        <v>805286.94790503429</v>
      </c>
      <c r="AI47" s="101">
        <f>IFERROR(up_RadSpec!$H$6*(AI6/$B47),".")</f>
        <v>805286.94790503429</v>
      </c>
      <c r="AJ47" s="101">
        <f>IFERROR(up_RadSpec!$H$6*(AJ6/$B47),".")</f>
        <v>805286.94790503429</v>
      </c>
      <c r="AK47" s="101">
        <f>IFERROR(up_RadSpec!$H$6*(AK6/$B47),".")</f>
        <v>805286.94790503429</v>
      </c>
      <c r="AL47" s="101">
        <f>IFERROR(up_RadSpec!$H$6*(AL6/$B47),".")</f>
        <v>805286.94790503429</v>
      </c>
      <c r="AM47" s="101">
        <f>IFERROR(up_RadSpec!$H$6*(AM6/$B47),".")</f>
        <v>805286.94790503429</v>
      </c>
      <c r="AN47" s="101">
        <f>IFERROR(up_RadSpec!$H$6*(AN6/$B47),".")</f>
        <v>805286.94790503429</v>
      </c>
      <c r="AO47" s="101">
        <f>IFERROR(up_RadSpec!$H$6*(AO6/$B47),".")</f>
        <v>805286.94790503429</v>
      </c>
      <c r="AP47" s="101">
        <f>IFERROR(up_RadSpec!$H$6*(AP6/$B47),".")</f>
        <v>805286.94790503429</v>
      </c>
      <c r="AQ47" s="101">
        <f>IFERROR(up_RadSpec!$H$6*(AQ6/$B47),".")</f>
        <v>805286.94790503429</v>
      </c>
      <c r="AR47" s="101">
        <f>IFERROR(up_RadSpec!$H$6*(AR6/$B47),".")</f>
        <v>805286.94790503429</v>
      </c>
      <c r="AS47" s="101">
        <f>IFERROR(up_RadSpec!$H$6*(AS6/$B47),".")</f>
        <v>805286.94790503429</v>
      </c>
      <c r="AT47" s="101">
        <f>IFERROR(up_RadSpec!$H$6*(AT6/$B47),".")</f>
        <v>805286.94790503429</v>
      </c>
      <c r="AU47" s="101">
        <f>IFERROR(up_RadSpec!$H$6*(AU6/$B47),".")</f>
        <v>805286.94790503429</v>
      </c>
      <c r="AV47" s="101">
        <f>IFERROR(up_RadSpec!$H$6*(AV6/$B47),".")</f>
        <v>805286.94790503429</v>
      </c>
      <c r="AW47" s="101">
        <f>IFERROR(up_RadSpec!$H$6*(AW6/$B47),".")</f>
        <v>805286.94790503429</v>
      </c>
      <c r="AX47" s="101">
        <f>IFERROR(up_RadSpec!$H$6*(AX6/$B47),".")</f>
        <v>805286.94790503429</v>
      </c>
      <c r="AY47" s="101">
        <f>IFERROR(up_RadSpec!$H$6*(AY6/$B47),".")</f>
        <v>805286.94790503429</v>
      </c>
      <c r="AZ47" s="101">
        <f>IFERROR(up_RadSpec!$H$6*(AZ6/$B47),".")</f>
        <v>805286.94790503429</v>
      </c>
      <c r="BA47" s="101">
        <f>IFERROR(up_RadSpec!$H$6*(BA6/$B47),".")</f>
        <v>805286.94790503429</v>
      </c>
      <c r="BB47" s="101">
        <f>IFERROR(up_RadSpec!$H$6*(BB6/$B47),".")</f>
        <v>805286.94790503429</v>
      </c>
      <c r="BC47" s="100">
        <f t="shared" ref="BC47" si="68">IFERROR($B47/BC6,0)</f>
        <v>57408398869.700233</v>
      </c>
      <c r="BD47" s="100">
        <f t="shared" ref="BD47:CB47" si="69">IFERROR($B47/BD6,0)</f>
        <v>14352099717.425058</v>
      </c>
      <c r="BE47" s="100">
        <f t="shared" si="69"/>
        <v>14352099717.425058</v>
      </c>
      <c r="BF47" s="100">
        <f t="shared" si="69"/>
        <v>14352099717.425058</v>
      </c>
      <c r="BG47" s="100">
        <f t="shared" si="69"/>
        <v>14352099717.425058</v>
      </c>
      <c r="BH47" s="100">
        <f t="shared" si="69"/>
        <v>14352099717.425058</v>
      </c>
      <c r="BI47" s="100">
        <f t="shared" si="69"/>
        <v>14352099717.425058</v>
      </c>
      <c r="BJ47" s="100">
        <f t="shared" si="69"/>
        <v>14352099717.425058</v>
      </c>
      <c r="BK47" s="100">
        <f t="shared" si="69"/>
        <v>14352099717.425058</v>
      </c>
      <c r="BL47" s="100">
        <f t="shared" si="69"/>
        <v>14352099717.425058</v>
      </c>
      <c r="BM47" s="100">
        <f t="shared" si="69"/>
        <v>14352099717.425058</v>
      </c>
      <c r="BN47" s="100">
        <f t="shared" si="69"/>
        <v>14352099717.425058</v>
      </c>
      <c r="BO47" s="100">
        <f t="shared" si="69"/>
        <v>14352099717.425058</v>
      </c>
      <c r="BP47" s="100">
        <f t="shared" si="69"/>
        <v>14352099717.425058</v>
      </c>
      <c r="BQ47" s="100">
        <f t="shared" si="69"/>
        <v>14352099717.425058</v>
      </c>
      <c r="BR47" s="100">
        <f t="shared" si="69"/>
        <v>14352099717.425058</v>
      </c>
      <c r="BS47" s="100">
        <f t="shared" si="69"/>
        <v>14352099717.425058</v>
      </c>
      <c r="BT47" s="100">
        <f t="shared" si="69"/>
        <v>14352099717.425058</v>
      </c>
      <c r="BU47" s="100">
        <f t="shared" si="69"/>
        <v>14352099717.425058</v>
      </c>
      <c r="BV47" s="100">
        <f t="shared" si="69"/>
        <v>14352099717.425058</v>
      </c>
      <c r="BW47" s="100">
        <f t="shared" si="69"/>
        <v>14352099717.425058</v>
      </c>
      <c r="BX47" s="100">
        <f t="shared" si="69"/>
        <v>14352099717.425058</v>
      </c>
      <c r="BY47" s="100">
        <f t="shared" si="69"/>
        <v>14352099717.425058</v>
      </c>
      <c r="BZ47" s="100">
        <f t="shared" si="69"/>
        <v>14352099717.425058</v>
      </c>
      <c r="CA47" s="100">
        <f t="shared" si="69"/>
        <v>14352099717.425058</v>
      </c>
      <c r="CB47" s="100">
        <f t="shared" si="69"/>
        <v>14352099717.425058</v>
      </c>
      <c r="CC47" s="49">
        <f t="shared" si="3"/>
        <v>3221147.7916201372</v>
      </c>
      <c r="CD47" s="101">
        <f>IFERROR(up_RadSpec!$H$6*(CD6/$B47),".")</f>
        <v>805286.94790503429</v>
      </c>
      <c r="CE47" s="101">
        <f>IFERROR(up_RadSpec!$H$6*(CE6/$B47),".")</f>
        <v>805286.94790503429</v>
      </c>
      <c r="CF47" s="101">
        <f>IFERROR(up_RadSpec!$H$6*(CF6/$B47),".")</f>
        <v>805286.94790503429</v>
      </c>
      <c r="CG47" s="101">
        <f>IFERROR(up_RadSpec!$H$6*(CG6/$B47),".")</f>
        <v>805286.94790503429</v>
      </c>
      <c r="CH47" s="101">
        <f>IFERROR(up_RadSpec!$H$6*(CH6/$B47),".")</f>
        <v>805286.94790503429</v>
      </c>
      <c r="CI47" s="101">
        <f>IFERROR(up_RadSpec!$H$6*(CI6/$B47),".")</f>
        <v>805286.94790503429</v>
      </c>
      <c r="CJ47" s="101">
        <f>IFERROR(up_RadSpec!$H$6*(CJ6/$B47),".")</f>
        <v>805286.94790503429</v>
      </c>
      <c r="CK47" s="101">
        <f>IFERROR(up_RadSpec!$H$6*(CK6/$B47),".")</f>
        <v>805286.94790503429</v>
      </c>
      <c r="CL47" s="101">
        <f>IFERROR(up_RadSpec!$H$6*(CL6/$B47),".")</f>
        <v>805286.94790503429</v>
      </c>
      <c r="CM47" s="101">
        <f>IFERROR(up_RadSpec!$H$6*(CM6/$B47),".")</f>
        <v>805286.94790503429</v>
      </c>
      <c r="CN47" s="101">
        <f>IFERROR(up_RadSpec!$H$6*(CN6/$B47),".")</f>
        <v>805286.94790503429</v>
      </c>
      <c r="CO47" s="101">
        <f>IFERROR(up_RadSpec!$H$6*(CO6/$B47),".")</f>
        <v>805286.94790503429</v>
      </c>
      <c r="CP47" s="101">
        <f>IFERROR(up_RadSpec!$H$6*(CP6/$B47),".")</f>
        <v>805286.94790503429</v>
      </c>
      <c r="CQ47" s="101">
        <f>IFERROR(up_RadSpec!$H$6*(CQ6/$B47),".")</f>
        <v>805286.94790503429</v>
      </c>
      <c r="CR47" s="101">
        <f>IFERROR(up_RadSpec!$H$6*(CR6/$B47),".")</f>
        <v>805286.94790503429</v>
      </c>
      <c r="CS47" s="101">
        <f>IFERROR(up_RadSpec!$H$6*(CS6/$B47),".")</f>
        <v>805286.94790503429</v>
      </c>
      <c r="CT47" s="101">
        <f>IFERROR(up_RadSpec!$H$6*(CT6/$B47),".")</f>
        <v>805286.94790503429</v>
      </c>
      <c r="CU47" s="101">
        <f>IFERROR(up_RadSpec!$H$6*(CU6/$B47),".")</f>
        <v>805286.94790503429</v>
      </c>
      <c r="CV47" s="101">
        <f>IFERROR(up_RadSpec!$H$6*(CV6/$B47),".")</f>
        <v>805286.94790503429</v>
      </c>
      <c r="CW47" s="101">
        <f>IFERROR(up_RadSpec!$H$6*(CW6/$B47),".")</f>
        <v>805286.94790503429</v>
      </c>
      <c r="CX47" s="101">
        <f>IFERROR(up_RadSpec!$H$6*(CX6/$B47),".")</f>
        <v>805286.94790503429</v>
      </c>
      <c r="CY47" s="101">
        <f>IFERROR(up_RadSpec!$H$6*(CY6/$B47),".")</f>
        <v>805286.94790503429</v>
      </c>
      <c r="CZ47" s="101">
        <f>IFERROR(up_RadSpec!$H$6*(CZ6/$B47),".")</f>
        <v>805286.94790503429</v>
      </c>
      <c r="DA47" s="101">
        <f>IFERROR(up_RadSpec!$H$6*(DA6/$B47),".")</f>
        <v>805286.94790503429</v>
      </c>
      <c r="DB47" s="101">
        <f>IFERROR(up_RadSpec!$H$6*(DB6/$B47),".")</f>
        <v>805286.94790503429</v>
      </c>
    </row>
    <row r="48" spans="1:106" s="42" customFormat="1" x14ac:dyDescent="0.25">
      <c r="A48" s="95" t="s">
        <v>33</v>
      </c>
      <c r="B48" s="95" t="s">
        <v>1071</v>
      </c>
      <c r="C48" s="96">
        <f t="shared" ref="C48" si="70">IFERROR(1/SUM(C49:C62),0)</f>
        <v>1.8270455894344578E-12</v>
      </c>
      <c r="D48" s="96">
        <f t="shared" ref="D48:AB48" si="71">IFERROR(1/SUM(D49:D62),0)</f>
        <v>7.3081823577378314E-12</v>
      </c>
      <c r="E48" s="96">
        <f t="shared" si="71"/>
        <v>7.3081823577378314E-12</v>
      </c>
      <c r="F48" s="96">
        <f t="shared" si="71"/>
        <v>7.3081823577378314E-12</v>
      </c>
      <c r="G48" s="96">
        <f t="shared" si="71"/>
        <v>7.3081823577378314E-12</v>
      </c>
      <c r="H48" s="96">
        <f t="shared" si="71"/>
        <v>7.3081823577378314E-12</v>
      </c>
      <c r="I48" s="96">
        <f t="shared" si="71"/>
        <v>7.3081823577378314E-12</v>
      </c>
      <c r="J48" s="96">
        <f t="shared" si="71"/>
        <v>7.3081823577378314E-12</v>
      </c>
      <c r="K48" s="96">
        <f t="shared" si="71"/>
        <v>7.3081823577378314E-12</v>
      </c>
      <c r="L48" s="96">
        <f t="shared" si="71"/>
        <v>7.3081823577378314E-12</v>
      </c>
      <c r="M48" s="96">
        <f t="shared" si="71"/>
        <v>7.3081823577378314E-12</v>
      </c>
      <c r="N48" s="96">
        <f t="shared" si="71"/>
        <v>7.3081823577378314E-12</v>
      </c>
      <c r="O48" s="96">
        <f t="shared" si="71"/>
        <v>7.3081823577378314E-12</v>
      </c>
      <c r="P48" s="96">
        <f t="shared" si="71"/>
        <v>7.3081823577378314E-12</v>
      </c>
      <c r="Q48" s="96">
        <f t="shared" si="71"/>
        <v>7.3081823577378314E-12</v>
      </c>
      <c r="R48" s="96">
        <f t="shared" si="71"/>
        <v>7.3081823577378314E-12</v>
      </c>
      <c r="S48" s="96">
        <f t="shared" si="71"/>
        <v>7.3081823577378314E-12</v>
      </c>
      <c r="T48" s="96">
        <f t="shared" si="71"/>
        <v>7.3081823577378314E-12</v>
      </c>
      <c r="U48" s="96">
        <f t="shared" si="71"/>
        <v>7.3081823577378314E-12</v>
      </c>
      <c r="V48" s="96">
        <f t="shared" si="71"/>
        <v>7.3081823577378314E-12</v>
      </c>
      <c r="W48" s="96">
        <f t="shared" si="71"/>
        <v>7.3081823577378314E-12</v>
      </c>
      <c r="X48" s="96">
        <f t="shared" si="71"/>
        <v>7.3081823577378314E-12</v>
      </c>
      <c r="Y48" s="96">
        <f t="shared" si="71"/>
        <v>7.3081823577378314E-12</v>
      </c>
      <c r="Z48" s="96">
        <f t="shared" si="71"/>
        <v>7.3081823577378314E-12</v>
      </c>
      <c r="AA48" s="96">
        <f t="shared" si="71"/>
        <v>7.3081823577378314E-12</v>
      </c>
      <c r="AB48" s="96">
        <f t="shared" si="71"/>
        <v>7.3081823577378314E-12</v>
      </c>
      <c r="AC48" s="47">
        <f t="shared" si="1"/>
        <v>4</v>
      </c>
      <c r="AD48" s="97">
        <f>IFERROR(IF(SUM(AD49:AD62)&gt;0.01,1-EXP(-(SUM(AD49:AD62))),SUM(AD49:AD62)),".")</f>
        <v>1</v>
      </c>
      <c r="AE48" s="97">
        <f>IFERROR(IF(SUM(AE49:AE62)&gt;0.01,1-EXP(-(SUM(AE49:AE62))),SUM(AE49:AE62)),".")</f>
        <v>1</v>
      </c>
      <c r="AF48" s="97">
        <f t="shared" ref="AF48:AZ48" si="72">IFERROR(IF(SUM(AF49:AF62)&gt;0.01,1-EXP(-(SUM(AF49:AF62))),SUM(AF49:AF62)),".")</f>
        <v>1</v>
      </c>
      <c r="AG48" s="97">
        <f t="shared" si="72"/>
        <v>1</v>
      </c>
      <c r="AH48" s="97">
        <f t="shared" si="72"/>
        <v>1</v>
      </c>
      <c r="AI48" s="97">
        <f t="shared" si="72"/>
        <v>1</v>
      </c>
      <c r="AJ48" s="97">
        <f t="shared" si="72"/>
        <v>1</v>
      </c>
      <c r="AK48" s="97">
        <f t="shared" si="72"/>
        <v>1</v>
      </c>
      <c r="AL48" s="97">
        <f t="shared" si="72"/>
        <v>1</v>
      </c>
      <c r="AM48" s="97">
        <f t="shared" si="72"/>
        <v>1</v>
      </c>
      <c r="AN48" s="97">
        <f t="shared" si="72"/>
        <v>1</v>
      </c>
      <c r="AO48" s="97">
        <f t="shared" si="72"/>
        <v>1</v>
      </c>
      <c r="AP48" s="97">
        <f t="shared" si="72"/>
        <v>1</v>
      </c>
      <c r="AQ48" s="97">
        <f t="shared" si="72"/>
        <v>1</v>
      </c>
      <c r="AR48" s="97">
        <f t="shared" si="72"/>
        <v>1</v>
      </c>
      <c r="AS48" s="97">
        <f t="shared" si="72"/>
        <v>1</v>
      </c>
      <c r="AT48" s="97">
        <f t="shared" si="72"/>
        <v>1</v>
      </c>
      <c r="AU48" s="97">
        <f t="shared" si="72"/>
        <v>1</v>
      </c>
      <c r="AV48" s="97">
        <f t="shared" si="72"/>
        <v>1</v>
      </c>
      <c r="AW48" s="97">
        <f t="shared" si="72"/>
        <v>1</v>
      </c>
      <c r="AX48" s="97">
        <f t="shared" si="72"/>
        <v>1</v>
      </c>
      <c r="AY48" s="97">
        <f t="shared" si="72"/>
        <v>1</v>
      </c>
      <c r="AZ48" s="97">
        <f t="shared" si="72"/>
        <v>1</v>
      </c>
      <c r="BA48" s="97">
        <f>IFERROR(IF(SUM(BA49:BA62)&gt;0.01,1-EXP(-(SUM(BA49:BA62))),SUM(BA49:BA62)),".")</f>
        <v>1</v>
      </c>
      <c r="BB48" s="97">
        <f>IFERROR(IF(SUM(BB49:BB62)&gt;0.01,1-EXP(-(SUM(BB49:BB62))),SUM(BB49:BB62)),".")</f>
        <v>1</v>
      </c>
      <c r="BC48" s="98">
        <f t="shared" ref="BC48" si="73">IFERROR(1/SUM(BC49:BC62),0)</f>
        <v>1.8270455894344578E-12</v>
      </c>
      <c r="BD48" s="98">
        <f t="shared" ref="BD48:CB48" si="74">IFERROR(1/SUM(BD49:BD62),0)</f>
        <v>7.3081823577378314E-12</v>
      </c>
      <c r="BE48" s="98">
        <f t="shared" si="74"/>
        <v>7.3081823577378314E-12</v>
      </c>
      <c r="BF48" s="98">
        <f t="shared" si="74"/>
        <v>7.3081823577378314E-12</v>
      </c>
      <c r="BG48" s="98">
        <f t="shared" si="74"/>
        <v>7.3081823577378314E-12</v>
      </c>
      <c r="BH48" s="98">
        <f t="shared" si="74"/>
        <v>7.3081823577378314E-12</v>
      </c>
      <c r="BI48" s="98">
        <f t="shared" si="74"/>
        <v>7.3081823577378314E-12</v>
      </c>
      <c r="BJ48" s="98">
        <f t="shared" si="74"/>
        <v>7.3081823577378314E-12</v>
      </c>
      <c r="BK48" s="98">
        <f t="shared" si="74"/>
        <v>7.3081823577378314E-12</v>
      </c>
      <c r="BL48" s="98">
        <f t="shared" si="74"/>
        <v>7.3081823577378314E-12</v>
      </c>
      <c r="BM48" s="98">
        <f t="shared" si="74"/>
        <v>7.3081823577378314E-12</v>
      </c>
      <c r="BN48" s="98">
        <f t="shared" si="74"/>
        <v>7.3081823577378314E-12</v>
      </c>
      <c r="BO48" s="98">
        <f t="shared" si="74"/>
        <v>7.3081823577378314E-12</v>
      </c>
      <c r="BP48" s="98">
        <f t="shared" si="74"/>
        <v>7.3081823577378314E-12</v>
      </c>
      <c r="BQ48" s="98">
        <f t="shared" si="74"/>
        <v>7.3081823577378314E-12</v>
      </c>
      <c r="BR48" s="98">
        <f t="shared" si="74"/>
        <v>7.3081823577378314E-12</v>
      </c>
      <c r="BS48" s="98">
        <f t="shared" si="74"/>
        <v>7.3081823577378314E-12</v>
      </c>
      <c r="BT48" s="98">
        <f t="shared" si="74"/>
        <v>7.3081823577378314E-12</v>
      </c>
      <c r="BU48" s="98">
        <f t="shared" si="74"/>
        <v>7.3081823577378314E-12</v>
      </c>
      <c r="BV48" s="98">
        <f t="shared" si="74"/>
        <v>7.3081823577378314E-12</v>
      </c>
      <c r="BW48" s="98">
        <f t="shared" si="74"/>
        <v>7.3081823577378314E-12</v>
      </c>
      <c r="BX48" s="98">
        <f t="shared" si="74"/>
        <v>7.3081823577378314E-12</v>
      </c>
      <c r="BY48" s="98">
        <f t="shared" si="74"/>
        <v>7.3081823577378314E-12</v>
      </c>
      <c r="BZ48" s="98">
        <f t="shared" si="74"/>
        <v>7.3081823577378314E-12</v>
      </c>
      <c r="CA48" s="98">
        <f t="shared" si="74"/>
        <v>7.3081823577378314E-12</v>
      </c>
      <c r="CB48" s="98">
        <f t="shared" si="74"/>
        <v>7.3081823577378314E-12</v>
      </c>
      <c r="CC48" s="47">
        <f t="shared" si="3"/>
        <v>4</v>
      </c>
      <c r="CD48" s="97">
        <f>IFERROR(IF(SUM(CD49:CD62)&gt;0.01,1-EXP(-(SUM(CD49:CD62))),SUM(CD49:CD62)),".")</f>
        <v>1</v>
      </c>
      <c r="CE48" s="97">
        <f>IFERROR(IF(SUM(CE49:CE62)&gt;0.01,1-EXP(-(SUM(CE49:CE62))),SUM(CE49:CE62)),".")</f>
        <v>1</v>
      </c>
      <c r="CF48" s="97">
        <f t="shared" ref="CF48:CZ48" si="75">IFERROR(IF(SUM(CF49:CF62)&gt;0.01,1-EXP(-(SUM(CF49:CF62))),SUM(CF49:CF62)),".")</f>
        <v>1</v>
      </c>
      <c r="CG48" s="97">
        <f t="shared" si="75"/>
        <v>1</v>
      </c>
      <c r="CH48" s="97">
        <f t="shared" si="75"/>
        <v>1</v>
      </c>
      <c r="CI48" s="97">
        <f t="shared" si="75"/>
        <v>1</v>
      </c>
      <c r="CJ48" s="97">
        <f t="shared" si="75"/>
        <v>1</v>
      </c>
      <c r="CK48" s="97">
        <f t="shared" si="75"/>
        <v>1</v>
      </c>
      <c r="CL48" s="97">
        <f t="shared" si="75"/>
        <v>1</v>
      </c>
      <c r="CM48" s="97">
        <f t="shared" si="75"/>
        <v>1</v>
      </c>
      <c r="CN48" s="97">
        <f t="shared" si="75"/>
        <v>1</v>
      </c>
      <c r="CO48" s="97">
        <f t="shared" si="75"/>
        <v>1</v>
      </c>
      <c r="CP48" s="97">
        <f t="shared" si="75"/>
        <v>1</v>
      </c>
      <c r="CQ48" s="97">
        <f t="shared" si="75"/>
        <v>1</v>
      </c>
      <c r="CR48" s="97">
        <f t="shared" si="75"/>
        <v>1</v>
      </c>
      <c r="CS48" s="97">
        <f t="shared" si="75"/>
        <v>1</v>
      </c>
      <c r="CT48" s="97">
        <f t="shared" si="75"/>
        <v>1</v>
      </c>
      <c r="CU48" s="97">
        <f t="shared" si="75"/>
        <v>1</v>
      </c>
      <c r="CV48" s="97">
        <f t="shared" si="75"/>
        <v>1</v>
      </c>
      <c r="CW48" s="97">
        <f t="shared" si="75"/>
        <v>1</v>
      </c>
      <c r="CX48" s="97">
        <f t="shared" si="75"/>
        <v>1</v>
      </c>
      <c r="CY48" s="97">
        <f t="shared" si="75"/>
        <v>1</v>
      </c>
      <c r="CZ48" s="97">
        <f t="shared" si="75"/>
        <v>1</v>
      </c>
      <c r="DA48" s="97">
        <f>IFERROR(IF(SUM(DA49:DA62)&gt;0.01,1-EXP(-(SUM(DA49:DA62))),SUM(DA49:DA62)),".")</f>
        <v>1</v>
      </c>
      <c r="DB48" s="97">
        <f>IFERROR(IF(SUM(DB49:DB62)&gt;0.01,1-EXP(-(SUM(DB49:DB62))),SUM(DB49:DB62)),".")</f>
        <v>1</v>
      </c>
    </row>
    <row r="49" spans="1:106" s="42" customFormat="1" x14ac:dyDescent="0.25">
      <c r="A49" s="99" t="s">
        <v>1100</v>
      </c>
      <c r="B49" s="90">
        <v>1</v>
      </c>
      <c r="C49" s="100">
        <f t="shared" ref="C49" si="76">IFERROR($B49/C23,0)</f>
        <v>60814626076.229866</v>
      </c>
      <c r="D49" s="100">
        <f t="shared" ref="D49:AB49" si="77">IFERROR($B49/D23,0)</f>
        <v>15203656519.057467</v>
      </c>
      <c r="E49" s="100">
        <f t="shared" si="77"/>
        <v>15203656519.057467</v>
      </c>
      <c r="F49" s="100">
        <f t="shared" si="77"/>
        <v>15203656519.057467</v>
      </c>
      <c r="G49" s="100">
        <f t="shared" si="77"/>
        <v>15203656519.057467</v>
      </c>
      <c r="H49" s="100">
        <f t="shared" si="77"/>
        <v>15203656519.057467</v>
      </c>
      <c r="I49" s="100">
        <f t="shared" si="77"/>
        <v>15203656519.057467</v>
      </c>
      <c r="J49" s="100">
        <f t="shared" si="77"/>
        <v>15203656519.057467</v>
      </c>
      <c r="K49" s="100">
        <f t="shared" si="77"/>
        <v>15203656519.057467</v>
      </c>
      <c r="L49" s="100">
        <f t="shared" si="77"/>
        <v>15203656519.057467</v>
      </c>
      <c r="M49" s="100">
        <f t="shared" si="77"/>
        <v>15203656519.057467</v>
      </c>
      <c r="N49" s="100">
        <f t="shared" si="77"/>
        <v>15203656519.057467</v>
      </c>
      <c r="O49" s="100">
        <f t="shared" si="77"/>
        <v>15203656519.057467</v>
      </c>
      <c r="P49" s="100">
        <f t="shared" si="77"/>
        <v>15203656519.057467</v>
      </c>
      <c r="Q49" s="100">
        <f t="shared" si="77"/>
        <v>15203656519.057467</v>
      </c>
      <c r="R49" s="100">
        <f t="shared" si="77"/>
        <v>15203656519.057467</v>
      </c>
      <c r="S49" s="100">
        <f t="shared" si="77"/>
        <v>15203656519.057467</v>
      </c>
      <c r="T49" s="100">
        <f t="shared" si="77"/>
        <v>15203656519.057467</v>
      </c>
      <c r="U49" s="100">
        <f t="shared" si="77"/>
        <v>15203656519.057467</v>
      </c>
      <c r="V49" s="100">
        <f t="shared" si="77"/>
        <v>15203656519.057467</v>
      </c>
      <c r="W49" s="100">
        <f t="shared" si="77"/>
        <v>15203656519.057467</v>
      </c>
      <c r="X49" s="100">
        <f t="shared" si="77"/>
        <v>15203656519.057467</v>
      </c>
      <c r="Y49" s="100">
        <f t="shared" si="77"/>
        <v>15203656519.057467</v>
      </c>
      <c r="Z49" s="100">
        <f t="shared" si="77"/>
        <v>15203656519.057467</v>
      </c>
      <c r="AA49" s="100">
        <f t="shared" si="77"/>
        <v>15203656519.057467</v>
      </c>
      <c r="AB49" s="100">
        <f t="shared" si="77"/>
        <v>15203656519.057467</v>
      </c>
      <c r="AC49" s="49">
        <f t="shared" si="1"/>
        <v>3040731.3038114933</v>
      </c>
      <c r="AD49" s="101">
        <f>IFERROR(up_RadSpec!$H$23*($AD$23/$B49),".")</f>
        <v>760182.82595287333</v>
      </c>
      <c r="AE49" s="101">
        <f>IFERROR(up_RadSpec!$H$23*($AE$23/$B49),".")</f>
        <v>760182.82595287333</v>
      </c>
      <c r="AF49" s="101">
        <f>IFERROR(up_RadSpec!$H$23*($BA$23/$B49),".")</f>
        <v>760182.82595287333</v>
      </c>
      <c r="AG49" s="101">
        <f>IFERROR(up_RadSpec!$H$23*($BA$23/$B49),".")</f>
        <v>760182.82595287333</v>
      </c>
      <c r="AH49" s="101">
        <f>IFERROR(up_RadSpec!$H$23*($BA$23/$B49),".")</f>
        <v>760182.82595287333</v>
      </c>
      <c r="AI49" s="101">
        <f>IFERROR(up_RadSpec!$H$23*($BA$23/$B49),".")</f>
        <v>760182.82595287333</v>
      </c>
      <c r="AJ49" s="101">
        <f>IFERROR(up_RadSpec!$H$23*($BA$23/$B49),".")</f>
        <v>760182.82595287333</v>
      </c>
      <c r="AK49" s="101">
        <f>IFERROR(up_RadSpec!$H$23*($BA$23/$B49),".")</f>
        <v>760182.82595287333</v>
      </c>
      <c r="AL49" s="101">
        <f>IFERROR(up_RadSpec!$H$23*($BA$23/$B49),".")</f>
        <v>760182.82595287333</v>
      </c>
      <c r="AM49" s="101">
        <f>IFERROR(up_RadSpec!$H$23*($BA$23/$B49),".")</f>
        <v>760182.82595287333</v>
      </c>
      <c r="AN49" s="101">
        <f>IFERROR(up_RadSpec!$H$23*($BA$23/$B49),".")</f>
        <v>760182.82595287333</v>
      </c>
      <c r="AO49" s="101">
        <f>IFERROR(up_RadSpec!$H$23*($BA$23/$B49),".")</f>
        <v>760182.82595287333</v>
      </c>
      <c r="AP49" s="101">
        <f>IFERROR(up_RadSpec!$H$23*($BA$23/$B49),".")</f>
        <v>760182.82595287333</v>
      </c>
      <c r="AQ49" s="101">
        <f>IFERROR(up_RadSpec!$H$23*($BA$23/$B49),".")</f>
        <v>760182.82595287333</v>
      </c>
      <c r="AR49" s="101">
        <f>IFERROR(up_RadSpec!$H$23*($BA$23/$B49),".")</f>
        <v>760182.82595287333</v>
      </c>
      <c r="AS49" s="101">
        <f>IFERROR(up_RadSpec!$H$23*($BA$23/$B49),".")</f>
        <v>760182.82595287333</v>
      </c>
      <c r="AT49" s="101">
        <f>IFERROR(up_RadSpec!$H$23*($BA$23/$B49),".")</f>
        <v>760182.82595287333</v>
      </c>
      <c r="AU49" s="101">
        <f>IFERROR(up_RadSpec!$H$23*($BA$23/$B49),".")</f>
        <v>760182.82595287333</v>
      </c>
      <c r="AV49" s="101">
        <f>IFERROR(up_RadSpec!$H$23*($BA$23/$B49),".")</f>
        <v>760182.82595287333</v>
      </c>
      <c r="AW49" s="101">
        <f>IFERROR(up_RadSpec!$H$23*($BA$23/$B49),".")</f>
        <v>760182.82595287333</v>
      </c>
      <c r="AX49" s="101">
        <f>IFERROR(up_RadSpec!$H$23*($BA$23/$B49),".")</f>
        <v>760182.82595287333</v>
      </c>
      <c r="AY49" s="101">
        <f>IFERROR(up_RadSpec!$H$23*($BA$23/$B49),".")</f>
        <v>760182.82595287333</v>
      </c>
      <c r="AZ49" s="101">
        <f>IFERROR(up_RadSpec!$H$23*($BA$23/$B49),".")</f>
        <v>760182.82595287333</v>
      </c>
      <c r="BA49" s="101">
        <f>IFERROR(up_RadSpec!$H$23*($BA$23/$B49),".")</f>
        <v>760182.82595287333</v>
      </c>
      <c r="BB49" s="101">
        <f>IFERROR(up_RadSpec!$H$23*($BB$23/$B49),".")</f>
        <v>760182.82595287333</v>
      </c>
      <c r="BC49" s="100">
        <f t="shared" ref="BC49" si="78">IFERROR($B49/BC23,0)</f>
        <v>60814626076.229866</v>
      </c>
      <c r="BD49" s="100">
        <f t="shared" ref="BD49:CB49" si="79">IFERROR($B49/BD23,0)</f>
        <v>15203656519.057467</v>
      </c>
      <c r="BE49" s="100">
        <f t="shared" si="79"/>
        <v>15203656519.057467</v>
      </c>
      <c r="BF49" s="100">
        <f t="shared" si="79"/>
        <v>15203656519.057467</v>
      </c>
      <c r="BG49" s="100">
        <f t="shared" si="79"/>
        <v>15203656519.057467</v>
      </c>
      <c r="BH49" s="100">
        <f t="shared" si="79"/>
        <v>15203656519.057467</v>
      </c>
      <c r="BI49" s="100">
        <f t="shared" si="79"/>
        <v>15203656519.057467</v>
      </c>
      <c r="BJ49" s="100">
        <f t="shared" si="79"/>
        <v>15203656519.057467</v>
      </c>
      <c r="BK49" s="100">
        <f t="shared" si="79"/>
        <v>15203656519.057467</v>
      </c>
      <c r="BL49" s="100">
        <f t="shared" si="79"/>
        <v>15203656519.057467</v>
      </c>
      <c r="BM49" s="100">
        <f t="shared" si="79"/>
        <v>15203656519.057467</v>
      </c>
      <c r="BN49" s="100">
        <f t="shared" si="79"/>
        <v>15203656519.057467</v>
      </c>
      <c r="BO49" s="100">
        <f t="shared" si="79"/>
        <v>15203656519.057467</v>
      </c>
      <c r="BP49" s="100">
        <f t="shared" si="79"/>
        <v>15203656519.057467</v>
      </c>
      <c r="BQ49" s="100">
        <f t="shared" si="79"/>
        <v>15203656519.057467</v>
      </c>
      <c r="BR49" s="100">
        <f t="shared" si="79"/>
        <v>15203656519.057467</v>
      </c>
      <c r="BS49" s="100">
        <f t="shared" si="79"/>
        <v>15203656519.057467</v>
      </c>
      <c r="BT49" s="100">
        <f t="shared" si="79"/>
        <v>15203656519.057467</v>
      </c>
      <c r="BU49" s="100">
        <f t="shared" si="79"/>
        <v>15203656519.057467</v>
      </c>
      <c r="BV49" s="100">
        <f t="shared" si="79"/>
        <v>15203656519.057467</v>
      </c>
      <c r="BW49" s="100">
        <f t="shared" si="79"/>
        <v>15203656519.057467</v>
      </c>
      <c r="BX49" s="100">
        <f t="shared" si="79"/>
        <v>15203656519.057467</v>
      </c>
      <c r="BY49" s="100">
        <f t="shared" si="79"/>
        <v>15203656519.057467</v>
      </c>
      <c r="BZ49" s="100">
        <f t="shared" si="79"/>
        <v>15203656519.057467</v>
      </c>
      <c r="CA49" s="100">
        <f t="shared" si="79"/>
        <v>15203656519.057467</v>
      </c>
      <c r="CB49" s="100">
        <f t="shared" si="79"/>
        <v>15203656519.057467</v>
      </c>
      <c r="CC49" s="49">
        <f t="shared" si="3"/>
        <v>3040731.3038114933</v>
      </c>
      <c r="CD49" s="101">
        <f>IFERROR(up_RadSpec!$H$23*($AD$23/$B49),".")</f>
        <v>760182.82595287333</v>
      </c>
      <c r="CE49" s="101">
        <f>IFERROR(up_RadSpec!$H$23*($AE$23/$B49),".")</f>
        <v>760182.82595287333</v>
      </c>
      <c r="CF49" s="101">
        <f>IFERROR(up_RadSpec!$H$23*($BA$23/$B49),".")</f>
        <v>760182.82595287333</v>
      </c>
      <c r="CG49" s="101">
        <f>IFERROR(up_RadSpec!$H$23*($BA$23/$B49),".")</f>
        <v>760182.82595287333</v>
      </c>
      <c r="CH49" s="101">
        <f>IFERROR(up_RadSpec!$H$23*($BA$23/$B49),".")</f>
        <v>760182.82595287333</v>
      </c>
      <c r="CI49" s="101">
        <f>IFERROR(up_RadSpec!$H$23*($BA$23/$B49),".")</f>
        <v>760182.82595287333</v>
      </c>
      <c r="CJ49" s="101">
        <f>IFERROR(up_RadSpec!$H$23*($BA$23/$B49),".")</f>
        <v>760182.82595287333</v>
      </c>
      <c r="CK49" s="101">
        <f>IFERROR(up_RadSpec!$H$23*($BA$23/$B49),".")</f>
        <v>760182.82595287333</v>
      </c>
      <c r="CL49" s="101">
        <f>IFERROR(up_RadSpec!$H$23*($BA$23/$B49),".")</f>
        <v>760182.82595287333</v>
      </c>
      <c r="CM49" s="101">
        <f>IFERROR(up_RadSpec!$H$23*($BA$23/$B49),".")</f>
        <v>760182.82595287333</v>
      </c>
      <c r="CN49" s="101">
        <f>IFERROR(up_RadSpec!$H$23*($BA$23/$B49),".")</f>
        <v>760182.82595287333</v>
      </c>
      <c r="CO49" s="101">
        <f>IFERROR(up_RadSpec!$H$23*($BA$23/$B49),".")</f>
        <v>760182.82595287333</v>
      </c>
      <c r="CP49" s="101">
        <f>IFERROR(up_RadSpec!$H$23*($BA$23/$B49),".")</f>
        <v>760182.82595287333</v>
      </c>
      <c r="CQ49" s="101">
        <f>IFERROR(up_RadSpec!$H$23*($BA$23/$B49),".")</f>
        <v>760182.82595287333</v>
      </c>
      <c r="CR49" s="101">
        <f>IFERROR(up_RadSpec!$H$23*($BA$23/$B49),".")</f>
        <v>760182.82595287333</v>
      </c>
      <c r="CS49" s="101">
        <f>IFERROR(up_RadSpec!$H$23*($BA$23/$B49),".")</f>
        <v>760182.82595287333</v>
      </c>
      <c r="CT49" s="101">
        <f>IFERROR(up_RadSpec!$H$23*($BA$23/$B49),".")</f>
        <v>760182.82595287333</v>
      </c>
      <c r="CU49" s="101">
        <f>IFERROR(up_RadSpec!$H$23*($BA$23/$B49),".")</f>
        <v>760182.82595287333</v>
      </c>
      <c r="CV49" s="101">
        <f>IFERROR(up_RadSpec!$H$23*($BA$23/$B49),".")</f>
        <v>760182.82595287333</v>
      </c>
      <c r="CW49" s="101">
        <f>IFERROR(up_RadSpec!$H$23*($BA$23/$B49),".")</f>
        <v>760182.82595287333</v>
      </c>
      <c r="CX49" s="101">
        <f>IFERROR(up_RadSpec!$H$23*($BA$23/$B49),".")</f>
        <v>760182.82595287333</v>
      </c>
      <c r="CY49" s="101">
        <f>IFERROR(up_RadSpec!$H$23*($BA$23/$B49),".")</f>
        <v>760182.82595287333</v>
      </c>
      <c r="CZ49" s="101">
        <f>IFERROR(up_RadSpec!$H$23*($BA$23/$B49),".")</f>
        <v>760182.82595287333</v>
      </c>
      <c r="DA49" s="101">
        <f>IFERROR(up_RadSpec!$H$23*($BA$23/$B49),".")</f>
        <v>760182.82595287333</v>
      </c>
      <c r="DB49" s="101">
        <f>IFERROR(up_RadSpec!$H$23*($BB$23/$B49),".")</f>
        <v>760182.82595287333</v>
      </c>
    </row>
    <row r="50" spans="1:106" s="42" customFormat="1" x14ac:dyDescent="0.25">
      <c r="A50" s="99" t="s">
        <v>1087</v>
      </c>
      <c r="B50" s="90">
        <v>1</v>
      </c>
      <c r="C50" s="100">
        <f t="shared" ref="C50" si="80">IFERROR($B50/C25,0)</f>
        <v>60814626076.229866</v>
      </c>
      <c r="D50" s="100">
        <f t="shared" ref="D50:AB50" si="81">IFERROR($B50/D25,0)</f>
        <v>15203656519.057467</v>
      </c>
      <c r="E50" s="100">
        <f t="shared" si="81"/>
        <v>15203656519.057467</v>
      </c>
      <c r="F50" s="100">
        <f t="shared" si="81"/>
        <v>15203656519.057467</v>
      </c>
      <c r="G50" s="100">
        <f t="shared" si="81"/>
        <v>15203656519.057467</v>
      </c>
      <c r="H50" s="100">
        <f t="shared" si="81"/>
        <v>15203656519.057467</v>
      </c>
      <c r="I50" s="100">
        <f t="shared" si="81"/>
        <v>15203656519.057467</v>
      </c>
      <c r="J50" s="100">
        <f t="shared" si="81"/>
        <v>15203656519.057467</v>
      </c>
      <c r="K50" s="100">
        <f t="shared" si="81"/>
        <v>15203656519.057467</v>
      </c>
      <c r="L50" s="100">
        <f t="shared" si="81"/>
        <v>15203656519.057467</v>
      </c>
      <c r="M50" s="100">
        <f t="shared" si="81"/>
        <v>15203656519.057467</v>
      </c>
      <c r="N50" s="100">
        <f t="shared" si="81"/>
        <v>15203656519.057467</v>
      </c>
      <c r="O50" s="100">
        <f t="shared" si="81"/>
        <v>15203656519.057467</v>
      </c>
      <c r="P50" s="100">
        <f t="shared" si="81"/>
        <v>15203656519.057467</v>
      </c>
      <c r="Q50" s="100">
        <f t="shared" si="81"/>
        <v>15203656519.057467</v>
      </c>
      <c r="R50" s="100">
        <f t="shared" si="81"/>
        <v>15203656519.057467</v>
      </c>
      <c r="S50" s="100">
        <f t="shared" si="81"/>
        <v>15203656519.057467</v>
      </c>
      <c r="T50" s="100">
        <f t="shared" si="81"/>
        <v>15203656519.057467</v>
      </c>
      <c r="U50" s="100">
        <f t="shared" si="81"/>
        <v>15203656519.057467</v>
      </c>
      <c r="V50" s="100">
        <f t="shared" si="81"/>
        <v>15203656519.057467</v>
      </c>
      <c r="W50" s="100">
        <f t="shared" si="81"/>
        <v>15203656519.057467</v>
      </c>
      <c r="X50" s="100">
        <f t="shared" si="81"/>
        <v>15203656519.057467</v>
      </c>
      <c r="Y50" s="100">
        <f t="shared" si="81"/>
        <v>15203656519.057467</v>
      </c>
      <c r="Z50" s="100">
        <f t="shared" si="81"/>
        <v>15203656519.057467</v>
      </c>
      <c r="AA50" s="100">
        <f t="shared" si="81"/>
        <v>15203656519.057467</v>
      </c>
      <c r="AB50" s="100">
        <f t="shared" si="81"/>
        <v>15203656519.057467</v>
      </c>
      <c r="AC50" s="49">
        <f t="shared" si="1"/>
        <v>3040731.3038114933</v>
      </c>
      <c r="AD50" s="101">
        <f>IFERROR(up_RadSpec!$H$25*($AD$25/$B50),".")</f>
        <v>760182.82595287333</v>
      </c>
      <c r="AE50" s="101">
        <f>IFERROR(up_RadSpec!$H$25*($AE$25/$B50),".")</f>
        <v>760182.82595287333</v>
      </c>
      <c r="AF50" s="101">
        <f>IFERROR(up_RadSpec!$H$25*($BA$25/$B50),".")</f>
        <v>760182.82595287333</v>
      </c>
      <c r="AG50" s="101">
        <f>IFERROR(up_RadSpec!$H$25*($BA$25/$B50),".")</f>
        <v>760182.82595287333</v>
      </c>
      <c r="AH50" s="101">
        <f>IFERROR(up_RadSpec!$H$25*($BA$25/$B50),".")</f>
        <v>760182.82595287333</v>
      </c>
      <c r="AI50" s="101">
        <f>IFERROR(up_RadSpec!$H$25*($BA$25/$B50),".")</f>
        <v>760182.82595287333</v>
      </c>
      <c r="AJ50" s="101">
        <f>IFERROR(up_RadSpec!$H$25*($BA$25/$B50),".")</f>
        <v>760182.82595287333</v>
      </c>
      <c r="AK50" s="101">
        <f>IFERROR(up_RadSpec!$H$25*($BA$25/$B50),".")</f>
        <v>760182.82595287333</v>
      </c>
      <c r="AL50" s="101">
        <f>IFERROR(up_RadSpec!$H$25*($BA$25/$B50),".")</f>
        <v>760182.82595287333</v>
      </c>
      <c r="AM50" s="101">
        <f>IFERROR(up_RadSpec!$H$25*($BA$25/$B50),".")</f>
        <v>760182.82595287333</v>
      </c>
      <c r="AN50" s="101">
        <f>IFERROR(up_RadSpec!$H$25*($BA$25/$B50),".")</f>
        <v>760182.82595287333</v>
      </c>
      <c r="AO50" s="101">
        <f>IFERROR(up_RadSpec!$H$25*($BA$25/$B50),".")</f>
        <v>760182.82595287333</v>
      </c>
      <c r="AP50" s="101">
        <f>IFERROR(up_RadSpec!$H$25*($BA$25/$B50),".")</f>
        <v>760182.82595287333</v>
      </c>
      <c r="AQ50" s="101">
        <f>IFERROR(up_RadSpec!$H$25*($BA$25/$B50),".")</f>
        <v>760182.82595287333</v>
      </c>
      <c r="AR50" s="101">
        <f>IFERROR(up_RadSpec!$H$25*($BA$25/$B50),".")</f>
        <v>760182.82595287333</v>
      </c>
      <c r="AS50" s="101">
        <f>IFERROR(up_RadSpec!$H$25*($BA$25/$B50),".")</f>
        <v>760182.82595287333</v>
      </c>
      <c r="AT50" s="101">
        <f>IFERROR(up_RadSpec!$H$25*($BA$25/$B50),".")</f>
        <v>760182.82595287333</v>
      </c>
      <c r="AU50" s="101">
        <f>IFERROR(up_RadSpec!$H$25*($BA$25/$B50),".")</f>
        <v>760182.82595287333</v>
      </c>
      <c r="AV50" s="101">
        <f>IFERROR(up_RadSpec!$H$25*($BA$25/$B50),".")</f>
        <v>760182.82595287333</v>
      </c>
      <c r="AW50" s="101">
        <f>IFERROR(up_RadSpec!$H$25*($BA$25/$B50),".")</f>
        <v>760182.82595287333</v>
      </c>
      <c r="AX50" s="101">
        <f>IFERROR(up_RadSpec!$H$25*($BA$25/$B50),".")</f>
        <v>760182.82595287333</v>
      </c>
      <c r="AY50" s="101">
        <f>IFERROR(up_RadSpec!$H$25*($BA$25/$B50),".")</f>
        <v>760182.82595287333</v>
      </c>
      <c r="AZ50" s="101">
        <f>IFERROR(up_RadSpec!$H$25*($BA$25/$B50),".")</f>
        <v>760182.82595287333</v>
      </c>
      <c r="BA50" s="101">
        <f>IFERROR(up_RadSpec!$H$25*($BA$25/$B50),".")</f>
        <v>760182.82595287333</v>
      </c>
      <c r="BB50" s="101">
        <f>IFERROR(up_RadSpec!$H$25*($BB$25/$B50),".")</f>
        <v>760182.82595287333</v>
      </c>
      <c r="BC50" s="100">
        <f t="shared" ref="BC50" si="82">IFERROR($B50/BC25,0)</f>
        <v>60814626076.229866</v>
      </c>
      <c r="BD50" s="100">
        <f t="shared" ref="BD50:CB50" si="83">IFERROR($B50/BD25,0)</f>
        <v>15203656519.057467</v>
      </c>
      <c r="BE50" s="100">
        <f t="shared" si="83"/>
        <v>15203656519.057467</v>
      </c>
      <c r="BF50" s="100">
        <f t="shared" si="83"/>
        <v>15203656519.057467</v>
      </c>
      <c r="BG50" s="100">
        <f t="shared" si="83"/>
        <v>15203656519.057467</v>
      </c>
      <c r="BH50" s="100">
        <f t="shared" si="83"/>
        <v>15203656519.057467</v>
      </c>
      <c r="BI50" s="100">
        <f t="shared" si="83"/>
        <v>15203656519.057467</v>
      </c>
      <c r="BJ50" s="100">
        <f t="shared" si="83"/>
        <v>15203656519.057467</v>
      </c>
      <c r="BK50" s="100">
        <f t="shared" si="83"/>
        <v>15203656519.057467</v>
      </c>
      <c r="BL50" s="100">
        <f t="shared" si="83"/>
        <v>15203656519.057467</v>
      </c>
      <c r="BM50" s="100">
        <f t="shared" si="83"/>
        <v>15203656519.057467</v>
      </c>
      <c r="BN50" s="100">
        <f t="shared" si="83"/>
        <v>15203656519.057467</v>
      </c>
      <c r="BO50" s="100">
        <f t="shared" si="83"/>
        <v>15203656519.057467</v>
      </c>
      <c r="BP50" s="100">
        <f t="shared" si="83"/>
        <v>15203656519.057467</v>
      </c>
      <c r="BQ50" s="100">
        <f t="shared" si="83"/>
        <v>15203656519.057467</v>
      </c>
      <c r="BR50" s="100">
        <f t="shared" si="83"/>
        <v>15203656519.057467</v>
      </c>
      <c r="BS50" s="100">
        <f t="shared" si="83"/>
        <v>15203656519.057467</v>
      </c>
      <c r="BT50" s="100">
        <f t="shared" si="83"/>
        <v>15203656519.057467</v>
      </c>
      <c r="BU50" s="100">
        <f t="shared" si="83"/>
        <v>15203656519.057467</v>
      </c>
      <c r="BV50" s="100">
        <f t="shared" si="83"/>
        <v>15203656519.057467</v>
      </c>
      <c r="BW50" s="100">
        <f t="shared" si="83"/>
        <v>15203656519.057467</v>
      </c>
      <c r="BX50" s="100">
        <f t="shared" si="83"/>
        <v>15203656519.057467</v>
      </c>
      <c r="BY50" s="100">
        <f t="shared" si="83"/>
        <v>15203656519.057467</v>
      </c>
      <c r="BZ50" s="100">
        <f t="shared" si="83"/>
        <v>15203656519.057467</v>
      </c>
      <c r="CA50" s="100">
        <f t="shared" si="83"/>
        <v>15203656519.057467</v>
      </c>
      <c r="CB50" s="100">
        <f t="shared" si="83"/>
        <v>15203656519.057467</v>
      </c>
      <c r="CC50" s="49">
        <f t="shared" si="3"/>
        <v>3040731.3038114933</v>
      </c>
      <c r="CD50" s="101">
        <f>IFERROR(up_RadSpec!$H$25*($AD$25/$B50),".")</f>
        <v>760182.82595287333</v>
      </c>
      <c r="CE50" s="101">
        <f>IFERROR(up_RadSpec!$H$25*($AE$25/$B50),".")</f>
        <v>760182.82595287333</v>
      </c>
      <c r="CF50" s="101">
        <f>IFERROR(up_RadSpec!$H$25*($BA$25/$B50),".")</f>
        <v>760182.82595287333</v>
      </c>
      <c r="CG50" s="101">
        <f>IFERROR(up_RadSpec!$H$25*($BA$25/$B50),".")</f>
        <v>760182.82595287333</v>
      </c>
      <c r="CH50" s="101">
        <f>IFERROR(up_RadSpec!$H$25*($BA$25/$B50),".")</f>
        <v>760182.82595287333</v>
      </c>
      <c r="CI50" s="101">
        <f>IFERROR(up_RadSpec!$H$25*($BA$25/$B50),".")</f>
        <v>760182.82595287333</v>
      </c>
      <c r="CJ50" s="101">
        <f>IFERROR(up_RadSpec!$H$25*($BA$25/$B50),".")</f>
        <v>760182.82595287333</v>
      </c>
      <c r="CK50" s="101">
        <f>IFERROR(up_RadSpec!$H$25*($BA$25/$B50),".")</f>
        <v>760182.82595287333</v>
      </c>
      <c r="CL50" s="101">
        <f>IFERROR(up_RadSpec!$H$25*($BA$25/$B50),".")</f>
        <v>760182.82595287333</v>
      </c>
      <c r="CM50" s="101">
        <f>IFERROR(up_RadSpec!$H$25*($BA$25/$B50),".")</f>
        <v>760182.82595287333</v>
      </c>
      <c r="CN50" s="101">
        <f>IFERROR(up_RadSpec!$H$25*($BA$25/$B50),".")</f>
        <v>760182.82595287333</v>
      </c>
      <c r="CO50" s="101">
        <f>IFERROR(up_RadSpec!$H$25*($BA$25/$B50),".")</f>
        <v>760182.82595287333</v>
      </c>
      <c r="CP50" s="101">
        <f>IFERROR(up_RadSpec!$H$25*($BA$25/$B50),".")</f>
        <v>760182.82595287333</v>
      </c>
      <c r="CQ50" s="101">
        <f>IFERROR(up_RadSpec!$H$25*($BA$25/$B50),".")</f>
        <v>760182.82595287333</v>
      </c>
      <c r="CR50" s="101">
        <f>IFERROR(up_RadSpec!$H$25*($BA$25/$B50),".")</f>
        <v>760182.82595287333</v>
      </c>
      <c r="CS50" s="101">
        <f>IFERROR(up_RadSpec!$H$25*($BA$25/$B50),".")</f>
        <v>760182.82595287333</v>
      </c>
      <c r="CT50" s="101">
        <f>IFERROR(up_RadSpec!$H$25*($BA$25/$B50),".")</f>
        <v>760182.82595287333</v>
      </c>
      <c r="CU50" s="101">
        <f>IFERROR(up_RadSpec!$H$25*($BA$25/$B50),".")</f>
        <v>760182.82595287333</v>
      </c>
      <c r="CV50" s="101">
        <f>IFERROR(up_RadSpec!$H$25*($BA$25/$B50),".")</f>
        <v>760182.82595287333</v>
      </c>
      <c r="CW50" s="101">
        <f>IFERROR(up_RadSpec!$H$25*($BA$25/$B50),".")</f>
        <v>760182.82595287333</v>
      </c>
      <c r="CX50" s="101">
        <f>IFERROR(up_RadSpec!$H$25*($BA$25/$B50),".")</f>
        <v>760182.82595287333</v>
      </c>
      <c r="CY50" s="101">
        <f>IFERROR(up_RadSpec!$H$25*($BA$25/$B50),".")</f>
        <v>760182.82595287333</v>
      </c>
      <c r="CZ50" s="101">
        <f>IFERROR(up_RadSpec!$H$25*($BA$25/$B50),".")</f>
        <v>760182.82595287333</v>
      </c>
      <c r="DA50" s="101">
        <f>IFERROR(up_RadSpec!$H$25*($BA$25/$B50),".")</f>
        <v>760182.82595287333</v>
      </c>
      <c r="DB50" s="101">
        <f>IFERROR(up_RadSpec!$H$25*($BB$25/$B50),".")</f>
        <v>760182.82595287333</v>
      </c>
    </row>
    <row r="51" spans="1:106" s="42" customFormat="1" x14ac:dyDescent="0.25">
      <c r="A51" s="99" t="s">
        <v>1073</v>
      </c>
      <c r="B51" s="90">
        <v>1</v>
      </c>
      <c r="C51" s="100">
        <f t="shared" ref="C51" si="84">IFERROR($B51/C21,0)</f>
        <v>60814626076.229866</v>
      </c>
      <c r="D51" s="100">
        <f t="shared" ref="D51:AB51" si="85">IFERROR($B51/D21,0)</f>
        <v>15203656519.057467</v>
      </c>
      <c r="E51" s="100">
        <f t="shared" si="85"/>
        <v>15203656519.057467</v>
      </c>
      <c r="F51" s="100">
        <f t="shared" si="85"/>
        <v>15203656519.057467</v>
      </c>
      <c r="G51" s="100">
        <f t="shared" si="85"/>
        <v>15203656519.057467</v>
      </c>
      <c r="H51" s="100">
        <f t="shared" si="85"/>
        <v>15203656519.057467</v>
      </c>
      <c r="I51" s="100">
        <f t="shared" si="85"/>
        <v>15203656519.057467</v>
      </c>
      <c r="J51" s="100">
        <f t="shared" si="85"/>
        <v>15203656519.057467</v>
      </c>
      <c r="K51" s="100">
        <f t="shared" si="85"/>
        <v>15203656519.057467</v>
      </c>
      <c r="L51" s="100">
        <f t="shared" si="85"/>
        <v>15203656519.057467</v>
      </c>
      <c r="M51" s="100">
        <f t="shared" si="85"/>
        <v>15203656519.057467</v>
      </c>
      <c r="N51" s="100">
        <f t="shared" si="85"/>
        <v>15203656519.057467</v>
      </c>
      <c r="O51" s="100">
        <f t="shared" si="85"/>
        <v>15203656519.057467</v>
      </c>
      <c r="P51" s="100">
        <f t="shared" si="85"/>
        <v>15203656519.057467</v>
      </c>
      <c r="Q51" s="100">
        <f t="shared" si="85"/>
        <v>15203656519.057467</v>
      </c>
      <c r="R51" s="100">
        <f t="shared" si="85"/>
        <v>15203656519.057467</v>
      </c>
      <c r="S51" s="100">
        <f t="shared" si="85"/>
        <v>15203656519.057467</v>
      </c>
      <c r="T51" s="100">
        <f t="shared" si="85"/>
        <v>15203656519.057467</v>
      </c>
      <c r="U51" s="100">
        <f t="shared" si="85"/>
        <v>15203656519.057467</v>
      </c>
      <c r="V51" s="100">
        <f t="shared" si="85"/>
        <v>15203656519.057467</v>
      </c>
      <c r="W51" s="100">
        <f t="shared" si="85"/>
        <v>15203656519.057467</v>
      </c>
      <c r="X51" s="100">
        <f t="shared" si="85"/>
        <v>15203656519.057467</v>
      </c>
      <c r="Y51" s="100">
        <f t="shared" si="85"/>
        <v>15203656519.057467</v>
      </c>
      <c r="Z51" s="100">
        <f t="shared" si="85"/>
        <v>15203656519.057467</v>
      </c>
      <c r="AA51" s="100">
        <f t="shared" si="85"/>
        <v>15203656519.057467</v>
      </c>
      <c r="AB51" s="100">
        <f t="shared" si="85"/>
        <v>15203656519.057467</v>
      </c>
      <c r="AC51" s="49">
        <f t="shared" si="1"/>
        <v>3040731.3038114933</v>
      </c>
      <c r="AD51" s="101">
        <f>IFERROR(up_RadSpec!$H$21*($AD$21/$B51),".")</f>
        <v>760182.82595287333</v>
      </c>
      <c r="AE51" s="101">
        <f>IFERROR(up_RadSpec!$H$21*($AE$21/$B51),".")</f>
        <v>760182.82595287333</v>
      </c>
      <c r="AF51" s="101">
        <f>IFERROR(up_RadSpec!$H$21*($BA$21/$B51),".")</f>
        <v>760182.82595287333</v>
      </c>
      <c r="AG51" s="101">
        <f>IFERROR(up_RadSpec!$H$21*($BA$21/$B51),".")</f>
        <v>760182.82595287333</v>
      </c>
      <c r="AH51" s="101">
        <f>IFERROR(up_RadSpec!$H$21*($BA$21/$B51),".")</f>
        <v>760182.82595287333</v>
      </c>
      <c r="AI51" s="101">
        <f>IFERROR(up_RadSpec!$H$21*($BA$21/$B51),".")</f>
        <v>760182.82595287333</v>
      </c>
      <c r="AJ51" s="101">
        <f>IFERROR(up_RadSpec!$H$21*($BA$21/$B51),".")</f>
        <v>760182.82595287333</v>
      </c>
      <c r="AK51" s="101">
        <f>IFERROR(up_RadSpec!$H$21*($BA$21/$B51),".")</f>
        <v>760182.82595287333</v>
      </c>
      <c r="AL51" s="101">
        <f>IFERROR(up_RadSpec!$H$21*($BA$21/$B51),".")</f>
        <v>760182.82595287333</v>
      </c>
      <c r="AM51" s="101">
        <f>IFERROR(up_RadSpec!$H$21*($BA$21/$B51),".")</f>
        <v>760182.82595287333</v>
      </c>
      <c r="AN51" s="101">
        <f>IFERROR(up_RadSpec!$H$21*($BA$21/$B51),".")</f>
        <v>760182.82595287333</v>
      </c>
      <c r="AO51" s="101">
        <f>IFERROR(up_RadSpec!$H$21*($BA$21/$B51),".")</f>
        <v>760182.82595287333</v>
      </c>
      <c r="AP51" s="101">
        <f>IFERROR(up_RadSpec!$H$21*($BA$21/$B51),".")</f>
        <v>760182.82595287333</v>
      </c>
      <c r="AQ51" s="101">
        <f>IFERROR(up_RadSpec!$H$21*($BA$21/$B51),".")</f>
        <v>760182.82595287333</v>
      </c>
      <c r="AR51" s="101">
        <f>IFERROR(up_RadSpec!$H$21*($BA$21/$B51),".")</f>
        <v>760182.82595287333</v>
      </c>
      <c r="AS51" s="101">
        <f>IFERROR(up_RadSpec!$H$21*($BA$21/$B51),".")</f>
        <v>760182.82595287333</v>
      </c>
      <c r="AT51" s="101">
        <f>IFERROR(up_RadSpec!$H$21*($BA$21/$B51),".")</f>
        <v>760182.82595287333</v>
      </c>
      <c r="AU51" s="101">
        <f>IFERROR(up_RadSpec!$H$21*($BA$21/$B51),".")</f>
        <v>760182.82595287333</v>
      </c>
      <c r="AV51" s="101">
        <f>IFERROR(up_RadSpec!$H$21*($BA$21/$B51),".")</f>
        <v>760182.82595287333</v>
      </c>
      <c r="AW51" s="101">
        <f>IFERROR(up_RadSpec!$H$21*($BA$21/$B51),".")</f>
        <v>760182.82595287333</v>
      </c>
      <c r="AX51" s="101">
        <f>IFERROR(up_RadSpec!$H$21*($BA$21/$B51),".")</f>
        <v>760182.82595287333</v>
      </c>
      <c r="AY51" s="101">
        <f>IFERROR(up_RadSpec!$H$21*($BA$21/$B51),".")</f>
        <v>760182.82595287333</v>
      </c>
      <c r="AZ51" s="101">
        <f>IFERROR(up_RadSpec!$H$21*($BA$21/$B51),".")</f>
        <v>760182.82595287333</v>
      </c>
      <c r="BA51" s="101">
        <f>IFERROR(up_RadSpec!$H$21*($BA$21/$B51),".")</f>
        <v>760182.82595287333</v>
      </c>
      <c r="BB51" s="101">
        <f>IFERROR(up_RadSpec!$H$21*($BB$21/$B51),".")</f>
        <v>760182.82595287333</v>
      </c>
      <c r="BC51" s="100">
        <f t="shared" ref="BC51" si="86">IFERROR($B51/BC21,0)</f>
        <v>60814626076.229866</v>
      </c>
      <c r="BD51" s="100">
        <f t="shared" ref="BD51:CB51" si="87">IFERROR($B51/BD21,0)</f>
        <v>15203656519.057467</v>
      </c>
      <c r="BE51" s="100">
        <f t="shared" si="87"/>
        <v>15203656519.057467</v>
      </c>
      <c r="BF51" s="100">
        <f t="shared" si="87"/>
        <v>15203656519.057467</v>
      </c>
      <c r="BG51" s="100">
        <f t="shared" si="87"/>
        <v>15203656519.057467</v>
      </c>
      <c r="BH51" s="100">
        <f t="shared" si="87"/>
        <v>15203656519.057467</v>
      </c>
      <c r="BI51" s="100">
        <f t="shared" si="87"/>
        <v>15203656519.057467</v>
      </c>
      <c r="BJ51" s="100">
        <f t="shared" si="87"/>
        <v>15203656519.057467</v>
      </c>
      <c r="BK51" s="100">
        <f t="shared" si="87"/>
        <v>15203656519.057467</v>
      </c>
      <c r="BL51" s="100">
        <f t="shared" si="87"/>
        <v>15203656519.057467</v>
      </c>
      <c r="BM51" s="100">
        <f t="shared" si="87"/>
        <v>15203656519.057467</v>
      </c>
      <c r="BN51" s="100">
        <f t="shared" si="87"/>
        <v>15203656519.057467</v>
      </c>
      <c r="BO51" s="100">
        <f t="shared" si="87"/>
        <v>15203656519.057467</v>
      </c>
      <c r="BP51" s="100">
        <f t="shared" si="87"/>
        <v>15203656519.057467</v>
      </c>
      <c r="BQ51" s="100">
        <f t="shared" si="87"/>
        <v>15203656519.057467</v>
      </c>
      <c r="BR51" s="100">
        <f t="shared" si="87"/>
        <v>15203656519.057467</v>
      </c>
      <c r="BS51" s="100">
        <f t="shared" si="87"/>
        <v>15203656519.057467</v>
      </c>
      <c r="BT51" s="100">
        <f t="shared" si="87"/>
        <v>15203656519.057467</v>
      </c>
      <c r="BU51" s="100">
        <f t="shared" si="87"/>
        <v>15203656519.057467</v>
      </c>
      <c r="BV51" s="100">
        <f t="shared" si="87"/>
        <v>15203656519.057467</v>
      </c>
      <c r="BW51" s="100">
        <f t="shared" si="87"/>
        <v>15203656519.057467</v>
      </c>
      <c r="BX51" s="100">
        <f t="shared" si="87"/>
        <v>15203656519.057467</v>
      </c>
      <c r="BY51" s="100">
        <f t="shared" si="87"/>
        <v>15203656519.057467</v>
      </c>
      <c r="BZ51" s="100">
        <f t="shared" si="87"/>
        <v>15203656519.057467</v>
      </c>
      <c r="CA51" s="100">
        <f t="shared" si="87"/>
        <v>15203656519.057467</v>
      </c>
      <c r="CB51" s="100">
        <f t="shared" si="87"/>
        <v>15203656519.057467</v>
      </c>
      <c r="CC51" s="49">
        <f t="shared" si="3"/>
        <v>3040731.3038114933</v>
      </c>
      <c r="CD51" s="101">
        <f>IFERROR(up_RadSpec!$H$21*($AD$21/$B51),".")</f>
        <v>760182.82595287333</v>
      </c>
      <c r="CE51" s="101">
        <f>IFERROR(up_RadSpec!$H$21*($AE$21/$B51),".")</f>
        <v>760182.82595287333</v>
      </c>
      <c r="CF51" s="101">
        <f>IFERROR(up_RadSpec!$H$21*($BA$21/$B51),".")</f>
        <v>760182.82595287333</v>
      </c>
      <c r="CG51" s="101">
        <f>IFERROR(up_RadSpec!$H$21*($BA$21/$B51),".")</f>
        <v>760182.82595287333</v>
      </c>
      <c r="CH51" s="101">
        <f>IFERROR(up_RadSpec!$H$21*($BA$21/$B51),".")</f>
        <v>760182.82595287333</v>
      </c>
      <c r="CI51" s="101">
        <f>IFERROR(up_RadSpec!$H$21*($BA$21/$B51),".")</f>
        <v>760182.82595287333</v>
      </c>
      <c r="CJ51" s="101">
        <f>IFERROR(up_RadSpec!$H$21*($BA$21/$B51),".")</f>
        <v>760182.82595287333</v>
      </c>
      <c r="CK51" s="101">
        <f>IFERROR(up_RadSpec!$H$21*($BA$21/$B51),".")</f>
        <v>760182.82595287333</v>
      </c>
      <c r="CL51" s="101">
        <f>IFERROR(up_RadSpec!$H$21*($BA$21/$B51),".")</f>
        <v>760182.82595287333</v>
      </c>
      <c r="CM51" s="101">
        <f>IFERROR(up_RadSpec!$H$21*($BA$21/$B51),".")</f>
        <v>760182.82595287333</v>
      </c>
      <c r="CN51" s="101">
        <f>IFERROR(up_RadSpec!$H$21*($BA$21/$B51),".")</f>
        <v>760182.82595287333</v>
      </c>
      <c r="CO51" s="101">
        <f>IFERROR(up_RadSpec!$H$21*($BA$21/$B51),".")</f>
        <v>760182.82595287333</v>
      </c>
      <c r="CP51" s="101">
        <f>IFERROR(up_RadSpec!$H$21*($BA$21/$B51),".")</f>
        <v>760182.82595287333</v>
      </c>
      <c r="CQ51" s="101">
        <f>IFERROR(up_RadSpec!$H$21*($BA$21/$B51),".")</f>
        <v>760182.82595287333</v>
      </c>
      <c r="CR51" s="101">
        <f>IFERROR(up_RadSpec!$H$21*($BA$21/$B51),".")</f>
        <v>760182.82595287333</v>
      </c>
      <c r="CS51" s="101">
        <f>IFERROR(up_RadSpec!$H$21*($BA$21/$B51),".")</f>
        <v>760182.82595287333</v>
      </c>
      <c r="CT51" s="101">
        <f>IFERROR(up_RadSpec!$H$21*($BA$21/$B51),".")</f>
        <v>760182.82595287333</v>
      </c>
      <c r="CU51" s="101">
        <f>IFERROR(up_RadSpec!$H$21*($BA$21/$B51),".")</f>
        <v>760182.82595287333</v>
      </c>
      <c r="CV51" s="101">
        <f>IFERROR(up_RadSpec!$H$21*($BA$21/$B51),".")</f>
        <v>760182.82595287333</v>
      </c>
      <c r="CW51" s="101">
        <f>IFERROR(up_RadSpec!$H$21*($BA$21/$B51),".")</f>
        <v>760182.82595287333</v>
      </c>
      <c r="CX51" s="101">
        <f>IFERROR(up_RadSpec!$H$21*($BA$21/$B51),".")</f>
        <v>760182.82595287333</v>
      </c>
      <c r="CY51" s="101">
        <f>IFERROR(up_RadSpec!$H$21*($BA$21/$B51),".")</f>
        <v>760182.82595287333</v>
      </c>
      <c r="CZ51" s="101">
        <f>IFERROR(up_RadSpec!$H$21*($BA$21/$B51),".")</f>
        <v>760182.82595287333</v>
      </c>
      <c r="DA51" s="101">
        <f>IFERROR(up_RadSpec!$H$21*($BA$21/$B51),".")</f>
        <v>760182.82595287333</v>
      </c>
      <c r="DB51" s="101">
        <f>IFERROR(up_RadSpec!$H$21*($BB$21/$B51),".")</f>
        <v>760182.82595287333</v>
      </c>
    </row>
    <row r="52" spans="1:106" s="42" customFormat="1" x14ac:dyDescent="0.25">
      <c r="A52" s="99" t="s">
        <v>1074</v>
      </c>
      <c r="B52" s="103">
        <v>0.99980000000000002</v>
      </c>
      <c r="C52" s="100">
        <f t="shared" ref="C52" si="88">IFERROR($B52/C17,0)</f>
        <v>60802463151.014618</v>
      </c>
      <c r="D52" s="100">
        <f t="shared" ref="D52:AB52" si="89">IFERROR($B52/D17,0)</f>
        <v>15200615787.753654</v>
      </c>
      <c r="E52" s="100">
        <f t="shared" si="89"/>
        <v>15200615787.753654</v>
      </c>
      <c r="F52" s="100">
        <f t="shared" si="89"/>
        <v>15200615787.753654</v>
      </c>
      <c r="G52" s="100">
        <f t="shared" si="89"/>
        <v>15200615787.753654</v>
      </c>
      <c r="H52" s="100">
        <f t="shared" si="89"/>
        <v>15200615787.753654</v>
      </c>
      <c r="I52" s="100">
        <f t="shared" si="89"/>
        <v>15200615787.753654</v>
      </c>
      <c r="J52" s="100">
        <f t="shared" si="89"/>
        <v>15200615787.753654</v>
      </c>
      <c r="K52" s="100">
        <f t="shared" si="89"/>
        <v>15200615787.753654</v>
      </c>
      <c r="L52" s="100">
        <f t="shared" si="89"/>
        <v>15200615787.753654</v>
      </c>
      <c r="M52" s="100">
        <f t="shared" si="89"/>
        <v>15200615787.753654</v>
      </c>
      <c r="N52" s="100">
        <f t="shared" si="89"/>
        <v>15200615787.753654</v>
      </c>
      <c r="O52" s="100">
        <f t="shared" si="89"/>
        <v>15200615787.753654</v>
      </c>
      <c r="P52" s="100">
        <f t="shared" si="89"/>
        <v>15200615787.753654</v>
      </c>
      <c r="Q52" s="100">
        <f t="shared" si="89"/>
        <v>15200615787.753654</v>
      </c>
      <c r="R52" s="100">
        <f t="shared" si="89"/>
        <v>15200615787.753654</v>
      </c>
      <c r="S52" s="100">
        <f t="shared" si="89"/>
        <v>15200615787.753654</v>
      </c>
      <c r="T52" s="100">
        <f t="shared" si="89"/>
        <v>15200615787.753654</v>
      </c>
      <c r="U52" s="100">
        <f t="shared" si="89"/>
        <v>15200615787.753654</v>
      </c>
      <c r="V52" s="100">
        <f t="shared" si="89"/>
        <v>15200615787.753654</v>
      </c>
      <c r="W52" s="100">
        <f t="shared" si="89"/>
        <v>15200615787.753654</v>
      </c>
      <c r="X52" s="100">
        <f t="shared" si="89"/>
        <v>15200615787.753654</v>
      </c>
      <c r="Y52" s="100">
        <f t="shared" si="89"/>
        <v>15200615787.753654</v>
      </c>
      <c r="Z52" s="100">
        <f t="shared" si="89"/>
        <v>15200615787.753654</v>
      </c>
      <c r="AA52" s="100">
        <f t="shared" si="89"/>
        <v>15200615787.753654</v>
      </c>
      <c r="AB52" s="100">
        <f t="shared" si="89"/>
        <v>15200615787.753654</v>
      </c>
      <c r="AC52" s="49">
        <f t="shared" si="1"/>
        <v>3041339.5717258384</v>
      </c>
      <c r="AD52" s="101">
        <f>IFERROR(up_RadSpec!$H$17*($AD$17/$B52),".")</f>
        <v>760334.89293145959</v>
      </c>
      <c r="AE52" s="101">
        <f>IFERROR(up_RadSpec!$H$17*($AE$17/$B52),".")</f>
        <v>760334.89293145959</v>
      </c>
      <c r="AF52" s="101">
        <f>IFERROR(up_RadSpec!$H$17*($BA$17/$B52),".")</f>
        <v>760334.89293145959</v>
      </c>
      <c r="AG52" s="101">
        <f>IFERROR(up_RadSpec!$H$17*($BA$17/$B52),".")</f>
        <v>760334.89293145959</v>
      </c>
      <c r="AH52" s="101">
        <f>IFERROR(up_RadSpec!$H$17*($BA$17/$B52),".")</f>
        <v>760334.89293145959</v>
      </c>
      <c r="AI52" s="101">
        <f>IFERROR(up_RadSpec!$H$17*($BA$17/$B52),".")</f>
        <v>760334.89293145959</v>
      </c>
      <c r="AJ52" s="101">
        <f>IFERROR(up_RadSpec!$H$17*($BA$17/$B52),".")</f>
        <v>760334.89293145959</v>
      </c>
      <c r="AK52" s="101">
        <f>IFERROR(up_RadSpec!$H$17*($BA$17/$B52),".")</f>
        <v>760334.89293145959</v>
      </c>
      <c r="AL52" s="101">
        <f>IFERROR(up_RadSpec!$H$17*($BA$17/$B52),".")</f>
        <v>760334.89293145959</v>
      </c>
      <c r="AM52" s="101">
        <f>IFERROR(up_RadSpec!$H$17*($BA$17/$B52),".")</f>
        <v>760334.89293145959</v>
      </c>
      <c r="AN52" s="101">
        <f>IFERROR(up_RadSpec!$H$17*($BA$17/$B52),".")</f>
        <v>760334.89293145959</v>
      </c>
      <c r="AO52" s="101">
        <f>IFERROR(up_RadSpec!$H$17*($BA$17/$B52),".")</f>
        <v>760334.89293145959</v>
      </c>
      <c r="AP52" s="101">
        <f>IFERROR(up_RadSpec!$H$17*($BA$17/$B52),".")</f>
        <v>760334.89293145959</v>
      </c>
      <c r="AQ52" s="101">
        <f>IFERROR(up_RadSpec!$H$17*($BA$17/$B52),".")</f>
        <v>760334.89293145959</v>
      </c>
      <c r="AR52" s="101">
        <f>IFERROR(up_RadSpec!$H$17*($BA$17/$B52),".")</f>
        <v>760334.89293145959</v>
      </c>
      <c r="AS52" s="101">
        <f>IFERROR(up_RadSpec!$H$17*($BA$17/$B52),".")</f>
        <v>760334.89293145959</v>
      </c>
      <c r="AT52" s="101">
        <f>IFERROR(up_RadSpec!$H$17*($BA$17/$B52),".")</f>
        <v>760334.89293145959</v>
      </c>
      <c r="AU52" s="101">
        <f>IFERROR(up_RadSpec!$H$17*($BA$17/$B52),".")</f>
        <v>760334.89293145959</v>
      </c>
      <c r="AV52" s="101">
        <f>IFERROR(up_RadSpec!$H$17*($BA$17/$B52),".")</f>
        <v>760334.89293145959</v>
      </c>
      <c r="AW52" s="101">
        <f>IFERROR(up_RadSpec!$H$17*($BA$17/$B52),".")</f>
        <v>760334.89293145959</v>
      </c>
      <c r="AX52" s="101">
        <f>IFERROR(up_RadSpec!$H$17*($BA$17/$B52),".")</f>
        <v>760334.89293145959</v>
      </c>
      <c r="AY52" s="101">
        <f>IFERROR(up_RadSpec!$H$17*($BA$17/$B52),".")</f>
        <v>760334.89293145959</v>
      </c>
      <c r="AZ52" s="101">
        <f>IFERROR(up_RadSpec!$H$17*($BA$17/$B52),".")</f>
        <v>760334.89293145959</v>
      </c>
      <c r="BA52" s="101">
        <f>IFERROR(up_RadSpec!$H$17*($BA$17/$B52),".")</f>
        <v>760334.89293145959</v>
      </c>
      <c r="BB52" s="101">
        <f>IFERROR(up_RadSpec!$H$17*($BB$17/$B52),".")</f>
        <v>760334.89293145959</v>
      </c>
      <c r="BC52" s="100">
        <f t="shared" ref="BC52" si="90">IFERROR($B52/BC17,0)</f>
        <v>60802463151.014618</v>
      </c>
      <c r="BD52" s="100">
        <f t="shared" ref="BD52:CB52" si="91">IFERROR($B52/BD17,0)</f>
        <v>15200615787.753654</v>
      </c>
      <c r="BE52" s="100">
        <f t="shared" si="91"/>
        <v>15200615787.753654</v>
      </c>
      <c r="BF52" s="100">
        <f t="shared" si="91"/>
        <v>15200615787.753654</v>
      </c>
      <c r="BG52" s="100">
        <f t="shared" si="91"/>
        <v>15200615787.753654</v>
      </c>
      <c r="BH52" s="100">
        <f t="shared" si="91"/>
        <v>15200615787.753654</v>
      </c>
      <c r="BI52" s="100">
        <f t="shared" si="91"/>
        <v>15200615787.753654</v>
      </c>
      <c r="BJ52" s="100">
        <f t="shared" si="91"/>
        <v>15200615787.753654</v>
      </c>
      <c r="BK52" s="100">
        <f t="shared" si="91"/>
        <v>15200615787.753654</v>
      </c>
      <c r="BL52" s="100">
        <f t="shared" si="91"/>
        <v>15200615787.753654</v>
      </c>
      <c r="BM52" s="100">
        <f t="shared" si="91"/>
        <v>15200615787.753654</v>
      </c>
      <c r="BN52" s="100">
        <f t="shared" si="91"/>
        <v>15200615787.753654</v>
      </c>
      <c r="BO52" s="100">
        <f t="shared" si="91"/>
        <v>15200615787.753654</v>
      </c>
      <c r="BP52" s="100">
        <f t="shared" si="91"/>
        <v>15200615787.753654</v>
      </c>
      <c r="BQ52" s="100">
        <f t="shared" si="91"/>
        <v>15200615787.753654</v>
      </c>
      <c r="BR52" s="100">
        <f t="shared" si="91"/>
        <v>15200615787.753654</v>
      </c>
      <c r="BS52" s="100">
        <f t="shared" si="91"/>
        <v>15200615787.753654</v>
      </c>
      <c r="BT52" s="100">
        <f t="shared" si="91"/>
        <v>15200615787.753654</v>
      </c>
      <c r="BU52" s="100">
        <f t="shared" si="91"/>
        <v>15200615787.753654</v>
      </c>
      <c r="BV52" s="100">
        <f t="shared" si="91"/>
        <v>15200615787.753654</v>
      </c>
      <c r="BW52" s="100">
        <f t="shared" si="91"/>
        <v>15200615787.753654</v>
      </c>
      <c r="BX52" s="100">
        <f t="shared" si="91"/>
        <v>15200615787.753654</v>
      </c>
      <c r="BY52" s="100">
        <f t="shared" si="91"/>
        <v>15200615787.753654</v>
      </c>
      <c r="BZ52" s="100">
        <f t="shared" si="91"/>
        <v>15200615787.753654</v>
      </c>
      <c r="CA52" s="100">
        <f t="shared" si="91"/>
        <v>15200615787.753654</v>
      </c>
      <c r="CB52" s="100">
        <f t="shared" si="91"/>
        <v>15200615787.753654</v>
      </c>
      <c r="CC52" s="49">
        <f t="shared" si="3"/>
        <v>3041339.5717258384</v>
      </c>
      <c r="CD52" s="101">
        <f>IFERROR(up_RadSpec!$H$17*($AD$17/$B52),".")</f>
        <v>760334.89293145959</v>
      </c>
      <c r="CE52" s="101">
        <f>IFERROR(up_RadSpec!$H$17*($AE$17/$B52),".")</f>
        <v>760334.89293145959</v>
      </c>
      <c r="CF52" s="101">
        <f>IFERROR(up_RadSpec!$H$17*($BA$17/$B52),".")</f>
        <v>760334.89293145959</v>
      </c>
      <c r="CG52" s="101">
        <f>IFERROR(up_RadSpec!$H$17*($BA$17/$B52),".")</f>
        <v>760334.89293145959</v>
      </c>
      <c r="CH52" s="101">
        <f>IFERROR(up_RadSpec!$H$17*($BA$17/$B52),".")</f>
        <v>760334.89293145959</v>
      </c>
      <c r="CI52" s="101">
        <f>IFERROR(up_RadSpec!$H$17*($BA$17/$B52),".")</f>
        <v>760334.89293145959</v>
      </c>
      <c r="CJ52" s="101">
        <f>IFERROR(up_RadSpec!$H$17*($BA$17/$B52),".")</f>
        <v>760334.89293145959</v>
      </c>
      <c r="CK52" s="101">
        <f>IFERROR(up_RadSpec!$H$17*($BA$17/$B52),".")</f>
        <v>760334.89293145959</v>
      </c>
      <c r="CL52" s="101">
        <f>IFERROR(up_RadSpec!$H$17*($BA$17/$B52),".")</f>
        <v>760334.89293145959</v>
      </c>
      <c r="CM52" s="101">
        <f>IFERROR(up_RadSpec!$H$17*($BA$17/$B52),".")</f>
        <v>760334.89293145959</v>
      </c>
      <c r="CN52" s="101">
        <f>IFERROR(up_RadSpec!$H$17*($BA$17/$B52),".")</f>
        <v>760334.89293145959</v>
      </c>
      <c r="CO52" s="101">
        <f>IFERROR(up_RadSpec!$H$17*($BA$17/$B52),".")</f>
        <v>760334.89293145959</v>
      </c>
      <c r="CP52" s="101">
        <f>IFERROR(up_RadSpec!$H$17*($BA$17/$B52),".")</f>
        <v>760334.89293145959</v>
      </c>
      <c r="CQ52" s="101">
        <f>IFERROR(up_RadSpec!$H$17*($BA$17/$B52),".")</f>
        <v>760334.89293145959</v>
      </c>
      <c r="CR52" s="101">
        <f>IFERROR(up_RadSpec!$H$17*($BA$17/$B52),".")</f>
        <v>760334.89293145959</v>
      </c>
      <c r="CS52" s="101">
        <f>IFERROR(up_RadSpec!$H$17*($BA$17/$B52),".")</f>
        <v>760334.89293145959</v>
      </c>
      <c r="CT52" s="101">
        <f>IFERROR(up_RadSpec!$H$17*($BA$17/$B52),".")</f>
        <v>760334.89293145959</v>
      </c>
      <c r="CU52" s="101">
        <f>IFERROR(up_RadSpec!$H$17*($BA$17/$B52),".")</f>
        <v>760334.89293145959</v>
      </c>
      <c r="CV52" s="101">
        <f>IFERROR(up_RadSpec!$H$17*($BA$17/$B52),".")</f>
        <v>760334.89293145959</v>
      </c>
      <c r="CW52" s="101">
        <f>IFERROR(up_RadSpec!$H$17*($BA$17/$B52),".")</f>
        <v>760334.89293145959</v>
      </c>
      <c r="CX52" s="101">
        <f>IFERROR(up_RadSpec!$H$17*($BA$17/$B52),".")</f>
        <v>760334.89293145959</v>
      </c>
      <c r="CY52" s="101">
        <f>IFERROR(up_RadSpec!$H$17*($BA$17/$B52),".")</f>
        <v>760334.89293145959</v>
      </c>
      <c r="CZ52" s="101">
        <f>IFERROR(up_RadSpec!$H$17*($BA$17/$B52),".")</f>
        <v>760334.89293145959</v>
      </c>
      <c r="DA52" s="101">
        <f>IFERROR(up_RadSpec!$H$17*($BA$17/$B52),".")</f>
        <v>760334.89293145959</v>
      </c>
      <c r="DB52" s="101">
        <f>IFERROR(up_RadSpec!$H$17*($BB$17/$B52),".")</f>
        <v>760334.89293145959</v>
      </c>
    </row>
    <row r="53" spans="1:106" s="42" customFormat="1" x14ac:dyDescent="0.25">
      <c r="A53" s="99" t="s">
        <v>1088</v>
      </c>
      <c r="B53" s="90">
        <v>2.0000000000000001E-4</v>
      </c>
      <c r="C53" s="100">
        <f t="shared" ref="C53" si="92">IFERROR($B53/C5,0)</f>
        <v>12162925.215245973</v>
      </c>
      <c r="D53" s="100">
        <f t="shared" ref="D53:AB53" si="93">IFERROR($B53/D5,0)</f>
        <v>3040731.3038114933</v>
      </c>
      <c r="E53" s="100">
        <f t="shared" si="93"/>
        <v>3040731.3038114933</v>
      </c>
      <c r="F53" s="100">
        <f t="shared" si="93"/>
        <v>3040731.3038114933</v>
      </c>
      <c r="G53" s="100">
        <f t="shared" si="93"/>
        <v>3040731.3038114933</v>
      </c>
      <c r="H53" s="100">
        <f t="shared" si="93"/>
        <v>3040731.3038114933</v>
      </c>
      <c r="I53" s="100">
        <f t="shared" si="93"/>
        <v>3040731.3038114933</v>
      </c>
      <c r="J53" s="100">
        <f t="shared" si="93"/>
        <v>3040731.3038114933</v>
      </c>
      <c r="K53" s="100">
        <f t="shared" si="93"/>
        <v>3040731.3038114933</v>
      </c>
      <c r="L53" s="100">
        <f t="shared" si="93"/>
        <v>3040731.3038114933</v>
      </c>
      <c r="M53" s="100">
        <f t="shared" si="93"/>
        <v>3040731.3038114933</v>
      </c>
      <c r="N53" s="100">
        <f t="shared" si="93"/>
        <v>3040731.3038114933</v>
      </c>
      <c r="O53" s="100">
        <f t="shared" si="93"/>
        <v>3040731.3038114933</v>
      </c>
      <c r="P53" s="100">
        <f t="shared" si="93"/>
        <v>3040731.3038114933</v>
      </c>
      <c r="Q53" s="100">
        <f t="shared" si="93"/>
        <v>3040731.3038114933</v>
      </c>
      <c r="R53" s="100">
        <f t="shared" si="93"/>
        <v>3040731.3038114933</v>
      </c>
      <c r="S53" s="100">
        <f t="shared" si="93"/>
        <v>3040731.3038114933</v>
      </c>
      <c r="T53" s="100">
        <f t="shared" si="93"/>
        <v>3040731.3038114933</v>
      </c>
      <c r="U53" s="100">
        <f t="shared" si="93"/>
        <v>3040731.3038114933</v>
      </c>
      <c r="V53" s="100">
        <f t="shared" si="93"/>
        <v>3040731.3038114933</v>
      </c>
      <c r="W53" s="100">
        <f t="shared" si="93"/>
        <v>3040731.3038114933</v>
      </c>
      <c r="X53" s="100">
        <f t="shared" si="93"/>
        <v>3040731.3038114933</v>
      </c>
      <c r="Y53" s="100">
        <f t="shared" si="93"/>
        <v>3040731.3038114933</v>
      </c>
      <c r="Z53" s="100">
        <f t="shared" si="93"/>
        <v>3040731.3038114933</v>
      </c>
      <c r="AA53" s="100">
        <f t="shared" si="93"/>
        <v>3040731.3038114933</v>
      </c>
      <c r="AB53" s="100">
        <f t="shared" si="93"/>
        <v>3040731.3038114933</v>
      </c>
      <c r="AC53" s="49">
        <f t="shared" si="1"/>
        <v>15203656519.057467</v>
      </c>
      <c r="AD53" s="101">
        <f>IFERROR(up_RadSpec!$H$5*($AD$5/$B53),".")</f>
        <v>3800914129.7643666</v>
      </c>
      <c r="AE53" s="101">
        <f>IFERROR(up_RadSpec!$H$5*($AE$5/$B53),".")</f>
        <v>3800914129.7643666</v>
      </c>
      <c r="AF53" s="101">
        <f>IFERROR(up_RadSpec!$H$5*($BA$5/$B53),".")</f>
        <v>3800914129.7643666</v>
      </c>
      <c r="AG53" s="101">
        <f>IFERROR(up_RadSpec!$H$5*($BA$5/$B53),".")</f>
        <v>3800914129.7643666</v>
      </c>
      <c r="AH53" s="101">
        <f>IFERROR(up_RadSpec!$H$5*($BA$5/$B53),".")</f>
        <v>3800914129.7643666</v>
      </c>
      <c r="AI53" s="101">
        <f>IFERROR(up_RadSpec!$H$5*($BA$5/$B53),".")</f>
        <v>3800914129.7643666</v>
      </c>
      <c r="AJ53" s="101">
        <f>IFERROR(up_RadSpec!$H$5*($BA$5/$B53),".")</f>
        <v>3800914129.7643666</v>
      </c>
      <c r="AK53" s="101">
        <f>IFERROR(up_RadSpec!$H$5*($BA$5/$B53),".")</f>
        <v>3800914129.7643666</v>
      </c>
      <c r="AL53" s="101">
        <f>IFERROR(up_RadSpec!$H$5*($BA$5/$B53),".")</f>
        <v>3800914129.7643666</v>
      </c>
      <c r="AM53" s="101">
        <f>IFERROR(up_RadSpec!$H$5*($BA$5/$B53),".")</f>
        <v>3800914129.7643666</v>
      </c>
      <c r="AN53" s="101">
        <f>IFERROR(up_RadSpec!$H$5*($BA$5/$B53),".")</f>
        <v>3800914129.7643666</v>
      </c>
      <c r="AO53" s="101">
        <f>IFERROR(up_RadSpec!$H$5*($BA$5/$B53),".")</f>
        <v>3800914129.7643666</v>
      </c>
      <c r="AP53" s="101">
        <f>IFERROR(up_RadSpec!$H$5*($BA$5/$B53),".")</f>
        <v>3800914129.7643666</v>
      </c>
      <c r="AQ53" s="101">
        <f>IFERROR(up_RadSpec!$H$5*($BA$5/$B53),".")</f>
        <v>3800914129.7643666</v>
      </c>
      <c r="AR53" s="101">
        <f>IFERROR(up_RadSpec!$H$5*($BA$5/$B53),".")</f>
        <v>3800914129.7643666</v>
      </c>
      <c r="AS53" s="101">
        <f>IFERROR(up_RadSpec!$H$5*($BA$5/$B53),".")</f>
        <v>3800914129.7643666</v>
      </c>
      <c r="AT53" s="101">
        <f>IFERROR(up_RadSpec!$H$5*($BA$5/$B53),".")</f>
        <v>3800914129.7643666</v>
      </c>
      <c r="AU53" s="101">
        <f>IFERROR(up_RadSpec!$H$5*($BA$5/$B53),".")</f>
        <v>3800914129.7643666</v>
      </c>
      <c r="AV53" s="101">
        <f>IFERROR(up_RadSpec!$H$5*($BA$5/$B53),".")</f>
        <v>3800914129.7643666</v>
      </c>
      <c r="AW53" s="101">
        <f>IFERROR(up_RadSpec!$H$5*($BA$5/$B53),".")</f>
        <v>3800914129.7643666</v>
      </c>
      <c r="AX53" s="101">
        <f>IFERROR(up_RadSpec!$H$5*($BA$5/$B53),".")</f>
        <v>3800914129.7643666</v>
      </c>
      <c r="AY53" s="101">
        <f>IFERROR(up_RadSpec!$H$5*($BA$5/$B53),".")</f>
        <v>3800914129.7643666</v>
      </c>
      <c r="AZ53" s="101">
        <f>IFERROR(up_RadSpec!$H$5*($BA$5/$B53),".")</f>
        <v>3800914129.7643666</v>
      </c>
      <c r="BA53" s="101">
        <f>IFERROR(up_RadSpec!$H$5*($BA$5/$B53),".")</f>
        <v>3800914129.7643666</v>
      </c>
      <c r="BB53" s="101">
        <f>IFERROR(up_RadSpec!$H$5*($BB$5/$B53),".")</f>
        <v>3800914129.7643666</v>
      </c>
      <c r="BC53" s="100">
        <f t="shared" ref="BC53" si="94">IFERROR($B53/BC5,0)</f>
        <v>12162925.215245973</v>
      </c>
      <c r="BD53" s="100">
        <f t="shared" ref="BD53:CB53" si="95">IFERROR($B53/BD5,0)</f>
        <v>3040731.3038114933</v>
      </c>
      <c r="BE53" s="100">
        <f t="shared" si="95"/>
        <v>3040731.3038114933</v>
      </c>
      <c r="BF53" s="100">
        <f t="shared" si="95"/>
        <v>3040731.3038114933</v>
      </c>
      <c r="BG53" s="100">
        <f t="shared" si="95"/>
        <v>3040731.3038114933</v>
      </c>
      <c r="BH53" s="100">
        <f t="shared" si="95"/>
        <v>3040731.3038114933</v>
      </c>
      <c r="BI53" s="100">
        <f t="shared" si="95"/>
        <v>3040731.3038114933</v>
      </c>
      <c r="BJ53" s="100">
        <f t="shared" si="95"/>
        <v>3040731.3038114933</v>
      </c>
      <c r="BK53" s="100">
        <f t="shared" si="95"/>
        <v>3040731.3038114933</v>
      </c>
      <c r="BL53" s="100">
        <f t="shared" si="95"/>
        <v>3040731.3038114933</v>
      </c>
      <c r="BM53" s="100">
        <f t="shared" si="95"/>
        <v>3040731.3038114933</v>
      </c>
      <c r="BN53" s="100">
        <f t="shared" si="95"/>
        <v>3040731.3038114933</v>
      </c>
      <c r="BO53" s="100">
        <f t="shared" si="95"/>
        <v>3040731.3038114933</v>
      </c>
      <c r="BP53" s="100">
        <f t="shared" si="95"/>
        <v>3040731.3038114933</v>
      </c>
      <c r="BQ53" s="100">
        <f t="shared" si="95"/>
        <v>3040731.3038114933</v>
      </c>
      <c r="BR53" s="100">
        <f t="shared" si="95"/>
        <v>3040731.3038114933</v>
      </c>
      <c r="BS53" s="100">
        <f t="shared" si="95"/>
        <v>3040731.3038114933</v>
      </c>
      <c r="BT53" s="100">
        <f t="shared" si="95"/>
        <v>3040731.3038114933</v>
      </c>
      <c r="BU53" s="100">
        <f t="shared" si="95"/>
        <v>3040731.3038114933</v>
      </c>
      <c r="BV53" s="100">
        <f t="shared" si="95"/>
        <v>3040731.3038114933</v>
      </c>
      <c r="BW53" s="100">
        <f t="shared" si="95"/>
        <v>3040731.3038114933</v>
      </c>
      <c r="BX53" s="100">
        <f t="shared" si="95"/>
        <v>3040731.3038114933</v>
      </c>
      <c r="BY53" s="100">
        <f t="shared" si="95"/>
        <v>3040731.3038114933</v>
      </c>
      <c r="BZ53" s="100">
        <f t="shared" si="95"/>
        <v>3040731.3038114933</v>
      </c>
      <c r="CA53" s="100">
        <f t="shared" si="95"/>
        <v>3040731.3038114933</v>
      </c>
      <c r="CB53" s="100">
        <f t="shared" si="95"/>
        <v>3040731.3038114933</v>
      </c>
      <c r="CC53" s="49">
        <f t="shared" si="3"/>
        <v>15203656519.057467</v>
      </c>
      <c r="CD53" s="101">
        <f>IFERROR(up_RadSpec!$H$5*($AD$5/$B53),".")</f>
        <v>3800914129.7643666</v>
      </c>
      <c r="CE53" s="101">
        <f>IFERROR(up_RadSpec!$H$5*($AE$5/$B53),".")</f>
        <v>3800914129.7643666</v>
      </c>
      <c r="CF53" s="101">
        <f>IFERROR(up_RadSpec!$H$5*($BA$5/$B53),".")</f>
        <v>3800914129.7643666</v>
      </c>
      <c r="CG53" s="101">
        <f>IFERROR(up_RadSpec!$H$5*($BA$5/$B53),".")</f>
        <v>3800914129.7643666</v>
      </c>
      <c r="CH53" s="101">
        <f>IFERROR(up_RadSpec!$H$5*($BA$5/$B53),".")</f>
        <v>3800914129.7643666</v>
      </c>
      <c r="CI53" s="101">
        <f>IFERROR(up_RadSpec!$H$5*($BA$5/$B53),".")</f>
        <v>3800914129.7643666</v>
      </c>
      <c r="CJ53" s="101">
        <f>IFERROR(up_RadSpec!$H$5*($BA$5/$B53),".")</f>
        <v>3800914129.7643666</v>
      </c>
      <c r="CK53" s="101">
        <f>IFERROR(up_RadSpec!$H$5*($BA$5/$B53),".")</f>
        <v>3800914129.7643666</v>
      </c>
      <c r="CL53" s="101">
        <f>IFERROR(up_RadSpec!$H$5*($BA$5/$B53),".")</f>
        <v>3800914129.7643666</v>
      </c>
      <c r="CM53" s="101">
        <f>IFERROR(up_RadSpec!$H$5*($BA$5/$B53),".")</f>
        <v>3800914129.7643666</v>
      </c>
      <c r="CN53" s="101">
        <f>IFERROR(up_RadSpec!$H$5*($BA$5/$B53),".")</f>
        <v>3800914129.7643666</v>
      </c>
      <c r="CO53" s="101">
        <f>IFERROR(up_RadSpec!$H$5*($BA$5/$B53),".")</f>
        <v>3800914129.7643666</v>
      </c>
      <c r="CP53" s="101">
        <f>IFERROR(up_RadSpec!$H$5*($BA$5/$B53),".")</f>
        <v>3800914129.7643666</v>
      </c>
      <c r="CQ53" s="101">
        <f>IFERROR(up_RadSpec!$H$5*($BA$5/$B53),".")</f>
        <v>3800914129.7643666</v>
      </c>
      <c r="CR53" s="101">
        <f>IFERROR(up_RadSpec!$H$5*($BA$5/$B53),".")</f>
        <v>3800914129.7643666</v>
      </c>
      <c r="CS53" s="101">
        <f>IFERROR(up_RadSpec!$H$5*($BA$5/$B53),".")</f>
        <v>3800914129.7643666</v>
      </c>
      <c r="CT53" s="101">
        <f>IFERROR(up_RadSpec!$H$5*($BA$5/$B53),".")</f>
        <v>3800914129.7643666</v>
      </c>
      <c r="CU53" s="101">
        <f>IFERROR(up_RadSpec!$H$5*($BA$5/$B53),".")</f>
        <v>3800914129.7643666</v>
      </c>
      <c r="CV53" s="101">
        <f>IFERROR(up_RadSpec!$H$5*($BA$5/$B53),".")</f>
        <v>3800914129.7643666</v>
      </c>
      <c r="CW53" s="101">
        <f>IFERROR(up_RadSpec!$H$5*($BA$5/$B53),".")</f>
        <v>3800914129.7643666</v>
      </c>
      <c r="CX53" s="101">
        <f>IFERROR(up_RadSpec!$H$5*($BA$5/$B53),".")</f>
        <v>3800914129.7643666</v>
      </c>
      <c r="CY53" s="101">
        <f>IFERROR(up_RadSpec!$H$5*($BA$5/$B53),".")</f>
        <v>3800914129.7643666</v>
      </c>
      <c r="CZ53" s="101">
        <f>IFERROR(up_RadSpec!$H$5*($BA$5/$B53),".")</f>
        <v>3800914129.7643666</v>
      </c>
      <c r="DA53" s="101">
        <f>IFERROR(up_RadSpec!$H$5*($BA$5/$B53),".")</f>
        <v>3800914129.7643666</v>
      </c>
      <c r="DB53" s="101">
        <f>IFERROR(up_RadSpec!$H$5*($BB$5/$B53),".")</f>
        <v>3800914129.7643666</v>
      </c>
    </row>
    <row r="54" spans="1:106" s="42" customFormat="1" x14ac:dyDescent="0.25">
      <c r="A54" s="99" t="s">
        <v>1089</v>
      </c>
      <c r="B54" s="90">
        <v>0.99999979999999999</v>
      </c>
      <c r="C54" s="100">
        <f t="shared" ref="C54" si="96">IFERROR($B54/C9,0)</f>
        <v>60814613913.304649</v>
      </c>
      <c r="D54" s="100">
        <f t="shared" ref="D54:AB54" si="97">IFERROR($B54/D9,0)</f>
        <v>15203653478.326162</v>
      </c>
      <c r="E54" s="100">
        <f t="shared" si="97"/>
        <v>15203653478.326162</v>
      </c>
      <c r="F54" s="100">
        <f t="shared" si="97"/>
        <v>15203653478.326162</v>
      </c>
      <c r="G54" s="100">
        <f t="shared" si="97"/>
        <v>15203653478.326162</v>
      </c>
      <c r="H54" s="100">
        <f t="shared" si="97"/>
        <v>15203653478.326162</v>
      </c>
      <c r="I54" s="100">
        <f t="shared" si="97"/>
        <v>15203653478.326162</v>
      </c>
      <c r="J54" s="100">
        <f t="shared" si="97"/>
        <v>15203653478.326162</v>
      </c>
      <c r="K54" s="100">
        <f t="shared" si="97"/>
        <v>15203653478.326162</v>
      </c>
      <c r="L54" s="100">
        <f t="shared" si="97"/>
        <v>15203653478.326162</v>
      </c>
      <c r="M54" s="100">
        <f t="shared" si="97"/>
        <v>15203653478.326162</v>
      </c>
      <c r="N54" s="100">
        <f t="shared" si="97"/>
        <v>15203653478.326162</v>
      </c>
      <c r="O54" s="100">
        <f t="shared" si="97"/>
        <v>15203653478.326162</v>
      </c>
      <c r="P54" s="100">
        <f t="shared" si="97"/>
        <v>15203653478.326162</v>
      </c>
      <c r="Q54" s="100">
        <f t="shared" si="97"/>
        <v>15203653478.326162</v>
      </c>
      <c r="R54" s="100">
        <f t="shared" si="97"/>
        <v>15203653478.326162</v>
      </c>
      <c r="S54" s="100">
        <f t="shared" si="97"/>
        <v>15203653478.326162</v>
      </c>
      <c r="T54" s="100">
        <f t="shared" si="97"/>
        <v>15203653478.326162</v>
      </c>
      <c r="U54" s="100">
        <f t="shared" si="97"/>
        <v>15203653478.326162</v>
      </c>
      <c r="V54" s="100">
        <f t="shared" si="97"/>
        <v>15203653478.326162</v>
      </c>
      <c r="W54" s="100">
        <f t="shared" si="97"/>
        <v>15203653478.326162</v>
      </c>
      <c r="X54" s="100">
        <f t="shared" si="97"/>
        <v>15203653478.326162</v>
      </c>
      <c r="Y54" s="100">
        <f t="shared" si="97"/>
        <v>15203653478.326162</v>
      </c>
      <c r="Z54" s="100">
        <f t="shared" si="97"/>
        <v>15203653478.326162</v>
      </c>
      <c r="AA54" s="100">
        <f t="shared" si="97"/>
        <v>15203653478.326162</v>
      </c>
      <c r="AB54" s="100">
        <f t="shared" si="97"/>
        <v>15203653478.326162</v>
      </c>
      <c r="AC54" s="49">
        <f t="shared" si="1"/>
        <v>3040731.9119578758</v>
      </c>
      <c r="AD54" s="101">
        <f>IFERROR(up_RadSpec!$H$9*($AD$9/$B54),".")</f>
        <v>760182.97798946896</v>
      </c>
      <c r="AE54" s="101">
        <f>IFERROR(up_RadSpec!$H$9*($AE$9/$B54),".")</f>
        <v>760182.97798946896</v>
      </c>
      <c r="AF54" s="101">
        <f>IFERROR(up_RadSpec!$H$9*($BA$9/$B54),".")</f>
        <v>760182.97798946896</v>
      </c>
      <c r="AG54" s="101">
        <f>IFERROR(up_RadSpec!$H$9*($BA$9/$B54),".")</f>
        <v>760182.97798946896</v>
      </c>
      <c r="AH54" s="101">
        <f>IFERROR(up_RadSpec!$H$9*($BA$9/$B54),".")</f>
        <v>760182.97798946896</v>
      </c>
      <c r="AI54" s="101">
        <f>IFERROR(up_RadSpec!$H$9*($BA$9/$B54),".")</f>
        <v>760182.97798946896</v>
      </c>
      <c r="AJ54" s="101">
        <f>IFERROR(up_RadSpec!$H$9*($BA$9/$B54),".")</f>
        <v>760182.97798946896</v>
      </c>
      <c r="AK54" s="101">
        <f>IFERROR(up_RadSpec!$H$9*($BA$9/$B54),".")</f>
        <v>760182.97798946896</v>
      </c>
      <c r="AL54" s="101">
        <f>IFERROR(up_RadSpec!$H$9*($BA$9/$B54),".")</f>
        <v>760182.97798946896</v>
      </c>
      <c r="AM54" s="101">
        <f>IFERROR(up_RadSpec!$H$9*($BA$9/$B54),".")</f>
        <v>760182.97798946896</v>
      </c>
      <c r="AN54" s="101">
        <f>IFERROR(up_RadSpec!$H$9*($BA$9/$B54),".")</f>
        <v>760182.97798946896</v>
      </c>
      <c r="AO54" s="101">
        <f>IFERROR(up_RadSpec!$H$9*($BA$9/$B54),".")</f>
        <v>760182.97798946896</v>
      </c>
      <c r="AP54" s="101">
        <f>IFERROR(up_RadSpec!$H$9*($BA$9/$B54),".")</f>
        <v>760182.97798946896</v>
      </c>
      <c r="AQ54" s="101">
        <f>IFERROR(up_RadSpec!$H$9*($BA$9/$B54),".")</f>
        <v>760182.97798946896</v>
      </c>
      <c r="AR54" s="101">
        <f>IFERROR(up_RadSpec!$H$9*($BA$9/$B54),".")</f>
        <v>760182.97798946896</v>
      </c>
      <c r="AS54" s="101">
        <f>IFERROR(up_RadSpec!$H$9*($BA$9/$B54),".")</f>
        <v>760182.97798946896</v>
      </c>
      <c r="AT54" s="101">
        <f>IFERROR(up_RadSpec!$H$9*($BA$9/$B54),".")</f>
        <v>760182.97798946896</v>
      </c>
      <c r="AU54" s="101">
        <f>IFERROR(up_RadSpec!$H$9*($BA$9/$B54),".")</f>
        <v>760182.97798946896</v>
      </c>
      <c r="AV54" s="101">
        <f>IFERROR(up_RadSpec!$H$9*($BA$9/$B54),".")</f>
        <v>760182.97798946896</v>
      </c>
      <c r="AW54" s="101">
        <f>IFERROR(up_RadSpec!$H$9*($BA$9/$B54),".")</f>
        <v>760182.97798946896</v>
      </c>
      <c r="AX54" s="101">
        <f>IFERROR(up_RadSpec!$H$9*($BA$9/$B54),".")</f>
        <v>760182.97798946896</v>
      </c>
      <c r="AY54" s="101">
        <f>IFERROR(up_RadSpec!$H$9*($BA$9/$B54),".")</f>
        <v>760182.97798946896</v>
      </c>
      <c r="AZ54" s="101">
        <f>IFERROR(up_RadSpec!$H$9*($BA$9/$B54),".")</f>
        <v>760182.97798946896</v>
      </c>
      <c r="BA54" s="101">
        <f>IFERROR(up_RadSpec!$H$9*($BA$9/$B54),".")</f>
        <v>760182.97798946896</v>
      </c>
      <c r="BB54" s="101">
        <f>IFERROR(up_RadSpec!$H$9*($BB$9/$B54),".")</f>
        <v>760182.97798946896</v>
      </c>
      <c r="BC54" s="100">
        <f t="shared" ref="BC54" si="98">IFERROR($B54/BC9,0)</f>
        <v>60814613913.304649</v>
      </c>
      <c r="BD54" s="100">
        <f t="shared" ref="BD54:CB54" si="99">IFERROR($B54/BD9,0)</f>
        <v>15203653478.326162</v>
      </c>
      <c r="BE54" s="100">
        <f t="shared" si="99"/>
        <v>15203653478.326162</v>
      </c>
      <c r="BF54" s="100">
        <f t="shared" si="99"/>
        <v>15203653478.326162</v>
      </c>
      <c r="BG54" s="100">
        <f t="shared" si="99"/>
        <v>15203653478.326162</v>
      </c>
      <c r="BH54" s="100">
        <f t="shared" si="99"/>
        <v>15203653478.326162</v>
      </c>
      <c r="BI54" s="100">
        <f t="shared" si="99"/>
        <v>15203653478.326162</v>
      </c>
      <c r="BJ54" s="100">
        <f t="shared" si="99"/>
        <v>15203653478.326162</v>
      </c>
      <c r="BK54" s="100">
        <f t="shared" si="99"/>
        <v>15203653478.326162</v>
      </c>
      <c r="BL54" s="100">
        <f t="shared" si="99"/>
        <v>15203653478.326162</v>
      </c>
      <c r="BM54" s="100">
        <f t="shared" si="99"/>
        <v>15203653478.326162</v>
      </c>
      <c r="BN54" s="100">
        <f t="shared" si="99"/>
        <v>15203653478.326162</v>
      </c>
      <c r="BO54" s="100">
        <f t="shared" si="99"/>
        <v>15203653478.326162</v>
      </c>
      <c r="BP54" s="100">
        <f t="shared" si="99"/>
        <v>15203653478.326162</v>
      </c>
      <c r="BQ54" s="100">
        <f t="shared" si="99"/>
        <v>15203653478.326162</v>
      </c>
      <c r="BR54" s="100">
        <f t="shared" si="99"/>
        <v>15203653478.326162</v>
      </c>
      <c r="BS54" s="100">
        <f t="shared" si="99"/>
        <v>15203653478.326162</v>
      </c>
      <c r="BT54" s="100">
        <f t="shared" si="99"/>
        <v>15203653478.326162</v>
      </c>
      <c r="BU54" s="100">
        <f t="shared" si="99"/>
        <v>15203653478.326162</v>
      </c>
      <c r="BV54" s="100">
        <f t="shared" si="99"/>
        <v>15203653478.326162</v>
      </c>
      <c r="BW54" s="100">
        <f t="shared" si="99"/>
        <v>15203653478.326162</v>
      </c>
      <c r="BX54" s="100">
        <f t="shared" si="99"/>
        <v>15203653478.326162</v>
      </c>
      <c r="BY54" s="100">
        <f t="shared" si="99"/>
        <v>15203653478.326162</v>
      </c>
      <c r="BZ54" s="100">
        <f t="shared" si="99"/>
        <v>15203653478.326162</v>
      </c>
      <c r="CA54" s="100">
        <f t="shared" si="99"/>
        <v>15203653478.326162</v>
      </c>
      <c r="CB54" s="100">
        <f t="shared" si="99"/>
        <v>15203653478.326162</v>
      </c>
      <c r="CC54" s="49">
        <f t="shared" si="3"/>
        <v>3040731.9119578758</v>
      </c>
      <c r="CD54" s="101">
        <f>IFERROR(up_RadSpec!$H$9*($AD$9/$B54),".")</f>
        <v>760182.97798946896</v>
      </c>
      <c r="CE54" s="101">
        <f>IFERROR(up_RadSpec!$H$9*($AE$9/$B54),".")</f>
        <v>760182.97798946896</v>
      </c>
      <c r="CF54" s="101">
        <f>IFERROR(up_RadSpec!$H$9*($BA$9/$B54),".")</f>
        <v>760182.97798946896</v>
      </c>
      <c r="CG54" s="101">
        <f>IFERROR(up_RadSpec!$H$9*($BA$9/$B54),".")</f>
        <v>760182.97798946896</v>
      </c>
      <c r="CH54" s="101">
        <f>IFERROR(up_RadSpec!$H$9*($BA$9/$B54),".")</f>
        <v>760182.97798946896</v>
      </c>
      <c r="CI54" s="101">
        <f>IFERROR(up_RadSpec!$H$9*($BA$9/$B54),".")</f>
        <v>760182.97798946896</v>
      </c>
      <c r="CJ54" s="101">
        <f>IFERROR(up_RadSpec!$H$9*($BA$9/$B54),".")</f>
        <v>760182.97798946896</v>
      </c>
      <c r="CK54" s="101">
        <f>IFERROR(up_RadSpec!$H$9*($BA$9/$B54),".")</f>
        <v>760182.97798946896</v>
      </c>
      <c r="CL54" s="101">
        <f>IFERROR(up_RadSpec!$H$9*($BA$9/$B54),".")</f>
        <v>760182.97798946896</v>
      </c>
      <c r="CM54" s="101">
        <f>IFERROR(up_RadSpec!$H$9*($BA$9/$B54),".")</f>
        <v>760182.97798946896</v>
      </c>
      <c r="CN54" s="101">
        <f>IFERROR(up_RadSpec!$H$9*($BA$9/$B54),".")</f>
        <v>760182.97798946896</v>
      </c>
      <c r="CO54" s="101">
        <f>IFERROR(up_RadSpec!$H$9*($BA$9/$B54),".")</f>
        <v>760182.97798946896</v>
      </c>
      <c r="CP54" s="101">
        <f>IFERROR(up_RadSpec!$H$9*($BA$9/$B54),".")</f>
        <v>760182.97798946896</v>
      </c>
      <c r="CQ54" s="101">
        <f>IFERROR(up_RadSpec!$H$9*($BA$9/$B54),".")</f>
        <v>760182.97798946896</v>
      </c>
      <c r="CR54" s="101">
        <f>IFERROR(up_RadSpec!$H$9*($BA$9/$B54),".")</f>
        <v>760182.97798946896</v>
      </c>
      <c r="CS54" s="101">
        <f>IFERROR(up_RadSpec!$H$9*($BA$9/$B54),".")</f>
        <v>760182.97798946896</v>
      </c>
      <c r="CT54" s="101">
        <f>IFERROR(up_RadSpec!$H$9*($BA$9/$B54),".")</f>
        <v>760182.97798946896</v>
      </c>
      <c r="CU54" s="101">
        <f>IFERROR(up_RadSpec!$H$9*($BA$9/$B54),".")</f>
        <v>760182.97798946896</v>
      </c>
      <c r="CV54" s="101">
        <f>IFERROR(up_RadSpec!$H$9*($BA$9/$B54),".")</f>
        <v>760182.97798946896</v>
      </c>
      <c r="CW54" s="101">
        <f>IFERROR(up_RadSpec!$H$9*($BA$9/$B54),".")</f>
        <v>760182.97798946896</v>
      </c>
      <c r="CX54" s="101">
        <f>IFERROR(up_RadSpec!$H$9*($BA$9/$B54),".")</f>
        <v>760182.97798946896</v>
      </c>
      <c r="CY54" s="101">
        <f>IFERROR(up_RadSpec!$H$9*($BA$9/$B54),".")</f>
        <v>760182.97798946896</v>
      </c>
      <c r="CZ54" s="101">
        <f>IFERROR(up_RadSpec!$H$9*($BA$9/$B54),".")</f>
        <v>760182.97798946896</v>
      </c>
      <c r="DA54" s="101">
        <f>IFERROR(up_RadSpec!$H$9*($BA$9/$B54),".")</f>
        <v>760182.97798946896</v>
      </c>
      <c r="DB54" s="101">
        <f>IFERROR(up_RadSpec!$H$9*($BB$9/$B54),".")</f>
        <v>760182.97798946896</v>
      </c>
    </row>
    <row r="55" spans="1:106" s="42" customFormat="1" x14ac:dyDescent="0.25">
      <c r="A55" s="99" t="s">
        <v>1090</v>
      </c>
      <c r="B55" s="90">
        <v>1.9999999999999999E-7</v>
      </c>
      <c r="C55" s="100">
        <f t="shared" ref="C55" si="100">IFERROR($B55/C24,0)</f>
        <v>12162.925215245972</v>
      </c>
      <c r="D55" s="100">
        <f t="shared" ref="D55:AB55" si="101">IFERROR($B55/D24,0)</f>
        <v>3040.731303811493</v>
      </c>
      <c r="E55" s="100">
        <f t="shared" si="101"/>
        <v>3040.731303811493</v>
      </c>
      <c r="F55" s="100">
        <f t="shared" si="101"/>
        <v>3040.731303811493</v>
      </c>
      <c r="G55" s="100">
        <f t="shared" si="101"/>
        <v>3040.731303811493</v>
      </c>
      <c r="H55" s="100">
        <f t="shared" si="101"/>
        <v>3040.731303811493</v>
      </c>
      <c r="I55" s="100">
        <f t="shared" si="101"/>
        <v>3040.731303811493</v>
      </c>
      <c r="J55" s="100">
        <f t="shared" si="101"/>
        <v>3040.731303811493</v>
      </c>
      <c r="K55" s="100">
        <f t="shared" si="101"/>
        <v>3040.731303811493</v>
      </c>
      <c r="L55" s="100">
        <f t="shared" si="101"/>
        <v>3040.731303811493</v>
      </c>
      <c r="M55" s="100">
        <f t="shared" si="101"/>
        <v>3040.731303811493</v>
      </c>
      <c r="N55" s="100">
        <f t="shared" si="101"/>
        <v>3040.731303811493</v>
      </c>
      <c r="O55" s="100">
        <f t="shared" si="101"/>
        <v>3040.731303811493</v>
      </c>
      <c r="P55" s="100">
        <f t="shared" si="101"/>
        <v>3040.731303811493</v>
      </c>
      <c r="Q55" s="100">
        <f t="shared" si="101"/>
        <v>3040.731303811493</v>
      </c>
      <c r="R55" s="100">
        <f t="shared" si="101"/>
        <v>3040.731303811493</v>
      </c>
      <c r="S55" s="100">
        <f t="shared" si="101"/>
        <v>3040.731303811493</v>
      </c>
      <c r="T55" s="100">
        <f t="shared" si="101"/>
        <v>3040.731303811493</v>
      </c>
      <c r="U55" s="100">
        <f t="shared" si="101"/>
        <v>3040.731303811493</v>
      </c>
      <c r="V55" s="100">
        <f t="shared" si="101"/>
        <v>3040.731303811493</v>
      </c>
      <c r="W55" s="100">
        <f t="shared" si="101"/>
        <v>3040.731303811493</v>
      </c>
      <c r="X55" s="100">
        <f t="shared" si="101"/>
        <v>3040.731303811493</v>
      </c>
      <c r="Y55" s="100">
        <f t="shared" si="101"/>
        <v>3040.731303811493</v>
      </c>
      <c r="Z55" s="100">
        <f t="shared" si="101"/>
        <v>3040.731303811493</v>
      </c>
      <c r="AA55" s="100">
        <f t="shared" si="101"/>
        <v>3040.731303811493</v>
      </c>
      <c r="AB55" s="100">
        <f t="shared" si="101"/>
        <v>3040.731303811493</v>
      </c>
      <c r="AC55" s="49">
        <f t="shared" si="1"/>
        <v>15203656519057.469</v>
      </c>
      <c r="AD55" s="101">
        <f>IFERROR(up_RadSpec!$H$24*($AD$24/$B55),".")</f>
        <v>3800914129764.3672</v>
      </c>
      <c r="AE55" s="101">
        <f>IFERROR(up_RadSpec!$H$24*($AE$24/$B55),".")</f>
        <v>3800914129764.3672</v>
      </c>
      <c r="AF55" s="101">
        <f>IFERROR(up_RadSpec!$H$24*($BA$24/$B55),".")</f>
        <v>3800914129764.3672</v>
      </c>
      <c r="AG55" s="101">
        <f>IFERROR(up_RadSpec!$H$24*($BA$24/$B55),".")</f>
        <v>3800914129764.3672</v>
      </c>
      <c r="AH55" s="101">
        <f>IFERROR(up_RadSpec!$H$24*($BA$24/$B55),".")</f>
        <v>3800914129764.3672</v>
      </c>
      <c r="AI55" s="101">
        <f>IFERROR(up_RadSpec!$H$24*($BA$24/$B55),".")</f>
        <v>3800914129764.3672</v>
      </c>
      <c r="AJ55" s="101">
        <f>IFERROR(up_RadSpec!$H$24*($BA$24/$B55),".")</f>
        <v>3800914129764.3672</v>
      </c>
      <c r="AK55" s="101">
        <f>IFERROR(up_RadSpec!$H$24*($BA$24/$B55),".")</f>
        <v>3800914129764.3672</v>
      </c>
      <c r="AL55" s="101">
        <f>IFERROR(up_RadSpec!$H$24*($BA$24/$B55),".")</f>
        <v>3800914129764.3672</v>
      </c>
      <c r="AM55" s="101">
        <f>IFERROR(up_RadSpec!$H$24*($BA$24/$B55),".")</f>
        <v>3800914129764.3672</v>
      </c>
      <c r="AN55" s="101">
        <f>IFERROR(up_RadSpec!$H$24*($BA$24/$B55),".")</f>
        <v>3800914129764.3672</v>
      </c>
      <c r="AO55" s="101">
        <f>IFERROR(up_RadSpec!$H$24*($BA$24/$B55),".")</f>
        <v>3800914129764.3672</v>
      </c>
      <c r="AP55" s="101">
        <f>IFERROR(up_RadSpec!$H$24*($BA$24/$B55),".")</f>
        <v>3800914129764.3672</v>
      </c>
      <c r="AQ55" s="101">
        <f>IFERROR(up_RadSpec!$H$24*($BA$24/$B55),".")</f>
        <v>3800914129764.3672</v>
      </c>
      <c r="AR55" s="101">
        <f>IFERROR(up_RadSpec!$H$24*($BA$24/$B55),".")</f>
        <v>3800914129764.3672</v>
      </c>
      <c r="AS55" s="101">
        <f>IFERROR(up_RadSpec!$H$24*($BA$24/$B55),".")</f>
        <v>3800914129764.3672</v>
      </c>
      <c r="AT55" s="101">
        <f>IFERROR(up_RadSpec!$H$24*($BA$24/$B55),".")</f>
        <v>3800914129764.3672</v>
      </c>
      <c r="AU55" s="101">
        <f>IFERROR(up_RadSpec!$H$24*($BA$24/$B55),".")</f>
        <v>3800914129764.3672</v>
      </c>
      <c r="AV55" s="101">
        <f>IFERROR(up_RadSpec!$H$24*($BA$24/$B55),".")</f>
        <v>3800914129764.3672</v>
      </c>
      <c r="AW55" s="101">
        <f>IFERROR(up_RadSpec!$H$24*($BA$24/$B55),".")</f>
        <v>3800914129764.3672</v>
      </c>
      <c r="AX55" s="101">
        <f>IFERROR(up_RadSpec!$H$24*($BA$24/$B55),".")</f>
        <v>3800914129764.3672</v>
      </c>
      <c r="AY55" s="101">
        <f>IFERROR(up_RadSpec!$H$24*($BA$24/$B55),".")</f>
        <v>3800914129764.3672</v>
      </c>
      <c r="AZ55" s="101">
        <f>IFERROR(up_RadSpec!$H$24*($BA$24/$B55),".")</f>
        <v>3800914129764.3672</v>
      </c>
      <c r="BA55" s="101">
        <f>IFERROR(up_RadSpec!$H$24*($BA$24/$B55),".")</f>
        <v>3800914129764.3672</v>
      </c>
      <c r="BB55" s="101">
        <f>IFERROR(up_RadSpec!$H$24*($BB$24/$B55),".")</f>
        <v>3800914129764.3672</v>
      </c>
      <c r="BC55" s="100">
        <f t="shared" ref="BC55" si="102">IFERROR($B55/BC24,0)</f>
        <v>12162.925215245972</v>
      </c>
      <c r="BD55" s="100">
        <f t="shared" ref="BD55:CB55" si="103">IFERROR($B55/BD24,0)</f>
        <v>3040.731303811493</v>
      </c>
      <c r="BE55" s="100">
        <f t="shared" si="103"/>
        <v>3040.731303811493</v>
      </c>
      <c r="BF55" s="100">
        <f t="shared" si="103"/>
        <v>3040.731303811493</v>
      </c>
      <c r="BG55" s="100">
        <f t="shared" si="103"/>
        <v>3040.731303811493</v>
      </c>
      <c r="BH55" s="100">
        <f t="shared" si="103"/>
        <v>3040.731303811493</v>
      </c>
      <c r="BI55" s="100">
        <f t="shared" si="103"/>
        <v>3040.731303811493</v>
      </c>
      <c r="BJ55" s="100">
        <f t="shared" si="103"/>
        <v>3040.731303811493</v>
      </c>
      <c r="BK55" s="100">
        <f t="shared" si="103"/>
        <v>3040.731303811493</v>
      </c>
      <c r="BL55" s="100">
        <f t="shared" si="103"/>
        <v>3040.731303811493</v>
      </c>
      <c r="BM55" s="100">
        <f t="shared" si="103"/>
        <v>3040.731303811493</v>
      </c>
      <c r="BN55" s="100">
        <f t="shared" si="103"/>
        <v>3040.731303811493</v>
      </c>
      <c r="BO55" s="100">
        <f t="shared" si="103"/>
        <v>3040.731303811493</v>
      </c>
      <c r="BP55" s="100">
        <f t="shared" si="103"/>
        <v>3040.731303811493</v>
      </c>
      <c r="BQ55" s="100">
        <f t="shared" si="103"/>
        <v>3040.731303811493</v>
      </c>
      <c r="BR55" s="100">
        <f t="shared" si="103"/>
        <v>3040.731303811493</v>
      </c>
      <c r="BS55" s="100">
        <f t="shared" si="103"/>
        <v>3040.731303811493</v>
      </c>
      <c r="BT55" s="100">
        <f t="shared" si="103"/>
        <v>3040.731303811493</v>
      </c>
      <c r="BU55" s="100">
        <f t="shared" si="103"/>
        <v>3040.731303811493</v>
      </c>
      <c r="BV55" s="100">
        <f t="shared" si="103"/>
        <v>3040.731303811493</v>
      </c>
      <c r="BW55" s="100">
        <f t="shared" si="103"/>
        <v>3040.731303811493</v>
      </c>
      <c r="BX55" s="100">
        <f t="shared" si="103"/>
        <v>3040.731303811493</v>
      </c>
      <c r="BY55" s="100">
        <f t="shared" si="103"/>
        <v>3040.731303811493</v>
      </c>
      <c r="BZ55" s="100">
        <f t="shared" si="103"/>
        <v>3040.731303811493</v>
      </c>
      <c r="CA55" s="100">
        <f t="shared" si="103"/>
        <v>3040.731303811493</v>
      </c>
      <c r="CB55" s="100">
        <f t="shared" si="103"/>
        <v>3040.731303811493</v>
      </c>
      <c r="CC55" s="49">
        <f t="shared" si="3"/>
        <v>15203656519057.469</v>
      </c>
      <c r="CD55" s="101">
        <f>IFERROR(up_RadSpec!$H$24*($AD$24/$B55),".")</f>
        <v>3800914129764.3672</v>
      </c>
      <c r="CE55" s="101">
        <f>IFERROR(up_RadSpec!$H$24*($AE$24/$B55),".")</f>
        <v>3800914129764.3672</v>
      </c>
      <c r="CF55" s="101">
        <f>IFERROR(up_RadSpec!$H$24*($BA$24/$B55),".")</f>
        <v>3800914129764.3672</v>
      </c>
      <c r="CG55" s="101">
        <f>IFERROR(up_RadSpec!$H$24*($BA$24/$B55),".")</f>
        <v>3800914129764.3672</v>
      </c>
      <c r="CH55" s="101">
        <f>IFERROR(up_RadSpec!$H$24*($BA$24/$B55),".")</f>
        <v>3800914129764.3672</v>
      </c>
      <c r="CI55" s="101">
        <f>IFERROR(up_RadSpec!$H$24*($BA$24/$B55),".")</f>
        <v>3800914129764.3672</v>
      </c>
      <c r="CJ55" s="101">
        <f>IFERROR(up_RadSpec!$H$24*($BA$24/$B55),".")</f>
        <v>3800914129764.3672</v>
      </c>
      <c r="CK55" s="101">
        <f>IFERROR(up_RadSpec!$H$24*($BA$24/$B55),".")</f>
        <v>3800914129764.3672</v>
      </c>
      <c r="CL55" s="101">
        <f>IFERROR(up_RadSpec!$H$24*($BA$24/$B55),".")</f>
        <v>3800914129764.3672</v>
      </c>
      <c r="CM55" s="101">
        <f>IFERROR(up_RadSpec!$H$24*($BA$24/$B55),".")</f>
        <v>3800914129764.3672</v>
      </c>
      <c r="CN55" s="101">
        <f>IFERROR(up_RadSpec!$H$24*($BA$24/$B55),".")</f>
        <v>3800914129764.3672</v>
      </c>
      <c r="CO55" s="101">
        <f>IFERROR(up_RadSpec!$H$24*($BA$24/$B55),".")</f>
        <v>3800914129764.3672</v>
      </c>
      <c r="CP55" s="101">
        <f>IFERROR(up_RadSpec!$H$24*($BA$24/$B55),".")</f>
        <v>3800914129764.3672</v>
      </c>
      <c r="CQ55" s="101">
        <f>IFERROR(up_RadSpec!$H$24*($BA$24/$B55),".")</f>
        <v>3800914129764.3672</v>
      </c>
      <c r="CR55" s="101">
        <f>IFERROR(up_RadSpec!$H$24*($BA$24/$B55),".")</f>
        <v>3800914129764.3672</v>
      </c>
      <c r="CS55" s="101">
        <f>IFERROR(up_RadSpec!$H$24*($BA$24/$B55),".")</f>
        <v>3800914129764.3672</v>
      </c>
      <c r="CT55" s="101">
        <f>IFERROR(up_RadSpec!$H$24*($BA$24/$B55),".")</f>
        <v>3800914129764.3672</v>
      </c>
      <c r="CU55" s="101">
        <f>IFERROR(up_RadSpec!$H$24*($BA$24/$B55),".")</f>
        <v>3800914129764.3672</v>
      </c>
      <c r="CV55" s="101">
        <f>IFERROR(up_RadSpec!$H$24*($BA$24/$B55),".")</f>
        <v>3800914129764.3672</v>
      </c>
      <c r="CW55" s="101">
        <f>IFERROR(up_RadSpec!$H$24*($BA$24/$B55),".")</f>
        <v>3800914129764.3672</v>
      </c>
      <c r="CX55" s="101">
        <f>IFERROR(up_RadSpec!$H$24*($BA$24/$B55),".")</f>
        <v>3800914129764.3672</v>
      </c>
      <c r="CY55" s="101">
        <f>IFERROR(up_RadSpec!$H$24*($BA$24/$B55),".")</f>
        <v>3800914129764.3672</v>
      </c>
      <c r="CZ55" s="101">
        <f>IFERROR(up_RadSpec!$H$24*($BA$24/$B55),".")</f>
        <v>3800914129764.3672</v>
      </c>
      <c r="DA55" s="101">
        <f>IFERROR(up_RadSpec!$H$24*($BA$24/$B55),".")</f>
        <v>3800914129764.3672</v>
      </c>
      <c r="DB55" s="101">
        <f>IFERROR(up_RadSpec!$H$24*($BB$24/$B55),".")</f>
        <v>3800914129764.3672</v>
      </c>
    </row>
    <row r="56" spans="1:106" s="42" customFormat="1" x14ac:dyDescent="0.25">
      <c r="A56" s="99" t="s">
        <v>1091</v>
      </c>
      <c r="B56" s="90">
        <v>0.99979000004200003</v>
      </c>
      <c r="C56" s="100">
        <f t="shared" ref="C56" si="104">IFERROR($B56/C20,0)</f>
        <v>60801855007.308075</v>
      </c>
      <c r="D56" s="100">
        <f t="shared" ref="D56:AB56" si="105">IFERROR($B56/D20,0)</f>
        <v>15200463751.827019</v>
      </c>
      <c r="E56" s="100">
        <f t="shared" si="105"/>
        <v>15200463751.827019</v>
      </c>
      <c r="F56" s="100">
        <f t="shared" si="105"/>
        <v>15200463751.827019</v>
      </c>
      <c r="G56" s="100">
        <f t="shared" si="105"/>
        <v>15200463751.827019</v>
      </c>
      <c r="H56" s="100">
        <f t="shared" si="105"/>
        <v>15200463751.827019</v>
      </c>
      <c r="I56" s="100">
        <f t="shared" si="105"/>
        <v>15200463751.827019</v>
      </c>
      <c r="J56" s="100">
        <f t="shared" si="105"/>
        <v>15200463751.827019</v>
      </c>
      <c r="K56" s="100">
        <f t="shared" si="105"/>
        <v>15200463751.827019</v>
      </c>
      <c r="L56" s="100">
        <f t="shared" si="105"/>
        <v>15200463751.827019</v>
      </c>
      <c r="M56" s="100">
        <f t="shared" si="105"/>
        <v>15200463751.827019</v>
      </c>
      <c r="N56" s="100">
        <f t="shared" si="105"/>
        <v>15200463751.827019</v>
      </c>
      <c r="O56" s="100">
        <f t="shared" si="105"/>
        <v>15200463751.827019</v>
      </c>
      <c r="P56" s="100">
        <f t="shared" si="105"/>
        <v>15200463751.827019</v>
      </c>
      <c r="Q56" s="100">
        <f t="shared" si="105"/>
        <v>15200463751.827019</v>
      </c>
      <c r="R56" s="100">
        <f t="shared" si="105"/>
        <v>15200463751.827019</v>
      </c>
      <c r="S56" s="100">
        <f t="shared" si="105"/>
        <v>15200463751.827019</v>
      </c>
      <c r="T56" s="100">
        <f t="shared" si="105"/>
        <v>15200463751.827019</v>
      </c>
      <c r="U56" s="100">
        <f t="shared" si="105"/>
        <v>15200463751.827019</v>
      </c>
      <c r="V56" s="100">
        <f t="shared" si="105"/>
        <v>15200463751.827019</v>
      </c>
      <c r="W56" s="100">
        <f t="shared" si="105"/>
        <v>15200463751.827019</v>
      </c>
      <c r="X56" s="100">
        <f t="shared" si="105"/>
        <v>15200463751.827019</v>
      </c>
      <c r="Y56" s="100">
        <f t="shared" si="105"/>
        <v>15200463751.827019</v>
      </c>
      <c r="Z56" s="100">
        <f t="shared" si="105"/>
        <v>15200463751.827019</v>
      </c>
      <c r="AA56" s="100">
        <f t="shared" si="105"/>
        <v>15200463751.827019</v>
      </c>
      <c r="AB56" s="100">
        <f t="shared" si="105"/>
        <v>15200463751.827019</v>
      </c>
      <c r="AC56" s="49">
        <f t="shared" si="1"/>
        <v>3041369.991381946</v>
      </c>
      <c r="AD56" s="101">
        <f>IFERROR(up_RadSpec!$H$20*($AD$20/$B56),".")</f>
        <v>760342.4978454865</v>
      </c>
      <c r="AE56" s="101">
        <f>IFERROR(up_RadSpec!$H$20*($AE$20/$B56),".")</f>
        <v>760342.4978454865</v>
      </c>
      <c r="AF56" s="101">
        <f>IFERROR(up_RadSpec!$H$20*($BA$20/$B56),".")</f>
        <v>760342.4978454865</v>
      </c>
      <c r="AG56" s="101">
        <f>IFERROR(up_RadSpec!$H$20*($BA$20/$B56),".")</f>
        <v>760342.4978454865</v>
      </c>
      <c r="AH56" s="101">
        <f>IFERROR(up_RadSpec!$H$20*($BA$20/$B56),".")</f>
        <v>760342.4978454865</v>
      </c>
      <c r="AI56" s="101">
        <f>IFERROR(up_RadSpec!$H$20*($BA$20/$B56),".")</f>
        <v>760342.4978454865</v>
      </c>
      <c r="AJ56" s="101">
        <f>IFERROR(up_RadSpec!$H$20*($BA$20/$B56),".")</f>
        <v>760342.4978454865</v>
      </c>
      <c r="AK56" s="101">
        <f>IFERROR(up_RadSpec!$H$20*($BA$20/$B56),".")</f>
        <v>760342.4978454865</v>
      </c>
      <c r="AL56" s="101">
        <f>IFERROR(up_RadSpec!$H$20*($BA$20/$B56),".")</f>
        <v>760342.4978454865</v>
      </c>
      <c r="AM56" s="101">
        <f>IFERROR(up_RadSpec!$H$20*($BA$20/$B56),".")</f>
        <v>760342.4978454865</v>
      </c>
      <c r="AN56" s="101">
        <f>IFERROR(up_RadSpec!$H$20*($BA$20/$B56),".")</f>
        <v>760342.4978454865</v>
      </c>
      <c r="AO56" s="101">
        <f>IFERROR(up_RadSpec!$H$20*($BA$20/$B56),".")</f>
        <v>760342.4978454865</v>
      </c>
      <c r="AP56" s="101">
        <f>IFERROR(up_RadSpec!$H$20*($BA$20/$B56),".")</f>
        <v>760342.4978454865</v>
      </c>
      <c r="AQ56" s="101">
        <f>IFERROR(up_RadSpec!$H$20*($BA$20/$B56),".")</f>
        <v>760342.4978454865</v>
      </c>
      <c r="AR56" s="101">
        <f>IFERROR(up_RadSpec!$H$20*($BA$20/$B56),".")</f>
        <v>760342.4978454865</v>
      </c>
      <c r="AS56" s="101">
        <f>IFERROR(up_RadSpec!$H$20*($BA$20/$B56),".")</f>
        <v>760342.4978454865</v>
      </c>
      <c r="AT56" s="101">
        <f>IFERROR(up_RadSpec!$H$20*($BA$20/$B56),".")</f>
        <v>760342.4978454865</v>
      </c>
      <c r="AU56" s="101">
        <f>IFERROR(up_RadSpec!$H$20*($BA$20/$B56),".")</f>
        <v>760342.4978454865</v>
      </c>
      <c r="AV56" s="101">
        <f>IFERROR(up_RadSpec!$H$20*($BA$20/$B56),".")</f>
        <v>760342.4978454865</v>
      </c>
      <c r="AW56" s="101">
        <f>IFERROR(up_RadSpec!$H$20*($BA$20/$B56),".")</f>
        <v>760342.4978454865</v>
      </c>
      <c r="AX56" s="101">
        <f>IFERROR(up_RadSpec!$H$20*($BA$20/$B56),".")</f>
        <v>760342.4978454865</v>
      </c>
      <c r="AY56" s="101">
        <f>IFERROR(up_RadSpec!$H$20*($BA$20/$B56),".")</f>
        <v>760342.4978454865</v>
      </c>
      <c r="AZ56" s="101">
        <f>IFERROR(up_RadSpec!$H$20*($BA$20/$B56),".")</f>
        <v>760342.4978454865</v>
      </c>
      <c r="BA56" s="101">
        <f>IFERROR(up_RadSpec!$H$20*($BA$20/$B56),".")</f>
        <v>760342.4978454865</v>
      </c>
      <c r="BB56" s="101">
        <f>IFERROR(up_RadSpec!$H$20*($BB$20/$B56),".")</f>
        <v>760342.4978454865</v>
      </c>
      <c r="BC56" s="100">
        <f t="shared" ref="BC56" si="106">IFERROR($B56/BC20,0)</f>
        <v>60801855007.308075</v>
      </c>
      <c r="BD56" s="100">
        <f t="shared" ref="BD56:CB56" si="107">IFERROR($B56/BD20,0)</f>
        <v>15200463751.827019</v>
      </c>
      <c r="BE56" s="100">
        <f t="shared" si="107"/>
        <v>15200463751.827019</v>
      </c>
      <c r="BF56" s="100">
        <f t="shared" si="107"/>
        <v>15200463751.827019</v>
      </c>
      <c r="BG56" s="100">
        <f t="shared" si="107"/>
        <v>15200463751.827019</v>
      </c>
      <c r="BH56" s="100">
        <f t="shared" si="107"/>
        <v>15200463751.827019</v>
      </c>
      <c r="BI56" s="100">
        <f t="shared" si="107"/>
        <v>15200463751.827019</v>
      </c>
      <c r="BJ56" s="100">
        <f t="shared" si="107"/>
        <v>15200463751.827019</v>
      </c>
      <c r="BK56" s="100">
        <f t="shared" si="107"/>
        <v>15200463751.827019</v>
      </c>
      <c r="BL56" s="100">
        <f t="shared" si="107"/>
        <v>15200463751.827019</v>
      </c>
      <c r="BM56" s="100">
        <f t="shared" si="107"/>
        <v>15200463751.827019</v>
      </c>
      <c r="BN56" s="100">
        <f t="shared" si="107"/>
        <v>15200463751.827019</v>
      </c>
      <c r="BO56" s="100">
        <f t="shared" si="107"/>
        <v>15200463751.827019</v>
      </c>
      <c r="BP56" s="100">
        <f t="shared" si="107"/>
        <v>15200463751.827019</v>
      </c>
      <c r="BQ56" s="100">
        <f t="shared" si="107"/>
        <v>15200463751.827019</v>
      </c>
      <c r="BR56" s="100">
        <f t="shared" si="107"/>
        <v>15200463751.827019</v>
      </c>
      <c r="BS56" s="100">
        <f t="shared" si="107"/>
        <v>15200463751.827019</v>
      </c>
      <c r="BT56" s="100">
        <f t="shared" si="107"/>
        <v>15200463751.827019</v>
      </c>
      <c r="BU56" s="100">
        <f t="shared" si="107"/>
        <v>15200463751.827019</v>
      </c>
      <c r="BV56" s="100">
        <f t="shared" si="107"/>
        <v>15200463751.827019</v>
      </c>
      <c r="BW56" s="100">
        <f t="shared" si="107"/>
        <v>15200463751.827019</v>
      </c>
      <c r="BX56" s="100">
        <f t="shared" si="107"/>
        <v>15200463751.827019</v>
      </c>
      <c r="BY56" s="100">
        <f t="shared" si="107"/>
        <v>15200463751.827019</v>
      </c>
      <c r="BZ56" s="100">
        <f t="shared" si="107"/>
        <v>15200463751.827019</v>
      </c>
      <c r="CA56" s="100">
        <f t="shared" si="107"/>
        <v>15200463751.827019</v>
      </c>
      <c r="CB56" s="100">
        <f t="shared" si="107"/>
        <v>15200463751.827019</v>
      </c>
      <c r="CC56" s="49">
        <f t="shared" si="3"/>
        <v>3041369.991381946</v>
      </c>
      <c r="CD56" s="101">
        <f>IFERROR(up_RadSpec!$H$20*($AD$20/$B56),".")</f>
        <v>760342.4978454865</v>
      </c>
      <c r="CE56" s="101">
        <f>IFERROR(up_RadSpec!$H$20*($AE$20/$B56),".")</f>
        <v>760342.4978454865</v>
      </c>
      <c r="CF56" s="101">
        <f>IFERROR(up_RadSpec!$H$20*($BA$20/$B56),".")</f>
        <v>760342.4978454865</v>
      </c>
      <c r="CG56" s="101">
        <f>IFERROR(up_RadSpec!$H$20*($BA$20/$B56),".")</f>
        <v>760342.4978454865</v>
      </c>
      <c r="CH56" s="101">
        <f>IFERROR(up_RadSpec!$H$20*($BA$20/$B56),".")</f>
        <v>760342.4978454865</v>
      </c>
      <c r="CI56" s="101">
        <f>IFERROR(up_RadSpec!$H$20*($BA$20/$B56),".")</f>
        <v>760342.4978454865</v>
      </c>
      <c r="CJ56" s="101">
        <f>IFERROR(up_RadSpec!$H$20*($BA$20/$B56),".")</f>
        <v>760342.4978454865</v>
      </c>
      <c r="CK56" s="101">
        <f>IFERROR(up_RadSpec!$H$20*($BA$20/$B56),".")</f>
        <v>760342.4978454865</v>
      </c>
      <c r="CL56" s="101">
        <f>IFERROR(up_RadSpec!$H$20*($BA$20/$B56),".")</f>
        <v>760342.4978454865</v>
      </c>
      <c r="CM56" s="101">
        <f>IFERROR(up_RadSpec!$H$20*($BA$20/$B56),".")</f>
        <v>760342.4978454865</v>
      </c>
      <c r="CN56" s="101">
        <f>IFERROR(up_RadSpec!$H$20*($BA$20/$B56),".")</f>
        <v>760342.4978454865</v>
      </c>
      <c r="CO56" s="101">
        <f>IFERROR(up_RadSpec!$H$20*($BA$20/$B56),".")</f>
        <v>760342.4978454865</v>
      </c>
      <c r="CP56" s="101">
        <f>IFERROR(up_RadSpec!$H$20*($BA$20/$B56),".")</f>
        <v>760342.4978454865</v>
      </c>
      <c r="CQ56" s="101">
        <f>IFERROR(up_RadSpec!$H$20*($BA$20/$B56),".")</f>
        <v>760342.4978454865</v>
      </c>
      <c r="CR56" s="101">
        <f>IFERROR(up_RadSpec!$H$20*($BA$20/$B56),".")</f>
        <v>760342.4978454865</v>
      </c>
      <c r="CS56" s="101">
        <f>IFERROR(up_RadSpec!$H$20*($BA$20/$B56),".")</f>
        <v>760342.4978454865</v>
      </c>
      <c r="CT56" s="101">
        <f>IFERROR(up_RadSpec!$H$20*($BA$20/$B56),".")</f>
        <v>760342.4978454865</v>
      </c>
      <c r="CU56" s="101">
        <f>IFERROR(up_RadSpec!$H$20*($BA$20/$B56),".")</f>
        <v>760342.4978454865</v>
      </c>
      <c r="CV56" s="101">
        <f>IFERROR(up_RadSpec!$H$20*($BA$20/$B56),".")</f>
        <v>760342.4978454865</v>
      </c>
      <c r="CW56" s="101">
        <f>IFERROR(up_RadSpec!$H$20*($BA$20/$B56),".")</f>
        <v>760342.4978454865</v>
      </c>
      <c r="CX56" s="101">
        <f>IFERROR(up_RadSpec!$H$20*($BA$20/$B56),".")</f>
        <v>760342.4978454865</v>
      </c>
      <c r="CY56" s="101">
        <f>IFERROR(up_RadSpec!$H$20*($BA$20/$B56),".")</f>
        <v>760342.4978454865</v>
      </c>
      <c r="CZ56" s="101">
        <f>IFERROR(up_RadSpec!$H$20*($BA$20/$B56),".")</f>
        <v>760342.4978454865</v>
      </c>
      <c r="DA56" s="101">
        <f>IFERROR(up_RadSpec!$H$20*($BA$20/$B56),".")</f>
        <v>760342.4978454865</v>
      </c>
      <c r="DB56" s="101">
        <f>IFERROR(up_RadSpec!$H$20*($BB$20/$B56),".")</f>
        <v>760342.4978454865</v>
      </c>
    </row>
    <row r="57" spans="1:106" s="42" customFormat="1" x14ac:dyDescent="0.25">
      <c r="A57" s="99" t="s">
        <v>1092</v>
      </c>
      <c r="B57" s="90">
        <v>2.0999995799999999E-4</v>
      </c>
      <c r="C57" s="100">
        <f t="shared" ref="C57" si="108">IFERROR($B57/C29,0)</f>
        <v>12771068.921793975</v>
      </c>
      <c r="D57" s="100">
        <f t="shared" ref="D57:AB57" si="109">IFERROR($B57/D29,0)</f>
        <v>3192767.2304484937</v>
      </c>
      <c r="E57" s="100">
        <f t="shared" si="109"/>
        <v>3192767.2304484937</v>
      </c>
      <c r="F57" s="100">
        <f t="shared" si="109"/>
        <v>3192767.2304484937</v>
      </c>
      <c r="G57" s="100">
        <f t="shared" si="109"/>
        <v>3192767.2304484937</v>
      </c>
      <c r="H57" s="100">
        <f t="shared" si="109"/>
        <v>3192767.2304484937</v>
      </c>
      <c r="I57" s="100">
        <f t="shared" si="109"/>
        <v>3192767.2304484937</v>
      </c>
      <c r="J57" s="100">
        <f t="shared" si="109"/>
        <v>3192767.2304484937</v>
      </c>
      <c r="K57" s="100">
        <f t="shared" si="109"/>
        <v>3192767.2304484937</v>
      </c>
      <c r="L57" s="100">
        <f t="shared" si="109"/>
        <v>3192767.2304484937</v>
      </c>
      <c r="M57" s="100">
        <f t="shared" si="109"/>
        <v>3192767.2304484937</v>
      </c>
      <c r="N57" s="100">
        <f t="shared" si="109"/>
        <v>3192767.2304484937</v>
      </c>
      <c r="O57" s="100">
        <f t="shared" si="109"/>
        <v>3192767.2304484937</v>
      </c>
      <c r="P57" s="100">
        <f t="shared" si="109"/>
        <v>3192767.2304484937</v>
      </c>
      <c r="Q57" s="100">
        <f t="shared" si="109"/>
        <v>3192767.2304484937</v>
      </c>
      <c r="R57" s="100">
        <f t="shared" si="109"/>
        <v>3192767.2304484937</v>
      </c>
      <c r="S57" s="100">
        <f t="shared" si="109"/>
        <v>3192767.2304484937</v>
      </c>
      <c r="T57" s="100">
        <f t="shared" si="109"/>
        <v>3192767.2304484937</v>
      </c>
      <c r="U57" s="100">
        <f t="shared" si="109"/>
        <v>3192767.2304484937</v>
      </c>
      <c r="V57" s="100">
        <f t="shared" si="109"/>
        <v>3192767.2304484937</v>
      </c>
      <c r="W57" s="100">
        <f t="shared" si="109"/>
        <v>3192767.2304484937</v>
      </c>
      <c r="X57" s="100">
        <f t="shared" si="109"/>
        <v>3192767.2304484937</v>
      </c>
      <c r="Y57" s="100">
        <f t="shared" si="109"/>
        <v>3192767.2304484937</v>
      </c>
      <c r="Z57" s="100">
        <f t="shared" si="109"/>
        <v>3192767.2304484937</v>
      </c>
      <c r="AA57" s="100">
        <f t="shared" si="109"/>
        <v>3192767.2304484937</v>
      </c>
      <c r="AB57" s="100">
        <f t="shared" si="109"/>
        <v>3192767.2304484937</v>
      </c>
      <c r="AC57" s="49">
        <f t="shared" si="1"/>
        <v>14479675771.227982</v>
      </c>
      <c r="AD57" s="101">
        <f>IFERROR(up_RadSpec!$H$29*($AD$29/$B57),".")</f>
        <v>3619918942.8069954</v>
      </c>
      <c r="AE57" s="101">
        <f>IFERROR(up_RadSpec!$H$29*($AE$29/$B57),".")</f>
        <v>3619918942.8069954</v>
      </c>
      <c r="AF57" s="101">
        <f>IFERROR(up_RadSpec!$H$29*($BA$29/$B57),".")</f>
        <v>3619918942.8069954</v>
      </c>
      <c r="AG57" s="101">
        <f>IFERROR(up_RadSpec!$H$29*($BA$29/$B57),".")</f>
        <v>3619918942.8069954</v>
      </c>
      <c r="AH57" s="101">
        <f>IFERROR(up_RadSpec!$H$29*($BA$29/$B57),".")</f>
        <v>3619918942.8069954</v>
      </c>
      <c r="AI57" s="101">
        <f>IFERROR(up_RadSpec!$H$29*($BA$29/$B57),".")</f>
        <v>3619918942.8069954</v>
      </c>
      <c r="AJ57" s="101">
        <f>IFERROR(up_RadSpec!$H$29*($BA$29/$B57),".")</f>
        <v>3619918942.8069954</v>
      </c>
      <c r="AK57" s="101">
        <f>IFERROR(up_RadSpec!$H$29*($BA$29/$B57),".")</f>
        <v>3619918942.8069954</v>
      </c>
      <c r="AL57" s="101">
        <f>IFERROR(up_RadSpec!$H$29*($BA$29/$B57),".")</f>
        <v>3619918942.8069954</v>
      </c>
      <c r="AM57" s="101">
        <f>IFERROR(up_RadSpec!$H$29*($BA$29/$B57),".")</f>
        <v>3619918942.8069954</v>
      </c>
      <c r="AN57" s="101">
        <f>IFERROR(up_RadSpec!$H$29*($BA$29/$B57),".")</f>
        <v>3619918942.8069954</v>
      </c>
      <c r="AO57" s="101">
        <f>IFERROR(up_RadSpec!$H$29*($BA$29/$B57),".")</f>
        <v>3619918942.8069954</v>
      </c>
      <c r="AP57" s="101">
        <f>IFERROR(up_RadSpec!$H$29*($BA$29/$B57),".")</f>
        <v>3619918942.8069954</v>
      </c>
      <c r="AQ57" s="101">
        <f>IFERROR(up_RadSpec!$H$29*($BA$29/$B57),".")</f>
        <v>3619918942.8069954</v>
      </c>
      <c r="AR57" s="101">
        <f>IFERROR(up_RadSpec!$H$29*($BA$29/$B57),".")</f>
        <v>3619918942.8069954</v>
      </c>
      <c r="AS57" s="101">
        <f>IFERROR(up_RadSpec!$H$29*($BA$29/$B57),".")</f>
        <v>3619918942.8069954</v>
      </c>
      <c r="AT57" s="101">
        <f>IFERROR(up_RadSpec!$H$29*($BA$29/$B57),".")</f>
        <v>3619918942.8069954</v>
      </c>
      <c r="AU57" s="101">
        <f>IFERROR(up_RadSpec!$H$29*($BA$29/$B57),".")</f>
        <v>3619918942.8069954</v>
      </c>
      <c r="AV57" s="101">
        <f>IFERROR(up_RadSpec!$H$29*($BA$29/$B57),".")</f>
        <v>3619918942.8069954</v>
      </c>
      <c r="AW57" s="101">
        <f>IFERROR(up_RadSpec!$H$29*($BA$29/$B57),".")</f>
        <v>3619918942.8069954</v>
      </c>
      <c r="AX57" s="101">
        <f>IFERROR(up_RadSpec!$H$29*($BA$29/$B57),".")</f>
        <v>3619918942.8069954</v>
      </c>
      <c r="AY57" s="101">
        <f>IFERROR(up_RadSpec!$H$29*($BA$29/$B57),".")</f>
        <v>3619918942.8069954</v>
      </c>
      <c r="AZ57" s="101">
        <f>IFERROR(up_RadSpec!$H$29*($BA$29/$B57),".")</f>
        <v>3619918942.8069954</v>
      </c>
      <c r="BA57" s="101">
        <f>IFERROR(up_RadSpec!$H$29*($BA$29/$B57),".")</f>
        <v>3619918942.8069954</v>
      </c>
      <c r="BB57" s="101">
        <f>IFERROR(up_RadSpec!$H$29*($BB$29/$B57),".")</f>
        <v>3619918942.8069954</v>
      </c>
      <c r="BC57" s="100">
        <f t="shared" ref="BC57" si="110">IFERROR($B57/BC29,0)</f>
        <v>12771068.921793975</v>
      </c>
      <c r="BD57" s="100">
        <f t="shared" ref="BD57:CB57" si="111">IFERROR($B57/BD29,0)</f>
        <v>3192767.2304484937</v>
      </c>
      <c r="BE57" s="100">
        <f t="shared" si="111"/>
        <v>3192767.2304484937</v>
      </c>
      <c r="BF57" s="100">
        <f t="shared" si="111"/>
        <v>3192767.2304484937</v>
      </c>
      <c r="BG57" s="100">
        <f t="shared" si="111"/>
        <v>3192767.2304484937</v>
      </c>
      <c r="BH57" s="100">
        <f t="shared" si="111"/>
        <v>3192767.2304484937</v>
      </c>
      <c r="BI57" s="100">
        <f t="shared" si="111"/>
        <v>3192767.2304484937</v>
      </c>
      <c r="BJ57" s="100">
        <f t="shared" si="111"/>
        <v>3192767.2304484937</v>
      </c>
      <c r="BK57" s="100">
        <f t="shared" si="111"/>
        <v>3192767.2304484937</v>
      </c>
      <c r="BL57" s="100">
        <f t="shared" si="111"/>
        <v>3192767.2304484937</v>
      </c>
      <c r="BM57" s="100">
        <f t="shared" si="111"/>
        <v>3192767.2304484937</v>
      </c>
      <c r="BN57" s="100">
        <f t="shared" si="111"/>
        <v>3192767.2304484937</v>
      </c>
      <c r="BO57" s="100">
        <f t="shared" si="111"/>
        <v>3192767.2304484937</v>
      </c>
      <c r="BP57" s="100">
        <f t="shared" si="111"/>
        <v>3192767.2304484937</v>
      </c>
      <c r="BQ57" s="100">
        <f t="shared" si="111"/>
        <v>3192767.2304484937</v>
      </c>
      <c r="BR57" s="100">
        <f t="shared" si="111"/>
        <v>3192767.2304484937</v>
      </c>
      <c r="BS57" s="100">
        <f t="shared" si="111"/>
        <v>3192767.2304484937</v>
      </c>
      <c r="BT57" s="100">
        <f t="shared" si="111"/>
        <v>3192767.2304484937</v>
      </c>
      <c r="BU57" s="100">
        <f t="shared" si="111"/>
        <v>3192767.2304484937</v>
      </c>
      <c r="BV57" s="100">
        <f t="shared" si="111"/>
        <v>3192767.2304484937</v>
      </c>
      <c r="BW57" s="100">
        <f t="shared" si="111"/>
        <v>3192767.2304484937</v>
      </c>
      <c r="BX57" s="100">
        <f t="shared" si="111"/>
        <v>3192767.2304484937</v>
      </c>
      <c r="BY57" s="100">
        <f t="shared" si="111"/>
        <v>3192767.2304484937</v>
      </c>
      <c r="BZ57" s="100">
        <f t="shared" si="111"/>
        <v>3192767.2304484937</v>
      </c>
      <c r="CA57" s="100">
        <f t="shared" si="111"/>
        <v>3192767.2304484937</v>
      </c>
      <c r="CB57" s="100">
        <f t="shared" si="111"/>
        <v>3192767.2304484937</v>
      </c>
      <c r="CC57" s="49">
        <f t="shared" si="3"/>
        <v>14479675771.227982</v>
      </c>
      <c r="CD57" s="101">
        <f>IFERROR(up_RadSpec!$H$29*($AD$29/$B57),".")</f>
        <v>3619918942.8069954</v>
      </c>
      <c r="CE57" s="101">
        <f>IFERROR(up_RadSpec!$H$29*($AE$29/$B57),".")</f>
        <v>3619918942.8069954</v>
      </c>
      <c r="CF57" s="101">
        <f>IFERROR(up_RadSpec!$H$29*($BA$29/$B57),".")</f>
        <v>3619918942.8069954</v>
      </c>
      <c r="CG57" s="101">
        <f>IFERROR(up_RadSpec!$H$29*($BA$29/$B57),".")</f>
        <v>3619918942.8069954</v>
      </c>
      <c r="CH57" s="101">
        <f>IFERROR(up_RadSpec!$H$29*($BA$29/$B57),".")</f>
        <v>3619918942.8069954</v>
      </c>
      <c r="CI57" s="101">
        <f>IFERROR(up_RadSpec!$H$29*($BA$29/$B57),".")</f>
        <v>3619918942.8069954</v>
      </c>
      <c r="CJ57" s="101">
        <f>IFERROR(up_RadSpec!$H$29*($BA$29/$B57),".")</f>
        <v>3619918942.8069954</v>
      </c>
      <c r="CK57" s="101">
        <f>IFERROR(up_RadSpec!$H$29*($BA$29/$B57),".")</f>
        <v>3619918942.8069954</v>
      </c>
      <c r="CL57" s="101">
        <f>IFERROR(up_RadSpec!$H$29*($BA$29/$B57),".")</f>
        <v>3619918942.8069954</v>
      </c>
      <c r="CM57" s="101">
        <f>IFERROR(up_RadSpec!$H$29*($BA$29/$B57),".")</f>
        <v>3619918942.8069954</v>
      </c>
      <c r="CN57" s="101">
        <f>IFERROR(up_RadSpec!$H$29*($BA$29/$B57),".")</f>
        <v>3619918942.8069954</v>
      </c>
      <c r="CO57" s="101">
        <f>IFERROR(up_RadSpec!$H$29*($BA$29/$B57),".")</f>
        <v>3619918942.8069954</v>
      </c>
      <c r="CP57" s="101">
        <f>IFERROR(up_RadSpec!$H$29*($BA$29/$B57),".")</f>
        <v>3619918942.8069954</v>
      </c>
      <c r="CQ57" s="101">
        <f>IFERROR(up_RadSpec!$H$29*($BA$29/$B57),".")</f>
        <v>3619918942.8069954</v>
      </c>
      <c r="CR57" s="101">
        <f>IFERROR(up_RadSpec!$H$29*($BA$29/$B57),".")</f>
        <v>3619918942.8069954</v>
      </c>
      <c r="CS57" s="101">
        <f>IFERROR(up_RadSpec!$H$29*($BA$29/$B57),".")</f>
        <v>3619918942.8069954</v>
      </c>
      <c r="CT57" s="101">
        <f>IFERROR(up_RadSpec!$H$29*($BA$29/$B57),".")</f>
        <v>3619918942.8069954</v>
      </c>
      <c r="CU57" s="101">
        <f>IFERROR(up_RadSpec!$H$29*($BA$29/$B57),".")</f>
        <v>3619918942.8069954</v>
      </c>
      <c r="CV57" s="101">
        <f>IFERROR(up_RadSpec!$H$29*($BA$29/$B57),".")</f>
        <v>3619918942.8069954</v>
      </c>
      <c r="CW57" s="101">
        <f>IFERROR(up_RadSpec!$H$29*($BA$29/$B57),".")</f>
        <v>3619918942.8069954</v>
      </c>
      <c r="CX57" s="101">
        <f>IFERROR(up_RadSpec!$H$29*($BA$29/$B57),".")</f>
        <v>3619918942.8069954</v>
      </c>
      <c r="CY57" s="101">
        <f>IFERROR(up_RadSpec!$H$29*($BA$29/$B57),".")</f>
        <v>3619918942.8069954</v>
      </c>
      <c r="CZ57" s="101">
        <f>IFERROR(up_RadSpec!$H$29*($BA$29/$B57),".")</f>
        <v>3619918942.8069954</v>
      </c>
      <c r="DA57" s="101">
        <f>IFERROR(up_RadSpec!$H$29*($BA$29/$B57),".")</f>
        <v>3619918942.8069954</v>
      </c>
      <c r="DB57" s="101">
        <f>IFERROR(up_RadSpec!$H$29*($BB$29/$B57),".")</f>
        <v>3619918942.8069954</v>
      </c>
    </row>
    <row r="58" spans="1:106" s="42" customFormat="1" x14ac:dyDescent="0.25">
      <c r="A58" s="99" t="s">
        <v>1093</v>
      </c>
      <c r="B58" s="90">
        <v>1</v>
      </c>
      <c r="C58" s="100">
        <f t="shared" ref="C58" si="112">IFERROR($B58/C16,0)</f>
        <v>60814626076.229866</v>
      </c>
      <c r="D58" s="100">
        <f t="shared" ref="D58:AB58" si="113">IFERROR($B58/D16,0)</f>
        <v>15203656519.057467</v>
      </c>
      <c r="E58" s="100">
        <f t="shared" si="113"/>
        <v>15203656519.057467</v>
      </c>
      <c r="F58" s="100">
        <f t="shared" si="113"/>
        <v>15203656519.057467</v>
      </c>
      <c r="G58" s="100">
        <f t="shared" si="113"/>
        <v>15203656519.057467</v>
      </c>
      <c r="H58" s="100">
        <f t="shared" si="113"/>
        <v>15203656519.057467</v>
      </c>
      <c r="I58" s="100">
        <f t="shared" si="113"/>
        <v>15203656519.057467</v>
      </c>
      <c r="J58" s="100">
        <f t="shared" si="113"/>
        <v>15203656519.057467</v>
      </c>
      <c r="K58" s="100">
        <f t="shared" si="113"/>
        <v>15203656519.057467</v>
      </c>
      <c r="L58" s="100">
        <f t="shared" si="113"/>
        <v>15203656519.057467</v>
      </c>
      <c r="M58" s="100">
        <f t="shared" si="113"/>
        <v>15203656519.057467</v>
      </c>
      <c r="N58" s="100">
        <f t="shared" si="113"/>
        <v>15203656519.057467</v>
      </c>
      <c r="O58" s="100">
        <f t="shared" si="113"/>
        <v>15203656519.057467</v>
      </c>
      <c r="P58" s="100">
        <f t="shared" si="113"/>
        <v>15203656519.057467</v>
      </c>
      <c r="Q58" s="100">
        <f t="shared" si="113"/>
        <v>15203656519.057467</v>
      </c>
      <c r="R58" s="100">
        <f t="shared" si="113"/>
        <v>15203656519.057467</v>
      </c>
      <c r="S58" s="100">
        <f t="shared" si="113"/>
        <v>15203656519.057467</v>
      </c>
      <c r="T58" s="100">
        <f t="shared" si="113"/>
        <v>15203656519.057467</v>
      </c>
      <c r="U58" s="100">
        <f t="shared" si="113"/>
        <v>15203656519.057467</v>
      </c>
      <c r="V58" s="100">
        <f t="shared" si="113"/>
        <v>15203656519.057467</v>
      </c>
      <c r="W58" s="100">
        <f t="shared" si="113"/>
        <v>15203656519.057467</v>
      </c>
      <c r="X58" s="100">
        <f t="shared" si="113"/>
        <v>15203656519.057467</v>
      </c>
      <c r="Y58" s="100">
        <f t="shared" si="113"/>
        <v>15203656519.057467</v>
      </c>
      <c r="Z58" s="100">
        <f t="shared" si="113"/>
        <v>15203656519.057467</v>
      </c>
      <c r="AA58" s="100">
        <f t="shared" si="113"/>
        <v>15203656519.057467</v>
      </c>
      <c r="AB58" s="100">
        <f t="shared" si="113"/>
        <v>15203656519.057467</v>
      </c>
      <c r="AC58" s="49">
        <f t="shared" si="1"/>
        <v>3040731.3038114933</v>
      </c>
      <c r="AD58" s="101">
        <f>IFERROR(up_RadSpec!$H$16*($AD$16/$B58),".")</f>
        <v>760182.82595287333</v>
      </c>
      <c r="AE58" s="101">
        <f>IFERROR(up_RadSpec!$H$16*($AE$16/$B58),".")</f>
        <v>760182.82595287333</v>
      </c>
      <c r="AF58" s="101">
        <f>IFERROR(up_RadSpec!$H$16*($BA$16/$B58),".")</f>
        <v>760182.82595287333</v>
      </c>
      <c r="AG58" s="101">
        <f>IFERROR(up_RadSpec!$H$16*($BA$16/$B58),".")</f>
        <v>760182.82595287333</v>
      </c>
      <c r="AH58" s="101">
        <f>IFERROR(up_RadSpec!$H$16*($BA$16/$B58),".")</f>
        <v>760182.82595287333</v>
      </c>
      <c r="AI58" s="101">
        <f>IFERROR(up_RadSpec!$H$16*($BA$16/$B58),".")</f>
        <v>760182.82595287333</v>
      </c>
      <c r="AJ58" s="101">
        <f>IFERROR(up_RadSpec!$H$16*($BA$16/$B58),".")</f>
        <v>760182.82595287333</v>
      </c>
      <c r="AK58" s="101">
        <f>IFERROR(up_RadSpec!$H$16*($BA$16/$B58),".")</f>
        <v>760182.82595287333</v>
      </c>
      <c r="AL58" s="101">
        <f>IFERROR(up_RadSpec!$H$16*($BA$16/$B58),".")</f>
        <v>760182.82595287333</v>
      </c>
      <c r="AM58" s="101">
        <f>IFERROR(up_RadSpec!$H$16*($BA$16/$B58),".")</f>
        <v>760182.82595287333</v>
      </c>
      <c r="AN58" s="101">
        <f>IFERROR(up_RadSpec!$H$16*($BA$16/$B58),".")</f>
        <v>760182.82595287333</v>
      </c>
      <c r="AO58" s="101">
        <f>IFERROR(up_RadSpec!$H$16*($BA$16/$B58),".")</f>
        <v>760182.82595287333</v>
      </c>
      <c r="AP58" s="101">
        <f>IFERROR(up_RadSpec!$H$16*($BA$16/$B58),".")</f>
        <v>760182.82595287333</v>
      </c>
      <c r="AQ58" s="101">
        <f>IFERROR(up_RadSpec!$H$16*($BA$16/$B58),".")</f>
        <v>760182.82595287333</v>
      </c>
      <c r="AR58" s="101">
        <f>IFERROR(up_RadSpec!$H$16*($BA$16/$B58),".")</f>
        <v>760182.82595287333</v>
      </c>
      <c r="AS58" s="101">
        <f>IFERROR(up_RadSpec!$H$16*($BA$16/$B58),".")</f>
        <v>760182.82595287333</v>
      </c>
      <c r="AT58" s="101">
        <f>IFERROR(up_RadSpec!$H$16*($BA$16/$B58),".")</f>
        <v>760182.82595287333</v>
      </c>
      <c r="AU58" s="101">
        <f>IFERROR(up_RadSpec!$H$16*($BA$16/$B58),".")</f>
        <v>760182.82595287333</v>
      </c>
      <c r="AV58" s="101">
        <f>IFERROR(up_RadSpec!$H$16*($BA$16/$B58),".")</f>
        <v>760182.82595287333</v>
      </c>
      <c r="AW58" s="101">
        <f>IFERROR(up_RadSpec!$H$16*($BA$16/$B58),".")</f>
        <v>760182.82595287333</v>
      </c>
      <c r="AX58" s="101">
        <f>IFERROR(up_RadSpec!$H$16*($BA$16/$B58),".")</f>
        <v>760182.82595287333</v>
      </c>
      <c r="AY58" s="101">
        <f>IFERROR(up_RadSpec!$H$16*($BA$16/$B58),".")</f>
        <v>760182.82595287333</v>
      </c>
      <c r="AZ58" s="101">
        <f>IFERROR(up_RadSpec!$H$16*($BA$16/$B58),".")</f>
        <v>760182.82595287333</v>
      </c>
      <c r="BA58" s="101">
        <f>IFERROR(up_RadSpec!$H$16*($BA$16/$B58),".")</f>
        <v>760182.82595287333</v>
      </c>
      <c r="BB58" s="101">
        <f>IFERROR(up_RadSpec!$H$16*($BB$16/$B58),".")</f>
        <v>760182.82595287333</v>
      </c>
      <c r="BC58" s="100">
        <f t="shared" ref="BC58" si="114">IFERROR($B58/BC16,0)</f>
        <v>60814626076.229866</v>
      </c>
      <c r="BD58" s="100">
        <f t="shared" ref="BD58:CB58" si="115">IFERROR($B58/BD16,0)</f>
        <v>15203656519.057467</v>
      </c>
      <c r="BE58" s="100">
        <f t="shared" si="115"/>
        <v>15203656519.057467</v>
      </c>
      <c r="BF58" s="100">
        <f t="shared" si="115"/>
        <v>15203656519.057467</v>
      </c>
      <c r="BG58" s="100">
        <f t="shared" si="115"/>
        <v>15203656519.057467</v>
      </c>
      <c r="BH58" s="100">
        <f t="shared" si="115"/>
        <v>15203656519.057467</v>
      </c>
      <c r="BI58" s="100">
        <f t="shared" si="115"/>
        <v>15203656519.057467</v>
      </c>
      <c r="BJ58" s="100">
        <f t="shared" si="115"/>
        <v>15203656519.057467</v>
      </c>
      <c r="BK58" s="100">
        <f t="shared" si="115"/>
        <v>15203656519.057467</v>
      </c>
      <c r="BL58" s="100">
        <f t="shared" si="115"/>
        <v>15203656519.057467</v>
      </c>
      <c r="BM58" s="100">
        <f t="shared" si="115"/>
        <v>15203656519.057467</v>
      </c>
      <c r="BN58" s="100">
        <f t="shared" si="115"/>
        <v>15203656519.057467</v>
      </c>
      <c r="BO58" s="100">
        <f t="shared" si="115"/>
        <v>15203656519.057467</v>
      </c>
      <c r="BP58" s="100">
        <f t="shared" si="115"/>
        <v>15203656519.057467</v>
      </c>
      <c r="BQ58" s="100">
        <f t="shared" si="115"/>
        <v>15203656519.057467</v>
      </c>
      <c r="BR58" s="100">
        <f t="shared" si="115"/>
        <v>15203656519.057467</v>
      </c>
      <c r="BS58" s="100">
        <f t="shared" si="115"/>
        <v>15203656519.057467</v>
      </c>
      <c r="BT58" s="100">
        <f t="shared" si="115"/>
        <v>15203656519.057467</v>
      </c>
      <c r="BU58" s="100">
        <f t="shared" si="115"/>
        <v>15203656519.057467</v>
      </c>
      <c r="BV58" s="100">
        <f t="shared" si="115"/>
        <v>15203656519.057467</v>
      </c>
      <c r="BW58" s="100">
        <f t="shared" si="115"/>
        <v>15203656519.057467</v>
      </c>
      <c r="BX58" s="100">
        <f t="shared" si="115"/>
        <v>15203656519.057467</v>
      </c>
      <c r="BY58" s="100">
        <f t="shared" si="115"/>
        <v>15203656519.057467</v>
      </c>
      <c r="BZ58" s="100">
        <f t="shared" si="115"/>
        <v>15203656519.057467</v>
      </c>
      <c r="CA58" s="100">
        <f t="shared" si="115"/>
        <v>15203656519.057467</v>
      </c>
      <c r="CB58" s="100">
        <f t="shared" si="115"/>
        <v>15203656519.057467</v>
      </c>
      <c r="CC58" s="49">
        <f t="shared" si="3"/>
        <v>3040731.3038114933</v>
      </c>
      <c r="CD58" s="101">
        <f>IFERROR(up_RadSpec!$H$16*($AD$16/$B58),".")</f>
        <v>760182.82595287333</v>
      </c>
      <c r="CE58" s="101">
        <f>IFERROR(up_RadSpec!$H$16*($AE$16/$B58),".")</f>
        <v>760182.82595287333</v>
      </c>
      <c r="CF58" s="101">
        <f>IFERROR(up_RadSpec!$H$16*($BA$16/$B58),".")</f>
        <v>760182.82595287333</v>
      </c>
      <c r="CG58" s="101">
        <f>IFERROR(up_RadSpec!$H$16*($BA$16/$B58),".")</f>
        <v>760182.82595287333</v>
      </c>
      <c r="CH58" s="101">
        <f>IFERROR(up_RadSpec!$H$16*($BA$16/$B58),".")</f>
        <v>760182.82595287333</v>
      </c>
      <c r="CI58" s="101">
        <f>IFERROR(up_RadSpec!$H$16*($BA$16/$B58),".")</f>
        <v>760182.82595287333</v>
      </c>
      <c r="CJ58" s="101">
        <f>IFERROR(up_RadSpec!$H$16*($BA$16/$B58),".")</f>
        <v>760182.82595287333</v>
      </c>
      <c r="CK58" s="101">
        <f>IFERROR(up_RadSpec!$H$16*($BA$16/$B58),".")</f>
        <v>760182.82595287333</v>
      </c>
      <c r="CL58" s="101">
        <f>IFERROR(up_RadSpec!$H$16*($BA$16/$B58),".")</f>
        <v>760182.82595287333</v>
      </c>
      <c r="CM58" s="101">
        <f>IFERROR(up_RadSpec!$H$16*($BA$16/$B58),".")</f>
        <v>760182.82595287333</v>
      </c>
      <c r="CN58" s="101">
        <f>IFERROR(up_RadSpec!$H$16*($BA$16/$B58),".")</f>
        <v>760182.82595287333</v>
      </c>
      <c r="CO58" s="101">
        <f>IFERROR(up_RadSpec!$H$16*($BA$16/$B58),".")</f>
        <v>760182.82595287333</v>
      </c>
      <c r="CP58" s="101">
        <f>IFERROR(up_RadSpec!$H$16*($BA$16/$B58),".")</f>
        <v>760182.82595287333</v>
      </c>
      <c r="CQ58" s="101">
        <f>IFERROR(up_RadSpec!$H$16*($BA$16/$B58),".")</f>
        <v>760182.82595287333</v>
      </c>
      <c r="CR58" s="101">
        <f>IFERROR(up_RadSpec!$H$16*($BA$16/$B58),".")</f>
        <v>760182.82595287333</v>
      </c>
      <c r="CS58" s="101">
        <f>IFERROR(up_RadSpec!$H$16*($BA$16/$B58),".")</f>
        <v>760182.82595287333</v>
      </c>
      <c r="CT58" s="101">
        <f>IFERROR(up_RadSpec!$H$16*($BA$16/$B58),".")</f>
        <v>760182.82595287333</v>
      </c>
      <c r="CU58" s="101">
        <f>IFERROR(up_RadSpec!$H$16*($BA$16/$B58),".")</f>
        <v>760182.82595287333</v>
      </c>
      <c r="CV58" s="101">
        <f>IFERROR(up_RadSpec!$H$16*($BA$16/$B58),".")</f>
        <v>760182.82595287333</v>
      </c>
      <c r="CW58" s="101">
        <f>IFERROR(up_RadSpec!$H$16*($BA$16/$B58),".")</f>
        <v>760182.82595287333</v>
      </c>
      <c r="CX58" s="101">
        <f>IFERROR(up_RadSpec!$H$16*($BA$16/$B58),".")</f>
        <v>760182.82595287333</v>
      </c>
      <c r="CY58" s="101">
        <f>IFERROR(up_RadSpec!$H$16*($BA$16/$B58),".")</f>
        <v>760182.82595287333</v>
      </c>
      <c r="CZ58" s="101">
        <f>IFERROR(up_RadSpec!$H$16*($BA$16/$B58),".")</f>
        <v>760182.82595287333</v>
      </c>
      <c r="DA58" s="101">
        <f>IFERROR(up_RadSpec!$H$16*($BA$16/$B58),".")</f>
        <v>760182.82595287333</v>
      </c>
      <c r="DB58" s="101">
        <f>IFERROR(up_RadSpec!$H$16*($BB$16/$B58),".")</f>
        <v>760182.82595287333</v>
      </c>
    </row>
    <row r="59" spans="1:106" s="42" customFormat="1" x14ac:dyDescent="0.25">
      <c r="A59" s="99" t="s">
        <v>1094</v>
      </c>
      <c r="B59" s="90">
        <v>1</v>
      </c>
      <c r="C59" s="100">
        <f t="shared" ref="C59" si="116">IFERROR($B59/C7,0)</f>
        <v>60814626076.229866</v>
      </c>
      <c r="D59" s="100">
        <f t="shared" ref="D59:AB59" si="117">IFERROR($B59/D7,0)</f>
        <v>15203656519.057467</v>
      </c>
      <c r="E59" s="100">
        <f t="shared" si="117"/>
        <v>15203656519.057467</v>
      </c>
      <c r="F59" s="100">
        <f t="shared" si="117"/>
        <v>15203656519.057467</v>
      </c>
      <c r="G59" s="100">
        <f t="shared" si="117"/>
        <v>15203656519.057467</v>
      </c>
      <c r="H59" s="100">
        <f t="shared" si="117"/>
        <v>15203656519.057467</v>
      </c>
      <c r="I59" s="100">
        <f t="shared" si="117"/>
        <v>15203656519.057467</v>
      </c>
      <c r="J59" s="100">
        <f t="shared" si="117"/>
        <v>15203656519.057467</v>
      </c>
      <c r="K59" s="100">
        <f t="shared" si="117"/>
        <v>15203656519.057467</v>
      </c>
      <c r="L59" s="100">
        <f t="shared" si="117"/>
        <v>15203656519.057467</v>
      </c>
      <c r="M59" s="100">
        <f t="shared" si="117"/>
        <v>15203656519.057467</v>
      </c>
      <c r="N59" s="100">
        <f t="shared" si="117"/>
        <v>15203656519.057467</v>
      </c>
      <c r="O59" s="100">
        <f t="shared" si="117"/>
        <v>15203656519.057467</v>
      </c>
      <c r="P59" s="100">
        <f t="shared" si="117"/>
        <v>15203656519.057467</v>
      </c>
      <c r="Q59" s="100">
        <f t="shared" si="117"/>
        <v>15203656519.057467</v>
      </c>
      <c r="R59" s="100">
        <f t="shared" si="117"/>
        <v>15203656519.057467</v>
      </c>
      <c r="S59" s="100">
        <f t="shared" si="117"/>
        <v>15203656519.057467</v>
      </c>
      <c r="T59" s="100">
        <f t="shared" si="117"/>
        <v>15203656519.057467</v>
      </c>
      <c r="U59" s="100">
        <f t="shared" si="117"/>
        <v>15203656519.057467</v>
      </c>
      <c r="V59" s="100">
        <f t="shared" si="117"/>
        <v>15203656519.057467</v>
      </c>
      <c r="W59" s="100">
        <f t="shared" si="117"/>
        <v>15203656519.057467</v>
      </c>
      <c r="X59" s="100">
        <f t="shared" si="117"/>
        <v>15203656519.057467</v>
      </c>
      <c r="Y59" s="100">
        <f t="shared" si="117"/>
        <v>15203656519.057467</v>
      </c>
      <c r="Z59" s="100">
        <f t="shared" si="117"/>
        <v>15203656519.057467</v>
      </c>
      <c r="AA59" s="100">
        <f t="shared" si="117"/>
        <v>15203656519.057467</v>
      </c>
      <c r="AB59" s="100">
        <f t="shared" si="117"/>
        <v>15203656519.057467</v>
      </c>
      <c r="AC59" s="49">
        <f t="shared" si="1"/>
        <v>3040731.3038114933</v>
      </c>
      <c r="AD59" s="101">
        <f>IFERROR(up_RadSpec!$H$7*($AD$7/$B59),".")</f>
        <v>760182.82595287333</v>
      </c>
      <c r="AE59" s="101">
        <f>IFERROR(up_RadSpec!$H$7*($AE$7/$B59),".")</f>
        <v>760182.82595287333</v>
      </c>
      <c r="AF59" s="101">
        <f>IFERROR(up_RadSpec!$H$7*($BA$7/$B59),".")</f>
        <v>760182.82595287333</v>
      </c>
      <c r="AG59" s="101">
        <f>IFERROR(up_RadSpec!$H$7*($BA$7/$B59),".")</f>
        <v>760182.82595287333</v>
      </c>
      <c r="AH59" s="101">
        <f>IFERROR(up_RadSpec!$H$7*($BA$7/$B59),".")</f>
        <v>760182.82595287333</v>
      </c>
      <c r="AI59" s="101">
        <f>IFERROR(up_RadSpec!$H$7*($BA$7/$B59),".")</f>
        <v>760182.82595287333</v>
      </c>
      <c r="AJ59" s="101">
        <f>IFERROR(up_RadSpec!$H$7*($BA$7/$B59),".")</f>
        <v>760182.82595287333</v>
      </c>
      <c r="AK59" s="101">
        <f>IFERROR(up_RadSpec!$H$7*($BA$7/$B59),".")</f>
        <v>760182.82595287333</v>
      </c>
      <c r="AL59" s="101">
        <f>IFERROR(up_RadSpec!$H$7*($BA$7/$B59),".")</f>
        <v>760182.82595287333</v>
      </c>
      <c r="AM59" s="101">
        <f>IFERROR(up_RadSpec!$H$7*($BA$7/$B59),".")</f>
        <v>760182.82595287333</v>
      </c>
      <c r="AN59" s="101">
        <f>IFERROR(up_RadSpec!$H$7*($BA$7/$B59),".")</f>
        <v>760182.82595287333</v>
      </c>
      <c r="AO59" s="101">
        <f>IFERROR(up_RadSpec!$H$7*($BA$7/$B59),".")</f>
        <v>760182.82595287333</v>
      </c>
      <c r="AP59" s="101">
        <f>IFERROR(up_RadSpec!$H$7*($BA$7/$B59),".")</f>
        <v>760182.82595287333</v>
      </c>
      <c r="AQ59" s="101">
        <f>IFERROR(up_RadSpec!$H$7*($BA$7/$B59),".")</f>
        <v>760182.82595287333</v>
      </c>
      <c r="AR59" s="101">
        <f>IFERROR(up_RadSpec!$H$7*($BA$7/$B59),".")</f>
        <v>760182.82595287333</v>
      </c>
      <c r="AS59" s="101">
        <f>IFERROR(up_RadSpec!$H$7*($BA$7/$B59),".")</f>
        <v>760182.82595287333</v>
      </c>
      <c r="AT59" s="101">
        <f>IFERROR(up_RadSpec!$H$7*($BA$7/$B59),".")</f>
        <v>760182.82595287333</v>
      </c>
      <c r="AU59" s="101">
        <f>IFERROR(up_RadSpec!$H$7*($BA$7/$B59),".")</f>
        <v>760182.82595287333</v>
      </c>
      <c r="AV59" s="101">
        <f>IFERROR(up_RadSpec!$H$7*($BA$7/$B59),".")</f>
        <v>760182.82595287333</v>
      </c>
      <c r="AW59" s="101">
        <f>IFERROR(up_RadSpec!$H$7*($BA$7/$B59),".")</f>
        <v>760182.82595287333</v>
      </c>
      <c r="AX59" s="101">
        <f>IFERROR(up_RadSpec!$H$7*($BA$7/$B59),".")</f>
        <v>760182.82595287333</v>
      </c>
      <c r="AY59" s="101">
        <f>IFERROR(up_RadSpec!$H$7*($BA$7/$B59),".")</f>
        <v>760182.82595287333</v>
      </c>
      <c r="AZ59" s="101">
        <f>IFERROR(up_RadSpec!$H$7*($BA$7/$B59),".")</f>
        <v>760182.82595287333</v>
      </c>
      <c r="BA59" s="101">
        <f>IFERROR(up_RadSpec!$H$7*($BA$7/$B59),".")</f>
        <v>760182.82595287333</v>
      </c>
      <c r="BB59" s="101">
        <f>IFERROR(up_RadSpec!$H$7*($BB$7/$B59),".")</f>
        <v>760182.82595287333</v>
      </c>
      <c r="BC59" s="100">
        <f t="shared" ref="BC59" si="118">IFERROR($B59/BC7,0)</f>
        <v>60814626076.229866</v>
      </c>
      <c r="BD59" s="100">
        <f t="shared" ref="BD59:CB59" si="119">IFERROR($B59/BD7,0)</f>
        <v>15203656519.057467</v>
      </c>
      <c r="BE59" s="100">
        <f t="shared" si="119"/>
        <v>15203656519.057467</v>
      </c>
      <c r="BF59" s="100">
        <f t="shared" si="119"/>
        <v>15203656519.057467</v>
      </c>
      <c r="BG59" s="100">
        <f t="shared" si="119"/>
        <v>15203656519.057467</v>
      </c>
      <c r="BH59" s="100">
        <f t="shared" si="119"/>
        <v>15203656519.057467</v>
      </c>
      <c r="BI59" s="100">
        <f t="shared" si="119"/>
        <v>15203656519.057467</v>
      </c>
      <c r="BJ59" s="100">
        <f t="shared" si="119"/>
        <v>15203656519.057467</v>
      </c>
      <c r="BK59" s="100">
        <f t="shared" si="119"/>
        <v>15203656519.057467</v>
      </c>
      <c r="BL59" s="100">
        <f t="shared" si="119"/>
        <v>15203656519.057467</v>
      </c>
      <c r="BM59" s="100">
        <f t="shared" si="119"/>
        <v>15203656519.057467</v>
      </c>
      <c r="BN59" s="100">
        <f t="shared" si="119"/>
        <v>15203656519.057467</v>
      </c>
      <c r="BO59" s="100">
        <f t="shared" si="119"/>
        <v>15203656519.057467</v>
      </c>
      <c r="BP59" s="100">
        <f t="shared" si="119"/>
        <v>15203656519.057467</v>
      </c>
      <c r="BQ59" s="100">
        <f t="shared" si="119"/>
        <v>15203656519.057467</v>
      </c>
      <c r="BR59" s="100">
        <f t="shared" si="119"/>
        <v>15203656519.057467</v>
      </c>
      <c r="BS59" s="100">
        <f t="shared" si="119"/>
        <v>15203656519.057467</v>
      </c>
      <c r="BT59" s="100">
        <f t="shared" si="119"/>
        <v>15203656519.057467</v>
      </c>
      <c r="BU59" s="100">
        <f t="shared" si="119"/>
        <v>15203656519.057467</v>
      </c>
      <c r="BV59" s="100">
        <f t="shared" si="119"/>
        <v>15203656519.057467</v>
      </c>
      <c r="BW59" s="100">
        <f t="shared" si="119"/>
        <v>15203656519.057467</v>
      </c>
      <c r="BX59" s="100">
        <f t="shared" si="119"/>
        <v>15203656519.057467</v>
      </c>
      <c r="BY59" s="100">
        <f t="shared" si="119"/>
        <v>15203656519.057467</v>
      </c>
      <c r="BZ59" s="100">
        <f t="shared" si="119"/>
        <v>15203656519.057467</v>
      </c>
      <c r="CA59" s="100">
        <f t="shared" si="119"/>
        <v>15203656519.057467</v>
      </c>
      <c r="CB59" s="100">
        <f t="shared" si="119"/>
        <v>15203656519.057467</v>
      </c>
      <c r="CC59" s="49">
        <f t="shared" si="3"/>
        <v>3040731.3038114933</v>
      </c>
      <c r="CD59" s="101">
        <f>IFERROR(up_RadSpec!$H$7*($AD$7/$B59),".")</f>
        <v>760182.82595287333</v>
      </c>
      <c r="CE59" s="101">
        <f>IFERROR(up_RadSpec!$H$7*($AE$7/$B59),".")</f>
        <v>760182.82595287333</v>
      </c>
      <c r="CF59" s="101">
        <f>IFERROR(up_RadSpec!$H$7*($BA$7/$B59),".")</f>
        <v>760182.82595287333</v>
      </c>
      <c r="CG59" s="101">
        <f>IFERROR(up_RadSpec!$H$7*($BA$7/$B59),".")</f>
        <v>760182.82595287333</v>
      </c>
      <c r="CH59" s="101">
        <f>IFERROR(up_RadSpec!$H$7*($BA$7/$B59),".")</f>
        <v>760182.82595287333</v>
      </c>
      <c r="CI59" s="101">
        <f>IFERROR(up_RadSpec!$H$7*($BA$7/$B59),".")</f>
        <v>760182.82595287333</v>
      </c>
      <c r="CJ59" s="101">
        <f>IFERROR(up_RadSpec!$H$7*($BA$7/$B59),".")</f>
        <v>760182.82595287333</v>
      </c>
      <c r="CK59" s="101">
        <f>IFERROR(up_RadSpec!$H$7*($BA$7/$B59),".")</f>
        <v>760182.82595287333</v>
      </c>
      <c r="CL59" s="101">
        <f>IFERROR(up_RadSpec!$H$7*($BA$7/$B59),".")</f>
        <v>760182.82595287333</v>
      </c>
      <c r="CM59" s="101">
        <f>IFERROR(up_RadSpec!$H$7*($BA$7/$B59),".")</f>
        <v>760182.82595287333</v>
      </c>
      <c r="CN59" s="101">
        <f>IFERROR(up_RadSpec!$H$7*($BA$7/$B59),".")</f>
        <v>760182.82595287333</v>
      </c>
      <c r="CO59" s="101">
        <f>IFERROR(up_RadSpec!$H$7*($BA$7/$B59),".")</f>
        <v>760182.82595287333</v>
      </c>
      <c r="CP59" s="101">
        <f>IFERROR(up_RadSpec!$H$7*($BA$7/$B59),".")</f>
        <v>760182.82595287333</v>
      </c>
      <c r="CQ59" s="101">
        <f>IFERROR(up_RadSpec!$H$7*($BA$7/$B59),".")</f>
        <v>760182.82595287333</v>
      </c>
      <c r="CR59" s="101">
        <f>IFERROR(up_RadSpec!$H$7*($BA$7/$B59),".")</f>
        <v>760182.82595287333</v>
      </c>
      <c r="CS59" s="101">
        <f>IFERROR(up_RadSpec!$H$7*($BA$7/$B59),".")</f>
        <v>760182.82595287333</v>
      </c>
      <c r="CT59" s="101">
        <f>IFERROR(up_RadSpec!$H$7*($BA$7/$B59),".")</f>
        <v>760182.82595287333</v>
      </c>
      <c r="CU59" s="101">
        <f>IFERROR(up_RadSpec!$H$7*($BA$7/$B59),".")</f>
        <v>760182.82595287333</v>
      </c>
      <c r="CV59" s="101">
        <f>IFERROR(up_RadSpec!$H$7*($BA$7/$B59),".")</f>
        <v>760182.82595287333</v>
      </c>
      <c r="CW59" s="101">
        <f>IFERROR(up_RadSpec!$H$7*($BA$7/$B59),".")</f>
        <v>760182.82595287333</v>
      </c>
      <c r="CX59" s="101">
        <f>IFERROR(up_RadSpec!$H$7*($BA$7/$B59),".")</f>
        <v>760182.82595287333</v>
      </c>
      <c r="CY59" s="101">
        <f>IFERROR(up_RadSpec!$H$7*($BA$7/$B59),".")</f>
        <v>760182.82595287333</v>
      </c>
      <c r="CZ59" s="101">
        <f>IFERROR(up_RadSpec!$H$7*($BA$7/$B59),".")</f>
        <v>760182.82595287333</v>
      </c>
      <c r="DA59" s="101">
        <f>IFERROR(up_RadSpec!$H$7*($BA$7/$B59),".")</f>
        <v>760182.82595287333</v>
      </c>
      <c r="DB59" s="101">
        <f>IFERROR(up_RadSpec!$H$7*($BB$7/$B59),".")</f>
        <v>760182.82595287333</v>
      </c>
    </row>
    <row r="60" spans="1:106" s="42" customFormat="1" x14ac:dyDescent="0.25">
      <c r="A60" s="99" t="s">
        <v>1095</v>
      </c>
      <c r="B60" s="104">
        <v>1.9000000000000001E-8</v>
      </c>
      <c r="C60" s="100">
        <f t="shared" ref="C60" si="120">IFERROR($B60/C12,0)</f>
        <v>1155.4778954483675</v>
      </c>
      <c r="D60" s="100">
        <f t="shared" ref="D60:AB60" si="121">IFERROR($B60/D12,0)</f>
        <v>288.86947386209187</v>
      </c>
      <c r="E60" s="100">
        <f t="shared" si="121"/>
        <v>288.86947386209187</v>
      </c>
      <c r="F60" s="100">
        <f t="shared" si="121"/>
        <v>288.86947386209187</v>
      </c>
      <c r="G60" s="100">
        <f t="shared" si="121"/>
        <v>288.86947386209187</v>
      </c>
      <c r="H60" s="100">
        <f t="shared" si="121"/>
        <v>288.86947386209187</v>
      </c>
      <c r="I60" s="100">
        <f t="shared" si="121"/>
        <v>288.86947386209187</v>
      </c>
      <c r="J60" s="100">
        <f t="shared" si="121"/>
        <v>288.86947386209187</v>
      </c>
      <c r="K60" s="100">
        <f t="shared" si="121"/>
        <v>288.86947386209187</v>
      </c>
      <c r="L60" s="100">
        <f t="shared" si="121"/>
        <v>288.86947386209187</v>
      </c>
      <c r="M60" s="100">
        <f t="shared" si="121"/>
        <v>288.86947386209187</v>
      </c>
      <c r="N60" s="100">
        <f t="shared" si="121"/>
        <v>288.86947386209187</v>
      </c>
      <c r="O60" s="100">
        <f t="shared" si="121"/>
        <v>288.86947386209187</v>
      </c>
      <c r="P60" s="100">
        <f t="shared" si="121"/>
        <v>288.86947386209187</v>
      </c>
      <c r="Q60" s="100">
        <f t="shared" si="121"/>
        <v>288.86947386209187</v>
      </c>
      <c r="R60" s="100">
        <f t="shared" si="121"/>
        <v>288.86947386209187</v>
      </c>
      <c r="S60" s="100">
        <f t="shared" si="121"/>
        <v>288.86947386209187</v>
      </c>
      <c r="T60" s="100">
        <f t="shared" si="121"/>
        <v>288.86947386209187</v>
      </c>
      <c r="U60" s="100">
        <f t="shared" si="121"/>
        <v>288.86947386209187</v>
      </c>
      <c r="V60" s="100">
        <f t="shared" si="121"/>
        <v>288.86947386209187</v>
      </c>
      <c r="W60" s="100">
        <f t="shared" si="121"/>
        <v>288.86947386209187</v>
      </c>
      <c r="X60" s="100">
        <f t="shared" si="121"/>
        <v>288.86947386209187</v>
      </c>
      <c r="Y60" s="100">
        <f t="shared" si="121"/>
        <v>288.86947386209187</v>
      </c>
      <c r="Z60" s="100">
        <f t="shared" si="121"/>
        <v>288.86947386209187</v>
      </c>
      <c r="AA60" s="100">
        <f t="shared" si="121"/>
        <v>288.86947386209187</v>
      </c>
      <c r="AB60" s="100">
        <f t="shared" si="121"/>
        <v>288.86947386209187</v>
      </c>
      <c r="AC60" s="49">
        <f t="shared" si="1"/>
        <v>160038489674289.13</v>
      </c>
      <c r="AD60" s="101">
        <f>IFERROR(up_RadSpec!$H$12*($AD$12/$B60),".")</f>
        <v>40009622418572.281</v>
      </c>
      <c r="AE60" s="101">
        <f>IFERROR(up_RadSpec!$H$12*($AE$12/$B60),".")</f>
        <v>40009622418572.281</v>
      </c>
      <c r="AF60" s="101">
        <f>IFERROR(up_RadSpec!$H$12*($BA$12/$B60),".")</f>
        <v>40009622418572.281</v>
      </c>
      <c r="AG60" s="101">
        <f>IFERROR(up_RadSpec!$H$12*($BA$12/$B60),".")</f>
        <v>40009622418572.281</v>
      </c>
      <c r="AH60" s="101">
        <f>IFERROR(up_RadSpec!$H$12*($BA$12/$B60),".")</f>
        <v>40009622418572.281</v>
      </c>
      <c r="AI60" s="101">
        <f>IFERROR(up_RadSpec!$H$12*($BA$12/$B60),".")</f>
        <v>40009622418572.281</v>
      </c>
      <c r="AJ60" s="101">
        <f>IFERROR(up_RadSpec!$H$12*($BA$12/$B60),".")</f>
        <v>40009622418572.281</v>
      </c>
      <c r="AK60" s="101">
        <f>IFERROR(up_RadSpec!$H$12*($BA$12/$B60),".")</f>
        <v>40009622418572.281</v>
      </c>
      <c r="AL60" s="101">
        <f>IFERROR(up_RadSpec!$H$12*($BA$12/$B60),".")</f>
        <v>40009622418572.281</v>
      </c>
      <c r="AM60" s="101">
        <f>IFERROR(up_RadSpec!$H$12*($BA$12/$B60),".")</f>
        <v>40009622418572.281</v>
      </c>
      <c r="AN60" s="101">
        <f>IFERROR(up_RadSpec!$H$12*($BA$12/$B60),".")</f>
        <v>40009622418572.281</v>
      </c>
      <c r="AO60" s="101">
        <f>IFERROR(up_RadSpec!$H$12*($BA$12/$B60),".")</f>
        <v>40009622418572.281</v>
      </c>
      <c r="AP60" s="101">
        <f>IFERROR(up_RadSpec!$H$12*($BA$12/$B60),".")</f>
        <v>40009622418572.281</v>
      </c>
      <c r="AQ60" s="101">
        <f>IFERROR(up_RadSpec!$H$12*($BA$12/$B60),".")</f>
        <v>40009622418572.281</v>
      </c>
      <c r="AR60" s="101">
        <f>IFERROR(up_RadSpec!$H$12*($BA$12/$B60),".")</f>
        <v>40009622418572.281</v>
      </c>
      <c r="AS60" s="101">
        <f>IFERROR(up_RadSpec!$H$12*($BA$12/$B60),".")</f>
        <v>40009622418572.281</v>
      </c>
      <c r="AT60" s="101">
        <f>IFERROR(up_RadSpec!$H$12*($BA$12/$B60),".")</f>
        <v>40009622418572.281</v>
      </c>
      <c r="AU60" s="101">
        <f>IFERROR(up_RadSpec!$H$12*($BA$12/$B60),".")</f>
        <v>40009622418572.281</v>
      </c>
      <c r="AV60" s="101">
        <f>IFERROR(up_RadSpec!$H$12*($BA$12/$B60),".")</f>
        <v>40009622418572.281</v>
      </c>
      <c r="AW60" s="101">
        <f>IFERROR(up_RadSpec!$H$12*($BA$12/$B60),".")</f>
        <v>40009622418572.281</v>
      </c>
      <c r="AX60" s="101">
        <f>IFERROR(up_RadSpec!$H$12*($BA$12/$B60),".")</f>
        <v>40009622418572.281</v>
      </c>
      <c r="AY60" s="101">
        <f>IFERROR(up_RadSpec!$H$12*($BA$12/$B60),".")</f>
        <v>40009622418572.281</v>
      </c>
      <c r="AZ60" s="101">
        <f>IFERROR(up_RadSpec!$H$12*($BA$12/$B60),".")</f>
        <v>40009622418572.281</v>
      </c>
      <c r="BA60" s="101">
        <f>IFERROR(up_RadSpec!$H$12*($BA$12/$B60),".")</f>
        <v>40009622418572.281</v>
      </c>
      <c r="BB60" s="101">
        <f>IFERROR(up_RadSpec!$H$12*($BB$12/$B60),".")</f>
        <v>40009622418572.281</v>
      </c>
      <c r="BC60" s="100">
        <f t="shared" ref="BC60" si="122">IFERROR($B60/BC12,0)</f>
        <v>1155.4778954483675</v>
      </c>
      <c r="BD60" s="100">
        <f t="shared" ref="BD60:CB60" si="123">IFERROR($B60/BD12,0)</f>
        <v>288.86947386209187</v>
      </c>
      <c r="BE60" s="100">
        <f t="shared" si="123"/>
        <v>288.86947386209187</v>
      </c>
      <c r="BF60" s="100">
        <f t="shared" si="123"/>
        <v>288.86947386209187</v>
      </c>
      <c r="BG60" s="100">
        <f t="shared" si="123"/>
        <v>288.86947386209187</v>
      </c>
      <c r="BH60" s="100">
        <f t="shared" si="123"/>
        <v>288.86947386209187</v>
      </c>
      <c r="BI60" s="100">
        <f t="shared" si="123"/>
        <v>288.86947386209187</v>
      </c>
      <c r="BJ60" s="100">
        <f t="shared" si="123"/>
        <v>288.86947386209187</v>
      </c>
      <c r="BK60" s="100">
        <f t="shared" si="123"/>
        <v>288.86947386209187</v>
      </c>
      <c r="BL60" s="100">
        <f t="shared" si="123"/>
        <v>288.86947386209187</v>
      </c>
      <c r="BM60" s="100">
        <f t="shared" si="123"/>
        <v>288.86947386209187</v>
      </c>
      <c r="BN60" s="100">
        <f t="shared" si="123"/>
        <v>288.86947386209187</v>
      </c>
      <c r="BO60" s="100">
        <f t="shared" si="123"/>
        <v>288.86947386209187</v>
      </c>
      <c r="BP60" s="100">
        <f t="shared" si="123"/>
        <v>288.86947386209187</v>
      </c>
      <c r="BQ60" s="100">
        <f t="shared" si="123"/>
        <v>288.86947386209187</v>
      </c>
      <c r="BR60" s="100">
        <f t="shared" si="123"/>
        <v>288.86947386209187</v>
      </c>
      <c r="BS60" s="100">
        <f t="shared" si="123"/>
        <v>288.86947386209187</v>
      </c>
      <c r="BT60" s="100">
        <f t="shared" si="123"/>
        <v>288.86947386209187</v>
      </c>
      <c r="BU60" s="100">
        <f t="shared" si="123"/>
        <v>288.86947386209187</v>
      </c>
      <c r="BV60" s="100">
        <f t="shared" si="123"/>
        <v>288.86947386209187</v>
      </c>
      <c r="BW60" s="100">
        <f t="shared" si="123"/>
        <v>288.86947386209187</v>
      </c>
      <c r="BX60" s="100">
        <f t="shared" si="123"/>
        <v>288.86947386209187</v>
      </c>
      <c r="BY60" s="100">
        <f t="shared" si="123"/>
        <v>288.86947386209187</v>
      </c>
      <c r="BZ60" s="100">
        <f t="shared" si="123"/>
        <v>288.86947386209187</v>
      </c>
      <c r="CA60" s="100">
        <f t="shared" si="123"/>
        <v>288.86947386209187</v>
      </c>
      <c r="CB60" s="100">
        <f t="shared" si="123"/>
        <v>288.86947386209187</v>
      </c>
      <c r="CC60" s="49">
        <f t="shared" si="3"/>
        <v>160038489674289.13</v>
      </c>
      <c r="CD60" s="101">
        <f>IFERROR(up_RadSpec!$H$12*($AD$12/$B60),".")</f>
        <v>40009622418572.281</v>
      </c>
      <c r="CE60" s="101">
        <f>IFERROR(up_RadSpec!$H$12*($AE$12/$B60),".")</f>
        <v>40009622418572.281</v>
      </c>
      <c r="CF60" s="101">
        <f>IFERROR(up_RadSpec!$H$12*($BA$12/$B60),".")</f>
        <v>40009622418572.281</v>
      </c>
      <c r="CG60" s="101">
        <f>IFERROR(up_RadSpec!$H$12*($BA$12/$B60),".")</f>
        <v>40009622418572.281</v>
      </c>
      <c r="CH60" s="101">
        <f>IFERROR(up_RadSpec!$H$12*($BA$12/$B60),".")</f>
        <v>40009622418572.281</v>
      </c>
      <c r="CI60" s="101">
        <f>IFERROR(up_RadSpec!$H$12*($BA$12/$B60),".")</f>
        <v>40009622418572.281</v>
      </c>
      <c r="CJ60" s="101">
        <f>IFERROR(up_RadSpec!$H$12*($BA$12/$B60),".")</f>
        <v>40009622418572.281</v>
      </c>
      <c r="CK60" s="101">
        <f>IFERROR(up_RadSpec!$H$12*($BA$12/$B60),".")</f>
        <v>40009622418572.281</v>
      </c>
      <c r="CL60" s="101">
        <f>IFERROR(up_RadSpec!$H$12*($BA$12/$B60),".")</f>
        <v>40009622418572.281</v>
      </c>
      <c r="CM60" s="101">
        <f>IFERROR(up_RadSpec!$H$12*($BA$12/$B60),".")</f>
        <v>40009622418572.281</v>
      </c>
      <c r="CN60" s="101">
        <f>IFERROR(up_RadSpec!$H$12*($BA$12/$B60),".")</f>
        <v>40009622418572.281</v>
      </c>
      <c r="CO60" s="101">
        <f>IFERROR(up_RadSpec!$H$12*($BA$12/$B60),".")</f>
        <v>40009622418572.281</v>
      </c>
      <c r="CP60" s="101">
        <f>IFERROR(up_RadSpec!$H$12*($BA$12/$B60),".")</f>
        <v>40009622418572.281</v>
      </c>
      <c r="CQ60" s="101">
        <f>IFERROR(up_RadSpec!$H$12*($BA$12/$B60),".")</f>
        <v>40009622418572.281</v>
      </c>
      <c r="CR60" s="101">
        <f>IFERROR(up_RadSpec!$H$12*($BA$12/$B60),".")</f>
        <v>40009622418572.281</v>
      </c>
      <c r="CS60" s="101">
        <f>IFERROR(up_RadSpec!$H$12*($BA$12/$B60),".")</f>
        <v>40009622418572.281</v>
      </c>
      <c r="CT60" s="101">
        <f>IFERROR(up_RadSpec!$H$12*($BA$12/$B60),".")</f>
        <v>40009622418572.281</v>
      </c>
      <c r="CU60" s="101">
        <f>IFERROR(up_RadSpec!$H$12*($BA$12/$B60),".")</f>
        <v>40009622418572.281</v>
      </c>
      <c r="CV60" s="101">
        <f>IFERROR(up_RadSpec!$H$12*($BA$12/$B60),".")</f>
        <v>40009622418572.281</v>
      </c>
      <c r="CW60" s="101">
        <f>IFERROR(up_RadSpec!$H$12*($BA$12/$B60),".")</f>
        <v>40009622418572.281</v>
      </c>
      <c r="CX60" s="101">
        <f>IFERROR(up_RadSpec!$H$12*($BA$12/$B60),".")</f>
        <v>40009622418572.281</v>
      </c>
      <c r="CY60" s="101">
        <f>IFERROR(up_RadSpec!$H$12*($BA$12/$B60),".")</f>
        <v>40009622418572.281</v>
      </c>
      <c r="CZ60" s="101">
        <f>IFERROR(up_RadSpec!$H$12*($BA$12/$B60),".")</f>
        <v>40009622418572.281</v>
      </c>
      <c r="DA60" s="101">
        <f>IFERROR(up_RadSpec!$H$12*($BA$12/$B60),".")</f>
        <v>40009622418572.281</v>
      </c>
      <c r="DB60" s="101">
        <f>IFERROR(up_RadSpec!$H$12*($BB$12/$B60),".")</f>
        <v>40009622418572.281</v>
      </c>
    </row>
    <row r="61" spans="1:106" s="42" customFormat="1" x14ac:dyDescent="0.25">
      <c r="A61" s="99" t="s">
        <v>1096</v>
      </c>
      <c r="B61" s="90">
        <v>1</v>
      </c>
      <c r="C61" s="100">
        <f t="shared" ref="C61" si="124">IFERROR($B61/C18,0)</f>
        <v>60814626076.229866</v>
      </c>
      <c r="D61" s="100">
        <f t="shared" ref="D61:AB61" si="125">IFERROR($B61/D18,0)</f>
        <v>15203656519.057467</v>
      </c>
      <c r="E61" s="100">
        <f t="shared" si="125"/>
        <v>15203656519.057467</v>
      </c>
      <c r="F61" s="100">
        <f t="shared" si="125"/>
        <v>15203656519.057467</v>
      </c>
      <c r="G61" s="100">
        <f t="shared" si="125"/>
        <v>15203656519.057467</v>
      </c>
      <c r="H61" s="100">
        <f t="shared" si="125"/>
        <v>15203656519.057467</v>
      </c>
      <c r="I61" s="100">
        <f t="shared" si="125"/>
        <v>15203656519.057467</v>
      </c>
      <c r="J61" s="100">
        <f t="shared" si="125"/>
        <v>15203656519.057467</v>
      </c>
      <c r="K61" s="100">
        <f t="shared" si="125"/>
        <v>15203656519.057467</v>
      </c>
      <c r="L61" s="100">
        <f t="shared" si="125"/>
        <v>15203656519.057467</v>
      </c>
      <c r="M61" s="100">
        <f t="shared" si="125"/>
        <v>15203656519.057467</v>
      </c>
      <c r="N61" s="100">
        <f t="shared" si="125"/>
        <v>15203656519.057467</v>
      </c>
      <c r="O61" s="100">
        <f t="shared" si="125"/>
        <v>15203656519.057467</v>
      </c>
      <c r="P61" s="100">
        <f t="shared" si="125"/>
        <v>15203656519.057467</v>
      </c>
      <c r="Q61" s="100">
        <f t="shared" si="125"/>
        <v>15203656519.057467</v>
      </c>
      <c r="R61" s="100">
        <f t="shared" si="125"/>
        <v>15203656519.057467</v>
      </c>
      <c r="S61" s="100">
        <f t="shared" si="125"/>
        <v>15203656519.057467</v>
      </c>
      <c r="T61" s="100">
        <f t="shared" si="125"/>
        <v>15203656519.057467</v>
      </c>
      <c r="U61" s="100">
        <f t="shared" si="125"/>
        <v>15203656519.057467</v>
      </c>
      <c r="V61" s="100">
        <f t="shared" si="125"/>
        <v>15203656519.057467</v>
      </c>
      <c r="W61" s="100">
        <f t="shared" si="125"/>
        <v>15203656519.057467</v>
      </c>
      <c r="X61" s="100">
        <f t="shared" si="125"/>
        <v>15203656519.057467</v>
      </c>
      <c r="Y61" s="100">
        <f t="shared" si="125"/>
        <v>15203656519.057467</v>
      </c>
      <c r="Z61" s="100">
        <f t="shared" si="125"/>
        <v>15203656519.057467</v>
      </c>
      <c r="AA61" s="100">
        <f t="shared" si="125"/>
        <v>15203656519.057467</v>
      </c>
      <c r="AB61" s="100">
        <f t="shared" si="125"/>
        <v>15203656519.057467</v>
      </c>
      <c r="AC61" s="49">
        <f t="shared" si="1"/>
        <v>3040731.3038114933</v>
      </c>
      <c r="AD61" s="101">
        <f>IFERROR(up_RadSpec!$H$18*($AD$18/$B61),".")</f>
        <v>760182.82595287333</v>
      </c>
      <c r="AE61" s="101">
        <f>IFERROR(up_RadSpec!$H$18*($AE$18/$B61),".")</f>
        <v>760182.82595287333</v>
      </c>
      <c r="AF61" s="101">
        <f>IFERROR(up_RadSpec!$H$18*($BA$18/$B61),".")</f>
        <v>760182.82595287333</v>
      </c>
      <c r="AG61" s="101">
        <f>IFERROR(up_RadSpec!$H$18*($BA$18/$B61),".")</f>
        <v>760182.82595287333</v>
      </c>
      <c r="AH61" s="101">
        <f>IFERROR(up_RadSpec!$H$18*($BA$18/$B61),".")</f>
        <v>760182.82595287333</v>
      </c>
      <c r="AI61" s="101">
        <f>IFERROR(up_RadSpec!$H$18*($BA$18/$B61),".")</f>
        <v>760182.82595287333</v>
      </c>
      <c r="AJ61" s="101">
        <f>IFERROR(up_RadSpec!$H$18*($BA$18/$B61),".")</f>
        <v>760182.82595287333</v>
      </c>
      <c r="AK61" s="101">
        <f>IFERROR(up_RadSpec!$H$18*($BA$18/$B61),".")</f>
        <v>760182.82595287333</v>
      </c>
      <c r="AL61" s="101">
        <f>IFERROR(up_RadSpec!$H$18*($BA$18/$B61),".")</f>
        <v>760182.82595287333</v>
      </c>
      <c r="AM61" s="101">
        <f>IFERROR(up_RadSpec!$H$18*($BA$18/$B61),".")</f>
        <v>760182.82595287333</v>
      </c>
      <c r="AN61" s="101">
        <f>IFERROR(up_RadSpec!$H$18*($BA$18/$B61),".")</f>
        <v>760182.82595287333</v>
      </c>
      <c r="AO61" s="101">
        <f>IFERROR(up_RadSpec!$H$18*($BA$18/$B61),".")</f>
        <v>760182.82595287333</v>
      </c>
      <c r="AP61" s="101">
        <f>IFERROR(up_RadSpec!$H$18*($BA$18/$B61),".")</f>
        <v>760182.82595287333</v>
      </c>
      <c r="AQ61" s="101">
        <f>IFERROR(up_RadSpec!$H$18*($BA$18/$B61),".")</f>
        <v>760182.82595287333</v>
      </c>
      <c r="AR61" s="101">
        <f>IFERROR(up_RadSpec!$H$18*($BA$18/$B61),".")</f>
        <v>760182.82595287333</v>
      </c>
      <c r="AS61" s="101">
        <f>IFERROR(up_RadSpec!$H$18*($BA$18/$B61),".")</f>
        <v>760182.82595287333</v>
      </c>
      <c r="AT61" s="101">
        <f>IFERROR(up_RadSpec!$H$18*($BA$18/$B61),".")</f>
        <v>760182.82595287333</v>
      </c>
      <c r="AU61" s="101">
        <f>IFERROR(up_RadSpec!$H$18*($BA$18/$B61),".")</f>
        <v>760182.82595287333</v>
      </c>
      <c r="AV61" s="101">
        <f>IFERROR(up_RadSpec!$H$18*($BA$18/$B61),".")</f>
        <v>760182.82595287333</v>
      </c>
      <c r="AW61" s="101">
        <f>IFERROR(up_RadSpec!$H$18*($BA$18/$B61),".")</f>
        <v>760182.82595287333</v>
      </c>
      <c r="AX61" s="101">
        <f>IFERROR(up_RadSpec!$H$18*($BA$18/$B61),".")</f>
        <v>760182.82595287333</v>
      </c>
      <c r="AY61" s="101">
        <f>IFERROR(up_RadSpec!$H$18*($BA$18/$B61),".")</f>
        <v>760182.82595287333</v>
      </c>
      <c r="AZ61" s="101">
        <f>IFERROR(up_RadSpec!$H$18*($BA$18/$B61),".")</f>
        <v>760182.82595287333</v>
      </c>
      <c r="BA61" s="101">
        <f>IFERROR(up_RadSpec!$H$18*($BA$18/$B61),".")</f>
        <v>760182.82595287333</v>
      </c>
      <c r="BB61" s="101">
        <f>IFERROR(up_RadSpec!$H$18*($BB$18/$B61),".")</f>
        <v>760182.82595287333</v>
      </c>
      <c r="BC61" s="100">
        <f t="shared" ref="BC61" si="126">IFERROR($B61/BC18,0)</f>
        <v>60814626076.229866</v>
      </c>
      <c r="BD61" s="100">
        <f t="shared" ref="BD61:CB61" si="127">IFERROR($B61/BD18,0)</f>
        <v>15203656519.057467</v>
      </c>
      <c r="BE61" s="100">
        <f t="shared" si="127"/>
        <v>15203656519.057467</v>
      </c>
      <c r="BF61" s="100">
        <f t="shared" si="127"/>
        <v>15203656519.057467</v>
      </c>
      <c r="BG61" s="100">
        <f t="shared" si="127"/>
        <v>15203656519.057467</v>
      </c>
      <c r="BH61" s="100">
        <f t="shared" si="127"/>
        <v>15203656519.057467</v>
      </c>
      <c r="BI61" s="100">
        <f t="shared" si="127"/>
        <v>15203656519.057467</v>
      </c>
      <c r="BJ61" s="100">
        <f t="shared" si="127"/>
        <v>15203656519.057467</v>
      </c>
      <c r="BK61" s="100">
        <f t="shared" si="127"/>
        <v>15203656519.057467</v>
      </c>
      <c r="BL61" s="100">
        <f t="shared" si="127"/>
        <v>15203656519.057467</v>
      </c>
      <c r="BM61" s="100">
        <f t="shared" si="127"/>
        <v>15203656519.057467</v>
      </c>
      <c r="BN61" s="100">
        <f t="shared" si="127"/>
        <v>15203656519.057467</v>
      </c>
      <c r="BO61" s="100">
        <f t="shared" si="127"/>
        <v>15203656519.057467</v>
      </c>
      <c r="BP61" s="100">
        <f t="shared" si="127"/>
        <v>15203656519.057467</v>
      </c>
      <c r="BQ61" s="100">
        <f t="shared" si="127"/>
        <v>15203656519.057467</v>
      </c>
      <c r="BR61" s="100">
        <f t="shared" si="127"/>
        <v>15203656519.057467</v>
      </c>
      <c r="BS61" s="100">
        <f t="shared" si="127"/>
        <v>15203656519.057467</v>
      </c>
      <c r="BT61" s="100">
        <f t="shared" si="127"/>
        <v>15203656519.057467</v>
      </c>
      <c r="BU61" s="100">
        <f t="shared" si="127"/>
        <v>15203656519.057467</v>
      </c>
      <c r="BV61" s="100">
        <f t="shared" si="127"/>
        <v>15203656519.057467</v>
      </c>
      <c r="BW61" s="100">
        <f t="shared" si="127"/>
        <v>15203656519.057467</v>
      </c>
      <c r="BX61" s="100">
        <f t="shared" si="127"/>
        <v>15203656519.057467</v>
      </c>
      <c r="BY61" s="100">
        <f t="shared" si="127"/>
        <v>15203656519.057467</v>
      </c>
      <c r="BZ61" s="100">
        <f t="shared" si="127"/>
        <v>15203656519.057467</v>
      </c>
      <c r="CA61" s="100">
        <f t="shared" si="127"/>
        <v>15203656519.057467</v>
      </c>
      <c r="CB61" s="100">
        <f t="shared" si="127"/>
        <v>15203656519.057467</v>
      </c>
      <c r="CC61" s="49">
        <f t="shared" si="3"/>
        <v>3040731.3038114933</v>
      </c>
      <c r="CD61" s="101">
        <f>IFERROR(up_RadSpec!$H$18*($AD$18/$B61),".")</f>
        <v>760182.82595287333</v>
      </c>
      <c r="CE61" s="101">
        <f>IFERROR(up_RadSpec!$H$18*($AE$18/$B61),".")</f>
        <v>760182.82595287333</v>
      </c>
      <c r="CF61" s="101">
        <f>IFERROR(up_RadSpec!$H$18*($BA$18/$B61),".")</f>
        <v>760182.82595287333</v>
      </c>
      <c r="CG61" s="101">
        <f>IFERROR(up_RadSpec!$H$18*($BA$18/$B61),".")</f>
        <v>760182.82595287333</v>
      </c>
      <c r="CH61" s="101">
        <f>IFERROR(up_RadSpec!$H$18*($BA$18/$B61),".")</f>
        <v>760182.82595287333</v>
      </c>
      <c r="CI61" s="101">
        <f>IFERROR(up_RadSpec!$H$18*($BA$18/$B61),".")</f>
        <v>760182.82595287333</v>
      </c>
      <c r="CJ61" s="101">
        <f>IFERROR(up_RadSpec!$H$18*($BA$18/$B61),".")</f>
        <v>760182.82595287333</v>
      </c>
      <c r="CK61" s="101">
        <f>IFERROR(up_RadSpec!$H$18*($BA$18/$B61),".")</f>
        <v>760182.82595287333</v>
      </c>
      <c r="CL61" s="101">
        <f>IFERROR(up_RadSpec!$H$18*($BA$18/$B61),".")</f>
        <v>760182.82595287333</v>
      </c>
      <c r="CM61" s="101">
        <f>IFERROR(up_RadSpec!$H$18*($BA$18/$B61),".")</f>
        <v>760182.82595287333</v>
      </c>
      <c r="CN61" s="101">
        <f>IFERROR(up_RadSpec!$H$18*($BA$18/$B61),".")</f>
        <v>760182.82595287333</v>
      </c>
      <c r="CO61" s="101">
        <f>IFERROR(up_RadSpec!$H$18*($BA$18/$B61),".")</f>
        <v>760182.82595287333</v>
      </c>
      <c r="CP61" s="101">
        <f>IFERROR(up_RadSpec!$H$18*($BA$18/$B61),".")</f>
        <v>760182.82595287333</v>
      </c>
      <c r="CQ61" s="101">
        <f>IFERROR(up_RadSpec!$H$18*($BA$18/$B61),".")</f>
        <v>760182.82595287333</v>
      </c>
      <c r="CR61" s="101">
        <f>IFERROR(up_RadSpec!$H$18*($BA$18/$B61),".")</f>
        <v>760182.82595287333</v>
      </c>
      <c r="CS61" s="101">
        <f>IFERROR(up_RadSpec!$H$18*($BA$18/$B61),".")</f>
        <v>760182.82595287333</v>
      </c>
      <c r="CT61" s="101">
        <f>IFERROR(up_RadSpec!$H$18*($BA$18/$B61),".")</f>
        <v>760182.82595287333</v>
      </c>
      <c r="CU61" s="101">
        <f>IFERROR(up_RadSpec!$H$18*($BA$18/$B61),".")</f>
        <v>760182.82595287333</v>
      </c>
      <c r="CV61" s="101">
        <f>IFERROR(up_RadSpec!$H$18*($BA$18/$B61),".")</f>
        <v>760182.82595287333</v>
      </c>
      <c r="CW61" s="101">
        <f>IFERROR(up_RadSpec!$H$18*($BA$18/$B61),".")</f>
        <v>760182.82595287333</v>
      </c>
      <c r="CX61" s="101">
        <f>IFERROR(up_RadSpec!$H$18*($BA$18/$B61),".")</f>
        <v>760182.82595287333</v>
      </c>
      <c r="CY61" s="101">
        <f>IFERROR(up_RadSpec!$H$18*($BA$18/$B61),".")</f>
        <v>760182.82595287333</v>
      </c>
      <c r="CZ61" s="101">
        <f>IFERROR(up_RadSpec!$H$18*($BA$18/$B61),".")</f>
        <v>760182.82595287333</v>
      </c>
      <c r="DA61" s="101">
        <f>IFERROR(up_RadSpec!$H$18*($BA$18/$B61),".")</f>
        <v>760182.82595287333</v>
      </c>
      <c r="DB61" s="101">
        <f>IFERROR(up_RadSpec!$H$18*($BB$18/$B61),".")</f>
        <v>760182.82595287333</v>
      </c>
    </row>
    <row r="62" spans="1:106" s="42" customFormat="1" x14ac:dyDescent="0.25">
      <c r="A62" s="99" t="s">
        <v>1097</v>
      </c>
      <c r="B62" s="90">
        <v>1.339E-6</v>
      </c>
      <c r="C62" s="100">
        <f t="shared" ref="C62" si="128">IFERROR($B62/C27,0)</f>
        <v>81430.784316071789</v>
      </c>
      <c r="D62" s="100">
        <f t="shared" ref="D62:AB62" si="129">IFERROR($B62/D27,0)</f>
        <v>20357.696079017947</v>
      </c>
      <c r="E62" s="100">
        <f t="shared" si="129"/>
        <v>20357.696079017947</v>
      </c>
      <c r="F62" s="100">
        <f t="shared" si="129"/>
        <v>20357.696079017947</v>
      </c>
      <c r="G62" s="100">
        <f t="shared" si="129"/>
        <v>20357.696079017947</v>
      </c>
      <c r="H62" s="100">
        <f t="shared" si="129"/>
        <v>20357.696079017947</v>
      </c>
      <c r="I62" s="100">
        <f t="shared" si="129"/>
        <v>20357.696079017947</v>
      </c>
      <c r="J62" s="100">
        <f t="shared" si="129"/>
        <v>20357.696079017947</v>
      </c>
      <c r="K62" s="100">
        <f t="shared" si="129"/>
        <v>20357.696079017947</v>
      </c>
      <c r="L62" s="100">
        <f t="shared" si="129"/>
        <v>20357.696079017947</v>
      </c>
      <c r="M62" s="100">
        <f t="shared" si="129"/>
        <v>20357.696079017947</v>
      </c>
      <c r="N62" s="100">
        <f t="shared" si="129"/>
        <v>20357.696079017947</v>
      </c>
      <c r="O62" s="100">
        <f t="shared" si="129"/>
        <v>20357.696079017947</v>
      </c>
      <c r="P62" s="100">
        <f t="shared" si="129"/>
        <v>20357.696079017947</v>
      </c>
      <c r="Q62" s="100">
        <f t="shared" si="129"/>
        <v>20357.696079017947</v>
      </c>
      <c r="R62" s="100">
        <f t="shared" si="129"/>
        <v>20357.696079017947</v>
      </c>
      <c r="S62" s="100">
        <f t="shared" si="129"/>
        <v>20357.696079017947</v>
      </c>
      <c r="T62" s="100">
        <f t="shared" si="129"/>
        <v>20357.696079017947</v>
      </c>
      <c r="U62" s="100">
        <f t="shared" si="129"/>
        <v>20357.696079017947</v>
      </c>
      <c r="V62" s="100">
        <f t="shared" si="129"/>
        <v>20357.696079017947</v>
      </c>
      <c r="W62" s="100">
        <f t="shared" si="129"/>
        <v>20357.696079017947</v>
      </c>
      <c r="X62" s="100">
        <f t="shared" si="129"/>
        <v>20357.696079017947</v>
      </c>
      <c r="Y62" s="100">
        <f t="shared" si="129"/>
        <v>20357.696079017947</v>
      </c>
      <c r="Z62" s="100">
        <f t="shared" si="129"/>
        <v>20357.696079017947</v>
      </c>
      <c r="AA62" s="100">
        <f t="shared" si="129"/>
        <v>20357.696079017947</v>
      </c>
      <c r="AB62" s="100">
        <f t="shared" si="129"/>
        <v>20357.696079017947</v>
      </c>
      <c r="AC62" s="49">
        <f t="shared" si="1"/>
        <v>2270897164907.7622</v>
      </c>
      <c r="AD62" s="101">
        <f>IFERROR(up_RadSpec!$H$27*($AD$27/$B62),".")</f>
        <v>567724291226.94055</v>
      </c>
      <c r="AE62" s="101">
        <f>IFERROR(up_RadSpec!$H$27*($AE$27/$B62),".")</f>
        <v>567724291226.94055</v>
      </c>
      <c r="AF62" s="101">
        <f>IFERROR(up_RadSpec!$H$27*($BA$27/$B62),".")</f>
        <v>567724291226.94055</v>
      </c>
      <c r="AG62" s="101">
        <f>IFERROR(up_RadSpec!$H$27*($BA$27/$B62),".")</f>
        <v>567724291226.94055</v>
      </c>
      <c r="AH62" s="101">
        <f>IFERROR(up_RadSpec!$H$27*($BA$27/$B62),".")</f>
        <v>567724291226.94055</v>
      </c>
      <c r="AI62" s="101">
        <f>IFERROR(up_RadSpec!$H$27*($BA$27/$B62),".")</f>
        <v>567724291226.94055</v>
      </c>
      <c r="AJ62" s="101">
        <f>IFERROR(up_RadSpec!$H$27*($BA$27/$B62),".")</f>
        <v>567724291226.94055</v>
      </c>
      <c r="AK62" s="101">
        <f>IFERROR(up_RadSpec!$H$27*($BA$27/$B62),".")</f>
        <v>567724291226.94055</v>
      </c>
      <c r="AL62" s="101">
        <f>IFERROR(up_RadSpec!$H$27*($BA$27/$B62),".")</f>
        <v>567724291226.94055</v>
      </c>
      <c r="AM62" s="101">
        <f>IFERROR(up_RadSpec!$H$27*($BA$27/$B62),".")</f>
        <v>567724291226.94055</v>
      </c>
      <c r="AN62" s="101">
        <f>IFERROR(up_RadSpec!$H$27*($BA$27/$B62),".")</f>
        <v>567724291226.94055</v>
      </c>
      <c r="AO62" s="101">
        <f>IFERROR(up_RadSpec!$H$27*($BA$27/$B62),".")</f>
        <v>567724291226.94055</v>
      </c>
      <c r="AP62" s="101">
        <f>IFERROR(up_RadSpec!$H$27*($BA$27/$B62),".")</f>
        <v>567724291226.94055</v>
      </c>
      <c r="AQ62" s="101">
        <f>IFERROR(up_RadSpec!$H$27*($BA$27/$B62),".")</f>
        <v>567724291226.94055</v>
      </c>
      <c r="AR62" s="101">
        <f>IFERROR(up_RadSpec!$H$27*($BA$27/$B62),".")</f>
        <v>567724291226.94055</v>
      </c>
      <c r="AS62" s="101">
        <f>IFERROR(up_RadSpec!$H$27*($BA$27/$B62),".")</f>
        <v>567724291226.94055</v>
      </c>
      <c r="AT62" s="101">
        <f>IFERROR(up_RadSpec!$H$27*($BA$27/$B62),".")</f>
        <v>567724291226.94055</v>
      </c>
      <c r="AU62" s="101">
        <f>IFERROR(up_RadSpec!$H$27*($BA$27/$B62),".")</f>
        <v>567724291226.94055</v>
      </c>
      <c r="AV62" s="101">
        <f>IFERROR(up_RadSpec!$H$27*($BA$27/$B62),".")</f>
        <v>567724291226.94055</v>
      </c>
      <c r="AW62" s="101">
        <f>IFERROR(up_RadSpec!$H$27*($BA$27/$B62),".")</f>
        <v>567724291226.94055</v>
      </c>
      <c r="AX62" s="101">
        <f>IFERROR(up_RadSpec!$H$27*($BA$27/$B62),".")</f>
        <v>567724291226.94055</v>
      </c>
      <c r="AY62" s="101">
        <f>IFERROR(up_RadSpec!$H$27*($BA$27/$B62),".")</f>
        <v>567724291226.94055</v>
      </c>
      <c r="AZ62" s="101">
        <f>IFERROR(up_RadSpec!$H$27*($BA$27/$B62),".")</f>
        <v>567724291226.94055</v>
      </c>
      <c r="BA62" s="101">
        <f>IFERROR(up_RadSpec!$H$27*($BA$27/$B62),".")</f>
        <v>567724291226.94055</v>
      </c>
      <c r="BB62" s="101">
        <f>IFERROR(up_RadSpec!$H$27*($BB$27/$B62),".")</f>
        <v>567724291226.94055</v>
      </c>
      <c r="BC62" s="100">
        <f t="shared" ref="BC62" si="130">IFERROR($B62/BC27,0)</f>
        <v>81430.784316071789</v>
      </c>
      <c r="BD62" s="100">
        <f t="shared" ref="BD62:CB62" si="131">IFERROR($B62/BD27,0)</f>
        <v>20357.696079017947</v>
      </c>
      <c r="BE62" s="100">
        <f t="shared" si="131"/>
        <v>20357.696079017947</v>
      </c>
      <c r="BF62" s="100">
        <f t="shared" si="131"/>
        <v>20357.696079017947</v>
      </c>
      <c r="BG62" s="100">
        <f t="shared" si="131"/>
        <v>20357.696079017947</v>
      </c>
      <c r="BH62" s="100">
        <f t="shared" si="131"/>
        <v>20357.696079017947</v>
      </c>
      <c r="BI62" s="100">
        <f t="shared" si="131"/>
        <v>20357.696079017947</v>
      </c>
      <c r="BJ62" s="100">
        <f t="shared" si="131"/>
        <v>20357.696079017947</v>
      </c>
      <c r="BK62" s="100">
        <f t="shared" si="131"/>
        <v>20357.696079017947</v>
      </c>
      <c r="BL62" s="100">
        <f t="shared" si="131"/>
        <v>20357.696079017947</v>
      </c>
      <c r="BM62" s="100">
        <f t="shared" si="131"/>
        <v>20357.696079017947</v>
      </c>
      <c r="BN62" s="100">
        <f t="shared" si="131"/>
        <v>20357.696079017947</v>
      </c>
      <c r="BO62" s="100">
        <f t="shared" si="131"/>
        <v>20357.696079017947</v>
      </c>
      <c r="BP62" s="100">
        <f t="shared" si="131"/>
        <v>20357.696079017947</v>
      </c>
      <c r="BQ62" s="100">
        <f t="shared" si="131"/>
        <v>20357.696079017947</v>
      </c>
      <c r="BR62" s="100">
        <f t="shared" si="131"/>
        <v>20357.696079017947</v>
      </c>
      <c r="BS62" s="100">
        <f t="shared" si="131"/>
        <v>20357.696079017947</v>
      </c>
      <c r="BT62" s="100">
        <f t="shared" si="131"/>
        <v>20357.696079017947</v>
      </c>
      <c r="BU62" s="100">
        <f t="shared" si="131"/>
        <v>20357.696079017947</v>
      </c>
      <c r="BV62" s="100">
        <f t="shared" si="131"/>
        <v>20357.696079017947</v>
      </c>
      <c r="BW62" s="100">
        <f t="shared" si="131"/>
        <v>20357.696079017947</v>
      </c>
      <c r="BX62" s="100">
        <f t="shared" si="131"/>
        <v>20357.696079017947</v>
      </c>
      <c r="BY62" s="100">
        <f t="shared" si="131"/>
        <v>20357.696079017947</v>
      </c>
      <c r="BZ62" s="100">
        <f t="shared" si="131"/>
        <v>20357.696079017947</v>
      </c>
      <c r="CA62" s="100">
        <f t="shared" si="131"/>
        <v>20357.696079017947</v>
      </c>
      <c r="CB62" s="100">
        <f t="shared" si="131"/>
        <v>20357.696079017947</v>
      </c>
      <c r="CC62" s="49">
        <f t="shared" si="3"/>
        <v>2270897164907.7622</v>
      </c>
      <c r="CD62" s="101">
        <f>IFERROR(up_RadSpec!$H$27*($AD$27/$B62),".")</f>
        <v>567724291226.94055</v>
      </c>
      <c r="CE62" s="101">
        <f>IFERROR(up_RadSpec!$H$27*($AE$27/$B62),".")</f>
        <v>567724291226.94055</v>
      </c>
      <c r="CF62" s="101">
        <f>IFERROR(up_RadSpec!$H$27*($BA$27/$B62),".")</f>
        <v>567724291226.94055</v>
      </c>
      <c r="CG62" s="101">
        <f>IFERROR(up_RadSpec!$H$27*($BA$27/$B62),".")</f>
        <v>567724291226.94055</v>
      </c>
      <c r="CH62" s="101">
        <f>IFERROR(up_RadSpec!$H$27*($BA$27/$B62),".")</f>
        <v>567724291226.94055</v>
      </c>
      <c r="CI62" s="101">
        <f>IFERROR(up_RadSpec!$H$27*($BA$27/$B62),".")</f>
        <v>567724291226.94055</v>
      </c>
      <c r="CJ62" s="101">
        <f>IFERROR(up_RadSpec!$H$27*($BA$27/$B62),".")</f>
        <v>567724291226.94055</v>
      </c>
      <c r="CK62" s="101">
        <f>IFERROR(up_RadSpec!$H$27*($BA$27/$B62),".")</f>
        <v>567724291226.94055</v>
      </c>
      <c r="CL62" s="101">
        <f>IFERROR(up_RadSpec!$H$27*($BA$27/$B62),".")</f>
        <v>567724291226.94055</v>
      </c>
      <c r="CM62" s="101">
        <f>IFERROR(up_RadSpec!$H$27*($BA$27/$B62),".")</f>
        <v>567724291226.94055</v>
      </c>
      <c r="CN62" s="101">
        <f>IFERROR(up_RadSpec!$H$27*($BA$27/$B62),".")</f>
        <v>567724291226.94055</v>
      </c>
      <c r="CO62" s="101">
        <f>IFERROR(up_RadSpec!$H$27*($BA$27/$B62),".")</f>
        <v>567724291226.94055</v>
      </c>
      <c r="CP62" s="101">
        <f>IFERROR(up_RadSpec!$H$27*($BA$27/$B62),".")</f>
        <v>567724291226.94055</v>
      </c>
      <c r="CQ62" s="101">
        <f>IFERROR(up_RadSpec!$H$27*($BA$27/$B62),".")</f>
        <v>567724291226.94055</v>
      </c>
      <c r="CR62" s="101">
        <f>IFERROR(up_RadSpec!$H$27*($BA$27/$B62),".")</f>
        <v>567724291226.94055</v>
      </c>
      <c r="CS62" s="101">
        <f>IFERROR(up_RadSpec!$H$27*($BA$27/$B62),".")</f>
        <v>567724291226.94055</v>
      </c>
      <c r="CT62" s="101">
        <f>IFERROR(up_RadSpec!$H$27*($BA$27/$B62),".")</f>
        <v>567724291226.94055</v>
      </c>
      <c r="CU62" s="101">
        <f>IFERROR(up_RadSpec!$H$27*($BA$27/$B62),".")</f>
        <v>567724291226.94055</v>
      </c>
      <c r="CV62" s="101">
        <f>IFERROR(up_RadSpec!$H$27*($BA$27/$B62),".")</f>
        <v>567724291226.94055</v>
      </c>
      <c r="CW62" s="101">
        <f>IFERROR(up_RadSpec!$H$27*($BA$27/$B62),".")</f>
        <v>567724291226.94055</v>
      </c>
      <c r="CX62" s="101">
        <f>IFERROR(up_RadSpec!$H$27*($BA$27/$B62),".")</f>
        <v>567724291226.94055</v>
      </c>
      <c r="CY62" s="101">
        <f>IFERROR(up_RadSpec!$H$27*($BA$27/$B62),".")</f>
        <v>567724291226.94055</v>
      </c>
      <c r="CZ62" s="101">
        <f>IFERROR(up_RadSpec!$H$27*($BA$27/$B62),".")</f>
        <v>567724291226.94055</v>
      </c>
      <c r="DA62" s="101">
        <f>IFERROR(up_RadSpec!$H$27*($BA$27/$B62),".")</f>
        <v>567724291226.94055</v>
      </c>
      <c r="DB62" s="101">
        <f>IFERROR(up_RadSpec!$H$27*($BB$27/$B62),".")</f>
        <v>567724291226.94055</v>
      </c>
    </row>
    <row r="63" spans="1:106" s="42" customFormat="1" x14ac:dyDescent="0.25">
      <c r="A63" s="95" t="s">
        <v>35</v>
      </c>
      <c r="B63" s="95" t="s">
        <v>1071</v>
      </c>
      <c r="C63" s="96">
        <f t="shared" ref="C63" si="132">IFERROR(1/SUM(C64:C76),0)</f>
        <v>2.0554262493461482E-12</v>
      </c>
      <c r="D63" s="96">
        <f t="shared" ref="D63:AB63" si="133">IFERROR(1/SUM(D64:D76),0)</f>
        <v>8.2217049973845927E-12</v>
      </c>
      <c r="E63" s="96">
        <f t="shared" si="133"/>
        <v>8.2217049973845927E-12</v>
      </c>
      <c r="F63" s="96">
        <f t="shared" si="133"/>
        <v>8.2217049973845927E-12</v>
      </c>
      <c r="G63" s="96">
        <f t="shared" si="133"/>
        <v>8.2217049973845927E-12</v>
      </c>
      <c r="H63" s="96">
        <f t="shared" si="133"/>
        <v>8.2217049973845927E-12</v>
      </c>
      <c r="I63" s="96">
        <f t="shared" si="133"/>
        <v>8.2217049973845927E-12</v>
      </c>
      <c r="J63" s="96">
        <f t="shared" si="133"/>
        <v>8.2217049973845927E-12</v>
      </c>
      <c r="K63" s="96">
        <f t="shared" si="133"/>
        <v>8.2217049973845927E-12</v>
      </c>
      <c r="L63" s="96">
        <f t="shared" si="133"/>
        <v>8.2217049973845927E-12</v>
      </c>
      <c r="M63" s="96">
        <f t="shared" si="133"/>
        <v>8.2217049973845927E-12</v>
      </c>
      <c r="N63" s="96">
        <f t="shared" si="133"/>
        <v>8.2217049973845927E-12</v>
      </c>
      <c r="O63" s="96">
        <f t="shared" si="133"/>
        <v>8.2217049973845927E-12</v>
      </c>
      <c r="P63" s="96">
        <f t="shared" si="133"/>
        <v>8.2217049973845927E-12</v>
      </c>
      <c r="Q63" s="96">
        <f t="shared" si="133"/>
        <v>8.2217049973845927E-12</v>
      </c>
      <c r="R63" s="96">
        <f t="shared" si="133"/>
        <v>8.2217049973845927E-12</v>
      </c>
      <c r="S63" s="96">
        <f t="shared" si="133"/>
        <v>8.2217049973845927E-12</v>
      </c>
      <c r="T63" s="96">
        <f t="shared" si="133"/>
        <v>8.2217049973845927E-12</v>
      </c>
      <c r="U63" s="96">
        <f t="shared" si="133"/>
        <v>8.2217049973845927E-12</v>
      </c>
      <c r="V63" s="96">
        <f t="shared" si="133"/>
        <v>8.2217049973845927E-12</v>
      </c>
      <c r="W63" s="96">
        <f t="shared" si="133"/>
        <v>8.2217049973845927E-12</v>
      </c>
      <c r="X63" s="96">
        <f t="shared" si="133"/>
        <v>8.2217049973845927E-12</v>
      </c>
      <c r="Y63" s="96">
        <f t="shared" si="133"/>
        <v>8.2217049973845927E-12</v>
      </c>
      <c r="Z63" s="96">
        <f t="shared" si="133"/>
        <v>8.2217049973845927E-12</v>
      </c>
      <c r="AA63" s="96">
        <f t="shared" si="133"/>
        <v>8.2217049973845927E-12</v>
      </c>
      <c r="AB63" s="96">
        <f t="shared" si="133"/>
        <v>8.2217049973845927E-12</v>
      </c>
      <c r="AC63" s="47">
        <f t="shared" si="1"/>
        <v>4</v>
      </c>
      <c r="AD63" s="97">
        <f>IFERROR(IF(SUM(AD64:AD76)&gt;0.01,1-EXP(-(SUM(AD64:AD76))),SUM(AD64:AD76)),".")</f>
        <v>1</v>
      </c>
      <c r="AE63" s="97">
        <f>IFERROR(IF(SUM(AE64:AE76)&gt;0.01,1-EXP(-(SUM(AE64:AE76))),SUM(AE64:AE76)),".")</f>
        <v>1</v>
      </c>
      <c r="AF63" s="97">
        <f t="shared" ref="AF63:AZ63" si="134">IFERROR(IF(SUM(AF64:AF76)&gt;0.01,1-EXP(-(SUM(AF64:AF76))),SUM(AF64:AF76)),".")</f>
        <v>1</v>
      </c>
      <c r="AG63" s="97">
        <f t="shared" si="134"/>
        <v>1</v>
      </c>
      <c r="AH63" s="97">
        <f t="shared" si="134"/>
        <v>1</v>
      </c>
      <c r="AI63" s="97">
        <f t="shared" si="134"/>
        <v>1</v>
      </c>
      <c r="AJ63" s="97">
        <f t="shared" si="134"/>
        <v>1</v>
      </c>
      <c r="AK63" s="97">
        <f t="shared" si="134"/>
        <v>1</v>
      </c>
      <c r="AL63" s="97">
        <f t="shared" si="134"/>
        <v>1</v>
      </c>
      <c r="AM63" s="97">
        <f t="shared" si="134"/>
        <v>1</v>
      </c>
      <c r="AN63" s="97">
        <f t="shared" si="134"/>
        <v>1</v>
      </c>
      <c r="AO63" s="97">
        <f t="shared" si="134"/>
        <v>1</v>
      </c>
      <c r="AP63" s="97">
        <f t="shared" si="134"/>
        <v>1</v>
      </c>
      <c r="AQ63" s="97">
        <f t="shared" si="134"/>
        <v>1</v>
      </c>
      <c r="AR63" s="97">
        <f t="shared" si="134"/>
        <v>1</v>
      </c>
      <c r="AS63" s="97">
        <f t="shared" si="134"/>
        <v>1</v>
      </c>
      <c r="AT63" s="97">
        <f t="shared" si="134"/>
        <v>1</v>
      </c>
      <c r="AU63" s="97">
        <f t="shared" si="134"/>
        <v>1</v>
      </c>
      <c r="AV63" s="97">
        <f t="shared" si="134"/>
        <v>1</v>
      </c>
      <c r="AW63" s="97">
        <f t="shared" si="134"/>
        <v>1</v>
      </c>
      <c r="AX63" s="97">
        <f t="shared" si="134"/>
        <v>1</v>
      </c>
      <c r="AY63" s="97">
        <f t="shared" si="134"/>
        <v>1</v>
      </c>
      <c r="AZ63" s="97">
        <f t="shared" si="134"/>
        <v>1</v>
      </c>
      <c r="BA63" s="97">
        <f>IFERROR(IF(SUM(BA64:BA76)&gt;0.01,1-EXP(-(SUM(BA64:BA76))),SUM(BA64:BA76)),".")</f>
        <v>1</v>
      </c>
      <c r="BB63" s="97">
        <f>IFERROR(IF(SUM(BB64:BB76)&gt;0.01,1-EXP(-(SUM(BB64:BB76))),SUM(BB64:BB76)),".")</f>
        <v>1</v>
      </c>
      <c r="BC63" s="98">
        <f t="shared" ref="BC63" si="135">IFERROR(1/SUM(BC64:BC76),0)</f>
        <v>2.0554262493461482E-12</v>
      </c>
      <c r="BD63" s="98">
        <f t="shared" ref="BD63:CB63" si="136">IFERROR(1/SUM(BD64:BD76),0)</f>
        <v>8.2217049973845927E-12</v>
      </c>
      <c r="BE63" s="98">
        <f t="shared" si="136"/>
        <v>8.2217049973845927E-12</v>
      </c>
      <c r="BF63" s="98">
        <f t="shared" si="136"/>
        <v>8.2217049973845927E-12</v>
      </c>
      <c r="BG63" s="98">
        <f t="shared" si="136"/>
        <v>8.2217049973845927E-12</v>
      </c>
      <c r="BH63" s="98">
        <f t="shared" si="136"/>
        <v>8.2217049973845927E-12</v>
      </c>
      <c r="BI63" s="98">
        <f t="shared" si="136"/>
        <v>8.2217049973845927E-12</v>
      </c>
      <c r="BJ63" s="98">
        <f t="shared" si="136"/>
        <v>8.2217049973845927E-12</v>
      </c>
      <c r="BK63" s="98">
        <f t="shared" si="136"/>
        <v>8.2217049973845927E-12</v>
      </c>
      <c r="BL63" s="98">
        <f t="shared" si="136"/>
        <v>8.2217049973845927E-12</v>
      </c>
      <c r="BM63" s="98">
        <f t="shared" si="136"/>
        <v>8.2217049973845927E-12</v>
      </c>
      <c r="BN63" s="98">
        <f t="shared" si="136"/>
        <v>8.2217049973845927E-12</v>
      </c>
      <c r="BO63" s="98">
        <f t="shared" si="136"/>
        <v>8.2217049973845927E-12</v>
      </c>
      <c r="BP63" s="98">
        <f t="shared" si="136"/>
        <v>8.2217049973845927E-12</v>
      </c>
      <c r="BQ63" s="98">
        <f t="shared" si="136"/>
        <v>8.2217049973845927E-12</v>
      </c>
      <c r="BR63" s="98">
        <f t="shared" si="136"/>
        <v>8.2217049973845927E-12</v>
      </c>
      <c r="BS63" s="98">
        <f t="shared" si="136"/>
        <v>8.2217049973845927E-12</v>
      </c>
      <c r="BT63" s="98">
        <f t="shared" si="136"/>
        <v>8.2217049973845927E-12</v>
      </c>
      <c r="BU63" s="98">
        <f t="shared" si="136"/>
        <v>8.2217049973845927E-12</v>
      </c>
      <c r="BV63" s="98">
        <f t="shared" si="136"/>
        <v>8.2217049973845927E-12</v>
      </c>
      <c r="BW63" s="98">
        <f t="shared" si="136"/>
        <v>8.2217049973845927E-12</v>
      </c>
      <c r="BX63" s="98">
        <f t="shared" si="136"/>
        <v>8.2217049973845927E-12</v>
      </c>
      <c r="BY63" s="98">
        <f t="shared" si="136"/>
        <v>8.2217049973845927E-12</v>
      </c>
      <c r="BZ63" s="98">
        <f t="shared" si="136"/>
        <v>8.2217049973845927E-12</v>
      </c>
      <c r="CA63" s="98">
        <f t="shared" si="136"/>
        <v>8.2217049973845927E-12</v>
      </c>
      <c r="CB63" s="98">
        <f t="shared" si="136"/>
        <v>8.2217049973845927E-12</v>
      </c>
      <c r="CC63" s="47">
        <f t="shared" si="3"/>
        <v>4</v>
      </c>
      <c r="CD63" s="97">
        <f>IFERROR(IF(SUM(CD64:CD76)&gt;0.01,1-EXP(-(SUM(CD64:CD76))),SUM(CD64:CD76)),".")</f>
        <v>1</v>
      </c>
      <c r="CE63" s="97">
        <f>IFERROR(IF(SUM(CE64:CE76)&gt;0.01,1-EXP(-(SUM(CE64:CE76))),SUM(CE64:CE76)),".")</f>
        <v>1</v>
      </c>
      <c r="CF63" s="97">
        <f t="shared" ref="CF63:CZ63" si="137">IFERROR(IF(SUM(CF64:CF76)&gt;0.01,1-EXP(-(SUM(CF64:CF76))),SUM(CF64:CF76)),".")</f>
        <v>1</v>
      </c>
      <c r="CG63" s="97">
        <f t="shared" si="137"/>
        <v>1</v>
      </c>
      <c r="CH63" s="97">
        <f t="shared" si="137"/>
        <v>1</v>
      </c>
      <c r="CI63" s="97">
        <f t="shared" si="137"/>
        <v>1</v>
      </c>
      <c r="CJ63" s="97">
        <f t="shared" si="137"/>
        <v>1</v>
      </c>
      <c r="CK63" s="97">
        <f t="shared" si="137"/>
        <v>1</v>
      </c>
      <c r="CL63" s="97">
        <f t="shared" si="137"/>
        <v>1</v>
      </c>
      <c r="CM63" s="97">
        <f t="shared" si="137"/>
        <v>1</v>
      </c>
      <c r="CN63" s="97">
        <f t="shared" si="137"/>
        <v>1</v>
      </c>
      <c r="CO63" s="97">
        <f t="shared" si="137"/>
        <v>1</v>
      </c>
      <c r="CP63" s="97">
        <f t="shared" si="137"/>
        <v>1</v>
      </c>
      <c r="CQ63" s="97">
        <f t="shared" si="137"/>
        <v>1</v>
      </c>
      <c r="CR63" s="97">
        <f t="shared" si="137"/>
        <v>1</v>
      </c>
      <c r="CS63" s="97">
        <f t="shared" si="137"/>
        <v>1</v>
      </c>
      <c r="CT63" s="97">
        <f t="shared" si="137"/>
        <v>1</v>
      </c>
      <c r="CU63" s="97">
        <f t="shared" si="137"/>
        <v>1</v>
      </c>
      <c r="CV63" s="97">
        <f t="shared" si="137"/>
        <v>1</v>
      </c>
      <c r="CW63" s="97">
        <f t="shared" si="137"/>
        <v>1</v>
      </c>
      <c r="CX63" s="97">
        <f t="shared" si="137"/>
        <v>1</v>
      </c>
      <c r="CY63" s="97">
        <f t="shared" si="137"/>
        <v>1</v>
      </c>
      <c r="CZ63" s="97">
        <f t="shared" si="137"/>
        <v>1</v>
      </c>
      <c r="DA63" s="97">
        <f>IFERROR(IF(SUM(DA64:DA76)&gt;0.01,1-EXP(-(SUM(DA64:DA76))),SUM(DA64:DA76)),".")</f>
        <v>1</v>
      </c>
      <c r="DB63" s="97">
        <f>IFERROR(IF(SUM(DB64:DB76)&gt;0.01,1-EXP(-(SUM(DB64:DB76))),SUM(DB64:DB76)),".")</f>
        <v>1</v>
      </c>
    </row>
    <row r="64" spans="1:106" s="42" customFormat="1" x14ac:dyDescent="0.25">
      <c r="A64" s="99" t="s">
        <v>1087</v>
      </c>
      <c r="B64" s="90">
        <v>1</v>
      </c>
      <c r="C64" s="100">
        <f t="shared" ref="C64" si="138">IFERROR($B64/C25,0)</f>
        <v>60814626076.229866</v>
      </c>
      <c r="D64" s="100">
        <f t="shared" ref="D64:AB64" si="139">IFERROR($B64/D25,0)</f>
        <v>15203656519.057467</v>
      </c>
      <c r="E64" s="100">
        <f t="shared" si="139"/>
        <v>15203656519.057467</v>
      </c>
      <c r="F64" s="100">
        <f t="shared" si="139"/>
        <v>15203656519.057467</v>
      </c>
      <c r="G64" s="100">
        <f t="shared" si="139"/>
        <v>15203656519.057467</v>
      </c>
      <c r="H64" s="100">
        <f t="shared" si="139"/>
        <v>15203656519.057467</v>
      </c>
      <c r="I64" s="100">
        <f t="shared" si="139"/>
        <v>15203656519.057467</v>
      </c>
      <c r="J64" s="100">
        <f t="shared" si="139"/>
        <v>15203656519.057467</v>
      </c>
      <c r="K64" s="100">
        <f t="shared" si="139"/>
        <v>15203656519.057467</v>
      </c>
      <c r="L64" s="100">
        <f t="shared" si="139"/>
        <v>15203656519.057467</v>
      </c>
      <c r="M64" s="100">
        <f t="shared" si="139"/>
        <v>15203656519.057467</v>
      </c>
      <c r="N64" s="100">
        <f t="shared" si="139"/>
        <v>15203656519.057467</v>
      </c>
      <c r="O64" s="100">
        <f t="shared" si="139"/>
        <v>15203656519.057467</v>
      </c>
      <c r="P64" s="100">
        <f t="shared" si="139"/>
        <v>15203656519.057467</v>
      </c>
      <c r="Q64" s="100">
        <f t="shared" si="139"/>
        <v>15203656519.057467</v>
      </c>
      <c r="R64" s="100">
        <f t="shared" si="139"/>
        <v>15203656519.057467</v>
      </c>
      <c r="S64" s="100">
        <f t="shared" si="139"/>
        <v>15203656519.057467</v>
      </c>
      <c r="T64" s="100">
        <f t="shared" si="139"/>
        <v>15203656519.057467</v>
      </c>
      <c r="U64" s="100">
        <f t="shared" si="139"/>
        <v>15203656519.057467</v>
      </c>
      <c r="V64" s="100">
        <f t="shared" si="139"/>
        <v>15203656519.057467</v>
      </c>
      <c r="W64" s="100">
        <f t="shared" si="139"/>
        <v>15203656519.057467</v>
      </c>
      <c r="X64" s="100">
        <f t="shared" si="139"/>
        <v>15203656519.057467</v>
      </c>
      <c r="Y64" s="100">
        <f t="shared" si="139"/>
        <v>15203656519.057467</v>
      </c>
      <c r="Z64" s="100">
        <f t="shared" si="139"/>
        <v>15203656519.057467</v>
      </c>
      <c r="AA64" s="100">
        <f t="shared" si="139"/>
        <v>15203656519.057467</v>
      </c>
      <c r="AB64" s="100">
        <f t="shared" si="139"/>
        <v>15203656519.057467</v>
      </c>
      <c r="AC64" s="49">
        <f t="shared" si="1"/>
        <v>3040731.3038114933</v>
      </c>
      <c r="AD64" s="101">
        <f>IFERROR(up_RadSpec!$H$25*($AD$25/$B64),".")</f>
        <v>760182.82595287333</v>
      </c>
      <c r="AE64" s="101">
        <f>IFERROR(up_RadSpec!$H$25*($AE$25/$B64),".")</f>
        <v>760182.82595287333</v>
      </c>
      <c r="AF64" s="101">
        <f>IFERROR(up_RadSpec!$H$25*($BA$25/$B64),".")</f>
        <v>760182.82595287333</v>
      </c>
      <c r="AG64" s="101">
        <f>IFERROR(up_RadSpec!$H$25*($BA$25/$B64),".")</f>
        <v>760182.82595287333</v>
      </c>
      <c r="AH64" s="101">
        <f>IFERROR(up_RadSpec!$H$25*($BA$25/$B64),".")</f>
        <v>760182.82595287333</v>
      </c>
      <c r="AI64" s="101">
        <f>IFERROR(up_RadSpec!$H$25*($BA$25/$B64),".")</f>
        <v>760182.82595287333</v>
      </c>
      <c r="AJ64" s="101">
        <f>IFERROR(up_RadSpec!$H$25*($BA$25/$B64),".")</f>
        <v>760182.82595287333</v>
      </c>
      <c r="AK64" s="101">
        <f>IFERROR(up_RadSpec!$H$25*($BA$25/$B64),".")</f>
        <v>760182.82595287333</v>
      </c>
      <c r="AL64" s="101">
        <f>IFERROR(up_RadSpec!$H$25*($BA$25/$B64),".")</f>
        <v>760182.82595287333</v>
      </c>
      <c r="AM64" s="101">
        <f>IFERROR(up_RadSpec!$H$25*($BA$25/$B64),".")</f>
        <v>760182.82595287333</v>
      </c>
      <c r="AN64" s="101">
        <f>IFERROR(up_RadSpec!$H$25*($BA$25/$B64),".")</f>
        <v>760182.82595287333</v>
      </c>
      <c r="AO64" s="101">
        <f>IFERROR(up_RadSpec!$H$25*($BA$25/$B64),".")</f>
        <v>760182.82595287333</v>
      </c>
      <c r="AP64" s="101">
        <f>IFERROR(up_RadSpec!$H$25*($BA$25/$B64),".")</f>
        <v>760182.82595287333</v>
      </c>
      <c r="AQ64" s="101">
        <f>IFERROR(up_RadSpec!$H$25*($BA$25/$B64),".")</f>
        <v>760182.82595287333</v>
      </c>
      <c r="AR64" s="101">
        <f>IFERROR(up_RadSpec!$H$25*($BA$25/$B64),".")</f>
        <v>760182.82595287333</v>
      </c>
      <c r="AS64" s="101">
        <f>IFERROR(up_RadSpec!$H$25*($BA$25/$B64),".")</f>
        <v>760182.82595287333</v>
      </c>
      <c r="AT64" s="101">
        <f>IFERROR(up_RadSpec!$H$25*($BA$25/$B64),".")</f>
        <v>760182.82595287333</v>
      </c>
      <c r="AU64" s="101">
        <f>IFERROR(up_RadSpec!$H$25*($BA$25/$B64),".")</f>
        <v>760182.82595287333</v>
      </c>
      <c r="AV64" s="101">
        <f>IFERROR(up_RadSpec!$H$25*($BA$25/$B64),".")</f>
        <v>760182.82595287333</v>
      </c>
      <c r="AW64" s="101">
        <f>IFERROR(up_RadSpec!$H$25*($BA$25/$B64),".")</f>
        <v>760182.82595287333</v>
      </c>
      <c r="AX64" s="101">
        <f>IFERROR(up_RadSpec!$H$25*($BA$25/$B64),".")</f>
        <v>760182.82595287333</v>
      </c>
      <c r="AY64" s="101">
        <f>IFERROR(up_RadSpec!$H$25*($BA$25/$B64),".")</f>
        <v>760182.82595287333</v>
      </c>
      <c r="AZ64" s="101">
        <f>IFERROR(up_RadSpec!$H$25*($BA$25/$B64),".")</f>
        <v>760182.82595287333</v>
      </c>
      <c r="BA64" s="101">
        <f>IFERROR(up_RadSpec!$H$25*($BA$25/$B64),".")</f>
        <v>760182.82595287333</v>
      </c>
      <c r="BB64" s="101">
        <f>IFERROR(up_RadSpec!$H$25*($BB$25/$B64),".")</f>
        <v>760182.82595287333</v>
      </c>
      <c r="BC64" s="100">
        <f t="shared" ref="BC64" si="140">IFERROR($B64/BC25,0)</f>
        <v>60814626076.229866</v>
      </c>
      <c r="BD64" s="100">
        <f t="shared" ref="BD64:CB64" si="141">IFERROR($B64/BD25,0)</f>
        <v>15203656519.057467</v>
      </c>
      <c r="BE64" s="100">
        <f t="shared" si="141"/>
        <v>15203656519.057467</v>
      </c>
      <c r="BF64" s="100">
        <f t="shared" si="141"/>
        <v>15203656519.057467</v>
      </c>
      <c r="BG64" s="100">
        <f t="shared" si="141"/>
        <v>15203656519.057467</v>
      </c>
      <c r="BH64" s="100">
        <f t="shared" si="141"/>
        <v>15203656519.057467</v>
      </c>
      <c r="BI64" s="100">
        <f t="shared" si="141"/>
        <v>15203656519.057467</v>
      </c>
      <c r="BJ64" s="100">
        <f t="shared" si="141"/>
        <v>15203656519.057467</v>
      </c>
      <c r="BK64" s="100">
        <f t="shared" si="141"/>
        <v>15203656519.057467</v>
      </c>
      <c r="BL64" s="100">
        <f t="shared" si="141"/>
        <v>15203656519.057467</v>
      </c>
      <c r="BM64" s="100">
        <f t="shared" si="141"/>
        <v>15203656519.057467</v>
      </c>
      <c r="BN64" s="100">
        <f t="shared" si="141"/>
        <v>15203656519.057467</v>
      </c>
      <c r="BO64" s="100">
        <f t="shared" si="141"/>
        <v>15203656519.057467</v>
      </c>
      <c r="BP64" s="100">
        <f t="shared" si="141"/>
        <v>15203656519.057467</v>
      </c>
      <c r="BQ64" s="100">
        <f t="shared" si="141"/>
        <v>15203656519.057467</v>
      </c>
      <c r="BR64" s="100">
        <f t="shared" si="141"/>
        <v>15203656519.057467</v>
      </c>
      <c r="BS64" s="100">
        <f t="shared" si="141"/>
        <v>15203656519.057467</v>
      </c>
      <c r="BT64" s="100">
        <f t="shared" si="141"/>
        <v>15203656519.057467</v>
      </c>
      <c r="BU64" s="100">
        <f t="shared" si="141"/>
        <v>15203656519.057467</v>
      </c>
      <c r="BV64" s="100">
        <f t="shared" si="141"/>
        <v>15203656519.057467</v>
      </c>
      <c r="BW64" s="100">
        <f t="shared" si="141"/>
        <v>15203656519.057467</v>
      </c>
      <c r="BX64" s="100">
        <f t="shared" si="141"/>
        <v>15203656519.057467</v>
      </c>
      <c r="BY64" s="100">
        <f t="shared" si="141"/>
        <v>15203656519.057467</v>
      </c>
      <c r="BZ64" s="100">
        <f t="shared" si="141"/>
        <v>15203656519.057467</v>
      </c>
      <c r="CA64" s="100">
        <f t="shared" si="141"/>
        <v>15203656519.057467</v>
      </c>
      <c r="CB64" s="100">
        <f t="shared" si="141"/>
        <v>15203656519.057467</v>
      </c>
      <c r="CC64" s="49">
        <f t="shared" si="3"/>
        <v>3040731.3038114933</v>
      </c>
      <c r="CD64" s="101">
        <f>IFERROR(up_RadSpec!$H$25*($AD$25/$B64),".")</f>
        <v>760182.82595287333</v>
      </c>
      <c r="CE64" s="101">
        <f>IFERROR(up_RadSpec!$H$25*($AE$25/$B64),".")</f>
        <v>760182.82595287333</v>
      </c>
      <c r="CF64" s="101">
        <f>IFERROR(up_RadSpec!$H$25*($BA$25/$B64),".")</f>
        <v>760182.82595287333</v>
      </c>
      <c r="CG64" s="101">
        <f>IFERROR(up_RadSpec!$H$25*($BA$25/$B64),".")</f>
        <v>760182.82595287333</v>
      </c>
      <c r="CH64" s="101">
        <f>IFERROR(up_RadSpec!$H$25*($BA$25/$B64),".")</f>
        <v>760182.82595287333</v>
      </c>
      <c r="CI64" s="101">
        <f>IFERROR(up_RadSpec!$H$25*($BA$25/$B64),".")</f>
        <v>760182.82595287333</v>
      </c>
      <c r="CJ64" s="101">
        <f>IFERROR(up_RadSpec!$H$25*($BA$25/$B64),".")</f>
        <v>760182.82595287333</v>
      </c>
      <c r="CK64" s="101">
        <f>IFERROR(up_RadSpec!$H$25*($BA$25/$B64),".")</f>
        <v>760182.82595287333</v>
      </c>
      <c r="CL64" s="101">
        <f>IFERROR(up_RadSpec!$H$25*($BA$25/$B64),".")</f>
        <v>760182.82595287333</v>
      </c>
      <c r="CM64" s="101">
        <f>IFERROR(up_RadSpec!$H$25*($BA$25/$B64),".")</f>
        <v>760182.82595287333</v>
      </c>
      <c r="CN64" s="101">
        <f>IFERROR(up_RadSpec!$H$25*($BA$25/$B64),".")</f>
        <v>760182.82595287333</v>
      </c>
      <c r="CO64" s="101">
        <f>IFERROR(up_RadSpec!$H$25*($BA$25/$B64),".")</f>
        <v>760182.82595287333</v>
      </c>
      <c r="CP64" s="101">
        <f>IFERROR(up_RadSpec!$H$25*($BA$25/$B64),".")</f>
        <v>760182.82595287333</v>
      </c>
      <c r="CQ64" s="101">
        <f>IFERROR(up_RadSpec!$H$25*($BA$25/$B64),".")</f>
        <v>760182.82595287333</v>
      </c>
      <c r="CR64" s="101">
        <f>IFERROR(up_RadSpec!$H$25*($BA$25/$B64),".")</f>
        <v>760182.82595287333</v>
      </c>
      <c r="CS64" s="101">
        <f>IFERROR(up_RadSpec!$H$25*($BA$25/$B64),".")</f>
        <v>760182.82595287333</v>
      </c>
      <c r="CT64" s="101">
        <f>IFERROR(up_RadSpec!$H$25*($BA$25/$B64),".")</f>
        <v>760182.82595287333</v>
      </c>
      <c r="CU64" s="101">
        <f>IFERROR(up_RadSpec!$H$25*($BA$25/$B64),".")</f>
        <v>760182.82595287333</v>
      </c>
      <c r="CV64" s="101">
        <f>IFERROR(up_RadSpec!$H$25*($BA$25/$B64),".")</f>
        <v>760182.82595287333</v>
      </c>
      <c r="CW64" s="101">
        <f>IFERROR(up_RadSpec!$H$25*($BA$25/$B64),".")</f>
        <v>760182.82595287333</v>
      </c>
      <c r="CX64" s="101">
        <f>IFERROR(up_RadSpec!$H$25*($BA$25/$B64),".")</f>
        <v>760182.82595287333</v>
      </c>
      <c r="CY64" s="101">
        <f>IFERROR(up_RadSpec!$H$25*($BA$25/$B64),".")</f>
        <v>760182.82595287333</v>
      </c>
      <c r="CZ64" s="101">
        <f>IFERROR(up_RadSpec!$H$25*($BA$25/$B64),".")</f>
        <v>760182.82595287333</v>
      </c>
      <c r="DA64" s="101">
        <f>IFERROR(up_RadSpec!$H$25*($BA$25/$B64),".")</f>
        <v>760182.82595287333</v>
      </c>
      <c r="DB64" s="101">
        <f>IFERROR(up_RadSpec!$H$25*($BB$25/$B64),".")</f>
        <v>760182.82595287333</v>
      </c>
    </row>
    <row r="65" spans="1:106" s="42" customFormat="1" x14ac:dyDescent="0.25">
      <c r="A65" s="99" t="s">
        <v>1073</v>
      </c>
      <c r="B65" s="90">
        <v>1</v>
      </c>
      <c r="C65" s="100">
        <f t="shared" ref="C65" si="142">IFERROR($B65/C21,0)</f>
        <v>60814626076.229866</v>
      </c>
      <c r="D65" s="100">
        <f t="shared" ref="D65:AB65" si="143">IFERROR($B65/D21,0)</f>
        <v>15203656519.057467</v>
      </c>
      <c r="E65" s="100">
        <f t="shared" si="143"/>
        <v>15203656519.057467</v>
      </c>
      <c r="F65" s="100">
        <f t="shared" si="143"/>
        <v>15203656519.057467</v>
      </c>
      <c r="G65" s="100">
        <f t="shared" si="143"/>
        <v>15203656519.057467</v>
      </c>
      <c r="H65" s="100">
        <f t="shared" si="143"/>
        <v>15203656519.057467</v>
      </c>
      <c r="I65" s="100">
        <f t="shared" si="143"/>
        <v>15203656519.057467</v>
      </c>
      <c r="J65" s="100">
        <f t="shared" si="143"/>
        <v>15203656519.057467</v>
      </c>
      <c r="K65" s="100">
        <f t="shared" si="143"/>
        <v>15203656519.057467</v>
      </c>
      <c r="L65" s="100">
        <f t="shared" si="143"/>
        <v>15203656519.057467</v>
      </c>
      <c r="M65" s="100">
        <f t="shared" si="143"/>
        <v>15203656519.057467</v>
      </c>
      <c r="N65" s="100">
        <f t="shared" si="143"/>
        <v>15203656519.057467</v>
      </c>
      <c r="O65" s="100">
        <f t="shared" si="143"/>
        <v>15203656519.057467</v>
      </c>
      <c r="P65" s="100">
        <f t="shared" si="143"/>
        <v>15203656519.057467</v>
      </c>
      <c r="Q65" s="100">
        <f t="shared" si="143"/>
        <v>15203656519.057467</v>
      </c>
      <c r="R65" s="100">
        <f t="shared" si="143"/>
        <v>15203656519.057467</v>
      </c>
      <c r="S65" s="100">
        <f t="shared" si="143"/>
        <v>15203656519.057467</v>
      </c>
      <c r="T65" s="100">
        <f t="shared" si="143"/>
        <v>15203656519.057467</v>
      </c>
      <c r="U65" s="100">
        <f t="shared" si="143"/>
        <v>15203656519.057467</v>
      </c>
      <c r="V65" s="100">
        <f t="shared" si="143"/>
        <v>15203656519.057467</v>
      </c>
      <c r="W65" s="100">
        <f t="shared" si="143"/>
        <v>15203656519.057467</v>
      </c>
      <c r="X65" s="100">
        <f t="shared" si="143"/>
        <v>15203656519.057467</v>
      </c>
      <c r="Y65" s="100">
        <f t="shared" si="143"/>
        <v>15203656519.057467</v>
      </c>
      <c r="Z65" s="100">
        <f t="shared" si="143"/>
        <v>15203656519.057467</v>
      </c>
      <c r="AA65" s="100">
        <f t="shared" si="143"/>
        <v>15203656519.057467</v>
      </c>
      <c r="AB65" s="100">
        <f t="shared" si="143"/>
        <v>15203656519.057467</v>
      </c>
      <c r="AC65" s="49">
        <f t="shared" si="1"/>
        <v>3040731.3038114933</v>
      </c>
      <c r="AD65" s="101">
        <f>IFERROR(up_RadSpec!$H$21*($AD$21/$B65),".")</f>
        <v>760182.82595287333</v>
      </c>
      <c r="AE65" s="101">
        <f>IFERROR(up_RadSpec!$H$21*($AE$21/$B65),".")</f>
        <v>760182.82595287333</v>
      </c>
      <c r="AF65" s="101">
        <f>IFERROR(up_RadSpec!$H$21*($BA$21/$B65),".")</f>
        <v>760182.82595287333</v>
      </c>
      <c r="AG65" s="101">
        <f>IFERROR(up_RadSpec!$H$21*($BA$21/$B65),".")</f>
        <v>760182.82595287333</v>
      </c>
      <c r="AH65" s="101">
        <f>IFERROR(up_RadSpec!$H$21*($BA$21/$B65),".")</f>
        <v>760182.82595287333</v>
      </c>
      <c r="AI65" s="101">
        <f>IFERROR(up_RadSpec!$H$21*($BA$21/$B65),".")</f>
        <v>760182.82595287333</v>
      </c>
      <c r="AJ65" s="101">
        <f>IFERROR(up_RadSpec!$H$21*($BA$21/$B65),".")</f>
        <v>760182.82595287333</v>
      </c>
      <c r="AK65" s="101">
        <f>IFERROR(up_RadSpec!$H$21*($BA$21/$B65),".")</f>
        <v>760182.82595287333</v>
      </c>
      <c r="AL65" s="101">
        <f>IFERROR(up_RadSpec!$H$21*($BA$21/$B65),".")</f>
        <v>760182.82595287333</v>
      </c>
      <c r="AM65" s="101">
        <f>IFERROR(up_RadSpec!$H$21*($BA$21/$B65),".")</f>
        <v>760182.82595287333</v>
      </c>
      <c r="AN65" s="101">
        <f>IFERROR(up_RadSpec!$H$21*($BA$21/$B65),".")</f>
        <v>760182.82595287333</v>
      </c>
      <c r="AO65" s="101">
        <f>IFERROR(up_RadSpec!$H$21*($BA$21/$B65),".")</f>
        <v>760182.82595287333</v>
      </c>
      <c r="AP65" s="101">
        <f>IFERROR(up_RadSpec!$H$21*($BA$21/$B65),".")</f>
        <v>760182.82595287333</v>
      </c>
      <c r="AQ65" s="101">
        <f>IFERROR(up_RadSpec!$H$21*($BA$21/$B65),".")</f>
        <v>760182.82595287333</v>
      </c>
      <c r="AR65" s="101">
        <f>IFERROR(up_RadSpec!$H$21*($BA$21/$B65),".")</f>
        <v>760182.82595287333</v>
      </c>
      <c r="AS65" s="101">
        <f>IFERROR(up_RadSpec!$H$21*($BA$21/$B65),".")</f>
        <v>760182.82595287333</v>
      </c>
      <c r="AT65" s="101">
        <f>IFERROR(up_RadSpec!$H$21*($BA$21/$B65),".")</f>
        <v>760182.82595287333</v>
      </c>
      <c r="AU65" s="101">
        <f>IFERROR(up_RadSpec!$H$21*($BA$21/$B65),".")</f>
        <v>760182.82595287333</v>
      </c>
      <c r="AV65" s="101">
        <f>IFERROR(up_RadSpec!$H$21*($BA$21/$B65),".")</f>
        <v>760182.82595287333</v>
      </c>
      <c r="AW65" s="101">
        <f>IFERROR(up_RadSpec!$H$21*($BA$21/$B65),".")</f>
        <v>760182.82595287333</v>
      </c>
      <c r="AX65" s="101">
        <f>IFERROR(up_RadSpec!$H$21*($BA$21/$B65),".")</f>
        <v>760182.82595287333</v>
      </c>
      <c r="AY65" s="101">
        <f>IFERROR(up_RadSpec!$H$21*($BA$21/$B65),".")</f>
        <v>760182.82595287333</v>
      </c>
      <c r="AZ65" s="101">
        <f>IFERROR(up_RadSpec!$H$21*($BA$21/$B65),".")</f>
        <v>760182.82595287333</v>
      </c>
      <c r="BA65" s="101">
        <f>IFERROR(up_RadSpec!$H$21*($BA$21/$B65),".")</f>
        <v>760182.82595287333</v>
      </c>
      <c r="BB65" s="101">
        <f>IFERROR(up_RadSpec!$H$21*($BB$21/$B65),".")</f>
        <v>760182.82595287333</v>
      </c>
      <c r="BC65" s="100">
        <f t="shared" ref="BC65" si="144">IFERROR($B65/BC21,0)</f>
        <v>60814626076.229866</v>
      </c>
      <c r="BD65" s="100">
        <f t="shared" ref="BD65:CB65" si="145">IFERROR($B65/BD21,0)</f>
        <v>15203656519.057467</v>
      </c>
      <c r="BE65" s="100">
        <f t="shared" si="145"/>
        <v>15203656519.057467</v>
      </c>
      <c r="BF65" s="100">
        <f t="shared" si="145"/>
        <v>15203656519.057467</v>
      </c>
      <c r="BG65" s="100">
        <f t="shared" si="145"/>
        <v>15203656519.057467</v>
      </c>
      <c r="BH65" s="100">
        <f t="shared" si="145"/>
        <v>15203656519.057467</v>
      </c>
      <c r="BI65" s="100">
        <f t="shared" si="145"/>
        <v>15203656519.057467</v>
      </c>
      <c r="BJ65" s="100">
        <f t="shared" si="145"/>
        <v>15203656519.057467</v>
      </c>
      <c r="BK65" s="100">
        <f t="shared" si="145"/>
        <v>15203656519.057467</v>
      </c>
      <c r="BL65" s="100">
        <f t="shared" si="145"/>
        <v>15203656519.057467</v>
      </c>
      <c r="BM65" s="100">
        <f t="shared" si="145"/>
        <v>15203656519.057467</v>
      </c>
      <c r="BN65" s="100">
        <f t="shared" si="145"/>
        <v>15203656519.057467</v>
      </c>
      <c r="BO65" s="100">
        <f t="shared" si="145"/>
        <v>15203656519.057467</v>
      </c>
      <c r="BP65" s="100">
        <f t="shared" si="145"/>
        <v>15203656519.057467</v>
      </c>
      <c r="BQ65" s="100">
        <f t="shared" si="145"/>
        <v>15203656519.057467</v>
      </c>
      <c r="BR65" s="100">
        <f t="shared" si="145"/>
        <v>15203656519.057467</v>
      </c>
      <c r="BS65" s="100">
        <f t="shared" si="145"/>
        <v>15203656519.057467</v>
      </c>
      <c r="BT65" s="100">
        <f t="shared" si="145"/>
        <v>15203656519.057467</v>
      </c>
      <c r="BU65" s="100">
        <f t="shared" si="145"/>
        <v>15203656519.057467</v>
      </c>
      <c r="BV65" s="100">
        <f t="shared" si="145"/>
        <v>15203656519.057467</v>
      </c>
      <c r="BW65" s="100">
        <f t="shared" si="145"/>
        <v>15203656519.057467</v>
      </c>
      <c r="BX65" s="100">
        <f t="shared" si="145"/>
        <v>15203656519.057467</v>
      </c>
      <c r="BY65" s="100">
        <f t="shared" si="145"/>
        <v>15203656519.057467</v>
      </c>
      <c r="BZ65" s="100">
        <f t="shared" si="145"/>
        <v>15203656519.057467</v>
      </c>
      <c r="CA65" s="100">
        <f t="shared" si="145"/>
        <v>15203656519.057467</v>
      </c>
      <c r="CB65" s="100">
        <f t="shared" si="145"/>
        <v>15203656519.057467</v>
      </c>
      <c r="CC65" s="49">
        <f t="shared" si="3"/>
        <v>3040731.3038114933</v>
      </c>
      <c r="CD65" s="101">
        <f>IFERROR(up_RadSpec!$H$21*($AD$21/$B65),".")</f>
        <v>760182.82595287333</v>
      </c>
      <c r="CE65" s="101">
        <f>IFERROR(up_RadSpec!$H$21*($AE$21/$B65),".")</f>
        <v>760182.82595287333</v>
      </c>
      <c r="CF65" s="101">
        <f>IFERROR(up_RadSpec!$H$21*($BA$21/$B65),".")</f>
        <v>760182.82595287333</v>
      </c>
      <c r="CG65" s="101">
        <f>IFERROR(up_RadSpec!$H$21*($BA$21/$B65),".")</f>
        <v>760182.82595287333</v>
      </c>
      <c r="CH65" s="101">
        <f>IFERROR(up_RadSpec!$H$21*($BA$21/$B65),".")</f>
        <v>760182.82595287333</v>
      </c>
      <c r="CI65" s="101">
        <f>IFERROR(up_RadSpec!$H$21*($BA$21/$B65),".")</f>
        <v>760182.82595287333</v>
      </c>
      <c r="CJ65" s="101">
        <f>IFERROR(up_RadSpec!$H$21*($BA$21/$B65),".")</f>
        <v>760182.82595287333</v>
      </c>
      <c r="CK65" s="101">
        <f>IFERROR(up_RadSpec!$H$21*($BA$21/$B65),".")</f>
        <v>760182.82595287333</v>
      </c>
      <c r="CL65" s="101">
        <f>IFERROR(up_RadSpec!$H$21*($BA$21/$B65),".")</f>
        <v>760182.82595287333</v>
      </c>
      <c r="CM65" s="101">
        <f>IFERROR(up_RadSpec!$H$21*($BA$21/$B65),".")</f>
        <v>760182.82595287333</v>
      </c>
      <c r="CN65" s="101">
        <f>IFERROR(up_RadSpec!$H$21*($BA$21/$B65),".")</f>
        <v>760182.82595287333</v>
      </c>
      <c r="CO65" s="101">
        <f>IFERROR(up_RadSpec!$H$21*($BA$21/$B65),".")</f>
        <v>760182.82595287333</v>
      </c>
      <c r="CP65" s="101">
        <f>IFERROR(up_RadSpec!$H$21*($BA$21/$B65),".")</f>
        <v>760182.82595287333</v>
      </c>
      <c r="CQ65" s="101">
        <f>IFERROR(up_RadSpec!$H$21*($BA$21/$B65),".")</f>
        <v>760182.82595287333</v>
      </c>
      <c r="CR65" s="101">
        <f>IFERROR(up_RadSpec!$H$21*($BA$21/$B65),".")</f>
        <v>760182.82595287333</v>
      </c>
      <c r="CS65" s="101">
        <f>IFERROR(up_RadSpec!$H$21*($BA$21/$B65),".")</f>
        <v>760182.82595287333</v>
      </c>
      <c r="CT65" s="101">
        <f>IFERROR(up_RadSpec!$H$21*($BA$21/$B65),".")</f>
        <v>760182.82595287333</v>
      </c>
      <c r="CU65" s="101">
        <f>IFERROR(up_RadSpec!$H$21*($BA$21/$B65),".")</f>
        <v>760182.82595287333</v>
      </c>
      <c r="CV65" s="101">
        <f>IFERROR(up_RadSpec!$H$21*($BA$21/$B65),".")</f>
        <v>760182.82595287333</v>
      </c>
      <c r="CW65" s="101">
        <f>IFERROR(up_RadSpec!$H$21*($BA$21/$B65),".")</f>
        <v>760182.82595287333</v>
      </c>
      <c r="CX65" s="101">
        <f>IFERROR(up_RadSpec!$H$21*($BA$21/$B65),".")</f>
        <v>760182.82595287333</v>
      </c>
      <c r="CY65" s="101">
        <f>IFERROR(up_RadSpec!$H$21*($BA$21/$B65),".")</f>
        <v>760182.82595287333</v>
      </c>
      <c r="CZ65" s="101">
        <f>IFERROR(up_RadSpec!$H$21*($BA$21/$B65),".")</f>
        <v>760182.82595287333</v>
      </c>
      <c r="DA65" s="101">
        <f>IFERROR(up_RadSpec!$H$21*($BA$21/$B65),".")</f>
        <v>760182.82595287333</v>
      </c>
      <c r="DB65" s="101">
        <f>IFERROR(up_RadSpec!$H$21*($BB$21/$B65),".")</f>
        <v>760182.82595287333</v>
      </c>
    </row>
    <row r="66" spans="1:106" s="42" customFormat="1" x14ac:dyDescent="0.25">
      <c r="A66" s="99" t="s">
        <v>1074</v>
      </c>
      <c r="B66" s="103">
        <v>0.99980000000000002</v>
      </c>
      <c r="C66" s="100">
        <f t="shared" ref="C66" si="146">IFERROR($B66/C17,0)</f>
        <v>60802463151.014618</v>
      </c>
      <c r="D66" s="100">
        <f t="shared" ref="D66:AB66" si="147">IFERROR($B66/D17,0)</f>
        <v>15200615787.753654</v>
      </c>
      <c r="E66" s="100">
        <f t="shared" si="147"/>
        <v>15200615787.753654</v>
      </c>
      <c r="F66" s="100">
        <f t="shared" si="147"/>
        <v>15200615787.753654</v>
      </c>
      <c r="G66" s="100">
        <f t="shared" si="147"/>
        <v>15200615787.753654</v>
      </c>
      <c r="H66" s="100">
        <f t="shared" si="147"/>
        <v>15200615787.753654</v>
      </c>
      <c r="I66" s="100">
        <f t="shared" si="147"/>
        <v>15200615787.753654</v>
      </c>
      <c r="J66" s="100">
        <f t="shared" si="147"/>
        <v>15200615787.753654</v>
      </c>
      <c r="K66" s="100">
        <f t="shared" si="147"/>
        <v>15200615787.753654</v>
      </c>
      <c r="L66" s="100">
        <f t="shared" si="147"/>
        <v>15200615787.753654</v>
      </c>
      <c r="M66" s="100">
        <f t="shared" si="147"/>
        <v>15200615787.753654</v>
      </c>
      <c r="N66" s="100">
        <f t="shared" si="147"/>
        <v>15200615787.753654</v>
      </c>
      <c r="O66" s="100">
        <f t="shared" si="147"/>
        <v>15200615787.753654</v>
      </c>
      <c r="P66" s="100">
        <f t="shared" si="147"/>
        <v>15200615787.753654</v>
      </c>
      <c r="Q66" s="100">
        <f t="shared" si="147"/>
        <v>15200615787.753654</v>
      </c>
      <c r="R66" s="100">
        <f t="shared" si="147"/>
        <v>15200615787.753654</v>
      </c>
      <c r="S66" s="100">
        <f t="shared" si="147"/>
        <v>15200615787.753654</v>
      </c>
      <c r="T66" s="100">
        <f t="shared" si="147"/>
        <v>15200615787.753654</v>
      </c>
      <c r="U66" s="100">
        <f t="shared" si="147"/>
        <v>15200615787.753654</v>
      </c>
      <c r="V66" s="100">
        <f t="shared" si="147"/>
        <v>15200615787.753654</v>
      </c>
      <c r="W66" s="100">
        <f t="shared" si="147"/>
        <v>15200615787.753654</v>
      </c>
      <c r="X66" s="100">
        <f t="shared" si="147"/>
        <v>15200615787.753654</v>
      </c>
      <c r="Y66" s="100">
        <f t="shared" si="147"/>
        <v>15200615787.753654</v>
      </c>
      <c r="Z66" s="100">
        <f t="shared" si="147"/>
        <v>15200615787.753654</v>
      </c>
      <c r="AA66" s="100">
        <f t="shared" si="147"/>
        <v>15200615787.753654</v>
      </c>
      <c r="AB66" s="100">
        <f t="shared" si="147"/>
        <v>15200615787.753654</v>
      </c>
      <c r="AC66" s="49">
        <f t="shared" si="1"/>
        <v>3041339.5717258384</v>
      </c>
      <c r="AD66" s="101">
        <f>IFERROR(up_RadSpec!$H$17*($AD$17/$B66),".")</f>
        <v>760334.89293145959</v>
      </c>
      <c r="AE66" s="101">
        <f>IFERROR(up_RadSpec!$H$17*($AE$17/$B66),".")</f>
        <v>760334.89293145959</v>
      </c>
      <c r="AF66" s="101">
        <f>IFERROR(up_RadSpec!$H$17*($BA$17/$B66),".")</f>
        <v>760334.89293145959</v>
      </c>
      <c r="AG66" s="101">
        <f>IFERROR(up_RadSpec!$H$17*($BA$17/$B66),".")</f>
        <v>760334.89293145959</v>
      </c>
      <c r="AH66" s="101">
        <f>IFERROR(up_RadSpec!$H$17*($BA$17/$B66),".")</f>
        <v>760334.89293145959</v>
      </c>
      <c r="AI66" s="101">
        <f>IFERROR(up_RadSpec!$H$17*($BA$17/$B66),".")</f>
        <v>760334.89293145959</v>
      </c>
      <c r="AJ66" s="101">
        <f>IFERROR(up_RadSpec!$H$17*($BA$17/$B66),".")</f>
        <v>760334.89293145959</v>
      </c>
      <c r="AK66" s="101">
        <f>IFERROR(up_RadSpec!$H$17*($BA$17/$B66),".")</f>
        <v>760334.89293145959</v>
      </c>
      <c r="AL66" s="101">
        <f>IFERROR(up_RadSpec!$H$17*($BA$17/$B66),".")</f>
        <v>760334.89293145959</v>
      </c>
      <c r="AM66" s="101">
        <f>IFERROR(up_RadSpec!$H$17*($BA$17/$B66),".")</f>
        <v>760334.89293145959</v>
      </c>
      <c r="AN66" s="101">
        <f>IFERROR(up_RadSpec!$H$17*($BA$17/$B66),".")</f>
        <v>760334.89293145959</v>
      </c>
      <c r="AO66" s="101">
        <f>IFERROR(up_RadSpec!$H$17*($BA$17/$B66),".")</f>
        <v>760334.89293145959</v>
      </c>
      <c r="AP66" s="101">
        <f>IFERROR(up_RadSpec!$H$17*($BA$17/$B66),".")</f>
        <v>760334.89293145959</v>
      </c>
      <c r="AQ66" s="101">
        <f>IFERROR(up_RadSpec!$H$17*($BA$17/$B66),".")</f>
        <v>760334.89293145959</v>
      </c>
      <c r="AR66" s="101">
        <f>IFERROR(up_RadSpec!$H$17*($BA$17/$B66),".")</f>
        <v>760334.89293145959</v>
      </c>
      <c r="AS66" s="101">
        <f>IFERROR(up_RadSpec!$H$17*($BA$17/$B66),".")</f>
        <v>760334.89293145959</v>
      </c>
      <c r="AT66" s="101">
        <f>IFERROR(up_RadSpec!$H$17*($BA$17/$B66),".")</f>
        <v>760334.89293145959</v>
      </c>
      <c r="AU66" s="101">
        <f>IFERROR(up_RadSpec!$H$17*($BA$17/$B66),".")</f>
        <v>760334.89293145959</v>
      </c>
      <c r="AV66" s="101">
        <f>IFERROR(up_RadSpec!$H$17*($BA$17/$B66),".")</f>
        <v>760334.89293145959</v>
      </c>
      <c r="AW66" s="101">
        <f>IFERROR(up_RadSpec!$H$17*($BA$17/$B66),".")</f>
        <v>760334.89293145959</v>
      </c>
      <c r="AX66" s="101">
        <f>IFERROR(up_RadSpec!$H$17*($BA$17/$B66),".")</f>
        <v>760334.89293145959</v>
      </c>
      <c r="AY66" s="101">
        <f>IFERROR(up_RadSpec!$H$17*($BA$17/$B66),".")</f>
        <v>760334.89293145959</v>
      </c>
      <c r="AZ66" s="101">
        <f>IFERROR(up_RadSpec!$H$17*($BA$17/$B66),".")</f>
        <v>760334.89293145959</v>
      </c>
      <c r="BA66" s="101">
        <f>IFERROR(up_RadSpec!$H$17*($BA$17/$B66),".")</f>
        <v>760334.89293145959</v>
      </c>
      <c r="BB66" s="101">
        <f>IFERROR(up_RadSpec!$H$17*($BB$17/$B66),".")</f>
        <v>760334.89293145959</v>
      </c>
      <c r="BC66" s="100">
        <f t="shared" ref="BC66" si="148">IFERROR($B66/BC17,0)</f>
        <v>60802463151.014618</v>
      </c>
      <c r="BD66" s="100">
        <f t="shared" ref="BD66:CB66" si="149">IFERROR($B66/BD17,0)</f>
        <v>15200615787.753654</v>
      </c>
      <c r="BE66" s="100">
        <f t="shared" si="149"/>
        <v>15200615787.753654</v>
      </c>
      <c r="BF66" s="100">
        <f t="shared" si="149"/>
        <v>15200615787.753654</v>
      </c>
      <c r="BG66" s="100">
        <f t="shared" si="149"/>
        <v>15200615787.753654</v>
      </c>
      <c r="BH66" s="100">
        <f t="shared" si="149"/>
        <v>15200615787.753654</v>
      </c>
      <c r="BI66" s="100">
        <f t="shared" si="149"/>
        <v>15200615787.753654</v>
      </c>
      <c r="BJ66" s="100">
        <f t="shared" si="149"/>
        <v>15200615787.753654</v>
      </c>
      <c r="BK66" s="100">
        <f t="shared" si="149"/>
        <v>15200615787.753654</v>
      </c>
      <c r="BL66" s="100">
        <f t="shared" si="149"/>
        <v>15200615787.753654</v>
      </c>
      <c r="BM66" s="100">
        <f t="shared" si="149"/>
        <v>15200615787.753654</v>
      </c>
      <c r="BN66" s="100">
        <f t="shared" si="149"/>
        <v>15200615787.753654</v>
      </c>
      <c r="BO66" s="100">
        <f t="shared" si="149"/>
        <v>15200615787.753654</v>
      </c>
      <c r="BP66" s="100">
        <f t="shared" si="149"/>
        <v>15200615787.753654</v>
      </c>
      <c r="BQ66" s="100">
        <f t="shared" si="149"/>
        <v>15200615787.753654</v>
      </c>
      <c r="BR66" s="100">
        <f t="shared" si="149"/>
        <v>15200615787.753654</v>
      </c>
      <c r="BS66" s="100">
        <f t="shared" si="149"/>
        <v>15200615787.753654</v>
      </c>
      <c r="BT66" s="100">
        <f t="shared" si="149"/>
        <v>15200615787.753654</v>
      </c>
      <c r="BU66" s="100">
        <f t="shared" si="149"/>
        <v>15200615787.753654</v>
      </c>
      <c r="BV66" s="100">
        <f t="shared" si="149"/>
        <v>15200615787.753654</v>
      </c>
      <c r="BW66" s="100">
        <f t="shared" si="149"/>
        <v>15200615787.753654</v>
      </c>
      <c r="BX66" s="100">
        <f t="shared" si="149"/>
        <v>15200615787.753654</v>
      </c>
      <c r="BY66" s="100">
        <f t="shared" si="149"/>
        <v>15200615787.753654</v>
      </c>
      <c r="BZ66" s="100">
        <f t="shared" si="149"/>
        <v>15200615787.753654</v>
      </c>
      <c r="CA66" s="100">
        <f t="shared" si="149"/>
        <v>15200615787.753654</v>
      </c>
      <c r="CB66" s="100">
        <f t="shared" si="149"/>
        <v>15200615787.753654</v>
      </c>
      <c r="CC66" s="49">
        <f t="shared" si="3"/>
        <v>3041339.5717258384</v>
      </c>
      <c r="CD66" s="101">
        <f>IFERROR(up_RadSpec!$H$17*($AD$17/$B66),".")</f>
        <v>760334.89293145959</v>
      </c>
      <c r="CE66" s="101">
        <f>IFERROR(up_RadSpec!$H$17*($AE$17/$B66),".")</f>
        <v>760334.89293145959</v>
      </c>
      <c r="CF66" s="101">
        <f>IFERROR(up_RadSpec!$H$17*($BA$17/$B66),".")</f>
        <v>760334.89293145959</v>
      </c>
      <c r="CG66" s="101">
        <f>IFERROR(up_RadSpec!$H$17*($BA$17/$B66),".")</f>
        <v>760334.89293145959</v>
      </c>
      <c r="CH66" s="101">
        <f>IFERROR(up_RadSpec!$H$17*($BA$17/$B66),".")</f>
        <v>760334.89293145959</v>
      </c>
      <c r="CI66" s="101">
        <f>IFERROR(up_RadSpec!$H$17*($BA$17/$B66),".")</f>
        <v>760334.89293145959</v>
      </c>
      <c r="CJ66" s="101">
        <f>IFERROR(up_RadSpec!$H$17*($BA$17/$B66),".")</f>
        <v>760334.89293145959</v>
      </c>
      <c r="CK66" s="101">
        <f>IFERROR(up_RadSpec!$H$17*($BA$17/$B66),".")</f>
        <v>760334.89293145959</v>
      </c>
      <c r="CL66" s="101">
        <f>IFERROR(up_RadSpec!$H$17*($BA$17/$B66),".")</f>
        <v>760334.89293145959</v>
      </c>
      <c r="CM66" s="101">
        <f>IFERROR(up_RadSpec!$H$17*($BA$17/$B66),".")</f>
        <v>760334.89293145959</v>
      </c>
      <c r="CN66" s="101">
        <f>IFERROR(up_RadSpec!$H$17*($BA$17/$B66),".")</f>
        <v>760334.89293145959</v>
      </c>
      <c r="CO66" s="101">
        <f>IFERROR(up_RadSpec!$H$17*($BA$17/$B66),".")</f>
        <v>760334.89293145959</v>
      </c>
      <c r="CP66" s="101">
        <f>IFERROR(up_RadSpec!$H$17*($BA$17/$B66),".")</f>
        <v>760334.89293145959</v>
      </c>
      <c r="CQ66" s="101">
        <f>IFERROR(up_RadSpec!$H$17*($BA$17/$B66),".")</f>
        <v>760334.89293145959</v>
      </c>
      <c r="CR66" s="101">
        <f>IFERROR(up_RadSpec!$H$17*($BA$17/$B66),".")</f>
        <v>760334.89293145959</v>
      </c>
      <c r="CS66" s="101">
        <f>IFERROR(up_RadSpec!$H$17*($BA$17/$B66),".")</f>
        <v>760334.89293145959</v>
      </c>
      <c r="CT66" s="101">
        <f>IFERROR(up_RadSpec!$H$17*($BA$17/$B66),".")</f>
        <v>760334.89293145959</v>
      </c>
      <c r="CU66" s="101">
        <f>IFERROR(up_RadSpec!$H$17*($BA$17/$B66),".")</f>
        <v>760334.89293145959</v>
      </c>
      <c r="CV66" s="101">
        <f>IFERROR(up_RadSpec!$H$17*($BA$17/$B66),".")</f>
        <v>760334.89293145959</v>
      </c>
      <c r="CW66" s="101">
        <f>IFERROR(up_RadSpec!$H$17*($BA$17/$B66),".")</f>
        <v>760334.89293145959</v>
      </c>
      <c r="CX66" s="101">
        <f>IFERROR(up_RadSpec!$H$17*($BA$17/$B66),".")</f>
        <v>760334.89293145959</v>
      </c>
      <c r="CY66" s="101">
        <f>IFERROR(up_RadSpec!$H$17*($BA$17/$B66),".")</f>
        <v>760334.89293145959</v>
      </c>
      <c r="CZ66" s="101">
        <f>IFERROR(up_RadSpec!$H$17*($BA$17/$B66),".")</f>
        <v>760334.89293145959</v>
      </c>
      <c r="DA66" s="101">
        <f>IFERROR(up_RadSpec!$H$17*($BA$17/$B66),".")</f>
        <v>760334.89293145959</v>
      </c>
      <c r="DB66" s="101">
        <f>IFERROR(up_RadSpec!$H$17*($BB$17/$B66),".")</f>
        <v>760334.89293145959</v>
      </c>
    </row>
    <row r="67" spans="1:106" s="42" customFormat="1" x14ac:dyDescent="0.25">
      <c r="A67" s="99" t="s">
        <v>1088</v>
      </c>
      <c r="B67" s="90">
        <v>2.0000000000000001E-4</v>
      </c>
      <c r="C67" s="100">
        <f t="shared" ref="C67" si="150">IFERROR($B67/C5,0)</f>
        <v>12162925.215245973</v>
      </c>
      <c r="D67" s="100">
        <f t="shared" ref="D67:AB67" si="151">IFERROR($B67/D5,0)</f>
        <v>3040731.3038114933</v>
      </c>
      <c r="E67" s="100">
        <f t="shared" si="151"/>
        <v>3040731.3038114933</v>
      </c>
      <c r="F67" s="100">
        <f t="shared" si="151"/>
        <v>3040731.3038114933</v>
      </c>
      <c r="G67" s="100">
        <f t="shared" si="151"/>
        <v>3040731.3038114933</v>
      </c>
      <c r="H67" s="100">
        <f t="shared" si="151"/>
        <v>3040731.3038114933</v>
      </c>
      <c r="I67" s="100">
        <f t="shared" si="151"/>
        <v>3040731.3038114933</v>
      </c>
      <c r="J67" s="100">
        <f t="shared" si="151"/>
        <v>3040731.3038114933</v>
      </c>
      <c r="K67" s="100">
        <f t="shared" si="151"/>
        <v>3040731.3038114933</v>
      </c>
      <c r="L67" s="100">
        <f t="shared" si="151"/>
        <v>3040731.3038114933</v>
      </c>
      <c r="M67" s="100">
        <f t="shared" si="151"/>
        <v>3040731.3038114933</v>
      </c>
      <c r="N67" s="100">
        <f t="shared" si="151"/>
        <v>3040731.3038114933</v>
      </c>
      <c r="O67" s="100">
        <f t="shared" si="151"/>
        <v>3040731.3038114933</v>
      </c>
      <c r="P67" s="100">
        <f t="shared" si="151"/>
        <v>3040731.3038114933</v>
      </c>
      <c r="Q67" s="100">
        <f t="shared" si="151"/>
        <v>3040731.3038114933</v>
      </c>
      <c r="R67" s="100">
        <f t="shared" si="151"/>
        <v>3040731.3038114933</v>
      </c>
      <c r="S67" s="100">
        <f t="shared" si="151"/>
        <v>3040731.3038114933</v>
      </c>
      <c r="T67" s="100">
        <f t="shared" si="151"/>
        <v>3040731.3038114933</v>
      </c>
      <c r="U67" s="100">
        <f t="shared" si="151"/>
        <v>3040731.3038114933</v>
      </c>
      <c r="V67" s="100">
        <f t="shared" si="151"/>
        <v>3040731.3038114933</v>
      </c>
      <c r="W67" s="100">
        <f t="shared" si="151"/>
        <v>3040731.3038114933</v>
      </c>
      <c r="X67" s="100">
        <f t="shared" si="151"/>
        <v>3040731.3038114933</v>
      </c>
      <c r="Y67" s="100">
        <f t="shared" si="151"/>
        <v>3040731.3038114933</v>
      </c>
      <c r="Z67" s="100">
        <f t="shared" si="151"/>
        <v>3040731.3038114933</v>
      </c>
      <c r="AA67" s="100">
        <f t="shared" si="151"/>
        <v>3040731.3038114933</v>
      </c>
      <c r="AB67" s="100">
        <f t="shared" si="151"/>
        <v>3040731.3038114933</v>
      </c>
      <c r="AC67" s="49">
        <f t="shared" ref="AC67:AC76" si="152">SUM(AD67,AU67,BA67:BB67)</f>
        <v>15203656519.057467</v>
      </c>
      <c r="AD67" s="101">
        <f>IFERROR(up_RadSpec!$H$5*($AD$5/$B67),".")</f>
        <v>3800914129.7643666</v>
      </c>
      <c r="AE67" s="101">
        <f>IFERROR(up_RadSpec!$H$5*($AE$5/$B67),".")</f>
        <v>3800914129.7643666</v>
      </c>
      <c r="AF67" s="101">
        <f>IFERROR(up_RadSpec!$H$5*($BA$5/$B67),".")</f>
        <v>3800914129.7643666</v>
      </c>
      <c r="AG67" s="101">
        <f>IFERROR(up_RadSpec!$H$5*($BA$5/$B67),".")</f>
        <v>3800914129.7643666</v>
      </c>
      <c r="AH67" s="101">
        <f>IFERROR(up_RadSpec!$H$5*($BA$5/$B67),".")</f>
        <v>3800914129.7643666</v>
      </c>
      <c r="AI67" s="101">
        <f>IFERROR(up_RadSpec!$H$5*($BA$5/$B67),".")</f>
        <v>3800914129.7643666</v>
      </c>
      <c r="AJ67" s="101">
        <f>IFERROR(up_RadSpec!$H$5*($BA$5/$B67),".")</f>
        <v>3800914129.7643666</v>
      </c>
      <c r="AK67" s="101">
        <f>IFERROR(up_RadSpec!$H$5*($BA$5/$B67),".")</f>
        <v>3800914129.7643666</v>
      </c>
      <c r="AL67" s="101">
        <f>IFERROR(up_RadSpec!$H$5*($BA$5/$B67),".")</f>
        <v>3800914129.7643666</v>
      </c>
      <c r="AM67" s="101">
        <f>IFERROR(up_RadSpec!$H$5*($BA$5/$B67),".")</f>
        <v>3800914129.7643666</v>
      </c>
      <c r="AN67" s="101">
        <f>IFERROR(up_RadSpec!$H$5*($BA$5/$B67),".")</f>
        <v>3800914129.7643666</v>
      </c>
      <c r="AO67" s="101">
        <f>IFERROR(up_RadSpec!$H$5*($BA$5/$B67),".")</f>
        <v>3800914129.7643666</v>
      </c>
      <c r="AP67" s="101">
        <f>IFERROR(up_RadSpec!$H$5*($BA$5/$B67),".")</f>
        <v>3800914129.7643666</v>
      </c>
      <c r="AQ67" s="101">
        <f>IFERROR(up_RadSpec!$H$5*($BA$5/$B67),".")</f>
        <v>3800914129.7643666</v>
      </c>
      <c r="AR67" s="101">
        <f>IFERROR(up_RadSpec!$H$5*($BA$5/$B67),".")</f>
        <v>3800914129.7643666</v>
      </c>
      <c r="AS67" s="101">
        <f>IFERROR(up_RadSpec!$H$5*($BA$5/$B67),".")</f>
        <v>3800914129.7643666</v>
      </c>
      <c r="AT67" s="101">
        <f>IFERROR(up_RadSpec!$H$5*($BA$5/$B67),".")</f>
        <v>3800914129.7643666</v>
      </c>
      <c r="AU67" s="101">
        <f>IFERROR(up_RadSpec!$H$5*($BA$5/$B67),".")</f>
        <v>3800914129.7643666</v>
      </c>
      <c r="AV67" s="101">
        <f>IFERROR(up_RadSpec!$H$5*($BA$5/$B67),".")</f>
        <v>3800914129.7643666</v>
      </c>
      <c r="AW67" s="101">
        <f>IFERROR(up_RadSpec!$H$5*($BA$5/$B67),".")</f>
        <v>3800914129.7643666</v>
      </c>
      <c r="AX67" s="101">
        <f>IFERROR(up_RadSpec!$H$5*($BA$5/$B67),".")</f>
        <v>3800914129.7643666</v>
      </c>
      <c r="AY67" s="101">
        <f>IFERROR(up_RadSpec!$H$5*($BA$5/$B67),".")</f>
        <v>3800914129.7643666</v>
      </c>
      <c r="AZ67" s="101">
        <f>IFERROR(up_RadSpec!$H$5*($BA$5/$B67),".")</f>
        <v>3800914129.7643666</v>
      </c>
      <c r="BA67" s="101">
        <f>IFERROR(up_RadSpec!$H$5*($BA$5/$B67),".")</f>
        <v>3800914129.7643666</v>
      </c>
      <c r="BB67" s="101">
        <f>IFERROR(up_RadSpec!$H$5*($BB$5/$B67),".")</f>
        <v>3800914129.7643666</v>
      </c>
      <c r="BC67" s="100">
        <f t="shared" ref="BC67" si="153">IFERROR($B67/BC5,0)</f>
        <v>12162925.215245973</v>
      </c>
      <c r="BD67" s="100">
        <f t="shared" ref="BD67:CB67" si="154">IFERROR($B67/BD5,0)</f>
        <v>3040731.3038114933</v>
      </c>
      <c r="BE67" s="100">
        <f t="shared" si="154"/>
        <v>3040731.3038114933</v>
      </c>
      <c r="BF67" s="100">
        <f t="shared" si="154"/>
        <v>3040731.3038114933</v>
      </c>
      <c r="BG67" s="100">
        <f t="shared" si="154"/>
        <v>3040731.3038114933</v>
      </c>
      <c r="BH67" s="100">
        <f t="shared" si="154"/>
        <v>3040731.3038114933</v>
      </c>
      <c r="BI67" s="100">
        <f t="shared" si="154"/>
        <v>3040731.3038114933</v>
      </c>
      <c r="BJ67" s="100">
        <f t="shared" si="154"/>
        <v>3040731.3038114933</v>
      </c>
      <c r="BK67" s="100">
        <f t="shared" si="154"/>
        <v>3040731.3038114933</v>
      </c>
      <c r="BL67" s="100">
        <f t="shared" si="154"/>
        <v>3040731.3038114933</v>
      </c>
      <c r="BM67" s="100">
        <f t="shared" si="154"/>
        <v>3040731.3038114933</v>
      </c>
      <c r="BN67" s="100">
        <f t="shared" si="154"/>
        <v>3040731.3038114933</v>
      </c>
      <c r="BO67" s="100">
        <f t="shared" si="154"/>
        <v>3040731.3038114933</v>
      </c>
      <c r="BP67" s="100">
        <f t="shared" si="154"/>
        <v>3040731.3038114933</v>
      </c>
      <c r="BQ67" s="100">
        <f t="shared" si="154"/>
        <v>3040731.3038114933</v>
      </c>
      <c r="BR67" s="100">
        <f t="shared" si="154"/>
        <v>3040731.3038114933</v>
      </c>
      <c r="BS67" s="100">
        <f t="shared" si="154"/>
        <v>3040731.3038114933</v>
      </c>
      <c r="BT67" s="100">
        <f t="shared" si="154"/>
        <v>3040731.3038114933</v>
      </c>
      <c r="BU67" s="100">
        <f t="shared" si="154"/>
        <v>3040731.3038114933</v>
      </c>
      <c r="BV67" s="100">
        <f t="shared" si="154"/>
        <v>3040731.3038114933</v>
      </c>
      <c r="BW67" s="100">
        <f t="shared" si="154"/>
        <v>3040731.3038114933</v>
      </c>
      <c r="BX67" s="100">
        <f t="shared" si="154"/>
        <v>3040731.3038114933</v>
      </c>
      <c r="BY67" s="100">
        <f t="shared" si="154"/>
        <v>3040731.3038114933</v>
      </c>
      <c r="BZ67" s="100">
        <f t="shared" si="154"/>
        <v>3040731.3038114933</v>
      </c>
      <c r="CA67" s="100">
        <f t="shared" si="154"/>
        <v>3040731.3038114933</v>
      </c>
      <c r="CB67" s="100">
        <f t="shared" si="154"/>
        <v>3040731.3038114933</v>
      </c>
      <c r="CC67" s="49">
        <f t="shared" ref="CC67:CC76" si="155">SUM(CD67,CU67,DA67:DB67)</f>
        <v>15203656519.057467</v>
      </c>
      <c r="CD67" s="101">
        <f>IFERROR(up_RadSpec!$H$5*($AD$5/$B67),".")</f>
        <v>3800914129.7643666</v>
      </c>
      <c r="CE67" s="101">
        <f>IFERROR(up_RadSpec!$H$5*($AE$5/$B67),".")</f>
        <v>3800914129.7643666</v>
      </c>
      <c r="CF67" s="101">
        <f>IFERROR(up_RadSpec!$H$5*($BA$5/$B67),".")</f>
        <v>3800914129.7643666</v>
      </c>
      <c r="CG67" s="101">
        <f>IFERROR(up_RadSpec!$H$5*($BA$5/$B67),".")</f>
        <v>3800914129.7643666</v>
      </c>
      <c r="CH67" s="101">
        <f>IFERROR(up_RadSpec!$H$5*($BA$5/$B67),".")</f>
        <v>3800914129.7643666</v>
      </c>
      <c r="CI67" s="101">
        <f>IFERROR(up_RadSpec!$H$5*($BA$5/$B67),".")</f>
        <v>3800914129.7643666</v>
      </c>
      <c r="CJ67" s="101">
        <f>IFERROR(up_RadSpec!$H$5*($BA$5/$B67),".")</f>
        <v>3800914129.7643666</v>
      </c>
      <c r="CK67" s="101">
        <f>IFERROR(up_RadSpec!$H$5*($BA$5/$B67),".")</f>
        <v>3800914129.7643666</v>
      </c>
      <c r="CL67" s="101">
        <f>IFERROR(up_RadSpec!$H$5*($BA$5/$B67),".")</f>
        <v>3800914129.7643666</v>
      </c>
      <c r="CM67" s="101">
        <f>IFERROR(up_RadSpec!$H$5*($BA$5/$B67),".")</f>
        <v>3800914129.7643666</v>
      </c>
      <c r="CN67" s="101">
        <f>IFERROR(up_RadSpec!$H$5*($BA$5/$B67),".")</f>
        <v>3800914129.7643666</v>
      </c>
      <c r="CO67" s="101">
        <f>IFERROR(up_RadSpec!$H$5*($BA$5/$B67),".")</f>
        <v>3800914129.7643666</v>
      </c>
      <c r="CP67" s="101">
        <f>IFERROR(up_RadSpec!$H$5*($BA$5/$B67),".")</f>
        <v>3800914129.7643666</v>
      </c>
      <c r="CQ67" s="101">
        <f>IFERROR(up_RadSpec!$H$5*($BA$5/$B67),".")</f>
        <v>3800914129.7643666</v>
      </c>
      <c r="CR67" s="101">
        <f>IFERROR(up_RadSpec!$H$5*($BA$5/$B67),".")</f>
        <v>3800914129.7643666</v>
      </c>
      <c r="CS67" s="101">
        <f>IFERROR(up_RadSpec!$H$5*($BA$5/$B67),".")</f>
        <v>3800914129.7643666</v>
      </c>
      <c r="CT67" s="101">
        <f>IFERROR(up_RadSpec!$H$5*($BA$5/$B67),".")</f>
        <v>3800914129.7643666</v>
      </c>
      <c r="CU67" s="101">
        <f>IFERROR(up_RadSpec!$H$5*($BA$5/$B67),".")</f>
        <v>3800914129.7643666</v>
      </c>
      <c r="CV67" s="101">
        <f>IFERROR(up_RadSpec!$H$5*($BA$5/$B67),".")</f>
        <v>3800914129.7643666</v>
      </c>
      <c r="CW67" s="101">
        <f>IFERROR(up_RadSpec!$H$5*($BA$5/$B67),".")</f>
        <v>3800914129.7643666</v>
      </c>
      <c r="CX67" s="101">
        <f>IFERROR(up_RadSpec!$H$5*($BA$5/$B67),".")</f>
        <v>3800914129.7643666</v>
      </c>
      <c r="CY67" s="101">
        <f>IFERROR(up_RadSpec!$H$5*($BA$5/$B67),".")</f>
        <v>3800914129.7643666</v>
      </c>
      <c r="CZ67" s="101">
        <f>IFERROR(up_RadSpec!$H$5*($BA$5/$B67),".")</f>
        <v>3800914129.7643666</v>
      </c>
      <c r="DA67" s="101">
        <f>IFERROR(up_RadSpec!$H$5*($BA$5/$B67),".")</f>
        <v>3800914129.7643666</v>
      </c>
      <c r="DB67" s="101">
        <f>IFERROR(up_RadSpec!$H$5*($BB$5/$B67),".")</f>
        <v>3800914129.7643666</v>
      </c>
    </row>
    <row r="68" spans="1:106" s="42" customFormat="1" x14ac:dyDescent="0.25">
      <c r="A68" s="99" t="s">
        <v>1089</v>
      </c>
      <c r="B68" s="90">
        <v>0.99999979999999999</v>
      </c>
      <c r="C68" s="100">
        <f t="shared" ref="C68" si="156">IFERROR($B68/C9,0)</f>
        <v>60814613913.304649</v>
      </c>
      <c r="D68" s="100">
        <f t="shared" ref="D68:AB68" si="157">IFERROR($B68/D9,0)</f>
        <v>15203653478.326162</v>
      </c>
      <c r="E68" s="100">
        <f t="shared" si="157"/>
        <v>15203653478.326162</v>
      </c>
      <c r="F68" s="100">
        <f t="shared" si="157"/>
        <v>15203653478.326162</v>
      </c>
      <c r="G68" s="100">
        <f t="shared" si="157"/>
        <v>15203653478.326162</v>
      </c>
      <c r="H68" s="100">
        <f t="shared" si="157"/>
        <v>15203653478.326162</v>
      </c>
      <c r="I68" s="100">
        <f t="shared" si="157"/>
        <v>15203653478.326162</v>
      </c>
      <c r="J68" s="100">
        <f t="shared" si="157"/>
        <v>15203653478.326162</v>
      </c>
      <c r="K68" s="100">
        <f t="shared" si="157"/>
        <v>15203653478.326162</v>
      </c>
      <c r="L68" s="100">
        <f t="shared" si="157"/>
        <v>15203653478.326162</v>
      </c>
      <c r="M68" s="100">
        <f t="shared" si="157"/>
        <v>15203653478.326162</v>
      </c>
      <c r="N68" s="100">
        <f t="shared" si="157"/>
        <v>15203653478.326162</v>
      </c>
      <c r="O68" s="100">
        <f t="shared" si="157"/>
        <v>15203653478.326162</v>
      </c>
      <c r="P68" s="100">
        <f t="shared" si="157"/>
        <v>15203653478.326162</v>
      </c>
      <c r="Q68" s="100">
        <f t="shared" si="157"/>
        <v>15203653478.326162</v>
      </c>
      <c r="R68" s="100">
        <f t="shared" si="157"/>
        <v>15203653478.326162</v>
      </c>
      <c r="S68" s="100">
        <f t="shared" si="157"/>
        <v>15203653478.326162</v>
      </c>
      <c r="T68" s="100">
        <f t="shared" si="157"/>
        <v>15203653478.326162</v>
      </c>
      <c r="U68" s="100">
        <f t="shared" si="157"/>
        <v>15203653478.326162</v>
      </c>
      <c r="V68" s="100">
        <f t="shared" si="157"/>
        <v>15203653478.326162</v>
      </c>
      <c r="W68" s="100">
        <f t="shared" si="157"/>
        <v>15203653478.326162</v>
      </c>
      <c r="X68" s="100">
        <f t="shared" si="157"/>
        <v>15203653478.326162</v>
      </c>
      <c r="Y68" s="100">
        <f t="shared" si="157"/>
        <v>15203653478.326162</v>
      </c>
      <c r="Z68" s="100">
        <f t="shared" si="157"/>
        <v>15203653478.326162</v>
      </c>
      <c r="AA68" s="100">
        <f t="shared" si="157"/>
        <v>15203653478.326162</v>
      </c>
      <c r="AB68" s="100">
        <f t="shared" si="157"/>
        <v>15203653478.326162</v>
      </c>
      <c r="AC68" s="49">
        <f t="shared" si="152"/>
        <v>3040731.9119578758</v>
      </c>
      <c r="AD68" s="101">
        <f>IFERROR(up_RadSpec!$H$9*($AD$9/$B68),".")</f>
        <v>760182.97798946896</v>
      </c>
      <c r="AE68" s="101">
        <f>IFERROR(up_RadSpec!$H$9*($AE$9/$B68),".")</f>
        <v>760182.97798946896</v>
      </c>
      <c r="AF68" s="101">
        <f>IFERROR(up_RadSpec!$H$9*($BA$9/$B68),".")</f>
        <v>760182.97798946896</v>
      </c>
      <c r="AG68" s="101">
        <f>IFERROR(up_RadSpec!$H$9*($BA$9/$B68),".")</f>
        <v>760182.97798946896</v>
      </c>
      <c r="AH68" s="101">
        <f>IFERROR(up_RadSpec!$H$9*($BA$9/$B68),".")</f>
        <v>760182.97798946896</v>
      </c>
      <c r="AI68" s="101">
        <f>IFERROR(up_RadSpec!$H$9*($BA$9/$B68),".")</f>
        <v>760182.97798946896</v>
      </c>
      <c r="AJ68" s="101">
        <f>IFERROR(up_RadSpec!$H$9*($BA$9/$B68),".")</f>
        <v>760182.97798946896</v>
      </c>
      <c r="AK68" s="101">
        <f>IFERROR(up_RadSpec!$H$9*($BA$9/$B68),".")</f>
        <v>760182.97798946896</v>
      </c>
      <c r="AL68" s="101">
        <f>IFERROR(up_RadSpec!$H$9*($BA$9/$B68),".")</f>
        <v>760182.97798946896</v>
      </c>
      <c r="AM68" s="101">
        <f>IFERROR(up_RadSpec!$H$9*($BA$9/$B68),".")</f>
        <v>760182.97798946896</v>
      </c>
      <c r="AN68" s="101">
        <f>IFERROR(up_RadSpec!$H$9*($BA$9/$B68),".")</f>
        <v>760182.97798946896</v>
      </c>
      <c r="AO68" s="101">
        <f>IFERROR(up_RadSpec!$H$9*($BA$9/$B68),".")</f>
        <v>760182.97798946896</v>
      </c>
      <c r="AP68" s="101">
        <f>IFERROR(up_RadSpec!$H$9*($BA$9/$B68),".")</f>
        <v>760182.97798946896</v>
      </c>
      <c r="AQ68" s="101">
        <f>IFERROR(up_RadSpec!$H$9*($BA$9/$B68),".")</f>
        <v>760182.97798946896</v>
      </c>
      <c r="AR68" s="101">
        <f>IFERROR(up_RadSpec!$H$9*($BA$9/$B68),".")</f>
        <v>760182.97798946896</v>
      </c>
      <c r="AS68" s="101">
        <f>IFERROR(up_RadSpec!$H$9*($BA$9/$B68),".")</f>
        <v>760182.97798946896</v>
      </c>
      <c r="AT68" s="101">
        <f>IFERROR(up_RadSpec!$H$9*($BA$9/$B68),".")</f>
        <v>760182.97798946896</v>
      </c>
      <c r="AU68" s="101">
        <f>IFERROR(up_RadSpec!$H$9*($BA$9/$B68),".")</f>
        <v>760182.97798946896</v>
      </c>
      <c r="AV68" s="101">
        <f>IFERROR(up_RadSpec!$H$9*($BA$9/$B68),".")</f>
        <v>760182.97798946896</v>
      </c>
      <c r="AW68" s="101">
        <f>IFERROR(up_RadSpec!$H$9*($BA$9/$B68),".")</f>
        <v>760182.97798946896</v>
      </c>
      <c r="AX68" s="101">
        <f>IFERROR(up_RadSpec!$H$9*($BA$9/$B68),".")</f>
        <v>760182.97798946896</v>
      </c>
      <c r="AY68" s="101">
        <f>IFERROR(up_RadSpec!$H$9*($BA$9/$B68),".")</f>
        <v>760182.97798946896</v>
      </c>
      <c r="AZ68" s="101">
        <f>IFERROR(up_RadSpec!$H$9*($BA$9/$B68),".")</f>
        <v>760182.97798946896</v>
      </c>
      <c r="BA68" s="101">
        <f>IFERROR(up_RadSpec!$H$9*($BA$9/$B68),".")</f>
        <v>760182.97798946896</v>
      </c>
      <c r="BB68" s="101">
        <f>IFERROR(up_RadSpec!$H$9*($BB$9/$B68),".")</f>
        <v>760182.97798946896</v>
      </c>
      <c r="BC68" s="100">
        <f t="shared" ref="BC68" si="158">IFERROR($B68/BC9,0)</f>
        <v>60814613913.304649</v>
      </c>
      <c r="BD68" s="100">
        <f t="shared" ref="BD68:CB68" si="159">IFERROR($B68/BD9,0)</f>
        <v>15203653478.326162</v>
      </c>
      <c r="BE68" s="100">
        <f t="shared" si="159"/>
        <v>15203653478.326162</v>
      </c>
      <c r="BF68" s="100">
        <f t="shared" si="159"/>
        <v>15203653478.326162</v>
      </c>
      <c r="BG68" s="100">
        <f t="shared" si="159"/>
        <v>15203653478.326162</v>
      </c>
      <c r="BH68" s="100">
        <f t="shared" si="159"/>
        <v>15203653478.326162</v>
      </c>
      <c r="BI68" s="100">
        <f t="shared" si="159"/>
        <v>15203653478.326162</v>
      </c>
      <c r="BJ68" s="100">
        <f t="shared" si="159"/>
        <v>15203653478.326162</v>
      </c>
      <c r="BK68" s="100">
        <f t="shared" si="159"/>
        <v>15203653478.326162</v>
      </c>
      <c r="BL68" s="100">
        <f t="shared" si="159"/>
        <v>15203653478.326162</v>
      </c>
      <c r="BM68" s="100">
        <f t="shared" si="159"/>
        <v>15203653478.326162</v>
      </c>
      <c r="BN68" s="100">
        <f t="shared" si="159"/>
        <v>15203653478.326162</v>
      </c>
      <c r="BO68" s="100">
        <f t="shared" si="159"/>
        <v>15203653478.326162</v>
      </c>
      <c r="BP68" s="100">
        <f t="shared" si="159"/>
        <v>15203653478.326162</v>
      </c>
      <c r="BQ68" s="100">
        <f t="shared" si="159"/>
        <v>15203653478.326162</v>
      </c>
      <c r="BR68" s="100">
        <f t="shared" si="159"/>
        <v>15203653478.326162</v>
      </c>
      <c r="BS68" s="100">
        <f t="shared" si="159"/>
        <v>15203653478.326162</v>
      </c>
      <c r="BT68" s="100">
        <f t="shared" si="159"/>
        <v>15203653478.326162</v>
      </c>
      <c r="BU68" s="100">
        <f t="shared" si="159"/>
        <v>15203653478.326162</v>
      </c>
      <c r="BV68" s="100">
        <f t="shared" si="159"/>
        <v>15203653478.326162</v>
      </c>
      <c r="BW68" s="100">
        <f t="shared" si="159"/>
        <v>15203653478.326162</v>
      </c>
      <c r="BX68" s="100">
        <f t="shared" si="159"/>
        <v>15203653478.326162</v>
      </c>
      <c r="BY68" s="100">
        <f t="shared" si="159"/>
        <v>15203653478.326162</v>
      </c>
      <c r="BZ68" s="100">
        <f t="shared" si="159"/>
        <v>15203653478.326162</v>
      </c>
      <c r="CA68" s="100">
        <f t="shared" si="159"/>
        <v>15203653478.326162</v>
      </c>
      <c r="CB68" s="100">
        <f t="shared" si="159"/>
        <v>15203653478.326162</v>
      </c>
      <c r="CC68" s="49">
        <f t="shared" si="155"/>
        <v>3040731.9119578758</v>
      </c>
      <c r="CD68" s="101">
        <f>IFERROR(up_RadSpec!$H$9*($AD$9/$B68),".")</f>
        <v>760182.97798946896</v>
      </c>
      <c r="CE68" s="101">
        <f>IFERROR(up_RadSpec!$H$9*($AE$9/$B68),".")</f>
        <v>760182.97798946896</v>
      </c>
      <c r="CF68" s="101">
        <f>IFERROR(up_RadSpec!$H$9*($BA$9/$B68),".")</f>
        <v>760182.97798946896</v>
      </c>
      <c r="CG68" s="101">
        <f>IFERROR(up_RadSpec!$H$9*($BA$9/$B68),".")</f>
        <v>760182.97798946896</v>
      </c>
      <c r="CH68" s="101">
        <f>IFERROR(up_RadSpec!$H$9*($BA$9/$B68),".")</f>
        <v>760182.97798946896</v>
      </c>
      <c r="CI68" s="101">
        <f>IFERROR(up_RadSpec!$H$9*($BA$9/$B68),".")</f>
        <v>760182.97798946896</v>
      </c>
      <c r="CJ68" s="101">
        <f>IFERROR(up_RadSpec!$H$9*($BA$9/$B68),".")</f>
        <v>760182.97798946896</v>
      </c>
      <c r="CK68" s="101">
        <f>IFERROR(up_RadSpec!$H$9*($BA$9/$B68),".")</f>
        <v>760182.97798946896</v>
      </c>
      <c r="CL68" s="101">
        <f>IFERROR(up_RadSpec!$H$9*($BA$9/$B68),".")</f>
        <v>760182.97798946896</v>
      </c>
      <c r="CM68" s="101">
        <f>IFERROR(up_RadSpec!$H$9*($BA$9/$B68),".")</f>
        <v>760182.97798946896</v>
      </c>
      <c r="CN68" s="101">
        <f>IFERROR(up_RadSpec!$H$9*($BA$9/$B68),".")</f>
        <v>760182.97798946896</v>
      </c>
      <c r="CO68" s="101">
        <f>IFERROR(up_RadSpec!$H$9*($BA$9/$B68),".")</f>
        <v>760182.97798946896</v>
      </c>
      <c r="CP68" s="101">
        <f>IFERROR(up_RadSpec!$H$9*($BA$9/$B68),".")</f>
        <v>760182.97798946896</v>
      </c>
      <c r="CQ68" s="101">
        <f>IFERROR(up_RadSpec!$H$9*($BA$9/$B68),".")</f>
        <v>760182.97798946896</v>
      </c>
      <c r="CR68" s="101">
        <f>IFERROR(up_RadSpec!$H$9*($BA$9/$B68),".")</f>
        <v>760182.97798946896</v>
      </c>
      <c r="CS68" s="101">
        <f>IFERROR(up_RadSpec!$H$9*($BA$9/$B68),".")</f>
        <v>760182.97798946896</v>
      </c>
      <c r="CT68" s="101">
        <f>IFERROR(up_RadSpec!$H$9*($BA$9/$B68),".")</f>
        <v>760182.97798946896</v>
      </c>
      <c r="CU68" s="101">
        <f>IFERROR(up_RadSpec!$H$9*($BA$9/$B68),".")</f>
        <v>760182.97798946896</v>
      </c>
      <c r="CV68" s="101">
        <f>IFERROR(up_RadSpec!$H$9*($BA$9/$B68),".")</f>
        <v>760182.97798946896</v>
      </c>
      <c r="CW68" s="101">
        <f>IFERROR(up_RadSpec!$H$9*($BA$9/$B68),".")</f>
        <v>760182.97798946896</v>
      </c>
      <c r="CX68" s="101">
        <f>IFERROR(up_RadSpec!$H$9*($BA$9/$B68),".")</f>
        <v>760182.97798946896</v>
      </c>
      <c r="CY68" s="101">
        <f>IFERROR(up_RadSpec!$H$9*($BA$9/$B68),".")</f>
        <v>760182.97798946896</v>
      </c>
      <c r="CZ68" s="101">
        <f>IFERROR(up_RadSpec!$H$9*($BA$9/$B68),".")</f>
        <v>760182.97798946896</v>
      </c>
      <c r="DA68" s="101">
        <f>IFERROR(up_RadSpec!$H$9*($BA$9/$B68),".")</f>
        <v>760182.97798946896</v>
      </c>
      <c r="DB68" s="101">
        <f>IFERROR(up_RadSpec!$H$9*($BB$9/$B68),".")</f>
        <v>760182.97798946896</v>
      </c>
    </row>
    <row r="69" spans="1:106" s="42" customFormat="1" x14ac:dyDescent="0.25">
      <c r="A69" s="99" t="s">
        <v>1090</v>
      </c>
      <c r="B69" s="90">
        <v>1.9999999999999999E-7</v>
      </c>
      <c r="C69" s="100">
        <f t="shared" ref="C69" si="160">IFERROR($B69/C24,0)</f>
        <v>12162.925215245972</v>
      </c>
      <c r="D69" s="100">
        <f t="shared" ref="D69:AB69" si="161">IFERROR($B69/D24,0)</f>
        <v>3040.731303811493</v>
      </c>
      <c r="E69" s="100">
        <f t="shared" si="161"/>
        <v>3040.731303811493</v>
      </c>
      <c r="F69" s="100">
        <f t="shared" si="161"/>
        <v>3040.731303811493</v>
      </c>
      <c r="G69" s="100">
        <f t="shared" si="161"/>
        <v>3040.731303811493</v>
      </c>
      <c r="H69" s="100">
        <f t="shared" si="161"/>
        <v>3040.731303811493</v>
      </c>
      <c r="I69" s="100">
        <f t="shared" si="161"/>
        <v>3040.731303811493</v>
      </c>
      <c r="J69" s="100">
        <f t="shared" si="161"/>
        <v>3040.731303811493</v>
      </c>
      <c r="K69" s="100">
        <f t="shared" si="161"/>
        <v>3040.731303811493</v>
      </c>
      <c r="L69" s="100">
        <f t="shared" si="161"/>
        <v>3040.731303811493</v>
      </c>
      <c r="M69" s="100">
        <f t="shared" si="161"/>
        <v>3040.731303811493</v>
      </c>
      <c r="N69" s="100">
        <f t="shared" si="161"/>
        <v>3040.731303811493</v>
      </c>
      <c r="O69" s="100">
        <f t="shared" si="161"/>
        <v>3040.731303811493</v>
      </c>
      <c r="P69" s="100">
        <f t="shared" si="161"/>
        <v>3040.731303811493</v>
      </c>
      <c r="Q69" s="100">
        <f t="shared" si="161"/>
        <v>3040.731303811493</v>
      </c>
      <c r="R69" s="100">
        <f t="shared" si="161"/>
        <v>3040.731303811493</v>
      </c>
      <c r="S69" s="100">
        <f t="shared" si="161"/>
        <v>3040.731303811493</v>
      </c>
      <c r="T69" s="100">
        <f t="shared" si="161"/>
        <v>3040.731303811493</v>
      </c>
      <c r="U69" s="100">
        <f t="shared" si="161"/>
        <v>3040.731303811493</v>
      </c>
      <c r="V69" s="100">
        <f t="shared" si="161"/>
        <v>3040.731303811493</v>
      </c>
      <c r="W69" s="100">
        <f t="shared" si="161"/>
        <v>3040.731303811493</v>
      </c>
      <c r="X69" s="100">
        <f t="shared" si="161"/>
        <v>3040.731303811493</v>
      </c>
      <c r="Y69" s="100">
        <f t="shared" si="161"/>
        <v>3040.731303811493</v>
      </c>
      <c r="Z69" s="100">
        <f t="shared" si="161"/>
        <v>3040.731303811493</v>
      </c>
      <c r="AA69" s="100">
        <f t="shared" si="161"/>
        <v>3040.731303811493</v>
      </c>
      <c r="AB69" s="100">
        <f t="shared" si="161"/>
        <v>3040.731303811493</v>
      </c>
      <c r="AC69" s="49">
        <f t="shared" si="152"/>
        <v>15203656519057.469</v>
      </c>
      <c r="AD69" s="101">
        <f>IFERROR(up_RadSpec!$H$24*($AD$24/$B69),".")</f>
        <v>3800914129764.3672</v>
      </c>
      <c r="AE69" s="101">
        <f>IFERROR(up_RadSpec!$H$24*($AE$24/$B69),".")</f>
        <v>3800914129764.3672</v>
      </c>
      <c r="AF69" s="101">
        <f>IFERROR(up_RadSpec!$H$24*($BA$24/$B69),".")</f>
        <v>3800914129764.3672</v>
      </c>
      <c r="AG69" s="101">
        <f>IFERROR(up_RadSpec!$H$24*($BA$24/$B69),".")</f>
        <v>3800914129764.3672</v>
      </c>
      <c r="AH69" s="101">
        <f>IFERROR(up_RadSpec!$H$24*($BA$24/$B69),".")</f>
        <v>3800914129764.3672</v>
      </c>
      <c r="AI69" s="101">
        <f>IFERROR(up_RadSpec!$H$24*($BA$24/$B69),".")</f>
        <v>3800914129764.3672</v>
      </c>
      <c r="AJ69" s="101">
        <f>IFERROR(up_RadSpec!$H$24*($BA$24/$B69),".")</f>
        <v>3800914129764.3672</v>
      </c>
      <c r="AK69" s="101">
        <f>IFERROR(up_RadSpec!$H$24*($BA$24/$B69),".")</f>
        <v>3800914129764.3672</v>
      </c>
      <c r="AL69" s="101">
        <f>IFERROR(up_RadSpec!$H$24*($BA$24/$B69),".")</f>
        <v>3800914129764.3672</v>
      </c>
      <c r="AM69" s="101">
        <f>IFERROR(up_RadSpec!$H$24*($BA$24/$B69),".")</f>
        <v>3800914129764.3672</v>
      </c>
      <c r="AN69" s="101">
        <f>IFERROR(up_RadSpec!$H$24*($BA$24/$B69),".")</f>
        <v>3800914129764.3672</v>
      </c>
      <c r="AO69" s="101">
        <f>IFERROR(up_RadSpec!$H$24*($BA$24/$B69),".")</f>
        <v>3800914129764.3672</v>
      </c>
      <c r="AP69" s="101">
        <f>IFERROR(up_RadSpec!$H$24*($BA$24/$B69),".")</f>
        <v>3800914129764.3672</v>
      </c>
      <c r="AQ69" s="101">
        <f>IFERROR(up_RadSpec!$H$24*($BA$24/$B69),".")</f>
        <v>3800914129764.3672</v>
      </c>
      <c r="AR69" s="101">
        <f>IFERROR(up_RadSpec!$H$24*($BA$24/$B69),".")</f>
        <v>3800914129764.3672</v>
      </c>
      <c r="AS69" s="101">
        <f>IFERROR(up_RadSpec!$H$24*($BA$24/$B69),".")</f>
        <v>3800914129764.3672</v>
      </c>
      <c r="AT69" s="101">
        <f>IFERROR(up_RadSpec!$H$24*($BA$24/$B69),".")</f>
        <v>3800914129764.3672</v>
      </c>
      <c r="AU69" s="101">
        <f>IFERROR(up_RadSpec!$H$24*($BA$24/$B69),".")</f>
        <v>3800914129764.3672</v>
      </c>
      <c r="AV69" s="101">
        <f>IFERROR(up_RadSpec!$H$24*($BA$24/$B69),".")</f>
        <v>3800914129764.3672</v>
      </c>
      <c r="AW69" s="101">
        <f>IFERROR(up_RadSpec!$H$24*($BA$24/$B69),".")</f>
        <v>3800914129764.3672</v>
      </c>
      <c r="AX69" s="101">
        <f>IFERROR(up_RadSpec!$H$24*($BA$24/$B69),".")</f>
        <v>3800914129764.3672</v>
      </c>
      <c r="AY69" s="101">
        <f>IFERROR(up_RadSpec!$H$24*($BA$24/$B69),".")</f>
        <v>3800914129764.3672</v>
      </c>
      <c r="AZ69" s="101">
        <f>IFERROR(up_RadSpec!$H$24*($BA$24/$B69),".")</f>
        <v>3800914129764.3672</v>
      </c>
      <c r="BA69" s="101">
        <f>IFERROR(up_RadSpec!$H$24*($BA$24/$B69),".")</f>
        <v>3800914129764.3672</v>
      </c>
      <c r="BB69" s="101">
        <f>IFERROR(up_RadSpec!$H$24*($BB$24/$B69),".")</f>
        <v>3800914129764.3672</v>
      </c>
      <c r="BC69" s="100">
        <f t="shared" ref="BC69" si="162">IFERROR($B69/BC24,0)</f>
        <v>12162.925215245972</v>
      </c>
      <c r="BD69" s="100">
        <f t="shared" ref="BD69:CB69" si="163">IFERROR($B69/BD24,0)</f>
        <v>3040.731303811493</v>
      </c>
      <c r="BE69" s="100">
        <f t="shared" si="163"/>
        <v>3040.731303811493</v>
      </c>
      <c r="BF69" s="100">
        <f t="shared" si="163"/>
        <v>3040.731303811493</v>
      </c>
      <c r="BG69" s="100">
        <f t="shared" si="163"/>
        <v>3040.731303811493</v>
      </c>
      <c r="BH69" s="100">
        <f t="shared" si="163"/>
        <v>3040.731303811493</v>
      </c>
      <c r="BI69" s="100">
        <f t="shared" si="163"/>
        <v>3040.731303811493</v>
      </c>
      <c r="BJ69" s="100">
        <f t="shared" si="163"/>
        <v>3040.731303811493</v>
      </c>
      <c r="BK69" s="100">
        <f t="shared" si="163"/>
        <v>3040.731303811493</v>
      </c>
      <c r="BL69" s="100">
        <f t="shared" si="163"/>
        <v>3040.731303811493</v>
      </c>
      <c r="BM69" s="100">
        <f t="shared" si="163"/>
        <v>3040.731303811493</v>
      </c>
      <c r="BN69" s="100">
        <f t="shared" si="163"/>
        <v>3040.731303811493</v>
      </c>
      <c r="BO69" s="100">
        <f t="shared" si="163"/>
        <v>3040.731303811493</v>
      </c>
      <c r="BP69" s="100">
        <f t="shared" si="163"/>
        <v>3040.731303811493</v>
      </c>
      <c r="BQ69" s="100">
        <f t="shared" si="163"/>
        <v>3040.731303811493</v>
      </c>
      <c r="BR69" s="100">
        <f t="shared" si="163"/>
        <v>3040.731303811493</v>
      </c>
      <c r="BS69" s="100">
        <f t="shared" si="163"/>
        <v>3040.731303811493</v>
      </c>
      <c r="BT69" s="100">
        <f t="shared" si="163"/>
        <v>3040.731303811493</v>
      </c>
      <c r="BU69" s="100">
        <f t="shared" si="163"/>
        <v>3040.731303811493</v>
      </c>
      <c r="BV69" s="100">
        <f t="shared" si="163"/>
        <v>3040.731303811493</v>
      </c>
      <c r="BW69" s="100">
        <f t="shared" si="163"/>
        <v>3040.731303811493</v>
      </c>
      <c r="BX69" s="100">
        <f t="shared" si="163"/>
        <v>3040.731303811493</v>
      </c>
      <c r="BY69" s="100">
        <f t="shared" si="163"/>
        <v>3040.731303811493</v>
      </c>
      <c r="BZ69" s="100">
        <f t="shared" si="163"/>
        <v>3040.731303811493</v>
      </c>
      <c r="CA69" s="100">
        <f t="shared" si="163"/>
        <v>3040.731303811493</v>
      </c>
      <c r="CB69" s="100">
        <f t="shared" si="163"/>
        <v>3040.731303811493</v>
      </c>
      <c r="CC69" s="49">
        <f t="shared" si="155"/>
        <v>15203656519057.469</v>
      </c>
      <c r="CD69" s="101">
        <f>IFERROR(up_RadSpec!$H$24*($AD$24/$B69),".")</f>
        <v>3800914129764.3672</v>
      </c>
      <c r="CE69" s="101">
        <f>IFERROR(up_RadSpec!$H$24*($AE$24/$B69),".")</f>
        <v>3800914129764.3672</v>
      </c>
      <c r="CF69" s="101">
        <f>IFERROR(up_RadSpec!$H$24*($BA$24/$B69),".")</f>
        <v>3800914129764.3672</v>
      </c>
      <c r="CG69" s="101">
        <f>IFERROR(up_RadSpec!$H$24*($BA$24/$B69),".")</f>
        <v>3800914129764.3672</v>
      </c>
      <c r="CH69" s="101">
        <f>IFERROR(up_RadSpec!$H$24*($BA$24/$B69),".")</f>
        <v>3800914129764.3672</v>
      </c>
      <c r="CI69" s="101">
        <f>IFERROR(up_RadSpec!$H$24*($BA$24/$B69),".")</f>
        <v>3800914129764.3672</v>
      </c>
      <c r="CJ69" s="101">
        <f>IFERROR(up_RadSpec!$H$24*($BA$24/$B69),".")</f>
        <v>3800914129764.3672</v>
      </c>
      <c r="CK69" s="101">
        <f>IFERROR(up_RadSpec!$H$24*($BA$24/$B69),".")</f>
        <v>3800914129764.3672</v>
      </c>
      <c r="CL69" s="101">
        <f>IFERROR(up_RadSpec!$H$24*($BA$24/$B69),".")</f>
        <v>3800914129764.3672</v>
      </c>
      <c r="CM69" s="101">
        <f>IFERROR(up_RadSpec!$H$24*($BA$24/$B69),".")</f>
        <v>3800914129764.3672</v>
      </c>
      <c r="CN69" s="101">
        <f>IFERROR(up_RadSpec!$H$24*($BA$24/$B69),".")</f>
        <v>3800914129764.3672</v>
      </c>
      <c r="CO69" s="101">
        <f>IFERROR(up_RadSpec!$H$24*($BA$24/$B69),".")</f>
        <v>3800914129764.3672</v>
      </c>
      <c r="CP69" s="101">
        <f>IFERROR(up_RadSpec!$H$24*($BA$24/$B69),".")</f>
        <v>3800914129764.3672</v>
      </c>
      <c r="CQ69" s="101">
        <f>IFERROR(up_RadSpec!$H$24*($BA$24/$B69),".")</f>
        <v>3800914129764.3672</v>
      </c>
      <c r="CR69" s="101">
        <f>IFERROR(up_RadSpec!$H$24*($BA$24/$B69),".")</f>
        <v>3800914129764.3672</v>
      </c>
      <c r="CS69" s="101">
        <f>IFERROR(up_RadSpec!$H$24*($BA$24/$B69),".")</f>
        <v>3800914129764.3672</v>
      </c>
      <c r="CT69" s="101">
        <f>IFERROR(up_RadSpec!$H$24*($BA$24/$B69),".")</f>
        <v>3800914129764.3672</v>
      </c>
      <c r="CU69" s="101">
        <f>IFERROR(up_RadSpec!$H$24*($BA$24/$B69),".")</f>
        <v>3800914129764.3672</v>
      </c>
      <c r="CV69" s="101">
        <f>IFERROR(up_RadSpec!$H$24*($BA$24/$B69),".")</f>
        <v>3800914129764.3672</v>
      </c>
      <c r="CW69" s="101">
        <f>IFERROR(up_RadSpec!$H$24*($BA$24/$B69),".")</f>
        <v>3800914129764.3672</v>
      </c>
      <c r="CX69" s="101">
        <f>IFERROR(up_RadSpec!$H$24*($BA$24/$B69),".")</f>
        <v>3800914129764.3672</v>
      </c>
      <c r="CY69" s="101">
        <f>IFERROR(up_RadSpec!$H$24*($BA$24/$B69),".")</f>
        <v>3800914129764.3672</v>
      </c>
      <c r="CZ69" s="101">
        <f>IFERROR(up_RadSpec!$H$24*($BA$24/$B69),".")</f>
        <v>3800914129764.3672</v>
      </c>
      <c r="DA69" s="101">
        <f>IFERROR(up_RadSpec!$H$24*($BA$24/$B69),".")</f>
        <v>3800914129764.3672</v>
      </c>
      <c r="DB69" s="101">
        <f>IFERROR(up_RadSpec!$H$24*($BB$24/$B69),".")</f>
        <v>3800914129764.3672</v>
      </c>
    </row>
    <row r="70" spans="1:106" s="42" customFormat="1" x14ac:dyDescent="0.25">
      <c r="A70" s="99" t="s">
        <v>1091</v>
      </c>
      <c r="B70" s="90">
        <v>0.99979000004200003</v>
      </c>
      <c r="C70" s="100">
        <f t="shared" ref="C70" si="164">IFERROR($B70/C20,0)</f>
        <v>60801855007.308075</v>
      </c>
      <c r="D70" s="100">
        <f t="shared" ref="D70:AB70" si="165">IFERROR($B70/D20,0)</f>
        <v>15200463751.827019</v>
      </c>
      <c r="E70" s="100">
        <f t="shared" si="165"/>
        <v>15200463751.827019</v>
      </c>
      <c r="F70" s="100">
        <f t="shared" si="165"/>
        <v>15200463751.827019</v>
      </c>
      <c r="G70" s="100">
        <f t="shared" si="165"/>
        <v>15200463751.827019</v>
      </c>
      <c r="H70" s="100">
        <f t="shared" si="165"/>
        <v>15200463751.827019</v>
      </c>
      <c r="I70" s="100">
        <f t="shared" si="165"/>
        <v>15200463751.827019</v>
      </c>
      <c r="J70" s="100">
        <f t="shared" si="165"/>
        <v>15200463751.827019</v>
      </c>
      <c r="K70" s="100">
        <f t="shared" si="165"/>
        <v>15200463751.827019</v>
      </c>
      <c r="L70" s="100">
        <f t="shared" si="165"/>
        <v>15200463751.827019</v>
      </c>
      <c r="M70" s="100">
        <f t="shared" si="165"/>
        <v>15200463751.827019</v>
      </c>
      <c r="N70" s="100">
        <f t="shared" si="165"/>
        <v>15200463751.827019</v>
      </c>
      <c r="O70" s="100">
        <f t="shared" si="165"/>
        <v>15200463751.827019</v>
      </c>
      <c r="P70" s="100">
        <f t="shared" si="165"/>
        <v>15200463751.827019</v>
      </c>
      <c r="Q70" s="100">
        <f t="shared" si="165"/>
        <v>15200463751.827019</v>
      </c>
      <c r="R70" s="100">
        <f t="shared" si="165"/>
        <v>15200463751.827019</v>
      </c>
      <c r="S70" s="100">
        <f t="shared" si="165"/>
        <v>15200463751.827019</v>
      </c>
      <c r="T70" s="100">
        <f t="shared" si="165"/>
        <v>15200463751.827019</v>
      </c>
      <c r="U70" s="100">
        <f t="shared" si="165"/>
        <v>15200463751.827019</v>
      </c>
      <c r="V70" s="100">
        <f t="shared" si="165"/>
        <v>15200463751.827019</v>
      </c>
      <c r="W70" s="100">
        <f t="shared" si="165"/>
        <v>15200463751.827019</v>
      </c>
      <c r="X70" s="100">
        <f t="shared" si="165"/>
        <v>15200463751.827019</v>
      </c>
      <c r="Y70" s="100">
        <f t="shared" si="165"/>
        <v>15200463751.827019</v>
      </c>
      <c r="Z70" s="100">
        <f t="shared" si="165"/>
        <v>15200463751.827019</v>
      </c>
      <c r="AA70" s="100">
        <f t="shared" si="165"/>
        <v>15200463751.827019</v>
      </c>
      <c r="AB70" s="100">
        <f t="shared" si="165"/>
        <v>15200463751.827019</v>
      </c>
      <c r="AC70" s="49">
        <f t="shared" si="152"/>
        <v>3041369.991381946</v>
      </c>
      <c r="AD70" s="101">
        <f>IFERROR(up_RadSpec!$H$20*($AD$20/$B70),".")</f>
        <v>760342.4978454865</v>
      </c>
      <c r="AE70" s="101">
        <f>IFERROR(up_RadSpec!$H$20*($AE$20/$B70),".")</f>
        <v>760342.4978454865</v>
      </c>
      <c r="AF70" s="101">
        <f>IFERROR(up_RadSpec!$H$20*($BA$20/$B70),".")</f>
        <v>760342.4978454865</v>
      </c>
      <c r="AG70" s="101">
        <f>IFERROR(up_RadSpec!$H$20*($BA$20/$B70),".")</f>
        <v>760342.4978454865</v>
      </c>
      <c r="AH70" s="101">
        <f>IFERROR(up_RadSpec!$H$20*($BA$20/$B70),".")</f>
        <v>760342.4978454865</v>
      </c>
      <c r="AI70" s="101">
        <f>IFERROR(up_RadSpec!$H$20*($BA$20/$B70),".")</f>
        <v>760342.4978454865</v>
      </c>
      <c r="AJ70" s="101">
        <f>IFERROR(up_RadSpec!$H$20*($BA$20/$B70),".")</f>
        <v>760342.4978454865</v>
      </c>
      <c r="AK70" s="101">
        <f>IFERROR(up_RadSpec!$H$20*($BA$20/$B70),".")</f>
        <v>760342.4978454865</v>
      </c>
      <c r="AL70" s="101">
        <f>IFERROR(up_RadSpec!$H$20*($BA$20/$B70),".")</f>
        <v>760342.4978454865</v>
      </c>
      <c r="AM70" s="101">
        <f>IFERROR(up_RadSpec!$H$20*($BA$20/$B70),".")</f>
        <v>760342.4978454865</v>
      </c>
      <c r="AN70" s="101">
        <f>IFERROR(up_RadSpec!$H$20*($BA$20/$B70),".")</f>
        <v>760342.4978454865</v>
      </c>
      <c r="AO70" s="101">
        <f>IFERROR(up_RadSpec!$H$20*($BA$20/$B70),".")</f>
        <v>760342.4978454865</v>
      </c>
      <c r="AP70" s="101">
        <f>IFERROR(up_RadSpec!$H$20*($BA$20/$B70),".")</f>
        <v>760342.4978454865</v>
      </c>
      <c r="AQ70" s="101">
        <f>IFERROR(up_RadSpec!$H$20*($BA$20/$B70),".")</f>
        <v>760342.4978454865</v>
      </c>
      <c r="AR70" s="101">
        <f>IFERROR(up_RadSpec!$H$20*($BA$20/$B70),".")</f>
        <v>760342.4978454865</v>
      </c>
      <c r="AS70" s="101">
        <f>IFERROR(up_RadSpec!$H$20*($BA$20/$B70),".")</f>
        <v>760342.4978454865</v>
      </c>
      <c r="AT70" s="101">
        <f>IFERROR(up_RadSpec!$H$20*($BA$20/$B70),".")</f>
        <v>760342.4978454865</v>
      </c>
      <c r="AU70" s="101">
        <f>IFERROR(up_RadSpec!$H$20*($BA$20/$B70),".")</f>
        <v>760342.4978454865</v>
      </c>
      <c r="AV70" s="101">
        <f>IFERROR(up_RadSpec!$H$20*($BA$20/$B70),".")</f>
        <v>760342.4978454865</v>
      </c>
      <c r="AW70" s="101">
        <f>IFERROR(up_RadSpec!$H$20*($BA$20/$B70),".")</f>
        <v>760342.4978454865</v>
      </c>
      <c r="AX70" s="101">
        <f>IFERROR(up_RadSpec!$H$20*($BA$20/$B70),".")</f>
        <v>760342.4978454865</v>
      </c>
      <c r="AY70" s="101">
        <f>IFERROR(up_RadSpec!$H$20*($BA$20/$B70),".")</f>
        <v>760342.4978454865</v>
      </c>
      <c r="AZ70" s="101">
        <f>IFERROR(up_RadSpec!$H$20*($BA$20/$B70),".")</f>
        <v>760342.4978454865</v>
      </c>
      <c r="BA70" s="101">
        <f>IFERROR(up_RadSpec!$H$20*($BA$20/$B70),".")</f>
        <v>760342.4978454865</v>
      </c>
      <c r="BB70" s="101">
        <f>IFERROR(up_RadSpec!$H$20*($BB$20/$B70),".")</f>
        <v>760342.4978454865</v>
      </c>
      <c r="BC70" s="100">
        <f t="shared" ref="BC70" si="166">IFERROR($B70/BC20,0)</f>
        <v>60801855007.308075</v>
      </c>
      <c r="BD70" s="100">
        <f t="shared" ref="BD70:CB70" si="167">IFERROR($B70/BD20,0)</f>
        <v>15200463751.827019</v>
      </c>
      <c r="BE70" s="100">
        <f t="shared" si="167"/>
        <v>15200463751.827019</v>
      </c>
      <c r="BF70" s="100">
        <f t="shared" si="167"/>
        <v>15200463751.827019</v>
      </c>
      <c r="BG70" s="100">
        <f t="shared" si="167"/>
        <v>15200463751.827019</v>
      </c>
      <c r="BH70" s="100">
        <f t="shared" si="167"/>
        <v>15200463751.827019</v>
      </c>
      <c r="BI70" s="100">
        <f t="shared" si="167"/>
        <v>15200463751.827019</v>
      </c>
      <c r="BJ70" s="100">
        <f t="shared" si="167"/>
        <v>15200463751.827019</v>
      </c>
      <c r="BK70" s="100">
        <f t="shared" si="167"/>
        <v>15200463751.827019</v>
      </c>
      <c r="BL70" s="100">
        <f t="shared" si="167"/>
        <v>15200463751.827019</v>
      </c>
      <c r="BM70" s="100">
        <f t="shared" si="167"/>
        <v>15200463751.827019</v>
      </c>
      <c r="BN70" s="100">
        <f t="shared" si="167"/>
        <v>15200463751.827019</v>
      </c>
      <c r="BO70" s="100">
        <f t="shared" si="167"/>
        <v>15200463751.827019</v>
      </c>
      <c r="BP70" s="100">
        <f t="shared" si="167"/>
        <v>15200463751.827019</v>
      </c>
      <c r="BQ70" s="100">
        <f t="shared" si="167"/>
        <v>15200463751.827019</v>
      </c>
      <c r="BR70" s="100">
        <f t="shared" si="167"/>
        <v>15200463751.827019</v>
      </c>
      <c r="BS70" s="100">
        <f t="shared" si="167"/>
        <v>15200463751.827019</v>
      </c>
      <c r="BT70" s="100">
        <f t="shared" si="167"/>
        <v>15200463751.827019</v>
      </c>
      <c r="BU70" s="100">
        <f t="shared" si="167"/>
        <v>15200463751.827019</v>
      </c>
      <c r="BV70" s="100">
        <f t="shared" si="167"/>
        <v>15200463751.827019</v>
      </c>
      <c r="BW70" s="100">
        <f t="shared" si="167"/>
        <v>15200463751.827019</v>
      </c>
      <c r="BX70" s="100">
        <f t="shared" si="167"/>
        <v>15200463751.827019</v>
      </c>
      <c r="BY70" s="100">
        <f t="shared" si="167"/>
        <v>15200463751.827019</v>
      </c>
      <c r="BZ70" s="100">
        <f t="shared" si="167"/>
        <v>15200463751.827019</v>
      </c>
      <c r="CA70" s="100">
        <f t="shared" si="167"/>
        <v>15200463751.827019</v>
      </c>
      <c r="CB70" s="100">
        <f t="shared" si="167"/>
        <v>15200463751.827019</v>
      </c>
      <c r="CC70" s="49">
        <f t="shared" si="155"/>
        <v>3041369.991381946</v>
      </c>
      <c r="CD70" s="101">
        <f>IFERROR(up_RadSpec!$H$20*($AD$20/$B70),".")</f>
        <v>760342.4978454865</v>
      </c>
      <c r="CE70" s="101">
        <f>IFERROR(up_RadSpec!$H$20*($AE$20/$B70),".")</f>
        <v>760342.4978454865</v>
      </c>
      <c r="CF70" s="101">
        <f>IFERROR(up_RadSpec!$H$20*($BA$20/$B70),".")</f>
        <v>760342.4978454865</v>
      </c>
      <c r="CG70" s="101">
        <f>IFERROR(up_RadSpec!$H$20*($BA$20/$B70),".")</f>
        <v>760342.4978454865</v>
      </c>
      <c r="CH70" s="101">
        <f>IFERROR(up_RadSpec!$H$20*($BA$20/$B70),".")</f>
        <v>760342.4978454865</v>
      </c>
      <c r="CI70" s="101">
        <f>IFERROR(up_RadSpec!$H$20*($BA$20/$B70),".")</f>
        <v>760342.4978454865</v>
      </c>
      <c r="CJ70" s="101">
        <f>IFERROR(up_RadSpec!$H$20*($BA$20/$B70),".")</f>
        <v>760342.4978454865</v>
      </c>
      <c r="CK70" s="101">
        <f>IFERROR(up_RadSpec!$H$20*($BA$20/$B70),".")</f>
        <v>760342.4978454865</v>
      </c>
      <c r="CL70" s="101">
        <f>IFERROR(up_RadSpec!$H$20*($BA$20/$B70),".")</f>
        <v>760342.4978454865</v>
      </c>
      <c r="CM70" s="101">
        <f>IFERROR(up_RadSpec!$H$20*($BA$20/$B70),".")</f>
        <v>760342.4978454865</v>
      </c>
      <c r="CN70" s="101">
        <f>IFERROR(up_RadSpec!$H$20*($BA$20/$B70),".")</f>
        <v>760342.4978454865</v>
      </c>
      <c r="CO70" s="101">
        <f>IFERROR(up_RadSpec!$H$20*($BA$20/$B70),".")</f>
        <v>760342.4978454865</v>
      </c>
      <c r="CP70" s="101">
        <f>IFERROR(up_RadSpec!$H$20*($BA$20/$B70),".")</f>
        <v>760342.4978454865</v>
      </c>
      <c r="CQ70" s="101">
        <f>IFERROR(up_RadSpec!$H$20*($BA$20/$B70),".")</f>
        <v>760342.4978454865</v>
      </c>
      <c r="CR70" s="101">
        <f>IFERROR(up_RadSpec!$H$20*($BA$20/$B70),".")</f>
        <v>760342.4978454865</v>
      </c>
      <c r="CS70" s="101">
        <f>IFERROR(up_RadSpec!$H$20*($BA$20/$B70),".")</f>
        <v>760342.4978454865</v>
      </c>
      <c r="CT70" s="101">
        <f>IFERROR(up_RadSpec!$H$20*($BA$20/$B70),".")</f>
        <v>760342.4978454865</v>
      </c>
      <c r="CU70" s="101">
        <f>IFERROR(up_RadSpec!$H$20*($BA$20/$B70),".")</f>
        <v>760342.4978454865</v>
      </c>
      <c r="CV70" s="101">
        <f>IFERROR(up_RadSpec!$H$20*($BA$20/$B70),".")</f>
        <v>760342.4978454865</v>
      </c>
      <c r="CW70" s="101">
        <f>IFERROR(up_RadSpec!$H$20*($BA$20/$B70),".")</f>
        <v>760342.4978454865</v>
      </c>
      <c r="CX70" s="101">
        <f>IFERROR(up_RadSpec!$H$20*($BA$20/$B70),".")</f>
        <v>760342.4978454865</v>
      </c>
      <c r="CY70" s="101">
        <f>IFERROR(up_RadSpec!$H$20*($BA$20/$B70),".")</f>
        <v>760342.4978454865</v>
      </c>
      <c r="CZ70" s="101">
        <f>IFERROR(up_RadSpec!$H$20*($BA$20/$B70),".")</f>
        <v>760342.4978454865</v>
      </c>
      <c r="DA70" s="101">
        <f>IFERROR(up_RadSpec!$H$20*($BA$20/$B70),".")</f>
        <v>760342.4978454865</v>
      </c>
      <c r="DB70" s="101">
        <f>IFERROR(up_RadSpec!$H$20*($BB$20/$B70),".")</f>
        <v>760342.4978454865</v>
      </c>
    </row>
    <row r="71" spans="1:106" s="42" customFormat="1" x14ac:dyDescent="0.25">
      <c r="A71" s="99" t="s">
        <v>1092</v>
      </c>
      <c r="B71" s="90">
        <v>2.0999995799999999E-4</v>
      </c>
      <c r="C71" s="100">
        <f t="shared" ref="C71" si="168">IFERROR($B71/C29,0)</f>
        <v>12771068.921793975</v>
      </c>
      <c r="D71" s="100">
        <f t="shared" ref="D71:AB71" si="169">IFERROR($B71/D29,0)</f>
        <v>3192767.2304484937</v>
      </c>
      <c r="E71" s="100">
        <f t="shared" si="169"/>
        <v>3192767.2304484937</v>
      </c>
      <c r="F71" s="100">
        <f t="shared" si="169"/>
        <v>3192767.2304484937</v>
      </c>
      <c r="G71" s="100">
        <f t="shared" si="169"/>
        <v>3192767.2304484937</v>
      </c>
      <c r="H71" s="100">
        <f t="shared" si="169"/>
        <v>3192767.2304484937</v>
      </c>
      <c r="I71" s="100">
        <f t="shared" si="169"/>
        <v>3192767.2304484937</v>
      </c>
      <c r="J71" s="100">
        <f t="shared" si="169"/>
        <v>3192767.2304484937</v>
      </c>
      <c r="K71" s="100">
        <f t="shared" si="169"/>
        <v>3192767.2304484937</v>
      </c>
      <c r="L71" s="100">
        <f t="shared" si="169"/>
        <v>3192767.2304484937</v>
      </c>
      <c r="M71" s="100">
        <f t="shared" si="169"/>
        <v>3192767.2304484937</v>
      </c>
      <c r="N71" s="100">
        <f t="shared" si="169"/>
        <v>3192767.2304484937</v>
      </c>
      <c r="O71" s="100">
        <f t="shared" si="169"/>
        <v>3192767.2304484937</v>
      </c>
      <c r="P71" s="100">
        <f t="shared" si="169"/>
        <v>3192767.2304484937</v>
      </c>
      <c r="Q71" s="100">
        <f t="shared" si="169"/>
        <v>3192767.2304484937</v>
      </c>
      <c r="R71" s="100">
        <f t="shared" si="169"/>
        <v>3192767.2304484937</v>
      </c>
      <c r="S71" s="100">
        <f t="shared" si="169"/>
        <v>3192767.2304484937</v>
      </c>
      <c r="T71" s="100">
        <f t="shared" si="169"/>
        <v>3192767.2304484937</v>
      </c>
      <c r="U71" s="100">
        <f t="shared" si="169"/>
        <v>3192767.2304484937</v>
      </c>
      <c r="V71" s="100">
        <f t="shared" si="169"/>
        <v>3192767.2304484937</v>
      </c>
      <c r="W71" s="100">
        <f t="shared" si="169"/>
        <v>3192767.2304484937</v>
      </c>
      <c r="X71" s="100">
        <f t="shared" si="169"/>
        <v>3192767.2304484937</v>
      </c>
      <c r="Y71" s="100">
        <f t="shared" si="169"/>
        <v>3192767.2304484937</v>
      </c>
      <c r="Z71" s="100">
        <f t="shared" si="169"/>
        <v>3192767.2304484937</v>
      </c>
      <c r="AA71" s="100">
        <f t="shared" si="169"/>
        <v>3192767.2304484937</v>
      </c>
      <c r="AB71" s="100">
        <f t="shared" si="169"/>
        <v>3192767.2304484937</v>
      </c>
      <c r="AC71" s="49">
        <f t="shared" si="152"/>
        <v>14479675771.227982</v>
      </c>
      <c r="AD71" s="101">
        <f>IFERROR(up_RadSpec!$H$29*($AD$29/$B71),".")</f>
        <v>3619918942.8069954</v>
      </c>
      <c r="AE71" s="101">
        <f>IFERROR(up_RadSpec!$H$29*($AE$29/$B71),".")</f>
        <v>3619918942.8069954</v>
      </c>
      <c r="AF71" s="101">
        <f>IFERROR(up_RadSpec!$H$29*($BA$29/$B71),".")</f>
        <v>3619918942.8069954</v>
      </c>
      <c r="AG71" s="101">
        <f>IFERROR(up_RadSpec!$H$29*($BA$29/$B71),".")</f>
        <v>3619918942.8069954</v>
      </c>
      <c r="AH71" s="101">
        <f>IFERROR(up_RadSpec!$H$29*($BA$29/$B71),".")</f>
        <v>3619918942.8069954</v>
      </c>
      <c r="AI71" s="101">
        <f>IFERROR(up_RadSpec!$H$29*($BA$29/$B71),".")</f>
        <v>3619918942.8069954</v>
      </c>
      <c r="AJ71" s="101">
        <f>IFERROR(up_RadSpec!$H$29*($BA$29/$B71),".")</f>
        <v>3619918942.8069954</v>
      </c>
      <c r="AK71" s="101">
        <f>IFERROR(up_RadSpec!$H$29*($BA$29/$B71),".")</f>
        <v>3619918942.8069954</v>
      </c>
      <c r="AL71" s="101">
        <f>IFERROR(up_RadSpec!$H$29*($BA$29/$B71),".")</f>
        <v>3619918942.8069954</v>
      </c>
      <c r="AM71" s="101">
        <f>IFERROR(up_RadSpec!$H$29*($BA$29/$B71),".")</f>
        <v>3619918942.8069954</v>
      </c>
      <c r="AN71" s="101">
        <f>IFERROR(up_RadSpec!$H$29*($BA$29/$B71),".")</f>
        <v>3619918942.8069954</v>
      </c>
      <c r="AO71" s="101">
        <f>IFERROR(up_RadSpec!$H$29*($BA$29/$B71),".")</f>
        <v>3619918942.8069954</v>
      </c>
      <c r="AP71" s="101">
        <f>IFERROR(up_RadSpec!$H$29*($BA$29/$B71),".")</f>
        <v>3619918942.8069954</v>
      </c>
      <c r="AQ71" s="101">
        <f>IFERROR(up_RadSpec!$H$29*($BA$29/$B71),".")</f>
        <v>3619918942.8069954</v>
      </c>
      <c r="AR71" s="101">
        <f>IFERROR(up_RadSpec!$H$29*($BA$29/$B71),".")</f>
        <v>3619918942.8069954</v>
      </c>
      <c r="AS71" s="101">
        <f>IFERROR(up_RadSpec!$H$29*($BA$29/$B71),".")</f>
        <v>3619918942.8069954</v>
      </c>
      <c r="AT71" s="101">
        <f>IFERROR(up_RadSpec!$H$29*($BA$29/$B71),".")</f>
        <v>3619918942.8069954</v>
      </c>
      <c r="AU71" s="101">
        <f>IFERROR(up_RadSpec!$H$29*($BA$29/$B71),".")</f>
        <v>3619918942.8069954</v>
      </c>
      <c r="AV71" s="101">
        <f>IFERROR(up_RadSpec!$H$29*($BA$29/$B71),".")</f>
        <v>3619918942.8069954</v>
      </c>
      <c r="AW71" s="101">
        <f>IFERROR(up_RadSpec!$H$29*($BA$29/$B71),".")</f>
        <v>3619918942.8069954</v>
      </c>
      <c r="AX71" s="101">
        <f>IFERROR(up_RadSpec!$H$29*($BA$29/$B71),".")</f>
        <v>3619918942.8069954</v>
      </c>
      <c r="AY71" s="101">
        <f>IFERROR(up_RadSpec!$H$29*($BA$29/$B71),".")</f>
        <v>3619918942.8069954</v>
      </c>
      <c r="AZ71" s="101">
        <f>IFERROR(up_RadSpec!$H$29*($BA$29/$B71),".")</f>
        <v>3619918942.8069954</v>
      </c>
      <c r="BA71" s="101">
        <f>IFERROR(up_RadSpec!$H$29*($BA$29/$B71),".")</f>
        <v>3619918942.8069954</v>
      </c>
      <c r="BB71" s="101">
        <f>IFERROR(up_RadSpec!$H$29*($BB$29/$B71),".")</f>
        <v>3619918942.8069954</v>
      </c>
      <c r="BC71" s="100">
        <f t="shared" ref="BC71" si="170">IFERROR($B71/BC29,0)</f>
        <v>12771068.921793975</v>
      </c>
      <c r="BD71" s="100">
        <f t="shared" ref="BD71:CB71" si="171">IFERROR($B71/BD29,0)</f>
        <v>3192767.2304484937</v>
      </c>
      <c r="BE71" s="100">
        <f t="shared" si="171"/>
        <v>3192767.2304484937</v>
      </c>
      <c r="BF71" s="100">
        <f t="shared" si="171"/>
        <v>3192767.2304484937</v>
      </c>
      <c r="BG71" s="100">
        <f t="shared" si="171"/>
        <v>3192767.2304484937</v>
      </c>
      <c r="BH71" s="100">
        <f t="shared" si="171"/>
        <v>3192767.2304484937</v>
      </c>
      <c r="BI71" s="100">
        <f t="shared" si="171"/>
        <v>3192767.2304484937</v>
      </c>
      <c r="BJ71" s="100">
        <f t="shared" si="171"/>
        <v>3192767.2304484937</v>
      </c>
      <c r="BK71" s="100">
        <f t="shared" si="171"/>
        <v>3192767.2304484937</v>
      </c>
      <c r="BL71" s="100">
        <f t="shared" si="171"/>
        <v>3192767.2304484937</v>
      </c>
      <c r="BM71" s="100">
        <f t="shared" si="171"/>
        <v>3192767.2304484937</v>
      </c>
      <c r="BN71" s="100">
        <f t="shared" si="171"/>
        <v>3192767.2304484937</v>
      </c>
      <c r="BO71" s="100">
        <f t="shared" si="171"/>
        <v>3192767.2304484937</v>
      </c>
      <c r="BP71" s="100">
        <f t="shared" si="171"/>
        <v>3192767.2304484937</v>
      </c>
      <c r="BQ71" s="100">
        <f t="shared" si="171"/>
        <v>3192767.2304484937</v>
      </c>
      <c r="BR71" s="100">
        <f t="shared" si="171"/>
        <v>3192767.2304484937</v>
      </c>
      <c r="BS71" s="100">
        <f t="shared" si="171"/>
        <v>3192767.2304484937</v>
      </c>
      <c r="BT71" s="100">
        <f t="shared" si="171"/>
        <v>3192767.2304484937</v>
      </c>
      <c r="BU71" s="100">
        <f t="shared" si="171"/>
        <v>3192767.2304484937</v>
      </c>
      <c r="BV71" s="100">
        <f t="shared" si="171"/>
        <v>3192767.2304484937</v>
      </c>
      <c r="BW71" s="100">
        <f t="shared" si="171"/>
        <v>3192767.2304484937</v>
      </c>
      <c r="BX71" s="100">
        <f t="shared" si="171"/>
        <v>3192767.2304484937</v>
      </c>
      <c r="BY71" s="100">
        <f t="shared" si="171"/>
        <v>3192767.2304484937</v>
      </c>
      <c r="BZ71" s="100">
        <f t="shared" si="171"/>
        <v>3192767.2304484937</v>
      </c>
      <c r="CA71" s="100">
        <f t="shared" si="171"/>
        <v>3192767.2304484937</v>
      </c>
      <c r="CB71" s="100">
        <f t="shared" si="171"/>
        <v>3192767.2304484937</v>
      </c>
      <c r="CC71" s="49">
        <f t="shared" si="155"/>
        <v>14479675771.227982</v>
      </c>
      <c r="CD71" s="101">
        <f>IFERROR(up_RadSpec!$H$29*($AD$29/$B71),".")</f>
        <v>3619918942.8069954</v>
      </c>
      <c r="CE71" s="101">
        <f>IFERROR(up_RadSpec!$H$29*($AE$29/$B71),".")</f>
        <v>3619918942.8069954</v>
      </c>
      <c r="CF71" s="101">
        <f>IFERROR(up_RadSpec!$H$29*($BA$29/$B71),".")</f>
        <v>3619918942.8069954</v>
      </c>
      <c r="CG71" s="101">
        <f>IFERROR(up_RadSpec!$H$29*($BA$29/$B71),".")</f>
        <v>3619918942.8069954</v>
      </c>
      <c r="CH71" s="101">
        <f>IFERROR(up_RadSpec!$H$29*($BA$29/$B71),".")</f>
        <v>3619918942.8069954</v>
      </c>
      <c r="CI71" s="101">
        <f>IFERROR(up_RadSpec!$H$29*($BA$29/$B71),".")</f>
        <v>3619918942.8069954</v>
      </c>
      <c r="CJ71" s="101">
        <f>IFERROR(up_RadSpec!$H$29*($BA$29/$B71),".")</f>
        <v>3619918942.8069954</v>
      </c>
      <c r="CK71" s="101">
        <f>IFERROR(up_RadSpec!$H$29*($BA$29/$B71),".")</f>
        <v>3619918942.8069954</v>
      </c>
      <c r="CL71" s="101">
        <f>IFERROR(up_RadSpec!$H$29*($BA$29/$B71),".")</f>
        <v>3619918942.8069954</v>
      </c>
      <c r="CM71" s="101">
        <f>IFERROR(up_RadSpec!$H$29*($BA$29/$B71),".")</f>
        <v>3619918942.8069954</v>
      </c>
      <c r="CN71" s="101">
        <f>IFERROR(up_RadSpec!$H$29*($BA$29/$B71),".")</f>
        <v>3619918942.8069954</v>
      </c>
      <c r="CO71" s="101">
        <f>IFERROR(up_RadSpec!$H$29*($BA$29/$B71),".")</f>
        <v>3619918942.8069954</v>
      </c>
      <c r="CP71" s="101">
        <f>IFERROR(up_RadSpec!$H$29*($BA$29/$B71),".")</f>
        <v>3619918942.8069954</v>
      </c>
      <c r="CQ71" s="101">
        <f>IFERROR(up_RadSpec!$H$29*($BA$29/$B71),".")</f>
        <v>3619918942.8069954</v>
      </c>
      <c r="CR71" s="101">
        <f>IFERROR(up_RadSpec!$H$29*($BA$29/$B71),".")</f>
        <v>3619918942.8069954</v>
      </c>
      <c r="CS71" s="101">
        <f>IFERROR(up_RadSpec!$H$29*($BA$29/$B71),".")</f>
        <v>3619918942.8069954</v>
      </c>
      <c r="CT71" s="101">
        <f>IFERROR(up_RadSpec!$H$29*($BA$29/$B71),".")</f>
        <v>3619918942.8069954</v>
      </c>
      <c r="CU71" s="101">
        <f>IFERROR(up_RadSpec!$H$29*($BA$29/$B71),".")</f>
        <v>3619918942.8069954</v>
      </c>
      <c r="CV71" s="101">
        <f>IFERROR(up_RadSpec!$H$29*($BA$29/$B71),".")</f>
        <v>3619918942.8069954</v>
      </c>
      <c r="CW71" s="101">
        <f>IFERROR(up_RadSpec!$H$29*($BA$29/$B71),".")</f>
        <v>3619918942.8069954</v>
      </c>
      <c r="CX71" s="101">
        <f>IFERROR(up_RadSpec!$H$29*($BA$29/$B71),".")</f>
        <v>3619918942.8069954</v>
      </c>
      <c r="CY71" s="101">
        <f>IFERROR(up_RadSpec!$H$29*($BA$29/$B71),".")</f>
        <v>3619918942.8069954</v>
      </c>
      <c r="CZ71" s="101">
        <f>IFERROR(up_RadSpec!$H$29*($BA$29/$B71),".")</f>
        <v>3619918942.8069954</v>
      </c>
      <c r="DA71" s="101">
        <f>IFERROR(up_RadSpec!$H$29*($BA$29/$B71),".")</f>
        <v>3619918942.8069954</v>
      </c>
      <c r="DB71" s="101">
        <f>IFERROR(up_RadSpec!$H$29*($BB$29/$B71),".")</f>
        <v>3619918942.8069954</v>
      </c>
    </row>
    <row r="72" spans="1:106" s="42" customFormat="1" x14ac:dyDescent="0.25">
      <c r="A72" s="99" t="s">
        <v>1093</v>
      </c>
      <c r="B72" s="90">
        <v>1</v>
      </c>
      <c r="C72" s="100">
        <f t="shared" ref="C72" si="172">IFERROR($B72/C16,0)</f>
        <v>60814626076.229866</v>
      </c>
      <c r="D72" s="100">
        <f t="shared" ref="D72:AB72" si="173">IFERROR($B72/D16,0)</f>
        <v>15203656519.057467</v>
      </c>
      <c r="E72" s="100">
        <f t="shared" si="173"/>
        <v>15203656519.057467</v>
      </c>
      <c r="F72" s="100">
        <f t="shared" si="173"/>
        <v>15203656519.057467</v>
      </c>
      <c r="G72" s="100">
        <f t="shared" si="173"/>
        <v>15203656519.057467</v>
      </c>
      <c r="H72" s="100">
        <f t="shared" si="173"/>
        <v>15203656519.057467</v>
      </c>
      <c r="I72" s="100">
        <f t="shared" si="173"/>
        <v>15203656519.057467</v>
      </c>
      <c r="J72" s="100">
        <f t="shared" si="173"/>
        <v>15203656519.057467</v>
      </c>
      <c r="K72" s="100">
        <f t="shared" si="173"/>
        <v>15203656519.057467</v>
      </c>
      <c r="L72" s="100">
        <f t="shared" si="173"/>
        <v>15203656519.057467</v>
      </c>
      <c r="M72" s="100">
        <f t="shared" si="173"/>
        <v>15203656519.057467</v>
      </c>
      <c r="N72" s="100">
        <f t="shared" si="173"/>
        <v>15203656519.057467</v>
      </c>
      <c r="O72" s="100">
        <f t="shared" si="173"/>
        <v>15203656519.057467</v>
      </c>
      <c r="P72" s="100">
        <f t="shared" si="173"/>
        <v>15203656519.057467</v>
      </c>
      <c r="Q72" s="100">
        <f t="shared" si="173"/>
        <v>15203656519.057467</v>
      </c>
      <c r="R72" s="100">
        <f t="shared" si="173"/>
        <v>15203656519.057467</v>
      </c>
      <c r="S72" s="100">
        <f t="shared" si="173"/>
        <v>15203656519.057467</v>
      </c>
      <c r="T72" s="100">
        <f t="shared" si="173"/>
        <v>15203656519.057467</v>
      </c>
      <c r="U72" s="100">
        <f t="shared" si="173"/>
        <v>15203656519.057467</v>
      </c>
      <c r="V72" s="100">
        <f t="shared" si="173"/>
        <v>15203656519.057467</v>
      </c>
      <c r="W72" s="100">
        <f t="shared" si="173"/>
        <v>15203656519.057467</v>
      </c>
      <c r="X72" s="100">
        <f t="shared" si="173"/>
        <v>15203656519.057467</v>
      </c>
      <c r="Y72" s="100">
        <f t="shared" si="173"/>
        <v>15203656519.057467</v>
      </c>
      <c r="Z72" s="100">
        <f t="shared" si="173"/>
        <v>15203656519.057467</v>
      </c>
      <c r="AA72" s="100">
        <f t="shared" si="173"/>
        <v>15203656519.057467</v>
      </c>
      <c r="AB72" s="100">
        <f t="shared" si="173"/>
        <v>15203656519.057467</v>
      </c>
      <c r="AC72" s="49">
        <f t="shared" si="152"/>
        <v>3040731.3038114933</v>
      </c>
      <c r="AD72" s="101">
        <f>IFERROR(up_RadSpec!$H$16*($AD$16/$B72),".")</f>
        <v>760182.82595287333</v>
      </c>
      <c r="AE72" s="101">
        <f>IFERROR(up_RadSpec!$H$16*($AE$16/$B72),".")</f>
        <v>760182.82595287333</v>
      </c>
      <c r="AF72" s="101">
        <f>IFERROR(up_RadSpec!$H$16*($BA$16/$B72),".")</f>
        <v>760182.82595287333</v>
      </c>
      <c r="AG72" s="101">
        <f>IFERROR(up_RadSpec!$H$16*($BA$16/$B72),".")</f>
        <v>760182.82595287333</v>
      </c>
      <c r="AH72" s="101">
        <f>IFERROR(up_RadSpec!$H$16*($BA$16/$B72),".")</f>
        <v>760182.82595287333</v>
      </c>
      <c r="AI72" s="101">
        <f>IFERROR(up_RadSpec!$H$16*($BA$16/$B72),".")</f>
        <v>760182.82595287333</v>
      </c>
      <c r="AJ72" s="101">
        <f>IFERROR(up_RadSpec!$H$16*($BA$16/$B72),".")</f>
        <v>760182.82595287333</v>
      </c>
      <c r="AK72" s="101">
        <f>IFERROR(up_RadSpec!$H$16*($BA$16/$B72),".")</f>
        <v>760182.82595287333</v>
      </c>
      <c r="AL72" s="101">
        <f>IFERROR(up_RadSpec!$H$16*($BA$16/$B72),".")</f>
        <v>760182.82595287333</v>
      </c>
      <c r="AM72" s="101">
        <f>IFERROR(up_RadSpec!$H$16*($BA$16/$B72),".")</f>
        <v>760182.82595287333</v>
      </c>
      <c r="AN72" s="101">
        <f>IFERROR(up_RadSpec!$H$16*($BA$16/$B72),".")</f>
        <v>760182.82595287333</v>
      </c>
      <c r="AO72" s="101">
        <f>IFERROR(up_RadSpec!$H$16*($BA$16/$B72),".")</f>
        <v>760182.82595287333</v>
      </c>
      <c r="AP72" s="101">
        <f>IFERROR(up_RadSpec!$H$16*($BA$16/$B72),".")</f>
        <v>760182.82595287333</v>
      </c>
      <c r="AQ72" s="101">
        <f>IFERROR(up_RadSpec!$H$16*($BA$16/$B72),".")</f>
        <v>760182.82595287333</v>
      </c>
      <c r="AR72" s="101">
        <f>IFERROR(up_RadSpec!$H$16*($BA$16/$B72),".")</f>
        <v>760182.82595287333</v>
      </c>
      <c r="AS72" s="101">
        <f>IFERROR(up_RadSpec!$H$16*($BA$16/$B72),".")</f>
        <v>760182.82595287333</v>
      </c>
      <c r="AT72" s="101">
        <f>IFERROR(up_RadSpec!$H$16*($BA$16/$B72),".")</f>
        <v>760182.82595287333</v>
      </c>
      <c r="AU72" s="101">
        <f>IFERROR(up_RadSpec!$H$16*($BA$16/$B72),".")</f>
        <v>760182.82595287333</v>
      </c>
      <c r="AV72" s="101">
        <f>IFERROR(up_RadSpec!$H$16*($BA$16/$B72),".")</f>
        <v>760182.82595287333</v>
      </c>
      <c r="AW72" s="101">
        <f>IFERROR(up_RadSpec!$H$16*($BA$16/$B72),".")</f>
        <v>760182.82595287333</v>
      </c>
      <c r="AX72" s="101">
        <f>IFERROR(up_RadSpec!$H$16*($BA$16/$B72),".")</f>
        <v>760182.82595287333</v>
      </c>
      <c r="AY72" s="101">
        <f>IFERROR(up_RadSpec!$H$16*($BA$16/$B72),".")</f>
        <v>760182.82595287333</v>
      </c>
      <c r="AZ72" s="101">
        <f>IFERROR(up_RadSpec!$H$16*($BA$16/$B72),".")</f>
        <v>760182.82595287333</v>
      </c>
      <c r="BA72" s="101">
        <f>IFERROR(up_RadSpec!$H$16*($BA$16/$B72),".")</f>
        <v>760182.82595287333</v>
      </c>
      <c r="BB72" s="101">
        <f>IFERROR(up_RadSpec!$H$16*($BB$16/$B72),".")</f>
        <v>760182.82595287333</v>
      </c>
      <c r="BC72" s="100">
        <f t="shared" ref="BC72" si="174">IFERROR($B72/BC16,0)</f>
        <v>60814626076.229866</v>
      </c>
      <c r="BD72" s="100">
        <f t="shared" ref="BD72:CB72" si="175">IFERROR($B72/BD16,0)</f>
        <v>15203656519.057467</v>
      </c>
      <c r="BE72" s="100">
        <f t="shared" si="175"/>
        <v>15203656519.057467</v>
      </c>
      <c r="BF72" s="100">
        <f t="shared" si="175"/>
        <v>15203656519.057467</v>
      </c>
      <c r="BG72" s="100">
        <f t="shared" si="175"/>
        <v>15203656519.057467</v>
      </c>
      <c r="BH72" s="100">
        <f t="shared" si="175"/>
        <v>15203656519.057467</v>
      </c>
      <c r="BI72" s="100">
        <f t="shared" si="175"/>
        <v>15203656519.057467</v>
      </c>
      <c r="BJ72" s="100">
        <f t="shared" si="175"/>
        <v>15203656519.057467</v>
      </c>
      <c r="BK72" s="100">
        <f t="shared" si="175"/>
        <v>15203656519.057467</v>
      </c>
      <c r="BL72" s="100">
        <f t="shared" si="175"/>
        <v>15203656519.057467</v>
      </c>
      <c r="BM72" s="100">
        <f t="shared" si="175"/>
        <v>15203656519.057467</v>
      </c>
      <c r="BN72" s="100">
        <f t="shared" si="175"/>
        <v>15203656519.057467</v>
      </c>
      <c r="BO72" s="100">
        <f t="shared" si="175"/>
        <v>15203656519.057467</v>
      </c>
      <c r="BP72" s="100">
        <f t="shared" si="175"/>
        <v>15203656519.057467</v>
      </c>
      <c r="BQ72" s="100">
        <f t="shared" si="175"/>
        <v>15203656519.057467</v>
      </c>
      <c r="BR72" s="100">
        <f t="shared" si="175"/>
        <v>15203656519.057467</v>
      </c>
      <c r="BS72" s="100">
        <f t="shared" si="175"/>
        <v>15203656519.057467</v>
      </c>
      <c r="BT72" s="100">
        <f t="shared" si="175"/>
        <v>15203656519.057467</v>
      </c>
      <c r="BU72" s="100">
        <f t="shared" si="175"/>
        <v>15203656519.057467</v>
      </c>
      <c r="BV72" s="100">
        <f t="shared" si="175"/>
        <v>15203656519.057467</v>
      </c>
      <c r="BW72" s="100">
        <f t="shared" si="175"/>
        <v>15203656519.057467</v>
      </c>
      <c r="BX72" s="100">
        <f t="shared" si="175"/>
        <v>15203656519.057467</v>
      </c>
      <c r="BY72" s="100">
        <f t="shared" si="175"/>
        <v>15203656519.057467</v>
      </c>
      <c r="BZ72" s="100">
        <f t="shared" si="175"/>
        <v>15203656519.057467</v>
      </c>
      <c r="CA72" s="100">
        <f t="shared" si="175"/>
        <v>15203656519.057467</v>
      </c>
      <c r="CB72" s="100">
        <f t="shared" si="175"/>
        <v>15203656519.057467</v>
      </c>
      <c r="CC72" s="49">
        <f t="shared" si="155"/>
        <v>3040731.3038114933</v>
      </c>
      <c r="CD72" s="101">
        <f>IFERROR(up_RadSpec!$H$16*($AD$16/$B72),".")</f>
        <v>760182.82595287333</v>
      </c>
      <c r="CE72" s="101">
        <f>IFERROR(up_RadSpec!$H$16*($AE$16/$B72),".")</f>
        <v>760182.82595287333</v>
      </c>
      <c r="CF72" s="101">
        <f>IFERROR(up_RadSpec!$H$16*($BA$16/$B72),".")</f>
        <v>760182.82595287333</v>
      </c>
      <c r="CG72" s="101">
        <f>IFERROR(up_RadSpec!$H$16*($BA$16/$B72),".")</f>
        <v>760182.82595287333</v>
      </c>
      <c r="CH72" s="101">
        <f>IFERROR(up_RadSpec!$H$16*($BA$16/$B72),".")</f>
        <v>760182.82595287333</v>
      </c>
      <c r="CI72" s="101">
        <f>IFERROR(up_RadSpec!$H$16*($BA$16/$B72),".")</f>
        <v>760182.82595287333</v>
      </c>
      <c r="CJ72" s="101">
        <f>IFERROR(up_RadSpec!$H$16*($BA$16/$B72),".")</f>
        <v>760182.82595287333</v>
      </c>
      <c r="CK72" s="101">
        <f>IFERROR(up_RadSpec!$H$16*($BA$16/$B72),".")</f>
        <v>760182.82595287333</v>
      </c>
      <c r="CL72" s="101">
        <f>IFERROR(up_RadSpec!$H$16*($BA$16/$B72),".")</f>
        <v>760182.82595287333</v>
      </c>
      <c r="CM72" s="101">
        <f>IFERROR(up_RadSpec!$H$16*($BA$16/$B72),".")</f>
        <v>760182.82595287333</v>
      </c>
      <c r="CN72" s="101">
        <f>IFERROR(up_RadSpec!$H$16*($BA$16/$B72),".")</f>
        <v>760182.82595287333</v>
      </c>
      <c r="CO72" s="101">
        <f>IFERROR(up_RadSpec!$H$16*($BA$16/$B72),".")</f>
        <v>760182.82595287333</v>
      </c>
      <c r="CP72" s="101">
        <f>IFERROR(up_RadSpec!$H$16*($BA$16/$B72),".")</f>
        <v>760182.82595287333</v>
      </c>
      <c r="CQ72" s="101">
        <f>IFERROR(up_RadSpec!$H$16*($BA$16/$B72),".")</f>
        <v>760182.82595287333</v>
      </c>
      <c r="CR72" s="101">
        <f>IFERROR(up_RadSpec!$H$16*($BA$16/$B72),".")</f>
        <v>760182.82595287333</v>
      </c>
      <c r="CS72" s="101">
        <f>IFERROR(up_RadSpec!$H$16*($BA$16/$B72),".")</f>
        <v>760182.82595287333</v>
      </c>
      <c r="CT72" s="101">
        <f>IFERROR(up_RadSpec!$H$16*($BA$16/$B72),".")</f>
        <v>760182.82595287333</v>
      </c>
      <c r="CU72" s="101">
        <f>IFERROR(up_RadSpec!$H$16*($BA$16/$B72),".")</f>
        <v>760182.82595287333</v>
      </c>
      <c r="CV72" s="101">
        <f>IFERROR(up_RadSpec!$H$16*($BA$16/$B72),".")</f>
        <v>760182.82595287333</v>
      </c>
      <c r="CW72" s="101">
        <f>IFERROR(up_RadSpec!$H$16*($BA$16/$B72),".")</f>
        <v>760182.82595287333</v>
      </c>
      <c r="CX72" s="101">
        <f>IFERROR(up_RadSpec!$H$16*($BA$16/$B72),".")</f>
        <v>760182.82595287333</v>
      </c>
      <c r="CY72" s="101">
        <f>IFERROR(up_RadSpec!$H$16*($BA$16/$B72),".")</f>
        <v>760182.82595287333</v>
      </c>
      <c r="CZ72" s="101">
        <f>IFERROR(up_RadSpec!$H$16*($BA$16/$B72),".")</f>
        <v>760182.82595287333</v>
      </c>
      <c r="DA72" s="101">
        <f>IFERROR(up_RadSpec!$H$16*($BA$16/$B72),".")</f>
        <v>760182.82595287333</v>
      </c>
      <c r="DB72" s="101">
        <f>IFERROR(up_RadSpec!$H$16*($BB$16/$B72),".")</f>
        <v>760182.82595287333</v>
      </c>
    </row>
    <row r="73" spans="1:106" s="42" customFormat="1" x14ac:dyDescent="0.25">
      <c r="A73" s="99" t="s">
        <v>1094</v>
      </c>
      <c r="B73" s="90">
        <v>1</v>
      </c>
      <c r="C73" s="100">
        <f t="shared" ref="C73" si="176">IFERROR($B73/C7,0)</f>
        <v>60814626076.229866</v>
      </c>
      <c r="D73" s="100">
        <f t="shared" ref="D73:AB73" si="177">IFERROR($B73/D7,0)</f>
        <v>15203656519.057467</v>
      </c>
      <c r="E73" s="100">
        <f t="shared" si="177"/>
        <v>15203656519.057467</v>
      </c>
      <c r="F73" s="100">
        <f t="shared" si="177"/>
        <v>15203656519.057467</v>
      </c>
      <c r="G73" s="100">
        <f t="shared" si="177"/>
        <v>15203656519.057467</v>
      </c>
      <c r="H73" s="100">
        <f t="shared" si="177"/>
        <v>15203656519.057467</v>
      </c>
      <c r="I73" s="100">
        <f t="shared" si="177"/>
        <v>15203656519.057467</v>
      </c>
      <c r="J73" s="100">
        <f t="shared" si="177"/>
        <v>15203656519.057467</v>
      </c>
      <c r="K73" s="100">
        <f t="shared" si="177"/>
        <v>15203656519.057467</v>
      </c>
      <c r="L73" s="100">
        <f t="shared" si="177"/>
        <v>15203656519.057467</v>
      </c>
      <c r="M73" s="100">
        <f t="shared" si="177"/>
        <v>15203656519.057467</v>
      </c>
      <c r="N73" s="100">
        <f t="shared" si="177"/>
        <v>15203656519.057467</v>
      </c>
      <c r="O73" s="100">
        <f t="shared" si="177"/>
        <v>15203656519.057467</v>
      </c>
      <c r="P73" s="100">
        <f t="shared" si="177"/>
        <v>15203656519.057467</v>
      </c>
      <c r="Q73" s="100">
        <f t="shared" si="177"/>
        <v>15203656519.057467</v>
      </c>
      <c r="R73" s="100">
        <f t="shared" si="177"/>
        <v>15203656519.057467</v>
      </c>
      <c r="S73" s="100">
        <f t="shared" si="177"/>
        <v>15203656519.057467</v>
      </c>
      <c r="T73" s="100">
        <f t="shared" si="177"/>
        <v>15203656519.057467</v>
      </c>
      <c r="U73" s="100">
        <f t="shared" si="177"/>
        <v>15203656519.057467</v>
      </c>
      <c r="V73" s="100">
        <f t="shared" si="177"/>
        <v>15203656519.057467</v>
      </c>
      <c r="W73" s="100">
        <f t="shared" si="177"/>
        <v>15203656519.057467</v>
      </c>
      <c r="X73" s="100">
        <f t="shared" si="177"/>
        <v>15203656519.057467</v>
      </c>
      <c r="Y73" s="100">
        <f t="shared" si="177"/>
        <v>15203656519.057467</v>
      </c>
      <c r="Z73" s="100">
        <f t="shared" si="177"/>
        <v>15203656519.057467</v>
      </c>
      <c r="AA73" s="100">
        <f t="shared" si="177"/>
        <v>15203656519.057467</v>
      </c>
      <c r="AB73" s="100">
        <f t="shared" si="177"/>
        <v>15203656519.057467</v>
      </c>
      <c r="AC73" s="49">
        <f t="shared" si="152"/>
        <v>3040731.3038114933</v>
      </c>
      <c r="AD73" s="101">
        <f>IFERROR(up_RadSpec!$H$7*($AD$7/$B73),".")</f>
        <v>760182.82595287333</v>
      </c>
      <c r="AE73" s="101">
        <f>IFERROR(up_RadSpec!$H$7*($AE$7/$B73),".")</f>
        <v>760182.82595287333</v>
      </c>
      <c r="AF73" s="101">
        <f>IFERROR(up_RadSpec!$H$7*($BA$7/$B73),".")</f>
        <v>760182.82595287333</v>
      </c>
      <c r="AG73" s="101">
        <f>IFERROR(up_RadSpec!$H$7*($BA$7/$B73),".")</f>
        <v>760182.82595287333</v>
      </c>
      <c r="AH73" s="101">
        <f>IFERROR(up_RadSpec!$H$7*($BA$7/$B73),".")</f>
        <v>760182.82595287333</v>
      </c>
      <c r="AI73" s="101">
        <f>IFERROR(up_RadSpec!$H$7*($BA$7/$B73),".")</f>
        <v>760182.82595287333</v>
      </c>
      <c r="AJ73" s="101">
        <f>IFERROR(up_RadSpec!$H$7*($BA$7/$B73),".")</f>
        <v>760182.82595287333</v>
      </c>
      <c r="AK73" s="101">
        <f>IFERROR(up_RadSpec!$H$7*($BA$7/$B73),".")</f>
        <v>760182.82595287333</v>
      </c>
      <c r="AL73" s="101">
        <f>IFERROR(up_RadSpec!$H$7*($BA$7/$B73),".")</f>
        <v>760182.82595287333</v>
      </c>
      <c r="AM73" s="101">
        <f>IFERROR(up_RadSpec!$H$7*($BA$7/$B73),".")</f>
        <v>760182.82595287333</v>
      </c>
      <c r="AN73" s="101">
        <f>IFERROR(up_RadSpec!$H$7*($BA$7/$B73),".")</f>
        <v>760182.82595287333</v>
      </c>
      <c r="AO73" s="101">
        <f>IFERROR(up_RadSpec!$H$7*($BA$7/$B73),".")</f>
        <v>760182.82595287333</v>
      </c>
      <c r="AP73" s="101">
        <f>IFERROR(up_RadSpec!$H$7*($BA$7/$B73),".")</f>
        <v>760182.82595287333</v>
      </c>
      <c r="AQ73" s="101">
        <f>IFERROR(up_RadSpec!$H$7*($BA$7/$B73),".")</f>
        <v>760182.82595287333</v>
      </c>
      <c r="AR73" s="101">
        <f>IFERROR(up_RadSpec!$H$7*($BA$7/$B73),".")</f>
        <v>760182.82595287333</v>
      </c>
      <c r="AS73" s="101">
        <f>IFERROR(up_RadSpec!$H$7*($BA$7/$B73),".")</f>
        <v>760182.82595287333</v>
      </c>
      <c r="AT73" s="101">
        <f>IFERROR(up_RadSpec!$H$7*($BA$7/$B73),".")</f>
        <v>760182.82595287333</v>
      </c>
      <c r="AU73" s="101">
        <f>IFERROR(up_RadSpec!$H$7*($BA$7/$B73),".")</f>
        <v>760182.82595287333</v>
      </c>
      <c r="AV73" s="101">
        <f>IFERROR(up_RadSpec!$H$7*($BA$7/$B73),".")</f>
        <v>760182.82595287333</v>
      </c>
      <c r="AW73" s="101">
        <f>IFERROR(up_RadSpec!$H$7*($BA$7/$B73),".")</f>
        <v>760182.82595287333</v>
      </c>
      <c r="AX73" s="101">
        <f>IFERROR(up_RadSpec!$H$7*($BA$7/$B73),".")</f>
        <v>760182.82595287333</v>
      </c>
      <c r="AY73" s="101">
        <f>IFERROR(up_RadSpec!$H$7*($BA$7/$B73),".")</f>
        <v>760182.82595287333</v>
      </c>
      <c r="AZ73" s="101">
        <f>IFERROR(up_RadSpec!$H$7*($BA$7/$B73),".")</f>
        <v>760182.82595287333</v>
      </c>
      <c r="BA73" s="101">
        <f>IFERROR(up_RadSpec!$H$7*($BA$7/$B73),".")</f>
        <v>760182.82595287333</v>
      </c>
      <c r="BB73" s="101">
        <f>IFERROR(up_RadSpec!$H$7*($BB$7/$B73),".")</f>
        <v>760182.82595287333</v>
      </c>
      <c r="BC73" s="100">
        <f t="shared" ref="BC73" si="178">IFERROR($B73/BC7,0)</f>
        <v>60814626076.229866</v>
      </c>
      <c r="BD73" s="100">
        <f t="shared" ref="BD73:CB73" si="179">IFERROR($B73/BD7,0)</f>
        <v>15203656519.057467</v>
      </c>
      <c r="BE73" s="100">
        <f t="shared" si="179"/>
        <v>15203656519.057467</v>
      </c>
      <c r="BF73" s="100">
        <f t="shared" si="179"/>
        <v>15203656519.057467</v>
      </c>
      <c r="BG73" s="100">
        <f t="shared" si="179"/>
        <v>15203656519.057467</v>
      </c>
      <c r="BH73" s="100">
        <f t="shared" si="179"/>
        <v>15203656519.057467</v>
      </c>
      <c r="BI73" s="100">
        <f t="shared" si="179"/>
        <v>15203656519.057467</v>
      </c>
      <c r="BJ73" s="100">
        <f t="shared" si="179"/>
        <v>15203656519.057467</v>
      </c>
      <c r="BK73" s="100">
        <f t="shared" si="179"/>
        <v>15203656519.057467</v>
      </c>
      <c r="BL73" s="100">
        <f t="shared" si="179"/>
        <v>15203656519.057467</v>
      </c>
      <c r="BM73" s="100">
        <f t="shared" si="179"/>
        <v>15203656519.057467</v>
      </c>
      <c r="BN73" s="100">
        <f t="shared" si="179"/>
        <v>15203656519.057467</v>
      </c>
      <c r="BO73" s="100">
        <f t="shared" si="179"/>
        <v>15203656519.057467</v>
      </c>
      <c r="BP73" s="100">
        <f t="shared" si="179"/>
        <v>15203656519.057467</v>
      </c>
      <c r="BQ73" s="100">
        <f t="shared" si="179"/>
        <v>15203656519.057467</v>
      </c>
      <c r="BR73" s="100">
        <f t="shared" si="179"/>
        <v>15203656519.057467</v>
      </c>
      <c r="BS73" s="100">
        <f t="shared" si="179"/>
        <v>15203656519.057467</v>
      </c>
      <c r="BT73" s="100">
        <f t="shared" si="179"/>
        <v>15203656519.057467</v>
      </c>
      <c r="BU73" s="100">
        <f t="shared" si="179"/>
        <v>15203656519.057467</v>
      </c>
      <c r="BV73" s="100">
        <f t="shared" si="179"/>
        <v>15203656519.057467</v>
      </c>
      <c r="BW73" s="100">
        <f t="shared" si="179"/>
        <v>15203656519.057467</v>
      </c>
      <c r="BX73" s="100">
        <f t="shared" si="179"/>
        <v>15203656519.057467</v>
      </c>
      <c r="BY73" s="100">
        <f t="shared" si="179"/>
        <v>15203656519.057467</v>
      </c>
      <c r="BZ73" s="100">
        <f t="shared" si="179"/>
        <v>15203656519.057467</v>
      </c>
      <c r="CA73" s="100">
        <f t="shared" si="179"/>
        <v>15203656519.057467</v>
      </c>
      <c r="CB73" s="100">
        <f t="shared" si="179"/>
        <v>15203656519.057467</v>
      </c>
      <c r="CC73" s="49">
        <f t="shared" si="155"/>
        <v>3040731.3038114933</v>
      </c>
      <c r="CD73" s="101">
        <f>IFERROR(up_RadSpec!$H$7*($AD$7/$B73),".")</f>
        <v>760182.82595287333</v>
      </c>
      <c r="CE73" s="101">
        <f>IFERROR(up_RadSpec!$H$7*($AE$7/$B73),".")</f>
        <v>760182.82595287333</v>
      </c>
      <c r="CF73" s="101">
        <f>IFERROR(up_RadSpec!$H$7*($BA$7/$B73),".")</f>
        <v>760182.82595287333</v>
      </c>
      <c r="CG73" s="101">
        <f>IFERROR(up_RadSpec!$H$7*($BA$7/$B73),".")</f>
        <v>760182.82595287333</v>
      </c>
      <c r="CH73" s="101">
        <f>IFERROR(up_RadSpec!$H$7*($BA$7/$B73),".")</f>
        <v>760182.82595287333</v>
      </c>
      <c r="CI73" s="101">
        <f>IFERROR(up_RadSpec!$H$7*($BA$7/$B73),".")</f>
        <v>760182.82595287333</v>
      </c>
      <c r="CJ73" s="101">
        <f>IFERROR(up_RadSpec!$H$7*($BA$7/$B73),".")</f>
        <v>760182.82595287333</v>
      </c>
      <c r="CK73" s="101">
        <f>IFERROR(up_RadSpec!$H$7*($BA$7/$B73),".")</f>
        <v>760182.82595287333</v>
      </c>
      <c r="CL73" s="101">
        <f>IFERROR(up_RadSpec!$H$7*($BA$7/$B73),".")</f>
        <v>760182.82595287333</v>
      </c>
      <c r="CM73" s="101">
        <f>IFERROR(up_RadSpec!$H$7*($BA$7/$B73),".")</f>
        <v>760182.82595287333</v>
      </c>
      <c r="CN73" s="101">
        <f>IFERROR(up_RadSpec!$H$7*($BA$7/$B73),".")</f>
        <v>760182.82595287333</v>
      </c>
      <c r="CO73" s="101">
        <f>IFERROR(up_RadSpec!$H$7*($BA$7/$B73),".")</f>
        <v>760182.82595287333</v>
      </c>
      <c r="CP73" s="101">
        <f>IFERROR(up_RadSpec!$H$7*($BA$7/$B73),".")</f>
        <v>760182.82595287333</v>
      </c>
      <c r="CQ73" s="101">
        <f>IFERROR(up_RadSpec!$H$7*($BA$7/$B73),".")</f>
        <v>760182.82595287333</v>
      </c>
      <c r="CR73" s="101">
        <f>IFERROR(up_RadSpec!$H$7*($BA$7/$B73),".")</f>
        <v>760182.82595287333</v>
      </c>
      <c r="CS73" s="101">
        <f>IFERROR(up_RadSpec!$H$7*($BA$7/$B73),".")</f>
        <v>760182.82595287333</v>
      </c>
      <c r="CT73" s="101">
        <f>IFERROR(up_RadSpec!$H$7*($BA$7/$B73),".")</f>
        <v>760182.82595287333</v>
      </c>
      <c r="CU73" s="101">
        <f>IFERROR(up_RadSpec!$H$7*($BA$7/$B73),".")</f>
        <v>760182.82595287333</v>
      </c>
      <c r="CV73" s="101">
        <f>IFERROR(up_RadSpec!$H$7*($BA$7/$B73),".")</f>
        <v>760182.82595287333</v>
      </c>
      <c r="CW73" s="101">
        <f>IFERROR(up_RadSpec!$H$7*($BA$7/$B73),".")</f>
        <v>760182.82595287333</v>
      </c>
      <c r="CX73" s="101">
        <f>IFERROR(up_RadSpec!$H$7*($BA$7/$B73),".")</f>
        <v>760182.82595287333</v>
      </c>
      <c r="CY73" s="101">
        <f>IFERROR(up_RadSpec!$H$7*($BA$7/$B73),".")</f>
        <v>760182.82595287333</v>
      </c>
      <c r="CZ73" s="101">
        <f>IFERROR(up_RadSpec!$H$7*($BA$7/$B73),".")</f>
        <v>760182.82595287333</v>
      </c>
      <c r="DA73" s="101">
        <f>IFERROR(up_RadSpec!$H$7*($BA$7/$B73),".")</f>
        <v>760182.82595287333</v>
      </c>
      <c r="DB73" s="101">
        <f>IFERROR(up_RadSpec!$H$7*($BB$7/$B73),".")</f>
        <v>760182.82595287333</v>
      </c>
    </row>
    <row r="74" spans="1:106" s="42" customFormat="1" x14ac:dyDescent="0.25">
      <c r="A74" s="99" t="s">
        <v>1095</v>
      </c>
      <c r="B74" s="104">
        <v>1.9000000000000001E-8</v>
      </c>
      <c r="C74" s="100">
        <f t="shared" ref="C74" si="180">IFERROR($B74/C12,0)</f>
        <v>1155.4778954483675</v>
      </c>
      <c r="D74" s="100">
        <f t="shared" ref="D74:AB74" si="181">IFERROR($B74/D12,0)</f>
        <v>288.86947386209187</v>
      </c>
      <c r="E74" s="100">
        <f t="shared" si="181"/>
        <v>288.86947386209187</v>
      </c>
      <c r="F74" s="100">
        <f t="shared" si="181"/>
        <v>288.86947386209187</v>
      </c>
      <c r="G74" s="100">
        <f t="shared" si="181"/>
        <v>288.86947386209187</v>
      </c>
      <c r="H74" s="100">
        <f t="shared" si="181"/>
        <v>288.86947386209187</v>
      </c>
      <c r="I74" s="100">
        <f t="shared" si="181"/>
        <v>288.86947386209187</v>
      </c>
      <c r="J74" s="100">
        <f t="shared" si="181"/>
        <v>288.86947386209187</v>
      </c>
      <c r="K74" s="100">
        <f t="shared" si="181"/>
        <v>288.86947386209187</v>
      </c>
      <c r="L74" s="100">
        <f t="shared" si="181"/>
        <v>288.86947386209187</v>
      </c>
      <c r="M74" s="100">
        <f t="shared" si="181"/>
        <v>288.86947386209187</v>
      </c>
      <c r="N74" s="100">
        <f t="shared" si="181"/>
        <v>288.86947386209187</v>
      </c>
      <c r="O74" s="100">
        <f t="shared" si="181"/>
        <v>288.86947386209187</v>
      </c>
      <c r="P74" s="100">
        <f t="shared" si="181"/>
        <v>288.86947386209187</v>
      </c>
      <c r="Q74" s="100">
        <f t="shared" si="181"/>
        <v>288.86947386209187</v>
      </c>
      <c r="R74" s="100">
        <f t="shared" si="181"/>
        <v>288.86947386209187</v>
      </c>
      <c r="S74" s="100">
        <f t="shared" si="181"/>
        <v>288.86947386209187</v>
      </c>
      <c r="T74" s="100">
        <f t="shared" si="181"/>
        <v>288.86947386209187</v>
      </c>
      <c r="U74" s="100">
        <f t="shared" si="181"/>
        <v>288.86947386209187</v>
      </c>
      <c r="V74" s="100">
        <f t="shared" si="181"/>
        <v>288.86947386209187</v>
      </c>
      <c r="W74" s="100">
        <f t="shared" si="181"/>
        <v>288.86947386209187</v>
      </c>
      <c r="X74" s="100">
        <f t="shared" si="181"/>
        <v>288.86947386209187</v>
      </c>
      <c r="Y74" s="100">
        <f t="shared" si="181"/>
        <v>288.86947386209187</v>
      </c>
      <c r="Z74" s="100">
        <f t="shared" si="181"/>
        <v>288.86947386209187</v>
      </c>
      <c r="AA74" s="100">
        <f t="shared" si="181"/>
        <v>288.86947386209187</v>
      </c>
      <c r="AB74" s="100">
        <f t="shared" si="181"/>
        <v>288.86947386209187</v>
      </c>
      <c r="AC74" s="49">
        <f t="shared" si="152"/>
        <v>160038489674289.13</v>
      </c>
      <c r="AD74" s="101">
        <f>IFERROR(up_RadSpec!$H$12*($AD$12/$B74),".")</f>
        <v>40009622418572.281</v>
      </c>
      <c r="AE74" s="101">
        <f>IFERROR(up_RadSpec!$H$12*($AE$12/$B74),".")</f>
        <v>40009622418572.281</v>
      </c>
      <c r="AF74" s="101">
        <f>IFERROR(up_RadSpec!$H$12*($BA$12/$B74),".")</f>
        <v>40009622418572.281</v>
      </c>
      <c r="AG74" s="101">
        <f>IFERROR(up_RadSpec!$H$12*($BA$12/$B74),".")</f>
        <v>40009622418572.281</v>
      </c>
      <c r="AH74" s="101">
        <f>IFERROR(up_RadSpec!$H$12*($BA$12/$B74),".")</f>
        <v>40009622418572.281</v>
      </c>
      <c r="AI74" s="101">
        <f>IFERROR(up_RadSpec!$H$12*($BA$12/$B74),".")</f>
        <v>40009622418572.281</v>
      </c>
      <c r="AJ74" s="101">
        <f>IFERROR(up_RadSpec!$H$12*($BA$12/$B74),".")</f>
        <v>40009622418572.281</v>
      </c>
      <c r="AK74" s="101">
        <f>IFERROR(up_RadSpec!$H$12*($BA$12/$B74),".")</f>
        <v>40009622418572.281</v>
      </c>
      <c r="AL74" s="101">
        <f>IFERROR(up_RadSpec!$H$12*($BA$12/$B74),".")</f>
        <v>40009622418572.281</v>
      </c>
      <c r="AM74" s="101">
        <f>IFERROR(up_RadSpec!$H$12*($BA$12/$B74),".")</f>
        <v>40009622418572.281</v>
      </c>
      <c r="AN74" s="101">
        <f>IFERROR(up_RadSpec!$H$12*($BA$12/$B74),".")</f>
        <v>40009622418572.281</v>
      </c>
      <c r="AO74" s="101">
        <f>IFERROR(up_RadSpec!$H$12*($BA$12/$B74),".")</f>
        <v>40009622418572.281</v>
      </c>
      <c r="AP74" s="101">
        <f>IFERROR(up_RadSpec!$H$12*($BA$12/$B74),".")</f>
        <v>40009622418572.281</v>
      </c>
      <c r="AQ74" s="101">
        <f>IFERROR(up_RadSpec!$H$12*($BA$12/$B74),".")</f>
        <v>40009622418572.281</v>
      </c>
      <c r="AR74" s="101">
        <f>IFERROR(up_RadSpec!$H$12*($BA$12/$B74),".")</f>
        <v>40009622418572.281</v>
      </c>
      <c r="AS74" s="101">
        <f>IFERROR(up_RadSpec!$H$12*($BA$12/$B74),".")</f>
        <v>40009622418572.281</v>
      </c>
      <c r="AT74" s="101">
        <f>IFERROR(up_RadSpec!$H$12*($BA$12/$B74),".")</f>
        <v>40009622418572.281</v>
      </c>
      <c r="AU74" s="101">
        <f>IFERROR(up_RadSpec!$H$12*($BA$12/$B74),".")</f>
        <v>40009622418572.281</v>
      </c>
      <c r="AV74" s="101">
        <f>IFERROR(up_RadSpec!$H$12*($BA$12/$B74),".")</f>
        <v>40009622418572.281</v>
      </c>
      <c r="AW74" s="101">
        <f>IFERROR(up_RadSpec!$H$12*($BA$12/$B74),".")</f>
        <v>40009622418572.281</v>
      </c>
      <c r="AX74" s="101">
        <f>IFERROR(up_RadSpec!$H$12*($BA$12/$B74),".")</f>
        <v>40009622418572.281</v>
      </c>
      <c r="AY74" s="101">
        <f>IFERROR(up_RadSpec!$H$12*($BA$12/$B74),".")</f>
        <v>40009622418572.281</v>
      </c>
      <c r="AZ74" s="101">
        <f>IFERROR(up_RadSpec!$H$12*($BA$12/$B74),".")</f>
        <v>40009622418572.281</v>
      </c>
      <c r="BA74" s="101">
        <f>IFERROR(up_RadSpec!$H$12*($BA$12/$B74),".")</f>
        <v>40009622418572.281</v>
      </c>
      <c r="BB74" s="101">
        <f>IFERROR(up_RadSpec!$H$12*($BB$12/$B74),".")</f>
        <v>40009622418572.281</v>
      </c>
      <c r="BC74" s="100">
        <f t="shared" ref="BC74" si="182">IFERROR($B74/BC12,0)</f>
        <v>1155.4778954483675</v>
      </c>
      <c r="BD74" s="100">
        <f t="shared" ref="BD74:CB74" si="183">IFERROR($B74/BD12,0)</f>
        <v>288.86947386209187</v>
      </c>
      <c r="BE74" s="100">
        <f t="shared" si="183"/>
        <v>288.86947386209187</v>
      </c>
      <c r="BF74" s="100">
        <f t="shared" si="183"/>
        <v>288.86947386209187</v>
      </c>
      <c r="BG74" s="100">
        <f t="shared" si="183"/>
        <v>288.86947386209187</v>
      </c>
      <c r="BH74" s="100">
        <f t="shared" si="183"/>
        <v>288.86947386209187</v>
      </c>
      <c r="BI74" s="100">
        <f t="shared" si="183"/>
        <v>288.86947386209187</v>
      </c>
      <c r="BJ74" s="100">
        <f t="shared" si="183"/>
        <v>288.86947386209187</v>
      </c>
      <c r="BK74" s="100">
        <f t="shared" si="183"/>
        <v>288.86947386209187</v>
      </c>
      <c r="BL74" s="100">
        <f t="shared" si="183"/>
        <v>288.86947386209187</v>
      </c>
      <c r="BM74" s="100">
        <f t="shared" si="183"/>
        <v>288.86947386209187</v>
      </c>
      <c r="BN74" s="100">
        <f t="shared" si="183"/>
        <v>288.86947386209187</v>
      </c>
      <c r="BO74" s="100">
        <f t="shared" si="183"/>
        <v>288.86947386209187</v>
      </c>
      <c r="BP74" s="100">
        <f t="shared" si="183"/>
        <v>288.86947386209187</v>
      </c>
      <c r="BQ74" s="100">
        <f t="shared" si="183"/>
        <v>288.86947386209187</v>
      </c>
      <c r="BR74" s="100">
        <f t="shared" si="183"/>
        <v>288.86947386209187</v>
      </c>
      <c r="BS74" s="100">
        <f t="shared" si="183"/>
        <v>288.86947386209187</v>
      </c>
      <c r="BT74" s="100">
        <f t="shared" si="183"/>
        <v>288.86947386209187</v>
      </c>
      <c r="BU74" s="100">
        <f t="shared" si="183"/>
        <v>288.86947386209187</v>
      </c>
      <c r="BV74" s="100">
        <f t="shared" si="183"/>
        <v>288.86947386209187</v>
      </c>
      <c r="BW74" s="100">
        <f t="shared" si="183"/>
        <v>288.86947386209187</v>
      </c>
      <c r="BX74" s="100">
        <f t="shared" si="183"/>
        <v>288.86947386209187</v>
      </c>
      <c r="BY74" s="100">
        <f t="shared" si="183"/>
        <v>288.86947386209187</v>
      </c>
      <c r="BZ74" s="100">
        <f t="shared" si="183"/>
        <v>288.86947386209187</v>
      </c>
      <c r="CA74" s="100">
        <f t="shared" si="183"/>
        <v>288.86947386209187</v>
      </c>
      <c r="CB74" s="100">
        <f t="shared" si="183"/>
        <v>288.86947386209187</v>
      </c>
      <c r="CC74" s="49">
        <f t="shared" si="155"/>
        <v>160038489674289.13</v>
      </c>
      <c r="CD74" s="101">
        <f>IFERROR(up_RadSpec!$H$12*($AD$12/$B74),".")</f>
        <v>40009622418572.281</v>
      </c>
      <c r="CE74" s="101">
        <f>IFERROR(up_RadSpec!$H$12*($AE$12/$B74),".")</f>
        <v>40009622418572.281</v>
      </c>
      <c r="CF74" s="101">
        <f>IFERROR(up_RadSpec!$H$12*($BA$12/$B74),".")</f>
        <v>40009622418572.281</v>
      </c>
      <c r="CG74" s="101">
        <f>IFERROR(up_RadSpec!$H$12*($BA$12/$B74),".")</f>
        <v>40009622418572.281</v>
      </c>
      <c r="CH74" s="101">
        <f>IFERROR(up_RadSpec!$H$12*($BA$12/$B74),".")</f>
        <v>40009622418572.281</v>
      </c>
      <c r="CI74" s="101">
        <f>IFERROR(up_RadSpec!$H$12*($BA$12/$B74),".")</f>
        <v>40009622418572.281</v>
      </c>
      <c r="CJ74" s="101">
        <f>IFERROR(up_RadSpec!$H$12*($BA$12/$B74),".")</f>
        <v>40009622418572.281</v>
      </c>
      <c r="CK74" s="101">
        <f>IFERROR(up_RadSpec!$H$12*($BA$12/$B74),".")</f>
        <v>40009622418572.281</v>
      </c>
      <c r="CL74" s="101">
        <f>IFERROR(up_RadSpec!$H$12*($BA$12/$B74),".")</f>
        <v>40009622418572.281</v>
      </c>
      <c r="CM74" s="101">
        <f>IFERROR(up_RadSpec!$H$12*($BA$12/$B74),".")</f>
        <v>40009622418572.281</v>
      </c>
      <c r="CN74" s="101">
        <f>IFERROR(up_RadSpec!$H$12*($BA$12/$B74),".")</f>
        <v>40009622418572.281</v>
      </c>
      <c r="CO74" s="101">
        <f>IFERROR(up_RadSpec!$H$12*($BA$12/$B74),".")</f>
        <v>40009622418572.281</v>
      </c>
      <c r="CP74" s="101">
        <f>IFERROR(up_RadSpec!$H$12*($BA$12/$B74),".")</f>
        <v>40009622418572.281</v>
      </c>
      <c r="CQ74" s="101">
        <f>IFERROR(up_RadSpec!$H$12*($BA$12/$B74),".")</f>
        <v>40009622418572.281</v>
      </c>
      <c r="CR74" s="101">
        <f>IFERROR(up_RadSpec!$H$12*($BA$12/$B74),".")</f>
        <v>40009622418572.281</v>
      </c>
      <c r="CS74" s="101">
        <f>IFERROR(up_RadSpec!$H$12*($BA$12/$B74),".")</f>
        <v>40009622418572.281</v>
      </c>
      <c r="CT74" s="101">
        <f>IFERROR(up_RadSpec!$H$12*($BA$12/$B74),".")</f>
        <v>40009622418572.281</v>
      </c>
      <c r="CU74" s="101">
        <f>IFERROR(up_RadSpec!$H$12*($BA$12/$B74),".")</f>
        <v>40009622418572.281</v>
      </c>
      <c r="CV74" s="101">
        <f>IFERROR(up_RadSpec!$H$12*($BA$12/$B74),".")</f>
        <v>40009622418572.281</v>
      </c>
      <c r="CW74" s="101">
        <f>IFERROR(up_RadSpec!$H$12*($BA$12/$B74),".")</f>
        <v>40009622418572.281</v>
      </c>
      <c r="CX74" s="101">
        <f>IFERROR(up_RadSpec!$H$12*($BA$12/$B74),".")</f>
        <v>40009622418572.281</v>
      </c>
      <c r="CY74" s="101">
        <f>IFERROR(up_RadSpec!$H$12*($BA$12/$B74),".")</f>
        <v>40009622418572.281</v>
      </c>
      <c r="CZ74" s="101">
        <f>IFERROR(up_RadSpec!$H$12*($BA$12/$B74),".")</f>
        <v>40009622418572.281</v>
      </c>
      <c r="DA74" s="101">
        <f>IFERROR(up_RadSpec!$H$12*($BA$12/$B74),".")</f>
        <v>40009622418572.281</v>
      </c>
      <c r="DB74" s="101">
        <f>IFERROR(up_RadSpec!$H$12*($BB$12/$B74),".")</f>
        <v>40009622418572.281</v>
      </c>
    </row>
    <row r="75" spans="1:106" s="42" customFormat="1" x14ac:dyDescent="0.25">
      <c r="A75" s="99" t="s">
        <v>1096</v>
      </c>
      <c r="B75" s="90">
        <v>1</v>
      </c>
      <c r="C75" s="100">
        <f t="shared" ref="C75" si="184">IFERROR($B75/C18,0)</f>
        <v>60814626076.229866</v>
      </c>
      <c r="D75" s="100">
        <f t="shared" ref="D75:AB75" si="185">IFERROR($B75/D18,0)</f>
        <v>15203656519.057467</v>
      </c>
      <c r="E75" s="100">
        <f t="shared" si="185"/>
        <v>15203656519.057467</v>
      </c>
      <c r="F75" s="100">
        <f t="shared" si="185"/>
        <v>15203656519.057467</v>
      </c>
      <c r="G75" s="100">
        <f t="shared" si="185"/>
        <v>15203656519.057467</v>
      </c>
      <c r="H75" s="100">
        <f t="shared" si="185"/>
        <v>15203656519.057467</v>
      </c>
      <c r="I75" s="100">
        <f t="shared" si="185"/>
        <v>15203656519.057467</v>
      </c>
      <c r="J75" s="100">
        <f t="shared" si="185"/>
        <v>15203656519.057467</v>
      </c>
      <c r="K75" s="100">
        <f t="shared" si="185"/>
        <v>15203656519.057467</v>
      </c>
      <c r="L75" s="100">
        <f t="shared" si="185"/>
        <v>15203656519.057467</v>
      </c>
      <c r="M75" s="100">
        <f t="shared" si="185"/>
        <v>15203656519.057467</v>
      </c>
      <c r="N75" s="100">
        <f t="shared" si="185"/>
        <v>15203656519.057467</v>
      </c>
      <c r="O75" s="100">
        <f t="shared" si="185"/>
        <v>15203656519.057467</v>
      </c>
      <c r="P75" s="100">
        <f t="shared" si="185"/>
        <v>15203656519.057467</v>
      </c>
      <c r="Q75" s="100">
        <f t="shared" si="185"/>
        <v>15203656519.057467</v>
      </c>
      <c r="R75" s="100">
        <f t="shared" si="185"/>
        <v>15203656519.057467</v>
      </c>
      <c r="S75" s="100">
        <f t="shared" si="185"/>
        <v>15203656519.057467</v>
      </c>
      <c r="T75" s="100">
        <f t="shared" si="185"/>
        <v>15203656519.057467</v>
      </c>
      <c r="U75" s="100">
        <f t="shared" si="185"/>
        <v>15203656519.057467</v>
      </c>
      <c r="V75" s="100">
        <f t="shared" si="185"/>
        <v>15203656519.057467</v>
      </c>
      <c r="W75" s="100">
        <f t="shared" si="185"/>
        <v>15203656519.057467</v>
      </c>
      <c r="X75" s="100">
        <f t="shared" si="185"/>
        <v>15203656519.057467</v>
      </c>
      <c r="Y75" s="100">
        <f t="shared" si="185"/>
        <v>15203656519.057467</v>
      </c>
      <c r="Z75" s="100">
        <f t="shared" si="185"/>
        <v>15203656519.057467</v>
      </c>
      <c r="AA75" s="100">
        <f t="shared" si="185"/>
        <v>15203656519.057467</v>
      </c>
      <c r="AB75" s="100">
        <f t="shared" si="185"/>
        <v>15203656519.057467</v>
      </c>
      <c r="AC75" s="49">
        <f t="shared" si="152"/>
        <v>3040731.3038114933</v>
      </c>
      <c r="AD75" s="101">
        <f>IFERROR(up_RadSpec!$H$18*($AD$18/$B75),".")</f>
        <v>760182.82595287333</v>
      </c>
      <c r="AE75" s="101">
        <f>IFERROR(up_RadSpec!$H$18*($AE$18/$B75),".")</f>
        <v>760182.82595287333</v>
      </c>
      <c r="AF75" s="101">
        <f>IFERROR(up_RadSpec!$H$18*($BA$18/$B75),".")</f>
        <v>760182.82595287333</v>
      </c>
      <c r="AG75" s="101">
        <f>IFERROR(up_RadSpec!$H$18*($BA$18/$B75),".")</f>
        <v>760182.82595287333</v>
      </c>
      <c r="AH75" s="101">
        <f>IFERROR(up_RadSpec!$H$18*($BA$18/$B75),".")</f>
        <v>760182.82595287333</v>
      </c>
      <c r="AI75" s="101">
        <f>IFERROR(up_RadSpec!$H$18*($BA$18/$B75),".")</f>
        <v>760182.82595287333</v>
      </c>
      <c r="AJ75" s="101">
        <f>IFERROR(up_RadSpec!$H$18*($BA$18/$B75),".")</f>
        <v>760182.82595287333</v>
      </c>
      <c r="AK75" s="101">
        <f>IFERROR(up_RadSpec!$H$18*($BA$18/$B75),".")</f>
        <v>760182.82595287333</v>
      </c>
      <c r="AL75" s="101">
        <f>IFERROR(up_RadSpec!$H$18*($BA$18/$B75),".")</f>
        <v>760182.82595287333</v>
      </c>
      <c r="AM75" s="101">
        <f>IFERROR(up_RadSpec!$H$18*($BA$18/$B75),".")</f>
        <v>760182.82595287333</v>
      </c>
      <c r="AN75" s="101">
        <f>IFERROR(up_RadSpec!$H$18*($BA$18/$B75),".")</f>
        <v>760182.82595287333</v>
      </c>
      <c r="AO75" s="101">
        <f>IFERROR(up_RadSpec!$H$18*($BA$18/$B75),".")</f>
        <v>760182.82595287333</v>
      </c>
      <c r="AP75" s="101">
        <f>IFERROR(up_RadSpec!$H$18*($BA$18/$B75),".")</f>
        <v>760182.82595287333</v>
      </c>
      <c r="AQ75" s="101">
        <f>IFERROR(up_RadSpec!$H$18*($BA$18/$B75),".")</f>
        <v>760182.82595287333</v>
      </c>
      <c r="AR75" s="101">
        <f>IFERROR(up_RadSpec!$H$18*($BA$18/$B75),".")</f>
        <v>760182.82595287333</v>
      </c>
      <c r="AS75" s="101">
        <f>IFERROR(up_RadSpec!$H$18*($BA$18/$B75),".")</f>
        <v>760182.82595287333</v>
      </c>
      <c r="AT75" s="101">
        <f>IFERROR(up_RadSpec!$H$18*($BA$18/$B75),".")</f>
        <v>760182.82595287333</v>
      </c>
      <c r="AU75" s="101">
        <f>IFERROR(up_RadSpec!$H$18*($BA$18/$B75),".")</f>
        <v>760182.82595287333</v>
      </c>
      <c r="AV75" s="101">
        <f>IFERROR(up_RadSpec!$H$18*($BA$18/$B75),".")</f>
        <v>760182.82595287333</v>
      </c>
      <c r="AW75" s="101">
        <f>IFERROR(up_RadSpec!$H$18*($BA$18/$B75),".")</f>
        <v>760182.82595287333</v>
      </c>
      <c r="AX75" s="101">
        <f>IFERROR(up_RadSpec!$H$18*($BA$18/$B75),".")</f>
        <v>760182.82595287333</v>
      </c>
      <c r="AY75" s="101">
        <f>IFERROR(up_RadSpec!$H$18*($BA$18/$B75),".")</f>
        <v>760182.82595287333</v>
      </c>
      <c r="AZ75" s="101">
        <f>IFERROR(up_RadSpec!$H$18*($BA$18/$B75),".")</f>
        <v>760182.82595287333</v>
      </c>
      <c r="BA75" s="101">
        <f>IFERROR(up_RadSpec!$H$18*($BA$18/$B75),".")</f>
        <v>760182.82595287333</v>
      </c>
      <c r="BB75" s="101">
        <f>IFERROR(up_RadSpec!$H$18*($BB$18/$B75),".")</f>
        <v>760182.82595287333</v>
      </c>
      <c r="BC75" s="100">
        <f t="shared" ref="BC75" si="186">IFERROR($B75/BC18,0)</f>
        <v>60814626076.229866</v>
      </c>
      <c r="BD75" s="100">
        <f t="shared" ref="BD75:CB75" si="187">IFERROR($B75/BD18,0)</f>
        <v>15203656519.057467</v>
      </c>
      <c r="BE75" s="100">
        <f t="shared" si="187"/>
        <v>15203656519.057467</v>
      </c>
      <c r="BF75" s="100">
        <f t="shared" si="187"/>
        <v>15203656519.057467</v>
      </c>
      <c r="BG75" s="100">
        <f t="shared" si="187"/>
        <v>15203656519.057467</v>
      </c>
      <c r="BH75" s="100">
        <f t="shared" si="187"/>
        <v>15203656519.057467</v>
      </c>
      <c r="BI75" s="100">
        <f t="shared" si="187"/>
        <v>15203656519.057467</v>
      </c>
      <c r="BJ75" s="100">
        <f t="shared" si="187"/>
        <v>15203656519.057467</v>
      </c>
      <c r="BK75" s="100">
        <f t="shared" si="187"/>
        <v>15203656519.057467</v>
      </c>
      <c r="BL75" s="100">
        <f t="shared" si="187"/>
        <v>15203656519.057467</v>
      </c>
      <c r="BM75" s="100">
        <f t="shared" si="187"/>
        <v>15203656519.057467</v>
      </c>
      <c r="BN75" s="100">
        <f t="shared" si="187"/>
        <v>15203656519.057467</v>
      </c>
      <c r="BO75" s="100">
        <f t="shared" si="187"/>
        <v>15203656519.057467</v>
      </c>
      <c r="BP75" s="100">
        <f t="shared" si="187"/>
        <v>15203656519.057467</v>
      </c>
      <c r="BQ75" s="100">
        <f t="shared" si="187"/>
        <v>15203656519.057467</v>
      </c>
      <c r="BR75" s="100">
        <f t="shared" si="187"/>
        <v>15203656519.057467</v>
      </c>
      <c r="BS75" s="100">
        <f t="shared" si="187"/>
        <v>15203656519.057467</v>
      </c>
      <c r="BT75" s="100">
        <f t="shared" si="187"/>
        <v>15203656519.057467</v>
      </c>
      <c r="BU75" s="100">
        <f t="shared" si="187"/>
        <v>15203656519.057467</v>
      </c>
      <c r="BV75" s="100">
        <f t="shared" si="187"/>
        <v>15203656519.057467</v>
      </c>
      <c r="BW75" s="100">
        <f t="shared" si="187"/>
        <v>15203656519.057467</v>
      </c>
      <c r="BX75" s="100">
        <f t="shared" si="187"/>
        <v>15203656519.057467</v>
      </c>
      <c r="BY75" s="100">
        <f t="shared" si="187"/>
        <v>15203656519.057467</v>
      </c>
      <c r="BZ75" s="100">
        <f t="shared" si="187"/>
        <v>15203656519.057467</v>
      </c>
      <c r="CA75" s="100">
        <f t="shared" si="187"/>
        <v>15203656519.057467</v>
      </c>
      <c r="CB75" s="100">
        <f t="shared" si="187"/>
        <v>15203656519.057467</v>
      </c>
      <c r="CC75" s="49">
        <f t="shared" si="155"/>
        <v>3040731.3038114933</v>
      </c>
      <c r="CD75" s="101">
        <f>IFERROR(up_RadSpec!$H$18*($AD$18/$B75),".")</f>
        <v>760182.82595287333</v>
      </c>
      <c r="CE75" s="101">
        <f>IFERROR(up_RadSpec!$H$18*($AE$18/$B75),".")</f>
        <v>760182.82595287333</v>
      </c>
      <c r="CF75" s="101">
        <f>IFERROR(up_RadSpec!$H$18*($BA$18/$B75),".")</f>
        <v>760182.82595287333</v>
      </c>
      <c r="CG75" s="101">
        <f>IFERROR(up_RadSpec!$H$18*($BA$18/$B75),".")</f>
        <v>760182.82595287333</v>
      </c>
      <c r="CH75" s="101">
        <f>IFERROR(up_RadSpec!$H$18*($BA$18/$B75),".")</f>
        <v>760182.82595287333</v>
      </c>
      <c r="CI75" s="101">
        <f>IFERROR(up_RadSpec!$H$18*($BA$18/$B75),".")</f>
        <v>760182.82595287333</v>
      </c>
      <c r="CJ75" s="101">
        <f>IFERROR(up_RadSpec!$H$18*($BA$18/$B75),".")</f>
        <v>760182.82595287333</v>
      </c>
      <c r="CK75" s="101">
        <f>IFERROR(up_RadSpec!$H$18*($BA$18/$B75),".")</f>
        <v>760182.82595287333</v>
      </c>
      <c r="CL75" s="101">
        <f>IFERROR(up_RadSpec!$H$18*($BA$18/$B75),".")</f>
        <v>760182.82595287333</v>
      </c>
      <c r="CM75" s="101">
        <f>IFERROR(up_RadSpec!$H$18*($BA$18/$B75),".")</f>
        <v>760182.82595287333</v>
      </c>
      <c r="CN75" s="101">
        <f>IFERROR(up_RadSpec!$H$18*($BA$18/$B75),".")</f>
        <v>760182.82595287333</v>
      </c>
      <c r="CO75" s="101">
        <f>IFERROR(up_RadSpec!$H$18*($BA$18/$B75),".")</f>
        <v>760182.82595287333</v>
      </c>
      <c r="CP75" s="101">
        <f>IFERROR(up_RadSpec!$H$18*($BA$18/$B75),".")</f>
        <v>760182.82595287333</v>
      </c>
      <c r="CQ75" s="101">
        <f>IFERROR(up_RadSpec!$H$18*($BA$18/$B75),".")</f>
        <v>760182.82595287333</v>
      </c>
      <c r="CR75" s="101">
        <f>IFERROR(up_RadSpec!$H$18*($BA$18/$B75),".")</f>
        <v>760182.82595287333</v>
      </c>
      <c r="CS75" s="101">
        <f>IFERROR(up_RadSpec!$H$18*($BA$18/$B75),".")</f>
        <v>760182.82595287333</v>
      </c>
      <c r="CT75" s="101">
        <f>IFERROR(up_RadSpec!$H$18*($BA$18/$B75),".")</f>
        <v>760182.82595287333</v>
      </c>
      <c r="CU75" s="101">
        <f>IFERROR(up_RadSpec!$H$18*($BA$18/$B75),".")</f>
        <v>760182.82595287333</v>
      </c>
      <c r="CV75" s="101">
        <f>IFERROR(up_RadSpec!$H$18*($BA$18/$B75),".")</f>
        <v>760182.82595287333</v>
      </c>
      <c r="CW75" s="101">
        <f>IFERROR(up_RadSpec!$H$18*($BA$18/$B75),".")</f>
        <v>760182.82595287333</v>
      </c>
      <c r="CX75" s="101">
        <f>IFERROR(up_RadSpec!$H$18*($BA$18/$B75),".")</f>
        <v>760182.82595287333</v>
      </c>
      <c r="CY75" s="101">
        <f>IFERROR(up_RadSpec!$H$18*($BA$18/$B75),".")</f>
        <v>760182.82595287333</v>
      </c>
      <c r="CZ75" s="101">
        <f>IFERROR(up_RadSpec!$H$18*($BA$18/$B75),".")</f>
        <v>760182.82595287333</v>
      </c>
      <c r="DA75" s="101">
        <f>IFERROR(up_RadSpec!$H$18*($BA$18/$B75),".")</f>
        <v>760182.82595287333</v>
      </c>
      <c r="DB75" s="101">
        <f>IFERROR(up_RadSpec!$H$18*($BB$18/$B75),".")</f>
        <v>760182.82595287333</v>
      </c>
    </row>
    <row r="76" spans="1:106" s="42" customFormat="1" x14ac:dyDescent="0.25">
      <c r="A76" s="99" t="s">
        <v>1097</v>
      </c>
      <c r="B76" s="90">
        <v>1.339E-6</v>
      </c>
      <c r="C76" s="100">
        <f t="shared" ref="C76" si="188">IFERROR($B76/C27,0)</f>
        <v>81430.784316071789</v>
      </c>
      <c r="D76" s="100">
        <f t="shared" ref="D76:AB76" si="189">IFERROR($B76/D27,0)</f>
        <v>20357.696079017947</v>
      </c>
      <c r="E76" s="100">
        <f t="shared" si="189"/>
        <v>20357.696079017947</v>
      </c>
      <c r="F76" s="100">
        <f t="shared" si="189"/>
        <v>20357.696079017947</v>
      </c>
      <c r="G76" s="100">
        <f t="shared" si="189"/>
        <v>20357.696079017947</v>
      </c>
      <c r="H76" s="100">
        <f t="shared" si="189"/>
        <v>20357.696079017947</v>
      </c>
      <c r="I76" s="100">
        <f t="shared" si="189"/>
        <v>20357.696079017947</v>
      </c>
      <c r="J76" s="100">
        <f t="shared" si="189"/>
        <v>20357.696079017947</v>
      </c>
      <c r="K76" s="100">
        <f t="shared" si="189"/>
        <v>20357.696079017947</v>
      </c>
      <c r="L76" s="100">
        <f t="shared" si="189"/>
        <v>20357.696079017947</v>
      </c>
      <c r="M76" s="100">
        <f t="shared" si="189"/>
        <v>20357.696079017947</v>
      </c>
      <c r="N76" s="100">
        <f t="shared" si="189"/>
        <v>20357.696079017947</v>
      </c>
      <c r="O76" s="100">
        <f t="shared" si="189"/>
        <v>20357.696079017947</v>
      </c>
      <c r="P76" s="100">
        <f t="shared" si="189"/>
        <v>20357.696079017947</v>
      </c>
      <c r="Q76" s="100">
        <f t="shared" si="189"/>
        <v>20357.696079017947</v>
      </c>
      <c r="R76" s="100">
        <f t="shared" si="189"/>
        <v>20357.696079017947</v>
      </c>
      <c r="S76" s="100">
        <f t="shared" si="189"/>
        <v>20357.696079017947</v>
      </c>
      <c r="T76" s="100">
        <f t="shared" si="189"/>
        <v>20357.696079017947</v>
      </c>
      <c r="U76" s="100">
        <f t="shared" si="189"/>
        <v>20357.696079017947</v>
      </c>
      <c r="V76" s="100">
        <f t="shared" si="189"/>
        <v>20357.696079017947</v>
      </c>
      <c r="W76" s="100">
        <f t="shared" si="189"/>
        <v>20357.696079017947</v>
      </c>
      <c r="X76" s="100">
        <f t="shared" si="189"/>
        <v>20357.696079017947</v>
      </c>
      <c r="Y76" s="100">
        <f t="shared" si="189"/>
        <v>20357.696079017947</v>
      </c>
      <c r="Z76" s="100">
        <f t="shared" si="189"/>
        <v>20357.696079017947</v>
      </c>
      <c r="AA76" s="100">
        <f t="shared" si="189"/>
        <v>20357.696079017947</v>
      </c>
      <c r="AB76" s="100">
        <f t="shared" si="189"/>
        <v>20357.696079017947</v>
      </c>
      <c r="AC76" s="49">
        <f t="shared" si="152"/>
        <v>2270897164907.7622</v>
      </c>
      <c r="AD76" s="101">
        <f>IFERROR(up_RadSpec!$H$27*($AD$27/$B76),".")</f>
        <v>567724291226.94055</v>
      </c>
      <c r="AE76" s="101">
        <f>IFERROR(up_RadSpec!$H$27*($AE$27/$B76),".")</f>
        <v>567724291226.94055</v>
      </c>
      <c r="AF76" s="101">
        <f>IFERROR(up_RadSpec!$H$27*($BA$27/$B76),".")</f>
        <v>567724291226.94055</v>
      </c>
      <c r="AG76" s="101">
        <f>IFERROR(up_RadSpec!$H$27*($BA$27/$B76),".")</f>
        <v>567724291226.94055</v>
      </c>
      <c r="AH76" s="101">
        <f>IFERROR(up_RadSpec!$H$27*($BA$27/$B76),".")</f>
        <v>567724291226.94055</v>
      </c>
      <c r="AI76" s="101">
        <f>IFERROR(up_RadSpec!$H$27*($BA$27/$B76),".")</f>
        <v>567724291226.94055</v>
      </c>
      <c r="AJ76" s="101">
        <f>IFERROR(up_RadSpec!$H$27*($BA$27/$B76),".")</f>
        <v>567724291226.94055</v>
      </c>
      <c r="AK76" s="101">
        <f>IFERROR(up_RadSpec!$H$27*($BA$27/$B76),".")</f>
        <v>567724291226.94055</v>
      </c>
      <c r="AL76" s="101">
        <f>IFERROR(up_RadSpec!$H$27*($BA$27/$B76),".")</f>
        <v>567724291226.94055</v>
      </c>
      <c r="AM76" s="101">
        <f>IFERROR(up_RadSpec!$H$27*($BA$27/$B76),".")</f>
        <v>567724291226.94055</v>
      </c>
      <c r="AN76" s="101">
        <f>IFERROR(up_RadSpec!$H$27*($BA$27/$B76),".")</f>
        <v>567724291226.94055</v>
      </c>
      <c r="AO76" s="101">
        <f>IFERROR(up_RadSpec!$H$27*($BA$27/$B76),".")</f>
        <v>567724291226.94055</v>
      </c>
      <c r="AP76" s="101">
        <f>IFERROR(up_RadSpec!$H$27*($BA$27/$B76),".")</f>
        <v>567724291226.94055</v>
      </c>
      <c r="AQ76" s="101">
        <f>IFERROR(up_RadSpec!$H$27*($BA$27/$B76),".")</f>
        <v>567724291226.94055</v>
      </c>
      <c r="AR76" s="101">
        <f>IFERROR(up_RadSpec!$H$27*($BA$27/$B76),".")</f>
        <v>567724291226.94055</v>
      </c>
      <c r="AS76" s="101">
        <f>IFERROR(up_RadSpec!$H$27*($BA$27/$B76),".")</f>
        <v>567724291226.94055</v>
      </c>
      <c r="AT76" s="101">
        <f>IFERROR(up_RadSpec!$H$27*($BA$27/$B76),".")</f>
        <v>567724291226.94055</v>
      </c>
      <c r="AU76" s="101">
        <f>IFERROR(up_RadSpec!$H$27*($BA$27/$B76),".")</f>
        <v>567724291226.94055</v>
      </c>
      <c r="AV76" s="101">
        <f>IFERROR(up_RadSpec!$H$27*($BA$27/$B76),".")</f>
        <v>567724291226.94055</v>
      </c>
      <c r="AW76" s="101">
        <f>IFERROR(up_RadSpec!$H$27*($BA$27/$B76),".")</f>
        <v>567724291226.94055</v>
      </c>
      <c r="AX76" s="101">
        <f>IFERROR(up_RadSpec!$H$27*($BA$27/$B76),".")</f>
        <v>567724291226.94055</v>
      </c>
      <c r="AY76" s="101">
        <f>IFERROR(up_RadSpec!$H$27*($BA$27/$B76),".")</f>
        <v>567724291226.94055</v>
      </c>
      <c r="AZ76" s="101">
        <f>IFERROR(up_RadSpec!$H$27*($BA$27/$B76),".")</f>
        <v>567724291226.94055</v>
      </c>
      <c r="BA76" s="101">
        <f>IFERROR(up_RadSpec!$H$27*($BA$27/$B76),".")</f>
        <v>567724291226.94055</v>
      </c>
      <c r="BB76" s="101">
        <f>IFERROR(up_RadSpec!$H$27*($BB$27/$B76),".")</f>
        <v>567724291226.94055</v>
      </c>
      <c r="BC76" s="100">
        <f t="shared" ref="BC76" si="190">IFERROR($B76/BC27,0)</f>
        <v>81430.784316071789</v>
      </c>
      <c r="BD76" s="100">
        <f t="shared" ref="BD76:CB76" si="191">IFERROR($B76/BD27,0)</f>
        <v>20357.696079017947</v>
      </c>
      <c r="BE76" s="100">
        <f t="shared" si="191"/>
        <v>20357.696079017947</v>
      </c>
      <c r="BF76" s="100">
        <f t="shared" si="191"/>
        <v>20357.696079017947</v>
      </c>
      <c r="BG76" s="100">
        <f t="shared" si="191"/>
        <v>20357.696079017947</v>
      </c>
      <c r="BH76" s="100">
        <f t="shared" si="191"/>
        <v>20357.696079017947</v>
      </c>
      <c r="BI76" s="100">
        <f t="shared" si="191"/>
        <v>20357.696079017947</v>
      </c>
      <c r="BJ76" s="100">
        <f t="shared" si="191"/>
        <v>20357.696079017947</v>
      </c>
      <c r="BK76" s="100">
        <f t="shared" si="191"/>
        <v>20357.696079017947</v>
      </c>
      <c r="BL76" s="100">
        <f t="shared" si="191"/>
        <v>20357.696079017947</v>
      </c>
      <c r="BM76" s="100">
        <f t="shared" si="191"/>
        <v>20357.696079017947</v>
      </c>
      <c r="BN76" s="100">
        <f t="shared" si="191"/>
        <v>20357.696079017947</v>
      </c>
      <c r="BO76" s="100">
        <f t="shared" si="191"/>
        <v>20357.696079017947</v>
      </c>
      <c r="BP76" s="100">
        <f t="shared" si="191"/>
        <v>20357.696079017947</v>
      </c>
      <c r="BQ76" s="100">
        <f t="shared" si="191"/>
        <v>20357.696079017947</v>
      </c>
      <c r="BR76" s="100">
        <f t="shared" si="191"/>
        <v>20357.696079017947</v>
      </c>
      <c r="BS76" s="100">
        <f t="shared" si="191"/>
        <v>20357.696079017947</v>
      </c>
      <c r="BT76" s="100">
        <f t="shared" si="191"/>
        <v>20357.696079017947</v>
      </c>
      <c r="BU76" s="100">
        <f t="shared" si="191"/>
        <v>20357.696079017947</v>
      </c>
      <c r="BV76" s="100">
        <f t="shared" si="191"/>
        <v>20357.696079017947</v>
      </c>
      <c r="BW76" s="100">
        <f t="shared" si="191"/>
        <v>20357.696079017947</v>
      </c>
      <c r="BX76" s="100">
        <f t="shared" si="191"/>
        <v>20357.696079017947</v>
      </c>
      <c r="BY76" s="100">
        <f t="shared" si="191"/>
        <v>20357.696079017947</v>
      </c>
      <c r="BZ76" s="100">
        <f t="shared" si="191"/>
        <v>20357.696079017947</v>
      </c>
      <c r="CA76" s="100">
        <f t="shared" si="191"/>
        <v>20357.696079017947</v>
      </c>
      <c r="CB76" s="100">
        <f t="shared" si="191"/>
        <v>20357.696079017947</v>
      </c>
      <c r="CC76" s="49">
        <f t="shared" si="155"/>
        <v>2270897164907.7622</v>
      </c>
      <c r="CD76" s="101">
        <f>IFERROR(up_RadSpec!$H$27*($AD$27/$B76),".")</f>
        <v>567724291226.94055</v>
      </c>
      <c r="CE76" s="101">
        <f>IFERROR(up_RadSpec!$H$27*($AE$27/$B76),".")</f>
        <v>567724291226.94055</v>
      </c>
      <c r="CF76" s="101">
        <f>IFERROR(up_RadSpec!$H$27*($BA$27/$B76),".")</f>
        <v>567724291226.94055</v>
      </c>
      <c r="CG76" s="101">
        <f>IFERROR(up_RadSpec!$H$27*($BA$27/$B76),".")</f>
        <v>567724291226.94055</v>
      </c>
      <c r="CH76" s="101">
        <f>IFERROR(up_RadSpec!$H$27*($BA$27/$B76),".")</f>
        <v>567724291226.94055</v>
      </c>
      <c r="CI76" s="101">
        <f>IFERROR(up_RadSpec!$H$27*($BA$27/$B76),".")</f>
        <v>567724291226.94055</v>
      </c>
      <c r="CJ76" s="101">
        <f>IFERROR(up_RadSpec!$H$27*($BA$27/$B76),".")</f>
        <v>567724291226.94055</v>
      </c>
      <c r="CK76" s="101">
        <f>IFERROR(up_RadSpec!$H$27*($BA$27/$B76),".")</f>
        <v>567724291226.94055</v>
      </c>
      <c r="CL76" s="101">
        <f>IFERROR(up_RadSpec!$H$27*($BA$27/$B76),".")</f>
        <v>567724291226.94055</v>
      </c>
      <c r="CM76" s="101">
        <f>IFERROR(up_RadSpec!$H$27*($BA$27/$B76),".")</f>
        <v>567724291226.94055</v>
      </c>
      <c r="CN76" s="101">
        <f>IFERROR(up_RadSpec!$H$27*($BA$27/$B76),".")</f>
        <v>567724291226.94055</v>
      </c>
      <c r="CO76" s="101">
        <f>IFERROR(up_RadSpec!$H$27*($BA$27/$B76),".")</f>
        <v>567724291226.94055</v>
      </c>
      <c r="CP76" s="101">
        <f>IFERROR(up_RadSpec!$H$27*($BA$27/$B76),".")</f>
        <v>567724291226.94055</v>
      </c>
      <c r="CQ76" s="101">
        <f>IFERROR(up_RadSpec!$H$27*($BA$27/$B76),".")</f>
        <v>567724291226.94055</v>
      </c>
      <c r="CR76" s="101">
        <f>IFERROR(up_RadSpec!$H$27*($BA$27/$B76),".")</f>
        <v>567724291226.94055</v>
      </c>
      <c r="CS76" s="101">
        <f>IFERROR(up_RadSpec!$H$27*($BA$27/$B76),".")</f>
        <v>567724291226.94055</v>
      </c>
      <c r="CT76" s="101">
        <f>IFERROR(up_RadSpec!$H$27*($BA$27/$B76),".")</f>
        <v>567724291226.94055</v>
      </c>
      <c r="CU76" s="101">
        <f>IFERROR(up_RadSpec!$H$27*($BA$27/$B76),".")</f>
        <v>567724291226.94055</v>
      </c>
      <c r="CV76" s="101">
        <f>IFERROR(up_RadSpec!$H$27*($BA$27/$B76),".")</f>
        <v>567724291226.94055</v>
      </c>
      <c r="CW76" s="101">
        <f>IFERROR(up_RadSpec!$H$27*($BA$27/$B76),".")</f>
        <v>567724291226.94055</v>
      </c>
      <c r="CX76" s="101">
        <f>IFERROR(up_RadSpec!$H$27*($BA$27/$B76),".")</f>
        <v>567724291226.94055</v>
      </c>
      <c r="CY76" s="101">
        <f>IFERROR(up_RadSpec!$H$27*($BA$27/$B76),".")</f>
        <v>567724291226.94055</v>
      </c>
      <c r="CZ76" s="101">
        <f>IFERROR(up_RadSpec!$H$27*($BA$27/$B76),".")</f>
        <v>567724291226.94055</v>
      </c>
      <c r="DA76" s="101">
        <f>IFERROR(up_RadSpec!$H$27*($BA$27/$B76),".")</f>
        <v>567724291226.94055</v>
      </c>
      <c r="DB76" s="101">
        <f>IFERROR(up_RadSpec!$H$27*($BB$27/$B76),".")</f>
        <v>567724291226.94055</v>
      </c>
    </row>
  </sheetData>
  <sheetProtection algorithmName="SHA-512" hashValue="erioKGEkigIg4JSYas0c/gbyVXJ6YZGp2+9sR9qWQ3X5tXREN100gwIAxyAQY5YYQpDowQ2GvK66RR/qCRv5Vw==" saltValue="8X6zMC/wvCPHOxfVzOL+/w==" spinCount="100000" sheet="1" formatColumns="0" formatRows="0" autoFilter="0"/>
  <autoFilter ref="A1:CX76" xr:uid="{1E308CA7-F89C-417C-85A8-4F0FC89ABE1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R126"/>
  <sheetViews>
    <sheetView zoomScale="85" zoomScaleNormal="85" workbookViewId="0">
      <pane ySplit="1" topLeftCell="A2" activePane="bottomLeft" state="frozen"/>
      <selection pane="bottomLeft" activeCell="A2" sqref="A2"/>
    </sheetView>
  </sheetViews>
  <sheetFormatPr defaultColWidth="12.42578125" defaultRowHeight="15" x14ac:dyDescent="0.25"/>
  <cols>
    <col min="1" max="3" width="12.42578125" style="148"/>
    <col min="4" max="4" width="13.140625" style="148" bestFit="1" customWidth="1"/>
    <col min="5" max="12" width="12.42578125" style="148"/>
    <col min="13" max="13" width="14.28515625" style="148" bestFit="1" customWidth="1"/>
    <col min="14" max="16384" width="12.42578125" style="148"/>
  </cols>
  <sheetData>
    <row r="1" spans="1:18" ht="18.75" x14ac:dyDescent="0.25">
      <c r="A1" s="253" t="s">
        <v>52</v>
      </c>
      <c r="B1" s="253"/>
      <c r="C1" s="253"/>
      <c r="D1" s="254" t="s">
        <v>53</v>
      </c>
      <c r="E1" s="254"/>
      <c r="F1" s="254"/>
      <c r="G1" s="254" t="s">
        <v>54</v>
      </c>
      <c r="H1" s="254"/>
      <c r="I1" s="254"/>
      <c r="J1" s="254" t="s">
        <v>382</v>
      </c>
      <c r="K1" s="254"/>
      <c r="L1" s="254"/>
      <c r="M1" s="253" t="s">
        <v>563</v>
      </c>
      <c r="N1" s="253"/>
      <c r="O1" s="253"/>
      <c r="P1" s="253" t="s">
        <v>564</v>
      </c>
      <c r="Q1" s="253"/>
      <c r="R1" s="253"/>
    </row>
    <row r="2" spans="1:18" ht="18" x14ac:dyDescent="0.25">
      <c r="A2" s="148" t="s">
        <v>334</v>
      </c>
      <c r="B2" s="155">
        <v>9.9999999999999995E-7</v>
      </c>
      <c r="D2" s="137" t="s">
        <v>64</v>
      </c>
      <c r="E2" s="127">
        <v>6</v>
      </c>
      <c r="F2" s="128" t="s">
        <v>55</v>
      </c>
      <c r="G2" s="137" t="s">
        <v>65</v>
      </c>
      <c r="H2" s="127">
        <v>6</v>
      </c>
      <c r="I2" s="128" t="s">
        <v>55</v>
      </c>
      <c r="J2" s="137" t="s">
        <v>66</v>
      </c>
      <c r="K2" s="127">
        <v>6</v>
      </c>
      <c r="L2" s="128" t="s">
        <v>55</v>
      </c>
      <c r="M2" s="156" t="s">
        <v>614</v>
      </c>
      <c r="N2" s="126">
        <v>1</v>
      </c>
      <c r="P2" s="156" t="s">
        <v>173</v>
      </c>
      <c r="Q2" s="126">
        <v>1</v>
      </c>
    </row>
    <row r="3" spans="1:18" ht="18" x14ac:dyDescent="0.25">
      <c r="A3" s="130" t="s">
        <v>102</v>
      </c>
      <c r="B3" s="157">
        <v>0.5</v>
      </c>
      <c r="D3" s="137" t="s">
        <v>67</v>
      </c>
      <c r="E3" s="127">
        <v>20</v>
      </c>
      <c r="F3" s="128" t="s">
        <v>55</v>
      </c>
      <c r="G3" s="137" t="s">
        <v>68</v>
      </c>
      <c r="H3" s="127">
        <v>20</v>
      </c>
      <c r="I3" s="128" t="s">
        <v>55</v>
      </c>
      <c r="J3" s="137" t="s">
        <v>69</v>
      </c>
      <c r="K3" s="127">
        <v>34</v>
      </c>
      <c r="L3" s="128" t="s">
        <v>55</v>
      </c>
      <c r="M3" s="156" t="s">
        <v>615</v>
      </c>
      <c r="N3" s="126">
        <v>1</v>
      </c>
      <c r="P3" s="156" t="s">
        <v>172</v>
      </c>
      <c r="Q3" s="126">
        <v>1</v>
      </c>
    </row>
    <row r="4" spans="1:18" ht="18" x14ac:dyDescent="0.25">
      <c r="A4" s="148" t="s">
        <v>93</v>
      </c>
      <c r="B4" s="141">
        <v>1</v>
      </c>
      <c r="D4" s="137" t="s">
        <v>70</v>
      </c>
      <c r="E4" s="154">
        <f>E2+E3</f>
        <v>26</v>
      </c>
      <c r="F4" s="128" t="s">
        <v>55</v>
      </c>
      <c r="G4" s="137" t="s">
        <v>71</v>
      </c>
      <c r="H4" s="154">
        <f>H2+H3</f>
        <v>26</v>
      </c>
      <c r="I4" s="128" t="s">
        <v>55</v>
      </c>
      <c r="J4" s="137" t="s">
        <v>72</v>
      </c>
      <c r="K4" s="154">
        <f>K2+K3</f>
        <v>40</v>
      </c>
      <c r="L4" s="128" t="s">
        <v>55</v>
      </c>
      <c r="M4" s="156" t="s">
        <v>616</v>
      </c>
      <c r="N4" s="126">
        <v>1</v>
      </c>
      <c r="P4" s="156" t="s">
        <v>175</v>
      </c>
      <c r="Q4" s="126">
        <v>1</v>
      </c>
    </row>
    <row r="5" spans="1:18" ht="18" x14ac:dyDescent="0.25">
      <c r="A5" s="148" t="s">
        <v>94</v>
      </c>
      <c r="B5" s="154">
        <v>0.4</v>
      </c>
      <c r="D5" s="137" t="s">
        <v>90</v>
      </c>
      <c r="E5" s="153">
        <f>ED_res</f>
        <v>26</v>
      </c>
      <c r="G5" s="137" t="s">
        <v>91</v>
      </c>
      <c r="H5" s="153">
        <f>ED_rec</f>
        <v>26</v>
      </c>
      <c r="I5" s="129"/>
      <c r="J5" s="137" t="s">
        <v>92</v>
      </c>
      <c r="K5" s="153">
        <f>ED_far</f>
        <v>40</v>
      </c>
      <c r="L5" s="129"/>
      <c r="M5" s="156" t="s">
        <v>617</v>
      </c>
      <c r="N5" s="126">
        <v>1</v>
      </c>
      <c r="P5" s="156" t="s">
        <v>754</v>
      </c>
      <c r="Q5" s="126">
        <v>1</v>
      </c>
    </row>
    <row r="6" spans="1:18" ht="18" x14ac:dyDescent="0.25">
      <c r="A6" s="156" t="s">
        <v>135</v>
      </c>
      <c r="B6" s="141">
        <v>2.6999999999999999E-5</v>
      </c>
      <c r="C6" s="130" t="s">
        <v>136</v>
      </c>
      <c r="D6" s="137" t="s">
        <v>73</v>
      </c>
      <c r="E6" s="126">
        <v>10</v>
      </c>
      <c r="F6" s="134" t="s">
        <v>56</v>
      </c>
      <c r="G6" s="137" t="s">
        <v>121</v>
      </c>
      <c r="H6" s="141">
        <v>10</v>
      </c>
      <c r="I6" s="156" t="s">
        <v>98</v>
      </c>
      <c r="J6" s="137" t="s">
        <v>142</v>
      </c>
      <c r="K6" s="126">
        <v>10</v>
      </c>
      <c r="L6" s="156" t="s">
        <v>98</v>
      </c>
      <c r="M6" s="156" t="s">
        <v>618</v>
      </c>
      <c r="N6" s="126">
        <v>1</v>
      </c>
      <c r="P6" s="156" t="s">
        <v>174</v>
      </c>
      <c r="Q6" s="126">
        <v>1</v>
      </c>
    </row>
    <row r="7" spans="1:18" ht="18" x14ac:dyDescent="0.25">
      <c r="A7" s="130" t="s">
        <v>129</v>
      </c>
      <c r="B7" s="141">
        <v>3.62</v>
      </c>
      <c r="C7" s="130" t="s">
        <v>130</v>
      </c>
      <c r="D7" s="137" t="s">
        <v>74</v>
      </c>
      <c r="E7" s="126">
        <v>20</v>
      </c>
      <c r="F7" s="134" t="s">
        <v>56</v>
      </c>
      <c r="G7" s="137" t="s">
        <v>122</v>
      </c>
      <c r="H7" s="141">
        <v>20</v>
      </c>
      <c r="I7" s="156" t="s">
        <v>98</v>
      </c>
      <c r="J7" s="137" t="s">
        <v>143</v>
      </c>
      <c r="K7" s="126">
        <v>20</v>
      </c>
      <c r="L7" s="156" t="s">
        <v>98</v>
      </c>
      <c r="M7" s="156" t="s">
        <v>619</v>
      </c>
      <c r="N7" s="126">
        <v>1</v>
      </c>
      <c r="P7" s="207" t="s">
        <v>1501</v>
      </c>
      <c r="Q7" s="201">
        <v>1</v>
      </c>
    </row>
    <row r="8" spans="1:18" ht="18" x14ac:dyDescent="0.25">
      <c r="A8" s="130" t="s">
        <v>131</v>
      </c>
      <c r="B8" s="141">
        <v>0.25</v>
      </c>
      <c r="C8" s="130" t="s">
        <v>101</v>
      </c>
      <c r="D8" s="137" t="s">
        <v>233</v>
      </c>
      <c r="E8" s="154">
        <f>((EF_res_c*ED_res_c*ET_res_c*(1/24)*IRA_res_c)+(EF_res_a*ED_res_a*ET_res_a*(1/24)*IRA_res_a))</f>
        <v>161000</v>
      </c>
      <c r="F8" s="129" t="s">
        <v>248</v>
      </c>
      <c r="G8" s="137" t="s">
        <v>236</v>
      </c>
      <c r="H8" s="154">
        <f>((EF_rec_c*ED_rec_c*ET_rec_c*(1/24)*IRA_rec_c)+(EF_rec_a*ED_rec_a*ET_rec_a*(1/24)*IRA_rec_a))</f>
        <v>1437.5</v>
      </c>
      <c r="J8" s="137" t="s">
        <v>239</v>
      </c>
      <c r="K8" s="154">
        <f>((EF_far_c*ED_far_c*ET_far_c*(1/24)*IRA_far_c)+(EF_far_a*ED_far_a*ET_far_a*(1/24)*IRA_far_a))</f>
        <v>259000</v>
      </c>
      <c r="L8" s="129" t="s">
        <v>248</v>
      </c>
      <c r="M8" s="156" t="s">
        <v>620</v>
      </c>
      <c r="N8" s="126">
        <v>1</v>
      </c>
      <c r="P8" s="156" t="s">
        <v>176</v>
      </c>
      <c r="Q8" s="141">
        <v>1</v>
      </c>
    </row>
    <row r="9" spans="1:18" ht="18" x14ac:dyDescent="0.25">
      <c r="A9" s="156" t="s">
        <v>209</v>
      </c>
      <c r="B9" s="141">
        <v>10950</v>
      </c>
      <c r="C9" s="130" t="s">
        <v>132</v>
      </c>
      <c r="D9" s="137" t="s">
        <v>355</v>
      </c>
      <c r="E9" s="154">
        <f>((EF_res_c*ED_res_c*ET_event_res_c*EV_res_c)+(EF_res_a*ED_res_a*ET_event_res_a*EV_res_a))</f>
        <v>6104</v>
      </c>
      <c r="F9" s="129" t="s">
        <v>354</v>
      </c>
      <c r="G9" s="137" t="s">
        <v>366</v>
      </c>
      <c r="H9" s="154">
        <f>((EF_rec_c*ED_rec_c*ET_event_rec_c*EV_rec_c)+(EF_rec_a*ED_rec_a*ET_event_rec_a*EV_rec_a))</f>
        <v>1950</v>
      </c>
      <c r="I9" s="129" t="s">
        <v>354</v>
      </c>
      <c r="J9" s="137" t="s">
        <v>377</v>
      </c>
      <c r="K9" s="154">
        <f>((EF_far_c*ED_far_c*EV_far_c*ET_event_far_c)+(EF_far_a*ED_far_a*EV_far_a*ET_event_far_a))</f>
        <v>9583</v>
      </c>
      <c r="L9" s="129" t="s">
        <v>354</v>
      </c>
      <c r="M9" s="156" t="s">
        <v>621</v>
      </c>
      <c r="N9" s="126">
        <v>1</v>
      </c>
      <c r="P9" s="156" t="s">
        <v>1109</v>
      </c>
      <c r="Q9" s="127">
        <v>1</v>
      </c>
    </row>
    <row r="10" spans="1:18" ht="18" x14ac:dyDescent="0.25">
      <c r="A10" s="156" t="s">
        <v>133</v>
      </c>
      <c r="B10" s="141">
        <v>240</v>
      </c>
      <c r="C10" s="130" t="s">
        <v>134</v>
      </c>
      <c r="D10" s="137" t="s">
        <v>75</v>
      </c>
      <c r="E10" s="126">
        <v>200</v>
      </c>
      <c r="F10" s="148" t="s">
        <v>57</v>
      </c>
      <c r="G10" s="137" t="s">
        <v>125</v>
      </c>
      <c r="H10" s="141">
        <v>200</v>
      </c>
      <c r="I10" s="130" t="s">
        <v>57</v>
      </c>
      <c r="J10" s="137" t="s">
        <v>140</v>
      </c>
      <c r="K10" s="126">
        <v>200</v>
      </c>
      <c r="L10" s="130" t="s">
        <v>57</v>
      </c>
      <c r="M10" s="156" t="s">
        <v>622</v>
      </c>
      <c r="N10" s="126">
        <v>1</v>
      </c>
      <c r="P10" s="156" t="s">
        <v>452</v>
      </c>
      <c r="Q10" s="127">
        <v>1</v>
      </c>
    </row>
    <row r="11" spans="1:18" ht="18" x14ac:dyDescent="0.25">
      <c r="A11" s="156" t="s">
        <v>211</v>
      </c>
      <c r="B11" s="141">
        <v>0.42</v>
      </c>
      <c r="C11" s="130" t="s">
        <v>101</v>
      </c>
      <c r="D11" s="137" t="s">
        <v>76</v>
      </c>
      <c r="E11" s="126">
        <v>100</v>
      </c>
      <c r="F11" s="148" t="s">
        <v>57</v>
      </c>
      <c r="G11" s="137" t="s">
        <v>126</v>
      </c>
      <c r="H11" s="141">
        <v>100</v>
      </c>
      <c r="I11" s="130" t="s">
        <v>57</v>
      </c>
      <c r="J11" s="137" t="s">
        <v>141</v>
      </c>
      <c r="K11" s="126">
        <v>100</v>
      </c>
      <c r="L11" s="130" t="s">
        <v>57</v>
      </c>
      <c r="M11" s="156" t="s">
        <v>623</v>
      </c>
      <c r="N11" s="126">
        <v>1</v>
      </c>
      <c r="P11" s="156" t="s">
        <v>454</v>
      </c>
      <c r="Q11" s="127">
        <v>1</v>
      </c>
    </row>
    <row r="12" spans="1:18" ht="18" x14ac:dyDescent="0.25">
      <c r="A12" s="156" t="s">
        <v>210</v>
      </c>
      <c r="B12" s="141">
        <v>60</v>
      </c>
      <c r="C12" s="130" t="s">
        <v>132</v>
      </c>
      <c r="D12" s="137" t="s">
        <v>235</v>
      </c>
      <c r="E12" s="154">
        <f>((EF_res_c*ED_res_c*IRS_res_c)+(EF_res_a*ED_res_a*IRS_res_a))</f>
        <v>1120000</v>
      </c>
      <c r="F12" s="130" t="s">
        <v>249</v>
      </c>
      <c r="G12" s="137" t="s">
        <v>237</v>
      </c>
      <c r="H12" s="154">
        <f>((EF_rec_c*ED_rec_c*IRS_rec_c)+(EF_rec_a*ED_rec_a*IRS_rec_a))</f>
        <v>240000</v>
      </c>
      <c r="I12" s="130" t="s">
        <v>249</v>
      </c>
      <c r="J12" s="137" t="s">
        <v>240</v>
      </c>
      <c r="K12" s="154">
        <f>((EF_far_c*ED_far_c*IRS_far_c)+(EF_far_a*ED_far_a*IRS_far_a))</f>
        <v>1610000</v>
      </c>
      <c r="L12" s="130" t="s">
        <v>249</v>
      </c>
      <c r="M12" s="156" t="s">
        <v>624</v>
      </c>
      <c r="N12" s="126">
        <v>1</v>
      </c>
      <c r="P12" s="156" t="s">
        <v>453</v>
      </c>
      <c r="Q12" s="127">
        <v>1</v>
      </c>
    </row>
    <row r="13" spans="1:18" ht="18" x14ac:dyDescent="0.25">
      <c r="A13" s="156" t="s">
        <v>212</v>
      </c>
      <c r="B13" s="141">
        <v>2</v>
      </c>
      <c r="C13" s="130" t="s">
        <v>134</v>
      </c>
      <c r="D13" s="137" t="s">
        <v>77</v>
      </c>
      <c r="E13" s="126">
        <v>0.78</v>
      </c>
      <c r="F13" s="137" t="s">
        <v>58</v>
      </c>
      <c r="G13" s="137" t="s">
        <v>123</v>
      </c>
      <c r="H13" s="126">
        <v>0.12</v>
      </c>
      <c r="I13" s="130" t="s">
        <v>99</v>
      </c>
      <c r="J13" s="137" t="s">
        <v>144</v>
      </c>
      <c r="K13" s="141">
        <v>0.78</v>
      </c>
      <c r="L13" s="130" t="s">
        <v>58</v>
      </c>
      <c r="M13" s="156" t="s">
        <v>625</v>
      </c>
      <c r="N13" s="126">
        <v>1</v>
      </c>
      <c r="P13" s="130" t="s">
        <v>148</v>
      </c>
      <c r="Q13" s="206">
        <v>64.599999999999994</v>
      </c>
      <c r="R13" s="156" t="s">
        <v>59</v>
      </c>
    </row>
    <row r="14" spans="1:18" ht="18" x14ac:dyDescent="0.25">
      <c r="A14" s="156" t="s">
        <v>137</v>
      </c>
      <c r="B14" s="141">
        <v>1</v>
      </c>
      <c r="C14" s="130" t="s">
        <v>101</v>
      </c>
      <c r="D14" s="137" t="s">
        <v>78</v>
      </c>
      <c r="E14" s="126">
        <v>2.5</v>
      </c>
      <c r="F14" s="137" t="s">
        <v>58</v>
      </c>
      <c r="G14" s="137" t="s">
        <v>124</v>
      </c>
      <c r="H14" s="126">
        <v>0.11</v>
      </c>
      <c r="I14" s="130" t="s">
        <v>99</v>
      </c>
      <c r="J14" s="137" t="s">
        <v>145</v>
      </c>
      <c r="K14" s="141">
        <v>2.5</v>
      </c>
      <c r="L14" s="130" t="s">
        <v>58</v>
      </c>
      <c r="M14" s="156" t="s">
        <v>626</v>
      </c>
      <c r="N14" s="126">
        <v>1</v>
      </c>
      <c r="P14" s="130" t="s">
        <v>149</v>
      </c>
      <c r="Q14" s="206">
        <v>270.10000000000002</v>
      </c>
      <c r="R14" s="156" t="s">
        <v>59</v>
      </c>
    </row>
    <row r="15" spans="1:18" ht="18" x14ac:dyDescent="0.25">
      <c r="A15" s="156" t="s">
        <v>213</v>
      </c>
      <c r="B15" s="141">
        <v>14</v>
      </c>
      <c r="C15" s="130" t="s">
        <v>138</v>
      </c>
      <c r="D15" s="137" t="s">
        <v>234</v>
      </c>
      <c r="E15" s="154">
        <f>((EF_res_c*ED_res_c*IRW_res_c)+(EF_res_a*ED_res_a*IRW_res_a))</f>
        <v>19138</v>
      </c>
      <c r="F15" s="130" t="s">
        <v>250</v>
      </c>
      <c r="G15" s="137" t="s">
        <v>238</v>
      </c>
      <c r="H15" s="154">
        <f>((EF_rec_c*ED_rec_c*IRW_rec_c)+(EF_rec_a*ED_rec_a*IRW_rec_a))</f>
        <v>219</v>
      </c>
      <c r="I15" s="130" t="s">
        <v>250</v>
      </c>
      <c r="J15" s="137" t="s">
        <v>241</v>
      </c>
      <c r="K15" s="154">
        <f>((EF_far_c*ED_far_c*IRW_far_c)+(EF_far_a*ED_far_a*IRW_far_a))</f>
        <v>31388</v>
      </c>
      <c r="L15" s="130" t="s">
        <v>250</v>
      </c>
      <c r="M15" s="156" t="s">
        <v>627</v>
      </c>
      <c r="N15" s="126">
        <v>1</v>
      </c>
      <c r="P15" s="137" t="s">
        <v>243</v>
      </c>
      <c r="Q15" s="219">
        <f>((EF_far_c*ED_far_c*IRB_far_c)+(EF_far_a*ED_far_a*IRB_far_a))</f>
        <v>3349850.0000000005</v>
      </c>
      <c r="R15" s="156" t="s">
        <v>225</v>
      </c>
    </row>
    <row r="16" spans="1:18" ht="18" x14ac:dyDescent="0.25">
      <c r="A16" s="137" t="s">
        <v>202</v>
      </c>
      <c r="B16" s="151">
        <v>1.5</v>
      </c>
      <c r="C16" s="137"/>
      <c r="D16" s="133" t="s">
        <v>79</v>
      </c>
      <c r="E16" s="126">
        <v>54000</v>
      </c>
      <c r="F16" s="148" t="s">
        <v>57</v>
      </c>
      <c r="G16" s="148" t="s">
        <v>369</v>
      </c>
      <c r="H16" s="141">
        <v>1</v>
      </c>
      <c r="I16" s="130" t="s">
        <v>59</v>
      </c>
      <c r="J16" s="137" t="s">
        <v>160</v>
      </c>
      <c r="K16" s="141">
        <v>350</v>
      </c>
      <c r="L16" s="130" t="s">
        <v>60</v>
      </c>
      <c r="M16" s="156" t="s">
        <v>628</v>
      </c>
      <c r="N16" s="126">
        <v>1</v>
      </c>
      <c r="P16" s="130" t="s">
        <v>146</v>
      </c>
      <c r="Q16" s="206">
        <v>1116.4000000000001</v>
      </c>
      <c r="R16" s="156" t="s">
        <v>59</v>
      </c>
    </row>
    <row r="17" spans="1:18" ht="18" x14ac:dyDescent="0.25">
      <c r="A17" s="137" t="s">
        <v>214</v>
      </c>
      <c r="B17" s="151">
        <v>0.3</v>
      </c>
      <c r="C17" s="137"/>
      <c r="D17" s="133" t="s">
        <v>80</v>
      </c>
      <c r="E17" s="126">
        <v>350</v>
      </c>
      <c r="F17" s="137" t="s">
        <v>60</v>
      </c>
      <c r="G17" s="148" t="s">
        <v>370</v>
      </c>
      <c r="H17" s="141">
        <v>1</v>
      </c>
      <c r="I17" s="130" t="s">
        <v>59</v>
      </c>
      <c r="J17" s="137" t="s">
        <v>161</v>
      </c>
      <c r="K17" s="141">
        <v>350</v>
      </c>
      <c r="L17" s="130" t="s">
        <v>60</v>
      </c>
      <c r="M17" s="156" t="s">
        <v>629</v>
      </c>
      <c r="N17" s="126">
        <v>1</v>
      </c>
      <c r="P17" s="130" t="s">
        <v>147</v>
      </c>
      <c r="Q17" s="206">
        <v>1438</v>
      </c>
      <c r="R17" s="156" t="s">
        <v>59</v>
      </c>
    </row>
    <row r="18" spans="1:18" ht="18" x14ac:dyDescent="0.25">
      <c r="A18" s="137" t="s">
        <v>206</v>
      </c>
      <c r="B18" s="151">
        <v>70</v>
      </c>
      <c r="C18" s="137" t="s">
        <v>55</v>
      </c>
      <c r="D18" s="133" t="s">
        <v>81</v>
      </c>
      <c r="E18" s="126">
        <v>350</v>
      </c>
      <c r="F18" s="137" t="s">
        <v>60</v>
      </c>
      <c r="G18" s="137" t="s">
        <v>105</v>
      </c>
      <c r="H18" s="158">
        <v>75</v>
      </c>
      <c r="I18" s="159" t="s">
        <v>60</v>
      </c>
      <c r="J18" s="137" t="s">
        <v>375</v>
      </c>
      <c r="K18" s="127">
        <v>350</v>
      </c>
      <c r="L18" s="148" t="s">
        <v>60</v>
      </c>
      <c r="M18" s="156" t="s">
        <v>630</v>
      </c>
      <c r="N18" s="126">
        <v>1</v>
      </c>
      <c r="P18" s="137" t="s">
        <v>242</v>
      </c>
      <c r="Q18" s="219">
        <f>((EF_far_c*ED_far_c*IRD_far_c)+(EF_far_a*ED_far_a*IRD_far_a))</f>
        <v>19456640</v>
      </c>
      <c r="R18" s="156" t="s">
        <v>225</v>
      </c>
    </row>
    <row r="19" spans="1:18" ht="18" x14ac:dyDescent="0.25">
      <c r="A19" s="137" t="s">
        <v>207</v>
      </c>
      <c r="B19" s="151">
        <v>1</v>
      </c>
      <c r="C19" s="137" t="s">
        <v>203</v>
      </c>
      <c r="D19" s="133" t="s">
        <v>82</v>
      </c>
      <c r="E19" s="126">
        <v>350</v>
      </c>
      <c r="F19" s="137" t="s">
        <v>60</v>
      </c>
      <c r="G19" s="137" t="s">
        <v>106</v>
      </c>
      <c r="H19" s="126">
        <v>75</v>
      </c>
      <c r="I19" s="159" t="s">
        <v>60</v>
      </c>
      <c r="J19" s="137" t="s">
        <v>162</v>
      </c>
      <c r="K19" s="126">
        <v>24</v>
      </c>
      <c r="L19" s="130" t="s">
        <v>62</v>
      </c>
      <c r="M19" s="207" t="s">
        <v>1499</v>
      </c>
      <c r="N19" s="201">
        <v>1</v>
      </c>
      <c r="P19" s="130" t="s">
        <v>150</v>
      </c>
      <c r="Q19" s="206">
        <v>25.1</v>
      </c>
      <c r="R19" s="130" t="s">
        <v>59</v>
      </c>
    </row>
    <row r="20" spans="1:18" ht="18" x14ac:dyDescent="0.25">
      <c r="A20" s="137" t="s">
        <v>226</v>
      </c>
      <c r="B20" s="151">
        <v>1</v>
      </c>
      <c r="C20" s="137" t="s">
        <v>204</v>
      </c>
      <c r="D20" s="133" t="s">
        <v>83</v>
      </c>
      <c r="E20" s="141">
        <v>0.54</v>
      </c>
      <c r="F20" s="128" t="s">
        <v>61</v>
      </c>
      <c r="G20" s="137" t="s">
        <v>107</v>
      </c>
      <c r="H20" s="126">
        <v>75</v>
      </c>
      <c r="I20" s="159" t="s">
        <v>60</v>
      </c>
      <c r="J20" s="137" t="s">
        <v>163</v>
      </c>
      <c r="K20" s="126">
        <v>24</v>
      </c>
      <c r="L20" s="130" t="s">
        <v>62</v>
      </c>
      <c r="M20" s="156" t="s">
        <v>631</v>
      </c>
      <c r="N20" s="126">
        <v>1</v>
      </c>
      <c r="P20" s="130" t="s">
        <v>151</v>
      </c>
      <c r="Q20" s="206">
        <v>97.3</v>
      </c>
      <c r="R20" s="130" t="s">
        <v>59</v>
      </c>
    </row>
    <row r="21" spans="1:18" ht="18" x14ac:dyDescent="0.25">
      <c r="A21" s="137" t="s">
        <v>251</v>
      </c>
      <c r="B21" s="151">
        <v>0.18</v>
      </c>
      <c r="C21" s="137" t="s">
        <v>203</v>
      </c>
      <c r="D21" s="133" t="s">
        <v>84</v>
      </c>
      <c r="E21" s="141">
        <v>0.71</v>
      </c>
      <c r="F21" s="128" t="s">
        <v>61</v>
      </c>
      <c r="G21" s="137" t="s">
        <v>108</v>
      </c>
      <c r="H21" s="126">
        <v>1</v>
      </c>
      <c r="I21" s="159" t="s">
        <v>62</v>
      </c>
      <c r="J21" s="137" t="s">
        <v>164</v>
      </c>
      <c r="K21" s="126">
        <v>24</v>
      </c>
      <c r="L21" s="130" t="s">
        <v>62</v>
      </c>
      <c r="M21" s="156" t="s">
        <v>632</v>
      </c>
      <c r="N21" s="126">
        <v>1</v>
      </c>
      <c r="P21" s="137" t="s">
        <v>244</v>
      </c>
      <c r="Q21" s="219">
        <f>((EF_far_c*ED_far_c*IRE_far_c)+(EF_far_a*ED_far_a*IRE_far_a))</f>
        <v>1210580</v>
      </c>
      <c r="R21" s="156" t="s">
        <v>225</v>
      </c>
    </row>
    <row r="22" spans="1:18" ht="18" x14ac:dyDescent="0.25">
      <c r="A22" s="137" t="s">
        <v>227</v>
      </c>
      <c r="B22" s="151">
        <v>1</v>
      </c>
      <c r="C22" s="137" t="s">
        <v>205</v>
      </c>
      <c r="D22" s="133" t="s">
        <v>85</v>
      </c>
      <c r="E22" s="126">
        <v>24</v>
      </c>
      <c r="F22" s="137" t="s">
        <v>62</v>
      </c>
      <c r="G22" s="137" t="s">
        <v>109</v>
      </c>
      <c r="H22" s="141">
        <v>1</v>
      </c>
      <c r="I22" s="159" t="s">
        <v>62</v>
      </c>
      <c r="J22" s="148" t="s">
        <v>165</v>
      </c>
      <c r="K22" s="126">
        <v>0.54</v>
      </c>
      <c r="L22" s="156" t="s">
        <v>127</v>
      </c>
      <c r="M22" s="156" t="s">
        <v>633</v>
      </c>
      <c r="N22" s="126">
        <v>1</v>
      </c>
      <c r="P22" s="130" t="s">
        <v>154</v>
      </c>
      <c r="Q22" s="206">
        <v>48.8</v>
      </c>
      <c r="R22" s="130" t="s">
        <v>59</v>
      </c>
    </row>
    <row r="23" spans="1:18" ht="18" x14ac:dyDescent="0.25">
      <c r="A23" s="137" t="s">
        <v>215</v>
      </c>
      <c r="B23" s="151">
        <v>1</v>
      </c>
      <c r="C23" s="137" t="s">
        <v>205</v>
      </c>
      <c r="D23" s="133" t="s">
        <v>86</v>
      </c>
      <c r="E23" s="126">
        <v>24</v>
      </c>
      <c r="F23" s="137" t="s">
        <v>62</v>
      </c>
      <c r="G23" s="137" t="s">
        <v>110</v>
      </c>
      <c r="H23" s="141">
        <v>1</v>
      </c>
      <c r="I23" s="159" t="s">
        <v>62</v>
      </c>
      <c r="J23" s="148" t="s">
        <v>166</v>
      </c>
      <c r="K23" s="126">
        <v>0.71</v>
      </c>
      <c r="L23" s="156" t="s">
        <v>127</v>
      </c>
      <c r="M23" s="156" t="s">
        <v>634</v>
      </c>
      <c r="N23" s="126">
        <v>1</v>
      </c>
      <c r="P23" s="130" t="s">
        <v>155</v>
      </c>
      <c r="Q23" s="206">
        <v>175.5</v>
      </c>
      <c r="R23" s="130" t="s">
        <v>59</v>
      </c>
    </row>
    <row r="24" spans="1:18" ht="18" x14ac:dyDescent="0.25">
      <c r="A24" s="137" t="s">
        <v>216</v>
      </c>
      <c r="B24" s="151">
        <v>1</v>
      </c>
      <c r="C24" s="137" t="s">
        <v>205</v>
      </c>
      <c r="D24" s="133" t="s">
        <v>87</v>
      </c>
      <c r="E24" s="126">
        <v>24</v>
      </c>
      <c r="F24" s="137" t="s">
        <v>62</v>
      </c>
      <c r="G24" s="148" t="s">
        <v>158</v>
      </c>
      <c r="H24" s="141">
        <v>1</v>
      </c>
      <c r="I24" s="130" t="s">
        <v>61</v>
      </c>
      <c r="J24" s="130" t="s">
        <v>167</v>
      </c>
      <c r="K24" s="126">
        <v>12.167999999999999</v>
      </c>
      <c r="L24" s="130" t="s">
        <v>62</v>
      </c>
      <c r="M24" s="156" t="s">
        <v>635</v>
      </c>
      <c r="N24" s="126">
        <v>1</v>
      </c>
      <c r="P24" s="137" t="s">
        <v>246</v>
      </c>
      <c r="Q24" s="219">
        <f>((EF_far_c*ED_far_c*IRP_far_c)+(EF_far_a*ED_far_a*IRP_far_a))</f>
        <v>2190930</v>
      </c>
    </row>
    <row r="25" spans="1:18" ht="18" x14ac:dyDescent="0.25">
      <c r="A25" s="137" t="s">
        <v>380</v>
      </c>
      <c r="B25" s="151">
        <v>1</v>
      </c>
      <c r="D25" s="133" t="s">
        <v>88</v>
      </c>
      <c r="E25" s="141">
        <v>1</v>
      </c>
      <c r="F25" s="128" t="s">
        <v>63</v>
      </c>
      <c r="G25" s="148" t="s">
        <v>159</v>
      </c>
      <c r="H25" s="141">
        <v>1</v>
      </c>
      <c r="I25" s="130" t="s">
        <v>61</v>
      </c>
      <c r="J25" s="130" t="s">
        <v>168</v>
      </c>
      <c r="K25" s="126">
        <v>10.007999999999999</v>
      </c>
      <c r="L25" s="130" t="s">
        <v>62</v>
      </c>
      <c r="M25" s="156" t="s">
        <v>636</v>
      </c>
      <c r="N25" s="126">
        <v>1</v>
      </c>
      <c r="P25" s="130" t="s">
        <v>152</v>
      </c>
      <c r="Q25" s="206">
        <v>36.1</v>
      </c>
      <c r="R25" s="156" t="s">
        <v>59</v>
      </c>
    </row>
    <row r="26" spans="1:18" ht="18.75" x14ac:dyDescent="0.25">
      <c r="A26" s="131" t="s">
        <v>228</v>
      </c>
      <c r="B26" s="152">
        <f>Q_C_wind*((3600)/(B36*(1-V)*((Um/Ut)^3)*F_x))</f>
        <v>1359344473.5814338</v>
      </c>
      <c r="C26" s="131" t="s">
        <v>217</v>
      </c>
      <c r="D26" s="133" t="s">
        <v>89</v>
      </c>
      <c r="E26" s="141">
        <v>1</v>
      </c>
      <c r="F26" s="128" t="s">
        <v>63</v>
      </c>
      <c r="G26" s="148" t="s">
        <v>103</v>
      </c>
      <c r="H26" s="141">
        <v>1</v>
      </c>
      <c r="I26" s="159" t="s">
        <v>63</v>
      </c>
      <c r="J26" s="148" t="s">
        <v>169</v>
      </c>
      <c r="K26" s="126">
        <v>1</v>
      </c>
      <c r="L26" s="156" t="s">
        <v>128</v>
      </c>
      <c r="M26" s="156" t="s">
        <v>637</v>
      </c>
      <c r="N26" s="126">
        <v>1</v>
      </c>
      <c r="P26" s="130" t="s">
        <v>153</v>
      </c>
      <c r="Q26" s="206">
        <v>155.9</v>
      </c>
      <c r="R26" s="156" t="s">
        <v>59</v>
      </c>
    </row>
    <row r="27" spans="1:18" ht="18" x14ac:dyDescent="0.25">
      <c r="A27" s="132" t="s">
        <v>218</v>
      </c>
      <c r="B27" s="123">
        <v>4.6900000000000004</v>
      </c>
      <c r="C27" s="133" t="s">
        <v>219</v>
      </c>
      <c r="D27" s="133" t="s">
        <v>95</v>
      </c>
      <c r="E27" s="126">
        <v>1.752</v>
      </c>
      <c r="F27" s="130" t="s">
        <v>62</v>
      </c>
      <c r="G27" s="148" t="s">
        <v>104</v>
      </c>
      <c r="H27" s="141">
        <v>1</v>
      </c>
      <c r="I27" s="159" t="s">
        <v>63</v>
      </c>
      <c r="J27" s="148" t="s">
        <v>170</v>
      </c>
      <c r="K27" s="126">
        <v>1</v>
      </c>
      <c r="L27" s="156" t="s">
        <v>128</v>
      </c>
      <c r="M27" s="148" t="s">
        <v>383</v>
      </c>
      <c r="N27" s="201">
        <v>82.7</v>
      </c>
      <c r="O27" s="156" t="s">
        <v>59</v>
      </c>
      <c r="P27" s="137" t="s">
        <v>245</v>
      </c>
      <c r="Q27" s="219">
        <f>((EF_far_c*ED_far_c*IRFI_far_c)+(EF_far_a*ED_far_a*IRFI_far_a))</f>
        <v>1931020</v>
      </c>
      <c r="R27" s="156" t="s">
        <v>225</v>
      </c>
    </row>
    <row r="28" spans="1:18" ht="18" x14ac:dyDescent="0.25">
      <c r="A28" s="132" t="s">
        <v>220</v>
      </c>
      <c r="B28" s="123">
        <v>11.32</v>
      </c>
      <c r="C28" s="133" t="s">
        <v>219</v>
      </c>
      <c r="D28" s="133" t="s">
        <v>96</v>
      </c>
      <c r="E28" s="126">
        <v>16.416</v>
      </c>
      <c r="F28" s="130" t="s">
        <v>62</v>
      </c>
      <c r="G28" s="130" t="s">
        <v>120</v>
      </c>
      <c r="H28" s="126">
        <v>1</v>
      </c>
      <c r="I28" s="130" t="s">
        <v>100</v>
      </c>
      <c r="J28" s="130" t="s">
        <v>171</v>
      </c>
      <c r="K28" s="126">
        <v>0.4</v>
      </c>
      <c r="L28" s="130"/>
      <c r="M28" s="148" t="s">
        <v>384</v>
      </c>
      <c r="N28" s="201">
        <v>84.8</v>
      </c>
      <c r="O28" s="156" t="s">
        <v>59</v>
      </c>
      <c r="P28" s="130" t="s">
        <v>1485</v>
      </c>
      <c r="Q28" s="206">
        <v>21.3</v>
      </c>
      <c r="R28" s="156" t="s">
        <v>59</v>
      </c>
    </row>
    <row r="29" spans="1:18" ht="18" x14ac:dyDescent="0.25">
      <c r="A29" s="135" t="s">
        <v>221</v>
      </c>
      <c r="B29" s="124">
        <v>0.19400000000000001</v>
      </c>
      <c r="C29" s="136" t="s">
        <v>101</v>
      </c>
      <c r="D29" s="133" t="s">
        <v>97</v>
      </c>
      <c r="E29" s="126">
        <v>1</v>
      </c>
      <c r="G29" s="130" t="s">
        <v>119</v>
      </c>
      <c r="H29" s="126">
        <v>1</v>
      </c>
      <c r="I29" s="130" t="s">
        <v>100</v>
      </c>
      <c r="L29" s="130"/>
      <c r="M29" s="137" t="s">
        <v>385</v>
      </c>
      <c r="N29" s="219">
        <f>((EF_far_c*ED_far_c*IRAP_far_c)+(EF_far_a*ED_far_a*IRAP_far_a))</f>
        <v>1182790</v>
      </c>
      <c r="O29" s="156" t="s">
        <v>225</v>
      </c>
      <c r="P29" s="130" t="s">
        <v>1486</v>
      </c>
      <c r="Q29" s="206">
        <v>208.9</v>
      </c>
      <c r="R29" s="156" t="s">
        <v>59</v>
      </c>
    </row>
    <row r="30" spans="1:18" ht="18" x14ac:dyDescent="0.25">
      <c r="A30" s="135" t="s">
        <v>222</v>
      </c>
      <c r="B30" s="124">
        <v>0.5</v>
      </c>
      <c r="C30" s="136"/>
      <c r="D30" s="134" t="s">
        <v>488</v>
      </c>
      <c r="E30" s="205">
        <v>72</v>
      </c>
      <c r="F30" s="156" t="s">
        <v>59</v>
      </c>
      <c r="G30" s="130" t="s">
        <v>118</v>
      </c>
      <c r="H30" s="126">
        <v>1</v>
      </c>
      <c r="I30" s="130" t="s">
        <v>101</v>
      </c>
      <c r="L30" s="130"/>
      <c r="M30" s="148" t="s">
        <v>386</v>
      </c>
      <c r="N30" s="204">
        <v>11.9</v>
      </c>
      <c r="O30" s="156" t="s">
        <v>59</v>
      </c>
      <c r="P30" s="137" t="s">
        <v>1487</v>
      </c>
      <c r="Q30" s="219">
        <f>((EF_far_c*ED_far_c*IRSF_far_c)+(EF_far_a*ED_far_a*IRSF_far_a))</f>
        <v>2530640</v>
      </c>
      <c r="R30" s="156" t="s">
        <v>225</v>
      </c>
    </row>
    <row r="31" spans="1:18" ht="18" x14ac:dyDescent="0.25">
      <c r="A31" s="139" t="s">
        <v>229</v>
      </c>
      <c r="B31" s="154">
        <f>A_wind*EXP((((LN(As))-B_wind)^2)/C_wind)</f>
        <v>93.773582452087695</v>
      </c>
      <c r="C31" s="136"/>
      <c r="D31" s="134" t="s">
        <v>489</v>
      </c>
      <c r="E31" s="205">
        <v>73.900000000000006</v>
      </c>
      <c r="F31" s="156" t="s">
        <v>59</v>
      </c>
      <c r="G31" s="130" t="s">
        <v>117</v>
      </c>
      <c r="H31" s="126">
        <v>1</v>
      </c>
      <c r="I31" s="130" t="s">
        <v>101</v>
      </c>
      <c r="L31" s="130"/>
      <c r="M31" s="148" t="s">
        <v>387</v>
      </c>
      <c r="N31" s="204">
        <v>40.1</v>
      </c>
      <c r="O31" s="156" t="s">
        <v>59</v>
      </c>
      <c r="P31" s="130" t="s">
        <v>156</v>
      </c>
      <c r="Q31" s="206">
        <v>32.200000000000003</v>
      </c>
      <c r="R31" s="130" t="s">
        <v>59</v>
      </c>
    </row>
    <row r="32" spans="1:18" ht="18" x14ac:dyDescent="0.25">
      <c r="A32" s="138" t="s">
        <v>223</v>
      </c>
      <c r="B32" s="124">
        <v>0.5</v>
      </c>
      <c r="C32" s="136" t="s">
        <v>224</v>
      </c>
      <c r="D32" s="134" t="s">
        <v>490</v>
      </c>
      <c r="E32" s="154">
        <f>((EF_res_c*ED_res_c*IRAP_res_c)+(EF_res_a*ED_res_a*IRAP_res_a))</f>
        <v>668500</v>
      </c>
      <c r="F32" s="156" t="s">
        <v>225</v>
      </c>
      <c r="G32" s="130" t="s">
        <v>116</v>
      </c>
      <c r="H32" s="126">
        <v>1</v>
      </c>
      <c r="I32" s="130" t="s">
        <v>58</v>
      </c>
      <c r="L32" s="130"/>
      <c r="M32" s="137" t="s">
        <v>388</v>
      </c>
      <c r="N32" s="219">
        <f>((EF_far_c*ED_far_c*IRAS_far_c)+(EF_far_a*ED_far_a*IRAS_far_a))</f>
        <v>502180</v>
      </c>
      <c r="O32" s="156" t="s">
        <v>225</v>
      </c>
      <c r="P32" s="130" t="s">
        <v>157</v>
      </c>
      <c r="Q32" s="206">
        <v>151.1</v>
      </c>
      <c r="R32" s="130" t="s">
        <v>59</v>
      </c>
    </row>
    <row r="33" spans="1:18" ht="18" x14ac:dyDescent="0.25">
      <c r="A33" s="139" t="s">
        <v>230</v>
      </c>
      <c r="B33" s="125">
        <v>16.2302</v>
      </c>
      <c r="C33" s="136"/>
      <c r="D33" s="134" t="s">
        <v>491</v>
      </c>
      <c r="E33" s="204">
        <v>11.9</v>
      </c>
      <c r="F33" s="156" t="s">
        <v>59</v>
      </c>
      <c r="G33" s="130" t="s">
        <v>115</v>
      </c>
      <c r="H33" s="126">
        <v>1</v>
      </c>
      <c r="I33" s="130" t="s">
        <v>100</v>
      </c>
      <c r="L33" s="130"/>
      <c r="M33" s="148" t="s">
        <v>389</v>
      </c>
      <c r="N33" s="241">
        <v>6</v>
      </c>
      <c r="O33" s="156" t="s">
        <v>59</v>
      </c>
      <c r="P33" s="137" t="s">
        <v>247</v>
      </c>
      <c r="Q33" s="219">
        <f>((EF_far_c*ED_far_c*IRSW_far_c)+(EF_far_a*ED_far_a*IRSW_far_a))</f>
        <v>1865710</v>
      </c>
      <c r="R33" s="156" t="s">
        <v>225</v>
      </c>
    </row>
    <row r="34" spans="1:18" ht="18" x14ac:dyDescent="0.25">
      <c r="A34" s="139" t="s">
        <v>231</v>
      </c>
      <c r="B34" s="125">
        <v>18.776199999999999</v>
      </c>
      <c r="C34" s="136"/>
      <c r="D34" s="134" t="s">
        <v>492</v>
      </c>
      <c r="E34" s="204">
        <v>40.1</v>
      </c>
      <c r="F34" s="156" t="s">
        <v>59</v>
      </c>
      <c r="G34" s="130" t="s">
        <v>114</v>
      </c>
      <c r="H34" s="126">
        <v>1</v>
      </c>
      <c r="I34" s="130" t="s">
        <v>100</v>
      </c>
      <c r="L34" s="130"/>
      <c r="M34" s="148" t="s">
        <v>390</v>
      </c>
      <c r="N34" s="201">
        <v>34.4</v>
      </c>
      <c r="O34" s="156" t="s">
        <v>59</v>
      </c>
      <c r="P34" s="148" t="s">
        <v>1106</v>
      </c>
      <c r="Q34" s="126">
        <v>0</v>
      </c>
      <c r="R34" s="156" t="s">
        <v>59</v>
      </c>
    </row>
    <row r="35" spans="1:18" ht="18" x14ac:dyDescent="0.25">
      <c r="A35" s="139" t="s">
        <v>232</v>
      </c>
      <c r="B35" s="125">
        <v>216.108</v>
      </c>
      <c r="C35" s="136"/>
      <c r="D35" s="134" t="s">
        <v>493</v>
      </c>
      <c r="E35" s="154">
        <f>((EF_res_c*ED_res_c*IRAS_res_c)+(EF_res_a*ED_res_a*IRAS_res_a))</f>
        <v>305690</v>
      </c>
      <c r="F35" s="156" t="s">
        <v>225</v>
      </c>
      <c r="G35" s="156" t="s">
        <v>113</v>
      </c>
      <c r="H35" s="126">
        <v>1</v>
      </c>
      <c r="I35" s="130" t="s">
        <v>101</v>
      </c>
      <c r="M35" s="137" t="s">
        <v>391</v>
      </c>
      <c r="N35" s="219">
        <f>((EF_far_c*ED_far_c*IRBT_far_c)+(EF_far_a*ED_far_a*IRBT_far_a))</f>
        <v>421960</v>
      </c>
      <c r="O35" s="156" t="s">
        <v>225</v>
      </c>
      <c r="P35" s="148" t="s">
        <v>1107</v>
      </c>
      <c r="Q35" s="126">
        <v>0</v>
      </c>
      <c r="R35" s="156" t="s">
        <v>59</v>
      </c>
    </row>
    <row r="36" spans="1:18" ht="18" x14ac:dyDescent="0.25">
      <c r="A36" s="136"/>
      <c r="B36" s="124">
        <v>3.5999999999999997E-2</v>
      </c>
      <c r="C36" s="136"/>
      <c r="D36" s="134" t="s">
        <v>494</v>
      </c>
      <c r="E36" s="204">
        <v>6</v>
      </c>
      <c r="F36" s="156" t="s">
        <v>59</v>
      </c>
      <c r="G36" s="130" t="s">
        <v>112</v>
      </c>
      <c r="H36" s="126">
        <v>1</v>
      </c>
      <c r="I36" s="130" t="s">
        <v>101</v>
      </c>
      <c r="M36" s="148" t="s">
        <v>392</v>
      </c>
      <c r="N36" s="201">
        <v>24.2</v>
      </c>
      <c r="O36" s="156" t="s">
        <v>59</v>
      </c>
      <c r="P36" s="137" t="s">
        <v>1108</v>
      </c>
      <c r="Q36" s="154">
        <f>((EF_far_c*ED_far_c*IRSH_far_c)+(EF_far_a*ED_far_a*IRSH_far_a))</f>
        <v>0</v>
      </c>
      <c r="R36" s="156" t="s">
        <v>225</v>
      </c>
    </row>
    <row r="37" spans="1:18" ht="18" x14ac:dyDescent="0.25">
      <c r="A37" s="137" t="s">
        <v>379</v>
      </c>
      <c r="B37" s="160">
        <v>1</v>
      </c>
      <c r="C37" s="139"/>
      <c r="D37" s="134" t="s">
        <v>495</v>
      </c>
      <c r="E37" s="204">
        <v>34.4</v>
      </c>
      <c r="F37" s="156" t="s">
        <v>59</v>
      </c>
      <c r="G37" s="130" t="s">
        <v>111</v>
      </c>
      <c r="H37" s="126">
        <v>1</v>
      </c>
      <c r="I37" s="130" t="s">
        <v>58</v>
      </c>
      <c r="M37" s="148" t="s">
        <v>393</v>
      </c>
      <c r="N37" s="201">
        <v>35.200000000000003</v>
      </c>
      <c r="O37" s="156" t="s">
        <v>59</v>
      </c>
      <c r="P37" s="148" t="s">
        <v>455</v>
      </c>
      <c r="Q37" s="126">
        <v>0</v>
      </c>
      <c r="R37" s="156" t="s">
        <v>59</v>
      </c>
    </row>
    <row r="38" spans="1:18" ht="18" x14ac:dyDescent="0.25">
      <c r="A38" s="139"/>
      <c r="B38" s="140"/>
      <c r="C38" s="139"/>
      <c r="D38" s="134" t="s">
        <v>496</v>
      </c>
      <c r="E38" s="154">
        <f>((EF_res_c*ED_res_c*IRBT_res_c)+(EF_res_a*ED_res_a*IRBT_res_a))</f>
        <v>253400</v>
      </c>
      <c r="F38" s="156" t="s">
        <v>225</v>
      </c>
      <c r="G38" s="130" t="s">
        <v>367</v>
      </c>
      <c r="H38" s="126">
        <v>1</v>
      </c>
      <c r="M38" s="137" t="s">
        <v>394</v>
      </c>
      <c r="N38" s="219">
        <f>((EF_far_c*ED_far_c*IRBE_far_c)+(EF_far_a*ED_far_a*IRBE_far_a))</f>
        <v>469700.00000000006</v>
      </c>
      <c r="O38" s="156" t="s">
        <v>225</v>
      </c>
      <c r="P38" s="148" t="s">
        <v>456</v>
      </c>
      <c r="Q38" s="126">
        <v>0</v>
      </c>
      <c r="R38" s="156" t="s">
        <v>59</v>
      </c>
    </row>
    <row r="39" spans="1:18" ht="18" x14ac:dyDescent="0.25">
      <c r="D39" s="134" t="s">
        <v>497</v>
      </c>
      <c r="E39" s="204">
        <v>24.2</v>
      </c>
      <c r="F39" s="156" t="s">
        <v>59</v>
      </c>
      <c r="G39" s="130" t="s">
        <v>368</v>
      </c>
      <c r="H39" s="126">
        <v>1</v>
      </c>
      <c r="M39" s="148" t="s">
        <v>395</v>
      </c>
      <c r="N39" s="201">
        <v>14.8</v>
      </c>
      <c r="O39" s="156" t="s">
        <v>59</v>
      </c>
      <c r="P39" s="137" t="s">
        <v>457</v>
      </c>
      <c r="Q39" s="154">
        <f>((EF_far_c*ED_far_c*IRGO_far_c)+(EF_far_a*ED_far_a*IRGO_far_a))</f>
        <v>0</v>
      </c>
      <c r="R39" s="156" t="s">
        <v>225</v>
      </c>
    </row>
    <row r="40" spans="1:18" ht="18" x14ac:dyDescent="0.25">
      <c r="A40" s="137"/>
      <c r="B40" s="143"/>
      <c r="C40" s="139"/>
      <c r="D40" s="134" t="s">
        <v>498</v>
      </c>
      <c r="E40" s="204">
        <v>35.200000000000003</v>
      </c>
      <c r="F40" s="156" t="s">
        <v>59</v>
      </c>
      <c r="M40" s="148" t="s">
        <v>396</v>
      </c>
      <c r="N40" s="201">
        <v>34.1</v>
      </c>
      <c r="O40" s="156" t="s">
        <v>59</v>
      </c>
      <c r="P40" s="148" t="s">
        <v>458</v>
      </c>
      <c r="Q40" s="126">
        <v>0</v>
      </c>
      <c r="R40" s="156" t="s">
        <v>59</v>
      </c>
    </row>
    <row r="41" spans="1:18" ht="18" x14ac:dyDescent="0.25">
      <c r="A41" s="139"/>
      <c r="B41" s="140"/>
      <c r="C41" s="139"/>
      <c r="D41" s="134" t="s">
        <v>499</v>
      </c>
      <c r="E41" s="154">
        <f>((EF_res_c*ED_res_c*IRBE_res_c)+(EF_res_a*ED_res_a*IRBE_res_a))</f>
        <v>297220</v>
      </c>
      <c r="F41" s="156" t="s">
        <v>225</v>
      </c>
      <c r="H41" s="141"/>
      <c r="I41" s="130"/>
      <c r="M41" s="137" t="s">
        <v>397</v>
      </c>
      <c r="N41" s="219">
        <f>((EF_far_c*ED_far_c*IRBR_far_c)+(EF_far_a*ED_far_a*IRBR_far_a))</f>
        <v>436870</v>
      </c>
      <c r="O41" s="156" t="s">
        <v>225</v>
      </c>
      <c r="P41" s="148" t="s">
        <v>459</v>
      </c>
      <c r="Q41" s="126">
        <v>0</v>
      </c>
      <c r="R41" s="156" t="s">
        <v>59</v>
      </c>
    </row>
    <row r="42" spans="1:18" ht="18" x14ac:dyDescent="0.25">
      <c r="D42" s="134" t="s">
        <v>500</v>
      </c>
      <c r="E42" s="204">
        <v>13.2</v>
      </c>
      <c r="F42" s="156" t="s">
        <v>59</v>
      </c>
      <c r="M42" s="148" t="s">
        <v>398</v>
      </c>
      <c r="N42" s="242">
        <v>11</v>
      </c>
      <c r="O42" s="156" t="s">
        <v>59</v>
      </c>
      <c r="P42" s="137" t="s">
        <v>460</v>
      </c>
      <c r="Q42" s="154">
        <f>((EF_far_c*ED_far_c*IRSM_far_c)+(EF_far_a*ED_far_a*IRSM_far_a))</f>
        <v>0</v>
      </c>
      <c r="R42" s="156" t="s">
        <v>225</v>
      </c>
    </row>
    <row r="43" spans="1:18" ht="18" x14ac:dyDescent="0.25">
      <c r="D43" s="134" t="s">
        <v>501</v>
      </c>
      <c r="E43" s="204">
        <v>30.5</v>
      </c>
      <c r="F43" s="156" t="s">
        <v>59</v>
      </c>
      <c r="M43" s="148" t="s">
        <v>399</v>
      </c>
      <c r="N43" s="201">
        <v>79.5</v>
      </c>
      <c r="O43" s="156" t="s">
        <v>59</v>
      </c>
      <c r="P43" s="148" t="s">
        <v>461</v>
      </c>
      <c r="Q43" s="126">
        <v>0</v>
      </c>
      <c r="R43" s="156" t="s">
        <v>59</v>
      </c>
    </row>
    <row r="44" spans="1:18" ht="18" x14ac:dyDescent="0.25">
      <c r="A44" s="139"/>
      <c r="B44" s="140"/>
      <c r="C44" s="139"/>
      <c r="D44" s="134" t="s">
        <v>502</v>
      </c>
      <c r="E44" s="154">
        <f>((EF_res_c*ED_res_c*IRBR_res_c)+(EF_res_a*ED_res_a*IRBR_res_a))</f>
        <v>241220</v>
      </c>
      <c r="F44" s="156" t="s">
        <v>225</v>
      </c>
      <c r="M44" s="137" t="s">
        <v>400</v>
      </c>
      <c r="N44" s="219">
        <f>((EF_far_c*ED_far_c*IRCB_far_c)+(EF_far_a*ED_far_a*IRCB_far_a))</f>
        <v>969150</v>
      </c>
      <c r="O44" s="156" t="s">
        <v>225</v>
      </c>
      <c r="P44" s="148" t="s">
        <v>462</v>
      </c>
      <c r="Q44" s="126">
        <v>0</v>
      </c>
      <c r="R44" s="156" t="s">
        <v>59</v>
      </c>
    </row>
    <row r="45" spans="1:18" ht="18" x14ac:dyDescent="0.25">
      <c r="A45" s="139"/>
      <c r="B45" s="140"/>
      <c r="C45" s="139"/>
      <c r="D45" s="134" t="s">
        <v>503</v>
      </c>
      <c r="E45" s="204">
        <v>11.8</v>
      </c>
      <c r="F45" s="156" t="s">
        <v>59</v>
      </c>
      <c r="M45" s="148" t="s">
        <v>401</v>
      </c>
      <c r="N45" s="201">
        <v>13.1</v>
      </c>
      <c r="O45" s="156" t="s">
        <v>59</v>
      </c>
      <c r="P45" s="137" t="s">
        <v>463</v>
      </c>
      <c r="Q45" s="154">
        <f>((EF_far_c*ED_far_c*IRGM_far_c)+(EF_far_a*ED_far_a*IRGM_far_a))</f>
        <v>0</v>
      </c>
      <c r="R45" s="156" t="s">
        <v>225</v>
      </c>
    </row>
    <row r="46" spans="1:18" ht="18" x14ac:dyDescent="0.25">
      <c r="A46" s="139"/>
      <c r="B46" s="142"/>
      <c r="C46" s="139"/>
      <c r="D46" s="134" t="s">
        <v>504</v>
      </c>
      <c r="E46" s="204">
        <v>85.1</v>
      </c>
      <c r="F46" s="156" t="s">
        <v>59</v>
      </c>
      <c r="M46" s="148" t="s">
        <v>402</v>
      </c>
      <c r="N46" s="201">
        <v>24.4</v>
      </c>
      <c r="O46" s="156" t="s">
        <v>59</v>
      </c>
      <c r="P46" s="130" t="s">
        <v>177</v>
      </c>
      <c r="Q46" s="141">
        <v>92</v>
      </c>
      <c r="R46" s="130" t="s">
        <v>58</v>
      </c>
    </row>
    <row r="47" spans="1:18" ht="18" x14ac:dyDescent="0.25">
      <c r="A47" s="139"/>
      <c r="B47" s="140"/>
      <c r="C47" s="139"/>
      <c r="D47" s="134" t="s">
        <v>505</v>
      </c>
      <c r="E47" s="154">
        <f>((EF_res_c*ED_res_c*IRCB_res_c)+(EF_res_a*ED_res_a*IRCB_res_a))</f>
        <v>620480</v>
      </c>
      <c r="F47" s="156" t="s">
        <v>225</v>
      </c>
      <c r="M47" s="137" t="s">
        <v>403</v>
      </c>
      <c r="N47" s="219">
        <f>((EF_far_c*ED_far_c*IRCR_far_c)+(EF_far_a*ED_far_a*IRCR_far_a))</f>
        <v>317870</v>
      </c>
      <c r="O47" s="156" t="s">
        <v>225</v>
      </c>
      <c r="P47" s="130" t="s">
        <v>376</v>
      </c>
      <c r="Q47" s="125">
        <v>1.03</v>
      </c>
      <c r="R47" s="130" t="s">
        <v>139</v>
      </c>
    </row>
    <row r="48" spans="1:18" ht="18" x14ac:dyDescent="0.25">
      <c r="A48" s="139"/>
      <c r="B48" s="143"/>
      <c r="C48" s="139"/>
      <c r="D48" s="134" t="s">
        <v>506</v>
      </c>
      <c r="E48" s="204">
        <v>14.5</v>
      </c>
      <c r="F48" s="156" t="s">
        <v>59</v>
      </c>
      <c r="M48" s="148" t="s">
        <v>404</v>
      </c>
      <c r="N48" s="242">
        <v>48.1</v>
      </c>
      <c r="O48" s="156" t="s">
        <v>59</v>
      </c>
      <c r="P48" s="130" t="s">
        <v>178</v>
      </c>
      <c r="Q48" s="141">
        <v>20.3</v>
      </c>
      <c r="R48" s="130" t="s">
        <v>100</v>
      </c>
    </row>
    <row r="49" spans="1:18" ht="18" x14ac:dyDescent="0.25">
      <c r="A49" s="139"/>
      <c r="B49" s="140"/>
      <c r="C49" s="139"/>
      <c r="D49" s="134" t="s">
        <v>507</v>
      </c>
      <c r="E49" s="204">
        <v>27.1</v>
      </c>
      <c r="F49" s="156" t="s">
        <v>59</v>
      </c>
      <c r="M49" s="148" t="s">
        <v>405</v>
      </c>
      <c r="N49" s="201">
        <v>84.8</v>
      </c>
      <c r="O49" s="156" t="s">
        <v>59</v>
      </c>
      <c r="P49" s="130" t="s">
        <v>179</v>
      </c>
      <c r="Q49" s="141">
        <v>0.4</v>
      </c>
      <c r="R49" s="130" t="s">
        <v>100</v>
      </c>
    </row>
    <row r="50" spans="1:18" ht="18" x14ac:dyDescent="0.25">
      <c r="A50" s="139"/>
      <c r="B50" s="144"/>
      <c r="C50" s="139"/>
      <c r="D50" s="134" t="s">
        <v>508</v>
      </c>
      <c r="E50" s="154">
        <f>((EF_res_c*ED_res_c*IRCR_res_c)+(EF_res_a*ED_res_a*IRCR_res_a))</f>
        <v>220150</v>
      </c>
      <c r="F50" s="156" t="s">
        <v>225</v>
      </c>
      <c r="M50" s="137" t="s">
        <v>406</v>
      </c>
      <c r="N50" s="219">
        <f>((EF_far_c*ED_far_c*IRCG_far_c)+(EF_far_a*ED_far_a*IRCG_far_a))</f>
        <v>1110130</v>
      </c>
      <c r="O50" s="156" t="s">
        <v>225</v>
      </c>
      <c r="P50" s="130" t="s">
        <v>180</v>
      </c>
      <c r="Q50" s="141">
        <v>1</v>
      </c>
      <c r="R50" s="130"/>
    </row>
    <row r="51" spans="1:18" ht="18" x14ac:dyDescent="0.25">
      <c r="A51" s="139"/>
      <c r="B51" s="145"/>
      <c r="C51" s="139"/>
      <c r="D51" s="134" t="s">
        <v>509</v>
      </c>
      <c r="E51" s="204">
        <v>39.799999999999997</v>
      </c>
      <c r="F51" s="156" t="s">
        <v>59</v>
      </c>
      <c r="M51" s="148" t="s">
        <v>407</v>
      </c>
      <c r="N51" s="242">
        <v>206</v>
      </c>
      <c r="O51" s="156" t="s">
        <v>59</v>
      </c>
      <c r="P51" s="130" t="s">
        <v>181</v>
      </c>
      <c r="Q51" s="141">
        <v>1</v>
      </c>
      <c r="R51" s="130"/>
    </row>
    <row r="52" spans="1:18" ht="18" x14ac:dyDescent="0.25">
      <c r="A52" s="139"/>
      <c r="B52" s="145"/>
      <c r="C52" s="139"/>
      <c r="D52" s="134" t="s">
        <v>510</v>
      </c>
      <c r="E52" s="204">
        <v>70.2</v>
      </c>
      <c r="F52" s="156" t="s">
        <v>59</v>
      </c>
      <c r="M52" s="148" t="s">
        <v>408</v>
      </c>
      <c r="N52" s="201">
        <v>306.5</v>
      </c>
      <c r="O52" s="156" t="s">
        <v>59</v>
      </c>
      <c r="P52" s="130" t="s">
        <v>192</v>
      </c>
      <c r="Q52" s="141">
        <v>53</v>
      </c>
      <c r="R52" s="130" t="s">
        <v>58</v>
      </c>
    </row>
    <row r="53" spans="1:18" ht="18" x14ac:dyDescent="0.25">
      <c r="A53" s="139"/>
      <c r="B53" s="145"/>
      <c r="C53" s="139"/>
      <c r="D53" s="134" t="s">
        <v>511</v>
      </c>
      <c r="E53" s="154">
        <f>((EF_res_c*ED_res_c*IRCG_res_c)+(EF_res_a*ED_res_a*IRCG_res_a))</f>
        <v>574980</v>
      </c>
      <c r="F53" s="156" t="s">
        <v>225</v>
      </c>
      <c r="M53" s="137" t="s">
        <v>409</v>
      </c>
      <c r="N53" s="219">
        <f>((EF_far_c*ED_far_c*IRCI_far_c)+(EF_far_a*ED_far_a*IRCI_far_a))</f>
        <v>4079950</v>
      </c>
      <c r="O53" s="156" t="s">
        <v>225</v>
      </c>
      <c r="P53" s="130" t="s">
        <v>182</v>
      </c>
      <c r="Q53" s="141">
        <v>11.77</v>
      </c>
      <c r="R53" s="130" t="s">
        <v>100</v>
      </c>
    </row>
    <row r="54" spans="1:18" ht="18" x14ac:dyDescent="0.25">
      <c r="A54" s="139"/>
      <c r="B54" s="145"/>
      <c r="C54" s="139"/>
      <c r="D54" s="134" t="s">
        <v>512</v>
      </c>
      <c r="E54" s="204">
        <v>206</v>
      </c>
      <c r="F54" s="156" t="s">
        <v>59</v>
      </c>
      <c r="M54" s="148" t="s">
        <v>410</v>
      </c>
      <c r="N54" s="242">
        <v>31.6</v>
      </c>
      <c r="O54" s="156" t="s">
        <v>59</v>
      </c>
      <c r="P54" s="130" t="s">
        <v>183</v>
      </c>
      <c r="Q54" s="141">
        <v>0.5</v>
      </c>
      <c r="R54" s="130" t="s">
        <v>100</v>
      </c>
    </row>
    <row r="55" spans="1:18" ht="18" x14ac:dyDescent="0.25">
      <c r="A55" s="139"/>
      <c r="B55" s="144"/>
      <c r="C55" s="139"/>
      <c r="D55" s="134" t="s">
        <v>513</v>
      </c>
      <c r="E55" s="204">
        <v>306.5</v>
      </c>
      <c r="F55" s="156" t="s">
        <v>59</v>
      </c>
      <c r="M55" s="148" t="s">
        <v>411</v>
      </c>
      <c r="N55" s="201">
        <v>82.1</v>
      </c>
      <c r="O55" s="156" t="s">
        <v>59</v>
      </c>
      <c r="P55" s="130" t="s">
        <v>184</v>
      </c>
      <c r="Q55" s="141">
        <v>1</v>
      </c>
      <c r="R55" s="130"/>
    </row>
    <row r="56" spans="1:18" ht="18" x14ac:dyDescent="0.25">
      <c r="A56" s="139"/>
      <c r="B56" s="144"/>
      <c r="C56" s="139"/>
      <c r="D56" s="134" t="s">
        <v>514</v>
      </c>
      <c r="E56" s="154">
        <f>((EF_res_c*ED_res_c*IRCI_res_c)+(EF_res_a*ED_res_a*IRCI_res_a))</f>
        <v>2578100</v>
      </c>
      <c r="F56" s="156" t="s">
        <v>225</v>
      </c>
      <c r="M56" s="137" t="s">
        <v>412</v>
      </c>
      <c r="N56" s="219">
        <f>((EF_far_c*ED_far_c*IRCO_far_c)+(EF_far_a*ED_far_a*IRCO_far_a))</f>
        <v>1043349.9999999999</v>
      </c>
      <c r="O56" s="156" t="s">
        <v>225</v>
      </c>
      <c r="P56" s="130" t="s">
        <v>185</v>
      </c>
      <c r="Q56" s="141">
        <v>1</v>
      </c>
      <c r="R56" s="130"/>
    </row>
    <row r="57" spans="1:18" ht="18" x14ac:dyDescent="0.25">
      <c r="A57" s="139"/>
      <c r="B57" s="146"/>
      <c r="C57" s="139"/>
      <c r="D57" s="134" t="s">
        <v>515</v>
      </c>
      <c r="E57" s="204">
        <v>23.2</v>
      </c>
      <c r="F57" s="156" t="s">
        <v>59</v>
      </c>
      <c r="M57" s="148" t="s">
        <v>413</v>
      </c>
      <c r="N57" s="201">
        <v>16.3</v>
      </c>
      <c r="O57" s="156" t="s">
        <v>59</v>
      </c>
      <c r="P57" s="130" t="s">
        <v>186</v>
      </c>
      <c r="Q57" s="126">
        <v>0.4</v>
      </c>
      <c r="R57" s="130" t="s">
        <v>58</v>
      </c>
    </row>
    <row r="58" spans="1:18" ht="18" x14ac:dyDescent="0.25">
      <c r="A58" s="139"/>
      <c r="B58" s="146"/>
      <c r="C58" s="139"/>
      <c r="D58" s="134" t="s">
        <v>516</v>
      </c>
      <c r="E58" s="204">
        <v>60.2</v>
      </c>
      <c r="F58" s="156" t="s">
        <v>59</v>
      </c>
      <c r="M58" s="148" t="s">
        <v>414</v>
      </c>
      <c r="N58" s="201">
        <v>54.9</v>
      </c>
      <c r="O58" s="156" t="s">
        <v>59</v>
      </c>
      <c r="P58" s="130" t="s">
        <v>187</v>
      </c>
      <c r="Q58" s="141">
        <v>0.2</v>
      </c>
      <c r="R58" s="130" t="s">
        <v>100</v>
      </c>
    </row>
    <row r="59" spans="1:18" ht="18" x14ac:dyDescent="0.25">
      <c r="A59" s="139"/>
      <c r="B59" s="145"/>
      <c r="C59" s="139"/>
      <c r="D59" s="134" t="s">
        <v>517</v>
      </c>
      <c r="E59" s="154">
        <f>((EF_res_c*ED_res_c*IRCO_res_c)+(EF_res_a*ED_res_a*IRCO_res_a))</f>
        <v>470120</v>
      </c>
      <c r="F59" s="156" t="s">
        <v>225</v>
      </c>
      <c r="M59" s="137" t="s">
        <v>415</v>
      </c>
      <c r="N59" s="219">
        <f>((EF_far_c*ED_far_c*IRCU_far_c)+(EF_far_a*ED_far_a*IRCU_far_a))</f>
        <v>687540</v>
      </c>
      <c r="O59" s="156" t="s">
        <v>225</v>
      </c>
      <c r="P59" s="130" t="s">
        <v>188</v>
      </c>
      <c r="Q59" s="141">
        <v>2.1999999999999999E-2</v>
      </c>
      <c r="R59" s="130" t="s">
        <v>100</v>
      </c>
    </row>
    <row r="60" spans="1:18" ht="18" x14ac:dyDescent="0.25">
      <c r="A60" s="139"/>
      <c r="B60" s="147"/>
      <c r="C60" s="139"/>
      <c r="D60" s="134" t="s">
        <v>518</v>
      </c>
      <c r="E60" s="204">
        <v>24.5</v>
      </c>
      <c r="F60" s="156" t="s">
        <v>59</v>
      </c>
      <c r="M60" s="148" t="s">
        <v>416</v>
      </c>
      <c r="N60" s="204">
        <v>3.4</v>
      </c>
      <c r="O60" s="156" t="s">
        <v>59</v>
      </c>
      <c r="P60" s="130" t="s">
        <v>189</v>
      </c>
      <c r="Q60" s="126">
        <v>1</v>
      </c>
      <c r="R60" s="130"/>
    </row>
    <row r="61" spans="1:18" ht="18" x14ac:dyDescent="0.25">
      <c r="A61" s="139"/>
      <c r="B61" s="147"/>
      <c r="C61" s="139"/>
      <c r="D61" s="134" t="s">
        <v>519</v>
      </c>
      <c r="E61" s="204">
        <v>82.3</v>
      </c>
      <c r="F61" s="156" t="s">
        <v>59</v>
      </c>
      <c r="M61" s="148" t="s">
        <v>417</v>
      </c>
      <c r="N61" s="204">
        <v>36.700000000000003</v>
      </c>
      <c r="O61" s="156" t="s">
        <v>59</v>
      </c>
      <c r="P61" s="130" t="s">
        <v>190</v>
      </c>
      <c r="Q61" s="126">
        <v>1</v>
      </c>
      <c r="R61" s="130"/>
    </row>
    <row r="62" spans="1:18" ht="18" x14ac:dyDescent="0.25">
      <c r="A62" s="139"/>
      <c r="B62" s="147"/>
      <c r="C62" s="139"/>
      <c r="D62" s="134" t="s">
        <v>520</v>
      </c>
      <c r="E62" s="154">
        <f>((EF_res_c*ED_res_c*IRCU_res_c)+(EF_res_a*ED_res_a*IRCU_res_a))</f>
        <v>627550</v>
      </c>
      <c r="F62" s="156" t="s">
        <v>225</v>
      </c>
      <c r="M62" s="137" t="s">
        <v>418</v>
      </c>
      <c r="N62" s="219">
        <f>((EF_far_c*ED_far_c*IRLE_far_c)+(EF_far_a*ED_far_a*IRLE_far_a))</f>
        <v>443870.00000000006</v>
      </c>
      <c r="O62" s="156" t="s">
        <v>225</v>
      </c>
      <c r="P62" s="130" t="s">
        <v>191</v>
      </c>
      <c r="Q62" s="126">
        <v>0.4</v>
      </c>
      <c r="R62" s="130" t="s">
        <v>58</v>
      </c>
    </row>
    <row r="63" spans="1:18" ht="18" x14ac:dyDescent="0.25">
      <c r="A63" s="139"/>
      <c r="B63" s="145"/>
      <c r="C63" s="139"/>
      <c r="D63" s="134" t="s">
        <v>521</v>
      </c>
      <c r="E63" s="204">
        <v>3.4</v>
      </c>
      <c r="F63" s="156" t="s">
        <v>59</v>
      </c>
      <c r="M63" s="148" t="s">
        <v>419</v>
      </c>
      <c r="N63" s="204">
        <v>22</v>
      </c>
      <c r="O63" s="156" t="s">
        <v>59</v>
      </c>
      <c r="P63" s="130" t="s">
        <v>201</v>
      </c>
      <c r="Q63" s="141">
        <v>0.2</v>
      </c>
      <c r="R63" s="130" t="s">
        <v>100</v>
      </c>
    </row>
    <row r="64" spans="1:18" ht="18" x14ac:dyDescent="0.25">
      <c r="A64" s="139"/>
      <c r="B64" s="145"/>
      <c r="C64" s="139"/>
      <c r="D64" s="134" t="s">
        <v>522</v>
      </c>
      <c r="E64" s="204">
        <v>36.700000000000003</v>
      </c>
      <c r="F64" s="156" t="s">
        <v>59</v>
      </c>
      <c r="M64" s="148" t="s">
        <v>420</v>
      </c>
      <c r="N64" s="204">
        <v>33.9</v>
      </c>
      <c r="O64" s="156" t="s">
        <v>59</v>
      </c>
      <c r="P64" s="130" t="s">
        <v>200</v>
      </c>
      <c r="Q64" s="141">
        <v>2.1999999999999999E-2</v>
      </c>
      <c r="R64" s="130" t="s">
        <v>100</v>
      </c>
    </row>
    <row r="65" spans="1:18" ht="18" x14ac:dyDescent="0.25">
      <c r="A65" s="139"/>
      <c r="B65" s="145"/>
      <c r="C65" s="139"/>
      <c r="D65" s="134" t="s">
        <v>523</v>
      </c>
      <c r="E65" s="154">
        <f>((EF_res_c*ED_res_c*IRLE_res_c)+(EF_res_a*ED_res_a*IRLE_res_a))</f>
        <v>264040</v>
      </c>
      <c r="F65" s="156" t="s">
        <v>225</v>
      </c>
      <c r="M65" s="137" t="s">
        <v>421</v>
      </c>
      <c r="N65" s="219">
        <f>((EF_far_c*ED_far_c*IRLI_far_c)+(EF_far_a*ED_far_a*IRLI_far_a))</f>
        <v>449610</v>
      </c>
      <c r="O65" s="156" t="s">
        <v>225</v>
      </c>
      <c r="P65" s="130" t="s">
        <v>199</v>
      </c>
      <c r="Q65" s="141">
        <v>1</v>
      </c>
      <c r="R65" s="130"/>
    </row>
    <row r="66" spans="1:18" ht="18" x14ac:dyDescent="0.25">
      <c r="A66" s="139"/>
      <c r="B66" s="145"/>
      <c r="C66" s="139"/>
      <c r="D66" s="134" t="s">
        <v>524</v>
      </c>
      <c r="E66" s="204">
        <v>22</v>
      </c>
      <c r="F66" s="156" t="s">
        <v>59</v>
      </c>
      <c r="M66" s="148" t="s">
        <v>422</v>
      </c>
      <c r="N66" s="201">
        <v>9.4</v>
      </c>
      <c r="O66" s="156" t="s">
        <v>59</v>
      </c>
      <c r="P66" s="130" t="s">
        <v>198</v>
      </c>
      <c r="Q66" s="141">
        <v>1</v>
      </c>
      <c r="R66" s="130"/>
    </row>
    <row r="67" spans="1:18" ht="18" x14ac:dyDescent="0.25">
      <c r="A67" s="139"/>
      <c r="B67" s="145"/>
      <c r="C67" s="139"/>
      <c r="D67" s="134" t="s">
        <v>525</v>
      </c>
      <c r="E67" s="204">
        <v>33.9</v>
      </c>
      <c r="F67" s="156" t="s">
        <v>59</v>
      </c>
      <c r="M67" s="148" t="s">
        <v>423</v>
      </c>
      <c r="N67" s="201">
        <v>30.4</v>
      </c>
      <c r="O67" s="156" t="s">
        <v>59</v>
      </c>
      <c r="P67" s="130" t="s">
        <v>197</v>
      </c>
      <c r="Q67" s="141">
        <v>11.4</v>
      </c>
      <c r="R67" s="130" t="s">
        <v>58</v>
      </c>
    </row>
    <row r="68" spans="1:18" ht="18" x14ac:dyDescent="0.25">
      <c r="A68" s="139"/>
      <c r="B68" s="145"/>
      <c r="C68" s="139"/>
      <c r="D68" s="134" t="s">
        <v>526</v>
      </c>
      <c r="E68" s="154">
        <f>((EF_res_c*ED_res_c*IRLI_res_c)+(EF_res_a*ED_res_a*IRLI_res_a))</f>
        <v>283500</v>
      </c>
      <c r="F68" s="156" t="s">
        <v>225</v>
      </c>
      <c r="M68" s="137" t="s">
        <v>424</v>
      </c>
      <c r="N68" s="219">
        <f>((EF_far_c*ED_far_c*IROK_far_c)+(EF_far_a*ED_far_a*IROK_far_a))</f>
        <v>381500</v>
      </c>
      <c r="O68" s="156" t="s">
        <v>225</v>
      </c>
      <c r="P68" s="130" t="s">
        <v>196</v>
      </c>
      <c r="Q68" s="141">
        <v>4.7</v>
      </c>
      <c r="R68" s="130" t="s">
        <v>100</v>
      </c>
    </row>
    <row r="69" spans="1:18" ht="18" x14ac:dyDescent="0.25">
      <c r="A69" s="139"/>
      <c r="B69" s="149"/>
      <c r="C69" s="139"/>
      <c r="D69" s="134" t="s">
        <v>527</v>
      </c>
      <c r="E69" s="204">
        <v>9.4</v>
      </c>
      <c r="F69" s="156" t="s">
        <v>59</v>
      </c>
      <c r="M69" s="148" t="s">
        <v>425</v>
      </c>
      <c r="N69" s="201">
        <v>7.5</v>
      </c>
      <c r="O69" s="156" t="s">
        <v>59</v>
      </c>
      <c r="P69" s="130" t="s">
        <v>195</v>
      </c>
      <c r="Q69" s="141">
        <v>0.37</v>
      </c>
      <c r="R69" s="130" t="s">
        <v>100</v>
      </c>
    </row>
    <row r="70" spans="1:18" ht="18" x14ac:dyDescent="0.25">
      <c r="A70" s="139"/>
      <c r="B70" s="149"/>
      <c r="C70" s="139"/>
      <c r="D70" s="134" t="s">
        <v>528</v>
      </c>
      <c r="E70" s="204">
        <v>30.4</v>
      </c>
      <c r="F70" s="156" t="s">
        <v>59</v>
      </c>
      <c r="M70" s="148" t="s">
        <v>426</v>
      </c>
      <c r="N70" s="201">
        <v>27.3</v>
      </c>
      <c r="O70" s="156" t="s">
        <v>59</v>
      </c>
      <c r="P70" s="130" t="s">
        <v>194</v>
      </c>
      <c r="Q70" s="141">
        <v>1</v>
      </c>
      <c r="R70" s="130"/>
    </row>
    <row r="71" spans="1:18" ht="18" x14ac:dyDescent="0.25">
      <c r="A71" s="139"/>
      <c r="B71" s="149"/>
      <c r="C71" s="139"/>
      <c r="D71" s="134" t="s">
        <v>529</v>
      </c>
      <c r="E71" s="154">
        <f>((EF_res_c*ED_res_c*IROK_res_c)+(EF_res_a*ED_res_a*IROK_res_a))</f>
        <v>232540</v>
      </c>
      <c r="F71" s="156" t="s">
        <v>225</v>
      </c>
      <c r="M71" s="137" t="s">
        <v>427</v>
      </c>
      <c r="N71" s="219">
        <f>((EF_far_c*ED_far_c*IRON_far_c)+(EF_far_a*ED_far_a*IRON_far_a))</f>
        <v>340620</v>
      </c>
      <c r="O71" s="156" t="s">
        <v>225</v>
      </c>
      <c r="P71" s="130" t="s">
        <v>193</v>
      </c>
      <c r="Q71" s="141">
        <v>1</v>
      </c>
      <c r="R71" s="130"/>
    </row>
    <row r="72" spans="1:18" ht="18" x14ac:dyDescent="0.25">
      <c r="A72" s="139"/>
      <c r="B72" s="149"/>
      <c r="C72" s="139"/>
      <c r="D72" s="134" t="s">
        <v>530</v>
      </c>
      <c r="E72" s="204">
        <v>5.9</v>
      </c>
      <c r="F72" s="156" t="s">
        <v>59</v>
      </c>
      <c r="M72" s="148" t="s">
        <v>428</v>
      </c>
      <c r="N72" s="201">
        <v>98.2</v>
      </c>
      <c r="O72" s="156" t="s">
        <v>59</v>
      </c>
      <c r="P72" s="130" t="s">
        <v>350</v>
      </c>
      <c r="Q72" s="141">
        <v>0.25</v>
      </c>
    </row>
    <row r="73" spans="1:18" ht="18" x14ac:dyDescent="0.25">
      <c r="A73" s="139"/>
      <c r="B73" s="149"/>
      <c r="C73" s="139"/>
      <c r="D73" s="134" t="s">
        <v>531</v>
      </c>
      <c r="E73" s="204">
        <v>21.5</v>
      </c>
      <c r="F73" s="156" t="s">
        <v>59</v>
      </c>
      <c r="M73" s="148" t="s">
        <v>429</v>
      </c>
      <c r="N73" s="201">
        <v>103.1</v>
      </c>
      <c r="O73" s="156" t="s">
        <v>59</v>
      </c>
      <c r="P73" s="130" t="s">
        <v>372</v>
      </c>
      <c r="Q73" s="153">
        <f>MLF_pasture</f>
        <v>0.25</v>
      </c>
    </row>
    <row r="74" spans="1:18" ht="18" x14ac:dyDescent="0.25">
      <c r="A74" s="139"/>
      <c r="B74" s="149"/>
      <c r="C74" s="139"/>
      <c r="D74" s="134" t="s">
        <v>532</v>
      </c>
      <c r="E74" s="154">
        <f>((EF_res_c*ED_res_c*IRON_res_c)+(EF_res_a*ED_res_a*IRON_res_a))</f>
        <v>162890</v>
      </c>
      <c r="F74" s="156" t="s">
        <v>225</v>
      </c>
      <c r="M74" s="137" t="s">
        <v>430</v>
      </c>
      <c r="N74" s="219">
        <f>((EF_far_c*ED_far_c*IRPC_far_c)+(EF_far_a*ED_far_a*IRPC_far_a))</f>
        <v>1433110</v>
      </c>
      <c r="O74" s="156" t="s">
        <v>225</v>
      </c>
      <c r="P74" s="130" t="s">
        <v>1101</v>
      </c>
      <c r="Q74" s="141">
        <v>5.25</v>
      </c>
      <c r="R74" s="130" t="s">
        <v>58</v>
      </c>
    </row>
    <row r="75" spans="1:18" ht="18" x14ac:dyDescent="0.25">
      <c r="A75" s="139"/>
      <c r="B75" s="149"/>
      <c r="C75" s="139"/>
      <c r="D75" s="134" t="s">
        <v>533</v>
      </c>
      <c r="E75" s="204">
        <v>110.2</v>
      </c>
      <c r="F75" s="156" t="s">
        <v>59</v>
      </c>
      <c r="M75" s="148" t="s">
        <v>557</v>
      </c>
      <c r="N75" s="201">
        <v>79.599999999999994</v>
      </c>
      <c r="O75" s="156" t="s">
        <v>59</v>
      </c>
      <c r="P75" s="130" t="s">
        <v>1102</v>
      </c>
      <c r="Q75" s="141">
        <v>1.98</v>
      </c>
      <c r="R75" s="130" t="s">
        <v>100</v>
      </c>
    </row>
    <row r="76" spans="1:18" ht="18" x14ac:dyDescent="0.25">
      <c r="A76" s="139"/>
      <c r="B76" s="149"/>
      <c r="C76" s="139"/>
      <c r="D76" s="134" t="s">
        <v>534</v>
      </c>
      <c r="E76" s="204">
        <v>115.7</v>
      </c>
      <c r="F76" s="156" t="s">
        <v>59</v>
      </c>
      <c r="M76" s="148" t="s">
        <v>558</v>
      </c>
      <c r="N76" s="201">
        <v>59.8</v>
      </c>
      <c r="O76" s="156" t="s">
        <v>59</v>
      </c>
      <c r="P76" s="130" t="s">
        <v>1103</v>
      </c>
      <c r="Q76" s="141">
        <v>0.36</v>
      </c>
      <c r="R76" s="130" t="s">
        <v>100</v>
      </c>
    </row>
    <row r="77" spans="1:18" ht="18" x14ac:dyDescent="0.25">
      <c r="A77" s="139"/>
      <c r="B77" s="149"/>
      <c r="C77" s="139"/>
      <c r="D77" s="134" t="s">
        <v>535</v>
      </c>
      <c r="E77" s="154">
        <f>((EF_res_c*ED_res_c*IRPC_res_c)+(EF_res_a*ED_res_a*IRPC_res_a))</f>
        <v>1041320</v>
      </c>
      <c r="F77" s="156" t="s">
        <v>225</v>
      </c>
      <c r="M77" s="137" t="s">
        <v>559</v>
      </c>
      <c r="N77" s="219">
        <f>((EF_far_c*ED_far_c*IRPR_far_c)+(EF_far_a*ED_far_a*IRPR_far_a))</f>
        <v>878780</v>
      </c>
      <c r="O77" s="156" t="s">
        <v>225</v>
      </c>
      <c r="P77" s="130" t="s">
        <v>1104</v>
      </c>
      <c r="Q77" s="141">
        <v>1</v>
      </c>
      <c r="R77" s="130"/>
    </row>
    <row r="78" spans="1:18" ht="18" x14ac:dyDescent="0.25">
      <c r="A78" s="139"/>
      <c r="B78" s="149"/>
      <c r="C78" s="139"/>
      <c r="D78" s="134" t="s">
        <v>1493</v>
      </c>
      <c r="E78" s="204">
        <v>5.9</v>
      </c>
      <c r="F78" s="156" t="s">
        <v>59</v>
      </c>
      <c r="M78" s="148" t="s">
        <v>431</v>
      </c>
      <c r="N78" s="201">
        <v>20.399999999999999</v>
      </c>
      <c r="O78" s="156" t="s">
        <v>59</v>
      </c>
      <c r="P78" s="130" t="s">
        <v>1105</v>
      </c>
      <c r="Q78" s="141">
        <v>1</v>
      </c>
      <c r="R78" s="130"/>
    </row>
    <row r="79" spans="1:18" ht="18" x14ac:dyDescent="0.25">
      <c r="A79" s="139"/>
      <c r="B79" s="149"/>
      <c r="C79" s="139"/>
      <c r="D79" s="134" t="s">
        <v>1494</v>
      </c>
      <c r="E79" s="204">
        <v>19.100000000000001</v>
      </c>
      <c r="F79" s="156" t="s">
        <v>59</v>
      </c>
      <c r="M79" s="148" t="s">
        <v>432</v>
      </c>
      <c r="N79" s="201">
        <v>31.6</v>
      </c>
      <c r="O79" s="156" t="s">
        <v>59</v>
      </c>
      <c r="P79" s="130" t="s">
        <v>739</v>
      </c>
      <c r="Q79" s="141">
        <v>7.57</v>
      </c>
      <c r="R79" s="130" t="s">
        <v>58</v>
      </c>
    </row>
    <row r="80" spans="1:18" ht="18" x14ac:dyDescent="0.25">
      <c r="A80" s="138"/>
      <c r="B80" s="145"/>
      <c r="C80" s="139"/>
      <c r="D80" s="134" t="s">
        <v>1495</v>
      </c>
      <c r="E80" s="154">
        <f>((EF_res_c*ED_res_c*IRPP_res_c)+(EF_res_a*ED_res_a*IRPP_res_a))</f>
        <v>146090</v>
      </c>
      <c r="F80" s="156" t="s">
        <v>225</v>
      </c>
      <c r="M80" s="137" t="s">
        <v>433</v>
      </c>
      <c r="N80" s="219">
        <f>((EF_far_c*ED_far_c*IRPE_far_c)+(EF_far_a*ED_far_a*IRPE_far_a))</f>
        <v>418880</v>
      </c>
      <c r="O80" s="156" t="s">
        <v>225</v>
      </c>
      <c r="P80" s="130" t="s">
        <v>740</v>
      </c>
      <c r="Q80" s="141">
        <v>1.27</v>
      </c>
      <c r="R80" s="130" t="s">
        <v>100</v>
      </c>
    </row>
    <row r="81" spans="1:18" ht="18" x14ac:dyDescent="0.25">
      <c r="A81" s="138"/>
      <c r="B81" s="145"/>
      <c r="C81" s="139"/>
      <c r="D81" s="134" t="s">
        <v>560</v>
      </c>
      <c r="E81" s="204">
        <v>69.400000000000006</v>
      </c>
      <c r="F81" s="156" t="s">
        <v>59</v>
      </c>
      <c r="M81" s="148" t="s">
        <v>1496</v>
      </c>
      <c r="N81" s="201">
        <v>7.4</v>
      </c>
      <c r="O81" s="156" t="s">
        <v>59</v>
      </c>
      <c r="P81" s="130" t="s">
        <v>741</v>
      </c>
      <c r="Q81" s="141"/>
      <c r="R81" s="130" t="s">
        <v>100</v>
      </c>
    </row>
    <row r="82" spans="1:18" ht="18" x14ac:dyDescent="0.25">
      <c r="A82" s="138"/>
      <c r="B82" s="146"/>
      <c r="C82" s="139"/>
      <c r="D82" s="134" t="s">
        <v>561</v>
      </c>
      <c r="E82" s="204">
        <v>52.1</v>
      </c>
      <c r="F82" s="156" t="s">
        <v>59</v>
      </c>
      <c r="M82" s="148" t="s">
        <v>1497</v>
      </c>
      <c r="N82" s="201">
        <v>23.9</v>
      </c>
      <c r="O82" s="156" t="s">
        <v>59</v>
      </c>
      <c r="P82" s="130" t="s">
        <v>742</v>
      </c>
      <c r="Q82" s="141">
        <v>1</v>
      </c>
      <c r="R82" s="130"/>
    </row>
    <row r="83" spans="1:18" ht="18" x14ac:dyDescent="0.25">
      <c r="A83" s="138"/>
      <c r="B83" s="145"/>
      <c r="C83" s="139"/>
      <c r="D83" s="134" t="s">
        <v>562</v>
      </c>
      <c r="E83" s="154">
        <f>((EF_res_c*ED_res_c*IRPR_res_c)+(EF_res_a*ED_res_a*IRPR_res_a))</f>
        <v>510440</v>
      </c>
      <c r="F83" s="156" t="s">
        <v>225</v>
      </c>
      <c r="M83" s="137" t="s">
        <v>1498</v>
      </c>
      <c r="N83" s="219" cm="1">
        <f t="array" ref="N83">((EF_far_c*ED_far_c*IRPP_far_c)+(EF_far_a*ED_far_a*IRPP_far_a))</f>
        <v>299950</v>
      </c>
      <c r="O83" s="156" t="s">
        <v>225</v>
      </c>
      <c r="P83" s="130" t="s">
        <v>743</v>
      </c>
      <c r="Q83" s="141">
        <v>1</v>
      </c>
      <c r="R83" s="130"/>
    </row>
    <row r="84" spans="1:18" ht="18" x14ac:dyDescent="0.25">
      <c r="A84" s="138"/>
      <c r="B84" s="145"/>
      <c r="C84" s="139"/>
      <c r="D84" s="134" t="s">
        <v>536</v>
      </c>
      <c r="E84" s="204">
        <v>22.6</v>
      </c>
      <c r="F84" s="156" t="s">
        <v>59</v>
      </c>
      <c r="M84" s="148" t="s">
        <v>434</v>
      </c>
      <c r="N84" s="201">
        <v>52.4</v>
      </c>
      <c r="O84" s="156" t="s">
        <v>59</v>
      </c>
      <c r="P84" s="130" t="s">
        <v>744</v>
      </c>
      <c r="Q84" s="141">
        <v>15.14</v>
      </c>
      <c r="R84" s="130" t="s">
        <v>58</v>
      </c>
    </row>
    <row r="85" spans="1:18" ht="18" x14ac:dyDescent="0.25">
      <c r="A85" s="138"/>
      <c r="B85" s="145"/>
      <c r="C85" s="139"/>
      <c r="D85" s="134" t="s">
        <v>537</v>
      </c>
      <c r="E85" s="204">
        <v>35</v>
      </c>
      <c r="F85" s="156" t="s">
        <v>59</v>
      </c>
      <c r="M85" s="148" t="s">
        <v>435</v>
      </c>
      <c r="N85" s="201">
        <v>141.80000000000001</v>
      </c>
      <c r="O85" s="156" t="s">
        <v>59</v>
      </c>
      <c r="P85" s="130" t="s">
        <v>745</v>
      </c>
      <c r="Q85" s="141">
        <v>1.91</v>
      </c>
      <c r="R85" s="130" t="s">
        <v>100</v>
      </c>
    </row>
    <row r="86" spans="1:18" ht="18" x14ac:dyDescent="0.25">
      <c r="A86" s="138"/>
      <c r="B86" s="145"/>
      <c r="C86" s="139"/>
      <c r="D86" s="134" t="s">
        <v>538</v>
      </c>
      <c r="E86" s="154">
        <f>((EF_res_c*ED_res_c*IRPE_res_c)+(EF_res_a*ED_res_a*IRPE_res_a))</f>
        <v>292460</v>
      </c>
      <c r="F86" s="156" t="s">
        <v>225</v>
      </c>
      <c r="M86" s="137" t="s">
        <v>436</v>
      </c>
      <c r="N86" s="219">
        <f>((EF_far_c*ED_far_c*IRPT_far_c)+(EF_far_a*ED_far_a*IRPT_far_a))</f>
        <v>1797460.0000000002</v>
      </c>
      <c r="O86" s="156" t="s">
        <v>225</v>
      </c>
      <c r="P86" s="130" t="s">
        <v>746</v>
      </c>
      <c r="Q86" s="141"/>
      <c r="R86" s="130" t="s">
        <v>100</v>
      </c>
    </row>
    <row r="87" spans="1:18" ht="18" x14ac:dyDescent="0.25">
      <c r="A87" s="138"/>
      <c r="B87" s="145"/>
      <c r="C87" s="139"/>
      <c r="D87" s="134" t="s">
        <v>539</v>
      </c>
      <c r="E87" s="204">
        <v>47.3</v>
      </c>
      <c r="F87" s="156" t="s">
        <v>59</v>
      </c>
      <c r="M87" s="148" t="s">
        <v>437</v>
      </c>
      <c r="N87" s="201">
        <v>21.2</v>
      </c>
      <c r="O87" s="156" t="s">
        <v>59</v>
      </c>
      <c r="P87" s="130" t="s">
        <v>747</v>
      </c>
      <c r="Q87" s="141">
        <v>1</v>
      </c>
      <c r="R87" s="130"/>
    </row>
    <row r="88" spans="1:18" ht="18" x14ac:dyDescent="0.25">
      <c r="A88" s="138"/>
      <c r="B88" s="145"/>
      <c r="C88" s="139"/>
      <c r="D88" s="134" t="s">
        <v>540</v>
      </c>
      <c r="E88" s="204">
        <v>127.8</v>
      </c>
      <c r="F88" s="156" t="s">
        <v>59</v>
      </c>
      <c r="M88" s="148" t="s">
        <v>438</v>
      </c>
      <c r="N88" s="201">
        <v>63.5</v>
      </c>
      <c r="O88" s="156" t="s">
        <v>59</v>
      </c>
      <c r="P88" s="130" t="s">
        <v>748</v>
      </c>
      <c r="Q88" s="141">
        <v>1</v>
      </c>
      <c r="R88" s="130"/>
    </row>
    <row r="89" spans="1:18" ht="18" x14ac:dyDescent="0.25">
      <c r="A89" s="138"/>
      <c r="B89" s="145"/>
      <c r="C89" s="139"/>
      <c r="D89" s="134" t="s">
        <v>541</v>
      </c>
      <c r="E89" s="154">
        <f>((EF_res_c*ED_res_c*IRPT_res_c)+(EF_res_a*ED_res_a*IRPT_res_a))</f>
        <v>993930</v>
      </c>
      <c r="F89" s="156" t="s">
        <v>225</v>
      </c>
      <c r="M89" s="137" t="s">
        <v>439</v>
      </c>
      <c r="N89" s="219">
        <f>((EF_far_c*ED_far_c*IRPU_far_c)+(EF_far_a*ED_far_a*IRPU_far_a))</f>
        <v>800170</v>
      </c>
      <c r="O89" s="156" t="s">
        <v>225</v>
      </c>
      <c r="P89" s="130" t="s">
        <v>749</v>
      </c>
      <c r="Q89" s="141">
        <v>10.4</v>
      </c>
      <c r="R89" s="130" t="s">
        <v>58</v>
      </c>
    </row>
    <row r="90" spans="1:18" ht="18" x14ac:dyDescent="0.25">
      <c r="A90" s="138"/>
      <c r="B90" s="146"/>
      <c r="C90" s="139"/>
      <c r="D90" s="134" t="s">
        <v>542</v>
      </c>
      <c r="E90" s="204">
        <v>21.2</v>
      </c>
      <c r="F90" s="156" t="s">
        <v>59</v>
      </c>
      <c r="M90" s="148" t="s">
        <v>440</v>
      </c>
      <c r="N90" s="201">
        <v>34.799999999999997</v>
      </c>
      <c r="O90" s="156" t="s">
        <v>59</v>
      </c>
      <c r="P90" s="130" t="s">
        <v>750</v>
      </c>
      <c r="Q90" s="141">
        <v>2.97</v>
      </c>
      <c r="R90" s="130" t="s">
        <v>100</v>
      </c>
    </row>
    <row r="91" spans="1:18" ht="18" x14ac:dyDescent="0.25">
      <c r="A91" s="138"/>
      <c r="B91" s="145"/>
      <c r="C91" s="139"/>
      <c r="D91" s="134" t="s">
        <v>543</v>
      </c>
      <c r="E91" s="204">
        <v>63.5</v>
      </c>
      <c r="F91" s="156" t="s">
        <v>59</v>
      </c>
      <c r="J91" s="134"/>
      <c r="K91" s="150"/>
      <c r="M91" s="148" t="s">
        <v>441</v>
      </c>
      <c r="N91" s="201">
        <v>88.5</v>
      </c>
      <c r="O91" s="156" t="s">
        <v>59</v>
      </c>
      <c r="P91" s="130" t="s">
        <v>751</v>
      </c>
      <c r="Q91" s="141">
        <v>0.53</v>
      </c>
      <c r="R91" s="130" t="s">
        <v>100</v>
      </c>
    </row>
    <row r="92" spans="1:18" ht="18" x14ac:dyDescent="0.25">
      <c r="A92" s="138"/>
      <c r="B92" s="146"/>
      <c r="C92" s="139"/>
      <c r="D92" s="134" t="s">
        <v>544</v>
      </c>
      <c r="E92" s="154">
        <f>((EF_res_c*ED_res_c*IRPU_res_c)+(EF_res_a*ED_res_a*IRPU_res_a))</f>
        <v>489020</v>
      </c>
      <c r="F92" s="156" t="s">
        <v>225</v>
      </c>
      <c r="J92" s="134"/>
      <c r="K92" s="150"/>
      <c r="M92" s="137" t="s">
        <v>442</v>
      </c>
      <c r="N92" s="219">
        <f>((EF_far_c*ED_far_c*IRRI_far_c)+(EF_far_a*ED_far_a*IRRI_far_a))</f>
        <v>1126230</v>
      </c>
      <c r="O92" s="156" t="s">
        <v>225</v>
      </c>
      <c r="P92" s="130" t="s">
        <v>752</v>
      </c>
      <c r="Q92" s="141">
        <v>1</v>
      </c>
      <c r="R92" s="130"/>
    </row>
    <row r="93" spans="1:18" ht="18" x14ac:dyDescent="0.25">
      <c r="A93" s="138"/>
      <c r="B93" s="146"/>
      <c r="C93" s="139"/>
      <c r="D93" s="134" t="s">
        <v>545</v>
      </c>
      <c r="E93" s="204">
        <v>41</v>
      </c>
      <c r="F93" s="156" t="s">
        <v>59</v>
      </c>
      <c r="J93" s="134"/>
      <c r="K93" s="150"/>
      <c r="M93" s="148" t="s">
        <v>443</v>
      </c>
      <c r="N93" s="201">
        <v>28.7</v>
      </c>
      <c r="O93" s="156" t="s">
        <v>59</v>
      </c>
      <c r="P93" s="130" t="s">
        <v>753</v>
      </c>
      <c r="Q93" s="141">
        <v>1</v>
      </c>
      <c r="R93" s="130"/>
    </row>
    <row r="94" spans="1:18" ht="18" x14ac:dyDescent="0.25">
      <c r="A94" s="138"/>
      <c r="B94" s="146"/>
      <c r="C94" s="139"/>
      <c r="D94" s="134" t="s">
        <v>546</v>
      </c>
      <c r="E94" s="204">
        <v>81.900000000000006</v>
      </c>
      <c r="F94" s="156" t="s">
        <v>59</v>
      </c>
      <c r="J94" s="134"/>
      <c r="K94" s="150"/>
      <c r="M94" s="148" t="s">
        <v>444</v>
      </c>
      <c r="N94" s="201">
        <v>54.5</v>
      </c>
      <c r="O94" s="156" t="s">
        <v>59</v>
      </c>
    </row>
    <row r="95" spans="1:18" ht="18" x14ac:dyDescent="0.25">
      <c r="A95" s="138"/>
      <c r="B95" s="146"/>
      <c r="C95" s="139"/>
      <c r="D95" s="134" t="s">
        <v>547</v>
      </c>
      <c r="E95" s="154">
        <f>((EF_res_c*ED_res_c*IRRI_res_c)+(EF_res_a*ED_res_a*IRRI_res_a))</f>
        <v>659400</v>
      </c>
      <c r="F95" s="156" t="s">
        <v>225</v>
      </c>
      <c r="J95" s="134"/>
      <c r="K95" s="150"/>
      <c r="M95" s="137" t="s">
        <v>445</v>
      </c>
      <c r="N95" s="219">
        <f>((EF_far_c*ED_far_c*IRSN_far_c)+(EF_far_a*ED_far_a*IRSN_far_a))</f>
        <v>708820</v>
      </c>
      <c r="O95" s="156" t="s">
        <v>225</v>
      </c>
    </row>
    <row r="96" spans="1:18" ht="18" x14ac:dyDescent="0.25">
      <c r="A96" s="138"/>
      <c r="B96" s="146"/>
      <c r="C96" s="139"/>
      <c r="D96" s="134" t="s">
        <v>548</v>
      </c>
      <c r="E96" s="204">
        <v>28.3</v>
      </c>
      <c r="F96" s="156" t="s">
        <v>59</v>
      </c>
      <c r="M96" s="148" t="s">
        <v>446</v>
      </c>
      <c r="N96" s="201">
        <v>27.5</v>
      </c>
      <c r="O96" s="156" t="s">
        <v>59</v>
      </c>
    </row>
    <row r="97" spans="1:15" ht="18" x14ac:dyDescent="0.25">
      <c r="A97" s="138"/>
      <c r="B97" s="151"/>
      <c r="C97" s="139"/>
      <c r="D97" s="134" t="s">
        <v>549</v>
      </c>
      <c r="E97" s="204">
        <v>53.8</v>
      </c>
      <c r="F97" s="156" t="s">
        <v>59</v>
      </c>
      <c r="J97" s="134"/>
      <c r="K97" s="150"/>
      <c r="M97" s="148" t="s">
        <v>447</v>
      </c>
      <c r="N97" s="201">
        <v>40.6</v>
      </c>
      <c r="O97" s="156" t="s">
        <v>59</v>
      </c>
    </row>
    <row r="98" spans="1:15" ht="18" x14ac:dyDescent="0.25">
      <c r="A98" s="139"/>
      <c r="B98" s="147"/>
      <c r="C98" s="139"/>
      <c r="D98" s="134" t="s">
        <v>550</v>
      </c>
      <c r="E98" s="154">
        <f>((EF_res_c*ED_res_c*IRSN_res_c)+(EF_res_a*ED_res_a*IRSN_res_a))</f>
        <v>436030</v>
      </c>
      <c r="F98" s="156" t="s">
        <v>225</v>
      </c>
      <c r="J98" s="134"/>
      <c r="K98" s="150"/>
      <c r="M98" s="137" t="s">
        <v>448</v>
      </c>
      <c r="N98" s="219">
        <f>((EF_far_c*ED_far_c*IRST_far_c)+(EF_far_a*ED_far_a*IRST_far_a))</f>
        <v>540890</v>
      </c>
      <c r="O98" s="156" t="s">
        <v>225</v>
      </c>
    </row>
    <row r="99" spans="1:15" ht="18" x14ac:dyDescent="0.25">
      <c r="A99" s="139"/>
      <c r="B99" s="147"/>
      <c r="C99" s="137"/>
      <c r="D99" s="134" t="s">
        <v>551</v>
      </c>
      <c r="E99" s="204">
        <v>27.5</v>
      </c>
      <c r="F99" s="156" t="s">
        <v>59</v>
      </c>
      <c r="M99" s="148" t="s">
        <v>449</v>
      </c>
      <c r="N99" s="201">
        <v>42.2</v>
      </c>
      <c r="O99" s="156" t="s">
        <v>59</v>
      </c>
    </row>
    <row r="100" spans="1:15" ht="18" x14ac:dyDescent="0.25">
      <c r="A100" s="139"/>
      <c r="B100" s="147"/>
      <c r="C100" s="137"/>
      <c r="D100" s="134" t="s">
        <v>552</v>
      </c>
      <c r="E100" s="204">
        <v>40.6</v>
      </c>
      <c r="F100" s="156" t="s">
        <v>59</v>
      </c>
      <c r="M100" s="148" t="s">
        <v>450</v>
      </c>
      <c r="N100" s="242">
        <v>94</v>
      </c>
      <c r="O100" s="156" t="s">
        <v>59</v>
      </c>
    </row>
    <row r="101" spans="1:15" ht="18" x14ac:dyDescent="0.25">
      <c r="D101" s="134" t="s">
        <v>553</v>
      </c>
      <c r="E101" s="154">
        <f>((EF_res_c*ED_res_c*IRST_res_c)+(EF_res_a*ED_res_a*IRST_res_a))</f>
        <v>341950</v>
      </c>
      <c r="F101" s="156" t="s">
        <v>225</v>
      </c>
      <c r="M101" s="137" t="s">
        <v>451</v>
      </c>
      <c r="N101" s="219">
        <f>((EF_far_c*ED_far_c*IRTO_far_c)+(EF_far_a*ED_far_a*IRTO_far_a))</f>
        <v>1207220</v>
      </c>
      <c r="O101" s="156" t="s">
        <v>225</v>
      </c>
    </row>
    <row r="102" spans="1:15" ht="18" x14ac:dyDescent="0.25">
      <c r="D102" s="134" t="s">
        <v>554</v>
      </c>
      <c r="E102" s="204">
        <v>36</v>
      </c>
      <c r="F102" s="156" t="s">
        <v>59</v>
      </c>
      <c r="M102" s="156" t="s">
        <v>464</v>
      </c>
      <c r="N102" s="161">
        <v>1.6000000000000001E-4</v>
      </c>
    </row>
    <row r="103" spans="1:15" ht="18" x14ac:dyDescent="0.25">
      <c r="D103" s="134" t="s">
        <v>555</v>
      </c>
      <c r="E103" s="204">
        <v>80.099999999999994</v>
      </c>
      <c r="F103" s="156" t="s">
        <v>59</v>
      </c>
      <c r="M103" s="156" t="s">
        <v>465</v>
      </c>
      <c r="N103" s="161">
        <v>7.8999999999999996E-5</v>
      </c>
    </row>
    <row r="104" spans="1:15" ht="18" x14ac:dyDescent="0.25">
      <c r="D104" s="134" t="s">
        <v>556</v>
      </c>
      <c r="E104" s="154">
        <f>((EF_res_c*ED_res_c*IRTO_res_c)+(EF_res_a*ED_res_a*IRTO_res_a))</f>
        <v>636300</v>
      </c>
      <c r="F104" s="156" t="s">
        <v>225</v>
      </c>
      <c r="M104" s="156" t="s">
        <v>466</v>
      </c>
      <c r="N104" s="161">
        <v>1.3799999999999999E-4</v>
      </c>
    </row>
    <row r="105" spans="1:15" ht="18" x14ac:dyDescent="0.25">
      <c r="M105" s="156" t="s">
        <v>467</v>
      </c>
      <c r="N105" s="161">
        <v>1.66E-4</v>
      </c>
    </row>
    <row r="106" spans="1:15" ht="18" x14ac:dyDescent="0.25">
      <c r="M106" s="156" t="s">
        <v>468</v>
      </c>
      <c r="N106" s="161">
        <v>1.01E-3</v>
      </c>
    </row>
    <row r="107" spans="1:15" ht="18" x14ac:dyDescent="0.25">
      <c r="M107" s="156" t="s">
        <v>469</v>
      </c>
      <c r="N107" s="161">
        <v>1.05E-4</v>
      </c>
    </row>
    <row r="108" spans="1:15" ht="18" x14ac:dyDescent="0.25">
      <c r="M108" s="156" t="s">
        <v>470</v>
      </c>
      <c r="N108" s="161">
        <v>9.7E-5</v>
      </c>
    </row>
    <row r="109" spans="1:15" ht="18" x14ac:dyDescent="0.25">
      <c r="M109" s="156" t="s">
        <v>471</v>
      </c>
      <c r="N109" s="161">
        <v>1.5699999999999999E-4</v>
      </c>
    </row>
    <row r="110" spans="1:15" ht="18" x14ac:dyDescent="0.25">
      <c r="M110" s="156" t="s">
        <v>472</v>
      </c>
      <c r="N110" s="161">
        <v>1.45E-4</v>
      </c>
    </row>
    <row r="111" spans="1:15" ht="18" x14ac:dyDescent="0.25">
      <c r="M111" s="156" t="s">
        <v>473</v>
      </c>
      <c r="N111" s="161">
        <v>4.0000000000000003E-5</v>
      </c>
    </row>
    <row r="112" spans="1:15" ht="18" x14ac:dyDescent="0.25">
      <c r="M112" s="156" t="s">
        <v>474</v>
      </c>
      <c r="N112" s="161">
        <v>1.35E-2</v>
      </c>
    </row>
    <row r="113" spans="13:14" ht="18" x14ac:dyDescent="0.25">
      <c r="M113" s="156" t="s">
        <v>475</v>
      </c>
      <c r="N113" s="161">
        <v>3.8300000000000001E-3</v>
      </c>
    </row>
    <row r="114" spans="13:14" ht="18" x14ac:dyDescent="0.25">
      <c r="M114" s="156" t="s">
        <v>476</v>
      </c>
      <c r="N114" s="161">
        <v>8.0000000000000007E-5</v>
      </c>
    </row>
    <row r="115" spans="13:14" ht="18" x14ac:dyDescent="0.25">
      <c r="M115" s="156" t="s">
        <v>477</v>
      </c>
      <c r="N115" s="161">
        <v>9.7E-5</v>
      </c>
    </row>
    <row r="116" spans="13:14" ht="18" x14ac:dyDescent="0.25">
      <c r="M116" s="156" t="s">
        <v>478</v>
      </c>
      <c r="N116" s="161">
        <v>1.4999999999999999E-4</v>
      </c>
    </row>
    <row r="117" spans="13:14" ht="18" x14ac:dyDescent="0.25">
      <c r="M117" s="156" t="s">
        <v>479</v>
      </c>
      <c r="N117" s="161">
        <v>1.6000000000000001E-4</v>
      </c>
    </row>
    <row r="118" spans="13:14" ht="18" x14ac:dyDescent="0.25">
      <c r="M118" s="156" t="s">
        <v>480</v>
      </c>
      <c r="N118" s="161">
        <v>1.7799999999999999E-4</v>
      </c>
    </row>
    <row r="119" spans="13:14" ht="18" x14ac:dyDescent="0.25">
      <c r="M119" s="207" t="s">
        <v>1500</v>
      </c>
      <c r="N119" s="208">
        <v>2.2200000000000002E-3</v>
      </c>
    </row>
    <row r="120" spans="13:14" ht="18" x14ac:dyDescent="0.25">
      <c r="M120" s="156" t="s">
        <v>481</v>
      </c>
      <c r="N120" s="161">
        <v>2.1000000000000001E-4</v>
      </c>
    </row>
    <row r="121" spans="13:14" ht="18" x14ac:dyDescent="0.25">
      <c r="M121" s="156" t="s">
        <v>482</v>
      </c>
      <c r="N121" s="161">
        <v>5.8E-5</v>
      </c>
    </row>
    <row r="122" spans="13:14" ht="18" x14ac:dyDescent="0.25">
      <c r="M122" s="156" t="s">
        <v>483</v>
      </c>
      <c r="N122" s="161">
        <v>5.0000000000000001E-3</v>
      </c>
    </row>
    <row r="123" spans="13:14" ht="18" x14ac:dyDescent="0.25">
      <c r="M123" s="156" t="s">
        <v>484</v>
      </c>
      <c r="N123" s="161">
        <v>8.0000000000000007E-5</v>
      </c>
    </row>
    <row r="124" spans="13:14" ht="18" x14ac:dyDescent="0.25">
      <c r="M124" s="156" t="s">
        <v>485</v>
      </c>
      <c r="N124" s="208">
        <v>1.7700000000000001E-3</v>
      </c>
    </row>
    <row r="125" spans="13:14" ht="18" x14ac:dyDescent="0.25">
      <c r="M125" s="156" t="s">
        <v>486</v>
      </c>
      <c r="N125" s="161">
        <v>0.25</v>
      </c>
    </row>
    <row r="126" spans="13:14" ht="18" x14ac:dyDescent="0.25">
      <c r="M126" s="156" t="s">
        <v>487</v>
      </c>
      <c r="N126" s="161">
        <v>0.25</v>
      </c>
    </row>
  </sheetData>
  <sheetProtection algorithmName="SHA-512" hashValue="jf8UBwTsixk92tlm+3CLhPD8AptP+3I7YSH5zrNgeUXJePbdJ0GrBsWI2wZU4QnJQdFI0vcWC1F/OBmprkxNBg==" saltValue="jIcfK7v7RgUST+qxjY+Evw==" spinCount="100000" sheet="1" formatColumns="0" formatRows="0" autoFilter="0"/>
  <mergeCells count="6">
    <mergeCell ref="A1:C1"/>
    <mergeCell ref="P1:R1"/>
    <mergeCell ref="M1:O1"/>
    <mergeCell ref="J1:L1"/>
    <mergeCell ref="G1:I1"/>
    <mergeCell ref="D1:F1"/>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tabColor theme="9" tint="-0.499984740745262"/>
  </sheetPr>
  <dimension ref="A1:BF76"/>
  <sheetViews>
    <sheetView zoomScale="85" zoomScaleNormal="85" workbookViewId="0">
      <pane xSplit="2" ySplit="1" topLeftCell="AN2" activePane="bottomRight" state="frozen"/>
      <selection pane="topRight" activeCell="C1" sqref="C1"/>
      <selection pane="bottomLeft" activeCell="A2" sqref="A2"/>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3.28515625" style="4" customWidth="1"/>
    <col min="4" max="4" width="12.85546875" style="15" bestFit="1" customWidth="1"/>
    <col min="5" max="5" width="13" style="15" bestFit="1" customWidth="1"/>
    <col min="6" max="6" width="12.85546875" style="15" bestFit="1" customWidth="1"/>
    <col min="7" max="7" width="17.140625" style="15" bestFit="1" customWidth="1"/>
    <col min="8" max="8" width="14.7109375" style="15" bestFit="1" customWidth="1"/>
    <col min="9" max="9" width="12.85546875" style="15" bestFit="1" customWidth="1"/>
    <col min="10" max="10" width="12.5703125" style="15" bestFit="1" customWidth="1"/>
    <col min="11" max="11" width="12.7109375" style="15" bestFit="1" customWidth="1"/>
    <col min="12" max="12" width="12.5703125" style="15" bestFit="1" customWidth="1"/>
    <col min="13" max="13" width="16.85546875" style="15" bestFit="1" customWidth="1"/>
    <col min="14" max="16" width="13.5703125" style="15" bestFit="1" customWidth="1"/>
    <col min="17" max="17" width="17.5703125" style="15" bestFit="1" customWidth="1"/>
    <col min="18" max="18" width="13.5703125" style="15" bestFit="1" customWidth="1"/>
    <col min="19" max="19" width="12" style="15" bestFit="1" customWidth="1"/>
    <col min="20" max="21" width="13.85546875" style="15" bestFit="1" customWidth="1"/>
    <col min="22" max="22" width="14.7109375" style="15" bestFit="1" customWidth="1"/>
    <col min="23" max="24" width="12.28515625" style="15" bestFit="1" customWidth="1"/>
    <col min="25" max="26" width="14" style="15" bestFit="1" customWidth="1"/>
    <col min="27" max="27" width="15" style="15" bestFit="1" customWidth="1"/>
    <col min="28" max="28" width="12.7109375" style="15" bestFit="1" customWidth="1"/>
    <col min="29" max="29" width="12.85546875" style="15" bestFit="1" customWidth="1"/>
    <col min="30" max="31" width="14.5703125" style="15" bestFit="1" customWidth="1"/>
    <col min="32" max="32" width="15.5703125" style="15" bestFit="1" customWidth="1"/>
    <col min="33" max="33" width="13.140625" style="15" bestFit="1" customWidth="1"/>
    <col min="34" max="34" width="12.28515625" style="15" bestFit="1" customWidth="1"/>
    <col min="35" max="35" width="12.5703125" style="15" bestFit="1" customWidth="1"/>
    <col min="36" max="36" width="12.140625" style="15" bestFit="1" customWidth="1"/>
    <col min="37" max="37" width="12.5703125" style="15" bestFit="1" customWidth="1"/>
    <col min="38" max="38" width="12.85546875" style="15" bestFit="1" customWidth="1"/>
    <col min="39" max="39" width="13.140625" style="15" bestFit="1" customWidth="1"/>
    <col min="40" max="40" width="13.42578125" style="15" bestFit="1" customWidth="1"/>
    <col min="41" max="41" width="13" style="15" bestFit="1" customWidth="1"/>
    <col min="42" max="42" width="12.7109375" style="15" bestFit="1" customWidth="1"/>
    <col min="43" max="43" width="14.140625" style="15" bestFit="1" customWidth="1"/>
    <col min="44" max="44" width="14" style="15" bestFit="1" customWidth="1"/>
    <col min="45" max="45" width="17" style="15" bestFit="1" customWidth="1"/>
    <col min="46" max="46" width="12.7109375" style="15" bestFit="1" customWidth="1"/>
    <col min="47" max="48" width="13.140625" style="15" bestFit="1" customWidth="1"/>
    <col min="49" max="49" width="14.28515625" style="15" bestFit="1" customWidth="1"/>
    <col min="50" max="50" width="17" style="15" bestFit="1" customWidth="1"/>
    <col min="51" max="52" width="13.5703125" style="15" bestFit="1" customWidth="1"/>
    <col min="53" max="53" width="14.85546875" style="15" bestFit="1" customWidth="1"/>
    <col min="54" max="54" width="17.5703125" style="15" bestFit="1" customWidth="1"/>
    <col min="55" max="55" width="13.5703125" style="15" bestFit="1" customWidth="1"/>
    <col min="56" max="56" width="12.5703125" style="15" bestFit="1" customWidth="1"/>
    <col min="57" max="57" width="12.85546875" style="15" bestFit="1" customWidth="1"/>
    <col min="58" max="58" width="13.28515625" style="15" bestFit="1" customWidth="1"/>
    <col min="59" max="16384" width="9.140625" style="15"/>
  </cols>
  <sheetData>
    <row r="1" spans="1:58" x14ac:dyDescent="0.25">
      <c r="A1" s="39" t="s">
        <v>51</v>
      </c>
      <c r="B1" s="39" t="s">
        <v>348</v>
      </c>
      <c r="C1" s="78"/>
      <c r="D1" s="15" t="s">
        <v>1165</v>
      </c>
      <c r="E1" s="15" t="s">
        <v>1166</v>
      </c>
      <c r="F1" s="15" t="s">
        <v>1167</v>
      </c>
      <c r="G1" s="15" t="s">
        <v>1171</v>
      </c>
      <c r="H1" s="15" t="s">
        <v>1199</v>
      </c>
      <c r="I1" s="15" t="s">
        <v>1168</v>
      </c>
      <c r="J1" s="43" t="s">
        <v>1221</v>
      </c>
      <c r="K1" s="43" t="s">
        <v>1222</v>
      </c>
      <c r="L1" s="43" t="s">
        <v>1223</v>
      </c>
      <c r="M1" s="43" t="s">
        <v>1224</v>
      </c>
      <c r="N1" s="41" t="s">
        <v>1225</v>
      </c>
      <c r="O1" s="41" t="s">
        <v>1226</v>
      </c>
      <c r="P1" s="41" t="s">
        <v>1227</v>
      </c>
      <c r="Q1" s="41" t="s">
        <v>1228</v>
      </c>
      <c r="R1" s="41" t="s">
        <v>1229</v>
      </c>
      <c r="S1" s="42" t="s">
        <v>1216</v>
      </c>
      <c r="T1" s="42" t="s">
        <v>1217</v>
      </c>
      <c r="U1" s="42" t="s">
        <v>1218</v>
      </c>
      <c r="V1" s="42" t="s">
        <v>1219</v>
      </c>
      <c r="W1" s="42" t="s">
        <v>1220</v>
      </c>
      <c r="X1" s="43" t="s">
        <v>1235</v>
      </c>
      <c r="Y1" s="43" t="s">
        <v>1236</v>
      </c>
      <c r="Z1" s="43" t="s">
        <v>1237</v>
      </c>
      <c r="AA1" s="43" t="s">
        <v>1238</v>
      </c>
      <c r="AB1" s="43" t="s">
        <v>1239</v>
      </c>
      <c r="AC1" s="41" t="s">
        <v>1230</v>
      </c>
      <c r="AD1" s="41" t="s">
        <v>1231</v>
      </c>
      <c r="AE1" s="41" t="s">
        <v>1232</v>
      </c>
      <c r="AF1" s="41" t="s">
        <v>1233</v>
      </c>
      <c r="AG1" s="41" t="s">
        <v>1234</v>
      </c>
      <c r="AH1" s="42" t="s">
        <v>1205</v>
      </c>
      <c r="AI1" s="42" t="s">
        <v>1206</v>
      </c>
      <c r="AJ1" s="42" t="s">
        <v>1207</v>
      </c>
      <c r="AK1" s="43" t="s">
        <v>1240</v>
      </c>
      <c r="AL1" s="43" t="s">
        <v>1241</v>
      </c>
      <c r="AM1" s="41" t="s">
        <v>1242</v>
      </c>
      <c r="AN1" s="41" t="s">
        <v>1243</v>
      </c>
      <c r="AO1" s="41" t="s">
        <v>1244</v>
      </c>
      <c r="AP1" s="15" t="s">
        <v>1200</v>
      </c>
      <c r="AQ1" s="15" t="s">
        <v>1201</v>
      </c>
      <c r="AR1" s="15" t="s">
        <v>1202</v>
      </c>
      <c r="AS1" s="15" t="s">
        <v>1208</v>
      </c>
      <c r="AT1" s="15" t="s">
        <v>1203</v>
      </c>
      <c r="AU1" s="43" t="s">
        <v>1250</v>
      </c>
      <c r="AV1" s="43" t="s">
        <v>1251</v>
      </c>
      <c r="AW1" s="43" t="s">
        <v>1252</v>
      </c>
      <c r="AX1" s="43" t="s">
        <v>1253</v>
      </c>
      <c r="AY1" s="41" t="s">
        <v>1245</v>
      </c>
      <c r="AZ1" s="41" t="s">
        <v>1246</v>
      </c>
      <c r="BA1" s="41" t="s">
        <v>1247</v>
      </c>
      <c r="BB1" s="41" t="s">
        <v>1248</v>
      </c>
      <c r="BC1" s="41" t="s">
        <v>1249</v>
      </c>
      <c r="BD1" s="42" t="s">
        <v>1204</v>
      </c>
      <c r="BE1" s="43" t="s">
        <v>1254</v>
      </c>
      <c r="BF1" s="41" t="s">
        <v>1119</v>
      </c>
    </row>
    <row r="2" spans="1:58" x14ac:dyDescent="0.25">
      <c r="A2" s="44" t="s">
        <v>12</v>
      </c>
      <c r="B2" s="42" t="s">
        <v>1071</v>
      </c>
      <c r="C2" s="42"/>
      <c r="D2" s="15">
        <f>IFERROR(((s_TR/(up_RadSpec!E2*s_IFS_res_adj*(1/1000)))*1),".")</f>
        <v>3.3057851239669421E-8</v>
      </c>
      <c r="E2" s="15">
        <f>IFERROR(IF(A2="H-3",(s_TR/((up_RadSpec!H2*s_IFA_res_adj*(1/17)*1000))*1),(s_TR/((up_RadSpec!H2*s_IFA_res_adj*(1/s_PEF_wind)*1000))*1)),".")</f>
        <v>3.0899917851942918E-4</v>
      </c>
      <c r="F2" s="15">
        <f>IFERROR((s_TR/(up_RadSpec!G2*s_EF_res*(1/365)*s_ED_res*up_RadSpec!R2*((s_ET_res_o*(1/24)*up_RadSpec!W2)+(s_ET_res_i*(1/24)*up_RadSpec!AB2))))*1,".")</f>
        <v>9.3940305308726392E-5</v>
      </c>
      <c r="G2" s="15">
        <f>up_b2s!C2</f>
        <v>3.2968835384132272E-12</v>
      </c>
      <c r="H2" s="15">
        <f>up_dir!C2</f>
        <v>1.6528925619834712E-11</v>
      </c>
      <c r="I2" s="15">
        <f>(IF(AND(D2&lt;&gt;".",E2&lt;&gt;".",F2&lt;&gt;".",G2&lt;&gt;"."),1/((1/D2)+(1/E2)+(1/F2)+(1/G2)),IF(AND(D2&lt;&gt;".",E2&lt;&gt;".",F2&lt;&gt;".",G2="."),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3.2965546197572258E-12</v>
      </c>
      <c r="J2" s="40">
        <f t="shared" ref="J2:J30" si="0">s_C*s_IFS_res_adj*(1/1000)</f>
        <v>302.5</v>
      </c>
      <c r="K2" s="40">
        <f t="shared" ref="K2:K30" si="1">s_C*s_IFA_res_adj*(1/s_PEF_wind)*1000</f>
        <v>3.2362545583179352E-2</v>
      </c>
      <c r="L2" s="40">
        <f>IFERROR((s_C*s_EF_res*(1/365)*s_ED_res*up_RadSpec!R2*((s_ET_res_o*(1/24)*up_RadSpec!W2)+(s_ET_res_i*(1/24)*up_RadSpec!AB2))),".")</f>
        <v>0.10645058015444912</v>
      </c>
      <c r="M2" s="40">
        <f>up_b2s!AC2</f>
        <v>3033167.5</v>
      </c>
      <c r="N2" s="18"/>
      <c r="O2" s="18"/>
      <c r="P2" s="18"/>
      <c r="Q2" s="18"/>
      <c r="R2" s="18"/>
      <c r="S2" s="15">
        <f>IFERROR((s_TR/(up_RadSpec!G2*s_EF_res*(1/365)*s_ED_res*up_RadSpec!R2*((s_ET_res_o*(1/24)*up_RadSpec!W2)+(s_ET_res_i*(1/24)*up_RadSpec!AB2))))*1,".")</f>
        <v>9.3940305308726392E-5</v>
      </c>
      <c r="T2" s="15">
        <f>IFERROR((s_TR/(up_RadSpec!N2*s_EF_res*(1/365)*s_ED_res*up_RadSpec!S2*((s_ET_res_o*(1/24)*up_RadSpec!X2)+(s_ET_res_i*(1/24)*up_RadSpec!AC2))))*1,".")</f>
        <v>1.8994129779470093E-4</v>
      </c>
      <c r="U2" s="15">
        <f>IFERROR((s_TR/(up_RadSpec!O2*s_EF_res*(1/365)*s_ED_res*up_RadSpec!T2*((s_ET_res_o*(1/24)*up_RadSpec!Y2)+(s_ET_res_i*(1/24)*up_RadSpec!AD2))))*1,".")</f>
        <v>1.2900594732370431E-4</v>
      </c>
      <c r="V2" s="15">
        <f>IFERROR((s_TR/(up_RadSpec!P2*s_EF_res*(1/365)*s_ED_res*up_RadSpec!U2*((s_ET_res_o*(1/24)*up_RadSpec!Z2)+(s_ET_res_i*(1/24)*up_RadSpec!AE2))))*1,".")</f>
        <v>1.0723245527167095E-4</v>
      </c>
      <c r="W2" s="15">
        <f>IFERROR((s_TR/(up_RadSpec!L2*s_EF_res*(1/365)*s_ED_res*up_RadSpec!Q2*((s_ET_res_o*(1/24)*up_RadSpec!V2)+(s_ET_res_i*(1/24)*up_RadSpec!AA2))))*1,".")</f>
        <v>1.5030661116333206E-3</v>
      </c>
      <c r="X2" s="40">
        <f>IFERROR((s_C*s_EF_res*(1/365)*s_ED_res*up_RadSpec!R2*((s_ET_res_o*(1/24)*up_RadSpec!W2)+(s_ET_res_i*(1/24)*up_RadSpec!AB2))),".")</f>
        <v>0.10645058015444912</v>
      </c>
      <c r="Y2" s="40">
        <f>IFERROR((s_C*s_EF_res*(1/365)*s_ED_res*up_RadSpec!S2*((s_ET_res_o*(1/24)*up_RadSpec!X2)+(s_ET_res_i*(1/24)*up_RadSpec!AC2))),".")</f>
        <v>5.264784497160041E-2</v>
      </c>
      <c r="Z2" s="40">
        <f>IFERROR((s_C*s_EF_res*(1/365)*s_ED_res*up_RadSpec!T2*((s_ET_res_o*(1/24)*up_RadSpec!Y2)+(s_ET_res_i*(1/24)*up_RadSpec!AD2))),".")</f>
        <v>7.7515806111696547E-2</v>
      </c>
      <c r="AA2" s="40">
        <f>IFERROR((s_C*s_EF_res*(1/365)*s_ED_res*up_RadSpec!U2*((s_ET_res_o*(1/24)*up_RadSpec!Z2)+(s_ET_res_i*(1/24)*up_RadSpec!AE2))),".")</f>
        <v>9.3255348622441142E-2</v>
      </c>
      <c r="AB2" s="40">
        <f>IFERROR((s_C*s_EF_res*(1/365)*s_ED_res*up_RadSpec!Q2*((s_ET_res_o*(1/24)*up_RadSpec!V2)+(s_ET_res_i*(1/24)*up_RadSpec!AA2))),".")</f>
        <v>6.653067301965453E-3</v>
      </c>
      <c r="AC2" s="18"/>
      <c r="AD2" s="18"/>
      <c r="AE2" s="18"/>
      <c r="AF2" s="18"/>
      <c r="AG2" s="18"/>
      <c r="AH2" s="15">
        <f>IFERROR((s_TR/(up_RadSpec!H2*s_IFA_res_adj)),".")</f>
        <v>9.9740259740259755E-10</v>
      </c>
      <c r="AI2" s="15">
        <f>IFERROR((s_TR/(up_RadSpec!K2*s_EF_res*(1/365)*s_ED_res*s_ET_res*(1/24)*s_GSF_a)),".")</f>
        <v>6.3709090909090908E-6</v>
      </c>
      <c r="AJ2" s="15">
        <f>IFERROR(IF(AND(AH2&lt;&gt;".",AI2&lt;&gt;"."),1/((1/AH2)+(1/AI2)),IF(AND(AH2&lt;&gt;".",AI2="."),1/((1/AH2)),IF(AND(AH2=".",AI2&lt;&gt;"."),1/((1/AI2)),IF(AND(AH2=".",AI2="."),".")))),".")</f>
        <v>9.9724647271019672E-10</v>
      </c>
      <c r="AK2" s="40">
        <f t="shared" ref="AK2:AK30" si="2">s_C*s_IFA_res_adj</f>
        <v>10026.041666666666</v>
      </c>
      <c r="AL2" s="40">
        <f t="shared" ref="AL2:AL30" si="3">IFERROR((s_C*s_EF_res*(1/365)*s_ED_res*s_ET_res*(1/24)*s_GSF_a),".")</f>
        <v>1.5696347031963471</v>
      </c>
      <c r="AM2" s="18"/>
      <c r="AN2" s="18"/>
      <c r="AO2" s="18"/>
      <c r="AP2" s="15">
        <f>IFERROR((s_TR/(up_RadSpec!I2*s_IFW_res_adj)),".")</f>
        <v>3.6363636363636369E-10</v>
      </c>
      <c r="AQ2" s="15" t="str">
        <f>IFERROR(IF(AND(up_RadSpec!C2=1,up_RadSpec!D2&lt;&gt;0),(s_TR/(up_RadSpec!F2*s_IFA_res_adj*s_K*up_RadSpec!D2)),"."),".")</f>
        <v>.</v>
      </c>
      <c r="AR2" s="15">
        <f>IFERROR((s_TR/(up_RadSpec!M2*(1/8760)*s_DFA_res_adj)),".")</f>
        <v>3.9818181818181825E-6</v>
      </c>
      <c r="AS2" s="15">
        <f>up_b2w!C2</f>
        <v>1.6443412786038031E-11</v>
      </c>
      <c r="AT2" s="15">
        <f>(IF(AND(AP2&lt;&gt;".",AQ2&lt;&gt;".",AR2&lt;&gt;".",AS2&lt;&gt;"."),1/((1/AP2)+(1/AQ2)+(1/AR2)+(1/AS2)),IF(AND(AP2&lt;&gt;".",AQ2&lt;&gt;".",AR2&lt;&gt;".",AS2="."), 1/((1/AP2)+(1/AQ2)+(1/AR2)),IF(AND(AP2&lt;&gt;".",AQ2&lt;&gt;".",AR2=".",AS2&lt;&gt;"."),1/((1/AP2)+(1/AQ2)+(1/AS2)),IF(AND(AP2&lt;&gt;".",AQ2=".",AR2&lt;&gt;".",AS2&lt;&gt;"."),1/((1/AP2)+(1/AR2)+(1/AS2)),IF(AND(AP2=".",AQ2&lt;&gt;".",AR2&lt;&gt;".",AS2&lt;&gt;"."),1/((1/AQ2)+(1/AR2)+(1/AS2)),IF(AND(AP2&lt;&gt;".",AQ2&lt;&gt;".",AR2=".",AS2="."),1/((1/AP2)+(1/AQ2)),IF(AND(AP2&lt;&gt;".",AQ2=".",AR2&lt;&gt;".",AS2="."),1/((1/AP2)+(1/AR2)),IF(AND(AP2&lt;&gt;".",AQ2=".",AR2=".",AS2&lt;&gt;"."),1/((1/AP2)+(1/AS2)),IF(AND(AP2=".",AQ2=".",AR2&lt;&gt;".",AS2&lt;&gt;"."),1/((1/AR2)+(1/AS2)),IF(AND(AP2=".",AQ2&lt;&gt;".",AR2=".",AS2&lt;&gt;"."),1/((1/AQ2)+(1/AS2)),IF(AND(AP2=".",AQ2&lt;&gt;".",AR2&lt;&gt;".",AS2="."),1/((1/AQ2)+(1/AR2)),IF(AND(AP2&lt;&gt;".",AQ2=".",AR2=".",AS2="."),1/((1/AP2)),IF(AND(AP2=".",AQ2&lt;&gt;".",AR2=".",AS2="."),1/((1/AQ2)),IF(AND(AP2=".",AQ2=".",AR2&lt;&gt;".",AS2="."),1/((1/AR2)),IF(AND(AP2=".",AQ2=".",AR2=".",AS2&lt;&gt;"."),1/((1/AS2)),IF(AND(AP2=".",AQ2=".",AR2=".",AS2="."),".")))))))))))))))))</f>
        <v>1.5731958335636466E-11</v>
      </c>
      <c r="AU2" s="40">
        <f t="shared" ref="AU2:AU30" si="4">s_C*s_IFW_res_adj</f>
        <v>27500</v>
      </c>
      <c r="AV2" s="40">
        <f>IF(up_RadSpec!D2&lt;&gt;"",s_C*s_IFA_res_adj*s_K*up_RadSpec!D2,0)</f>
        <v>0</v>
      </c>
      <c r="AW2" s="40">
        <f t="shared" ref="AW2:AW30" si="5">s_C*(1/8760)*s_DFA_res_adj</f>
        <v>2.5114155251141552</v>
      </c>
      <c r="AX2" s="40">
        <f>up_b2w!AC2</f>
        <v>608146.26076229871</v>
      </c>
      <c r="AY2" s="18"/>
      <c r="AZ2" s="18"/>
      <c r="BA2" s="18"/>
      <c r="BB2" s="18"/>
      <c r="BC2" s="18"/>
      <c r="BD2" s="15">
        <f>IFERROR(s_TR/(up_RadSpec!F2*s_EF_res*s_ED_res*s_IRF_res*0.001*s_CF_res_fish),".")</f>
        <v>6.6115702479338848E-11</v>
      </c>
      <c r="BE2" s="40">
        <f t="shared" ref="BE2:BE30" si="6">s_C*s_EF_res*s_ED_res*s_IRF_res*0.001*s_CF_res_fish</f>
        <v>151250</v>
      </c>
      <c r="BF2" s="18"/>
    </row>
    <row r="3" spans="1:58" x14ac:dyDescent="0.25">
      <c r="A3" s="46" t="s">
        <v>13</v>
      </c>
      <c r="B3" s="42" t="s">
        <v>349</v>
      </c>
      <c r="C3" s="42"/>
      <c r="D3" s="15">
        <f>IFERROR(((s_TR/(up_RadSpec!E3*s_IFS_res_adj*(1/1000)))*1),".")</f>
        <v>3.3057851239669421E-8</v>
      </c>
      <c r="E3" s="15">
        <f>IFERROR(IF(A3="H-3",(s_TR/((up_RadSpec!H3*s_IFA_res_adj*(1/17)*1000))*1),(s_TR/((up_RadSpec!H3*s_IFA_res_adj*(1/s_PEF_wind)*1000))*1)),".")</f>
        <v>3.0899917851942918E-4</v>
      </c>
      <c r="F3" s="15">
        <f>IFERROR((s_TR/(up_RadSpec!G3*s_EF_res*(1/365)*s_ED_res*up_RadSpec!R3*((s_ET_res_o*(1/24)*up_RadSpec!W3)+(s_ET_res_i*(1/24)*up_RadSpec!AB3))))*1,".")</f>
        <v>1.2324675324675334E-2</v>
      </c>
      <c r="G3" s="15">
        <f>up_b2s!C3</f>
        <v>3.2968835384132272E-12</v>
      </c>
      <c r="H3" s="15">
        <f>up_dir!C3</f>
        <v>1.6528925619834712E-11</v>
      </c>
      <c r="I3" s="15">
        <f t="shared" ref="I3:I10" si="7">(IF(AND(D3&lt;&gt;".",E3&lt;&gt;".",F3&lt;&gt;".",G3&lt;&gt;"."),1/((1/D3)+(1/E3)+(1/F3)+(1/G3)),IF(AND(D3&lt;&gt;".",E3&lt;&gt;".",F3&lt;&gt;".",G3="."), 1/((1/D3)+(1/E3)+(1/F3)),IF(AND(D3&lt;&gt;".",E3&lt;&gt;".",F3=".",G3&lt;&gt;"."),1/((1/D3)+(1/E3)+(1/G3)),IF(AND(D3&lt;&gt;".",E3=".",F3&lt;&gt;".",G3&lt;&gt;"."),1/((1/D3)+(1/F3)+(1/G3)),IF(AND(D3=".",E3&lt;&gt;".",F3&lt;&gt;".",G3&lt;&gt;"."),1/((1/E3)+(1/F3)+(1/G3)),IF(AND(D3&lt;&gt;".",E3&lt;&gt;".",F3=".",G3="."),1/((1/D3)+(1/E3)),IF(AND(D3&lt;&gt;".",E3=".",F3&lt;&gt;".",G3="."),1/((1/D3)+(1/F3)),IF(AND(D3&lt;&gt;".",E3=".",F3=".",G3&lt;&gt;"."),1/((1/D3)+(1/G3)),IF(AND(D3=".",E3=".",F3&lt;&gt;".",G3&lt;&gt;"."),1/((1/F3)+(1/G3)),IF(AND(D3=".",E3&lt;&gt;".",F3=".",G3&lt;&gt;"."),1/((1/E3)+(1/G3)),IF(AND(D3=".",E3&lt;&gt;".",F3&lt;&gt;".",G3="."),1/((1/E3)+(1/F3)),IF(AND(D3&lt;&gt;".",E3=".",F3=".",G3="."),1/((1/D3)),IF(AND(D3=".",E3&lt;&gt;".",F3=".",G3="."),1/((1/E3)),IF(AND(D3=".",E3=".",F3&lt;&gt;".",G3="."),1/((1/F3)),IF(AND(D3=".",E3=".",F3=".",G3&lt;&gt;"."),1/((1/G3)),IF(AND(D3=".",E3=".",F3=".",G3="."),".")))))))))))))))))</f>
        <v>3.2965547345582255E-12</v>
      </c>
      <c r="J3" s="40">
        <f t="shared" si="0"/>
        <v>302.5</v>
      </c>
      <c r="K3" s="40">
        <f t="shared" si="1"/>
        <v>3.2362545583179352E-2</v>
      </c>
      <c r="L3" s="40">
        <f>IFERROR((s_C*s_EF_res*(1/365)*s_ED_res*up_RadSpec!R3*((s_ET_res_o*(1/24)*up_RadSpec!W3)+(s_ET_res_i*(1/24)*up_RadSpec!AB3))),".")</f>
        <v>8.1138040042149577E-4</v>
      </c>
      <c r="M3" s="40">
        <f>up_b2s!AC3</f>
        <v>3033167.5</v>
      </c>
      <c r="N3" s="18"/>
      <c r="O3" s="18"/>
      <c r="P3" s="18"/>
      <c r="Q3" s="18"/>
      <c r="R3" s="18"/>
      <c r="S3" s="15">
        <f>IFERROR((s_TR/(up_RadSpec!G3*s_EF_res*(1/365)*s_ED_res*up_RadSpec!R3*((s_ET_res_o*(1/24)*up_RadSpec!W3)+(s_ET_res_i*(1/24)*up_RadSpec!AB3))))*1,".")</f>
        <v>1.2324675324675334E-2</v>
      </c>
      <c r="T3" s="15">
        <f>IFERROR((s_TR/(up_RadSpec!N3*s_EF_res*(1/365)*s_ED_res*up_RadSpec!S3*((s_ET_res_o*(1/24)*up_RadSpec!X3)+(s_ET_res_i*(1/24)*up_RadSpec!AC3))))*1,".")</f>
        <v>1.7281208406846823E-2</v>
      </c>
      <c r="U3" s="15">
        <f>IFERROR((s_TR/(up_RadSpec!O3*s_EF_res*(1/365)*s_ED_res*up_RadSpec!T3*((s_ET_res_o*(1/24)*up_RadSpec!Y3)+(s_ET_res_i*(1/24)*up_RadSpec!AD3))))*1,".")</f>
        <v>1.3101623974552154E-2</v>
      </c>
      <c r="V3" s="15">
        <f>IFERROR((s_TR/(up_RadSpec!P3*s_EF_res*(1/365)*s_ED_res*up_RadSpec!U3*((s_ET_res_o*(1/24)*up_RadSpec!Z3)+(s_ET_res_i*(1/24)*up_RadSpec!AE3))))*1,".")</f>
        <v>1.3505379742667876E-2</v>
      </c>
      <c r="W3" s="15">
        <f>IFERROR((s_TR/(up_RadSpec!L3*s_EF_res*(1/365)*s_ED_res*up_RadSpec!Q3*((s_ET_res_o*(1/24)*up_RadSpec!V3)+(s_ET_res_i*(1/24)*up_RadSpec!AA3))))*1,".")</f>
        <v>2.6793436349970237E-2</v>
      </c>
      <c r="X3" s="40">
        <f>IFERROR((s_C*s_EF_res*(1/365)*s_ED_res*up_RadSpec!R3*((s_ET_res_o*(1/24)*up_RadSpec!W3)+(s_ET_res_i*(1/24)*up_RadSpec!AB3))),".")</f>
        <v>8.1138040042149577E-4</v>
      </c>
      <c r="Y3" s="40">
        <f>IFERROR((s_C*s_EF_res*(1/365)*s_ED_res*up_RadSpec!S3*((s_ET_res_o*(1/24)*up_RadSpec!X3)+(s_ET_res_i*(1/24)*up_RadSpec!AC3))),".")</f>
        <v>5.7866323723276185E-4</v>
      </c>
      <c r="Z3" s="40">
        <f>IFERROR((s_C*s_EF_res*(1/365)*s_ED_res*up_RadSpec!T3*((s_ET_res_o*(1/24)*up_RadSpec!Y3)+(s_ET_res_i*(1/24)*up_RadSpec!AD3))),".")</f>
        <v>7.6326415865876087E-4</v>
      </c>
      <c r="AA3" s="40">
        <f>IFERROR((s_C*s_EF_res*(1/365)*s_ED_res*up_RadSpec!U3*((s_ET_res_o*(1/24)*up_RadSpec!Z3)+(s_ET_res_i*(1/24)*up_RadSpec!AE3))),".")</f>
        <v>7.4044567354198537E-4</v>
      </c>
      <c r="AB3" s="40">
        <f>IFERROR((s_C*s_EF_res*(1/365)*s_ED_res*up_RadSpec!Q3*((s_ET_res_o*(1/24)*up_RadSpec!V3)+(s_ET_res_i*(1/24)*up_RadSpec!AA3))),".")</f>
        <v>3.7322573593704446E-4</v>
      </c>
      <c r="AC3" s="18"/>
      <c r="AD3" s="18"/>
      <c r="AE3" s="18"/>
      <c r="AF3" s="18"/>
      <c r="AG3" s="18"/>
      <c r="AH3" s="15">
        <f>IFERROR((s_TR/(up_RadSpec!H3*s_IFA_res_adj)),".")</f>
        <v>9.9740259740259755E-10</v>
      </c>
      <c r="AI3" s="15">
        <f>IFERROR((s_TR/(up_RadSpec!K3*s_EF_res*(1/365)*s_ED_res*s_ET_res*(1/24)*s_GSF_a)),".")</f>
        <v>6.3709090909090908E-6</v>
      </c>
      <c r="AJ3" s="15">
        <f>IFERROR(IF(AND(AH3&lt;&gt;".",AI3&lt;&gt;"."),1/((1/AH3)+(1/AI3)),IF(AND(AH3&lt;&gt;".",AI3="."),1/((1/AH3)),IF(AND(AH3=".",AI3&lt;&gt;"."),1/((1/AI3)),IF(AND(AH3=".",AI3="."),".")))),".")</f>
        <v>9.9724647271019672E-10</v>
      </c>
      <c r="AK3" s="40">
        <f t="shared" si="2"/>
        <v>10026.041666666666</v>
      </c>
      <c r="AL3" s="40">
        <f t="shared" si="3"/>
        <v>1.5696347031963471</v>
      </c>
      <c r="AM3" s="18"/>
      <c r="AN3" s="18"/>
      <c r="AO3" s="18"/>
      <c r="AP3" s="15">
        <f>IFERROR((s_TR/(up_RadSpec!I3*s_IFW_res_adj)),".")</f>
        <v>3.6363636363636369E-10</v>
      </c>
      <c r="AQ3" s="15" t="str">
        <f>IFERROR(IF(AND(up_RadSpec!C3=1,up_RadSpec!D3&lt;&gt;0),(s_TR/(up_RadSpec!F3*s_IFA_res_adj*s_K*up_RadSpec!D3)),"."),".")</f>
        <v>.</v>
      </c>
      <c r="AR3" s="15">
        <f>IFERROR((s_TR/(up_RadSpec!M3*(1/8760)*s_DFA_res_adj)),".")</f>
        <v>3.9818181818181825E-6</v>
      </c>
      <c r="AS3" s="15">
        <f>up_b2w!C3</f>
        <v>1.6443412786038031E-11</v>
      </c>
      <c r="AT3" s="15">
        <f>(IF(AND(AP3&lt;&gt;".",AQ3&lt;&gt;".",AR3&lt;&gt;".",AS3&lt;&gt;"."),1/((1/AP3)+(1/AQ3)+(1/AR3)+(1/AS3)),IF(AND(AP3&lt;&gt;".",AQ3&lt;&gt;".",AR3&lt;&gt;".",AS3="."), 1/((1/AP3)+(1/AQ3)+(1/AR3)),IF(AND(AP3&lt;&gt;".",AQ3&lt;&gt;".",AR3=".",AS3&lt;&gt;"."),1/((1/AP3)+(1/AQ3)+(1/AS3)),IF(AND(AP3&lt;&gt;".",AQ3=".",AR3&lt;&gt;".",AS3&lt;&gt;"."),1/((1/AP3)+(1/AR3)+(1/AS3)),IF(AND(AP3=".",AQ3&lt;&gt;".",AR3&lt;&gt;".",AS3&lt;&gt;"."),1/((1/AQ3)+(1/AR3)+(1/AS3)),IF(AND(AP3&lt;&gt;".",AQ3&lt;&gt;".",AR3=".",AS3="."),1/((1/AP3)+(1/AQ3)),IF(AND(AP3&lt;&gt;".",AQ3=".",AR3&lt;&gt;".",AS3="."),1/((1/AP3)+(1/AR3)),IF(AND(AP3&lt;&gt;".",AQ3=".",AR3=".",AS3&lt;&gt;"."),1/((1/AP3)+(1/AS3)),IF(AND(AP3=".",AQ3=".",AR3&lt;&gt;".",AS3&lt;&gt;"."),1/((1/AR3)+(1/AS3)),IF(AND(AP3=".",AQ3&lt;&gt;".",AR3=".",AS3&lt;&gt;"."),1/((1/AQ3)+(1/AS3)),IF(AND(AP3=".",AQ3&lt;&gt;".",AR3&lt;&gt;".",AS3="."),1/((1/AQ3)+(1/AR3)),IF(AND(AP3&lt;&gt;".",AQ3=".",AR3=".",AS3="."),1/((1/AP3)),IF(AND(AP3=".",AQ3&lt;&gt;".",AR3=".",AS3="."),1/((1/AQ3)),IF(AND(AP3=".",AQ3=".",AR3&lt;&gt;".",AS3="."),1/((1/AR3)),IF(AND(AP3=".",AQ3=".",AR3=".",AS3&lt;&gt;"."),1/((1/AS3)),IF(AND(AP3=".",AQ3=".",AR3=".",AS3="."),".")))))))))))))))))</f>
        <v>1.5731958335636466E-11</v>
      </c>
      <c r="AU3" s="40">
        <f t="shared" si="4"/>
        <v>27500</v>
      </c>
      <c r="AV3" s="40">
        <f>IF(up_RadSpec!D3&lt;&gt;"",s_C*s_IFA_res_adj*s_K*up_RadSpec!D3,0)</f>
        <v>0</v>
      </c>
      <c r="AW3" s="40">
        <f t="shared" si="5"/>
        <v>2.5114155251141552</v>
      </c>
      <c r="AX3" s="40">
        <f>up_b2w!AC3</f>
        <v>608146.26076229871</v>
      </c>
      <c r="AY3" s="18"/>
      <c r="AZ3" s="18"/>
      <c r="BA3" s="18"/>
      <c r="BB3" s="18"/>
      <c r="BC3" s="18"/>
      <c r="BD3" s="15">
        <f>IFERROR(s_TR/(up_RadSpec!F3*s_EF_res*s_ED_res*s_IRF_res*0.001*s_CF_res_fish),".")</f>
        <v>6.6115702479338848E-11</v>
      </c>
      <c r="BE3" s="40">
        <f t="shared" si="6"/>
        <v>151250</v>
      </c>
      <c r="BF3" s="18"/>
    </row>
    <row r="4" spans="1:58" x14ac:dyDescent="0.25">
      <c r="A4" s="44" t="s">
        <v>14</v>
      </c>
      <c r="B4" s="42" t="s">
        <v>1071</v>
      </c>
      <c r="C4" s="42"/>
      <c r="D4" s="15">
        <f>IFERROR(((s_TR/(up_RadSpec!E4*s_IFS_res_adj*(1/1000)))*1),".")</f>
        <v>3.3057851239669421E-8</v>
      </c>
      <c r="E4" s="15">
        <f>IFERROR(IF(A4="H-3",(s_TR/((up_RadSpec!H4*s_IFA_res_adj*(1/17)*1000))*1),(s_TR/((up_RadSpec!H4*s_IFA_res_adj*(1/s_PEF_wind)*1000))*1)),".")</f>
        <v>3.0899917851942918E-4</v>
      </c>
      <c r="F4" s="15">
        <f>IFERROR((s_TR/(up_RadSpec!G4*s_EF_res*(1/365)*s_ED_res*up_RadSpec!R4*((s_ET_res_o*(1/24)*up_RadSpec!W4)+(s_ET_res_i*(1/24)*up_RadSpec!AB4))))*1,".")</f>
        <v>4.588103254769924E-5</v>
      </c>
      <c r="G4" s="15">
        <f>up_b2s!C4</f>
        <v>3.2968835384132272E-12</v>
      </c>
      <c r="H4" s="15">
        <f>up_dir!C4</f>
        <v>1.6528925619834712E-11</v>
      </c>
      <c r="I4" s="15">
        <f t="shared" si="7"/>
        <v>3.2965544985823505E-12</v>
      </c>
      <c r="J4" s="40">
        <f t="shared" si="0"/>
        <v>302.5</v>
      </c>
      <c r="K4" s="40">
        <f t="shared" si="1"/>
        <v>3.2362545583179352E-2</v>
      </c>
      <c r="L4" s="40">
        <f>IFERROR((s_C*s_EF_res*(1/365)*s_ED_res*up_RadSpec!R4*((s_ET_res_o*(1/24)*up_RadSpec!W4)+(s_ET_res_i*(1/24)*up_RadSpec!AB4))),".")</f>
        <v>0.2179549902152641</v>
      </c>
      <c r="M4" s="40">
        <f>up_b2s!AC4</f>
        <v>3033167.5</v>
      </c>
      <c r="N4" s="18"/>
      <c r="O4" s="18"/>
      <c r="P4" s="18"/>
      <c r="Q4" s="18"/>
      <c r="R4" s="18"/>
      <c r="S4" s="15">
        <f>IFERROR((s_TR/(up_RadSpec!G4*s_EF_res*(1/365)*s_ED_res*up_RadSpec!R4*((s_ET_res_o*(1/24)*up_RadSpec!W4)+(s_ET_res_i*(1/24)*up_RadSpec!AB4))))*1,".")</f>
        <v>4.588103254769924E-5</v>
      </c>
      <c r="T4" s="15">
        <f>IFERROR((s_TR/(up_RadSpec!N4*s_EF_res*(1/365)*s_ED_res*up_RadSpec!S4*((s_ET_res_o*(1/24)*up_RadSpec!X4)+(s_ET_res_i*(1/24)*up_RadSpec!AC4))))*1,".")</f>
        <v>7.4871794871794899E-5</v>
      </c>
      <c r="U4" s="15">
        <f>IFERROR((s_TR/(up_RadSpec!O4*s_EF_res*(1/365)*s_ED_res*up_RadSpec!T4*((s_ET_res_o*(1/24)*up_RadSpec!Y4)+(s_ET_res_i*(1/24)*up_RadSpec!AD4))))*1,".")</f>
        <v>5.3860342555994729E-5</v>
      </c>
      <c r="V4" s="15">
        <f>IFERROR((s_TR/(up_RadSpec!P4*s_EF_res*(1/365)*s_ED_res*up_RadSpec!U4*((s_ET_res_o*(1/24)*up_RadSpec!Z4)+(s_ET_res_i*(1/24)*up_RadSpec!AE4))))*1,".")</f>
        <v>4.6885231426294241E-5</v>
      </c>
      <c r="W4" s="15">
        <f>IFERROR((s_TR/(up_RadSpec!L4*s_EF_res*(1/365)*s_ED_res*up_RadSpec!Q4*((s_ET_res_o*(1/24)*up_RadSpec!V4)+(s_ET_res_i*(1/24)*up_RadSpec!AA4))))*1,".")</f>
        <v>1.3827035962958291E-4</v>
      </c>
      <c r="X4" s="40">
        <f>IFERROR((s_C*s_EF_res*(1/365)*s_ED_res*up_RadSpec!R4*((s_ET_res_o*(1/24)*up_RadSpec!W4)+(s_ET_res_i*(1/24)*up_RadSpec!AB4))),".")</f>
        <v>0.2179549902152641</v>
      </c>
      <c r="Y4" s="40">
        <f>IFERROR((s_C*s_EF_res*(1/365)*s_ED_res*up_RadSpec!S4*((s_ET_res_o*(1/24)*up_RadSpec!X4)+(s_ET_res_i*(1/24)*up_RadSpec!AC4))),".")</f>
        <v>0.13356164383561639</v>
      </c>
      <c r="Z4" s="40">
        <f>IFERROR((s_C*s_EF_res*(1/365)*s_ED_res*up_RadSpec!T4*((s_ET_res_o*(1/24)*up_RadSpec!Y4)+(s_ET_res_i*(1/24)*up_RadSpec!AD4))),".")</f>
        <v>0.18566536203522507</v>
      </c>
      <c r="AA4" s="40">
        <f>IFERROR((s_C*s_EF_res*(1/365)*s_ED_res*up_RadSpec!U4*((s_ET_res_o*(1/24)*up_RadSpec!Z4)+(s_ET_res_i*(1/24)*up_RadSpec!AE4))),".")</f>
        <v>0.21328677913684749</v>
      </c>
      <c r="AB4" s="40">
        <f>IFERROR((s_C*s_EF_res*(1/365)*s_ED_res*up_RadSpec!Q4*((s_ET_res_o*(1/24)*up_RadSpec!V4)+(s_ET_res_i*(1/24)*up_RadSpec!AA4))),".")</f>
        <v>7.2322079922185312E-2</v>
      </c>
      <c r="AC4" s="18"/>
      <c r="AD4" s="18"/>
      <c r="AE4" s="18"/>
      <c r="AF4" s="18"/>
      <c r="AG4" s="18"/>
      <c r="AH4" s="15">
        <f>IFERROR((s_TR/(up_RadSpec!H4*s_IFA_res_adj)),".")</f>
        <v>9.9740259740259755E-10</v>
      </c>
      <c r="AI4" s="15">
        <f>IFERROR((s_TR/(up_RadSpec!K4*s_EF_res*(1/365)*s_ED_res*s_ET_res*(1/24)*s_GSF_a)),".")</f>
        <v>6.3709090909090908E-6</v>
      </c>
      <c r="AJ4" s="15">
        <f t="shared" ref="AJ4:AJ16" si="8">IFERROR(IF(AND(AH4&lt;&gt;".",AI4&lt;&gt;"."),1/((1/AH4)+(1/AI4)),IF(AND(AH4&lt;&gt;".",AI4="."),1/((1/AH4)),IF(AND(AH4=".",AI4&lt;&gt;"."),1/((1/AI4)),IF(AND(AH4=".",AI4="."),".")))),".")</f>
        <v>9.9724647271019672E-10</v>
      </c>
      <c r="AK4" s="40">
        <f t="shared" si="2"/>
        <v>10026.041666666666</v>
      </c>
      <c r="AL4" s="40">
        <f t="shared" si="3"/>
        <v>1.5696347031963471</v>
      </c>
      <c r="AM4" s="18"/>
      <c r="AN4" s="18"/>
      <c r="AO4" s="18"/>
      <c r="AP4" s="15">
        <f>IFERROR((s_TR/(up_RadSpec!I4*s_IFW_res_adj)),".")</f>
        <v>3.6363636363636369E-10</v>
      </c>
      <c r="AQ4" s="15" t="str">
        <f>IFERROR(IF(AND(up_RadSpec!C4=1,up_RadSpec!D4&lt;&gt;0),(s_TR/(up_RadSpec!F4*s_IFA_res_adj*s_K*up_RadSpec!D4)),"."),".")</f>
        <v>.</v>
      </c>
      <c r="AR4" s="15">
        <f>IFERROR((s_TR/(up_RadSpec!M4*(1/8760)*s_DFA_res_adj)),".")</f>
        <v>3.9818181818181825E-6</v>
      </c>
      <c r="AS4" s="15">
        <f>up_b2w!C4</f>
        <v>1.6443412786038031E-11</v>
      </c>
      <c r="AT4" s="15">
        <f t="shared" ref="AT4:AT5" si="9">(IF(AND(AP4&lt;&gt;".",AQ4&lt;&gt;".",AR4&lt;&gt;".",AS4&lt;&gt;"."),1/((1/AP4)+(1/AQ4)+(1/AR4)+(1/AS4)),IF(AND(AP4&lt;&gt;".",AQ4&lt;&gt;".",AR4&lt;&gt;".",AS4="."), 1/((1/AP4)+(1/AQ4)+(1/AR4)),IF(AND(AP4&lt;&gt;".",AQ4&lt;&gt;".",AR4=".",AS4&lt;&gt;"."),1/((1/AP4)+(1/AQ4)+(1/AS4)),IF(AND(AP4&lt;&gt;".",AQ4=".",AR4&lt;&gt;".",AS4&lt;&gt;"."),1/((1/AP4)+(1/AR4)+(1/AS4)),IF(AND(AP4=".",AQ4&lt;&gt;".",AR4&lt;&gt;".",AS4&lt;&gt;"."),1/((1/AQ4)+(1/AR4)+(1/AS4)),IF(AND(AP4&lt;&gt;".",AQ4&lt;&gt;".",AR4=".",AS4="."),1/((1/AP4)+(1/AQ4)),IF(AND(AP4&lt;&gt;".",AQ4=".",AR4&lt;&gt;".",AS4="."),1/((1/AP4)+(1/AR4)),IF(AND(AP4&lt;&gt;".",AQ4=".",AR4=".",AS4&lt;&gt;"."),1/((1/AP4)+(1/AS4)),IF(AND(AP4=".",AQ4=".",AR4&lt;&gt;".",AS4&lt;&gt;"."),1/((1/AR4)+(1/AS4)),IF(AND(AP4=".",AQ4&lt;&gt;".",AR4=".",AS4&lt;&gt;"."),1/((1/AQ4)+(1/AS4)),IF(AND(AP4=".",AQ4&lt;&gt;".",AR4&lt;&gt;".",AS4="."),1/((1/AQ4)+(1/AR4)),IF(AND(AP4&lt;&gt;".",AQ4=".",AR4=".",AS4="."),1/((1/AP4)),IF(AND(AP4=".",AQ4&lt;&gt;".",AR4=".",AS4="."),1/((1/AQ4)),IF(AND(AP4=".",AQ4=".",AR4&lt;&gt;".",AS4="."),1/((1/AR4)),IF(AND(AP4=".",AQ4=".",AR4=".",AS4&lt;&gt;"."),1/((1/AS4)),IF(AND(AP4=".",AQ4=".",AR4=".",AS4="."),".")))))))))))))))))</f>
        <v>1.5731958335636466E-11</v>
      </c>
      <c r="AU4" s="40">
        <f t="shared" si="4"/>
        <v>27500</v>
      </c>
      <c r="AV4" s="40">
        <f>IF(up_RadSpec!D4&lt;&gt;"",s_C*s_IFA_res_adj*s_K*up_RadSpec!D4,0)</f>
        <v>0</v>
      </c>
      <c r="AW4" s="40">
        <f t="shared" si="5"/>
        <v>2.5114155251141552</v>
      </c>
      <c r="AX4" s="40">
        <f>up_b2w!AC4</f>
        <v>608146.26076229871</v>
      </c>
      <c r="AY4" s="18"/>
      <c r="AZ4" s="18"/>
      <c r="BA4" s="18"/>
      <c r="BB4" s="18"/>
      <c r="BC4" s="18"/>
      <c r="BD4" s="15">
        <f>IFERROR(s_TR/(up_RadSpec!F4*s_EF_res*s_ED_res*s_IRF_res*0.001*s_CF_res_fish),".")</f>
        <v>6.6115702479338848E-11</v>
      </c>
      <c r="BE4" s="40">
        <f t="shared" si="6"/>
        <v>151250</v>
      </c>
      <c r="BF4" s="18"/>
    </row>
    <row r="5" spans="1:58" x14ac:dyDescent="0.25">
      <c r="A5" s="44" t="s">
        <v>15</v>
      </c>
      <c r="B5" s="42" t="s">
        <v>1071</v>
      </c>
      <c r="C5" s="249"/>
      <c r="D5" s="15">
        <f>IFERROR(((s_TR/(up_RadSpec!E5*s_IFS_res_adj*(1/1000)))*1),".")</f>
        <v>3.3057851239669421E-8</v>
      </c>
      <c r="E5" s="15">
        <f>IFERROR(IF(A5="H-3",(s_TR/((up_RadSpec!H5*s_IFA_res_adj*(1/17)*1000))*1),(s_TR/((up_RadSpec!H5*s_IFA_res_adj*(1/s_PEF_wind)*1000))*1)),".")</f>
        <v>3.0899917851942918E-4</v>
      </c>
      <c r="F5" s="15" t="str">
        <f>IFERROR((s_TR/(up_RadSpec!G5*s_EF_res*(1/365)*s_ED_res*up_RadSpec!R5*((s_ET_res_o*(1/24)*up_RadSpec!W5)+(s_ET_res_i*(1/24)*up_RadSpec!AB5))))*1,".")</f>
        <v>.</v>
      </c>
      <c r="G5" s="15">
        <f>up_b2s!C5</f>
        <v>3.2968835384132272E-12</v>
      </c>
      <c r="H5" s="15">
        <f>up_dir!C5</f>
        <v>1.6528925619834712E-11</v>
      </c>
      <c r="I5" s="15">
        <f t="shared" si="7"/>
        <v>3.2965547354399742E-12</v>
      </c>
      <c r="J5" s="40">
        <f t="shared" si="0"/>
        <v>302.5</v>
      </c>
      <c r="K5" s="40">
        <f t="shared" si="1"/>
        <v>3.2362545583179352E-2</v>
      </c>
      <c r="L5" s="40">
        <f>IFERROR((s_C*s_EF_res*(1/365)*s_ED_res*up_RadSpec!R5*((s_ET_res_o*(1/24)*up_RadSpec!W5)+(s_ET_res_i*(1/24)*up_RadSpec!AB5))),".")</f>
        <v>0</v>
      </c>
      <c r="M5" s="40">
        <f>up_b2s!AC5</f>
        <v>3033167.5</v>
      </c>
      <c r="N5" s="18"/>
      <c r="O5" s="18"/>
      <c r="P5" s="18"/>
      <c r="Q5" s="18"/>
      <c r="R5" s="18"/>
      <c r="S5" s="15" t="str">
        <f>IFERROR((s_TR/(up_RadSpec!G5*s_EF_res*(1/365)*s_ED_res*up_RadSpec!R5*((s_ET_res_o*(1/24)*up_RadSpec!W5)+(s_ET_res_i*(1/24)*up_RadSpec!AB5))))*1,".")</f>
        <v>.</v>
      </c>
      <c r="T5" s="15" t="str">
        <f>IFERROR((s_TR/(up_RadSpec!N5*s_EF_res*(1/365)*s_ED_res*up_RadSpec!S5*((s_ET_res_o*(1/24)*up_RadSpec!X5)+(s_ET_res_i*(1/24)*up_RadSpec!AC5))))*1,".")</f>
        <v>.</v>
      </c>
      <c r="U5" s="15" t="str">
        <f>IFERROR((s_TR/(up_RadSpec!O5*s_EF_res*(1/365)*s_ED_res*up_RadSpec!T5*((s_ET_res_o*(1/24)*up_RadSpec!Y5)+(s_ET_res_i*(1/24)*up_RadSpec!AD5))))*1,".")</f>
        <v>.</v>
      </c>
      <c r="V5" s="15" t="str">
        <f>IFERROR((s_TR/(up_RadSpec!P5*s_EF_res*(1/365)*s_ED_res*up_RadSpec!U5*((s_ET_res_o*(1/24)*up_RadSpec!Z5)+(s_ET_res_i*(1/24)*up_RadSpec!AE5))))*1,".")</f>
        <v>.</v>
      </c>
      <c r="W5" s="15" t="str">
        <f>IFERROR((s_TR/(up_RadSpec!L5*s_EF_res*(1/365)*s_ED_res*up_RadSpec!Q5*((s_ET_res_o*(1/24)*up_RadSpec!V5)+(s_ET_res_i*(1/24)*up_RadSpec!AA5))))*1,".")</f>
        <v>.</v>
      </c>
      <c r="X5" s="40">
        <f>IFERROR((s_C*s_EF_res*(1/365)*s_ED_res*up_RadSpec!R5*((s_ET_res_o*(1/24)*up_RadSpec!W5)+(s_ET_res_i*(1/24)*up_RadSpec!AB5))),".")</f>
        <v>0</v>
      </c>
      <c r="Y5" s="40">
        <f>IFERROR((s_C*s_EF_res*(1/365)*s_ED_res*up_RadSpec!S5*((s_ET_res_o*(1/24)*up_RadSpec!X5)+(s_ET_res_i*(1/24)*up_RadSpec!AC5))),".")</f>
        <v>0</v>
      </c>
      <c r="Z5" s="40">
        <f>IFERROR((s_C*s_EF_res*(1/365)*s_ED_res*up_RadSpec!T5*((s_ET_res_o*(1/24)*up_RadSpec!Y5)+(s_ET_res_i*(1/24)*up_RadSpec!AD5))),".")</f>
        <v>0</v>
      </c>
      <c r="AA5" s="40">
        <f>IFERROR((s_C*s_EF_res*(1/365)*s_ED_res*up_RadSpec!U5*((s_ET_res_o*(1/24)*up_RadSpec!Z5)+(s_ET_res_i*(1/24)*up_RadSpec!AE5))),".")</f>
        <v>0</v>
      </c>
      <c r="AB5" s="40">
        <f>IFERROR((s_C*s_EF_res*(1/365)*s_ED_res*up_RadSpec!Q5*((s_ET_res_o*(1/24)*up_RadSpec!V5)+(s_ET_res_i*(1/24)*up_RadSpec!AA5))),".")</f>
        <v>0</v>
      </c>
      <c r="AC5" s="18"/>
      <c r="AD5" s="18"/>
      <c r="AE5" s="18"/>
      <c r="AF5" s="18"/>
      <c r="AG5" s="18"/>
      <c r="AH5" s="15">
        <f>IFERROR((s_TR/(up_RadSpec!H5*s_IFA_res_adj)),".")</f>
        <v>9.9740259740259755E-10</v>
      </c>
      <c r="AI5" s="15">
        <f>IFERROR((s_TR/(up_RadSpec!K5*s_EF_res*(1/365)*s_ED_res*s_ET_res*(1/24)*s_GSF_a)),".")</f>
        <v>6.3709090909090908E-6</v>
      </c>
      <c r="AJ5" s="15">
        <f t="shared" si="8"/>
        <v>9.9724647271019672E-10</v>
      </c>
      <c r="AK5" s="40">
        <f t="shared" si="2"/>
        <v>10026.041666666666</v>
      </c>
      <c r="AL5" s="40">
        <f t="shared" si="3"/>
        <v>1.5696347031963471</v>
      </c>
      <c r="AM5" s="18"/>
      <c r="AN5" s="18"/>
      <c r="AO5" s="18"/>
      <c r="AP5" s="15">
        <f>IFERROR((s_TR/(up_RadSpec!I5*s_IFW_res_adj)),".")</f>
        <v>3.6363636363636369E-10</v>
      </c>
      <c r="AQ5" s="15">
        <f>IFERROR(IF(AND(up_RadSpec!C5=1,up_RadSpec!D5&lt;&gt;0),(s_TR/(up_RadSpec!F5*s_IFA_res_adj*s_K*up_RadSpec!D5)),"."),".")</f>
        <v>1.3732464063589893E-5</v>
      </c>
      <c r="AR5" s="15">
        <f>IFERROR((s_TR/(up_RadSpec!M5*(1/8760)*s_DFA_res_adj)),".")</f>
        <v>3.9818181818181825E-6</v>
      </c>
      <c r="AS5" s="15">
        <f>up_b2w!C5</f>
        <v>1.6443412786038031E-11</v>
      </c>
      <c r="AT5" s="15">
        <f t="shared" si="9"/>
        <v>1.5731940313071223E-11</v>
      </c>
      <c r="AU5" s="40">
        <f t="shared" si="4"/>
        <v>27500</v>
      </c>
      <c r="AV5" s="40">
        <f>IF(up_RadSpec!D5&lt;&gt;"",s_C*s_IFA_res_adj*s_K*up_RadSpec!D5,0)</f>
        <v>0.72820143229166667</v>
      </c>
      <c r="AW5" s="40">
        <f t="shared" si="5"/>
        <v>2.5114155251141552</v>
      </c>
      <c r="AX5" s="40">
        <f>up_b2w!AC5</f>
        <v>608146.26076229871</v>
      </c>
      <c r="AY5" s="18"/>
      <c r="AZ5" s="18"/>
      <c r="BA5" s="18"/>
      <c r="BB5" s="18"/>
      <c r="BC5" s="18"/>
      <c r="BD5" s="15">
        <f>IFERROR(s_TR/(up_RadSpec!F5*s_EF_res*s_ED_res*s_IRF_res*0.001*s_CF_res_fish),".")</f>
        <v>6.6115702479338848E-11</v>
      </c>
      <c r="BE5" s="40">
        <f t="shared" si="6"/>
        <v>151250</v>
      </c>
      <c r="BF5" s="18"/>
    </row>
    <row r="6" spans="1:58" x14ac:dyDescent="0.25">
      <c r="A6" s="44" t="s">
        <v>16</v>
      </c>
      <c r="B6" s="42" t="s">
        <v>1071</v>
      </c>
      <c r="C6" s="42"/>
      <c r="D6" s="15">
        <f>IFERROR(((s_TR/(up_RadSpec!E6*s_IFS_res_adj*(1/1000)))*1),".")</f>
        <v>3.3057851239669421E-8</v>
      </c>
      <c r="E6" s="15">
        <f>IFERROR(IF(A6="H-3",(s_TR/((up_RadSpec!H6*s_IFA_res_adj*(1/17)*1000))*1),(s_TR/((up_RadSpec!H6*s_IFA_res_adj*(1/s_PEF_wind)*1000))*1)),".")</f>
        <v>3.0899917851942918E-4</v>
      </c>
      <c r="F6" s="15">
        <f>IFERROR((s_TR/(up_RadSpec!G6*s_EF_res*(1/365)*s_ED_res*up_RadSpec!R6*((s_ET_res_o*(1/24)*up_RadSpec!W6)+(s_ET_res_i*(1/24)*up_RadSpec!AB6))))*1,".")</f>
        <v>2.3581516264443088E-5</v>
      </c>
      <c r="G6" s="15">
        <f>up_b2s!C6</f>
        <v>3.2968835384132272E-12</v>
      </c>
      <c r="H6" s="15">
        <f>up_dir!C6</f>
        <v>1.6528925619834712E-11</v>
      </c>
      <c r="I6" s="15">
        <f t="shared" si="7"/>
        <v>3.2965542746014312E-12</v>
      </c>
      <c r="J6" s="40">
        <f t="shared" si="0"/>
        <v>302.5</v>
      </c>
      <c r="K6" s="40">
        <f t="shared" si="1"/>
        <v>3.2362545583179352E-2</v>
      </c>
      <c r="L6" s="40">
        <f>IFERROR((s_C*s_EF_res*(1/365)*s_ED_res*up_RadSpec!R6*((s_ET_res_o*(1/24)*up_RadSpec!W6)+(s_ET_res_i*(1/24)*up_RadSpec!AB6))),".")</f>
        <v>0.42406094196234101</v>
      </c>
      <c r="M6" s="40">
        <f>up_b2s!AC6</f>
        <v>3033167.5</v>
      </c>
      <c r="N6" s="18"/>
      <c r="O6" s="18"/>
      <c r="P6" s="18"/>
      <c r="Q6" s="18"/>
      <c r="R6" s="18"/>
      <c r="S6" s="15">
        <f>IFERROR((s_TR/(up_RadSpec!G6*s_EF_res*(1/365)*s_ED_res*up_RadSpec!R6*((s_ET_res_o*(1/24)*up_RadSpec!W6)+(s_ET_res_i*(1/24)*up_RadSpec!AB6))))*1,".")</f>
        <v>2.3581516264443088E-5</v>
      </c>
      <c r="T6" s="15">
        <f>IFERROR((s_TR/(up_RadSpec!N6*s_EF_res*(1/365)*s_ED_res*up_RadSpec!S6*((s_ET_res_o*(1/24)*up_RadSpec!X6)+(s_ET_res_i*(1/24)*up_RadSpec!AC6))))*1,".")</f>
        <v>4.4022772802495831E-5</v>
      </c>
      <c r="U6" s="15">
        <f>IFERROR((s_TR/(up_RadSpec!O6*s_EF_res*(1/365)*s_ED_res*up_RadSpec!T6*((s_ET_res_o*(1/24)*up_RadSpec!Y6)+(s_ET_res_i*(1/24)*up_RadSpec!AD6))))*1,".")</f>
        <v>3.110920733247665E-5</v>
      </c>
      <c r="V6" s="15">
        <f>IFERROR((s_TR/(up_RadSpec!P6*s_EF_res*(1/365)*s_ED_res*up_RadSpec!U6*((s_ET_res_o*(1/24)*up_RadSpec!Z6)+(s_ET_res_i*(1/24)*up_RadSpec!AE6))))*1,".")</f>
        <v>2.572615039281705E-5</v>
      </c>
      <c r="W6" s="15">
        <f>IFERROR((s_TR/(up_RadSpec!L6*s_EF_res*(1/365)*s_ED_res*up_RadSpec!Q6*((s_ET_res_o*(1/24)*up_RadSpec!V6)+(s_ET_res_i*(1/24)*up_RadSpec!AA6))))*1,".")</f>
        <v>7.3947451725229544E-5</v>
      </c>
      <c r="X6" s="40">
        <f>IFERROR((s_C*s_EF_res*(1/365)*s_ED_res*up_RadSpec!R6*((s_ET_res_o*(1/24)*up_RadSpec!W6)+(s_ET_res_i*(1/24)*up_RadSpec!AB6))),".")</f>
        <v>0.42406094196234101</v>
      </c>
      <c r="Y6" s="40">
        <f>IFERROR((s_C*s_EF_res*(1/365)*s_ED_res*up_RadSpec!S6*((s_ET_res_o*(1/24)*up_RadSpec!X6)+(s_ET_res_i*(1/24)*up_RadSpec!AC6))),".")</f>
        <v>0.22715516000920916</v>
      </c>
      <c r="Z6" s="40">
        <f>IFERROR((s_C*s_EF_res*(1/365)*s_ED_res*up_RadSpec!T6*((s_ET_res_o*(1/24)*up_RadSpec!Y6)+(s_ET_res_i*(1/24)*up_RadSpec!AD6))),".")</f>
        <v>0.32144824177376063</v>
      </c>
      <c r="AA6" s="40">
        <f>IFERROR((s_C*s_EF_res*(1/365)*s_ED_res*up_RadSpec!U6*((s_ET_res_o*(1/24)*up_RadSpec!Z6)+(s_ET_res_i*(1/24)*up_RadSpec!AE6))),".")</f>
        <v>0.38870953668964331</v>
      </c>
      <c r="AB6" s="40">
        <f>IFERROR((s_C*s_EF_res*(1/365)*s_ED_res*up_RadSpec!Q6*((s_ET_res_o*(1/24)*up_RadSpec!V6)+(s_ET_res_i*(1/24)*up_RadSpec!AA6))),".")</f>
        <v>0.13523116438356159</v>
      </c>
      <c r="AC6" s="18"/>
      <c r="AD6" s="18"/>
      <c r="AE6" s="18"/>
      <c r="AF6" s="18"/>
      <c r="AG6" s="18"/>
      <c r="AH6" s="15">
        <f>IFERROR((s_TR/(up_RadSpec!H6*s_IFA_res_adj)),".")</f>
        <v>9.9740259740259755E-10</v>
      </c>
      <c r="AI6" s="15">
        <f>IFERROR((s_TR/(up_RadSpec!K6*s_EF_res*(1/365)*s_ED_res*s_ET_res*(1/24)*s_GSF_a)),".")</f>
        <v>6.3709090909090908E-6</v>
      </c>
      <c r="AJ6" s="15">
        <f t="shared" si="8"/>
        <v>9.9724647271019672E-10</v>
      </c>
      <c r="AK6" s="40">
        <f t="shared" si="2"/>
        <v>10026.041666666666</v>
      </c>
      <c r="AL6" s="40">
        <f t="shared" si="3"/>
        <v>1.5696347031963471</v>
      </c>
      <c r="AM6" s="18"/>
      <c r="AN6" s="18"/>
      <c r="AO6" s="18"/>
      <c r="AP6" s="15">
        <f>IFERROR((s_TR/(up_RadSpec!I6*s_IFW_res_adj)),".")</f>
        <v>3.6363636363636369E-10</v>
      </c>
      <c r="AQ6" s="15" t="str">
        <f>IFERROR(IF(AND(up_RadSpec!C6=1,up_RadSpec!D6&lt;&gt;0),(s_TR/(up_RadSpec!F6*s_IFA_res_adj*s_K*up_RadSpec!D6)),"."),".")</f>
        <v>.</v>
      </c>
      <c r="AR6" s="15">
        <f>IFERROR((s_TR/(up_RadSpec!M6*(1/8760)*s_DFA_res_adj)),".")</f>
        <v>3.9818181818181825E-6</v>
      </c>
      <c r="AS6" s="15">
        <f>up_b2w!C6</f>
        <v>1.6443412786038031E-11</v>
      </c>
      <c r="AT6" s="15">
        <f>(IF(AND(AP6&lt;&gt;".",AQ6&lt;&gt;".",AR6&lt;&gt;".",AS6&lt;&gt;"."),1/((1/AP6)+(1/AQ6)+(1/AR6)+(1/AS6)),IF(AND(AP6&lt;&gt;".",AQ6&lt;&gt;".",AR6&lt;&gt;".",AS6="."), 1/((1/AP6)+(1/AQ6)+(1/AR6)),IF(AND(AP6&lt;&gt;".",AQ6&lt;&gt;".",AR6=".",AS6&lt;&gt;"."),1/((1/AP6)+(1/AQ6)+(1/AS6)),IF(AND(AP6&lt;&gt;".",AQ6=".",AR6&lt;&gt;".",AS6&lt;&gt;"."),1/((1/AP6)+(1/AR6)+(1/AS6)),IF(AND(AP6=".",AQ6&lt;&gt;".",AR6&lt;&gt;".",AS6&lt;&gt;"."),1/((1/AQ6)+(1/AR6)+(1/AS6)),IF(AND(AP6&lt;&gt;".",AQ6&lt;&gt;".",AR6=".",AS6="."),1/((1/AP6)+(1/AQ6)),IF(AND(AP6&lt;&gt;".",AQ6=".",AR6&lt;&gt;".",AS6="."),1/((1/AP6)+(1/AR6)),IF(AND(AP6&lt;&gt;".",AQ6=".",AR6=".",AS6&lt;&gt;"."),1/((1/AP6)+(1/AS6)),IF(AND(AP6=".",AQ6=".",AR6&lt;&gt;".",AS6&lt;&gt;"."),1/((1/AR6)+(1/AS6)),IF(AND(AP6=".",AQ6&lt;&gt;".",AR6=".",AS6&lt;&gt;"."),1/((1/AQ6)+(1/AS6)),IF(AND(AP6=".",AQ6&lt;&gt;".",AR6&lt;&gt;".",AS6="."),1/((1/AQ6)+(1/AR6)),IF(AND(AP6&lt;&gt;".",AQ6=".",AR6=".",AS6="."),1/((1/AP6)),IF(AND(AP6=".",AQ6&lt;&gt;".",AR6=".",AS6="."),1/((1/AQ6)),IF(AND(AP6=".",AQ6=".",AR6&lt;&gt;".",AS6="."),1/((1/AR6)),IF(AND(AP6=".",AQ6=".",AR6=".",AS6&lt;&gt;"."),1/((1/AS6)),IF(AND(AP6=".",AQ6=".",AR6=".",AS6="."),".")))))))))))))))))</f>
        <v>1.5731958335636466E-11</v>
      </c>
      <c r="AU6" s="40">
        <f t="shared" si="4"/>
        <v>27500</v>
      </c>
      <c r="AV6" s="40">
        <f>IF(up_RadSpec!D6&lt;&gt;"",s_C*s_IFA_res_adj*s_K*up_RadSpec!D6,0)</f>
        <v>0</v>
      </c>
      <c r="AW6" s="40">
        <f t="shared" si="5"/>
        <v>2.5114155251141552</v>
      </c>
      <c r="AX6" s="40">
        <f>up_b2w!AC6</f>
        <v>608146.26076229871</v>
      </c>
      <c r="AY6" s="18"/>
      <c r="AZ6" s="18"/>
      <c r="BA6" s="18"/>
      <c r="BB6" s="18"/>
      <c r="BC6" s="18"/>
      <c r="BD6" s="15">
        <f>IFERROR(s_TR/(up_RadSpec!F6*s_EF_res*s_ED_res*s_IRF_res*0.001*s_CF_res_fish),".")</f>
        <v>6.6115702479338848E-11</v>
      </c>
      <c r="BE6" s="40">
        <f t="shared" si="6"/>
        <v>151250</v>
      </c>
      <c r="BF6" s="18"/>
    </row>
    <row r="7" spans="1:58" x14ac:dyDescent="0.25">
      <c r="A7" s="44" t="s">
        <v>17</v>
      </c>
      <c r="B7" s="42" t="s">
        <v>1071</v>
      </c>
      <c r="C7" s="249"/>
      <c r="D7" s="15">
        <f>IFERROR(((s_TR/(up_RadSpec!E7*s_IFS_res_adj*(1/1000)))*1),".")</f>
        <v>3.3057851239669421E-8</v>
      </c>
      <c r="E7" s="15">
        <f>IFERROR(IF(A7="H-3",(s_TR/((up_RadSpec!H7*s_IFA_res_adj*(1/17)*1000))*1),(s_TR/((up_RadSpec!H7*s_IFA_res_adj*(1/s_PEF_wind)*1000))*1)),".")</f>
        <v>3.0899917851942918E-4</v>
      </c>
      <c r="F7" s="15">
        <f>IFERROR((s_TR/(up_RadSpec!G7*s_EF_res*(1/365)*s_ED_res*up_RadSpec!R7*((s_ET_res_o*(1/24)*up_RadSpec!W7)+(s_ET_res_i*(1/24)*up_RadSpec!AB7))))*1,".")</f>
        <v>5.1024109710241087E-5</v>
      </c>
      <c r="G7" s="15">
        <f>up_b2s!C7</f>
        <v>3.2968835384132272E-12</v>
      </c>
      <c r="H7" s="15">
        <f>up_dir!C7</f>
        <v>1.6528925619834712E-11</v>
      </c>
      <c r="I7" s="15">
        <f t="shared" si="7"/>
        <v>3.2965545224568864E-12</v>
      </c>
      <c r="J7" s="40">
        <f t="shared" si="0"/>
        <v>302.5</v>
      </c>
      <c r="K7" s="40">
        <f t="shared" si="1"/>
        <v>3.2362545583179352E-2</v>
      </c>
      <c r="L7" s="40">
        <f>IFERROR((s_C*s_EF_res*(1/365)*s_ED_res*up_RadSpec!R7*((s_ET_res_o*(1/24)*up_RadSpec!W7)+(s_ET_res_i*(1/24)*up_RadSpec!AB7))),".")</f>
        <v>0.19598578116871862</v>
      </c>
      <c r="M7" s="40">
        <f>up_b2s!AC7</f>
        <v>3033167.5</v>
      </c>
      <c r="N7" s="18"/>
      <c r="O7" s="18"/>
      <c r="P7" s="18"/>
      <c r="Q7" s="18"/>
      <c r="R7" s="18"/>
      <c r="S7" s="15">
        <f>IFERROR((s_TR/(up_RadSpec!G7*s_EF_res*(1/365)*s_ED_res*up_RadSpec!R7*((s_ET_res_o*(1/24)*up_RadSpec!W7)+(s_ET_res_i*(1/24)*up_RadSpec!AB7))))*1,".")</f>
        <v>5.1024109710241087E-5</v>
      </c>
      <c r="T7" s="15">
        <f>IFERROR((s_TR/(up_RadSpec!N7*s_EF_res*(1/365)*s_ED_res*up_RadSpec!S7*((s_ET_res_o*(1/24)*up_RadSpec!X7)+(s_ET_res_i*(1/24)*up_RadSpec!AC7))))*1,".")</f>
        <v>8.1173075290722404E-5</v>
      </c>
      <c r="U7" s="15">
        <f>IFERROR((s_TR/(up_RadSpec!O7*s_EF_res*(1/365)*s_ED_res*up_RadSpec!T7*((s_ET_res_o*(1/24)*up_RadSpec!Y7)+(s_ET_res_i*(1/24)*up_RadSpec!AD7))))*1,".")</f>
        <v>5.9469696969696979E-5</v>
      </c>
      <c r="V7" s="15">
        <f>IFERROR((s_TR/(up_RadSpec!P7*s_EF_res*(1/365)*s_ED_res*up_RadSpec!U7*((s_ET_res_o*(1/24)*up_RadSpec!Z7)+(s_ET_res_i*(1/24)*up_RadSpec!AE7))))*1,".")</f>
        <v>5.4706310932241598E-5</v>
      </c>
      <c r="W7" s="15">
        <f>IFERROR((s_TR/(up_RadSpec!L7*s_EF_res*(1/365)*s_ED_res*up_RadSpec!Q7*((s_ET_res_o*(1/24)*up_RadSpec!V7)+(s_ET_res_i*(1/24)*up_RadSpec!AA7))))*1,".")</f>
        <v>1.3891242447392179E-4</v>
      </c>
      <c r="X7" s="40">
        <f>IFERROR((s_C*s_EF_res*(1/365)*s_ED_res*up_RadSpec!R7*((s_ET_res_o*(1/24)*up_RadSpec!W7)+(s_ET_res_i*(1/24)*up_RadSpec!AB7))),".")</f>
        <v>0.19598578116871862</v>
      </c>
      <c r="Y7" s="40">
        <f>IFERROR((s_C*s_EF_res*(1/365)*s_ED_res*up_RadSpec!S7*((s_ET_res_o*(1/24)*up_RadSpec!X7)+(s_ET_res_i*(1/24)*up_RadSpec!AC7))),".")</f>
        <v>0.12319355850674467</v>
      </c>
      <c r="Z7" s="40">
        <f>IFERROR((s_C*s_EF_res*(1/365)*s_ED_res*up_RadSpec!T7*((s_ET_res_o*(1/24)*up_RadSpec!Y7)+(s_ET_res_i*(1/24)*up_RadSpec!AD7))),".")</f>
        <v>0.16815286624203821</v>
      </c>
      <c r="AA7" s="40">
        <f>IFERROR((s_C*s_EF_res*(1/365)*s_ED_res*up_RadSpec!U7*((s_ET_res_o*(1/24)*up_RadSpec!Z7)+(s_ET_res_i*(1/24)*up_RadSpec!AE7))),".")</f>
        <v>0.1827942668696094</v>
      </c>
      <c r="AB7" s="40">
        <f>IFERROR((s_C*s_EF_res*(1/365)*s_ED_res*up_RadSpec!Q7*((s_ET_res_o*(1/24)*up_RadSpec!V7)+(s_ET_res_i*(1/24)*up_RadSpec!AA7))),".")</f>
        <v>7.1987801219878023E-2</v>
      </c>
      <c r="AC7" s="18"/>
      <c r="AD7" s="18"/>
      <c r="AE7" s="18"/>
      <c r="AF7" s="18"/>
      <c r="AG7" s="18"/>
      <c r="AH7" s="15">
        <f>IFERROR((s_TR/(up_RadSpec!H7*s_IFA_res_adj)),".")</f>
        <v>9.9740259740259755E-10</v>
      </c>
      <c r="AI7" s="15">
        <f>IFERROR((s_TR/(up_RadSpec!K7*s_EF_res*(1/365)*s_ED_res*s_ET_res*(1/24)*s_GSF_a)),".")</f>
        <v>6.3709090909090908E-6</v>
      </c>
      <c r="AJ7" s="15">
        <f t="shared" si="8"/>
        <v>9.9724647271019672E-10</v>
      </c>
      <c r="AK7" s="40">
        <f t="shared" si="2"/>
        <v>10026.041666666666</v>
      </c>
      <c r="AL7" s="40">
        <f t="shared" si="3"/>
        <v>1.5696347031963471</v>
      </c>
      <c r="AM7" s="18"/>
      <c r="AN7" s="18"/>
      <c r="AO7" s="18"/>
      <c r="AP7" s="15">
        <f>IFERROR((s_TR/(up_RadSpec!I7*s_IFW_res_adj)),".")</f>
        <v>3.6363636363636369E-10</v>
      </c>
      <c r="AQ7" s="15" t="str">
        <f>IFERROR(IF(AND(up_RadSpec!C7=1,up_RadSpec!D7&lt;&gt;0),(s_TR/(up_RadSpec!F7*s_IFA_res_adj*s_K*up_RadSpec!D7)),"."),".")</f>
        <v>.</v>
      </c>
      <c r="AR7" s="15">
        <f>IFERROR((s_TR/(up_RadSpec!M7*(1/8760)*s_DFA_res_adj)),".")</f>
        <v>3.9818181818181825E-6</v>
      </c>
      <c r="AS7" s="15">
        <f>up_b2w!C7</f>
        <v>1.6443412786038031E-11</v>
      </c>
      <c r="AT7" s="15">
        <f>(IF(AND(AP7&lt;&gt;".",AQ7&lt;&gt;".",AR7&lt;&gt;".",AS7&lt;&gt;"."),1/((1/AP7)+(1/AQ7)+(1/AR7)+(1/AS7)),IF(AND(AP7&lt;&gt;".",AQ7&lt;&gt;".",AR7&lt;&gt;".",AS7="."), 1/((1/AP7)+(1/AQ7)+(1/AR7)),IF(AND(AP7&lt;&gt;".",AQ7&lt;&gt;".",AR7=".",AS7&lt;&gt;"."),1/((1/AP7)+(1/AQ7)+(1/AS7)),IF(AND(AP7&lt;&gt;".",AQ7=".",AR7&lt;&gt;".",AS7&lt;&gt;"."),1/((1/AP7)+(1/AR7)+(1/AS7)),IF(AND(AP7=".",AQ7&lt;&gt;".",AR7&lt;&gt;".",AS7&lt;&gt;"."),1/((1/AQ7)+(1/AR7)+(1/AS7)),IF(AND(AP7&lt;&gt;".",AQ7&lt;&gt;".",AR7=".",AS7="."),1/((1/AP7)+(1/AQ7)),IF(AND(AP7&lt;&gt;".",AQ7=".",AR7&lt;&gt;".",AS7="."),1/((1/AP7)+(1/AR7)),IF(AND(AP7&lt;&gt;".",AQ7=".",AR7=".",AS7&lt;&gt;"."),1/((1/AP7)+(1/AS7)),IF(AND(AP7=".",AQ7=".",AR7&lt;&gt;".",AS7&lt;&gt;"."),1/((1/AR7)+(1/AS7)),IF(AND(AP7=".",AQ7&lt;&gt;".",AR7=".",AS7&lt;&gt;"."),1/((1/AQ7)+(1/AS7)),IF(AND(AP7=".",AQ7&lt;&gt;".",AR7&lt;&gt;".",AS7="."),1/((1/AQ7)+(1/AR7)),IF(AND(AP7&lt;&gt;".",AQ7=".",AR7=".",AS7="."),1/((1/AP7)),IF(AND(AP7=".",AQ7&lt;&gt;".",AR7=".",AS7="."),1/((1/AQ7)),IF(AND(AP7=".",AQ7=".",AR7&lt;&gt;".",AS7="."),1/((1/AR7)),IF(AND(AP7=".",AQ7=".",AR7=".",AS7&lt;&gt;"."),1/((1/AS7)),IF(AND(AP7=".",AQ7=".",AR7=".",AS7="."),".")))))))))))))))))</f>
        <v>1.5731958335636466E-11</v>
      </c>
      <c r="AU7" s="40">
        <f t="shared" si="4"/>
        <v>27500</v>
      </c>
      <c r="AV7" s="40">
        <f>IF(up_RadSpec!D7&lt;&gt;"",s_C*s_IFA_res_adj*s_K*up_RadSpec!D7,0)</f>
        <v>0</v>
      </c>
      <c r="AW7" s="40">
        <f t="shared" si="5"/>
        <v>2.5114155251141552</v>
      </c>
      <c r="AX7" s="40">
        <f>up_b2w!AC7</f>
        <v>608146.26076229871</v>
      </c>
      <c r="AY7" s="18"/>
      <c r="AZ7" s="18"/>
      <c r="BA7" s="18"/>
      <c r="BB7" s="18"/>
      <c r="BC7" s="18"/>
      <c r="BD7" s="15">
        <f>IFERROR(s_TR/(up_RadSpec!F7*s_EF_res*s_ED_res*s_IRF_res*0.001*s_CF_res_fish),".")</f>
        <v>6.6115702479338848E-11</v>
      </c>
      <c r="BE7" s="40">
        <f t="shared" si="6"/>
        <v>151250</v>
      </c>
      <c r="BF7" s="18"/>
    </row>
    <row r="8" spans="1:58" x14ac:dyDescent="0.25">
      <c r="A8" s="44" t="s">
        <v>18</v>
      </c>
      <c r="B8" s="42" t="s">
        <v>1071</v>
      </c>
      <c r="C8" s="42"/>
      <c r="D8" s="15">
        <f>IFERROR(((s_TR/(up_RadSpec!E8*s_IFS_res_adj*(1/1000)))*1),".")</f>
        <v>3.3057851239669421E-8</v>
      </c>
      <c r="E8" s="15">
        <f>IFERROR(IF(A8="H-3",(s_TR/((up_RadSpec!H8*s_IFA_res_adj*(1/17)*1000))*1),(s_TR/((up_RadSpec!H8*s_IFA_res_adj*(1/s_PEF_wind)*1000))*1)),".")</f>
        <v>3.0899917851942918E-4</v>
      </c>
      <c r="F8" s="15">
        <f>IFERROR((s_TR/(up_RadSpec!G8*s_EF_res*(1/365)*s_ED_res*up_RadSpec!R8*((s_ET_res_o*(1/24)*up_RadSpec!W8)+(s_ET_res_i*(1/24)*up_RadSpec!AB8))))*1,".")</f>
        <v>2.9331993972877968E-5</v>
      </c>
      <c r="G8" s="15">
        <f>up_b2s!C8</f>
        <v>3.2968835384132272E-12</v>
      </c>
      <c r="H8" s="15">
        <f>up_dir!C8</f>
        <v>1.6528925619834712E-11</v>
      </c>
      <c r="I8" s="15">
        <f t="shared" si="7"/>
        <v>3.2965543649478789E-12</v>
      </c>
      <c r="J8" s="40">
        <f t="shared" si="0"/>
        <v>302.5</v>
      </c>
      <c r="K8" s="40">
        <f t="shared" si="1"/>
        <v>3.2362545583179352E-2</v>
      </c>
      <c r="L8" s="40">
        <f>IFERROR((s_C*s_EF_res*(1/365)*s_ED_res*up_RadSpec!R8*((s_ET_res_o*(1/24)*up_RadSpec!W8)+(s_ET_res_i*(1/24)*up_RadSpec!AB8))),".")</f>
        <v>0.34092465753424639</v>
      </c>
      <c r="M8" s="40">
        <f>up_b2s!AC8</f>
        <v>3033167.5</v>
      </c>
      <c r="N8" s="18"/>
      <c r="O8" s="18"/>
      <c r="P8" s="18"/>
      <c r="Q8" s="18"/>
      <c r="R8" s="18"/>
      <c r="S8" s="15">
        <f>IFERROR((s_TR/(up_RadSpec!G8*s_EF_res*(1/365)*s_ED_res*up_RadSpec!R8*((s_ET_res_o*(1/24)*up_RadSpec!W8)+(s_ET_res_i*(1/24)*up_RadSpec!AB8))))*1,".")</f>
        <v>2.9331993972877968E-5</v>
      </c>
      <c r="T8" s="15">
        <f>IFERROR((s_TR/(up_RadSpec!N8*s_EF_res*(1/365)*s_ED_res*up_RadSpec!S8*((s_ET_res_o*(1/24)*up_RadSpec!X8)+(s_ET_res_i*(1/24)*up_RadSpec!AC8))))*1,".")</f>
        <v>5.3844735386317536E-5</v>
      </c>
      <c r="U8" s="15">
        <f>IFERROR((s_TR/(up_RadSpec!O8*s_EF_res*(1/365)*s_ED_res*up_RadSpec!T8*((s_ET_res_o*(1/24)*up_RadSpec!Y8)+(s_ET_res_i*(1/24)*up_RadSpec!AD8))))*1,".")</f>
        <v>3.9301645900630685E-5</v>
      </c>
      <c r="V8" s="15">
        <f>IFERROR((s_TR/(up_RadSpec!P8*s_EF_res*(1/365)*s_ED_res*up_RadSpec!U8*((s_ET_res_o*(1/24)*up_RadSpec!Z8)+(s_ET_res_i*(1/24)*up_RadSpec!AE8))))*1,".")</f>
        <v>3.6033405462714339E-5</v>
      </c>
      <c r="W8" s="15">
        <f>IFERROR((s_TR/(up_RadSpec!L8*s_EF_res*(1/365)*s_ED_res*up_RadSpec!Q8*((s_ET_res_o*(1/24)*up_RadSpec!V8)+(s_ET_res_i*(1/24)*up_RadSpec!AA8))))*1,".")</f>
        <v>9.9768151311775485E-5</v>
      </c>
      <c r="X8" s="40">
        <f>IFERROR((s_C*s_EF_res*(1/365)*s_ED_res*up_RadSpec!R8*((s_ET_res_o*(1/24)*up_RadSpec!W8)+(s_ET_res_i*(1/24)*up_RadSpec!AB8))),".")</f>
        <v>0.34092465753424639</v>
      </c>
      <c r="Y8" s="40">
        <f>IFERROR((s_C*s_EF_res*(1/365)*s_ED_res*up_RadSpec!S8*((s_ET_res_o*(1/24)*up_RadSpec!X8)+(s_ET_res_i*(1/24)*up_RadSpec!AC8))),".")</f>
        <v>0.18571917808219179</v>
      </c>
      <c r="Z8" s="40">
        <f>IFERROR((s_C*s_EF_res*(1/365)*s_ED_res*up_RadSpec!T8*((s_ET_res_o*(1/24)*up_RadSpec!Y8)+(s_ET_res_i*(1/24)*up_RadSpec!AD8))),".")</f>
        <v>0.25444227005870834</v>
      </c>
      <c r="AA8" s="40">
        <f>IFERROR((s_C*s_EF_res*(1/365)*s_ED_res*up_RadSpec!U8*((s_ET_res_o*(1/24)*up_RadSpec!Z8)+(s_ET_res_i*(1/24)*up_RadSpec!AE8))),".")</f>
        <v>0.27752025853752643</v>
      </c>
      <c r="AB8" s="40">
        <f>IFERROR((s_C*s_EF_res*(1/365)*s_ED_res*up_RadSpec!Q8*((s_ET_res_o*(1/24)*up_RadSpec!V8)+(s_ET_res_i*(1/24)*up_RadSpec!AA8))),".")</f>
        <v>0.10023238747553816</v>
      </c>
      <c r="AC8" s="18"/>
      <c r="AD8" s="18"/>
      <c r="AE8" s="18"/>
      <c r="AF8" s="18"/>
      <c r="AG8" s="18"/>
      <c r="AH8" s="15">
        <f>IFERROR((s_TR/(up_RadSpec!H8*s_IFA_res_adj)),".")</f>
        <v>9.9740259740259755E-10</v>
      </c>
      <c r="AI8" s="15">
        <f>IFERROR((s_TR/(up_RadSpec!K8*s_EF_res*(1/365)*s_ED_res*s_ET_res*(1/24)*s_GSF_a)),".")</f>
        <v>6.3709090909090908E-6</v>
      </c>
      <c r="AJ8" s="15">
        <f t="shared" si="8"/>
        <v>9.9724647271019672E-10</v>
      </c>
      <c r="AK8" s="40">
        <f t="shared" si="2"/>
        <v>10026.041666666666</v>
      </c>
      <c r="AL8" s="40">
        <f t="shared" si="3"/>
        <v>1.5696347031963471</v>
      </c>
      <c r="AM8" s="18"/>
      <c r="AN8" s="18"/>
      <c r="AO8" s="18"/>
      <c r="AP8" s="15">
        <f>IFERROR((s_TR/(up_RadSpec!I8*s_IFW_res_adj)),".")</f>
        <v>3.6363636363636369E-10</v>
      </c>
      <c r="AQ8" s="15" t="str">
        <f>IFERROR(IF(AND(up_RadSpec!C8=1,up_RadSpec!D8&lt;&gt;0),(s_TR/(up_RadSpec!F8*s_IFA_res_adj*s_K*up_RadSpec!D8)),"."),".")</f>
        <v>.</v>
      </c>
      <c r="AR8" s="15">
        <f>IFERROR((s_TR/(up_RadSpec!M8*(1/8760)*s_DFA_res_adj)),".")</f>
        <v>3.9818181818181825E-6</v>
      </c>
      <c r="AS8" s="15">
        <f>up_b2w!C8</f>
        <v>1.6443412786038031E-11</v>
      </c>
      <c r="AT8" s="15">
        <f t="shared" ref="AT8:AT9" si="10">(IF(AND(AP8&lt;&gt;".",AQ8&lt;&gt;".",AR8&lt;&gt;".",AS8&lt;&gt;"."),1/((1/AP8)+(1/AQ8)+(1/AR8)+(1/AS8)),IF(AND(AP8&lt;&gt;".",AQ8&lt;&gt;".",AR8&lt;&gt;".",AS8="."), 1/((1/AP8)+(1/AQ8)+(1/AR8)),IF(AND(AP8&lt;&gt;".",AQ8&lt;&gt;".",AR8=".",AS8&lt;&gt;"."),1/((1/AP8)+(1/AQ8)+(1/AS8)),IF(AND(AP8&lt;&gt;".",AQ8=".",AR8&lt;&gt;".",AS8&lt;&gt;"."),1/((1/AP8)+(1/AR8)+(1/AS8)),IF(AND(AP8=".",AQ8&lt;&gt;".",AR8&lt;&gt;".",AS8&lt;&gt;"."),1/((1/AQ8)+(1/AR8)+(1/AS8)),IF(AND(AP8&lt;&gt;".",AQ8&lt;&gt;".",AR8=".",AS8="."),1/((1/AP8)+(1/AQ8)),IF(AND(AP8&lt;&gt;".",AQ8=".",AR8&lt;&gt;".",AS8="."),1/((1/AP8)+(1/AR8)),IF(AND(AP8&lt;&gt;".",AQ8=".",AR8=".",AS8&lt;&gt;"."),1/((1/AP8)+(1/AS8)),IF(AND(AP8=".",AQ8=".",AR8&lt;&gt;".",AS8&lt;&gt;"."),1/((1/AR8)+(1/AS8)),IF(AND(AP8=".",AQ8&lt;&gt;".",AR8=".",AS8&lt;&gt;"."),1/((1/AQ8)+(1/AS8)),IF(AND(AP8=".",AQ8&lt;&gt;".",AR8&lt;&gt;".",AS8="."),1/((1/AQ8)+(1/AR8)),IF(AND(AP8&lt;&gt;".",AQ8=".",AR8=".",AS8="."),1/((1/AP8)),IF(AND(AP8=".",AQ8&lt;&gt;".",AR8=".",AS8="."),1/((1/AQ8)),IF(AND(AP8=".",AQ8=".",AR8&lt;&gt;".",AS8="."),1/((1/AR8)),IF(AND(AP8=".",AQ8=".",AR8=".",AS8&lt;&gt;"."),1/((1/AS8)),IF(AND(AP8=".",AQ8=".",AR8=".",AS8="."),".")))))))))))))))))</f>
        <v>1.5731958335636466E-11</v>
      </c>
      <c r="AU8" s="40">
        <f t="shared" si="4"/>
        <v>27500</v>
      </c>
      <c r="AV8" s="40">
        <f>IF(up_RadSpec!D8&lt;&gt;"",s_C*s_IFA_res_adj*s_K*up_RadSpec!D8,0)</f>
        <v>0</v>
      </c>
      <c r="AW8" s="40">
        <f t="shared" si="5"/>
        <v>2.5114155251141552</v>
      </c>
      <c r="AX8" s="40">
        <f>up_b2w!AC8</f>
        <v>608146.26076229871</v>
      </c>
      <c r="AY8" s="18"/>
      <c r="AZ8" s="18"/>
      <c r="BA8" s="18"/>
      <c r="BB8" s="18"/>
      <c r="BC8" s="18"/>
      <c r="BD8" s="15">
        <f>IFERROR(s_TR/(up_RadSpec!F8*s_EF_res*s_ED_res*s_IRF_res*0.001*s_CF_res_fish),".")</f>
        <v>6.6115702479338848E-11</v>
      </c>
      <c r="BE8" s="40">
        <f t="shared" si="6"/>
        <v>151250</v>
      </c>
      <c r="BF8" s="18"/>
    </row>
    <row r="9" spans="1:58" x14ac:dyDescent="0.25">
      <c r="A9" s="44" t="s">
        <v>19</v>
      </c>
      <c r="B9" s="42" t="s">
        <v>1071</v>
      </c>
      <c r="C9" s="249"/>
      <c r="D9" s="15">
        <f>IFERROR(((s_TR/(up_RadSpec!E9*s_IFS_res_adj*(1/1000)))*1),".")</f>
        <v>3.3057851239669421E-8</v>
      </c>
      <c r="E9" s="15">
        <f>IFERROR(IF(A9="H-3",(s_TR/((up_RadSpec!H9*s_IFA_res_adj*(1/17)*1000))*1),(s_TR/((up_RadSpec!H9*s_IFA_res_adj*(1/s_PEF_wind)*1000))*1)),".")</f>
        <v>3.0899917851942918E-4</v>
      </c>
      <c r="F9" s="15">
        <f>IFERROR((s_TR/(up_RadSpec!G9*s_EF_res*(1/365)*s_ED_res*up_RadSpec!R9*((s_ET_res_o*(1/24)*up_RadSpec!W9)+(s_ET_res_i*(1/24)*up_RadSpec!AB9))))*1,".")</f>
        <v>1.4445656280518663E-5</v>
      </c>
      <c r="G9" s="15">
        <f>up_b2s!C9</f>
        <v>3.2968835384132272E-12</v>
      </c>
      <c r="H9" s="15">
        <f>up_dir!C9</f>
        <v>1.6528925619834712E-11</v>
      </c>
      <c r="I9" s="15">
        <f t="shared" si="7"/>
        <v>3.2965539831535823E-12</v>
      </c>
      <c r="J9" s="40">
        <f t="shared" si="0"/>
        <v>302.5</v>
      </c>
      <c r="K9" s="40">
        <f t="shared" si="1"/>
        <v>3.2362545583179352E-2</v>
      </c>
      <c r="L9" s="40">
        <f>IFERROR((s_C*s_EF_res*(1/365)*s_ED_res*up_RadSpec!R9*((s_ET_res_o*(1/24)*up_RadSpec!W9)+(s_ET_res_i*(1/24)*up_RadSpec!AB9))),".")</f>
        <v>0.69224961509612748</v>
      </c>
      <c r="M9" s="40">
        <f>up_b2s!AC9</f>
        <v>3033167.5</v>
      </c>
      <c r="N9" s="18"/>
      <c r="O9" s="18"/>
      <c r="P9" s="18"/>
      <c r="Q9" s="18"/>
      <c r="R9" s="18"/>
      <c r="S9" s="15">
        <f>IFERROR((s_TR/(up_RadSpec!G9*s_EF_res*(1/365)*s_ED_res*up_RadSpec!R9*((s_ET_res_o*(1/24)*up_RadSpec!W9)+(s_ET_res_i*(1/24)*up_RadSpec!AB9))))*1,".")</f>
        <v>1.4445656280518663E-5</v>
      </c>
      <c r="T9" s="15">
        <f>IFERROR((s_TR/(up_RadSpec!N9*s_EF_res*(1/365)*s_ED_res*up_RadSpec!S9*((s_ET_res_o*(1/24)*up_RadSpec!X9)+(s_ET_res_i*(1/24)*up_RadSpec!AC9))))*1,".")</f>
        <v>2.9587121212121229E-5</v>
      </c>
      <c r="U9" s="15">
        <f>IFERROR((s_TR/(up_RadSpec!O9*s_EF_res*(1/365)*s_ED_res*up_RadSpec!T9*((s_ET_res_o*(1/24)*up_RadSpec!Y9)+(s_ET_res_i*(1/24)*up_RadSpec!AD9))))*1,".")</f>
        <v>2.0818077457555452E-5</v>
      </c>
      <c r="V9" s="15">
        <f>IFERROR((s_TR/(up_RadSpec!P9*s_EF_res*(1/365)*s_ED_res*up_RadSpec!U9*((s_ET_res_o*(1/24)*up_RadSpec!Z9)+(s_ET_res_i*(1/24)*up_RadSpec!AE9))))*1,".")</f>
        <v>1.7160697887970617E-5</v>
      </c>
      <c r="W9" s="15">
        <f>IFERROR((s_TR/(up_RadSpec!L9*s_EF_res*(1/365)*s_ED_res*up_RadSpec!Q9*((s_ET_res_o*(1/24)*up_RadSpec!V9)+(s_ET_res_i*(1/24)*up_RadSpec!AA9))))*1,".")</f>
        <v>5.2407060857765104E-5</v>
      </c>
      <c r="X9" s="40">
        <f>IFERROR((s_C*s_EF_res*(1/365)*s_ED_res*up_RadSpec!R9*((s_ET_res_o*(1/24)*up_RadSpec!W9)+(s_ET_res_i*(1/24)*up_RadSpec!AB9))),".")</f>
        <v>0.69224961509612748</v>
      </c>
      <c r="Y9" s="40">
        <f>IFERROR((s_C*s_EF_res*(1/365)*s_ED_res*up_RadSpec!S9*((s_ET_res_o*(1/24)*up_RadSpec!X9)+(s_ET_res_i*(1/24)*up_RadSpec!AC9))),".")</f>
        <v>0.33798489309947494</v>
      </c>
      <c r="Z9" s="40">
        <f>IFERROR((s_C*s_EF_res*(1/365)*s_ED_res*up_RadSpec!T9*((s_ET_res_o*(1/24)*up_RadSpec!Y9)+(s_ET_res_i*(1/24)*up_RadSpec!AD9))),".")</f>
        <v>0.48035175296029681</v>
      </c>
      <c r="AA9" s="40">
        <f>IFERROR((s_C*s_EF_res*(1/365)*s_ED_res*up_RadSpec!U9*((s_ET_res_o*(1/24)*up_RadSpec!Z9)+(s_ET_res_i*(1/24)*up_RadSpec!AE9))),".")</f>
        <v>0.58272688356164382</v>
      </c>
      <c r="AB9" s="40">
        <f>IFERROR((s_C*s_EF_res*(1/365)*s_ED_res*up_RadSpec!Q9*((s_ET_res_o*(1/24)*up_RadSpec!V9)+(s_ET_res_i*(1/24)*up_RadSpec!AA9))),".")</f>
        <v>0.19081398262612756</v>
      </c>
      <c r="AC9" s="18"/>
      <c r="AD9" s="18"/>
      <c r="AE9" s="18"/>
      <c r="AF9" s="18"/>
      <c r="AG9" s="18"/>
      <c r="AH9" s="15">
        <f>IFERROR((s_TR/(up_RadSpec!H9*s_IFA_res_adj)),".")</f>
        <v>9.9740259740259755E-10</v>
      </c>
      <c r="AI9" s="15">
        <f>IFERROR((s_TR/(up_RadSpec!K9*s_EF_res*(1/365)*s_ED_res*s_ET_res*(1/24)*s_GSF_a)),".")</f>
        <v>6.3709090909090908E-6</v>
      </c>
      <c r="AJ9" s="15">
        <f t="shared" si="8"/>
        <v>9.9724647271019672E-10</v>
      </c>
      <c r="AK9" s="40">
        <f t="shared" si="2"/>
        <v>10026.041666666666</v>
      </c>
      <c r="AL9" s="40">
        <f t="shared" si="3"/>
        <v>1.5696347031963471</v>
      </c>
      <c r="AM9" s="18"/>
      <c r="AN9" s="18"/>
      <c r="AO9" s="18"/>
      <c r="AP9" s="15">
        <f>IFERROR((s_TR/(up_RadSpec!I9*s_IFW_res_adj)),".")</f>
        <v>3.6363636363636369E-10</v>
      </c>
      <c r="AQ9" s="15">
        <f>IFERROR(IF(AND(up_RadSpec!C9=1,up_RadSpec!D9&lt;&gt;0),(s_TR/(up_RadSpec!F9*s_IFA_res_adj*s_K*up_RadSpec!D9)),"."),".")</f>
        <v>3.9187352811929723E-8</v>
      </c>
      <c r="AR9" s="15">
        <f>IFERROR((s_TR/(up_RadSpec!M9*(1/8760)*s_DFA_res_adj)),".")</f>
        <v>3.9818181818181825E-6</v>
      </c>
      <c r="AS9" s="15">
        <f>up_b2w!C9</f>
        <v>1.6443412786038031E-11</v>
      </c>
      <c r="AT9" s="15">
        <f t="shared" si="10"/>
        <v>1.5725645196899436E-11</v>
      </c>
      <c r="AU9" s="40">
        <f t="shared" si="4"/>
        <v>27500</v>
      </c>
      <c r="AV9" s="40">
        <f>IF(up_RadSpec!D9&lt;&gt;"",s_C*s_IFA_res_adj*s_K*up_RadSpec!D9,0)</f>
        <v>255.18437154947915</v>
      </c>
      <c r="AW9" s="40">
        <f t="shared" si="5"/>
        <v>2.5114155251141552</v>
      </c>
      <c r="AX9" s="40">
        <f>up_b2w!AC9</f>
        <v>608146.26076229871</v>
      </c>
      <c r="AY9" s="18"/>
      <c r="AZ9" s="18"/>
      <c r="BA9" s="18"/>
      <c r="BB9" s="18"/>
      <c r="BC9" s="18"/>
      <c r="BD9" s="15">
        <f>IFERROR(s_TR/(up_RadSpec!F9*s_EF_res*s_ED_res*s_IRF_res*0.001*s_CF_res_fish),".")</f>
        <v>6.6115702479338848E-11</v>
      </c>
      <c r="BE9" s="40">
        <f t="shared" si="6"/>
        <v>151250</v>
      </c>
      <c r="BF9" s="18"/>
    </row>
    <row r="10" spans="1:58" x14ac:dyDescent="0.25">
      <c r="A10" s="46" t="s">
        <v>20</v>
      </c>
      <c r="B10" s="42" t="s">
        <v>349</v>
      </c>
      <c r="C10" s="42"/>
      <c r="D10" s="15">
        <f>IFERROR(((s_TR/(up_RadSpec!E10*s_IFS_res_adj*(1/1000)))*1),".")</f>
        <v>3.3057851239669421E-8</v>
      </c>
      <c r="E10" s="15">
        <f>IFERROR(IF(A10="H-3",(s_TR/((up_RadSpec!H10*s_IFA_res_adj*(1/17)*1000))*1),(s_TR/((up_RadSpec!H10*s_IFA_res_adj*(1/s_PEF_wind)*1000))*1)),".")</f>
        <v>3.0899917851942918E-4</v>
      </c>
      <c r="F10" s="15">
        <f>IFERROR((s_TR/(up_RadSpec!G10*s_EF_res*(1/365)*s_ED_res*up_RadSpec!R10*((s_ET_res_o*(1/24)*up_RadSpec!W10)+(s_ET_res_i*(1/24)*up_RadSpec!AB10))))*1,".")</f>
        <v>2.7640981240981246E-5</v>
      </c>
      <c r="G10" s="15">
        <f>up_b2s!C10</f>
        <v>3.2968835384132272E-12</v>
      </c>
      <c r="H10" s="15">
        <f>up_dir!C10</f>
        <v>1.6528925619834712E-11</v>
      </c>
      <c r="I10" s="15">
        <f t="shared" si="7"/>
        <v>3.2965543422820133E-12</v>
      </c>
      <c r="J10" s="40">
        <f t="shared" si="0"/>
        <v>302.5</v>
      </c>
      <c r="K10" s="40">
        <f t="shared" si="1"/>
        <v>3.2362545583179352E-2</v>
      </c>
      <c r="L10" s="40">
        <f>IFERROR((s_C*s_EF_res*(1/365)*s_ED_res*up_RadSpec!R10*((s_ET_res_o*(1/24)*up_RadSpec!W10)+(s_ET_res_i*(1/24)*up_RadSpec!AB10))),".")</f>
        <v>0.36178165720013361</v>
      </c>
      <c r="M10" s="40">
        <f>up_b2s!AC10</f>
        <v>3033167.5</v>
      </c>
      <c r="N10" s="18"/>
      <c r="O10" s="18"/>
      <c r="P10" s="18"/>
      <c r="Q10" s="18"/>
      <c r="R10" s="18"/>
      <c r="S10" s="15">
        <f>IFERROR((s_TR/(up_RadSpec!G10*s_EF_res*(1/365)*s_ED_res*up_RadSpec!R10*((s_ET_res_o*(1/24)*up_RadSpec!W10)+(s_ET_res_i*(1/24)*up_RadSpec!AB10))))*1,".")</f>
        <v>2.7640981240981246E-5</v>
      </c>
      <c r="T10" s="15">
        <f>IFERROR((s_TR/(up_RadSpec!N10*s_EF_res*(1/365)*s_ED_res*up_RadSpec!S10*((s_ET_res_o*(1/24)*up_RadSpec!X10)+(s_ET_res_i*(1/24)*up_RadSpec!AC10))))*1,".")</f>
        <v>4.3071989738656396E-5</v>
      </c>
      <c r="U10" s="15">
        <f>IFERROR((s_TR/(up_RadSpec!O10*s_EF_res*(1/365)*s_ED_res*up_RadSpec!T10*((s_ET_res_o*(1/24)*up_RadSpec!Y10)+(s_ET_res_i*(1/24)*up_RadSpec!AD10))))*1,".")</f>
        <v>3.0759036342644417E-5</v>
      </c>
      <c r="V10" s="15">
        <f>IFERROR((s_TR/(up_RadSpec!P10*s_EF_res*(1/365)*s_ED_res*up_RadSpec!U10*((s_ET_res_o*(1/24)*up_RadSpec!Z10)+(s_ET_res_i*(1/24)*up_RadSpec!AE10))))*1,".")</f>
        <v>2.813273295201006E-5</v>
      </c>
      <c r="W10" s="15">
        <f>IFERROR((s_TR/(up_RadSpec!L10*s_EF_res*(1/365)*s_ED_res*up_RadSpec!Q10*((s_ET_res_o*(1/24)*up_RadSpec!V10)+(s_ET_res_i*(1/24)*up_RadSpec!AA10))))*1,".")</f>
        <v>7.2407613070789352E-5</v>
      </c>
      <c r="X10" s="40">
        <f>IFERROR((s_C*s_EF_res*(1/365)*s_ED_res*up_RadSpec!R10*((s_ET_res_o*(1/24)*up_RadSpec!W10)+(s_ET_res_i*(1/24)*up_RadSpec!AB10))),".")</f>
        <v>0.36178165720013361</v>
      </c>
      <c r="Y10" s="40">
        <f>IFERROR((s_C*s_EF_res*(1/365)*s_ED_res*up_RadSpec!S10*((s_ET_res_o*(1/24)*up_RadSpec!X10)+(s_ET_res_i*(1/24)*up_RadSpec!AC10))),".")</f>
        <v>0.23216944609886844</v>
      </c>
      <c r="Z10" s="40">
        <f>IFERROR((s_C*s_EF_res*(1/365)*s_ED_res*up_RadSpec!T10*((s_ET_res_o*(1/24)*up_RadSpec!Y10)+(s_ET_res_i*(1/24)*up_RadSpec!AD10))),".")</f>
        <v>0.32510771431860408</v>
      </c>
      <c r="AA10" s="40">
        <f>IFERROR((s_C*s_EF_res*(1/365)*s_ED_res*up_RadSpec!U10*((s_ET_res_o*(1/24)*up_RadSpec!Z10)+(s_ET_res_i*(1/24)*up_RadSpec!AE10))),".")</f>
        <v>0.35545782263878878</v>
      </c>
      <c r="AB10" s="40">
        <f>IFERROR((s_C*s_EF_res*(1/365)*s_ED_res*up_RadSpec!Q10*((s_ET_res_o*(1/24)*up_RadSpec!V10)+(s_ET_res_i*(1/24)*up_RadSpec!AA10))),".")</f>
        <v>0.13810702460559629</v>
      </c>
      <c r="AC10" s="18"/>
      <c r="AD10" s="18"/>
      <c r="AE10" s="18"/>
      <c r="AF10" s="18"/>
      <c r="AG10" s="18"/>
      <c r="AH10" s="15">
        <f>IFERROR((s_TR/(up_RadSpec!H10*s_IFA_res_adj)),".")</f>
        <v>9.9740259740259755E-10</v>
      </c>
      <c r="AI10" s="15">
        <f>IFERROR((s_TR/(up_RadSpec!K10*s_EF_res*(1/365)*s_ED_res*s_ET_res*(1/24)*s_GSF_a)),".")</f>
        <v>6.3709090909090908E-6</v>
      </c>
      <c r="AJ10" s="15">
        <f t="shared" si="8"/>
        <v>9.9724647271019672E-10</v>
      </c>
      <c r="AK10" s="40">
        <f t="shared" si="2"/>
        <v>10026.041666666666</v>
      </c>
      <c r="AL10" s="40">
        <f t="shared" si="3"/>
        <v>1.5696347031963471</v>
      </c>
      <c r="AM10" s="18"/>
      <c r="AN10" s="18"/>
      <c r="AO10" s="18"/>
      <c r="AP10" s="15">
        <f>IFERROR((s_TR/(up_RadSpec!I10*s_IFW_res_adj)),".")</f>
        <v>3.6363636363636369E-10</v>
      </c>
      <c r="AQ10" s="15" t="str">
        <f>IFERROR(IF(AND(up_RadSpec!C10=1,up_RadSpec!D10&lt;&gt;0),(s_TR/(up_RadSpec!F10*s_IFA_res_adj*s_K*up_RadSpec!D10)),"."),".")</f>
        <v>.</v>
      </c>
      <c r="AR10" s="15">
        <f>IFERROR((s_TR/(up_RadSpec!M10*(1/8760)*s_DFA_res_adj)),".")</f>
        <v>3.9818181818181825E-6</v>
      </c>
      <c r="AS10" s="15">
        <f>up_b2w!C10</f>
        <v>1.6443412786038031E-11</v>
      </c>
      <c r="AT10" s="15">
        <f>(IF(AND(AP10&lt;&gt;".",AQ10&lt;&gt;".",AR10&lt;&gt;".",AS10&lt;&gt;"."),1/((1/AP10)+(1/AQ10)+(1/AR10)+(1/AS10)),IF(AND(AP10&lt;&gt;".",AQ10&lt;&gt;".",AR10&lt;&gt;".",AS10="."), 1/((1/AP10)+(1/AQ10)+(1/AR10)),IF(AND(AP10&lt;&gt;".",AQ10&lt;&gt;".",AR10=".",AS10&lt;&gt;"."),1/((1/AP10)+(1/AQ10)+(1/AS10)),IF(AND(AP10&lt;&gt;".",AQ10=".",AR10&lt;&gt;".",AS10&lt;&gt;"."),1/((1/AP10)+(1/AR10)+(1/AS10)),IF(AND(AP10=".",AQ10&lt;&gt;".",AR10&lt;&gt;".",AS10&lt;&gt;"."),1/((1/AQ10)+(1/AR10)+(1/AS10)),IF(AND(AP10&lt;&gt;".",AQ10&lt;&gt;".",AR10=".",AS10="."),1/((1/AP10)+(1/AQ10)),IF(AND(AP10&lt;&gt;".",AQ10=".",AR10&lt;&gt;".",AS10="."),1/((1/AP10)+(1/AR10)),IF(AND(AP10&lt;&gt;".",AQ10=".",AR10=".",AS10&lt;&gt;"."),1/((1/AP10)+(1/AS10)),IF(AND(AP10=".",AQ10=".",AR10&lt;&gt;".",AS10&lt;&gt;"."),1/((1/AR10)+(1/AS10)),IF(AND(AP10=".",AQ10&lt;&gt;".",AR10=".",AS10&lt;&gt;"."),1/((1/AQ10)+(1/AS10)),IF(AND(AP10=".",AQ10&lt;&gt;".",AR10&lt;&gt;".",AS10="."),1/((1/AQ10)+(1/AR10)),IF(AND(AP10&lt;&gt;".",AQ10=".",AR10=".",AS10="."),1/((1/AP10)),IF(AND(AP10=".",AQ10&lt;&gt;".",AR10=".",AS10="."),1/((1/AQ10)),IF(AND(AP10=".",AQ10=".",AR10&lt;&gt;".",AS10="."),1/((1/AR10)),IF(AND(AP10=".",AQ10=".",AR10=".",AS10&lt;&gt;"."),1/((1/AS10)),IF(AND(AP10=".",AQ10=".",AR10=".",AS10="."),".")))))))))))))))))</f>
        <v>1.5731958335636466E-11</v>
      </c>
      <c r="AU10" s="40">
        <f t="shared" si="4"/>
        <v>27500</v>
      </c>
      <c r="AV10" s="40">
        <f>IF(up_RadSpec!D10&lt;&gt;"",s_C*s_IFA_res_adj*s_K*up_RadSpec!D10,0)</f>
        <v>0</v>
      </c>
      <c r="AW10" s="40">
        <f t="shared" si="5"/>
        <v>2.5114155251141552</v>
      </c>
      <c r="AX10" s="40">
        <f>up_b2w!AC10</f>
        <v>608146.26076229871</v>
      </c>
      <c r="AY10" s="18"/>
      <c r="AZ10" s="18"/>
      <c r="BA10" s="18"/>
      <c r="BB10" s="18"/>
      <c r="BC10" s="18"/>
      <c r="BD10" s="15">
        <f>IFERROR(s_TR/(up_RadSpec!F10*s_EF_res*s_ED_res*s_IRF_res*0.001*s_CF_res_fish),".")</f>
        <v>6.6115702479338848E-11</v>
      </c>
      <c r="BE10" s="40">
        <f t="shared" si="6"/>
        <v>151250</v>
      </c>
      <c r="BF10" s="18"/>
    </row>
    <row r="11" spans="1:58" x14ac:dyDescent="0.25">
      <c r="A11" s="44" t="s">
        <v>21</v>
      </c>
      <c r="B11" s="42" t="s">
        <v>1071</v>
      </c>
      <c r="C11" s="42"/>
      <c r="D11" s="15">
        <f>IFERROR(((s_TR/(up_RadSpec!E11*s_IFS_res_adj*(1/1000)))*1),".")</f>
        <v>3.3057851239669421E-8</v>
      </c>
      <c r="E11" s="15">
        <f>IFERROR(IF(A11="H-3",(s_TR/((up_RadSpec!H11*s_IFA_res_adj*(1/17)*1000))*1),(s_TR/((up_RadSpec!H11*s_IFA_res_adj*(1/s_PEF_wind)*1000))*1)),".")</f>
        <v>3.0899917851942918E-4</v>
      </c>
      <c r="F11" s="15">
        <f>IFERROR((s_TR/(up_RadSpec!G11*s_EF_res*(1/365)*s_ED_res*up_RadSpec!R11*((s_ET_res_o*(1/24)*up_RadSpec!W11)+(s_ET_res_i*(1/24)*up_RadSpec!AB11))))*1,".")</f>
        <v>8.2650682650682662E-5</v>
      </c>
      <c r="G11" s="15">
        <f>up_b2s!C11</f>
        <v>3.2968835384132272E-12</v>
      </c>
      <c r="H11" s="15">
        <f>up_dir!C11</f>
        <v>1.6528925619834712E-11</v>
      </c>
      <c r="I11" s="15">
        <f>(IF(AND(D11&lt;&gt;".",E11&lt;&gt;".",F11&lt;&gt;".",G11&lt;&gt;"."),1/((1/D11)+(1/E11)+(1/F11)+(1/G11)),IF(AND(D11&lt;&gt;".",E11&lt;&gt;".",F11&lt;&gt;".",G11="."), 1/((1/D11)+(1/E11)+(1/F11)),IF(AND(D11&lt;&gt;".",E11&lt;&gt;".",F11=".",G11&lt;&gt;"."),1/((1/D11)+(1/E11)+(1/G11)),IF(AND(D11&lt;&gt;".",E11=".",F11&lt;&gt;".",G11&lt;&gt;"."),1/((1/D11)+(1/F11)+(1/G11)),IF(AND(D11=".",E11&lt;&gt;".",F11&lt;&gt;".",G11&lt;&gt;"."),1/((1/E11)+(1/F11)+(1/G11)),IF(AND(D11&lt;&gt;".",E11&lt;&gt;".",F11=".",G11="."),1/((1/D11)+(1/E11)),IF(AND(D11&lt;&gt;".",E11=".",F11&lt;&gt;".",G11="."),1/((1/D11)+(1/F11)),IF(AND(D11&lt;&gt;".",E11=".",F11=".",G11&lt;&gt;"."),1/((1/D11)+(1/G11)),IF(AND(D11=".",E11=".",F11&lt;&gt;".",G11&lt;&gt;"."),1/((1/F11)+(1/G11)),IF(AND(D11=".",E11&lt;&gt;".",F11=".",G11&lt;&gt;"."),1/((1/E11)+(1/G11)),IF(AND(D11=".",E11&lt;&gt;".",F11&lt;&gt;".",G11="."),1/((1/E11)+(1/F11)),IF(AND(D11&lt;&gt;".",E11=".",F11=".",G11="."),1/((1/D11)),IF(AND(D11=".",E11&lt;&gt;".",F11=".",G11="."),1/((1/E11)),IF(AND(D11=".",E11=".",F11&lt;&gt;".",G11="."),1/((1/F11)),IF(AND(D11=".",E11=".",F11=".",G11&lt;&gt;"."),1/((1/G11)),IF(AND(D11=".",E11=".",F11=".",G11="."),".")))))))))))))))))</f>
        <v>3.2965546039556075E-12</v>
      </c>
      <c r="J11" s="40">
        <f t="shared" si="0"/>
        <v>302.5</v>
      </c>
      <c r="K11" s="40">
        <f t="shared" si="1"/>
        <v>3.2362545583179352E-2</v>
      </c>
      <c r="L11" s="40">
        <f>IFERROR((s_C*s_EF_res*(1/365)*s_ED_res*up_RadSpec!R11*((s_ET_res_o*(1/24)*up_RadSpec!W11)+(s_ET_res_i*(1/24)*up_RadSpec!AB11))),".")</f>
        <v>0.12099113618049959</v>
      </c>
      <c r="M11" s="40">
        <f>up_b2s!AC11</f>
        <v>3033167.5</v>
      </c>
      <c r="N11" s="18"/>
      <c r="O11" s="18"/>
      <c r="P11" s="18"/>
      <c r="Q11" s="18"/>
      <c r="R11" s="18"/>
      <c r="S11" s="15">
        <f>IFERROR((s_TR/(up_RadSpec!G11*s_EF_res*(1/365)*s_ED_res*up_RadSpec!R11*((s_ET_res_o*(1/24)*up_RadSpec!W11)+(s_ET_res_i*(1/24)*up_RadSpec!AB11))))*1,".")</f>
        <v>8.2650682650682662E-5</v>
      </c>
      <c r="T11" s="15">
        <f>IFERROR((s_TR/(up_RadSpec!N11*s_EF_res*(1/365)*s_ED_res*up_RadSpec!S11*((s_ET_res_o*(1/24)*up_RadSpec!X11)+(s_ET_res_i*(1/24)*up_RadSpec!AC11))))*1,".")</f>
        <v>1.045804303422032E-4</v>
      </c>
      <c r="U11" s="15">
        <f>IFERROR((s_TR/(up_RadSpec!O11*s_EF_res*(1/365)*s_ED_res*up_RadSpec!T11*((s_ET_res_o*(1/24)*up_RadSpec!Y11)+(s_ET_res_i*(1/24)*up_RadSpec!AD11))))*1,".")</f>
        <v>8.1164159581425762E-5</v>
      </c>
      <c r="V11" s="15">
        <f>IFERROR((s_TR/(up_RadSpec!P11*s_EF_res*(1/365)*s_ED_res*up_RadSpec!U11*((s_ET_res_o*(1/24)*up_RadSpec!Z11)+(s_ET_res_i*(1/24)*up_RadSpec!AE11))))*1,".")</f>
        <v>7.7313266443701259E-5</v>
      </c>
      <c r="W11" s="15">
        <f>IFERROR((s_TR/(up_RadSpec!L11*s_EF_res*(1/365)*s_ED_res*up_RadSpec!Q11*((s_ET_res_o*(1/24)*up_RadSpec!V11)+(s_ET_res_i*(1/24)*up_RadSpec!AA11))))*1,".")</f>
        <v>1.9468923933209652E-4</v>
      </c>
      <c r="X11" s="40">
        <f>IFERROR((s_C*s_EF_res*(1/365)*s_ED_res*up_RadSpec!R11*((s_ET_res_o*(1/24)*up_RadSpec!W11)+(s_ET_res_i*(1/24)*up_RadSpec!AB11))),".")</f>
        <v>0.12099113618049959</v>
      </c>
      <c r="Y11" s="40">
        <f>IFERROR((s_C*s_EF_res*(1/365)*s_ED_res*up_RadSpec!S11*((s_ET_res_o*(1/24)*up_RadSpec!X11)+(s_ET_res_i*(1/24)*up_RadSpec!AC11))),".")</f>
        <v>9.5620184075342465E-2</v>
      </c>
      <c r="Z11" s="40">
        <f>IFERROR((s_C*s_EF_res*(1/365)*s_ED_res*up_RadSpec!T11*((s_ET_res_o*(1/24)*up_RadSpec!Y11)+(s_ET_res_i*(1/24)*up_RadSpec!AD11))),".")</f>
        <v>0.12320709105560033</v>
      </c>
      <c r="AA11" s="40">
        <f>IFERROR((s_C*s_EF_res*(1/365)*s_ED_res*up_RadSpec!U11*((s_ET_res_o*(1/24)*up_RadSpec!Z11)+(s_ET_res_i*(1/24)*up_RadSpec!AE11))),".")</f>
        <v>0.12934390771449167</v>
      </c>
      <c r="AB11" s="40">
        <f>IFERROR((s_C*s_EF_res*(1/365)*s_ED_res*up_RadSpec!Q11*((s_ET_res_o*(1/24)*up_RadSpec!V11)+(s_ET_res_i*(1/24)*up_RadSpec!AA11))),".")</f>
        <v>5.1363907087552105E-2</v>
      </c>
      <c r="AC11" s="18"/>
      <c r="AD11" s="18"/>
      <c r="AE11" s="18"/>
      <c r="AF11" s="18"/>
      <c r="AG11" s="18"/>
      <c r="AH11" s="15">
        <f>IFERROR((s_TR/(up_RadSpec!H11*s_IFA_res_adj)),".")</f>
        <v>9.9740259740259755E-10</v>
      </c>
      <c r="AI11" s="15">
        <f>IFERROR((s_TR/(up_RadSpec!K11*s_EF_res*(1/365)*s_ED_res*s_ET_res*(1/24)*s_GSF_a)),".")</f>
        <v>6.3709090909090908E-6</v>
      </c>
      <c r="AJ11" s="15">
        <f t="shared" si="8"/>
        <v>9.9724647271019672E-10</v>
      </c>
      <c r="AK11" s="40">
        <f t="shared" si="2"/>
        <v>10026.041666666666</v>
      </c>
      <c r="AL11" s="40">
        <f t="shared" si="3"/>
        <v>1.5696347031963471</v>
      </c>
      <c r="AM11" s="18"/>
      <c r="AN11" s="18"/>
      <c r="AO11" s="18"/>
      <c r="AP11" s="15">
        <f>IFERROR((s_TR/(up_RadSpec!I11*s_IFW_res_adj)),".")</f>
        <v>3.6363636363636369E-10</v>
      </c>
      <c r="AQ11" s="15" t="str">
        <f>IFERROR(IF(AND(up_RadSpec!C11=1,up_RadSpec!D11&lt;&gt;0),(s_TR/(up_RadSpec!F11*s_IFA_res_adj*s_K*up_RadSpec!D11)),"."),".")</f>
        <v>.</v>
      </c>
      <c r="AR11" s="15">
        <f>IFERROR((s_TR/(up_RadSpec!M11*(1/8760)*s_DFA_res_adj)),".")</f>
        <v>3.9818181818181825E-6</v>
      </c>
      <c r="AS11" s="15">
        <f>up_b2w!C11</f>
        <v>1.6443412786038031E-11</v>
      </c>
      <c r="AT11" s="15">
        <f>(IF(AND(AP11&lt;&gt;".",AQ11&lt;&gt;".",AR11&lt;&gt;".",AS11&lt;&gt;"."),1/((1/AP11)+(1/AQ11)+(1/AR11)+(1/AS11)),IF(AND(AP11&lt;&gt;".",AQ11&lt;&gt;".",AR11&lt;&gt;".",AS11="."), 1/((1/AP11)+(1/AQ11)+(1/AR11)),IF(AND(AP11&lt;&gt;".",AQ11&lt;&gt;".",AR11=".",AS11&lt;&gt;"."),1/((1/AP11)+(1/AQ11)+(1/AS11)),IF(AND(AP11&lt;&gt;".",AQ11=".",AR11&lt;&gt;".",AS11&lt;&gt;"."),1/((1/AP11)+(1/AR11)+(1/AS11)),IF(AND(AP11=".",AQ11&lt;&gt;".",AR11&lt;&gt;".",AS11&lt;&gt;"."),1/((1/AQ11)+(1/AR11)+(1/AS11)),IF(AND(AP11&lt;&gt;".",AQ11&lt;&gt;".",AR11=".",AS11="."),1/((1/AP11)+(1/AQ11)),IF(AND(AP11&lt;&gt;".",AQ11=".",AR11&lt;&gt;".",AS11="."),1/((1/AP11)+(1/AR11)),IF(AND(AP11&lt;&gt;".",AQ11=".",AR11=".",AS11&lt;&gt;"."),1/((1/AP11)+(1/AS11)),IF(AND(AP11=".",AQ11=".",AR11&lt;&gt;".",AS11&lt;&gt;"."),1/((1/AR11)+(1/AS11)),IF(AND(AP11=".",AQ11&lt;&gt;".",AR11=".",AS11&lt;&gt;"."),1/((1/AQ11)+(1/AS11)),IF(AND(AP11=".",AQ11&lt;&gt;".",AR11&lt;&gt;".",AS11="."),1/((1/AQ11)+(1/AR11)),IF(AND(AP11&lt;&gt;".",AQ11=".",AR11=".",AS11="."),1/((1/AP11)),IF(AND(AP11=".",AQ11&lt;&gt;".",AR11=".",AS11="."),1/((1/AQ11)),IF(AND(AP11=".",AQ11=".",AR11&lt;&gt;".",AS11="."),1/((1/AR11)),IF(AND(AP11=".",AQ11=".",AR11=".",AS11&lt;&gt;"."),1/((1/AS11)),IF(AND(AP11=".",AQ11=".",AR11=".",AS11="."),".")))))))))))))))))</f>
        <v>1.5731958335636466E-11</v>
      </c>
      <c r="AU11" s="40">
        <f t="shared" si="4"/>
        <v>27500</v>
      </c>
      <c r="AV11" s="40">
        <f>IF(up_RadSpec!D11&lt;&gt;"",s_C*s_IFA_res_adj*s_K*up_RadSpec!D11,0)</f>
        <v>0</v>
      </c>
      <c r="AW11" s="40">
        <f t="shared" si="5"/>
        <v>2.5114155251141552</v>
      </c>
      <c r="AX11" s="40">
        <f>up_b2w!AC11</f>
        <v>608146.26076229871</v>
      </c>
      <c r="AY11" s="18"/>
      <c r="AZ11" s="18"/>
      <c r="BA11" s="18"/>
      <c r="BB11" s="18"/>
      <c r="BC11" s="18"/>
      <c r="BD11" s="15">
        <f>IFERROR(s_TR/(up_RadSpec!F11*s_EF_res*s_ED_res*s_IRF_res*0.001*s_CF_res_fish),".")</f>
        <v>6.6115702479338848E-11</v>
      </c>
      <c r="BE11" s="40">
        <f t="shared" si="6"/>
        <v>151250</v>
      </c>
      <c r="BF11" s="18"/>
    </row>
    <row r="12" spans="1:58" x14ac:dyDescent="0.25">
      <c r="A12" s="44" t="s">
        <v>22</v>
      </c>
      <c r="B12" s="42" t="s">
        <v>1071</v>
      </c>
      <c r="C12" s="249"/>
      <c r="D12" s="15">
        <f>IFERROR(((s_TR/(up_RadSpec!E12*s_IFS_res_adj*(1/1000)))*1),".")</f>
        <v>3.3057851239669421E-8</v>
      </c>
      <c r="E12" s="15">
        <f>IFERROR(IF(A12="H-3",(s_TR/((up_RadSpec!H12*s_IFA_res_adj*(1/17)*1000))*1),(s_TR/((up_RadSpec!H12*s_IFA_res_adj*(1/s_PEF_wind)*1000))*1)),".")</f>
        <v>3.0899917851942918E-4</v>
      </c>
      <c r="F12" s="15">
        <f>IFERROR((s_TR/(up_RadSpec!G12*s_EF_res*(1/365)*s_ED_res*up_RadSpec!R12*((s_ET_res_o*(1/24)*up_RadSpec!W12)+(s_ET_res_i*(1/24)*up_RadSpec!AB12))))*1,".")</f>
        <v>3.9601143510577475E-5</v>
      </c>
      <c r="G12" s="15">
        <f>up_b2s!C12</f>
        <v>3.2968835384132272E-12</v>
      </c>
      <c r="H12" s="15">
        <f>up_dir!C12</f>
        <v>1.6528925619834712E-11</v>
      </c>
      <c r="I12" s="15">
        <f t="shared" ref="I12:I29" si="11">(IF(AND(D12&lt;&gt;".",E12&lt;&gt;".",F12&lt;&gt;".",G12&lt;&gt;"."),1/((1/D12)+(1/E12)+(1/F12)+(1/G12)),IF(AND(D12&lt;&gt;".",E12&lt;&gt;".",F12&lt;&gt;".",G12="."), 1/((1/D12)+(1/E12)+(1/F12)),IF(AND(D12&lt;&gt;".",E12&lt;&gt;".",F12=".",G12&lt;&gt;"."),1/((1/D12)+(1/E12)+(1/G12)),IF(AND(D12&lt;&gt;".",E12=".",F12&lt;&gt;".",G12&lt;&gt;"."),1/((1/D12)+(1/F12)+(1/G12)),IF(AND(D12=".",E12&lt;&gt;".",F12&lt;&gt;".",G12&lt;&gt;"."),1/((1/E12)+(1/F12)+(1/G12)),IF(AND(D12&lt;&gt;".",E12&lt;&gt;".",F12=".",G12="."),1/((1/D12)+(1/E12)),IF(AND(D12&lt;&gt;".",E12=".",F12&lt;&gt;".",G12="."),1/((1/D12)+(1/F12)),IF(AND(D12&lt;&gt;".",E12=".",F12=".",G12&lt;&gt;"."),1/((1/D12)+(1/G12)),IF(AND(D12=".",E12=".",F12&lt;&gt;".",G12&lt;&gt;"."),1/((1/F12)+(1/G12)),IF(AND(D12=".",E12&lt;&gt;".",F12=".",G12&lt;&gt;"."),1/((1/E12)+(1/G12)),IF(AND(D12=".",E12&lt;&gt;".",F12&lt;&gt;".",G12="."),1/((1/E12)+(1/F12)),IF(AND(D12&lt;&gt;".",E12=".",F12=".",G12="."),1/((1/D12)),IF(AND(D12=".",E12&lt;&gt;".",F12=".",G12="."),1/((1/E12)),IF(AND(D12=".",E12=".",F12&lt;&gt;".",G12="."),1/((1/F12)),IF(AND(D12=".",E12=".",F12=".",G12&lt;&gt;"."),1/((1/G12)),IF(AND(D12=".",E12=".",F12=".",G12="."),".")))))))))))))))))</f>
        <v>3.296554461021833E-12</v>
      </c>
      <c r="J12" s="40">
        <f t="shared" si="0"/>
        <v>302.5</v>
      </c>
      <c r="K12" s="40">
        <f t="shared" si="1"/>
        <v>3.2362545583179352E-2</v>
      </c>
      <c r="L12" s="40">
        <f>IFERROR((s_C*s_EF_res*(1/365)*s_ED_res*up_RadSpec!R12*((s_ET_res_o*(1/24)*up_RadSpec!W12)+(s_ET_res_i*(1/24)*up_RadSpec!AB12))),".")</f>
        <v>0.25251796068285248</v>
      </c>
      <c r="M12" s="40">
        <f>up_b2s!AC12</f>
        <v>3033167.5</v>
      </c>
      <c r="N12" s="18"/>
      <c r="O12" s="18"/>
      <c r="P12" s="18"/>
      <c r="Q12" s="18"/>
      <c r="R12" s="18"/>
      <c r="S12" s="15">
        <f>IFERROR((s_TR/(up_RadSpec!G12*s_EF_res*(1/365)*s_ED_res*up_RadSpec!R12*((s_ET_res_o*(1/24)*up_RadSpec!W12)+(s_ET_res_i*(1/24)*up_RadSpec!AB12))))*1,".")</f>
        <v>3.9601143510577475E-5</v>
      </c>
      <c r="T12" s="15">
        <f>IFERROR((s_TR/(up_RadSpec!N12*s_EF_res*(1/365)*s_ED_res*up_RadSpec!S12*((s_ET_res_o*(1/24)*up_RadSpec!X12)+(s_ET_res_i*(1/24)*up_RadSpec!AC12))))*1,".")</f>
        <v>7.1046991344547166E-5</v>
      </c>
      <c r="U12" s="15">
        <f>IFERROR((s_TR/(up_RadSpec!O12*s_EF_res*(1/365)*s_ED_res*up_RadSpec!T12*((s_ET_res_o*(1/24)*up_RadSpec!Y12)+(s_ET_res_i*(1/24)*up_RadSpec!AD12))))*1,".")</f>
        <v>5.1515294947869362E-5</v>
      </c>
      <c r="V12" s="15">
        <f>IFERROR((s_TR/(up_RadSpec!P12*s_EF_res*(1/365)*s_ED_res*up_RadSpec!U12*((s_ET_res_o*(1/24)*up_RadSpec!Z12)+(s_ET_res_i*(1/24)*up_RadSpec!AE12))))*1,".")</f>
        <v>4.5495190353610618E-5</v>
      </c>
      <c r="W12" s="15">
        <f>IFERROR((s_TR/(up_RadSpec!L12*s_EF_res*(1/365)*s_ED_res*up_RadSpec!Q12*((s_ET_res_o*(1/24)*up_RadSpec!V12)+(s_ET_res_i*(1/24)*up_RadSpec!AA12))))*1,".")</f>
        <v>1.2264481550195837E-4</v>
      </c>
      <c r="X12" s="40">
        <f>IFERROR((s_C*s_EF_res*(1/365)*s_ED_res*up_RadSpec!R12*((s_ET_res_o*(1/24)*up_RadSpec!W12)+(s_ET_res_i*(1/24)*up_RadSpec!AB12))),".")</f>
        <v>0.25251796068285248</v>
      </c>
      <c r="Y12" s="40">
        <f>IFERROR((s_C*s_EF_res*(1/365)*s_ED_res*up_RadSpec!S12*((s_ET_res_o*(1/24)*up_RadSpec!X12)+(s_ET_res_i*(1/24)*up_RadSpec!AC12))),".")</f>
        <v>0.14075191377921026</v>
      </c>
      <c r="Z12" s="40">
        <f>IFERROR((s_C*s_EF_res*(1/365)*s_ED_res*up_RadSpec!T12*((s_ET_res_o*(1/24)*up_RadSpec!Y12)+(s_ET_res_i*(1/24)*up_RadSpec!AD12))),".")</f>
        <v>0.1941171065820248</v>
      </c>
      <c r="AA12" s="40">
        <f>IFERROR((s_C*s_EF_res*(1/365)*s_ED_res*up_RadSpec!U12*((s_ET_res_o*(1/24)*up_RadSpec!Z12)+(s_ET_res_i*(1/24)*up_RadSpec!AE12))),".")</f>
        <v>0.21980345443716501</v>
      </c>
      <c r="AB12" s="40">
        <f>IFERROR((s_C*s_EF_res*(1/365)*s_ED_res*up_RadSpec!Q12*((s_ET_res_o*(1/24)*up_RadSpec!V12)+(s_ET_res_i*(1/24)*up_RadSpec!AA12))),".")</f>
        <v>8.1536263551558949E-2</v>
      </c>
      <c r="AC12" s="18"/>
      <c r="AD12" s="18"/>
      <c r="AE12" s="18"/>
      <c r="AF12" s="18"/>
      <c r="AG12" s="18"/>
      <c r="AH12" s="15">
        <f>IFERROR((s_TR/(up_RadSpec!H12*s_IFA_res_adj)),".")</f>
        <v>9.9740259740259755E-10</v>
      </c>
      <c r="AI12" s="15">
        <f>IFERROR((s_TR/(up_RadSpec!K12*s_EF_res*(1/365)*s_ED_res*s_ET_res*(1/24)*s_GSF_a)),".")</f>
        <v>6.3709090909090908E-6</v>
      </c>
      <c r="AJ12" s="15">
        <f t="shared" si="8"/>
        <v>9.9724647271019672E-10</v>
      </c>
      <c r="AK12" s="40">
        <f t="shared" si="2"/>
        <v>10026.041666666666</v>
      </c>
      <c r="AL12" s="40">
        <f t="shared" si="3"/>
        <v>1.5696347031963471</v>
      </c>
      <c r="AM12" s="18"/>
      <c r="AN12" s="18"/>
      <c r="AO12" s="18"/>
      <c r="AP12" s="15">
        <f>IFERROR((s_TR/(up_RadSpec!I12*s_IFW_res_adj)),".")</f>
        <v>3.6363636363636369E-10</v>
      </c>
      <c r="AQ12" s="15" t="str">
        <f>IFERROR(IF(AND(up_RadSpec!C12=1,up_RadSpec!D12&lt;&gt;0),(s_TR/(up_RadSpec!F12*s_IFA_res_adj*s_K*up_RadSpec!D12)),"."),".")</f>
        <v>.</v>
      </c>
      <c r="AR12" s="15">
        <f>IFERROR((s_TR/(up_RadSpec!M12*(1/8760)*s_DFA_res_adj)),".")</f>
        <v>3.9818181818181825E-6</v>
      </c>
      <c r="AS12" s="15">
        <f>up_b2w!C12</f>
        <v>1.6443412786038031E-11</v>
      </c>
      <c r="AT12" s="15">
        <f>(IF(AND(AP12&lt;&gt;".",AQ12&lt;&gt;".",AR12&lt;&gt;".",AS12&lt;&gt;"."),1/((1/AP12)+(1/AQ12)+(1/AR12)+(1/AS12)),IF(AND(AP12&lt;&gt;".",AQ12&lt;&gt;".",AR12&lt;&gt;".",AS12="."), 1/((1/AP12)+(1/AQ12)+(1/AR12)),IF(AND(AP12&lt;&gt;".",AQ12&lt;&gt;".",AR12=".",AS12&lt;&gt;"."),1/((1/AP12)+(1/AQ12)+(1/AS12)),IF(AND(AP12&lt;&gt;".",AQ12=".",AR12&lt;&gt;".",AS12&lt;&gt;"."),1/((1/AP12)+(1/AR12)+(1/AS12)),IF(AND(AP12=".",AQ12&lt;&gt;".",AR12&lt;&gt;".",AS12&lt;&gt;"."),1/((1/AQ12)+(1/AR12)+(1/AS12)),IF(AND(AP12&lt;&gt;".",AQ12&lt;&gt;".",AR12=".",AS12="."),1/((1/AP12)+(1/AQ12)),IF(AND(AP12&lt;&gt;".",AQ12=".",AR12&lt;&gt;".",AS12="."),1/((1/AP12)+(1/AR12)),IF(AND(AP12&lt;&gt;".",AQ12=".",AR12=".",AS12&lt;&gt;"."),1/((1/AP12)+(1/AS12)),IF(AND(AP12=".",AQ12=".",AR12&lt;&gt;".",AS12&lt;&gt;"."),1/((1/AR12)+(1/AS12)),IF(AND(AP12=".",AQ12&lt;&gt;".",AR12=".",AS12&lt;&gt;"."),1/((1/AQ12)+(1/AS12)),IF(AND(AP12=".",AQ12&lt;&gt;".",AR12&lt;&gt;".",AS12="."),1/((1/AQ12)+(1/AR12)),IF(AND(AP12&lt;&gt;".",AQ12=".",AR12=".",AS12="."),1/((1/AP12)),IF(AND(AP12=".",AQ12&lt;&gt;".",AR12=".",AS12="."),1/((1/AQ12)),IF(AND(AP12=".",AQ12=".",AR12&lt;&gt;".",AS12="."),1/((1/AR12)),IF(AND(AP12=".",AQ12=".",AR12=".",AS12&lt;&gt;"."),1/((1/AS12)),IF(AND(AP12=".",AQ12=".",AR12=".",AS12="."),".")))))))))))))))))</f>
        <v>1.5731958335636466E-11</v>
      </c>
      <c r="AU12" s="40">
        <f t="shared" si="4"/>
        <v>27500</v>
      </c>
      <c r="AV12" s="40">
        <f>IF(up_RadSpec!D12&lt;&gt;"",s_C*s_IFA_res_adj*s_K*up_RadSpec!D12,0)</f>
        <v>0</v>
      </c>
      <c r="AW12" s="40">
        <f t="shared" si="5"/>
        <v>2.5114155251141552</v>
      </c>
      <c r="AX12" s="40">
        <f>up_b2w!AC12</f>
        <v>608146.26076229871</v>
      </c>
      <c r="AY12" s="18"/>
      <c r="AZ12" s="18"/>
      <c r="BA12" s="18"/>
      <c r="BB12" s="18"/>
      <c r="BC12" s="18"/>
      <c r="BD12" s="15">
        <f>IFERROR(s_TR/(up_RadSpec!F12*s_EF_res*s_ED_res*s_IRF_res*0.001*s_CF_res_fish),".")</f>
        <v>6.6115702479338848E-11</v>
      </c>
      <c r="BE12" s="40">
        <f t="shared" si="6"/>
        <v>151250</v>
      </c>
      <c r="BF12" s="18"/>
    </row>
    <row r="13" spans="1:58" x14ac:dyDescent="0.25">
      <c r="A13" s="44" t="s">
        <v>23</v>
      </c>
      <c r="B13" s="42" t="s">
        <v>1071</v>
      </c>
      <c r="C13" s="42"/>
      <c r="D13" s="15">
        <f>IFERROR(((s_TR/(up_RadSpec!E13*s_IFS_res_adj*(1/1000)))*1),".")</f>
        <v>3.3057851239669421E-8</v>
      </c>
      <c r="E13" s="15">
        <f>IFERROR(IF(A13="H-3",(s_TR/((up_RadSpec!H13*s_IFA_res_adj*(1/17)*1000))*1),(s_TR/((up_RadSpec!H13*s_IFA_res_adj*(1/s_PEF_wind)*1000))*1)),".")</f>
        <v>3.0899917851942918E-4</v>
      </c>
      <c r="F13" s="15">
        <f>IFERROR((s_TR/(up_RadSpec!G13*s_EF_res*(1/365)*s_ED_res*up_RadSpec!R13*((s_ET_res_o*(1/24)*up_RadSpec!W13)+(s_ET_res_i*(1/24)*up_RadSpec!AB13))))*1,".")</f>
        <v>3.0439232247141872E-4</v>
      </c>
      <c r="G13" s="15">
        <f>up_b2s!C13</f>
        <v>3.2968835384132272E-12</v>
      </c>
      <c r="H13" s="15">
        <f>up_dir!C13</f>
        <v>1.6528925619834712E-11</v>
      </c>
      <c r="I13" s="15">
        <f t="shared" si="11"/>
        <v>3.2965546997384401E-12</v>
      </c>
      <c r="J13" s="40">
        <f t="shared" si="0"/>
        <v>302.5</v>
      </c>
      <c r="K13" s="40">
        <f t="shared" si="1"/>
        <v>3.2362545583179352E-2</v>
      </c>
      <c r="L13" s="40">
        <f>IFERROR((s_C*s_EF_res*(1/365)*s_ED_res*up_RadSpec!R13*((s_ET_res_o*(1/24)*up_RadSpec!W13)+(s_ET_res_i*(1/24)*up_RadSpec!AB13))),".")</f>
        <v>3.2852339766023378E-2</v>
      </c>
      <c r="M13" s="40">
        <f>up_b2s!AC13</f>
        <v>3033167.5</v>
      </c>
      <c r="N13" s="18"/>
      <c r="O13" s="18"/>
      <c r="P13" s="18"/>
      <c r="Q13" s="18"/>
      <c r="R13" s="18"/>
      <c r="S13" s="15">
        <f>IFERROR((s_TR/(up_RadSpec!G13*s_EF_res*(1/365)*s_ED_res*up_RadSpec!R13*((s_ET_res_o*(1/24)*up_RadSpec!W13)+(s_ET_res_i*(1/24)*up_RadSpec!AB13))))*1,".")</f>
        <v>3.0439232247141872E-4</v>
      </c>
      <c r="T13" s="15">
        <f>IFERROR((s_TR/(up_RadSpec!N13*s_EF_res*(1/365)*s_ED_res*up_RadSpec!S13*((s_ET_res_o*(1/24)*up_RadSpec!X13)+(s_ET_res_i*(1/24)*up_RadSpec!AC13))))*1,".")</f>
        <v>6.6381290962296566E-4</v>
      </c>
      <c r="U13" s="15">
        <f>IFERROR((s_TR/(up_RadSpec!O13*s_EF_res*(1/365)*s_ED_res*up_RadSpec!T13*((s_ET_res_o*(1/24)*up_RadSpec!Y13)+(s_ET_res_i*(1/24)*up_RadSpec!AD13))))*1,".")</f>
        <v>3.9436655108296897E-4</v>
      </c>
      <c r="V13" s="15">
        <f>IFERROR((s_TR/(up_RadSpec!P13*s_EF_res*(1/365)*s_ED_res*up_RadSpec!U13*((s_ET_res_o*(1/24)*up_RadSpec!Z13)+(s_ET_res_i*(1/24)*up_RadSpec!AE13))))*1,".")</f>
        <v>3.2555712315832271E-4</v>
      </c>
      <c r="W13" s="15">
        <f>IFERROR((s_TR/(up_RadSpec!L13*s_EF_res*(1/365)*s_ED_res*up_RadSpec!Q13*((s_ET_res_o*(1/24)*up_RadSpec!V13)+(s_ET_res_i*(1/24)*up_RadSpec!AA13))))*1,".")</f>
        <v>6.3861832611832592E-3</v>
      </c>
      <c r="X13" s="40">
        <f>IFERROR((s_C*s_EF_res*(1/365)*s_ED_res*up_RadSpec!R13*((s_ET_res_o*(1/24)*up_RadSpec!W13)+(s_ET_res_i*(1/24)*up_RadSpec!AB13))),".")</f>
        <v>3.2852339766023378E-2</v>
      </c>
      <c r="Y13" s="40">
        <f>IFERROR((s_C*s_EF_res*(1/365)*s_ED_res*up_RadSpec!S13*((s_ET_res_o*(1/24)*up_RadSpec!X13)+(s_ET_res_i*(1/24)*up_RadSpec!AC13))),".")</f>
        <v>1.5064485572719321E-2</v>
      </c>
      <c r="Z13" s="40">
        <f>IFERROR((s_C*s_EF_res*(1/365)*s_ED_res*up_RadSpec!T13*((s_ET_res_o*(1/24)*up_RadSpec!Y13)+(s_ET_res_i*(1/24)*up_RadSpec!AD13))),".")</f>
        <v>2.5357120101943298E-2</v>
      </c>
      <c r="AA13" s="40">
        <f>IFERROR((s_C*s_EF_res*(1/365)*s_ED_res*up_RadSpec!U13*((s_ET_res_o*(1/24)*up_RadSpec!Z13)+(s_ET_res_i*(1/24)*up_RadSpec!AE13))),".")</f>
        <v>3.0716575644197684E-2</v>
      </c>
      <c r="AB13" s="40">
        <f>IFERROR((s_C*s_EF_res*(1/365)*s_ED_res*up_RadSpec!Q13*((s_ET_res_o*(1/24)*up_RadSpec!V13)+(s_ET_res_i*(1/24)*up_RadSpec!AA13))),".")</f>
        <v>1.5658805253495275E-3</v>
      </c>
      <c r="AC13" s="18"/>
      <c r="AD13" s="18"/>
      <c r="AE13" s="18"/>
      <c r="AF13" s="18"/>
      <c r="AG13" s="18"/>
      <c r="AH13" s="15">
        <f>IFERROR((s_TR/(up_RadSpec!H13*s_IFA_res_adj)),".")</f>
        <v>9.9740259740259755E-10</v>
      </c>
      <c r="AI13" s="15">
        <f>IFERROR((s_TR/(up_RadSpec!K13*s_EF_res*(1/365)*s_ED_res*s_ET_res*(1/24)*s_GSF_a)),".")</f>
        <v>6.3709090909090908E-6</v>
      </c>
      <c r="AJ13" s="15">
        <f t="shared" si="8"/>
        <v>9.9724647271019672E-10</v>
      </c>
      <c r="AK13" s="40">
        <f t="shared" si="2"/>
        <v>10026.041666666666</v>
      </c>
      <c r="AL13" s="40">
        <f t="shared" si="3"/>
        <v>1.5696347031963471</v>
      </c>
      <c r="AM13" s="18"/>
      <c r="AN13" s="18"/>
      <c r="AO13" s="18"/>
      <c r="AP13" s="15">
        <f>IFERROR((s_TR/(up_RadSpec!I13*s_IFW_res_adj)),".")</f>
        <v>3.6363636363636369E-10</v>
      </c>
      <c r="AQ13" s="15" t="str">
        <f>IFERROR(IF(AND(up_RadSpec!C13=1,up_RadSpec!D13&lt;&gt;0),(s_TR/(up_RadSpec!F13*s_IFA_res_adj*s_K*up_RadSpec!D13)),"."),".")</f>
        <v>.</v>
      </c>
      <c r="AR13" s="15">
        <f>IFERROR((s_TR/(up_RadSpec!M13*(1/8760)*s_DFA_res_adj)),".")</f>
        <v>3.9818181818181825E-6</v>
      </c>
      <c r="AS13" s="15">
        <f>up_b2w!C13</f>
        <v>1.6443412786038031E-11</v>
      </c>
      <c r="AT13" s="15">
        <f>(IF(AND(AP13&lt;&gt;".",AQ13&lt;&gt;".",AR13&lt;&gt;".",AS13&lt;&gt;"."),1/((1/AP13)+(1/AQ13)+(1/AR13)+(1/AS13)),IF(AND(AP13&lt;&gt;".",AQ13&lt;&gt;".",AR13&lt;&gt;".",AS13="."), 1/((1/AP13)+(1/AQ13)+(1/AR13)),IF(AND(AP13&lt;&gt;".",AQ13&lt;&gt;".",AR13=".",AS13&lt;&gt;"."),1/((1/AP13)+(1/AQ13)+(1/AS13)),IF(AND(AP13&lt;&gt;".",AQ13=".",AR13&lt;&gt;".",AS13&lt;&gt;"."),1/((1/AP13)+(1/AR13)+(1/AS13)),IF(AND(AP13=".",AQ13&lt;&gt;".",AR13&lt;&gt;".",AS13&lt;&gt;"."),1/((1/AQ13)+(1/AR13)+(1/AS13)),IF(AND(AP13&lt;&gt;".",AQ13&lt;&gt;".",AR13=".",AS13="."),1/((1/AP13)+(1/AQ13)),IF(AND(AP13&lt;&gt;".",AQ13=".",AR13&lt;&gt;".",AS13="."),1/((1/AP13)+(1/AR13)),IF(AND(AP13&lt;&gt;".",AQ13=".",AR13=".",AS13&lt;&gt;"."),1/((1/AP13)+(1/AS13)),IF(AND(AP13=".",AQ13=".",AR13&lt;&gt;".",AS13&lt;&gt;"."),1/((1/AR13)+(1/AS13)),IF(AND(AP13=".",AQ13&lt;&gt;".",AR13=".",AS13&lt;&gt;"."),1/((1/AQ13)+(1/AS13)),IF(AND(AP13=".",AQ13&lt;&gt;".",AR13&lt;&gt;".",AS13="."),1/((1/AQ13)+(1/AR13)),IF(AND(AP13&lt;&gt;".",AQ13=".",AR13=".",AS13="."),1/((1/AP13)),IF(AND(AP13=".",AQ13&lt;&gt;".",AR13=".",AS13="."),1/((1/AQ13)),IF(AND(AP13=".",AQ13=".",AR13&lt;&gt;".",AS13="."),1/((1/AR13)),IF(AND(AP13=".",AQ13=".",AR13=".",AS13&lt;&gt;"."),1/((1/AS13)),IF(AND(AP13=".",AQ13=".",AR13=".",AS13="."),".")))))))))))))))))</f>
        <v>1.5731958335636466E-11</v>
      </c>
      <c r="AU13" s="40">
        <f t="shared" si="4"/>
        <v>27500</v>
      </c>
      <c r="AV13" s="40">
        <f>IF(up_RadSpec!D13&lt;&gt;"",s_C*s_IFA_res_adj*s_K*up_RadSpec!D13,0)</f>
        <v>0</v>
      </c>
      <c r="AW13" s="40">
        <f t="shared" si="5"/>
        <v>2.5114155251141552</v>
      </c>
      <c r="AX13" s="40">
        <f>up_b2w!AC13</f>
        <v>608146.26076229871</v>
      </c>
      <c r="AY13" s="18"/>
      <c r="AZ13" s="18"/>
      <c r="BA13" s="18"/>
      <c r="BB13" s="18"/>
      <c r="BC13" s="18"/>
      <c r="BD13" s="15">
        <f>IFERROR(s_TR/(up_RadSpec!F13*s_EF_res*s_ED_res*s_IRF_res*0.001*s_CF_res_fish),".")</f>
        <v>6.6115702479338848E-11</v>
      </c>
      <c r="BE13" s="40">
        <f t="shared" si="6"/>
        <v>151250</v>
      </c>
      <c r="BF13" s="18"/>
    </row>
    <row r="14" spans="1:58" x14ac:dyDescent="0.25">
      <c r="A14" s="44" t="s">
        <v>24</v>
      </c>
      <c r="B14" s="42" t="s">
        <v>1071</v>
      </c>
      <c r="C14" s="42"/>
      <c r="D14" s="15">
        <f>IFERROR(((s_TR/(up_RadSpec!E14*s_IFS_res_adj*(1/1000)))*1),".")</f>
        <v>3.3057851239669421E-8</v>
      </c>
      <c r="E14" s="15">
        <f>IFERROR(IF(A14="H-3",(s_TR/((up_RadSpec!H14*s_IFA_res_adj*(1/17)*1000))*1),(s_TR/((up_RadSpec!H14*s_IFA_res_adj*(1/s_PEF_wind)*1000))*1)),".")</f>
        <v>3.0899917851942918E-4</v>
      </c>
      <c r="F14" s="15">
        <f>IFERROR((s_TR/(up_RadSpec!G14*s_EF_res*(1/365)*s_ED_res*up_RadSpec!R14*((s_ET_res_o*(1/24)*up_RadSpec!W14)+(s_ET_res_i*(1/24)*up_RadSpec!AB14))))*1,".")</f>
        <v>4.5694544130414811E-5</v>
      </c>
      <c r="G14" s="15">
        <f>up_b2s!C14</f>
        <v>3.2968835384132272E-12</v>
      </c>
      <c r="H14" s="15">
        <f>up_dir!C14</f>
        <v>1.6528925619834712E-11</v>
      </c>
      <c r="I14" s="15">
        <f t="shared" si="11"/>
        <v>3.2965544976156881E-12</v>
      </c>
      <c r="J14" s="40">
        <f t="shared" si="0"/>
        <v>302.5</v>
      </c>
      <c r="K14" s="40">
        <f t="shared" si="1"/>
        <v>3.2362545583179352E-2</v>
      </c>
      <c r="L14" s="40">
        <f>IFERROR((s_C*s_EF_res*(1/365)*s_ED_res*up_RadSpec!R14*((s_ET_res_o*(1/24)*up_RadSpec!W14)+(s_ET_res_i*(1/24)*up_RadSpec!AB14))),".")</f>
        <v>0.21884450737618555</v>
      </c>
      <c r="M14" s="40">
        <f>up_b2s!AC14</f>
        <v>3033167.5</v>
      </c>
      <c r="N14" s="18"/>
      <c r="O14" s="18"/>
      <c r="P14" s="18"/>
      <c r="Q14" s="18"/>
      <c r="R14" s="18"/>
      <c r="S14" s="15">
        <f>IFERROR((s_TR/(up_RadSpec!G14*s_EF_res*(1/365)*s_ED_res*up_RadSpec!R14*((s_ET_res_o*(1/24)*up_RadSpec!W14)+(s_ET_res_i*(1/24)*up_RadSpec!AB14))))*1,".")</f>
        <v>4.5694544130414811E-5</v>
      </c>
      <c r="T14" s="15">
        <f>IFERROR((s_TR/(up_RadSpec!N14*s_EF_res*(1/365)*s_ED_res*up_RadSpec!S14*((s_ET_res_o*(1/24)*up_RadSpec!X14)+(s_ET_res_i*(1/24)*up_RadSpec!AC14))))*1,".")</f>
        <v>8.2986017700335997E-5</v>
      </c>
      <c r="U14" s="15">
        <f>IFERROR((s_TR/(up_RadSpec!O14*s_EF_res*(1/365)*s_ED_res*up_RadSpec!T14*((s_ET_res_o*(1/24)*up_RadSpec!Y14)+(s_ET_res_i*(1/24)*up_RadSpec!AD14))))*1,".")</f>
        <v>6.13551858652854E-5</v>
      </c>
      <c r="V14" s="15">
        <f>IFERROR((s_TR/(up_RadSpec!P14*s_EF_res*(1/365)*s_ED_res*up_RadSpec!U14*((s_ET_res_o*(1/24)*up_RadSpec!Z14)+(s_ET_res_i*(1/24)*up_RadSpec!AE14))))*1,".")</f>
        <v>5.376534153512572E-5</v>
      </c>
      <c r="W14" s="15">
        <f>IFERROR((s_TR/(up_RadSpec!L14*s_EF_res*(1/365)*s_ED_res*up_RadSpec!Q14*((s_ET_res_o*(1/24)*up_RadSpec!V14)+(s_ET_res_i*(1/24)*up_RadSpec!AA14))))*1,".")</f>
        <v>2.3155333826065544E-4</v>
      </c>
      <c r="X14" s="40">
        <f>IFERROR((s_C*s_EF_res*(1/365)*s_ED_res*up_RadSpec!R14*((s_ET_res_o*(1/24)*up_RadSpec!W14)+(s_ET_res_i*(1/24)*up_RadSpec!AB14))),".")</f>
        <v>0.21884450737618555</v>
      </c>
      <c r="Y14" s="40">
        <f>IFERROR((s_C*s_EF_res*(1/365)*s_ED_res*up_RadSpec!S14*((s_ET_res_o*(1/24)*up_RadSpec!X14)+(s_ET_res_i*(1/24)*up_RadSpec!AC14))),".")</f>
        <v>0.12050222768985229</v>
      </c>
      <c r="Z14" s="40">
        <f>IFERROR((s_C*s_EF_res*(1/365)*s_ED_res*up_RadSpec!T14*((s_ET_res_o*(1/24)*up_RadSpec!Y14)+(s_ET_res_i*(1/24)*up_RadSpec!AD14))),".")</f>
        <v>0.16298540798094094</v>
      </c>
      <c r="AA14" s="40">
        <f>IFERROR((s_C*s_EF_res*(1/365)*s_ED_res*up_RadSpec!U14*((s_ET_res_o*(1/24)*up_RadSpec!Z14)+(s_ET_res_i*(1/24)*up_RadSpec!AE14))),".")</f>
        <v>0.18599342465753421</v>
      </c>
      <c r="AB14" s="40">
        <f>IFERROR((s_C*s_EF_res*(1/365)*s_ED_res*up_RadSpec!Q14*((s_ET_res_o*(1/24)*up_RadSpec!V14)+(s_ET_res_i*(1/24)*up_RadSpec!AA14))),".")</f>
        <v>4.3186593961963012E-2</v>
      </c>
      <c r="AC14" s="18"/>
      <c r="AD14" s="18"/>
      <c r="AE14" s="18"/>
      <c r="AF14" s="18"/>
      <c r="AG14" s="18"/>
      <c r="AH14" s="15">
        <f>IFERROR((s_TR/(up_RadSpec!H14*s_IFA_res_adj)),".")</f>
        <v>9.9740259740259755E-10</v>
      </c>
      <c r="AI14" s="15">
        <f>IFERROR((s_TR/(up_RadSpec!K14*s_EF_res*(1/365)*s_ED_res*s_ET_res*(1/24)*s_GSF_a)),".")</f>
        <v>6.3709090909090908E-6</v>
      </c>
      <c r="AJ14" s="15">
        <f t="shared" si="8"/>
        <v>9.9724647271019672E-10</v>
      </c>
      <c r="AK14" s="40">
        <f t="shared" si="2"/>
        <v>10026.041666666666</v>
      </c>
      <c r="AL14" s="40">
        <f t="shared" si="3"/>
        <v>1.5696347031963471</v>
      </c>
      <c r="AM14" s="18"/>
      <c r="AN14" s="18"/>
      <c r="AO14" s="18"/>
      <c r="AP14" s="15">
        <f>IFERROR((s_TR/(up_RadSpec!I14*s_IFW_res_adj)),".")</f>
        <v>3.6363636363636369E-10</v>
      </c>
      <c r="AQ14" s="15" t="str">
        <f>IFERROR(IF(AND(up_RadSpec!C14=1,up_RadSpec!D14&lt;&gt;0),(s_TR/(up_RadSpec!F14*s_IFA_res_adj*s_K*up_RadSpec!D14)),"."),".")</f>
        <v>.</v>
      </c>
      <c r="AR14" s="15">
        <f>IFERROR((s_TR/(up_RadSpec!M14*(1/8760)*s_DFA_res_adj)),".")</f>
        <v>3.9818181818181825E-6</v>
      </c>
      <c r="AS14" s="15">
        <f>up_b2w!C14</f>
        <v>1.6443412786038031E-11</v>
      </c>
      <c r="AT14" s="15">
        <f>(IF(AND(AP14&lt;&gt;".",AQ14&lt;&gt;".",AR14&lt;&gt;".",AS14&lt;&gt;"."),1/((1/AP14)+(1/AQ14)+(1/AR14)+(1/AS14)),IF(AND(AP14&lt;&gt;".",AQ14&lt;&gt;".",AR14&lt;&gt;".",AS14="."), 1/((1/AP14)+(1/AQ14)+(1/AR14)),IF(AND(AP14&lt;&gt;".",AQ14&lt;&gt;".",AR14=".",AS14&lt;&gt;"."),1/((1/AP14)+(1/AQ14)+(1/AS14)),IF(AND(AP14&lt;&gt;".",AQ14=".",AR14&lt;&gt;".",AS14&lt;&gt;"."),1/((1/AP14)+(1/AR14)+(1/AS14)),IF(AND(AP14=".",AQ14&lt;&gt;".",AR14&lt;&gt;".",AS14&lt;&gt;"."),1/((1/AQ14)+(1/AR14)+(1/AS14)),IF(AND(AP14&lt;&gt;".",AQ14&lt;&gt;".",AR14=".",AS14="."),1/((1/AP14)+(1/AQ14)),IF(AND(AP14&lt;&gt;".",AQ14=".",AR14&lt;&gt;".",AS14="."),1/((1/AP14)+(1/AR14)),IF(AND(AP14&lt;&gt;".",AQ14=".",AR14=".",AS14&lt;&gt;"."),1/((1/AP14)+(1/AS14)),IF(AND(AP14=".",AQ14=".",AR14&lt;&gt;".",AS14&lt;&gt;"."),1/((1/AR14)+(1/AS14)),IF(AND(AP14=".",AQ14&lt;&gt;".",AR14=".",AS14&lt;&gt;"."),1/((1/AQ14)+(1/AS14)),IF(AND(AP14=".",AQ14&lt;&gt;".",AR14&lt;&gt;".",AS14="."),1/((1/AQ14)+(1/AR14)),IF(AND(AP14&lt;&gt;".",AQ14=".",AR14=".",AS14="."),1/((1/AP14)),IF(AND(AP14=".",AQ14&lt;&gt;".",AR14=".",AS14="."),1/((1/AQ14)),IF(AND(AP14=".",AQ14=".",AR14&lt;&gt;".",AS14="."),1/((1/AR14)),IF(AND(AP14=".",AQ14=".",AR14=".",AS14&lt;&gt;"."),1/((1/AS14)),IF(AND(AP14=".",AQ14=".",AR14=".",AS14="."),".")))))))))))))))))</f>
        <v>1.5731958335636466E-11</v>
      </c>
      <c r="AU14" s="40">
        <f t="shared" si="4"/>
        <v>27500</v>
      </c>
      <c r="AV14" s="40">
        <f>IF(up_RadSpec!D14&lt;&gt;"",s_C*s_IFA_res_adj*s_K*up_RadSpec!D14,0)</f>
        <v>0</v>
      </c>
      <c r="AW14" s="40">
        <f t="shared" si="5"/>
        <v>2.5114155251141552</v>
      </c>
      <c r="AX14" s="40">
        <f>up_b2w!AC14</f>
        <v>608146.26076229871</v>
      </c>
      <c r="AY14" s="18"/>
      <c r="AZ14" s="18"/>
      <c r="BA14" s="18"/>
      <c r="BB14" s="18"/>
      <c r="BC14" s="18"/>
      <c r="BD14" s="15">
        <f>IFERROR(s_TR/(up_RadSpec!F14*s_EF_res*s_ED_res*s_IRF_res*0.001*s_CF_res_fish),".")</f>
        <v>6.6115702479338848E-11</v>
      </c>
      <c r="BE14" s="40">
        <f t="shared" si="6"/>
        <v>151250</v>
      </c>
      <c r="BF14" s="18"/>
    </row>
    <row r="15" spans="1:58" x14ac:dyDescent="0.25">
      <c r="A15" s="44" t="s">
        <v>25</v>
      </c>
      <c r="B15" s="42" t="s">
        <v>1071</v>
      </c>
      <c r="C15" s="42"/>
      <c r="D15" s="15">
        <f>IFERROR(((s_TR/(up_RadSpec!E15*s_IFS_res_adj*(1/1000)))*1),".")</f>
        <v>3.3057851239669421E-8</v>
      </c>
      <c r="E15" s="15">
        <f>IFERROR(IF(A15="H-3",(s_TR/((up_RadSpec!H15*s_IFA_res_adj*(1/17)*1000))*1),(s_TR/((up_RadSpec!H15*s_IFA_res_adj*(1/s_PEF_wind)*1000))*1)),".")</f>
        <v>3.0899917851942918E-4</v>
      </c>
      <c r="F15" s="15" t="str">
        <f>IFERROR((s_TR/(up_RadSpec!G15*s_EF_res*(1/365)*s_ED_res*up_RadSpec!R15*((s_ET_res_o*(1/24)*up_RadSpec!W15)+(s_ET_res_i*(1/24)*up_RadSpec!AB15))))*1,".")</f>
        <v>.</v>
      </c>
      <c r="G15" s="15">
        <f>up_b2s!C15</f>
        <v>3.2968835384132272E-12</v>
      </c>
      <c r="H15" s="15">
        <f>up_dir!C15</f>
        <v>1.6528925619834712E-11</v>
      </c>
      <c r="I15" s="15">
        <f t="shared" si="11"/>
        <v>3.2965547354399742E-12</v>
      </c>
      <c r="J15" s="40">
        <f t="shared" si="0"/>
        <v>302.5</v>
      </c>
      <c r="K15" s="40">
        <f t="shared" si="1"/>
        <v>3.2362545583179352E-2</v>
      </c>
      <c r="L15" s="40">
        <f>IFERROR((s_C*s_EF_res*(1/365)*s_ED_res*up_RadSpec!R15*((s_ET_res_o*(1/24)*up_RadSpec!W15)+(s_ET_res_i*(1/24)*up_RadSpec!AB15))),".")</f>
        <v>0</v>
      </c>
      <c r="M15" s="40">
        <f>up_b2s!AC15</f>
        <v>3033167.5</v>
      </c>
      <c r="N15" s="18"/>
      <c r="O15" s="18"/>
      <c r="P15" s="18"/>
      <c r="Q15" s="18"/>
      <c r="R15" s="18"/>
      <c r="S15" s="15" t="str">
        <f>IFERROR((s_TR/(up_RadSpec!G15*s_EF_res*(1/365)*s_ED_res*up_RadSpec!R15*((s_ET_res_o*(1/24)*up_RadSpec!W15)+(s_ET_res_i*(1/24)*up_RadSpec!AB15))))*1,".")</f>
        <v>.</v>
      </c>
      <c r="T15" s="15" t="str">
        <f>IFERROR((s_TR/(up_RadSpec!N15*s_EF_res*(1/365)*s_ED_res*up_RadSpec!S15*((s_ET_res_o*(1/24)*up_RadSpec!X15)+(s_ET_res_i*(1/24)*up_RadSpec!AC15))))*1,".")</f>
        <v>.</v>
      </c>
      <c r="U15" s="15" t="str">
        <f>IFERROR((s_TR/(up_RadSpec!O15*s_EF_res*(1/365)*s_ED_res*up_RadSpec!T15*((s_ET_res_o*(1/24)*up_RadSpec!Y15)+(s_ET_res_i*(1/24)*up_RadSpec!AD15))))*1,".")</f>
        <v>.</v>
      </c>
      <c r="V15" s="15" t="str">
        <f>IFERROR((s_TR/(up_RadSpec!P15*s_EF_res*(1/365)*s_ED_res*up_RadSpec!U15*((s_ET_res_o*(1/24)*up_RadSpec!Z15)+(s_ET_res_i*(1/24)*up_RadSpec!AE15))))*1,".")</f>
        <v>.</v>
      </c>
      <c r="W15" s="15" t="str">
        <f>IFERROR((s_TR/(up_RadSpec!L15*s_EF_res*(1/365)*s_ED_res*up_RadSpec!Q15*((s_ET_res_o*(1/24)*up_RadSpec!V15)+(s_ET_res_i*(1/24)*up_RadSpec!AA15))))*1,".")</f>
        <v>.</v>
      </c>
      <c r="X15" s="40">
        <f>IFERROR((s_C*s_EF_res*(1/365)*s_ED_res*up_RadSpec!R15*((s_ET_res_o*(1/24)*up_RadSpec!W15)+(s_ET_res_i*(1/24)*up_RadSpec!AB15))),".")</f>
        <v>0</v>
      </c>
      <c r="Y15" s="40">
        <f>IFERROR((s_C*s_EF_res*(1/365)*s_ED_res*up_RadSpec!S15*((s_ET_res_o*(1/24)*up_RadSpec!X15)+(s_ET_res_i*(1/24)*up_RadSpec!AC15))),".")</f>
        <v>0</v>
      </c>
      <c r="Z15" s="40">
        <f>IFERROR((s_C*s_EF_res*(1/365)*s_ED_res*up_RadSpec!T15*((s_ET_res_o*(1/24)*up_RadSpec!Y15)+(s_ET_res_i*(1/24)*up_RadSpec!AD15))),".")</f>
        <v>0</v>
      </c>
      <c r="AA15" s="40">
        <f>IFERROR((s_C*s_EF_res*(1/365)*s_ED_res*up_RadSpec!U15*((s_ET_res_o*(1/24)*up_RadSpec!Z15)+(s_ET_res_i*(1/24)*up_RadSpec!AE15))),".")</f>
        <v>0</v>
      </c>
      <c r="AB15" s="40">
        <f>IFERROR((s_C*s_EF_res*(1/365)*s_ED_res*up_RadSpec!Q15*((s_ET_res_o*(1/24)*up_RadSpec!V15)+(s_ET_res_i*(1/24)*up_RadSpec!AA15))),".")</f>
        <v>0</v>
      </c>
      <c r="AC15" s="18"/>
      <c r="AD15" s="18"/>
      <c r="AE15" s="18"/>
      <c r="AF15" s="18"/>
      <c r="AG15" s="18"/>
      <c r="AH15" s="15">
        <f>IFERROR((s_TR/(up_RadSpec!H15*s_IFA_res_adj)),".")</f>
        <v>9.9740259740259755E-10</v>
      </c>
      <c r="AI15" s="15">
        <f>IFERROR((s_TR/(up_RadSpec!K15*s_EF_res*(1/365)*s_ED_res*s_ET_res*(1/24)*s_GSF_a)),".")</f>
        <v>6.3709090909090908E-6</v>
      </c>
      <c r="AJ15" s="15">
        <f t="shared" si="8"/>
        <v>9.9724647271019672E-10</v>
      </c>
      <c r="AK15" s="40">
        <f t="shared" si="2"/>
        <v>10026.041666666666</v>
      </c>
      <c r="AL15" s="40">
        <f t="shared" si="3"/>
        <v>1.5696347031963471</v>
      </c>
      <c r="AM15" s="18"/>
      <c r="AN15" s="18"/>
      <c r="AO15" s="18"/>
      <c r="AP15" s="15">
        <f>IFERROR((s_TR/(up_RadSpec!I15*s_IFW_res_adj)),".")</f>
        <v>3.6363636363636369E-10</v>
      </c>
      <c r="AQ15" s="15" t="str">
        <f>IFERROR(IF(AND(up_RadSpec!C15=1,up_RadSpec!D15&lt;&gt;0),(s_TR/(up_RadSpec!F15*s_IFA_res_adj*s_K*up_RadSpec!D15)),"."),".")</f>
        <v>.</v>
      </c>
      <c r="AR15" s="15">
        <f>IFERROR((s_TR/(up_RadSpec!M15*(1/8760)*s_DFA_res_adj)),".")</f>
        <v>3.9818181818181825E-6</v>
      </c>
      <c r="AS15" s="15">
        <f>up_b2w!C15</f>
        <v>1.6443412786038031E-11</v>
      </c>
      <c r="AT15" s="15">
        <f t="shared" ref="AT15:AT16" si="12">(IF(AND(AP15&lt;&gt;".",AQ15&lt;&gt;".",AR15&lt;&gt;".",AS15&lt;&gt;"."),1/((1/AP15)+(1/AQ15)+(1/AR15)+(1/AS15)),IF(AND(AP15&lt;&gt;".",AQ15&lt;&gt;".",AR15&lt;&gt;".",AS15="."), 1/((1/AP15)+(1/AQ15)+(1/AR15)),IF(AND(AP15&lt;&gt;".",AQ15&lt;&gt;".",AR15=".",AS15&lt;&gt;"."),1/((1/AP15)+(1/AQ15)+(1/AS15)),IF(AND(AP15&lt;&gt;".",AQ15=".",AR15&lt;&gt;".",AS15&lt;&gt;"."),1/((1/AP15)+(1/AR15)+(1/AS15)),IF(AND(AP15=".",AQ15&lt;&gt;".",AR15&lt;&gt;".",AS15&lt;&gt;"."),1/((1/AQ15)+(1/AR15)+(1/AS15)),IF(AND(AP15&lt;&gt;".",AQ15&lt;&gt;".",AR15=".",AS15="."),1/((1/AP15)+(1/AQ15)),IF(AND(AP15&lt;&gt;".",AQ15=".",AR15&lt;&gt;".",AS15="."),1/((1/AP15)+(1/AR15)),IF(AND(AP15&lt;&gt;".",AQ15=".",AR15=".",AS15&lt;&gt;"."),1/((1/AP15)+(1/AS15)),IF(AND(AP15=".",AQ15=".",AR15&lt;&gt;".",AS15&lt;&gt;"."),1/((1/AR15)+(1/AS15)),IF(AND(AP15=".",AQ15&lt;&gt;".",AR15=".",AS15&lt;&gt;"."),1/((1/AQ15)+(1/AS15)),IF(AND(AP15=".",AQ15&lt;&gt;".",AR15&lt;&gt;".",AS15="."),1/((1/AQ15)+(1/AR15)),IF(AND(AP15&lt;&gt;".",AQ15=".",AR15=".",AS15="."),1/((1/AP15)),IF(AND(AP15=".",AQ15&lt;&gt;".",AR15=".",AS15="."),1/((1/AQ15)),IF(AND(AP15=".",AQ15=".",AR15&lt;&gt;".",AS15="."),1/((1/AR15)),IF(AND(AP15=".",AQ15=".",AR15=".",AS15&lt;&gt;"."),1/((1/AS15)),IF(AND(AP15=".",AQ15=".",AR15=".",AS15="."),".")))))))))))))))))</f>
        <v>1.5731958335636466E-11</v>
      </c>
      <c r="AU15" s="40">
        <f t="shared" si="4"/>
        <v>27500</v>
      </c>
      <c r="AV15" s="40">
        <f>IF(up_RadSpec!D15&lt;&gt;"",s_C*s_IFA_res_adj*s_K*up_RadSpec!D15,0)</f>
        <v>0</v>
      </c>
      <c r="AW15" s="40">
        <f t="shared" si="5"/>
        <v>2.5114155251141552</v>
      </c>
      <c r="AX15" s="40">
        <f>up_b2w!AC15</f>
        <v>608146.26076229871</v>
      </c>
      <c r="AY15" s="18"/>
      <c r="AZ15" s="18"/>
      <c r="BA15" s="18"/>
      <c r="BB15" s="18"/>
      <c r="BC15" s="18"/>
      <c r="BD15" s="15">
        <f>IFERROR(s_TR/(up_RadSpec!F15*s_EF_res*s_ED_res*s_IRF_res*0.001*s_CF_res_fish),".")</f>
        <v>6.6115702479338848E-11</v>
      </c>
      <c r="BE15" s="40">
        <f t="shared" si="6"/>
        <v>151250</v>
      </c>
      <c r="BF15" s="18"/>
    </row>
    <row r="16" spans="1:58" x14ac:dyDescent="0.25">
      <c r="A16" s="44" t="s">
        <v>26</v>
      </c>
      <c r="B16" s="42" t="s">
        <v>1071</v>
      </c>
      <c r="C16" s="249"/>
      <c r="D16" s="15">
        <f>IFERROR(((s_TR/(up_RadSpec!E16*s_IFS_res_adj*(1/1000)))*1),".")</f>
        <v>3.3057851239669421E-8</v>
      </c>
      <c r="E16" s="15">
        <f>IFERROR(IF(A16="H-3",(s_TR/((up_RadSpec!H16*s_IFA_res_adj*(1/17)*1000))*1),(s_TR/((up_RadSpec!H16*s_IFA_res_adj*(1/s_PEF_wind)*1000))*1)),".")</f>
        <v>3.0899917851942918E-4</v>
      </c>
      <c r="F16" s="15">
        <f>IFERROR((s_TR/(up_RadSpec!G16*s_EF_res*(1/365)*s_ED_res*up_RadSpec!R16*((s_ET_res_o*(1/24)*up_RadSpec!W16)+(s_ET_res_i*(1/24)*up_RadSpec!AB16))))*1,".")</f>
        <v>0.42497011279172547</v>
      </c>
      <c r="G16" s="15">
        <f>up_b2s!C16</f>
        <v>3.2968835384132272E-12</v>
      </c>
      <c r="H16" s="15">
        <f>up_dir!C16</f>
        <v>1.6528925619834712E-11</v>
      </c>
      <c r="I16" s="15">
        <f t="shared" si="11"/>
        <v>3.2965547354144027E-12</v>
      </c>
      <c r="J16" s="40">
        <f t="shared" si="0"/>
        <v>302.5</v>
      </c>
      <c r="K16" s="40">
        <f t="shared" si="1"/>
        <v>3.2362545583179352E-2</v>
      </c>
      <c r="L16" s="40">
        <f>IFERROR((s_C*s_EF_res*(1/365)*s_ED_res*up_RadSpec!R16*((s_ET_res_o*(1/24)*up_RadSpec!W16)+(s_ET_res_i*(1/24)*up_RadSpec!AB16))),".")</f>
        <v>2.3531066536203507E-5</v>
      </c>
      <c r="M16" s="40">
        <f>up_b2s!AC16</f>
        <v>3033167.5</v>
      </c>
      <c r="N16" s="18"/>
      <c r="O16" s="18"/>
      <c r="P16" s="18"/>
      <c r="Q16" s="18"/>
      <c r="R16" s="18"/>
      <c r="S16" s="15">
        <f>IFERROR((s_TR/(up_RadSpec!G16*s_EF_res*(1/365)*s_ED_res*up_RadSpec!R16*((s_ET_res_o*(1/24)*up_RadSpec!W16)+(s_ET_res_i*(1/24)*up_RadSpec!AB16))))*1,".")</f>
        <v>0.42497011279172547</v>
      </c>
      <c r="T16" s="15">
        <f>IFERROR((s_TR/(up_RadSpec!N16*s_EF_res*(1/365)*s_ED_res*up_RadSpec!S16*((s_ET_res_o*(1/24)*up_RadSpec!X16)+(s_ET_res_i*(1/24)*up_RadSpec!AC16))))*1,".")</f>
        <v>0.75685718978401939</v>
      </c>
      <c r="U16" s="15">
        <f>IFERROR((s_TR/(up_RadSpec!O16*s_EF_res*(1/365)*s_ED_res*up_RadSpec!T16*((s_ET_res_o*(1/24)*up_RadSpec!Y16)+(s_ET_res_i*(1/24)*up_RadSpec!AD16))))*1,".")</f>
        <v>0.45467433645543215</v>
      </c>
      <c r="V16" s="15">
        <f>IFERROR((s_TR/(up_RadSpec!P16*s_EF_res*(1/365)*s_ED_res*up_RadSpec!U16*((s_ET_res_o*(1/24)*up_RadSpec!Z16)+(s_ET_res_i*(1/24)*up_RadSpec!AE16))))*1,".")</f>
        <v>0.45702360766923217</v>
      </c>
      <c r="W16" s="15">
        <f>IFERROR((s_TR/(up_RadSpec!L16*s_EF_res*(1/365)*s_ED_res*up_RadSpec!Q16*((s_ET_res_o*(1/24)*up_RadSpec!V16)+(s_ET_res_i*(1/24)*up_RadSpec!AA16))))*1,".")</f>
        <v>17.696969696969699</v>
      </c>
      <c r="X16" s="40">
        <f>IFERROR((s_C*s_EF_res*(1/365)*s_ED_res*up_RadSpec!R16*((s_ET_res_o*(1/24)*up_RadSpec!W16)+(s_ET_res_i*(1/24)*up_RadSpec!AB16))),".")</f>
        <v>2.3531066536203507E-5</v>
      </c>
      <c r="Y16" s="40">
        <f>IFERROR((s_C*s_EF_res*(1/365)*s_ED_res*up_RadSpec!S16*((s_ET_res_o*(1/24)*up_RadSpec!X16)+(s_ET_res_i*(1/24)*up_RadSpec!AC16))),".")</f>
        <v>1.3212532212125317E-5</v>
      </c>
      <c r="Z16" s="40">
        <f>IFERROR((s_C*s_EF_res*(1/365)*s_ED_res*up_RadSpec!T16*((s_ET_res_o*(1/24)*up_RadSpec!Y16)+(s_ET_res_i*(1/24)*up_RadSpec!AD16))),".")</f>
        <v>2.1993763883746748E-5</v>
      </c>
      <c r="AA16" s="40">
        <f>IFERROR((s_C*s_EF_res*(1/365)*s_ED_res*up_RadSpec!U16*((s_ET_res_o*(1/24)*up_RadSpec!Z16)+(s_ET_res_i*(1/24)*up_RadSpec!AE16))),".")</f>
        <v>2.1880707762557062E-5</v>
      </c>
      <c r="AB16" s="40">
        <f>IFERROR((s_C*s_EF_res*(1/365)*s_ED_res*up_RadSpec!Q16*((s_ET_res_o*(1/24)*up_RadSpec!V16)+(s_ET_res_i*(1/24)*up_RadSpec!AA16))),".")</f>
        <v>5.6506849315068489E-7</v>
      </c>
      <c r="AC16" s="18"/>
      <c r="AD16" s="18"/>
      <c r="AE16" s="18"/>
      <c r="AF16" s="18"/>
      <c r="AG16" s="18"/>
      <c r="AH16" s="15">
        <f>IFERROR((s_TR/(up_RadSpec!H16*s_IFA_res_adj)),".")</f>
        <v>9.9740259740259755E-10</v>
      </c>
      <c r="AI16" s="15">
        <f>IFERROR((s_TR/(up_RadSpec!K16*s_EF_res*(1/365)*s_ED_res*s_ET_res*(1/24)*s_GSF_a)),".")</f>
        <v>6.3709090909090908E-6</v>
      </c>
      <c r="AJ16" s="15">
        <f t="shared" si="8"/>
        <v>9.9724647271019672E-10</v>
      </c>
      <c r="AK16" s="40">
        <f t="shared" si="2"/>
        <v>10026.041666666666</v>
      </c>
      <c r="AL16" s="40">
        <f t="shared" si="3"/>
        <v>1.5696347031963471</v>
      </c>
      <c r="AM16" s="18"/>
      <c r="AN16" s="18"/>
      <c r="AO16" s="18"/>
      <c r="AP16" s="15">
        <f>IFERROR((s_TR/(up_RadSpec!I16*s_IFW_res_adj)),".")</f>
        <v>3.6363636363636369E-10</v>
      </c>
      <c r="AQ16" s="15" t="str">
        <f>IFERROR(IF(AND(up_RadSpec!C16=1,up_RadSpec!D16&lt;&gt;0),(s_TR/(up_RadSpec!F16*s_IFA_res_adj*s_K*up_RadSpec!D16)),"."),".")</f>
        <v>.</v>
      </c>
      <c r="AR16" s="15">
        <f>IFERROR((s_TR/(up_RadSpec!M16*(1/8760)*s_DFA_res_adj)),".")</f>
        <v>3.9818181818181825E-6</v>
      </c>
      <c r="AS16" s="15">
        <f>up_b2w!C16</f>
        <v>1.6443412786038031E-11</v>
      </c>
      <c r="AT16" s="15">
        <f t="shared" si="12"/>
        <v>1.5731958335636466E-11</v>
      </c>
      <c r="AU16" s="40">
        <f t="shared" si="4"/>
        <v>27500</v>
      </c>
      <c r="AV16" s="40">
        <f>IF(up_RadSpec!D16&lt;&gt;"",s_C*s_IFA_res_adj*s_K*up_RadSpec!D16,0)</f>
        <v>0</v>
      </c>
      <c r="AW16" s="40">
        <f t="shared" si="5"/>
        <v>2.5114155251141552</v>
      </c>
      <c r="AX16" s="40">
        <f>up_b2w!AC16</f>
        <v>608146.26076229871</v>
      </c>
      <c r="AY16" s="18"/>
      <c r="AZ16" s="18"/>
      <c r="BA16" s="18"/>
      <c r="BB16" s="18"/>
      <c r="BC16" s="18"/>
      <c r="BD16" s="15">
        <f>IFERROR(s_TR/(up_RadSpec!F16*s_EF_res*s_ED_res*s_IRF_res*0.001*s_CF_res_fish),".")</f>
        <v>6.6115702479338848E-11</v>
      </c>
      <c r="BE16" s="40">
        <f t="shared" si="6"/>
        <v>151250</v>
      </c>
      <c r="BF16" s="18"/>
    </row>
    <row r="17" spans="1:58" x14ac:dyDescent="0.25">
      <c r="A17" s="44" t="s">
        <v>27</v>
      </c>
      <c r="B17" s="42" t="s">
        <v>1071</v>
      </c>
      <c r="C17" s="249"/>
      <c r="D17" s="15">
        <f>IFERROR(((s_TR/(up_RadSpec!E17*s_IFS_res_adj*(1/1000)))*1),".")</f>
        <v>3.3057851239669421E-8</v>
      </c>
      <c r="E17" s="15">
        <f>IFERROR(IF(A17="H-3",(s_TR/((up_RadSpec!H17*s_IFA_res_adj*(1/17)*1000))*1),(s_TR/((up_RadSpec!H17*s_IFA_res_adj*(1/s_PEF_wind)*1000))*1)),".")</f>
        <v>3.0899917851942918E-4</v>
      </c>
      <c r="F17" s="15">
        <f>IFERROR((s_TR/(up_RadSpec!G17*s_EF_res*(1/365)*s_ED_res*up_RadSpec!R17*((s_ET_res_o*(1/24)*up_RadSpec!W17)+(s_ET_res_i*(1/24)*up_RadSpec!AB17))))*1,".")</f>
        <v>3.907123179850451E-5</v>
      </c>
      <c r="G17" s="15">
        <f>up_b2s!C17</f>
        <v>3.2968835384132272E-12</v>
      </c>
      <c r="H17" s="15">
        <f>up_dir!C17</f>
        <v>1.6528925619834712E-11</v>
      </c>
      <c r="I17" s="15">
        <f t="shared" si="11"/>
        <v>3.2965544572999794E-12</v>
      </c>
      <c r="J17" s="40">
        <f t="shared" si="0"/>
        <v>302.5</v>
      </c>
      <c r="K17" s="40">
        <f t="shared" si="1"/>
        <v>3.2362545583179352E-2</v>
      </c>
      <c r="L17" s="40">
        <f>IFERROR((s_C*s_EF_res*(1/365)*s_ED_res*up_RadSpec!R17*((s_ET_res_o*(1/24)*up_RadSpec!W17)+(s_ET_res_i*(1/24)*up_RadSpec!AB17))),".")</f>
        <v>0.2559427880741339</v>
      </c>
      <c r="M17" s="40">
        <f>up_b2s!AC17</f>
        <v>3033167.5</v>
      </c>
      <c r="N17" s="18"/>
      <c r="O17" s="18"/>
      <c r="P17" s="18"/>
      <c r="Q17" s="18"/>
      <c r="R17" s="18"/>
      <c r="S17" s="15">
        <f>IFERROR((s_TR/(up_RadSpec!G17*s_EF_res*(1/365)*s_ED_res*up_RadSpec!R17*((s_ET_res_o*(1/24)*up_RadSpec!W17)+(s_ET_res_i*(1/24)*up_RadSpec!AB17))))*1,".")</f>
        <v>3.907123179850451E-5</v>
      </c>
      <c r="T17" s="15">
        <f>IFERROR((s_TR/(up_RadSpec!N17*s_EF_res*(1/365)*s_ED_res*up_RadSpec!S17*((s_ET_res_o*(1/24)*up_RadSpec!X17)+(s_ET_res_i*(1/24)*up_RadSpec!AC17))))*1,".")</f>
        <v>6.8285148687158764E-5</v>
      </c>
      <c r="U17" s="15">
        <f>IFERROR((s_TR/(up_RadSpec!O17*s_EF_res*(1/365)*s_ED_res*up_RadSpec!T17*((s_ET_res_o*(1/24)*up_RadSpec!Y17)+(s_ET_res_i*(1/24)*up_RadSpec!AD17))))*1,".")</f>
        <v>5.1447016152898515E-5</v>
      </c>
      <c r="V17" s="15">
        <f>IFERROR((s_TR/(up_RadSpec!P17*s_EF_res*(1/365)*s_ED_res*up_RadSpec!U17*((s_ET_res_o*(1/24)*up_RadSpec!Z17)+(s_ET_res_i*(1/24)*up_RadSpec!AE17))))*1,".")</f>
        <v>4.574830598096431E-5</v>
      </c>
      <c r="W17" s="15">
        <f>IFERROR((s_TR/(up_RadSpec!L17*s_EF_res*(1/365)*s_ED_res*up_RadSpec!Q17*((s_ET_res_o*(1/24)*up_RadSpec!V17)+(s_ET_res_i*(1/24)*up_RadSpec!AA17))))*1,".")</f>
        <v>1.3084363888102207E-4</v>
      </c>
      <c r="X17" s="40">
        <f>IFERROR((s_C*s_EF_res*(1/365)*s_ED_res*up_RadSpec!R17*((s_ET_res_o*(1/24)*up_RadSpec!W17)+(s_ET_res_i*(1/24)*up_RadSpec!AB17))),".")</f>
        <v>0.2559427880741339</v>
      </c>
      <c r="Y17" s="40">
        <f>IFERROR((s_C*s_EF_res*(1/365)*s_ED_res*up_RadSpec!S17*((s_ET_res_o*(1/24)*up_RadSpec!X17)+(s_ET_res_i*(1/24)*up_RadSpec!AC17))),".")</f>
        <v>0.14644472762026117</v>
      </c>
      <c r="Z17" s="40">
        <f>IFERROR((s_C*s_EF_res*(1/365)*s_ED_res*up_RadSpec!T17*((s_ET_res_o*(1/24)*up_RadSpec!Y17)+(s_ET_res_i*(1/24)*up_RadSpec!AD17))),".")</f>
        <v>0.19437473244863013</v>
      </c>
      <c r="AA17" s="40">
        <f>IFERROR((s_C*s_EF_res*(1/365)*s_ED_res*up_RadSpec!U17*((s_ET_res_o*(1/24)*up_RadSpec!Z17)+(s_ET_res_i*(1/24)*up_RadSpec!AE17))),".")</f>
        <v>0.21858732876712333</v>
      </c>
      <c r="AB17" s="40">
        <f>IFERROR((s_C*s_EF_res*(1/365)*s_ED_res*up_RadSpec!Q17*((s_ET_res_o*(1/24)*up_RadSpec!V17)+(s_ET_res_i*(1/24)*up_RadSpec!AA17))),".")</f>
        <v>7.6427100969678322E-2</v>
      </c>
      <c r="AC17" s="18"/>
      <c r="AD17" s="18"/>
      <c r="AE17" s="18"/>
      <c r="AF17" s="18"/>
      <c r="AG17" s="18"/>
      <c r="AH17" s="15">
        <f>IFERROR((s_TR/(up_RadSpec!H17*s_IFA_res_adj)),".")</f>
        <v>9.9740259740259755E-10</v>
      </c>
      <c r="AI17" s="15">
        <f>IFERROR((s_TR/(up_RadSpec!K17*s_EF_res*(1/365)*s_ED_res*s_ET_res*(1/24)*s_GSF_a)),".")</f>
        <v>6.3709090909090908E-6</v>
      </c>
      <c r="AJ17" s="15">
        <f>IFERROR(IF(AND(AH17&lt;&gt;".",AI17&lt;&gt;"."),1/((1/AH17)+(1/AI17)),IF(AND(AH17&lt;&gt;".",AI17="."),1/((1/AH17)),IF(AND(AH17=".",AI17&lt;&gt;"."),1/((1/AI17)),IF(AND(AH17=".",AI17="."),".")))),".")</f>
        <v>9.9724647271019672E-10</v>
      </c>
      <c r="AK17" s="40">
        <f t="shared" si="2"/>
        <v>10026.041666666666</v>
      </c>
      <c r="AL17" s="40">
        <f t="shared" si="3"/>
        <v>1.5696347031963471</v>
      </c>
      <c r="AM17" s="18"/>
      <c r="AN17" s="18"/>
      <c r="AO17" s="18"/>
      <c r="AP17" s="15">
        <f>IFERROR((s_TR/(up_RadSpec!I17*s_IFW_res_adj)),".")</f>
        <v>3.6363636363636369E-10</v>
      </c>
      <c r="AQ17" s="15">
        <f>IFERROR(IF(AND(up_RadSpec!C17=1,up_RadSpec!D17&lt;&gt;0),(s_TR/(up_RadSpec!F17*s_IFA_res_adj*s_K*up_RadSpec!D17)),"."),".")</f>
        <v>1.15609920856568E-8</v>
      </c>
      <c r="AR17" s="15">
        <f>IFERROR((s_TR/(up_RadSpec!M17*(1/8760)*s_DFA_res_adj)),".")</f>
        <v>3.9818181818181825E-6</v>
      </c>
      <c r="AS17" s="15">
        <f>up_b2w!C17</f>
        <v>1.6443412786038031E-11</v>
      </c>
      <c r="AT17" s="15">
        <f>(IF(AND(AP17&lt;&gt;".",AQ17&lt;&gt;".",AR17&lt;&gt;".",AS17&lt;&gt;"."),1/((1/AP17)+(1/AQ17)+(1/AR17)+(1/AS17)),IF(AND(AP17&lt;&gt;".",AQ17&lt;&gt;".",AR17&lt;&gt;".",AS17="."), 1/((1/AP17)+(1/AQ17)+(1/AR17)),IF(AND(AP17&lt;&gt;".",AQ17&lt;&gt;".",AR17=".",AS17&lt;&gt;"."),1/((1/AP17)+(1/AQ17)+(1/AS17)),IF(AND(AP17&lt;&gt;".",AQ17=".",AR17&lt;&gt;".",AS17&lt;&gt;"."),1/((1/AP17)+(1/AR17)+(1/AS17)),IF(AND(AP17=".",AQ17&lt;&gt;".",AR17&lt;&gt;".",AS17&lt;&gt;"."),1/((1/AQ17)+(1/AR17)+(1/AS17)),IF(AND(AP17&lt;&gt;".",AQ17&lt;&gt;".",AR17=".",AS17="."),1/((1/AP17)+(1/AQ17)),IF(AND(AP17&lt;&gt;".",AQ17=".",AR17&lt;&gt;".",AS17="."),1/((1/AP17)+(1/AR17)),IF(AND(AP17&lt;&gt;".",AQ17=".",AR17=".",AS17&lt;&gt;"."),1/((1/AP17)+(1/AS17)),IF(AND(AP17=".",AQ17=".",AR17&lt;&gt;".",AS17&lt;&gt;"."),1/((1/AR17)+(1/AS17)),IF(AND(AP17=".",AQ17&lt;&gt;".",AR17=".",AS17&lt;&gt;"."),1/((1/AQ17)+(1/AS17)),IF(AND(AP17=".",AQ17&lt;&gt;".",AR17&lt;&gt;".",AS17="."),1/((1/AQ17)+(1/AR17)),IF(AND(AP17&lt;&gt;".",AQ17=".",AR17=".",AS17="."),1/((1/AP17)),IF(AND(AP17=".",AQ17&lt;&gt;".",AR17=".",AS17="."),1/((1/AQ17)),IF(AND(AP17=".",AQ17=".",AR17&lt;&gt;".",AS17="."),1/((1/AR17)),IF(AND(AP17=".",AQ17=".",AR17=".",AS17&lt;&gt;"."),1/((1/AS17)),IF(AND(AP17=".",AQ17=".",AR17=".",AS17="."),".")))))))))))))))))</f>
        <v>1.5710579704502675E-11</v>
      </c>
      <c r="AU17" s="40">
        <f t="shared" si="4"/>
        <v>27500</v>
      </c>
      <c r="AV17" s="40">
        <f>IF(up_RadSpec!D17&lt;&gt;"",s_C*s_IFA_res_adj*s_K*up_RadSpec!D17,0)</f>
        <v>864.97767024739585</v>
      </c>
      <c r="AW17" s="40">
        <f t="shared" si="5"/>
        <v>2.5114155251141552</v>
      </c>
      <c r="AX17" s="40">
        <f>up_b2w!AC17</f>
        <v>608146.26076229871</v>
      </c>
      <c r="AY17" s="18"/>
      <c r="AZ17" s="18"/>
      <c r="BA17" s="18"/>
      <c r="BB17" s="18"/>
      <c r="BC17" s="18"/>
      <c r="BD17" s="15">
        <f>IFERROR(s_TR/(up_RadSpec!F17*s_EF_res*s_ED_res*s_IRF_res*0.001*s_CF_res_fish),".")</f>
        <v>6.6115702479338848E-11</v>
      </c>
      <c r="BE17" s="40">
        <f t="shared" si="6"/>
        <v>151250</v>
      </c>
      <c r="BF17" s="18"/>
    </row>
    <row r="18" spans="1:58" x14ac:dyDescent="0.25">
      <c r="A18" s="44" t="s">
        <v>28</v>
      </c>
      <c r="B18" s="42" t="s">
        <v>1071</v>
      </c>
      <c r="C18" s="249"/>
      <c r="D18" s="15">
        <f>IFERROR(((s_TR/(up_RadSpec!E18*s_IFS_res_adj*(1/1000)))*1),".")</f>
        <v>3.3057851239669421E-8</v>
      </c>
      <c r="E18" s="15">
        <f>IFERROR(IF(A18="H-3",(s_TR/((up_RadSpec!H18*s_IFA_res_adj*(1/17)*1000))*1),(s_TR/((up_RadSpec!H18*s_IFA_res_adj*(1/s_PEF_wind)*1000))*1)),".")</f>
        <v>3.0899917851942918E-4</v>
      </c>
      <c r="F18" s="15">
        <f>IFERROR((s_TR/(up_RadSpec!G18*s_EF_res*(1/365)*s_ED_res*up_RadSpec!R18*((s_ET_res_o*(1/24)*up_RadSpec!W18)+(s_ET_res_i*(1/24)*up_RadSpec!AB18))))*1,".")</f>
        <v>1.9899502767614227E-5</v>
      </c>
      <c r="G18" s="15">
        <f>up_b2s!C18</f>
        <v>3.2968835384132272E-12</v>
      </c>
      <c r="H18" s="15">
        <f>up_dir!C18</f>
        <v>1.6528925619834712E-11</v>
      </c>
      <c r="I18" s="15">
        <f t="shared" si="11"/>
        <v>3.2965541893322928E-12</v>
      </c>
      <c r="J18" s="40">
        <f t="shared" si="0"/>
        <v>302.5</v>
      </c>
      <c r="K18" s="40">
        <f t="shared" si="1"/>
        <v>3.2362545583179352E-2</v>
      </c>
      <c r="L18" s="40">
        <f>IFERROR((s_C*s_EF_res*(1/365)*s_ED_res*up_RadSpec!R18*((s_ET_res_o*(1/24)*up_RadSpec!W18)+(s_ET_res_i*(1/24)*up_RadSpec!AB18))),".")</f>
        <v>0.5025251191841168</v>
      </c>
      <c r="M18" s="40">
        <f>up_b2s!AC18</f>
        <v>3033167.5</v>
      </c>
      <c r="N18" s="18"/>
      <c r="O18" s="18"/>
      <c r="P18" s="18"/>
      <c r="Q18" s="18"/>
      <c r="R18" s="18"/>
      <c r="S18" s="15">
        <f>IFERROR((s_TR/(up_RadSpec!G18*s_EF_res*(1/365)*s_ED_res*up_RadSpec!R18*((s_ET_res_o*(1/24)*up_RadSpec!W18)+(s_ET_res_i*(1/24)*up_RadSpec!AB18))))*1,".")</f>
        <v>1.9899502767614227E-5</v>
      </c>
      <c r="T18" s="15">
        <f>IFERROR((s_TR/(up_RadSpec!N18*s_EF_res*(1/365)*s_ED_res*up_RadSpec!S18*((s_ET_res_o*(1/24)*up_RadSpec!X18)+(s_ET_res_i*(1/24)*up_RadSpec!AC18))))*1,".")</f>
        <v>3.9375339800268986E-5</v>
      </c>
      <c r="U18" s="15">
        <f>IFERROR((s_TR/(up_RadSpec!O18*s_EF_res*(1/365)*s_ED_res*up_RadSpec!T18*((s_ET_res_o*(1/24)*up_RadSpec!Y18)+(s_ET_res_i*(1/24)*up_RadSpec!AD18))))*1,".")</f>
        <v>2.7574376135306946E-5</v>
      </c>
      <c r="V18" s="15">
        <f>IFERROR((s_TR/(up_RadSpec!P18*s_EF_res*(1/365)*s_ED_res*up_RadSpec!U18*((s_ET_res_o*(1/24)*up_RadSpec!Z18)+(s_ET_res_i*(1/24)*up_RadSpec!AE18))))*1,".")</f>
        <v>2.2845868626050291E-5</v>
      </c>
      <c r="W18" s="15">
        <f>IFERROR((s_TR/(up_RadSpec!L18*s_EF_res*(1/365)*s_ED_res*up_RadSpec!Q18*((s_ET_res_o*(1/24)*up_RadSpec!V18)+(s_ET_res_i*(1/24)*up_RadSpec!AA18))))*1,".")</f>
        <v>6.6930846930846931E-5</v>
      </c>
      <c r="X18" s="40">
        <f>IFERROR((s_C*s_EF_res*(1/365)*s_ED_res*up_RadSpec!R18*((s_ET_res_o*(1/24)*up_RadSpec!W18)+(s_ET_res_i*(1/24)*up_RadSpec!AB18))),".")</f>
        <v>0.5025251191841168</v>
      </c>
      <c r="Y18" s="40">
        <f>IFERROR((s_C*s_EF_res*(1/365)*s_ED_res*up_RadSpec!S18*((s_ET_res_o*(1/24)*up_RadSpec!X18)+(s_ET_res_i*(1/24)*up_RadSpec!AC18))),".")</f>
        <v>0.25396606227971363</v>
      </c>
      <c r="Z18" s="40">
        <f>IFERROR((s_C*s_EF_res*(1/365)*s_ED_res*up_RadSpec!T18*((s_ET_res_o*(1/24)*up_RadSpec!Y18)+(s_ET_res_i*(1/24)*up_RadSpec!AD18))),".")</f>
        <v>0.36265553029849845</v>
      </c>
      <c r="AA18" s="40">
        <f>IFERROR((s_C*s_EF_res*(1/365)*s_ED_res*up_RadSpec!U18*((s_ET_res_o*(1/24)*up_RadSpec!Z18)+(s_ET_res_i*(1/24)*up_RadSpec!AE18))),".")</f>
        <v>0.43771590232281099</v>
      </c>
      <c r="AB18" s="40">
        <f>IFERROR((s_C*s_EF_res*(1/365)*s_ED_res*up_RadSpec!Q18*((s_ET_res_o*(1/24)*up_RadSpec!V18)+(s_ET_res_i*(1/24)*up_RadSpec!AA18))),".")</f>
        <v>0.14940794056187603</v>
      </c>
      <c r="AC18" s="18"/>
      <c r="AD18" s="18"/>
      <c r="AE18" s="18"/>
      <c r="AF18" s="18"/>
      <c r="AG18" s="18"/>
      <c r="AH18" s="15">
        <f>IFERROR((s_TR/(up_RadSpec!H18*s_IFA_res_adj)),".")</f>
        <v>9.9740259740259755E-10</v>
      </c>
      <c r="AI18" s="15">
        <f>IFERROR((s_TR/(up_RadSpec!K18*s_EF_res*(1/365)*s_ED_res*s_ET_res*(1/24)*s_GSF_a)),".")</f>
        <v>6.3709090909090908E-6</v>
      </c>
      <c r="AJ18" s="15">
        <f t="shared" ref="AJ18:AJ20" si="13">IFERROR(IF(AND(AH18&lt;&gt;".",AI18&lt;&gt;"."),1/((1/AH18)+(1/AI18)),IF(AND(AH18&lt;&gt;".",AI18="."),1/((1/AH18)),IF(AND(AH18=".",AI18&lt;&gt;"."),1/((1/AI18)),IF(AND(AH18=".",AI18="."),".")))),".")</f>
        <v>9.9724647271019672E-10</v>
      </c>
      <c r="AK18" s="40">
        <f t="shared" si="2"/>
        <v>10026.041666666666</v>
      </c>
      <c r="AL18" s="40">
        <f t="shared" si="3"/>
        <v>1.5696347031963471</v>
      </c>
      <c r="AM18" s="18"/>
      <c r="AN18" s="18"/>
      <c r="AO18" s="18"/>
      <c r="AP18" s="15">
        <f>IFERROR((s_TR/(up_RadSpec!I18*s_IFW_res_adj)),".")</f>
        <v>3.6363636363636369E-10</v>
      </c>
      <c r="AQ18" s="15" t="str">
        <f>IFERROR(IF(AND(up_RadSpec!C18=1,up_RadSpec!D18&lt;&gt;0),(s_TR/(up_RadSpec!F18*s_IFA_res_adj*s_K*up_RadSpec!D18)),"."),".")</f>
        <v>.</v>
      </c>
      <c r="AR18" s="15">
        <f>IFERROR((s_TR/(up_RadSpec!M18*(1/8760)*s_DFA_res_adj)),".")</f>
        <v>3.9818181818181825E-6</v>
      </c>
      <c r="AS18" s="15">
        <f>up_b2w!C18</f>
        <v>1.6443412786038031E-11</v>
      </c>
      <c r="AT18" s="15">
        <f t="shared" ref="AT18:AT20" si="14">(IF(AND(AP18&lt;&gt;".",AQ18&lt;&gt;".",AR18&lt;&gt;".",AS18&lt;&gt;"."),1/((1/AP18)+(1/AQ18)+(1/AR18)+(1/AS18)),IF(AND(AP18&lt;&gt;".",AQ18&lt;&gt;".",AR18&lt;&gt;".",AS18="."), 1/((1/AP18)+(1/AQ18)+(1/AR18)),IF(AND(AP18&lt;&gt;".",AQ18&lt;&gt;".",AR18=".",AS18&lt;&gt;"."),1/((1/AP18)+(1/AQ18)+(1/AS18)),IF(AND(AP18&lt;&gt;".",AQ18=".",AR18&lt;&gt;".",AS18&lt;&gt;"."),1/((1/AP18)+(1/AR18)+(1/AS18)),IF(AND(AP18=".",AQ18&lt;&gt;".",AR18&lt;&gt;".",AS18&lt;&gt;"."),1/((1/AQ18)+(1/AR18)+(1/AS18)),IF(AND(AP18&lt;&gt;".",AQ18&lt;&gt;".",AR18=".",AS18="."),1/((1/AP18)+(1/AQ18)),IF(AND(AP18&lt;&gt;".",AQ18=".",AR18&lt;&gt;".",AS18="."),1/((1/AP18)+(1/AR18)),IF(AND(AP18&lt;&gt;".",AQ18=".",AR18=".",AS18&lt;&gt;"."),1/((1/AP18)+(1/AS18)),IF(AND(AP18=".",AQ18=".",AR18&lt;&gt;".",AS18&lt;&gt;"."),1/((1/AR18)+(1/AS18)),IF(AND(AP18=".",AQ18&lt;&gt;".",AR18=".",AS18&lt;&gt;"."),1/((1/AQ18)+(1/AS18)),IF(AND(AP18=".",AQ18&lt;&gt;".",AR18&lt;&gt;".",AS18="."),1/((1/AQ18)+(1/AR18)),IF(AND(AP18&lt;&gt;".",AQ18=".",AR18=".",AS18="."),1/((1/AP18)),IF(AND(AP18=".",AQ18&lt;&gt;".",AR18=".",AS18="."),1/((1/AQ18)),IF(AND(AP18=".",AQ18=".",AR18&lt;&gt;".",AS18="."),1/((1/AR18)),IF(AND(AP18=".",AQ18=".",AR18=".",AS18&lt;&gt;"."),1/((1/AS18)),IF(AND(AP18=".",AQ18=".",AR18=".",AS18="."),".")))))))))))))))))</f>
        <v>1.5731958335636466E-11</v>
      </c>
      <c r="AU18" s="40">
        <f t="shared" si="4"/>
        <v>27500</v>
      </c>
      <c r="AV18" s="40">
        <f>IF(up_RadSpec!D18&lt;&gt;"",s_C*s_IFA_res_adj*s_K*up_RadSpec!D18,0)</f>
        <v>0</v>
      </c>
      <c r="AW18" s="40">
        <f t="shared" si="5"/>
        <v>2.5114155251141552</v>
      </c>
      <c r="AX18" s="40">
        <f>up_b2w!AC18</f>
        <v>608146.26076229871</v>
      </c>
      <c r="AY18" s="18"/>
      <c r="AZ18" s="18"/>
      <c r="BA18" s="18"/>
      <c r="BB18" s="18"/>
      <c r="BC18" s="18"/>
      <c r="BD18" s="15">
        <f>IFERROR(s_TR/(up_RadSpec!F18*s_EF_res*s_ED_res*s_IRF_res*0.001*s_CF_res_fish),".")</f>
        <v>6.6115702479338848E-11</v>
      </c>
      <c r="BE18" s="40">
        <f t="shared" si="6"/>
        <v>151250</v>
      </c>
      <c r="BF18" s="18"/>
    </row>
    <row r="19" spans="1:58" x14ac:dyDescent="0.25">
      <c r="A19" s="44" t="s">
        <v>29</v>
      </c>
      <c r="B19" s="42" t="s">
        <v>1071</v>
      </c>
      <c r="C19" s="42"/>
      <c r="D19" s="15">
        <f>IFERROR(((s_TR/(up_RadSpec!E19*s_IFS_res_adj*(1/1000)))*1),".")</f>
        <v>3.3057851239669421E-8</v>
      </c>
      <c r="E19" s="15">
        <f>IFERROR(IF(A19="H-3",(s_TR/((up_RadSpec!H19*s_IFA_res_adj*(1/17)*1000))*1),(s_TR/((up_RadSpec!H19*s_IFA_res_adj*(1/s_PEF_wind)*1000))*1)),".")</f>
        <v>3.0899917851942918E-4</v>
      </c>
      <c r="F19" s="15">
        <f>IFERROR((s_TR/(up_RadSpec!G19*s_EF_res*(1/365)*s_ED_res*up_RadSpec!R19*((s_ET_res_o*(1/24)*up_RadSpec!W19)+(s_ET_res_i*(1/24)*up_RadSpec!AB19))))*1,".")</f>
        <v>2.0305335018159569E-5</v>
      </c>
      <c r="G19" s="15">
        <f>up_b2s!C19</f>
        <v>3.2968835384132272E-12</v>
      </c>
      <c r="H19" s="15">
        <f>up_dir!C19</f>
        <v>1.6528925619834712E-11</v>
      </c>
      <c r="I19" s="15">
        <f t="shared" si="11"/>
        <v>3.2965542002470634E-12</v>
      </c>
      <c r="J19" s="40">
        <f t="shared" si="0"/>
        <v>302.5</v>
      </c>
      <c r="K19" s="40">
        <f t="shared" si="1"/>
        <v>3.2362545583179352E-2</v>
      </c>
      <c r="L19" s="40">
        <f>IFERROR((s_C*s_EF_res*(1/365)*s_ED_res*up_RadSpec!R19*((s_ET_res_o*(1/24)*up_RadSpec!W19)+(s_ET_res_i*(1/24)*up_RadSpec!AB19))),".")</f>
        <v>0.49248140900195692</v>
      </c>
      <c r="M19" s="40">
        <f>up_b2s!AC19</f>
        <v>3033167.5</v>
      </c>
      <c r="N19" s="18"/>
      <c r="O19" s="18"/>
      <c r="P19" s="18"/>
      <c r="Q19" s="18"/>
      <c r="R19" s="18"/>
      <c r="S19" s="15">
        <f>IFERROR((s_TR/(up_RadSpec!G19*s_EF_res*(1/365)*s_ED_res*up_RadSpec!R19*((s_ET_res_o*(1/24)*up_RadSpec!W19)+(s_ET_res_i*(1/24)*up_RadSpec!AB19))))*1,".")</f>
        <v>2.0305335018159569E-5</v>
      </c>
      <c r="T19" s="15">
        <f>IFERROR((s_TR/(up_RadSpec!N19*s_EF_res*(1/365)*s_ED_res*up_RadSpec!S19*((s_ET_res_o*(1/24)*up_RadSpec!X19)+(s_ET_res_i*(1/24)*up_RadSpec!AC19))))*1,".")</f>
        <v>4.0273674316227516E-5</v>
      </c>
      <c r="U19" s="15">
        <f>IFERROR((s_TR/(up_RadSpec!O19*s_EF_res*(1/365)*s_ED_res*up_RadSpec!T19*((s_ET_res_o*(1/24)*up_RadSpec!Y19)+(s_ET_res_i*(1/24)*up_RadSpec!AD19))))*1,".")</f>
        <v>2.7917679468481625E-5</v>
      </c>
      <c r="V19" s="15">
        <f>IFERROR((s_TR/(up_RadSpec!P19*s_EF_res*(1/365)*s_ED_res*up_RadSpec!U19*((s_ET_res_o*(1/24)*up_RadSpec!Z19)+(s_ET_res_i*(1/24)*up_RadSpec!AE19))))*1,".")</f>
        <v>2.3316953316953314E-5</v>
      </c>
      <c r="W19" s="15">
        <f>IFERROR((s_TR/(up_RadSpec!L19*s_EF_res*(1/365)*s_ED_res*up_RadSpec!Q19*((s_ET_res_o*(1/24)*up_RadSpec!V19)+(s_ET_res_i*(1/24)*up_RadSpec!AA19))))*1,".")</f>
        <v>6.9352375470284322E-5</v>
      </c>
      <c r="X19" s="40">
        <f>IFERROR((s_C*s_EF_res*(1/365)*s_ED_res*up_RadSpec!R19*((s_ET_res_o*(1/24)*up_RadSpec!W19)+(s_ET_res_i*(1/24)*up_RadSpec!AB19))),".")</f>
        <v>0.49248140900195692</v>
      </c>
      <c r="Y19" s="40">
        <f>IFERROR((s_C*s_EF_res*(1/365)*s_ED_res*up_RadSpec!S19*((s_ET_res_o*(1/24)*up_RadSpec!X19)+(s_ET_res_i*(1/24)*up_RadSpec!AC19))),".")</f>
        <v>0.24830115875398759</v>
      </c>
      <c r="Z19" s="40">
        <f>IFERROR((s_C*s_EF_res*(1/365)*s_ED_res*up_RadSpec!T19*((s_ET_res_o*(1/24)*up_RadSpec!Y19)+(s_ET_res_i*(1/24)*up_RadSpec!AD19))),".")</f>
        <v>0.35819596006501025</v>
      </c>
      <c r="AA19" s="40">
        <f>IFERROR((s_C*s_EF_res*(1/365)*s_ED_res*up_RadSpec!U19*((s_ET_res_o*(1/24)*up_RadSpec!Z19)+(s_ET_res_i*(1/24)*up_RadSpec!AE19))),".")</f>
        <v>0.42887249736564814</v>
      </c>
      <c r="AB19" s="40">
        <f>IFERROR((s_C*s_EF_res*(1/365)*s_ED_res*up_RadSpec!Q19*((s_ET_res_o*(1/24)*up_RadSpec!V19)+(s_ET_res_i*(1/24)*up_RadSpec!AA19))),".")</f>
        <v>0.14419116767362553</v>
      </c>
      <c r="AC19" s="18"/>
      <c r="AD19" s="18"/>
      <c r="AE19" s="18"/>
      <c r="AF19" s="18"/>
      <c r="AG19" s="18"/>
      <c r="AH19" s="15">
        <f>IFERROR((s_TR/(up_RadSpec!H19*s_IFA_res_adj)),".")</f>
        <v>9.9740259740259755E-10</v>
      </c>
      <c r="AI19" s="15">
        <f>IFERROR((s_TR/(up_RadSpec!K19*s_EF_res*(1/365)*s_ED_res*s_ET_res*(1/24)*s_GSF_a)),".")</f>
        <v>6.3709090909090908E-6</v>
      </c>
      <c r="AJ19" s="15">
        <f t="shared" si="13"/>
        <v>9.9724647271019672E-10</v>
      </c>
      <c r="AK19" s="40">
        <f t="shared" si="2"/>
        <v>10026.041666666666</v>
      </c>
      <c r="AL19" s="40">
        <f t="shared" si="3"/>
        <v>1.5696347031963471</v>
      </c>
      <c r="AM19" s="18"/>
      <c r="AN19" s="18"/>
      <c r="AO19" s="18"/>
      <c r="AP19" s="15">
        <f>IFERROR((s_TR/(up_RadSpec!I19*s_IFW_res_adj)),".")</f>
        <v>3.6363636363636369E-10</v>
      </c>
      <c r="AQ19" s="15" t="str">
        <f>IFERROR(IF(AND(up_RadSpec!C19=1,up_RadSpec!D19&lt;&gt;0),(s_TR/(up_RadSpec!F19*s_IFA_res_adj*s_K*up_RadSpec!D19)),"."),".")</f>
        <v>.</v>
      </c>
      <c r="AR19" s="15">
        <f>IFERROR((s_TR/(up_RadSpec!M19*(1/8760)*s_DFA_res_adj)),".")</f>
        <v>3.9818181818181825E-6</v>
      </c>
      <c r="AS19" s="15">
        <f>up_b2w!C19</f>
        <v>1.6443412786038031E-11</v>
      </c>
      <c r="AT19" s="15">
        <f t="shared" si="14"/>
        <v>1.5731958335636466E-11</v>
      </c>
      <c r="AU19" s="40">
        <f t="shared" si="4"/>
        <v>27500</v>
      </c>
      <c r="AV19" s="40">
        <f>IF(up_RadSpec!D19&lt;&gt;"",s_C*s_IFA_res_adj*s_K*up_RadSpec!D19,0)</f>
        <v>0</v>
      </c>
      <c r="AW19" s="40">
        <f t="shared" si="5"/>
        <v>2.5114155251141552</v>
      </c>
      <c r="AX19" s="40">
        <f>up_b2w!AC19</f>
        <v>608146.26076229871</v>
      </c>
      <c r="AY19" s="18"/>
      <c r="AZ19" s="18"/>
      <c r="BA19" s="18"/>
      <c r="BB19" s="18"/>
      <c r="BC19" s="18"/>
      <c r="BD19" s="15">
        <f>IFERROR(s_TR/(up_RadSpec!F19*s_EF_res*s_ED_res*s_IRF_res*0.001*s_CF_res_fish),".")</f>
        <v>6.6115702479338848E-11</v>
      </c>
      <c r="BE19" s="40">
        <f t="shared" si="6"/>
        <v>151250</v>
      </c>
      <c r="BF19" s="18"/>
    </row>
    <row r="20" spans="1:58" x14ac:dyDescent="0.25">
      <c r="A20" s="44" t="s">
        <v>30</v>
      </c>
      <c r="B20" s="42" t="s">
        <v>1071</v>
      </c>
      <c r="C20" s="249"/>
      <c r="D20" s="15">
        <f>IFERROR(((s_TR/(up_RadSpec!E20*s_IFS_res_adj*(1/1000)))*1),".")</f>
        <v>3.3057851239669421E-8</v>
      </c>
      <c r="E20" s="15">
        <f>IFERROR(IF(A20="H-3",(s_TR/((up_RadSpec!H20*s_IFA_res_adj*(1/17)*1000))*1),(s_TR/((up_RadSpec!H20*s_IFA_res_adj*(1/s_PEF_wind)*1000))*1)),".")</f>
        <v>3.0899917851942918E-4</v>
      </c>
      <c r="F20" s="15">
        <f>IFERROR((s_TR/(up_RadSpec!G20*s_EF_res*(1/365)*s_ED_res*up_RadSpec!R20*((s_ET_res_o*(1/24)*up_RadSpec!W20)+(s_ET_res_i*(1/24)*up_RadSpec!AB20))))*1,".")</f>
        <v>1.9966339756976559E-5</v>
      </c>
      <c r="G20" s="15">
        <f>up_b2s!C20</f>
        <v>3.2968835384132272E-12</v>
      </c>
      <c r="H20" s="15">
        <f>up_dir!C20</f>
        <v>1.6528925619834712E-11</v>
      </c>
      <c r="I20" s="15">
        <f t="shared" si="11"/>
        <v>3.2965541911603785E-12</v>
      </c>
      <c r="J20" s="40">
        <f t="shared" si="0"/>
        <v>302.5</v>
      </c>
      <c r="K20" s="40">
        <f t="shared" si="1"/>
        <v>3.2362545583179352E-2</v>
      </c>
      <c r="L20" s="40">
        <f>IFERROR((s_C*s_EF_res*(1/365)*s_ED_res*up_RadSpec!R20*((s_ET_res_o*(1/24)*up_RadSpec!W20)+(s_ET_res_i*(1/24)*up_RadSpec!AB20))),".")</f>
        <v>0.50084292472814607</v>
      </c>
      <c r="M20" s="40">
        <f>up_b2s!AC20</f>
        <v>3033167.5</v>
      </c>
      <c r="N20" s="18"/>
      <c r="O20" s="18"/>
      <c r="P20" s="18"/>
      <c r="Q20" s="18"/>
      <c r="R20" s="18"/>
      <c r="S20" s="15">
        <f>IFERROR((s_TR/(up_RadSpec!G20*s_EF_res*(1/365)*s_ED_res*up_RadSpec!R20*((s_ET_res_o*(1/24)*up_RadSpec!W20)+(s_ET_res_i*(1/24)*up_RadSpec!AB20))))*1,".")</f>
        <v>1.9966339756976559E-5</v>
      </c>
      <c r="T20" s="15">
        <f>IFERROR((s_TR/(up_RadSpec!N20*s_EF_res*(1/365)*s_ED_res*up_RadSpec!S20*((s_ET_res_o*(1/24)*up_RadSpec!X20)+(s_ET_res_i*(1/24)*up_RadSpec!AC20))))*1,".")</f>
        <v>3.9375513007353816E-5</v>
      </c>
      <c r="U20" s="15">
        <f>IFERROR((s_TR/(up_RadSpec!O20*s_EF_res*(1/365)*s_ED_res*up_RadSpec!T20*((s_ET_res_o*(1/24)*up_RadSpec!Y20)+(s_ET_res_i*(1/24)*up_RadSpec!AD20))))*1,".")</f>
        <v>2.7550227550227561E-5</v>
      </c>
      <c r="V20" s="15">
        <f>IFERROR((s_TR/(up_RadSpec!P20*s_EF_res*(1/365)*s_ED_res*up_RadSpec!U20*((s_ET_res_o*(1/24)*up_RadSpec!Z20)+(s_ET_res_i*(1/24)*up_RadSpec!AE20))))*1,".")</f>
        <v>2.3133293721529029E-5</v>
      </c>
      <c r="W20" s="15">
        <f>IFERROR((s_TR/(up_RadSpec!L20*s_EF_res*(1/365)*s_ED_res*up_RadSpec!Q20*((s_ET_res_o*(1/24)*up_RadSpec!V20)+(s_ET_res_i*(1/24)*up_RadSpec!AA20))))*1,".")</f>
        <v>6.7094367094367116E-5</v>
      </c>
      <c r="X20" s="40">
        <f>IFERROR((s_C*s_EF_res*(1/365)*s_ED_res*up_RadSpec!R20*((s_ET_res_o*(1/24)*up_RadSpec!W20)+(s_ET_res_i*(1/24)*up_RadSpec!AB20))),".")</f>
        <v>0.50084292472814607</v>
      </c>
      <c r="Y20" s="40">
        <f>IFERROR((s_C*s_EF_res*(1/365)*s_ED_res*up_RadSpec!S20*((s_ET_res_o*(1/24)*up_RadSpec!X20)+(s_ET_res_i*(1/24)*up_RadSpec!AC20))),".")</f>
        <v>0.25396494512039475</v>
      </c>
      <c r="Z20" s="40">
        <f>IFERROR((s_C*s_EF_res*(1/365)*s_ED_res*up_RadSpec!T20*((s_ET_res_o*(1/24)*up_RadSpec!Y20)+(s_ET_res_i*(1/24)*up_RadSpec!AD20))),".")</f>
        <v>0.36297340854149868</v>
      </c>
      <c r="AA20" s="40">
        <f>IFERROR((s_C*s_EF_res*(1/365)*s_ED_res*up_RadSpec!U20*((s_ET_res_o*(1/24)*up_RadSpec!Z20)+(s_ET_res_i*(1/24)*up_RadSpec!AE20))),".")</f>
        <v>0.43227739726027375</v>
      </c>
      <c r="AB20" s="40">
        <f>IFERROR((s_C*s_EF_res*(1/365)*s_ED_res*up_RadSpec!Q20*((s_ET_res_o*(1/24)*up_RadSpec!V20)+(s_ET_res_i*(1/24)*up_RadSpec!AA20))),".")</f>
        <v>0.14904380849043805</v>
      </c>
      <c r="AC20" s="18"/>
      <c r="AD20" s="18"/>
      <c r="AE20" s="18"/>
      <c r="AF20" s="18"/>
      <c r="AG20" s="18"/>
      <c r="AH20" s="15">
        <f>IFERROR((s_TR/(up_RadSpec!H20*s_IFA_res_adj)),".")</f>
        <v>9.9740259740259755E-10</v>
      </c>
      <c r="AI20" s="15">
        <f>IFERROR((s_TR/(up_RadSpec!K20*s_EF_res*(1/365)*s_ED_res*s_ET_res*(1/24)*s_GSF_a)),".")</f>
        <v>6.3709090909090908E-6</v>
      </c>
      <c r="AJ20" s="15">
        <f t="shared" si="13"/>
        <v>9.9724647271019672E-10</v>
      </c>
      <c r="AK20" s="40">
        <f t="shared" si="2"/>
        <v>10026.041666666666</v>
      </c>
      <c r="AL20" s="40">
        <f t="shared" si="3"/>
        <v>1.5696347031963471</v>
      </c>
      <c r="AM20" s="18"/>
      <c r="AN20" s="18"/>
      <c r="AO20" s="18"/>
      <c r="AP20" s="15">
        <f>IFERROR((s_TR/(up_RadSpec!I20*s_IFW_res_adj)),".")</f>
        <v>3.6363636363636369E-10</v>
      </c>
      <c r="AQ20" s="15">
        <f>IFERROR(IF(AND(up_RadSpec!C20=1,up_RadSpec!D20&lt;&gt;0),(s_TR/(up_RadSpec!F20*s_IFA_res_adj*s_K*up_RadSpec!D20)),"."),".")</f>
        <v>3.9187253504904385E-8</v>
      </c>
      <c r="AR20" s="15">
        <f>IFERROR((s_TR/(up_RadSpec!M20*(1/8760)*s_DFA_res_adj)),".")</f>
        <v>3.9818181818181825E-6</v>
      </c>
      <c r="AS20" s="15">
        <f>up_b2w!C20</f>
        <v>1.6443412786038031E-11</v>
      </c>
      <c r="AT20" s="15">
        <f t="shared" si="14"/>
        <v>1.5725645180907311E-11</v>
      </c>
      <c r="AU20" s="40">
        <f t="shared" si="4"/>
        <v>27500</v>
      </c>
      <c r="AV20" s="40">
        <f>IF(up_RadSpec!D20&lt;&gt;"",s_C*s_IFA_res_adj*s_K*up_RadSpec!D20,0)</f>
        <v>255.18501822916667</v>
      </c>
      <c r="AW20" s="40">
        <f t="shared" si="5"/>
        <v>2.5114155251141552</v>
      </c>
      <c r="AX20" s="40">
        <f>up_b2w!AC20</f>
        <v>608146.26076229871</v>
      </c>
      <c r="AY20" s="18"/>
      <c r="AZ20" s="18"/>
      <c r="BA20" s="18"/>
      <c r="BB20" s="18"/>
      <c r="BC20" s="18"/>
      <c r="BD20" s="15">
        <f>IFERROR(s_TR/(up_RadSpec!F20*s_EF_res*s_ED_res*s_IRF_res*0.001*s_CF_res_fish),".")</f>
        <v>6.6115702479338848E-11</v>
      </c>
      <c r="BE20" s="40">
        <f t="shared" si="6"/>
        <v>151250</v>
      </c>
      <c r="BF20" s="18"/>
    </row>
    <row r="21" spans="1:58" x14ac:dyDescent="0.25">
      <c r="A21" s="44" t="s">
        <v>31</v>
      </c>
      <c r="B21" s="42" t="s">
        <v>1071</v>
      </c>
      <c r="C21" s="249"/>
      <c r="D21" s="15">
        <f>IFERROR(((s_TR/(up_RadSpec!E21*s_IFS_res_adj*(1/1000)))*1),".")</f>
        <v>3.3057851239669421E-8</v>
      </c>
      <c r="E21" s="15">
        <f>IFERROR(IF(A21="H-3",(s_TR/((up_RadSpec!H21*s_IFA_res_adj*(1/17)*1000))*1),(s_TR/((up_RadSpec!H21*s_IFA_res_adj*(1/s_PEF_wind)*1000))*1)),".")</f>
        <v>3.0899917851942918E-4</v>
      </c>
      <c r="F21" s="15" t="str">
        <f>IFERROR((s_TR/(up_RadSpec!G21*s_EF_res*(1/365)*s_ED_res*up_RadSpec!R21*((s_ET_res_o*(1/24)*up_RadSpec!W21)+(s_ET_res_i*(1/24)*up_RadSpec!AB21))))*1,".")</f>
        <v>.</v>
      </c>
      <c r="G21" s="15">
        <f>up_b2s!C21</f>
        <v>3.2968835384132272E-12</v>
      </c>
      <c r="H21" s="15">
        <f>up_dir!C21</f>
        <v>1.6528925619834712E-11</v>
      </c>
      <c r="I21" s="15">
        <f t="shared" si="11"/>
        <v>3.2965547354399742E-12</v>
      </c>
      <c r="J21" s="40">
        <f t="shared" si="0"/>
        <v>302.5</v>
      </c>
      <c r="K21" s="40">
        <f t="shared" si="1"/>
        <v>3.2362545583179352E-2</v>
      </c>
      <c r="L21" s="40">
        <f>IFERROR((s_C*s_EF_res*(1/365)*s_ED_res*up_RadSpec!R21*((s_ET_res_o*(1/24)*up_RadSpec!W21)+(s_ET_res_i*(1/24)*up_RadSpec!AB21))),".")</f>
        <v>0</v>
      </c>
      <c r="M21" s="40">
        <f>up_b2s!AC21</f>
        <v>3033167.5</v>
      </c>
      <c r="N21" s="18"/>
      <c r="O21" s="18"/>
      <c r="P21" s="18"/>
      <c r="Q21" s="18"/>
      <c r="R21" s="18"/>
      <c r="S21" s="15" t="str">
        <f>IFERROR((s_TR/(up_RadSpec!G21*s_EF_res*(1/365)*s_ED_res*up_RadSpec!R21*((s_ET_res_o*(1/24)*up_RadSpec!W21)+(s_ET_res_i*(1/24)*up_RadSpec!AB21))))*1,".")</f>
        <v>.</v>
      </c>
      <c r="T21" s="15" t="str">
        <f>IFERROR((s_TR/(up_RadSpec!N21*s_EF_res*(1/365)*s_ED_res*up_RadSpec!S21*((s_ET_res_o*(1/24)*up_RadSpec!X21)+(s_ET_res_i*(1/24)*up_RadSpec!AC21))))*1,".")</f>
        <v>.</v>
      </c>
      <c r="U21" s="15" t="str">
        <f>IFERROR((s_TR/(up_RadSpec!O21*s_EF_res*(1/365)*s_ED_res*up_RadSpec!T21*((s_ET_res_o*(1/24)*up_RadSpec!Y21)+(s_ET_res_i*(1/24)*up_RadSpec!AD21))))*1,".")</f>
        <v>.</v>
      </c>
      <c r="V21" s="15" t="str">
        <f>IFERROR((s_TR/(up_RadSpec!P21*s_EF_res*(1/365)*s_ED_res*up_RadSpec!U21*((s_ET_res_o*(1/24)*up_RadSpec!Z21)+(s_ET_res_i*(1/24)*up_RadSpec!AE21))))*1,".")</f>
        <v>.</v>
      </c>
      <c r="W21" s="15" t="str">
        <f>IFERROR((s_TR/(up_RadSpec!L21*s_EF_res*(1/365)*s_ED_res*up_RadSpec!Q21*((s_ET_res_o*(1/24)*up_RadSpec!V21)+(s_ET_res_i*(1/24)*up_RadSpec!AA21))))*1,".")</f>
        <v>.</v>
      </c>
      <c r="X21" s="40">
        <f>IFERROR((s_C*s_EF_res*(1/365)*s_ED_res*up_RadSpec!R21*((s_ET_res_o*(1/24)*up_RadSpec!W21)+(s_ET_res_i*(1/24)*up_RadSpec!AB21))),".")</f>
        <v>0</v>
      </c>
      <c r="Y21" s="40">
        <f>IFERROR((s_C*s_EF_res*(1/365)*s_ED_res*up_RadSpec!S21*((s_ET_res_o*(1/24)*up_RadSpec!X21)+(s_ET_res_i*(1/24)*up_RadSpec!AC21))),".")</f>
        <v>0</v>
      </c>
      <c r="Z21" s="40">
        <f>IFERROR((s_C*s_EF_res*(1/365)*s_ED_res*up_RadSpec!T21*((s_ET_res_o*(1/24)*up_RadSpec!Y21)+(s_ET_res_i*(1/24)*up_RadSpec!AD21))),".")</f>
        <v>0</v>
      </c>
      <c r="AA21" s="40">
        <f>IFERROR((s_C*s_EF_res*(1/365)*s_ED_res*up_RadSpec!U21*((s_ET_res_o*(1/24)*up_RadSpec!Z21)+(s_ET_res_i*(1/24)*up_RadSpec!AE21))),".")</f>
        <v>0</v>
      </c>
      <c r="AB21" s="40">
        <f>IFERROR((s_C*s_EF_res*(1/365)*s_ED_res*up_RadSpec!Q21*((s_ET_res_o*(1/24)*up_RadSpec!V21)+(s_ET_res_i*(1/24)*up_RadSpec!AA21))),".")</f>
        <v>0</v>
      </c>
      <c r="AC21" s="18"/>
      <c r="AD21" s="18"/>
      <c r="AE21" s="18"/>
      <c r="AF21" s="18"/>
      <c r="AG21" s="18"/>
      <c r="AH21" s="15">
        <f>IFERROR((s_TR/(up_RadSpec!H21*s_IFA_res_adj)),".")</f>
        <v>9.9740259740259755E-10</v>
      </c>
      <c r="AI21" s="15">
        <f>IFERROR((s_TR/(up_RadSpec!K21*s_EF_res*(1/365)*s_ED_res*s_ET_res*(1/24)*s_GSF_a)),".")</f>
        <v>6.3709090909090908E-6</v>
      </c>
      <c r="AJ21" s="15">
        <f>IFERROR(IF(AND(AH21&lt;&gt;".",AI21&lt;&gt;"."),1/((1/AH21)+(1/AI21)),IF(AND(AH21&lt;&gt;".",AI21="."),1/((1/AH21)),IF(AND(AH21=".",AI21&lt;&gt;"."),1/((1/AI21)),IF(AND(AH21=".",AI21="."),".")))),".")</f>
        <v>9.9724647271019672E-10</v>
      </c>
      <c r="AK21" s="40">
        <f t="shared" si="2"/>
        <v>10026.041666666666</v>
      </c>
      <c r="AL21" s="40">
        <f t="shared" si="3"/>
        <v>1.5696347031963471</v>
      </c>
      <c r="AM21" s="18"/>
      <c r="AN21" s="18"/>
      <c r="AO21" s="18"/>
      <c r="AP21" s="15">
        <f>IFERROR((s_TR/(up_RadSpec!I21*s_IFW_res_adj)),".")</f>
        <v>3.6363636363636369E-10</v>
      </c>
      <c r="AQ21" s="15">
        <f>IFERROR(IF(AND(up_RadSpec!C21=1,up_RadSpec!D21&lt;&gt;0),(s_TR/(up_RadSpec!F21*s_IFA_res_adj*s_K*up_RadSpec!D21)),"."),".")</f>
        <v>2.7382615489626788E-9</v>
      </c>
      <c r="AR21" s="15">
        <f>IFERROR((s_TR/(up_RadSpec!M21*(1/8760)*s_DFA_res_adj)),".")</f>
        <v>3.9818181818181825E-6</v>
      </c>
      <c r="AS21" s="15">
        <f>up_b2w!C21</f>
        <v>1.6443412786038031E-11</v>
      </c>
      <c r="AT21" s="15">
        <f>(IF(AND(AP21&lt;&gt;".",AQ21&lt;&gt;".",AR21&lt;&gt;".",AS21&lt;&gt;"."),1/((1/AP21)+(1/AQ21)+(1/AR21)+(1/AS21)),IF(AND(AP21&lt;&gt;".",AQ21&lt;&gt;".",AR21&lt;&gt;".",AS21="."), 1/((1/AP21)+(1/AQ21)+(1/AR21)),IF(AND(AP21&lt;&gt;".",AQ21&lt;&gt;".",AR21=".",AS21&lt;&gt;"."),1/((1/AP21)+(1/AQ21)+(1/AS21)),IF(AND(AP21&lt;&gt;".",AQ21=".",AR21&lt;&gt;".",AS21&lt;&gt;"."),1/((1/AP21)+(1/AR21)+(1/AS21)),IF(AND(AP21=".",AQ21&lt;&gt;".",AR21&lt;&gt;".",AS21&lt;&gt;"."),1/((1/AQ21)+(1/AR21)+(1/AS21)),IF(AND(AP21&lt;&gt;".",AQ21&lt;&gt;".",AR21=".",AS21="."),1/((1/AP21)+(1/AQ21)),IF(AND(AP21&lt;&gt;".",AQ21=".",AR21&lt;&gt;".",AS21="."),1/((1/AP21)+(1/AR21)),IF(AND(AP21&lt;&gt;".",AQ21=".",AR21=".",AS21&lt;&gt;"."),1/((1/AP21)+(1/AS21)),IF(AND(AP21=".",AQ21=".",AR21&lt;&gt;".",AS21&lt;&gt;"."),1/((1/AR21)+(1/AS21)),IF(AND(AP21=".",AQ21&lt;&gt;".",AR21=".",AS21&lt;&gt;"."),1/((1/AQ21)+(1/AS21)),IF(AND(AP21=".",AQ21&lt;&gt;".",AR21&lt;&gt;".",AS21="."),1/((1/AQ21)+(1/AR21)),IF(AND(AP21&lt;&gt;".",AQ21=".",AR21=".",AS21="."),1/((1/AP21)),IF(AND(AP21=".",AQ21&lt;&gt;".",AR21=".",AS21="."),1/((1/AQ21)),IF(AND(AP21=".",AQ21=".",AR21&lt;&gt;".",AS21="."),1/((1/AR21)),IF(AND(AP21=".",AQ21=".",AR21=".",AS21&lt;&gt;"."),1/((1/AS21)),IF(AND(AP21=".",AQ21=".",AR21=".",AS21="."),".")))))))))))))))))</f>
        <v>1.564209083507108E-11</v>
      </c>
      <c r="AU21" s="40">
        <f t="shared" si="4"/>
        <v>27500</v>
      </c>
      <c r="AV21" s="40">
        <f>IF(up_RadSpec!D21&lt;&gt;"",s_C*s_IFA_res_adj*s_K*up_RadSpec!D21,0)</f>
        <v>3651.9520948567706</v>
      </c>
      <c r="AW21" s="40">
        <f t="shared" si="5"/>
        <v>2.5114155251141552</v>
      </c>
      <c r="AX21" s="40">
        <f>up_b2w!AC21</f>
        <v>608146.26076229871</v>
      </c>
      <c r="AY21" s="18"/>
      <c r="AZ21" s="18"/>
      <c r="BA21" s="18"/>
      <c r="BB21" s="18"/>
      <c r="BC21" s="18"/>
      <c r="BD21" s="15">
        <f>IFERROR(s_TR/(up_RadSpec!F21*s_EF_res*s_ED_res*s_IRF_res*0.001*s_CF_res_fish),".")</f>
        <v>6.6115702479338848E-11</v>
      </c>
      <c r="BE21" s="40">
        <f t="shared" si="6"/>
        <v>151250</v>
      </c>
      <c r="BF21" s="18"/>
    </row>
    <row r="22" spans="1:58" x14ac:dyDescent="0.25">
      <c r="A22" s="44" t="s">
        <v>32</v>
      </c>
      <c r="B22" s="42" t="s">
        <v>1071</v>
      </c>
      <c r="C22" s="42"/>
      <c r="D22" s="15">
        <f>IFERROR(((s_TR/(up_RadSpec!E22*s_IFS_res_adj*(1/1000)))*1),".")</f>
        <v>3.3057851239669421E-8</v>
      </c>
      <c r="E22" s="15">
        <f>IFERROR(IF(A22="H-3",(s_TR/((up_RadSpec!H22*s_IFA_res_adj*(1/17)*1000))*1),(s_TR/((up_RadSpec!H22*s_IFA_res_adj*(1/s_PEF_wind)*1000))*1)),".")</f>
        <v>3.0899917851942918E-4</v>
      </c>
      <c r="F22" s="15">
        <f>IFERROR((s_TR/(up_RadSpec!G22*s_EF_res*(1/365)*s_ED_res*up_RadSpec!R22*((s_ET_res_o*(1/24)*up_RadSpec!W22)+(s_ET_res_i*(1/24)*up_RadSpec!AB22))))*1,".")</f>
        <v>84.916911045943351</v>
      </c>
      <c r="G22" s="15">
        <f>up_b2s!C22</f>
        <v>3.2968835384132272E-12</v>
      </c>
      <c r="H22" s="15">
        <f>up_dir!C22</f>
        <v>1.6528925619834712E-11</v>
      </c>
      <c r="I22" s="15">
        <f t="shared" si="11"/>
        <v>3.2965547354398461E-12</v>
      </c>
      <c r="J22" s="40">
        <f t="shared" si="0"/>
        <v>302.5</v>
      </c>
      <c r="K22" s="40">
        <f t="shared" si="1"/>
        <v>3.2362545583179352E-2</v>
      </c>
      <c r="L22" s="40">
        <f>IFERROR((s_C*s_EF_res*(1/365)*s_ED_res*up_RadSpec!R22*((s_ET_res_o*(1/24)*up_RadSpec!W22)+(s_ET_res_i*(1/24)*up_RadSpec!AB22))),".")</f>
        <v>1.1776217336249564E-7</v>
      </c>
      <c r="M22" s="40">
        <f>up_b2s!AC22</f>
        <v>3033167.5</v>
      </c>
      <c r="N22" s="18"/>
      <c r="O22" s="18"/>
      <c r="P22" s="18"/>
      <c r="Q22" s="18"/>
      <c r="R22" s="18"/>
      <c r="S22" s="15">
        <f>IFERROR((s_TR/(up_RadSpec!G22*s_EF_res*(1/365)*s_ED_res*up_RadSpec!R22*((s_ET_res_o*(1/24)*up_RadSpec!W22)+(s_ET_res_i*(1/24)*up_RadSpec!AB22))))*1,".")</f>
        <v>84.916911045943351</v>
      </c>
      <c r="T22" s="15">
        <f>IFERROR((s_TR/(up_RadSpec!N22*s_EF_res*(1/365)*s_ED_res*up_RadSpec!S22*((s_ET_res_o*(1/24)*up_RadSpec!X22)+(s_ET_res_i*(1/24)*up_RadSpec!AC22))))*1,".")</f>
        <v>77.811128612044016</v>
      </c>
      <c r="U22" s="15">
        <f>IFERROR((s_TR/(up_RadSpec!O22*s_EF_res*(1/365)*s_ED_res*up_RadSpec!T22*((s_ET_res_o*(1/24)*up_RadSpec!Y22)+(s_ET_res_i*(1/24)*up_RadSpec!AD22))))*1,".")</f>
        <v>59.779781995241521</v>
      </c>
      <c r="V22" s="15">
        <f>IFERROR((s_TR/(up_RadSpec!P22*s_EF_res*(1/365)*s_ED_res*up_RadSpec!U22*((s_ET_res_o*(1/24)*up_RadSpec!Z22)+(s_ET_res_i*(1/24)*up_RadSpec!AE22))))*1,".")</f>
        <v>61.601430976430962</v>
      </c>
      <c r="W22" s="15">
        <f>IFERROR((s_TR/(up_RadSpec!L22*s_EF_res*(1/365)*s_ED_res*up_RadSpec!Q22*((s_ET_res_o*(1/24)*up_RadSpec!V22)+(s_ET_res_i*(1/24)*up_RadSpec!AA22))))*1,".")</f>
        <v>437.10481663075279</v>
      </c>
      <c r="X22" s="40">
        <f>IFERROR((s_C*s_EF_res*(1/365)*s_ED_res*up_RadSpec!R22*((s_ET_res_o*(1/24)*up_RadSpec!W22)+(s_ET_res_i*(1/24)*up_RadSpec!AB22))),".")</f>
        <v>1.1776217336249564E-7</v>
      </c>
      <c r="Y22" s="40">
        <f>IFERROR((s_C*s_EF_res*(1/365)*s_ED_res*up_RadSpec!S22*((s_ET_res_o*(1/24)*up_RadSpec!X22)+(s_ET_res_i*(1/24)*up_RadSpec!AC22))),".")</f>
        <v>1.285163212303304E-7</v>
      </c>
      <c r="Z22" s="40">
        <f>IFERROR((s_C*s_EF_res*(1/365)*s_ED_res*up_RadSpec!T22*((s_ET_res_o*(1/24)*up_RadSpec!Y22)+(s_ET_res_i*(1/24)*up_RadSpec!AD22))),".")</f>
        <v>1.6728063680118475E-7</v>
      </c>
      <c r="AA22" s="40">
        <f>IFERROR((s_C*s_EF_res*(1/365)*s_ED_res*up_RadSpec!U22*((s_ET_res_o*(1/24)*up_RadSpec!Z22)+(s_ET_res_i*(1/24)*up_RadSpec!AE22))),".")</f>
        <v>1.6233389129914944E-7</v>
      </c>
      <c r="AB22" s="40">
        <f>IFERROR((s_C*s_EF_res*(1/365)*s_ED_res*up_RadSpec!Q22*((s_ET_res_o*(1/24)*up_RadSpec!V22)+(s_ET_res_i*(1/24)*up_RadSpec!AA22))),".")</f>
        <v>2.2877807838131345E-8</v>
      </c>
      <c r="AC22" s="18"/>
      <c r="AD22" s="18"/>
      <c r="AE22" s="18"/>
      <c r="AF22" s="18"/>
      <c r="AG22" s="18"/>
      <c r="AH22" s="15">
        <f>IFERROR((s_TR/(up_RadSpec!H22*s_IFA_res_adj)),".")</f>
        <v>9.9740259740259755E-10</v>
      </c>
      <c r="AI22" s="15">
        <f>IFERROR((s_TR/(up_RadSpec!K22*s_EF_res*(1/365)*s_ED_res*s_ET_res*(1/24)*s_GSF_a)),".")</f>
        <v>6.3709090909090908E-6</v>
      </c>
      <c r="AJ22" s="15">
        <f t="shared" ref="AJ22:AJ24" si="15">IFERROR(IF(AND(AH22&lt;&gt;".",AI22&lt;&gt;"."),1/((1/AH22)+(1/AI22)),IF(AND(AH22&lt;&gt;".",AI22="."),1/((1/AH22)),IF(AND(AH22=".",AI22&lt;&gt;"."),1/((1/AI22)),IF(AND(AH22=".",AI22="."),".")))),".")</f>
        <v>9.9724647271019672E-10</v>
      </c>
      <c r="AK22" s="40">
        <f t="shared" si="2"/>
        <v>10026.041666666666</v>
      </c>
      <c r="AL22" s="40">
        <f t="shared" si="3"/>
        <v>1.5696347031963471</v>
      </c>
      <c r="AM22" s="18"/>
      <c r="AN22" s="18"/>
      <c r="AO22" s="18"/>
      <c r="AP22" s="15">
        <f>IFERROR((s_TR/(up_RadSpec!I22*s_IFW_res_adj)),".")</f>
        <v>3.6363636363636369E-10</v>
      </c>
      <c r="AQ22" s="15" t="str">
        <f>IFERROR(IF(AND(up_RadSpec!C22=1,up_RadSpec!D22&lt;&gt;0),(s_TR/(up_RadSpec!F22*s_IFA_res_adj*s_K*up_RadSpec!D22)),"."),".")</f>
        <v>.</v>
      </c>
      <c r="AR22" s="15">
        <f>IFERROR((s_TR/(up_RadSpec!M22*(1/8760)*s_DFA_res_adj)),".")</f>
        <v>3.9818181818181825E-6</v>
      </c>
      <c r="AS22" s="15">
        <f>up_b2w!C22</f>
        <v>1.6443412786038031E-11</v>
      </c>
      <c r="AT22" s="15">
        <f t="shared" ref="AT22:AT24" si="16">(IF(AND(AP22&lt;&gt;".",AQ22&lt;&gt;".",AR22&lt;&gt;".",AS22&lt;&gt;"."),1/((1/AP22)+(1/AQ22)+(1/AR22)+(1/AS22)),IF(AND(AP22&lt;&gt;".",AQ22&lt;&gt;".",AR22&lt;&gt;".",AS22="."), 1/((1/AP22)+(1/AQ22)+(1/AR22)),IF(AND(AP22&lt;&gt;".",AQ22&lt;&gt;".",AR22=".",AS22&lt;&gt;"."),1/((1/AP22)+(1/AQ22)+(1/AS22)),IF(AND(AP22&lt;&gt;".",AQ22=".",AR22&lt;&gt;".",AS22&lt;&gt;"."),1/((1/AP22)+(1/AR22)+(1/AS22)),IF(AND(AP22=".",AQ22&lt;&gt;".",AR22&lt;&gt;".",AS22&lt;&gt;"."),1/((1/AQ22)+(1/AR22)+(1/AS22)),IF(AND(AP22&lt;&gt;".",AQ22&lt;&gt;".",AR22=".",AS22="."),1/((1/AP22)+(1/AQ22)),IF(AND(AP22&lt;&gt;".",AQ22=".",AR22&lt;&gt;".",AS22="."),1/((1/AP22)+(1/AR22)),IF(AND(AP22&lt;&gt;".",AQ22=".",AR22=".",AS22&lt;&gt;"."),1/((1/AP22)+(1/AS22)),IF(AND(AP22=".",AQ22=".",AR22&lt;&gt;".",AS22&lt;&gt;"."),1/((1/AR22)+(1/AS22)),IF(AND(AP22=".",AQ22&lt;&gt;".",AR22=".",AS22&lt;&gt;"."),1/((1/AQ22)+(1/AS22)),IF(AND(AP22=".",AQ22&lt;&gt;".",AR22&lt;&gt;".",AS22="."),1/((1/AQ22)+(1/AR22)),IF(AND(AP22&lt;&gt;".",AQ22=".",AR22=".",AS22="."),1/((1/AP22)),IF(AND(AP22=".",AQ22&lt;&gt;".",AR22=".",AS22="."),1/((1/AQ22)),IF(AND(AP22=".",AQ22=".",AR22&lt;&gt;".",AS22="."),1/((1/AR22)),IF(AND(AP22=".",AQ22=".",AR22=".",AS22&lt;&gt;"."),1/((1/AS22)),IF(AND(AP22=".",AQ22=".",AR22=".",AS22="."),".")))))))))))))))))</f>
        <v>1.5731958335636466E-11</v>
      </c>
      <c r="AU22" s="40">
        <f t="shared" si="4"/>
        <v>27500</v>
      </c>
      <c r="AV22" s="40">
        <f>IF(up_RadSpec!D22&lt;&gt;"",s_C*s_IFA_res_adj*s_K*up_RadSpec!D22,0)</f>
        <v>0</v>
      </c>
      <c r="AW22" s="40">
        <f t="shared" si="5"/>
        <v>2.5114155251141552</v>
      </c>
      <c r="AX22" s="40">
        <f>up_b2w!AC22</f>
        <v>608146.26076229871</v>
      </c>
      <c r="AY22" s="18"/>
      <c r="AZ22" s="18"/>
      <c r="BA22" s="18"/>
      <c r="BB22" s="18"/>
      <c r="BC22" s="18"/>
      <c r="BD22" s="15">
        <f>IFERROR(s_TR/(up_RadSpec!F22*s_EF_res*s_ED_res*s_IRF_res*0.001*s_CF_res_fish),".")</f>
        <v>6.6115702479338848E-11</v>
      </c>
      <c r="BE22" s="40">
        <f t="shared" si="6"/>
        <v>151250</v>
      </c>
      <c r="BF22" s="18"/>
    </row>
    <row r="23" spans="1:58" x14ac:dyDescent="0.25">
      <c r="A23" s="46" t="s">
        <v>33</v>
      </c>
      <c r="B23" s="42" t="s">
        <v>349</v>
      </c>
      <c r="C23" s="249"/>
      <c r="D23" s="15">
        <f>IFERROR(((s_TR/(up_RadSpec!E23*s_IFS_res_adj*(1/1000)))*1),".")</f>
        <v>3.3057851239669421E-8</v>
      </c>
      <c r="E23" s="15">
        <f>IFERROR(IF(A23="H-3",(s_TR/((up_RadSpec!H23*s_IFA_res_adj*(1/17)*1000))*1),(s_TR/((up_RadSpec!H23*s_IFA_res_adj*(1/s_PEF_wind)*1000))*1)),".")</f>
        <v>3.0899917851942918E-4</v>
      </c>
      <c r="F23" s="15">
        <f>IFERROR((s_TR/(up_RadSpec!G23*s_EF_res*(1/365)*s_ED_res*up_RadSpec!R23*((s_ET_res_o*(1/24)*up_RadSpec!W23)+(s_ET_res_i*(1/24)*up_RadSpec!AB23))))*1,".")</f>
        <v>1.9446624184916193E-5</v>
      </c>
      <c r="G23" s="15">
        <f>up_b2s!C23</f>
        <v>3.2968835384132272E-12</v>
      </c>
      <c r="H23" s="15">
        <f>up_dir!C23</f>
        <v>1.6528925619834712E-11</v>
      </c>
      <c r="I23" s="15">
        <f t="shared" si="11"/>
        <v>3.2965541766143816E-12</v>
      </c>
      <c r="J23" s="40">
        <f t="shared" si="0"/>
        <v>302.5</v>
      </c>
      <c r="K23" s="40">
        <f t="shared" si="1"/>
        <v>3.2362545583179352E-2</v>
      </c>
      <c r="L23" s="40">
        <f>IFERROR((s_C*s_EF_res*(1/365)*s_ED_res*up_RadSpec!R23*((s_ET_res_o*(1/24)*up_RadSpec!W23)+(s_ET_res_i*(1/24)*up_RadSpec!AB23))),".")</f>
        <v>0.51422806883657046</v>
      </c>
      <c r="M23" s="40">
        <f>up_b2s!AC23</f>
        <v>3033167.5</v>
      </c>
      <c r="N23" s="18"/>
      <c r="O23" s="18"/>
      <c r="P23" s="18"/>
      <c r="Q23" s="18"/>
      <c r="R23" s="18"/>
      <c r="S23" s="15">
        <f>IFERROR((s_TR/(up_RadSpec!G23*s_EF_res*(1/365)*s_ED_res*up_RadSpec!R23*((s_ET_res_o*(1/24)*up_RadSpec!W23)+(s_ET_res_i*(1/24)*up_RadSpec!AB23))))*1,".")</f>
        <v>1.9446624184916193E-5</v>
      </c>
      <c r="T23" s="15">
        <f>IFERROR((s_TR/(up_RadSpec!N23*s_EF_res*(1/365)*s_ED_res*up_RadSpec!S23*((s_ET_res_o*(1/24)*up_RadSpec!X23)+(s_ET_res_i*(1/24)*up_RadSpec!AC23))))*1,".")</f>
        <v>3.4615356898353366E-5</v>
      </c>
      <c r="U23" s="15">
        <f>IFERROR((s_TR/(up_RadSpec!O23*s_EF_res*(1/365)*s_ED_res*up_RadSpec!T23*((s_ET_res_o*(1/24)*up_RadSpec!Y23)+(s_ET_res_i*(1/24)*up_RadSpec!AD23))))*1,".")</f>
        <v>2.4477396269819058E-5</v>
      </c>
      <c r="V23" s="15">
        <f>IFERROR((s_TR/(up_RadSpec!P23*s_EF_res*(1/365)*s_ED_res*up_RadSpec!U23*((s_ET_res_o*(1/24)*up_RadSpec!Z23)+(s_ET_res_i*(1/24)*up_RadSpec!AE23))))*1,".")</f>
        <v>2.0030636030636029E-5</v>
      </c>
      <c r="W23" s="15">
        <f>IFERROR((s_TR/(up_RadSpec!L23*s_EF_res*(1/365)*s_ED_res*up_RadSpec!Q23*((s_ET_res_o*(1/24)*up_RadSpec!V23)+(s_ET_res_i*(1/24)*up_RadSpec!AA23))))*1,".")</f>
        <v>5.44899760433741E-5</v>
      </c>
      <c r="X23" s="40">
        <f>IFERROR((s_C*s_EF_res*(1/365)*s_ED_res*up_RadSpec!R23*((s_ET_res_o*(1/24)*up_RadSpec!W23)+(s_ET_res_i*(1/24)*up_RadSpec!AB23))),".")</f>
        <v>0.51422806883657046</v>
      </c>
      <c r="Y23" s="40">
        <f>IFERROR((s_C*s_EF_res*(1/365)*s_ED_res*up_RadSpec!S23*((s_ET_res_o*(1/24)*up_RadSpec!X23)+(s_ET_res_i*(1/24)*up_RadSpec!AC23))),".")</f>
        <v>0.28888912020652013</v>
      </c>
      <c r="Z23" s="40">
        <f>IFERROR((s_C*s_EF_res*(1/365)*s_ED_res*up_RadSpec!T23*((s_ET_res_o*(1/24)*up_RadSpec!Y23)+(s_ET_res_i*(1/24)*up_RadSpec!AD23))),".")</f>
        <v>0.40854018498405931</v>
      </c>
      <c r="AA23" s="40">
        <f>IFERROR((s_C*s_EF_res*(1/365)*s_ED_res*up_RadSpec!U23*((s_ET_res_o*(1/24)*up_RadSpec!Z23)+(s_ET_res_i*(1/24)*up_RadSpec!AE23))),".")</f>
        <v>0.49923527064769263</v>
      </c>
      <c r="AB23" s="40">
        <f>IFERROR((s_C*s_EF_res*(1/365)*s_ED_res*up_RadSpec!Q23*((s_ET_res_o*(1/24)*up_RadSpec!V23)+(s_ET_res_i*(1/24)*up_RadSpec!AA23))),".")</f>
        <v>0.18351999259533508</v>
      </c>
      <c r="AC23" s="18"/>
      <c r="AD23" s="18"/>
      <c r="AE23" s="18"/>
      <c r="AF23" s="18"/>
      <c r="AG23" s="18"/>
      <c r="AH23" s="15">
        <f>IFERROR((s_TR/(up_RadSpec!H23*s_IFA_res_adj)),".")</f>
        <v>9.9740259740259755E-10</v>
      </c>
      <c r="AI23" s="15">
        <f>IFERROR((s_TR/(up_RadSpec!K23*s_EF_res*(1/365)*s_ED_res*s_ET_res*(1/24)*s_GSF_a)),".")</f>
        <v>6.3709090909090908E-6</v>
      </c>
      <c r="AJ23" s="15">
        <f t="shared" si="15"/>
        <v>9.9724647271019672E-10</v>
      </c>
      <c r="AK23" s="40">
        <f t="shared" si="2"/>
        <v>10026.041666666666</v>
      </c>
      <c r="AL23" s="40">
        <f t="shared" si="3"/>
        <v>1.5696347031963471</v>
      </c>
      <c r="AM23" s="18"/>
      <c r="AN23" s="18"/>
      <c r="AO23" s="18"/>
      <c r="AP23" s="15">
        <f>IFERROR((s_TR/(up_RadSpec!I23*s_IFW_res_adj)),".")</f>
        <v>3.6363636363636369E-10</v>
      </c>
      <c r="AQ23" s="15" t="str">
        <f>IFERROR(IF(AND(up_RadSpec!C23=1,up_RadSpec!D23&lt;&gt;0),(s_TR/(up_RadSpec!F23*s_IFA_res_adj*s_K*up_RadSpec!D23)),"."),".")</f>
        <v>.</v>
      </c>
      <c r="AR23" s="15">
        <f>IFERROR((s_TR/(up_RadSpec!M23*(1/8760)*s_DFA_res_adj)),".")</f>
        <v>3.9818181818181825E-6</v>
      </c>
      <c r="AS23" s="15">
        <f>up_b2w!C23</f>
        <v>1.6443412786038031E-11</v>
      </c>
      <c r="AT23" s="15">
        <f t="shared" si="16"/>
        <v>1.5731958335636466E-11</v>
      </c>
      <c r="AU23" s="40">
        <f t="shared" si="4"/>
        <v>27500</v>
      </c>
      <c r="AV23" s="40">
        <f>IF(up_RadSpec!D23&lt;&gt;"",s_C*s_IFA_res_adj*s_K*up_RadSpec!D23,0)</f>
        <v>0</v>
      </c>
      <c r="AW23" s="40">
        <f t="shared" si="5"/>
        <v>2.5114155251141552</v>
      </c>
      <c r="AX23" s="40">
        <f>up_b2w!AC23</f>
        <v>608146.26076229871</v>
      </c>
      <c r="AY23" s="18"/>
      <c r="AZ23" s="18"/>
      <c r="BA23" s="18"/>
      <c r="BB23" s="18"/>
      <c r="BC23" s="18"/>
      <c r="BD23" s="15">
        <f>IFERROR(s_TR/(up_RadSpec!F23*s_EF_res*s_ED_res*s_IRF_res*0.001*s_CF_res_fish),".")</f>
        <v>6.6115702479338848E-11</v>
      </c>
      <c r="BE23" s="40">
        <f t="shared" si="6"/>
        <v>151250</v>
      </c>
      <c r="BF23" s="18"/>
    </row>
    <row r="24" spans="1:58" x14ac:dyDescent="0.25">
      <c r="A24" s="44" t="s">
        <v>34</v>
      </c>
      <c r="B24" s="42" t="s">
        <v>1071</v>
      </c>
      <c r="C24" s="249"/>
      <c r="D24" s="15">
        <f>IFERROR(((s_TR/(up_RadSpec!E24*s_IFS_res_adj*(1/1000)))*1),".")</f>
        <v>3.3057851239669421E-8</v>
      </c>
      <c r="E24" s="15">
        <f>IFERROR(IF(A24="H-3",(s_TR/((up_RadSpec!H24*s_IFA_res_adj*(1/17)*1000))*1),(s_TR/((up_RadSpec!H24*s_IFA_res_adj*(1/s_PEF_wind)*1000))*1)),".")</f>
        <v>3.0899917851942918E-4</v>
      </c>
      <c r="F24" s="15">
        <f>IFERROR((s_TR/(up_RadSpec!G24*s_EF_res*(1/365)*s_ED_res*up_RadSpec!R24*((s_ET_res_o*(1/24)*up_RadSpec!W24)+(s_ET_res_i*(1/24)*up_RadSpec!AB24))))*1,".")</f>
        <v>2.5492979041989196E-5</v>
      </c>
      <c r="G24" s="15">
        <f>up_b2s!C24</f>
        <v>3.2968835384132272E-12</v>
      </c>
      <c r="H24" s="15">
        <f>up_dir!C24</f>
        <v>1.6528925619834712E-11</v>
      </c>
      <c r="I24" s="15">
        <f t="shared" si="11"/>
        <v>3.2965543091550862E-12</v>
      </c>
      <c r="J24" s="40">
        <f t="shared" si="0"/>
        <v>302.5</v>
      </c>
      <c r="K24" s="40">
        <f t="shared" si="1"/>
        <v>3.2362545583179352E-2</v>
      </c>
      <c r="L24" s="40">
        <f>IFERROR((s_C*s_EF_res*(1/365)*s_ED_res*up_RadSpec!R24*((s_ET_res_o*(1/24)*up_RadSpec!W24)+(s_ET_res_i*(1/24)*up_RadSpec!AB24))),".")</f>
        <v>0.39226486569220154</v>
      </c>
      <c r="M24" s="40">
        <f>up_b2s!AC24</f>
        <v>3033167.5</v>
      </c>
      <c r="N24" s="18"/>
      <c r="O24" s="18"/>
      <c r="P24" s="18"/>
      <c r="Q24" s="18"/>
      <c r="R24" s="18"/>
      <c r="S24" s="15">
        <f>IFERROR((s_TR/(up_RadSpec!G24*s_EF_res*(1/365)*s_ED_res*up_RadSpec!R24*((s_ET_res_o*(1/24)*up_RadSpec!W24)+(s_ET_res_i*(1/24)*up_RadSpec!AB24))))*1,".")</f>
        <v>2.5492979041989196E-5</v>
      </c>
      <c r="T24" s="15">
        <f>IFERROR((s_TR/(up_RadSpec!N24*s_EF_res*(1/365)*s_ED_res*up_RadSpec!S24*((s_ET_res_o*(1/24)*up_RadSpec!X24)+(s_ET_res_i*(1/24)*up_RadSpec!AC24))))*1,".")</f>
        <v>4.6219152457011309E-5</v>
      </c>
      <c r="U24" s="15">
        <f>IFERROR((s_TR/(up_RadSpec!O24*s_EF_res*(1/365)*s_ED_res*up_RadSpec!T24*((s_ET_res_o*(1/24)*up_RadSpec!Y24)+(s_ET_res_i*(1/24)*up_RadSpec!AD24))))*1,".")</f>
        <v>3.2633708223946296E-5</v>
      </c>
      <c r="V24" s="15">
        <f>IFERROR((s_TR/(up_RadSpec!P24*s_EF_res*(1/365)*s_ED_res*up_RadSpec!U24*((s_ET_res_o*(1/24)*up_RadSpec!Z24)+(s_ET_res_i*(1/24)*up_RadSpec!AE24))))*1,".")</f>
        <v>2.7251262237403295E-5</v>
      </c>
      <c r="W24" s="15">
        <f>IFERROR((s_TR/(up_RadSpec!L24*s_EF_res*(1/365)*s_ED_res*up_RadSpec!Q24*((s_ET_res_o*(1/24)*up_RadSpec!V24)+(s_ET_res_i*(1/24)*up_RadSpec!AA24))))*1,".")</f>
        <v>7.6816516816516806E-5</v>
      </c>
      <c r="X24" s="40">
        <f>IFERROR((s_C*s_EF_res*(1/365)*s_ED_res*up_RadSpec!R24*((s_ET_res_o*(1/24)*up_RadSpec!W24)+(s_ET_res_i*(1/24)*up_RadSpec!AB24))),".")</f>
        <v>0.39226486569220154</v>
      </c>
      <c r="Y24" s="40">
        <f>IFERROR((s_C*s_EF_res*(1/365)*s_ED_res*up_RadSpec!S24*((s_ET_res_o*(1/24)*up_RadSpec!X24)+(s_ET_res_i*(1/24)*up_RadSpec!AC24))),".")</f>
        <v>0.2163605230386052</v>
      </c>
      <c r="Z24" s="40">
        <f>IFERROR((s_C*s_EF_res*(1/365)*s_ED_res*up_RadSpec!T24*((s_ET_res_o*(1/24)*up_RadSpec!Y24)+(s_ET_res_i*(1/24)*up_RadSpec!AD24))),".")</f>
        <v>0.30643161761990928</v>
      </c>
      <c r="AA24" s="40">
        <f>IFERROR((s_C*s_EF_res*(1/365)*s_ED_res*up_RadSpec!U24*((s_ET_res_o*(1/24)*up_RadSpec!Z24)+(s_ET_res_i*(1/24)*up_RadSpec!AE24))),".")</f>
        <v>0.36695547945205476</v>
      </c>
      <c r="AB24" s="40">
        <f>IFERROR((s_C*s_EF_res*(1/365)*s_ED_res*up_RadSpec!Q24*((s_ET_res_o*(1/24)*up_RadSpec!V24)+(s_ET_res_i*(1/24)*up_RadSpec!AA24))),".")</f>
        <v>0.13018033639674009</v>
      </c>
      <c r="AC24" s="18"/>
      <c r="AD24" s="18"/>
      <c r="AE24" s="18"/>
      <c r="AF24" s="18"/>
      <c r="AG24" s="18"/>
      <c r="AH24" s="15">
        <f>IFERROR((s_TR/(up_RadSpec!H24*s_IFA_res_adj)),".")</f>
        <v>9.9740259740259755E-10</v>
      </c>
      <c r="AI24" s="15">
        <f>IFERROR((s_TR/(up_RadSpec!K24*s_EF_res*(1/365)*s_ED_res*s_ET_res*(1/24)*s_GSF_a)),".")</f>
        <v>6.3709090909090908E-6</v>
      </c>
      <c r="AJ24" s="15">
        <f t="shared" si="15"/>
        <v>9.9724647271019672E-10</v>
      </c>
      <c r="AK24" s="40">
        <f t="shared" si="2"/>
        <v>10026.041666666666</v>
      </c>
      <c r="AL24" s="40">
        <f t="shared" si="3"/>
        <v>1.5696347031963471</v>
      </c>
      <c r="AM24" s="18"/>
      <c r="AN24" s="18"/>
      <c r="AO24" s="18"/>
      <c r="AP24" s="15">
        <f>IFERROR((s_TR/(up_RadSpec!I24*s_IFW_res_adj)),".")</f>
        <v>3.6363636363636369E-10</v>
      </c>
      <c r="AQ24" s="15">
        <f>IFERROR(IF(AND(up_RadSpec!C24=1,up_RadSpec!D24&lt;&gt;0),(s_TR/(up_RadSpec!F24*s_IFA_res_adj*s_K*up_RadSpec!D24)),"."),".")</f>
        <v>1.3733409486996358E-2</v>
      </c>
      <c r="AR24" s="15">
        <f>IFERROR((s_TR/(up_RadSpec!M24*(1/8760)*s_DFA_res_adj)),".")</f>
        <v>3.9818181818181825E-6</v>
      </c>
      <c r="AS24" s="15">
        <f>up_b2w!C24</f>
        <v>1.6443412786038031E-11</v>
      </c>
      <c r="AT24" s="15">
        <f t="shared" si="16"/>
        <v>1.5731958317615121E-11</v>
      </c>
      <c r="AU24" s="40">
        <f t="shared" si="4"/>
        <v>27500</v>
      </c>
      <c r="AV24" s="40">
        <f>IF(up_RadSpec!D24&lt;&gt;"",s_C*s_IFA_res_adj*s_K*up_RadSpec!D24,0)</f>
        <v>7.281513020833333E-4</v>
      </c>
      <c r="AW24" s="40">
        <f t="shared" si="5"/>
        <v>2.5114155251141552</v>
      </c>
      <c r="AX24" s="40">
        <f>up_b2w!AC24</f>
        <v>608146.26076229871</v>
      </c>
      <c r="AY24" s="18"/>
      <c r="AZ24" s="18"/>
      <c r="BA24" s="18"/>
      <c r="BB24" s="18"/>
      <c r="BC24" s="18"/>
      <c r="BD24" s="15">
        <f>IFERROR(s_TR/(up_RadSpec!F24*s_EF_res*s_ED_res*s_IRF_res*0.001*s_CF_res_fish),".")</f>
        <v>6.6115702479338848E-11</v>
      </c>
      <c r="BE24" s="40">
        <f t="shared" si="6"/>
        <v>151250</v>
      </c>
      <c r="BF24" s="18"/>
    </row>
    <row r="25" spans="1:58" x14ac:dyDescent="0.25">
      <c r="A25" s="46" t="s">
        <v>35</v>
      </c>
      <c r="B25" s="42" t="s">
        <v>349</v>
      </c>
      <c r="C25" s="249"/>
      <c r="D25" s="15">
        <f>IFERROR(((s_TR/(up_RadSpec!E25*s_IFS_res_adj*(1/1000)))*1),".")</f>
        <v>3.3057851239669421E-8</v>
      </c>
      <c r="E25" s="15">
        <f>IFERROR(IF(A25="H-3",(s_TR/((up_RadSpec!H25*s_IFA_res_adj*(1/17)*1000))*1),(s_TR/((up_RadSpec!H25*s_IFA_res_adj*(1/s_PEF_wind)*1000))*1)),".")</f>
        <v>3.0899917851942918E-4</v>
      </c>
      <c r="F25" s="15">
        <f>IFERROR((s_TR/(up_RadSpec!G25*s_EF_res*(1/365)*s_ED_res*up_RadSpec!R25*((s_ET_res_o*(1/24)*up_RadSpec!W25)+(s_ET_res_i*(1/24)*up_RadSpec!AB25))))*1,".")</f>
        <v>2.8428866983083855E-5</v>
      </c>
      <c r="G25" s="15">
        <f>up_b2s!C25</f>
        <v>3.2968835384132272E-12</v>
      </c>
      <c r="H25" s="15">
        <f>up_dir!C25</f>
        <v>1.6528925619834712E-11</v>
      </c>
      <c r="I25" s="15">
        <f t="shared" si="11"/>
        <v>3.2965543531781041E-12</v>
      </c>
      <c r="J25" s="40">
        <f t="shared" si="0"/>
        <v>302.5</v>
      </c>
      <c r="K25" s="40">
        <f t="shared" si="1"/>
        <v>3.2362545583179352E-2</v>
      </c>
      <c r="L25" s="40">
        <f>IFERROR((s_C*s_EF_res*(1/365)*s_ED_res*up_RadSpec!R25*((s_ET_res_o*(1/24)*up_RadSpec!W25)+(s_ET_res_i*(1/24)*up_RadSpec!AB25))),".")</f>
        <v>0.35175513698630134</v>
      </c>
      <c r="M25" s="40">
        <f>up_b2s!AC25</f>
        <v>3033167.5</v>
      </c>
      <c r="N25" s="18"/>
      <c r="O25" s="18"/>
      <c r="P25" s="18"/>
      <c r="Q25" s="18"/>
      <c r="R25" s="18"/>
      <c r="S25" s="15">
        <f>IFERROR((s_TR/(up_RadSpec!G25*s_EF_res*(1/365)*s_ED_res*up_RadSpec!R25*((s_ET_res_o*(1/24)*up_RadSpec!W25)+(s_ET_res_i*(1/24)*up_RadSpec!AB25))))*1,".")</f>
        <v>2.8428866983083855E-5</v>
      </c>
      <c r="T25" s="15">
        <f>IFERROR((s_TR/(up_RadSpec!N25*s_EF_res*(1/365)*s_ED_res*up_RadSpec!S25*((s_ET_res_o*(1/24)*up_RadSpec!X25)+(s_ET_res_i*(1/24)*up_RadSpec!AC25))))*1,".")</f>
        <v>5.0910201418675987E-5</v>
      </c>
      <c r="U25" s="15">
        <f>IFERROR((s_TR/(up_RadSpec!O25*s_EF_res*(1/365)*s_ED_res*up_RadSpec!T25*((s_ET_res_o*(1/24)*up_RadSpec!Y25)+(s_ET_res_i*(1/24)*up_RadSpec!AD25))))*1,".")</f>
        <v>3.6518163484455633E-5</v>
      </c>
      <c r="V25" s="15">
        <f>IFERROR((s_TR/(up_RadSpec!P25*s_EF_res*(1/365)*s_ED_res*up_RadSpec!U25*((s_ET_res_o*(1/24)*up_RadSpec!Z25)+(s_ET_res_i*(1/24)*up_RadSpec!AE25))))*1,".")</f>
        <v>3.2609800745393961E-5</v>
      </c>
      <c r="W25" s="15">
        <f>IFERROR((s_TR/(up_RadSpec!L25*s_EF_res*(1/365)*s_ED_res*up_RadSpec!Q25*((s_ET_res_o*(1/24)*up_RadSpec!V25)+(s_ET_res_i*(1/24)*up_RadSpec!AA25))))*1,".")</f>
        <v>9.1276400367309481E-5</v>
      </c>
      <c r="X25" s="40">
        <f>IFERROR((s_C*s_EF_res*(1/365)*s_ED_res*up_RadSpec!R25*((s_ET_res_o*(1/24)*up_RadSpec!W25)+(s_ET_res_i*(1/24)*up_RadSpec!AB25))),".")</f>
        <v>0.35175513698630134</v>
      </c>
      <c r="Y25" s="40">
        <f>IFERROR((s_C*s_EF_res*(1/365)*s_ED_res*up_RadSpec!S25*((s_ET_res_o*(1/24)*up_RadSpec!X25)+(s_ET_res_i*(1/24)*up_RadSpec!AC25))),".")</f>
        <v>0.19642428671145629</v>
      </c>
      <c r="Z25" s="40">
        <f>IFERROR((s_C*s_EF_res*(1/365)*s_ED_res*up_RadSpec!T25*((s_ET_res_o*(1/24)*up_RadSpec!Y25)+(s_ET_res_i*(1/24)*up_RadSpec!AD25))),".")</f>
        <v>0.27383633364412241</v>
      </c>
      <c r="AA25" s="40">
        <f>IFERROR((s_C*s_EF_res*(1/365)*s_ED_res*up_RadSpec!U25*((s_ET_res_o*(1/24)*up_RadSpec!Z25)+(s_ET_res_i*(1/24)*up_RadSpec!AE25))),".")</f>
        <v>0.3066562742310675</v>
      </c>
      <c r="AB25" s="40">
        <f>IFERROR((s_C*s_EF_res*(1/365)*s_ED_res*up_RadSpec!Q25*((s_ET_res_o*(1/24)*up_RadSpec!V25)+(s_ET_res_i*(1/24)*up_RadSpec!AA25))),".")</f>
        <v>0.1095573440643863</v>
      </c>
      <c r="AC25" s="18"/>
      <c r="AD25" s="18"/>
      <c r="AE25" s="18"/>
      <c r="AF25" s="18"/>
      <c r="AG25" s="18"/>
      <c r="AH25" s="15">
        <f>IFERROR((s_TR/(up_RadSpec!H25*s_IFA_res_adj)),".")</f>
        <v>9.9740259740259755E-10</v>
      </c>
      <c r="AI25" s="15">
        <f>IFERROR((s_TR/(up_RadSpec!K25*s_EF_res*(1/365)*s_ED_res*s_ET_res*(1/24)*s_GSF_a)),".")</f>
        <v>6.3709090909090908E-6</v>
      </c>
      <c r="AJ25" s="15">
        <f>IFERROR(IF(AND(AH25&lt;&gt;".",AI25&lt;&gt;"."),1/((1/AH25)+(1/AI25)),IF(AND(AH25&lt;&gt;".",AI25="."),1/((1/AH25)),IF(AND(AH25=".",AI25&lt;&gt;"."),1/((1/AI25)),IF(AND(AH25=".",AI25="."),".")))),".")</f>
        <v>9.9724647271019672E-10</v>
      </c>
      <c r="AK25" s="40">
        <f t="shared" si="2"/>
        <v>10026.041666666666</v>
      </c>
      <c r="AL25" s="40">
        <f t="shared" si="3"/>
        <v>1.5696347031963471</v>
      </c>
      <c r="AM25" s="18"/>
      <c r="AN25" s="18"/>
      <c r="AO25" s="18"/>
      <c r="AP25" s="15">
        <f>IFERROR((s_TR/(up_RadSpec!I25*s_IFW_res_adj)),".")</f>
        <v>3.6363636363636369E-10</v>
      </c>
      <c r="AQ25" s="15">
        <f>IFERROR(IF(AND(up_RadSpec!C25=1,up_RadSpec!D25&lt;&gt;0),(s_TR/(up_RadSpec!F25*s_IFA_res_adj*s_K*up_RadSpec!D25)),"."),".")</f>
        <v>1.9948051948051951E-9</v>
      </c>
      <c r="AR25" s="15">
        <f>IFERROR((s_TR/(up_RadSpec!M25*(1/8760)*s_DFA_res_adj)),".")</f>
        <v>3.9818181818181825E-6</v>
      </c>
      <c r="AS25" s="15">
        <f>up_b2w!C25</f>
        <v>1.6443412786038031E-11</v>
      </c>
      <c r="AT25" s="15">
        <f>(IF(AND(AP25&lt;&gt;".",AQ25&lt;&gt;".",AR25&lt;&gt;".",AS25&lt;&gt;"."),1/((1/AP25)+(1/AQ25)+(1/AR25)+(1/AS25)),IF(AND(AP25&lt;&gt;".",AQ25&lt;&gt;".",AR25&lt;&gt;".",AS25="."), 1/((1/AP25)+(1/AQ25)+(1/AR25)),IF(AND(AP25&lt;&gt;".",AQ25&lt;&gt;".",AR25=".",AS25&lt;&gt;"."),1/((1/AP25)+(1/AQ25)+(1/AS25)),IF(AND(AP25&lt;&gt;".",AQ25=".",AR25&lt;&gt;".",AS25&lt;&gt;"."),1/((1/AP25)+(1/AR25)+(1/AS25)),IF(AND(AP25=".",AQ25&lt;&gt;".",AR25&lt;&gt;".",AS25&lt;&gt;"."),1/((1/AQ25)+(1/AR25)+(1/AS25)),IF(AND(AP25&lt;&gt;".",AQ25&lt;&gt;".",AR25=".",AS25="."),1/((1/AP25)+(1/AQ25)),IF(AND(AP25&lt;&gt;".",AQ25=".",AR25&lt;&gt;".",AS25="."),1/((1/AP25)+(1/AR25)),IF(AND(AP25&lt;&gt;".",AQ25=".",AR25=".",AS25&lt;&gt;"."),1/((1/AP25)+(1/AS25)),IF(AND(AP25=".",AQ25=".",AR25&lt;&gt;".",AS25&lt;&gt;"."),1/((1/AR25)+(1/AS25)),IF(AND(AP25=".",AQ25&lt;&gt;".",AR25=".",AS25&lt;&gt;"."),1/((1/AQ25)+(1/AS25)),IF(AND(AP25=".",AQ25&lt;&gt;".",AR25&lt;&gt;".",AS25="."),1/((1/AQ25)+(1/AR25)),IF(AND(AP25&lt;&gt;".",AQ25=".",AR25=".",AS25="."),1/((1/AP25)),IF(AND(AP25=".",AQ25&lt;&gt;".",AR25=".",AS25="."),1/((1/AQ25)),IF(AND(AP25=".",AQ25=".",AR25&lt;&gt;".",AS25="."),1/((1/AR25)),IF(AND(AP25=".",AQ25=".",AR25=".",AS25&lt;&gt;"."),1/((1/AS25)),IF(AND(AP25=".",AQ25=".",AR25=".",AS25="."),".")))))))))))))))))</f>
        <v>1.5608859634034475E-11</v>
      </c>
      <c r="AU25" s="40">
        <f t="shared" si="4"/>
        <v>27500</v>
      </c>
      <c r="AV25" s="40">
        <f>IF(up_RadSpec!D25&lt;&gt;"",s_C*s_IFA_res_adj*s_K*up_RadSpec!D25,0)</f>
        <v>5013.020833333333</v>
      </c>
      <c r="AW25" s="40">
        <f t="shared" si="5"/>
        <v>2.5114155251141552</v>
      </c>
      <c r="AX25" s="40">
        <f>up_b2w!AC25</f>
        <v>608146.26076229871</v>
      </c>
      <c r="AY25" s="18"/>
      <c r="AZ25" s="18"/>
      <c r="BA25" s="18"/>
      <c r="BB25" s="18"/>
      <c r="BC25" s="18"/>
      <c r="BD25" s="15">
        <f>IFERROR(s_TR/(up_RadSpec!F25*s_EF_res*s_ED_res*s_IRF_res*0.001*s_CF_res_fish),".")</f>
        <v>6.6115702479338848E-11</v>
      </c>
      <c r="BE25" s="40">
        <f t="shared" si="6"/>
        <v>151250</v>
      </c>
      <c r="BF25" s="18"/>
    </row>
    <row r="26" spans="1:58" x14ac:dyDescent="0.25">
      <c r="A26" s="44" t="s">
        <v>36</v>
      </c>
      <c r="B26" s="42" t="s">
        <v>1071</v>
      </c>
      <c r="C26" s="42"/>
      <c r="D26" s="15">
        <f>IFERROR(((s_TR/(up_RadSpec!E26*s_IFS_res_adj*(1/1000)))*1),".")</f>
        <v>3.3057851239669421E-8</v>
      </c>
      <c r="E26" s="15">
        <f>IFERROR(IF(A26="H-3",(s_TR/((up_RadSpec!H26*s_IFA_res_adj*(1/17)*1000))*1),(s_TR/((up_RadSpec!H26*s_IFA_res_adj*(1/s_PEF_wind)*1000))*1)),".")</f>
        <v>3.0899917851942918E-4</v>
      </c>
      <c r="F26" s="15">
        <f>IFERROR((s_TR/(up_RadSpec!G26*s_EF_res*(1/365)*s_ED_res*up_RadSpec!R26*((s_ET_res_o*(1/24)*up_RadSpec!W26)+(s_ET_res_i*(1/24)*up_RadSpec!AB26))))*1,".")</f>
        <v>1.5499896928468354E-4</v>
      </c>
      <c r="G26" s="15">
        <f>up_b2s!C26</f>
        <v>3.2968835384132272E-12</v>
      </c>
      <c r="H26" s="15">
        <f>up_dir!C26</f>
        <v>1.6528925619834712E-11</v>
      </c>
      <c r="I26" s="15">
        <f t="shared" si="11"/>
        <v>3.2965546653280703E-12</v>
      </c>
      <c r="J26" s="40">
        <f t="shared" si="0"/>
        <v>302.5</v>
      </c>
      <c r="K26" s="40">
        <f t="shared" si="1"/>
        <v>3.2362545583179352E-2</v>
      </c>
      <c r="L26" s="40">
        <f>IFERROR((s_C*s_EF_res*(1/365)*s_ED_res*up_RadSpec!R26*((s_ET_res_o*(1/24)*up_RadSpec!W26)+(s_ET_res_i*(1/24)*up_RadSpec!AB26))),".")</f>
        <v>6.451655805293259E-2</v>
      </c>
      <c r="M26" s="40">
        <f>up_b2s!AC26</f>
        <v>3033167.5</v>
      </c>
      <c r="N26" s="18"/>
      <c r="O26" s="18"/>
      <c r="P26" s="18"/>
      <c r="Q26" s="18"/>
      <c r="R26" s="18"/>
      <c r="S26" s="15">
        <f>IFERROR((s_TR/(up_RadSpec!G26*s_EF_res*(1/365)*s_ED_res*up_RadSpec!R26*((s_ET_res_o*(1/24)*up_RadSpec!W26)+(s_ET_res_i*(1/24)*up_RadSpec!AB26))))*1,".")</f>
        <v>1.5499896928468354E-4</v>
      </c>
      <c r="T26" s="15">
        <f>IFERROR((s_TR/(up_RadSpec!N26*s_EF_res*(1/365)*s_ED_res*up_RadSpec!S26*((s_ET_res_o*(1/24)*up_RadSpec!X26)+(s_ET_res_i*(1/24)*up_RadSpec!AC26))))*1,".")</f>
        <v>2.829898066905492E-4</v>
      </c>
      <c r="U26" s="15">
        <f>IFERROR((s_TR/(up_RadSpec!O26*s_EF_res*(1/365)*s_ED_res*up_RadSpec!T26*((s_ET_res_o*(1/24)*up_RadSpec!Y26)+(s_ET_res_i*(1/24)*up_RadSpec!AD26))))*1,".")</f>
        <v>2.0453971291866025E-4</v>
      </c>
      <c r="V26" s="15">
        <f>IFERROR((s_TR/(up_RadSpec!P26*s_EF_res*(1/365)*s_ED_res*up_RadSpec!U26*((s_ET_res_o*(1/24)*up_RadSpec!Z26)+(s_ET_res_i*(1/24)*up_RadSpec!AE26))))*1,".")</f>
        <v>1.7495867768595034E-4</v>
      </c>
      <c r="W26" s="15">
        <f>IFERROR((s_TR/(up_RadSpec!L26*s_EF_res*(1/365)*s_ED_res*up_RadSpec!Q26*((s_ET_res_o*(1/24)*up_RadSpec!V26)+(s_ET_res_i*(1/24)*up_RadSpec!AA26))))*1,".")</f>
        <v>1.649416447236924E-3</v>
      </c>
      <c r="X26" s="40">
        <f>IFERROR((s_C*s_EF_res*(1/365)*s_ED_res*up_RadSpec!R26*((s_ET_res_o*(1/24)*up_RadSpec!W26)+(s_ET_res_i*(1/24)*up_RadSpec!AB26))),".")</f>
        <v>6.451655805293259E-2</v>
      </c>
      <c r="Y26" s="40">
        <f>IFERROR((s_C*s_EF_res*(1/365)*s_ED_res*up_RadSpec!S26*((s_ET_res_o*(1/24)*up_RadSpec!X26)+(s_ET_res_i*(1/24)*up_RadSpec!AC26))),".")</f>
        <v>3.5336961839530327E-2</v>
      </c>
      <c r="Z26" s="40">
        <f>IFERROR((s_C*s_EF_res*(1/365)*s_ED_res*up_RadSpec!T26*((s_ET_res_o*(1/24)*up_RadSpec!Y26)+(s_ET_res_i*(1/24)*up_RadSpec!AD26))),".")</f>
        <v>4.8890261247099345E-2</v>
      </c>
      <c r="AA26" s="40">
        <f>IFERROR((s_C*s_EF_res*(1/365)*s_ED_res*up_RadSpec!U26*((s_ET_res_o*(1/24)*up_RadSpec!Z26)+(s_ET_res_i*(1/24)*up_RadSpec!AE26))),".")</f>
        <v>5.7156353330184248E-2</v>
      </c>
      <c r="AB26" s="40">
        <f>IFERROR((s_C*s_EF_res*(1/365)*s_ED_res*up_RadSpec!Q26*((s_ET_res_o*(1/24)*up_RadSpec!V26)+(s_ET_res_i*(1/24)*up_RadSpec!AA26))),".")</f>
        <v>6.0627502634351925E-3</v>
      </c>
      <c r="AC26" s="18"/>
      <c r="AD26" s="18"/>
      <c r="AE26" s="18"/>
      <c r="AF26" s="18"/>
      <c r="AG26" s="18"/>
      <c r="AH26" s="15">
        <f>IFERROR((s_TR/(up_RadSpec!H26*s_IFA_res_adj)),".")</f>
        <v>9.9740259740259755E-10</v>
      </c>
      <c r="AI26" s="15">
        <f>IFERROR((s_TR/(up_RadSpec!K26*s_EF_res*(1/365)*s_ED_res*s_ET_res*(1/24)*s_GSF_a)),".")</f>
        <v>6.3709090909090908E-6</v>
      </c>
      <c r="AJ26" s="15">
        <f>IFERROR(IF(AND(AH26&lt;&gt;".",AI26&lt;&gt;"."),1/((1/AH26)+(1/AI26)),IF(AND(AH26&lt;&gt;".",AI26="."),1/((1/AH26)),IF(AND(AH26=".",AI26&lt;&gt;"."),1/((1/AI26)),IF(AND(AH26=".",AI26="."),".")))),".")</f>
        <v>9.9724647271019672E-10</v>
      </c>
      <c r="AK26" s="40">
        <f t="shared" si="2"/>
        <v>10026.041666666666</v>
      </c>
      <c r="AL26" s="40">
        <f t="shared" si="3"/>
        <v>1.5696347031963471</v>
      </c>
      <c r="AM26" s="18"/>
      <c r="AN26" s="18"/>
      <c r="AO26" s="18"/>
      <c r="AP26" s="15">
        <f>IFERROR((s_TR/(up_RadSpec!I26*s_IFW_res_adj)),".")</f>
        <v>3.6363636363636369E-10</v>
      </c>
      <c r="AQ26" s="15" t="str">
        <f>IFERROR(IF(AND(up_RadSpec!C26=1,up_RadSpec!D26&lt;&gt;0),(s_TR/(up_RadSpec!F26*s_IFA_res_adj*s_K*up_RadSpec!D26)),"."),".")</f>
        <v>.</v>
      </c>
      <c r="AR26" s="15">
        <f>IFERROR((s_TR/(up_RadSpec!M26*(1/8760)*s_DFA_res_adj)),".")</f>
        <v>3.9818181818181825E-6</v>
      </c>
      <c r="AS26" s="15">
        <f>up_b2w!C26</f>
        <v>1.6443412786038031E-11</v>
      </c>
      <c r="AT26" s="15">
        <f>(IF(AND(AP26&lt;&gt;".",AQ26&lt;&gt;".",AR26&lt;&gt;".",AS26&lt;&gt;"."),1/((1/AP26)+(1/AQ26)+(1/AR26)+(1/AS26)),IF(AND(AP26&lt;&gt;".",AQ26&lt;&gt;".",AR26&lt;&gt;".",AS26="."), 1/((1/AP26)+(1/AQ26)+(1/AR26)),IF(AND(AP26&lt;&gt;".",AQ26&lt;&gt;".",AR26=".",AS26&lt;&gt;"."),1/((1/AP26)+(1/AQ26)+(1/AS26)),IF(AND(AP26&lt;&gt;".",AQ26=".",AR26&lt;&gt;".",AS26&lt;&gt;"."),1/((1/AP26)+(1/AR26)+(1/AS26)),IF(AND(AP26=".",AQ26&lt;&gt;".",AR26&lt;&gt;".",AS26&lt;&gt;"."),1/((1/AQ26)+(1/AR26)+(1/AS26)),IF(AND(AP26&lt;&gt;".",AQ26&lt;&gt;".",AR26=".",AS26="."),1/((1/AP26)+(1/AQ26)),IF(AND(AP26&lt;&gt;".",AQ26=".",AR26&lt;&gt;".",AS26="."),1/((1/AP26)+(1/AR26)),IF(AND(AP26&lt;&gt;".",AQ26=".",AR26=".",AS26&lt;&gt;"."),1/((1/AP26)+(1/AS26)),IF(AND(AP26=".",AQ26=".",AR26&lt;&gt;".",AS26&lt;&gt;"."),1/((1/AR26)+(1/AS26)),IF(AND(AP26=".",AQ26&lt;&gt;".",AR26=".",AS26&lt;&gt;"."),1/((1/AQ26)+(1/AS26)),IF(AND(AP26=".",AQ26&lt;&gt;".",AR26&lt;&gt;".",AS26="."),1/((1/AQ26)+(1/AR26)),IF(AND(AP26&lt;&gt;".",AQ26=".",AR26=".",AS26="."),1/((1/AP26)),IF(AND(AP26=".",AQ26&lt;&gt;".",AR26=".",AS26="."),1/((1/AQ26)),IF(AND(AP26=".",AQ26=".",AR26&lt;&gt;".",AS26="."),1/((1/AR26)),IF(AND(AP26=".",AQ26=".",AR26=".",AS26&lt;&gt;"."),1/((1/AS26)),IF(AND(AP26=".",AQ26=".",AR26=".",AS26="."),".")))))))))))))))))</f>
        <v>1.5731958335636466E-11</v>
      </c>
      <c r="AU26" s="40">
        <f t="shared" si="4"/>
        <v>27500</v>
      </c>
      <c r="AV26" s="40">
        <f>IF(up_RadSpec!D26&lt;&gt;"",s_C*s_IFA_res_adj*s_K*up_RadSpec!D26,0)</f>
        <v>0</v>
      </c>
      <c r="AW26" s="40">
        <f t="shared" si="5"/>
        <v>2.5114155251141552</v>
      </c>
      <c r="AX26" s="40">
        <f>up_b2w!AC26</f>
        <v>608146.26076229871</v>
      </c>
      <c r="AY26" s="18"/>
      <c r="AZ26" s="18"/>
      <c r="BA26" s="18"/>
      <c r="BB26" s="18"/>
      <c r="BC26" s="18"/>
      <c r="BD26" s="15">
        <f>IFERROR(s_TR/(up_RadSpec!F26*s_EF_res*s_ED_res*s_IRF_res*0.001*s_CF_res_fish),".")</f>
        <v>6.6115702479338848E-11</v>
      </c>
      <c r="BE26" s="40">
        <f t="shared" si="6"/>
        <v>151250</v>
      </c>
      <c r="BF26" s="18"/>
    </row>
    <row r="27" spans="1:58" x14ac:dyDescent="0.25">
      <c r="A27" s="44" t="s">
        <v>37</v>
      </c>
      <c r="B27" s="42" t="s">
        <v>1071</v>
      </c>
      <c r="C27" s="249"/>
      <c r="D27" s="15">
        <f>IFERROR(((s_TR/(up_RadSpec!E27*s_IFS_res_adj*(1/1000)))*1),".")</f>
        <v>3.3057851239669421E-8</v>
      </c>
      <c r="E27" s="15">
        <f>IFERROR(IF(A27="H-3",(s_TR/((up_RadSpec!H27*s_IFA_res_adj*(1/17)*1000))*1),(s_TR/((up_RadSpec!H27*s_IFA_res_adj*(1/s_PEF_wind)*1000))*1)),".")</f>
        <v>3.0899917851942918E-4</v>
      </c>
      <c r="F27" s="15">
        <f>IFERROR((s_TR/(up_RadSpec!G27*s_EF_res*(1/365)*s_ED_res*up_RadSpec!R27*((s_ET_res_o*(1/24)*up_RadSpec!W27)+(s_ET_res_i*(1/24)*up_RadSpec!AB27))))*1,".")</f>
        <v>3.2657468737646932E-5</v>
      </c>
      <c r="G27" s="15">
        <f>up_b2s!C27</f>
        <v>3.2968835384132272E-12</v>
      </c>
      <c r="H27" s="15">
        <f>up_dir!C27</f>
        <v>1.6528925619834712E-11</v>
      </c>
      <c r="I27" s="15">
        <f t="shared" si="11"/>
        <v>3.2965544026746855E-12</v>
      </c>
      <c r="J27" s="40">
        <f t="shared" si="0"/>
        <v>302.5</v>
      </c>
      <c r="K27" s="40">
        <f t="shared" si="1"/>
        <v>3.2362545583179352E-2</v>
      </c>
      <c r="L27" s="40">
        <f>IFERROR((s_C*s_EF_res*(1/365)*s_ED_res*up_RadSpec!R27*((s_ET_res_o*(1/24)*up_RadSpec!W27)+(s_ET_res_i*(1/24)*up_RadSpec!AB27))),".")</f>
        <v>0.30620866792631063</v>
      </c>
      <c r="M27" s="40">
        <f>up_b2s!AC27</f>
        <v>3033167.5</v>
      </c>
      <c r="N27" s="18"/>
      <c r="O27" s="18"/>
      <c r="P27" s="18"/>
      <c r="Q27" s="18"/>
      <c r="R27" s="18"/>
      <c r="S27" s="15">
        <f>IFERROR((s_TR/(up_RadSpec!G27*s_EF_res*(1/365)*s_ED_res*up_RadSpec!R27*((s_ET_res_o*(1/24)*up_RadSpec!W27)+(s_ET_res_i*(1/24)*up_RadSpec!AB27))))*1,".")</f>
        <v>3.2657468737646932E-5</v>
      </c>
      <c r="T27" s="15">
        <f>IFERROR((s_TR/(up_RadSpec!N27*s_EF_res*(1/365)*s_ED_res*up_RadSpec!S27*((s_ET_res_o*(1/24)*up_RadSpec!X27)+(s_ET_res_i*(1/24)*up_RadSpec!AC27))))*1,".")</f>
        <v>9.6867623604465761E-5</v>
      </c>
      <c r="U27" s="15">
        <f>IFERROR((s_TR/(up_RadSpec!O27*s_EF_res*(1/365)*s_ED_res*up_RadSpec!T27*((s_ET_res_o*(1/24)*up_RadSpec!Y27)+(s_ET_res_i*(1/24)*up_RadSpec!AD27))))*1,".")</f>
        <v>5.9387137366935351E-5</v>
      </c>
      <c r="V27" s="15">
        <f>IFERROR((s_TR/(up_RadSpec!P27*s_EF_res*(1/365)*s_ED_res*up_RadSpec!U27*((s_ET_res_o*(1/24)*up_RadSpec!Z27)+(s_ET_res_i*(1/24)*up_RadSpec!AE27))))*1,".")</f>
        <v>4.3201848165351831E-5</v>
      </c>
      <c r="W27" s="15">
        <f>IFERROR((s_TR/(up_RadSpec!L27*s_EF_res*(1/365)*s_ED_res*up_RadSpec!Q27*((s_ET_res_o*(1/24)*up_RadSpec!V27)+(s_ET_res_i*(1/24)*up_RadSpec!AA27))))*1,".")</f>
        <v>3.0300022558087087E-4</v>
      </c>
      <c r="X27" s="40">
        <f>IFERROR((s_C*s_EF_res*(1/365)*s_ED_res*up_RadSpec!R27*((s_ET_res_o*(1/24)*up_RadSpec!W27)+(s_ET_res_i*(1/24)*up_RadSpec!AB27))),".")</f>
        <v>0.30620866792631063</v>
      </c>
      <c r="Y27" s="40">
        <f>IFERROR((s_C*s_EF_res*(1/365)*s_ED_res*up_RadSpec!S27*((s_ET_res_o*(1/24)*up_RadSpec!X27)+(s_ET_res_i*(1/24)*up_RadSpec!AC27))),".")</f>
        <v>0.10323366701791355</v>
      </c>
      <c r="Z27" s="40">
        <f>IFERROR((s_C*s_EF_res*(1/365)*s_ED_res*up_RadSpec!T27*((s_ET_res_o*(1/24)*up_RadSpec!Y27)+(s_ET_res_i*(1/24)*up_RadSpec!AD27))),".")</f>
        <v>0.16838663123654191</v>
      </c>
      <c r="AA27" s="40">
        <f>IFERROR((s_C*s_EF_res*(1/365)*s_ED_res*up_RadSpec!U27*((s_ET_res_o*(1/24)*up_RadSpec!Z27)+(s_ET_res_i*(1/24)*up_RadSpec!AE27))),".")</f>
        <v>0.23147157875574562</v>
      </c>
      <c r="AB27" s="40">
        <f>IFERROR((s_C*s_EF_res*(1/365)*s_ED_res*up_RadSpec!Q27*((s_ET_res_o*(1/24)*up_RadSpec!V27)+(s_ET_res_i*(1/24)*up_RadSpec!AA27))),".")</f>
        <v>3.3003275759380571E-2</v>
      </c>
      <c r="AC27" s="18"/>
      <c r="AD27" s="18"/>
      <c r="AE27" s="18"/>
      <c r="AF27" s="18"/>
      <c r="AG27" s="18"/>
      <c r="AH27" s="15">
        <f>IFERROR((s_TR/(up_RadSpec!H27*s_IFA_res_adj)),".")</f>
        <v>9.9740259740259755E-10</v>
      </c>
      <c r="AI27" s="15">
        <f>IFERROR((s_TR/(up_RadSpec!K27*s_EF_res*(1/365)*s_ED_res*s_ET_res*(1/24)*s_GSF_a)),".")</f>
        <v>6.3709090909090908E-6</v>
      </c>
      <c r="AJ27" s="15">
        <f>IFERROR(IF(AND(AH27&lt;&gt;".",AI27&lt;&gt;"."),1/((1/AH27)+(1/AI27)),IF(AND(AH27&lt;&gt;".",AI27="."),1/((1/AH27)),IF(AND(AH27=".",AI27&lt;&gt;"."),1/((1/AI27)),IF(AND(AH27=".",AI27="."),".")))),".")</f>
        <v>9.9724647271019672E-10</v>
      </c>
      <c r="AK27" s="40">
        <f t="shared" si="2"/>
        <v>10026.041666666666</v>
      </c>
      <c r="AL27" s="40">
        <f t="shared" si="3"/>
        <v>1.5696347031963471</v>
      </c>
      <c r="AM27" s="18"/>
      <c r="AN27" s="18"/>
      <c r="AO27" s="18"/>
      <c r="AP27" s="15">
        <f>IFERROR((s_TR/(up_RadSpec!I27*s_IFW_res_adj)),".")</f>
        <v>3.6363636363636369E-10</v>
      </c>
      <c r="AQ27" s="15" t="str">
        <f>IFERROR(IF(AND(up_RadSpec!C27=1,up_RadSpec!D27&lt;&gt;0),(s_TR/(up_RadSpec!F27*s_IFA_res_adj*s_K*up_RadSpec!D27)),"."),".")</f>
        <v>.</v>
      </c>
      <c r="AR27" s="15">
        <f>IFERROR((s_TR/(up_RadSpec!M27*(1/8760)*s_DFA_res_adj)),".")</f>
        <v>3.9818181818181825E-6</v>
      </c>
      <c r="AS27" s="15">
        <f>up_b2w!C27</f>
        <v>1.6443412786038031E-11</v>
      </c>
      <c r="AT27" s="15">
        <f>(IF(AND(AP27&lt;&gt;".",AQ27&lt;&gt;".",AR27&lt;&gt;".",AS27&lt;&gt;"."),1/((1/AP27)+(1/AQ27)+(1/AR27)+(1/AS27)),IF(AND(AP27&lt;&gt;".",AQ27&lt;&gt;".",AR27&lt;&gt;".",AS27="."), 1/((1/AP27)+(1/AQ27)+(1/AR27)),IF(AND(AP27&lt;&gt;".",AQ27&lt;&gt;".",AR27=".",AS27&lt;&gt;"."),1/((1/AP27)+(1/AQ27)+(1/AS27)),IF(AND(AP27&lt;&gt;".",AQ27=".",AR27&lt;&gt;".",AS27&lt;&gt;"."),1/((1/AP27)+(1/AR27)+(1/AS27)),IF(AND(AP27=".",AQ27&lt;&gt;".",AR27&lt;&gt;".",AS27&lt;&gt;"."),1/((1/AQ27)+(1/AR27)+(1/AS27)),IF(AND(AP27&lt;&gt;".",AQ27&lt;&gt;".",AR27=".",AS27="."),1/((1/AP27)+(1/AQ27)),IF(AND(AP27&lt;&gt;".",AQ27=".",AR27&lt;&gt;".",AS27="."),1/((1/AP27)+(1/AR27)),IF(AND(AP27&lt;&gt;".",AQ27=".",AR27=".",AS27&lt;&gt;"."),1/((1/AP27)+(1/AS27)),IF(AND(AP27=".",AQ27=".",AR27&lt;&gt;".",AS27&lt;&gt;"."),1/((1/AR27)+(1/AS27)),IF(AND(AP27=".",AQ27&lt;&gt;".",AR27=".",AS27&lt;&gt;"."),1/((1/AQ27)+(1/AS27)),IF(AND(AP27=".",AQ27&lt;&gt;".",AR27&lt;&gt;".",AS27="."),1/((1/AQ27)+(1/AR27)),IF(AND(AP27&lt;&gt;".",AQ27=".",AR27=".",AS27="."),1/((1/AP27)),IF(AND(AP27=".",AQ27&lt;&gt;".",AR27=".",AS27="."),1/((1/AQ27)),IF(AND(AP27=".",AQ27=".",AR27&lt;&gt;".",AS27="."),1/((1/AR27)),IF(AND(AP27=".",AQ27=".",AR27=".",AS27&lt;&gt;"."),1/((1/AS27)),IF(AND(AP27=".",AQ27=".",AR27=".",AS27="."),".")))))))))))))))))</f>
        <v>1.5731958335636466E-11</v>
      </c>
      <c r="AU27" s="40">
        <f t="shared" si="4"/>
        <v>27500</v>
      </c>
      <c r="AV27" s="40">
        <f>IF(up_RadSpec!D27&lt;&gt;"",s_C*s_IFA_res_adj*s_K*up_RadSpec!D27,0)</f>
        <v>0</v>
      </c>
      <c r="AW27" s="40">
        <f t="shared" si="5"/>
        <v>2.5114155251141552</v>
      </c>
      <c r="AX27" s="40">
        <f>up_b2w!AC27</f>
        <v>608146.26076229871</v>
      </c>
      <c r="AY27" s="18"/>
      <c r="AZ27" s="18"/>
      <c r="BA27" s="18"/>
      <c r="BB27" s="18"/>
      <c r="BC27" s="18"/>
      <c r="BD27" s="15">
        <f>IFERROR(s_TR/(up_RadSpec!F27*s_EF_res*s_ED_res*s_IRF_res*0.001*s_CF_res_fish),".")</f>
        <v>6.6115702479338848E-11</v>
      </c>
      <c r="BE27" s="40">
        <f t="shared" si="6"/>
        <v>151250</v>
      </c>
      <c r="BF27" s="18"/>
    </row>
    <row r="28" spans="1:58" x14ac:dyDescent="0.25">
      <c r="A28" s="44" t="s">
        <v>38</v>
      </c>
      <c r="B28" s="42" t="s">
        <v>1071</v>
      </c>
      <c r="C28" s="42"/>
      <c r="D28" s="15">
        <f>IFERROR(((s_TR/(up_RadSpec!E28*s_IFS_res_adj*(1/1000)))*1),".")</f>
        <v>3.3057851239669421E-8</v>
      </c>
      <c r="E28" s="15">
        <f>IFERROR(IF(A28="H-3",(s_TR/((up_RadSpec!H28*s_IFA_res_adj*(1/17)*1000))*1),(s_TR/((up_RadSpec!H28*s_IFA_res_adj*(1/s_PEF_wind)*1000))*1)),".")</f>
        <v>3.0899917851942918E-4</v>
      </c>
      <c r="F28" s="15">
        <f>IFERROR((s_TR/(up_RadSpec!G28*s_EF_res*(1/365)*s_ED_res*up_RadSpec!R28*((s_ET_res_o*(1/24)*up_RadSpec!W28)+(s_ET_res_i*(1/24)*up_RadSpec!AB28))))*1,".")</f>
        <v>1.4451224642307448E-5</v>
      </c>
      <c r="G28" s="15">
        <f>up_b2s!C28</f>
        <v>3.2968835384132272E-12</v>
      </c>
      <c r="H28" s="15">
        <f>up_dir!C28</f>
        <v>1.6528925619834712E-11</v>
      </c>
      <c r="I28" s="15">
        <f t="shared" si="11"/>
        <v>3.2965539834434542E-12</v>
      </c>
      <c r="J28" s="40">
        <f t="shared" si="0"/>
        <v>302.5</v>
      </c>
      <c r="K28" s="40">
        <f t="shared" si="1"/>
        <v>3.2362545583179352E-2</v>
      </c>
      <c r="L28" s="40">
        <f>IFERROR((s_C*s_EF_res*(1/365)*s_ED_res*up_RadSpec!R28*((s_ET_res_o*(1/24)*up_RadSpec!W28)+(s_ET_res_i*(1/24)*up_RadSpec!AB28))),".")</f>
        <v>0.69198287671232872</v>
      </c>
      <c r="M28" s="40">
        <f>up_b2s!AC28</f>
        <v>3033167.5</v>
      </c>
      <c r="N28" s="18"/>
      <c r="O28" s="18"/>
      <c r="P28" s="18"/>
      <c r="Q28" s="18"/>
      <c r="R28" s="18"/>
      <c r="S28" s="15">
        <f>IFERROR((s_TR/(up_RadSpec!G28*s_EF_res*(1/365)*s_ED_res*up_RadSpec!R28*((s_ET_res_o*(1/24)*up_RadSpec!W28)+(s_ET_res_i*(1/24)*up_RadSpec!AB28))))*1,".")</f>
        <v>1.4451224642307448E-5</v>
      </c>
      <c r="T28" s="15">
        <f>IFERROR((s_TR/(up_RadSpec!N28*s_EF_res*(1/365)*s_ED_res*up_RadSpec!S28*((s_ET_res_o*(1/24)*up_RadSpec!X28)+(s_ET_res_i*(1/24)*up_RadSpec!AC28))))*1,".")</f>
        <v>3.2224211885228847E-5</v>
      </c>
      <c r="U28" s="15">
        <f>IFERROR((s_TR/(up_RadSpec!O28*s_EF_res*(1/365)*s_ED_res*up_RadSpec!T28*((s_ET_res_o*(1/24)*up_RadSpec!Y28)+(s_ET_res_i*(1/24)*up_RadSpec!AD28))))*1,".")</f>
        <v>2.2372907328659534E-5</v>
      </c>
      <c r="V28" s="15">
        <f>IFERROR((s_TR/(up_RadSpec!P28*s_EF_res*(1/365)*s_ED_res*up_RadSpec!U28*((s_ET_res_o*(1/24)*up_RadSpec!Z28)+(s_ET_res_i*(1/24)*up_RadSpec!AE28))))*1,".")</f>
        <v>1.9370526187427586E-5</v>
      </c>
      <c r="W28" s="15">
        <f>IFERROR((s_TR/(up_RadSpec!L28*s_EF_res*(1/365)*s_ED_res*up_RadSpec!Q28*((s_ET_res_o*(1/24)*up_RadSpec!V28)+(s_ET_res_i*(1/24)*up_RadSpec!AA28))))*1,".")</f>
        <v>5.6649029982363352E-5</v>
      </c>
      <c r="X28" s="40">
        <f>IFERROR((s_C*s_EF_res*(1/365)*s_ED_res*up_RadSpec!R28*((s_ET_res_o*(1/24)*up_RadSpec!W28)+(s_ET_res_i*(1/24)*up_RadSpec!AB28))),".")</f>
        <v>0.69198287671232872</v>
      </c>
      <c r="Y28" s="40">
        <f>IFERROR((s_C*s_EF_res*(1/365)*s_ED_res*up_RadSpec!S28*((s_ET_res_o*(1/24)*up_RadSpec!X28)+(s_ET_res_i*(1/24)*up_RadSpec!AC28))),".")</f>
        <v>0.31032566554665281</v>
      </c>
      <c r="Z28" s="40">
        <f>IFERROR((s_C*s_EF_res*(1/365)*s_ED_res*up_RadSpec!T28*((s_ET_res_o*(1/24)*up_RadSpec!Y28)+(s_ET_res_i*(1/24)*up_RadSpec!AD28))),".")</f>
        <v>0.44696917808219194</v>
      </c>
      <c r="AA28" s="40">
        <f>IFERROR((s_C*s_EF_res*(1/365)*s_ED_res*up_RadSpec!U28*((s_ET_res_o*(1/24)*up_RadSpec!Z28)+(s_ET_res_i*(1/24)*up_RadSpec!AE28))),".")</f>
        <v>0.51624823730862235</v>
      </c>
      <c r="AB28" s="40">
        <f>IFERROR((s_C*s_EF_res*(1/365)*s_ED_res*up_RadSpec!Q28*((s_ET_res_o*(1/24)*up_RadSpec!V28)+(s_ET_res_i*(1/24)*up_RadSpec!AA28))),".")</f>
        <v>0.17652552926525519</v>
      </c>
      <c r="AC28" s="18"/>
      <c r="AD28" s="18"/>
      <c r="AE28" s="18"/>
      <c r="AF28" s="18"/>
      <c r="AG28" s="18"/>
      <c r="AH28" s="15">
        <f>IFERROR((s_TR/(up_RadSpec!H28*s_IFA_res_adj)),".")</f>
        <v>9.9740259740259755E-10</v>
      </c>
      <c r="AI28" s="15">
        <f>IFERROR((s_TR/(up_RadSpec!K28*s_EF_res*(1/365)*s_ED_res*s_ET_res*(1/24)*s_GSF_a)),".")</f>
        <v>6.3709090909090908E-6</v>
      </c>
      <c r="AJ28" s="15">
        <f t="shared" ref="AJ28:AJ29" si="17">IFERROR(IF(AND(AH28&lt;&gt;".",AI28&lt;&gt;"."),1/((1/AH28)+(1/AI28)),IF(AND(AH28&lt;&gt;".",AI28="."),1/((1/AH28)),IF(AND(AH28=".",AI28&lt;&gt;"."),1/((1/AI28)),IF(AND(AH28=".",AI28="."),".")))),".")</f>
        <v>9.9724647271019672E-10</v>
      </c>
      <c r="AK28" s="40">
        <f t="shared" si="2"/>
        <v>10026.041666666666</v>
      </c>
      <c r="AL28" s="40">
        <f t="shared" si="3"/>
        <v>1.5696347031963471</v>
      </c>
      <c r="AM28" s="18"/>
      <c r="AN28" s="18"/>
      <c r="AO28" s="18"/>
      <c r="AP28" s="15">
        <f>IFERROR((s_TR/(up_RadSpec!I28*s_IFW_res_adj)),".")</f>
        <v>3.6363636363636369E-10</v>
      </c>
      <c r="AQ28" s="15" t="str">
        <f>IFERROR(IF(AND(up_RadSpec!C28=1,up_RadSpec!D28&lt;&gt;0),(s_TR/(up_RadSpec!F28*s_IFA_res_adj*s_K*up_RadSpec!D28)),"."),".")</f>
        <v>.</v>
      </c>
      <c r="AR28" s="15">
        <f>IFERROR((s_TR/(up_RadSpec!M28*(1/8760)*s_DFA_res_adj)),".")</f>
        <v>3.9818181818181825E-6</v>
      </c>
      <c r="AS28" s="15">
        <f>up_b2w!C28</f>
        <v>1.6443412786038031E-11</v>
      </c>
      <c r="AT28" s="15">
        <f t="shared" ref="AT28:AT29" si="18">(IF(AND(AP28&lt;&gt;".",AQ28&lt;&gt;".",AR28&lt;&gt;".",AS28&lt;&gt;"."),1/((1/AP28)+(1/AQ28)+(1/AR28)+(1/AS28)),IF(AND(AP28&lt;&gt;".",AQ28&lt;&gt;".",AR28&lt;&gt;".",AS28="."), 1/((1/AP28)+(1/AQ28)+(1/AR28)),IF(AND(AP28&lt;&gt;".",AQ28&lt;&gt;".",AR28=".",AS28&lt;&gt;"."),1/((1/AP28)+(1/AQ28)+(1/AS28)),IF(AND(AP28&lt;&gt;".",AQ28=".",AR28&lt;&gt;".",AS28&lt;&gt;"."),1/((1/AP28)+(1/AR28)+(1/AS28)),IF(AND(AP28=".",AQ28&lt;&gt;".",AR28&lt;&gt;".",AS28&lt;&gt;"."),1/((1/AQ28)+(1/AR28)+(1/AS28)),IF(AND(AP28&lt;&gt;".",AQ28&lt;&gt;".",AR28=".",AS28="."),1/((1/AP28)+(1/AQ28)),IF(AND(AP28&lt;&gt;".",AQ28=".",AR28&lt;&gt;".",AS28="."),1/((1/AP28)+(1/AR28)),IF(AND(AP28&lt;&gt;".",AQ28=".",AR28=".",AS28&lt;&gt;"."),1/((1/AP28)+(1/AS28)),IF(AND(AP28=".",AQ28=".",AR28&lt;&gt;".",AS28&lt;&gt;"."),1/((1/AR28)+(1/AS28)),IF(AND(AP28=".",AQ28&lt;&gt;".",AR28=".",AS28&lt;&gt;"."),1/((1/AQ28)+(1/AS28)),IF(AND(AP28=".",AQ28&lt;&gt;".",AR28&lt;&gt;".",AS28="."),1/((1/AQ28)+(1/AR28)),IF(AND(AP28&lt;&gt;".",AQ28=".",AR28=".",AS28="."),1/((1/AP28)),IF(AND(AP28=".",AQ28&lt;&gt;".",AR28=".",AS28="."),1/((1/AQ28)),IF(AND(AP28=".",AQ28=".",AR28&lt;&gt;".",AS28="."),1/((1/AR28)),IF(AND(AP28=".",AQ28=".",AR28=".",AS28&lt;&gt;"."),1/((1/AS28)),IF(AND(AP28=".",AQ28=".",AR28=".",AS28="."),".")))))))))))))))))</f>
        <v>1.5731958335636466E-11</v>
      </c>
      <c r="AU28" s="40">
        <f t="shared" si="4"/>
        <v>27500</v>
      </c>
      <c r="AV28" s="40">
        <f>IF(up_RadSpec!D28&lt;&gt;"",s_C*s_IFA_res_adj*s_K*up_RadSpec!D28,0)</f>
        <v>0</v>
      </c>
      <c r="AW28" s="40">
        <f t="shared" si="5"/>
        <v>2.5114155251141552</v>
      </c>
      <c r="AX28" s="40">
        <f>up_b2w!AC28</f>
        <v>608146.26076229871</v>
      </c>
      <c r="AY28" s="18"/>
      <c r="AZ28" s="18"/>
      <c r="BA28" s="18"/>
      <c r="BB28" s="18"/>
      <c r="BC28" s="18"/>
      <c r="BD28" s="15">
        <f>IFERROR(s_TR/(up_RadSpec!F28*s_EF_res*s_ED_res*s_IRF_res*0.001*s_CF_res_fish),".")</f>
        <v>6.6115702479338848E-11</v>
      </c>
      <c r="BE28" s="40">
        <f t="shared" si="6"/>
        <v>151250</v>
      </c>
      <c r="BF28" s="18"/>
    </row>
    <row r="29" spans="1:58" x14ac:dyDescent="0.25">
      <c r="A29" s="44" t="s">
        <v>39</v>
      </c>
      <c r="B29" s="42" t="s">
        <v>1071</v>
      </c>
      <c r="C29" s="249"/>
      <c r="D29" s="15">
        <f>IFERROR(((s_TR/(up_RadSpec!E29*s_IFS_res_adj*(1/1000)))*1),".")</f>
        <v>3.3057851239669421E-8</v>
      </c>
      <c r="E29" s="15">
        <f>IFERROR(IF(A29="H-3",(s_TR/((up_RadSpec!H29*s_IFA_res_adj*(1/17)*1000))*1),(s_TR/((up_RadSpec!H29*s_IFA_res_adj*(1/s_PEF_wind)*1000))*1)),".")</f>
        <v>3.0899917851942918E-4</v>
      </c>
      <c r="F29" s="15">
        <f>IFERROR((s_TR/(up_RadSpec!G29*s_EF_res*(1/365)*s_ED_res*up_RadSpec!R29*((s_ET_res_o*(1/24)*up_RadSpec!W29)+(s_ET_res_i*(1/24)*up_RadSpec!AB29))))*1,".")</f>
        <v>1.5714522271899331E-5</v>
      </c>
      <c r="G29" s="15">
        <f>up_b2s!C29</f>
        <v>3.2968835384132272E-12</v>
      </c>
      <c r="H29" s="15">
        <f>up_dir!C29</f>
        <v>1.6528925619834712E-11</v>
      </c>
      <c r="I29" s="15">
        <f t="shared" si="11"/>
        <v>3.2965540438967852E-12</v>
      </c>
      <c r="J29" s="40">
        <f t="shared" si="0"/>
        <v>302.5</v>
      </c>
      <c r="K29" s="40">
        <f t="shared" si="1"/>
        <v>3.2362545583179352E-2</v>
      </c>
      <c r="L29" s="40">
        <f>IFERROR((s_C*s_EF_res*(1/365)*s_ED_res*up_RadSpec!R29*((s_ET_res_o*(1/24)*up_RadSpec!W29)+(s_ET_res_i*(1/24)*up_RadSpec!AB29))),".")</f>
        <v>0.63635405690200175</v>
      </c>
      <c r="M29" s="40">
        <f>up_b2s!AC29</f>
        <v>3033167.5</v>
      </c>
      <c r="N29" s="18"/>
      <c r="O29" s="18"/>
      <c r="P29" s="18"/>
      <c r="Q29" s="18"/>
      <c r="R29" s="18"/>
      <c r="S29" s="15">
        <f>IFERROR((s_TR/(up_RadSpec!G29*s_EF_res*(1/365)*s_ED_res*up_RadSpec!R29*((s_ET_res_o*(1/24)*up_RadSpec!W29)+(s_ET_res_i*(1/24)*up_RadSpec!AB29))))*1,".")</f>
        <v>1.5714522271899331E-5</v>
      </c>
      <c r="T29" s="15">
        <f>IFERROR((s_TR/(up_RadSpec!N29*s_EF_res*(1/365)*s_ED_res*up_RadSpec!S29*((s_ET_res_o*(1/24)*up_RadSpec!X29)+(s_ET_res_i*(1/24)*up_RadSpec!AC29))))*1,".")</f>
        <v>3.1357788410419983E-5</v>
      </c>
      <c r="U29" s="15">
        <f>IFERROR((s_TR/(up_RadSpec!O29*s_EF_res*(1/365)*s_ED_res*up_RadSpec!T29*((s_ET_res_o*(1/24)*up_RadSpec!Y29)+(s_ET_res_i*(1/24)*up_RadSpec!AD29))))*1,".")</f>
        <v>2.2339155097775789E-5</v>
      </c>
      <c r="V29" s="15">
        <f>IFERROR((s_TR/(up_RadSpec!P29*s_EF_res*(1/365)*s_ED_res*up_RadSpec!U29*((s_ET_res_o*(1/24)*up_RadSpec!Z29)+(s_ET_res_i*(1/24)*up_RadSpec!AE29))))*1,".")</f>
        <v>1.894937062937062E-5</v>
      </c>
      <c r="W29" s="15">
        <f>IFERROR((s_TR/(up_RadSpec!L29*s_EF_res*(1/365)*s_ED_res*up_RadSpec!Q29*((s_ET_res_o*(1/24)*up_RadSpec!V29)+(s_ET_res_i*(1/24)*up_RadSpec!AA29))))*1,".")</f>
        <v>5.6308539944903591E-5</v>
      </c>
      <c r="X29" s="40">
        <f>IFERROR((s_C*s_EF_res*(1/365)*s_ED_res*up_RadSpec!R29*((s_ET_res_o*(1/24)*up_RadSpec!W29)+(s_ET_res_i*(1/24)*up_RadSpec!AB29))),".")</f>
        <v>0.63635405690200175</v>
      </c>
      <c r="Y29" s="40">
        <f>IFERROR((s_C*s_EF_res*(1/365)*s_ED_res*up_RadSpec!S29*((s_ET_res_o*(1/24)*up_RadSpec!X29)+(s_ET_res_i*(1/24)*up_RadSpec!AC29))),".")</f>
        <v>0.31890004068900052</v>
      </c>
      <c r="Z29" s="40">
        <f>IFERROR((s_C*s_EF_res*(1/365)*s_ED_res*up_RadSpec!T29*((s_ET_res_o*(1/24)*up_RadSpec!Y29)+(s_ET_res_i*(1/24)*up_RadSpec!AD29))),".")</f>
        <v>0.4476445038422987</v>
      </c>
      <c r="AA29" s="40">
        <f>IFERROR((s_C*s_EF_res*(1/365)*s_ED_res*up_RadSpec!U29*((s_ET_res_o*(1/24)*up_RadSpec!Z29)+(s_ET_res_i*(1/24)*up_RadSpec!AE29))),".")</f>
        <v>0.52772201228153082</v>
      </c>
      <c r="AB29" s="40">
        <f>IFERROR((s_C*s_EF_res*(1/365)*s_ED_res*up_RadSpec!Q29*((s_ET_res_o*(1/24)*up_RadSpec!V29)+(s_ET_res_i*(1/24)*up_RadSpec!AA29))),".")</f>
        <v>0.17759295499021524</v>
      </c>
      <c r="AC29" s="18"/>
      <c r="AD29" s="18"/>
      <c r="AE29" s="18"/>
      <c r="AF29" s="18"/>
      <c r="AG29" s="18"/>
      <c r="AH29" s="15">
        <f>IFERROR((s_TR/(up_RadSpec!H29*s_IFA_res_adj)),".")</f>
        <v>9.9740259740259755E-10</v>
      </c>
      <c r="AI29" s="15">
        <f>IFERROR((s_TR/(up_RadSpec!K29*s_EF_res*(1/365)*s_ED_res*s_ET_res*(1/24)*s_GSF_a)),".")</f>
        <v>6.3709090909090908E-6</v>
      </c>
      <c r="AJ29" s="15">
        <f t="shared" si="17"/>
        <v>9.9724647271019672E-10</v>
      </c>
      <c r="AK29" s="40">
        <f t="shared" si="2"/>
        <v>10026.041666666666</v>
      </c>
      <c r="AL29" s="40">
        <f t="shared" si="3"/>
        <v>1.5696347031963471</v>
      </c>
      <c r="AM29" s="18"/>
      <c r="AN29" s="18"/>
      <c r="AO29" s="18"/>
      <c r="AP29" s="15">
        <f>IFERROR((s_TR/(up_RadSpec!I29*s_IFW_res_adj)),".")</f>
        <v>3.6363636363636369E-10</v>
      </c>
      <c r="AQ29" s="15">
        <f>IFERROR(IF(AND(up_RadSpec!C29=1,up_RadSpec!D29&lt;&gt;0),(s_TR/(up_RadSpec!F29*s_IFA_res_adj*s_K*up_RadSpec!D29)),"."),".")</f>
        <v>2.1577148215468E-4</v>
      </c>
      <c r="AR29" s="15">
        <f>IFERROR((s_TR/(up_RadSpec!M29*(1/8760)*s_DFA_res_adj)),".")</f>
        <v>3.9818181818181825E-6</v>
      </c>
      <c r="AS29" s="15">
        <f>up_b2w!C29</f>
        <v>1.6443412786038031E-11</v>
      </c>
      <c r="AT29" s="15">
        <f t="shared" si="18"/>
        <v>1.5731957188615125E-11</v>
      </c>
      <c r="AU29" s="40">
        <f t="shared" si="4"/>
        <v>27500</v>
      </c>
      <c r="AV29" s="40">
        <f>IF(up_RadSpec!D29&lt;&gt;"",s_C*s_IFA_res_adj*s_K*up_RadSpec!D29,0)</f>
        <v>4.634532747395833E-2</v>
      </c>
      <c r="AW29" s="40">
        <f t="shared" si="5"/>
        <v>2.5114155251141552</v>
      </c>
      <c r="AX29" s="40">
        <f>up_b2w!AC29</f>
        <v>608146.26076229871</v>
      </c>
      <c r="AY29" s="18"/>
      <c r="AZ29" s="18"/>
      <c r="BA29" s="18"/>
      <c r="BB29" s="18"/>
      <c r="BC29" s="18"/>
      <c r="BD29" s="15">
        <f>IFERROR(s_TR/(up_RadSpec!F29*s_EF_res*s_ED_res*s_IRF_res*0.001*s_CF_res_fish),".")</f>
        <v>6.6115702479338848E-11</v>
      </c>
      <c r="BE29" s="40">
        <f t="shared" si="6"/>
        <v>151250</v>
      </c>
      <c r="BF29" s="18"/>
    </row>
    <row r="30" spans="1:58" x14ac:dyDescent="0.25">
      <c r="A30" s="44" t="s">
        <v>40</v>
      </c>
      <c r="B30" s="42" t="s">
        <v>1071</v>
      </c>
      <c r="C30" s="42"/>
      <c r="D30" s="15">
        <f>IFERROR(((s_TR/(up_RadSpec!E30*s_IFS_res_adj*(1/1000)))*1),".")</f>
        <v>3.3057851239669421E-8</v>
      </c>
      <c r="E30" s="15">
        <f>IFERROR(IF(A30="H-3",(s_TR/((up_RadSpec!H30*s_IFA_res_adj*(1/17)*1000))*1),(s_TR/((up_RadSpec!H30*s_IFA_res_adj*(1/s_PEF_wind)*1000))*1)),".")</f>
        <v>3.0899917851942918E-4</v>
      </c>
      <c r="F30" s="15">
        <f>IFERROR((s_TR/(up_RadSpec!G30*s_EF_res*(1/365)*s_ED_res*up_RadSpec!R30*((s_ET_res_o*(1/24)*up_RadSpec!W30)+(s_ET_res_i*(1/24)*up_RadSpec!AB30))))*1,".")</f>
        <v>1.4747474747474749E-4</v>
      </c>
      <c r="G30" s="15">
        <f>up_b2s!C30</f>
        <v>3.2968835384132272E-12</v>
      </c>
      <c r="H30" s="15">
        <f>up_dir!C30</f>
        <v>1.6528925619834712E-11</v>
      </c>
      <c r="I30" s="15">
        <f>(IF(AND(D30&lt;&gt;".",E30&lt;&gt;".",F30&lt;&gt;".",G30&lt;&gt;"."),1/((1/D30)+(1/E30)+(1/F30)+(1/G30)),IF(AND(D30&lt;&gt;".",E30&lt;&gt;".",F30&lt;&gt;".",G30="."), 1/((1/D30)+(1/E30)+(1/F30)),IF(AND(D30&lt;&gt;".",E30&lt;&gt;".",F30=".",G30&lt;&gt;"."),1/((1/D30)+(1/E30)+(1/G30)),IF(AND(D30&lt;&gt;".",E30=".",F30&lt;&gt;".",G30&lt;&gt;"."),1/((1/D30)+(1/F30)+(1/G30)),IF(AND(D30=".",E30&lt;&gt;".",F30&lt;&gt;".",G30&lt;&gt;"."),1/((1/E30)+(1/F30)+(1/G30)),IF(AND(D30&lt;&gt;".",E30&lt;&gt;".",F30=".",G30="."),1/((1/D30)+(1/E30)),IF(AND(D30&lt;&gt;".",E30=".",F30&lt;&gt;".",G30="."),1/((1/D30)+(1/F30)),IF(AND(D30&lt;&gt;".",E30=".",F30=".",G30&lt;&gt;"."),1/((1/D30)+(1/G30)),IF(AND(D30=".",E30=".",F30&lt;&gt;".",G30&lt;&gt;"."),1/((1/F30)+(1/G30)),IF(AND(D30=".",E30&lt;&gt;".",F30=".",G30&lt;&gt;"."),1/((1/E30)+(1/G30)),IF(AND(D30=".",E30&lt;&gt;".",F30&lt;&gt;".",G30="."),1/((1/E30)+(1/F30)),IF(AND(D30&lt;&gt;".",E30=".",F30=".",G30="."),1/((1/D30)),IF(AND(D30=".",E30&lt;&gt;".",F30=".",G30="."),1/((1/E30)),IF(AND(D30=".",E30=".",F30&lt;&gt;".",G30="."),1/((1/F30)),IF(AND(D30=".",E30=".",F30=".",G30&lt;&gt;"."),1/((1/G30)),IF(AND(D30=".",E30=".",F30=".",G30="."),".")))))))))))))))))</f>
        <v>3.2965546617509322E-12</v>
      </c>
      <c r="J30" s="40">
        <f t="shared" si="0"/>
        <v>302.5</v>
      </c>
      <c r="K30" s="40">
        <f t="shared" si="1"/>
        <v>3.2362545583179352E-2</v>
      </c>
      <c r="L30" s="40">
        <f>IFERROR((s_C*s_EF_res*(1/365)*s_ED_res*up_RadSpec!R30*((s_ET_res_o*(1/24)*up_RadSpec!W30)+(s_ET_res_i*(1/24)*up_RadSpec!AB30))),".")</f>
        <v>6.7808219178082191E-2</v>
      </c>
      <c r="M30" s="40">
        <f>up_b2s!AC30</f>
        <v>3033167.5</v>
      </c>
      <c r="N30" s="18"/>
      <c r="O30" s="18"/>
      <c r="P30" s="18"/>
      <c r="Q30" s="18"/>
      <c r="R30" s="18"/>
      <c r="S30" s="15">
        <f>IFERROR((s_TR/(up_RadSpec!G30*s_EF_res*(1/365)*s_ED_res*up_RadSpec!R30*((s_ET_res_o*(1/24)*up_RadSpec!W30)+(s_ET_res_i*(1/24)*up_RadSpec!AB30))))*1,".")</f>
        <v>1.4747474747474749E-4</v>
      </c>
      <c r="T30" s="15">
        <f>IFERROR((s_TR/(up_RadSpec!N30*s_EF_res*(1/365)*s_ED_res*up_RadSpec!S30*((s_ET_res_o*(1/24)*up_RadSpec!X30)+(s_ET_res_i*(1/24)*up_RadSpec!AC30))))*1,".")</f>
        <v>7.2247422680412363E-4</v>
      </c>
      <c r="U30" s="15">
        <f>IFERROR((s_TR/(up_RadSpec!O30*s_EF_res*(1/365)*s_ED_res*up_RadSpec!T30*((s_ET_res_o*(1/24)*up_RadSpec!Y30)+(s_ET_res_i*(1/24)*up_RadSpec!AD30))))*1,".")</f>
        <v>2.603551751279024E-4</v>
      </c>
      <c r="V30" s="15">
        <f>IFERROR((s_TR/(up_RadSpec!P30*s_EF_res*(1/365)*s_ED_res*up_RadSpec!U30*((s_ET_res_o*(1/24)*up_RadSpec!Z30)+(s_ET_res_i*(1/24)*up_RadSpec!AE30))))*1,".")</f>
        <v>1.9379533878684994E-4</v>
      </c>
      <c r="W30" s="15">
        <f>IFERROR((s_TR/(up_RadSpec!L30*s_EF_res*(1/365)*s_ED_res*up_RadSpec!Q30*((s_ET_res_o*(1/24)*up_RadSpec!V30)+(s_ET_res_i*(1/24)*up_RadSpec!AA30))))*1,".")</f>
        <v>1.7696969696969697E-2</v>
      </c>
      <c r="X30" s="40">
        <f>IFERROR((s_C*s_EF_res*(1/365)*s_ED_res*up_RadSpec!R30*((s_ET_res_o*(1/24)*up_RadSpec!W30)+(s_ET_res_i*(1/24)*up_RadSpec!AB30))),".")</f>
        <v>6.7808219178082191E-2</v>
      </c>
      <c r="Y30" s="40">
        <f>IFERROR((s_C*s_EF_res*(1/365)*s_ED_res*up_RadSpec!S30*((s_ET_res_o*(1/24)*up_RadSpec!X30)+(s_ET_res_i*(1/24)*up_RadSpec!AC30))),".")</f>
        <v>1.3841324200913245E-2</v>
      </c>
      <c r="Z30" s="40">
        <f>IFERROR((s_C*s_EF_res*(1/365)*s_ED_res*up_RadSpec!T30*((s_ET_res_o*(1/24)*up_RadSpec!Y30)+(s_ET_res_i*(1/24)*up_RadSpec!AD30))),".")</f>
        <v>3.8409069437883803E-2</v>
      </c>
      <c r="AA30" s="40">
        <f>IFERROR((s_C*s_EF_res*(1/365)*s_ED_res*up_RadSpec!U30*((s_ET_res_o*(1/24)*up_RadSpec!Z30)+(s_ET_res_i*(1/24)*up_RadSpec!AE30))),".")</f>
        <v>5.1600828289264072E-2</v>
      </c>
      <c r="AB30" s="40">
        <f>IFERROR((s_C*s_EF_res*(1/365)*s_ED_res*up_RadSpec!Q30*((s_ET_res_o*(1/24)*up_RadSpec!V30)+(s_ET_res_i*(1/24)*up_RadSpec!AA30))),".")</f>
        <v>5.6506849315068495E-4</v>
      </c>
      <c r="AC30" s="18"/>
      <c r="AD30" s="18"/>
      <c r="AE30" s="18"/>
      <c r="AF30" s="18"/>
      <c r="AG30" s="18"/>
      <c r="AH30" s="15">
        <f>IFERROR((s_TR/(up_RadSpec!H30*s_IFA_res_adj)),".")</f>
        <v>9.9740259740259755E-10</v>
      </c>
      <c r="AI30" s="15">
        <f>IFERROR((s_TR/(up_RadSpec!K30*s_EF_res*(1/365)*s_ED_res*s_ET_res*(1/24)*s_GSF_a)),".")</f>
        <v>6.3709090909090908E-6</v>
      </c>
      <c r="AJ30" s="15">
        <f>IFERROR(IF(AND(AH30&lt;&gt;".",AI30&lt;&gt;"."),1/((1/AH30)+(1/AI30)),IF(AND(AH30&lt;&gt;".",AI30="."),1/((1/AH30)),IF(AND(AH30=".",AI30&lt;&gt;"."),1/((1/AI30)),IF(AND(AH30=".",AI30="."),".")))),".")</f>
        <v>9.9724647271019672E-10</v>
      </c>
      <c r="AK30" s="40">
        <f t="shared" si="2"/>
        <v>10026.041666666666</v>
      </c>
      <c r="AL30" s="40">
        <f t="shared" si="3"/>
        <v>1.5696347031963471</v>
      </c>
      <c r="AM30" s="18"/>
      <c r="AN30" s="18"/>
      <c r="AO30" s="18"/>
      <c r="AP30" s="15">
        <f>IFERROR((s_TR/(up_RadSpec!I30*s_IFW_res_adj)),".")</f>
        <v>3.6363636363636369E-10</v>
      </c>
      <c r="AQ30" s="15" t="str">
        <f>IFERROR(IF(AND(up_RadSpec!C30=1,up_RadSpec!D30&lt;&gt;0),(s_TR/(up_RadSpec!F30*s_IFA_res_adj*s_K*up_RadSpec!D30)),"."),".")</f>
        <v>.</v>
      </c>
      <c r="AR30" s="15">
        <f>IFERROR((s_TR/(up_RadSpec!M30*(1/8760)*s_DFA_res_adj)),".")</f>
        <v>3.9818181818181825E-6</v>
      </c>
      <c r="AS30" s="15">
        <f>up_b2w!C30</f>
        <v>1.6443412786038031E-11</v>
      </c>
      <c r="AT30" s="15">
        <f>(IF(AND(AP30&lt;&gt;".",AQ30&lt;&gt;".",AR30&lt;&gt;".",AS30&lt;&gt;"."),1/((1/AP30)+(1/AQ30)+(1/AR30)+(1/AS30)),IF(AND(AP30&lt;&gt;".",AQ30&lt;&gt;".",AR30&lt;&gt;".",AS30="."), 1/((1/AP30)+(1/AQ30)+(1/AR30)),IF(AND(AP30&lt;&gt;".",AQ30&lt;&gt;".",AR30=".",AS30&lt;&gt;"."),1/((1/AP30)+(1/AQ30)+(1/AS30)),IF(AND(AP30&lt;&gt;".",AQ30=".",AR30&lt;&gt;".",AS30&lt;&gt;"."),1/((1/AP30)+(1/AR30)+(1/AS30)),IF(AND(AP30=".",AQ30&lt;&gt;".",AR30&lt;&gt;".",AS30&lt;&gt;"."),1/((1/AQ30)+(1/AR30)+(1/AS30)),IF(AND(AP30&lt;&gt;".",AQ30&lt;&gt;".",AR30=".",AS30="."),1/((1/AP30)+(1/AQ30)),IF(AND(AP30&lt;&gt;".",AQ30=".",AR30&lt;&gt;".",AS30="."),1/((1/AP30)+(1/AR30)),IF(AND(AP30&lt;&gt;".",AQ30=".",AR30=".",AS30&lt;&gt;"."),1/((1/AP30)+(1/AS30)),IF(AND(AP30=".",AQ30=".",AR30&lt;&gt;".",AS30&lt;&gt;"."),1/((1/AR30)+(1/AS30)),IF(AND(AP30=".",AQ30&lt;&gt;".",AR30=".",AS30&lt;&gt;"."),1/((1/AQ30)+(1/AS30)),IF(AND(AP30=".",AQ30&lt;&gt;".",AR30&lt;&gt;".",AS30="."),1/((1/AQ30)+(1/AR30)),IF(AND(AP30&lt;&gt;".",AQ30=".",AR30=".",AS30="."),1/((1/AP30)),IF(AND(AP30=".",AQ30&lt;&gt;".",AR30=".",AS30="."),1/((1/AQ30)),IF(AND(AP30=".",AQ30=".",AR30&lt;&gt;".",AS30="."),1/((1/AR30)),IF(AND(AP30=".",AQ30=".",AR30=".",AS30&lt;&gt;"."),1/((1/AS30)),IF(AND(AP30=".",AQ30=".",AR30=".",AS30="."),".")))))))))))))))))</f>
        <v>1.5731958335636466E-11</v>
      </c>
      <c r="AU30" s="40">
        <f t="shared" si="4"/>
        <v>27500</v>
      </c>
      <c r="AV30" s="40">
        <f>IF(up_RadSpec!D30&lt;&gt;"",s_C*s_IFA_res_adj*s_K*up_RadSpec!D30,0)</f>
        <v>0</v>
      </c>
      <c r="AW30" s="40">
        <f t="shared" si="5"/>
        <v>2.5114155251141552</v>
      </c>
      <c r="AX30" s="40">
        <f>up_b2w!AC30</f>
        <v>608146.26076229871</v>
      </c>
      <c r="AY30" s="18"/>
      <c r="AZ30" s="18"/>
      <c r="BA30" s="18"/>
      <c r="BB30" s="18"/>
      <c r="BC30" s="18"/>
      <c r="BD30" s="15">
        <f>IFERROR(s_TR/(up_RadSpec!F30*s_EF_res*s_ED_res*s_IRF_res*0.001*s_CF_res_fish),".")</f>
        <v>6.6115702479338848E-11</v>
      </c>
      <c r="BE30" s="40">
        <f t="shared" si="6"/>
        <v>151250</v>
      </c>
      <c r="BF30" s="18"/>
    </row>
    <row r="31" spans="1:58" x14ac:dyDescent="0.25">
      <c r="A31" s="57" t="s">
        <v>13</v>
      </c>
      <c r="B31" s="57" t="s">
        <v>1255</v>
      </c>
      <c r="C31" s="57"/>
      <c r="D31" s="58">
        <f>1/SUM(1/D32,1/D33,1/D34,1/D35,1/D36,1/D37,1/D38,1/D39,1/D40,1/D41,1/D42,1/D43,1/D44)</f>
        <v>2.7549035837466309E-9</v>
      </c>
      <c r="E31" s="58">
        <f>1/SUM(1/E32,1/E33,1/E34,1/E35,1/E36,1/E37,1/E38,1/E39,1/E40,1/E41,1/E42,1/E43,1/E44)</f>
        <v>2.5750704064407696E-5</v>
      </c>
      <c r="F31" s="58">
        <f>1/SUM(1/F32,1/F33,1/F34,1/F35,1/F36,1/F37,1/F38,1/F39,1/F40,1/F41,1/F42,1/F43)</f>
        <v>5.9962644451862009E-6</v>
      </c>
      <c r="G31" s="58">
        <f>1/SUM(1/G32,1/G33,1/G34,1/G35,1/G36,1/G37,1/G38,1/G39,1/G40,1/G41,1/G42,1/G43,1/G44)</f>
        <v>2.7474853732388866E-13</v>
      </c>
      <c r="H31" s="58">
        <f>1/SUM(1/H32,1/H33,1/H34,1/H35,1/H36,1/H37,1/H38,1/H39,1/H40,1/H41,1/H42,1/H43,1/H44)</f>
        <v>1.3774517918733154E-12</v>
      </c>
      <c r="I31" s="58">
        <f>1/SUM(1/I32,1/I33,1/I34,1/I35,1/I36,1/I37,1/I38,1/I39,1/I40,1/I41,1/I42,1/I43,1/I44)</f>
        <v>2.7472112366763277E-13</v>
      </c>
      <c r="J31" s="70"/>
      <c r="K31" s="70"/>
      <c r="L31" s="70"/>
      <c r="M31" s="70"/>
      <c r="N31" s="47">
        <f>IFERROR(IF(SUM(J32:J44)&gt;0.01,1-EXP(-SUM(J32:J44)),SUM(J32:J44)),".")</f>
        <v>1</v>
      </c>
      <c r="O31" s="47">
        <f t="shared" ref="O31" si="19">IFERROR(IF(SUM(K32:K44)&gt;0.01,1-EXP(-SUM(K32:K44)),SUM(K32:K44)),".")</f>
        <v>0.85653934784727048</v>
      </c>
      <c r="P31" s="47">
        <f>IFERROR(IF(SUM(L32:L44)&gt;0.01,1-EXP(-SUM(L32:L44)),SUM(L32:L44)),".")</f>
        <v>0.99976087516879697</v>
      </c>
      <c r="Q31" s="47">
        <f>IFERROR(IF(SUM(M32:M44)&gt;0.01,1-EXP(-SUM(M32:M44)),SUM(M32:M44)),".")</f>
        <v>1</v>
      </c>
      <c r="R31" s="47">
        <f>IFERROR(IF(SUM(J32:M44)&gt;0.01,1-EXP(-SUM(J32:M44)),SUM(J32:M44)),".")</f>
        <v>1</v>
      </c>
      <c r="S31" s="59">
        <f>1/SUM(1/S32,1/S33,1/S34,1/S35,1/S36,1/S37,1/S38,1/S39,1/S40,1/S41,1/S42,1/S43)</f>
        <v>5.9962644451862009E-6</v>
      </c>
      <c r="T31" s="59">
        <f>1/SUM(1/T32,1/T33,1/T34,1/T35,1/T36,1/T37,1/T38,1/T39,1/T40,1/T41,1/T42,1/T43)</f>
        <v>1.1081340781663025E-5</v>
      </c>
      <c r="U31" s="59">
        <f>1/SUM(1/U32,1/U33,1/U34,1/U35,1/U36,1/U37,1/U38,1/U39,1/U40,1/U41,1/U42,1/U43)</f>
        <v>7.8295451610689103E-6</v>
      </c>
      <c r="V31" s="59">
        <f>1/SUM(1/V32,1/V33,1/V34,1/V35,1/V36,1/V37,1/V38,1/V39,1/V40,1/V41,1/V42,1/V43)</f>
        <v>6.8016673019499257E-6</v>
      </c>
      <c r="W31" s="59">
        <f>1/SUM(1/W32,1/W33,1/W34,1/W35,1/W36,1/W37,1/W38,1/W39,1/W40,1/W41,1/W42,1/W43)</f>
        <v>2.341029316697802E-5</v>
      </c>
      <c r="X31" s="70"/>
      <c r="Y31" s="73"/>
      <c r="Z31" s="73"/>
      <c r="AA31" s="73"/>
      <c r="AB31" s="73"/>
      <c r="AC31" s="47">
        <f>IFERROR(IF(SUM(X32:X44)&gt;0.01,1-EXP(-SUM(X32:X44)),SUM(X32:X44)),".")</f>
        <v>0.99976087516879697</v>
      </c>
      <c r="AD31" s="47">
        <f t="shared" ref="AD31:AG31" si="20">IFERROR(IF(SUM(Y32:Y44)&gt;0.01,1-EXP(-SUM(Y32:Y44)),SUM(Y32:Y44)),".")</f>
        <v>0.98902449574013185</v>
      </c>
      <c r="AE31" s="47">
        <f t="shared" si="20"/>
        <v>0.9983151302246035</v>
      </c>
      <c r="AF31" s="47">
        <f t="shared" si="20"/>
        <v>0.99935813896879722</v>
      </c>
      <c r="AG31" s="47">
        <f t="shared" si="20"/>
        <v>0.88185146061132824</v>
      </c>
      <c r="AH31" s="58">
        <f t="shared" ref="AH31:AJ31" si="21">1/SUM(1/AH32,1/AH33,1/AH34,1/AH35,1/AH36,1/AH37,1/AH38,1/AH39,1/AH40,1/AH41,1/AH42,1/AH43,1/AH44)</f>
        <v>8.3119376698184091E-11</v>
      </c>
      <c r="AI31" s="58">
        <f t="shared" si="21"/>
        <v>5.3092501865965061E-7</v>
      </c>
      <c r="AJ31" s="58">
        <f t="shared" si="21"/>
        <v>8.3106365916827255E-11</v>
      </c>
      <c r="AK31" s="70"/>
      <c r="AL31" s="70"/>
      <c r="AM31" s="47">
        <f>IFERROR(IF(SUM(AK32:AK44)&gt;0.01,1-EXP(-SUM(AK32:AK44)),SUM(AK32:AK44)),".")</f>
        <v>1</v>
      </c>
      <c r="AN31" s="47">
        <f>IFERROR(IF(SUM(AL32:AL44)&gt;0.01,1-EXP(-SUM(AL32:AL44)),SUM(AL32:AL44)),".")</f>
        <v>1</v>
      </c>
      <c r="AO31" s="47">
        <f>IFERROR(IF(SUM(AK32:AL44)&gt;0.01,1-EXP(-SUM(AK32:AL44)),SUM(AK32:AL44)),".")</f>
        <v>1</v>
      </c>
      <c r="AP31" s="58">
        <f>1/SUM(1/AP32,1/AP33,1/AP34,1/AP35,1/AP36,1/AP37,1/AP38,1/AP39,1/AP40,1/AP41,1/AP42,1/AP43,1/AP44)</f>
        <v>3.0303939421212944E-11</v>
      </c>
      <c r="AQ31" s="58" t="str">
        <f>IFERROR(1/SUM(1/AQ32,1/AQ33,1/AQ34,1/AQ35,1/AQ36,1/AQ37,1/AQ38,1/AQ39,1/AQ40,1/AQ41,1/AQ42,1/AQ43,1/AQ44,1/AQ45),".")</f>
        <v>.</v>
      </c>
      <c r="AR31" s="58">
        <f>1/SUM(1/AR32,1/AR33,1/AR34,1/AR35,1/AR36,1/AR37,1/AR38,1/AR39,1/AR40,1/AR41,1/AR42,1/AR43,1/AR44)</f>
        <v>3.3182813666228171E-7</v>
      </c>
      <c r="AS31" s="58">
        <f>1/SUM(1/AS32,1/AS33,1/AS34,1/AS35,1/AS36,1/AS37,1/AS38,1/AS39,1/AS40,1/AS41,1/AS42,1/AS43,1/AS44)</f>
        <v>1.3703255086017608E-12</v>
      </c>
      <c r="AT31" s="58">
        <f>1/SUM(1/AT32,1/AT33,1/AT34,1/AT35,1/AT36,1/AT37,1/AT38,1/AT39,1/AT40,1/AT41,1/AT42,1/AT43,1/AT44)</f>
        <v>1.3110358590454769E-12</v>
      </c>
      <c r="AU31" s="70"/>
      <c r="AV31" s="70"/>
      <c r="AW31" s="70"/>
      <c r="AX31" s="70"/>
      <c r="AY31" s="47">
        <f>IFERROR(IF(SUM(AU32:AU44)&gt;0.01,1-EXP(-SUM(AU32:AU44)),SUM(AU32:AU44)),".")</f>
        <v>1</v>
      </c>
      <c r="AZ31" s="47">
        <f>IFERROR(IF(SUM(AV32:AV44)&gt;0.01,1-EXP(-SUM(AV32:AV44)),SUM(AV32:AV44)),".")</f>
        <v>0</v>
      </c>
      <c r="BA31" s="47">
        <f>IFERROR(IF(SUM(AW32:AW44)&gt;0.01,1-EXP(-SUM(AW32:AW44)),SUM(AW32:AW44)),".")</f>
        <v>1</v>
      </c>
      <c r="BB31" s="47">
        <f>IFERROR(IF(SUM(AX32:AX44)&gt;0.01,1-EXP(-SUM(AX32:AX44)),SUM(AX32:AX44)),".")</f>
        <v>1</v>
      </c>
      <c r="BC31" s="47">
        <f>IFERROR(IF(SUM(AU32:AX44)&gt;0.01,1-EXP(-SUM(AU32:AX44)),SUM(AU32:AX44)),".")</f>
        <v>1</v>
      </c>
      <c r="BD31" s="58">
        <f>1/SUM(1/BD32,1/BD33,1/BD34,1/BD35,1/BD36,1/BD37,1/BD38,1/BD39,1/BD40,1/BD41,1/BD42,1/BD43,1/BD44)</f>
        <v>5.5098071674932615E-12</v>
      </c>
      <c r="BE31" s="73"/>
      <c r="BF31" s="47">
        <f>IFERROR(IF(SUM(BE32:BE44)&gt;0.01,1-EXP(-SUM(BE32:BE44)),SUM(BE32:BE44)),".")</f>
        <v>1</v>
      </c>
    </row>
    <row r="32" spans="1:58" x14ac:dyDescent="0.25">
      <c r="A32" s="48" t="s">
        <v>1099</v>
      </c>
      <c r="B32" s="15">
        <v>1</v>
      </c>
      <c r="C32" s="42"/>
      <c r="D32" s="60">
        <f>IFERROR(D3/$B32,0)</f>
        <v>3.3057851239669421E-8</v>
      </c>
      <c r="E32" s="60">
        <f>IFERROR(E3/$B32,0)</f>
        <v>3.0899917851942918E-4</v>
      </c>
      <c r="F32" s="60">
        <f>IFERROR(F3/$B32,0)</f>
        <v>1.2324675324675334E-2</v>
      </c>
      <c r="G32" s="60">
        <f>IFERROR(G3/$B32,0)</f>
        <v>3.2968835384132272E-12</v>
      </c>
      <c r="H32" s="60">
        <f>IFERROR(H3/$B32,0)</f>
        <v>1.6528925619834712E-11</v>
      </c>
      <c r="I32" s="60">
        <f>(IF(AND(D32&lt;&gt;0,E32&lt;&gt;0,F32&lt;&gt;0,G32&lt;&gt;0),1/((1/D32)+(1/E32)+(1/F32)+(1/G32)),IF(AND(D32&lt;&gt;0,E32&lt;&gt;0,F32&lt;&gt;0,G32=0), 1/((1/D32)+(1/E32)+(1/F32)),IF(AND(D32&lt;&gt;0,E32&lt;&gt;0,F32=0,G32&lt;&gt;0),1/((1/D32)+(1/E32)+(1/G32)),IF(AND(D32&lt;&gt;0,E32=0,F32&lt;&gt;0,G32&lt;&gt;0),1/((1/D32)+(1/F32)+(1/G32)),IF(AND(D32=0,E32&lt;&gt;0,F32&lt;&gt;0,G32&lt;&gt;0),1/((1/E32)+(1/F32)+(1/G32)),IF(AND(D32&lt;&gt;0,E32&lt;&gt;0,F32=0,G32=0),1/((1/D32)+(1/E32)),IF(AND(D32&lt;&gt;0,E32=0,F32&lt;&gt;0,G32=0),1/((1/D32)+(1/F32)),IF(AND(D32&lt;&gt;0,E32=0,F32=0,G32&lt;&gt;0),1/((1/D32)+(1/G32)),IF(AND(D32=0,E32=0,F32&lt;&gt;0,G32&lt;&gt;0),1/((1/F32)+(1/G32)),IF(AND(D32=0,E32&lt;&gt;0,F32=0,G32&lt;&gt;0),1/((1/E32)+(1/G32)),IF(AND(D32=0,E32&lt;&gt;0,F32&lt;&gt;0,G32=0),1/((1/E32)+(1/F32)),IF(AND(D32&lt;&gt;0,E32=0,F32=0,G32=0),1/((1/D32)),IF(AND(D32=0,E32&lt;&gt;0,F32=0,G32=0),1/((1/E32)),IF(AND(D32=0,E32=0,F32&lt;&gt;0,G32=0),1/((1/F32)),IF(AND(D32=0,E32=0,F32=0,G32&lt;&gt;0),1/((1/G32)),IF(AND(D32=0,E32=0,F32=0,G32=0),0)))))))))))))))))</f>
        <v>3.2965547345582255E-12</v>
      </c>
      <c r="J32" s="71">
        <f>IFERROR(up_RadSpec!$E$3*J3,".")*$B$32</f>
        <v>1512.5</v>
      </c>
      <c r="K32" s="71">
        <f>IFERROR(up_RadSpec!$H$3*K3,".")*B32</f>
        <v>0.16181272791589676</v>
      </c>
      <c r="L32" s="71">
        <f>IFERROR(up_RadSpec!$G$3*L3,".")*B32</f>
        <v>4.0569020021074785E-3</v>
      </c>
      <c r="M32" s="71">
        <f>up_b2s!AC32</f>
        <v>15165837.5</v>
      </c>
      <c r="N32" s="49">
        <f>IFERROR(IF(J32&gt;0.01,1-EXP(-J32),J32),".")</f>
        <v>1</v>
      </c>
      <c r="O32" s="49">
        <f>IFERROR(IF(K32&gt;0.01,1-EXP(-K32),K32),".")</f>
        <v>0.14939951664921358</v>
      </c>
      <c r="P32" s="49">
        <f>IFERROR(IF(L32&gt;0.01,1-EXP(-L32),L32),".")</f>
        <v>4.0569020021074785E-3</v>
      </c>
      <c r="Q32" s="49">
        <f>IFERROR(IF(M32&gt;0.01,1-EXP(-M32),M32),".")</f>
        <v>1</v>
      </c>
      <c r="R32" s="49">
        <f>IFERROR(IF(SUM(J32:M32)&gt;0.01,1-EXP(-SUM(J32:M32)),SUM(J32:M32)),".")</f>
        <v>1</v>
      </c>
      <c r="S32" s="60">
        <f>IFERROR(S3/$B32,0)</f>
        <v>1.2324675324675334E-2</v>
      </c>
      <c r="T32" s="60">
        <f>IFERROR(T3/$B32,0)</f>
        <v>1.7281208406846823E-2</v>
      </c>
      <c r="U32" s="60">
        <f>IFERROR(U3/$B32,0)</f>
        <v>1.3101623974552154E-2</v>
      </c>
      <c r="V32" s="60">
        <f>IFERROR(V3/$B32,0)</f>
        <v>1.3505379742667876E-2</v>
      </c>
      <c r="W32" s="60">
        <f>IFERROR(W3/$B32,0)</f>
        <v>2.6793436349970237E-2</v>
      </c>
      <c r="X32" s="71">
        <f>IFERROR(up_RadSpec!$G$3*X3,".")*$B$32</f>
        <v>4.0569020021074785E-3</v>
      </c>
      <c r="Y32" s="71">
        <f>IFERROR(up_RadSpec!$N$3*Y3,".")*$B$32</f>
        <v>2.8933161861638091E-3</v>
      </c>
      <c r="Z32" s="71">
        <f>IFERROR(up_RadSpec!$O$3*Z3,".")*$B$32</f>
        <v>3.8163207932938046E-3</v>
      </c>
      <c r="AA32" s="71">
        <f>IFERROR(up_RadSpec!$P$3*AA3,".")*$B$32</f>
        <v>3.7022283677099269E-3</v>
      </c>
      <c r="AB32" s="71">
        <f>IFERROR(up_RadSpec!$L$3*AB3,".")*$B$32</f>
        <v>1.8661286796852223E-3</v>
      </c>
      <c r="AC32" s="49">
        <f>IFERROR(IF(X32&gt;0.01,1-EXP(-X32),X32),".")</f>
        <v>4.0569020021074785E-3</v>
      </c>
      <c r="AD32" s="49">
        <f t="shared" ref="AD32:AG44" si="22">IFERROR(IF(Y32&gt;0.01,1-EXP(-Y32),Y32),".")</f>
        <v>2.8933161861638091E-3</v>
      </c>
      <c r="AE32" s="49">
        <f t="shared" si="22"/>
        <v>3.8163207932938046E-3</v>
      </c>
      <c r="AF32" s="49">
        <f t="shared" si="22"/>
        <v>3.7022283677099269E-3</v>
      </c>
      <c r="AG32" s="49">
        <f t="shared" si="22"/>
        <v>1.8661286796852223E-3</v>
      </c>
      <c r="AH32" s="60">
        <f t="shared" ref="AH32:AJ32" si="23">IFERROR(AH3/$B32,0)</f>
        <v>9.9740259740259755E-10</v>
      </c>
      <c r="AI32" s="60">
        <f t="shared" si="23"/>
        <v>6.3709090909090908E-6</v>
      </c>
      <c r="AJ32" s="60">
        <f t="shared" si="23"/>
        <v>9.9724647271019672E-10</v>
      </c>
      <c r="AK32" s="71">
        <f>IFERROR(up_RadSpec!$H$3*AK3,".")*$B$32</f>
        <v>50130.208333333328</v>
      </c>
      <c r="AL32" s="71">
        <f>IFERROR(up_RadSpec!$K$3*AL3,".")*$B$32</f>
        <v>7.8481735159817356</v>
      </c>
      <c r="AM32" s="49">
        <f>IFERROR(IF(AK32&gt;0.01,1-EXP(-AK32),AK32),".")</f>
        <v>1</v>
      </c>
      <c r="AN32" s="49">
        <f>IFERROR(IF(AL32&gt;0.01,1-EXP(-AL32),AL32),".")</f>
        <v>0.99960953550549536</v>
      </c>
      <c r="AO32" s="49">
        <f>IFERROR(IF(SUM(AK32:AL32)&gt;0.01,1-EXP(-SUM(AK32:AL32)),SUM(AK32:AL32)),".")</f>
        <v>1</v>
      </c>
      <c r="AP32" s="60">
        <f>IFERROR(AP3/$B32,".")</f>
        <v>3.6363636363636369E-10</v>
      </c>
      <c r="AQ32" s="60" t="str">
        <f>IFERROR(AQ3,".")</f>
        <v>.</v>
      </c>
      <c r="AR32" s="60">
        <f>IFERROR(AR3/$B32,".")</f>
        <v>3.9818181818181825E-6</v>
      </c>
      <c r="AS32" s="60">
        <f>IFERROR(AS3/$B32,".")</f>
        <v>1.6443412786038031E-11</v>
      </c>
      <c r="AT32" s="60">
        <f>(IF(AND(AP32&lt;&gt;".",AQ32&lt;&gt;".",AR32&lt;&gt;".",AS32&lt;&gt;"."),1/((1/AP32)+(1/AQ32)+(1/AR32)+(1/AS32)),IF(AND(AP32&lt;&gt;".",AQ32&lt;&gt;".",AR32&lt;&gt;".",AS32="."), 1/((1/AP32)+(1/AQ32)+(1/AR32)),IF(AND(AP32&lt;&gt;".",AQ32&lt;&gt;".",AR32=".",AS32&lt;&gt;"."),1/((1/AP32)+(1/AQ32)+(1/AS32)),IF(AND(AP32&lt;&gt;".",AQ32=".",AR32&lt;&gt;".",AS32&lt;&gt;"."),1/((1/AP32)+(1/AR32)+(1/AS32)),IF(AND(AP32=".",AQ32&lt;&gt;".",AR32&lt;&gt;".",AS32&lt;&gt;"."),1/((1/AQ32)+(1/AR32)+(1/AS32)),IF(AND(AP32&lt;&gt;".",AQ32&lt;&gt;".",AR32=".",AS32="."),1/((1/AP32)+(1/AQ32)),IF(AND(AP32&lt;&gt;".",AQ32=".",AR32&lt;&gt;".",AS32="."),1/((1/AP32)+(1/AR32)),IF(AND(AP32&lt;&gt;".",AQ32=".",AR32=".",AS32&lt;&gt;"."),1/((1/AP32)+(1/AS32)),IF(AND(AP32=".",AQ32=".",AR32&lt;&gt;".",AS32&lt;&gt;"."),1/((1/AR32)+(1/AS32)),IF(AND(AP32=".",AQ32&lt;&gt;".",AR32=".",AS32&lt;&gt;"."),1/((1/AQ32)+(1/AS32)),IF(AND(AP32=".",AQ32&lt;&gt;".",AR32&lt;&gt;".",AS32="."),1/((1/AQ32)+(1/AR32)),IF(AND(AP32&lt;&gt;".",AQ32=".",AR32=".",AS32="."),1/((1/AP32)),IF(AND(AP32=".",AQ32&lt;&gt;".",AR32=".",AS32="."),1/((1/AQ32)),IF(AND(AP32=".",AQ32=".",AR32&lt;&gt;".",AS32="."),1/((1/AR32)),IF(AND(AP32=".",AQ32=".",AR32=".",AS32&lt;&gt;"."),1/((1/AS32)),IF(AND(AP32=".",AQ32=".",AR32=".",AS32="."),".")))))))))))))))))</f>
        <v>1.5731958335636466E-11</v>
      </c>
      <c r="AU32" s="71">
        <f>IFERROR(up_RadSpec!$I$3*AU3,".")*$B$32</f>
        <v>137500</v>
      </c>
      <c r="AV32" s="71">
        <f>IFERROR(up_RadSpec!$H$3*AV3,".")*$B$32</f>
        <v>0</v>
      </c>
      <c r="AW32" s="71">
        <f>IFERROR(up_RadSpec!$M$3*AW3,".")*$B$32</f>
        <v>12.557077625570777</v>
      </c>
      <c r="AX32" s="71">
        <f>up_b2w!AC32</f>
        <v>3040731.3038114933</v>
      </c>
      <c r="AY32" s="49">
        <f t="shared" ref="AY32:AY44" si="24">IFERROR(IF(AU32&gt;0.01,1-EXP(-AU32),AU32),".")</f>
        <v>1</v>
      </c>
      <c r="AZ32" s="49">
        <f t="shared" ref="AZ32:AZ44" si="25">IFERROR(IF(AQ32&lt;&gt;0,IF(AV32&gt;0.01,1-EXP(-AV32),AV32),0),".")</f>
        <v>0</v>
      </c>
      <c r="BA32" s="49">
        <f>IFERROR(IF(AW32&gt;0.01,1-EXP(-AW32),AW32),".")</f>
        <v>0.99999648009875997</v>
      </c>
      <c r="BB32" s="49">
        <f>IFERROR(IF(AX32&gt;0.01,1-EXP(-AX32),AX32),".")</f>
        <v>1</v>
      </c>
      <c r="BC32" s="49">
        <f t="shared" ref="BC32:BC44" si="26">IFERROR(IF(SUM(AU32:AX32)&gt;0.01,1-EXP(-SUM(AU32:AX32)),SUM(AU32:AX32)),".")</f>
        <v>1</v>
      </c>
      <c r="BD32" s="60">
        <f>IFERROR(BD3/$B32,0)</f>
        <v>6.6115702479338848E-11</v>
      </c>
      <c r="BE32" s="71">
        <f>IFERROR(up_RadSpec!$F$3*BE3,".")*$B$32</f>
        <v>756250</v>
      </c>
      <c r="BF32" s="49">
        <f>IFERROR(IF(BE32&gt;0.01,1-EXP(-BE32),BE32),".")</f>
        <v>1</v>
      </c>
    </row>
    <row r="33" spans="1:58" x14ac:dyDescent="0.25">
      <c r="A33" s="48" t="s">
        <v>1075</v>
      </c>
      <c r="B33" s="15">
        <v>1</v>
      </c>
      <c r="C33" s="42"/>
      <c r="D33" s="60">
        <f t="shared" ref="D33:H34" si="27">IFERROR(D13/$B33,0)</f>
        <v>3.3057851239669421E-8</v>
      </c>
      <c r="E33" s="60">
        <f t="shared" si="27"/>
        <v>3.0899917851942918E-4</v>
      </c>
      <c r="F33" s="60">
        <f t="shared" si="27"/>
        <v>3.0439232247141872E-4</v>
      </c>
      <c r="G33" s="60">
        <f t="shared" si="27"/>
        <v>3.2968835384132272E-12</v>
      </c>
      <c r="H33" s="60">
        <f t="shared" si="27"/>
        <v>1.6528925619834712E-11</v>
      </c>
      <c r="I33" s="60">
        <f t="shared" ref="I33:I44" si="28">(IF(AND(D33&lt;&gt;0,E33&lt;&gt;0,F33&lt;&gt;0,G33&lt;&gt;0),1/((1/D33)+(1/E33)+(1/F33)+(1/G33)),IF(AND(D33&lt;&gt;0,E33&lt;&gt;0,F33&lt;&gt;0,G33=0), 1/((1/D33)+(1/E33)+(1/F33)),IF(AND(D33&lt;&gt;0,E33&lt;&gt;0,F33=0,G33&lt;&gt;0),1/((1/D33)+(1/E33)+(1/G33)),IF(AND(D33&lt;&gt;0,E33=0,F33&lt;&gt;0,G33&lt;&gt;0),1/((1/D33)+(1/F33)+(1/G33)),IF(AND(D33=0,E33&lt;&gt;0,F33&lt;&gt;0,G33&lt;&gt;0),1/((1/E33)+(1/F33)+(1/G33)),IF(AND(D33&lt;&gt;0,E33&lt;&gt;0,F33=0,G33=0),1/((1/D33)+(1/E33)),IF(AND(D33&lt;&gt;0,E33=0,F33&lt;&gt;0,G33=0),1/((1/D33)+(1/F33)),IF(AND(D33&lt;&gt;0,E33=0,F33=0,G33&lt;&gt;0),1/((1/D33)+(1/G33)),IF(AND(D33=0,E33=0,F33&lt;&gt;0,G33&lt;&gt;0),1/((1/F33)+(1/G33)),IF(AND(D33=0,E33&lt;&gt;0,F33=0,G33&lt;&gt;0),1/((1/E33)+(1/G33)),IF(AND(D33=0,E33&lt;&gt;0,F33&lt;&gt;0,G33=0),1/((1/E33)+(1/F33)),IF(AND(D33&lt;&gt;0,E33=0,F33=0,G33=0),1/((1/D33)),IF(AND(D33=0,E33&lt;&gt;0,F33=0,G33=0),1/((1/E33)),IF(AND(D33=0,E33=0,F33&lt;&gt;0,G33=0),1/((1/F33)),IF(AND(D33=0,E33=0,F33=0,G33&lt;&gt;0),1/((1/G33)),IF(AND(D33=0,E33=0,F33=0,G33=0),0)))))))))))))))))</f>
        <v>3.2965546997384401E-12</v>
      </c>
      <c r="J33" s="71">
        <f>IFERROR(up_RadSpec!$E$13*J13,".")*$B$33</f>
        <v>1512.5</v>
      </c>
      <c r="K33" s="71">
        <f>IFERROR(up_RadSpec!$H$13*K13,".")*B33</f>
        <v>0.16181272791589676</v>
      </c>
      <c r="L33" s="71">
        <f>IFERROR(up_RadSpec!$G$13*L13,".")*B33</f>
        <v>0.16426169883011688</v>
      </c>
      <c r="M33" s="71">
        <f>up_b2s!AC33</f>
        <v>15165837.5</v>
      </c>
      <c r="N33" s="49">
        <f t="shared" ref="N33:O44" si="29">IFERROR(IF(J33&gt;0.01,1-EXP(-J33),J33),".")</f>
        <v>1</v>
      </c>
      <c r="O33" s="49">
        <f t="shared" si="29"/>
        <v>0.14939951664921358</v>
      </c>
      <c r="P33" s="49">
        <f t="shared" ref="P33:P44" si="30">IFERROR(IF(L33&gt;0.01,1-EXP(-L33),L33),".")</f>
        <v>0.15148006385293455</v>
      </c>
      <c r="Q33" s="49">
        <f t="shared" ref="Q33:Q44" si="31">IFERROR(IF(M33&gt;0.01,1-EXP(-M33),M33),".")</f>
        <v>1</v>
      </c>
      <c r="R33" s="49">
        <f t="shared" ref="R33:R44" si="32">IFERROR(IF(SUM(J33:M33)&gt;0.01,1-EXP(-SUM(J33:M33)),SUM(J33:M33)),".")</f>
        <v>1</v>
      </c>
      <c r="S33" s="60">
        <f t="shared" ref="S33:W34" si="33">IFERROR(S13/$B33,0)</f>
        <v>3.0439232247141872E-4</v>
      </c>
      <c r="T33" s="60">
        <f t="shared" si="33"/>
        <v>6.6381290962296566E-4</v>
      </c>
      <c r="U33" s="60">
        <f t="shared" si="33"/>
        <v>3.9436655108296897E-4</v>
      </c>
      <c r="V33" s="60">
        <f t="shared" si="33"/>
        <v>3.2555712315832271E-4</v>
      </c>
      <c r="W33" s="60">
        <f t="shared" si="33"/>
        <v>6.3861832611832592E-3</v>
      </c>
      <c r="X33" s="71">
        <f>IFERROR(up_RadSpec!$G$13*X13,".")*$B$33</f>
        <v>0.16426169883011688</v>
      </c>
      <c r="Y33" s="71">
        <f>IFERROR(up_RadSpec!$N$13*Y13,".")*$B$33</f>
        <v>7.5322427863596608E-2</v>
      </c>
      <c r="Z33" s="71">
        <f>IFERROR(up_RadSpec!$O$13*Z13,".")*$B$33</f>
        <v>0.12678560050971649</v>
      </c>
      <c r="AA33" s="71">
        <f>IFERROR(up_RadSpec!$P$13*AA13,".")*$B$33</f>
        <v>0.15358287822098843</v>
      </c>
      <c r="AB33" s="71">
        <f>IFERROR(up_RadSpec!$L$13*AB13,".")*$B$33</f>
        <v>7.8294026267476374E-3</v>
      </c>
      <c r="AC33" s="49">
        <f t="shared" ref="AC33:AC44" si="34">IFERROR(IF(X33&gt;0.01,1-EXP(-X33),X33),".")</f>
        <v>0.15148006385293455</v>
      </c>
      <c r="AD33" s="49">
        <f t="shared" si="22"/>
        <v>7.2555595802912265E-2</v>
      </c>
      <c r="AE33" s="49">
        <f t="shared" si="22"/>
        <v>0.11907747830851134</v>
      </c>
      <c r="AF33" s="49">
        <f t="shared" si="22"/>
        <v>0.14237031756904339</v>
      </c>
      <c r="AG33" s="49">
        <f t="shared" si="22"/>
        <v>7.8294026267476374E-3</v>
      </c>
      <c r="AH33" s="60">
        <f t="shared" ref="AH33:AJ33" si="35">IFERROR(AH13/$B33,0)</f>
        <v>9.9740259740259755E-10</v>
      </c>
      <c r="AI33" s="60">
        <f t="shared" si="35"/>
        <v>6.3709090909090908E-6</v>
      </c>
      <c r="AJ33" s="60">
        <f t="shared" si="35"/>
        <v>9.9724647271019672E-10</v>
      </c>
      <c r="AK33" s="71">
        <f>IFERROR(up_RadSpec!$H$13*AK13,".")*$B$33</f>
        <v>50130.208333333328</v>
      </c>
      <c r="AL33" s="71">
        <f>IFERROR(up_RadSpec!$K$13*AL13,".")*$B$33</f>
        <v>7.8481735159817356</v>
      </c>
      <c r="AM33" s="49">
        <f t="shared" ref="AM33:AN44" si="36">IFERROR(IF(AK33&gt;0.01,1-EXP(-AK33),AK33),".")</f>
        <v>1</v>
      </c>
      <c r="AN33" s="49">
        <f t="shared" si="36"/>
        <v>0.99960953550549536</v>
      </c>
      <c r="AO33" s="49">
        <f t="shared" ref="AO33:AO44" si="37">IFERROR(IF(SUM(AK33:AL33)&gt;0.01,1-EXP(-SUM(AK33:AL33)),SUM(AK33:AL33)),".")</f>
        <v>1</v>
      </c>
      <c r="AP33" s="60">
        <f>IFERROR(AP13/$B33,".")</f>
        <v>3.6363636363636369E-10</v>
      </c>
      <c r="AQ33" s="60" t="str">
        <f>IFERROR(AQ13,".")</f>
        <v>.</v>
      </c>
      <c r="AR33" s="60">
        <f t="shared" ref="AR33:AT34" si="38">IFERROR(AR13/$B33,".")</f>
        <v>3.9818181818181825E-6</v>
      </c>
      <c r="AS33" s="60">
        <f t="shared" si="38"/>
        <v>1.6443412786038031E-11</v>
      </c>
      <c r="AT33" s="60">
        <f t="shared" si="38"/>
        <v>1.5731958335636466E-11</v>
      </c>
      <c r="AU33" s="71">
        <f>IFERROR(up_RadSpec!$I$13*AU13,".")*$B$33</f>
        <v>137500</v>
      </c>
      <c r="AV33" s="71">
        <f>IFERROR(up_RadSpec!$H$13*AV13,".")*$B$33</f>
        <v>0</v>
      </c>
      <c r="AW33" s="71">
        <f>IFERROR(up_RadSpec!$M$13*AW13,".")*$B$33</f>
        <v>12.557077625570777</v>
      </c>
      <c r="AX33" s="71">
        <f>up_b2w!AC33</f>
        <v>3040731.3038114933</v>
      </c>
      <c r="AY33" s="49">
        <f t="shared" si="24"/>
        <v>1</v>
      </c>
      <c r="AZ33" s="49">
        <f t="shared" si="25"/>
        <v>0</v>
      </c>
      <c r="BA33" s="49">
        <f t="shared" ref="BA33:BB47" si="39">IFERROR(IF(AW33&gt;0.01,1-EXP(-AW33),AW33),".")</f>
        <v>0.99999648009875997</v>
      </c>
      <c r="BB33" s="49">
        <f t="shared" si="39"/>
        <v>1</v>
      </c>
      <c r="BC33" s="49">
        <f t="shared" si="26"/>
        <v>1</v>
      </c>
      <c r="BD33" s="60">
        <f t="shared" ref="BD33" si="40">IFERROR(BD13/$B33,0)</f>
        <v>6.6115702479338848E-11</v>
      </c>
      <c r="BE33" s="71">
        <f>IFERROR(up_RadSpec!$F$13*BE13,".")*$B$33</f>
        <v>756250</v>
      </c>
      <c r="BF33" s="49">
        <f t="shared" ref="BF33:BF44" si="41">IFERROR(IF(BE33&gt;0.01,1-EXP(-BE33),BE33),".")</f>
        <v>1</v>
      </c>
    </row>
    <row r="34" spans="1:58" x14ac:dyDescent="0.25">
      <c r="A34" s="48" t="s">
        <v>1076</v>
      </c>
      <c r="B34" s="15">
        <v>1</v>
      </c>
      <c r="C34" s="42"/>
      <c r="D34" s="60">
        <f t="shared" si="27"/>
        <v>3.3057851239669421E-8</v>
      </c>
      <c r="E34" s="60">
        <f t="shared" si="27"/>
        <v>3.0899917851942918E-4</v>
      </c>
      <c r="F34" s="60">
        <f t="shared" si="27"/>
        <v>4.5694544130414811E-5</v>
      </c>
      <c r="G34" s="60">
        <f t="shared" si="27"/>
        <v>3.2968835384132272E-12</v>
      </c>
      <c r="H34" s="60">
        <f t="shared" si="27"/>
        <v>1.6528925619834712E-11</v>
      </c>
      <c r="I34" s="60">
        <f t="shared" si="28"/>
        <v>3.2965544976156881E-12</v>
      </c>
      <c r="J34" s="71">
        <f>IFERROR(up_RadSpec!$E$14*J14,".")*$B$34</f>
        <v>1512.5</v>
      </c>
      <c r="K34" s="71">
        <f>IFERROR(up_RadSpec!$H$14*K14,".")*B33</f>
        <v>0.16181272791589676</v>
      </c>
      <c r="L34" s="71">
        <f>IFERROR(up_RadSpec!$G$14*L14,".")*B33</f>
        <v>1.0942225368809277</v>
      </c>
      <c r="M34" s="71">
        <f>up_b2s!AC34</f>
        <v>15165837.5</v>
      </c>
      <c r="N34" s="49">
        <f t="shared" si="29"/>
        <v>1</v>
      </c>
      <c r="O34" s="49">
        <f t="shared" si="29"/>
        <v>0.14939951664921358</v>
      </c>
      <c r="P34" s="49">
        <f t="shared" si="30"/>
        <v>0.6652001997128647</v>
      </c>
      <c r="Q34" s="49">
        <f t="shared" si="31"/>
        <v>1</v>
      </c>
      <c r="R34" s="49">
        <f t="shared" si="32"/>
        <v>1</v>
      </c>
      <c r="S34" s="60">
        <f t="shared" si="33"/>
        <v>4.5694544130414811E-5</v>
      </c>
      <c r="T34" s="60">
        <f t="shared" si="33"/>
        <v>8.2986017700335997E-5</v>
      </c>
      <c r="U34" s="60">
        <f t="shared" si="33"/>
        <v>6.13551858652854E-5</v>
      </c>
      <c r="V34" s="60">
        <f t="shared" si="33"/>
        <v>5.376534153512572E-5</v>
      </c>
      <c r="W34" s="60">
        <f t="shared" si="33"/>
        <v>2.3155333826065544E-4</v>
      </c>
      <c r="X34" s="71">
        <f>IFERROR(up_RadSpec!$G$14*X14,".")*$B$33</f>
        <v>1.0942225368809277</v>
      </c>
      <c r="Y34" s="71">
        <f>IFERROR(up_RadSpec!$N$14*Y14,".")*$B$33</f>
        <v>0.60251113844926141</v>
      </c>
      <c r="Z34" s="71">
        <f>IFERROR(up_RadSpec!$O$14*Z14,".")*$B$33</f>
        <v>0.81492703990470472</v>
      </c>
      <c r="AA34" s="71">
        <f>IFERROR(up_RadSpec!$P$14*AA14,".")*$B$33</f>
        <v>0.92996712328767106</v>
      </c>
      <c r="AB34" s="71">
        <f>IFERROR(up_RadSpec!$L$14*AB14,".")*$B$33</f>
        <v>0.21593296980981505</v>
      </c>
      <c r="AC34" s="49">
        <f t="shared" si="34"/>
        <v>0.6652001997128647</v>
      </c>
      <c r="AD34" s="49">
        <f t="shared" si="22"/>
        <v>0.45256477700156417</v>
      </c>
      <c r="AE34" s="49">
        <f t="shared" si="22"/>
        <v>0.55732837645299105</v>
      </c>
      <c r="AF34" s="49">
        <f t="shared" si="22"/>
        <v>0.60543331778633003</v>
      </c>
      <c r="AG34" s="49">
        <f t="shared" si="22"/>
        <v>0.19421068772585359</v>
      </c>
      <c r="AH34" s="60">
        <f t="shared" ref="AH34:AJ34" si="42">IFERROR(AH14/$B34,0)</f>
        <v>9.9740259740259755E-10</v>
      </c>
      <c r="AI34" s="60">
        <f t="shared" si="42"/>
        <v>6.3709090909090908E-6</v>
      </c>
      <c r="AJ34" s="60">
        <f t="shared" si="42"/>
        <v>9.9724647271019672E-10</v>
      </c>
      <c r="AK34" s="71">
        <f>IFERROR(up_RadSpec!$H$14*AK14,".")*$B$33</f>
        <v>50130.208333333328</v>
      </c>
      <c r="AL34" s="71">
        <f>IFERROR(up_RadSpec!$K$14*AL14,".")*$B$33</f>
        <v>7.8481735159817356</v>
      </c>
      <c r="AM34" s="49">
        <f t="shared" si="36"/>
        <v>1</v>
      </c>
      <c r="AN34" s="49">
        <f t="shared" si="36"/>
        <v>0.99960953550549536</v>
      </c>
      <c r="AO34" s="49">
        <f t="shared" si="37"/>
        <v>1</v>
      </c>
      <c r="AP34" s="60">
        <f>IFERROR(AP14/$B34,".")</f>
        <v>3.6363636363636369E-10</v>
      </c>
      <c r="AQ34" s="60" t="str">
        <f>IFERROR(AQ14,".")</f>
        <v>.</v>
      </c>
      <c r="AR34" s="60">
        <f t="shared" si="38"/>
        <v>3.9818181818181825E-6</v>
      </c>
      <c r="AS34" s="60">
        <f t="shared" si="38"/>
        <v>1.6443412786038031E-11</v>
      </c>
      <c r="AT34" s="60">
        <f t="shared" si="38"/>
        <v>1.5731958335636466E-11</v>
      </c>
      <c r="AU34" s="71">
        <f>IFERROR(up_RadSpec!$I$14*AU14,".")*$B$34</f>
        <v>137500</v>
      </c>
      <c r="AV34" s="71">
        <f>IFERROR(up_RadSpec!$H$14*AV14,".")*$B$34</f>
        <v>0</v>
      </c>
      <c r="AW34" s="71">
        <f>IFERROR(up_RadSpec!$M$14*AW14,".")*$B$34</f>
        <v>12.557077625570777</v>
      </c>
      <c r="AX34" s="71">
        <f>up_b2w!AC34</f>
        <v>3040731.3038114933</v>
      </c>
      <c r="AY34" s="49">
        <f t="shared" si="24"/>
        <v>1</v>
      </c>
      <c r="AZ34" s="49">
        <f t="shared" si="25"/>
        <v>0</v>
      </c>
      <c r="BA34" s="49">
        <f t="shared" si="39"/>
        <v>0.99999648009875997</v>
      </c>
      <c r="BB34" s="49">
        <f t="shared" si="39"/>
        <v>1</v>
      </c>
      <c r="BC34" s="49">
        <f t="shared" si="26"/>
        <v>1</v>
      </c>
      <c r="BD34" s="60">
        <f t="shared" ref="BD34" si="43">IFERROR(BD14/$B34,0)</f>
        <v>6.6115702479338848E-11</v>
      </c>
      <c r="BE34" s="71">
        <f>IFERROR(up_RadSpec!$F$14*BE14,".")*$B$33</f>
        <v>756250</v>
      </c>
      <c r="BF34" s="49">
        <f t="shared" si="41"/>
        <v>1</v>
      </c>
    </row>
    <row r="35" spans="1:58" x14ac:dyDescent="0.25">
      <c r="A35" s="48" t="s">
        <v>1077</v>
      </c>
      <c r="B35" s="15">
        <v>1</v>
      </c>
      <c r="C35" s="42"/>
      <c r="D35" s="60">
        <f>IFERROR(D30/$B35,0)</f>
        <v>3.3057851239669421E-8</v>
      </c>
      <c r="E35" s="60">
        <f>IFERROR(E30/$B35,0)</f>
        <v>3.0899917851942918E-4</v>
      </c>
      <c r="F35" s="60">
        <f>IFERROR(F30/$B35,0)</f>
        <v>1.4747474747474749E-4</v>
      </c>
      <c r="G35" s="60">
        <f>IFERROR(G30/$B35,0)</f>
        <v>3.2968835384132272E-12</v>
      </c>
      <c r="H35" s="60">
        <f>IFERROR(H30/$B35,0)</f>
        <v>1.6528925619834712E-11</v>
      </c>
      <c r="I35" s="60">
        <f t="shared" si="28"/>
        <v>3.2965546617509322E-12</v>
      </c>
      <c r="J35" s="71">
        <f>IFERROR(up_RadSpec!$E$30*J30,".")*$B$35</f>
        <v>1512.5</v>
      </c>
      <c r="K35" s="71">
        <f>IFERROR(up_RadSpec!$H$30*K30,".")*B35</f>
        <v>0.16181272791589676</v>
      </c>
      <c r="L35" s="71">
        <f>IFERROR(up_RadSpec!$G$30*L30,".")*B35</f>
        <v>0.33904109589041098</v>
      </c>
      <c r="M35" s="71">
        <f>up_b2s!AC35</f>
        <v>15165837.5</v>
      </c>
      <c r="N35" s="49">
        <f t="shared" si="29"/>
        <v>1</v>
      </c>
      <c r="O35" s="49">
        <f t="shared" si="29"/>
        <v>0.14939951664921358</v>
      </c>
      <c r="P35" s="49">
        <f t="shared" si="30"/>
        <v>0.2875468304098181</v>
      </c>
      <c r="Q35" s="49">
        <f t="shared" si="31"/>
        <v>1</v>
      </c>
      <c r="R35" s="49">
        <f t="shared" si="32"/>
        <v>1</v>
      </c>
      <c r="S35" s="60">
        <f>IFERROR(S30/$B35,0)</f>
        <v>1.4747474747474749E-4</v>
      </c>
      <c r="T35" s="60">
        <f>IFERROR(T30/$B35,0)</f>
        <v>7.2247422680412363E-4</v>
      </c>
      <c r="U35" s="60">
        <f>IFERROR(U30/$B35,0)</f>
        <v>2.603551751279024E-4</v>
      </c>
      <c r="V35" s="60">
        <f>IFERROR(V30/$B35,0)</f>
        <v>1.9379533878684994E-4</v>
      </c>
      <c r="W35" s="60">
        <f>IFERROR(W30/$B35,0)</f>
        <v>1.7696969696969697E-2</v>
      </c>
      <c r="X35" s="71">
        <f>IFERROR(up_RadSpec!$G$30*X30,".")*$B$35</f>
        <v>0.33904109589041098</v>
      </c>
      <c r="Y35" s="71">
        <f>IFERROR(up_RadSpec!$N$30*Y30,".")*$B$35</f>
        <v>6.9206621004566218E-2</v>
      </c>
      <c r="Z35" s="71">
        <f>IFERROR(up_RadSpec!$O$30*Z30,".")*$B$35</f>
        <v>0.19204534718941901</v>
      </c>
      <c r="AA35" s="71">
        <f>IFERROR(up_RadSpec!$P$30*AA30,".")*$B$35</f>
        <v>0.25800414144632033</v>
      </c>
      <c r="AB35" s="71">
        <f>IFERROR(up_RadSpec!$L$30*AB30,".")*$B$35</f>
        <v>2.8253424657534248E-3</v>
      </c>
      <c r="AC35" s="49">
        <f t="shared" si="34"/>
        <v>0.2875468304098181</v>
      </c>
      <c r="AD35" s="49">
        <f t="shared" si="22"/>
        <v>6.6866144896493229E-2</v>
      </c>
      <c r="AE35" s="49">
        <f t="shared" si="22"/>
        <v>0.17473055600665754</v>
      </c>
      <c r="AF35" s="49">
        <f t="shared" si="22"/>
        <v>0.22740796754812742</v>
      </c>
      <c r="AG35" s="49">
        <f t="shared" si="22"/>
        <v>2.8253424657534248E-3</v>
      </c>
      <c r="AH35" s="60">
        <f t="shared" ref="AH35:AJ35" si="44">IFERROR(AH30/$B35,0)</f>
        <v>9.9740259740259755E-10</v>
      </c>
      <c r="AI35" s="60">
        <f t="shared" si="44"/>
        <v>6.3709090909090908E-6</v>
      </c>
      <c r="AJ35" s="60">
        <f t="shared" si="44"/>
        <v>9.9724647271019672E-10</v>
      </c>
      <c r="AK35" s="71">
        <f>IFERROR(up_RadSpec!$H$30*AK30,".")*$B$35</f>
        <v>50130.208333333328</v>
      </c>
      <c r="AL35" s="71">
        <f>IFERROR(up_RadSpec!$K$30*AL30,".")*$B$35</f>
        <v>7.8481735159817356</v>
      </c>
      <c r="AM35" s="49">
        <f t="shared" si="36"/>
        <v>1</v>
      </c>
      <c r="AN35" s="49">
        <f t="shared" si="36"/>
        <v>0.99960953550549536</v>
      </c>
      <c r="AO35" s="49">
        <f t="shared" si="37"/>
        <v>1</v>
      </c>
      <c r="AP35" s="60">
        <f>IFERROR(AP30/$B35,".")</f>
        <v>3.6363636363636369E-10</v>
      </c>
      <c r="AQ35" s="60" t="str">
        <f>IFERROR(AQ30,".")</f>
        <v>.</v>
      </c>
      <c r="AR35" s="60">
        <f>IFERROR(AR30/$B35,".")</f>
        <v>3.9818181818181825E-6</v>
      </c>
      <c r="AS35" s="60">
        <f>IFERROR(AS30/$B35,".")</f>
        <v>1.6443412786038031E-11</v>
      </c>
      <c r="AT35" s="60">
        <f>IFERROR(AT30/$B35,".")</f>
        <v>1.5731958335636466E-11</v>
      </c>
      <c r="AU35" s="71">
        <f>IFERROR(up_RadSpec!$I$30*AU30,".")*$B$35</f>
        <v>137500</v>
      </c>
      <c r="AV35" s="71">
        <f>IFERROR(up_RadSpec!$H$30*AV30,".")*$B$35</f>
        <v>0</v>
      </c>
      <c r="AW35" s="71">
        <f>IFERROR(up_RadSpec!$M$30*AW30,".")*$B$35</f>
        <v>12.557077625570777</v>
      </c>
      <c r="AX35" s="71">
        <f>up_b2w!AC35</f>
        <v>3040731.3038114933</v>
      </c>
      <c r="AY35" s="49">
        <f t="shared" si="24"/>
        <v>1</v>
      </c>
      <c r="AZ35" s="49">
        <f t="shared" si="25"/>
        <v>0</v>
      </c>
      <c r="BA35" s="49">
        <f t="shared" si="39"/>
        <v>0.99999648009875997</v>
      </c>
      <c r="BB35" s="49">
        <f t="shared" si="39"/>
        <v>1</v>
      </c>
      <c r="BC35" s="49">
        <f t="shared" si="26"/>
        <v>1</v>
      </c>
      <c r="BD35" s="60">
        <f>IFERROR(BD30/$B35,0)</f>
        <v>6.6115702479338848E-11</v>
      </c>
      <c r="BE35" s="71">
        <f>IFERROR(up_RadSpec!$F$30*BE30,".")*$B$35</f>
        <v>756250</v>
      </c>
      <c r="BF35" s="49">
        <f t="shared" si="41"/>
        <v>1</v>
      </c>
    </row>
    <row r="36" spans="1:58" x14ac:dyDescent="0.25">
      <c r="A36" s="48" t="s">
        <v>1078</v>
      </c>
      <c r="B36" s="15">
        <v>1</v>
      </c>
      <c r="C36" s="42"/>
      <c r="D36" s="60">
        <f>IFERROR(D26/$B36,0)</f>
        <v>3.3057851239669421E-8</v>
      </c>
      <c r="E36" s="60">
        <f>IFERROR(E26/$B36,0)</f>
        <v>3.0899917851942918E-4</v>
      </c>
      <c r="F36" s="60">
        <f>IFERROR(F26/$B36,0)</f>
        <v>1.5499896928468354E-4</v>
      </c>
      <c r="G36" s="60">
        <f>IFERROR(G26/$B36,0)</f>
        <v>3.2968835384132272E-12</v>
      </c>
      <c r="H36" s="60">
        <f>IFERROR(H26/$B36,0)</f>
        <v>1.6528925619834712E-11</v>
      </c>
      <c r="I36" s="60">
        <f t="shared" si="28"/>
        <v>3.2965546653280703E-12</v>
      </c>
      <c r="J36" s="71">
        <f>IFERROR(up_RadSpec!$E$26*J26,".")*$B$37</f>
        <v>1512.5</v>
      </c>
      <c r="K36" s="71">
        <f>IFERROR(up_RadSpec!$H$26*K26,".")*B37</f>
        <v>0.16181272791589676</v>
      </c>
      <c r="L36" s="71">
        <f>IFERROR(up_RadSpec!$G$26*L26,".")*B37</f>
        <v>0.32258279026466297</v>
      </c>
      <c r="M36" s="71">
        <f>up_b2s!AC36</f>
        <v>15165837.5</v>
      </c>
      <c r="N36" s="49">
        <f t="shared" si="29"/>
        <v>1</v>
      </c>
      <c r="O36" s="49">
        <f t="shared" si="29"/>
        <v>0.14939951664921358</v>
      </c>
      <c r="P36" s="49">
        <f t="shared" si="30"/>
        <v>0.27572403367427023</v>
      </c>
      <c r="Q36" s="49">
        <f t="shared" si="31"/>
        <v>1</v>
      </c>
      <c r="R36" s="49">
        <f t="shared" si="32"/>
        <v>1</v>
      </c>
      <c r="S36" s="60">
        <f>IFERROR(S26/$B36,0)</f>
        <v>1.5499896928468354E-4</v>
      </c>
      <c r="T36" s="60">
        <f>IFERROR(T26/$B36,0)</f>
        <v>2.829898066905492E-4</v>
      </c>
      <c r="U36" s="60">
        <f>IFERROR(U26/$B36,0)</f>
        <v>2.0453971291866025E-4</v>
      </c>
      <c r="V36" s="60">
        <f>IFERROR(V26/$B36,0)</f>
        <v>1.7495867768595034E-4</v>
      </c>
      <c r="W36" s="60">
        <f>IFERROR(W26/$B36,0)</f>
        <v>1.649416447236924E-3</v>
      </c>
      <c r="X36" s="71">
        <f>IFERROR(up_RadSpec!$G$26*X26,".")*$B$37</f>
        <v>0.32258279026466297</v>
      </c>
      <c r="Y36" s="71">
        <f>IFERROR(up_RadSpec!$N$26*Y26,".")*$B$37</f>
        <v>0.17668480919765164</v>
      </c>
      <c r="Z36" s="71">
        <f>IFERROR(up_RadSpec!$O$26*Z26,".")*$B$37</f>
        <v>0.24445130623549671</v>
      </c>
      <c r="AA36" s="71">
        <f>IFERROR(up_RadSpec!$P$26*AA26,".")*$B$37</f>
        <v>0.28578176665092125</v>
      </c>
      <c r="AB36" s="71">
        <f>IFERROR(up_RadSpec!$L$26*AB26,".")*$B$37</f>
        <v>3.0313751317175962E-2</v>
      </c>
      <c r="AC36" s="49">
        <f t="shared" si="34"/>
        <v>0.27572403367427023</v>
      </c>
      <c r="AD36" s="49">
        <f t="shared" si="22"/>
        <v>0.16195611337544091</v>
      </c>
      <c r="AE36" s="49">
        <f t="shared" si="22"/>
        <v>0.21686587881458652</v>
      </c>
      <c r="AF36" s="49">
        <f t="shared" si="22"/>
        <v>0.24857341560535728</v>
      </c>
      <c r="AG36" s="49">
        <f t="shared" si="22"/>
        <v>2.9858897255609973E-2</v>
      </c>
      <c r="AH36" s="60">
        <f t="shared" ref="AH36:AJ36" si="45">IFERROR(AH26/$B36,0)</f>
        <v>9.9740259740259755E-10</v>
      </c>
      <c r="AI36" s="60">
        <f t="shared" si="45"/>
        <v>6.3709090909090908E-6</v>
      </c>
      <c r="AJ36" s="60">
        <f t="shared" si="45"/>
        <v>9.9724647271019672E-10</v>
      </c>
      <c r="AK36" s="71">
        <f>IFERROR(up_RadSpec!$H$26*AK26,".")*$B$37</f>
        <v>50130.208333333328</v>
      </c>
      <c r="AL36" s="71">
        <f>IFERROR(up_RadSpec!$K$26*AL26,".")*$B$37</f>
        <v>7.8481735159817356</v>
      </c>
      <c r="AM36" s="49">
        <f t="shared" si="36"/>
        <v>1</v>
      </c>
      <c r="AN36" s="49">
        <f t="shared" si="36"/>
        <v>0.99960953550549536</v>
      </c>
      <c r="AO36" s="49">
        <f t="shared" si="37"/>
        <v>1</v>
      </c>
      <c r="AP36" s="60">
        <f>IFERROR(AP26/$B36,".")</f>
        <v>3.6363636363636369E-10</v>
      </c>
      <c r="AQ36" s="60" t="str">
        <f>IFERROR(AQ26,".")</f>
        <v>.</v>
      </c>
      <c r="AR36" s="60">
        <f>IFERROR(AR26/$B36,".")</f>
        <v>3.9818181818181825E-6</v>
      </c>
      <c r="AS36" s="60">
        <f>IFERROR(AS26/$B36,".")</f>
        <v>1.6443412786038031E-11</v>
      </c>
      <c r="AT36" s="60">
        <f>IFERROR(AT26/$B36,".")</f>
        <v>1.5731958335636466E-11</v>
      </c>
      <c r="AU36" s="71">
        <f>IFERROR(up_RadSpec!$I$26*AU26,".")*$B$37</f>
        <v>137500</v>
      </c>
      <c r="AV36" s="71">
        <f>IFERROR(up_RadSpec!$H$26*AV26,".")*$B$37</f>
        <v>0</v>
      </c>
      <c r="AW36" s="71">
        <f>IFERROR(up_RadSpec!$M$26*AW26,".")*$B$37</f>
        <v>12.557077625570777</v>
      </c>
      <c r="AX36" s="71">
        <f>up_b2w!AC36</f>
        <v>3040731.3038114933</v>
      </c>
      <c r="AY36" s="49">
        <f t="shared" si="24"/>
        <v>1</v>
      </c>
      <c r="AZ36" s="49">
        <f t="shared" si="25"/>
        <v>0</v>
      </c>
      <c r="BA36" s="49">
        <f t="shared" si="39"/>
        <v>0.99999648009875997</v>
      </c>
      <c r="BB36" s="49">
        <f t="shared" si="39"/>
        <v>1</v>
      </c>
      <c r="BC36" s="49">
        <f t="shared" si="26"/>
        <v>1</v>
      </c>
      <c r="BD36" s="60">
        <f>IFERROR(BD26/$B36,0)</f>
        <v>6.6115702479338848E-11</v>
      </c>
      <c r="BE36" s="71">
        <f>IFERROR(up_RadSpec!$F$26*BE26,".")*$B$37</f>
        <v>756250</v>
      </c>
      <c r="BF36" s="49">
        <f t="shared" si="41"/>
        <v>1</v>
      </c>
    </row>
    <row r="37" spans="1:58" x14ac:dyDescent="0.25">
      <c r="A37" s="48" t="s">
        <v>1079</v>
      </c>
      <c r="B37" s="15">
        <v>1</v>
      </c>
      <c r="C37" s="42"/>
      <c r="D37" s="60">
        <f>IFERROR(D22/$B37,0)</f>
        <v>3.3057851239669421E-8</v>
      </c>
      <c r="E37" s="60">
        <f>IFERROR(E22/$B37,0)</f>
        <v>3.0899917851942918E-4</v>
      </c>
      <c r="F37" s="60">
        <f>IFERROR(F22/$B37,0)</f>
        <v>84.916911045943351</v>
      </c>
      <c r="G37" s="60">
        <f>IFERROR(G22/$B37,0)</f>
        <v>3.2968835384132272E-12</v>
      </c>
      <c r="H37" s="60">
        <f>IFERROR(H22/$B37,0)</f>
        <v>1.6528925619834712E-11</v>
      </c>
      <c r="I37" s="60">
        <f t="shared" si="28"/>
        <v>3.2965547354398461E-12</v>
      </c>
      <c r="J37" s="71">
        <f>IFERROR(up_RadSpec!$E$22*J22,".")*$B$37</f>
        <v>1512.5</v>
      </c>
      <c r="K37" s="71">
        <f>IFERROR(up_RadSpec!$H$22*K22,".")*B37</f>
        <v>0.16181272791589676</v>
      </c>
      <c r="L37" s="71">
        <f>IFERROR(up_RadSpec!$G$22*L22,".")*B37</f>
        <v>5.8881086681247814E-7</v>
      </c>
      <c r="M37" s="71">
        <f>up_b2s!AC37</f>
        <v>15165837.5</v>
      </c>
      <c r="N37" s="49">
        <f t="shared" si="29"/>
        <v>1</v>
      </c>
      <c r="O37" s="49">
        <f t="shared" si="29"/>
        <v>0.14939951664921358</v>
      </c>
      <c r="P37" s="49">
        <f t="shared" si="30"/>
        <v>5.8881086681247814E-7</v>
      </c>
      <c r="Q37" s="49">
        <f t="shared" si="31"/>
        <v>1</v>
      </c>
      <c r="R37" s="49">
        <f t="shared" si="32"/>
        <v>1</v>
      </c>
      <c r="S37" s="60">
        <f>IFERROR(S22/$B37,0)</f>
        <v>84.916911045943351</v>
      </c>
      <c r="T37" s="60">
        <f>IFERROR(T22/$B37,0)</f>
        <v>77.811128612044016</v>
      </c>
      <c r="U37" s="60">
        <f>IFERROR(U22/$B37,0)</f>
        <v>59.779781995241521</v>
      </c>
      <c r="V37" s="60">
        <f>IFERROR(V22/$B37,0)</f>
        <v>61.601430976430962</v>
      </c>
      <c r="W37" s="60">
        <f>IFERROR(W22/$B37,0)</f>
        <v>437.10481663075279</v>
      </c>
      <c r="X37" s="71">
        <f>IFERROR(up_RadSpec!$G$22*X22,".")*$B$37</f>
        <v>5.8881086681247814E-7</v>
      </c>
      <c r="Y37" s="71">
        <f>IFERROR(up_RadSpec!$N$22*Y22,".")*$B$37</f>
        <v>6.4258160615165201E-7</v>
      </c>
      <c r="Z37" s="71">
        <f>IFERROR(up_RadSpec!$O$22*Z22,".")*$B$37</f>
        <v>8.3640318400592379E-7</v>
      </c>
      <c r="AA37" s="71">
        <f>IFERROR(up_RadSpec!$P$22*AA22,".")*$B$37</f>
        <v>8.1166945649574716E-7</v>
      </c>
      <c r="AB37" s="71">
        <f>IFERROR(up_RadSpec!$L$22*AB22,".")*$B$37</f>
        <v>1.1438903919065673E-7</v>
      </c>
      <c r="AC37" s="49">
        <f t="shared" si="34"/>
        <v>5.8881086681247814E-7</v>
      </c>
      <c r="AD37" s="49">
        <f t="shared" si="22"/>
        <v>6.4258160615165201E-7</v>
      </c>
      <c r="AE37" s="49">
        <f t="shared" si="22"/>
        <v>8.3640318400592379E-7</v>
      </c>
      <c r="AF37" s="49">
        <f t="shared" si="22"/>
        <v>8.1166945649574716E-7</v>
      </c>
      <c r="AG37" s="49">
        <f t="shared" si="22"/>
        <v>1.1438903919065673E-7</v>
      </c>
      <c r="AH37" s="60">
        <f t="shared" ref="AH37:AJ37" si="46">IFERROR(AH22/$B37,0)</f>
        <v>9.9740259740259755E-10</v>
      </c>
      <c r="AI37" s="60">
        <f t="shared" si="46"/>
        <v>6.3709090909090908E-6</v>
      </c>
      <c r="AJ37" s="60">
        <f t="shared" si="46"/>
        <v>9.9724647271019672E-10</v>
      </c>
      <c r="AK37" s="71">
        <f>IFERROR(up_RadSpec!$H$22*AK22,".")*$B$37</f>
        <v>50130.208333333328</v>
      </c>
      <c r="AL37" s="71">
        <f>IFERROR(up_RadSpec!$K$22*AL22,".")*$B$37</f>
        <v>7.8481735159817356</v>
      </c>
      <c r="AM37" s="49">
        <f t="shared" si="36"/>
        <v>1</v>
      </c>
      <c r="AN37" s="49">
        <f t="shared" si="36"/>
        <v>0.99960953550549536</v>
      </c>
      <c r="AO37" s="49">
        <f t="shared" si="37"/>
        <v>1</v>
      </c>
      <c r="AP37" s="60">
        <f>IFERROR(AP22/$B37,".")</f>
        <v>3.6363636363636369E-10</v>
      </c>
      <c r="AQ37" s="60" t="str">
        <f>IFERROR(AQ22,".")</f>
        <v>.</v>
      </c>
      <c r="AR37" s="60">
        <f>IFERROR(AR22/$B37,".")</f>
        <v>3.9818181818181825E-6</v>
      </c>
      <c r="AS37" s="60">
        <f>IFERROR(AS22/$B37,".")</f>
        <v>1.6443412786038031E-11</v>
      </c>
      <c r="AT37" s="60">
        <f>IFERROR(AT22/$B37,".")</f>
        <v>1.5731958335636466E-11</v>
      </c>
      <c r="AU37" s="71">
        <f>IFERROR(up_RadSpec!$I$22*AU22,".")*$B$37</f>
        <v>137500</v>
      </c>
      <c r="AV37" s="71">
        <f>IFERROR(up_RadSpec!$H$22*AV22,".")*$B$37</f>
        <v>0</v>
      </c>
      <c r="AW37" s="71">
        <f>IFERROR(up_RadSpec!$M$22*AW22,".")*$B$37</f>
        <v>12.557077625570777</v>
      </c>
      <c r="AX37" s="71">
        <f>up_b2w!AC37</f>
        <v>3040731.3038114933</v>
      </c>
      <c r="AY37" s="49">
        <f t="shared" si="24"/>
        <v>1</v>
      </c>
      <c r="AZ37" s="49">
        <f t="shared" si="25"/>
        <v>0</v>
      </c>
      <c r="BA37" s="49">
        <f t="shared" si="39"/>
        <v>0.99999648009875997</v>
      </c>
      <c r="BB37" s="49">
        <f t="shared" si="39"/>
        <v>1</v>
      </c>
      <c r="BC37" s="49">
        <f t="shared" si="26"/>
        <v>1</v>
      </c>
      <c r="BD37" s="60">
        <f>IFERROR(BD22/$B37,0)</f>
        <v>6.6115702479338848E-11</v>
      </c>
      <c r="BE37" s="71">
        <f>IFERROR(up_RadSpec!$F$22*BE22,".")*$B$37</f>
        <v>756250</v>
      </c>
      <c r="BF37" s="49">
        <f t="shared" si="41"/>
        <v>1</v>
      </c>
    </row>
    <row r="38" spans="1:58" x14ac:dyDescent="0.25">
      <c r="A38" s="48" t="s">
        <v>1080</v>
      </c>
      <c r="B38" s="15">
        <v>1</v>
      </c>
      <c r="C38" s="42"/>
      <c r="D38" s="60">
        <f>IFERROR(D2/$B38,0)</f>
        <v>3.3057851239669421E-8</v>
      </c>
      <c r="E38" s="60">
        <f>IFERROR(E2/$B38,0)</f>
        <v>3.0899917851942918E-4</v>
      </c>
      <c r="F38" s="60">
        <f>IFERROR(F2/$B38,0)</f>
        <v>9.3940305308726392E-5</v>
      </c>
      <c r="G38" s="60">
        <f>IFERROR(G2/$B38,0)</f>
        <v>3.2968835384132272E-12</v>
      </c>
      <c r="H38" s="60">
        <f>IFERROR(H2/$B38,0)</f>
        <v>1.6528925619834712E-11</v>
      </c>
      <c r="I38" s="60">
        <f t="shared" si="28"/>
        <v>3.2965546197572258E-12</v>
      </c>
      <c r="J38" s="71">
        <f>IFERROR(up_RadSpec!$E$2*J2,".")*$B$38</f>
        <v>1512.5</v>
      </c>
      <c r="K38" s="71">
        <f>IFERROR(up_RadSpec!$H$2*K2,".")*B38</f>
        <v>0.16181272791589676</v>
      </c>
      <c r="L38" s="71">
        <f>IFERROR(up_RadSpec!$G$2*L2,".")*B38</f>
        <v>0.53225290077224563</v>
      </c>
      <c r="M38" s="71">
        <f>up_b2s!AC38</f>
        <v>15165837.5</v>
      </c>
      <c r="N38" s="49">
        <f t="shared" si="29"/>
        <v>1</v>
      </c>
      <c r="O38" s="49">
        <f t="shared" si="29"/>
        <v>0.14939951664921358</v>
      </c>
      <c r="P38" s="49">
        <f t="shared" si="30"/>
        <v>0.41271960628303039</v>
      </c>
      <c r="Q38" s="49">
        <f t="shared" si="31"/>
        <v>1</v>
      </c>
      <c r="R38" s="49">
        <f t="shared" si="32"/>
        <v>1</v>
      </c>
      <c r="S38" s="60">
        <f>IFERROR(S2/$B38,0)</f>
        <v>9.3940305308726392E-5</v>
      </c>
      <c r="T38" s="60">
        <f>IFERROR(T2/$B38,0)</f>
        <v>1.8994129779470093E-4</v>
      </c>
      <c r="U38" s="60">
        <f>IFERROR(U2/$B38,0)</f>
        <v>1.2900594732370431E-4</v>
      </c>
      <c r="V38" s="60">
        <f>IFERROR(V2/$B38,0)</f>
        <v>1.0723245527167095E-4</v>
      </c>
      <c r="W38" s="60">
        <f>IFERROR(W2/$B38,0)</f>
        <v>1.5030661116333206E-3</v>
      </c>
      <c r="X38" s="71">
        <f>IFERROR(up_RadSpec!$G$2*X2,".")*$B$38</f>
        <v>0.53225290077224563</v>
      </c>
      <c r="Y38" s="71">
        <f>IFERROR(up_RadSpec!$N$2*Y2,".")*$B$38</f>
        <v>0.26323922485800205</v>
      </c>
      <c r="Z38" s="71">
        <f>IFERROR(up_RadSpec!$O$2*Z2,".")*$B$38</f>
        <v>0.38757903055848275</v>
      </c>
      <c r="AA38" s="71">
        <f>IFERROR(up_RadSpec!$P$2*AA2,".")*$B$38</f>
        <v>0.46627674311220568</v>
      </c>
      <c r="AB38" s="71">
        <f>IFERROR(up_RadSpec!$L$2*AB2,".")*$B$38</f>
        <v>3.3265336509827263E-2</v>
      </c>
      <c r="AC38" s="49">
        <f t="shared" si="34"/>
        <v>0.41271960628303039</v>
      </c>
      <c r="AD38" s="49">
        <f t="shared" si="22"/>
        <v>0.23144198286483275</v>
      </c>
      <c r="AE38" s="49">
        <f t="shared" si="22"/>
        <v>0.32130200574968404</v>
      </c>
      <c r="AF38" s="49">
        <f t="shared" si="22"/>
        <v>0.37266635024422301</v>
      </c>
      <c r="AG38" s="49">
        <f t="shared" si="22"/>
        <v>3.2718129659471962E-2</v>
      </c>
      <c r="AH38" s="60">
        <f t="shared" ref="AH38:AJ38" si="47">IFERROR(AH2/$B38,0)</f>
        <v>9.9740259740259755E-10</v>
      </c>
      <c r="AI38" s="60">
        <f t="shared" si="47"/>
        <v>6.3709090909090908E-6</v>
      </c>
      <c r="AJ38" s="60">
        <f t="shared" si="47"/>
        <v>9.9724647271019672E-10</v>
      </c>
      <c r="AK38" s="71">
        <f>IFERROR(up_RadSpec!$H$2*AK2,".")*$B$38</f>
        <v>50130.208333333328</v>
      </c>
      <c r="AL38" s="71">
        <f>IFERROR(up_RadSpec!$K$2*AL2,".")*$B$38</f>
        <v>7.8481735159817356</v>
      </c>
      <c r="AM38" s="49">
        <f t="shared" si="36"/>
        <v>1</v>
      </c>
      <c r="AN38" s="49">
        <f t="shared" si="36"/>
        <v>0.99960953550549536</v>
      </c>
      <c r="AO38" s="49">
        <f t="shared" si="37"/>
        <v>1</v>
      </c>
      <c r="AP38" s="60">
        <f>IFERROR(AP2/$B38,".")</f>
        <v>3.6363636363636369E-10</v>
      </c>
      <c r="AQ38" s="60" t="str">
        <f>IFERROR(AQ2,".")</f>
        <v>.</v>
      </c>
      <c r="AR38" s="60">
        <f>IFERROR(AR2/$B38,".")</f>
        <v>3.9818181818181825E-6</v>
      </c>
      <c r="AS38" s="60">
        <f>IFERROR(AS2/$B38,".")</f>
        <v>1.6443412786038031E-11</v>
      </c>
      <c r="AT38" s="60">
        <f>IFERROR(AT2/$B38,".")</f>
        <v>1.5731958335636466E-11</v>
      </c>
      <c r="AU38" s="71">
        <f>IFERROR(up_RadSpec!$I$2*AU2,".")*$B$38</f>
        <v>137500</v>
      </c>
      <c r="AV38" s="71">
        <f>IFERROR(up_RadSpec!$H$2*AV2,".")*$B$38</f>
        <v>0</v>
      </c>
      <c r="AW38" s="71">
        <f>IFERROR(up_RadSpec!$M$2*AW2,".")*$B$38</f>
        <v>12.557077625570777</v>
      </c>
      <c r="AX38" s="71">
        <f>up_b2w!AC38</f>
        <v>3040731.3038114933</v>
      </c>
      <c r="AY38" s="49">
        <f t="shared" si="24"/>
        <v>1</v>
      </c>
      <c r="AZ38" s="49">
        <f t="shared" si="25"/>
        <v>0</v>
      </c>
      <c r="BA38" s="49">
        <f t="shared" si="39"/>
        <v>0.99999648009875997</v>
      </c>
      <c r="BB38" s="49">
        <f t="shared" si="39"/>
        <v>1</v>
      </c>
      <c r="BC38" s="49">
        <f t="shared" si="26"/>
        <v>1</v>
      </c>
      <c r="BD38" s="60">
        <f>IFERROR(BD2/$B38,0)</f>
        <v>6.6115702479338848E-11</v>
      </c>
      <c r="BE38" s="71">
        <f>IFERROR(up_RadSpec!$F$2*BE2,".")*$B$38</f>
        <v>756250</v>
      </c>
      <c r="BF38" s="49">
        <f t="shared" si="41"/>
        <v>1</v>
      </c>
    </row>
    <row r="39" spans="1:58" x14ac:dyDescent="0.25">
      <c r="A39" s="48" t="s">
        <v>1081</v>
      </c>
      <c r="B39" s="15">
        <v>1</v>
      </c>
      <c r="C39" s="42"/>
      <c r="D39" s="60">
        <f>IFERROR(D11/$B39,0)</f>
        <v>3.3057851239669421E-8</v>
      </c>
      <c r="E39" s="60">
        <f>IFERROR(E11/$B39,0)</f>
        <v>3.0899917851942918E-4</v>
      </c>
      <c r="F39" s="60">
        <f>IFERROR(F11/$B39,0)</f>
        <v>8.2650682650682662E-5</v>
      </c>
      <c r="G39" s="60">
        <f>IFERROR(G11/$B39,0)</f>
        <v>3.2968835384132272E-12</v>
      </c>
      <c r="H39" s="60">
        <f>IFERROR(H11/$B39,0)</f>
        <v>1.6528925619834712E-11</v>
      </c>
      <c r="I39" s="60">
        <f t="shared" si="28"/>
        <v>3.2965546039556075E-12</v>
      </c>
      <c r="J39" s="71">
        <f>IFERROR(up_RadSpec!$E$11*J11,".")*$B$39</f>
        <v>1512.5</v>
      </c>
      <c r="K39" s="71">
        <f>IFERROR(up_RadSpec!$H$11*K11,".")*B39</f>
        <v>0.16181272791589676</v>
      </c>
      <c r="L39" s="71">
        <f>IFERROR(up_RadSpec!$G$11*L11,".")*B39</f>
        <v>0.60495568090249796</v>
      </c>
      <c r="M39" s="71">
        <f>up_b2s!AC39</f>
        <v>15165837.5</v>
      </c>
      <c r="N39" s="49">
        <f t="shared" si="29"/>
        <v>1</v>
      </c>
      <c r="O39" s="49">
        <f t="shared" si="29"/>
        <v>0.14939951664921358</v>
      </c>
      <c r="P39" s="49">
        <f t="shared" si="30"/>
        <v>0.45390137129823016</v>
      </c>
      <c r="Q39" s="49">
        <f t="shared" si="31"/>
        <v>1</v>
      </c>
      <c r="R39" s="49">
        <f t="shared" si="32"/>
        <v>1</v>
      </c>
      <c r="S39" s="60">
        <f>IFERROR(S11/$B39,0)</f>
        <v>8.2650682650682662E-5</v>
      </c>
      <c r="T39" s="60">
        <f>IFERROR(T11/$B39,0)</f>
        <v>1.045804303422032E-4</v>
      </c>
      <c r="U39" s="60">
        <f>IFERROR(U11/$B39,0)</f>
        <v>8.1164159581425762E-5</v>
      </c>
      <c r="V39" s="60">
        <f>IFERROR(V11/$B39,0)</f>
        <v>7.7313266443701259E-5</v>
      </c>
      <c r="W39" s="60">
        <f>IFERROR(W11/$B39,0)</f>
        <v>1.9468923933209652E-4</v>
      </c>
      <c r="X39" s="71">
        <f>IFERROR(up_RadSpec!$G$11*X11,".")*$B$39</f>
        <v>0.60495568090249796</v>
      </c>
      <c r="Y39" s="71">
        <f>IFERROR(up_RadSpec!$N$11*Y11,".")*$B$39</f>
        <v>0.47810092037671231</v>
      </c>
      <c r="Z39" s="71">
        <f>IFERROR(up_RadSpec!$O$11*Z11,".")*$B$39</f>
        <v>0.61603545527800163</v>
      </c>
      <c r="AA39" s="71">
        <f>IFERROR(up_RadSpec!$P$11*AA11,".")*$B$39</f>
        <v>0.64671953857245834</v>
      </c>
      <c r="AB39" s="71">
        <f>IFERROR(up_RadSpec!$L$11*AB11,".")*$B$39</f>
        <v>0.25681953543776054</v>
      </c>
      <c r="AC39" s="49">
        <f t="shared" si="34"/>
        <v>0.45390137129823016</v>
      </c>
      <c r="AD39" s="49">
        <f t="shared" si="22"/>
        <v>0.38004037273436264</v>
      </c>
      <c r="AE39" s="49">
        <f t="shared" si="22"/>
        <v>0.45991862443040954</v>
      </c>
      <c r="AF39" s="49">
        <f t="shared" si="22"/>
        <v>0.47623886015200056</v>
      </c>
      <c r="AG39" s="49">
        <f t="shared" si="22"/>
        <v>0.22649220808432768</v>
      </c>
      <c r="AH39" s="60">
        <f t="shared" ref="AH39:AJ39" si="48">IFERROR(AH11/$B39,0)</f>
        <v>9.9740259740259755E-10</v>
      </c>
      <c r="AI39" s="60">
        <f t="shared" si="48"/>
        <v>6.3709090909090908E-6</v>
      </c>
      <c r="AJ39" s="60">
        <f t="shared" si="48"/>
        <v>9.9724647271019672E-10</v>
      </c>
      <c r="AK39" s="71">
        <f>IFERROR(up_RadSpec!$H$11*AK11,".")*$B$39</f>
        <v>50130.208333333328</v>
      </c>
      <c r="AL39" s="71">
        <f>IFERROR(up_RadSpec!$K$11*AL11,".")*$B$39</f>
        <v>7.8481735159817356</v>
      </c>
      <c r="AM39" s="49">
        <f t="shared" si="36"/>
        <v>1</v>
      </c>
      <c r="AN39" s="49">
        <f t="shared" si="36"/>
        <v>0.99960953550549536</v>
      </c>
      <c r="AO39" s="49">
        <f t="shared" si="37"/>
        <v>1</v>
      </c>
      <c r="AP39" s="60">
        <f>IFERROR(AP11/$B39,".")</f>
        <v>3.6363636363636369E-10</v>
      </c>
      <c r="AQ39" s="60" t="str">
        <f>IFERROR(AQ11,".")</f>
        <v>.</v>
      </c>
      <c r="AR39" s="60">
        <f>IFERROR(AR11/$B39,".")</f>
        <v>3.9818181818181825E-6</v>
      </c>
      <c r="AS39" s="60">
        <f>IFERROR(AS11/$B39,".")</f>
        <v>1.6443412786038031E-11</v>
      </c>
      <c r="AT39" s="60">
        <f>IFERROR(AT11/$B39,".")</f>
        <v>1.5731958335636466E-11</v>
      </c>
      <c r="AU39" s="71">
        <f>IFERROR(up_RadSpec!$I$11*AU11,".")*$B$39</f>
        <v>137500</v>
      </c>
      <c r="AV39" s="71">
        <f>IFERROR(up_RadSpec!$H$11*AV11,".")*$B$39</f>
        <v>0</v>
      </c>
      <c r="AW39" s="71">
        <f>IFERROR(up_RadSpec!$M$11*AW11,".")*$B$39</f>
        <v>12.557077625570777</v>
      </c>
      <c r="AX39" s="71">
        <f>up_b2w!AC39</f>
        <v>3040731.3038114933</v>
      </c>
      <c r="AY39" s="49">
        <f t="shared" si="24"/>
        <v>1</v>
      </c>
      <c r="AZ39" s="49">
        <f t="shared" si="25"/>
        <v>0</v>
      </c>
      <c r="BA39" s="49">
        <f t="shared" si="39"/>
        <v>0.99999648009875997</v>
      </c>
      <c r="BB39" s="49">
        <f t="shared" si="39"/>
        <v>1</v>
      </c>
      <c r="BC39" s="49">
        <f t="shared" si="26"/>
        <v>1</v>
      </c>
      <c r="BD39" s="60">
        <f>IFERROR(BD11/$B39,0)</f>
        <v>6.6115702479338848E-11</v>
      </c>
      <c r="BE39" s="71">
        <f>IFERROR(up_RadSpec!$F$11*BE11,".")*$B$39</f>
        <v>756250</v>
      </c>
      <c r="BF39" s="49">
        <f t="shared" si="41"/>
        <v>1</v>
      </c>
    </row>
    <row r="40" spans="1:58" x14ac:dyDescent="0.25">
      <c r="A40" s="48" t="s">
        <v>1082</v>
      </c>
      <c r="B40" s="15">
        <v>1</v>
      </c>
      <c r="C40" s="42"/>
      <c r="D40" s="60">
        <f>IFERROR(D4/$B40,0)</f>
        <v>3.3057851239669421E-8</v>
      </c>
      <c r="E40" s="60">
        <f>IFERROR(E4/$B40,0)</f>
        <v>3.0899917851942918E-4</v>
      </c>
      <c r="F40" s="60">
        <f>IFERROR(F4/$B40,0)</f>
        <v>4.588103254769924E-5</v>
      </c>
      <c r="G40" s="60">
        <f>IFERROR(G4/$B40,0)</f>
        <v>3.2968835384132272E-12</v>
      </c>
      <c r="H40" s="60">
        <f>IFERROR(H4/$B40,0)</f>
        <v>1.6528925619834712E-11</v>
      </c>
      <c r="I40" s="60">
        <f t="shared" si="28"/>
        <v>3.2965544985823505E-12</v>
      </c>
      <c r="J40" s="71">
        <f>IFERROR(up_RadSpec!$E$4*J4,".")*$B$40</f>
        <v>1512.5</v>
      </c>
      <c r="K40" s="71">
        <f>IFERROR(up_RadSpec!$H$4*K4,".")*B40</f>
        <v>0.16181272791589676</v>
      </c>
      <c r="L40" s="71">
        <f>IFERROR(up_RadSpec!$G$4*L4,".")*B40</f>
        <v>1.0897749510763206</v>
      </c>
      <c r="M40" s="71">
        <f>up_b2s!AC40</f>
        <v>15165837.5</v>
      </c>
      <c r="N40" s="49">
        <f t="shared" si="29"/>
        <v>1</v>
      </c>
      <c r="O40" s="49">
        <f t="shared" si="29"/>
        <v>0.14939951664921358</v>
      </c>
      <c r="P40" s="49">
        <f t="shared" si="30"/>
        <v>0.66370783261841448</v>
      </c>
      <c r="Q40" s="49">
        <f t="shared" si="31"/>
        <v>1</v>
      </c>
      <c r="R40" s="49">
        <f t="shared" si="32"/>
        <v>1</v>
      </c>
      <c r="S40" s="60">
        <f>IFERROR(S4/$B40,0)</f>
        <v>4.588103254769924E-5</v>
      </c>
      <c r="T40" s="60">
        <f>IFERROR(T4/$B40,0)</f>
        <v>7.4871794871794899E-5</v>
      </c>
      <c r="U40" s="60">
        <f>IFERROR(U4/$B40,0)</f>
        <v>5.3860342555994729E-5</v>
      </c>
      <c r="V40" s="60">
        <f>IFERROR(V4/$B40,0)</f>
        <v>4.6885231426294241E-5</v>
      </c>
      <c r="W40" s="60">
        <f>IFERROR(W4/$B40,0)</f>
        <v>1.3827035962958291E-4</v>
      </c>
      <c r="X40" s="71">
        <f>IFERROR(up_RadSpec!$G$4*X4,".")*$B$40</f>
        <v>1.0897749510763206</v>
      </c>
      <c r="Y40" s="71">
        <f>IFERROR(up_RadSpec!$N$4*Y4,".")*$B$40</f>
        <v>0.66780821917808197</v>
      </c>
      <c r="Z40" s="71">
        <f>IFERROR(up_RadSpec!$O$4*Z4,".")*$B$40</f>
        <v>0.92832681017612539</v>
      </c>
      <c r="AA40" s="71">
        <f>IFERROR(up_RadSpec!$P$4*AA4,".")*$B$40</f>
        <v>1.0664338956842374</v>
      </c>
      <c r="AB40" s="71">
        <f>IFERROR(up_RadSpec!$L$4*AB4,".")*$B$40</f>
        <v>0.36161039961092656</v>
      </c>
      <c r="AC40" s="49">
        <f t="shared" si="34"/>
        <v>0.66370783261841448</v>
      </c>
      <c r="AD40" s="49">
        <f t="shared" si="22"/>
        <v>0.4871686391685599</v>
      </c>
      <c r="AE40" s="49">
        <f t="shared" si="22"/>
        <v>0.60478557377785735</v>
      </c>
      <c r="AF40" s="49">
        <f t="shared" si="22"/>
        <v>0.65576609479526171</v>
      </c>
      <c r="AG40" s="49">
        <f t="shared" si="22"/>
        <v>0.30344630742613432</v>
      </c>
      <c r="AH40" s="60">
        <f t="shared" ref="AH40:AJ40" si="49">IFERROR(AH4/$B40,0)</f>
        <v>9.9740259740259755E-10</v>
      </c>
      <c r="AI40" s="60">
        <f t="shared" si="49"/>
        <v>6.3709090909090908E-6</v>
      </c>
      <c r="AJ40" s="60">
        <f t="shared" si="49"/>
        <v>9.9724647271019672E-10</v>
      </c>
      <c r="AK40" s="71">
        <f>IFERROR(up_RadSpec!$H$4*AK4,".")*$B$40</f>
        <v>50130.208333333328</v>
      </c>
      <c r="AL40" s="71">
        <f>IFERROR(up_RadSpec!$K$4*AL4,".")*$B$40</f>
        <v>7.8481735159817356</v>
      </c>
      <c r="AM40" s="49">
        <f t="shared" si="36"/>
        <v>1</v>
      </c>
      <c r="AN40" s="49">
        <f t="shared" si="36"/>
        <v>0.99960953550549536</v>
      </c>
      <c r="AO40" s="49">
        <f t="shared" si="37"/>
        <v>1</v>
      </c>
      <c r="AP40" s="60">
        <f>IFERROR(AP4/$B40,".")</f>
        <v>3.6363636363636369E-10</v>
      </c>
      <c r="AQ40" s="60" t="str">
        <f>IFERROR(AQ4,".")</f>
        <v>.</v>
      </c>
      <c r="AR40" s="60">
        <f>IFERROR(AR4/$B40,".")</f>
        <v>3.9818181818181825E-6</v>
      </c>
      <c r="AS40" s="60">
        <f>IFERROR(AS4/$B40,".")</f>
        <v>1.6443412786038031E-11</v>
      </c>
      <c r="AT40" s="60">
        <f>IFERROR(AT4/$B40,".")</f>
        <v>1.5731958335636466E-11</v>
      </c>
      <c r="AU40" s="71">
        <f>IFERROR(up_RadSpec!$I$4*AU4,".")*$B$40</f>
        <v>137500</v>
      </c>
      <c r="AV40" s="71">
        <f>IFERROR(up_RadSpec!$H$4*AV4,".")*$B$40</f>
        <v>0</v>
      </c>
      <c r="AW40" s="71">
        <f>IFERROR(up_RadSpec!$M$4*AW4,".")*$B$40</f>
        <v>12.557077625570777</v>
      </c>
      <c r="AX40" s="71">
        <f>up_b2w!AC40</f>
        <v>3040731.3038114933</v>
      </c>
      <c r="AY40" s="49">
        <f t="shared" si="24"/>
        <v>1</v>
      </c>
      <c r="AZ40" s="49">
        <f t="shared" si="25"/>
        <v>0</v>
      </c>
      <c r="BA40" s="49">
        <f t="shared" si="39"/>
        <v>0.99999648009875997</v>
      </c>
      <c r="BB40" s="49">
        <f t="shared" si="39"/>
        <v>1</v>
      </c>
      <c r="BC40" s="49">
        <f t="shared" si="26"/>
        <v>1</v>
      </c>
      <c r="BD40" s="60">
        <f>IFERROR(BD4/$B40,0)</f>
        <v>6.6115702479338848E-11</v>
      </c>
      <c r="BE40" s="71">
        <f>IFERROR(up_RadSpec!$F$4*BE4,".")*$B$40</f>
        <v>756250</v>
      </c>
      <c r="BF40" s="49">
        <f t="shared" si="41"/>
        <v>1</v>
      </c>
    </row>
    <row r="41" spans="1:58" x14ac:dyDescent="0.25">
      <c r="A41" s="48" t="s">
        <v>1083</v>
      </c>
      <c r="B41" s="50">
        <v>0.99987999999999999</v>
      </c>
      <c r="C41" s="84"/>
      <c r="D41" s="60">
        <f>IFERROR(D8/$B41,0)</f>
        <v>3.3061818657908367E-8</v>
      </c>
      <c r="E41" s="60">
        <f>IFERROR(E8/$B41,0)</f>
        <v>3.0903626287097369E-4</v>
      </c>
      <c r="F41" s="60">
        <f>IFERROR(F8/$B41,0)</f>
        <v>2.9335514234586119E-5</v>
      </c>
      <c r="G41" s="60">
        <f>IFERROR(G8/$B41,0)</f>
        <v>3.2972792119186574E-12</v>
      </c>
      <c r="H41" s="60">
        <f>IFERROR(H8/$B41,0)</f>
        <v>1.6530909328954186E-11</v>
      </c>
      <c r="I41" s="60">
        <f t="shared" si="28"/>
        <v>3.2969499989477532E-12</v>
      </c>
      <c r="J41" s="71">
        <f>IFERROR(up_RadSpec!$E$8*J8,".")*$B$41</f>
        <v>1512.3185000000001</v>
      </c>
      <c r="K41" s="71">
        <f>IFERROR(up_RadSpec!$H$8*K8,".")*B41</f>
        <v>0.16179331038854686</v>
      </c>
      <c r="L41" s="71">
        <f>IFERROR(up_RadSpec!$G$8*L8,".")*B41</f>
        <v>1.7044187328767113</v>
      </c>
      <c r="M41" s="71">
        <f>up_b2s!AC41</f>
        <v>15167657.618914269</v>
      </c>
      <c r="N41" s="49">
        <f t="shared" si="29"/>
        <v>1</v>
      </c>
      <c r="O41" s="49">
        <f t="shared" si="29"/>
        <v>0.14938299993070792</v>
      </c>
      <c r="P41" s="49">
        <f t="shared" si="30"/>
        <v>0.81812192479882473</v>
      </c>
      <c r="Q41" s="49">
        <f t="shared" si="31"/>
        <v>1</v>
      </c>
      <c r="R41" s="49">
        <f t="shared" si="32"/>
        <v>1</v>
      </c>
      <c r="S41" s="60">
        <f>IFERROR(S8/$B41,0)</f>
        <v>2.9335514234586119E-5</v>
      </c>
      <c r="T41" s="60">
        <f>IFERROR(T8/$B41,0)</f>
        <v>5.3851197530021138E-5</v>
      </c>
      <c r="U41" s="60">
        <f>IFERROR(U8/$B41,0)</f>
        <v>3.9306362664150385E-5</v>
      </c>
      <c r="V41" s="60">
        <f>IFERROR(V8/$B41,0)</f>
        <v>3.603772999031318E-5</v>
      </c>
      <c r="W41" s="60">
        <f>IFERROR(W8/$B41,0)</f>
        <v>9.9780124926766696E-5</v>
      </c>
      <c r="X41" s="71">
        <f>IFERROR(up_RadSpec!$G$8*X8,".")*$B$41</f>
        <v>1.7044187328767113</v>
      </c>
      <c r="Y41" s="71">
        <f>IFERROR(up_RadSpec!$N$8*Y8,".")*$B$41</f>
        <v>0.92848445890410969</v>
      </c>
      <c r="Z41" s="71">
        <f>IFERROR(up_RadSpec!$O$8*Z8,".")*$B$41</f>
        <v>1.2720586849315065</v>
      </c>
      <c r="AA41" s="71">
        <f>IFERROR(up_RadSpec!$P$8*AA8,".")*$B$41</f>
        <v>1.3874347805325098</v>
      </c>
      <c r="AB41" s="71">
        <f>IFERROR(up_RadSpec!$L$8*AB8,".")*$B$41</f>
        <v>0.50110179794520548</v>
      </c>
      <c r="AC41" s="49">
        <f t="shared" si="34"/>
        <v>0.81812192479882473</v>
      </c>
      <c r="AD41" s="49">
        <f t="shared" si="22"/>
        <v>0.60484787391853434</v>
      </c>
      <c r="AE41" s="49">
        <f t="shared" si="22"/>
        <v>0.71974592734984233</v>
      </c>
      <c r="AF41" s="49">
        <f t="shared" si="22"/>
        <v>0.75028494234538179</v>
      </c>
      <c r="AG41" s="49">
        <f t="shared" si="22"/>
        <v>0.39413724650552517</v>
      </c>
      <c r="AH41" s="60">
        <f t="shared" ref="AH41:AJ41" si="50">IFERROR(AH8/$B41,0)</f>
        <v>9.9752230007860697E-10</v>
      </c>
      <c r="AI41" s="60">
        <f t="shared" si="50"/>
        <v>6.3716736917521008E-6</v>
      </c>
      <c r="AJ41" s="60">
        <f t="shared" si="50"/>
        <v>9.9736615664899466E-10</v>
      </c>
      <c r="AK41" s="71">
        <f>IFERROR(up_RadSpec!$H$8*AK8,".")*$B$41</f>
        <v>50124.192708333328</v>
      </c>
      <c r="AL41" s="71">
        <f>IFERROR(up_RadSpec!$K$8*AL8,".")*$B$41</f>
        <v>7.8472317351598173</v>
      </c>
      <c r="AM41" s="49">
        <f t="shared" si="36"/>
        <v>1</v>
      </c>
      <c r="AN41" s="49">
        <f t="shared" si="36"/>
        <v>0.99960916760030694</v>
      </c>
      <c r="AO41" s="49">
        <f t="shared" si="37"/>
        <v>1</v>
      </c>
      <c r="AP41" s="60">
        <f>IFERROR(AP8/$B41,".")</f>
        <v>3.6368000523699216E-10</v>
      </c>
      <c r="AQ41" s="60" t="str">
        <f>IFERROR(AQ8,".")</f>
        <v>.</v>
      </c>
      <c r="AR41" s="60">
        <f>IFERROR(AR8/$B41,".")</f>
        <v>3.9822960573450638E-6</v>
      </c>
      <c r="AS41" s="60">
        <f>IFERROR(AS8/$B41,".")</f>
        <v>1.6445386232385919E-11</v>
      </c>
      <c r="AT41" s="60">
        <f>IFERROR(AT8/$B41,".")</f>
        <v>1.573384639720413E-11</v>
      </c>
      <c r="AU41" s="71">
        <f>IFERROR(up_RadSpec!$I$8*AU8,".")*$B$41</f>
        <v>137483.5</v>
      </c>
      <c r="AV41" s="71">
        <f>IFERROR(up_RadSpec!$H$8*AV8,".")*$B$41</f>
        <v>0</v>
      </c>
      <c r="AW41" s="71">
        <f>IFERROR(up_RadSpec!$M$8*AW8,".")*$B$41</f>
        <v>12.555570776255708</v>
      </c>
      <c r="AX41" s="71">
        <f>up_b2w!AC41</f>
        <v>3041096.2353597367</v>
      </c>
      <c r="AY41" s="49">
        <f t="shared" si="24"/>
        <v>1</v>
      </c>
      <c r="AZ41" s="49">
        <f t="shared" si="25"/>
        <v>0</v>
      </c>
      <c r="BA41" s="49">
        <f t="shared" si="39"/>
        <v>0.99999647479080112</v>
      </c>
      <c r="BB41" s="49">
        <f t="shared" si="39"/>
        <v>1</v>
      </c>
      <c r="BC41" s="49">
        <f t="shared" si="26"/>
        <v>1</v>
      </c>
      <c r="BD41" s="60">
        <f>IFERROR(BD8/$B41,0)</f>
        <v>6.6123637315816743E-11</v>
      </c>
      <c r="BE41" s="71">
        <f>IFERROR(up_RadSpec!$F$8*BE8,".")*$B$41</f>
        <v>756159.25</v>
      </c>
      <c r="BF41" s="49">
        <f t="shared" si="41"/>
        <v>1</v>
      </c>
    </row>
    <row r="42" spans="1:58" x14ac:dyDescent="0.25">
      <c r="A42" s="48" t="s">
        <v>1084</v>
      </c>
      <c r="B42" s="15">
        <v>0.97898250799999997</v>
      </c>
      <c r="C42" s="42"/>
      <c r="D42" s="60">
        <f>IFERROR(D19/$B42,0)</f>
        <v>3.3767560676037556E-8</v>
      </c>
      <c r="E42" s="60">
        <f>IFERROR(E19/$B42,0)</f>
        <v>3.156329924123927E-4</v>
      </c>
      <c r="F42" s="60">
        <f>IFERROR(F19/$B42,0)</f>
        <v>2.0741264376257445E-5</v>
      </c>
      <c r="G42" s="60">
        <f>IFERROR(G19/$B42,0)</f>
        <v>3.367663376487241E-12</v>
      </c>
      <c r="H42" s="60">
        <f>IFERROR(H19/$B42,0)</f>
        <v>1.688378033801878E-11</v>
      </c>
      <c r="I42" s="60">
        <f t="shared" si="28"/>
        <v>3.3673269678553472E-12</v>
      </c>
      <c r="J42" s="72">
        <f>IFERROR(up_RadSpec!$E$19*J19,".")*$B$42</f>
        <v>1480.71104335</v>
      </c>
      <c r="K42" s="72">
        <f>IFERROR(up_RadSpec!$H$19*K19,".")*B42</f>
        <v>0.15841183020142621</v>
      </c>
      <c r="L42" s="72">
        <f>IFERROR(up_RadSpec!$G$19*L19,".")*B42</f>
        <v>2.4106534246405475</v>
      </c>
      <c r="M42" s="71">
        <f>up_b2s!AC42</f>
        <v>15491428.474021316</v>
      </c>
      <c r="N42" s="49">
        <f t="shared" si="29"/>
        <v>1</v>
      </c>
      <c r="O42" s="49">
        <f t="shared" si="29"/>
        <v>0.14650178676093484</v>
      </c>
      <c r="P42" s="49">
        <f t="shared" si="30"/>
        <v>0.91024337378456144</v>
      </c>
      <c r="Q42" s="49">
        <f t="shared" si="31"/>
        <v>1</v>
      </c>
      <c r="R42" s="49">
        <f t="shared" si="32"/>
        <v>1</v>
      </c>
      <c r="S42" s="60">
        <f>IFERROR(S19/$B42,0)</f>
        <v>2.0741264376257445E-5</v>
      </c>
      <c r="T42" s="60">
        <f>IFERROR(T19/$B42,0)</f>
        <v>4.1138298168885685E-5</v>
      </c>
      <c r="U42" s="60">
        <f>IFERROR(U19/$B42,0)</f>
        <v>2.8517036045430165E-5</v>
      </c>
      <c r="V42" s="60">
        <f>IFERROR(V19/$B42,0)</f>
        <v>2.3817538236294326E-5</v>
      </c>
      <c r="W42" s="60">
        <f>IFERROR(W19/$B42,0)</f>
        <v>7.0841281538284976E-5</v>
      </c>
      <c r="X42" s="72">
        <f>IFERROR(up_RadSpec!$G$19*X19,".")*$B$42</f>
        <v>2.4106534246405475</v>
      </c>
      <c r="Y42" s="72">
        <f>IFERROR(up_RadSpec!$N$19*Y19,".")*$B$42</f>
        <v>1.2154124556814245</v>
      </c>
      <c r="Z42" s="72">
        <f>IFERROR(up_RadSpec!$O$19*Z19,".")*$B$42</f>
        <v>1.7533378966995579</v>
      </c>
      <c r="AA42" s="72">
        <f>IFERROR(up_RadSpec!$P$19*AA19,".")*$B$42</f>
        <v>2.0992933654162282</v>
      </c>
      <c r="AB42" s="72">
        <f>IFERROR(up_RadSpec!$L$19*AB19,".")*$B$42</f>
        <v>0.70580315480287215</v>
      </c>
      <c r="AC42" s="49">
        <f t="shared" si="34"/>
        <v>0.91024337378456144</v>
      </c>
      <c r="AD42" s="49">
        <f t="shared" si="22"/>
        <v>0.70341234020244769</v>
      </c>
      <c r="AE42" s="49">
        <f t="shared" si="22"/>
        <v>0.82680512904213921</v>
      </c>
      <c r="AF42" s="49">
        <f t="shared" si="22"/>
        <v>0.87745700921937342</v>
      </c>
      <c r="AG42" s="49">
        <f t="shared" si="22"/>
        <v>0.5062881120968139</v>
      </c>
      <c r="AH42" s="60">
        <f t="shared" ref="AH42:AJ42" si="51">IFERROR(AH19/$B42,0)</f>
        <v>1.0188155449684475E-9</v>
      </c>
      <c r="AI42" s="60">
        <f t="shared" si="51"/>
        <v>6.5076842934859581E-6</v>
      </c>
      <c r="AJ42" s="60">
        <f t="shared" si="51"/>
        <v>1.0186560684802315E-9</v>
      </c>
      <c r="AK42" s="72">
        <f>IFERROR(up_RadSpec!$H$19*AK19,".")*$B$42</f>
        <v>49076.59708072916</v>
      </c>
      <c r="AL42" s="72">
        <f>IFERROR(up_RadSpec!$K$19*AL19,".")*$B$42</f>
        <v>7.6832245918949775</v>
      </c>
      <c r="AM42" s="49">
        <f t="shared" si="36"/>
        <v>1</v>
      </c>
      <c r="AN42" s="49">
        <f t="shared" si="36"/>
        <v>0.99953951238250627</v>
      </c>
      <c r="AO42" s="49">
        <f t="shared" si="37"/>
        <v>1</v>
      </c>
      <c r="AP42" s="60">
        <f>IFERROR(AP19/$B42,".")</f>
        <v>3.7144316743641319E-10</v>
      </c>
      <c r="AQ42" s="60" t="str">
        <f>IFERROR(AQ19,".")</f>
        <v>.</v>
      </c>
      <c r="AR42" s="60">
        <f>IFERROR(AR19/$B42,".")</f>
        <v>4.0673026834287246E-6</v>
      </c>
      <c r="AS42" s="60">
        <f>IFERROR(AS19/$B42,".")</f>
        <v>1.6796431653953548E-11</v>
      </c>
      <c r="AT42" s="60">
        <f>IFERROR(AT19/$B42,".")</f>
        <v>1.6069703193957849E-11</v>
      </c>
      <c r="AU42" s="72">
        <f>IFERROR(up_RadSpec!$I$19*AU19,".")*$B$42</f>
        <v>134610.09484999999</v>
      </c>
      <c r="AV42" s="72">
        <f>IFERROR(up_RadSpec!$H$19*AV19,".")*$B$42</f>
        <v>0</v>
      </c>
      <c r="AW42" s="72">
        <f>IFERROR(up_RadSpec!$M$19*AW19,".")*$B$42</f>
        <v>12.293159347031963</v>
      </c>
      <c r="AX42" s="71">
        <f>up_b2w!AC42</f>
        <v>3106011.8837296874</v>
      </c>
      <c r="AY42" s="49">
        <f t="shared" si="24"/>
        <v>1</v>
      </c>
      <c r="AZ42" s="49">
        <f t="shared" si="25"/>
        <v>0</v>
      </c>
      <c r="BA42" s="49">
        <f t="shared" si="39"/>
        <v>0.99999541701189099</v>
      </c>
      <c r="BB42" s="49">
        <f t="shared" si="39"/>
        <v>1</v>
      </c>
      <c r="BC42" s="49">
        <f t="shared" si="26"/>
        <v>1</v>
      </c>
      <c r="BD42" s="60">
        <f>IFERROR(BD19/$B42,0)</f>
        <v>6.7535121352075121E-11</v>
      </c>
      <c r="BE42" s="72">
        <f>IFERROR(up_RadSpec!$F$19*BE19,".")*$B$42</f>
        <v>740355.52167499997</v>
      </c>
      <c r="BF42" s="49">
        <f t="shared" si="41"/>
        <v>1</v>
      </c>
    </row>
    <row r="43" spans="1:58" x14ac:dyDescent="0.25">
      <c r="A43" s="48" t="s">
        <v>1085</v>
      </c>
      <c r="B43" s="15">
        <v>2.0897492E-2</v>
      </c>
      <c r="C43" s="42"/>
      <c r="D43" s="60">
        <f>IFERROR(D28/$B43,0)</f>
        <v>1.5819051989429843E-6</v>
      </c>
      <c r="E43" s="60">
        <f>IFERROR(E28/$B43,0)</f>
        <v>1.4786424060812138E-2</v>
      </c>
      <c r="F43" s="60">
        <f>IFERROR(F28/$B43,0)</f>
        <v>6.9152913863096334E-4</v>
      </c>
      <c r="G43" s="60">
        <f>IFERROR(G28/$B43,0)</f>
        <v>1.5776455559419414E-10</v>
      </c>
      <c r="H43" s="60">
        <f>IFERROR(H28/$B43,0)</f>
        <v>7.9095259947149223E-10</v>
      </c>
      <c r="I43" s="60">
        <f t="shared" si="28"/>
        <v>1.5774878552141347E-10</v>
      </c>
      <c r="J43" s="72">
        <f>IFERROR(up_RadSpec!E28*J28,".")*$B$43</f>
        <v>31.60745665</v>
      </c>
      <c r="K43" s="72">
        <f>IFERROR(up_RadSpec!F28*K28,".")*B43</f>
        <v>3.3814801871206294E-3</v>
      </c>
      <c r="L43" s="72">
        <f>IFERROR(up_RadSpec!G28*L28,".")*B43</f>
        <v>7.2303533151164376E-2</v>
      </c>
      <c r="M43" s="71">
        <f>up_b2s!AC43</f>
        <v>725725244.92412782</v>
      </c>
      <c r="N43" s="49">
        <f t="shared" si="29"/>
        <v>0.99999999999998124</v>
      </c>
      <c r="O43" s="49">
        <f t="shared" si="29"/>
        <v>3.3814801871206294E-3</v>
      </c>
      <c r="P43" s="49">
        <f t="shared" si="30"/>
        <v>6.9751508302182241E-2</v>
      </c>
      <c r="Q43" s="49">
        <f t="shared" si="31"/>
        <v>1</v>
      </c>
      <c r="R43" s="49">
        <f t="shared" si="32"/>
        <v>1</v>
      </c>
      <c r="S43" s="60">
        <f>IFERROR(S28/$B43,0)</f>
        <v>6.9152913863096334E-4</v>
      </c>
      <c r="T43" s="60">
        <f>IFERROR(T28/$B43,0)</f>
        <v>1.5420133614707854E-3</v>
      </c>
      <c r="U43" s="60">
        <f>IFERROR(U28/$B43,0)</f>
        <v>1.0706025071649523E-3</v>
      </c>
      <c r="V43" s="60">
        <f>IFERROR(V28/$B43,0)</f>
        <v>9.2693066648512584E-4</v>
      </c>
      <c r="W43" s="60">
        <f>IFERROR(W28/$B43,0)</f>
        <v>2.7108052000863717E-3</v>
      </c>
      <c r="X43" s="72">
        <f>IFERROR(up_RadSpec!$G$28*X28,".")*$B$43</f>
        <v>7.2303533151164376E-2</v>
      </c>
      <c r="Y43" s="72">
        <f>IFERROR(up_RadSpec!$N$28*Y28,".")*$B$43</f>
        <v>3.2425140565779262E-2</v>
      </c>
      <c r="Z43" s="72">
        <f>IFERROR(up_RadSpec!$O$28*Z28,".")*$B$43</f>
        <v>4.6702674116095903E-2</v>
      </c>
      <c r="AA43" s="72">
        <f>IFERROR(up_RadSpec!$P$28*AA28,".")*$B$43</f>
        <v>5.3941467045855188E-2</v>
      </c>
      <c r="AB43" s="72">
        <f>IFERROR(up_RadSpec!$L$28*AB28,".")*$B$43</f>
        <v>1.8444704178082184E-2</v>
      </c>
      <c r="AC43" s="49">
        <f t="shared" si="34"/>
        <v>6.9751508302182241E-2</v>
      </c>
      <c r="AD43" s="49">
        <f t="shared" si="22"/>
        <v>3.1905081843351502E-2</v>
      </c>
      <c r="AE43" s="49">
        <f t="shared" si="22"/>
        <v>4.5628885354696558E-2</v>
      </c>
      <c r="AF43" s="49">
        <f t="shared" si="22"/>
        <v>5.2512435875123109E-2</v>
      </c>
      <c r="AG43" s="49">
        <f t="shared" si="22"/>
        <v>1.8275641653763275E-2</v>
      </c>
      <c r="AH43" s="60">
        <f t="shared" ref="AH43:AJ43" si="52">IFERROR(AH28/$B43,0)</f>
        <v>4.7728339716679759E-8</v>
      </c>
      <c r="AI43" s="60">
        <f t="shared" si="52"/>
        <v>3.0486476994029193E-4</v>
      </c>
      <c r="AJ43" s="60">
        <f t="shared" si="52"/>
        <v>4.7720868739186342E-8</v>
      </c>
      <c r="AK43" s="72">
        <f>IFERROR(up_RadSpec!$H$28*AK28,".")*$B$43</f>
        <v>1047.5956276041666</v>
      </c>
      <c r="AL43" s="72">
        <f>IFERROR(up_RadSpec!$K$28*AL28,".")*$B$43</f>
        <v>0.1640071432648402</v>
      </c>
      <c r="AM43" s="49">
        <f t="shared" si="36"/>
        <v>1</v>
      </c>
      <c r="AN43" s="49">
        <f t="shared" si="36"/>
        <v>0.15126404088718259</v>
      </c>
      <c r="AO43" s="49">
        <f t="shared" si="37"/>
        <v>1</v>
      </c>
      <c r="AP43" s="60">
        <f>IFERROR(AP28/$B43,".")</f>
        <v>1.7400957188372829E-8</v>
      </c>
      <c r="AQ43" s="60" t="str">
        <f>IFERROR(AQ28,".")</f>
        <v>.</v>
      </c>
      <c r="AR43" s="60">
        <f>IFERROR(AR28/$B43,".")</f>
        <v>1.9054048121268247E-4</v>
      </c>
      <c r="AS43" s="60">
        <f>IFERROR(AS28/$B43,".")</f>
        <v>7.8686058528162277E-10</v>
      </c>
      <c r="AT43" s="60">
        <f>IFERROR(AT28/$B43,".")</f>
        <v>7.5281561709110669E-10</v>
      </c>
      <c r="AU43" s="72">
        <f>IFERROR(up_RadSpec!$I$28*AU28,".")*$B$43</f>
        <v>2873.40515</v>
      </c>
      <c r="AV43" s="72">
        <f>IFERROR(up_RadSpec!$H$28*AV28,".")*$B$43</f>
        <v>0</v>
      </c>
      <c r="AW43" s="72">
        <f>IFERROR(up_RadSpec!$M$28*AW28,".")*$B$43</f>
        <v>0.26241142922374433</v>
      </c>
      <c r="AX43" s="71">
        <f>up_b2w!AC43</f>
        <v>145506996.90716442</v>
      </c>
      <c r="AY43" s="49">
        <f t="shared" si="24"/>
        <v>1</v>
      </c>
      <c r="AZ43" s="49">
        <f t="shared" si="25"/>
        <v>0</v>
      </c>
      <c r="BA43" s="49">
        <f t="shared" si="39"/>
        <v>0.23080551049539511</v>
      </c>
      <c r="BB43" s="49">
        <f t="shared" si="39"/>
        <v>1</v>
      </c>
      <c r="BC43" s="49">
        <f t="shared" si="26"/>
        <v>1</v>
      </c>
      <c r="BD43" s="60">
        <f>IFERROR(BD28/$B43,0)</f>
        <v>3.1638103978859689E-9</v>
      </c>
      <c r="BE43" s="72">
        <f>IFERROR(up_RadSpec!$F$28*BE28,".")*$B$43</f>
        <v>15803.728325</v>
      </c>
      <c r="BF43" s="49">
        <f t="shared" si="41"/>
        <v>1</v>
      </c>
    </row>
    <row r="44" spans="1:58" x14ac:dyDescent="0.25">
      <c r="A44" s="48" t="s">
        <v>1086</v>
      </c>
      <c r="B44" s="15">
        <v>0.99987999999999999</v>
      </c>
      <c r="C44" s="42"/>
      <c r="D44" s="60">
        <f>IFERROR(D15/$B44,0)</f>
        <v>3.3061818657908367E-8</v>
      </c>
      <c r="E44" s="60">
        <f>IFERROR(E15/$B44,0)</f>
        <v>3.0903626287097369E-4</v>
      </c>
      <c r="F44" s="60">
        <f>IFERROR(F15/$B44,0)</f>
        <v>0</v>
      </c>
      <c r="G44" s="60">
        <f>IFERROR(G15/$B44,0)</f>
        <v>3.2972792119186574E-12</v>
      </c>
      <c r="H44" s="60">
        <f>IFERROR(H15/$B44,0)</f>
        <v>1.6530909328954186E-11</v>
      </c>
      <c r="I44" s="60">
        <f t="shared" si="28"/>
        <v>3.2969503694843126E-12</v>
      </c>
      <c r="J44" s="71">
        <f>IFERROR(up_RadSpec!$E$15*J15,".")*$B$44</f>
        <v>1512.3185000000001</v>
      </c>
      <c r="K44" s="71">
        <f>IFERROR(up_RadSpec!$H$15*K15,".")*B44</f>
        <v>0.16179331038854686</v>
      </c>
      <c r="L44" s="71">
        <f>IFERROR(up_RadSpec!$G$15*L15,".")*B44</f>
        <v>0</v>
      </c>
      <c r="M44" s="71">
        <f>up_b2s!AC44</f>
        <v>15167657.618914269</v>
      </c>
      <c r="N44" s="49">
        <f t="shared" si="29"/>
        <v>1</v>
      </c>
      <c r="O44" s="49">
        <f t="shared" si="29"/>
        <v>0.14938299993070792</v>
      </c>
      <c r="P44" s="49">
        <f t="shared" si="30"/>
        <v>0</v>
      </c>
      <c r="Q44" s="49">
        <f t="shared" si="31"/>
        <v>1</v>
      </c>
      <c r="R44" s="49">
        <f t="shared" si="32"/>
        <v>1</v>
      </c>
      <c r="S44" s="60">
        <f>IFERROR(S15/$B44,0)</f>
        <v>0</v>
      </c>
      <c r="T44" s="60">
        <f>IFERROR(T15/$B44,0)</f>
        <v>0</v>
      </c>
      <c r="U44" s="60">
        <f>IFERROR(U15/$B44,0)</f>
        <v>0</v>
      </c>
      <c r="V44" s="60">
        <f>IFERROR(V15/$B44,0)</f>
        <v>0</v>
      </c>
      <c r="W44" s="60">
        <f>IFERROR(W15/$B44,0)</f>
        <v>0</v>
      </c>
      <c r="X44" s="71">
        <f>IFERROR(up_RadSpec!$G$15*X15,".")*$B$44</f>
        <v>0</v>
      </c>
      <c r="Y44" s="71">
        <f>IFERROR(up_RadSpec!$N$15*Y15,".")*$B$44</f>
        <v>0</v>
      </c>
      <c r="Z44" s="71">
        <f>IFERROR(up_RadSpec!$O$15*Z15,".")*$B$44</f>
        <v>0</v>
      </c>
      <c r="AA44" s="71">
        <f>IFERROR(up_RadSpec!$P$15*AA15,".")*$B$44</f>
        <v>0</v>
      </c>
      <c r="AB44" s="71">
        <f>IFERROR(up_RadSpec!$L$15*AB15,".")*$B$44</f>
        <v>0</v>
      </c>
      <c r="AC44" s="49">
        <f t="shared" si="34"/>
        <v>0</v>
      </c>
      <c r="AD44" s="49">
        <f t="shared" si="22"/>
        <v>0</v>
      </c>
      <c r="AE44" s="49">
        <f t="shared" si="22"/>
        <v>0</v>
      </c>
      <c r="AF44" s="49">
        <f t="shared" si="22"/>
        <v>0</v>
      </c>
      <c r="AG44" s="49">
        <f t="shared" si="22"/>
        <v>0</v>
      </c>
      <c r="AH44" s="60">
        <f t="shared" ref="AH44:AJ44" si="53">IFERROR(AH15/$B44,0)</f>
        <v>9.9752230007860697E-10</v>
      </c>
      <c r="AI44" s="60">
        <f t="shared" si="53"/>
        <v>6.3716736917521008E-6</v>
      </c>
      <c r="AJ44" s="60">
        <f t="shared" si="53"/>
        <v>9.9736615664899466E-10</v>
      </c>
      <c r="AK44" s="71">
        <f>IFERROR(up_RadSpec!$H$15*AK15,".")*$B$44</f>
        <v>50124.192708333328</v>
      </c>
      <c r="AL44" s="71">
        <f>IFERROR(up_RadSpec!$K$15*AL15,".")*$B$44</f>
        <v>7.8472317351598173</v>
      </c>
      <c r="AM44" s="49">
        <f t="shared" si="36"/>
        <v>1</v>
      </c>
      <c r="AN44" s="49">
        <f t="shared" si="36"/>
        <v>0.99960916760030694</v>
      </c>
      <c r="AO44" s="49">
        <f t="shared" si="37"/>
        <v>1</v>
      </c>
      <c r="AP44" s="60">
        <f>IFERROR(AP15/$B44,".")</f>
        <v>3.6368000523699216E-10</v>
      </c>
      <c r="AQ44" s="60" t="str">
        <f>IFERROR(AQ15,".")</f>
        <v>.</v>
      </c>
      <c r="AR44" s="60">
        <f>IFERROR(AR15/$B44,".")</f>
        <v>3.9822960573450638E-6</v>
      </c>
      <c r="AS44" s="60">
        <f>IFERROR(AS15/$B44,".")</f>
        <v>1.6445386232385919E-11</v>
      </c>
      <c r="AT44" s="60">
        <f>IFERROR(AT15/$B44,".")</f>
        <v>1.573384639720413E-11</v>
      </c>
      <c r="AU44" s="71">
        <f>IFERROR(up_RadSpec!$I$15*AU15,".")*$B$44</f>
        <v>137483.5</v>
      </c>
      <c r="AV44" s="71">
        <f>IFERROR(up_RadSpec!$H$15*AV15,".")*$B$44</f>
        <v>0</v>
      </c>
      <c r="AW44" s="71">
        <f>IFERROR(up_RadSpec!$M$15*AW15,".")*$B$44</f>
        <v>12.555570776255708</v>
      </c>
      <c r="AX44" s="71">
        <f>up_b2w!AC44</f>
        <v>3041096.2353597367</v>
      </c>
      <c r="AY44" s="49">
        <f t="shared" si="24"/>
        <v>1</v>
      </c>
      <c r="AZ44" s="49">
        <f t="shared" si="25"/>
        <v>0</v>
      </c>
      <c r="BA44" s="49">
        <f t="shared" si="39"/>
        <v>0.99999647479080112</v>
      </c>
      <c r="BB44" s="49">
        <f t="shared" si="39"/>
        <v>1</v>
      </c>
      <c r="BC44" s="49">
        <f t="shared" si="26"/>
        <v>1</v>
      </c>
      <c r="BD44" s="60">
        <f>IFERROR(BD15/$B44,0)</f>
        <v>6.6123637315816743E-11</v>
      </c>
      <c r="BE44" s="71">
        <f>IFERROR(up_RadSpec!$F$15*BE15,".")*$B$44</f>
        <v>756159.25</v>
      </c>
      <c r="BF44" s="49">
        <f t="shared" si="41"/>
        <v>1</v>
      </c>
    </row>
    <row r="45" spans="1:58" x14ac:dyDescent="0.25">
      <c r="A45" s="57" t="s">
        <v>20</v>
      </c>
      <c r="B45" s="57" t="s">
        <v>1255</v>
      </c>
      <c r="C45" s="57"/>
      <c r="D45" s="58">
        <f>IFERROR(IF(AND(D46&lt;&gt;0,D47&lt;&gt;0),1/SUM(1/D46,1/D47),IF(AND(D46&lt;&gt;0,D47=0),1/(1/D46),IF(AND(D46=0,D47&lt;&gt;0),1/(1/D47),IF(AND(D46=0,D47=0),".")))),".")</f>
        <v>1.70051549851951E-8</v>
      </c>
      <c r="E45" s="58">
        <f t="shared" ref="E45:I45" si="54">IFERROR(IF(AND(E46&lt;&gt;0,E47&lt;&gt;0),1/SUM(1/E46,1/E47),IF(AND(E46&lt;&gt;0,E47=0),1/(1/E46),IF(AND(E46=0,E47&lt;&gt;0),1/(1/E47),IF(AND(E46=0,E47=0),".")))),".")</f>
        <v>1.5895101236088104E-4</v>
      </c>
      <c r="F45" s="58">
        <f t="shared" si="54"/>
        <v>1.3121793475004546E-5</v>
      </c>
      <c r="G45" s="58">
        <f t="shared" si="54"/>
        <v>1.6959364700503743E-12</v>
      </c>
      <c r="H45" s="58">
        <f t="shared" si="54"/>
        <v>8.5025774925975507E-12</v>
      </c>
      <c r="I45" s="58">
        <f t="shared" si="54"/>
        <v>1.695767112699512E-12</v>
      </c>
      <c r="J45" s="70"/>
      <c r="K45" s="70"/>
      <c r="L45" s="70"/>
      <c r="M45" s="70"/>
      <c r="N45" s="47">
        <f t="shared" ref="N45:P45" si="55">IFERROR(IF(SUM(J46:J47)&gt;0.01,1-EXP(-SUM(J46:J47)),SUM(J46:J47)),".")</f>
        <v>1</v>
      </c>
      <c r="O45" s="47">
        <f t="shared" si="55"/>
        <v>0.26989164543332445</v>
      </c>
      <c r="P45" s="47">
        <f t="shared" si="55"/>
        <v>0.9778618901730457</v>
      </c>
      <c r="Q45" s="47">
        <f>IFERROR(IF(SUM(M46:M47)&gt;0.01,1-EXP(-SUM(M46:M47)),SUM(M46:M47)),".")</f>
        <v>1</v>
      </c>
      <c r="R45" s="47">
        <f>IFERROR(IF(SUM(J46:M47)&gt;0.01,1-EXP(-SUM(J46:M47)),SUM(J46:M47)),".")</f>
        <v>1</v>
      </c>
      <c r="S45" s="59">
        <f t="shared" ref="S45:W45" si="56">IFERROR(IF(AND(S46&lt;&gt;0,S47&lt;&gt;0),1/SUM(1/S46,1/S47),IF(AND(S46&lt;&gt;0,S47=0),1/(1/S46),IF(AND(S46=0,S47&lt;&gt;0),1/(1/S47),IF(AND(S46=0,S47=0),".")))),".")</f>
        <v>1.3121793475004546E-5</v>
      </c>
      <c r="T45" s="59">
        <f t="shared" si="56"/>
        <v>2.2391319196004372E-5</v>
      </c>
      <c r="U45" s="59">
        <f t="shared" si="56"/>
        <v>1.5909591770179015E-5</v>
      </c>
      <c r="V45" s="59">
        <f t="shared" si="56"/>
        <v>1.3842828067086152E-5</v>
      </c>
      <c r="W45" s="59">
        <f t="shared" si="56"/>
        <v>3.7627384008456487E-5</v>
      </c>
      <c r="X45" s="70"/>
      <c r="Y45" s="70"/>
      <c r="Z45" s="70"/>
      <c r="AA45" s="70"/>
      <c r="AB45" s="70"/>
      <c r="AC45" s="47">
        <f>IFERROR(IF(SUM(X46:X47)&gt;0.01,1-EXP(-SUM(X46:X47)),SUM(X46:X47)),".")</f>
        <v>0.9778618901730457</v>
      </c>
      <c r="AD45" s="47">
        <f t="shared" ref="AD45:AG45" si="57">IFERROR(IF(SUM(Y46:Y47)&gt;0.01,1-EXP(-SUM(Y46:Y47)),SUM(Y46:Y47)),".")</f>
        <v>0.89279455384806727</v>
      </c>
      <c r="AE45" s="47">
        <f t="shared" si="57"/>
        <v>0.95683642023715199</v>
      </c>
      <c r="AF45" s="47">
        <f t="shared" si="57"/>
        <v>0.97300162745463903</v>
      </c>
      <c r="AG45" s="47">
        <f t="shared" si="57"/>
        <v>0.73521032764494443</v>
      </c>
      <c r="AH45" s="58">
        <f t="shared" ref="AH45:AJ45" si="58">IFERROR(IF(AND(AH46&lt;&gt;0,AH47&lt;&gt;0),1/SUM(1/AH46,1/AH47),IF(AND(AH46&lt;&gt;0,AH47=0),1/(1/AH46),IF(AND(AH46=0,AH47&lt;&gt;0),1/(1/AH47),IF(AND(AH46=0,AH47=0),".")))),".")</f>
        <v>5.1306981898188655E-10</v>
      </c>
      <c r="AI45" s="58">
        <f t="shared" si="58"/>
        <v>3.2772334687468002E-6</v>
      </c>
      <c r="AJ45" s="58">
        <f t="shared" si="58"/>
        <v>5.129895075129999E-10</v>
      </c>
      <c r="AK45" s="70"/>
      <c r="AL45" s="70"/>
      <c r="AM45" s="47">
        <f>IFERROR(IF(SUM(AK46:AK47)&gt;0.01,1-EXP(-SUM(AK46:AK47)),SUM(AK46:AK47)),".")</f>
        <v>1</v>
      </c>
      <c r="AN45" s="47">
        <f>IFERROR(IF(SUM(AL46:AL47)&gt;0.01,1-EXP(-SUM(AL46:AL47)),SUM(AL46:AL47)),".")</f>
        <v>0.99999976337064744</v>
      </c>
      <c r="AO45" s="47">
        <f t="shared" ref="AO45" si="59">IFERROR(IF(SUM(AM46:AM47)&gt;0.01,1-EXP(-SUM(AM46:AM47)),SUM(AM46:AM47)),".")</f>
        <v>0.8646647167633873</v>
      </c>
      <c r="AP45" s="58">
        <f>IFERROR(IF(AND(AP46&lt;&gt;0,AP47&lt;&gt;0),1/SUM(1/AP46,1/AP47),IF(AND(AP46&lt;&gt;0,AP47=0),1/(1/AP46),IF(AND(AP46=0,AP47&lt;&gt;0),1/(1/AP47),IF(AND(AP46=0,AP47=0),".")))),".")</f>
        <v>1.8705670483714613E-10</v>
      </c>
      <c r="AQ45" s="58" t="str">
        <f>IFERROR(IF(AND(AQ46&lt;&gt;0,AQ47&lt;&gt;0),1/SUM(1/AQ46,1/AQ47),IF(AND(AQ46&lt;&gt;0,AQ47=0),1/(1/AQ46),IF(AND(AQ46=0,AQ47&lt;&gt;0),1/(1/AQ47),IF(AND(AQ46=0,AQ47=0),".")))),".")</f>
        <v>.</v>
      </c>
      <c r="AR45" s="58">
        <f>IFERROR(IF(AND(AR46&lt;&gt;0,AR47&lt;&gt;0),1/SUM(1/AR46,1/AR47),IF(AND(AR46&lt;&gt;0,AR47=0),1/(1/AR46),IF(AND(AR46=0,AR47&lt;&gt;0),1/(1/AR47),IF(AND(AR46=0,AR47=0),".")))),".")</f>
        <v>2.0482709179667498E-6</v>
      </c>
      <c r="AS45" s="58">
        <f>IFERROR(IF(AND(AS46&lt;&gt;0,AS47&lt;&gt;0),1/SUM(1/AS46,1/AS47),IF(AND(AS46&lt;&gt;0,AS47=0),1/(1/AS46),IF(AND(AS46=0,AS47&lt;&gt;0),1/(1/AS47),IF(AND(AS46=0,AS47=0),".")))),".")</f>
        <v>8.4585891830914918E-12</v>
      </c>
      <c r="AT45" s="58">
        <f>IFERROR(IF(AND(AT46&lt;&gt;0,AT47&lt;&gt;0),1/SUM(1/AT46,1/AT47),IF(AND(AT46&lt;&gt;0,AT47=0),1/(1/AT46),IF(AND(AT46=0,AT47&lt;&gt;0),1/(1/AT47),IF(AND(AT46=0,AT47=0),".")))),".")</f>
        <v>8.0926127889734342E-12</v>
      </c>
      <c r="AU45" s="70"/>
      <c r="AV45" s="70"/>
      <c r="AW45" s="70"/>
      <c r="AX45" s="70"/>
      <c r="AY45" s="47">
        <f>IFERROR(IF(SUM(AU46:AU47)&gt;0.01,1-EXP(-SUM(AU46:AU47)),SUM(AU46:AU47)),".")</f>
        <v>1</v>
      </c>
      <c r="AZ45" s="47">
        <f t="shared" ref="AZ45:BB45" si="60">IFERROR(IF(SUM(AV46:AV47)&gt;0.01,1-EXP(-SUM(AV46:AV47)),SUM(AV46:AV47)),".")</f>
        <v>0</v>
      </c>
      <c r="BA45" s="47">
        <f t="shared" si="60"/>
        <v>0.99999999997496714</v>
      </c>
      <c r="BB45" s="47">
        <f t="shared" si="60"/>
        <v>1</v>
      </c>
      <c r="BC45" s="47">
        <f>IFERROR(IF(SUM(AU46:AX47)&gt;0.01,1-EXP(-SUM(AU46:AX47)),SUM(AU46:AX47)),".")</f>
        <v>1</v>
      </c>
      <c r="BD45" s="58">
        <f>IFERROR(IF(AND(BD46&lt;&gt;0,BD47&lt;&gt;0),1/SUM(1/BD46,1/BD47),IF(AND(BD46&lt;&gt;0,BD47=0),1/(1/BD46),IF(AND(BD46=0,BD47&lt;&gt;0),1/(1/BD47),IF(AND(BD46=0,BD47=0),".")))),".")</f>
        <v>3.4010309970390203E-11</v>
      </c>
      <c r="BE45" s="70"/>
      <c r="BF45" s="47">
        <f>IFERROR(IF(SUM(BF46:BF47)&gt;0.01,1-EXP(-SUM(BF46:BF47)),SUM(BF46:BF47)),".")</f>
        <v>0.8450842476914544</v>
      </c>
    </row>
    <row r="46" spans="1:58" x14ac:dyDescent="0.25">
      <c r="A46" s="48" t="s">
        <v>1098</v>
      </c>
      <c r="B46" s="15">
        <v>1</v>
      </c>
      <c r="C46" s="42"/>
      <c r="D46" s="60">
        <f>IFERROR(D10/$B46,0)</f>
        <v>3.3057851239669421E-8</v>
      </c>
      <c r="E46" s="60">
        <f>IFERROR(E10/$B46,0)</f>
        <v>3.0899917851942918E-4</v>
      </c>
      <c r="F46" s="60">
        <f>IFERROR(F10/$B46,0)</f>
        <v>2.7640981240981246E-5</v>
      </c>
      <c r="G46" s="60">
        <f>IFERROR(G10/$B46,0)</f>
        <v>3.2968835384132272E-12</v>
      </c>
      <c r="H46" s="60">
        <f>IFERROR(H10/$B46,0)</f>
        <v>1.6528925619834712E-11</v>
      </c>
      <c r="I46" s="60">
        <f>(IF(AND(D46&lt;&gt;0,E46&lt;&gt;0,F46&lt;&gt;0,G46&lt;&gt;0),1/((1/D46)+(1/E46)+(1/F46)+(1/G46)),IF(AND(D46&lt;&gt;0,E46&lt;&gt;0,F46&lt;&gt;0,G46=0), 1/((1/D46)+(1/E46)+(1/F46)),IF(AND(D46&lt;&gt;0,E46&lt;&gt;0,F46=0,G46&lt;&gt;0),1/((1/D46)+(1/E46)+(1/G46)),IF(AND(D46&lt;&gt;0,E46=0,F46&lt;&gt;0,G46&lt;&gt;0),1/((1/D46)+(1/F46)+(1/G46)),IF(AND(D46=0,E46&lt;&gt;0,F46&lt;&gt;0,G46&lt;&gt;0),1/((1/E46)+(1/F46)+(1/G46)),IF(AND(D46&lt;&gt;0,E46&lt;&gt;0,F46=0,G46=0),1/((1/D46)+(1/E46)),IF(AND(D46&lt;&gt;0,E46=0,F46&lt;&gt;0,G46=0),1/((1/D46)+(1/F46)),IF(AND(D46&lt;&gt;0,E46=0,F46=0,G46&lt;&gt;0),1/((1/D46)+(1/G46)),IF(AND(D46=0,E46=0,F46&lt;&gt;0,G46&lt;&gt;0),1/((1/F46)+(1/G46)),IF(AND(D46=0,E46&lt;&gt;0,F46=0,G46&lt;&gt;0),1/((1/E46)+(1/G46)),IF(AND(D46=0,E46&lt;&gt;0,F46&lt;&gt;0,G46=0),1/((1/E46)+(1/F46)),IF(AND(D46&lt;&gt;0,E46=0,F46=0,G46=0),1/((1/D46)),IF(AND(D46=0,E46&lt;&gt;0,F46=0,G46=0),1/((1/E46)),IF(AND(D46=0,E46=0,F46&lt;&gt;0,G46=0),1/((1/F46)),IF(AND(D46=0,E46=0,F46=0,G46&lt;&gt;0),1/((1/G46)),IF(AND(D46=0,E46=0,F46=0,G46=0),0)))))))))))))))))</f>
        <v>3.2965543422820133E-12</v>
      </c>
      <c r="J46" s="71">
        <f>IFERROR(up_RadSpec!$E$10*J10,".")*$B$46</f>
        <v>1512.5</v>
      </c>
      <c r="K46" s="71">
        <f>IFERROR(up_RadSpec!$H$10*K10,".")*B46</f>
        <v>0.16181272791589676</v>
      </c>
      <c r="L46" s="71">
        <f>IFERROR(up_RadSpec!$G$10*L10,".")*B46</f>
        <v>1.808908286000668</v>
      </c>
      <c r="M46" s="71">
        <f>up_b2s!AC46</f>
        <v>15165837.5</v>
      </c>
      <c r="N46" s="49">
        <f t="shared" ref="N46:Q47" si="61">IFERROR(IF(J46&gt;0.01,1-EXP(-J46),J46),".")</f>
        <v>1</v>
      </c>
      <c r="O46" s="49">
        <f t="shared" si="61"/>
        <v>0.14939951664921358</v>
      </c>
      <c r="P46" s="49">
        <f t="shared" si="61"/>
        <v>0.83616710212487178</v>
      </c>
      <c r="Q46" s="49">
        <f t="shared" si="61"/>
        <v>1</v>
      </c>
      <c r="R46" s="49">
        <f t="shared" ref="R46:R62" si="62">IFERROR(IF(SUM(J46:M46)&gt;0.01,1-EXP(-SUM(J46:M46)),SUM(J46:M46)),".")</f>
        <v>1</v>
      </c>
      <c r="S46" s="60">
        <f>IFERROR(S10/$B46,0)</f>
        <v>2.7640981240981246E-5</v>
      </c>
      <c r="T46" s="60">
        <f>IFERROR(T10/$B46,0)</f>
        <v>4.3071989738656396E-5</v>
      </c>
      <c r="U46" s="60">
        <f>IFERROR(U10/$B46,0)</f>
        <v>3.0759036342644417E-5</v>
      </c>
      <c r="V46" s="60">
        <f>IFERROR(V10/$B46,0)</f>
        <v>2.813273295201006E-5</v>
      </c>
      <c r="W46" s="60">
        <f>IFERROR(W10/$B46,0)</f>
        <v>7.2407613070789352E-5</v>
      </c>
      <c r="X46" s="71">
        <f>IFERROR(up_RadSpec!$G$10*X10,".")*$B46</f>
        <v>1.808908286000668</v>
      </c>
      <c r="Y46" s="71">
        <f>IFERROR(up_RadSpec!$N$10*Y10,".")*$B46</f>
        <v>1.1608472304943422</v>
      </c>
      <c r="Z46" s="71">
        <f>IFERROR(up_RadSpec!$O$10*Z10,".")*$B46</f>
        <v>1.6255385715930204</v>
      </c>
      <c r="AA46" s="71">
        <f>IFERROR(up_RadSpec!$P$10*AA10,".")*$B46</f>
        <v>1.7772891131939439</v>
      </c>
      <c r="AB46" s="71">
        <f>IFERROR(up_RadSpec!$L$10*AB10,".")*$B46</f>
        <v>0.69053512302798148</v>
      </c>
      <c r="AC46" s="49">
        <f t="shared" ref="AC46:AG47" si="63">IFERROR(IF(X46&gt;0.01,1-EXP(-X46),X46),".")</f>
        <v>0.83616710212487178</v>
      </c>
      <c r="AD46" s="49">
        <f t="shared" si="63"/>
        <v>0.68677930169104706</v>
      </c>
      <c r="AE46" s="49">
        <f t="shared" si="63"/>
        <v>0.80319434727749384</v>
      </c>
      <c r="AF46" s="49">
        <f t="shared" si="63"/>
        <v>0.8309040735896065</v>
      </c>
      <c r="AG46" s="49">
        <f t="shared" si="63"/>
        <v>0.49869226403677169</v>
      </c>
      <c r="AH46" s="60">
        <f t="shared" ref="AH46:AJ46" si="64">IFERROR(AH10/$B46,0)</f>
        <v>9.9740259740259755E-10</v>
      </c>
      <c r="AI46" s="60">
        <f t="shared" si="64"/>
        <v>6.3709090909090908E-6</v>
      </c>
      <c r="AJ46" s="60">
        <f t="shared" si="64"/>
        <v>9.9724647271019672E-10</v>
      </c>
      <c r="AK46" s="71">
        <f>IFERROR(up_RadSpec!$H$10*AK10,".")*$B$46</f>
        <v>50130.208333333328</v>
      </c>
      <c r="AL46" s="71">
        <f>IFERROR(up_RadSpec!$K$10*AL10,".")*$B$46</f>
        <v>7.8481735159817356</v>
      </c>
      <c r="AM46" s="49">
        <f>IFERROR(IF(AK46&gt;0.01,1-EXP(-AK46),AK46),".")</f>
        <v>1</v>
      </c>
      <c r="AN46" s="49">
        <f>IFERROR(IF(AL46&gt;0.01,1-EXP(-AL46),AL46),".")</f>
        <v>0.99960953550549536</v>
      </c>
      <c r="AO46" s="49">
        <f>IFERROR(IF(SUM(AK46:AL46)&gt;0.01,1-EXP(-SUM(AK46:AL46)),SUM(AK46:AL46)),".")</f>
        <v>1</v>
      </c>
      <c r="AP46" s="60">
        <f>IFERROR(AP10/$B46,".")</f>
        <v>3.6363636363636369E-10</v>
      </c>
      <c r="AQ46" s="60" t="str">
        <f>IFERROR(AQ10,".")</f>
        <v>.</v>
      </c>
      <c r="AR46" s="60">
        <f>IFERROR(AR10/$B46,".")</f>
        <v>3.9818181818181825E-6</v>
      </c>
      <c r="AS46" s="60">
        <f>IFERROR(AS10/$B46,".")</f>
        <v>1.6443412786038031E-11</v>
      </c>
      <c r="AT46" s="60">
        <f>IFERROR(AT10/$B46,".")</f>
        <v>1.5731958335636466E-11</v>
      </c>
      <c r="AU46" s="71">
        <f>IFERROR(up_RadSpec!$I$10*AU10,".")*$B$46</f>
        <v>137500</v>
      </c>
      <c r="AV46" s="71">
        <f>IFERROR(up_RadSpec!$H$10*AV10,".")*$B$46</f>
        <v>0</v>
      </c>
      <c r="AW46" s="71">
        <f>IFERROR(up_RadSpec!$M$10*AW10,".")*$B$46</f>
        <v>12.557077625570777</v>
      </c>
      <c r="AX46" s="71">
        <f>up_b2w!AC46</f>
        <v>3040731.3038114933</v>
      </c>
      <c r="AY46" s="49">
        <f>IFERROR(IF(AU46&gt;0.01,1-EXP(-AU46),AU46),".")</f>
        <v>1</v>
      </c>
      <c r="AZ46" s="49">
        <f>IFERROR(IF(AQ46&lt;&gt;0,IF(AV46&gt;0.01,1-EXP(-AV46),AV46),0),".")</f>
        <v>0</v>
      </c>
      <c r="BA46" s="49">
        <f t="shared" ref="BA46:BA47" si="65">IFERROR(IF(AW46&gt;0.01,1-EXP(-AW46),AW46),".")</f>
        <v>0.99999648009875997</v>
      </c>
      <c r="BB46" s="49">
        <f t="shared" si="39"/>
        <v>1</v>
      </c>
      <c r="BC46" s="49">
        <f>IFERROR(IF(SUM(AU46:AX46)&gt;0.01,1-EXP(-SUM(AU46:AX46)),SUM(AU46:AX46)),".")</f>
        <v>1</v>
      </c>
      <c r="BD46" s="60">
        <f>IFERROR(BD10/$B46,0)</f>
        <v>6.6115702479338848E-11</v>
      </c>
      <c r="BE46" s="71">
        <f>IFERROR(up_RadSpec!$F$10*BE10,".")*$B$46</f>
        <v>756250</v>
      </c>
      <c r="BF46" s="49">
        <f t="shared" ref="BF46:BF47" si="66">IFERROR(IF(BE46&gt;0.01,1-EXP(-BE46),BE46),".")</f>
        <v>1</v>
      </c>
    </row>
    <row r="47" spans="1:58" x14ac:dyDescent="0.25">
      <c r="A47" s="48" t="s">
        <v>1072</v>
      </c>
      <c r="B47" s="51">
        <v>0.94399</v>
      </c>
      <c r="C47" s="85"/>
      <c r="D47" s="60">
        <f>IFERROR(D6/$B$47,0)</f>
        <v>3.5019281178475855E-8</v>
      </c>
      <c r="E47" s="60">
        <f>IFERROR(E6/$B$47,0)</f>
        <v>3.2733310577382087E-4</v>
      </c>
      <c r="F47" s="60">
        <f>IFERROR(F6/$B$47,0)</f>
        <v>2.4980684397549854E-5</v>
      </c>
      <c r="G47" s="60">
        <f>IFERROR(G6/$B$47,0)</f>
        <v>3.4924983722425314E-12</v>
      </c>
      <c r="H47" s="60">
        <f>IFERROR(H6/$B$47,0)</f>
        <v>1.750964058923793E-11</v>
      </c>
      <c r="I47" s="60">
        <f>(IF(AND(D47&lt;&gt;0,E47&lt;&gt;0,F47&lt;&gt;0,G47&lt;&gt;0),1/((1/D47)+(1/E47)+(1/F47)+(1/G47)),IF(AND(D47&lt;&gt;0,E47&lt;&gt;0,F47&lt;&gt;0,G47=0), 1/((1/D47)+(1/E47)+(1/F47)),IF(AND(D47&lt;&gt;0,E47&lt;&gt;0,F47=0,G47&lt;&gt;0),1/((1/D47)+(1/E47)+(1/G47)),IF(AND(D47&lt;&gt;0,E47=0,F47&lt;&gt;0,G47&lt;&gt;0),1/((1/D47)+(1/F47)+(1/G47)),IF(AND(D47=0,E47&lt;&gt;0,F47&lt;&gt;0,G47&lt;&gt;0),1/((1/E47)+(1/F47)+(1/G47)),IF(AND(D47&lt;&gt;0,E47&lt;&gt;0,F47=0,G47=0),1/((1/D47)+(1/E47)),IF(AND(D47&lt;&gt;0,E47=0,F47&lt;&gt;0,G47=0),1/((1/D47)+(1/F47)),IF(AND(D47&lt;&gt;0,E47=0,F47=0,G47&lt;&gt;0),1/((1/D47)+(1/G47)),IF(AND(D47=0,E47=0,F47&lt;&gt;0,G47&lt;&gt;0),1/((1/F47)+(1/G47)),IF(AND(D47=0,E47&lt;&gt;0,F47=0,G47&lt;&gt;0),1/((1/E47)+(1/G47)),IF(AND(D47=0,E47&lt;&gt;0,F47&lt;&gt;0,G47=0),1/((1/E47)+(1/F47)),IF(AND(D47&lt;&gt;0,E47=0,F47=0,G47=0),1/((1/D47)),IF(AND(D47=0,E47&lt;&gt;0,F47=0,G47=0),1/((1/E47)),IF(AND(D47=0,E47=0,F47&lt;&gt;0,G47=0),1/((1/F47)),IF(AND(D47=0,E47=0,F47=0,G47&lt;&gt;0),1/((1/G47)),IF(AND(D47=0,E47=0,F47=0,G47=0),0)))))))))))))))))</f>
        <v>3.4921495721368145E-12</v>
      </c>
      <c r="J47" s="71">
        <f>IFERROR(up_RadSpec!$E$6*J6,".")*$B$47</f>
        <v>1427.7848750000001</v>
      </c>
      <c r="K47" s="71">
        <f>IFERROR(up_RadSpec!$H$6*$K$6,".")*B47</f>
        <v>0.15274959702532739</v>
      </c>
      <c r="L47" s="71">
        <f>IFERROR(up_RadSpec!$G$6*$L$6,".")*B47</f>
        <v>2.0015464430151515</v>
      </c>
      <c r="M47" s="71">
        <f>up_b2s!AC47</f>
        <v>16065676.013517093</v>
      </c>
      <c r="N47" s="49">
        <f t="shared" si="61"/>
        <v>1</v>
      </c>
      <c r="O47" s="49">
        <f t="shared" si="61"/>
        <v>0.14165537304828935</v>
      </c>
      <c r="P47" s="49">
        <f t="shared" ref="P47" si="67">IFERROR(IF(L47&gt;0.01,1-EXP(-L47),L47),".")</f>
        <v>0.86487384332402073</v>
      </c>
      <c r="Q47" s="49">
        <f t="shared" ref="Q47" si="68">IFERROR(IF(M47&gt;0.01,1-EXP(-M47),M47),".")</f>
        <v>1</v>
      </c>
      <c r="R47" s="49">
        <f t="shared" si="62"/>
        <v>1</v>
      </c>
      <c r="S47" s="60">
        <f>IFERROR(S6/$B$47,0)</f>
        <v>2.4980684397549854E-5</v>
      </c>
      <c r="T47" s="60">
        <f>IFERROR(T6/$B$47,0)</f>
        <v>4.6634787235559518E-5</v>
      </c>
      <c r="U47" s="60">
        <f>IFERROR(U6/$B$47,0)</f>
        <v>3.2955017884168951E-5</v>
      </c>
      <c r="V47" s="60">
        <f>IFERROR(V6/$B$47,0)</f>
        <v>2.7252566650935974E-5</v>
      </c>
      <c r="W47" s="60">
        <f>IFERROR(W6/$B$47,0)</f>
        <v>7.833499478302688E-5</v>
      </c>
      <c r="X47" s="71">
        <f>IFERROR(up_RadSpec!$G$6*X6,".")*$B47</f>
        <v>2.0015464430151515</v>
      </c>
      <c r="Y47" s="71">
        <f>IFERROR(up_RadSpec!$N$6*Y6,".")*$B47</f>
        <v>1.0721609974854669</v>
      </c>
      <c r="Z47" s="71">
        <f>IFERROR(up_RadSpec!$O$6*Z6,".")*$B47</f>
        <v>1.5172196287600617</v>
      </c>
      <c r="AA47" s="71">
        <f>IFERROR(up_RadSpec!$P$6*AA6,".")*$B47</f>
        <v>1.8346895776982819</v>
      </c>
      <c r="AB47" s="71">
        <f>IFERROR(up_RadSpec!$L$6*AB6,".")*$B47</f>
        <v>0.63828433433219145</v>
      </c>
      <c r="AC47" s="49">
        <f t="shared" si="63"/>
        <v>0.86487384332402073</v>
      </c>
      <c r="AD47" s="49">
        <f t="shared" si="63"/>
        <v>0.65773192279206305</v>
      </c>
      <c r="AE47" s="49">
        <f t="shared" si="63"/>
        <v>0.78067916665123338</v>
      </c>
      <c r="AF47" s="49">
        <f t="shared" si="63"/>
        <v>0.8403369429501435</v>
      </c>
      <c r="AG47" s="49">
        <f t="shared" si="63"/>
        <v>0.47180214195920911</v>
      </c>
      <c r="AH47" s="60">
        <f t="shared" ref="AH47:AJ47" si="69">IFERROR(AH6/$B$47,0)</f>
        <v>1.0565817406991574E-9</v>
      </c>
      <c r="AI47" s="60">
        <f t="shared" si="69"/>
        <v>6.7489158687158668E-6</v>
      </c>
      <c r="AJ47" s="60">
        <f t="shared" si="69"/>
        <v>1.0564163526204691E-9</v>
      </c>
      <c r="AK47" s="71">
        <f>IFERROR(up_RadSpec!$H$6*AK6,".")*$B$47</f>
        <v>47322.415364583328</v>
      </c>
      <c r="AL47" s="71">
        <f>IFERROR(up_RadSpec!$K$6*AL6,".")*$B$47</f>
        <v>7.4085973173515987</v>
      </c>
      <c r="AM47" s="49">
        <f>IFERROR(IF(AK47&gt;0.01,1-EXP(-AK47),AK47),".")</f>
        <v>1</v>
      </c>
      <c r="AN47" s="49">
        <f>IFERROR(IF(AL47&gt;0.01,1-EXP(-AL47),AL47),".")</f>
        <v>0.99939397984741163</v>
      </c>
      <c r="AO47" s="49">
        <f>IFERROR(IF(SUM(AK47:AL47)&gt;0.01,1-EXP(-SUM(AK47:AL47)),SUM(AK47:AL47)),".")</f>
        <v>1</v>
      </c>
      <c r="AP47" s="60">
        <f>IFERROR(AP6/$B$47,".")</f>
        <v>3.8521209296323445E-10</v>
      </c>
      <c r="AQ47" s="60" t="str">
        <f>IFERROR(AQ6,".")</f>
        <v>.</v>
      </c>
      <c r="AR47" s="60">
        <f>IFERROR(AR6/$B$47,".")</f>
        <v>4.218072417947417E-6</v>
      </c>
      <c r="AS47" s="60">
        <f>IFERROR(AS6/$B$47,".")</f>
        <v>1.7419054000612327E-11</v>
      </c>
      <c r="AT47" s="60">
        <f>IFERROR(AT6/$B$47,".")</f>
        <v>1.6665386641422541E-11</v>
      </c>
      <c r="AU47" s="71">
        <f>IFERROR(up_RadSpec!$I$6*AU6,".")*$B$47</f>
        <v>129798.625</v>
      </c>
      <c r="AV47" s="71">
        <f>IFERROR(up_RadSpec!$H$6*AV6,".")*$B$47</f>
        <v>0</v>
      </c>
      <c r="AW47" s="71">
        <f>IFERROR(up_RadSpec!$M$6*AW6,".")*$B$47</f>
        <v>11.853755707762557</v>
      </c>
      <c r="AX47" s="71">
        <f>up_b2w!AC47</f>
        <v>3221147.7916201372</v>
      </c>
      <c r="AY47" s="49">
        <f>IFERROR(IF(AU47&gt;0.01,1-EXP(-AU47),AU47),".")</f>
        <v>1</v>
      </c>
      <c r="AZ47" s="49">
        <f>IFERROR(IF(AQ47&lt;&gt;0,IF(AV47&gt;0.01,1-EXP(-AV47),AV47),0),".")</f>
        <v>0</v>
      </c>
      <c r="BA47" s="49">
        <f t="shared" si="65"/>
        <v>0.99999288820374177</v>
      </c>
      <c r="BB47" s="49">
        <f t="shared" si="39"/>
        <v>1</v>
      </c>
      <c r="BC47" s="49">
        <f>IFERROR(IF(SUM(AU47:AX47)&gt;0.01,1-EXP(-SUM(AU47:AX47)),SUM(AU47:AX47)),".")</f>
        <v>1</v>
      </c>
      <c r="BD47" s="60">
        <f>IFERROR(BD6/$B$47,0)</f>
        <v>7.003856235695172E-11</v>
      </c>
      <c r="BE47" s="71">
        <f>IFERROR(up_RadSpec!$F$6*$L$6,".")*$B$47</f>
        <v>2.0015464430151515</v>
      </c>
      <c r="BF47" s="49">
        <f t="shared" si="66"/>
        <v>0.86487384332402073</v>
      </c>
    </row>
    <row r="48" spans="1:58" x14ac:dyDescent="0.25">
      <c r="A48" s="57" t="s">
        <v>33</v>
      </c>
      <c r="B48" s="57" t="s">
        <v>1255</v>
      </c>
      <c r="C48" s="250"/>
      <c r="D48" s="58">
        <f>1/SUM(1/D49,1/D50,1/D51,1/D52,1/D53,1/D54,1/D55,1/D56,1/D57,1/D58,1/D59,1/D60,1/D61,1/D62)</f>
        <v>3.6730940279564145E-9</v>
      </c>
      <c r="E48" s="58">
        <f>1/SUM(1/E49,1/E50,1/E51,1/E52,1/E53,1/E54,1/E55,1/E56,1/E57,1/E58,1/E59,1/E60,1/E61,1/E62)</f>
        <v>3.433323687721039E-5</v>
      </c>
      <c r="F48" s="58">
        <f>1/SUM(1/F49,1/F50,1/F52,1/F54,1/F55,1/F56,1/F57,1/F58,1/F59,1/F60,1/F61,1/F62)</f>
        <v>3.3183668476437548E-6</v>
      </c>
      <c r="G48" s="58">
        <f>1/SUM(1/G49,1/G50,1/G51,1/G52,1/G53,1/G54,1/G55,1/G56,1/G57,1/G58,1/G59,1/G60,1/G61,1/G62)</f>
        <v>3.6632033788335645E-13</v>
      </c>
      <c r="H48" s="58">
        <f>1/SUM(1/H49,1/H50,1/H51,1/H52,1/H53,1/H54,1/H55,1/H56,1/H57,1/H58,1/H59,1/H60,1/H61,1/H62)</f>
        <v>1.8365470139782075E-12</v>
      </c>
      <c r="I48" s="58">
        <f>1/SUM(1/I49,1/I50,1/I51,1/I52,1/I53,1/I54,1/I55,1/I56,1/I57,1/I58,1/I59,1/I60,1/I61,1/I62)</f>
        <v>3.6628376379449952E-13</v>
      </c>
      <c r="J48" s="70"/>
      <c r="K48" s="70"/>
      <c r="L48" s="70"/>
      <c r="M48" s="70"/>
      <c r="N48" s="47">
        <f t="shared" ref="N48:P48" si="70">IFERROR(IF(SUM(J49:J62)&gt;0.01,1-EXP(-SUM(J49:J62)),SUM(J49:J62)),".")</f>
        <v>1</v>
      </c>
      <c r="O48" s="47">
        <f t="shared" si="70"/>
        <v>0.76690630248292946</v>
      </c>
      <c r="P48" s="47">
        <f t="shared" si="70"/>
        <v>0.99999971410834987</v>
      </c>
      <c r="Q48" s="47">
        <f>IFERROR(IF(SUM(M49:M62)&gt;0.01,1-EXP(-SUM(M49:M62)),SUM(M49:M62)),".")</f>
        <v>1</v>
      </c>
      <c r="R48" s="47">
        <f>IFERROR(IF(SUM(J49:M62)&gt;0.01,1-EXP(-SUM(J49:M62)),SUM(J49:M62)),".")</f>
        <v>1</v>
      </c>
      <c r="S48" s="59">
        <f t="shared" ref="S48:W48" si="71">1/SUM(1/S49,1/S50,1/S52,1/S54,1/S55,1/S56,1/S57,1/S58,1/S59,1/S60,1/S61,1/S62)</f>
        <v>3.3183668476437548E-6</v>
      </c>
      <c r="T48" s="59">
        <f t="shared" si="71"/>
        <v>6.2466218656323673E-6</v>
      </c>
      <c r="U48" s="59">
        <f t="shared" si="71"/>
        <v>4.4426952008626804E-6</v>
      </c>
      <c r="V48" s="59">
        <f t="shared" si="71"/>
        <v>3.759410083661408E-6</v>
      </c>
      <c r="W48" s="59">
        <f t="shared" si="71"/>
        <v>1.0744031958389811E-5</v>
      </c>
      <c r="X48" s="70"/>
      <c r="Y48" s="70"/>
      <c r="Z48" s="70"/>
      <c r="AA48" s="70"/>
      <c r="AB48" s="70"/>
      <c r="AC48" s="47">
        <f>IFERROR(IF(SUM(X49:X62)&gt;0.01,1-EXP(-SUM(X49:X62)),SUM(X49:X62)),".")</f>
        <v>0.99999971410834987</v>
      </c>
      <c r="AD48" s="47">
        <f t="shared" ref="AD48:AG48" si="72">IFERROR(IF(SUM(Y49:Y62)&gt;0.01,1-EXP(-SUM(Y49:Y62)),SUM(Y49:Y62)),".")</f>
        <v>0.99966598556601238</v>
      </c>
      <c r="AE48" s="47">
        <f t="shared" si="72"/>
        <v>0.99998705019096401</v>
      </c>
      <c r="AF48" s="47">
        <f t="shared" si="72"/>
        <v>0.99999832543814526</v>
      </c>
      <c r="AG48" s="47">
        <f t="shared" si="72"/>
        <v>0.9904741525952353</v>
      </c>
      <c r="AH48" s="58">
        <f t="shared" ref="AH48:AJ48" si="73">1/SUM(1/AH49,1/AH50,1/AH51,1/AH52,1/AH53,1/AH54,1/AH55,1/AH56,1/AH57,1/AH58,1/AH59,1/AH60,1/AH61,1/AH62)</f>
        <v>1.1082249410062787E-10</v>
      </c>
      <c r="AI48" s="58">
        <f t="shared" si="73"/>
        <v>7.0787868106776008E-7</v>
      </c>
      <c r="AJ48" s="58">
        <f t="shared" si="73"/>
        <v>1.1080514691520082E-10</v>
      </c>
      <c r="AK48" s="70"/>
      <c r="AL48" s="70"/>
      <c r="AM48" s="47">
        <f>IFERROR(IF(SUM(AK49:AK62)&gt;0.01,1-EXP(-SUM(AK49:AK62)),SUM(AK49:AK62)),".")</f>
        <v>1</v>
      </c>
      <c r="AN48" s="47">
        <f>IFERROR(IF(SUM(AL49:AL62)&gt;0.01,1-EXP(-SUM(AL49:AL62)),SUM(AL49:AL62)),".")</f>
        <v>1</v>
      </c>
      <c r="AO48" s="47">
        <f>IFERROR(IF(SUM(AK49:AL62)&gt;0.01,1-EXP(-SUM(AK49:AL62)),SUM(AK49:AL62)),".")</f>
        <v>1</v>
      </c>
      <c r="AP48" s="58">
        <f>1/SUM(1/AP49,1/AP50,1/AP51,1/AP52,1/AP53,1/AP54,1/AP55,1/AP56,1/AP57,1/AP58,1/AP59,1/AP60,1/AP61,1/AP62)</f>
        <v>4.0404034307520568E-11</v>
      </c>
      <c r="AQ48" s="58">
        <f>1/SUM(1/AQ50,1/AQ51,1/AQ52,1/AQ54)</f>
        <v>1.0219583103014988E-9</v>
      </c>
      <c r="AR48" s="58">
        <f>1/SUM(1/AR49,1/AR50,1/AR51,1/AR52,1/AR53,1/AR54,1/AR55,1/AR56,1/AR57,1/AR58,1/AR59,1/AR60,1/AR61,1/AR62)</f>
        <v>4.4242417566735022E-7</v>
      </c>
      <c r="AS48" s="58">
        <f>1/SUM(1/AS49,1/AS50,1/AS51,1/AS52,1/AS53,1/AS54,1/AS55,1/AS56,1/AS57,1/AS58,1/AS59,1/AS60,1/AS61,1/AS62)</f>
        <v>1.8270455894344578E-12</v>
      </c>
      <c r="AT48" s="58">
        <f>1/SUM(1/AT49,1/AT50,1/AT51,1/AT52,1/AT53,1/AT54,1/AT55,1/AT56,1/AT57,1/AT58,1/AT59,1/AT60,1/AT61,1/AT62)</f>
        <v>1.744932438904884E-12</v>
      </c>
      <c r="AU48" s="70"/>
      <c r="AV48" s="70"/>
      <c r="AW48" s="70"/>
      <c r="AX48" s="70"/>
      <c r="AY48" s="47">
        <f>IFERROR(IF(SUM(AU49:AU62)&gt;0.01,1-EXP(-SUM(AU49:AU62)),SUM(AU49:AU62)),".")</f>
        <v>1</v>
      </c>
      <c r="AZ48" s="47">
        <f t="shared" ref="AZ48:BB48" si="74">IFERROR(IF(SUM(AV49:AV62)&gt;0.01,1-EXP(-SUM(AV49:AV62)),SUM(AV49:AV62)),".")</f>
        <v>1</v>
      </c>
      <c r="BA48" s="47">
        <f t="shared" si="74"/>
        <v>1</v>
      </c>
      <c r="BB48" s="47">
        <f t="shared" si="74"/>
        <v>1</v>
      </c>
      <c r="BC48" s="47">
        <f>IFERROR(IF(SUM(AU49:AX62)&gt;0.01,1-EXP(-SUM(AU49:AX62)),SUM(AU49:AX62)),".")</f>
        <v>1</v>
      </c>
      <c r="BD48" s="58">
        <f>1/SUM(1/BD49,1/BD50,1/BD51,1/BD52,1/BD53,1/BD54,1/BD55,1/BD56,1/BD57,1/BD58,1/BD59,1/BD60,1/BD61,1/BD62)</f>
        <v>7.3461880559128299E-12</v>
      </c>
      <c r="BE48" s="70"/>
      <c r="BF48" s="47">
        <f>IFERROR(IF(SUM(BF49:BF62)&gt;0.01,1-EXP(-SUM(BF49:BF62)),SUM(BF49:BF62)),".")</f>
        <v>0.99999243037341246</v>
      </c>
    </row>
    <row r="49" spans="1:58" x14ac:dyDescent="0.25">
      <c r="A49" s="48" t="s">
        <v>1100</v>
      </c>
      <c r="B49" s="15">
        <v>1</v>
      </c>
      <c r="C49" s="249"/>
      <c r="D49" s="60">
        <f>IFERROR(D23/$B49,0)</f>
        <v>3.3057851239669421E-8</v>
      </c>
      <c r="E49" s="60">
        <f>IFERROR(E23/$B49,0)</f>
        <v>3.0899917851942918E-4</v>
      </c>
      <c r="F49" s="60">
        <f>IFERROR(F23/$B49,0)</f>
        <v>1.9446624184916193E-5</v>
      </c>
      <c r="G49" s="60">
        <f>IFERROR(G23/$B49,0)</f>
        <v>3.2968835384132272E-12</v>
      </c>
      <c r="H49" s="60">
        <f>IFERROR(H23/$B49,0)</f>
        <v>1.6528925619834712E-11</v>
      </c>
      <c r="I49" s="60">
        <f>(IF(AND(D49&lt;&gt;0,E49&lt;&gt;0,F49&lt;&gt;0,G49&lt;&gt;0),1/((1/D49)+(1/E49)+(1/F49)+(1/G49)),IF(AND(D49&lt;&gt;0,E49&lt;&gt;0,F49&lt;&gt;0,G49=0), 1/((1/D49)+(1/E49)+(1/F49)),IF(AND(D49&lt;&gt;0,E49&lt;&gt;0,F49=0,G49&lt;&gt;0),1/((1/D49)+(1/E49)+(1/G49)),IF(AND(D49&lt;&gt;0,E49=0,F49&lt;&gt;0,G49&lt;&gt;0),1/((1/D49)+(1/F49)+(1/G49)),IF(AND(D49=0,E49&lt;&gt;0,F49&lt;&gt;0,G49&lt;&gt;0),1/((1/E49)+(1/F49)+(1/G49)),IF(AND(D49&lt;&gt;0,E49&lt;&gt;0,F49=0,G49=0),1/((1/D49)+(1/E49)),IF(AND(D49&lt;&gt;0,E49=0,F49&lt;&gt;0,G49=0),1/((1/D49)+(1/F49)),IF(AND(D49&lt;&gt;0,E49=0,F49=0,G49&lt;&gt;0),1/((1/D49)+(1/G49)),IF(AND(D49=0,E49=0,F49&lt;&gt;0,G49&lt;&gt;0),1/((1/F49)+(1/G49)),IF(AND(D49=0,E49&lt;&gt;0,F49=0,G49&lt;&gt;0),1/((1/E49)+(1/G49)),IF(AND(D49=0,E49&lt;&gt;0,F49&lt;&gt;0,G49=0),1/((1/E49)+(1/F49)),IF(AND(D49&lt;&gt;0,E49=0,F49=0,G49=0),1/((1/D49)),IF(AND(D49=0,E49&lt;&gt;0,F49=0,G49=0),1/((1/E49)),IF(AND(D49=0,E49=0,F49&lt;&gt;0,G49=0),1/((1/F49)),IF(AND(D49=0,E49=0,F49=0,G49&lt;&gt;0),1/((1/G49)),IF(AND(D49=0,E49=0,F49=0,G49=0),0)))))))))))))))))</f>
        <v>3.2965541766143816E-12</v>
      </c>
      <c r="J49" s="71">
        <f>IFERROR(up_RadSpec!$E$23*J23,".")*$B$49</f>
        <v>1512.5</v>
      </c>
      <c r="K49" s="71">
        <f>IFERROR(up_RadSpec!$H$23*$K$23,".")*B49</f>
        <v>0.16181272791589676</v>
      </c>
      <c r="L49" s="71">
        <f>IFERROR(up_RadSpec!$G$23*$L$23,".")*B49</f>
        <v>2.5711403441828522</v>
      </c>
      <c r="M49" s="71">
        <f>up_b2s!AC49</f>
        <v>15165837.5</v>
      </c>
      <c r="N49" s="49">
        <f t="shared" ref="N49:Q62" si="75">IFERROR(IF(J49&gt;0.01,1-EXP(-J49),J49),".")</f>
        <v>1</v>
      </c>
      <c r="O49" s="49">
        <f t="shared" si="75"/>
        <v>0.14939951664921358</v>
      </c>
      <c r="P49" s="49">
        <f t="shared" si="75"/>
        <v>0.92355168169617219</v>
      </c>
      <c r="Q49" s="49">
        <f t="shared" si="75"/>
        <v>1</v>
      </c>
      <c r="R49" s="49">
        <f t="shared" si="62"/>
        <v>1</v>
      </c>
      <c r="S49" s="60">
        <f>IFERROR(S23/$B49,0)</f>
        <v>1.9446624184916193E-5</v>
      </c>
      <c r="T49" s="60">
        <f>IFERROR(T23/$B49,0)</f>
        <v>3.4615356898353366E-5</v>
      </c>
      <c r="U49" s="60">
        <f>IFERROR(U23/$B49,0)</f>
        <v>2.4477396269819058E-5</v>
      </c>
      <c r="V49" s="60">
        <f>IFERROR(V23/$B49,0)</f>
        <v>2.0030636030636029E-5</v>
      </c>
      <c r="W49" s="60">
        <f>IFERROR(W23/$B49,0)</f>
        <v>5.44899760433741E-5</v>
      </c>
      <c r="X49" s="71">
        <f>IFERROR(up_RadSpec!$G$23*$X$23,".")*$B$49</f>
        <v>2.5711403441828522</v>
      </c>
      <c r="Y49" s="71">
        <f>IFERROR(up_RadSpec!$N$23*$Y$23,".")*$B$49</f>
        <v>1.4444456010326006</v>
      </c>
      <c r="Z49" s="71">
        <f>IFERROR(up_RadSpec!$O$23*$Z$23,".")*$B$49</f>
        <v>2.0427009249202968</v>
      </c>
      <c r="AA49" s="71">
        <f>IFERROR(up_RadSpec!$P$23*$AA$23,".")*$B$49</f>
        <v>2.4961763532384631</v>
      </c>
      <c r="AB49" s="71">
        <f>IFERROR(up_RadSpec!$L$23*$AB$23,".")*$B$49</f>
        <v>0.91759996297667534</v>
      </c>
      <c r="AC49" s="49">
        <f t="shared" ref="AC49:AG62" si="76">IFERROR(IF(X49&gt;0.01,1-EXP(-X49),X49),".")</f>
        <v>0.92355168169617219</v>
      </c>
      <c r="AD49" s="49">
        <f t="shared" si="76"/>
        <v>0.76412318982678273</v>
      </c>
      <c r="AE49" s="49">
        <f t="shared" si="76"/>
        <v>0.87032201305442369</v>
      </c>
      <c r="AF49" s="49">
        <f t="shared" si="76"/>
        <v>0.91760053651880569</v>
      </c>
      <c r="AG49" s="49">
        <f t="shared" si="76"/>
        <v>0.6005233497733522</v>
      </c>
      <c r="AH49" s="60">
        <f t="shared" ref="AH49:AJ49" si="77">IFERROR(AH23/$B49,0)</f>
        <v>9.9740259740259755E-10</v>
      </c>
      <c r="AI49" s="60">
        <f t="shared" si="77"/>
        <v>6.3709090909090908E-6</v>
      </c>
      <c r="AJ49" s="60">
        <f t="shared" si="77"/>
        <v>9.9724647271019672E-10</v>
      </c>
      <c r="AK49" s="71">
        <f>IFERROR(up_RadSpec!$H$23*AK23,".")*$B$49</f>
        <v>50130.208333333328</v>
      </c>
      <c r="AL49" s="71">
        <f>IFERROR(up_RadSpec!$K$23*AL23,".")*$B$49</f>
        <v>7.8481735159817356</v>
      </c>
      <c r="AM49" s="49">
        <f t="shared" ref="AM49:AN62" si="78">IFERROR(IF(AK49&gt;0.01,1-EXP(-AK49),AK49),".")</f>
        <v>1</v>
      </c>
      <c r="AN49" s="49">
        <f t="shared" si="78"/>
        <v>0.99960953550549536</v>
      </c>
      <c r="AO49" s="49">
        <f t="shared" ref="AO49:AO62" si="79">IFERROR(IF(SUM(AK49:AL49)&gt;0.01,1-EXP(-SUM(AK49:AL49)),SUM(AK49:AL49)),".")</f>
        <v>1</v>
      </c>
      <c r="AP49" s="60">
        <f>IFERROR(AP23/$B49,".")</f>
        <v>3.6363636363636369E-10</v>
      </c>
      <c r="AQ49" s="60" t="str">
        <f>IFERROR(AQ23,".")</f>
        <v>.</v>
      </c>
      <c r="AR49" s="60">
        <f>IFERROR(AR23/$B49,".")</f>
        <v>3.9818181818181825E-6</v>
      </c>
      <c r="AS49" s="60">
        <f>IFERROR(AS23/$B49,".")</f>
        <v>1.6443412786038031E-11</v>
      </c>
      <c r="AT49" s="60">
        <f t="shared" ref="AT49:AT62" si="80">(IF(AND(AP49&lt;&gt;".",AQ49&lt;&gt;".",AR49&lt;&gt;".",AS49&lt;&gt;"."),1/((1/AP49)+(1/AQ49)+(1/AR49)+(1/AS49)),IF(AND(AP49&lt;&gt;".",AQ49&lt;&gt;".",AR49&lt;&gt;".",AS49="."), 1/((1/AP49)+(1/AQ49)+(1/AR49)),IF(AND(AP49&lt;&gt;".",AQ49&lt;&gt;".",AR49=".",AS49&lt;&gt;"."),1/((1/AP49)+(1/AQ49)+(1/AS49)),IF(AND(AP49&lt;&gt;".",AQ49=".",AR49&lt;&gt;".",AS49&lt;&gt;"."),1/((1/AP49)+(1/AR49)+(1/AS49)),IF(AND(AP49=".",AQ49&lt;&gt;".",AR49&lt;&gt;".",AS49&lt;&gt;"."),1/((1/AQ49)+(1/AR49)+(1/AS49)),IF(AND(AP49&lt;&gt;".",AQ49&lt;&gt;".",AR49=".",AS49="."),1/((1/AP49)+(1/AQ49)),IF(AND(AP49&lt;&gt;".",AQ49=".",AR49&lt;&gt;".",AS49="."),1/((1/AP49)+(1/AR49)),IF(AND(AP49&lt;&gt;".",AQ49=".",AR49=".",AS49&lt;&gt;"."),1/((1/AP49)+(1/AS49)),IF(AND(AP49=".",AQ49=".",AR49&lt;&gt;".",AS49&lt;&gt;"."),1/((1/AR49)+(1/AS49)),IF(AND(AP49=".",AQ49&lt;&gt;".",AR49=".",AS49&lt;&gt;"."),1/((1/AQ49)+(1/AS49)),IF(AND(AP49=".",AQ49&lt;&gt;".",AR49&lt;&gt;".",AS49="."),1/((1/AQ49)+(1/AR49)),IF(AND(AP49&lt;&gt;".",AQ49=".",AR49=".",AS49="."),1/((1/AP49)),IF(AND(AP49=".",AQ49&lt;&gt;".",AR49=".",AS49="."),1/((1/AQ49)),IF(AND(AP49=".",AQ49=".",AR49&lt;&gt;".",AS49="."),1/((1/AR49)),IF(AND(AP49=".",AQ49=".",AR49=".",AS49&lt;&gt;"."),1/((1/AS49)),IF(AND(AP49=".",AQ49=".",AR49=".",AS49="."),".")))))))))))))))))</f>
        <v>1.5731958335636466E-11</v>
      </c>
      <c r="AU49" s="71">
        <f>IFERROR(up_RadSpec!$I$23*AU23,".")*$B$49</f>
        <v>137500</v>
      </c>
      <c r="AV49" s="71">
        <f>IFERROR(up_RadSpec!$F$23*AV23,".")</f>
        <v>0</v>
      </c>
      <c r="AW49" s="71">
        <f>IFERROR(up_RadSpec!$M$23*AW23,".")*$B$49</f>
        <v>12.557077625570777</v>
      </c>
      <c r="AX49" s="71">
        <f>up_b2w!AC49</f>
        <v>3040731.3038114933</v>
      </c>
      <c r="AY49" s="49">
        <f t="shared" ref="AY49:AY62" si="81">IFERROR(IF(AU49&gt;0.01,1-EXP(-AU49),AU49),".")</f>
        <v>1</v>
      </c>
      <c r="AZ49" s="49">
        <f t="shared" ref="AZ49:AZ62" si="82">IFERROR(IF(AQ49&lt;&gt;0,IF(AV49&gt;0.01,1-EXP(-AV49),AV49),0),".")</f>
        <v>0</v>
      </c>
      <c r="BA49" s="49">
        <f>IFERROR(IF(AW49&gt;0.01,1-EXP(-AW49),AW49),".")</f>
        <v>0.99999648009875997</v>
      </c>
      <c r="BB49" s="49">
        <f>IFERROR(IF(AX49&gt;0.01,1-EXP(-AX49),AX49),".")</f>
        <v>1</v>
      </c>
      <c r="BC49" s="49">
        <f t="shared" ref="BC49:BC62" si="83">IFERROR(IF(SUM(AU49:AX49)&gt;0.01,1-EXP(-SUM(AU49:AX49)),SUM(AU49:AX49)),".")</f>
        <v>1</v>
      </c>
      <c r="BD49" s="60">
        <f>IFERROR(BD23/$B49,0)</f>
        <v>6.6115702479338848E-11</v>
      </c>
      <c r="BE49" s="71">
        <f>IFERROR(up_RadSpec!$F$23*BE23,".")*$B$49</f>
        <v>756250</v>
      </c>
      <c r="BF49" s="49">
        <f t="shared" ref="BF49:BF62" si="84">IFERROR(IF(BE49&gt;0.01,1-EXP(-BE49),BE49),".")</f>
        <v>1</v>
      </c>
    </row>
    <row r="50" spans="1:58" x14ac:dyDescent="0.25">
      <c r="A50" s="48" t="s">
        <v>1087</v>
      </c>
      <c r="B50" s="15">
        <v>1</v>
      </c>
      <c r="C50" s="249"/>
      <c r="D50" s="60">
        <f>IFERROR(D25/$B50,0)</f>
        <v>3.3057851239669421E-8</v>
      </c>
      <c r="E50" s="60">
        <f>IFERROR(E25/$B50,0)</f>
        <v>3.0899917851942918E-4</v>
      </c>
      <c r="F50" s="60">
        <f>IFERROR(F25/$B50,0)</f>
        <v>2.8428866983083855E-5</v>
      </c>
      <c r="G50" s="60">
        <f>IFERROR(G25/$B50,0)</f>
        <v>3.2968835384132272E-12</v>
      </c>
      <c r="H50" s="60">
        <f>IFERROR(H25/$B50,0)</f>
        <v>1.6528925619834712E-11</v>
      </c>
      <c r="I50" s="60">
        <f t="shared" ref="I50:I62" si="85">(IF(AND(D50&lt;&gt;0,E50&lt;&gt;0,F50&lt;&gt;0,G50&lt;&gt;0),1/((1/D50)+(1/E50)+(1/F50)+(1/G50)),IF(AND(D50&lt;&gt;0,E50&lt;&gt;0,F50&lt;&gt;0,G50=0), 1/((1/D50)+(1/E50)+(1/F50)),IF(AND(D50&lt;&gt;0,E50&lt;&gt;0,F50=0,G50&lt;&gt;0),1/((1/D50)+(1/E50)+(1/G50)),IF(AND(D50&lt;&gt;0,E50=0,F50&lt;&gt;0,G50&lt;&gt;0),1/((1/D50)+(1/F50)+(1/G50)),IF(AND(D50=0,E50&lt;&gt;0,F50&lt;&gt;0,G50&lt;&gt;0),1/((1/E50)+(1/F50)+(1/G50)),IF(AND(D50&lt;&gt;0,E50&lt;&gt;0,F50=0,G50=0),1/((1/D50)+(1/E50)),IF(AND(D50&lt;&gt;0,E50=0,F50&lt;&gt;0,G50=0),1/((1/D50)+(1/F50)),IF(AND(D50&lt;&gt;0,E50=0,F50=0,G50&lt;&gt;0),1/((1/D50)+(1/G50)),IF(AND(D50=0,E50=0,F50&lt;&gt;0,G50&lt;&gt;0),1/((1/F50)+(1/G50)),IF(AND(D50=0,E50&lt;&gt;0,F50=0,G50&lt;&gt;0),1/((1/E50)+(1/G50)),IF(AND(D50=0,E50&lt;&gt;0,F50&lt;&gt;0,G50=0),1/((1/E50)+(1/F50)),IF(AND(D50&lt;&gt;0,E50=0,F50=0,G50=0),1/((1/D50)),IF(AND(D50=0,E50&lt;&gt;0,F50=0,G50=0),1/((1/E50)),IF(AND(D50=0,E50=0,F50&lt;&gt;0,G50=0),1/((1/F50)),IF(AND(D50=0,E50=0,F50=0,G50&lt;&gt;0),1/((1/G50)),IF(AND(D50=0,E50=0,F50=0,G50=0),0)))))))))))))))))</f>
        <v>3.2965543531781041E-12</v>
      </c>
      <c r="J50" s="71">
        <f>IFERROR(up_RadSpec!$E$25*J25,".")*$B$50</f>
        <v>1512.5</v>
      </c>
      <c r="K50" s="71">
        <f>IFERROR(up_RadSpec!$H$25*$K$25,".")*B50</f>
        <v>0.16181272791589676</v>
      </c>
      <c r="L50" s="71">
        <f>IFERROR(up_RadSpec!$G$25*$L$25,".")*B50</f>
        <v>1.7587756849315066</v>
      </c>
      <c r="M50" s="71">
        <f>up_b2s!AC50</f>
        <v>15165837.5</v>
      </c>
      <c r="N50" s="49">
        <f t="shared" si="75"/>
        <v>1</v>
      </c>
      <c r="O50" s="49">
        <f t="shared" si="75"/>
        <v>0.14939951664921358</v>
      </c>
      <c r="P50" s="49">
        <f t="shared" si="75"/>
        <v>0.82774437006197599</v>
      </c>
      <c r="Q50" s="49">
        <f t="shared" si="75"/>
        <v>1</v>
      </c>
      <c r="R50" s="49">
        <f t="shared" si="62"/>
        <v>1</v>
      </c>
      <c r="S50" s="60">
        <f>IFERROR(S25/$B50,0)</f>
        <v>2.8428866983083855E-5</v>
      </c>
      <c r="T50" s="60">
        <f>IFERROR(T25/$B50,0)</f>
        <v>5.0910201418675987E-5</v>
      </c>
      <c r="U50" s="60">
        <f>IFERROR(U25/$B50,0)</f>
        <v>3.6518163484455633E-5</v>
      </c>
      <c r="V50" s="60">
        <f>IFERROR(V25/$B50,0)</f>
        <v>3.2609800745393961E-5</v>
      </c>
      <c r="W50" s="60">
        <f>IFERROR(W25/$B50,0)</f>
        <v>9.1276400367309481E-5</v>
      </c>
      <c r="X50" s="71">
        <f>IFERROR(up_RadSpec!$G$25*$X$25,".")*$B$50</f>
        <v>1.7587756849315066</v>
      </c>
      <c r="Y50" s="71">
        <f>IFERROR(up_RadSpec!$N$25*$Y$25,".")*$B$50</f>
        <v>0.98212143355728143</v>
      </c>
      <c r="Z50" s="71">
        <f>IFERROR(up_RadSpec!$O$25*$Z$25,".")*$B$50</f>
        <v>1.3691816682206119</v>
      </c>
      <c r="AA50" s="71">
        <f>IFERROR(up_RadSpec!$P$25*$AA$25,".")*$B$50</f>
        <v>1.5332813711553375</v>
      </c>
      <c r="AB50" s="71">
        <f>IFERROR(up_RadSpec!$L$25*$AB$25,".")*$B$50</f>
        <v>0.54778672032193154</v>
      </c>
      <c r="AC50" s="49">
        <f t="shared" si="76"/>
        <v>0.82774437006197599</v>
      </c>
      <c r="AD50" s="49">
        <f t="shared" si="76"/>
        <v>0.62548425476490888</v>
      </c>
      <c r="AE50" s="49">
        <f t="shared" si="76"/>
        <v>0.74568501154011035</v>
      </c>
      <c r="AF50" s="49">
        <f t="shared" si="76"/>
        <v>0.78417370208816972</v>
      </c>
      <c r="AG50" s="49">
        <f t="shared" si="76"/>
        <v>0.42177182416063785</v>
      </c>
      <c r="AH50" s="60">
        <f t="shared" ref="AH50:AJ50" si="86">IFERROR(AH25/$B50,0)</f>
        <v>9.9740259740259755E-10</v>
      </c>
      <c r="AI50" s="60">
        <f t="shared" si="86"/>
        <v>6.3709090909090908E-6</v>
      </c>
      <c r="AJ50" s="60">
        <f t="shared" si="86"/>
        <v>9.9724647271019672E-10</v>
      </c>
      <c r="AK50" s="71">
        <f>IFERROR(up_RadSpec!$H$25*AK$25,".")*$B$50</f>
        <v>50130.208333333328</v>
      </c>
      <c r="AL50" s="71">
        <f>IFERROR(up_RadSpec!$K$25*$AL$25,".")*$B$50</f>
        <v>7.8481735159817356</v>
      </c>
      <c r="AM50" s="49">
        <f t="shared" si="78"/>
        <v>1</v>
      </c>
      <c r="AN50" s="49">
        <f t="shared" si="78"/>
        <v>0.99960953550549536</v>
      </c>
      <c r="AO50" s="49">
        <f t="shared" si="79"/>
        <v>1</v>
      </c>
      <c r="AP50" s="60">
        <f>IFERROR(AP25/$B50,".")</f>
        <v>3.6363636363636369E-10</v>
      </c>
      <c r="AQ50" s="60">
        <f>IFERROR(AQ25,".")</f>
        <v>1.9948051948051951E-9</v>
      </c>
      <c r="AR50" s="60">
        <f>IFERROR(AR25/$B50,".")</f>
        <v>3.9818181818181825E-6</v>
      </c>
      <c r="AS50" s="60">
        <f>IFERROR(AS25/$B50,".")</f>
        <v>1.6443412786038031E-11</v>
      </c>
      <c r="AT50" s="60">
        <f t="shared" si="80"/>
        <v>1.5608859634034475E-11</v>
      </c>
      <c r="AU50" s="71">
        <f>IFERROR(up_RadSpec!$I$25*AU25,".")*$B$50</f>
        <v>137500</v>
      </c>
      <c r="AV50" s="71">
        <f>IFERROR(up_RadSpec!$F$25*AV25,".")</f>
        <v>25065.104166666664</v>
      </c>
      <c r="AW50" s="71">
        <f>IFERROR(up_RadSpec!$M$25*AW25,".")*$B$50</f>
        <v>12.557077625570777</v>
      </c>
      <c r="AX50" s="71">
        <f>up_b2w!AC50</f>
        <v>3040731.3038114933</v>
      </c>
      <c r="AY50" s="49">
        <f t="shared" si="81"/>
        <v>1</v>
      </c>
      <c r="AZ50" s="49">
        <f t="shared" si="82"/>
        <v>1</v>
      </c>
      <c r="BA50" s="49">
        <f t="shared" ref="BA50:BB62" si="87">IFERROR(IF(AW50&gt;0.01,1-EXP(-AW50),AW50),".")</f>
        <v>0.99999648009875997</v>
      </c>
      <c r="BB50" s="49">
        <f t="shared" si="87"/>
        <v>1</v>
      </c>
      <c r="BC50" s="49">
        <f t="shared" si="83"/>
        <v>1</v>
      </c>
      <c r="BD50" s="60">
        <f>IFERROR(BD25/$B50,0)</f>
        <v>6.6115702479338848E-11</v>
      </c>
      <c r="BE50" s="71">
        <f>IFERROR(up_RadSpec!$F$25*BE25,".")*$B$50</f>
        <v>756250</v>
      </c>
      <c r="BF50" s="49">
        <f t="shared" si="84"/>
        <v>1</v>
      </c>
    </row>
    <row r="51" spans="1:58" x14ac:dyDescent="0.25">
      <c r="A51" s="48" t="s">
        <v>1073</v>
      </c>
      <c r="B51" s="15">
        <v>1</v>
      </c>
      <c r="C51" s="249"/>
      <c r="D51" s="60">
        <f>IFERROR(D21/$B51,0)</f>
        <v>3.3057851239669421E-8</v>
      </c>
      <c r="E51" s="60">
        <f>IFERROR(E21/$B51,0)</f>
        <v>3.0899917851942918E-4</v>
      </c>
      <c r="F51" s="60">
        <f>IFERROR(F21/$B51,0)</f>
        <v>0</v>
      </c>
      <c r="G51" s="60">
        <f>IFERROR(G21/$B51,0)</f>
        <v>3.2968835384132272E-12</v>
      </c>
      <c r="H51" s="60">
        <f>IFERROR(H21/$B51,0)</f>
        <v>1.6528925619834712E-11</v>
      </c>
      <c r="I51" s="60">
        <f t="shared" si="85"/>
        <v>3.2965547354399742E-12</v>
      </c>
      <c r="J51" s="71">
        <f>IFERROR(up_RadSpec!$E$21*J21,".")*$B$51</f>
        <v>1512.5</v>
      </c>
      <c r="K51" s="71">
        <f>IFERROR(up_RadSpec!$H$21*$K$21,".")*B51</f>
        <v>0.16181272791589676</v>
      </c>
      <c r="L51" s="71">
        <f>IFERROR(up_RadSpec!$G$21*$L$21,".")*B51</f>
        <v>0</v>
      </c>
      <c r="M51" s="71">
        <f>up_b2s!AC51</f>
        <v>15165837.5</v>
      </c>
      <c r="N51" s="49">
        <f t="shared" si="75"/>
        <v>1</v>
      </c>
      <c r="O51" s="49">
        <f t="shared" si="75"/>
        <v>0.14939951664921358</v>
      </c>
      <c r="P51" s="49">
        <f t="shared" si="75"/>
        <v>0</v>
      </c>
      <c r="Q51" s="49">
        <f t="shared" si="75"/>
        <v>1</v>
      </c>
      <c r="R51" s="49">
        <f t="shared" si="62"/>
        <v>1</v>
      </c>
      <c r="S51" s="60">
        <f>IFERROR(S21/$B51,0)</f>
        <v>0</v>
      </c>
      <c r="T51" s="60">
        <f>IFERROR(T21/$B51,0)</f>
        <v>0</v>
      </c>
      <c r="U51" s="60">
        <f>IFERROR(U21/$B51,0)</f>
        <v>0</v>
      </c>
      <c r="V51" s="60">
        <f>IFERROR(V21/$B51,0)</f>
        <v>0</v>
      </c>
      <c r="W51" s="60">
        <f>IFERROR(W21/$B51,0)</f>
        <v>0</v>
      </c>
      <c r="X51" s="71">
        <f>IFERROR(up_RadSpec!$G$21*$X$21,".")*$B$51</f>
        <v>0</v>
      </c>
      <c r="Y51" s="71">
        <f>IFERROR(up_RadSpec!$N$21*$Y$21,".")*$B$51</f>
        <v>0</v>
      </c>
      <c r="Z51" s="71">
        <f>IFERROR(up_RadSpec!$O$21*$Z$21,".")*$B$51</f>
        <v>0</v>
      </c>
      <c r="AA51" s="71">
        <f>IFERROR(up_RadSpec!$P$21*$AA$21,".")*$B$51</f>
        <v>0</v>
      </c>
      <c r="AB51" s="71">
        <f>IFERROR(up_RadSpec!$L$21*$AB$21,".")*$B$51</f>
        <v>0</v>
      </c>
      <c r="AC51" s="49">
        <f t="shared" si="76"/>
        <v>0</v>
      </c>
      <c r="AD51" s="49">
        <f t="shared" si="76"/>
        <v>0</v>
      </c>
      <c r="AE51" s="49">
        <f t="shared" si="76"/>
        <v>0</v>
      </c>
      <c r="AF51" s="49">
        <f t="shared" si="76"/>
        <v>0</v>
      </c>
      <c r="AG51" s="49">
        <f t="shared" si="76"/>
        <v>0</v>
      </c>
      <c r="AH51" s="60">
        <f t="shared" ref="AH51:AJ51" si="88">IFERROR(AH21/$B51,0)</f>
        <v>9.9740259740259755E-10</v>
      </c>
      <c r="AI51" s="60">
        <f t="shared" si="88"/>
        <v>6.3709090909090908E-6</v>
      </c>
      <c r="AJ51" s="60">
        <f t="shared" si="88"/>
        <v>9.9724647271019672E-10</v>
      </c>
      <c r="AK51" s="71">
        <f>IFERROR(up_RadSpec!$H$21*AK21,".")*$B$51</f>
        <v>50130.208333333328</v>
      </c>
      <c r="AL51" s="71">
        <f>IFERROR(up_RadSpec!$K$21*$AL$21,".")*$B$51</f>
        <v>7.8481735159817356</v>
      </c>
      <c r="AM51" s="49">
        <f t="shared" si="78"/>
        <v>1</v>
      </c>
      <c r="AN51" s="49">
        <f t="shared" si="78"/>
        <v>0.99960953550549536</v>
      </c>
      <c r="AO51" s="49">
        <f t="shared" si="79"/>
        <v>1</v>
      </c>
      <c r="AP51" s="60">
        <f>IFERROR(AP21/$B51,".")</f>
        <v>3.6363636363636369E-10</v>
      </c>
      <c r="AQ51" s="60">
        <f>IFERROR(AQ21,".")</f>
        <v>2.7382615489626788E-9</v>
      </c>
      <c r="AR51" s="60">
        <f>IFERROR(AR21/$B51,".")</f>
        <v>3.9818181818181825E-6</v>
      </c>
      <c r="AS51" s="60">
        <f>IFERROR(AS21/$B51,".")</f>
        <v>1.6443412786038031E-11</v>
      </c>
      <c r="AT51" s="60">
        <f t="shared" si="80"/>
        <v>1.564209083507108E-11</v>
      </c>
      <c r="AU51" s="71">
        <f>IFERROR(up_RadSpec!$I$21*AU21,".")*$B$51</f>
        <v>137500</v>
      </c>
      <c r="AV51" s="71">
        <f>IFERROR(up_RadSpec!$F$21*AV21,".")</f>
        <v>18259.760474283852</v>
      </c>
      <c r="AW51" s="71">
        <f>IFERROR(up_RadSpec!$M$21*AW21,".")*$B$51</f>
        <v>12.557077625570777</v>
      </c>
      <c r="AX51" s="71">
        <f>up_b2w!AC51</f>
        <v>3040731.3038114933</v>
      </c>
      <c r="AY51" s="49">
        <f t="shared" si="81"/>
        <v>1</v>
      </c>
      <c r="AZ51" s="49">
        <f t="shared" si="82"/>
        <v>1</v>
      </c>
      <c r="BA51" s="49">
        <f t="shared" si="87"/>
        <v>0.99999648009875997</v>
      </c>
      <c r="BB51" s="49">
        <f t="shared" si="87"/>
        <v>1</v>
      </c>
      <c r="BC51" s="49">
        <f t="shared" si="83"/>
        <v>1</v>
      </c>
      <c r="BD51" s="60">
        <f>IFERROR(BD21/$B51,0)</f>
        <v>6.6115702479338848E-11</v>
      </c>
      <c r="BE51" s="71">
        <f>IFERROR(up_RadSpec!$F$21*BE21,".")*$B$51</f>
        <v>756250</v>
      </c>
      <c r="BF51" s="49">
        <f t="shared" si="84"/>
        <v>1</v>
      </c>
    </row>
    <row r="52" spans="1:58" x14ac:dyDescent="0.25">
      <c r="A52" s="48" t="s">
        <v>1074</v>
      </c>
      <c r="B52" s="51">
        <v>0.99980000000000002</v>
      </c>
      <c r="C52" s="251"/>
      <c r="D52" s="60">
        <f>IFERROR(D17/$B52,0)</f>
        <v>3.3064464132495918E-8</v>
      </c>
      <c r="E52" s="60">
        <f>IFERROR(E17/$B52,0)</f>
        <v>3.090609907175727E-4</v>
      </c>
      <c r="F52" s="60">
        <f>IFERROR(F17/$B52,0)</f>
        <v>3.9079047608026113E-5</v>
      </c>
      <c r="G52" s="60">
        <f>IFERROR(G17/$B52,0)</f>
        <v>3.2975430470226315E-12</v>
      </c>
      <c r="H52" s="60">
        <f>IFERROR(H17/$B52,0)</f>
        <v>1.6532232066247961E-11</v>
      </c>
      <c r="I52" s="60">
        <f t="shared" si="85"/>
        <v>3.2972139000799955E-12</v>
      </c>
      <c r="J52" s="71">
        <f>IFERROR(up_RadSpec!$E$17*J17,".")*$B$52</f>
        <v>1512.1975</v>
      </c>
      <c r="K52" s="71">
        <f>IFERROR(up_RadSpec!$H$17*$K$17,".")*B52</f>
        <v>0.16178036537031359</v>
      </c>
      <c r="L52" s="71">
        <f>IFERROR(up_RadSpec!$G$17*$L$17,".")*B52</f>
        <v>1.2794579975825953</v>
      </c>
      <c r="M52" s="71">
        <f>up_b2s!AC52</f>
        <v>15168871.274254851</v>
      </c>
      <c r="N52" s="49">
        <f t="shared" si="75"/>
        <v>1</v>
      </c>
      <c r="O52" s="49">
        <f t="shared" si="75"/>
        <v>0.14937198860686174</v>
      </c>
      <c r="P52" s="49">
        <f t="shared" si="75"/>
        <v>0.72181196181141316</v>
      </c>
      <c r="Q52" s="49">
        <f t="shared" si="75"/>
        <v>1</v>
      </c>
      <c r="R52" s="49">
        <f t="shared" si="62"/>
        <v>1</v>
      </c>
      <c r="S52" s="60">
        <f>IFERROR(S17/$B52,0)</f>
        <v>3.9079047608026113E-5</v>
      </c>
      <c r="T52" s="60">
        <f>IFERROR(T17/$B52,0)</f>
        <v>6.8298808448848531E-5</v>
      </c>
      <c r="U52" s="60">
        <f>IFERROR(U17/$B52,0)</f>
        <v>5.1457307614421395E-5</v>
      </c>
      <c r="V52" s="60">
        <f>IFERROR(V17/$B52,0)</f>
        <v>4.5757457472458802E-5</v>
      </c>
      <c r="W52" s="60">
        <f>IFERROR(W17/$B52,0)</f>
        <v>1.3086981284359079E-4</v>
      </c>
      <c r="X52" s="71">
        <f>IFERROR(up_RadSpec!$G$17*$X$17,".")*$B$52</f>
        <v>1.2794579975825953</v>
      </c>
      <c r="Y52" s="71">
        <f>IFERROR(up_RadSpec!$N$17*$Y$17,".")*$B$52</f>
        <v>0.7320771933736856</v>
      </c>
      <c r="Z52" s="71">
        <f>IFERROR(up_RadSpec!$O$17*$Z$17,".")*$B$52</f>
        <v>0.97167928751070198</v>
      </c>
      <c r="AA52" s="71">
        <f>IFERROR(up_RadSpec!$P$17*$AA$17,".")*$B$52</f>
        <v>1.0927180565068497</v>
      </c>
      <c r="AB52" s="71">
        <f>IFERROR(up_RadSpec!$L$17*$AB$17,".")*$B$52</f>
        <v>0.38205907774742193</v>
      </c>
      <c r="AC52" s="49">
        <f t="shared" si="76"/>
        <v>0.72181196181141316</v>
      </c>
      <c r="AD52" s="49">
        <f t="shared" si="76"/>
        <v>0.51909098913606755</v>
      </c>
      <c r="AE52" s="49">
        <f t="shared" si="76"/>
        <v>0.62155301709875532</v>
      </c>
      <c r="AF52" s="49">
        <f t="shared" si="76"/>
        <v>0.66469612089082042</v>
      </c>
      <c r="AG52" s="49">
        <f t="shared" si="76"/>
        <v>0.31754526587398801</v>
      </c>
      <c r="AH52" s="60">
        <f t="shared" ref="AH52:AJ52" si="89">IFERROR(AH17/$B52,0)</f>
        <v>9.9760211782616282E-10</v>
      </c>
      <c r="AI52" s="60">
        <f t="shared" si="89"/>
        <v>6.3721835276146137E-6</v>
      </c>
      <c r="AJ52" s="60">
        <f t="shared" si="89"/>
        <v>9.9744596190257714E-10</v>
      </c>
      <c r="AK52" s="71">
        <f>IFERROR(up_RadSpec!$H$17*AK17,".")*$B$52</f>
        <v>50120.182291666664</v>
      </c>
      <c r="AL52" s="71">
        <f>IFERROR(up_RadSpec!$K$17*$AL$17,".")*$B$52</f>
        <v>7.846603881278539</v>
      </c>
      <c r="AM52" s="49">
        <f t="shared" si="78"/>
        <v>1</v>
      </c>
      <c r="AN52" s="49">
        <f t="shared" si="78"/>
        <v>0.99960892213761854</v>
      </c>
      <c r="AO52" s="49">
        <f t="shared" si="79"/>
        <v>1</v>
      </c>
      <c r="AP52" s="60">
        <f>IFERROR(AP17/$B52,".")</f>
        <v>3.637091054574552E-10</v>
      </c>
      <c r="AQ52" s="60">
        <f>IFERROR(AQ17,".")</f>
        <v>1.15609920856568E-8</v>
      </c>
      <c r="AR52" s="60">
        <f>IFERROR(AR17/$B52,".")</f>
        <v>3.9826147047591344E-6</v>
      </c>
      <c r="AS52" s="60">
        <f>IFERROR(AS17/$B52,".")</f>
        <v>1.6446702126463322E-11</v>
      </c>
      <c r="AT52" s="60">
        <f t="shared" si="80"/>
        <v>1.5713718177369341E-11</v>
      </c>
      <c r="AU52" s="71">
        <f>IFERROR(up_RadSpec!$I$17*AU17,".")*$B$52</f>
        <v>137472.5</v>
      </c>
      <c r="AV52" s="71">
        <f>IFERROR(up_RadSpec!$F$17*AV17,".")</f>
        <v>4324.8883512369794</v>
      </c>
      <c r="AW52" s="71">
        <f>IFERROR(up_RadSpec!$M$17*AW17,".")*$B$52</f>
        <v>12.554566210045664</v>
      </c>
      <c r="AX52" s="71">
        <f>up_b2w!AC52</f>
        <v>3041339.5717258384</v>
      </c>
      <c r="AY52" s="49">
        <f t="shared" si="81"/>
        <v>1</v>
      </c>
      <c r="AZ52" s="49">
        <f t="shared" si="82"/>
        <v>1</v>
      </c>
      <c r="BA52" s="49">
        <f t="shared" si="87"/>
        <v>0.99999647124771573</v>
      </c>
      <c r="BB52" s="49">
        <f t="shared" si="87"/>
        <v>1</v>
      </c>
      <c r="BC52" s="49">
        <f t="shared" si="83"/>
        <v>1</v>
      </c>
      <c r="BD52" s="60">
        <f>IFERROR(BD17/$B52,0)</f>
        <v>6.6128928264991843E-11</v>
      </c>
      <c r="BE52" s="71">
        <f>IFERROR(up_RadSpec!$F$17*BE17,".")*$B$52</f>
        <v>756098.75</v>
      </c>
      <c r="BF52" s="49">
        <f t="shared" si="84"/>
        <v>1</v>
      </c>
    </row>
    <row r="53" spans="1:58" x14ac:dyDescent="0.25">
      <c r="A53" s="48" t="s">
        <v>1088</v>
      </c>
      <c r="B53" s="15">
        <v>2.0000000000000001E-4</v>
      </c>
      <c r="C53" s="249"/>
      <c r="D53" s="60">
        <f>IFERROR(D5/$B53,0)</f>
        <v>1.6528925619834709E-4</v>
      </c>
      <c r="E53" s="60">
        <f>IFERROR(E5/$B53,0)</f>
        <v>1.5449958925971459</v>
      </c>
      <c r="F53" s="60">
        <f>IFERROR(F5/$B53,0)</f>
        <v>0</v>
      </c>
      <c r="G53" s="60">
        <f>IFERROR(G5/$B53,0)</f>
        <v>1.6484417692066137E-8</v>
      </c>
      <c r="H53" s="60">
        <f>IFERROR(H5/$B53,0)</f>
        <v>8.2644628099173553E-8</v>
      </c>
      <c r="I53" s="60">
        <f t="shared" si="85"/>
        <v>1.6482773677199873E-8</v>
      </c>
      <c r="J53" s="71">
        <f>IFERROR(up_RadSpec!$E$5*J5,".")*$B$53</f>
        <v>0.30249999999999999</v>
      </c>
      <c r="K53" s="71">
        <f>IFERROR(up_RadSpec!$H$5*$K$5,".")*B53</f>
        <v>3.2362545583179355E-5</v>
      </c>
      <c r="L53" s="71">
        <f>IFERROR(up_RadSpec!$G$5*$L$5,".")*B53</f>
        <v>0</v>
      </c>
      <c r="M53" s="71">
        <f>up_b2s!AC53</f>
        <v>75829187500</v>
      </c>
      <c r="N53" s="49">
        <f t="shared" si="75"/>
        <v>0.26103151174105577</v>
      </c>
      <c r="O53" s="49">
        <f t="shared" si="75"/>
        <v>3.2362545583179355E-5</v>
      </c>
      <c r="P53" s="49">
        <f t="shared" si="75"/>
        <v>0</v>
      </c>
      <c r="Q53" s="49">
        <f t="shared" si="75"/>
        <v>1</v>
      </c>
      <c r="R53" s="49">
        <f t="shared" si="62"/>
        <v>1</v>
      </c>
      <c r="S53" s="60">
        <f>IFERROR(S5/$B53,0)</f>
        <v>0</v>
      </c>
      <c r="T53" s="60">
        <f>IFERROR(T5/$B53,0)</f>
        <v>0</v>
      </c>
      <c r="U53" s="60">
        <f>IFERROR(U5/$B53,0)</f>
        <v>0</v>
      </c>
      <c r="V53" s="60">
        <f>IFERROR(V5/$B53,0)</f>
        <v>0</v>
      </c>
      <c r="W53" s="60">
        <f>IFERROR(W5/$B53,0)</f>
        <v>0</v>
      </c>
      <c r="X53" s="71">
        <f>IFERROR(up_RadSpec!$G$5*$X$5,".")*$B$53</f>
        <v>0</v>
      </c>
      <c r="Y53" s="71">
        <f>IFERROR(up_RadSpec!$N$5*$Y$5,".")*$B$53</f>
        <v>0</v>
      </c>
      <c r="Z53" s="71">
        <f>IFERROR(up_RadSpec!$O$5*$Z$5,".")*$B$53</f>
        <v>0</v>
      </c>
      <c r="AA53" s="71">
        <f>IFERROR(up_RadSpec!$P$5*$AA$5,".")*$B$53</f>
        <v>0</v>
      </c>
      <c r="AB53" s="71">
        <f>IFERROR(up_RadSpec!$L$5*$AB$5,".")*$B$53</f>
        <v>0</v>
      </c>
      <c r="AC53" s="49">
        <f t="shared" si="76"/>
        <v>0</v>
      </c>
      <c r="AD53" s="49">
        <f t="shared" si="76"/>
        <v>0</v>
      </c>
      <c r="AE53" s="49">
        <f t="shared" si="76"/>
        <v>0</v>
      </c>
      <c r="AF53" s="49">
        <f t="shared" si="76"/>
        <v>0</v>
      </c>
      <c r="AG53" s="49">
        <f t="shared" si="76"/>
        <v>0</v>
      </c>
      <c r="AH53" s="60">
        <f t="shared" ref="AH53:AJ53" si="90">IFERROR(AH5/$B53,0)</f>
        <v>4.9870129870129872E-6</v>
      </c>
      <c r="AI53" s="60">
        <f t="shared" si="90"/>
        <v>3.1854545454545455E-2</v>
      </c>
      <c r="AJ53" s="60">
        <f t="shared" si="90"/>
        <v>4.9862323635509835E-6</v>
      </c>
      <c r="AK53" s="71">
        <f>IFERROR(up_RadSpec!$H$5*AK5,".")*$B$53</f>
        <v>10.026041666666666</v>
      </c>
      <c r="AL53" s="71">
        <f>IFERROR(up_RadSpec!$K$5*$AL$5,".")*$B$53</f>
        <v>1.5696347031963472E-3</v>
      </c>
      <c r="AM53" s="49">
        <f t="shared" si="78"/>
        <v>0.99995576709844258</v>
      </c>
      <c r="AN53" s="49">
        <f t="shared" si="78"/>
        <v>1.5696347031963472E-3</v>
      </c>
      <c r="AO53" s="49">
        <f t="shared" si="79"/>
        <v>0.99995583647347897</v>
      </c>
      <c r="AP53" s="60">
        <f>IFERROR(AP5/$B53,".")</f>
        <v>1.8181818181818183E-6</v>
      </c>
      <c r="AQ53" s="60">
        <f>IFERROR(AQ5,".")</f>
        <v>1.3732464063589893E-5</v>
      </c>
      <c r="AR53" s="60">
        <f>IFERROR(AR5/$B53,".")</f>
        <v>1.9909090909090911E-2</v>
      </c>
      <c r="AS53" s="60">
        <f>IFERROR(AS5/$B53,".")</f>
        <v>8.2217063930190147E-8</v>
      </c>
      <c r="AT53" s="60">
        <f t="shared" si="80"/>
        <v>7.8211793174100068E-8</v>
      </c>
      <c r="AU53" s="71">
        <f>IFERROR(up_RadSpec!$I$5*AU5,".")*$B$53</f>
        <v>27.5</v>
      </c>
      <c r="AV53" s="71">
        <f>IFERROR(up_RadSpec!$F$5*AV5,".")</f>
        <v>3.6410071614583335</v>
      </c>
      <c r="AW53" s="71">
        <f>IFERROR(up_RadSpec!$M$5*AW5,".")*$B$53</f>
        <v>2.5114155251141556E-3</v>
      </c>
      <c r="AX53" s="71">
        <f>up_b2w!AC53</f>
        <v>15203656519.057467</v>
      </c>
      <c r="AY53" s="49">
        <f t="shared" si="81"/>
        <v>0.99999999999886002</v>
      </c>
      <c r="AZ53" s="49">
        <f t="shared" si="82"/>
        <v>0.97377408307296387</v>
      </c>
      <c r="BA53" s="49">
        <f t="shared" si="87"/>
        <v>2.5114155251141556E-3</v>
      </c>
      <c r="BB53" s="49">
        <f t="shared" si="87"/>
        <v>1</v>
      </c>
      <c r="BC53" s="49">
        <f t="shared" si="83"/>
        <v>1</v>
      </c>
      <c r="BD53" s="60">
        <f>IFERROR(BD5/$B53,0)</f>
        <v>3.3057851239669421E-7</v>
      </c>
      <c r="BE53" s="71">
        <f>IFERROR(up_RadSpec!$F$5*BE5,".")*$B$53</f>
        <v>151.25</v>
      </c>
      <c r="BF53" s="49">
        <f t="shared" si="84"/>
        <v>1</v>
      </c>
    </row>
    <row r="54" spans="1:58" x14ac:dyDescent="0.25">
      <c r="A54" s="48" t="s">
        <v>1089</v>
      </c>
      <c r="B54" s="15">
        <v>0.99999979999999999</v>
      </c>
      <c r="C54" s="249"/>
      <c r="D54" s="60">
        <f>IFERROR(D9/$B54,0)</f>
        <v>3.3057857851240988E-8</v>
      </c>
      <c r="E54" s="60">
        <f>IFERROR(E9/$B54,0)</f>
        <v>3.0899924031927724E-4</v>
      </c>
      <c r="F54" s="60">
        <f>IFERROR(F9/$B54,0)</f>
        <v>1.4445659169650497E-5</v>
      </c>
      <c r="G54" s="60">
        <f>IFERROR(G9/$B54,0)</f>
        <v>3.2968841977900666E-12</v>
      </c>
      <c r="H54" s="60">
        <f>IFERROR(H9/$B54,0)</f>
        <v>1.6528928925620497E-11</v>
      </c>
      <c r="I54" s="60">
        <f>(IF(AND(D54&lt;&gt;0,E54&lt;&gt;0,F54&lt;&gt;0,G54&lt;&gt;0),1/((1/D54)+(1/E54)+(1/F54)+(1/G54)),IF(AND(D54&lt;&gt;0,E54&lt;&gt;0,F54&lt;&gt;0,G54=0), 1/((1/D54)+(1/E54)+(1/F54)),IF(AND(D54&lt;&gt;0,E54&lt;&gt;0,F54=0,G54&lt;&gt;0),1/((1/D54)+(1/E54)+(1/G54)),IF(AND(D54&lt;&gt;0,E54=0,F54&lt;&gt;0,G54&lt;&gt;0),1/((1/D54)+(1/F54)+(1/G54)),IF(AND(D54=0,E54&lt;&gt;0,F54&lt;&gt;0,G54&lt;&gt;0),1/((1/E54)+(1/F54)+(1/G54)),IF(AND(D54&lt;&gt;0,E54&lt;&gt;0,F54=0,G54=0),1/((1/D54)+(1/E54)),IF(AND(D54&lt;&gt;0,E54=0,F54&lt;&gt;0,G54=0),1/((1/D54)+(1/F54)),IF(AND(D54&lt;&gt;0,E54=0,F54=0,G54&lt;&gt;0),1/((1/D54)+(1/G54)),IF(AND(D54=0,E54=0,F54&lt;&gt;0,G54&lt;&gt;0),1/((1/F54)+(1/G54)),IF(AND(D54=0,E54&lt;&gt;0,F54=0,G54&lt;&gt;0),1/((1/E54)+(1/G54)),IF(AND(D54=0,E54&lt;&gt;0,F54&lt;&gt;0,G54=0),1/((1/E54)+(1/F54)),IF(AND(D54&lt;&gt;0,E54=0,F54=0,G54=0),1/((1/D54)),IF(AND(D54=0,E54&lt;&gt;0,F54=0,G54=0),1/((1/E54)),IF(AND(D54=0,E54=0,F54&lt;&gt;0,G54=0),1/((1/F54)),IF(AND(D54=0,E54=0,F54=0,G54&lt;&gt;0),1/((1/G54)),IF(AND(D54=0,E54=0,F54=0,G54=0),0)))))))))))))))))</f>
        <v>3.296554642464511E-12</v>
      </c>
      <c r="J54" s="71">
        <f>IFERROR(up_RadSpec!$E$9*J9,".")*$B$54</f>
        <v>1512.4996974999999</v>
      </c>
      <c r="K54" s="71">
        <f>IFERROR(up_RadSpec!$H$9*$K$9,".")*B54</f>
        <v>0.16181269555335118</v>
      </c>
      <c r="L54" s="71">
        <f>IFERROR(up_RadSpec!$G$9*$L$9,".")*B54</f>
        <v>3.4612473832310222</v>
      </c>
      <c r="M54" s="71">
        <f>up_b2s!AC54</f>
        <v>15165840.533168107</v>
      </c>
      <c r="N54" s="49">
        <f t="shared" si="75"/>
        <v>1</v>
      </c>
      <c r="O54" s="49">
        <f t="shared" si="75"/>
        <v>0.14939948912161627</v>
      </c>
      <c r="P54" s="49">
        <f t="shared" si="75"/>
        <v>0.96860941849808913</v>
      </c>
      <c r="Q54" s="49">
        <f t="shared" si="75"/>
        <v>1</v>
      </c>
      <c r="R54" s="49">
        <f t="shared" si="62"/>
        <v>1</v>
      </c>
      <c r="S54" s="60">
        <f>IFERROR(S9/$B54,0)</f>
        <v>1.4445659169650497E-5</v>
      </c>
      <c r="T54" s="60">
        <f>IFERROR(T9/$B54,0)</f>
        <v>2.9587127129546656E-5</v>
      </c>
      <c r="U54" s="60">
        <f>IFERROR(U9/$B54,0)</f>
        <v>2.0818081621171776E-5</v>
      </c>
      <c r="V54" s="60">
        <f>IFERROR(V9/$B54,0)</f>
        <v>1.716070132011088E-5</v>
      </c>
      <c r="W54" s="60">
        <f>IFERROR(W9/$B54,0)</f>
        <v>5.2407071339179371E-5</v>
      </c>
      <c r="X54" s="71">
        <f>IFERROR(up_RadSpec!$G$9*$X$9,".")*$B$54</f>
        <v>3.4612473832310222</v>
      </c>
      <c r="Y54" s="71">
        <f>IFERROR(up_RadSpec!$N$9*$Y$9,".")*$B$54</f>
        <v>1.6899241275124814</v>
      </c>
      <c r="Z54" s="71">
        <f>IFERROR(up_RadSpec!$O$9*$Z$9,".")*$B$54</f>
        <v>2.4017582844497309</v>
      </c>
      <c r="AA54" s="71">
        <f>IFERROR(up_RadSpec!$P$9*$AA$9,".")*$B$54</f>
        <v>2.9136338350813356</v>
      </c>
      <c r="AB54" s="71">
        <f>IFERROR(up_RadSpec!$L$9*$AB$9,".")*$B$54</f>
        <v>0.95406972231665521</v>
      </c>
      <c r="AC54" s="49">
        <f t="shared" si="76"/>
        <v>0.96860941849808913</v>
      </c>
      <c r="AD54" s="49">
        <f t="shared" si="76"/>
        <v>0.81546647552061047</v>
      </c>
      <c r="AE54" s="49">
        <f t="shared" si="76"/>
        <v>0.90944141452913119</v>
      </c>
      <c r="AF54" s="49">
        <f t="shared" si="76"/>
        <v>0.94572186671495595</v>
      </c>
      <c r="AG54" s="49">
        <f t="shared" si="76"/>
        <v>0.61482970673361503</v>
      </c>
      <c r="AH54" s="60">
        <f t="shared" ref="AH54:AJ54" si="91">IFERROR(AH9/$B54,0)</f>
        <v>9.9740279688315693E-10</v>
      </c>
      <c r="AI54" s="60">
        <f t="shared" si="91"/>
        <v>6.3709103650911641E-6</v>
      </c>
      <c r="AJ54" s="60">
        <f t="shared" si="91"/>
        <v>9.9724667215953107E-10</v>
      </c>
      <c r="AK54" s="71">
        <f>IFERROR(up_RadSpec!$H$9*AK9,".")*$B$54</f>
        <v>50130.198307291663</v>
      </c>
      <c r="AL54" s="71">
        <f>IFERROR(up_RadSpec!$K$9*$AL$9,".")*$B$54</f>
        <v>7.8481719463470325</v>
      </c>
      <c r="AM54" s="49">
        <f t="shared" si="78"/>
        <v>1</v>
      </c>
      <c r="AN54" s="49">
        <f t="shared" si="78"/>
        <v>0.99960953489260818</v>
      </c>
      <c r="AO54" s="49">
        <f t="shared" si="79"/>
        <v>1</v>
      </c>
      <c r="AP54" s="60">
        <f>IFERROR(AP9/$B54,".")</f>
        <v>3.6363643636365097E-10</v>
      </c>
      <c r="AQ54" s="60">
        <f>IFERROR(AQ9,".")</f>
        <v>3.9187352811929723E-8</v>
      </c>
      <c r="AR54" s="60">
        <f>IFERROR(AR9/$B54,".")</f>
        <v>3.981818978181978E-6</v>
      </c>
      <c r="AS54" s="60">
        <f>IFERROR(AS9/$B54,".")</f>
        <v>1.6443416074721245E-11</v>
      </c>
      <c r="AT54" s="60">
        <f t="shared" si="80"/>
        <v>1.5725648340766985E-11</v>
      </c>
      <c r="AU54" s="71">
        <f>IFERROR(up_RadSpec!$I$9*AU9,".")*$B$54</f>
        <v>137499.9725</v>
      </c>
      <c r="AV54" s="71">
        <f>IFERROR(up_RadSpec!$F$9*AV9,".")</f>
        <v>1275.9218577473957</v>
      </c>
      <c r="AW54" s="71">
        <f>IFERROR(up_RadSpec!$M$9*AW9,".")*$B$54</f>
        <v>12.557075114155252</v>
      </c>
      <c r="AX54" s="71">
        <f>up_b2w!AC54</f>
        <v>3040731.9119578758</v>
      </c>
      <c r="AY54" s="49">
        <f t="shared" si="81"/>
        <v>1</v>
      </c>
      <c r="AZ54" s="49">
        <f t="shared" si="82"/>
        <v>1</v>
      </c>
      <c r="BA54" s="49">
        <f t="shared" si="87"/>
        <v>0.99999648008992004</v>
      </c>
      <c r="BB54" s="49">
        <f t="shared" si="87"/>
        <v>1</v>
      </c>
      <c r="BC54" s="49">
        <f t="shared" si="83"/>
        <v>1</v>
      </c>
      <c r="BD54" s="60">
        <f>IFERROR(BD9/$B54,0)</f>
        <v>6.6115715702481987E-11</v>
      </c>
      <c r="BE54" s="71">
        <f>IFERROR(up_RadSpec!$F$9*BE9,".")*$B$54</f>
        <v>756249.84875</v>
      </c>
      <c r="BF54" s="49">
        <f t="shared" si="84"/>
        <v>1</v>
      </c>
    </row>
    <row r="55" spans="1:58" x14ac:dyDescent="0.25">
      <c r="A55" s="48" t="s">
        <v>1090</v>
      </c>
      <c r="B55" s="15">
        <v>1.9999999999999999E-7</v>
      </c>
      <c r="C55" s="249"/>
      <c r="D55" s="60">
        <f>IFERROR(D24/$B55,0)</f>
        <v>0.16528925619834711</v>
      </c>
      <c r="E55" s="60">
        <f>IFERROR(E24/$B55,0)</f>
        <v>1544.9958925971459</v>
      </c>
      <c r="F55" s="60">
        <f>IFERROR(F24/$B55,0)</f>
        <v>127.46489520994598</v>
      </c>
      <c r="G55" s="60">
        <f>IFERROR(G24/$B55,0)</f>
        <v>1.6484417692066136E-5</v>
      </c>
      <c r="H55" s="60">
        <f>IFERROR(H24/$B55,0)</f>
        <v>8.264462809917356E-5</v>
      </c>
      <c r="I55" s="60">
        <f t="shared" si="85"/>
        <v>1.6482771545775432E-5</v>
      </c>
      <c r="J55" s="71">
        <f>IFERROR(up_RadSpec!$E$24*J24,".")*$B$55</f>
        <v>3.0249999999999998E-4</v>
      </c>
      <c r="K55" s="71">
        <f>IFERROR(up_RadSpec!$H$24*$K$24,".")*B55</f>
        <v>3.2362545583179352E-8</v>
      </c>
      <c r="L55" s="71">
        <f>IFERROR(up_RadSpec!$G$24*$L$24,".")*B55</f>
        <v>3.9226486569220148E-7</v>
      </c>
      <c r="M55" s="71">
        <f>up_b2s!AC55</f>
        <v>75829187500000</v>
      </c>
      <c r="N55" s="49">
        <f t="shared" si="75"/>
        <v>3.0249999999999998E-4</v>
      </c>
      <c r="O55" s="49">
        <f t="shared" si="75"/>
        <v>3.2362545583179352E-8</v>
      </c>
      <c r="P55" s="49">
        <f t="shared" si="75"/>
        <v>3.9226486569220148E-7</v>
      </c>
      <c r="Q55" s="49">
        <f t="shared" si="75"/>
        <v>1</v>
      </c>
      <c r="R55" s="49">
        <f t="shared" si="62"/>
        <v>1</v>
      </c>
      <c r="S55" s="60">
        <f>IFERROR(S24/$B55,0)</f>
        <v>127.46489520994598</v>
      </c>
      <c r="T55" s="60">
        <f>IFERROR(T24/$B55,0)</f>
        <v>231.09576228505657</v>
      </c>
      <c r="U55" s="60">
        <f>IFERROR(U24/$B55,0)</f>
        <v>163.16854111973149</v>
      </c>
      <c r="V55" s="60">
        <f>IFERROR(V24/$B55,0)</f>
        <v>136.25631118701648</v>
      </c>
      <c r="W55" s="60">
        <f>IFERROR(W24/$B55,0)</f>
        <v>384.08258408258405</v>
      </c>
      <c r="X55" s="71">
        <f>IFERROR(up_RadSpec!$G$24*$X$24,".")*$B$55</f>
        <v>3.9226486569220148E-7</v>
      </c>
      <c r="Y55" s="71">
        <f>IFERROR(up_RadSpec!$N$24*$Y$24,".")*$B$55</f>
        <v>2.163605230386052E-7</v>
      </c>
      <c r="Z55" s="71">
        <f>IFERROR(up_RadSpec!$O$24*$Z$24,".")*$B$55</f>
        <v>3.0643161761990928E-7</v>
      </c>
      <c r="AA55" s="71">
        <f>IFERROR(up_RadSpec!$P$24*$AA$24,".")*$B$55</f>
        <v>3.6695547945205477E-7</v>
      </c>
      <c r="AB55" s="71">
        <f>IFERROR(up_RadSpec!$L$24*$AB$24,".")*$B$55</f>
        <v>1.3018033639674009E-7</v>
      </c>
      <c r="AC55" s="49">
        <f t="shared" si="76"/>
        <v>3.9226486569220148E-7</v>
      </c>
      <c r="AD55" s="49">
        <f t="shared" si="76"/>
        <v>2.163605230386052E-7</v>
      </c>
      <c r="AE55" s="49">
        <f t="shared" si="76"/>
        <v>3.0643161761990928E-7</v>
      </c>
      <c r="AF55" s="49">
        <f t="shared" si="76"/>
        <v>3.6695547945205477E-7</v>
      </c>
      <c r="AG55" s="49">
        <f t="shared" si="76"/>
        <v>1.3018033639674009E-7</v>
      </c>
      <c r="AH55" s="60">
        <f t="shared" ref="AH55:AJ55" si="92">IFERROR(AH24/$B55,0)</f>
        <v>4.9870129870129877E-3</v>
      </c>
      <c r="AI55" s="60">
        <f t="shared" si="92"/>
        <v>31.854545454545455</v>
      </c>
      <c r="AJ55" s="60">
        <f t="shared" si="92"/>
        <v>4.9862323635509838E-3</v>
      </c>
      <c r="AK55" s="71">
        <f>IFERROR(up_RadSpec!$H$24*AK24,".")*$B$55</f>
        <v>1.0026041666666666E-2</v>
      </c>
      <c r="AL55" s="71">
        <f>IFERROR(up_RadSpec!$K$24*$AL$24,".")*$B$55</f>
        <v>1.5696347031963471E-6</v>
      </c>
      <c r="AM55" s="49">
        <f t="shared" si="78"/>
        <v>9.9759484628785255E-3</v>
      </c>
      <c r="AN55" s="49">
        <f t="shared" si="78"/>
        <v>1.5696347031963471E-6</v>
      </c>
      <c r="AO55" s="49">
        <f t="shared" si="79"/>
        <v>9.9775024377671828E-3</v>
      </c>
      <c r="AP55" s="60">
        <f>IFERROR(AP24/$B55,".")</f>
        <v>1.8181818181818186E-3</v>
      </c>
      <c r="AQ55" s="60">
        <f>IFERROR(AQ24,".")</f>
        <v>1.3733409486996358E-2</v>
      </c>
      <c r="AR55" s="60">
        <f>IFERROR(AR24/$B55,".")</f>
        <v>19.909090909090914</v>
      </c>
      <c r="AS55" s="60">
        <f>IFERROR(AS24/$B55,".")</f>
        <v>8.2217063930190151E-5</v>
      </c>
      <c r="AT55" s="60">
        <f t="shared" si="80"/>
        <v>7.8211823839184589E-5</v>
      </c>
      <c r="AU55" s="71">
        <f>IFERROR(up_RadSpec!$I$24*AU24,".")*$B$55</f>
        <v>2.75E-2</v>
      </c>
      <c r="AV55" s="71">
        <f>IFERROR(up_RadSpec!$F$24*AV24,".")</f>
        <v>3.6407565104166666E-3</v>
      </c>
      <c r="AW55" s="71">
        <f>IFERROR(up_RadSpec!$M$24*AW24,".")*$B$55</f>
        <v>2.5114155251141552E-6</v>
      </c>
      <c r="AX55" s="71">
        <f>up_b2w!AC55</f>
        <v>15203656519057.469</v>
      </c>
      <c r="AY55" s="49">
        <f t="shared" si="81"/>
        <v>2.7125317446546005E-2</v>
      </c>
      <c r="AZ55" s="49">
        <f t="shared" si="82"/>
        <v>3.6407565104166666E-3</v>
      </c>
      <c r="BA55" s="49">
        <f t="shared" si="87"/>
        <v>2.5114155251141552E-6</v>
      </c>
      <c r="BB55" s="49">
        <f t="shared" si="87"/>
        <v>1</v>
      </c>
      <c r="BC55" s="49">
        <f t="shared" si="83"/>
        <v>1</v>
      </c>
      <c r="BD55" s="60">
        <f>IFERROR(BD24/$B55,0)</f>
        <v>3.3057851239669424E-4</v>
      </c>
      <c r="BE55" s="71">
        <f>IFERROR(up_RadSpec!$F$24*BE24,".")*$B$55</f>
        <v>0.15125</v>
      </c>
      <c r="BF55" s="49">
        <f t="shared" si="84"/>
        <v>0.14036723639745774</v>
      </c>
    </row>
    <row r="56" spans="1:58" x14ac:dyDescent="0.25">
      <c r="A56" s="48" t="s">
        <v>1091</v>
      </c>
      <c r="B56" s="15">
        <v>0.99979000004200003</v>
      </c>
      <c r="C56" s="249"/>
      <c r="D56" s="60">
        <f>IFERROR(D20/$B56,0)</f>
        <v>3.3064794845198194E-8</v>
      </c>
      <c r="E56" s="60">
        <f>IFERROR(E20/$B56,0)</f>
        <v>3.0906408196366086E-4</v>
      </c>
      <c r="F56" s="60">
        <f>IFERROR(F20/$B56,0)</f>
        <v>1.9970533568187114E-5</v>
      </c>
      <c r="G56" s="60">
        <f>IFERROR(G20/$B56,0)</f>
        <v>3.2975760292408697E-12</v>
      </c>
      <c r="H56" s="60">
        <f>IFERROR(H20/$B56,0)</f>
        <v>1.6532397422599096E-11</v>
      </c>
      <c r="I56" s="60">
        <f t="shared" si="85"/>
        <v>3.2972466128105849E-12</v>
      </c>
      <c r="J56" s="71">
        <f>IFERROR(up_RadSpec!$E$20*J20,".")*$B$56</f>
        <v>1512.1823750635251</v>
      </c>
      <c r="K56" s="71">
        <f>IFERROR(up_RadSpec!$H$20*$K$20,".")*B56</f>
        <v>0.16177874724983057</v>
      </c>
      <c r="L56" s="71">
        <f>IFERROR(up_RadSpec!$G$20*$L$20,".")*B56</f>
        <v>2.5036887386749429</v>
      </c>
      <c r="M56" s="71">
        <f>up_b2s!AC56</f>
        <v>15169022.994191682</v>
      </c>
      <c r="N56" s="49">
        <f t="shared" si="75"/>
        <v>1</v>
      </c>
      <c r="O56" s="49">
        <f t="shared" si="75"/>
        <v>0.14937061218713943</v>
      </c>
      <c r="P56" s="49">
        <f t="shared" si="75"/>
        <v>0.91821723371439923</v>
      </c>
      <c r="Q56" s="49">
        <f t="shared" si="75"/>
        <v>1</v>
      </c>
      <c r="R56" s="49">
        <f t="shared" si="62"/>
        <v>1</v>
      </c>
      <c r="S56" s="60">
        <f>IFERROR(S20/$B56,0)</f>
        <v>1.9970533568187114E-5</v>
      </c>
      <c r="T56" s="60">
        <f>IFERROR(T20/$B56,0)</f>
        <v>3.9383783600255747E-5</v>
      </c>
      <c r="U56" s="60">
        <f>IFERROR(U20/$B56,0)</f>
        <v>2.7556014312075744E-5</v>
      </c>
      <c r="V56" s="60">
        <f>IFERROR(V20/$B56,0)</f>
        <v>2.3138152732631078E-5</v>
      </c>
      <c r="W56" s="60">
        <f>IFERROR(W20/$B56,0)</f>
        <v>6.710845986812086E-5</v>
      </c>
      <c r="X56" s="71">
        <f>IFERROR(up_RadSpec!$G$20*$X$20,".")*$B$56</f>
        <v>2.5036887386749429</v>
      </c>
      <c r="Y56" s="71">
        <f>IFERROR(up_RadSpec!$N$20*$Y$20,".")*$B$56</f>
        <v>1.2695580624629299</v>
      </c>
      <c r="Z56" s="71">
        <f>IFERROR(up_RadSpec!$O$20*$Z$20,".")*$B$56</f>
        <v>1.8144859207047492</v>
      </c>
      <c r="AA56" s="71">
        <f>IFERROR(up_RadSpec!$P$20*$AA$20,".")*$B$56</f>
        <v>2.1609330951250239</v>
      </c>
      <c r="AB56" s="71">
        <f>IFERROR(up_RadSpec!$L$20*$AB$20,".")*$B$56</f>
        <v>0.74506254648457459</v>
      </c>
      <c r="AC56" s="49">
        <f t="shared" si="76"/>
        <v>0.91821723371439923</v>
      </c>
      <c r="AD56" s="49">
        <f t="shared" si="76"/>
        <v>0.71904424075787809</v>
      </c>
      <c r="AE56" s="49">
        <f t="shared" si="76"/>
        <v>0.83707835849173062</v>
      </c>
      <c r="AF56" s="49">
        <f t="shared" si="76"/>
        <v>0.88478243808092205</v>
      </c>
      <c r="AG56" s="49">
        <f t="shared" si="76"/>
        <v>0.52529539209307996</v>
      </c>
      <c r="AH56" s="60">
        <f t="shared" ref="AH56:AJ56" si="93">IFERROR(AH20/$B56,0)</f>
        <v>9.9761209590083707E-10</v>
      </c>
      <c r="AI56" s="60">
        <f t="shared" si="93"/>
        <v>6.372247262566595E-6</v>
      </c>
      <c r="AJ56" s="60">
        <f t="shared" si="93"/>
        <v>9.9745593841537082E-10</v>
      </c>
      <c r="AK56" s="71">
        <f>IFERROR(up_RadSpec!$H$20*AK20,".")*$B$56</f>
        <v>50119.680991688801</v>
      </c>
      <c r="AL56" s="71">
        <f>IFERROR(up_RadSpec!$K$20*$AL$20,".")*$B$56</f>
        <v>7.8465253998730029</v>
      </c>
      <c r="AM56" s="49">
        <f t="shared" si="78"/>
        <v>1</v>
      </c>
      <c r="AN56" s="49">
        <f t="shared" si="78"/>
        <v>0.99960889144407383</v>
      </c>
      <c r="AO56" s="49">
        <f t="shared" si="79"/>
        <v>1</v>
      </c>
      <c r="AP56" s="60">
        <f>IFERROR(AP20/$B56,".")</f>
        <v>3.6371274329718016E-10</v>
      </c>
      <c r="AQ56" s="60">
        <f>IFERROR(AQ20,".")</f>
        <v>3.9187253504904385E-8</v>
      </c>
      <c r="AR56" s="60">
        <f>IFERROR(AR20/$B56,".")</f>
        <v>3.9826545391041227E-6</v>
      </c>
      <c r="AS56" s="60">
        <f>IFERROR(AS20/$B56,".")</f>
        <v>1.6446866627339004E-11</v>
      </c>
      <c r="AT56" s="60">
        <f t="shared" si="80"/>
        <v>1.5728946933594302E-11</v>
      </c>
      <c r="AU56" s="71">
        <f>IFERROR(up_RadSpec!$I$20*AU20,".")*$B$56</f>
        <v>137471.12500577501</v>
      </c>
      <c r="AV56" s="71">
        <f>IFERROR(up_RadSpec!$F$20*AV20,".")</f>
        <v>1275.9250911458334</v>
      </c>
      <c r="AW56" s="71">
        <f>IFERROR(up_RadSpec!$M$20*AW20,".")*$B$56</f>
        <v>12.554440639796805</v>
      </c>
      <c r="AX56" s="71">
        <f>up_b2w!AC56</f>
        <v>3041369.991381946</v>
      </c>
      <c r="AY56" s="49">
        <f t="shared" si="81"/>
        <v>1</v>
      </c>
      <c r="AZ56" s="49">
        <f t="shared" si="82"/>
        <v>1</v>
      </c>
      <c r="BA56" s="49">
        <f t="shared" si="87"/>
        <v>0.99999647080458165</v>
      </c>
      <c r="BB56" s="49">
        <f t="shared" si="87"/>
        <v>1</v>
      </c>
      <c r="BC56" s="49">
        <f t="shared" si="83"/>
        <v>1</v>
      </c>
      <c r="BD56" s="60">
        <f>IFERROR(BD20/$B56,0)</f>
        <v>6.6129589690396382E-11</v>
      </c>
      <c r="BE56" s="71">
        <f>IFERROR(up_RadSpec!$F$20*BE20,".")*$B$56</f>
        <v>756091.18753176252</v>
      </c>
      <c r="BF56" s="49">
        <f t="shared" si="84"/>
        <v>1</v>
      </c>
    </row>
    <row r="57" spans="1:58" x14ac:dyDescent="0.25">
      <c r="A57" s="48" t="s">
        <v>1092</v>
      </c>
      <c r="B57" s="15">
        <v>2.0999995799999999E-4</v>
      </c>
      <c r="C57" s="249"/>
      <c r="D57" s="60">
        <f>IFERROR(D29/$B57,0)</f>
        <v>1.574183707201952E-4</v>
      </c>
      <c r="E57" s="60">
        <f>IFERROR(E29/$B57,0)</f>
        <v>1.4714249539013202</v>
      </c>
      <c r="F57" s="60">
        <f>IFERROR(F29/$B57,0)</f>
        <v>7.483107340383055E-2</v>
      </c>
      <c r="G57" s="60">
        <f>IFERROR(G29/$B57,0)</f>
        <v>1.569944856090508E-8</v>
      </c>
      <c r="H57" s="60">
        <f>IFERROR(H29/$B57,0)</f>
        <v>7.8709185360097611E-8</v>
      </c>
      <c r="I57" s="60">
        <f t="shared" si="85"/>
        <v>1.5697879539084409E-8</v>
      </c>
      <c r="J57" s="71">
        <f>IFERROR(up_RadSpec!$E$29*J29,".")*$B$57</f>
        <v>0.31762493647499995</v>
      </c>
      <c r="K57" s="71">
        <f>IFERROR(up_RadSpec!$H$29*$K$29,".")*B57</f>
        <v>3.3980666066203748E-5</v>
      </c>
      <c r="L57" s="71">
        <f>IFERROR(up_RadSpec!$G$29*$L$29,".")*B57</f>
        <v>6.6817162611274982E-4</v>
      </c>
      <c r="M57" s="71">
        <f>up_b2s!AC57</f>
        <v>72218288253.181473</v>
      </c>
      <c r="N57" s="49">
        <f t="shared" si="75"/>
        <v>0.27212426313547766</v>
      </c>
      <c r="O57" s="49">
        <f t="shared" si="75"/>
        <v>3.3980666066203748E-5</v>
      </c>
      <c r="P57" s="49">
        <f t="shared" si="75"/>
        <v>6.6817162611274982E-4</v>
      </c>
      <c r="Q57" s="49">
        <f t="shared" si="75"/>
        <v>1</v>
      </c>
      <c r="R57" s="49">
        <f t="shared" si="62"/>
        <v>1</v>
      </c>
      <c r="S57" s="60">
        <f>IFERROR(S29/$B57,0)</f>
        <v>7.483107340383055E-2</v>
      </c>
      <c r="T57" s="60">
        <f>IFERROR(T29/$B57,0)</f>
        <v>0.14932283181894723</v>
      </c>
      <c r="U57" s="60">
        <f>IFERROR(U29/$B57,0)</f>
        <v>0.10637695031241763</v>
      </c>
      <c r="V57" s="60">
        <f>IFERROR(V29/$B57,0)</f>
        <v>9.0235116282121455E-2</v>
      </c>
      <c r="W57" s="60">
        <f>IFERROR(W29/$B57,0)</f>
        <v>0.26813595812673258</v>
      </c>
      <c r="X57" s="71">
        <f>IFERROR(up_RadSpec!$G$29*$X$29,".")*$B$57</f>
        <v>6.6817162611274982E-4</v>
      </c>
      <c r="Y57" s="71">
        <f>IFERROR(up_RadSpec!$N$29*$Y$29,".")*$B$57</f>
        <v>3.3484497575444198E-4</v>
      </c>
      <c r="Z57" s="71">
        <f>IFERROR(up_RadSpec!$O$29*$Z$29,".")*$B$57</f>
        <v>4.7002663502906787E-4</v>
      </c>
      <c r="AA57" s="71">
        <f>IFERROR(up_RadSpec!$P$29*$AA$29,".")*$B$57</f>
        <v>5.5410800207398474E-4</v>
      </c>
      <c r="AB57" s="71">
        <f>IFERROR(up_RadSpec!$L$29*$AB$29,".")*$B$57</f>
        <v>1.8647256544520544E-4</v>
      </c>
      <c r="AC57" s="49">
        <f t="shared" si="76"/>
        <v>6.6817162611274982E-4</v>
      </c>
      <c r="AD57" s="49">
        <f t="shared" si="76"/>
        <v>3.3484497575444198E-4</v>
      </c>
      <c r="AE57" s="49">
        <f t="shared" si="76"/>
        <v>4.7002663502906787E-4</v>
      </c>
      <c r="AF57" s="49">
        <f t="shared" si="76"/>
        <v>5.5410800207398474E-4</v>
      </c>
      <c r="AG57" s="49">
        <f t="shared" si="76"/>
        <v>1.8647256544520544E-4</v>
      </c>
      <c r="AH57" s="60">
        <f t="shared" ref="AH57:AJ57" si="94">IFERROR(AH29/$B57,0)</f>
        <v>4.7495371280150332E-6</v>
      </c>
      <c r="AI57" s="60">
        <f t="shared" si="94"/>
        <v>3.0337668405196021E-2</v>
      </c>
      <c r="AJ57" s="60">
        <f t="shared" si="94"/>
        <v>4.7487936769501487E-6</v>
      </c>
      <c r="AK57" s="71">
        <f>IFERROR(up_RadSpec!$H$29*AK29,".")*$B$57</f>
        <v>10.527341644531248</v>
      </c>
      <c r="AL57" s="71">
        <f>IFERROR(up_RadSpec!$K$29*$AL$29,".")*$B$57</f>
        <v>1.6481161087328767E-3</v>
      </c>
      <c r="AM57" s="49">
        <f t="shared" si="78"/>
        <v>0.99997320624297814</v>
      </c>
      <c r="AN57" s="49">
        <f t="shared" si="78"/>
        <v>1.6481161087328767E-3</v>
      </c>
      <c r="AO57" s="49">
        <f t="shared" si="79"/>
        <v>0.99997325036583096</v>
      </c>
      <c r="AP57" s="60">
        <f>IFERROR(AP29/$B57,".")</f>
        <v>1.7316020779221475E-6</v>
      </c>
      <c r="AQ57" s="60">
        <f>IFERROR(AQ29,".")</f>
        <v>2.1577148215468E-4</v>
      </c>
      <c r="AR57" s="60">
        <f>IFERROR(AR29/$B57,".")</f>
        <v>1.8961042753247517E-2</v>
      </c>
      <c r="AS57" s="60">
        <f>IFERROR(AS29/$B57,".")</f>
        <v>7.8301981308196411E-8</v>
      </c>
      <c r="AT57" s="60">
        <f t="shared" si="80"/>
        <v>7.4888101756009832E-8</v>
      </c>
      <c r="AU57" s="71">
        <f>IFERROR(up_RadSpec!$I$29*AU29,".")*$B$57</f>
        <v>28.874994224999998</v>
      </c>
      <c r="AV57" s="71">
        <f>IFERROR(up_RadSpec!$F$29*AV29,".")</f>
        <v>0.23172663736979165</v>
      </c>
      <c r="AW57" s="71">
        <f>IFERROR(up_RadSpec!$M$29*AW29,".")*$B$57</f>
        <v>2.6369857739726027E-3</v>
      </c>
      <c r="AX57" s="71">
        <f>up_b2w!AC57</f>
        <v>14479675771.227982</v>
      </c>
      <c r="AY57" s="49">
        <f t="shared" si="81"/>
        <v>0.99999999999971179</v>
      </c>
      <c r="AZ57" s="49">
        <f t="shared" si="82"/>
        <v>0.20683708522544275</v>
      </c>
      <c r="BA57" s="49">
        <f t="shared" si="87"/>
        <v>2.6369857739726027E-3</v>
      </c>
      <c r="BB57" s="49">
        <f t="shared" si="87"/>
        <v>1</v>
      </c>
      <c r="BC57" s="49">
        <f t="shared" si="83"/>
        <v>1</v>
      </c>
      <c r="BD57" s="60">
        <f>IFERROR(BD29/$B57,0)</f>
        <v>3.1483674144039044E-7</v>
      </c>
      <c r="BE57" s="71">
        <f>IFERROR(up_RadSpec!$F$29*BE29,".")*$B$57</f>
        <v>158.81246823749998</v>
      </c>
      <c r="BF57" s="49">
        <f t="shared" si="84"/>
        <v>1</v>
      </c>
    </row>
    <row r="58" spans="1:58" x14ac:dyDescent="0.25">
      <c r="A58" s="48" t="s">
        <v>1093</v>
      </c>
      <c r="B58" s="15">
        <v>1</v>
      </c>
      <c r="C58" s="249"/>
      <c r="D58" s="60">
        <f>IFERROR(D16/$B58,0)</f>
        <v>3.3057851239669421E-8</v>
      </c>
      <c r="E58" s="60">
        <f>IFERROR(E16/$B58,0)</f>
        <v>3.0899917851942918E-4</v>
      </c>
      <c r="F58" s="60">
        <f>IFERROR(F16/$B58,0)</f>
        <v>0.42497011279172547</v>
      </c>
      <c r="G58" s="60">
        <f>IFERROR(G16/$B58,0)</f>
        <v>3.2968835384132272E-12</v>
      </c>
      <c r="H58" s="60">
        <f>IFERROR(H16/$B58,0)</f>
        <v>1.6528925619834712E-11</v>
      </c>
      <c r="I58" s="60">
        <f t="shared" si="85"/>
        <v>3.2965547354144027E-12</v>
      </c>
      <c r="J58" s="71">
        <f>IFERROR(up_RadSpec!$E$16*J16,".")*$B$58</f>
        <v>1512.5</v>
      </c>
      <c r="K58" s="71">
        <f>IFERROR(up_RadSpec!$H$16*$K$16,".")*B58</f>
        <v>0.16181272791589676</v>
      </c>
      <c r="L58" s="71">
        <f>IFERROR(up_RadSpec!$G$16*$L$16,".")*B58</f>
        <v>1.1765533268101754E-4</v>
      </c>
      <c r="M58" s="71">
        <f>up_b2s!AC58</f>
        <v>15165837.5</v>
      </c>
      <c r="N58" s="49">
        <f t="shared" si="75"/>
        <v>1</v>
      </c>
      <c r="O58" s="49">
        <f t="shared" si="75"/>
        <v>0.14939951664921358</v>
      </c>
      <c r="P58" s="49">
        <f t="shared" si="75"/>
        <v>1.1765533268101754E-4</v>
      </c>
      <c r="Q58" s="49">
        <f t="shared" si="75"/>
        <v>1</v>
      </c>
      <c r="R58" s="49">
        <f t="shared" si="62"/>
        <v>1</v>
      </c>
      <c r="S58" s="60">
        <f>IFERROR(S16/$B58,0)</f>
        <v>0.42497011279172547</v>
      </c>
      <c r="T58" s="60">
        <f>IFERROR(T16/$B58,0)</f>
        <v>0.75685718978401939</v>
      </c>
      <c r="U58" s="60">
        <f>IFERROR(U16/$B58,0)</f>
        <v>0.45467433645543215</v>
      </c>
      <c r="V58" s="60">
        <f>IFERROR(V16/$B58,0)</f>
        <v>0.45702360766923217</v>
      </c>
      <c r="W58" s="60">
        <f>IFERROR(W16/$B58,0)</f>
        <v>17.696969696969699</v>
      </c>
      <c r="X58" s="71">
        <f>IFERROR(up_RadSpec!$G$16*$X$16,".")*$B$58</f>
        <v>1.1765533268101754E-4</v>
      </c>
      <c r="Y58" s="71">
        <f>IFERROR(up_RadSpec!$N$16*$Y$16,".")*$B$58</f>
        <v>6.6062661060626587E-5</v>
      </c>
      <c r="Z58" s="71">
        <f>IFERROR(up_RadSpec!$O$16*$Z$16,".")*$B$58</f>
        <v>1.0996881941873374E-4</v>
      </c>
      <c r="AA58" s="71">
        <f>IFERROR(up_RadSpec!$P$16*$AA$16,".")*$B$58</f>
        <v>1.0940353881278531E-4</v>
      </c>
      <c r="AB58" s="71">
        <f>IFERROR(up_RadSpec!$L$16*$AB$16,".")*$B$58</f>
        <v>2.8253424657534244E-6</v>
      </c>
      <c r="AC58" s="49">
        <f t="shared" si="76"/>
        <v>1.1765533268101754E-4</v>
      </c>
      <c r="AD58" s="49">
        <f t="shared" si="76"/>
        <v>6.6062661060626587E-5</v>
      </c>
      <c r="AE58" s="49">
        <f t="shared" si="76"/>
        <v>1.0996881941873374E-4</v>
      </c>
      <c r="AF58" s="49">
        <f t="shared" si="76"/>
        <v>1.0940353881278531E-4</v>
      </c>
      <c r="AG58" s="49">
        <f t="shared" si="76"/>
        <v>2.8253424657534244E-6</v>
      </c>
      <c r="AH58" s="60">
        <f t="shared" ref="AH58:AJ58" si="95">IFERROR(AH16/$B58,0)</f>
        <v>9.9740259740259755E-10</v>
      </c>
      <c r="AI58" s="60">
        <f t="shared" si="95"/>
        <v>6.3709090909090908E-6</v>
      </c>
      <c r="AJ58" s="60">
        <f t="shared" si="95"/>
        <v>9.9724647271019672E-10</v>
      </c>
      <c r="AK58" s="71">
        <f>IFERROR(up_RadSpec!$H$16*AK16,".")*$B$58</f>
        <v>50130.208333333328</v>
      </c>
      <c r="AL58" s="71">
        <f>IFERROR(up_RadSpec!$K$16*$AL$16,".")*$B$58</f>
        <v>7.8481735159817356</v>
      </c>
      <c r="AM58" s="49">
        <f t="shared" si="78"/>
        <v>1</v>
      </c>
      <c r="AN58" s="49">
        <f t="shared" si="78"/>
        <v>0.99960953550549536</v>
      </c>
      <c r="AO58" s="49">
        <f t="shared" si="79"/>
        <v>1</v>
      </c>
      <c r="AP58" s="60">
        <f>IFERROR(AP16/$B58,".")</f>
        <v>3.6363636363636369E-10</v>
      </c>
      <c r="AQ58" s="60" t="str">
        <f>IFERROR(AQ16,".")</f>
        <v>.</v>
      </c>
      <c r="AR58" s="60">
        <f>IFERROR(AR16/$B58,".")</f>
        <v>3.9818181818181825E-6</v>
      </c>
      <c r="AS58" s="60">
        <f>IFERROR(AS16/$B58,".")</f>
        <v>1.6443412786038031E-11</v>
      </c>
      <c r="AT58" s="60">
        <f t="shared" si="80"/>
        <v>1.5731958335636466E-11</v>
      </c>
      <c r="AU58" s="71">
        <f>IFERROR(up_RadSpec!$I$16*AU16,".")*$B$58</f>
        <v>137500</v>
      </c>
      <c r="AV58" s="71">
        <f>IFERROR(up_RadSpec!$F$16*AV16,".")</f>
        <v>0</v>
      </c>
      <c r="AW58" s="71">
        <f>IFERROR(up_RadSpec!$M$16*AW16,".")*$B$58</f>
        <v>12.557077625570777</v>
      </c>
      <c r="AX58" s="71">
        <f>up_b2w!AC58</f>
        <v>3040731.3038114933</v>
      </c>
      <c r="AY58" s="49">
        <f t="shared" si="81"/>
        <v>1</v>
      </c>
      <c r="AZ58" s="49">
        <f t="shared" si="82"/>
        <v>0</v>
      </c>
      <c r="BA58" s="49">
        <f t="shared" si="87"/>
        <v>0.99999648009875997</v>
      </c>
      <c r="BB58" s="49">
        <f t="shared" si="87"/>
        <v>1</v>
      </c>
      <c r="BC58" s="49">
        <f t="shared" si="83"/>
        <v>1</v>
      </c>
      <c r="BD58" s="60">
        <f>IFERROR(BD16/$B58,0)</f>
        <v>6.6115702479338848E-11</v>
      </c>
      <c r="BE58" s="71">
        <f>IFERROR(up_RadSpec!$F$16*BE16,".")*$B$58</f>
        <v>756250</v>
      </c>
      <c r="BF58" s="49">
        <f t="shared" si="84"/>
        <v>1</v>
      </c>
    </row>
    <row r="59" spans="1:58" x14ac:dyDescent="0.25">
      <c r="A59" s="48" t="s">
        <v>1094</v>
      </c>
      <c r="B59" s="15">
        <v>1</v>
      </c>
      <c r="C59" s="249"/>
      <c r="D59" s="60">
        <f>IFERROR(D7/$B59,0)</f>
        <v>3.3057851239669421E-8</v>
      </c>
      <c r="E59" s="60">
        <f>IFERROR(E7/$B59,0)</f>
        <v>3.0899917851942918E-4</v>
      </c>
      <c r="F59" s="60">
        <f>IFERROR(F7/$B59,0)</f>
        <v>5.1024109710241087E-5</v>
      </c>
      <c r="G59" s="60">
        <f>IFERROR(G7/$B59,0)</f>
        <v>3.2968835384132272E-12</v>
      </c>
      <c r="H59" s="60">
        <f>IFERROR(H7/$B59,0)</f>
        <v>1.6528925619834712E-11</v>
      </c>
      <c r="I59" s="60">
        <f t="shared" si="85"/>
        <v>3.2965545224568864E-12</v>
      </c>
      <c r="J59" s="71">
        <f>IFERROR(up_RadSpec!$E$7*J7,".")*$B$59</f>
        <v>1512.5</v>
      </c>
      <c r="K59" s="71">
        <f>IFERROR(up_RadSpec!$H$7*$K$7,".")*B59</f>
        <v>0.16181272791589676</v>
      </c>
      <c r="L59" s="71">
        <f>IFERROR(up_RadSpec!$G$7*$L$7,".")*B59</f>
        <v>0.97992890584359316</v>
      </c>
      <c r="M59" s="71">
        <f>up_b2s!AC59</f>
        <v>15165837.5</v>
      </c>
      <c r="N59" s="49">
        <f t="shared" si="75"/>
        <v>1</v>
      </c>
      <c r="O59" s="49">
        <f t="shared" si="75"/>
        <v>0.14939951664921358</v>
      </c>
      <c r="P59" s="49">
        <f t="shared" si="75"/>
        <v>0.62466221777413278</v>
      </c>
      <c r="Q59" s="49">
        <f t="shared" si="75"/>
        <v>1</v>
      </c>
      <c r="R59" s="49">
        <f t="shared" si="62"/>
        <v>1</v>
      </c>
      <c r="S59" s="60">
        <f>IFERROR(S7/$B59,0)</f>
        <v>5.1024109710241087E-5</v>
      </c>
      <c r="T59" s="60">
        <f>IFERROR(T7/$B59,0)</f>
        <v>8.1173075290722404E-5</v>
      </c>
      <c r="U59" s="60">
        <f>IFERROR(U7/$B59,0)</f>
        <v>5.9469696969696979E-5</v>
      </c>
      <c r="V59" s="60">
        <f>IFERROR(V7/$B59,0)</f>
        <v>5.4706310932241598E-5</v>
      </c>
      <c r="W59" s="60">
        <f>IFERROR(W7/$B59,0)</f>
        <v>1.3891242447392179E-4</v>
      </c>
      <c r="X59" s="71">
        <f>IFERROR(up_RadSpec!$G$7*$X$7,".")*$B$59</f>
        <v>0.97992890584359316</v>
      </c>
      <c r="Y59" s="71">
        <f>IFERROR(up_RadSpec!$N$7*$Y$7,".")*$B$59</f>
        <v>0.61596779253372336</v>
      </c>
      <c r="Z59" s="71">
        <f>IFERROR(up_RadSpec!$O$7*$Z$7,".")*$B$59</f>
        <v>0.84076433121019101</v>
      </c>
      <c r="AA59" s="71">
        <f>IFERROR(up_RadSpec!$P$7*$AA$7,".")*$B$59</f>
        <v>0.913971334348047</v>
      </c>
      <c r="AB59" s="71">
        <f>IFERROR(up_RadSpec!$L$7*$AB$7,".")*$B$59</f>
        <v>0.35993900609939011</v>
      </c>
      <c r="AC59" s="49">
        <f t="shared" si="76"/>
        <v>0.62466221777413278</v>
      </c>
      <c r="AD59" s="49">
        <f t="shared" si="76"/>
        <v>0.4598820798060641</v>
      </c>
      <c r="AE59" s="49">
        <f t="shared" si="76"/>
        <v>0.56861932032674856</v>
      </c>
      <c r="AF59" s="49">
        <f t="shared" si="76"/>
        <v>0.59907116423626783</v>
      </c>
      <c r="AG59" s="49">
        <f t="shared" si="76"/>
        <v>0.30228111863068508</v>
      </c>
      <c r="AH59" s="60">
        <f t="shared" ref="AH59:AJ59" si="96">IFERROR(AH7/$B59,0)</f>
        <v>9.9740259740259755E-10</v>
      </c>
      <c r="AI59" s="60">
        <f t="shared" si="96"/>
        <v>6.3709090909090908E-6</v>
      </c>
      <c r="AJ59" s="60">
        <f t="shared" si="96"/>
        <v>9.9724647271019672E-10</v>
      </c>
      <c r="AK59" s="71">
        <f>IFERROR(up_RadSpec!$H$7*AK7,".")*$B$59</f>
        <v>50130.208333333328</v>
      </c>
      <c r="AL59" s="71">
        <f>IFERROR(up_RadSpec!$K$7*$AL$7,".")*$B$59</f>
        <v>7.8481735159817356</v>
      </c>
      <c r="AM59" s="49">
        <f t="shared" si="78"/>
        <v>1</v>
      </c>
      <c r="AN59" s="49">
        <f t="shared" si="78"/>
        <v>0.99960953550549536</v>
      </c>
      <c r="AO59" s="49">
        <f t="shared" si="79"/>
        <v>1</v>
      </c>
      <c r="AP59" s="60">
        <f>IFERROR(AP7/$B59,".")</f>
        <v>3.6363636363636369E-10</v>
      </c>
      <c r="AQ59" s="60" t="str">
        <f>IFERROR(AQ7,".")</f>
        <v>.</v>
      </c>
      <c r="AR59" s="60">
        <f>IFERROR(AR7/$B59,".")</f>
        <v>3.9818181818181825E-6</v>
      </c>
      <c r="AS59" s="60">
        <f>IFERROR(AS7/$B59,".")</f>
        <v>1.6443412786038031E-11</v>
      </c>
      <c r="AT59" s="60">
        <f t="shared" si="80"/>
        <v>1.5731958335636466E-11</v>
      </c>
      <c r="AU59" s="71">
        <f>IFERROR(up_RadSpec!$I$7*AU7,".")*$B$59</f>
        <v>137500</v>
      </c>
      <c r="AV59" s="71">
        <f>IFERROR(up_RadSpec!$F$7*AV7,".")</f>
        <v>0</v>
      </c>
      <c r="AW59" s="71">
        <f>IFERROR(up_RadSpec!$M$7*AW7,".")*$B$59</f>
        <v>12.557077625570777</v>
      </c>
      <c r="AX59" s="71">
        <f>up_b2w!AC59</f>
        <v>3040731.3038114933</v>
      </c>
      <c r="AY59" s="49">
        <f t="shared" si="81"/>
        <v>1</v>
      </c>
      <c r="AZ59" s="49">
        <f t="shared" si="82"/>
        <v>0</v>
      </c>
      <c r="BA59" s="49">
        <f t="shared" si="87"/>
        <v>0.99999648009875997</v>
      </c>
      <c r="BB59" s="49">
        <f t="shared" si="87"/>
        <v>1</v>
      </c>
      <c r="BC59" s="49">
        <f t="shared" si="83"/>
        <v>1</v>
      </c>
      <c r="BD59" s="60">
        <f>IFERROR(BD7/$B59,0)</f>
        <v>6.6115702479338848E-11</v>
      </c>
      <c r="BE59" s="71">
        <f>IFERROR(up_RadSpec!$F$7*BE7,".")*$B$59</f>
        <v>756250</v>
      </c>
      <c r="BF59" s="49">
        <f t="shared" si="84"/>
        <v>1</v>
      </c>
    </row>
    <row r="60" spans="1:58" x14ac:dyDescent="0.25">
      <c r="A60" s="48" t="s">
        <v>1095</v>
      </c>
      <c r="B60" s="15">
        <v>1.9000000000000001E-8</v>
      </c>
      <c r="C60" s="252"/>
      <c r="D60" s="60">
        <f>IFERROR(D12/$B60,0)</f>
        <v>1.7398869073510221</v>
      </c>
      <c r="E60" s="60">
        <f>IFERROR(E12/$B60,0)</f>
        <v>16263.114658917324</v>
      </c>
      <c r="F60" s="60">
        <f>IFERROR(F12/$B60,0)</f>
        <v>2084.2707110830247</v>
      </c>
      <c r="G60" s="60">
        <f>IFERROR(G12/$B60,0)</f>
        <v>1.735201862322751E-4</v>
      </c>
      <c r="H60" s="60">
        <f>IFERROR(H12/$B60,0)</f>
        <v>8.6994345367551109E-4</v>
      </c>
      <c r="I60" s="60">
        <f t="shared" si="85"/>
        <v>1.735028663695701E-4</v>
      </c>
      <c r="J60" s="71">
        <f>IFERROR(up_RadSpec!$E$12*J12,".")*$B$60</f>
        <v>2.8737500000000001E-5</v>
      </c>
      <c r="K60" s="71">
        <f>IFERROR(up_RadSpec!$H$12*$K$12,".")*B60</f>
        <v>3.0744418304020388E-9</v>
      </c>
      <c r="L60" s="71">
        <f>IFERROR(up_RadSpec!$G$12*$L$12,".")*B60</f>
        <v>2.3989206264870988E-8</v>
      </c>
      <c r="M60" s="71">
        <f>up_b2s!AC60</f>
        <v>798201973684210.5</v>
      </c>
      <c r="N60" s="49">
        <f t="shared" si="75"/>
        <v>2.8737500000000001E-5</v>
      </c>
      <c r="O60" s="49">
        <f t="shared" si="75"/>
        <v>3.0744418304020388E-9</v>
      </c>
      <c r="P60" s="49">
        <f t="shared" si="75"/>
        <v>2.3989206264870988E-8</v>
      </c>
      <c r="Q60" s="49">
        <f t="shared" si="75"/>
        <v>1</v>
      </c>
      <c r="R60" s="49">
        <f t="shared" si="62"/>
        <v>1</v>
      </c>
      <c r="S60" s="60">
        <f>IFERROR(S12/$B60,0)</f>
        <v>2084.2707110830247</v>
      </c>
      <c r="T60" s="60">
        <f>IFERROR(T12/$B60,0)</f>
        <v>3739.3153339235346</v>
      </c>
      <c r="U60" s="60">
        <f>IFERROR(U12/$B60,0)</f>
        <v>2711.3313130457555</v>
      </c>
      <c r="V60" s="60">
        <f>IFERROR(V12/$B60,0)</f>
        <v>2394.4837028216111</v>
      </c>
      <c r="W60" s="60">
        <f>IFERROR(W12/$B60,0)</f>
        <v>6454.9902895767564</v>
      </c>
      <c r="X60" s="71">
        <f>IFERROR(up_RadSpec!$G$12*$X$12,".")*$B$60</f>
        <v>2.3989206264870988E-8</v>
      </c>
      <c r="Y60" s="71">
        <f>IFERROR(up_RadSpec!$N$12*$Y$12,".")*$B$60</f>
        <v>1.3371431809024975E-8</v>
      </c>
      <c r="Z60" s="71">
        <f>IFERROR(up_RadSpec!$O$12*$Z$12,".")*$B$60</f>
        <v>1.8441125125292359E-8</v>
      </c>
      <c r="AA60" s="71">
        <f>IFERROR(up_RadSpec!$P$12*$AA$12,".")*$B$60</f>
        <v>2.0881328171530679E-8</v>
      </c>
      <c r="AB60" s="71">
        <f>IFERROR(up_RadSpec!$L$12*$AB$12,".")*$B$60</f>
        <v>7.7459450373981004E-9</v>
      </c>
      <c r="AC60" s="49">
        <f t="shared" si="76"/>
        <v>2.3989206264870988E-8</v>
      </c>
      <c r="AD60" s="49">
        <f t="shared" si="76"/>
        <v>1.3371431809024975E-8</v>
      </c>
      <c r="AE60" s="49">
        <f t="shared" si="76"/>
        <v>1.8441125125292359E-8</v>
      </c>
      <c r="AF60" s="49">
        <f t="shared" si="76"/>
        <v>2.0881328171530679E-8</v>
      </c>
      <c r="AG60" s="49">
        <f t="shared" si="76"/>
        <v>7.7459450373981004E-9</v>
      </c>
      <c r="AH60" s="60">
        <f t="shared" ref="AH60:AJ60" si="97">IFERROR(AH12/$B60,0)</f>
        <v>5.2494873547505129E-2</v>
      </c>
      <c r="AI60" s="60">
        <f t="shared" si="97"/>
        <v>335.31100478468898</v>
      </c>
      <c r="AJ60" s="60">
        <f t="shared" si="97"/>
        <v>5.2486656458431404E-2</v>
      </c>
      <c r="AK60" s="71">
        <f>IFERROR(up_RadSpec!$H$12*AK12,".")*$B$60</f>
        <v>9.5247395833333328E-4</v>
      </c>
      <c r="AL60" s="71">
        <f>IFERROR(up_RadSpec!$K$12*$AL$12,".")*$B$60</f>
        <v>1.4911529680365299E-7</v>
      </c>
      <c r="AM60" s="49">
        <f t="shared" si="78"/>
        <v>9.5247395833333328E-4</v>
      </c>
      <c r="AN60" s="49">
        <f t="shared" si="78"/>
        <v>1.4911529680365299E-7</v>
      </c>
      <c r="AO60" s="49">
        <f t="shared" si="79"/>
        <v>9.5262307363013692E-4</v>
      </c>
      <c r="AP60" s="60">
        <f>IFERROR(AP12/$B60,".")</f>
        <v>1.9138755980861247E-2</v>
      </c>
      <c r="AQ60" s="60" t="str">
        <f>IFERROR(AQ12,".")</f>
        <v>.</v>
      </c>
      <c r="AR60" s="60">
        <f>IFERROR(AR12/$B60,".")</f>
        <v>209.56937799043064</v>
      </c>
      <c r="AS60" s="60">
        <f>IFERROR(AS12/$B60,".")</f>
        <v>8.6544277821252785E-4</v>
      </c>
      <c r="AT60" s="60">
        <f t="shared" si="80"/>
        <v>8.2799780713876145E-4</v>
      </c>
      <c r="AU60" s="71">
        <f>IFERROR(up_RadSpec!$I$12*AU12,".")*$B$60</f>
        <v>2.6125000000000002E-3</v>
      </c>
      <c r="AV60" s="71">
        <f>IFERROR(up_RadSpec!$F$12*AV12,".")</f>
        <v>0</v>
      </c>
      <c r="AW60" s="71">
        <f>IFERROR(up_RadSpec!$M$12*AW12,".")*$B$60</f>
        <v>2.3858447488584478E-7</v>
      </c>
      <c r="AX60" s="71">
        <f>up_b2w!AC60</f>
        <v>160038489674289.13</v>
      </c>
      <c r="AY60" s="49">
        <f t="shared" si="81"/>
        <v>2.6125000000000002E-3</v>
      </c>
      <c r="AZ60" s="49">
        <f t="shared" si="82"/>
        <v>0</v>
      </c>
      <c r="BA60" s="49">
        <f t="shared" si="87"/>
        <v>2.3858447488584478E-7</v>
      </c>
      <c r="BB60" s="49">
        <f t="shared" si="87"/>
        <v>1</v>
      </c>
      <c r="BC60" s="49">
        <f t="shared" si="83"/>
        <v>1</v>
      </c>
      <c r="BD60" s="60">
        <f>IFERROR(BD12/$B60,0)</f>
        <v>3.4797738147020443E-3</v>
      </c>
      <c r="BE60" s="71">
        <f>IFERROR(up_RadSpec!$F$12*BE12,".")*$B$60</f>
        <v>1.4368750000000001E-2</v>
      </c>
      <c r="BF60" s="49">
        <f t="shared" si="84"/>
        <v>1.4266012171747833E-2</v>
      </c>
    </row>
    <row r="61" spans="1:58" x14ac:dyDescent="0.25">
      <c r="A61" s="48" t="s">
        <v>1096</v>
      </c>
      <c r="B61" s="15">
        <v>1</v>
      </c>
      <c r="C61" s="249"/>
      <c r="D61" s="60">
        <f>IFERROR(D18/$B61,0)</f>
        <v>3.3057851239669421E-8</v>
      </c>
      <c r="E61" s="60">
        <f>IFERROR(E18/$B61,0)</f>
        <v>3.0899917851942918E-4</v>
      </c>
      <c r="F61" s="60">
        <f>IFERROR(F18/$B61,0)</f>
        <v>1.9899502767614227E-5</v>
      </c>
      <c r="G61" s="60">
        <f>IFERROR(G18/$B61,0)</f>
        <v>3.2968835384132272E-12</v>
      </c>
      <c r="H61" s="60">
        <f>IFERROR(H18/$B61,0)</f>
        <v>1.6528925619834712E-11</v>
      </c>
      <c r="I61" s="60">
        <f t="shared" si="85"/>
        <v>3.2965541893322928E-12</v>
      </c>
      <c r="J61" s="71">
        <f>IFERROR(up_RadSpec!$E$18*J18,".")*$B$61</f>
        <v>1512.5</v>
      </c>
      <c r="K61" s="71">
        <f>IFERROR(up_RadSpec!$H$18*$K$18,".")*B61</f>
        <v>0.16181272791589676</v>
      </c>
      <c r="L61" s="71">
        <f>IFERROR(up_RadSpec!$G$18*$L$18,".")*B61</f>
        <v>2.5126255959205839</v>
      </c>
      <c r="M61" s="71">
        <f>up_b2s!AC61</f>
        <v>15165837.5</v>
      </c>
      <c r="N61" s="49">
        <f t="shared" si="75"/>
        <v>1</v>
      </c>
      <c r="O61" s="49">
        <f t="shared" si="75"/>
        <v>0.14939951664921358</v>
      </c>
      <c r="P61" s="49">
        <f t="shared" si="75"/>
        <v>0.91894485843991125</v>
      </c>
      <c r="Q61" s="49">
        <f t="shared" si="75"/>
        <v>1</v>
      </c>
      <c r="R61" s="49">
        <f t="shared" si="62"/>
        <v>1</v>
      </c>
      <c r="S61" s="60">
        <f>IFERROR(S18/$B61,0)</f>
        <v>1.9899502767614227E-5</v>
      </c>
      <c r="T61" s="60">
        <f>IFERROR(T18/$B61,0)</f>
        <v>3.9375339800268986E-5</v>
      </c>
      <c r="U61" s="60">
        <f>IFERROR(U18/$B61,0)</f>
        <v>2.7574376135306946E-5</v>
      </c>
      <c r="V61" s="60">
        <f>IFERROR(V18/$B61,0)</f>
        <v>2.2845868626050291E-5</v>
      </c>
      <c r="W61" s="60">
        <f>IFERROR(W18/$B61,0)</f>
        <v>6.6930846930846931E-5</v>
      </c>
      <c r="X61" s="71">
        <f>IFERROR(up_RadSpec!$G$18*$X$18,".")*$B$61</f>
        <v>2.5126255959205839</v>
      </c>
      <c r="Y61" s="71">
        <f>IFERROR(up_RadSpec!$N$18*$Y$18,".")*$B$61</f>
        <v>1.2698303113985681</v>
      </c>
      <c r="Z61" s="71">
        <f>IFERROR(up_RadSpec!$O$18*$Z$18,".")*$B$61</f>
        <v>1.8132776514924922</v>
      </c>
      <c r="AA61" s="71">
        <f>IFERROR(up_RadSpec!$P$18*$AA$18,".")*$B$61</f>
        <v>2.188579511614055</v>
      </c>
      <c r="AB61" s="71">
        <f>IFERROR(up_RadSpec!$L$18*$AB$18,".")*$B$61</f>
        <v>0.74703970280938015</v>
      </c>
      <c r="AC61" s="49">
        <f t="shared" si="76"/>
        <v>0.91894485843991125</v>
      </c>
      <c r="AD61" s="49">
        <f t="shared" si="76"/>
        <v>0.71912072025309015</v>
      </c>
      <c r="AE61" s="49">
        <f t="shared" si="76"/>
        <v>0.83688138631454068</v>
      </c>
      <c r="AF61" s="49">
        <f t="shared" si="76"/>
        <v>0.88792416197549062</v>
      </c>
      <c r="AG61" s="49">
        <f t="shared" si="76"/>
        <v>0.52623303007713518</v>
      </c>
      <c r="AH61" s="60">
        <f t="shared" ref="AH61:AJ61" si="98">IFERROR(AH18/$B61,0)</f>
        <v>9.9740259740259755E-10</v>
      </c>
      <c r="AI61" s="60">
        <f t="shared" si="98"/>
        <v>6.3709090909090908E-6</v>
      </c>
      <c r="AJ61" s="60">
        <f t="shared" si="98"/>
        <v>9.9724647271019672E-10</v>
      </c>
      <c r="AK61" s="71">
        <f>IFERROR(up_RadSpec!$H$18*AK18,".")*$B$61</f>
        <v>50130.208333333328</v>
      </c>
      <c r="AL61" s="71">
        <f>IFERROR(up_RadSpec!$K$18*$AL$18,".")*$B$61</f>
        <v>7.8481735159817356</v>
      </c>
      <c r="AM61" s="49">
        <f t="shared" si="78"/>
        <v>1</v>
      </c>
      <c r="AN61" s="49">
        <f t="shared" si="78"/>
        <v>0.99960953550549536</v>
      </c>
      <c r="AO61" s="49">
        <f t="shared" si="79"/>
        <v>1</v>
      </c>
      <c r="AP61" s="60">
        <f>IFERROR(AP18/$B61,".")</f>
        <v>3.6363636363636369E-10</v>
      </c>
      <c r="AQ61" s="60" t="str">
        <f>IFERROR(AQ18,".")</f>
        <v>.</v>
      </c>
      <c r="AR61" s="60">
        <f>IFERROR(AR18/$B61,".")</f>
        <v>3.9818181818181825E-6</v>
      </c>
      <c r="AS61" s="60">
        <f>IFERROR(AS18/$B61,".")</f>
        <v>1.6443412786038031E-11</v>
      </c>
      <c r="AT61" s="60">
        <f t="shared" si="80"/>
        <v>1.5731958335636466E-11</v>
      </c>
      <c r="AU61" s="71">
        <f>IFERROR(up_RadSpec!$I$18*AU18,".")*$B$61</f>
        <v>137500</v>
      </c>
      <c r="AV61" s="71">
        <f>IFERROR(up_RadSpec!$F$18*AV18,".")</f>
        <v>0</v>
      </c>
      <c r="AW61" s="71">
        <f>IFERROR(up_RadSpec!$M$18*AW18,".")*$B$61</f>
        <v>12.557077625570777</v>
      </c>
      <c r="AX61" s="71">
        <f>up_b2w!AC61</f>
        <v>3040731.3038114933</v>
      </c>
      <c r="AY61" s="49">
        <f t="shared" si="81"/>
        <v>1</v>
      </c>
      <c r="AZ61" s="49">
        <f t="shared" si="82"/>
        <v>0</v>
      </c>
      <c r="BA61" s="49">
        <f t="shared" si="87"/>
        <v>0.99999648009875997</v>
      </c>
      <c r="BB61" s="49">
        <f t="shared" si="87"/>
        <v>1</v>
      </c>
      <c r="BC61" s="49">
        <f t="shared" si="83"/>
        <v>1</v>
      </c>
      <c r="BD61" s="60">
        <f>IFERROR(BD18/$B61,0)</f>
        <v>6.6115702479338848E-11</v>
      </c>
      <c r="BE61" s="71">
        <f>IFERROR(up_RadSpec!$F$18*BE18,".")*$B$61</f>
        <v>756250</v>
      </c>
      <c r="BF61" s="49">
        <f t="shared" si="84"/>
        <v>1</v>
      </c>
    </row>
    <row r="62" spans="1:58" x14ac:dyDescent="0.25">
      <c r="A62" s="48" t="s">
        <v>1097</v>
      </c>
      <c r="B62" s="15">
        <v>1.339E-6</v>
      </c>
      <c r="C62" s="249"/>
      <c r="D62" s="60">
        <f>IFERROR(D27/$B62,0)</f>
        <v>2.4688462464278881E-2</v>
      </c>
      <c r="E62" s="60">
        <f>IFERROR(E27/$B62,0)</f>
        <v>230.76861726619057</v>
      </c>
      <c r="F62" s="60">
        <f>IFERROR(F27/$B62,0)</f>
        <v>24.389446406009657</v>
      </c>
      <c r="G62" s="60">
        <f>IFERROR(G27/$B62,0)</f>
        <v>2.4621983109882206E-6</v>
      </c>
      <c r="H62" s="60">
        <f>IFERROR(H27/$B62,0)</f>
        <v>1.2344231232139441E-5</v>
      </c>
      <c r="I62" s="60">
        <f t="shared" si="85"/>
        <v>2.4619525038645895E-6</v>
      </c>
      <c r="J62" s="71">
        <f>IFERROR(up_RadSpec!$E$27*J27,".")*$B$62</f>
        <v>2.0252375000000002E-3</v>
      </c>
      <c r="K62" s="71">
        <f>IFERROR(up_RadSpec!$H$27*$K$27,".")*B62</f>
        <v>2.1666724267938577E-7</v>
      </c>
      <c r="L62" s="71">
        <f>IFERROR(up_RadSpec!$G$27*$L$27,".")*B62</f>
        <v>2.0500670317666495E-6</v>
      </c>
      <c r="M62" s="71">
        <f>up_b2s!AC62</f>
        <v>11326241598207.617</v>
      </c>
      <c r="N62" s="49">
        <f t="shared" si="75"/>
        <v>2.0252375000000002E-3</v>
      </c>
      <c r="O62" s="49">
        <f t="shared" si="75"/>
        <v>2.1666724267938577E-7</v>
      </c>
      <c r="P62" s="49">
        <f t="shared" si="75"/>
        <v>2.0500670317666495E-6</v>
      </c>
      <c r="Q62" s="49">
        <f t="shared" si="75"/>
        <v>1</v>
      </c>
      <c r="R62" s="49">
        <f t="shared" si="62"/>
        <v>1</v>
      </c>
      <c r="S62" s="60">
        <f>IFERROR(S27/$B62,0)</f>
        <v>24.389446406009657</v>
      </c>
      <c r="T62" s="60">
        <f>IFERROR(T27/$B62,0)</f>
        <v>72.343258853223119</v>
      </c>
      <c r="U62" s="60">
        <f>IFERROR(U27/$B62,0)</f>
        <v>44.351857630272853</v>
      </c>
      <c r="V62" s="60">
        <f>IFERROR(V27/$B62,0)</f>
        <v>32.264263006237364</v>
      </c>
      <c r="W62" s="60">
        <f>IFERROR(W27/$B62,0)</f>
        <v>226.28844330162127</v>
      </c>
      <c r="X62" s="71">
        <f>IFERROR(up_RadSpec!$G$27*$X$27,".")*$B$62</f>
        <v>2.0500670317666495E-6</v>
      </c>
      <c r="Y62" s="71">
        <f>IFERROR(up_RadSpec!$N$27*$Y$27,".")*$B$62</f>
        <v>6.9114940068493116E-7</v>
      </c>
      <c r="Z62" s="71">
        <f>IFERROR(up_RadSpec!$O$27*$Z$27,".")*$B$62</f>
        <v>1.1273484961286479E-6</v>
      </c>
      <c r="AA62" s="71">
        <f>IFERROR(up_RadSpec!$P$27*$AA$27,".")*$B$62</f>
        <v>1.5497022197697169E-6</v>
      </c>
      <c r="AB62" s="71">
        <f>IFERROR(up_RadSpec!$L$27*$AB$27,".")*$B$62</f>
        <v>2.2095693120905292E-7</v>
      </c>
      <c r="AC62" s="49">
        <f t="shared" si="76"/>
        <v>2.0500670317666495E-6</v>
      </c>
      <c r="AD62" s="49">
        <f t="shared" si="76"/>
        <v>6.9114940068493116E-7</v>
      </c>
      <c r="AE62" s="49">
        <f t="shared" si="76"/>
        <v>1.1273484961286479E-6</v>
      </c>
      <c r="AF62" s="49">
        <f t="shared" si="76"/>
        <v>1.5497022197697169E-6</v>
      </c>
      <c r="AG62" s="49">
        <f t="shared" si="76"/>
        <v>2.2095693120905292E-7</v>
      </c>
      <c r="AH62" s="60">
        <f t="shared" ref="AH62:AJ62" si="99">IFERROR(AH27/$B62,0)</f>
        <v>7.4488618177938576E-4</v>
      </c>
      <c r="AI62" s="60">
        <f t="shared" si="99"/>
        <v>4.7579604861158256</v>
      </c>
      <c r="AJ62" s="60">
        <f t="shared" si="99"/>
        <v>7.4476958380149125E-4</v>
      </c>
      <c r="AK62" s="71">
        <f>IFERROR(up_RadSpec!$H$27*AK27,".")*$B$62</f>
        <v>6.712434895833333E-2</v>
      </c>
      <c r="AL62" s="71">
        <f>IFERROR(up_RadSpec!$K$27*$AL$27,".")*$B$62</f>
        <v>1.0508704337899545E-5</v>
      </c>
      <c r="AM62" s="49">
        <f t="shared" si="78"/>
        <v>6.4921081982343365E-2</v>
      </c>
      <c r="AN62" s="49">
        <f t="shared" si="78"/>
        <v>1.0508704337899545E-5</v>
      </c>
      <c r="AO62" s="49">
        <f t="shared" si="79"/>
        <v>6.4930908398593834E-2</v>
      </c>
      <c r="AP62" s="60">
        <f>IFERROR(AP27/$B62,".")</f>
        <v>2.715730871070677E-4</v>
      </c>
      <c r="AQ62" s="60" t="str">
        <f>IFERROR(AQ27,".")</f>
        <v>.</v>
      </c>
      <c r="AR62" s="60">
        <f>IFERROR(AR27/$B62,".")</f>
        <v>2.9737253038223916</v>
      </c>
      <c r="AS62" s="60">
        <f>IFERROR(AS27/$B62,".")</f>
        <v>1.2280368025420486E-5</v>
      </c>
      <c r="AT62" s="60">
        <f t="shared" si="80"/>
        <v>1.1749035351483545E-5</v>
      </c>
      <c r="AU62" s="71">
        <f>IFERROR(up_RadSpec!$I$27*AU27,".")*$B$62</f>
        <v>0.18411250000000001</v>
      </c>
      <c r="AV62" s="71">
        <f>IFERROR(up_RadSpec!$F$27*AV27,".")</f>
        <v>0</v>
      </c>
      <c r="AW62" s="71">
        <f>IFERROR(up_RadSpec!$M$27*AW27,".")*$B$62</f>
        <v>1.6813926940639269E-5</v>
      </c>
      <c r="AX62" s="71">
        <f>up_b2w!AC62</f>
        <v>2270897164907.7622</v>
      </c>
      <c r="AY62" s="49">
        <f t="shared" si="81"/>
        <v>0.16815778368686241</v>
      </c>
      <c r="AZ62" s="49">
        <f t="shared" si="82"/>
        <v>0</v>
      </c>
      <c r="BA62" s="49">
        <f t="shared" si="87"/>
        <v>1.6813926940639269E-5</v>
      </c>
      <c r="BB62" s="49">
        <f t="shared" si="87"/>
        <v>1</v>
      </c>
      <c r="BC62" s="49">
        <f t="shared" si="83"/>
        <v>1</v>
      </c>
      <c r="BD62" s="60">
        <f>IFERROR(BD27/$B62,0)</f>
        <v>4.9376924928557765E-5</v>
      </c>
      <c r="BE62" s="71">
        <f>IFERROR(up_RadSpec!$F$27*BE27,".")*$B$62</f>
        <v>1.0126187499999999</v>
      </c>
      <c r="BF62" s="49">
        <f t="shared" si="84"/>
        <v>0.63673357109083517</v>
      </c>
    </row>
    <row r="63" spans="1:58" x14ac:dyDescent="0.25">
      <c r="A63" s="57" t="s">
        <v>35</v>
      </c>
      <c r="B63" s="57" t="s">
        <v>1255</v>
      </c>
      <c r="C63" s="57"/>
      <c r="D63" s="58">
        <f>1/SUM(1/D64,1/D65,1/D66,1/D67,1/D68,1/D69,1/D70,1/D71,1/D72,1/D73,1/D74,1/D75,1/D76)</f>
        <v>4.1322307035125151E-9</v>
      </c>
      <c r="E63" s="58">
        <f>1/SUM(1/E64,1/E65,1/E66,1/E67,1/E68,1/E69,1/E70,1/E71,1/E72,1/E73,1/E74,1/E75,1/E76)</f>
        <v>3.8624890758353446E-5</v>
      </c>
      <c r="F63" s="58">
        <f>1/SUM(1/F64,1/F66,1/F68,1/F69,1/F70,1/F71,1/F72,1/F73,1/F74,1/F75,1/F76)</f>
        <v>4.0011162796046028E-6</v>
      </c>
      <c r="G63" s="58">
        <f>1/SUM(1/G64,1/G65,1/G66,1/G67,1/G68,1/G69,1/G70,1/G71,1/G72,1/G73,1/G74,1/G75,1/G76)</f>
        <v>4.1211037234591761E-13</v>
      </c>
      <c r="H63" s="58">
        <f>1/SUM(1/H64,1/H65,1/H66,1/H67,1/H68,1/H69,1/H70,1/H71,1/H72,1/H73,1/H74,1/H75,1/H76)</f>
        <v>2.0661153517562577E-12</v>
      </c>
      <c r="I63" s="58">
        <f>1/SUM(1/I64,1/I65,1/I66,1/I67,1/I68,1/I69,1/I70,1/I71,1/I72,1/I73,1/I74,1/I75,1/I76)</f>
        <v>4.1206922954281437E-13</v>
      </c>
      <c r="J63" s="70"/>
      <c r="K63" s="70"/>
      <c r="L63" s="70"/>
      <c r="M63" s="70"/>
      <c r="N63" s="47">
        <f t="shared" ref="N63:P63" si="100">IFERROR(IF(SUM(J64:J76)&gt;0.01,1-EXP(-SUM(J64:J76)),SUM(J64:J76)),".")</f>
        <v>1</v>
      </c>
      <c r="O63" s="47">
        <f t="shared" si="100"/>
        <v>0.7259657123649399</v>
      </c>
      <c r="P63" s="47">
        <f t="shared" si="100"/>
        <v>0.99999626032780753</v>
      </c>
      <c r="Q63" s="47">
        <f>IFERROR(IF(SUM(M64:M76)&gt;0.01,1-EXP(-SUM(M64:M76)),SUM(M64:M76)),".")</f>
        <v>1</v>
      </c>
      <c r="R63" s="47">
        <f>IFERROR(IF(SUM(J64:M76)&gt;0.01,1-EXP(-SUM(J64:M76)),SUM(J64:M76)),".")</f>
        <v>1</v>
      </c>
      <c r="S63" s="59">
        <f t="shared" ref="S63:W63" si="101">1/SUM(1/S64,1/S66,1/S68,1/S69,1/S70,1/S71,1/S72,1/S73,1/S74,1/S75,1/S76)</f>
        <v>4.0011162796046028E-6</v>
      </c>
      <c r="T63" s="59">
        <f t="shared" si="101"/>
        <v>7.6220897773030742E-6</v>
      </c>
      <c r="U63" s="59">
        <f t="shared" si="101"/>
        <v>5.4278629146126743E-6</v>
      </c>
      <c r="V63" s="59">
        <f t="shared" si="101"/>
        <v>4.6280086897647734E-6</v>
      </c>
      <c r="W63" s="59">
        <f t="shared" si="101"/>
        <v>1.3382773106566888E-5</v>
      </c>
      <c r="X63" s="70"/>
      <c r="Y63" s="70"/>
      <c r="Z63" s="70"/>
      <c r="AA63" s="70"/>
      <c r="AB63" s="70"/>
      <c r="AC63" s="47">
        <f>IFERROR(IF(SUM(X64:X76)&gt;0.01,1-EXP(-SUM(X64:X76)),SUM(X64:X76)),".")</f>
        <v>0.99999626032780753</v>
      </c>
      <c r="AD63" s="47">
        <f t="shared" ref="AD63:AG63" si="102">IFERROR(IF(SUM(Y64:Y76)&gt;0.01,1-EXP(-SUM(Y64:Y76)),SUM(Y64:Y76)),".")</f>
        <v>0.99858394543430373</v>
      </c>
      <c r="AE63" s="47">
        <f t="shared" si="102"/>
        <v>0.99990013872561578</v>
      </c>
      <c r="AF63" s="47">
        <f t="shared" si="102"/>
        <v>0.99997967751507089</v>
      </c>
      <c r="AG63" s="47">
        <f t="shared" si="102"/>
        <v>0.97615418222977468</v>
      </c>
      <c r="AH63" s="58">
        <f t="shared" ref="AH63:AJ63" si="103">1/SUM(1/AH64,1/AH65,1/AH66,1/AH67,1/AH68,1/AH69,1/AH70,1/AH71,1/AH72,1/AH73,1/AH74,1/AH75,1/AH76)</f>
        <v>1.2467530351169192E-10</v>
      </c>
      <c r="AI63" s="58">
        <f t="shared" si="103"/>
        <v>7.9636350118093191E-7</v>
      </c>
      <c r="AJ63" s="58">
        <f t="shared" si="103"/>
        <v>1.246557879284546E-10</v>
      </c>
      <c r="AK63" s="70"/>
      <c r="AL63" s="70"/>
      <c r="AM63" s="47">
        <f>IFERROR(IF(SUM(AK64:AK76)&gt;0.01,1-EXP(-SUM(AK64:AK76)),SUM(AK64:AK76)),".")</f>
        <v>1</v>
      </c>
      <c r="AN63" s="47">
        <f>IFERROR(IF(SUM(AL64:AL76)&gt;0.01,1-EXP(-SUM(AL64:AL76)),SUM(AL64:AL76)),".")</f>
        <v>1</v>
      </c>
      <c r="AO63" s="47">
        <f>IFERROR(IF(SUM(AK64:AL76)&gt;0.01,1-EXP(-SUM(AK64:AL76)),SUM(AK64:AL76)),".")</f>
        <v>1</v>
      </c>
      <c r="AP63" s="58">
        <f>1/SUM(1/AP64,1/AP65,1/AP66,1/AP67,1/AP68,1/AP69,1/AP70,1/AP71,1/AP72,1/AP73,1/AP74,1/AP75,1/AP76)</f>
        <v>4.5454537738637678E-11</v>
      </c>
      <c r="AQ63" s="58">
        <f>1/SUM(1/AQ64,1/AQ65,1/AQ66,1/AQ68)</f>
        <v>1.0219583103014988E-9</v>
      </c>
      <c r="AR63" s="58">
        <f>1/SUM(1/AR64,1/AR65,1/AR66,1/AR67,1/AR68,1/AR69,1/AR70,1/AR71,1/AR72,1/AR73,1/AR74,1/AR75,1/AR76)</f>
        <v>4.9772718823808261E-7</v>
      </c>
      <c r="AS63" s="58">
        <f>1/SUM(1/AS64,1/AS65,1/AS66,1/AS67,1/AS68,1/AS69,1/AS70,1/AS71,1/AS72,1/AS73,1/AS74,1/AS75,1/AS76)</f>
        <v>2.0554262493461482E-12</v>
      </c>
      <c r="AT63" s="58">
        <f>1/SUM(1/AT64,1/AT65,1/AT66,1/AT67,1/AT68,1/AT69,1/AT70,1/AT71,1/AT72,1/AT73,1/AT74,1/AT75,1/AT76)</f>
        <v>1.9626191178903025E-12</v>
      </c>
      <c r="AU63" s="70"/>
      <c r="AV63" s="70"/>
      <c r="AW63" s="70"/>
      <c r="AX63" s="70"/>
      <c r="AY63" s="47">
        <f>IFERROR(IF(SUM(AU64:AU76)&gt;0.01,1-EXP(-SUM(AU64:AU76)),SUM(AU64:AU76)),".")</f>
        <v>1</v>
      </c>
      <c r="AZ63" s="47">
        <f t="shared" ref="AZ63:BB63" si="104">IFERROR(IF(SUM(AV64:AV76)&gt;0.01,1-EXP(-SUM(AV64:AV76)),SUM(AV64:AV76)),".")</f>
        <v>1</v>
      </c>
      <c r="BA63" s="47">
        <f t="shared" si="104"/>
        <v>1</v>
      </c>
      <c r="BB63" s="47">
        <f t="shared" si="104"/>
        <v>1</v>
      </c>
      <c r="BC63" s="47">
        <f>IFERROR(IF(SUM(AU64:AX76)&gt;0.01,1-EXP(-SUM(AU64:AX76)),SUM(AU64:AX76)),".")</f>
        <v>1</v>
      </c>
      <c r="BD63" s="58">
        <f>1/SUM(1/BD64,1/BD65,1/BD66,1/BD67,1/BD68,1/BD69,1/BD70,1/BD71,1/BD72,1/BD73,1/BD74,1/BD75,1/BD76)</f>
        <v>8.264461407025031E-12</v>
      </c>
      <c r="BE63" s="70"/>
      <c r="BF63" s="47">
        <f>IFERROR(IF(SUM(BF64:BF76)&gt;0.01,1-EXP(-SUM(BF64:BF76)),SUM(BF64:BF76)),".")</f>
        <v>0.99997942362159875</v>
      </c>
    </row>
    <row r="64" spans="1:58" x14ac:dyDescent="0.25">
      <c r="A64" s="48" t="s">
        <v>1087</v>
      </c>
      <c r="B64" s="45">
        <v>1</v>
      </c>
      <c r="C64" s="178"/>
      <c r="D64" s="60">
        <f>IFERROR(D25/$B50,0)</f>
        <v>3.3057851239669421E-8</v>
      </c>
      <c r="E64" s="60">
        <f>IFERROR(E25/$B50,0)</f>
        <v>3.0899917851942918E-4</v>
      </c>
      <c r="F64" s="60">
        <f>IFERROR(F25/$B50,0)</f>
        <v>2.8428866983083855E-5</v>
      </c>
      <c r="G64" s="60">
        <f>IFERROR(G25/$B50,0)</f>
        <v>3.2968835384132272E-12</v>
      </c>
      <c r="H64" s="60">
        <f>IFERROR(H25/$B50,0)</f>
        <v>1.6528925619834712E-11</v>
      </c>
      <c r="I64" s="60">
        <f t="shared" ref="I64:I76" si="105">(IF(AND(D64&lt;&gt;0,E64&lt;&gt;0,F64&lt;&gt;0,G64&lt;&gt;0),1/((1/D64)+(1/E64)+(1/F64)+(1/G64)),IF(AND(D64&lt;&gt;0,E64&lt;&gt;0,F64&lt;&gt;0,G64=0), 1/((1/D64)+(1/E64)+(1/F64)),IF(AND(D64&lt;&gt;0,E64&lt;&gt;0,F64=0,G64&lt;&gt;0),1/((1/D64)+(1/E64)+(1/G64)),IF(AND(D64&lt;&gt;0,E64=0,F64&lt;&gt;0,G64&lt;&gt;0),1/((1/D64)+(1/F64)+(1/G64)),IF(AND(D64=0,E64&lt;&gt;0,F64&lt;&gt;0,G64&lt;&gt;0),1/((1/E64)+(1/F64)+(1/G64)),IF(AND(D64&lt;&gt;0,E64&lt;&gt;0,F64=0,G64=0),1/((1/D64)+(1/E64)),IF(AND(D64&lt;&gt;0,E64=0,F64&lt;&gt;0,G64=0),1/((1/D64)+(1/F64)),IF(AND(D64&lt;&gt;0,E64=0,F64=0,G64&lt;&gt;0),1/((1/D64)+(1/G64)),IF(AND(D64=0,E64=0,F64&lt;&gt;0,G64&lt;&gt;0),1/((1/F64)+(1/G64)),IF(AND(D64=0,E64&lt;&gt;0,F64=0,G64&lt;&gt;0),1/((1/E64)+(1/G64)),IF(AND(D64=0,E64&lt;&gt;0,F64&lt;&gt;0,G64=0),1/((1/E64)+(1/F64)),IF(AND(D64&lt;&gt;0,E64=0,F64=0,G64=0),1/((1/D64)),IF(AND(D64=0,E64&lt;&gt;0,F64=0,G64=0),1/((1/E64)),IF(AND(D64=0,E64=0,F64&lt;&gt;0,G64=0),1/((1/F64)),IF(AND(D64=0,E64=0,F64=0,G64&lt;&gt;0),1/((1/G64)),IF(AND(D64=0,E64=0,F64=0,G64=0),0)))))))))))))))))</f>
        <v>3.2965543531781041E-12</v>
      </c>
      <c r="J64" s="71">
        <f>IFERROR(up_RadSpec!$E$25*J25,".")*$B$64</f>
        <v>1512.5</v>
      </c>
      <c r="K64" s="71">
        <f>IFERROR(up_RadSpec!$H$25*$K$25,".")*B64</f>
        <v>0.16181272791589676</v>
      </c>
      <c r="L64" s="71">
        <f>IFERROR(up_RadSpec!$G$25*$L$25,".")*B64</f>
        <v>1.7587756849315066</v>
      </c>
      <c r="M64" s="71">
        <f>up_b2s!AC64</f>
        <v>15165837.5</v>
      </c>
      <c r="N64" s="49">
        <f t="shared" ref="N64:Q76" si="106">IFERROR(IF(J64&gt;0.01,1-EXP(-J64),J64),".")</f>
        <v>1</v>
      </c>
      <c r="O64" s="49">
        <f t="shared" si="106"/>
        <v>0.14939951664921358</v>
      </c>
      <c r="P64" s="49">
        <f t="shared" si="106"/>
        <v>0.82774437006197599</v>
      </c>
      <c r="Q64" s="49">
        <f t="shared" si="106"/>
        <v>1</v>
      </c>
      <c r="R64" s="49">
        <f t="shared" ref="R64:R76" si="107">IFERROR(IF(SUM(J64:M64)&gt;0.01,1-EXP(-SUM(J64:M64)),SUM(J64:M64)),".")</f>
        <v>1</v>
      </c>
      <c r="S64" s="60">
        <f>IFERROR(S25/$B50,0)</f>
        <v>2.8428866983083855E-5</v>
      </c>
      <c r="T64" s="60">
        <f>IFERROR(T25/$B50,0)</f>
        <v>5.0910201418675987E-5</v>
      </c>
      <c r="U64" s="60">
        <f>IFERROR(U25/$B50,0)</f>
        <v>3.6518163484455633E-5</v>
      </c>
      <c r="V64" s="60">
        <f>IFERROR(V25/$B50,0)</f>
        <v>3.2609800745393961E-5</v>
      </c>
      <c r="W64" s="60">
        <f>IFERROR(W25/$B50,0)</f>
        <v>9.1276400367309481E-5</v>
      </c>
      <c r="X64" s="71">
        <f>IFERROR(up_RadSpec!$G$25*$X$25,".")*$B$64</f>
        <v>1.7587756849315066</v>
      </c>
      <c r="Y64" s="71">
        <f>IFERROR(up_RadSpec!$N$25*$Y$25,".")*$B$64</f>
        <v>0.98212143355728143</v>
      </c>
      <c r="Z64" s="71">
        <f>IFERROR(up_RadSpec!$O$25*$Z$25,".")*$B$64</f>
        <v>1.3691816682206119</v>
      </c>
      <c r="AA64" s="71">
        <f>IFERROR(up_RadSpec!$P$25*$AA$25,".")*$B$64</f>
        <v>1.5332813711553375</v>
      </c>
      <c r="AB64" s="71">
        <f>IFERROR(up_RadSpec!$L$25*$AB$25,".")*$B$64</f>
        <v>0.54778672032193154</v>
      </c>
      <c r="AC64" s="49">
        <f t="shared" ref="AC64:AG76" si="108">IFERROR(IF(X64&gt;0.01,1-EXP(-X64),X64),".")</f>
        <v>0.82774437006197599</v>
      </c>
      <c r="AD64" s="49">
        <f t="shared" si="108"/>
        <v>0.62548425476490888</v>
      </c>
      <c r="AE64" s="49">
        <f t="shared" si="108"/>
        <v>0.74568501154011035</v>
      </c>
      <c r="AF64" s="49">
        <f t="shared" si="108"/>
        <v>0.78417370208816972</v>
      </c>
      <c r="AG64" s="49">
        <f t="shared" si="108"/>
        <v>0.42177182416063785</v>
      </c>
      <c r="AH64" s="60">
        <f t="shared" ref="AH64:AJ64" si="109">IFERROR(AH25/$B50,0)</f>
        <v>9.9740259740259755E-10</v>
      </c>
      <c r="AI64" s="60">
        <f t="shared" si="109"/>
        <v>6.3709090909090908E-6</v>
      </c>
      <c r="AJ64" s="60">
        <f t="shared" si="109"/>
        <v>9.9724647271019672E-10</v>
      </c>
      <c r="AK64" s="71">
        <f>IFERROR(up_RadSpec!$H$25*AK25,".")*$B$64</f>
        <v>50130.208333333328</v>
      </c>
      <c r="AL64" s="71">
        <f>IFERROR(up_RadSpec!$K$25*$AL$25,".")*$B$64</f>
        <v>7.8481735159817356</v>
      </c>
      <c r="AM64" s="49">
        <f t="shared" ref="AM64:AN76" si="110">IFERROR(IF(AK64&gt;0.01,1-EXP(-AK64),AK64),".")</f>
        <v>1</v>
      </c>
      <c r="AN64" s="49">
        <f t="shared" si="110"/>
        <v>0.99960953550549536</v>
      </c>
      <c r="AO64" s="49">
        <f t="shared" ref="AO64:AO76" si="111">IFERROR(IF(SUM(AK64:AL64)&gt;0.01,1-EXP(-SUM(AK64:AL64)),SUM(AK64:AL64)),".")</f>
        <v>1</v>
      </c>
      <c r="AP64" s="60">
        <f>IFERROR(AP25/$B50,".")</f>
        <v>3.6363636363636369E-10</v>
      </c>
      <c r="AQ64" s="60">
        <f>IFERROR(AQ25,".")</f>
        <v>1.9948051948051951E-9</v>
      </c>
      <c r="AR64" s="60">
        <f>IFERROR(AR25/$B50,".")</f>
        <v>3.9818181818181825E-6</v>
      </c>
      <c r="AS64" s="60">
        <f>IFERROR(AS25/$B50,".")</f>
        <v>1.6443412786038031E-11</v>
      </c>
      <c r="AT64" s="60">
        <f t="shared" ref="AT64:AT76" si="112">(IF(AND(AP64&lt;&gt;".",AQ64&lt;&gt;".",AR64&lt;&gt;".",AS64&lt;&gt;"."),1/((1/AP64)+(1/AQ64)+(1/AR64)+(1/AS64)),IF(AND(AP64&lt;&gt;".",AQ64&lt;&gt;".",AR64&lt;&gt;".",AS64="."), 1/((1/AP64)+(1/AQ64)+(1/AR64)),IF(AND(AP64&lt;&gt;".",AQ64&lt;&gt;".",AR64=".",AS64&lt;&gt;"."),1/((1/AP64)+(1/AQ64)+(1/AS64)),IF(AND(AP64&lt;&gt;".",AQ64=".",AR64&lt;&gt;".",AS64&lt;&gt;"."),1/((1/AP64)+(1/AR64)+(1/AS64)),IF(AND(AP64=".",AQ64&lt;&gt;".",AR64&lt;&gt;".",AS64&lt;&gt;"."),1/((1/AQ64)+(1/AR64)+(1/AS64)),IF(AND(AP64&lt;&gt;".",AQ64&lt;&gt;".",AR64=".",AS64="."),1/((1/AP64)+(1/AQ64)),IF(AND(AP64&lt;&gt;".",AQ64=".",AR64&lt;&gt;".",AS64="."),1/((1/AP64)+(1/AR64)),IF(AND(AP64&lt;&gt;".",AQ64=".",AR64=".",AS64&lt;&gt;"."),1/((1/AP64)+(1/AS64)),IF(AND(AP64=".",AQ64=".",AR64&lt;&gt;".",AS64&lt;&gt;"."),1/((1/AR64)+(1/AS64)),IF(AND(AP64=".",AQ64&lt;&gt;".",AR64=".",AS64&lt;&gt;"."),1/((1/AQ64)+(1/AS64)),IF(AND(AP64=".",AQ64&lt;&gt;".",AR64&lt;&gt;".",AS64="."),1/((1/AQ64)+(1/AR64)),IF(AND(AP64&lt;&gt;".",AQ64=".",AR64=".",AS64="."),1/((1/AP64)),IF(AND(AP64=".",AQ64&lt;&gt;".",AR64=".",AS64="."),1/((1/AQ64)),IF(AND(AP64=".",AQ64=".",AR64&lt;&gt;".",AS64="."),1/((1/AR64)),IF(AND(AP64=".",AQ64=".",AR64=".",AS64&lt;&gt;"."),1/((1/AS64)),IF(AND(AP64=".",AQ64=".",AR64=".",AS64="."),".")))))))))))))))))</f>
        <v>1.5608859634034475E-11</v>
      </c>
      <c r="AU64" s="71">
        <f>IFERROR(up_RadSpec!$I$25*AU25,".")*$B$64</f>
        <v>137500</v>
      </c>
      <c r="AV64" s="71">
        <f>IFERROR(up_RadSpec!$F$25*AV25,".")</f>
        <v>25065.104166666664</v>
      </c>
      <c r="AW64" s="71">
        <f>IFERROR(up_RadSpec!$M$25*AW25,".")*$B$64</f>
        <v>12.557077625570777</v>
      </c>
      <c r="AX64" s="71">
        <f>up_b2w!AC64</f>
        <v>3040731.3038114933</v>
      </c>
      <c r="AY64" s="49">
        <f t="shared" ref="AY64:AY76" si="113">IFERROR(IF(AU64&gt;0.01,1-EXP(-AU64),AU64),".")</f>
        <v>1</v>
      </c>
      <c r="AZ64" s="49">
        <f t="shared" ref="AZ64:AZ76" si="114">IFERROR(IF(AQ64&lt;&gt;0,IF(AV64&gt;0.01,1-EXP(-AV64),AV64),0),".")</f>
        <v>1</v>
      </c>
      <c r="BA64" s="49">
        <f t="shared" ref="BA64:BB76" si="115">IFERROR(IF(AW64&gt;0.01,1-EXP(-AW64),AW64),".")</f>
        <v>0.99999648009875997</v>
      </c>
      <c r="BB64" s="49">
        <f t="shared" si="115"/>
        <v>1</v>
      </c>
      <c r="BC64" s="49">
        <f t="shared" ref="BC64:BC76" si="116">IFERROR(IF(SUM(AU64:AX64)&gt;0.01,1-EXP(-SUM(AU64:AX64)),SUM(AU64:AX64)),".")</f>
        <v>1</v>
      </c>
      <c r="BD64" s="60">
        <f>IFERROR(BD25/$B50,0)</f>
        <v>6.6115702479338848E-11</v>
      </c>
      <c r="BE64" s="71">
        <f>IFERROR(up_RadSpec!$F$25*BE25,".")*$B$64</f>
        <v>756250</v>
      </c>
      <c r="BF64" s="49">
        <f t="shared" ref="BF64:BF76" si="117">IFERROR(IF(BE64&gt;0.01,1-EXP(-BE64),BE64),".")</f>
        <v>1</v>
      </c>
    </row>
    <row r="65" spans="1:58" x14ac:dyDescent="0.25">
      <c r="A65" s="48" t="s">
        <v>1073</v>
      </c>
      <c r="B65" s="45">
        <v>1</v>
      </c>
      <c r="C65" s="178"/>
      <c r="D65" s="60">
        <f>IFERROR(D21/$B51,0)</f>
        <v>3.3057851239669421E-8</v>
      </c>
      <c r="E65" s="60">
        <f>IFERROR(E21/$B51,0)</f>
        <v>3.0899917851942918E-4</v>
      </c>
      <c r="F65" s="60">
        <f>IFERROR(F21/$B51,0)</f>
        <v>0</v>
      </c>
      <c r="G65" s="60">
        <f>IFERROR(G21/$B51,0)</f>
        <v>3.2968835384132272E-12</v>
      </c>
      <c r="H65" s="60">
        <f>IFERROR(H21/$B51,0)</f>
        <v>1.6528925619834712E-11</v>
      </c>
      <c r="I65" s="60">
        <f t="shared" si="105"/>
        <v>3.2965547354399742E-12</v>
      </c>
      <c r="J65" s="71">
        <f>IFERROR(up_RadSpec!$E$21*J21,".")*$B$65</f>
        <v>1512.5</v>
      </c>
      <c r="K65" s="71">
        <f>IFERROR(up_RadSpec!$H$21*$K$21,".")*B65</f>
        <v>0.16181272791589676</v>
      </c>
      <c r="L65" s="71">
        <f>IFERROR(up_RadSpec!$G$21*$L$21,".")*B65</f>
        <v>0</v>
      </c>
      <c r="M65" s="71">
        <f>up_b2s!AC65</f>
        <v>15165837.5</v>
      </c>
      <c r="N65" s="49">
        <f t="shared" si="106"/>
        <v>1</v>
      </c>
      <c r="O65" s="49">
        <f t="shared" si="106"/>
        <v>0.14939951664921358</v>
      </c>
      <c r="P65" s="49">
        <f t="shared" si="106"/>
        <v>0</v>
      </c>
      <c r="Q65" s="49">
        <f t="shared" si="106"/>
        <v>1</v>
      </c>
      <c r="R65" s="49">
        <f t="shared" si="107"/>
        <v>1</v>
      </c>
      <c r="S65" s="60">
        <f>IFERROR(S21/$B51,0)</f>
        <v>0</v>
      </c>
      <c r="T65" s="60">
        <f>IFERROR(T21/$B51,0)</f>
        <v>0</v>
      </c>
      <c r="U65" s="60">
        <f>IFERROR(U21/$B51,0)</f>
        <v>0</v>
      </c>
      <c r="V65" s="60">
        <f>IFERROR(V21/$B51,0)</f>
        <v>0</v>
      </c>
      <c r="W65" s="60">
        <f>IFERROR(W21/$B51,0)</f>
        <v>0</v>
      </c>
      <c r="X65" s="71">
        <f>IFERROR(up_RadSpec!$G$21*$X$21,".")*$B$65</f>
        <v>0</v>
      </c>
      <c r="Y65" s="71">
        <f>IFERROR(up_RadSpec!$N$21*$Y$21,".")*$B$65</f>
        <v>0</v>
      </c>
      <c r="Z65" s="71">
        <f>IFERROR(up_RadSpec!$O$21*$Z$21,".")*$B$65</f>
        <v>0</v>
      </c>
      <c r="AA65" s="71">
        <f>IFERROR(up_RadSpec!$P$21*$AA$21,".")*$B$65</f>
        <v>0</v>
      </c>
      <c r="AB65" s="71">
        <f>IFERROR(up_RadSpec!$L$21*$AB$21,".")*$B$65</f>
        <v>0</v>
      </c>
      <c r="AC65" s="49">
        <f t="shared" si="108"/>
        <v>0</v>
      </c>
      <c r="AD65" s="49">
        <f t="shared" si="108"/>
        <v>0</v>
      </c>
      <c r="AE65" s="49">
        <f t="shared" si="108"/>
        <v>0</v>
      </c>
      <c r="AF65" s="49">
        <f t="shared" si="108"/>
        <v>0</v>
      </c>
      <c r="AG65" s="49">
        <f t="shared" si="108"/>
        <v>0</v>
      </c>
      <c r="AH65" s="60">
        <f t="shared" ref="AH65:AJ65" si="118">IFERROR(AH21/$B51,0)</f>
        <v>9.9740259740259755E-10</v>
      </c>
      <c r="AI65" s="60">
        <f t="shared" si="118"/>
        <v>6.3709090909090908E-6</v>
      </c>
      <c r="AJ65" s="60">
        <f t="shared" si="118"/>
        <v>9.9724647271019672E-10</v>
      </c>
      <c r="AK65" s="71">
        <f>IFERROR(up_RadSpec!$H$21*AK21,".")*$B$65</f>
        <v>50130.208333333328</v>
      </c>
      <c r="AL65" s="71">
        <f>IFERROR(up_RadSpec!$K$21*$AL$21,".")*$B$65</f>
        <v>7.8481735159817356</v>
      </c>
      <c r="AM65" s="49">
        <f t="shared" si="110"/>
        <v>1</v>
      </c>
      <c r="AN65" s="49">
        <f t="shared" si="110"/>
        <v>0.99960953550549536</v>
      </c>
      <c r="AO65" s="49">
        <f t="shared" si="111"/>
        <v>1</v>
      </c>
      <c r="AP65" s="60">
        <f>IFERROR(AP21/$B51,".")</f>
        <v>3.6363636363636369E-10</v>
      </c>
      <c r="AQ65" s="60">
        <f>IFERROR(AQ21,".")</f>
        <v>2.7382615489626788E-9</v>
      </c>
      <c r="AR65" s="60">
        <f>IFERROR(AR21/$B51,".")</f>
        <v>3.9818181818181825E-6</v>
      </c>
      <c r="AS65" s="60">
        <f>IFERROR(AS21/$B51,".")</f>
        <v>1.6443412786038031E-11</v>
      </c>
      <c r="AT65" s="60">
        <f t="shared" si="112"/>
        <v>1.564209083507108E-11</v>
      </c>
      <c r="AU65" s="71">
        <f>IFERROR(up_RadSpec!$I$21*AU21,".")*$B$65</f>
        <v>137500</v>
      </c>
      <c r="AV65" s="71">
        <f>IFERROR(up_RadSpec!$F$21*AV21,".")</f>
        <v>18259.760474283852</v>
      </c>
      <c r="AW65" s="71">
        <f>IFERROR(up_RadSpec!$M$21*AW21,".")*$B$65</f>
        <v>12.557077625570777</v>
      </c>
      <c r="AX65" s="71">
        <f>up_b2w!AC65</f>
        <v>3040731.3038114933</v>
      </c>
      <c r="AY65" s="49">
        <f t="shared" si="113"/>
        <v>1</v>
      </c>
      <c r="AZ65" s="49">
        <f t="shared" si="114"/>
        <v>1</v>
      </c>
      <c r="BA65" s="49">
        <f t="shared" si="115"/>
        <v>0.99999648009875997</v>
      </c>
      <c r="BB65" s="49">
        <f t="shared" si="115"/>
        <v>1</v>
      </c>
      <c r="BC65" s="49">
        <f t="shared" si="116"/>
        <v>1</v>
      </c>
      <c r="BD65" s="60">
        <f>IFERROR(BD21/$B51,0)</f>
        <v>6.6115702479338848E-11</v>
      </c>
      <c r="BE65" s="71">
        <f>IFERROR(up_RadSpec!$F$21*BE21,".")*$B$65</f>
        <v>756250</v>
      </c>
      <c r="BF65" s="49">
        <f t="shared" si="117"/>
        <v>1</v>
      </c>
    </row>
    <row r="66" spans="1:58" x14ac:dyDescent="0.25">
      <c r="A66" s="48" t="s">
        <v>1074</v>
      </c>
      <c r="B66" s="52">
        <v>0.99980000000000002</v>
      </c>
      <c r="C66" s="181"/>
      <c r="D66" s="60">
        <f>IFERROR(D17/$B52,0)</f>
        <v>3.3064464132495918E-8</v>
      </c>
      <c r="E66" s="60">
        <f>IFERROR(E17/$B52,0)</f>
        <v>3.090609907175727E-4</v>
      </c>
      <c r="F66" s="60">
        <f>IFERROR(F17/$B52,0)</f>
        <v>3.9079047608026113E-5</v>
      </c>
      <c r="G66" s="60">
        <f>IFERROR(G17/$B52,0)</f>
        <v>3.2975430470226315E-12</v>
      </c>
      <c r="H66" s="60">
        <f>IFERROR(H17/$B52,0)</f>
        <v>1.6532232066247961E-11</v>
      </c>
      <c r="I66" s="60">
        <f t="shared" si="105"/>
        <v>3.2972139000799955E-12</v>
      </c>
      <c r="J66" s="71">
        <f>IFERROR(up_RadSpec!$E$17*J17,".")*$B$66</f>
        <v>1512.1975</v>
      </c>
      <c r="K66" s="71">
        <f>IFERROR(up_RadSpec!$H$17*$K$17,".")*B66</f>
        <v>0.16178036537031359</v>
      </c>
      <c r="L66" s="71">
        <f>IFERROR(up_RadSpec!$G$17*$L$17,".")*B66</f>
        <v>1.2794579975825953</v>
      </c>
      <c r="M66" s="71">
        <f>up_b2s!AC66</f>
        <v>15168871.274254851</v>
      </c>
      <c r="N66" s="49">
        <f t="shared" si="106"/>
        <v>1</v>
      </c>
      <c r="O66" s="49">
        <f t="shared" si="106"/>
        <v>0.14937198860686174</v>
      </c>
      <c r="P66" s="49">
        <f t="shared" si="106"/>
        <v>0.72181196181141316</v>
      </c>
      <c r="Q66" s="49">
        <f t="shared" si="106"/>
        <v>1</v>
      </c>
      <c r="R66" s="49">
        <f t="shared" si="107"/>
        <v>1</v>
      </c>
      <c r="S66" s="60">
        <f>IFERROR(S17/$B52,0)</f>
        <v>3.9079047608026113E-5</v>
      </c>
      <c r="T66" s="60">
        <f>IFERROR(T17/$B52,0)</f>
        <v>6.8298808448848531E-5</v>
      </c>
      <c r="U66" s="60">
        <f>IFERROR(U17/$B52,0)</f>
        <v>5.1457307614421395E-5</v>
      </c>
      <c r="V66" s="60">
        <f>IFERROR(V17/$B52,0)</f>
        <v>4.5757457472458802E-5</v>
      </c>
      <c r="W66" s="60">
        <f>IFERROR(W17/$B52,0)</f>
        <v>1.3086981284359079E-4</v>
      </c>
      <c r="X66" s="71">
        <f>IFERROR(up_RadSpec!$G$17*$X$17,".")*$B$66</f>
        <v>1.2794579975825953</v>
      </c>
      <c r="Y66" s="71">
        <f>IFERROR(up_RadSpec!$N$17*$Y$17,".")*$B$66</f>
        <v>0.7320771933736856</v>
      </c>
      <c r="Z66" s="71">
        <f>IFERROR(up_RadSpec!$O$17*$Z$17,".")*$B$66</f>
        <v>0.97167928751070198</v>
      </c>
      <c r="AA66" s="71">
        <f>IFERROR(up_RadSpec!$P$17*$AA$17,".")*$B$66</f>
        <v>1.0927180565068497</v>
      </c>
      <c r="AB66" s="71">
        <f>IFERROR(up_RadSpec!$L$17*$AB$17,".")*$B$66</f>
        <v>0.38205907774742193</v>
      </c>
      <c r="AC66" s="49">
        <f t="shared" si="108"/>
        <v>0.72181196181141316</v>
      </c>
      <c r="AD66" s="49">
        <f t="shared" si="108"/>
        <v>0.51909098913606755</v>
      </c>
      <c r="AE66" s="49">
        <f t="shared" si="108"/>
        <v>0.62155301709875532</v>
      </c>
      <c r="AF66" s="49">
        <f t="shared" si="108"/>
        <v>0.66469612089082042</v>
      </c>
      <c r="AG66" s="49">
        <f t="shared" si="108"/>
        <v>0.31754526587398801</v>
      </c>
      <c r="AH66" s="60">
        <f t="shared" ref="AH66:AJ66" si="119">IFERROR(AH17/$B52,0)</f>
        <v>9.9760211782616282E-10</v>
      </c>
      <c r="AI66" s="60">
        <f t="shared" si="119"/>
        <v>6.3721835276146137E-6</v>
      </c>
      <c r="AJ66" s="60">
        <f t="shared" si="119"/>
        <v>9.9744596190257714E-10</v>
      </c>
      <c r="AK66" s="71">
        <f>IFERROR(up_RadSpec!$H$17*AK17,".")*$B$66</f>
        <v>50120.182291666664</v>
      </c>
      <c r="AL66" s="71">
        <f>IFERROR(up_RadSpec!$K$17*$AL$17,".")*$B$66</f>
        <v>7.846603881278539</v>
      </c>
      <c r="AM66" s="49">
        <f t="shared" si="110"/>
        <v>1</v>
      </c>
      <c r="AN66" s="49">
        <f t="shared" si="110"/>
        <v>0.99960892213761854</v>
      </c>
      <c r="AO66" s="49">
        <f t="shared" si="111"/>
        <v>1</v>
      </c>
      <c r="AP66" s="60">
        <f>IFERROR(AP17/$B52,".")</f>
        <v>3.637091054574552E-10</v>
      </c>
      <c r="AQ66" s="60">
        <f>IFERROR(AQ17,".")</f>
        <v>1.15609920856568E-8</v>
      </c>
      <c r="AR66" s="60">
        <f>IFERROR(AR17/$B52,".")</f>
        <v>3.9826147047591344E-6</v>
      </c>
      <c r="AS66" s="60">
        <f>IFERROR(AS17/$B52,".")</f>
        <v>1.6446702126463322E-11</v>
      </c>
      <c r="AT66" s="60">
        <f t="shared" si="112"/>
        <v>1.5713718177369341E-11</v>
      </c>
      <c r="AU66" s="71">
        <f>IFERROR(up_RadSpec!$I$17*AU17,".")*$B$66</f>
        <v>137472.5</v>
      </c>
      <c r="AV66" s="71">
        <f>IFERROR(up_RadSpec!$F$17*AV17,".")</f>
        <v>4324.8883512369794</v>
      </c>
      <c r="AW66" s="71">
        <f>IFERROR(up_RadSpec!$M$17*AW17,".")*$B$66</f>
        <v>12.554566210045664</v>
      </c>
      <c r="AX66" s="71">
        <f>up_b2w!AC66</f>
        <v>3041339.5717258384</v>
      </c>
      <c r="AY66" s="49">
        <f t="shared" si="113"/>
        <v>1</v>
      </c>
      <c r="AZ66" s="49">
        <f t="shared" si="114"/>
        <v>1</v>
      </c>
      <c r="BA66" s="49">
        <f t="shared" si="115"/>
        <v>0.99999647124771573</v>
      </c>
      <c r="BB66" s="49">
        <f t="shared" si="115"/>
        <v>1</v>
      </c>
      <c r="BC66" s="49">
        <f t="shared" si="116"/>
        <v>1</v>
      </c>
      <c r="BD66" s="60">
        <f>IFERROR(BD17/$B52,0)</f>
        <v>6.6128928264991843E-11</v>
      </c>
      <c r="BE66" s="71">
        <f>IFERROR(up_RadSpec!$F$17*BE17,".")*$B$66</f>
        <v>756098.75</v>
      </c>
      <c r="BF66" s="49">
        <f t="shared" si="117"/>
        <v>1</v>
      </c>
    </row>
    <row r="67" spans="1:58" x14ac:dyDescent="0.25">
      <c r="A67" s="48" t="s">
        <v>1088</v>
      </c>
      <c r="B67" s="45">
        <v>2.0000000000000001E-4</v>
      </c>
      <c r="C67" s="178"/>
      <c r="D67" s="60">
        <f>IFERROR(D5/$B53,0)</f>
        <v>1.6528925619834709E-4</v>
      </c>
      <c r="E67" s="60">
        <f>IFERROR(E5/$B53,0)</f>
        <v>1.5449958925971459</v>
      </c>
      <c r="F67" s="60">
        <f>IFERROR(F5/$B53,0)</f>
        <v>0</v>
      </c>
      <c r="G67" s="60">
        <f>IFERROR(G5/$B53,0)</f>
        <v>1.6484417692066137E-8</v>
      </c>
      <c r="H67" s="60">
        <f>IFERROR(H5/$B53,0)</f>
        <v>8.2644628099173553E-8</v>
      </c>
      <c r="I67" s="60">
        <f t="shared" si="105"/>
        <v>1.6482773677199873E-8</v>
      </c>
      <c r="J67" s="71">
        <f>IFERROR(up_RadSpec!$E$5*J5,".")*$B$67</f>
        <v>0.30249999999999999</v>
      </c>
      <c r="K67" s="71">
        <f>IFERROR(up_RadSpec!$H$5*$K$5,".")*B67</f>
        <v>3.2362545583179355E-5</v>
      </c>
      <c r="L67" s="71">
        <f>IFERROR(up_RadSpec!$G$5*$L$5,".")*B67</f>
        <v>0</v>
      </c>
      <c r="M67" s="71">
        <f>up_b2s!AC67</f>
        <v>75829187500</v>
      </c>
      <c r="N67" s="49">
        <f t="shared" si="106"/>
        <v>0.26103151174105577</v>
      </c>
      <c r="O67" s="49">
        <f t="shared" si="106"/>
        <v>3.2362545583179355E-5</v>
      </c>
      <c r="P67" s="49">
        <f t="shared" si="106"/>
        <v>0</v>
      </c>
      <c r="Q67" s="49">
        <f t="shared" si="106"/>
        <v>1</v>
      </c>
      <c r="R67" s="49">
        <f t="shared" si="107"/>
        <v>1</v>
      </c>
      <c r="S67" s="60">
        <f>IFERROR(S5/$B53,0)</f>
        <v>0</v>
      </c>
      <c r="T67" s="60">
        <f>IFERROR(T5/$B53,0)</f>
        <v>0</v>
      </c>
      <c r="U67" s="60">
        <f>IFERROR(U5/$B53,0)</f>
        <v>0</v>
      </c>
      <c r="V67" s="60">
        <f>IFERROR(V5/$B53,0)</f>
        <v>0</v>
      </c>
      <c r="W67" s="60">
        <f>IFERROR(W5/$B53,0)</f>
        <v>0</v>
      </c>
      <c r="X67" s="71">
        <f>IFERROR(up_RadSpec!$G$5*$X$5,".")*$B$67</f>
        <v>0</v>
      </c>
      <c r="Y67" s="71">
        <f>IFERROR(up_RadSpec!$N$5*$Y$5,".")*$B$67</f>
        <v>0</v>
      </c>
      <c r="Z67" s="71">
        <f>IFERROR(up_RadSpec!$O$5*$Z$5,".")*$B$67</f>
        <v>0</v>
      </c>
      <c r="AA67" s="71">
        <f>IFERROR(up_RadSpec!$P$5*$AA$5,".")*$B$67</f>
        <v>0</v>
      </c>
      <c r="AB67" s="71">
        <f>IFERROR(up_RadSpec!$L$5*$AB$5,".")*$B$67</f>
        <v>0</v>
      </c>
      <c r="AC67" s="49">
        <f t="shared" si="108"/>
        <v>0</v>
      </c>
      <c r="AD67" s="49">
        <f t="shared" si="108"/>
        <v>0</v>
      </c>
      <c r="AE67" s="49">
        <f t="shared" si="108"/>
        <v>0</v>
      </c>
      <c r="AF67" s="49">
        <f t="shared" si="108"/>
        <v>0</v>
      </c>
      <c r="AG67" s="49">
        <f t="shared" si="108"/>
        <v>0</v>
      </c>
      <c r="AH67" s="60">
        <f t="shared" ref="AH67:AJ67" si="120">IFERROR(AH5/$B53,0)</f>
        <v>4.9870129870129872E-6</v>
      </c>
      <c r="AI67" s="60">
        <f t="shared" si="120"/>
        <v>3.1854545454545455E-2</v>
      </c>
      <c r="AJ67" s="60">
        <f t="shared" si="120"/>
        <v>4.9862323635509835E-6</v>
      </c>
      <c r="AK67" s="71">
        <f>IFERROR(up_RadSpec!$H$5*AK5,".")*$B$67</f>
        <v>10.026041666666666</v>
      </c>
      <c r="AL67" s="71">
        <f>IFERROR(up_RadSpec!$K$5*$AL$5,".")*$B$67</f>
        <v>1.5696347031963472E-3</v>
      </c>
      <c r="AM67" s="49">
        <f t="shared" si="110"/>
        <v>0.99995576709844258</v>
      </c>
      <c r="AN67" s="49">
        <f t="shared" si="110"/>
        <v>1.5696347031963472E-3</v>
      </c>
      <c r="AO67" s="49">
        <f t="shared" si="111"/>
        <v>0.99995583647347897</v>
      </c>
      <c r="AP67" s="60">
        <f>IFERROR(AP5/$B53,".")</f>
        <v>1.8181818181818183E-6</v>
      </c>
      <c r="AQ67" s="60">
        <f>IFERROR(AQ5,".")</f>
        <v>1.3732464063589893E-5</v>
      </c>
      <c r="AR67" s="60">
        <f>IFERROR(AR5/$B53,".")</f>
        <v>1.9909090909090911E-2</v>
      </c>
      <c r="AS67" s="60">
        <f>IFERROR(AS5/$B53,".")</f>
        <v>8.2217063930190147E-8</v>
      </c>
      <c r="AT67" s="60">
        <f t="shared" si="112"/>
        <v>7.8211793174100068E-8</v>
      </c>
      <c r="AU67" s="71">
        <f>IFERROR(up_RadSpec!$I$5*AU5,".")*$B$67</f>
        <v>27.5</v>
      </c>
      <c r="AV67" s="71">
        <f>IFERROR(up_RadSpec!$F$5*AV5,".")</f>
        <v>3.6410071614583335</v>
      </c>
      <c r="AW67" s="71">
        <f>IFERROR(up_RadSpec!$M$5*AW5,".")*$B$67</f>
        <v>2.5114155251141556E-3</v>
      </c>
      <c r="AX67" s="71">
        <f>up_b2w!AC67</f>
        <v>15203656519.057467</v>
      </c>
      <c r="AY67" s="49">
        <f t="shared" si="113"/>
        <v>0.99999999999886002</v>
      </c>
      <c r="AZ67" s="49">
        <f t="shared" si="114"/>
        <v>0.97377408307296387</v>
      </c>
      <c r="BA67" s="49">
        <f t="shared" si="115"/>
        <v>2.5114155251141556E-3</v>
      </c>
      <c r="BB67" s="49">
        <f t="shared" si="115"/>
        <v>1</v>
      </c>
      <c r="BC67" s="49">
        <f t="shared" si="116"/>
        <v>1</v>
      </c>
      <c r="BD67" s="60">
        <f>IFERROR(BD5/$B53,0)</f>
        <v>3.3057851239669421E-7</v>
      </c>
      <c r="BE67" s="71">
        <f>IFERROR(up_RadSpec!$F$5*BE5,".")*$B$67</f>
        <v>151.25</v>
      </c>
      <c r="BF67" s="49">
        <f t="shared" si="117"/>
        <v>1</v>
      </c>
    </row>
    <row r="68" spans="1:58" x14ac:dyDescent="0.25">
      <c r="A68" s="48" t="s">
        <v>1089</v>
      </c>
      <c r="B68" s="45">
        <v>0.99999979999999999</v>
      </c>
      <c r="C68" s="178"/>
      <c r="D68" s="60">
        <f>IFERROR(D9/$B54,0)</f>
        <v>3.3057857851240988E-8</v>
      </c>
      <c r="E68" s="60">
        <f>IFERROR(E9/$B54,0)</f>
        <v>3.0899924031927724E-4</v>
      </c>
      <c r="F68" s="60">
        <f>IFERROR(F9/$B54,0)</f>
        <v>1.4445659169650497E-5</v>
      </c>
      <c r="G68" s="60">
        <f>IFERROR(G9/$B54,0)</f>
        <v>3.2968841977900666E-12</v>
      </c>
      <c r="H68" s="60">
        <f>IFERROR(H9/$B54,0)</f>
        <v>1.6528928925620497E-11</v>
      </c>
      <c r="I68" s="60">
        <f t="shared" si="105"/>
        <v>3.296554642464511E-12</v>
      </c>
      <c r="J68" s="71">
        <f>IFERROR(up_RadSpec!$E$9*J9,".")*$B$68</f>
        <v>1512.4996974999999</v>
      </c>
      <c r="K68" s="71">
        <f>IFERROR(up_RadSpec!$H$9*$K$9,".")*B68</f>
        <v>0.16181269555335118</v>
      </c>
      <c r="L68" s="71">
        <f>IFERROR(up_RadSpec!$G$9*$L$9,".")*B68</f>
        <v>3.4612473832310222</v>
      </c>
      <c r="M68" s="71">
        <f>up_b2s!AC68</f>
        <v>15165840.533168107</v>
      </c>
      <c r="N68" s="49">
        <f t="shared" si="106"/>
        <v>1</v>
      </c>
      <c r="O68" s="49">
        <f t="shared" si="106"/>
        <v>0.14939948912161627</v>
      </c>
      <c r="P68" s="49">
        <f t="shared" si="106"/>
        <v>0.96860941849808913</v>
      </c>
      <c r="Q68" s="49">
        <f t="shared" si="106"/>
        <v>1</v>
      </c>
      <c r="R68" s="49">
        <f t="shared" si="107"/>
        <v>1</v>
      </c>
      <c r="S68" s="60">
        <f>IFERROR(S9/$B54,0)</f>
        <v>1.4445659169650497E-5</v>
      </c>
      <c r="T68" s="60">
        <f>IFERROR(T9/$B54,0)</f>
        <v>2.9587127129546656E-5</v>
      </c>
      <c r="U68" s="60">
        <f>IFERROR(U9/$B54,0)</f>
        <v>2.0818081621171776E-5</v>
      </c>
      <c r="V68" s="60">
        <f>IFERROR(V9/$B54,0)</f>
        <v>1.716070132011088E-5</v>
      </c>
      <c r="W68" s="60">
        <f>IFERROR(W9/$B54,0)</f>
        <v>5.2407071339179371E-5</v>
      </c>
      <c r="X68" s="71">
        <f>IFERROR(up_RadSpec!$G$9*$X$9,".")*$B$68</f>
        <v>3.4612473832310222</v>
      </c>
      <c r="Y68" s="71">
        <f>IFERROR(up_RadSpec!$N$9*$Y$9,".")*$B$68</f>
        <v>1.6899241275124814</v>
      </c>
      <c r="Z68" s="71">
        <f>IFERROR(up_RadSpec!$O$9*$Z$9,".")*$B$68</f>
        <v>2.4017582844497309</v>
      </c>
      <c r="AA68" s="71">
        <f>IFERROR(up_RadSpec!$P$9*$AA$9,".")*$B$68</f>
        <v>2.9136338350813356</v>
      </c>
      <c r="AB68" s="71">
        <f>IFERROR(up_RadSpec!$L$9*$AB$9,".")*$B$68</f>
        <v>0.95406972231665521</v>
      </c>
      <c r="AC68" s="49">
        <f t="shared" si="108"/>
        <v>0.96860941849808913</v>
      </c>
      <c r="AD68" s="49">
        <f t="shared" si="108"/>
        <v>0.81546647552061047</v>
      </c>
      <c r="AE68" s="49">
        <f t="shared" si="108"/>
        <v>0.90944141452913119</v>
      </c>
      <c r="AF68" s="49">
        <f t="shared" si="108"/>
        <v>0.94572186671495595</v>
      </c>
      <c r="AG68" s="49">
        <f t="shared" si="108"/>
        <v>0.61482970673361503</v>
      </c>
      <c r="AH68" s="60">
        <f t="shared" ref="AH68:AJ68" si="121">IFERROR(AH9/$B54,0)</f>
        <v>9.9740279688315693E-10</v>
      </c>
      <c r="AI68" s="60">
        <f t="shared" si="121"/>
        <v>6.3709103650911641E-6</v>
      </c>
      <c r="AJ68" s="60">
        <f t="shared" si="121"/>
        <v>9.9724667215953107E-10</v>
      </c>
      <c r="AK68" s="71">
        <f>IFERROR(up_RadSpec!$H$9*AK9,".")*$B$68</f>
        <v>50130.198307291663</v>
      </c>
      <c r="AL68" s="71">
        <f>IFERROR(up_RadSpec!$K$9*$AL$9,".")*$B$68</f>
        <v>7.8481719463470325</v>
      </c>
      <c r="AM68" s="49">
        <f t="shared" si="110"/>
        <v>1</v>
      </c>
      <c r="AN68" s="49">
        <f t="shared" si="110"/>
        <v>0.99960953489260818</v>
      </c>
      <c r="AO68" s="49">
        <f t="shared" si="111"/>
        <v>1</v>
      </c>
      <c r="AP68" s="60">
        <f>IFERROR(AP9/$B54,".")</f>
        <v>3.6363643636365097E-10</v>
      </c>
      <c r="AQ68" s="60">
        <f>IFERROR(AQ9,".")</f>
        <v>3.9187352811929723E-8</v>
      </c>
      <c r="AR68" s="60">
        <f>IFERROR(AR9/$B54,".")</f>
        <v>3.981818978181978E-6</v>
      </c>
      <c r="AS68" s="60">
        <f>IFERROR(AS9/$B54,".")</f>
        <v>1.6443416074721245E-11</v>
      </c>
      <c r="AT68" s="60">
        <f t="shared" si="112"/>
        <v>1.5725648340766985E-11</v>
      </c>
      <c r="AU68" s="71">
        <f>IFERROR(up_RadSpec!$I$9*AU9,".")*$B$68</f>
        <v>137499.9725</v>
      </c>
      <c r="AV68" s="71">
        <f>IFERROR(up_RadSpec!$F$9*AV9,".")</f>
        <v>1275.9218577473957</v>
      </c>
      <c r="AW68" s="71">
        <f>IFERROR(up_RadSpec!$M$9*AW9,".")*$B$68</f>
        <v>12.557075114155252</v>
      </c>
      <c r="AX68" s="71">
        <f>up_b2w!AC68</f>
        <v>3040731.9119578758</v>
      </c>
      <c r="AY68" s="49">
        <f t="shared" si="113"/>
        <v>1</v>
      </c>
      <c r="AZ68" s="49">
        <f t="shared" si="114"/>
        <v>1</v>
      </c>
      <c r="BA68" s="49">
        <f t="shared" si="115"/>
        <v>0.99999648008992004</v>
      </c>
      <c r="BB68" s="49">
        <f t="shared" si="115"/>
        <v>1</v>
      </c>
      <c r="BC68" s="49">
        <f t="shared" si="116"/>
        <v>1</v>
      </c>
      <c r="BD68" s="60">
        <f>IFERROR(BD9/$B54,0)</f>
        <v>6.6115715702481987E-11</v>
      </c>
      <c r="BE68" s="71">
        <f>IFERROR(up_RadSpec!$F$9*BE9,".")*$B$68</f>
        <v>756249.84875</v>
      </c>
      <c r="BF68" s="49">
        <f t="shared" si="117"/>
        <v>1</v>
      </c>
    </row>
    <row r="69" spans="1:58" x14ac:dyDescent="0.25">
      <c r="A69" s="48" t="s">
        <v>1090</v>
      </c>
      <c r="B69" s="45">
        <v>1.9999999999999999E-7</v>
      </c>
      <c r="C69" s="178"/>
      <c r="D69" s="60">
        <f>IFERROR(D24/$B55,0)</f>
        <v>0.16528925619834711</v>
      </c>
      <c r="E69" s="60">
        <f>IFERROR(E24/$B55,0)</f>
        <v>1544.9958925971459</v>
      </c>
      <c r="F69" s="60">
        <f>IFERROR(F24/$B55,0)</f>
        <v>127.46489520994598</v>
      </c>
      <c r="G69" s="60">
        <f>IFERROR(G24/$B55,0)</f>
        <v>1.6484417692066136E-5</v>
      </c>
      <c r="H69" s="60">
        <f>IFERROR(H24/$B55,0)</f>
        <v>8.264462809917356E-5</v>
      </c>
      <c r="I69" s="60">
        <f t="shared" si="105"/>
        <v>1.6482771545775432E-5</v>
      </c>
      <c r="J69" s="71">
        <f>IFERROR(up_RadSpec!$E$24*J24,".")*$B$69</f>
        <v>3.0249999999999998E-4</v>
      </c>
      <c r="K69" s="71">
        <f>IFERROR(up_RadSpec!$H$24*$K$24,".")*B69</f>
        <v>3.2362545583179352E-8</v>
      </c>
      <c r="L69" s="71">
        <f>IFERROR(up_RadSpec!$G$24*$L$24,".")*B69</f>
        <v>3.9226486569220148E-7</v>
      </c>
      <c r="M69" s="71">
        <f>up_b2s!AC69</f>
        <v>75829187500000</v>
      </c>
      <c r="N69" s="49">
        <f t="shared" si="106"/>
        <v>3.0249999999999998E-4</v>
      </c>
      <c r="O69" s="49">
        <f t="shared" si="106"/>
        <v>3.2362545583179352E-8</v>
      </c>
      <c r="P69" s="49">
        <f t="shared" si="106"/>
        <v>3.9226486569220148E-7</v>
      </c>
      <c r="Q69" s="49">
        <f t="shared" si="106"/>
        <v>1</v>
      </c>
      <c r="R69" s="49">
        <f t="shared" si="107"/>
        <v>1</v>
      </c>
      <c r="S69" s="60">
        <f>IFERROR(S24/$B55,0)</f>
        <v>127.46489520994598</v>
      </c>
      <c r="T69" s="60">
        <f>IFERROR(T24/$B55,0)</f>
        <v>231.09576228505657</v>
      </c>
      <c r="U69" s="60">
        <f>IFERROR(U24/$B55,0)</f>
        <v>163.16854111973149</v>
      </c>
      <c r="V69" s="60">
        <f>IFERROR(V24/$B55,0)</f>
        <v>136.25631118701648</v>
      </c>
      <c r="W69" s="60">
        <f>IFERROR(W24/$B55,0)</f>
        <v>384.08258408258405</v>
      </c>
      <c r="X69" s="71">
        <f>IFERROR(up_RadSpec!$G$24*$X$24,".")*$B$69</f>
        <v>3.9226486569220148E-7</v>
      </c>
      <c r="Y69" s="71">
        <f>IFERROR(up_RadSpec!$N$24*$Y$24,".")*$B$69</f>
        <v>2.163605230386052E-7</v>
      </c>
      <c r="Z69" s="71">
        <f>IFERROR(up_RadSpec!$O$24*$Z$24,".")*$B$69</f>
        <v>3.0643161761990928E-7</v>
      </c>
      <c r="AA69" s="71">
        <f>IFERROR(up_RadSpec!$P$24*$AA$24,".")*$B$69</f>
        <v>3.6695547945205477E-7</v>
      </c>
      <c r="AB69" s="71">
        <f>IFERROR(up_RadSpec!$L$24*$AB$24,".")*$B$69</f>
        <v>1.3018033639674009E-7</v>
      </c>
      <c r="AC69" s="49">
        <f t="shared" si="108"/>
        <v>3.9226486569220148E-7</v>
      </c>
      <c r="AD69" s="49">
        <f t="shared" si="108"/>
        <v>2.163605230386052E-7</v>
      </c>
      <c r="AE69" s="49">
        <f t="shared" si="108"/>
        <v>3.0643161761990928E-7</v>
      </c>
      <c r="AF69" s="49">
        <f t="shared" si="108"/>
        <v>3.6695547945205477E-7</v>
      </c>
      <c r="AG69" s="49">
        <f t="shared" si="108"/>
        <v>1.3018033639674009E-7</v>
      </c>
      <c r="AH69" s="60">
        <f t="shared" ref="AH69:AJ69" si="122">IFERROR(AH24/$B55,0)</f>
        <v>4.9870129870129877E-3</v>
      </c>
      <c r="AI69" s="60">
        <f t="shared" si="122"/>
        <v>31.854545454545455</v>
      </c>
      <c r="AJ69" s="60">
        <f t="shared" si="122"/>
        <v>4.9862323635509838E-3</v>
      </c>
      <c r="AK69" s="71">
        <f>IFERROR(up_RadSpec!$H$24*AK24,".")*$B$69</f>
        <v>1.0026041666666666E-2</v>
      </c>
      <c r="AL69" s="71">
        <f>IFERROR(up_RadSpec!$K$24*$AL$24,".")*$B$69</f>
        <v>1.5696347031963471E-6</v>
      </c>
      <c r="AM69" s="49">
        <f t="shared" si="110"/>
        <v>9.9759484628785255E-3</v>
      </c>
      <c r="AN69" s="49">
        <f t="shared" si="110"/>
        <v>1.5696347031963471E-6</v>
      </c>
      <c r="AO69" s="49">
        <f t="shared" si="111"/>
        <v>9.9775024377671828E-3</v>
      </c>
      <c r="AP69" s="60">
        <f>IFERROR(AP24/$B55,".")</f>
        <v>1.8181818181818186E-3</v>
      </c>
      <c r="AQ69" s="60">
        <f>IFERROR(AQ24,".")</f>
        <v>1.3733409486996358E-2</v>
      </c>
      <c r="AR69" s="60">
        <f>IFERROR(AR24/$B55,".")</f>
        <v>19.909090909090914</v>
      </c>
      <c r="AS69" s="60">
        <f>IFERROR(AS24/$B55,".")</f>
        <v>8.2217063930190151E-5</v>
      </c>
      <c r="AT69" s="60">
        <f t="shared" si="112"/>
        <v>7.8211823839184589E-5</v>
      </c>
      <c r="AU69" s="71">
        <f>IFERROR(up_RadSpec!$I$24*AU24,".")*$B$69</f>
        <v>2.75E-2</v>
      </c>
      <c r="AV69" s="71">
        <f>IFERROR(up_RadSpec!$F$24*AV24,".")</f>
        <v>3.6407565104166666E-3</v>
      </c>
      <c r="AW69" s="71">
        <f>IFERROR(up_RadSpec!$M$24*AW24,".")*$B$69</f>
        <v>2.5114155251141552E-6</v>
      </c>
      <c r="AX69" s="71">
        <f>up_b2w!AC69</f>
        <v>15203656519057.469</v>
      </c>
      <c r="AY69" s="49">
        <f t="shared" si="113"/>
        <v>2.7125317446546005E-2</v>
      </c>
      <c r="AZ69" s="49">
        <f t="shared" si="114"/>
        <v>3.6407565104166666E-3</v>
      </c>
      <c r="BA69" s="49">
        <f t="shared" si="115"/>
        <v>2.5114155251141552E-6</v>
      </c>
      <c r="BB69" s="49">
        <f t="shared" si="115"/>
        <v>1</v>
      </c>
      <c r="BC69" s="49">
        <f t="shared" si="116"/>
        <v>1</v>
      </c>
      <c r="BD69" s="60">
        <f>IFERROR(BD24/$B55,0)</f>
        <v>3.3057851239669424E-4</v>
      </c>
      <c r="BE69" s="71">
        <f>IFERROR(up_RadSpec!$F$24*BE24,".")*$B$69</f>
        <v>0.15125</v>
      </c>
      <c r="BF69" s="49">
        <f t="shared" si="117"/>
        <v>0.14036723639745774</v>
      </c>
    </row>
    <row r="70" spans="1:58" x14ac:dyDescent="0.25">
      <c r="A70" s="48" t="s">
        <v>1091</v>
      </c>
      <c r="B70" s="45">
        <v>0.99979000004200003</v>
      </c>
      <c r="C70" s="178"/>
      <c r="D70" s="60">
        <f>IFERROR(D20/$B56,0)</f>
        <v>3.3064794845198194E-8</v>
      </c>
      <c r="E70" s="60">
        <f>IFERROR(E20/$B56,0)</f>
        <v>3.0906408196366086E-4</v>
      </c>
      <c r="F70" s="60">
        <f>IFERROR(F20/$B56,0)</f>
        <v>1.9970533568187114E-5</v>
      </c>
      <c r="G70" s="60">
        <f>IFERROR(G20/$B56,0)</f>
        <v>3.2975760292408697E-12</v>
      </c>
      <c r="H70" s="60">
        <f>IFERROR(H20/$B56,0)</f>
        <v>1.6532397422599096E-11</v>
      </c>
      <c r="I70" s="60">
        <f t="shared" si="105"/>
        <v>3.2972466128105849E-12</v>
      </c>
      <c r="J70" s="71">
        <f>IFERROR(up_RadSpec!$E$20*J20,".")*$B$70</f>
        <v>1512.1823750635251</v>
      </c>
      <c r="K70" s="71">
        <f>IFERROR(up_RadSpec!$H$20*$K$20,".")*B70</f>
        <v>0.16177874724983057</v>
      </c>
      <c r="L70" s="71">
        <f>IFERROR(up_RadSpec!$G$20*$L$20,".")*B70</f>
        <v>2.5036887386749429</v>
      </c>
      <c r="M70" s="71">
        <f>up_b2s!AC70</f>
        <v>15169022.994191682</v>
      </c>
      <c r="N70" s="49">
        <f t="shared" si="106"/>
        <v>1</v>
      </c>
      <c r="O70" s="49">
        <f t="shared" si="106"/>
        <v>0.14937061218713943</v>
      </c>
      <c r="P70" s="49">
        <f t="shared" si="106"/>
        <v>0.91821723371439923</v>
      </c>
      <c r="Q70" s="49">
        <f t="shared" si="106"/>
        <v>1</v>
      </c>
      <c r="R70" s="49">
        <f t="shared" si="107"/>
        <v>1</v>
      </c>
      <c r="S70" s="60">
        <f>IFERROR(S20/$B56,0)</f>
        <v>1.9970533568187114E-5</v>
      </c>
      <c r="T70" s="60">
        <f>IFERROR(T20/$B56,0)</f>
        <v>3.9383783600255747E-5</v>
      </c>
      <c r="U70" s="60">
        <f>IFERROR(U20/$B56,0)</f>
        <v>2.7556014312075744E-5</v>
      </c>
      <c r="V70" s="60">
        <f>IFERROR(V20/$B56,0)</f>
        <v>2.3138152732631078E-5</v>
      </c>
      <c r="W70" s="60">
        <f>IFERROR(W20/$B56,0)</f>
        <v>6.710845986812086E-5</v>
      </c>
      <c r="X70" s="71">
        <f>IFERROR(up_RadSpec!$G$20*$X$20,".")*$B$70</f>
        <v>2.5036887386749429</v>
      </c>
      <c r="Y70" s="71">
        <f>IFERROR(up_RadSpec!$N$20*$Y$20,".")*$B$70</f>
        <v>1.2695580624629299</v>
      </c>
      <c r="Z70" s="71">
        <f>IFERROR(up_RadSpec!$O$20*$Z$20,".")*$B$70</f>
        <v>1.8144859207047492</v>
      </c>
      <c r="AA70" s="71">
        <f>IFERROR(up_RadSpec!$P$20*$AA$20,".")*$B$70</f>
        <v>2.1609330951250239</v>
      </c>
      <c r="AB70" s="71">
        <f>IFERROR(up_RadSpec!$L$20*$AB$20,".")*$B$70</f>
        <v>0.74506254648457459</v>
      </c>
      <c r="AC70" s="49">
        <f t="shared" si="108"/>
        <v>0.91821723371439923</v>
      </c>
      <c r="AD70" s="49">
        <f t="shared" si="108"/>
        <v>0.71904424075787809</v>
      </c>
      <c r="AE70" s="49">
        <f t="shared" si="108"/>
        <v>0.83707835849173062</v>
      </c>
      <c r="AF70" s="49">
        <f t="shared" si="108"/>
        <v>0.88478243808092205</v>
      </c>
      <c r="AG70" s="49">
        <f t="shared" si="108"/>
        <v>0.52529539209307996</v>
      </c>
      <c r="AH70" s="60">
        <f t="shared" ref="AH70:AJ70" si="123">IFERROR(AH20/$B56,0)</f>
        <v>9.9761209590083707E-10</v>
      </c>
      <c r="AI70" s="60">
        <f t="shared" si="123"/>
        <v>6.372247262566595E-6</v>
      </c>
      <c r="AJ70" s="60">
        <f t="shared" si="123"/>
        <v>9.9745593841537082E-10</v>
      </c>
      <c r="AK70" s="71">
        <f>IFERROR(up_RadSpec!$H$20*AK20,".")*$B$70</f>
        <v>50119.680991688801</v>
      </c>
      <c r="AL70" s="71">
        <f>IFERROR(up_RadSpec!$K$20*$AL$20,".")*$B$70</f>
        <v>7.8465253998730029</v>
      </c>
      <c r="AM70" s="49">
        <f t="shared" si="110"/>
        <v>1</v>
      </c>
      <c r="AN70" s="49">
        <f t="shared" si="110"/>
        <v>0.99960889144407383</v>
      </c>
      <c r="AO70" s="49">
        <f t="shared" si="111"/>
        <v>1</v>
      </c>
      <c r="AP70" s="60">
        <f>IFERROR(AP20/$B56,".")</f>
        <v>3.6371274329718016E-10</v>
      </c>
      <c r="AQ70" s="60">
        <f>IFERROR(AQ20,".")</f>
        <v>3.9187253504904385E-8</v>
      </c>
      <c r="AR70" s="60">
        <f>IFERROR(AR20/$B56,".")</f>
        <v>3.9826545391041227E-6</v>
      </c>
      <c r="AS70" s="60">
        <f>IFERROR(AS20/$B56,".")</f>
        <v>1.6446866627339004E-11</v>
      </c>
      <c r="AT70" s="60">
        <f t="shared" si="112"/>
        <v>1.5728946933594302E-11</v>
      </c>
      <c r="AU70" s="71">
        <f>IFERROR(up_RadSpec!$I$20*AU20,".")*$B$70</f>
        <v>137471.12500577501</v>
      </c>
      <c r="AV70" s="71">
        <f>IFERROR(up_RadSpec!$F$20*AV20,".")</f>
        <v>1275.9250911458334</v>
      </c>
      <c r="AW70" s="71">
        <f>IFERROR(up_RadSpec!$M$20*AW20,".")*$B$70</f>
        <v>12.554440639796805</v>
      </c>
      <c r="AX70" s="71">
        <f>up_b2w!AC70</f>
        <v>3041369.991381946</v>
      </c>
      <c r="AY70" s="49">
        <f t="shared" si="113"/>
        <v>1</v>
      </c>
      <c r="AZ70" s="49">
        <f t="shared" si="114"/>
        <v>1</v>
      </c>
      <c r="BA70" s="49">
        <f t="shared" si="115"/>
        <v>0.99999647080458165</v>
      </c>
      <c r="BB70" s="49">
        <f t="shared" si="115"/>
        <v>1</v>
      </c>
      <c r="BC70" s="49">
        <f t="shared" si="116"/>
        <v>1</v>
      </c>
      <c r="BD70" s="60">
        <f>IFERROR(BD20/$B56,0)</f>
        <v>6.6129589690396382E-11</v>
      </c>
      <c r="BE70" s="71">
        <f>IFERROR(up_RadSpec!$F$20*BE20,".")*$B$70</f>
        <v>756091.18753176252</v>
      </c>
      <c r="BF70" s="49">
        <f t="shared" si="117"/>
        <v>1</v>
      </c>
    </row>
    <row r="71" spans="1:58" x14ac:dyDescent="0.25">
      <c r="A71" s="48" t="s">
        <v>1092</v>
      </c>
      <c r="B71" s="45">
        <v>2.0999995799999999E-4</v>
      </c>
      <c r="C71" s="178"/>
      <c r="D71" s="60">
        <f>IFERROR(D29/$B57,0)</f>
        <v>1.574183707201952E-4</v>
      </c>
      <c r="E71" s="60">
        <f>IFERROR(E29/$B57,0)</f>
        <v>1.4714249539013202</v>
      </c>
      <c r="F71" s="60">
        <f>IFERROR(F29/$B57,0)</f>
        <v>7.483107340383055E-2</v>
      </c>
      <c r="G71" s="60">
        <f>IFERROR(G29/$B57,0)</f>
        <v>1.569944856090508E-8</v>
      </c>
      <c r="H71" s="60">
        <f>IFERROR(H29/$B57,0)</f>
        <v>7.8709185360097611E-8</v>
      </c>
      <c r="I71" s="60">
        <f t="shared" si="105"/>
        <v>1.5697879539084409E-8</v>
      </c>
      <c r="J71" s="71">
        <f>IFERROR(up_RadSpec!$E$29*J29,".")*$B$71</f>
        <v>0.31762493647499995</v>
      </c>
      <c r="K71" s="71">
        <f>IFERROR(up_RadSpec!$H$29*$K$29,".")*B71</f>
        <v>3.3980666066203748E-5</v>
      </c>
      <c r="L71" s="71">
        <f>IFERROR(up_RadSpec!$G$29*$L$29,".")*B71</f>
        <v>6.6817162611274982E-4</v>
      </c>
      <c r="M71" s="71">
        <f>up_b2s!AC71</f>
        <v>72218288253.181473</v>
      </c>
      <c r="N71" s="49">
        <f t="shared" si="106"/>
        <v>0.27212426313547766</v>
      </c>
      <c r="O71" s="49">
        <f t="shared" si="106"/>
        <v>3.3980666066203748E-5</v>
      </c>
      <c r="P71" s="49">
        <f t="shared" si="106"/>
        <v>6.6817162611274982E-4</v>
      </c>
      <c r="Q71" s="49">
        <f t="shared" si="106"/>
        <v>1</v>
      </c>
      <c r="R71" s="49">
        <f t="shared" si="107"/>
        <v>1</v>
      </c>
      <c r="S71" s="60">
        <f>IFERROR(S29/$B57,0)</f>
        <v>7.483107340383055E-2</v>
      </c>
      <c r="T71" s="60">
        <f>IFERROR(T29/$B57,0)</f>
        <v>0.14932283181894723</v>
      </c>
      <c r="U71" s="60">
        <f>IFERROR(U29/$B57,0)</f>
        <v>0.10637695031241763</v>
      </c>
      <c r="V71" s="60">
        <f>IFERROR(V29/$B57,0)</f>
        <v>9.0235116282121455E-2</v>
      </c>
      <c r="W71" s="60">
        <f>IFERROR(W29/$B57,0)</f>
        <v>0.26813595812673258</v>
      </c>
      <c r="X71" s="71">
        <f>IFERROR(up_RadSpec!$G$29*$X$29,".")*$B$71</f>
        <v>6.6817162611274982E-4</v>
      </c>
      <c r="Y71" s="71">
        <f>IFERROR(up_RadSpec!$N$29*$Y$29,".")*$B$71</f>
        <v>3.3484497575444198E-4</v>
      </c>
      <c r="Z71" s="71">
        <f>IFERROR(up_RadSpec!$O$29*$Z$29,".")*$B$71</f>
        <v>4.7002663502906787E-4</v>
      </c>
      <c r="AA71" s="71">
        <f>IFERROR(up_RadSpec!$P$29*$AA$29,".")*$B$71</f>
        <v>5.5410800207398474E-4</v>
      </c>
      <c r="AB71" s="71">
        <f>IFERROR(up_RadSpec!$L$29*$AB$29,".")*$B$71</f>
        <v>1.8647256544520544E-4</v>
      </c>
      <c r="AC71" s="49">
        <f t="shared" si="108"/>
        <v>6.6817162611274982E-4</v>
      </c>
      <c r="AD71" s="49">
        <f t="shared" si="108"/>
        <v>3.3484497575444198E-4</v>
      </c>
      <c r="AE71" s="49">
        <f t="shared" si="108"/>
        <v>4.7002663502906787E-4</v>
      </c>
      <c r="AF71" s="49">
        <f t="shared" si="108"/>
        <v>5.5410800207398474E-4</v>
      </c>
      <c r="AG71" s="49">
        <f t="shared" si="108"/>
        <v>1.8647256544520544E-4</v>
      </c>
      <c r="AH71" s="60">
        <f t="shared" ref="AH71:AJ71" si="124">IFERROR(AH29/$B57,0)</f>
        <v>4.7495371280150332E-6</v>
      </c>
      <c r="AI71" s="60">
        <f t="shared" si="124"/>
        <v>3.0337668405196021E-2</v>
      </c>
      <c r="AJ71" s="60">
        <f t="shared" si="124"/>
        <v>4.7487936769501487E-6</v>
      </c>
      <c r="AK71" s="71">
        <f>IFERROR(up_RadSpec!$H$29*AK29,".")*$B$71</f>
        <v>10.527341644531248</v>
      </c>
      <c r="AL71" s="71">
        <f>IFERROR(up_RadSpec!$K$29*$AL$29,".")*$B$71</f>
        <v>1.6481161087328767E-3</v>
      </c>
      <c r="AM71" s="49">
        <f t="shared" si="110"/>
        <v>0.99997320624297814</v>
      </c>
      <c r="AN71" s="49">
        <f t="shared" si="110"/>
        <v>1.6481161087328767E-3</v>
      </c>
      <c r="AO71" s="49">
        <f t="shared" si="111"/>
        <v>0.99997325036583096</v>
      </c>
      <c r="AP71" s="60">
        <f>IFERROR(AP29/$B57,".")</f>
        <v>1.7316020779221475E-6</v>
      </c>
      <c r="AQ71" s="60">
        <f>IFERROR(AQ29,".")</f>
        <v>2.1577148215468E-4</v>
      </c>
      <c r="AR71" s="60">
        <f>IFERROR(AR29/$B57,".")</f>
        <v>1.8961042753247517E-2</v>
      </c>
      <c r="AS71" s="60">
        <f>IFERROR(AS29/$B57,".")</f>
        <v>7.8301981308196411E-8</v>
      </c>
      <c r="AT71" s="60">
        <f t="shared" si="112"/>
        <v>7.4888101756009832E-8</v>
      </c>
      <c r="AU71" s="71">
        <f>IFERROR(up_RadSpec!$I$29*AU29,".")*$B$71</f>
        <v>28.874994224999998</v>
      </c>
      <c r="AV71" s="71">
        <f>IFERROR(up_RadSpec!$F$29*AV29,".")</f>
        <v>0.23172663736979165</v>
      </c>
      <c r="AW71" s="71">
        <f>IFERROR(up_RadSpec!$M$29*AW29,".")*$B$71</f>
        <v>2.6369857739726027E-3</v>
      </c>
      <c r="AX71" s="71">
        <f>up_b2w!AC71</f>
        <v>14479675771.227982</v>
      </c>
      <c r="AY71" s="49">
        <f t="shared" si="113"/>
        <v>0.99999999999971179</v>
      </c>
      <c r="AZ71" s="49">
        <f t="shared" si="114"/>
        <v>0.20683708522544275</v>
      </c>
      <c r="BA71" s="49">
        <f t="shared" si="115"/>
        <v>2.6369857739726027E-3</v>
      </c>
      <c r="BB71" s="49">
        <f t="shared" si="115"/>
        <v>1</v>
      </c>
      <c r="BC71" s="49">
        <f t="shared" si="116"/>
        <v>1</v>
      </c>
      <c r="BD71" s="60">
        <f>IFERROR(BD29/$B57,0)</f>
        <v>3.1483674144039044E-7</v>
      </c>
      <c r="BE71" s="71">
        <f>IFERROR(up_RadSpec!$F$29*BE29,".")*$B$71</f>
        <v>158.81246823749998</v>
      </c>
      <c r="BF71" s="49">
        <f t="shared" si="117"/>
        <v>1</v>
      </c>
    </row>
    <row r="72" spans="1:58" x14ac:dyDescent="0.25">
      <c r="A72" s="48" t="s">
        <v>1093</v>
      </c>
      <c r="B72" s="45">
        <v>1</v>
      </c>
      <c r="C72" s="178"/>
      <c r="D72" s="60">
        <f>IFERROR(D16/$B58,0)</f>
        <v>3.3057851239669421E-8</v>
      </c>
      <c r="E72" s="60">
        <f>IFERROR(E16/$B58,0)</f>
        <v>3.0899917851942918E-4</v>
      </c>
      <c r="F72" s="60">
        <f>IFERROR(F16/$B58,0)</f>
        <v>0.42497011279172547</v>
      </c>
      <c r="G72" s="60">
        <f>IFERROR(G16/$B58,0)</f>
        <v>3.2968835384132272E-12</v>
      </c>
      <c r="H72" s="60">
        <f>IFERROR(H16/$B58,0)</f>
        <v>1.6528925619834712E-11</v>
      </c>
      <c r="I72" s="60">
        <f t="shared" si="105"/>
        <v>3.2965547354144027E-12</v>
      </c>
      <c r="J72" s="71">
        <f>IFERROR(up_RadSpec!$E$16*J16,".")*$B$72</f>
        <v>1512.5</v>
      </c>
      <c r="K72" s="71">
        <f>IFERROR(up_RadSpec!$H$16*$K$16,".")*B72</f>
        <v>0.16181272791589676</v>
      </c>
      <c r="L72" s="71">
        <f>IFERROR(up_RadSpec!$G$16*$L$16,".")*B72</f>
        <v>1.1765533268101754E-4</v>
      </c>
      <c r="M72" s="71">
        <f>up_b2s!AC72</f>
        <v>15165837.5</v>
      </c>
      <c r="N72" s="49">
        <f t="shared" si="106"/>
        <v>1</v>
      </c>
      <c r="O72" s="49">
        <f t="shared" si="106"/>
        <v>0.14939951664921358</v>
      </c>
      <c r="P72" s="49">
        <f t="shared" si="106"/>
        <v>1.1765533268101754E-4</v>
      </c>
      <c r="Q72" s="49">
        <f t="shared" si="106"/>
        <v>1</v>
      </c>
      <c r="R72" s="49">
        <f t="shared" si="107"/>
        <v>1</v>
      </c>
      <c r="S72" s="60">
        <f>IFERROR(S16/$B58,0)</f>
        <v>0.42497011279172547</v>
      </c>
      <c r="T72" s="60">
        <f>IFERROR(T16/$B58,0)</f>
        <v>0.75685718978401939</v>
      </c>
      <c r="U72" s="60">
        <f>IFERROR(U16/$B58,0)</f>
        <v>0.45467433645543215</v>
      </c>
      <c r="V72" s="60">
        <f>IFERROR(V16/$B58,0)</f>
        <v>0.45702360766923217</v>
      </c>
      <c r="W72" s="60">
        <f>IFERROR(W16/$B58,0)</f>
        <v>17.696969696969699</v>
      </c>
      <c r="X72" s="71">
        <f>IFERROR(up_RadSpec!$G$16*$X$16,".")*$B$72</f>
        <v>1.1765533268101754E-4</v>
      </c>
      <c r="Y72" s="71">
        <f>IFERROR(up_RadSpec!$N$16*$Y$16,".")*$B$72</f>
        <v>6.6062661060626587E-5</v>
      </c>
      <c r="Z72" s="71">
        <f>IFERROR(up_RadSpec!$O$16*$Z$16,".")*$B$72</f>
        <v>1.0996881941873374E-4</v>
      </c>
      <c r="AA72" s="71">
        <f>IFERROR(up_RadSpec!$P$16*$AA$16,".")*$B$72</f>
        <v>1.0940353881278531E-4</v>
      </c>
      <c r="AB72" s="71">
        <f>IFERROR(up_RadSpec!$L$16*$AB$16,".")*$B$72</f>
        <v>2.8253424657534244E-6</v>
      </c>
      <c r="AC72" s="49">
        <f t="shared" si="108"/>
        <v>1.1765533268101754E-4</v>
      </c>
      <c r="AD72" s="49">
        <f t="shared" si="108"/>
        <v>6.6062661060626587E-5</v>
      </c>
      <c r="AE72" s="49">
        <f t="shared" si="108"/>
        <v>1.0996881941873374E-4</v>
      </c>
      <c r="AF72" s="49">
        <f t="shared" si="108"/>
        <v>1.0940353881278531E-4</v>
      </c>
      <c r="AG72" s="49">
        <f t="shared" si="108"/>
        <v>2.8253424657534244E-6</v>
      </c>
      <c r="AH72" s="60">
        <f t="shared" ref="AH72:AJ72" si="125">IFERROR(AH16/$B58,0)</f>
        <v>9.9740259740259755E-10</v>
      </c>
      <c r="AI72" s="60">
        <f t="shared" si="125"/>
        <v>6.3709090909090908E-6</v>
      </c>
      <c r="AJ72" s="60">
        <f t="shared" si="125"/>
        <v>9.9724647271019672E-10</v>
      </c>
      <c r="AK72" s="71">
        <f>IFERROR(up_RadSpec!$H$16*AK16,".")*$B$72</f>
        <v>50130.208333333328</v>
      </c>
      <c r="AL72" s="71">
        <f>IFERROR(up_RadSpec!$K$16*$AL$16,".")*$B$72</f>
        <v>7.8481735159817356</v>
      </c>
      <c r="AM72" s="49">
        <f t="shared" si="110"/>
        <v>1</v>
      </c>
      <c r="AN72" s="49">
        <f t="shared" si="110"/>
        <v>0.99960953550549536</v>
      </c>
      <c r="AO72" s="49">
        <f t="shared" si="111"/>
        <v>1</v>
      </c>
      <c r="AP72" s="60">
        <f>IFERROR(AP16/$B58,".")</f>
        <v>3.6363636363636369E-10</v>
      </c>
      <c r="AQ72" s="60" t="str">
        <f>IFERROR(AQ16,".")</f>
        <v>.</v>
      </c>
      <c r="AR72" s="60">
        <f>IFERROR(AR16/$B58,".")</f>
        <v>3.9818181818181825E-6</v>
      </c>
      <c r="AS72" s="60">
        <f>IFERROR(AS16/$B58,".")</f>
        <v>1.6443412786038031E-11</v>
      </c>
      <c r="AT72" s="60">
        <f t="shared" si="112"/>
        <v>1.5731958335636466E-11</v>
      </c>
      <c r="AU72" s="71">
        <f>IFERROR(up_RadSpec!$I$16*AU16,".")*$B$72</f>
        <v>137500</v>
      </c>
      <c r="AV72" s="71">
        <f>IFERROR(up_RadSpec!$F$16*AV16,".")</f>
        <v>0</v>
      </c>
      <c r="AW72" s="71">
        <f>IFERROR(up_RadSpec!$M$16*AW16,".")*$B$72</f>
        <v>12.557077625570777</v>
      </c>
      <c r="AX72" s="71">
        <f>up_b2w!AC72</f>
        <v>3040731.3038114933</v>
      </c>
      <c r="AY72" s="49">
        <f t="shared" si="113"/>
        <v>1</v>
      </c>
      <c r="AZ72" s="49">
        <f t="shared" si="114"/>
        <v>0</v>
      </c>
      <c r="BA72" s="49">
        <f t="shared" si="115"/>
        <v>0.99999648009875997</v>
      </c>
      <c r="BB72" s="49">
        <f t="shared" si="115"/>
        <v>1</v>
      </c>
      <c r="BC72" s="49">
        <f t="shared" si="116"/>
        <v>1</v>
      </c>
      <c r="BD72" s="60">
        <f>IFERROR(BD16/$B58,0)</f>
        <v>6.6115702479338848E-11</v>
      </c>
      <c r="BE72" s="71">
        <f>IFERROR(up_RadSpec!$F$16*BE16,".")*$B$72</f>
        <v>756250</v>
      </c>
      <c r="BF72" s="49">
        <f t="shared" si="117"/>
        <v>1</v>
      </c>
    </row>
    <row r="73" spans="1:58" x14ac:dyDescent="0.25">
      <c r="A73" s="48" t="s">
        <v>1094</v>
      </c>
      <c r="B73" s="45">
        <v>1</v>
      </c>
      <c r="C73" s="178"/>
      <c r="D73" s="60">
        <f>IFERROR(D7/$B59,0)</f>
        <v>3.3057851239669421E-8</v>
      </c>
      <c r="E73" s="60">
        <f>IFERROR(E7/$B59,0)</f>
        <v>3.0899917851942918E-4</v>
      </c>
      <c r="F73" s="60">
        <f>IFERROR(F7/$B59,0)</f>
        <v>5.1024109710241087E-5</v>
      </c>
      <c r="G73" s="60">
        <f>IFERROR(G7/$B59,0)</f>
        <v>3.2968835384132272E-12</v>
      </c>
      <c r="H73" s="60">
        <f>IFERROR(H7/$B59,0)</f>
        <v>1.6528925619834712E-11</v>
      </c>
      <c r="I73" s="60">
        <f t="shared" si="105"/>
        <v>3.2965545224568864E-12</v>
      </c>
      <c r="J73" s="71">
        <f>IFERROR(up_RadSpec!$E$7*J7,".")*$B$73</f>
        <v>1512.5</v>
      </c>
      <c r="K73" s="71">
        <f>IFERROR(up_RadSpec!$H$7*$K$7,".")*B73</f>
        <v>0.16181272791589676</v>
      </c>
      <c r="L73" s="71">
        <f>IFERROR(up_RadSpec!$G$7*$L$7,".")*B73</f>
        <v>0.97992890584359316</v>
      </c>
      <c r="M73" s="71">
        <f>up_b2s!AC73</f>
        <v>15165837.5</v>
      </c>
      <c r="N73" s="49">
        <f t="shared" si="106"/>
        <v>1</v>
      </c>
      <c r="O73" s="49">
        <f t="shared" si="106"/>
        <v>0.14939951664921358</v>
      </c>
      <c r="P73" s="49">
        <f t="shared" si="106"/>
        <v>0.62466221777413278</v>
      </c>
      <c r="Q73" s="49">
        <f t="shared" si="106"/>
        <v>1</v>
      </c>
      <c r="R73" s="49">
        <f t="shared" si="107"/>
        <v>1</v>
      </c>
      <c r="S73" s="60">
        <f>IFERROR(S7/$B59,0)</f>
        <v>5.1024109710241087E-5</v>
      </c>
      <c r="T73" s="60">
        <f>IFERROR(T7/$B59,0)</f>
        <v>8.1173075290722404E-5</v>
      </c>
      <c r="U73" s="60">
        <f>IFERROR(U7/$B59,0)</f>
        <v>5.9469696969696979E-5</v>
      </c>
      <c r="V73" s="60">
        <f>IFERROR(V7/$B59,0)</f>
        <v>5.4706310932241598E-5</v>
      </c>
      <c r="W73" s="60">
        <f>IFERROR(W7/$B59,0)</f>
        <v>1.3891242447392179E-4</v>
      </c>
      <c r="X73" s="71">
        <f>IFERROR(up_RadSpec!$G$7*$X$7,".")*$B$73</f>
        <v>0.97992890584359316</v>
      </c>
      <c r="Y73" s="71">
        <f>IFERROR(up_RadSpec!$N$7*$Y$7,".")*$B$73</f>
        <v>0.61596779253372336</v>
      </c>
      <c r="Z73" s="71">
        <f>IFERROR(up_RadSpec!$O$7*$Z$7,".")*$B$73</f>
        <v>0.84076433121019101</v>
      </c>
      <c r="AA73" s="71">
        <f>IFERROR(up_RadSpec!$P$7*$AA$7,".")*$B$73</f>
        <v>0.913971334348047</v>
      </c>
      <c r="AB73" s="71">
        <f>IFERROR(up_RadSpec!$L$7*$AB$7,".")*$B$73</f>
        <v>0.35993900609939011</v>
      </c>
      <c r="AC73" s="49">
        <f t="shared" si="108"/>
        <v>0.62466221777413278</v>
      </c>
      <c r="AD73" s="49">
        <f t="shared" si="108"/>
        <v>0.4598820798060641</v>
      </c>
      <c r="AE73" s="49">
        <f t="shared" si="108"/>
        <v>0.56861932032674856</v>
      </c>
      <c r="AF73" s="49">
        <f t="shared" si="108"/>
        <v>0.59907116423626783</v>
      </c>
      <c r="AG73" s="49">
        <f t="shared" si="108"/>
        <v>0.30228111863068508</v>
      </c>
      <c r="AH73" s="60">
        <f t="shared" ref="AH73:AJ73" si="126">IFERROR(AH7/$B59,0)</f>
        <v>9.9740259740259755E-10</v>
      </c>
      <c r="AI73" s="60">
        <f t="shared" si="126"/>
        <v>6.3709090909090908E-6</v>
      </c>
      <c r="AJ73" s="60">
        <f t="shared" si="126"/>
        <v>9.9724647271019672E-10</v>
      </c>
      <c r="AK73" s="71">
        <f>IFERROR(up_RadSpec!$H$7*AK7,".")*$B$73</f>
        <v>50130.208333333328</v>
      </c>
      <c r="AL73" s="71">
        <f>IFERROR(up_RadSpec!$K$7*$AL$7,".")*$B$73</f>
        <v>7.8481735159817356</v>
      </c>
      <c r="AM73" s="49">
        <f t="shared" si="110"/>
        <v>1</v>
      </c>
      <c r="AN73" s="49">
        <f t="shared" si="110"/>
        <v>0.99960953550549536</v>
      </c>
      <c r="AO73" s="49">
        <f t="shared" si="111"/>
        <v>1</v>
      </c>
      <c r="AP73" s="60">
        <f>IFERROR(AP7/$B59,".")</f>
        <v>3.6363636363636369E-10</v>
      </c>
      <c r="AQ73" s="60" t="str">
        <f>IFERROR(AQ7,".")</f>
        <v>.</v>
      </c>
      <c r="AR73" s="60">
        <f>IFERROR(AR7/$B59,".")</f>
        <v>3.9818181818181825E-6</v>
      </c>
      <c r="AS73" s="60">
        <f>IFERROR(AS7/$B59,".")</f>
        <v>1.6443412786038031E-11</v>
      </c>
      <c r="AT73" s="60">
        <f t="shared" si="112"/>
        <v>1.5731958335636466E-11</v>
      </c>
      <c r="AU73" s="71">
        <f>IFERROR(up_RadSpec!$I$7*AU7,".")*$B$73</f>
        <v>137500</v>
      </c>
      <c r="AV73" s="71">
        <f>IFERROR(up_RadSpec!$F$7*AV7,".")</f>
        <v>0</v>
      </c>
      <c r="AW73" s="71">
        <f>IFERROR(up_RadSpec!$M$7*AW7,".")*$B$73</f>
        <v>12.557077625570777</v>
      </c>
      <c r="AX73" s="71">
        <f>up_b2w!AC73</f>
        <v>3040731.3038114933</v>
      </c>
      <c r="AY73" s="49">
        <f t="shared" si="113"/>
        <v>1</v>
      </c>
      <c r="AZ73" s="49">
        <f t="shared" si="114"/>
        <v>0</v>
      </c>
      <c r="BA73" s="49">
        <f t="shared" si="115"/>
        <v>0.99999648009875997</v>
      </c>
      <c r="BB73" s="49">
        <f t="shared" si="115"/>
        <v>1</v>
      </c>
      <c r="BC73" s="49">
        <f t="shared" si="116"/>
        <v>1</v>
      </c>
      <c r="BD73" s="60">
        <f>IFERROR(BD7/$B59,0)</f>
        <v>6.6115702479338848E-11</v>
      </c>
      <c r="BE73" s="71">
        <f>IFERROR(up_RadSpec!$F$7*BE7,".")*$B$73</f>
        <v>756250</v>
      </c>
      <c r="BF73" s="49">
        <f t="shared" si="117"/>
        <v>1</v>
      </c>
    </row>
    <row r="74" spans="1:58" x14ac:dyDescent="0.25">
      <c r="A74" s="48" t="s">
        <v>1095</v>
      </c>
      <c r="B74" s="45">
        <v>1.9000000000000001E-8</v>
      </c>
      <c r="C74" s="182"/>
      <c r="D74" s="60">
        <f>IFERROR(D12/$B60,0)</f>
        <v>1.7398869073510221</v>
      </c>
      <c r="E74" s="60">
        <f>IFERROR(E12/$B60,0)</f>
        <v>16263.114658917324</v>
      </c>
      <c r="F74" s="60">
        <f>IFERROR(F12/$B60,0)</f>
        <v>2084.2707110830247</v>
      </c>
      <c r="G74" s="60">
        <f>IFERROR(G12/$B60,0)</f>
        <v>1.735201862322751E-4</v>
      </c>
      <c r="H74" s="60">
        <f>IFERROR(H12/$B60,0)</f>
        <v>8.6994345367551109E-4</v>
      </c>
      <c r="I74" s="60">
        <f t="shared" si="105"/>
        <v>1.735028663695701E-4</v>
      </c>
      <c r="J74" s="71">
        <f>IFERROR(up_RadSpec!$E$12*J12,".")*$B$74</f>
        <v>2.8737500000000001E-5</v>
      </c>
      <c r="K74" s="71">
        <f>IFERROR(up_RadSpec!$H$12*$K$12,".")*B74</f>
        <v>3.0744418304020388E-9</v>
      </c>
      <c r="L74" s="71">
        <f>IFERROR(up_RadSpec!$G$12*$L$12,".")*B74</f>
        <v>2.3989206264870988E-8</v>
      </c>
      <c r="M74" s="71">
        <f>up_b2s!AC74</f>
        <v>798201973684210.5</v>
      </c>
      <c r="N74" s="49">
        <f t="shared" si="106"/>
        <v>2.8737500000000001E-5</v>
      </c>
      <c r="O74" s="49">
        <f t="shared" si="106"/>
        <v>3.0744418304020388E-9</v>
      </c>
      <c r="P74" s="49">
        <f t="shared" si="106"/>
        <v>2.3989206264870988E-8</v>
      </c>
      <c r="Q74" s="49">
        <f t="shared" si="106"/>
        <v>1</v>
      </c>
      <c r="R74" s="49">
        <f t="shared" si="107"/>
        <v>1</v>
      </c>
      <c r="S74" s="60">
        <f>IFERROR(S12/$B60,0)</f>
        <v>2084.2707110830247</v>
      </c>
      <c r="T74" s="60">
        <f>IFERROR(T12/$B60,0)</f>
        <v>3739.3153339235346</v>
      </c>
      <c r="U74" s="60">
        <f>IFERROR(U12/$B60,0)</f>
        <v>2711.3313130457555</v>
      </c>
      <c r="V74" s="60">
        <f>IFERROR(V12/$B60,0)</f>
        <v>2394.4837028216111</v>
      </c>
      <c r="W74" s="60">
        <f>IFERROR(W12/$B60,0)</f>
        <v>6454.9902895767564</v>
      </c>
      <c r="X74" s="71">
        <f>IFERROR(up_RadSpec!$G$12*$X$12,".")*$B$74</f>
        <v>2.3989206264870988E-8</v>
      </c>
      <c r="Y74" s="71">
        <f>IFERROR(up_RadSpec!$N$12*$Y$12,".")*$B$74</f>
        <v>1.3371431809024975E-8</v>
      </c>
      <c r="Z74" s="71">
        <f>IFERROR(up_RadSpec!$O$12*$Z$12,".")*$B$74</f>
        <v>1.8441125125292359E-8</v>
      </c>
      <c r="AA74" s="71">
        <f>IFERROR(up_RadSpec!$P$12*$AA$12,".")*$B$74</f>
        <v>2.0881328171530679E-8</v>
      </c>
      <c r="AB74" s="71">
        <f>IFERROR(up_RadSpec!$L$12*$AB$12,".")*$B$74</f>
        <v>7.7459450373981004E-9</v>
      </c>
      <c r="AC74" s="49">
        <f t="shared" si="108"/>
        <v>2.3989206264870988E-8</v>
      </c>
      <c r="AD74" s="49">
        <f t="shared" si="108"/>
        <v>1.3371431809024975E-8</v>
      </c>
      <c r="AE74" s="49">
        <f t="shared" si="108"/>
        <v>1.8441125125292359E-8</v>
      </c>
      <c r="AF74" s="49">
        <f t="shared" si="108"/>
        <v>2.0881328171530679E-8</v>
      </c>
      <c r="AG74" s="49">
        <f t="shared" si="108"/>
        <v>7.7459450373981004E-9</v>
      </c>
      <c r="AH74" s="60">
        <f t="shared" ref="AH74:AJ74" si="127">IFERROR(AH12/$B60,0)</f>
        <v>5.2494873547505129E-2</v>
      </c>
      <c r="AI74" s="60">
        <f t="shared" si="127"/>
        <v>335.31100478468898</v>
      </c>
      <c r="AJ74" s="60">
        <f t="shared" si="127"/>
        <v>5.2486656458431404E-2</v>
      </c>
      <c r="AK74" s="71">
        <f>IFERROR(up_RadSpec!$H$12*AK12,".")*$B$74</f>
        <v>9.5247395833333328E-4</v>
      </c>
      <c r="AL74" s="71">
        <f>IFERROR(up_RadSpec!$K$12*$AL$12,".")*$B$74</f>
        <v>1.4911529680365299E-7</v>
      </c>
      <c r="AM74" s="49">
        <f t="shared" si="110"/>
        <v>9.5247395833333328E-4</v>
      </c>
      <c r="AN74" s="49">
        <f t="shared" si="110"/>
        <v>1.4911529680365299E-7</v>
      </c>
      <c r="AO74" s="49">
        <f t="shared" si="111"/>
        <v>9.5262307363013692E-4</v>
      </c>
      <c r="AP74" s="60">
        <f>IFERROR(AP12/$B60,".")</f>
        <v>1.9138755980861247E-2</v>
      </c>
      <c r="AQ74" s="60" t="str">
        <f>IFERROR(AQ12,".")</f>
        <v>.</v>
      </c>
      <c r="AR74" s="60">
        <f>IFERROR(AR12/$B60,".")</f>
        <v>209.56937799043064</v>
      </c>
      <c r="AS74" s="60">
        <f>IFERROR(AS12/$B60,".")</f>
        <v>8.6544277821252785E-4</v>
      </c>
      <c r="AT74" s="60">
        <f t="shared" si="112"/>
        <v>8.2799780713876145E-4</v>
      </c>
      <c r="AU74" s="71">
        <f>IFERROR(up_RadSpec!$I$12*AU12,".")*$B$74</f>
        <v>2.6125000000000002E-3</v>
      </c>
      <c r="AV74" s="71">
        <f>IFERROR(up_RadSpec!$F$12*AV12,".")</f>
        <v>0</v>
      </c>
      <c r="AW74" s="71">
        <f>IFERROR(up_RadSpec!$M$12*AW12,".")*$B$74</f>
        <v>2.3858447488584478E-7</v>
      </c>
      <c r="AX74" s="71">
        <f>up_b2w!AC74</f>
        <v>160038489674289.13</v>
      </c>
      <c r="AY74" s="49">
        <f t="shared" si="113"/>
        <v>2.6125000000000002E-3</v>
      </c>
      <c r="AZ74" s="49">
        <f t="shared" si="114"/>
        <v>0</v>
      </c>
      <c r="BA74" s="49">
        <f t="shared" si="115"/>
        <v>2.3858447488584478E-7</v>
      </c>
      <c r="BB74" s="49">
        <f t="shared" si="115"/>
        <v>1</v>
      </c>
      <c r="BC74" s="49">
        <f t="shared" si="116"/>
        <v>1</v>
      </c>
      <c r="BD74" s="60">
        <f>IFERROR(BD12/$B60,0)</f>
        <v>3.4797738147020443E-3</v>
      </c>
      <c r="BE74" s="71">
        <f>IFERROR(up_RadSpec!$F$12*BE12,".")*$B$74</f>
        <v>1.4368750000000001E-2</v>
      </c>
      <c r="BF74" s="49">
        <f t="shared" si="117"/>
        <v>1.4266012171747833E-2</v>
      </c>
    </row>
    <row r="75" spans="1:58" x14ac:dyDescent="0.25">
      <c r="A75" s="48" t="s">
        <v>1096</v>
      </c>
      <c r="B75" s="45">
        <v>1</v>
      </c>
      <c r="C75" s="178"/>
      <c r="D75" s="60">
        <f>IFERROR(D18/$B61,0)</f>
        <v>3.3057851239669421E-8</v>
      </c>
      <c r="E75" s="60">
        <f>IFERROR(E18/$B61,0)</f>
        <v>3.0899917851942918E-4</v>
      </c>
      <c r="F75" s="60">
        <f>IFERROR(F18/$B61,0)</f>
        <v>1.9899502767614227E-5</v>
      </c>
      <c r="G75" s="60">
        <f>IFERROR(G18/$B61,0)</f>
        <v>3.2968835384132272E-12</v>
      </c>
      <c r="H75" s="60">
        <f>IFERROR(H18/$B61,0)</f>
        <v>1.6528925619834712E-11</v>
      </c>
      <c r="I75" s="60">
        <f t="shared" si="105"/>
        <v>3.2965541893322928E-12</v>
      </c>
      <c r="J75" s="71">
        <f>IFERROR(up_RadSpec!$E$18*J18,".")*$B$75</f>
        <v>1512.5</v>
      </c>
      <c r="K75" s="71">
        <f>IFERROR(up_RadSpec!$H$18*$K$18,".")*B75</f>
        <v>0.16181272791589676</v>
      </c>
      <c r="L75" s="71">
        <f>IFERROR(up_RadSpec!$G$18*$L$18,".")*B75</f>
        <v>2.5126255959205839</v>
      </c>
      <c r="M75" s="71">
        <f>up_b2s!AC75</f>
        <v>15165837.5</v>
      </c>
      <c r="N75" s="49">
        <f t="shared" si="106"/>
        <v>1</v>
      </c>
      <c r="O75" s="49">
        <f t="shared" si="106"/>
        <v>0.14939951664921358</v>
      </c>
      <c r="P75" s="49">
        <f t="shared" si="106"/>
        <v>0.91894485843991125</v>
      </c>
      <c r="Q75" s="49">
        <f t="shared" si="106"/>
        <v>1</v>
      </c>
      <c r="R75" s="49">
        <f t="shared" si="107"/>
        <v>1</v>
      </c>
      <c r="S75" s="60">
        <f>IFERROR(S18/$B61,0)</f>
        <v>1.9899502767614227E-5</v>
      </c>
      <c r="T75" s="60">
        <f>IFERROR(T18/$B61,0)</f>
        <v>3.9375339800268986E-5</v>
      </c>
      <c r="U75" s="60">
        <f>IFERROR(U18/$B61,0)</f>
        <v>2.7574376135306946E-5</v>
      </c>
      <c r="V75" s="60">
        <f>IFERROR(V18/$B61,0)</f>
        <v>2.2845868626050291E-5</v>
      </c>
      <c r="W75" s="60">
        <f>IFERROR(W18/$B61,0)</f>
        <v>6.6930846930846931E-5</v>
      </c>
      <c r="X75" s="71">
        <f>IFERROR(up_RadSpec!$G$18*$X$18,".")*$B$75</f>
        <v>2.5126255959205839</v>
      </c>
      <c r="Y75" s="71">
        <f>IFERROR(up_RadSpec!$N$18*$Y$18,".")*$B$75</f>
        <v>1.2698303113985681</v>
      </c>
      <c r="Z75" s="71">
        <f>IFERROR(up_RadSpec!$O$18*$Z$18,".")*$B$75</f>
        <v>1.8132776514924922</v>
      </c>
      <c r="AA75" s="71">
        <f>IFERROR(up_RadSpec!$P$18*$AA$18,".")*$B$75</f>
        <v>2.188579511614055</v>
      </c>
      <c r="AB75" s="71">
        <f>IFERROR(up_RadSpec!$L$18*$AB$18,".")*$B$75</f>
        <v>0.74703970280938015</v>
      </c>
      <c r="AC75" s="49">
        <f t="shared" si="108"/>
        <v>0.91894485843991125</v>
      </c>
      <c r="AD75" s="49">
        <f t="shared" si="108"/>
        <v>0.71912072025309015</v>
      </c>
      <c r="AE75" s="49">
        <f t="shared" si="108"/>
        <v>0.83688138631454068</v>
      </c>
      <c r="AF75" s="49">
        <f t="shared" si="108"/>
        <v>0.88792416197549062</v>
      </c>
      <c r="AG75" s="49">
        <f t="shared" si="108"/>
        <v>0.52623303007713518</v>
      </c>
      <c r="AH75" s="60">
        <f t="shared" ref="AH75:AJ75" si="128">IFERROR(AH18/$B61,0)</f>
        <v>9.9740259740259755E-10</v>
      </c>
      <c r="AI75" s="60">
        <f t="shared" si="128"/>
        <v>6.3709090909090908E-6</v>
      </c>
      <c r="AJ75" s="60">
        <f t="shared" si="128"/>
        <v>9.9724647271019672E-10</v>
      </c>
      <c r="AK75" s="71">
        <f>IFERROR(up_RadSpec!$H$18*AK18,".")*$B$75</f>
        <v>50130.208333333328</v>
      </c>
      <c r="AL75" s="71">
        <f>IFERROR(up_RadSpec!$K$18*$AL$18,".")*$B$75</f>
        <v>7.8481735159817356</v>
      </c>
      <c r="AM75" s="49">
        <f t="shared" si="110"/>
        <v>1</v>
      </c>
      <c r="AN75" s="49">
        <f t="shared" si="110"/>
        <v>0.99960953550549536</v>
      </c>
      <c r="AO75" s="49">
        <f t="shared" si="111"/>
        <v>1</v>
      </c>
      <c r="AP75" s="60">
        <f>IFERROR(AP18/$B61,".")</f>
        <v>3.6363636363636369E-10</v>
      </c>
      <c r="AQ75" s="60" t="str">
        <f>IFERROR(AQ18,".")</f>
        <v>.</v>
      </c>
      <c r="AR75" s="60">
        <f>IFERROR(AR18/$B61,".")</f>
        <v>3.9818181818181825E-6</v>
      </c>
      <c r="AS75" s="60">
        <f>IFERROR(AS18/$B61,".")</f>
        <v>1.6443412786038031E-11</v>
      </c>
      <c r="AT75" s="60">
        <f t="shared" si="112"/>
        <v>1.5731958335636466E-11</v>
      </c>
      <c r="AU75" s="71">
        <f>IFERROR(up_RadSpec!$I$18*AU18,".")*$B$75</f>
        <v>137500</v>
      </c>
      <c r="AV75" s="71">
        <f>IFERROR(up_RadSpec!$F$18*AV18,".")</f>
        <v>0</v>
      </c>
      <c r="AW75" s="71">
        <f>IFERROR(up_RadSpec!$M$18*AW18,".")*$B$75</f>
        <v>12.557077625570777</v>
      </c>
      <c r="AX75" s="71">
        <f>up_b2w!AC75</f>
        <v>3040731.3038114933</v>
      </c>
      <c r="AY75" s="49">
        <f t="shared" si="113"/>
        <v>1</v>
      </c>
      <c r="AZ75" s="49">
        <f t="shared" si="114"/>
        <v>0</v>
      </c>
      <c r="BA75" s="49">
        <f t="shared" si="115"/>
        <v>0.99999648009875997</v>
      </c>
      <c r="BB75" s="49">
        <f t="shared" si="115"/>
        <v>1</v>
      </c>
      <c r="BC75" s="49">
        <f t="shared" si="116"/>
        <v>1</v>
      </c>
      <c r="BD75" s="60">
        <f>IFERROR(BD18/$B61,0)</f>
        <v>6.6115702479338848E-11</v>
      </c>
      <c r="BE75" s="71">
        <f>IFERROR(up_RadSpec!$F$18*BE18,".")*$B$75</f>
        <v>756250</v>
      </c>
      <c r="BF75" s="49">
        <f t="shared" si="117"/>
        <v>1</v>
      </c>
    </row>
    <row r="76" spans="1:58" x14ac:dyDescent="0.25">
      <c r="A76" s="48" t="s">
        <v>1097</v>
      </c>
      <c r="B76" s="45">
        <v>1.339E-6</v>
      </c>
      <c r="C76" s="178"/>
      <c r="D76" s="60">
        <f>IFERROR(D27/$B62,0)</f>
        <v>2.4688462464278881E-2</v>
      </c>
      <c r="E76" s="60">
        <f>IFERROR(E27/$B62,0)</f>
        <v>230.76861726619057</v>
      </c>
      <c r="F76" s="60">
        <f>IFERROR(F27/$B62,0)</f>
        <v>24.389446406009657</v>
      </c>
      <c r="G76" s="60">
        <f>IFERROR(G27/$B62,0)</f>
        <v>2.4621983109882206E-6</v>
      </c>
      <c r="H76" s="60">
        <f>IFERROR(H27/$B62,0)</f>
        <v>1.2344231232139441E-5</v>
      </c>
      <c r="I76" s="60">
        <f t="shared" si="105"/>
        <v>2.4619525038645895E-6</v>
      </c>
      <c r="J76" s="71">
        <f>IFERROR(up_RadSpec!$E$27*J27,".")*$B$76</f>
        <v>2.0252375000000002E-3</v>
      </c>
      <c r="K76" s="71">
        <f>IFERROR(up_RadSpec!$H$27*$K$27,".")*B76</f>
        <v>2.1666724267938577E-7</v>
      </c>
      <c r="L76" s="71">
        <f>IFERROR(up_RadSpec!$G$27*$L$27,".")*B76</f>
        <v>2.0500670317666495E-6</v>
      </c>
      <c r="M76" s="71">
        <f>up_b2s!AC76</f>
        <v>11326241598207.617</v>
      </c>
      <c r="N76" s="49">
        <f t="shared" si="106"/>
        <v>2.0252375000000002E-3</v>
      </c>
      <c r="O76" s="49">
        <f t="shared" si="106"/>
        <v>2.1666724267938577E-7</v>
      </c>
      <c r="P76" s="49">
        <f t="shared" si="106"/>
        <v>2.0500670317666495E-6</v>
      </c>
      <c r="Q76" s="49">
        <f t="shared" si="106"/>
        <v>1</v>
      </c>
      <c r="R76" s="49">
        <f t="shared" si="107"/>
        <v>1</v>
      </c>
      <c r="S76" s="60">
        <f>IFERROR(S27/$B62,0)</f>
        <v>24.389446406009657</v>
      </c>
      <c r="T76" s="60">
        <f>IFERROR(T27/$B62,0)</f>
        <v>72.343258853223119</v>
      </c>
      <c r="U76" s="60">
        <f>IFERROR(U27/$B62,0)</f>
        <v>44.351857630272853</v>
      </c>
      <c r="V76" s="60">
        <f>IFERROR(V27/$B62,0)</f>
        <v>32.264263006237364</v>
      </c>
      <c r="W76" s="60">
        <f>IFERROR(W27/$B62,0)</f>
        <v>226.28844330162127</v>
      </c>
      <c r="X76" s="71">
        <f>IFERROR(up_RadSpec!$G$27*$X$27,".")*$B$76</f>
        <v>2.0500670317666495E-6</v>
      </c>
      <c r="Y76" s="71">
        <f>IFERROR(up_RadSpec!$N$27*$Y$27,".")*$B$76</f>
        <v>6.9114940068493116E-7</v>
      </c>
      <c r="Z76" s="71">
        <f>IFERROR(up_RadSpec!$O$27*$Z$27,".")*$B$76</f>
        <v>1.1273484961286479E-6</v>
      </c>
      <c r="AA76" s="71">
        <f>IFERROR(up_RadSpec!$P$27*$AA$27,".")*$B$76</f>
        <v>1.5497022197697169E-6</v>
      </c>
      <c r="AB76" s="71">
        <f>IFERROR(up_RadSpec!$L$27*$AB$27,".")*$B$76</f>
        <v>2.2095693120905292E-7</v>
      </c>
      <c r="AC76" s="49">
        <f t="shared" si="108"/>
        <v>2.0500670317666495E-6</v>
      </c>
      <c r="AD76" s="49">
        <f t="shared" si="108"/>
        <v>6.9114940068493116E-7</v>
      </c>
      <c r="AE76" s="49">
        <f t="shared" si="108"/>
        <v>1.1273484961286479E-6</v>
      </c>
      <c r="AF76" s="49">
        <f t="shared" si="108"/>
        <v>1.5497022197697169E-6</v>
      </c>
      <c r="AG76" s="49">
        <f t="shared" si="108"/>
        <v>2.2095693120905292E-7</v>
      </c>
      <c r="AH76" s="60">
        <f t="shared" ref="AH76:AJ76" si="129">IFERROR(AH27/$B62,0)</f>
        <v>7.4488618177938576E-4</v>
      </c>
      <c r="AI76" s="60">
        <f t="shared" si="129"/>
        <v>4.7579604861158256</v>
      </c>
      <c r="AJ76" s="60">
        <f t="shared" si="129"/>
        <v>7.4476958380149125E-4</v>
      </c>
      <c r="AK76" s="71">
        <f>IFERROR(up_RadSpec!$H$27*AK27,".")*$B$76</f>
        <v>6.712434895833333E-2</v>
      </c>
      <c r="AL76" s="71">
        <f>IFERROR(up_RadSpec!$K$27*$AL$27,".")*$B$76</f>
        <v>1.0508704337899545E-5</v>
      </c>
      <c r="AM76" s="49">
        <f t="shared" si="110"/>
        <v>6.4921081982343365E-2</v>
      </c>
      <c r="AN76" s="49">
        <f t="shared" si="110"/>
        <v>1.0508704337899545E-5</v>
      </c>
      <c r="AO76" s="49">
        <f t="shared" si="111"/>
        <v>6.4930908398593834E-2</v>
      </c>
      <c r="AP76" s="60">
        <f>IFERROR(AP27/$B62,".")</f>
        <v>2.715730871070677E-4</v>
      </c>
      <c r="AQ76" s="60" t="str">
        <f>IFERROR(AQ27,".")</f>
        <v>.</v>
      </c>
      <c r="AR76" s="60">
        <f>IFERROR(AR27/$B62,".")</f>
        <v>2.9737253038223916</v>
      </c>
      <c r="AS76" s="60">
        <f>IFERROR(AS27/$B62,".")</f>
        <v>1.2280368025420486E-5</v>
      </c>
      <c r="AT76" s="60">
        <f t="shared" si="112"/>
        <v>1.1749035351483545E-5</v>
      </c>
      <c r="AU76" s="71">
        <f>IFERROR(up_RadSpec!$I$27*AU27,".")*$B$76</f>
        <v>0.18411250000000001</v>
      </c>
      <c r="AV76" s="71">
        <f>IFERROR(up_RadSpec!$F$27*AV27,".")</f>
        <v>0</v>
      </c>
      <c r="AW76" s="71">
        <f>IFERROR(up_RadSpec!$M$27*AW27,".")*$B$76</f>
        <v>1.6813926940639269E-5</v>
      </c>
      <c r="AX76" s="71">
        <f>up_b2w!AC76</f>
        <v>2270897164907.7622</v>
      </c>
      <c r="AY76" s="49">
        <f t="shared" si="113"/>
        <v>0.16815778368686241</v>
      </c>
      <c r="AZ76" s="49">
        <f t="shared" si="114"/>
        <v>0</v>
      </c>
      <c r="BA76" s="49">
        <f t="shared" si="115"/>
        <v>1.6813926940639269E-5</v>
      </c>
      <c r="BB76" s="49">
        <f t="shared" si="115"/>
        <v>1</v>
      </c>
      <c r="BC76" s="49">
        <f t="shared" si="116"/>
        <v>1</v>
      </c>
      <c r="BD76" s="60">
        <f>IFERROR(BD27/$B62,0)</f>
        <v>4.9376924928557765E-5</v>
      </c>
      <c r="BE76" s="71">
        <f>IFERROR(up_RadSpec!$F$27*BE27,".")*$B$76</f>
        <v>1.0126187499999999</v>
      </c>
      <c r="BF76" s="49">
        <f t="shared" si="117"/>
        <v>0.63673357109083517</v>
      </c>
    </row>
  </sheetData>
  <sheetProtection algorithmName="SHA-512" hashValue="f7/1u71z579AvS9UrTltFabJVJP5jf9pjAthyAVw+pTiiaoxUNHuIv3uXncHVepFtmASLysQL2nOPiXvwczQfA==" saltValue="rT31vW/leKmwzJMLgiyqgw==" spinCount="100000" sheet="1" formatColumns="0" formatRows="0" autoFilter="0"/>
  <autoFilter ref="A1:BF1299" xr:uid="{00000000-0009-0000-0000-00001E000000}"/>
  <pageMargins left="0.7" right="0.7" top="0.75" bottom="0.75" header="0.3" footer="0.3"/>
  <pageSetup orientation="portrait"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tabColor theme="9" tint="-0.499984740745262"/>
  </sheetPr>
  <dimension ref="A1:FO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15.5703125" defaultRowHeight="15" x14ac:dyDescent="0.25"/>
  <cols>
    <col min="1" max="1" width="15.42578125" style="4" bestFit="1" customWidth="1"/>
    <col min="2" max="2" width="13.28515625" style="4" bestFit="1" customWidth="1"/>
    <col min="3" max="3" width="13.28515625" style="4" customWidth="1"/>
    <col min="4" max="4" width="14.5703125" style="3" bestFit="1" customWidth="1"/>
    <col min="5" max="5" width="13.85546875" style="3" bestFit="1" customWidth="1"/>
    <col min="6" max="6" width="10.28515625" style="3" bestFit="1" customWidth="1"/>
    <col min="7" max="7" width="11.28515625" style="3" bestFit="1" customWidth="1"/>
    <col min="8" max="8" width="12" style="3" bestFit="1" customWidth="1"/>
    <col min="9" max="9" width="12.5703125" style="3" bestFit="1" customWidth="1"/>
    <col min="10" max="10" width="10.7109375" style="3" bestFit="1" customWidth="1"/>
    <col min="11" max="11" width="13.42578125" style="3" bestFit="1" customWidth="1"/>
    <col min="12" max="12" width="11.28515625" style="3" bestFit="1" customWidth="1"/>
    <col min="13" max="13" width="12.5703125" style="3" bestFit="1" customWidth="1"/>
    <col min="14" max="14" width="13.5703125" style="3" bestFit="1" customWidth="1"/>
    <col min="15" max="15" width="14.7109375" style="3" bestFit="1" customWidth="1"/>
    <col min="16" max="16" width="14.42578125" style="3" bestFit="1" customWidth="1"/>
    <col min="17" max="17" width="13.5703125" style="3" bestFit="1" customWidth="1"/>
    <col min="18" max="18" width="10.7109375" style="3" bestFit="1" customWidth="1"/>
    <col min="19" max="19" width="11.28515625" style="3" bestFit="1" customWidth="1"/>
    <col min="20" max="20" width="11.85546875" style="3" bestFit="1" customWidth="1"/>
    <col min="21" max="21" width="12.42578125" style="3" bestFit="1" customWidth="1"/>
    <col min="22" max="22" width="10.5703125" style="3" bestFit="1" customWidth="1"/>
    <col min="23" max="23" width="13.140625" style="3" bestFit="1" customWidth="1"/>
    <col min="24" max="24" width="11.5703125" style="3" bestFit="1" customWidth="1"/>
    <col min="25" max="25" width="12.5703125" style="3" bestFit="1" customWidth="1"/>
    <col min="26" max="26" width="13.5703125" style="3" bestFit="1" customWidth="1"/>
    <col min="27" max="27" width="14.42578125" style="3" bestFit="1" customWidth="1"/>
    <col min="28" max="28" width="15" style="3" bestFit="1" customWidth="1"/>
    <col min="29" max="29" width="14.140625" style="3" bestFit="1" customWidth="1"/>
    <col min="30" max="30" width="11.28515625" style="3" bestFit="1" customWidth="1"/>
    <col min="31" max="31" width="11.7109375" style="3" bestFit="1" customWidth="1"/>
    <col min="32" max="32" width="12.42578125" style="3" bestFit="1" customWidth="1"/>
    <col min="33" max="33" width="12.85546875" style="3" bestFit="1" customWidth="1"/>
    <col min="34" max="34" width="11.140625" style="3" bestFit="1" customWidth="1"/>
    <col min="35" max="35" width="11.140625" style="3" customWidth="1"/>
    <col min="36" max="36" width="12" style="3" bestFit="1" customWidth="1"/>
    <col min="37" max="37" width="13" style="3" bestFit="1" customWidth="1"/>
    <col min="38" max="38" width="14.140625" style="3" bestFit="1" customWidth="1"/>
    <col min="39" max="39" width="15" style="3" bestFit="1" customWidth="1"/>
    <col min="40" max="40" width="14.42578125" style="3" bestFit="1" customWidth="1"/>
    <col min="41" max="41" width="14.5703125" style="3" bestFit="1" customWidth="1"/>
    <col min="42" max="42" width="14.28515625" style="2" bestFit="1" customWidth="1"/>
    <col min="43" max="43" width="19" style="3" bestFit="1" customWidth="1"/>
    <col min="44" max="44" width="15" style="3" bestFit="1" customWidth="1"/>
    <col min="45" max="45" width="17.85546875" style="3" bestFit="1" customWidth="1"/>
    <col min="46" max="46" width="15.5703125" style="3" bestFit="1" customWidth="1"/>
    <col min="47" max="47" width="16.28515625" style="3" bestFit="1" customWidth="1"/>
    <col min="48" max="48" width="16.85546875" style="3" bestFit="1" customWidth="1"/>
    <col min="49" max="49" width="18.28515625" style="3" bestFit="1" customWidth="1"/>
    <col min="50" max="50" width="14.5703125" style="3" bestFit="1" customWidth="1"/>
    <col min="51" max="51" width="15.5703125" style="3" bestFit="1" customWidth="1"/>
    <col min="52" max="52" width="18.140625" style="3" bestFit="1" customWidth="1"/>
    <col min="53" max="53" width="16.85546875" style="3" bestFit="1" customWidth="1"/>
    <col min="54" max="54" width="19.140625" style="3" bestFit="1" customWidth="1"/>
    <col min="55" max="56" width="10" style="3" bestFit="1" customWidth="1"/>
    <col min="57" max="57" width="9.85546875" style="3" bestFit="1" customWidth="1"/>
    <col min="58" max="58" width="13.5703125" style="3" bestFit="1" customWidth="1"/>
    <col min="59" max="59" width="10.140625" style="3" bestFit="1" customWidth="1"/>
    <col min="60" max="60" width="10.140625" style="3" customWidth="1"/>
    <col min="61" max="61" width="10.5703125" style="3" bestFit="1" customWidth="1"/>
    <col min="62" max="62" width="11.42578125" style="3" bestFit="1" customWidth="1"/>
    <col min="63" max="63" width="11.7109375" style="3" bestFit="1" customWidth="1"/>
    <col min="64" max="64" width="13" style="3" bestFit="1" customWidth="1"/>
    <col min="65" max="65" width="10.28515625" style="3" bestFit="1" customWidth="1"/>
    <col min="66" max="66" width="11.140625" style="3" bestFit="1" customWidth="1"/>
    <col min="67" max="67" width="12.85546875" style="3" bestFit="1" customWidth="1"/>
    <col min="68" max="68" width="11.7109375" style="3" bestFit="1" customWidth="1"/>
    <col min="69" max="69" width="13.42578125" style="3" bestFit="1" customWidth="1"/>
    <col min="70" max="72" width="14.140625" style="3" bestFit="1" customWidth="1"/>
    <col min="73" max="73" width="14" style="3" bestFit="1" customWidth="1"/>
    <col min="74" max="74" width="18.42578125" style="3" bestFit="1" customWidth="1"/>
    <col min="75" max="75" width="14.42578125" style="3" bestFit="1" customWidth="1"/>
    <col min="76" max="76" width="17.140625" style="3" bestFit="1" customWidth="1"/>
    <col min="77" max="77" width="15" style="3" bestFit="1" customWidth="1"/>
    <col min="78" max="78" width="15.7109375" style="3" bestFit="1" customWidth="1"/>
    <col min="79" max="79" width="16.28515625" style="3" bestFit="1" customWidth="1"/>
    <col min="80" max="80" width="17.5703125" style="3" bestFit="1" customWidth="1"/>
    <col min="81" max="81" width="14.5703125" style="3" bestFit="1" customWidth="1"/>
    <col min="82" max="82" width="15.42578125" style="3" bestFit="1" customWidth="1"/>
    <col min="83" max="83" width="17.5703125" style="3" bestFit="1" customWidth="1"/>
    <col min="84" max="84" width="16.42578125" style="3" bestFit="1" customWidth="1"/>
    <col min="85" max="85" width="18.42578125" style="3" bestFit="1" customWidth="1"/>
    <col min="86" max="87" width="14.5703125" style="3" bestFit="1" customWidth="1"/>
    <col min="88" max="88" width="14.42578125" style="3" bestFit="1" customWidth="1"/>
    <col min="89" max="89" width="19" style="3" bestFit="1" customWidth="1"/>
    <col min="90" max="90" width="14.85546875" style="3" bestFit="1" customWidth="1"/>
    <col min="91" max="91" width="17.7109375" style="3" bestFit="1" customWidth="1"/>
    <col min="92" max="92" width="15.7109375" style="3" bestFit="1" customWidth="1"/>
    <col min="93" max="93" width="16.28515625" style="3" bestFit="1" customWidth="1"/>
    <col min="94" max="94" width="16.85546875" style="3" bestFit="1" customWidth="1"/>
    <col min="95" max="95" width="18.140625" style="3" bestFit="1" customWidth="1"/>
    <col min="96" max="96" width="15" style="3" bestFit="1" customWidth="1"/>
    <col min="97" max="97" width="16" style="3" bestFit="1" customWidth="1"/>
    <col min="98" max="98" width="18.140625" style="3" bestFit="1" customWidth="1"/>
    <col min="99" max="99" width="17" style="3" bestFit="1" customWidth="1"/>
    <col min="100" max="100" width="19" style="3" bestFit="1" customWidth="1"/>
    <col min="101" max="101" width="14.28515625" style="3" bestFit="1" customWidth="1"/>
    <col min="102" max="102" width="16.140625" style="3" bestFit="1" customWidth="1"/>
    <col min="103" max="103" width="17.140625" style="3" bestFit="1" customWidth="1"/>
    <col min="104" max="104" width="17.42578125" style="3" bestFit="1" customWidth="1"/>
    <col min="105" max="105" width="20.85546875" style="3" bestFit="1" customWidth="1"/>
    <col min="106" max="106" width="16.7109375" style="3" bestFit="1" customWidth="1"/>
    <col min="107" max="107" width="19.5703125" style="3" bestFit="1" customWidth="1"/>
    <col min="108" max="108" width="17.5703125" style="3" bestFit="1" customWidth="1"/>
    <col min="109" max="109" width="18.140625" style="3" bestFit="1" customWidth="1"/>
    <col min="110" max="110" width="18.7109375" style="3" bestFit="1" customWidth="1"/>
    <col min="111" max="111" width="20" style="3" bestFit="1" customWidth="1"/>
    <col min="112" max="112" width="16.5703125" style="3" bestFit="1" customWidth="1"/>
    <col min="113" max="113" width="17.28515625" style="3" bestFit="1" customWidth="1"/>
    <col min="114" max="114" width="19.7109375" style="3" bestFit="1" customWidth="1"/>
    <col min="115" max="115" width="18.85546875" style="3" bestFit="1" customWidth="1"/>
    <col min="116" max="116" width="20.7109375" style="3" bestFit="1" customWidth="1"/>
    <col min="117" max="118" width="11.7109375" style="2" bestFit="1" customWidth="1"/>
    <col min="119" max="119" width="12.7109375" style="2" bestFit="1" customWidth="1"/>
    <col min="120" max="120" width="15.42578125" style="2" bestFit="1" customWidth="1"/>
    <col min="121" max="121" width="11.85546875" style="2" bestFit="1" customWidth="1"/>
    <col min="122" max="122" width="14" style="2" bestFit="1" customWidth="1"/>
    <col min="123" max="123" width="12.42578125" style="2" bestFit="1" customWidth="1"/>
    <col min="124" max="124" width="13.140625" style="2" bestFit="1" customWidth="1"/>
    <col min="125" max="125" width="13.42578125" style="2" bestFit="1" customWidth="1"/>
    <col min="126" max="126" width="14.7109375" style="2" bestFit="1" customWidth="1"/>
    <col min="127" max="127" width="12" style="2" bestFit="1" customWidth="1"/>
    <col min="128" max="128" width="12.85546875" style="2" bestFit="1" customWidth="1"/>
    <col min="129" max="129" width="14.5703125" style="2" bestFit="1" customWidth="1"/>
    <col min="130" max="130" width="13.42578125" style="2" bestFit="1" customWidth="1"/>
    <col min="131" max="131" width="15.28515625" style="2" bestFit="1" customWidth="1"/>
    <col min="132" max="132" width="16" style="3" bestFit="1" customWidth="1"/>
    <col min="133" max="134" width="16.28515625" style="3" bestFit="1" customWidth="1"/>
    <col min="135" max="135" width="17.42578125" style="3" bestFit="1" customWidth="1"/>
    <col min="136" max="136" width="20.85546875" style="3" bestFit="1" customWidth="1"/>
    <col min="137" max="137" width="16.7109375" style="3" bestFit="1" customWidth="1"/>
    <col min="138" max="138" width="19.42578125" style="3" bestFit="1" customWidth="1"/>
    <col min="139" max="139" width="17.42578125" style="3" bestFit="1" customWidth="1"/>
    <col min="140" max="140" width="18" style="3" bestFit="1" customWidth="1"/>
    <col min="141" max="141" width="18.5703125" style="3" bestFit="1" customWidth="1"/>
    <col min="142" max="142" width="20" style="3" bestFit="1" customWidth="1"/>
    <col min="143" max="143" width="16.85546875" style="3" bestFit="1" customWidth="1"/>
    <col min="144" max="144" width="17.7109375" style="3" bestFit="1" customWidth="1"/>
    <col min="145" max="145" width="20" style="3" bestFit="1" customWidth="1"/>
    <col min="146" max="146" width="18.7109375" style="3" bestFit="1" customWidth="1"/>
    <col min="147" max="147" width="20.85546875" style="3" bestFit="1" customWidth="1"/>
    <col min="148" max="149" width="16.85546875" style="17" bestFit="1" customWidth="1"/>
    <col min="150" max="150" width="18" style="17" bestFit="1" customWidth="1"/>
    <col min="151" max="151" width="21.42578125" style="17" bestFit="1" customWidth="1"/>
    <col min="152" max="152" width="17.28515625" style="17" bestFit="1" customWidth="1"/>
    <col min="153" max="153" width="20.140625" style="17" bestFit="1" customWidth="1"/>
    <col min="154" max="154" width="18" style="17" bestFit="1" customWidth="1"/>
    <col min="155" max="155" width="18.5703125" style="17" bestFit="1" customWidth="1"/>
    <col min="156" max="156" width="19.140625" style="17" bestFit="1" customWidth="1"/>
    <col min="157" max="157" width="20.5703125" style="17" bestFit="1" customWidth="1"/>
    <col min="158" max="158" width="17.42578125" style="17" bestFit="1" customWidth="1"/>
    <col min="159" max="159" width="18.28515625" style="17" bestFit="1" customWidth="1"/>
    <col min="160" max="160" width="20.5703125" style="17" bestFit="1" customWidth="1"/>
    <col min="161" max="161" width="19.28515625" style="17" bestFit="1" customWidth="1"/>
    <col min="162" max="162" width="21.42578125" style="17" bestFit="1" customWidth="1"/>
    <col min="163" max="163" width="16.7109375" style="3" bestFit="1" customWidth="1"/>
    <col min="164" max="164" width="13.85546875" style="3" bestFit="1" customWidth="1"/>
    <col min="165" max="165" width="14.140625" style="3" bestFit="1" customWidth="1"/>
    <col min="166" max="166" width="13.28515625" style="3" bestFit="1" customWidth="1"/>
    <col min="167" max="167" width="13.42578125" style="3" bestFit="1" customWidth="1"/>
    <col min="168" max="168" width="13.85546875" style="3" bestFit="1" customWidth="1"/>
    <col min="169" max="169" width="14" style="3" bestFit="1" customWidth="1"/>
    <col min="170" max="170" width="14.28515625" style="3" bestFit="1" customWidth="1"/>
    <col min="171" max="171" width="13.7109375" style="3" bestFit="1" customWidth="1"/>
    <col min="172" max="16384" width="15.5703125" style="3"/>
  </cols>
  <sheetData>
    <row r="1" spans="1:171" s="14" customFormat="1" x14ac:dyDescent="0.2">
      <c r="A1" s="78" t="s">
        <v>51</v>
      </c>
      <c r="B1" s="79" t="s">
        <v>348</v>
      </c>
      <c r="C1" s="78"/>
      <c r="D1" s="64" t="s">
        <v>1261</v>
      </c>
      <c r="E1" s="64" t="s">
        <v>1262</v>
      </c>
      <c r="F1" s="64" t="s">
        <v>1263</v>
      </c>
      <c r="G1" s="64" t="s">
        <v>1264</v>
      </c>
      <c r="H1" s="64" t="s">
        <v>1265</v>
      </c>
      <c r="I1" s="64" t="s">
        <v>1266</v>
      </c>
      <c r="J1" s="64" t="s">
        <v>1267</v>
      </c>
      <c r="K1" s="64" t="s">
        <v>1510</v>
      </c>
      <c r="L1" s="64" t="s">
        <v>1268</v>
      </c>
      <c r="M1" s="64" t="s">
        <v>1269</v>
      </c>
      <c r="N1" s="64" t="s">
        <v>1270</v>
      </c>
      <c r="O1" s="64" t="s">
        <v>1271</v>
      </c>
      <c r="P1" s="116" t="s">
        <v>1299</v>
      </c>
      <c r="Q1" s="116" t="s">
        <v>1300</v>
      </c>
      <c r="R1" s="116" t="s">
        <v>1301</v>
      </c>
      <c r="S1" s="116" t="s">
        <v>1302</v>
      </c>
      <c r="T1" s="116" t="s">
        <v>1303</v>
      </c>
      <c r="U1" s="116" t="s">
        <v>1304</v>
      </c>
      <c r="V1" s="116" t="s">
        <v>1305</v>
      </c>
      <c r="W1" s="116" t="s">
        <v>1536</v>
      </c>
      <c r="X1" s="116" t="s">
        <v>1306</v>
      </c>
      <c r="Y1" s="116" t="s">
        <v>1307</v>
      </c>
      <c r="Z1" s="116" t="s">
        <v>1308</v>
      </c>
      <c r="AA1" s="116" t="s">
        <v>1309</v>
      </c>
      <c r="AB1" s="117" t="s">
        <v>1310</v>
      </c>
      <c r="AC1" s="117" t="s">
        <v>1311</v>
      </c>
      <c r="AD1" s="117" t="s">
        <v>1312</v>
      </c>
      <c r="AE1" s="117" t="s">
        <v>1313</v>
      </c>
      <c r="AF1" s="117" t="s">
        <v>1314</v>
      </c>
      <c r="AG1" s="117" t="s">
        <v>1315</v>
      </c>
      <c r="AH1" s="117" t="s">
        <v>1316</v>
      </c>
      <c r="AI1" s="117" t="s">
        <v>1547</v>
      </c>
      <c r="AJ1" s="117" t="s">
        <v>1317</v>
      </c>
      <c r="AK1" s="117" t="s">
        <v>1318</v>
      </c>
      <c r="AL1" s="117" t="s">
        <v>1319</v>
      </c>
      <c r="AM1" s="117" t="s">
        <v>1320</v>
      </c>
      <c r="AN1" s="64" t="s">
        <v>1165</v>
      </c>
      <c r="AO1" s="64" t="s">
        <v>1166</v>
      </c>
      <c r="AP1" s="65" t="s">
        <v>1167</v>
      </c>
      <c r="AQ1" s="64" t="s">
        <v>1171</v>
      </c>
      <c r="AR1" s="64" t="s">
        <v>1177</v>
      </c>
      <c r="AS1" s="64" t="s">
        <v>1509</v>
      </c>
      <c r="AT1" s="64" t="s">
        <v>1174</v>
      </c>
      <c r="AU1" s="64" t="s">
        <v>1175</v>
      </c>
      <c r="AV1" s="64" t="s">
        <v>1176</v>
      </c>
      <c r="AW1" s="64" t="s">
        <v>1172</v>
      </c>
      <c r="AX1" s="64" t="s">
        <v>1173</v>
      </c>
      <c r="AY1" s="64" t="s">
        <v>1272</v>
      </c>
      <c r="AZ1" s="64" t="s">
        <v>1274</v>
      </c>
      <c r="BA1" s="64" t="s">
        <v>1273</v>
      </c>
      <c r="BB1" s="64" t="s">
        <v>1275</v>
      </c>
      <c r="BC1" s="38" t="s">
        <v>1178</v>
      </c>
      <c r="BD1" s="38" t="s">
        <v>1179</v>
      </c>
      <c r="BE1" s="38" t="s">
        <v>1180</v>
      </c>
      <c r="BF1" s="38" t="s">
        <v>1181</v>
      </c>
      <c r="BG1" s="38" t="s">
        <v>1187</v>
      </c>
      <c r="BH1" s="38" t="s">
        <v>1511</v>
      </c>
      <c r="BI1" s="38" t="s">
        <v>1184</v>
      </c>
      <c r="BJ1" s="38" t="s">
        <v>1185</v>
      </c>
      <c r="BK1" s="38" t="s">
        <v>1186</v>
      </c>
      <c r="BL1" s="38" t="s">
        <v>1182</v>
      </c>
      <c r="BM1" s="38" t="s">
        <v>1183</v>
      </c>
      <c r="BN1" s="38" t="s">
        <v>1276</v>
      </c>
      <c r="BO1" s="38" t="s">
        <v>1278</v>
      </c>
      <c r="BP1" s="38" t="s">
        <v>1277</v>
      </c>
      <c r="BQ1" s="38" t="s">
        <v>1279</v>
      </c>
      <c r="BR1" s="64" t="s">
        <v>1168</v>
      </c>
      <c r="BS1" s="116" t="s">
        <v>1221</v>
      </c>
      <c r="BT1" s="116" t="s">
        <v>1222</v>
      </c>
      <c r="BU1" s="116" t="s">
        <v>1223</v>
      </c>
      <c r="BV1" s="116" t="s">
        <v>1224</v>
      </c>
      <c r="BW1" s="116" t="s">
        <v>1326</v>
      </c>
      <c r="BX1" s="116" t="s">
        <v>1537</v>
      </c>
      <c r="BY1" s="116" t="s">
        <v>1323</v>
      </c>
      <c r="BZ1" s="116" t="s">
        <v>1324</v>
      </c>
      <c r="CA1" s="116" t="s">
        <v>1325</v>
      </c>
      <c r="CB1" s="116" t="s">
        <v>1321</v>
      </c>
      <c r="CC1" s="116" t="s">
        <v>1322</v>
      </c>
      <c r="CD1" s="116" t="s">
        <v>1327</v>
      </c>
      <c r="CE1" s="116" t="s">
        <v>1329</v>
      </c>
      <c r="CF1" s="116" t="s">
        <v>1328</v>
      </c>
      <c r="CG1" s="116" t="s">
        <v>1330</v>
      </c>
      <c r="CH1" s="117" t="s">
        <v>1225</v>
      </c>
      <c r="CI1" s="117" t="s">
        <v>1226</v>
      </c>
      <c r="CJ1" s="117" t="s">
        <v>1227</v>
      </c>
      <c r="CK1" s="117" t="s">
        <v>1228</v>
      </c>
      <c r="CL1" s="117" t="s">
        <v>1336</v>
      </c>
      <c r="CM1" s="117" t="s">
        <v>1538</v>
      </c>
      <c r="CN1" s="117" t="s">
        <v>1333</v>
      </c>
      <c r="CO1" s="117" t="s">
        <v>1334</v>
      </c>
      <c r="CP1" s="117" t="s">
        <v>1335</v>
      </c>
      <c r="CQ1" s="117" t="s">
        <v>1331</v>
      </c>
      <c r="CR1" s="117" t="s">
        <v>1332</v>
      </c>
      <c r="CS1" s="117" t="s">
        <v>1337</v>
      </c>
      <c r="CT1" s="117" t="s">
        <v>1339</v>
      </c>
      <c r="CU1" s="117" t="s">
        <v>1338</v>
      </c>
      <c r="CV1" s="117" t="s">
        <v>1340</v>
      </c>
      <c r="CW1" s="117" t="s">
        <v>1229</v>
      </c>
      <c r="CX1" s="64" t="s">
        <v>1280</v>
      </c>
      <c r="CY1" s="64" t="s">
        <v>1281</v>
      </c>
      <c r="CZ1" s="64" t="s">
        <v>1282</v>
      </c>
      <c r="DA1" s="64" t="s">
        <v>1283</v>
      </c>
      <c r="DB1" s="64" t="s">
        <v>1289</v>
      </c>
      <c r="DC1" s="64" t="s">
        <v>1512</v>
      </c>
      <c r="DD1" s="64" t="s">
        <v>1286</v>
      </c>
      <c r="DE1" s="64" t="s">
        <v>1287</v>
      </c>
      <c r="DF1" s="64" t="s">
        <v>1288</v>
      </c>
      <c r="DG1" s="64" t="s">
        <v>1284</v>
      </c>
      <c r="DH1" s="64" t="s">
        <v>1285</v>
      </c>
      <c r="DI1" s="64" t="s">
        <v>1290</v>
      </c>
      <c r="DJ1" s="64" t="s">
        <v>1292</v>
      </c>
      <c r="DK1" s="64" t="s">
        <v>1291</v>
      </c>
      <c r="DL1" s="64" t="s">
        <v>1293</v>
      </c>
      <c r="DM1" s="38" t="s">
        <v>1188</v>
      </c>
      <c r="DN1" s="38" t="s">
        <v>1189</v>
      </c>
      <c r="DO1" s="38" t="s">
        <v>1190</v>
      </c>
      <c r="DP1" s="38" t="s">
        <v>1191</v>
      </c>
      <c r="DQ1" s="38" t="s">
        <v>1197</v>
      </c>
      <c r="DR1" s="38" t="s">
        <v>1513</v>
      </c>
      <c r="DS1" s="38" t="s">
        <v>1194</v>
      </c>
      <c r="DT1" s="38" t="s">
        <v>1195</v>
      </c>
      <c r="DU1" s="38" t="s">
        <v>1196</v>
      </c>
      <c r="DV1" s="38" t="s">
        <v>1192</v>
      </c>
      <c r="DW1" s="38" t="s">
        <v>1193</v>
      </c>
      <c r="DX1" s="38" t="s">
        <v>1294</v>
      </c>
      <c r="DY1" s="38" t="s">
        <v>1296</v>
      </c>
      <c r="DZ1" s="38" t="s">
        <v>1295</v>
      </c>
      <c r="EA1" s="38" t="s">
        <v>1297</v>
      </c>
      <c r="EB1" s="64" t="s">
        <v>1298</v>
      </c>
      <c r="EC1" s="116" t="s">
        <v>1341</v>
      </c>
      <c r="ED1" s="116" t="s">
        <v>1342</v>
      </c>
      <c r="EE1" s="116" t="s">
        <v>1343</v>
      </c>
      <c r="EF1" s="116" t="s">
        <v>1344</v>
      </c>
      <c r="EG1" s="116" t="s">
        <v>1345</v>
      </c>
      <c r="EH1" s="116" t="s">
        <v>1539</v>
      </c>
      <c r="EI1" s="116" t="s">
        <v>1346</v>
      </c>
      <c r="EJ1" s="116" t="s">
        <v>1347</v>
      </c>
      <c r="EK1" s="116" t="s">
        <v>1348</v>
      </c>
      <c r="EL1" s="116" t="s">
        <v>1349</v>
      </c>
      <c r="EM1" s="116" t="s">
        <v>1350</v>
      </c>
      <c r="EN1" s="116" t="s">
        <v>1351</v>
      </c>
      <c r="EO1" s="116" t="s">
        <v>1352</v>
      </c>
      <c r="EP1" s="116" t="s">
        <v>1353</v>
      </c>
      <c r="EQ1" s="116" t="s">
        <v>1354</v>
      </c>
      <c r="ER1" s="117" t="s">
        <v>1355</v>
      </c>
      <c r="ES1" s="117" t="s">
        <v>1356</v>
      </c>
      <c r="ET1" s="117" t="s">
        <v>1357</v>
      </c>
      <c r="EU1" s="117" t="s">
        <v>1358</v>
      </c>
      <c r="EV1" s="117" t="s">
        <v>1359</v>
      </c>
      <c r="EW1" s="117" t="s">
        <v>1540</v>
      </c>
      <c r="EX1" s="117" t="s">
        <v>1360</v>
      </c>
      <c r="EY1" s="117" t="s">
        <v>1361</v>
      </c>
      <c r="EZ1" s="117" t="s">
        <v>1362</v>
      </c>
      <c r="FA1" s="117" t="s">
        <v>1363</v>
      </c>
      <c r="FB1" s="117" t="s">
        <v>1364</v>
      </c>
      <c r="FC1" s="117" t="s">
        <v>1365</v>
      </c>
      <c r="FD1" s="117" t="s">
        <v>1366</v>
      </c>
      <c r="FE1" s="117" t="s">
        <v>1367</v>
      </c>
      <c r="FF1" s="117" t="s">
        <v>1368</v>
      </c>
      <c r="FG1" s="117" t="s">
        <v>1369</v>
      </c>
      <c r="FH1" s="64" t="s">
        <v>1205</v>
      </c>
      <c r="FI1" s="64" t="s">
        <v>1206</v>
      </c>
      <c r="FJ1" s="64" t="s">
        <v>1207</v>
      </c>
      <c r="FK1" s="116" t="s">
        <v>1240</v>
      </c>
      <c r="FL1" s="116" t="s">
        <v>1241</v>
      </c>
      <c r="FM1" s="117" t="s">
        <v>1242</v>
      </c>
      <c r="FN1" s="117" t="s">
        <v>1243</v>
      </c>
      <c r="FO1" s="117" t="s">
        <v>1244</v>
      </c>
    </row>
    <row r="2" spans="1:171" customFormat="1" x14ac:dyDescent="0.25">
      <c r="A2" s="44" t="s">
        <v>12</v>
      </c>
      <c r="B2" s="42" t="s">
        <v>1071</v>
      </c>
      <c r="C2" s="42"/>
      <c r="D2" s="15">
        <f>up_dir!AC2</f>
        <v>1.6528925619834712E-11</v>
      </c>
      <c r="E2" s="15">
        <f>IFERROR(s_TR/(up_RadSpec!H2*s_IFP_far_adj*s_CF_far_poultry),".")</f>
        <v>6.6115702479338848E-11</v>
      </c>
      <c r="F2" s="15">
        <f>IFERROR(s_TR/(up_RadSpec!H2*s_IFE_far_adj*s_CF_far_egg),".")</f>
        <v>6.6115702479338848E-11</v>
      </c>
      <c r="G2" s="15">
        <f>IFERROR(s_TR/(up_RadSpec!H2*s_IFB_far_adj*s_CF_far_beef),".")</f>
        <v>6.6115702479338848E-11</v>
      </c>
      <c r="H2" s="15">
        <f>IFERROR(s_TR/(up_RadSpec!H2*s_IFD_far_adj*s_CF_far_dairy),".")</f>
        <v>6.6115702479338848E-11</v>
      </c>
      <c r="I2" s="15">
        <f>IFERROR(s_TR/(up_RadSpec!H2*s_IFSW_far_adj*s_CF_far_swine),".")</f>
        <v>6.6115702479338848E-11</v>
      </c>
      <c r="J2" s="15">
        <f>IFERROR(s_TR/(up_RadSpec!H2*s_IFFI_far_adj*s_CF_far_fish),".")</f>
        <v>6.6115702479338848E-11</v>
      </c>
      <c r="K2" s="15">
        <f>IFERROR(s_TR/(up_RadSpec!H2*s_IFSF_far_adj*s_CF_far_shellfish),".")</f>
        <v>6.6115702479338848E-11</v>
      </c>
      <c r="L2" s="15">
        <f>IFERROR(s_TR/(up_RadSpec!H2*s_IFGO_far_adj*s_CF_far_goat),".")</f>
        <v>6.6115702479338848E-11</v>
      </c>
      <c r="M2" s="15">
        <f>IFERROR(s_TR/(up_RadSpec!H2*s_IFSH_far_adj*s_CF_far_sheep),".")</f>
        <v>6.6115702479338848E-11</v>
      </c>
      <c r="N2" s="15">
        <f>IFERROR(s_TR/(up_RadSpec!H2*s_IFGM_far_adj*s_CF_far_goat_milk),".")</f>
        <v>6.6115702479338848E-11</v>
      </c>
      <c r="O2" s="15">
        <f>IFERROR(s_TR/(up_RadSpec!H2*s_IFSM_far_adj*s_CF_far_sheep_milk),".")</f>
        <v>6.6115702479338848E-11</v>
      </c>
      <c r="P2" s="40">
        <f>up_dir!BC2</f>
        <v>605000</v>
      </c>
      <c r="Q2" s="40">
        <f t="shared" ref="Q2:Q30" si="0">IFERROR(s_C*s_IFP_far_adj*s_CF_far_poultry,".")</f>
        <v>151250</v>
      </c>
      <c r="R2" s="40">
        <f t="shared" ref="R2:R30" si="1">IFERROR(s_C*s_IFE_far_adj*s_CF_far_egg,".")</f>
        <v>151250</v>
      </c>
      <c r="S2" s="40">
        <f t="shared" ref="S2:S30" si="2">IFERROR(s_C*s_IFB_far_adj*s_CF_far_beef,".")</f>
        <v>151250</v>
      </c>
      <c r="T2" s="40">
        <f t="shared" ref="T2:T30" si="3">IFERROR(s_C*s_IFD_far_adj*s_CF_far_dairy,".")</f>
        <v>151250</v>
      </c>
      <c r="U2" s="40">
        <f t="shared" ref="U2:U30" si="4">IFERROR(s_C*s_IFS_far_adj*s_CF_far_swine,".")</f>
        <v>151250</v>
      </c>
      <c r="V2" s="40">
        <f t="shared" ref="V2:V30" si="5">IFERROR(s_C*s_IFFI_far_adj*s_CF_far_fish,".")</f>
        <v>151250</v>
      </c>
      <c r="W2" s="40">
        <f t="shared" ref="W2:W30" si="6">IFERROR(s_C*s_IFSF_far_adj*s_CF_far_shellfish,".")</f>
        <v>151250</v>
      </c>
      <c r="X2" s="40">
        <f t="shared" ref="X2:X30" si="7">IFERROR(s_C*s_IFGO_far_adj*s_CF_far_goat,".")</f>
        <v>151250</v>
      </c>
      <c r="Y2" s="40">
        <f t="shared" ref="Y2:Y30" si="8">IFERROR(s_C*s_IFSH_far_adj*s_CF_far_sheep,".")</f>
        <v>151250</v>
      </c>
      <c r="Z2" s="40">
        <f t="shared" ref="Z2:Z30" si="9">IFERROR(s_C*s_IFGM_far_adj*s_CF_far_goat_milk,".")</f>
        <v>151250</v>
      </c>
      <c r="AA2" s="40">
        <f t="shared" ref="AA2:AA30" si="10">IFERROR(s_C*s_IFSM_far_adj*s_CF_far_sheep_milk,".")</f>
        <v>151250</v>
      </c>
      <c r="AB2" s="5"/>
      <c r="AC2" s="5"/>
      <c r="AD2" s="5"/>
      <c r="AE2" s="5"/>
      <c r="AF2" s="5"/>
      <c r="AG2" s="5"/>
      <c r="AH2" s="5"/>
      <c r="AI2" s="5"/>
      <c r="AJ2" s="5"/>
      <c r="AK2" s="5"/>
      <c r="AL2" s="5"/>
      <c r="AM2" s="5"/>
      <c r="AN2" s="45">
        <f>IFERROR((s_TR/(up_RadSpec!E2*s_IFS_far_adj*(1/1000)))*1,".")</f>
        <v>3.3057851239669421E-8</v>
      </c>
      <c r="AO2" s="45">
        <f>IFERROR(IF(A2="H-3",(s_TR/(up_RadSpec!F2*s_IFA_far_adj*(1/17)*1000))*1,(s_TR/(up_RadSpec!F2*s_IFA_far_adj*(1/s_PEF_wind)*1000))*1),".")</f>
        <v>3.0899917851942918E-4</v>
      </c>
      <c r="AP2" s="45">
        <f>IFERROR((s_TR/(up_RadSpec!G2*s_EF_far*(1/365)*s_ED_far*up_RadSpec!R2*((s_ET_far_o*(1/24)*up_RadSpec!W2)+(s_ET_far_i*(1/24)*up_RadSpec!AB2))))*1,".")</f>
        <v>7.0455228981544787E-5</v>
      </c>
      <c r="AQ2" s="45">
        <f>up_b2s!BC2</f>
        <v>3.2968835384132272E-12</v>
      </c>
      <c r="AR2" s="45">
        <f>IFERROR(((J2*up_RadSpec!AU2)/up_RadSpec!AJ2)*1,".")</f>
        <v>6.6115702479338848E-11</v>
      </c>
      <c r="AS2" s="45">
        <f>IFERROR(((K2*up_RadSpec!AU2)/up_RadSpec!AK2)*1,".")</f>
        <v>6.6115702479338848E-11</v>
      </c>
      <c r="AT2" s="45">
        <f>IFERROR((G2/(up_RadSpec!AI2*((s_Q_p_beef*s_f_p_beef*s_f_s_beef*(up_RadSpec!BD2+s_R_es_past))+(s_Q_s_beef*s_f_p_beef))))*1,".")</f>
        <v>1.8558793678410904E-14</v>
      </c>
      <c r="AU2" s="45">
        <f>IFERROR(((H2*s_D_milk)/(up_RadSpec!AH2*((s_Q_p_dairy*s_f_p_dairy*s_f_s_dairy*(up_RadSpec!BD2+s_R_es_past))+(s_Q_s_dairy*s_f_p_dairy))))*1,".")</f>
        <v>1.9115557488763232E-14</v>
      </c>
      <c r="AV2" s="45">
        <f>IFERROR((I2/(up_RadSpec!AN2*((s_Q_p_swine*s_f_p_swine*s_f_s_swine*(up_RadSpec!BD2+s_R_es_past))+(s_Q_s_swine*s_f_p_swine))))*1,".")</f>
        <v>1.8558793678410904E-14</v>
      </c>
      <c r="AW2" s="45">
        <f>IFERROR((E2/(up_RadSpec!AL2*((s_Q_p_poultry*s_f_p_poultry*s_f_s_poultry*(up_RadSpec!BD2+s_R_es_past))+(s_Q_s_poultry*s_f_p_poultry))))*1,".")</f>
        <v>1.8558793678410904E-14</v>
      </c>
      <c r="AX2" s="45">
        <f>IFERROR((F2/(up_RadSpec!AM2*((s_Q_p_poultry*s_f_p_poultry*s_f_s_poultry*(up_RadSpec!BD2+s_R_es_past))+(s_Q_s_poultry*s_f_p_poultry))))*1,".")</f>
        <v>1.8558793678410904E-14</v>
      </c>
      <c r="AY2" s="45">
        <f>IFERROR((L2/(up_RadSpec!AQ2*((s_Q_p_goat*s_f_p_goat*s_f_s_goat*(up_RadSpec!BD2+s_R_es_past))+(s_Q_s_goat*s_f_p_goat))))*1,".")</f>
        <v>1.8558793678410904E-14</v>
      </c>
      <c r="AZ2" s="45">
        <f>IFERROR((N2*s_D_milk/(up_RadSpec!AR2*((s_Q_p_goat_milk*s_f_p_goat_milk*s_f_s_goat_milk*(up_RadSpec!BD2+s_R_es_past))+(s_Q_s_goat_milk*s_f_p_goat_milk))))*1,".")</f>
        <v>1.9115557488763232E-14</v>
      </c>
      <c r="BA2" s="45">
        <f>IFERROR((M2/(up_RadSpec!AO2*((s_Q_p_sheep*s_f_p_sheep*s_f_s_sheep*(up_RadSpec!BD2+s_R_es_past))+(s_Q_s_sheep*s_f_p_sheep))))*1,".")</f>
        <v>1.8558793678410904E-14</v>
      </c>
      <c r="BB2" s="45">
        <f>IFERROR((O2*s_D_milk/(up_RadSpec!AP2*((s_Q_p_sheep_milk*s_f_p_sheep_milk*s_f_s_sheep_milk*(up_RadSpec!BD2+s_R_es_past))+(s_Q_s_sheep_milk*s_f_p_sheep_milk))))*1,".")</f>
        <v>1.9115557488763232E-14</v>
      </c>
      <c r="BC2" s="118">
        <f t="shared" ref="BC2:BQ18" si="11">IFERROR(1/AN2,".")</f>
        <v>30250000</v>
      </c>
      <c r="BD2" s="118">
        <f t="shared" si="11"/>
        <v>3236.2545583179349</v>
      </c>
      <c r="BE2" s="118">
        <f t="shared" si="11"/>
        <v>14193.410687259882</v>
      </c>
      <c r="BF2" s="118">
        <f t="shared" si="11"/>
        <v>303316749999.99994</v>
      </c>
      <c r="BG2" s="118">
        <f t="shared" si="11"/>
        <v>15124999999.999998</v>
      </c>
      <c r="BH2" s="118">
        <f t="shared" si="11"/>
        <v>15124999999.999998</v>
      </c>
      <c r="BI2" s="118">
        <f t="shared" si="11"/>
        <v>53882812500000</v>
      </c>
      <c r="BJ2" s="118">
        <f t="shared" si="11"/>
        <v>52313410194174.758</v>
      </c>
      <c r="BK2" s="118">
        <f t="shared" si="11"/>
        <v>53882812500000</v>
      </c>
      <c r="BL2" s="118">
        <f t="shared" si="11"/>
        <v>53882812500000</v>
      </c>
      <c r="BM2" s="118">
        <f t="shared" si="11"/>
        <v>53882812500000</v>
      </c>
      <c r="BN2" s="118">
        <f t="shared" si="11"/>
        <v>53882812500000</v>
      </c>
      <c r="BO2" s="118">
        <f t="shared" si="11"/>
        <v>52313410194174.758</v>
      </c>
      <c r="BP2" s="118">
        <f t="shared" si="11"/>
        <v>53882812500000</v>
      </c>
      <c r="BQ2" s="118">
        <f t="shared" si="11"/>
        <v>52313410194174.758</v>
      </c>
      <c r="BR2" s="15">
        <f>IFERROR(1/(SUMIF(BC2:BQ2,"&lt;&gt;0")),".")</f>
        <v>2.0808592670961042E-15</v>
      </c>
      <c r="BS2" s="40">
        <f t="shared" ref="BS2:BS30" si="12">IFERROR(s_C*s_IFS_far_adj*(1/1000),".")</f>
        <v>302.5</v>
      </c>
      <c r="BT2" s="40">
        <f t="shared" ref="BT2:BT30" si="13">IFERROR(s_C*s_IFA_far_adj*(1/s_PEF_wind)*1000,".")</f>
        <v>3.2362545583179352E-2</v>
      </c>
      <c r="BU2" s="40">
        <f>IFERROR((s_C*s_EF_far*(1/365)*s_ED_far*up_RadSpec!R2*((s_ET_far_o*(1/24)*up_RadSpec!W2)+(s_ET_far_i*(1/24)*up_RadSpec!AB2))),".")</f>
        <v>0.14193410687259883</v>
      </c>
      <c r="BV2" s="40">
        <f>up_b2s!CC2</f>
        <v>3033167.5</v>
      </c>
      <c r="BW2" s="40">
        <f>IFERROR(((s_C*up_RadSpec!AJ2)/up_RadSpec!AU2)*s_IFFI_far_adj*s_CF_far_fish,0)</f>
        <v>151250</v>
      </c>
      <c r="BX2" s="40">
        <f>IFERROR(((s_C*up_RadSpec!AK2)/up_RadSpec!AU2)*s_IFSF_far_adj*s_CF_far_shellfish,0)</f>
        <v>151250</v>
      </c>
      <c r="BY2" s="40">
        <f>(s_C*s_IFB_far_adj*s_CF_far_beef*up_RadSpec!AI2*((s_Q_p_beef*s_f_p_beef*s_f_s_beef*(up_RadSpec!$AT2+s_R_es_past))+(s_Q_s_beef*s_f_p_beef)))</f>
        <v>538828125</v>
      </c>
      <c r="BZ2" s="40">
        <f>(s_C*s_IFD_far_adj*s_CF_far_dairy*up_RadSpec!AH2*1/s_D_milk*((s_Q_p_dairy*s_f_p_dairy*s_f_s_dairy*(up_RadSpec!$AT2+s_R_es_past))+(s_Q_s_dairy*s_f_p_dairy)))</f>
        <v>523134101.94174761</v>
      </c>
      <c r="CA2" s="40">
        <f>(s_C*s_IFSW_far_adj*s_CF_far_swine*up_RadSpec!AN2*((s_Q_p_swine*s_f_p_swine*s_f_s_swine*(up_RadSpec!$AT2+s_R_es_past))+(s_Q_s_swine*s_f_p_swine)))</f>
        <v>538828125</v>
      </c>
      <c r="CB2" s="40">
        <f>(s_C*s_IFP_far_adj*s_CF_far_poultry*up_RadSpec!AL2*((s_Q_p_poultry*s_f_p_poultry*s_f_s_poultry*(up_RadSpec!AT2+s_R_es_past))+(s_Q_s_poultry*s_f_p_poultry)))</f>
        <v>538828125</v>
      </c>
      <c r="CC2" s="40">
        <f>(s_C*s_IFE_far_adj*s_CF_far_egg*up_RadSpec!AM2*((s_Q_p_egg*s_f_p_egg*s_f_s_egg*(up_RadSpec!$AT2+s_R_es_past))+(s_Q_s_egg*s_f_p_egg)))</f>
        <v>538828125</v>
      </c>
      <c r="CD2" s="40">
        <f>(s_C*s_IFGO_far_adj*s_CF_far_goat*up_RadSpec!AQ2*((s_Q_p_goat*s_f_p_goat*s_f_s_goat*(up_RadSpec!$AT2+s_R_es_past))+(s_Q_s_goat*s_f_p_goat)))</f>
        <v>538828125</v>
      </c>
      <c r="CE2" s="40">
        <f>(s_C*s_IFGM_far_adj*s_CF_far_goat_milk*up_RadSpec!AR2*1/s_D_milk*((s_Q_p_goat_milk*s_f_p_goat_milk*s_f_s_goat_milk*(up_RadSpec!$AT2+s_R_es_past))+(s_Q_s_goat_milk*s_f_p_goat_milk)))</f>
        <v>523134101.94174761</v>
      </c>
      <c r="CF2" s="40">
        <f>(s_C*s_IFSH_far_adj*s_CF_far_sheep*up_RadSpec!AO2*((s_Q_p_sheep*s_f_p_sheep*s_f_s_sheep*(up_RadSpec!$AT2+s_R_es_past))+(s_Q_s_sheep*s_f_p_sheep)))</f>
        <v>538828125</v>
      </c>
      <c r="CG2" s="40">
        <f>(s_C*s_IFSM_far_adj*s_CF_far_sheep_milk*up_RadSpec!AP2*1/s_D_milk*((s_Q_p_sheep_milk*s_f_p_sheep_milk*s_f_s_sheep_milk*(up_RadSpec!$AT2+s_R_es_past))+(s_Q_s_sheep_milk*s_f_p_sheep_milk)))</f>
        <v>523134101.94174761</v>
      </c>
      <c r="CH2" s="18"/>
      <c r="CI2" s="18"/>
      <c r="CJ2" s="18"/>
      <c r="CK2" s="18"/>
      <c r="CL2" s="18"/>
      <c r="CM2" s="18"/>
      <c r="CN2" s="18"/>
      <c r="CO2" s="18"/>
      <c r="CP2" s="18"/>
      <c r="CQ2" s="18"/>
      <c r="CR2" s="18"/>
      <c r="CS2" s="18"/>
      <c r="CT2" s="18"/>
      <c r="CU2" s="18"/>
      <c r="CV2" s="18"/>
      <c r="CW2" s="5"/>
      <c r="CX2" s="15">
        <f>IFERROR(s_TR/(up_RadSpec!I2*s_IFW_far_adj),".")</f>
        <v>3.6363636363636369E-10</v>
      </c>
      <c r="CY2" s="15" t="str">
        <f>IFERROR(IF(AND(up_RadSpec!C2=1,up_RadSpec!D2&lt;&gt;0),s_TR/(up_RadSpec!F2*s_IFA_far_adj*s_K*up_RadSpec!D2),"."),".")</f>
        <v>.</v>
      </c>
      <c r="CZ2" s="15">
        <f>IFERROR((s_TR/(up_RadSpec!M2*(1/8760)*s_DFA_far_adj)),".")</f>
        <v>3.9818181818181825E-6</v>
      </c>
      <c r="DA2" s="15">
        <f>up_b2w!BC2</f>
        <v>1.6443412786038031E-11</v>
      </c>
      <c r="DB2" s="15">
        <f>IFERROR(J2/(up_RadSpec!AJ2*(1/1000)),".")</f>
        <v>1.322314049586777E-8</v>
      </c>
      <c r="DC2" s="15">
        <f>IFERROR(K2/(up_RadSpec!AK2*(1/1000)),".")</f>
        <v>1.322314049586777E-8</v>
      </c>
      <c r="DD2" s="15">
        <f>IFERROR(G2/(up_RadSpec!AI2*s_Q_w_beef*(1/1000)),".")</f>
        <v>2.6446280991735539E-9</v>
      </c>
      <c r="DE2" s="15">
        <f>IFERROR((H2*s_D_milk)/(up_RadSpec!AH2*s_Q_w_dairy*(1/1000)),".")</f>
        <v>2.7239669421487605E-9</v>
      </c>
      <c r="DF2" s="15">
        <f>IFERROR(I2/(up_RadSpec!AN2*s_Q_w_swine*(1/1000)),".")</f>
        <v>2.6446280991735539E-9</v>
      </c>
      <c r="DG2" s="15">
        <f>IFERROR(E2/(up_RadSpec!AL2*s_Q_w_poultry*(1/1000)),".")</f>
        <v>2.6446280991735539E-9</v>
      </c>
      <c r="DH2" s="15">
        <f>IFERROR(F2/(up_RadSpec!AM2*s_Q_w_poultry*(1/1000)),".")</f>
        <v>2.6446280991735539E-9</v>
      </c>
      <c r="DI2" s="15">
        <f>IFERROR(L2/(up_RadSpec!AQ2*s_Q_w_goat*(1/1000)),".")</f>
        <v>2.6446280991735539E-9</v>
      </c>
      <c r="DJ2" s="15">
        <f>IFERROR(N2*s_D_milk/(up_RadSpec!AR2*s_Q_w_goat_milk*(1/1000)),".")</f>
        <v>2.7239669421487605E-9</v>
      </c>
      <c r="DK2" s="15">
        <f>IFERROR(M2/(up_RadSpec!AO2*s_Q_w_sheep*(1/1000)),".")</f>
        <v>2.6446280991735539E-9</v>
      </c>
      <c r="DL2" s="15">
        <f>IFERROR(O2*s_D_milk/(up_RadSpec!AP2*s_Q_w_sheep_milk*(1/1000)),".")</f>
        <v>2.7239669421487605E-9</v>
      </c>
      <c r="DM2" s="118">
        <f t="shared" ref="DM2:EA18" si="14">IFERROR(1/CX2,".")</f>
        <v>2749999999.9999995</v>
      </c>
      <c r="DN2" s="118" t="str">
        <f t="shared" si="14"/>
        <v>.</v>
      </c>
      <c r="DO2" s="118">
        <f t="shared" si="14"/>
        <v>251141.55251141547</v>
      </c>
      <c r="DP2" s="118">
        <f t="shared" si="14"/>
        <v>60814626076.229866</v>
      </c>
      <c r="DQ2" s="118">
        <f t="shared" si="14"/>
        <v>75624999.999999985</v>
      </c>
      <c r="DR2" s="118">
        <f t="shared" si="14"/>
        <v>75624999.999999985</v>
      </c>
      <c r="DS2" s="118">
        <f t="shared" si="14"/>
        <v>378124999.99999994</v>
      </c>
      <c r="DT2" s="118">
        <f t="shared" si="14"/>
        <v>367111650.48543686</v>
      </c>
      <c r="DU2" s="118">
        <f t="shared" si="14"/>
        <v>378124999.99999994</v>
      </c>
      <c r="DV2" s="118">
        <f t="shared" si="14"/>
        <v>378124999.99999994</v>
      </c>
      <c r="DW2" s="118">
        <f t="shared" si="14"/>
        <v>378124999.99999994</v>
      </c>
      <c r="DX2" s="118">
        <f t="shared" si="14"/>
        <v>378124999.99999994</v>
      </c>
      <c r="DY2" s="118">
        <f t="shared" si="14"/>
        <v>367111650.48543686</v>
      </c>
      <c r="DZ2" s="118">
        <f t="shared" si="14"/>
        <v>378124999.99999994</v>
      </c>
      <c r="EA2" s="118">
        <f t="shared" si="14"/>
        <v>367111650.48543686</v>
      </c>
      <c r="EB2" s="15">
        <f>IFERROR(1/(SUMIF(DM2:EA2,"&lt;&gt;0")),".")</f>
        <v>1.4906192608956601E-11</v>
      </c>
      <c r="EC2" s="40">
        <f t="shared" ref="EC2:EC30" si="15">IFERROR(s_C*s_IFW_far_adj,".")</f>
        <v>27500</v>
      </c>
      <c r="ED2" s="40">
        <f>IF(up_RadSpec!D2&lt;&gt;"",s_C*s_IFA_far_adj*s_K*up_RadSpec!D2,0)</f>
        <v>0</v>
      </c>
      <c r="EE2" s="40">
        <f t="shared" ref="EE2:EE30" si="16">IFERROR((s_C*s_DFA_far_adj*(1/8760)),".")</f>
        <v>2.5114155251141552</v>
      </c>
      <c r="EF2" s="40">
        <f>up_b2w!CC2</f>
        <v>608146.26076229871</v>
      </c>
      <c r="EG2" s="40">
        <f>IFERROR(s_C*up_RadSpec!AJ2*(1/1000)*s_IFFI_far_adj*s_CF_far_fish,0)</f>
        <v>756.25</v>
      </c>
      <c r="EH2" s="40">
        <f>IFERROR(s_C*up_RadSpec!AK2*(1/1000)*s_IFSF_far_adj*s_CF_far_shellfish,0)</f>
        <v>756.25</v>
      </c>
      <c r="EI2" s="40">
        <f>(s_C*s_IFB_far_adj*s_CF_far_beef*up_RadSpec!AI2*s_Q_w_beef*(1/1000))</f>
        <v>3781.25</v>
      </c>
      <c r="EJ2" s="40">
        <f>(s_C*s_IFD_far_adj*s_CF_far_dairy*up_RadSpec!AH2*(1/s_D_milk)*s_Q_w_dairy*(1/1000))</f>
        <v>3671.1165048543689</v>
      </c>
      <c r="EK2" s="40">
        <f>(s_C*s_IFSW_far_adj*s_CF_far_swine*up_RadSpec!AN2*s_Q_w_swine*(1/1000))</f>
        <v>3781.25</v>
      </c>
      <c r="EL2" s="40">
        <f>(s_C*s_IFP_far_adj*s_CF_far_poultry*up_RadSpec!AL2*s_Q_w_poultry*(1/1000))</f>
        <v>3781.25</v>
      </c>
      <c r="EM2" s="40">
        <f>(s_C*s_IFE_far_adj*s_CF_far_egg*up_RadSpec!AM2*s_Q_w_egg*(1/1000))</f>
        <v>3781.25</v>
      </c>
      <c r="EN2" s="40">
        <f>(s_C*s_IFGO_far_adj*s_CF_far_goat*up_RadSpec!AQ2*s_Q_p_goat*(1/1000))</f>
        <v>3781.25</v>
      </c>
      <c r="EO2" s="40">
        <f>(s_C*s_IFGM_far_adj*s_CF_far_goat_milk*up_RadSpec!AR2*(1/s_D_milk)*s_Q_p_goat_milk*(1/1000))</f>
        <v>3671.1165048543689</v>
      </c>
      <c r="EP2" s="40">
        <f>(s_C*s_IFSH_far_adj*s_CF_far_sheep*up_RadSpec!AO2*s_Q_p_sheep*(1/1000))</f>
        <v>3781.25</v>
      </c>
      <c r="EQ2" s="40">
        <f>(s_C*s_IFSM_far_adj*s_CF_far_sheep_milk*up_RadSpec!AP2*(1/s_D_milk)*s_Q_p_sheep_milk*(1/1000))</f>
        <v>3671.1165048543689</v>
      </c>
      <c r="ER2" s="18"/>
      <c r="ES2" s="18"/>
      <c r="ET2" s="18"/>
      <c r="EU2" s="18"/>
      <c r="EV2" s="18"/>
      <c r="EW2" s="18"/>
      <c r="EX2" s="18"/>
      <c r="EY2" s="18"/>
      <c r="EZ2" s="18"/>
      <c r="FA2" s="18"/>
      <c r="FB2" s="18"/>
      <c r="FC2" s="18"/>
      <c r="FD2" s="18"/>
      <c r="FE2" s="18"/>
      <c r="FF2" s="18"/>
      <c r="FG2" s="5"/>
      <c r="FH2" s="15">
        <f>IFERROR((s_TR/(up_RadSpec!F2*s_IFA_far_adj)),".")</f>
        <v>9.9740259740259755E-10</v>
      </c>
      <c r="FI2" s="15">
        <f>IFERROR((s_TR/(up_RadSpec!K2*s_EF_far*(1/365)*s_ED_far*s_ET_far*(1/24)*s_GSF_a)),".")</f>
        <v>6.3709090909090908E-6</v>
      </c>
      <c r="FJ2" s="15">
        <f t="shared" ref="FJ2" si="17">IFERROR(IF(AND(ISNUMBER(FH2),ISNUMBER(FI2)),1/((1/FH2)+(1/FI2)),IF(AND(ISNUMBER(FH2),NOT(ISNUMBER(FI2))),1/((1/FH2)),IF(AND(NOT(ISNUMBER(FH2)),ISNUMBER(FI2)),1/((1/FI2)),IF(AND(NOT(ISNUMBER(FH2)),NOT(ISNUMBER(FI2))),".")))),".")</f>
        <v>9.9724647271019672E-10</v>
      </c>
      <c r="FK2" s="40">
        <f t="shared" ref="FK2:FK30" si="18">s_C*s_IFA_far_adj</f>
        <v>10026.041666666666</v>
      </c>
      <c r="FL2" s="40">
        <f t="shared" ref="FL2:FL30" si="19">s_C*s_EF_far*(1/365)*s_ED_far*s_ET_far*(1/24)*s_GSF_a</f>
        <v>1.5696347031963471</v>
      </c>
      <c r="FM2" s="120"/>
      <c r="FN2" s="120"/>
      <c r="FO2" s="120"/>
    </row>
    <row r="3" spans="1:171" x14ac:dyDescent="0.25">
      <c r="A3" s="46" t="s">
        <v>13</v>
      </c>
      <c r="B3" s="42" t="s">
        <v>349</v>
      </c>
      <c r="C3" s="42"/>
      <c r="D3" s="15">
        <f>up_dir!AC3</f>
        <v>1.6528925619834712E-11</v>
      </c>
      <c r="E3" s="15">
        <f>IFERROR(s_TR/(up_RadSpec!H3*s_IFP_far_adj*s_CF_far_poultry),".")</f>
        <v>6.6115702479338848E-11</v>
      </c>
      <c r="F3" s="15">
        <f>IFERROR(s_TR/(up_RadSpec!H3*s_IFE_far_adj*s_CF_far_egg),".")</f>
        <v>6.6115702479338848E-11</v>
      </c>
      <c r="G3" s="15">
        <f>IFERROR(s_TR/(up_RadSpec!H3*s_IFB_far_adj*s_CF_far_beef),".")</f>
        <v>6.6115702479338848E-11</v>
      </c>
      <c r="H3" s="15">
        <f>IFERROR(s_TR/(up_RadSpec!H3*s_IFD_far_adj*s_CF_far_dairy),".")</f>
        <v>6.6115702479338848E-11</v>
      </c>
      <c r="I3" s="15">
        <f>IFERROR(s_TR/(up_RadSpec!H3*s_IFSW_far_adj*s_CF_far_swine),".")</f>
        <v>6.6115702479338848E-11</v>
      </c>
      <c r="J3" s="15">
        <f>IFERROR(s_TR/(up_RadSpec!H3*s_IFFI_far_adj*s_CF_far_fish),".")</f>
        <v>6.6115702479338848E-11</v>
      </c>
      <c r="K3" s="15">
        <f>IFERROR(s_TR/(up_RadSpec!H3*s_IFSF_far_adj*s_CF_far_shellfish),".")</f>
        <v>6.6115702479338848E-11</v>
      </c>
      <c r="L3" s="15">
        <f>IFERROR(s_TR/(up_RadSpec!H3*s_IFGO_far_adj*s_CF_far_goat),".")</f>
        <v>6.6115702479338848E-11</v>
      </c>
      <c r="M3" s="15">
        <f>IFERROR(s_TR/(up_RadSpec!H3*s_IFSH_far_adj*s_CF_far_sheep),".")</f>
        <v>6.6115702479338848E-11</v>
      </c>
      <c r="N3" s="15">
        <f>IFERROR(s_TR/(up_RadSpec!H3*s_IFGM_far_adj*s_CF_far_goat_milk),".")</f>
        <v>6.6115702479338848E-11</v>
      </c>
      <c r="O3" s="15">
        <f>IFERROR(s_TR/(up_RadSpec!H3*s_IFSM_far_adj*s_CF_far_sheep_milk),".")</f>
        <v>6.6115702479338848E-11</v>
      </c>
      <c r="P3" s="40">
        <f>up_dir!BC3</f>
        <v>605000</v>
      </c>
      <c r="Q3" s="40">
        <f t="shared" si="0"/>
        <v>151250</v>
      </c>
      <c r="R3" s="40">
        <f t="shared" si="1"/>
        <v>151250</v>
      </c>
      <c r="S3" s="40">
        <f t="shared" si="2"/>
        <v>151250</v>
      </c>
      <c r="T3" s="40">
        <f t="shared" si="3"/>
        <v>151250</v>
      </c>
      <c r="U3" s="40">
        <f t="shared" si="4"/>
        <v>151250</v>
      </c>
      <c r="V3" s="40">
        <f t="shared" si="5"/>
        <v>151250</v>
      </c>
      <c r="W3" s="40">
        <f t="shared" si="6"/>
        <v>151250</v>
      </c>
      <c r="X3" s="40">
        <f t="shared" si="7"/>
        <v>151250</v>
      </c>
      <c r="Y3" s="40">
        <f t="shared" si="8"/>
        <v>151250</v>
      </c>
      <c r="Z3" s="40">
        <f t="shared" si="9"/>
        <v>151250</v>
      </c>
      <c r="AA3" s="40">
        <f t="shared" si="10"/>
        <v>151250</v>
      </c>
      <c r="AB3" s="5"/>
      <c r="AC3" s="5"/>
      <c r="AD3" s="5"/>
      <c r="AE3" s="5"/>
      <c r="AF3" s="5"/>
      <c r="AG3" s="5"/>
      <c r="AH3" s="5"/>
      <c r="AI3" s="5"/>
      <c r="AJ3" s="5"/>
      <c r="AK3" s="5"/>
      <c r="AL3" s="5"/>
      <c r="AM3" s="5"/>
      <c r="AN3" s="45">
        <f>IFERROR((s_TR/(up_RadSpec!E3*s_IFS_far_adj*(1/1000)))*1,".")</f>
        <v>3.3057851239669421E-8</v>
      </c>
      <c r="AO3" s="45">
        <f>IFERROR(IF(A3="H-3",(s_TR/(up_RadSpec!F3*s_IFA_far_adj*(1/17)*1000))*1,(s_TR/(up_RadSpec!F3*s_IFA_far_adj*(1/s_PEF_wind)*1000))*1),".")</f>
        <v>3.0899917851942918E-4</v>
      </c>
      <c r="AP3" s="45">
        <f>IFERROR((s_TR/(up_RadSpec!G3*s_EF_far*(1/365)*s_ED_far*up_RadSpec!R3*((s_ET_far_o*(1/24)*up_RadSpec!W3)+(s_ET_far_i*(1/24)*up_RadSpec!AB3))))*1,".")</f>
        <v>9.2435064935064998E-3</v>
      </c>
      <c r="AQ3" s="45">
        <f>up_b2s!BC3</f>
        <v>3.2968835384132272E-12</v>
      </c>
      <c r="AR3" s="45">
        <f>IFERROR(((J3*up_RadSpec!AU3)/up_RadSpec!AJ3)*1,".")</f>
        <v>6.6115702479338848E-11</v>
      </c>
      <c r="AS3" s="45">
        <f>IFERROR(((K3*up_RadSpec!AU3)/up_RadSpec!AK3)*1,".")</f>
        <v>6.6115702479338848E-11</v>
      </c>
      <c r="AT3" s="45">
        <f>IFERROR((G3/(up_RadSpec!AI3*((s_Q_p_beef*s_f_p_beef*s_f_s_beef*(up_RadSpec!AT3+s_R_es_past))+(s_Q_s_beef*s_f_p_beef))))*1,".")</f>
        <v>1.8558793678410904E-14</v>
      </c>
      <c r="AU3" s="45">
        <f>IFERROR(((H3*s_D_milk)/(up_RadSpec!AH3*((s_Q_p_dairy*s_f_p_dairy*s_f_s_dairy*(up_RadSpec!AT3+s_R_es_past))+(s_Q_s_dairy*s_f_p_dairy))))*1,".")</f>
        <v>1.9115557488763232E-14</v>
      </c>
      <c r="AV3" s="45">
        <f>IFERROR((I3/(up_RadSpec!AN3*((s_Q_p_swine*s_f_p_swine*s_f_s_swine*(up_RadSpec!AT3+s_R_es_past))+(s_Q_s_swine*s_f_p_swine))))*1,".")</f>
        <v>1.8558793678410904E-14</v>
      </c>
      <c r="AW3" s="45">
        <f>IFERROR((E3/(up_RadSpec!AL3*((s_Q_p_poultry*s_f_p_poultry*s_f_s_poultry*(up_RadSpec!BD3+s_R_es_past))+(s_Q_s_poultry*s_f_p_poultry))))*1,".")</f>
        <v>1.8558793678410904E-14</v>
      </c>
      <c r="AX3" s="45">
        <f>IFERROR((F3/(up_RadSpec!AM3*((s_Q_p_poultry*s_f_p_poultry*s_f_s_poultry*(up_RadSpec!AT3+s_R_es_past))+(s_Q_s_poultry*s_f_p_poultry))))*1,".")</f>
        <v>1.8558793678410904E-14</v>
      </c>
      <c r="AY3" s="45">
        <f>IFERROR((L3/(up_RadSpec!AQ3*((s_Q_p_goat*s_f_p_goat*s_f_s_goat*(up_RadSpec!AT3+s_R_es_past))+(s_Q_s_goat*s_f_p_goat))))*1,".")</f>
        <v>1.8558793678410904E-14</v>
      </c>
      <c r="AZ3" s="45">
        <f>IFERROR((N3*s_D_milk/(up_RadSpec!AR3*((s_Q_p_goat_milk*s_f_p_goat_milk*s_f_s_goat_milk*(up_RadSpec!AT3+s_R_es_past))+(s_Q_s_goat_milk*s_f_p_goat_milk))))*1,".")</f>
        <v>1.9115557488763232E-14</v>
      </c>
      <c r="BA3" s="45">
        <f>IFERROR((M3/(up_RadSpec!AO3*((s_Q_p_sheep*s_f_p_sheep*s_f_s_sheep*(up_RadSpec!AT3+s_R_es_past))+(s_Q_s_sheep*s_f_p_sheep))))*1,".")</f>
        <v>1.8558793678410904E-14</v>
      </c>
      <c r="BB3" s="45">
        <f>IFERROR((O3*s_D_milk/(up_RadSpec!AP3*((s_Q_p_sheep_milk*s_f_p_sheep_milk*s_f_s_sheep_milk*(up_RadSpec!AT3+s_R_es_past))+(s_Q_s_sheep_milk*s_f_p_sheep_milk))))*1,".")</f>
        <v>1.9115557488763232E-14</v>
      </c>
      <c r="BC3" s="118">
        <f t="shared" si="11"/>
        <v>30250000</v>
      </c>
      <c r="BD3" s="118">
        <f t="shared" si="11"/>
        <v>3236.2545583179349</v>
      </c>
      <c r="BE3" s="118">
        <f t="shared" si="11"/>
        <v>108.18405338953276</v>
      </c>
      <c r="BF3" s="118">
        <f t="shared" si="11"/>
        <v>303316749999.99994</v>
      </c>
      <c r="BG3" s="118">
        <f t="shared" si="11"/>
        <v>15124999999.999998</v>
      </c>
      <c r="BH3" s="118">
        <f t="shared" si="11"/>
        <v>15124999999.999998</v>
      </c>
      <c r="BI3" s="118">
        <f t="shared" si="11"/>
        <v>53882812500000</v>
      </c>
      <c r="BJ3" s="118">
        <f t="shared" si="11"/>
        <v>52313410194174.758</v>
      </c>
      <c r="BK3" s="118">
        <f t="shared" si="11"/>
        <v>53882812500000</v>
      </c>
      <c r="BL3" s="118">
        <f t="shared" si="11"/>
        <v>53882812500000</v>
      </c>
      <c r="BM3" s="118">
        <f t="shared" si="11"/>
        <v>53882812500000</v>
      </c>
      <c r="BN3" s="118">
        <f t="shared" si="11"/>
        <v>53882812500000</v>
      </c>
      <c r="BO3" s="118">
        <f t="shared" si="11"/>
        <v>52313410194174.758</v>
      </c>
      <c r="BP3" s="118">
        <f t="shared" si="11"/>
        <v>53882812500000</v>
      </c>
      <c r="BQ3" s="118">
        <f t="shared" si="11"/>
        <v>52313410194174.758</v>
      </c>
      <c r="BR3" s="15">
        <f t="shared" ref="BR3:BR30" si="20">IFERROR(1/(SUMIF(BC3:BQ3,"&lt;&gt;0")),".")</f>
        <v>2.080859267157093E-15</v>
      </c>
      <c r="BS3" s="40">
        <f t="shared" si="12"/>
        <v>302.5</v>
      </c>
      <c r="BT3" s="40">
        <f t="shared" si="13"/>
        <v>3.2362545583179352E-2</v>
      </c>
      <c r="BU3" s="40">
        <f>IFERROR((s_C*s_EF_far*(1/365)*s_ED_far*up_RadSpec!R3*((s_ET_far_o*(1/24)*up_RadSpec!W3)+(s_ET_far_i*(1/24)*up_RadSpec!AB3))),".")</f>
        <v>1.0818405338953278E-3</v>
      </c>
      <c r="BV3" s="40">
        <f>up_b2s!CC3</f>
        <v>3033167.5</v>
      </c>
      <c r="BW3" s="40">
        <f>IFERROR(((s_C*up_RadSpec!AJ3)/up_RadSpec!AU3)*s_IFFI_far_adj*s_CF_far_fish,0)</f>
        <v>151250</v>
      </c>
      <c r="BX3" s="40">
        <f>IFERROR(((s_C*up_RadSpec!AK3)/up_RadSpec!AU3)*s_IFSF_far_adj*s_CF_far_shellfish,0)</f>
        <v>151250</v>
      </c>
      <c r="BY3" s="40">
        <f>(s_C*s_IFB_far_adj*s_CF_far_beef*up_RadSpec!AI3*((s_Q_p_beef*s_f_p_beef*s_f_s_beef*(up_RadSpec!$AT3+s_R_es_past))+(s_Q_s_beef*s_f_p_beef)))</f>
        <v>538828125</v>
      </c>
      <c r="BZ3" s="40">
        <f>(s_C*s_IFD_far_adj*s_CF_far_dairy*up_RadSpec!AH3*1/s_D_milk*((s_Q_p_dairy*s_f_p_dairy*s_f_s_dairy*(up_RadSpec!$AT3+s_R_es_past))+(s_Q_s_dairy*s_f_p_dairy)))</f>
        <v>523134101.94174761</v>
      </c>
      <c r="CA3" s="40">
        <f>(s_C*s_IFSW_far_adj*s_CF_far_swine*up_RadSpec!AN3*((s_Q_p_swine*s_f_p_swine*s_f_s_swine*(up_RadSpec!$AT3+s_R_es_past))+(s_Q_s_swine*s_f_p_swine)))</f>
        <v>538828125</v>
      </c>
      <c r="CB3" s="40">
        <f>(s_C*s_IFP_far_adj*s_CF_far_poultry*up_RadSpec!AL3*((s_Q_p_poultry*s_f_p_poultry*s_f_s_poultry*(up_RadSpec!AT3+s_R_es_past))+(s_Q_s_poultry*s_f_p_poultry)))</f>
        <v>538828125</v>
      </c>
      <c r="CC3" s="40">
        <f>(s_C*s_IFE_far_adj*s_CF_far_egg*up_RadSpec!AM3*((s_Q_p_egg*s_f_p_egg*s_f_s_egg*(up_RadSpec!$AT3+s_R_es_past))+(s_Q_s_egg*s_f_p_egg)))</f>
        <v>538828125</v>
      </c>
      <c r="CD3" s="40">
        <f>(s_C*s_IFGO_far_adj*s_CF_far_goat*up_RadSpec!AQ3*((s_Q_p_goat*s_f_p_goat*s_f_s_goat*(up_RadSpec!$AT3+s_R_es_past))+(s_Q_s_goat*s_f_p_goat)))</f>
        <v>538828125</v>
      </c>
      <c r="CE3" s="40">
        <f>(s_C*s_IFGM_far_adj*s_CF_far_goat_milk*up_RadSpec!AR3*1/s_D_milk*((s_Q_p_goat_milk*s_f_p_goat_milk*s_f_s_goat_milk*(up_RadSpec!$AT3+s_R_es_past))+(s_Q_s_goat_milk*s_f_p_goat_milk)))</f>
        <v>523134101.94174761</v>
      </c>
      <c r="CF3" s="40">
        <f>(s_C*s_IFSH_far_adj*s_CF_far_sheep*up_RadSpec!AO3*((s_Q_p_sheep*s_f_p_sheep*s_f_s_sheep*(up_RadSpec!$AT3+s_R_es_past))+(s_Q_s_sheep*s_f_p_sheep)))</f>
        <v>538828125</v>
      </c>
      <c r="CG3" s="40">
        <f>(s_C*s_IFSM_far_adj*s_CF_far_sheep_milk*up_RadSpec!AP3*1/s_D_milk*((s_Q_p_sheep_milk*s_f_p_sheep_milk*s_f_s_sheep_milk*(up_RadSpec!$AT3+s_R_es_past))+(s_Q_s_sheep_milk*s_f_p_sheep_milk)))</f>
        <v>523134101.94174761</v>
      </c>
      <c r="CH3" s="18"/>
      <c r="CI3" s="18"/>
      <c r="CJ3" s="18"/>
      <c r="CK3" s="18"/>
      <c r="CL3" s="18"/>
      <c r="CM3" s="18"/>
      <c r="CN3" s="18"/>
      <c r="CO3" s="18"/>
      <c r="CP3" s="18"/>
      <c r="CQ3" s="18"/>
      <c r="CR3" s="18"/>
      <c r="CS3" s="18"/>
      <c r="CT3" s="18"/>
      <c r="CU3" s="18"/>
      <c r="CV3" s="18"/>
      <c r="CW3" s="5"/>
      <c r="CX3" s="15">
        <f>IFERROR(s_TR/(up_RadSpec!I3*s_IFW_far_adj),".")</f>
        <v>3.6363636363636369E-10</v>
      </c>
      <c r="CY3" s="15" t="str">
        <f>IFERROR(IF(AND(up_RadSpec!C3=1,up_RadSpec!D3&lt;&gt;0),s_TR/(up_RadSpec!F3*s_IFA_far_adj*s_K*up_RadSpec!D3),"."),".")</f>
        <v>.</v>
      </c>
      <c r="CZ3" s="15">
        <f>IFERROR((s_TR/(up_RadSpec!M3*(1/8760)*s_DFA_far_adj)),".")</f>
        <v>3.9818181818181825E-6</v>
      </c>
      <c r="DA3" s="15">
        <f>up_b2w!BC3</f>
        <v>1.6443412786038031E-11</v>
      </c>
      <c r="DB3" s="15">
        <f>IFERROR(J3/(up_RadSpec!AJ3*(1/1000)),".")</f>
        <v>1.322314049586777E-8</v>
      </c>
      <c r="DC3" s="15">
        <f>IFERROR(K3/(up_RadSpec!AK3*(1/1000)),".")</f>
        <v>1.322314049586777E-8</v>
      </c>
      <c r="DD3" s="15">
        <f>IFERROR(G3/(up_RadSpec!AI3*s_Q_w_beef*(1/1000)),".")</f>
        <v>2.6446280991735539E-9</v>
      </c>
      <c r="DE3" s="15">
        <f>IFERROR((H3*s_D_milk)/(up_RadSpec!AH3*s_Q_w_dairy*(1/1000)),".")</f>
        <v>2.7239669421487605E-9</v>
      </c>
      <c r="DF3" s="15">
        <f>IFERROR(I3/(up_RadSpec!AN3*s_Q_w_swine*(1/1000)),".")</f>
        <v>2.6446280991735539E-9</v>
      </c>
      <c r="DG3" s="15">
        <f>IFERROR(E3/(up_RadSpec!AL3*s_Q_w_poultry*(1/1000)),".")</f>
        <v>2.6446280991735539E-9</v>
      </c>
      <c r="DH3" s="15">
        <f>IFERROR(F3/(up_RadSpec!AM3*s_Q_w_poultry*(1/1000)),".")</f>
        <v>2.6446280991735539E-9</v>
      </c>
      <c r="DI3" s="15">
        <f>IFERROR(L3/(up_RadSpec!AQ3*s_Q_w_goat*(1/1000)),".")</f>
        <v>2.6446280991735539E-9</v>
      </c>
      <c r="DJ3" s="15">
        <f>IFERROR(N3*s_D_milk/(up_RadSpec!AR3*s_Q_w_goat_milk*(1/1000)),".")</f>
        <v>2.7239669421487605E-9</v>
      </c>
      <c r="DK3" s="15">
        <f>IFERROR(M3/(up_RadSpec!AO3*s_Q_w_sheep*(1/1000)),".")</f>
        <v>2.6446280991735539E-9</v>
      </c>
      <c r="DL3" s="15">
        <f>IFERROR(O3*s_D_milk/(up_RadSpec!AP3*s_Q_w_sheep_milk*(1/1000)),".")</f>
        <v>2.7239669421487605E-9</v>
      </c>
      <c r="DM3" s="118">
        <f t="shared" si="14"/>
        <v>2749999999.9999995</v>
      </c>
      <c r="DN3" s="118" t="str">
        <f t="shared" si="14"/>
        <v>.</v>
      </c>
      <c r="DO3" s="118">
        <f t="shared" si="14"/>
        <v>251141.55251141547</v>
      </c>
      <c r="DP3" s="118">
        <f t="shared" si="14"/>
        <v>60814626076.229866</v>
      </c>
      <c r="DQ3" s="118">
        <f t="shared" si="14"/>
        <v>75624999.999999985</v>
      </c>
      <c r="DR3" s="118">
        <f t="shared" si="14"/>
        <v>75624999.999999985</v>
      </c>
      <c r="DS3" s="118">
        <f t="shared" si="14"/>
        <v>378124999.99999994</v>
      </c>
      <c r="DT3" s="118">
        <f t="shared" si="14"/>
        <v>367111650.48543686</v>
      </c>
      <c r="DU3" s="118">
        <f t="shared" si="14"/>
        <v>378124999.99999994</v>
      </c>
      <c r="DV3" s="118">
        <f t="shared" si="14"/>
        <v>378124999.99999994</v>
      </c>
      <c r="DW3" s="118">
        <f t="shared" si="14"/>
        <v>378124999.99999994</v>
      </c>
      <c r="DX3" s="118">
        <f t="shared" si="14"/>
        <v>378124999.99999994</v>
      </c>
      <c r="DY3" s="118">
        <f t="shared" si="14"/>
        <v>367111650.48543686</v>
      </c>
      <c r="DZ3" s="118">
        <f t="shared" si="14"/>
        <v>378124999.99999994</v>
      </c>
      <c r="EA3" s="118">
        <f t="shared" si="14"/>
        <v>367111650.48543686</v>
      </c>
      <c r="EB3" s="15">
        <f t="shared" ref="EB3:EB30" si="21">IFERROR(1/(SUMIF(DM3:EA3,"&lt;&gt;0")),".")</f>
        <v>1.4906192608956601E-11</v>
      </c>
      <c r="EC3" s="40">
        <f t="shared" si="15"/>
        <v>27500</v>
      </c>
      <c r="ED3" s="40">
        <f>IF(up_RadSpec!D3&lt;&gt;"",s_C*s_IFA_far_adj*s_K*up_RadSpec!D3,0)</f>
        <v>0</v>
      </c>
      <c r="EE3" s="40">
        <f t="shared" si="16"/>
        <v>2.5114155251141552</v>
      </c>
      <c r="EF3" s="40">
        <f>up_b2w!CC3</f>
        <v>608146.26076229871</v>
      </c>
      <c r="EG3" s="40">
        <f>IFERROR(s_C*up_RadSpec!AJ3*(1/1000)*s_IFFI_far_adj*s_CF_far_fish,0)</f>
        <v>756.25</v>
      </c>
      <c r="EH3" s="40">
        <f>IFERROR(s_C*up_RadSpec!AK3*(1/1000)*s_IFSF_far_adj*s_CF_far_shellfish,0)</f>
        <v>756.25</v>
      </c>
      <c r="EI3" s="40">
        <f>(s_C*s_IFB_far_adj*s_CF_far_beef*up_RadSpec!AI3*s_Q_w_beef*(1/1000))</f>
        <v>3781.25</v>
      </c>
      <c r="EJ3" s="40">
        <f>(s_C*s_IFD_far_adj*s_CF_far_dairy*up_RadSpec!AH3*(1/s_D_milk)*s_Q_w_dairy*(1/1000))</f>
        <v>3671.1165048543689</v>
      </c>
      <c r="EK3" s="40">
        <f>(s_C*s_IFSW_far_adj*s_CF_far_swine*up_RadSpec!AN3*s_Q_w_swine*(1/1000))</f>
        <v>3781.25</v>
      </c>
      <c r="EL3" s="40">
        <f>(s_C*s_IFP_far_adj*s_CF_far_poultry*up_RadSpec!AL3*s_Q_w_poultry*(1/1000))</f>
        <v>3781.25</v>
      </c>
      <c r="EM3" s="40">
        <f>(s_C*s_IFE_far_adj*s_CF_far_egg*up_RadSpec!AM3*s_Q_w_egg*(1/1000))</f>
        <v>3781.25</v>
      </c>
      <c r="EN3" s="40">
        <f>(s_C*s_IFGO_far_adj*s_CF_far_goat*up_RadSpec!AQ3*s_Q_p_goat*(1/1000))</f>
        <v>3781.25</v>
      </c>
      <c r="EO3" s="40">
        <f>(s_C*s_IFGM_far_adj*s_CF_far_goat_milk*up_RadSpec!AR3*(1/s_D_milk)*s_Q_p_goat_milk*(1/1000))</f>
        <v>3671.1165048543689</v>
      </c>
      <c r="EP3" s="40">
        <f>(s_C*s_IFSH_far_adj*s_CF_far_sheep*up_RadSpec!AO3*s_Q_p_sheep*(1/1000))</f>
        <v>3781.25</v>
      </c>
      <c r="EQ3" s="40">
        <f>(s_C*s_IFSM_far_adj*s_CF_far_sheep_milk*up_RadSpec!AP3*(1/s_D_milk)*s_Q_p_sheep_milk*(1/1000))</f>
        <v>3671.1165048543689</v>
      </c>
      <c r="ER3" s="18"/>
      <c r="ES3" s="18"/>
      <c r="ET3" s="18"/>
      <c r="EU3" s="18"/>
      <c r="EV3" s="18"/>
      <c r="EW3" s="18"/>
      <c r="EX3" s="18"/>
      <c r="EY3" s="18"/>
      <c r="EZ3" s="18"/>
      <c r="FA3" s="18"/>
      <c r="FB3" s="18"/>
      <c r="FC3" s="18"/>
      <c r="FD3" s="18"/>
      <c r="FE3" s="18"/>
      <c r="FF3" s="18"/>
      <c r="FG3" s="5"/>
      <c r="FH3" s="15">
        <f>IFERROR((s_TR/(up_RadSpec!F3*s_IFA_far_adj)),".")</f>
        <v>9.9740259740259755E-10</v>
      </c>
      <c r="FI3" s="15">
        <f>IFERROR((s_TR/(up_RadSpec!K3*s_EF_far*(1/365)*s_ED_far*s_ET_far*(1/24)*s_GSF_a)),".")</f>
        <v>6.3709090909090908E-6</v>
      </c>
      <c r="FJ3" s="15">
        <f>IFERROR(IF(AND(ISNUMBER(FH3),ISNUMBER(FI3)),1/((1/FH3)+(1/FI3)),IF(AND(ISNUMBER(FH3),NOT(ISNUMBER(FI3))),1/((1/FH3)),IF(AND(NOT(ISNUMBER(FH3)),ISNUMBER(FI3)),1/((1/FI3)),IF(AND(NOT(ISNUMBER(FH3)),NOT(ISNUMBER(FI3))),".")))),".")</f>
        <v>9.9724647271019672E-10</v>
      </c>
      <c r="FK3" s="40">
        <f t="shared" si="18"/>
        <v>10026.041666666666</v>
      </c>
      <c r="FL3" s="40">
        <f t="shared" si="19"/>
        <v>1.5696347031963471</v>
      </c>
      <c r="FM3" s="4"/>
      <c r="FN3" s="4"/>
      <c r="FO3" s="4"/>
    </row>
    <row r="4" spans="1:171" customFormat="1" x14ac:dyDescent="0.25">
      <c r="A4" s="44" t="s">
        <v>14</v>
      </c>
      <c r="B4" s="42" t="s">
        <v>1071</v>
      </c>
      <c r="C4" s="42"/>
      <c r="D4" s="15">
        <f>up_dir!AC4</f>
        <v>1.6528925619834712E-11</v>
      </c>
      <c r="E4" s="15">
        <f>IFERROR(s_TR/(up_RadSpec!H4*s_IFP_far_adj*s_CF_far_poultry),".")</f>
        <v>6.6115702479338848E-11</v>
      </c>
      <c r="F4" s="15">
        <f>IFERROR(s_TR/(up_RadSpec!H4*s_IFE_far_adj*s_CF_far_egg),".")</f>
        <v>6.6115702479338848E-11</v>
      </c>
      <c r="G4" s="15">
        <f>IFERROR(s_TR/(up_RadSpec!H4*s_IFB_far_adj*s_CF_far_beef),".")</f>
        <v>6.6115702479338848E-11</v>
      </c>
      <c r="H4" s="15">
        <f>IFERROR(s_TR/(up_RadSpec!H4*s_IFD_far_adj*s_CF_far_dairy),".")</f>
        <v>6.6115702479338848E-11</v>
      </c>
      <c r="I4" s="15">
        <f>IFERROR(s_TR/(up_RadSpec!H4*s_IFSW_far_adj*s_CF_far_swine),".")</f>
        <v>6.6115702479338848E-11</v>
      </c>
      <c r="J4" s="15">
        <f>IFERROR(s_TR/(up_RadSpec!H4*s_IFFI_far_adj*s_CF_far_fish),".")</f>
        <v>6.6115702479338848E-11</v>
      </c>
      <c r="K4" s="15">
        <f>IFERROR(s_TR/(up_RadSpec!H4*s_IFSF_far_adj*s_CF_far_shellfish),".")</f>
        <v>6.6115702479338848E-11</v>
      </c>
      <c r="L4" s="15">
        <f>IFERROR(s_TR/(up_RadSpec!H4*s_IFGO_far_adj*s_CF_far_goat),".")</f>
        <v>6.6115702479338848E-11</v>
      </c>
      <c r="M4" s="15">
        <f>IFERROR(s_TR/(up_RadSpec!H4*s_IFSH_far_adj*s_CF_far_sheep),".")</f>
        <v>6.6115702479338848E-11</v>
      </c>
      <c r="N4" s="15">
        <f>IFERROR(s_TR/(up_RadSpec!H4*s_IFGM_far_adj*s_CF_far_goat_milk),".")</f>
        <v>6.6115702479338848E-11</v>
      </c>
      <c r="O4" s="15">
        <f>IFERROR(s_TR/(up_RadSpec!H4*s_IFSM_far_adj*s_CF_far_sheep_milk),".")</f>
        <v>6.6115702479338848E-11</v>
      </c>
      <c r="P4" s="40">
        <f>up_dir!BC4</f>
        <v>605000</v>
      </c>
      <c r="Q4" s="40">
        <f t="shared" si="0"/>
        <v>151250</v>
      </c>
      <c r="R4" s="40">
        <f t="shared" si="1"/>
        <v>151250</v>
      </c>
      <c r="S4" s="40">
        <f t="shared" si="2"/>
        <v>151250</v>
      </c>
      <c r="T4" s="40">
        <f t="shared" si="3"/>
        <v>151250</v>
      </c>
      <c r="U4" s="40">
        <f t="shared" si="4"/>
        <v>151250</v>
      </c>
      <c r="V4" s="40">
        <f t="shared" si="5"/>
        <v>151250</v>
      </c>
      <c r="W4" s="40">
        <f t="shared" si="6"/>
        <v>151250</v>
      </c>
      <c r="X4" s="40">
        <f t="shared" si="7"/>
        <v>151250</v>
      </c>
      <c r="Y4" s="40">
        <f t="shared" si="8"/>
        <v>151250</v>
      </c>
      <c r="Z4" s="40">
        <f t="shared" si="9"/>
        <v>151250</v>
      </c>
      <c r="AA4" s="40">
        <f t="shared" si="10"/>
        <v>151250</v>
      </c>
      <c r="AB4" s="5"/>
      <c r="AC4" s="5"/>
      <c r="AD4" s="5"/>
      <c r="AE4" s="5"/>
      <c r="AF4" s="5"/>
      <c r="AG4" s="5"/>
      <c r="AH4" s="5"/>
      <c r="AI4" s="5"/>
      <c r="AJ4" s="5"/>
      <c r="AK4" s="5"/>
      <c r="AL4" s="5"/>
      <c r="AM4" s="5"/>
      <c r="AN4" s="45">
        <f>IFERROR((s_TR/(up_RadSpec!E4*s_IFS_far_adj*(1/1000)))*1,".")</f>
        <v>3.3057851239669421E-8</v>
      </c>
      <c r="AO4" s="45">
        <f>IFERROR(IF(A4="H-3",(s_TR/(up_RadSpec!F4*s_IFA_far_adj*(1/17)*1000))*1,(s_TR/(up_RadSpec!F4*s_IFA_far_adj*(1/s_PEF_wind)*1000))*1),".")</f>
        <v>3.0899917851942918E-4</v>
      </c>
      <c r="AP4" s="45">
        <f>IFERROR((s_TR/(up_RadSpec!G4*s_EF_far*(1/365)*s_ED_far*up_RadSpec!R4*((s_ET_far_o*(1/24)*up_RadSpec!W4)+(s_ET_far_i*(1/24)*up_RadSpec!AB4))))*1,".")</f>
        <v>3.4410774410774423E-5</v>
      </c>
      <c r="AQ4" s="45">
        <f>up_b2s!BC4</f>
        <v>3.2968835384132272E-12</v>
      </c>
      <c r="AR4" s="45">
        <f>IFERROR(((J4*up_RadSpec!AU4)/up_RadSpec!AJ4)*1,".")</f>
        <v>6.6115702479338848E-11</v>
      </c>
      <c r="AS4" s="45">
        <f>IFERROR(((K4*up_RadSpec!AU4)/up_RadSpec!AK4)*1,".")</f>
        <v>6.6115702479338848E-11</v>
      </c>
      <c r="AT4" s="45">
        <f>IFERROR((G4/(up_RadSpec!AI4*((s_Q_p_beef*s_f_p_beef*s_f_s_beef*(up_RadSpec!BD4+s_R_es_past))+(s_Q_s_beef*s_f_p_beef))))*1,".")</f>
        <v>1.8558793678410904E-14</v>
      </c>
      <c r="AU4" s="45">
        <f>IFERROR(((H4*s_D_milk)/(up_RadSpec!AH4*((s_Q_p_dairy*s_f_p_dairy*s_f_s_dairy*(up_RadSpec!BD4+s_R_es_past))+(s_Q_s_dairy*s_f_p_dairy))))*1,".")</f>
        <v>1.9115557488763232E-14</v>
      </c>
      <c r="AV4" s="45">
        <f>IFERROR((I4/(up_RadSpec!AN4*((s_Q_p_swine*s_f_p_swine*s_f_s_swine*(up_RadSpec!BD4+s_R_es_past))+(s_Q_s_swine*s_f_p_swine))))*1,".")</f>
        <v>1.8558793678410904E-14</v>
      </c>
      <c r="AW4" s="45">
        <f>IFERROR((E4/(up_RadSpec!AL4*((s_Q_p_poultry*s_f_p_poultry*s_f_s_poultry*(up_RadSpec!BD4+s_R_es_past))+(s_Q_s_poultry*s_f_p_poultry))))*1,".")</f>
        <v>1.8558793678410904E-14</v>
      </c>
      <c r="AX4" s="45">
        <f>IFERROR((F4/(up_RadSpec!AM4*((s_Q_p_poultry*s_f_p_poultry*s_f_s_poultry*(up_RadSpec!BD4+s_R_es_past))+(s_Q_s_poultry*s_f_p_poultry))))*1,".")</f>
        <v>1.8558793678410904E-14</v>
      </c>
      <c r="AY4" s="45">
        <f>IFERROR((L4/(up_RadSpec!AQ4*((s_Q_p_goat*s_f_p_goat*s_f_s_goat*(up_RadSpec!BD4+s_R_es_past))+(s_Q_s_goat*s_f_p_goat))))*1,".")</f>
        <v>1.8558793678410904E-14</v>
      </c>
      <c r="AZ4" s="45">
        <f>IFERROR((N4*s_D_milk/(up_RadSpec!AR4*((s_Q_p_goat_milk*s_f_p_goat_milk*s_f_s_goat_milk*(up_RadSpec!BD4+s_R_es_past))+(s_Q_s_goat_milk*s_f_p_goat_milk))))*1,".")</f>
        <v>1.9115557488763232E-14</v>
      </c>
      <c r="BA4" s="45">
        <f>IFERROR((M4/(up_RadSpec!AO4*((s_Q_p_sheep*s_f_p_sheep*s_f_s_sheep*(up_RadSpec!BD4+s_R_es_past))+(s_Q_s_sheep*s_f_p_sheep))))*1,".")</f>
        <v>1.8558793678410904E-14</v>
      </c>
      <c r="BB4" s="45">
        <f>IFERROR((O4*s_D_milk/(up_RadSpec!AP4*((s_Q_p_sheep_milk*s_f_p_sheep_milk*s_f_s_sheep_milk*(up_RadSpec!BD4+s_R_es_past))+(s_Q_s_sheep_milk*s_f_p_sheep_milk))))*1,".")</f>
        <v>1.9115557488763232E-14</v>
      </c>
      <c r="BC4" s="118">
        <f t="shared" si="11"/>
        <v>30250000</v>
      </c>
      <c r="BD4" s="118">
        <f t="shared" si="11"/>
        <v>3236.2545583179349</v>
      </c>
      <c r="BE4" s="118">
        <f t="shared" si="11"/>
        <v>29060.665362035215</v>
      </c>
      <c r="BF4" s="118">
        <f t="shared" si="11"/>
        <v>303316749999.99994</v>
      </c>
      <c r="BG4" s="118">
        <f t="shared" si="11"/>
        <v>15124999999.999998</v>
      </c>
      <c r="BH4" s="118">
        <f t="shared" si="11"/>
        <v>15124999999.999998</v>
      </c>
      <c r="BI4" s="118">
        <f t="shared" si="11"/>
        <v>53882812500000</v>
      </c>
      <c r="BJ4" s="118">
        <f t="shared" si="11"/>
        <v>52313410194174.758</v>
      </c>
      <c r="BK4" s="118">
        <f t="shared" si="11"/>
        <v>53882812500000</v>
      </c>
      <c r="BL4" s="118">
        <f t="shared" si="11"/>
        <v>53882812500000</v>
      </c>
      <c r="BM4" s="118">
        <f t="shared" si="11"/>
        <v>53882812500000</v>
      </c>
      <c r="BN4" s="118">
        <f t="shared" si="11"/>
        <v>53882812500000</v>
      </c>
      <c r="BO4" s="118">
        <f t="shared" si="11"/>
        <v>52313410194174.758</v>
      </c>
      <c r="BP4" s="118">
        <f t="shared" si="11"/>
        <v>53882812500000</v>
      </c>
      <c r="BQ4" s="118">
        <f t="shared" si="11"/>
        <v>52313410194174.758</v>
      </c>
      <c r="BR4" s="15">
        <f t="shared" si="20"/>
        <v>2.0808592670317292E-15</v>
      </c>
      <c r="BS4" s="40">
        <f t="shared" si="12"/>
        <v>302.5</v>
      </c>
      <c r="BT4" s="40">
        <f t="shared" si="13"/>
        <v>3.2362545583179352E-2</v>
      </c>
      <c r="BU4" s="40">
        <f>IFERROR((s_C*s_EF_far*(1/365)*s_ED_far*up_RadSpec!R4*((s_ET_far_o*(1/24)*up_RadSpec!W4)+(s_ET_far_i*(1/24)*up_RadSpec!AB4))),".")</f>
        <v>0.29060665362035215</v>
      </c>
      <c r="BV4" s="40">
        <f>up_b2s!CC4</f>
        <v>3033167.5</v>
      </c>
      <c r="BW4" s="40">
        <f>IFERROR(((s_C*up_RadSpec!AJ4)/up_RadSpec!AU4)*s_IFFI_far_adj*s_CF_far_fish,0)</f>
        <v>151250</v>
      </c>
      <c r="BX4" s="40">
        <f>IFERROR(((s_C*up_RadSpec!AK4)/up_RadSpec!AU4)*s_IFSF_far_adj*s_CF_far_shellfish,0)</f>
        <v>151250</v>
      </c>
      <c r="BY4" s="40">
        <f>(s_C*s_IFB_far_adj*s_CF_far_beef*up_RadSpec!AI4*((s_Q_p_beef*s_f_p_beef*s_f_s_beef*(up_RadSpec!$AT4+s_R_es_past))+(s_Q_s_beef*s_f_p_beef)))</f>
        <v>538828125</v>
      </c>
      <c r="BZ4" s="40">
        <f>(s_C*s_IFD_far_adj*s_CF_far_dairy*up_RadSpec!AH4*1/s_D_milk*((s_Q_p_dairy*s_f_p_dairy*s_f_s_dairy*(up_RadSpec!$AT4+s_R_es_past))+(s_Q_s_dairy*s_f_p_dairy)))</f>
        <v>523134101.94174761</v>
      </c>
      <c r="CA4" s="40">
        <f>(s_C*s_IFSW_far_adj*s_CF_far_swine*up_RadSpec!AN4*((s_Q_p_swine*s_f_p_swine*s_f_s_swine*(up_RadSpec!$AT4+s_R_es_past))+(s_Q_s_swine*s_f_p_swine)))</f>
        <v>538828125</v>
      </c>
      <c r="CB4" s="40">
        <f>(s_C*s_IFP_far_adj*s_CF_far_poultry*up_RadSpec!AL4*((s_Q_p_poultry*s_f_p_poultry*s_f_s_poultry*(up_RadSpec!AT4+s_R_es_past))+(s_Q_s_poultry*s_f_p_poultry)))</f>
        <v>538828125</v>
      </c>
      <c r="CC4" s="40">
        <f>(s_C*s_IFE_far_adj*s_CF_far_egg*up_RadSpec!AM4*((s_Q_p_egg*s_f_p_egg*s_f_s_egg*(up_RadSpec!$AT4+s_R_es_past))+(s_Q_s_egg*s_f_p_egg)))</f>
        <v>538828125</v>
      </c>
      <c r="CD4" s="40">
        <f>(s_C*s_IFGO_far_adj*s_CF_far_goat*up_RadSpec!AQ4*((s_Q_p_goat*s_f_p_goat*s_f_s_goat*(up_RadSpec!$AT4+s_R_es_past))+(s_Q_s_goat*s_f_p_goat)))</f>
        <v>538828125</v>
      </c>
      <c r="CE4" s="40">
        <f>(s_C*s_IFGM_far_adj*s_CF_far_goat_milk*up_RadSpec!AR4*1/s_D_milk*((s_Q_p_goat_milk*s_f_p_goat_milk*s_f_s_goat_milk*(up_RadSpec!$AT4+s_R_es_past))+(s_Q_s_goat_milk*s_f_p_goat_milk)))</f>
        <v>523134101.94174761</v>
      </c>
      <c r="CF4" s="40">
        <f>(s_C*s_IFSH_far_adj*s_CF_far_sheep*up_RadSpec!AO4*((s_Q_p_sheep*s_f_p_sheep*s_f_s_sheep*(up_RadSpec!$AT4+s_R_es_past))+(s_Q_s_sheep*s_f_p_sheep)))</f>
        <v>538828125</v>
      </c>
      <c r="CG4" s="40">
        <f>(s_C*s_IFSM_far_adj*s_CF_far_sheep_milk*up_RadSpec!AP4*1/s_D_milk*((s_Q_p_sheep_milk*s_f_p_sheep_milk*s_f_s_sheep_milk*(up_RadSpec!$AT4+s_R_es_past))+(s_Q_s_sheep_milk*s_f_p_sheep_milk)))</f>
        <v>523134101.94174761</v>
      </c>
      <c r="CH4" s="18"/>
      <c r="CI4" s="18"/>
      <c r="CJ4" s="18"/>
      <c r="CK4" s="18"/>
      <c r="CL4" s="18"/>
      <c r="CM4" s="18"/>
      <c r="CN4" s="18"/>
      <c r="CO4" s="18"/>
      <c r="CP4" s="18"/>
      <c r="CQ4" s="18"/>
      <c r="CR4" s="18"/>
      <c r="CS4" s="18"/>
      <c r="CT4" s="18"/>
      <c r="CU4" s="18"/>
      <c r="CV4" s="18"/>
      <c r="CW4" s="5"/>
      <c r="CX4" s="15">
        <f>IFERROR(s_TR/(up_RadSpec!I4*s_IFW_far_adj),".")</f>
        <v>3.6363636363636369E-10</v>
      </c>
      <c r="CY4" s="15" t="str">
        <f>IFERROR(IF(AND(up_RadSpec!C4=1,up_RadSpec!D4&lt;&gt;0),s_TR/(up_RadSpec!F4*s_IFA_far_adj*s_K*up_RadSpec!D4),"."),".")</f>
        <v>.</v>
      </c>
      <c r="CZ4" s="15">
        <f>IFERROR((s_TR/(up_RadSpec!M4*(1/8760)*s_DFA_far_adj)),".")</f>
        <v>3.9818181818181825E-6</v>
      </c>
      <c r="DA4" s="15">
        <f>up_b2w!BC4</f>
        <v>1.6443412786038031E-11</v>
      </c>
      <c r="DB4" s="15">
        <f>IFERROR(J4/(up_RadSpec!AJ4*(1/1000)),".")</f>
        <v>1.322314049586777E-8</v>
      </c>
      <c r="DC4" s="15">
        <f>IFERROR(K4/(up_RadSpec!AK4*(1/1000)),".")</f>
        <v>1.322314049586777E-8</v>
      </c>
      <c r="DD4" s="15">
        <f>IFERROR(G4/(up_RadSpec!AI4*s_Q_w_beef*(1/1000)),".")</f>
        <v>2.6446280991735539E-9</v>
      </c>
      <c r="DE4" s="15">
        <f>IFERROR((H4*s_D_milk)/(up_RadSpec!AH4*s_Q_w_dairy*(1/1000)),".")</f>
        <v>2.7239669421487605E-9</v>
      </c>
      <c r="DF4" s="15">
        <f>IFERROR(I4/(up_RadSpec!AN4*s_Q_w_swine*(1/1000)),".")</f>
        <v>2.6446280991735539E-9</v>
      </c>
      <c r="DG4" s="15">
        <f>IFERROR(E4/(up_RadSpec!AL4*s_Q_w_poultry*(1/1000)),".")</f>
        <v>2.6446280991735539E-9</v>
      </c>
      <c r="DH4" s="15">
        <f>IFERROR(F4/(up_RadSpec!AM4*s_Q_w_poultry*(1/1000)),".")</f>
        <v>2.6446280991735539E-9</v>
      </c>
      <c r="DI4" s="15">
        <f>IFERROR(L4/(up_RadSpec!AQ4*s_Q_w_goat*(1/1000)),".")</f>
        <v>2.6446280991735539E-9</v>
      </c>
      <c r="DJ4" s="15">
        <f>IFERROR(N4*s_D_milk/(up_RadSpec!AR4*s_Q_w_goat_milk*(1/1000)),".")</f>
        <v>2.7239669421487605E-9</v>
      </c>
      <c r="DK4" s="15">
        <f>IFERROR(M4/(up_RadSpec!AO4*s_Q_w_sheep*(1/1000)),".")</f>
        <v>2.6446280991735539E-9</v>
      </c>
      <c r="DL4" s="15">
        <f>IFERROR(O4*s_D_milk/(up_RadSpec!AP4*s_Q_w_sheep_milk*(1/1000)),".")</f>
        <v>2.7239669421487605E-9</v>
      </c>
      <c r="DM4" s="118">
        <f t="shared" si="14"/>
        <v>2749999999.9999995</v>
      </c>
      <c r="DN4" s="118" t="str">
        <f t="shared" si="14"/>
        <v>.</v>
      </c>
      <c r="DO4" s="118">
        <f t="shared" si="14"/>
        <v>251141.55251141547</v>
      </c>
      <c r="DP4" s="118">
        <f t="shared" si="14"/>
        <v>60814626076.229866</v>
      </c>
      <c r="DQ4" s="118">
        <f t="shared" si="14"/>
        <v>75624999.999999985</v>
      </c>
      <c r="DR4" s="118">
        <f t="shared" si="14"/>
        <v>75624999.999999985</v>
      </c>
      <c r="DS4" s="118">
        <f t="shared" si="14"/>
        <v>378124999.99999994</v>
      </c>
      <c r="DT4" s="118">
        <f t="shared" si="14"/>
        <v>367111650.48543686</v>
      </c>
      <c r="DU4" s="118">
        <f t="shared" si="14"/>
        <v>378124999.99999994</v>
      </c>
      <c r="DV4" s="118">
        <f t="shared" si="14"/>
        <v>378124999.99999994</v>
      </c>
      <c r="DW4" s="118">
        <f t="shared" si="14"/>
        <v>378124999.99999994</v>
      </c>
      <c r="DX4" s="118">
        <f t="shared" si="14"/>
        <v>378124999.99999994</v>
      </c>
      <c r="DY4" s="118">
        <f t="shared" si="14"/>
        <v>367111650.48543686</v>
      </c>
      <c r="DZ4" s="118">
        <f t="shared" si="14"/>
        <v>378124999.99999994</v>
      </c>
      <c r="EA4" s="118">
        <f t="shared" si="14"/>
        <v>367111650.48543686</v>
      </c>
      <c r="EB4" s="15">
        <f t="shared" si="21"/>
        <v>1.4906192608956601E-11</v>
      </c>
      <c r="EC4" s="40">
        <f t="shared" si="15"/>
        <v>27500</v>
      </c>
      <c r="ED4" s="40">
        <f>IF(up_RadSpec!D4&lt;&gt;"",s_C*s_IFA_far_adj*s_K*up_RadSpec!D4,0)</f>
        <v>0</v>
      </c>
      <c r="EE4" s="40">
        <f t="shared" si="16"/>
        <v>2.5114155251141552</v>
      </c>
      <c r="EF4" s="40">
        <f>up_b2w!CC4</f>
        <v>608146.26076229871</v>
      </c>
      <c r="EG4" s="40">
        <f>IFERROR(s_C*up_RadSpec!AJ4*(1/1000)*s_IFFI_far_adj*s_CF_far_fish,0)</f>
        <v>756.25</v>
      </c>
      <c r="EH4" s="40">
        <f>IFERROR(s_C*up_RadSpec!AK4*(1/1000)*s_IFSF_far_adj*s_CF_far_shellfish,0)</f>
        <v>756.25</v>
      </c>
      <c r="EI4" s="40">
        <f>(s_C*s_IFB_far_adj*s_CF_far_beef*up_RadSpec!AI4*s_Q_w_beef*(1/1000))</f>
        <v>3781.25</v>
      </c>
      <c r="EJ4" s="40">
        <f>(s_C*s_IFD_far_adj*s_CF_far_dairy*up_RadSpec!AH4*(1/s_D_milk)*s_Q_w_dairy*(1/1000))</f>
        <v>3671.1165048543689</v>
      </c>
      <c r="EK4" s="40">
        <f>(s_C*s_IFSW_far_adj*s_CF_far_swine*up_RadSpec!AN4*s_Q_w_swine*(1/1000))</f>
        <v>3781.25</v>
      </c>
      <c r="EL4" s="40">
        <f>(s_C*s_IFP_far_adj*s_CF_far_poultry*up_RadSpec!AL4*s_Q_w_poultry*(1/1000))</f>
        <v>3781.25</v>
      </c>
      <c r="EM4" s="40">
        <f>(s_C*s_IFE_far_adj*s_CF_far_egg*up_RadSpec!AM4*s_Q_w_egg*(1/1000))</f>
        <v>3781.25</v>
      </c>
      <c r="EN4" s="40">
        <f>(s_C*s_IFGO_far_adj*s_CF_far_goat*up_RadSpec!AQ4*s_Q_p_goat*(1/1000))</f>
        <v>3781.25</v>
      </c>
      <c r="EO4" s="40">
        <f>(s_C*s_IFGM_far_adj*s_CF_far_goat_milk*up_RadSpec!AR4*(1/s_D_milk)*s_Q_p_goat_milk*(1/1000))</f>
        <v>3671.1165048543689</v>
      </c>
      <c r="EP4" s="40">
        <f>(s_C*s_IFSH_far_adj*s_CF_far_sheep*up_RadSpec!AO4*s_Q_p_sheep*(1/1000))</f>
        <v>3781.25</v>
      </c>
      <c r="EQ4" s="40">
        <f>(s_C*s_IFSM_far_adj*s_CF_far_sheep_milk*up_RadSpec!AP4*(1/s_D_milk)*s_Q_p_sheep_milk*(1/1000))</f>
        <v>3671.1165048543689</v>
      </c>
      <c r="ER4" s="18"/>
      <c r="ES4" s="18"/>
      <c r="ET4" s="18"/>
      <c r="EU4" s="18"/>
      <c r="EV4" s="18"/>
      <c r="EW4" s="18"/>
      <c r="EX4" s="18"/>
      <c r="EY4" s="18"/>
      <c r="EZ4" s="18"/>
      <c r="FA4" s="18"/>
      <c r="FB4" s="18"/>
      <c r="FC4" s="18"/>
      <c r="FD4" s="18"/>
      <c r="FE4" s="18"/>
      <c r="FF4" s="18"/>
      <c r="FG4" s="5"/>
      <c r="FH4" s="15">
        <f>IFERROR((s_TR/(up_RadSpec!F4*s_IFA_far_adj)),".")</f>
        <v>9.9740259740259755E-10</v>
      </c>
      <c r="FI4" s="15">
        <f>IFERROR((s_TR/(up_RadSpec!K4*s_EF_far*(1/365)*s_ED_far*s_ET_far*(1/24)*s_GSF_a)),".")</f>
        <v>6.3709090909090908E-6</v>
      </c>
      <c r="FJ4" s="15">
        <f t="shared" ref="FJ4:FJ30" si="22">IFERROR(IF(AND(ISNUMBER(FH4),ISNUMBER(FI4)),1/((1/FH4)+(1/FI4)),IF(AND(ISNUMBER(FH4),NOT(ISNUMBER(FI4))),1/((1/FH4)),IF(AND(NOT(ISNUMBER(FH4)),ISNUMBER(FI4)),1/((1/FI4)),IF(AND(NOT(ISNUMBER(FH4)),NOT(ISNUMBER(FI4))),".")))),".")</f>
        <v>9.9724647271019672E-10</v>
      </c>
      <c r="FK4" s="40">
        <f t="shared" si="18"/>
        <v>10026.041666666666</v>
      </c>
      <c r="FL4" s="40">
        <f t="shared" si="19"/>
        <v>1.5696347031963471</v>
      </c>
      <c r="FM4" s="120"/>
      <c r="FN4" s="120"/>
      <c r="FO4" s="120"/>
    </row>
    <row r="5" spans="1:171" customFormat="1" x14ac:dyDescent="0.25">
      <c r="A5" s="44" t="s">
        <v>15</v>
      </c>
      <c r="B5" s="42" t="s">
        <v>1071</v>
      </c>
      <c r="C5" s="249"/>
      <c r="D5" s="15">
        <f>up_dir!AC5</f>
        <v>1.6528925619834712E-11</v>
      </c>
      <c r="E5" s="15">
        <f>IFERROR(s_TR/(up_RadSpec!H5*s_IFP_far_adj*s_CF_far_poultry),".")</f>
        <v>6.6115702479338848E-11</v>
      </c>
      <c r="F5" s="15">
        <f>IFERROR(s_TR/(up_RadSpec!H5*s_IFE_far_adj*s_CF_far_egg),".")</f>
        <v>6.6115702479338848E-11</v>
      </c>
      <c r="G5" s="15">
        <f>IFERROR(s_TR/(up_RadSpec!H5*s_IFB_far_adj*s_CF_far_beef),".")</f>
        <v>6.6115702479338848E-11</v>
      </c>
      <c r="H5" s="15">
        <f>IFERROR(s_TR/(up_RadSpec!H5*s_IFD_far_adj*s_CF_far_dairy),".")</f>
        <v>6.6115702479338848E-11</v>
      </c>
      <c r="I5" s="15">
        <f>IFERROR(s_TR/(up_RadSpec!H5*s_IFSW_far_adj*s_CF_far_swine),".")</f>
        <v>6.6115702479338848E-11</v>
      </c>
      <c r="J5" s="15">
        <f>IFERROR(s_TR/(up_RadSpec!H5*s_IFFI_far_adj*s_CF_far_fish),".")</f>
        <v>6.6115702479338848E-11</v>
      </c>
      <c r="K5" s="15">
        <f>IFERROR(s_TR/(up_RadSpec!H5*s_IFSF_far_adj*s_CF_far_shellfish),".")</f>
        <v>6.6115702479338848E-11</v>
      </c>
      <c r="L5" s="15">
        <f>IFERROR(s_TR/(up_RadSpec!H5*s_IFGO_far_adj*s_CF_far_goat),".")</f>
        <v>6.6115702479338848E-11</v>
      </c>
      <c r="M5" s="15">
        <f>IFERROR(s_TR/(up_RadSpec!H5*s_IFSH_far_adj*s_CF_far_sheep),".")</f>
        <v>6.6115702479338848E-11</v>
      </c>
      <c r="N5" s="15">
        <f>IFERROR(s_TR/(up_RadSpec!H5*s_IFGM_far_adj*s_CF_far_goat_milk),".")</f>
        <v>6.6115702479338848E-11</v>
      </c>
      <c r="O5" s="15">
        <f>IFERROR(s_TR/(up_RadSpec!H5*s_IFSM_far_adj*s_CF_far_sheep_milk),".")</f>
        <v>6.6115702479338848E-11</v>
      </c>
      <c r="P5" s="40">
        <f>up_dir!BC5</f>
        <v>605000</v>
      </c>
      <c r="Q5" s="40">
        <f t="shared" si="0"/>
        <v>151250</v>
      </c>
      <c r="R5" s="40">
        <f t="shared" si="1"/>
        <v>151250</v>
      </c>
      <c r="S5" s="40">
        <f t="shared" si="2"/>
        <v>151250</v>
      </c>
      <c r="T5" s="40">
        <f t="shared" si="3"/>
        <v>151250</v>
      </c>
      <c r="U5" s="40">
        <f t="shared" si="4"/>
        <v>151250</v>
      </c>
      <c r="V5" s="40">
        <f t="shared" si="5"/>
        <v>151250</v>
      </c>
      <c r="W5" s="40">
        <f t="shared" si="6"/>
        <v>151250</v>
      </c>
      <c r="X5" s="40">
        <f t="shared" si="7"/>
        <v>151250</v>
      </c>
      <c r="Y5" s="40">
        <f t="shared" si="8"/>
        <v>151250</v>
      </c>
      <c r="Z5" s="40">
        <f t="shared" si="9"/>
        <v>151250</v>
      </c>
      <c r="AA5" s="40">
        <f t="shared" si="10"/>
        <v>151250</v>
      </c>
      <c r="AB5" s="5"/>
      <c r="AC5" s="5"/>
      <c r="AD5" s="5"/>
      <c r="AE5" s="5"/>
      <c r="AF5" s="5"/>
      <c r="AG5" s="5"/>
      <c r="AH5" s="5"/>
      <c r="AI5" s="5"/>
      <c r="AJ5" s="5"/>
      <c r="AK5" s="5"/>
      <c r="AL5" s="5"/>
      <c r="AM5" s="5"/>
      <c r="AN5" s="45">
        <f>IFERROR((s_TR/(up_RadSpec!E5*s_IFS_far_adj*(1/1000)))*1,".")</f>
        <v>3.3057851239669421E-8</v>
      </c>
      <c r="AO5" s="45">
        <f>IFERROR(IF(A5="H-3",(s_TR/(up_RadSpec!F5*s_IFA_far_adj*(1/17)*1000))*1,(s_TR/(up_RadSpec!F5*s_IFA_far_adj*(1/s_PEF_wind)*1000))*1),".")</f>
        <v>3.0899917851942918E-4</v>
      </c>
      <c r="AP5" s="45" t="str">
        <f>IFERROR((s_TR/(up_RadSpec!G5*s_EF_far*(1/365)*s_ED_far*up_RadSpec!R5*((s_ET_far_o*(1/24)*up_RadSpec!W5)+(s_ET_far_i*(1/24)*up_RadSpec!AB5))))*1,".")</f>
        <v>.</v>
      </c>
      <c r="AQ5" s="45">
        <f>up_b2s!BC5</f>
        <v>3.2968835384132272E-12</v>
      </c>
      <c r="AR5" s="45">
        <f>IFERROR(((J5*up_RadSpec!AU5)/up_RadSpec!AJ5)*1,".")</f>
        <v>6.6115702479338848E-11</v>
      </c>
      <c r="AS5" s="45">
        <f>IFERROR(((K5*up_RadSpec!AU5)/up_RadSpec!AK5)*1,".")</f>
        <v>6.6115702479338848E-11</v>
      </c>
      <c r="AT5" s="45">
        <f>IFERROR((G5/(up_RadSpec!AI5*((s_Q_p_beef*s_f_p_beef*s_f_s_beef*(up_RadSpec!BD5+s_R_es_past))+(s_Q_s_beef*s_f_p_beef))))*1,".")</f>
        <v>1.8558793678410904E-14</v>
      </c>
      <c r="AU5" s="45">
        <f>IFERROR(((H5*s_D_milk)/(up_RadSpec!AH5*((s_Q_p_dairy*s_f_p_dairy*s_f_s_dairy*(up_RadSpec!BD5+s_R_es_past))+(s_Q_s_dairy*s_f_p_dairy))))*1,".")</f>
        <v>1.9115557488763232E-14</v>
      </c>
      <c r="AV5" s="45">
        <f>IFERROR((I5/(up_RadSpec!AN5*((s_Q_p_swine*s_f_p_swine*s_f_s_swine*(up_RadSpec!BD5+s_R_es_past))+(s_Q_s_swine*s_f_p_swine))))*1,".")</f>
        <v>1.8558793678410904E-14</v>
      </c>
      <c r="AW5" s="45">
        <f>IFERROR((E5/(up_RadSpec!AL5*((s_Q_p_poultry*s_f_p_poultry*s_f_s_poultry*(up_RadSpec!BD5+s_R_es_past))+(s_Q_s_poultry*s_f_p_poultry))))*1,".")</f>
        <v>1.8558793678410904E-14</v>
      </c>
      <c r="AX5" s="45">
        <f>IFERROR((F5/(up_RadSpec!AM5*((s_Q_p_poultry*s_f_p_poultry*s_f_s_poultry*(up_RadSpec!BD5+s_R_es_past))+(s_Q_s_poultry*s_f_p_poultry))))*1,".")</f>
        <v>1.8558793678410904E-14</v>
      </c>
      <c r="AY5" s="45">
        <f>IFERROR((L5/(up_RadSpec!AQ5*((s_Q_p_goat*s_f_p_goat*s_f_s_goat*(up_RadSpec!BD5+s_R_es_past))+(s_Q_s_goat*s_f_p_goat))))*1,".")</f>
        <v>1.8558793678410904E-14</v>
      </c>
      <c r="AZ5" s="45">
        <f>IFERROR((N5*s_D_milk/(up_RadSpec!AR5*((s_Q_p_goat_milk*s_f_p_goat_milk*s_f_s_goat_milk*(up_RadSpec!BD5+s_R_es_past))+(s_Q_s_goat_milk*s_f_p_goat_milk))))*1,".")</f>
        <v>1.9115557488763232E-14</v>
      </c>
      <c r="BA5" s="45">
        <f>IFERROR((M5/(up_RadSpec!AO5*((s_Q_p_sheep*s_f_p_sheep*s_f_s_sheep*(up_RadSpec!BD5+s_R_es_past))+(s_Q_s_sheep*s_f_p_sheep))))*1,".")</f>
        <v>1.8558793678410904E-14</v>
      </c>
      <c r="BB5" s="45">
        <f>IFERROR((O5*s_D_milk/(up_RadSpec!AP5*((s_Q_p_sheep_milk*s_f_p_sheep_milk*s_f_s_sheep_milk*(up_RadSpec!BD5+s_R_es_past))+(s_Q_s_sheep_milk*s_f_p_sheep_milk))))*1,".")</f>
        <v>1.9115557488763232E-14</v>
      </c>
      <c r="BC5" s="118">
        <f t="shared" si="11"/>
        <v>30250000</v>
      </c>
      <c r="BD5" s="118">
        <f t="shared" si="11"/>
        <v>3236.2545583179349</v>
      </c>
      <c r="BE5" s="118" t="str">
        <f t="shared" si="11"/>
        <v>.</v>
      </c>
      <c r="BF5" s="118">
        <f t="shared" si="11"/>
        <v>303316749999.99994</v>
      </c>
      <c r="BG5" s="118">
        <f t="shared" si="11"/>
        <v>15124999999.999998</v>
      </c>
      <c r="BH5" s="118">
        <f t="shared" si="11"/>
        <v>15124999999.999998</v>
      </c>
      <c r="BI5" s="118">
        <f t="shared" si="11"/>
        <v>53882812500000</v>
      </c>
      <c r="BJ5" s="118">
        <f t="shared" si="11"/>
        <v>52313410194174.758</v>
      </c>
      <c r="BK5" s="118">
        <f t="shared" si="11"/>
        <v>53882812500000</v>
      </c>
      <c r="BL5" s="118">
        <f t="shared" si="11"/>
        <v>53882812500000</v>
      </c>
      <c r="BM5" s="118">
        <f t="shared" si="11"/>
        <v>53882812500000</v>
      </c>
      <c r="BN5" s="118">
        <f t="shared" si="11"/>
        <v>53882812500000</v>
      </c>
      <c r="BO5" s="118">
        <f t="shared" si="11"/>
        <v>52313410194174.758</v>
      </c>
      <c r="BP5" s="118">
        <f t="shared" si="11"/>
        <v>53882812500000</v>
      </c>
      <c r="BQ5" s="118">
        <f t="shared" si="11"/>
        <v>52313410194174.758</v>
      </c>
      <c r="BR5" s="15">
        <f t="shared" si="20"/>
        <v>2.0808592671575616E-15</v>
      </c>
      <c r="BS5" s="40">
        <f t="shared" si="12"/>
        <v>302.5</v>
      </c>
      <c r="BT5" s="40">
        <f t="shared" si="13"/>
        <v>3.2362545583179352E-2</v>
      </c>
      <c r="BU5" s="40">
        <f>IFERROR((s_C*s_EF_far*(1/365)*s_ED_far*up_RadSpec!R5*((s_ET_far_o*(1/24)*up_RadSpec!W5)+(s_ET_far_i*(1/24)*up_RadSpec!AB5))),".")</f>
        <v>0</v>
      </c>
      <c r="BV5" s="40">
        <f>up_b2s!CC5</f>
        <v>3033167.5</v>
      </c>
      <c r="BW5" s="40">
        <f>IFERROR(((s_C*up_RadSpec!AJ5)/up_RadSpec!AU5)*s_IFFI_far_adj*s_CF_far_fish,0)</f>
        <v>151250</v>
      </c>
      <c r="BX5" s="40">
        <f>IFERROR(((s_C*up_RadSpec!AK5)/up_RadSpec!AU5)*s_IFSF_far_adj*s_CF_far_shellfish,0)</f>
        <v>151250</v>
      </c>
      <c r="BY5" s="40">
        <f>(s_C*s_IFB_far_adj*s_CF_far_beef*up_RadSpec!AI5*((s_Q_p_beef*s_f_p_beef*s_f_s_beef*(up_RadSpec!$AT5+s_R_es_past))+(s_Q_s_beef*s_f_p_beef)))</f>
        <v>538828125</v>
      </c>
      <c r="BZ5" s="40">
        <f>(s_C*s_IFD_far_adj*s_CF_far_dairy*up_RadSpec!AH5*1/s_D_milk*((s_Q_p_dairy*s_f_p_dairy*s_f_s_dairy*(up_RadSpec!$AT5+s_R_es_past))+(s_Q_s_dairy*s_f_p_dairy)))</f>
        <v>523134101.94174761</v>
      </c>
      <c r="CA5" s="40">
        <f>(s_C*s_IFSW_far_adj*s_CF_far_swine*up_RadSpec!AN5*((s_Q_p_swine*s_f_p_swine*s_f_s_swine*(up_RadSpec!$AT5+s_R_es_past))+(s_Q_s_swine*s_f_p_swine)))</f>
        <v>538828125</v>
      </c>
      <c r="CB5" s="40">
        <f>(s_C*s_IFP_far_adj*s_CF_far_poultry*up_RadSpec!AL5*((s_Q_p_poultry*s_f_p_poultry*s_f_s_poultry*(up_RadSpec!AT5+s_R_es_past))+(s_Q_s_poultry*s_f_p_poultry)))</f>
        <v>538828125</v>
      </c>
      <c r="CC5" s="40">
        <f>(s_C*s_IFE_far_adj*s_CF_far_egg*up_RadSpec!AM5*((s_Q_p_egg*s_f_p_egg*s_f_s_egg*(up_RadSpec!$AT5+s_R_es_past))+(s_Q_s_egg*s_f_p_egg)))</f>
        <v>538828125</v>
      </c>
      <c r="CD5" s="40">
        <f>(s_C*s_IFGO_far_adj*s_CF_far_goat*up_RadSpec!AQ5*((s_Q_p_goat*s_f_p_goat*s_f_s_goat*(up_RadSpec!$AT5+s_R_es_past))+(s_Q_s_goat*s_f_p_goat)))</f>
        <v>538828125</v>
      </c>
      <c r="CE5" s="40">
        <f>(s_C*s_IFGM_far_adj*s_CF_far_goat_milk*up_RadSpec!AR5*1/s_D_milk*((s_Q_p_goat_milk*s_f_p_goat_milk*s_f_s_goat_milk*(up_RadSpec!$AT5+s_R_es_past))+(s_Q_s_goat_milk*s_f_p_goat_milk)))</f>
        <v>523134101.94174761</v>
      </c>
      <c r="CF5" s="40">
        <f>(s_C*s_IFSH_far_adj*s_CF_far_sheep*up_RadSpec!AO5*((s_Q_p_sheep*s_f_p_sheep*s_f_s_sheep*(up_RadSpec!$AT5+s_R_es_past))+(s_Q_s_sheep*s_f_p_sheep)))</f>
        <v>538828125</v>
      </c>
      <c r="CG5" s="40">
        <f>(s_C*s_IFSM_far_adj*s_CF_far_sheep_milk*up_RadSpec!AP5*1/s_D_milk*((s_Q_p_sheep_milk*s_f_p_sheep_milk*s_f_s_sheep_milk*(up_RadSpec!$AT5+s_R_es_past))+(s_Q_s_sheep_milk*s_f_p_sheep_milk)))</f>
        <v>523134101.94174761</v>
      </c>
      <c r="CH5" s="18"/>
      <c r="CI5" s="18"/>
      <c r="CJ5" s="18"/>
      <c r="CK5" s="18"/>
      <c r="CL5" s="18"/>
      <c r="CM5" s="18"/>
      <c r="CN5" s="18"/>
      <c r="CO5" s="18"/>
      <c r="CP5" s="18"/>
      <c r="CQ5" s="18"/>
      <c r="CR5" s="18"/>
      <c r="CS5" s="18"/>
      <c r="CT5" s="18"/>
      <c r="CU5" s="18"/>
      <c r="CV5" s="18"/>
      <c r="CW5" s="5"/>
      <c r="CX5" s="15">
        <f>IFERROR(s_TR/(up_RadSpec!I5*s_IFW_far_adj),".")</f>
        <v>3.6363636363636369E-10</v>
      </c>
      <c r="CY5" s="15">
        <f>IFERROR(IF(AND(up_RadSpec!C5=1,up_RadSpec!D5&lt;&gt;0),s_TR/(up_RadSpec!F5*s_IFA_far_adj*s_K*up_RadSpec!D5),"."),".")</f>
        <v>1.3732464063589893E-5</v>
      </c>
      <c r="CZ5" s="15">
        <f>IFERROR((s_TR/(up_RadSpec!M5*(1/8760)*s_DFA_far_adj)),".")</f>
        <v>3.9818181818181825E-6</v>
      </c>
      <c r="DA5" s="15">
        <f>up_b2w!BC5</f>
        <v>1.6443412786038031E-11</v>
      </c>
      <c r="DB5" s="15">
        <f>IFERROR(J5/(up_RadSpec!AJ5*(1/1000)),".")</f>
        <v>1.322314049586777E-8</v>
      </c>
      <c r="DC5" s="15">
        <f>IFERROR(K5/(up_RadSpec!AK5*(1/1000)),".")</f>
        <v>1.322314049586777E-8</v>
      </c>
      <c r="DD5" s="15">
        <f>IFERROR(G5/(up_RadSpec!AI5*s_Q_w_beef*(1/1000)),".")</f>
        <v>2.6446280991735539E-9</v>
      </c>
      <c r="DE5" s="15">
        <f>IFERROR((H5*s_D_milk)/(up_RadSpec!AH5*s_Q_w_dairy*(1/1000)),".")</f>
        <v>2.7239669421487605E-9</v>
      </c>
      <c r="DF5" s="15">
        <f>IFERROR(I5/(up_RadSpec!AN5*s_Q_w_swine*(1/1000)),".")</f>
        <v>2.6446280991735539E-9</v>
      </c>
      <c r="DG5" s="15">
        <f>IFERROR(E5/(up_RadSpec!AL5*s_Q_w_poultry*(1/1000)),".")</f>
        <v>2.6446280991735539E-9</v>
      </c>
      <c r="DH5" s="15">
        <f>IFERROR(F5/(up_RadSpec!AM5*s_Q_w_poultry*(1/1000)),".")</f>
        <v>2.6446280991735539E-9</v>
      </c>
      <c r="DI5" s="15">
        <f>IFERROR(L5/(up_RadSpec!AQ5*s_Q_w_goat*(1/1000)),".")</f>
        <v>2.6446280991735539E-9</v>
      </c>
      <c r="DJ5" s="15">
        <f>IFERROR(N5*s_D_milk/(up_RadSpec!AR5*s_Q_w_goat_milk*(1/1000)),".")</f>
        <v>2.7239669421487605E-9</v>
      </c>
      <c r="DK5" s="15">
        <f>IFERROR(M5/(up_RadSpec!AO5*s_Q_w_sheep*(1/1000)),".")</f>
        <v>2.6446280991735539E-9</v>
      </c>
      <c r="DL5" s="15">
        <f>IFERROR(O5*s_D_milk/(up_RadSpec!AP5*s_Q_w_sheep_milk*(1/1000)),".")</f>
        <v>2.7239669421487605E-9</v>
      </c>
      <c r="DM5" s="118">
        <f t="shared" si="14"/>
        <v>2749999999.9999995</v>
      </c>
      <c r="DN5" s="118">
        <f t="shared" si="14"/>
        <v>72820.143229166657</v>
      </c>
      <c r="DO5" s="118">
        <f t="shared" si="14"/>
        <v>251141.55251141547</v>
      </c>
      <c r="DP5" s="118">
        <f t="shared" si="14"/>
        <v>60814626076.229866</v>
      </c>
      <c r="DQ5" s="118">
        <f t="shared" si="14"/>
        <v>75624999.999999985</v>
      </c>
      <c r="DR5" s="118">
        <f t="shared" si="14"/>
        <v>75624999.999999985</v>
      </c>
      <c r="DS5" s="118">
        <f t="shared" si="14"/>
        <v>378124999.99999994</v>
      </c>
      <c r="DT5" s="118">
        <f t="shared" si="14"/>
        <v>367111650.48543686</v>
      </c>
      <c r="DU5" s="118">
        <f t="shared" si="14"/>
        <v>378124999.99999994</v>
      </c>
      <c r="DV5" s="118">
        <f t="shared" si="14"/>
        <v>378124999.99999994</v>
      </c>
      <c r="DW5" s="118">
        <f t="shared" si="14"/>
        <v>378124999.99999994</v>
      </c>
      <c r="DX5" s="118">
        <f t="shared" si="14"/>
        <v>378124999.99999994</v>
      </c>
      <c r="DY5" s="118">
        <f t="shared" si="14"/>
        <v>367111650.48543686</v>
      </c>
      <c r="DZ5" s="118">
        <f t="shared" si="14"/>
        <v>378124999.99999994</v>
      </c>
      <c r="EA5" s="118">
        <f t="shared" si="14"/>
        <v>367111650.48543686</v>
      </c>
      <c r="EB5" s="15">
        <f t="shared" si="21"/>
        <v>1.4906176428733162E-11</v>
      </c>
      <c r="EC5" s="40">
        <f t="shared" si="15"/>
        <v>27500</v>
      </c>
      <c r="ED5" s="40">
        <f>IF(up_RadSpec!D5&lt;&gt;"",s_C*s_IFA_far_adj*s_K*up_RadSpec!D5,0)</f>
        <v>0.72820143229166667</v>
      </c>
      <c r="EE5" s="40">
        <f t="shared" si="16"/>
        <v>2.5114155251141552</v>
      </c>
      <c r="EF5" s="40">
        <f>up_b2w!CC5</f>
        <v>608146.26076229871</v>
      </c>
      <c r="EG5" s="40">
        <f>IFERROR(s_C*up_RadSpec!AJ5*(1/1000)*s_IFFI_far_adj*s_CF_far_fish,0)</f>
        <v>756.25</v>
      </c>
      <c r="EH5" s="40">
        <f>IFERROR(s_C*up_RadSpec!AK5*(1/1000)*s_IFSF_far_adj*s_CF_far_shellfish,0)</f>
        <v>756.25</v>
      </c>
      <c r="EI5" s="40">
        <f>(s_C*s_IFB_far_adj*s_CF_far_beef*up_RadSpec!AI5*s_Q_w_beef*(1/1000))</f>
        <v>3781.25</v>
      </c>
      <c r="EJ5" s="40">
        <f>(s_C*s_IFD_far_adj*s_CF_far_dairy*up_RadSpec!AH5*(1/s_D_milk)*s_Q_w_dairy*(1/1000))</f>
        <v>3671.1165048543689</v>
      </c>
      <c r="EK5" s="40">
        <f>(s_C*s_IFSW_far_adj*s_CF_far_swine*up_RadSpec!AN5*s_Q_w_swine*(1/1000))</f>
        <v>3781.25</v>
      </c>
      <c r="EL5" s="40">
        <f>(s_C*s_IFP_far_adj*s_CF_far_poultry*up_RadSpec!AL5*s_Q_w_poultry*(1/1000))</f>
        <v>3781.25</v>
      </c>
      <c r="EM5" s="40">
        <f>(s_C*s_IFE_far_adj*s_CF_far_egg*up_RadSpec!AM5*s_Q_w_egg*(1/1000))</f>
        <v>3781.25</v>
      </c>
      <c r="EN5" s="40">
        <f>(s_C*s_IFGO_far_adj*s_CF_far_goat*up_RadSpec!AQ5*s_Q_p_goat*(1/1000))</f>
        <v>3781.25</v>
      </c>
      <c r="EO5" s="40">
        <f>(s_C*s_IFGM_far_adj*s_CF_far_goat_milk*up_RadSpec!AR5*(1/s_D_milk)*s_Q_p_goat_milk*(1/1000))</f>
        <v>3671.1165048543689</v>
      </c>
      <c r="EP5" s="40">
        <f>(s_C*s_IFSH_far_adj*s_CF_far_sheep*up_RadSpec!AO5*s_Q_p_sheep*(1/1000))</f>
        <v>3781.25</v>
      </c>
      <c r="EQ5" s="40">
        <f>(s_C*s_IFSM_far_adj*s_CF_far_sheep_milk*up_RadSpec!AP5*(1/s_D_milk)*s_Q_p_sheep_milk*(1/1000))</f>
        <v>3671.1165048543689</v>
      </c>
      <c r="ER5" s="18"/>
      <c r="ES5" s="18"/>
      <c r="ET5" s="18"/>
      <c r="EU5" s="18"/>
      <c r="EV5" s="18"/>
      <c r="EW5" s="18"/>
      <c r="EX5" s="18"/>
      <c r="EY5" s="18"/>
      <c r="EZ5" s="18"/>
      <c r="FA5" s="18"/>
      <c r="FB5" s="18"/>
      <c r="FC5" s="18"/>
      <c r="FD5" s="18"/>
      <c r="FE5" s="18"/>
      <c r="FF5" s="18"/>
      <c r="FG5" s="5"/>
      <c r="FH5" s="15">
        <f>IFERROR((s_TR/(up_RadSpec!F5*s_IFA_far_adj)),".")</f>
        <v>9.9740259740259755E-10</v>
      </c>
      <c r="FI5" s="15">
        <f>IFERROR((s_TR/(up_RadSpec!K5*s_EF_far*(1/365)*s_ED_far*s_ET_far*(1/24)*s_GSF_a)),".")</f>
        <v>6.3709090909090908E-6</v>
      </c>
      <c r="FJ5" s="15">
        <f t="shared" si="22"/>
        <v>9.9724647271019672E-10</v>
      </c>
      <c r="FK5" s="40">
        <f t="shared" si="18"/>
        <v>10026.041666666666</v>
      </c>
      <c r="FL5" s="40">
        <f t="shared" si="19"/>
        <v>1.5696347031963471</v>
      </c>
      <c r="FM5" s="120"/>
      <c r="FN5" s="120"/>
      <c r="FO5" s="120"/>
    </row>
    <row r="6" spans="1:171" customFormat="1" x14ac:dyDescent="0.25">
      <c r="A6" s="44" t="s">
        <v>16</v>
      </c>
      <c r="B6" s="42" t="s">
        <v>1071</v>
      </c>
      <c r="C6" s="42"/>
      <c r="D6" s="15">
        <f>up_dir!AC6</f>
        <v>1.6528925619834712E-11</v>
      </c>
      <c r="E6" s="15">
        <f>IFERROR(s_TR/(up_RadSpec!H6*s_IFP_far_adj*s_CF_far_poultry),".")</f>
        <v>6.6115702479338848E-11</v>
      </c>
      <c r="F6" s="15">
        <f>IFERROR(s_TR/(up_RadSpec!H6*s_IFE_far_adj*s_CF_far_egg),".")</f>
        <v>6.6115702479338848E-11</v>
      </c>
      <c r="G6" s="15">
        <f>IFERROR(s_TR/(up_RadSpec!H6*s_IFB_far_adj*s_CF_far_beef),".")</f>
        <v>6.6115702479338848E-11</v>
      </c>
      <c r="H6" s="15">
        <f>IFERROR(s_TR/(up_RadSpec!H6*s_IFD_far_adj*s_CF_far_dairy),".")</f>
        <v>6.6115702479338848E-11</v>
      </c>
      <c r="I6" s="15">
        <f>IFERROR(s_TR/(up_RadSpec!H6*s_IFSW_far_adj*s_CF_far_swine),".")</f>
        <v>6.6115702479338848E-11</v>
      </c>
      <c r="J6" s="15">
        <f>IFERROR(s_TR/(up_RadSpec!H6*s_IFFI_far_adj*s_CF_far_fish),".")</f>
        <v>6.6115702479338848E-11</v>
      </c>
      <c r="K6" s="15">
        <f>IFERROR(s_TR/(up_RadSpec!H6*s_IFSF_far_adj*s_CF_far_shellfish),".")</f>
        <v>6.6115702479338848E-11</v>
      </c>
      <c r="L6" s="15">
        <f>IFERROR(s_TR/(up_RadSpec!H6*s_IFGO_far_adj*s_CF_far_goat),".")</f>
        <v>6.6115702479338848E-11</v>
      </c>
      <c r="M6" s="15">
        <f>IFERROR(s_TR/(up_RadSpec!H6*s_IFSH_far_adj*s_CF_far_sheep),".")</f>
        <v>6.6115702479338848E-11</v>
      </c>
      <c r="N6" s="15">
        <f>IFERROR(s_TR/(up_RadSpec!H6*s_IFGM_far_adj*s_CF_far_goat_milk),".")</f>
        <v>6.6115702479338848E-11</v>
      </c>
      <c r="O6" s="15">
        <f>IFERROR(s_TR/(up_RadSpec!H6*s_IFSM_far_adj*s_CF_far_sheep_milk),".")</f>
        <v>6.6115702479338848E-11</v>
      </c>
      <c r="P6" s="40">
        <f>up_dir!BC6</f>
        <v>605000</v>
      </c>
      <c r="Q6" s="40">
        <f t="shared" si="0"/>
        <v>151250</v>
      </c>
      <c r="R6" s="40">
        <f t="shared" si="1"/>
        <v>151250</v>
      </c>
      <c r="S6" s="40">
        <f t="shared" si="2"/>
        <v>151250</v>
      </c>
      <c r="T6" s="40">
        <f t="shared" si="3"/>
        <v>151250</v>
      </c>
      <c r="U6" s="40">
        <f t="shared" si="4"/>
        <v>151250</v>
      </c>
      <c r="V6" s="40">
        <f t="shared" si="5"/>
        <v>151250</v>
      </c>
      <c r="W6" s="40">
        <f t="shared" si="6"/>
        <v>151250</v>
      </c>
      <c r="X6" s="40">
        <f t="shared" si="7"/>
        <v>151250</v>
      </c>
      <c r="Y6" s="40">
        <f t="shared" si="8"/>
        <v>151250</v>
      </c>
      <c r="Z6" s="40">
        <f t="shared" si="9"/>
        <v>151250</v>
      </c>
      <c r="AA6" s="40">
        <f t="shared" si="10"/>
        <v>151250</v>
      </c>
      <c r="AB6" s="5"/>
      <c r="AC6" s="5"/>
      <c r="AD6" s="5"/>
      <c r="AE6" s="5"/>
      <c r="AF6" s="5"/>
      <c r="AG6" s="5"/>
      <c r="AH6" s="5"/>
      <c r="AI6" s="5"/>
      <c r="AJ6" s="5"/>
      <c r="AK6" s="5"/>
      <c r="AL6" s="5"/>
      <c r="AM6" s="5"/>
      <c r="AN6" s="45">
        <f>IFERROR((s_TR/(up_RadSpec!E6*s_IFS_far_adj*(1/1000)))*1,".")</f>
        <v>3.3057851239669421E-8</v>
      </c>
      <c r="AO6" s="45">
        <f>IFERROR(IF(A6="H-3",(s_TR/(up_RadSpec!F6*s_IFA_far_adj*(1/17)*1000))*1,(s_TR/(up_RadSpec!F6*s_IFA_far_adj*(1/s_PEF_wind)*1000))*1),".")</f>
        <v>3.0899917851942918E-4</v>
      </c>
      <c r="AP6" s="45">
        <f>IFERROR((s_TR/(up_RadSpec!G6*s_EF_far*(1/365)*s_ED_far*up_RadSpec!R6*((s_ET_far_o*(1/24)*up_RadSpec!W6)+(s_ET_far_i*(1/24)*up_RadSpec!AB6))))*1,".")</f>
        <v>1.7686137198332319E-5</v>
      </c>
      <c r="AQ6" s="45">
        <f>up_b2s!BC6</f>
        <v>3.2968835384132272E-12</v>
      </c>
      <c r="AR6" s="45">
        <f>IFERROR(((J6*up_RadSpec!AU6)/up_RadSpec!AJ6)*1,".")</f>
        <v>6.6115702479338848E-11</v>
      </c>
      <c r="AS6" s="45">
        <f>IFERROR(((K6*up_RadSpec!AU6)/up_RadSpec!AK6)*1,".")</f>
        <v>6.6115702479338848E-11</v>
      </c>
      <c r="AT6" s="45">
        <f>IFERROR((G6/(up_RadSpec!AI6*((s_Q_p_beef*s_f_p_beef*s_f_s_beef*(up_RadSpec!BD6+s_R_es_past))+(s_Q_s_beef*s_f_p_beef))))*1,".")</f>
        <v>1.8558793678410904E-14</v>
      </c>
      <c r="AU6" s="45">
        <f>IFERROR(((H6*s_D_milk)/(up_RadSpec!AH6*((s_Q_p_dairy*s_f_p_dairy*s_f_s_dairy*(up_RadSpec!BD6+s_R_es_past))+(s_Q_s_dairy*s_f_p_dairy))))*1,".")</f>
        <v>1.9115557488763232E-14</v>
      </c>
      <c r="AV6" s="45">
        <f>IFERROR((I6/(up_RadSpec!AN6*((s_Q_p_swine*s_f_p_swine*s_f_s_swine*(up_RadSpec!BD6+s_R_es_past))+(s_Q_s_swine*s_f_p_swine))))*1,".")</f>
        <v>1.8558793678410904E-14</v>
      </c>
      <c r="AW6" s="45">
        <f>IFERROR((E6/(up_RadSpec!AL6*((s_Q_p_poultry*s_f_p_poultry*s_f_s_poultry*(up_RadSpec!BD6+s_R_es_past))+(s_Q_s_poultry*s_f_p_poultry))))*1,".")</f>
        <v>1.8558793678410904E-14</v>
      </c>
      <c r="AX6" s="45">
        <f>IFERROR((F6/(up_RadSpec!AM6*((s_Q_p_poultry*s_f_p_poultry*s_f_s_poultry*(up_RadSpec!BD6+s_R_es_past))+(s_Q_s_poultry*s_f_p_poultry))))*1,".")</f>
        <v>1.8558793678410904E-14</v>
      </c>
      <c r="AY6" s="45">
        <f>IFERROR((L6/(up_RadSpec!AQ6*((s_Q_p_goat*s_f_p_goat*s_f_s_goat*(up_RadSpec!BD6+s_R_es_past))+(s_Q_s_goat*s_f_p_goat))))*1,".")</f>
        <v>1.8558793678410904E-14</v>
      </c>
      <c r="AZ6" s="45">
        <f>IFERROR((N6*s_D_milk/(up_RadSpec!AR6*((s_Q_p_goat_milk*s_f_p_goat_milk*s_f_s_goat_milk*(up_RadSpec!BD6+s_R_es_past))+(s_Q_s_goat_milk*s_f_p_goat_milk))))*1,".")</f>
        <v>1.9115557488763232E-14</v>
      </c>
      <c r="BA6" s="45">
        <f>IFERROR((M6/(up_RadSpec!AO6*((s_Q_p_sheep*s_f_p_sheep*s_f_s_sheep*(up_RadSpec!BD6+s_R_es_past))+(s_Q_s_sheep*s_f_p_sheep))))*1,".")</f>
        <v>1.8558793678410904E-14</v>
      </c>
      <c r="BB6" s="45">
        <f>IFERROR((O6*s_D_milk/(up_RadSpec!AP6*((s_Q_p_sheep_milk*s_f_p_sheep_milk*s_f_s_sheep_milk*(up_RadSpec!BD6+s_R_es_past))+(s_Q_s_sheep_milk*s_f_p_sheep_milk))))*1,".")</f>
        <v>1.9115557488763232E-14</v>
      </c>
      <c r="BC6" s="118">
        <f t="shared" si="11"/>
        <v>30250000</v>
      </c>
      <c r="BD6" s="118">
        <f t="shared" si="11"/>
        <v>3236.2545583179349</v>
      </c>
      <c r="BE6" s="118">
        <f t="shared" si="11"/>
        <v>56541.458928312124</v>
      </c>
      <c r="BF6" s="118">
        <f t="shared" si="11"/>
        <v>303316749999.99994</v>
      </c>
      <c r="BG6" s="118">
        <f t="shared" si="11"/>
        <v>15124999999.999998</v>
      </c>
      <c r="BH6" s="118">
        <f t="shared" si="11"/>
        <v>15124999999.999998</v>
      </c>
      <c r="BI6" s="118">
        <f t="shared" si="11"/>
        <v>53882812500000</v>
      </c>
      <c r="BJ6" s="118">
        <f t="shared" si="11"/>
        <v>52313410194174.758</v>
      </c>
      <c r="BK6" s="118">
        <f t="shared" si="11"/>
        <v>53882812500000</v>
      </c>
      <c r="BL6" s="118">
        <f t="shared" si="11"/>
        <v>53882812500000</v>
      </c>
      <c r="BM6" s="118">
        <f t="shared" si="11"/>
        <v>53882812500000</v>
      </c>
      <c r="BN6" s="118">
        <f t="shared" si="11"/>
        <v>53882812500000</v>
      </c>
      <c r="BO6" s="118">
        <f t="shared" si="11"/>
        <v>52313410194174.758</v>
      </c>
      <c r="BP6" s="118">
        <f t="shared" si="11"/>
        <v>53882812500000</v>
      </c>
      <c r="BQ6" s="118">
        <f t="shared" si="11"/>
        <v>52313410194174.758</v>
      </c>
      <c r="BR6" s="15">
        <f t="shared" si="20"/>
        <v>2.0808592669127382E-15</v>
      </c>
      <c r="BS6" s="40">
        <f t="shared" si="12"/>
        <v>302.5</v>
      </c>
      <c r="BT6" s="40">
        <f t="shared" si="13"/>
        <v>3.2362545583179352E-2</v>
      </c>
      <c r="BU6" s="40">
        <f>IFERROR((s_C*s_EF_far*(1/365)*s_ED_far*up_RadSpec!R6*((s_ET_far_o*(1/24)*up_RadSpec!W6)+(s_ET_far_i*(1/24)*up_RadSpec!AB6))),".")</f>
        <v>0.56541458928312127</v>
      </c>
      <c r="BV6" s="40">
        <f>up_b2s!CC6</f>
        <v>3033167.5</v>
      </c>
      <c r="BW6" s="40">
        <f>IFERROR(((s_C*up_RadSpec!AJ6)/up_RadSpec!AU6)*s_IFFI_far_adj*s_CF_far_fish,0)</f>
        <v>151250</v>
      </c>
      <c r="BX6" s="40">
        <f>IFERROR(((s_C*up_RadSpec!AK6)/up_RadSpec!AU6)*s_IFSF_far_adj*s_CF_far_shellfish,0)</f>
        <v>151250</v>
      </c>
      <c r="BY6" s="40">
        <f>(s_C*s_IFB_far_adj*s_CF_far_beef*up_RadSpec!AI6*((s_Q_p_beef*s_f_p_beef*s_f_s_beef*(up_RadSpec!$AT6+s_R_es_past))+(s_Q_s_beef*s_f_p_beef)))</f>
        <v>538828125</v>
      </c>
      <c r="BZ6" s="40">
        <f>(s_C*s_IFD_far_adj*s_CF_far_dairy*up_RadSpec!AH6*1/s_D_milk*((s_Q_p_dairy*s_f_p_dairy*s_f_s_dairy*(up_RadSpec!$AT6+s_R_es_past))+(s_Q_s_dairy*s_f_p_dairy)))</f>
        <v>523134101.94174761</v>
      </c>
      <c r="CA6" s="40">
        <f>(s_C*s_IFSW_far_adj*s_CF_far_swine*up_RadSpec!AN6*((s_Q_p_swine*s_f_p_swine*s_f_s_swine*(up_RadSpec!$AT6+s_R_es_past))+(s_Q_s_swine*s_f_p_swine)))</f>
        <v>538828125</v>
      </c>
      <c r="CB6" s="40">
        <f>(s_C*s_IFP_far_adj*s_CF_far_poultry*up_RadSpec!AL6*((s_Q_p_poultry*s_f_p_poultry*s_f_s_poultry*(up_RadSpec!AT6+s_R_es_past))+(s_Q_s_poultry*s_f_p_poultry)))</f>
        <v>538828125</v>
      </c>
      <c r="CC6" s="40">
        <f>(s_C*s_IFE_far_adj*s_CF_far_egg*up_RadSpec!AM6*((s_Q_p_egg*s_f_p_egg*s_f_s_egg*(up_RadSpec!$AT6+s_R_es_past))+(s_Q_s_egg*s_f_p_egg)))</f>
        <v>538828125</v>
      </c>
      <c r="CD6" s="40">
        <f>(s_C*s_IFGO_far_adj*s_CF_far_goat*up_RadSpec!AQ6*((s_Q_p_goat*s_f_p_goat*s_f_s_goat*(up_RadSpec!$AT6+s_R_es_past))+(s_Q_s_goat*s_f_p_goat)))</f>
        <v>538828125</v>
      </c>
      <c r="CE6" s="40">
        <f>(s_C*s_IFGM_far_adj*s_CF_far_goat_milk*up_RadSpec!AR6*1/s_D_milk*((s_Q_p_goat_milk*s_f_p_goat_milk*s_f_s_goat_milk*(up_RadSpec!$AT6+s_R_es_past))+(s_Q_s_goat_milk*s_f_p_goat_milk)))</f>
        <v>523134101.94174761</v>
      </c>
      <c r="CF6" s="40">
        <f>(s_C*s_IFSH_far_adj*s_CF_far_sheep*up_RadSpec!AO6*((s_Q_p_sheep*s_f_p_sheep*s_f_s_sheep*(up_RadSpec!$AT6+s_R_es_past))+(s_Q_s_sheep*s_f_p_sheep)))</f>
        <v>538828125</v>
      </c>
      <c r="CG6" s="40">
        <f>(s_C*s_IFSM_far_adj*s_CF_far_sheep_milk*up_RadSpec!AP6*1/s_D_milk*((s_Q_p_sheep_milk*s_f_p_sheep_milk*s_f_s_sheep_milk*(up_RadSpec!$AT6+s_R_es_past))+(s_Q_s_sheep_milk*s_f_p_sheep_milk)))</f>
        <v>523134101.94174761</v>
      </c>
      <c r="CH6" s="18"/>
      <c r="CI6" s="18"/>
      <c r="CJ6" s="18"/>
      <c r="CK6" s="18"/>
      <c r="CL6" s="18"/>
      <c r="CM6" s="18"/>
      <c r="CN6" s="18"/>
      <c r="CO6" s="18"/>
      <c r="CP6" s="18"/>
      <c r="CQ6" s="18"/>
      <c r="CR6" s="18"/>
      <c r="CS6" s="18"/>
      <c r="CT6" s="18"/>
      <c r="CU6" s="18"/>
      <c r="CV6" s="18"/>
      <c r="CW6" s="5"/>
      <c r="CX6" s="15">
        <f>IFERROR(s_TR/(up_RadSpec!I6*s_IFW_far_adj),".")</f>
        <v>3.6363636363636369E-10</v>
      </c>
      <c r="CY6" s="15" t="str">
        <f>IFERROR(IF(AND(up_RadSpec!C6=1,up_RadSpec!D6&lt;&gt;0),s_TR/(up_RadSpec!F6*s_IFA_far_adj*s_K*up_RadSpec!D6),"."),".")</f>
        <v>.</v>
      </c>
      <c r="CZ6" s="15">
        <f>IFERROR((s_TR/(up_RadSpec!M6*(1/8760)*s_DFA_far_adj)),".")</f>
        <v>3.9818181818181825E-6</v>
      </c>
      <c r="DA6" s="15">
        <f>up_b2w!BC6</f>
        <v>1.6443412786038031E-11</v>
      </c>
      <c r="DB6" s="15">
        <f>IFERROR(J6/(up_RadSpec!AJ6*(1/1000)),".")</f>
        <v>1.322314049586777E-8</v>
      </c>
      <c r="DC6" s="15">
        <f>IFERROR(K6/(up_RadSpec!AK6*(1/1000)),".")</f>
        <v>1.322314049586777E-8</v>
      </c>
      <c r="DD6" s="15">
        <f>IFERROR(G6/(up_RadSpec!AI6*s_Q_w_beef*(1/1000)),".")</f>
        <v>2.6446280991735539E-9</v>
      </c>
      <c r="DE6" s="15">
        <f>IFERROR((H6*s_D_milk)/(up_RadSpec!AH6*s_Q_w_dairy*(1/1000)),".")</f>
        <v>2.7239669421487605E-9</v>
      </c>
      <c r="DF6" s="15">
        <f>IFERROR(I6/(up_RadSpec!AN6*s_Q_w_swine*(1/1000)),".")</f>
        <v>2.6446280991735539E-9</v>
      </c>
      <c r="DG6" s="15">
        <f>IFERROR(E6/(up_RadSpec!AL6*s_Q_w_poultry*(1/1000)),".")</f>
        <v>2.6446280991735539E-9</v>
      </c>
      <c r="DH6" s="15">
        <f>IFERROR(F6/(up_RadSpec!AM6*s_Q_w_poultry*(1/1000)),".")</f>
        <v>2.6446280991735539E-9</v>
      </c>
      <c r="DI6" s="15">
        <f>IFERROR(L6/(up_RadSpec!AQ6*s_Q_w_goat*(1/1000)),".")</f>
        <v>2.6446280991735539E-9</v>
      </c>
      <c r="DJ6" s="15">
        <f>IFERROR(N6*s_D_milk/(up_RadSpec!AR6*s_Q_w_goat_milk*(1/1000)),".")</f>
        <v>2.7239669421487605E-9</v>
      </c>
      <c r="DK6" s="15">
        <f>IFERROR(M6/(up_RadSpec!AO6*s_Q_w_sheep*(1/1000)),".")</f>
        <v>2.6446280991735539E-9</v>
      </c>
      <c r="DL6" s="15">
        <f>IFERROR(O6*s_D_milk/(up_RadSpec!AP6*s_Q_w_sheep_milk*(1/1000)),".")</f>
        <v>2.7239669421487605E-9</v>
      </c>
      <c r="DM6" s="118">
        <f t="shared" si="14"/>
        <v>2749999999.9999995</v>
      </c>
      <c r="DN6" s="118" t="str">
        <f t="shared" si="14"/>
        <v>.</v>
      </c>
      <c r="DO6" s="118">
        <f t="shared" si="14"/>
        <v>251141.55251141547</v>
      </c>
      <c r="DP6" s="118">
        <f t="shared" si="14"/>
        <v>60814626076.229866</v>
      </c>
      <c r="DQ6" s="118">
        <f t="shared" si="14"/>
        <v>75624999.999999985</v>
      </c>
      <c r="DR6" s="118">
        <f t="shared" si="14"/>
        <v>75624999.999999985</v>
      </c>
      <c r="DS6" s="118">
        <f t="shared" si="14"/>
        <v>378124999.99999994</v>
      </c>
      <c r="DT6" s="118">
        <f t="shared" si="14"/>
        <v>367111650.48543686</v>
      </c>
      <c r="DU6" s="118">
        <f t="shared" si="14"/>
        <v>378124999.99999994</v>
      </c>
      <c r="DV6" s="118">
        <f t="shared" si="14"/>
        <v>378124999.99999994</v>
      </c>
      <c r="DW6" s="118">
        <f t="shared" si="14"/>
        <v>378124999.99999994</v>
      </c>
      <c r="DX6" s="118">
        <f t="shared" si="14"/>
        <v>378124999.99999994</v>
      </c>
      <c r="DY6" s="118">
        <f t="shared" si="14"/>
        <v>367111650.48543686</v>
      </c>
      <c r="DZ6" s="118">
        <f t="shared" si="14"/>
        <v>378124999.99999994</v>
      </c>
      <c r="EA6" s="118">
        <f t="shared" si="14"/>
        <v>367111650.48543686</v>
      </c>
      <c r="EB6" s="15">
        <f t="shared" si="21"/>
        <v>1.4906192608956601E-11</v>
      </c>
      <c r="EC6" s="40">
        <f t="shared" si="15"/>
        <v>27500</v>
      </c>
      <c r="ED6" s="40">
        <f>IF(up_RadSpec!D6&lt;&gt;"",s_C*s_IFA_far_adj*s_K*up_RadSpec!D6,0)</f>
        <v>0</v>
      </c>
      <c r="EE6" s="40">
        <f t="shared" si="16"/>
        <v>2.5114155251141552</v>
      </c>
      <c r="EF6" s="40">
        <f>up_b2w!CC6</f>
        <v>608146.26076229871</v>
      </c>
      <c r="EG6" s="40">
        <f>IFERROR(s_C*up_RadSpec!AJ6*(1/1000)*s_IFFI_far_adj*s_CF_far_fish,0)</f>
        <v>756.25</v>
      </c>
      <c r="EH6" s="40">
        <f>IFERROR(s_C*up_RadSpec!AK6*(1/1000)*s_IFSF_far_adj*s_CF_far_shellfish,0)</f>
        <v>756.25</v>
      </c>
      <c r="EI6" s="40">
        <f>(s_C*s_IFB_far_adj*s_CF_far_beef*up_RadSpec!AI6*s_Q_w_beef*(1/1000))</f>
        <v>3781.25</v>
      </c>
      <c r="EJ6" s="40">
        <f>(s_C*s_IFD_far_adj*s_CF_far_dairy*up_RadSpec!AH6*(1/s_D_milk)*s_Q_w_dairy*(1/1000))</f>
        <v>3671.1165048543689</v>
      </c>
      <c r="EK6" s="40">
        <f>(s_C*s_IFSW_far_adj*s_CF_far_swine*up_RadSpec!AN6*s_Q_w_swine*(1/1000))</f>
        <v>3781.25</v>
      </c>
      <c r="EL6" s="40">
        <f>(s_C*s_IFP_far_adj*s_CF_far_poultry*up_RadSpec!AL6*s_Q_w_poultry*(1/1000))</f>
        <v>3781.25</v>
      </c>
      <c r="EM6" s="40">
        <f>(s_C*s_IFE_far_adj*s_CF_far_egg*up_RadSpec!AM6*s_Q_w_egg*(1/1000))</f>
        <v>3781.25</v>
      </c>
      <c r="EN6" s="40">
        <f>(s_C*s_IFGO_far_adj*s_CF_far_goat*up_RadSpec!AQ6*s_Q_p_goat*(1/1000))</f>
        <v>3781.25</v>
      </c>
      <c r="EO6" s="40">
        <f>(s_C*s_IFGM_far_adj*s_CF_far_goat_milk*up_RadSpec!AR6*(1/s_D_milk)*s_Q_p_goat_milk*(1/1000))</f>
        <v>3671.1165048543689</v>
      </c>
      <c r="EP6" s="40">
        <f>(s_C*s_IFSH_far_adj*s_CF_far_sheep*up_RadSpec!AO6*s_Q_p_sheep*(1/1000))</f>
        <v>3781.25</v>
      </c>
      <c r="EQ6" s="40">
        <f>(s_C*s_IFSM_far_adj*s_CF_far_sheep_milk*up_RadSpec!AP6*(1/s_D_milk)*s_Q_p_sheep_milk*(1/1000))</f>
        <v>3671.1165048543689</v>
      </c>
      <c r="ER6" s="18"/>
      <c r="ES6" s="18"/>
      <c r="ET6" s="18"/>
      <c r="EU6" s="18"/>
      <c r="EV6" s="18"/>
      <c r="EW6" s="18"/>
      <c r="EX6" s="18"/>
      <c r="EY6" s="18"/>
      <c r="EZ6" s="18"/>
      <c r="FA6" s="18"/>
      <c r="FB6" s="18"/>
      <c r="FC6" s="18"/>
      <c r="FD6" s="18"/>
      <c r="FE6" s="18"/>
      <c r="FF6" s="18"/>
      <c r="FG6" s="5"/>
      <c r="FH6" s="15">
        <f>IFERROR((s_TR/(up_RadSpec!F6*s_IFA_far_adj)),".")</f>
        <v>9.9740259740259755E-10</v>
      </c>
      <c r="FI6" s="15">
        <f>IFERROR((s_TR/(up_RadSpec!K6*s_EF_far*(1/365)*s_ED_far*s_ET_far*(1/24)*s_GSF_a)),".")</f>
        <v>6.3709090909090908E-6</v>
      </c>
      <c r="FJ6" s="15">
        <f t="shared" si="22"/>
        <v>9.9724647271019672E-10</v>
      </c>
      <c r="FK6" s="40">
        <f t="shared" si="18"/>
        <v>10026.041666666666</v>
      </c>
      <c r="FL6" s="40">
        <f t="shared" si="19"/>
        <v>1.5696347031963471</v>
      </c>
      <c r="FM6" s="120"/>
      <c r="FN6" s="120"/>
      <c r="FO6" s="120"/>
    </row>
    <row r="7" spans="1:171" customFormat="1" x14ac:dyDescent="0.25">
      <c r="A7" s="44" t="s">
        <v>17</v>
      </c>
      <c r="B7" s="42" t="s">
        <v>1071</v>
      </c>
      <c r="C7" s="249"/>
      <c r="D7" s="15">
        <f>up_dir!AC7</f>
        <v>1.6528925619834712E-11</v>
      </c>
      <c r="E7" s="15">
        <f>IFERROR(s_TR/(up_RadSpec!H7*s_IFP_far_adj*s_CF_far_poultry),".")</f>
        <v>6.6115702479338848E-11</v>
      </c>
      <c r="F7" s="15">
        <f>IFERROR(s_TR/(up_RadSpec!H7*s_IFE_far_adj*s_CF_far_egg),".")</f>
        <v>6.6115702479338848E-11</v>
      </c>
      <c r="G7" s="15">
        <f>IFERROR(s_TR/(up_RadSpec!H7*s_IFB_far_adj*s_CF_far_beef),".")</f>
        <v>6.6115702479338848E-11</v>
      </c>
      <c r="H7" s="15">
        <f>IFERROR(s_TR/(up_RadSpec!H7*s_IFD_far_adj*s_CF_far_dairy),".")</f>
        <v>6.6115702479338848E-11</v>
      </c>
      <c r="I7" s="15">
        <f>IFERROR(s_TR/(up_RadSpec!H7*s_IFSW_far_adj*s_CF_far_swine),".")</f>
        <v>6.6115702479338848E-11</v>
      </c>
      <c r="J7" s="15">
        <f>IFERROR(s_TR/(up_RadSpec!H7*s_IFFI_far_adj*s_CF_far_fish),".")</f>
        <v>6.6115702479338848E-11</v>
      </c>
      <c r="K7" s="15">
        <f>IFERROR(s_TR/(up_RadSpec!H7*s_IFSF_far_adj*s_CF_far_shellfish),".")</f>
        <v>6.6115702479338848E-11</v>
      </c>
      <c r="L7" s="15">
        <f>IFERROR(s_TR/(up_RadSpec!H7*s_IFGO_far_adj*s_CF_far_goat),".")</f>
        <v>6.6115702479338848E-11</v>
      </c>
      <c r="M7" s="15">
        <f>IFERROR(s_TR/(up_RadSpec!H7*s_IFSH_far_adj*s_CF_far_sheep),".")</f>
        <v>6.6115702479338848E-11</v>
      </c>
      <c r="N7" s="15">
        <f>IFERROR(s_TR/(up_RadSpec!H7*s_IFGM_far_adj*s_CF_far_goat_milk),".")</f>
        <v>6.6115702479338848E-11</v>
      </c>
      <c r="O7" s="15">
        <f>IFERROR(s_TR/(up_RadSpec!H7*s_IFSM_far_adj*s_CF_far_sheep_milk),".")</f>
        <v>6.6115702479338848E-11</v>
      </c>
      <c r="P7" s="40">
        <f>up_dir!BC7</f>
        <v>605000</v>
      </c>
      <c r="Q7" s="40">
        <f t="shared" si="0"/>
        <v>151250</v>
      </c>
      <c r="R7" s="40">
        <f t="shared" si="1"/>
        <v>151250</v>
      </c>
      <c r="S7" s="40">
        <f t="shared" si="2"/>
        <v>151250</v>
      </c>
      <c r="T7" s="40">
        <f t="shared" si="3"/>
        <v>151250</v>
      </c>
      <c r="U7" s="40">
        <f t="shared" si="4"/>
        <v>151250</v>
      </c>
      <c r="V7" s="40">
        <f t="shared" si="5"/>
        <v>151250</v>
      </c>
      <c r="W7" s="40">
        <f t="shared" si="6"/>
        <v>151250</v>
      </c>
      <c r="X7" s="40">
        <f t="shared" si="7"/>
        <v>151250</v>
      </c>
      <c r="Y7" s="40">
        <f t="shared" si="8"/>
        <v>151250</v>
      </c>
      <c r="Z7" s="40">
        <f t="shared" si="9"/>
        <v>151250</v>
      </c>
      <c r="AA7" s="40">
        <f t="shared" si="10"/>
        <v>151250</v>
      </c>
      <c r="AB7" s="5"/>
      <c r="AC7" s="5"/>
      <c r="AD7" s="5"/>
      <c r="AE7" s="5"/>
      <c r="AF7" s="5"/>
      <c r="AG7" s="5"/>
      <c r="AH7" s="5"/>
      <c r="AI7" s="5"/>
      <c r="AJ7" s="5"/>
      <c r="AK7" s="5"/>
      <c r="AL7" s="5"/>
      <c r="AM7" s="5"/>
      <c r="AN7" s="45">
        <f>IFERROR((s_TR/(up_RadSpec!E7*s_IFS_far_adj*(1/1000)))*1,".")</f>
        <v>3.3057851239669421E-8</v>
      </c>
      <c r="AO7" s="45">
        <f>IFERROR(IF(A7="H-3",(s_TR/(up_RadSpec!F7*s_IFA_far_adj*(1/17)*1000))*1,(s_TR/(up_RadSpec!F7*s_IFA_far_adj*(1/s_PEF_wind)*1000))*1),".")</f>
        <v>3.0899917851942918E-4</v>
      </c>
      <c r="AP7" s="45">
        <f>IFERROR((s_TR/(up_RadSpec!G7*s_EF_far*(1/365)*s_ED_far*up_RadSpec!R7*((s_ET_far_o*(1/24)*up_RadSpec!W7)+(s_ET_far_i*(1/24)*up_RadSpec!AB7))))*1,".")</f>
        <v>3.8268082282680812E-5</v>
      </c>
      <c r="AQ7" s="45">
        <f>up_b2s!BC7</f>
        <v>3.2968835384132272E-12</v>
      </c>
      <c r="AR7" s="45">
        <f>IFERROR(((J7*up_RadSpec!AU7)/up_RadSpec!AJ7)*1,".")</f>
        <v>6.6115702479338848E-11</v>
      </c>
      <c r="AS7" s="45">
        <f>IFERROR(((K7*up_RadSpec!AU7)/up_RadSpec!AK7)*1,".")</f>
        <v>6.6115702479338848E-11</v>
      </c>
      <c r="AT7" s="45">
        <f>IFERROR((G7/(up_RadSpec!AI7*((s_Q_p_beef*s_f_p_beef*s_f_s_beef*(up_RadSpec!BD7+s_R_es_past))+(s_Q_s_beef*s_f_p_beef))))*1,".")</f>
        <v>1.8558793678410904E-14</v>
      </c>
      <c r="AU7" s="45">
        <f>IFERROR(((H7*s_D_milk)/(up_RadSpec!AH7*((s_Q_p_dairy*s_f_p_dairy*s_f_s_dairy*(up_RadSpec!BD7+s_R_es_past))+(s_Q_s_dairy*s_f_p_dairy))))*1,".")</f>
        <v>1.9115557488763232E-14</v>
      </c>
      <c r="AV7" s="45">
        <f>IFERROR((I7/(up_RadSpec!AN7*((s_Q_p_swine*s_f_p_swine*s_f_s_swine*(up_RadSpec!BD7+s_R_es_past))+(s_Q_s_swine*s_f_p_swine))))*1,".")</f>
        <v>1.8558793678410904E-14</v>
      </c>
      <c r="AW7" s="45">
        <f>IFERROR((E7/(up_RadSpec!AL7*((s_Q_p_poultry*s_f_p_poultry*s_f_s_poultry*(up_RadSpec!BD7+s_R_es_past))+(s_Q_s_poultry*s_f_p_poultry))))*1,".")</f>
        <v>1.8558793678410904E-14</v>
      </c>
      <c r="AX7" s="45">
        <f>IFERROR((F7/(up_RadSpec!AM7*((s_Q_p_poultry*s_f_p_poultry*s_f_s_poultry*(up_RadSpec!BD7+s_R_es_past))+(s_Q_s_poultry*s_f_p_poultry))))*1,".")</f>
        <v>1.8558793678410904E-14</v>
      </c>
      <c r="AY7" s="45">
        <f>IFERROR((L7/(up_RadSpec!AQ7*((s_Q_p_goat*s_f_p_goat*s_f_s_goat*(up_RadSpec!BD7+s_R_es_past))+(s_Q_s_goat*s_f_p_goat))))*1,".")</f>
        <v>1.8558793678410904E-14</v>
      </c>
      <c r="AZ7" s="45">
        <f>IFERROR((N7*s_D_milk/(up_RadSpec!AR7*((s_Q_p_goat_milk*s_f_p_goat_milk*s_f_s_goat_milk*(up_RadSpec!BD7+s_R_es_past))+(s_Q_s_goat_milk*s_f_p_goat_milk))))*1,".")</f>
        <v>1.9115557488763232E-14</v>
      </c>
      <c r="BA7" s="45">
        <f>IFERROR((M7/(up_RadSpec!AO7*((s_Q_p_sheep*s_f_p_sheep*s_f_s_sheep*(up_RadSpec!BD7+s_R_es_past))+(s_Q_s_sheep*s_f_p_sheep))))*1,".")</f>
        <v>1.8558793678410904E-14</v>
      </c>
      <c r="BB7" s="45">
        <f>IFERROR((O7*s_D_milk/(up_RadSpec!AP7*((s_Q_p_sheep_milk*s_f_p_sheep_milk*s_f_s_sheep_milk*(up_RadSpec!BD7+s_R_es_past))+(s_Q_s_sheep_milk*s_f_p_sheep_milk))))*1,".")</f>
        <v>1.9115557488763232E-14</v>
      </c>
      <c r="BC7" s="118">
        <f t="shared" si="11"/>
        <v>30250000</v>
      </c>
      <c r="BD7" s="118">
        <f t="shared" si="11"/>
        <v>3236.2545583179349</v>
      </c>
      <c r="BE7" s="118">
        <f t="shared" si="11"/>
        <v>26131.437489162483</v>
      </c>
      <c r="BF7" s="118">
        <f t="shared" si="11"/>
        <v>303316749999.99994</v>
      </c>
      <c r="BG7" s="118">
        <f t="shared" si="11"/>
        <v>15124999999.999998</v>
      </c>
      <c r="BH7" s="118">
        <f t="shared" si="11"/>
        <v>15124999999.999998</v>
      </c>
      <c r="BI7" s="118">
        <f t="shared" si="11"/>
        <v>53882812500000</v>
      </c>
      <c r="BJ7" s="118">
        <f t="shared" si="11"/>
        <v>52313410194174.758</v>
      </c>
      <c r="BK7" s="118">
        <f t="shared" si="11"/>
        <v>53882812500000</v>
      </c>
      <c r="BL7" s="118">
        <f t="shared" si="11"/>
        <v>53882812500000</v>
      </c>
      <c r="BM7" s="118">
        <f t="shared" si="11"/>
        <v>53882812500000</v>
      </c>
      <c r="BN7" s="118">
        <f t="shared" si="11"/>
        <v>53882812500000</v>
      </c>
      <c r="BO7" s="118">
        <f t="shared" si="11"/>
        <v>52313410194174.758</v>
      </c>
      <c r="BP7" s="118">
        <f t="shared" si="11"/>
        <v>53882812500000</v>
      </c>
      <c r="BQ7" s="118">
        <f t="shared" si="11"/>
        <v>52313410194174.758</v>
      </c>
      <c r="BR7" s="15">
        <f t="shared" si="20"/>
        <v>2.0808592670444129E-15</v>
      </c>
      <c r="BS7" s="40">
        <f t="shared" si="12"/>
        <v>302.5</v>
      </c>
      <c r="BT7" s="40">
        <f t="shared" si="13"/>
        <v>3.2362545583179352E-2</v>
      </c>
      <c r="BU7" s="40">
        <f>IFERROR((s_C*s_EF_far*(1/365)*s_ED_far*up_RadSpec!R7*((s_ET_far_o*(1/24)*up_RadSpec!W7)+(s_ET_far_i*(1/24)*up_RadSpec!AB7))),".")</f>
        <v>0.26131437489162485</v>
      </c>
      <c r="BV7" s="40">
        <f>up_b2s!CC7</f>
        <v>3033167.5</v>
      </c>
      <c r="BW7" s="40">
        <f>IFERROR(((s_C*up_RadSpec!AJ7)/up_RadSpec!AU7)*s_IFFI_far_adj*s_CF_far_fish,0)</f>
        <v>151250</v>
      </c>
      <c r="BX7" s="40">
        <f>IFERROR(((s_C*up_RadSpec!AK7)/up_RadSpec!AU7)*s_IFSF_far_adj*s_CF_far_shellfish,0)</f>
        <v>151250</v>
      </c>
      <c r="BY7" s="40">
        <f>(s_C*s_IFB_far_adj*s_CF_far_beef*up_RadSpec!AI7*((s_Q_p_beef*s_f_p_beef*s_f_s_beef*(up_RadSpec!$AT7+s_R_es_past))+(s_Q_s_beef*s_f_p_beef)))</f>
        <v>538828125</v>
      </c>
      <c r="BZ7" s="40">
        <f>(s_C*s_IFD_far_adj*s_CF_far_dairy*up_RadSpec!AH7*1/s_D_milk*((s_Q_p_dairy*s_f_p_dairy*s_f_s_dairy*(up_RadSpec!$AT7+s_R_es_past))+(s_Q_s_dairy*s_f_p_dairy)))</f>
        <v>523134101.94174761</v>
      </c>
      <c r="CA7" s="40">
        <f>(s_C*s_IFSW_far_adj*s_CF_far_swine*up_RadSpec!AN7*((s_Q_p_swine*s_f_p_swine*s_f_s_swine*(up_RadSpec!$AT7+s_R_es_past))+(s_Q_s_swine*s_f_p_swine)))</f>
        <v>538828125</v>
      </c>
      <c r="CB7" s="40">
        <f>(s_C*s_IFP_far_adj*s_CF_far_poultry*up_RadSpec!AL7*((s_Q_p_poultry*s_f_p_poultry*s_f_s_poultry*(up_RadSpec!AT7+s_R_es_past))+(s_Q_s_poultry*s_f_p_poultry)))</f>
        <v>538828125</v>
      </c>
      <c r="CC7" s="40">
        <f>(s_C*s_IFE_far_adj*s_CF_far_egg*up_RadSpec!AM7*((s_Q_p_egg*s_f_p_egg*s_f_s_egg*(up_RadSpec!$AT7+s_R_es_past))+(s_Q_s_egg*s_f_p_egg)))</f>
        <v>538828125</v>
      </c>
      <c r="CD7" s="40">
        <f>(s_C*s_IFGO_far_adj*s_CF_far_goat*up_RadSpec!AQ7*((s_Q_p_goat*s_f_p_goat*s_f_s_goat*(up_RadSpec!$AT7+s_R_es_past))+(s_Q_s_goat*s_f_p_goat)))</f>
        <v>538828125</v>
      </c>
      <c r="CE7" s="40">
        <f>(s_C*s_IFGM_far_adj*s_CF_far_goat_milk*up_RadSpec!AR7*1/s_D_milk*((s_Q_p_goat_milk*s_f_p_goat_milk*s_f_s_goat_milk*(up_RadSpec!$AT7+s_R_es_past))+(s_Q_s_goat_milk*s_f_p_goat_milk)))</f>
        <v>523134101.94174761</v>
      </c>
      <c r="CF7" s="40">
        <f>(s_C*s_IFSH_far_adj*s_CF_far_sheep*up_RadSpec!AO7*((s_Q_p_sheep*s_f_p_sheep*s_f_s_sheep*(up_RadSpec!$AT7+s_R_es_past))+(s_Q_s_sheep*s_f_p_sheep)))</f>
        <v>538828125</v>
      </c>
      <c r="CG7" s="40">
        <f>(s_C*s_IFSM_far_adj*s_CF_far_sheep_milk*up_RadSpec!AP7*1/s_D_milk*((s_Q_p_sheep_milk*s_f_p_sheep_milk*s_f_s_sheep_milk*(up_RadSpec!$AT7+s_R_es_past))+(s_Q_s_sheep_milk*s_f_p_sheep_milk)))</f>
        <v>523134101.94174761</v>
      </c>
      <c r="CH7" s="18"/>
      <c r="CI7" s="18"/>
      <c r="CJ7" s="18"/>
      <c r="CK7" s="18"/>
      <c r="CL7" s="18"/>
      <c r="CM7" s="18"/>
      <c r="CN7" s="18"/>
      <c r="CO7" s="18"/>
      <c r="CP7" s="18"/>
      <c r="CQ7" s="18"/>
      <c r="CR7" s="18"/>
      <c r="CS7" s="18"/>
      <c r="CT7" s="18"/>
      <c r="CU7" s="18"/>
      <c r="CV7" s="18"/>
      <c r="CW7" s="5"/>
      <c r="CX7" s="15">
        <f>IFERROR(s_TR/(up_RadSpec!I7*s_IFW_far_adj),".")</f>
        <v>3.6363636363636369E-10</v>
      </c>
      <c r="CY7" s="15" t="str">
        <f>IFERROR(IF(AND(up_RadSpec!C7=1,up_RadSpec!D7&lt;&gt;0),s_TR/(up_RadSpec!F7*s_IFA_far_adj*s_K*up_RadSpec!D7),"."),".")</f>
        <v>.</v>
      </c>
      <c r="CZ7" s="15">
        <f>IFERROR((s_TR/(up_RadSpec!M7*(1/8760)*s_DFA_far_adj)),".")</f>
        <v>3.9818181818181825E-6</v>
      </c>
      <c r="DA7" s="15">
        <f>up_b2w!BC7</f>
        <v>1.6443412786038031E-11</v>
      </c>
      <c r="DB7" s="15">
        <f>IFERROR(J7/(up_RadSpec!AJ7*(1/1000)),".")</f>
        <v>1.322314049586777E-8</v>
      </c>
      <c r="DC7" s="15">
        <f>IFERROR(K7/(up_RadSpec!AK7*(1/1000)),".")</f>
        <v>1.322314049586777E-8</v>
      </c>
      <c r="DD7" s="15">
        <f>IFERROR(G7/(up_RadSpec!AI7*s_Q_w_beef*(1/1000)),".")</f>
        <v>2.6446280991735539E-9</v>
      </c>
      <c r="DE7" s="15">
        <f>IFERROR((H7*s_D_milk)/(up_RadSpec!AH7*s_Q_w_dairy*(1/1000)),".")</f>
        <v>2.7239669421487605E-9</v>
      </c>
      <c r="DF7" s="15">
        <f>IFERROR(I7/(up_RadSpec!AN7*s_Q_w_swine*(1/1000)),".")</f>
        <v>2.6446280991735539E-9</v>
      </c>
      <c r="DG7" s="15">
        <f>IFERROR(E7/(up_RadSpec!AL7*s_Q_w_poultry*(1/1000)),".")</f>
        <v>2.6446280991735539E-9</v>
      </c>
      <c r="DH7" s="15">
        <f>IFERROR(F7/(up_RadSpec!AM7*s_Q_w_poultry*(1/1000)),".")</f>
        <v>2.6446280991735539E-9</v>
      </c>
      <c r="DI7" s="15">
        <f>IFERROR(L7/(up_RadSpec!AQ7*s_Q_w_goat*(1/1000)),".")</f>
        <v>2.6446280991735539E-9</v>
      </c>
      <c r="DJ7" s="15">
        <f>IFERROR(N7*s_D_milk/(up_RadSpec!AR7*s_Q_w_goat_milk*(1/1000)),".")</f>
        <v>2.7239669421487605E-9</v>
      </c>
      <c r="DK7" s="15">
        <f>IFERROR(M7/(up_RadSpec!AO7*s_Q_w_sheep*(1/1000)),".")</f>
        <v>2.6446280991735539E-9</v>
      </c>
      <c r="DL7" s="15">
        <f>IFERROR(O7*s_D_milk/(up_RadSpec!AP7*s_Q_w_sheep_milk*(1/1000)),".")</f>
        <v>2.7239669421487605E-9</v>
      </c>
      <c r="DM7" s="118">
        <f t="shared" si="14"/>
        <v>2749999999.9999995</v>
      </c>
      <c r="DN7" s="118" t="str">
        <f t="shared" si="14"/>
        <v>.</v>
      </c>
      <c r="DO7" s="118">
        <f t="shared" si="14"/>
        <v>251141.55251141547</v>
      </c>
      <c r="DP7" s="118">
        <f t="shared" si="14"/>
        <v>60814626076.229866</v>
      </c>
      <c r="DQ7" s="118">
        <f t="shared" si="14"/>
        <v>75624999.999999985</v>
      </c>
      <c r="DR7" s="118">
        <f t="shared" si="14"/>
        <v>75624999.999999985</v>
      </c>
      <c r="DS7" s="118">
        <f t="shared" si="14"/>
        <v>378124999.99999994</v>
      </c>
      <c r="DT7" s="118">
        <f t="shared" si="14"/>
        <v>367111650.48543686</v>
      </c>
      <c r="DU7" s="118">
        <f t="shared" si="14"/>
        <v>378124999.99999994</v>
      </c>
      <c r="DV7" s="118">
        <f t="shared" si="14"/>
        <v>378124999.99999994</v>
      </c>
      <c r="DW7" s="118">
        <f t="shared" si="14"/>
        <v>378124999.99999994</v>
      </c>
      <c r="DX7" s="118">
        <f t="shared" si="14"/>
        <v>378124999.99999994</v>
      </c>
      <c r="DY7" s="118">
        <f t="shared" si="14"/>
        <v>367111650.48543686</v>
      </c>
      <c r="DZ7" s="118">
        <f t="shared" si="14"/>
        <v>378124999.99999994</v>
      </c>
      <c r="EA7" s="118">
        <f t="shared" si="14"/>
        <v>367111650.48543686</v>
      </c>
      <c r="EB7" s="15">
        <f t="shared" si="21"/>
        <v>1.4906192608956601E-11</v>
      </c>
      <c r="EC7" s="40">
        <f t="shared" si="15"/>
        <v>27500</v>
      </c>
      <c r="ED7" s="40">
        <f>IF(up_RadSpec!D7&lt;&gt;"",s_C*s_IFA_far_adj*s_K*up_RadSpec!D7,0)</f>
        <v>0</v>
      </c>
      <c r="EE7" s="40">
        <f t="shared" si="16"/>
        <v>2.5114155251141552</v>
      </c>
      <c r="EF7" s="40">
        <f>up_b2w!CC7</f>
        <v>608146.26076229871</v>
      </c>
      <c r="EG7" s="40">
        <f>IFERROR(s_C*up_RadSpec!AJ7*(1/1000)*s_IFFI_far_adj*s_CF_far_fish,0)</f>
        <v>756.25</v>
      </c>
      <c r="EH7" s="40">
        <f>IFERROR(s_C*up_RadSpec!AK7*(1/1000)*s_IFSF_far_adj*s_CF_far_shellfish,0)</f>
        <v>756.25</v>
      </c>
      <c r="EI7" s="40">
        <f>(s_C*s_IFB_far_adj*s_CF_far_beef*up_RadSpec!AI7*s_Q_w_beef*(1/1000))</f>
        <v>3781.25</v>
      </c>
      <c r="EJ7" s="40">
        <f>(s_C*s_IFD_far_adj*s_CF_far_dairy*up_RadSpec!AH7*(1/s_D_milk)*s_Q_w_dairy*(1/1000))</f>
        <v>3671.1165048543689</v>
      </c>
      <c r="EK7" s="40">
        <f>(s_C*s_IFSW_far_adj*s_CF_far_swine*up_RadSpec!AN7*s_Q_w_swine*(1/1000))</f>
        <v>3781.25</v>
      </c>
      <c r="EL7" s="40">
        <f>(s_C*s_IFP_far_adj*s_CF_far_poultry*up_RadSpec!AL7*s_Q_w_poultry*(1/1000))</f>
        <v>3781.25</v>
      </c>
      <c r="EM7" s="40">
        <f>(s_C*s_IFE_far_adj*s_CF_far_egg*up_RadSpec!AM7*s_Q_w_egg*(1/1000))</f>
        <v>3781.25</v>
      </c>
      <c r="EN7" s="40">
        <f>(s_C*s_IFGO_far_adj*s_CF_far_goat*up_RadSpec!AQ7*s_Q_p_goat*(1/1000))</f>
        <v>3781.25</v>
      </c>
      <c r="EO7" s="40">
        <f>(s_C*s_IFGM_far_adj*s_CF_far_goat_milk*up_RadSpec!AR7*(1/s_D_milk)*s_Q_p_goat_milk*(1/1000))</f>
        <v>3671.1165048543689</v>
      </c>
      <c r="EP7" s="40">
        <f>(s_C*s_IFSH_far_adj*s_CF_far_sheep*up_RadSpec!AO7*s_Q_p_sheep*(1/1000))</f>
        <v>3781.25</v>
      </c>
      <c r="EQ7" s="40">
        <f>(s_C*s_IFSM_far_adj*s_CF_far_sheep_milk*up_RadSpec!AP7*(1/s_D_milk)*s_Q_p_sheep_milk*(1/1000))</f>
        <v>3671.1165048543689</v>
      </c>
      <c r="ER7" s="18"/>
      <c r="ES7" s="18"/>
      <c r="ET7" s="18"/>
      <c r="EU7" s="18"/>
      <c r="EV7" s="18"/>
      <c r="EW7" s="18"/>
      <c r="EX7" s="18"/>
      <c r="EY7" s="18"/>
      <c r="EZ7" s="18"/>
      <c r="FA7" s="18"/>
      <c r="FB7" s="18"/>
      <c r="FC7" s="18"/>
      <c r="FD7" s="18"/>
      <c r="FE7" s="18"/>
      <c r="FF7" s="18"/>
      <c r="FG7" s="5"/>
      <c r="FH7" s="15">
        <f>IFERROR((s_TR/(up_RadSpec!F7*s_IFA_far_adj)),".")</f>
        <v>9.9740259740259755E-10</v>
      </c>
      <c r="FI7" s="15">
        <f>IFERROR((s_TR/(up_RadSpec!K7*s_EF_far*(1/365)*s_ED_far*s_ET_far*(1/24)*s_GSF_a)),".")</f>
        <v>6.3709090909090908E-6</v>
      </c>
      <c r="FJ7" s="15">
        <f t="shared" si="22"/>
        <v>9.9724647271019672E-10</v>
      </c>
      <c r="FK7" s="40">
        <f t="shared" si="18"/>
        <v>10026.041666666666</v>
      </c>
      <c r="FL7" s="40">
        <f t="shared" si="19"/>
        <v>1.5696347031963471</v>
      </c>
      <c r="FM7" s="120"/>
      <c r="FN7" s="120"/>
      <c r="FO7" s="120"/>
    </row>
    <row r="8" spans="1:171" customFormat="1" x14ac:dyDescent="0.25">
      <c r="A8" s="44" t="s">
        <v>18</v>
      </c>
      <c r="B8" s="42" t="s">
        <v>1071</v>
      </c>
      <c r="C8" s="42"/>
      <c r="D8" s="15">
        <f>up_dir!AC8</f>
        <v>1.6528925619834712E-11</v>
      </c>
      <c r="E8" s="15">
        <f>IFERROR(s_TR/(up_RadSpec!H8*s_IFP_far_adj*s_CF_far_poultry),".")</f>
        <v>6.6115702479338848E-11</v>
      </c>
      <c r="F8" s="15">
        <f>IFERROR(s_TR/(up_RadSpec!H8*s_IFE_far_adj*s_CF_far_egg),".")</f>
        <v>6.6115702479338848E-11</v>
      </c>
      <c r="G8" s="15">
        <f>IFERROR(s_TR/(up_RadSpec!H8*s_IFB_far_adj*s_CF_far_beef),".")</f>
        <v>6.6115702479338848E-11</v>
      </c>
      <c r="H8" s="15">
        <f>IFERROR(s_TR/(up_RadSpec!H8*s_IFD_far_adj*s_CF_far_dairy),".")</f>
        <v>6.6115702479338848E-11</v>
      </c>
      <c r="I8" s="15">
        <f>IFERROR(s_TR/(up_RadSpec!H8*s_IFSW_far_adj*s_CF_far_swine),".")</f>
        <v>6.6115702479338848E-11</v>
      </c>
      <c r="J8" s="15">
        <f>IFERROR(s_TR/(up_RadSpec!H8*s_IFFI_far_adj*s_CF_far_fish),".")</f>
        <v>6.6115702479338848E-11</v>
      </c>
      <c r="K8" s="15">
        <f>IFERROR(s_TR/(up_RadSpec!H8*s_IFSF_far_adj*s_CF_far_shellfish),".")</f>
        <v>6.6115702479338848E-11</v>
      </c>
      <c r="L8" s="15">
        <f>IFERROR(s_TR/(up_RadSpec!H8*s_IFGO_far_adj*s_CF_far_goat),".")</f>
        <v>6.6115702479338848E-11</v>
      </c>
      <c r="M8" s="15">
        <f>IFERROR(s_TR/(up_RadSpec!H8*s_IFSH_far_adj*s_CF_far_sheep),".")</f>
        <v>6.6115702479338848E-11</v>
      </c>
      <c r="N8" s="15">
        <f>IFERROR(s_TR/(up_RadSpec!H8*s_IFGM_far_adj*s_CF_far_goat_milk),".")</f>
        <v>6.6115702479338848E-11</v>
      </c>
      <c r="O8" s="15">
        <f>IFERROR(s_TR/(up_RadSpec!H8*s_IFSM_far_adj*s_CF_far_sheep_milk),".")</f>
        <v>6.6115702479338848E-11</v>
      </c>
      <c r="P8" s="40">
        <f>up_dir!BC8</f>
        <v>605000</v>
      </c>
      <c r="Q8" s="40">
        <f t="shared" si="0"/>
        <v>151250</v>
      </c>
      <c r="R8" s="40">
        <f t="shared" si="1"/>
        <v>151250</v>
      </c>
      <c r="S8" s="40">
        <f t="shared" si="2"/>
        <v>151250</v>
      </c>
      <c r="T8" s="40">
        <f t="shared" si="3"/>
        <v>151250</v>
      </c>
      <c r="U8" s="40">
        <f t="shared" si="4"/>
        <v>151250</v>
      </c>
      <c r="V8" s="40">
        <f t="shared" si="5"/>
        <v>151250</v>
      </c>
      <c r="W8" s="40">
        <f t="shared" si="6"/>
        <v>151250</v>
      </c>
      <c r="X8" s="40">
        <f t="shared" si="7"/>
        <v>151250</v>
      </c>
      <c r="Y8" s="40">
        <f t="shared" si="8"/>
        <v>151250</v>
      </c>
      <c r="Z8" s="40">
        <f t="shared" si="9"/>
        <v>151250</v>
      </c>
      <c r="AA8" s="40">
        <f t="shared" si="10"/>
        <v>151250</v>
      </c>
      <c r="AB8" s="5"/>
      <c r="AC8" s="5"/>
      <c r="AD8" s="5"/>
      <c r="AE8" s="5"/>
      <c r="AF8" s="5"/>
      <c r="AG8" s="5"/>
      <c r="AH8" s="5"/>
      <c r="AI8" s="5"/>
      <c r="AJ8" s="5"/>
      <c r="AK8" s="5"/>
      <c r="AL8" s="5"/>
      <c r="AM8" s="5"/>
      <c r="AN8" s="45">
        <f>IFERROR((s_TR/(up_RadSpec!E8*s_IFS_far_adj*(1/1000)))*1,".")</f>
        <v>3.3057851239669421E-8</v>
      </c>
      <c r="AO8" s="45">
        <f>IFERROR(IF(A8="H-3",(s_TR/(up_RadSpec!F8*s_IFA_far_adj*(1/17)*1000))*1,(s_TR/(up_RadSpec!F8*s_IFA_far_adj*(1/s_PEF_wind)*1000))*1),".")</f>
        <v>3.0899917851942918E-4</v>
      </c>
      <c r="AP8" s="45">
        <f>IFERROR((s_TR/(up_RadSpec!G8*s_EF_far*(1/365)*s_ED_far*up_RadSpec!R8*((s_ET_far_o*(1/24)*up_RadSpec!W8)+(s_ET_far_i*(1/24)*up_RadSpec!AB8))))*1,".")</f>
        <v>2.1998995479658478E-5</v>
      </c>
      <c r="AQ8" s="45">
        <f>up_b2s!BC8</f>
        <v>3.2968835384132272E-12</v>
      </c>
      <c r="AR8" s="45">
        <f>IFERROR(((J8*up_RadSpec!AU8)/up_RadSpec!AJ8)*1,".")</f>
        <v>6.6115702479338848E-11</v>
      </c>
      <c r="AS8" s="45">
        <f>IFERROR(((K8*up_RadSpec!AU8)/up_RadSpec!AK8)*1,".")</f>
        <v>6.6115702479338848E-11</v>
      </c>
      <c r="AT8" s="45">
        <f>IFERROR((G8/(up_RadSpec!AI8*((s_Q_p_beef*s_f_p_beef*s_f_s_beef*(up_RadSpec!BD8+s_R_es_past))+(s_Q_s_beef*s_f_p_beef))))*1,".")</f>
        <v>1.8558793678410904E-14</v>
      </c>
      <c r="AU8" s="45">
        <f>IFERROR(((H8*s_D_milk)/(up_RadSpec!AH8*((s_Q_p_dairy*s_f_p_dairy*s_f_s_dairy*(up_RadSpec!BD8+s_R_es_past))+(s_Q_s_dairy*s_f_p_dairy))))*1,".")</f>
        <v>1.9115557488763232E-14</v>
      </c>
      <c r="AV8" s="45">
        <f>IFERROR((I8/(up_RadSpec!AN8*((s_Q_p_swine*s_f_p_swine*s_f_s_swine*(up_RadSpec!BD8+s_R_es_past))+(s_Q_s_swine*s_f_p_swine))))*1,".")</f>
        <v>1.8558793678410904E-14</v>
      </c>
      <c r="AW8" s="45">
        <f>IFERROR((E8/(up_RadSpec!AL8*((s_Q_p_poultry*s_f_p_poultry*s_f_s_poultry*(up_RadSpec!BD8+s_R_es_past))+(s_Q_s_poultry*s_f_p_poultry))))*1,".")</f>
        <v>1.8558793678410904E-14</v>
      </c>
      <c r="AX8" s="45">
        <f>IFERROR((F8/(up_RadSpec!AM8*((s_Q_p_poultry*s_f_p_poultry*s_f_s_poultry*(up_RadSpec!BD8+s_R_es_past))+(s_Q_s_poultry*s_f_p_poultry))))*1,".")</f>
        <v>1.8558793678410904E-14</v>
      </c>
      <c r="AY8" s="45">
        <f>IFERROR((L8/(up_RadSpec!AQ8*((s_Q_p_goat*s_f_p_goat*s_f_s_goat*(up_RadSpec!BD8+s_R_es_past))+(s_Q_s_goat*s_f_p_goat))))*1,".")</f>
        <v>1.8558793678410904E-14</v>
      </c>
      <c r="AZ8" s="45">
        <f>IFERROR((N8*s_D_milk/(up_RadSpec!AR8*((s_Q_p_goat_milk*s_f_p_goat_milk*s_f_s_goat_milk*(up_RadSpec!BD8+s_R_es_past))+(s_Q_s_goat_milk*s_f_p_goat_milk))))*1,".")</f>
        <v>1.9115557488763232E-14</v>
      </c>
      <c r="BA8" s="45">
        <f>IFERROR((M8/(up_RadSpec!AO8*((s_Q_p_sheep*s_f_p_sheep*s_f_s_sheep*(up_RadSpec!BD8+s_R_es_past))+(s_Q_s_sheep*s_f_p_sheep))))*1,".")</f>
        <v>1.8558793678410904E-14</v>
      </c>
      <c r="BB8" s="45">
        <f>IFERROR((O8*s_D_milk/(up_RadSpec!AP8*((s_Q_p_sheep_milk*s_f_p_sheep_milk*s_f_s_sheep_milk*(up_RadSpec!BD8+s_R_es_past))+(s_Q_s_sheep_milk*s_f_p_sheep_milk))))*1,".")</f>
        <v>1.9115557488763232E-14</v>
      </c>
      <c r="BC8" s="118">
        <f t="shared" si="11"/>
        <v>30250000</v>
      </c>
      <c r="BD8" s="118">
        <f t="shared" si="11"/>
        <v>3236.2545583179349</v>
      </c>
      <c r="BE8" s="118">
        <f t="shared" si="11"/>
        <v>45456.621004566179</v>
      </c>
      <c r="BF8" s="118">
        <f t="shared" si="11"/>
        <v>303316749999.99994</v>
      </c>
      <c r="BG8" s="118">
        <f t="shared" si="11"/>
        <v>15124999999.999998</v>
      </c>
      <c r="BH8" s="118">
        <f t="shared" si="11"/>
        <v>15124999999.999998</v>
      </c>
      <c r="BI8" s="118">
        <f t="shared" si="11"/>
        <v>53882812500000</v>
      </c>
      <c r="BJ8" s="118">
        <f t="shared" si="11"/>
        <v>52313410194174.758</v>
      </c>
      <c r="BK8" s="118">
        <f t="shared" si="11"/>
        <v>53882812500000</v>
      </c>
      <c r="BL8" s="118">
        <f t="shared" si="11"/>
        <v>53882812500000</v>
      </c>
      <c r="BM8" s="118">
        <f t="shared" si="11"/>
        <v>53882812500000</v>
      </c>
      <c r="BN8" s="118">
        <f t="shared" si="11"/>
        <v>53882812500000</v>
      </c>
      <c r="BO8" s="118">
        <f t="shared" si="11"/>
        <v>52313410194174.758</v>
      </c>
      <c r="BP8" s="118">
        <f t="shared" si="11"/>
        <v>53882812500000</v>
      </c>
      <c r="BQ8" s="118">
        <f t="shared" si="11"/>
        <v>52313410194174.758</v>
      </c>
      <c r="BR8" s="15">
        <f t="shared" si="20"/>
        <v>2.0808592669607353E-15</v>
      </c>
      <c r="BS8" s="40">
        <f t="shared" si="12"/>
        <v>302.5</v>
      </c>
      <c r="BT8" s="40">
        <f t="shared" si="13"/>
        <v>3.2362545583179352E-2</v>
      </c>
      <c r="BU8" s="40">
        <f>IFERROR((s_C*s_EF_far*(1/365)*s_ED_far*up_RadSpec!R8*((s_ET_far_o*(1/24)*up_RadSpec!W8)+(s_ET_far_i*(1/24)*up_RadSpec!AB8))),".")</f>
        <v>0.45456621004566183</v>
      </c>
      <c r="BV8" s="40">
        <f>up_b2s!CC8</f>
        <v>3033167.5</v>
      </c>
      <c r="BW8" s="40">
        <f>IFERROR(((s_C*up_RadSpec!AJ8)/up_RadSpec!AU8)*s_IFFI_far_adj*s_CF_far_fish,0)</f>
        <v>151250</v>
      </c>
      <c r="BX8" s="40">
        <f>IFERROR(((s_C*up_RadSpec!AK8)/up_RadSpec!AU8)*s_IFSF_far_adj*s_CF_far_shellfish,0)</f>
        <v>151250</v>
      </c>
      <c r="BY8" s="40">
        <f>(s_C*s_IFB_far_adj*s_CF_far_beef*up_RadSpec!AI8*((s_Q_p_beef*s_f_p_beef*s_f_s_beef*(up_RadSpec!$AT8+s_R_es_past))+(s_Q_s_beef*s_f_p_beef)))</f>
        <v>538828125</v>
      </c>
      <c r="BZ8" s="40">
        <f>(s_C*s_IFD_far_adj*s_CF_far_dairy*up_RadSpec!AH8*1/s_D_milk*((s_Q_p_dairy*s_f_p_dairy*s_f_s_dairy*(up_RadSpec!$AT8+s_R_es_past))+(s_Q_s_dairy*s_f_p_dairy)))</f>
        <v>523134101.94174761</v>
      </c>
      <c r="CA8" s="40">
        <f>(s_C*s_IFSW_far_adj*s_CF_far_swine*up_RadSpec!AN8*((s_Q_p_swine*s_f_p_swine*s_f_s_swine*(up_RadSpec!$AT8+s_R_es_past))+(s_Q_s_swine*s_f_p_swine)))</f>
        <v>538828125</v>
      </c>
      <c r="CB8" s="40">
        <f>(s_C*s_IFP_far_adj*s_CF_far_poultry*up_RadSpec!AL8*((s_Q_p_poultry*s_f_p_poultry*s_f_s_poultry*(up_RadSpec!AT8+s_R_es_past))+(s_Q_s_poultry*s_f_p_poultry)))</f>
        <v>538828125</v>
      </c>
      <c r="CC8" s="40">
        <f>(s_C*s_IFE_far_adj*s_CF_far_egg*up_RadSpec!AM8*((s_Q_p_egg*s_f_p_egg*s_f_s_egg*(up_RadSpec!$AT8+s_R_es_past))+(s_Q_s_egg*s_f_p_egg)))</f>
        <v>538828125</v>
      </c>
      <c r="CD8" s="40">
        <f>(s_C*s_IFGO_far_adj*s_CF_far_goat*up_RadSpec!AQ8*((s_Q_p_goat*s_f_p_goat*s_f_s_goat*(up_RadSpec!$AT8+s_R_es_past))+(s_Q_s_goat*s_f_p_goat)))</f>
        <v>538828125</v>
      </c>
      <c r="CE8" s="40">
        <f>(s_C*s_IFGM_far_adj*s_CF_far_goat_milk*up_RadSpec!AR8*1/s_D_milk*((s_Q_p_goat_milk*s_f_p_goat_milk*s_f_s_goat_milk*(up_RadSpec!$AT8+s_R_es_past))+(s_Q_s_goat_milk*s_f_p_goat_milk)))</f>
        <v>523134101.94174761</v>
      </c>
      <c r="CF8" s="40">
        <f>(s_C*s_IFSH_far_adj*s_CF_far_sheep*up_RadSpec!AO8*((s_Q_p_sheep*s_f_p_sheep*s_f_s_sheep*(up_RadSpec!$AT8+s_R_es_past))+(s_Q_s_sheep*s_f_p_sheep)))</f>
        <v>538828125</v>
      </c>
      <c r="CG8" s="40">
        <f>(s_C*s_IFSM_far_adj*s_CF_far_sheep_milk*up_RadSpec!AP8*1/s_D_milk*((s_Q_p_sheep_milk*s_f_p_sheep_milk*s_f_s_sheep_milk*(up_RadSpec!$AT8+s_R_es_past))+(s_Q_s_sheep_milk*s_f_p_sheep_milk)))</f>
        <v>523134101.94174761</v>
      </c>
      <c r="CH8" s="18"/>
      <c r="CI8" s="18"/>
      <c r="CJ8" s="18"/>
      <c r="CK8" s="18"/>
      <c r="CL8" s="18"/>
      <c r="CM8" s="18"/>
      <c r="CN8" s="18"/>
      <c r="CO8" s="18"/>
      <c r="CP8" s="18"/>
      <c r="CQ8" s="18"/>
      <c r="CR8" s="18"/>
      <c r="CS8" s="18"/>
      <c r="CT8" s="18"/>
      <c r="CU8" s="18"/>
      <c r="CV8" s="18"/>
      <c r="CW8" s="5"/>
      <c r="CX8" s="15">
        <f>IFERROR(s_TR/(up_RadSpec!I8*s_IFW_far_adj),".")</f>
        <v>3.6363636363636369E-10</v>
      </c>
      <c r="CY8" s="15" t="str">
        <f>IFERROR(IF(AND(up_RadSpec!C8=1,up_RadSpec!D8&lt;&gt;0),s_TR/(up_RadSpec!F8*s_IFA_far_adj*s_K*up_RadSpec!D8),"."),".")</f>
        <v>.</v>
      </c>
      <c r="CZ8" s="15">
        <f>IFERROR((s_TR/(up_RadSpec!M8*(1/8760)*s_DFA_far_adj)),".")</f>
        <v>3.9818181818181825E-6</v>
      </c>
      <c r="DA8" s="15">
        <f>up_b2w!BC8</f>
        <v>1.6443412786038031E-11</v>
      </c>
      <c r="DB8" s="15">
        <f>IFERROR(J8/(up_RadSpec!AJ8*(1/1000)),".")</f>
        <v>1.322314049586777E-8</v>
      </c>
      <c r="DC8" s="15">
        <f>IFERROR(K8/(up_RadSpec!AK8*(1/1000)),".")</f>
        <v>1.322314049586777E-8</v>
      </c>
      <c r="DD8" s="15">
        <f>IFERROR(G8/(up_RadSpec!AI8*s_Q_w_beef*(1/1000)),".")</f>
        <v>2.6446280991735539E-9</v>
      </c>
      <c r="DE8" s="15">
        <f>IFERROR((H8*s_D_milk)/(up_RadSpec!AH8*s_Q_w_dairy*(1/1000)),".")</f>
        <v>2.7239669421487605E-9</v>
      </c>
      <c r="DF8" s="15">
        <f>IFERROR(I8/(up_RadSpec!AN8*s_Q_w_swine*(1/1000)),".")</f>
        <v>2.6446280991735539E-9</v>
      </c>
      <c r="DG8" s="15">
        <f>IFERROR(E8/(up_RadSpec!AL8*s_Q_w_poultry*(1/1000)),".")</f>
        <v>2.6446280991735539E-9</v>
      </c>
      <c r="DH8" s="15">
        <f>IFERROR(F8/(up_RadSpec!AM8*s_Q_w_poultry*(1/1000)),".")</f>
        <v>2.6446280991735539E-9</v>
      </c>
      <c r="DI8" s="15">
        <f>IFERROR(L8/(up_RadSpec!AQ8*s_Q_w_goat*(1/1000)),".")</f>
        <v>2.6446280991735539E-9</v>
      </c>
      <c r="DJ8" s="15">
        <f>IFERROR(N8*s_D_milk/(up_RadSpec!AR8*s_Q_w_goat_milk*(1/1000)),".")</f>
        <v>2.7239669421487605E-9</v>
      </c>
      <c r="DK8" s="15">
        <f>IFERROR(M8/(up_RadSpec!AO8*s_Q_w_sheep*(1/1000)),".")</f>
        <v>2.6446280991735539E-9</v>
      </c>
      <c r="DL8" s="15">
        <f>IFERROR(O8*s_D_milk/(up_RadSpec!AP8*s_Q_w_sheep_milk*(1/1000)),".")</f>
        <v>2.7239669421487605E-9</v>
      </c>
      <c r="DM8" s="118">
        <f t="shared" si="14"/>
        <v>2749999999.9999995</v>
      </c>
      <c r="DN8" s="118" t="str">
        <f t="shared" si="14"/>
        <v>.</v>
      </c>
      <c r="DO8" s="118">
        <f t="shared" si="14"/>
        <v>251141.55251141547</v>
      </c>
      <c r="DP8" s="118">
        <f t="shared" si="14"/>
        <v>60814626076.229866</v>
      </c>
      <c r="DQ8" s="118">
        <f t="shared" si="14"/>
        <v>75624999.999999985</v>
      </c>
      <c r="DR8" s="118">
        <f t="shared" si="14"/>
        <v>75624999.999999985</v>
      </c>
      <c r="DS8" s="118">
        <f t="shared" si="14"/>
        <v>378124999.99999994</v>
      </c>
      <c r="DT8" s="118">
        <f t="shared" si="14"/>
        <v>367111650.48543686</v>
      </c>
      <c r="DU8" s="118">
        <f t="shared" si="14"/>
        <v>378124999.99999994</v>
      </c>
      <c r="DV8" s="118">
        <f t="shared" si="14"/>
        <v>378124999.99999994</v>
      </c>
      <c r="DW8" s="118">
        <f t="shared" si="14"/>
        <v>378124999.99999994</v>
      </c>
      <c r="DX8" s="118">
        <f t="shared" si="14"/>
        <v>378124999.99999994</v>
      </c>
      <c r="DY8" s="118">
        <f t="shared" si="14"/>
        <v>367111650.48543686</v>
      </c>
      <c r="DZ8" s="118">
        <f t="shared" si="14"/>
        <v>378124999.99999994</v>
      </c>
      <c r="EA8" s="118">
        <f t="shared" si="14"/>
        <v>367111650.48543686</v>
      </c>
      <c r="EB8" s="15">
        <f t="shared" si="21"/>
        <v>1.4906192608956601E-11</v>
      </c>
      <c r="EC8" s="40">
        <f t="shared" si="15"/>
        <v>27500</v>
      </c>
      <c r="ED8" s="40">
        <f>IF(up_RadSpec!D8&lt;&gt;"",s_C*s_IFA_far_adj*s_K*up_RadSpec!D8,0)</f>
        <v>0</v>
      </c>
      <c r="EE8" s="40">
        <f t="shared" si="16"/>
        <v>2.5114155251141552</v>
      </c>
      <c r="EF8" s="40">
        <f>up_b2w!CC8</f>
        <v>608146.26076229871</v>
      </c>
      <c r="EG8" s="40">
        <f>IFERROR(s_C*up_RadSpec!AJ8*(1/1000)*s_IFFI_far_adj*s_CF_far_fish,0)</f>
        <v>756.25</v>
      </c>
      <c r="EH8" s="40">
        <f>IFERROR(s_C*up_RadSpec!AK8*(1/1000)*s_IFSF_far_adj*s_CF_far_shellfish,0)</f>
        <v>756.25</v>
      </c>
      <c r="EI8" s="40">
        <f>(s_C*s_IFB_far_adj*s_CF_far_beef*up_RadSpec!AI8*s_Q_w_beef*(1/1000))</f>
        <v>3781.25</v>
      </c>
      <c r="EJ8" s="40">
        <f>(s_C*s_IFD_far_adj*s_CF_far_dairy*up_RadSpec!AH8*(1/s_D_milk)*s_Q_w_dairy*(1/1000))</f>
        <v>3671.1165048543689</v>
      </c>
      <c r="EK8" s="40">
        <f>(s_C*s_IFSW_far_adj*s_CF_far_swine*up_RadSpec!AN8*s_Q_w_swine*(1/1000))</f>
        <v>3781.25</v>
      </c>
      <c r="EL8" s="40">
        <f>(s_C*s_IFP_far_adj*s_CF_far_poultry*up_RadSpec!AL8*s_Q_w_poultry*(1/1000))</f>
        <v>3781.25</v>
      </c>
      <c r="EM8" s="40">
        <f>(s_C*s_IFE_far_adj*s_CF_far_egg*up_RadSpec!AM8*s_Q_w_egg*(1/1000))</f>
        <v>3781.25</v>
      </c>
      <c r="EN8" s="40">
        <f>(s_C*s_IFGO_far_adj*s_CF_far_goat*up_RadSpec!AQ8*s_Q_p_goat*(1/1000))</f>
        <v>3781.25</v>
      </c>
      <c r="EO8" s="40">
        <f>(s_C*s_IFGM_far_adj*s_CF_far_goat_milk*up_RadSpec!AR8*(1/s_D_milk)*s_Q_p_goat_milk*(1/1000))</f>
        <v>3671.1165048543689</v>
      </c>
      <c r="EP8" s="40">
        <f>(s_C*s_IFSH_far_adj*s_CF_far_sheep*up_RadSpec!AO8*s_Q_p_sheep*(1/1000))</f>
        <v>3781.25</v>
      </c>
      <c r="EQ8" s="40">
        <f>(s_C*s_IFSM_far_adj*s_CF_far_sheep_milk*up_RadSpec!AP8*(1/s_D_milk)*s_Q_p_sheep_milk*(1/1000))</f>
        <v>3671.1165048543689</v>
      </c>
      <c r="ER8" s="18"/>
      <c r="ES8" s="18"/>
      <c r="ET8" s="18"/>
      <c r="EU8" s="18"/>
      <c r="EV8" s="18"/>
      <c r="EW8" s="18"/>
      <c r="EX8" s="18"/>
      <c r="EY8" s="18"/>
      <c r="EZ8" s="18"/>
      <c r="FA8" s="18"/>
      <c r="FB8" s="18"/>
      <c r="FC8" s="18"/>
      <c r="FD8" s="18"/>
      <c r="FE8" s="18"/>
      <c r="FF8" s="18"/>
      <c r="FG8" s="5"/>
      <c r="FH8" s="15">
        <f>IFERROR((s_TR/(up_RadSpec!F8*s_IFA_far_adj)),".")</f>
        <v>9.9740259740259755E-10</v>
      </c>
      <c r="FI8" s="15">
        <f>IFERROR((s_TR/(up_RadSpec!K8*s_EF_far*(1/365)*s_ED_far*s_ET_far*(1/24)*s_GSF_a)),".")</f>
        <v>6.3709090909090908E-6</v>
      </c>
      <c r="FJ8" s="15">
        <f t="shared" si="22"/>
        <v>9.9724647271019672E-10</v>
      </c>
      <c r="FK8" s="40">
        <f t="shared" si="18"/>
        <v>10026.041666666666</v>
      </c>
      <c r="FL8" s="40">
        <f t="shared" si="19"/>
        <v>1.5696347031963471</v>
      </c>
      <c r="FM8" s="120"/>
      <c r="FN8" s="120"/>
      <c r="FO8" s="120"/>
    </row>
    <row r="9" spans="1:171" customFormat="1" x14ac:dyDescent="0.25">
      <c r="A9" s="44" t="s">
        <v>19</v>
      </c>
      <c r="B9" s="42" t="s">
        <v>1071</v>
      </c>
      <c r="C9" s="249"/>
      <c r="D9" s="15">
        <f>up_dir!AC9</f>
        <v>1.6528925619834712E-11</v>
      </c>
      <c r="E9" s="15">
        <f>IFERROR(s_TR/(up_RadSpec!H9*s_IFP_far_adj*s_CF_far_poultry),".")</f>
        <v>6.6115702479338848E-11</v>
      </c>
      <c r="F9" s="15">
        <f>IFERROR(s_TR/(up_RadSpec!H9*s_IFE_far_adj*s_CF_far_egg),".")</f>
        <v>6.6115702479338848E-11</v>
      </c>
      <c r="G9" s="15">
        <f>IFERROR(s_TR/(up_RadSpec!H9*s_IFB_far_adj*s_CF_far_beef),".")</f>
        <v>6.6115702479338848E-11</v>
      </c>
      <c r="H9" s="15">
        <f>IFERROR(s_TR/(up_RadSpec!H9*s_IFD_far_adj*s_CF_far_dairy),".")</f>
        <v>6.6115702479338848E-11</v>
      </c>
      <c r="I9" s="15">
        <f>IFERROR(s_TR/(up_RadSpec!H9*s_IFSW_far_adj*s_CF_far_swine),".")</f>
        <v>6.6115702479338848E-11</v>
      </c>
      <c r="J9" s="15">
        <f>IFERROR(s_TR/(up_RadSpec!H9*s_IFFI_far_adj*s_CF_far_fish),".")</f>
        <v>6.6115702479338848E-11</v>
      </c>
      <c r="K9" s="15">
        <f>IFERROR(s_TR/(up_RadSpec!H9*s_IFSF_far_adj*s_CF_far_shellfish),".")</f>
        <v>6.6115702479338848E-11</v>
      </c>
      <c r="L9" s="15">
        <f>IFERROR(s_TR/(up_RadSpec!H9*s_IFGO_far_adj*s_CF_far_goat),".")</f>
        <v>6.6115702479338848E-11</v>
      </c>
      <c r="M9" s="15">
        <f>IFERROR(s_TR/(up_RadSpec!H9*s_IFSH_far_adj*s_CF_far_sheep),".")</f>
        <v>6.6115702479338848E-11</v>
      </c>
      <c r="N9" s="15">
        <f>IFERROR(s_TR/(up_RadSpec!H9*s_IFGM_far_adj*s_CF_far_goat_milk),".")</f>
        <v>6.6115702479338848E-11</v>
      </c>
      <c r="O9" s="15">
        <f>IFERROR(s_TR/(up_RadSpec!H9*s_IFSM_far_adj*s_CF_far_sheep_milk),".")</f>
        <v>6.6115702479338848E-11</v>
      </c>
      <c r="P9" s="40">
        <f>up_dir!BC9</f>
        <v>605000</v>
      </c>
      <c r="Q9" s="40">
        <f t="shared" si="0"/>
        <v>151250</v>
      </c>
      <c r="R9" s="40">
        <f t="shared" si="1"/>
        <v>151250</v>
      </c>
      <c r="S9" s="40">
        <f t="shared" si="2"/>
        <v>151250</v>
      </c>
      <c r="T9" s="40">
        <f t="shared" si="3"/>
        <v>151250</v>
      </c>
      <c r="U9" s="40">
        <f t="shared" si="4"/>
        <v>151250</v>
      </c>
      <c r="V9" s="40">
        <f t="shared" si="5"/>
        <v>151250</v>
      </c>
      <c r="W9" s="40">
        <f t="shared" si="6"/>
        <v>151250</v>
      </c>
      <c r="X9" s="40">
        <f t="shared" si="7"/>
        <v>151250</v>
      </c>
      <c r="Y9" s="40">
        <f t="shared" si="8"/>
        <v>151250</v>
      </c>
      <c r="Z9" s="40">
        <f t="shared" si="9"/>
        <v>151250</v>
      </c>
      <c r="AA9" s="40">
        <f t="shared" si="10"/>
        <v>151250</v>
      </c>
      <c r="AB9" s="5"/>
      <c r="AC9" s="5"/>
      <c r="AD9" s="5"/>
      <c r="AE9" s="5"/>
      <c r="AF9" s="5"/>
      <c r="AG9" s="5"/>
      <c r="AH9" s="5"/>
      <c r="AI9" s="5"/>
      <c r="AJ9" s="5"/>
      <c r="AK9" s="5"/>
      <c r="AL9" s="5"/>
      <c r="AM9" s="5"/>
      <c r="AN9" s="45">
        <f>IFERROR((s_TR/(up_RadSpec!E9*s_IFS_far_adj*(1/1000)))*1,".")</f>
        <v>3.3057851239669421E-8</v>
      </c>
      <c r="AO9" s="45">
        <f>IFERROR(IF(A9="H-3",(s_TR/(up_RadSpec!F9*s_IFA_far_adj*(1/17)*1000))*1,(s_TR/(up_RadSpec!F9*s_IFA_far_adj*(1/s_PEF_wind)*1000))*1),".")</f>
        <v>3.0899917851942918E-4</v>
      </c>
      <c r="AP9" s="45">
        <f>IFERROR((s_TR/(up_RadSpec!G9*s_EF_far*(1/365)*s_ED_far*up_RadSpec!R9*((s_ET_far_o*(1/24)*up_RadSpec!W9)+(s_ET_far_i*(1/24)*up_RadSpec!AB9))))*1,".")</f>
        <v>1.0834242210388996E-5</v>
      </c>
      <c r="AQ9" s="45">
        <f>up_b2s!BC9</f>
        <v>3.2968835384132272E-12</v>
      </c>
      <c r="AR9" s="45">
        <f>IFERROR(((J9*up_RadSpec!AU9)/up_RadSpec!AJ9)*1,".")</f>
        <v>6.6115702479338848E-11</v>
      </c>
      <c r="AS9" s="45">
        <f>IFERROR(((K9*up_RadSpec!AU9)/up_RadSpec!AK9)*1,".")</f>
        <v>6.6115702479338848E-11</v>
      </c>
      <c r="AT9" s="45">
        <f>IFERROR((G9/(up_RadSpec!AI9*((s_Q_p_beef*s_f_p_beef*s_f_s_beef*(up_RadSpec!BD9+s_R_es_past))+(s_Q_s_beef*s_f_p_beef))))*1,".")</f>
        <v>1.8558793678410904E-14</v>
      </c>
      <c r="AU9" s="45">
        <f>IFERROR(((H9*s_D_milk)/(up_RadSpec!AH9*((s_Q_p_dairy*s_f_p_dairy*s_f_s_dairy*(up_RadSpec!BD9+s_R_es_past))+(s_Q_s_dairy*s_f_p_dairy))))*1,".")</f>
        <v>1.9115557488763232E-14</v>
      </c>
      <c r="AV9" s="45">
        <f>IFERROR((I9/(up_RadSpec!AN9*((s_Q_p_swine*s_f_p_swine*s_f_s_swine*(up_RadSpec!BD9+s_R_es_past))+(s_Q_s_swine*s_f_p_swine))))*1,".")</f>
        <v>1.8558793678410904E-14</v>
      </c>
      <c r="AW9" s="45">
        <f>IFERROR((E9/(up_RadSpec!AL9*((s_Q_p_poultry*s_f_p_poultry*s_f_s_poultry*(up_RadSpec!BD9+s_R_es_past))+(s_Q_s_poultry*s_f_p_poultry))))*1,".")</f>
        <v>1.8558793678410904E-14</v>
      </c>
      <c r="AX9" s="45">
        <f>IFERROR((F9/(up_RadSpec!AM9*((s_Q_p_poultry*s_f_p_poultry*s_f_s_poultry*(up_RadSpec!BD9+s_R_es_past))+(s_Q_s_poultry*s_f_p_poultry))))*1,".")</f>
        <v>1.8558793678410904E-14</v>
      </c>
      <c r="AY9" s="45">
        <f>IFERROR((L9/(up_RadSpec!AQ9*((s_Q_p_goat*s_f_p_goat*s_f_s_goat*(up_RadSpec!BD9+s_R_es_past))+(s_Q_s_goat*s_f_p_goat))))*1,".")</f>
        <v>1.8558793678410904E-14</v>
      </c>
      <c r="AZ9" s="45">
        <f>IFERROR((N9*s_D_milk/(up_RadSpec!AR9*((s_Q_p_goat_milk*s_f_p_goat_milk*s_f_s_goat_milk*(up_RadSpec!BD9+s_R_es_past))+(s_Q_s_goat_milk*s_f_p_goat_milk))))*1,".")</f>
        <v>1.9115557488763232E-14</v>
      </c>
      <c r="BA9" s="45">
        <f>IFERROR((M9/(up_RadSpec!AO9*((s_Q_p_sheep*s_f_p_sheep*s_f_s_sheep*(up_RadSpec!BD9+s_R_es_past))+(s_Q_s_sheep*s_f_p_sheep))))*1,".")</f>
        <v>1.8558793678410904E-14</v>
      </c>
      <c r="BB9" s="45">
        <f>IFERROR((O9*s_D_milk/(up_RadSpec!AP9*((s_Q_p_sheep_milk*s_f_p_sheep_milk*s_f_s_sheep_milk*(up_RadSpec!BD9+s_R_es_past))+(s_Q_s_sheep_milk*s_f_p_sheep_milk))))*1,".")</f>
        <v>1.9115557488763232E-14</v>
      </c>
      <c r="BC9" s="118">
        <f t="shared" si="11"/>
        <v>30250000</v>
      </c>
      <c r="BD9" s="118">
        <f t="shared" si="11"/>
        <v>3236.2545583179349</v>
      </c>
      <c r="BE9" s="118">
        <f t="shared" si="11"/>
        <v>92299.948679483656</v>
      </c>
      <c r="BF9" s="118">
        <f t="shared" si="11"/>
        <v>303316749999.99994</v>
      </c>
      <c r="BG9" s="118">
        <f t="shared" si="11"/>
        <v>15124999999.999998</v>
      </c>
      <c r="BH9" s="118">
        <f t="shared" si="11"/>
        <v>15124999999.999998</v>
      </c>
      <c r="BI9" s="118">
        <f t="shared" si="11"/>
        <v>53882812500000</v>
      </c>
      <c r="BJ9" s="118">
        <f t="shared" si="11"/>
        <v>52313410194174.758</v>
      </c>
      <c r="BK9" s="118">
        <f t="shared" si="11"/>
        <v>53882812500000</v>
      </c>
      <c r="BL9" s="118">
        <f t="shared" si="11"/>
        <v>53882812500000</v>
      </c>
      <c r="BM9" s="118">
        <f t="shared" si="11"/>
        <v>53882812500000</v>
      </c>
      <c r="BN9" s="118">
        <f t="shared" si="11"/>
        <v>53882812500000</v>
      </c>
      <c r="BO9" s="118">
        <f t="shared" si="11"/>
        <v>52313410194174.758</v>
      </c>
      <c r="BP9" s="118">
        <f t="shared" si="11"/>
        <v>53882812500000</v>
      </c>
      <c r="BQ9" s="118">
        <f t="shared" si="11"/>
        <v>52313410194174.758</v>
      </c>
      <c r="BR9" s="15">
        <f t="shared" si="20"/>
        <v>2.0808592667579045E-15</v>
      </c>
      <c r="BS9" s="40">
        <f t="shared" si="12"/>
        <v>302.5</v>
      </c>
      <c r="BT9" s="40">
        <f t="shared" si="13"/>
        <v>3.2362545583179352E-2</v>
      </c>
      <c r="BU9" s="40">
        <f>IFERROR((s_C*s_EF_far*(1/365)*s_ED_far*up_RadSpec!R9*((s_ET_far_o*(1/24)*up_RadSpec!W9)+(s_ET_far_i*(1/24)*up_RadSpec!AB9))),".")</f>
        <v>0.92299948679483668</v>
      </c>
      <c r="BV9" s="40">
        <f>up_b2s!CC9</f>
        <v>3033167.5</v>
      </c>
      <c r="BW9" s="40">
        <f>IFERROR(((s_C*up_RadSpec!AJ9)/up_RadSpec!AU9)*s_IFFI_far_adj*s_CF_far_fish,0)</f>
        <v>151250</v>
      </c>
      <c r="BX9" s="40">
        <f>IFERROR(((s_C*up_RadSpec!AK9)/up_RadSpec!AU9)*s_IFSF_far_adj*s_CF_far_shellfish,0)</f>
        <v>151250</v>
      </c>
      <c r="BY9" s="40">
        <f>(s_C*s_IFB_far_adj*s_CF_far_beef*up_RadSpec!AI9*((s_Q_p_beef*s_f_p_beef*s_f_s_beef*(up_RadSpec!$AT9+s_R_es_past))+(s_Q_s_beef*s_f_p_beef)))</f>
        <v>538828125</v>
      </c>
      <c r="BZ9" s="40">
        <f>(s_C*s_IFD_far_adj*s_CF_far_dairy*up_RadSpec!AH9*1/s_D_milk*((s_Q_p_dairy*s_f_p_dairy*s_f_s_dairy*(up_RadSpec!$AT9+s_R_es_past))+(s_Q_s_dairy*s_f_p_dairy)))</f>
        <v>523134101.94174761</v>
      </c>
      <c r="CA9" s="40">
        <f>(s_C*s_IFSW_far_adj*s_CF_far_swine*up_RadSpec!AN9*((s_Q_p_swine*s_f_p_swine*s_f_s_swine*(up_RadSpec!$AT9+s_R_es_past))+(s_Q_s_swine*s_f_p_swine)))</f>
        <v>538828125</v>
      </c>
      <c r="CB9" s="40">
        <f>(s_C*s_IFP_far_adj*s_CF_far_poultry*up_RadSpec!AL9*((s_Q_p_poultry*s_f_p_poultry*s_f_s_poultry*(up_RadSpec!AT9+s_R_es_past))+(s_Q_s_poultry*s_f_p_poultry)))</f>
        <v>538828125</v>
      </c>
      <c r="CC9" s="40">
        <f>(s_C*s_IFE_far_adj*s_CF_far_egg*up_RadSpec!AM9*((s_Q_p_egg*s_f_p_egg*s_f_s_egg*(up_RadSpec!$AT9+s_R_es_past))+(s_Q_s_egg*s_f_p_egg)))</f>
        <v>538828125</v>
      </c>
      <c r="CD9" s="40">
        <f>(s_C*s_IFGO_far_adj*s_CF_far_goat*up_RadSpec!AQ9*((s_Q_p_goat*s_f_p_goat*s_f_s_goat*(up_RadSpec!$AT9+s_R_es_past))+(s_Q_s_goat*s_f_p_goat)))</f>
        <v>538828125</v>
      </c>
      <c r="CE9" s="40">
        <f>(s_C*s_IFGM_far_adj*s_CF_far_goat_milk*up_RadSpec!AR9*1/s_D_milk*((s_Q_p_goat_milk*s_f_p_goat_milk*s_f_s_goat_milk*(up_RadSpec!$AT9+s_R_es_past))+(s_Q_s_goat_milk*s_f_p_goat_milk)))</f>
        <v>523134101.94174761</v>
      </c>
      <c r="CF9" s="40">
        <f>(s_C*s_IFSH_far_adj*s_CF_far_sheep*up_RadSpec!AO9*((s_Q_p_sheep*s_f_p_sheep*s_f_s_sheep*(up_RadSpec!$AT9+s_R_es_past))+(s_Q_s_sheep*s_f_p_sheep)))</f>
        <v>538828125</v>
      </c>
      <c r="CG9" s="40">
        <f>(s_C*s_IFSM_far_adj*s_CF_far_sheep_milk*up_RadSpec!AP9*1/s_D_milk*((s_Q_p_sheep_milk*s_f_p_sheep_milk*s_f_s_sheep_milk*(up_RadSpec!$AT9+s_R_es_past))+(s_Q_s_sheep_milk*s_f_p_sheep_milk)))</f>
        <v>523134101.94174761</v>
      </c>
      <c r="CH9" s="18"/>
      <c r="CI9" s="18"/>
      <c r="CJ9" s="18"/>
      <c r="CK9" s="18"/>
      <c r="CL9" s="18"/>
      <c r="CM9" s="18"/>
      <c r="CN9" s="18"/>
      <c r="CO9" s="18"/>
      <c r="CP9" s="18"/>
      <c r="CQ9" s="18"/>
      <c r="CR9" s="18"/>
      <c r="CS9" s="18"/>
      <c r="CT9" s="18"/>
      <c r="CU9" s="18"/>
      <c r="CV9" s="18"/>
      <c r="CW9" s="5"/>
      <c r="CX9" s="15">
        <f>IFERROR(s_TR/(up_RadSpec!I9*s_IFW_far_adj),".")</f>
        <v>3.6363636363636369E-10</v>
      </c>
      <c r="CY9" s="15">
        <f>IFERROR(IF(AND(up_RadSpec!C9=1,up_RadSpec!D9&lt;&gt;0),s_TR/(up_RadSpec!F9*s_IFA_far_adj*s_K*up_RadSpec!D9),"."),".")</f>
        <v>3.9187352811929723E-8</v>
      </c>
      <c r="CZ9" s="15">
        <f>IFERROR((s_TR/(up_RadSpec!M9*(1/8760)*s_DFA_far_adj)),".")</f>
        <v>3.9818181818181825E-6</v>
      </c>
      <c r="DA9" s="15">
        <f>up_b2w!BC9</f>
        <v>1.6443412786038031E-11</v>
      </c>
      <c r="DB9" s="15">
        <f>IFERROR(J9/(up_RadSpec!AJ9*(1/1000)),".")</f>
        <v>1.322314049586777E-8</v>
      </c>
      <c r="DC9" s="15">
        <f>IFERROR(K9/(up_RadSpec!AK9*(1/1000)),".")</f>
        <v>1.322314049586777E-8</v>
      </c>
      <c r="DD9" s="15">
        <f>IFERROR(G9/(up_RadSpec!AI9*s_Q_w_beef*(1/1000)),".")</f>
        <v>2.6446280991735539E-9</v>
      </c>
      <c r="DE9" s="15">
        <f>IFERROR((H9*s_D_milk)/(up_RadSpec!AH9*s_Q_w_dairy*(1/1000)),".")</f>
        <v>2.7239669421487605E-9</v>
      </c>
      <c r="DF9" s="15">
        <f>IFERROR(I9/(up_RadSpec!AN9*s_Q_w_swine*(1/1000)),".")</f>
        <v>2.6446280991735539E-9</v>
      </c>
      <c r="DG9" s="15">
        <f>IFERROR(E9/(up_RadSpec!AL9*s_Q_w_poultry*(1/1000)),".")</f>
        <v>2.6446280991735539E-9</v>
      </c>
      <c r="DH9" s="15">
        <f>IFERROR(F9/(up_RadSpec!AM9*s_Q_w_poultry*(1/1000)),".")</f>
        <v>2.6446280991735539E-9</v>
      </c>
      <c r="DI9" s="15">
        <f>IFERROR(L9/(up_RadSpec!AQ9*s_Q_w_goat*(1/1000)),".")</f>
        <v>2.6446280991735539E-9</v>
      </c>
      <c r="DJ9" s="15">
        <f>IFERROR(N9*s_D_milk/(up_RadSpec!AR9*s_Q_w_goat_milk*(1/1000)),".")</f>
        <v>2.7239669421487605E-9</v>
      </c>
      <c r="DK9" s="15">
        <f>IFERROR(M9/(up_RadSpec!AO9*s_Q_w_sheep*(1/1000)),".")</f>
        <v>2.6446280991735539E-9</v>
      </c>
      <c r="DL9" s="15">
        <f>IFERROR(O9*s_D_milk/(up_RadSpec!AP9*s_Q_w_sheep_milk*(1/1000)),".")</f>
        <v>2.7239669421487605E-9</v>
      </c>
      <c r="DM9" s="118">
        <f t="shared" si="14"/>
        <v>2749999999.9999995</v>
      </c>
      <c r="DN9" s="118">
        <f t="shared" si="14"/>
        <v>25518437.154947914</v>
      </c>
      <c r="DO9" s="118">
        <f t="shared" si="14"/>
        <v>251141.55251141547</v>
      </c>
      <c r="DP9" s="118">
        <f t="shared" si="14"/>
        <v>60814626076.229866</v>
      </c>
      <c r="DQ9" s="118">
        <f t="shared" si="14"/>
        <v>75624999.999999985</v>
      </c>
      <c r="DR9" s="118">
        <f t="shared" si="14"/>
        <v>75624999.999999985</v>
      </c>
      <c r="DS9" s="118">
        <f t="shared" si="14"/>
        <v>378124999.99999994</v>
      </c>
      <c r="DT9" s="118">
        <f t="shared" si="14"/>
        <v>367111650.48543686</v>
      </c>
      <c r="DU9" s="118">
        <f t="shared" si="14"/>
        <v>378124999.99999994</v>
      </c>
      <c r="DV9" s="118">
        <f t="shared" si="14"/>
        <v>378124999.99999994</v>
      </c>
      <c r="DW9" s="118">
        <f t="shared" si="14"/>
        <v>378124999.99999994</v>
      </c>
      <c r="DX9" s="118">
        <f t="shared" si="14"/>
        <v>378124999.99999994</v>
      </c>
      <c r="DY9" s="118">
        <f t="shared" si="14"/>
        <v>367111650.48543686</v>
      </c>
      <c r="DZ9" s="118">
        <f t="shared" si="14"/>
        <v>378124999.99999994</v>
      </c>
      <c r="EA9" s="118">
        <f t="shared" si="14"/>
        <v>367111650.48543686</v>
      </c>
      <c r="EB9" s="15">
        <f t="shared" si="21"/>
        <v>1.4900524706551549E-11</v>
      </c>
      <c r="EC9" s="40">
        <f t="shared" si="15"/>
        <v>27500</v>
      </c>
      <c r="ED9" s="40">
        <f>IF(up_RadSpec!D9&lt;&gt;"",s_C*s_IFA_far_adj*s_K*up_RadSpec!D9,0)</f>
        <v>255.18437154947915</v>
      </c>
      <c r="EE9" s="40">
        <f t="shared" si="16"/>
        <v>2.5114155251141552</v>
      </c>
      <c r="EF9" s="40">
        <f>up_b2w!CC9</f>
        <v>608146.26076229871</v>
      </c>
      <c r="EG9" s="40">
        <f>IFERROR(s_C*up_RadSpec!AJ9*(1/1000)*s_IFFI_far_adj*s_CF_far_fish,0)</f>
        <v>756.25</v>
      </c>
      <c r="EH9" s="40">
        <f>IFERROR(s_C*up_RadSpec!AK9*(1/1000)*s_IFSF_far_adj*s_CF_far_shellfish,0)</f>
        <v>756.25</v>
      </c>
      <c r="EI9" s="40">
        <f>(s_C*s_IFB_far_adj*s_CF_far_beef*up_RadSpec!AI9*s_Q_w_beef*(1/1000))</f>
        <v>3781.25</v>
      </c>
      <c r="EJ9" s="40">
        <f>(s_C*s_IFD_far_adj*s_CF_far_dairy*up_RadSpec!AH9*(1/s_D_milk)*s_Q_w_dairy*(1/1000))</f>
        <v>3671.1165048543689</v>
      </c>
      <c r="EK9" s="40">
        <f>(s_C*s_IFSW_far_adj*s_CF_far_swine*up_RadSpec!AN9*s_Q_w_swine*(1/1000))</f>
        <v>3781.25</v>
      </c>
      <c r="EL9" s="40">
        <f>(s_C*s_IFP_far_adj*s_CF_far_poultry*up_RadSpec!AL9*s_Q_w_poultry*(1/1000))</f>
        <v>3781.25</v>
      </c>
      <c r="EM9" s="40">
        <f>(s_C*s_IFE_far_adj*s_CF_far_egg*up_RadSpec!AM9*s_Q_w_egg*(1/1000))</f>
        <v>3781.25</v>
      </c>
      <c r="EN9" s="40">
        <f>(s_C*s_IFGO_far_adj*s_CF_far_goat*up_RadSpec!AQ9*s_Q_p_goat*(1/1000))</f>
        <v>3781.25</v>
      </c>
      <c r="EO9" s="40">
        <f>(s_C*s_IFGM_far_adj*s_CF_far_goat_milk*up_RadSpec!AR9*(1/s_D_milk)*s_Q_p_goat_milk*(1/1000))</f>
        <v>3671.1165048543689</v>
      </c>
      <c r="EP9" s="40">
        <f>(s_C*s_IFSH_far_adj*s_CF_far_sheep*up_RadSpec!AO9*s_Q_p_sheep*(1/1000))</f>
        <v>3781.25</v>
      </c>
      <c r="EQ9" s="40">
        <f>(s_C*s_IFSM_far_adj*s_CF_far_sheep_milk*up_RadSpec!AP9*(1/s_D_milk)*s_Q_p_sheep_milk*(1/1000))</f>
        <v>3671.1165048543689</v>
      </c>
      <c r="ER9" s="18"/>
      <c r="ES9" s="18"/>
      <c r="ET9" s="18"/>
      <c r="EU9" s="18"/>
      <c r="EV9" s="18"/>
      <c r="EW9" s="18"/>
      <c r="EX9" s="18"/>
      <c r="EY9" s="18"/>
      <c r="EZ9" s="18"/>
      <c r="FA9" s="18"/>
      <c r="FB9" s="18"/>
      <c r="FC9" s="18"/>
      <c r="FD9" s="18"/>
      <c r="FE9" s="18"/>
      <c r="FF9" s="18"/>
      <c r="FG9" s="5"/>
      <c r="FH9" s="15">
        <f>IFERROR((s_TR/(up_RadSpec!F9*s_IFA_far_adj)),".")</f>
        <v>9.9740259740259755E-10</v>
      </c>
      <c r="FI9" s="15">
        <f>IFERROR((s_TR/(up_RadSpec!K9*s_EF_far*(1/365)*s_ED_far*s_ET_far*(1/24)*s_GSF_a)),".")</f>
        <v>6.3709090909090908E-6</v>
      </c>
      <c r="FJ9" s="15">
        <f t="shared" si="22"/>
        <v>9.9724647271019672E-10</v>
      </c>
      <c r="FK9" s="40">
        <f t="shared" si="18"/>
        <v>10026.041666666666</v>
      </c>
      <c r="FL9" s="40">
        <f t="shared" si="19"/>
        <v>1.5696347031963471</v>
      </c>
      <c r="FM9" s="120"/>
      <c r="FN9" s="120"/>
      <c r="FO9" s="120"/>
    </row>
    <row r="10" spans="1:171" customFormat="1" x14ac:dyDescent="0.25">
      <c r="A10" s="46" t="s">
        <v>20</v>
      </c>
      <c r="B10" s="42" t="s">
        <v>349</v>
      </c>
      <c r="C10" s="42"/>
      <c r="D10" s="15">
        <f>up_dir!AC10</f>
        <v>1.6528925619834712E-11</v>
      </c>
      <c r="E10" s="15">
        <f>IFERROR(s_TR/(up_RadSpec!H10*s_IFP_far_adj*s_CF_far_poultry),".")</f>
        <v>6.6115702479338848E-11</v>
      </c>
      <c r="F10" s="15">
        <f>IFERROR(s_TR/(up_RadSpec!H10*s_IFE_far_adj*s_CF_far_egg),".")</f>
        <v>6.6115702479338848E-11</v>
      </c>
      <c r="G10" s="15">
        <f>IFERROR(s_TR/(up_RadSpec!H10*s_IFB_far_adj*s_CF_far_beef),".")</f>
        <v>6.6115702479338848E-11</v>
      </c>
      <c r="H10" s="15">
        <f>IFERROR(s_TR/(up_RadSpec!H10*s_IFD_far_adj*s_CF_far_dairy),".")</f>
        <v>6.6115702479338848E-11</v>
      </c>
      <c r="I10" s="15">
        <f>IFERROR(s_TR/(up_RadSpec!H10*s_IFSW_far_adj*s_CF_far_swine),".")</f>
        <v>6.6115702479338848E-11</v>
      </c>
      <c r="J10" s="15">
        <f>IFERROR(s_TR/(up_RadSpec!H10*s_IFFI_far_adj*s_CF_far_fish),".")</f>
        <v>6.6115702479338848E-11</v>
      </c>
      <c r="K10" s="15">
        <f>IFERROR(s_TR/(up_RadSpec!H10*s_IFSF_far_adj*s_CF_far_shellfish),".")</f>
        <v>6.6115702479338848E-11</v>
      </c>
      <c r="L10" s="15">
        <f>IFERROR(s_TR/(up_RadSpec!H10*s_IFGO_far_adj*s_CF_far_goat),".")</f>
        <v>6.6115702479338848E-11</v>
      </c>
      <c r="M10" s="15">
        <f>IFERROR(s_TR/(up_RadSpec!H10*s_IFSH_far_adj*s_CF_far_sheep),".")</f>
        <v>6.6115702479338848E-11</v>
      </c>
      <c r="N10" s="15">
        <f>IFERROR(s_TR/(up_RadSpec!H10*s_IFGM_far_adj*s_CF_far_goat_milk),".")</f>
        <v>6.6115702479338848E-11</v>
      </c>
      <c r="O10" s="15">
        <f>IFERROR(s_TR/(up_RadSpec!H10*s_IFSM_far_adj*s_CF_far_sheep_milk),".")</f>
        <v>6.6115702479338848E-11</v>
      </c>
      <c r="P10" s="40">
        <f>up_dir!BC10</f>
        <v>605000</v>
      </c>
      <c r="Q10" s="40">
        <f t="shared" si="0"/>
        <v>151250</v>
      </c>
      <c r="R10" s="40">
        <f t="shared" si="1"/>
        <v>151250</v>
      </c>
      <c r="S10" s="40">
        <f t="shared" si="2"/>
        <v>151250</v>
      </c>
      <c r="T10" s="40">
        <f t="shared" si="3"/>
        <v>151250</v>
      </c>
      <c r="U10" s="40">
        <f t="shared" si="4"/>
        <v>151250</v>
      </c>
      <c r="V10" s="40">
        <f t="shared" si="5"/>
        <v>151250</v>
      </c>
      <c r="W10" s="40">
        <f t="shared" si="6"/>
        <v>151250</v>
      </c>
      <c r="X10" s="40">
        <f t="shared" si="7"/>
        <v>151250</v>
      </c>
      <c r="Y10" s="40">
        <f t="shared" si="8"/>
        <v>151250</v>
      </c>
      <c r="Z10" s="40">
        <f t="shared" si="9"/>
        <v>151250</v>
      </c>
      <c r="AA10" s="40">
        <f t="shared" si="10"/>
        <v>151250</v>
      </c>
      <c r="AB10" s="5"/>
      <c r="AC10" s="5"/>
      <c r="AD10" s="5"/>
      <c r="AE10" s="5"/>
      <c r="AF10" s="5"/>
      <c r="AG10" s="5"/>
      <c r="AH10" s="5"/>
      <c r="AI10" s="5"/>
      <c r="AJ10" s="5"/>
      <c r="AK10" s="5"/>
      <c r="AL10" s="5"/>
      <c r="AM10" s="5"/>
      <c r="AN10" s="45">
        <f>IFERROR((s_TR/(up_RadSpec!E10*s_IFS_far_adj*(1/1000)))*1,".")</f>
        <v>3.3057851239669421E-8</v>
      </c>
      <c r="AO10" s="45">
        <f>IFERROR(IF(A10="H-3",(s_TR/(up_RadSpec!F10*s_IFA_far_adj*(1/17)*1000))*1,(s_TR/(up_RadSpec!F10*s_IFA_far_adj*(1/s_PEF_wind)*1000))*1),".")</f>
        <v>3.0899917851942918E-4</v>
      </c>
      <c r="AP10" s="45">
        <f>IFERROR((s_TR/(up_RadSpec!G10*s_EF_far*(1/365)*s_ED_far*up_RadSpec!R10*((s_ET_far_o*(1/24)*up_RadSpec!W10)+(s_ET_far_i*(1/24)*up_RadSpec!AB10))))*1,".")</f>
        <v>2.0730735930735934E-5</v>
      </c>
      <c r="AQ10" s="45">
        <f>up_b2s!BC10</f>
        <v>3.2968835384132272E-12</v>
      </c>
      <c r="AR10" s="45">
        <f>IFERROR(((J10*up_RadSpec!AU10)/up_RadSpec!AJ10)*1,".")</f>
        <v>6.6115702479338848E-11</v>
      </c>
      <c r="AS10" s="45">
        <f>IFERROR(((K10*up_RadSpec!AU10)/up_RadSpec!AK10)*1,".")</f>
        <v>6.6115702479338848E-11</v>
      </c>
      <c r="AT10" s="45">
        <f>IFERROR((G10/(up_RadSpec!AI10*((s_Q_p_beef*s_f_p_beef*s_f_s_beef*(up_RadSpec!BD10+s_R_es_past))+(s_Q_s_beef*s_f_p_beef))))*1,".")</f>
        <v>1.8558793678410904E-14</v>
      </c>
      <c r="AU10" s="45">
        <f>IFERROR(((H10*s_D_milk)/(up_RadSpec!AH10*((s_Q_p_dairy*s_f_p_dairy*s_f_s_dairy*(up_RadSpec!BD10+s_R_es_past))+(s_Q_s_dairy*s_f_p_dairy))))*1,".")</f>
        <v>1.9115557488763232E-14</v>
      </c>
      <c r="AV10" s="45">
        <f>IFERROR((I10/(up_RadSpec!AN10*((s_Q_p_swine*s_f_p_swine*s_f_s_swine*(up_RadSpec!BD10+s_R_es_past))+(s_Q_s_swine*s_f_p_swine))))*1,".")</f>
        <v>1.8558793678410904E-14</v>
      </c>
      <c r="AW10" s="45">
        <f>IFERROR((E10/(up_RadSpec!AL10*((s_Q_p_poultry*s_f_p_poultry*s_f_s_poultry*(up_RadSpec!BD10+s_R_es_past))+(s_Q_s_poultry*s_f_p_poultry))))*1,".")</f>
        <v>1.8558793678410904E-14</v>
      </c>
      <c r="AX10" s="45">
        <f>IFERROR((F10/(up_RadSpec!AM10*((s_Q_p_poultry*s_f_p_poultry*s_f_s_poultry*(up_RadSpec!BD10+s_R_es_past))+(s_Q_s_poultry*s_f_p_poultry))))*1,".")</f>
        <v>1.8558793678410904E-14</v>
      </c>
      <c r="AY10" s="45">
        <f>IFERROR((L10/(up_RadSpec!AQ10*((s_Q_p_goat*s_f_p_goat*s_f_s_goat*(up_RadSpec!BD10+s_R_es_past))+(s_Q_s_goat*s_f_p_goat))))*1,".")</f>
        <v>1.8558793678410904E-14</v>
      </c>
      <c r="AZ10" s="45">
        <f>IFERROR((N10*s_D_milk/(up_RadSpec!AR10*((s_Q_p_goat_milk*s_f_p_goat_milk*s_f_s_goat_milk*(up_RadSpec!BD10+s_R_es_past))+(s_Q_s_goat_milk*s_f_p_goat_milk))))*1,".")</f>
        <v>1.9115557488763232E-14</v>
      </c>
      <c r="BA10" s="45">
        <f>IFERROR((M10/(up_RadSpec!AO10*((s_Q_p_sheep*s_f_p_sheep*s_f_s_sheep*(up_RadSpec!BD10+s_R_es_past))+(s_Q_s_sheep*s_f_p_sheep))))*1,".")</f>
        <v>1.8558793678410904E-14</v>
      </c>
      <c r="BB10" s="45">
        <f>IFERROR((O10*s_D_milk/(up_RadSpec!AP10*((s_Q_p_sheep_milk*s_f_p_sheep_milk*s_f_s_sheep_milk*(up_RadSpec!BD10+s_R_es_past))+(s_Q_s_sheep_milk*s_f_p_sheep_milk))))*1,".")</f>
        <v>1.9115557488763232E-14</v>
      </c>
      <c r="BC10" s="118">
        <f t="shared" si="11"/>
        <v>30250000</v>
      </c>
      <c r="BD10" s="118">
        <f t="shared" si="11"/>
        <v>3236.2545583179349</v>
      </c>
      <c r="BE10" s="118">
        <f t="shared" si="11"/>
        <v>48237.554293351146</v>
      </c>
      <c r="BF10" s="118">
        <f t="shared" si="11"/>
        <v>303316749999.99994</v>
      </c>
      <c r="BG10" s="118">
        <f t="shared" si="11"/>
        <v>15124999999.999998</v>
      </c>
      <c r="BH10" s="118">
        <f t="shared" si="11"/>
        <v>15124999999.999998</v>
      </c>
      <c r="BI10" s="118">
        <f t="shared" si="11"/>
        <v>53882812500000</v>
      </c>
      <c r="BJ10" s="118">
        <f t="shared" si="11"/>
        <v>52313410194174.758</v>
      </c>
      <c r="BK10" s="118">
        <f t="shared" si="11"/>
        <v>53882812500000</v>
      </c>
      <c r="BL10" s="118">
        <f t="shared" si="11"/>
        <v>53882812500000</v>
      </c>
      <c r="BM10" s="118">
        <f t="shared" si="11"/>
        <v>53882812500000</v>
      </c>
      <c r="BN10" s="118">
        <f t="shared" si="11"/>
        <v>53882812500000</v>
      </c>
      <c r="BO10" s="118">
        <f t="shared" si="11"/>
        <v>52313410194174.758</v>
      </c>
      <c r="BP10" s="118">
        <f t="shared" si="11"/>
        <v>53882812500000</v>
      </c>
      <c r="BQ10" s="118">
        <f t="shared" si="11"/>
        <v>52313410194174.758</v>
      </c>
      <c r="BR10" s="15">
        <f t="shared" si="20"/>
        <v>2.0808592669486941E-15</v>
      </c>
      <c r="BS10" s="40">
        <f t="shared" si="12"/>
        <v>302.5</v>
      </c>
      <c r="BT10" s="40">
        <f t="shared" si="13"/>
        <v>3.2362545583179352E-2</v>
      </c>
      <c r="BU10" s="40">
        <f>IFERROR((s_C*s_EF_far*(1/365)*s_ED_far*up_RadSpec!R10*((s_ET_far_o*(1/24)*up_RadSpec!W10)+(s_ET_far_i*(1/24)*up_RadSpec!AB10))),".")</f>
        <v>0.48237554293351154</v>
      </c>
      <c r="BV10" s="40">
        <f>up_b2s!CC10</f>
        <v>3033167.5</v>
      </c>
      <c r="BW10" s="40">
        <f>IFERROR(((s_C*up_RadSpec!AJ10)/up_RadSpec!AU10)*s_IFFI_far_adj*s_CF_far_fish,0)</f>
        <v>151250</v>
      </c>
      <c r="BX10" s="40">
        <f>IFERROR(((s_C*up_RadSpec!AK10)/up_RadSpec!AU10)*s_IFSF_far_adj*s_CF_far_shellfish,0)</f>
        <v>151250</v>
      </c>
      <c r="BY10" s="40">
        <f>(s_C*s_IFB_far_adj*s_CF_far_beef*up_RadSpec!AI10*((s_Q_p_beef*s_f_p_beef*s_f_s_beef*(up_RadSpec!$AT10+s_R_es_past))+(s_Q_s_beef*s_f_p_beef)))</f>
        <v>538828125</v>
      </c>
      <c r="BZ10" s="40">
        <f>(s_C*s_IFD_far_adj*s_CF_far_dairy*up_RadSpec!AH10*1/s_D_milk*((s_Q_p_dairy*s_f_p_dairy*s_f_s_dairy*(up_RadSpec!$AT10+s_R_es_past))+(s_Q_s_dairy*s_f_p_dairy)))</f>
        <v>523134101.94174761</v>
      </c>
      <c r="CA10" s="40">
        <f>(s_C*s_IFSW_far_adj*s_CF_far_swine*up_RadSpec!AN10*((s_Q_p_swine*s_f_p_swine*s_f_s_swine*(up_RadSpec!$AT10+s_R_es_past))+(s_Q_s_swine*s_f_p_swine)))</f>
        <v>538828125</v>
      </c>
      <c r="CB10" s="40">
        <f>(s_C*s_IFP_far_adj*s_CF_far_poultry*up_RadSpec!AL10*((s_Q_p_poultry*s_f_p_poultry*s_f_s_poultry*(up_RadSpec!AT10+s_R_es_past))+(s_Q_s_poultry*s_f_p_poultry)))</f>
        <v>538828125</v>
      </c>
      <c r="CC10" s="40">
        <f>(s_C*s_IFE_far_adj*s_CF_far_egg*up_RadSpec!AM10*((s_Q_p_egg*s_f_p_egg*s_f_s_egg*(up_RadSpec!$AT10+s_R_es_past))+(s_Q_s_egg*s_f_p_egg)))</f>
        <v>538828125</v>
      </c>
      <c r="CD10" s="40">
        <f>(s_C*s_IFGO_far_adj*s_CF_far_goat*up_RadSpec!AQ10*((s_Q_p_goat*s_f_p_goat*s_f_s_goat*(up_RadSpec!$AT10+s_R_es_past))+(s_Q_s_goat*s_f_p_goat)))</f>
        <v>538828125</v>
      </c>
      <c r="CE10" s="40">
        <f>(s_C*s_IFGM_far_adj*s_CF_far_goat_milk*up_RadSpec!AR10*1/s_D_milk*((s_Q_p_goat_milk*s_f_p_goat_milk*s_f_s_goat_milk*(up_RadSpec!$AT10+s_R_es_past))+(s_Q_s_goat_milk*s_f_p_goat_milk)))</f>
        <v>523134101.94174761</v>
      </c>
      <c r="CF10" s="40">
        <f>(s_C*s_IFSH_far_adj*s_CF_far_sheep*up_RadSpec!AO10*((s_Q_p_sheep*s_f_p_sheep*s_f_s_sheep*(up_RadSpec!$AT10+s_R_es_past))+(s_Q_s_sheep*s_f_p_sheep)))</f>
        <v>538828125</v>
      </c>
      <c r="CG10" s="40">
        <f>(s_C*s_IFSM_far_adj*s_CF_far_sheep_milk*up_RadSpec!AP10*1/s_D_milk*((s_Q_p_sheep_milk*s_f_p_sheep_milk*s_f_s_sheep_milk*(up_RadSpec!$AT10+s_R_es_past))+(s_Q_s_sheep_milk*s_f_p_sheep_milk)))</f>
        <v>523134101.94174761</v>
      </c>
      <c r="CH10" s="18"/>
      <c r="CI10" s="18"/>
      <c r="CJ10" s="18"/>
      <c r="CK10" s="18"/>
      <c r="CL10" s="18"/>
      <c r="CM10" s="18"/>
      <c r="CN10" s="18"/>
      <c r="CO10" s="18"/>
      <c r="CP10" s="18"/>
      <c r="CQ10" s="18"/>
      <c r="CR10" s="18"/>
      <c r="CS10" s="18"/>
      <c r="CT10" s="18"/>
      <c r="CU10" s="18"/>
      <c r="CV10" s="18"/>
      <c r="CW10" s="5"/>
      <c r="CX10" s="15">
        <f>IFERROR(s_TR/(up_RadSpec!I10*s_IFW_far_adj),".")</f>
        <v>3.6363636363636369E-10</v>
      </c>
      <c r="CY10" s="15" t="str">
        <f>IFERROR(IF(AND(up_RadSpec!C10=1,up_RadSpec!D10&lt;&gt;0),s_TR/(up_RadSpec!F10*s_IFA_far_adj*s_K*up_RadSpec!D10),"."),".")</f>
        <v>.</v>
      </c>
      <c r="CZ10" s="15">
        <f>IFERROR((s_TR/(up_RadSpec!M10*(1/8760)*s_DFA_far_adj)),".")</f>
        <v>3.9818181818181825E-6</v>
      </c>
      <c r="DA10" s="15">
        <f>up_b2w!BC10</f>
        <v>1.6443412786038031E-11</v>
      </c>
      <c r="DB10" s="15">
        <f>IFERROR(J10/(up_RadSpec!AJ10*(1/1000)),".")</f>
        <v>1.322314049586777E-8</v>
      </c>
      <c r="DC10" s="15">
        <f>IFERROR(K10/(up_RadSpec!AK10*(1/1000)),".")</f>
        <v>1.322314049586777E-8</v>
      </c>
      <c r="DD10" s="15">
        <f>IFERROR(G10/(up_RadSpec!AI10*s_Q_w_beef*(1/1000)),".")</f>
        <v>2.6446280991735539E-9</v>
      </c>
      <c r="DE10" s="15">
        <f>IFERROR((H10*s_D_milk)/(up_RadSpec!AH10*s_Q_w_dairy*(1/1000)),".")</f>
        <v>2.7239669421487605E-9</v>
      </c>
      <c r="DF10" s="15">
        <f>IFERROR(I10/(up_RadSpec!AN10*s_Q_w_swine*(1/1000)),".")</f>
        <v>2.6446280991735539E-9</v>
      </c>
      <c r="DG10" s="15">
        <f>IFERROR(E10/(up_RadSpec!AL10*s_Q_w_poultry*(1/1000)),".")</f>
        <v>2.6446280991735539E-9</v>
      </c>
      <c r="DH10" s="15">
        <f>IFERROR(F10/(up_RadSpec!AM10*s_Q_w_poultry*(1/1000)),".")</f>
        <v>2.6446280991735539E-9</v>
      </c>
      <c r="DI10" s="15">
        <f>IFERROR(L10/(up_RadSpec!AQ10*s_Q_w_goat*(1/1000)),".")</f>
        <v>2.6446280991735539E-9</v>
      </c>
      <c r="DJ10" s="15">
        <f>IFERROR(N10*s_D_milk/(up_RadSpec!AR10*s_Q_w_goat_milk*(1/1000)),".")</f>
        <v>2.7239669421487605E-9</v>
      </c>
      <c r="DK10" s="15">
        <f>IFERROR(M10/(up_RadSpec!AO10*s_Q_w_sheep*(1/1000)),".")</f>
        <v>2.6446280991735539E-9</v>
      </c>
      <c r="DL10" s="15">
        <f>IFERROR(O10*s_D_milk/(up_RadSpec!AP10*s_Q_w_sheep_milk*(1/1000)),".")</f>
        <v>2.7239669421487605E-9</v>
      </c>
      <c r="DM10" s="118">
        <f t="shared" si="14"/>
        <v>2749999999.9999995</v>
      </c>
      <c r="DN10" s="118" t="str">
        <f t="shared" si="14"/>
        <v>.</v>
      </c>
      <c r="DO10" s="118">
        <f t="shared" si="14"/>
        <v>251141.55251141547</v>
      </c>
      <c r="DP10" s="118">
        <f t="shared" si="14"/>
        <v>60814626076.229866</v>
      </c>
      <c r="DQ10" s="118">
        <f t="shared" si="14"/>
        <v>75624999.999999985</v>
      </c>
      <c r="DR10" s="118">
        <f t="shared" si="14"/>
        <v>75624999.999999985</v>
      </c>
      <c r="DS10" s="118">
        <f t="shared" si="14"/>
        <v>378124999.99999994</v>
      </c>
      <c r="DT10" s="118">
        <f t="shared" si="14"/>
        <v>367111650.48543686</v>
      </c>
      <c r="DU10" s="118">
        <f t="shared" si="14"/>
        <v>378124999.99999994</v>
      </c>
      <c r="DV10" s="118">
        <f t="shared" si="14"/>
        <v>378124999.99999994</v>
      </c>
      <c r="DW10" s="118">
        <f t="shared" si="14"/>
        <v>378124999.99999994</v>
      </c>
      <c r="DX10" s="118">
        <f t="shared" si="14"/>
        <v>378124999.99999994</v>
      </c>
      <c r="DY10" s="118">
        <f t="shared" si="14"/>
        <v>367111650.48543686</v>
      </c>
      <c r="DZ10" s="118">
        <f t="shared" si="14"/>
        <v>378124999.99999994</v>
      </c>
      <c r="EA10" s="118">
        <f t="shared" si="14"/>
        <v>367111650.48543686</v>
      </c>
      <c r="EB10" s="15">
        <f t="shared" si="21"/>
        <v>1.4906192608956601E-11</v>
      </c>
      <c r="EC10" s="40">
        <f t="shared" si="15"/>
        <v>27500</v>
      </c>
      <c r="ED10" s="40">
        <f>IF(up_RadSpec!D10&lt;&gt;"",s_C*s_IFA_far_adj*s_K*up_RadSpec!D10,0)</f>
        <v>0</v>
      </c>
      <c r="EE10" s="40">
        <f t="shared" si="16"/>
        <v>2.5114155251141552</v>
      </c>
      <c r="EF10" s="40">
        <f>up_b2w!CC10</f>
        <v>608146.26076229871</v>
      </c>
      <c r="EG10" s="40">
        <f>IFERROR(s_C*up_RadSpec!AJ10*(1/1000)*s_IFFI_far_adj*s_CF_far_fish,0)</f>
        <v>756.25</v>
      </c>
      <c r="EH10" s="40">
        <f>IFERROR(s_C*up_RadSpec!AK10*(1/1000)*s_IFSF_far_adj*s_CF_far_shellfish,0)</f>
        <v>756.25</v>
      </c>
      <c r="EI10" s="40">
        <f>(s_C*s_IFB_far_adj*s_CF_far_beef*up_RadSpec!AI10*s_Q_w_beef*(1/1000))</f>
        <v>3781.25</v>
      </c>
      <c r="EJ10" s="40">
        <f>(s_C*s_IFD_far_adj*s_CF_far_dairy*up_RadSpec!AH10*(1/s_D_milk)*s_Q_w_dairy*(1/1000))</f>
        <v>3671.1165048543689</v>
      </c>
      <c r="EK10" s="40">
        <f>(s_C*s_IFSW_far_adj*s_CF_far_swine*up_RadSpec!AN10*s_Q_w_swine*(1/1000))</f>
        <v>3781.25</v>
      </c>
      <c r="EL10" s="40">
        <f>(s_C*s_IFP_far_adj*s_CF_far_poultry*up_RadSpec!AL10*s_Q_w_poultry*(1/1000))</f>
        <v>3781.25</v>
      </c>
      <c r="EM10" s="40">
        <f>(s_C*s_IFE_far_adj*s_CF_far_egg*up_RadSpec!AM10*s_Q_w_egg*(1/1000))</f>
        <v>3781.25</v>
      </c>
      <c r="EN10" s="40">
        <f>(s_C*s_IFGO_far_adj*s_CF_far_goat*up_RadSpec!AQ10*s_Q_p_goat*(1/1000))</f>
        <v>3781.25</v>
      </c>
      <c r="EO10" s="40">
        <f>(s_C*s_IFGM_far_adj*s_CF_far_goat_milk*up_RadSpec!AR10*(1/s_D_milk)*s_Q_p_goat_milk*(1/1000))</f>
        <v>3671.1165048543689</v>
      </c>
      <c r="EP10" s="40">
        <f>(s_C*s_IFSH_far_adj*s_CF_far_sheep*up_RadSpec!AO10*s_Q_p_sheep*(1/1000))</f>
        <v>3781.25</v>
      </c>
      <c r="EQ10" s="40">
        <f>(s_C*s_IFSM_far_adj*s_CF_far_sheep_milk*up_RadSpec!AP10*(1/s_D_milk)*s_Q_p_sheep_milk*(1/1000))</f>
        <v>3671.1165048543689</v>
      </c>
      <c r="ER10" s="18"/>
      <c r="ES10" s="18"/>
      <c r="ET10" s="18"/>
      <c r="EU10" s="18"/>
      <c r="EV10" s="18"/>
      <c r="EW10" s="18"/>
      <c r="EX10" s="18"/>
      <c r="EY10" s="18"/>
      <c r="EZ10" s="18"/>
      <c r="FA10" s="18"/>
      <c r="FB10" s="18"/>
      <c r="FC10" s="18"/>
      <c r="FD10" s="18"/>
      <c r="FE10" s="18"/>
      <c r="FF10" s="18"/>
      <c r="FG10" s="5"/>
      <c r="FH10" s="15">
        <f>IFERROR((s_TR/(up_RadSpec!F10*s_IFA_far_adj)),".")</f>
        <v>9.9740259740259755E-10</v>
      </c>
      <c r="FI10" s="15">
        <f>IFERROR((s_TR/(up_RadSpec!K10*s_EF_far*(1/365)*s_ED_far*s_ET_far*(1/24)*s_GSF_a)),".")</f>
        <v>6.3709090909090908E-6</v>
      </c>
      <c r="FJ10" s="15">
        <f t="shared" si="22"/>
        <v>9.9724647271019672E-10</v>
      </c>
      <c r="FK10" s="40">
        <f t="shared" si="18"/>
        <v>10026.041666666666</v>
      </c>
      <c r="FL10" s="40">
        <f t="shared" si="19"/>
        <v>1.5696347031963471</v>
      </c>
      <c r="FM10" s="120"/>
      <c r="FN10" s="120"/>
      <c r="FO10" s="120"/>
    </row>
    <row r="11" spans="1:171" customFormat="1" x14ac:dyDescent="0.25">
      <c r="A11" s="44" t="s">
        <v>21</v>
      </c>
      <c r="B11" s="42" t="s">
        <v>1071</v>
      </c>
      <c r="C11" s="42"/>
      <c r="D11" s="15">
        <f>up_dir!AC11</f>
        <v>1.6528925619834712E-11</v>
      </c>
      <c r="E11" s="15">
        <f>IFERROR(s_TR/(up_RadSpec!H11*s_IFP_far_adj*s_CF_far_poultry),".")</f>
        <v>6.6115702479338848E-11</v>
      </c>
      <c r="F11" s="15">
        <f>IFERROR(s_TR/(up_RadSpec!H11*s_IFE_far_adj*s_CF_far_egg),".")</f>
        <v>6.6115702479338848E-11</v>
      </c>
      <c r="G11" s="15">
        <f>IFERROR(s_TR/(up_RadSpec!H11*s_IFB_far_adj*s_CF_far_beef),".")</f>
        <v>6.6115702479338848E-11</v>
      </c>
      <c r="H11" s="15">
        <f>IFERROR(s_TR/(up_RadSpec!H11*s_IFD_far_adj*s_CF_far_dairy),".")</f>
        <v>6.6115702479338848E-11</v>
      </c>
      <c r="I11" s="15">
        <f>IFERROR(s_TR/(up_RadSpec!H11*s_IFSW_far_adj*s_CF_far_swine),".")</f>
        <v>6.6115702479338848E-11</v>
      </c>
      <c r="J11" s="15">
        <f>IFERROR(s_TR/(up_RadSpec!H11*s_IFFI_far_adj*s_CF_far_fish),".")</f>
        <v>6.6115702479338848E-11</v>
      </c>
      <c r="K11" s="15">
        <f>IFERROR(s_TR/(up_RadSpec!H11*s_IFSF_far_adj*s_CF_far_shellfish),".")</f>
        <v>6.6115702479338848E-11</v>
      </c>
      <c r="L11" s="15">
        <f>IFERROR(s_TR/(up_RadSpec!H11*s_IFGO_far_adj*s_CF_far_goat),".")</f>
        <v>6.6115702479338848E-11</v>
      </c>
      <c r="M11" s="15">
        <f>IFERROR(s_TR/(up_RadSpec!H11*s_IFSH_far_adj*s_CF_far_sheep),".")</f>
        <v>6.6115702479338848E-11</v>
      </c>
      <c r="N11" s="15">
        <f>IFERROR(s_TR/(up_RadSpec!H11*s_IFGM_far_adj*s_CF_far_goat_milk),".")</f>
        <v>6.6115702479338848E-11</v>
      </c>
      <c r="O11" s="15">
        <f>IFERROR(s_TR/(up_RadSpec!H11*s_IFSM_far_adj*s_CF_far_sheep_milk),".")</f>
        <v>6.6115702479338848E-11</v>
      </c>
      <c r="P11" s="40">
        <f>up_dir!BC11</f>
        <v>605000</v>
      </c>
      <c r="Q11" s="40">
        <f t="shared" si="0"/>
        <v>151250</v>
      </c>
      <c r="R11" s="40">
        <f t="shared" si="1"/>
        <v>151250</v>
      </c>
      <c r="S11" s="40">
        <f t="shared" si="2"/>
        <v>151250</v>
      </c>
      <c r="T11" s="40">
        <f t="shared" si="3"/>
        <v>151250</v>
      </c>
      <c r="U11" s="40">
        <f t="shared" si="4"/>
        <v>151250</v>
      </c>
      <c r="V11" s="40">
        <f t="shared" si="5"/>
        <v>151250</v>
      </c>
      <c r="W11" s="40">
        <f t="shared" si="6"/>
        <v>151250</v>
      </c>
      <c r="X11" s="40">
        <f t="shared" si="7"/>
        <v>151250</v>
      </c>
      <c r="Y11" s="40">
        <f t="shared" si="8"/>
        <v>151250</v>
      </c>
      <c r="Z11" s="40">
        <f t="shared" si="9"/>
        <v>151250</v>
      </c>
      <c r="AA11" s="40">
        <f t="shared" si="10"/>
        <v>151250</v>
      </c>
      <c r="AB11" s="5"/>
      <c r="AC11" s="5"/>
      <c r="AD11" s="5"/>
      <c r="AE11" s="5"/>
      <c r="AF11" s="5"/>
      <c r="AG11" s="5"/>
      <c r="AH11" s="5"/>
      <c r="AI11" s="5"/>
      <c r="AJ11" s="5"/>
      <c r="AK11" s="5"/>
      <c r="AL11" s="5"/>
      <c r="AM11" s="5"/>
      <c r="AN11" s="45">
        <f>IFERROR((s_TR/(up_RadSpec!E11*s_IFS_far_adj*(1/1000)))*1,".")</f>
        <v>3.3057851239669421E-8</v>
      </c>
      <c r="AO11" s="45">
        <f>IFERROR(IF(A11="H-3",(s_TR/(up_RadSpec!F11*s_IFA_far_adj*(1/17)*1000))*1,(s_TR/(up_RadSpec!F11*s_IFA_far_adj*(1/s_PEF_wind)*1000))*1),".")</f>
        <v>3.0899917851942918E-4</v>
      </c>
      <c r="AP11" s="45">
        <f>IFERROR((s_TR/(up_RadSpec!G11*s_EF_far*(1/365)*s_ED_far*up_RadSpec!R11*((s_ET_far_o*(1/24)*up_RadSpec!W11)+(s_ET_far_i*(1/24)*up_RadSpec!AB11))))*1,".")</f>
        <v>6.1988011988012E-5</v>
      </c>
      <c r="AQ11" s="45">
        <f>up_b2s!BC11</f>
        <v>3.2968835384132272E-12</v>
      </c>
      <c r="AR11" s="45">
        <f>IFERROR(((J11*up_RadSpec!AU11)/up_RadSpec!AJ11)*1,".")</f>
        <v>6.6115702479338848E-11</v>
      </c>
      <c r="AS11" s="45">
        <f>IFERROR(((K11*up_RadSpec!AU11)/up_RadSpec!AK11)*1,".")</f>
        <v>6.6115702479338848E-11</v>
      </c>
      <c r="AT11" s="45">
        <f>IFERROR((G11/(up_RadSpec!AI11*((s_Q_p_beef*s_f_p_beef*s_f_s_beef*(up_RadSpec!BD11+s_R_es_past))+(s_Q_s_beef*s_f_p_beef))))*1,".")</f>
        <v>1.8558793678410904E-14</v>
      </c>
      <c r="AU11" s="45">
        <f>IFERROR(((H11*s_D_milk)/(up_RadSpec!AH11*((s_Q_p_dairy*s_f_p_dairy*s_f_s_dairy*(up_RadSpec!BD11+s_R_es_past))+(s_Q_s_dairy*s_f_p_dairy))))*1,".")</f>
        <v>1.9115557488763232E-14</v>
      </c>
      <c r="AV11" s="45">
        <f>IFERROR((I11/(up_RadSpec!AN11*((s_Q_p_swine*s_f_p_swine*s_f_s_swine*(up_RadSpec!BD11+s_R_es_past))+(s_Q_s_swine*s_f_p_swine))))*1,".")</f>
        <v>1.8558793678410904E-14</v>
      </c>
      <c r="AW11" s="45">
        <f>IFERROR((E11/(up_RadSpec!AL11*((s_Q_p_poultry*s_f_p_poultry*s_f_s_poultry*(up_RadSpec!BD11+s_R_es_past))+(s_Q_s_poultry*s_f_p_poultry))))*1,".")</f>
        <v>1.8558793678410904E-14</v>
      </c>
      <c r="AX11" s="45">
        <f>IFERROR((F11/(up_RadSpec!AM11*((s_Q_p_poultry*s_f_p_poultry*s_f_s_poultry*(up_RadSpec!BD11+s_R_es_past))+(s_Q_s_poultry*s_f_p_poultry))))*1,".")</f>
        <v>1.8558793678410904E-14</v>
      </c>
      <c r="AY11" s="45">
        <f>IFERROR((L11/(up_RadSpec!AQ11*((s_Q_p_goat*s_f_p_goat*s_f_s_goat*(up_RadSpec!BD11+s_R_es_past))+(s_Q_s_goat*s_f_p_goat))))*1,".")</f>
        <v>1.8558793678410904E-14</v>
      </c>
      <c r="AZ11" s="45">
        <f>IFERROR((N11*s_D_milk/(up_RadSpec!AR11*((s_Q_p_goat_milk*s_f_p_goat_milk*s_f_s_goat_milk*(up_RadSpec!BD11+s_R_es_past))+(s_Q_s_goat_milk*s_f_p_goat_milk))))*1,".")</f>
        <v>1.9115557488763232E-14</v>
      </c>
      <c r="BA11" s="45">
        <f>IFERROR((M11/(up_RadSpec!AO11*((s_Q_p_sheep*s_f_p_sheep*s_f_s_sheep*(up_RadSpec!BD11+s_R_es_past))+(s_Q_s_sheep*s_f_p_sheep))))*1,".")</f>
        <v>1.8558793678410904E-14</v>
      </c>
      <c r="BB11" s="45">
        <f>IFERROR((O11*s_D_milk/(up_RadSpec!AP11*((s_Q_p_sheep_milk*s_f_p_sheep_milk*s_f_s_sheep_milk*(up_RadSpec!BD11+s_R_es_past))+(s_Q_s_sheep_milk*s_f_p_sheep_milk))))*1,".")</f>
        <v>1.9115557488763232E-14</v>
      </c>
      <c r="BC11" s="118">
        <f t="shared" si="11"/>
        <v>30250000</v>
      </c>
      <c r="BD11" s="118">
        <f t="shared" si="11"/>
        <v>3236.2545583179349</v>
      </c>
      <c r="BE11" s="118">
        <f t="shared" si="11"/>
        <v>16132.151490733277</v>
      </c>
      <c r="BF11" s="118">
        <f t="shared" si="11"/>
        <v>303316749999.99994</v>
      </c>
      <c r="BG11" s="118">
        <f t="shared" si="11"/>
        <v>15124999999.999998</v>
      </c>
      <c r="BH11" s="118">
        <f t="shared" si="11"/>
        <v>15124999999.999998</v>
      </c>
      <c r="BI11" s="118">
        <f t="shared" si="11"/>
        <v>53882812500000</v>
      </c>
      <c r="BJ11" s="118">
        <f t="shared" si="11"/>
        <v>52313410194174.758</v>
      </c>
      <c r="BK11" s="118">
        <f t="shared" si="11"/>
        <v>53882812500000</v>
      </c>
      <c r="BL11" s="118">
        <f t="shared" si="11"/>
        <v>53882812500000</v>
      </c>
      <c r="BM11" s="118">
        <f t="shared" si="11"/>
        <v>53882812500000</v>
      </c>
      <c r="BN11" s="118">
        <f t="shared" si="11"/>
        <v>53882812500000</v>
      </c>
      <c r="BO11" s="118">
        <f t="shared" si="11"/>
        <v>52313410194174.758</v>
      </c>
      <c r="BP11" s="118">
        <f t="shared" si="11"/>
        <v>53882812500000</v>
      </c>
      <c r="BQ11" s="118">
        <f t="shared" si="11"/>
        <v>52313410194174.758</v>
      </c>
      <c r="BR11" s="15">
        <f t="shared" si="20"/>
        <v>2.0808592670877095E-15</v>
      </c>
      <c r="BS11" s="40">
        <f t="shared" si="12"/>
        <v>302.5</v>
      </c>
      <c r="BT11" s="40">
        <f t="shared" si="13"/>
        <v>3.2362545583179352E-2</v>
      </c>
      <c r="BU11" s="40">
        <f>IFERROR((s_C*s_EF_far*(1/365)*s_ED_far*up_RadSpec!R11*((s_ET_far_o*(1/24)*up_RadSpec!W11)+(s_ET_far_i*(1/24)*up_RadSpec!AB11))),".")</f>
        <v>0.16132151490733279</v>
      </c>
      <c r="BV11" s="40">
        <f>up_b2s!CC11</f>
        <v>3033167.5</v>
      </c>
      <c r="BW11" s="40">
        <f>IFERROR(((s_C*up_RadSpec!AJ11)/up_RadSpec!AU11)*s_IFFI_far_adj*s_CF_far_fish,0)</f>
        <v>151250</v>
      </c>
      <c r="BX11" s="40">
        <f>IFERROR(((s_C*up_RadSpec!AK11)/up_RadSpec!AU11)*s_IFSF_far_adj*s_CF_far_shellfish,0)</f>
        <v>151250</v>
      </c>
      <c r="BY11" s="40">
        <f>(s_C*s_IFB_far_adj*s_CF_far_beef*up_RadSpec!AI11*((s_Q_p_beef*s_f_p_beef*s_f_s_beef*(up_RadSpec!$AT11+s_R_es_past))+(s_Q_s_beef*s_f_p_beef)))</f>
        <v>538828125</v>
      </c>
      <c r="BZ11" s="40">
        <f>(s_C*s_IFD_far_adj*s_CF_far_dairy*up_RadSpec!AH11*1/s_D_milk*((s_Q_p_dairy*s_f_p_dairy*s_f_s_dairy*(up_RadSpec!$AT11+s_R_es_past))+(s_Q_s_dairy*s_f_p_dairy)))</f>
        <v>523134101.94174761</v>
      </c>
      <c r="CA11" s="40">
        <f>(s_C*s_IFSW_far_adj*s_CF_far_swine*up_RadSpec!AN11*((s_Q_p_swine*s_f_p_swine*s_f_s_swine*(up_RadSpec!$AT11+s_R_es_past))+(s_Q_s_swine*s_f_p_swine)))</f>
        <v>538828125</v>
      </c>
      <c r="CB11" s="40">
        <f>(s_C*s_IFP_far_adj*s_CF_far_poultry*up_RadSpec!AL11*((s_Q_p_poultry*s_f_p_poultry*s_f_s_poultry*(up_RadSpec!AT11+s_R_es_past))+(s_Q_s_poultry*s_f_p_poultry)))</f>
        <v>538828125</v>
      </c>
      <c r="CC11" s="40">
        <f>(s_C*s_IFE_far_adj*s_CF_far_egg*up_RadSpec!AM11*((s_Q_p_egg*s_f_p_egg*s_f_s_egg*(up_RadSpec!$AT11+s_R_es_past))+(s_Q_s_egg*s_f_p_egg)))</f>
        <v>538828125</v>
      </c>
      <c r="CD11" s="40">
        <f>(s_C*s_IFGO_far_adj*s_CF_far_goat*up_RadSpec!AQ11*((s_Q_p_goat*s_f_p_goat*s_f_s_goat*(up_RadSpec!$AT11+s_R_es_past))+(s_Q_s_goat*s_f_p_goat)))</f>
        <v>538828125</v>
      </c>
      <c r="CE11" s="40">
        <f>(s_C*s_IFGM_far_adj*s_CF_far_goat_milk*up_RadSpec!AR11*1/s_D_milk*((s_Q_p_goat_milk*s_f_p_goat_milk*s_f_s_goat_milk*(up_RadSpec!$AT11+s_R_es_past))+(s_Q_s_goat_milk*s_f_p_goat_milk)))</f>
        <v>523134101.94174761</v>
      </c>
      <c r="CF11" s="40">
        <f>(s_C*s_IFSH_far_adj*s_CF_far_sheep*up_RadSpec!AO11*((s_Q_p_sheep*s_f_p_sheep*s_f_s_sheep*(up_RadSpec!$AT11+s_R_es_past))+(s_Q_s_sheep*s_f_p_sheep)))</f>
        <v>538828125</v>
      </c>
      <c r="CG11" s="40">
        <f>(s_C*s_IFSM_far_adj*s_CF_far_sheep_milk*up_RadSpec!AP11*1/s_D_milk*((s_Q_p_sheep_milk*s_f_p_sheep_milk*s_f_s_sheep_milk*(up_RadSpec!$AT11+s_R_es_past))+(s_Q_s_sheep_milk*s_f_p_sheep_milk)))</f>
        <v>523134101.94174761</v>
      </c>
      <c r="CH11" s="18"/>
      <c r="CI11" s="18"/>
      <c r="CJ11" s="18"/>
      <c r="CK11" s="18"/>
      <c r="CL11" s="18"/>
      <c r="CM11" s="18"/>
      <c r="CN11" s="18"/>
      <c r="CO11" s="18"/>
      <c r="CP11" s="18"/>
      <c r="CQ11" s="18"/>
      <c r="CR11" s="18"/>
      <c r="CS11" s="18"/>
      <c r="CT11" s="18"/>
      <c r="CU11" s="18"/>
      <c r="CV11" s="18"/>
      <c r="CW11" s="5"/>
      <c r="CX11" s="15">
        <f>IFERROR(s_TR/(up_RadSpec!I11*s_IFW_far_adj),".")</f>
        <v>3.6363636363636369E-10</v>
      </c>
      <c r="CY11" s="15" t="str">
        <f>IFERROR(IF(AND(up_RadSpec!C11=1,up_RadSpec!D11&lt;&gt;0),s_TR/(up_RadSpec!F11*s_IFA_far_adj*s_K*up_RadSpec!D11),"."),".")</f>
        <v>.</v>
      </c>
      <c r="CZ11" s="15">
        <f>IFERROR((s_TR/(up_RadSpec!M11*(1/8760)*s_DFA_far_adj)),".")</f>
        <v>3.9818181818181825E-6</v>
      </c>
      <c r="DA11" s="15">
        <f>up_b2w!BC11</f>
        <v>1.6443412786038031E-11</v>
      </c>
      <c r="DB11" s="15">
        <f>IFERROR(J11/(up_RadSpec!AJ11*(1/1000)),".")</f>
        <v>1.322314049586777E-8</v>
      </c>
      <c r="DC11" s="15">
        <f>IFERROR(K11/(up_RadSpec!AK11*(1/1000)),".")</f>
        <v>1.322314049586777E-8</v>
      </c>
      <c r="DD11" s="15">
        <f>IFERROR(G11/(up_RadSpec!AI11*s_Q_w_beef*(1/1000)),".")</f>
        <v>2.6446280991735539E-9</v>
      </c>
      <c r="DE11" s="15">
        <f>IFERROR((H11*s_D_milk)/(up_RadSpec!AH11*s_Q_w_dairy*(1/1000)),".")</f>
        <v>2.7239669421487605E-9</v>
      </c>
      <c r="DF11" s="15">
        <f>IFERROR(I11/(up_RadSpec!AN11*s_Q_w_swine*(1/1000)),".")</f>
        <v>2.6446280991735539E-9</v>
      </c>
      <c r="DG11" s="15">
        <f>IFERROR(E11/(up_RadSpec!AL11*s_Q_w_poultry*(1/1000)),".")</f>
        <v>2.6446280991735539E-9</v>
      </c>
      <c r="DH11" s="15">
        <f>IFERROR(F11/(up_RadSpec!AM11*s_Q_w_poultry*(1/1000)),".")</f>
        <v>2.6446280991735539E-9</v>
      </c>
      <c r="DI11" s="15">
        <f>IFERROR(L11/(up_RadSpec!AQ11*s_Q_w_goat*(1/1000)),".")</f>
        <v>2.6446280991735539E-9</v>
      </c>
      <c r="DJ11" s="15">
        <f>IFERROR(N11*s_D_milk/(up_RadSpec!AR11*s_Q_w_goat_milk*(1/1000)),".")</f>
        <v>2.7239669421487605E-9</v>
      </c>
      <c r="DK11" s="15">
        <f>IFERROR(M11/(up_RadSpec!AO11*s_Q_w_sheep*(1/1000)),".")</f>
        <v>2.6446280991735539E-9</v>
      </c>
      <c r="DL11" s="15">
        <f>IFERROR(O11*s_D_milk/(up_RadSpec!AP11*s_Q_w_sheep_milk*(1/1000)),".")</f>
        <v>2.7239669421487605E-9</v>
      </c>
      <c r="DM11" s="118">
        <f t="shared" si="14"/>
        <v>2749999999.9999995</v>
      </c>
      <c r="DN11" s="118" t="str">
        <f t="shared" si="14"/>
        <v>.</v>
      </c>
      <c r="DO11" s="118">
        <f t="shared" si="14"/>
        <v>251141.55251141547</v>
      </c>
      <c r="DP11" s="118">
        <f t="shared" si="14"/>
        <v>60814626076.229866</v>
      </c>
      <c r="DQ11" s="118">
        <f t="shared" si="14"/>
        <v>75624999.999999985</v>
      </c>
      <c r="DR11" s="118">
        <f t="shared" si="14"/>
        <v>75624999.999999985</v>
      </c>
      <c r="DS11" s="118">
        <f t="shared" si="14"/>
        <v>378124999.99999994</v>
      </c>
      <c r="DT11" s="118">
        <f t="shared" si="14"/>
        <v>367111650.48543686</v>
      </c>
      <c r="DU11" s="118">
        <f t="shared" si="14"/>
        <v>378124999.99999994</v>
      </c>
      <c r="DV11" s="118">
        <f t="shared" si="14"/>
        <v>378124999.99999994</v>
      </c>
      <c r="DW11" s="118">
        <f t="shared" si="14"/>
        <v>378124999.99999994</v>
      </c>
      <c r="DX11" s="118">
        <f t="shared" si="14"/>
        <v>378124999.99999994</v>
      </c>
      <c r="DY11" s="118">
        <f t="shared" si="14"/>
        <v>367111650.48543686</v>
      </c>
      <c r="DZ11" s="118">
        <f t="shared" si="14"/>
        <v>378124999.99999994</v>
      </c>
      <c r="EA11" s="118">
        <f t="shared" si="14"/>
        <v>367111650.48543686</v>
      </c>
      <c r="EB11" s="15">
        <f t="shared" si="21"/>
        <v>1.4906192608956601E-11</v>
      </c>
      <c r="EC11" s="40">
        <f t="shared" si="15"/>
        <v>27500</v>
      </c>
      <c r="ED11" s="40">
        <f>IF(up_RadSpec!D11&lt;&gt;"",s_C*s_IFA_far_adj*s_K*up_RadSpec!D11,0)</f>
        <v>0</v>
      </c>
      <c r="EE11" s="40">
        <f t="shared" si="16"/>
        <v>2.5114155251141552</v>
      </c>
      <c r="EF11" s="40">
        <f>up_b2w!CC11</f>
        <v>608146.26076229871</v>
      </c>
      <c r="EG11" s="40">
        <f>IFERROR(s_C*up_RadSpec!AJ11*(1/1000)*s_IFFI_far_adj*s_CF_far_fish,0)</f>
        <v>756.25</v>
      </c>
      <c r="EH11" s="40">
        <f>IFERROR(s_C*up_RadSpec!AK11*(1/1000)*s_IFSF_far_adj*s_CF_far_shellfish,0)</f>
        <v>756.25</v>
      </c>
      <c r="EI11" s="40">
        <f>(s_C*s_IFB_far_adj*s_CF_far_beef*up_RadSpec!AI11*s_Q_w_beef*(1/1000))</f>
        <v>3781.25</v>
      </c>
      <c r="EJ11" s="40">
        <f>(s_C*s_IFD_far_adj*s_CF_far_dairy*up_RadSpec!AH11*(1/s_D_milk)*s_Q_w_dairy*(1/1000))</f>
        <v>3671.1165048543689</v>
      </c>
      <c r="EK11" s="40">
        <f>(s_C*s_IFSW_far_adj*s_CF_far_swine*up_RadSpec!AN11*s_Q_w_swine*(1/1000))</f>
        <v>3781.25</v>
      </c>
      <c r="EL11" s="40">
        <f>(s_C*s_IFP_far_adj*s_CF_far_poultry*up_RadSpec!AL11*s_Q_w_poultry*(1/1000))</f>
        <v>3781.25</v>
      </c>
      <c r="EM11" s="40">
        <f>(s_C*s_IFE_far_adj*s_CF_far_egg*up_RadSpec!AM11*s_Q_w_egg*(1/1000))</f>
        <v>3781.25</v>
      </c>
      <c r="EN11" s="40">
        <f>(s_C*s_IFGO_far_adj*s_CF_far_goat*up_RadSpec!AQ11*s_Q_p_goat*(1/1000))</f>
        <v>3781.25</v>
      </c>
      <c r="EO11" s="40">
        <f>(s_C*s_IFGM_far_adj*s_CF_far_goat_milk*up_RadSpec!AR11*(1/s_D_milk)*s_Q_p_goat_milk*(1/1000))</f>
        <v>3671.1165048543689</v>
      </c>
      <c r="EP11" s="40">
        <f>(s_C*s_IFSH_far_adj*s_CF_far_sheep*up_RadSpec!AO11*s_Q_p_sheep*(1/1000))</f>
        <v>3781.25</v>
      </c>
      <c r="EQ11" s="40">
        <f>(s_C*s_IFSM_far_adj*s_CF_far_sheep_milk*up_RadSpec!AP11*(1/s_D_milk)*s_Q_p_sheep_milk*(1/1000))</f>
        <v>3671.1165048543689</v>
      </c>
      <c r="ER11" s="18"/>
      <c r="ES11" s="18"/>
      <c r="ET11" s="18"/>
      <c r="EU11" s="18"/>
      <c r="EV11" s="18"/>
      <c r="EW11" s="18"/>
      <c r="EX11" s="18"/>
      <c r="EY11" s="18"/>
      <c r="EZ11" s="18"/>
      <c r="FA11" s="18"/>
      <c r="FB11" s="18"/>
      <c r="FC11" s="18"/>
      <c r="FD11" s="18"/>
      <c r="FE11" s="18"/>
      <c r="FF11" s="18"/>
      <c r="FG11" s="5"/>
      <c r="FH11" s="15">
        <f>IFERROR((s_TR/(up_RadSpec!F11*s_IFA_far_adj)),".")</f>
        <v>9.9740259740259755E-10</v>
      </c>
      <c r="FI11" s="15">
        <f>IFERROR((s_TR/(up_RadSpec!K11*s_EF_far*(1/365)*s_ED_far*s_ET_far*(1/24)*s_GSF_a)),".")</f>
        <v>6.3709090909090908E-6</v>
      </c>
      <c r="FJ11" s="15">
        <f t="shared" si="22"/>
        <v>9.9724647271019672E-10</v>
      </c>
      <c r="FK11" s="40">
        <f t="shared" si="18"/>
        <v>10026.041666666666</v>
      </c>
      <c r="FL11" s="40">
        <f t="shared" si="19"/>
        <v>1.5696347031963471</v>
      </c>
      <c r="FM11" s="120"/>
      <c r="FN11" s="120"/>
      <c r="FO11" s="120"/>
    </row>
    <row r="12" spans="1:171" customFormat="1" x14ac:dyDescent="0.25">
      <c r="A12" s="44" t="s">
        <v>22</v>
      </c>
      <c r="B12" s="42" t="s">
        <v>1071</v>
      </c>
      <c r="C12" s="249"/>
      <c r="D12" s="15">
        <f>up_dir!AC12</f>
        <v>1.6528925619834712E-11</v>
      </c>
      <c r="E12" s="15">
        <f>IFERROR(s_TR/(up_RadSpec!H12*s_IFP_far_adj*s_CF_far_poultry),".")</f>
        <v>6.6115702479338848E-11</v>
      </c>
      <c r="F12" s="15">
        <f>IFERROR(s_TR/(up_RadSpec!H12*s_IFE_far_adj*s_CF_far_egg),".")</f>
        <v>6.6115702479338848E-11</v>
      </c>
      <c r="G12" s="15">
        <f>IFERROR(s_TR/(up_RadSpec!H12*s_IFB_far_adj*s_CF_far_beef),".")</f>
        <v>6.6115702479338848E-11</v>
      </c>
      <c r="H12" s="15">
        <f>IFERROR(s_TR/(up_RadSpec!H12*s_IFD_far_adj*s_CF_far_dairy),".")</f>
        <v>6.6115702479338848E-11</v>
      </c>
      <c r="I12" s="15">
        <f>IFERROR(s_TR/(up_RadSpec!H12*s_IFSW_far_adj*s_CF_far_swine),".")</f>
        <v>6.6115702479338848E-11</v>
      </c>
      <c r="J12" s="15">
        <f>IFERROR(s_TR/(up_RadSpec!H12*s_IFFI_far_adj*s_CF_far_fish),".")</f>
        <v>6.6115702479338848E-11</v>
      </c>
      <c r="K12" s="15">
        <f>IFERROR(s_TR/(up_RadSpec!H12*s_IFSF_far_adj*s_CF_far_shellfish),".")</f>
        <v>6.6115702479338848E-11</v>
      </c>
      <c r="L12" s="15">
        <f>IFERROR(s_TR/(up_RadSpec!H12*s_IFGO_far_adj*s_CF_far_goat),".")</f>
        <v>6.6115702479338848E-11</v>
      </c>
      <c r="M12" s="15">
        <f>IFERROR(s_TR/(up_RadSpec!H12*s_IFSH_far_adj*s_CF_far_sheep),".")</f>
        <v>6.6115702479338848E-11</v>
      </c>
      <c r="N12" s="15">
        <f>IFERROR(s_TR/(up_RadSpec!H12*s_IFGM_far_adj*s_CF_far_goat_milk),".")</f>
        <v>6.6115702479338848E-11</v>
      </c>
      <c r="O12" s="15">
        <f>IFERROR(s_TR/(up_RadSpec!H12*s_IFSM_far_adj*s_CF_far_sheep_milk),".")</f>
        <v>6.6115702479338848E-11</v>
      </c>
      <c r="P12" s="40">
        <f>up_dir!BC12</f>
        <v>605000</v>
      </c>
      <c r="Q12" s="40">
        <f t="shared" si="0"/>
        <v>151250</v>
      </c>
      <c r="R12" s="40">
        <f t="shared" si="1"/>
        <v>151250</v>
      </c>
      <c r="S12" s="40">
        <f t="shared" si="2"/>
        <v>151250</v>
      </c>
      <c r="T12" s="40">
        <f t="shared" si="3"/>
        <v>151250</v>
      </c>
      <c r="U12" s="40">
        <f t="shared" si="4"/>
        <v>151250</v>
      </c>
      <c r="V12" s="40">
        <f t="shared" si="5"/>
        <v>151250</v>
      </c>
      <c r="W12" s="40">
        <f t="shared" si="6"/>
        <v>151250</v>
      </c>
      <c r="X12" s="40">
        <f t="shared" si="7"/>
        <v>151250</v>
      </c>
      <c r="Y12" s="40">
        <f t="shared" si="8"/>
        <v>151250</v>
      </c>
      <c r="Z12" s="40">
        <f t="shared" si="9"/>
        <v>151250</v>
      </c>
      <c r="AA12" s="40">
        <f t="shared" si="10"/>
        <v>151250</v>
      </c>
      <c r="AB12" s="5"/>
      <c r="AC12" s="5"/>
      <c r="AD12" s="5"/>
      <c r="AE12" s="5"/>
      <c r="AF12" s="5"/>
      <c r="AG12" s="5"/>
      <c r="AH12" s="5"/>
      <c r="AI12" s="5"/>
      <c r="AJ12" s="5"/>
      <c r="AK12" s="5"/>
      <c r="AL12" s="5"/>
      <c r="AM12" s="5"/>
      <c r="AN12" s="45">
        <f>IFERROR((s_TR/(up_RadSpec!E12*s_IFS_far_adj*(1/1000)))*1,".")</f>
        <v>3.3057851239669421E-8</v>
      </c>
      <c r="AO12" s="45">
        <f>IFERROR(IF(A12="H-3",(s_TR/(up_RadSpec!F12*s_IFA_far_adj*(1/17)*1000))*1,(s_TR/(up_RadSpec!F12*s_IFA_far_adj*(1/s_PEF_wind)*1000))*1),".")</f>
        <v>3.0899917851942918E-4</v>
      </c>
      <c r="AP12" s="45">
        <f>IFERROR((s_TR/(up_RadSpec!G12*s_EF_far*(1/365)*s_ED_far*up_RadSpec!R12*((s_ET_far_o*(1/24)*up_RadSpec!W12)+(s_ET_far_i*(1/24)*up_RadSpec!AB12))))*1,".")</f>
        <v>2.9700857632933103E-5</v>
      </c>
      <c r="AQ12" s="45">
        <f>up_b2s!BC12</f>
        <v>3.2968835384132272E-12</v>
      </c>
      <c r="AR12" s="45">
        <f>IFERROR(((J12*up_RadSpec!AU12)/up_RadSpec!AJ12)*1,".")</f>
        <v>6.6115702479338848E-11</v>
      </c>
      <c r="AS12" s="45">
        <f>IFERROR(((K12*up_RadSpec!AU12)/up_RadSpec!AK12)*1,".")</f>
        <v>6.6115702479338848E-11</v>
      </c>
      <c r="AT12" s="45">
        <f>IFERROR((G12/(up_RadSpec!AI12*((s_Q_p_beef*s_f_p_beef*s_f_s_beef*(up_RadSpec!BD12+s_R_es_past))+(s_Q_s_beef*s_f_p_beef))))*1,".")</f>
        <v>1.8558793678410904E-14</v>
      </c>
      <c r="AU12" s="45">
        <f>IFERROR(((H12*s_D_milk)/(up_RadSpec!AH12*((s_Q_p_dairy*s_f_p_dairy*s_f_s_dairy*(up_RadSpec!BD12+s_R_es_past))+(s_Q_s_dairy*s_f_p_dairy))))*1,".")</f>
        <v>1.9115557488763232E-14</v>
      </c>
      <c r="AV12" s="45">
        <f>IFERROR((I12/(up_RadSpec!AN12*((s_Q_p_swine*s_f_p_swine*s_f_s_swine*(up_RadSpec!BD12+s_R_es_past))+(s_Q_s_swine*s_f_p_swine))))*1,".")</f>
        <v>1.8558793678410904E-14</v>
      </c>
      <c r="AW12" s="45">
        <f>IFERROR((E12/(up_RadSpec!AL12*((s_Q_p_poultry*s_f_p_poultry*s_f_s_poultry*(up_RadSpec!BD12+s_R_es_past))+(s_Q_s_poultry*s_f_p_poultry))))*1,".")</f>
        <v>1.8558793678410904E-14</v>
      </c>
      <c r="AX12" s="45">
        <f>IFERROR((F12/(up_RadSpec!AM12*((s_Q_p_poultry*s_f_p_poultry*s_f_s_poultry*(up_RadSpec!BD12+s_R_es_past))+(s_Q_s_poultry*s_f_p_poultry))))*1,".")</f>
        <v>1.8558793678410904E-14</v>
      </c>
      <c r="AY12" s="45">
        <f>IFERROR((L12/(up_RadSpec!AQ12*((s_Q_p_goat*s_f_p_goat*s_f_s_goat*(up_RadSpec!BD12+s_R_es_past))+(s_Q_s_goat*s_f_p_goat))))*1,".")</f>
        <v>1.8558793678410904E-14</v>
      </c>
      <c r="AZ12" s="45">
        <f>IFERROR((N12*s_D_milk/(up_RadSpec!AR12*((s_Q_p_goat_milk*s_f_p_goat_milk*s_f_s_goat_milk*(up_RadSpec!BD12+s_R_es_past))+(s_Q_s_goat_milk*s_f_p_goat_milk))))*1,".")</f>
        <v>1.9115557488763232E-14</v>
      </c>
      <c r="BA12" s="45">
        <f>IFERROR((M12/(up_RadSpec!AO12*((s_Q_p_sheep*s_f_p_sheep*s_f_s_sheep*(up_RadSpec!BD12+s_R_es_past))+(s_Q_s_sheep*s_f_p_sheep))))*1,".")</f>
        <v>1.8558793678410904E-14</v>
      </c>
      <c r="BB12" s="45">
        <f>IFERROR((O12*s_D_milk/(up_RadSpec!AP12*((s_Q_p_sheep_milk*s_f_p_sheep_milk*s_f_s_sheep_milk*(up_RadSpec!BD12+s_R_es_past))+(s_Q_s_sheep_milk*s_f_p_sheep_milk))))*1,".")</f>
        <v>1.9115557488763232E-14</v>
      </c>
      <c r="BC12" s="118">
        <f t="shared" si="11"/>
        <v>30250000</v>
      </c>
      <c r="BD12" s="118">
        <f t="shared" si="11"/>
        <v>3236.2545583179349</v>
      </c>
      <c r="BE12" s="118">
        <f t="shared" si="11"/>
        <v>33669.061424380328</v>
      </c>
      <c r="BF12" s="118">
        <f t="shared" si="11"/>
        <v>303316749999.99994</v>
      </c>
      <c r="BG12" s="118">
        <f t="shared" si="11"/>
        <v>15124999999.999998</v>
      </c>
      <c r="BH12" s="118">
        <f t="shared" si="11"/>
        <v>15124999999.999998</v>
      </c>
      <c r="BI12" s="118">
        <f t="shared" si="11"/>
        <v>53882812500000</v>
      </c>
      <c r="BJ12" s="118">
        <f t="shared" si="11"/>
        <v>52313410194174.758</v>
      </c>
      <c r="BK12" s="118">
        <f t="shared" si="11"/>
        <v>53882812500000</v>
      </c>
      <c r="BL12" s="118">
        <f t="shared" si="11"/>
        <v>53882812500000</v>
      </c>
      <c r="BM12" s="118">
        <f t="shared" si="11"/>
        <v>53882812500000</v>
      </c>
      <c r="BN12" s="118">
        <f t="shared" si="11"/>
        <v>53882812500000</v>
      </c>
      <c r="BO12" s="118">
        <f t="shared" si="11"/>
        <v>52313410194174.758</v>
      </c>
      <c r="BP12" s="118">
        <f t="shared" si="11"/>
        <v>53882812500000</v>
      </c>
      <c r="BQ12" s="118">
        <f t="shared" si="11"/>
        <v>52313410194174.758</v>
      </c>
      <c r="BR12" s="15">
        <f t="shared" si="20"/>
        <v>2.0808592670117754E-15</v>
      </c>
      <c r="BS12" s="40">
        <f t="shared" si="12"/>
        <v>302.5</v>
      </c>
      <c r="BT12" s="40">
        <f t="shared" si="13"/>
        <v>3.2362545583179352E-2</v>
      </c>
      <c r="BU12" s="40">
        <f>IFERROR((s_C*s_EF_far*(1/365)*s_ED_far*up_RadSpec!R12*((s_ET_far_o*(1/24)*up_RadSpec!W12)+(s_ET_far_i*(1/24)*up_RadSpec!AB12))),".")</f>
        <v>0.33669061424380331</v>
      </c>
      <c r="BV12" s="40">
        <f>up_b2s!CC12</f>
        <v>3033167.5</v>
      </c>
      <c r="BW12" s="40">
        <f>IFERROR(((s_C*up_RadSpec!AJ12)/up_RadSpec!AU12)*s_IFFI_far_adj*s_CF_far_fish,0)</f>
        <v>151250</v>
      </c>
      <c r="BX12" s="40">
        <f>IFERROR(((s_C*up_RadSpec!AK12)/up_RadSpec!AU12)*s_IFSF_far_adj*s_CF_far_shellfish,0)</f>
        <v>151250</v>
      </c>
      <c r="BY12" s="40">
        <f>(s_C*s_IFB_far_adj*s_CF_far_beef*up_RadSpec!AI12*((s_Q_p_beef*s_f_p_beef*s_f_s_beef*(up_RadSpec!$AT12+s_R_es_past))+(s_Q_s_beef*s_f_p_beef)))</f>
        <v>538828125</v>
      </c>
      <c r="BZ12" s="40">
        <f>(s_C*s_IFD_far_adj*s_CF_far_dairy*up_RadSpec!AH12*1/s_D_milk*((s_Q_p_dairy*s_f_p_dairy*s_f_s_dairy*(up_RadSpec!$AT12+s_R_es_past))+(s_Q_s_dairy*s_f_p_dairy)))</f>
        <v>523134101.94174761</v>
      </c>
      <c r="CA12" s="40">
        <f>(s_C*s_IFSW_far_adj*s_CF_far_swine*up_RadSpec!AN12*((s_Q_p_swine*s_f_p_swine*s_f_s_swine*(up_RadSpec!$AT12+s_R_es_past))+(s_Q_s_swine*s_f_p_swine)))</f>
        <v>538828125</v>
      </c>
      <c r="CB12" s="40">
        <f>(s_C*s_IFP_far_adj*s_CF_far_poultry*up_RadSpec!AL12*((s_Q_p_poultry*s_f_p_poultry*s_f_s_poultry*(up_RadSpec!AT12+s_R_es_past))+(s_Q_s_poultry*s_f_p_poultry)))</f>
        <v>538828125</v>
      </c>
      <c r="CC12" s="40">
        <f>(s_C*s_IFE_far_adj*s_CF_far_egg*up_RadSpec!AM12*((s_Q_p_egg*s_f_p_egg*s_f_s_egg*(up_RadSpec!$AT12+s_R_es_past))+(s_Q_s_egg*s_f_p_egg)))</f>
        <v>538828125</v>
      </c>
      <c r="CD12" s="40">
        <f>(s_C*s_IFGO_far_adj*s_CF_far_goat*up_RadSpec!AQ12*((s_Q_p_goat*s_f_p_goat*s_f_s_goat*(up_RadSpec!$AT12+s_R_es_past))+(s_Q_s_goat*s_f_p_goat)))</f>
        <v>538828125</v>
      </c>
      <c r="CE12" s="40">
        <f>(s_C*s_IFGM_far_adj*s_CF_far_goat_milk*up_RadSpec!AR12*1/s_D_milk*((s_Q_p_goat_milk*s_f_p_goat_milk*s_f_s_goat_milk*(up_RadSpec!$AT12+s_R_es_past))+(s_Q_s_goat_milk*s_f_p_goat_milk)))</f>
        <v>523134101.94174761</v>
      </c>
      <c r="CF12" s="40">
        <f>(s_C*s_IFSH_far_adj*s_CF_far_sheep*up_RadSpec!AO12*((s_Q_p_sheep*s_f_p_sheep*s_f_s_sheep*(up_RadSpec!$AT12+s_R_es_past))+(s_Q_s_sheep*s_f_p_sheep)))</f>
        <v>538828125</v>
      </c>
      <c r="CG12" s="40">
        <f>(s_C*s_IFSM_far_adj*s_CF_far_sheep_milk*up_RadSpec!AP12*1/s_D_milk*((s_Q_p_sheep_milk*s_f_p_sheep_milk*s_f_s_sheep_milk*(up_RadSpec!$AT12+s_R_es_past))+(s_Q_s_sheep_milk*s_f_p_sheep_milk)))</f>
        <v>523134101.94174761</v>
      </c>
      <c r="CH12" s="18"/>
      <c r="CI12" s="18"/>
      <c r="CJ12" s="18"/>
      <c r="CK12" s="18"/>
      <c r="CL12" s="18"/>
      <c r="CM12" s="18"/>
      <c r="CN12" s="18"/>
      <c r="CO12" s="18"/>
      <c r="CP12" s="18"/>
      <c r="CQ12" s="18"/>
      <c r="CR12" s="18"/>
      <c r="CS12" s="18"/>
      <c r="CT12" s="18"/>
      <c r="CU12" s="18"/>
      <c r="CV12" s="18"/>
      <c r="CW12" s="5"/>
      <c r="CX12" s="15">
        <f>IFERROR(s_TR/(up_RadSpec!I12*s_IFW_far_adj),".")</f>
        <v>3.6363636363636369E-10</v>
      </c>
      <c r="CY12" s="15" t="str">
        <f>IFERROR(IF(AND(up_RadSpec!C12=1,up_RadSpec!D12&lt;&gt;0),s_TR/(up_RadSpec!F12*s_IFA_far_adj*s_K*up_RadSpec!D12),"."),".")</f>
        <v>.</v>
      </c>
      <c r="CZ12" s="15">
        <f>IFERROR((s_TR/(up_RadSpec!M12*(1/8760)*s_DFA_far_adj)),".")</f>
        <v>3.9818181818181825E-6</v>
      </c>
      <c r="DA12" s="15">
        <f>up_b2w!BC12</f>
        <v>1.6443412786038031E-11</v>
      </c>
      <c r="DB12" s="15">
        <f>IFERROR(J12/(up_RadSpec!AJ12*(1/1000)),".")</f>
        <v>1.322314049586777E-8</v>
      </c>
      <c r="DC12" s="15">
        <f>IFERROR(K12/(up_RadSpec!AK12*(1/1000)),".")</f>
        <v>1.322314049586777E-8</v>
      </c>
      <c r="DD12" s="15">
        <f>IFERROR(G12/(up_RadSpec!AI12*s_Q_w_beef*(1/1000)),".")</f>
        <v>2.6446280991735539E-9</v>
      </c>
      <c r="DE12" s="15">
        <f>IFERROR((H12*s_D_milk)/(up_RadSpec!AH12*s_Q_w_dairy*(1/1000)),".")</f>
        <v>2.7239669421487605E-9</v>
      </c>
      <c r="DF12" s="15">
        <f>IFERROR(I12/(up_RadSpec!AN12*s_Q_w_swine*(1/1000)),".")</f>
        <v>2.6446280991735539E-9</v>
      </c>
      <c r="DG12" s="15">
        <f>IFERROR(E12/(up_RadSpec!AL12*s_Q_w_poultry*(1/1000)),".")</f>
        <v>2.6446280991735539E-9</v>
      </c>
      <c r="DH12" s="15">
        <f>IFERROR(F12/(up_RadSpec!AM12*s_Q_w_poultry*(1/1000)),".")</f>
        <v>2.6446280991735539E-9</v>
      </c>
      <c r="DI12" s="15">
        <f>IFERROR(L12/(up_RadSpec!AQ12*s_Q_w_goat*(1/1000)),".")</f>
        <v>2.6446280991735539E-9</v>
      </c>
      <c r="DJ12" s="15">
        <f>IFERROR(N12*s_D_milk/(up_RadSpec!AR12*s_Q_w_goat_milk*(1/1000)),".")</f>
        <v>2.7239669421487605E-9</v>
      </c>
      <c r="DK12" s="15">
        <f>IFERROR(M12/(up_RadSpec!AO12*s_Q_w_sheep*(1/1000)),".")</f>
        <v>2.6446280991735539E-9</v>
      </c>
      <c r="DL12" s="15">
        <f>IFERROR(O12*s_D_milk/(up_RadSpec!AP12*s_Q_w_sheep_milk*(1/1000)),".")</f>
        <v>2.7239669421487605E-9</v>
      </c>
      <c r="DM12" s="118">
        <f t="shared" si="14"/>
        <v>2749999999.9999995</v>
      </c>
      <c r="DN12" s="118" t="str">
        <f t="shared" si="14"/>
        <v>.</v>
      </c>
      <c r="DO12" s="118">
        <f t="shared" si="14"/>
        <v>251141.55251141547</v>
      </c>
      <c r="DP12" s="118">
        <f t="shared" si="14"/>
        <v>60814626076.229866</v>
      </c>
      <c r="DQ12" s="118">
        <f t="shared" si="14"/>
        <v>75624999.999999985</v>
      </c>
      <c r="DR12" s="118">
        <f t="shared" si="14"/>
        <v>75624999.999999985</v>
      </c>
      <c r="DS12" s="118">
        <f t="shared" si="14"/>
        <v>378124999.99999994</v>
      </c>
      <c r="DT12" s="118">
        <f t="shared" si="14"/>
        <v>367111650.48543686</v>
      </c>
      <c r="DU12" s="118">
        <f t="shared" si="14"/>
        <v>378124999.99999994</v>
      </c>
      <c r="DV12" s="118">
        <f t="shared" si="14"/>
        <v>378124999.99999994</v>
      </c>
      <c r="DW12" s="118">
        <f t="shared" si="14"/>
        <v>378124999.99999994</v>
      </c>
      <c r="DX12" s="118">
        <f t="shared" si="14"/>
        <v>378124999.99999994</v>
      </c>
      <c r="DY12" s="118">
        <f t="shared" si="14"/>
        <v>367111650.48543686</v>
      </c>
      <c r="DZ12" s="118">
        <f t="shared" si="14"/>
        <v>378124999.99999994</v>
      </c>
      <c r="EA12" s="118">
        <f t="shared" si="14"/>
        <v>367111650.48543686</v>
      </c>
      <c r="EB12" s="15">
        <f t="shared" si="21"/>
        <v>1.4906192608956601E-11</v>
      </c>
      <c r="EC12" s="40">
        <f t="shared" si="15"/>
        <v>27500</v>
      </c>
      <c r="ED12" s="40">
        <f>IF(up_RadSpec!D12&lt;&gt;"",s_C*s_IFA_far_adj*s_K*up_RadSpec!D12,0)</f>
        <v>0</v>
      </c>
      <c r="EE12" s="40">
        <f t="shared" si="16"/>
        <v>2.5114155251141552</v>
      </c>
      <c r="EF12" s="40">
        <f>up_b2w!CC12</f>
        <v>608146.26076229871</v>
      </c>
      <c r="EG12" s="40">
        <f>IFERROR(s_C*up_RadSpec!AJ12*(1/1000)*s_IFFI_far_adj*s_CF_far_fish,0)</f>
        <v>756.25</v>
      </c>
      <c r="EH12" s="40">
        <f>IFERROR(s_C*up_RadSpec!AK12*(1/1000)*s_IFSF_far_adj*s_CF_far_shellfish,0)</f>
        <v>756.25</v>
      </c>
      <c r="EI12" s="40">
        <f>(s_C*s_IFB_far_adj*s_CF_far_beef*up_RadSpec!AI12*s_Q_w_beef*(1/1000))</f>
        <v>3781.25</v>
      </c>
      <c r="EJ12" s="40">
        <f>(s_C*s_IFD_far_adj*s_CF_far_dairy*up_RadSpec!AH12*(1/s_D_milk)*s_Q_w_dairy*(1/1000))</f>
        <v>3671.1165048543689</v>
      </c>
      <c r="EK12" s="40">
        <f>(s_C*s_IFSW_far_adj*s_CF_far_swine*up_RadSpec!AN12*s_Q_w_swine*(1/1000))</f>
        <v>3781.25</v>
      </c>
      <c r="EL12" s="40">
        <f>(s_C*s_IFP_far_adj*s_CF_far_poultry*up_RadSpec!AL12*s_Q_w_poultry*(1/1000))</f>
        <v>3781.25</v>
      </c>
      <c r="EM12" s="40">
        <f>(s_C*s_IFE_far_adj*s_CF_far_egg*up_RadSpec!AM12*s_Q_w_egg*(1/1000))</f>
        <v>3781.25</v>
      </c>
      <c r="EN12" s="40">
        <f>(s_C*s_IFGO_far_adj*s_CF_far_goat*up_RadSpec!AQ12*s_Q_p_goat*(1/1000))</f>
        <v>3781.25</v>
      </c>
      <c r="EO12" s="40">
        <f>(s_C*s_IFGM_far_adj*s_CF_far_goat_milk*up_RadSpec!AR12*(1/s_D_milk)*s_Q_p_goat_milk*(1/1000))</f>
        <v>3671.1165048543689</v>
      </c>
      <c r="EP12" s="40">
        <f>(s_C*s_IFSH_far_adj*s_CF_far_sheep*up_RadSpec!AO12*s_Q_p_sheep*(1/1000))</f>
        <v>3781.25</v>
      </c>
      <c r="EQ12" s="40">
        <f>(s_C*s_IFSM_far_adj*s_CF_far_sheep_milk*up_RadSpec!AP12*(1/s_D_milk)*s_Q_p_sheep_milk*(1/1000))</f>
        <v>3671.1165048543689</v>
      </c>
      <c r="ER12" s="18"/>
      <c r="ES12" s="18"/>
      <c r="ET12" s="18"/>
      <c r="EU12" s="18"/>
      <c r="EV12" s="18"/>
      <c r="EW12" s="18"/>
      <c r="EX12" s="18"/>
      <c r="EY12" s="18"/>
      <c r="EZ12" s="18"/>
      <c r="FA12" s="18"/>
      <c r="FB12" s="18"/>
      <c r="FC12" s="18"/>
      <c r="FD12" s="18"/>
      <c r="FE12" s="18"/>
      <c r="FF12" s="18"/>
      <c r="FG12" s="5"/>
      <c r="FH12" s="15">
        <f>IFERROR((s_TR/(up_RadSpec!F12*s_IFA_far_adj)),".")</f>
        <v>9.9740259740259755E-10</v>
      </c>
      <c r="FI12" s="15">
        <f>IFERROR((s_TR/(up_RadSpec!K12*s_EF_far*(1/365)*s_ED_far*s_ET_far*(1/24)*s_GSF_a)),".")</f>
        <v>6.3709090909090908E-6</v>
      </c>
      <c r="FJ12" s="15">
        <f t="shared" si="22"/>
        <v>9.9724647271019672E-10</v>
      </c>
      <c r="FK12" s="40">
        <f t="shared" si="18"/>
        <v>10026.041666666666</v>
      </c>
      <c r="FL12" s="40">
        <f t="shared" si="19"/>
        <v>1.5696347031963471</v>
      </c>
      <c r="FM12" s="120"/>
      <c r="FN12" s="120"/>
      <c r="FO12" s="120"/>
    </row>
    <row r="13" spans="1:171" customFormat="1" x14ac:dyDescent="0.25">
      <c r="A13" s="44" t="s">
        <v>23</v>
      </c>
      <c r="B13" s="42" t="s">
        <v>1071</v>
      </c>
      <c r="C13" s="42"/>
      <c r="D13" s="15">
        <f>up_dir!AC13</f>
        <v>1.6528925619834712E-11</v>
      </c>
      <c r="E13" s="15">
        <f>IFERROR(s_TR/(up_RadSpec!H13*s_IFP_far_adj*s_CF_far_poultry),".")</f>
        <v>6.6115702479338848E-11</v>
      </c>
      <c r="F13" s="15">
        <f>IFERROR(s_TR/(up_RadSpec!H13*s_IFE_far_adj*s_CF_far_egg),".")</f>
        <v>6.6115702479338848E-11</v>
      </c>
      <c r="G13" s="15">
        <f>IFERROR(s_TR/(up_RadSpec!H13*s_IFB_far_adj*s_CF_far_beef),".")</f>
        <v>6.6115702479338848E-11</v>
      </c>
      <c r="H13" s="15">
        <f>IFERROR(s_TR/(up_RadSpec!H13*s_IFD_far_adj*s_CF_far_dairy),".")</f>
        <v>6.6115702479338848E-11</v>
      </c>
      <c r="I13" s="15">
        <f>IFERROR(s_TR/(up_RadSpec!H13*s_IFSW_far_adj*s_CF_far_swine),".")</f>
        <v>6.6115702479338848E-11</v>
      </c>
      <c r="J13" s="15">
        <f>IFERROR(s_TR/(up_RadSpec!H13*s_IFFI_far_adj*s_CF_far_fish),".")</f>
        <v>6.6115702479338848E-11</v>
      </c>
      <c r="K13" s="15">
        <f>IFERROR(s_TR/(up_RadSpec!H13*s_IFSF_far_adj*s_CF_far_shellfish),".")</f>
        <v>6.6115702479338848E-11</v>
      </c>
      <c r="L13" s="15">
        <f>IFERROR(s_TR/(up_RadSpec!H13*s_IFGO_far_adj*s_CF_far_goat),".")</f>
        <v>6.6115702479338848E-11</v>
      </c>
      <c r="M13" s="15">
        <f>IFERROR(s_TR/(up_RadSpec!H13*s_IFSH_far_adj*s_CF_far_sheep),".")</f>
        <v>6.6115702479338848E-11</v>
      </c>
      <c r="N13" s="15">
        <f>IFERROR(s_TR/(up_RadSpec!H13*s_IFGM_far_adj*s_CF_far_goat_milk),".")</f>
        <v>6.6115702479338848E-11</v>
      </c>
      <c r="O13" s="15">
        <f>IFERROR(s_TR/(up_RadSpec!H13*s_IFSM_far_adj*s_CF_far_sheep_milk),".")</f>
        <v>6.6115702479338848E-11</v>
      </c>
      <c r="P13" s="40">
        <f>up_dir!BC13</f>
        <v>605000</v>
      </c>
      <c r="Q13" s="40">
        <f t="shared" si="0"/>
        <v>151250</v>
      </c>
      <c r="R13" s="40">
        <f t="shared" si="1"/>
        <v>151250</v>
      </c>
      <c r="S13" s="40">
        <f t="shared" si="2"/>
        <v>151250</v>
      </c>
      <c r="T13" s="40">
        <f t="shared" si="3"/>
        <v>151250</v>
      </c>
      <c r="U13" s="40">
        <f t="shared" si="4"/>
        <v>151250</v>
      </c>
      <c r="V13" s="40">
        <f t="shared" si="5"/>
        <v>151250</v>
      </c>
      <c r="W13" s="40">
        <f t="shared" si="6"/>
        <v>151250</v>
      </c>
      <c r="X13" s="40">
        <f t="shared" si="7"/>
        <v>151250</v>
      </c>
      <c r="Y13" s="40">
        <f t="shared" si="8"/>
        <v>151250</v>
      </c>
      <c r="Z13" s="40">
        <f t="shared" si="9"/>
        <v>151250</v>
      </c>
      <c r="AA13" s="40">
        <f t="shared" si="10"/>
        <v>151250</v>
      </c>
      <c r="AB13" s="5"/>
      <c r="AC13" s="5"/>
      <c r="AD13" s="5"/>
      <c r="AE13" s="5"/>
      <c r="AF13" s="5"/>
      <c r="AG13" s="5"/>
      <c r="AH13" s="5"/>
      <c r="AI13" s="5"/>
      <c r="AJ13" s="5"/>
      <c r="AK13" s="5"/>
      <c r="AL13" s="5"/>
      <c r="AM13" s="5"/>
      <c r="AN13" s="45">
        <f>IFERROR((s_TR/(up_RadSpec!E13*s_IFS_far_adj*(1/1000)))*1,".")</f>
        <v>3.3057851239669421E-8</v>
      </c>
      <c r="AO13" s="45">
        <f>IFERROR(IF(A13="H-3",(s_TR/(up_RadSpec!F13*s_IFA_far_adj*(1/17)*1000))*1,(s_TR/(up_RadSpec!F13*s_IFA_far_adj*(1/s_PEF_wind)*1000))*1),".")</f>
        <v>3.0899917851942918E-4</v>
      </c>
      <c r="AP13" s="45">
        <f>IFERROR((s_TR/(up_RadSpec!G13*s_EF_far*(1/365)*s_ED_far*up_RadSpec!R13*((s_ET_far_o*(1/24)*up_RadSpec!W13)+(s_ET_far_i*(1/24)*up_RadSpec!AB13))))*1,".")</f>
        <v>2.2829424185356407E-4</v>
      </c>
      <c r="AQ13" s="45">
        <f>up_b2s!BC13</f>
        <v>3.2968835384132272E-12</v>
      </c>
      <c r="AR13" s="45">
        <f>IFERROR(((J13*up_RadSpec!AU13)/up_RadSpec!AJ13)*1,".")</f>
        <v>6.6115702479338848E-11</v>
      </c>
      <c r="AS13" s="45">
        <f>IFERROR(((K13*up_RadSpec!AU13)/up_RadSpec!AK13)*1,".")</f>
        <v>6.6115702479338848E-11</v>
      </c>
      <c r="AT13" s="45">
        <f>IFERROR((G13/(up_RadSpec!AI13*((s_Q_p_beef*s_f_p_beef*s_f_s_beef*(up_RadSpec!BD13+s_R_es_past))+(s_Q_s_beef*s_f_p_beef))))*1,".")</f>
        <v>1.8558793678410904E-14</v>
      </c>
      <c r="AU13" s="45">
        <f>IFERROR(((H13*s_D_milk)/(up_RadSpec!AH13*((s_Q_p_dairy*s_f_p_dairy*s_f_s_dairy*(up_RadSpec!BD13+s_R_es_past))+(s_Q_s_dairy*s_f_p_dairy))))*1,".")</f>
        <v>1.9115557488763232E-14</v>
      </c>
      <c r="AV13" s="45">
        <f>IFERROR((I13/(up_RadSpec!AN13*((s_Q_p_swine*s_f_p_swine*s_f_s_swine*(up_RadSpec!BD13+s_R_es_past))+(s_Q_s_swine*s_f_p_swine))))*1,".")</f>
        <v>1.8558793678410904E-14</v>
      </c>
      <c r="AW13" s="45">
        <f>IFERROR((E13/(up_RadSpec!AL13*((s_Q_p_poultry*s_f_p_poultry*s_f_s_poultry*(up_RadSpec!BD13+s_R_es_past))+(s_Q_s_poultry*s_f_p_poultry))))*1,".")</f>
        <v>1.8558793678410904E-14</v>
      </c>
      <c r="AX13" s="45">
        <f>IFERROR((F13/(up_RadSpec!AM13*((s_Q_p_poultry*s_f_p_poultry*s_f_s_poultry*(up_RadSpec!BD13+s_R_es_past))+(s_Q_s_poultry*s_f_p_poultry))))*1,".")</f>
        <v>1.8558793678410904E-14</v>
      </c>
      <c r="AY13" s="45">
        <f>IFERROR((L13/(up_RadSpec!AQ13*((s_Q_p_goat*s_f_p_goat*s_f_s_goat*(up_RadSpec!BD13+s_R_es_past))+(s_Q_s_goat*s_f_p_goat))))*1,".")</f>
        <v>1.8558793678410904E-14</v>
      </c>
      <c r="AZ13" s="45">
        <f>IFERROR((N13*s_D_milk/(up_RadSpec!AR13*((s_Q_p_goat_milk*s_f_p_goat_milk*s_f_s_goat_milk*(up_RadSpec!BD13+s_R_es_past))+(s_Q_s_goat_milk*s_f_p_goat_milk))))*1,".")</f>
        <v>1.9115557488763232E-14</v>
      </c>
      <c r="BA13" s="45">
        <f>IFERROR((M13/(up_RadSpec!AO13*((s_Q_p_sheep*s_f_p_sheep*s_f_s_sheep*(up_RadSpec!BD13+s_R_es_past))+(s_Q_s_sheep*s_f_p_sheep))))*1,".")</f>
        <v>1.8558793678410904E-14</v>
      </c>
      <c r="BB13" s="45">
        <f>IFERROR((O13*s_D_milk/(up_RadSpec!AP13*((s_Q_p_sheep_milk*s_f_p_sheep_milk*s_f_s_sheep_milk*(up_RadSpec!BD13+s_R_es_past))+(s_Q_s_sheep_milk*s_f_p_sheep_milk))))*1,".")</f>
        <v>1.9115557488763232E-14</v>
      </c>
      <c r="BC13" s="118">
        <f t="shared" si="11"/>
        <v>30250000</v>
      </c>
      <c r="BD13" s="118">
        <f t="shared" si="11"/>
        <v>3236.2545583179349</v>
      </c>
      <c r="BE13" s="118">
        <f t="shared" si="11"/>
        <v>4380.3119688031165</v>
      </c>
      <c r="BF13" s="118">
        <f t="shared" si="11"/>
        <v>303316749999.99994</v>
      </c>
      <c r="BG13" s="118">
        <f t="shared" si="11"/>
        <v>15124999999.999998</v>
      </c>
      <c r="BH13" s="118">
        <f t="shared" si="11"/>
        <v>15124999999.999998</v>
      </c>
      <c r="BI13" s="118">
        <f t="shared" si="11"/>
        <v>53882812500000</v>
      </c>
      <c r="BJ13" s="118">
        <f t="shared" si="11"/>
        <v>52313410194174.758</v>
      </c>
      <c r="BK13" s="118">
        <f t="shared" si="11"/>
        <v>53882812500000</v>
      </c>
      <c r="BL13" s="118">
        <f t="shared" si="11"/>
        <v>53882812500000</v>
      </c>
      <c r="BM13" s="118">
        <f t="shared" si="11"/>
        <v>53882812500000</v>
      </c>
      <c r="BN13" s="118">
        <f t="shared" si="11"/>
        <v>53882812500000</v>
      </c>
      <c r="BO13" s="118">
        <f t="shared" si="11"/>
        <v>52313410194174.758</v>
      </c>
      <c r="BP13" s="118">
        <f t="shared" si="11"/>
        <v>53882812500000</v>
      </c>
      <c r="BQ13" s="118">
        <f t="shared" si="11"/>
        <v>52313410194174.758</v>
      </c>
      <c r="BR13" s="15">
        <f t="shared" si="20"/>
        <v>2.0808592671385946E-15</v>
      </c>
      <c r="BS13" s="40">
        <f t="shared" si="12"/>
        <v>302.5</v>
      </c>
      <c r="BT13" s="40">
        <f t="shared" si="13"/>
        <v>3.2362545583179352E-2</v>
      </c>
      <c r="BU13" s="40">
        <f>IFERROR((s_C*s_EF_far*(1/365)*s_ED_far*up_RadSpec!R13*((s_ET_far_o*(1/24)*up_RadSpec!W13)+(s_ET_far_i*(1/24)*up_RadSpec!AB13))),".")</f>
        <v>4.3803119688031168E-2</v>
      </c>
      <c r="BV13" s="40">
        <f>up_b2s!CC13</f>
        <v>3033167.5</v>
      </c>
      <c r="BW13" s="40">
        <f>IFERROR(((s_C*up_RadSpec!AJ13)/up_RadSpec!AU13)*s_IFFI_far_adj*s_CF_far_fish,0)</f>
        <v>151250</v>
      </c>
      <c r="BX13" s="40">
        <f>IFERROR(((s_C*up_RadSpec!AK13)/up_RadSpec!AU13)*s_IFSF_far_adj*s_CF_far_shellfish,0)</f>
        <v>151250</v>
      </c>
      <c r="BY13" s="40">
        <f>(s_C*s_IFB_far_adj*s_CF_far_beef*up_RadSpec!AI13*((s_Q_p_beef*s_f_p_beef*s_f_s_beef*(up_RadSpec!$AT13+s_R_es_past))+(s_Q_s_beef*s_f_p_beef)))</f>
        <v>538828125</v>
      </c>
      <c r="BZ13" s="40">
        <f>(s_C*s_IFD_far_adj*s_CF_far_dairy*up_RadSpec!AH13*1/s_D_milk*((s_Q_p_dairy*s_f_p_dairy*s_f_s_dairy*(up_RadSpec!$AT13+s_R_es_past))+(s_Q_s_dairy*s_f_p_dairy)))</f>
        <v>523134101.94174761</v>
      </c>
      <c r="CA13" s="40">
        <f>(s_C*s_IFSW_far_adj*s_CF_far_swine*up_RadSpec!AN13*((s_Q_p_swine*s_f_p_swine*s_f_s_swine*(up_RadSpec!$AT13+s_R_es_past))+(s_Q_s_swine*s_f_p_swine)))</f>
        <v>538828125</v>
      </c>
      <c r="CB13" s="40">
        <f>(s_C*s_IFP_far_adj*s_CF_far_poultry*up_RadSpec!AL13*((s_Q_p_poultry*s_f_p_poultry*s_f_s_poultry*(up_RadSpec!AT13+s_R_es_past))+(s_Q_s_poultry*s_f_p_poultry)))</f>
        <v>538828125</v>
      </c>
      <c r="CC13" s="40">
        <f>(s_C*s_IFE_far_adj*s_CF_far_egg*up_RadSpec!AM13*((s_Q_p_egg*s_f_p_egg*s_f_s_egg*(up_RadSpec!$AT13+s_R_es_past))+(s_Q_s_egg*s_f_p_egg)))</f>
        <v>538828125</v>
      </c>
      <c r="CD13" s="40">
        <f>(s_C*s_IFGO_far_adj*s_CF_far_goat*up_RadSpec!AQ13*((s_Q_p_goat*s_f_p_goat*s_f_s_goat*(up_RadSpec!$AT13+s_R_es_past))+(s_Q_s_goat*s_f_p_goat)))</f>
        <v>538828125</v>
      </c>
      <c r="CE13" s="40">
        <f>(s_C*s_IFGM_far_adj*s_CF_far_goat_milk*up_RadSpec!AR13*1/s_D_milk*((s_Q_p_goat_milk*s_f_p_goat_milk*s_f_s_goat_milk*(up_RadSpec!$AT13+s_R_es_past))+(s_Q_s_goat_milk*s_f_p_goat_milk)))</f>
        <v>523134101.94174761</v>
      </c>
      <c r="CF13" s="40">
        <f>(s_C*s_IFSH_far_adj*s_CF_far_sheep*up_RadSpec!AO13*((s_Q_p_sheep*s_f_p_sheep*s_f_s_sheep*(up_RadSpec!$AT13+s_R_es_past))+(s_Q_s_sheep*s_f_p_sheep)))</f>
        <v>538828125</v>
      </c>
      <c r="CG13" s="40">
        <f>(s_C*s_IFSM_far_adj*s_CF_far_sheep_milk*up_RadSpec!AP13*1/s_D_milk*((s_Q_p_sheep_milk*s_f_p_sheep_milk*s_f_s_sheep_milk*(up_RadSpec!$AT13+s_R_es_past))+(s_Q_s_sheep_milk*s_f_p_sheep_milk)))</f>
        <v>523134101.94174761</v>
      </c>
      <c r="CH13" s="18"/>
      <c r="CI13" s="18"/>
      <c r="CJ13" s="18"/>
      <c r="CK13" s="18"/>
      <c r="CL13" s="18"/>
      <c r="CM13" s="18"/>
      <c r="CN13" s="18"/>
      <c r="CO13" s="18"/>
      <c r="CP13" s="18"/>
      <c r="CQ13" s="18"/>
      <c r="CR13" s="18"/>
      <c r="CS13" s="18"/>
      <c r="CT13" s="18"/>
      <c r="CU13" s="18"/>
      <c r="CV13" s="18"/>
      <c r="CW13" s="5"/>
      <c r="CX13" s="15">
        <f>IFERROR(s_TR/(up_RadSpec!I13*s_IFW_far_adj),".")</f>
        <v>3.6363636363636369E-10</v>
      </c>
      <c r="CY13" s="15" t="str">
        <f>IFERROR(IF(AND(up_RadSpec!C13=1,up_RadSpec!D13&lt;&gt;0),s_TR/(up_RadSpec!F13*s_IFA_far_adj*s_K*up_RadSpec!D13),"."),".")</f>
        <v>.</v>
      </c>
      <c r="CZ13" s="15">
        <f>IFERROR((s_TR/(up_RadSpec!M13*(1/8760)*s_DFA_far_adj)),".")</f>
        <v>3.9818181818181825E-6</v>
      </c>
      <c r="DA13" s="15">
        <f>up_b2w!BC13</f>
        <v>1.6443412786038031E-11</v>
      </c>
      <c r="DB13" s="15">
        <f>IFERROR(J13/(up_RadSpec!AJ13*(1/1000)),".")</f>
        <v>1.322314049586777E-8</v>
      </c>
      <c r="DC13" s="15">
        <f>IFERROR(K13/(up_RadSpec!AK13*(1/1000)),".")</f>
        <v>1.322314049586777E-8</v>
      </c>
      <c r="DD13" s="15">
        <f>IFERROR(G13/(up_RadSpec!AI13*s_Q_w_beef*(1/1000)),".")</f>
        <v>2.6446280991735539E-9</v>
      </c>
      <c r="DE13" s="15">
        <f>IFERROR((H13*s_D_milk)/(up_RadSpec!AH13*s_Q_w_dairy*(1/1000)),".")</f>
        <v>2.7239669421487605E-9</v>
      </c>
      <c r="DF13" s="15">
        <f>IFERROR(I13/(up_RadSpec!AN13*s_Q_w_swine*(1/1000)),".")</f>
        <v>2.6446280991735539E-9</v>
      </c>
      <c r="DG13" s="15">
        <f>IFERROR(E13/(up_RadSpec!AL13*s_Q_w_poultry*(1/1000)),".")</f>
        <v>2.6446280991735539E-9</v>
      </c>
      <c r="DH13" s="15">
        <f>IFERROR(F13/(up_RadSpec!AM13*s_Q_w_poultry*(1/1000)),".")</f>
        <v>2.6446280991735539E-9</v>
      </c>
      <c r="DI13" s="15">
        <f>IFERROR(L13/(up_RadSpec!AQ13*s_Q_w_goat*(1/1000)),".")</f>
        <v>2.6446280991735539E-9</v>
      </c>
      <c r="DJ13" s="15">
        <f>IFERROR(N13*s_D_milk/(up_RadSpec!AR13*s_Q_w_goat_milk*(1/1000)),".")</f>
        <v>2.7239669421487605E-9</v>
      </c>
      <c r="DK13" s="15">
        <f>IFERROR(M13/(up_RadSpec!AO13*s_Q_w_sheep*(1/1000)),".")</f>
        <v>2.6446280991735539E-9</v>
      </c>
      <c r="DL13" s="15">
        <f>IFERROR(O13*s_D_milk/(up_RadSpec!AP13*s_Q_w_sheep_milk*(1/1000)),".")</f>
        <v>2.7239669421487605E-9</v>
      </c>
      <c r="DM13" s="118">
        <f t="shared" si="14"/>
        <v>2749999999.9999995</v>
      </c>
      <c r="DN13" s="118" t="str">
        <f t="shared" si="14"/>
        <v>.</v>
      </c>
      <c r="DO13" s="118">
        <f t="shared" si="14"/>
        <v>251141.55251141547</v>
      </c>
      <c r="DP13" s="118">
        <f t="shared" si="14"/>
        <v>60814626076.229866</v>
      </c>
      <c r="DQ13" s="118">
        <f t="shared" si="14"/>
        <v>75624999.999999985</v>
      </c>
      <c r="DR13" s="118">
        <f t="shared" si="14"/>
        <v>75624999.999999985</v>
      </c>
      <c r="DS13" s="118">
        <f t="shared" si="14"/>
        <v>378124999.99999994</v>
      </c>
      <c r="DT13" s="118">
        <f t="shared" si="14"/>
        <v>367111650.48543686</v>
      </c>
      <c r="DU13" s="118">
        <f t="shared" si="14"/>
        <v>378124999.99999994</v>
      </c>
      <c r="DV13" s="118">
        <f t="shared" si="14"/>
        <v>378124999.99999994</v>
      </c>
      <c r="DW13" s="118">
        <f t="shared" si="14"/>
        <v>378124999.99999994</v>
      </c>
      <c r="DX13" s="118">
        <f t="shared" si="14"/>
        <v>378124999.99999994</v>
      </c>
      <c r="DY13" s="118">
        <f t="shared" si="14"/>
        <v>367111650.48543686</v>
      </c>
      <c r="DZ13" s="118">
        <f t="shared" si="14"/>
        <v>378124999.99999994</v>
      </c>
      <c r="EA13" s="118">
        <f t="shared" si="14"/>
        <v>367111650.48543686</v>
      </c>
      <c r="EB13" s="15">
        <f t="shared" si="21"/>
        <v>1.4906192608956601E-11</v>
      </c>
      <c r="EC13" s="40">
        <f t="shared" si="15"/>
        <v>27500</v>
      </c>
      <c r="ED13" s="40">
        <f>IF(up_RadSpec!D13&lt;&gt;"",s_C*s_IFA_far_adj*s_K*up_RadSpec!D13,0)</f>
        <v>0</v>
      </c>
      <c r="EE13" s="40">
        <f t="shared" si="16"/>
        <v>2.5114155251141552</v>
      </c>
      <c r="EF13" s="40">
        <f>up_b2w!CC13</f>
        <v>608146.26076229871</v>
      </c>
      <c r="EG13" s="40">
        <f>IFERROR(s_C*up_RadSpec!AJ13*(1/1000)*s_IFFI_far_adj*s_CF_far_fish,0)</f>
        <v>756.25</v>
      </c>
      <c r="EH13" s="40">
        <f>IFERROR(s_C*up_RadSpec!AK13*(1/1000)*s_IFSF_far_adj*s_CF_far_shellfish,0)</f>
        <v>756.25</v>
      </c>
      <c r="EI13" s="40">
        <f>(s_C*s_IFB_far_adj*s_CF_far_beef*up_RadSpec!AI13*s_Q_w_beef*(1/1000))</f>
        <v>3781.25</v>
      </c>
      <c r="EJ13" s="40">
        <f>(s_C*s_IFD_far_adj*s_CF_far_dairy*up_RadSpec!AH13*(1/s_D_milk)*s_Q_w_dairy*(1/1000))</f>
        <v>3671.1165048543689</v>
      </c>
      <c r="EK13" s="40">
        <f>(s_C*s_IFSW_far_adj*s_CF_far_swine*up_RadSpec!AN13*s_Q_w_swine*(1/1000))</f>
        <v>3781.25</v>
      </c>
      <c r="EL13" s="40">
        <f>(s_C*s_IFP_far_adj*s_CF_far_poultry*up_RadSpec!AL13*s_Q_w_poultry*(1/1000))</f>
        <v>3781.25</v>
      </c>
      <c r="EM13" s="40">
        <f>(s_C*s_IFE_far_adj*s_CF_far_egg*up_RadSpec!AM13*s_Q_w_egg*(1/1000))</f>
        <v>3781.25</v>
      </c>
      <c r="EN13" s="40">
        <f>(s_C*s_IFGO_far_adj*s_CF_far_goat*up_RadSpec!AQ13*s_Q_p_goat*(1/1000))</f>
        <v>3781.25</v>
      </c>
      <c r="EO13" s="40">
        <f>(s_C*s_IFGM_far_adj*s_CF_far_goat_milk*up_RadSpec!AR13*(1/s_D_milk)*s_Q_p_goat_milk*(1/1000))</f>
        <v>3671.1165048543689</v>
      </c>
      <c r="EP13" s="40">
        <f>(s_C*s_IFSH_far_adj*s_CF_far_sheep*up_RadSpec!AO13*s_Q_p_sheep*(1/1000))</f>
        <v>3781.25</v>
      </c>
      <c r="EQ13" s="40">
        <f>(s_C*s_IFSM_far_adj*s_CF_far_sheep_milk*up_RadSpec!AP13*(1/s_D_milk)*s_Q_p_sheep_milk*(1/1000))</f>
        <v>3671.1165048543689</v>
      </c>
      <c r="ER13" s="18"/>
      <c r="ES13" s="18"/>
      <c r="ET13" s="18"/>
      <c r="EU13" s="18"/>
      <c r="EV13" s="18"/>
      <c r="EW13" s="18"/>
      <c r="EX13" s="18"/>
      <c r="EY13" s="18"/>
      <c r="EZ13" s="18"/>
      <c r="FA13" s="18"/>
      <c r="FB13" s="18"/>
      <c r="FC13" s="18"/>
      <c r="FD13" s="18"/>
      <c r="FE13" s="18"/>
      <c r="FF13" s="18"/>
      <c r="FG13" s="5"/>
      <c r="FH13" s="15">
        <f>IFERROR((s_TR/(up_RadSpec!F13*s_IFA_far_adj)),".")</f>
        <v>9.9740259740259755E-10</v>
      </c>
      <c r="FI13" s="15">
        <f>IFERROR((s_TR/(up_RadSpec!K13*s_EF_far*(1/365)*s_ED_far*s_ET_far*(1/24)*s_GSF_a)),".")</f>
        <v>6.3709090909090908E-6</v>
      </c>
      <c r="FJ13" s="15">
        <f t="shared" si="22"/>
        <v>9.9724647271019672E-10</v>
      </c>
      <c r="FK13" s="40">
        <f t="shared" si="18"/>
        <v>10026.041666666666</v>
      </c>
      <c r="FL13" s="40">
        <f t="shared" si="19"/>
        <v>1.5696347031963471</v>
      </c>
      <c r="FM13" s="120"/>
      <c r="FN13" s="120"/>
      <c r="FO13" s="120"/>
    </row>
    <row r="14" spans="1:171" customFormat="1" x14ac:dyDescent="0.25">
      <c r="A14" s="44" t="s">
        <v>24</v>
      </c>
      <c r="B14" s="42" t="s">
        <v>1071</v>
      </c>
      <c r="C14" s="42"/>
      <c r="D14" s="15">
        <f>up_dir!AC14</f>
        <v>1.6528925619834712E-11</v>
      </c>
      <c r="E14" s="15">
        <f>IFERROR(s_TR/(up_RadSpec!H14*s_IFP_far_adj*s_CF_far_poultry),".")</f>
        <v>6.6115702479338848E-11</v>
      </c>
      <c r="F14" s="15">
        <f>IFERROR(s_TR/(up_RadSpec!H14*s_IFE_far_adj*s_CF_far_egg),".")</f>
        <v>6.6115702479338848E-11</v>
      </c>
      <c r="G14" s="15">
        <f>IFERROR(s_TR/(up_RadSpec!H14*s_IFB_far_adj*s_CF_far_beef),".")</f>
        <v>6.6115702479338848E-11</v>
      </c>
      <c r="H14" s="15">
        <f>IFERROR(s_TR/(up_RadSpec!H14*s_IFD_far_adj*s_CF_far_dairy),".")</f>
        <v>6.6115702479338848E-11</v>
      </c>
      <c r="I14" s="15">
        <f>IFERROR(s_TR/(up_RadSpec!H14*s_IFSW_far_adj*s_CF_far_swine),".")</f>
        <v>6.6115702479338848E-11</v>
      </c>
      <c r="J14" s="15">
        <f>IFERROR(s_TR/(up_RadSpec!H14*s_IFFI_far_adj*s_CF_far_fish),".")</f>
        <v>6.6115702479338848E-11</v>
      </c>
      <c r="K14" s="15">
        <f>IFERROR(s_TR/(up_RadSpec!H14*s_IFSF_far_adj*s_CF_far_shellfish),".")</f>
        <v>6.6115702479338848E-11</v>
      </c>
      <c r="L14" s="15">
        <f>IFERROR(s_TR/(up_RadSpec!H14*s_IFGO_far_adj*s_CF_far_goat),".")</f>
        <v>6.6115702479338848E-11</v>
      </c>
      <c r="M14" s="15">
        <f>IFERROR(s_TR/(up_RadSpec!H14*s_IFSH_far_adj*s_CF_far_sheep),".")</f>
        <v>6.6115702479338848E-11</v>
      </c>
      <c r="N14" s="15">
        <f>IFERROR(s_TR/(up_RadSpec!H14*s_IFGM_far_adj*s_CF_far_goat_milk),".")</f>
        <v>6.6115702479338848E-11</v>
      </c>
      <c r="O14" s="15">
        <f>IFERROR(s_TR/(up_RadSpec!H14*s_IFSM_far_adj*s_CF_far_sheep_milk),".")</f>
        <v>6.6115702479338848E-11</v>
      </c>
      <c r="P14" s="40">
        <f>up_dir!BC14</f>
        <v>605000</v>
      </c>
      <c r="Q14" s="40">
        <f t="shared" si="0"/>
        <v>151250</v>
      </c>
      <c r="R14" s="40">
        <f t="shared" si="1"/>
        <v>151250</v>
      </c>
      <c r="S14" s="40">
        <f t="shared" si="2"/>
        <v>151250</v>
      </c>
      <c r="T14" s="40">
        <f t="shared" si="3"/>
        <v>151250</v>
      </c>
      <c r="U14" s="40">
        <f t="shared" si="4"/>
        <v>151250</v>
      </c>
      <c r="V14" s="40">
        <f t="shared" si="5"/>
        <v>151250</v>
      </c>
      <c r="W14" s="40">
        <f t="shared" si="6"/>
        <v>151250</v>
      </c>
      <c r="X14" s="40">
        <f t="shared" si="7"/>
        <v>151250</v>
      </c>
      <c r="Y14" s="40">
        <f t="shared" si="8"/>
        <v>151250</v>
      </c>
      <c r="Z14" s="40">
        <f t="shared" si="9"/>
        <v>151250</v>
      </c>
      <c r="AA14" s="40">
        <f t="shared" si="10"/>
        <v>151250</v>
      </c>
      <c r="AB14" s="5"/>
      <c r="AC14" s="5"/>
      <c r="AD14" s="5"/>
      <c r="AE14" s="5"/>
      <c r="AF14" s="5"/>
      <c r="AG14" s="5"/>
      <c r="AH14" s="5"/>
      <c r="AI14" s="5"/>
      <c r="AJ14" s="5"/>
      <c r="AK14" s="5"/>
      <c r="AL14" s="5"/>
      <c r="AM14" s="5"/>
      <c r="AN14" s="45">
        <f>IFERROR((s_TR/(up_RadSpec!E14*s_IFS_far_adj*(1/1000)))*1,".")</f>
        <v>3.3057851239669421E-8</v>
      </c>
      <c r="AO14" s="45">
        <f>IFERROR(IF(A14="H-3",(s_TR/(up_RadSpec!F14*s_IFA_far_adj*(1/17)*1000))*1,(s_TR/(up_RadSpec!F14*s_IFA_far_adj*(1/s_PEF_wind)*1000))*1),".")</f>
        <v>3.0899917851942918E-4</v>
      </c>
      <c r="AP14" s="45">
        <f>IFERROR((s_TR/(up_RadSpec!G14*s_EF_far*(1/365)*s_ED_far*up_RadSpec!R14*((s_ET_far_o*(1/24)*up_RadSpec!W14)+(s_ET_far_i*(1/24)*up_RadSpec!AB14))))*1,".")</f>
        <v>3.4270908097811115E-5</v>
      </c>
      <c r="AQ14" s="45">
        <f>up_b2s!BC14</f>
        <v>3.2968835384132272E-12</v>
      </c>
      <c r="AR14" s="45">
        <f>IFERROR(((J14*up_RadSpec!AU14)/up_RadSpec!AJ14)*1,".")</f>
        <v>6.6115702479338848E-11</v>
      </c>
      <c r="AS14" s="45">
        <f>IFERROR(((K14*up_RadSpec!AU14)/up_RadSpec!AK14)*1,".")</f>
        <v>6.6115702479338848E-11</v>
      </c>
      <c r="AT14" s="45">
        <f>IFERROR((G14/(up_RadSpec!AI14*((s_Q_p_beef*s_f_p_beef*s_f_s_beef*(up_RadSpec!BD14+s_R_es_past))+(s_Q_s_beef*s_f_p_beef))))*1,".")</f>
        <v>1.8558793678410904E-14</v>
      </c>
      <c r="AU14" s="45">
        <f>IFERROR(((H14*s_D_milk)/(up_RadSpec!AH14*((s_Q_p_dairy*s_f_p_dairy*s_f_s_dairy*(up_RadSpec!BD14+s_R_es_past))+(s_Q_s_dairy*s_f_p_dairy))))*1,".")</f>
        <v>1.9115557488763232E-14</v>
      </c>
      <c r="AV14" s="45">
        <f>IFERROR((I14/(up_RadSpec!AN14*((s_Q_p_swine*s_f_p_swine*s_f_s_swine*(up_RadSpec!BD14+s_R_es_past))+(s_Q_s_swine*s_f_p_swine))))*1,".")</f>
        <v>1.8558793678410904E-14</v>
      </c>
      <c r="AW14" s="45">
        <f>IFERROR((E14/(up_RadSpec!AL14*((s_Q_p_poultry*s_f_p_poultry*s_f_s_poultry*(up_RadSpec!BD14+s_R_es_past))+(s_Q_s_poultry*s_f_p_poultry))))*1,".")</f>
        <v>1.8558793678410904E-14</v>
      </c>
      <c r="AX14" s="45">
        <f>IFERROR((F14/(up_RadSpec!AM14*((s_Q_p_poultry*s_f_p_poultry*s_f_s_poultry*(up_RadSpec!BD14+s_R_es_past))+(s_Q_s_poultry*s_f_p_poultry))))*1,".")</f>
        <v>1.8558793678410904E-14</v>
      </c>
      <c r="AY14" s="45">
        <f>IFERROR((L14/(up_RadSpec!AQ14*((s_Q_p_goat*s_f_p_goat*s_f_s_goat*(up_RadSpec!BD14+s_R_es_past))+(s_Q_s_goat*s_f_p_goat))))*1,".")</f>
        <v>1.8558793678410904E-14</v>
      </c>
      <c r="AZ14" s="45">
        <f>IFERROR((N14*s_D_milk/(up_RadSpec!AR14*((s_Q_p_goat_milk*s_f_p_goat_milk*s_f_s_goat_milk*(up_RadSpec!BD14+s_R_es_past))+(s_Q_s_goat_milk*s_f_p_goat_milk))))*1,".")</f>
        <v>1.9115557488763232E-14</v>
      </c>
      <c r="BA14" s="45">
        <f>IFERROR((M14/(up_RadSpec!AO14*((s_Q_p_sheep*s_f_p_sheep*s_f_s_sheep*(up_RadSpec!BD14+s_R_es_past))+(s_Q_s_sheep*s_f_p_sheep))))*1,".")</f>
        <v>1.8558793678410904E-14</v>
      </c>
      <c r="BB14" s="45">
        <f>IFERROR((O14*s_D_milk/(up_RadSpec!AP14*((s_Q_p_sheep_milk*s_f_p_sheep_milk*s_f_s_sheep_milk*(up_RadSpec!BD14+s_R_es_past))+(s_Q_s_sheep_milk*s_f_p_sheep_milk))))*1,".")</f>
        <v>1.9115557488763232E-14</v>
      </c>
      <c r="BC14" s="118">
        <f t="shared" si="11"/>
        <v>30250000</v>
      </c>
      <c r="BD14" s="118">
        <f t="shared" si="11"/>
        <v>3236.2545583179349</v>
      </c>
      <c r="BE14" s="118">
        <f t="shared" si="11"/>
        <v>29179.267650158068</v>
      </c>
      <c r="BF14" s="118">
        <f t="shared" si="11"/>
        <v>303316749999.99994</v>
      </c>
      <c r="BG14" s="118">
        <f t="shared" si="11"/>
        <v>15124999999.999998</v>
      </c>
      <c r="BH14" s="118">
        <f t="shared" si="11"/>
        <v>15124999999.999998</v>
      </c>
      <c r="BI14" s="118">
        <f t="shared" si="11"/>
        <v>53882812500000</v>
      </c>
      <c r="BJ14" s="118">
        <f t="shared" si="11"/>
        <v>52313410194174.758</v>
      </c>
      <c r="BK14" s="118">
        <f t="shared" si="11"/>
        <v>53882812500000</v>
      </c>
      <c r="BL14" s="118">
        <f t="shared" si="11"/>
        <v>53882812500000</v>
      </c>
      <c r="BM14" s="118">
        <f t="shared" si="11"/>
        <v>53882812500000</v>
      </c>
      <c r="BN14" s="118">
        <f t="shared" si="11"/>
        <v>53882812500000</v>
      </c>
      <c r="BO14" s="118">
        <f t="shared" si="11"/>
        <v>52313410194174.758</v>
      </c>
      <c r="BP14" s="118">
        <f t="shared" si="11"/>
        <v>53882812500000</v>
      </c>
      <c r="BQ14" s="118">
        <f t="shared" si="11"/>
        <v>52313410194174.758</v>
      </c>
      <c r="BR14" s="15">
        <f t="shared" si="20"/>
        <v>2.080859267031216E-15</v>
      </c>
      <c r="BS14" s="40">
        <f t="shared" si="12"/>
        <v>302.5</v>
      </c>
      <c r="BT14" s="40">
        <f t="shared" si="13"/>
        <v>3.2362545583179352E-2</v>
      </c>
      <c r="BU14" s="40">
        <f>IFERROR((s_C*s_EF_far*(1/365)*s_ED_far*up_RadSpec!R14*((s_ET_far_o*(1/24)*up_RadSpec!W14)+(s_ET_far_i*(1/24)*up_RadSpec!AB14))),".")</f>
        <v>0.29179267650158069</v>
      </c>
      <c r="BV14" s="40">
        <f>up_b2s!CC14</f>
        <v>3033167.5</v>
      </c>
      <c r="BW14" s="40">
        <f>IFERROR(((s_C*up_RadSpec!AJ14)/up_RadSpec!AU14)*s_IFFI_far_adj*s_CF_far_fish,0)</f>
        <v>151250</v>
      </c>
      <c r="BX14" s="40">
        <f>IFERROR(((s_C*up_RadSpec!AK14)/up_RadSpec!AU14)*s_IFSF_far_adj*s_CF_far_shellfish,0)</f>
        <v>151250</v>
      </c>
      <c r="BY14" s="40">
        <f>(s_C*s_IFB_far_adj*s_CF_far_beef*up_RadSpec!AI14*((s_Q_p_beef*s_f_p_beef*s_f_s_beef*(up_RadSpec!$AT14+s_R_es_past))+(s_Q_s_beef*s_f_p_beef)))</f>
        <v>538828125</v>
      </c>
      <c r="BZ14" s="40">
        <f>(s_C*s_IFD_far_adj*s_CF_far_dairy*up_RadSpec!AH14*1/s_D_milk*((s_Q_p_dairy*s_f_p_dairy*s_f_s_dairy*(up_RadSpec!$AT14+s_R_es_past))+(s_Q_s_dairy*s_f_p_dairy)))</f>
        <v>523134101.94174761</v>
      </c>
      <c r="CA14" s="40">
        <f>(s_C*s_IFSW_far_adj*s_CF_far_swine*up_RadSpec!AN14*((s_Q_p_swine*s_f_p_swine*s_f_s_swine*(up_RadSpec!$AT14+s_R_es_past))+(s_Q_s_swine*s_f_p_swine)))</f>
        <v>538828125</v>
      </c>
      <c r="CB14" s="40">
        <f>(s_C*s_IFP_far_adj*s_CF_far_poultry*up_RadSpec!AL14*((s_Q_p_poultry*s_f_p_poultry*s_f_s_poultry*(up_RadSpec!AT14+s_R_es_past))+(s_Q_s_poultry*s_f_p_poultry)))</f>
        <v>538828125</v>
      </c>
      <c r="CC14" s="40">
        <f>(s_C*s_IFE_far_adj*s_CF_far_egg*up_RadSpec!AM14*((s_Q_p_egg*s_f_p_egg*s_f_s_egg*(up_RadSpec!$AT14+s_R_es_past))+(s_Q_s_egg*s_f_p_egg)))</f>
        <v>538828125</v>
      </c>
      <c r="CD14" s="40">
        <f>(s_C*s_IFGO_far_adj*s_CF_far_goat*up_RadSpec!AQ14*((s_Q_p_goat*s_f_p_goat*s_f_s_goat*(up_RadSpec!$AT14+s_R_es_past))+(s_Q_s_goat*s_f_p_goat)))</f>
        <v>538828125</v>
      </c>
      <c r="CE14" s="40">
        <f>(s_C*s_IFGM_far_adj*s_CF_far_goat_milk*up_RadSpec!AR14*1/s_D_milk*((s_Q_p_goat_milk*s_f_p_goat_milk*s_f_s_goat_milk*(up_RadSpec!$AT14+s_R_es_past))+(s_Q_s_goat_milk*s_f_p_goat_milk)))</f>
        <v>523134101.94174761</v>
      </c>
      <c r="CF14" s="40">
        <f>(s_C*s_IFSH_far_adj*s_CF_far_sheep*up_RadSpec!AO14*((s_Q_p_sheep*s_f_p_sheep*s_f_s_sheep*(up_RadSpec!$AT14+s_R_es_past))+(s_Q_s_sheep*s_f_p_sheep)))</f>
        <v>538828125</v>
      </c>
      <c r="CG14" s="40">
        <f>(s_C*s_IFSM_far_adj*s_CF_far_sheep_milk*up_RadSpec!AP14*1/s_D_milk*((s_Q_p_sheep_milk*s_f_p_sheep_milk*s_f_s_sheep_milk*(up_RadSpec!$AT14+s_R_es_past))+(s_Q_s_sheep_milk*s_f_p_sheep_milk)))</f>
        <v>523134101.94174761</v>
      </c>
      <c r="CH14" s="18"/>
      <c r="CI14" s="18"/>
      <c r="CJ14" s="18"/>
      <c r="CK14" s="18"/>
      <c r="CL14" s="18"/>
      <c r="CM14" s="18"/>
      <c r="CN14" s="18"/>
      <c r="CO14" s="18"/>
      <c r="CP14" s="18"/>
      <c r="CQ14" s="18"/>
      <c r="CR14" s="18"/>
      <c r="CS14" s="18"/>
      <c r="CT14" s="18"/>
      <c r="CU14" s="18"/>
      <c r="CV14" s="18"/>
      <c r="CW14" s="5"/>
      <c r="CX14" s="15">
        <f>IFERROR(s_TR/(up_RadSpec!I14*s_IFW_far_adj),".")</f>
        <v>3.6363636363636369E-10</v>
      </c>
      <c r="CY14" s="15" t="str">
        <f>IFERROR(IF(AND(up_RadSpec!C14=1,up_RadSpec!D14&lt;&gt;0),s_TR/(up_RadSpec!F14*s_IFA_far_adj*s_K*up_RadSpec!D14),"."),".")</f>
        <v>.</v>
      </c>
      <c r="CZ14" s="15">
        <f>IFERROR((s_TR/(up_RadSpec!M14*(1/8760)*s_DFA_far_adj)),".")</f>
        <v>3.9818181818181825E-6</v>
      </c>
      <c r="DA14" s="15">
        <f>up_b2w!BC14</f>
        <v>1.6443412786038031E-11</v>
      </c>
      <c r="DB14" s="15">
        <f>IFERROR(J14/(up_RadSpec!AJ14*(1/1000)),".")</f>
        <v>1.322314049586777E-8</v>
      </c>
      <c r="DC14" s="15">
        <f>IFERROR(K14/(up_RadSpec!AK14*(1/1000)),".")</f>
        <v>1.322314049586777E-8</v>
      </c>
      <c r="DD14" s="15">
        <f>IFERROR(G14/(up_RadSpec!AI14*s_Q_w_beef*(1/1000)),".")</f>
        <v>2.6446280991735539E-9</v>
      </c>
      <c r="DE14" s="15">
        <f>IFERROR((H14*s_D_milk)/(up_RadSpec!AH14*s_Q_w_dairy*(1/1000)),".")</f>
        <v>2.7239669421487605E-9</v>
      </c>
      <c r="DF14" s="15">
        <f>IFERROR(I14/(up_RadSpec!AN14*s_Q_w_swine*(1/1000)),".")</f>
        <v>2.6446280991735539E-9</v>
      </c>
      <c r="DG14" s="15">
        <f>IFERROR(E14/(up_RadSpec!AL14*s_Q_w_poultry*(1/1000)),".")</f>
        <v>2.6446280991735539E-9</v>
      </c>
      <c r="DH14" s="15">
        <f>IFERROR(F14/(up_RadSpec!AM14*s_Q_w_poultry*(1/1000)),".")</f>
        <v>2.6446280991735539E-9</v>
      </c>
      <c r="DI14" s="15">
        <f>IFERROR(L14/(up_RadSpec!AQ14*s_Q_w_goat*(1/1000)),".")</f>
        <v>2.6446280991735539E-9</v>
      </c>
      <c r="DJ14" s="15">
        <f>IFERROR(N14*s_D_milk/(up_RadSpec!AR14*s_Q_w_goat_milk*(1/1000)),".")</f>
        <v>2.7239669421487605E-9</v>
      </c>
      <c r="DK14" s="15">
        <f>IFERROR(M14/(up_RadSpec!AO14*s_Q_w_sheep*(1/1000)),".")</f>
        <v>2.6446280991735539E-9</v>
      </c>
      <c r="DL14" s="15">
        <f>IFERROR(O14*s_D_milk/(up_RadSpec!AP14*s_Q_w_sheep_milk*(1/1000)),".")</f>
        <v>2.7239669421487605E-9</v>
      </c>
      <c r="DM14" s="118">
        <f t="shared" si="14"/>
        <v>2749999999.9999995</v>
      </c>
      <c r="DN14" s="118" t="str">
        <f t="shared" si="14"/>
        <v>.</v>
      </c>
      <c r="DO14" s="118">
        <f t="shared" si="14"/>
        <v>251141.55251141547</v>
      </c>
      <c r="DP14" s="118">
        <f t="shared" si="14"/>
        <v>60814626076.229866</v>
      </c>
      <c r="DQ14" s="118">
        <f t="shared" si="14"/>
        <v>75624999.999999985</v>
      </c>
      <c r="DR14" s="118">
        <f t="shared" si="14"/>
        <v>75624999.999999985</v>
      </c>
      <c r="DS14" s="118">
        <f t="shared" si="14"/>
        <v>378124999.99999994</v>
      </c>
      <c r="DT14" s="118">
        <f t="shared" si="14"/>
        <v>367111650.48543686</v>
      </c>
      <c r="DU14" s="118">
        <f t="shared" si="14"/>
        <v>378124999.99999994</v>
      </c>
      <c r="DV14" s="118">
        <f t="shared" si="14"/>
        <v>378124999.99999994</v>
      </c>
      <c r="DW14" s="118">
        <f t="shared" si="14"/>
        <v>378124999.99999994</v>
      </c>
      <c r="DX14" s="118">
        <f t="shared" si="14"/>
        <v>378124999.99999994</v>
      </c>
      <c r="DY14" s="118">
        <f t="shared" si="14"/>
        <v>367111650.48543686</v>
      </c>
      <c r="DZ14" s="118">
        <f t="shared" si="14"/>
        <v>378124999.99999994</v>
      </c>
      <c r="EA14" s="118">
        <f t="shared" si="14"/>
        <v>367111650.48543686</v>
      </c>
      <c r="EB14" s="15">
        <f t="shared" si="21"/>
        <v>1.4906192608956601E-11</v>
      </c>
      <c r="EC14" s="40">
        <f t="shared" si="15"/>
        <v>27500</v>
      </c>
      <c r="ED14" s="40">
        <f>IF(up_RadSpec!D14&lt;&gt;"",s_C*s_IFA_far_adj*s_K*up_RadSpec!D14,0)</f>
        <v>0</v>
      </c>
      <c r="EE14" s="40">
        <f t="shared" si="16"/>
        <v>2.5114155251141552</v>
      </c>
      <c r="EF14" s="40">
        <f>up_b2w!CC14</f>
        <v>608146.26076229871</v>
      </c>
      <c r="EG14" s="40">
        <f>IFERROR(s_C*up_RadSpec!AJ14*(1/1000)*s_IFFI_far_adj*s_CF_far_fish,0)</f>
        <v>756.25</v>
      </c>
      <c r="EH14" s="40">
        <f>IFERROR(s_C*up_RadSpec!AK14*(1/1000)*s_IFSF_far_adj*s_CF_far_shellfish,0)</f>
        <v>756.25</v>
      </c>
      <c r="EI14" s="40">
        <f>(s_C*s_IFB_far_adj*s_CF_far_beef*up_RadSpec!AI14*s_Q_w_beef*(1/1000))</f>
        <v>3781.25</v>
      </c>
      <c r="EJ14" s="40">
        <f>(s_C*s_IFD_far_adj*s_CF_far_dairy*up_RadSpec!AH14*(1/s_D_milk)*s_Q_w_dairy*(1/1000))</f>
        <v>3671.1165048543689</v>
      </c>
      <c r="EK14" s="40">
        <f>(s_C*s_IFSW_far_adj*s_CF_far_swine*up_RadSpec!AN14*s_Q_w_swine*(1/1000))</f>
        <v>3781.25</v>
      </c>
      <c r="EL14" s="40">
        <f>(s_C*s_IFP_far_adj*s_CF_far_poultry*up_RadSpec!AL14*s_Q_w_poultry*(1/1000))</f>
        <v>3781.25</v>
      </c>
      <c r="EM14" s="40">
        <f>(s_C*s_IFE_far_adj*s_CF_far_egg*up_RadSpec!AM14*s_Q_w_egg*(1/1000))</f>
        <v>3781.25</v>
      </c>
      <c r="EN14" s="40">
        <f>(s_C*s_IFGO_far_adj*s_CF_far_goat*up_RadSpec!AQ14*s_Q_p_goat*(1/1000))</f>
        <v>3781.25</v>
      </c>
      <c r="EO14" s="40">
        <f>(s_C*s_IFGM_far_adj*s_CF_far_goat_milk*up_RadSpec!AR14*(1/s_D_milk)*s_Q_p_goat_milk*(1/1000))</f>
        <v>3671.1165048543689</v>
      </c>
      <c r="EP14" s="40">
        <f>(s_C*s_IFSH_far_adj*s_CF_far_sheep*up_RadSpec!AO14*s_Q_p_sheep*(1/1000))</f>
        <v>3781.25</v>
      </c>
      <c r="EQ14" s="40">
        <f>(s_C*s_IFSM_far_adj*s_CF_far_sheep_milk*up_RadSpec!AP14*(1/s_D_milk)*s_Q_p_sheep_milk*(1/1000))</f>
        <v>3671.1165048543689</v>
      </c>
      <c r="ER14" s="18"/>
      <c r="ES14" s="18"/>
      <c r="ET14" s="18"/>
      <c r="EU14" s="18"/>
      <c r="EV14" s="18"/>
      <c r="EW14" s="18"/>
      <c r="EX14" s="18"/>
      <c r="EY14" s="18"/>
      <c r="EZ14" s="18"/>
      <c r="FA14" s="18"/>
      <c r="FB14" s="18"/>
      <c r="FC14" s="18"/>
      <c r="FD14" s="18"/>
      <c r="FE14" s="18"/>
      <c r="FF14" s="18"/>
      <c r="FG14" s="5"/>
      <c r="FH14" s="15">
        <f>IFERROR((s_TR/(up_RadSpec!F14*s_IFA_far_adj)),".")</f>
        <v>9.9740259740259755E-10</v>
      </c>
      <c r="FI14" s="15">
        <f>IFERROR((s_TR/(up_RadSpec!K14*s_EF_far*(1/365)*s_ED_far*s_ET_far*(1/24)*s_GSF_a)),".")</f>
        <v>6.3709090909090908E-6</v>
      </c>
      <c r="FJ14" s="15">
        <f t="shared" si="22"/>
        <v>9.9724647271019672E-10</v>
      </c>
      <c r="FK14" s="40">
        <f t="shared" si="18"/>
        <v>10026.041666666666</v>
      </c>
      <c r="FL14" s="40">
        <f t="shared" si="19"/>
        <v>1.5696347031963471</v>
      </c>
      <c r="FM14" s="120"/>
      <c r="FN14" s="120"/>
      <c r="FO14" s="120"/>
    </row>
    <row r="15" spans="1:171" customFormat="1" x14ac:dyDescent="0.25">
      <c r="A15" s="44" t="s">
        <v>25</v>
      </c>
      <c r="B15" s="42" t="s">
        <v>1071</v>
      </c>
      <c r="C15" s="42"/>
      <c r="D15" s="15">
        <f>up_dir!AC15</f>
        <v>1.6528925619834712E-11</v>
      </c>
      <c r="E15" s="15">
        <f>IFERROR(s_TR/(up_RadSpec!H15*s_IFP_far_adj*s_CF_far_poultry),".")</f>
        <v>6.6115702479338848E-11</v>
      </c>
      <c r="F15" s="15">
        <f>IFERROR(s_TR/(up_RadSpec!H15*s_IFE_far_adj*s_CF_far_egg),".")</f>
        <v>6.6115702479338848E-11</v>
      </c>
      <c r="G15" s="15">
        <f>IFERROR(s_TR/(up_RadSpec!H15*s_IFB_far_adj*s_CF_far_beef),".")</f>
        <v>6.6115702479338848E-11</v>
      </c>
      <c r="H15" s="15">
        <f>IFERROR(s_TR/(up_RadSpec!H15*s_IFD_far_adj*s_CF_far_dairy),".")</f>
        <v>6.6115702479338848E-11</v>
      </c>
      <c r="I15" s="15">
        <f>IFERROR(s_TR/(up_RadSpec!H15*s_IFSW_far_adj*s_CF_far_swine),".")</f>
        <v>6.6115702479338848E-11</v>
      </c>
      <c r="J15" s="15">
        <f>IFERROR(s_TR/(up_RadSpec!H15*s_IFFI_far_adj*s_CF_far_fish),".")</f>
        <v>6.6115702479338848E-11</v>
      </c>
      <c r="K15" s="15">
        <f>IFERROR(s_TR/(up_RadSpec!H15*s_IFSF_far_adj*s_CF_far_shellfish),".")</f>
        <v>6.6115702479338848E-11</v>
      </c>
      <c r="L15" s="15">
        <f>IFERROR(s_TR/(up_RadSpec!H15*s_IFGO_far_adj*s_CF_far_goat),".")</f>
        <v>6.6115702479338848E-11</v>
      </c>
      <c r="M15" s="15">
        <f>IFERROR(s_TR/(up_RadSpec!H15*s_IFSH_far_adj*s_CF_far_sheep),".")</f>
        <v>6.6115702479338848E-11</v>
      </c>
      <c r="N15" s="15">
        <f>IFERROR(s_TR/(up_RadSpec!H15*s_IFGM_far_adj*s_CF_far_goat_milk),".")</f>
        <v>6.6115702479338848E-11</v>
      </c>
      <c r="O15" s="15">
        <f>IFERROR(s_TR/(up_RadSpec!H15*s_IFSM_far_adj*s_CF_far_sheep_milk),".")</f>
        <v>6.6115702479338848E-11</v>
      </c>
      <c r="P15" s="40">
        <f>up_dir!BC15</f>
        <v>605000</v>
      </c>
      <c r="Q15" s="40">
        <f t="shared" si="0"/>
        <v>151250</v>
      </c>
      <c r="R15" s="40">
        <f t="shared" si="1"/>
        <v>151250</v>
      </c>
      <c r="S15" s="40">
        <f t="shared" si="2"/>
        <v>151250</v>
      </c>
      <c r="T15" s="40">
        <f t="shared" si="3"/>
        <v>151250</v>
      </c>
      <c r="U15" s="40">
        <f t="shared" si="4"/>
        <v>151250</v>
      </c>
      <c r="V15" s="40">
        <f t="shared" si="5"/>
        <v>151250</v>
      </c>
      <c r="W15" s="40">
        <f t="shared" si="6"/>
        <v>151250</v>
      </c>
      <c r="X15" s="40">
        <f t="shared" si="7"/>
        <v>151250</v>
      </c>
      <c r="Y15" s="40">
        <f t="shared" si="8"/>
        <v>151250</v>
      </c>
      <c r="Z15" s="40">
        <f t="shared" si="9"/>
        <v>151250</v>
      </c>
      <c r="AA15" s="40">
        <f t="shared" si="10"/>
        <v>151250</v>
      </c>
      <c r="AB15" s="5"/>
      <c r="AC15" s="5"/>
      <c r="AD15" s="5"/>
      <c r="AE15" s="5"/>
      <c r="AF15" s="5"/>
      <c r="AG15" s="5"/>
      <c r="AH15" s="5"/>
      <c r="AI15" s="5"/>
      <c r="AJ15" s="5"/>
      <c r="AK15" s="5"/>
      <c r="AL15" s="5"/>
      <c r="AM15" s="5"/>
      <c r="AN15" s="45">
        <f>IFERROR((s_TR/(up_RadSpec!E15*s_IFS_far_adj*(1/1000)))*1,".")</f>
        <v>3.3057851239669421E-8</v>
      </c>
      <c r="AO15" s="45">
        <f>IFERROR(IF(A15="H-3",(s_TR/(up_RadSpec!F15*s_IFA_far_adj*(1/17)*1000))*1,(s_TR/(up_RadSpec!F15*s_IFA_far_adj*(1/s_PEF_wind)*1000))*1),".")</f>
        <v>3.0899917851942918E-4</v>
      </c>
      <c r="AP15" s="45" t="str">
        <f>IFERROR((s_TR/(up_RadSpec!G15*s_EF_far*(1/365)*s_ED_far*up_RadSpec!R15*((s_ET_far_o*(1/24)*up_RadSpec!W15)+(s_ET_far_i*(1/24)*up_RadSpec!AB15))))*1,".")</f>
        <v>.</v>
      </c>
      <c r="AQ15" s="45">
        <f>up_b2s!BC15</f>
        <v>3.2968835384132272E-12</v>
      </c>
      <c r="AR15" s="45">
        <f>IFERROR(((J15*up_RadSpec!AU15)/up_RadSpec!AJ15)*1,".")</f>
        <v>6.6115702479338848E-11</v>
      </c>
      <c r="AS15" s="45">
        <f>IFERROR(((K15*up_RadSpec!AU15)/up_RadSpec!AK15)*1,".")</f>
        <v>6.6115702479338848E-11</v>
      </c>
      <c r="AT15" s="45">
        <f>IFERROR((G15/(up_RadSpec!AI15*((s_Q_p_beef*s_f_p_beef*s_f_s_beef*(up_RadSpec!BD15+s_R_es_past))+(s_Q_s_beef*s_f_p_beef))))*1,".")</f>
        <v>1.8558793678410904E-14</v>
      </c>
      <c r="AU15" s="45">
        <f>IFERROR(((H15*s_D_milk)/(up_RadSpec!AH15*((s_Q_p_dairy*s_f_p_dairy*s_f_s_dairy*(up_RadSpec!BD15+s_R_es_past))+(s_Q_s_dairy*s_f_p_dairy))))*1,".")</f>
        <v>1.9115557488763232E-14</v>
      </c>
      <c r="AV15" s="45">
        <f>IFERROR((I15/(up_RadSpec!AN15*((s_Q_p_swine*s_f_p_swine*s_f_s_swine*(up_RadSpec!BD15+s_R_es_past))+(s_Q_s_swine*s_f_p_swine))))*1,".")</f>
        <v>1.8558793678410904E-14</v>
      </c>
      <c r="AW15" s="45">
        <f>IFERROR((E15/(up_RadSpec!AL15*((s_Q_p_poultry*s_f_p_poultry*s_f_s_poultry*(up_RadSpec!BD15+s_R_es_past))+(s_Q_s_poultry*s_f_p_poultry))))*1,".")</f>
        <v>1.8558793678410904E-14</v>
      </c>
      <c r="AX15" s="45">
        <f>IFERROR((F15/(up_RadSpec!AM15*((s_Q_p_poultry*s_f_p_poultry*s_f_s_poultry*(up_RadSpec!BD15+s_R_es_past))+(s_Q_s_poultry*s_f_p_poultry))))*1,".")</f>
        <v>1.8558793678410904E-14</v>
      </c>
      <c r="AY15" s="45">
        <f>IFERROR((L15/(up_RadSpec!AQ15*((s_Q_p_goat*s_f_p_goat*s_f_s_goat*(up_RadSpec!BD15+s_R_es_past))+(s_Q_s_goat*s_f_p_goat))))*1,".")</f>
        <v>1.8558793678410904E-14</v>
      </c>
      <c r="AZ15" s="45">
        <f>IFERROR((N15*s_D_milk/(up_RadSpec!AR15*((s_Q_p_goat_milk*s_f_p_goat_milk*s_f_s_goat_milk*(up_RadSpec!BD15+s_R_es_past))+(s_Q_s_goat_milk*s_f_p_goat_milk))))*1,".")</f>
        <v>1.9115557488763232E-14</v>
      </c>
      <c r="BA15" s="45">
        <f>IFERROR((M15/(up_RadSpec!AO15*((s_Q_p_sheep*s_f_p_sheep*s_f_s_sheep*(up_RadSpec!BD15+s_R_es_past))+(s_Q_s_sheep*s_f_p_sheep))))*1,".")</f>
        <v>1.8558793678410904E-14</v>
      </c>
      <c r="BB15" s="45">
        <f>IFERROR((O15*s_D_milk/(up_RadSpec!AP15*((s_Q_p_sheep_milk*s_f_p_sheep_milk*s_f_s_sheep_milk*(up_RadSpec!BD15+s_R_es_past))+(s_Q_s_sheep_milk*s_f_p_sheep_milk))))*1,".")</f>
        <v>1.9115557488763232E-14</v>
      </c>
      <c r="BC15" s="118">
        <f t="shared" si="11"/>
        <v>30250000</v>
      </c>
      <c r="BD15" s="118">
        <f t="shared" si="11"/>
        <v>3236.2545583179349</v>
      </c>
      <c r="BE15" s="118" t="str">
        <f t="shared" si="11"/>
        <v>.</v>
      </c>
      <c r="BF15" s="118">
        <f t="shared" si="11"/>
        <v>303316749999.99994</v>
      </c>
      <c r="BG15" s="118">
        <f t="shared" si="11"/>
        <v>15124999999.999998</v>
      </c>
      <c r="BH15" s="118">
        <f t="shared" si="11"/>
        <v>15124999999.999998</v>
      </c>
      <c r="BI15" s="118">
        <f t="shared" si="11"/>
        <v>53882812500000</v>
      </c>
      <c r="BJ15" s="118">
        <f t="shared" si="11"/>
        <v>52313410194174.758</v>
      </c>
      <c r="BK15" s="118">
        <f t="shared" si="11"/>
        <v>53882812500000</v>
      </c>
      <c r="BL15" s="118">
        <f t="shared" si="11"/>
        <v>53882812500000</v>
      </c>
      <c r="BM15" s="118">
        <f t="shared" si="11"/>
        <v>53882812500000</v>
      </c>
      <c r="BN15" s="118">
        <f t="shared" si="11"/>
        <v>53882812500000</v>
      </c>
      <c r="BO15" s="118">
        <f t="shared" si="11"/>
        <v>52313410194174.758</v>
      </c>
      <c r="BP15" s="118">
        <f t="shared" si="11"/>
        <v>53882812500000</v>
      </c>
      <c r="BQ15" s="118">
        <f t="shared" si="11"/>
        <v>52313410194174.758</v>
      </c>
      <c r="BR15" s="15">
        <f t="shared" si="20"/>
        <v>2.0808592671575616E-15</v>
      </c>
      <c r="BS15" s="40">
        <f t="shared" si="12"/>
        <v>302.5</v>
      </c>
      <c r="BT15" s="40">
        <f t="shared" si="13"/>
        <v>3.2362545583179352E-2</v>
      </c>
      <c r="BU15" s="40">
        <f>IFERROR((s_C*s_EF_far*(1/365)*s_ED_far*up_RadSpec!R15*((s_ET_far_o*(1/24)*up_RadSpec!W15)+(s_ET_far_i*(1/24)*up_RadSpec!AB15))),".")</f>
        <v>0</v>
      </c>
      <c r="BV15" s="40">
        <f>up_b2s!CC15</f>
        <v>3033167.5</v>
      </c>
      <c r="BW15" s="40">
        <f>IFERROR(((s_C*up_RadSpec!AJ15)/up_RadSpec!AU15)*s_IFFI_far_adj*s_CF_far_fish,0)</f>
        <v>151250</v>
      </c>
      <c r="BX15" s="40">
        <f>IFERROR(((s_C*up_RadSpec!AK15)/up_RadSpec!AU15)*s_IFSF_far_adj*s_CF_far_shellfish,0)</f>
        <v>151250</v>
      </c>
      <c r="BY15" s="40">
        <f>(s_C*s_IFB_far_adj*s_CF_far_beef*up_RadSpec!AI15*((s_Q_p_beef*s_f_p_beef*s_f_s_beef*(up_RadSpec!$AT15+s_R_es_past))+(s_Q_s_beef*s_f_p_beef)))</f>
        <v>538828125</v>
      </c>
      <c r="BZ15" s="40">
        <f>(s_C*s_IFD_far_adj*s_CF_far_dairy*up_RadSpec!AH15*1/s_D_milk*((s_Q_p_dairy*s_f_p_dairy*s_f_s_dairy*(up_RadSpec!$AT15+s_R_es_past))+(s_Q_s_dairy*s_f_p_dairy)))</f>
        <v>523134101.94174761</v>
      </c>
      <c r="CA15" s="40">
        <f>(s_C*s_IFSW_far_adj*s_CF_far_swine*up_RadSpec!AN15*((s_Q_p_swine*s_f_p_swine*s_f_s_swine*(up_RadSpec!$AT15+s_R_es_past))+(s_Q_s_swine*s_f_p_swine)))</f>
        <v>538828125</v>
      </c>
      <c r="CB15" s="40">
        <f>(s_C*s_IFP_far_adj*s_CF_far_poultry*up_RadSpec!AL15*((s_Q_p_poultry*s_f_p_poultry*s_f_s_poultry*(up_RadSpec!AT15+s_R_es_past))+(s_Q_s_poultry*s_f_p_poultry)))</f>
        <v>538828125</v>
      </c>
      <c r="CC15" s="40">
        <f>(s_C*s_IFE_far_adj*s_CF_far_egg*up_RadSpec!AM15*((s_Q_p_egg*s_f_p_egg*s_f_s_egg*(up_RadSpec!$AT15+s_R_es_past))+(s_Q_s_egg*s_f_p_egg)))</f>
        <v>538828125</v>
      </c>
      <c r="CD15" s="40">
        <f>(s_C*s_IFGO_far_adj*s_CF_far_goat*up_RadSpec!AQ15*((s_Q_p_goat*s_f_p_goat*s_f_s_goat*(up_RadSpec!$AT15+s_R_es_past))+(s_Q_s_goat*s_f_p_goat)))</f>
        <v>538828125</v>
      </c>
      <c r="CE15" s="40">
        <f>(s_C*s_IFGM_far_adj*s_CF_far_goat_milk*up_RadSpec!AR15*1/s_D_milk*((s_Q_p_goat_milk*s_f_p_goat_milk*s_f_s_goat_milk*(up_RadSpec!$AT15+s_R_es_past))+(s_Q_s_goat_milk*s_f_p_goat_milk)))</f>
        <v>523134101.94174761</v>
      </c>
      <c r="CF15" s="40">
        <f>(s_C*s_IFSH_far_adj*s_CF_far_sheep*up_RadSpec!AO15*((s_Q_p_sheep*s_f_p_sheep*s_f_s_sheep*(up_RadSpec!$AT15+s_R_es_past))+(s_Q_s_sheep*s_f_p_sheep)))</f>
        <v>538828125</v>
      </c>
      <c r="CG15" s="40">
        <f>(s_C*s_IFSM_far_adj*s_CF_far_sheep_milk*up_RadSpec!AP15*1/s_D_milk*((s_Q_p_sheep_milk*s_f_p_sheep_milk*s_f_s_sheep_milk*(up_RadSpec!$AT15+s_R_es_past))+(s_Q_s_sheep_milk*s_f_p_sheep_milk)))</f>
        <v>523134101.94174761</v>
      </c>
      <c r="CH15" s="18"/>
      <c r="CI15" s="18"/>
      <c r="CJ15" s="18"/>
      <c r="CK15" s="18"/>
      <c r="CL15" s="18"/>
      <c r="CM15" s="18"/>
      <c r="CN15" s="18"/>
      <c r="CO15" s="18"/>
      <c r="CP15" s="18"/>
      <c r="CQ15" s="18"/>
      <c r="CR15" s="18"/>
      <c r="CS15" s="18"/>
      <c r="CT15" s="18"/>
      <c r="CU15" s="18"/>
      <c r="CV15" s="18"/>
      <c r="CW15" s="5"/>
      <c r="CX15" s="15">
        <f>IFERROR(s_TR/(up_RadSpec!I15*s_IFW_far_adj),".")</f>
        <v>3.6363636363636369E-10</v>
      </c>
      <c r="CY15" s="15" t="str">
        <f>IFERROR(IF(AND(up_RadSpec!C15=1,up_RadSpec!D15&lt;&gt;0),s_TR/(up_RadSpec!F15*s_IFA_far_adj*s_K*up_RadSpec!D15),"."),".")</f>
        <v>.</v>
      </c>
      <c r="CZ15" s="15">
        <f>IFERROR((s_TR/(up_RadSpec!M15*(1/8760)*s_DFA_far_adj)),".")</f>
        <v>3.9818181818181825E-6</v>
      </c>
      <c r="DA15" s="15">
        <f>up_b2w!BC15</f>
        <v>1.6443412786038031E-11</v>
      </c>
      <c r="DB15" s="15">
        <f>IFERROR(J15/(up_RadSpec!AJ15*(1/1000)),".")</f>
        <v>1.322314049586777E-8</v>
      </c>
      <c r="DC15" s="15">
        <f>IFERROR(K15/(up_RadSpec!AK15*(1/1000)),".")</f>
        <v>1.322314049586777E-8</v>
      </c>
      <c r="DD15" s="15">
        <f>IFERROR(G15/(up_RadSpec!AI15*s_Q_w_beef*(1/1000)),".")</f>
        <v>2.6446280991735539E-9</v>
      </c>
      <c r="DE15" s="15">
        <f>IFERROR((H15*s_D_milk)/(up_RadSpec!AH15*s_Q_w_dairy*(1/1000)),".")</f>
        <v>2.7239669421487605E-9</v>
      </c>
      <c r="DF15" s="15">
        <f>IFERROR(I15/(up_RadSpec!AN15*s_Q_w_swine*(1/1000)),".")</f>
        <v>2.6446280991735539E-9</v>
      </c>
      <c r="DG15" s="15">
        <f>IFERROR(E15/(up_RadSpec!AL15*s_Q_w_poultry*(1/1000)),".")</f>
        <v>2.6446280991735539E-9</v>
      </c>
      <c r="DH15" s="15">
        <f>IFERROR(F15/(up_RadSpec!AM15*s_Q_w_poultry*(1/1000)),".")</f>
        <v>2.6446280991735539E-9</v>
      </c>
      <c r="DI15" s="15">
        <f>IFERROR(L15/(up_RadSpec!AQ15*s_Q_w_goat*(1/1000)),".")</f>
        <v>2.6446280991735539E-9</v>
      </c>
      <c r="DJ15" s="15">
        <f>IFERROR(N15*s_D_milk/(up_RadSpec!AR15*s_Q_w_goat_milk*(1/1000)),".")</f>
        <v>2.7239669421487605E-9</v>
      </c>
      <c r="DK15" s="15">
        <f>IFERROR(M15/(up_RadSpec!AO15*s_Q_w_sheep*(1/1000)),".")</f>
        <v>2.6446280991735539E-9</v>
      </c>
      <c r="DL15" s="15">
        <f>IFERROR(O15*s_D_milk/(up_RadSpec!AP15*s_Q_w_sheep_milk*(1/1000)),".")</f>
        <v>2.7239669421487605E-9</v>
      </c>
      <c r="DM15" s="118">
        <f t="shared" si="14"/>
        <v>2749999999.9999995</v>
      </c>
      <c r="DN15" s="118" t="str">
        <f t="shared" si="14"/>
        <v>.</v>
      </c>
      <c r="DO15" s="118">
        <f t="shared" si="14"/>
        <v>251141.55251141547</v>
      </c>
      <c r="DP15" s="118">
        <f t="shared" si="14"/>
        <v>60814626076.229866</v>
      </c>
      <c r="DQ15" s="118">
        <f t="shared" si="14"/>
        <v>75624999.999999985</v>
      </c>
      <c r="DR15" s="118">
        <f t="shared" si="14"/>
        <v>75624999.999999985</v>
      </c>
      <c r="DS15" s="118">
        <f t="shared" si="14"/>
        <v>378124999.99999994</v>
      </c>
      <c r="DT15" s="118">
        <f t="shared" si="14"/>
        <v>367111650.48543686</v>
      </c>
      <c r="DU15" s="118">
        <f t="shared" si="14"/>
        <v>378124999.99999994</v>
      </c>
      <c r="DV15" s="118">
        <f t="shared" si="14"/>
        <v>378124999.99999994</v>
      </c>
      <c r="DW15" s="118">
        <f t="shared" si="14"/>
        <v>378124999.99999994</v>
      </c>
      <c r="DX15" s="118">
        <f t="shared" si="14"/>
        <v>378124999.99999994</v>
      </c>
      <c r="DY15" s="118">
        <f t="shared" si="14"/>
        <v>367111650.48543686</v>
      </c>
      <c r="DZ15" s="118">
        <f t="shared" si="14"/>
        <v>378124999.99999994</v>
      </c>
      <c r="EA15" s="118">
        <f t="shared" si="14"/>
        <v>367111650.48543686</v>
      </c>
      <c r="EB15" s="15">
        <f t="shared" si="21"/>
        <v>1.4906192608956601E-11</v>
      </c>
      <c r="EC15" s="40">
        <f t="shared" si="15"/>
        <v>27500</v>
      </c>
      <c r="ED15" s="40">
        <f>IF(up_RadSpec!D15&lt;&gt;"",s_C*s_IFA_far_adj*s_K*up_RadSpec!D15,0)</f>
        <v>0</v>
      </c>
      <c r="EE15" s="40">
        <f t="shared" si="16"/>
        <v>2.5114155251141552</v>
      </c>
      <c r="EF15" s="40">
        <f>up_b2w!CC15</f>
        <v>608146.26076229871</v>
      </c>
      <c r="EG15" s="40">
        <f>IFERROR(s_C*up_RadSpec!AJ15*(1/1000)*s_IFFI_far_adj*s_CF_far_fish,0)</f>
        <v>756.25</v>
      </c>
      <c r="EH15" s="40">
        <f>IFERROR(s_C*up_RadSpec!AK15*(1/1000)*s_IFSF_far_adj*s_CF_far_shellfish,0)</f>
        <v>756.25</v>
      </c>
      <c r="EI15" s="40">
        <f>(s_C*s_IFB_far_adj*s_CF_far_beef*up_RadSpec!AI15*s_Q_w_beef*(1/1000))</f>
        <v>3781.25</v>
      </c>
      <c r="EJ15" s="40">
        <f>(s_C*s_IFD_far_adj*s_CF_far_dairy*up_RadSpec!AH15*(1/s_D_milk)*s_Q_w_dairy*(1/1000))</f>
        <v>3671.1165048543689</v>
      </c>
      <c r="EK15" s="40">
        <f>(s_C*s_IFSW_far_adj*s_CF_far_swine*up_RadSpec!AN15*s_Q_w_swine*(1/1000))</f>
        <v>3781.25</v>
      </c>
      <c r="EL15" s="40">
        <f>(s_C*s_IFP_far_adj*s_CF_far_poultry*up_RadSpec!AL15*s_Q_w_poultry*(1/1000))</f>
        <v>3781.25</v>
      </c>
      <c r="EM15" s="40">
        <f>(s_C*s_IFE_far_adj*s_CF_far_egg*up_RadSpec!AM15*s_Q_w_egg*(1/1000))</f>
        <v>3781.25</v>
      </c>
      <c r="EN15" s="40">
        <f>(s_C*s_IFGO_far_adj*s_CF_far_goat*up_RadSpec!AQ15*s_Q_p_goat*(1/1000))</f>
        <v>3781.25</v>
      </c>
      <c r="EO15" s="40">
        <f>(s_C*s_IFGM_far_adj*s_CF_far_goat_milk*up_RadSpec!AR15*(1/s_D_milk)*s_Q_p_goat_milk*(1/1000))</f>
        <v>3671.1165048543689</v>
      </c>
      <c r="EP15" s="40">
        <f>(s_C*s_IFSH_far_adj*s_CF_far_sheep*up_RadSpec!AO15*s_Q_p_sheep*(1/1000))</f>
        <v>3781.25</v>
      </c>
      <c r="EQ15" s="40">
        <f>(s_C*s_IFSM_far_adj*s_CF_far_sheep_milk*up_RadSpec!AP15*(1/s_D_milk)*s_Q_p_sheep_milk*(1/1000))</f>
        <v>3671.1165048543689</v>
      </c>
      <c r="ER15" s="18"/>
      <c r="ES15" s="18"/>
      <c r="ET15" s="18"/>
      <c r="EU15" s="18"/>
      <c r="EV15" s="18"/>
      <c r="EW15" s="18"/>
      <c r="EX15" s="18"/>
      <c r="EY15" s="18"/>
      <c r="EZ15" s="18"/>
      <c r="FA15" s="18"/>
      <c r="FB15" s="18"/>
      <c r="FC15" s="18"/>
      <c r="FD15" s="18"/>
      <c r="FE15" s="18"/>
      <c r="FF15" s="18"/>
      <c r="FG15" s="5"/>
      <c r="FH15" s="15">
        <f>IFERROR((s_TR/(up_RadSpec!F15*s_IFA_far_adj)),".")</f>
        <v>9.9740259740259755E-10</v>
      </c>
      <c r="FI15" s="15">
        <f>IFERROR((s_TR/(up_RadSpec!K15*s_EF_far*(1/365)*s_ED_far*s_ET_far*(1/24)*s_GSF_a)),".")</f>
        <v>6.3709090909090908E-6</v>
      </c>
      <c r="FJ15" s="15">
        <f t="shared" si="22"/>
        <v>9.9724647271019672E-10</v>
      </c>
      <c r="FK15" s="40">
        <f t="shared" si="18"/>
        <v>10026.041666666666</v>
      </c>
      <c r="FL15" s="40">
        <f t="shared" si="19"/>
        <v>1.5696347031963471</v>
      </c>
      <c r="FM15" s="120"/>
      <c r="FN15" s="120"/>
      <c r="FO15" s="120"/>
    </row>
    <row r="16" spans="1:171" customFormat="1" x14ac:dyDescent="0.25">
      <c r="A16" s="44" t="s">
        <v>26</v>
      </c>
      <c r="B16" s="42" t="s">
        <v>1071</v>
      </c>
      <c r="C16" s="249"/>
      <c r="D16" s="15">
        <f>up_dir!AC16</f>
        <v>1.6528925619834712E-11</v>
      </c>
      <c r="E16" s="15">
        <f>IFERROR(s_TR/(up_RadSpec!H16*s_IFP_far_adj*s_CF_far_poultry),".")</f>
        <v>6.6115702479338848E-11</v>
      </c>
      <c r="F16" s="15">
        <f>IFERROR(s_TR/(up_RadSpec!H16*s_IFE_far_adj*s_CF_far_egg),".")</f>
        <v>6.6115702479338848E-11</v>
      </c>
      <c r="G16" s="15">
        <f>IFERROR(s_TR/(up_RadSpec!H16*s_IFB_far_adj*s_CF_far_beef),".")</f>
        <v>6.6115702479338848E-11</v>
      </c>
      <c r="H16" s="15">
        <f>IFERROR(s_TR/(up_RadSpec!H16*s_IFD_far_adj*s_CF_far_dairy),".")</f>
        <v>6.6115702479338848E-11</v>
      </c>
      <c r="I16" s="15">
        <f>IFERROR(s_TR/(up_RadSpec!H16*s_IFSW_far_adj*s_CF_far_swine),".")</f>
        <v>6.6115702479338848E-11</v>
      </c>
      <c r="J16" s="15">
        <f>IFERROR(s_TR/(up_RadSpec!H16*s_IFFI_far_adj*s_CF_far_fish),".")</f>
        <v>6.6115702479338848E-11</v>
      </c>
      <c r="K16" s="15">
        <f>IFERROR(s_TR/(up_RadSpec!H16*s_IFSF_far_adj*s_CF_far_shellfish),".")</f>
        <v>6.6115702479338848E-11</v>
      </c>
      <c r="L16" s="15">
        <f>IFERROR(s_TR/(up_RadSpec!H16*s_IFGO_far_adj*s_CF_far_goat),".")</f>
        <v>6.6115702479338848E-11</v>
      </c>
      <c r="M16" s="15">
        <f>IFERROR(s_TR/(up_RadSpec!H16*s_IFSH_far_adj*s_CF_far_sheep),".")</f>
        <v>6.6115702479338848E-11</v>
      </c>
      <c r="N16" s="15">
        <f>IFERROR(s_TR/(up_RadSpec!H16*s_IFGM_far_adj*s_CF_far_goat_milk),".")</f>
        <v>6.6115702479338848E-11</v>
      </c>
      <c r="O16" s="15">
        <f>IFERROR(s_TR/(up_RadSpec!H16*s_IFSM_far_adj*s_CF_far_sheep_milk),".")</f>
        <v>6.6115702479338848E-11</v>
      </c>
      <c r="P16" s="40">
        <f>up_dir!BC16</f>
        <v>605000</v>
      </c>
      <c r="Q16" s="40">
        <f t="shared" si="0"/>
        <v>151250</v>
      </c>
      <c r="R16" s="40">
        <f t="shared" si="1"/>
        <v>151250</v>
      </c>
      <c r="S16" s="40">
        <f t="shared" si="2"/>
        <v>151250</v>
      </c>
      <c r="T16" s="40">
        <f t="shared" si="3"/>
        <v>151250</v>
      </c>
      <c r="U16" s="40">
        <f t="shared" si="4"/>
        <v>151250</v>
      </c>
      <c r="V16" s="40">
        <f t="shared" si="5"/>
        <v>151250</v>
      </c>
      <c r="W16" s="40">
        <f t="shared" si="6"/>
        <v>151250</v>
      </c>
      <c r="X16" s="40">
        <f t="shared" si="7"/>
        <v>151250</v>
      </c>
      <c r="Y16" s="40">
        <f t="shared" si="8"/>
        <v>151250</v>
      </c>
      <c r="Z16" s="40">
        <f t="shared" si="9"/>
        <v>151250</v>
      </c>
      <c r="AA16" s="40">
        <f t="shared" si="10"/>
        <v>151250</v>
      </c>
      <c r="AB16" s="5"/>
      <c r="AC16" s="5"/>
      <c r="AD16" s="5"/>
      <c r="AE16" s="5"/>
      <c r="AF16" s="5"/>
      <c r="AG16" s="5"/>
      <c r="AH16" s="5"/>
      <c r="AI16" s="5"/>
      <c r="AJ16" s="5"/>
      <c r="AK16" s="5"/>
      <c r="AL16" s="5"/>
      <c r="AM16" s="5"/>
      <c r="AN16" s="45">
        <f>IFERROR((s_TR/(up_RadSpec!E16*s_IFS_far_adj*(1/1000)))*1,".")</f>
        <v>3.3057851239669421E-8</v>
      </c>
      <c r="AO16" s="45">
        <f>IFERROR(IF(A16="H-3",(s_TR/(up_RadSpec!F16*s_IFA_far_adj*(1/17)*1000))*1,(s_TR/(up_RadSpec!F16*s_IFA_far_adj*(1/s_PEF_wind)*1000))*1),".")</f>
        <v>3.0899917851942918E-4</v>
      </c>
      <c r="AP16" s="45">
        <f>IFERROR((s_TR/(up_RadSpec!G16*s_EF_far*(1/365)*s_ED_far*up_RadSpec!R16*((s_ET_far_o*(1/24)*up_RadSpec!W16)+(s_ET_far_i*(1/24)*up_RadSpec!AB16))))*1,".")</f>
        <v>0.31872758459379402</v>
      </c>
      <c r="AQ16" s="45">
        <f>up_b2s!BC16</f>
        <v>3.2968835384132272E-12</v>
      </c>
      <c r="AR16" s="45">
        <f>IFERROR(((J16*up_RadSpec!AU16)/up_RadSpec!AJ16)*1,".")</f>
        <v>6.6115702479338848E-11</v>
      </c>
      <c r="AS16" s="45">
        <f>IFERROR(((K16*up_RadSpec!AU16)/up_RadSpec!AK16)*1,".")</f>
        <v>6.6115702479338848E-11</v>
      </c>
      <c r="AT16" s="45">
        <f>IFERROR((G16/(up_RadSpec!AI16*((s_Q_p_beef*s_f_p_beef*s_f_s_beef*(up_RadSpec!BD16+s_R_es_past))+(s_Q_s_beef*s_f_p_beef))))*1,".")</f>
        <v>1.8558793678410904E-14</v>
      </c>
      <c r="AU16" s="45">
        <f>IFERROR(((H16*s_D_milk)/(up_RadSpec!AH16*((s_Q_p_dairy*s_f_p_dairy*s_f_s_dairy*(up_RadSpec!BD16+s_R_es_past))+(s_Q_s_dairy*s_f_p_dairy))))*1,".")</f>
        <v>1.9115557488763232E-14</v>
      </c>
      <c r="AV16" s="45">
        <f>IFERROR((I16/(up_RadSpec!AN16*((s_Q_p_swine*s_f_p_swine*s_f_s_swine*(up_RadSpec!BD16+s_R_es_past))+(s_Q_s_swine*s_f_p_swine))))*1,".")</f>
        <v>1.8558793678410904E-14</v>
      </c>
      <c r="AW16" s="45">
        <f>IFERROR((E16/(up_RadSpec!AL16*((s_Q_p_poultry*s_f_p_poultry*s_f_s_poultry*(up_RadSpec!BD16+s_R_es_past))+(s_Q_s_poultry*s_f_p_poultry))))*1,".")</f>
        <v>1.8558793678410904E-14</v>
      </c>
      <c r="AX16" s="45">
        <f>IFERROR((F16/(up_RadSpec!AM16*((s_Q_p_poultry*s_f_p_poultry*s_f_s_poultry*(up_RadSpec!BD16+s_R_es_past))+(s_Q_s_poultry*s_f_p_poultry))))*1,".")</f>
        <v>1.8558793678410904E-14</v>
      </c>
      <c r="AY16" s="45">
        <f>IFERROR((L16/(up_RadSpec!AQ16*((s_Q_p_goat*s_f_p_goat*s_f_s_goat*(up_RadSpec!BD16+s_R_es_past))+(s_Q_s_goat*s_f_p_goat))))*1,".")</f>
        <v>1.8558793678410904E-14</v>
      </c>
      <c r="AZ16" s="45">
        <f>IFERROR((N16*s_D_milk/(up_RadSpec!AR16*((s_Q_p_goat_milk*s_f_p_goat_milk*s_f_s_goat_milk*(up_RadSpec!BD16+s_R_es_past))+(s_Q_s_goat_milk*s_f_p_goat_milk))))*1,".")</f>
        <v>1.9115557488763232E-14</v>
      </c>
      <c r="BA16" s="45">
        <f>IFERROR((M16/(up_RadSpec!AO16*((s_Q_p_sheep*s_f_p_sheep*s_f_s_sheep*(up_RadSpec!BD16+s_R_es_past))+(s_Q_s_sheep*s_f_p_sheep))))*1,".")</f>
        <v>1.8558793678410904E-14</v>
      </c>
      <c r="BB16" s="45">
        <f>IFERROR((O16*s_D_milk/(up_RadSpec!AP16*((s_Q_p_sheep_milk*s_f_p_sheep_milk*s_f_s_sheep_milk*(up_RadSpec!BD16+s_R_es_past))+(s_Q_s_sheep_milk*s_f_p_sheep_milk))))*1,".")</f>
        <v>1.9115557488763232E-14</v>
      </c>
      <c r="BC16" s="118">
        <f t="shared" si="11"/>
        <v>30250000</v>
      </c>
      <c r="BD16" s="118">
        <f t="shared" si="11"/>
        <v>3236.2545583179349</v>
      </c>
      <c r="BE16" s="118">
        <f t="shared" si="11"/>
        <v>3.137475538160468</v>
      </c>
      <c r="BF16" s="118">
        <f t="shared" si="11"/>
        <v>303316749999.99994</v>
      </c>
      <c r="BG16" s="118">
        <f t="shared" si="11"/>
        <v>15124999999.999998</v>
      </c>
      <c r="BH16" s="118">
        <f t="shared" si="11"/>
        <v>15124999999.999998</v>
      </c>
      <c r="BI16" s="118">
        <f t="shared" si="11"/>
        <v>53882812500000</v>
      </c>
      <c r="BJ16" s="118">
        <f t="shared" si="11"/>
        <v>52313410194174.758</v>
      </c>
      <c r="BK16" s="118">
        <f t="shared" si="11"/>
        <v>53882812500000</v>
      </c>
      <c r="BL16" s="118">
        <f t="shared" si="11"/>
        <v>53882812500000</v>
      </c>
      <c r="BM16" s="118">
        <f t="shared" si="11"/>
        <v>53882812500000</v>
      </c>
      <c r="BN16" s="118">
        <f t="shared" si="11"/>
        <v>53882812500000</v>
      </c>
      <c r="BO16" s="118">
        <f t="shared" si="11"/>
        <v>52313410194174.758</v>
      </c>
      <c r="BP16" s="118">
        <f t="shared" si="11"/>
        <v>53882812500000</v>
      </c>
      <c r="BQ16" s="118">
        <f t="shared" si="11"/>
        <v>52313410194174.758</v>
      </c>
      <c r="BR16" s="15">
        <f t="shared" si="20"/>
        <v>2.0808592671575478E-15</v>
      </c>
      <c r="BS16" s="40">
        <f t="shared" si="12"/>
        <v>302.5</v>
      </c>
      <c r="BT16" s="40">
        <f t="shared" si="13"/>
        <v>3.2362545583179352E-2</v>
      </c>
      <c r="BU16" s="40">
        <f>IFERROR((s_C*s_EF_far*(1/365)*s_ED_far*up_RadSpec!R16*((s_ET_far_o*(1/24)*up_RadSpec!W16)+(s_ET_far_i*(1/24)*up_RadSpec!AB16))),".")</f>
        <v>3.137475538160468E-5</v>
      </c>
      <c r="BV16" s="40">
        <f>up_b2s!CC16</f>
        <v>3033167.5</v>
      </c>
      <c r="BW16" s="40">
        <f>IFERROR(((s_C*up_RadSpec!AJ16)/up_RadSpec!AU16)*s_IFFI_far_adj*s_CF_far_fish,0)</f>
        <v>151250</v>
      </c>
      <c r="BX16" s="40">
        <f>IFERROR(((s_C*up_RadSpec!AK16)/up_RadSpec!AU16)*s_IFSF_far_adj*s_CF_far_shellfish,0)</f>
        <v>151250</v>
      </c>
      <c r="BY16" s="40">
        <f>(s_C*s_IFB_far_adj*s_CF_far_beef*up_RadSpec!AI16*((s_Q_p_beef*s_f_p_beef*s_f_s_beef*(up_RadSpec!$AT16+s_R_es_past))+(s_Q_s_beef*s_f_p_beef)))</f>
        <v>538828125</v>
      </c>
      <c r="BZ16" s="40">
        <f>(s_C*s_IFD_far_adj*s_CF_far_dairy*up_RadSpec!AH16*1/s_D_milk*((s_Q_p_dairy*s_f_p_dairy*s_f_s_dairy*(up_RadSpec!$AT16+s_R_es_past))+(s_Q_s_dairy*s_f_p_dairy)))</f>
        <v>523134101.94174761</v>
      </c>
      <c r="CA16" s="40">
        <f>(s_C*s_IFSW_far_adj*s_CF_far_swine*up_RadSpec!AN16*((s_Q_p_swine*s_f_p_swine*s_f_s_swine*(up_RadSpec!$AT16+s_R_es_past))+(s_Q_s_swine*s_f_p_swine)))</f>
        <v>538828125</v>
      </c>
      <c r="CB16" s="40">
        <f>(s_C*s_IFP_far_adj*s_CF_far_poultry*up_RadSpec!AL16*((s_Q_p_poultry*s_f_p_poultry*s_f_s_poultry*(up_RadSpec!AT16+s_R_es_past))+(s_Q_s_poultry*s_f_p_poultry)))</f>
        <v>538828125</v>
      </c>
      <c r="CC16" s="40">
        <f>(s_C*s_IFE_far_adj*s_CF_far_egg*up_RadSpec!AM16*((s_Q_p_egg*s_f_p_egg*s_f_s_egg*(up_RadSpec!$AT16+s_R_es_past))+(s_Q_s_egg*s_f_p_egg)))</f>
        <v>538828125</v>
      </c>
      <c r="CD16" s="40">
        <f>(s_C*s_IFGO_far_adj*s_CF_far_goat*up_RadSpec!AQ16*((s_Q_p_goat*s_f_p_goat*s_f_s_goat*(up_RadSpec!$AT16+s_R_es_past))+(s_Q_s_goat*s_f_p_goat)))</f>
        <v>538828125</v>
      </c>
      <c r="CE16" s="40">
        <f>(s_C*s_IFGM_far_adj*s_CF_far_goat_milk*up_RadSpec!AR16*1/s_D_milk*((s_Q_p_goat_milk*s_f_p_goat_milk*s_f_s_goat_milk*(up_RadSpec!$AT16+s_R_es_past))+(s_Q_s_goat_milk*s_f_p_goat_milk)))</f>
        <v>523134101.94174761</v>
      </c>
      <c r="CF16" s="40">
        <f>(s_C*s_IFSH_far_adj*s_CF_far_sheep*up_RadSpec!AO16*((s_Q_p_sheep*s_f_p_sheep*s_f_s_sheep*(up_RadSpec!$AT16+s_R_es_past))+(s_Q_s_sheep*s_f_p_sheep)))</f>
        <v>538828125</v>
      </c>
      <c r="CG16" s="40">
        <f>(s_C*s_IFSM_far_adj*s_CF_far_sheep_milk*up_RadSpec!AP16*1/s_D_milk*((s_Q_p_sheep_milk*s_f_p_sheep_milk*s_f_s_sheep_milk*(up_RadSpec!$AT16+s_R_es_past))+(s_Q_s_sheep_milk*s_f_p_sheep_milk)))</f>
        <v>523134101.94174761</v>
      </c>
      <c r="CH16" s="18"/>
      <c r="CI16" s="18"/>
      <c r="CJ16" s="18"/>
      <c r="CK16" s="18"/>
      <c r="CL16" s="18"/>
      <c r="CM16" s="18"/>
      <c r="CN16" s="18"/>
      <c r="CO16" s="18"/>
      <c r="CP16" s="18"/>
      <c r="CQ16" s="18"/>
      <c r="CR16" s="18"/>
      <c r="CS16" s="18"/>
      <c r="CT16" s="18"/>
      <c r="CU16" s="18"/>
      <c r="CV16" s="18"/>
      <c r="CW16" s="5"/>
      <c r="CX16" s="15">
        <f>IFERROR(s_TR/(up_RadSpec!I16*s_IFW_far_adj),".")</f>
        <v>3.6363636363636369E-10</v>
      </c>
      <c r="CY16" s="15" t="str">
        <f>IFERROR(IF(AND(up_RadSpec!C16=1,up_RadSpec!D16&lt;&gt;0),s_TR/(up_RadSpec!F16*s_IFA_far_adj*s_K*up_RadSpec!D16),"."),".")</f>
        <v>.</v>
      </c>
      <c r="CZ16" s="15">
        <f>IFERROR((s_TR/(up_RadSpec!M16*(1/8760)*s_DFA_far_adj)),".")</f>
        <v>3.9818181818181825E-6</v>
      </c>
      <c r="DA16" s="15">
        <f>up_b2w!BC16</f>
        <v>1.6443412786038031E-11</v>
      </c>
      <c r="DB16" s="15">
        <f>IFERROR(J16/(up_RadSpec!AJ16*(1/1000)),".")</f>
        <v>1.322314049586777E-8</v>
      </c>
      <c r="DC16" s="15">
        <f>IFERROR(K16/(up_RadSpec!AK16*(1/1000)),".")</f>
        <v>1.322314049586777E-8</v>
      </c>
      <c r="DD16" s="15">
        <f>IFERROR(G16/(up_RadSpec!AI16*s_Q_w_beef*(1/1000)),".")</f>
        <v>2.6446280991735539E-9</v>
      </c>
      <c r="DE16" s="15">
        <f>IFERROR((H16*s_D_milk)/(up_RadSpec!AH16*s_Q_w_dairy*(1/1000)),".")</f>
        <v>2.7239669421487605E-9</v>
      </c>
      <c r="DF16" s="15">
        <f>IFERROR(I16/(up_RadSpec!AN16*s_Q_w_swine*(1/1000)),".")</f>
        <v>2.6446280991735539E-9</v>
      </c>
      <c r="DG16" s="15">
        <f>IFERROR(E16/(up_RadSpec!AL16*s_Q_w_poultry*(1/1000)),".")</f>
        <v>2.6446280991735539E-9</v>
      </c>
      <c r="DH16" s="15">
        <f>IFERROR(F16/(up_RadSpec!AM16*s_Q_w_poultry*(1/1000)),".")</f>
        <v>2.6446280991735539E-9</v>
      </c>
      <c r="DI16" s="15">
        <f>IFERROR(L16/(up_RadSpec!AQ16*s_Q_w_goat*(1/1000)),".")</f>
        <v>2.6446280991735539E-9</v>
      </c>
      <c r="DJ16" s="15">
        <f>IFERROR(N16*s_D_milk/(up_RadSpec!AR16*s_Q_w_goat_milk*(1/1000)),".")</f>
        <v>2.7239669421487605E-9</v>
      </c>
      <c r="DK16" s="15">
        <f>IFERROR(M16/(up_RadSpec!AO16*s_Q_w_sheep*(1/1000)),".")</f>
        <v>2.6446280991735539E-9</v>
      </c>
      <c r="DL16" s="15">
        <f>IFERROR(O16*s_D_milk/(up_RadSpec!AP16*s_Q_w_sheep_milk*(1/1000)),".")</f>
        <v>2.7239669421487605E-9</v>
      </c>
      <c r="DM16" s="118">
        <f t="shared" si="14"/>
        <v>2749999999.9999995</v>
      </c>
      <c r="DN16" s="118" t="str">
        <f t="shared" si="14"/>
        <v>.</v>
      </c>
      <c r="DO16" s="118">
        <f t="shared" si="14"/>
        <v>251141.55251141547</v>
      </c>
      <c r="DP16" s="118">
        <f t="shared" si="14"/>
        <v>60814626076.229866</v>
      </c>
      <c r="DQ16" s="118">
        <f t="shared" si="14"/>
        <v>75624999.999999985</v>
      </c>
      <c r="DR16" s="118">
        <f t="shared" si="14"/>
        <v>75624999.999999985</v>
      </c>
      <c r="DS16" s="118">
        <f t="shared" si="14"/>
        <v>378124999.99999994</v>
      </c>
      <c r="DT16" s="118">
        <f t="shared" si="14"/>
        <v>367111650.48543686</v>
      </c>
      <c r="DU16" s="118">
        <f t="shared" si="14"/>
        <v>378124999.99999994</v>
      </c>
      <c r="DV16" s="118">
        <f t="shared" si="14"/>
        <v>378124999.99999994</v>
      </c>
      <c r="DW16" s="118">
        <f t="shared" si="14"/>
        <v>378124999.99999994</v>
      </c>
      <c r="DX16" s="118">
        <f t="shared" si="14"/>
        <v>378124999.99999994</v>
      </c>
      <c r="DY16" s="118">
        <f t="shared" si="14"/>
        <v>367111650.48543686</v>
      </c>
      <c r="DZ16" s="118">
        <f t="shared" si="14"/>
        <v>378124999.99999994</v>
      </c>
      <c r="EA16" s="118">
        <f t="shared" si="14"/>
        <v>367111650.48543686</v>
      </c>
      <c r="EB16" s="15">
        <f t="shared" si="21"/>
        <v>1.4906192608956601E-11</v>
      </c>
      <c r="EC16" s="40">
        <f t="shared" si="15"/>
        <v>27500</v>
      </c>
      <c r="ED16" s="40">
        <f>IF(up_RadSpec!D16&lt;&gt;"",s_C*s_IFA_far_adj*s_K*up_RadSpec!D16,0)</f>
        <v>0</v>
      </c>
      <c r="EE16" s="40">
        <f t="shared" si="16"/>
        <v>2.5114155251141552</v>
      </c>
      <c r="EF16" s="40">
        <f>up_b2w!CC16</f>
        <v>608146.26076229871</v>
      </c>
      <c r="EG16" s="40">
        <f>IFERROR(s_C*up_RadSpec!AJ16*(1/1000)*s_IFFI_far_adj*s_CF_far_fish,0)</f>
        <v>756.25</v>
      </c>
      <c r="EH16" s="40">
        <f>IFERROR(s_C*up_RadSpec!AK16*(1/1000)*s_IFSF_far_adj*s_CF_far_shellfish,0)</f>
        <v>756.25</v>
      </c>
      <c r="EI16" s="40">
        <f>(s_C*s_IFB_far_adj*s_CF_far_beef*up_RadSpec!AI16*s_Q_w_beef*(1/1000))</f>
        <v>3781.25</v>
      </c>
      <c r="EJ16" s="40">
        <f>(s_C*s_IFD_far_adj*s_CF_far_dairy*up_RadSpec!AH16*(1/s_D_milk)*s_Q_w_dairy*(1/1000))</f>
        <v>3671.1165048543689</v>
      </c>
      <c r="EK16" s="40">
        <f>(s_C*s_IFSW_far_adj*s_CF_far_swine*up_RadSpec!AN16*s_Q_w_swine*(1/1000))</f>
        <v>3781.25</v>
      </c>
      <c r="EL16" s="40">
        <f>(s_C*s_IFP_far_adj*s_CF_far_poultry*up_RadSpec!AL16*s_Q_w_poultry*(1/1000))</f>
        <v>3781.25</v>
      </c>
      <c r="EM16" s="40">
        <f>(s_C*s_IFE_far_adj*s_CF_far_egg*up_RadSpec!AM16*s_Q_w_egg*(1/1000))</f>
        <v>3781.25</v>
      </c>
      <c r="EN16" s="40">
        <f>(s_C*s_IFGO_far_adj*s_CF_far_goat*up_RadSpec!AQ16*s_Q_p_goat*(1/1000))</f>
        <v>3781.25</v>
      </c>
      <c r="EO16" s="40">
        <f>(s_C*s_IFGM_far_adj*s_CF_far_goat_milk*up_RadSpec!AR16*(1/s_D_milk)*s_Q_p_goat_milk*(1/1000))</f>
        <v>3671.1165048543689</v>
      </c>
      <c r="EP16" s="40">
        <f>(s_C*s_IFSH_far_adj*s_CF_far_sheep*up_RadSpec!AO16*s_Q_p_sheep*(1/1000))</f>
        <v>3781.25</v>
      </c>
      <c r="EQ16" s="40">
        <f>(s_C*s_IFSM_far_adj*s_CF_far_sheep_milk*up_RadSpec!AP16*(1/s_D_milk)*s_Q_p_sheep_milk*(1/1000))</f>
        <v>3671.1165048543689</v>
      </c>
      <c r="ER16" s="18"/>
      <c r="ES16" s="18"/>
      <c r="ET16" s="18"/>
      <c r="EU16" s="18"/>
      <c r="EV16" s="18"/>
      <c r="EW16" s="18"/>
      <c r="EX16" s="18"/>
      <c r="EY16" s="18"/>
      <c r="EZ16" s="18"/>
      <c r="FA16" s="18"/>
      <c r="FB16" s="18"/>
      <c r="FC16" s="18"/>
      <c r="FD16" s="18"/>
      <c r="FE16" s="18"/>
      <c r="FF16" s="18"/>
      <c r="FG16" s="5"/>
      <c r="FH16" s="15">
        <f>IFERROR((s_TR/(up_RadSpec!F16*s_IFA_far_adj)),".")</f>
        <v>9.9740259740259755E-10</v>
      </c>
      <c r="FI16" s="15">
        <f>IFERROR((s_TR/(up_RadSpec!K16*s_EF_far*(1/365)*s_ED_far*s_ET_far*(1/24)*s_GSF_a)),".")</f>
        <v>6.3709090909090908E-6</v>
      </c>
      <c r="FJ16" s="15">
        <f t="shared" si="22"/>
        <v>9.9724647271019672E-10</v>
      </c>
      <c r="FK16" s="40">
        <f t="shared" si="18"/>
        <v>10026.041666666666</v>
      </c>
      <c r="FL16" s="40">
        <f t="shared" si="19"/>
        <v>1.5696347031963471</v>
      </c>
      <c r="FM16" s="120"/>
      <c r="FN16" s="120"/>
      <c r="FO16" s="120"/>
    </row>
    <row r="17" spans="1:171" customFormat="1" x14ac:dyDescent="0.25">
      <c r="A17" s="44" t="s">
        <v>27</v>
      </c>
      <c r="B17" s="42" t="s">
        <v>1071</v>
      </c>
      <c r="C17" s="249"/>
      <c r="D17" s="15">
        <f>up_dir!AC17</f>
        <v>1.6528925619834712E-11</v>
      </c>
      <c r="E17" s="15">
        <f>IFERROR(s_TR/(up_RadSpec!H17*s_IFP_far_adj*s_CF_far_poultry),".")</f>
        <v>6.6115702479338848E-11</v>
      </c>
      <c r="F17" s="15">
        <f>IFERROR(s_TR/(up_RadSpec!H17*s_IFE_far_adj*s_CF_far_egg),".")</f>
        <v>6.6115702479338848E-11</v>
      </c>
      <c r="G17" s="15">
        <f>IFERROR(s_TR/(up_RadSpec!H17*s_IFB_far_adj*s_CF_far_beef),".")</f>
        <v>6.6115702479338848E-11</v>
      </c>
      <c r="H17" s="15">
        <f>IFERROR(s_TR/(up_RadSpec!H17*s_IFD_far_adj*s_CF_far_dairy),".")</f>
        <v>6.6115702479338848E-11</v>
      </c>
      <c r="I17" s="15">
        <f>IFERROR(s_TR/(up_RadSpec!H17*s_IFSW_far_adj*s_CF_far_swine),".")</f>
        <v>6.6115702479338848E-11</v>
      </c>
      <c r="J17" s="15">
        <f>IFERROR(s_TR/(up_RadSpec!H17*s_IFFI_far_adj*s_CF_far_fish),".")</f>
        <v>6.6115702479338848E-11</v>
      </c>
      <c r="K17" s="15">
        <f>IFERROR(s_TR/(up_RadSpec!H17*s_IFSF_far_adj*s_CF_far_shellfish),".")</f>
        <v>6.6115702479338848E-11</v>
      </c>
      <c r="L17" s="15">
        <f>IFERROR(s_TR/(up_RadSpec!H17*s_IFGO_far_adj*s_CF_far_goat),".")</f>
        <v>6.6115702479338848E-11</v>
      </c>
      <c r="M17" s="15">
        <f>IFERROR(s_TR/(up_RadSpec!H17*s_IFSH_far_adj*s_CF_far_sheep),".")</f>
        <v>6.6115702479338848E-11</v>
      </c>
      <c r="N17" s="15">
        <f>IFERROR(s_TR/(up_RadSpec!H17*s_IFGM_far_adj*s_CF_far_goat_milk),".")</f>
        <v>6.6115702479338848E-11</v>
      </c>
      <c r="O17" s="15">
        <f>IFERROR(s_TR/(up_RadSpec!H17*s_IFSM_far_adj*s_CF_far_sheep_milk),".")</f>
        <v>6.6115702479338848E-11</v>
      </c>
      <c r="P17" s="40">
        <f>up_dir!BC17</f>
        <v>605000</v>
      </c>
      <c r="Q17" s="40">
        <f t="shared" si="0"/>
        <v>151250</v>
      </c>
      <c r="R17" s="40">
        <f t="shared" si="1"/>
        <v>151250</v>
      </c>
      <c r="S17" s="40">
        <f t="shared" si="2"/>
        <v>151250</v>
      </c>
      <c r="T17" s="40">
        <f t="shared" si="3"/>
        <v>151250</v>
      </c>
      <c r="U17" s="40">
        <f t="shared" si="4"/>
        <v>151250</v>
      </c>
      <c r="V17" s="40">
        <f t="shared" si="5"/>
        <v>151250</v>
      </c>
      <c r="W17" s="40">
        <f t="shared" si="6"/>
        <v>151250</v>
      </c>
      <c r="X17" s="40">
        <f t="shared" si="7"/>
        <v>151250</v>
      </c>
      <c r="Y17" s="40">
        <f t="shared" si="8"/>
        <v>151250</v>
      </c>
      <c r="Z17" s="40">
        <f t="shared" si="9"/>
        <v>151250</v>
      </c>
      <c r="AA17" s="40">
        <f t="shared" si="10"/>
        <v>151250</v>
      </c>
      <c r="AB17" s="5"/>
      <c r="AC17" s="5"/>
      <c r="AD17" s="5"/>
      <c r="AE17" s="5"/>
      <c r="AF17" s="5"/>
      <c r="AG17" s="5"/>
      <c r="AH17" s="5"/>
      <c r="AI17" s="5"/>
      <c r="AJ17" s="5"/>
      <c r="AK17" s="5"/>
      <c r="AL17" s="5"/>
      <c r="AM17" s="5"/>
      <c r="AN17" s="45">
        <f>IFERROR((s_TR/(up_RadSpec!E17*s_IFS_far_adj*(1/1000)))*1,".")</f>
        <v>3.3057851239669421E-8</v>
      </c>
      <c r="AO17" s="45">
        <f>IFERROR(IF(A17="H-3",(s_TR/(up_RadSpec!F17*s_IFA_far_adj*(1/17)*1000))*1,(s_TR/(up_RadSpec!F17*s_IFA_far_adj*(1/s_PEF_wind)*1000))*1),".")</f>
        <v>3.0899917851942918E-4</v>
      </c>
      <c r="AP17" s="45">
        <f>IFERROR((s_TR/(up_RadSpec!G17*s_EF_far*(1/365)*s_ED_far*up_RadSpec!R17*((s_ET_far_o*(1/24)*up_RadSpec!W17)+(s_ET_far_i*(1/24)*up_RadSpec!AB17))))*1,".")</f>
        <v>2.9303423848878386E-5</v>
      </c>
      <c r="AQ17" s="45">
        <f>up_b2s!BC17</f>
        <v>3.2968835384132272E-12</v>
      </c>
      <c r="AR17" s="45">
        <f>IFERROR(((J17*up_RadSpec!AU17)/up_RadSpec!AJ17)*1,".")</f>
        <v>6.6115702479338848E-11</v>
      </c>
      <c r="AS17" s="45">
        <f>IFERROR(((K17*up_RadSpec!AU17)/up_RadSpec!AK17)*1,".")</f>
        <v>6.6115702479338848E-11</v>
      </c>
      <c r="AT17" s="45">
        <f>IFERROR((G17/(up_RadSpec!AI17*((s_Q_p_beef*s_f_p_beef*s_f_s_beef*(up_RadSpec!BD17+s_R_es_past))+(s_Q_s_beef*s_f_p_beef))))*1,".")</f>
        <v>1.8558793678410904E-14</v>
      </c>
      <c r="AU17" s="45">
        <f>IFERROR(((H17*s_D_milk)/(up_RadSpec!AH17*((s_Q_p_dairy*s_f_p_dairy*s_f_s_dairy*(up_RadSpec!BD17+s_R_es_past))+(s_Q_s_dairy*s_f_p_dairy))))*1,".")</f>
        <v>1.9115557488763232E-14</v>
      </c>
      <c r="AV17" s="45">
        <f>IFERROR((I17/(up_RadSpec!AN17*((s_Q_p_swine*s_f_p_swine*s_f_s_swine*(up_RadSpec!BD17+s_R_es_past))+(s_Q_s_swine*s_f_p_swine))))*1,".")</f>
        <v>1.8558793678410904E-14</v>
      </c>
      <c r="AW17" s="45">
        <f>IFERROR((E17/(up_RadSpec!AL17*((s_Q_p_poultry*s_f_p_poultry*s_f_s_poultry*(up_RadSpec!BD17+s_R_es_past))+(s_Q_s_poultry*s_f_p_poultry))))*1,".")</f>
        <v>1.8558793678410904E-14</v>
      </c>
      <c r="AX17" s="45">
        <f>IFERROR((F17/(up_RadSpec!AM17*((s_Q_p_poultry*s_f_p_poultry*s_f_s_poultry*(up_RadSpec!BD17+s_R_es_past))+(s_Q_s_poultry*s_f_p_poultry))))*1,".")</f>
        <v>1.8558793678410904E-14</v>
      </c>
      <c r="AY17" s="45">
        <f>IFERROR((L17/(up_RadSpec!AQ17*((s_Q_p_goat*s_f_p_goat*s_f_s_goat*(up_RadSpec!BD17+s_R_es_past))+(s_Q_s_goat*s_f_p_goat))))*1,".")</f>
        <v>1.8558793678410904E-14</v>
      </c>
      <c r="AZ17" s="45">
        <f>IFERROR((N17*s_D_milk/(up_RadSpec!AR17*((s_Q_p_goat_milk*s_f_p_goat_milk*s_f_s_goat_milk*(up_RadSpec!BD17+s_R_es_past))+(s_Q_s_goat_milk*s_f_p_goat_milk))))*1,".")</f>
        <v>1.9115557488763232E-14</v>
      </c>
      <c r="BA17" s="45">
        <f>IFERROR((M17/(up_RadSpec!AO17*((s_Q_p_sheep*s_f_p_sheep*s_f_s_sheep*(up_RadSpec!BD17+s_R_es_past))+(s_Q_s_sheep*s_f_p_sheep))))*1,".")</f>
        <v>1.8558793678410904E-14</v>
      </c>
      <c r="BB17" s="45">
        <f>IFERROR((O17*s_D_milk/(up_RadSpec!AP17*((s_Q_p_sheep_milk*s_f_p_sheep_milk*s_f_s_sheep_milk*(up_RadSpec!BD17+s_R_es_past))+(s_Q_s_sheep_milk*s_f_p_sheep_milk))))*1,".")</f>
        <v>1.9115557488763232E-14</v>
      </c>
      <c r="BC17" s="118">
        <f t="shared" si="11"/>
        <v>30250000</v>
      </c>
      <c r="BD17" s="118">
        <f t="shared" si="11"/>
        <v>3236.2545583179349</v>
      </c>
      <c r="BE17" s="118">
        <f t="shared" si="11"/>
        <v>34125.705076551181</v>
      </c>
      <c r="BF17" s="118">
        <f t="shared" si="11"/>
        <v>303316749999.99994</v>
      </c>
      <c r="BG17" s="118">
        <f t="shared" si="11"/>
        <v>15124999999.999998</v>
      </c>
      <c r="BH17" s="118">
        <f t="shared" si="11"/>
        <v>15124999999.999998</v>
      </c>
      <c r="BI17" s="118">
        <f t="shared" si="11"/>
        <v>53882812500000</v>
      </c>
      <c r="BJ17" s="118">
        <f t="shared" si="11"/>
        <v>52313410194174.758</v>
      </c>
      <c r="BK17" s="118">
        <f t="shared" si="11"/>
        <v>53882812500000</v>
      </c>
      <c r="BL17" s="118">
        <f t="shared" si="11"/>
        <v>53882812500000</v>
      </c>
      <c r="BM17" s="118">
        <f t="shared" si="11"/>
        <v>53882812500000</v>
      </c>
      <c r="BN17" s="118">
        <f t="shared" si="11"/>
        <v>53882812500000</v>
      </c>
      <c r="BO17" s="118">
        <f t="shared" si="11"/>
        <v>52313410194174.758</v>
      </c>
      <c r="BP17" s="118">
        <f t="shared" si="11"/>
        <v>53882812500000</v>
      </c>
      <c r="BQ17" s="118">
        <f t="shared" si="11"/>
        <v>52313410194174.758</v>
      </c>
      <c r="BR17" s="15">
        <f t="shared" si="20"/>
        <v>2.0808592670097977E-15</v>
      </c>
      <c r="BS17" s="40">
        <f t="shared" si="12"/>
        <v>302.5</v>
      </c>
      <c r="BT17" s="40">
        <f t="shared" si="13"/>
        <v>3.2362545583179352E-2</v>
      </c>
      <c r="BU17" s="40">
        <f>IFERROR((s_C*s_EF_far*(1/365)*s_ED_far*up_RadSpec!R17*((s_ET_far_o*(1/24)*up_RadSpec!W17)+(s_ET_far_i*(1/24)*up_RadSpec!AB17))),".")</f>
        <v>0.34125705076551183</v>
      </c>
      <c r="BV17" s="40">
        <f>up_b2s!CC17</f>
        <v>3033167.5</v>
      </c>
      <c r="BW17" s="40">
        <f>IFERROR(((s_C*up_RadSpec!AJ17)/up_RadSpec!AU17)*s_IFFI_far_adj*s_CF_far_fish,0)</f>
        <v>151250</v>
      </c>
      <c r="BX17" s="40">
        <f>IFERROR(((s_C*up_RadSpec!AK17)/up_RadSpec!AU17)*s_IFSF_far_adj*s_CF_far_shellfish,0)</f>
        <v>151250</v>
      </c>
      <c r="BY17" s="40">
        <f>(s_C*s_IFB_far_adj*s_CF_far_beef*up_RadSpec!AI17*((s_Q_p_beef*s_f_p_beef*s_f_s_beef*(up_RadSpec!$AT17+s_R_es_past))+(s_Q_s_beef*s_f_p_beef)))</f>
        <v>538828125</v>
      </c>
      <c r="BZ17" s="40">
        <f>(s_C*s_IFD_far_adj*s_CF_far_dairy*up_RadSpec!AH17*1/s_D_milk*((s_Q_p_dairy*s_f_p_dairy*s_f_s_dairy*(up_RadSpec!$AT17+s_R_es_past))+(s_Q_s_dairy*s_f_p_dairy)))</f>
        <v>523134101.94174761</v>
      </c>
      <c r="CA17" s="40">
        <f>(s_C*s_IFSW_far_adj*s_CF_far_swine*up_RadSpec!AN17*((s_Q_p_swine*s_f_p_swine*s_f_s_swine*(up_RadSpec!$AT17+s_R_es_past))+(s_Q_s_swine*s_f_p_swine)))</f>
        <v>538828125</v>
      </c>
      <c r="CB17" s="40">
        <f>(s_C*s_IFP_far_adj*s_CF_far_poultry*up_RadSpec!AL17*((s_Q_p_poultry*s_f_p_poultry*s_f_s_poultry*(up_RadSpec!AT17+s_R_es_past))+(s_Q_s_poultry*s_f_p_poultry)))</f>
        <v>538828125</v>
      </c>
      <c r="CC17" s="40">
        <f>(s_C*s_IFE_far_adj*s_CF_far_egg*up_RadSpec!AM17*((s_Q_p_egg*s_f_p_egg*s_f_s_egg*(up_RadSpec!$AT17+s_R_es_past))+(s_Q_s_egg*s_f_p_egg)))</f>
        <v>538828125</v>
      </c>
      <c r="CD17" s="40">
        <f>(s_C*s_IFGO_far_adj*s_CF_far_goat*up_RadSpec!AQ17*((s_Q_p_goat*s_f_p_goat*s_f_s_goat*(up_RadSpec!$AT17+s_R_es_past))+(s_Q_s_goat*s_f_p_goat)))</f>
        <v>538828125</v>
      </c>
      <c r="CE17" s="40">
        <f>(s_C*s_IFGM_far_adj*s_CF_far_goat_milk*up_RadSpec!AR17*1/s_D_milk*((s_Q_p_goat_milk*s_f_p_goat_milk*s_f_s_goat_milk*(up_RadSpec!$AT17+s_R_es_past))+(s_Q_s_goat_milk*s_f_p_goat_milk)))</f>
        <v>523134101.94174761</v>
      </c>
      <c r="CF17" s="40">
        <f>(s_C*s_IFSH_far_adj*s_CF_far_sheep*up_RadSpec!AO17*((s_Q_p_sheep*s_f_p_sheep*s_f_s_sheep*(up_RadSpec!$AT17+s_R_es_past))+(s_Q_s_sheep*s_f_p_sheep)))</f>
        <v>538828125</v>
      </c>
      <c r="CG17" s="40">
        <f>(s_C*s_IFSM_far_adj*s_CF_far_sheep_milk*up_RadSpec!AP17*1/s_D_milk*((s_Q_p_sheep_milk*s_f_p_sheep_milk*s_f_s_sheep_milk*(up_RadSpec!$AT17+s_R_es_past))+(s_Q_s_sheep_milk*s_f_p_sheep_milk)))</f>
        <v>523134101.94174761</v>
      </c>
      <c r="CH17" s="18"/>
      <c r="CI17" s="18"/>
      <c r="CJ17" s="18"/>
      <c r="CK17" s="18"/>
      <c r="CL17" s="18"/>
      <c r="CM17" s="18"/>
      <c r="CN17" s="18"/>
      <c r="CO17" s="18"/>
      <c r="CP17" s="18"/>
      <c r="CQ17" s="18"/>
      <c r="CR17" s="18"/>
      <c r="CS17" s="18"/>
      <c r="CT17" s="18"/>
      <c r="CU17" s="18"/>
      <c r="CV17" s="18"/>
      <c r="CW17" s="5"/>
      <c r="CX17" s="15">
        <f>IFERROR(s_TR/(up_RadSpec!I17*s_IFW_far_adj),".")</f>
        <v>3.6363636363636369E-10</v>
      </c>
      <c r="CY17" s="15">
        <f>IFERROR(IF(AND(up_RadSpec!C17=1,up_RadSpec!D17&lt;&gt;0),s_TR/(up_RadSpec!F17*s_IFA_far_adj*s_K*up_RadSpec!D17),"."),".")</f>
        <v>1.15609920856568E-8</v>
      </c>
      <c r="CZ17" s="15">
        <f>IFERROR((s_TR/(up_RadSpec!M17*(1/8760)*s_DFA_far_adj)),".")</f>
        <v>3.9818181818181825E-6</v>
      </c>
      <c r="DA17" s="15">
        <f>up_b2w!BC17</f>
        <v>1.6443412786038031E-11</v>
      </c>
      <c r="DB17" s="15">
        <f>IFERROR(J17/(up_RadSpec!AJ17*(1/1000)),".")</f>
        <v>1.322314049586777E-8</v>
      </c>
      <c r="DC17" s="15">
        <f>IFERROR(K17/(up_RadSpec!AK17*(1/1000)),".")</f>
        <v>1.322314049586777E-8</v>
      </c>
      <c r="DD17" s="15">
        <f>IFERROR(G17/(up_RadSpec!AI17*s_Q_w_beef*(1/1000)),".")</f>
        <v>2.6446280991735539E-9</v>
      </c>
      <c r="DE17" s="15">
        <f>IFERROR((H17*s_D_milk)/(up_RadSpec!AH17*s_Q_w_dairy*(1/1000)),".")</f>
        <v>2.7239669421487605E-9</v>
      </c>
      <c r="DF17" s="15">
        <f>IFERROR(I17/(up_RadSpec!AN17*s_Q_w_swine*(1/1000)),".")</f>
        <v>2.6446280991735539E-9</v>
      </c>
      <c r="DG17" s="15">
        <f>IFERROR(E17/(up_RadSpec!AL17*s_Q_w_poultry*(1/1000)),".")</f>
        <v>2.6446280991735539E-9</v>
      </c>
      <c r="DH17" s="15">
        <f>IFERROR(F17/(up_RadSpec!AM17*s_Q_w_poultry*(1/1000)),".")</f>
        <v>2.6446280991735539E-9</v>
      </c>
      <c r="DI17" s="15">
        <f>IFERROR(L17/(up_RadSpec!AQ17*s_Q_w_goat*(1/1000)),".")</f>
        <v>2.6446280991735539E-9</v>
      </c>
      <c r="DJ17" s="15">
        <f>IFERROR(N17*s_D_milk/(up_RadSpec!AR17*s_Q_w_goat_milk*(1/1000)),".")</f>
        <v>2.7239669421487605E-9</v>
      </c>
      <c r="DK17" s="15">
        <f>IFERROR(M17/(up_RadSpec!AO17*s_Q_w_sheep*(1/1000)),".")</f>
        <v>2.6446280991735539E-9</v>
      </c>
      <c r="DL17" s="15">
        <f>IFERROR(O17*s_D_milk/(up_RadSpec!AP17*s_Q_w_sheep_milk*(1/1000)),".")</f>
        <v>2.7239669421487605E-9</v>
      </c>
      <c r="DM17" s="118">
        <f t="shared" si="14"/>
        <v>2749999999.9999995</v>
      </c>
      <c r="DN17" s="118">
        <f t="shared" si="14"/>
        <v>86497767.024739578</v>
      </c>
      <c r="DO17" s="118">
        <f t="shared" si="14"/>
        <v>251141.55251141547</v>
      </c>
      <c r="DP17" s="118">
        <f t="shared" si="14"/>
        <v>60814626076.229866</v>
      </c>
      <c r="DQ17" s="118">
        <f t="shared" si="14"/>
        <v>75624999.999999985</v>
      </c>
      <c r="DR17" s="118">
        <f t="shared" si="14"/>
        <v>75624999.999999985</v>
      </c>
      <c r="DS17" s="118">
        <f t="shared" si="14"/>
        <v>378124999.99999994</v>
      </c>
      <c r="DT17" s="118">
        <f t="shared" si="14"/>
        <v>367111650.48543686</v>
      </c>
      <c r="DU17" s="118">
        <f t="shared" si="14"/>
        <v>378124999.99999994</v>
      </c>
      <c r="DV17" s="118">
        <f t="shared" si="14"/>
        <v>378124999.99999994</v>
      </c>
      <c r="DW17" s="118">
        <f t="shared" si="14"/>
        <v>378124999.99999994</v>
      </c>
      <c r="DX17" s="118">
        <f t="shared" si="14"/>
        <v>378124999.99999994</v>
      </c>
      <c r="DY17" s="118">
        <f t="shared" si="14"/>
        <v>367111650.48543686</v>
      </c>
      <c r="DZ17" s="118">
        <f t="shared" si="14"/>
        <v>378124999.99999994</v>
      </c>
      <c r="EA17" s="118">
        <f t="shared" si="14"/>
        <v>367111650.48543686</v>
      </c>
      <c r="EB17" s="15">
        <f t="shared" si="21"/>
        <v>1.488699802269175E-11</v>
      </c>
      <c r="EC17" s="40">
        <f t="shared" si="15"/>
        <v>27500</v>
      </c>
      <c r="ED17" s="40">
        <f>IF(up_RadSpec!D17&lt;&gt;"",s_C*s_IFA_far_adj*s_K*up_RadSpec!D17,0)</f>
        <v>864.97767024739585</v>
      </c>
      <c r="EE17" s="40">
        <f t="shared" si="16"/>
        <v>2.5114155251141552</v>
      </c>
      <c r="EF17" s="40">
        <f>up_b2w!CC17</f>
        <v>608146.26076229871</v>
      </c>
      <c r="EG17" s="40">
        <f>IFERROR(s_C*up_RadSpec!AJ17*(1/1000)*s_IFFI_far_adj*s_CF_far_fish,0)</f>
        <v>756.25</v>
      </c>
      <c r="EH17" s="40">
        <f>IFERROR(s_C*up_RadSpec!AK17*(1/1000)*s_IFSF_far_adj*s_CF_far_shellfish,0)</f>
        <v>756.25</v>
      </c>
      <c r="EI17" s="40">
        <f>(s_C*s_IFB_far_adj*s_CF_far_beef*up_RadSpec!AI17*s_Q_w_beef*(1/1000))</f>
        <v>3781.25</v>
      </c>
      <c r="EJ17" s="40">
        <f>(s_C*s_IFD_far_adj*s_CF_far_dairy*up_RadSpec!AH17*(1/s_D_milk)*s_Q_w_dairy*(1/1000))</f>
        <v>3671.1165048543689</v>
      </c>
      <c r="EK17" s="40">
        <f>(s_C*s_IFSW_far_adj*s_CF_far_swine*up_RadSpec!AN17*s_Q_w_swine*(1/1000))</f>
        <v>3781.25</v>
      </c>
      <c r="EL17" s="40">
        <f>(s_C*s_IFP_far_adj*s_CF_far_poultry*up_RadSpec!AL17*s_Q_w_poultry*(1/1000))</f>
        <v>3781.25</v>
      </c>
      <c r="EM17" s="40">
        <f>(s_C*s_IFE_far_adj*s_CF_far_egg*up_RadSpec!AM17*s_Q_w_egg*(1/1000))</f>
        <v>3781.25</v>
      </c>
      <c r="EN17" s="40">
        <f>(s_C*s_IFGO_far_adj*s_CF_far_goat*up_RadSpec!AQ17*s_Q_p_goat*(1/1000))</f>
        <v>3781.25</v>
      </c>
      <c r="EO17" s="40">
        <f>(s_C*s_IFGM_far_adj*s_CF_far_goat_milk*up_RadSpec!AR17*(1/s_D_milk)*s_Q_p_goat_milk*(1/1000))</f>
        <v>3671.1165048543689</v>
      </c>
      <c r="EP17" s="40">
        <f>(s_C*s_IFSH_far_adj*s_CF_far_sheep*up_RadSpec!AO17*s_Q_p_sheep*(1/1000))</f>
        <v>3781.25</v>
      </c>
      <c r="EQ17" s="40">
        <f>(s_C*s_IFSM_far_adj*s_CF_far_sheep_milk*up_RadSpec!AP17*(1/s_D_milk)*s_Q_p_sheep_milk*(1/1000))</f>
        <v>3671.1165048543689</v>
      </c>
      <c r="ER17" s="18"/>
      <c r="ES17" s="18"/>
      <c r="ET17" s="18"/>
      <c r="EU17" s="18"/>
      <c r="EV17" s="18"/>
      <c r="EW17" s="18"/>
      <c r="EX17" s="18"/>
      <c r="EY17" s="18"/>
      <c r="EZ17" s="18"/>
      <c r="FA17" s="18"/>
      <c r="FB17" s="18"/>
      <c r="FC17" s="18"/>
      <c r="FD17" s="18"/>
      <c r="FE17" s="18"/>
      <c r="FF17" s="18"/>
      <c r="FG17" s="5"/>
      <c r="FH17" s="15">
        <f>IFERROR((s_TR/(up_RadSpec!F17*s_IFA_far_adj)),".")</f>
        <v>9.9740259740259755E-10</v>
      </c>
      <c r="FI17" s="15">
        <f>IFERROR((s_TR/(up_RadSpec!K17*s_EF_far*(1/365)*s_ED_far*s_ET_far*(1/24)*s_GSF_a)),".")</f>
        <v>6.3709090909090908E-6</v>
      </c>
      <c r="FJ17" s="15">
        <f t="shared" si="22"/>
        <v>9.9724647271019672E-10</v>
      </c>
      <c r="FK17" s="40">
        <f t="shared" si="18"/>
        <v>10026.041666666666</v>
      </c>
      <c r="FL17" s="40">
        <f t="shared" si="19"/>
        <v>1.5696347031963471</v>
      </c>
      <c r="FM17" s="120"/>
      <c r="FN17" s="120"/>
      <c r="FO17" s="120"/>
    </row>
    <row r="18" spans="1:171" customFormat="1" x14ac:dyDescent="0.25">
      <c r="A18" s="44" t="s">
        <v>28</v>
      </c>
      <c r="B18" s="42" t="s">
        <v>1071</v>
      </c>
      <c r="C18" s="249"/>
      <c r="D18" s="15">
        <f>up_dir!AC18</f>
        <v>1.6528925619834712E-11</v>
      </c>
      <c r="E18" s="15">
        <f>IFERROR(s_TR/(up_RadSpec!H18*s_IFP_far_adj*s_CF_far_poultry),".")</f>
        <v>6.6115702479338848E-11</v>
      </c>
      <c r="F18" s="15">
        <f>IFERROR(s_TR/(up_RadSpec!H18*s_IFE_far_adj*s_CF_far_egg),".")</f>
        <v>6.6115702479338848E-11</v>
      </c>
      <c r="G18" s="15">
        <f>IFERROR(s_TR/(up_RadSpec!H18*s_IFB_far_adj*s_CF_far_beef),".")</f>
        <v>6.6115702479338848E-11</v>
      </c>
      <c r="H18" s="15">
        <f>IFERROR(s_TR/(up_RadSpec!H18*s_IFD_far_adj*s_CF_far_dairy),".")</f>
        <v>6.6115702479338848E-11</v>
      </c>
      <c r="I18" s="15">
        <f>IFERROR(s_TR/(up_RadSpec!H18*s_IFSW_far_adj*s_CF_far_swine),".")</f>
        <v>6.6115702479338848E-11</v>
      </c>
      <c r="J18" s="15">
        <f>IFERROR(s_TR/(up_RadSpec!H18*s_IFFI_far_adj*s_CF_far_fish),".")</f>
        <v>6.6115702479338848E-11</v>
      </c>
      <c r="K18" s="15">
        <f>IFERROR(s_TR/(up_RadSpec!H18*s_IFSF_far_adj*s_CF_far_shellfish),".")</f>
        <v>6.6115702479338848E-11</v>
      </c>
      <c r="L18" s="15">
        <f>IFERROR(s_TR/(up_RadSpec!H18*s_IFGO_far_adj*s_CF_far_goat),".")</f>
        <v>6.6115702479338848E-11</v>
      </c>
      <c r="M18" s="15">
        <f>IFERROR(s_TR/(up_RadSpec!H18*s_IFSH_far_adj*s_CF_far_sheep),".")</f>
        <v>6.6115702479338848E-11</v>
      </c>
      <c r="N18" s="15">
        <f>IFERROR(s_TR/(up_RadSpec!H18*s_IFGM_far_adj*s_CF_far_goat_milk),".")</f>
        <v>6.6115702479338848E-11</v>
      </c>
      <c r="O18" s="15">
        <f>IFERROR(s_TR/(up_RadSpec!H18*s_IFSM_far_adj*s_CF_far_sheep_milk),".")</f>
        <v>6.6115702479338848E-11</v>
      </c>
      <c r="P18" s="40">
        <f>up_dir!BC18</f>
        <v>605000</v>
      </c>
      <c r="Q18" s="40">
        <f t="shared" si="0"/>
        <v>151250</v>
      </c>
      <c r="R18" s="40">
        <f t="shared" si="1"/>
        <v>151250</v>
      </c>
      <c r="S18" s="40">
        <f t="shared" si="2"/>
        <v>151250</v>
      </c>
      <c r="T18" s="40">
        <f t="shared" si="3"/>
        <v>151250</v>
      </c>
      <c r="U18" s="40">
        <f t="shared" si="4"/>
        <v>151250</v>
      </c>
      <c r="V18" s="40">
        <f t="shared" si="5"/>
        <v>151250</v>
      </c>
      <c r="W18" s="40">
        <f t="shared" si="6"/>
        <v>151250</v>
      </c>
      <c r="X18" s="40">
        <f t="shared" si="7"/>
        <v>151250</v>
      </c>
      <c r="Y18" s="40">
        <f t="shared" si="8"/>
        <v>151250</v>
      </c>
      <c r="Z18" s="40">
        <f t="shared" si="9"/>
        <v>151250</v>
      </c>
      <c r="AA18" s="40">
        <f t="shared" si="10"/>
        <v>151250</v>
      </c>
      <c r="AB18" s="5"/>
      <c r="AC18" s="5"/>
      <c r="AD18" s="5"/>
      <c r="AE18" s="5"/>
      <c r="AF18" s="5"/>
      <c r="AG18" s="5"/>
      <c r="AH18" s="5"/>
      <c r="AI18" s="5"/>
      <c r="AJ18" s="5"/>
      <c r="AK18" s="5"/>
      <c r="AL18" s="5"/>
      <c r="AM18" s="5"/>
      <c r="AN18" s="45">
        <f>IFERROR((s_TR/(up_RadSpec!E18*s_IFS_far_adj*(1/1000)))*1,".")</f>
        <v>3.3057851239669421E-8</v>
      </c>
      <c r="AO18" s="45">
        <f>IFERROR(IF(A18="H-3",(s_TR/(up_RadSpec!F18*s_IFA_far_adj*(1/17)*1000))*1,(s_TR/(up_RadSpec!F18*s_IFA_far_adj*(1/s_PEF_wind)*1000))*1),".")</f>
        <v>3.0899917851942918E-4</v>
      </c>
      <c r="AP18" s="45">
        <f>IFERROR((s_TR/(up_RadSpec!G18*s_EF_far*(1/365)*s_ED_far*up_RadSpec!R18*((s_ET_far_o*(1/24)*up_RadSpec!W18)+(s_ET_far_i*(1/24)*up_RadSpec!AB18))))*1,".")</f>
        <v>1.4924627075710669E-5</v>
      </c>
      <c r="AQ18" s="45">
        <f>up_b2s!BC18</f>
        <v>3.2968835384132272E-12</v>
      </c>
      <c r="AR18" s="45">
        <f>IFERROR(((J18*up_RadSpec!AU18)/up_RadSpec!AJ18)*1,".")</f>
        <v>6.6115702479338848E-11</v>
      </c>
      <c r="AS18" s="45">
        <f>IFERROR(((K18*up_RadSpec!AU18)/up_RadSpec!AK18)*1,".")</f>
        <v>6.6115702479338848E-11</v>
      </c>
      <c r="AT18" s="45">
        <f>IFERROR((G18/(up_RadSpec!AI18*((s_Q_p_beef*s_f_p_beef*s_f_s_beef*(up_RadSpec!BD18+s_R_es_past))+(s_Q_s_beef*s_f_p_beef))))*1,".")</f>
        <v>1.8558793678410904E-14</v>
      </c>
      <c r="AU18" s="45">
        <f>IFERROR(((H18*s_D_milk)/(up_RadSpec!AH18*((s_Q_p_dairy*s_f_p_dairy*s_f_s_dairy*(up_RadSpec!BD18+s_R_es_past))+(s_Q_s_dairy*s_f_p_dairy))))*1,".")</f>
        <v>1.9115557488763232E-14</v>
      </c>
      <c r="AV18" s="45">
        <f>IFERROR((I18/(up_RadSpec!AN18*((s_Q_p_swine*s_f_p_swine*s_f_s_swine*(up_RadSpec!BD18+s_R_es_past))+(s_Q_s_swine*s_f_p_swine))))*1,".")</f>
        <v>1.8558793678410904E-14</v>
      </c>
      <c r="AW18" s="45">
        <f>IFERROR((E18/(up_RadSpec!AL18*((s_Q_p_poultry*s_f_p_poultry*s_f_s_poultry*(up_RadSpec!BD18+s_R_es_past))+(s_Q_s_poultry*s_f_p_poultry))))*1,".")</f>
        <v>1.8558793678410904E-14</v>
      </c>
      <c r="AX18" s="45">
        <f>IFERROR((F18/(up_RadSpec!AM18*((s_Q_p_poultry*s_f_p_poultry*s_f_s_poultry*(up_RadSpec!BD18+s_R_es_past))+(s_Q_s_poultry*s_f_p_poultry))))*1,".")</f>
        <v>1.8558793678410904E-14</v>
      </c>
      <c r="AY18" s="45">
        <f>IFERROR((L18/(up_RadSpec!AQ18*((s_Q_p_goat*s_f_p_goat*s_f_s_goat*(up_RadSpec!BD18+s_R_es_past))+(s_Q_s_goat*s_f_p_goat))))*1,".")</f>
        <v>1.8558793678410904E-14</v>
      </c>
      <c r="AZ18" s="45">
        <f>IFERROR((N18*s_D_milk/(up_RadSpec!AR18*((s_Q_p_goat_milk*s_f_p_goat_milk*s_f_s_goat_milk*(up_RadSpec!BD18+s_R_es_past))+(s_Q_s_goat_milk*s_f_p_goat_milk))))*1,".")</f>
        <v>1.9115557488763232E-14</v>
      </c>
      <c r="BA18" s="45">
        <f>IFERROR((M18/(up_RadSpec!AO18*((s_Q_p_sheep*s_f_p_sheep*s_f_s_sheep*(up_RadSpec!BD18+s_R_es_past))+(s_Q_s_sheep*s_f_p_sheep))))*1,".")</f>
        <v>1.8558793678410904E-14</v>
      </c>
      <c r="BB18" s="45">
        <f>IFERROR((O18*s_D_milk/(up_RadSpec!AP18*((s_Q_p_sheep_milk*s_f_p_sheep_milk*s_f_s_sheep_milk*(up_RadSpec!BD18+s_R_es_past))+(s_Q_s_sheep_milk*s_f_p_sheep_milk))))*1,".")</f>
        <v>1.9115557488763232E-14</v>
      </c>
      <c r="BC18" s="118">
        <f t="shared" si="11"/>
        <v>30250000</v>
      </c>
      <c r="BD18" s="118">
        <f t="shared" si="11"/>
        <v>3236.2545583179349</v>
      </c>
      <c r="BE18" s="118">
        <f t="shared" si="11"/>
        <v>67003.349224548903</v>
      </c>
      <c r="BF18" s="118">
        <f t="shared" si="11"/>
        <v>303316749999.99994</v>
      </c>
      <c r="BG18" s="118">
        <f t="shared" si="11"/>
        <v>15124999999.999998</v>
      </c>
      <c r="BH18" s="118">
        <f t="shared" si="11"/>
        <v>15124999999.999998</v>
      </c>
      <c r="BI18" s="118">
        <f t="shared" si="11"/>
        <v>53882812500000</v>
      </c>
      <c r="BJ18" s="118">
        <f t="shared" si="11"/>
        <v>52313410194174.758</v>
      </c>
      <c r="BK18" s="118">
        <f t="shared" si="11"/>
        <v>53882812500000</v>
      </c>
      <c r="BL18" s="118">
        <f t="shared" si="11"/>
        <v>53882812500000</v>
      </c>
      <c r="BM18" s="118">
        <f t="shared" si="11"/>
        <v>53882812500000</v>
      </c>
      <c r="BN18" s="118">
        <f t="shared" si="11"/>
        <v>53882812500000</v>
      </c>
      <c r="BO18" s="118">
        <f t="shared" si="11"/>
        <v>52313410194174.758</v>
      </c>
      <c r="BP18" s="118">
        <f t="shared" si="11"/>
        <v>53882812500000</v>
      </c>
      <c r="BQ18" s="118">
        <f t="shared" si="11"/>
        <v>52313410194174.758</v>
      </c>
      <c r="BR18" s="15">
        <f t="shared" si="20"/>
        <v>2.0808592668674383E-15</v>
      </c>
      <c r="BS18" s="40">
        <f t="shared" si="12"/>
        <v>302.5</v>
      </c>
      <c r="BT18" s="40">
        <f t="shared" si="13"/>
        <v>3.2362545583179352E-2</v>
      </c>
      <c r="BU18" s="40">
        <f>IFERROR((s_C*s_EF_far*(1/365)*s_ED_far*up_RadSpec!R18*((s_ET_far_o*(1/24)*up_RadSpec!W18)+(s_ET_far_i*(1/24)*up_RadSpec!AB18))),".")</f>
        <v>0.67003349224548903</v>
      </c>
      <c r="BV18" s="40">
        <f>up_b2s!CC18</f>
        <v>3033167.5</v>
      </c>
      <c r="BW18" s="40">
        <f>IFERROR(((s_C*up_RadSpec!AJ18)/up_RadSpec!AU18)*s_IFFI_far_adj*s_CF_far_fish,0)</f>
        <v>151250</v>
      </c>
      <c r="BX18" s="40">
        <f>IFERROR(((s_C*up_RadSpec!AK18)/up_RadSpec!AU18)*s_IFSF_far_adj*s_CF_far_shellfish,0)</f>
        <v>151250</v>
      </c>
      <c r="BY18" s="40">
        <f>(s_C*s_IFB_far_adj*s_CF_far_beef*up_RadSpec!AI18*((s_Q_p_beef*s_f_p_beef*s_f_s_beef*(up_RadSpec!$AT18+s_R_es_past))+(s_Q_s_beef*s_f_p_beef)))</f>
        <v>538828125</v>
      </c>
      <c r="BZ18" s="40">
        <f>(s_C*s_IFD_far_adj*s_CF_far_dairy*up_RadSpec!AH18*1/s_D_milk*((s_Q_p_dairy*s_f_p_dairy*s_f_s_dairy*(up_RadSpec!$AT18+s_R_es_past))+(s_Q_s_dairy*s_f_p_dairy)))</f>
        <v>523134101.94174761</v>
      </c>
      <c r="CA18" s="40">
        <f>(s_C*s_IFSW_far_adj*s_CF_far_swine*up_RadSpec!AN18*((s_Q_p_swine*s_f_p_swine*s_f_s_swine*(up_RadSpec!$AT18+s_R_es_past))+(s_Q_s_swine*s_f_p_swine)))</f>
        <v>538828125</v>
      </c>
      <c r="CB18" s="40">
        <f>(s_C*s_IFP_far_adj*s_CF_far_poultry*up_RadSpec!AL18*((s_Q_p_poultry*s_f_p_poultry*s_f_s_poultry*(up_RadSpec!AT18+s_R_es_past))+(s_Q_s_poultry*s_f_p_poultry)))</f>
        <v>538828125</v>
      </c>
      <c r="CC18" s="40">
        <f>(s_C*s_IFE_far_adj*s_CF_far_egg*up_RadSpec!AM18*((s_Q_p_egg*s_f_p_egg*s_f_s_egg*(up_RadSpec!$AT18+s_R_es_past))+(s_Q_s_egg*s_f_p_egg)))</f>
        <v>538828125</v>
      </c>
      <c r="CD18" s="40">
        <f>(s_C*s_IFGO_far_adj*s_CF_far_goat*up_RadSpec!AQ18*((s_Q_p_goat*s_f_p_goat*s_f_s_goat*(up_RadSpec!$AT18+s_R_es_past))+(s_Q_s_goat*s_f_p_goat)))</f>
        <v>538828125</v>
      </c>
      <c r="CE18" s="40">
        <f>(s_C*s_IFGM_far_adj*s_CF_far_goat_milk*up_RadSpec!AR18*1/s_D_milk*((s_Q_p_goat_milk*s_f_p_goat_milk*s_f_s_goat_milk*(up_RadSpec!$AT18+s_R_es_past))+(s_Q_s_goat_milk*s_f_p_goat_milk)))</f>
        <v>523134101.94174761</v>
      </c>
      <c r="CF18" s="40">
        <f>(s_C*s_IFSH_far_adj*s_CF_far_sheep*up_RadSpec!AO18*((s_Q_p_sheep*s_f_p_sheep*s_f_s_sheep*(up_RadSpec!$AT18+s_R_es_past))+(s_Q_s_sheep*s_f_p_sheep)))</f>
        <v>538828125</v>
      </c>
      <c r="CG18" s="40">
        <f>(s_C*s_IFSM_far_adj*s_CF_far_sheep_milk*up_RadSpec!AP18*1/s_D_milk*((s_Q_p_sheep_milk*s_f_p_sheep_milk*s_f_s_sheep_milk*(up_RadSpec!$AT18+s_R_es_past))+(s_Q_s_sheep_milk*s_f_p_sheep_milk)))</f>
        <v>523134101.94174761</v>
      </c>
      <c r="CH18" s="18"/>
      <c r="CI18" s="18"/>
      <c r="CJ18" s="18"/>
      <c r="CK18" s="18"/>
      <c r="CL18" s="18"/>
      <c r="CM18" s="18"/>
      <c r="CN18" s="18"/>
      <c r="CO18" s="18"/>
      <c r="CP18" s="18"/>
      <c r="CQ18" s="18"/>
      <c r="CR18" s="18"/>
      <c r="CS18" s="18"/>
      <c r="CT18" s="18"/>
      <c r="CU18" s="18"/>
      <c r="CV18" s="18"/>
      <c r="CW18" s="5"/>
      <c r="CX18" s="15">
        <f>IFERROR(s_TR/(up_RadSpec!I18*s_IFW_far_adj),".")</f>
        <v>3.6363636363636369E-10</v>
      </c>
      <c r="CY18" s="15" t="str">
        <f>IFERROR(IF(AND(up_RadSpec!C18=1,up_RadSpec!D18&lt;&gt;0),s_TR/(up_RadSpec!F18*s_IFA_far_adj*s_K*up_RadSpec!D18),"."),".")</f>
        <v>.</v>
      </c>
      <c r="CZ18" s="15">
        <f>IFERROR((s_TR/(up_RadSpec!M18*(1/8760)*s_DFA_far_adj)),".")</f>
        <v>3.9818181818181825E-6</v>
      </c>
      <c r="DA18" s="15">
        <f>up_b2w!BC18</f>
        <v>1.6443412786038031E-11</v>
      </c>
      <c r="DB18" s="15">
        <f>IFERROR(J18/(up_RadSpec!AJ18*(1/1000)),".")</f>
        <v>1.322314049586777E-8</v>
      </c>
      <c r="DC18" s="15">
        <f>IFERROR(K18/(up_RadSpec!AK18*(1/1000)),".")</f>
        <v>1.322314049586777E-8</v>
      </c>
      <c r="DD18" s="15">
        <f>IFERROR(G18/(up_RadSpec!AI18*s_Q_w_beef*(1/1000)),".")</f>
        <v>2.6446280991735539E-9</v>
      </c>
      <c r="DE18" s="15">
        <f>IFERROR((H18*s_D_milk)/(up_RadSpec!AH18*s_Q_w_dairy*(1/1000)),".")</f>
        <v>2.7239669421487605E-9</v>
      </c>
      <c r="DF18" s="15">
        <f>IFERROR(I18/(up_RadSpec!AN18*s_Q_w_swine*(1/1000)),".")</f>
        <v>2.6446280991735539E-9</v>
      </c>
      <c r="DG18" s="15">
        <f>IFERROR(E18/(up_RadSpec!AL18*s_Q_w_poultry*(1/1000)),".")</f>
        <v>2.6446280991735539E-9</v>
      </c>
      <c r="DH18" s="15">
        <f>IFERROR(F18/(up_RadSpec!AM18*s_Q_w_poultry*(1/1000)),".")</f>
        <v>2.6446280991735539E-9</v>
      </c>
      <c r="DI18" s="15">
        <f>IFERROR(L18/(up_RadSpec!AQ18*s_Q_w_goat*(1/1000)),".")</f>
        <v>2.6446280991735539E-9</v>
      </c>
      <c r="DJ18" s="15">
        <f>IFERROR(N18*s_D_milk/(up_RadSpec!AR18*s_Q_w_goat_milk*(1/1000)),".")</f>
        <v>2.7239669421487605E-9</v>
      </c>
      <c r="DK18" s="15">
        <f>IFERROR(M18/(up_RadSpec!AO18*s_Q_w_sheep*(1/1000)),".")</f>
        <v>2.6446280991735539E-9</v>
      </c>
      <c r="DL18" s="15">
        <f>IFERROR(O18*s_D_milk/(up_RadSpec!AP18*s_Q_w_sheep_milk*(1/1000)),".")</f>
        <v>2.7239669421487605E-9</v>
      </c>
      <c r="DM18" s="118">
        <f t="shared" si="14"/>
        <v>2749999999.9999995</v>
      </c>
      <c r="DN18" s="118" t="str">
        <f t="shared" si="14"/>
        <v>.</v>
      </c>
      <c r="DO18" s="118">
        <f t="shared" si="14"/>
        <v>251141.55251141547</v>
      </c>
      <c r="DP18" s="118">
        <f t="shared" si="14"/>
        <v>60814626076.229866</v>
      </c>
      <c r="DQ18" s="118">
        <f t="shared" si="14"/>
        <v>75624999.999999985</v>
      </c>
      <c r="DR18" s="118">
        <f t="shared" si="14"/>
        <v>75624999.999999985</v>
      </c>
      <c r="DS18" s="118">
        <f t="shared" si="14"/>
        <v>378124999.99999994</v>
      </c>
      <c r="DT18" s="118">
        <f t="shared" si="14"/>
        <v>367111650.48543686</v>
      </c>
      <c r="DU18" s="118">
        <f t="shared" si="14"/>
        <v>378124999.99999994</v>
      </c>
      <c r="DV18" s="118">
        <f t="shared" si="14"/>
        <v>378124999.99999994</v>
      </c>
      <c r="DW18" s="118">
        <f t="shared" si="14"/>
        <v>378124999.99999994</v>
      </c>
      <c r="DX18" s="118">
        <f t="shared" si="14"/>
        <v>378124999.99999994</v>
      </c>
      <c r="DY18" s="118">
        <f t="shared" si="14"/>
        <v>367111650.48543686</v>
      </c>
      <c r="DZ18" s="118">
        <f t="shared" si="14"/>
        <v>378124999.99999994</v>
      </c>
      <c r="EA18" s="118">
        <f t="shared" si="14"/>
        <v>367111650.48543686</v>
      </c>
      <c r="EB18" s="15">
        <f t="shared" si="21"/>
        <v>1.4906192608956601E-11</v>
      </c>
      <c r="EC18" s="40">
        <f t="shared" si="15"/>
        <v>27500</v>
      </c>
      <c r="ED18" s="40">
        <f>IF(up_RadSpec!D18&lt;&gt;"",s_C*s_IFA_far_adj*s_K*up_RadSpec!D18,0)</f>
        <v>0</v>
      </c>
      <c r="EE18" s="40">
        <f t="shared" si="16"/>
        <v>2.5114155251141552</v>
      </c>
      <c r="EF18" s="40">
        <f>up_b2w!CC18</f>
        <v>608146.26076229871</v>
      </c>
      <c r="EG18" s="40">
        <f>IFERROR(s_C*up_RadSpec!AJ18*(1/1000)*s_IFFI_far_adj*s_CF_far_fish,0)</f>
        <v>756.25</v>
      </c>
      <c r="EH18" s="40">
        <f>IFERROR(s_C*up_RadSpec!AK18*(1/1000)*s_IFSF_far_adj*s_CF_far_shellfish,0)</f>
        <v>756.25</v>
      </c>
      <c r="EI18" s="40">
        <f>(s_C*s_IFB_far_adj*s_CF_far_beef*up_RadSpec!AI18*s_Q_w_beef*(1/1000))</f>
        <v>3781.25</v>
      </c>
      <c r="EJ18" s="40">
        <f>(s_C*s_IFD_far_adj*s_CF_far_dairy*up_RadSpec!AH18*(1/s_D_milk)*s_Q_w_dairy*(1/1000))</f>
        <v>3671.1165048543689</v>
      </c>
      <c r="EK18" s="40">
        <f>(s_C*s_IFSW_far_adj*s_CF_far_swine*up_RadSpec!AN18*s_Q_w_swine*(1/1000))</f>
        <v>3781.25</v>
      </c>
      <c r="EL18" s="40">
        <f>(s_C*s_IFP_far_adj*s_CF_far_poultry*up_RadSpec!AL18*s_Q_w_poultry*(1/1000))</f>
        <v>3781.25</v>
      </c>
      <c r="EM18" s="40">
        <f>(s_C*s_IFE_far_adj*s_CF_far_egg*up_RadSpec!AM18*s_Q_w_egg*(1/1000))</f>
        <v>3781.25</v>
      </c>
      <c r="EN18" s="40">
        <f>(s_C*s_IFGO_far_adj*s_CF_far_goat*up_RadSpec!AQ18*s_Q_p_goat*(1/1000))</f>
        <v>3781.25</v>
      </c>
      <c r="EO18" s="40">
        <f>(s_C*s_IFGM_far_adj*s_CF_far_goat_milk*up_RadSpec!AR18*(1/s_D_milk)*s_Q_p_goat_milk*(1/1000))</f>
        <v>3671.1165048543689</v>
      </c>
      <c r="EP18" s="40">
        <f>(s_C*s_IFSH_far_adj*s_CF_far_sheep*up_RadSpec!AO18*s_Q_p_sheep*(1/1000))</f>
        <v>3781.25</v>
      </c>
      <c r="EQ18" s="40">
        <f>(s_C*s_IFSM_far_adj*s_CF_far_sheep_milk*up_RadSpec!AP18*(1/s_D_milk)*s_Q_p_sheep_milk*(1/1000))</f>
        <v>3671.1165048543689</v>
      </c>
      <c r="ER18" s="18"/>
      <c r="ES18" s="18"/>
      <c r="ET18" s="18"/>
      <c r="EU18" s="18"/>
      <c r="EV18" s="18"/>
      <c r="EW18" s="18"/>
      <c r="EX18" s="18"/>
      <c r="EY18" s="18"/>
      <c r="EZ18" s="18"/>
      <c r="FA18" s="18"/>
      <c r="FB18" s="18"/>
      <c r="FC18" s="18"/>
      <c r="FD18" s="18"/>
      <c r="FE18" s="18"/>
      <c r="FF18" s="18"/>
      <c r="FG18" s="5"/>
      <c r="FH18" s="15">
        <f>IFERROR((s_TR/(up_RadSpec!F18*s_IFA_far_adj)),".")</f>
        <v>9.9740259740259755E-10</v>
      </c>
      <c r="FI18" s="15">
        <f>IFERROR((s_TR/(up_RadSpec!K18*s_EF_far*(1/365)*s_ED_far*s_ET_far*(1/24)*s_GSF_a)),".")</f>
        <v>6.3709090909090908E-6</v>
      </c>
      <c r="FJ18" s="15">
        <f t="shared" si="22"/>
        <v>9.9724647271019672E-10</v>
      </c>
      <c r="FK18" s="40">
        <f t="shared" si="18"/>
        <v>10026.041666666666</v>
      </c>
      <c r="FL18" s="40">
        <f t="shared" si="19"/>
        <v>1.5696347031963471</v>
      </c>
      <c r="FM18" s="120"/>
      <c r="FN18" s="120"/>
      <c r="FO18" s="120"/>
    </row>
    <row r="19" spans="1:171" customFormat="1" x14ac:dyDescent="0.25">
      <c r="A19" s="44" t="s">
        <v>29</v>
      </c>
      <c r="B19" s="42" t="s">
        <v>1071</v>
      </c>
      <c r="C19" s="42"/>
      <c r="D19" s="15">
        <f>up_dir!AC19</f>
        <v>1.6528925619834712E-11</v>
      </c>
      <c r="E19" s="15">
        <f>IFERROR(s_TR/(up_RadSpec!H19*s_IFP_far_adj*s_CF_far_poultry),".")</f>
        <v>6.6115702479338848E-11</v>
      </c>
      <c r="F19" s="15">
        <f>IFERROR(s_TR/(up_RadSpec!H19*s_IFE_far_adj*s_CF_far_egg),".")</f>
        <v>6.6115702479338848E-11</v>
      </c>
      <c r="G19" s="15">
        <f>IFERROR(s_TR/(up_RadSpec!H19*s_IFB_far_adj*s_CF_far_beef),".")</f>
        <v>6.6115702479338848E-11</v>
      </c>
      <c r="H19" s="15">
        <f>IFERROR(s_TR/(up_RadSpec!H19*s_IFD_far_adj*s_CF_far_dairy),".")</f>
        <v>6.6115702479338848E-11</v>
      </c>
      <c r="I19" s="15">
        <f>IFERROR(s_TR/(up_RadSpec!H19*s_IFSW_far_adj*s_CF_far_swine),".")</f>
        <v>6.6115702479338848E-11</v>
      </c>
      <c r="J19" s="15">
        <f>IFERROR(s_TR/(up_RadSpec!H19*s_IFFI_far_adj*s_CF_far_fish),".")</f>
        <v>6.6115702479338848E-11</v>
      </c>
      <c r="K19" s="15">
        <f>IFERROR(s_TR/(up_RadSpec!H19*s_IFSF_far_adj*s_CF_far_shellfish),".")</f>
        <v>6.6115702479338848E-11</v>
      </c>
      <c r="L19" s="15">
        <f>IFERROR(s_TR/(up_RadSpec!H19*s_IFGO_far_adj*s_CF_far_goat),".")</f>
        <v>6.6115702479338848E-11</v>
      </c>
      <c r="M19" s="15">
        <f>IFERROR(s_TR/(up_RadSpec!H19*s_IFSH_far_adj*s_CF_far_sheep),".")</f>
        <v>6.6115702479338848E-11</v>
      </c>
      <c r="N19" s="15">
        <f>IFERROR(s_TR/(up_RadSpec!H19*s_IFGM_far_adj*s_CF_far_goat_milk),".")</f>
        <v>6.6115702479338848E-11</v>
      </c>
      <c r="O19" s="15">
        <f>IFERROR(s_TR/(up_RadSpec!H19*s_IFSM_far_adj*s_CF_far_sheep_milk),".")</f>
        <v>6.6115702479338848E-11</v>
      </c>
      <c r="P19" s="40">
        <f>up_dir!BC19</f>
        <v>605000</v>
      </c>
      <c r="Q19" s="40">
        <f t="shared" si="0"/>
        <v>151250</v>
      </c>
      <c r="R19" s="40">
        <f t="shared" si="1"/>
        <v>151250</v>
      </c>
      <c r="S19" s="40">
        <f t="shared" si="2"/>
        <v>151250</v>
      </c>
      <c r="T19" s="40">
        <f t="shared" si="3"/>
        <v>151250</v>
      </c>
      <c r="U19" s="40">
        <f t="shared" si="4"/>
        <v>151250</v>
      </c>
      <c r="V19" s="40">
        <f t="shared" si="5"/>
        <v>151250</v>
      </c>
      <c r="W19" s="40">
        <f t="shared" si="6"/>
        <v>151250</v>
      </c>
      <c r="X19" s="40">
        <f t="shared" si="7"/>
        <v>151250</v>
      </c>
      <c r="Y19" s="40">
        <f t="shared" si="8"/>
        <v>151250</v>
      </c>
      <c r="Z19" s="40">
        <f t="shared" si="9"/>
        <v>151250</v>
      </c>
      <c r="AA19" s="40">
        <f t="shared" si="10"/>
        <v>151250</v>
      </c>
      <c r="AB19" s="5"/>
      <c r="AC19" s="5"/>
      <c r="AD19" s="5"/>
      <c r="AE19" s="5"/>
      <c r="AF19" s="5"/>
      <c r="AG19" s="5"/>
      <c r="AH19" s="5"/>
      <c r="AI19" s="5"/>
      <c r="AJ19" s="5"/>
      <c r="AK19" s="5"/>
      <c r="AL19" s="5"/>
      <c r="AM19" s="5"/>
      <c r="AN19" s="45">
        <f>IFERROR((s_TR/(up_RadSpec!E19*s_IFS_far_adj*(1/1000)))*1,".")</f>
        <v>3.3057851239669421E-8</v>
      </c>
      <c r="AO19" s="45">
        <f>IFERROR(IF(A19="H-3",(s_TR/(up_RadSpec!F19*s_IFA_far_adj*(1/17)*1000))*1,(s_TR/(up_RadSpec!F19*s_IFA_far_adj*(1/s_PEF_wind)*1000))*1),".")</f>
        <v>3.0899917851942918E-4</v>
      </c>
      <c r="AP19" s="45">
        <f>IFERROR((s_TR/(up_RadSpec!G19*s_EF_far*(1/365)*s_ED_far*up_RadSpec!R19*((s_ET_far_o*(1/24)*up_RadSpec!W19)+(s_ET_far_i*(1/24)*up_RadSpec!AB19))))*1,".")</f>
        <v>1.5229001263619678E-5</v>
      </c>
      <c r="AQ19" s="45">
        <f>up_b2s!BC19</f>
        <v>3.2968835384132272E-12</v>
      </c>
      <c r="AR19" s="45">
        <f>IFERROR(((J19*up_RadSpec!AU19)/up_RadSpec!AJ19)*1,".")</f>
        <v>6.6115702479338848E-11</v>
      </c>
      <c r="AS19" s="45">
        <f>IFERROR(((K19*up_RadSpec!AU19)/up_RadSpec!AK19)*1,".")</f>
        <v>6.6115702479338848E-11</v>
      </c>
      <c r="AT19" s="45">
        <f>IFERROR((G19/(up_RadSpec!AI19*((s_Q_p_beef*s_f_p_beef*s_f_s_beef*(up_RadSpec!BD19+s_R_es_past))+(s_Q_s_beef*s_f_p_beef))))*1,".")</f>
        <v>1.8558793678410904E-14</v>
      </c>
      <c r="AU19" s="45">
        <f>IFERROR(((H19*s_D_milk)/(up_RadSpec!AH19*((s_Q_p_dairy*s_f_p_dairy*s_f_s_dairy*(up_RadSpec!BD19+s_R_es_past))+(s_Q_s_dairy*s_f_p_dairy))))*1,".")</f>
        <v>1.9115557488763232E-14</v>
      </c>
      <c r="AV19" s="45">
        <f>IFERROR((I19/(up_RadSpec!AN19*((s_Q_p_swine*s_f_p_swine*s_f_s_swine*(up_RadSpec!BD19+s_R_es_past))+(s_Q_s_swine*s_f_p_swine))))*1,".")</f>
        <v>1.8558793678410904E-14</v>
      </c>
      <c r="AW19" s="45">
        <f>IFERROR((E19/(up_RadSpec!AL19*((s_Q_p_poultry*s_f_p_poultry*s_f_s_poultry*(up_RadSpec!BD19+s_R_es_past))+(s_Q_s_poultry*s_f_p_poultry))))*1,".")</f>
        <v>1.8558793678410904E-14</v>
      </c>
      <c r="AX19" s="45">
        <f>IFERROR((F19/(up_RadSpec!AM19*((s_Q_p_poultry*s_f_p_poultry*s_f_s_poultry*(up_RadSpec!BD19+s_R_es_past))+(s_Q_s_poultry*s_f_p_poultry))))*1,".")</f>
        <v>1.8558793678410904E-14</v>
      </c>
      <c r="AY19" s="45">
        <f>IFERROR((L19/(up_RadSpec!AQ19*((s_Q_p_goat*s_f_p_goat*s_f_s_goat*(up_RadSpec!BD19+s_R_es_past))+(s_Q_s_goat*s_f_p_goat))))*1,".")</f>
        <v>1.8558793678410904E-14</v>
      </c>
      <c r="AZ19" s="45">
        <f>IFERROR((N19*s_D_milk/(up_RadSpec!AR19*((s_Q_p_goat_milk*s_f_p_goat_milk*s_f_s_goat_milk*(up_RadSpec!BD19+s_R_es_past))+(s_Q_s_goat_milk*s_f_p_goat_milk))))*1,".")</f>
        <v>1.9115557488763232E-14</v>
      </c>
      <c r="BA19" s="45">
        <f>IFERROR((M19/(up_RadSpec!AO19*((s_Q_p_sheep*s_f_p_sheep*s_f_s_sheep*(up_RadSpec!BD19+s_R_es_past))+(s_Q_s_sheep*s_f_p_sheep))))*1,".")</f>
        <v>1.8558793678410904E-14</v>
      </c>
      <c r="BB19" s="45">
        <f>IFERROR((O19*s_D_milk/(up_RadSpec!AP19*((s_Q_p_sheep_milk*s_f_p_sheep_milk*s_f_s_sheep_milk*(up_RadSpec!BD19+s_R_es_past))+(s_Q_s_sheep_milk*s_f_p_sheep_milk))))*1,".")</f>
        <v>1.9115557488763232E-14</v>
      </c>
      <c r="BC19" s="118">
        <f t="shared" ref="BC19:BQ30" si="23">IFERROR(1/AN19,".")</f>
        <v>30250000</v>
      </c>
      <c r="BD19" s="118">
        <f t="shared" si="23"/>
        <v>3236.2545583179349</v>
      </c>
      <c r="BE19" s="118">
        <f t="shared" si="23"/>
        <v>65664.187866927576</v>
      </c>
      <c r="BF19" s="118">
        <f t="shared" si="23"/>
        <v>303316749999.99994</v>
      </c>
      <c r="BG19" s="118">
        <f t="shared" si="23"/>
        <v>15124999999.999998</v>
      </c>
      <c r="BH19" s="118">
        <f t="shared" si="23"/>
        <v>15124999999.999998</v>
      </c>
      <c r="BI19" s="118">
        <f t="shared" si="23"/>
        <v>53882812500000</v>
      </c>
      <c r="BJ19" s="118">
        <f t="shared" si="23"/>
        <v>52313410194174.758</v>
      </c>
      <c r="BK19" s="118">
        <f t="shared" si="23"/>
        <v>53882812500000</v>
      </c>
      <c r="BL19" s="118">
        <f t="shared" si="23"/>
        <v>53882812500000</v>
      </c>
      <c r="BM19" s="118">
        <f t="shared" si="23"/>
        <v>53882812500000</v>
      </c>
      <c r="BN19" s="118">
        <f t="shared" si="23"/>
        <v>53882812500000</v>
      </c>
      <c r="BO19" s="118">
        <f t="shared" si="23"/>
        <v>52313410194174.758</v>
      </c>
      <c r="BP19" s="118">
        <f t="shared" si="23"/>
        <v>53882812500000</v>
      </c>
      <c r="BQ19" s="118">
        <f t="shared" si="23"/>
        <v>52313410194174.758</v>
      </c>
      <c r="BR19" s="15">
        <f t="shared" si="20"/>
        <v>2.0808592668732372E-15</v>
      </c>
      <c r="BS19" s="40">
        <f t="shared" si="12"/>
        <v>302.5</v>
      </c>
      <c r="BT19" s="40">
        <f t="shared" si="13"/>
        <v>3.2362545583179352E-2</v>
      </c>
      <c r="BU19" s="40">
        <f>IFERROR((s_C*s_EF_far*(1/365)*s_ED_far*up_RadSpec!R19*((s_ET_far_o*(1/24)*up_RadSpec!W19)+(s_ET_far_i*(1/24)*up_RadSpec!AB19))),".")</f>
        <v>0.65664187866927581</v>
      </c>
      <c r="BV19" s="40">
        <f>up_b2s!CC19</f>
        <v>3033167.5</v>
      </c>
      <c r="BW19" s="40">
        <f>IFERROR(((s_C*up_RadSpec!AJ19)/up_RadSpec!AU19)*s_IFFI_far_adj*s_CF_far_fish,0)</f>
        <v>151250</v>
      </c>
      <c r="BX19" s="40">
        <f>IFERROR(((s_C*up_RadSpec!AK19)/up_RadSpec!AU19)*s_IFSF_far_adj*s_CF_far_shellfish,0)</f>
        <v>151250</v>
      </c>
      <c r="BY19" s="40">
        <f>(s_C*s_IFB_far_adj*s_CF_far_beef*up_RadSpec!AI19*((s_Q_p_beef*s_f_p_beef*s_f_s_beef*(up_RadSpec!$AT19+s_R_es_past))+(s_Q_s_beef*s_f_p_beef)))</f>
        <v>538828125</v>
      </c>
      <c r="BZ19" s="40">
        <f>(s_C*s_IFD_far_adj*s_CF_far_dairy*up_RadSpec!AH19*1/s_D_milk*((s_Q_p_dairy*s_f_p_dairy*s_f_s_dairy*(up_RadSpec!$AT19+s_R_es_past))+(s_Q_s_dairy*s_f_p_dairy)))</f>
        <v>523134101.94174761</v>
      </c>
      <c r="CA19" s="40">
        <f>(s_C*s_IFSW_far_adj*s_CF_far_swine*up_RadSpec!AN19*((s_Q_p_swine*s_f_p_swine*s_f_s_swine*(up_RadSpec!$AT19+s_R_es_past))+(s_Q_s_swine*s_f_p_swine)))</f>
        <v>538828125</v>
      </c>
      <c r="CB19" s="40">
        <f>(s_C*s_IFP_far_adj*s_CF_far_poultry*up_RadSpec!AL19*((s_Q_p_poultry*s_f_p_poultry*s_f_s_poultry*(up_RadSpec!AT19+s_R_es_past))+(s_Q_s_poultry*s_f_p_poultry)))</f>
        <v>538828125</v>
      </c>
      <c r="CC19" s="40">
        <f>(s_C*s_IFE_far_adj*s_CF_far_egg*up_RadSpec!AM19*((s_Q_p_egg*s_f_p_egg*s_f_s_egg*(up_RadSpec!$AT19+s_R_es_past))+(s_Q_s_egg*s_f_p_egg)))</f>
        <v>538828125</v>
      </c>
      <c r="CD19" s="40">
        <f>(s_C*s_IFGO_far_adj*s_CF_far_goat*up_RadSpec!AQ19*((s_Q_p_goat*s_f_p_goat*s_f_s_goat*(up_RadSpec!$AT19+s_R_es_past))+(s_Q_s_goat*s_f_p_goat)))</f>
        <v>538828125</v>
      </c>
      <c r="CE19" s="40">
        <f>(s_C*s_IFGM_far_adj*s_CF_far_goat_milk*up_RadSpec!AR19*1/s_D_milk*((s_Q_p_goat_milk*s_f_p_goat_milk*s_f_s_goat_milk*(up_RadSpec!$AT19+s_R_es_past))+(s_Q_s_goat_milk*s_f_p_goat_milk)))</f>
        <v>523134101.94174761</v>
      </c>
      <c r="CF19" s="40">
        <f>(s_C*s_IFSH_far_adj*s_CF_far_sheep*up_RadSpec!AO19*((s_Q_p_sheep*s_f_p_sheep*s_f_s_sheep*(up_RadSpec!$AT19+s_R_es_past))+(s_Q_s_sheep*s_f_p_sheep)))</f>
        <v>538828125</v>
      </c>
      <c r="CG19" s="40">
        <f>(s_C*s_IFSM_far_adj*s_CF_far_sheep_milk*up_RadSpec!AP19*1/s_D_milk*((s_Q_p_sheep_milk*s_f_p_sheep_milk*s_f_s_sheep_milk*(up_RadSpec!$AT19+s_R_es_past))+(s_Q_s_sheep_milk*s_f_p_sheep_milk)))</f>
        <v>523134101.94174761</v>
      </c>
      <c r="CH19" s="18"/>
      <c r="CI19" s="18"/>
      <c r="CJ19" s="18"/>
      <c r="CK19" s="18"/>
      <c r="CL19" s="18"/>
      <c r="CM19" s="18"/>
      <c r="CN19" s="18"/>
      <c r="CO19" s="18"/>
      <c r="CP19" s="18"/>
      <c r="CQ19" s="18"/>
      <c r="CR19" s="18"/>
      <c r="CS19" s="18"/>
      <c r="CT19" s="18"/>
      <c r="CU19" s="18"/>
      <c r="CV19" s="18"/>
      <c r="CW19" s="5"/>
      <c r="CX19" s="15">
        <f>IFERROR(s_TR/(up_RadSpec!I19*s_IFW_far_adj),".")</f>
        <v>3.6363636363636369E-10</v>
      </c>
      <c r="CY19" s="15" t="str">
        <f>IFERROR(IF(AND(up_RadSpec!C19=1,up_RadSpec!D19&lt;&gt;0),s_TR/(up_RadSpec!F19*s_IFA_far_adj*s_K*up_RadSpec!D19),"."),".")</f>
        <v>.</v>
      </c>
      <c r="CZ19" s="15">
        <f>IFERROR((s_TR/(up_RadSpec!M19*(1/8760)*s_DFA_far_adj)),".")</f>
        <v>3.9818181818181825E-6</v>
      </c>
      <c r="DA19" s="15">
        <f>up_b2w!BC19</f>
        <v>1.6443412786038031E-11</v>
      </c>
      <c r="DB19" s="15">
        <f>IFERROR(J19/(up_RadSpec!AJ19*(1/1000)),".")</f>
        <v>1.322314049586777E-8</v>
      </c>
      <c r="DC19" s="15">
        <f>IFERROR(K19/(up_RadSpec!AK19*(1/1000)),".")</f>
        <v>1.322314049586777E-8</v>
      </c>
      <c r="DD19" s="15">
        <f>IFERROR(G19/(up_RadSpec!AI19*s_Q_w_beef*(1/1000)),".")</f>
        <v>2.6446280991735539E-9</v>
      </c>
      <c r="DE19" s="15">
        <f>IFERROR((H19*s_D_milk)/(up_RadSpec!AH19*s_Q_w_dairy*(1/1000)),".")</f>
        <v>2.7239669421487605E-9</v>
      </c>
      <c r="DF19" s="15">
        <f>IFERROR(I19/(up_RadSpec!AN19*s_Q_w_swine*(1/1000)),".")</f>
        <v>2.6446280991735539E-9</v>
      </c>
      <c r="DG19" s="15">
        <f>IFERROR(E19/(up_RadSpec!AL19*s_Q_w_poultry*(1/1000)),".")</f>
        <v>2.6446280991735539E-9</v>
      </c>
      <c r="DH19" s="15">
        <f>IFERROR(F19/(up_RadSpec!AM19*s_Q_w_poultry*(1/1000)),".")</f>
        <v>2.6446280991735539E-9</v>
      </c>
      <c r="DI19" s="15">
        <f>IFERROR(L19/(up_RadSpec!AQ19*s_Q_w_goat*(1/1000)),".")</f>
        <v>2.6446280991735539E-9</v>
      </c>
      <c r="DJ19" s="15">
        <f>IFERROR(N19*s_D_milk/(up_RadSpec!AR19*s_Q_w_goat_milk*(1/1000)),".")</f>
        <v>2.7239669421487605E-9</v>
      </c>
      <c r="DK19" s="15">
        <f>IFERROR(M19/(up_RadSpec!AO19*s_Q_w_sheep*(1/1000)),".")</f>
        <v>2.6446280991735539E-9</v>
      </c>
      <c r="DL19" s="15">
        <f>IFERROR(O19*s_D_milk/(up_RadSpec!AP19*s_Q_w_sheep_milk*(1/1000)),".")</f>
        <v>2.7239669421487605E-9</v>
      </c>
      <c r="DM19" s="118">
        <f t="shared" ref="DM19:EA30" si="24">IFERROR(1/CX19,".")</f>
        <v>2749999999.9999995</v>
      </c>
      <c r="DN19" s="118" t="str">
        <f t="shared" si="24"/>
        <v>.</v>
      </c>
      <c r="DO19" s="118">
        <f t="shared" si="24"/>
        <v>251141.55251141547</v>
      </c>
      <c r="DP19" s="118">
        <f t="shared" si="24"/>
        <v>60814626076.229866</v>
      </c>
      <c r="DQ19" s="118">
        <f t="shared" si="24"/>
        <v>75624999.999999985</v>
      </c>
      <c r="DR19" s="118">
        <f t="shared" si="24"/>
        <v>75624999.999999985</v>
      </c>
      <c r="DS19" s="118">
        <f t="shared" si="24"/>
        <v>378124999.99999994</v>
      </c>
      <c r="DT19" s="118">
        <f t="shared" si="24"/>
        <v>367111650.48543686</v>
      </c>
      <c r="DU19" s="118">
        <f t="shared" si="24"/>
        <v>378124999.99999994</v>
      </c>
      <c r="DV19" s="118">
        <f t="shared" si="24"/>
        <v>378124999.99999994</v>
      </c>
      <c r="DW19" s="118">
        <f t="shared" si="24"/>
        <v>378124999.99999994</v>
      </c>
      <c r="DX19" s="118">
        <f t="shared" si="24"/>
        <v>378124999.99999994</v>
      </c>
      <c r="DY19" s="118">
        <f t="shared" si="24"/>
        <v>367111650.48543686</v>
      </c>
      <c r="DZ19" s="118">
        <f t="shared" si="24"/>
        <v>378124999.99999994</v>
      </c>
      <c r="EA19" s="118">
        <f t="shared" si="24"/>
        <v>367111650.48543686</v>
      </c>
      <c r="EB19" s="15">
        <f t="shared" si="21"/>
        <v>1.4906192608956601E-11</v>
      </c>
      <c r="EC19" s="40">
        <f t="shared" si="15"/>
        <v>27500</v>
      </c>
      <c r="ED19" s="40">
        <f>IF(up_RadSpec!D19&lt;&gt;"",s_C*s_IFA_far_adj*s_K*up_RadSpec!D19,0)</f>
        <v>0</v>
      </c>
      <c r="EE19" s="40">
        <f t="shared" si="16"/>
        <v>2.5114155251141552</v>
      </c>
      <c r="EF19" s="40">
        <f>up_b2w!CC19</f>
        <v>608146.26076229871</v>
      </c>
      <c r="EG19" s="40">
        <f>IFERROR(s_C*up_RadSpec!AJ19*(1/1000)*s_IFFI_far_adj*s_CF_far_fish,0)</f>
        <v>756.25</v>
      </c>
      <c r="EH19" s="40">
        <f>IFERROR(s_C*up_RadSpec!AK19*(1/1000)*s_IFSF_far_adj*s_CF_far_shellfish,0)</f>
        <v>756.25</v>
      </c>
      <c r="EI19" s="40">
        <f>(s_C*s_IFB_far_adj*s_CF_far_beef*up_RadSpec!AI19*s_Q_w_beef*(1/1000))</f>
        <v>3781.25</v>
      </c>
      <c r="EJ19" s="40">
        <f>(s_C*s_IFD_far_adj*s_CF_far_dairy*up_RadSpec!AH19*(1/s_D_milk)*s_Q_w_dairy*(1/1000))</f>
        <v>3671.1165048543689</v>
      </c>
      <c r="EK19" s="40">
        <f>(s_C*s_IFSW_far_adj*s_CF_far_swine*up_RadSpec!AN19*s_Q_w_swine*(1/1000))</f>
        <v>3781.25</v>
      </c>
      <c r="EL19" s="40">
        <f>(s_C*s_IFP_far_adj*s_CF_far_poultry*up_RadSpec!AL19*s_Q_w_poultry*(1/1000))</f>
        <v>3781.25</v>
      </c>
      <c r="EM19" s="40">
        <f>(s_C*s_IFE_far_adj*s_CF_far_egg*up_RadSpec!AM19*s_Q_w_egg*(1/1000))</f>
        <v>3781.25</v>
      </c>
      <c r="EN19" s="40">
        <f>(s_C*s_IFGO_far_adj*s_CF_far_goat*up_RadSpec!AQ19*s_Q_p_goat*(1/1000))</f>
        <v>3781.25</v>
      </c>
      <c r="EO19" s="40">
        <f>(s_C*s_IFGM_far_adj*s_CF_far_goat_milk*up_RadSpec!AR19*(1/s_D_milk)*s_Q_p_goat_milk*(1/1000))</f>
        <v>3671.1165048543689</v>
      </c>
      <c r="EP19" s="40">
        <f>(s_C*s_IFSH_far_adj*s_CF_far_sheep*up_RadSpec!AO19*s_Q_p_sheep*(1/1000))</f>
        <v>3781.25</v>
      </c>
      <c r="EQ19" s="40">
        <f>(s_C*s_IFSM_far_adj*s_CF_far_sheep_milk*up_RadSpec!AP19*(1/s_D_milk)*s_Q_p_sheep_milk*(1/1000))</f>
        <v>3671.1165048543689</v>
      </c>
      <c r="ER19" s="18"/>
      <c r="ES19" s="18"/>
      <c r="ET19" s="18"/>
      <c r="EU19" s="18"/>
      <c r="EV19" s="18"/>
      <c r="EW19" s="18"/>
      <c r="EX19" s="18"/>
      <c r="EY19" s="18"/>
      <c r="EZ19" s="18"/>
      <c r="FA19" s="18"/>
      <c r="FB19" s="18"/>
      <c r="FC19" s="18"/>
      <c r="FD19" s="18"/>
      <c r="FE19" s="18"/>
      <c r="FF19" s="18"/>
      <c r="FG19" s="5"/>
      <c r="FH19" s="15">
        <f>IFERROR((s_TR/(up_RadSpec!F19*s_IFA_far_adj)),".")</f>
        <v>9.9740259740259755E-10</v>
      </c>
      <c r="FI19" s="15">
        <f>IFERROR((s_TR/(up_RadSpec!K19*s_EF_far*(1/365)*s_ED_far*s_ET_far*(1/24)*s_GSF_a)),".")</f>
        <v>6.3709090909090908E-6</v>
      </c>
      <c r="FJ19" s="15">
        <f t="shared" si="22"/>
        <v>9.9724647271019672E-10</v>
      </c>
      <c r="FK19" s="40">
        <f t="shared" si="18"/>
        <v>10026.041666666666</v>
      </c>
      <c r="FL19" s="40">
        <f t="shared" si="19"/>
        <v>1.5696347031963471</v>
      </c>
      <c r="FM19" s="120"/>
      <c r="FN19" s="120"/>
      <c r="FO19" s="120"/>
    </row>
    <row r="20" spans="1:171" customFormat="1" x14ac:dyDescent="0.25">
      <c r="A20" s="44" t="s">
        <v>30</v>
      </c>
      <c r="B20" s="42" t="s">
        <v>1071</v>
      </c>
      <c r="C20" s="249"/>
      <c r="D20" s="15">
        <f>up_dir!AC20</f>
        <v>1.6528925619834712E-11</v>
      </c>
      <c r="E20" s="15">
        <f>IFERROR(s_TR/(up_RadSpec!H20*s_IFP_far_adj*s_CF_far_poultry),".")</f>
        <v>6.6115702479338848E-11</v>
      </c>
      <c r="F20" s="15">
        <f>IFERROR(s_TR/(up_RadSpec!H20*s_IFE_far_adj*s_CF_far_egg),".")</f>
        <v>6.6115702479338848E-11</v>
      </c>
      <c r="G20" s="15">
        <f>IFERROR(s_TR/(up_RadSpec!H20*s_IFB_far_adj*s_CF_far_beef),".")</f>
        <v>6.6115702479338848E-11</v>
      </c>
      <c r="H20" s="15">
        <f>IFERROR(s_TR/(up_RadSpec!H20*s_IFD_far_adj*s_CF_far_dairy),".")</f>
        <v>6.6115702479338848E-11</v>
      </c>
      <c r="I20" s="15">
        <f>IFERROR(s_TR/(up_RadSpec!H20*s_IFSW_far_adj*s_CF_far_swine),".")</f>
        <v>6.6115702479338848E-11</v>
      </c>
      <c r="J20" s="15">
        <f>IFERROR(s_TR/(up_RadSpec!H20*s_IFFI_far_adj*s_CF_far_fish),".")</f>
        <v>6.6115702479338848E-11</v>
      </c>
      <c r="K20" s="15">
        <f>IFERROR(s_TR/(up_RadSpec!H20*s_IFSF_far_adj*s_CF_far_shellfish),".")</f>
        <v>6.6115702479338848E-11</v>
      </c>
      <c r="L20" s="15">
        <f>IFERROR(s_TR/(up_RadSpec!H20*s_IFGO_far_adj*s_CF_far_goat),".")</f>
        <v>6.6115702479338848E-11</v>
      </c>
      <c r="M20" s="15">
        <f>IFERROR(s_TR/(up_RadSpec!H20*s_IFSH_far_adj*s_CF_far_sheep),".")</f>
        <v>6.6115702479338848E-11</v>
      </c>
      <c r="N20" s="15">
        <f>IFERROR(s_TR/(up_RadSpec!H20*s_IFGM_far_adj*s_CF_far_goat_milk),".")</f>
        <v>6.6115702479338848E-11</v>
      </c>
      <c r="O20" s="15">
        <f>IFERROR(s_TR/(up_RadSpec!H20*s_IFSM_far_adj*s_CF_far_sheep_milk),".")</f>
        <v>6.6115702479338848E-11</v>
      </c>
      <c r="P20" s="40">
        <f>up_dir!BC20</f>
        <v>605000</v>
      </c>
      <c r="Q20" s="40">
        <f t="shared" si="0"/>
        <v>151250</v>
      </c>
      <c r="R20" s="40">
        <f t="shared" si="1"/>
        <v>151250</v>
      </c>
      <c r="S20" s="40">
        <f t="shared" si="2"/>
        <v>151250</v>
      </c>
      <c r="T20" s="40">
        <f t="shared" si="3"/>
        <v>151250</v>
      </c>
      <c r="U20" s="40">
        <f t="shared" si="4"/>
        <v>151250</v>
      </c>
      <c r="V20" s="40">
        <f t="shared" si="5"/>
        <v>151250</v>
      </c>
      <c r="W20" s="40">
        <f t="shared" si="6"/>
        <v>151250</v>
      </c>
      <c r="X20" s="40">
        <f t="shared" si="7"/>
        <v>151250</v>
      </c>
      <c r="Y20" s="40">
        <f t="shared" si="8"/>
        <v>151250</v>
      </c>
      <c r="Z20" s="40">
        <f t="shared" si="9"/>
        <v>151250</v>
      </c>
      <c r="AA20" s="40">
        <f t="shared" si="10"/>
        <v>151250</v>
      </c>
      <c r="AB20" s="5"/>
      <c r="AC20" s="5"/>
      <c r="AD20" s="5"/>
      <c r="AE20" s="5"/>
      <c r="AF20" s="5"/>
      <c r="AG20" s="5"/>
      <c r="AH20" s="5"/>
      <c r="AI20" s="5"/>
      <c r="AJ20" s="5"/>
      <c r="AK20" s="5"/>
      <c r="AL20" s="5"/>
      <c r="AM20" s="5"/>
      <c r="AN20" s="45">
        <f>IFERROR((s_TR/(up_RadSpec!E20*s_IFS_far_adj*(1/1000)))*1,".")</f>
        <v>3.3057851239669421E-8</v>
      </c>
      <c r="AO20" s="45">
        <f>IFERROR(IF(A20="H-3",(s_TR/(up_RadSpec!F20*s_IFA_far_adj*(1/17)*1000))*1,(s_TR/(up_RadSpec!F20*s_IFA_far_adj*(1/s_PEF_wind)*1000))*1),".")</f>
        <v>3.0899917851942918E-4</v>
      </c>
      <c r="AP20" s="45">
        <f>IFERROR((s_TR/(up_RadSpec!G20*s_EF_far*(1/365)*s_ED_far*up_RadSpec!R20*((s_ET_far_o*(1/24)*up_RadSpec!W20)+(s_ET_far_i*(1/24)*up_RadSpec!AB20))))*1,".")</f>
        <v>1.4974754817732421E-5</v>
      </c>
      <c r="AQ20" s="45">
        <f>up_b2s!BC20</f>
        <v>3.2968835384132272E-12</v>
      </c>
      <c r="AR20" s="45">
        <f>IFERROR(((J20*up_RadSpec!AU20)/up_RadSpec!AJ20)*1,".")</f>
        <v>6.6115702479338848E-11</v>
      </c>
      <c r="AS20" s="45">
        <f>IFERROR(((K20*up_RadSpec!AU20)/up_RadSpec!AK20)*1,".")</f>
        <v>6.6115702479338848E-11</v>
      </c>
      <c r="AT20" s="45">
        <f>IFERROR((G20/(up_RadSpec!AI20*((s_Q_p_beef*s_f_p_beef*s_f_s_beef*(up_RadSpec!BD20+s_R_es_past))+(s_Q_s_beef*s_f_p_beef))))*1,".")</f>
        <v>1.8558793678410904E-14</v>
      </c>
      <c r="AU20" s="45">
        <f>IFERROR(((H20*s_D_milk)/(up_RadSpec!AH20*((s_Q_p_dairy*s_f_p_dairy*s_f_s_dairy*(up_RadSpec!BD20+s_R_es_past))+(s_Q_s_dairy*s_f_p_dairy))))*1,".")</f>
        <v>1.9115557488763232E-14</v>
      </c>
      <c r="AV20" s="45">
        <f>IFERROR((I20/(up_RadSpec!AN20*((s_Q_p_swine*s_f_p_swine*s_f_s_swine*(up_RadSpec!BD20+s_R_es_past))+(s_Q_s_swine*s_f_p_swine))))*1,".")</f>
        <v>1.8558793678410904E-14</v>
      </c>
      <c r="AW20" s="45">
        <f>IFERROR((E20/(up_RadSpec!AL20*((s_Q_p_poultry*s_f_p_poultry*s_f_s_poultry*(up_RadSpec!BD20+s_R_es_past))+(s_Q_s_poultry*s_f_p_poultry))))*1,".")</f>
        <v>1.8558793678410904E-14</v>
      </c>
      <c r="AX20" s="45">
        <f>IFERROR((F20/(up_RadSpec!AM20*((s_Q_p_poultry*s_f_p_poultry*s_f_s_poultry*(up_RadSpec!BD20+s_R_es_past))+(s_Q_s_poultry*s_f_p_poultry))))*1,".")</f>
        <v>1.8558793678410904E-14</v>
      </c>
      <c r="AY20" s="45">
        <f>IFERROR((L20/(up_RadSpec!AQ20*((s_Q_p_goat*s_f_p_goat*s_f_s_goat*(up_RadSpec!BD20+s_R_es_past))+(s_Q_s_goat*s_f_p_goat))))*1,".")</f>
        <v>1.8558793678410904E-14</v>
      </c>
      <c r="AZ20" s="45">
        <f>IFERROR((N20*s_D_milk/(up_RadSpec!AR20*((s_Q_p_goat_milk*s_f_p_goat_milk*s_f_s_goat_milk*(up_RadSpec!BD20+s_R_es_past))+(s_Q_s_goat_milk*s_f_p_goat_milk))))*1,".")</f>
        <v>1.9115557488763232E-14</v>
      </c>
      <c r="BA20" s="45">
        <f>IFERROR((M20/(up_RadSpec!AO20*((s_Q_p_sheep*s_f_p_sheep*s_f_s_sheep*(up_RadSpec!BD20+s_R_es_past))+(s_Q_s_sheep*s_f_p_sheep))))*1,".")</f>
        <v>1.8558793678410904E-14</v>
      </c>
      <c r="BB20" s="45">
        <f>IFERROR((O20*s_D_milk/(up_RadSpec!AP20*((s_Q_p_sheep_milk*s_f_p_sheep_milk*s_f_s_sheep_milk*(up_RadSpec!BD20+s_R_es_past))+(s_Q_s_sheep_milk*s_f_p_sheep_milk))))*1,".")</f>
        <v>1.9115557488763232E-14</v>
      </c>
      <c r="BC20" s="118">
        <f t="shared" si="23"/>
        <v>30250000</v>
      </c>
      <c r="BD20" s="118">
        <f t="shared" si="23"/>
        <v>3236.2545583179349</v>
      </c>
      <c r="BE20" s="118">
        <f t="shared" si="23"/>
        <v>66779.056630419465</v>
      </c>
      <c r="BF20" s="118">
        <f t="shared" si="23"/>
        <v>303316749999.99994</v>
      </c>
      <c r="BG20" s="118">
        <f t="shared" si="23"/>
        <v>15124999999.999998</v>
      </c>
      <c r="BH20" s="118">
        <f t="shared" si="23"/>
        <v>15124999999.999998</v>
      </c>
      <c r="BI20" s="118">
        <f t="shared" si="23"/>
        <v>53882812500000</v>
      </c>
      <c r="BJ20" s="118">
        <f t="shared" si="23"/>
        <v>52313410194174.758</v>
      </c>
      <c r="BK20" s="118">
        <f t="shared" si="23"/>
        <v>53882812500000</v>
      </c>
      <c r="BL20" s="118">
        <f t="shared" si="23"/>
        <v>53882812500000</v>
      </c>
      <c r="BM20" s="118">
        <f t="shared" si="23"/>
        <v>53882812500000</v>
      </c>
      <c r="BN20" s="118">
        <f t="shared" si="23"/>
        <v>53882812500000</v>
      </c>
      <c r="BO20" s="118">
        <f t="shared" si="23"/>
        <v>52313410194174.758</v>
      </c>
      <c r="BP20" s="118">
        <f t="shared" si="23"/>
        <v>53882812500000</v>
      </c>
      <c r="BQ20" s="118">
        <f t="shared" si="23"/>
        <v>52313410194174.758</v>
      </c>
      <c r="BR20" s="15">
        <f t="shared" si="20"/>
        <v>2.0808592668684097E-15</v>
      </c>
      <c r="BS20" s="40">
        <f t="shared" si="12"/>
        <v>302.5</v>
      </c>
      <c r="BT20" s="40">
        <f t="shared" si="13"/>
        <v>3.2362545583179352E-2</v>
      </c>
      <c r="BU20" s="40">
        <f>IFERROR((s_C*s_EF_far*(1/365)*s_ED_far*up_RadSpec!R20*((s_ET_far_o*(1/24)*up_RadSpec!W20)+(s_ET_far_i*(1/24)*up_RadSpec!AB20))),".")</f>
        <v>0.66779056630419464</v>
      </c>
      <c r="BV20" s="40">
        <f>up_b2s!CC20</f>
        <v>3033167.5</v>
      </c>
      <c r="BW20" s="40">
        <f>IFERROR(((s_C*up_RadSpec!AJ20)/up_RadSpec!AU20)*s_IFFI_far_adj*s_CF_far_fish,0)</f>
        <v>151250</v>
      </c>
      <c r="BX20" s="40">
        <f>IFERROR(((s_C*up_RadSpec!AK20)/up_RadSpec!AU20)*s_IFSF_far_adj*s_CF_far_shellfish,0)</f>
        <v>151250</v>
      </c>
      <c r="BY20" s="40">
        <f>(s_C*s_IFB_far_adj*s_CF_far_beef*up_RadSpec!AI20*((s_Q_p_beef*s_f_p_beef*s_f_s_beef*(up_RadSpec!$AT20+s_R_es_past))+(s_Q_s_beef*s_f_p_beef)))</f>
        <v>538828125</v>
      </c>
      <c r="BZ20" s="40">
        <f>(s_C*s_IFD_far_adj*s_CF_far_dairy*up_RadSpec!AH20*1/s_D_milk*((s_Q_p_dairy*s_f_p_dairy*s_f_s_dairy*(up_RadSpec!$AT20+s_R_es_past))+(s_Q_s_dairy*s_f_p_dairy)))</f>
        <v>523134101.94174761</v>
      </c>
      <c r="CA20" s="40">
        <f>(s_C*s_IFSW_far_adj*s_CF_far_swine*up_RadSpec!AN20*((s_Q_p_swine*s_f_p_swine*s_f_s_swine*(up_RadSpec!$AT20+s_R_es_past))+(s_Q_s_swine*s_f_p_swine)))</f>
        <v>538828125</v>
      </c>
      <c r="CB20" s="40">
        <f>(s_C*s_IFP_far_adj*s_CF_far_poultry*up_RadSpec!AL20*((s_Q_p_poultry*s_f_p_poultry*s_f_s_poultry*(up_RadSpec!AT20+s_R_es_past))+(s_Q_s_poultry*s_f_p_poultry)))</f>
        <v>538828125</v>
      </c>
      <c r="CC20" s="40">
        <f>(s_C*s_IFE_far_adj*s_CF_far_egg*up_RadSpec!AM20*((s_Q_p_egg*s_f_p_egg*s_f_s_egg*(up_RadSpec!$AT20+s_R_es_past))+(s_Q_s_egg*s_f_p_egg)))</f>
        <v>538828125</v>
      </c>
      <c r="CD20" s="40">
        <f>(s_C*s_IFGO_far_adj*s_CF_far_goat*up_RadSpec!AQ20*((s_Q_p_goat*s_f_p_goat*s_f_s_goat*(up_RadSpec!$AT20+s_R_es_past))+(s_Q_s_goat*s_f_p_goat)))</f>
        <v>538828125</v>
      </c>
      <c r="CE20" s="40">
        <f>(s_C*s_IFGM_far_adj*s_CF_far_goat_milk*up_RadSpec!AR20*1/s_D_milk*((s_Q_p_goat_milk*s_f_p_goat_milk*s_f_s_goat_milk*(up_RadSpec!$AT20+s_R_es_past))+(s_Q_s_goat_milk*s_f_p_goat_milk)))</f>
        <v>523134101.94174761</v>
      </c>
      <c r="CF20" s="40">
        <f>(s_C*s_IFSH_far_adj*s_CF_far_sheep*up_RadSpec!AO20*((s_Q_p_sheep*s_f_p_sheep*s_f_s_sheep*(up_RadSpec!$AT20+s_R_es_past))+(s_Q_s_sheep*s_f_p_sheep)))</f>
        <v>538828125</v>
      </c>
      <c r="CG20" s="40">
        <f>(s_C*s_IFSM_far_adj*s_CF_far_sheep_milk*up_RadSpec!AP20*1/s_D_milk*((s_Q_p_sheep_milk*s_f_p_sheep_milk*s_f_s_sheep_milk*(up_RadSpec!$AT20+s_R_es_past))+(s_Q_s_sheep_milk*s_f_p_sheep_milk)))</f>
        <v>523134101.94174761</v>
      </c>
      <c r="CH20" s="18"/>
      <c r="CI20" s="18"/>
      <c r="CJ20" s="18"/>
      <c r="CK20" s="18"/>
      <c r="CL20" s="18"/>
      <c r="CM20" s="18"/>
      <c r="CN20" s="18"/>
      <c r="CO20" s="18"/>
      <c r="CP20" s="18"/>
      <c r="CQ20" s="18"/>
      <c r="CR20" s="18"/>
      <c r="CS20" s="18"/>
      <c r="CT20" s="18"/>
      <c r="CU20" s="18"/>
      <c r="CV20" s="18"/>
      <c r="CW20" s="5"/>
      <c r="CX20" s="15">
        <f>IFERROR(s_TR/(up_RadSpec!I20*s_IFW_far_adj),".")</f>
        <v>3.6363636363636369E-10</v>
      </c>
      <c r="CY20" s="15">
        <f>IFERROR(IF(AND(up_RadSpec!C20=1,up_RadSpec!D20&lt;&gt;0),s_TR/(up_RadSpec!F20*s_IFA_far_adj*s_K*up_RadSpec!D20),"."),".")</f>
        <v>3.9187253504904385E-8</v>
      </c>
      <c r="CZ20" s="15">
        <f>IFERROR((s_TR/(up_RadSpec!M20*(1/8760)*s_DFA_far_adj)),".")</f>
        <v>3.9818181818181825E-6</v>
      </c>
      <c r="DA20" s="15">
        <f>up_b2w!BC20</f>
        <v>1.6443412786038031E-11</v>
      </c>
      <c r="DB20" s="15">
        <f>IFERROR(J20/(up_RadSpec!AJ20*(1/1000)),".")</f>
        <v>1.322314049586777E-8</v>
      </c>
      <c r="DC20" s="15">
        <f>IFERROR(K20/(up_RadSpec!AK20*(1/1000)),".")</f>
        <v>1.322314049586777E-8</v>
      </c>
      <c r="DD20" s="15">
        <f>IFERROR(G20/(up_RadSpec!AI20*s_Q_w_beef*(1/1000)),".")</f>
        <v>2.6446280991735539E-9</v>
      </c>
      <c r="DE20" s="15">
        <f>IFERROR((H20*s_D_milk)/(up_RadSpec!AH20*s_Q_w_dairy*(1/1000)),".")</f>
        <v>2.7239669421487605E-9</v>
      </c>
      <c r="DF20" s="15">
        <f>IFERROR(I20/(up_RadSpec!AN20*s_Q_w_swine*(1/1000)),".")</f>
        <v>2.6446280991735539E-9</v>
      </c>
      <c r="DG20" s="15">
        <f>IFERROR(E20/(up_RadSpec!AL20*s_Q_w_poultry*(1/1000)),".")</f>
        <v>2.6446280991735539E-9</v>
      </c>
      <c r="DH20" s="15">
        <f>IFERROR(F20/(up_RadSpec!AM20*s_Q_w_poultry*(1/1000)),".")</f>
        <v>2.6446280991735539E-9</v>
      </c>
      <c r="DI20" s="15">
        <f>IFERROR(L20/(up_RadSpec!AQ20*s_Q_w_goat*(1/1000)),".")</f>
        <v>2.6446280991735539E-9</v>
      </c>
      <c r="DJ20" s="15">
        <f>IFERROR(N20*s_D_milk/(up_RadSpec!AR20*s_Q_w_goat_milk*(1/1000)),".")</f>
        <v>2.7239669421487605E-9</v>
      </c>
      <c r="DK20" s="15">
        <f>IFERROR(M20/(up_RadSpec!AO20*s_Q_w_sheep*(1/1000)),".")</f>
        <v>2.6446280991735539E-9</v>
      </c>
      <c r="DL20" s="15">
        <f>IFERROR(O20*s_D_milk/(up_RadSpec!AP20*s_Q_w_sheep_milk*(1/1000)),".")</f>
        <v>2.7239669421487605E-9</v>
      </c>
      <c r="DM20" s="118">
        <f t="shared" si="24"/>
        <v>2749999999.9999995</v>
      </c>
      <c r="DN20" s="118">
        <f t="shared" si="24"/>
        <v>25518501.822916664</v>
      </c>
      <c r="DO20" s="118">
        <f t="shared" si="24"/>
        <v>251141.55251141547</v>
      </c>
      <c r="DP20" s="118">
        <f t="shared" si="24"/>
        <v>60814626076.229866</v>
      </c>
      <c r="DQ20" s="118">
        <f t="shared" si="24"/>
        <v>75624999.999999985</v>
      </c>
      <c r="DR20" s="118">
        <f t="shared" si="24"/>
        <v>75624999.999999985</v>
      </c>
      <c r="DS20" s="118">
        <f t="shared" si="24"/>
        <v>378124999.99999994</v>
      </c>
      <c r="DT20" s="118">
        <f t="shared" si="24"/>
        <v>367111650.48543686</v>
      </c>
      <c r="DU20" s="118">
        <f t="shared" si="24"/>
        <v>378124999.99999994</v>
      </c>
      <c r="DV20" s="118">
        <f t="shared" si="24"/>
        <v>378124999.99999994</v>
      </c>
      <c r="DW20" s="118">
        <f t="shared" si="24"/>
        <v>378124999.99999994</v>
      </c>
      <c r="DX20" s="118">
        <f t="shared" si="24"/>
        <v>378124999.99999994</v>
      </c>
      <c r="DY20" s="118">
        <f t="shared" si="24"/>
        <v>367111650.48543686</v>
      </c>
      <c r="DZ20" s="118">
        <f t="shared" si="24"/>
        <v>378124999.99999994</v>
      </c>
      <c r="EA20" s="118">
        <f t="shared" si="24"/>
        <v>367111650.48543686</v>
      </c>
      <c r="EB20" s="15">
        <f t="shared" si="21"/>
        <v>1.49005246921936E-11</v>
      </c>
      <c r="EC20" s="40">
        <f t="shared" si="15"/>
        <v>27500</v>
      </c>
      <c r="ED20" s="40">
        <f>IF(up_RadSpec!D20&lt;&gt;"",s_C*s_IFA_far_adj*s_K*up_RadSpec!D20,0)</f>
        <v>255.18501822916667</v>
      </c>
      <c r="EE20" s="40">
        <f t="shared" si="16"/>
        <v>2.5114155251141552</v>
      </c>
      <c r="EF20" s="40">
        <f>up_b2w!CC20</f>
        <v>608146.26076229871</v>
      </c>
      <c r="EG20" s="40">
        <f>IFERROR(s_C*up_RadSpec!AJ20*(1/1000)*s_IFFI_far_adj*s_CF_far_fish,0)</f>
        <v>756.25</v>
      </c>
      <c r="EH20" s="40">
        <f>IFERROR(s_C*up_RadSpec!AK20*(1/1000)*s_IFSF_far_adj*s_CF_far_shellfish,0)</f>
        <v>756.25</v>
      </c>
      <c r="EI20" s="40">
        <f>(s_C*s_IFB_far_adj*s_CF_far_beef*up_RadSpec!AI20*s_Q_w_beef*(1/1000))</f>
        <v>3781.25</v>
      </c>
      <c r="EJ20" s="40">
        <f>(s_C*s_IFD_far_adj*s_CF_far_dairy*up_RadSpec!AH20*(1/s_D_milk)*s_Q_w_dairy*(1/1000))</f>
        <v>3671.1165048543689</v>
      </c>
      <c r="EK20" s="40">
        <f>(s_C*s_IFSW_far_adj*s_CF_far_swine*up_RadSpec!AN20*s_Q_w_swine*(1/1000))</f>
        <v>3781.25</v>
      </c>
      <c r="EL20" s="40">
        <f>(s_C*s_IFP_far_adj*s_CF_far_poultry*up_RadSpec!AL20*s_Q_w_poultry*(1/1000))</f>
        <v>3781.25</v>
      </c>
      <c r="EM20" s="40">
        <f>(s_C*s_IFE_far_adj*s_CF_far_egg*up_RadSpec!AM20*s_Q_w_egg*(1/1000))</f>
        <v>3781.25</v>
      </c>
      <c r="EN20" s="40">
        <f>(s_C*s_IFGO_far_adj*s_CF_far_goat*up_RadSpec!AQ20*s_Q_p_goat*(1/1000))</f>
        <v>3781.25</v>
      </c>
      <c r="EO20" s="40">
        <f>(s_C*s_IFGM_far_adj*s_CF_far_goat_milk*up_RadSpec!AR20*(1/s_D_milk)*s_Q_p_goat_milk*(1/1000))</f>
        <v>3671.1165048543689</v>
      </c>
      <c r="EP20" s="40">
        <f>(s_C*s_IFSH_far_adj*s_CF_far_sheep*up_RadSpec!AO20*s_Q_p_sheep*(1/1000))</f>
        <v>3781.25</v>
      </c>
      <c r="EQ20" s="40">
        <f>(s_C*s_IFSM_far_adj*s_CF_far_sheep_milk*up_RadSpec!AP20*(1/s_D_milk)*s_Q_p_sheep_milk*(1/1000))</f>
        <v>3671.1165048543689</v>
      </c>
      <c r="ER20" s="18"/>
      <c r="ES20" s="18"/>
      <c r="ET20" s="18"/>
      <c r="EU20" s="18"/>
      <c r="EV20" s="18"/>
      <c r="EW20" s="18"/>
      <c r="EX20" s="18"/>
      <c r="EY20" s="18"/>
      <c r="EZ20" s="18"/>
      <c r="FA20" s="18"/>
      <c r="FB20" s="18"/>
      <c r="FC20" s="18"/>
      <c r="FD20" s="18"/>
      <c r="FE20" s="18"/>
      <c r="FF20" s="18"/>
      <c r="FG20" s="5"/>
      <c r="FH20" s="15">
        <f>IFERROR((s_TR/(up_RadSpec!F20*s_IFA_far_adj)),".")</f>
        <v>9.9740259740259755E-10</v>
      </c>
      <c r="FI20" s="15">
        <f>IFERROR((s_TR/(up_RadSpec!K20*s_EF_far*(1/365)*s_ED_far*s_ET_far*(1/24)*s_GSF_a)),".")</f>
        <v>6.3709090909090908E-6</v>
      </c>
      <c r="FJ20" s="15">
        <f t="shared" si="22"/>
        <v>9.9724647271019672E-10</v>
      </c>
      <c r="FK20" s="40">
        <f t="shared" si="18"/>
        <v>10026.041666666666</v>
      </c>
      <c r="FL20" s="40">
        <f t="shared" si="19"/>
        <v>1.5696347031963471</v>
      </c>
      <c r="FM20" s="120"/>
      <c r="FN20" s="120"/>
      <c r="FO20" s="120"/>
    </row>
    <row r="21" spans="1:171" customFormat="1" x14ac:dyDescent="0.25">
      <c r="A21" s="44" t="s">
        <v>31</v>
      </c>
      <c r="B21" s="42" t="s">
        <v>1071</v>
      </c>
      <c r="C21" s="249"/>
      <c r="D21" s="15">
        <f>up_dir!AC21</f>
        <v>1.6528925619834712E-11</v>
      </c>
      <c r="E21" s="15">
        <f>IFERROR(s_TR/(up_RadSpec!H21*s_IFP_far_adj*s_CF_far_poultry),".")</f>
        <v>6.6115702479338848E-11</v>
      </c>
      <c r="F21" s="15">
        <f>IFERROR(s_TR/(up_RadSpec!H21*s_IFE_far_adj*s_CF_far_egg),".")</f>
        <v>6.6115702479338848E-11</v>
      </c>
      <c r="G21" s="15">
        <f>IFERROR(s_TR/(up_RadSpec!H21*s_IFB_far_adj*s_CF_far_beef),".")</f>
        <v>6.6115702479338848E-11</v>
      </c>
      <c r="H21" s="15">
        <f>IFERROR(s_TR/(up_RadSpec!H21*s_IFD_far_adj*s_CF_far_dairy),".")</f>
        <v>6.6115702479338848E-11</v>
      </c>
      <c r="I21" s="15">
        <f>IFERROR(s_TR/(up_RadSpec!H21*s_IFSW_far_adj*s_CF_far_swine),".")</f>
        <v>6.6115702479338848E-11</v>
      </c>
      <c r="J21" s="15">
        <f>IFERROR(s_TR/(up_RadSpec!H21*s_IFFI_far_adj*s_CF_far_fish),".")</f>
        <v>6.6115702479338848E-11</v>
      </c>
      <c r="K21" s="15">
        <f>IFERROR(s_TR/(up_RadSpec!H21*s_IFSF_far_adj*s_CF_far_shellfish),".")</f>
        <v>6.6115702479338848E-11</v>
      </c>
      <c r="L21" s="15">
        <f>IFERROR(s_TR/(up_RadSpec!H21*s_IFGO_far_adj*s_CF_far_goat),".")</f>
        <v>6.6115702479338848E-11</v>
      </c>
      <c r="M21" s="15">
        <f>IFERROR(s_TR/(up_RadSpec!H21*s_IFSH_far_adj*s_CF_far_sheep),".")</f>
        <v>6.6115702479338848E-11</v>
      </c>
      <c r="N21" s="15">
        <f>IFERROR(s_TR/(up_RadSpec!H21*s_IFGM_far_adj*s_CF_far_goat_milk),".")</f>
        <v>6.6115702479338848E-11</v>
      </c>
      <c r="O21" s="15">
        <f>IFERROR(s_TR/(up_RadSpec!H21*s_IFSM_far_adj*s_CF_far_sheep_milk),".")</f>
        <v>6.6115702479338848E-11</v>
      </c>
      <c r="P21" s="40">
        <f>up_dir!BC21</f>
        <v>605000</v>
      </c>
      <c r="Q21" s="40">
        <f t="shared" si="0"/>
        <v>151250</v>
      </c>
      <c r="R21" s="40">
        <f t="shared" si="1"/>
        <v>151250</v>
      </c>
      <c r="S21" s="40">
        <f t="shared" si="2"/>
        <v>151250</v>
      </c>
      <c r="T21" s="40">
        <f t="shared" si="3"/>
        <v>151250</v>
      </c>
      <c r="U21" s="40">
        <f t="shared" si="4"/>
        <v>151250</v>
      </c>
      <c r="V21" s="40">
        <f t="shared" si="5"/>
        <v>151250</v>
      </c>
      <c r="W21" s="40">
        <f t="shared" si="6"/>
        <v>151250</v>
      </c>
      <c r="X21" s="40">
        <f t="shared" si="7"/>
        <v>151250</v>
      </c>
      <c r="Y21" s="40">
        <f t="shared" si="8"/>
        <v>151250</v>
      </c>
      <c r="Z21" s="40">
        <f t="shared" si="9"/>
        <v>151250</v>
      </c>
      <c r="AA21" s="40">
        <f t="shared" si="10"/>
        <v>151250</v>
      </c>
      <c r="AB21" s="5"/>
      <c r="AC21" s="5"/>
      <c r="AD21" s="5"/>
      <c r="AE21" s="5"/>
      <c r="AF21" s="5"/>
      <c r="AG21" s="5"/>
      <c r="AH21" s="5"/>
      <c r="AI21" s="5"/>
      <c r="AJ21" s="5"/>
      <c r="AK21" s="5"/>
      <c r="AL21" s="5"/>
      <c r="AM21" s="5"/>
      <c r="AN21" s="45">
        <f>IFERROR((s_TR/(up_RadSpec!E21*s_IFS_far_adj*(1/1000)))*1,".")</f>
        <v>3.3057851239669421E-8</v>
      </c>
      <c r="AO21" s="45">
        <f>IFERROR(IF(A21="H-3",(s_TR/(up_RadSpec!F21*s_IFA_far_adj*(1/17)*1000))*1,(s_TR/(up_RadSpec!F21*s_IFA_far_adj*(1/s_PEF_wind)*1000))*1),".")</f>
        <v>3.0899917851942918E-4</v>
      </c>
      <c r="AP21" s="45" t="str">
        <f>IFERROR((s_TR/(up_RadSpec!G21*s_EF_far*(1/365)*s_ED_far*up_RadSpec!R21*((s_ET_far_o*(1/24)*up_RadSpec!W21)+(s_ET_far_i*(1/24)*up_RadSpec!AB21))))*1,".")</f>
        <v>.</v>
      </c>
      <c r="AQ21" s="45">
        <f>up_b2s!BC21</f>
        <v>3.2968835384132272E-12</v>
      </c>
      <c r="AR21" s="45">
        <f>IFERROR(((J21*up_RadSpec!AU21)/up_RadSpec!AJ21)*1,".")</f>
        <v>6.6115702479338848E-11</v>
      </c>
      <c r="AS21" s="45">
        <f>IFERROR(((K21*up_RadSpec!AU21)/up_RadSpec!AK21)*1,".")</f>
        <v>6.6115702479338848E-11</v>
      </c>
      <c r="AT21" s="45">
        <f>IFERROR((G21/(up_RadSpec!AI21*((s_Q_p_beef*s_f_p_beef*s_f_s_beef*(up_RadSpec!BD21+s_R_es_past))+(s_Q_s_beef*s_f_p_beef))))*1,".")</f>
        <v>1.8558793678410904E-14</v>
      </c>
      <c r="AU21" s="45">
        <f>IFERROR(((H21*s_D_milk)/(up_RadSpec!AH21*((s_Q_p_dairy*s_f_p_dairy*s_f_s_dairy*(up_RadSpec!BD21+s_R_es_past))+(s_Q_s_dairy*s_f_p_dairy))))*1,".")</f>
        <v>1.9115557488763232E-14</v>
      </c>
      <c r="AV21" s="45">
        <f>IFERROR((I21/(up_RadSpec!AN21*((s_Q_p_swine*s_f_p_swine*s_f_s_swine*(up_RadSpec!BD21+s_R_es_past))+(s_Q_s_swine*s_f_p_swine))))*1,".")</f>
        <v>1.8558793678410904E-14</v>
      </c>
      <c r="AW21" s="45">
        <f>IFERROR((E21/(up_RadSpec!AL21*((s_Q_p_poultry*s_f_p_poultry*s_f_s_poultry*(up_RadSpec!BD21+s_R_es_past))+(s_Q_s_poultry*s_f_p_poultry))))*1,".")</f>
        <v>1.8558793678410904E-14</v>
      </c>
      <c r="AX21" s="45">
        <f>IFERROR((F21/(up_RadSpec!AM21*((s_Q_p_poultry*s_f_p_poultry*s_f_s_poultry*(up_RadSpec!BD21+s_R_es_past))+(s_Q_s_poultry*s_f_p_poultry))))*1,".")</f>
        <v>1.8558793678410904E-14</v>
      </c>
      <c r="AY21" s="45">
        <f>IFERROR((L21/(up_RadSpec!AQ21*((s_Q_p_goat*s_f_p_goat*s_f_s_goat*(up_RadSpec!BD21+s_R_es_past))+(s_Q_s_goat*s_f_p_goat))))*1,".")</f>
        <v>1.8558793678410904E-14</v>
      </c>
      <c r="AZ21" s="45">
        <f>IFERROR((N21*s_D_milk/(up_RadSpec!AR21*((s_Q_p_goat_milk*s_f_p_goat_milk*s_f_s_goat_milk*(up_RadSpec!BD21+s_R_es_past))+(s_Q_s_goat_milk*s_f_p_goat_milk))))*1,".")</f>
        <v>1.9115557488763232E-14</v>
      </c>
      <c r="BA21" s="45">
        <f>IFERROR((M21/(up_RadSpec!AO21*((s_Q_p_sheep*s_f_p_sheep*s_f_s_sheep*(up_RadSpec!BD21+s_R_es_past))+(s_Q_s_sheep*s_f_p_sheep))))*1,".")</f>
        <v>1.8558793678410904E-14</v>
      </c>
      <c r="BB21" s="45">
        <f>IFERROR((O21*s_D_milk/(up_RadSpec!AP21*((s_Q_p_sheep_milk*s_f_p_sheep_milk*s_f_s_sheep_milk*(up_RadSpec!BD21+s_R_es_past))+(s_Q_s_sheep_milk*s_f_p_sheep_milk))))*1,".")</f>
        <v>1.9115557488763232E-14</v>
      </c>
      <c r="BC21" s="118">
        <f t="shared" si="23"/>
        <v>30250000</v>
      </c>
      <c r="BD21" s="118">
        <f t="shared" si="23"/>
        <v>3236.2545583179349</v>
      </c>
      <c r="BE21" s="118" t="str">
        <f t="shared" si="23"/>
        <v>.</v>
      </c>
      <c r="BF21" s="118">
        <f t="shared" si="23"/>
        <v>303316749999.99994</v>
      </c>
      <c r="BG21" s="118">
        <f t="shared" si="23"/>
        <v>15124999999.999998</v>
      </c>
      <c r="BH21" s="118">
        <f t="shared" si="23"/>
        <v>15124999999.999998</v>
      </c>
      <c r="BI21" s="118">
        <f t="shared" si="23"/>
        <v>53882812500000</v>
      </c>
      <c r="BJ21" s="118">
        <f t="shared" si="23"/>
        <v>52313410194174.758</v>
      </c>
      <c r="BK21" s="118">
        <f t="shared" si="23"/>
        <v>53882812500000</v>
      </c>
      <c r="BL21" s="118">
        <f t="shared" si="23"/>
        <v>53882812500000</v>
      </c>
      <c r="BM21" s="118">
        <f t="shared" si="23"/>
        <v>53882812500000</v>
      </c>
      <c r="BN21" s="118">
        <f t="shared" si="23"/>
        <v>53882812500000</v>
      </c>
      <c r="BO21" s="118">
        <f t="shared" si="23"/>
        <v>52313410194174.758</v>
      </c>
      <c r="BP21" s="118">
        <f t="shared" si="23"/>
        <v>53882812500000</v>
      </c>
      <c r="BQ21" s="118">
        <f t="shared" si="23"/>
        <v>52313410194174.758</v>
      </c>
      <c r="BR21" s="15">
        <f t="shared" si="20"/>
        <v>2.0808592671575616E-15</v>
      </c>
      <c r="BS21" s="40">
        <f t="shared" si="12"/>
        <v>302.5</v>
      </c>
      <c r="BT21" s="40">
        <f t="shared" si="13"/>
        <v>3.2362545583179352E-2</v>
      </c>
      <c r="BU21" s="40">
        <f>IFERROR((s_C*s_EF_far*(1/365)*s_ED_far*up_RadSpec!R21*((s_ET_far_o*(1/24)*up_RadSpec!W21)+(s_ET_far_i*(1/24)*up_RadSpec!AB21))),".")</f>
        <v>0</v>
      </c>
      <c r="BV21" s="40">
        <f>up_b2s!CC21</f>
        <v>3033167.5</v>
      </c>
      <c r="BW21" s="40">
        <f>IFERROR(((s_C*up_RadSpec!AJ21)/up_RadSpec!AU21)*s_IFFI_far_adj*s_CF_far_fish,0)</f>
        <v>151250</v>
      </c>
      <c r="BX21" s="40">
        <f>IFERROR(((s_C*up_RadSpec!AK21)/up_RadSpec!AU21)*s_IFSF_far_adj*s_CF_far_shellfish,0)</f>
        <v>151250</v>
      </c>
      <c r="BY21" s="40">
        <f>(s_C*s_IFB_far_adj*s_CF_far_beef*up_RadSpec!AI21*((s_Q_p_beef*s_f_p_beef*s_f_s_beef*(up_RadSpec!$AT21+s_R_es_past))+(s_Q_s_beef*s_f_p_beef)))</f>
        <v>538828125</v>
      </c>
      <c r="BZ21" s="40">
        <f>(s_C*s_IFD_far_adj*s_CF_far_dairy*up_RadSpec!AH21*1/s_D_milk*((s_Q_p_dairy*s_f_p_dairy*s_f_s_dairy*(up_RadSpec!$AT21+s_R_es_past))+(s_Q_s_dairy*s_f_p_dairy)))</f>
        <v>523134101.94174761</v>
      </c>
      <c r="CA21" s="40">
        <f>(s_C*s_IFSW_far_adj*s_CF_far_swine*up_RadSpec!AN21*((s_Q_p_swine*s_f_p_swine*s_f_s_swine*(up_RadSpec!$AT21+s_R_es_past))+(s_Q_s_swine*s_f_p_swine)))</f>
        <v>538828125</v>
      </c>
      <c r="CB21" s="40">
        <f>(s_C*s_IFP_far_adj*s_CF_far_poultry*up_RadSpec!AL21*((s_Q_p_poultry*s_f_p_poultry*s_f_s_poultry*(up_RadSpec!AT21+s_R_es_past))+(s_Q_s_poultry*s_f_p_poultry)))</f>
        <v>538828125</v>
      </c>
      <c r="CC21" s="40">
        <f>(s_C*s_IFE_far_adj*s_CF_far_egg*up_RadSpec!AM21*((s_Q_p_egg*s_f_p_egg*s_f_s_egg*(up_RadSpec!$AT21+s_R_es_past))+(s_Q_s_egg*s_f_p_egg)))</f>
        <v>538828125</v>
      </c>
      <c r="CD21" s="40">
        <f>(s_C*s_IFGO_far_adj*s_CF_far_goat*up_RadSpec!AQ21*((s_Q_p_goat*s_f_p_goat*s_f_s_goat*(up_RadSpec!$AT21+s_R_es_past))+(s_Q_s_goat*s_f_p_goat)))</f>
        <v>538828125</v>
      </c>
      <c r="CE21" s="40">
        <f>(s_C*s_IFGM_far_adj*s_CF_far_goat_milk*up_RadSpec!AR21*1/s_D_milk*((s_Q_p_goat_milk*s_f_p_goat_milk*s_f_s_goat_milk*(up_RadSpec!$AT21+s_R_es_past))+(s_Q_s_goat_milk*s_f_p_goat_milk)))</f>
        <v>523134101.94174761</v>
      </c>
      <c r="CF21" s="40">
        <f>(s_C*s_IFSH_far_adj*s_CF_far_sheep*up_RadSpec!AO21*((s_Q_p_sheep*s_f_p_sheep*s_f_s_sheep*(up_RadSpec!$AT21+s_R_es_past))+(s_Q_s_sheep*s_f_p_sheep)))</f>
        <v>538828125</v>
      </c>
      <c r="CG21" s="40">
        <f>(s_C*s_IFSM_far_adj*s_CF_far_sheep_milk*up_RadSpec!AP21*1/s_D_milk*((s_Q_p_sheep_milk*s_f_p_sheep_milk*s_f_s_sheep_milk*(up_RadSpec!$AT21+s_R_es_past))+(s_Q_s_sheep_milk*s_f_p_sheep_milk)))</f>
        <v>523134101.94174761</v>
      </c>
      <c r="CH21" s="18"/>
      <c r="CI21" s="18"/>
      <c r="CJ21" s="18"/>
      <c r="CK21" s="18"/>
      <c r="CL21" s="18"/>
      <c r="CM21" s="18"/>
      <c r="CN21" s="18"/>
      <c r="CO21" s="18"/>
      <c r="CP21" s="18"/>
      <c r="CQ21" s="18"/>
      <c r="CR21" s="18"/>
      <c r="CS21" s="18"/>
      <c r="CT21" s="18"/>
      <c r="CU21" s="18"/>
      <c r="CV21" s="18"/>
      <c r="CW21" s="5"/>
      <c r="CX21" s="15">
        <f>IFERROR(s_TR/(up_RadSpec!I21*s_IFW_far_adj),".")</f>
        <v>3.6363636363636369E-10</v>
      </c>
      <c r="CY21" s="15">
        <f>IFERROR(IF(AND(up_RadSpec!C21=1,up_RadSpec!D21&lt;&gt;0),s_TR/(up_RadSpec!F21*s_IFA_far_adj*s_K*up_RadSpec!D21),"."),".")</f>
        <v>2.7382615489626788E-9</v>
      </c>
      <c r="CZ21" s="15">
        <f>IFERROR((s_TR/(up_RadSpec!M21*(1/8760)*s_DFA_far_adj)),".")</f>
        <v>3.9818181818181825E-6</v>
      </c>
      <c r="DA21" s="15">
        <f>up_b2w!BC21</f>
        <v>1.6443412786038031E-11</v>
      </c>
      <c r="DB21" s="15">
        <f>IFERROR(J21/(up_RadSpec!AJ21*(1/1000)),".")</f>
        <v>1.322314049586777E-8</v>
      </c>
      <c r="DC21" s="15">
        <f>IFERROR(K21/(up_RadSpec!AK21*(1/1000)),".")</f>
        <v>1.322314049586777E-8</v>
      </c>
      <c r="DD21" s="15">
        <f>IFERROR(G21/(up_RadSpec!AI21*s_Q_w_beef*(1/1000)),".")</f>
        <v>2.6446280991735539E-9</v>
      </c>
      <c r="DE21" s="15">
        <f>IFERROR((H21*s_D_milk)/(up_RadSpec!AH21*s_Q_w_dairy*(1/1000)),".")</f>
        <v>2.7239669421487605E-9</v>
      </c>
      <c r="DF21" s="15">
        <f>IFERROR(I21/(up_RadSpec!AN21*s_Q_w_swine*(1/1000)),".")</f>
        <v>2.6446280991735539E-9</v>
      </c>
      <c r="DG21" s="15">
        <f>IFERROR(E21/(up_RadSpec!AL21*s_Q_w_poultry*(1/1000)),".")</f>
        <v>2.6446280991735539E-9</v>
      </c>
      <c r="DH21" s="15">
        <f>IFERROR(F21/(up_RadSpec!AM21*s_Q_w_poultry*(1/1000)),".")</f>
        <v>2.6446280991735539E-9</v>
      </c>
      <c r="DI21" s="15">
        <f>IFERROR(L21/(up_RadSpec!AQ21*s_Q_w_goat*(1/1000)),".")</f>
        <v>2.6446280991735539E-9</v>
      </c>
      <c r="DJ21" s="15">
        <f>IFERROR(N21*s_D_milk/(up_RadSpec!AR21*s_Q_w_goat_milk*(1/1000)),".")</f>
        <v>2.7239669421487605E-9</v>
      </c>
      <c r="DK21" s="15">
        <f>IFERROR(M21/(up_RadSpec!AO21*s_Q_w_sheep*(1/1000)),".")</f>
        <v>2.6446280991735539E-9</v>
      </c>
      <c r="DL21" s="15">
        <f>IFERROR(O21*s_D_milk/(up_RadSpec!AP21*s_Q_w_sheep_milk*(1/1000)),".")</f>
        <v>2.7239669421487605E-9</v>
      </c>
      <c r="DM21" s="118">
        <f t="shared" si="24"/>
        <v>2749999999.9999995</v>
      </c>
      <c r="DN21" s="118">
        <f t="shared" si="24"/>
        <v>365195209.48567706</v>
      </c>
      <c r="DO21" s="118">
        <f t="shared" si="24"/>
        <v>251141.55251141547</v>
      </c>
      <c r="DP21" s="118">
        <f t="shared" si="24"/>
        <v>60814626076.229866</v>
      </c>
      <c r="DQ21" s="118">
        <f t="shared" si="24"/>
        <v>75624999.999999985</v>
      </c>
      <c r="DR21" s="118">
        <f t="shared" si="24"/>
        <v>75624999.999999985</v>
      </c>
      <c r="DS21" s="118">
        <f t="shared" si="24"/>
        <v>378124999.99999994</v>
      </c>
      <c r="DT21" s="118">
        <f t="shared" si="24"/>
        <v>367111650.48543686</v>
      </c>
      <c r="DU21" s="118">
        <f t="shared" si="24"/>
        <v>378124999.99999994</v>
      </c>
      <c r="DV21" s="118">
        <f t="shared" si="24"/>
        <v>378124999.99999994</v>
      </c>
      <c r="DW21" s="118">
        <f t="shared" si="24"/>
        <v>378124999.99999994</v>
      </c>
      <c r="DX21" s="118">
        <f t="shared" si="24"/>
        <v>378124999.99999994</v>
      </c>
      <c r="DY21" s="118">
        <f t="shared" si="24"/>
        <v>367111650.48543686</v>
      </c>
      <c r="DZ21" s="118">
        <f t="shared" si="24"/>
        <v>378124999.99999994</v>
      </c>
      <c r="EA21" s="118">
        <f t="shared" si="24"/>
        <v>367111650.48543686</v>
      </c>
      <c r="EB21" s="15">
        <f t="shared" si="21"/>
        <v>1.4825487545207571E-11</v>
      </c>
      <c r="EC21" s="40">
        <f t="shared" si="15"/>
        <v>27500</v>
      </c>
      <c r="ED21" s="40">
        <f>IF(up_RadSpec!D21&lt;&gt;"",s_C*s_IFA_far_adj*s_K*up_RadSpec!D21,0)</f>
        <v>3651.9520948567706</v>
      </c>
      <c r="EE21" s="40">
        <f t="shared" si="16"/>
        <v>2.5114155251141552</v>
      </c>
      <c r="EF21" s="40">
        <f>up_b2w!CC21</f>
        <v>608146.26076229871</v>
      </c>
      <c r="EG21" s="40">
        <f>IFERROR(s_C*up_RadSpec!AJ21*(1/1000)*s_IFFI_far_adj*s_CF_far_fish,0)</f>
        <v>756.25</v>
      </c>
      <c r="EH21" s="40">
        <f>IFERROR(s_C*up_RadSpec!AK21*(1/1000)*s_IFSF_far_adj*s_CF_far_shellfish,0)</f>
        <v>756.25</v>
      </c>
      <c r="EI21" s="40">
        <f>(s_C*s_IFB_far_adj*s_CF_far_beef*up_RadSpec!AI21*s_Q_w_beef*(1/1000))</f>
        <v>3781.25</v>
      </c>
      <c r="EJ21" s="40">
        <f>(s_C*s_IFD_far_adj*s_CF_far_dairy*up_RadSpec!AH21*(1/s_D_milk)*s_Q_w_dairy*(1/1000))</f>
        <v>3671.1165048543689</v>
      </c>
      <c r="EK21" s="40">
        <f>(s_C*s_IFSW_far_adj*s_CF_far_swine*up_RadSpec!AN21*s_Q_w_swine*(1/1000))</f>
        <v>3781.25</v>
      </c>
      <c r="EL21" s="40">
        <f>(s_C*s_IFP_far_adj*s_CF_far_poultry*up_RadSpec!AL21*s_Q_w_poultry*(1/1000))</f>
        <v>3781.25</v>
      </c>
      <c r="EM21" s="40">
        <f>(s_C*s_IFE_far_adj*s_CF_far_egg*up_RadSpec!AM21*s_Q_w_egg*(1/1000))</f>
        <v>3781.25</v>
      </c>
      <c r="EN21" s="40">
        <f>(s_C*s_IFGO_far_adj*s_CF_far_goat*up_RadSpec!AQ21*s_Q_p_goat*(1/1000))</f>
        <v>3781.25</v>
      </c>
      <c r="EO21" s="40">
        <f>(s_C*s_IFGM_far_adj*s_CF_far_goat_milk*up_RadSpec!AR21*(1/s_D_milk)*s_Q_p_goat_milk*(1/1000))</f>
        <v>3671.1165048543689</v>
      </c>
      <c r="EP21" s="40">
        <f>(s_C*s_IFSH_far_adj*s_CF_far_sheep*up_RadSpec!AO21*s_Q_p_sheep*(1/1000))</f>
        <v>3781.25</v>
      </c>
      <c r="EQ21" s="40">
        <f>(s_C*s_IFSM_far_adj*s_CF_far_sheep_milk*up_RadSpec!AP21*(1/s_D_milk)*s_Q_p_sheep_milk*(1/1000))</f>
        <v>3671.1165048543689</v>
      </c>
      <c r="ER21" s="18"/>
      <c r="ES21" s="18"/>
      <c r="ET21" s="18"/>
      <c r="EU21" s="18"/>
      <c r="EV21" s="18"/>
      <c r="EW21" s="18"/>
      <c r="EX21" s="18"/>
      <c r="EY21" s="18"/>
      <c r="EZ21" s="18"/>
      <c r="FA21" s="18"/>
      <c r="FB21" s="18"/>
      <c r="FC21" s="18"/>
      <c r="FD21" s="18"/>
      <c r="FE21" s="18"/>
      <c r="FF21" s="18"/>
      <c r="FG21" s="5"/>
      <c r="FH21" s="15">
        <f>IFERROR((s_TR/(up_RadSpec!F21*s_IFA_far_adj)),".")</f>
        <v>9.9740259740259755E-10</v>
      </c>
      <c r="FI21" s="15">
        <f>IFERROR((s_TR/(up_RadSpec!K21*s_EF_far*(1/365)*s_ED_far*s_ET_far*(1/24)*s_GSF_a)),".")</f>
        <v>6.3709090909090908E-6</v>
      </c>
      <c r="FJ21" s="15">
        <f t="shared" si="22"/>
        <v>9.9724647271019672E-10</v>
      </c>
      <c r="FK21" s="40">
        <f t="shared" si="18"/>
        <v>10026.041666666666</v>
      </c>
      <c r="FL21" s="40">
        <f t="shared" si="19"/>
        <v>1.5696347031963471</v>
      </c>
      <c r="FM21" s="120"/>
      <c r="FN21" s="120"/>
      <c r="FO21" s="120"/>
    </row>
    <row r="22" spans="1:171" customFormat="1" x14ac:dyDescent="0.25">
      <c r="A22" s="44" t="s">
        <v>32</v>
      </c>
      <c r="B22" s="42" t="s">
        <v>1071</v>
      </c>
      <c r="C22" s="42"/>
      <c r="D22" s="15">
        <f>up_dir!AC22</f>
        <v>1.6528925619834712E-11</v>
      </c>
      <c r="E22" s="15">
        <f>IFERROR(s_TR/(up_RadSpec!H22*s_IFP_far_adj*s_CF_far_poultry),".")</f>
        <v>6.6115702479338848E-11</v>
      </c>
      <c r="F22" s="15">
        <f>IFERROR(s_TR/(up_RadSpec!H22*s_IFE_far_adj*s_CF_far_egg),".")</f>
        <v>6.6115702479338848E-11</v>
      </c>
      <c r="G22" s="15">
        <f>IFERROR(s_TR/(up_RadSpec!H22*s_IFB_far_adj*s_CF_far_beef),".")</f>
        <v>6.6115702479338848E-11</v>
      </c>
      <c r="H22" s="15">
        <f>IFERROR(s_TR/(up_RadSpec!H22*s_IFD_far_adj*s_CF_far_dairy),".")</f>
        <v>6.6115702479338848E-11</v>
      </c>
      <c r="I22" s="15">
        <f>IFERROR(s_TR/(up_RadSpec!H22*s_IFSW_far_adj*s_CF_far_swine),".")</f>
        <v>6.6115702479338848E-11</v>
      </c>
      <c r="J22" s="15">
        <f>IFERROR(s_TR/(up_RadSpec!H22*s_IFFI_far_adj*s_CF_far_fish),".")</f>
        <v>6.6115702479338848E-11</v>
      </c>
      <c r="K22" s="15">
        <f>IFERROR(s_TR/(up_RadSpec!H22*s_IFSF_far_adj*s_CF_far_shellfish),".")</f>
        <v>6.6115702479338848E-11</v>
      </c>
      <c r="L22" s="15">
        <f>IFERROR(s_TR/(up_RadSpec!H22*s_IFGO_far_adj*s_CF_far_goat),".")</f>
        <v>6.6115702479338848E-11</v>
      </c>
      <c r="M22" s="15">
        <f>IFERROR(s_TR/(up_RadSpec!H22*s_IFSH_far_adj*s_CF_far_sheep),".")</f>
        <v>6.6115702479338848E-11</v>
      </c>
      <c r="N22" s="15">
        <f>IFERROR(s_TR/(up_RadSpec!H22*s_IFGM_far_adj*s_CF_far_goat_milk),".")</f>
        <v>6.6115702479338848E-11</v>
      </c>
      <c r="O22" s="15">
        <f>IFERROR(s_TR/(up_RadSpec!H22*s_IFSM_far_adj*s_CF_far_sheep_milk),".")</f>
        <v>6.6115702479338848E-11</v>
      </c>
      <c r="P22" s="40">
        <f>up_dir!BC22</f>
        <v>605000</v>
      </c>
      <c r="Q22" s="40">
        <f t="shared" si="0"/>
        <v>151250</v>
      </c>
      <c r="R22" s="40">
        <f t="shared" si="1"/>
        <v>151250</v>
      </c>
      <c r="S22" s="40">
        <f t="shared" si="2"/>
        <v>151250</v>
      </c>
      <c r="T22" s="40">
        <f t="shared" si="3"/>
        <v>151250</v>
      </c>
      <c r="U22" s="40">
        <f t="shared" si="4"/>
        <v>151250</v>
      </c>
      <c r="V22" s="40">
        <f t="shared" si="5"/>
        <v>151250</v>
      </c>
      <c r="W22" s="40">
        <f t="shared" si="6"/>
        <v>151250</v>
      </c>
      <c r="X22" s="40">
        <f t="shared" si="7"/>
        <v>151250</v>
      </c>
      <c r="Y22" s="40">
        <f t="shared" si="8"/>
        <v>151250</v>
      </c>
      <c r="Z22" s="40">
        <f t="shared" si="9"/>
        <v>151250</v>
      </c>
      <c r="AA22" s="40">
        <f t="shared" si="10"/>
        <v>151250</v>
      </c>
      <c r="AB22" s="5"/>
      <c r="AC22" s="5"/>
      <c r="AD22" s="5"/>
      <c r="AE22" s="5"/>
      <c r="AF22" s="5"/>
      <c r="AG22" s="5"/>
      <c r="AH22" s="5"/>
      <c r="AI22" s="5"/>
      <c r="AJ22" s="5"/>
      <c r="AK22" s="5"/>
      <c r="AL22" s="5"/>
      <c r="AM22" s="5"/>
      <c r="AN22" s="45">
        <f>IFERROR((s_TR/(up_RadSpec!E22*s_IFS_far_adj*(1/1000)))*1,".")</f>
        <v>3.3057851239669421E-8</v>
      </c>
      <c r="AO22" s="45">
        <f>IFERROR(IF(A22="H-3",(s_TR/(up_RadSpec!F22*s_IFA_far_adj*(1/17)*1000))*1,(s_TR/(up_RadSpec!F22*s_IFA_far_adj*(1/s_PEF_wind)*1000))*1),".")</f>
        <v>3.0899917851942918E-4</v>
      </c>
      <c r="AP22" s="45">
        <f>IFERROR((s_TR/(up_RadSpec!G22*s_EF_far*(1/365)*s_ED_far*up_RadSpec!R22*((s_ET_far_o*(1/24)*up_RadSpec!W22)+(s_ET_far_i*(1/24)*up_RadSpec!AB22))))*1,".")</f>
        <v>63.687683284457506</v>
      </c>
      <c r="AQ22" s="45">
        <f>up_b2s!BC22</f>
        <v>3.2968835384132272E-12</v>
      </c>
      <c r="AR22" s="45">
        <f>IFERROR(((J22*up_RadSpec!AU22)/up_RadSpec!AJ22)*1,".")</f>
        <v>6.6115702479338848E-11</v>
      </c>
      <c r="AS22" s="45">
        <f>IFERROR(((K22*up_RadSpec!AU22)/up_RadSpec!AK22)*1,".")</f>
        <v>6.6115702479338848E-11</v>
      </c>
      <c r="AT22" s="45">
        <f>IFERROR((G22/(up_RadSpec!AI22*((s_Q_p_beef*s_f_p_beef*s_f_s_beef*(up_RadSpec!BD22+s_R_es_past))+(s_Q_s_beef*s_f_p_beef))))*1,".")</f>
        <v>1.8558793678410904E-14</v>
      </c>
      <c r="AU22" s="45">
        <f>IFERROR(((H22*s_D_milk)/(up_RadSpec!AH22*((s_Q_p_dairy*s_f_p_dairy*s_f_s_dairy*(up_RadSpec!BD22+s_R_es_past))+(s_Q_s_dairy*s_f_p_dairy))))*1,".")</f>
        <v>1.9115557488763232E-14</v>
      </c>
      <c r="AV22" s="45">
        <f>IFERROR((I22/(up_RadSpec!AN22*((s_Q_p_swine*s_f_p_swine*s_f_s_swine*(up_RadSpec!BD22+s_R_es_past))+(s_Q_s_swine*s_f_p_swine))))*1,".")</f>
        <v>1.8558793678410904E-14</v>
      </c>
      <c r="AW22" s="45">
        <f>IFERROR((E22/(up_RadSpec!AL22*((s_Q_p_poultry*s_f_p_poultry*s_f_s_poultry*(up_RadSpec!BD22+s_R_es_past))+(s_Q_s_poultry*s_f_p_poultry))))*1,".")</f>
        <v>1.8558793678410904E-14</v>
      </c>
      <c r="AX22" s="45">
        <f>IFERROR((F22/(up_RadSpec!AM22*((s_Q_p_poultry*s_f_p_poultry*s_f_s_poultry*(up_RadSpec!BD22+s_R_es_past))+(s_Q_s_poultry*s_f_p_poultry))))*1,".")</f>
        <v>1.8558793678410904E-14</v>
      </c>
      <c r="AY22" s="45">
        <f>IFERROR((L22/(up_RadSpec!AQ22*((s_Q_p_goat*s_f_p_goat*s_f_s_goat*(up_RadSpec!BD22+s_R_es_past))+(s_Q_s_goat*s_f_p_goat))))*1,".")</f>
        <v>1.8558793678410904E-14</v>
      </c>
      <c r="AZ22" s="45">
        <f>IFERROR((N22*s_D_milk/(up_RadSpec!AR22*((s_Q_p_goat_milk*s_f_p_goat_milk*s_f_s_goat_milk*(up_RadSpec!BD22+s_R_es_past))+(s_Q_s_goat_milk*s_f_p_goat_milk))))*1,".")</f>
        <v>1.9115557488763232E-14</v>
      </c>
      <c r="BA22" s="45">
        <f>IFERROR((M22/(up_RadSpec!AO22*((s_Q_p_sheep*s_f_p_sheep*s_f_s_sheep*(up_RadSpec!BD22+s_R_es_past))+(s_Q_s_sheep*s_f_p_sheep))))*1,".")</f>
        <v>1.8558793678410904E-14</v>
      </c>
      <c r="BB22" s="45">
        <f>IFERROR((O22*s_D_milk/(up_RadSpec!AP22*((s_Q_p_sheep_milk*s_f_p_sheep_milk*s_f_s_sheep_milk*(up_RadSpec!BD22+s_R_es_past))+(s_Q_s_sheep_milk*s_f_p_sheep_milk))))*1,".")</f>
        <v>1.9115557488763232E-14</v>
      </c>
      <c r="BC22" s="118">
        <f t="shared" si="23"/>
        <v>30250000</v>
      </c>
      <c r="BD22" s="118">
        <f t="shared" si="23"/>
        <v>3236.2545583179349</v>
      </c>
      <c r="BE22" s="118">
        <f t="shared" si="23"/>
        <v>1.5701623114999418E-2</v>
      </c>
      <c r="BF22" s="118">
        <f t="shared" si="23"/>
        <v>303316749999.99994</v>
      </c>
      <c r="BG22" s="118">
        <f t="shared" si="23"/>
        <v>15124999999.999998</v>
      </c>
      <c r="BH22" s="118">
        <f t="shared" si="23"/>
        <v>15124999999.999998</v>
      </c>
      <c r="BI22" s="118">
        <f t="shared" si="23"/>
        <v>53882812500000</v>
      </c>
      <c r="BJ22" s="118">
        <f t="shared" si="23"/>
        <v>52313410194174.758</v>
      </c>
      <c r="BK22" s="118">
        <f t="shared" si="23"/>
        <v>53882812500000</v>
      </c>
      <c r="BL22" s="118">
        <f t="shared" si="23"/>
        <v>53882812500000</v>
      </c>
      <c r="BM22" s="118">
        <f t="shared" si="23"/>
        <v>53882812500000</v>
      </c>
      <c r="BN22" s="118">
        <f t="shared" si="23"/>
        <v>53882812500000</v>
      </c>
      <c r="BO22" s="118">
        <f t="shared" si="23"/>
        <v>52313410194174.758</v>
      </c>
      <c r="BP22" s="118">
        <f t="shared" si="23"/>
        <v>53882812500000</v>
      </c>
      <c r="BQ22" s="118">
        <f t="shared" si="23"/>
        <v>52313410194174.758</v>
      </c>
      <c r="BR22" s="15">
        <f t="shared" si="20"/>
        <v>2.0808592671575616E-15</v>
      </c>
      <c r="BS22" s="40">
        <f t="shared" si="12"/>
        <v>302.5</v>
      </c>
      <c r="BT22" s="40">
        <f t="shared" si="13"/>
        <v>3.2362545583179352E-2</v>
      </c>
      <c r="BU22" s="40">
        <f>IFERROR((s_C*s_EF_far*(1/365)*s_ED_far*up_RadSpec!R22*((s_ET_far_o*(1/24)*up_RadSpec!W22)+(s_ET_far_i*(1/24)*up_RadSpec!AB22))),".")</f>
        <v>1.5701623114999418E-7</v>
      </c>
      <c r="BV22" s="40">
        <f>up_b2s!CC22</f>
        <v>3033167.5</v>
      </c>
      <c r="BW22" s="40">
        <f>IFERROR(((s_C*up_RadSpec!AJ22)/up_RadSpec!AU22)*s_IFFI_far_adj*s_CF_far_fish,0)</f>
        <v>151250</v>
      </c>
      <c r="BX22" s="40">
        <f>IFERROR(((s_C*up_RadSpec!AK22)/up_RadSpec!AU22)*s_IFSF_far_adj*s_CF_far_shellfish,0)</f>
        <v>151250</v>
      </c>
      <c r="BY22" s="40">
        <f>(s_C*s_IFB_far_adj*s_CF_far_beef*up_RadSpec!AI22*((s_Q_p_beef*s_f_p_beef*s_f_s_beef*(up_RadSpec!$AT22+s_R_es_past))+(s_Q_s_beef*s_f_p_beef)))</f>
        <v>538828125</v>
      </c>
      <c r="BZ22" s="40">
        <f>(s_C*s_IFD_far_adj*s_CF_far_dairy*up_RadSpec!AH22*1/s_D_milk*((s_Q_p_dairy*s_f_p_dairy*s_f_s_dairy*(up_RadSpec!$AT22+s_R_es_past))+(s_Q_s_dairy*s_f_p_dairy)))</f>
        <v>523134101.94174761</v>
      </c>
      <c r="CA22" s="40">
        <f>(s_C*s_IFSW_far_adj*s_CF_far_swine*up_RadSpec!AN22*((s_Q_p_swine*s_f_p_swine*s_f_s_swine*(up_RadSpec!$AT22+s_R_es_past))+(s_Q_s_swine*s_f_p_swine)))</f>
        <v>538828125</v>
      </c>
      <c r="CB22" s="40">
        <f>(s_C*s_IFP_far_adj*s_CF_far_poultry*up_RadSpec!AL22*((s_Q_p_poultry*s_f_p_poultry*s_f_s_poultry*(up_RadSpec!AT22+s_R_es_past))+(s_Q_s_poultry*s_f_p_poultry)))</f>
        <v>538828125</v>
      </c>
      <c r="CC22" s="40">
        <f>(s_C*s_IFE_far_adj*s_CF_far_egg*up_RadSpec!AM22*((s_Q_p_egg*s_f_p_egg*s_f_s_egg*(up_RadSpec!$AT22+s_R_es_past))+(s_Q_s_egg*s_f_p_egg)))</f>
        <v>538828125</v>
      </c>
      <c r="CD22" s="40">
        <f>(s_C*s_IFGO_far_adj*s_CF_far_goat*up_RadSpec!AQ22*((s_Q_p_goat*s_f_p_goat*s_f_s_goat*(up_RadSpec!$AT22+s_R_es_past))+(s_Q_s_goat*s_f_p_goat)))</f>
        <v>538828125</v>
      </c>
      <c r="CE22" s="40">
        <f>(s_C*s_IFGM_far_adj*s_CF_far_goat_milk*up_RadSpec!AR22*1/s_D_milk*((s_Q_p_goat_milk*s_f_p_goat_milk*s_f_s_goat_milk*(up_RadSpec!$AT22+s_R_es_past))+(s_Q_s_goat_milk*s_f_p_goat_milk)))</f>
        <v>523134101.94174761</v>
      </c>
      <c r="CF22" s="40">
        <f>(s_C*s_IFSH_far_adj*s_CF_far_sheep*up_RadSpec!AO22*((s_Q_p_sheep*s_f_p_sheep*s_f_s_sheep*(up_RadSpec!$AT22+s_R_es_past))+(s_Q_s_sheep*s_f_p_sheep)))</f>
        <v>538828125</v>
      </c>
      <c r="CG22" s="40">
        <f>(s_C*s_IFSM_far_adj*s_CF_far_sheep_milk*up_RadSpec!AP22*1/s_D_milk*((s_Q_p_sheep_milk*s_f_p_sheep_milk*s_f_s_sheep_milk*(up_RadSpec!$AT22+s_R_es_past))+(s_Q_s_sheep_milk*s_f_p_sheep_milk)))</f>
        <v>523134101.94174761</v>
      </c>
      <c r="CH22" s="18"/>
      <c r="CI22" s="18"/>
      <c r="CJ22" s="18"/>
      <c r="CK22" s="18"/>
      <c r="CL22" s="18"/>
      <c r="CM22" s="18"/>
      <c r="CN22" s="18"/>
      <c r="CO22" s="18"/>
      <c r="CP22" s="18"/>
      <c r="CQ22" s="18"/>
      <c r="CR22" s="18"/>
      <c r="CS22" s="18"/>
      <c r="CT22" s="18"/>
      <c r="CU22" s="18"/>
      <c r="CV22" s="18"/>
      <c r="CW22" s="5"/>
      <c r="CX22" s="15">
        <f>IFERROR(s_TR/(up_RadSpec!I22*s_IFW_far_adj),".")</f>
        <v>3.6363636363636369E-10</v>
      </c>
      <c r="CY22" s="15" t="str">
        <f>IFERROR(IF(AND(up_RadSpec!C22=1,up_RadSpec!D22&lt;&gt;0),s_TR/(up_RadSpec!F22*s_IFA_far_adj*s_K*up_RadSpec!D22),"."),".")</f>
        <v>.</v>
      </c>
      <c r="CZ22" s="15">
        <f>IFERROR((s_TR/(up_RadSpec!M22*(1/8760)*s_DFA_far_adj)),".")</f>
        <v>3.9818181818181825E-6</v>
      </c>
      <c r="DA22" s="15">
        <f>up_b2w!BC22</f>
        <v>1.6443412786038031E-11</v>
      </c>
      <c r="DB22" s="15">
        <f>IFERROR(J22/(up_RadSpec!AJ22*(1/1000)),".")</f>
        <v>1.322314049586777E-8</v>
      </c>
      <c r="DC22" s="15">
        <f>IFERROR(K22/(up_RadSpec!AK22*(1/1000)),".")</f>
        <v>1.322314049586777E-8</v>
      </c>
      <c r="DD22" s="15">
        <f>IFERROR(G22/(up_RadSpec!AI22*s_Q_w_beef*(1/1000)),".")</f>
        <v>2.6446280991735539E-9</v>
      </c>
      <c r="DE22" s="15">
        <f>IFERROR((H22*s_D_milk)/(up_RadSpec!AH22*s_Q_w_dairy*(1/1000)),".")</f>
        <v>2.7239669421487605E-9</v>
      </c>
      <c r="DF22" s="15">
        <f>IFERROR(I22/(up_RadSpec!AN22*s_Q_w_swine*(1/1000)),".")</f>
        <v>2.6446280991735539E-9</v>
      </c>
      <c r="DG22" s="15">
        <f>IFERROR(E22/(up_RadSpec!AL22*s_Q_w_poultry*(1/1000)),".")</f>
        <v>2.6446280991735539E-9</v>
      </c>
      <c r="DH22" s="15">
        <f>IFERROR(F22/(up_RadSpec!AM22*s_Q_w_poultry*(1/1000)),".")</f>
        <v>2.6446280991735539E-9</v>
      </c>
      <c r="DI22" s="15">
        <f>IFERROR(L22/(up_RadSpec!AQ22*s_Q_w_goat*(1/1000)),".")</f>
        <v>2.6446280991735539E-9</v>
      </c>
      <c r="DJ22" s="15">
        <f>IFERROR(N22*s_D_milk/(up_RadSpec!AR22*s_Q_w_goat_milk*(1/1000)),".")</f>
        <v>2.7239669421487605E-9</v>
      </c>
      <c r="DK22" s="15">
        <f>IFERROR(M22/(up_RadSpec!AO22*s_Q_w_sheep*(1/1000)),".")</f>
        <v>2.6446280991735539E-9</v>
      </c>
      <c r="DL22" s="15">
        <f>IFERROR(O22*s_D_milk/(up_RadSpec!AP22*s_Q_w_sheep_milk*(1/1000)),".")</f>
        <v>2.7239669421487605E-9</v>
      </c>
      <c r="DM22" s="118">
        <f t="shared" si="24"/>
        <v>2749999999.9999995</v>
      </c>
      <c r="DN22" s="118" t="str">
        <f t="shared" si="24"/>
        <v>.</v>
      </c>
      <c r="DO22" s="118">
        <f t="shared" si="24"/>
        <v>251141.55251141547</v>
      </c>
      <c r="DP22" s="118">
        <f t="shared" si="24"/>
        <v>60814626076.229866</v>
      </c>
      <c r="DQ22" s="118">
        <f t="shared" si="24"/>
        <v>75624999.999999985</v>
      </c>
      <c r="DR22" s="118">
        <f t="shared" si="24"/>
        <v>75624999.999999985</v>
      </c>
      <c r="DS22" s="118">
        <f t="shared" si="24"/>
        <v>378124999.99999994</v>
      </c>
      <c r="DT22" s="118">
        <f t="shared" si="24"/>
        <v>367111650.48543686</v>
      </c>
      <c r="DU22" s="118">
        <f t="shared" si="24"/>
        <v>378124999.99999994</v>
      </c>
      <c r="DV22" s="118">
        <f t="shared" si="24"/>
        <v>378124999.99999994</v>
      </c>
      <c r="DW22" s="118">
        <f t="shared" si="24"/>
        <v>378124999.99999994</v>
      </c>
      <c r="DX22" s="118">
        <f t="shared" si="24"/>
        <v>378124999.99999994</v>
      </c>
      <c r="DY22" s="118">
        <f t="shared" si="24"/>
        <v>367111650.48543686</v>
      </c>
      <c r="DZ22" s="118">
        <f t="shared" si="24"/>
        <v>378124999.99999994</v>
      </c>
      <c r="EA22" s="118">
        <f t="shared" si="24"/>
        <v>367111650.48543686</v>
      </c>
      <c r="EB22" s="15">
        <f t="shared" si="21"/>
        <v>1.4906192608956601E-11</v>
      </c>
      <c r="EC22" s="40">
        <f t="shared" si="15"/>
        <v>27500</v>
      </c>
      <c r="ED22" s="40">
        <f>IF(up_RadSpec!D22&lt;&gt;"",s_C*s_IFA_far_adj*s_K*up_RadSpec!D22,0)</f>
        <v>0</v>
      </c>
      <c r="EE22" s="40">
        <f t="shared" si="16"/>
        <v>2.5114155251141552</v>
      </c>
      <c r="EF22" s="40">
        <f>up_b2w!CC22</f>
        <v>608146.26076229871</v>
      </c>
      <c r="EG22" s="40">
        <f>IFERROR(s_C*up_RadSpec!AJ22*(1/1000)*s_IFFI_far_adj*s_CF_far_fish,0)</f>
        <v>756.25</v>
      </c>
      <c r="EH22" s="40">
        <f>IFERROR(s_C*up_RadSpec!AK22*(1/1000)*s_IFSF_far_adj*s_CF_far_shellfish,0)</f>
        <v>756.25</v>
      </c>
      <c r="EI22" s="40">
        <f>(s_C*s_IFB_far_adj*s_CF_far_beef*up_RadSpec!AI22*s_Q_w_beef*(1/1000))</f>
        <v>3781.25</v>
      </c>
      <c r="EJ22" s="40">
        <f>(s_C*s_IFD_far_adj*s_CF_far_dairy*up_RadSpec!AH22*(1/s_D_milk)*s_Q_w_dairy*(1/1000))</f>
        <v>3671.1165048543689</v>
      </c>
      <c r="EK22" s="40">
        <f>(s_C*s_IFSW_far_adj*s_CF_far_swine*up_RadSpec!AN22*s_Q_w_swine*(1/1000))</f>
        <v>3781.25</v>
      </c>
      <c r="EL22" s="40">
        <f>(s_C*s_IFP_far_adj*s_CF_far_poultry*up_RadSpec!AL22*s_Q_w_poultry*(1/1000))</f>
        <v>3781.25</v>
      </c>
      <c r="EM22" s="40">
        <f>(s_C*s_IFE_far_adj*s_CF_far_egg*up_RadSpec!AM22*s_Q_w_egg*(1/1000))</f>
        <v>3781.25</v>
      </c>
      <c r="EN22" s="40">
        <f>(s_C*s_IFGO_far_adj*s_CF_far_goat*up_RadSpec!AQ22*s_Q_p_goat*(1/1000))</f>
        <v>3781.25</v>
      </c>
      <c r="EO22" s="40">
        <f>(s_C*s_IFGM_far_adj*s_CF_far_goat_milk*up_RadSpec!AR22*(1/s_D_milk)*s_Q_p_goat_milk*(1/1000))</f>
        <v>3671.1165048543689</v>
      </c>
      <c r="EP22" s="40">
        <f>(s_C*s_IFSH_far_adj*s_CF_far_sheep*up_RadSpec!AO22*s_Q_p_sheep*(1/1000))</f>
        <v>3781.25</v>
      </c>
      <c r="EQ22" s="40">
        <f>(s_C*s_IFSM_far_adj*s_CF_far_sheep_milk*up_RadSpec!AP22*(1/s_D_milk)*s_Q_p_sheep_milk*(1/1000))</f>
        <v>3671.1165048543689</v>
      </c>
      <c r="ER22" s="18"/>
      <c r="ES22" s="18"/>
      <c r="ET22" s="18"/>
      <c r="EU22" s="18"/>
      <c r="EV22" s="18"/>
      <c r="EW22" s="18"/>
      <c r="EX22" s="18"/>
      <c r="EY22" s="18"/>
      <c r="EZ22" s="18"/>
      <c r="FA22" s="18"/>
      <c r="FB22" s="18"/>
      <c r="FC22" s="18"/>
      <c r="FD22" s="18"/>
      <c r="FE22" s="18"/>
      <c r="FF22" s="18"/>
      <c r="FG22" s="5"/>
      <c r="FH22" s="15">
        <f>IFERROR((s_TR/(up_RadSpec!F22*s_IFA_far_adj)),".")</f>
        <v>9.9740259740259755E-10</v>
      </c>
      <c r="FI22" s="15">
        <f>IFERROR((s_TR/(up_RadSpec!K22*s_EF_far*(1/365)*s_ED_far*s_ET_far*(1/24)*s_GSF_a)),".")</f>
        <v>6.3709090909090908E-6</v>
      </c>
      <c r="FJ22" s="15">
        <f t="shared" si="22"/>
        <v>9.9724647271019672E-10</v>
      </c>
      <c r="FK22" s="40">
        <f t="shared" si="18"/>
        <v>10026.041666666666</v>
      </c>
      <c r="FL22" s="40">
        <f t="shared" si="19"/>
        <v>1.5696347031963471</v>
      </c>
      <c r="FM22" s="120"/>
      <c r="FN22" s="120"/>
      <c r="FO22" s="120"/>
    </row>
    <row r="23" spans="1:171" customFormat="1" x14ac:dyDescent="0.25">
      <c r="A23" s="46" t="s">
        <v>33</v>
      </c>
      <c r="B23" s="42" t="s">
        <v>349</v>
      </c>
      <c r="C23" s="249"/>
      <c r="D23" s="15">
        <f>up_dir!AC23</f>
        <v>1.6528925619834712E-11</v>
      </c>
      <c r="E23" s="15">
        <f>IFERROR(s_TR/(up_RadSpec!H23*s_IFP_far_adj*s_CF_far_poultry),".")</f>
        <v>6.6115702479338848E-11</v>
      </c>
      <c r="F23" s="15">
        <f>IFERROR(s_TR/(up_RadSpec!H23*s_IFE_far_adj*s_CF_far_egg),".")</f>
        <v>6.6115702479338848E-11</v>
      </c>
      <c r="G23" s="15">
        <f>IFERROR(s_TR/(up_RadSpec!H23*s_IFB_far_adj*s_CF_far_beef),".")</f>
        <v>6.6115702479338848E-11</v>
      </c>
      <c r="H23" s="15">
        <f>IFERROR(s_TR/(up_RadSpec!H23*s_IFD_far_adj*s_CF_far_dairy),".")</f>
        <v>6.6115702479338848E-11</v>
      </c>
      <c r="I23" s="15">
        <f>IFERROR(s_TR/(up_RadSpec!H23*s_IFSW_far_adj*s_CF_far_swine),".")</f>
        <v>6.6115702479338848E-11</v>
      </c>
      <c r="J23" s="15">
        <f>IFERROR(s_TR/(up_RadSpec!H23*s_IFFI_far_adj*s_CF_far_fish),".")</f>
        <v>6.6115702479338848E-11</v>
      </c>
      <c r="K23" s="15">
        <f>IFERROR(s_TR/(up_RadSpec!H23*s_IFSF_far_adj*s_CF_far_shellfish),".")</f>
        <v>6.6115702479338848E-11</v>
      </c>
      <c r="L23" s="15">
        <f>IFERROR(s_TR/(up_RadSpec!H23*s_IFGO_far_adj*s_CF_far_goat),".")</f>
        <v>6.6115702479338848E-11</v>
      </c>
      <c r="M23" s="15">
        <f>IFERROR(s_TR/(up_RadSpec!H23*s_IFSH_far_adj*s_CF_far_sheep),".")</f>
        <v>6.6115702479338848E-11</v>
      </c>
      <c r="N23" s="15">
        <f>IFERROR(s_TR/(up_RadSpec!H23*s_IFGM_far_adj*s_CF_far_goat_milk),".")</f>
        <v>6.6115702479338848E-11</v>
      </c>
      <c r="O23" s="15">
        <f>IFERROR(s_TR/(up_RadSpec!H23*s_IFSM_far_adj*s_CF_far_sheep_milk),".")</f>
        <v>6.6115702479338848E-11</v>
      </c>
      <c r="P23" s="40">
        <f>up_dir!BC23</f>
        <v>605000</v>
      </c>
      <c r="Q23" s="40">
        <f t="shared" si="0"/>
        <v>151250</v>
      </c>
      <c r="R23" s="40">
        <f t="shared" si="1"/>
        <v>151250</v>
      </c>
      <c r="S23" s="40">
        <f t="shared" si="2"/>
        <v>151250</v>
      </c>
      <c r="T23" s="40">
        <f t="shared" si="3"/>
        <v>151250</v>
      </c>
      <c r="U23" s="40">
        <f t="shared" si="4"/>
        <v>151250</v>
      </c>
      <c r="V23" s="40">
        <f t="shared" si="5"/>
        <v>151250</v>
      </c>
      <c r="W23" s="40">
        <f t="shared" si="6"/>
        <v>151250</v>
      </c>
      <c r="X23" s="40">
        <f t="shared" si="7"/>
        <v>151250</v>
      </c>
      <c r="Y23" s="40">
        <f t="shared" si="8"/>
        <v>151250</v>
      </c>
      <c r="Z23" s="40">
        <f t="shared" si="9"/>
        <v>151250</v>
      </c>
      <c r="AA23" s="40">
        <f t="shared" si="10"/>
        <v>151250</v>
      </c>
      <c r="AB23" s="5"/>
      <c r="AC23" s="5"/>
      <c r="AD23" s="5"/>
      <c r="AE23" s="5"/>
      <c r="AF23" s="5"/>
      <c r="AG23" s="5"/>
      <c r="AH23" s="5"/>
      <c r="AI23" s="5"/>
      <c r="AJ23" s="5"/>
      <c r="AK23" s="5"/>
      <c r="AL23" s="5"/>
      <c r="AM23" s="5"/>
      <c r="AN23" s="45">
        <f>IFERROR((s_TR/(up_RadSpec!E23*s_IFS_far_adj*(1/1000)))*1,".")</f>
        <v>3.3057851239669421E-8</v>
      </c>
      <c r="AO23" s="45">
        <f>IFERROR(IF(A23="H-3",(s_TR/(up_RadSpec!F23*s_IFA_far_adj*(1/17)*1000))*1,(s_TR/(up_RadSpec!F23*s_IFA_far_adj*(1/s_PEF_wind)*1000))*1),".")</f>
        <v>3.0899917851942918E-4</v>
      </c>
      <c r="AP23" s="45">
        <f>IFERROR((s_TR/(up_RadSpec!G23*s_EF_far*(1/365)*s_ED_far*up_RadSpec!R23*((s_ET_far_o*(1/24)*up_RadSpec!W23)+(s_ET_far_i*(1/24)*up_RadSpec!AB23))))*1,".")</f>
        <v>1.4584968138687145E-5</v>
      </c>
      <c r="AQ23" s="45">
        <f>up_b2s!BC23</f>
        <v>3.2968835384132272E-12</v>
      </c>
      <c r="AR23" s="45">
        <f>IFERROR(((J23*up_RadSpec!AU23)/up_RadSpec!AJ23)*1,".")</f>
        <v>6.6115702479338848E-11</v>
      </c>
      <c r="AS23" s="45">
        <f>IFERROR(((K23*up_RadSpec!AU23)/up_RadSpec!AK23)*1,".")</f>
        <v>6.6115702479338848E-11</v>
      </c>
      <c r="AT23" s="45">
        <f>IFERROR((G23/(up_RadSpec!AI23*((s_Q_p_beef*s_f_p_beef*s_f_s_beef*(up_RadSpec!BD23+s_R_es_past))+(s_Q_s_beef*s_f_p_beef))))*1,".")</f>
        <v>1.8558793678410904E-14</v>
      </c>
      <c r="AU23" s="45">
        <f>IFERROR(((H23*s_D_milk)/(up_RadSpec!AH23*((s_Q_p_dairy*s_f_p_dairy*s_f_s_dairy*(up_RadSpec!BD23+s_R_es_past))+(s_Q_s_dairy*s_f_p_dairy))))*1,".")</f>
        <v>1.9115557488763232E-14</v>
      </c>
      <c r="AV23" s="45">
        <f>IFERROR((I23/(up_RadSpec!AN23*((s_Q_p_swine*s_f_p_swine*s_f_s_swine*(up_RadSpec!BD23+s_R_es_past))+(s_Q_s_swine*s_f_p_swine))))*1,".")</f>
        <v>1.8558793678410904E-14</v>
      </c>
      <c r="AW23" s="45">
        <f>IFERROR((E23/(up_RadSpec!AL23*((s_Q_p_poultry*s_f_p_poultry*s_f_s_poultry*(up_RadSpec!BD23+s_R_es_past))+(s_Q_s_poultry*s_f_p_poultry))))*1,".")</f>
        <v>1.8558793678410904E-14</v>
      </c>
      <c r="AX23" s="45">
        <f>IFERROR((F23/(up_RadSpec!AM23*((s_Q_p_poultry*s_f_p_poultry*s_f_s_poultry*(up_RadSpec!BD23+s_R_es_past))+(s_Q_s_poultry*s_f_p_poultry))))*1,".")</f>
        <v>1.8558793678410904E-14</v>
      </c>
      <c r="AY23" s="45">
        <f>IFERROR((L23/(up_RadSpec!AQ23*((s_Q_p_goat*s_f_p_goat*s_f_s_goat*(up_RadSpec!BD23+s_R_es_past))+(s_Q_s_goat*s_f_p_goat))))*1,".")</f>
        <v>1.8558793678410904E-14</v>
      </c>
      <c r="AZ23" s="45">
        <f>IFERROR((N23*s_D_milk/(up_RadSpec!AR23*((s_Q_p_goat_milk*s_f_p_goat_milk*s_f_s_goat_milk*(up_RadSpec!BD23+s_R_es_past))+(s_Q_s_goat_milk*s_f_p_goat_milk))))*1,".")</f>
        <v>1.9115557488763232E-14</v>
      </c>
      <c r="BA23" s="45">
        <f>IFERROR((M23/(up_RadSpec!AO23*((s_Q_p_sheep*s_f_p_sheep*s_f_s_sheep*(up_RadSpec!BD23+s_R_es_past))+(s_Q_s_sheep*s_f_p_sheep))))*1,".")</f>
        <v>1.8558793678410904E-14</v>
      </c>
      <c r="BB23" s="45">
        <f>IFERROR((O23*s_D_milk/(up_RadSpec!AP23*((s_Q_p_sheep_milk*s_f_p_sheep_milk*s_f_s_sheep_milk*(up_RadSpec!BD23+s_R_es_past))+(s_Q_s_sheep_milk*s_f_p_sheep_milk))))*1,".")</f>
        <v>1.9115557488763232E-14</v>
      </c>
      <c r="BC23" s="118">
        <f t="shared" si="23"/>
        <v>30250000</v>
      </c>
      <c r="BD23" s="118">
        <f t="shared" si="23"/>
        <v>3236.2545583179349</v>
      </c>
      <c r="BE23" s="118">
        <f t="shared" si="23"/>
        <v>68563.742511542732</v>
      </c>
      <c r="BF23" s="118">
        <f t="shared" si="23"/>
        <v>303316749999.99994</v>
      </c>
      <c r="BG23" s="118">
        <f t="shared" si="23"/>
        <v>15124999999.999998</v>
      </c>
      <c r="BH23" s="118">
        <f t="shared" si="23"/>
        <v>15124999999.999998</v>
      </c>
      <c r="BI23" s="118">
        <f t="shared" si="23"/>
        <v>53882812500000</v>
      </c>
      <c r="BJ23" s="118">
        <f t="shared" si="23"/>
        <v>52313410194174.758</v>
      </c>
      <c r="BK23" s="118">
        <f t="shared" si="23"/>
        <v>53882812500000</v>
      </c>
      <c r="BL23" s="118">
        <f t="shared" si="23"/>
        <v>53882812500000</v>
      </c>
      <c r="BM23" s="118">
        <f t="shared" si="23"/>
        <v>53882812500000</v>
      </c>
      <c r="BN23" s="118">
        <f t="shared" si="23"/>
        <v>53882812500000</v>
      </c>
      <c r="BO23" s="118">
        <f t="shared" si="23"/>
        <v>52313410194174.758</v>
      </c>
      <c r="BP23" s="118">
        <f t="shared" si="23"/>
        <v>53882812500000</v>
      </c>
      <c r="BQ23" s="118">
        <f t="shared" si="23"/>
        <v>52313410194174.758</v>
      </c>
      <c r="BR23" s="15">
        <f t="shared" si="20"/>
        <v>2.0808592668606821E-15</v>
      </c>
      <c r="BS23" s="40">
        <f t="shared" si="12"/>
        <v>302.5</v>
      </c>
      <c r="BT23" s="40">
        <f t="shared" si="13"/>
        <v>3.2362545583179352E-2</v>
      </c>
      <c r="BU23" s="40">
        <f>IFERROR((s_C*s_EF_far*(1/365)*s_ED_far*up_RadSpec!R23*((s_ET_far_o*(1/24)*up_RadSpec!W23)+(s_ET_far_i*(1/24)*up_RadSpec!AB23))),".")</f>
        <v>0.68563742511542736</v>
      </c>
      <c r="BV23" s="40">
        <f>up_b2s!CC23</f>
        <v>3033167.5</v>
      </c>
      <c r="BW23" s="40">
        <f>IFERROR(((s_C*up_RadSpec!AJ23)/up_RadSpec!AU23)*s_IFFI_far_adj*s_CF_far_fish,0)</f>
        <v>151250</v>
      </c>
      <c r="BX23" s="40">
        <f>IFERROR(((s_C*up_RadSpec!AK23)/up_RadSpec!AU23)*s_IFSF_far_adj*s_CF_far_shellfish,0)</f>
        <v>151250</v>
      </c>
      <c r="BY23" s="40">
        <f>(s_C*s_IFB_far_adj*s_CF_far_beef*up_RadSpec!AI23*((s_Q_p_beef*s_f_p_beef*s_f_s_beef*(up_RadSpec!$AT23+s_R_es_past))+(s_Q_s_beef*s_f_p_beef)))</f>
        <v>538828125</v>
      </c>
      <c r="BZ23" s="40">
        <f>(s_C*s_IFD_far_adj*s_CF_far_dairy*up_RadSpec!AH23*1/s_D_milk*((s_Q_p_dairy*s_f_p_dairy*s_f_s_dairy*(up_RadSpec!$AT23+s_R_es_past))+(s_Q_s_dairy*s_f_p_dairy)))</f>
        <v>523134101.94174761</v>
      </c>
      <c r="CA23" s="40">
        <f>(s_C*s_IFSW_far_adj*s_CF_far_swine*up_RadSpec!AN23*((s_Q_p_swine*s_f_p_swine*s_f_s_swine*(up_RadSpec!$AT23+s_R_es_past))+(s_Q_s_swine*s_f_p_swine)))</f>
        <v>538828125</v>
      </c>
      <c r="CB23" s="40">
        <f>(s_C*s_IFP_far_adj*s_CF_far_poultry*up_RadSpec!AL23*((s_Q_p_poultry*s_f_p_poultry*s_f_s_poultry*(up_RadSpec!AT23+s_R_es_past))+(s_Q_s_poultry*s_f_p_poultry)))</f>
        <v>538828125</v>
      </c>
      <c r="CC23" s="40">
        <f>(s_C*s_IFE_far_adj*s_CF_far_egg*up_RadSpec!AM23*((s_Q_p_egg*s_f_p_egg*s_f_s_egg*(up_RadSpec!$AT23+s_R_es_past))+(s_Q_s_egg*s_f_p_egg)))</f>
        <v>538828125</v>
      </c>
      <c r="CD23" s="40">
        <f>(s_C*s_IFGO_far_adj*s_CF_far_goat*up_RadSpec!AQ23*((s_Q_p_goat*s_f_p_goat*s_f_s_goat*(up_RadSpec!$AT23+s_R_es_past))+(s_Q_s_goat*s_f_p_goat)))</f>
        <v>538828125</v>
      </c>
      <c r="CE23" s="40">
        <f>(s_C*s_IFGM_far_adj*s_CF_far_goat_milk*up_RadSpec!AR23*1/s_D_milk*((s_Q_p_goat_milk*s_f_p_goat_milk*s_f_s_goat_milk*(up_RadSpec!$AT23+s_R_es_past))+(s_Q_s_goat_milk*s_f_p_goat_milk)))</f>
        <v>523134101.94174761</v>
      </c>
      <c r="CF23" s="40">
        <f>(s_C*s_IFSH_far_adj*s_CF_far_sheep*up_RadSpec!AO23*((s_Q_p_sheep*s_f_p_sheep*s_f_s_sheep*(up_RadSpec!$AT23+s_R_es_past))+(s_Q_s_sheep*s_f_p_sheep)))</f>
        <v>538828125</v>
      </c>
      <c r="CG23" s="40">
        <f>(s_C*s_IFSM_far_adj*s_CF_far_sheep_milk*up_RadSpec!AP23*1/s_D_milk*((s_Q_p_sheep_milk*s_f_p_sheep_milk*s_f_s_sheep_milk*(up_RadSpec!$AT23+s_R_es_past))+(s_Q_s_sheep_milk*s_f_p_sheep_milk)))</f>
        <v>523134101.94174761</v>
      </c>
      <c r="CH23" s="18"/>
      <c r="CI23" s="18"/>
      <c r="CJ23" s="18"/>
      <c r="CK23" s="18"/>
      <c r="CL23" s="18"/>
      <c r="CM23" s="18"/>
      <c r="CN23" s="18"/>
      <c r="CO23" s="18"/>
      <c r="CP23" s="18"/>
      <c r="CQ23" s="18"/>
      <c r="CR23" s="18"/>
      <c r="CS23" s="18"/>
      <c r="CT23" s="18"/>
      <c r="CU23" s="18"/>
      <c r="CV23" s="18"/>
      <c r="CW23" s="5"/>
      <c r="CX23" s="15">
        <f>IFERROR(s_TR/(up_RadSpec!I23*s_IFW_far_adj),".")</f>
        <v>3.6363636363636369E-10</v>
      </c>
      <c r="CY23" s="15" t="str">
        <f>IFERROR(IF(AND(up_RadSpec!C23=1,up_RadSpec!D23&lt;&gt;0),s_TR/(up_RadSpec!F23*s_IFA_far_adj*s_K*up_RadSpec!D23),"."),".")</f>
        <v>.</v>
      </c>
      <c r="CZ23" s="15">
        <f>IFERROR((s_TR/(up_RadSpec!M23*(1/8760)*s_DFA_far_adj)),".")</f>
        <v>3.9818181818181825E-6</v>
      </c>
      <c r="DA23" s="15">
        <f>up_b2w!BC23</f>
        <v>1.6443412786038031E-11</v>
      </c>
      <c r="DB23" s="15">
        <f>IFERROR(J23/(up_RadSpec!AJ23*(1/1000)),".")</f>
        <v>1.322314049586777E-8</v>
      </c>
      <c r="DC23" s="15">
        <f>IFERROR(K23/(up_RadSpec!AK23*(1/1000)),".")</f>
        <v>1.322314049586777E-8</v>
      </c>
      <c r="DD23" s="15">
        <f>IFERROR(G23/(up_RadSpec!AI23*s_Q_w_beef*(1/1000)),".")</f>
        <v>2.6446280991735539E-9</v>
      </c>
      <c r="DE23" s="15">
        <f>IFERROR((H23*s_D_milk)/(up_RadSpec!AH23*s_Q_w_dairy*(1/1000)),".")</f>
        <v>2.7239669421487605E-9</v>
      </c>
      <c r="DF23" s="15">
        <f>IFERROR(I23/(up_RadSpec!AN23*s_Q_w_swine*(1/1000)),".")</f>
        <v>2.6446280991735539E-9</v>
      </c>
      <c r="DG23" s="15">
        <f>IFERROR(E23/(up_RadSpec!AL23*s_Q_w_poultry*(1/1000)),".")</f>
        <v>2.6446280991735539E-9</v>
      </c>
      <c r="DH23" s="15">
        <f>IFERROR(F23/(up_RadSpec!AM23*s_Q_w_poultry*(1/1000)),".")</f>
        <v>2.6446280991735539E-9</v>
      </c>
      <c r="DI23" s="15">
        <f>IFERROR(L23/(up_RadSpec!AQ23*s_Q_w_goat*(1/1000)),".")</f>
        <v>2.6446280991735539E-9</v>
      </c>
      <c r="DJ23" s="15">
        <f>IFERROR(N23*s_D_milk/(up_RadSpec!AR23*s_Q_w_goat_milk*(1/1000)),".")</f>
        <v>2.7239669421487605E-9</v>
      </c>
      <c r="DK23" s="15">
        <f>IFERROR(M23/(up_RadSpec!AO23*s_Q_w_sheep*(1/1000)),".")</f>
        <v>2.6446280991735539E-9</v>
      </c>
      <c r="DL23" s="15">
        <f>IFERROR(O23*s_D_milk/(up_RadSpec!AP23*s_Q_w_sheep_milk*(1/1000)),".")</f>
        <v>2.7239669421487605E-9</v>
      </c>
      <c r="DM23" s="118">
        <f t="shared" si="24"/>
        <v>2749999999.9999995</v>
      </c>
      <c r="DN23" s="118" t="str">
        <f t="shared" si="24"/>
        <v>.</v>
      </c>
      <c r="DO23" s="118">
        <f t="shared" si="24"/>
        <v>251141.55251141547</v>
      </c>
      <c r="DP23" s="118">
        <f t="shared" si="24"/>
        <v>60814626076.229866</v>
      </c>
      <c r="DQ23" s="118">
        <f t="shared" si="24"/>
        <v>75624999.999999985</v>
      </c>
      <c r="DR23" s="118">
        <f t="shared" si="24"/>
        <v>75624999.999999985</v>
      </c>
      <c r="DS23" s="118">
        <f t="shared" si="24"/>
        <v>378124999.99999994</v>
      </c>
      <c r="DT23" s="118">
        <f t="shared" si="24"/>
        <v>367111650.48543686</v>
      </c>
      <c r="DU23" s="118">
        <f t="shared" si="24"/>
        <v>378124999.99999994</v>
      </c>
      <c r="DV23" s="118">
        <f t="shared" si="24"/>
        <v>378124999.99999994</v>
      </c>
      <c r="DW23" s="118">
        <f t="shared" si="24"/>
        <v>378124999.99999994</v>
      </c>
      <c r="DX23" s="118">
        <f t="shared" si="24"/>
        <v>378124999.99999994</v>
      </c>
      <c r="DY23" s="118">
        <f t="shared" si="24"/>
        <v>367111650.48543686</v>
      </c>
      <c r="DZ23" s="118">
        <f t="shared" si="24"/>
        <v>378124999.99999994</v>
      </c>
      <c r="EA23" s="118">
        <f t="shared" si="24"/>
        <v>367111650.48543686</v>
      </c>
      <c r="EB23" s="15">
        <f t="shared" si="21"/>
        <v>1.4906192608956601E-11</v>
      </c>
      <c r="EC23" s="40">
        <f t="shared" si="15"/>
        <v>27500</v>
      </c>
      <c r="ED23" s="40">
        <f>IF(up_RadSpec!D23&lt;&gt;"",s_C*s_IFA_far_adj*s_K*up_RadSpec!D23,0)</f>
        <v>0</v>
      </c>
      <c r="EE23" s="40">
        <f t="shared" si="16"/>
        <v>2.5114155251141552</v>
      </c>
      <c r="EF23" s="40">
        <f>up_b2w!CC23</f>
        <v>608146.26076229871</v>
      </c>
      <c r="EG23" s="40">
        <f>IFERROR(s_C*up_RadSpec!AJ23*(1/1000)*s_IFFI_far_adj*s_CF_far_fish,0)</f>
        <v>756.25</v>
      </c>
      <c r="EH23" s="40">
        <f>IFERROR(s_C*up_RadSpec!AK23*(1/1000)*s_IFSF_far_adj*s_CF_far_shellfish,0)</f>
        <v>756.25</v>
      </c>
      <c r="EI23" s="40">
        <f>(s_C*s_IFB_far_adj*s_CF_far_beef*up_RadSpec!AI23*s_Q_w_beef*(1/1000))</f>
        <v>3781.25</v>
      </c>
      <c r="EJ23" s="40">
        <f>(s_C*s_IFD_far_adj*s_CF_far_dairy*up_RadSpec!AH23*(1/s_D_milk)*s_Q_w_dairy*(1/1000))</f>
        <v>3671.1165048543689</v>
      </c>
      <c r="EK23" s="40">
        <f>(s_C*s_IFSW_far_adj*s_CF_far_swine*up_RadSpec!AN23*s_Q_w_swine*(1/1000))</f>
        <v>3781.25</v>
      </c>
      <c r="EL23" s="40">
        <f>(s_C*s_IFP_far_adj*s_CF_far_poultry*up_RadSpec!AL23*s_Q_w_poultry*(1/1000))</f>
        <v>3781.25</v>
      </c>
      <c r="EM23" s="40">
        <f>(s_C*s_IFE_far_adj*s_CF_far_egg*up_RadSpec!AM23*s_Q_w_egg*(1/1000))</f>
        <v>3781.25</v>
      </c>
      <c r="EN23" s="40">
        <f>(s_C*s_IFGO_far_adj*s_CF_far_goat*up_RadSpec!AQ23*s_Q_p_goat*(1/1000))</f>
        <v>3781.25</v>
      </c>
      <c r="EO23" s="40">
        <f>(s_C*s_IFGM_far_adj*s_CF_far_goat_milk*up_RadSpec!AR23*(1/s_D_milk)*s_Q_p_goat_milk*(1/1000))</f>
        <v>3671.1165048543689</v>
      </c>
      <c r="EP23" s="40">
        <f>(s_C*s_IFSH_far_adj*s_CF_far_sheep*up_RadSpec!AO23*s_Q_p_sheep*(1/1000))</f>
        <v>3781.25</v>
      </c>
      <c r="EQ23" s="40">
        <f>(s_C*s_IFSM_far_adj*s_CF_far_sheep_milk*up_RadSpec!AP23*(1/s_D_milk)*s_Q_p_sheep_milk*(1/1000))</f>
        <v>3671.1165048543689</v>
      </c>
      <c r="ER23" s="18"/>
      <c r="ES23" s="18"/>
      <c r="ET23" s="18"/>
      <c r="EU23" s="18"/>
      <c r="EV23" s="18"/>
      <c r="EW23" s="18"/>
      <c r="EX23" s="18"/>
      <c r="EY23" s="18"/>
      <c r="EZ23" s="18"/>
      <c r="FA23" s="18"/>
      <c r="FB23" s="18"/>
      <c r="FC23" s="18"/>
      <c r="FD23" s="18"/>
      <c r="FE23" s="18"/>
      <c r="FF23" s="18"/>
      <c r="FG23" s="5"/>
      <c r="FH23" s="15">
        <f>IFERROR((s_TR/(up_RadSpec!F23*s_IFA_far_adj)),".")</f>
        <v>9.9740259740259755E-10</v>
      </c>
      <c r="FI23" s="15">
        <f>IFERROR((s_TR/(up_RadSpec!K23*s_EF_far*(1/365)*s_ED_far*s_ET_far*(1/24)*s_GSF_a)),".")</f>
        <v>6.3709090909090908E-6</v>
      </c>
      <c r="FJ23" s="15">
        <f t="shared" si="22"/>
        <v>9.9724647271019672E-10</v>
      </c>
      <c r="FK23" s="40">
        <f t="shared" si="18"/>
        <v>10026.041666666666</v>
      </c>
      <c r="FL23" s="40">
        <f t="shared" si="19"/>
        <v>1.5696347031963471</v>
      </c>
      <c r="FM23" s="120"/>
      <c r="FN23" s="120"/>
      <c r="FO23" s="120"/>
    </row>
    <row r="24" spans="1:171" customFormat="1" x14ac:dyDescent="0.25">
      <c r="A24" s="44" t="s">
        <v>34</v>
      </c>
      <c r="B24" s="42" t="s">
        <v>1071</v>
      </c>
      <c r="C24" s="249"/>
      <c r="D24" s="15">
        <f>up_dir!AC24</f>
        <v>1.6528925619834712E-11</v>
      </c>
      <c r="E24" s="15">
        <f>IFERROR(s_TR/(up_RadSpec!H24*s_IFP_far_adj*s_CF_far_poultry),".")</f>
        <v>6.6115702479338848E-11</v>
      </c>
      <c r="F24" s="15">
        <f>IFERROR(s_TR/(up_RadSpec!H24*s_IFE_far_adj*s_CF_far_egg),".")</f>
        <v>6.6115702479338848E-11</v>
      </c>
      <c r="G24" s="15">
        <f>IFERROR(s_TR/(up_RadSpec!H24*s_IFB_far_adj*s_CF_far_beef),".")</f>
        <v>6.6115702479338848E-11</v>
      </c>
      <c r="H24" s="15">
        <f>IFERROR(s_TR/(up_RadSpec!H24*s_IFD_far_adj*s_CF_far_dairy),".")</f>
        <v>6.6115702479338848E-11</v>
      </c>
      <c r="I24" s="15">
        <f>IFERROR(s_TR/(up_RadSpec!H24*s_IFSW_far_adj*s_CF_far_swine),".")</f>
        <v>6.6115702479338848E-11</v>
      </c>
      <c r="J24" s="15">
        <f>IFERROR(s_TR/(up_RadSpec!H24*s_IFFI_far_adj*s_CF_far_fish),".")</f>
        <v>6.6115702479338848E-11</v>
      </c>
      <c r="K24" s="15">
        <f>IFERROR(s_TR/(up_RadSpec!H24*s_IFSF_far_adj*s_CF_far_shellfish),".")</f>
        <v>6.6115702479338848E-11</v>
      </c>
      <c r="L24" s="15">
        <f>IFERROR(s_TR/(up_RadSpec!H24*s_IFGO_far_adj*s_CF_far_goat),".")</f>
        <v>6.6115702479338848E-11</v>
      </c>
      <c r="M24" s="15">
        <f>IFERROR(s_TR/(up_RadSpec!H24*s_IFSH_far_adj*s_CF_far_sheep),".")</f>
        <v>6.6115702479338848E-11</v>
      </c>
      <c r="N24" s="15">
        <f>IFERROR(s_TR/(up_RadSpec!H24*s_IFGM_far_adj*s_CF_far_goat_milk),".")</f>
        <v>6.6115702479338848E-11</v>
      </c>
      <c r="O24" s="15">
        <f>IFERROR(s_TR/(up_RadSpec!H24*s_IFSM_far_adj*s_CF_far_sheep_milk),".")</f>
        <v>6.6115702479338848E-11</v>
      </c>
      <c r="P24" s="40">
        <f>up_dir!BC24</f>
        <v>605000</v>
      </c>
      <c r="Q24" s="40">
        <f t="shared" si="0"/>
        <v>151250</v>
      </c>
      <c r="R24" s="40">
        <f t="shared" si="1"/>
        <v>151250</v>
      </c>
      <c r="S24" s="40">
        <f t="shared" si="2"/>
        <v>151250</v>
      </c>
      <c r="T24" s="40">
        <f t="shared" si="3"/>
        <v>151250</v>
      </c>
      <c r="U24" s="40">
        <f t="shared" si="4"/>
        <v>151250</v>
      </c>
      <c r="V24" s="40">
        <f t="shared" si="5"/>
        <v>151250</v>
      </c>
      <c r="W24" s="40">
        <f t="shared" si="6"/>
        <v>151250</v>
      </c>
      <c r="X24" s="40">
        <f t="shared" si="7"/>
        <v>151250</v>
      </c>
      <c r="Y24" s="40">
        <f t="shared" si="8"/>
        <v>151250</v>
      </c>
      <c r="Z24" s="40">
        <f t="shared" si="9"/>
        <v>151250</v>
      </c>
      <c r="AA24" s="40">
        <f t="shared" si="10"/>
        <v>151250</v>
      </c>
      <c r="AB24" s="5"/>
      <c r="AC24" s="5"/>
      <c r="AD24" s="5"/>
      <c r="AE24" s="5"/>
      <c r="AF24" s="5"/>
      <c r="AG24" s="5"/>
      <c r="AH24" s="5"/>
      <c r="AI24" s="5"/>
      <c r="AJ24" s="5"/>
      <c r="AK24" s="5"/>
      <c r="AL24" s="5"/>
      <c r="AM24" s="5"/>
      <c r="AN24" s="45">
        <f>IFERROR((s_TR/(up_RadSpec!E24*s_IFS_far_adj*(1/1000)))*1,".")</f>
        <v>3.3057851239669421E-8</v>
      </c>
      <c r="AO24" s="45">
        <f>IFERROR(IF(A24="H-3",(s_TR/(up_RadSpec!F24*s_IFA_far_adj*(1/17)*1000))*1,(s_TR/(up_RadSpec!F24*s_IFA_far_adj*(1/s_PEF_wind)*1000))*1),".")</f>
        <v>3.0899917851942918E-4</v>
      </c>
      <c r="AP24" s="45">
        <f>IFERROR((s_TR/(up_RadSpec!G24*s_EF_far*(1/365)*s_ED_far*up_RadSpec!R24*((s_ET_far_o*(1/24)*up_RadSpec!W24)+(s_ET_far_i*(1/24)*up_RadSpec!AB24))))*1,".")</f>
        <v>1.91197342814919E-5</v>
      </c>
      <c r="AQ24" s="45">
        <f>up_b2s!BC24</f>
        <v>3.2968835384132272E-12</v>
      </c>
      <c r="AR24" s="45">
        <f>IFERROR(((J24*up_RadSpec!AU24)/up_RadSpec!AJ24)*1,".")</f>
        <v>6.6115702479338848E-11</v>
      </c>
      <c r="AS24" s="45">
        <f>IFERROR(((K24*up_RadSpec!AU24)/up_RadSpec!AK24)*1,".")</f>
        <v>6.6115702479338848E-11</v>
      </c>
      <c r="AT24" s="45">
        <f>IFERROR((G24/(up_RadSpec!AI24*((s_Q_p_beef*s_f_p_beef*s_f_s_beef*(up_RadSpec!BD24+s_R_es_past))+(s_Q_s_beef*s_f_p_beef))))*1,".")</f>
        <v>1.8558793678410904E-14</v>
      </c>
      <c r="AU24" s="45">
        <f>IFERROR(((H24*s_D_milk)/(up_RadSpec!AH24*((s_Q_p_dairy*s_f_p_dairy*s_f_s_dairy*(up_RadSpec!BD24+s_R_es_past))+(s_Q_s_dairy*s_f_p_dairy))))*1,".")</f>
        <v>1.9115557488763232E-14</v>
      </c>
      <c r="AV24" s="45">
        <f>IFERROR((I24/(up_RadSpec!AN24*((s_Q_p_swine*s_f_p_swine*s_f_s_swine*(up_RadSpec!BD24+s_R_es_past))+(s_Q_s_swine*s_f_p_swine))))*1,".")</f>
        <v>1.8558793678410904E-14</v>
      </c>
      <c r="AW24" s="45">
        <f>IFERROR((E24/(up_RadSpec!AL24*((s_Q_p_poultry*s_f_p_poultry*s_f_s_poultry*(up_RadSpec!BD24+s_R_es_past))+(s_Q_s_poultry*s_f_p_poultry))))*1,".")</f>
        <v>1.8558793678410904E-14</v>
      </c>
      <c r="AX24" s="45">
        <f>IFERROR((F24/(up_RadSpec!AM24*((s_Q_p_poultry*s_f_p_poultry*s_f_s_poultry*(up_RadSpec!BD24+s_R_es_past))+(s_Q_s_poultry*s_f_p_poultry))))*1,".")</f>
        <v>1.8558793678410904E-14</v>
      </c>
      <c r="AY24" s="45">
        <f>IFERROR((L24/(up_RadSpec!AQ24*((s_Q_p_goat*s_f_p_goat*s_f_s_goat*(up_RadSpec!BD24+s_R_es_past))+(s_Q_s_goat*s_f_p_goat))))*1,".")</f>
        <v>1.8558793678410904E-14</v>
      </c>
      <c r="AZ24" s="45">
        <f>IFERROR((N24*s_D_milk/(up_RadSpec!AR24*((s_Q_p_goat_milk*s_f_p_goat_milk*s_f_s_goat_milk*(up_RadSpec!BD24+s_R_es_past))+(s_Q_s_goat_milk*s_f_p_goat_milk))))*1,".")</f>
        <v>1.9115557488763232E-14</v>
      </c>
      <c r="BA24" s="45">
        <f>IFERROR((M24/(up_RadSpec!AO24*((s_Q_p_sheep*s_f_p_sheep*s_f_s_sheep*(up_RadSpec!BD24+s_R_es_past))+(s_Q_s_sheep*s_f_p_sheep))))*1,".")</f>
        <v>1.8558793678410904E-14</v>
      </c>
      <c r="BB24" s="45">
        <f>IFERROR((O24*s_D_milk/(up_RadSpec!AP24*((s_Q_p_sheep_milk*s_f_p_sheep_milk*s_f_s_sheep_milk*(up_RadSpec!BD24+s_R_es_past))+(s_Q_s_sheep_milk*s_f_p_sheep_milk))))*1,".")</f>
        <v>1.9115557488763232E-14</v>
      </c>
      <c r="BC24" s="118">
        <f t="shared" si="23"/>
        <v>30250000</v>
      </c>
      <c r="BD24" s="118">
        <f t="shared" si="23"/>
        <v>3236.2545583179349</v>
      </c>
      <c r="BE24" s="118">
        <f t="shared" si="23"/>
        <v>52301.982092293525</v>
      </c>
      <c r="BF24" s="118">
        <f t="shared" si="23"/>
        <v>303316749999.99994</v>
      </c>
      <c r="BG24" s="118">
        <f t="shared" si="23"/>
        <v>15124999999.999998</v>
      </c>
      <c r="BH24" s="118">
        <f t="shared" si="23"/>
        <v>15124999999.999998</v>
      </c>
      <c r="BI24" s="118">
        <f t="shared" si="23"/>
        <v>53882812500000</v>
      </c>
      <c r="BJ24" s="118">
        <f t="shared" si="23"/>
        <v>52313410194174.758</v>
      </c>
      <c r="BK24" s="118">
        <f t="shared" si="23"/>
        <v>53882812500000</v>
      </c>
      <c r="BL24" s="118">
        <f t="shared" si="23"/>
        <v>53882812500000</v>
      </c>
      <c r="BM24" s="118">
        <f t="shared" si="23"/>
        <v>53882812500000</v>
      </c>
      <c r="BN24" s="118">
        <f t="shared" si="23"/>
        <v>53882812500000</v>
      </c>
      <c r="BO24" s="118">
        <f t="shared" si="23"/>
        <v>52313410194174.758</v>
      </c>
      <c r="BP24" s="118">
        <f t="shared" si="23"/>
        <v>53882812500000</v>
      </c>
      <c r="BQ24" s="118">
        <f t="shared" si="23"/>
        <v>52313410194174.758</v>
      </c>
      <c r="BR24" s="15">
        <f t="shared" si="20"/>
        <v>2.080859266931095E-15</v>
      </c>
      <c r="BS24" s="40">
        <f t="shared" si="12"/>
        <v>302.5</v>
      </c>
      <c r="BT24" s="40">
        <f t="shared" si="13"/>
        <v>3.2362545583179352E-2</v>
      </c>
      <c r="BU24" s="40">
        <f>IFERROR((s_C*s_EF_far*(1/365)*s_ED_far*up_RadSpec!R24*((s_ET_far_o*(1/24)*up_RadSpec!W24)+(s_ET_far_i*(1/24)*up_RadSpec!AB24))),".")</f>
        <v>0.52301982092293531</v>
      </c>
      <c r="BV24" s="40">
        <f>up_b2s!CC24</f>
        <v>3033167.5</v>
      </c>
      <c r="BW24" s="40">
        <f>IFERROR(((s_C*up_RadSpec!AJ24)/up_RadSpec!AU24)*s_IFFI_far_adj*s_CF_far_fish,0)</f>
        <v>151250</v>
      </c>
      <c r="BX24" s="40">
        <f>IFERROR(((s_C*up_RadSpec!AK24)/up_RadSpec!AU24)*s_IFSF_far_adj*s_CF_far_shellfish,0)</f>
        <v>151250</v>
      </c>
      <c r="BY24" s="40">
        <f>(s_C*s_IFB_far_adj*s_CF_far_beef*up_RadSpec!AI24*((s_Q_p_beef*s_f_p_beef*s_f_s_beef*(up_RadSpec!$AT24+s_R_es_past))+(s_Q_s_beef*s_f_p_beef)))</f>
        <v>538828125</v>
      </c>
      <c r="BZ24" s="40">
        <f>(s_C*s_IFD_far_adj*s_CF_far_dairy*up_RadSpec!AH24*1/s_D_milk*((s_Q_p_dairy*s_f_p_dairy*s_f_s_dairy*(up_RadSpec!$AT24+s_R_es_past))+(s_Q_s_dairy*s_f_p_dairy)))</f>
        <v>523134101.94174761</v>
      </c>
      <c r="CA24" s="40">
        <f>(s_C*s_IFSW_far_adj*s_CF_far_swine*up_RadSpec!AN24*((s_Q_p_swine*s_f_p_swine*s_f_s_swine*(up_RadSpec!$AT24+s_R_es_past))+(s_Q_s_swine*s_f_p_swine)))</f>
        <v>538828125</v>
      </c>
      <c r="CB24" s="40">
        <f>(s_C*s_IFP_far_adj*s_CF_far_poultry*up_RadSpec!AL24*((s_Q_p_poultry*s_f_p_poultry*s_f_s_poultry*(up_RadSpec!AT24+s_R_es_past))+(s_Q_s_poultry*s_f_p_poultry)))</f>
        <v>538828125</v>
      </c>
      <c r="CC24" s="40">
        <f>(s_C*s_IFE_far_adj*s_CF_far_egg*up_RadSpec!AM24*((s_Q_p_egg*s_f_p_egg*s_f_s_egg*(up_RadSpec!$AT24+s_R_es_past))+(s_Q_s_egg*s_f_p_egg)))</f>
        <v>538828125</v>
      </c>
      <c r="CD24" s="40">
        <f>(s_C*s_IFGO_far_adj*s_CF_far_goat*up_RadSpec!AQ24*((s_Q_p_goat*s_f_p_goat*s_f_s_goat*(up_RadSpec!$AT24+s_R_es_past))+(s_Q_s_goat*s_f_p_goat)))</f>
        <v>538828125</v>
      </c>
      <c r="CE24" s="40">
        <f>(s_C*s_IFGM_far_adj*s_CF_far_goat_milk*up_RadSpec!AR24*1/s_D_milk*((s_Q_p_goat_milk*s_f_p_goat_milk*s_f_s_goat_milk*(up_RadSpec!$AT24+s_R_es_past))+(s_Q_s_goat_milk*s_f_p_goat_milk)))</f>
        <v>523134101.94174761</v>
      </c>
      <c r="CF24" s="40">
        <f>(s_C*s_IFSH_far_adj*s_CF_far_sheep*up_RadSpec!AO24*((s_Q_p_sheep*s_f_p_sheep*s_f_s_sheep*(up_RadSpec!$AT24+s_R_es_past))+(s_Q_s_sheep*s_f_p_sheep)))</f>
        <v>538828125</v>
      </c>
      <c r="CG24" s="40">
        <f>(s_C*s_IFSM_far_adj*s_CF_far_sheep_milk*up_RadSpec!AP24*1/s_D_milk*((s_Q_p_sheep_milk*s_f_p_sheep_milk*s_f_s_sheep_milk*(up_RadSpec!$AT24+s_R_es_past))+(s_Q_s_sheep_milk*s_f_p_sheep_milk)))</f>
        <v>523134101.94174761</v>
      </c>
      <c r="CH24" s="18"/>
      <c r="CI24" s="18"/>
      <c r="CJ24" s="18"/>
      <c r="CK24" s="18"/>
      <c r="CL24" s="18"/>
      <c r="CM24" s="18"/>
      <c r="CN24" s="18"/>
      <c r="CO24" s="18"/>
      <c r="CP24" s="18"/>
      <c r="CQ24" s="18"/>
      <c r="CR24" s="18"/>
      <c r="CS24" s="18"/>
      <c r="CT24" s="18"/>
      <c r="CU24" s="18"/>
      <c r="CV24" s="18"/>
      <c r="CW24" s="5"/>
      <c r="CX24" s="15">
        <f>IFERROR(s_TR/(up_RadSpec!I24*s_IFW_far_adj),".")</f>
        <v>3.6363636363636369E-10</v>
      </c>
      <c r="CY24" s="15">
        <f>IFERROR(IF(AND(up_RadSpec!C24=1,up_RadSpec!D24&lt;&gt;0),s_TR/(up_RadSpec!F24*s_IFA_far_adj*s_K*up_RadSpec!D24),"."),".")</f>
        <v>1.3733409486996358E-2</v>
      </c>
      <c r="CZ24" s="15">
        <f>IFERROR((s_TR/(up_RadSpec!M24*(1/8760)*s_DFA_far_adj)),".")</f>
        <v>3.9818181818181825E-6</v>
      </c>
      <c r="DA24" s="15">
        <f>up_b2w!BC24</f>
        <v>1.6443412786038031E-11</v>
      </c>
      <c r="DB24" s="15">
        <f>IFERROR(J24/(up_RadSpec!AJ24*(1/1000)),".")</f>
        <v>1.322314049586777E-8</v>
      </c>
      <c r="DC24" s="15">
        <f>IFERROR(K24/(up_RadSpec!AK24*(1/1000)),".")</f>
        <v>1.322314049586777E-8</v>
      </c>
      <c r="DD24" s="15">
        <f>IFERROR(G24/(up_RadSpec!AI24*s_Q_w_beef*(1/1000)),".")</f>
        <v>2.6446280991735539E-9</v>
      </c>
      <c r="DE24" s="15">
        <f>IFERROR((H24*s_D_milk)/(up_RadSpec!AH24*s_Q_w_dairy*(1/1000)),".")</f>
        <v>2.7239669421487605E-9</v>
      </c>
      <c r="DF24" s="15">
        <f>IFERROR(I24/(up_RadSpec!AN24*s_Q_w_swine*(1/1000)),".")</f>
        <v>2.6446280991735539E-9</v>
      </c>
      <c r="DG24" s="15">
        <f>IFERROR(E24/(up_RadSpec!AL24*s_Q_w_poultry*(1/1000)),".")</f>
        <v>2.6446280991735539E-9</v>
      </c>
      <c r="DH24" s="15">
        <f>IFERROR(F24/(up_RadSpec!AM24*s_Q_w_poultry*(1/1000)),".")</f>
        <v>2.6446280991735539E-9</v>
      </c>
      <c r="DI24" s="15">
        <f>IFERROR(L24/(up_RadSpec!AQ24*s_Q_w_goat*(1/1000)),".")</f>
        <v>2.6446280991735539E-9</v>
      </c>
      <c r="DJ24" s="15">
        <f>IFERROR(N24*s_D_milk/(up_RadSpec!AR24*s_Q_w_goat_milk*(1/1000)),".")</f>
        <v>2.7239669421487605E-9</v>
      </c>
      <c r="DK24" s="15">
        <f>IFERROR(M24/(up_RadSpec!AO24*s_Q_w_sheep*(1/1000)),".")</f>
        <v>2.6446280991735539E-9</v>
      </c>
      <c r="DL24" s="15">
        <f>IFERROR(O24*s_D_milk/(up_RadSpec!AP24*s_Q_w_sheep_milk*(1/1000)),".")</f>
        <v>2.7239669421487605E-9</v>
      </c>
      <c r="DM24" s="118">
        <f t="shared" si="24"/>
        <v>2749999999.9999995</v>
      </c>
      <c r="DN24" s="118">
        <f t="shared" si="24"/>
        <v>72.815130208333329</v>
      </c>
      <c r="DO24" s="118">
        <f t="shared" si="24"/>
        <v>251141.55251141547</v>
      </c>
      <c r="DP24" s="118">
        <f t="shared" si="24"/>
        <v>60814626076.229866</v>
      </c>
      <c r="DQ24" s="118">
        <f t="shared" si="24"/>
        <v>75624999.999999985</v>
      </c>
      <c r="DR24" s="118">
        <f t="shared" si="24"/>
        <v>75624999.999999985</v>
      </c>
      <c r="DS24" s="118">
        <f t="shared" si="24"/>
        <v>378124999.99999994</v>
      </c>
      <c r="DT24" s="118">
        <f t="shared" si="24"/>
        <v>367111650.48543686</v>
      </c>
      <c r="DU24" s="118">
        <f t="shared" si="24"/>
        <v>378124999.99999994</v>
      </c>
      <c r="DV24" s="118">
        <f t="shared" si="24"/>
        <v>378124999.99999994</v>
      </c>
      <c r="DW24" s="118">
        <f t="shared" si="24"/>
        <v>378124999.99999994</v>
      </c>
      <c r="DX24" s="118">
        <f t="shared" si="24"/>
        <v>378124999.99999994</v>
      </c>
      <c r="DY24" s="118">
        <f t="shared" si="24"/>
        <v>367111650.48543686</v>
      </c>
      <c r="DZ24" s="118">
        <f t="shared" si="24"/>
        <v>378124999.99999994</v>
      </c>
      <c r="EA24" s="118">
        <f t="shared" si="24"/>
        <v>367111650.48543686</v>
      </c>
      <c r="EB24" s="15">
        <f t="shared" si="21"/>
        <v>1.4906192592777475E-11</v>
      </c>
      <c r="EC24" s="40">
        <f t="shared" si="15"/>
        <v>27500</v>
      </c>
      <c r="ED24" s="40">
        <f>IF(up_RadSpec!D24&lt;&gt;"",s_C*s_IFA_far_adj*s_K*up_RadSpec!D24,0)</f>
        <v>7.281513020833333E-4</v>
      </c>
      <c r="EE24" s="40">
        <f t="shared" si="16"/>
        <v>2.5114155251141552</v>
      </c>
      <c r="EF24" s="40">
        <f>up_b2w!CC24</f>
        <v>608146.26076229871</v>
      </c>
      <c r="EG24" s="40">
        <f>IFERROR(s_C*up_RadSpec!AJ24*(1/1000)*s_IFFI_far_adj*s_CF_far_fish,0)</f>
        <v>756.25</v>
      </c>
      <c r="EH24" s="40">
        <f>IFERROR(s_C*up_RadSpec!AK24*(1/1000)*s_IFSF_far_adj*s_CF_far_shellfish,0)</f>
        <v>756.25</v>
      </c>
      <c r="EI24" s="40">
        <f>(s_C*s_IFB_far_adj*s_CF_far_beef*up_RadSpec!AI24*s_Q_w_beef*(1/1000))</f>
        <v>3781.25</v>
      </c>
      <c r="EJ24" s="40">
        <f>(s_C*s_IFD_far_adj*s_CF_far_dairy*up_RadSpec!AH24*(1/s_D_milk)*s_Q_w_dairy*(1/1000))</f>
        <v>3671.1165048543689</v>
      </c>
      <c r="EK24" s="40">
        <f>(s_C*s_IFSW_far_adj*s_CF_far_swine*up_RadSpec!AN24*s_Q_w_swine*(1/1000))</f>
        <v>3781.25</v>
      </c>
      <c r="EL24" s="40">
        <f>(s_C*s_IFP_far_adj*s_CF_far_poultry*up_RadSpec!AL24*s_Q_w_poultry*(1/1000))</f>
        <v>3781.25</v>
      </c>
      <c r="EM24" s="40">
        <f>(s_C*s_IFE_far_adj*s_CF_far_egg*up_RadSpec!AM24*s_Q_w_egg*(1/1000))</f>
        <v>3781.25</v>
      </c>
      <c r="EN24" s="40">
        <f>(s_C*s_IFGO_far_adj*s_CF_far_goat*up_RadSpec!AQ24*s_Q_p_goat*(1/1000))</f>
        <v>3781.25</v>
      </c>
      <c r="EO24" s="40">
        <f>(s_C*s_IFGM_far_adj*s_CF_far_goat_milk*up_RadSpec!AR24*(1/s_D_milk)*s_Q_p_goat_milk*(1/1000))</f>
        <v>3671.1165048543689</v>
      </c>
      <c r="EP24" s="40">
        <f>(s_C*s_IFSH_far_adj*s_CF_far_sheep*up_RadSpec!AO24*s_Q_p_sheep*(1/1000))</f>
        <v>3781.25</v>
      </c>
      <c r="EQ24" s="40">
        <f>(s_C*s_IFSM_far_adj*s_CF_far_sheep_milk*up_RadSpec!AP24*(1/s_D_milk)*s_Q_p_sheep_milk*(1/1000))</f>
        <v>3671.1165048543689</v>
      </c>
      <c r="ER24" s="18"/>
      <c r="ES24" s="18"/>
      <c r="ET24" s="18"/>
      <c r="EU24" s="18"/>
      <c r="EV24" s="18"/>
      <c r="EW24" s="18"/>
      <c r="EX24" s="18"/>
      <c r="EY24" s="18"/>
      <c r="EZ24" s="18"/>
      <c r="FA24" s="18"/>
      <c r="FB24" s="18"/>
      <c r="FC24" s="18"/>
      <c r="FD24" s="18"/>
      <c r="FE24" s="18"/>
      <c r="FF24" s="18"/>
      <c r="FG24" s="5"/>
      <c r="FH24" s="15">
        <f>IFERROR((s_TR/(up_RadSpec!F24*s_IFA_far_adj)),".")</f>
        <v>9.9740259740259755E-10</v>
      </c>
      <c r="FI24" s="15">
        <f>IFERROR((s_TR/(up_RadSpec!K24*s_EF_far*(1/365)*s_ED_far*s_ET_far*(1/24)*s_GSF_a)),".")</f>
        <v>6.3709090909090908E-6</v>
      </c>
      <c r="FJ24" s="15">
        <f t="shared" si="22"/>
        <v>9.9724647271019672E-10</v>
      </c>
      <c r="FK24" s="40">
        <f t="shared" si="18"/>
        <v>10026.041666666666</v>
      </c>
      <c r="FL24" s="40">
        <f t="shared" si="19"/>
        <v>1.5696347031963471</v>
      </c>
      <c r="FM24" s="120"/>
      <c r="FN24" s="120"/>
      <c r="FO24" s="120"/>
    </row>
    <row r="25" spans="1:171" customFormat="1" x14ac:dyDescent="0.25">
      <c r="A25" s="46" t="s">
        <v>35</v>
      </c>
      <c r="B25" s="42" t="s">
        <v>349</v>
      </c>
      <c r="C25" s="249"/>
      <c r="D25" s="15">
        <f>up_dir!AC25</f>
        <v>1.6528925619834712E-11</v>
      </c>
      <c r="E25" s="15">
        <f>IFERROR(s_TR/(up_RadSpec!H25*s_IFP_far_adj*s_CF_far_poultry),".")</f>
        <v>6.6115702479338848E-11</v>
      </c>
      <c r="F25" s="15">
        <f>IFERROR(s_TR/(up_RadSpec!H25*s_IFE_far_adj*s_CF_far_egg),".")</f>
        <v>6.6115702479338848E-11</v>
      </c>
      <c r="G25" s="15">
        <f>IFERROR(s_TR/(up_RadSpec!H25*s_IFB_far_adj*s_CF_far_beef),".")</f>
        <v>6.6115702479338848E-11</v>
      </c>
      <c r="H25" s="15">
        <f>IFERROR(s_TR/(up_RadSpec!H25*s_IFD_far_adj*s_CF_far_dairy),".")</f>
        <v>6.6115702479338848E-11</v>
      </c>
      <c r="I25" s="15">
        <f>IFERROR(s_TR/(up_RadSpec!H25*s_IFSW_far_adj*s_CF_far_swine),".")</f>
        <v>6.6115702479338848E-11</v>
      </c>
      <c r="J25" s="15">
        <f>IFERROR(s_TR/(up_RadSpec!H25*s_IFFI_far_adj*s_CF_far_fish),".")</f>
        <v>6.6115702479338848E-11</v>
      </c>
      <c r="K25" s="15">
        <f>IFERROR(s_TR/(up_RadSpec!H25*s_IFSF_far_adj*s_CF_far_shellfish),".")</f>
        <v>6.6115702479338848E-11</v>
      </c>
      <c r="L25" s="15">
        <f>IFERROR(s_TR/(up_RadSpec!H25*s_IFGO_far_adj*s_CF_far_goat),".")</f>
        <v>6.6115702479338848E-11</v>
      </c>
      <c r="M25" s="15">
        <f>IFERROR(s_TR/(up_RadSpec!H25*s_IFSH_far_adj*s_CF_far_sheep),".")</f>
        <v>6.6115702479338848E-11</v>
      </c>
      <c r="N25" s="15">
        <f>IFERROR(s_TR/(up_RadSpec!H25*s_IFGM_far_adj*s_CF_far_goat_milk),".")</f>
        <v>6.6115702479338848E-11</v>
      </c>
      <c r="O25" s="15">
        <f>IFERROR(s_TR/(up_RadSpec!H25*s_IFSM_far_adj*s_CF_far_sheep_milk),".")</f>
        <v>6.6115702479338848E-11</v>
      </c>
      <c r="P25" s="40">
        <f>up_dir!BC25</f>
        <v>605000</v>
      </c>
      <c r="Q25" s="40">
        <f t="shared" si="0"/>
        <v>151250</v>
      </c>
      <c r="R25" s="40">
        <f t="shared" si="1"/>
        <v>151250</v>
      </c>
      <c r="S25" s="40">
        <f t="shared" si="2"/>
        <v>151250</v>
      </c>
      <c r="T25" s="40">
        <f t="shared" si="3"/>
        <v>151250</v>
      </c>
      <c r="U25" s="40">
        <f t="shared" si="4"/>
        <v>151250</v>
      </c>
      <c r="V25" s="40">
        <f t="shared" si="5"/>
        <v>151250</v>
      </c>
      <c r="W25" s="40">
        <f t="shared" si="6"/>
        <v>151250</v>
      </c>
      <c r="X25" s="40">
        <f t="shared" si="7"/>
        <v>151250</v>
      </c>
      <c r="Y25" s="40">
        <f t="shared" si="8"/>
        <v>151250</v>
      </c>
      <c r="Z25" s="40">
        <f t="shared" si="9"/>
        <v>151250</v>
      </c>
      <c r="AA25" s="40">
        <f t="shared" si="10"/>
        <v>151250</v>
      </c>
      <c r="AB25" s="5"/>
      <c r="AC25" s="5"/>
      <c r="AD25" s="5"/>
      <c r="AE25" s="5"/>
      <c r="AF25" s="5"/>
      <c r="AG25" s="5"/>
      <c r="AH25" s="5"/>
      <c r="AI25" s="5"/>
      <c r="AJ25" s="5"/>
      <c r="AK25" s="5"/>
      <c r="AL25" s="5"/>
      <c r="AM25" s="5"/>
      <c r="AN25" s="45">
        <f>IFERROR((s_TR/(up_RadSpec!E25*s_IFS_far_adj*(1/1000)))*1,".")</f>
        <v>3.3057851239669421E-8</v>
      </c>
      <c r="AO25" s="45">
        <f>IFERROR(IF(A25="H-3",(s_TR/(up_RadSpec!F25*s_IFA_far_adj*(1/17)*1000))*1,(s_TR/(up_RadSpec!F25*s_IFA_far_adj*(1/s_PEF_wind)*1000))*1),".")</f>
        <v>3.0899917851942918E-4</v>
      </c>
      <c r="AP25" s="45">
        <f>IFERROR((s_TR/(up_RadSpec!G25*s_EF_far*(1/365)*s_ED_far*up_RadSpec!R25*((s_ET_far_o*(1/24)*up_RadSpec!W25)+(s_ET_far_i*(1/24)*up_RadSpec!AB25))))*1,".")</f>
        <v>2.1321650237312892E-5</v>
      </c>
      <c r="AQ25" s="45">
        <f>up_b2s!BC25</f>
        <v>3.2968835384132272E-12</v>
      </c>
      <c r="AR25" s="45">
        <f>IFERROR(((J25*up_RadSpec!AU25)/up_RadSpec!AJ25)*1,".")</f>
        <v>6.6115702479338848E-11</v>
      </c>
      <c r="AS25" s="45">
        <f>IFERROR(((K25*up_RadSpec!AU25)/up_RadSpec!AK25)*1,".")</f>
        <v>6.6115702479338848E-11</v>
      </c>
      <c r="AT25" s="45">
        <f>IFERROR((G25/(up_RadSpec!AI25*((s_Q_p_beef*s_f_p_beef*s_f_s_beef*(up_RadSpec!BD25+s_R_es_past))+(s_Q_s_beef*s_f_p_beef))))*1,".")</f>
        <v>1.8558793678410904E-14</v>
      </c>
      <c r="AU25" s="45">
        <f>IFERROR(((H25*s_D_milk)/(up_RadSpec!AH25*((s_Q_p_dairy*s_f_p_dairy*s_f_s_dairy*(up_RadSpec!BD25+s_R_es_past))+(s_Q_s_dairy*s_f_p_dairy))))*1,".")</f>
        <v>1.9115557488763232E-14</v>
      </c>
      <c r="AV25" s="45">
        <f>IFERROR((I25/(up_RadSpec!AN25*((s_Q_p_swine*s_f_p_swine*s_f_s_swine*(up_RadSpec!BD25+s_R_es_past))+(s_Q_s_swine*s_f_p_swine))))*1,".")</f>
        <v>1.8558793678410904E-14</v>
      </c>
      <c r="AW25" s="45">
        <f>IFERROR((E25/(up_RadSpec!AL25*((s_Q_p_poultry*s_f_p_poultry*s_f_s_poultry*(up_RadSpec!BD25+s_R_es_past))+(s_Q_s_poultry*s_f_p_poultry))))*1,".")</f>
        <v>1.8558793678410904E-14</v>
      </c>
      <c r="AX25" s="45">
        <f>IFERROR((F25/(up_RadSpec!AM25*((s_Q_p_poultry*s_f_p_poultry*s_f_s_poultry*(up_RadSpec!BD25+s_R_es_past))+(s_Q_s_poultry*s_f_p_poultry))))*1,".")</f>
        <v>1.8558793678410904E-14</v>
      </c>
      <c r="AY25" s="45">
        <f>IFERROR((L25/(up_RadSpec!AQ25*((s_Q_p_goat*s_f_p_goat*s_f_s_goat*(up_RadSpec!BD25+s_R_es_past))+(s_Q_s_goat*s_f_p_goat))))*1,".")</f>
        <v>1.8558793678410904E-14</v>
      </c>
      <c r="AZ25" s="45">
        <f>IFERROR((N25*s_D_milk/(up_RadSpec!AR25*((s_Q_p_goat_milk*s_f_p_goat_milk*s_f_s_goat_milk*(up_RadSpec!BD25+s_R_es_past))+(s_Q_s_goat_milk*s_f_p_goat_milk))))*1,".")</f>
        <v>1.9115557488763232E-14</v>
      </c>
      <c r="BA25" s="45">
        <f>IFERROR((M25/(up_RadSpec!AO25*((s_Q_p_sheep*s_f_p_sheep*s_f_s_sheep*(up_RadSpec!BD25+s_R_es_past))+(s_Q_s_sheep*s_f_p_sheep))))*1,".")</f>
        <v>1.8558793678410904E-14</v>
      </c>
      <c r="BB25" s="45">
        <f>IFERROR((O25*s_D_milk/(up_RadSpec!AP25*((s_Q_p_sheep_milk*s_f_p_sheep_milk*s_f_s_sheep_milk*(up_RadSpec!BD25+s_R_es_past))+(s_Q_s_sheep_milk*s_f_p_sheep_milk))))*1,".")</f>
        <v>1.9115557488763232E-14</v>
      </c>
      <c r="BC25" s="118">
        <f t="shared" si="23"/>
        <v>30250000</v>
      </c>
      <c r="BD25" s="118">
        <f t="shared" si="23"/>
        <v>3236.2545583179349</v>
      </c>
      <c r="BE25" s="118">
        <f t="shared" si="23"/>
        <v>46900.684931506839</v>
      </c>
      <c r="BF25" s="118">
        <f t="shared" si="23"/>
        <v>303316749999.99994</v>
      </c>
      <c r="BG25" s="118">
        <f t="shared" si="23"/>
        <v>15124999999.999998</v>
      </c>
      <c r="BH25" s="118">
        <f t="shared" si="23"/>
        <v>15124999999.999998</v>
      </c>
      <c r="BI25" s="118">
        <f t="shared" si="23"/>
        <v>53882812500000</v>
      </c>
      <c r="BJ25" s="118">
        <f t="shared" si="23"/>
        <v>52313410194174.758</v>
      </c>
      <c r="BK25" s="118">
        <f t="shared" si="23"/>
        <v>53882812500000</v>
      </c>
      <c r="BL25" s="118">
        <f t="shared" si="23"/>
        <v>53882812500000</v>
      </c>
      <c r="BM25" s="118">
        <f t="shared" si="23"/>
        <v>53882812500000</v>
      </c>
      <c r="BN25" s="118">
        <f t="shared" si="23"/>
        <v>53882812500000</v>
      </c>
      <c r="BO25" s="118">
        <f t="shared" si="23"/>
        <v>52313410194174.758</v>
      </c>
      <c r="BP25" s="118">
        <f t="shared" si="23"/>
        <v>53882812500000</v>
      </c>
      <c r="BQ25" s="118">
        <f t="shared" si="23"/>
        <v>52313410194174.758</v>
      </c>
      <c r="BR25" s="15">
        <f t="shared" si="20"/>
        <v>2.0808592669544828E-15</v>
      </c>
      <c r="BS25" s="40">
        <f t="shared" si="12"/>
        <v>302.5</v>
      </c>
      <c r="BT25" s="40">
        <f t="shared" si="13"/>
        <v>3.2362545583179352E-2</v>
      </c>
      <c r="BU25" s="40">
        <f>IFERROR((s_C*s_EF_far*(1/365)*s_ED_far*up_RadSpec!R25*((s_ET_far_o*(1/24)*up_RadSpec!W25)+(s_ET_far_i*(1/24)*up_RadSpec!AB25))),".")</f>
        <v>0.46900684931506842</v>
      </c>
      <c r="BV25" s="40">
        <f>up_b2s!CC25</f>
        <v>3033167.5</v>
      </c>
      <c r="BW25" s="40">
        <f>IFERROR(((s_C*up_RadSpec!AJ25)/up_RadSpec!AU25)*s_IFFI_far_adj*s_CF_far_fish,0)</f>
        <v>151250</v>
      </c>
      <c r="BX25" s="40">
        <f>IFERROR(((s_C*up_RadSpec!AK25)/up_RadSpec!AU25)*s_IFSF_far_adj*s_CF_far_shellfish,0)</f>
        <v>151250</v>
      </c>
      <c r="BY25" s="40">
        <f>(s_C*s_IFB_far_adj*s_CF_far_beef*up_RadSpec!AI25*((s_Q_p_beef*s_f_p_beef*s_f_s_beef*(up_RadSpec!$AT25+s_R_es_past))+(s_Q_s_beef*s_f_p_beef)))</f>
        <v>538828125</v>
      </c>
      <c r="BZ25" s="40">
        <f>(s_C*s_IFD_far_adj*s_CF_far_dairy*up_RadSpec!AH25*1/s_D_milk*((s_Q_p_dairy*s_f_p_dairy*s_f_s_dairy*(up_RadSpec!$AT25+s_R_es_past))+(s_Q_s_dairy*s_f_p_dairy)))</f>
        <v>523134101.94174761</v>
      </c>
      <c r="CA25" s="40">
        <f>(s_C*s_IFSW_far_adj*s_CF_far_swine*up_RadSpec!AN25*((s_Q_p_swine*s_f_p_swine*s_f_s_swine*(up_RadSpec!$AT25+s_R_es_past))+(s_Q_s_swine*s_f_p_swine)))</f>
        <v>538828125</v>
      </c>
      <c r="CB25" s="40">
        <f>(s_C*s_IFP_far_adj*s_CF_far_poultry*up_RadSpec!AL25*((s_Q_p_poultry*s_f_p_poultry*s_f_s_poultry*(up_RadSpec!AT25+s_R_es_past))+(s_Q_s_poultry*s_f_p_poultry)))</f>
        <v>538828125</v>
      </c>
      <c r="CC25" s="40">
        <f>(s_C*s_IFE_far_adj*s_CF_far_egg*up_RadSpec!AM25*((s_Q_p_egg*s_f_p_egg*s_f_s_egg*(up_RadSpec!$AT25+s_R_es_past))+(s_Q_s_egg*s_f_p_egg)))</f>
        <v>538828125</v>
      </c>
      <c r="CD25" s="40">
        <f>(s_C*s_IFGO_far_adj*s_CF_far_goat*up_RadSpec!AQ25*((s_Q_p_goat*s_f_p_goat*s_f_s_goat*(up_RadSpec!$AT25+s_R_es_past))+(s_Q_s_goat*s_f_p_goat)))</f>
        <v>538828125</v>
      </c>
      <c r="CE25" s="40">
        <f>(s_C*s_IFGM_far_adj*s_CF_far_goat_milk*up_RadSpec!AR25*1/s_D_milk*((s_Q_p_goat_milk*s_f_p_goat_milk*s_f_s_goat_milk*(up_RadSpec!$AT25+s_R_es_past))+(s_Q_s_goat_milk*s_f_p_goat_milk)))</f>
        <v>523134101.94174761</v>
      </c>
      <c r="CF25" s="40">
        <f>(s_C*s_IFSH_far_adj*s_CF_far_sheep*up_RadSpec!AO25*((s_Q_p_sheep*s_f_p_sheep*s_f_s_sheep*(up_RadSpec!$AT25+s_R_es_past))+(s_Q_s_sheep*s_f_p_sheep)))</f>
        <v>538828125</v>
      </c>
      <c r="CG25" s="40">
        <f>(s_C*s_IFSM_far_adj*s_CF_far_sheep_milk*up_RadSpec!AP25*1/s_D_milk*((s_Q_p_sheep_milk*s_f_p_sheep_milk*s_f_s_sheep_milk*(up_RadSpec!$AT25+s_R_es_past))+(s_Q_s_sheep_milk*s_f_p_sheep_milk)))</f>
        <v>523134101.94174761</v>
      </c>
      <c r="CH25" s="18"/>
      <c r="CI25" s="18"/>
      <c r="CJ25" s="18"/>
      <c r="CK25" s="18"/>
      <c r="CL25" s="18"/>
      <c r="CM25" s="18"/>
      <c r="CN25" s="18"/>
      <c r="CO25" s="18"/>
      <c r="CP25" s="18"/>
      <c r="CQ25" s="18"/>
      <c r="CR25" s="18"/>
      <c r="CS25" s="18"/>
      <c r="CT25" s="18"/>
      <c r="CU25" s="18"/>
      <c r="CV25" s="18"/>
      <c r="CW25" s="5"/>
      <c r="CX25" s="15">
        <f>IFERROR(s_TR/(up_RadSpec!I25*s_IFW_far_adj),".")</f>
        <v>3.6363636363636369E-10</v>
      </c>
      <c r="CY25" s="15">
        <f>IFERROR(IF(AND(up_RadSpec!C25=1,up_RadSpec!D25&lt;&gt;0),s_TR/(up_RadSpec!F25*s_IFA_far_adj*s_K*up_RadSpec!D25),"."),".")</f>
        <v>1.9948051948051951E-9</v>
      </c>
      <c r="CZ25" s="15">
        <f>IFERROR((s_TR/(up_RadSpec!M25*(1/8760)*s_DFA_far_adj)),".")</f>
        <v>3.9818181818181825E-6</v>
      </c>
      <c r="DA25" s="15">
        <f>up_b2w!BC25</f>
        <v>1.6443412786038031E-11</v>
      </c>
      <c r="DB25" s="15">
        <f>IFERROR(J25/(up_RadSpec!AJ25*(1/1000)),".")</f>
        <v>1.322314049586777E-8</v>
      </c>
      <c r="DC25" s="15">
        <f>IFERROR(K25/(up_RadSpec!AK25*(1/1000)),".")</f>
        <v>1.322314049586777E-8</v>
      </c>
      <c r="DD25" s="15">
        <f>IFERROR(G25/(up_RadSpec!AI25*s_Q_w_beef*(1/1000)),".")</f>
        <v>2.6446280991735539E-9</v>
      </c>
      <c r="DE25" s="15">
        <f>IFERROR((H25*s_D_milk)/(up_RadSpec!AH25*s_Q_w_dairy*(1/1000)),".")</f>
        <v>2.7239669421487605E-9</v>
      </c>
      <c r="DF25" s="15">
        <f>IFERROR(I25/(up_RadSpec!AN25*s_Q_w_swine*(1/1000)),".")</f>
        <v>2.6446280991735539E-9</v>
      </c>
      <c r="DG25" s="15">
        <f>IFERROR(E25/(up_RadSpec!AL25*s_Q_w_poultry*(1/1000)),".")</f>
        <v>2.6446280991735539E-9</v>
      </c>
      <c r="DH25" s="15">
        <f>IFERROR(F25/(up_RadSpec!AM25*s_Q_w_poultry*(1/1000)),".")</f>
        <v>2.6446280991735539E-9</v>
      </c>
      <c r="DI25" s="15">
        <f>IFERROR(L25/(up_RadSpec!AQ25*s_Q_w_goat*(1/1000)),".")</f>
        <v>2.6446280991735539E-9</v>
      </c>
      <c r="DJ25" s="15">
        <f>IFERROR(N25*s_D_milk/(up_RadSpec!AR25*s_Q_w_goat_milk*(1/1000)),".")</f>
        <v>2.7239669421487605E-9</v>
      </c>
      <c r="DK25" s="15">
        <f>IFERROR(M25/(up_RadSpec!AO25*s_Q_w_sheep*(1/1000)),".")</f>
        <v>2.6446280991735539E-9</v>
      </c>
      <c r="DL25" s="15">
        <f>IFERROR(O25*s_D_milk/(up_RadSpec!AP25*s_Q_w_sheep_milk*(1/1000)),".")</f>
        <v>2.7239669421487605E-9</v>
      </c>
      <c r="DM25" s="118">
        <f t="shared" si="24"/>
        <v>2749999999.9999995</v>
      </c>
      <c r="DN25" s="118">
        <f t="shared" si="24"/>
        <v>501302083.33333325</v>
      </c>
      <c r="DO25" s="118">
        <f t="shared" si="24"/>
        <v>251141.55251141547</v>
      </c>
      <c r="DP25" s="118">
        <f t="shared" si="24"/>
        <v>60814626076.229866</v>
      </c>
      <c r="DQ25" s="118">
        <f t="shared" si="24"/>
        <v>75624999.999999985</v>
      </c>
      <c r="DR25" s="118">
        <f t="shared" si="24"/>
        <v>75624999.999999985</v>
      </c>
      <c r="DS25" s="118">
        <f t="shared" si="24"/>
        <v>378124999.99999994</v>
      </c>
      <c r="DT25" s="118">
        <f t="shared" si="24"/>
        <v>367111650.48543686</v>
      </c>
      <c r="DU25" s="118">
        <f t="shared" si="24"/>
        <v>378124999.99999994</v>
      </c>
      <c r="DV25" s="118">
        <f t="shared" si="24"/>
        <v>378124999.99999994</v>
      </c>
      <c r="DW25" s="118">
        <f t="shared" si="24"/>
        <v>378124999.99999994</v>
      </c>
      <c r="DX25" s="118">
        <f t="shared" si="24"/>
        <v>378124999.99999994</v>
      </c>
      <c r="DY25" s="118">
        <f t="shared" si="24"/>
        <v>367111650.48543686</v>
      </c>
      <c r="DZ25" s="118">
        <f t="shared" si="24"/>
        <v>378124999.99999994</v>
      </c>
      <c r="EA25" s="118">
        <f t="shared" si="24"/>
        <v>367111650.48543686</v>
      </c>
      <c r="EB25" s="15">
        <f t="shared" si="21"/>
        <v>1.479563216754854E-11</v>
      </c>
      <c r="EC25" s="40">
        <f t="shared" si="15"/>
        <v>27500</v>
      </c>
      <c r="ED25" s="40">
        <f>IF(up_RadSpec!D25&lt;&gt;"",s_C*s_IFA_far_adj*s_K*up_RadSpec!D25,0)</f>
        <v>5013.020833333333</v>
      </c>
      <c r="EE25" s="40">
        <f t="shared" si="16"/>
        <v>2.5114155251141552</v>
      </c>
      <c r="EF25" s="40">
        <f>up_b2w!CC25</f>
        <v>608146.26076229871</v>
      </c>
      <c r="EG25" s="40">
        <f>IFERROR(s_C*up_RadSpec!AJ25*(1/1000)*s_IFFI_far_adj*s_CF_far_fish,0)</f>
        <v>756.25</v>
      </c>
      <c r="EH25" s="40">
        <f>IFERROR(s_C*up_RadSpec!AK25*(1/1000)*s_IFSF_far_adj*s_CF_far_shellfish,0)</f>
        <v>756.25</v>
      </c>
      <c r="EI25" s="40">
        <f>(s_C*s_IFB_far_adj*s_CF_far_beef*up_RadSpec!AI25*s_Q_w_beef*(1/1000))</f>
        <v>3781.25</v>
      </c>
      <c r="EJ25" s="40">
        <f>(s_C*s_IFD_far_adj*s_CF_far_dairy*up_RadSpec!AH25*(1/s_D_milk)*s_Q_w_dairy*(1/1000))</f>
        <v>3671.1165048543689</v>
      </c>
      <c r="EK25" s="40">
        <f>(s_C*s_IFSW_far_adj*s_CF_far_swine*up_RadSpec!AN25*s_Q_w_swine*(1/1000))</f>
        <v>3781.25</v>
      </c>
      <c r="EL25" s="40">
        <f>(s_C*s_IFP_far_adj*s_CF_far_poultry*up_RadSpec!AL25*s_Q_w_poultry*(1/1000))</f>
        <v>3781.25</v>
      </c>
      <c r="EM25" s="40">
        <f>(s_C*s_IFE_far_adj*s_CF_far_egg*up_RadSpec!AM25*s_Q_w_egg*(1/1000))</f>
        <v>3781.25</v>
      </c>
      <c r="EN25" s="40">
        <f>(s_C*s_IFGO_far_adj*s_CF_far_goat*up_RadSpec!AQ25*s_Q_p_goat*(1/1000))</f>
        <v>3781.25</v>
      </c>
      <c r="EO25" s="40">
        <f>(s_C*s_IFGM_far_adj*s_CF_far_goat_milk*up_RadSpec!AR25*(1/s_D_milk)*s_Q_p_goat_milk*(1/1000))</f>
        <v>3671.1165048543689</v>
      </c>
      <c r="EP25" s="40">
        <f>(s_C*s_IFSH_far_adj*s_CF_far_sheep*up_RadSpec!AO25*s_Q_p_sheep*(1/1000))</f>
        <v>3781.25</v>
      </c>
      <c r="EQ25" s="40">
        <f>(s_C*s_IFSM_far_adj*s_CF_far_sheep_milk*up_RadSpec!AP25*(1/s_D_milk)*s_Q_p_sheep_milk*(1/1000))</f>
        <v>3671.1165048543689</v>
      </c>
      <c r="ER25" s="18"/>
      <c r="ES25" s="18"/>
      <c r="ET25" s="18"/>
      <c r="EU25" s="18"/>
      <c r="EV25" s="18"/>
      <c r="EW25" s="18"/>
      <c r="EX25" s="18"/>
      <c r="EY25" s="18"/>
      <c r="EZ25" s="18"/>
      <c r="FA25" s="18"/>
      <c r="FB25" s="18"/>
      <c r="FC25" s="18"/>
      <c r="FD25" s="18"/>
      <c r="FE25" s="18"/>
      <c r="FF25" s="18"/>
      <c r="FG25" s="5"/>
      <c r="FH25" s="15">
        <f>IFERROR((s_TR/(up_RadSpec!F25*s_IFA_far_adj)),".")</f>
        <v>9.9740259740259755E-10</v>
      </c>
      <c r="FI25" s="15">
        <f>IFERROR((s_TR/(up_RadSpec!K25*s_EF_far*(1/365)*s_ED_far*s_ET_far*(1/24)*s_GSF_a)),".")</f>
        <v>6.3709090909090908E-6</v>
      </c>
      <c r="FJ25" s="15">
        <f t="shared" si="22"/>
        <v>9.9724647271019672E-10</v>
      </c>
      <c r="FK25" s="40">
        <f t="shared" si="18"/>
        <v>10026.041666666666</v>
      </c>
      <c r="FL25" s="40">
        <f t="shared" si="19"/>
        <v>1.5696347031963471</v>
      </c>
      <c r="FM25" s="120"/>
      <c r="FN25" s="120"/>
      <c r="FO25" s="120"/>
    </row>
    <row r="26" spans="1:171" customFormat="1" x14ac:dyDescent="0.25">
      <c r="A26" s="44" t="s">
        <v>36</v>
      </c>
      <c r="B26" s="42" t="s">
        <v>1071</v>
      </c>
      <c r="C26" s="42"/>
      <c r="D26" s="15">
        <f>up_dir!AC26</f>
        <v>1.6528925619834712E-11</v>
      </c>
      <c r="E26" s="15">
        <f>IFERROR(s_TR/(up_RadSpec!H26*s_IFP_far_adj*s_CF_far_poultry),".")</f>
        <v>6.6115702479338848E-11</v>
      </c>
      <c r="F26" s="15">
        <f>IFERROR(s_TR/(up_RadSpec!H26*s_IFE_far_adj*s_CF_far_egg),".")</f>
        <v>6.6115702479338848E-11</v>
      </c>
      <c r="G26" s="15">
        <f>IFERROR(s_TR/(up_RadSpec!H26*s_IFB_far_adj*s_CF_far_beef),".")</f>
        <v>6.6115702479338848E-11</v>
      </c>
      <c r="H26" s="15">
        <f>IFERROR(s_TR/(up_RadSpec!H26*s_IFD_far_adj*s_CF_far_dairy),".")</f>
        <v>6.6115702479338848E-11</v>
      </c>
      <c r="I26" s="15">
        <f>IFERROR(s_TR/(up_RadSpec!H26*s_IFSW_far_adj*s_CF_far_swine),".")</f>
        <v>6.6115702479338848E-11</v>
      </c>
      <c r="J26" s="15">
        <f>IFERROR(s_TR/(up_RadSpec!H26*s_IFFI_far_adj*s_CF_far_fish),".")</f>
        <v>6.6115702479338848E-11</v>
      </c>
      <c r="K26" s="15">
        <f>IFERROR(s_TR/(up_RadSpec!H26*s_IFSF_far_adj*s_CF_far_shellfish),".")</f>
        <v>6.6115702479338848E-11</v>
      </c>
      <c r="L26" s="15">
        <f>IFERROR(s_TR/(up_RadSpec!H26*s_IFGO_far_adj*s_CF_far_goat),".")</f>
        <v>6.6115702479338848E-11</v>
      </c>
      <c r="M26" s="15">
        <f>IFERROR(s_TR/(up_RadSpec!H26*s_IFSH_far_adj*s_CF_far_sheep),".")</f>
        <v>6.6115702479338848E-11</v>
      </c>
      <c r="N26" s="15">
        <f>IFERROR(s_TR/(up_RadSpec!H26*s_IFGM_far_adj*s_CF_far_goat_milk),".")</f>
        <v>6.6115702479338848E-11</v>
      </c>
      <c r="O26" s="15">
        <f>IFERROR(s_TR/(up_RadSpec!H26*s_IFSM_far_adj*s_CF_far_sheep_milk),".")</f>
        <v>6.6115702479338848E-11</v>
      </c>
      <c r="P26" s="40">
        <f>up_dir!BC26</f>
        <v>605000</v>
      </c>
      <c r="Q26" s="40">
        <f t="shared" si="0"/>
        <v>151250</v>
      </c>
      <c r="R26" s="40">
        <f t="shared" si="1"/>
        <v>151250</v>
      </c>
      <c r="S26" s="40">
        <f t="shared" si="2"/>
        <v>151250</v>
      </c>
      <c r="T26" s="40">
        <f t="shared" si="3"/>
        <v>151250</v>
      </c>
      <c r="U26" s="40">
        <f t="shared" si="4"/>
        <v>151250</v>
      </c>
      <c r="V26" s="40">
        <f t="shared" si="5"/>
        <v>151250</v>
      </c>
      <c r="W26" s="40">
        <f t="shared" si="6"/>
        <v>151250</v>
      </c>
      <c r="X26" s="40">
        <f t="shared" si="7"/>
        <v>151250</v>
      </c>
      <c r="Y26" s="40">
        <f t="shared" si="8"/>
        <v>151250</v>
      </c>
      <c r="Z26" s="40">
        <f t="shared" si="9"/>
        <v>151250</v>
      </c>
      <c r="AA26" s="40">
        <f t="shared" si="10"/>
        <v>151250</v>
      </c>
      <c r="AB26" s="5"/>
      <c r="AC26" s="5"/>
      <c r="AD26" s="5"/>
      <c r="AE26" s="5"/>
      <c r="AF26" s="5"/>
      <c r="AG26" s="5"/>
      <c r="AH26" s="5"/>
      <c r="AI26" s="5"/>
      <c r="AJ26" s="5"/>
      <c r="AK26" s="5"/>
      <c r="AL26" s="5"/>
      <c r="AM26" s="5"/>
      <c r="AN26" s="45">
        <f>IFERROR((s_TR/(up_RadSpec!E26*s_IFS_far_adj*(1/1000)))*1,".")</f>
        <v>3.3057851239669421E-8</v>
      </c>
      <c r="AO26" s="45">
        <f>IFERROR(IF(A26="H-3",(s_TR/(up_RadSpec!F26*s_IFA_far_adj*(1/17)*1000))*1,(s_TR/(up_RadSpec!F26*s_IFA_far_adj*(1/s_PEF_wind)*1000))*1),".")</f>
        <v>3.0899917851942918E-4</v>
      </c>
      <c r="AP26" s="45">
        <f>IFERROR((s_TR/(up_RadSpec!G26*s_EF_far*(1/365)*s_ED_far*up_RadSpec!R26*((s_ET_far_o*(1/24)*up_RadSpec!W26)+(s_ET_far_i*(1/24)*up_RadSpec!AB26))))*1,".")</f>
        <v>1.1624922696351266E-4</v>
      </c>
      <c r="AQ26" s="45">
        <f>up_b2s!BC26</f>
        <v>3.2968835384132272E-12</v>
      </c>
      <c r="AR26" s="45">
        <f>IFERROR(((J26*up_RadSpec!AU26)/up_RadSpec!AJ26)*1,".")</f>
        <v>6.6115702479338848E-11</v>
      </c>
      <c r="AS26" s="45">
        <f>IFERROR(((K26*up_RadSpec!AU26)/up_RadSpec!AK26)*1,".")</f>
        <v>6.6115702479338848E-11</v>
      </c>
      <c r="AT26" s="45">
        <f>IFERROR((G26/(up_RadSpec!AI26*((s_Q_p_beef*s_f_p_beef*s_f_s_beef*(up_RadSpec!BD26+s_R_es_past))+(s_Q_s_beef*s_f_p_beef))))*1,".")</f>
        <v>1.8558793678410904E-14</v>
      </c>
      <c r="AU26" s="45">
        <f>IFERROR(((H26*s_D_milk)/(up_RadSpec!AH26*((s_Q_p_dairy*s_f_p_dairy*s_f_s_dairy*(up_RadSpec!BD26+s_R_es_past))+(s_Q_s_dairy*s_f_p_dairy))))*1,".")</f>
        <v>1.9115557488763232E-14</v>
      </c>
      <c r="AV26" s="45">
        <f>IFERROR((I26/(up_RadSpec!AN26*((s_Q_p_swine*s_f_p_swine*s_f_s_swine*(up_RadSpec!BD26+s_R_es_past))+(s_Q_s_swine*s_f_p_swine))))*1,".")</f>
        <v>1.8558793678410904E-14</v>
      </c>
      <c r="AW26" s="45">
        <f>IFERROR((E26/(up_RadSpec!AL26*((s_Q_p_poultry*s_f_p_poultry*s_f_s_poultry*(up_RadSpec!BD26+s_R_es_past))+(s_Q_s_poultry*s_f_p_poultry))))*1,".")</f>
        <v>1.8558793678410904E-14</v>
      </c>
      <c r="AX26" s="45">
        <f>IFERROR((F26/(up_RadSpec!AM26*((s_Q_p_poultry*s_f_p_poultry*s_f_s_poultry*(up_RadSpec!BD26+s_R_es_past))+(s_Q_s_poultry*s_f_p_poultry))))*1,".")</f>
        <v>1.8558793678410904E-14</v>
      </c>
      <c r="AY26" s="45">
        <f>IFERROR((L26/(up_RadSpec!AQ26*((s_Q_p_goat*s_f_p_goat*s_f_s_goat*(up_RadSpec!BD26+s_R_es_past))+(s_Q_s_goat*s_f_p_goat))))*1,".")</f>
        <v>1.8558793678410904E-14</v>
      </c>
      <c r="AZ26" s="45">
        <f>IFERROR((N26*s_D_milk/(up_RadSpec!AR26*((s_Q_p_goat_milk*s_f_p_goat_milk*s_f_s_goat_milk*(up_RadSpec!BD26+s_R_es_past))+(s_Q_s_goat_milk*s_f_p_goat_milk))))*1,".")</f>
        <v>1.9115557488763232E-14</v>
      </c>
      <c r="BA26" s="45">
        <f>IFERROR((M26/(up_RadSpec!AO26*((s_Q_p_sheep*s_f_p_sheep*s_f_s_sheep*(up_RadSpec!BD26+s_R_es_past))+(s_Q_s_sheep*s_f_p_sheep))))*1,".")</f>
        <v>1.8558793678410904E-14</v>
      </c>
      <c r="BB26" s="45">
        <f>IFERROR((O26*s_D_milk/(up_RadSpec!AP26*((s_Q_p_sheep_milk*s_f_p_sheep_milk*s_f_s_sheep_milk*(up_RadSpec!BD26+s_R_es_past))+(s_Q_s_sheep_milk*s_f_p_sheep_milk))))*1,".")</f>
        <v>1.9115557488763232E-14</v>
      </c>
      <c r="BC26" s="118">
        <f t="shared" si="23"/>
        <v>30250000</v>
      </c>
      <c r="BD26" s="118">
        <f t="shared" si="23"/>
        <v>3236.2545583179349</v>
      </c>
      <c r="BE26" s="118">
        <f t="shared" si="23"/>
        <v>8602.2077403910116</v>
      </c>
      <c r="BF26" s="118">
        <f t="shared" si="23"/>
        <v>303316749999.99994</v>
      </c>
      <c r="BG26" s="118">
        <f t="shared" si="23"/>
        <v>15124999999.999998</v>
      </c>
      <c r="BH26" s="118">
        <f t="shared" si="23"/>
        <v>15124999999.999998</v>
      </c>
      <c r="BI26" s="118">
        <f t="shared" si="23"/>
        <v>53882812500000</v>
      </c>
      <c r="BJ26" s="118">
        <f t="shared" si="23"/>
        <v>52313410194174.758</v>
      </c>
      <c r="BK26" s="118">
        <f t="shared" si="23"/>
        <v>53882812500000</v>
      </c>
      <c r="BL26" s="118">
        <f t="shared" si="23"/>
        <v>53882812500000</v>
      </c>
      <c r="BM26" s="118">
        <f t="shared" si="23"/>
        <v>53882812500000</v>
      </c>
      <c r="BN26" s="118">
        <f t="shared" si="23"/>
        <v>53882812500000</v>
      </c>
      <c r="BO26" s="118">
        <f t="shared" si="23"/>
        <v>52313410194174.758</v>
      </c>
      <c r="BP26" s="118">
        <f t="shared" si="23"/>
        <v>53882812500000</v>
      </c>
      <c r="BQ26" s="118">
        <f t="shared" si="23"/>
        <v>52313410194174.758</v>
      </c>
      <c r="BR26" s="15">
        <f t="shared" si="20"/>
        <v>2.0808592671203139E-15</v>
      </c>
      <c r="BS26" s="40">
        <f t="shared" si="12"/>
        <v>302.5</v>
      </c>
      <c r="BT26" s="40">
        <f t="shared" si="13"/>
        <v>3.2362545583179352E-2</v>
      </c>
      <c r="BU26" s="40">
        <f>IFERROR((s_C*s_EF_far*(1/365)*s_ED_far*up_RadSpec!R26*((s_ET_far_o*(1/24)*up_RadSpec!W26)+(s_ET_far_i*(1/24)*up_RadSpec!AB26))),".")</f>
        <v>8.6022077403910116E-2</v>
      </c>
      <c r="BV26" s="40">
        <f>up_b2s!CC26</f>
        <v>3033167.5</v>
      </c>
      <c r="BW26" s="40">
        <f>IFERROR(((s_C*up_RadSpec!AJ26)/up_RadSpec!AU26)*s_IFFI_far_adj*s_CF_far_fish,0)</f>
        <v>151250</v>
      </c>
      <c r="BX26" s="40">
        <f>IFERROR(((s_C*up_RadSpec!AK26)/up_RadSpec!AU26)*s_IFSF_far_adj*s_CF_far_shellfish,0)</f>
        <v>151250</v>
      </c>
      <c r="BY26" s="40">
        <f>(s_C*s_IFB_far_adj*s_CF_far_beef*up_RadSpec!AI26*((s_Q_p_beef*s_f_p_beef*s_f_s_beef*(up_RadSpec!$AT26+s_R_es_past))+(s_Q_s_beef*s_f_p_beef)))</f>
        <v>538828125</v>
      </c>
      <c r="BZ26" s="40">
        <f>(s_C*s_IFD_far_adj*s_CF_far_dairy*up_RadSpec!AH26*1/s_D_milk*((s_Q_p_dairy*s_f_p_dairy*s_f_s_dairy*(up_RadSpec!$AT26+s_R_es_past))+(s_Q_s_dairy*s_f_p_dairy)))</f>
        <v>523134101.94174761</v>
      </c>
      <c r="CA26" s="40">
        <f>(s_C*s_IFSW_far_adj*s_CF_far_swine*up_RadSpec!AN26*((s_Q_p_swine*s_f_p_swine*s_f_s_swine*(up_RadSpec!$AT26+s_R_es_past))+(s_Q_s_swine*s_f_p_swine)))</f>
        <v>538828125</v>
      </c>
      <c r="CB26" s="40">
        <f>(s_C*s_IFP_far_adj*s_CF_far_poultry*up_RadSpec!AL26*((s_Q_p_poultry*s_f_p_poultry*s_f_s_poultry*(up_RadSpec!AT26+s_R_es_past))+(s_Q_s_poultry*s_f_p_poultry)))</f>
        <v>538828125</v>
      </c>
      <c r="CC26" s="40">
        <f>(s_C*s_IFE_far_adj*s_CF_far_egg*up_RadSpec!AM26*((s_Q_p_egg*s_f_p_egg*s_f_s_egg*(up_RadSpec!$AT26+s_R_es_past))+(s_Q_s_egg*s_f_p_egg)))</f>
        <v>538828125</v>
      </c>
      <c r="CD26" s="40">
        <f>(s_C*s_IFGO_far_adj*s_CF_far_goat*up_RadSpec!AQ26*((s_Q_p_goat*s_f_p_goat*s_f_s_goat*(up_RadSpec!$AT26+s_R_es_past))+(s_Q_s_goat*s_f_p_goat)))</f>
        <v>538828125</v>
      </c>
      <c r="CE26" s="40">
        <f>(s_C*s_IFGM_far_adj*s_CF_far_goat_milk*up_RadSpec!AR26*1/s_D_milk*((s_Q_p_goat_milk*s_f_p_goat_milk*s_f_s_goat_milk*(up_RadSpec!$AT26+s_R_es_past))+(s_Q_s_goat_milk*s_f_p_goat_milk)))</f>
        <v>523134101.94174761</v>
      </c>
      <c r="CF26" s="40">
        <f>(s_C*s_IFSH_far_adj*s_CF_far_sheep*up_RadSpec!AO26*((s_Q_p_sheep*s_f_p_sheep*s_f_s_sheep*(up_RadSpec!$AT26+s_R_es_past))+(s_Q_s_sheep*s_f_p_sheep)))</f>
        <v>538828125</v>
      </c>
      <c r="CG26" s="40">
        <f>(s_C*s_IFSM_far_adj*s_CF_far_sheep_milk*up_RadSpec!AP26*1/s_D_milk*((s_Q_p_sheep_milk*s_f_p_sheep_milk*s_f_s_sheep_milk*(up_RadSpec!$AT26+s_R_es_past))+(s_Q_s_sheep_milk*s_f_p_sheep_milk)))</f>
        <v>523134101.94174761</v>
      </c>
      <c r="CH26" s="18"/>
      <c r="CI26" s="18"/>
      <c r="CJ26" s="18"/>
      <c r="CK26" s="18"/>
      <c r="CL26" s="18"/>
      <c r="CM26" s="18"/>
      <c r="CN26" s="18"/>
      <c r="CO26" s="18"/>
      <c r="CP26" s="18"/>
      <c r="CQ26" s="18"/>
      <c r="CR26" s="18"/>
      <c r="CS26" s="18"/>
      <c r="CT26" s="18"/>
      <c r="CU26" s="18"/>
      <c r="CV26" s="18"/>
      <c r="CW26" s="5"/>
      <c r="CX26" s="15">
        <f>IFERROR(s_TR/(up_RadSpec!I26*s_IFW_far_adj),".")</f>
        <v>3.6363636363636369E-10</v>
      </c>
      <c r="CY26" s="15" t="str">
        <f>IFERROR(IF(AND(up_RadSpec!C26=1,up_RadSpec!D26&lt;&gt;0),s_TR/(up_RadSpec!F26*s_IFA_far_adj*s_K*up_RadSpec!D26),"."),".")</f>
        <v>.</v>
      </c>
      <c r="CZ26" s="15">
        <f>IFERROR((s_TR/(up_RadSpec!M26*(1/8760)*s_DFA_far_adj)),".")</f>
        <v>3.9818181818181825E-6</v>
      </c>
      <c r="DA26" s="15">
        <f>up_b2w!BC26</f>
        <v>1.6443412786038031E-11</v>
      </c>
      <c r="DB26" s="15">
        <f>IFERROR(J26/(up_RadSpec!AJ26*(1/1000)),".")</f>
        <v>1.322314049586777E-8</v>
      </c>
      <c r="DC26" s="15">
        <f>IFERROR(K26/(up_RadSpec!AK26*(1/1000)),".")</f>
        <v>1.322314049586777E-8</v>
      </c>
      <c r="DD26" s="15">
        <f>IFERROR(G26/(up_RadSpec!AI26*s_Q_w_beef*(1/1000)),".")</f>
        <v>2.6446280991735539E-9</v>
      </c>
      <c r="DE26" s="15">
        <f>IFERROR((H26*s_D_milk)/(up_RadSpec!AH26*s_Q_w_dairy*(1/1000)),".")</f>
        <v>2.7239669421487605E-9</v>
      </c>
      <c r="DF26" s="15">
        <f>IFERROR(I26/(up_RadSpec!AN26*s_Q_w_swine*(1/1000)),".")</f>
        <v>2.6446280991735539E-9</v>
      </c>
      <c r="DG26" s="15">
        <f>IFERROR(E26/(up_RadSpec!AL26*s_Q_w_poultry*(1/1000)),".")</f>
        <v>2.6446280991735539E-9</v>
      </c>
      <c r="DH26" s="15">
        <f>IFERROR(F26/(up_RadSpec!AM26*s_Q_w_poultry*(1/1000)),".")</f>
        <v>2.6446280991735539E-9</v>
      </c>
      <c r="DI26" s="15">
        <f>IFERROR(L26/(up_RadSpec!AQ26*s_Q_w_goat*(1/1000)),".")</f>
        <v>2.6446280991735539E-9</v>
      </c>
      <c r="DJ26" s="15">
        <f>IFERROR(N26*s_D_milk/(up_RadSpec!AR26*s_Q_w_goat_milk*(1/1000)),".")</f>
        <v>2.7239669421487605E-9</v>
      </c>
      <c r="DK26" s="15">
        <f>IFERROR(M26/(up_RadSpec!AO26*s_Q_w_sheep*(1/1000)),".")</f>
        <v>2.6446280991735539E-9</v>
      </c>
      <c r="DL26" s="15">
        <f>IFERROR(O26*s_D_milk/(up_RadSpec!AP26*s_Q_w_sheep_milk*(1/1000)),".")</f>
        <v>2.7239669421487605E-9</v>
      </c>
      <c r="DM26" s="118">
        <f t="shared" si="24"/>
        <v>2749999999.9999995</v>
      </c>
      <c r="DN26" s="118" t="str">
        <f t="shared" si="24"/>
        <v>.</v>
      </c>
      <c r="DO26" s="118">
        <f t="shared" si="24"/>
        <v>251141.55251141547</v>
      </c>
      <c r="DP26" s="118">
        <f t="shared" si="24"/>
        <v>60814626076.229866</v>
      </c>
      <c r="DQ26" s="118">
        <f t="shared" si="24"/>
        <v>75624999.999999985</v>
      </c>
      <c r="DR26" s="118">
        <f t="shared" si="24"/>
        <v>75624999.999999985</v>
      </c>
      <c r="DS26" s="118">
        <f t="shared" si="24"/>
        <v>378124999.99999994</v>
      </c>
      <c r="DT26" s="118">
        <f t="shared" si="24"/>
        <v>367111650.48543686</v>
      </c>
      <c r="DU26" s="118">
        <f t="shared" si="24"/>
        <v>378124999.99999994</v>
      </c>
      <c r="DV26" s="118">
        <f t="shared" si="24"/>
        <v>378124999.99999994</v>
      </c>
      <c r="DW26" s="118">
        <f t="shared" si="24"/>
        <v>378124999.99999994</v>
      </c>
      <c r="DX26" s="118">
        <f t="shared" si="24"/>
        <v>378124999.99999994</v>
      </c>
      <c r="DY26" s="118">
        <f t="shared" si="24"/>
        <v>367111650.48543686</v>
      </c>
      <c r="DZ26" s="118">
        <f t="shared" si="24"/>
        <v>378124999.99999994</v>
      </c>
      <c r="EA26" s="118">
        <f t="shared" si="24"/>
        <v>367111650.48543686</v>
      </c>
      <c r="EB26" s="15">
        <f t="shared" si="21"/>
        <v>1.4906192608956601E-11</v>
      </c>
      <c r="EC26" s="40">
        <f t="shared" si="15"/>
        <v>27500</v>
      </c>
      <c r="ED26" s="40">
        <f>IF(up_RadSpec!D26&lt;&gt;"",s_C*s_IFA_far_adj*s_K*up_RadSpec!D26,0)</f>
        <v>0</v>
      </c>
      <c r="EE26" s="40">
        <f t="shared" si="16"/>
        <v>2.5114155251141552</v>
      </c>
      <c r="EF26" s="40">
        <f>up_b2w!CC26</f>
        <v>608146.26076229871</v>
      </c>
      <c r="EG26" s="40">
        <f>IFERROR(s_C*up_RadSpec!AJ26*(1/1000)*s_IFFI_far_adj*s_CF_far_fish,0)</f>
        <v>756.25</v>
      </c>
      <c r="EH26" s="40">
        <f>IFERROR(s_C*up_RadSpec!AK26*(1/1000)*s_IFSF_far_adj*s_CF_far_shellfish,0)</f>
        <v>756.25</v>
      </c>
      <c r="EI26" s="40">
        <f>(s_C*s_IFB_far_adj*s_CF_far_beef*up_RadSpec!AI26*s_Q_w_beef*(1/1000))</f>
        <v>3781.25</v>
      </c>
      <c r="EJ26" s="40">
        <f>(s_C*s_IFD_far_adj*s_CF_far_dairy*up_RadSpec!AH26*(1/s_D_milk)*s_Q_w_dairy*(1/1000))</f>
        <v>3671.1165048543689</v>
      </c>
      <c r="EK26" s="40">
        <f>(s_C*s_IFSW_far_adj*s_CF_far_swine*up_RadSpec!AN26*s_Q_w_swine*(1/1000))</f>
        <v>3781.25</v>
      </c>
      <c r="EL26" s="40">
        <f>(s_C*s_IFP_far_adj*s_CF_far_poultry*up_RadSpec!AL26*s_Q_w_poultry*(1/1000))</f>
        <v>3781.25</v>
      </c>
      <c r="EM26" s="40">
        <f>(s_C*s_IFE_far_adj*s_CF_far_egg*up_RadSpec!AM26*s_Q_w_egg*(1/1000))</f>
        <v>3781.25</v>
      </c>
      <c r="EN26" s="40">
        <f>(s_C*s_IFGO_far_adj*s_CF_far_goat*up_RadSpec!AQ26*s_Q_p_goat*(1/1000))</f>
        <v>3781.25</v>
      </c>
      <c r="EO26" s="40">
        <f>(s_C*s_IFGM_far_adj*s_CF_far_goat_milk*up_RadSpec!AR26*(1/s_D_milk)*s_Q_p_goat_milk*(1/1000))</f>
        <v>3671.1165048543689</v>
      </c>
      <c r="EP26" s="40">
        <f>(s_C*s_IFSH_far_adj*s_CF_far_sheep*up_RadSpec!AO26*s_Q_p_sheep*(1/1000))</f>
        <v>3781.25</v>
      </c>
      <c r="EQ26" s="40">
        <f>(s_C*s_IFSM_far_adj*s_CF_far_sheep_milk*up_RadSpec!AP26*(1/s_D_milk)*s_Q_p_sheep_milk*(1/1000))</f>
        <v>3671.1165048543689</v>
      </c>
      <c r="ER26" s="18"/>
      <c r="ES26" s="18"/>
      <c r="ET26" s="18"/>
      <c r="EU26" s="18"/>
      <c r="EV26" s="18"/>
      <c r="EW26" s="18"/>
      <c r="EX26" s="18"/>
      <c r="EY26" s="18"/>
      <c r="EZ26" s="18"/>
      <c r="FA26" s="18"/>
      <c r="FB26" s="18"/>
      <c r="FC26" s="18"/>
      <c r="FD26" s="18"/>
      <c r="FE26" s="18"/>
      <c r="FF26" s="18"/>
      <c r="FG26" s="5"/>
      <c r="FH26" s="15">
        <f>IFERROR((s_TR/(up_RadSpec!F26*s_IFA_far_adj)),".")</f>
        <v>9.9740259740259755E-10</v>
      </c>
      <c r="FI26" s="15">
        <f>IFERROR((s_TR/(up_RadSpec!K26*s_EF_far*(1/365)*s_ED_far*s_ET_far*(1/24)*s_GSF_a)),".")</f>
        <v>6.3709090909090908E-6</v>
      </c>
      <c r="FJ26" s="15">
        <f t="shared" si="22"/>
        <v>9.9724647271019672E-10</v>
      </c>
      <c r="FK26" s="40">
        <f t="shared" si="18"/>
        <v>10026.041666666666</v>
      </c>
      <c r="FL26" s="40">
        <f t="shared" si="19"/>
        <v>1.5696347031963471</v>
      </c>
      <c r="FM26" s="120"/>
      <c r="FN26" s="120"/>
      <c r="FO26" s="120"/>
    </row>
    <row r="27" spans="1:171" customFormat="1" x14ac:dyDescent="0.25">
      <c r="A27" s="44" t="s">
        <v>37</v>
      </c>
      <c r="B27" s="42" t="s">
        <v>1071</v>
      </c>
      <c r="C27" s="249"/>
      <c r="D27" s="15">
        <f>up_dir!AC27</f>
        <v>1.6528925619834712E-11</v>
      </c>
      <c r="E27" s="15">
        <f>IFERROR(s_TR/(up_RadSpec!H27*s_IFP_far_adj*s_CF_far_poultry),".")</f>
        <v>6.6115702479338848E-11</v>
      </c>
      <c r="F27" s="15">
        <f>IFERROR(s_TR/(up_RadSpec!H27*s_IFE_far_adj*s_CF_far_egg),".")</f>
        <v>6.6115702479338848E-11</v>
      </c>
      <c r="G27" s="15">
        <f>IFERROR(s_TR/(up_RadSpec!H27*s_IFB_far_adj*s_CF_far_beef),".")</f>
        <v>6.6115702479338848E-11</v>
      </c>
      <c r="H27" s="15">
        <f>IFERROR(s_TR/(up_RadSpec!H27*s_IFD_far_adj*s_CF_far_dairy),".")</f>
        <v>6.6115702479338848E-11</v>
      </c>
      <c r="I27" s="15">
        <f>IFERROR(s_TR/(up_RadSpec!H27*s_IFSW_far_adj*s_CF_far_swine),".")</f>
        <v>6.6115702479338848E-11</v>
      </c>
      <c r="J27" s="15">
        <f>IFERROR(s_TR/(up_RadSpec!H27*s_IFFI_far_adj*s_CF_far_fish),".")</f>
        <v>6.6115702479338848E-11</v>
      </c>
      <c r="K27" s="15">
        <f>IFERROR(s_TR/(up_RadSpec!H27*s_IFSF_far_adj*s_CF_far_shellfish),".")</f>
        <v>6.6115702479338848E-11</v>
      </c>
      <c r="L27" s="15">
        <f>IFERROR(s_TR/(up_RadSpec!H27*s_IFGO_far_adj*s_CF_far_goat),".")</f>
        <v>6.6115702479338848E-11</v>
      </c>
      <c r="M27" s="15">
        <f>IFERROR(s_TR/(up_RadSpec!H27*s_IFSH_far_adj*s_CF_far_sheep),".")</f>
        <v>6.6115702479338848E-11</v>
      </c>
      <c r="N27" s="15">
        <f>IFERROR(s_TR/(up_RadSpec!H27*s_IFGM_far_adj*s_CF_far_goat_milk),".")</f>
        <v>6.6115702479338848E-11</v>
      </c>
      <c r="O27" s="15">
        <f>IFERROR(s_TR/(up_RadSpec!H27*s_IFSM_far_adj*s_CF_far_sheep_milk),".")</f>
        <v>6.6115702479338848E-11</v>
      </c>
      <c r="P27" s="40">
        <f>up_dir!BC27</f>
        <v>605000</v>
      </c>
      <c r="Q27" s="40">
        <f t="shared" si="0"/>
        <v>151250</v>
      </c>
      <c r="R27" s="40">
        <f t="shared" si="1"/>
        <v>151250</v>
      </c>
      <c r="S27" s="40">
        <f t="shared" si="2"/>
        <v>151250</v>
      </c>
      <c r="T27" s="40">
        <f t="shared" si="3"/>
        <v>151250</v>
      </c>
      <c r="U27" s="40">
        <f t="shared" si="4"/>
        <v>151250</v>
      </c>
      <c r="V27" s="40">
        <f t="shared" si="5"/>
        <v>151250</v>
      </c>
      <c r="W27" s="40">
        <f t="shared" si="6"/>
        <v>151250</v>
      </c>
      <c r="X27" s="40">
        <f t="shared" si="7"/>
        <v>151250</v>
      </c>
      <c r="Y27" s="40">
        <f t="shared" si="8"/>
        <v>151250</v>
      </c>
      <c r="Z27" s="40">
        <f t="shared" si="9"/>
        <v>151250</v>
      </c>
      <c r="AA27" s="40">
        <f t="shared" si="10"/>
        <v>151250</v>
      </c>
      <c r="AB27" s="5"/>
      <c r="AC27" s="5"/>
      <c r="AD27" s="5"/>
      <c r="AE27" s="5"/>
      <c r="AF27" s="5"/>
      <c r="AG27" s="5"/>
      <c r="AH27" s="5"/>
      <c r="AI27" s="5"/>
      <c r="AJ27" s="5"/>
      <c r="AK27" s="5"/>
      <c r="AL27" s="5"/>
      <c r="AM27" s="5"/>
      <c r="AN27" s="45">
        <f>IFERROR((s_TR/(up_RadSpec!E27*s_IFS_far_adj*(1/1000)))*1,".")</f>
        <v>3.3057851239669421E-8</v>
      </c>
      <c r="AO27" s="45">
        <f>IFERROR(IF(A27="H-3",(s_TR/(up_RadSpec!F27*s_IFA_far_adj*(1/17)*1000))*1,(s_TR/(up_RadSpec!F27*s_IFA_far_adj*(1/s_PEF_wind)*1000))*1),".")</f>
        <v>3.0899917851942918E-4</v>
      </c>
      <c r="AP27" s="45">
        <f>IFERROR((s_TR/(up_RadSpec!G27*s_EF_far*(1/365)*s_ED_far*up_RadSpec!R27*((s_ET_far_o*(1/24)*up_RadSpec!W27)+(s_ET_far_i*(1/24)*up_RadSpec!AB27))))*1,".")</f>
        <v>2.4493101553235199E-5</v>
      </c>
      <c r="AQ27" s="45">
        <f>up_b2s!BC27</f>
        <v>3.2968835384132272E-12</v>
      </c>
      <c r="AR27" s="45">
        <f>IFERROR(((J27*up_RadSpec!AU27)/up_RadSpec!AJ27)*1,".")</f>
        <v>6.6115702479338848E-11</v>
      </c>
      <c r="AS27" s="45">
        <f>IFERROR(((K27*up_RadSpec!AU27)/up_RadSpec!AK27)*1,".")</f>
        <v>6.6115702479338848E-11</v>
      </c>
      <c r="AT27" s="45">
        <f>IFERROR((G27/(up_RadSpec!AI27*((s_Q_p_beef*s_f_p_beef*s_f_s_beef*(up_RadSpec!BD27+s_R_es_past))+(s_Q_s_beef*s_f_p_beef))))*1,".")</f>
        <v>1.8558793678410904E-14</v>
      </c>
      <c r="AU27" s="45">
        <f>IFERROR(((H27*s_D_milk)/(up_RadSpec!AH27*((s_Q_p_dairy*s_f_p_dairy*s_f_s_dairy*(up_RadSpec!BD27+s_R_es_past))+(s_Q_s_dairy*s_f_p_dairy))))*1,".")</f>
        <v>1.9115557488763232E-14</v>
      </c>
      <c r="AV27" s="45">
        <f>IFERROR((I27/(up_RadSpec!AN27*((s_Q_p_swine*s_f_p_swine*s_f_s_swine*(up_RadSpec!BD27+s_R_es_past))+(s_Q_s_swine*s_f_p_swine))))*1,".")</f>
        <v>1.8558793678410904E-14</v>
      </c>
      <c r="AW27" s="45">
        <f>IFERROR((E27/(up_RadSpec!AL27*((s_Q_p_poultry*s_f_p_poultry*s_f_s_poultry*(up_RadSpec!BD27+s_R_es_past))+(s_Q_s_poultry*s_f_p_poultry))))*1,".")</f>
        <v>1.8558793678410904E-14</v>
      </c>
      <c r="AX27" s="45">
        <f>IFERROR((F27/(up_RadSpec!AM27*((s_Q_p_poultry*s_f_p_poultry*s_f_s_poultry*(up_RadSpec!BD27+s_R_es_past))+(s_Q_s_poultry*s_f_p_poultry))))*1,".")</f>
        <v>1.8558793678410904E-14</v>
      </c>
      <c r="AY27" s="45">
        <f>IFERROR((L27/(up_RadSpec!AQ27*((s_Q_p_goat*s_f_p_goat*s_f_s_goat*(up_RadSpec!BD27+s_R_es_past))+(s_Q_s_goat*s_f_p_goat))))*1,".")</f>
        <v>1.8558793678410904E-14</v>
      </c>
      <c r="AZ27" s="45">
        <f>IFERROR((N27*s_D_milk/(up_RadSpec!AR27*((s_Q_p_goat_milk*s_f_p_goat_milk*s_f_s_goat_milk*(up_RadSpec!BD27+s_R_es_past))+(s_Q_s_goat_milk*s_f_p_goat_milk))))*1,".")</f>
        <v>1.9115557488763232E-14</v>
      </c>
      <c r="BA27" s="45">
        <f>IFERROR((M27/(up_RadSpec!AO27*((s_Q_p_sheep*s_f_p_sheep*s_f_s_sheep*(up_RadSpec!BD27+s_R_es_past))+(s_Q_s_sheep*s_f_p_sheep))))*1,".")</f>
        <v>1.8558793678410904E-14</v>
      </c>
      <c r="BB27" s="45">
        <f>IFERROR((O27*s_D_milk/(up_RadSpec!AP27*((s_Q_p_sheep_milk*s_f_p_sheep_milk*s_f_s_sheep_milk*(up_RadSpec!BD27+s_R_es_past))+(s_Q_s_sheep_milk*s_f_p_sheep_milk))))*1,".")</f>
        <v>1.9115557488763232E-14</v>
      </c>
      <c r="BC27" s="118">
        <f t="shared" si="23"/>
        <v>30250000</v>
      </c>
      <c r="BD27" s="118">
        <f t="shared" si="23"/>
        <v>3236.2545583179349</v>
      </c>
      <c r="BE27" s="118">
        <f t="shared" si="23"/>
        <v>40827.822390174748</v>
      </c>
      <c r="BF27" s="118">
        <f t="shared" si="23"/>
        <v>303316749999.99994</v>
      </c>
      <c r="BG27" s="118">
        <f t="shared" si="23"/>
        <v>15124999999.999998</v>
      </c>
      <c r="BH27" s="118">
        <f t="shared" si="23"/>
        <v>15124999999.999998</v>
      </c>
      <c r="BI27" s="118">
        <f t="shared" si="23"/>
        <v>53882812500000</v>
      </c>
      <c r="BJ27" s="118">
        <f t="shared" si="23"/>
        <v>52313410194174.758</v>
      </c>
      <c r="BK27" s="118">
        <f t="shared" si="23"/>
        <v>53882812500000</v>
      </c>
      <c r="BL27" s="118">
        <f t="shared" si="23"/>
        <v>53882812500000</v>
      </c>
      <c r="BM27" s="118">
        <f t="shared" si="23"/>
        <v>53882812500000</v>
      </c>
      <c r="BN27" s="118">
        <f t="shared" si="23"/>
        <v>53882812500000</v>
      </c>
      <c r="BO27" s="118">
        <f t="shared" si="23"/>
        <v>52313410194174.758</v>
      </c>
      <c r="BP27" s="118">
        <f t="shared" si="23"/>
        <v>53882812500000</v>
      </c>
      <c r="BQ27" s="118">
        <f t="shared" si="23"/>
        <v>52313410194174.758</v>
      </c>
      <c r="BR27" s="15">
        <f t="shared" si="20"/>
        <v>2.0808592669807779E-15</v>
      </c>
      <c r="BS27" s="40">
        <f t="shared" si="12"/>
        <v>302.5</v>
      </c>
      <c r="BT27" s="40">
        <f t="shared" si="13"/>
        <v>3.2362545583179352E-2</v>
      </c>
      <c r="BU27" s="40">
        <f>IFERROR((s_C*s_EF_far*(1/365)*s_ED_far*up_RadSpec!R27*((s_ET_far_o*(1/24)*up_RadSpec!W27)+(s_ET_far_i*(1/24)*up_RadSpec!AB27))),".")</f>
        <v>0.40827822390174751</v>
      </c>
      <c r="BV27" s="40">
        <f>up_b2s!CC27</f>
        <v>3033167.5</v>
      </c>
      <c r="BW27" s="40">
        <f>IFERROR(((s_C*up_RadSpec!AJ27)/up_RadSpec!AU27)*s_IFFI_far_adj*s_CF_far_fish,0)</f>
        <v>151250</v>
      </c>
      <c r="BX27" s="40">
        <f>IFERROR(((s_C*up_RadSpec!AK27)/up_RadSpec!AU27)*s_IFSF_far_adj*s_CF_far_shellfish,0)</f>
        <v>151250</v>
      </c>
      <c r="BY27" s="40">
        <f>(s_C*s_IFB_far_adj*s_CF_far_beef*up_RadSpec!AI27*((s_Q_p_beef*s_f_p_beef*s_f_s_beef*(up_RadSpec!$AT27+s_R_es_past))+(s_Q_s_beef*s_f_p_beef)))</f>
        <v>538828125</v>
      </c>
      <c r="BZ27" s="40">
        <f>(s_C*s_IFD_far_adj*s_CF_far_dairy*up_RadSpec!AH27*1/s_D_milk*((s_Q_p_dairy*s_f_p_dairy*s_f_s_dairy*(up_RadSpec!$AT27+s_R_es_past))+(s_Q_s_dairy*s_f_p_dairy)))</f>
        <v>523134101.94174761</v>
      </c>
      <c r="CA27" s="40">
        <f>(s_C*s_IFSW_far_adj*s_CF_far_swine*up_RadSpec!AN27*((s_Q_p_swine*s_f_p_swine*s_f_s_swine*(up_RadSpec!$AT27+s_R_es_past))+(s_Q_s_swine*s_f_p_swine)))</f>
        <v>538828125</v>
      </c>
      <c r="CB27" s="40">
        <f>(s_C*s_IFP_far_adj*s_CF_far_poultry*up_RadSpec!AL27*((s_Q_p_poultry*s_f_p_poultry*s_f_s_poultry*(up_RadSpec!AT27+s_R_es_past))+(s_Q_s_poultry*s_f_p_poultry)))</f>
        <v>538828125</v>
      </c>
      <c r="CC27" s="40">
        <f>(s_C*s_IFE_far_adj*s_CF_far_egg*up_RadSpec!AM27*((s_Q_p_egg*s_f_p_egg*s_f_s_egg*(up_RadSpec!$AT27+s_R_es_past))+(s_Q_s_egg*s_f_p_egg)))</f>
        <v>538828125</v>
      </c>
      <c r="CD27" s="40">
        <f>(s_C*s_IFGO_far_adj*s_CF_far_goat*up_RadSpec!AQ27*((s_Q_p_goat*s_f_p_goat*s_f_s_goat*(up_RadSpec!$AT27+s_R_es_past))+(s_Q_s_goat*s_f_p_goat)))</f>
        <v>538828125</v>
      </c>
      <c r="CE27" s="40">
        <f>(s_C*s_IFGM_far_adj*s_CF_far_goat_milk*up_RadSpec!AR27*1/s_D_milk*((s_Q_p_goat_milk*s_f_p_goat_milk*s_f_s_goat_milk*(up_RadSpec!$AT27+s_R_es_past))+(s_Q_s_goat_milk*s_f_p_goat_milk)))</f>
        <v>523134101.94174761</v>
      </c>
      <c r="CF27" s="40">
        <f>(s_C*s_IFSH_far_adj*s_CF_far_sheep*up_RadSpec!AO27*((s_Q_p_sheep*s_f_p_sheep*s_f_s_sheep*(up_RadSpec!$AT27+s_R_es_past))+(s_Q_s_sheep*s_f_p_sheep)))</f>
        <v>538828125</v>
      </c>
      <c r="CG27" s="40">
        <f>(s_C*s_IFSM_far_adj*s_CF_far_sheep_milk*up_RadSpec!AP27*1/s_D_milk*((s_Q_p_sheep_milk*s_f_p_sheep_milk*s_f_s_sheep_milk*(up_RadSpec!$AT27+s_R_es_past))+(s_Q_s_sheep_milk*s_f_p_sheep_milk)))</f>
        <v>523134101.94174761</v>
      </c>
      <c r="CH27" s="18"/>
      <c r="CI27" s="18"/>
      <c r="CJ27" s="18"/>
      <c r="CK27" s="18"/>
      <c r="CL27" s="18"/>
      <c r="CM27" s="18"/>
      <c r="CN27" s="18"/>
      <c r="CO27" s="18"/>
      <c r="CP27" s="18"/>
      <c r="CQ27" s="18"/>
      <c r="CR27" s="18"/>
      <c r="CS27" s="18"/>
      <c r="CT27" s="18"/>
      <c r="CU27" s="18"/>
      <c r="CV27" s="18"/>
      <c r="CW27" s="5"/>
      <c r="CX27" s="15">
        <f>IFERROR(s_TR/(up_RadSpec!I27*s_IFW_far_adj),".")</f>
        <v>3.6363636363636369E-10</v>
      </c>
      <c r="CY27" s="15" t="str">
        <f>IFERROR(IF(AND(up_RadSpec!C27=1,up_RadSpec!D27&lt;&gt;0),s_TR/(up_RadSpec!F27*s_IFA_far_adj*s_K*up_RadSpec!D27),"."),".")</f>
        <v>.</v>
      </c>
      <c r="CZ27" s="15">
        <f>IFERROR((s_TR/(up_RadSpec!M27*(1/8760)*s_DFA_far_adj)),".")</f>
        <v>3.9818181818181825E-6</v>
      </c>
      <c r="DA27" s="15">
        <f>up_b2w!BC27</f>
        <v>1.6443412786038031E-11</v>
      </c>
      <c r="DB27" s="15">
        <f>IFERROR(J27/(up_RadSpec!AJ27*(1/1000)),".")</f>
        <v>1.322314049586777E-8</v>
      </c>
      <c r="DC27" s="15">
        <f>IFERROR(K27/(up_RadSpec!AK27*(1/1000)),".")</f>
        <v>1.322314049586777E-8</v>
      </c>
      <c r="DD27" s="15">
        <f>IFERROR(G27/(up_RadSpec!AI27*s_Q_w_beef*(1/1000)),".")</f>
        <v>2.6446280991735539E-9</v>
      </c>
      <c r="DE27" s="15">
        <f>IFERROR((H27*s_D_milk)/(up_RadSpec!AH27*s_Q_w_dairy*(1/1000)),".")</f>
        <v>2.7239669421487605E-9</v>
      </c>
      <c r="DF27" s="15">
        <f>IFERROR(I27/(up_RadSpec!AN27*s_Q_w_swine*(1/1000)),".")</f>
        <v>2.6446280991735539E-9</v>
      </c>
      <c r="DG27" s="15">
        <f>IFERROR(E27/(up_RadSpec!AL27*s_Q_w_poultry*(1/1000)),".")</f>
        <v>2.6446280991735539E-9</v>
      </c>
      <c r="DH27" s="15">
        <f>IFERROR(F27/(up_RadSpec!AM27*s_Q_w_poultry*(1/1000)),".")</f>
        <v>2.6446280991735539E-9</v>
      </c>
      <c r="DI27" s="15">
        <f>IFERROR(L27/(up_RadSpec!AQ27*s_Q_w_goat*(1/1000)),".")</f>
        <v>2.6446280991735539E-9</v>
      </c>
      <c r="DJ27" s="15">
        <f>IFERROR(N27*s_D_milk/(up_RadSpec!AR27*s_Q_w_goat_milk*(1/1000)),".")</f>
        <v>2.7239669421487605E-9</v>
      </c>
      <c r="DK27" s="15">
        <f>IFERROR(M27/(up_RadSpec!AO27*s_Q_w_sheep*(1/1000)),".")</f>
        <v>2.6446280991735539E-9</v>
      </c>
      <c r="DL27" s="15">
        <f>IFERROR(O27*s_D_milk/(up_RadSpec!AP27*s_Q_w_sheep_milk*(1/1000)),".")</f>
        <v>2.7239669421487605E-9</v>
      </c>
      <c r="DM27" s="118">
        <f t="shared" si="24"/>
        <v>2749999999.9999995</v>
      </c>
      <c r="DN27" s="118" t="str">
        <f t="shared" si="24"/>
        <v>.</v>
      </c>
      <c r="DO27" s="118">
        <f t="shared" si="24"/>
        <v>251141.55251141547</v>
      </c>
      <c r="DP27" s="118">
        <f t="shared" si="24"/>
        <v>60814626076.229866</v>
      </c>
      <c r="DQ27" s="118">
        <f t="shared" si="24"/>
        <v>75624999.999999985</v>
      </c>
      <c r="DR27" s="118">
        <f t="shared" si="24"/>
        <v>75624999.999999985</v>
      </c>
      <c r="DS27" s="118">
        <f t="shared" si="24"/>
        <v>378124999.99999994</v>
      </c>
      <c r="DT27" s="118">
        <f t="shared" si="24"/>
        <v>367111650.48543686</v>
      </c>
      <c r="DU27" s="118">
        <f t="shared" si="24"/>
        <v>378124999.99999994</v>
      </c>
      <c r="DV27" s="118">
        <f t="shared" si="24"/>
        <v>378124999.99999994</v>
      </c>
      <c r="DW27" s="118">
        <f t="shared" si="24"/>
        <v>378124999.99999994</v>
      </c>
      <c r="DX27" s="118">
        <f t="shared" si="24"/>
        <v>378124999.99999994</v>
      </c>
      <c r="DY27" s="118">
        <f t="shared" si="24"/>
        <v>367111650.48543686</v>
      </c>
      <c r="DZ27" s="118">
        <f t="shared" si="24"/>
        <v>378124999.99999994</v>
      </c>
      <c r="EA27" s="118">
        <f t="shared" si="24"/>
        <v>367111650.48543686</v>
      </c>
      <c r="EB27" s="15">
        <f t="shared" si="21"/>
        <v>1.4906192608956601E-11</v>
      </c>
      <c r="EC27" s="40">
        <f t="shared" si="15"/>
        <v>27500</v>
      </c>
      <c r="ED27" s="40">
        <f>IF(up_RadSpec!D27&lt;&gt;"",s_C*s_IFA_far_adj*s_K*up_RadSpec!D27,0)</f>
        <v>0</v>
      </c>
      <c r="EE27" s="40">
        <f t="shared" si="16"/>
        <v>2.5114155251141552</v>
      </c>
      <c r="EF27" s="40">
        <f>up_b2w!CC27</f>
        <v>608146.26076229871</v>
      </c>
      <c r="EG27" s="40">
        <f>IFERROR(s_C*up_RadSpec!AJ27*(1/1000)*s_IFFI_far_adj*s_CF_far_fish,0)</f>
        <v>756.25</v>
      </c>
      <c r="EH27" s="40">
        <f>IFERROR(s_C*up_RadSpec!AK27*(1/1000)*s_IFSF_far_adj*s_CF_far_shellfish,0)</f>
        <v>756.25</v>
      </c>
      <c r="EI27" s="40">
        <f>(s_C*s_IFB_far_adj*s_CF_far_beef*up_RadSpec!AI27*s_Q_w_beef*(1/1000))</f>
        <v>3781.25</v>
      </c>
      <c r="EJ27" s="40">
        <f>(s_C*s_IFD_far_adj*s_CF_far_dairy*up_RadSpec!AH27*(1/s_D_milk)*s_Q_w_dairy*(1/1000))</f>
        <v>3671.1165048543689</v>
      </c>
      <c r="EK27" s="40">
        <f>(s_C*s_IFSW_far_adj*s_CF_far_swine*up_RadSpec!AN27*s_Q_w_swine*(1/1000))</f>
        <v>3781.25</v>
      </c>
      <c r="EL27" s="40">
        <f>(s_C*s_IFP_far_adj*s_CF_far_poultry*up_RadSpec!AL27*s_Q_w_poultry*(1/1000))</f>
        <v>3781.25</v>
      </c>
      <c r="EM27" s="40">
        <f>(s_C*s_IFE_far_adj*s_CF_far_egg*up_RadSpec!AM27*s_Q_w_egg*(1/1000))</f>
        <v>3781.25</v>
      </c>
      <c r="EN27" s="40">
        <f>(s_C*s_IFGO_far_adj*s_CF_far_goat*up_RadSpec!AQ27*s_Q_p_goat*(1/1000))</f>
        <v>3781.25</v>
      </c>
      <c r="EO27" s="40">
        <f>(s_C*s_IFGM_far_adj*s_CF_far_goat_milk*up_RadSpec!AR27*(1/s_D_milk)*s_Q_p_goat_milk*(1/1000))</f>
        <v>3671.1165048543689</v>
      </c>
      <c r="EP27" s="40">
        <f>(s_C*s_IFSH_far_adj*s_CF_far_sheep*up_RadSpec!AO27*s_Q_p_sheep*(1/1000))</f>
        <v>3781.25</v>
      </c>
      <c r="EQ27" s="40">
        <f>(s_C*s_IFSM_far_adj*s_CF_far_sheep_milk*up_RadSpec!AP27*(1/s_D_milk)*s_Q_p_sheep_milk*(1/1000))</f>
        <v>3671.1165048543689</v>
      </c>
      <c r="ER27" s="18"/>
      <c r="ES27" s="18"/>
      <c r="ET27" s="18"/>
      <c r="EU27" s="18"/>
      <c r="EV27" s="18"/>
      <c r="EW27" s="18"/>
      <c r="EX27" s="18"/>
      <c r="EY27" s="18"/>
      <c r="EZ27" s="18"/>
      <c r="FA27" s="18"/>
      <c r="FB27" s="18"/>
      <c r="FC27" s="18"/>
      <c r="FD27" s="18"/>
      <c r="FE27" s="18"/>
      <c r="FF27" s="18"/>
      <c r="FG27" s="5"/>
      <c r="FH27" s="15">
        <f>IFERROR((s_TR/(up_RadSpec!F27*s_IFA_far_adj)),".")</f>
        <v>9.9740259740259755E-10</v>
      </c>
      <c r="FI27" s="15">
        <f>IFERROR((s_TR/(up_RadSpec!K27*s_EF_far*(1/365)*s_ED_far*s_ET_far*(1/24)*s_GSF_a)),".")</f>
        <v>6.3709090909090908E-6</v>
      </c>
      <c r="FJ27" s="15">
        <f t="shared" si="22"/>
        <v>9.9724647271019672E-10</v>
      </c>
      <c r="FK27" s="40">
        <f t="shared" si="18"/>
        <v>10026.041666666666</v>
      </c>
      <c r="FL27" s="40">
        <f t="shared" si="19"/>
        <v>1.5696347031963471</v>
      </c>
      <c r="FM27" s="120"/>
      <c r="FN27" s="120"/>
      <c r="FO27" s="120"/>
    </row>
    <row r="28" spans="1:171" customFormat="1" x14ac:dyDescent="0.25">
      <c r="A28" s="44" t="s">
        <v>38</v>
      </c>
      <c r="B28" s="42" t="s">
        <v>1071</v>
      </c>
      <c r="C28" s="42"/>
      <c r="D28" s="15">
        <f>up_dir!AC28</f>
        <v>1.6528925619834712E-11</v>
      </c>
      <c r="E28" s="15">
        <f>IFERROR(s_TR/(up_RadSpec!H28*s_IFP_far_adj*s_CF_far_poultry),".")</f>
        <v>6.6115702479338848E-11</v>
      </c>
      <c r="F28" s="15">
        <f>IFERROR(s_TR/(up_RadSpec!H28*s_IFE_far_adj*s_CF_far_egg),".")</f>
        <v>6.6115702479338848E-11</v>
      </c>
      <c r="G28" s="15">
        <f>IFERROR(s_TR/(up_RadSpec!H28*s_IFB_far_adj*s_CF_far_beef),".")</f>
        <v>6.6115702479338848E-11</v>
      </c>
      <c r="H28" s="15">
        <f>IFERROR(s_TR/(up_RadSpec!H28*s_IFD_far_adj*s_CF_far_dairy),".")</f>
        <v>6.6115702479338848E-11</v>
      </c>
      <c r="I28" s="15">
        <f>IFERROR(s_TR/(up_RadSpec!H28*s_IFSW_far_adj*s_CF_far_swine),".")</f>
        <v>6.6115702479338848E-11</v>
      </c>
      <c r="J28" s="15">
        <f>IFERROR(s_TR/(up_RadSpec!H28*s_IFFI_far_adj*s_CF_far_fish),".")</f>
        <v>6.6115702479338848E-11</v>
      </c>
      <c r="K28" s="15">
        <f>IFERROR(s_TR/(up_RadSpec!H28*s_IFSF_far_adj*s_CF_far_shellfish),".")</f>
        <v>6.6115702479338848E-11</v>
      </c>
      <c r="L28" s="15">
        <f>IFERROR(s_TR/(up_RadSpec!H28*s_IFGO_far_adj*s_CF_far_goat),".")</f>
        <v>6.6115702479338848E-11</v>
      </c>
      <c r="M28" s="15">
        <f>IFERROR(s_TR/(up_RadSpec!H28*s_IFSH_far_adj*s_CF_far_sheep),".")</f>
        <v>6.6115702479338848E-11</v>
      </c>
      <c r="N28" s="15">
        <f>IFERROR(s_TR/(up_RadSpec!H28*s_IFGM_far_adj*s_CF_far_goat_milk),".")</f>
        <v>6.6115702479338848E-11</v>
      </c>
      <c r="O28" s="15">
        <f>IFERROR(s_TR/(up_RadSpec!H28*s_IFSM_far_adj*s_CF_far_sheep_milk),".")</f>
        <v>6.6115702479338848E-11</v>
      </c>
      <c r="P28" s="40">
        <f>up_dir!BC28</f>
        <v>605000</v>
      </c>
      <c r="Q28" s="40">
        <f t="shared" si="0"/>
        <v>151250</v>
      </c>
      <c r="R28" s="40">
        <f t="shared" si="1"/>
        <v>151250</v>
      </c>
      <c r="S28" s="40">
        <f t="shared" si="2"/>
        <v>151250</v>
      </c>
      <c r="T28" s="40">
        <f t="shared" si="3"/>
        <v>151250</v>
      </c>
      <c r="U28" s="40">
        <f t="shared" si="4"/>
        <v>151250</v>
      </c>
      <c r="V28" s="40">
        <f t="shared" si="5"/>
        <v>151250</v>
      </c>
      <c r="W28" s="40">
        <f t="shared" si="6"/>
        <v>151250</v>
      </c>
      <c r="X28" s="40">
        <f t="shared" si="7"/>
        <v>151250</v>
      </c>
      <c r="Y28" s="40">
        <f t="shared" si="8"/>
        <v>151250</v>
      </c>
      <c r="Z28" s="40">
        <f t="shared" si="9"/>
        <v>151250</v>
      </c>
      <c r="AA28" s="40">
        <f t="shared" si="10"/>
        <v>151250</v>
      </c>
      <c r="AB28" s="5"/>
      <c r="AC28" s="5"/>
      <c r="AD28" s="5"/>
      <c r="AE28" s="5"/>
      <c r="AF28" s="5"/>
      <c r="AG28" s="5"/>
      <c r="AH28" s="5"/>
      <c r="AI28" s="5"/>
      <c r="AJ28" s="5"/>
      <c r="AK28" s="5"/>
      <c r="AL28" s="5"/>
      <c r="AM28" s="5"/>
      <c r="AN28" s="45">
        <f>IFERROR((s_TR/(up_RadSpec!E28*s_IFS_far_adj*(1/1000)))*1,".")</f>
        <v>3.3057851239669421E-8</v>
      </c>
      <c r="AO28" s="45">
        <f>IFERROR(IF(A28="H-3",(s_TR/(up_RadSpec!F28*s_IFA_far_adj*(1/17)*1000))*1,(s_TR/(up_RadSpec!F28*s_IFA_far_adj*(1/s_PEF_wind)*1000))*1),".")</f>
        <v>3.0899917851942918E-4</v>
      </c>
      <c r="AP28" s="45">
        <f>IFERROR((s_TR/(up_RadSpec!G28*s_EF_far*(1/365)*s_ED_far*up_RadSpec!R28*((s_ET_far_o*(1/24)*up_RadSpec!W28)+(s_ET_far_i*(1/24)*up_RadSpec!AB28))))*1,".")</f>
        <v>1.0838418481730584E-5</v>
      </c>
      <c r="AQ28" s="45">
        <f>up_b2s!BC28</f>
        <v>3.2968835384132272E-12</v>
      </c>
      <c r="AR28" s="45">
        <f>IFERROR(((J28*up_RadSpec!AU28)/up_RadSpec!AJ28)*1,".")</f>
        <v>6.6115702479338848E-11</v>
      </c>
      <c r="AS28" s="45">
        <f>IFERROR(((K28*up_RadSpec!AU28)/up_RadSpec!AK28)*1,".")</f>
        <v>6.6115702479338848E-11</v>
      </c>
      <c r="AT28" s="45">
        <f>IFERROR((G28/(up_RadSpec!AI28*((s_Q_p_beef*s_f_p_beef*s_f_s_beef*(up_RadSpec!BD28+s_R_es_past))+(s_Q_s_beef*s_f_p_beef))))*1,".")</f>
        <v>1.8558793678410904E-14</v>
      </c>
      <c r="AU28" s="45">
        <f>IFERROR(((H28*s_D_milk)/(up_RadSpec!AH28*((s_Q_p_dairy*s_f_p_dairy*s_f_s_dairy*(up_RadSpec!BD28+s_R_es_past))+(s_Q_s_dairy*s_f_p_dairy))))*1,".")</f>
        <v>1.9115557488763232E-14</v>
      </c>
      <c r="AV28" s="45">
        <f>IFERROR((I28/(up_RadSpec!AN28*((s_Q_p_swine*s_f_p_swine*s_f_s_swine*(up_RadSpec!BD28+s_R_es_past))+(s_Q_s_swine*s_f_p_swine))))*1,".")</f>
        <v>1.8558793678410904E-14</v>
      </c>
      <c r="AW28" s="45">
        <f>IFERROR((E28/(up_RadSpec!AL28*((s_Q_p_poultry*s_f_p_poultry*s_f_s_poultry*(up_RadSpec!BD28+s_R_es_past))+(s_Q_s_poultry*s_f_p_poultry))))*1,".")</f>
        <v>1.8558793678410904E-14</v>
      </c>
      <c r="AX28" s="45">
        <f>IFERROR((F28/(up_RadSpec!AM28*((s_Q_p_poultry*s_f_p_poultry*s_f_s_poultry*(up_RadSpec!BD28+s_R_es_past))+(s_Q_s_poultry*s_f_p_poultry))))*1,".")</f>
        <v>1.8558793678410904E-14</v>
      </c>
      <c r="AY28" s="45">
        <f>IFERROR((L28/(up_RadSpec!AQ28*((s_Q_p_goat*s_f_p_goat*s_f_s_goat*(up_RadSpec!BD28+s_R_es_past))+(s_Q_s_goat*s_f_p_goat))))*1,".")</f>
        <v>1.8558793678410904E-14</v>
      </c>
      <c r="AZ28" s="45">
        <f>IFERROR((N28*s_D_milk/(up_RadSpec!AR28*((s_Q_p_goat_milk*s_f_p_goat_milk*s_f_s_goat_milk*(up_RadSpec!BD28+s_R_es_past))+(s_Q_s_goat_milk*s_f_p_goat_milk))))*1,".")</f>
        <v>1.9115557488763232E-14</v>
      </c>
      <c r="BA28" s="45">
        <f>IFERROR((M28/(up_RadSpec!AO28*((s_Q_p_sheep*s_f_p_sheep*s_f_s_sheep*(up_RadSpec!BD28+s_R_es_past))+(s_Q_s_sheep*s_f_p_sheep))))*1,".")</f>
        <v>1.8558793678410904E-14</v>
      </c>
      <c r="BB28" s="45">
        <f>IFERROR((O28*s_D_milk/(up_RadSpec!AP28*((s_Q_p_sheep_milk*s_f_p_sheep_milk*s_f_s_sheep_milk*(up_RadSpec!BD28+s_R_es_past))+(s_Q_s_sheep_milk*s_f_p_sheep_milk))))*1,".")</f>
        <v>1.9115557488763232E-14</v>
      </c>
      <c r="BC28" s="118">
        <f t="shared" si="23"/>
        <v>30250000</v>
      </c>
      <c r="BD28" s="118">
        <f t="shared" si="23"/>
        <v>3236.2545583179349</v>
      </c>
      <c r="BE28" s="118">
        <f t="shared" si="23"/>
        <v>92264.38356164383</v>
      </c>
      <c r="BF28" s="118">
        <f t="shared" si="23"/>
        <v>303316749999.99994</v>
      </c>
      <c r="BG28" s="118">
        <f t="shared" si="23"/>
        <v>15124999999.999998</v>
      </c>
      <c r="BH28" s="118">
        <f t="shared" si="23"/>
        <v>15124999999.999998</v>
      </c>
      <c r="BI28" s="118">
        <f t="shared" si="23"/>
        <v>53882812500000</v>
      </c>
      <c r="BJ28" s="118">
        <f t="shared" si="23"/>
        <v>52313410194174.758</v>
      </c>
      <c r="BK28" s="118">
        <f t="shared" si="23"/>
        <v>53882812500000</v>
      </c>
      <c r="BL28" s="118">
        <f t="shared" si="23"/>
        <v>53882812500000</v>
      </c>
      <c r="BM28" s="118">
        <f t="shared" si="23"/>
        <v>53882812500000</v>
      </c>
      <c r="BN28" s="118">
        <f t="shared" si="23"/>
        <v>53882812500000</v>
      </c>
      <c r="BO28" s="118">
        <f t="shared" si="23"/>
        <v>52313410194174.758</v>
      </c>
      <c r="BP28" s="118">
        <f t="shared" si="23"/>
        <v>53882812500000</v>
      </c>
      <c r="BQ28" s="118">
        <f t="shared" si="23"/>
        <v>52313410194174.758</v>
      </c>
      <c r="BR28" s="15">
        <f t="shared" si="20"/>
        <v>2.0808592667580591E-15</v>
      </c>
      <c r="BS28" s="40">
        <f t="shared" si="12"/>
        <v>302.5</v>
      </c>
      <c r="BT28" s="40">
        <f t="shared" si="13"/>
        <v>3.2362545583179352E-2</v>
      </c>
      <c r="BU28" s="40">
        <f>IFERROR((s_C*s_EF_far*(1/365)*s_ED_far*up_RadSpec!R28*((s_ET_far_o*(1/24)*up_RadSpec!W28)+(s_ET_far_i*(1/24)*up_RadSpec!AB28))),".")</f>
        <v>0.92264383561643837</v>
      </c>
      <c r="BV28" s="40">
        <f>up_b2s!CC28</f>
        <v>3033167.5</v>
      </c>
      <c r="BW28" s="40">
        <f>IFERROR(((s_C*up_RadSpec!AJ28)/up_RadSpec!AU28)*s_IFFI_far_adj*s_CF_far_fish,0)</f>
        <v>151250</v>
      </c>
      <c r="BX28" s="40">
        <f>IFERROR(((s_C*up_RadSpec!AK28)/up_RadSpec!AU28)*s_IFSF_far_adj*s_CF_far_shellfish,0)</f>
        <v>151250</v>
      </c>
      <c r="BY28" s="40">
        <f>(s_C*s_IFB_far_adj*s_CF_far_beef*up_RadSpec!AI28*((s_Q_p_beef*s_f_p_beef*s_f_s_beef*(up_RadSpec!$AT28+s_R_es_past))+(s_Q_s_beef*s_f_p_beef)))</f>
        <v>538828125</v>
      </c>
      <c r="BZ28" s="40">
        <f>(s_C*s_IFD_far_adj*s_CF_far_dairy*up_RadSpec!AH28*1/s_D_milk*((s_Q_p_dairy*s_f_p_dairy*s_f_s_dairy*(up_RadSpec!$AT28+s_R_es_past))+(s_Q_s_dairy*s_f_p_dairy)))</f>
        <v>523134101.94174761</v>
      </c>
      <c r="CA28" s="40">
        <f>(s_C*s_IFSW_far_adj*s_CF_far_swine*up_RadSpec!AN28*((s_Q_p_swine*s_f_p_swine*s_f_s_swine*(up_RadSpec!$AT28+s_R_es_past))+(s_Q_s_swine*s_f_p_swine)))</f>
        <v>538828125</v>
      </c>
      <c r="CB28" s="40">
        <f>(s_C*s_IFP_far_adj*s_CF_far_poultry*up_RadSpec!AL28*((s_Q_p_poultry*s_f_p_poultry*s_f_s_poultry*(up_RadSpec!AT28+s_R_es_past))+(s_Q_s_poultry*s_f_p_poultry)))</f>
        <v>538828125</v>
      </c>
      <c r="CC28" s="40">
        <f>(s_C*s_IFE_far_adj*s_CF_far_egg*up_RadSpec!AM28*((s_Q_p_egg*s_f_p_egg*s_f_s_egg*(up_RadSpec!$AT28+s_R_es_past))+(s_Q_s_egg*s_f_p_egg)))</f>
        <v>538828125</v>
      </c>
      <c r="CD28" s="40">
        <f>(s_C*s_IFGO_far_adj*s_CF_far_goat*up_RadSpec!AQ28*((s_Q_p_goat*s_f_p_goat*s_f_s_goat*(up_RadSpec!$AT28+s_R_es_past))+(s_Q_s_goat*s_f_p_goat)))</f>
        <v>538828125</v>
      </c>
      <c r="CE28" s="40">
        <f>(s_C*s_IFGM_far_adj*s_CF_far_goat_milk*up_RadSpec!AR28*1/s_D_milk*((s_Q_p_goat_milk*s_f_p_goat_milk*s_f_s_goat_milk*(up_RadSpec!$AT28+s_R_es_past))+(s_Q_s_goat_milk*s_f_p_goat_milk)))</f>
        <v>523134101.94174761</v>
      </c>
      <c r="CF28" s="40">
        <f>(s_C*s_IFSH_far_adj*s_CF_far_sheep*up_RadSpec!AO28*((s_Q_p_sheep*s_f_p_sheep*s_f_s_sheep*(up_RadSpec!$AT28+s_R_es_past))+(s_Q_s_sheep*s_f_p_sheep)))</f>
        <v>538828125</v>
      </c>
      <c r="CG28" s="40">
        <f>(s_C*s_IFSM_far_adj*s_CF_far_sheep_milk*up_RadSpec!AP28*1/s_D_milk*((s_Q_p_sheep_milk*s_f_p_sheep_milk*s_f_s_sheep_milk*(up_RadSpec!$AT28+s_R_es_past))+(s_Q_s_sheep_milk*s_f_p_sheep_milk)))</f>
        <v>523134101.94174761</v>
      </c>
      <c r="CH28" s="18"/>
      <c r="CI28" s="18"/>
      <c r="CJ28" s="18"/>
      <c r="CK28" s="18"/>
      <c r="CL28" s="18"/>
      <c r="CM28" s="18"/>
      <c r="CN28" s="18"/>
      <c r="CO28" s="18"/>
      <c r="CP28" s="18"/>
      <c r="CQ28" s="18"/>
      <c r="CR28" s="18"/>
      <c r="CS28" s="18"/>
      <c r="CT28" s="18"/>
      <c r="CU28" s="18"/>
      <c r="CV28" s="18"/>
      <c r="CW28" s="5"/>
      <c r="CX28" s="15">
        <f>IFERROR(s_TR/(up_RadSpec!I28*s_IFW_far_adj),".")</f>
        <v>3.6363636363636369E-10</v>
      </c>
      <c r="CY28" s="15" t="str">
        <f>IFERROR(IF(AND(up_RadSpec!C28=1,up_RadSpec!D28&lt;&gt;0),s_TR/(up_RadSpec!F28*s_IFA_far_adj*s_K*up_RadSpec!D28),"."),".")</f>
        <v>.</v>
      </c>
      <c r="CZ28" s="15">
        <f>IFERROR((s_TR/(up_RadSpec!M28*(1/8760)*s_DFA_far_adj)),".")</f>
        <v>3.9818181818181825E-6</v>
      </c>
      <c r="DA28" s="15">
        <f>up_b2w!BC28</f>
        <v>1.6443412786038031E-11</v>
      </c>
      <c r="DB28" s="15">
        <f>IFERROR(J28/(up_RadSpec!AJ28*(1/1000)),".")</f>
        <v>1.322314049586777E-8</v>
      </c>
      <c r="DC28" s="15">
        <f>IFERROR(K28/(up_RadSpec!AK28*(1/1000)),".")</f>
        <v>1.322314049586777E-8</v>
      </c>
      <c r="DD28" s="15">
        <f>IFERROR(G28/(up_RadSpec!AI28*s_Q_w_beef*(1/1000)),".")</f>
        <v>2.6446280991735539E-9</v>
      </c>
      <c r="DE28" s="15">
        <f>IFERROR((H28*s_D_milk)/(up_RadSpec!AH28*s_Q_w_dairy*(1/1000)),".")</f>
        <v>2.7239669421487605E-9</v>
      </c>
      <c r="DF28" s="15">
        <f>IFERROR(I28/(up_RadSpec!AN28*s_Q_w_swine*(1/1000)),".")</f>
        <v>2.6446280991735539E-9</v>
      </c>
      <c r="DG28" s="15">
        <f>IFERROR(E28/(up_RadSpec!AL28*s_Q_w_poultry*(1/1000)),".")</f>
        <v>2.6446280991735539E-9</v>
      </c>
      <c r="DH28" s="15">
        <f>IFERROR(F28/(up_RadSpec!AM28*s_Q_w_poultry*(1/1000)),".")</f>
        <v>2.6446280991735539E-9</v>
      </c>
      <c r="DI28" s="15">
        <f>IFERROR(L28/(up_RadSpec!AQ28*s_Q_w_goat*(1/1000)),".")</f>
        <v>2.6446280991735539E-9</v>
      </c>
      <c r="DJ28" s="15">
        <f>IFERROR(N28*s_D_milk/(up_RadSpec!AR28*s_Q_w_goat_milk*(1/1000)),".")</f>
        <v>2.7239669421487605E-9</v>
      </c>
      <c r="DK28" s="15">
        <f>IFERROR(M28/(up_RadSpec!AO28*s_Q_w_sheep*(1/1000)),".")</f>
        <v>2.6446280991735539E-9</v>
      </c>
      <c r="DL28" s="15">
        <f>IFERROR(O28*s_D_milk/(up_RadSpec!AP28*s_Q_w_sheep_milk*(1/1000)),".")</f>
        <v>2.7239669421487605E-9</v>
      </c>
      <c r="DM28" s="118">
        <f t="shared" si="24"/>
        <v>2749999999.9999995</v>
      </c>
      <c r="DN28" s="118" t="str">
        <f t="shared" si="24"/>
        <v>.</v>
      </c>
      <c r="DO28" s="118">
        <f t="shared" si="24"/>
        <v>251141.55251141547</v>
      </c>
      <c r="DP28" s="118">
        <f t="shared" si="24"/>
        <v>60814626076.229866</v>
      </c>
      <c r="DQ28" s="118">
        <f t="shared" si="24"/>
        <v>75624999.999999985</v>
      </c>
      <c r="DR28" s="118">
        <f t="shared" si="24"/>
        <v>75624999.999999985</v>
      </c>
      <c r="DS28" s="118">
        <f t="shared" si="24"/>
        <v>378124999.99999994</v>
      </c>
      <c r="DT28" s="118">
        <f t="shared" si="24"/>
        <v>367111650.48543686</v>
      </c>
      <c r="DU28" s="118">
        <f t="shared" si="24"/>
        <v>378124999.99999994</v>
      </c>
      <c r="DV28" s="118">
        <f t="shared" si="24"/>
        <v>378124999.99999994</v>
      </c>
      <c r="DW28" s="118">
        <f t="shared" si="24"/>
        <v>378124999.99999994</v>
      </c>
      <c r="DX28" s="118">
        <f t="shared" si="24"/>
        <v>378124999.99999994</v>
      </c>
      <c r="DY28" s="118">
        <f t="shared" si="24"/>
        <v>367111650.48543686</v>
      </c>
      <c r="DZ28" s="118">
        <f t="shared" si="24"/>
        <v>378124999.99999994</v>
      </c>
      <c r="EA28" s="118">
        <f t="shared" si="24"/>
        <v>367111650.48543686</v>
      </c>
      <c r="EB28" s="15">
        <f t="shared" si="21"/>
        <v>1.4906192608956601E-11</v>
      </c>
      <c r="EC28" s="40">
        <f t="shared" si="15"/>
        <v>27500</v>
      </c>
      <c r="ED28" s="40">
        <f>IF(up_RadSpec!D28&lt;&gt;"",s_C*s_IFA_far_adj*s_K*up_RadSpec!D28,0)</f>
        <v>0</v>
      </c>
      <c r="EE28" s="40">
        <f t="shared" si="16"/>
        <v>2.5114155251141552</v>
      </c>
      <c r="EF28" s="40">
        <f>up_b2w!CC28</f>
        <v>608146.26076229871</v>
      </c>
      <c r="EG28" s="40">
        <f>IFERROR(s_C*up_RadSpec!AJ28*(1/1000)*s_IFFI_far_adj*s_CF_far_fish,0)</f>
        <v>756.25</v>
      </c>
      <c r="EH28" s="40">
        <f>IFERROR(s_C*up_RadSpec!AK28*(1/1000)*s_IFSF_far_adj*s_CF_far_shellfish,0)</f>
        <v>756.25</v>
      </c>
      <c r="EI28" s="40">
        <f>(s_C*s_IFB_far_adj*s_CF_far_beef*up_RadSpec!AI28*s_Q_w_beef*(1/1000))</f>
        <v>3781.25</v>
      </c>
      <c r="EJ28" s="40">
        <f>(s_C*s_IFD_far_adj*s_CF_far_dairy*up_RadSpec!AH28*(1/s_D_milk)*s_Q_w_dairy*(1/1000))</f>
        <v>3671.1165048543689</v>
      </c>
      <c r="EK28" s="40">
        <f>(s_C*s_IFSW_far_adj*s_CF_far_swine*up_RadSpec!AN28*s_Q_w_swine*(1/1000))</f>
        <v>3781.25</v>
      </c>
      <c r="EL28" s="40">
        <f>(s_C*s_IFP_far_adj*s_CF_far_poultry*up_RadSpec!AL28*s_Q_w_poultry*(1/1000))</f>
        <v>3781.25</v>
      </c>
      <c r="EM28" s="40">
        <f>(s_C*s_IFE_far_adj*s_CF_far_egg*up_RadSpec!AM28*s_Q_w_egg*(1/1000))</f>
        <v>3781.25</v>
      </c>
      <c r="EN28" s="40">
        <f>(s_C*s_IFGO_far_adj*s_CF_far_goat*up_RadSpec!AQ28*s_Q_p_goat*(1/1000))</f>
        <v>3781.25</v>
      </c>
      <c r="EO28" s="40">
        <f>(s_C*s_IFGM_far_adj*s_CF_far_goat_milk*up_RadSpec!AR28*(1/s_D_milk)*s_Q_p_goat_milk*(1/1000))</f>
        <v>3671.1165048543689</v>
      </c>
      <c r="EP28" s="40">
        <f>(s_C*s_IFSH_far_adj*s_CF_far_sheep*up_RadSpec!AO28*s_Q_p_sheep*(1/1000))</f>
        <v>3781.25</v>
      </c>
      <c r="EQ28" s="40">
        <f>(s_C*s_IFSM_far_adj*s_CF_far_sheep_milk*up_RadSpec!AP28*(1/s_D_milk)*s_Q_p_sheep_milk*(1/1000))</f>
        <v>3671.1165048543689</v>
      </c>
      <c r="ER28" s="18"/>
      <c r="ES28" s="18"/>
      <c r="ET28" s="18"/>
      <c r="EU28" s="18"/>
      <c r="EV28" s="18"/>
      <c r="EW28" s="18"/>
      <c r="EX28" s="18"/>
      <c r="EY28" s="18"/>
      <c r="EZ28" s="18"/>
      <c r="FA28" s="18"/>
      <c r="FB28" s="18"/>
      <c r="FC28" s="18"/>
      <c r="FD28" s="18"/>
      <c r="FE28" s="18"/>
      <c r="FF28" s="18"/>
      <c r="FG28" s="5"/>
      <c r="FH28" s="15">
        <f>IFERROR((s_TR/(up_RadSpec!F28*s_IFA_far_adj)),".")</f>
        <v>9.9740259740259755E-10</v>
      </c>
      <c r="FI28" s="15">
        <f>IFERROR((s_TR/(up_RadSpec!K28*s_EF_far*(1/365)*s_ED_far*s_ET_far*(1/24)*s_GSF_a)),".")</f>
        <v>6.3709090909090908E-6</v>
      </c>
      <c r="FJ28" s="15">
        <f t="shared" si="22"/>
        <v>9.9724647271019672E-10</v>
      </c>
      <c r="FK28" s="40">
        <f t="shared" si="18"/>
        <v>10026.041666666666</v>
      </c>
      <c r="FL28" s="40">
        <f t="shared" si="19"/>
        <v>1.5696347031963471</v>
      </c>
      <c r="FM28" s="120"/>
      <c r="FN28" s="120"/>
      <c r="FO28" s="120"/>
    </row>
    <row r="29" spans="1:171" customFormat="1" x14ac:dyDescent="0.25">
      <c r="A29" s="44" t="s">
        <v>39</v>
      </c>
      <c r="B29" s="42" t="s">
        <v>1071</v>
      </c>
      <c r="C29" s="249"/>
      <c r="D29" s="15">
        <f>up_dir!AC29</f>
        <v>1.6528925619834712E-11</v>
      </c>
      <c r="E29" s="15">
        <f>IFERROR(s_TR/(up_RadSpec!H29*s_IFP_far_adj*s_CF_far_poultry),".")</f>
        <v>6.6115702479338848E-11</v>
      </c>
      <c r="F29" s="15">
        <f>IFERROR(s_TR/(up_RadSpec!H29*s_IFE_far_adj*s_CF_far_egg),".")</f>
        <v>6.6115702479338848E-11</v>
      </c>
      <c r="G29" s="15">
        <f>IFERROR(s_TR/(up_RadSpec!H29*s_IFB_far_adj*s_CF_far_beef),".")</f>
        <v>6.6115702479338848E-11</v>
      </c>
      <c r="H29" s="15">
        <f>IFERROR(s_TR/(up_RadSpec!H29*s_IFD_far_adj*s_CF_far_dairy),".")</f>
        <v>6.6115702479338848E-11</v>
      </c>
      <c r="I29" s="15">
        <f>IFERROR(s_TR/(up_RadSpec!H29*s_IFSW_far_adj*s_CF_far_swine),".")</f>
        <v>6.6115702479338848E-11</v>
      </c>
      <c r="J29" s="15">
        <f>IFERROR(s_TR/(up_RadSpec!H29*s_IFFI_far_adj*s_CF_far_fish),".")</f>
        <v>6.6115702479338848E-11</v>
      </c>
      <c r="K29" s="15">
        <f>IFERROR(s_TR/(up_RadSpec!H29*s_IFSF_far_adj*s_CF_far_shellfish),".")</f>
        <v>6.6115702479338848E-11</v>
      </c>
      <c r="L29" s="15">
        <f>IFERROR(s_TR/(up_RadSpec!H29*s_IFGO_far_adj*s_CF_far_goat),".")</f>
        <v>6.6115702479338848E-11</v>
      </c>
      <c r="M29" s="15">
        <f>IFERROR(s_TR/(up_RadSpec!H29*s_IFSH_far_adj*s_CF_far_sheep),".")</f>
        <v>6.6115702479338848E-11</v>
      </c>
      <c r="N29" s="15">
        <f>IFERROR(s_TR/(up_RadSpec!H29*s_IFGM_far_adj*s_CF_far_goat_milk),".")</f>
        <v>6.6115702479338848E-11</v>
      </c>
      <c r="O29" s="15">
        <f>IFERROR(s_TR/(up_RadSpec!H29*s_IFSM_far_adj*s_CF_far_sheep_milk),".")</f>
        <v>6.6115702479338848E-11</v>
      </c>
      <c r="P29" s="40">
        <f>up_dir!BC29</f>
        <v>605000</v>
      </c>
      <c r="Q29" s="40">
        <f t="shared" si="0"/>
        <v>151250</v>
      </c>
      <c r="R29" s="40">
        <f t="shared" si="1"/>
        <v>151250</v>
      </c>
      <c r="S29" s="40">
        <f t="shared" si="2"/>
        <v>151250</v>
      </c>
      <c r="T29" s="40">
        <f t="shared" si="3"/>
        <v>151250</v>
      </c>
      <c r="U29" s="40">
        <f t="shared" si="4"/>
        <v>151250</v>
      </c>
      <c r="V29" s="40">
        <f t="shared" si="5"/>
        <v>151250</v>
      </c>
      <c r="W29" s="40">
        <f t="shared" si="6"/>
        <v>151250</v>
      </c>
      <c r="X29" s="40">
        <f t="shared" si="7"/>
        <v>151250</v>
      </c>
      <c r="Y29" s="40">
        <f t="shared" si="8"/>
        <v>151250</v>
      </c>
      <c r="Z29" s="40">
        <f t="shared" si="9"/>
        <v>151250</v>
      </c>
      <c r="AA29" s="40">
        <f t="shared" si="10"/>
        <v>151250</v>
      </c>
      <c r="AB29" s="5"/>
      <c r="AC29" s="5"/>
      <c r="AD29" s="5"/>
      <c r="AE29" s="5"/>
      <c r="AF29" s="5"/>
      <c r="AG29" s="5"/>
      <c r="AH29" s="5"/>
      <c r="AI29" s="5"/>
      <c r="AJ29" s="5"/>
      <c r="AK29" s="5"/>
      <c r="AL29" s="5"/>
      <c r="AM29" s="5"/>
      <c r="AN29" s="45">
        <f>IFERROR((s_TR/(up_RadSpec!E29*s_IFS_far_adj*(1/1000)))*1,".")</f>
        <v>3.3057851239669421E-8</v>
      </c>
      <c r="AO29" s="45">
        <f>IFERROR(IF(A29="H-3",(s_TR/(up_RadSpec!F29*s_IFA_far_adj*(1/17)*1000))*1,(s_TR/(up_RadSpec!F29*s_IFA_far_adj*(1/s_PEF_wind)*1000))*1),".")</f>
        <v>3.0899917851942918E-4</v>
      </c>
      <c r="AP29" s="45">
        <f>IFERROR((s_TR/(up_RadSpec!G29*s_EF_far*(1/365)*s_ED_far*up_RadSpec!R29*((s_ET_far_o*(1/24)*up_RadSpec!W29)+(s_ET_far_i*(1/24)*up_RadSpec!AB29))))*1,".")</f>
        <v>1.1785891703924499E-5</v>
      </c>
      <c r="AQ29" s="45">
        <f>up_b2s!BC29</f>
        <v>3.2968835384132272E-12</v>
      </c>
      <c r="AR29" s="45">
        <f>IFERROR(((J29*up_RadSpec!AU29)/up_RadSpec!AJ29)*1,".")</f>
        <v>6.6115702479338848E-11</v>
      </c>
      <c r="AS29" s="45">
        <f>IFERROR(((K29*up_RadSpec!AU29)/up_RadSpec!AK29)*1,".")</f>
        <v>6.6115702479338848E-11</v>
      </c>
      <c r="AT29" s="45">
        <f>IFERROR((G29/(up_RadSpec!AI29*((s_Q_p_beef*s_f_p_beef*s_f_s_beef*(up_RadSpec!BD29+s_R_es_past))+(s_Q_s_beef*s_f_p_beef))))*1,".")</f>
        <v>1.8558793678410904E-14</v>
      </c>
      <c r="AU29" s="45">
        <f>IFERROR(((H29*s_D_milk)/(up_RadSpec!AH29*((s_Q_p_dairy*s_f_p_dairy*s_f_s_dairy*(up_RadSpec!BD29+s_R_es_past))+(s_Q_s_dairy*s_f_p_dairy))))*1,".")</f>
        <v>1.9115557488763232E-14</v>
      </c>
      <c r="AV29" s="45">
        <f>IFERROR((I29/(up_RadSpec!AN29*((s_Q_p_swine*s_f_p_swine*s_f_s_swine*(up_RadSpec!BD29+s_R_es_past))+(s_Q_s_swine*s_f_p_swine))))*1,".")</f>
        <v>1.8558793678410904E-14</v>
      </c>
      <c r="AW29" s="45">
        <f>IFERROR((E29/(up_RadSpec!AL29*((s_Q_p_poultry*s_f_p_poultry*s_f_s_poultry*(up_RadSpec!BD29+s_R_es_past))+(s_Q_s_poultry*s_f_p_poultry))))*1,".")</f>
        <v>1.8558793678410904E-14</v>
      </c>
      <c r="AX29" s="45">
        <f>IFERROR((F29/(up_RadSpec!AM29*((s_Q_p_poultry*s_f_p_poultry*s_f_s_poultry*(up_RadSpec!BD29+s_R_es_past))+(s_Q_s_poultry*s_f_p_poultry))))*1,".")</f>
        <v>1.8558793678410904E-14</v>
      </c>
      <c r="AY29" s="45">
        <f>IFERROR((L29/(up_RadSpec!AQ29*((s_Q_p_goat*s_f_p_goat*s_f_s_goat*(up_RadSpec!BD29+s_R_es_past))+(s_Q_s_goat*s_f_p_goat))))*1,".")</f>
        <v>1.8558793678410904E-14</v>
      </c>
      <c r="AZ29" s="45">
        <f>IFERROR((N29*s_D_milk/(up_RadSpec!AR29*((s_Q_p_goat_milk*s_f_p_goat_milk*s_f_s_goat_milk*(up_RadSpec!BD29+s_R_es_past))+(s_Q_s_goat_milk*s_f_p_goat_milk))))*1,".")</f>
        <v>1.9115557488763232E-14</v>
      </c>
      <c r="BA29" s="45">
        <f>IFERROR((M29/(up_RadSpec!AO29*((s_Q_p_sheep*s_f_p_sheep*s_f_s_sheep*(up_RadSpec!BD29+s_R_es_past))+(s_Q_s_sheep*s_f_p_sheep))))*1,".")</f>
        <v>1.8558793678410904E-14</v>
      </c>
      <c r="BB29" s="45">
        <f>IFERROR((O29*s_D_milk/(up_RadSpec!AP29*((s_Q_p_sheep_milk*s_f_p_sheep_milk*s_f_s_sheep_milk*(up_RadSpec!BD29+s_R_es_past))+(s_Q_s_sheep_milk*s_f_p_sheep_milk))))*1,".")</f>
        <v>1.9115557488763232E-14</v>
      </c>
      <c r="BC29" s="118">
        <f t="shared" si="23"/>
        <v>30250000</v>
      </c>
      <c r="BD29" s="118">
        <f t="shared" si="23"/>
        <v>3236.2545583179349</v>
      </c>
      <c r="BE29" s="118">
        <f t="shared" si="23"/>
        <v>84847.207586933553</v>
      </c>
      <c r="BF29" s="118">
        <f t="shared" si="23"/>
        <v>303316749999.99994</v>
      </c>
      <c r="BG29" s="118">
        <f t="shared" si="23"/>
        <v>15124999999.999998</v>
      </c>
      <c r="BH29" s="118">
        <f t="shared" si="23"/>
        <v>15124999999.999998</v>
      </c>
      <c r="BI29" s="118">
        <f t="shared" si="23"/>
        <v>53882812500000</v>
      </c>
      <c r="BJ29" s="118">
        <f t="shared" si="23"/>
        <v>52313410194174.758</v>
      </c>
      <c r="BK29" s="118">
        <f t="shared" si="23"/>
        <v>53882812500000</v>
      </c>
      <c r="BL29" s="118">
        <f t="shared" si="23"/>
        <v>53882812500000</v>
      </c>
      <c r="BM29" s="118">
        <f t="shared" si="23"/>
        <v>53882812500000</v>
      </c>
      <c r="BN29" s="118">
        <f t="shared" si="23"/>
        <v>53882812500000</v>
      </c>
      <c r="BO29" s="118">
        <f t="shared" si="23"/>
        <v>52313410194174.758</v>
      </c>
      <c r="BP29" s="118">
        <f t="shared" si="23"/>
        <v>53882812500000</v>
      </c>
      <c r="BQ29" s="118">
        <f t="shared" si="23"/>
        <v>52313410194174.758</v>
      </c>
      <c r="BR29" s="15">
        <f t="shared" si="20"/>
        <v>2.0808592667901749E-15</v>
      </c>
      <c r="BS29" s="40">
        <f t="shared" si="12"/>
        <v>302.5</v>
      </c>
      <c r="BT29" s="40">
        <f t="shared" si="13"/>
        <v>3.2362545583179352E-2</v>
      </c>
      <c r="BU29" s="40">
        <f>IFERROR((s_C*s_EF_far*(1/365)*s_ED_far*up_RadSpec!R29*((s_ET_far_o*(1/24)*up_RadSpec!W29)+(s_ET_far_i*(1/24)*up_RadSpec!AB29))),".")</f>
        <v>0.84847207586933571</v>
      </c>
      <c r="BV29" s="40">
        <f>up_b2s!CC29</f>
        <v>3033167.5</v>
      </c>
      <c r="BW29" s="40">
        <f>IFERROR(((s_C*up_RadSpec!AJ29)/up_RadSpec!AU29)*s_IFFI_far_adj*s_CF_far_fish,0)</f>
        <v>151250</v>
      </c>
      <c r="BX29" s="40">
        <f>IFERROR(((s_C*up_RadSpec!AK29)/up_RadSpec!AU29)*s_IFSF_far_adj*s_CF_far_shellfish,0)</f>
        <v>151250</v>
      </c>
      <c r="BY29" s="40">
        <f>(s_C*s_IFB_far_adj*s_CF_far_beef*up_RadSpec!AI29*((s_Q_p_beef*s_f_p_beef*s_f_s_beef*(up_RadSpec!$AT29+s_R_es_past))+(s_Q_s_beef*s_f_p_beef)))</f>
        <v>538828125</v>
      </c>
      <c r="BZ29" s="40">
        <f>(s_C*s_IFD_far_adj*s_CF_far_dairy*up_RadSpec!AH29*1/s_D_milk*((s_Q_p_dairy*s_f_p_dairy*s_f_s_dairy*(up_RadSpec!$AT29+s_R_es_past))+(s_Q_s_dairy*s_f_p_dairy)))</f>
        <v>523134101.94174761</v>
      </c>
      <c r="CA29" s="40">
        <f>(s_C*s_IFSW_far_adj*s_CF_far_swine*up_RadSpec!AN29*((s_Q_p_swine*s_f_p_swine*s_f_s_swine*(up_RadSpec!$AT29+s_R_es_past))+(s_Q_s_swine*s_f_p_swine)))</f>
        <v>538828125</v>
      </c>
      <c r="CB29" s="40">
        <f>(s_C*s_IFP_far_adj*s_CF_far_poultry*up_RadSpec!AL29*((s_Q_p_poultry*s_f_p_poultry*s_f_s_poultry*(up_RadSpec!AT29+s_R_es_past))+(s_Q_s_poultry*s_f_p_poultry)))</f>
        <v>538828125</v>
      </c>
      <c r="CC29" s="40">
        <f>(s_C*s_IFE_far_adj*s_CF_far_egg*up_RadSpec!AM29*((s_Q_p_egg*s_f_p_egg*s_f_s_egg*(up_RadSpec!$AT29+s_R_es_past))+(s_Q_s_egg*s_f_p_egg)))</f>
        <v>538828125</v>
      </c>
      <c r="CD29" s="40">
        <f>(s_C*s_IFGO_far_adj*s_CF_far_goat*up_RadSpec!AQ29*((s_Q_p_goat*s_f_p_goat*s_f_s_goat*(up_RadSpec!$AT29+s_R_es_past))+(s_Q_s_goat*s_f_p_goat)))</f>
        <v>538828125</v>
      </c>
      <c r="CE29" s="40">
        <f>(s_C*s_IFGM_far_adj*s_CF_far_goat_milk*up_RadSpec!AR29*1/s_D_milk*((s_Q_p_goat_milk*s_f_p_goat_milk*s_f_s_goat_milk*(up_RadSpec!$AT29+s_R_es_past))+(s_Q_s_goat_milk*s_f_p_goat_milk)))</f>
        <v>523134101.94174761</v>
      </c>
      <c r="CF29" s="40">
        <f>(s_C*s_IFSH_far_adj*s_CF_far_sheep*up_RadSpec!AO29*((s_Q_p_sheep*s_f_p_sheep*s_f_s_sheep*(up_RadSpec!$AT29+s_R_es_past))+(s_Q_s_sheep*s_f_p_sheep)))</f>
        <v>538828125</v>
      </c>
      <c r="CG29" s="40">
        <f>(s_C*s_IFSM_far_adj*s_CF_far_sheep_milk*up_RadSpec!AP29*1/s_D_milk*((s_Q_p_sheep_milk*s_f_p_sheep_milk*s_f_s_sheep_milk*(up_RadSpec!$AT29+s_R_es_past))+(s_Q_s_sheep_milk*s_f_p_sheep_milk)))</f>
        <v>523134101.94174761</v>
      </c>
      <c r="CH29" s="18"/>
      <c r="CI29" s="18"/>
      <c r="CJ29" s="18"/>
      <c r="CK29" s="18"/>
      <c r="CL29" s="18"/>
      <c r="CM29" s="18"/>
      <c r="CN29" s="18"/>
      <c r="CO29" s="18"/>
      <c r="CP29" s="18"/>
      <c r="CQ29" s="18"/>
      <c r="CR29" s="18"/>
      <c r="CS29" s="18"/>
      <c r="CT29" s="18"/>
      <c r="CU29" s="18"/>
      <c r="CV29" s="18"/>
      <c r="CW29" s="5"/>
      <c r="CX29" s="15">
        <f>IFERROR(s_TR/(up_RadSpec!I29*s_IFW_far_adj),".")</f>
        <v>3.6363636363636369E-10</v>
      </c>
      <c r="CY29" s="15">
        <f>IFERROR(IF(AND(up_RadSpec!C29=1,up_RadSpec!D29&lt;&gt;0),s_TR/(up_RadSpec!F29*s_IFA_far_adj*s_K*up_RadSpec!D29),"."),".")</f>
        <v>2.1577148215468E-4</v>
      </c>
      <c r="CZ29" s="15">
        <f>IFERROR((s_TR/(up_RadSpec!M29*(1/8760)*s_DFA_far_adj)),".")</f>
        <v>3.9818181818181825E-6</v>
      </c>
      <c r="DA29" s="15">
        <f>up_b2w!BC29</f>
        <v>1.6443412786038031E-11</v>
      </c>
      <c r="DB29" s="15">
        <f>IFERROR(J29/(up_RadSpec!AJ29*(1/1000)),".")</f>
        <v>1.322314049586777E-8</v>
      </c>
      <c r="DC29" s="15">
        <f>IFERROR(K29/(up_RadSpec!AK29*(1/1000)),".")</f>
        <v>1.322314049586777E-8</v>
      </c>
      <c r="DD29" s="15">
        <f>IFERROR(G29/(up_RadSpec!AI29*s_Q_w_beef*(1/1000)),".")</f>
        <v>2.6446280991735539E-9</v>
      </c>
      <c r="DE29" s="15">
        <f>IFERROR((H29*s_D_milk)/(up_RadSpec!AH29*s_Q_w_dairy*(1/1000)),".")</f>
        <v>2.7239669421487605E-9</v>
      </c>
      <c r="DF29" s="15">
        <f>IFERROR(I29/(up_RadSpec!AN29*s_Q_w_swine*(1/1000)),".")</f>
        <v>2.6446280991735539E-9</v>
      </c>
      <c r="DG29" s="15">
        <f>IFERROR(E29/(up_RadSpec!AL29*s_Q_w_poultry*(1/1000)),".")</f>
        <v>2.6446280991735539E-9</v>
      </c>
      <c r="DH29" s="15">
        <f>IFERROR(F29/(up_RadSpec!AM29*s_Q_w_poultry*(1/1000)),".")</f>
        <v>2.6446280991735539E-9</v>
      </c>
      <c r="DI29" s="15">
        <f>IFERROR(L29/(up_RadSpec!AQ29*s_Q_w_goat*(1/1000)),".")</f>
        <v>2.6446280991735539E-9</v>
      </c>
      <c r="DJ29" s="15">
        <f>IFERROR(N29*s_D_milk/(up_RadSpec!AR29*s_Q_w_goat_milk*(1/1000)),".")</f>
        <v>2.7239669421487605E-9</v>
      </c>
      <c r="DK29" s="15">
        <f>IFERROR(M29/(up_RadSpec!AO29*s_Q_w_sheep*(1/1000)),".")</f>
        <v>2.6446280991735539E-9</v>
      </c>
      <c r="DL29" s="15">
        <f>IFERROR(O29*s_D_milk/(up_RadSpec!AP29*s_Q_w_sheep_milk*(1/1000)),".")</f>
        <v>2.7239669421487605E-9</v>
      </c>
      <c r="DM29" s="118">
        <f t="shared" si="24"/>
        <v>2749999999.9999995</v>
      </c>
      <c r="DN29" s="118">
        <f t="shared" si="24"/>
        <v>4634.5327473958332</v>
      </c>
      <c r="DO29" s="118">
        <f t="shared" si="24"/>
        <v>251141.55251141547</v>
      </c>
      <c r="DP29" s="118">
        <f t="shared" si="24"/>
        <v>60814626076.229866</v>
      </c>
      <c r="DQ29" s="118">
        <f t="shared" si="24"/>
        <v>75624999.999999985</v>
      </c>
      <c r="DR29" s="118">
        <f t="shared" si="24"/>
        <v>75624999.999999985</v>
      </c>
      <c r="DS29" s="118">
        <f t="shared" si="24"/>
        <v>378124999.99999994</v>
      </c>
      <c r="DT29" s="118">
        <f t="shared" si="24"/>
        <v>367111650.48543686</v>
      </c>
      <c r="DU29" s="118">
        <f t="shared" si="24"/>
        <v>378124999.99999994</v>
      </c>
      <c r="DV29" s="118">
        <f t="shared" si="24"/>
        <v>378124999.99999994</v>
      </c>
      <c r="DW29" s="118">
        <f t="shared" si="24"/>
        <v>378124999.99999994</v>
      </c>
      <c r="DX29" s="118">
        <f t="shared" si="24"/>
        <v>378124999.99999994</v>
      </c>
      <c r="DY29" s="118">
        <f t="shared" si="24"/>
        <v>367111650.48543686</v>
      </c>
      <c r="DZ29" s="118">
        <f t="shared" si="24"/>
        <v>378124999.99999994</v>
      </c>
      <c r="EA29" s="118">
        <f t="shared" si="24"/>
        <v>367111650.48543686</v>
      </c>
      <c r="EB29" s="15">
        <f t="shared" si="21"/>
        <v>1.4906191579188623E-11</v>
      </c>
      <c r="EC29" s="40">
        <f t="shared" si="15"/>
        <v>27500</v>
      </c>
      <c r="ED29" s="40">
        <f>IF(up_RadSpec!D29&lt;&gt;"",s_C*s_IFA_far_adj*s_K*up_RadSpec!D29,0)</f>
        <v>4.634532747395833E-2</v>
      </c>
      <c r="EE29" s="40">
        <f t="shared" si="16"/>
        <v>2.5114155251141552</v>
      </c>
      <c r="EF29" s="40">
        <f>up_b2w!CC29</f>
        <v>608146.26076229871</v>
      </c>
      <c r="EG29" s="40">
        <f>IFERROR(s_C*up_RadSpec!AJ29*(1/1000)*s_IFFI_far_adj*s_CF_far_fish,0)</f>
        <v>756.25</v>
      </c>
      <c r="EH29" s="40">
        <f>IFERROR(s_C*up_RadSpec!AK29*(1/1000)*s_IFSF_far_adj*s_CF_far_shellfish,0)</f>
        <v>756.25</v>
      </c>
      <c r="EI29" s="40">
        <f>(s_C*s_IFB_far_adj*s_CF_far_beef*up_RadSpec!AI29*s_Q_w_beef*(1/1000))</f>
        <v>3781.25</v>
      </c>
      <c r="EJ29" s="40">
        <f>(s_C*s_IFD_far_adj*s_CF_far_dairy*up_RadSpec!AH29*(1/s_D_milk)*s_Q_w_dairy*(1/1000))</f>
        <v>3671.1165048543689</v>
      </c>
      <c r="EK29" s="40">
        <f>(s_C*s_IFSW_far_adj*s_CF_far_swine*up_RadSpec!AN29*s_Q_w_swine*(1/1000))</f>
        <v>3781.25</v>
      </c>
      <c r="EL29" s="40">
        <f>(s_C*s_IFP_far_adj*s_CF_far_poultry*up_RadSpec!AL29*s_Q_w_poultry*(1/1000))</f>
        <v>3781.25</v>
      </c>
      <c r="EM29" s="40">
        <f>(s_C*s_IFE_far_adj*s_CF_far_egg*up_RadSpec!AM29*s_Q_w_egg*(1/1000))</f>
        <v>3781.25</v>
      </c>
      <c r="EN29" s="40">
        <f>(s_C*s_IFGO_far_adj*s_CF_far_goat*up_RadSpec!AQ29*s_Q_p_goat*(1/1000))</f>
        <v>3781.25</v>
      </c>
      <c r="EO29" s="40">
        <f>(s_C*s_IFGM_far_adj*s_CF_far_goat_milk*up_RadSpec!AR29*(1/s_D_milk)*s_Q_p_goat_milk*(1/1000))</f>
        <v>3671.1165048543689</v>
      </c>
      <c r="EP29" s="40">
        <f>(s_C*s_IFSH_far_adj*s_CF_far_sheep*up_RadSpec!AO29*s_Q_p_sheep*(1/1000))</f>
        <v>3781.25</v>
      </c>
      <c r="EQ29" s="40">
        <f>(s_C*s_IFSM_far_adj*s_CF_far_sheep_milk*up_RadSpec!AP29*(1/s_D_milk)*s_Q_p_sheep_milk*(1/1000))</f>
        <v>3671.1165048543689</v>
      </c>
      <c r="ER29" s="18"/>
      <c r="ES29" s="18"/>
      <c r="ET29" s="18"/>
      <c r="EU29" s="18"/>
      <c r="EV29" s="18"/>
      <c r="EW29" s="18"/>
      <c r="EX29" s="18"/>
      <c r="EY29" s="18"/>
      <c r="EZ29" s="18"/>
      <c r="FA29" s="18"/>
      <c r="FB29" s="18"/>
      <c r="FC29" s="18"/>
      <c r="FD29" s="18"/>
      <c r="FE29" s="18"/>
      <c r="FF29" s="18"/>
      <c r="FG29" s="5"/>
      <c r="FH29" s="15">
        <f>IFERROR((s_TR/(up_RadSpec!F29*s_IFA_far_adj)),".")</f>
        <v>9.9740259740259755E-10</v>
      </c>
      <c r="FI29" s="15">
        <f>IFERROR((s_TR/(up_RadSpec!K29*s_EF_far*(1/365)*s_ED_far*s_ET_far*(1/24)*s_GSF_a)),".")</f>
        <v>6.3709090909090908E-6</v>
      </c>
      <c r="FJ29" s="15">
        <f t="shared" si="22"/>
        <v>9.9724647271019672E-10</v>
      </c>
      <c r="FK29" s="40">
        <f t="shared" si="18"/>
        <v>10026.041666666666</v>
      </c>
      <c r="FL29" s="40">
        <f t="shared" si="19"/>
        <v>1.5696347031963471</v>
      </c>
      <c r="FM29" s="120"/>
      <c r="FN29" s="120"/>
      <c r="FO29" s="120"/>
    </row>
    <row r="30" spans="1:171" customFormat="1" x14ac:dyDescent="0.25">
      <c r="A30" s="44" t="s">
        <v>40</v>
      </c>
      <c r="B30" s="42" t="s">
        <v>1071</v>
      </c>
      <c r="C30" s="42"/>
      <c r="D30" s="15">
        <f>up_dir!AC30</f>
        <v>1.6528925619834712E-11</v>
      </c>
      <c r="E30" s="15">
        <f>IFERROR(s_TR/(up_RadSpec!H30*s_IFP_far_adj*s_CF_far_poultry),".")</f>
        <v>6.6115702479338848E-11</v>
      </c>
      <c r="F30" s="15">
        <f>IFERROR(s_TR/(up_RadSpec!H30*s_IFE_far_adj*s_CF_far_egg),".")</f>
        <v>6.6115702479338848E-11</v>
      </c>
      <c r="G30" s="15">
        <f>IFERROR(s_TR/(up_RadSpec!H30*s_IFB_far_adj*s_CF_far_beef),".")</f>
        <v>6.6115702479338848E-11</v>
      </c>
      <c r="H30" s="15">
        <f>IFERROR(s_TR/(up_RadSpec!H30*s_IFD_far_adj*s_CF_far_dairy),".")</f>
        <v>6.6115702479338848E-11</v>
      </c>
      <c r="I30" s="15">
        <f>IFERROR(s_TR/(up_RadSpec!H30*s_IFSW_far_adj*s_CF_far_swine),".")</f>
        <v>6.6115702479338848E-11</v>
      </c>
      <c r="J30" s="15">
        <f>IFERROR(s_TR/(up_RadSpec!H30*s_IFFI_far_adj*s_CF_far_fish),".")</f>
        <v>6.6115702479338848E-11</v>
      </c>
      <c r="K30" s="15">
        <f>IFERROR(s_TR/(up_RadSpec!H30*s_IFSF_far_adj*s_CF_far_shellfish),".")</f>
        <v>6.6115702479338848E-11</v>
      </c>
      <c r="L30" s="15">
        <f>IFERROR(s_TR/(up_RadSpec!H30*s_IFGO_far_adj*s_CF_far_goat),".")</f>
        <v>6.6115702479338848E-11</v>
      </c>
      <c r="M30" s="15">
        <f>IFERROR(s_TR/(up_RadSpec!H30*s_IFSH_far_adj*s_CF_far_sheep),".")</f>
        <v>6.6115702479338848E-11</v>
      </c>
      <c r="N30" s="15">
        <f>IFERROR(s_TR/(up_RadSpec!H30*s_IFGM_far_adj*s_CF_far_goat_milk),".")</f>
        <v>6.6115702479338848E-11</v>
      </c>
      <c r="O30" s="15">
        <f>IFERROR(s_TR/(up_RadSpec!H30*s_IFSM_far_adj*s_CF_far_sheep_milk),".")</f>
        <v>6.6115702479338848E-11</v>
      </c>
      <c r="P30" s="40">
        <f>up_dir!BC30</f>
        <v>605000</v>
      </c>
      <c r="Q30" s="40">
        <f t="shared" si="0"/>
        <v>151250</v>
      </c>
      <c r="R30" s="40">
        <f t="shared" si="1"/>
        <v>151250</v>
      </c>
      <c r="S30" s="40">
        <f t="shared" si="2"/>
        <v>151250</v>
      </c>
      <c r="T30" s="40">
        <f t="shared" si="3"/>
        <v>151250</v>
      </c>
      <c r="U30" s="40">
        <f t="shared" si="4"/>
        <v>151250</v>
      </c>
      <c r="V30" s="40">
        <f t="shared" si="5"/>
        <v>151250</v>
      </c>
      <c r="W30" s="40">
        <f t="shared" si="6"/>
        <v>151250</v>
      </c>
      <c r="X30" s="40">
        <f t="shared" si="7"/>
        <v>151250</v>
      </c>
      <c r="Y30" s="40">
        <f t="shared" si="8"/>
        <v>151250</v>
      </c>
      <c r="Z30" s="40">
        <f t="shared" si="9"/>
        <v>151250</v>
      </c>
      <c r="AA30" s="40">
        <f t="shared" si="10"/>
        <v>151250</v>
      </c>
      <c r="AB30" s="5"/>
      <c r="AC30" s="5"/>
      <c r="AD30" s="5"/>
      <c r="AE30" s="5"/>
      <c r="AF30" s="5"/>
      <c r="AG30" s="5"/>
      <c r="AH30" s="5"/>
      <c r="AI30" s="5"/>
      <c r="AJ30" s="5"/>
      <c r="AK30" s="5"/>
      <c r="AL30" s="5"/>
      <c r="AM30" s="5"/>
      <c r="AN30" s="45">
        <f>IFERROR((s_TR/(up_RadSpec!E30*s_IFS_far_adj*(1/1000)))*1,".")</f>
        <v>3.3057851239669421E-8</v>
      </c>
      <c r="AO30" s="45">
        <f>IFERROR(IF(A30="H-3",(s_TR/(up_RadSpec!F30*s_IFA_far_adj*(1/17)*1000))*1,(s_TR/(up_RadSpec!F30*s_IFA_far_adj*(1/s_PEF_wind)*1000))*1),".")</f>
        <v>3.0899917851942918E-4</v>
      </c>
      <c r="AP30" s="45">
        <f>IFERROR((s_TR/(up_RadSpec!G30*s_EF_far*(1/365)*s_ED_far*up_RadSpec!R30*((s_ET_far_o*(1/24)*up_RadSpec!W30)+(s_ET_far_i*(1/24)*up_RadSpec!AB30))))*1,".")</f>
        <v>1.1060606060606063E-4</v>
      </c>
      <c r="AQ30" s="45">
        <f>up_b2s!BC30</f>
        <v>3.2968835384132272E-12</v>
      </c>
      <c r="AR30" s="45">
        <f>IFERROR(((J30*up_RadSpec!AU30)/up_RadSpec!AJ30)*1,".")</f>
        <v>6.6115702479338848E-11</v>
      </c>
      <c r="AS30" s="45">
        <f>IFERROR(((K30*up_RadSpec!AU30)/up_RadSpec!AK30)*1,".")</f>
        <v>6.6115702479338848E-11</v>
      </c>
      <c r="AT30" s="45">
        <f>IFERROR((G30/(up_RadSpec!AI30*((s_Q_p_beef*s_f_p_beef*s_f_s_beef*(up_RadSpec!BD30+s_R_es_past))+(s_Q_s_beef*s_f_p_beef))))*1,".")</f>
        <v>1.8558793678410904E-14</v>
      </c>
      <c r="AU30" s="45">
        <f>IFERROR(((H30*s_D_milk)/(up_RadSpec!AH30*((s_Q_p_dairy*s_f_p_dairy*s_f_s_dairy*(up_RadSpec!BD30+s_R_es_past))+(s_Q_s_dairy*s_f_p_dairy))))*1,".")</f>
        <v>1.9115557488763232E-14</v>
      </c>
      <c r="AV30" s="45">
        <f>IFERROR((I30/(up_RadSpec!AN30*((s_Q_p_swine*s_f_p_swine*s_f_s_swine*(up_RadSpec!BD30+s_R_es_past))+(s_Q_s_swine*s_f_p_swine))))*1,".")</f>
        <v>1.8558793678410904E-14</v>
      </c>
      <c r="AW30" s="45">
        <f>IFERROR((E30/(up_RadSpec!AL30*((s_Q_p_poultry*s_f_p_poultry*s_f_s_poultry*(up_RadSpec!BD30+s_R_es_past))+(s_Q_s_poultry*s_f_p_poultry))))*1,".")</f>
        <v>1.8558793678410904E-14</v>
      </c>
      <c r="AX30" s="45">
        <f>IFERROR((F30/(up_RadSpec!AM30*((s_Q_p_poultry*s_f_p_poultry*s_f_s_poultry*(up_RadSpec!BD30+s_R_es_past))+(s_Q_s_poultry*s_f_p_poultry))))*1,".")</f>
        <v>1.8558793678410904E-14</v>
      </c>
      <c r="AY30" s="45">
        <f>IFERROR((L30/(up_RadSpec!AQ30*((s_Q_p_goat*s_f_p_goat*s_f_s_goat*(up_RadSpec!BD30+s_R_es_past))+(s_Q_s_goat*s_f_p_goat))))*1,".")</f>
        <v>1.8558793678410904E-14</v>
      </c>
      <c r="AZ30" s="45">
        <f>IFERROR((N30*s_D_milk/(up_RadSpec!AR30*((s_Q_p_goat_milk*s_f_p_goat_milk*s_f_s_goat_milk*(up_RadSpec!BD30+s_R_es_past))+(s_Q_s_goat_milk*s_f_p_goat_milk))))*1,".")</f>
        <v>1.9115557488763232E-14</v>
      </c>
      <c r="BA30" s="45">
        <f>IFERROR((M30/(up_RadSpec!AO30*((s_Q_p_sheep*s_f_p_sheep*s_f_s_sheep*(up_RadSpec!BD30+s_R_es_past))+(s_Q_s_sheep*s_f_p_sheep))))*1,".")</f>
        <v>1.8558793678410904E-14</v>
      </c>
      <c r="BB30" s="45">
        <f>IFERROR((O30*s_D_milk/(up_RadSpec!AP30*((s_Q_p_sheep_milk*s_f_p_sheep_milk*s_f_s_sheep_milk*(up_RadSpec!BD30+s_R_es_past))+(s_Q_s_sheep_milk*s_f_p_sheep_milk))))*1,".")</f>
        <v>1.9115557488763232E-14</v>
      </c>
      <c r="BC30" s="118">
        <f t="shared" si="23"/>
        <v>30250000</v>
      </c>
      <c r="BD30" s="118">
        <f t="shared" si="23"/>
        <v>3236.2545583179349</v>
      </c>
      <c r="BE30" s="118">
        <f t="shared" si="23"/>
        <v>9041.0958904109575</v>
      </c>
      <c r="BF30" s="118">
        <f t="shared" si="23"/>
        <v>303316749999.99994</v>
      </c>
      <c r="BG30" s="118">
        <f t="shared" si="23"/>
        <v>15124999999.999998</v>
      </c>
      <c r="BH30" s="118">
        <f t="shared" si="23"/>
        <v>15124999999.999998</v>
      </c>
      <c r="BI30" s="118">
        <f t="shared" si="23"/>
        <v>53882812500000</v>
      </c>
      <c r="BJ30" s="118">
        <f t="shared" si="23"/>
        <v>52313410194174.758</v>
      </c>
      <c r="BK30" s="118">
        <f t="shared" si="23"/>
        <v>53882812500000</v>
      </c>
      <c r="BL30" s="118">
        <f t="shared" si="23"/>
        <v>53882812500000</v>
      </c>
      <c r="BM30" s="118">
        <f t="shared" si="23"/>
        <v>53882812500000</v>
      </c>
      <c r="BN30" s="118">
        <f t="shared" si="23"/>
        <v>53882812500000</v>
      </c>
      <c r="BO30" s="118">
        <f t="shared" si="23"/>
        <v>52313410194174.758</v>
      </c>
      <c r="BP30" s="118">
        <f t="shared" si="23"/>
        <v>53882812500000</v>
      </c>
      <c r="BQ30" s="118">
        <f t="shared" si="23"/>
        <v>52313410194174.758</v>
      </c>
      <c r="BR30" s="15">
        <f t="shared" si="20"/>
        <v>2.0808592671184136E-15</v>
      </c>
      <c r="BS30" s="40">
        <f t="shared" si="12"/>
        <v>302.5</v>
      </c>
      <c r="BT30" s="40">
        <f t="shared" si="13"/>
        <v>3.2362545583179352E-2</v>
      </c>
      <c r="BU30" s="40">
        <f>IFERROR((s_C*s_EF_far*(1/365)*s_ED_far*up_RadSpec!R30*((s_ET_far_o*(1/24)*up_RadSpec!W30)+(s_ET_far_i*(1/24)*up_RadSpec!AB30))),".")</f>
        <v>9.0410958904109578E-2</v>
      </c>
      <c r="BV30" s="40">
        <f>up_b2s!CC30</f>
        <v>3033167.5</v>
      </c>
      <c r="BW30" s="40">
        <f>IFERROR(((s_C*up_RadSpec!AJ30)/up_RadSpec!AU30)*s_IFFI_far_adj*s_CF_far_fish,0)</f>
        <v>151250</v>
      </c>
      <c r="BX30" s="40">
        <f>IFERROR(((s_C*up_RadSpec!AK30)/up_RadSpec!AU30)*s_IFSF_far_adj*s_CF_far_shellfish,0)</f>
        <v>151250</v>
      </c>
      <c r="BY30" s="40">
        <f>(s_C*s_IFB_far_adj*s_CF_far_beef*up_RadSpec!AI30*((s_Q_p_beef*s_f_p_beef*s_f_s_beef*(up_RadSpec!$AT30+s_R_es_past))+(s_Q_s_beef*s_f_p_beef)))</f>
        <v>538828125</v>
      </c>
      <c r="BZ30" s="40">
        <f>(s_C*s_IFD_far_adj*s_CF_far_dairy*up_RadSpec!AH30*1/s_D_milk*((s_Q_p_dairy*s_f_p_dairy*s_f_s_dairy*(up_RadSpec!$AT30+s_R_es_past))+(s_Q_s_dairy*s_f_p_dairy)))</f>
        <v>523134101.94174761</v>
      </c>
      <c r="CA30" s="40">
        <f>(s_C*s_IFSW_far_adj*s_CF_far_swine*up_RadSpec!AN30*((s_Q_p_swine*s_f_p_swine*s_f_s_swine*(up_RadSpec!$AT30+s_R_es_past))+(s_Q_s_swine*s_f_p_swine)))</f>
        <v>538828125</v>
      </c>
      <c r="CB30" s="40">
        <f>(s_C*s_IFP_far_adj*s_CF_far_poultry*up_RadSpec!AL30*((s_Q_p_poultry*s_f_p_poultry*s_f_s_poultry*(up_RadSpec!AT30+s_R_es_past))+(s_Q_s_poultry*s_f_p_poultry)))</f>
        <v>538828125</v>
      </c>
      <c r="CC30" s="40">
        <f>(s_C*s_IFE_far_adj*s_CF_far_egg*up_RadSpec!AM30*((s_Q_p_egg*s_f_p_egg*s_f_s_egg*(up_RadSpec!$AT30+s_R_es_past))+(s_Q_s_egg*s_f_p_egg)))</f>
        <v>538828125</v>
      </c>
      <c r="CD30" s="40">
        <f>(s_C*s_IFGO_far_adj*s_CF_far_goat*up_RadSpec!AQ30*((s_Q_p_goat*s_f_p_goat*s_f_s_goat*(up_RadSpec!$AT30+s_R_es_past))+(s_Q_s_goat*s_f_p_goat)))</f>
        <v>538828125</v>
      </c>
      <c r="CE30" s="40">
        <f>(s_C*s_IFGM_far_adj*s_CF_far_goat_milk*up_RadSpec!AR30*1/s_D_milk*((s_Q_p_goat_milk*s_f_p_goat_milk*s_f_s_goat_milk*(up_RadSpec!$AT30+s_R_es_past))+(s_Q_s_goat_milk*s_f_p_goat_milk)))</f>
        <v>523134101.94174761</v>
      </c>
      <c r="CF30" s="40">
        <f>(s_C*s_IFSH_far_adj*s_CF_far_sheep*up_RadSpec!AO30*((s_Q_p_sheep*s_f_p_sheep*s_f_s_sheep*(up_RadSpec!$AT30+s_R_es_past))+(s_Q_s_sheep*s_f_p_sheep)))</f>
        <v>538828125</v>
      </c>
      <c r="CG30" s="40">
        <f>(s_C*s_IFSM_far_adj*s_CF_far_sheep_milk*up_RadSpec!AP30*1/s_D_milk*((s_Q_p_sheep_milk*s_f_p_sheep_milk*s_f_s_sheep_milk*(up_RadSpec!$AT30+s_R_es_past))+(s_Q_s_sheep_milk*s_f_p_sheep_milk)))</f>
        <v>523134101.94174761</v>
      </c>
      <c r="CH30" s="18"/>
      <c r="CI30" s="18"/>
      <c r="CJ30" s="18"/>
      <c r="CK30" s="18"/>
      <c r="CL30" s="18"/>
      <c r="CM30" s="18"/>
      <c r="CN30" s="18"/>
      <c r="CO30" s="18"/>
      <c r="CP30" s="18"/>
      <c r="CQ30" s="18"/>
      <c r="CR30" s="18"/>
      <c r="CS30" s="18"/>
      <c r="CT30" s="18"/>
      <c r="CU30" s="18"/>
      <c r="CV30" s="18"/>
      <c r="CW30" s="5"/>
      <c r="CX30" s="15">
        <f>IFERROR(s_TR/(up_RadSpec!I30*s_IFW_far_adj),".")</f>
        <v>3.6363636363636369E-10</v>
      </c>
      <c r="CY30" s="15" t="str">
        <f>IFERROR(IF(AND(up_RadSpec!C30=1,up_RadSpec!D30&lt;&gt;0),s_TR/(up_RadSpec!F30*s_IFA_far_adj*s_K*up_RadSpec!D30),"."),".")</f>
        <v>.</v>
      </c>
      <c r="CZ30" s="15">
        <f>IFERROR((s_TR/(up_RadSpec!M30*(1/8760)*s_DFA_far_adj)),".")</f>
        <v>3.9818181818181825E-6</v>
      </c>
      <c r="DA30" s="15">
        <f>up_b2w!BC30</f>
        <v>1.6443412786038031E-11</v>
      </c>
      <c r="DB30" s="15">
        <f>IFERROR(J30/(up_RadSpec!AJ30*(1/1000)),".")</f>
        <v>1.322314049586777E-8</v>
      </c>
      <c r="DC30" s="15">
        <f>IFERROR(K30/(up_RadSpec!AK30*(1/1000)),".")</f>
        <v>1.322314049586777E-8</v>
      </c>
      <c r="DD30" s="15">
        <f>IFERROR(G30/(up_RadSpec!AI30*s_Q_w_beef*(1/1000)),".")</f>
        <v>2.6446280991735539E-9</v>
      </c>
      <c r="DE30" s="15">
        <f>IFERROR((H30*s_D_milk)/(up_RadSpec!AH30*s_Q_w_dairy*(1/1000)),".")</f>
        <v>2.7239669421487605E-9</v>
      </c>
      <c r="DF30" s="15">
        <f>IFERROR(I30/(up_RadSpec!AN30*s_Q_w_swine*(1/1000)),".")</f>
        <v>2.6446280991735539E-9</v>
      </c>
      <c r="DG30" s="15">
        <f>IFERROR(E30/(up_RadSpec!AL30*s_Q_w_poultry*(1/1000)),".")</f>
        <v>2.6446280991735539E-9</v>
      </c>
      <c r="DH30" s="15">
        <f>IFERROR(F30/(up_RadSpec!AM30*s_Q_w_poultry*(1/1000)),".")</f>
        <v>2.6446280991735539E-9</v>
      </c>
      <c r="DI30" s="15">
        <f>IFERROR(L30/(up_RadSpec!AQ30*s_Q_w_goat*(1/1000)),".")</f>
        <v>2.6446280991735539E-9</v>
      </c>
      <c r="DJ30" s="15">
        <f>IFERROR(N30*s_D_milk/(up_RadSpec!AR30*s_Q_w_goat_milk*(1/1000)),".")</f>
        <v>2.7239669421487605E-9</v>
      </c>
      <c r="DK30" s="15">
        <f>IFERROR(M30/(up_RadSpec!AO30*s_Q_w_sheep*(1/1000)),".")</f>
        <v>2.6446280991735539E-9</v>
      </c>
      <c r="DL30" s="15">
        <f>IFERROR(O30*s_D_milk/(up_RadSpec!AP30*s_Q_w_sheep_milk*(1/1000)),".")</f>
        <v>2.7239669421487605E-9</v>
      </c>
      <c r="DM30" s="118">
        <f t="shared" si="24"/>
        <v>2749999999.9999995</v>
      </c>
      <c r="DN30" s="118" t="str">
        <f t="shared" si="24"/>
        <v>.</v>
      </c>
      <c r="DO30" s="118">
        <f t="shared" si="24"/>
        <v>251141.55251141547</v>
      </c>
      <c r="DP30" s="118">
        <f t="shared" si="24"/>
        <v>60814626076.229866</v>
      </c>
      <c r="DQ30" s="118">
        <f t="shared" si="24"/>
        <v>75624999.999999985</v>
      </c>
      <c r="DR30" s="118">
        <f t="shared" si="24"/>
        <v>75624999.999999985</v>
      </c>
      <c r="DS30" s="118">
        <f t="shared" si="24"/>
        <v>378124999.99999994</v>
      </c>
      <c r="DT30" s="118">
        <f t="shared" si="24"/>
        <v>367111650.48543686</v>
      </c>
      <c r="DU30" s="118">
        <f t="shared" si="24"/>
        <v>378124999.99999994</v>
      </c>
      <c r="DV30" s="118">
        <f t="shared" si="24"/>
        <v>378124999.99999994</v>
      </c>
      <c r="DW30" s="118">
        <f t="shared" si="24"/>
        <v>378124999.99999994</v>
      </c>
      <c r="DX30" s="118">
        <f t="shared" si="24"/>
        <v>378124999.99999994</v>
      </c>
      <c r="DY30" s="118">
        <f t="shared" si="24"/>
        <v>367111650.48543686</v>
      </c>
      <c r="DZ30" s="118">
        <f t="shared" si="24"/>
        <v>378124999.99999994</v>
      </c>
      <c r="EA30" s="118">
        <f t="shared" si="24"/>
        <v>367111650.48543686</v>
      </c>
      <c r="EB30" s="15">
        <f t="shared" si="21"/>
        <v>1.4906192608956601E-11</v>
      </c>
      <c r="EC30" s="40">
        <f t="shared" si="15"/>
        <v>27500</v>
      </c>
      <c r="ED30" s="40">
        <f>IF(up_RadSpec!D30&lt;&gt;"",s_C*s_IFA_far_adj*s_K*up_RadSpec!D30,0)</f>
        <v>0</v>
      </c>
      <c r="EE30" s="40">
        <f t="shared" si="16"/>
        <v>2.5114155251141552</v>
      </c>
      <c r="EF30" s="40">
        <f>up_b2w!CC30</f>
        <v>608146.26076229871</v>
      </c>
      <c r="EG30" s="40">
        <f>IFERROR(s_C*up_RadSpec!AJ30*(1/1000)*s_IFFI_far_adj*s_CF_far_fish,0)</f>
        <v>756.25</v>
      </c>
      <c r="EH30" s="40">
        <f>IFERROR(s_C*up_RadSpec!AK30*(1/1000)*s_IFSF_far_adj*s_CF_far_shellfish,0)</f>
        <v>756.25</v>
      </c>
      <c r="EI30" s="40">
        <f>(s_C*s_IFB_far_adj*s_CF_far_beef*up_RadSpec!AI30*s_Q_w_beef*(1/1000))</f>
        <v>3781.25</v>
      </c>
      <c r="EJ30" s="40">
        <f>(s_C*s_IFD_far_adj*s_CF_far_dairy*up_RadSpec!AH30*(1/s_D_milk)*s_Q_w_dairy*(1/1000))</f>
        <v>3671.1165048543689</v>
      </c>
      <c r="EK30" s="40">
        <f>(s_C*s_IFSW_far_adj*s_CF_far_swine*up_RadSpec!AN30*s_Q_w_swine*(1/1000))</f>
        <v>3781.25</v>
      </c>
      <c r="EL30" s="40">
        <f>(s_C*s_IFP_far_adj*s_CF_far_poultry*up_RadSpec!AL30*s_Q_w_poultry*(1/1000))</f>
        <v>3781.25</v>
      </c>
      <c r="EM30" s="40">
        <f>(s_C*s_IFE_far_adj*s_CF_far_egg*up_RadSpec!AM30*s_Q_w_egg*(1/1000))</f>
        <v>3781.25</v>
      </c>
      <c r="EN30" s="40">
        <f>(s_C*s_IFGO_far_adj*s_CF_far_goat*up_RadSpec!AQ30*s_Q_p_goat*(1/1000))</f>
        <v>3781.25</v>
      </c>
      <c r="EO30" s="40">
        <f>(s_C*s_IFGM_far_adj*s_CF_far_goat_milk*up_RadSpec!AR30*(1/s_D_milk)*s_Q_p_goat_milk*(1/1000))</f>
        <v>3671.1165048543689</v>
      </c>
      <c r="EP30" s="40">
        <f>(s_C*s_IFSH_far_adj*s_CF_far_sheep*up_RadSpec!AO30*s_Q_p_sheep*(1/1000))</f>
        <v>3781.25</v>
      </c>
      <c r="EQ30" s="40">
        <f>(s_C*s_IFSM_far_adj*s_CF_far_sheep_milk*up_RadSpec!AP30*(1/s_D_milk)*s_Q_p_sheep_milk*(1/1000))</f>
        <v>3671.1165048543689</v>
      </c>
      <c r="ER30" s="18"/>
      <c r="ES30" s="18"/>
      <c r="ET30" s="18"/>
      <c r="EU30" s="18"/>
      <c r="EV30" s="18"/>
      <c r="EW30" s="18"/>
      <c r="EX30" s="18"/>
      <c r="EY30" s="18"/>
      <c r="EZ30" s="18"/>
      <c r="FA30" s="18"/>
      <c r="FB30" s="18"/>
      <c r="FC30" s="18"/>
      <c r="FD30" s="18"/>
      <c r="FE30" s="18"/>
      <c r="FF30" s="18"/>
      <c r="FG30" s="5"/>
      <c r="FH30" s="15">
        <f>IFERROR((s_TR/(up_RadSpec!F30*s_IFA_far_adj)),".")</f>
        <v>9.9740259740259755E-10</v>
      </c>
      <c r="FI30" s="15">
        <f>IFERROR((s_TR/(up_RadSpec!K30*s_EF_far*(1/365)*s_ED_far*s_ET_far*(1/24)*s_GSF_a)),".")</f>
        <v>6.3709090909090908E-6</v>
      </c>
      <c r="FJ30" s="15">
        <f t="shared" si="22"/>
        <v>9.9724647271019672E-10</v>
      </c>
      <c r="FK30" s="40">
        <f t="shared" si="18"/>
        <v>10026.041666666666</v>
      </c>
      <c r="FL30" s="40">
        <f t="shared" si="19"/>
        <v>1.5696347031963471</v>
      </c>
      <c r="FM30" s="120"/>
      <c r="FN30" s="120"/>
      <c r="FO30" s="120"/>
    </row>
    <row r="31" spans="1:171" x14ac:dyDescent="0.25">
      <c r="A31" s="82" t="s">
        <v>13</v>
      </c>
      <c r="B31" s="82" t="s">
        <v>1071</v>
      </c>
      <c r="C31" s="57"/>
      <c r="D31" s="58">
        <f>1/SUM(1/D32,1/D33,1/D34,1/D35,1/D36,1/D37,1/D38,1/D39,1/D40,1/D41,1/D42,1/D43,1/D44)</f>
        <v>1.3774517918733154E-12</v>
      </c>
      <c r="E31" s="58">
        <f t="shared" ref="E31:O31" si="25">1/SUM(1/E32,1/E33,1/E34,1/E35,1/E36,1/E37,1/E38,1/E39,1/E40,1/E41,1/E42,1/E43,1/E44)</f>
        <v>5.5098071674932615E-12</v>
      </c>
      <c r="F31" s="58">
        <f t="shared" si="25"/>
        <v>5.5098071674932615E-12</v>
      </c>
      <c r="G31" s="58">
        <f t="shared" si="25"/>
        <v>5.5098071674932615E-12</v>
      </c>
      <c r="H31" s="58">
        <f t="shared" si="25"/>
        <v>5.5098071674932615E-12</v>
      </c>
      <c r="I31" s="58">
        <f t="shared" si="25"/>
        <v>5.5098071674932615E-12</v>
      </c>
      <c r="J31" s="58">
        <f t="shared" si="25"/>
        <v>5.5098071674932615E-12</v>
      </c>
      <c r="K31" s="58">
        <f t="shared" si="25"/>
        <v>5.5098071674932615E-12</v>
      </c>
      <c r="L31" s="58">
        <f t="shared" si="25"/>
        <v>5.5098071674932615E-12</v>
      </c>
      <c r="M31" s="58">
        <f t="shared" si="25"/>
        <v>5.5098071674932615E-12</v>
      </c>
      <c r="N31" s="58">
        <f t="shared" si="25"/>
        <v>5.5098071674932615E-12</v>
      </c>
      <c r="O31" s="58">
        <f t="shared" si="25"/>
        <v>5.5098071674932615E-12</v>
      </c>
      <c r="P31" s="73"/>
      <c r="Q31" s="73"/>
      <c r="R31" s="73"/>
      <c r="S31" s="73"/>
      <c r="T31" s="73"/>
      <c r="U31" s="73"/>
      <c r="V31" s="73"/>
      <c r="W31" s="73"/>
      <c r="X31" s="73"/>
      <c r="Y31" s="73"/>
      <c r="Z31" s="73"/>
      <c r="AA31" s="73"/>
      <c r="AB31" s="47">
        <f t="shared" ref="AB31:AM31" si="26">IFERROR(IF(SUM(P32:P44)&gt;0.01,1-EXP(-SUM(P32:P44)),SUM(P32:P44)),".")</f>
        <v>1</v>
      </c>
      <c r="AC31" s="47">
        <f t="shared" si="26"/>
        <v>1</v>
      </c>
      <c r="AD31" s="47">
        <f t="shared" si="26"/>
        <v>1</v>
      </c>
      <c r="AE31" s="47">
        <f t="shared" si="26"/>
        <v>1</v>
      </c>
      <c r="AF31" s="47">
        <f t="shared" si="26"/>
        <v>1</v>
      </c>
      <c r="AG31" s="47">
        <f t="shared" si="26"/>
        <v>1</v>
      </c>
      <c r="AH31" s="47">
        <f t="shared" si="26"/>
        <v>1</v>
      </c>
      <c r="AI31" s="47">
        <f t="shared" si="26"/>
        <v>1</v>
      </c>
      <c r="AJ31" s="47">
        <f t="shared" si="26"/>
        <v>1</v>
      </c>
      <c r="AK31" s="47">
        <f t="shared" si="26"/>
        <v>1</v>
      </c>
      <c r="AL31" s="47">
        <f t="shared" si="26"/>
        <v>1</v>
      </c>
      <c r="AM31" s="47">
        <f t="shared" si="26"/>
        <v>1</v>
      </c>
      <c r="AN31" s="58">
        <f t="shared" ref="AN31:BB31" si="27">1/SUM(1/AN32,1/AN33,1/AN34,1/AN35,1/AN36,1/AN37,1/AN38,1/AN39,1/AN40,1/AN41,1/AN42,1/AN43,1/AN44)</f>
        <v>2.7549035837466309E-9</v>
      </c>
      <c r="AO31" s="58">
        <f t="shared" si="27"/>
        <v>2.5750704064407696E-5</v>
      </c>
      <c r="AP31" s="58">
        <f>1/SUM(1/AP32,1/AP33,1/AP34,1/AP35,1/AP36,1/AP37,1/AP38,1/AP39,1/AP40,1/AP41,1/AP42,1/AP43)</f>
        <v>4.4971983338896502E-6</v>
      </c>
      <c r="AQ31" s="58">
        <f t="shared" si="27"/>
        <v>2.7474853732388866E-13</v>
      </c>
      <c r="AR31" s="58">
        <f t="shared" si="27"/>
        <v>5.5098071674932615E-12</v>
      </c>
      <c r="AS31" s="58">
        <f t="shared" si="27"/>
        <v>5.5098071674932615E-12</v>
      </c>
      <c r="AT31" s="58">
        <f t="shared" si="27"/>
        <v>1.5466125382437225E-15</v>
      </c>
      <c r="AU31" s="58">
        <f t="shared" si="27"/>
        <v>1.5930109143910341E-15</v>
      </c>
      <c r="AV31" s="58">
        <f t="shared" si="27"/>
        <v>1.5466125382437225E-15</v>
      </c>
      <c r="AW31" s="58">
        <f t="shared" si="27"/>
        <v>1.5466125382437225E-15</v>
      </c>
      <c r="AX31" s="58">
        <f t="shared" si="27"/>
        <v>1.5466125382437225E-15</v>
      </c>
      <c r="AY31" s="58">
        <f t="shared" si="27"/>
        <v>1.5466125382437225E-15</v>
      </c>
      <c r="AZ31" s="58">
        <f t="shared" si="27"/>
        <v>1.5930109143910341E-15</v>
      </c>
      <c r="BA31" s="58">
        <f t="shared" si="27"/>
        <v>1.5466125382437225E-15</v>
      </c>
      <c r="BB31" s="58">
        <f t="shared" si="27"/>
        <v>1.5930109143910341E-15</v>
      </c>
      <c r="BC31" s="42"/>
      <c r="BD31" s="42"/>
      <c r="BE31" s="42"/>
      <c r="BF31" s="42"/>
      <c r="BG31" s="42"/>
      <c r="BH31" s="42"/>
      <c r="BI31" s="42"/>
      <c r="BJ31" s="42"/>
      <c r="BK31" s="42"/>
      <c r="BL31" s="42"/>
      <c r="BM31" s="42"/>
      <c r="BN31" s="42"/>
      <c r="BO31" s="42"/>
      <c r="BP31" s="42"/>
      <c r="BQ31" s="42"/>
      <c r="BR31" s="58">
        <f t="shared" ref="BR31" si="28">1/SUM(1/BR32,1/BR33,1/BR34,1/BR35,1/BR36,1/BR37,1/BR38,1/BR39,1/BR40,1/BR41,1/BR42,1/BR43,1/BR44)</f>
        <v>1.7341014122734721E-16</v>
      </c>
      <c r="BS31" s="73"/>
      <c r="BT31" s="73"/>
      <c r="BU31" s="73"/>
      <c r="BV31" s="73"/>
      <c r="BW31" s="73"/>
      <c r="BX31" s="73"/>
      <c r="BY31" s="73"/>
      <c r="BZ31" s="73"/>
      <c r="CA31" s="73"/>
      <c r="CB31" s="73"/>
      <c r="CC31" s="73"/>
      <c r="CD31" s="73"/>
      <c r="CE31" s="73"/>
      <c r="CF31" s="73"/>
      <c r="CG31" s="73"/>
      <c r="CH31" s="47">
        <f t="shared" ref="CH31:CV31" si="29">IFERROR(IF(SUM(BS32:BS44)&gt;0.01,1-EXP(-SUM(BS32:BS44)),SUM(BS32:BS44)),".")</f>
        <v>1</v>
      </c>
      <c r="CI31" s="47">
        <f t="shared" si="29"/>
        <v>0.85653934784727048</v>
      </c>
      <c r="CJ31" s="47">
        <f t="shared" si="29"/>
        <v>0.99998515775594177</v>
      </c>
      <c r="CK31" s="47">
        <f t="shared" si="29"/>
        <v>1</v>
      </c>
      <c r="CL31" s="47">
        <f t="shared" si="29"/>
        <v>1</v>
      </c>
      <c r="CM31" s="47">
        <f t="shared" si="29"/>
        <v>1</v>
      </c>
      <c r="CN31" s="47">
        <f t="shared" si="29"/>
        <v>1</v>
      </c>
      <c r="CO31" s="47">
        <f t="shared" si="29"/>
        <v>1</v>
      </c>
      <c r="CP31" s="47">
        <f t="shared" si="29"/>
        <v>1</v>
      </c>
      <c r="CQ31" s="47">
        <f t="shared" si="29"/>
        <v>1</v>
      </c>
      <c r="CR31" s="47">
        <f t="shared" si="29"/>
        <v>1</v>
      </c>
      <c r="CS31" s="47">
        <f t="shared" si="29"/>
        <v>1</v>
      </c>
      <c r="CT31" s="47">
        <f t="shared" si="29"/>
        <v>1</v>
      </c>
      <c r="CU31" s="47">
        <f t="shared" si="29"/>
        <v>1</v>
      </c>
      <c r="CV31" s="47">
        <f t="shared" si="29"/>
        <v>1</v>
      </c>
      <c r="CW31" s="47">
        <f>IFERROR(IF(SUM(BS32:CG44)&gt;0.01,1-EXP(-SUM(BS32:CG44)),SUM(BS32:CG44)),".")</f>
        <v>1</v>
      </c>
      <c r="CX31" s="58">
        <f t="shared" ref="CX31" si="30">1/SUM(1/CX32,1/CX33,1/CX34,1/CX35,1/CX36,1/CX37,1/CX38,1/CX39,1/CX40,1/CX41,1/CX42,1/CX43,1/CX44)</f>
        <v>3.0303939421212944E-11</v>
      </c>
      <c r="CY31" s="58" t="str">
        <f>IFERROR(1/SUM(1/CY32,1/CY33,1/CY34,1/CY35,1/CY36,1/CY37,1/CY38,1/CY39,1/CY40,1/CY41,1/CY42,1/CY43,1/CY44,1/CY45),".")</f>
        <v>.</v>
      </c>
      <c r="CZ31" s="58">
        <f t="shared" ref="CZ31" si="31">1/SUM(1/CZ32,1/CZ33,1/CZ34,1/CZ35,1/CZ36,1/CZ37,1/CZ38,1/CZ39,1/CZ40,1/CZ41,1/CZ42,1/CZ43,1/CZ44)</f>
        <v>3.3182813666228171E-7</v>
      </c>
      <c r="DA31" s="58">
        <f t="shared" ref="DA31" si="32">1/SUM(1/DA32,1/DA33,1/DA34,1/DA35,1/DA36,1/DA37,1/DA38,1/DA39,1/DA40,1/DA41,1/DA42,1/DA43,1/DA44)</f>
        <v>1.3703255086017608E-12</v>
      </c>
      <c r="DB31" s="58">
        <f t="shared" ref="DB31" si="33">1/SUM(1/DB32,1/DB33,1/DB34,1/DB35,1/DB36,1/DB37,1/DB38,1/DB39,1/DB40,1/DB41,1/DB42,1/DB43,1/DB44)</f>
        <v>1.1019614334986526E-9</v>
      </c>
      <c r="DC31" s="58">
        <f t="shared" ref="DC31" si="34">1/SUM(1/DC32,1/DC33,1/DC34,1/DC35,1/DC36,1/DC37,1/DC38,1/DC39,1/DC40,1/DC41,1/DC42,1/DC43,1/DC44)</f>
        <v>1.1019614334986526E-9</v>
      </c>
      <c r="DD31" s="58">
        <f t="shared" ref="DD31" si="35">1/SUM(1/DD32,1/DD33,1/DD34,1/DD35,1/DD36,1/DD37,1/DD38,1/DD39,1/DD40,1/DD41,1/DD42,1/DD43,1/DD44)</f>
        <v>2.2039228669973047E-10</v>
      </c>
      <c r="DE31" s="58">
        <f t="shared" ref="DE31" si="36">1/SUM(1/DE32,1/DE33,1/DE34,1/DE35,1/DE36,1/DE37,1/DE38,1/DE39,1/DE40,1/DE41,1/DE42,1/DE43,1/DE44)</f>
        <v>2.2700405530072243E-10</v>
      </c>
      <c r="DF31" s="58">
        <f t="shared" ref="DF31" si="37">1/SUM(1/DF32,1/DF33,1/DF34,1/DF35,1/DF36,1/DF37,1/DF38,1/DF39,1/DF40,1/DF41,1/DF42,1/DF43,1/DF44)</f>
        <v>2.2039228669973047E-10</v>
      </c>
      <c r="DG31" s="58">
        <f t="shared" ref="DG31" si="38">1/SUM(1/DG32,1/DG33,1/DG34,1/DG35,1/DG36,1/DG37,1/DG38,1/DG39,1/DG40,1/DG41,1/DG42,1/DG43,1/DG44)</f>
        <v>2.2039228669973047E-10</v>
      </c>
      <c r="DH31" s="58">
        <f t="shared" ref="DH31" si="39">1/SUM(1/DH32,1/DH33,1/DH34,1/DH35,1/DH36,1/DH37,1/DH38,1/DH39,1/DH40,1/DH41,1/DH42,1/DH43,1/DH44)</f>
        <v>2.2039228669973047E-10</v>
      </c>
      <c r="DI31" s="58">
        <f t="shared" ref="DI31" si="40">1/SUM(1/DI32,1/DI33,1/DI34,1/DI35,1/DI36,1/DI37,1/DI38,1/DI39,1/DI40,1/DI41,1/DI42,1/DI43,1/DI44)</f>
        <v>2.2039228669973047E-10</v>
      </c>
      <c r="DJ31" s="58">
        <f t="shared" ref="DJ31" si="41">1/SUM(1/DJ32,1/DJ33,1/DJ34,1/DJ35,1/DJ36,1/DJ37,1/DJ38,1/DJ39,1/DJ40,1/DJ41,1/DJ42,1/DJ43,1/DJ44)</f>
        <v>2.2700405530072243E-10</v>
      </c>
      <c r="DK31" s="58">
        <f t="shared" ref="DK31" si="42">1/SUM(1/DK32,1/DK33,1/DK34,1/DK35,1/DK36,1/DK37,1/DK38,1/DK39,1/DK40,1/DK41,1/DK42,1/DK43,1/DK44)</f>
        <v>2.2039228669973047E-10</v>
      </c>
      <c r="DL31" s="58">
        <f t="shared" ref="DL31" si="43">1/SUM(1/DL32,1/DL33,1/DL34,1/DL35,1/DL36,1/DL37,1/DL38,1/DL39,1/DL40,1/DL41,1/DL42,1/DL43,1/DL44)</f>
        <v>2.2700405530072243E-10</v>
      </c>
      <c r="DM31" s="15"/>
      <c r="DN31" s="15"/>
      <c r="DO31" s="15"/>
      <c r="DP31" s="15"/>
      <c r="DQ31" s="15"/>
      <c r="DR31" s="15"/>
      <c r="DS31" s="15"/>
      <c r="DT31" s="15"/>
      <c r="DU31" s="15"/>
      <c r="DV31" s="15"/>
      <c r="DW31" s="15"/>
      <c r="DX31" s="15"/>
      <c r="DY31" s="15"/>
      <c r="DZ31" s="15"/>
      <c r="EA31" s="15"/>
      <c r="EB31" s="58">
        <f t="shared" ref="EB31" si="44">1/SUM(1/EB32,1/EB33,1/EB34,1/EB35,1/EB36,1/EB37,1/EB38,1/EB39,1/EB40,1/EB41,1/EB42,1/EB43,1/EB44)</f>
        <v>1.2422199840125709E-12</v>
      </c>
      <c r="EC31" s="70"/>
      <c r="ED31" s="70"/>
      <c r="EE31" s="70"/>
      <c r="EF31" s="70"/>
      <c r="EG31" s="70"/>
      <c r="EH31" s="70"/>
      <c r="EI31" s="70"/>
      <c r="EJ31" s="70"/>
      <c r="EK31" s="70"/>
      <c r="EL31" s="70"/>
      <c r="EM31" s="70"/>
      <c r="EN31" s="70"/>
      <c r="EO31" s="70"/>
      <c r="EP31" s="70"/>
      <c r="EQ31" s="70"/>
      <c r="ER31" s="47">
        <f t="shared" ref="ER31:FF31" si="45">IFERROR(IF(SUM(EC32:EC44)&gt;0.01,1-EXP(-SUM(EC32:EC44)),SUM(EC32:EC44)),".")</f>
        <v>1</v>
      </c>
      <c r="ES31" s="47">
        <f t="shared" si="45"/>
        <v>0</v>
      </c>
      <c r="ET31" s="47">
        <f t="shared" si="45"/>
        <v>1</v>
      </c>
      <c r="EU31" s="47">
        <f t="shared" si="45"/>
        <v>1</v>
      </c>
      <c r="EV31" s="47">
        <f t="shared" si="45"/>
        <v>1</v>
      </c>
      <c r="EW31" s="47">
        <f t="shared" si="45"/>
        <v>1</v>
      </c>
      <c r="EX31" s="47">
        <f t="shared" si="45"/>
        <v>1</v>
      </c>
      <c r="EY31" s="47">
        <f t="shared" si="45"/>
        <v>1</v>
      </c>
      <c r="EZ31" s="47">
        <f t="shared" si="45"/>
        <v>1</v>
      </c>
      <c r="FA31" s="47">
        <f t="shared" si="45"/>
        <v>1</v>
      </c>
      <c r="FB31" s="47">
        <f t="shared" si="45"/>
        <v>1</v>
      </c>
      <c r="FC31" s="47">
        <f t="shared" si="45"/>
        <v>1</v>
      </c>
      <c r="FD31" s="47">
        <f t="shared" si="45"/>
        <v>1</v>
      </c>
      <c r="FE31" s="47">
        <f t="shared" si="45"/>
        <v>1</v>
      </c>
      <c r="FF31" s="47">
        <f t="shared" si="45"/>
        <v>1</v>
      </c>
      <c r="FG31" s="47">
        <f>IFERROR(IF(SUM(EC32:EQ44)&gt;0.01,1-EXP(-SUM(EC32:EQ44)),SUM(EC32:EQ44)),".")</f>
        <v>1</v>
      </c>
      <c r="FH31" s="59">
        <f>1/SUM(1/FH32,1/FH33,1/FH34,1/FH35,1/FH36,1/FH37,1/FH38,1/FH41,1/FH44)</f>
        <v>1.1082546616827536E-10</v>
      </c>
      <c r="FI31" s="59">
        <f t="shared" ref="FI31:FJ31" si="46">1/SUM(1/FI32,1/FI33,1/FI34,1/FI35,1/FI36,1/FI37,1/FI38,1/FI41,1/FI44,1/FI39,1/FI40,1/FI42,1/FI43)</f>
        <v>5.3092501865965061E-7</v>
      </c>
      <c r="FJ31" s="59">
        <f t="shared" si="46"/>
        <v>8.3106365916827255E-11</v>
      </c>
      <c r="FK31" s="70"/>
      <c r="FL31" s="70"/>
      <c r="FM31" s="47">
        <f>IFERROR(IF(SUM(FK32:FK44)&gt;0.01,1-EXP(-SUM(FK32:FK44)),SUM(FK32:FK44)),".")</f>
        <v>1</v>
      </c>
      <c r="FN31" s="47">
        <f>IFERROR(IF(SUM(FL32:FL44)&gt;0.01,1-EXP(-SUM(FL32:FL44)),SUM(FL32:FL44)),".")</f>
        <v>1</v>
      </c>
      <c r="FO31" s="47">
        <f>IFERROR(IF(SUM(FK32:FL44)&gt;0.01,1-EXP(-SUM(FK32:FL44)),SUM(FK32:FL44)),".")</f>
        <v>1</v>
      </c>
    </row>
    <row r="32" spans="1:171" x14ac:dyDescent="0.25">
      <c r="A32" s="83" t="s">
        <v>1099</v>
      </c>
      <c r="B32" s="42">
        <v>1</v>
      </c>
      <c r="C32" s="42"/>
      <c r="D32" s="60">
        <f t="shared" ref="D32:O32" si="47">IFERROR(D3/$B32,0)</f>
        <v>1.6528925619834712E-11</v>
      </c>
      <c r="E32" s="60">
        <f t="shared" si="47"/>
        <v>6.6115702479338848E-11</v>
      </c>
      <c r="F32" s="60">
        <f t="shared" si="47"/>
        <v>6.6115702479338848E-11</v>
      </c>
      <c r="G32" s="60">
        <f t="shared" si="47"/>
        <v>6.6115702479338848E-11</v>
      </c>
      <c r="H32" s="60">
        <f t="shared" si="47"/>
        <v>6.6115702479338848E-11</v>
      </c>
      <c r="I32" s="60">
        <f t="shared" si="47"/>
        <v>6.6115702479338848E-11</v>
      </c>
      <c r="J32" s="60">
        <f t="shared" si="47"/>
        <v>6.6115702479338848E-11</v>
      </c>
      <c r="K32" s="60">
        <f t="shared" si="47"/>
        <v>6.6115702479338848E-11</v>
      </c>
      <c r="L32" s="60">
        <f t="shared" si="47"/>
        <v>6.6115702479338848E-11</v>
      </c>
      <c r="M32" s="60">
        <f t="shared" si="47"/>
        <v>6.6115702479338848E-11</v>
      </c>
      <c r="N32" s="60">
        <f t="shared" si="47"/>
        <v>6.6115702479338848E-11</v>
      </c>
      <c r="O32" s="60">
        <f t="shared" si="47"/>
        <v>6.6115702479338848E-11</v>
      </c>
      <c r="P32" s="71">
        <f>up_dir!BC32</f>
        <v>3025000</v>
      </c>
      <c r="Q32" s="71">
        <f>IFERROR(up_RadSpec!$H$3*Q3,".")*$B$32</f>
        <v>756250</v>
      </c>
      <c r="R32" s="71">
        <f>IFERROR(up_RadSpec!$H$3*R3,".")*$B$32</f>
        <v>756250</v>
      </c>
      <c r="S32" s="71">
        <f>IFERROR(up_RadSpec!$H$3*S3,".")*$B$32</f>
        <v>756250</v>
      </c>
      <c r="T32" s="71">
        <f>IFERROR(up_RadSpec!$H$3*T3,".")*$B$32</f>
        <v>756250</v>
      </c>
      <c r="U32" s="71">
        <f>IFERROR(up_RadSpec!$H$3*U3,".")*$B$32</f>
        <v>756250</v>
      </c>
      <c r="V32" s="71">
        <f>IFERROR(up_RadSpec!$H$3*V3,".")*$B$32</f>
        <v>756250</v>
      </c>
      <c r="W32" s="71">
        <f>IFERROR(up_RadSpec!$H$3*W3,".")*$B$32</f>
        <v>756250</v>
      </c>
      <c r="X32" s="71">
        <f>IFERROR(up_RadSpec!$H$3*X3,".")*$B$32</f>
        <v>756250</v>
      </c>
      <c r="Y32" s="71">
        <f>IFERROR(up_RadSpec!$H$3*Y3,".")*$B$32</f>
        <v>756250</v>
      </c>
      <c r="Z32" s="71">
        <f>IFERROR(up_RadSpec!$H$3*Z3,".")*$B$32</f>
        <v>756250</v>
      </c>
      <c r="AA32" s="71">
        <f>IFERROR(up_RadSpec!$H$3*AA3,".")*$B$32</f>
        <v>756250</v>
      </c>
      <c r="AB32" s="49">
        <f t="shared" ref="AB32:AF44" si="48">IFERROR(IF(P32&gt;0.01,1-EXP(-P32),P32),".")</f>
        <v>1</v>
      </c>
      <c r="AC32" s="49">
        <f t="shared" si="48"/>
        <v>1</v>
      </c>
      <c r="AD32" s="49">
        <f t="shared" si="48"/>
        <v>1</v>
      </c>
      <c r="AE32" s="49">
        <f t="shared" si="48"/>
        <v>1</v>
      </c>
      <c r="AF32" s="49">
        <f t="shared" ref="AF32:AM32" si="49">IFERROR(IF(T32&gt;0.01,1-EXP(-T32),T32),".")</f>
        <v>1</v>
      </c>
      <c r="AG32" s="49">
        <f t="shared" si="49"/>
        <v>1</v>
      </c>
      <c r="AH32" s="49">
        <f t="shared" si="49"/>
        <v>1</v>
      </c>
      <c r="AI32" s="49">
        <f t="shared" si="49"/>
        <v>1</v>
      </c>
      <c r="AJ32" s="49">
        <f t="shared" si="49"/>
        <v>1</v>
      </c>
      <c r="AK32" s="49">
        <f t="shared" si="49"/>
        <v>1</v>
      </c>
      <c r="AL32" s="49">
        <f t="shared" si="49"/>
        <v>1</v>
      </c>
      <c r="AM32" s="49">
        <f t="shared" si="49"/>
        <v>1</v>
      </c>
      <c r="AN32" s="60">
        <f t="shared" ref="AN32:BB32" si="50">IFERROR(AN3/$B32,0)</f>
        <v>3.3057851239669421E-8</v>
      </c>
      <c r="AO32" s="60">
        <f t="shared" si="50"/>
        <v>3.0899917851942918E-4</v>
      </c>
      <c r="AP32" s="60">
        <f t="shared" si="50"/>
        <v>9.2435064935064998E-3</v>
      </c>
      <c r="AQ32" s="60">
        <f t="shared" si="50"/>
        <v>3.2968835384132272E-12</v>
      </c>
      <c r="AR32" s="60">
        <f t="shared" si="50"/>
        <v>6.6115702479338848E-11</v>
      </c>
      <c r="AS32" s="60">
        <f t="shared" si="50"/>
        <v>6.6115702479338848E-11</v>
      </c>
      <c r="AT32" s="60">
        <f t="shared" si="50"/>
        <v>1.8558793678410904E-14</v>
      </c>
      <c r="AU32" s="60">
        <f t="shared" si="50"/>
        <v>1.9115557488763232E-14</v>
      </c>
      <c r="AV32" s="60">
        <f t="shared" si="50"/>
        <v>1.8558793678410904E-14</v>
      </c>
      <c r="AW32" s="60">
        <f t="shared" si="50"/>
        <v>1.8558793678410904E-14</v>
      </c>
      <c r="AX32" s="60">
        <f t="shared" si="50"/>
        <v>1.8558793678410904E-14</v>
      </c>
      <c r="AY32" s="60">
        <f t="shared" si="50"/>
        <v>1.8558793678410904E-14</v>
      </c>
      <c r="AZ32" s="60">
        <f t="shared" si="50"/>
        <v>1.9115557488763232E-14</v>
      </c>
      <c r="BA32" s="60">
        <f t="shared" si="50"/>
        <v>1.8558793678410904E-14</v>
      </c>
      <c r="BB32" s="60">
        <f t="shared" si="50"/>
        <v>1.9115557488763232E-14</v>
      </c>
      <c r="BC32" s="42"/>
      <c r="BD32" s="42"/>
      <c r="BE32" s="42"/>
      <c r="BF32" s="42"/>
      <c r="BG32" s="42"/>
      <c r="BH32" s="42"/>
      <c r="BI32" s="42"/>
      <c r="BJ32" s="42"/>
      <c r="BK32" s="42"/>
      <c r="BL32" s="42"/>
      <c r="BM32" s="42"/>
      <c r="BN32" s="42"/>
      <c r="BO32" s="42"/>
      <c r="BP32" s="42"/>
      <c r="BQ32" s="42"/>
      <c r="BR32" s="60">
        <f t="shared" ref="BR32" si="51">IFERROR(BR3/$B32,0)</f>
        <v>2.080859267157093E-15</v>
      </c>
      <c r="BS32" s="71">
        <f>IFERROR(up_RadSpec!$E$3*BS3,".")*$B$32</f>
        <v>1512.5</v>
      </c>
      <c r="BT32" s="71">
        <f>IFERROR(up_RadSpec!$F$3*BT3,".")*$B$32</f>
        <v>0.16181272791589676</v>
      </c>
      <c r="BU32" s="71">
        <f>IFERROR(up_RadSpec!$G$3*BU3,".")*$B$32</f>
        <v>5.4092026694766392E-3</v>
      </c>
      <c r="BV32" s="71">
        <f>up_b2s!CC32</f>
        <v>15165837.5</v>
      </c>
      <c r="BW32" s="71">
        <f>IFERROR(up_RadSpec!$H$3*BW3,".")*$B$32</f>
        <v>756250</v>
      </c>
      <c r="BX32" s="71">
        <f>IFERROR(up_RadSpec!$H$3*BX3,".")*$B$32</f>
        <v>756250</v>
      </c>
      <c r="BY32" s="71">
        <f>IFERROR(up_RadSpec!$H$3*BY3,".")*$B$32</f>
        <v>2694140625</v>
      </c>
      <c r="BZ32" s="71">
        <f>IFERROR(up_RadSpec!$H$3*BZ3,".")*$B$32</f>
        <v>2615670509.7087379</v>
      </c>
      <c r="CA32" s="71">
        <f>IFERROR(up_RadSpec!$H$3*CA3,".")*$B$32</f>
        <v>2694140625</v>
      </c>
      <c r="CB32" s="71">
        <f>IFERROR(up_RadSpec!$H$3*CB3,".")*$B$32</f>
        <v>2694140625</v>
      </c>
      <c r="CC32" s="71">
        <f>IFERROR(up_RadSpec!$H$3*CC3,".")*$B$32</f>
        <v>2694140625</v>
      </c>
      <c r="CD32" s="71">
        <f>IFERROR(up_RadSpec!$H$3*CD3,".")*$B$32</f>
        <v>2694140625</v>
      </c>
      <c r="CE32" s="71">
        <f>IFERROR(up_RadSpec!$H$3*CE3,".")*$B$32</f>
        <v>2615670509.7087379</v>
      </c>
      <c r="CF32" s="71">
        <f>IFERROR(up_RadSpec!$H$3*CF3,".")*$B$32</f>
        <v>2694140625</v>
      </c>
      <c r="CG32" s="71">
        <f>IFERROR(up_RadSpec!$H$3*CG3,".")*$B$32</f>
        <v>2615670509.7087379</v>
      </c>
      <c r="CH32" s="49">
        <f t="shared" ref="CH32:CV44" si="52">IFERROR(IF(BS32&gt;0.01,1-EXP(-BS32),BS32),".")</f>
        <v>1</v>
      </c>
      <c r="CI32" s="49">
        <f t="shared" si="52"/>
        <v>0.14939951664921358</v>
      </c>
      <c r="CJ32" s="49">
        <f t="shared" si="52"/>
        <v>5.4092026694766392E-3</v>
      </c>
      <c r="CK32" s="49">
        <f t="shared" si="52"/>
        <v>1</v>
      </c>
      <c r="CL32" s="49">
        <f t="shared" si="52"/>
        <v>1</v>
      </c>
      <c r="CM32" s="49">
        <f t="shared" si="52"/>
        <v>1</v>
      </c>
      <c r="CN32" s="49">
        <f t="shared" si="52"/>
        <v>1</v>
      </c>
      <c r="CO32" s="49">
        <f t="shared" si="52"/>
        <v>1</v>
      </c>
      <c r="CP32" s="49">
        <f t="shared" si="52"/>
        <v>1</v>
      </c>
      <c r="CQ32" s="49">
        <f t="shared" si="52"/>
        <v>1</v>
      </c>
      <c r="CR32" s="49">
        <f t="shared" si="52"/>
        <v>1</v>
      </c>
      <c r="CS32" s="49">
        <f t="shared" si="52"/>
        <v>1</v>
      </c>
      <c r="CT32" s="49">
        <f t="shared" si="52"/>
        <v>1</v>
      </c>
      <c r="CU32" s="49">
        <f t="shared" si="52"/>
        <v>1</v>
      </c>
      <c r="CV32" s="49">
        <f t="shared" si="52"/>
        <v>1</v>
      </c>
      <c r="CW32" s="49">
        <f t="shared" ref="CW32:CW44" si="53">IFERROR(IF(SUM(BS32:CG32)&gt;0.01,1-EXP(-SUM(BS32:CG32)),SUM(BS32:CG32)),".")</f>
        <v>1</v>
      </c>
      <c r="CX32" s="60">
        <f t="shared" ref="CX32" si="54">IFERROR(CX3/$B32,0)</f>
        <v>3.6363636363636369E-10</v>
      </c>
      <c r="CY32" s="60" t="str">
        <f>IFERROR(CY3,".")</f>
        <v>.</v>
      </c>
      <c r="CZ32" s="60">
        <f t="shared" ref="CZ32:DL32" si="55">IFERROR(CZ3/$B32,0)</f>
        <v>3.9818181818181825E-6</v>
      </c>
      <c r="DA32" s="60">
        <f t="shared" si="55"/>
        <v>1.6443412786038031E-11</v>
      </c>
      <c r="DB32" s="60">
        <f t="shared" si="55"/>
        <v>1.322314049586777E-8</v>
      </c>
      <c r="DC32" s="60">
        <f t="shared" si="55"/>
        <v>1.322314049586777E-8</v>
      </c>
      <c r="DD32" s="60">
        <f t="shared" si="55"/>
        <v>2.6446280991735539E-9</v>
      </c>
      <c r="DE32" s="60">
        <f t="shared" si="55"/>
        <v>2.7239669421487605E-9</v>
      </c>
      <c r="DF32" s="60">
        <f t="shared" si="55"/>
        <v>2.6446280991735539E-9</v>
      </c>
      <c r="DG32" s="60">
        <f t="shared" si="55"/>
        <v>2.6446280991735539E-9</v>
      </c>
      <c r="DH32" s="60">
        <f t="shared" si="55"/>
        <v>2.6446280991735539E-9</v>
      </c>
      <c r="DI32" s="60">
        <f t="shared" si="55"/>
        <v>2.6446280991735539E-9</v>
      </c>
      <c r="DJ32" s="60">
        <f t="shared" si="55"/>
        <v>2.7239669421487605E-9</v>
      </c>
      <c r="DK32" s="60">
        <f t="shared" si="55"/>
        <v>2.6446280991735539E-9</v>
      </c>
      <c r="DL32" s="60">
        <f t="shared" si="55"/>
        <v>2.7239669421487605E-9</v>
      </c>
      <c r="DM32" s="15"/>
      <c r="DN32" s="15"/>
      <c r="DO32" s="15"/>
      <c r="DP32" s="15"/>
      <c r="DQ32" s="15"/>
      <c r="DR32" s="15"/>
      <c r="DS32" s="15"/>
      <c r="DT32" s="15"/>
      <c r="DU32" s="15"/>
      <c r="DV32" s="15"/>
      <c r="DW32" s="15"/>
      <c r="DX32" s="15"/>
      <c r="DY32" s="15"/>
      <c r="DZ32" s="15"/>
      <c r="EA32" s="15"/>
      <c r="EB32" s="60">
        <f t="shared" ref="EB32" si="56">IFERROR(EB3/$B32,0)</f>
        <v>1.4906192608956601E-11</v>
      </c>
      <c r="EC32" s="71">
        <f>IFERROR(up_RadSpec!$I$3*EC3,".")*$B$32</f>
        <v>137500</v>
      </c>
      <c r="ED32" s="71">
        <f>IFERROR(up_RadSpec!$F$3*ED3,".")*$B$32</f>
        <v>0</v>
      </c>
      <c r="EE32" s="71">
        <f>IFERROR(up_RadSpec!$M$3*EE3,".")*$B$32</f>
        <v>12.557077625570777</v>
      </c>
      <c r="EF32" s="71">
        <f>up_b2w!CC32</f>
        <v>3040731.3038114933</v>
      </c>
      <c r="EG32" s="71">
        <f>IFERROR(up_RadSpec!$H$3*EG3,".")*$B$32</f>
        <v>3781.25</v>
      </c>
      <c r="EH32" s="71">
        <f>IFERROR(up_RadSpec!$H$3*EH3,".")*$B$32</f>
        <v>3781.25</v>
      </c>
      <c r="EI32" s="71">
        <f>IFERROR(up_RadSpec!$H$3*EI3,".")*$B$32</f>
        <v>18906.25</v>
      </c>
      <c r="EJ32" s="71">
        <f>IFERROR(up_RadSpec!$H$3*EJ3,".")*$B$32</f>
        <v>18355.582524271846</v>
      </c>
      <c r="EK32" s="71">
        <f>IFERROR(up_RadSpec!$H$3*EK3,".")*$B$32</f>
        <v>18906.25</v>
      </c>
      <c r="EL32" s="71">
        <f>IFERROR(up_RadSpec!$H$3*EL3,".")*$B$32</f>
        <v>18906.25</v>
      </c>
      <c r="EM32" s="71">
        <f>IFERROR(up_RadSpec!$H$3*EM3,".")*$B$32</f>
        <v>18906.25</v>
      </c>
      <c r="EN32" s="71">
        <f>IFERROR(up_RadSpec!$H$3*EN3,".")*$B$32</f>
        <v>18906.25</v>
      </c>
      <c r="EO32" s="71">
        <f>IFERROR(up_RadSpec!$H$3*EO3,".")*$B$32</f>
        <v>18355.582524271846</v>
      </c>
      <c r="EP32" s="71">
        <f>IFERROR(up_RadSpec!$H$3*EP3,".")*$B$32</f>
        <v>18906.25</v>
      </c>
      <c r="EQ32" s="71">
        <f>IFERROR(up_RadSpec!$H$3*EQ3,".")*$B$32</f>
        <v>18355.582524271846</v>
      </c>
      <c r="ER32" s="49">
        <f t="shared" ref="ER32:FF44" si="57">IFERROR(IF(EC32&gt;0.01,1-EXP(-EC32),EC32),".")</f>
        <v>1</v>
      </c>
      <c r="ES32" s="49">
        <f t="shared" si="57"/>
        <v>0</v>
      </c>
      <c r="ET32" s="49">
        <f t="shared" si="57"/>
        <v>0.99999648009875997</v>
      </c>
      <c r="EU32" s="49">
        <f t="shared" si="57"/>
        <v>1</v>
      </c>
      <c r="EV32" s="49">
        <f t="shared" si="57"/>
        <v>1</v>
      </c>
      <c r="EW32" s="49">
        <f t="shared" si="57"/>
        <v>1</v>
      </c>
      <c r="EX32" s="49">
        <f t="shared" si="57"/>
        <v>1</v>
      </c>
      <c r="EY32" s="49">
        <f t="shared" si="57"/>
        <v>1</v>
      </c>
      <c r="EZ32" s="49">
        <f t="shared" si="57"/>
        <v>1</v>
      </c>
      <c r="FA32" s="49">
        <f t="shared" si="57"/>
        <v>1</v>
      </c>
      <c r="FB32" s="49">
        <f t="shared" si="57"/>
        <v>1</v>
      </c>
      <c r="FC32" s="49">
        <f t="shared" si="57"/>
        <v>1</v>
      </c>
      <c r="FD32" s="49">
        <f t="shared" si="57"/>
        <v>1</v>
      </c>
      <c r="FE32" s="49">
        <f t="shared" si="57"/>
        <v>1</v>
      </c>
      <c r="FF32" s="49">
        <f t="shared" si="57"/>
        <v>1</v>
      </c>
      <c r="FG32" s="49">
        <f t="shared" ref="FG32:FG44" si="58">IFERROR(IF(SUM(EC32:EQ32)&gt;0.01,1-EXP(-SUM(EC32:EQ32)),SUM(EC32:EQ32)),".")</f>
        <v>1</v>
      </c>
      <c r="FH32" s="60">
        <f>IFERROR(FH3/$B32,0)</f>
        <v>9.9740259740259755E-10</v>
      </c>
      <c r="FI32" s="60">
        <f>IFERROR(FI3/$B32,0)</f>
        <v>6.3709090909090908E-6</v>
      </c>
      <c r="FJ32" s="60">
        <f>IFERROR(FJ3/$B32,0)</f>
        <v>9.9724647271019672E-10</v>
      </c>
      <c r="FK32" s="71">
        <f>IFERROR(up_RadSpec!$F$3*FK3,".")*$B$32</f>
        <v>50130.208333333328</v>
      </c>
      <c r="FL32" s="71">
        <f>IFERROR(up_RadSpec!$K$3*FL3,".")*$B$32</f>
        <v>7.8481735159817356</v>
      </c>
      <c r="FM32" s="49">
        <f>IFERROR(IF(FK32&gt;0.01,1-EXP(-FK32),FK32),".")</f>
        <v>1</v>
      </c>
      <c r="FN32" s="49">
        <f>IFERROR(IF(FL32&gt;0.01,1-EXP(-FL32),FL32),".")</f>
        <v>0.99960953550549536</v>
      </c>
      <c r="FO32" s="49">
        <f>IFERROR(IF(SUM(FK32:FL32)&gt;0.01,1-EXP(-SUM(FK32:FL32)),SUM(FK32:FL32)),".")</f>
        <v>1</v>
      </c>
    </row>
    <row r="33" spans="1:171" x14ac:dyDescent="0.25">
      <c r="A33" s="83" t="s">
        <v>1075</v>
      </c>
      <c r="B33" s="42">
        <v>1</v>
      </c>
      <c r="C33" s="42"/>
      <c r="D33" s="60">
        <f t="shared" ref="D33:O34" si="59">IFERROR(D13/$B33,0)</f>
        <v>1.6528925619834712E-11</v>
      </c>
      <c r="E33" s="60">
        <f t="shared" si="59"/>
        <v>6.6115702479338848E-11</v>
      </c>
      <c r="F33" s="60">
        <f t="shared" si="59"/>
        <v>6.6115702479338848E-11</v>
      </c>
      <c r="G33" s="60">
        <f t="shared" si="59"/>
        <v>6.6115702479338848E-11</v>
      </c>
      <c r="H33" s="60">
        <f t="shared" si="59"/>
        <v>6.6115702479338848E-11</v>
      </c>
      <c r="I33" s="60">
        <f t="shared" si="59"/>
        <v>6.6115702479338848E-11</v>
      </c>
      <c r="J33" s="60">
        <f t="shared" si="59"/>
        <v>6.6115702479338848E-11</v>
      </c>
      <c r="K33" s="60">
        <f t="shared" si="59"/>
        <v>6.6115702479338848E-11</v>
      </c>
      <c r="L33" s="60">
        <f t="shared" si="59"/>
        <v>6.6115702479338848E-11</v>
      </c>
      <c r="M33" s="60">
        <f t="shared" si="59"/>
        <v>6.6115702479338848E-11</v>
      </c>
      <c r="N33" s="60">
        <f t="shared" si="59"/>
        <v>6.6115702479338848E-11</v>
      </c>
      <c r="O33" s="60">
        <f t="shared" si="59"/>
        <v>6.6115702479338848E-11</v>
      </c>
      <c r="P33" s="71">
        <f>up_dir!BC33</f>
        <v>3025000</v>
      </c>
      <c r="Q33" s="71">
        <f>IFERROR(up_RadSpec!$H$13*Q13,".")*$B$33</f>
        <v>756250</v>
      </c>
      <c r="R33" s="71">
        <f>IFERROR(up_RadSpec!$H$13*R13,".")*$B$33</f>
        <v>756250</v>
      </c>
      <c r="S33" s="71">
        <f>IFERROR(up_RadSpec!$H$13*S13,".")*$B$33</f>
        <v>756250</v>
      </c>
      <c r="T33" s="71">
        <f>IFERROR(up_RadSpec!$H$13*T13,".")*$B$33</f>
        <v>756250</v>
      </c>
      <c r="U33" s="71">
        <f>IFERROR(up_RadSpec!$H$13*U13,".")*$B$33</f>
        <v>756250</v>
      </c>
      <c r="V33" s="71">
        <f>IFERROR(up_RadSpec!$H$13*V13,".")*$B$33</f>
        <v>756250</v>
      </c>
      <c r="W33" s="71">
        <f>IFERROR(up_RadSpec!$H$13*W13,".")*$B$33</f>
        <v>756250</v>
      </c>
      <c r="X33" s="71">
        <f>IFERROR(up_RadSpec!$H$13*X13,".")*$B$33</f>
        <v>756250</v>
      </c>
      <c r="Y33" s="71">
        <f>IFERROR(up_RadSpec!$H$13*Y13,".")*$B$33</f>
        <v>756250</v>
      </c>
      <c r="Z33" s="71">
        <f>IFERROR(up_RadSpec!$H$13*Z13,".")*$B$33</f>
        <v>756250</v>
      </c>
      <c r="AA33" s="71">
        <f>IFERROR(up_RadSpec!$H$13*AA13,".")*$B$33</f>
        <v>756250</v>
      </c>
      <c r="AB33" s="49">
        <f t="shared" si="48"/>
        <v>1</v>
      </c>
      <c r="AC33" s="49">
        <f t="shared" si="48"/>
        <v>1</v>
      </c>
      <c r="AD33" s="49">
        <f t="shared" si="48"/>
        <v>1</v>
      </c>
      <c r="AE33" s="49">
        <f t="shared" si="48"/>
        <v>1</v>
      </c>
      <c r="AF33" s="49">
        <f t="shared" si="48"/>
        <v>1</v>
      </c>
      <c r="AG33" s="49">
        <f t="shared" ref="AG33:AG44" si="60">IFERROR(IF(U33&gt;0.01,1-EXP(-U33),U33),".")</f>
        <v>1</v>
      </c>
      <c r="AH33" s="49">
        <f t="shared" ref="AH33:AH44" si="61">IFERROR(IF(V33&gt;0.01,1-EXP(-V33),V33),".")</f>
        <v>1</v>
      </c>
      <c r="AI33" s="49">
        <f t="shared" ref="AI33:AI44" si="62">IFERROR(IF(W33&gt;0.01,1-EXP(-W33),W33),".")</f>
        <v>1</v>
      </c>
      <c r="AJ33" s="49">
        <f t="shared" ref="AJ33:AJ44" si="63">IFERROR(IF(X33&gt;0.01,1-EXP(-X33),X33),".")</f>
        <v>1</v>
      </c>
      <c r="AK33" s="49">
        <f t="shared" ref="AK33:AK44" si="64">IFERROR(IF(Y33&gt;0.01,1-EXP(-Y33),Y33),".")</f>
        <v>1</v>
      </c>
      <c r="AL33" s="49">
        <f t="shared" ref="AL33:AL44" si="65">IFERROR(IF(Z33&gt;0.01,1-EXP(-Z33),Z33),".")</f>
        <v>1</v>
      </c>
      <c r="AM33" s="49">
        <f t="shared" ref="AM33:AM44" si="66">IFERROR(IF(AA33&gt;0.01,1-EXP(-AA33),AA33),".")</f>
        <v>1</v>
      </c>
      <c r="AN33" s="60">
        <f t="shared" ref="AN33:BB33" si="67">IFERROR(AN13/$B33,0)</f>
        <v>3.3057851239669421E-8</v>
      </c>
      <c r="AO33" s="60">
        <f t="shared" si="67"/>
        <v>3.0899917851942918E-4</v>
      </c>
      <c r="AP33" s="60">
        <f t="shared" si="67"/>
        <v>2.2829424185356407E-4</v>
      </c>
      <c r="AQ33" s="60">
        <f t="shared" si="67"/>
        <v>3.2968835384132272E-12</v>
      </c>
      <c r="AR33" s="60">
        <f t="shared" si="67"/>
        <v>6.6115702479338848E-11</v>
      </c>
      <c r="AS33" s="60">
        <f t="shared" si="67"/>
        <v>6.6115702479338848E-11</v>
      </c>
      <c r="AT33" s="60">
        <f t="shared" si="67"/>
        <v>1.8558793678410904E-14</v>
      </c>
      <c r="AU33" s="60">
        <f t="shared" si="67"/>
        <v>1.9115557488763232E-14</v>
      </c>
      <c r="AV33" s="60">
        <f t="shared" si="67"/>
        <v>1.8558793678410904E-14</v>
      </c>
      <c r="AW33" s="60">
        <f t="shared" si="67"/>
        <v>1.8558793678410904E-14</v>
      </c>
      <c r="AX33" s="60">
        <f t="shared" si="67"/>
        <v>1.8558793678410904E-14</v>
      </c>
      <c r="AY33" s="60">
        <f t="shared" si="67"/>
        <v>1.8558793678410904E-14</v>
      </c>
      <c r="AZ33" s="60">
        <f t="shared" si="67"/>
        <v>1.9115557488763232E-14</v>
      </c>
      <c r="BA33" s="60">
        <f t="shared" si="67"/>
        <v>1.8558793678410904E-14</v>
      </c>
      <c r="BB33" s="60">
        <f t="shared" si="67"/>
        <v>1.9115557488763232E-14</v>
      </c>
      <c r="BC33" s="42"/>
      <c r="BD33" s="42"/>
      <c r="BE33" s="42"/>
      <c r="BF33" s="42"/>
      <c r="BG33" s="42"/>
      <c r="BH33" s="42"/>
      <c r="BI33" s="42"/>
      <c r="BJ33" s="42"/>
      <c r="BK33" s="42"/>
      <c r="BL33" s="42"/>
      <c r="BM33" s="42"/>
      <c r="BN33" s="42"/>
      <c r="BO33" s="42"/>
      <c r="BP33" s="42"/>
      <c r="BQ33" s="42"/>
      <c r="BR33" s="60">
        <f t="shared" ref="BR33" si="68">IFERROR(BR13/$B33,0)</f>
        <v>2.0808592671385946E-15</v>
      </c>
      <c r="BS33" s="71">
        <f>IFERROR(up_RadSpec!$E$13*BS13,".")*$B$33</f>
        <v>1512.5</v>
      </c>
      <c r="BT33" s="71">
        <f>IFERROR(up_RadSpec!$F$13*BT13,".")*$B$33</f>
        <v>0.16181272791589676</v>
      </c>
      <c r="BU33" s="71">
        <f>IFERROR(up_RadSpec!$G$13*BU13,".")*$B$33</f>
        <v>0.21901559844015583</v>
      </c>
      <c r="BV33" s="71">
        <f>up_b2s!CC33</f>
        <v>15165837.5</v>
      </c>
      <c r="BW33" s="71">
        <f>IFERROR(up_RadSpec!$H$13*BW13,".")*$B$33</f>
        <v>756250</v>
      </c>
      <c r="BX33" s="71">
        <f>IFERROR(up_RadSpec!$H$13*BX13,".")*$B$33</f>
        <v>756250</v>
      </c>
      <c r="BY33" s="71">
        <f>IFERROR(up_RadSpec!$H$13*BY13,".")*$B$33</f>
        <v>2694140625</v>
      </c>
      <c r="BZ33" s="71">
        <f>IFERROR(up_RadSpec!$H$13*BZ13,".")*$B$33</f>
        <v>2615670509.7087379</v>
      </c>
      <c r="CA33" s="71">
        <f>IFERROR(up_RadSpec!$H$13*CA13,".")*$B$33</f>
        <v>2694140625</v>
      </c>
      <c r="CB33" s="71">
        <f>IFERROR(up_RadSpec!$H$13*CB13,".")*$B$33</f>
        <v>2694140625</v>
      </c>
      <c r="CC33" s="71">
        <f>IFERROR(up_RadSpec!$H$13*CC13,".")*$B$33</f>
        <v>2694140625</v>
      </c>
      <c r="CD33" s="71">
        <f>IFERROR(up_RadSpec!$H$13*CD13,".")*$B$33</f>
        <v>2694140625</v>
      </c>
      <c r="CE33" s="71">
        <f>IFERROR(up_RadSpec!$H$13*CE13,".")*$B$33</f>
        <v>2615670509.7087379</v>
      </c>
      <c r="CF33" s="71">
        <f>IFERROR(up_RadSpec!$H$13*CF13,".")*$B$33</f>
        <v>2694140625</v>
      </c>
      <c r="CG33" s="71">
        <f>IFERROR(up_RadSpec!$H$13*CG13,".")*$B$33</f>
        <v>2615670509.7087379</v>
      </c>
      <c r="CH33" s="49">
        <f t="shared" si="52"/>
        <v>1</v>
      </c>
      <c r="CI33" s="49">
        <f t="shared" si="52"/>
        <v>0.14939951664921358</v>
      </c>
      <c r="CJ33" s="49">
        <f t="shared" si="52"/>
        <v>0.19669081231439189</v>
      </c>
      <c r="CK33" s="49">
        <f t="shared" si="52"/>
        <v>1</v>
      </c>
      <c r="CL33" s="49">
        <f t="shared" si="52"/>
        <v>1</v>
      </c>
      <c r="CM33" s="49">
        <f t="shared" si="52"/>
        <v>1</v>
      </c>
      <c r="CN33" s="49">
        <f t="shared" si="52"/>
        <v>1</v>
      </c>
      <c r="CO33" s="49">
        <f t="shared" si="52"/>
        <v>1</v>
      </c>
      <c r="CP33" s="49">
        <f t="shared" si="52"/>
        <v>1</v>
      </c>
      <c r="CQ33" s="49">
        <f t="shared" si="52"/>
        <v>1</v>
      </c>
      <c r="CR33" s="49">
        <f t="shared" si="52"/>
        <v>1</v>
      </c>
      <c r="CS33" s="49">
        <f t="shared" si="52"/>
        <v>1</v>
      </c>
      <c r="CT33" s="49">
        <f t="shared" si="52"/>
        <v>1</v>
      </c>
      <c r="CU33" s="49">
        <f t="shared" si="52"/>
        <v>1</v>
      </c>
      <c r="CV33" s="49">
        <f t="shared" si="52"/>
        <v>1</v>
      </c>
      <c r="CW33" s="49">
        <f t="shared" si="53"/>
        <v>1</v>
      </c>
      <c r="CX33" s="60">
        <f t="shared" ref="CX33:CX34" si="69">IFERROR(CX13/$B33,0)</f>
        <v>3.6363636363636369E-10</v>
      </c>
      <c r="CY33" s="60" t="str">
        <f>IFERROR(CY13,".")</f>
        <v>.</v>
      </c>
      <c r="CZ33" s="60">
        <f t="shared" ref="CZ33:DL34" si="70">IFERROR(CZ13/$B33,0)</f>
        <v>3.9818181818181825E-6</v>
      </c>
      <c r="DA33" s="60">
        <f t="shared" si="70"/>
        <v>1.6443412786038031E-11</v>
      </c>
      <c r="DB33" s="60">
        <f t="shared" si="70"/>
        <v>1.322314049586777E-8</v>
      </c>
      <c r="DC33" s="60">
        <f t="shared" si="70"/>
        <v>1.322314049586777E-8</v>
      </c>
      <c r="DD33" s="60">
        <f t="shared" si="70"/>
        <v>2.6446280991735539E-9</v>
      </c>
      <c r="DE33" s="60">
        <f t="shared" si="70"/>
        <v>2.7239669421487605E-9</v>
      </c>
      <c r="DF33" s="60">
        <f t="shared" si="70"/>
        <v>2.6446280991735539E-9</v>
      </c>
      <c r="DG33" s="60">
        <f t="shared" si="70"/>
        <v>2.6446280991735539E-9</v>
      </c>
      <c r="DH33" s="60">
        <f t="shared" si="70"/>
        <v>2.6446280991735539E-9</v>
      </c>
      <c r="DI33" s="60">
        <f t="shared" si="70"/>
        <v>2.6446280991735539E-9</v>
      </c>
      <c r="DJ33" s="60">
        <f t="shared" si="70"/>
        <v>2.7239669421487605E-9</v>
      </c>
      <c r="DK33" s="60">
        <f t="shared" si="70"/>
        <v>2.6446280991735539E-9</v>
      </c>
      <c r="DL33" s="60">
        <f t="shared" si="70"/>
        <v>2.7239669421487605E-9</v>
      </c>
      <c r="DM33" s="15"/>
      <c r="DN33" s="15"/>
      <c r="DO33" s="15"/>
      <c r="DP33" s="15"/>
      <c r="DQ33" s="15"/>
      <c r="DR33" s="15"/>
      <c r="DS33" s="15"/>
      <c r="DT33" s="15"/>
      <c r="DU33" s="15"/>
      <c r="DV33" s="15"/>
      <c r="DW33" s="15"/>
      <c r="DX33" s="15"/>
      <c r="DY33" s="15"/>
      <c r="DZ33" s="15"/>
      <c r="EA33" s="15"/>
      <c r="EB33" s="60">
        <f t="shared" ref="EB33" si="71">IFERROR(EB13/$B33,0)</f>
        <v>1.4906192608956601E-11</v>
      </c>
      <c r="EC33" s="71">
        <f>IFERROR(up_RadSpec!$I$13*EC13,".")*$B$33</f>
        <v>137500</v>
      </c>
      <c r="ED33" s="71">
        <f>IFERROR(up_RadSpec!$F$13*ED13,".")*$B$33</f>
        <v>0</v>
      </c>
      <c r="EE33" s="71">
        <f>IFERROR(up_RadSpec!$M$13*EE13,".")*$B$33</f>
        <v>12.557077625570777</v>
      </c>
      <c r="EF33" s="71">
        <f>up_b2w!CC33</f>
        <v>3040731.3038114933</v>
      </c>
      <c r="EG33" s="71">
        <f>IFERROR(up_RadSpec!$H$13*EG13,".")*$B$33</f>
        <v>3781.25</v>
      </c>
      <c r="EH33" s="71">
        <f>IFERROR(up_RadSpec!$H$13*EH13,".")*$B$33</f>
        <v>3781.25</v>
      </c>
      <c r="EI33" s="71">
        <f>IFERROR(up_RadSpec!$H$13*EI13,".")*$B$33</f>
        <v>18906.25</v>
      </c>
      <c r="EJ33" s="71">
        <f>IFERROR(up_RadSpec!$H$13*EJ13,".")*$B$33</f>
        <v>18355.582524271846</v>
      </c>
      <c r="EK33" s="71">
        <f>IFERROR(up_RadSpec!$H$13*EK13,".")*$B$33</f>
        <v>18906.25</v>
      </c>
      <c r="EL33" s="71">
        <f>IFERROR(up_RadSpec!$H$13*EL13,".")*$B$33</f>
        <v>18906.25</v>
      </c>
      <c r="EM33" s="71">
        <f>IFERROR(up_RadSpec!$H$13*EM13,".")*$B$33</f>
        <v>18906.25</v>
      </c>
      <c r="EN33" s="71">
        <f>IFERROR(up_RadSpec!$H$13*EN13,".")*$B$33</f>
        <v>18906.25</v>
      </c>
      <c r="EO33" s="71">
        <f>IFERROR(up_RadSpec!$H$13*EO13,".")*$B$33</f>
        <v>18355.582524271846</v>
      </c>
      <c r="EP33" s="71">
        <f>IFERROR(up_RadSpec!$H$13*EP13,".")*$B$33</f>
        <v>18906.25</v>
      </c>
      <c r="EQ33" s="71">
        <f>IFERROR(up_RadSpec!$H$13*EQ13,".")*$B$33</f>
        <v>18355.582524271846</v>
      </c>
      <c r="ER33" s="49">
        <f t="shared" si="57"/>
        <v>1</v>
      </c>
      <c r="ES33" s="49">
        <f t="shared" si="57"/>
        <v>0</v>
      </c>
      <c r="ET33" s="49">
        <f t="shared" si="57"/>
        <v>0.99999648009875997</v>
      </c>
      <c r="EU33" s="49">
        <f t="shared" si="57"/>
        <v>1</v>
      </c>
      <c r="EV33" s="49">
        <f t="shared" si="57"/>
        <v>1</v>
      </c>
      <c r="EW33" s="49">
        <f t="shared" si="57"/>
        <v>1</v>
      </c>
      <c r="EX33" s="49">
        <f t="shared" si="57"/>
        <v>1</v>
      </c>
      <c r="EY33" s="49">
        <f t="shared" si="57"/>
        <v>1</v>
      </c>
      <c r="EZ33" s="49">
        <f t="shared" si="57"/>
        <v>1</v>
      </c>
      <c r="FA33" s="49">
        <f t="shared" si="57"/>
        <v>1</v>
      </c>
      <c r="FB33" s="49">
        <f t="shared" si="57"/>
        <v>1</v>
      </c>
      <c r="FC33" s="49">
        <f t="shared" si="57"/>
        <v>1</v>
      </c>
      <c r="FD33" s="49">
        <f t="shared" si="57"/>
        <v>1</v>
      </c>
      <c r="FE33" s="49">
        <f t="shared" si="57"/>
        <v>1</v>
      </c>
      <c r="FF33" s="49">
        <f t="shared" si="57"/>
        <v>1</v>
      </c>
      <c r="FG33" s="49">
        <f t="shared" si="58"/>
        <v>1</v>
      </c>
      <c r="FH33" s="60">
        <f t="shared" ref="FH33:FJ34" si="72">IFERROR(FH13/$B33,0)</f>
        <v>9.9740259740259755E-10</v>
      </c>
      <c r="FI33" s="60">
        <f t="shared" si="72"/>
        <v>6.3709090909090908E-6</v>
      </c>
      <c r="FJ33" s="60">
        <f t="shared" si="72"/>
        <v>9.9724647271019672E-10</v>
      </c>
      <c r="FK33" s="71">
        <f>IFERROR(up_RadSpec!$F$13*FK13,".")*$B$33</f>
        <v>50130.208333333328</v>
      </c>
      <c r="FL33" s="71">
        <f>IFERROR(up_RadSpec!$K$13*FL13,".")*$B$33</f>
        <v>7.8481735159817356</v>
      </c>
      <c r="FM33" s="49">
        <f t="shared" ref="FM33:FN44" si="73">IFERROR(IF(FK33&gt;0.01,1-EXP(-FK33),FK33),".")</f>
        <v>1</v>
      </c>
      <c r="FN33" s="49">
        <f t="shared" si="73"/>
        <v>0.99960953550549536</v>
      </c>
      <c r="FO33" s="49">
        <f t="shared" ref="FO33:FO44" si="74">IFERROR(IF(SUM(FK33:FL33)&gt;0.01,1-EXP(-SUM(FK33:FL33)),SUM(FK33:FL33)),".")</f>
        <v>1</v>
      </c>
    </row>
    <row r="34" spans="1:171" x14ac:dyDescent="0.25">
      <c r="A34" s="83" t="s">
        <v>1076</v>
      </c>
      <c r="B34" s="42">
        <v>1</v>
      </c>
      <c r="C34" s="42"/>
      <c r="D34" s="60">
        <f t="shared" si="59"/>
        <v>1.6528925619834712E-11</v>
      </c>
      <c r="E34" s="60">
        <f t="shared" si="59"/>
        <v>6.6115702479338848E-11</v>
      </c>
      <c r="F34" s="60">
        <f t="shared" si="59"/>
        <v>6.6115702479338848E-11</v>
      </c>
      <c r="G34" s="60">
        <f t="shared" si="59"/>
        <v>6.6115702479338848E-11</v>
      </c>
      <c r="H34" s="60">
        <f t="shared" si="59"/>
        <v>6.6115702479338848E-11</v>
      </c>
      <c r="I34" s="60">
        <f t="shared" si="59"/>
        <v>6.6115702479338848E-11</v>
      </c>
      <c r="J34" s="60">
        <f t="shared" si="59"/>
        <v>6.6115702479338848E-11</v>
      </c>
      <c r="K34" s="60">
        <f t="shared" si="59"/>
        <v>6.6115702479338848E-11</v>
      </c>
      <c r="L34" s="60">
        <f t="shared" si="59"/>
        <v>6.6115702479338848E-11</v>
      </c>
      <c r="M34" s="60">
        <f t="shared" si="59"/>
        <v>6.6115702479338848E-11</v>
      </c>
      <c r="N34" s="60">
        <f t="shared" si="59"/>
        <v>6.6115702479338848E-11</v>
      </c>
      <c r="O34" s="60">
        <f t="shared" si="59"/>
        <v>6.6115702479338848E-11</v>
      </c>
      <c r="P34" s="71">
        <f>up_dir!BC34</f>
        <v>3025000</v>
      </c>
      <c r="Q34" s="71">
        <f>IFERROR(up_RadSpec!$H$14*Q14,".")*$B$34</f>
        <v>756250</v>
      </c>
      <c r="R34" s="71">
        <f>IFERROR(up_RadSpec!$H$14*R14,".")*$B$34</f>
        <v>756250</v>
      </c>
      <c r="S34" s="71">
        <f>IFERROR(up_RadSpec!$H$14*S14,".")*$B$34</f>
        <v>756250</v>
      </c>
      <c r="T34" s="71">
        <f>IFERROR(up_RadSpec!$H$14*T14,".")*$B$34</f>
        <v>756250</v>
      </c>
      <c r="U34" s="71">
        <f>IFERROR(up_RadSpec!$H$14*U14,".")*$B$34</f>
        <v>756250</v>
      </c>
      <c r="V34" s="71">
        <f>IFERROR(up_RadSpec!$H$14*V14,".")*$B$34</f>
        <v>756250</v>
      </c>
      <c r="W34" s="71">
        <f>IFERROR(up_RadSpec!$H$14*W14,".")*$B$34</f>
        <v>756250</v>
      </c>
      <c r="X34" s="71">
        <f>IFERROR(up_RadSpec!$H$14*X14,".")*$B$34</f>
        <v>756250</v>
      </c>
      <c r="Y34" s="71">
        <f>IFERROR(up_RadSpec!$H$14*Y14,".")*$B$34</f>
        <v>756250</v>
      </c>
      <c r="Z34" s="71">
        <f>IFERROR(up_RadSpec!$H$14*Z14,".")*$B$34</f>
        <v>756250</v>
      </c>
      <c r="AA34" s="71">
        <f>IFERROR(up_RadSpec!$H$14*AA14,".")*$B$34</f>
        <v>756250</v>
      </c>
      <c r="AB34" s="49">
        <f t="shared" si="48"/>
        <v>1</v>
      </c>
      <c r="AC34" s="49">
        <f t="shared" si="48"/>
        <v>1</v>
      </c>
      <c r="AD34" s="49">
        <f t="shared" si="48"/>
        <v>1</v>
      </c>
      <c r="AE34" s="49">
        <f t="shared" si="48"/>
        <v>1</v>
      </c>
      <c r="AF34" s="49">
        <f t="shared" si="48"/>
        <v>1</v>
      </c>
      <c r="AG34" s="49">
        <f t="shared" si="60"/>
        <v>1</v>
      </c>
      <c r="AH34" s="49">
        <f t="shared" si="61"/>
        <v>1</v>
      </c>
      <c r="AI34" s="49">
        <f t="shared" si="62"/>
        <v>1</v>
      </c>
      <c r="AJ34" s="49">
        <f t="shared" si="63"/>
        <v>1</v>
      </c>
      <c r="AK34" s="49">
        <f t="shared" si="64"/>
        <v>1</v>
      </c>
      <c r="AL34" s="49">
        <f t="shared" si="65"/>
        <v>1</v>
      </c>
      <c r="AM34" s="49">
        <f t="shared" si="66"/>
        <v>1</v>
      </c>
      <c r="AN34" s="60">
        <f t="shared" ref="AN34:BB34" si="75">IFERROR(AN14/$B34,0)</f>
        <v>3.3057851239669421E-8</v>
      </c>
      <c r="AO34" s="60">
        <f t="shared" si="75"/>
        <v>3.0899917851942918E-4</v>
      </c>
      <c r="AP34" s="60">
        <f t="shared" si="75"/>
        <v>3.4270908097811115E-5</v>
      </c>
      <c r="AQ34" s="60">
        <f t="shared" si="75"/>
        <v>3.2968835384132272E-12</v>
      </c>
      <c r="AR34" s="60">
        <f t="shared" si="75"/>
        <v>6.6115702479338848E-11</v>
      </c>
      <c r="AS34" s="60">
        <f t="shared" si="75"/>
        <v>6.6115702479338848E-11</v>
      </c>
      <c r="AT34" s="60">
        <f t="shared" si="75"/>
        <v>1.8558793678410904E-14</v>
      </c>
      <c r="AU34" s="60">
        <f t="shared" si="75"/>
        <v>1.9115557488763232E-14</v>
      </c>
      <c r="AV34" s="60">
        <f t="shared" si="75"/>
        <v>1.8558793678410904E-14</v>
      </c>
      <c r="AW34" s="60">
        <f t="shared" si="75"/>
        <v>1.8558793678410904E-14</v>
      </c>
      <c r="AX34" s="60">
        <f t="shared" si="75"/>
        <v>1.8558793678410904E-14</v>
      </c>
      <c r="AY34" s="60">
        <f t="shared" si="75"/>
        <v>1.8558793678410904E-14</v>
      </c>
      <c r="AZ34" s="60">
        <f t="shared" si="75"/>
        <v>1.9115557488763232E-14</v>
      </c>
      <c r="BA34" s="60">
        <f t="shared" si="75"/>
        <v>1.8558793678410904E-14</v>
      </c>
      <c r="BB34" s="60">
        <f t="shared" si="75"/>
        <v>1.9115557488763232E-14</v>
      </c>
      <c r="BC34" s="42"/>
      <c r="BD34" s="42"/>
      <c r="BE34" s="42"/>
      <c r="BF34" s="42"/>
      <c r="BG34" s="42"/>
      <c r="BH34" s="42"/>
      <c r="BI34" s="42"/>
      <c r="BJ34" s="42"/>
      <c r="BK34" s="42"/>
      <c r="BL34" s="42"/>
      <c r="BM34" s="42"/>
      <c r="BN34" s="42"/>
      <c r="BO34" s="42"/>
      <c r="BP34" s="42"/>
      <c r="BQ34" s="42"/>
      <c r="BR34" s="60">
        <f t="shared" ref="BR34" si="76">IFERROR(BR14/$B34,0)</f>
        <v>2.080859267031216E-15</v>
      </c>
      <c r="BS34" s="71">
        <f>IFERROR(up_RadSpec!$E$14*BS14,".")*$B$34</f>
        <v>1512.5</v>
      </c>
      <c r="BT34" s="71">
        <f>IFERROR(up_RadSpec!$F$14*BT14,".")*$B$34</f>
        <v>0.16181272791589676</v>
      </c>
      <c r="BU34" s="71">
        <f>IFERROR(up_RadSpec!$G$14*BU14,".")*$B$34</f>
        <v>1.4589633825079034</v>
      </c>
      <c r="BV34" s="71">
        <f>up_b2s!CC34</f>
        <v>15165837.5</v>
      </c>
      <c r="BW34" s="71">
        <f>IFERROR(up_RadSpec!$H$14*BW14,".")*$B$34</f>
        <v>756250</v>
      </c>
      <c r="BX34" s="71">
        <f>IFERROR(up_RadSpec!$H$14*BX14,".")*$B$34</f>
        <v>756250</v>
      </c>
      <c r="BY34" s="71">
        <f>IFERROR(up_RadSpec!$H$14*BY14,".")*$B$34</f>
        <v>2694140625</v>
      </c>
      <c r="BZ34" s="71">
        <f>IFERROR(up_RadSpec!$H$14*BZ14,".")*$B$34</f>
        <v>2615670509.7087379</v>
      </c>
      <c r="CA34" s="71">
        <f>IFERROR(up_RadSpec!$H$14*CA14,".")*$B$34</f>
        <v>2694140625</v>
      </c>
      <c r="CB34" s="71">
        <f>IFERROR(up_RadSpec!$H$14*CB14,".")*$B$34</f>
        <v>2694140625</v>
      </c>
      <c r="CC34" s="71">
        <f>IFERROR(up_RadSpec!$H$14*CC14,".")*$B$34</f>
        <v>2694140625</v>
      </c>
      <c r="CD34" s="71">
        <f>IFERROR(up_RadSpec!$H$14*CD14,".")*$B$34</f>
        <v>2694140625</v>
      </c>
      <c r="CE34" s="71">
        <f>IFERROR(up_RadSpec!$H$14*CE14,".")*$B$34</f>
        <v>2615670509.7087379</v>
      </c>
      <c r="CF34" s="71">
        <f>IFERROR(up_RadSpec!$H$14*CF14,".")*$B$34</f>
        <v>2694140625</v>
      </c>
      <c r="CG34" s="71">
        <f>IFERROR(up_RadSpec!$H$14*CG14,".")*$B$34</f>
        <v>2615670509.7087379</v>
      </c>
      <c r="CH34" s="49">
        <f t="shared" si="52"/>
        <v>1</v>
      </c>
      <c r="CI34" s="49">
        <f t="shared" si="52"/>
        <v>0.14939951664921358</v>
      </c>
      <c r="CJ34" s="49">
        <f t="shared" si="52"/>
        <v>0.76752286026468697</v>
      </c>
      <c r="CK34" s="49">
        <f t="shared" si="52"/>
        <v>1</v>
      </c>
      <c r="CL34" s="49">
        <f t="shared" si="52"/>
        <v>1</v>
      </c>
      <c r="CM34" s="49">
        <f t="shared" si="52"/>
        <v>1</v>
      </c>
      <c r="CN34" s="49">
        <f t="shared" si="52"/>
        <v>1</v>
      </c>
      <c r="CO34" s="49">
        <f t="shared" si="52"/>
        <v>1</v>
      </c>
      <c r="CP34" s="49">
        <f t="shared" si="52"/>
        <v>1</v>
      </c>
      <c r="CQ34" s="49">
        <f t="shared" si="52"/>
        <v>1</v>
      </c>
      <c r="CR34" s="49">
        <f t="shared" si="52"/>
        <v>1</v>
      </c>
      <c r="CS34" s="49">
        <f t="shared" si="52"/>
        <v>1</v>
      </c>
      <c r="CT34" s="49">
        <f t="shared" si="52"/>
        <v>1</v>
      </c>
      <c r="CU34" s="49">
        <f t="shared" si="52"/>
        <v>1</v>
      </c>
      <c r="CV34" s="49">
        <f t="shared" si="52"/>
        <v>1</v>
      </c>
      <c r="CW34" s="49">
        <f t="shared" si="53"/>
        <v>1</v>
      </c>
      <c r="CX34" s="60">
        <f t="shared" si="69"/>
        <v>3.6363636363636369E-10</v>
      </c>
      <c r="CY34" s="60" t="str">
        <f>IFERROR(CY14,".")</f>
        <v>.</v>
      </c>
      <c r="CZ34" s="60">
        <f t="shared" si="70"/>
        <v>3.9818181818181825E-6</v>
      </c>
      <c r="DA34" s="60">
        <f t="shared" si="70"/>
        <v>1.6443412786038031E-11</v>
      </c>
      <c r="DB34" s="60">
        <f t="shared" si="70"/>
        <v>1.322314049586777E-8</v>
      </c>
      <c r="DC34" s="60">
        <f t="shared" si="70"/>
        <v>1.322314049586777E-8</v>
      </c>
      <c r="DD34" s="60">
        <f t="shared" si="70"/>
        <v>2.6446280991735539E-9</v>
      </c>
      <c r="DE34" s="60">
        <f t="shared" si="70"/>
        <v>2.7239669421487605E-9</v>
      </c>
      <c r="DF34" s="60">
        <f t="shared" si="70"/>
        <v>2.6446280991735539E-9</v>
      </c>
      <c r="DG34" s="60">
        <f t="shared" si="70"/>
        <v>2.6446280991735539E-9</v>
      </c>
      <c r="DH34" s="60">
        <f t="shared" si="70"/>
        <v>2.6446280991735539E-9</v>
      </c>
      <c r="DI34" s="60">
        <f t="shared" si="70"/>
        <v>2.6446280991735539E-9</v>
      </c>
      <c r="DJ34" s="60">
        <f t="shared" si="70"/>
        <v>2.7239669421487605E-9</v>
      </c>
      <c r="DK34" s="60">
        <f t="shared" si="70"/>
        <v>2.6446280991735539E-9</v>
      </c>
      <c r="DL34" s="60">
        <f t="shared" si="70"/>
        <v>2.7239669421487605E-9</v>
      </c>
      <c r="DM34" s="15"/>
      <c r="DN34" s="15"/>
      <c r="DO34" s="15"/>
      <c r="DP34" s="15"/>
      <c r="DQ34" s="15"/>
      <c r="DR34" s="15"/>
      <c r="DS34" s="15"/>
      <c r="DT34" s="15"/>
      <c r="DU34" s="15"/>
      <c r="DV34" s="15"/>
      <c r="DW34" s="15"/>
      <c r="DX34" s="15"/>
      <c r="DY34" s="15"/>
      <c r="DZ34" s="15"/>
      <c r="EA34" s="15"/>
      <c r="EB34" s="60">
        <f t="shared" ref="EB34" si="77">IFERROR(EB14/$B34,0)</f>
        <v>1.4906192608956601E-11</v>
      </c>
      <c r="EC34" s="71">
        <f>IFERROR(up_RadSpec!$I$14*EC14,".")*$B$34</f>
        <v>137500</v>
      </c>
      <c r="ED34" s="71">
        <f>IFERROR(up_RadSpec!$F$14*ED14,".")*$B$34</f>
        <v>0</v>
      </c>
      <c r="EE34" s="71">
        <f>IFERROR(up_RadSpec!$M$14*EE14,".")*$B$34</f>
        <v>12.557077625570777</v>
      </c>
      <c r="EF34" s="71">
        <f>up_b2w!CC34</f>
        <v>3040731.3038114933</v>
      </c>
      <c r="EG34" s="71">
        <f>IFERROR(up_RadSpec!$H$14*EG14,".")*$B$34</f>
        <v>3781.25</v>
      </c>
      <c r="EH34" s="71">
        <f>IFERROR(up_RadSpec!$H$14*EH14,".")*$B$34</f>
        <v>3781.25</v>
      </c>
      <c r="EI34" s="71">
        <f>IFERROR(up_RadSpec!$H$14*EI14,".")*$B$34</f>
        <v>18906.25</v>
      </c>
      <c r="EJ34" s="71">
        <f>IFERROR(up_RadSpec!$H$14*EJ14,".")*$B$34</f>
        <v>18355.582524271846</v>
      </c>
      <c r="EK34" s="71">
        <f>IFERROR(up_RadSpec!$H$14*EK14,".")*$B$34</f>
        <v>18906.25</v>
      </c>
      <c r="EL34" s="71">
        <f>IFERROR(up_RadSpec!$H$14*EL14,".")*$B$34</f>
        <v>18906.25</v>
      </c>
      <c r="EM34" s="71">
        <f>IFERROR(up_RadSpec!$H$14*EM14,".")*$B$34</f>
        <v>18906.25</v>
      </c>
      <c r="EN34" s="71">
        <f>IFERROR(up_RadSpec!$H$14*EN14,".")*$B$34</f>
        <v>18906.25</v>
      </c>
      <c r="EO34" s="71">
        <f>IFERROR(up_RadSpec!$H$14*EO14,".")*$B$34</f>
        <v>18355.582524271846</v>
      </c>
      <c r="EP34" s="71">
        <f>IFERROR(up_RadSpec!$H$14*EP14,".")*$B$34</f>
        <v>18906.25</v>
      </c>
      <c r="EQ34" s="71">
        <f>IFERROR(up_RadSpec!$H$14*EQ14,".")*$B$34</f>
        <v>18355.582524271846</v>
      </c>
      <c r="ER34" s="49">
        <f t="shared" si="57"/>
        <v>1</v>
      </c>
      <c r="ES34" s="49">
        <f t="shared" si="57"/>
        <v>0</v>
      </c>
      <c r="ET34" s="49">
        <f t="shared" si="57"/>
        <v>0.99999648009875997</v>
      </c>
      <c r="EU34" s="49">
        <f t="shared" si="57"/>
        <v>1</v>
      </c>
      <c r="EV34" s="49">
        <f t="shared" si="57"/>
        <v>1</v>
      </c>
      <c r="EW34" s="49">
        <f t="shared" si="57"/>
        <v>1</v>
      </c>
      <c r="EX34" s="49">
        <f t="shared" si="57"/>
        <v>1</v>
      </c>
      <c r="EY34" s="49">
        <f t="shared" si="57"/>
        <v>1</v>
      </c>
      <c r="EZ34" s="49">
        <f t="shared" si="57"/>
        <v>1</v>
      </c>
      <c r="FA34" s="49">
        <f t="shared" si="57"/>
        <v>1</v>
      </c>
      <c r="FB34" s="49">
        <f t="shared" si="57"/>
        <v>1</v>
      </c>
      <c r="FC34" s="49">
        <f t="shared" si="57"/>
        <v>1</v>
      </c>
      <c r="FD34" s="49">
        <f t="shared" si="57"/>
        <v>1</v>
      </c>
      <c r="FE34" s="49">
        <f t="shared" si="57"/>
        <v>1</v>
      </c>
      <c r="FF34" s="49">
        <f t="shared" si="57"/>
        <v>1</v>
      </c>
      <c r="FG34" s="49">
        <f t="shared" si="58"/>
        <v>1</v>
      </c>
      <c r="FH34" s="60">
        <f t="shared" si="72"/>
        <v>9.9740259740259755E-10</v>
      </c>
      <c r="FI34" s="60">
        <f t="shared" si="72"/>
        <v>6.3709090909090908E-6</v>
      </c>
      <c r="FJ34" s="60">
        <f t="shared" si="72"/>
        <v>9.9724647271019672E-10</v>
      </c>
      <c r="FK34" s="71">
        <f>IFERROR(up_RadSpec!$F$14*FK14,".")*$B$34</f>
        <v>50130.208333333328</v>
      </c>
      <c r="FL34" s="71">
        <f>IFERROR(up_RadSpec!$K$14*FL14,".")*$B$34</f>
        <v>7.8481735159817356</v>
      </c>
      <c r="FM34" s="49">
        <f t="shared" si="73"/>
        <v>1</v>
      </c>
      <c r="FN34" s="49">
        <f t="shared" si="73"/>
        <v>0.99960953550549536</v>
      </c>
      <c r="FO34" s="49">
        <f t="shared" si="74"/>
        <v>1</v>
      </c>
    </row>
    <row r="35" spans="1:171" x14ac:dyDescent="0.25">
      <c r="A35" s="83" t="s">
        <v>1077</v>
      </c>
      <c r="B35" s="42">
        <v>1</v>
      </c>
      <c r="C35" s="42"/>
      <c r="D35" s="60">
        <f t="shared" ref="D35:O35" si="78">IFERROR(D30/$B35,0)</f>
        <v>1.6528925619834712E-11</v>
      </c>
      <c r="E35" s="60">
        <f t="shared" si="78"/>
        <v>6.6115702479338848E-11</v>
      </c>
      <c r="F35" s="60">
        <f t="shared" si="78"/>
        <v>6.6115702479338848E-11</v>
      </c>
      <c r="G35" s="60">
        <f t="shared" si="78"/>
        <v>6.6115702479338848E-11</v>
      </c>
      <c r="H35" s="60">
        <f t="shared" si="78"/>
        <v>6.6115702479338848E-11</v>
      </c>
      <c r="I35" s="60">
        <f t="shared" si="78"/>
        <v>6.6115702479338848E-11</v>
      </c>
      <c r="J35" s="60">
        <f t="shared" si="78"/>
        <v>6.6115702479338848E-11</v>
      </c>
      <c r="K35" s="60">
        <f t="shared" si="78"/>
        <v>6.6115702479338848E-11</v>
      </c>
      <c r="L35" s="60">
        <f t="shared" si="78"/>
        <v>6.6115702479338848E-11</v>
      </c>
      <c r="M35" s="60">
        <f t="shared" si="78"/>
        <v>6.6115702479338848E-11</v>
      </c>
      <c r="N35" s="60">
        <f t="shared" si="78"/>
        <v>6.6115702479338848E-11</v>
      </c>
      <c r="O35" s="60">
        <f t="shared" si="78"/>
        <v>6.6115702479338848E-11</v>
      </c>
      <c r="P35" s="71">
        <f>up_dir!BC35</f>
        <v>3025000</v>
      </c>
      <c r="Q35" s="71">
        <f>IFERROR(up_RadSpec!$H$30*Q30,".")*$B$35</f>
        <v>756250</v>
      </c>
      <c r="R35" s="71">
        <f>IFERROR(up_RadSpec!$H$30*R30,".")*$B$35</f>
        <v>756250</v>
      </c>
      <c r="S35" s="71">
        <f>IFERROR(up_RadSpec!$H$30*S30,".")*$B$35</f>
        <v>756250</v>
      </c>
      <c r="T35" s="71">
        <f>IFERROR(up_RadSpec!$H$30*T30,".")*$B$35</f>
        <v>756250</v>
      </c>
      <c r="U35" s="71">
        <f>IFERROR(up_RadSpec!$H$30*U30,".")*$B$35</f>
        <v>756250</v>
      </c>
      <c r="V35" s="71">
        <f>IFERROR(up_RadSpec!$H$30*V30,".")*$B$35</f>
        <v>756250</v>
      </c>
      <c r="W35" s="71">
        <f>IFERROR(up_RadSpec!$H$30*W30,".")*$B$35</f>
        <v>756250</v>
      </c>
      <c r="X35" s="71">
        <f>IFERROR(up_RadSpec!$H$30*X30,".")*$B$35</f>
        <v>756250</v>
      </c>
      <c r="Y35" s="71">
        <f>IFERROR(up_RadSpec!$H$30*Y30,".")*$B$35</f>
        <v>756250</v>
      </c>
      <c r="Z35" s="71">
        <f>IFERROR(up_RadSpec!$H$30*Z30,".")*$B$35</f>
        <v>756250</v>
      </c>
      <c r="AA35" s="71">
        <f>IFERROR(up_RadSpec!$H$30*AA30,".")*$B$35</f>
        <v>756250</v>
      </c>
      <c r="AB35" s="49">
        <f t="shared" si="48"/>
        <v>1</v>
      </c>
      <c r="AC35" s="49">
        <f t="shared" si="48"/>
        <v>1</v>
      </c>
      <c r="AD35" s="49">
        <f t="shared" si="48"/>
        <v>1</v>
      </c>
      <c r="AE35" s="49">
        <f t="shared" si="48"/>
        <v>1</v>
      </c>
      <c r="AF35" s="49">
        <f t="shared" si="48"/>
        <v>1</v>
      </c>
      <c r="AG35" s="49">
        <f t="shared" si="60"/>
        <v>1</v>
      </c>
      <c r="AH35" s="49">
        <f t="shared" si="61"/>
        <v>1</v>
      </c>
      <c r="AI35" s="49">
        <f t="shared" si="62"/>
        <v>1</v>
      </c>
      <c r="AJ35" s="49">
        <f t="shared" si="63"/>
        <v>1</v>
      </c>
      <c r="AK35" s="49">
        <f t="shared" si="64"/>
        <v>1</v>
      </c>
      <c r="AL35" s="49">
        <f t="shared" si="65"/>
        <v>1</v>
      </c>
      <c r="AM35" s="49">
        <f t="shared" si="66"/>
        <v>1</v>
      </c>
      <c r="AN35" s="60">
        <f t="shared" ref="AN35:BB35" si="79">IFERROR(AN30/$B35,0)</f>
        <v>3.3057851239669421E-8</v>
      </c>
      <c r="AO35" s="60">
        <f t="shared" si="79"/>
        <v>3.0899917851942918E-4</v>
      </c>
      <c r="AP35" s="60">
        <f t="shared" si="79"/>
        <v>1.1060606060606063E-4</v>
      </c>
      <c r="AQ35" s="60">
        <f t="shared" si="79"/>
        <v>3.2968835384132272E-12</v>
      </c>
      <c r="AR35" s="60">
        <f t="shared" si="79"/>
        <v>6.6115702479338848E-11</v>
      </c>
      <c r="AS35" s="60">
        <f t="shared" si="79"/>
        <v>6.6115702479338848E-11</v>
      </c>
      <c r="AT35" s="60">
        <f t="shared" si="79"/>
        <v>1.8558793678410904E-14</v>
      </c>
      <c r="AU35" s="60">
        <f t="shared" si="79"/>
        <v>1.9115557488763232E-14</v>
      </c>
      <c r="AV35" s="60">
        <f t="shared" si="79"/>
        <v>1.8558793678410904E-14</v>
      </c>
      <c r="AW35" s="60">
        <f t="shared" si="79"/>
        <v>1.8558793678410904E-14</v>
      </c>
      <c r="AX35" s="60">
        <f t="shared" si="79"/>
        <v>1.8558793678410904E-14</v>
      </c>
      <c r="AY35" s="60">
        <f t="shared" si="79"/>
        <v>1.8558793678410904E-14</v>
      </c>
      <c r="AZ35" s="60">
        <f t="shared" si="79"/>
        <v>1.9115557488763232E-14</v>
      </c>
      <c r="BA35" s="60">
        <f t="shared" si="79"/>
        <v>1.8558793678410904E-14</v>
      </c>
      <c r="BB35" s="60">
        <f t="shared" si="79"/>
        <v>1.9115557488763232E-14</v>
      </c>
      <c r="BC35" s="42"/>
      <c r="BD35" s="42"/>
      <c r="BE35" s="42"/>
      <c r="BF35" s="42"/>
      <c r="BG35" s="42"/>
      <c r="BH35" s="42"/>
      <c r="BI35" s="42"/>
      <c r="BJ35" s="42"/>
      <c r="BK35" s="42"/>
      <c r="BL35" s="42"/>
      <c r="BM35" s="42"/>
      <c r="BN35" s="42"/>
      <c r="BO35" s="42"/>
      <c r="BP35" s="42"/>
      <c r="BQ35" s="42"/>
      <c r="BR35" s="60">
        <f t="shared" ref="BR35" si="80">IFERROR(BR30/$B35,0)</f>
        <v>2.0808592671184136E-15</v>
      </c>
      <c r="BS35" s="71">
        <f>IFERROR(up_RadSpec!$E$30*BS30,".")*$B$35</f>
        <v>1512.5</v>
      </c>
      <c r="BT35" s="71">
        <f>IFERROR(up_RadSpec!$F$30*BT30,".")*$B$35</f>
        <v>0.16181272791589676</v>
      </c>
      <c r="BU35" s="71">
        <f>IFERROR(up_RadSpec!$G$30*BU30,".")*$B$35</f>
        <v>0.45205479452054786</v>
      </c>
      <c r="BV35" s="71">
        <f>up_b2s!CC35</f>
        <v>15165837.5</v>
      </c>
      <c r="BW35" s="71">
        <f>IFERROR(up_RadSpec!$H$30*BW30,".")*$B$35</f>
        <v>756250</v>
      </c>
      <c r="BX35" s="71">
        <f>IFERROR(up_RadSpec!$H$30*BX30,".")*$B$35</f>
        <v>756250</v>
      </c>
      <c r="BY35" s="71">
        <f>IFERROR(up_RadSpec!$H$30*BY30,".")*$B$35</f>
        <v>2694140625</v>
      </c>
      <c r="BZ35" s="71">
        <f>IFERROR(up_RadSpec!$H$30*BZ30,".")*$B$35</f>
        <v>2615670509.7087379</v>
      </c>
      <c r="CA35" s="71">
        <f>IFERROR(up_RadSpec!$H$30*CA30,".")*$B$35</f>
        <v>2694140625</v>
      </c>
      <c r="CB35" s="71">
        <f>IFERROR(up_RadSpec!$H$30*CB30,".")*$B$35</f>
        <v>2694140625</v>
      </c>
      <c r="CC35" s="71">
        <f>IFERROR(up_RadSpec!$H$30*CC30,".")*$B$35</f>
        <v>2694140625</v>
      </c>
      <c r="CD35" s="71">
        <f>IFERROR(up_RadSpec!$H$30*CD30,".")*$B$35</f>
        <v>2694140625</v>
      </c>
      <c r="CE35" s="71">
        <f>IFERROR(up_RadSpec!$H$30*CE30,".")*$B$35</f>
        <v>2615670509.7087379</v>
      </c>
      <c r="CF35" s="71">
        <f>IFERROR(up_RadSpec!$H$30*CF30,".")*$B$35</f>
        <v>2694140625</v>
      </c>
      <c r="CG35" s="71">
        <f>IFERROR(up_RadSpec!$H$30*CG30,".")*$B$35</f>
        <v>2615670509.7087379</v>
      </c>
      <c r="CH35" s="49">
        <f t="shared" si="52"/>
        <v>1</v>
      </c>
      <c r="CI35" s="49">
        <f t="shared" si="52"/>
        <v>0.14939951664921358</v>
      </c>
      <c r="CJ35" s="49">
        <f t="shared" si="52"/>
        <v>0.36368069804125169</v>
      </c>
      <c r="CK35" s="49">
        <f t="shared" si="52"/>
        <v>1</v>
      </c>
      <c r="CL35" s="49">
        <f t="shared" si="52"/>
        <v>1</v>
      </c>
      <c r="CM35" s="49">
        <f t="shared" si="52"/>
        <v>1</v>
      </c>
      <c r="CN35" s="49">
        <f t="shared" si="52"/>
        <v>1</v>
      </c>
      <c r="CO35" s="49">
        <f t="shared" si="52"/>
        <v>1</v>
      </c>
      <c r="CP35" s="49">
        <f t="shared" si="52"/>
        <v>1</v>
      </c>
      <c r="CQ35" s="49">
        <f t="shared" si="52"/>
        <v>1</v>
      </c>
      <c r="CR35" s="49">
        <f t="shared" si="52"/>
        <v>1</v>
      </c>
      <c r="CS35" s="49">
        <f t="shared" si="52"/>
        <v>1</v>
      </c>
      <c r="CT35" s="49">
        <f t="shared" si="52"/>
        <v>1</v>
      </c>
      <c r="CU35" s="49">
        <f t="shared" si="52"/>
        <v>1</v>
      </c>
      <c r="CV35" s="49">
        <f t="shared" si="52"/>
        <v>1</v>
      </c>
      <c r="CW35" s="49">
        <f t="shared" si="53"/>
        <v>1</v>
      </c>
      <c r="CX35" s="60">
        <f t="shared" ref="CX35" si="81">IFERROR(CX30/$B35,0)</f>
        <v>3.6363636363636369E-10</v>
      </c>
      <c r="CY35" s="60" t="str">
        <f>IFERROR(CY30,".")</f>
        <v>.</v>
      </c>
      <c r="CZ35" s="60">
        <f t="shared" ref="CZ35:DL35" si="82">IFERROR(CZ30/$B35,0)</f>
        <v>3.9818181818181825E-6</v>
      </c>
      <c r="DA35" s="60">
        <f t="shared" si="82"/>
        <v>1.6443412786038031E-11</v>
      </c>
      <c r="DB35" s="60">
        <f t="shared" si="82"/>
        <v>1.322314049586777E-8</v>
      </c>
      <c r="DC35" s="60">
        <f t="shared" si="82"/>
        <v>1.322314049586777E-8</v>
      </c>
      <c r="DD35" s="60">
        <f t="shared" si="82"/>
        <v>2.6446280991735539E-9</v>
      </c>
      <c r="DE35" s="60">
        <f t="shared" si="82"/>
        <v>2.7239669421487605E-9</v>
      </c>
      <c r="DF35" s="60">
        <f t="shared" si="82"/>
        <v>2.6446280991735539E-9</v>
      </c>
      <c r="DG35" s="60">
        <f t="shared" si="82"/>
        <v>2.6446280991735539E-9</v>
      </c>
      <c r="DH35" s="60">
        <f t="shared" si="82"/>
        <v>2.6446280991735539E-9</v>
      </c>
      <c r="DI35" s="60">
        <f t="shared" si="82"/>
        <v>2.6446280991735539E-9</v>
      </c>
      <c r="DJ35" s="60">
        <f t="shared" si="82"/>
        <v>2.7239669421487605E-9</v>
      </c>
      <c r="DK35" s="60">
        <f t="shared" si="82"/>
        <v>2.6446280991735539E-9</v>
      </c>
      <c r="DL35" s="60">
        <f t="shared" si="82"/>
        <v>2.7239669421487605E-9</v>
      </c>
      <c r="DM35" s="15"/>
      <c r="DN35" s="15"/>
      <c r="DO35" s="15"/>
      <c r="DP35" s="15"/>
      <c r="DQ35" s="15"/>
      <c r="DR35" s="15"/>
      <c r="DS35" s="15"/>
      <c r="DT35" s="15"/>
      <c r="DU35" s="15"/>
      <c r="DV35" s="15"/>
      <c r="DW35" s="15"/>
      <c r="DX35" s="15"/>
      <c r="DY35" s="15"/>
      <c r="DZ35" s="15"/>
      <c r="EA35" s="15"/>
      <c r="EB35" s="60">
        <f t="shared" ref="EB35" si="83">IFERROR(EB30/$B35,0)</f>
        <v>1.4906192608956601E-11</v>
      </c>
      <c r="EC35" s="71">
        <f>IFERROR(up_RadSpec!$I$30*EC30,".")*$B$35</f>
        <v>137500</v>
      </c>
      <c r="ED35" s="71">
        <f>IFERROR(up_RadSpec!$F$30*ED30,".")*$B$35</f>
        <v>0</v>
      </c>
      <c r="EE35" s="71">
        <f>IFERROR(up_RadSpec!$M$30*EE30,".")*$B$35</f>
        <v>12.557077625570777</v>
      </c>
      <c r="EF35" s="71">
        <f>up_b2w!CC35</f>
        <v>3040731.3038114933</v>
      </c>
      <c r="EG35" s="71">
        <f>IFERROR(up_RadSpec!$H$30*EG30,".")*$B$35</f>
        <v>3781.25</v>
      </c>
      <c r="EH35" s="71">
        <f>IFERROR(up_RadSpec!$H$30*EH30,".")*$B$35</f>
        <v>3781.25</v>
      </c>
      <c r="EI35" s="71">
        <f>IFERROR(up_RadSpec!$H$30*EI30,".")*$B$35</f>
        <v>18906.25</v>
      </c>
      <c r="EJ35" s="71">
        <f>IFERROR(up_RadSpec!$H$30*EJ30,".")*$B$35</f>
        <v>18355.582524271846</v>
      </c>
      <c r="EK35" s="71">
        <f>IFERROR(up_RadSpec!$H$30*EK30,".")*$B$35</f>
        <v>18906.25</v>
      </c>
      <c r="EL35" s="71">
        <f>IFERROR(up_RadSpec!$H$30*EL30,".")*$B$35</f>
        <v>18906.25</v>
      </c>
      <c r="EM35" s="71">
        <f>IFERROR(up_RadSpec!$H$30*EM30,".")*$B$35</f>
        <v>18906.25</v>
      </c>
      <c r="EN35" s="71">
        <f>IFERROR(up_RadSpec!$H$30*EN30,".")*$B$35</f>
        <v>18906.25</v>
      </c>
      <c r="EO35" s="71">
        <f>IFERROR(up_RadSpec!$H$30*EO30,".")*$B$35</f>
        <v>18355.582524271846</v>
      </c>
      <c r="EP35" s="71">
        <f>IFERROR(up_RadSpec!$H$30*EP30,".")*$B$35</f>
        <v>18906.25</v>
      </c>
      <c r="EQ35" s="71">
        <f>IFERROR(up_RadSpec!$H$30*EQ30,".")*$B$35</f>
        <v>18355.582524271846</v>
      </c>
      <c r="ER35" s="49">
        <f t="shared" si="57"/>
        <v>1</v>
      </c>
      <c r="ES35" s="49">
        <f t="shared" si="57"/>
        <v>0</v>
      </c>
      <c r="ET35" s="49">
        <f t="shared" si="57"/>
        <v>0.99999648009875997</v>
      </c>
      <c r="EU35" s="49">
        <f t="shared" si="57"/>
        <v>1</v>
      </c>
      <c r="EV35" s="49">
        <f t="shared" si="57"/>
        <v>1</v>
      </c>
      <c r="EW35" s="49">
        <f t="shared" si="57"/>
        <v>1</v>
      </c>
      <c r="EX35" s="49">
        <f t="shared" si="57"/>
        <v>1</v>
      </c>
      <c r="EY35" s="49">
        <f t="shared" si="57"/>
        <v>1</v>
      </c>
      <c r="EZ35" s="49">
        <f t="shared" si="57"/>
        <v>1</v>
      </c>
      <c r="FA35" s="49">
        <f t="shared" si="57"/>
        <v>1</v>
      </c>
      <c r="FB35" s="49">
        <f t="shared" si="57"/>
        <v>1</v>
      </c>
      <c r="FC35" s="49">
        <f t="shared" si="57"/>
        <v>1</v>
      </c>
      <c r="FD35" s="49">
        <f t="shared" si="57"/>
        <v>1</v>
      </c>
      <c r="FE35" s="49">
        <f t="shared" si="57"/>
        <v>1</v>
      </c>
      <c r="FF35" s="49">
        <f t="shared" si="57"/>
        <v>1</v>
      </c>
      <c r="FG35" s="49">
        <f t="shared" si="58"/>
        <v>1</v>
      </c>
      <c r="FH35" s="60">
        <f>IFERROR(FH30/$B35,0)</f>
        <v>9.9740259740259755E-10</v>
      </c>
      <c r="FI35" s="60">
        <f>IFERROR(FI30/$B35,0)</f>
        <v>6.3709090909090908E-6</v>
      </c>
      <c r="FJ35" s="60">
        <f>IFERROR(FJ30/$B35,0)</f>
        <v>9.9724647271019672E-10</v>
      </c>
      <c r="FK35" s="71">
        <f>IFERROR(up_RadSpec!$F$30*FK30,".")*$B$35</f>
        <v>50130.208333333328</v>
      </c>
      <c r="FL35" s="71">
        <f>IFERROR(up_RadSpec!$K$30*FL30,".")*$B$35</f>
        <v>7.8481735159817356</v>
      </c>
      <c r="FM35" s="49">
        <f t="shared" si="73"/>
        <v>1</v>
      </c>
      <c r="FN35" s="49">
        <f t="shared" si="73"/>
        <v>0.99960953550549536</v>
      </c>
      <c r="FO35" s="49">
        <f t="shared" si="74"/>
        <v>1</v>
      </c>
    </row>
    <row r="36" spans="1:171" x14ac:dyDescent="0.25">
      <c r="A36" s="83" t="s">
        <v>1078</v>
      </c>
      <c r="B36" s="42">
        <v>1</v>
      </c>
      <c r="C36" s="42"/>
      <c r="D36" s="60">
        <f t="shared" ref="D36:O36" si="84">IFERROR(D26/$B36,0)</f>
        <v>1.6528925619834712E-11</v>
      </c>
      <c r="E36" s="60">
        <f t="shared" si="84"/>
        <v>6.6115702479338848E-11</v>
      </c>
      <c r="F36" s="60">
        <f t="shared" si="84"/>
        <v>6.6115702479338848E-11</v>
      </c>
      <c r="G36" s="60">
        <f t="shared" si="84"/>
        <v>6.6115702479338848E-11</v>
      </c>
      <c r="H36" s="60">
        <f t="shared" si="84"/>
        <v>6.6115702479338848E-11</v>
      </c>
      <c r="I36" s="60">
        <f t="shared" si="84"/>
        <v>6.6115702479338848E-11</v>
      </c>
      <c r="J36" s="60">
        <f t="shared" si="84"/>
        <v>6.6115702479338848E-11</v>
      </c>
      <c r="K36" s="60">
        <f t="shared" si="84"/>
        <v>6.6115702479338848E-11</v>
      </c>
      <c r="L36" s="60">
        <f t="shared" si="84"/>
        <v>6.6115702479338848E-11</v>
      </c>
      <c r="M36" s="60">
        <f t="shared" si="84"/>
        <v>6.6115702479338848E-11</v>
      </c>
      <c r="N36" s="60">
        <f t="shared" si="84"/>
        <v>6.6115702479338848E-11</v>
      </c>
      <c r="O36" s="60">
        <f t="shared" si="84"/>
        <v>6.6115702479338848E-11</v>
      </c>
      <c r="P36" s="71">
        <f>up_dir!BC36</f>
        <v>3025000</v>
      </c>
      <c r="Q36" s="71">
        <f>IFERROR(up_RadSpec!$H$26*Q26,".")*$B$37</f>
        <v>756250</v>
      </c>
      <c r="R36" s="71">
        <f>IFERROR(up_RadSpec!$H$26*R26,".")*$B$37</f>
        <v>756250</v>
      </c>
      <c r="S36" s="71">
        <f>IFERROR(up_RadSpec!$H$26*S26,".")*$B$37</f>
        <v>756250</v>
      </c>
      <c r="T36" s="71">
        <f>IFERROR(up_RadSpec!$H$26*T26,".")*$B$37</f>
        <v>756250</v>
      </c>
      <c r="U36" s="71">
        <f>IFERROR(up_RadSpec!$H$26*U26,".")*$B$37</f>
        <v>756250</v>
      </c>
      <c r="V36" s="71">
        <f>IFERROR(up_RadSpec!$H$26*V26,".")*$B$37</f>
        <v>756250</v>
      </c>
      <c r="W36" s="71">
        <f>IFERROR(up_RadSpec!$H$26*W26,".")*$B$37</f>
        <v>756250</v>
      </c>
      <c r="X36" s="71">
        <f>IFERROR(up_RadSpec!$H$26*X26,".")*$B$37</f>
        <v>756250</v>
      </c>
      <c r="Y36" s="71">
        <f>IFERROR(up_RadSpec!$H$26*Y26,".")*$B$37</f>
        <v>756250</v>
      </c>
      <c r="Z36" s="71">
        <f>IFERROR(up_RadSpec!$H$26*Z26,".")*$B$37</f>
        <v>756250</v>
      </c>
      <c r="AA36" s="71">
        <f>IFERROR(up_RadSpec!$H$26*AA26,".")*$B$37</f>
        <v>756250</v>
      </c>
      <c r="AB36" s="49">
        <f t="shared" si="48"/>
        <v>1</v>
      </c>
      <c r="AC36" s="49">
        <f t="shared" si="48"/>
        <v>1</v>
      </c>
      <c r="AD36" s="49">
        <f t="shared" si="48"/>
        <v>1</v>
      </c>
      <c r="AE36" s="49">
        <f t="shared" si="48"/>
        <v>1</v>
      </c>
      <c r="AF36" s="49">
        <f t="shared" si="48"/>
        <v>1</v>
      </c>
      <c r="AG36" s="49">
        <f t="shared" si="60"/>
        <v>1</v>
      </c>
      <c r="AH36" s="49">
        <f t="shared" si="61"/>
        <v>1</v>
      </c>
      <c r="AI36" s="49">
        <f t="shared" si="62"/>
        <v>1</v>
      </c>
      <c r="AJ36" s="49">
        <f t="shared" si="63"/>
        <v>1</v>
      </c>
      <c r="AK36" s="49">
        <f t="shared" si="64"/>
        <v>1</v>
      </c>
      <c r="AL36" s="49">
        <f t="shared" si="65"/>
        <v>1</v>
      </c>
      <c r="AM36" s="49">
        <f t="shared" si="66"/>
        <v>1</v>
      </c>
      <c r="AN36" s="60">
        <f t="shared" ref="AN36:BB36" si="85">IFERROR(AN26/$B36,0)</f>
        <v>3.3057851239669421E-8</v>
      </c>
      <c r="AO36" s="60">
        <f t="shared" si="85"/>
        <v>3.0899917851942918E-4</v>
      </c>
      <c r="AP36" s="60">
        <f t="shared" si="85"/>
        <v>1.1624922696351266E-4</v>
      </c>
      <c r="AQ36" s="60">
        <f t="shared" si="85"/>
        <v>3.2968835384132272E-12</v>
      </c>
      <c r="AR36" s="60">
        <f t="shared" si="85"/>
        <v>6.6115702479338848E-11</v>
      </c>
      <c r="AS36" s="60">
        <f t="shared" si="85"/>
        <v>6.6115702479338848E-11</v>
      </c>
      <c r="AT36" s="60">
        <f t="shared" si="85"/>
        <v>1.8558793678410904E-14</v>
      </c>
      <c r="AU36" s="60">
        <f t="shared" si="85"/>
        <v>1.9115557488763232E-14</v>
      </c>
      <c r="AV36" s="60">
        <f t="shared" si="85"/>
        <v>1.8558793678410904E-14</v>
      </c>
      <c r="AW36" s="60">
        <f t="shared" si="85"/>
        <v>1.8558793678410904E-14</v>
      </c>
      <c r="AX36" s="60">
        <f t="shared" si="85"/>
        <v>1.8558793678410904E-14</v>
      </c>
      <c r="AY36" s="60">
        <f t="shared" si="85"/>
        <v>1.8558793678410904E-14</v>
      </c>
      <c r="AZ36" s="60">
        <f t="shared" si="85"/>
        <v>1.9115557488763232E-14</v>
      </c>
      <c r="BA36" s="60">
        <f t="shared" si="85"/>
        <v>1.8558793678410904E-14</v>
      </c>
      <c r="BB36" s="60">
        <f t="shared" si="85"/>
        <v>1.9115557488763232E-14</v>
      </c>
      <c r="BC36" s="42"/>
      <c r="BD36" s="42"/>
      <c r="BE36" s="42"/>
      <c r="BF36" s="42"/>
      <c r="BG36" s="42"/>
      <c r="BH36" s="42"/>
      <c r="BI36" s="42"/>
      <c r="BJ36" s="42"/>
      <c r="BK36" s="42"/>
      <c r="BL36" s="42"/>
      <c r="BM36" s="42"/>
      <c r="BN36" s="42"/>
      <c r="BO36" s="42"/>
      <c r="BP36" s="42"/>
      <c r="BQ36" s="42"/>
      <c r="BR36" s="60">
        <f t="shared" ref="BR36" si="86">IFERROR(BR26/$B36,0)</f>
        <v>2.0808592671203139E-15</v>
      </c>
      <c r="BS36" s="71">
        <f>IFERROR(up_RadSpec!$E$26*BS26,".")*$B$37</f>
        <v>1512.5</v>
      </c>
      <c r="BT36" s="71">
        <f>IFERROR(up_RadSpec!$F$26*BT26,".")*$B$37</f>
        <v>0.16181272791589676</v>
      </c>
      <c r="BU36" s="71">
        <f>IFERROR(up_RadSpec!$G$26*BU26,".")*$B$37</f>
        <v>0.43011038701955057</v>
      </c>
      <c r="BV36" s="71">
        <f>up_b2s!CC36</f>
        <v>15165837.5</v>
      </c>
      <c r="BW36" s="71">
        <f>IFERROR(up_RadSpec!$H$26*BW26,".")*$B$37</f>
        <v>756250</v>
      </c>
      <c r="BX36" s="71">
        <f>IFERROR(up_RadSpec!$H$26*BX26,".")*$B$37</f>
        <v>756250</v>
      </c>
      <c r="BY36" s="71">
        <f>IFERROR(up_RadSpec!$H$26*BY26,".")*$B$37</f>
        <v>2694140625</v>
      </c>
      <c r="BZ36" s="71">
        <f>IFERROR(up_RadSpec!$H$26*BZ26,".")*$B$37</f>
        <v>2615670509.7087379</v>
      </c>
      <c r="CA36" s="71">
        <f>IFERROR(up_RadSpec!$H$26*CA26,".")*$B$37</f>
        <v>2694140625</v>
      </c>
      <c r="CB36" s="71">
        <f>IFERROR(up_RadSpec!$H$26*CB26,".")*$B$37</f>
        <v>2694140625</v>
      </c>
      <c r="CC36" s="71">
        <f>IFERROR(up_RadSpec!$H$26*CC26,".")*$B$37</f>
        <v>2694140625</v>
      </c>
      <c r="CD36" s="71">
        <f>IFERROR(up_RadSpec!$H$26*CD26,".")*$B$37</f>
        <v>2694140625</v>
      </c>
      <c r="CE36" s="71">
        <f>IFERROR(up_RadSpec!$H$26*CE26,".")*$B$37</f>
        <v>2615670509.7087379</v>
      </c>
      <c r="CF36" s="71">
        <f>IFERROR(up_RadSpec!$H$26*CF26,".")*$B$37</f>
        <v>2694140625</v>
      </c>
      <c r="CG36" s="71">
        <f>IFERROR(up_RadSpec!$H$26*CG26,".")*$B$37</f>
        <v>2615670509.7087379</v>
      </c>
      <c r="CH36" s="49">
        <f t="shared" si="52"/>
        <v>1</v>
      </c>
      <c r="CI36" s="49">
        <f t="shared" si="52"/>
        <v>0.14939951664921358</v>
      </c>
      <c r="CJ36" s="49">
        <f t="shared" si="52"/>
        <v>0.34956270907366405</v>
      </c>
      <c r="CK36" s="49">
        <f t="shared" si="52"/>
        <v>1</v>
      </c>
      <c r="CL36" s="49">
        <f t="shared" si="52"/>
        <v>1</v>
      </c>
      <c r="CM36" s="49">
        <f t="shared" si="52"/>
        <v>1</v>
      </c>
      <c r="CN36" s="49">
        <f t="shared" si="52"/>
        <v>1</v>
      </c>
      <c r="CO36" s="49">
        <f t="shared" si="52"/>
        <v>1</v>
      </c>
      <c r="CP36" s="49">
        <f t="shared" si="52"/>
        <v>1</v>
      </c>
      <c r="CQ36" s="49">
        <f t="shared" si="52"/>
        <v>1</v>
      </c>
      <c r="CR36" s="49">
        <f t="shared" si="52"/>
        <v>1</v>
      </c>
      <c r="CS36" s="49">
        <f t="shared" si="52"/>
        <v>1</v>
      </c>
      <c r="CT36" s="49">
        <f t="shared" si="52"/>
        <v>1</v>
      </c>
      <c r="CU36" s="49">
        <f t="shared" si="52"/>
        <v>1</v>
      </c>
      <c r="CV36" s="49">
        <f t="shared" si="52"/>
        <v>1</v>
      </c>
      <c r="CW36" s="49">
        <f t="shared" si="53"/>
        <v>1</v>
      </c>
      <c r="CX36" s="60">
        <f t="shared" ref="CX36" si="87">IFERROR(CX26/$B36,0)</f>
        <v>3.6363636363636369E-10</v>
      </c>
      <c r="CY36" s="60" t="str">
        <f>IFERROR(CY26,".")</f>
        <v>.</v>
      </c>
      <c r="CZ36" s="60">
        <f t="shared" ref="CZ36:DL36" si="88">IFERROR(CZ26/$B36,0)</f>
        <v>3.9818181818181825E-6</v>
      </c>
      <c r="DA36" s="60">
        <f t="shared" si="88"/>
        <v>1.6443412786038031E-11</v>
      </c>
      <c r="DB36" s="60">
        <f t="shared" si="88"/>
        <v>1.322314049586777E-8</v>
      </c>
      <c r="DC36" s="60">
        <f t="shared" si="88"/>
        <v>1.322314049586777E-8</v>
      </c>
      <c r="DD36" s="60">
        <f t="shared" si="88"/>
        <v>2.6446280991735539E-9</v>
      </c>
      <c r="DE36" s="60">
        <f t="shared" si="88"/>
        <v>2.7239669421487605E-9</v>
      </c>
      <c r="DF36" s="60">
        <f t="shared" si="88"/>
        <v>2.6446280991735539E-9</v>
      </c>
      <c r="DG36" s="60">
        <f t="shared" si="88"/>
        <v>2.6446280991735539E-9</v>
      </c>
      <c r="DH36" s="60">
        <f t="shared" si="88"/>
        <v>2.6446280991735539E-9</v>
      </c>
      <c r="DI36" s="60">
        <f t="shared" si="88"/>
        <v>2.6446280991735539E-9</v>
      </c>
      <c r="DJ36" s="60">
        <f t="shared" si="88"/>
        <v>2.7239669421487605E-9</v>
      </c>
      <c r="DK36" s="60">
        <f t="shared" si="88"/>
        <v>2.6446280991735539E-9</v>
      </c>
      <c r="DL36" s="60">
        <f t="shared" si="88"/>
        <v>2.7239669421487605E-9</v>
      </c>
      <c r="DM36" s="15"/>
      <c r="DN36" s="15"/>
      <c r="DO36" s="15"/>
      <c r="DP36" s="15"/>
      <c r="DQ36" s="15"/>
      <c r="DR36" s="15"/>
      <c r="DS36" s="15"/>
      <c r="DT36" s="15"/>
      <c r="DU36" s="15"/>
      <c r="DV36" s="15"/>
      <c r="DW36" s="15"/>
      <c r="DX36" s="15"/>
      <c r="DY36" s="15"/>
      <c r="DZ36" s="15"/>
      <c r="EA36" s="15"/>
      <c r="EB36" s="60">
        <f t="shared" ref="EB36" si="89">IFERROR(EB26/$B36,0)</f>
        <v>1.4906192608956601E-11</v>
      </c>
      <c r="EC36" s="71">
        <f>IFERROR(up_RadSpec!$I$26*EC26,".")*$B$37</f>
        <v>137500</v>
      </c>
      <c r="ED36" s="71">
        <f>IFERROR(up_RadSpec!$F$26*ED26,".")*$B$37</f>
        <v>0</v>
      </c>
      <c r="EE36" s="71">
        <f>IFERROR(up_RadSpec!$M$26*EE26,".")*$B$37</f>
        <v>12.557077625570777</v>
      </c>
      <c r="EF36" s="71">
        <f>up_b2w!CC36</f>
        <v>3040731.3038114933</v>
      </c>
      <c r="EG36" s="71">
        <f>IFERROR(up_RadSpec!$H$26*EG26,".")*$B$37</f>
        <v>3781.25</v>
      </c>
      <c r="EH36" s="71">
        <f>IFERROR(up_RadSpec!$H$26*EH26,".")*$B$37</f>
        <v>3781.25</v>
      </c>
      <c r="EI36" s="71">
        <f>IFERROR(up_RadSpec!$H$26*EI26,".")*$B$37</f>
        <v>18906.25</v>
      </c>
      <c r="EJ36" s="71">
        <f>IFERROR(up_RadSpec!$H$26*EJ26,".")*$B$37</f>
        <v>18355.582524271846</v>
      </c>
      <c r="EK36" s="71">
        <f>IFERROR(up_RadSpec!$H$26*EK26,".")*$B$37</f>
        <v>18906.25</v>
      </c>
      <c r="EL36" s="71">
        <f>IFERROR(up_RadSpec!$H$26*EL26,".")*$B$37</f>
        <v>18906.25</v>
      </c>
      <c r="EM36" s="71">
        <f>IFERROR(up_RadSpec!$H$26*EM26,".")*$B$37</f>
        <v>18906.25</v>
      </c>
      <c r="EN36" s="71">
        <f>IFERROR(up_RadSpec!$H$26*EN26,".")*$B$37</f>
        <v>18906.25</v>
      </c>
      <c r="EO36" s="71">
        <f>IFERROR(up_RadSpec!$H$26*EO26,".")*$B$37</f>
        <v>18355.582524271846</v>
      </c>
      <c r="EP36" s="71">
        <f>IFERROR(up_RadSpec!$H$26*EP26,".")*$B$37</f>
        <v>18906.25</v>
      </c>
      <c r="EQ36" s="71">
        <f>IFERROR(up_RadSpec!$H$26*EQ26,".")*$B$37</f>
        <v>18355.582524271846</v>
      </c>
      <c r="ER36" s="49">
        <f t="shared" si="57"/>
        <v>1</v>
      </c>
      <c r="ES36" s="49">
        <f t="shared" si="57"/>
        <v>0</v>
      </c>
      <c r="ET36" s="49">
        <f t="shared" si="57"/>
        <v>0.99999648009875997</v>
      </c>
      <c r="EU36" s="49">
        <f t="shared" si="57"/>
        <v>1</v>
      </c>
      <c r="EV36" s="49">
        <f t="shared" si="57"/>
        <v>1</v>
      </c>
      <c r="EW36" s="49">
        <f t="shared" si="57"/>
        <v>1</v>
      </c>
      <c r="EX36" s="49">
        <f t="shared" si="57"/>
        <v>1</v>
      </c>
      <c r="EY36" s="49">
        <f t="shared" si="57"/>
        <v>1</v>
      </c>
      <c r="EZ36" s="49">
        <f t="shared" si="57"/>
        <v>1</v>
      </c>
      <c r="FA36" s="49">
        <f t="shared" si="57"/>
        <v>1</v>
      </c>
      <c r="FB36" s="49">
        <f t="shared" si="57"/>
        <v>1</v>
      </c>
      <c r="FC36" s="49">
        <f t="shared" si="57"/>
        <v>1</v>
      </c>
      <c r="FD36" s="49">
        <f t="shared" si="57"/>
        <v>1</v>
      </c>
      <c r="FE36" s="49">
        <f t="shared" si="57"/>
        <v>1</v>
      </c>
      <c r="FF36" s="49">
        <f t="shared" si="57"/>
        <v>1</v>
      </c>
      <c r="FG36" s="49">
        <f t="shared" si="58"/>
        <v>1</v>
      </c>
      <c r="FH36" s="60">
        <f>IFERROR(FH26/$B36,0)</f>
        <v>9.9740259740259755E-10</v>
      </c>
      <c r="FI36" s="60">
        <f>IFERROR(FI26/$B36,0)</f>
        <v>6.3709090909090908E-6</v>
      </c>
      <c r="FJ36" s="60">
        <f>IFERROR(FJ26/$B36,0)</f>
        <v>9.9724647271019672E-10</v>
      </c>
      <c r="FK36" s="71">
        <f>IFERROR(up_RadSpec!$F$26*FK26,".")*$B$37</f>
        <v>50130.208333333328</v>
      </c>
      <c r="FL36" s="71">
        <f>IFERROR(up_RadSpec!$K$26*FL26,".")*$B$37</f>
        <v>7.8481735159817356</v>
      </c>
      <c r="FM36" s="49">
        <f t="shared" si="73"/>
        <v>1</v>
      </c>
      <c r="FN36" s="49">
        <f t="shared" si="73"/>
        <v>0.99960953550549536</v>
      </c>
      <c r="FO36" s="49">
        <f t="shared" si="74"/>
        <v>1</v>
      </c>
    </row>
    <row r="37" spans="1:171" x14ac:dyDescent="0.25">
      <c r="A37" s="83" t="s">
        <v>1079</v>
      </c>
      <c r="B37" s="42">
        <v>1</v>
      </c>
      <c r="C37" s="42"/>
      <c r="D37" s="60">
        <f t="shared" ref="D37:O37" si="90">IFERROR(D22/$B37,0)</f>
        <v>1.6528925619834712E-11</v>
      </c>
      <c r="E37" s="60">
        <f t="shared" si="90"/>
        <v>6.6115702479338848E-11</v>
      </c>
      <c r="F37" s="60">
        <f t="shared" si="90"/>
        <v>6.6115702479338848E-11</v>
      </c>
      <c r="G37" s="60">
        <f t="shared" si="90"/>
        <v>6.6115702479338848E-11</v>
      </c>
      <c r="H37" s="60">
        <f t="shared" si="90"/>
        <v>6.6115702479338848E-11</v>
      </c>
      <c r="I37" s="60">
        <f t="shared" si="90"/>
        <v>6.6115702479338848E-11</v>
      </c>
      <c r="J37" s="60">
        <f t="shared" si="90"/>
        <v>6.6115702479338848E-11</v>
      </c>
      <c r="K37" s="60">
        <f t="shared" si="90"/>
        <v>6.6115702479338848E-11</v>
      </c>
      <c r="L37" s="60">
        <f t="shared" si="90"/>
        <v>6.6115702479338848E-11</v>
      </c>
      <c r="M37" s="60">
        <f t="shared" si="90"/>
        <v>6.6115702479338848E-11</v>
      </c>
      <c r="N37" s="60">
        <f t="shared" si="90"/>
        <v>6.6115702479338848E-11</v>
      </c>
      <c r="O37" s="60">
        <f t="shared" si="90"/>
        <v>6.6115702479338848E-11</v>
      </c>
      <c r="P37" s="71">
        <f>up_dir!BC37</f>
        <v>3025000</v>
      </c>
      <c r="Q37" s="71">
        <f>IFERROR(up_RadSpec!$H$22*Q22,".")*$B$37</f>
        <v>756250</v>
      </c>
      <c r="R37" s="71">
        <f>IFERROR(up_RadSpec!$H$22*R22,".")*$B$37</f>
        <v>756250</v>
      </c>
      <c r="S37" s="71">
        <f>IFERROR(up_RadSpec!$H$22*S22,".")*$B$37</f>
        <v>756250</v>
      </c>
      <c r="T37" s="71">
        <f>IFERROR(up_RadSpec!$H$22*T22,".")*$B$37</f>
        <v>756250</v>
      </c>
      <c r="U37" s="71">
        <f>IFERROR(up_RadSpec!$H$22*U22,".")*$B$37</f>
        <v>756250</v>
      </c>
      <c r="V37" s="71">
        <f>IFERROR(up_RadSpec!$H$22*V22,".")*$B$37</f>
        <v>756250</v>
      </c>
      <c r="W37" s="71">
        <f>IFERROR(up_RadSpec!$H$22*W22,".")*$B$37</f>
        <v>756250</v>
      </c>
      <c r="X37" s="71">
        <f>IFERROR(up_RadSpec!$H$22*X22,".")*$B$37</f>
        <v>756250</v>
      </c>
      <c r="Y37" s="71">
        <f>IFERROR(up_RadSpec!$H$22*Y22,".")*$B$37</f>
        <v>756250</v>
      </c>
      <c r="Z37" s="71">
        <f>IFERROR(up_RadSpec!$H$22*Z22,".")*$B$37</f>
        <v>756250</v>
      </c>
      <c r="AA37" s="71">
        <f>IFERROR(up_RadSpec!$H$22*AA22,".")*$B$37</f>
        <v>756250</v>
      </c>
      <c r="AB37" s="49">
        <f t="shared" si="48"/>
        <v>1</v>
      </c>
      <c r="AC37" s="49">
        <f t="shared" si="48"/>
        <v>1</v>
      </c>
      <c r="AD37" s="49">
        <f t="shared" si="48"/>
        <v>1</v>
      </c>
      <c r="AE37" s="49">
        <f t="shared" si="48"/>
        <v>1</v>
      </c>
      <c r="AF37" s="49">
        <f t="shared" si="48"/>
        <v>1</v>
      </c>
      <c r="AG37" s="49">
        <f t="shared" si="60"/>
        <v>1</v>
      </c>
      <c r="AH37" s="49">
        <f t="shared" si="61"/>
        <v>1</v>
      </c>
      <c r="AI37" s="49">
        <f t="shared" si="62"/>
        <v>1</v>
      </c>
      <c r="AJ37" s="49">
        <f t="shared" si="63"/>
        <v>1</v>
      </c>
      <c r="AK37" s="49">
        <f t="shared" si="64"/>
        <v>1</v>
      </c>
      <c r="AL37" s="49">
        <f t="shared" si="65"/>
        <v>1</v>
      </c>
      <c r="AM37" s="49">
        <f t="shared" si="66"/>
        <v>1</v>
      </c>
      <c r="AN37" s="60">
        <f t="shared" ref="AN37:BB37" si="91">IFERROR(AN22/$B37,0)</f>
        <v>3.3057851239669421E-8</v>
      </c>
      <c r="AO37" s="60">
        <f t="shared" si="91"/>
        <v>3.0899917851942918E-4</v>
      </c>
      <c r="AP37" s="60">
        <f t="shared" si="91"/>
        <v>63.687683284457506</v>
      </c>
      <c r="AQ37" s="60">
        <f t="shared" si="91"/>
        <v>3.2968835384132272E-12</v>
      </c>
      <c r="AR37" s="60">
        <f t="shared" si="91"/>
        <v>6.6115702479338848E-11</v>
      </c>
      <c r="AS37" s="60">
        <f t="shared" si="91"/>
        <v>6.6115702479338848E-11</v>
      </c>
      <c r="AT37" s="60">
        <f t="shared" si="91"/>
        <v>1.8558793678410904E-14</v>
      </c>
      <c r="AU37" s="60">
        <f t="shared" si="91"/>
        <v>1.9115557488763232E-14</v>
      </c>
      <c r="AV37" s="60">
        <f t="shared" si="91"/>
        <v>1.8558793678410904E-14</v>
      </c>
      <c r="AW37" s="60">
        <f t="shared" si="91"/>
        <v>1.8558793678410904E-14</v>
      </c>
      <c r="AX37" s="60">
        <f t="shared" si="91"/>
        <v>1.8558793678410904E-14</v>
      </c>
      <c r="AY37" s="60">
        <f t="shared" si="91"/>
        <v>1.8558793678410904E-14</v>
      </c>
      <c r="AZ37" s="60">
        <f t="shared" si="91"/>
        <v>1.9115557488763232E-14</v>
      </c>
      <c r="BA37" s="60">
        <f t="shared" si="91"/>
        <v>1.8558793678410904E-14</v>
      </c>
      <c r="BB37" s="60">
        <f t="shared" si="91"/>
        <v>1.9115557488763232E-14</v>
      </c>
      <c r="BC37" s="42"/>
      <c r="BD37" s="42"/>
      <c r="BE37" s="42"/>
      <c r="BF37" s="42"/>
      <c r="BG37" s="42"/>
      <c r="BH37" s="42"/>
      <c r="BI37" s="42"/>
      <c r="BJ37" s="42"/>
      <c r="BK37" s="42"/>
      <c r="BL37" s="42"/>
      <c r="BM37" s="42"/>
      <c r="BN37" s="42"/>
      <c r="BO37" s="42"/>
      <c r="BP37" s="42"/>
      <c r="BQ37" s="42"/>
      <c r="BR37" s="60">
        <f t="shared" ref="BR37" si="92">IFERROR(BR22/$B37,0)</f>
        <v>2.0808592671575616E-15</v>
      </c>
      <c r="BS37" s="71">
        <f>IFERROR(up_RadSpec!$E$22*BS22,".")*$B$37</f>
        <v>1512.5</v>
      </c>
      <c r="BT37" s="71">
        <f>IFERROR(up_RadSpec!$F$22*BT22,".")*$B$37</f>
        <v>0.16181272791589676</v>
      </c>
      <c r="BU37" s="71">
        <f>IFERROR(up_RadSpec!$G$22*BU22,".")*$B$37</f>
        <v>7.8508115574997085E-7</v>
      </c>
      <c r="BV37" s="71">
        <f>up_b2s!CC37</f>
        <v>15165837.5</v>
      </c>
      <c r="BW37" s="71">
        <f>IFERROR(up_RadSpec!$H$22*BW22,".")*$B$37</f>
        <v>756250</v>
      </c>
      <c r="BX37" s="71">
        <f>IFERROR(up_RadSpec!$H$22*BX22,".")*$B$37</f>
        <v>756250</v>
      </c>
      <c r="BY37" s="71">
        <f>IFERROR(up_RadSpec!$H$22*BY22,".")*$B$37</f>
        <v>2694140625</v>
      </c>
      <c r="BZ37" s="71">
        <f>IFERROR(up_RadSpec!$H$22*BZ22,".")*$B$37</f>
        <v>2615670509.7087379</v>
      </c>
      <c r="CA37" s="71">
        <f>IFERROR(up_RadSpec!$H$22*CA22,".")*$B$37</f>
        <v>2694140625</v>
      </c>
      <c r="CB37" s="71">
        <f>IFERROR(up_RadSpec!$H$22*CB22,".")*$B$37</f>
        <v>2694140625</v>
      </c>
      <c r="CC37" s="71">
        <f>IFERROR(up_RadSpec!$H$22*CC22,".")*$B$37</f>
        <v>2694140625</v>
      </c>
      <c r="CD37" s="71">
        <f>IFERROR(up_RadSpec!$H$22*CD22,".")*$B$37</f>
        <v>2694140625</v>
      </c>
      <c r="CE37" s="71">
        <f>IFERROR(up_RadSpec!$H$22*CE22,".")*$B$37</f>
        <v>2615670509.7087379</v>
      </c>
      <c r="CF37" s="71">
        <f>IFERROR(up_RadSpec!$H$22*CF22,".")*$B$37</f>
        <v>2694140625</v>
      </c>
      <c r="CG37" s="71">
        <f>IFERROR(up_RadSpec!$H$22*CG22,".")*$B$37</f>
        <v>2615670509.7087379</v>
      </c>
      <c r="CH37" s="49">
        <f t="shared" si="52"/>
        <v>1</v>
      </c>
      <c r="CI37" s="49">
        <f t="shared" si="52"/>
        <v>0.14939951664921358</v>
      </c>
      <c r="CJ37" s="49">
        <f t="shared" si="52"/>
        <v>7.8508115574997085E-7</v>
      </c>
      <c r="CK37" s="49">
        <f t="shared" si="52"/>
        <v>1</v>
      </c>
      <c r="CL37" s="49">
        <f t="shared" si="52"/>
        <v>1</v>
      </c>
      <c r="CM37" s="49">
        <f t="shared" si="52"/>
        <v>1</v>
      </c>
      <c r="CN37" s="49">
        <f t="shared" si="52"/>
        <v>1</v>
      </c>
      <c r="CO37" s="49">
        <f t="shared" si="52"/>
        <v>1</v>
      </c>
      <c r="CP37" s="49">
        <f t="shared" si="52"/>
        <v>1</v>
      </c>
      <c r="CQ37" s="49">
        <f t="shared" si="52"/>
        <v>1</v>
      </c>
      <c r="CR37" s="49">
        <f t="shared" si="52"/>
        <v>1</v>
      </c>
      <c r="CS37" s="49">
        <f t="shared" si="52"/>
        <v>1</v>
      </c>
      <c r="CT37" s="49">
        <f t="shared" si="52"/>
        <v>1</v>
      </c>
      <c r="CU37" s="49">
        <f t="shared" si="52"/>
        <v>1</v>
      </c>
      <c r="CV37" s="49">
        <f t="shared" si="52"/>
        <v>1</v>
      </c>
      <c r="CW37" s="49">
        <f t="shared" si="53"/>
        <v>1</v>
      </c>
      <c r="CX37" s="60">
        <f t="shared" ref="CX37" si="93">IFERROR(CX22/$B37,0)</f>
        <v>3.6363636363636369E-10</v>
      </c>
      <c r="CY37" s="60" t="str">
        <f>IFERROR(CY22,".")</f>
        <v>.</v>
      </c>
      <c r="CZ37" s="60">
        <f t="shared" ref="CZ37:DL37" si="94">IFERROR(CZ22/$B37,0)</f>
        <v>3.9818181818181825E-6</v>
      </c>
      <c r="DA37" s="60">
        <f t="shared" si="94"/>
        <v>1.6443412786038031E-11</v>
      </c>
      <c r="DB37" s="60">
        <f t="shared" si="94"/>
        <v>1.322314049586777E-8</v>
      </c>
      <c r="DC37" s="60">
        <f t="shared" si="94"/>
        <v>1.322314049586777E-8</v>
      </c>
      <c r="DD37" s="60">
        <f t="shared" si="94"/>
        <v>2.6446280991735539E-9</v>
      </c>
      <c r="DE37" s="60">
        <f t="shared" si="94"/>
        <v>2.7239669421487605E-9</v>
      </c>
      <c r="DF37" s="60">
        <f t="shared" si="94"/>
        <v>2.6446280991735539E-9</v>
      </c>
      <c r="DG37" s="60">
        <f t="shared" si="94"/>
        <v>2.6446280991735539E-9</v>
      </c>
      <c r="DH37" s="60">
        <f t="shared" si="94"/>
        <v>2.6446280991735539E-9</v>
      </c>
      <c r="DI37" s="60">
        <f t="shared" si="94"/>
        <v>2.6446280991735539E-9</v>
      </c>
      <c r="DJ37" s="60">
        <f t="shared" si="94"/>
        <v>2.7239669421487605E-9</v>
      </c>
      <c r="DK37" s="60">
        <f t="shared" si="94"/>
        <v>2.6446280991735539E-9</v>
      </c>
      <c r="DL37" s="60">
        <f t="shared" si="94"/>
        <v>2.7239669421487605E-9</v>
      </c>
      <c r="DM37" s="15"/>
      <c r="DN37" s="15"/>
      <c r="DO37" s="15"/>
      <c r="DP37" s="15"/>
      <c r="DQ37" s="15"/>
      <c r="DR37" s="15"/>
      <c r="DS37" s="15"/>
      <c r="DT37" s="15"/>
      <c r="DU37" s="15"/>
      <c r="DV37" s="15"/>
      <c r="DW37" s="15"/>
      <c r="DX37" s="15"/>
      <c r="DY37" s="15"/>
      <c r="DZ37" s="15"/>
      <c r="EA37" s="15"/>
      <c r="EB37" s="60">
        <f t="shared" ref="EB37" si="95">IFERROR(EB22/$B37,0)</f>
        <v>1.4906192608956601E-11</v>
      </c>
      <c r="EC37" s="71">
        <f>IFERROR(up_RadSpec!$I$22*EC22,".")*$B$37</f>
        <v>137500</v>
      </c>
      <c r="ED37" s="71">
        <f>IFERROR(up_RadSpec!$F$22*ED22,".")*$B$37</f>
        <v>0</v>
      </c>
      <c r="EE37" s="71">
        <f>IFERROR(up_RadSpec!$M$22*EE22,".")*$B$37</f>
        <v>12.557077625570777</v>
      </c>
      <c r="EF37" s="71">
        <f>up_b2w!CC37</f>
        <v>3040731.3038114933</v>
      </c>
      <c r="EG37" s="71">
        <f>IFERROR(up_RadSpec!$H$22*EG22,".")*$B$37</f>
        <v>3781.25</v>
      </c>
      <c r="EH37" s="71">
        <f>IFERROR(up_RadSpec!$H$22*EH22,".")*$B$37</f>
        <v>3781.25</v>
      </c>
      <c r="EI37" s="71">
        <f>IFERROR(up_RadSpec!$H$22*EI22,".")*$B$37</f>
        <v>18906.25</v>
      </c>
      <c r="EJ37" s="71">
        <f>IFERROR(up_RadSpec!$H$22*EJ22,".")*$B$37</f>
        <v>18355.582524271846</v>
      </c>
      <c r="EK37" s="71">
        <f>IFERROR(up_RadSpec!$H$22*EK22,".")*$B$37</f>
        <v>18906.25</v>
      </c>
      <c r="EL37" s="71">
        <f>IFERROR(up_RadSpec!$H$22*EL22,".")*$B$37</f>
        <v>18906.25</v>
      </c>
      <c r="EM37" s="71">
        <f>IFERROR(up_RadSpec!$H$22*EM22,".")*$B$37</f>
        <v>18906.25</v>
      </c>
      <c r="EN37" s="71">
        <f>IFERROR(up_RadSpec!$H$22*EN22,".")*$B$37</f>
        <v>18906.25</v>
      </c>
      <c r="EO37" s="71">
        <f>IFERROR(up_RadSpec!$H$22*EO22,".")*$B$37</f>
        <v>18355.582524271846</v>
      </c>
      <c r="EP37" s="71">
        <f>IFERROR(up_RadSpec!$H$22*EP22,".")*$B$37</f>
        <v>18906.25</v>
      </c>
      <c r="EQ37" s="71">
        <f>IFERROR(up_RadSpec!$H$22*EQ22,".")*$B$37</f>
        <v>18355.582524271846</v>
      </c>
      <c r="ER37" s="49">
        <f t="shared" si="57"/>
        <v>1</v>
      </c>
      <c r="ES37" s="49">
        <f t="shared" si="57"/>
        <v>0</v>
      </c>
      <c r="ET37" s="49">
        <f t="shared" si="57"/>
        <v>0.99999648009875997</v>
      </c>
      <c r="EU37" s="49">
        <f t="shared" si="57"/>
        <v>1</v>
      </c>
      <c r="EV37" s="49">
        <f t="shared" si="57"/>
        <v>1</v>
      </c>
      <c r="EW37" s="49">
        <f t="shared" si="57"/>
        <v>1</v>
      </c>
      <c r="EX37" s="49">
        <f t="shared" si="57"/>
        <v>1</v>
      </c>
      <c r="EY37" s="49">
        <f t="shared" si="57"/>
        <v>1</v>
      </c>
      <c r="EZ37" s="49">
        <f t="shared" si="57"/>
        <v>1</v>
      </c>
      <c r="FA37" s="49">
        <f t="shared" si="57"/>
        <v>1</v>
      </c>
      <c r="FB37" s="49">
        <f t="shared" si="57"/>
        <v>1</v>
      </c>
      <c r="FC37" s="49">
        <f t="shared" si="57"/>
        <v>1</v>
      </c>
      <c r="FD37" s="49">
        <f t="shared" si="57"/>
        <v>1</v>
      </c>
      <c r="FE37" s="49">
        <f t="shared" si="57"/>
        <v>1</v>
      </c>
      <c r="FF37" s="49">
        <f t="shared" si="57"/>
        <v>1</v>
      </c>
      <c r="FG37" s="49">
        <f t="shared" si="58"/>
        <v>1</v>
      </c>
      <c r="FH37" s="60">
        <f>IFERROR(FH22/$B37,0)</f>
        <v>9.9740259740259755E-10</v>
      </c>
      <c r="FI37" s="60">
        <f>IFERROR(FI22/$B37,0)</f>
        <v>6.3709090909090908E-6</v>
      </c>
      <c r="FJ37" s="60">
        <f>IFERROR(FJ22/$B37,0)</f>
        <v>9.9724647271019672E-10</v>
      </c>
      <c r="FK37" s="71">
        <f>IFERROR(up_RadSpec!$F$22*FK22,".")*$B$37</f>
        <v>50130.208333333328</v>
      </c>
      <c r="FL37" s="71">
        <f>IFERROR(up_RadSpec!$K$22*FL22,".")*$B$37</f>
        <v>7.8481735159817356</v>
      </c>
      <c r="FM37" s="49">
        <f t="shared" si="73"/>
        <v>1</v>
      </c>
      <c r="FN37" s="49">
        <f t="shared" si="73"/>
        <v>0.99960953550549536</v>
      </c>
      <c r="FO37" s="49">
        <f t="shared" si="74"/>
        <v>1</v>
      </c>
    </row>
    <row r="38" spans="1:171" x14ac:dyDescent="0.25">
      <c r="A38" s="83" t="s">
        <v>1080</v>
      </c>
      <c r="B38" s="42">
        <v>1</v>
      </c>
      <c r="C38" s="42"/>
      <c r="D38" s="60">
        <f t="shared" ref="D38:O38" si="96">IFERROR(D2/$B38,0)</f>
        <v>1.6528925619834712E-11</v>
      </c>
      <c r="E38" s="60">
        <f t="shared" si="96"/>
        <v>6.6115702479338848E-11</v>
      </c>
      <c r="F38" s="60">
        <f t="shared" si="96"/>
        <v>6.6115702479338848E-11</v>
      </c>
      <c r="G38" s="60">
        <f t="shared" si="96"/>
        <v>6.6115702479338848E-11</v>
      </c>
      <c r="H38" s="60">
        <f t="shared" si="96"/>
        <v>6.6115702479338848E-11</v>
      </c>
      <c r="I38" s="60">
        <f t="shared" si="96"/>
        <v>6.6115702479338848E-11</v>
      </c>
      <c r="J38" s="60">
        <f t="shared" si="96"/>
        <v>6.6115702479338848E-11</v>
      </c>
      <c r="K38" s="60">
        <f t="shared" si="96"/>
        <v>6.6115702479338848E-11</v>
      </c>
      <c r="L38" s="60">
        <f t="shared" si="96"/>
        <v>6.6115702479338848E-11</v>
      </c>
      <c r="M38" s="60">
        <f t="shared" si="96"/>
        <v>6.6115702479338848E-11</v>
      </c>
      <c r="N38" s="60">
        <f t="shared" si="96"/>
        <v>6.6115702479338848E-11</v>
      </c>
      <c r="O38" s="60">
        <f t="shared" si="96"/>
        <v>6.6115702479338848E-11</v>
      </c>
      <c r="P38" s="71">
        <f>up_dir!BC38</f>
        <v>3025000</v>
      </c>
      <c r="Q38" s="71">
        <f>IFERROR(up_RadSpec!$H$2*Q2,".")*$B$38</f>
        <v>756250</v>
      </c>
      <c r="R38" s="71">
        <f>IFERROR(up_RadSpec!$H$2*R2,".")*$B$38</f>
        <v>756250</v>
      </c>
      <c r="S38" s="71">
        <f>IFERROR(up_RadSpec!$H$2*S2,".")*$B$38</f>
        <v>756250</v>
      </c>
      <c r="T38" s="71">
        <f>IFERROR(up_RadSpec!$H$2*T2,".")*$B$38</f>
        <v>756250</v>
      </c>
      <c r="U38" s="71">
        <f>IFERROR(up_RadSpec!$H$2*U2,".")*$B$38</f>
        <v>756250</v>
      </c>
      <c r="V38" s="71">
        <f>IFERROR(up_RadSpec!$H$2*V2,".")*$B$38</f>
        <v>756250</v>
      </c>
      <c r="W38" s="71">
        <f>IFERROR(up_RadSpec!$H$2*W2,".")*$B$38</f>
        <v>756250</v>
      </c>
      <c r="X38" s="71">
        <f>IFERROR(up_RadSpec!$H$2*X2,".")*$B$38</f>
        <v>756250</v>
      </c>
      <c r="Y38" s="71">
        <f>IFERROR(up_RadSpec!$H$2*Y2,".")*$B$38</f>
        <v>756250</v>
      </c>
      <c r="Z38" s="71">
        <f>IFERROR(up_RadSpec!$H$2*Z2,".")*$B$38</f>
        <v>756250</v>
      </c>
      <c r="AA38" s="71">
        <f>IFERROR(up_RadSpec!$H$2*AA2,".")*$B$38</f>
        <v>756250</v>
      </c>
      <c r="AB38" s="49">
        <f t="shared" si="48"/>
        <v>1</v>
      </c>
      <c r="AC38" s="49">
        <f t="shared" si="48"/>
        <v>1</v>
      </c>
      <c r="AD38" s="49">
        <f t="shared" si="48"/>
        <v>1</v>
      </c>
      <c r="AE38" s="49">
        <f t="shared" si="48"/>
        <v>1</v>
      </c>
      <c r="AF38" s="49">
        <f t="shared" si="48"/>
        <v>1</v>
      </c>
      <c r="AG38" s="49">
        <f t="shared" si="60"/>
        <v>1</v>
      </c>
      <c r="AH38" s="49">
        <f t="shared" si="61"/>
        <v>1</v>
      </c>
      <c r="AI38" s="49">
        <f t="shared" si="62"/>
        <v>1</v>
      </c>
      <c r="AJ38" s="49">
        <f t="shared" si="63"/>
        <v>1</v>
      </c>
      <c r="AK38" s="49">
        <f t="shared" si="64"/>
        <v>1</v>
      </c>
      <c r="AL38" s="49">
        <f t="shared" si="65"/>
        <v>1</v>
      </c>
      <c r="AM38" s="49">
        <f t="shared" si="66"/>
        <v>1</v>
      </c>
      <c r="AN38" s="60">
        <f t="shared" ref="AN38:BB38" si="97">IFERROR(AN2/$B38,0)</f>
        <v>3.3057851239669421E-8</v>
      </c>
      <c r="AO38" s="60">
        <f t="shared" si="97"/>
        <v>3.0899917851942918E-4</v>
      </c>
      <c r="AP38" s="60">
        <f t="shared" si="97"/>
        <v>7.0455228981544787E-5</v>
      </c>
      <c r="AQ38" s="60">
        <f t="shared" si="97"/>
        <v>3.2968835384132272E-12</v>
      </c>
      <c r="AR38" s="60">
        <f t="shared" si="97"/>
        <v>6.6115702479338848E-11</v>
      </c>
      <c r="AS38" s="60">
        <f t="shared" si="97"/>
        <v>6.6115702479338848E-11</v>
      </c>
      <c r="AT38" s="60">
        <f t="shared" si="97"/>
        <v>1.8558793678410904E-14</v>
      </c>
      <c r="AU38" s="60">
        <f t="shared" si="97"/>
        <v>1.9115557488763232E-14</v>
      </c>
      <c r="AV38" s="60">
        <f t="shared" si="97"/>
        <v>1.8558793678410904E-14</v>
      </c>
      <c r="AW38" s="60">
        <f t="shared" si="97"/>
        <v>1.8558793678410904E-14</v>
      </c>
      <c r="AX38" s="60">
        <f t="shared" si="97"/>
        <v>1.8558793678410904E-14</v>
      </c>
      <c r="AY38" s="60">
        <f t="shared" si="97"/>
        <v>1.8558793678410904E-14</v>
      </c>
      <c r="AZ38" s="60">
        <f t="shared" si="97"/>
        <v>1.9115557488763232E-14</v>
      </c>
      <c r="BA38" s="60">
        <f t="shared" si="97"/>
        <v>1.8558793678410904E-14</v>
      </c>
      <c r="BB38" s="60">
        <f t="shared" si="97"/>
        <v>1.9115557488763232E-14</v>
      </c>
      <c r="BC38" s="42"/>
      <c r="BD38" s="42"/>
      <c r="BE38" s="42"/>
      <c r="BF38" s="42"/>
      <c r="BG38" s="42"/>
      <c r="BH38" s="42"/>
      <c r="BI38" s="42"/>
      <c r="BJ38" s="42"/>
      <c r="BK38" s="42"/>
      <c r="BL38" s="42"/>
      <c r="BM38" s="42"/>
      <c r="BN38" s="42"/>
      <c r="BO38" s="42"/>
      <c r="BP38" s="42"/>
      <c r="BQ38" s="42"/>
      <c r="BR38" s="60">
        <f t="shared" ref="BR38" si="98">IFERROR(BR2/$B38,0)</f>
        <v>2.0808592670961042E-15</v>
      </c>
      <c r="BS38" s="71">
        <f>IFERROR(up_RadSpec!$E$2*BS2,".")*$B$38</f>
        <v>1512.5</v>
      </c>
      <c r="BT38" s="71">
        <f>IFERROR(up_RadSpec!$F$2*BT2,".")*$B$38</f>
        <v>0.16181272791589676</v>
      </c>
      <c r="BU38" s="71">
        <f>IFERROR(up_RadSpec!$G$2*BU2,".")*$B$38</f>
        <v>0.7096705343629941</v>
      </c>
      <c r="BV38" s="71">
        <f>up_b2s!CC38</f>
        <v>15165837.5</v>
      </c>
      <c r="BW38" s="71">
        <f>IFERROR(up_RadSpec!$H$2*BW2,".")*$B$38</f>
        <v>756250</v>
      </c>
      <c r="BX38" s="71">
        <f>IFERROR(up_RadSpec!$H$2*BX2,".")*$B$38</f>
        <v>756250</v>
      </c>
      <c r="BY38" s="71">
        <f>IFERROR(up_RadSpec!$H$2*BY2,".")*$B$38</f>
        <v>2694140625</v>
      </c>
      <c r="BZ38" s="71">
        <f>IFERROR(up_RadSpec!$H$2*BZ2,".")*$B$38</f>
        <v>2615670509.7087379</v>
      </c>
      <c r="CA38" s="71">
        <f>IFERROR(up_RadSpec!$H$2*CA2,".")*$B$38</f>
        <v>2694140625</v>
      </c>
      <c r="CB38" s="71">
        <f>IFERROR(up_RadSpec!$H$2*CB2,".")*$B$38</f>
        <v>2694140625</v>
      </c>
      <c r="CC38" s="71">
        <f>IFERROR(up_RadSpec!$H$2*CC2,".")*$B$38</f>
        <v>2694140625</v>
      </c>
      <c r="CD38" s="71">
        <f>IFERROR(up_RadSpec!$H$2*CD2,".")*$B$38</f>
        <v>2694140625</v>
      </c>
      <c r="CE38" s="71">
        <f>IFERROR(up_RadSpec!$H$2*CE2,".")*$B$38</f>
        <v>2615670509.7087379</v>
      </c>
      <c r="CF38" s="71">
        <f>IFERROR(up_RadSpec!$H$2*CF2,".")*$B$38</f>
        <v>2694140625</v>
      </c>
      <c r="CG38" s="71">
        <f>IFERROR(up_RadSpec!$H$2*CG2,".")*$B$38</f>
        <v>2615670509.7087379</v>
      </c>
      <c r="CH38" s="49">
        <f t="shared" si="52"/>
        <v>1</v>
      </c>
      <c r="CI38" s="49">
        <f t="shared" si="52"/>
        <v>0.14939951664921358</v>
      </c>
      <c r="CJ38" s="49">
        <f t="shared" si="52"/>
        <v>0.50819379598400727</v>
      </c>
      <c r="CK38" s="49">
        <f t="shared" si="52"/>
        <v>1</v>
      </c>
      <c r="CL38" s="49">
        <f t="shared" si="52"/>
        <v>1</v>
      </c>
      <c r="CM38" s="49">
        <f t="shared" si="52"/>
        <v>1</v>
      </c>
      <c r="CN38" s="49">
        <f t="shared" si="52"/>
        <v>1</v>
      </c>
      <c r="CO38" s="49">
        <f t="shared" si="52"/>
        <v>1</v>
      </c>
      <c r="CP38" s="49">
        <f t="shared" si="52"/>
        <v>1</v>
      </c>
      <c r="CQ38" s="49">
        <f t="shared" si="52"/>
        <v>1</v>
      </c>
      <c r="CR38" s="49">
        <f t="shared" si="52"/>
        <v>1</v>
      </c>
      <c r="CS38" s="49">
        <f t="shared" si="52"/>
        <v>1</v>
      </c>
      <c r="CT38" s="49">
        <f t="shared" si="52"/>
        <v>1</v>
      </c>
      <c r="CU38" s="49">
        <f t="shared" si="52"/>
        <v>1</v>
      </c>
      <c r="CV38" s="49">
        <f t="shared" si="52"/>
        <v>1</v>
      </c>
      <c r="CW38" s="49">
        <f t="shared" si="53"/>
        <v>1</v>
      </c>
      <c r="CX38" s="60">
        <f t="shared" ref="CX38" si="99">IFERROR(CX2/$B38,0)</f>
        <v>3.6363636363636369E-10</v>
      </c>
      <c r="CY38" s="60" t="str">
        <f>IFERROR(CY2,".")</f>
        <v>.</v>
      </c>
      <c r="CZ38" s="60">
        <f t="shared" ref="CZ38:DL38" si="100">IFERROR(CZ2/$B38,0)</f>
        <v>3.9818181818181825E-6</v>
      </c>
      <c r="DA38" s="60">
        <f t="shared" si="100"/>
        <v>1.6443412786038031E-11</v>
      </c>
      <c r="DB38" s="60">
        <f t="shared" si="100"/>
        <v>1.322314049586777E-8</v>
      </c>
      <c r="DC38" s="60">
        <f t="shared" si="100"/>
        <v>1.322314049586777E-8</v>
      </c>
      <c r="DD38" s="60">
        <f t="shared" si="100"/>
        <v>2.6446280991735539E-9</v>
      </c>
      <c r="DE38" s="60">
        <f t="shared" si="100"/>
        <v>2.7239669421487605E-9</v>
      </c>
      <c r="DF38" s="60">
        <f t="shared" si="100"/>
        <v>2.6446280991735539E-9</v>
      </c>
      <c r="DG38" s="60">
        <f t="shared" si="100"/>
        <v>2.6446280991735539E-9</v>
      </c>
      <c r="DH38" s="60">
        <f t="shared" si="100"/>
        <v>2.6446280991735539E-9</v>
      </c>
      <c r="DI38" s="60">
        <f t="shared" si="100"/>
        <v>2.6446280991735539E-9</v>
      </c>
      <c r="DJ38" s="60">
        <f t="shared" si="100"/>
        <v>2.7239669421487605E-9</v>
      </c>
      <c r="DK38" s="60">
        <f t="shared" si="100"/>
        <v>2.6446280991735539E-9</v>
      </c>
      <c r="DL38" s="60">
        <f t="shared" si="100"/>
        <v>2.7239669421487605E-9</v>
      </c>
      <c r="DM38" s="15"/>
      <c r="DN38" s="15"/>
      <c r="DO38" s="15"/>
      <c r="DP38" s="15"/>
      <c r="DQ38" s="15"/>
      <c r="DR38" s="15"/>
      <c r="DS38" s="15"/>
      <c r="DT38" s="15"/>
      <c r="DU38" s="15"/>
      <c r="DV38" s="15"/>
      <c r="DW38" s="15"/>
      <c r="DX38" s="15"/>
      <c r="DY38" s="15"/>
      <c r="DZ38" s="15"/>
      <c r="EA38" s="15"/>
      <c r="EB38" s="60">
        <f t="shared" ref="EB38" si="101">IFERROR(EB2/$B38,0)</f>
        <v>1.4906192608956601E-11</v>
      </c>
      <c r="EC38" s="71">
        <f>IFERROR(up_RadSpec!$I$2*EC2,".")*$B$38</f>
        <v>137500</v>
      </c>
      <c r="ED38" s="71">
        <f>IFERROR(up_RadSpec!$F$2*ED2,".")*$B$38</f>
        <v>0</v>
      </c>
      <c r="EE38" s="71">
        <f>IFERROR(up_RadSpec!$M$2*EE2,".")*$B$38</f>
        <v>12.557077625570777</v>
      </c>
      <c r="EF38" s="71">
        <f>up_b2w!CC38</f>
        <v>3040731.3038114933</v>
      </c>
      <c r="EG38" s="71">
        <f>IFERROR(up_RadSpec!$H$2*EG2,".")*$B$38</f>
        <v>3781.25</v>
      </c>
      <c r="EH38" s="71">
        <f>IFERROR(up_RadSpec!$H$2*EH2,".")*$B$38</f>
        <v>3781.25</v>
      </c>
      <c r="EI38" s="71">
        <f>IFERROR(up_RadSpec!$H$2*EI2,".")*$B$38</f>
        <v>18906.25</v>
      </c>
      <c r="EJ38" s="71">
        <f>IFERROR(up_RadSpec!$H$2*EJ2,".")*$B$38</f>
        <v>18355.582524271846</v>
      </c>
      <c r="EK38" s="71">
        <f>IFERROR(up_RadSpec!$H$2*EK2,".")*$B$38</f>
        <v>18906.25</v>
      </c>
      <c r="EL38" s="71">
        <f>IFERROR(up_RadSpec!$H$2*EL2,".")*$B$38</f>
        <v>18906.25</v>
      </c>
      <c r="EM38" s="71">
        <f>IFERROR(up_RadSpec!$H$2*EM2,".")*$B$38</f>
        <v>18906.25</v>
      </c>
      <c r="EN38" s="71">
        <f>IFERROR(up_RadSpec!$H$2*EN2,".")*$B$38</f>
        <v>18906.25</v>
      </c>
      <c r="EO38" s="71">
        <f>IFERROR(up_RadSpec!$H$2*EO2,".")*$B$38</f>
        <v>18355.582524271846</v>
      </c>
      <c r="EP38" s="71">
        <f>IFERROR(up_RadSpec!$H$2*EP2,".")*$B$38</f>
        <v>18906.25</v>
      </c>
      <c r="EQ38" s="71">
        <f>IFERROR(up_RadSpec!$H$2*EQ2,".")*$B$38</f>
        <v>18355.582524271846</v>
      </c>
      <c r="ER38" s="49">
        <f t="shared" si="57"/>
        <v>1</v>
      </c>
      <c r="ES38" s="49">
        <f t="shared" si="57"/>
        <v>0</v>
      </c>
      <c r="ET38" s="49">
        <f t="shared" si="57"/>
        <v>0.99999648009875997</v>
      </c>
      <c r="EU38" s="49">
        <f t="shared" si="57"/>
        <v>1</v>
      </c>
      <c r="EV38" s="49">
        <f t="shared" si="57"/>
        <v>1</v>
      </c>
      <c r="EW38" s="49">
        <f t="shared" si="57"/>
        <v>1</v>
      </c>
      <c r="EX38" s="49">
        <f t="shared" si="57"/>
        <v>1</v>
      </c>
      <c r="EY38" s="49">
        <f t="shared" si="57"/>
        <v>1</v>
      </c>
      <c r="EZ38" s="49">
        <f t="shared" si="57"/>
        <v>1</v>
      </c>
      <c r="FA38" s="49">
        <f t="shared" si="57"/>
        <v>1</v>
      </c>
      <c r="FB38" s="49">
        <f t="shared" si="57"/>
        <v>1</v>
      </c>
      <c r="FC38" s="49">
        <f t="shared" si="57"/>
        <v>1</v>
      </c>
      <c r="FD38" s="49">
        <f t="shared" si="57"/>
        <v>1</v>
      </c>
      <c r="FE38" s="49">
        <f t="shared" si="57"/>
        <v>1</v>
      </c>
      <c r="FF38" s="49">
        <f t="shared" si="57"/>
        <v>1</v>
      </c>
      <c r="FG38" s="49">
        <f t="shared" si="58"/>
        <v>1</v>
      </c>
      <c r="FH38" s="60">
        <f>IFERROR(FH2/$B38,0)</f>
        <v>9.9740259740259755E-10</v>
      </c>
      <c r="FI38" s="60">
        <f>IFERROR(FI2/$B38,0)</f>
        <v>6.3709090909090908E-6</v>
      </c>
      <c r="FJ38" s="60">
        <f>IFERROR(FJ2/$B38,0)</f>
        <v>9.9724647271019672E-10</v>
      </c>
      <c r="FK38" s="71">
        <f>IFERROR(up_RadSpec!$F$2*FK2,".")*$B$38</f>
        <v>50130.208333333328</v>
      </c>
      <c r="FL38" s="71">
        <f>IFERROR(up_RadSpec!$K$2*FL2,".")*$B$38</f>
        <v>7.8481735159817356</v>
      </c>
      <c r="FM38" s="49">
        <f t="shared" si="73"/>
        <v>1</v>
      </c>
      <c r="FN38" s="49">
        <f t="shared" si="73"/>
        <v>0.99960953550549536</v>
      </c>
      <c r="FO38" s="49">
        <f t="shared" si="74"/>
        <v>1</v>
      </c>
    </row>
    <row r="39" spans="1:171" x14ac:dyDescent="0.25">
      <c r="A39" s="83" t="s">
        <v>1081</v>
      </c>
      <c r="B39" s="42">
        <v>1</v>
      </c>
      <c r="C39" s="42"/>
      <c r="D39" s="60">
        <f t="shared" ref="D39:O39" si="102">IFERROR(D11/$B39,0)</f>
        <v>1.6528925619834712E-11</v>
      </c>
      <c r="E39" s="60">
        <f t="shared" si="102"/>
        <v>6.6115702479338848E-11</v>
      </c>
      <c r="F39" s="60">
        <f t="shared" si="102"/>
        <v>6.6115702479338848E-11</v>
      </c>
      <c r="G39" s="60">
        <f t="shared" si="102"/>
        <v>6.6115702479338848E-11</v>
      </c>
      <c r="H39" s="60">
        <f t="shared" si="102"/>
        <v>6.6115702479338848E-11</v>
      </c>
      <c r="I39" s="60">
        <f t="shared" si="102"/>
        <v>6.6115702479338848E-11</v>
      </c>
      <c r="J39" s="60">
        <f t="shared" si="102"/>
        <v>6.6115702479338848E-11</v>
      </c>
      <c r="K39" s="60">
        <f t="shared" si="102"/>
        <v>6.6115702479338848E-11</v>
      </c>
      <c r="L39" s="60">
        <f t="shared" si="102"/>
        <v>6.6115702479338848E-11</v>
      </c>
      <c r="M39" s="60">
        <f t="shared" si="102"/>
        <v>6.6115702479338848E-11</v>
      </c>
      <c r="N39" s="60">
        <f t="shared" si="102"/>
        <v>6.6115702479338848E-11</v>
      </c>
      <c r="O39" s="60">
        <f t="shared" si="102"/>
        <v>6.6115702479338848E-11</v>
      </c>
      <c r="P39" s="71">
        <f>up_dir!BC39</f>
        <v>3025000</v>
      </c>
      <c r="Q39" s="71">
        <f>IFERROR(up_RadSpec!$H$11*Q11,".")*$B$39</f>
        <v>756250</v>
      </c>
      <c r="R39" s="71">
        <f>IFERROR(up_RadSpec!$H$11*R11,".")*$B$39</f>
        <v>756250</v>
      </c>
      <c r="S39" s="71">
        <f>IFERROR(up_RadSpec!$H$11*S11,".")*$B$39</f>
        <v>756250</v>
      </c>
      <c r="T39" s="71">
        <f>IFERROR(up_RadSpec!$H$11*T11,".")*$B$39</f>
        <v>756250</v>
      </c>
      <c r="U39" s="71">
        <f>IFERROR(up_RadSpec!$H$11*U11,".")*$B$39</f>
        <v>756250</v>
      </c>
      <c r="V39" s="71">
        <f>IFERROR(up_RadSpec!$H$11*V11,".")*$B$39</f>
        <v>756250</v>
      </c>
      <c r="W39" s="71">
        <f>IFERROR(up_RadSpec!$H$11*W11,".")*$B$39</f>
        <v>756250</v>
      </c>
      <c r="X39" s="71">
        <f>IFERROR(up_RadSpec!$H$11*X11,".")*$B$39</f>
        <v>756250</v>
      </c>
      <c r="Y39" s="71">
        <f>IFERROR(up_RadSpec!$H$11*Y11,".")*$B$39</f>
        <v>756250</v>
      </c>
      <c r="Z39" s="71">
        <f>IFERROR(up_RadSpec!$H$11*Z11,".")*$B$39</f>
        <v>756250</v>
      </c>
      <c r="AA39" s="71">
        <f>IFERROR(up_RadSpec!$H$11*AA11,".")*$B$39</f>
        <v>756250</v>
      </c>
      <c r="AB39" s="49">
        <f t="shared" si="48"/>
        <v>1</v>
      </c>
      <c r="AC39" s="49">
        <f t="shared" si="48"/>
        <v>1</v>
      </c>
      <c r="AD39" s="49">
        <f t="shared" si="48"/>
        <v>1</v>
      </c>
      <c r="AE39" s="49">
        <f t="shared" si="48"/>
        <v>1</v>
      </c>
      <c r="AF39" s="49">
        <f t="shared" si="48"/>
        <v>1</v>
      </c>
      <c r="AG39" s="49">
        <f t="shared" si="60"/>
        <v>1</v>
      </c>
      <c r="AH39" s="49">
        <f t="shared" si="61"/>
        <v>1</v>
      </c>
      <c r="AI39" s="49">
        <f t="shared" si="62"/>
        <v>1</v>
      </c>
      <c r="AJ39" s="49">
        <f t="shared" si="63"/>
        <v>1</v>
      </c>
      <c r="AK39" s="49">
        <f t="shared" si="64"/>
        <v>1</v>
      </c>
      <c r="AL39" s="49">
        <f t="shared" si="65"/>
        <v>1</v>
      </c>
      <c r="AM39" s="49">
        <f t="shared" si="66"/>
        <v>1</v>
      </c>
      <c r="AN39" s="60">
        <f t="shared" ref="AN39:BB39" si="103">IFERROR(AN11/$B39,0)</f>
        <v>3.3057851239669421E-8</v>
      </c>
      <c r="AO39" s="60">
        <f t="shared" si="103"/>
        <v>3.0899917851942918E-4</v>
      </c>
      <c r="AP39" s="60">
        <f t="shared" si="103"/>
        <v>6.1988011988012E-5</v>
      </c>
      <c r="AQ39" s="60">
        <f t="shared" si="103"/>
        <v>3.2968835384132272E-12</v>
      </c>
      <c r="AR39" s="60">
        <f t="shared" si="103"/>
        <v>6.6115702479338848E-11</v>
      </c>
      <c r="AS39" s="60">
        <f t="shared" si="103"/>
        <v>6.6115702479338848E-11</v>
      </c>
      <c r="AT39" s="60">
        <f t="shared" si="103"/>
        <v>1.8558793678410904E-14</v>
      </c>
      <c r="AU39" s="60">
        <f t="shared" si="103"/>
        <v>1.9115557488763232E-14</v>
      </c>
      <c r="AV39" s="60">
        <f t="shared" si="103"/>
        <v>1.8558793678410904E-14</v>
      </c>
      <c r="AW39" s="60">
        <f t="shared" si="103"/>
        <v>1.8558793678410904E-14</v>
      </c>
      <c r="AX39" s="60">
        <f t="shared" si="103"/>
        <v>1.8558793678410904E-14</v>
      </c>
      <c r="AY39" s="60">
        <f t="shared" si="103"/>
        <v>1.8558793678410904E-14</v>
      </c>
      <c r="AZ39" s="60">
        <f t="shared" si="103"/>
        <v>1.9115557488763232E-14</v>
      </c>
      <c r="BA39" s="60">
        <f t="shared" si="103"/>
        <v>1.8558793678410904E-14</v>
      </c>
      <c r="BB39" s="60">
        <f t="shared" si="103"/>
        <v>1.9115557488763232E-14</v>
      </c>
      <c r="BC39" s="42"/>
      <c r="BD39" s="42"/>
      <c r="BE39" s="42"/>
      <c r="BF39" s="42"/>
      <c r="BG39" s="42"/>
      <c r="BH39" s="42"/>
      <c r="BI39" s="42"/>
      <c r="BJ39" s="42"/>
      <c r="BK39" s="42"/>
      <c r="BL39" s="42"/>
      <c r="BM39" s="42"/>
      <c r="BN39" s="42"/>
      <c r="BO39" s="42"/>
      <c r="BP39" s="42"/>
      <c r="BQ39" s="42"/>
      <c r="BR39" s="60">
        <f t="shared" ref="BR39" si="104">IFERROR(BR11/$B39,0)</f>
        <v>2.0808592670877095E-15</v>
      </c>
      <c r="BS39" s="71">
        <f>IFERROR(up_RadSpec!$E$11*BS11,".")*$B$39</f>
        <v>1512.5</v>
      </c>
      <c r="BT39" s="71">
        <f>IFERROR(up_RadSpec!$F$11*BT11,".")*$B$39</f>
        <v>0.16181272791589676</v>
      </c>
      <c r="BU39" s="71">
        <f>IFERROR(up_RadSpec!$G$11*BU11,".")*$B$39</f>
        <v>0.80660757453666398</v>
      </c>
      <c r="BV39" s="71">
        <f>up_b2s!CC39</f>
        <v>15165837.5</v>
      </c>
      <c r="BW39" s="71">
        <f>IFERROR(up_RadSpec!$H$11*BW11,".")*$B$39</f>
        <v>756250</v>
      </c>
      <c r="BX39" s="71">
        <f>IFERROR(up_RadSpec!$H$11*BX11,".")*$B$39</f>
        <v>756250</v>
      </c>
      <c r="BY39" s="71">
        <f>IFERROR(up_RadSpec!$H$11*BY11,".")*$B$39</f>
        <v>2694140625</v>
      </c>
      <c r="BZ39" s="71">
        <f>IFERROR(up_RadSpec!$H$11*BZ11,".")*$B$39</f>
        <v>2615670509.7087379</v>
      </c>
      <c r="CA39" s="71">
        <f>IFERROR(up_RadSpec!$H$11*CA11,".")*$B$39</f>
        <v>2694140625</v>
      </c>
      <c r="CB39" s="71">
        <f>IFERROR(up_RadSpec!$H$11*CB11,".")*$B$39</f>
        <v>2694140625</v>
      </c>
      <c r="CC39" s="71">
        <f>IFERROR(up_RadSpec!$H$11*CC11,".")*$B$39</f>
        <v>2694140625</v>
      </c>
      <c r="CD39" s="71">
        <f>IFERROR(up_RadSpec!$H$11*CD11,".")*$B$39</f>
        <v>2694140625</v>
      </c>
      <c r="CE39" s="71">
        <f>IFERROR(up_RadSpec!$H$11*CE11,".")*$B$39</f>
        <v>2615670509.7087379</v>
      </c>
      <c r="CF39" s="71">
        <f>IFERROR(up_RadSpec!$H$11*CF11,".")*$B$39</f>
        <v>2694140625</v>
      </c>
      <c r="CG39" s="71">
        <f>IFERROR(up_RadSpec!$H$11*CG11,".")*$B$39</f>
        <v>2615670509.7087379</v>
      </c>
      <c r="CH39" s="49">
        <f t="shared" si="52"/>
        <v>1</v>
      </c>
      <c r="CI39" s="49">
        <f t="shared" si="52"/>
        <v>0.14939951664921358</v>
      </c>
      <c r="CJ39" s="49">
        <f t="shared" si="52"/>
        <v>0.55363022321272748</v>
      </c>
      <c r="CK39" s="49">
        <f t="shared" si="52"/>
        <v>1</v>
      </c>
      <c r="CL39" s="49">
        <f t="shared" si="52"/>
        <v>1</v>
      </c>
      <c r="CM39" s="49">
        <f t="shared" si="52"/>
        <v>1</v>
      </c>
      <c r="CN39" s="49">
        <f t="shared" si="52"/>
        <v>1</v>
      </c>
      <c r="CO39" s="49">
        <f t="shared" si="52"/>
        <v>1</v>
      </c>
      <c r="CP39" s="49">
        <f t="shared" si="52"/>
        <v>1</v>
      </c>
      <c r="CQ39" s="49">
        <f t="shared" si="52"/>
        <v>1</v>
      </c>
      <c r="CR39" s="49">
        <f t="shared" si="52"/>
        <v>1</v>
      </c>
      <c r="CS39" s="49">
        <f t="shared" si="52"/>
        <v>1</v>
      </c>
      <c r="CT39" s="49">
        <f t="shared" si="52"/>
        <v>1</v>
      </c>
      <c r="CU39" s="49">
        <f t="shared" si="52"/>
        <v>1</v>
      </c>
      <c r="CV39" s="49">
        <f t="shared" si="52"/>
        <v>1</v>
      </c>
      <c r="CW39" s="49">
        <f t="shared" si="53"/>
        <v>1</v>
      </c>
      <c r="CX39" s="60">
        <f t="shared" ref="CX39" si="105">IFERROR(CX11/$B39,0)</f>
        <v>3.6363636363636369E-10</v>
      </c>
      <c r="CY39" s="60" t="str">
        <f>IFERROR(CY11,".")</f>
        <v>.</v>
      </c>
      <c r="CZ39" s="60">
        <f t="shared" ref="CZ39:DL39" si="106">IFERROR(CZ11/$B39,0)</f>
        <v>3.9818181818181825E-6</v>
      </c>
      <c r="DA39" s="60">
        <f t="shared" si="106"/>
        <v>1.6443412786038031E-11</v>
      </c>
      <c r="DB39" s="60">
        <f t="shared" si="106"/>
        <v>1.322314049586777E-8</v>
      </c>
      <c r="DC39" s="60">
        <f t="shared" si="106"/>
        <v>1.322314049586777E-8</v>
      </c>
      <c r="DD39" s="60">
        <f t="shared" si="106"/>
        <v>2.6446280991735539E-9</v>
      </c>
      <c r="DE39" s="60">
        <f t="shared" si="106"/>
        <v>2.7239669421487605E-9</v>
      </c>
      <c r="DF39" s="60">
        <f t="shared" si="106"/>
        <v>2.6446280991735539E-9</v>
      </c>
      <c r="DG39" s="60">
        <f t="shared" si="106"/>
        <v>2.6446280991735539E-9</v>
      </c>
      <c r="DH39" s="60">
        <f t="shared" si="106"/>
        <v>2.6446280991735539E-9</v>
      </c>
      <c r="DI39" s="60">
        <f t="shared" si="106"/>
        <v>2.6446280991735539E-9</v>
      </c>
      <c r="DJ39" s="60">
        <f t="shared" si="106"/>
        <v>2.7239669421487605E-9</v>
      </c>
      <c r="DK39" s="60">
        <f t="shared" si="106"/>
        <v>2.6446280991735539E-9</v>
      </c>
      <c r="DL39" s="60">
        <f t="shared" si="106"/>
        <v>2.7239669421487605E-9</v>
      </c>
      <c r="DM39" s="15"/>
      <c r="DN39" s="15"/>
      <c r="DO39" s="15"/>
      <c r="DP39" s="15"/>
      <c r="DQ39" s="15"/>
      <c r="DR39" s="15"/>
      <c r="DS39" s="15"/>
      <c r="DT39" s="15"/>
      <c r="DU39" s="15"/>
      <c r="DV39" s="15"/>
      <c r="DW39" s="15"/>
      <c r="DX39" s="15"/>
      <c r="DY39" s="15"/>
      <c r="DZ39" s="15"/>
      <c r="EA39" s="15"/>
      <c r="EB39" s="60">
        <f t="shared" ref="EB39" si="107">IFERROR(EB11/$B39,0)</f>
        <v>1.4906192608956601E-11</v>
      </c>
      <c r="EC39" s="71">
        <f>IFERROR(up_RadSpec!$I$11*EC11,".")*$B$39</f>
        <v>137500</v>
      </c>
      <c r="ED39" s="71">
        <f>IFERROR(up_RadSpec!$F$11*ED11,".")*$B$39</f>
        <v>0</v>
      </c>
      <c r="EE39" s="71">
        <f>IFERROR(up_RadSpec!$M$11*EE11,".")*$B$39</f>
        <v>12.557077625570777</v>
      </c>
      <c r="EF39" s="71">
        <f>up_b2w!CC39</f>
        <v>3040731.3038114933</v>
      </c>
      <c r="EG39" s="71">
        <f>IFERROR(up_RadSpec!$H$11*EG11,".")*$B$39</f>
        <v>3781.25</v>
      </c>
      <c r="EH39" s="71">
        <f>IFERROR(up_RadSpec!$H$11*EH11,".")*$B$39</f>
        <v>3781.25</v>
      </c>
      <c r="EI39" s="71">
        <f>IFERROR(up_RadSpec!$H$11*EI11,".")*$B$39</f>
        <v>18906.25</v>
      </c>
      <c r="EJ39" s="71">
        <f>IFERROR(up_RadSpec!$H$11*EJ11,".")*$B$39</f>
        <v>18355.582524271846</v>
      </c>
      <c r="EK39" s="71">
        <f>IFERROR(up_RadSpec!$H$11*EK11,".")*$B$39</f>
        <v>18906.25</v>
      </c>
      <c r="EL39" s="71">
        <f>IFERROR(up_RadSpec!$H$11*EL11,".")*$B$39</f>
        <v>18906.25</v>
      </c>
      <c r="EM39" s="71">
        <f>IFERROR(up_RadSpec!$H$11*EM11,".")*$B$39</f>
        <v>18906.25</v>
      </c>
      <c r="EN39" s="71">
        <f>IFERROR(up_RadSpec!$H$11*EN11,".")*$B$39</f>
        <v>18906.25</v>
      </c>
      <c r="EO39" s="71">
        <f>IFERROR(up_RadSpec!$H$11*EO11,".")*$B$39</f>
        <v>18355.582524271846</v>
      </c>
      <c r="EP39" s="71">
        <f>IFERROR(up_RadSpec!$H$11*EP11,".")*$B$39</f>
        <v>18906.25</v>
      </c>
      <c r="EQ39" s="71">
        <f>IFERROR(up_RadSpec!$H$11*EQ11,".")*$B$39</f>
        <v>18355.582524271846</v>
      </c>
      <c r="ER39" s="49">
        <f t="shared" si="57"/>
        <v>1</v>
      </c>
      <c r="ES39" s="49">
        <f t="shared" si="57"/>
        <v>0</v>
      </c>
      <c r="ET39" s="49">
        <f t="shared" si="57"/>
        <v>0.99999648009875997</v>
      </c>
      <c r="EU39" s="49">
        <f t="shared" si="57"/>
        <v>1</v>
      </c>
      <c r="EV39" s="49">
        <f t="shared" si="57"/>
        <v>1</v>
      </c>
      <c r="EW39" s="49">
        <f t="shared" si="57"/>
        <v>1</v>
      </c>
      <c r="EX39" s="49">
        <f t="shared" si="57"/>
        <v>1</v>
      </c>
      <c r="EY39" s="49">
        <f t="shared" si="57"/>
        <v>1</v>
      </c>
      <c r="EZ39" s="49">
        <f t="shared" si="57"/>
        <v>1</v>
      </c>
      <c r="FA39" s="49">
        <f t="shared" si="57"/>
        <v>1</v>
      </c>
      <c r="FB39" s="49">
        <f t="shared" si="57"/>
        <v>1</v>
      </c>
      <c r="FC39" s="49">
        <f t="shared" si="57"/>
        <v>1</v>
      </c>
      <c r="FD39" s="49">
        <f t="shared" si="57"/>
        <v>1</v>
      </c>
      <c r="FE39" s="49">
        <f t="shared" si="57"/>
        <v>1</v>
      </c>
      <c r="FF39" s="49">
        <f t="shared" si="57"/>
        <v>1</v>
      </c>
      <c r="FG39" s="49">
        <f t="shared" si="58"/>
        <v>1</v>
      </c>
      <c r="FH39" s="60">
        <f>IFERROR(FH11/$B39,0)</f>
        <v>9.9740259740259755E-10</v>
      </c>
      <c r="FI39" s="60">
        <f>IFERROR(FI11/$B39,0)</f>
        <v>6.3709090909090908E-6</v>
      </c>
      <c r="FJ39" s="60">
        <f>IFERROR(FJ11/$B39,0)</f>
        <v>9.9724647271019672E-10</v>
      </c>
      <c r="FK39" s="71">
        <f>IFERROR(up_RadSpec!$F$11*FK11,".")*$B$39</f>
        <v>50130.208333333328</v>
      </c>
      <c r="FL39" s="71">
        <f>IFERROR(up_RadSpec!$K$11*FL11,".")*$B$39</f>
        <v>7.8481735159817356</v>
      </c>
      <c r="FM39" s="49">
        <f t="shared" si="73"/>
        <v>1</v>
      </c>
      <c r="FN39" s="49">
        <f t="shared" si="73"/>
        <v>0.99960953550549536</v>
      </c>
      <c r="FO39" s="49">
        <f t="shared" si="74"/>
        <v>1</v>
      </c>
    </row>
    <row r="40" spans="1:171" x14ac:dyDescent="0.25">
      <c r="A40" s="83" t="s">
        <v>1082</v>
      </c>
      <c r="B40" s="42">
        <v>1</v>
      </c>
      <c r="C40" s="42"/>
      <c r="D40" s="60">
        <f t="shared" ref="D40:O40" si="108">IFERROR(D4/$B40,0)</f>
        <v>1.6528925619834712E-11</v>
      </c>
      <c r="E40" s="60">
        <f t="shared" si="108"/>
        <v>6.6115702479338848E-11</v>
      </c>
      <c r="F40" s="60">
        <f t="shared" si="108"/>
        <v>6.6115702479338848E-11</v>
      </c>
      <c r="G40" s="60">
        <f t="shared" si="108"/>
        <v>6.6115702479338848E-11</v>
      </c>
      <c r="H40" s="60">
        <f t="shared" si="108"/>
        <v>6.6115702479338848E-11</v>
      </c>
      <c r="I40" s="60">
        <f t="shared" si="108"/>
        <v>6.6115702479338848E-11</v>
      </c>
      <c r="J40" s="60">
        <f t="shared" si="108"/>
        <v>6.6115702479338848E-11</v>
      </c>
      <c r="K40" s="60">
        <f t="shared" si="108"/>
        <v>6.6115702479338848E-11</v>
      </c>
      <c r="L40" s="60">
        <f t="shared" si="108"/>
        <v>6.6115702479338848E-11</v>
      </c>
      <c r="M40" s="60">
        <f t="shared" si="108"/>
        <v>6.6115702479338848E-11</v>
      </c>
      <c r="N40" s="60">
        <f t="shared" si="108"/>
        <v>6.6115702479338848E-11</v>
      </c>
      <c r="O40" s="60">
        <f t="shared" si="108"/>
        <v>6.6115702479338848E-11</v>
      </c>
      <c r="P40" s="71">
        <f>up_dir!BC40</f>
        <v>3025000</v>
      </c>
      <c r="Q40" s="71">
        <f>IFERROR(up_RadSpec!$H$4*Q4,".")*$B$40</f>
        <v>756250</v>
      </c>
      <c r="R40" s="71">
        <f>IFERROR(up_RadSpec!$H$4*R4,".")*$B$40</f>
        <v>756250</v>
      </c>
      <c r="S40" s="71">
        <f>IFERROR(up_RadSpec!$H$4*S4,".")*$B$40</f>
        <v>756250</v>
      </c>
      <c r="T40" s="71">
        <f>IFERROR(up_RadSpec!$H$4*T4,".")*$B$40</f>
        <v>756250</v>
      </c>
      <c r="U40" s="71">
        <f>IFERROR(up_RadSpec!$H$4*U4,".")*$B$40</f>
        <v>756250</v>
      </c>
      <c r="V40" s="71">
        <f>IFERROR(up_RadSpec!$H$4*V4,".")*$B$40</f>
        <v>756250</v>
      </c>
      <c r="W40" s="71">
        <f>IFERROR(up_RadSpec!$H$4*W4,".")*$B$40</f>
        <v>756250</v>
      </c>
      <c r="X40" s="71">
        <f>IFERROR(up_RadSpec!$H$4*X4,".")*$B$40</f>
        <v>756250</v>
      </c>
      <c r="Y40" s="71">
        <f>IFERROR(up_RadSpec!$H$4*Y4,".")*$B$40</f>
        <v>756250</v>
      </c>
      <c r="Z40" s="71">
        <f>IFERROR(up_RadSpec!$H$4*Z4,".")*$B$40</f>
        <v>756250</v>
      </c>
      <c r="AA40" s="71">
        <f>IFERROR(up_RadSpec!$H$4*AA4,".")*$B$40</f>
        <v>756250</v>
      </c>
      <c r="AB40" s="49">
        <f t="shared" si="48"/>
        <v>1</v>
      </c>
      <c r="AC40" s="49">
        <f t="shared" si="48"/>
        <v>1</v>
      </c>
      <c r="AD40" s="49">
        <f t="shared" si="48"/>
        <v>1</v>
      </c>
      <c r="AE40" s="49">
        <f t="shared" si="48"/>
        <v>1</v>
      </c>
      <c r="AF40" s="49">
        <f t="shared" si="48"/>
        <v>1</v>
      </c>
      <c r="AG40" s="49">
        <f t="shared" si="60"/>
        <v>1</v>
      </c>
      <c r="AH40" s="49">
        <f t="shared" si="61"/>
        <v>1</v>
      </c>
      <c r="AI40" s="49">
        <f t="shared" si="62"/>
        <v>1</v>
      </c>
      <c r="AJ40" s="49">
        <f t="shared" si="63"/>
        <v>1</v>
      </c>
      <c r="AK40" s="49">
        <f t="shared" si="64"/>
        <v>1</v>
      </c>
      <c r="AL40" s="49">
        <f t="shared" si="65"/>
        <v>1</v>
      </c>
      <c r="AM40" s="49">
        <f t="shared" si="66"/>
        <v>1</v>
      </c>
      <c r="AN40" s="60">
        <f t="shared" ref="AN40:BB40" si="109">IFERROR(AN4/$B40,0)</f>
        <v>3.3057851239669421E-8</v>
      </c>
      <c r="AO40" s="60">
        <f t="shared" si="109"/>
        <v>3.0899917851942918E-4</v>
      </c>
      <c r="AP40" s="60">
        <f t="shared" si="109"/>
        <v>3.4410774410774423E-5</v>
      </c>
      <c r="AQ40" s="60">
        <f t="shared" si="109"/>
        <v>3.2968835384132272E-12</v>
      </c>
      <c r="AR40" s="60">
        <f t="shared" si="109"/>
        <v>6.6115702479338848E-11</v>
      </c>
      <c r="AS40" s="60">
        <f t="shared" si="109"/>
        <v>6.6115702479338848E-11</v>
      </c>
      <c r="AT40" s="60">
        <f t="shared" si="109"/>
        <v>1.8558793678410904E-14</v>
      </c>
      <c r="AU40" s="60">
        <f t="shared" si="109"/>
        <v>1.9115557488763232E-14</v>
      </c>
      <c r="AV40" s="60">
        <f t="shared" si="109"/>
        <v>1.8558793678410904E-14</v>
      </c>
      <c r="AW40" s="60">
        <f t="shared" si="109"/>
        <v>1.8558793678410904E-14</v>
      </c>
      <c r="AX40" s="60">
        <f t="shared" si="109"/>
        <v>1.8558793678410904E-14</v>
      </c>
      <c r="AY40" s="60">
        <f t="shared" si="109"/>
        <v>1.8558793678410904E-14</v>
      </c>
      <c r="AZ40" s="60">
        <f t="shared" si="109"/>
        <v>1.9115557488763232E-14</v>
      </c>
      <c r="BA40" s="60">
        <f t="shared" si="109"/>
        <v>1.8558793678410904E-14</v>
      </c>
      <c r="BB40" s="60">
        <f t="shared" si="109"/>
        <v>1.9115557488763232E-14</v>
      </c>
      <c r="BC40" s="42"/>
      <c r="BD40" s="42"/>
      <c r="BE40" s="42"/>
      <c r="BF40" s="42"/>
      <c r="BG40" s="42"/>
      <c r="BH40" s="42"/>
      <c r="BI40" s="42"/>
      <c r="BJ40" s="42"/>
      <c r="BK40" s="42"/>
      <c r="BL40" s="42"/>
      <c r="BM40" s="42"/>
      <c r="BN40" s="42"/>
      <c r="BO40" s="42"/>
      <c r="BP40" s="42"/>
      <c r="BQ40" s="42"/>
      <c r="BR40" s="60">
        <f t="shared" ref="BR40" si="110">IFERROR(BR4/$B40,0)</f>
        <v>2.0808592670317292E-15</v>
      </c>
      <c r="BS40" s="71">
        <f>IFERROR(up_RadSpec!$E$4*BS4,".")*$B$40</f>
        <v>1512.5</v>
      </c>
      <c r="BT40" s="71">
        <f>IFERROR(up_RadSpec!$F$4*BT4,".")*$B$40</f>
        <v>0.16181272791589676</v>
      </c>
      <c r="BU40" s="71">
        <f>IFERROR(up_RadSpec!$G$4*BU4,".")*$B$40</f>
        <v>1.4530332681017608</v>
      </c>
      <c r="BV40" s="71">
        <f>up_b2s!CC40</f>
        <v>15165837.5</v>
      </c>
      <c r="BW40" s="71">
        <f>IFERROR(up_RadSpec!$H$4*BW4,".")*$B$40</f>
        <v>756250</v>
      </c>
      <c r="BX40" s="71">
        <f>IFERROR(up_RadSpec!$H$4*BX4,".")*$B$40</f>
        <v>756250</v>
      </c>
      <c r="BY40" s="71">
        <f>IFERROR(up_RadSpec!$H$4*BY4,".")*$B$40</f>
        <v>2694140625</v>
      </c>
      <c r="BZ40" s="71">
        <f>IFERROR(up_RadSpec!$H$4*BZ4,".")*$B$40</f>
        <v>2615670509.7087379</v>
      </c>
      <c r="CA40" s="71">
        <f>IFERROR(up_RadSpec!$H$4*CA4,".")*$B$40</f>
        <v>2694140625</v>
      </c>
      <c r="CB40" s="71">
        <f>IFERROR(up_RadSpec!$H$4*CB4,".")*$B$40</f>
        <v>2694140625</v>
      </c>
      <c r="CC40" s="71">
        <f>IFERROR(up_RadSpec!$H$4*CC4,".")*$B$40</f>
        <v>2694140625</v>
      </c>
      <c r="CD40" s="71">
        <f>IFERROR(up_RadSpec!$H$4*CD4,".")*$B$40</f>
        <v>2694140625</v>
      </c>
      <c r="CE40" s="71">
        <f>IFERROR(up_RadSpec!$H$4*CE4,".")*$B$40</f>
        <v>2615670509.7087379</v>
      </c>
      <c r="CF40" s="71">
        <f>IFERROR(up_RadSpec!$H$4*CF4,".")*$B$40</f>
        <v>2694140625</v>
      </c>
      <c r="CG40" s="71">
        <f>IFERROR(up_RadSpec!$H$4*CG4,".")*$B$40</f>
        <v>2615670509.7087379</v>
      </c>
      <c r="CH40" s="49">
        <f t="shared" si="52"/>
        <v>1</v>
      </c>
      <c r="CI40" s="49">
        <f t="shared" si="52"/>
        <v>0.14939951664921358</v>
      </c>
      <c r="CJ40" s="49">
        <f t="shared" si="52"/>
        <v>0.76614014846171674</v>
      </c>
      <c r="CK40" s="49">
        <f t="shared" si="52"/>
        <v>1</v>
      </c>
      <c r="CL40" s="49">
        <f t="shared" si="52"/>
        <v>1</v>
      </c>
      <c r="CM40" s="49">
        <f t="shared" si="52"/>
        <v>1</v>
      </c>
      <c r="CN40" s="49">
        <f t="shared" si="52"/>
        <v>1</v>
      </c>
      <c r="CO40" s="49">
        <f t="shared" si="52"/>
        <v>1</v>
      </c>
      <c r="CP40" s="49">
        <f t="shared" si="52"/>
        <v>1</v>
      </c>
      <c r="CQ40" s="49">
        <f t="shared" si="52"/>
        <v>1</v>
      </c>
      <c r="CR40" s="49">
        <f t="shared" si="52"/>
        <v>1</v>
      </c>
      <c r="CS40" s="49">
        <f t="shared" si="52"/>
        <v>1</v>
      </c>
      <c r="CT40" s="49">
        <f t="shared" si="52"/>
        <v>1</v>
      </c>
      <c r="CU40" s="49">
        <f t="shared" si="52"/>
        <v>1</v>
      </c>
      <c r="CV40" s="49">
        <f t="shared" si="52"/>
        <v>1</v>
      </c>
      <c r="CW40" s="49">
        <f t="shared" si="53"/>
        <v>1</v>
      </c>
      <c r="CX40" s="60">
        <f t="shared" ref="CX40" si="111">IFERROR(CX4/$B40,0)</f>
        <v>3.6363636363636369E-10</v>
      </c>
      <c r="CY40" s="60" t="str">
        <f>IFERROR(CY4,".")</f>
        <v>.</v>
      </c>
      <c r="CZ40" s="60">
        <f t="shared" ref="CZ40:DL40" si="112">IFERROR(CZ4/$B40,0)</f>
        <v>3.9818181818181825E-6</v>
      </c>
      <c r="DA40" s="60">
        <f t="shared" si="112"/>
        <v>1.6443412786038031E-11</v>
      </c>
      <c r="DB40" s="60">
        <f t="shared" si="112"/>
        <v>1.322314049586777E-8</v>
      </c>
      <c r="DC40" s="60">
        <f t="shared" si="112"/>
        <v>1.322314049586777E-8</v>
      </c>
      <c r="DD40" s="60">
        <f t="shared" si="112"/>
        <v>2.6446280991735539E-9</v>
      </c>
      <c r="DE40" s="60">
        <f t="shared" si="112"/>
        <v>2.7239669421487605E-9</v>
      </c>
      <c r="DF40" s="60">
        <f t="shared" si="112"/>
        <v>2.6446280991735539E-9</v>
      </c>
      <c r="DG40" s="60">
        <f t="shared" si="112"/>
        <v>2.6446280991735539E-9</v>
      </c>
      <c r="DH40" s="60">
        <f t="shared" si="112"/>
        <v>2.6446280991735539E-9</v>
      </c>
      <c r="DI40" s="60">
        <f t="shared" si="112"/>
        <v>2.6446280991735539E-9</v>
      </c>
      <c r="DJ40" s="60">
        <f t="shared" si="112"/>
        <v>2.7239669421487605E-9</v>
      </c>
      <c r="DK40" s="60">
        <f t="shared" si="112"/>
        <v>2.6446280991735539E-9</v>
      </c>
      <c r="DL40" s="60">
        <f t="shared" si="112"/>
        <v>2.7239669421487605E-9</v>
      </c>
      <c r="DM40" s="15"/>
      <c r="DN40" s="15"/>
      <c r="DO40" s="15"/>
      <c r="DP40" s="15"/>
      <c r="DQ40" s="15"/>
      <c r="DR40" s="15"/>
      <c r="DS40" s="15"/>
      <c r="DT40" s="15"/>
      <c r="DU40" s="15"/>
      <c r="DV40" s="15"/>
      <c r="DW40" s="15"/>
      <c r="DX40" s="15"/>
      <c r="DY40" s="15"/>
      <c r="DZ40" s="15"/>
      <c r="EA40" s="15"/>
      <c r="EB40" s="60">
        <f t="shared" ref="EB40" si="113">IFERROR(EB4/$B40,0)</f>
        <v>1.4906192608956601E-11</v>
      </c>
      <c r="EC40" s="71">
        <f>IFERROR(up_RadSpec!$I$4*EC4,".")*$B$40</f>
        <v>137500</v>
      </c>
      <c r="ED40" s="71">
        <f>IFERROR(up_RadSpec!$F$4*ED4,".")*$B$40</f>
        <v>0</v>
      </c>
      <c r="EE40" s="71">
        <f>IFERROR(up_RadSpec!$M$4*EE4,".")*$B$40</f>
        <v>12.557077625570777</v>
      </c>
      <c r="EF40" s="71">
        <f>up_b2w!CC40</f>
        <v>3040731.3038114933</v>
      </c>
      <c r="EG40" s="71">
        <f>IFERROR(up_RadSpec!$H$4*EG4,".")*$B$40</f>
        <v>3781.25</v>
      </c>
      <c r="EH40" s="71">
        <f>IFERROR(up_RadSpec!$H$4*EH4,".")*$B$40</f>
        <v>3781.25</v>
      </c>
      <c r="EI40" s="71">
        <f>IFERROR(up_RadSpec!$H$4*EI4,".")*$B$40</f>
        <v>18906.25</v>
      </c>
      <c r="EJ40" s="71">
        <f>IFERROR(up_RadSpec!$H$4*EJ4,".")*$B$40</f>
        <v>18355.582524271846</v>
      </c>
      <c r="EK40" s="71">
        <f>IFERROR(up_RadSpec!$H$4*EK4,".")*$B$40</f>
        <v>18906.25</v>
      </c>
      <c r="EL40" s="71">
        <f>IFERROR(up_RadSpec!$H$4*EL4,".")*$B$40</f>
        <v>18906.25</v>
      </c>
      <c r="EM40" s="71">
        <f>IFERROR(up_RadSpec!$H$4*EM4,".")*$B$40</f>
        <v>18906.25</v>
      </c>
      <c r="EN40" s="71">
        <f>IFERROR(up_RadSpec!$H$4*EN4,".")*$B$40</f>
        <v>18906.25</v>
      </c>
      <c r="EO40" s="71">
        <f>IFERROR(up_RadSpec!$H$4*EO4,".")*$B$40</f>
        <v>18355.582524271846</v>
      </c>
      <c r="EP40" s="71">
        <f>IFERROR(up_RadSpec!$H$4*EP4,".")*$B$40</f>
        <v>18906.25</v>
      </c>
      <c r="EQ40" s="71">
        <f>IFERROR(up_RadSpec!$H$4*EQ4,".")*$B$40</f>
        <v>18355.582524271846</v>
      </c>
      <c r="ER40" s="49">
        <f t="shared" si="57"/>
        <v>1</v>
      </c>
      <c r="ES40" s="49">
        <f t="shared" si="57"/>
        <v>0</v>
      </c>
      <c r="ET40" s="49">
        <f t="shared" si="57"/>
        <v>0.99999648009875997</v>
      </c>
      <c r="EU40" s="49">
        <f t="shared" si="57"/>
        <v>1</v>
      </c>
      <c r="EV40" s="49">
        <f t="shared" si="57"/>
        <v>1</v>
      </c>
      <c r="EW40" s="49">
        <f t="shared" si="57"/>
        <v>1</v>
      </c>
      <c r="EX40" s="49">
        <f t="shared" si="57"/>
        <v>1</v>
      </c>
      <c r="EY40" s="49">
        <f t="shared" si="57"/>
        <v>1</v>
      </c>
      <c r="EZ40" s="49">
        <f t="shared" si="57"/>
        <v>1</v>
      </c>
      <c r="FA40" s="49">
        <f t="shared" si="57"/>
        <v>1</v>
      </c>
      <c r="FB40" s="49">
        <f t="shared" si="57"/>
        <v>1</v>
      </c>
      <c r="FC40" s="49">
        <f t="shared" si="57"/>
        <v>1</v>
      </c>
      <c r="FD40" s="49">
        <f t="shared" si="57"/>
        <v>1</v>
      </c>
      <c r="FE40" s="49">
        <f t="shared" si="57"/>
        <v>1</v>
      </c>
      <c r="FF40" s="49">
        <f t="shared" si="57"/>
        <v>1</v>
      </c>
      <c r="FG40" s="49">
        <f t="shared" si="58"/>
        <v>1</v>
      </c>
      <c r="FH40" s="60">
        <f>IFERROR(FH4/$B40,0)</f>
        <v>9.9740259740259755E-10</v>
      </c>
      <c r="FI40" s="60">
        <f>IFERROR(FI4/$B40,0)</f>
        <v>6.3709090909090908E-6</v>
      </c>
      <c r="FJ40" s="60">
        <f>IFERROR(FJ4/$B40,0)</f>
        <v>9.9724647271019672E-10</v>
      </c>
      <c r="FK40" s="71">
        <f>IFERROR(up_RadSpec!$F$4*FK4,".")*$B$40</f>
        <v>50130.208333333328</v>
      </c>
      <c r="FL40" s="71">
        <f>IFERROR(up_RadSpec!$K$4*FL4,".")*$B$40</f>
        <v>7.8481735159817356</v>
      </c>
      <c r="FM40" s="49">
        <f t="shared" si="73"/>
        <v>1</v>
      </c>
      <c r="FN40" s="49">
        <f t="shared" si="73"/>
        <v>0.99960953550549536</v>
      </c>
      <c r="FO40" s="49">
        <f t="shared" si="74"/>
        <v>1</v>
      </c>
    </row>
    <row r="41" spans="1:171" x14ac:dyDescent="0.25">
      <c r="A41" s="83" t="s">
        <v>1083</v>
      </c>
      <c r="B41" s="84">
        <v>0.99987999999999999</v>
      </c>
      <c r="C41" s="84"/>
      <c r="D41" s="60">
        <f t="shared" ref="D41:O41" si="114">IFERROR(D8/$B41,0)</f>
        <v>1.6530909328954186E-11</v>
      </c>
      <c r="E41" s="60">
        <f t="shared" si="114"/>
        <v>6.6123637315816743E-11</v>
      </c>
      <c r="F41" s="60">
        <f t="shared" si="114"/>
        <v>6.6123637315816743E-11</v>
      </c>
      <c r="G41" s="60">
        <f t="shared" si="114"/>
        <v>6.6123637315816743E-11</v>
      </c>
      <c r="H41" s="60">
        <f t="shared" si="114"/>
        <v>6.6123637315816743E-11</v>
      </c>
      <c r="I41" s="60">
        <f t="shared" si="114"/>
        <v>6.6123637315816743E-11</v>
      </c>
      <c r="J41" s="60">
        <f t="shared" si="114"/>
        <v>6.6123637315816743E-11</v>
      </c>
      <c r="K41" s="60">
        <f t="shared" si="114"/>
        <v>6.6123637315816743E-11</v>
      </c>
      <c r="L41" s="60">
        <f t="shared" si="114"/>
        <v>6.6123637315816743E-11</v>
      </c>
      <c r="M41" s="60">
        <f t="shared" si="114"/>
        <v>6.6123637315816743E-11</v>
      </c>
      <c r="N41" s="60">
        <f t="shared" si="114"/>
        <v>6.6123637315816743E-11</v>
      </c>
      <c r="O41" s="60">
        <f t="shared" si="114"/>
        <v>6.6123637315816743E-11</v>
      </c>
      <c r="P41" s="71">
        <f>up_dir!BC41</f>
        <v>3025363.0435652281</v>
      </c>
      <c r="Q41" s="71">
        <f>IFERROR(up_RadSpec!$H$8*Q8,".")*$B$41</f>
        <v>756159.25</v>
      </c>
      <c r="R41" s="71">
        <f>IFERROR(up_RadSpec!$H$8*R8,".")*$B$41</f>
        <v>756159.25</v>
      </c>
      <c r="S41" s="71">
        <f>IFERROR(up_RadSpec!$H$8*S8,".")*$B$41</f>
        <v>756159.25</v>
      </c>
      <c r="T41" s="71">
        <f>IFERROR(up_RadSpec!$H$8*T8,".")*$B$41</f>
        <v>756159.25</v>
      </c>
      <c r="U41" s="71">
        <f>IFERROR(up_RadSpec!$H$8*U8,".")*$B$41</f>
        <v>756159.25</v>
      </c>
      <c r="V41" s="71">
        <f>IFERROR(up_RadSpec!$H$8*V8,".")*$B$41</f>
        <v>756159.25</v>
      </c>
      <c r="W41" s="71">
        <f>IFERROR(up_RadSpec!$H$8*W8,".")*$B$41</f>
        <v>756159.25</v>
      </c>
      <c r="X41" s="71">
        <f>IFERROR(up_RadSpec!$H$8*X8,".")*$B$41</f>
        <v>756159.25</v>
      </c>
      <c r="Y41" s="71">
        <f>IFERROR(up_RadSpec!$H$8*Y8,".")*$B$41</f>
        <v>756159.25</v>
      </c>
      <c r="Z41" s="71">
        <f>IFERROR(up_RadSpec!$H$8*Z8,".")*$B$41</f>
        <v>756159.25</v>
      </c>
      <c r="AA41" s="71">
        <f>IFERROR(up_RadSpec!$H$8*AA8,".")*$B$41</f>
        <v>756159.25</v>
      </c>
      <c r="AB41" s="49">
        <f t="shared" si="48"/>
        <v>1</v>
      </c>
      <c r="AC41" s="49">
        <f t="shared" si="48"/>
        <v>1</v>
      </c>
      <c r="AD41" s="49">
        <f t="shared" si="48"/>
        <v>1</v>
      </c>
      <c r="AE41" s="49">
        <f t="shared" si="48"/>
        <v>1</v>
      </c>
      <c r="AF41" s="49">
        <f t="shared" si="48"/>
        <v>1</v>
      </c>
      <c r="AG41" s="49">
        <f t="shared" si="60"/>
        <v>1</v>
      </c>
      <c r="AH41" s="49">
        <f t="shared" si="61"/>
        <v>1</v>
      </c>
      <c r="AI41" s="49">
        <f t="shared" si="62"/>
        <v>1</v>
      </c>
      <c r="AJ41" s="49">
        <f t="shared" si="63"/>
        <v>1</v>
      </c>
      <c r="AK41" s="49">
        <f t="shared" si="64"/>
        <v>1</v>
      </c>
      <c r="AL41" s="49">
        <f t="shared" si="65"/>
        <v>1</v>
      </c>
      <c r="AM41" s="49">
        <f t="shared" si="66"/>
        <v>1</v>
      </c>
      <c r="AN41" s="60">
        <f t="shared" ref="AN41:BB41" si="115">IFERROR(AN8/$B41,0)</f>
        <v>3.3061818657908367E-8</v>
      </c>
      <c r="AO41" s="60">
        <f t="shared" si="115"/>
        <v>3.0903626287097369E-4</v>
      </c>
      <c r="AP41" s="60">
        <f t="shared" si="115"/>
        <v>2.2001635675939592E-5</v>
      </c>
      <c r="AQ41" s="60">
        <f t="shared" si="115"/>
        <v>3.2972792119186574E-12</v>
      </c>
      <c r="AR41" s="60">
        <f t="shared" si="115"/>
        <v>6.6123637315816743E-11</v>
      </c>
      <c r="AS41" s="60">
        <f t="shared" si="115"/>
        <v>6.6123637315816743E-11</v>
      </c>
      <c r="AT41" s="60">
        <f t="shared" si="115"/>
        <v>1.8561021000931015E-14</v>
      </c>
      <c r="AU41" s="60">
        <f t="shared" si="115"/>
        <v>1.9117851630958947E-14</v>
      </c>
      <c r="AV41" s="60">
        <f t="shared" si="115"/>
        <v>1.8561021000931015E-14</v>
      </c>
      <c r="AW41" s="60">
        <f t="shared" si="115"/>
        <v>1.8561021000931015E-14</v>
      </c>
      <c r="AX41" s="60">
        <f t="shared" si="115"/>
        <v>1.8561021000931015E-14</v>
      </c>
      <c r="AY41" s="60">
        <f t="shared" si="115"/>
        <v>1.8561021000931015E-14</v>
      </c>
      <c r="AZ41" s="60">
        <f t="shared" si="115"/>
        <v>1.9117851630958947E-14</v>
      </c>
      <c r="BA41" s="60">
        <f t="shared" si="115"/>
        <v>1.8561021000931015E-14</v>
      </c>
      <c r="BB41" s="60">
        <f t="shared" si="115"/>
        <v>1.9117851630958947E-14</v>
      </c>
      <c r="BC41" s="42"/>
      <c r="BD41" s="42"/>
      <c r="BE41" s="42"/>
      <c r="BF41" s="42"/>
      <c r="BG41" s="42"/>
      <c r="BH41" s="42"/>
      <c r="BI41" s="42"/>
      <c r="BJ41" s="42"/>
      <c r="BK41" s="42"/>
      <c r="BL41" s="42"/>
      <c r="BM41" s="42"/>
      <c r="BN41" s="42"/>
      <c r="BO41" s="42"/>
      <c r="BP41" s="42"/>
      <c r="BQ41" s="42"/>
      <c r="BR41" s="60">
        <f t="shared" ref="BR41" si="116">IFERROR(BR8/$B41,0)</f>
        <v>2.0811090000407401E-15</v>
      </c>
      <c r="BS41" s="71">
        <f>IFERROR(up_RadSpec!$E$8*BS8,".")*$B$41</f>
        <v>1512.3185000000001</v>
      </c>
      <c r="BT41" s="71">
        <f>IFERROR(up_RadSpec!$F$8*BT8,".")*$B$41</f>
        <v>0.16179331038854686</v>
      </c>
      <c r="BU41" s="71">
        <f>IFERROR(up_RadSpec!$G$8*BU8,".")*$B$41</f>
        <v>2.2725583105022817</v>
      </c>
      <c r="BV41" s="71">
        <f>up_b2s!CC41</f>
        <v>15167657.618914269</v>
      </c>
      <c r="BW41" s="71">
        <f>IFERROR(up_RadSpec!$H$8*BW8,".")*$B$41</f>
        <v>756159.25</v>
      </c>
      <c r="BX41" s="71">
        <f>IFERROR(up_RadSpec!$H$8*BX8,".")*$B$41</f>
        <v>756159.25</v>
      </c>
      <c r="BY41" s="71">
        <f>IFERROR(up_RadSpec!$H$8*BY8,".")*$B$41</f>
        <v>2693817328.125</v>
      </c>
      <c r="BZ41" s="71">
        <f>IFERROR(up_RadSpec!$H$8*BZ8,".")*$B$41</f>
        <v>2615356629.2475729</v>
      </c>
      <c r="CA41" s="71">
        <f>IFERROR(up_RadSpec!$H$8*CA8,".")*$B$41</f>
        <v>2693817328.125</v>
      </c>
      <c r="CB41" s="71">
        <f>IFERROR(up_RadSpec!$H$8*CB8,".")*$B$41</f>
        <v>2693817328.125</v>
      </c>
      <c r="CC41" s="71">
        <f>IFERROR(up_RadSpec!$H$8*CC8,".")*$B$41</f>
        <v>2693817328.125</v>
      </c>
      <c r="CD41" s="71">
        <f>IFERROR(up_RadSpec!$H$8*CD8,".")*$B$41</f>
        <v>2693817328.125</v>
      </c>
      <c r="CE41" s="71">
        <f>IFERROR(up_RadSpec!$H$8*CE8,".")*$B$41</f>
        <v>2615356629.2475729</v>
      </c>
      <c r="CF41" s="71">
        <f>IFERROR(up_RadSpec!$H$8*CF8,".")*$B$41</f>
        <v>2693817328.125</v>
      </c>
      <c r="CG41" s="71">
        <f>IFERROR(up_RadSpec!$H$8*CG8,".")*$B$41</f>
        <v>2615356629.2475729</v>
      </c>
      <c r="CH41" s="49">
        <f t="shared" si="52"/>
        <v>1</v>
      </c>
      <c r="CI41" s="49">
        <f t="shared" si="52"/>
        <v>0.14938299993070792</v>
      </c>
      <c r="CJ41" s="49">
        <f t="shared" si="52"/>
        <v>0.89695178675368381</v>
      </c>
      <c r="CK41" s="49">
        <f t="shared" si="52"/>
        <v>1</v>
      </c>
      <c r="CL41" s="49">
        <f t="shared" si="52"/>
        <v>1</v>
      </c>
      <c r="CM41" s="49">
        <f t="shared" si="52"/>
        <v>1</v>
      </c>
      <c r="CN41" s="49">
        <f t="shared" si="52"/>
        <v>1</v>
      </c>
      <c r="CO41" s="49">
        <f t="shared" si="52"/>
        <v>1</v>
      </c>
      <c r="CP41" s="49">
        <f t="shared" si="52"/>
        <v>1</v>
      </c>
      <c r="CQ41" s="49">
        <f t="shared" si="52"/>
        <v>1</v>
      </c>
      <c r="CR41" s="49">
        <f t="shared" si="52"/>
        <v>1</v>
      </c>
      <c r="CS41" s="49">
        <f t="shared" si="52"/>
        <v>1</v>
      </c>
      <c r="CT41" s="49">
        <f t="shared" si="52"/>
        <v>1</v>
      </c>
      <c r="CU41" s="49">
        <f t="shared" si="52"/>
        <v>1</v>
      </c>
      <c r="CV41" s="49">
        <f t="shared" si="52"/>
        <v>1</v>
      </c>
      <c r="CW41" s="49">
        <f t="shared" si="53"/>
        <v>1</v>
      </c>
      <c r="CX41" s="60">
        <f t="shared" ref="CX41" si="117">IFERROR(CX8/$B41,0)</f>
        <v>3.6368000523699216E-10</v>
      </c>
      <c r="CY41" s="60" t="str">
        <f>IFERROR(CY8,".")</f>
        <v>.</v>
      </c>
      <c r="CZ41" s="60">
        <f t="shared" ref="CZ41:DL41" si="118">IFERROR(CZ8/$B41,0)</f>
        <v>3.9822960573450638E-6</v>
      </c>
      <c r="DA41" s="60">
        <f t="shared" si="118"/>
        <v>1.6445386232385919E-11</v>
      </c>
      <c r="DB41" s="60">
        <f t="shared" si="118"/>
        <v>1.322472746316335E-8</v>
      </c>
      <c r="DC41" s="60">
        <f t="shared" si="118"/>
        <v>1.322472746316335E-8</v>
      </c>
      <c r="DD41" s="60">
        <f t="shared" si="118"/>
        <v>2.6449454926326698E-9</v>
      </c>
      <c r="DE41" s="60">
        <f t="shared" si="118"/>
        <v>2.7242938574116498E-9</v>
      </c>
      <c r="DF41" s="60">
        <f t="shared" si="118"/>
        <v>2.6449454926326698E-9</v>
      </c>
      <c r="DG41" s="60">
        <f t="shared" si="118"/>
        <v>2.6449454926326698E-9</v>
      </c>
      <c r="DH41" s="60">
        <f t="shared" si="118"/>
        <v>2.6449454926326698E-9</v>
      </c>
      <c r="DI41" s="60">
        <f t="shared" si="118"/>
        <v>2.6449454926326698E-9</v>
      </c>
      <c r="DJ41" s="60">
        <f t="shared" si="118"/>
        <v>2.7242938574116498E-9</v>
      </c>
      <c r="DK41" s="60">
        <f t="shared" si="118"/>
        <v>2.6449454926326698E-9</v>
      </c>
      <c r="DL41" s="60">
        <f t="shared" si="118"/>
        <v>2.7242938574116498E-9</v>
      </c>
      <c r="DM41" s="15"/>
      <c r="DN41" s="15"/>
      <c r="DO41" s="15"/>
      <c r="DP41" s="15"/>
      <c r="DQ41" s="15"/>
      <c r="DR41" s="15"/>
      <c r="DS41" s="15"/>
      <c r="DT41" s="15"/>
      <c r="DU41" s="15"/>
      <c r="DV41" s="15"/>
      <c r="DW41" s="15"/>
      <c r="DX41" s="15"/>
      <c r="DY41" s="15"/>
      <c r="DZ41" s="15"/>
      <c r="EA41" s="15"/>
      <c r="EB41" s="60">
        <f t="shared" ref="EB41" si="119">IFERROR(EB8/$B41,0)</f>
        <v>1.490798156674461E-11</v>
      </c>
      <c r="EC41" s="71">
        <f>IFERROR(up_RadSpec!$I$8*EC8,".")*$B$41</f>
        <v>137483.5</v>
      </c>
      <c r="ED41" s="71">
        <f>IFERROR(up_RadSpec!$F$8*ED8,".")*$B$41</f>
        <v>0</v>
      </c>
      <c r="EE41" s="71">
        <f>IFERROR(up_RadSpec!$M$8*EE8,".")*$B$41</f>
        <v>12.555570776255708</v>
      </c>
      <c r="EF41" s="71">
        <f>up_b2w!CC41</f>
        <v>3041096.2353597367</v>
      </c>
      <c r="EG41" s="71">
        <f>IFERROR(up_RadSpec!$H$8*EG8,".")*$B$41</f>
        <v>3780.7962499999999</v>
      </c>
      <c r="EH41" s="71">
        <f>IFERROR(up_RadSpec!$H$8*EH8,".")*$B$41</f>
        <v>3780.7962499999999</v>
      </c>
      <c r="EI41" s="71">
        <f>IFERROR(up_RadSpec!$H$8*EI8,".")*$B$41</f>
        <v>18903.981250000001</v>
      </c>
      <c r="EJ41" s="71">
        <f>IFERROR(up_RadSpec!$H$8*EJ8,".")*$B$41</f>
        <v>18353.379854368934</v>
      </c>
      <c r="EK41" s="71">
        <f>IFERROR(up_RadSpec!$H$8*EK8,".")*$B$41</f>
        <v>18903.981250000001</v>
      </c>
      <c r="EL41" s="71">
        <f>IFERROR(up_RadSpec!$H$8*EL8,".")*$B$41</f>
        <v>18903.981250000001</v>
      </c>
      <c r="EM41" s="71">
        <f>IFERROR(up_RadSpec!$H$8*EM8,".")*$B$41</f>
        <v>18903.981250000001</v>
      </c>
      <c r="EN41" s="71">
        <f>IFERROR(up_RadSpec!$H$8*EN8,".")*$B$41</f>
        <v>18903.981250000001</v>
      </c>
      <c r="EO41" s="71">
        <f>IFERROR(up_RadSpec!$H$8*EO8,".")*$B$41</f>
        <v>18353.379854368934</v>
      </c>
      <c r="EP41" s="71">
        <f>IFERROR(up_RadSpec!$H$8*EP8,".")*$B$41</f>
        <v>18903.981250000001</v>
      </c>
      <c r="EQ41" s="71">
        <f>IFERROR(up_RadSpec!$H$8*EQ8,".")*$B$41</f>
        <v>18353.379854368934</v>
      </c>
      <c r="ER41" s="49">
        <f t="shared" si="57"/>
        <v>1</v>
      </c>
      <c r="ES41" s="49">
        <f t="shared" si="57"/>
        <v>0</v>
      </c>
      <c r="ET41" s="49">
        <f t="shared" si="57"/>
        <v>0.99999647479080112</v>
      </c>
      <c r="EU41" s="49">
        <f t="shared" si="57"/>
        <v>1</v>
      </c>
      <c r="EV41" s="49">
        <f t="shared" si="57"/>
        <v>1</v>
      </c>
      <c r="EW41" s="49">
        <f t="shared" si="57"/>
        <v>1</v>
      </c>
      <c r="EX41" s="49">
        <f t="shared" si="57"/>
        <v>1</v>
      </c>
      <c r="EY41" s="49">
        <f t="shared" si="57"/>
        <v>1</v>
      </c>
      <c r="EZ41" s="49">
        <f t="shared" si="57"/>
        <v>1</v>
      </c>
      <c r="FA41" s="49">
        <f t="shared" si="57"/>
        <v>1</v>
      </c>
      <c r="FB41" s="49">
        <f t="shared" si="57"/>
        <v>1</v>
      </c>
      <c r="FC41" s="49">
        <f t="shared" si="57"/>
        <v>1</v>
      </c>
      <c r="FD41" s="49">
        <f t="shared" si="57"/>
        <v>1</v>
      </c>
      <c r="FE41" s="49">
        <f t="shared" si="57"/>
        <v>1</v>
      </c>
      <c r="FF41" s="49">
        <f t="shared" si="57"/>
        <v>1</v>
      </c>
      <c r="FG41" s="49">
        <f t="shared" si="58"/>
        <v>1</v>
      </c>
      <c r="FH41" s="60">
        <f>IFERROR(FH8/$B41,0)</f>
        <v>9.9752230007860697E-10</v>
      </c>
      <c r="FI41" s="60">
        <f>IFERROR(FI8/$B41,0)</f>
        <v>6.3716736917521008E-6</v>
      </c>
      <c r="FJ41" s="60">
        <f>IFERROR(FJ8/$B41,0)</f>
        <v>9.9736615664899466E-10</v>
      </c>
      <c r="FK41" s="71">
        <f>IFERROR(up_RadSpec!$F$8*FK8,".")*$B$41</f>
        <v>50124.192708333328</v>
      </c>
      <c r="FL41" s="71">
        <f>IFERROR(up_RadSpec!$K$8*FL8,".")*$B$41</f>
        <v>7.8472317351598173</v>
      </c>
      <c r="FM41" s="49">
        <f t="shared" si="73"/>
        <v>1</v>
      </c>
      <c r="FN41" s="49">
        <f t="shared" si="73"/>
        <v>0.99960916760030694</v>
      </c>
      <c r="FO41" s="49">
        <f t="shared" si="74"/>
        <v>1</v>
      </c>
    </row>
    <row r="42" spans="1:171" x14ac:dyDescent="0.25">
      <c r="A42" s="83" t="s">
        <v>1084</v>
      </c>
      <c r="B42" s="42">
        <v>0.97898250799999997</v>
      </c>
      <c r="C42" s="42"/>
      <c r="D42" s="60">
        <f t="shared" ref="D42:O42" si="120">IFERROR(D19/$B42,0)</f>
        <v>1.688378033801878E-11</v>
      </c>
      <c r="E42" s="60">
        <f t="shared" si="120"/>
        <v>6.7535121352075121E-11</v>
      </c>
      <c r="F42" s="60">
        <f t="shared" si="120"/>
        <v>6.7535121352075121E-11</v>
      </c>
      <c r="G42" s="60">
        <f t="shared" si="120"/>
        <v>6.7535121352075121E-11</v>
      </c>
      <c r="H42" s="60">
        <f t="shared" si="120"/>
        <v>6.7535121352075121E-11</v>
      </c>
      <c r="I42" s="60">
        <f t="shared" si="120"/>
        <v>6.7535121352075121E-11</v>
      </c>
      <c r="J42" s="60">
        <f t="shared" si="120"/>
        <v>6.7535121352075121E-11</v>
      </c>
      <c r="K42" s="60">
        <f t="shared" si="120"/>
        <v>6.7535121352075121E-11</v>
      </c>
      <c r="L42" s="60">
        <f t="shared" si="120"/>
        <v>6.7535121352075121E-11</v>
      </c>
      <c r="M42" s="60">
        <f t="shared" si="120"/>
        <v>6.7535121352075121E-11</v>
      </c>
      <c r="N42" s="60">
        <f t="shared" si="120"/>
        <v>6.7535121352075121E-11</v>
      </c>
      <c r="O42" s="60">
        <f t="shared" si="120"/>
        <v>6.7535121352075121E-11</v>
      </c>
      <c r="P42" s="71">
        <f>up_dir!BC42</f>
        <v>3089942.8491116618</v>
      </c>
      <c r="Q42" s="72">
        <f>IFERROR(up_RadSpec!$H$19*Q19,".")*$B$42</f>
        <v>740355.52167499997</v>
      </c>
      <c r="R42" s="72">
        <f>IFERROR(up_RadSpec!$H$19*R19,".")*$B$42</f>
        <v>740355.52167499997</v>
      </c>
      <c r="S42" s="72">
        <f>IFERROR(up_RadSpec!$H$19*S19,".")*$B$42</f>
        <v>740355.52167499997</v>
      </c>
      <c r="T42" s="72">
        <f>IFERROR(up_RadSpec!$H$19*T19,".")*$B$42</f>
        <v>740355.52167499997</v>
      </c>
      <c r="U42" s="72">
        <f>IFERROR(up_RadSpec!$H$19*U19,".")*$B$42</f>
        <v>740355.52167499997</v>
      </c>
      <c r="V42" s="72">
        <f>IFERROR(up_RadSpec!$H$19*V19,".")*$B$42</f>
        <v>740355.52167499997</v>
      </c>
      <c r="W42" s="72">
        <f>IFERROR(up_RadSpec!$H$19*W19,".")*$B$42</f>
        <v>740355.52167499997</v>
      </c>
      <c r="X42" s="72">
        <f>IFERROR(up_RadSpec!$H$19*X19,".")*$B$42</f>
        <v>740355.52167499997</v>
      </c>
      <c r="Y42" s="72">
        <f>IFERROR(up_RadSpec!$H$19*Y19,".")*$B$42</f>
        <v>740355.52167499997</v>
      </c>
      <c r="Z42" s="72">
        <f>IFERROR(up_RadSpec!$H$19*Z19,".")*$B$42</f>
        <v>740355.52167499997</v>
      </c>
      <c r="AA42" s="72">
        <f>IFERROR(up_RadSpec!$H$19*AA19,".")*$B$42</f>
        <v>740355.52167499997</v>
      </c>
      <c r="AB42" s="49">
        <f t="shared" si="48"/>
        <v>1</v>
      </c>
      <c r="AC42" s="49">
        <f t="shared" si="48"/>
        <v>1</v>
      </c>
      <c r="AD42" s="49">
        <f t="shared" si="48"/>
        <v>1</v>
      </c>
      <c r="AE42" s="49">
        <f t="shared" si="48"/>
        <v>1</v>
      </c>
      <c r="AF42" s="49">
        <f t="shared" si="48"/>
        <v>1</v>
      </c>
      <c r="AG42" s="49">
        <f t="shared" si="60"/>
        <v>1</v>
      </c>
      <c r="AH42" s="49">
        <f t="shared" si="61"/>
        <v>1</v>
      </c>
      <c r="AI42" s="49">
        <f t="shared" si="62"/>
        <v>1</v>
      </c>
      <c r="AJ42" s="49">
        <f t="shared" si="63"/>
        <v>1</v>
      </c>
      <c r="AK42" s="49">
        <f t="shared" si="64"/>
        <v>1</v>
      </c>
      <c r="AL42" s="49">
        <f t="shared" si="65"/>
        <v>1</v>
      </c>
      <c r="AM42" s="49">
        <f t="shared" si="66"/>
        <v>1</v>
      </c>
      <c r="AN42" s="60">
        <f t="shared" ref="AN42:BB42" si="121">IFERROR(AN19/$B42,0)</f>
        <v>3.3767560676037556E-8</v>
      </c>
      <c r="AO42" s="60">
        <f t="shared" si="121"/>
        <v>3.156329924123927E-4</v>
      </c>
      <c r="AP42" s="60">
        <f t="shared" si="121"/>
        <v>1.5555948282193085E-5</v>
      </c>
      <c r="AQ42" s="60">
        <f t="shared" si="121"/>
        <v>3.367663376487241E-12</v>
      </c>
      <c r="AR42" s="60">
        <f t="shared" si="121"/>
        <v>6.7535121352075121E-11</v>
      </c>
      <c r="AS42" s="60">
        <f t="shared" si="121"/>
        <v>6.7535121352075121E-11</v>
      </c>
      <c r="AT42" s="60">
        <f t="shared" si="121"/>
        <v>1.8957227046196524E-14</v>
      </c>
      <c r="AU42" s="60">
        <f t="shared" si="121"/>
        <v>1.952594385758242E-14</v>
      </c>
      <c r="AV42" s="60">
        <f t="shared" si="121"/>
        <v>1.8957227046196524E-14</v>
      </c>
      <c r="AW42" s="60">
        <f t="shared" si="121"/>
        <v>1.8957227046196524E-14</v>
      </c>
      <c r="AX42" s="60">
        <f t="shared" si="121"/>
        <v>1.8957227046196524E-14</v>
      </c>
      <c r="AY42" s="60">
        <f t="shared" si="121"/>
        <v>1.8957227046196524E-14</v>
      </c>
      <c r="AZ42" s="60">
        <f t="shared" si="121"/>
        <v>1.952594385758242E-14</v>
      </c>
      <c r="BA42" s="60">
        <f t="shared" si="121"/>
        <v>1.8957227046196524E-14</v>
      </c>
      <c r="BB42" s="60">
        <f t="shared" si="121"/>
        <v>1.952594385758242E-14</v>
      </c>
      <c r="BC42" s="42"/>
      <c r="BD42" s="42"/>
      <c r="BE42" s="42"/>
      <c r="BF42" s="42"/>
      <c r="BG42" s="42"/>
      <c r="BH42" s="42"/>
      <c r="BI42" s="42"/>
      <c r="BJ42" s="42"/>
      <c r="BK42" s="42"/>
      <c r="BL42" s="42"/>
      <c r="BM42" s="42"/>
      <c r="BN42" s="42"/>
      <c r="BO42" s="42"/>
      <c r="BP42" s="42"/>
      <c r="BQ42" s="42"/>
      <c r="BR42" s="60">
        <f t="shared" ref="BR42" si="122">IFERROR(BR19/$B42,0)</f>
        <v>2.125532631961221E-15</v>
      </c>
      <c r="BS42" s="72">
        <f>IFERROR(up_RadSpec!$E$19*BS19,".")*$B$42</f>
        <v>1480.71104335</v>
      </c>
      <c r="BT42" s="72">
        <f>IFERROR(up_RadSpec!$F$19*BT19,".")*$B$42</f>
        <v>0.15841183020142621</v>
      </c>
      <c r="BU42" s="72">
        <f>IFERROR(up_RadSpec!$G$19*BU19,".")*$B$42</f>
        <v>3.2142045661873966</v>
      </c>
      <c r="BV42" s="71">
        <f>up_b2s!CC42</f>
        <v>15491428.474021316</v>
      </c>
      <c r="BW42" s="72">
        <f>IFERROR(up_RadSpec!$H$19*BW19,".")*$B$42</f>
        <v>740355.52167499997</v>
      </c>
      <c r="BX42" s="72">
        <f>IFERROR(up_RadSpec!$H$19*BX19,".")*$B$42</f>
        <v>740355.52167499997</v>
      </c>
      <c r="BY42" s="72">
        <f>IFERROR(up_RadSpec!$H$19*BY19,".")*$B$42</f>
        <v>2637516545.9671874</v>
      </c>
      <c r="BZ42" s="72">
        <f>IFERROR(up_RadSpec!$H$19*BZ19,".")*$B$42</f>
        <v>2560695675.6962986</v>
      </c>
      <c r="CA42" s="72">
        <f>IFERROR(up_RadSpec!$H$19*CA19,".")*$B$42</f>
        <v>2637516545.9671874</v>
      </c>
      <c r="CB42" s="72">
        <f>IFERROR(up_RadSpec!$H$19*CB19,".")*$B$42</f>
        <v>2637516545.9671874</v>
      </c>
      <c r="CC42" s="72">
        <f>IFERROR(up_RadSpec!$H$19*CC19,".")*$B$42</f>
        <v>2637516545.9671874</v>
      </c>
      <c r="CD42" s="72">
        <f>IFERROR(up_RadSpec!$H$19*CD19,".")*$B$42</f>
        <v>2637516545.9671874</v>
      </c>
      <c r="CE42" s="72">
        <f>IFERROR(up_RadSpec!$H$19*CE19,".")*$B$42</f>
        <v>2560695675.6962986</v>
      </c>
      <c r="CF42" s="72">
        <f>IFERROR(up_RadSpec!$H$19*CF19,".")*$B$42</f>
        <v>2637516545.9671874</v>
      </c>
      <c r="CG42" s="72">
        <f>IFERROR(up_RadSpec!$H$19*CG19,".")*$B$42</f>
        <v>2560695675.6962986</v>
      </c>
      <c r="CH42" s="49">
        <f t="shared" si="52"/>
        <v>1</v>
      </c>
      <c r="CI42" s="49">
        <f t="shared" si="52"/>
        <v>0.14650178676093484</v>
      </c>
      <c r="CJ42" s="49">
        <f t="shared" si="52"/>
        <v>0.95981271255928735</v>
      </c>
      <c r="CK42" s="49">
        <f t="shared" si="52"/>
        <v>1</v>
      </c>
      <c r="CL42" s="49">
        <f t="shared" si="52"/>
        <v>1</v>
      </c>
      <c r="CM42" s="49">
        <f t="shared" si="52"/>
        <v>1</v>
      </c>
      <c r="CN42" s="49">
        <f t="shared" si="52"/>
        <v>1</v>
      </c>
      <c r="CO42" s="49">
        <f t="shared" si="52"/>
        <v>1</v>
      </c>
      <c r="CP42" s="49">
        <f t="shared" si="52"/>
        <v>1</v>
      </c>
      <c r="CQ42" s="49">
        <f t="shared" si="52"/>
        <v>1</v>
      </c>
      <c r="CR42" s="49">
        <f t="shared" si="52"/>
        <v>1</v>
      </c>
      <c r="CS42" s="49">
        <f t="shared" si="52"/>
        <v>1</v>
      </c>
      <c r="CT42" s="49">
        <f t="shared" si="52"/>
        <v>1</v>
      </c>
      <c r="CU42" s="49">
        <f t="shared" si="52"/>
        <v>1</v>
      </c>
      <c r="CV42" s="49">
        <f t="shared" si="52"/>
        <v>1</v>
      </c>
      <c r="CW42" s="49">
        <f t="shared" si="53"/>
        <v>1</v>
      </c>
      <c r="CX42" s="60">
        <f t="shared" ref="CX42" si="123">IFERROR(CX19/$B42,0)</f>
        <v>3.7144316743641319E-10</v>
      </c>
      <c r="CY42" s="60" t="str">
        <f>IFERROR(CY19,".")</f>
        <v>.</v>
      </c>
      <c r="CZ42" s="60">
        <f t="shared" ref="CZ42:DL42" si="124">IFERROR(CZ19/$B42,0)</f>
        <v>4.0673026834287246E-6</v>
      </c>
      <c r="DA42" s="60">
        <f t="shared" si="124"/>
        <v>1.6796431653953548E-11</v>
      </c>
      <c r="DB42" s="60">
        <f t="shared" si="124"/>
        <v>1.3507024270415024E-8</v>
      </c>
      <c r="DC42" s="60">
        <f t="shared" si="124"/>
        <v>1.3507024270415024E-8</v>
      </c>
      <c r="DD42" s="60">
        <f t="shared" si="124"/>
        <v>2.7014048540830045E-9</v>
      </c>
      <c r="DE42" s="60">
        <f t="shared" si="124"/>
        <v>2.7824469997054947E-9</v>
      </c>
      <c r="DF42" s="60">
        <f t="shared" si="124"/>
        <v>2.7014048540830045E-9</v>
      </c>
      <c r="DG42" s="60">
        <f t="shared" si="124"/>
        <v>2.7014048540830045E-9</v>
      </c>
      <c r="DH42" s="60">
        <f t="shared" si="124"/>
        <v>2.7014048540830045E-9</v>
      </c>
      <c r="DI42" s="60">
        <f t="shared" si="124"/>
        <v>2.7014048540830045E-9</v>
      </c>
      <c r="DJ42" s="60">
        <f t="shared" si="124"/>
        <v>2.7824469997054947E-9</v>
      </c>
      <c r="DK42" s="60">
        <f t="shared" si="124"/>
        <v>2.7014048540830045E-9</v>
      </c>
      <c r="DL42" s="60">
        <f t="shared" si="124"/>
        <v>2.7824469997054947E-9</v>
      </c>
      <c r="DM42" s="15"/>
      <c r="DN42" s="15"/>
      <c r="DO42" s="15"/>
      <c r="DP42" s="15"/>
      <c r="DQ42" s="15"/>
      <c r="DR42" s="15"/>
      <c r="DS42" s="15"/>
      <c r="DT42" s="15"/>
      <c r="DU42" s="15"/>
      <c r="DV42" s="15"/>
      <c r="DW42" s="15"/>
      <c r="DX42" s="15"/>
      <c r="DY42" s="15"/>
      <c r="DZ42" s="15"/>
      <c r="EA42" s="15"/>
      <c r="EB42" s="60">
        <f t="shared" ref="EB42" si="125">IFERROR(EB19/$B42,0)</f>
        <v>1.5226209341992248E-11</v>
      </c>
      <c r="EC42" s="72">
        <f>IFERROR(up_RadSpec!$I$19*EC19,".")*$B$42</f>
        <v>134610.09484999999</v>
      </c>
      <c r="ED42" s="72">
        <f>IFERROR(up_RadSpec!$F$19*ED19,".")*$B$42</f>
        <v>0</v>
      </c>
      <c r="EE42" s="72">
        <f>IFERROR(up_RadSpec!$M$19*EE19,".")*$B$42</f>
        <v>12.293159347031963</v>
      </c>
      <c r="EF42" s="71">
        <f>up_b2w!CC42</f>
        <v>3106011.8837296874</v>
      </c>
      <c r="EG42" s="72">
        <f>IFERROR(up_RadSpec!$H$19*EG19,".")*$B$42</f>
        <v>3701.777608375</v>
      </c>
      <c r="EH42" s="72">
        <f>IFERROR(up_RadSpec!$H$19*EH19,".")*$B$42</f>
        <v>3701.777608375</v>
      </c>
      <c r="EI42" s="72">
        <f>IFERROR(up_RadSpec!$H$19*EI19,".")*$B$42</f>
        <v>18508.888041874998</v>
      </c>
      <c r="EJ42" s="72">
        <f>IFERROR(up_RadSpec!$H$19*EJ19,".")*$B$42</f>
        <v>17969.794215412621</v>
      </c>
      <c r="EK42" s="72">
        <f>IFERROR(up_RadSpec!$H$19*EK19,".")*$B$42</f>
        <v>18508.888041874998</v>
      </c>
      <c r="EL42" s="72">
        <f>IFERROR(up_RadSpec!$H$19*EL19,".")*$B$42</f>
        <v>18508.888041874998</v>
      </c>
      <c r="EM42" s="72">
        <f>IFERROR(up_RadSpec!$H$19*EM19,".")*$B$42</f>
        <v>18508.888041874998</v>
      </c>
      <c r="EN42" s="72">
        <f>IFERROR(up_RadSpec!$H$19*EN19,".")*$B$42</f>
        <v>18508.888041874998</v>
      </c>
      <c r="EO42" s="72">
        <f>IFERROR(up_RadSpec!$H$19*EO19,".")*$B$42</f>
        <v>17969.794215412621</v>
      </c>
      <c r="EP42" s="72">
        <f>IFERROR(up_RadSpec!$H$19*EP19,".")*$B$42</f>
        <v>18508.888041874998</v>
      </c>
      <c r="EQ42" s="72">
        <f>IFERROR(up_RadSpec!$H$19*EQ19,".")*$B$42</f>
        <v>17969.794215412621</v>
      </c>
      <c r="ER42" s="49">
        <f t="shared" si="57"/>
        <v>1</v>
      </c>
      <c r="ES42" s="49">
        <f t="shared" si="57"/>
        <v>0</v>
      </c>
      <c r="ET42" s="49">
        <f t="shared" si="57"/>
        <v>0.99999541701189099</v>
      </c>
      <c r="EU42" s="49">
        <f t="shared" si="57"/>
        <v>1</v>
      </c>
      <c r="EV42" s="49">
        <f t="shared" si="57"/>
        <v>1</v>
      </c>
      <c r="EW42" s="49">
        <f t="shared" si="57"/>
        <v>1</v>
      </c>
      <c r="EX42" s="49">
        <f t="shared" si="57"/>
        <v>1</v>
      </c>
      <c r="EY42" s="49">
        <f t="shared" si="57"/>
        <v>1</v>
      </c>
      <c r="EZ42" s="49">
        <f t="shared" si="57"/>
        <v>1</v>
      </c>
      <c r="FA42" s="49">
        <f t="shared" si="57"/>
        <v>1</v>
      </c>
      <c r="FB42" s="49">
        <f t="shared" si="57"/>
        <v>1</v>
      </c>
      <c r="FC42" s="49">
        <f t="shared" si="57"/>
        <v>1</v>
      </c>
      <c r="FD42" s="49">
        <f t="shared" si="57"/>
        <v>1</v>
      </c>
      <c r="FE42" s="49">
        <f t="shared" si="57"/>
        <v>1</v>
      </c>
      <c r="FF42" s="49">
        <f t="shared" si="57"/>
        <v>1</v>
      </c>
      <c r="FG42" s="49">
        <f t="shared" si="58"/>
        <v>1</v>
      </c>
      <c r="FH42" s="60">
        <f>IFERROR(FH19/$B42,0)</f>
        <v>1.0188155449684475E-9</v>
      </c>
      <c r="FI42" s="60">
        <f>IFERROR(FI19/$B42,0)</f>
        <v>6.5076842934859581E-6</v>
      </c>
      <c r="FJ42" s="60">
        <f>IFERROR(FJ19/$B42,0)</f>
        <v>1.0186560684802315E-9</v>
      </c>
      <c r="FK42" s="72">
        <f>IFERROR(up_RadSpec!$F$19*FK19,".")*$B$42</f>
        <v>49076.59708072916</v>
      </c>
      <c r="FL42" s="72">
        <f>IFERROR(up_RadSpec!$K$19*FL19,".")*$B$42</f>
        <v>7.6832245918949775</v>
      </c>
      <c r="FM42" s="49">
        <f t="shared" si="73"/>
        <v>1</v>
      </c>
      <c r="FN42" s="49">
        <f t="shared" si="73"/>
        <v>0.99953951238250627</v>
      </c>
      <c r="FO42" s="49">
        <f t="shared" si="74"/>
        <v>1</v>
      </c>
    </row>
    <row r="43" spans="1:171" x14ac:dyDescent="0.25">
      <c r="A43" s="83" t="s">
        <v>1085</v>
      </c>
      <c r="B43" s="42">
        <v>2.0897492E-2</v>
      </c>
      <c r="C43" s="42"/>
      <c r="D43" s="60">
        <f t="shared" ref="D43:O43" si="126">IFERROR(D28/$B43,0)</f>
        <v>7.9095259947149223E-10</v>
      </c>
      <c r="E43" s="60">
        <f t="shared" si="126"/>
        <v>3.1638103978859689E-9</v>
      </c>
      <c r="F43" s="60">
        <f t="shared" si="126"/>
        <v>3.1638103978859689E-9</v>
      </c>
      <c r="G43" s="60">
        <f t="shared" si="126"/>
        <v>3.1638103978859689E-9</v>
      </c>
      <c r="H43" s="60">
        <f t="shared" si="126"/>
        <v>3.1638103978859689E-9</v>
      </c>
      <c r="I43" s="60">
        <f t="shared" si="126"/>
        <v>3.1638103978859689E-9</v>
      </c>
      <c r="J43" s="60">
        <f t="shared" si="126"/>
        <v>3.1638103978859689E-9</v>
      </c>
      <c r="K43" s="60">
        <f t="shared" si="126"/>
        <v>3.1638103978859689E-9</v>
      </c>
      <c r="L43" s="60">
        <f t="shared" si="126"/>
        <v>3.1638103978859689E-9</v>
      </c>
      <c r="M43" s="60">
        <f t="shared" si="126"/>
        <v>3.1638103978859689E-9</v>
      </c>
      <c r="N43" s="60">
        <f t="shared" si="126"/>
        <v>3.1638103978859689E-9</v>
      </c>
      <c r="O43" s="60">
        <f t="shared" si="126"/>
        <v>3.1638103978859689E-9</v>
      </c>
      <c r="P43" s="71">
        <f>up_dir!BC43</f>
        <v>144754212.61077645</v>
      </c>
      <c r="Q43" s="72">
        <f>IFERROR(up_RadSpec!$H$28*Q28,".")*$B$43</f>
        <v>15803.728325</v>
      </c>
      <c r="R43" s="72">
        <f>IFERROR(up_RadSpec!$H$28*R28,".")*$B$43</f>
        <v>15803.728325</v>
      </c>
      <c r="S43" s="72">
        <f>IFERROR(up_RadSpec!$H$28*S28,".")*$B$43</f>
        <v>15803.728325</v>
      </c>
      <c r="T43" s="72">
        <f>IFERROR(up_RadSpec!$H$28*T28,".")*$B$43</f>
        <v>15803.728325</v>
      </c>
      <c r="U43" s="72">
        <f>IFERROR(up_RadSpec!$H$28*U28,".")*$B$43</f>
        <v>15803.728325</v>
      </c>
      <c r="V43" s="72">
        <f>IFERROR(up_RadSpec!$H$28*V28,".")*$B$43</f>
        <v>15803.728325</v>
      </c>
      <c r="W43" s="72">
        <f>IFERROR(up_RadSpec!$H$28*W28,".")*$B$43</f>
        <v>15803.728325</v>
      </c>
      <c r="X43" s="72">
        <f>IFERROR(up_RadSpec!$H$28*X28,".")*$B$43</f>
        <v>15803.728325</v>
      </c>
      <c r="Y43" s="72">
        <f>IFERROR(up_RadSpec!$H$28*Y28,".")*$B$43</f>
        <v>15803.728325</v>
      </c>
      <c r="Z43" s="72">
        <f>IFERROR(up_RadSpec!$H$28*Z28,".")*$B$43</f>
        <v>15803.728325</v>
      </c>
      <c r="AA43" s="72">
        <f>IFERROR(up_RadSpec!$H$28*AA28,".")*$B$43</f>
        <v>15803.728325</v>
      </c>
      <c r="AB43" s="49">
        <f t="shared" si="48"/>
        <v>1</v>
      </c>
      <c r="AC43" s="49">
        <f t="shared" si="48"/>
        <v>1</v>
      </c>
      <c r="AD43" s="49">
        <f t="shared" si="48"/>
        <v>1</v>
      </c>
      <c r="AE43" s="49">
        <f t="shared" si="48"/>
        <v>1</v>
      </c>
      <c r="AF43" s="49">
        <f t="shared" si="48"/>
        <v>1</v>
      </c>
      <c r="AG43" s="49">
        <f t="shared" si="60"/>
        <v>1</v>
      </c>
      <c r="AH43" s="49">
        <f t="shared" si="61"/>
        <v>1</v>
      </c>
      <c r="AI43" s="49">
        <f t="shared" si="62"/>
        <v>1</v>
      </c>
      <c r="AJ43" s="49">
        <f t="shared" si="63"/>
        <v>1</v>
      </c>
      <c r="AK43" s="49">
        <f t="shared" si="64"/>
        <v>1</v>
      </c>
      <c r="AL43" s="49">
        <f t="shared" si="65"/>
        <v>1</v>
      </c>
      <c r="AM43" s="49">
        <f t="shared" si="66"/>
        <v>1</v>
      </c>
      <c r="AN43" s="60">
        <f t="shared" ref="AN43:BB43" si="127">IFERROR(AN28/$B43,0)</f>
        <v>1.5819051989429843E-6</v>
      </c>
      <c r="AO43" s="60">
        <f t="shared" si="127"/>
        <v>1.4786424060812138E-2</v>
      </c>
      <c r="AP43" s="60">
        <f t="shared" si="127"/>
        <v>5.1864685397322243E-4</v>
      </c>
      <c r="AQ43" s="60">
        <f t="shared" si="127"/>
        <v>1.5776455559419414E-10</v>
      </c>
      <c r="AR43" s="60">
        <f t="shared" si="127"/>
        <v>3.1638103978859689E-9</v>
      </c>
      <c r="AS43" s="60">
        <f t="shared" si="127"/>
        <v>3.1638103978859689E-9</v>
      </c>
      <c r="AT43" s="60">
        <f t="shared" si="127"/>
        <v>8.8808712923114905E-13</v>
      </c>
      <c r="AU43" s="60">
        <f t="shared" si="127"/>
        <v>9.1472974310808354E-13</v>
      </c>
      <c r="AV43" s="60">
        <f t="shared" si="127"/>
        <v>8.8808712923114905E-13</v>
      </c>
      <c r="AW43" s="60">
        <f t="shared" si="127"/>
        <v>8.8808712923114905E-13</v>
      </c>
      <c r="AX43" s="60">
        <f t="shared" si="127"/>
        <v>8.8808712923114905E-13</v>
      </c>
      <c r="AY43" s="60">
        <f t="shared" si="127"/>
        <v>8.8808712923114905E-13</v>
      </c>
      <c r="AZ43" s="60">
        <f t="shared" si="127"/>
        <v>9.1472974310808354E-13</v>
      </c>
      <c r="BA43" s="60">
        <f t="shared" si="127"/>
        <v>8.8808712923114905E-13</v>
      </c>
      <c r="BB43" s="60">
        <f t="shared" si="127"/>
        <v>9.1472974310808354E-13</v>
      </c>
      <c r="BC43" s="42"/>
      <c r="BD43" s="42"/>
      <c r="BE43" s="42"/>
      <c r="BF43" s="42"/>
      <c r="BG43" s="42"/>
      <c r="BH43" s="42"/>
      <c r="BI43" s="42"/>
      <c r="BJ43" s="42"/>
      <c r="BK43" s="42"/>
      <c r="BL43" s="42"/>
      <c r="BM43" s="42"/>
      <c r="BN43" s="42"/>
      <c r="BO43" s="42"/>
      <c r="BP43" s="42"/>
      <c r="BQ43" s="42"/>
      <c r="BR43" s="60">
        <f t="shared" ref="BR43" si="128">IFERROR(BR28/$B43,0)</f>
        <v>9.957459329368611E-14</v>
      </c>
      <c r="BS43" s="72">
        <f>IFERROR(up_RadSpec!$E$28*BS28,".")*$B$43</f>
        <v>31.60745665</v>
      </c>
      <c r="BT43" s="72">
        <f>IFERROR(up_RadSpec!$F$28*BT28,".")*$B$43</f>
        <v>3.3814801871206294E-3</v>
      </c>
      <c r="BU43" s="72">
        <f>IFERROR(up_RadSpec!$G$28*BU28,".")*$B$43</f>
        <v>9.6404710868219182E-2</v>
      </c>
      <c r="BV43" s="71">
        <f>up_b2s!CC43</f>
        <v>725725244.92412782</v>
      </c>
      <c r="BW43" s="72">
        <f>IFERROR(up_RadSpec!$H$28*BW28,".")*$B$43</f>
        <v>15803.728325</v>
      </c>
      <c r="BX43" s="72">
        <f>IFERROR(up_RadSpec!$H$28*BX28,".")*$B$43</f>
        <v>15803.728325</v>
      </c>
      <c r="BY43" s="72">
        <f>IFERROR(up_RadSpec!$H$28*BY28,".")*$B$43</f>
        <v>56300782.157812499</v>
      </c>
      <c r="BZ43" s="72">
        <f>IFERROR(up_RadSpec!$H$28*BZ28,".")*$B$43</f>
        <v>54660953.55127427</v>
      </c>
      <c r="CA43" s="72">
        <f>IFERROR(up_RadSpec!$H$28*CA28,".")*$B$43</f>
        <v>56300782.157812499</v>
      </c>
      <c r="CB43" s="72">
        <f>IFERROR(up_RadSpec!$H$28*CB28,".")*$B$43</f>
        <v>56300782.157812499</v>
      </c>
      <c r="CC43" s="72">
        <f>IFERROR(up_RadSpec!$H$28*CC28,".")*$B$43</f>
        <v>56300782.157812499</v>
      </c>
      <c r="CD43" s="72">
        <f>IFERROR(up_RadSpec!$H$28*CD28,".")*$B$43</f>
        <v>56300782.157812499</v>
      </c>
      <c r="CE43" s="72">
        <f>IFERROR(up_RadSpec!$H$28*CE28,".")*$B$43</f>
        <v>54660953.55127427</v>
      </c>
      <c r="CF43" s="72">
        <f>IFERROR(up_RadSpec!$H$28*CF28,".")*$B$43</f>
        <v>56300782.157812499</v>
      </c>
      <c r="CG43" s="72">
        <f>IFERROR(up_RadSpec!$H$28*CG28,".")*$B$43</f>
        <v>54660953.55127427</v>
      </c>
      <c r="CH43" s="49">
        <f t="shared" si="52"/>
        <v>0.99999999999998124</v>
      </c>
      <c r="CI43" s="49">
        <f t="shared" si="52"/>
        <v>3.3814801871206294E-3</v>
      </c>
      <c r="CJ43" s="49">
        <f t="shared" si="52"/>
        <v>9.190357480295519E-2</v>
      </c>
      <c r="CK43" s="49">
        <f t="shared" si="52"/>
        <v>1</v>
      </c>
      <c r="CL43" s="49">
        <f t="shared" si="52"/>
        <v>1</v>
      </c>
      <c r="CM43" s="49">
        <f t="shared" si="52"/>
        <v>1</v>
      </c>
      <c r="CN43" s="49">
        <f t="shared" si="52"/>
        <v>1</v>
      </c>
      <c r="CO43" s="49">
        <f t="shared" si="52"/>
        <v>1</v>
      </c>
      <c r="CP43" s="49">
        <f t="shared" si="52"/>
        <v>1</v>
      </c>
      <c r="CQ43" s="49">
        <f t="shared" si="52"/>
        <v>1</v>
      </c>
      <c r="CR43" s="49">
        <f t="shared" si="52"/>
        <v>1</v>
      </c>
      <c r="CS43" s="49">
        <f t="shared" si="52"/>
        <v>1</v>
      </c>
      <c r="CT43" s="49">
        <f t="shared" si="52"/>
        <v>1</v>
      </c>
      <c r="CU43" s="49">
        <f t="shared" si="52"/>
        <v>1</v>
      </c>
      <c r="CV43" s="49">
        <f t="shared" si="52"/>
        <v>1</v>
      </c>
      <c r="CW43" s="49">
        <f t="shared" si="53"/>
        <v>1</v>
      </c>
      <c r="CX43" s="60">
        <f t="shared" ref="CX43" si="129">IFERROR(CX28/$B43,0)</f>
        <v>1.7400957188372829E-8</v>
      </c>
      <c r="CY43" s="60" t="str">
        <f>IFERROR(CY28,".")</f>
        <v>.</v>
      </c>
      <c r="CZ43" s="60">
        <f t="shared" ref="CZ43:DL43" si="130">IFERROR(CZ28/$B43,0)</f>
        <v>1.9054048121268247E-4</v>
      </c>
      <c r="DA43" s="60">
        <f t="shared" si="130"/>
        <v>7.8686058528162277E-10</v>
      </c>
      <c r="DB43" s="60">
        <f t="shared" si="130"/>
        <v>6.3276207957719375E-7</v>
      </c>
      <c r="DC43" s="60">
        <f t="shared" si="130"/>
        <v>6.3276207957719375E-7</v>
      </c>
      <c r="DD43" s="60">
        <f t="shared" si="130"/>
        <v>1.2655241591543875E-7</v>
      </c>
      <c r="DE43" s="60">
        <f t="shared" si="130"/>
        <v>1.303489883929019E-7</v>
      </c>
      <c r="DF43" s="60">
        <f t="shared" si="130"/>
        <v>1.2655241591543875E-7</v>
      </c>
      <c r="DG43" s="60">
        <f t="shared" si="130"/>
        <v>1.2655241591543875E-7</v>
      </c>
      <c r="DH43" s="60">
        <f t="shared" si="130"/>
        <v>1.2655241591543875E-7</v>
      </c>
      <c r="DI43" s="60">
        <f t="shared" si="130"/>
        <v>1.2655241591543875E-7</v>
      </c>
      <c r="DJ43" s="60">
        <f t="shared" si="130"/>
        <v>1.303489883929019E-7</v>
      </c>
      <c r="DK43" s="60">
        <f t="shared" si="130"/>
        <v>1.2655241591543875E-7</v>
      </c>
      <c r="DL43" s="60">
        <f t="shared" si="130"/>
        <v>1.303489883929019E-7</v>
      </c>
      <c r="DM43" s="15"/>
      <c r="DN43" s="15"/>
      <c r="DO43" s="15"/>
      <c r="DP43" s="15"/>
      <c r="DQ43" s="15"/>
      <c r="DR43" s="15"/>
      <c r="DS43" s="15"/>
      <c r="DT43" s="15"/>
      <c r="DU43" s="15"/>
      <c r="DV43" s="15"/>
      <c r="DW43" s="15"/>
      <c r="DX43" s="15"/>
      <c r="DY43" s="15"/>
      <c r="DZ43" s="15"/>
      <c r="EA43" s="15"/>
      <c r="EB43" s="60">
        <f t="shared" ref="EB43" si="131">IFERROR(EB28/$B43,0)</f>
        <v>7.1330055343275651E-10</v>
      </c>
      <c r="EC43" s="72">
        <f>IFERROR(up_RadSpec!$I$28*EC28,".")*$B$43</f>
        <v>2873.40515</v>
      </c>
      <c r="ED43" s="72">
        <f>IFERROR(up_RadSpec!$F$28*ED28,".")*$B$43</f>
        <v>0</v>
      </c>
      <c r="EE43" s="72">
        <f>IFERROR(up_RadSpec!$M$28*EE28,".")*$B$43</f>
        <v>0.26241142922374433</v>
      </c>
      <c r="EF43" s="71">
        <f>up_b2w!CC43</f>
        <v>145506996.90716442</v>
      </c>
      <c r="EG43" s="72">
        <f>IFERROR(up_RadSpec!$H$28*EG28,".")*$B$43</f>
        <v>79.018641625000001</v>
      </c>
      <c r="EH43" s="72">
        <f>IFERROR(up_RadSpec!$H$28*EH28,".")*$B$43</f>
        <v>79.018641625000001</v>
      </c>
      <c r="EI43" s="72">
        <f>IFERROR(up_RadSpec!$H$28*EI28,".")*$B$43</f>
        <v>395.09320812499999</v>
      </c>
      <c r="EJ43" s="72">
        <f>IFERROR(up_RadSpec!$H$28*EJ28,".")*$B$43</f>
        <v>383.58563895631067</v>
      </c>
      <c r="EK43" s="72">
        <f>IFERROR(up_RadSpec!$H$28*EK28,".")*$B$43</f>
        <v>395.09320812499999</v>
      </c>
      <c r="EL43" s="72">
        <f>IFERROR(up_RadSpec!$H$28*EL28,".")*$B$43</f>
        <v>395.09320812499999</v>
      </c>
      <c r="EM43" s="72">
        <f>IFERROR(up_RadSpec!$H$28*EM28,".")*$B$43</f>
        <v>395.09320812499999</v>
      </c>
      <c r="EN43" s="72">
        <f>IFERROR(up_RadSpec!$H$28*EN28,".")*$B$43</f>
        <v>395.09320812499999</v>
      </c>
      <c r="EO43" s="72">
        <f>IFERROR(up_RadSpec!$H$28*EO28,".")*$B$43</f>
        <v>383.58563895631067</v>
      </c>
      <c r="EP43" s="72">
        <f>IFERROR(up_RadSpec!$H$28*EP28,".")*$B$43</f>
        <v>395.09320812499999</v>
      </c>
      <c r="EQ43" s="72">
        <f>IFERROR(up_RadSpec!$H$28*EQ28,".")*$B$43</f>
        <v>383.58563895631067</v>
      </c>
      <c r="ER43" s="49">
        <f t="shared" si="57"/>
        <v>1</v>
      </c>
      <c r="ES43" s="49">
        <f t="shared" si="57"/>
        <v>0</v>
      </c>
      <c r="ET43" s="49">
        <f t="shared" si="57"/>
        <v>0.23080551049539511</v>
      </c>
      <c r="EU43" s="49">
        <f t="shared" si="57"/>
        <v>1</v>
      </c>
      <c r="EV43" s="49">
        <f t="shared" si="57"/>
        <v>1</v>
      </c>
      <c r="EW43" s="49">
        <f t="shared" si="57"/>
        <v>1</v>
      </c>
      <c r="EX43" s="49">
        <f t="shared" si="57"/>
        <v>1</v>
      </c>
      <c r="EY43" s="49">
        <f t="shared" si="57"/>
        <v>1</v>
      </c>
      <c r="EZ43" s="49">
        <f t="shared" si="57"/>
        <v>1</v>
      </c>
      <c r="FA43" s="49">
        <f t="shared" si="57"/>
        <v>1</v>
      </c>
      <c r="FB43" s="49">
        <f t="shared" si="57"/>
        <v>1</v>
      </c>
      <c r="FC43" s="49">
        <f t="shared" si="57"/>
        <v>1</v>
      </c>
      <c r="FD43" s="49">
        <f t="shared" si="57"/>
        <v>1</v>
      </c>
      <c r="FE43" s="49">
        <f t="shared" si="57"/>
        <v>1</v>
      </c>
      <c r="FF43" s="49">
        <f t="shared" si="57"/>
        <v>1</v>
      </c>
      <c r="FG43" s="49">
        <f t="shared" si="58"/>
        <v>1</v>
      </c>
      <c r="FH43" s="60">
        <f>IFERROR(FH28/$B43,0)</f>
        <v>4.7728339716679759E-8</v>
      </c>
      <c r="FI43" s="60">
        <f>IFERROR(FI28/$B43,0)</f>
        <v>3.0486476994029193E-4</v>
      </c>
      <c r="FJ43" s="60">
        <f>IFERROR(FJ28/$B43,0)</f>
        <v>4.7720868739186342E-8</v>
      </c>
      <c r="FK43" s="72">
        <f>IFERROR(up_RadSpec!$F$28*FK28,".")*$B$43</f>
        <v>1047.5956276041666</v>
      </c>
      <c r="FL43" s="72">
        <f>IFERROR(up_RadSpec!$K$28*FL28,".")*$B$43</f>
        <v>0.1640071432648402</v>
      </c>
      <c r="FM43" s="49">
        <f t="shared" si="73"/>
        <v>1</v>
      </c>
      <c r="FN43" s="49">
        <f t="shared" si="73"/>
        <v>0.15126404088718259</v>
      </c>
      <c r="FO43" s="49">
        <f t="shared" si="74"/>
        <v>1</v>
      </c>
    </row>
    <row r="44" spans="1:171" x14ac:dyDescent="0.25">
      <c r="A44" s="83" t="s">
        <v>1086</v>
      </c>
      <c r="B44" s="42">
        <v>0.99987999999999999</v>
      </c>
      <c r="C44" s="42"/>
      <c r="D44" s="60">
        <f t="shared" ref="D44:O44" si="132">IFERROR(D15/$B44,0)</f>
        <v>1.6530909328954186E-11</v>
      </c>
      <c r="E44" s="60">
        <f t="shared" si="132"/>
        <v>6.6123637315816743E-11</v>
      </c>
      <c r="F44" s="60">
        <f t="shared" si="132"/>
        <v>6.6123637315816743E-11</v>
      </c>
      <c r="G44" s="60">
        <f t="shared" si="132"/>
        <v>6.6123637315816743E-11</v>
      </c>
      <c r="H44" s="60">
        <f t="shared" si="132"/>
        <v>6.6123637315816743E-11</v>
      </c>
      <c r="I44" s="60">
        <f t="shared" si="132"/>
        <v>6.6123637315816743E-11</v>
      </c>
      <c r="J44" s="60">
        <f t="shared" si="132"/>
        <v>6.6123637315816743E-11</v>
      </c>
      <c r="K44" s="60">
        <f t="shared" si="132"/>
        <v>6.6123637315816743E-11</v>
      </c>
      <c r="L44" s="60">
        <f t="shared" si="132"/>
        <v>6.6123637315816743E-11</v>
      </c>
      <c r="M44" s="60">
        <f t="shared" si="132"/>
        <v>6.6123637315816743E-11</v>
      </c>
      <c r="N44" s="60">
        <f t="shared" si="132"/>
        <v>6.6123637315816743E-11</v>
      </c>
      <c r="O44" s="60">
        <f t="shared" si="132"/>
        <v>6.6123637315816743E-11</v>
      </c>
      <c r="P44" s="71">
        <f>up_dir!BC44</f>
        <v>3025363.0435652281</v>
      </c>
      <c r="Q44" s="71">
        <f>IFERROR(up_RadSpec!$H$15*Q15,".")*$B$44</f>
        <v>756159.25</v>
      </c>
      <c r="R44" s="71">
        <f>IFERROR(up_RadSpec!$H$15*R15,".")*$B$44</f>
        <v>756159.25</v>
      </c>
      <c r="S44" s="71">
        <f>IFERROR(up_RadSpec!$H$15*S15,".")*$B$44</f>
        <v>756159.25</v>
      </c>
      <c r="T44" s="71">
        <f>IFERROR(up_RadSpec!$H$15*T15,".")*$B$44</f>
        <v>756159.25</v>
      </c>
      <c r="U44" s="71">
        <f>IFERROR(up_RadSpec!$H$15*U15,".")*$B$44</f>
        <v>756159.25</v>
      </c>
      <c r="V44" s="71">
        <f>IFERROR(up_RadSpec!$H$15*V15,".")*$B$44</f>
        <v>756159.25</v>
      </c>
      <c r="W44" s="71">
        <f>IFERROR(up_RadSpec!$H$15*W15,".")*$B$44</f>
        <v>756159.25</v>
      </c>
      <c r="X44" s="71">
        <f>IFERROR(up_RadSpec!$H$15*X15,".")*$B$44</f>
        <v>756159.25</v>
      </c>
      <c r="Y44" s="71">
        <f>IFERROR(up_RadSpec!$H$15*Y15,".")*$B$44</f>
        <v>756159.25</v>
      </c>
      <c r="Z44" s="71">
        <f>IFERROR(up_RadSpec!$H$15*Z15,".")*$B$44</f>
        <v>756159.25</v>
      </c>
      <c r="AA44" s="71">
        <f>IFERROR(up_RadSpec!$H$15*AA15,".")*$B$44</f>
        <v>756159.25</v>
      </c>
      <c r="AB44" s="49">
        <f t="shared" si="48"/>
        <v>1</v>
      </c>
      <c r="AC44" s="49">
        <f t="shared" si="48"/>
        <v>1</v>
      </c>
      <c r="AD44" s="49">
        <f t="shared" si="48"/>
        <v>1</v>
      </c>
      <c r="AE44" s="49">
        <f t="shared" si="48"/>
        <v>1</v>
      </c>
      <c r="AF44" s="49">
        <f t="shared" si="48"/>
        <v>1</v>
      </c>
      <c r="AG44" s="49">
        <f t="shared" si="60"/>
        <v>1</v>
      </c>
      <c r="AH44" s="49">
        <f t="shared" si="61"/>
        <v>1</v>
      </c>
      <c r="AI44" s="49">
        <f t="shared" si="62"/>
        <v>1</v>
      </c>
      <c r="AJ44" s="49">
        <f t="shared" si="63"/>
        <v>1</v>
      </c>
      <c r="AK44" s="49">
        <f t="shared" si="64"/>
        <v>1</v>
      </c>
      <c r="AL44" s="49">
        <f t="shared" si="65"/>
        <v>1</v>
      </c>
      <c r="AM44" s="49">
        <f t="shared" si="66"/>
        <v>1</v>
      </c>
      <c r="AN44" s="60">
        <f t="shared" ref="AN44:BB44" si="133">IFERROR(AN15/$B44,0)</f>
        <v>3.3061818657908367E-8</v>
      </c>
      <c r="AO44" s="60">
        <f t="shared" si="133"/>
        <v>3.0903626287097369E-4</v>
      </c>
      <c r="AP44" s="60">
        <f t="shared" si="133"/>
        <v>0</v>
      </c>
      <c r="AQ44" s="60">
        <f t="shared" si="133"/>
        <v>3.2972792119186574E-12</v>
      </c>
      <c r="AR44" s="60">
        <f t="shared" si="133"/>
        <v>6.6123637315816743E-11</v>
      </c>
      <c r="AS44" s="60">
        <f t="shared" si="133"/>
        <v>6.6123637315816743E-11</v>
      </c>
      <c r="AT44" s="60">
        <f t="shared" si="133"/>
        <v>1.8561021000931015E-14</v>
      </c>
      <c r="AU44" s="60">
        <f t="shared" si="133"/>
        <v>1.9117851630958947E-14</v>
      </c>
      <c r="AV44" s="60">
        <f t="shared" si="133"/>
        <v>1.8561021000931015E-14</v>
      </c>
      <c r="AW44" s="60">
        <f t="shared" si="133"/>
        <v>1.8561021000931015E-14</v>
      </c>
      <c r="AX44" s="60">
        <f t="shared" si="133"/>
        <v>1.8561021000931015E-14</v>
      </c>
      <c r="AY44" s="60">
        <f t="shared" si="133"/>
        <v>1.8561021000931015E-14</v>
      </c>
      <c r="AZ44" s="60">
        <f t="shared" si="133"/>
        <v>1.9117851630958947E-14</v>
      </c>
      <c r="BA44" s="60">
        <f t="shared" si="133"/>
        <v>1.8561021000931015E-14</v>
      </c>
      <c r="BB44" s="60">
        <f t="shared" si="133"/>
        <v>1.9117851630958947E-14</v>
      </c>
      <c r="BC44" s="42"/>
      <c r="BD44" s="42"/>
      <c r="BE44" s="42"/>
      <c r="BF44" s="42"/>
      <c r="BG44" s="42"/>
      <c r="BH44" s="42"/>
      <c r="BI44" s="42"/>
      <c r="BJ44" s="42"/>
      <c r="BK44" s="42"/>
      <c r="BL44" s="42"/>
      <c r="BM44" s="42"/>
      <c r="BN44" s="42"/>
      <c r="BO44" s="42"/>
      <c r="BP44" s="42"/>
      <c r="BQ44" s="42"/>
      <c r="BR44" s="60">
        <f t="shared" ref="BR44" si="134">IFERROR(BR15/$B44,0)</f>
        <v>2.0811090002375901E-15</v>
      </c>
      <c r="BS44" s="71">
        <f>IFERROR(up_RadSpec!$E$15*BS15,".")*$B$44</f>
        <v>1512.3185000000001</v>
      </c>
      <c r="BT44" s="71">
        <f>IFERROR(up_RadSpec!$F$15*BT15,".")*$B$44</f>
        <v>0.16179331038854686</v>
      </c>
      <c r="BU44" s="71">
        <f>IFERROR(up_RadSpec!$G$15*BU15,".")*$B$44</f>
        <v>0</v>
      </c>
      <c r="BV44" s="71">
        <f>up_b2s!CC44</f>
        <v>15167657.618914269</v>
      </c>
      <c r="BW44" s="71">
        <f>IFERROR(up_RadSpec!$H$15*BW15,".")*$B$44</f>
        <v>756159.25</v>
      </c>
      <c r="BX44" s="71">
        <f>IFERROR(up_RadSpec!$H$15*BX15,".")*$B$44</f>
        <v>756159.25</v>
      </c>
      <c r="BY44" s="71">
        <f>IFERROR(up_RadSpec!$H$15*BY15,".")*$B$44</f>
        <v>2693817328.125</v>
      </c>
      <c r="BZ44" s="71">
        <f>IFERROR(up_RadSpec!$H$15*BZ15,".")*$B$44</f>
        <v>2615356629.2475729</v>
      </c>
      <c r="CA44" s="71">
        <f>IFERROR(up_RadSpec!$H$15*CA15,".")*$B$44</f>
        <v>2693817328.125</v>
      </c>
      <c r="CB44" s="71">
        <f>IFERROR(up_RadSpec!$H$15*CB15,".")*$B$44</f>
        <v>2693817328.125</v>
      </c>
      <c r="CC44" s="71">
        <f>IFERROR(up_RadSpec!$H$15*CC15,".")*$B$44</f>
        <v>2693817328.125</v>
      </c>
      <c r="CD44" s="71">
        <f>IFERROR(up_RadSpec!$H$15*CD15,".")*$B$44</f>
        <v>2693817328.125</v>
      </c>
      <c r="CE44" s="71">
        <f>IFERROR(up_RadSpec!$H$15*CE15,".")*$B$44</f>
        <v>2615356629.2475729</v>
      </c>
      <c r="CF44" s="71">
        <f>IFERROR(up_RadSpec!$H$15*CF15,".")*$B$44</f>
        <v>2693817328.125</v>
      </c>
      <c r="CG44" s="71">
        <f>IFERROR(up_RadSpec!$H$15*CG15,".")*$B$44</f>
        <v>2615356629.2475729</v>
      </c>
      <c r="CH44" s="49">
        <f t="shared" si="52"/>
        <v>1</v>
      </c>
      <c r="CI44" s="49">
        <f t="shared" si="52"/>
        <v>0.14938299993070792</v>
      </c>
      <c r="CJ44" s="49">
        <f t="shared" si="52"/>
        <v>0</v>
      </c>
      <c r="CK44" s="49">
        <f t="shared" si="52"/>
        <v>1</v>
      </c>
      <c r="CL44" s="49">
        <f t="shared" si="52"/>
        <v>1</v>
      </c>
      <c r="CM44" s="49">
        <f t="shared" si="52"/>
        <v>1</v>
      </c>
      <c r="CN44" s="49">
        <f t="shared" si="52"/>
        <v>1</v>
      </c>
      <c r="CO44" s="49">
        <f t="shared" si="52"/>
        <v>1</v>
      </c>
      <c r="CP44" s="49">
        <f t="shared" si="52"/>
        <v>1</v>
      </c>
      <c r="CQ44" s="49">
        <f t="shared" si="52"/>
        <v>1</v>
      </c>
      <c r="CR44" s="49">
        <f t="shared" si="52"/>
        <v>1</v>
      </c>
      <c r="CS44" s="49">
        <f t="shared" si="52"/>
        <v>1</v>
      </c>
      <c r="CT44" s="49">
        <f t="shared" si="52"/>
        <v>1</v>
      </c>
      <c r="CU44" s="49">
        <f t="shared" si="52"/>
        <v>1</v>
      </c>
      <c r="CV44" s="49">
        <f t="shared" si="52"/>
        <v>1</v>
      </c>
      <c r="CW44" s="49">
        <f t="shared" si="53"/>
        <v>1</v>
      </c>
      <c r="CX44" s="60">
        <f t="shared" ref="CX44" si="135">IFERROR(CX15/$B44,0)</f>
        <v>3.6368000523699216E-10</v>
      </c>
      <c r="CY44" s="60" t="str">
        <f>IFERROR(CY15,".")</f>
        <v>.</v>
      </c>
      <c r="CZ44" s="60">
        <f t="shared" ref="CZ44:DL44" si="136">IFERROR(CZ15/$B44,0)</f>
        <v>3.9822960573450638E-6</v>
      </c>
      <c r="DA44" s="60">
        <f t="shared" si="136"/>
        <v>1.6445386232385919E-11</v>
      </c>
      <c r="DB44" s="60">
        <f t="shared" si="136"/>
        <v>1.322472746316335E-8</v>
      </c>
      <c r="DC44" s="60">
        <f t="shared" si="136"/>
        <v>1.322472746316335E-8</v>
      </c>
      <c r="DD44" s="60">
        <f t="shared" si="136"/>
        <v>2.6449454926326698E-9</v>
      </c>
      <c r="DE44" s="60">
        <f t="shared" si="136"/>
        <v>2.7242938574116498E-9</v>
      </c>
      <c r="DF44" s="60">
        <f t="shared" si="136"/>
        <v>2.6449454926326698E-9</v>
      </c>
      <c r="DG44" s="60">
        <f t="shared" si="136"/>
        <v>2.6449454926326698E-9</v>
      </c>
      <c r="DH44" s="60">
        <f t="shared" si="136"/>
        <v>2.6449454926326698E-9</v>
      </c>
      <c r="DI44" s="60">
        <f t="shared" si="136"/>
        <v>2.6449454926326698E-9</v>
      </c>
      <c r="DJ44" s="60">
        <f t="shared" si="136"/>
        <v>2.7242938574116498E-9</v>
      </c>
      <c r="DK44" s="60">
        <f t="shared" si="136"/>
        <v>2.6449454926326698E-9</v>
      </c>
      <c r="DL44" s="60">
        <f t="shared" si="136"/>
        <v>2.7242938574116498E-9</v>
      </c>
      <c r="DM44" s="15"/>
      <c r="DN44" s="15"/>
      <c r="DO44" s="15"/>
      <c r="DP44" s="15"/>
      <c r="DQ44" s="15"/>
      <c r="DR44" s="15"/>
      <c r="DS44" s="15"/>
      <c r="DT44" s="15"/>
      <c r="DU44" s="15"/>
      <c r="DV44" s="15"/>
      <c r="DW44" s="15"/>
      <c r="DX44" s="15"/>
      <c r="DY44" s="15"/>
      <c r="DZ44" s="15"/>
      <c r="EA44" s="15"/>
      <c r="EB44" s="60">
        <f t="shared" ref="EB44" si="137">IFERROR(EB15/$B44,0)</f>
        <v>1.490798156674461E-11</v>
      </c>
      <c r="EC44" s="71">
        <f>IFERROR(up_RadSpec!$I$15*EC15,".")*$B$44</f>
        <v>137483.5</v>
      </c>
      <c r="ED44" s="71">
        <f>IFERROR(up_RadSpec!$F$15*ED15,".")*$B$44</f>
        <v>0</v>
      </c>
      <c r="EE44" s="71">
        <f>IFERROR(up_RadSpec!$M$15*EE15,".")*$B$44</f>
        <v>12.555570776255708</v>
      </c>
      <c r="EF44" s="71">
        <f>up_b2w!CC44</f>
        <v>3041096.2353597367</v>
      </c>
      <c r="EG44" s="71">
        <f>IFERROR(up_RadSpec!$H$15*EG15,".")*$B$44</f>
        <v>3780.7962499999999</v>
      </c>
      <c r="EH44" s="71">
        <f>IFERROR(up_RadSpec!$H$15*EH15,".")*$B$44</f>
        <v>3780.7962499999999</v>
      </c>
      <c r="EI44" s="71">
        <f>IFERROR(up_RadSpec!$H$15*EI15,".")*$B$44</f>
        <v>18903.981250000001</v>
      </c>
      <c r="EJ44" s="71">
        <f>IFERROR(up_RadSpec!$H$15*EJ15,".")*$B$44</f>
        <v>18353.379854368934</v>
      </c>
      <c r="EK44" s="71">
        <f>IFERROR(up_RadSpec!$H$15*EK15,".")*$B$44</f>
        <v>18903.981250000001</v>
      </c>
      <c r="EL44" s="71">
        <f>IFERROR(up_RadSpec!$H$15*EL15,".")*$B$44</f>
        <v>18903.981250000001</v>
      </c>
      <c r="EM44" s="71">
        <f>IFERROR(up_RadSpec!$H$15*EM15,".")*$B$44</f>
        <v>18903.981250000001</v>
      </c>
      <c r="EN44" s="71">
        <f>IFERROR(up_RadSpec!$H$15*EN15,".")*$B$44</f>
        <v>18903.981250000001</v>
      </c>
      <c r="EO44" s="71">
        <f>IFERROR(up_RadSpec!$H$15*EO15,".")*$B$44</f>
        <v>18353.379854368934</v>
      </c>
      <c r="EP44" s="71">
        <f>IFERROR(up_RadSpec!$H$15*EP15,".")*$B$44</f>
        <v>18903.981250000001</v>
      </c>
      <c r="EQ44" s="71">
        <f>IFERROR(up_RadSpec!$H$15*EQ15,".")*$B$44</f>
        <v>18353.379854368934</v>
      </c>
      <c r="ER44" s="49">
        <f t="shared" si="57"/>
        <v>1</v>
      </c>
      <c r="ES44" s="49">
        <f t="shared" si="57"/>
        <v>0</v>
      </c>
      <c r="ET44" s="49">
        <f t="shared" si="57"/>
        <v>0.99999647479080112</v>
      </c>
      <c r="EU44" s="49">
        <f t="shared" si="57"/>
        <v>1</v>
      </c>
      <c r="EV44" s="49">
        <f t="shared" si="57"/>
        <v>1</v>
      </c>
      <c r="EW44" s="49">
        <f t="shared" si="57"/>
        <v>1</v>
      </c>
      <c r="EX44" s="49">
        <f t="shared" si="57"/>
        <v>1</v>
      </c>
      <c r="EY44" s="49">
        <f t="shared" si="57"/>
        <v>1</v>
      </c>
      <c r="EZ44" s="49">
        <f t="shared" si="57"/>
        <v>1</v>
      </c>
      <c r="FA44" s="49">
        <f t="shared" si="57"/>
        <v>1</v>
      </c>
      <c r="FB44" s="49">
        <f t="shared" si="57"/>
        <v>1</v>
      </c>
      <c r="FC44" s="49">
        <f t="shared" si="57"/>
        <v>1</v>
      </c>
      <c r="FD44" s="49">
        <f t="shared" si="57"/>
        <v>1</v>
      </c>
      <c r="FE44" s="49">
        <f t="shared" si="57"/>
        <v>1</v>
      </c>
      <c r="FF44" s="49">
        <f t="shared" si="57"/>
        <v>1</v>
      </c>
      <c r="FG44" s="49">
        <f t="shared" si="58"/>
        <v>1</v>
      </c>
      <c r="FH44" s="60">
        <f>IFERROR(FH15/$B44,0)</f>
        <v>9.9752230007860697E-10</v>
      </c>
      <c r="FI44" s="60">
        <f>IFERROR(FI15/$B44,0)</f>
        <v>6.3716736917521008E-6</v>
      </c>
      <c r="FJ44" s="60">
        <f>IFERROR(FJ15/$B44,0)</f>
        <v>9.9736615664899466E-10</v>
      </c>
      <c r="FK44" s="71">
        <f>IFERROR(up_RadSpec!$F$15*FK15,".")*$B$44</f>
        <v>50124.192708333328</v>
      </c>
      <c r="FL44" s="71">
        <f>IFERROR(up_RadSpec!$K$15*FL15,".")*$B$44</f>
        <v>7.8472317351598173</v>
      </c>
      <c r="FM44" s="49">
        <f t="shared" si="73"/>
        <v>1</v>
      </c>
      <c r="FN44" s="49">
        <f t="shared" si="73"/>
        <v>0.99960916760030694</v>
      </c>
      <c r="FO44" s="49">
        <f t="shared" si="74"/>
        <v>1</v>
      </c>
    </row>
    <row r="45" spans="1:171" x14ac:dyDescent="0.25">
      <c r="A45" s="82" t="s">
        <v>20</v>
      </c>
      <c r="B45" s="82" t="s">
        <v>1071</v>
      </c>
      <c r="C45" s="57"/>
      <c r="D45" s="58">
        <f>IFERROR(IF(AND(D46&lt;&gt;0,D47&lt;&gt;0),1/SUM(1/D46,1/D47),IF(AND(D46&lt;&gt;0,D47=0),1/(1/D46),IF(AND(D46=0,D47&lt;&gt;0),1/(1/D47),IF(AND(D46=0,D47=0),".")))),".")</f>
        <v>8.5025774925975507E-12</v>
      </c>
      <c r="E45" s="58">
        <f t="shared" ref="E45:O45" si="138">IFERROR(IF(AND(E46&lt;&gt;0,E47&lt;&gt;0),1/SUM(1/E46,1/E47),IF(AND(E46&lt;&gt;0,E47=0),1/(1/E46),IF(AND(E46=0,E47&lt;&gt;0),1/(1/E47),IF(AND(E46=0,E47=0),".")))),".")</f>
        <v>3.4010309970390203E-11</v>
      </c>
      <c r="F45" s="58">
        <f t="shared" si="138"/>
        <v>3.4010309970390203E-11</v>
      </c>
      <c r="G45" s="58">
        <f t="shared" si="138"/>
        <v>3.4010309970390203E-11</v>
      </c>
      <c r="H45" s="58">
        <f t="shared" si="138"/>
        <v>3.4010309970390203E-11</v>
      </c>
      <c r="I45" s="58">
        <f t="shared" si="138"/>
        <v>3.4010309970390203E-11</v>
      </c>
      <c r="J45" s="58">
        <f t="shared" si="138"/>
        <v>3.4010309970390203E-11</v>
      </c>
      <c r="K45" s="58">
        <f t="shared" si="138"/>
        <v>3.4010309970390203E-11</v>
      </c>
      <c r="L45" s="58">
        <f t="shared" si="138"/>
        <v>3.4010309970390203E-11</v>
      </c>
      <c r="M45" s="58">
        <f t="shared" si="138"/>
        <v>3.4010309970390203E-11</v>
      </c>
      <c r="N45" s="58">
        <f t="shared" si="138"/>
        <v>3.4010309970390203E-11</v>
      </c>
      <c r="O45" s="58">
        <f t="shared" si="138"/>
        <v>3.4010309970390203E-11</v>
      </c>
      <c r="P45" s="73"/>
      <c r="Q45" s="70"/>
      <c r="R45" s="70"/>
      <c r="S45" s="70"/>
      <c r="T45" s="70"/>
      <c r="U45" s="70"/>
      <c r="V45" s="70"/>
      <c r="W45" s="70"/>
      <c r="X45" s="70"/>
      <c r="Y45" s="70"/>
      <c r="Z45" s="70"/>
      <c r="AA45" s="70"/>
      <c r="AB45" s="47">
        <f t="shared" ref="AB45:AM45" si="139">IFERROR(IF(SUM(P46:P47)&gt;0.01,1-EXP(-SUM(P46:P47)),SUM(P46:P47)),".")</f>
        <v>1</v>
      </c>
      <c r="AC45" s="47">
        <f t="shared" si="139"/>
        <v>1</v>
      </c>
      <c r="AD45" s="47">
        <f t="shared" si="139"/>
        <v>1</v>
      </c>
      <c r="AE45" s="47">
        <f t="shared" si="139"/>
        <v>1</v>
      </c>
      <c r="AF45" s="47">
        <f t="shared" si="139"/>
        <v>1</v>
      </c>
      <c r="AG45" s="47">
        <f t="shared" si="139"/>
        <v>1</v>
      </c>
      <c r="AH45" s="47">
        <f t="shared" si="139"/>
        <v>1</v>
      </c>
      <c r="AI45" s="47">
        <f t="shared" si="139"/>
        <v>1</v>
      </c>
      <c r="AJ45" s="47">
        <f t="shared" si="139"/>
        <v>1</v>
      </c>
      <c r="AK45" s="47">
        <f t="shared" si="139"/>
        <v>1</v>
      </c>
      <c r="AL45" s="47">
        <f t="shared" si="139"/>
        <v>1</v>
      </c>
      <c r="AM45" s="47">
        <f t="shared" si="139"/>
        <v>1</v>
      </c>
      <c r="AN45" s="58">
        <f t="shared" ref="AN45:BB45" si="140">IFERROR(IF(AND(AN46&lt;&gt;0,AN47&lt;&gt;0),1/SUM(1/AN46,1/AN47),IF(AND(AN46&lt;&gt;0,AN47=0),1/(1/AN46),IF(AND(AN46=0,AN47&lt;&gt;0),1/(1/AN47),IF(AND(AN46=0,AN47=0),".")))),".")</f>
        <v>1.70051549851951E-8</v>
      </c>
      <c r="AO45" s="58">
        <f t="shared" si="140"/>
        <v>1.5895101236088104E-4</v>
      </c>
      <c r="AP45" s="58">
        <f t="shared" si="140"/>
        <v>9.841345106253412E-6</v>
      </c>
      <c r="AQ45" s="58">
        <f t="shared" si="140"/>
        <v>1.6959364700503743E-12</v>
      </c>
      <c r="AR45" s="58">
        <f t="shared" si="140"/>
        <v>3.4010309970390203E-11</v>
      </c>
      <c r="AS45" s="58">
        <f t="shared" si="140"/>
        <v>3.4010309970390203E-11</v>
      </c>
      <c r="AT45" s="58">
        <f t="shared" si="140"/>
        <v>9.5467536758990026E-15</v>
      </c>
      <c r="AU45" s="58">
        <f t="shared" si="140"/>
        <v>9.8331562861759736E-15</v>
      </c>
      <c r="AV45" s="58">
        <f t="shared" si="140"/>
        <v>9.5467536758990026E-15</v>
      </c>
      <c r="AW45" s="58">
        <f t="shared" si="140"/>
        <v>9.5467536758990026E-15</v>
      </c>
      <c r="AX45" s="58">
        <f t="shared" si="140"/>
        <v>9.5467536758990026E-15</v>
      </c>
      <c r="AY45" s="58">
        <f t="shared" si="140"/>
        <v>9.5467536758990026E-15</v>
      </c>
      <c r="AZ45" s="58">
        <f t="shared" si="140"/>
        <v>9.8331562861759736E-15</v>
      </c>
      <c r="BA45" s="58">
        <f t="shared" si="140"/>
        <v>9.5467536758990026E-15</v>
      </c>
      <c r="BB45" s="58">
        <f t="shared" si="140"/>
        <v>9.8331562861759736E-15</v>
      </c>
      <c r="BC45" s="42"/>
      <c r="BD45" s="42"/>
      <c r="BE45" s="42"/>
      <c r="BF45" s="42"/>
      <c r="BG45" s="42"/>
      <c r="BH45" s="42"/>
      <c r="BI45" s="42"/>
      <c r="BJ45" s="42"/>
      <c r="BK45" s="42"/>
      <c r="BL45" s="42"/>
      <c r="BM45" s="42"/>
      <c r="BN45" s="42"/>
      <c r="BO45" s="42"/>
      <c r="BP45" s="42"/>
      <c r="BQ45" s="42"/>
      <c r="BR45" s="58">
        <f t="shared" ref="BR45" si="141">IFERROR(IF(AND(BR46&lt;&gt;0,BR47&lt;&gt;0),1/SUM(1/BR46,1/BR47),IF(AND(BR46&lt;&gt;0,BR47=0),1/(1/BR46),IF(AND(BR46=0,BR47&lt;&gt;0),1/(1/BR47),IF(AND(BR46=0,BR47=0),".")))),".")</f>
        <v>1.0704063636804892E-15</v>
      </c>
      <c r="BS45" s="70"/>
      <c r="BT45" s="70"/>
      <c r="BU45" s="70"/>
      <c r="BV45" s="73"/>
      <c r="BW45" s="70"/>
      <c r="BX45" s="70"/>
      <c r="BY45" s="70"/>
      <c r="BZ45" s="70"/>
      <c r="CA45" s="70"/>
      <c r="CB45" s="70"/>
      <c r="CC45" s="70"/>
      <c r="CD45" s="70"/>
      <c r="CE45" s="70"/>
      <c r="CF45" s="70"/>
      <c r="CG45" s="70"/>
      <c r="CH45" s="47">
        <f t="shared" ref="CH45:CV45" si="142">IFERROR(IF(SUM(BS46:BS47)&gt;0.01,1-EXP(-SUM(BS46:BS47)),SUM(BS46:BS47)),".")</f>
        <v>1</v>
      </c>
      <c r="CI45" s="47">
        <f t="shared" si="142"/>
        <v>0.26989164543332445</v>
      </c>
      <c r="CJ45" s="47">
        <f t="shared" si="142"/>
        <v>0.99378386100519034</v>
      </c>
      <c r="CK45" s="47">
        <f t="shared" si="142"/>
        <v>1</v>
      </c>
      <c r="CL45" s="47">
        <f t="shared" si="142"/>
        <v>1</v>
      </c>
      <c r="CM45" s="47">
        <f t="shared" si="142"/>
        <v>1</v>
      </c>
      <c r="CN45" s="47">
        <f t="shared" si="142"/>
        <v>1</v>
      </c>
      <c r="CO45" s="47">
        <f t="shared" si="142"/>
        <v>1</v>
      </c>
      <c r="CP45" s="47">
        <f t="shared" si="142"/>
        <v>1</v>
      </c>
      <c r="CQ45" s="47">
        <f t="shared" si="142"/>
        <v>1</v>
      </c>
      <c r="CR45" s="47">
        <f t="shared" si="142"/>
        <v>1</v>
      </c>
      <c r="CS45" s="47">
        <f t="shared" si="142"/>
        <v>1</v>
      </c>
      <c r="CT45" s="47">
        <f t="shared" si="142"/>
        <v>1</v>
      </c>
      <c r="CU45" s="47">
        <f t="shared" si="142"/>
        <v>1</v>
      </c>
      <c r="CV45" s="47">
        <f t="shared" si="142"/>
        <v>1</v>
      </c>
      <c r="CW45" s="47">
        <f>IFERROR(IF(SUM(BS46:CG47)&gt;0.01,1-EXP(-SUM(BS46:CG47)),SUM(BS46:CG47)),".")</f>
        <v>1</v>
      </c>
      <c r="CX45" s="58">
        <f t="shared" ref="CX45" si="143">IFERROR(IF(AND(CX46&lt;&gt;0,CX47&lt;&gt;0),1/SUM(1/CX46,1/CX47),IF(AND(CX46&lt;&gt;0,CX47=0),1/(1/CX46),IF(AND(CX46=0,CX47&lt;&gt;0),1/(1/CX47),IF(AND(CX46=0,CX47=0),".")))),".")</f>
        <v>1.8705670483714613E-10</v>
      </c>
      <c r="CY45" s="58" t="str">
        <f>IFERROR(IF(AND(CY46&lt;&gt;0,CY47&lt;&gt;0),1/SUM(1/CY46,1/CY47),IF(AND(CY46&lt;&gt;0,CY47=0),1/(1/CY46),IF(AND(CY46=0,CY47&lt;&gt;0),1/(1/CY47),IF(AND(CY46=0,CY47=0),".")))),".")</f>
        <v>.</v>
      </c>
      <c r="CZ45" s="58">
        <f t="shared" ref="CZ45" si="144">IFERROR(IF(AND(CZ46&lt;&gt;0,CZ47&lt;&gt;0),1/SUM(1/CZ46,1/CZ47),IF(AND(CZ46&lt;&gt;0,CZ47=0),1/(1/CZ46),IF(AND(CZ46=0,CZ47&lt;&gt;0),1/(1/CZ47),IF(AND(CZ46=0,CZ47=0),".")))),".")</f>
        <v>2.0482709179667498E-6</v>
      </c>
      <c r="DA45" s="58">
        <f t="shared" ref="DA45" si="145">IFERROR(IF(AND(DA46&lt;&gt;0,DA47&lt;&gt;0),1/SUM(1/DA46,1/DA47),IF(AND(DA46&lt;&gt;0,DA47=0),1/(1/DA46),IF(AND(DA46=0,DA47&lt;&gt;0),1/(1/DA47),IF(AND(DA46=0,DA47=0),".")))),".")</f>
        <v>8.4585891830914918E-12</v>
      </c>
      <c r="DB45" s="58">
        <f t="shared" ref="DB45" si="146">IFERROR(IF(AND(DB46&lt;&gt;0,DB47&lt;&gt;0),1/SUM(1/DB46,1/DB47),IF(AND(DB46&lt;&gt;0,DB47=0),1/(1/DB46),IF(AND(DB46=0,DB47&lt;&gt;0),1/(1/DB47),IF(AND(DB46=0,DB47=0),".")))),".")</f>
        <v>6.8020619940780413E-9</v>
      </c>
      <c r="DC45" s="58">
        <f t="shared" ref="DC45" si="147">IFERROR(IF(AND(DC46&lt;&gt;0,DC47&lt;&gt;0),1/SUM(1/DC46,1/DC47),IF(AND(DC46&lt;&gt;0,DC47=0),1/(1/DC46),IF(AND(DC46=0,DC47&lt;&gt;0),1/(1/DC47),IF(AND(DC46=0,DC47=0),".")))),".")</f>
        <v>6.8020619940780413E-9</v>
      </c>
      <c r="DD45" s="58">
        <f t="shared" ref="DD45" si="148">IFERROR(IF(AND(DD46&lt;&gt;0,DD47&lt;&gt;0),1/SUM(1/DD46,1/DD47),IF(AND(DD46&lt;&gt;0,DD47=0),1/(1/DD46),IF(AND(DD46=0,DD47&lt;&gt;0),1/(1/DD47),IF(AND(DD46=0,DD47=0),".")))),".")</f>
        <v>1.3604123988156081E-9</v>
      </c>
      <c r="DE45" s="58">
        <f t="shared" ref="DE45" si="149">IFERROR(IF(AND(DE46&lt;&gt;0,DE47&lt;&gt;0),1/SUM(1/DE46,1/DE47),IF(AND(DE46&lt;&gt;0,DE47=0),1/(1/DE46),IF(AND(DE46=0,DE47&lt;&gt;0),1/(1/DE47),IF(AND(DE46=0,DE47=0),".")))),".")</f>
        <v>1.4012247707800764E-9</v>
      </c>
      <c r="DF45" s="58">
        <f t="shared" ref="DF45" si="150">IFERROR(IF(AND(DF46&lt;&gt;0,DF47&lt;&gt;0),1/SUM(1/DF46,1/DF47),IF(AND(DF46&lt;&gt;0,DF47=0),1/(1/DF46),IF(AND(DF46=0,DF47&lt;&gt;0),1/(1/DF47),IF(AND(DF46=0,DF47=0),".")))),".")</f>
        <v>1.3604123988156081E-9</v>
      </c>
      <c r="DG45" s="58">
        <f t="shared" ref="DG45" si="151">IFERROR(IF(AND(DG46&lt;&gt;0,DG47&lt;&gt;0),1/SUM(1/DG46,1/DG47),IF(AND(DG46&lt;&gt;0,DG47=0),1/(1/DG46),IF(AND(DG46=0,DG47&lt;&gt;0),1/(1/DG47),IF(AND(DG46=0,DG47=0),".")))),".")</f>
        <v>1.3604123988156081E-9</v>
      </c>
      <c r="DH45" s="58">
        <f t="shared" ref="DH45" si="152">IFERROR(IF(AND(DH46&lt;&gt;0,DH47&lt;&gt;0),1/SUM(1/DH46,1/DH47),IF(AND(DH46&lt;&gt;0,DH47=0),1/(1/DH46),IF(AND(DH46=0,DH47&lt;&gt;0),1/(1/DH47),IF(AND(DH46=0,DH47=0),".")))),".")</f>
        <v>1.3604123988156081E-9</v>
      </c>
      <c r="DI45" s="58">
        <f t="shared" ref="DI45" si="153">IFERROR(IF(AND(DI46&lt;&gt;0,DI47&lt;&gt;0),1/SUM(1/DI46,1/DI47),IF(AND(DI46&lt;&gt;0,DI47=0),1/(1/DI46),IF(AND(DI46=0,DI47&lt;&gt;0),1/(1/DI47),IF(AND(DI46=0,DI47=0),".")))),".")</f>
        <v>1.3604123988156081E-9</v>
      </c>
      <c r="DJ45" s="58">
        <f t="shared" ref="DJ45" si="154">IFERROR(IF(AND(DJ46&lt;&gt;0,DJ47&lt;&gt;0),1/SUM(1/DJ46,1/DJ47),IF(AND(DJ46&lt;&gt;0,DJ47=0),1/(1/DJ46),IF(AND(DJ46=0,DJ47&lt;&gt;0),1/(1/DJ47),IF(AND(DJ46=0,DJ47=0),".")))),".")</f>
        <v>1.4012247707800764E-9</v>
      </c>
      <c r="DK45" s="58">
        <f t="shared" ref="DK45" si="155">IFERROR(IF(AND(DK46&lt;&gt;0,DK47&lt;&gt;0),1/SUM(1/DK46,1/DK47),IF(AND(DK46&lt;&gt;0,DK47=0),1/(1/DK46),IF(AND(DK46=0,DK47&lt;&gt;0),1/(1/DK47),IF(AND(DK46=0,DK47=0),".")))),".")</f>
        <v>1.3604123988156081E-9</v>
      </c>
      <c r="DL45" s="58">
        <f t="shared" ref="DL45" si="156">IFERROR(IF(AND(DL46&lt;&gt;0,DL47&lt;&gt;0),1/SUM(1/DL46,1/DL47),IF(AND(DL46&lt;&gt;0,DL47=0),1/(1/DL46),IF(AND(DL46=0,DL47&lt;&gt;0),1/(1/DL47),IF(AND(DL46=0,DL47=0),".")))),".")</f>
        <v>1.4012247707800764E-9</v>
      </c>
      <c r="DM45" s="15"/>
      <c r="DN45" s="15"/>
      <c r="DO45" s="15"/>
      <c r="DP45" s="15"/>
      <c r="DQ45" s="15"/>
      <c r="DR45" s="15"/>
      <c r="DS45" s="15"/>
      <c r="DT45" s="15"/>
      <c r="DU45" s="15"/>
      <c r="DV45" s="15"/>
      <c r="DW45" s="15"/>
      <c r="DX45" s="15"/>
      <c r="DY45" s="15"/>
      <c r="DZ45" s="15"/>
      <c r="EA45" s="15"/>
      <c r="EB45" s="58">
        <f t="shared" ref="EB45" si="157">IFERROR(IF(AND(EB46&lt;&gt;0,EB47&lt;&gt;0),1/SUM(1/EB46,1/EB47),IF(AND(EB46&lt;&gt;0,EB47=0),1/(1/EB46),IF(AND(EB46=0,EB47&lt;&gt;0),1/(1/EB47),IF(AND(EB46=0,EB47=0),".")))),".")</f>
        <v>7.66783399552292E-12</v>
      </c>
      <c r="EC45" s="70"/>
      <c r="ED45" s="70"/>
      <c r="EE45" s="70"/>
      <c r="EF45" s="73"/>
      <c r="EG45" s="70"/>
      <c r="EH45" s="70"/>
      <c r="EI45" s="70"/>
      <c r="EJ45" s="70"/>
      <c r="EK45" s="70"/>
      <c r="EL45" s="70"/>
      <c r="EM45" s="70"/>
      <c r="EN45" s="70"/>
      <c r="EO45" s="70"/>
      <c r="EP45" s="70"/>
      <c r="EQ45" s="70"/>
      <c r="ER45" s="47">
        <f t="shared" ref="ER45:FF45" si="158">IFERROR(IF(SUM(EC46:EC47)&gt;0.01,1-EXP(-SUM(EC46:EC47)),SUM(EC46:EC47)),".")</f>
        <v>1</v>
      </c>
      <c r="ES45" s="47">
        <f t="shared" si="158"/>
        <v>0</v>
      </c>
      <c r="ET45" s="47">
        <f t="shared" si="158"/>
        <v>0.99999999997496714</v>
      </c>
      <c r="EU45" s="47">
        <f t="shared" si="158"/>
        <v>1</v>
      </c>
      <c r="EV45" s="47">
        <f t="shared" si="158"/>
        <v>1</v>
      </c>
      <c r="EW45" s="47">
        <f t="shared" si="158"/>
        <v>1</v>
      </c>
      <c r="EX45" s="47">
        <f t="shared" si="158"/>
        <v>1</v>
      </c>
      <c r="EY45" s="47">
        <f t="shared" si="158"/>
        <v>1</v>
      </c>
      <c r="EZ45" s="47">
        <f t="shared" si="158"/>
        <v>1</v>
      </c>
      <c r="FA45" s="47">
        <f t="shared" si="158"/>
        <v>1</v>
      </c>
      <c r="FB45" s="47">
        <f t="shared" si="158"/>
        <v>1</v>
      </c>
      <c r="FC45" s="47">
        <f t="shared" si="158"/>
        <v>1</v>
      </c>
      <c r="FD45" s="47">
        <f t="shared" si="158"/>
        <v>1</v>
      </c>
      <c r="FE45" s="47">
        <f t="shared" si="158"/>
        <v>1</v>
      </c>
      <c r="FF45" s="47">
        <f t="shared" si="158"/>
        <v>1</v>
      </c>
      <c r="FG45" s="47">
        <f>IFERROR(IF(SUM(EC46:EQ47)&gt;0.01,1-EXP(-SUM(EC46:EQ47)),SUM(EC46:EQ47)),".")</f>
        <v>1</v>
      </c>
      <c r="FH45" s="59">
        <f t="shared" ref="FH45:FJ45" si="159">IFERROR(IF(AND(FH46&lt;&gt;0,FH47&lt;&gt;0),1/SUM(1/FH46,1/FH47),IF(AND(FH46&lt;&gt;0,FH47=0),1/(1/FH46),IF(AND(FH46=0,FH47&lt;&gt;0),1/(1/FH47),IF(AND(FH46=0,FH47=0),".")))),".")</f>
        <v>5.1306981898188655E-10</v>
      </c>
      <c r="FI45" s="59">
        <f t="shared" si="159"/>
        <v>3.2772334687468002E-6</v>
      </c>
      <c r="FJ45" s="59">
        <f t="shared" si="159"/>
        <v>5.129895075129999E-10</v>
      </c>
      <c r="FK45" s="70"/>
      <c r="FL45" s="70"/>
      <c r="FM45" s="47">
        <f>IFERROR(IF(SUM(FK46:FK47)&gt;0.01,1-EXP(-SUM(FK46:FK47)),SUM(FK46:FK47)),".")</f>
        <v>1</v>
      </c>
      <c r="FN45" s="47">
        <f>IFERROR(IF(SUM(FL46:FL47)&gt;0.01,1-EXP(-SUM(FL46:FL47)),SUM(FL46:FL47)),".")</f>
        <v>0.99999976337064744</v>
      </c>
      <c r="FO45" s="47">
        <f t="shared" ref="FO45" si="160">IFERROR(IF(SUM(FM46:FM47)&gt;0.01,1-EXP(-SUM(FM46:FM47)),SUM(FM46:FM47)),".")</f>
        <v>0.8646647167633873</v>
      </c>
    </row>
    <row r="46" spans="1:171" x14ac:dyDescent="0.25">
      <c r="A46" s="83" t="s">
        <v>1098</v>
      </c>
      <c r="B46" s="42">
        <v>1</v>
      </c>
      <c r="C46" s="42"/>
      <c r="D46" s="60">
        <f t="shared" ref="D46:O46" si="161">IFERROR(D10/$B46,0)</f>
        <v>1.6528925619834712E-11</v>
      </c>
      <c r="E46" s="60">
        <f t="shared" si="161"/>
        <v>6.6115702479338848E-11</v>
      </c>
      <c r="F46" s="60">
        <f t="shared" si="161"/>
        <v>6.6115702479338848E-11</v>
      </c>
      <c r="G46" s="60">
        <f t="shared" si="161"/>
        <v>6.6115702479338848E-11</v>
      </c>
      <c r="H46" s="60">
        <f t="shared" si="161"/>
        <v>6.6115702479338848E-11</v>
      </c>
      <c r="I46" s="60">
        <f t="shared" si="161"/>
        <v>6.6115702479338848E-11</v>
      </c>
      <c r="J46" s="60">
        <f t="shared" si="161"/>
        <v>6.6115702479338848E-11</v>
      </c>
      <c r="K46" s="60">
        <f t="shared" si="161"/>
        <v>6.6115702479338848E-11</v>
      </c>
      <c r="L46" s="60">
        <f t="shared" si="161"/>
        <v>6.6115702479338848E-11</v>
      </c>
      <c r="M46" s="60">
        <f t="shared" si="161"/>
        <v>6.6115702479338848E-11</v>
      </c>
      <c r="N46" s="60">
        <f t="shared" si="161"/>
        <v>6.6115702479338848E-11</v>
      </c>
      <c r="O46" s="60">
        <f t="shared" si="161"/>
        <v>6.6115702479338848E-11</v>
      </c>
      <c r="P46" s="71">
        <f>up_dir!BC46</f>
        <v>3025000</v>
      </c>
      <c r="Q46" s="71">
        <f>IFERROR(up_RadSpec!$H$10*Q10,".")*$B$46</f>
        <v>756250</v>
      </c>
      <c r="R46" s="71">
        <f>IFERROR(up_RadSpec!$H$10*R10,".")*$B$46</f>
        <v>756250</v>
      </c>
      <c r="S46" s="71">
        <f>IFERROR(up_RadSpec!$H$10*S10,".")*$B$46</f>
        <v>756250</v>
      </c>
      <c r="T46" s="71">
        <f>IFERROR(up_RadSpec!$H$10*T10,".")*$B$46</f>
        <v>756250</v>
      </c>
      <c r="U46" s="71">
        <f>IFERROR(up_RadSpec!$H$10*U10,".")*$B$46</f>
        <v>756250</v>
      </c>
      <c r="V46" s="71">
        <f>IFERROR(up_RadSpec!$H$10*V10,".")*$B$46</f>
        <v>756250</v>
      </c>
      <c r="W46" s="71">
        <f>IFERROR(up_RadSpec!$H$10*W10,".")*$B$46</f>
        <v>756250</v>
      </c>
      <c r="X46" s="71">
        <f>IFERROR(up_RadSpec!$H$10*X10,".")*$B$46</f>
        <v>756250</v>
      </c>
      <c r="Y46" s="71">
        <f>IFERROR(up_RadSpec!$H$10*Y10,".")*$B$46</f>
        <v>756250</v>
      </c>
      <c r="Z46" s="71">
        <f>IFERROR(up_RadSpec!$H$10*Z10,".")*$B$46</f>
        <v>756250</v>
      </c>
      <c r="AA46" s="71">
        <f>IFERROR(up_RadSpec!$H$10*AA10,".")*$B$46</f>
        <v>756250</v>
      </c>
      <c r="AB46" s="49">
        <f t="shared" ref="AB46:AF47" si="162">IFERROR(IF(P46&gt;0.01,1-EXP(-P46),P46),".")</f>
        <v>1</v>
      </c>
      <c r="AC46" s="49">
        <f t="shared" si="162"/>
        <v>1</v>
      </c>
      <c r="AD46" s="49">
        <f t="shared" si="162"/>
        <v>1</v>
      </c>
      <c r="AE46" s="49">
        <f t="shared" si="162"/>
        <v>1</v>
      </c>
      <c r="AF46" s="49">
        <f t="shared" si="162"/>
        <v>1</v>
      </c>
      <c r="AG46" s="49">
        <f t="shared" ref="AG46:AM47" si="163">IFERROR(IF(U46&gt;0.01,1-EXP(-U46),U46),".")</f>
        <v>1</v>
      </c>
      <c r="AH46" s="49">
        <f t="shared" si="163"/>
        <v>1</v>
      </c>
      <c r="AI46" s="49">
        <f t="shared" si="163"/>
        <v>1</v>
      </c>
      <c r="AJ46" s="49">
        <f t="shared" si="163"/>
        <v>1</v>
      </c>
      <c r="AK46" s="49">
        <f t="shared" si="163"/>
        <v>1</v>
      </c>
      <c r="AL46" s="49">
        <f t="shared" si="163"/>
        <v>1</v>
      </c>
      <c r="AM46" s="49">
        <f t="shared" si="163"/>
        <v>1</v>
      </c>
      <c r="AN46" s="60">
        <f t="shared" ref="AN46:BB46" si="164">IFERROR(AN10/$B46,0)</f>
        <v>3.3057851239669421E-8</v>
      </c>
      <c r="AO46" s="60">
        <f t="shared" si="164"/>
        <v>3.0899917851942918E-4</v>
      </c>
      <c r="AP46" s="60">
        <f t="shared" si="164"/>
        <v>2.0730735930735934E-5</v>
      </c>
      <c r="AQ46" s="60">
        <f t="shared" si="164"/>
        <v>3.2968835384132272E-12</v>
      </c>
      <c r="AR46" s="60">
        <f t="shared" si="164"/>
        <v>6.6115702479338848E-11</v>
      </c>
      <c r="AS46" s="60">
        <f t="shared" si="164"/>
        <v>6.6115702479338848E-11</v>
      </c>
      <c r="AT46" s="60">
        <f t="shared" si="164"/>
        <v>1.8558793678410904E-14</v>
      </c>
      <c r="AU46" s="60">
        <f t="shared" si="164"/>
        <v>1.9115557488763232E-14</v>
      </c>
      <c r="AV46" s="60">
        <f t="shared" si="164"/>
        <v>1.8558793678410904E-14</v>
      </c>
      <c r="AW46" s="60">
        <f t="shared" si="164"/>
        <v>1.8558793678410904E-14</v>
      </c>
      <c r="AX46" s="60">
        <f t="shared" si="164"/>
        <v>1.8558793678410904E-14</v>
      </c>
      <c r="AY46" s="60">
        <f t="shared" si="164"/>
        <v>1.8558793678410904E-14</v>
      </c>
      <c r="AZ46" s="60">
        <f t="shared" si="164"/>
        <v>1.9115557488763232E-14</v>
      </c>
      <c r="BA46" s="60">
        <f t="shared" si="164"/>
        <v>1.8558793678410904E-14</v>
      </c>
      <c r="BB46" s="60">
        <f t="shared" si="164"/>
        <v>1.9115557488763232E-14</v>
      </c>
      <c r="BC46" s="42"/>
      <c r="BD46" s="42"/>
      <c r="BE46" s="42"/>
      <c r="BF46" s="42"/>
      <c r="BG46" s="42"/>
      <c r="BH46" s="42"/>
      <c r="BI46" s="42"/>
      <c r="BJ46" s="42"/>
      <c r="BK46" s="42"/>
      <c r="BL46" s="42"/>
      <c r="BM46" s="42"/>
      <c r="BN46" s="42"/>
      <c r="BO46" s="42"/>
      <c r="BP46" s="42"/>
      <c r="BQ46" s="42"/>
      <c r="BR46" s="60">
        <f t="shared" ref="BR46" si="165">IFERROR(BR10/$B46,0)</f>
        <v>2.0808592669486941E-15</v>
      </c>
      <c r="BS46" s="71">
        <f>IFERROR(up_RadSpec!$E$10*BS10,".")*$B$46</f>
        <v>1512.5</v>
      </c>
      <c r="BT46" s="71">
        <f>IFERROR(up_RadSpec!$F$10*BT10,".")*$B$46</f>
        <v>0.16181272791589676</v>
      </c>
      <c r="BU46" s="71">
        <f>IFERROR(up_RadSpec!$G$10*BU10,".")*$B$46</f>
        <v>2.4118777146675576</v>
      </c>
      <c r="BV46" s="71">
        <f>up_b2s!CC46</f>
        <v>15165837.5</v>
      </c>
      <c r="BW46" s="71">
        <f>IFERROR(up_RadSpec!$H$10*BW10,".")*$B$46</f>
        <v>756250</v>
      </c>
      <c r="BX46" s="71">
        <f>IFERROR(up_RadSpec!$H$10*BX10,".")*$B$46</f>
        <v>756250</v>
      </c>
      <c r="BY46" s="71">
        <f>IFERROR(up_RadSpec!$H$10*BY10,".")*$B$46</f>
        <v>2694140625</v>
      </c>
      <c r="BZ46" s="71">
        <f>IFERROR(up_RadSpec!$H$10*BZ10,".")*$B$46</f>
        <v>2615670509.7087379</v>
      </c>
      <c r="CA46" s="71">
        <f>IFERROR(up_RadSpec!$H$10*CA10,".")*$B$46</f>
        <v>2694140625</v>
      </c>
      <c r="CB46" s="71">
        <f>IFERROR(up_RadSpec!$H$10*CB10,".")*$B$46</f>
        <v>2694140625</v>
      </c>
      <c r="CC46" s="71">
        <f>IFERROR(up_RadSpec!$H$10*CC10,".")*$B$46</f>
        <v>2694140625</v>
      </c>
      <c r="CD46" s="71">
        <f>IFERROR(up_RadSpec!$H$10*CD10,".")*$B$46</f>
        <v>2694140625</v>
      </c>
      <c r="CE46" s="71">
        <f>IFERROR(up_RadSpec!$H$10*CE10,".")*$B$46</f>
        <v>2615670509.7087379</v>
      </c>
      <c r="CF46" s="71">
        <f>IFERROR(up_RadSpec!$H$10*CF10,".")*$B$46</f>
        <v>2694140625</v>
      </c>
      <c r="CG46" s="71">
        <f>IFERROR(up_RadSpec!$H$10*CG10,".")*$B$46</f>
        <v>2615670509.7087379</v>
      </c>
      <c r="CH46" s="49">
        <f t="shared" ref="CH46:CM47" si="166">IFERROR(IF(BS46&gt;0.01,1-EXP(-BS46),BS46),".")</f>
        <v>1</v>
      </c>
      <c r="CI46" s="49">
        <f t="shared" si="166"/>
        <v>0.14939951664921358</v>
      </c>
      <c r="CJ46" s="49">
        <f t="shared" si="166"/>
        <v>0.91035319468685993</v>
      </c>
      <c r="CK46" s="49">
        <f t="shared" si="166"/>
        <v>1</v>
      </c>
      <c r="CL46" s="49">
        <f t="shared" si="166"/>
        <v>1</v>
      </c>
      <c r="CM46" s="49">
        <f t="shared" si="166"/>
        <v>1</v>
      </c>
      <c r="CN46" s="49">
        <f t="shared" ref="CN46:CV47" si="167">IFERROR(IF(BY46&gt;0.01,1-EXP(-BY46),BY46),".")</f>
        <v>1</v>
      </c>
      <c r="CO46" s="49">
        <f t="shared" si="167"/>
        <v>1</v>
      </c>
      <c r="CP46" s="49">
        <f t="shared" si="167"/>
        <v>1</v>
      </c>
      <c r="CQ46" s="49">
        <f t="shared" si="167"/>
        <v>1</v>
      </c>
      <c r="CR46" s="49">
        <f t="shared" si="167"/>
        <v>1</v>
      </c>
      <c r="CS46" s="49">
        <f t="shared" si="167"/>
        <v>1</v>
      </c>
      <c r="CT46" s="49">
        <f t="shared" si="167"/>
        <v>1</v>
      </c>
      <c r="CU46" s="49">
        <f t="shared" si="167"/>
        <v>1</v>
      </c>
      <c r="CV46" s="49">
        <f t="shared" si="167"/>
        <v>1</v>
      </c>
      <c r="CW46" s="49">
        <f>IFERROR(IF(SUM(BS46:CG46)&gt;0.01,1-EXP(-SUM(BS46:CG46)),SUM(BS46:CG46)),".")</f>
        <v>1</v>
      </c>
      <c r="CX46" s="60">
        <f t="shared" ref="CX46" si="168">IFERROR(CX10/$B46,0)</f>
        <v>3.6363636363636369E-10</v>
      </c>
      <c r="CY46" s="60" t="str">
        <f>IFERROR(CY10,".")</f>
        <v>.</v>
      </c>
      <c r="CZ46" s="60">
        <f t="shared" ref="CZ46:DL46" si="169">IFERROR(CZ10/$B46,0)</f>
        <v>3.9818181818181825E-6</v>
      </c>
      <c r="DA46" s="60">
        <f t="shared" si="169"/>
        <v>1.6443412786038031E-11</v>
      </c>
      <c r="DB46" s="60">
        <f t="shared" si="169"/>
        <v>1.322314049586777E-8</v>
      </c>
      <c r="DC46" s="60">
        <f t="shared" si="169"/>
        <v>1.322314049586777E-8</v>
      </c>
      <c r="DD46" s="60">
        <f t="shared" si="169"/>
        <v>2.6446280991735539E-9</v>
      </c>
      <c r="DE46" s="60">
        <f t="shared" si="169"/>
        <v>2.7239669421487605E-9</v>
      </c>
      <c r="DF46" s="60">
        <f t="shared" si="169"/>
        <v>2.6446280991735539E-9</v>
      </c>
      <c r="DG46" s="60">
        <f t="shared" si="169"/>
        <v>2.6446280991735539E-9</v>
      </c>
      <c r="DH46" s="60">
        <f t="shared" si="169"/>
        <v>2.6446280991735539E-9</v>
      </c>
      <c r="DI46" s="60">
        <f t="shared" si="169"/>
        <v>2.6446280991735539E-9</v>
      </c>
      <c r="DJ46" s="60">
        <f t="shared" si="169"/>
        <v>2.7239669421487605E-9</v>
      </c>
      <c r="DK46" s="60">
        <f t="shared" si="169"/>
        <v>2.6446280991735539E-9</v>
      </c>
      <c r="DL46" s="60">
        <f t="shared" si="169"/>
        <v>2.7239669421487605E-9</v>
      </c>
      <c r="DM46" s="15"/>
      <c r="DN46" s="15"/>
      <c r="DO46" s="15"/>
      <c r="DP46" s="15"/>
      <c r="DQ46" s="15"/>
      <c r="DR46" s="15"/>
      <c r="DS46" s="15"/>
      <c r="DT46" s="15"/>
      <c r="DU46" s="15"/>
      <c r="DV46" s="15"/>
      <c r="DW46" s="15"/>
      <c r="DX46" s="15"/>
      <c r="DY46" s="15"/>
      <c r="DZ46" s="15"/>
      <c r="EA46" s="15"/>
      <c r="EB46" s="60">
        <f t="shared" ref="EB46" si="170">IFERROR(EB10/$B46,0)</f>
        <v>1.4906192608956601E-11</v>
      </c>
      <c r="EC46" s="71">
        <f>IFERROR(up_RadSpec!$I$10*EC10,".")*$B$46</f>
        <v>137500</v>
      </c>
      <c r="ED46" s="71">
        <f>IFERROR(up_RadSpec!$F$10*ED10,".")*$B$46</f>
        <v>0</v>
      </c>
      <c r="EE46" s="71">
        <f>IFERROR(up_RadSpec!$M$10*EE10,".")*$B$46</f>
        <v>12.557077625570777</v>
      </c>
      <c r="EF46" s="71">
        <f>up_b2w!CC46</f>
        <v>3040731.3038114933</v>
      </c>
      <c r="EG46" s="71">
        <f>IFERROR(up_RadSpec!$H$10*EG10,".")*$B$46</f>
        <v>3781.25</v>
      </c>
      <c r="EH46" s="71">
        <f>IFERROR(up_RadSpec!$H$10*EH10,".")*$B$46</f>
        <v>3781.25</v>
      </c>
      <c r="EI46" s="71">
        <f>IFERROR(up_RadSpec!$H$10*EI10,".")*$B$46</f>
        <v>18906.25</v>
      </c>
      <c r="EJ46" s="71">
        <f>IFERROR(up_RadSpec!$H$10*EJ10,".")*$B$46</f>
        <v>18355.582524271846</v>
      </c>
      <c r="EK46" s="71">
        <f>IFERROR(up_RadSpec!$H$10*EK10,".")*$B$46</f>
        <v>18906.25</v>
      </c>
      <c r="EL46" s="71">
        <f>IFERROR(up_RadSpec!$H$10*EL10,".")*$B$46</f>
        <v>18906.25</v>
      </c>
      <c r="EM46" s="71">
        <f>IFERROR(up_RadSpec!$H$10*EM10,".")*$B$46</f>
        <v>18906.25</v>
      </c>
      <c r="EN46" s="71">
        <f>IFERROR(up_RadSpec!$H$10*EN10,".")*$B$46</f>
        <v>18906.25</v>
      </c>
      <c r="EO46" s="71">
        <f>IFERROR(up_RadSpec!$H$10*EO10,".")*$B$46</f>
        <v>18355.582524271846</v>
      </c>
      <c r="EP46" s="71">
        <f>IFERROR(up_RadSpec!$H$10*EP10,".")*$B$46</f>
        <v>18906.25</v>
      </c>
      <c r="EQ46" s="71">
        <f>IFERROR(up_RadSpec!$H$10*EQ10,".")*$B$46</f>
        <v>18355.582524271846</v>
      </c>
      <c r="ER46" s="49">
        <f t="shared" ref="ER46:FF47" si="171">IFERROR(IF(EC46&gt;0.01,1-EXP(-EC46),EC46),".")</f>
        <v>1</v>
      </c>
      <c r="ES46" s="49">
        <f t="shared" si="171"/>
        <v>0</v>
      </c>
      <c r="ET46" s="49">
        <f t="shared" si="171"/>
        <v>0.99999648009875997</v>
      </c>
      <c r="EU46" s="49">
        <f t="shared" si="171"/>
        <v>1</v>
      </c>
      <c r="EV46" s="49">
        <f t="shared" si="171"/>
        <v>1</v>
      </c>
      <c r="EW46" s="49">
        <f t="shared" si="171"/>
        <v>1</v>
      </c>
      <c r="EX46" s="49">
        <f t="shared" si="171"/>
        <v>1</v>
      </c>
      <c r="EY46" s="49">
        <f t="shared" si="171"/>
        <v>1</v>
      </c>
      <c r="EZ46" s="49">
        <f t="shared" si="171"/>
        <v>1</v>
      </c>
      <c r="FA46" s="49">
        <f t="shared" si="171"/>
        <v>1</v>
      </c>
      <c r="FB46" s="49">
        <f t="shared" si="171"/>
        <v>1</v>
      </c>
      <c r="FC46" s="49">
        <f t="shared" si="171"/>
        <v>1</v>
      </c>
      <c r="FD46" s="49">
        <f t="shared" si="171"/>
        <v>1</v>
      </c>
      <c r="FE46" s="49">
        <f t="shared" si="171"/>
        <v>1</v>
      </c>
      <c r="FF46" s="49">
        <f t="shared" si="171"/>
        <v>1</v>
      </c>
      <c r="FG46" s="49">
        <f>IFERROR(IF(SUM(EC46:EQ46)&gt;0.01,1-EXP(-SUM(EC46:EQ46)),SUM(EC46:EQ46)),".")</f>
        <v>1</v>
      </c>
      <c r="FH46" s="60">
        <f>IFERROR(FH10/$B46,0)</f>
        <v>9.9740259740259755E-10</v>
      </c>
      <c r="FI46" s="60">
        <f>IFERROR(FI10/$B46,0)</f>
        <v>6.3709090909090908E-6</v>
      </c>
      <c r="FJ46" s="60">
        <f>IFERROR(FJ10/$B46,0)</f>
        <v>9.9724647271019672E-10</v>
      </c>
      <c r="FK46" s="71">
        <f>IFERROR(up_RadSpec!$F$10*FK10,".")*$B$46</f>
        <v>50130.208333333328</v>
      </c>
      <c r="FL46" s="71">
        <f>IFERROR(up_RadSpec!$K$10*FL10,".")*$B$46</f>
        <v>7.8481735159817356</v>
      </c>
      <c r="FM46" s="49">
        <f>IFERROR(IF(FK46&gt;0.01,1-EXP(-FK46),FK46),".")</f>
        <v>1</v>
      </c>
      <c r="FN46" s="49">
        <f>IFERROR(IF(FL46&gt;0.01,1-EXP(-FL46),FL46),".")</f>
        <v>0.99960953550549536</v>
      </c>
      <c r="FO46" s="49">
        <f>IFERROR(IF(SUM(FK46:FL46)&gt;0.01,1-EXP(-SUM(FK46:FL46)),SUM(FK46:FL46)),".")</f>
        <v>1</v>
      </c>
    </row>
    <row r="47" spans="1:171" x14ac:dyDescent="0.25">
      <c r="A47" s="83" t="s">
        <v>1072</v>
      </c>
      <c r="B47" s="85">
        <v>0.94399</v>
      </c>
      <c r="C47" s="85"/>
      <c r="D47" s="60">
        <f t="shared" ref="D47:O47" si="172">IFERROR(D6/$B$47,0)</f>
        <v>1.750964058923793E-11</v>
      </c>
      <c r="E47" s="60">
        <f t="shared" si="172"/>
        <v>7.003856235695172E-11</v>
      </c>
      <c r="F47" s="60">
        <f t="shared" si="172"/>
        <v>7.003856235695172E-11</v>
      </c>
      <c r="G47" s="60">
        <f t="shared" si="172"/>
        <v>7.003856235695172E-11</v>
      </c>
      <c r="H47" s="60">
        <f t="shared" si="172"/>
        <v>7.003856235695172E-11</v>
      </c>
      <c r="I47" s="60">
        <f t="shared" si="172"/>
        <v>7.003856235695172E-11</v>
      </c>
      <c r="J47" s="60">
        <f t="shared" si="172"/>
        <v>7.003856235695172E-11</v>
      </c>
      <c r="K47" s="60">
        <f t="shared" si="172"/>
        <v>7.003856235695172E-11</v>
      </c>
      <c r="L47" s="60">
        <f t="shared" si="172"/>
        <v>7.003856235695172E-11</v>
      </c>
      <c r="M47" s="60">
        <f t="shared" si="172"/>
        <v>7.003856235695172E-11</v>
      </c>
      <c r="N47" s="60">
        <f t="shared" si="172"/>
        <v>7.003856235695172E-11</v>
      </c>
      <c r="O47" s="60">
        <f t="shared" si="172"/>
        <v>7.003856235695172E-11</v>
      </c>
      <c r="P47" s="71">
        <f>up_dir!BC47</f>
        <v>3204483.0983379064</v>
      </c>
      <c r="Q47" s="71">
        <f>IFERROR(up_RadSpec!$H$6*Q6,".")*$B$47</f>
        <v>713892.4375</v>
      </c>
      <c r="R47" s="71">
        <f>IFERROR(up_RadSpec!$H$6*R6,".")*$B$47</f>
        <v>713892.4375</v>
      </c>
      <c r="S47" s="71">
        <f>IFERROR(up_RadSpec!$H$6*S6,".")*$B$47</f>
        <v>713892.4375</v>
      </c>
      <c r="T47" s="71">
        <f>IFERROR(up_RadSpec!$H$6*T6,".")*$B$47</f>
        <v>713892.4375</v>
      </c>
      <c r="U47" s="71">
        <f>IFERROR(up_RadSpec!$H$6*U6,".")*$B$47</f>
        <v>713892.4375</v>
      </c>
      <c r="V47" s="71">
        <f>IFERROR(up_RadSpec!$H$6*V6,".")*$B$47</f>
        <v>713892.4375</v>
      </c>
      <c r="W47" s="71">
        <f>IFERROR(up_RadSpec!$H$6*W6,".")*$B$47</f>
        <v>713892.4375</v>
      </c>
      <c r="X47" s="71">
        <f>IFERROR(up_RadSpec!$H$6*X6,".")*$B$47</f>
        <v>713892.4375</v>
      </c>
      <c r="Y47" s="71">
        <f>IFERROR(up_RadSpec!$H$6*Y6,".")*$B$47</f>
        <v>713892.4375</v>
      </c>
      <c r="Z47" s="71">
        <f>IFERROR(up_RadSpec!$H$6*Z6,".")*$B$47</f>
        <v>713892.4375</v>
      </c>
      <c r="AA47" s="71">
        <f>IFERROR(up_RadSpec!$H$6*AA6,".")*$B$47</f>
        <v>713892.4375</v>
      </c>
      <c r="AB47" s="49">
        <f t="shared" si="162"/>
        <v>1</v>
      </c>
      <c r="AC47" s="49">
        <f t="shared" si="162"/>
        <v>1</v>
      </c>
      <c r="AD47" s="49">
        <f t="shared" si="162"/>
        <v>1</v>
      </c>
      <c r="AE47" s="49">
        <f t="shared" si="162"/>
        <v>1</v>
      </c>
      <c r="AF47" s="49">
        <f t="shared" si="162"/>
        <v>1</v>
      </c>
      <c r="AG47" s="49">
        <f t="shared" si="163"/>
        <v>1</v>
      </c>
      <c r="AH47" s="49">
        <f t="shared" si="163"/>
        <v>1</v>
      </c>
      <c r="AI47" s="49">
        <f t="shared" si="163"/>
        <v>1</v>
      </c>
      <c r="AJ47" s="49">
        <f t="shared" si="163"/>
        <v>1</v>
      </c>
      <c r="AK47" s="49">
        <f t="shared" si="163"/>
        <v>1</v>
      </c>
      <c r="AL47" s="49">
        <f t="shared" si="163"/>
        <v>1</v>
      </c>
      <c r="AM47" s="49">
        <f t="shared" si="163"/>
        <v>1</v>
      </c>
      <c r="AN47" s="60">
        <f t="shared" ref="AN47:BB47" si="173">IFERROR(AN6/$B$47,0)</f>
        <v>3.5019281178475855E-8</v>
      </c>
      <c r="AO47" s="60">
        <f t="shared" si="173"/>
        <v>3.2733310577382087E-4</v>
      </c>
      <c r="AP47" s="60">
        <f t="shared" si="173"/>
        <v>1.8735513298162393E-5</v>
      </c>
      <c r="AQ47" s="60">
        <f t="shared" si="173"/>
        <v>3.4924983722425314E-12</v>
      </c>
      <c r="AR47" s="60">
        <f t="shared" si="173"/>
        <v>7.003856235695172E-11</v>
      </c>
      <c r="AS47" s="60">
        <f t="shared" si="173"/>
        <v>7.003856235695172E-11</v>
      </c>
      <c r="AT47" s="60">
        <f t="shared" si="173"/>
        <v>1.9659947328267147E-14</v>
      </c>
      <c r="AU47" s="60">
        <f t="shared" si="173"/>
        <v>2.0249745748115161E-14</v>
      </c>
      <c r="AV47" s="60">
        <f t="shared" si="173"/>
        <v>1.9659947328267147E-14</v>
      </c>
      <c r="AW47" s="60">
        <f t="shared" si="173"/>
        <v>1.9659947328267147E-14</v>
      </c>
      <c r="AX47" s="60">
        <f t="shared" si="173"/>
        <v>1.9659947328267147E-14</v>
      </c>
      <c r="AY47" s="60">
        <f t="shared" si="173"/>
        <v>1.9659947328267147E-14</v>
      </c>
      <c r="AZ47" s="60">
        <f t="shared" si="173"/>
        <v>2.0249745748115161E-14</v>
      </c>
      <c r="BA47" s="60">
        <f t="shared" si="173"/>
        <v>1.9659947328267147E-14</v>
      </c>
      <c r="BB47" s="60">
        <f t="shared" si="173"/>
        <v>2.0249745748115161E-14</v>
      </c>
      <c r="BC47" s="42"/>
      <c r="BD47" s="42"/>
      <c r="BE47" s="42"/>
      <c r="BF47" s="42"/>
      <c r="BG47" s="42"/>
      <c r="BH47" s="42"/>
      <c r="BI47" s="42"/>
      <c r="BJ47" s="42"/>
      <c r="BK47" s="42"/>
      <c r="BL47" s="42"/>
      <c r="BM47" s="42"/>
      <c r="BN47" s="42"/>
      <c r="BO47" s="42"/>
      <c r="BP47" s="42"/>
      <c r="BQ47" s="42"/>
      <c r="BR47" s="60">
        <f t="shared" ref="BR47" si="174">IFERROR(BR6/$B$47,0)</f>
        <v>2.2043234217658431E-15</v>
      </c>
      <c r="BS47" s="71">
        <f>IFERROR(up_RadSpec!$E$6*BS6,".")*$B$47</f>
        <v>1427.7848750000001</v>
      </c>
      <c r="BT47" s="71">
        <f>IFERROR(up_RadSpec!$F$6*BT6,".")*$B$47</f>
        <v>0.15274959702532739</v>
      </c>
      <c r="BU47" s="71">
        <f>IFERROR(up_RadSpec!$G$6*BU6,".")*$B$47</f>
        <v>2.6687285906868685</v>
      </c>
      <c r="BV47" s="71">
        <f>up_b2s!CC47</f>
        <v>16065676.013517093</v>
      </c>
      <c r="BW47" s="71">
        <f>IFERROR(up_RadSpec!$H$6*BW6,".")*$B$47</f>
        <v>713892.4375</v>
      </c>
      <c r="BX47" s="71">
        <f>IFERROR(up_RadSpec!$H$6*BX6,".")*$B$47</f>
        <v>713892.4375</v>
      </c>
      <c r="BY47" s="71">
        <f>IFERROR(up_RadSpec!$H$6*BY6,".")*$B$47</f>
        <v>2543241808.59375</v>
      </c>
      <c r="BZ47" s="71">
        <f>IFERROR(up_RadSpec!$H$6*BZ6,".")*$B$47</f>
        <v>2469166804.4599514</v>
      </c>
      <c r="CA47" s="71">
        <f>IFERROR(up_RadSpec!$H$6*CA6,".")*$B$47</f>
        <v>2543241808.59375</v>
      </c>
      <c r="CB47" s="71">
        <f>IFERROR(up_RadSpec!$H$6*CB6,".")*$B$47</f>
        <v>2543241808.59375</v>
      </c>
      <c r="CC47" s="71">
        <f>IFERROR(up_RadSpec!$H$6*CC6,".")*$B$47</f>
        <v>2543241808.59375</v>
      </c>
      <c r="CD47" s="71">
        <f>IFERROR(up_RadSpec!$H$6*CD6,".")*$B$47</f>
        <v>2543241808.59375</v>
      </c>
      <c r="CE47" s="71">
        <f>IFERROR(up_RadSpec!$H$6*CE6,".")*$B$47</f>
        <v>2469166804.4599514</v>
      </c>
      <c r="CF47" s="71">
        <f>IFERROR(up_RadSpec!$H$6*CF6,".")*$B$47</f>
        <v>2543241808.59375</v>
      </c>
      <c r="CG47" s="71">
        <f>IFERROR(up_RadSpec!$H$6*CG6,".")*$B$47</f>
        <v>2469166804.4599514</v>
      </c>
      <c r="CH47" s="49">
        <f t="shared" si="166"/>
        <v>1</v>
      </c>
      <c r="CI47" s="49">
        <f t="shared" si="166"/>
        <v>0.14165537304828935</v>
      </c>
      <c r="CJ47" s="49">
        <f t="shared" si="166"/>
        <v>0.93065967077023637</v>
      </c>
      <c r="CK47" s="49">
        <f t="shared" si="166"/>
        <v>1</v>
      </c>
      <c r="CL47" s="49">
        <f t="shared" si="166"/>
        <v>1</v>
      </c>
      <c r="CM47" s="49">
        <f t="shared" si="166"/>
        <v>1</v>
      </c>
      <c r="CN47" s="49">
        <f t="shared" si="167"/>
        <v>1</v>
      </c>
      <c r="CO47" s="49">
        <f t="shared" si="167"/>
        <v>1</v>
      </c>
      <c r="CP47" s="49">
        <f t="shared" si="167"/>
        <v>1</v>
      </c>
      <c r="CQ47" s="49">
        <f t="shared" si="167"/>
        <v>1</v>
      </c>
      <c r="CR47" s="49">
        <f t="shared" si="167"/>
        <v>1</v>
      </c>
      <c r="CS47" s="49">
        <f t="shared" si="167"/>
        <v>1</v>
      </c>
      <c r="CT47" s="49">
        <f t="shared" si="167"/>
        <v>1</v>
      </c>
      <c r="CU47" s="49">
        <f t="shared" si="167"/>
        <v>1</v>
      </c>
      <c r="CV47" s="49">
        <f t="shared" si="167"/>
        <v>1</v>
      </c>
      <c r="CW47" s="49">
        <f>IFERROR(IF(SUM(BS47:CG47)&gt;0.01,1-EXP(-SUM(BS47:CG47)),SUM(BS47:CG47)),".")</f>
        <v>1</v>
      </c>
      <c r="CX47" s="60">
        <f t="shared" ref="CX47" si="175">IFERROR(CX6/$B$47,0)</f>
        <v>3.8521209296323445E-10</v>
      </c>
      <c r="CY47" s="60" t="str">
        <f>IFERROR(CY6,".")</f>
        <v>.</v>
      </c>
      <c r="CZ47" s="60">
        <f t="shared" ref="CZ47:DL47" si="176">IFERROR(CZ6/$B$47,0)</f>
        <v>4.218072417947417E-6</v>
      </c>
      <c r="DA47" s="60">
        <f t="shared" si="176"/>
        <v>1.7419054000612327E-11</v>
      </c>
      <c r="DB47" s="60">
        <f t="shared" si="176"/>
        <v>1.4007712471390344E-8</v>
      </c>
      <c r="DC47" s="60">
        <f t="shared" si="176"/>
        <v>1.4007712471390344E-8</v>
      </c>
      <c r="DD47" s="60">
        <f t="shared" si="176"/>
        <v>2.8015424942780685E-9</v>
      </c>
      <c r="DE47" s="60">
        <f t="shared" si="176"/>
        <v>2.8855887691064107E-9</v>
      </c>
      <c r="DF47" s="60">
        <f t="shared" si="176"/>
        <v>2.8015424942780685E-9</v>
      </c>
      <c r="DG47" s="60">
        <f t="shared" si="176"/>
        <v>2.8015424942780685E-9</v>
      </c>
      <c r="DH47" s="60">
        <f t="shared" si="176"/>
        <v>2.8015424942780685E-9</v>
      </c>
      <c r="DI47" s="60">
        <f t="shared" si="176"/>
        <v>2.8015424942780685E-9</v>
      </c>
      <c r="DJ47" s="60">
        <f t="shared" si="176"/>
        <v>2.8855887691064107E-9</v>
      </c>
      <c r="DK47" s="60">
        <f t="shared" si="176"/>
        <v>2.8015424942780685E-9</v>
      </c>
      <c r="DL47" s="60">
        <f t="shared" si="176"/>
        <v>2.8855887691064107E-9</v>
      </c>
      <c r="DM47" s="15"/>
      <c r="DN47" s="15"/>
      <c r="DO47" s="15"/>
      <c r="DP47" s="15"/>
      <c r="DQ47" s="15"/>
      <c r="DR47" s="15"/>
      <c r="DS47" s="15"/>
      <c r="DT47" s="15"/>
      <c r="DU47" s="15"/>
      <c r="DV47" s="15"/>
      <c r="DW47" s="15"/>
      <c r="DX47" s="15"/>
      <c r="DY47" s="15"/>
      <c r="DZ47" s="15"/>
      <c r="EA47" s="15"/>
      <c r="EB47" s="60">
        <f t="shared" ref="EB47" si="177">IFERROR(EB6/$B$47,0)</f>
        <v>1.5790625545775487E-11</v>
      </c>
      <c r="EC47" s="71">
        <f>IFERROR(up_RadSpec!$I$6*EC6,".")*$B$47</f>
        <v>129798.625</v>
      </c>
      <c r="ED47" s="71">
        <f>IFERROR(up_RadSpec!$F$6*ED6,".")*$B$47</f>
        <v>0</v>
      </c>
      <c r="EE47" s="71">
        <f>IFERROR(up_RadSpec!$M$6*EE6,".")*$B$47</f>
        <v>11.853755707762557</v>
      </c>
      <c r="EF47" s="71">
        <f>up_b2w!CC47</f>
        <v>3221147.7916201372</v>
      </c>
      <c r="EG47" s="71">
        <f>IFERROR(up_RadSpec!$H$6*EG6,".")*$B$47</f>
        <v>3569.4621874999998</v>
      </c>
      <c r="EH47" s="71">
        <f>IFERROR(up_RadSpec!$H$6*EH6,".")*$B$47</f>
        <v>3569.4621874999998</v>
      </c>
      <c r="EI47" s="71">
        <f>IFERROR(up_RadSpec!$H$6*EI6,".")*$B$47</f>
        <v>17847.310937499999</v>
      </c>
      <c r="EJ47" s="71">
        <f>IFERROR(up_RadSpec!$H$6*EJ6,".")*$B$47</f>
        <v>17327.486347087379</v>
      </c>
      <c r="EK47" s="71">
        <f>IFERROR(up_RadSpec!$H$6*EK6,".")*$B$47</f>
        <v>17847.310937499999</v>
      </c>
      <c r="EL47" s="71">
        <f>IFERROR(up_RadSpec!$H$6*EL6,".")*$B$47</f>
        <v>17847.310937499999</v>
      </c>
      <c r="EM47" s="71">
        <f>IFERROR(up_RadSpec!$H$6*EM6,".")*$B$47</f>
        <v>17847.310937499999</v>
      </c>
      <c r="EN47" s="71">
        <f>IFERROR(up_RadSpec!$H$6*EN6,".")*$B$47</f>
        <v>17847.310937499999</v>
      </c>
      <c r="EO47" s="71">
        <f>IFERROR(up_RadSpec!$H$6*EO6,".")*$B$47</f>
        <v>17327.486347087379</v>
      </c>
      <c r="EP47" s="71">
        <f>IFERROR(up_RadSpec!$H$6*EP6,".")*$B$47</f>
        <v>17847.310937499999</v>
      </c>
      <c r="EQ47" s="71">
        <f>IFERROR(up_RadSpec!$H$6*EQ6,".")*$B$47</f>
        <v>17327.486347087379</v>
      </c>
      <c r="ER47" s="49">
        <f t="shared" si="171"/>
        <v>1</v>
      </c>
      <c r="ES47" s="49">
        <f t="shared" si="171"/>
        <v>0</v>
      </c>
      <c r="ET47" s="49">
        <f t="shared" si="171"/>
        <v>0.99999288820374177</v>
      </c>
      <c r="EU47" s="49">
        <f t="shared" si="171"/>
        <v>1</v>
      </c>
      <c r="EV47" s="49">
        <f t="shared" si="171"/>
        <v>1</v>
      </c>
      <c r="EW47" s="49">
        <f t="shared" si="171"/>
        <v>1</v>
      </c>
      <c r="EX47" s="49">
        <f t="shared" si="171"/>
        <v>1</v>
      </c>
      <c r="EY47" s="49">
        <f t="shared" si="171"/>
        <v>1</v>
      </c>
      <c r="EZ47" s="49">
        <f t="shared" si="171"/>
        <v>1</v>
      </c>
      <c r="FA47" s="49">
        <f t="shared" si="171"/>
        <v>1</v>
      </c>
      <c r="FB47" s="49">
        <f t="shared" si="171"/>
        <v>1</v>
      </c>
      <c r="FC47" s="49">
        <f t="shared" si="171"/>
        <v>1</v>
      </c>
      <c r="FD47" s="49">
        <f t="shared" si="171"/>
        <v>1</v>
      </c>
      <c r="FE47" s="49">
        <f t="shared" si="171"/>
        <v>1</v>
      </c>
      <c r="FF47" s="49">
        <f t="shared" si="171"/>
        <v>1</v>
      </c>
      <c r="FG47" s="49">
        <f>IFERROR(IF(SUM(EC47:EQ47)&gt;0.01,1-EXP(-SUM(EC47:EQ47)),SUM(EC47:EQ47)),".")</f>
        <v>1</v>
      </c>
      <c r="FH47" s="60">
        <f>IFERROR(FH6/$B$47,0)</f>
        <v>1.0565817406991574E-9</v>
      </c>
      <c r="FI47" s="60">
        <f>IFERROR(FI6/$B$47,0)</f>
        <v>6.7489158687158668E-6</v>
      </c>
      <c r="FJ47" s="60">
        <f>IFERROR(FJ6/$B$47,0)</f>
        <v>1.0564163526204691E-9</v>
      </c>
      <c r="FK47" s="71">
        <f>IFERROR(up_RadSpec!$F$6*FK6,".")*$B$47</f>
        <v>47322.415364583328</v>
      </c>
      <c r="FL47" s="71">
        <f>IFERROR(up_RadSpec!$K$6*FL6,".")*$B$47</f>
        <v>7.4085973173515987</v>
      </c>
      <c r="FM47" s="49">
        <f>IFERROR(IF(FK47&gt;0.01,1-EXP(-FK47),FK47),".")</f>
        <v>1</v>
      </c>
      <c r="FN47" s="49">
        <f>IFERROR(IF(FL47&gt;0.01,1-EXP(-FL47),FL47),".")</f>
        <v>0.99939397984741163</v>
      </c>
      <c r="FO47" s="49">
        <f>IFERROR(IF(SUM(FK47:FL47)&gt;0.01,1-EXP(-SUM(FK47:FL47)),SUM(FK47:FL47)),".")</f>
        <v>1</v>
      </c>
    </row>
    <row r="48" spans="1:171" x14ac:dyDescent="0.25">
      <c r="A48" s="82" t="s">
        <v>33</v>
      </c>
      <c r="B48" s="82" t="s">
        <v>1071</v>
      </c>
      <c r="C48" s="250"/>
      <c r="D48" s="58">
        <f>1/SUM(1/D49,1/D50,1/D51,1/D52,1/D53,1/D54,1/D55,1/D56,1/D57,1/D58,1/D59,1/D60,1/D61,1/D62)</f>
        <v>1.8365470139782075E-12</v>
      </c>
      <c r="E48" s="58">
        <f t="shared" ref="E48:O48" si="178">1/SUM(1/E49,1/E50,1/E51,1/E52,1/E53,1/E54,1/E55,1/E56,1/E57,1/E58,1/E59,1/E60,1/E61,1/E62)</f>
        <v>7.3461880559128299E-12</v>
      </c>
      <c r="F48" s="58">
        <f t="shared" si="178"/>
        <v>7.3461880559128299E-12</v>
      </c>
      <c r="G48" s="58">
        <f t="shared" si="178"/>
        <v>7.3461880559128299E-12</v>
      </c>
      <c r="H48" s="58">
        <f t="shared" si="178"/>
        <v>7.3461880559128299E-12</v>
      </c>
      <c r="I48" s="58">
        <f t="shared" si="178"/>
        <v>7.3461880559128299E-12</v>
      </c>
      <c r="J48" s="58">
        <f t="shared" si="178"/>
        <v>7.3461880559128299E-12</v>
      </c>
      <c r="K48" s="58">
        <f t="shared" si="178"/>
        <v>7.3461880559128299E-12</v>
      </c>
      <c r="L48" s="58">
        <f t="shared" si="178"/>
        <v>7.3461880559128299E-12</v>
      </c>
      <c r="M48" s="58">
        <f t="shared" si="178"/>
        <v>7.3461880559128299E-12</v>
      </c>
      <c r="N48" s="58">
        <f t="shared" si="178"/>
        <v>7.3461880559128299E-12</v>
      </c>
      <c r="O48" s="58">
        <f t="shared" si="178"/>
        <v>7.3461880559128299E-12</v>
      </c>
      <c r="P48" s="73"/>
      <c r="Q48" s="70"/>
      <c r="R48" s="70"/>
      <c r="S48" s="70"/>
      <c r="T48" s="70"/>
      <c r="U48" s="70"/>
      <c r="V48" s="70"/>
      <c r="W48" s="70"/>
      <c r="X48" s="70"/>
      <c r="Y48" s="70"/>
      <c r="Z48" s="70"/>
      <c r="AA48" s="70"/>
      <c r="AB48" s="47">
        <f t="shared" ref="AB48:AM48" si="179">IFERROR(IF(SUM(P49:P62)&gt;0.01,1-EXP(-SUM(P49:P62)),SUM(P49:P62)),".")</f>
        <v>1</v>
      </c>
      <c r="AC48" s="47">
        <f t="shared" si="179"/>
        <v>1</v>
      </c>
      <c r="AD48" s="47">
        <f t="shared" si="179"/>
        <v>1</v>
      </c>
      <c r="AE48" s="47">
        <f t="shared" si="179"/>
        <v>1</v>
      </c>
      <c r="AF48" s="47">
        <f t="shared" si="179"/>
        <v>1</v>
      </c>
      <c r="AG48" s="47">
        <f t="shared" si="179"/>
        <v>1</v>
      </c>
      <c r="AH48" s="47">
        <f t="shared" si="179"/>
        <v>1</v>
      </c>
      <c r="AI48" s="47">
        <f t="shared" si="179"/>
        <v>1</v>
      </c>
      <c r="AJ48" s="47">
        <f t="shared" si="179"/>
        <v>1</v>
      </c>
      <c r="AK48" s="47">
        <f t="shared" si="179"/>
        <v>1</v>
      </c>
      <c r="AL48" s="47">
        <f t="shared" si="179"/>
        <v>1</v>
      </c>
      <c r="AM48" s="47">
        <f t="shared" si="179"/>
        <v>1</v>
      </c>
      <c r="AN48" s="58">
        <f t="shared" ref="AN48:BB48" si="180">1/SUM(1/AN49,1/AN50,1/AN51,1/AN52,1/AN53,1/AN54,1/AN55,1/AN56,1/AN57,1/AN58,1/AN59,1/AN60,1/AN61,1/AN62)</f>
        <v>3.6730940279564145E-9</v>
      </c>
      <c r="AO48" s="58">
        <f t="shared" si="180"/>
        <v>3.433323687721039E-5</v>
      </c>
      <c r="AP48" s="58">
        <f>1/SUM(1/AP49,1/AP50,1/AP52,1/AP54,1/AP55,1/AP56,1/AP57,1/AP58,1/AP59,1/AP60,1/AP61,1/AP62)</f>
        <v>2.4887751357328155E-6</v>
      </c>
      <c r="AQ48" s="58">
        <f t="shared" si="180"/>
        <v>3.6632033788335645E-13</v>
      </c>
      <c r="AR48" s="58">
        <f t="shared" si="180"/>
        <v>7.3461880559128299E-12</v>
      </c>
      <c r="AS48" s="58">
        <f t="shared" si="180"/>
        <v>7.3461880559128299E-12</v>
      </c>
      <c r="AT48" s="58">
        <f t="shared" si="180"/>
        <v>2.062087875343952E-15</v>
      </c>
      <c r="AU48" s="58">
        <f t="shared" si="180"/>
        <v>2.1239505116042706E-15</v>
      </c>
      <c r="AV48" s="58">
        <f t="shared" si="180"/>
        <v>2.062087875343952E-15</v>
      </c>
      <c r="AW48" s="58">
        <f t="shared" si="180"/>
        <v>2.062087875343952E-15</v>
      </c>
      <c r="AX48" s="58">
        <f t="shared" si="180"/>
        <v>2.062087875343952E-15</v>
      </c>
      <c r="AY48" s="58">
        <f t="shared" si="180"/>
        <v>2.062087875343952E-15</v>
      </c>
      <c r="AZ48" s="58">
        <f t="shared" si="180"/>
        <v>2.1239505116042706E-15</v>
      </c>
      <c r="BA48" s="58">
        <f t="shared" si="180"/>
        <v>2.062087875343952E-15</v>
      </c>
      <c r="BB48" s="58">
        <f t="shared" si="180"/>
        <v>2.1239505116042706E-15</v>
      </c>
      <c r="BC48" s="42"/>
      <c r="BD48" s="42"/>
      <c r="BE48" s="42"/>
      <c r="BF48" s="42"/>
      <c r="BG48" s="42"/>
      <c r="BH48" s="42"/>
      <c r="BI48" s="42"/>
      <c r="BJ48" s="42"/>
      <c r="BK48" s="42"/>
      <c r="BL48" s="42"/>
      <c r="BM48" s="42"/>
      <c r="BN48" s="42"/>
      <c r="BO48" s="42"/>
      <c r="BP48" s="42"/>
      <c r="BQ48" s="42"/>
      <c r="BR48" s="58">
        <f t="shared" ref="BR48" si="181">1/SUM(1/BR49,1/BR50,1/BR51,1/BR52,1/BR53,1/BR54,1/BR55,1/BR56,1/BR57,1/BR58,1/BR59,1/BR60,1/BR61,1/BR62)</f>
        <v>2.3120655033175047E-16</v>
      </c>
      <c r="BS48" s="70"/>
      <c r="BT48" s="70"/>
      <c r="BU48" s="70"/>
      <c r="BV48" s="73"/>
      <c r="BW48" s="70"/>
      <c r="BX48" s="70"/>
      <c r="BY48" s="70"/>
      <c r="BZ48" s="70"/>
      <c r="CA48" s="70"/>
      <c r="CB48" s="70"/>
      <c r="CC48" s="70"/>
      <c r="CD48" s="70"/>
      <c r="CE48" s="70"/>
      <c r="CF48" s="70"/>
      <c r="CG48" s="70"/>
      <c r="CH48" s="47">
        <f t="shared" ref="CH48:CV48" si="182">IFERROR(IF(SUM(BS49:BS62)&gt;0.01,1-EXP(-SUM(BS49:BS62)),SUM(BS49:BS62)),".")</f>
        <v>1</v>
      </c>
      <c r="CI48" s="47">
        <f t="shared" si="182"/>
        <v>0.76690630248292946</v>
      </c>
      <c r="CJ48" s="47">
        <f t="shared" si="182"/>
        <v>0.99999999811663154</v>
      </c>
      <c r="CK48" s="47">
        <f t="shared" si="182"/>
        <v>1</v>
      </c>
      <c r="CL48" s="47">
        <f t="shared" si="182"/>
        <v>1</v>
      </c>
      <c r="CM48" s="47">
        <f t="shared" si="182"/>
        <v>1</v>
      </c>
      <c r="CN48" s="47">
        <f t="shared" si="182"/>
        <v>1</v>
      </c>
      <c r="CO48" s="47">
        <f t="shared" si="182"/>
        <v>1</v>
      </c>
      <c r="CP48" s="47">
        <f t="shared" si="182"/>
        <v>1</v>
      </c>
      <c r="CQ48" s="47">
        <f t="shared" si="182"/>
        <v>1</v>
      </c>
      <c r="CR48" s="47">
        <f t="shared" si="182"/>
        <v>1</v>
      </c>
      <c r="CS48" s="47">
        <f t="shared" si="182"/>
        <v>1</v>
      </c>
      <c r="CT48" s="47">
        <f t="shared" si="182"/>
        <v>1</v>
      </c>
      <c r="CU48" s="47">
        <f t="shared" si="182"/>
        <v>1</v>
      </c>
      <c r="CV48" s="47">
        <f t="shared" si="182"/>
        <v>1</v>
      </c>
      <c r="CW48" s="47">
        <f>IFERROR(IF(SUM(BS49:CG62)&gt;0.01,1-EXP(-SUM(BS49:CG62)),SUM(BS49:CG62)),".")</f>
        <v>1</v>
      </c>
      <c r="CX48" s="58">
        <f t="shared" ref="CX48" si="183">1/SUM(1/CX49,1/CX50,1/CX51,1/CX52,1/CX53,1/CX54,1/CX55,1/CX56,1/CX57,1/CX58,1/CX59,1/CX60,1/CX61,1/CX62)</f>
        <v>4.0404034307520568E-11</v>
      </c>
      <c r="CY48" s="58">
        <f>1/SUM(1/CY50,1/CY51,1/CY52,1/CY54)</f>
        <v>1.0219583103014988E-9</v>
      </c>
      <c r="CZ48" s="58">
        <f t="shared" ref="CZ48" si="184">1/SUM(1/CZ49,1/CZ50,1/CZ51,1/CZ52,1/CZ53,1/CZ54,1/CZ55,1/CZ56,1/CZ57,1/CZ58,1/CZ59,1/CZ60,1/CZ61,1/CZ62)</f>
        <v>4.4242417566735022E-7</v>
      </c>
      <c r="DA48" s="58">
        <f t="shared" ref="DA48" si="185">1/SUM(1/DA49,1/DA50,1/DA51,1/DA52,1/DA53,1/DA54,1/DA55,1/DA56,1/DA57,1/DA58,1/DA59,1/DA60,1/DA61,1/DA62)</f>
        <v>1.8270455894344578E-12</v>
      </c>
      <c r="DB48" s="58">
        <f t="shared" ref="DB48" si="186">1/SUM(1/DB49,1/DB50,1/DB51,1/DB52,1/DB53,1/DB54,1/DB55,1/DB56,1/DB57,1/DB58,1/DB59,1/DB60,1/DB61,1/DB62)</f>
        <v>1.469237611182566E-9</v>
      </c>
      <c r="DC48" s="58">
        <f t="shared" ref="DC48" si="187">1/SUM(1/DC49,1/DC50,1/DC51,1/DC52,1/DC53,1/DC54,1/DC55,1/DC56,1/DC57,1/DC58,1/DC59,1/DC60,1/DC61,1/DC62)</f>
        <v>1.469237611182566E-9</v>
      </c>
      <c r="DD48" s="58">
        <f t="shared" ref="DD48" si="188">1/SUM(1/DD49,1/DD50,1/DD51,1/DD52,1/DD53,1/DD54,1/DD55,1/DD56,1/DD57,1/DD58,1/DD59,1/DD60,1/DD61,1/DD62)</f>
        <v>2.938475222365132E-10</v>
      </c>
      <c r="DE48" s="58">
        <f t="shared" ref="DE48" si="189">1/SUM(1/DE49,1/DE50,1/DE51,1/DE52,1/DE53,1/DE54,1/DE55,1/DE56,1/DE57,1/DE58,1/DE59,1/DE60,1/DE61,1/DE62)</f>
        <v>3.0266294790360853E-10</v>
      </c>
      <c r="DF48" s="58">
        <f t="shared" ref="DF48" si="190">1/SUM(1/DF49,1/DF50,1/DF51,1/DF52,1/DF53,1/DF54,1/DF55,1/DF56,1/DF57,1/DF58,1/DF59,1/DF60,1/DF61,1/DF62)</f>
        <v>2.938475222365132E-10</v>
      </c>
      <c r="DG48" s="58">
        <f t="shared" ref="DG48" si="191">1/SUM(1/DG49,1/DG50,1/DG51,1/DG52,1/DG53,1/DG54,1/DG55,1/DG56,1/DG57,1/DG58,1/DG59,1/DG60,1/DG61,1/DG62)</f>
        <v>2.938475222365132E-10</v>
      </c>
      <c r="DH48" s="58">
        <f t="shared" ref="DH48" si="192">1/SUM(1/DH49,1/DH50,1/DH51,1/DH52,1/DH53,1/DH54,1/DH55,1/DH56,1/DH57,1/DH58,1/DH59,1/DH60,1/DH61,1/DH62)</f>
        <v>2.938475222365132E-10</v>
      </c>
      <c r="DI48" s="58">
        <f t="shared" ref="DI48" si="193">1/SUM(1/DI49,1/DI50,1/DI51,1/DI52,1/DI53,1/DI54,1/DI55,1/DI56,1/DI57,1/DI58,1/DI59,1/DI60,1/DI61,1/DI62)</f>
        <v>2.938475222365132E-10</v>
      </c>
      <c r="DJ48" s="58">
        <f t="shared" ref="DJ48" si="194">1/SUM(1/DJ49,1/DJ50,1/DJ51,1/DJ52,1/DJ53,1/DJ54,1/DJ55,1/DJ56,1/DJ57,1/DJ58,1/DJ59,1/DJ60,1/DJ61,1/DJ62)</f>
        <v>3.0266294790360853E-10</v>
      </c>
      <c r="DK48" s="58">
        <f t="shared" ref="DK48" si="195">1/SUM(1/DK49,1/DK50,1/DK51,1/DK52,1/DK53,1/DK54,1/DK55,1/DK56,1/DK57,1/DK58,1/DK59,1/DK60,1/DK61,1/DK62)</f>
        <v>2.938475222365132E-10</v>
      </c>
      <c r="DL48" s="58">
        <f t="shared" ref="DL48" si="196">1/SUM(1/DL49,1/DL50,1/DL51,1/DL52,1/DL53,1/DL54,1/DL55,1/DL56,1/DL57,1/DL58,1/DL59,1/DL60,1/DL61,1/DL62)</f>
        <v>3.0266294790360853E-10</v>
      </c>
      <c r="DM48" s="15"/>
      <c r="DN48" s="15"/>
      <c r="DO48" s="15"/>
      <c r="DP48" s="15"/>
      <c r="DQ48" s="15"/>
      <c r="DR48" s="15"/>
      <c r="DS48" s="15"/>
      <c r="DT48" s="15"/>
      <c r="DU48" s="15"/>
      <c r="DV48" s="15"/>
      <c r="DW48" s="15"/>
      <c r="DX48" s="15"/>
      <c r="DY48" s="15"/>
      <c r="DZ48" s="15"/>
      <c r="EA48" s="15"/>
      <c r="EB48" s="58">
        <f t="shared" ref="EB48" si="197">1/SUM(1/EB49,1/EB50,1/EB51,1/EB52,1/EB53,1/EB54,1/EB55,1/EB56,1/EB57,1/EB58,1/EB59,1/EB60,1/EB61,1/EB62)</f>
        <v>1.6534938051903556E-12</v>
      </c>
      <c r="EC48" s="70"/>
      <c r="ED48" s="70"/>
      <c r="EE48" s="70"/>
      <c r="EF48" s="73"/>
      <c r="EG48" s="70"/>
      <c r="EH48" s="70"/>
      <c r="EI48" s="70"/>
      <c r="EJ48" s="70"/>
      <c r="EK48" s="70"/>
      <c r="EL48" s="70"/>
      <c r="EM48" s="70"/>
      <c r="EN48" s="70"/>
      <c r="EO48" s="70"/>
      <c r="EP48" s="70"/>
      <c r="EQ48" s="70"/>
      <c r="ER48" s="47">
        <f t="shared" ref="ER48:FF48" si="198">IFERROR(IF(SUM(EC49:EC62)&gt;0.01,1-EXP(-SUM(EC49:EC62)),SUM(EC49:EC62)),".")</f>
        <v>1</v>
      </c>
      <c r="ES48" s="47">
        <f t="shared" si="198"/>
        <v>1</v>
      </c>
      <c r="ET48" s="47">
        <f t="shared" si="198"/>
        <v>1</v>
      </c>
      <c r="EU48" s="47">
        <f t="shared" si="198"/>
        <v>1</v>
      </c>
      <c r="EV48" s="47">
        <f t="shared" si="198"/>
        <v>1</v>
      </c>
      <c r="EW48" s="47">
        <f t="shared" si="198"/>
        <v>1</v>
      </c>
      <c r="EX48" s="47">
        <f t="shared" si="198"/>
        <v>1</v>
      </c>
      <c r="EY48" s="47">
        <f t="shared" si="198"/>
        <v>1</v>
      </c>
      <c r="EZ48" s="47">
        <f t="shared" si="198"/>
        <v>1</v>
      </c>
      <c r="FA48" s="47">
        <f t="shared" si="198"/>
        <v>1</v>
      </c>
      <c r="FB48" s="47">
        <f t="shared" si="198"/>
        <v>1</v>
      </c>
      <c r="FC48" s="47">
        <f t="shared" si="198"/>
        <v>1</v>
      </c>
      <c r="FD48" s="47">
        <f t="shared" si="198"/>
        <v>1</v>
      </c>
      <c r="FE48" s="47">
        <f t="shared" si="198"/>
        <v>1</v>
      </c>
      <c r="FF48" s="47">
        <f t="shared" si="198"/>
        <v>1</v>
      </c>
      <c r="FG48" s="47">
        <f>IFERROR(IF(SUM(EC49:EQ62)&gt;0.01,1-EXP(-SUM(EC49:EQ62)),SUM(EC49:EQ62)),".")</f>
        <v>1</v>
      </c>
      <c r="FH48" s="59">
        <f>1/SUM(1/FH49,1/FH50,1/FH51,1/FH52,1/FH54,1/FH58,1/FH59,1/FH61)</f>
        <v>1.2467844475340467E-10</v>
      </c>
      <c r="FI48" s="59">
        <f t="shared" ref="FI48:FJ48" si="199">1/SUM(1/FI49,1/FI50,1/FI51,1/FI52,1/FI53,1/FI54,1/FI55,1/FI58,1/FI61,1/FI56,1/FI57,1/FI59,1/FI60,1/FI62)</f>
        <v>7.0787868106776019E-7</v>
      </c>
      <c r="FJ48" s="59">
        <f t="shared" si="199"/>
        <v>1.1080514691520082E-10</v>
      </c>
      <c r="FK48" s="70"/>
      <c r="FL48" s="70"/>
      <c r="FM48" s="47">
        <f>IFERROR(IF(SUM(FK49:FK62)&gt;0.01,1-EXP(-SUM(FK49:FK62)),SUM(FK49:FK62)),".")</f>
        <v>1</v>
      </c>
      <c r="FN48" s="47">
        <f>IFERROR(IF(SUM(FL49:FL62)&gt;0.01,1-EXP(-SUM(FL49:FL62)),SUM(FL49:FL62)),".")</f>
        <v>1</v>
      </c>
      <c r="FO48" s="47">
        <f>IFERROR(IF(SUM(FK49:FL62)&gt;0.01,1-EXP(-SUM(FK49:FL62)),SUM(FK49:FL62)),".")</f>
        <v>1</v>
      </c>
    </row>
    <row r="49" spans="1:171" x14ac:dyDescent="0.25">
      <c r="A49" s="83" t="s">
        <v>1100</v>
      </c>
      <c r="B49" s="42">
        <v>1</v>
      </c>
      <c r="C49" s="249"/>
      <c r="D49" s="60">
        <f t="shared" ref="D49:O49" si="200">IFERROR(D23/$B49,0)</f>
        <v>1.6528925619834712E-11</v>
      </c>
      <c r="E49" s="60">
        <f t="shared" si="200"/>
        <v>6.6115702479338848E-11</v>
      </c>
      <c r="F49" s="60">
        <f t="shared" si="200"/>
        <v>6.6115702479338848E-11</v>
      </c>
      <c r="G49" s="60">
        <f t="shared" si="200"/>
        <v>6.6115702479338848E-11</v>
      </c>
      <c r="H49" s="60">
        <f t="shared" si="200"/>
        <v>6.6115702479338848E-11</v>
      </c>
      <c r="I49" s="60">
        <f t="shared" si="200"/>
        <v>6.6115702479338848E-11</v>
      </c>
      <c r="J49" s="60">
        <f t="shared" si="200"/>
        <v>6.6115702479338848E-11</v>
      </c>
      <c r="K49" s="60">
        <f t="shared" si="200"/>
        <v>6.6115702479338848E-11</v>
      </c>
      <c r="L49" s="60">
        <f t="shared" si="200"/>
        <v>6.6115702479338848E-11</v>
      </c>
      <c r="M49" s="60">
        <f t="shared" si="200"/>
        <v>6.6115702479338848E-11</v>
      </c>
      <c r="N49" s="60">
        <f t="shared" si="200"/>
        <v>6.6115702479338848E-11</v>
      </c>
      <c r="O49" s="60">
        <f t="shared" si="200"/>
        <v>6.6115702479338848E-11</v>
      </c>
      <c r="P49" s="71">
        <f>up_dir!BC49</f>
        <v>3025000</v>
      </c>
      <c r="Q49" s="71">
        <f>IFERROR(up_RadSpec!$H$23*Q23,".")*$B$49</f>
        <v>756250</v>
      </c>
      <c r="R49" s="71">
        <f>IFERROR(up_RadSpec!$H$23*R23,".")*$B$49</f>
        <v>756250</v>
      </c>
      <c r="S49" s="71">
        <f>IFERROR(up_RadSpec!$H$23*S23,".")*$B$49</f>
        <v>756250</v>
      </c>
      <c r="T49" s="71">
        <f>IFERROR(up_RadSpec!$H$23*T23,".")*$B$49</f>
        <v>756250</v>
      </c>
      <c r="U49" s="71">
        <f>IFERROR(up_RadSpec!$H$23*U23,".")*$B$49</f>
        <v>756250</v>
      </c>
      <c r="V49" s="71">
        <f>IFERROR(up_RadSpec!$H$23*V23,".")*$B$49</f>
        <v>756250</v>
      </c>
      <c r="W49" s="71">
        <f>IFERROR(up_RadSpec!$H$23*W23,".")*$B$49</f>
        <v>756250</v>
      </c>
      <c r="X49" s="71">
        <f>IFERROR(up_RadSpec!$H$23*X23,".")*$B$49</f>
        <v>756250</v>
      </c>
      <c r="Y49" s="71">
        <f>IFERROR(up_RadSpec!$H$23*Y23,".")*$B$49</f>
        <v>756250</v>
      </c>
      <c r="Z49" s="71">
        <f>IFERROR(up_RadSpec!$H$23*Z23,".")*$B$49</f>
        <v>756250</v>
      </c>
      <c r="AA49" s="71">
        <f>IFERROR(up_RadSpec!$H$23*AA23,".")*$B$49</f>
        <v>756250</v>
      </c>
      <c r="AB49" s="49">
        <f t="shared" ref="AB49:AM62" si="201">IFERROR(IF(P49&gt;0.01,1-EXP(-P49),P49),".")</f>
        <v>1</v>
      </c>
      <c r="AC49" s="49">
        <f t="shared" si="201"/>
        <v>1</v>
      </c>
      <c r="AD49" s="49">
        <f t="shared" si="201"/>
        <v>1</v>
      </c>
      <c r="AE49" s="49">
        <f t="shared" si="201"/>
        <v>1</v>
      </c>
      <c r="AF49" s="49">
        <f t="shared" si="201"/>
        <v>1</v>
      </c>
      <c r="AG49" s="49">
        <f t="shared" si="201"/>
        <v>1</v>
      </c>
      <c r="AH49" s="49">
        <f t="shared" si="201"/>
        <v>1</v>
      </c>
      <c r="AI49" s="49">
        <f t="shared" si="201"/>
        <v>1</v>
      </c>
      <c r="AJ49" s="49">
        <f t="shared" si="201"/>
        <v>1</v>
      </c>
      <c r="AK49" s="49">
        <f t="shared" si="201"/>
        <v>1</v>
      </c>
      <c r="AL49" s="49">
        <f t="shared" si="201"/>
        <v>1</v>
      </c>
      <c r="AM49" s="49">
        <f t="shared" si="201"/>
        <v>1</v>
      </c>
      <c r="AN49" s="60">
        <f t="shared" ref="AN49:BB49" si="202">IFERROR(AN23/$B49,0)</f>
        <v>3.3057851239669421E-8</v>
      </c>
      <c r="AO49" s="60">
        <f t="shared" si="202"/>
        <v>3.0899917851942918E-4</v>
      </c>
      <c r="AP49" s="60">
        <f t="shared" si="202"/>
        <v>1.4584968138687145E-5</v>
      </c>
      <c r="AQ49" s="60">
        <f t="shared" si="202"/>
        <v>3.2968835384132272E-12</v>
      </c>
      <c r="AR49" s="60">
        <f t="shared" si="202"/>
        <v>6.6115702479338848E-11</v>
      </c>
      <c r="AS49" s="60">
        <f t="shared" si="202"/>
        <v>6.6115702479338848E-11</v>
      </c>
      <c r="AT49" s="60">
        <f t="shared" si="202"/>
        <v>1.8558793678410904E-14</v>
      </c>
      <c r="AU49" s="60">
        <f t="shared" si="202"/>
        <v>1.9115557488763232E-14</v>
      </c>
      <c r="AV49" s="60">
        <f t="shared" si="202"/>
        <v>1.8558793678410904E-14</v>
      </c>
      <c r="AW49" s="60">
        <f t="shared" si="202"/>
        <v>1.8558793678410904E-14</v>
      </c>
      <c r="AX49" s="60">
        <f t="shared" si="202"/>
        <v>1.8558793678410904E-14</v>
      </c>
      <c r="AY49" s="60">
        <f t="shared" si="202"/>
        <v>1.8558793678410904E-14</v>
      </c>
      <c r="AZ49" s="60">
        <f t="shared" si="202"/>
        <v>1.9115557488763232E-14</v>
      </c>
      <c r="BA49" s="60">
        <f t="shared" si="202"/>
        <v>1.8558793678410904E-14</v>
      </c>
      <c r="BB49" s="60">
        <f t="shared" si="202"/>
        <v>1.9115557488763232E-14</v>
      </c>
      <c r="BC49" s="42"/>
      <c r="BD49" s="42"/>
      <c r="BE49" s="42"/>
      <c r="BF49" s="42"/>
      <c r="BG49" s="42"/>
      <c r="BH49" s="42"/>
      <c r="BI49" s="42"/>
      <c r="BJ49" s="42"/>
      <c r="BK49" s="42"/>
      <c r="BL49" s="42"/>
      <c r="BM49" s="42"/>
      <c r="BN49" s="42"/>
      <c r="BO49" s="42"/>
      <c r="BP49" s="42"/>
      <c r="BQ49" s="42"/>
      <c r="BR49" s="60">
        <f t="shared" ref="BR49" si="203">IFERROR(BR23/$B49,0)</f>
        <v>2.0808592668606821E-15</v>
      </c>
      <c r="BS49" s="71">
        <f>IFERROR(up_RadSpec!$E$23*BS23,".")*$B$49</f>
        <v>1512.5</v>
      </c>
      <c r="BT49" s="71">
        <f>IFERROR(up_RadSpec!$F$23*BT23,".")*$B$49</f>
        <v>0.16181272791589676</v>
      </c>
      <c r="BU49" s="71">
        <f>IFERROR(up_RadSpec!$G$23*BU23,".")*$B$49</f>
        <v>3.4281871255771366</v>
      </c>
      <c r="BV49" s="71">
        <f>up_b2s!CC49</f>
        <v>15165837.5</v>
      </c>
      <c r="BW49" s="71">
        <f>IFERROR(up_RadSpec!$H$23*BW23,".")*$B$49</f>
        <v>756250</v>
      </c>
      <c r="BX49" s="71">
        <f>IFERROR(up_RadSpec!$H$23*BX23,".")*$B$49</f>
        <v>756250</v>
      </c>
      <c r="BY49" s="71">
        <f>IFERROR(up_RadSpec!$H$23*BY23,".")*$B$49</f>
        <v>2694140625</v>
      </c>
      <c r="BZ49" s="71">
        <f>IFERROR(up_RadSpec!$H$23*BZ23,".")*$B$49</f>
        <v>2615670509.7087379</v>
      </c>
      <c r="CA49" s="71">
        <f>IFERROR(up_RadSpec!$H$23*CA23,".")*$B$49</f>
        <v>2694140625</v>
      </c>
      <c r="CB49" s="71">
        <f>IFERROR(up_RadSpec!$H$23*CB23,".")*$B$49</f>
        <v>2694140625</v>
      </c>
      <c r="CC49" s="71">
        <f>IFERROR(up_RadSpec!$H$23*CC23,".")*$B$49</f>
        <v>2694140625</v>
      </c>
      <c r="CD49" s="71">
        <f>IFERROR(up_RadSpec!$H$23*CD23,".")*$B$49</f>
        <v>2694140625</v>
      </c>
      <c r="CE49" s="71">
        <f>IFERROR(up_RadSpec!$H$23*CE23,".")*$B$49</f>
        <v>2615670509.7087379</v>
      </c>
      <c r="CF49" s="71">
        <f>IFERROR(up_RadSpec!$H$23*CF23,".")*$B$49</f>
        <v>2694140625</v>
      </c>
      <c r="CG49" s="71">
        <f>IFERROR(up_RadSpec!$H$23*CG23,".")*$B$49</f>
        <v>2615670509.7087379</v>
      </c>
      <c r="CH49" s="49">
        <f t="shared" ref="CH49:CV62" si="204">IFERROR(IF(BS49&gt;0.01,1-EXP(-BS49),BS49),".")</f>
        <v>1</v>
      </c>
      <c r="CI49" s="49">
        <f t="shared" si="204"/>
        <v>0.14939951664921358</v>
      </c>
      <c r="CJ49" s="49">
        <f t="shared" si="204"/>
        <v>0.96755429251829406</v>
      </c>
      <c r="CK49" s="49">
        <f t="shared" si="204"/>
        <v>1</v>
      </c>
      <c r="CL49" s="49">
        <f t="shared" si="204"/>
        <v>1</v>
      </c>
      <c r="CM49" s="49">
        <f t="shared" si="204"/>
        <v>1</v>
      </c>
      <c r="CN49" s="49">
        <f t="shared" si="204"/>
        <v>1</v>
      </c>
      <c r="CO49" s="49">
        <f t="shared" si="204"/>
        <v>1</v>
      </c>
      <c r="CP49" s="49">
        <f t="shared" si="204"/>
        <v>1</v>
      </c>
      <c r="CQ49" s="49">
        <f t="shared" si="204"/>
        <v>1</v>
      </c>
      <c r="CR49" s="49">
        <f t="shared" si="204"/>
        <v>1</v>
      </c>
      <c r="CS49" s="49">
        <f t="shared" si="204"/>
        <v>1</v>
      </c>
      <c r="CT49" s="49">
        <f t="shared" si="204"/>
        <v>1</v>
      </c>
      <c r="CU49" s="49">
        <f t="shared" si="204"/>
        <v>1</v>
      </c>
      <c r="CV49" s="49">
        <f t="shared" si="204"/>
        <v>1</v>
      </c>
      <c r="CW49" s="49">
        <f t="shared" ref="CW49:CW62" si="205">IFERROR(IF(SUM(BS49:CG49)&gt;0.01,1-EXP(-SUM(BS49:CG49)),SUM(BS49:CG49)),".")</f>
        <v>1</v>
      </c>
      <c r="CX49" s="60">
        <f t="shared" ref="CX49" si="206">IFERROR(CX23/$B49,0)</f>
        <v>3.6363636363636369E-10</v>
      </c>
      <c r="CY49" s="60" t="str">
        <f>IFERROR(CY23,".")</f>
        <v>.</v>
      </c>
      <c r="CZ49" s="60">
        <f t="shared" ref="CZ49:DL49" si="207">IFERROR(CZ23/$B49,0)</f>
        <v>3.9818181818181825E-6</v>
      </c>
      <c r="DA49" s="60">
        <f t="shared" si="207"/>
        <v>1.6443412786038031E-11</v>
      </c>
      <c r="DB49" s="60">
        <f t="shared" si="207"/>
        <v>1.322314049586777E-8</v>
      </c>
      <c r="DC49" s="60">
        <f t="shared" si="207"/>
        <v>1.322314049586777E-8</v>
      </c>
      <c r="DD49" s="60">
        <f t="shared" si="207"/>
        <v>2.6446280991735539E-9</v>
      </c>
      <c r="DE49" s="60">
        <f t="shared" si="207"/>
        <v>2.7239669421487605E-9</v>
      </c>
      <c r="DF49" s="60">
        <f t="shared" si="207"/>
        <v>2.6446280991735539E-9</v>
      </c>
      <c r="DG49" s="60">
        <f t="shared" si="207"/>
        <v>2.6446280991735539E-9</v>
      </c>
      <c r="DH49" s="60">
        <f t="shared" si="207"/>
        <v>2.6446280991735539E-9</v>
      </c>
      <c r="DI49" s="60">
        <f t="shared" si="207"/>
        <v>2.6446280991735539E-9</v>
      </c>
      <c r="DJ49" s="60">
        <f t="shared" si="207"/>
        <v>2.7239669421487605E-9</v>
      </c>
      <c r="DK49" s="60">
        <f t="shared" si="207"/>
        <v>2.6446280991735539E-9</v>
      </c>
      <c r="DL49" s="60">
        <f t="shared" si="207"/>
        <v>2.7239669421487605E-9</v>
      </c>
      <c r="DM49" s="15"/>
      <c r="DN49" s="15"/>
      <c r="DO49" s="15"/>
      <c r="DP49" s="15"/>
      <c r="DQ49" s="15"/>
      <c r="DR49" s="15"/>
      <c r="DS49" s="15"/>
      <c r="DT49" s="15"/>
      <c r="DU49" s="15"/>
      <c r="DV49" s="15"/>
      <c r="DW49" s="15"/>
      <c r="DX49" s="15"/>
      <c r="DY49" s="15"/>
      <c r="DZ49" s="15"/>
      <c r="EA49" s="15"/>
      <c r="EB49" s="60">
        <f t="shared" ref="EB49" si="208">IFERROR(EB23/$B49,0)</f>
        <v>1.4906192608956601E-11</v>
      </c>
      <c r="EC49" s="71">
        <f>IFERROR(up_RadSpec!$I$23*EC23,".")*$B$49</f>
        <v>137500</v>
      </c>
      <c r="ED49" s="71">
        <f>IFERROR(up_RadSpec!$F$23*ED23,".")</f>
        <v>0</v>
      </c>
      <c r="EE49" s="71">
        <f>IFERROR(up_RadSpec!$M$23*EE23,".")*$B$49</f>
        <v>12.557077625570777</v>
      </c>
      <c r="EF49" s="71">
        <f>up_b2w!CC49</f>
        <v>3040731.3038114933</v>
      </c>
      <c r="EG49" s="71">
        <f>IFERROR(up_RadSpec!$H$23*EG23,".")*$B$49</f>
        <v>3781.25</v>
      </c>
      <c r="EH49" s="71">
        <f>IFERROR(up_RadSpec!$H$23*EH23,".")*$B$49</f>
        <v>3781.25</v>
      </c>
      <c r="EI49" s="71">
        <f>IFERROR(up_RadSpec!$H$23*EI23,".")*$B$49</f>
        <v>18906.25</v>
      </c>
      <c r="EJ49" s="71">
        <f>IFERROR(up_RadSpec!$H$23*EJ23,".")*$B$49</f>
        <v>18355.582524271846</v>
      </c>
      <c r="EK49" s="71">
        <f>IFERROR(up_RadSpec!$H$23*EK23,".")*$B$49</f>
        <v>18906.25</v>
      </c>
      <c r="EL49" s="71">
        <f>IFERROR(up_RadSpec!$H$23*EL23,".")*$B$49</f>
        <v>18906.25</v>
      </c>
      <c r="EM49" s="71">
        <f>IFERROR(up_RadSpec!$H$23*EM23,".")*$B$49</f>
        <v>18906.25</v>
      </c>
      <c r="EN49" s="71">
        <f>IFERROR(up_RadSpec!$H$23*EN23,".")*$B$49</f>
        <v>18906.25</v>
      </c>
      <c r="EO49" s="71">
        <f>IFERROR(up_RadSpec!$H$23*EO23,".")*$B$49</f>
        <v>18355.582524271846</v>
      </c>
      <c r="EP49" s="71">
        <f>IFERROR(up_RadSpec!$H$23*EP23,".")*$B$49</f>
        <v>18906.25</v>
      </c>
      <c r="EQ49" s="71">
        <f>IFERROR(up_RadSpec!$H$23*EQ23,".")*$B$49</f>
        <v>18355.582524271846</v>
      </c>
      <c r="ER49" s="49">
        <f t="shared" ref="ER49:FF62" si="209">IFERROR(IF(EC49&gt;0.01,1-EXP(-EC49),EC49),".")</f>
        <v>1</v>
      </c>
      <c r="ES49" s="49">
        <f t="shared" si="209"/>
        <v>0</v>
      </c>
      <c r="ET49" s="49">
        <f t="shared" si="209"/>
        <v>0.99999648009875997</v>
      </c>
      <c r="EU49" s="49">
        <f t="shared" si="209"/>
        <v>1</v>
      </c>
      <c r="EV49" s="49">
        <f t="shared" si="209"/>
        <v>1</v>
      </c>
      <c r="EW49" s="49">
        <f t="shared" si="209"/>
        <v>1</v>
      </c>
      <c r="EX49" s="49">
        <f t="shared" si="209"/>
        <v>1</v>
      </c>
      <c r="EY49" s="49">
        <f t="shared" si="209"/>
        <v>1</v>
      </c>
      <c r="EZ49" s="49">
        <f t="shared" si="209"/>
        <v>1</v>
      </c>
      <c r="FA49" s="49">
        <f t="shared" si="209"/>
        <v>1</v>
      </c>
      <c r="FB49" s="49">
        <f t="shared" si="209"/>
        <v>1</v>
      </c>
      <c r="FC49" s="49">
        <f t="shared" si="209"/>
        <v>1</v>
      </c>
      <c r="FD49" s="49">
        <f t="shared" si="209"/>
        <v>1</v>
      </c>
      <c r="FE49" s="49">
        <f t="shared" si="209"/>
        <v>1</v>
      </c>
      <c r="FF49" s="49">
        <f t="shared" si="209"/>
        <v>1</v>
      </c>
      <c r="FG49" s="49">
        <f t="shared" ref="FG49:FG62" si="210">IFERROR(IF(SUM(EC49:EQ49)&gt;0.01,1-EXP(-SUM(EC49:EQ49)),SUM(EC49:EQ49)),".")</f>
        <v>1</v>
      </c>
      <c r="FH49" s="60">
        <f>IFERROR(FH23/$B49,0)</f>
        <v>9.9740259740259755E-10</v>
      </c>
      <c r="FI49" s="60">
        <f>IFERROR(FI23/$B49,0)</f>
        <v>6.3709090909090908E-6</v>
      </c>
      <c r="FJ49" s="60">
        <f>IFERROR(FJ23/$B49,0)</f>
        <v>9.9724647271019672E-10</v>
      </c>
      <c r="FK49" s="71">
        <f>IFERROR(up_RadSpec!$F$23*FK23,".")*$B$49</f>
        <v>50130.208333333328</v>
      </c>
      <c r="FL49" s="71">
        <f>IFERROR(up_RadSpec!$K$23*FL23,".")*$B$49</f>
        <v>7.8481735159817356</v>
      </c>
      <c r="FM49" s="49">
        <f t="shared" ref="FM49:FN62" si="211">IFERROR(IF(FK49&gt;0.01,1-EXP(-FK49),FK49),".")</f>
        <v>1</v>
      </c>
      <c r="FN49" s="49">
        <f t="shared" si="211"/>
        <v>0.99960953550549536</v>
      </c>
      <c r="FO49" s="49">
        <f t="shared" ref="FO49:FO62" si="212">IFERROR(IF(SUM(FK49:FL49)&gt;0.01,1-EXP(-SUM(FK49:FL49)),SUM(FK49:FL49)),".")</f>
        <v>1</v>
      </c>
    </row>
    <row r="50" spans="1:171" x14ac:dyDescent="0.25">
      <c r="A50" s="83" t="s">
        <v>1087</v>
      </c>
      <c r="B50" s="42">
        <v>1</v>
      </c>
      <c r="C50" s="249"/>
      <c r="D50" s="60">
        <f t="shared" ref="D50:O50" si="213">IFERROR(D25/$B50,0)</f>
        <v>1.6528925619834712E-11</v>
      </c>
      <c r="E50" s="60">
        <f t="shared" si="213"/>
        <v>6.6115702479338848E-11</v>
      </c>
      <c r="F50" s="60">
        <f t="shared" si="213"/>
        <v>6.6115702479338848E-11</v>
      </c>
      <c r="G50" s="60">
        <f t="shared" si="213"/>
        <v>6.6115702479338848E-11</v>
      </c>
      <c r="H50" s="60">
        <f t="shared" si="213"/>
        <v>6.6115702479338848E-11</v>
      </c>
      <c r="I50" s="60">
        <f t="shared" si="213"/>
        <v>6.6115702479338848E-11</v>
      </c>
      <c r="J50" s="60">
        <f t="shared" si="213"/>
        <v>6.6115702479338848E-11</v>
      </c>
      <c r="K50" s="60">
        <f t="shared" si="213"/>
        <v>6.6115702479338848E-11</v>
      </c>
      <c r="L50" s="60">
        <f t="shared" si="213"/>
        <v>6.6115702479338848E-11</v>
      </c>
      <c r="M50" s="60">
        <f t="shared" si="213"/>
        <v>6.6115702479338848E-11</v>
      </c>
      <c r="N50" s="60">
        <f t="shared" si="213"/>
        <v>6.6115702479338848E-11</v>
      </c>
      <c r="O50" s="60">
        <f t="shared" si="213"/>
        <v>6.6115702479338848E-11</v>
      </c>
      <c r="P50" s="71">
        <f>up_dir!BC50</f>
        <v>3025000</v>
      </c>
      <c r="Q50" s="71">
        <f>IFERROR(up_RadSpec!$H$25*Q25,".")*$B$50</f>
        <v>756250</v>
      </c>
      <c r="R50" s="71">
        <f>IFERROR(up_RadSpec!$H$25*R25,".")*$B$50</f>
        <v>756250</v>
      </c>
      <c r="S50" s="71">
        <f>IFERROR(up_RadSpec!$H$25*S25,".")*$B$50</f>
        <v>756250</v>
      </c>
      <c r="T50" s="71">
        <f>IFERROR(up_RadSpec!$H$25*T25,".")*$B$50</f>
        <v>756250</v>
      </c>
      <c r="U50" s="71">
        <f>IFERROR(up_RadSpec!$H$25*U25,".")*$B$50</f>
        <v>756250</v>
      </c>
      <c r="V50" s="71">
        <f>IFERROR(up_RadSpec!$H$25*V25,".")*$B$50</f>
        <v>756250</v>
      </c>
      <c r="W50" s="71">
        <f>IFERROR(up_RadSpec!$H$25*W25,".")*$B$50</f>
        <v>756250</v>
      </c>
      <c r="X50" s="71">
        <f>IFERROR(up_RadSpec!$H$25*X25,".")*$B$50</f>
        <v>756250</v>
      </c>
      <c r="Y50" s="71">
        <f>IFERROR(up_RadSpec!$H$25*Y25,".")*$B$50</f>
        <v>756250</v>
      </c>
      <c r="Z50" s="71">
        <f>IFERROR(up_RadSpec!$H$25*Z25,".")*$B$50</f>
        <v>756250</v>
      </c>
      <c r="AA50" s="71">
        <f>IFERROR(up_RadSpec!$H$25*AA25,".")*$B$50</f>
        <v>756250</v>
      </c>
      <c r="AB50" s="49">
        <f t="shared" si="201"/>
        <v>1</v>
      </c>
      <c r="AC50" s="49">
        <f t="shared" si="201"/>
        <v>1</v>
      </c>
      <c r="AD50" s="49">
        <f t="shared" si="201"/>
        <v>1</v>
      </c>
      <c r="AE50" s="49">
        <f t="shared" si="201"/>
        <v>1</v>
      </c>
      <c r="AF50" s="49">
        <f t="shared" si="201"/>
        <v>1</v>
      </c>
      <c r="AG50" s="49">
        <f t="shared" si="201"/>
        <v>1</v>
      </c>
      <c r="AH50" s="49">
        <f t="shared" si="201"/>
        <v>1</v>
      </c>
      <c r="AI50" s="49">
        <f t="shared" si="201"/>
        <v>1</v>
      </c>
      <c r="AJ50" s="49">
        <f t="shared" si="201"/>
        <v>1</v>
      </c>
      <c r="AK50" s="49">
        <f t="shared" si="201"/>
        <v>1</v>
      </c>
      <c r="AL50" s="49">
        <f t="shared" si="201"/>
        <v>1</v>
      </c>
      <c r="AM50" s="49">
        <f t="shared" si="201"/>
        <v>1</v>
      </c>
      <c r="AN50" s="60">
        <f t="shared" ref="AN50:BB50" si="214">IFERROR(AN25/$B50,0)</f>
        <v>3.3057851239669421E-8</v>
      </c>
      <c r="AO50" s="60">
        <f t="shared" si="214"/>
        <v>3.0899917851942918E-4</v>
      </c>
      <c r="AP50" s="60">
        <f t="shared" si="214"/>
        <v>2.1321650237312892E-5</v>
      </c>
      <c r="AQ50" s="60">
        <f t="shared" si="214"/>
        <v>3.2968835384132272E-12</v>
      </c>
      <c r="AR50" s="60">
        <f t="shared" si="214"/>
        <v>6.6115702479338848E-11</v>
      </c>
      <c r="AS50" s="60">
        <f t="shared" si="214"/>
        <v>6.6115702479338848E-11</v>
      </c>
      <c r="AT50" s="60">
        <f t="shared" si="214"/>
        <v>1.8558793678410904E-14</v>
      </c>
      <c r="AU50" s="60">
        <f t="shared" si="214"/>
        <v>1.9115557488763232E-14</v>
      </c>
      <c r="AV50" s="60">
        <f t="shared" si="214"/>
        <v>1.8558793678410904E-14</v>
      </c>
      <c r="AW50" s="60">
        <f t="shared" si="214"/>
        <v>1.8558793678410904E-14</v>
      </c>
      <c r="AX50" s="60">
        <f t="shared" si="214"/>
        <v>1.8558793678410904E-14</v>
      </c>
      <c r="AY50" s="60">
        <f t="shared" si="214"/>
        <v>1.8558793678410904E-14</v>
      </c>
      <c r="AZ50" s="60">
        <f t="shared" si="214"/>
        <v>1.9115557488763232E-14</v>
      </c>
      <c r="BA50" s="60">
        <f t="shared" si="214"/>
        <v>1.8558793678410904E-14</v>
      </c>
      <c r="BB50" s="60">
        <f t="shared" si="214"/>
        <v>1.9115557488763232E-14</v>
      </c>
      <c r="BC50" s="42"/>
      <c r="BD50" s="42"/>
      <c r="BE50" s="42"/>
      <c r="BF50" s="42"/>
      <c r="BG50" s="42"/>
      <c r="BH50" s="42"/>
      <c r="BI50" s="42"/>
      <c r="BJ50" s="42"/>
      <c r="BK50" s="42"/>
      <c r="BL50" s="42"/>
      <c r="BM50" s="42"/>
      <c r="BN50" s="42"/>
      <c r="BO50" s="42"/>
      <c r="BP50" s="42"/>
      <c r="BQ50" s="42"/>
      <c r="BR50" s="60">
        <f t="shared" ref="BR50" si="215">IFERROR(BR25/$B50,0)</f>
        <v>2.0808592669544828E-15</v>
      </c>
      <c r="BS50" s="71">
        <f>IFERROR(up_RadSpec!$E$25*BS25,".")*$B$50</f>
        <v>1512.5</v>
      </c>
      <c r="BT50" s="71">
        <f>IFERROR(up_RadSpec!$F$25*BT25,".")*$B$50</f>
        <v>0.16181272791589676</v>
      </c>
      <c r="BU50" s="71">
        <f>IFERROR(up_RadSpec!$G$25*BU25,".")*$B$50</f>
        <v>2.345034246575342</v>
      </c>
      <c r="BV50" s="71">
        <f>up_b2s!CC50</f>
        <v>15165837.5</v>
      </c>
      <c r="BW50" s="71">
        <f>IFERROR(up_RadSpec!$H$25*BW25,".")*$B$50</f>
        <v>756250</v>
      </c>
      <c r="BX50" s="71">
        <f>IFERROR(up_RadSpec!$H$25*BX25,".")*$B$50</f>
        <v>756250</v>
      </c>
      <c r="BY50" s="71">
        <f>IFERROR(up_RadSpec!$H$25*BY25,".")*$B$50</f>
        <v>2694140625</v>
      </c>
      <c r="BZ50" s="71">
        <f>IFERROR(up_RadSpec!$H$25*BZ25,".")*$B$50</f>
        <v>2615670509.7087379</v>
      </c>
      <c r="CA50" s="71">
        <f>IFERROR(up_RadSpec!$H$25*CA25,".")*$B$50</f>
        <v>2694140625</v>
      </c>
      <c r="CB50" s="71">
        <f>IFERROR(up_RadSpec!$H$25*CB25,".")*$B$50</f>
        <v>2694140625</v>
      </c>
      <c r="CC50" s="71">
        <f>IFERROR(up_RadSpec!$H$25*CC25,".")*$B$50</f>
        <v>2694140625</v>
      </c>
      <c r="CD50" s="71">
        <f>IFERROR(up_RadSpec!$H$25*CD25,".")*$B$50</f>
        <v>2694140625</v>
      </c>
      <c r="CE50" s="71">
        <f>IFERROR(up_RadSpec!$H$25*CE25,".")*$B$50</f>
        <v>2615670509.7087379</v>
      </c>
      <c r="CF50" s="71">
        <f>IFERROR(up_RadSpec!$H$25*CF25,".")*$B$50</f>
        <v>2694140625</v>
      </c>
      <c r="CG50" s="71">
        <f>IFERROR(up_RadSpec!$H$25*CG25,".")*$B$50</f>
        <v>2615670509.7087379</v>
      </c>
      <c r="CH50" s="49">
        <f t="shared" si="204"/>
        <v>1</v>
      </c>
      <c r="CI50" s="49">
        <f t="shared" si="204"/>
        <v>0.14939951664921358</v>
      </c>
      <c r="CJ50" s="49">
        <f t="shared" si="204"/>
        <v>0.90415608025172489</v>
      </c>
      <c r="CK50" s="49">
        <f t="shared" si="204"/>
        <v>1</v>
      </c>
      <c r="CL50" s="49">
        <f t="shared" si="204"/>
        <v>1</v>
      </c>
      <c r="CM50" s="49">
        <f t="shared" si="204"/>
        <v>1</v>
      </c>
      <c r="CN50" s="49">
        <f t="shared" si="204"/>
        <v>1</v>
      </c>
      <c r="CO50" s="49">
        <f t="shared" si="204"/>
        <v>1</v>
      </c>
      <c r="CP50" s="49">
        <f t="shared" si="204"/>
        <v>1</v>
      </c>
      <c r="CQ50" s="49">
        <f t="shared" si="204"/>
        <v>1</v>
      </c>
      <c r="CR50" s="49">
        <f t="shared" si="204"/>
        <v>1</v>
      </c>
      <c r="CS50" s="49">
        <f t="shared" si="204"/>
        <v>1</v>
      </c>
      <c r="CT50" s="49">
        <f t="shared" si="204"/>
        <v>1</v>
      </c>
      <c r="CU50" s="49">
        <f t="shared" si="204"/>
        <v>1</v>
      </c>
      <c r="CV50" s="49">
        <f t="shared" si="204"/>
        <v>1</v>
      </c>
      <c r="CW50" s="49">
        <f t="shared" si="205"/>
        <v>1</v>
      </c>
      <c r="CX50" s="60">
        <f t="shared" ref="CX50" si="216">IFERROR(CX25/$B50,0)</f>
        <v>3.6363636363636369E-10</v>
      </c>
      <c r="CY50" s="60">
        <f>IFERROR(CY25,".")</f>
        <v>1.9948051948051951E-9</v>
      </c>
      <c r="CZ50" s="60">
        <f t="shared" ref="CZ50:DL50" si="217">IFERROR(CZ25/$B50,0)</f>
        <v>3.9818181818181825E-6</v>
      </c>
      <c r="DA50" s="60">
        <f t="shared" si="217"/>
        <v>1.6443412786038031E-11</v>
      </c>
      <c r="DB50" s="60">
        <f t="shared" si="217"/>
        <v>1.322314049586777E-8</v>
      </c>
      <c r="DC50" s="60">
        <f t="shared" si="217"/>
        <v>1.322314049586777E-8</v>
      </c>
      <c r="DD50" s="60">
        <f t="shared" si="217"/>
        <v>2.6446280991735539E-9</v>
      </c>
      <c r="DE50" s="60">
        <f t="shared" si="217"/>
        <v>2.7239669421487605E-9</v>
      </c>
      <c r="DF50" s="60">
        <f t="shared" si="217"/>
        <v>2.6446280991735539E-9</v>
      </c>
      <c r="DG50" s="60">
        <f t="shared" si="217"/>
        <v>2.6446280991735539E-9</v>
      </c>
      <c r="DH50" s="60">
        <f t="shared" si="217"/>
        <v>2.6446280991735539E-9</v>
      </c>
      <c r="DI50" s="60">
        <f t="shared" si="217"/>
        <v>2.6446280991735539E-9</v>
      </c>
      <c r="DJ50" s="60">
        <f t="shared" si="217"/>
        <v>2.7239669421487605E-9</v>
      </c>
      <c r="DK50" s="60">
        <f t="shared" si="217"/>
        <v>2.6446280991735539E-9</v>
      </c>
      <c r="DL50" s="60">
        <f t="shared" si="217"/>
        <v>2.7239669421487605E-9</v>
      </c>
      <c r="DM50" s="15"/>
      <c r="DN50" s="15"/>
      <c r="DO50" s="15"/>
      <c r="DP50" s="15"/>
      <c r="DQ50" s="15"/>
      <c r="DR50" s="15"/>
      <c r="DS50" s="15"/>
      <c r="DT50" s="15"/>
      <c r="DU50" s="15"/>
      <c r="DV50" s="15"/>
      <c r="DW50" s="15"/>
      <c r="DX50" s="15"/>
      <c r="DY50" s="15"/>
      <c r="DZ50" s="15"/>
      <c r="EA50" s="15"/>
      <c r="EB50" s="60">
        <f t="shared" ref="EB50" si="218">IFERROR(EB25/$B50,0)</f>
        <v>1.479563216754854E-11</v>
      </c>
      <c r="EC50" s="71">
        <f>IFERROR(up_RadSpec!$I$25*EC25,".")*$B$50</f>
        <v>137500</v>
      </c>
      <c r="ED50" s="71">
        <f>IFERROR(up_RadSpec!$F$25*ED25,".")</f>
        <v>25065.104166666664</v>
      </c>
      <c r="EE50" s="71">
        <f>IFERROR(up_RadSpec!$M$25*EE25,".")*$B$50</f>
        <v>12.557077625570777</v>
      </c>
      <c r="EF50" s="71">
        <f>up_b2w!CC50</f>
        <v>3040731.3038114933</v>
      </c>
      <c r="EG50" s="71">
        <f>IFERROR(up_RadSpec!$H$25*EG25,".")*$B$50</f>
        <v>3781.25</v>
      </c>
      <c r="EH50" s="71">
        <f>IFERROR(up_RadSpec!$H$25*EH25,".")*$B$50</f>
        <v>3781.25</v>
      </c>
      <c r="EI50" s="71">
        <f>IFERROR(up_RadSpec!$H$25*EI25,".")*$B$50</f>
        <v>18906.25</v>
      </c>
      <c r="EJ50" s="71">
        <f>IFERROR(up_RadSpec!$H$25*EJ25,".")*$B$50</f>
        <v>18355.582524271846</v>
      </c>
      <c r="EK50" s="71">
        <f>IFERROR(up_RadSpec!$H$25*EK25,".")*$B$50</f>
        <v>18906.25</v>
      </c>
      <c r="EL50" s="71">
        <f>IFERROR(up_RadSpec!$H$25*EL25,".")*$B$50</f>
        <v>18906.25</v>
      </c>
      <c r="EM50" s="71">
        <f>IFERROR(up_RadSpec!$H$25*EM25,".")*$B$50</f>
        <v>18906.25</v>
      </c>
      <c r="EN50" s="71">
        <f>IFERROR(up_RadSpec!$H$25*EN25,".")*$B$50</f>
        <v>18906.25</v>
      </c>
      <c r="EO50" s="71">
        <f>IFERROR(up_RadSpec!$H$25*EO25,".")*$B$50</f>
        <v>18355.582524271846</v>
      </c>
      <c r="EP50" s="71">
        <f>IFERROR(up_RadSpec!$H$25*EP25,".")*$B$50</f>
        <v>18906.25</v>
      </c>
      <c r="EQ50" s="71">
        <f>IFERROR(up_RadSpec!$H$25*EQ25,".")*$B$50</f>
        <v>18355.582524271846</v>
      </c>
      <c r="ER50" s="49">
        <f t="shared" si="209"/>
        <v>1</v>
      </c>
      <c r="ES50" s="49">
        <f t="shared" si="209"/>
        <v>1</v>
      </c>
      <c r="ET50" s="49">
        <f t="shared" si="209"/>
        <v>0.99999648009875997</v>
      </c>
      <c r="EU50" s="49">
        <f t="shared" si="209"/>
        <v>1</v>
      </c>
      <c r="EV50" s="49">
        <f t="shared" si="209"/>
        <v>1</v>
      </c>
      <c r="EW50" s="49">
        <f t="shared" si="209"/>
        <v>1</v>
      </c>
      <c r="EX50" s="49">
        <f t="shared" si="209"/>
        <v>1</v>
      </c>
      <c r="EY50" s="49">
        <f t="shared" si="209"/>
        <v>1</v>
      </c>
      <c r="EZ50" s="49">
        <f t="shared" si="209"/>
        <v>1</v>
      </c>
      <c r="FA50" s="49">
        <f t="shared" si="209"/>
        <v>1</v>
      </c>
      <c r="FB50" s="49">
        <f t="shared" si="209"/>
        <v>1</v>
      </c>
      <c r="FC50" s="49">
        <f t="shared" si="209"/>
        <v>1</v>
      </c>
      <c r="FD50" s="49">
        <f t="shared" si="209"/>
        <v>1</v>
      </c>
      <c r="FE50" s="49">
        <f t="shared" si="209"/>
        <v>1</v>
      </c>
      <c r="FF50" s="49">
        <f t="shared" si="209"/>
        <v>1</v>
      </c>
      <c r="FG50" s="49">
        <f t="shared" si="210"/>
        <v>1</v>
      </c>
      <c r="FH50" s="60">
        <f>IFERROR(FH25/$B50,0)</f>
        <v>9.9740259740259755E-10</v>
      </c>
      <c r="FI50" s="60">
        <f>IFERROR(FI25/$B50,0)</f>
        <v>6.3709090909090908E-6</v>
      </c>
      <c r="FJ50" s="60">
        <f>IFERROR(FJ25/$B50,0)</f>
        <v>9.9724647271019672E-10</v>
      </c>
      <c r="FK50" s="71">
        <f>IFERROR(up_RadSpec!$F$25*FK25,".")*$B$50</f>
        <v>50130.208333333328</v>
      </c>
      <c r="FL50" s="71">
        <f>IFERROR(up_RadSpec!$K$25*FL25,".")*$B$50</f>
        <v>7.8481735159817356</v>
      </c>
      <c r="FM50" s="49">
        <f t="shared" si="211"/>
        <v>1</v>
      </c>
      <c r="FN50" s="49">
        <f t="shared" si="211"/>
        <v>0.99960953550549536</v>
      </c>
      <c r="FO50" s="49">
        <f t="shared" si="212"/>
        <v>1</v>
      </c>
    </row>
    <row r="51" spans="1:171" x14ac:dyDescent="0.25">
      <c r="A51" s="83" t="s">
        <v>1073</v>
      </c>
      <c r="B51" s="42">
        <v>1</v>
      </c>
      <c r="C51" s="249"/>
      <c r="D51" s="60">
        <f t="shared" ref="D51:O51" si="219">IFERROR(D21/$B51,0)</f>
        <v>1.6528925619834712E-11</v>
      </c>
      <c r="E51" s="60">
        <f t="shared" si="219"/>
        <v>6.6115702479338848E-11</v>
      </c>
      <c r="F51" s="60">
        <f t="shared" si="219"/>
        <v>6.6115702479338848E-11</v>
      </c>
      <c r="G51" s="60">
        <f t="shared" si="219"/>
        <v>6.6115702479338848E-11</v>
      </c>
      <c r="H51" s="60">
        <f t="shared" si="219"/>
        <v>6.6115702479338848E-11</v>
      </c>
      <c r="I51" s="60">
        <f t="shared" si="219"/>
        <v>6.6115702479338848E-11</v>
      </c>
      <c r="J51" s="60">
        <f t="shared" si="219"/>
        <v>6.6115702479338848E-11</v>
      </c>
      <c r="K51" s="60">
        <f t="shared" si="219"/>
        <v>6.6115702479338848E-11</v>
      </c>
      <c r="L51" s="60">
        <f t="shared" si="219"/>
        <v>6.6115702479338848E-11</v>
      </c>
      <c r="M51" s="60">
        <f t="shared" si="219"/>
        <v>6.6115702479338848E-11</v>
      </c>
      <c r="N51" s="60">
        <f t="shared" si="219"/>
        <v>6.6115702479338848E-11</v>
      </c>
      <c r="O51" s="60">
        <f t="shared" si="219"/>
        <v>6.6115702479338848E-11</v>
      </c>
      <c r="P51" s="71">
        <f>up_dir!BC51</f>
        <v>3025000</v>
      </c>
      <c r="Q51" s="71">
        <f>IFERROR(up_RadSpec!$H$21*Q21,".")*$B$51</f>
        <v>756250</v>
      </c>
      <c r="R51" s="71">
        <f>IFERROR(up_RadSpec!$H$21*R21,".")*$B$51</f>
        <v>756250</v>
      </c>
      <c r="S51" s="71">
        <f>IFERROR(up_RadSpec!$H$21*S21,".")*$B$51</f>
        <v>756250</v>
      </c>
      <c r="T51" s="71">
        <f>IFERROR(up_RadSpec!$H$21*T21,".")*$B$51</f>
        <v>756250</v>
      </c>
      <c r="U51" s="71">
        <f>IFERROR(up_RadSpec!$H$21*U21,".")*$B$51</f>
        <v>756250</v>
      </c>
      <c r="V51" s="71">
        <f>IFERROR(up_RadSpec!$H$21*V21,".")*$B$51</f>
        <v>756250</v>
      </c>
      <c r="W51" s="71">
        <f>IFERROR(up_RadSpec!$H$21*W21,".")*$B$51</f>
        <v>756250</v>
      </c>
      <c r="X51" s="71">
        <f>IFERROR(up_RadSpec!$H$21*X21,".")*$B$51</f>
        <v>756250</v>
      </c>
      <c r="Y51" s="71">
        <f>IFERROR(up_RadSpec!$H$21*Y21,".")*$B$51</f>
        <v>756250</v>
      </c>
      <c r="Z51" s="71">
        <f>IFERROR(up_RadSpec!$H$21*Z21,".")*$B$51</f>
        <v>756250</v>
      </c>
      <c r="AA51" s="71">
        <f>IFERROR(up_RadSpec!$H$21*AA21,".")*$B$51</f>
        <v>756250</v>
      </c>
      <c r="AB51" s="49">
        <f t="shared" si="201"/>
        <v>1</v>
      </c>
      <c r="AC51" s="49">
        <f t="shared" si="201"/>
        <v>1</v>
      </c>
      <c r="AD51" s="49">
        <f t="shared" si="201"/>
        <v>1</v>
      </c>
      <c r="AE51" s="49">
        <f t="shared" si="201"/>
        <v>1</v>
      </c>
      <c r="AF51" s="49">
        <f t="shared" si="201"/>
        <v>1</v>
      </c>
      <c r="AG51" s="49">
        <f t="shared" si="201"/>
        <v>1</v>
      </c>
      <c r="AH51" s="49">
        <f t="shared" si="201"/>
        <v>1</v>
      </c>
      <c r="AI51" s="49">
        <f t="shared" si="201"/>
        <v>1</v>
      </c>
      <c r="AJ51" s="49">
        <f t="shared" si="201"/>
        <v>1</v>
      </c>
      <c r="AK51" s="49">
        <f t="shared" si="201"/>
        <v>1</v>
      </c>
      <c r="AL51" s="49">
        <f t="shared" si="201"/>
        <v>1</v>
      </c>
      <c r="AM51" s="49">
        <f t="shared" si="201"/>
        <v>1</v>
      </c>
      <c r="AN51" s="60">
        <f t="shared" ref="AN51:BB51" si="220">IFERROR(AN21/$B51,0)</f>
        <v>3.3057851239669421E-8</v>
      </c>
      <c r="AO51" s="60">
        <f t="shared" si="220"/>
        <v>3.0899917851942918E-4</v>
      </c>
      <c r="AP51" s="60">
        <f t="shared" si="220"/>
        <v>0</v>
      </c>
      <c r="AQ51" s="60">
        <f t="shared" si="220"/>
        <v>3.2968835384132272E-12</v>
      </c>
      <c r="AR51" s="60">
        <f t="shared" si="220"/>
        <v>6.6115702479338848E-11</v>
      </c>
      <c r="AS51" s="60">
        <f t="shared" si="220"/>
        <v>6.6115702479338848E-11</v>
      </c>
      <c r="AT51" s="60">
        <f t="shared" si="220"/>
        <v>1.8558793678410904E-14</v>
      </c>
      <c r="AU51" s="60">
        <f t="shared" si="220"/>
        <v>1.9115557488763232E-14</v>
      </c>
      <c r="AV51" s="60">
        <f t="shared" si="220"/>
        <v>1.8558793678410904E-14</v>
      </c>
      <c r="AW51" s="60">
        <f t="shared" si="220"/>
        <v>1.8558793678410904E-14</v>
      </c>
      <c r="AX51" s="60">
        <f t="shared" si="220"/>
        <v>1.8558793678410904E-14</v>
      </c>
      <c r="AY51" s="60">
        <f t="shared" si="220"/>
        <v>1.8558793678410904E-14</v>
      </c>
      <c r="AZ51" s="60">
        <f t="shared" si="220"/>
        <v>1.9115557488763232E-14</v>
      </c>
      <c r="BA51" s="60">
        <f t="shared" si="220"/>
        <v>1.8558793678410904E-14</v>
      </c>
      <c r="BB51" s="60">
        <f t="shared" si="220"/>
        <v>1.9115557488763232E-14</v>
      </c>
      <c r="BC51" s="42"/>
      <c r="BD51" s="42"/>
      <c r="BE51" s="42"/>
      <c r="BF51" s="42"/>
      <c r="BG51" s="42"/>
      <c r="BH51" s="42"/>
      <c r="BI51" s="42"/>
      <c r="BJ51" s="42"/>
      <c r="BK51" s="42"/>
      <c r="BL51" s="42"/>
      <c r="BM51" s="42"/>
      <c r="BN51" s="42"/>
      <c r="BO51" s="42"/>
      <c r="BP51" s="42"/>
      <c r="BQ51" s="42"/>
      <c r="BR51" s="60">
        <f t="shared" ref="BR51" si="221">IFERROR(BR21/$B51,0)</f>
        <v>2.0808592671575616E-15</v>
      </c>
      <c r="BS51" s="71">
        <f>IFERROR(up_RadSpec!$E$21*BS21,".")*$B$51</f>
        <v>1512.5</v>
      </c>
      <c r="BT51" s="71">
        <f>IFERROR(up_RadSpec!$F$21*BT21,".")*$B$51</f>
        <v>0.16181272791589676</v>
      </c>
      <c r="BU51" s="71">
        <f>IFERROR(up_RadSpec!$G$21*BU21,".")*$B$51</f>
        <v>0</v>
      </c>
      <c r="BV51" s="71">
        <f>up_b2s!CC51</f>
        <v>15165837.5</v>
      </c>
      <c r="BW51" s="71">
        <f>IFERROR(up_RadSpec!$H$21*BW21,".")*$B$51</f>
        <v>756250</v>
      </c>
      <c r="BX51" s="71">
        <f>IFERROR(up_RadSpec!$H$21*BX21,".")*$B$51</f>
        <v>756250</v>
      </c>
      <c r="BY51" s="71">
        <f>IFERROR(up_RadSpec!$H$21*BY21,".")*$B$51</f>
        <v>2694140625</v>
      </c>
      <c r="BZ51" s="71">
        <f>IFERROR(up_RadSpec!$H$21*BZ21,".")*$B$51</f>
        <v>2615670509.7087379</v>
      </c>
      <c r="CA51" s="71">
        <f>IFERROR(up_RadSpec!$H$21*CA21,".")*$B$51</f>
        <v>2694140625</v>
      </c>
      <c r="CB51" s="71">
        <f>IFERROR(up_RadSpec!$H$21*CB21,".")*$B$51</f>
        <v>2694140625</v>
      </c>
      <c r="CC51" s="71">
        <f>IFERROR(up_RadSpec!$H$21*CC21,".")*$B$51</f>
        <v>2694140625</v>
      </c>
      <c r="CD51" s="71">
        <f>IFERROR(up_RadSpec!$H$21*CD21,".")*$B$51</f>
        <v>2694140625</v>
      </c>
      <c r="CE51" s="71">
        <f>IFERROR(up_RadSpec!$H$21*CE21,".")*$B$51</f>
        <v>2615670509.7087379</v>
      </c>
      <c r="CF51" s="71">
        <f>IFERROR(up_RadSpec!$H$21*CF21,".")*$B$51</f>
        <v>2694140625</v>
      </c>
      <c r="CG51" s="71">
        <f>IFERROR(up_RadSpec!$H$21*CG21,".")*$B$51</f>
        <v>2615670509.7087379</v>
      </c>
      <c r="CH51" s="49">
        <f t="shared" si="204"/>
        <v>1</v>
      </c>
      <c r="CI51" s="49">
        <f t="shared" si="204"/>
        <v>0.14939951664921358</v>
      </c>
      <c r="CJ51" s="49">
        <f t="shared" si="204"/>
        <v>0</v>
      </c>
      <c r="CK51" s="49">
        <f t="shared" si="204"/>
        <v>1</v>
      </c>
      <c r="CL51" s="49">
        <f t="shared" si="204"/>
        <v>1</v>
      </c>
      <c r="CM51" s="49">
        <f t="shared" si="204"/>
        <v>1</v>
      </c>
      <c r="CN51" s="49">
        <f t="shared" si="204"/>
        <v>1</v>
      </c>
      <c r="CO51" s="49">
        <f t="shared" si="204"/>
        <v>1</v>
      </c>
      <c r="CP51" s="49">
        <f t="shared" si="204"/>
        <v>1</v>
      </c>
      <c r="CQ51" s="49">
        <f t="shared" si="204"/>
        <v>1</v>
      </c>
      <c r="CR51" s="49">
        <f t="shared" si="204"/>
        <v>1</v>
      </c>
      <c r="CS51" s="49">
        <f t="shared" si="204"/>
        <v>1</v>
      </c>
      <c r="CT51" s="49">
        <f t="shared" si="204"/>
        <v>1</v>
      </c>
      <c r="CU51" s="49">
        <f t="shared" si="204"/>
        <v>1</v>
      </c>
      <c r="CV51" s="49">
        <f t="shared" si="204"/>
        <v>1</v>
      </c>
      <c r="CW51" s="49">
        <f t="shared" si="205"/>
        <v>1</v>
      </c>
      <c r="CX51" s="60">
        <f t="shared" ref="CX51" si="222">IFERROR(CX21/$B51,0)</f>
        <v>3.6363636363636369E-10</v>
      </c>
      <c r="CY51" s="60">
        <f>IFERROR(CY21,".")</f>
        <v>2.7382615489626788E-9</v>
      </c>
      <c r="CZ51" s="60">
        <f t="shared" ref="CZ51:DL51" si="223">IFERROR(CZ21/$B51,0)</f>
        <v>3.9818181818181825E-6</v>
      </c>
      <c r="DA51" s="60">
        <f t="shared" si="223"/>
        <v>1.6443412786038031E-11</v>
      </c>
      <c r="DB51" s="60">
        <f t="shared" si="223"/>
        <v>1.322314049586777E-8</v>
      </c>
      <c r="DC51" s="60">
        <f t="shared" si="223"/>
        <v>1.322314049586777E-8</v>
      </c>
      <c r="DD51" s="60">
        <f t="shared" si="223"/>
        <v>2.6446280991735539E-9</v>
      </c>
      <c r="DE51" s="60">
        <f t="shared" si="223"/>
        <v>2.7239669421487605E-9</v>
      </c>
      <c r="DF51" s="60">
        <f t="shared" si="223"/>
        <v>2.6446280991735539E-9</v>
      </c>
      <c r="DG51" s="60">
        <f t="shared" si="223"/>
        <v>2.6446280991735539E-9</v>
      </c>
      <c r="DH51" s="60">
        <f t="shared" si="223"/>
        <v>2.6446280991735539E-9</v>
      </c>
      <c r="DI51" s="60">
        <f t="shared" si="223"/>
        <v>2.6446280991735539E-9</v>
      </c>
      <c r="DJ51" s="60">
        <f t="shared" si="223"/>
        <v>2.7239669421487605E-9</v>
      </c>
      <c r="DK51" s="60">
        <f t="shared" si="223"/>
        <v>2.6446280991735539E-9</v>
      </c>
      <c r="DL51" s="60">
        <f t="shared" si="223"/>
        <v>2.7239669421487605E-9</v>
      </c>
      <c r="DM51" s="15"/>
      <c r="DN51" s="15"/>
      <c r="DO51" s="15"/>
      <c r="DP51" s="15"/>
      <c r="DQ51" s="15"/>
      <c r="DR51" s="15"/>
      <c r="DS51" s="15"/>
      <c r="DT51" s="15"/>
      <c r="DU51" s="15"/>
      <c r="DV51" s="15"/>
      <c r="DW51" s="15"/>
      <c r="DX51" s="15"/>
      <c r="DY51" s="15"/>
      <c r="DZ51" s="15"/>
      <c r="EA51" s="15"/>
      <c r="EB51" s="60">
        <f t="shared" ref="EB51" si="224">IFERROR(EB21/$B51,0)</f>
        <v>1.4825487545207571E-11</v>
      </c>
      <c r="EC51" s="71">
        <f>IFERROR(up_RadSpec!$I$21*EC21,".")*$B$51</f>
        <v>137500</v>
      </c>
      <c r="ED51" s="71">
        <f>IFERROR(up_RadSpec!$F$21*ED21,".")</f>
        <v>18259.760474283852</v>
      </c>
      <c r="EE51" s="71">
        <f>IFERROR(up_RadSpec!$M$21*EE21,".")*$B$51</f>
        <v>12.557077625570777</v>
      </c>
      <c r="EF51" s="71">
        <f>up_b2w!CC51</f>
        <v>3040731.3038114933</v>
      </c>
      <c r="EG51" s="71">
        <f>IFERROR(up_RadSpec!$H$21*EG21,".")*$B$51</f>
        <v>3781.25</v>
      </c>
      <c r="EH51" s="71">
        <f>IFERROR(up_RadSpec!$H$21*EH21,".")*$B$51</f>
        <v>3781.25</v>
      </c>
      <c r="EI51" s="71">
        <f>IFERROR(up_RadSpec!$H$21*EI21,".")*$B$51</f>
        <v>18906.25</v>
      </c>
      <c r="EJ51" s="71">
        <f>IFERROR(up_RadSpec!$H$21*EJ21,".")*$B$51</f>
        <v>18355.582524271846</v>
      </c>
      <c r="EK51" s="71">
        <f>IFERROR(up_RadSpec!$H$21*EK21,".")*$B$51</f>
        <v>18906.25</v>
      </c>
      <c r="EL51" s="71">
        <f>IFERROR(up_RadSpec!$H$21*EL21,".")*$B$51</f>
        <v>18906.25</v>
      </c>
      <c r="EM51" s="71">
        <f>IFERROR(up_RadSpec!$H$21*EM21,".")*$B$51</f>
        <v>18906.25</v>
      </c>
      <c r="EN51" s="71">
        <f>IFERROR(up_RadSpec!$H$21*EN21,".")*$B$51</f>
        <v>18906.25</v>
      </c>
      <c r="EO51" s="71">
        <f>IFERROR(up_RadSpec!$H$21*EO21,".")*$B$51</f>
        <v>18355.582524271846</v>
      </c>
      <c r="EP51" s="71">
        <f>IFERROR(up_RadSpec!$H$21*EP21,".")*$B$51</f>
        <v>18906.25</v>
      </c>
      <c r="EQ51" s="71">
        <f>IFERROR(up_RadSpec!$H$21*EQ21,".")*$B$51</f>
        <v>18355.582524271846</v>
      </c>
      <c r="ER51" s="49">
        <f t="shared" si="209"/>
        <v>1</v>
      </c>
      <c r="ES51" s="49">
        <f t="shared" si="209"/>
        <v>1</v>
      </c>
      <c r="ET51" s="49">
        <f t="shared" si="209"/>
        <v>0.99999648009875997</v>
      </c>
      <c r="EU51" s="49">
        <f t="shared" si="209"/>
        <v>1</v>
      </c>
      <c r="EV51" s="49">
        <f t="shared" si="209"/>
        <v>1</v>
      </c>
      <c r="EW51" s="49">
        <f t="shared" si="209"/>
        <v>1</v>
      </c>
      <c r="EX51" s="49">
        <f t="shared" si="209"/>
        <v>1</v>
      </c>
      <c r="EY51" s="49">
        <f t="shared" si="209"/>
        <v>1</v>
      </c>
      <c r="EZ51" s="49">
        <f t="shared" si="209"/>
        <v>1</v>
      </c>
      <c r="FA51" s="49">
        <f t="shared" si="209"/>
        <v>1</v>
      </c>
      <c r="FB51" s="49">
        <f t="shared" si="209"/>
        <v>1</v>
      </c>
      <c r="FC51" s="49">
        <f t="shared" si="209"/>
        <v>1</v>
      </c>
      <c r="FD51" s="49">
        <f t="shared" si="209"/>
        <v>1</v>
      </c>
      <c r="FE51" s="49">
        <f t="shared" si="209"/>
        <v>1</v>
      </c>
      <c r="FF51" s="49">
        <f t="shared" si="209"/>
        <v>1</v>
      </c>
      <c r="FG51" s="49">
        <f t="shared" si="210"/>
        <v>1</v>
      </c>
      <c r="FH51" s="60">
        <f>IFERROR(FH21/$B51,0)</f>
        <v>9.9740259740259755E-10</v>
      </c>
      <c r="FI51" s="60">
        <f>IFERROR(FI21/$B51,0)</f>
        <v>6.3709090909090908E-6</v>
      </c>
      <c r="FJ51" s="60">
        <f>IFERROR(FJ21/$B51,0)</f>
        <v>9.9724647271019672E-10</v>
      </c>
      <c r="FK51" s="71">
        <f>IFERROR(up_RadSpec!$F$21*FK21,".")*$B$51</f>
        <v>50130.208333333328</v>
      </c>
      <c r="FL51" s="71">
        <f>IFERROR(up_RadSpec!$K$21*FL21,".")*$B$51</f>
        <v>7.8481735159817356</v>
      </c>
      <c r="FM51" s="49">
        <f t="shared" si="211"/>
        <v>1</v>
      </c>
      <c r="FN51" s="49">
        <f t="shared" si="211"/>
        <v>0.99960953550549536</v>
      </c>
      <c r="FO51" s="49">
        <f t="shared" si="212"/>
        <v>1</v>
      </c>
    </row>
    <row r="52" spans="1:171" x14ac:dyDescent="0.25">
      <c r="A52" s="83" t="s">
        <v>1074</v>
      </c>
      <c r="B52" s="85">
        <v>0.99980000000000002</v>
      </c>
      <c r="C52" s="251"/>
      <c r="D52" s="60">
        <f t="shared" ref="D52:O52" si="225">IFERROR(D17/$B52,0)</f>
        <v>1.6532232066247961E-11</v>
      </c>
      <c r="E52" s="60">
        <f t="shared" si="225"/>
        <v>6.6128928264991843E-11</v>
      </c>
      <c r="F52" s="60">
        <f t="shared" si="225"/>
        <v>6.6128928264991843E-11</v>
      </c>
      <c r="G52" s="60">
        <f t="shared" si="225"/>
        <v>6.6128928264991843E-11</v>
      </c>
      <c r="H52" s="60">
        <f t="shared" si="225"/>
        <v>6.6128928264991843E-11</v>
      </c>
      <c r="I52" s="60">
        <f t="shared" si="225"/>
        <v>6.6128928264991843E-11</v>
      </c>
      <c r="J52" s="60">
        <f t="shared" si="225"/>
        <v>6.6128928264991843E-11</v>
      </c>
      <c r="K52" s="60">
        <f t="shared" si="225"/>
        <v>6.6128928264991843E-11</v>
      </c>
      <c r="L52" s="60">
        <f t="shared" si="225"/>
        <v>6.6128928264991843E-11</v>
      </c>
      <c r="M52" s="60">
        <f t="shared" si="225"/>
        <v>6.6128928264991843E-11</v>
      </c>
      <c r="N52" s="60">
        <f t="shared" si="225"/>
        <v>6.6128928264991843E-11</v>
      </c>
      <c r="O52" s="60">
        <f t="shared" si="225"/>
        <v>6.6128928264991843E-11</v>
      </c>
      <c r="P52" s="71">
        <f>up_dir!BC52</f>
        <v>3025605.1210242049</v>
      </c>
      <c r="Q52" s="71">
        <f>IFERROR(up_RadSpec!$H$17*Q17,".")*$B$52</f>
        <v>756098.75</v>
      </c>
      <c r="R52" s="71">
        <f>IFERROR(up_RadSpec!$H$17*R17,".")*$B$52</f>
        <v>756098.75</v>
      </c>
      <c r="S52" s="71">
        <f>IFERROR(up_RadSpec!$H$17*S17,".")*$B$52</f>
        <v>756098.75</v>
      </c>
      <c r="T52" s="71">
        <f>IFERROR(up_RadSpec!$H$17*T17,".")*$B$52</f>
        <v>756098.75</v>
      </c>
      <c r="U52" s="71">
        <f>IFERROR(up_RadSpec!$H$17*U17,".")*$B$52</f>
        <v>756098.75</v>
      </c>
      <c r="V52" s="71">
        <f>IFERROR(up_RadSpec!$H$17*V17,".")*$B$52</f>
        <v>756098.75</v>
      </c>
      <c r="W52" s="71">
        <f>IFERROR(up_RadSpec!$H$17*W17,".")*$B$52</f>
        <v>756098.75</v>
      </c>
      <c r="X52" s="71">
        <f>IFERROR(up_RadSpec!$H$17*X17,".")*$B$52</f>
        <v>756098.75</v>
      </c>
      <c r="Y52" s="71">
        <f>IFERROR(up_RadSpec!$H$17*Y17,".")*$B$52</f>
        <v>756098.75</v>
      </c>
      <c r="Z52" s="71">
        <f>IFERROR(up_RadSpec!$H$17*Z17,".")*$B$52</f>
        <v>756098.75</v>
      </c>
      <c r="AA52" s="71">
        <f>IFERROR(up_RadSpec!$H$17*AA17,".")*$B$52</f>
        <v>756098.75</v>
      </c>
      <c r="AB52" s="49">
        <f t="shared" si="201"/>
        <v>1</v>
      </c>
      <c r="AC52" s="49">
        <f t="shared" si="201"/>
        <v>1</v>
      </c>
      <c r="AD52" s="49">
        <f t="shared" si="201"/>
        <v>1</v>
      </c>
      <c r="AE52" s="49">
        <f t="shared" si="201"/>
        <v>1</v>
      </c>
      <c r="AF52" s="49">
        <f t="shared" si="201"/>
        <v>1</v>
      </c>
      <c r="AG52" s="49">
        <f t="shared" si="201"/>
        <v>1</v>
      </c>
      <c r="AH52" s="49">
        <f t="shared" si="201"/>
        <v>1</v>
      </c>
      <c r="AI52" s="49">
        <f t="shared" si="201"/>
        <v>1</v>
      </c>
      <c r="AJ52" s="49">
        <f t="shared" si="201"/>
        <v>1</v>
      </c>
      <c r="AK52" s="49">
        <f t="shared" si="201"/>
        <v>1</v>
      </c>
      <c r="AL52" s="49">
        <f t="shared" si="201"/>
        <v>1</v>
      </c>
      <c r="AM52" s="49">
        <f t="shared" si="201"/>
        <v>1</v>
      </c>
      <c r="AN52" s="60">
        <f t="shared" ref="AN52:BB52" si="226">IFERROR(AN17/$B52,0)</f>
        <v>3.3064464132495918E-8</v>
      </c>
      <c r="AO52" s="60">
        <f t="shared" si="226"/>
        <v>3.090609907175727E-4</v>
      </c>
      <c r="AP52" s="60">
        <f t="shared" si="226"/>
        <v>2.930928570601959E-5</v>
      </c>
      <c r="AQ52" s="60">
        <f t="shared" si="226"/>
        <v>3.2975430470226315E-12</v>
      </c>
      <c r="AR52" s="60">
        <f t="shared" si="226"/>
        <v>6.6128928264991843E-11</v>
      </c>
      <c r="AS52" s="60">
        <f t="shared" si="226"/>
        <v>6.6128928264991843E-11</v>
      </c>
      <c r="AT52" s="60">
        <f t="shared" si="226"/>
        <v>1.8562506179646832E-14</v>
      </c>
      <c r="AU52" s="60">
        <f t="shared" si="226"/>
        <v>1.9119381365036239E-14</v>
      </c>
      <c r="AV52" s="60">
        <f t="shared" si="226"/>
        <v>1.8562506179646832E-14</v>
      </c>
      <c r="AW52" s="60">
        <f t="shared" si="226"/>
        <v>1.8562506179646832E-14</v>
      </c>
      <c r="AX52" s="60">
        <f t="shared" si="226"/>
        <v>1.8562506179646832E-14</v>
      </c>
      <c r="AY52" s="60">
        <f t="shared" si="226"/>
        <v>1.8562506179646832E-14</v>
      </c>
      <c r="AZ52" s="60">
        <f t="shared" si="226"/>
        <v>1.9119381365036239E-14</v>
      </c>
      <c r="BA52" s="60">
        <f t="shared" si="226"/>
        <v>1.8562506179646832E-14</v>
      </c>
      <c r="BB52" s="60">
        <f t="shared" si="226"/>
        <v>1.9119381365036239E-14</v>
      </c>
      <c r="BC52" s="42"/>
      <c r="BD52" s="42"/>
      <c r="BE52" s="42"/>
      <c r="BF52" s="42"/>
      <c r="BG52" s="42"/>
      <c r="BH52" s="42"/>
      <c r="BI52" s="42"/>
      <c r="BJ52" s="42"/>
      <c r="BK52" s="42"/>
      <c r="BL52" s="42"/>
      <c r="BM52" s="42"/>
      <c r="BN52" s="42"/>
      <c r="BO52" s="42"/>
      <c r="BP52" s="42"/>
      <c r="BQ52" s="42"/>
      <c r="BR52" s="60">
        <f t="shared" ref="BR52" si="227">IFERROR(BR17/$B52,0)</f>
        <v>2.0812755221142204E-15</v>
      </c>
      <c r="BS52" s="71">
        <f>IFERROR(up_RadSpec!$E$17*BS17,".")*$B$52</f>
        <v>1512.1975</v>
      </c>
      <c r="BT52" s="71">
        <f>IFERROR(up_RadSpec!$F$17*BT17,".")*$B$52</f>
        <v>0.16178036537031359</v>
      </c>
      <c r="BU52" s="71">
        <f>IFERROR(up_RadSpec!$G$17*BU17,".")*$B$52</f>
        <v>1.7059439967767938</v>
      </c>
      <c r="BV52" s="71">
        <f>up_b2s!CC52</f>
        <v>15168871.274254851</v>
      </c>
      <c r="BW52" s="71">
        <f>IFERROR(up_RadSpec!$H$17*BW17,".")*$B$52</f>
        <v>756098.75</v>
      </c>
      <c r="BX52" s="71">
        <f>IFERROR(up_RadSpec!$H$17*BX17,".")*$B$52</f>
        <v>756098.75</v>
      </c>
      <c r="BY52" s="71">
        <f>IFERROR(up_RadSpec!$H$17*BY17,".")*$B$52</f>
        <v>2693601796.875</v>
      </c>
      <c r="BZ52" s="71">
        <f>IFERROR(up_RadSpec!$H$17*BZ17,".")*$B$52</f>
        <v>2615147375.6067963</v>
      </c>
      <c r="CA52" s="71">
        <f>IFERROR(up_RadSpec!$H$17*CA17,".")*$B$52</f>
        <v>2693601796.875</v>
      </c>
      <c r="CB52" s="71">
        <f>IFERROR(up_RadSpec!$H$17*CB17,".")*$B$52</f>
        <v>2693601796.875</v>
      </c>
      <c r="CC52" s="71">
        <f>IFERROR(up_RadSpec!$H$17*CC17,".")*$B$52</f>
        <v>2693601796.875</v>
      </c>
      <c r="CD52" s="71">
        <f>IFERROR(up_RadSpec!$H$17*CD17,".")*$B$52</f>
        <v>2693601796.875</v>
      </c>
      <c r="CE52" s="71">
        <f>IFERROR(up_RadSpec!$H$17*CE17,".")*$B$52</f>
        <v>2615147375.6067963</v>
      </c>
      <c r="CF52" s="71">
        <f>IFERROR(up_RadSpec!$H$17*CF17,".")*$B$52</f>
        <v>2693601796.875</v>
      </c>
      <c r="CG52" s="71">
        <f>IFERROR(up_RadSpec!$H$17*CG17,".")*$B$52</f>
        <v>2615147375.6067963</v>
      </c>
      <c r="CH52" s="49">
        <f t="shared" si="204"/>
        <v>1</v>
      </c>
      <c r="CI52" s="49">
        <f t="shared" si="204"/>
        <v>0.14937198860686174</v>
      </c>
      <c r="CJ52" s="49">
        <f t="shared" si="204"/>
        <v>0.81839912540536586</v>
      </c>
      <c r="CK52" s="49">
        <f t="shared" si="204"/>
        <v>1</v>
      </c>
      <c r="CL52" s="49">
        <f t="shared" si="204"/>
        <v>1</v>
      </c>
      <c r="CM52" s="49">
        <f t="shared" si="204"/>
        <v>1</v>
      </c>
      <c r="CN52" s="49">
        <f t="shared" si="204"/>
        <v>1</v>
      </c>
      <c r="CO52" s="49">
        <f t="shared" si="204"/>
        <v>1</v>
      </c>
      <c r="CP52" s="49">
        <f t="shared" si="204"/>
        <v>1</v>
      </c>
      <c r="CQ52" s="49">
        <f t="shared" si="204"/>
        <v>1</v>
      </c>
      <c r="CR52" s="49">
        <f t="shared" si="204"/>
        <v>1</v>
      </c>
      <c r="CS52" s="49">
        <f t="shared" si="204"/>
        <v>1</v>
      </c>
      <c r="CT52" s="49">
        <f t="shared" si="204"/>
        <v>1</v>
      </c>
      <c r="CU52" s="49">
        <f t="shared" si="204"/>
        <v>1</v>
      </c>
      <c r="CV52" s="49">
        <f t="shared" si="204"/>
        <v>1</v>
      </c>
      <c r="CW52" s="49">
        <f t="shared" si="205"/>
        <v>1</v>
      </c>
      <c r="CX52" s="60">
        <f t="shared" ref="CX52" si="228">IFERROR(CX17/$B52,0)</f>
        <v>3.637091054574552E-10</v>
      </c>
      <c r="CY52" s="60">
        <f>IFERROR(CY17,".")</f>
        <v>1.15609920856568E-8</v>
      </c>
      <c r="CZ52" s="60">
        <f t="shared" ref="CZ52:DL52" si="229">IFERROR(CZ17/$B52,0)</f>
        <v>3.9826147047591344E-6</v>
      </c>
      <c r="DA52" s="60">
        <f t="shared" si="229"/>
        <v>1.6446702126463322E-11</v>
      </c>
      <c r="DB52" s="60">
        <f t="shared" si="229"/>
        <v>1.322578565299837E-8</v>
      </c>
      <c r="DC52" s="60">
        <f t="shared" si="229"/>
        <v>1.322578565299837E-8</v>
      </c>
      <c r="DD52" s="60">
        <f t="shared" si="229"/>
        <v>2.6451571305996739E-9</v>
      </c>
      <c r="DE52" s="60">
        <f t="shared" si="229"/>
        <v>2.7245118445176639E-9</v>
      </c>
      <c r="DF52" s="60">
        <f t="shared" si="229"/>
        <v>2.6451571305996739E-9</v>
      </c>
      <c r="DG52" s="60">
        <f t="shared" si="229"/>
        <v>2.6451571305996739E-9</v>
      </c>
      <c r="DH52" s="60">
        <f t="shared" si="229"/>
        <v>2.6451571305996739E-9</v>
      </c>
      <c r="DI52" s="60">
        <f t="shared" si="229"/>
        <v>2.6451571305996739E-9</v>
      </c>
      <c r="DJ52" s="60">
        <f t="shared" si="229"/>
        <v>2.7245118445176639E-9</v>
      </c>
      <c r="DK52" s="60">
        <f t="shared" si="229"/>
        <v>2.6451571305996739E-9</v>
      </c>
      <c r="DL52" s="60">
        <f t="shared" si="229"/>
        <v>2.7245118445176639E-9</v>
      </c>
      <c r="DM52" s="15"/>
      <c r="DN52" s="15"/>
      <c r="DO52" s="15"/>
      <c r="DP52" s="15"/>
      <c r="DQ52" s="15"/>
      <c r="DR52" s="15"/>
      <c r="DS52" s="15"/>
      <c r="DT52" s="15"/>
      <c r="DU52" s="15"/>
      <c r="DV52" s="15"/>
      <c r="DW52" s="15"/>
      <c r="DX52" s="15"/>
      <c r="DY52" s="15"/>
      <c r="DZ52" s="15"/>
      <c r="EA52" s="15"/>
      <c r="EB52" s="60">
        <f t="shared" ref="EB52" si="230">IFERROR(EB17/$B52,0)</f>
        <v>1.4889976017895328E-11</v>
      </c>
      <c r="EC52" s="71">
        <f>IFERROR(up_RadSpec!$I$17*EC17,".")*$B$52</f>
        <v>137472.5</v>
      </c>
      <c r="ED52" s="71">
        <f>IFERROR(up_RadSpec!$F$17*ED17,".")</f>
        <v>4324.8883512369794</v>
      </c>
      <c r="EE52" s="71">
        <f>IFERROR(up_RadSpec!$M$17*EE17,".")*$B$52</f>
        <v>12.554566210045664</v>
      </c>
      <c r="EF52" s="71">
        <f>up_b2w!CC52</f>
        <v>3041339.5717258384</v>
      </c>
      <c r="EG52" s="71">
        <f>IFERROR(up_RadSpec!$H$17*EG17,".")*$B$52</f>
        <v>3780.4937500000001</v>
      </c>
      <c r="EH52" s="71">
        <f>IFERROR(up_RadSpec!$H$17*EH17,".")*$B$52</f>
        <v>3780.4937500000001</v>
      </c>
      <c r="EI52" s="71">
        <f>IFERROR(up_RadSpec!$H$17*EI17,".")*$B$52</f>
        <v>18902.46875</v>
      </c>
      <c r="EJ52" s="71">
        <f>IFERROR(up_RadSpec!$H$17*EJ17,".")*$B$52</f>
        <v>18351.911407766991</v>
      </c>
      <c r="EK52" s="71">
        <f>IFERROR(up_RadSpec!$H$17*EK17,".")*$B$52</f>
        <v>18902.46875</v>
      </c>
      <c r="EL52" s="71">
        <f>IFERROR(up_RadSpec!$H$17*EL17,".")*$B$52</f>
        <v>18902.46875</v>
      </c>
      <c r="EM52" s="71">
        <f>IFERROR(up_RadSpec!$H$17*EM17,".")*$B$52</f>
        <v>18902.46875</v>
      </c>
      <c r="EN52" s="71">
        <f>IFERROR(up_RadSpec!$H$17*EN17,".")*$B$52</f>
        <v>18902.46875</v>
      </c>
      <c r="EO52" s="71">
        <f>IFERROR(up_RadSpec!$H$17*EO17,".")*$B$52</f>
        <v>18351.911407766991</v>
      </c>
      <c r="EP52" s="71">
        <f>IFERROR(up_RadSpec!$H$17*EP17,".")*$B$52</f>
        <v>18902.46875</v>
      </c>
      <c r="EQ52" s="71">
        <f>IFERROR(up_RadSpec!$H$17*EQ17,".")*$B$52</f>
        <v>18351.911407766991</v>
      </c>
      <c r="ER52" s="49">
        <f t="shared" si="209"/>
        <v>1</v>
      </c>
      <c r="ES52" s="49">
        <f t="shared" si="209"/>
        <v>1</v>
      </c>
      <c r="ET52" s="49">
        <f t="shared" si="209"/>
        <v>0.99999647124771573</v>
      </c>
      <c r="EU52" s="49">
        <f t="shared" si="209"/>
        <v>1</v>
      </c>
      <c r="EV52" s="49">
        <f t="shared" si="209"/>
        <v>1</v>
      </c>
      <c r="EW52" s="49">
        <f t="shared" si="209"/>
        <v>1</v>
      </c>
      <c r="EX52" s="49">
        <f t="shared" si="209"/>
        <v>1</v>
      </c>
      <c r="EY52" s="49">
        <f t="shared" si="209"/>
        <v>1</v>
      </c>
      <c r="EZ52" s="49">
        <f t="shared" si="209"/>
        <v>1</v>
      </c>
      <c r="FA52" s="49">
        <f t="shared" si="209"/>
        <v>1</v>
      </c>
      <c r="FB52" s="49">
        <f t="shared" si="209"/>
        <v>1</v>
      </c>
      <c r="FC52" s="49">
        <f t="shared" si="209"/>
        <v>1</v>
      </c>
      <c r="FD52" s="49">
        <f t="shared" si="209"/>
        <v>1</v>
      </c>
      <c r="FE52" s="49">
        <f t="shared" si="209"/>
        <v>1</v>
      </c>
      <c r="FF52" s="49">
        <f t="shared" si="209"/>
        <v>1</v>
      </c>
      <c r="FG52" s="49">
        <f t="shared" si="210"/>
        <v>1</v>
      </c>
      <c r="FH52" s="60">
        <f>IFERROR(FH17/$B52,0)</f>
        <v>9.9760211782616282E-10</v>
      </c>
      <c r="FI52" s="60">
        <f>IFERROR(FI17/$B52,0)</f>
        <v>6.3721835276146137E-6</v>
      </c>
      <c r="FJ52" s="60">
        <f>IFERROR(FJ17/$B52,0)</f>
        <v>9.9744596190257714E-10</v>
      </c>
      <c r="FK52" s="71">
        <f>IFERROR(up_RadSpec!$F$17*FK17,".")*$B$52</f>
        <v>50120.182291666664</v>
      </c>
      <c r="FL52" s="71">
        <f>IFERROR(up_RadSpec!$K$17*FL17,".")*$B$52</f>
        <v>7.846603881278539</v>
      </c>
      <c r="FM52" s="49">
        <f t="shared" si="211"/>
        <v>1</v>
      </c>
      <c r="FN52" s="49">
        <f t="shared" si="211"/>
        <v>0.99960892213761854</v>
      </c>
      <c r="FO52" s="49">
        <f t="shared" si="212"/>
        <v>1</v>
      </c>
    </row>
    <row r="53" spans="1:171" x14ac:dyDescent="0.25">
      <c r="A53" s="83" t="s">
        <v>1088</v>
      </c>
      <c r="B53" s="42">
        <v>2.0000000000000001E-4</v>
      </c>
      <c r="C53" s="249"/>
      <c r="D53" s="60">
        <f t="shared" ref="D53:O53" si="231">IFERROR(D5/$B53,0)</f>
        <v>8.2644628099173553E-8</v>
      </c>
      <c r="E53" s="60">
        <f t="shared" si="231"/>
        <v>3.3057851239669421E-7</v>
      </c>
      <c r="F53" s="60">
        <f t="shared" si="231"/>
        <v>3.3057851239669421E-7</v>
      </c>
      <c r="G53" s="60">
        <f t="shared" si="231"/>
        <v>3.3057851239669421E-7</v>
      </c>
      <c r="H53" s="60">
        <f t="shared" si="231"/>
        <v>3.3057851239669421E-7</v>
      </c>
      <c r="I53" s="60">
        <f t="shared" si="231"/>
        <v>3.3057851239669421E-7</v>
      </c>
      <c r="J53" s="60">
        <f t="shared" si="231"/>
        <v>3.3057851239669421E-7</v>
      </c>
      <c r="K53" s="60">
        <f t="shared" si="231"/>
        <v>3.3057851239669421E-7</v>
      </c>
      <c r="L53" s="60">
        <f t="shared" si="231"/>
        <v>3.3057851239669421E-7</v>
      </c>
      <c r="M53" s="60">
        <f t="shared" si="231"/>
        <v>3.3057851239669421E-7</v>
      </c>
      <c r="N53" s="60">
        <f t="shared" si="231"/>
        <v>3.3057851239669421E-7</v>
      </c>
      <c r="O53" s="60">
        <f t="shared" si="231"/>
        <v>3.3057851239669421E-7</v>
      </c>
      <c r="P53" s="71">
        <f>up_dir!BC53</f>
        <v>15125000000</v>
      </c>
      <c r="Q53" s="71">
        <f>IFERROR(up_RadSpec!$H$5*Q5,".")*$B$53</f>
        <v>151.25</v>
      </c>
      <c r="R53" s="71">
        <f>IFERROR(up_RadSpec!$H$5*R5,".")*$B$53</f>
        <v>151.25</v>
      </c>
      <c r="S53" s="71">
        <f>IFERROR(up_RadSpec!$H$5*S5,".")*$B$53</f>
        <v>151.25</v>
      </c>
      <c r="T53" s="71">
        <f>IFERROR(up_RadSpec!$H$5*T5,".")*$B$53</f>
        <v>151.25</v>
      </c>
      <c r="U53" s="71">
        <f>IFERROR(up_RadSpec!$H$5*U5,".")*$B$53</f>
        <v>151.25</v>
      </c>
      <c r="V53" s="71">
        <f>IFERROR(up_RadSpec!$H$5*V5,".")*$B$53</f>
        <v>151.25</v>
      </c>
      <c r="W53" s="71">
        <f>IFERROR(up_RadSpec!$H$5*W5,".")*$B$53</f>
        <v>151.25</v>
      </c>
      <c r="X53" s="71">
        <f>IFERROR(up_RadSpec!$H$5*X5,".")*$B$53</f>
        <v>151.25</v>
      </c>
      <c r="Y53" s="71">
        <f>IFERROR(up_RadSpec!$H$5*Y5,".")*$B$53</f>
        <v>151.25</v>
      </c>
      <c r="Z53" s="71">
        <f>IFERROR(up_RadSpec!$H$5*Z5,".")*$B$53</f>
        <v>151.25</v>
      </c>
      <c r="AA53" s="71">
        <f>IFERROR(up_RadSpec!$H$5*AA5,".")*$B$53</f>
        <v>151.25</v>
      </c>
      <c r="AB53" s="49">
        <f t="shared" si="201"/>
        <v>1</v>
      </c>
      <c r="AC53" s="49">
        <f t="shared" si="201"/>
        <v>1</v>
      </c>
      <c r="AD53" s="49">
        <f t="shared" si="201"/>
        <v>1</v>
      </c>
      <c r="AE53" s="49">
        <f t="shared" si="201"/>
        <v>1</v>
      </c>
      <c r="AF53" s="49">
        <f t="shared" si="201"/>
        <v>1</v>
      </c>
      <c r="AG53" s="49">
        <f t="shared" si="201"/>
        <v>1</v>
      </c>
      <c r="AH53" s="49">
        <f t="shared" si="201"/>
        <v>1</v>
      </c>
      <c r="AI53" s="49">
        <f t="shared" si="201"/>
        <v>1</v>
      </c>
      <c r="AJ53" s="49">
        <f t="shared" si="201"/>
        <v>1</v>
      </c>
      <c r="AK53" s="49">
        <f t="shared" si="201"/>
        <v>1</v>
      </c>
      <c r="AL53" s="49">
        <f t="shared" si="201"/>
        <v>1</v>
      </c>
      <c r="AM53" s="49">
        <f t="shared" si="201"/>
        <v>1</v>
      </c>
      <c r="AN53" s="60">
        <f t="shared" ref="AN53:BB53" si="232">IFERROR(AN5/$B53,0)</f>
        <v>1.6528925619834709E-4</v>
      </c>
      <c r="AO53" s="60">
        <f t="shared" si="232"/>
        <v>1.5449958925971459</v>
      </c>
      <c r="AP53" s="60">
        <f t="shared" si="232"/>
        <v>0</v>
      </c>
      <c r="AQ53" s="60">
        <f t="shared" si="232"/>
        <v>1.6484417692066137E-8</v>
      </c>
      <c r="AR53" s="60">
        <f t="shared" si="232"/>
        <v>3.3057851239669421E-7</v>
      </c>
      <c r="AS53" s="60">
        <f t="shared" si="232"/>
        <v>3.3057851239669421E-7</v>
      </c>
      <c r="AT53" s="60">
        <f t="shared" si="232"/>
        <v>9.2793968392054517E-11</v>
      </c>
      <c r="AU53" s="60">
        <f t="shared" si="232"/>
        <v>9.5577787443816148E-11</v>
      </c>
      <c r="AV53" s="60">
        <f t="shared" si="232"/>
        <v>9.2793968392054517E-11</v>
      </c>
      <c r="AW53" s="60">
        <f t="shared" si="232"/>
        <v>9.2793968392054517E-11</v>
      </c>
      <c r="AX53" s="60">
        <f t="shared" si="232"/>
        <v>9.2793968392054517E-11</v>
      </c>
      <c r="AY53" s="60">
        <f t="shared" si="232"/>
        <v>9.2793968392054517E-11</v>
      </c>
      <c r="AZ53" s="60">
        <f t="shared" si="232"/>
        <v>9.5577787443816148E-11</v>
      </c>
      <c r="BA53" s="60">
        <f t="shared" si="232"/>
        <v>9.2793968392054517E-11</v>
      </c>
      <c r="BB53" s="60">
        <f t="shared" si="232"/>
        <v>9.5577787443816148E-11</v>
      </c>
      <c r="BC53" s="42"/>
      <c r="BD53" s="42"/>
      <c r="BE53" s="42"/>
      <c r="BF53" s="42"/>
      <c r="BG53" s="42"/>
      <c r="BH53" s="42"/>
      <c r="BI53" s="42"/>
      <c r="BJ53" s="42"/>
      <c r="BK53" s="42"/>
      <c r="BL53" s="42"/>
      <c r="BM53" s="42"/>
      <c r="BN53" s="42"/>
      <c r="BO53" s="42"/>
      <c r="BP53" s="42"/>
      <c r="BQ53" s="42"/>
      <c r="BR53" s="60">
        <f t="shared" ref="BR53" si="233">IFERROR(BR5/$B53,0)</f>
        <v>1.0404296335787807E-11</v>
      </c>
      <c r="BS53" s="71">
        <f>IFERROR(up_RadSpec!$E$5*BS5,".")*$B$53</f>
        <v>0.30249999999999999</v>
      </c>
      <c r="BT53" s="71">
        <f>IFERROR(up_RadSpec!$F$5*BT5,".")*$B$53</f>
        <v>3.2362545583179355E-5</v>
      </c>
      <c r="BU53" s="71">
        <f>IFERROR(up_RadSpec!$G$5*BU5,".")*$B$53</f>
        <v>0</v>
      </c>
      <c r="BV53" s="71">
        <f>up_b2s!CC53</f>
        <v>75829187500</v>
      </c>
      <c r="BW53" s="71">
        <f>IFERROR(up_RadSpec!$H$5*BW5,".")*$B$53</f>
        <v>151.25</v>
      </c>
      <c r="BX53" s="71">
        <f>IFERROR(up_RadSpec!$H$5*BX5,".")*$B$53</f>
        <v>151.25</v>
      </c>
      <c r="BY53" s="71">
        <f>IFERROR(up_RadSpec!$H$5*BY5,".")*$B$53</f>
        <v>538828.125</v>
      </c>
      <c r="BZ53" s="71">
        <f>IFERROR(up_RadSpec!$H$5*BZ5,".")*$B$53</f>
        <v>523134.10194174759</v>
      </c>
      <c r="CA53" s="71">
        <f>IFERROR(up_RadSpec!$H$5*CA5,".")*$B$53</f>
        <v>538828.125</v>
      </c>
      <c r="CB53" s="71">
        <f>IFERROR(up_RadSpec!$H$5*CB5,".")*$B$53</f>
        <v>538828.125</v>
      </c>
      <c r="CC53" s="71">
        <f>IFERROR(up_RadSpec!$H$5*CC5,".")*$B$53</f>
        <v>538828.125</v>
      </c>
      <c r="CD53" s="71">
        <f>IFERROR(up_RadSpec!$H$5*CD5,".")*$B$53</f>
        <v>538828.125</v>
      </c>
      <c r="CE53" s="71">
        <f>IFERROR(up_RadSpec!$H$5*CE5,".")*$B$53</f>
        <v>523134.10194174759</v>
      </c>
      <c r="CF53" s="71">
        <f>IFERROR(up_RadSpec!$H$5*CF5,".")*$B$53</f>
        <v>538828.125</v>
      </c>
      <c r="CG53" s="71">
        <f>IFERROR(up_RadSpec!$H$5*CG5,".")*$B$53</f>
        <v>523134.10194174759</v>
      </c>
      <c r="CH53" s="49">
        <f t="shared" si="204"/>
        <v>0.26103151174105577</v>
      </c>
      <c r="CI53" s="49">
        <f t="shared" si="204"/>
        <v>3.2362545583179355E-5</v>
      </c>
      <c r="CJ53" s="49">
        <f t="shared" si="204"/>
        <v>0</v>
      </c>
      <c r="CK53" s="49">
        <f t="shared" si="204"/>
        <v>1</v>
      </c>
      <c r="CL53" s="49">
        <f t="shared" si="204"/>
        <v>1</v>
      </c>
      <c r="CM53" s="49">
        <f t="shared" si="204"/>
        <v>1</v>
      </c>
      <c r="CN53" s="49">
        <f t="shared" si="204"/>
        <v>1</v>
      </c>
      <c r="CO53" s="49">
        <f t="shared" si="204"/>
        <v>1</v>
      </c>
      <c r="CP53" s="49">
        <f t="shared" si="204"/>
        <v>1</v>
      </c>
      <c r="CQ53" s="49">
        <f t="shared" si="204"/>
        <v>1</v>
      </c>
      <c r="CR53" s="49">
        <f t="shared" si="204"/>
        <v>1</v>
      </c>
      <c r="CS53" s="49">
        <f t="shared" si="204"/>
        <v>1</v>
      </c>
      <c r="CT53" s="49">
        <f t="shared" si="204"/>
        <v>1</v>
      </c>
      <c r="CU53" s="49">
        <f t="shared" si="204"/>
        <v>1</v>
      </c>
      <c r="CV53" s="49">
        <f t="shared" si="204"/>
        <v>1</v>
      </c>
      <c r="CW53" s="49">
        <f t="shared" si="205"/>
        <v>1</v>
      </c>
      <c r="CX53" s="60">
        <f t="shared" ref="CX53" si="234">IFERROR(CX5/$B53,0)</f>
        <v>1.8181818181818183E-6</v>
      </c>
      <c r="CY53" s="60">
        <f>IFERROR(CY5,".")</f>
        <v>1.3732464063589893E-5</v>
      </c>
      <c r="CZ53" s="60">
        <f t="shared" ref="CZ53:DL53" si="235">IFERROR(CZ5/$B53,0)</f>
        <v>1.9909090909090911E-2</v>
      </c>
      <c r="DA53" s="60">
        <f t="shared" si="235"/>
        <v>8.2217063930190147E-8</v>
      </c>
      <c r="DB53" s="60">
        <f t="shared" si="235"/>
        <v>6.6115702479338845E-5</v>
      </c>
      <c r="DC53" s="60">
        <f t="shared" si="235"/>
        <v>6.6115702479338845E-5</v>
      </c>
      <c r="DD53" s="60">
        <f t="shared" si="235"/>
        <v>1.322314049586777E-5</v>
      </c>
      <c r="DE53" s="60">
        <f t="shared" si="235"/>
        <v>1.3619834710743802E-5</v>
      </c>
      <c r="DF53" s="60">
        <f t="shared" si="235"/>
        <v>1.322314049586777E-5</v>
      </c>
      <c r="DG53" s="60">
        <f t="shared" si="235"/>
        <v>1.322314049586777E-5</v>
      </c>
      <c r="DH53" s="60">
        <f t="shared" si="235"/>
        <v>1.322314049586777E-5</v>
      </c>
      <c r="DI53" s="60">
        <f t="shared" si="235"/>
        <v>1.322314049586777E-5</v>
      </c>
      <c r="DJ53" s="60">
        <f t="shared" si="235"/>
        <v>1.3619834710743802E-5</v>
      </c>
      <c r="DK53" s="60">
        <f t="shared" si="235"/>
        <v>1.322314049586777E-5</v>
      </c>
      <c r="DL53" s="60">
        <f t="shared" si="235"/>
        <v>1.3619834710743802E-5</v>
      </c>
      <c r="DM53" s="15"/>
      <c r="DN53" s="15"/>
      <c r="DO53" s="15"/>
      <c r="DP53" s="15"/>
      <c r="DQ53" s="15"/>
      <c r="DR53" s="15"/>
      <c r="DS53" s="15"/>
      <c r="DT53" s="15"/>
      <c r="DU53" s="15"/>
      <c r="DV53" s="15"/>
      <c r="DW53" s="15"/>
      <c r="DX53" s="15"/>
      <c r="DY53" s="15"/>
      <c r="DZ53" s="15"/>
      <c r="EA53" s="15"/>
      <c r="EB53" s="60">
        <f t="shared" ref="EB53" si="236">IFERROR(EB5/$B53,0)</f>
        <v>7.4530882143665804E-8</v>
      </c>
      <c r="EC53" s="71">
        <f>IFERROR(up_RadSpec!$I$5*EC5,".")*$B$53</f>
        <v>27.5</v>
      </c>
      <c r="ED53" s="71">
        <f>IFERROR(up_RadSpec!$F$5*ED5,".")</f>
        <v>3.6410071614583335</v>
      </c>
      <c r="EE53" s="71">
        <f>IFERROR(up_RadSpec!$M$5*EE5,".")*$B$53</f>
        <v>2.5114155251141556E-3</v>
      </c>
      <c r="EF53" s="71">
        <f>up_b2w!CC53</f>
        <v>15203656519.057467</v>
      </c>
      <c r="EG53" s="71">
        <f>IFERROR(up_RadSpec!$H$5*EG5,".")*$B$53</f>
        <v>0.75625000000000009</v>
      </c>
      <c r="EH53" s="71">
        <f>IFERROR(up_RadSpec!$H$5*EH5,".")*$B$53</f>
        <v>0.75625000000000009</v>
      </c>
      <c r="EI53" s="71">
        <f>IFERROR(up_RadSpec!$H$5*EI5,".")*$B$53</f>
        <v>3.78125</v>
      </c>
      <c r="EJ53" s="71">
        <f>IFERROR(up_RadSpec!$H$5*EJ5,".")*$B$53</f>
        <v>3.6711165048543695</v>
      </c>
      <c r="EK53" s="71">
        <f>IFERROR(up_RadSpec!$H$5*EK5,".")*$B$53</f>
        <v>3.78125</v>
      </c>
      <c r="EL53" s="71">
        <f>IFERROR(up_RadSpec!$H$5*EL5,".")*$B$53</f>
        <v>3.78125</v>
      </c>
      <c r="EM53" s="71">
        <f>IFERROR(up_RadSpec!$H$5*EM5,".")*$B$53</f>
        <v>3.78125</v>
      </c>
      <c r="EN53" s="71">
        <f>IFERROR(up_RadSpec!$H$5*EN5,".")*$B$53</f>
        <v>3.78125</v>
      </c>
      <c r="EO53" s="71">
        <f>IFERROR(up_RadSpec!$H$5*EO5,".")*$B$53</f>
        <v>3.6711165048543695</v>
      </c>
      <c r="EP53" s="71">
        <f>IFERROR(up_RadSpec!$H$5*EP5,".")*$B$53</f>
        <v>3.78125</v>
      </c>
      <c r="EQ53" s="71">
        <f>IFERROR(up_RadSpec!$H$5*EQ5,".")*$B$53</f>
        <v>3.6711165048543695</v>
      </c>
      <c r="ER53" s="49">
        <f t="shared" si="209"/>
        <v>0.99999999999886002</v>
      </c>
      <c r="ES53" s="49">
        <f t="shared" si="209"/>
        <v>0.97377408307296387</v>
      </c>
      <c r="ET53" s="49">
        <f t="shared" si="209"/>
        <v>2.5114155251141556E-3</v>
      </c>
      <c r="EU53" s="49">
        <f t="shared" si="209"/>
        <v>1</v>
      </c>
      <c r="EV53" s="49">
        <f t="shared" si="209"/>
        <v>0.53057653149503292</v>
      </c>
      <c r="EW53" s="49">
        <f t="shared" si="209"/>
        <v>0.53057653149503292</v>
      </c>
      <c r="EX53" s="49">
        <f t="shared" si="209"/>
        <v>0.97720581911638771</v>
      </c>
      <c r="EY53" s="49">
        <f t="shared" si="209"/>
        <v>0.97455195878232648</v>
      </c>
      <c r="EZ53" s="49">
        <f t="shared" si="209"/>
        <v>0.97720581911638771</v>
      </c>
      <c r="FA53" s="49">
        <f t="shared" si="209"/>
        <v>0.97720581911638771</v>
      </c>
      <c r="FB53" s="49">
        <f t="shared" si="209"/>
        <v>0.97720581911638771</v>
      </c>
      <c r="FC53" s="49">
        <f t="shared" si="209"/>
        <v>0.97720581911638771</v>
      </c>
      <c r="FD53" s="49">
        <f t="shared" si="209"/>
        <v>0.97455195878232648</v>
      </c>
      <c r="FE53" s="49">
        <f t="shared" si="209"/>
        <v>0.97720581911638771</v>
      </c>
      <c r="FF53" s="49">
        <f t="shared" si="209"/>
        <v>0.97455195878232648</v>
      </c>
      <c r="FG53" s="49">
        <f t="shared" si="210"/>
        <v>1</v>
      </c>
      <c r="FH53" s="60">
        <f>IFERROR(FH5/$B53,0)</f>
        <v>4.9870129870129872E-6</v>
      </c>
      <c r="FI53" s="60">
        <f>IFERROR(FI5/$B53,0)</f>
        <v>3.1854545454545455E-2</v>
      </c>
      <c r="FJ53" s="60">
        <f>IFERROR(FJ5/$B53,0)</f>
        <v>4.9862323635509835E-6</v>
      </c>
      <c r="FK53" s="71">
        <f>IFERROR(up_RadSpec!$F$5*FK5,".")*$B$53</f>
        <v>10.026041666666666</v>
      </c>
      <c r="FL53" s="71">
        <f>IFERROR(up_RadSpec!$K$5*FL5,".")*$B$53</f>
        <v>1.5696347031963472E-3</v>
      </c>
      <c r="FM53" s="49">
        <f t="shared" si="211"/>
        <v>0.99995576709844258</v>
      </c>
      <c r="FN53" s="49">
        <f t="shared" si="211"/>
        <v>1.5696347031963472E-3</v>
      </c>
      <c r="FO53" s="49">
        <f t="shared" si="212"/>
        <v>0.99995583647347897</v>
      </c>
    </row>
    <row r="54" spans="1:171" x14ac:dyDescent="0.25">
      <c r="A54" s="83" t="s">
        <v>1089</v>
      </c>
      <c r="B54" s="42">
        <v>0.99999979999999999</v>
      </c>
      <c r="C54" s="249"/>
      <c r="D54" s="60">
        <f t="shared" ref="D54:O54" si="237">IFERROR(D9/$B54,0)</f>
        <v>1.6528928925620497E-11</v>
      </c>
      <c r="E54" s="60">
        <f t="shared" si="237"/>
        <v>6.6115715702481987E-11</v>
      </c>
      <c r="F54" s="60">
        <f t="shared" si="237"/>
        <v>6.6115715702481987E-11</v>
      </c>
      <c r="G54" s="60">
        <f t="shared" si="237"/>
        <v>6.6115715702481987E-11</v>
      </c>
      <c r="H54" s="60">
        <f t="shared" si="237"/>
        <v>6.6115715702481987E-11</v>
      </c>
      <c r="I54" s="60">
        <f t="shared" si="237"/>
        <v>6.6115715702481987E-11</v>
      </c>
      <c r="J54" s="60">
        <f t="shared" si="237"/>
        <v>6.6115715702481987E-11</v>
      </c>
      <c r="K54" s="60">
        <f t="shared" si="237"/>
        <v>6.6115715702481987E-11</v>
      </c>
      <c r="L54" s="60">
        <f t="shared" si="237"/>
        <v>6.6115715702481987E-11</v>
      </c>
      <c r="M54" s="60">
        <f t="shared" si="237"/>
        <v>6.6115715702481987E-11</v>
      </c>
      <c r="N54" s="60">
        <f t="shared" si="237"/>
        <v>6.6115715702481987E-11</v>
      </c>
      <c r="O54" s="60">
        <f t="shared" si="237"/>
        <v>6.6115715702481987E-11</v>
      </c>
      <c r="P54" s="71">
        <f>up_dir!BC54</f>
        <v>3025000.6050001215</v>
      </c>
      <c r="Q54" s="71">
        <f>IFERROR(up_RadSpec!$H$9*Q9,".")*$B$54</f>
        <v>756249.84875</v>
      </c>
      <c r="R54" s="71">
        <f>IFERROR(up_RadSpec!$H$9*R9,".")*$B$54</f>
        <v>756249.84875</v>
      </c>
      <c r="S54" s="71">
        <f>IFERROR(up_RadSpec!$H$9*S9,".")*$B$54</f>
        <v>756249.84875</v>
      </c>
      <c r="T54" s="71">
        <f>IFERROR(up_RadSpec!$H$9*T9,".")*$B$54</f>
        <v>756249.84875</v>
      </c>
      <c r="U54" s="71">
        <f>IFERROR(up_RadSpec!$H$9*U9,".")*$B$54</f>
        <v>756249.84875</v>
      </c>
      <c r="V54" s="71">
        <f>IFERROR(up_RadSpec!$H$9*V9,".")*$B$54</f>
        <v>756249.84875</v>
      </c>
      <c r="W54" s="71">
        <f>IFERROR(up_RadSpec!$H$9*W9,".")*$B$54</f>
        <v>756249.84875</v>
      </c>
      <c r="X54" s="71">
        <f>IFERROR(up_RadSpec!$H$9*X9,".")*$B$54</f>
        <v>756249.84875</v>
      </c>
      <c r="Y54" s="71">
        <f>IFERROR(up_RadSpec!$H$9*Y9,".")*$B$54</f>
        <v>756249.84875</v>
      </c>
      <c r="Z54" s="71">
        <f>IFERROR(up_RadSpec!$H$9*Z9,".")*$B$54</f>
        <v>756249.84875</v>
      </c>
      <c r="AA54" s="71">
        <f>IFERROR(up_RadSpec!$H$9*AA9,".")*$B$54</f>
        <v>756249.84875</v>
      </c>
      <c r="AB54" s="49">
        <f t="shared" si="201"/>
        <v>1</v>
      </c>
      <c r="AC54" s="49">
        <f t="shared" si="201"/>
        <v>1</v>
      </c>
      <c r="AD54" s="49">
        <f t="shared" si="201"/>
        <v>1</v>
      </c>
      <c r="AE54" s="49">
        <f t="shared" si="201"/>
        <v>1</v>
      </c>
      <c r="AF54" s="49">
        <f t="shared" si="201"/>
        <v>1</v>
      </c>
      <c r="AG54" s="49">
        <f t="shared" si="201"/>
        <v>1</v>
      </c>
      <c r="AH54" s="49">
        <f t="shared" si="201"/>
        <v>1</v>
      </c>
      <c r="AI54" s="49">
        <f t="shared" si="201"/>
        <v>1</v>
      </c>
      <c r="AJ54" s="49">
        <f t="shared" si="201"/>
        <v>1</v>
      </c>
      <c r="AK54" s="49">
        <f t="shared" si="201"/>
        <v>1</v>
      </c>
      <c r="AL54" s="49">
        <f t="shared" si="201"/>
        <v>1</v>
      </c>
      <c r="AM54" s="49">
        <f t="shared" si="201"/>
        <v>1</v>
      </c>
      <c r="AN54" s="60">
        <f t="shared" ref="AN54:BB54" si="238">IFERROR(AN9/$B54,0)</f>
        <v>3.3057857851240988E-8</v>
      </c>
      <c r="AO54" s="60">
        <f t="shared" si="238"/>
        <v>3.0899924031927724E-4</v>
      </c>
      <c r="AP54" s="60">
        <f t="shared" si="238"/>
        <v>1.0834244377237872E-5</v>
      </c>
      <c r="AQ54" s="60">
        <f t="shared" si="238"/>
        <v>3.2968841977900666E-12</v>
      </c>
      <c r="AR54" s="60">
        <f t="shared" si="238"/>
        <v>6.6115715702481987E-11</v>
      </c>
      <c r="AS54" s="60">
        <f t="shared" si="238"/>
        <v>6.6115715702481987E-11</v>
      </c>
      <c r="AT54" s="60">
        <f t="shared" si="238"/>
        <v>1.8558797390170384E-14</v>
      </c>
      <c r="AU54" s="60">
        <f t="shared" si="238"/>
        <v>1.9115561311875495E-14</v>
      </c>
      <c r="AV54" s="60">
        <f t="shared" si="238"/>
        <v>1.8558797390170384E-14</v>
      </c>
      <c r="AW54" s="60">
        <f t="shared" si="238"/>
        <v>1.8558797390170384E-14</v>
      </c>
      <c r="AX54" s="60">
        <f t="shared" si="238"/>
        <v>1.8558797390170384E-14</v>
      </c>
      <c r="AY54" s="60">
        <f t="shared" si="238"/>
        <v>1.8558797390170384E-14</v>
      </c>
      <c r="AZ54" s="60">
        <f t="shared" si="238"/>
        <v>1.9115561311875495E-14</v>
      </c>
      <c r="BA54" s="60">
        <f t="shared" si="238"/>
        <v>1.8558797390170384E-14</v>
      </c>
      <c r="BB54" s="60">
        <f t="shared" si="238"/>
        <v>1.9115561311875495E-14</v>
      </c>
      <c r="BC54" s="42"/>
      <c r="BD54" s="42"/>
      <c r="BE54" s="42"/>
      <c r="BF54" s="42"/>
      <c r="BG54" s="42"/>
      <c r="BH54" s="42"/>
      <c r="BI54" s="42"/>
      <c r="BJ54" s="42"/>
      <c r="BK54" s="42"/>
      <c r="BL54" s="42"/>
      <c r="BM54" s="42"/>
      <c r="BN54" s="42"/>
      <c r="BO54" s="42"/>
      <c r="BP54" s="42"/>
      <c r="BQ54" s="42"/>
      <c r="BR54" s="60">
        <f t="shared" ref="BR54" si="239">IFERROR(BR9/$B54,0)</f>
        <v>2.080859682929841E-15</v>
      </c>
      <c r="BS54" s="71">
        <f>IFERROR(up_RadSpec!$E$9*BS9,".")*$B$54</f>
        <v>1512.4996974999999</v>
      </c>
      <c r="BT54" s="71">
        <f>IFERROR(up_RadSpec!$F$9*BT9,".")*$B$54</f>
        <v>0.16181269555335118</v>
      </c>
      <c r="BU54" s="71">
        <f>IFERROR(up_RadSpec!$G$9*BU9,".")*$B$54</f>
        <v>4.6149965109746969</v>
      </c>
      <c r="BV54" s="71">
        <f>up_b2s!CC54</f>
        <v>15165840.533168107</v>
      </c>
      <c r="BW54" s="71">
        <f>IFERROR(up_RadSpec!$H$9*BW9,".")*$B$54</f>
        <v>756249.84875</v>
      </c>
      <c r="BX54" s="71">
        <f>IFERROR(up_RadSpec!$H$9*BX9,".")*$B$54</f>
        <v>756249.84875</v>
      </c>
      <c r="BY54" s="71">
        <f>IFERROR(up_RadSpec!$H$9*BY9,".")*$B$54</f>
        <v>2694140086.171875</v>
      </c>
      <c r="BZ54" s="71">
        <f>IFERROR(up_RadSpec!$H$9*BZ9,".")*$B$54</f>
        <v>2615669986.574636</v>
      </c>
      <c r="CA54" s="71">
        <f>IFERROR(up_RadSpec!$H$9*CA9,".")*$B$54</f>
        <v>2694140086.171875</v>
      </c>
      <c r="CB54" s="71">
        <f>IFERROR(up_RadSpec!$H$9*CB9,".")*$B$54</f>
        <v>2694140086.171875</v>
      </c>
      <c r="CC54" s="71">
        <f>IFERROR(up_RadSpec!$H$9*CC9,".")*$B$54</f>
        <v>2694140086.171875</v>
      </c>
      <c r="CD54" s="71">
        <f>IFERROR(up_RadSpec!$H$9*CD9,".")*$B$54</f>
        <v>2694140086.171875</v>
      </c>
      <c r="CE54" s="71">
        <f>IFERROR(up_RadSpec!$H$9*CE9,".")*$B$54</f>
        <v>2615669986.574636</v>
      </c>
      <c r="CF54" s="71">
        <f>IFERROR(up_RadSpec!$H$9*CF9,".")*$B$54</f>
        <v>2694140086.171875</v>
      </c>
      <c r="CG54" s="71">
        <f>IFERROR(up_RadSpec!$H$9*CG9,".")*$B$54</f>
        <v>2615669986.574636</v>
      </c>
      <c r="CH54" s="49">
        <f t="shared" si="204"/>
        <v>1</v>
      </c>
      <c r="CI54" s="49">
        <f t="shared" si="204"/>
        <v>0.14939948912161627</v>
      </c>
      <c r="CJ54" s="49">
        <f t="shared" si="204"/>
        <v>0.99009778204400389</v>
      </c>
      <c r="CK54" s="49">
        <f t="shared" si="204"/>
        <v>1</v>
      </c>
      <c r="CL54" s="49">
        <f t="shared" si="204"/>
        <v>1</v>
      </c>
      <c r="CM54" s="49">
        <f t="shared" si="204"/>
        <v>1</v>
      </c>
      <c r="CN54" s="49">
        <f t="shared" si="204"/>
        <v>1</v>
      </c>
      <c r="CO54" s="49">
        <f t="shared" si="204"/>
        <v>1</v>
      </c>
      <c r="CP54" s="49">
        <f t="shared" si="204"/>
        <v>1</v>
      </c>
      <c r="CQ54" s="49">
        <f t="shared" si="204"/>
        <v>1</v>
      </c>
      <c r="CR54" s="49">
        <f t="shared" si="204"/>
        <v>1</v>
      </c>
      <c r="CS54" s="49">
        <f t="shared" si="204"/>
        <v>1</v>
      </c>
      <c r="CT54" s="49">
        <f t="shared" si="204"/>
        <v>1</v>
      </c>
      <c r="CU54" s="49">
        <f t="shared" si="204"/>
        <v>1</v>
      </c>
      <c r="CV54" s="49">
        <f t="shared" si="204"/>
        <v>1</v>
      </c>
      <c r="CW54" s="49">
        <f t="shared" si="205"/>
        <v>1</v>
      </c>
      <c r="CX54" s="60">
        <f t="shared" ref="CX54" si="240">IFERROR(CX9/$B54,0)</f>
        <v>3.6363643636365097E-10</v>
      </c>
      <c r="CY54" s="60">
        <f>IFERROR(CY9,".")</f>
        <v>3.9187352811929723E-8</v>
      </c>
      <c r="CZ54" s="60">
        <f t="shared" ref="CZ54:DL54" si="241">IFERROR(CZ9/$B54,0)</f>
        <v>3.981818978181978E-6</v>
      </c>
      <c r="DA54" s="60">
        <f t="shared" si="241"/>
        <v>1.6443416074721245E-11</v>
      </c>
      <c r="DB54" s="60">
        <f t="shared" si="241"/>
        <v>1.3223143140496398E-8</v>
      </c>
      <c r="DC54" s="60">
        <f t="shared" si="241"/>
        <v>1.3223143140496398E-8</v>
      </c>
      <c r="DD54" s="60">
        <f t="shared" si="241"/>
        <v>2.6446286280992797E-9</v>
      </c>
      <c r="DE54" s="60">
        <f t="shared" si="241"/>
        <v>2.723967486942258E-9</v>
      </c>
      <c r="DF54" s="60">
        <f t="shared" si="241"/>
        <v>2.6446286280992797E-9</v>
      </c>
      <c r="DG54" s="60">
        <f t="shared" si="241"/>
        <v>2.6446286280992797E-9</v>
      </c>
      <c r="DH54" s="60">
        <f t="shared" si="241"/>
        <v>2.6446286280992797E-9</v>
      </c>
      <c r="DI54" s="60">
        <f t="shared" si="241"/>
        <v>2.6446286280992797E-9</v>
      </c>
      <c r="DJ54" s="60">
        <f t="shared" si="241"/>
        <v>2.723967486942258E-9</v>
      </c>
      <c r="DK54" s="60">
        <f t="shared" si="241"/>
        <v>2.6446286280992797E-9</v>
      </c>
      <c r="DL54" s="60">
        <f t="shared" si="241"/>
        <v>2.723967486942258E-9</v>
      </c>
      <c r="DM54" s="15"/>
      <c r="DN54" s="15"/>
      <c r="DO54" s="15"/>
      <c r="DP54" s="15"/>
      <c r="DQ54" s="15"/>
      <c r="DR54" s="15"/>
      <c r="DS54" s="15"/>
      <c r="DT54" s="15"/>
      <c r="DU54" s="15"/>
      <c r="DV54" s="15"/>
      <c r="DW54" s="15"/>
      <c r="DX54" s="15"/>
      <c r="DY54" s="15"/>
      <c r="DZ54" s="15"/>
      <c r="EA54" s="15"/>
      <c r="EB54" s="60">
        <f t="shared" ref="EB54" si="242">IFERROR(EB9/$B54,0)</f>
        <v>1.4900527686657088E-11</v>
      </c>
      <c r="EC54" s="71">
        <f>IFERROR(up_RadSpec!$I$9*EC9,".")*$B$54</f>
        <v>137499.9725</v>
      </c>
      <c r="ED54" s="71">
        <f>IFERROR(up_RadSpec!$F$9*ED9,".")</f>
        <v>1275.9218577473957</v>
      </c>
      <c r="EE54" s="71">
        <f>IFERROR(up_RadSpec!$M$9*EE9,".")*$B$54</f>
        <v>12.557075114155252</v>
      </c>
      <c r="EF54" s="71">
        <f>up_b2w!CC54</f>
        <v>3040731.9119578758</v>
      </c>
      <c r="EG54" s="71">
        <f>IFERROR(up_RadSpec!$H$9*EG9,".")*$B$54</f>
        <v>3781.24924375</v>
      </c>
      <c r="EH54" s="71">
        <f>IFERROR(up_RadSpec!$H$9*EH9,".")*$B$54</f>
        <v>3781.24924375</v>
      </c>
      <c r="EI54" s="71">
        <f>IFERROR(up_RadSpec!$H$9*EI9,".")*$B$54</f>
        <v>18906.246218749999</v>
      </c>
      <c r="EJ54" s="71">
        <f>IFERROR(up_RadSpec!$H$9*EJ9,".")*$B$54</f>
        <v>18355.578853155341</v>
      </c>
      <c r="EK54" s="71">
        <f>IFERROR(up_RadSpec!$H$9*EK9,".")*$B$54</f>
        <v>18906.246218749999</v>
      </c>
      <c r="EL54" s="71">
        <f>IFERROR(up_RadSpec!$H$9*EL9,".")*$B$54</f>
        <v>18906.246218749999</v>
      </c>
      <c r="EM54" s="71">
        <f>IFERROR(up_RadSpec!$H$9*EM9,".")*$B$54</f>
        <v>18906.246218749999</v>
      </c>
      <c r="EN54" s="71">
        <f>IFERROR(up_RadSpec!$H$9*EN9,".")*$B$54</f>
        <v>18906.246218749999</v>
      </c>
      <c r="EO54" s="71">
        <f>IFERROR(up_RadSpec!$H$9*EO9,".")*$B$54</f>
        <v>18355.578853155341</v>
      </c>
      <c r="EP54" s="71">
        <f>IFERROR(up_RadSpec!$H$9*EP9,".")*$B$54</f>
        <v>18906.246218749999</v>
      </c>
      <c r="EQ54" s="71">
        <f>IFERROR(up_RadSpec!$H$9*EQ9,".")*$B$54</f>
        <v>18355.578853155341</v>
      </c>
      <c r="ER54" s="49">
        <f t="shared" si="209"/>
        <v>1</v>
      </c>
      <c r="ES54" s="49">
        <f t="shared" si="209"/>
        <v>1</v>
      </c>
      <c r="ET54" s="49">
        <f t="shared" si="209"/>
        <v>0.99999648008992004</v>
      </c>
      <c r="EU54" s="49">
        <f t="shared" si="209"/>
        <v>1</v>
      </c>
      <c r="EV54" s="49">
        <f t="shared" si="209"/>
        <v>1</v>
      </c>
      <c r="EW54" s="49">
        <f t="shared" si="209"/>
        <v>1</v>
      </c>
      <c r="EX54" s="49">
        <f t="shared" si="209"/>
        <v>1</v>
      </c>
      <c r="EY54" s="49">
        <f t="shared" si="209"/>
        <v>1</v>
      </c>
      <c r="EZ54" s="49">
        <f t="shared" si="209"/>
        <v>1</v>
      </c>
      <c r="FA54" s="49">
        <f t="shared" si="209"/>
        <v>1</v>
      </c>
      <c r="FB54" s="49">
        <f t="shared" si="209"/>
        <v>1</v>
      </c>
      <c r="FC54" s="49">
        <f t="shared" si="209"/>
        <v>1</v>
      </c>
      <c r="FD54" s="49">
        <f t="shared" si="209"/>
        <v>1</v>
      </c>
      <c r="FE54" s="49">
        <f t="shared" si="209"/>
        <v>1</v>
      </c>
      <c r="FF54" s="49">
        <f t="shared" si="209"/>
        <v>1</v>
      </c>
      <c r="FG54" s="49">
        <f t="shared" si="210"/>
        <v>1</v>
      </c>
      <c r="FH54" s="60">
        <f>IFERROR(FH9/$B54,0)</f>
        <v>9.9740279688315693E-10</v>
      </c>
      <c r="FI54" s="60">
        <f>IFERROR(FI9/$B54,0)</f>
        <v>6.3709103650911641E-6</v>
      </c>
      <c r="FJ54" s="60">
        <f>IFERROR(FJ9/$B54,0)</f>
        <v>9.9724667215953107E-10</v>
      </c>
      <c r="FK54" s="71">
        <f>IFERROR(up_RadSpec!$F$9*FK9,".")*$B$54</f>
        <v>50130.198307291663</v>
      </c>
      <c r="FL54" s="71">
        <f>IFERROR(up_RadSpec!$K$9*FL9,".")*$B$54</f>
        <v>7.8481719463470325</v>
      </c>
      <c r="FM54" s="49">
        <f t="shared" si="211"/>
        <v>1</v>
      </c>
      <c r="FN54" s="49">
        <f t="shared" si="211"/>
        <v>0.99960953489260818</v>
      </c>
      <c r="FO54" s="49">
        <f t="shared" si="212"/>
        <v>1</v>
      </c>
    </row>
    <row r="55" spans="1:171" x14ac:dyDescent="0.25">
      <c r="A55" s="83" t="s">
        <v>1090</v>
      </c>
      <c r="B55" s="42">
        <v>1.9999999999999999E-7</v>
      </c>
      <c r="C55" s="249"/>
      <c r="D55" s="60">
        <f t="shared" ref="D55:O55" si="243">IFERROR(D24/$B55,0)</f>
        <v>8.264462809917356E-5</v>
      </c>
      <c r="E55" s="60">
        <f t="shared" si="243"/>
        <v>3.3057851239669424E-4</v>
      </c>
      <c r="F55" s="60">
        <f t="shared" si="243"/>
        <v>3.3057851239669424E-4</v>
      </c>
      <c r="G55" s="60">
        <f t="shared" si="243"/>
        <v>3.3057851239669424E-4</v>
      </c>
      <c r="H55" s="60">
        <f t="shared" si="243"/>
        <v>3.3057851239669424E-4</v>
      </c>
      <c r="I55" s="60">
        <f t="shared" si="243"/>
        <v>3.3057851239669424E-4</v>
      </c>
      <c r="J55" s="60">
        <f t="shared" si="243"/>
        <v>3.3057851239669424E-4</v>
      </c>
      <c r="K55" s="60">
        <f t="shared" si="243"/>
        <v>3.3057851239669424E-4</v>
      </c>
      <c r="L55" s="60">
        <f t="shared" si="243"/>
        <v>3.3057851239669424E-4</v>
      </c>
      <c r="M55" s="60">
        <f t="shared" si="243"/>
        <v>3.3057851239669424E-4</v>
      </c>
      <c r="N55" s="60">
        <f t="shared" si="243"/>
        <v>3.3057851239669424E-4</v>
      </c>
      <c r="O55" s="60">
        <f t="shared" si="243"/>
        <v>3.3057851239669424E-4</v>
      </c>
      <c r="P55" s="71">
        <f>up_dir!BC55</f>
        <v>15125000000000</v>
      </c>
      <c r="Q55" s="71">
        <f>IFERROR(up_RadSpec!$H$24*Q24,".")*$B$55</f>
        <v>0.15125</v>
      </c>
      <c r="R55" s="71">
        <f>IFERROR(up_RadSpec!$H$24*R24,".")*$B$55</f>
        <v>0.15125</v>
      </c>
      <c r="S55" s="71">
        <f>IFERROR(up_RadSpec!$H$24*S24,".")*$B$55</f>
        <v>0.15125</v>
      </c>
      <c r="T55" s="71">
        <f>IFERROR(up_RadSpec!$H$24*T24,".")*$B$55</f>
        <v>0.15125</v>
      </c>
      <c r="U55" s="71">
        <f>IFERROR(up_RadSpec!$H$24*U24,".")*$B$55</f>
        <v>0.15125</v>
      </c>
      <c r="V55" s="71">
        <f>IFERROR(up_RadSpec!$H$24*V24,".")*$B$55</f>
        <v>0.15125</v>
      </c>
      <c r="W55" s="71">
        <f>IFERROR(up_RadSpec!$H$24*W24,".")*$B$55</f>
        <v>0.15125</v>
      </c>
      <c r="X55" s="71">
        <f>IFERROR(up_RadSpec!$H$24*X24,".")*$B$55</f>
        <v>0.15125</v>
      </c>
      <c r="Y55" s="71">
        <f>IFERROR(up_RadSpec!$H$24*Y24,".")*$B$55</f>
        <v>0.15125</v>
      </c>
      <c r="Z55" s="71">
        <f>IFERROR(up_RadSpec!$H$24*Z24,".")*$B$55</f>
        <v>0.15125</v>
      </c>
      <c r="AA55" s="71">
        <f>IFERROR(up_RadSpec!$H$24*AA24,".")*$B$55</f>
        <v>0.15125</v>
      </c>
      <c r="AB55" s="49">
        <f t="shared" si="201"/>
        <v>1</v>
      </c>
      <c r="AC55" s="49">
        <f t="shared" si="201"/>
        <v>0.14036723639745774</v>
      </c>
      <c r="AD55" s="49">
        <f t="shared" si="201"/>
        <v>0.14036723639745774</v>
      </c>
      <c r="AE55" s="49">
        <f t="shared" si="201"/>
        <v>0.14036723639745774</v>
      </c>
      <c r="AF55" s="49">
        <f t="shared" si="201"/>
        <v>0.14036723639745774</v>
      </c>
      <c r="AG55" s="49">
        <f t="shared" si="201"/>
        <v>0.14036723639745774</v>
      </c>
      <c r="AH55" s="49">
        <f t="shared" si="201"/>
        <v>0.14036723639745774</v>
      </c>
      <c r="AI55" s="49">
        <f t="shared" si="201"/>
        <v>0.14036723639745774</v>
      </c>
      <c r="AJ55" s="49">
        <f t="shared" si="201"/>
        <v>0.14036723639745774</v>
      </c>
      <c r="AK55" s="49">
        <f t="shared" si="201"/>
        <v>0.14036723639745774</v>
      </c>
      <c r="AL55" s="49">
        <f t="shared" si="201"/>
        <v>0.14036723639745774</v>
      </c>
      <c r="AM55" s="49">
        <f t="shared" si="201"/>
        <v>0.14036723639745774</v>
      </c>
      <c r="AN55" s="60">
        <f t="shared" ref="AN55:BB55" si="244">IFERROR(AN24/$B55,0)</f>
        <v>0.16528925619834711</v>
      </c>
      <c r="AO55" s="60">
        <f t="shared" si="244"/>
        <v>1544.9958925971459</v>
      </c>
      <c r="AP55" s="60">
        <f t="shared" si="244"/>
        <v>95.598671407459506</v>
      </c>
      <c r="AQ55" s="60">
        <f t="shared" si="244"/>
        <v>1.6484417692066136E-5</v>
      </c>
      <c r="AR55" s="60">
        <f t="shared" si="244"/>
        <v>3.3057851239669424E-4</v>
      </c>
      <c r="AS55" s="60">
        <f t="shared" si="244"/>
        <v>3.3057851239669424E-4</v>
      </c>
      <c r="AT55" s="60">
        <f t="shared" si="244"/>
        <v>9.2793968392054527E-8</v>
      </c>
      <c r="AU55" s="60">
        <f t="shared" si="244"/>
        <v>9.5577787443816166E-8</v>
      </c>
      <c r="AV55" s="60">
        <f t="shared" si="244"/>
        <v>9.2793968392054527E-8</v>
      </c>
      <c r="AW55" s="60">
        <f t="shared" si="244"/>
        <v>9.2793968392054527E-8</v>
      </c>
      <c r="AX55" s="60">
        <f t="shared" si="244"/>
        <v>9.2793968392054527E-8</v>
      </c>
      <c r="AY55" s="60">
        <f t="shared" si="244"/>
        <v>9.2793968392054527E-8</v>
      </c>
      <c r="AZ55" s="60">
        <f t="shared" si="244"/>
        <v>9.5577787443816166E-8</v>
      </c>
      <c r="BA55" s="60">
        <f t="shared" si="244"/>
        <v>9.2793968392054527E-8</v>
      </c>
      <c r="BB55" s="60">
        <f t="shared" si="244"/>
        <v>9.5577787443816166E-8</v>
      </c>
      <c r="BC55" s="42"/>
      <c r="BD55" s="42"/>
      <c r="BE55" s="42"/>
      <c r="BF55" s="42"/>
      <c r="BG55" s="42"/>
      <c r="BH55" s="42"/>
      <c r="BI55" s="42"/>
      <c r="BJ55" s="42"/>
      <c r="BK55" s="42"/>
      <c r="BL55" s="42"/>
      <c r="BM55" s="42"/>
      <c r="BN55" s="42"/>
      <c r="BO55" s="42"/>
      <c r="BP55" s="42"/>
      <c r="BQ55" s="42"/>
      <c r="BR55" s="60">
        <f t="shared" ref="BR55" si="245">IFERROR(BR24/$B55,0)</f>
        <v>1.0404296334655475E-8</v>
      </c>
      <c r="BS55" s="71">
        <f>IFERROR(up_RadSpec!$E$24*BS24,".")*$B$55</f>
        <v>3.0249999999999998E-4</v>
      </c>
      <c r="BT55" s="71">
        <f>IFERROR(up_RadSpec!$F$24*BT24,".")*$B$55</f>
        <v>3.2362545583179352E-8</v>
      </c>
      <c r="BU55" s="71">
        <f>IFERROR(up_RadSpec!$G$24*BU24,".")*$B$55</f>
        <v>5.2301982092293537E-7</v>
      </c>
      <c r="BV55" s="71">
        <f>up_b2s!CC55</f>
        <v>75829187500000</v>
      </c>
      <c r="BW55" s="71">
        <f>IFERROR(up_RadSpec!$H$24*BW24,".")*$B$55</f>
        <v>0.15125</v>
      </c>
      <c r="BX55" s="71">
        <f>IFERROR(up_RadSpec!$H$24*BX24,".")*$B$55</f>
        <v>0.15125</v>
      </c>
      <c r="BY55" s="71">
        <f>IFERROR(up_RadSpec!$H$24*BY24,".")*$B$55</f>
        <v>538.828125</v>
      </c>
      <c r="BZ55" s="71">
        <f>IFERROR(up_RadSpec!$H$24*BZ24,".")*$B$55</f>
        <v>523.13410194174753</v>
      </c>
      <c r="CA55" s="71">
        <f>IFERROR(up_RadSpec!$H$24*CA24,".")*$B$55</f>
        <v>538.828125</v>
      </c>
      <c r="CB55" s="71">
        <f>IFERROR(up_RadSpec!$H$24*CB24,".")*$B$55</f>
        <v>538.828125</v>
      </c>
      <c r="CC55" s="71">
        <f>IFERROR(up_RadSpec!$H$24*CC24,".")*$B$55</f>
        <v>538.828125</v>
      </c>
      <c r="CD55" s="71">
        <f>IFERROR(up_RadSpec!$H$24*CD24,".")*$B$55</f>
        <v>538.828125</v>
      </c>
      <c r="CE55" s="71">
        <f>IFERROR(up_RadSpec!$H$24*CE24,".")*$B$55</f>
        <v>523.13410194174753</v>
      </c>
      <c r="CF55" s="71">
        <f>IFERROR(up_RadSpec!$H$24*CF24,".")*$B$55</f>
        <v>538.828125</v>
      </c>
      <c r="CG55" s="71">
        <f>IFERROR(up_RadSpec!$H$24*CG24,".")*$B$55</f>
        <v>523.13410194174753</v>
      </c>
      <c r="CH55" s="49">
        <f t="shared" si="204"/>
        <v>3.0249999999999998E-4</v>
      </c>
      <c r="CI55" s="49">
        <f t="shared" si="204"/>
        <v>3.2362545583179352E-8</v>
      </c>
      <c r="CJ55" s="49">
        <f t="shared" si="204"/>
        <v>5.2301982092293537E-7</v>
      </c>
      <c r="CK55" s="49">
        <f t="shared" si="204"/>
        <v>1</v>
      </c>
      <c r="CL55" s="49">
        <f t="shared" si="204"/>
        <v>0.14036723639745774</v>
      </c>
      <c r="CM55" s="49">
        <f t="shared" si="204"/>
        <v>0.14036723639745774</v>
      </c>
      <c r="CN55" s="49">
        <f t="shared" si="204"/>
        <v>1</v>
      </c>
      <c r="CO55" s="49">
        <f t="shared" si="204"/>
        <v>1</v>
      </c>
      <c r="CP55" s="49">
        <f t="shared" si="204"/>
        <v>1</v>
      </c>
      <c r="CQ55" s="49">
        <f t="shared" si="204"/>
        <v>1</v>
      </c>
      <c r="CR55" s="49">
        <f t="shared" si="204"/>
        <v>1</v>
      </c>
      <c r="CS55" s="49">
        <f t="shared" si="204"/>
        <v>1</v>
      </c>
      <c r="CT55" s="49">
        <f t="shared" si="204"/>
        <v>1</v>
      </c>
      <c r="CU55" s="49">
        <f t="shared" si="204"/>
        <v>1</v>
      </c>
      <c r="CV55" s="49">
        <f t="shared" si="204"/>
        <v>1</v>
      </c>
      <c r="CW55" s="49">
        <f t="shared" si="205"/>
        <v>1</v>
      </c>
      <c r="CX55" s="60">
        <f t="shared" ref="CX55" si="246">IFERROR(CX24/$B55,0)</f>
        <v>1.8181818181818186E-3</v>
      </c>
      <c r="CY55" s="60">
        <f>IFERROR(CY24,".")</f>
        <v>1.3733409486996358E-2</v>
      </c>
      <c r="CZ55" s="60">
        <f t="shared" ref="CZ55:DL55" si="247">IFERROR(CZ24/$B55,0)</f>
        <v>19.909090909090914</v>
      </c>
      <c r="DA55" s="60">
        <f t="shared" si="247"/>
        <v>8.2217063930190151E-5</v>
      </c>
      <c r="DB55" s="60">
        <f t="shared" si="247"/>
        <v>6.6115702479338859E-2</v>
      </c>
      <c r="DC55" s="60">
        <f t="shared" si="247"/>
        <v>6.6115702479338859E-2</v>
      </c>
      <c r="DD55" s="60">
        <f t="shared" si="247"/>
        <v>1.322314049586777E-2</v>
      </c>
      <c r="DE55" s="60">
        <f t="shared" si="247"/>
        <v>1.3619834710743803E-2</v>
      </c>
      <c r="DF55" s="60">
        <f t="shared" si="247"/>
        <v>1.322314049586777E-2</v>
      </c>
      <c r="DG55" s="60">
        <f t="shared" si="247"/>
        <v>1.322314049586777E-2</v>
      </c>
      <c r="DH55" s="60">
        <f t="shared" si="247"/>
        <v>1.322314049586777E-2</v>
      </c>
      <c r="DI55" s="60">
        <f t="shared" si="247"/>
        <v>1.322314049586777E-2</v>
      </c>
      <c r="DJ55" s="60">
        <f t="shared" si="247"/>
        <v>1.3619834710743803E-2</v>
      </c>
      <c r="DK55" s="60">
        <f t="shared" si="247"/>
        <v>1.322314049586777E-2</v>
      </c>
      <c r="DL55" s="60">
        <f t="shared" si="247"/>
        <v>1.3619834710743803E-2</v>
      </c>
      <c r="DM55" s="15"/>
      <c r="DN55" s="15"/>
      <c r="DO55" s="15"/>
      <c r="DP55" s="15"/>
      <c r="DQ55" s="15"/>
      <c r="DR55" s="15"/>
      <c r="DS55" s="15"/>
      <c r="DT55" s="15"/>
      <c r="DU55" s="15"/>
      <c r="DV55" s="15"/>
      <c r="DW55" s="15"/>
      <c r="DX55" s="15"/>
      <c r="DY55" s="15"/>
      <c r="DZ55" s="15"/>
      <c r="EA55" s="15"/>
      <c r="EB55" s="60">
        <f t="shared" ref="EB55" si="248">IFERROR(EB24/$B55,0)</f>
        <v>7.4530962963887374E-5</v>
      </c>
      <c r="EC55" s="71">
        <f>IFERROR(up_RadSpec!$I$24*EC24,".")*$B$55</f>
        <v>2.75E-2</v>
      </c>
      <c r="ED55" s="71">
        <f>IFERROR(up_RadSpec!$F$24*ED24,".")</f>
        <v>3.6407565104166666E-3</v>
      </c>
      <c r="EE55" s="71">
        <f>IFERROR(up_RadSpec!$M$24*EE24,".")*$B$55</f>
        <v>2.5114155251141552E-6</v>
      </c>
      <c r="EF55" s="71">
        <f>up_b2w!CC55</f>
        <v>15203656519057.469</v>
      </c>
      <c r="EG55" s="71">
        <f>IFERROR(up_RadSpec!$H$24*EG24,".")*$B$55</f>
        <v>7.5624999999999998E-4</v>
      </c>
      <c r="EH55" s="71">
        <f>IFERROR(up_RadSpec!$H$24*EH24,".")*$B$55</f>
        <v>7.5624999999999998E-4</v>
      </c>
      <c r="EI55" s="71">
        <f>IFERROR(up_RadSpec!$H$24*EI24,".")*$B$55</f>
        <v>3.7812499999999999E-3</v>
      </c>
      <c r="EJ55" s="71">
        <f>IFERROR(up_RadSpec!$H$24*EJ24,".")*$B$55</f>
        <v>3.6711165048543691E-3</v>
      </c>
      <c r="EK55" s="71">
        <f>IFERROR(up_RadSpec!$H$24*EK24,".")*$B$55</f>
        <v>3.7812499999999999E-3</v>
      </c>
      <c r="EL55" s="71">
        <f>IFERROR(up_RadSpec!$H$24*EL24,".")*$B$55</f>
        <v>3.7812499999999999E-3</v>
      </c>
      <c r="EM55" s="71">
        <f>IFERROR(up_RadSpec!$H$24*EM24,".")*$B$55</f>
        <v>3.7812499999999999E-3</v>
      </c>
      <c r="EN55" s="71">
        <f>IFERROR(up_RadSpec!$H$24*EN24,".")*$B$55</f>
        <v>3.7812499999999999E-3</v>
      </c>
      <c r="EO55" s="71">
        <f>IFERROR(up_RadSpec!$H$24*EO24,".")*$B$55</f>
        <v>3.6711165048543691E-3</v>
      </c>
      <c r="EP55" s="71">
        <f>IFERROR(up_RadSpec!$H$24*EP24,".")*$B$55</f>
        <v>3.7812499999999999E-3</v>
      </c>
      <c r="EQ55" s="71">
        <f>IFERROR(up_RadSpec!$H$24*EQ24,".")*$B$55</f>
        <v>3.6711165048543691E-3</v>
      </c>
      <c r="ER55" s="49">
        <f t="shared" si="209"/>
        <v>2.7125317446546005E-2</v>
      </c>
      <c r="ES55" s="49">
        <f t="shared" si="209"/>
        <v>3.6407565104166666E-3</v>
      </c>
      <c r="ET55" s="49">
        <f t="shared" si="209"/>
        <v>2.5114155251141552E-6</v>
      </c>
      <c r="EU55" s="49">
        <f t="shared" si="209"/>
        <v>1</v>
      </c>
      <c r="EV55" s="49">
        <f t="shared" si="209"/>
        <v>7.5624999999999998E-4</v>
      </c>
      <c r="EW55" s="49">
        <f t="shared" si="209"/>
        <v>7.5624999999999998E-4</v>
      </c>
      <c r="EX55" s="49">
        <f t="shared" si="209"/>
        <v>3.7812499999999999E-3</v>
      </c>
      <c r="EY55" s="49">
        <f t="shared" si="209"/>
        <v>3.6711165048543691E-3</v>
      </c>
      <c r="EZ55" s="49">
        <f t="shared" si="209"/>
        <v>3.7812499999999999E-3</v>
      </c>
      <c r="FA55" s="49">
        <f t="shared" si="209"/>
        <v>3.7812499999999999E-3</v>
      </c>
      <c r="FB55" s="49">
        <f t="shared" si="209"/>
        <v>3.7812499999999999E-3</v>
      </c>
      <c r="FC55" s="49">
        <f t="shared" si="209"/>
        <v>3.7812499999999999E-3</v>
      </c>
      <c r="FD55" s="49">
        <f t="shared" si="209"/>
        <v>3.6711165048543691E-3</v>
      </c>
      <c r="FE55" s="49">
        <f t="shared" si="209"/>
        <v>3.7812499999999999E-3</v>
      </c>
      <c r="FF55" s="49">
        <f t="shared" si="209"/>
        <v>3.6711165048543691E-3</v>
      </c>
      <c r="FG55" s="49">
        <f t="shared" si="210"/>
        <v>1</v>
      </c>
      <c r="FH55" s="60">
        <f>IFERROR(FH24/$B55,0)</f>
        <v>4.9870129870129877E-3</v>
      </c>
      <c r="FI55" s="60">
        <f>IFERROR(FI24/$B55,0)</f>
        <v>31.854545454545455</v>
      </c>
      <c r="FJ55" s="60">
        <f>IFERROR(FJ24/$B55,0)</f>
        <v>4.9862323635509838E-3</v>
      </c>
      <c r="FK55" s="71">
        <f>IFERROR(up_RadSpec!$F$24*FK24,".")*$B$55</f>
        <v>1.0026041666666666E-2</v>
      </c>
      <c r="FL55" s="71">
        <f>IFERROR(up_RadSpec!$K$24*FL24,".")*$B$55</f>
        <v>1.5696347031963471E-6</v>
      </c>
      <c r="FM55" s="49">
        <f t="shared" si="211"/>
        <v>9.9759484628785255E-3</v>
      </c>
      <c r="FN55" s="49">
        <f t="shared" si="211"/>
        <v>1.5696347031963471E-6</v>
      </c>
      <c r="FO55" s="49">
        <f t="shared" si="212"/>
        <v>9.9775024377671828E-3</v>
      </c>
    </row>
    <row r="56" spans="1:171" x14ac:dyDescent="0.25">
      <c r="A56" s="83" t="s">
        <v>1091</v>
      </c>
      <c r="B56" s="42">
        <v>0.99979000004200003</v>
      </c>
      <c r="C56" s="249"/>
      <c r="D56" s="60">
        <f t="shared" ref="D56:O56" si="249">IFERROR(D20/$B56,0)</f>
        <v>1.6532397422599096E-11</v>
      </c>
      <c r="E56" s="60">
        <f t="shared" si="249"/>
        <v>6.6129589690396382E-11</v>
      </c>
      <c r="F56" s="60">
        <f t="shared" si="249"/>
        <v>6.6129589690396382E-11</v>
      </c>
      <c r="G56" s="60">
        <f t="shared" si="249"/>
        <v>6.6129589690396382E-11</v>
      </c>
      <c r="H56" s="60">
        <f t="shared" si="249"/>
        <v>6.6129589690396382E-11</v>
      </c>
      <c r="I56" s="60">
        <f t="shared" si="249"/>
        <v>6.6129589690396382E-11</v>
      </c>
      <c r="J56" s="60">
        <f t="shared" si="249"/>
        <v>6.6129589690396382E-11</v>
      </c>
      <c r="K56" s="60">
        <f t="shared" si="249"/>
        <v>6.6129589690396382E-11</v>
      </c>
      <c r="L56" s="60">
        <f t="shared" si="249"/>
        <v>6.6129589690396382E-11</v>
      </c>
      <c r="M56" s="60">
        <f t="shared" si="249"/>
        <v>6.6129589690396382E-11</v>
      </c>
      <c r="N56" s="60">
        <f t="shared" si="249"/>
        <v>6.6129589690396382E-11</v>
      </c>
      <c r="O56" s="60">
        <f t="shared" si="249"/>
        <v>6.6129589690396382E-11</v>
      </c>
      <c r="P56" s="71">
        <f>up_dir!BC56</f>
        <v>3025635.3833034169</v>
      </c>
      <c r="Q56" s="71">
        <f>IFERROR(up_RadSpec!$H$20*Q20,".")*$B$56</f>
        <v>756091.18753176252</v>
      </c>
      <c r="R56" s="71">
        <f>IFERROR(up_RadSpec!$H$20*R20,".")*$B$56</f>
        <v>756091.18753176252</v>
      </c>
      <c r="S56" s="71">
        <f>IFERROR(up_RadSpec!$H$20*S20,".")*$B$56</f>
        <v>756091.18753176252</v>
      </c>
      <c r="T56" s="71">
        <f>IFERROR(up_RadSpec!$H$20*T20,".")*$B$56</f>
        <v>756091.18753176252</v>
      </c>
      <c r="U56" s="71">
        <f>IFERROR(up_RadSpec!$H$20*U20,".")*$B$56</f>
        <v>756091.18753176252</v>
      </c>
      <c r="V56" s="71">
        <f>IFERROR(up_RadSpec!$H$20*V20,".")*$B$56</f>
        <v>756091.18753176252</v>
      </c>
      <c r="W56" s="71">
        <f>IFERROR(up_RadSpec!$H$20*W20,".")*$B$56</f>
        <v>756091.18753176252</v>
      </c>
      <c r="X56" s="71">
        <f>IFERROR(up_RadSpec!$H$20*X20,".")*$B$56</f>
        <v>756091.18753176252</v>
      </c>
      <c r="Y56" s="71">
        <f>IFERROR(up_RadSpec!$H$20*Y20,".")*$B$56</f>
        <v>756091.18753176252</v>
      </c>
      <c r="Z56" s="71">
        <f>IFERROR(up_RadSpec!$H$20*Z20,".")*$B$56</f>
        <v>756091.18753176252</v>
      </c>
      <c r="AA56" s="71">
        <f>IFERROR(up_RadSpec!$H$20*AA20,".")*$B$56</f>
        <v>756091.18753176252</v>
      </c>
      <c r="AB56" s="49">
        <f t="shared" si="201"/>
        <v>1</v>
      </c>
      <c r="AC56" s="49">
        <f t="shared" si="201"/>
        <v>1</v>
      </c>
      <c r="AD56" s="49">
        <f t="shared" si="201"/>
        <v>1</v>
      </c>
      <c r="AE56" s="49">
        <f t="shared" si="201"/>
        <v>1</v>
      </c>
      <c r="AF56" s="49">
        <f t="shared" si="201"/>
        <v>1</v>
      </c>
      <c r="AG56" s="49">
        <f t="shared" si="201"/>
        <v>1</v>
      </c>
      <c r="AH56" s="49">
        <f t="shared" si="201"/>
        <v>1</v>
      </c>
      <c r="AI56" s="49">
        <f t="shared" si="201"/>
        <v>1</v>
      </c>
      <c r="AJ56" s="49">
        <f t="shared" si="201"/>
        <v>1</v>
      </c>
      <c r="AK56" s="49">
        <f t="shared" si="201"/>
        <v>1</v>
      </c>
      <c r="AL56" s="49">
        <f t="shared" si="201"/>
        <v>1</v>
      </c>
      <c r="AM56" s="49">
        <f t="shared" si="201"/>
        <v>1</v>
      </c>
      <c r="AN56" s="60">
        <f t="shared" ref="AN56:BB56" si="250">IFERROR(AN20/$B56,0)</f>
        <v>3.3064794845198194E-8</v>
      </c>
      <c r="AO56" s="60">
        <f t="shared" si="250"/>
        <v>3.0906408196366086E-4</v>
      </c>
      <c r="AP56" s="60">
        <f t="shared" si="250"/>
        <v>1.4977900176140338E-5</v>
      </c>
      <c r="AQ56" s="60">
        <f t="shared" si="250"/>
        <v>3.2975760292408697E-12</v>
      </c>
      <c r="AR56" s="60">
        <f t="shared" si="250"/>
        <v>6.6129589690396382E-11</v>
      </c>
      <c r="AS56" s="60">
        <f t="shared" si="250"/>
        <v>6.6129589690396382E-11</v>
      </c>
      <c r="AT56" s="60">
        <f t="shared" si="250"/>
        <v>1.8562691842918284E-14</v>
      </c>
      <c r="AU56" s="60">
        <f t="shared" si="250"/>
        <v>1.9119572598205833E-14</v>
      </c>
      <c r="AV56" s="60">
        <f t="shared" si="250"/>
        <v>1.8562691842918284E-14</v>
      </c>
      <c r="AW56" s="60">
        <f t="shared" si="250"/>
        <v>1.8562691842918284E-14</v>
      </c>
      <c r="AX56" s="60">
        <f t="shared" si="250"/>
        <v>1.8562691842918284E-14</v>
      </c>
      <c r="AY56" s="60">
        <f t="shared" si="250"/>
        <v>1.8562691842918284E-14</v>
      </c>
      <c r="AZ56" s="60">
        <f t="shared" si="250"/>
        <v>1.9119572598205833E-14</v>
      </c>
      <c r="BA56" s="60">
        <f t="shared" si="250"/>
        <v>1.8562691842918284E-14</v>
      </c>
      <c r="BB56" s="60">
        <f t="shared" si="250"/>
        <v>1.9119572598205833E-14</v>
      </c>
      <c r="BC56" s="42"/>
      <c r="BD56" s="42"/>
      <c r="BE56" s="42"/>
      <c r="BF56" s="42"/>
      <c r="BG56" s="42"/>
      <c r="BH56" s="42"/>
      <c r="BI56" s="42"/>
      <c r="BJ56" s="42"/>
      <c r="BK56" s="42"/>
      <c r="BL56" s="42"/>
      <c r="BM56" s="42"/>
      <c r="BN56" s="42"/>
      <c r="BO56" s="42"/>
      <c r="BP56" s="42"/>
      <c r="BQ56" s="42"/>
      <c r="BR56" s="60">
        <f t="shared" ref="BR56" si="251">IFERROR(BR20/$B56,0)</f>
        <v>2.081296339012188E-15</v>
      </c>
      <c r="BS56" s="71">
        <f>IFERROR(up_RadSpec!$E$20*BS20,".")*$B$56</f>
        <v>1512.1823750635251</v>
      </c>
      <c r="BT56" s="71">
        <f>IFERROR(up_RadSpec!$F$20*BT20,".")*$B$56</f>
        <v>0.16177874724983057</v>
      </c>
      <c r="BU56" s="71">
        <f>IFERROR(up_RadSpec!$G$20*BU20,".")*$B$56</f>
        <v>3.3382516515665901</v>
      </c>
      <c r="BV56" s="71">
        <f>up_b2s!CC56</f>
        <v>15169022.994191682</v>
      </c>
      <c r="BW56" s="71">
        <f>IFERROR(up_RadSpec!$H$20*BW20,".")*$B$56</f>
        <v>756091.18753176252</v>
      </c>
      <c r="BX56" s="71">
        <f>IFERROR(up_RadSpec!$H$20*BX20,".")*$B$56</f>
        <v>756091.18753176252</v>
      </c>
      <c r="BY56" s="71">
        <f>IFERROR(up_RadSpec!$H$20*BY20,".")*$B$56</f>
        <v>2693574855.5819039</v>
      </c>
      <c r="BZ56" s="71">
        <f>IFERROR(up_RadSpec!$H$20*BZ20,".")*$B$56</f>
        <v>2615121219.0115571</v>
      </c>
      <c r="CA56" s="71">
        <f>IFERROR(up_RadSpec!$H$20*CA20,".")*$B$56</f>
        <v>2693574855.5819039</v>
      </c>
      <c r="CB56" s="71">
        <f>IFERROR(up_RadSpec!$H$20*CB20,".")*$B$56</f>
        <v>2693574855.5819039</v>
      </c>
      <c r="CC56" s="71">
        <f>IFERROR(up_RadSpec!$H$20*CC20,".")*$B$56</f>
        <v>2693574855.5819039</v>
      </c>
      <c r="CD56" s="71">
        <f>IFERROR(up_RadSpec!$H$20*CD20,".")*$B$56</f>
        <v>2693574855.5819039</v>
      </c>
      <c r="CE56" s="71">
        <f>IFERROR(up_RadSpec!$H$20*CE20,".")*$B$56</f>
        <v>2615121219.0115571</v>
      </c>
      <c r="CF56" s="71">
        <f>IFERROR(up_RadSpec!$H$20*CF20,".")*$B$56</f>
        <v>2693574855.5819039</v>
      </c>
      <c r="CG56" s="71">
        <f>IFERROR(up_RadSpec!$H$20*CG20,".")*$B$56</f>
        <v>2615121219.0115571</v>
      </c>
      <c r="CH56" s="49">
        <f t="shared" si="204"/>
        <v>1</v>
      </c>
      <c r="CI56" s="49">
        <f t="shared" si="204"/>
        <v>0.14937061218713943</v>
      </c>
      <c r="CJ56" s="49">
        <f t="shared" si="204"/>
        <v>0.96450103193683789</v>
      </c>
      <c r="CK56" s="49">
        <f t="shared" si="204"/>
        <v>1</v>
      </c>
      <c r="CL56" s="49">
        <f t="shared" si="204"/>
        <v>1</v>
      </c>
      <c r="CM56" s="49">
        <f t="shared" si="204"/>
        <v>1</v>
      </c>
      <c r="CN56" s="49">
        <f t="shared" si="204"/>
        <v>1</v>
      </c>
      <c r="CO56" s="49">
        <f t="shared" si="204"/>
        <v>1</v>
      </c>
      <c r="CP56" s="49">
        <f t="shared" si="204"/>
        <v>1</v>
      </c>
      <c r="CQ56" s="49">
        <f t="shared" si="204"/>
        <v>1</v>
      </c>
      <c r="CR56" s="49">
        <f t="shared" si="204"/>
        <v>1</v>
      </c>
      <c r="CS56" s="49">
        <f t="shared" si="204"/>
        <v>1</v>
      </c>
      <c r="CT56" s="49">
        <f t="shared" si="204"/>
        <v>1</v>
      </c>
      <c r="CU56" s="49">
        <f t="shared" si="204"/>
        <v>1</v>
      </c>
      <c r="CV56" s="49">
        <f t="shared" si="204"/>
        <v>1</v>
      </c>
      <c r="CW56" s="49">
        <f t="shared" si="205"/>
        <v>1</v>
      </c>
      <c r="CX56" s="60">
        <f t="shared" ref="CX56" si="252">IFERROR(CX20/$B56,0)</f>
        <v>3.6371274329718016E-10</v>
      </c>
      <c r="CY56" s="60">
        <f>IFERROR(CY20,".")</f>
        <v>3.9187253504904385E-8</v>
      </c>
      <c r="CZ56" s="60">
        <f t="shared" ref="CZ56:DL56" si="253">IFERROR(CZ20/$B56,0)</f>
        <v>3.9826545391041227E-6</v>
      </c>
      <c r="DA56" s="60">
        <f t="shared" si="253"/>
        <v>1.6446866627339004E-11</v>
      </c>
      <c r="DB56" s="60">
        <f t="shared" si="253"/>
        <v>1.3225917938079278E-8</v>
      </c>
      <c r="DC56" s="60">
        <f t="shared" si="253"/>
        <v>1.3225917938079278E-8</v>
      </c>
      <c r="DD56" s="60">
        <f t="shared" si="253"/>
        <v>2.6451835876158556E-9</v>
      </c>
      <c r="DE56" s="60">
        <f t="shared" si="253"/>
        <v>2.7245390952443309E-9</v>
      </c>
      <c r="DF56" s="60">
        <f t="shared" si="253"/>
        <v>2.6451835876158556E-9</v>
      </c>
      <c r="DG56" s="60">
        <f t="shared" si="253"/>
        <v>2.6451835876158556E-9</v>
      </c>
      <c r="DH56" s="60">
        <f t="shared" si="253"/>
        <v>2.6451835876158556E-9</v>
      </c>
      <c r="DI56" s="60">
        <f t="shared" si="253"/>
        <v>2.6451835876158556E-9</v>
      </c>
      <c r="DJ56" s="60">
        <f t="shared" si="253"/>
        <v>2.7245390952443309E-9</v>
      </c>
      <c r="DK56" s="60">
        <f t="shared" si="253"/>
        <v>2.6451835876158556E-9</v>
      </c>
      <c r="DL56" s="60">
        <f t="shared" si="253"/>
        <v>2.7245390952443309E-9</v>
      </c>
      <c r="DM56" s="15"/>
      <c r="DN56" s="15"/>
      <c r="DO56" s="15"/>
      <c r="DP56" s="15"/>
      <c r="DQ56" s="15"/>
      <c r="DR56" s="15"/>
      <c r="DS56" s="15"/>
      <c r="DT56" s="15"/>
      <c r="DU56" s="15"/>
      <c r="DV56" s="15"/>
      <c r="DW56" s="15"/>
      <c r="DX56" s="15"/>
      <c r="DY56" s="15"/>
      <c r="DZ56" s="15"/>
      <c r="EA56" s="15"/>
      <c r="EB56" s="60">
        <f t="shared" ref="EB56" si="254">IFERROR(EB20/$B56,0)</f>
        <v>1.4903654459004038E-11</v>
      </c>
      <c r="EC56" s="71">
        <f>IFERROR(up_RadSpec!$I$20*EC20,".")*$B$56</f>
        <v>137471.12500577501</v>
      </c>
      <c r="ED56" s="71">
        <f>IFERROR(up_RadSpec!$F$20*ED20,".")</f>
        <v>1275.9250911458334</v>
      </c>
      <c r="EE56" s="71">
        <f>IFERROR(up_RadSpec!$M$20*EE20,".")*$B$56</f>
        <v>12.554440639796805</v>
      </c>
      <c r="EF56" s="71">
        <f>up_b2w!CC56</f>
        <v>3041369.991381946</v>
      </c>
      <c r="EG56" s="71">
        <f>IFERROR(up_RadSpec!$H$20*EG20,".")*$B$56</f>
        <v>3780.4559376588127</v>
      </c>
      <c r="EH56" s="71">
        <f>IFERROR(up_RadSpec!$H$20*EH20,".")*$B$56</f>
        <v>3780.4559376588127</v>
      </c>
      <c r="EI56" s="71">
        <f>IFERROR(up_RadSpec!$H$20*EI20,".")*$B$56</f>
        <v>18902.279688294064</v>
      </c>
      <c r="EJ56" s="71">
        <f>IFERROR(up_RadSpec!$H$20*EJ20,".")*$B$56</f>
        <v>18351.727852712684</v>
      </c>
      <c r="EK56" s="71">
        <f>IFERROR(up_RadSpec!$H$20*EK20,".")*$B$56</f>
        <v>18902.279688294064</v>
      </c>
      <c r="EL56" s="71">
        <f>IFERROR(up_RadSpec!$H$20*EL20,".")*$B$56</f>
        <v>18902.279688294064</v>
      </c>
      <c r="EM56" s="71">
        <f>IFERROR(up_RadSpec!$H$20*EM20,".")*$B$56</f>
        <v>18902.279688294064</v>
      </c>
      <c r="EN56" s="71">
        <f>IFERROR(up_RadSpec!$H$20*EN20,".")*$B$56</f>
        <v>18902.279688294064</v>
      </c>
      <c r="EO56" s="71">
        <f>IFERROR(up_RadSpec!$H$20*EO20,".")*$B$56</f>
        <v>18351.727852712684</v>
      </c>
      <c r="EP56" s="71">
        <f>IFERROR(up_RadSpec!$H$20*EP20,".")*$B$56</f>
        <v>18902.279688294064</v>
      </c>
      <c r="EQ56" s="71">
        <f>IFERROR(up_RadSpec!$H$20*EQ20,".")*$B$56</f>
        <v>18351.727852712684</v>
      </c>
      <c r="ER56" s="49">
        <f t="shared" si="209"/>
        <v>1</v>
      </c>
      <c r="ES56" s="49">
        <f t="shared" si="209"/>
        <v>1</v>
      </c>
      <c r="ET56" s="49">
        <f t="shared" si="209"/>
        <v>0.99999647080458165</v>
      </c>
      <c r="EU56" s="49">
        <f t="shared" si="209"/>
        <v>1</v>
      </c>
      <c r="EV56" s="49">
        <f t="shared" si="209"/>
        <v>1</v>
      </c>
      <c r="EW56" s="49">
        <f t="shared" si="209"/>
        <v>1</v>
      </c>
      <c r="EX56" s="49">
        <f t="shared" si="209"/>
        <v>1</v>
      </c>
      <c r="EY56" s="49">
        <f t="shared" si="209"/>
        <v>1</v>
      </c>
      <c r="EZ56" s="49">
        <f t="shared" si="209"/>
        <v>1</v>
      </c>
      <c r="FA56" s="49">
        <f t="shared" si="209"/>
        <v>1</v>
      </c>
      <c r="FB56" s="49">
        <f t="shared" si="209"/>
        <v>1</v>
      </c>
      <c r="FC56" s="49">
        <f t="shared" si="209"/>
        <v>1</v>
      </c>
      <c r="FD56" s="49">
        <f t="shared" si="209"/>
        <v>1</v>
      </c>
      <c r="FE56" s="49">
        <f t="shared" si="209"/>
        <v>1</v>
      </c>
      <c r="FF56" s="49">
        <f t="shared" si="209"/>
        <v>1</v>
      </c>
      <c r="FG56" s="49">
        <f t="shared" si="210"/>
        <v>1</v>
      </c>
      <c r="FH56" s="60">
        <f>IFERROR(FH20/$B56,0)</f>
        <v>9.9761209590083707E-10</v>
      </c>
      <c r="FI56" s="60">
        <f>IFERROR(FI20/$B56,0)</f>
        <v>6.372247262566595E-6</v>
      </c>
      <c r="FJ56" s="60">
        <f>IFERROR(FJ20/$B56,0)</f>
        <v>9.9745593841537082E-10</v>
      </c>
      <c r="FK56" s="71">
        <f>IFERROR(up_RadSpec!$F$20*FK20,".")*$B$56</f>
        <v>50119.680991688801</v>
      </c>
      <c r="FL56" s="71">
        <f>IFERROR(up_RadSpec!$K$20*FL20,".")*$B$56</f>
        <v>7.8465253998730029</v>
      </c>
      <c r="FM56" s="49">
        <f t="shared" si="211"/>
        <v>1</v>
      </c>
      <c r="FN56" s="49">
        <f t="shared" si="211"/>
        <v>0.99960889144407383</v>
      </c>
      <c r="FO56" s="49">
        <f t="shared" si="212"/>
        <v>1</v>
      </c>
    </row>
    <row r="57" spans="1:171" x14ac:dyDescent="0.25">
      <c r="A57" s="83" t="s">
        <v>1092</v>
      </c>
      <c r="B57" s="42">
        <v>2.0999995799999999E-4</v>
      </c>
      <c r="C57" s="249"/>
      <c r="D57" s="60">
        <f t="shared" ref="D57:O57" si="255">IFERROR(D29/$B57,0)</f>
        <v>7.8709185360097611E-8</v>
      </c>
      <c r="E57" s="60">
        <f t="shared" si="255"/>
        <v>3.1483674144039044E-7</v>
      </c>
      <c r="F57" s="60">
        <f t="shared" si="255"/>
        <v>3.1483674144039044E-7</v>
      </c>
      <c r="G57" s="60">
        <f t="shared" si="255"/>
        <v>3.1483674144039044E-7</v>
      </c>
      <c r="H57" s="60">
        <f t="shared" si="255"/>
        <v>3.1483674144039044E-7</v>
      </c>
      <c r="I57" s="60">
        <f t="shared" si="255"/>
        <v>3.1483674144039044E-7</v>
      </c>
      <c r="J57" s="60">
        <f t="shared" si="255"/>
        <v>3.1483674144039044E-7</v>
      </c>
      <c r="K57" s="60">
        <f t="shared" si="255"/>
        <v>3.1483674144039044E-7</v>
      </c>
      <c r="L57" s="60">
        <f t="shared" si="255"/>
        <v>3.1483674144039044E-7</v>
      </c>
      <c r="M57" s="60">
        <f t="shared" si="255"/>
        <v>3.1483674144039044E-7</v>
      </c>
      <c r="N57" s="60">
        <f t="shared" si="255"/>
        <v>3.1483674144039044E-7</v>
      </c>
      <c r="O57" s="60">
        <f t="shared" si="255"/>
        <v>3.1483674144039044E-7</v>
      </c>
      <c r="P57" s="71">
        <f>up_dir!BC57</f>
        <v>14404764785.714863</v>
      </c>
      <c r="Q57" s="71">
        <f>IFERROR(up_RadSpec!$H$29*Q29,".")*$B$57</f>
        <v>158.81246823749998</v>
      </c>
      <c r="R57" s="71">
        <f>IFERROR(up_RadSpec!$H$29*R29,".")*$B$57</f>
        <v>158.81246823749998</v>
      </c>
      <c r="S57" s="71">
        <f>IFERROR(up_RadSpec!$H$29*S29,".")*$B$57</f>
        <v>158.81246823749998</v>
      </c>
      <c r="T57" s="71">
        <f>IFERROR(up_RadSpec!$H$29*T29,".")*$B$57</f>
        <v>158.81246823749998</v>
      </c>
      <c r="U57" s="71">
        <f>IFERROR(up_RadSpec!$H$29*U29,".")*$B$57</f>
        <v>158.81246823749998</v>
      </c>
      <c r="V57" s="71">
        <f>IFERROR(up_RadSpec!$H$29*V29,".")*$B$57</f>
        <v>158.81246823749998</v>
      </c>
      <c r="W57" s="71">
        <f>IFERROR(up_RadSpec!$H$29*W29,".")*$B$57</f>
        <v>158.81246823749998</v>
      </c>
      <c r="X57" s="71">
        <f>IFERROR(up_RadSpec!$H$29*X29,".")*$B$57</f>
        <v>158.81246823749998</v>
      </c>
      <c r="Y57" s="71">
        <f>IFERROR(up_RadSpec!$H$29*Y29,".")*$B$57</f>
        <v>158.81246823749998</v>
      </c>
      <c r="Z57" s="71">
        <f>IFERROR(up_RadSpec!$H$29*Z29,".")*$B$57</f>
        <v>158.81246823749998</v>
      </c>
      <c r="AA57" s="71">
        <f>IFERROR(up_RadSpec!$H$29*AA29,".")*$B$57</f>
        <v>158.81246823749998</v>
      </c>
      <c r="AB57" s="49">
        <f t="shared" si="201"/>
        <v>1</v>
      </c>
      <c r="AC57" s="49">
        <f t="shared" si="201"/>
        <v>1</v>
      </c>
      <c r="AD57" s="49">
        <f t="shared" si="201"/>
        <v>1</v>
      </c>
      <c r="AE57" s="49">
        <f t="shared" si="201"/>
        <v>1</v>
      </c>
      <c r="AF57" s="49">
        <f t="shared" si="201"/>
        <v>1</v>
      </c>
      <c r="AG57" s="49">
        <f t="shared" si="201"/>
        <v>1</v>
      </c>
      <c r="AH57" s="49">
        <f t="shared" si="201"/>
        <v>1</v>
      </c>
      <c r="AI57" s="49">
        <f t="shared" si="201"/>
        <v>1</v>
      </c>
      <c r="AJ57" s="49">
        <f t="shared" si="201"/>
        <v>1</v>
      </c>
      <c r="AK57" s="49">
        <f t="shared" si="201"/>
        <v>1</v>
      </c>
      <c r="AL57" s="49">
        <f t="shared" si="201"/>
        <v>1</v>
      </c>
      <c r="AM57" s="49">
        <f t="shared" si="201"/>
        <v>1</v>
      </c>
      <c r="AN57" s="60">
        <f t="shared" ref="AN57:BB57" si="256">IFERROR(AN29/$B57,0)</f>
        <v>1.574183707201952E-4</v>
      </c>
      <c r="AO57" s="60">
        <f t="shared" si="256"/>
        <v>1.4714249539013202</v>
      </c>
      <c r="AP57" s="60">
        <f t="shared" si="256"/>
        <v>5.6123305052872913E-2</v>
      </c>
      <c r="AQ57" s="60">
        <f t="shared" si="256"/>
        <v>1.569944856090508E-8</v>
      </c>
      <c r="AR57" s="60">
        <f t="shared" si="256"/>
        <v>3.1483674144039044E-7</v>
      </c>
      <c r="AS57" s="60">
        <f t="shared" si="256"/>
        <v>3.1483674144039044E-7</v>
      </c>
      <c r="AT57" s="60">
        <f t="shared" si="256"/>
        <v>8.8375225667478014E-11</v>
      </c>
      <c r="AU57" s="60">
        <f t="shared" si="256"/>
        <v>9.1026482437502359E-11</v>
      </c>
      <c r="AV57" s="60">
        <f t="shared" si="256"/>
        <v>8.8375225667478014E-11</v>
      </c>
      <c r="AW57" s="60">
        <f t="shared" si="256"/>
        <v>8.8375225667478014E-11</v>
      </c>
      <c r="AX57" s="60">
        <f t="shared" si="256"/>
        <v>8.8375225667478014E-11</v>
      </c>
      <c r="AY57" s="60">
        <f t="shared" si="256"/>
        <v>8.8375225667478014E-11</v>
      </c>
      <c r="AZ57" s="60">
        <f t="shared" si="256"/>
        <v>9.1026482437502359E-11</v>
      </c>
      <c r="BA57" s="60">
        <f t="shared" si="256"/>
        <v>8.8375225667478014E-11</v>
      </c>
      <c r="BB57" s="60">
        <f t="shared" si="256"/>
        <v>9.1026482437502359E-11</v>
      </c>
      <c r="BC57" s="42"/>
      <c r="BD57" s="42"/>
      <c r="BE57" s="42"/>
      <c r="BF57" s="42"/>
      <c r="BG57" s="42"/>
      <c r="BH57" s="42"/>
      <c r="BI57" s="42"/>
      <c r="BJ57" s="42"/>
      <c r="BK57" s="42"/>
      <c r="BL57" s="42"/>
      <c r="BM57" s="42"/>
      <c r="BN57" s="42"/>
      <c r="BO57" s="42"/>
      <c r="BP57" s="42"/>
      <c r="BQ57" s="42"/>
      <c r="BR57" s="60">
        <f t="shared" ref="BR57" si="257">IFERROR(BR29/$B57,0)</f>
        <v>9.9088556331529124E-12</v>
      </c>
      <c r="BS57" s="71">
        <f>IFERROR(up_RadSpec!$E$29*BS29,".")*$B$57</f>
        <v>0.31762493647499995</v>
      </c>
      <c r="BT57" s="71">
        <f>IFERROR(up_RadSpec!$F$29*BT29,".")*$B$57</f>
        <v>3.3980666066203748E-5</v>
      </c>
      <c r="BU57" s="71">
        <f>IFERROR(up_RadSpec!$G$29*BU29,".")*$B$57</f>
        <v>8.9089550148366639E-4</v>
      </c>
      <c r="BV57" s="71">
        <f>up_b2s!CC57</f>
        <v>72218288253.181473</v>
      </c>
      <c r="BW57" s="71">
        <f>IFERROR(up_RadSpec!$H$29*BW29,".")*$B$57</f>
        <v>158.81246823749998</v>
      </c>
      <c r="BX57" s="71">
        <f>IFERROR(up_RadSpec!$H$29*BX29,".")*$B$57</f>
        <v>158.81246823749998</v>
      </c>
      <c r="BY57" s="71">
        <f>IFERROR(up_RadSpec!$H$29*BY29,".")*$B$57</f>
        <v>565769.41809609369</v>
      </c>
      <c r="BZ57" s="71">
        <f>IFERROR(up_RadSpec!$H$29*BZ29,".")*$B$57</f>
        <v>549290.69718067348</v>
      </c>
      <c r="CA57" s="71">
        <f>IFERROR(up_RadSpec!$H$29*CA29,".")*$B$57</f>
        <v>565769.41809609369</v>
      </c>
      <c r="CB57" s="71">
        <f>IFERROR(up_RadSpec!$H$29*CB29,".")*$B$57</f>
        <v>565769.41809609369</v>
      </c>
      <c r="CC57" s="71">
        <f>IFERROR(up_RadSpec!$H$29*CC29,".")*$B$57</f>
        <v>565769.41809609369</v>
      </c>
      <c r="CD57" s="71">
        <f>IFERROR(up_RadSpec!$H$29*CD29,".")*$B$57</f>
        <v>565769.41809609369</v>
      </c>
      <c r="CE57" s="71">
        <f>IFERROR(up_RadSpec!$H$29*CE29,".")*$B$57</f>
        <v>549290.69718067348</v>
      </c>
      <c r="CF57" s="71">
        <f>IFERROR(up_RadSpec!$H$29*CF29,".")*$B$57</f>
        <v>565769.41809609369</v>
      </c>
      <c r="CG57" s="71">
        <f>IFERROR(up_RadSpec!$H$29*CG29,".")*$B$57</f>
        <v>549290.69718067348</v>
      </c>
      <c r="CH57" s="49">
        <f t="shared" si="204"/>
        <v>0.27212426313547766</v>
      </c>
      <c r="CI57" s="49">
        <f t="shared" si="204"/>
        <v>3.3980666066203748E-5</v>
      </c>
      <c r="CJ57" s="49">
        <f t="shared" si="204"/>
        <v>8.9089550148366639E-4</v>
      </c>
      <c r="CK57" s="49">
        <f t="shared" si="204"/>
        <v>1</v>
      </c>
      <c r="CL57" s="49">
        <f t="shared" si="204"/>
        <v>1</v>
      </c>
      <c r="CM57" s="49">
        <f t="shared" si="204"/>
        <v>1</v>
      </c>
      <c r="CN57" s="49">
        <f t="shared" si="204"/>
        <v>1</v>
      </c>
      <c r="CO57" s="49">
        <f t="shared" si="204"/>
        <v>1</v>
      </c>
      <c r="CP57" s="49">
        <f t="shared" si="204"/>
        <v>1</v>
      </c>
      <c r="CQ57" s="49">
        <f t="shared" si="204"/>
        <v>1</v>
      </c>
      <c r="CR57" s="49">
        <f t="shared" si="204"/>
        <v>1</v>
      </c>
      <c r="CS57" s="49">
        <f t="shared" si="204"/>
        <v>1</v>
      </c>
      <c r="CT57" s="49">
        <f t="shared" si="204"/>
        <v>1</v>
      </c>
      <c r="CU57" s="49">
        <f t="shared" si="204"/>
        <v>1</v>
      </c>
      <c r="CV57" s="49">
        <f t="shared" si="204"/>
        <v>1</v>
      </c>
      <c r="CW57" s="49">
        <f t="shared" si="205"/>
        <v>1</v>
      </c>
      <c r="CX57" s="60">
        <f t="shared" ref="CX57" si="258">IFERROR(CX29/$B57,0)</f>
        <v>1.7316020779221475E-6</v>
      </c>
      <c r="CY57" s="60">
        <f>IFERROR(CY29,".")</f>
        <v>2.1577148215468E-4</v>
      </c>
      <c r="CZ57" s="60">
        <f t="shared" ref="CZ57:DL57" si="259">IFERROR(CZ29/$B57,0)</f>
        <v>1.8961042753247517E-2</v>
      </c>
      <c r="DA57" s="60">
        <f t="shared" si="259"/>
        <v>7.8301981308196411E-8</v>
      </c>
      <c r="DB57" s="60">
        <f t="shared" si="259"/>
        <v>6.2967348288078088E-5</v>
      </c>
      <c r="DC57" s="60">
        <f t="shared" si="259"/>
        <v>6.2967348288078088E-5</v>
      </c>
      <c r="DD57" s="60">
        <f t="shared" si="259"/>
        <v>1.2593469657615617E-5</v>
      </c>
      <c r="DE57" s="60">
        <f t="shared" si="259"/>
        <v>1.2971273747344086E-5</v>
      </c>
      <c r="DF57" s="60">
        <f t="shared" si="259"/>
        <v>1.2593469657615617E-5</v>
      </c>
      <c r="DG57" s="60">
        <f t="shared" si="259"/>
        <v>1.2593469657615617E-5</v>
      </c>
      <c r="DH57" s="60">
        <f t="shared" si="259"/>
        <v>1.2593469657615617E-5</v>
      </c>
      <c r="DI57" s="60">
        <f t="shared" si="259"/>
        <v>1.2593469657615617E-5</v>
      </c>
      <c r="DJ57" s="60">
        <f t="shared" si="259"/>
        <v>1.2971273747344086E-5</v>
      </c>
      <c r="DK57" s="60">
        <f t="shared" si="259"/>
        <v>1.2593469657615617E-5</v>
      </c>
      <c r="DL57" s="60">
        <f t="shared" si="259"/>
        <v>1.2971273747344086E-5</v>
      </c>
      <c r="DM57" s="15"/>
      <c r="DN57" s="15"/>
      <c r="DO57" s="15"/>
      <c r="DP57" s="15"/>
      <c r="DQ57" s="15"/>
      <c r="DR57" s="15"/>
      <c r="DS57" s="15"/>
      <c r="DT57" s="15"/>
      <c r="DU57" s="15"/>
      <c r="DV57" s="15"/>
      <c r="DW57" s="15"/>
      <c r="DX57" s="15"/>
      <c r="DY57" s="15"/>
      <c r="DZ57" s="15"/>
      <c r="EA57" s="15"/>
      <c r="EB57" s="60">
        <f t="shared" ref="EB57" si="260">IFERROR(EB29/$B57,0)</f>
        <v>7.0981878859178739E-8</v>
      </c>
      <c r="EC57" s="71">
        <f>IFERROR(up_RadSpec!$I$29*EC29,".")*$B$57</f>
        <v>28.874994224999998</v>
      </c>
      <c r="ED57" s="71">
        <f>IFERROR(up_RadSpec!$F$29*ED29,".")</f>
        <v>0.23172663736979165</v>
      </c>
      <c r="EE57" s="71">
        <f>IFERROR(up_RadSpec!$M$29*EE29,".")*$B$57</f>
        <v>2.6369857739726027E-3</v>
      </c>
      <c r="EF57" s="71">
        <f>up_b2w!CC57</f>
        <v>14479675771.227982</v>
      </c>
      <c r="EG57" s="71">
        <f>IFERROR(up_RadSpec!$H$29*EG29,".")*$B$57</f>
        <v>0.79406234118749996</v>
      </c>
      <c r="EH57" s="71">
        <f>IFERROR(up_RadSpec!$H$29*EH29,".")*$B$57</f>
        <v>0.79406234118749996</v>
      </c>
      <c r="EI57" s="71">
        <f>IFERROR(up_RadSpec!$H$29*EI29,".")*$B$57</f>
        <v>3.9703117059374997</v>
      </c>
      <c r="EJ57" s="71">
        <f>IFERROR(up_RadSpec!$H$29*EJ29,".")*$B$57</f>
        <v>3.8546715591626213</v>
      </c>
      <c r="EK57" s="71">
        <f>IFERROR(up_RadSpec!$H$29*EK29,".")*$B$57</f>
        <v>3.9703117059374997</v>
      </c>
      <c r="EL57" s="71">
        <f>IFERROR(up_RadSpec!$H$29*EL29,".")*$B$57</f>
        <v>3.9703117059374997</v>
      </c>
      <c r="EM57" s="71">
        <f>IFERROR(up_RadSpec!$H$29*EM29,".")*$B$57</f>
        <v>3.9703117059374997</v>
      </c>
      <c r="EN57" s="71">
        <f>IFERROR(up_RadSpec!$H$29*EN29,".")*$B$57</f>
        <v>3.9703117059374997</v>
      </c>
      <c r="EO57" s="71">
        <f>IFERROR(up_RadSpec!$H$29*EO29,".")*$B$57</f>
        <v>3.8546715591626213</v>
      </c>
      <c r="EP57" s="71">
        <f>IFERROR(up_RadSpec!$H$29*EP29,".")*$B$57</f>
        <v>3.9703117059374997</v>
      </c>
      <c r="EQ57" s="71">
        <f>IFERROR(up_RadSpec!$H$29*EQ29,".")*$B$57</f>
        <v>3.8546715591626213</v>
      </c>
      <c r="ER57" s="49">
        <f t="shared" si="209"/>
        <v>0.99999999999971179</v>
      </c>
      <c r="ES57" s="49">
        <f t="shared" si="209"/>
        <v>0.20683708522544275</v>
      </c>
      <c r="ET57" s="49">
        <f t="shared" si="209"/>
        <v>2.6369857739726027E-3</v>
      </c>
      <c r="EU57" s="49">
        <f t="shared" si="209"/>
        <v>1</v>
      </c>
      <c r="EV57" s="49">
        <f t="shared" si="209"/>
        <v>0.54799513737483663</v>
      </c>
      <c r="EW57" s="49">
        <f t="shared" si="209"/>
        <v>0.54799513737483663</v>
      </c>
      <c r="EX57" s="49">
        <f t="shared" si="209"/>
        <v>0.98113244890923601</v>
      </c>
      <c r="EY57" s="49">
        <f t="shared" si="209"/>
        <v>0.97881944127172282</v>
      </c>
      <c r="EZ57" s="49">
        <f t="shared" si="209"/>
        <v>0.98113244890923601</v>
      </c>
      <c r="FA57" s="49">
        <f t="shared" si="209"/>
        <v>0.98113244890923601</v>
      </c>
      <c r="FB57" s="49">
        <f t="shared" si="209"/>
        <v>0.98113244890923601</v>
      </c>
      <c r="FC57" s="49">
        <f t="shared" si="209"/>
        <v>0.98113244890923601</v>
      </c>
      <c r="FD57" s="49">
        <f t="shared" si="209"/>
        <v>0.97881944127172282</v>
      </c>
      <c r="FE57" s="49">
        <f t="shared" si="209"/>
        <v>0.98113244890923601</v>
      </c>
      <c r="FF57" s="49">
        <f t="shared" si="209"/>
        <v>0.97881944127172282</v>
      </c>
      <c r="FG57" s="49">
        <f t="shared" si="210"/>
        <v>1</v>
      </c>
      <c r="FH57" s="60">
        <f>IFERROR(FH29/$B57,0)</f>
        <v>4.7495371280150332E-6</v>
      </c>
      <c r="FI57" s="60">
        <f>IFERROR(FI29/$B57,0)</f>
        <v>3.0337668405196021E-2</v>
      </c>
      <c r="FJ57" s="60">
        <f>IFERROR(FJ29/$B57,0)</f>
        <v>4.7487936769501487E-6</v>
      </c>
      <c r="FK57" s="71">
        <f>IFERROR(up_RadSpec!$F$29*FK29,".")*$B$57</f>
        <v>10.527341644531248</v>
      </c>
      <c r="FL57" s="71">
        <f>IFERROR(up_RadSpec!$K$29*FL29,".")*$B$57</f>
        <v>1.6481161087328767E-3</v>
      </c>
      <c r="FM57" s="49">
        <f t="shared" si="211"/>
        <v>0.99997320624297814</v>
      </c>
      <c r="FN57" s="49">
        <f t="shared" si="211"/>
        <v>1.6481161087328767E-3</v>
      </c>
      <c r="FO57" s="49">
        <f t="shared" si="212"/>
        <v>0.99997325036583096</v>
      </c>
    </row>
    <row r="58" spans="1:171" x14ac:dyDescent="0.25">
      <c r="A58" s="83" t="s">
        <v>1093</v>
      </c>
      <c r="B58" s="42">
        <v>1</v>
      </c>
      <c r="C58" s="249"/>
      <c r="D58" s="60">
        <f t="shared" ref="D58:O58" si="261">IFERROR(D16/$B58,0)</f>
        <v>1.6528925619834712E-11</v>
      </c>
      <c r="E58" s="60">
        <f t="shared" si="261"/>
        <v>6.6115702479338848E-11</v>
      </c>
      <c r="F58" s="60">
        <f t="shared" si="261"/>
        <v>6.6115702479338848E-11</v>
      </c>
      <c r="G58" s="60">
        <f t="shared" si="261"/>
        <v>6.6115702479338848E-11</v>
      </c>
      <c r="H58" s="60">
        <f t="shared" si="261"/>
        <v>6.6115702479338848E-11</v>
      </c>
      <c r="I58" s="60">
        <f t="shared" si="261"/>
        <v>6.6115702479338848E-11</v>
      </c>
      <c r="J58" s="60">
        <f t="shared" si="261"/>
        <v>6.6115702479338848E-11</v>
      </c>
      <c r="K58" s="60">
        <f t="shared" si="261"/>
        <v>6.6115702479338848E-11</v>
      </c>
      <c r="L58" s="60">
        <f t="shared" si="261"/>
        <v>6.6115702479338848E-11</v>
      </c>
      <c r="M58" s="60">
        <f t="shared" si="261"/>
        <v>6.6115702479338848E-11</v>
      </c>
      <c r="N58" s="60">
        <f t="shared" si="261"/>
        <v>6.6115702479338848E-11</v>
      </c>
      <c r="O58" s="60">
        <f t="shared" si="261"/>
        <v>6.6115702479338848E-11</v>
      </c>
      <c r="P58" s="71">
        <f>up_dir!BC58</f>
        <v>3025000</v>
      </c>
      <c r="Q58" s="71">
        <f>IFERROR(up_RadSpec!$H$16*Q16,".")*$B$58</f>
        <v>756250</v>
      </c>
      <c r="R58" s="71">
        <f>IFERROR(up_RadSpec!$H$16*R16,".")*$B$58</f>
        <v>756250</v>
      </c>
      <c r="S58" s="71">
        <f>IFERROR(up_RadSpec!$H$16*S16,".")*$B$58</f>
        <v>756250</v>
      </c>
      <c r="T58" s="71">
        <f>IFERROR(up_RadSpec!$H$16*T16,".")*$B$58</f>
        <v>756250</v>
      </c>
      <c r="U58" s="71">
        <f>IFERROR(up_RadSpec!$H$16*U16,".")*$B$58</f>
        <v>756250</v>
      </c>
      <c r="V58" s="71">
        <f>IFERROR(up_RadSpec!$H$16*V16,".")*$B$58</f>
        <v>756250</v>
      </c>
      <c r="W58" s="71">
        <f>IFERROR(up_RadSpec!$H$16*W16,".")*$B$58</f>
        <v>756250</v>
      </c>
      <c r="X58" s="71">
        <f>IFERROR(up_RadSpec!$H$16*X16,".")*$B$58</f>
        <v>756250</v>
      </c>
      <c r="Y58" s="71">
        <f>IFERROR(up_RadSpec!$H$16*Y16,".")*$B$58</f>
        <v>756250</v>
      </c>
      <c r="Z58" s="71">
        <f>IFERROR(up_RadSpec!$H$16*Z16,".")*$B$58</f>
        <v>756250</v>
      </c>
      <c r="AA58" s="71">
        <f>IFERROR(up_RadSpec!$H$16*AA16,".")*$B$58</f>
        <v>756250</v>
      </c>
      <c r="AB58" s="49">
        <f t="shared" si="201"/>
        <v>1</v>
      </c>
      <c r="AC58" s="49">
        <f t="shared" si="201"/>
        <v>1</v>
      </c>
      <c r="AD58" s="49">
        <f t="shared" si="201"/>
        <v>1</v>
      </c>
      <c r="AE58" s="49">
        <f t="shared" si="201"/>
        <v>1</v>
      </c>
      <c r="AF58" s="49">
        <f t="shared" si="201"/>
        <v>1</v>
      </c>
      <c r="AG58" s="49">
        <f t="shared" si="201"/>
        <v>1</v>
      </c>
      <c r="AH58" s="49">
        <f t="shared" si="201"/>
        <v>1</v>
      </c>
      <c r="AI58" s="49">
        <f t="shared" si="201"/>
        <v>1</v>
      </c>
      <c r="AJ58" s="49">
        <f t="shared" si="201"/>
        <v>1</v>
      </c>
      <c r="AK58" s="49">
        <f t="shared" si="201"/>
        <v>1</v>
      </c>
      <c r="AL58" s="49">
        <f t="shared" si="201"/>
        <v>1</v>
      </c>
      <c r="AM58" s="49">
        <f t="shared" si="201"/>
        <v>1</v>
      </c>
      <c r="AN58" s="60">
        <f t="shared" ref="AN58:BB58" si="262">IFERROR(AN16/$B58,0)</f>
        <v>3.3057851239669421E-8</v>
      </c>
      <c r="AO58" s="60">
        <f t="shared" si="262"/>
        <v>3.0899917851942918E-4</v>
      </c>
      <c r="AP58" s="60">
        <f t="shared" si="262"/>
        <v>0.31872758459379402</v>
      </c>
      <c r="AQ58" s="60">
        <f t="shared" si="262"/>
        <v>3.2968835384132272E-12</v>
      </c>
      <c r="AR58" s="60">
        <f t="shared" si="262"/>
        <v>6.6115702479338848E-11</v>
      </c>
      <c r="AS58" s="60">
        <f t="shared" si="262"/>
        <v>6.6115702479338848E-11</v>
      </c>
      <c r="AT58" s="60">
        <f t="shared" si="262"/>
        <v>1.8558793678410904E-14</v>
      </c>
      <c r="AU58" s="60">
        <f t="shared" si="262"/>
        <v>1.9115557488763232E-14</v>
      </c>
      <c r="AV58" s="60">
        <f t="shared" si="262"/>
        <v>1.8558793678410904E-14</v>
      </c>
      <c r="AW58" s="60">
        <f t="shared" si="262"/>
        <v>1.8558793678410904E-14</v>
      </c>
      <c r="AX58" s="60">
        <f t="shared" si="262"/>
        <v>1.8558793678410904E-14</v>
      </c>
      <c r="AY58" s="60">
        <f t="shared" si="262"/>
        <v>1.8558793678410904E-14</v>
      </c>
      <c r="AZ58" s="60">
        <f t="shared" si="262"/>
        <v>1.9115557488763232E-14</v>
      </c>
      <c r="BA58" s="60">
        <f t="shared" si="262"/>
        <v>1.8558793678410904E-14</v>
      </c>
      <c r="BB58" s="60">
        <f t="shared" si="262"/>
        <v>1.9115557488763232E-14</v>
      </c>
      <c r="BC58" s="42"/>
      <c r="BD58" s="42"/>
      <c r="BE58" s="42"/>
      <c r="BF58" s="42"/>
      <c r="BG58" s="42"/>
      <c r="BH58" s="42"/>
      <c r="BI58" s="42"/>
      <c r="BJ58" s="42"/>
      <c r="BK58" s="42"/>
      <c r="BL58" s="42"/>
      <c r="BM58" s="42"/>
      <c r="BN58" s="42"/>
      <c r="BO58" s="42"/>
      <c r="BP58" s="42"/>
      <c r="BQ58" s="42"/>
      <c r="BR58" s="60">
        <f t="shared" ref="BR58" si="263">IFERROR(BR16/$B58,0)</f>
        <v>2.0808592671575478E-15</v>
      </c>
      <c r="BS58" s="71">
        <f>IFERROR(up_RadSpec!$E$16*BS16,".")*$B$58</f>
        <v>1512.5</v>
      </c>
      <c r="BT58" s="71">
        <f>IFERROR(up_RadSpec!$F$16*BT16,".")*$B$58</f>
        <v>0.16181272791589676</v>
      </c>
      <c r="BU58" s="71">
        <f>IFERROR(up_RadSpec!$G$16*BU16,".")*$B$58</f>
        <v>1.568737769080234E-4</v>
      </c>
      <c r="BV58" s="71">
        <f>up_b2s!CC58</f>
        <v>15165837.5</v>
      </c>
      <c r="BW58" s="71">
        <f>IFERROR(up_RadSpec!$H$16*BW16,".")*$B$58</f>
        <v>756250</v>
      </c>
      <c r="BX58" s="71">
        <f>IFERROR(up_RadSpec!$H$16*BX16,".")*$B$58</f>
        <v>756250</v>
      </c>
      <c r="BY58" s="71">
        <f>IFERROR(up_RadSpec!$H$16*BY16,".")*$B$58</f>
        <v>2694140625</v>
      </c>
      <c r="BZ58" s="71">
        <f>IFERROR(up_RadSpec!$H$16*BZ16,".")*$B$58</f>
        <v>2615670509.7087379</v>
      </c>
      <c r="CA58" s="71">
        <f>IFERROR(up_RadSpec!$H$16*CA16,".")*$B$58</f>
        <v>2694140625</v>
      </c>
      <c r="CB58" s="71">
        <f>IFERROR(up_RadSpec!$H$16*CB16,".")*$B$58</f>
        <v>2694140625</v>
      </c>
      <c r="CC58" s="71">
        <f>IFERROR(up_RadSpec!$H$16*CC16,".")*$B$58</f>
        <v>2694140625</v>
      </c>
      <c r="CD58" s="71">
        <f>IFERROR(up_RadSpec!$H$16*CD16,".")*$B$58</f>
        <v>2694140625</v>
      </c>
      <c r="CE58" s="71">
        <f>IFERROR(up_RadSpec!$H$16*CE16,".")*$B$58</f>
        <v>2615670509.7087379</v>
      </c>
      <c r="CF58" s="71">
        <f>IFERROR(up_RadSpec!$H$16*CF16,".")*$B$58</f>
        <v>2694140625</v>
      </c>
      <c r="CG58" s="71">
        <f>IFERROR(up_RadSpec!$H$16*CG16,".")*$B$58</f>
        <v>2615670509.7087379</v>
      </c>
      <c r="CH58" s="49">
        <f t="shared" si="204"/>
        <v>1</v>
      </c>
      <c r="CI58" s="49">
        <f t="shared" si="204"/>
        <v>0.14939951664921358</v>
      </c>
      <c r="CJ58" s="49">
        <f t="shared" si="204"/>
        <v>1.568737769080234E-4</v>
      </c>
      <c r="CK58" s="49">
        <f t="shared" si="204"/>
        <v>1</v>
      </c>
      <c r="CL58" s="49">
        <f t="shared" si="204"/>
        <v>1</v>
      </c>
      <c r="CM58" s="49">
        <f t="shared" si="204"/>
        <v>1</v>
      </c>
      <c r="CN58" s="49">
        <f t="shared" si="204"/>
        <v>1</v>
      </c>
      <c r="CO58" s="49">
        <f t="shared" si="204"/>
        <v>1</v>
      </c>
      <c r="CP58" s="49">
        <f t="shared" si="204"/>
        <v>1</v>
      </c>
      <c r="CQ58" s="49">
        <f t="shared" si="204"/>
        <v>1</v>
      </c>
      <c r="CR58" s="49">
        <f t="shared" si="204"/>
        <v>1</v>
      </c>
      <c r="CS58" s="49">
        <f t="shared" si="204"/>
        <v>1</v>
      </c>
      <c r="CT58" s="49">
        <f t="shared" si="204"/>
        <v>1</v>
      </c>
      <c r="CU58" s="49">
        <f t="shared" si="204"/>
        <v>1</v>
      </c>
      <c r="CV58" s="49">
        <f t="shared" si="204"/>
        <v>1</v>
      </c>
      <c r="CW58" s="49">
        <f t="shared" si="205"/>
        <v>1</v>
      </c>
      <c r="CX58" s="60">
        <f t="shared" ref="CX58" si="264">IFERROR(CX16/$B58,0)</f>
        <v>3.6363636363636369E-10</v>
      </c>
      <c r="CY58" s="60" t="str">
        <f>IFERROR(CY16,".")</f>
        <v>.</v>
      </c>
      <c r="CZ58" s="60">
        <f t="shared" ref="CZ58:DL58" si="265">IFERROR(CZ16/$B58,0)</f>
        <v>3.9818181818181825E-6</v>
      </c>
      <c r="DA58" s="60">
        <f t="shared" si="265"/>
        <v>1.6443412786038031E-11</v>
      </c>
      <c r="DB58" s="60">
        <f t="shared" si="265"/>
        <v>1.322314049586777E-8</v>
      </c>
      <c r="DC58" s="60">
        <f t="shared" si="265"/>
        <v>1.322314049586777E-8</v>
      </c>
      <c r="DD58" s="60">
        <f t="shared" si="265"/>
        <v>2.6446280991735539E-9</v>
      </c>
      <c r="DE58" s="60">
        <f t="shared" si="265"/>
        <v>2.7239669421487605E-9</v>
      </c>
      <c r="DF58" s="60">
        <f t="shared" si="265"/>
        <v>2.6446280991735539E-9</v>
      </c>
      <c r="DG58" s="60">
        <f t="shared" si="265"/>
        <v>2.6446280991735539E-9</v>
      </c>
      <c r="DH58" s="60">
        <f t="shared" si="265"/>
        <v>2.6446280991735539E-9</v>
      </c>
      <c r="DI58" s="60">
        <f t="shared" si="265"/>
        <v>2.6446280991735539E-9</v>
      </c>
      <c r="DJ58" s="60">
        <f t="shared" si="265"/>
        <v>2.7239669421487605E-9</v>
      </c>
      <c r="DK58" s="60">
        <f t="shared" si="265"/>
        <v>2.6446280991735539E-9</v>
      </c>
      <c r="DL58" s="60">
        <f t="shared" si="265"/>
        <v>2.7239669421487605E-9</v>
      </c>
      <c r="DM58" s="15"/>
      <c r="DN58" s="15"/>
      <c r="DO58" s="15"/>
      <c r="DP58" s="15"/>
      <c r="DQ58" s="15"/>
      <c r="DR58" s="15"/>
      <c r="DS58" s="15"/>
      <c r="DT58" s="15"/>
      <c r="DU58" s="15"/>
      <c r="DV58" s="15"/>
      <c r="DW58" s="15"/>
      <c r="DX58" s="15"/>
      <c r="DY58" s="15"/>
      <c r="DZ58" s="15"/>
      <c r="EA58" s="15"/>
      <c r="EB58" s="60">
        <f t="shared" ref="EB58" si="266">IFERROR(EB16/$B58,0)</f>
        <v>1.4906192608956601E-11</v>
      </c>
      <c r="EC58" s="71">
        <f>IFERROR(up_RadSpec!$I$16*EC16,".")*$B$58</f>
        <v>137500</v>
      </c>
      <c r="ED58" s="71">
        <f>IFERROR(up_RadSpec!$F$16*ED16,".")</f>
        <v>0</v>
      </c>
      <c r="EE58" s="71">
        <f>IFERROR(up_RadSpec!$M$16*EE16,".")*$B$58</f>
        <v>12.557077625570777</v>
      </c>
      <c r="EF58" s="71">
        <f>up_b2w!CC58</f>
        <v>3040731.3038114933</v>
      </c>
      <c r="EG58" s="71">
        <f>IFERROR(up_RadSpec!$H$16*EG16,".")*$B$58</f>
        <v>3781.25</v>
      </c>
      <c r="EH58" s="71">
        <f>IFERROR(up_RadSpec!$H$16*EH16,".")*$B$58</f>
        <v>3781.25</v>
      </c>
      <c r="EI58" s="71">
        <f>IFERROR(up_RadSpec!$H$16*EI16,".")*$B$58</f>
        <v>18906.25</v>
      </c>
      <c r="EJ58" s="71">
        <f>IFERROR(up_RadSpec!$H$16*EJ16,".")*$B$58</f>
        <v>18355.582524271846</v>
      </c>
      <c r="EK58" s="71">
        <f>IFERROR(up_RadSpec!$H$16*EK16,".")*$B$58</f>
        <v>18906.25</v>
      </c>
      <c r="EL58" s="71">
        <f>IFERROR(up_RadSpec!$H$16*EL16,".")*$B$58</f>
        <v>18906.25</v>
      </c>
      <c r="EM58" s="71">
        <f>IFERROR(up_RadSpec!$H$16*EM16,".")*$B$58</f>
        <v>18906.25</v>
      </c>
      <c r="EN58" s="71">
        <f>IFERROR(up_RadSpec!$H$16*EN16,".")*$B$58</f>
        <v>18906.25</v>
      </c>
      <c r="EO58" s="71">
        <f>IFERROR(up_RadSpec!$H$16*EO16,".")*$B$58</f>
        <v>18355.582524271846</v>
      </c>
      <c r="EP58" s="71">
        <f>IFERROR(up_RadSpec!$H$16*EP16,".")*$B$58</f>
        <v>18906.25</v>
      </c>
      <c r="EQ58" s="71">
        <f>IFERROR(up_RadSpec!$H$16*EQ16,".")*$B$58</f>
        <v>18355.582524271846</v>
      </c>
      <c r="ER58" s="49">
        <f t="shared" si="209"/>
        <v>1</v>
      </c>
      <c r="ES58" s="49">
        <f t="shared" si="209"/>
        <v>0</v>
      </c>
      <c r="ET58" s="49">
        <f t="shared" si="209"/>
        <v>0.99999648009875997</v>
      </c>
      <c r="EU58" s="49">
        <f t="shared" si="209"/>
        <v>1</v>
      </c>
      <c r="EV58" s="49">
        <f t="shared" si="209"/>
        <v>1</v>
      </c>
      <c r="EW58" s="49">
        <f t="shared" si="209"/>
        <v>1</v>
      </c>
      <c r="EX58" s="49">
        <f t="shared" si="209"/>
        <v>1</v>
      </c>
      <c r="EY58" s="49">
        <f t="shared" si="209"/>
        <v>1</v>
      </c>
      <c r="EZ58" s="49">
        <f t="shared" si="209"/>
        <v>1</v>
      </c>
      <c r="FA58" s="49">
        <f t="shared" si="209"/>
        <v>1</v>
      </c>
      <c r="FB58" s="49">
        <f t="shared" si="209"/>
        <v>1</v>
      </c>
      <c r="FC58" s="49">
        <f t="shared" si="209"/>
        <v>1</v>
      </c>
      <c r="FD58" s="49">
        <f t="shared" si="209"/>
        <v>1</v>
      </c>
      <c r="FE58" s="49">
        <f t="shared" si="209"/>
        <v>1</v>
      </c>
      <c r="FF58" s="49">
        <f t="shared" si="209"/>
        <v>1</v>
      </c>
      <c r="FG58" s="49">
        <f t="shared" si="210"/>
        <v>1</v>
      </c>
      <c r="FH58" s="60">
        <f>IFERROR(FH16/$B58,0)</f>
        <v>9.9740259740259755E-10</v>
      </c>
      <c r="FI58" s="60">
        <f>IFERROR(FI16/$B58,0)</f>
        <v>6.3709090909090908E-6</v>
      </c>
      <c r="FJ58" s="60">
        <f>IFERROR(FJ16/$B58,0)</f>
        <v>9.9724647271019672E-10</v>
      </c>
      <c r="FK58" s="71">
        <f>IFERROR(up_RadSpec!$F$16*FK16,".")*$B$58</f>
        <v>50130.208333333328</v>
      </c>
      <c r="FL58" s="71">
        <f>IFERROR(up_RadSpec!$K$16*FL16,".")*$B$58</f>
        <v>7.8481735159817356</v>
      </c>
      <c r="FM58" s="49">
        <f t="shared" si="211"/>
        <v>1</v>
      </c>
      <c r="FN58" s="49">
        <f t="shared" si="211"/>
        <v>0.99960953550549536</v>
      </c>
      <c r="FO58" s="49">
        <f t="shared" si="212"/>
        <v>1</v>
      </c>
    </row>
    <row r="59" spans="1:171" x14ac:dyDescent="0.25">
      <c r="A59" s="83" t="s">
        <v>1094</v>
      </c>
      <c r="B59" s="42">
        <v>1</v>
      </c>
      <c r="C59" s="249"/>
      <c r="D59" s="60">
        <f t="shared" ref="D59:O59" si="267">IFERROR(D7/$B59,0)</f>
        <v>1.6528925619834712E-11</v>
      </c>
      <c r="E59" s="60">
        <f t="shared" si="267"/>
        <v>6.6115702479338848E-11</v>
      </c>
      <c r="F59" s="60">
        <f t="shared" si="267"/>
        <v>6.6115702479338848E-11</v>
      </c>
      <c r="G59" s="60">
        <f t="shared" si="267"/>
        <v>6.6115702479338848E-11</v>
      </c>
      <c r="H59" s="60">
        <f t="shared" si="267"/>
        <v>6.6115702479338848E-11</v>
      </c>
      <c r="I59" s="60">
        <f t="shared" si="267"/>
        <v>6.6115702479338848E-11</v>
      </c>
      <c r="J59" s="60">
        <f t="shared" si="267"/>
        <v>6.6115702479338848E-11</v>
      </c>
      <c r="K59" s="60">
        <f t="shared" si="267"/>
        <v>6.6115702479338848E-11</v>
      </c>
      <c r="L59" s="60">
        <f t="shared" si="267"/>
        <v>6.6115702479338848E-11</v>
      </c>
      <c r="M59" s="60">
        <f t="shared" si="267"/>
        <v>6.6115702479338848E-11</v>
      </c>
      <c r="N59" s="60">
        <f t="shared" si="267"/>
        <v>6.6115702479338848E-11</v>
      </c>
      <c r="O59" s="60">
        <f t="shared" si="267"/>
        <v>6.6115702479338848E-11</v>
      </c>
      <c r="P59" s="71">
        <f>up_dir!BC59</f>
        <v>3025000</v>
      </c>
      <c r="Q59" s="71">
        <f>IFERROR(up_RadSpec!$H$7*Q7,".")*$B$59</f>
        <v>756250</v>
      </c>
      <c r="R59" s="71">
        <f>IFERROR(up_RadSpec!$H$7*R7,".")*$B$59</f>
        <v>756250</v>
      </c>
      <c r="S59" s="71">
        <f>IFERROR(up_RadSpec!$H$7*S7,".")*$B$59</f>
        <v>756250</v>
      </c>
      <c r="T59" s="71">
        <f>IFERROR(up_RadSpec!$H$7*T7,".")*$B$59</f>
        <v>756250</v>
      </c>
      <c r="U59" s="71">
        <f>IFERROR(up_RadSpec!$H$7*U7,".")*$B$59</f>
        <v>756250</v>
      </c>
      <c r="V59" s="71">
        <f>IFERROR(up_RadSpec!$H$7*V7,".")*$B$59</f>
        <v>756250</v>
      </c>
      <c r="W59" s="71">
        <f>IFERROR(up_RadSpec!$H$7*W7,".")*$B$59</f>
        <v>756250</v>
      </c>
      <c r="X59" s="71">
        <f>IFERROR(up_RadSpec!$H$7*X7,".")*$B$59</f>
        <v>756250</v>
      </c>
      <c r="Y59" s="71">
        <f>IFERROR(up_RadSpec!$H$7*Y7,".")*$B$59</f>
        <v>756250</v>
      </c>
      <c r="Z59" s="71">
        <f>IFERROR(up_RadSpec!$H$7*Z7,".")*$B$59</f>
        <v>756250</v>
      </c>
      <c r="AA59" s="71">
        <f>IFERROR(up_RadSpec!$H$7*AA7,".")*$B$59</f>
        <v>756250</v>
      </c>
      <c r="AB59" s="49">
        <f t="shared" si="201"/>
        <v>1</v>
      </c>
      <c r="AC59" s="49">
        <f t="shared" si="201"/>
        <v>1</v>
      </c>
      <c r="AD59" s="49">
        <f t="shared" si="201"/>
        <v>1</v>
      </c>
      <c r="AE59" s="49">
        <f t="shared" si="201"/>
        <v>1</v>
      </c>
      <c r="AF59" s="49">
        <f t="shared" si="201"/>
        <v>1</v>
      </c>
      <c r="AG59" s="49">
        <f t="shared" si="201"/>
        <v>1</v>
      </c>
      <c r="AH59" s="49">
        <f t="shared" si="201"/>
        <v>1</v>
      </c>
      <c r="AI59" s="49">
        <f t="shared" si="201"/>
        <v>1</v>
      </c>
      <c r="AJ59" s="49">
        <f t="shared" si="201"/>
        <v>1</v>
      </c>
      <c r="AK59" s="49">
        <f t="shared" si="201"/>
        <v>1</v>
      </c>
      <c r="AL59" s="49">
        <f t="shared" si="201"/>
        <v>1</v>
      </c>
      <c r="AM59" s="49">
        <f t="shared" si="201"/>
        <v>1</v>
      </c>
      <c r="AN59" s="60">
        <f t="shared" ref="AN59:BB59" si="268">IFERROR(AN7/$B59,0)</f>
        <v>3.3057851239669421E-8</v>
      </c>
      <c r="AO59" s="60">
        <f t="shared" si="268"/>
        <v>3.0899917851942918E-4</v>
      </c>
      <c r="AP59" s="60">
        <f t="shared" si="268"/>
        <v>3.8268082282680812E-5</v>
      </c>
      <c r="AQ59" s="60">
        <f t="shared" si="268"/>
        <v>3.2968835384132272E-12</v>
      </c>
      <c r="AR59" s="60">
        <f t="shared" si="268"/>
        <v>6.6115702479338848E-11</v>
      </c>
      <c r="AS59" s="60">
        <f t="shared" si="268"/>
        <v>6.6115702479338848E-11</v>
      </c>
      <c r="AT59" s="60">
        <f t="shared" si="268"/>
        <v>1.8558793678410904E-14</v>
      </c>
      <c r="AU59" s="60">
        <f t="shared" si="268"/>
        <v>1.9115557488763232E-14</v>
      </c>
      <c r="AV59" s="60">
        <f t="shared" si="268"/>
        <v>1.8558793678410904E-14</v>
      </c>
      <c r="AW59" s="60">
        <f t="shared" si="268"/>
        <v>1.8558793678410904E-14</v>
      </c>
      <c r="AX59" s="60">
        <f t="shared" si="268"/>
        <v>1.8558793678410904E-14</v>
      </c>
      <c r="AY59" s="60">
        <f t="shared" si="268"/>
        <v>1.8558793678410904E-14</v>
      </c>
      <c r="AZ59" s="60">
        <f t="shared" si="268"/>
        <v>1.9115557488763232E-14</v>
      </c>
      <c r="BA59" s="60">
        <f t="shared" si="268"/>
        <v>1.8558793678410904E-14</v>
      </c>
      <c r="BB59" s="60">
        <f t="shared" si="268"/>
        <v>1.9115557488763232E-14</v>
      </c>
      <c r="BC59" s="42"/>
      <c r="BD59" s="42"/>
      <c r="BE59" s="42"/>
      <c r="BF59" s="42"/>
      <c r="BG59" s="42"/>
      <c r="BH59" s="42"/>
      <c r="BI59" s="42"/>
      <c r="BJ59" s="42"/>
      <c r="BK59" s="42"/>
      <c r="BL59" s="42"/>
      <c r="BM59" s="42"/>
      <c r="BN59" s="42"/>
      <c r="BO59" s="42"/>
      <c r="BP59" s="42"/>
      <c r="BQ59" s="42"/>
      <c r="BR59" s="60">
        <f t="shared" ref="BR59" si="269">IFERROR(BR7/$B59,0)</f>
        <v>2.0808592670444129E-15</v>
      </c>
      <c r="BS59" s="71">
        <f>IFERROR(up_RadSpec!$E$7*BS7,".")*$B$59</f>
        <v>1512.5</v>
      </c>
      <c r="BT59" s="71">
        <f>IFERROR(up_RadSpec!$F$7*BT7,".")*$B$59</f>
        <v>0.16181272791589676</v>
      </c>
      <c r="BU59" s="71">
        <f>IFERROR(up_RadSpec!$G$7*BU7,".")*$B$59</f>
        <v>1.3065718744581243</v>
      </c>
      <c r="BV59" s="71">
        <f>up_b2s!CC59</f>
        <v>15165837.5</v>
      </c>
      <c r="BW59" s="71">
        <f>IFERROR(up_RadSpec!$H$7*BW7,".")*$B$59</f>
        <v>756250</v>
      </c>
      <c r="BX59" s="71">
        <f>IFERROR(up_RadSpec!$H$7*BX7,".")*$B$59</f>
        <v>756250</v>
      </c>
      <c r="BY59" s="71">
        <f>IFERROR(up_RadSpec!$H$7*BY7,".")*$B$59</f>
        <v>2694140625</v>
      </c>
      <c r="BZ59" s="71">
        <f>IFERROR(up_RadSpec!$H$7*BZ7,".")*$B$59</f>
        <v>2615670509.7087379</v>
      </c>
      <c r="CA59" s="71">
        <f>IFERROR(up_RadSpec!$H$7*CA7,".")*$B$59</f>
        <v>2694140625</v>
      </c>
      <c r="CB59" s="71">
        <f>IFERROR(up_RadSpec!$H$7*CB7,".")*$B$59</f>
        <v>2694140625</v>
      </c>
      <c r="CC59" s="71">
        <f>IFERROR(up_RadSpec!$H$7*CC7,".")*$B$59</f>
        <v>2694140625</v>
      </c>
      <c r="CD59" s="71">
        <f>IFERROR(up_RadSpec!$H$7*CD7,".")*$B$59</f>
        <v>2694140625</v>
      </c>
      <c r="CE59" s="71">
        <f>IFERROR(up_RadSpec!$H$7*CE7,".")*$B$59</f>
        <v>2615670509.7087379</v>
      </c>
      <c r="CF59" s="71">
        <f>IFERROR(up_RadSpec!$H$7*CF7,".")*$B$59</f>
        <v>2694140625</v>
      </c>
      <c r="CG59" s="71">
        <f>IFERROR(up_RadSpec!$H$7*CG7,".")*$B$59</f>
        <v>2615670509.7087379</v>
      </c>
      <c r="CH59" s="49">
        <f t="shared" si="204"/>
        <v>1</v>
      </c>
      <c r="CI59" s="49">
        <f t="shared" si="204"/>
        <v>0.14939951664921358</v>
      </c>
      <c r="CJ59" s="49">
        <f t="shared" si="204"/>
        <v>0.72925337930634215</v>
      </c>
      <c r="CK59" s="49">
        <f t="shared" si="204"/>
        <v>1</v>
      </c>
      <c r="CL59" s="49">
        <f t="shared" si="204"/>
        <v>1</v>
      </c>
      <c r="CM59" s="49">
        <f t="shared" si="204"/>
        <v>1</v>
      </c>
      <c r="CN59" s="49">
        <f t="shared" si="204"/>
        <v>1</v>
      </c>
      <c r="CO59" s="49">
        <f t="shared" si="204"/>
        <v>1</v>
      </c>
      <c r="CP59" s="49">
        <f t="shared" si="204"/>
        <v>1</v>
      </c>
      <c r="CQ59" s="49">
        <f t="shared" si="204"/>
        <v>1</v>
      </c>
      <c r="CR59" s="49">
        <f t="shared" si="204"/>
        <v>1</v>
      </c>
      <c r="CS59" s="49">
        <f t="shared" si="204"/>
        <v>1</v>
      </c>
      <c r="CT59" s="49">
        <f t="shared" si="204"/>
        <v>1</v>
      </c>
      <c r="CU59" s="49">
        <f t="shared" si="204"/>
        <v>1</v>
      </c>
      <c r="CV59" s="49">
        <f t="shared" si="204"/>
        <v>1</v>
      </c>
      <c r="CW59" s="49">
        <f t="shared" si="205"/>
        <v>1</v>
      </c>
      <c r="CX59" s="60">
        <f t="shared" ref="CX59" si="270">IFERROR(CX7/$B59,0)</f>
        <v>3.6363636363636369E-10</v>
      </c>
      <c r="CY59" s="60" t="str">
        <f>IFERROR(CY7,".")</f>
        <v>.</v>
      </c>
      <c r="CZ59" s="60">
        <f t="shared" ref="CZ59:DL59" si="271">IFERROR(CZ7/$B59,0)</f>
        <v>3.9818181818181825E-6</v>
      </c>
      <c r="DA59" s="60">
        <f t="shared" si="271"/>
        <v>1.6443412786038031E-11</v>
      </c>
      <c r="DB59" s="60">
        <f t="shared" si="271"/>
        <v>1.322314049586777E-8</v>
      </c>
      <c r="DC59" s="60">
        <f t="shared" si="271"/>
        <v>1.322314049586777E-8</v>
      </c>
      <c r="DD59" s="60">
        <f t="shared" si="271"/>
        <v>2.6446280991735539E-9</v>
      </c>
      <c r="DE59" s="60">
        <f t="shared" si="271"/>
        <v>2.7239669421487605E-9</v>
      </c>
      <c r="DF59" s="60">
        <f t="shared" si="271"/>
        <v>2.6446280991735539E-9</v>
      </c>
      <c r="DG59" s="60">
        <f t="shared" si="271"/>
        <v>2.6446280991735539E-9</v>
      </c>
      <c r="DH59" s="60">
        <f t="shared" si="271"/>
        <v>2.6446280991735539E-9</v>
      </c>
      <c r="DI59" s="60">
        <f t="shared" si="271"/>
        <v>2.6446280991735539E-9</v>
      </c>
      <c r="DJ59" s="60">
        <f t="shared" si="271"/>
        <v>2.7239669421487605E-9</v>
      </c>
      <c r="DK59" s="60">
        <f t="shared" si="271"/>
        <v>2.6446280991735539E-9</v>
      </c>
      <c r="DL59" s="60">
        <f t="shared" si="271"/>
        <v>2.7239669421487605E-9</v>
      </c>
      <c r="DM59" s="15"/>
      <c r="DN59" s="15"/>
      <c r="DO59" s="15"/>
      <c r="DP59" s="15"/>
      <c r="DQ59" s="15"/>
      <c r="DR59" s="15"/>
      <c r="DS59" s="15"/>
      <c r="DT59" s="15"/>
      <c r="DU59" s="15"/>
      <c r="DV59" s="15"/>
      <c r="DW59" s="15"/>
      <c r="DX59" s="15"/>
      <c r="DY59" s="15"/>
      <c r="DZ59" s="15"/>
      <c r="EA59" s="15"/>
      <c r="EB59" s="60">
        <f t="shared" ref="EB59" si="272">IFERROR(EB7/$B59,0)</f>
        <v>1.4906192608956601E-11</v>
      </c>
      <c r="EC59" s="71">
        <f>IFERROR(up_RadSpec!$I$7*EC7,".")*$B$59</f>
        <v>137500</v>
      </c>
      <c r="ED59" s="71">
        <f>IFERROR(up_RadSpec!$F$7*ED7,".")</f>
        <v>0</v>
      </c>
      <c r="EE59" s="71">
        <f>IFERROR(up_RadSpec!$M$7*EE7,".")*$B$59</f>
        <v>12.557077625570777</v>
      </c>
      <c r="EF59" s="71">
        <f>up_b2w!CC59</f>
        <v>3040731.3038114933</v>
      </c>
      <c r="EG59" s="71">
        <f>IFERROR(up_RadSpec!$H$7*EG7,".")*$B$59</f>
        <v>3781.25</v>
      </c>
      <c r="EH59" s="71">
        <f>IFERROR(up_RadSpec!$H$7*EH7,".")*$B$59</f>
        <v>3781.25</v>
      </c>
      <c r="EI59" s="71">
        <f>IFERROR(up_RadSpec!$H$7*EI7,".")*$B$59</f>
        <v>18906.25</v>
      </c>
      <c r="EJ59" s="71">
        <f>IFERROR(up_RadSpec!$H$7*EJ7,".")*$B$59</f>
        <v>18355.582524271846</v>
      </c>
      <c r="EK59" s="71">
        <f>IFERROR(up_RadSpec!$H$7*EK7,".")*$B$59</f>
        <v>18906.25</v>
      </c>
      <c r="EL59" s="71">
        <f>IFERROR(up_RadSpec!$H$7*EL7,".")*$B$59</f>
        <v>18906.25</v>
      </c>
      <c r="EM59" s="71">
        <f>IFERROR(up_RadSpec!$H$7*EM7,".")*$B$59</f>
        <v>18906.25</v>
      </c>
      <c r="EN59" s="71">
        <f>IFERROR(up_RadSpec!$H$7*EN7,".")*$B$59</f>
        <v>18906.25</v>
      </c>
      <c r="EO59" s="71">
        <f>IFERROR(up_RadSpec!$H$7*EO7,".")*$B$59</f>
        <v>18355.582524271846</v>
      </c>
      <c r="EP59" s="71">
        <f>IFERROR(up_RadSpec!$H$7*EP7,".")*$B$59</f>
        <v>18906.25</v>
      </c>
      <c r="EQ59" s="71">
        <f>IFERROR(up_RadSpec!$H$7*EQ7,".")*$B$59</f>
        <v>18355.582524271846</v>
      </c>
      <c r="ER59" s="49">
        <f t="shared" si="209"/>
        <v>1</v>
      </c>
      <c r="ES59" s="49">
        <f t="shared" si="209"/>
        <v>0</v>
      </c>
      <c r="ET59" s="49">
        <f t="shared" si="209"/>
        <v>0.99999648009875997</v>
      </c>
      <c r="EU59" s="49">
        <f t="shared" si="209"/>
        <v>1</v>
      </c>
      <c r="EV59" s="49">
        <f t="shared" si="209"/>
        <v>1</v>
      </c>
      <c r="EW59" s="49">
        <f t="shared" si="209"/>
        <v>1</v>
      </c>
      <c r="EX59" s="49">
        <f t="shared" si="209"/>
        <v>1</v>
      </c>
      <c r="EY59" s="49">
        <f t="shared" si="209"/>
        <v>1</v>
      </c>
      <c r="EZ59" s="49">
        <f t="shared" si="209"/>
        <v>1</v>
      </c>
      <c r="FA59" s="49">
        <f t="shared" si="209"/>
        <v>1</v>
      </c>
      <c r="FB59" s="49">
        <f t="shared" si="209"/>
        <v>1</v>
      </c>
      <c r="FC59" s="49">
        <f t="shared" si="209"/>
        <v>1</v>
      </c>
      <c r="FD59" s="49">
        <f t="shared" si="209"/>
        <v>1</v>
      </c>
      <c r="FE59" s="49">
        <f t="shared" si="209"/>
        <v>1</v>
      </c>
      <c r="FF59" s="49">
        <f t="shared" si="209"/>
        <v>1</v>
      </c>
      <c r="FG59" s="49">
        <f t="shared" si="210"/>
        <v>1</v>
      </c>
      <c r="FH59" s="60">
        <f>IFERROR(FH7/$B59,0)</f>
        <v>9.9740259740259755E-10</v>
      </c>
      <c r="FI59" s="60">
        <f>IFERROR(FI7/$B59,0)</f>
        <v>6.3709090909090908E-6</v>
      </c>
      <c r="FJ59" s="60">
        <f>IFERROR(FJ7/$B59,0)</f>
        <v>9.9724647271019672E-10</v>
      </c>
      <c r="FK59" s="71">
        <f>IFERROR(up_RadSpec!$F$7*FK7,".")*$B$59</f>
        <v>50130.208333333328</v>
      </c>
      <c r="FL59" s="71">
        <f>IFERROR(up_RadSpec!$K$7*FL7,".")*$B$59</f>
        <v>7.8481735159817356</v>
      </c>
      <c r="FM59" s="49">
        <f t="shared" si="211"/>
        <v>1</v>
      </c>
      <c r="FN59" s="49">
        <f t="shared" si="211"/>
        <v>0.99960953550549536</v>
      </c>
      <c r="FO59" s="49">
        <f t="shared" si="212"/>
        <v>1</v>
      </c>
    </row>
    <row r="60" spans="1:171" x14ac:dyDescent="0.25">
      <c r="A60" s="83" t="s">
        <v>1095</v>
      </c>
      <c r="B60" s="86">
        <v>1.9000000000000001E-8</v>
      </c>
      <c r="C60" s="252"/>
      <c r="D60" s="60">
        <f t="shared" ref="D60:O60" si="273">IFERROR(D12/$B60,0)</f>
        <v>8.6994345367551109E-4</v>
      </c>
      <c r="E60" s="60">
        <f t="shared" si="273"/>
        <v>3.4797738147020443E-3</v>
      </c>
      <c r="F60" s="60">
        <f t="shared" si="273"/>
        <v>3.4797738147020443E-3</v>
      </c>
      <c r="G60" s="60">
        <f t="shared" si="273"/>
        <v>3.4797738147020443E-3</v>
      </c>
      <c r="H60" s="60">
        <f t="shared" si="273"/>
        <v>3.4797738147020443E-3</v>
      </c>
      <c r="I60" s="60">
        <f t="shared" si="273"/>
        <v>3.4797738147020443E-3</v>
      </c>
      <c r="J60" s="60">
        <f t="shared" si="273"/>
        <v>3.4797738147020443E-3</v>
      </c>
      <c r="K60" s="60">
        <f t="shared" si="273"/>
        <v>3.4797738147020443E-3</v>
      </c>
      <c r="L60" s="60">
        <f t="shared" si="273"/>
        <v>3.4797738147020443E-3</v>
      </c>
      <c r="M60" s="60">
        <f t="shared" si="273"/>
        <v>3.4797738147020443E-3</v>
      </c>
      <c r="N60" s="60">
        <f t="shared" si="273"/>
        <v>3.4797738147020443E-3</v>
      </c>
      <c r="O60" s="60">
        <f t="shared" si="273"/>
        <v>3.4797738147020443E-3</v>
      </c>
      <c r="P60" s="71">
        <f>up_dir!BC60</f>
        <v>159210526315789.44</v>
      </c>
      <c r="Q60" s="71">
        <f>IFERROR(up_RadSpec!$H$12*Q12,".")*$B$60</f>
        <v>1.4368750000000001E-2</v>
      </c>
      <c r="R60" s="71">
        <f>IFERROR(up_RadSpec!$H$12*R12,".")*$B$60</f>
        <v>1.4368750000000001E-2</v>
      </c>
      <c r="S60" s="71">
        <f>IFERROR(up_RadSpec!$H$12*S12,".")*$B$60</f>
        <v>1.4368750000000001E-2</v>
      </c>
      <c r="T60" s="71">
        <f>IFERROR(up_RadSpec!$H$12*T12,".")*$B$60</f>
        <v>1.4368750000000001E-2</v>
      </c>
      <c r="U60" s="71">
        <f>IFERROR(up_RadSpec!$H$12*U12,".")*$B$60</f>
        <v>1.4368750000000001E-2</v>
      </c>
      <c r="V60" s="71">
        <f>IFERROR(up_RadSpec!$H$12*V12,".")*$B$60</f>
        <v>1.4368750000000001E-2</v>
      </c>
      <c r="W60" s="71">
        <f>IFERROR(up_RadSpec!$H$12*W12,".")*$B$60</f>
        <v>1.4368750000000001E-2</v>
      </c>
      <c r="X60" s="71">
        <f>IFERROR(up_RadSpec!$H$12*X12,".")*$B$60</f>
        <v>1.4368750000000001E-2</v>
      </c>
      <c r="Y60" s="71">
        <f>IFERROR(up_RadSpec!$H$12*Y12,".")*$B$60</f>
        <v>1.4368750000000001E-2</v>
      </c>
      <c r="Z60" s="71">
        <f>IFERROR(up_RadSpec!$H$12*Z12,".")*$B$60</f>
        <v>1.4368750000000001E-2</v>
      </c>
      <c r="AA60" s="71">
        <f>IFERROR(up_RadSpec!$H$12*AA12,".")*$B$60</f>
        <v>1.4368750000000001E-2</v>
      </c>
      <c r="AB60" s="49">
        <f t="shared" si="201"/>
        <v>1</v>
      </c>
      <c r="AC60" s="49">
        <f t="shared" si="201"/>
        <v>1.4266012171747833E-2</v>
      </c>
      <c r="AD60" s="49">
        <f t="shared" si="201"/>
        <v>1.4266012171747833E-2</v>
      </c>
      <c r="AE60" s="49">
        <f t="shared" si="201"/>
        <v>1.4266012171747833E-2</v>
      </c>
      <c r="AF60" s="49">
        <f t="shared" si="201"/>
        <v>1.4266012171747833E-2</v>
      </c>
      <c r="AG60" s="49">
        <f t="shared" si="201"/>
        <v>1.4266012171747833E-2</v>
      </c>
      <c r="AH60" s="49">
        <f t="shared" si="201"/>
        <v>1.4266012171747833E-2</v>
      </c>
      <c r="AI60" s="49">
        <f t="shared" si="201"/>
        <v>1.4266012171747833E-2</v>
      </c>
      <c r="AJ60" s="49">
        <f t="shared" si="201"/>
        <v>1.4266012171747833E-2</v>
      </c>
      <c r="AK60" s="49">
        <f t="shared" si="201"/>
        <v>1.4266012171747833E-2</v>
      </c>
      <c r="AL60" s="49">
        <f t="shared" si="201"/>
        <v>1.4266012171747833E-2</v>
      </c>
      <c r="AM60" s="49">
        <f t="shared" si="201"/>
        <v>1.4266012171747833E-2</v>
      </c>
      <c r="AN60" s="60">
        <f t="shared" ref="AN60:BB60" si="274">IFERROR(AN12/$B60,0)</f>
        <v>1.7398869073510221</v>
      </c>
      <c r="AO60" s="60">
        <f t="shared" si="274"/>
        <v>16263.114658917324</v>
      </c>
      <c r="AP60" s="60">
        <f t="shared" si="274"/>
        <v>1563.2030333122684</v>
      </c>
      <c r="AQ60" s="60">
        <f t="shared" si="274"/>
        <v>1.735201862322751E-4</v>
      </c>
      <c r="AR60" s="60">
        <f t="shared" si="274"/>
        <v>3.4797738147020443E-3</v>
      </c>
      <c r="AS60" s="60">
        <f t="shared" si="274"/>
        <v>3.4797738147020443E-3</v>
      </c>
      <c r="AT60" s="60">
        <f t="shared" si="274"/>
        <v>9.7677861465320538E-7</v>
      </c>
      <c r="AU60" s="60">
        <f t="shared" si="274"/>
        <v>1.0060819730928015E-6</v>
      </c>
      <c r="AV60" s="60">
        <f t="shared" si="274"/>
        <v>9.7677861465320538E-7</v>
      </c>
      <c r="AW60" s="60">
        <f t="shared" si="274"/>
        <v>9.7677861465320538E-7</v>
      </c>
      <c r="AX60" s="60">
        <f t="shared" si="274"/>
        <v>9.7677861465320538E-7</v>
      </c>
      <c r="AY60" s="60">
        <f t="shared" si="274"/>
        <v>9.7677861465320538E-7</v>
      </c>
      <c r="AZ60" s="60">
        <f t="shared" si="274"/>
        <v>1.0060819730928015E-6</v>
      </c>
      <c r="BA60" s="60">
        <f t="shared" si="274"/>
        <v>9.7677861465320538E-7</v>
      </c>
      <c r="BB60" s="60">
        <f t="shared" si="274"/>
        <v>1.0060819730928015E-6</v>
      </c>
      <c r="BC60" s="42"/>
      <c r="BD60" s="42"/>
      <c r="BE60" s="42"/>
      <c r="BF60" s="42"/>
      <c r="BG60" s="42"/>
      <c r="BH60" s="42"/>
      <c r="BI60" s="42"/>
      <c r="BJ60" s="42"/>
      <c r="BK60" s="42"/>
      <c r="BL60" s="42"/>
      <c r="BM60" s="42"/>
      <c r="BN60" s="42"/>
      <c r="BO60" s="42"/>
      <c r="BP60" s="42"/>
      <c r="BQ60" s="42"/>
      <c r="BR60" s="60">
        <f t="shared" ref="BR60" si="275">IFERROR(BR12/$B60,0)</f>
        <v>1.0951890879009343E-7</v>
      </c>
      <c r="BS60" s="71">
        <f>IFERROR(up_RadSpec!$E$12*BS12,".")*$B$60</f>
        <v>2.8737500000000001E-5</v>
      </c>
      <c r="BT60" s="71">
        <f>IFERROR(up_RadSpec!$F$12*BT12,".")*$B$60</f>
        <v>3.0744418304020388E-9</v>
      </c>
      <c r="BU60" s="71">
        <f>IFERROR(up_RadSpec!$G$12*BU12,".")*$B$60</f>
        <v>3.1985608353161315E-8</v>
      </c>
      <c r="BV60" s="71">
        <f>up_b2s!CC60</f>
        <v>798201973684210.5</v>
      </c>
      <c r="BW60" s="71">
        <f>IFERROR(up_RadSpec!$H$12*BW12,".")*$B$60</f>
        <v>1.4368750000000001E-2</v>
      </c>
      <c r="BX60" s="71">
        <f>IFERROR(up_RadSpec!$H$12*BX12,".")*$B$60</f>
        <v>1.4368750000000001E-2</v>
      </c>
      <c r="BY60" s="71">
        <f>IFERROR(up_RadSpec!$H$12*BY12,".")*$B$60</f>
        <v>51.188671875000004</v>
      </c>
      <c r="BZ60" s="71">
        <f>IFERROR(up_RadSpec!$H$12*BZ12,".")*$B$60</f>
        <v>49.697739684466022</v>
      </c>
      <c r="CA60" s="71">
        <f>IFERROR(up_RadSpec!$H$12*CA12,".")*$B$60</f>
        <v>51.188671875000004</v>
      </c>
      <c r="CB60" s="71">
        <f>IFERROR(up_RadSpec!$H$12*CB12,".")*$B$60</f>
        <v>51.188671875000004</v>
      </c>
      <c r="CC60" s="71">
        <f>IFERROR(up_RadSpec!$H$12*CC12,".")*$B$60</f>
        <v>51.188671875000004</v>
      </c>
      <c r="CD60" s="71">
        <f>IFERROR(up_RadSpec!$H$12*CD12,".")*$B$60</f>
        <v>51.188671875000004</v>
      </c>
      <c r="CE60" s="71">
        <f>IFERROR(up_RadSpec!$H$12*CE12,".")*$B$60</f>
        <v>49.697739684466022</v>
      </c>
      <c r="CF60" s="71">
        <f>IFERROR(up_RadSpec!$H$12*CF12,".")*$B$60</f>
        <v>51.188671875000004</v>
      </c>
      <c r="CG60" s="71">
        <f>IFERROR(up_RadSpec!$H$12*CG12,".")*$B$60</f>
        <v>49.697739684466022</v>
      </c>
      <c r="CH60" s="49">
        <f t="shared" si="204"/>
        <v>2.8737500000000001E-5</v>
      </c>
      <c r="CI60" s="49">
        <f t="shared" si="204"/>
        <v>3.0744418304020388E-9</v>
      </c>
      <c r="CJ60" s="49">
        <f t="shared" si="204"/>
        <v>3.1985608353161315E-8</v>
      </c>
      <c r="CK60" s="49">
        <f t="shared" si="204"/>
        <v>1</v>
      </c>
      <c r="CL60" s="49">
        <f t="shared" si="204"/>
        <v>1.4266012171747833E-2</v>
      </c>
      <c r="CM60" s="49">
        <f t="shared" si="204"/>
        <v>1.4266012171747833E-2</v>
      </c>
      <c r="CN60" s="49">
        <f t="shared" si="204"/>
        <v>1</v>
      </c>
      <c r="CO60" s="49">
        <f t="shared" si="204"/>
        <v>1</v>
      </c>
      <c r="CP60" s="49">
        <f t="shared" si="204"/>
        <v>1</v>
      </c>
      <c r="CQ60" s="49">
        <f t="shared" si="204"/>
        <v>1</v>
      </c>
      <c r="CR60" s="49">
        <f t="shared" si="204"/>
        <v>1</v>
      </c>
      <c r="CS60" s="49">
        <f t="shared" si="204"/>
        <v>1</v>
      </c>
      <c r="CT60" s="49">
        <f t="shared" si="204"/>
        <v>1</v>
      </c>
      <c r="CU60" s="49">
        <f t="shared" si="204"/>
        <v>1</v>
      </c>
      <c r="CV60" s="49">
        <f t="shared" si="204"/>
        <v>1</v>
      </c>
      <c r="CW60" s="49">
        <f t="shared" si="205"/>
        <v>1</v>
      </c>
      <c r="CX60" s="60">
        <f t="shared" ref="CX60" si="276">IFERROR(CX12/$B60,0)</f>
        <v>1.9138755980861247E-2</v>
      </c>
      <c r="CY60" s="60" t="str">
        <f>IFERROR(CY12,".")</f>
        <v>.</v>
      </c>
      <c r="CZ60" s="60">
        <f t="shared" ref="CZ60:DL60" si="277">IFERROR(CZ12/$B60,0)</f>
        <v>209.56937799043064</v>
      </c>
      <c r="DA60" s="60">
        <f t="shared" si="277"/>
        <v>8.6544277821252785E-4</v>
      </c>
      <c r="DB60" s="60">
        <f t="shared" si="277"/>
        <v>0.69595476294040892</v>
      </c>
      <c r="DC60" s="60">
        <f t="shared" si="277"/>
        <v>0.69595476294040892</v>
      </c>
      <c r="DD60" s="60">
        <f t="shared" si="277"/>
        <v>0.13919095258808178</v>
      </c>
      <c r="DE60" s="60">
        <f t="shared" si="277"/>
        <v>0.14336668116572424</v>
      </c>
      <c r="DF60" s="60">
        <f t="shared" si="277"/>
        <v>0.13919095258808178</v>
      </c>
      <c r="DG60" s="60">
        <f t="shared" si="277"/>
        <v>0.13919095258808178</v>
      </c>
      <c r="DH60" s="60">
        <f t="shared" si="277"/>
        <v>0.13919095258808178</v>
      </c>
      <c r="DI60" s="60">
        <f t="shared" si="277"/>
        <v>0.13919095258808178</v>
      </c>
      <c r="DJ60" s="60">
        <f t="shared" si="277"/>
        <v>0.14336668116572424</v>
      </c>
      <c r="DK60" s="60">
        <f t="shared" si="277"/>
        <v>0.13919095258808178</v>
      </c>
      <c r="DL60" s="60">
        <f t="shared" si="277"/>
        <v>0.14336668116572424</v>
      </c>
      <c r="DM60" s="15"/>
      <c r="DN60" s="15"/>
      <c r="DO60" s="15"/>
      <c r="DP60" s="15"/>
      <c r="DQ60" s="15"/>
      <c r="DR60" s="15"/>
      <c r="DS60" s="15"/>
      <c r="DT60" s="15"/>
      <c r="DU60" s="15"/>
      <c r="DV60" s="15"/>
      <c r="DW60" s="15"/>
      <c r="DX60" s="15"/>
      <c r="DY60" s="15"/>
      <c r="DZ60" s="15"/>
      <c r="EA60" s="15"/>
      <c r="EB60" s="60">
        <f t="shared" ref="EB60" si="278">IFERROR(EB12/$B60,0)</f>
        <v>7.8453645310297892E-4</v>
      </c>
      <c r="EC60" s="71">
        <f>IFERROR(up_RadSpec!$I$12*EC12,".")*$B$60</f>
        <v>2.6125000000000002E-3</v>
      </c>
      <c r="ED60" s="71">
        <f>IFERROR(up_RadSpec!$F$12*ED12,".")</f>
        <v>0</v>
      </c>
      <c r="EE60" s="71">
        <f>IFERROR(up_RadSpec!$M$12*EE12,".")*$B$60</f>
        <v>2.3858447488584478E-7</v>
      </c>
      <c r="EF60" s="71">
        <f>up_b2w!CC60</f>
        <v>160038489674289.13</v>
      </c>
      <c r="EG60" s="71">
        <f>IFERROR(up_RadSpec!$H$12*EG12,".")*$B$60</f>
        <v>7.1843750000000008E-5</v>
      </c>
      <c r="EH60" s="71">
        <f>IFERROR(up_RadSpec!$H$12*EH12,".")*$B$60</f>
        <v>7.1843750000000008E-5</v>
      </c>
      <c r="EI60" s="71">
        <f>IFERROR(up_RadSpec!$H$12*EI12,".")*$B$60</f>
        <v>3.5921875E-4</v>
      </c>
      <c r="EJ60" s="71">
        <f>IFERROR(up_RadSpec!$H$12*EJ12,".")*$B$60</f>
        <v>3.487560679611651E-4</v>
      </c>
      <c r="EK60" s="71">
        <f>IFERROR(up_RadSpec!$H$12*EK12,".")*$B$60</f>
        <v>3.5921875E-4</v>
      </c>
      <c r="EL60" s="71">
        <f>IFERROR(up_RadSpec!$H$12*EL12,".")*$B$60</f>
        <v>3.5921875E-4</v>
      </c>
      <c r="EM60" s="71">
        <f>IFERROR(up_RadSpec!$H$12*EM12,".")*$B$60</f>
        <v>3.5921875E-4</v>
      </c>
      <c r="EN60" s="71">
        <f>IFERROR(up_RadSpec!$H$12*EN12,".")*$B$60</f>
        <v>3.5921875E-4</v>
      </c>
      <c r="EO60" s="71">
        <f>IFERROR(up_RadSpec!$H$12*EO12,".")*$B$60</f>
        <v>3.487560679611651E-4</v>
      </c>
      <c r="EP60" s="71">
        <f>IFERROR(up_RadSpec!$H$12*EP12,".")*$B$60</f>
        <v>3.5921875E-4</v>
      </c>
      <c r="EQ60" s="71">
        <f>IFERROR(up_RadSpec!$H$12*EQ12,".")*$B$60</f>
        <v>3.487560679611651E-4</v>
      </c>
      <c r="ER60" s="49">
        <f t="shared" si="209"/>
        <v>2.6125000000000002E-3</v>
      </c>
      <c r="ES60" s="49">
        <f t="shared" si="209"/>
        <v>0</v>
      </c>
      <c r="ET60" s="49">
        <f t="shared" si="209"/>
        <v>2.3858447488584478E-7</v>
      </c>
      <c r="EU60" s="49">
        <f t="shared" si="209"/>
        <v>1</v>
      </c>
      <c r="EV60" s="49">
        <f t="shared" si="209"/>
        <v>7.1843750000000008E-5</v>
      </c>
      <c r="EW60" s="49">
        <f t="shared" si="209"/>
        <v>7.1843750000000008E-5</v>
      </c>
      <c r="EX60" s="49">
        <f t="shared" si="209"/>
        <v>3.5921875E-4</v>
      </c>
      <c r="EY60" s="49">
        <f t="shared" si="209"/>
        <v>3.487560679611651E-4</v>
      </c>
      <c r="EZ60" s="49">
        <f t="shared" si="209"/>
        <v>3.5921875E-4</v>
      </c>
      <c r="FA60" s="49">
        <f t="shared" si="209"/>
        <v>3.5921875E-4</v>
      </c>
      <c r="FB60" s="49">
        <f t="shared" si="209"/>
        <v>3.5921875E-4</v>
      </c>
      <c r="FC60" s="49">
        <f t="shared" si="209"/>
        <v>3.5921875E-4</v>
      </c>
      <c r="FD60" s="49">
        <f t="shared" si="209"/>
        <v>3.487560679611651E-4</v>
      </c>
      <c r="FE60" s="49">
        <f t="shared" si="209"/>
        <v>3.5921875E-4</v>
      </c>
      <c r="FF60" s="49">
        <f t="shared" si="209"/>
        <v>3.487560679611651E-4</v>
      </c>
      <c r="FG60" s="49">
        <f t="shared" si="210"/>
        <v>1</v>
      </c>
      <c r="FH60" s="60">
        <f>IFERROR(FH12/$B60,0)</f>
        <v>5.2494873547505129E-2</v>
      </c>
      <c r="FI60" s="60">
        <f>IFERROR(FI12/$B60,0)</f>
        <v>335.31100478468898</v>
      </c>
      <c r="FJ60" s="60">
        <f>IFERROR(FJ12/$B60,0)</f>
        <v>5.2486656458431404E-2</v>
      </c>
      <c r="FK60" s="71">
        <f>IFERROR(up_RadSpec!$F$12*FK12,".")*$B$60</f>
        <v>9.5247395833333328E-4</v>
      </c>
      <c r="FL60" s="71">
        <f>IFERROR(up_RadSpec!$K$12*FL12,".")*$B$60</f>
        <v>1.4911529680365299E-7</v>
      </c>
      <c r="FM60" s="49">
        <f t="shared" si="211"/>
        <v>9.5247395833333328E-4</v>
      </c>
      <c r="FN60" s="49">
        <f t="shared" si="211"/>
        <v>1.4911529680365299E-7</v>
      </c>
      <c r="FO60" s="49">
        <f t="shared" si="212"/>
        <v>9.5262307363013692E-4</v>
      </c>
    </row>
    <row r="61" spans="1:171" x14ac:dyDescent="0.25">
      <c r="A61" s="83" t="s">
        <v>1096</v>
      </c>
      <c r="B61" s="42">
        <v>1</v>
      </c>
      <c r="C61" s="249"/>
      <c r="D61" s="60">
        <f t="shared" ref="D61:O61" si="279">IFERROR(D18/$B61,0)</f>
        <v>1.6528925619834712E-11</v>
      </c>
      <c r="E61" s="60">
        <f t="shared" si="279"/>
        <v>6.6115702479338848E-11</v>
      </c>
      <c r="F61" s="60">
        <f t="shared" si="279"/>
        <v>6.6115702479338848E-11</v>
      </c>
      <c r="G61" s="60">
        <f t="shared" si="279"/>
        <v>6.6115702479338848E-11</v>
      </c>
      <c r="H61" s="60">
        <f t="shared" si="279"/>
        <v>6.6115702479338848E-11</v>
      </c>
      <c r="I61" s="60">
        <f t="shared" si="279"/>
        <v>6.6115702479338848E-11</v>
      </c>
      <c r="J61" s="60">
        <f t="shared" si="279"/>
        <v>6.6115702479338848E-11</v>
      </c>
      <c r="K61" s="60">
        <f t="shared" si="279"/>
        <v>6.6115702479338848E-11</v>
      </c>
      <c r="L61" s="60">
        <f t="shared" si="279"/>
        <v>6.6115702479338848E-11</v>
      </c>
      <c r="M61" s="60">
        <f t="shared" si="279"/>
        <v>6.6115702479338848E-11</v>
      </c>
      <c r="N61" s="60">
        <f t="shared" si="279"/>
        <v>6.6115702479338848E-11</v>
      </c>
      <c r="O61" s="60">
        <f t="shared" si="279"/>
        <v>6.6115702479338848E-11</v>
      </c>
      <c r="P61" s="71">
        <f>up_dir!BC61</f>
        <v>3025000</v>
      </c>
      <c r="Q61" s="71">
        <f>IFERROR(up_RadSpec!$H$18*Q18,".")*$B$61</f>
        <v>756250</v>
      </c>
      <c r="R61" s="71">
        <f>IFERROR(up_RadSpec!$H$18*R18,".")*$B$61</f>
        <v>756250</v>
      </c>
      <c r="S61" s="71">
        <f>IFERROR(up_RadSpec!$H$18*S18,".")*$B$61</f>
        <v>756250</v>
      </c>
      <c r="T61" s="71">
        <f>IFERROR(up_RadSpec!$H$18*T18,".")*$B$61</f>
        <v>756250</v>
      </c>
      <c r="U61" s="71">
        <f>IFERROR(up_RadSpec!$H$18*U18,".")*$B$61</f>
        <v>756250</v>
      </c>
      <c r="V61" s="71">
        <f>IFERROR(up_RadSpec!$H$18*V18,".")*$B$61</f>
        <v>756250</v>
      </c>
      <c r="W61" s="71">
        <f>IFERROR(up_RadSpec!$H$18*W18,".")*$B$61</f>
        <v>756250</v>
      </c>
      <c r="X61" s="71">
        <f>IFERROR(up_RadSpec!$H$18*X18,".")*$B$61</f>
        <v>756250</v>
      </c>
      <c r="Y61" s="71">
        <f>IFERROR(up_RadSpec!$H$18*Y18,".")*$B$61</f>
        <v>756250</v>
      </c>
      <c r="Z61" s="71">
        <f>IFERROR(up_RadSpec!$H$18*Z18,".")*$B$61</f>
        <v>756250</v>
      </c>
      <c r="AA61" s="71">
        <f>IFERROR(up_RadSpec!$H$18*AA18,".")*$B$61</f>
        <v>756250</v>
      </c>
      <c r="AB61" s="49">
        <f t="shared" si="201"/>
        <v>1</v>
      </c>
      <c r="AC61" s="49">
        <f t="shared" si="201"/>
        <v>1</v>
      </c>
      <c r="AD61" s="49">
        <f t="shared" si="201"/>
        <v>1</v>
      </c>
      <c r="AE61" s="49">
        <f t="shared" si="201"/>
        <v>1</v>
      </c>
      <c r="AF61" s="49">
        <f t="shared" si="201"/>
        <v>1</v>
      </c>
      <c r="AG61" s="49">
        <f t="shared" si="201"/>
        <v>1</v>
      </c>
      <c r="AH61" s="49">
        <f t="shared" si="201"/>
        <v>1</v>
      </c>
      <c r="AI61" s="49">
        <f t="shared" si="201"/>
        <v>1</v>
      </c>
      <c r="AJ61" s="49">
        <f t="shared" si="201"/>
        <v>1</v>
      </c>
      <c r="AK61" s="49">
        <f t="shared" si="201"/>
        <v>1</v>
      </c>
      <c r="AL61" s="49">
        <f t="shared" si="201"/>
        <v>1</v>
      </c>
      <c r="AM61" s="49">
        <f t="shared" si="201"/>
        <v>1</v>
      </c>
      <c r="AN61" s="60">
        <f t="shared" ref="AN61:BB61" si="280">IFERROR(AN18/$B61,0)</f>
        <v>3.3057851239669421E-8</v>
      </c>
      <c r="AO61" s="60">
        <f t="shared" si="280"/>
        <v>3.0899917851942918E-4</v>
      </c>
      <c r="AP61" s="60">
        <f t="shared" si="280"/>
        <v>1.4924627075710669E-5</v>
      </c>
      <c r="AQ61" s="60">
        <f t="shared" si="280"/>
        <v>3.2968835384132272E-12</v>
      </c>
      <c r="AR61" s="60">
        <f t="shared" si="280"/>
        <v>6.6115702479338848E-11</v>
      </c>
      <c r="AS61" s="60">
        <f t="shared" si="280"/>
        <v>6.6115702479338848E-11</v>
      </c>
      <c r="AT61" s="60">
        <f t="shared" si="280"/>
        <v>1.8558793678410904E-14</v>
      </c>
      <c r="AU61" s="60">
        <f t="shared" si="280"/>
        <v>1.9115557488763232E-14</v>
      </c>
      <c r="AV61" s="60">
        <f t="shared" si="280"/>
        <v>1.8558793678410904E-14</v>
      </c>
      <c r="AW61" s="60">
        <f t="shared" si="280"/>
        <v>1.8558793678410904E-14</v>
      </c>
      <c r="AX61" s="60">
        <f t="shared" si="280"/>
        <v>1.8558793678410904E-14</v>
      </c>
      <c r="AY61" s="60">
        <f t="shared" si="280"/>
        <v>1.8558793678410904E-14</v>
      </c>
      <c r="AZ61" s="60">
        <f t="shared" si="280"/>
        <v>1.9115557488763232E-14</v>
      </c>
      <c r="BA61" s="60">
        <f t="shared" si="280"/>
        <v>1.8558793678410904E-14</v>
      </c>
      <c r="BB61" s="60">
        <f t="shared" si="280"/>
        <v>1.9115557488763232E-14</v>
      </c>
      <c r="BC61" s="42"/>
      <c r="BD61" s="42"/>
      <c r="BE61" s="42"/>
      <c r="BF61" s="42"/>
      <c r="BG61" s="42"/>
      <c r="BH61" s="42"/>
      <c r="BI61" s="42"/>
      <c r="BJ61" s="42"/>
      <c r="BK61" s="42"/>
      <c r="BL61" s="42"/>
      <c r="BM61" s="42"/>
      <c r="BN61" s="42"/>
      <c r="BO61" s="42"/>
      <c r="BP61" s="42"/>
      <c r="BQ61" s="42"/>
      <c r="BR61" s="60">
        <f t="shared" ref="BR61" si="281">IFERROR(BR18/$B61,0)</f>
        <v>2.0808592668674383E-15</v>
      </c>
      <c r="BS61" s="71">
        <f>IFERROR(up_RadSpec!$E$18*BS18,".")*$B$61</f>
        <v>1512.5</v>
      </c>
      <c r="BT61" s="71">
        <f>IFERROR(up_RadSpec!$F$18*BT18,".")*$B$61</f>
        <v>0.16181272791589676</v>
      </c>
      <c r="BU61" s="71">
        <f>IFERROR(up_RadSpec!$G$18*BU18,".")*$B$61</f>
        <v>3.350167461227445</v>
      </c>
      <c r="BV61" s="71">
        <f>up_b2s!CC61</f>
        <v>15165837.5</v>
      </c>
      <c r="BW61" s="71">
        <f>IFERROR(up_RadSpec!$H$18*BW18,".")*$B$61</f>
        <v>756250</v>
      </c>
      <c r="BX61" s="71">
        <f>IFERROR(up_RadSpec!$H$18*BX18,".")*$B$61</f>
        <v>756250</v>
      </c>
      <c r="BY61" s="71">
        <f>IFERROR(up_RadSpec!$H$18*BY18,".")*$B$61</f>
        <v>2694140625</v>
      </c>
      <c r="BZ61" s="71">
        <f>IFERROR(up_RadSpec!$H$18*BZ18,".")*$B$61</f>
        <v>2615670509.7087379</v>
      </c>
      <c r="CA61" s="71">
        <f>IFERROR(up_RadSpec!$H$18*CA18,".")*$B$61</f>
        <v>2694140625</v>
      </c>
      <c r="CB61" s="71">
        <f>IFERROR(up_RadSpec!$H$18*CB18,".")*$B$61</f>
        <v>2694140625</v>
      </c>
      <c r="CC61" s="71">
        <f>IFERROR(up_RadSpec!$H$18*CC18,".")*$B$61</f>
        <v>2694140625</v>
      </c>
      <c r="CD61" s="71">
        <f>IFERROR(up_RadSpec!$H$18*CD18,".")*$B$61</f>
        <v>2694140625</v>
      </c>
      <c r="CE61" s="71">
        <f>IFERROR(up_RadSpec!$H$18*CE18,".")*$B$61</f>
        <v>2615670509.7087379</v>
      </c>
      <c r="CF61" s="71">
        <f>IFERROR(up_RadSpec!$H$18*CF18,".")*$B$61</f>
        <v>2694140625</v>
      </c>
      <c r="CG61" s="71">
        <f>IFERROR(up_RadSpec!$H$18*CG18,".")*$B$61</f>
        <v>2615670509.7087379</v>
      </c>
      <c r="CH61" s="49">
        <f t="shared" si="204"/>
        <v>1</v>
      </c>
      <c r="CI61" s="49">
        <f t="shared" si="204"/>
        <v>0.14939951664921358</v>
      </c>
      <c r="CJ61" s="49">
        <f t="shared" si="204"/>
        <v>0.96492152067624437</v>
      </c>
      <c r="CK61" s="49">
        <f t="shared" si="204"/>
        <v>1</v>
      </c>
      <c r="CL61" s="49">
        <f t="shared" si="204"/>
        <v>1</v>
      </c>
      <c r="CM61" s="49">
        <f t="shared" si="204"/>
        <v>1</v>
      </c>
      <c r="CN61" s="49">
        <f t="shared" si="204"/>
        <v>1</v>
      </c>
      <c r="CO61" s="49">
        <f t="shared" si="204"/>
        <v>1</v>
      </c>
      <c r="CP61" s="49">
        <f t="shared" si="204"/>
        <v>1</v>
      </c>
      <c r="CQ61" s="49">
        <f t="shared" si="204"/>
        <v>1</v>
      </c>
      <c r="CR61" s="49">
        <f t="shared" si="204"/>
        <v>1</v>
      </c>
      <c r="CS61" s="49">
        <f t="shared" si="204"/>
        <v>1</v>
      </c>
      <c r="CT61" s="49">
        <f t="shared" si="204"/>
        <v>1</v>
      </c>
      <c r="CU61" s="49">
        <f t="shared" si="204"/>
        <v>1</v>
      </c>
      <c r="CV61" s="49">
        <f t="shared" si="204"/>
        <v>1</v>
      </c>
      <c r="CW61" s="49">
        <f t="shared" si="205"/>
        <v>1</v>
      </c>
      <c r="CX61" s="60">
        <f t="shared" ref="CX61" si="282">IFERROR(CX18/$B61,0)</f>
        <v>3.6363636363636369E-10</v>
      </c>
      <c r="CY61" s="60" t="str">
        <f>IFERROR(CY18,".")</f>
        <v>.</v>
      </c>
      <c r="CZ61" s="60">
        <f t="shared" ref="CZ61:DL61" si="283">IFERROR(CZ18/$B61,0)</f>
        <v>3.9818181818181825E-6</v>
      </c>
      <c r="DA61" s="60">
        <f t="shared" si="283"/>
        <v>1.6443412786038031E-11</v>
      </c>
      <c r="DB61" s="60">
        <f t="shared" si="283"/>
        <v>1.322314049586777E-8</v>
      </c>
      <c r="DC61" s="60">
        <f t="shared" si="283"/>
        <v>1.322314049586777E-8</v>
      </c>
      <c r="DD61" s="60">
        <f t="shared" si="283"/>
        <v>2.6446280991735539E-9</v>
      </c>
      <c r="DE61" s="60">
        <f t="shared" si="283"/>
        <v>2.7239669421487605E-9</v>
      </c>
      <c r="DF61" s="60">
        <f t="shared" si="283"/>
        <v>2.6446280991735539E-9</v>
      </c>
      <c r="DG61" s="60">
        <f t="shared" si="283"/>
        <v>2.6446280991735539E-9</v>
      </c>
      <c r="DH61" s="60">
        <f t="shared" si="283"/>
        <v>2.6446280991735539E-9</v>
      </c>
      <c r="DI61" s="60">
        <f t="shared" si="283"/>
        <v>2.6446280991735539E-9</v>
      </c>
      <c r="DJ61" s="60">
        <f t="shared" si="283"/>
        <v>2.7239669421487605E-9</v>
      </c>
      <c r="DK61" s="60">
        <f t="shared" si="283"/>
        <v>2.6446280991735539E-9</v>
      </c>
      <c r="DL61" s="60">
        <f t="shared" si="283"/>
        <v>2.7239669421487605E-9</v>
      </c>
      <c r="DM61" s="15"/>
      <c r="DN61" s="15"/>
      <c r="DO61" s="15"/>
      <c r="DP61" s="15"/>
      <c r="DQ61" s="15"/>
      <c r="DR61" s="15"/>
      <c r="DS61" s="15"/>
      <c r="DT61" s="15"/>
      <c r="DU61" s="15"/>
      <c r="DV61" s="15"/>
      <c r="DW61" s="15"/>
      <c r="DX61" s="15"/>
      <c r="DY61" s="15"/>
      <c r="DZ61" s="15"/>
      <c r="EA61" s="15"/>
      <c r="EB61" s="60">
        <f t="shared" ref="EB61" si="284">IFERROR(EB18/$B61,0)</f>
        <v>1.4906192608956601E-11</v>
      </c>
      <c r="EC61" s="71">
        <f>IFERROR(up_RadSpec!$I$18*EC18,".")*$B$61</f>
        <v>137500</v>
      </c>
      <c r="ED61" s="71">
        <f>IFERROR(up_RadSpec!$F$18*ED18,".")</f>
        <v>0</v>
      </c>
      <c r="EE61" s="71">
        <f>IFERROR(up_RadSpec!$M$18*EE18,".")*$B$61</f>
        <v>12.557077625570777</v>
      </c>
      <c r="EF61" s="71">
        <f>up_b2w!CC61</f>
        <v>3040731.3038114933</v>
      </c>
      <c r="EG61" s="71">
        <f>IFERROR(up_RadSpec!$H$18*EG18,".")*$B$61</f>
        <v>3781.25</v>
      </c>
      <c r="EH61" s="71">
        <f>IFERROR(up_RadSpec!$H$18*EH18,".")*$B$61</f>
        <v>3781.25</v>
      </c>
      <c r="EI61" s="71">
        <f>IFERROR(up_RadSpec!$H$18*EI18,".")*$B$61</f>
        <v>18906.25</v>
      </c>
      <c r="EJ61" s="71">
        <f>IFERROR(up_RadSpec!$H$18*EJ18,".")*$B$61</f>
        <v>18355.582524271846</v>
      </c>
      <c r="EK61" s="71">
        <f>IFERROR(up_RadSpec!$H$18*EK18,".")*$B$61</f>
        <v>18906.25</v>
      </c>
      <c r="EL61" s="71">
        <f>IFERROR(up_RadSpec!$H$18*EL18,".")*$B$61</f>
        <v>18906.25</v>
      </c>
      <c r="EM61" s="71">
        <f>IFERROR(up_RadSpec!$H$18*EM18,".")*$B$61</f>
        <v>18906.25</v>
      </c>
      <c r="EN61" s="71">
        <f>IFERROR(up_RadSpec!$H$18*EN18,".")*$B$61</f>
        <v>18906.25</v>
      </c>
      <c r="EO61" s="71">
        <f>IFERROR(up_RadSpec!$H$18*EO18,".")*$B$61</f>
        <v>18355.582524271846</v>
      </c>
      <c r="EP61" s="71">
        <f>IFERROR(up_RadSpec!$H$18*EP18,".")*$B$61</f>
        <v>18906.25</v>
      </c>
      <c r="EQ61" s="71">
        <f>IFERROR(up_RadSpec!$H$18*EQ18,".")*$B$61</f>
        <v>18355.582524271846</v>
      </c>
      <c r="ER61" s="49">
        <f t="shared" si="209"/>
        <v>1</v>
      </c>
      <c r="ES61" s="49">
        <f t="shared" si="209"/>
        <v>0</v>
      </c>
      <c r="ET61" s="49">
        <f t="shared" si="209"/>
        <v>0.99999648009875997</v>
      </c>
      <c r="EU61" s="49">
        <f t="shared" si="209"/>
        <v>1</v>
      </c>
      <c r="EV61" s="49">
        <f t="shared" si="209"/>
        <v>1</v>
      </c>
      <c r="EW61" s="49">
        <f t="shared" si="209"/>
        <v>1</v>
      </c>
      <c r="EX61" s="49">
        <f t="shared" si="209"/>
        <v>1</v>
      </c>
      <c r="EY61" s="49">
        <f t="shared" si="209"/>
        <v>1</v>
      </c>
      <c r="EZ61" s="49">
        <f t="shared" si="209"/>
        <v>1</v>
      </c>
      <c r="FA61" s="49">
        <f t="shared" si="209"/>
        <v>1</v>
      </c>
      <c r="FB61" s="49">
        <f t="shared" si="209"/>
        <v>1</v>
      </c>
      <c r="FC61" s="49">
        <f t="shared" si="209"/>
        <v>1</v>
      </c>
      <c r="FD61" s="49">
        <f t="shared" si="209"/>
        <v>1</v>
      </c>
      <c r="FE61" s="49">
        <f t="shared" si="209"/>
        <v>1</v>
      </c>
      <c r="FF61" s="49">
        <f t="shared" si="209"/>
        <v>1</v>
      </c>
      <c r="FG61" s="49">
        <f t="shared" si="210"/>
        <v>1</v>
      </c>
      <c r="FH61" s="60">
        <f>IFERROR(FH18/$B61,0)</f>
        <v>9.9740259740259755E-10</v>
      </c>
      <c r="FI61" s="60">
        <f>IFERROR(FI18/$B61,0)</f>
        <v>6.3709090909090908E-6</v>
      </c>
      <c r="FJ61" s="60">
        <f>IFERROR(FJ18/$B61,0)</f>
        <v>9.9724647271019672E-10</v>
      </c>
      <c r="FK61" s="71">
        <f>IFERROR(up_RadSpec!$F$18*FK18,".")*$B$61</f>
        <v>50130.208333333328</v>
      </c>
      <c r="FL61" s="71">
        <f>IFERROR(up_RadSpec!$K$18*FL18,".")*$B$61</f>
        <v>7.8481735159817356</v>
      </c>
      <c r="FM61" s="49">
        <f t="shared" si="211"/>
        <v>1</v>
      </c>
      <c r="FN61" s="49">
        <f t="shared" si="211"/>
        <v>0.99960953550549536</v>
      </c>
      <c r="FO61" s="49">
        <f t="shared" si="212"/>
        <v>1</v>
      </c>
    </row>
    <row r="62" spans="1:171" x14ac:dyDescent="0.25">
      <c r="A62" s="83" t="s">
        <v>1097</v>
      </c>
      <c r="B62" s="42">
        <v>1.339E-6</v>
      </c>
      <c r="C62" s="249"/>
      <c r="D62" s="60">
        <f t="shared" ref="D62:O62" si="285">IFERROR(D27/$B62,0)</f>
        <v>1.2344231232139441E-5</v>
      </c>
      <c r="E62" s="60">
        <f t="shared" si="285"/>
        <v>4.9376924928557765E-5</v>
      </c>
      <c r="F62" s="60">
        <f t="shared" si="285"/>
        <v>4.9376924928557765E-5</v>
      </c>
      <c r="G62" s="60">
        <f t="shared" si="285"/>
        <v>4.9376924928557765E-5</v>
      </c>
      <c r="H62" s="60">
        <f t="shared" si="285"/>
        <v>4.9376924928557765E-5</v>
      </c>
      <c r="I62" s="60">
        <f t="shared" si="285"/>
        <v>4.9376924928557765E-5</v>
      </c>
      <c r="J62" s="60">
        <f t="shared" si="285"/>
        <v>4.9376924928557765E-5</v>
      </c>
      <c r="K62" s="60">
        <f t="shared" si="285"/>
        <v>4.9376924928557765E-5</v>
      </c>
      <c r="L62" s="60">
        <f t="shared" si="285"/>
        <v>4.9376924928557765E-5</v>
      </c>
      <c r="M62" s="60">
        <f t="shared" si="285"/>
        <v>4.9376924928557765E-5</v>
      </c>
      <c r="N62" s="60">
        <f t="shared" si="285"/>
        <v>4.9376924928557765E-5</v>
      </c>
      <c r="O62" s="60">
        <f t="shared" si="285"/>
        <v>4.9376924928557765E-5</v>
      </c>
      <c r="P62" s="71">
        <f>up_dir!BC62</f>
        <v>2259148618371.9194</v>
      </c>
      <c r="Q62" s="71">
        <f>IFERROR(up_RadSpec!$H$27*Q27,".")*$B$62</f>
        <v>1.0126187499999999</v>
      </c>
      <c r="R62" s="71">
        <f>IFERROR(up_RadSpec!$H$27*R27,".")*$B$62</f>
        <v>1.0126187499999999</v>
      </c>
      <c r="S62" s="71">
        <f>IFERROR(up_RadSpec!$H$27*S27,".")*$B$62</f>
        <v>1.0126187499999999</v>
      </c>
      <c r="T62" s="71">
        <f>IFERROR(up_RadSpec!$H$27*T27,".")*$B$62</f>
        <v>1.0126187499999999</v>
      </c>
      <c r="U62" s="71">
        <f>IFERROR(up_RadSpec!$H$27*U27,".")*$B$62</f>
        <v>1.0126187499999999</v>
      </c>
      <c r="V62" s="71">
        <f>IFERROR(up_RadSpec!$H$27*V27,".")*$B$62</f>
        <v>1.0126187499999999</v>
      </c>
      <c r="W62" s="71">
        <f>IFERROR(up_RadSpec!$H$27*W27,".")*$B$62</f>
        <v>1.0126187499999999</v>
      </c>
      <c r="X62" s="71">
        <f>IFERROR(up_RadSpec!$H$27*X27,".")*$B$62</f>
        <v>1.0126187499999999</v>
      </c>
      <c r="Y62" s="71">
        <f>IFERROR(up_RadSpec!$H$27*Y27,".")*$B$62</f>
        <v>1.0126187499999999</v>
      </c>
      <c r="Z62" s="71">
        <f>IFERROR(up_RadSpec!$H$27*Z27,".")*$B$62</f>
        <v>1.0126187499999999</v>
      </c>
      <c r="AA62" s="71">
        <f>IFERROR(up_RadSpec!$H$27*AA27,".")*$B$62</f>
        <v>1.0126187499999999</v>
      </c>
      <c r="AB62" s="49">
        <f t="shared" si="201"/>
        <v>1</v>
      </c>
      <c r="AC62" s="49">
        <f t="shared" si="201"/>
        <v>0.63673357109083517</v>
      </c>
      <c r="AD62" s="49">
        <f t="shared" si="201"/>
        <v>0.63673357109083517</v>
      </c>
      <c r="AE62" s="49">
        <f t="shared" si="201"/>
        <v>0.63673357109083517</v>
      </c>
      <c r="AF62" s="49">
        <f t="shared" si="201"/>
        <v>0.63673357109083517</v>
      </c>
      <c r="AG62" s="49">
        <f t="shared" si="201"/>
        <v>0.63673357109083517</v>
      </c>
      <c r="AH62" s="49">
        <f t="shared" si="201"/>
        <v>0.63673357109083517</v>
      </c>
      <c r="AI62" s="49">
        <f t="shared" si="201"/>
        <v>0.63673357109083517</v>
      </c>
      <c r="AJ62" s="49">
        <f t="shared" si="201"/>
        <v>0.63673357109083517</v>
      </c>
      <c r="AK62" s="49">
        <f t="shared" si="201"/>
        <v>0.63673357109083517</v>
      </c>
      <c r="AL62" s="49">
        <f t="shared" si="201"/>
        <v>0.63673357109083517</v>
      </c>
      <c r="AM62" s="49">
        <f t="shared" si="201"/>
        <v>0.63673357109083517</v>
      </c>
      <c r="AN62" s="60">
        <f t="shared" ref="AN62:BB62" si="286">IFERROR(AN27/$B62,0)</f>
        <v>2.4688462464278881E-2</v>
      </c>
      <c r="AO62" s="60">
        <f t="shared" si="286"/>
        <v>230.76861726619057</v>
      </c>
      <c r="AP62" s="60">
        <f t="shared" si="286"/>
        <v>18.292084804507244</v>
      </c>
      <c r="AQ62" s="60">
        <f t="shared" si="286"/>
        <v>2.4621983109882206E-6</v>
      </c>
      <c r="AR62" s="60">
        <f t="shared" si="286"/>
        <v>4.9376924928557765E-5</v>
      </c>
      <c r="AS62" s="60">
        <f t="shared" si="286"/>
        <v>4.9376924928557765E-5</v>
      </c>
      <c r="AT62" s="60">
        <f t="shared" si="286"/>
        <v>1.3860189453630249E-8</v>
      </c>
      <c r="AU62" s="60">
        <f t="shared" si="286"/>
        <v>1.4275995137239157E-8</v>
      </c>
      <c r="AV62" s="60">
        <f t="shared" si="286"/>
        <v>1.3860189453630249E-8</v>
      </c>
      <c r="AW62" s="60">
        <f t="shared" si="286"/>
        <v>1.3860189453630249E-8</v>
      </c>
      <c r="AX62" s="60">
        <f t="shared" si="286"/>
        <v>1.3860189453630249E-8</v>
      </c>
      <c r="AY62" s="60">
        <f t="shared" si="286"/>
        <v>1.3860189453630249E-8</v>
      </c>
      <c r="AZ62" s="60">
        <f t="shared" si="286"/>
        <v>1.4275995137239157E-8</v>
      </c>
      <c r="BA62" s="60">
        <f t="shared" si="286"/>
        <v>1.3860189453630249E-8</v>
      </c>
      <c r="BB62" s="60">
        <f t="shared" si="286"/>
        <v>1.4275995137239157E-8</v>
      </c>
      <c r="BC62" s="42"/>
      <c r="BD62" s="42"/>
      <c r="BE62" s="42"/>
      <c r="BF62" s="42"/>
      <c r="BG62" s="42"/>
      <c r="BH62" s="42"/>
      <c r="BI62" s="42"/>
      <c r="BJ62" s="42"/>
      <c r="BK62" s="42"/>
      <c r="BL62" s="42"/>
      <c r="BM62" s="42"/>
      <c r="BN62" s="42"/>
      <c r="BO62" s="42"/>
      <c r="BP62" s="42"/>
      <c r="BQ62" s="42"/>
      <c r="BR62" s="60">
        <f t="shared" ref="BR62" si="287">IFERROR(BR27/$B62,0)</f>
        <v>1.5540397811656294E-9</v>
      </c>
      <c r="BS62" s="71">
        <f>IFERROR(up_RadSpec!$E$27*BS27,".")*$B$62</f>
        <v>2.0252375000000002E-3</v>
      </c>
      <c r="BT62" s="71">
        <f>IFERROR(up_RadSpec!$F$27*BT27,".")*$B$62</f>
        <v>2.1666724267938577E-7</v>
      </c>
      <c r="BU62" s="71">
        <f>IFERROR(up_RadSpec!$G$27*BU27,".")*$B$62</f>
        <v>2.7334227090221995E-6</v>
      </c>
      <c r="BV62" s="71">
        <f>up_b2s!CC62</f>
        <v>11326241598207.617</v>
      </c>
      <c r="BW62" s="71">
        <f>IFERROR(up_RadSpec!$H$27*BW27,".")*$B$62</f>
        <v>1.0126187499999999</v>
      </c>
      <c r="BX62" s="71">
        <f>IFERROR(up_RadSpec!$H$27*BX27,".")*$B$62</f>
        <v>1.0126187499999999</v>
      </c>
      <c r="BY62" s="71">
        <f>IFERROR(up_RadSpec!$H$27*BY27,".")*$B$62</f>
        <v>3607.4542968750002</v>
      </c>
      <c r="BZ62" s="71">
        <f>IFERROR(up_RadSpec!$H$27*BZ27,".")*$B$62</f>
        <v>3502.3828125</v>
      </c>
      <c r="CA62" s="71">
        <f>IFERROR(up_RadSpec!$H$27*CA27,".")*$B$62</f>
        <v>3607.4542968750002</v>
      </c>
      <c r="CB62" s="71">
        <f>IFERROR(up_RadSpec!$H$27*CB27,".")*$B$62</f>
        <v>3607.4542968750002</v>
      </c>
      <c r="CC62" s="71">
        <f>IFERROR(up_RadSpec!$H$27*CC27,".")*$B$62</f>
        <v>3607.4542968750002</v>
      </c>
      <c r="CD62" s="71">
        <f>IFERROR(up_RadSpec!$H$27*CD27,".")*$B$62</f>
        <v>3607.4542968750002</v>
      </c>
      <c r="CE62" s="71">
        <f>IFERROR(up_RadSpec!$H$27*CE27,".")*$B$62</f>
        <v>3502.3828125</v>
      </c>
      <c r="CF62" s="71">
        <f>IFERROR(up_RadSpec!$H$27*CF27,".")*$B$62</f>
        <v>3607.4542968750002</v>
      </c>
      <c r="CG62" s="71">
        <f>IFERROR(up_RadSpec!$H$27*CG27,".")*$B$62</f>
        <v>3502.3828125</v>
      </c>
      <c r="CH62" s="49">
        <f t="shared" si="204"/>
        <v>2.0252375000000002E-3</v>
      </c>
      <c r="CI62" s="49">
        <f t="shared" si="204"/>
        <v>2.1666724267938577E-7</v>
      </c>
      <c r="CJ62" s="49">
        <f t="shared" si="204"/>
        <v>2.7334227090221995E-6</v>
      </c>
      <c r="CK62" s="49">
        <f t="shared" si="204"/>
        <v>1</v>
      </c>
      <c r="CL62" s="49">
        <f t="shared" si="204"/>
        <v>0.63673357109083517</v>
      </c>
      <c r="CM62" s="49">
        <f t="shared" si="204"/>
        <v>0.63673357109083517</v>
      </c>
      <c r="CN62" s="49">
        <f t="shared" si="204"/>
        <v>1</v>
      </c>
      <c r="CO62" s="49">
        <f t="shared" si="204"/>
        <v>1</v>
      </c>
      <c r="CP62" s="49">
        <f t="shared" si="204"/>
        <v>1</v>
      </c>
      <c r="CQ62" s="49">
        <f t="shared" si="204"/>
        <v>1</v>
      </c>
      <c r="CR62" s="49">
        <f t="shared" si="204"/>
        <v>1</v>
      </c>
      <c r="CS62" s="49">
        <f t="shared" si="204"/>
        <v>1</v>
      </c>
      <c r="CT62" s="49">
        <f t="shared" si="204"/>
        <v>1</v>
      </c>
      <c r="CU62" s="49">
        <f t="shared" si="204"/>
        <v>1</v>
      </c>
      <c r="CV62" s="49">
        <f t="shared" si="204"/>
        <v>1</v>
      </c>
      <c r="CW62" s="49">
        <f t="shared" si="205"/>
        <v>1</v>
      </c>
      <c r="CX62" s="60">
        <f t="shared" ref="CX62" si="288">IFERROR(CX27/$B62,0)</f>
        <v>2.715730871070677E-4</v>
      </c>
      <c r="CY62" s="60" t="str">
        <f>IFERROR(CY27,".")</f>
        <v>.</v>
      </c>
      <c r="CZ62" s="60">
        <f t="shared" ref="CZ62:DL62" si="289">IFERROR(CZ27/$B62,0)</f>
        <v>2.9737253038223916</v>
      </c>
      <c r="DA62" s="60">
        <f t="shared" si="289"/>
        <v>1.2280368025420486E-5</v>
      </c>
      <c r="DB62" s="60">
        <f t="shared" si="289"/>
        <v>9.8753849857115533E-3</v>
      </c>
      <c r="DC62" s="60">
        <f t="shared" si="289"/>
        <v>9.8753849857115533E-3</v>
      </c>
      <c r="DD62" s="60">
        <f t="shared" si="289"/>
        <v>1.9750769971423107E-3</v>
      </c>
      <c r="DE62" s="60">
        <f t="shared" si="289"/>
        <v>2.0343293070565799E-3</v>
      </c>
      <c r="DF62" s="60">
        <f t="shared" si="289"/>
        <v>1.9750769971423107E-3</v>
      </c>
      <c r="DG62" s="60">
        <f t="shared" si="289"/>
        <v>1.9750769971423107E-3</v>
      </c>
      <c r="DH62" s="60">
        <f t="shared" si="289"/>
        <v>1.9750769971423107E-3</v>
      </c>
      <c r="DI62" s="60">
        <f t="shared" si="289"/>
        <v>1.9750769971423107E-3</v>
      </c>
      <c r="DJ62" s="60">
        <f t="shared" si="289"/>
        <v>2.0343293070565799E-3</v>
      </c>
      <c r="DK62" s="60">
        <f t="shared" si="289"/>
        <v>1.9750769971423107E-3</v>
      </c>
      <c r="DL62" s="60">
        <f t="shared" si="289"/>
        <v>2.0343293070565799E-3</v>
      </c>
      <c r="DM62" s="15"/>
      <c r="DN62" s="15"/>
      <c r="DO62" s="15"/>
      <c r="DP62" s="15"/>
      <c r="DQ62" s="15"/>
      <c r="DR62" s="15"/>
      <c r="DS62" s="15"/>
      <c r="DT62" s="15"/>
      <c r="DU62" s="15"/>
      <c r="DV62" s="15"/>
      <c r="DW62" s="15"/>
      <c r="DX62" s="15"/>
      <c r="DY62" s="15"/>
      <c r="DZ62" s="15"/>
      <c r="EA62" s="15"/>
      <c r="EB62" s="60">
        <f t="shared" ref="EB62" si="290">IFERROR(EB27/$B62,0)</f>
        <v>1.1132332045523973E-5</v>
      </c>
      <c r="EC62" s="71">
        <f>IFERROR(up_RadSpec!$I$27*EC27,".")*$B$62</f>
        <v>0.18411250000000001</v>
      </c>
      <c r="ED62" s="71">
        <f>IFERROR(up_RadSpec!$F$27*ED27,".")</f>
        <v>0</v>
      </c>
      <c r="EE62" s="71">
        <f>IFERROR(up_RadSpec!$M$27*EE27,".")*$B$62</f>
        <v>1.6813926940639269E-5</v>
      </c>
      <c r="EF62" s="71">
        <f>up_b2w!CC62</f>
        <v>2270897164907.7622</v>
      </c>
      <c r="EG62" s="71">
        <f>IFERROR(up_RadSpec!$H$27*EG27,".")*$B$62</f>
        <v>5.0630937499999999E-3</v>
      </c>
      <c r="EH62" s="71">
        <f>IFERROR(up_RadSpec!$H$27*EH27,".")*$B$62</f>
        <v>5.0630937499999999E-3</v>
      </c>
      <c r="EI62" s="71">
        <f>IFERROR(up_RadSpec!$H$27*EI27,".")*$B$62</f>
        <v>2.531546875E-2</v>
      </c>
      <c r="EJ62" s="71">
        <f>IFERROR(up_RadSpec!$H$27*EJ27,".")*$B$62</f>
        <v>2.4578125000000003E-2</v>
      </c>
      <c r="EK62" s="71">
        <f>IFERROR(up_RadSpec!$H$27*EK27,".")*$B$62</f>
        <v>2.531546875E-2</v>
      </c>
      <c r="EL62" s="71">
        <f>IFERROR(up_RadSpec!$H$27*EL27,".")*$B$62</f>
        <v>2.531546875E-2</v>
      </c>
      <c r="EM62" s="71">
        <f>IFERROR(up_RadSpec!$H$27*EM27,".")*$B$62</f>
        <v>2.531546875E-2</v>
      </c>
      <c r="EN62" s="71">
        <f>IFERROR(up_RadSpec!$H$27*EN27,".")*$B$62</f>
        <v>2.531546875E-2</v>
      </c>
      <c r="EO62" s="71">
        <f>IFERROR(up_RadSpec!$H$27*EO27,".")*$B$62</f>
        <v>2.4578125000000003E-2</v>
      </c>
      <c r="EP62" s="71">
        <f>IFERROR(up_RadSpec!$H$27*EP27,".")*$B$62</f>
        <v>2.531546875E-2</v>
      </c>
      <c r="EQ62" s="71">
        <f>IFERROR(up_RadSpec!$H$27*EQ27,".")*$B$62</f>
        <v>2.4578125000000003E-2</v>
      </c>
      <c r="ER62" s="49">
        <f t="shared" si="209"/>
        <v>0.16815778368686241</v>
      </c>
      <c r="ES62" s="49">
        <f t="shared" si="209"/>
        <v>0</v>
      </c>
      <c r="ET62" s="49">
        <f t="shared" si="209"/>
        <v>1.6813926940639269E-5</v>
      </c>
      <c r="EU62" s="49">
        <f t="shared" si="209"/>
        <v>1</v>
      </c>
      <c r="EV62" s="49">
        <f t="shared" si="209"/>
        <v>5.0630937499999999E-3</v>
      </c>
      <c r="EW62" s="49">
        <f t="shared" si="209"/>
        <v>5.0630937499999999E-3</v>
      </c>
      <c r="EX62" s="49">
        <f t="shared" si="209"/>
        <v>2.4997719243899708E-2</v>
      </c>
      <c r="EY62" s="49">
        <f t="shared" si="209"/>
        <v>2.4278542298218797E-2</v>
      </c>
      <c r="EZ62" s="49">
        <f t="shared" si="209"/>
        <v>2.4997719243899708E-2</v>
      </c>
      <c r="FA62" s="49">
        <f t="shared" si="209"/>
        <v>2.4997719243899708E-2</v>
      </c>
      <c r="FB62" s="49">
        <f t="shared" si="209"/>
        <v>2.4997719243899708E-2</v>
      </c>
      <c r="FC62" s="49">
        <f t="shared" si="209"/>
        <v>2.4997719243899708E-2</v>
      </c>
      <c r="FD62" s="49">
        <f t="shared" si="209"/>
        <v>2.4278542298218797E-2</v>
      </c>
      <c r="FE62" s="49">
        <f t="shared" si="209"/>
        <v>2.4997719243899708E-2</v>
      </c>
      <c r="FF62" s="49">
        <f t="shared" si="209"/>
        <v>2.4278542298218797E-2</v>
      </c>
      <c r="FG62" s="49">
        <f t="shared" si="210"/>
        <v>1</v>
      </c>
      <c r="FH62" s="60">
        <f>IFERROR(FH27/$B62,0)</f>
        <v>7.4488618177938576E-4</v>
      </c>
      <c r="FI62" s="60">
        <f>IFERROR(FI27/$B62,0)</f>
        <v>4.7579604861158256</v>
      </c>
      <c r="FJ62" s="60">
        <f>IFERROR(FJ27/$B62,0)</f>
        <v>7.4476958380149125E-4</v>
      </c>
      <c r="FK62" s="71">
        <f>IFERROR(up_RadSpec!$F$27*FK27,".")*$B$62</f>
        <v>6.712434895833333E-2</v>
      </c>
      <c r="FL62" s="71">
        <f>IFERROR(up_RadSpec!$K$27*FL27,".")*$B$62</f>
        <v>1.0508704337899545E-5</v>
      </c>
      <c r="FM62" s="49">
        <f t="shared" si="211"/>
        <v>6.4921081982343365E-2</v>
      </c>
      <c r="FN62" s="49">
        <f t="shared" si="211"/>
        <v>1.0508704337899545E-5</v>
      </c>
      <c r="FO62" s="49">
        <f t="shared" si="212"/>
        <v>6.4930908398593834E-2</v>
      </c>
    </row>
    <row r="63" spans="1:171" x14ac:dyDescent="0.25">
      <c r="A63" s="82" t="s">
        <v>35</v>
      </c>
      <c r="B63" s="82" t="s">
        <v>1071</v>
      </c>
      <c r="C63" s="57"/>
      <c r="D63" s="58">
        <f t="shared" ref="D63:O63" si="291">1/SUM(1/D64,1/D65,1/D66,1/D67,1/D68,1/D69,1/D70,1/D71,1/D72,1/D73,1/D74,1/D75,1/D76)</f>
        <v>2.0661153517562577E-12</v>
      </c>
      <c r="E63" s="58">
        <f t="shared" si="291"/>
        <v>8.264461407025031E-12</v>
      </c>
      <c r="F63" s="58">
        <f t="shared" si="291"/>
        <v>8.264461407025031E-12</v>
      </c>
      <c r="G63" s="58">
        <f t="shared" si="291"/>
        <v>8.264461407025031E-12</v>
      </c>
      <c r="H63" s="58">
        <f t="shared" si="291"/>
        <v>8.264461407025031E-12</v>
      </c>
      <c r="I63" s="58">
        <f t="shared" si="291"/>
        <v>8.264461407025031E-12</v>
      </c>
      <c r="J63" s="58">
        <f t="shared" si="291"/>
        <v>8.264461407025031E-12</v>
      </c>
      <c r="K63" s="58">
        <f t="shared" si="291"/>
        <v>8.264461407025031E-12</v>
      </c>
      <c r="L63" s="58">
        <f t="shared" si="291"/>
        <v>8.264461407025031E-12</v>
      </c>
      <c r="M63" s="58">
        <f t="shared" si="291"/>
        <v>8.264461407025031E-12</v>
      </c>
      <c r="N63" s="58">
        <f t="shared" si="291"/>
        <v>8.264461407025031E-12</v>
      </c>
      <c r="O63" s="58">
        <f t="shared" si="291"/>
        <v>8.264461407025031E-12</v>
      </c>
      <c r="P63" s="73"/>
      <c r="Q63" s="70"/>
      <c r="R63" s="70"/>
      <c r="S63" s="70"/>
      <c r="T63" s="70"/>
      <c r="U63" s="70"/>
      <c r="V63" s="70"/>
      <c r="W63" s="70"/>
      <c r="X63" s="70"/>
      <c r="Y63" s="70"/>
      <c r="Z63" s="70"/>
      <c r="AA63" s="70"/>
      <c r="AB63" s="47">
        <f t="shared" ref="AB63:AM63" si="292">IFERROR(IF(SUM(P64:P76)&gt;0.01,1-EXP(-SUM(P64:P76)),SUM(P64:P76)),".")</f>
        <v>1</v>
      </c>
      <c r="AC63" s="47">
        <f t="shared" si="292"/>
        <v>1</v>
      </c>
      <c r="AD63" s="47">
        <f t="shared" si="292"/>
        <v>1</v>
      </c>
      <c r="AE63" s="47">
        <f t="shared" si="292"/>
        <v>1</v>
      </c>
      <c r="AF63" s="47">
        <f t="shared" si="292"/>
        <v>1</v>
      </c>
      <c r="AG63" s="47">
        <f t="shared" si="292"/>
        <v>1</v>
      </c>
      <c r="AH63" s="47">
        <f t="shared" si="292"/>
        <v>1</v>
      </c>
      <c r="AI63" s="47">
        <f t="shared" si="292"/>
        <v>1</v>
      </c>
      <c r="AJ63" s="47">
        <f t="shared" si="292"/>
        <v>1</v>
      </c>
      <c r="AK63" s="47">
        <f t="shared" si="292"/>
        <v>1</v>
      </c>
      <c r="AL63" s="47">
        <f t="shared" si="292"/>
        <v>1</v>
      </c>
      <c r="AM63" s="47">
        <f t="shared" si="292"/>
        <v>1</v>
      </c>
      <c r="AN63" s="58">
        <f t="shared" ref="AN63" si="293">1/SUM(1/AN64,1/AN65,1/AN66,1/AN67,1/AN68,1/AN69,1/AN70,1/AN71,1/AN72,1/AN73,1/AN74,1/AN75,1/AN76)</f>
        <v>4.1322307035125151E-9</v>
      </c>
      <c r="AO63" s="58">
        <f t="shared" ref="AO63" si="294">1/SUM(1/AO64,1/AO65,1/AO66,1/AO67,1/AO68,1/AO69,1/AO70,1/AO71,1/AO72,1/AO73,1/AO74,1/AO75,1/AO76)</f>
        <v>3.8624890758353446E-5</v>
      </c>
      <c r="AP63" s="58">
        <f>1/SUM(1/AP64,1/AP66,1/AP68,1/AP69,1/AP70,1/AP71,1/AP72,1/AP73,1/AP74,1/AP75,1/AP76)</f>
        <v>3.0008372097034527E-6</v>
      </c>
      <c r="AQ63" s="58">
        <f t="shared" ref="AQ63" si="295">1/SUM(1/AQ64,1/AQ65,1/AQ66,1/AQ67,1/AQ68,1/AQ69,1/AQ70,1/AQ71,1/AQ72,1/AQ73,1/AQ74,1/AQ75,1/AQ76)</f>
        <v>4.1211037234591761E-13</v>
      </c>
      <c r="AR63" s="58">
        <f t="shared" ref="AR63" si="296">1/SUM(1/AR64,1/AR65,1/AR66,1/AR67,1/AR68,1/AR69,1/AR70,1/AR71,1/AR72,1/AR73,1/AR74,1/AR75,1/AR76)</f>
        <v>8.264461407025031E-12</v>
      </c>
      <c r="AS63" s="58">
        <f t="shared" ref="AS63" si="297">1/SUM(1/AS64,1/AS65,1/AS66,1/AS67,1/AS68,1/AS69,1/AS70,1/AS71,1/AS72,1/AS73,1/AS74,1/AS75,1/AS76)</f>
        <v>8.264461407025031E-12</v>
      </c>
      <c r="AT63" s="58">
        <f t="shared" ref="AT63" si="298">1/SUM(1/AT64,1/AT65,1/AT66,1/AT67,1/AT68,1/AT69,1/AT70,1/AT71,1/AT72,1/AT73,1/AT74,1/AT75,1/AT76)</f>
        <v>2.3198488160070265E-15</v>
      </c>
      <c r="AU63" s="58">
        <f t="shared" ref="AU63" si="299">1/SUM(1/AU64,1/AU65,1/AU66,1/AU67,1/AU68,1/AU69,1/AU70,1/AU71,1/AU72,1/AU73,1/AU74,1/AU75,1/AU76)</f>
        <v>2.3894442804872372E-15</v>
      </c>
      <c r="AV63" s="58">
        <f t="shared" ref="AV63" si="300">1/SUM(1/AV64,1/AV65,1/AV66,1/AV67,1/AV68,1/AV69,1/AV70,1/AV71,1/AV72,1/AV73,1/AV74,1/AV75,1/AV76)</f>
        <v>2.3198488160070265E-15</v>
      </c>
      <c r="AW63" s="58">
        <f t="shared" ref="AW63" si="301">1/SUM(1/AW64,1/AW65,1/AW66,1/AW67,1/AW68,1/AW69,1/AW70,1/AW71,1/AW72,1/AW73,1/AW74,1/AW75,1/AW76)</f>
        <v>2.3198488160070265E-15</v>
      </c>
      <c r="AX63" s="58">
        <f t="shared" ref="AX63" si="302">1/SUM(1/AX64,1/AX65,1/AX66,1/AX67,1/AX68,1/AX69,1/AX70,1/AX71,1/AX72,1/AX73,1/AX74,1/AX75,1/AX76)</f>
        <v>2.3198488160070265E-15</v>
      </c>
      <c r="AY63" s="58">
        <f t="shared" ref="AY63" si="303">1/SUM(1/AY64,1/AY65,1/AY66,1/AY67,1/AY68,1/AY69,1/AY70,1/AY71,1/AY72,1/AY73,1/AY74,1/AY75,1/AY76)</f>
        <v>2.3198488160070265E-15</v>
      </c>
      <c r="AZ63" s="58">
        <f t="shared" ref="AZ63" si="304">1/SUM(1/AZ64,1/AZ65,1/AZ66,1/AZ67,1/AZ68,1/AZ69,1/AZ70,1/AZ71,1/AZ72,1/AZ73,1/AZ74,1/AZ75,1/AZ76)</f>
        <v>2.3894442804872372E-15</v>
      </c>
      <c r="BA63" s="58">
        <f t="shared" ref="BA63" si="305">1/SUM(1/BA64,1/BA65,1/BA66,1/BA67,1/BA68,1/BA69,1/BA70,1/BA71,1/BA72,1/BA73,1/BA74,1/BA75,1/BA76)</f>
        <v>2.3198488160070265E-15</v>
      </c>
      <c r="BB63" s="58">
        <f t="shared" ref="BB63" si="306">1/SUM(1/BB64,1/BB65,1/BB66,1/BB67,1/BB68,1/BB69,1/BB70,1/BB71,1/BB72,1/BB73,1/BB74,1/BB75,1/BB76)</f>
        <v>2.3894442804872372E-15</v>
      </c>
      <c r="BC63" s="42"/>
      <c r="BD63" s="42"/>
      <c r="BE63" s="42"/>
      <c r="BF63" s="42"/>
      <c r="BG63" s="42"/>
      <c r="BH63" s="42"/>
      <c r="BI63" s="42"/>
      <c r="BJ63" s="42"/>
      <c r="BK63" s="42"/>
      <c r="BL63" s="42"/>
      <c r="BM63" s="42"/>
      <c r="BN63" s="42"/>
      <c r="BO63" s="42"/>
      <c r="BP63" s="42"/>
      <c r="BQ63" s="42"/>
      <c r="BR63" s="58">
        <f t="shared" ref="BR63" si="307">1/SUM(1/BR64,1/BR65,1/BR66,1/BR67,1/BR68,1/BR69,1/BR70,1/BR71,1/BR72,1/BR73,1/BR74,1/BR75,1/BR76)</f>
        <v>2.6010736421892439E-16</v>
      </c>
      <c r="BS63" s="70"/>
      <c r="BT63" s="70"/>
      <c r="BU63" s="70"/>
      <c r="BV63" s="73"/>
      <c r="BW63" s="70"/>
      <c r="BX63" s="70"/>
      <c r="BY63" s="70"/>
      <c r="BZ63" s="70"/>
      <c r="CA63" s="70"/>
      <c r="CB63" s="70"/>
      <c r="CC63" s="70"/>
      <c r="CD63" s="70"/>
      <c r="CE63" s="70"/>
      <c r="CF63" s="70"/>
      <c r="CG63" s="70"/>
      <c r="CH63" s="47">
        <f t="shared" ref="CH63:CV63" si="308">IFERROR(IF(SUM(BS64:BS76)&gt;0.01,1-EXP(-SUM(BS64:BS76)),SUM(BS64:BS76)),".")</f>
        <v>1</v>
      </c>
      <c r="CI63" s="47">
        <f t="shared" si="308"/>
        <v>0.7259657123649399</v>
      </c>
      <c r="CJ63" s="47">
        <f t="shared" si="308"/>
        <v>0.99999994195323161</v>
      </c>
      <c r="CK63" s="47">
        <f t="shared" si="308"/>
        <v>1</v>
      </c>
      <c r="CL63" s="47">
        <f t="shared" si="308"/>
        <v>1</v>
      </c>
      <c r="CM63" s="47">
        <f t="shared" si="308"/>
        <v>1</v>
      </c>
      <c r="CN63" s="47">
        <f t="shared" si="308"/>
        <v>1</v>
      </c>
      <c r="CO63" s="47">
        <f t="shared" si="308"/>
        <v>1</v>
      </c>
      <c r="CP63" s="47">
        <f t="shared" si="308"/>
        <v>1</v>
      </c>
      <c r="CQ63" s="47">
        <f t="shared" si="308"/>
        <v>1</v>
      </c>
      <c r="CR63" s="47">
        <f t="shared" si="308"/>
        <v>1</v>
      </c>
      <c r="CS63" s="47">
        <f t="shared" si="308"/>
        <v>1</v>
      </c>
      <c r="CT63" s="47">
        <f t="shared" si="308"/>
        <v>1</v>
      </c>
      <c r="CU63" s="47">
        <f t="shared" si="308"/>
        <v>1</v>
      </c>
      <c r="CV63" s="47">
        <f t="shared" si="308"/>
        <v>1</v>
      </c>
      <c r="CW63" s="47">
        <f>IFERROR(IF(SUM(BS64:CG76)&gt;0.01,1-EXP(-SUM(BS64:CG76)),SUM(BS64:CG76)),".")</f>
        <v>1</v>
      </c>
      <c r="CX63" s="58">
        <f t="shared" ref="CX63" si="309">1/SUM(1/CX64,1/CX65,1/CX66,1/CX67,1/CX68,1/CX69,1/CX70,1/CX71,1/CX72,1/CX73,1/CX74,1/CX75,1/CX76)</f>
        <v>4.5454537738637678E-11</v>
      </c>
      <c r="CY63" s="58">
        <f>1/SUM(1/CY64,1/CY65,1/CY66,1/CY68)</f>
        <v>1.0219583103014988E-9</v>
      </c>
      <c r="CZ63" s="58">
        <f t="shared" ref="CZ63" si="310">1/SUM(1/CZ64,1/CZ65,1/CZ66,1/CZ67,1/CZ68,1/CZ69,1/CZ70,1/CZ71,1/CZ72,1/CZ73,1/CZ74,1/CZ75,1/CZ76)</f>
        <v>4.9772718823808261E-7</v>
      </c>
      <c r="DA63" s="58">
        <f t="shared" ref="DA63" si="311">1/SUM(1/DA64,1/DA65,1/DA66,1/DA67,1/DA68,1/DA69,1/DA70,1/DA71,1/DA72,1/DA73,1/DA74,1/DA75,1/DA76)</f>
        <v>2.0554262493461482E-12</v>
      </c>
      <c r="DB63" s="58">
        <f t="shared" ref="DB63" si="312">1/SUM(1/DB64,1/DB65,1/DB66,1/DB67,1/DB68,1/DB69,1/DB70,1/DB71,1/DB72,1/DB73,1/DB74,1/DB75,1/DB76)</f>
        <v>1.6528922814050065E-9</v>
      </c>
      <c r="DC63" s="58">
        <f t="shared" ref="DC63" si="313">1/SUM(1/DC64,1/DC65,1/DC66,1/DC67,1/DC68,1/DC69,1/DC70,1/DC71,1/DC72,1/DC73,1/DC74,1/DC75,1/DC76)</f>
        <v>1.6528922814050065E-9</v>
      </c>
      <c r="DD63" s="58">
        <f t="shared" ref="DD63" si="314">1/SUM(1/DD64,1/DD65,1/DD66,1/DD67,1/DD68,1/DD69,1/DD70,1/DD71,1/DD72,1/DD73,1/DD74,1/DD75,1/DD76)</f>
        <v>3.3057845628100137E-10</v>
      </c>
      <c r="DE63" s="58">
        <f t="shared" ref="DE63" si="315">1/SUM(1/DE64,1/DE65,1/DE66,1/DE67,1/DE68,1/DE69,1/DE70,1/DE71,1/DE72,1/DE73,1/DE74,1/DE75,1/DE76)</f>
        <v>3.4049580996943124E-10</v>
      </c>
      <c r="DF63" s="58">
        <f t="shared" ref="DF63" si="316">1/SUM(1/DF64,1/DF65,1/DF66,1/DF67,1/DF68,1/DF69,1/DF70,1/DF71,1/DF72,1/DF73,1/DF74,1/DF75,1/DF76)</f>
        <v>3.3057845628100137E-10</v>
      </c>
      <c r="DG63" s="58">
        <f t="shared" ref="DG63" si="317">1/SUM(1/DG64,1/DG65,1/DG66,1/DG67,1/DG68,1/DG69,1/DG70,1/DG71,1/DG72,1/DG73,1/DG74,1/DG75,1/DG76)</f>
        <v>3.3057845628100137E-10</v>
      </c>
      <c r="DH63" s="58">
        <f t="shared" ref="DH63" si="318">1/SUM(1/DH64,1/DH65,1/DH66,1/DH67,1/DH68,1/DH69,1/DH70,1/DH71,1/DH72,1/DH73,1/DH74,1/DH75,1/DH76)</f>
        <v>3.3057845628100137E-10</v>
      </c>
      <c r="DI63" s="58">
        <f t="shared" ref="DI63" si="319">1/SUM(1/DI64,1/DI65,1/DI66,1/DI67,1/DI68,1/DI69,1/DI70,1/DI71,1/DI72,1/DI73,1/DI74,1/DI75,1/DI76)</f>
        <v>3.3057845628100137E-10</v>
      </c>
      <c r="DJ63" s="58">
        <f t="shared" ref="DJ63" si="320">1/SUM(1/DJ64,1/DJ65,1/DJ66,1/DJ67,1/DJ68,1/DJ69,1/DJ70,1/DJ71,1/DJ72,1/DJ73,1/DJ74,1/DJ75,1/DJ76)</f>
        <v>3.4049580996943124E-10</v>
      </c>
      <c r="DK63" s="58">
        <f t="shared" ref="DK63" si="321">1/SUM(1/DK64,1/DK65,1/DK66,1/DK67,1/DK68,1/DK69,1/DK70,1/DK71,1/DK72,1/DK73,1/DK74,1/DK75,1/DK76)</f>
        <v>3.3057845628100137E-10</v>
      </c>
      <c r="DL63" s="58">
        <f t="shared" ref="DL63" si="322">1/SUM(1/DL64,1/DL65,1/DL66,1/DL67,1/DL68,1/DL69,1/DL70,1/DL71,1/DL72,1/DL73,1/DL74,1/DL75,1/DL76)</f>
        <v>3.4049580996943124E-10</v>
      </c>
      <c r="DM63" s="15"/>
      <c r="DN63" s="15"/>
      <c r="DO63" s="15"/>
      <c r="DP63" s="15"/>
      <c r="DQ63" s="15"/>
      <c r="DR63" s="15"/>
      <c r="DS63" s="15"/>
      <c r="DT63" s="15"/>
      <c r="DU63" s="15"/>
      <c r="DV63" s="15"/>
      <c r="DW63" s="15"/>
      <c r="DX63" s="15"/>
      <c r="DY63" s="15"/>
      <c r="DZ63" s="15"/>
      <c r="EA63" s="15"/>
      <c r="EB63" s="58">
        <f t="shared" ref="EB63" si="323">1/SUM(1/EB64,1/EB65,1/EB66,1/EB67,1/EB68,1/EB69,1/EB70,1/EB71,1/EB72,1/EB73,1/EB74,1/EB75,1/EB76)</f>
        <v>1.8597945597978549E-12</v>
      </c>
      <c r="EC63" s="70"/>
      <c r="ED63" s="70"/>
      <c r="EE63" s="70"/>
      <c r="EF63" s="73"/>
      <c r="EG63" s="70"/>
      <c r="EH63" s="70"/>
      <c r="EI63" s="70"/>
      <c r="EJ63" s="70"/>
      <c r="EK63" s="70"/>
      <c r="EL63" s="70"/>
      <c r="EM63" s="70"/>
      <c r="EN63" s="70"/>
      <c r="EO63" s="70"/>
      <c r="EP63" s="70"/>
      <c r="EQ63" s="70"/>
      <c r="ER63" s="47">
        <f t="shared" ref="ER63:FF63" si="324">IFERROR(IF(SUM(EC64:EC76)&gt;0.01,1-EXP(-SUM(EC64:EC76)),SUM(EC64:EC76)),".")</f>
        <v>1</v>
      </c>
      <c r="ES63" s="47">
        <f t="shared" si="324"/>
        <v>1</v>
      </c>
      <c r="ET63" s="47">
        <f t="shared" si="324"/>
        <v>1</v>
      </c>
      <c r="EU63" s="47">
        <f t="shared" si="324"/>
        <v>1</v>
      </c>
      <c r="EV63" s="47">
        <f t="shared" si="324"/>
        <v>1</v>
      </c>
      <c r="EW63" s="47">
        <f t="shared" si="324"/>
        <v>1</v>
      </c>
      <c r="EX63" s="47">
        <f t="shared" si="324"/>
        <v>1</v>
      </c>
      <c r="EY63" s="47">
        <f t="shared" si="324"/>
        <v>1</v>
      </c>
      <c r="EZ63" s="47">
        <f t="shared" si="324"/>
        <v>1</v>
      </c>
      <c r="FA63" s="47">
        <f t="shared" si="324"/>
        <v>1</v>
      </c>
      <c r="FB63" s="47">
        <f t="shared" si="324"/>
        <v>1</v>
      </c>
      <c r="FC63" s="47">
        <f t="shared" si="324"/>
        <v>1</v>
      </c>
      <c r="FD63" s="47">
        <f t="shared" si="324"/>
        <v>1</v>
      </c>
      <c r="FE63" s="47">
        <f t="shared" si="324"/>
        <v>1</v>
      </c>
      <c r="FF63" s="47">
        <f t="shared" si="324"/>
        <v>1</v>
      </c>
      <c r="FG63" s="47">
        <f>IFERROR(IF(SUM(EC64:EQ76)&gt;0.01,1-EXP(-SUM(EC64:EQ76)),SUM(EC64:EQ76)),".")</f>
        <v>1</v>
      </c>
      <c r="FH63" s="59">
        <f>1/SUM(1/FH64,1/FH65,1/FH66,1/FH68,1/FH73,1/FH72,1/FH75)</f>
        <v>1.424901605618203E-10</v>
      </c>
      <c r="FI63" s="59">
        <f t="shared" ref="FI63:FJ63" si="325">1/SUM(1/FI64,1/FI65,1/FI66,1/FI67,1/FI68,1/FI69,1/FI70,1/FI73,1/FI76,1/FI71,1/FI72,1/FI74,1/FI75)</f>
        <v>7.9636350118093191E-7</v>
      </c>
      <c r="FJ63" s="59">
        <f t="shared" si="325"/>
        <v>1.246557879284546E-10</v>
      </c>
      <c r="FK63" s="70"/>
      <c r="FL63" s="70"/>
      <c r="FM63" s="47">
        <f>IFERROR(IF(SUM(FK64:FK76)&gt;0.01,1-EXP(-SUM(FK64:FK76)),SUM(FK64:FK76)),".")</f>
        <v>1</v>
      </c>
      <c r="FN63" s="47">
        <f>IFERROR(IF(SUM(FL64:FL76)&gt;0.01,1-EXP(-SUM(FL64:FL76)),SUM(FL64:FL76)),".")</f>
        <v>1</v>
      </c>
      <c r="FO63" s="47">
        <f>IFERROR(IF(SUM(FK64:FL76)&gt;0.01,1-EXP(-SUM(FK64:FL76)),SUM(FK64:FL76)),".")</f>
        <v>1</v>
      </c>
    </row>
    <row r="64" spans="1:171" x14ac:dyDescent="0.25">
      <c r="A64" s="83" t="s">
        <v>1087</v>
      </c>
      <c r="B64" s="42">
        <v>1</v>
      </c>
      <c r="C64" s="178"/>
      <c r="D64" s="60">
        <f t="shared" ref="D64:O64" si="326">IFERROR(D25/$B50,0)</f>
        <v>1.6528925619834712E-11</v>
      </c>
      <c r="E64" s="60">
        <f t="shared" si="326"/>
        <v>6.6115702479338848E-11</v>
      </c>
      <c r="F64" s="60">
        <f t="shared" si="326"/>
        <v>6.6115702479338848E-11</v>
      </c>
      <c r="G64" s="60">
        <f t="shared" si="326"/>
        <v>6.6115702479338848E-11</v>
      </c>
      <c r="H64" s="60">
        <f t="shared" si="326"/>
        <v>6.6115702479338848E-11</v>
      </c>
      <c r="I64" s="60">
        <f t="shared" si="326"/>
        <v>6.6115702479338848E-11</v>
      </c>
      <c r="J64" s="60">
        <f t="shared" si="326"/>
        <v>6.6115702479338848E-11</v>
      </c>
      <c r="K64" s="60">
        <f t="shared" si="326"/>
        <v>6.6115702479338848E-11</v>
      </c>
      <c r="L64" s="60">
        <f t="shared" si="326"/>
        <v>6.6115702479338848E-11</v>
      </c>
      <c r="M64" s="60">
        <f t="shared" si="326"/>
        <v>6.6115702479338848E-11</v>
      </c>
      <c r="N64" s="60">
        <f t="shared" si="326"/>
        <v>6.6115702479338848E-11</v>
      </c>
      <c r="O64" s="60">
        <f t="shared" si="326"/>
        <v>6.6115702479338848E-11</v>
      </c>
      <c r="P64" s="71">
        <f>up_dir!BC64</f>
        <v>3025000</v>
      </c>
      <c r="Q64" s="71">
        <f>IFERROR(up_RadSpec!$H$25*Q25,".")*$B$64</f>
        <v>756250</v>
      </c>
      <c r="R64" s="71">
        <f>IFERROR(up_RadSpec!$H$25*R25,".")*$B$64</f>
        <v>756250</v>
      </c>
      <c r="S64" s="71">
        <f>IFERROR(up_RadSpec!$H$25*S25,".")*$B$64</f>
        <v>756250</v>
      </c>
      <c r="T64" s="71">
        <f>IFERROR(up_RadSpec!$H$25*T25,".")*$B$64</f>
        <v>756250</v>
      </c>
      <c r="U64" s="71">
        <f>IFERROR(up_RadSpec!$H$25*U25,".")*$B$64</f>
        <v>756250</v>
      </c>
      <c r="V64" s="71">
        <f>IFERROR(up_RadSpec!$H$25*V25,".")*$B$64</f>
        <v>756250</v>
      </c>
      <c r="W64" s="71">
        <f>IFERROR(up_RadSpec!$H$25*W25,".")*$B$64</f>
        <v>756250</v>
      </c>
      <c r="X64" s="71">
        <f>IFERROR(up_RadSpec!$H$25*X25,".")*$B$64</f>
        <v>756250</v>
      </c>
      <c r="Y64" s="71">
        <f>IFERROR(up_RadSpec!$H$25*Y25,".")*$B$64</f>
        <v>756250</v>
      </c>
      <c r="Z64" s="71">
        <f>IFERROR(up_RadSpec!$H$25*Z25,".")*$B$64</f>
        <v>756250</v>
      </c>
      <c r="AA64" s="71">
        <f>IFERROR(up_RadSpec!$H$25*AA25,".")*$B$64</f>
        <v>756250</v>
      </c>
      <c r="AB64" s="49">
        <f t="shared" ref="AB64:AM76" si="327">IFERROR(IF(P64&gt;0.01,1-EXP(-P64),P64),".")</f>
        <v>1</v>
      </c>
      <c r="AC64" s="49">
        <f t="shared" si="327"/>
        <v>1</v>
      </c>
      <c r="AD64" s="49">
        <f t="shared" si="327"/>
        <v>1</v>
      </c>
      <c r="AE64" s="49">
        <f t="shared" si="327"/>
        <v>1</v>
      </c>
      <c r="AF64" s="49">
        <f t="shared" si="327"/>
        <v>1</v>
      </c>
      <c r="AG64" s="49">
        <f t="shared" si="327"/>
        <v>1</v>
      </c>
      <c r="AH64" s="49">
        <f t="shared" si="327"/>
        <v>1</v>
      </c>
      <c r="AI64" s="49">
        <f t="shared" si="327"/>
        <v>1</v>
      </c>
      <c r="AJ64" s="49">
        <f t="shared" si="327"/>
        <v>1</v>
      </c>
      <c r="AK64" s="49">
        <f t="shared" si="327"/>
        <v>1</v>
      </c>
      <c r="AL64" s="49">
        <f t="shared" si="327"/>
        <v>1</v>
      </c>
      <c r="AM64" s="49">
        <f t="shared" si="327"/>
        <v>1</v>
      </c>
      <c r="AN64" s="60">
        <f t="shared" ref="AN64:BB64" si="328">IFERROR(AN25/$B50,0)</f>
        <v>3.3057851239669421E-8</v>
      </c>
      <c r="AO64" s="60">
        <f t="shared" si="328"/>
        <v>3.0899917851942918E-4</v>
      </c>
      <c r="AP64" s="60">
        <f t="shared" si="328"/>
        <v>2.1321650237312892E-5</v>
      </c>
      <c r="AQ64" s="60">
        <f t="shared" si="328"/>
        <v>3.2968835384132272E-12</v>
      </c>
      <c r="AR64" s="60">
        <f t="shared" si="328"/>
        <v>6.6115702479338848E-11</v>
      </c>
      <c r="AS64" s="60">
        <f t="shared" si="328"/>
        <v>6.6115702479338848E-11</v>
      </c>
      <c r="AT64" s="60">
        <f t="shared" si="328"/>
        <v>1.8558793678410904E-14</v>
      </c>
      <c r="AU64" s="60">
        <f t="shared" si="328"/>
        <v>1.9115557488763232E-14</v>
      </c>
      <c r="AV64" s="60">
        <f t="shared" si="328"/>
        <v>1.8558793678410904E-14</v>
      </c>
      <c r="AW64" s="60">
        <f t="shared" si="328"/>
        <v>1.8558793678410904E-14</v>
      </c>
      <c r="AX64" s="60">
        <f t="shared" si="328"/>
        <v>1.8558793678410904E-14</v>
      </c>
      <c r="AY64" s="60">
        <f t="shared" si="328"/>
        <v>1.8558793678410904E-14</v>
      </c>
      <c r="AZ64" s="60">
        <f t="shared" si="328"/>
        <v>1.9115557488763232E-14</v>
      </c>
      <c r="BA64" s="60">
        <f t="shared" si="328"/>
        <v>1.8558793678410904E-14</v>
      </c>
      <c r="BB64" s="60">
        <f t="shared" si="328"/>
        <v>1.9115557488763232E-14</v>
      </c>
      <c r="BC64" s="42"/>
      <c r="BD64" s="42"/>
      <c r="BE64" s="42"/>
      <c r="BF64" s="42"/>
      <c r="BG64" s="42"/>
      <c r="BH64" s="42"/>
      <c r="BI64" s="42"/>
      <c r="BJ64" s="42"/>
      <c r="BK64" s="42"/>
      <c r="BL64" s="42"/>
      <c r="BM64" s="42"/>
      <c r="BN64" s="42"/>
      <c r="BO64" s="42"/>
      <c r="BP64" s="42"/>
      <c r="BQ64" s="42"/>
      <c r="BR64" s="60">
        <f t="shared" ref="BR64" si="329">IFERROR(BR25/$B50,0)</f>
        <v>2.0808592669544828E-15</v>
      </c>
      <c r="BS64" s="71">
        <f>IFERROR(up_RadSpec!$E$25*BS25,".")*$B$64</f>
        <v>1512.5</v>
      </c>
      <c r="BT64" s="71">
        <f>IFERROR(up_RadSpec!$F$25*BT25,".")*$B$64</f>
        <v>0.16181272791589676</v>
      </c>
      <c r="BU64" s="71">
        <f>IFERROR(up_RadSpec!$G$25*BU25,".")*$B$64</f>
        <v>2.345034246575342</v>
      </c>
      <c r="BV64" s="71">
        <f>up_b2s!CC64</f>
        <v>15165837.5</v>
      </c>
      <c r="BW64" s="71">
        <f>IFERROR(up_RadSpec!$H$25*BW25,".")*$B$64</f>
        <v>756250</v>
      </c>
      <c r="BX64" s="71">
        <f>IFERROR(up_RadSpec!$H$25*BX25,".")*$B$64</f>
        <v>756250</v>
      </c>
      <c r="BY64" s="71">
        <f>IFERROR(up_RadSpec!$H$25*BY25,".")*$B$64</f>
        <v>2694140625</v>
      </c>
      <c r="BZ64" s="71">
        <f>IFERROR(up_RadSpec!$H$25*BZ25,".")*$B$64</f>
        <v>2615670509.7087379</v>
      </c>
      <c r="CA64" s="71">
        <f>IFERROR(up_RadSpec!$H$25*CA25,".")*$B$64</f>
        <v>2694140625</v>
      </c>
      <c r="CB64" s="71">
        <f>IFERROR(up_RadSpec!$H$25*CB25,".")*$B$64</f>
        <v>2694140625</v>
      </c>
      <c r="CC64" s="71">
        <f>IFERROR(up_RadSpec!$H$25*CC25,".")*$B$64</f>
        <v>2694140625</v>
      </c>
      <c r="CD64" s="71">
        <f>IFERROR(up_RadSpec!$H$25*CD25,".")*$B$64</f>
        <v>2694140625</v>
      </c>
      <c r="CE64" s="71">
        <f>IFERROR(up_RadSpec!$H$25*CE25,".")*$B$64</f>
        <v>2615670509.7087379</v>
      </c>
      <c r="CF64" s="71">
        <f>IFERROR(up_RadSpec!$H$25*CF25,".")*$B$64</f>
        <v>2694140625</v>
      </c>
      <c r="CG64" s="71">
        <f>IFERROR(up_RadSpec!$H$25*CG25,".")*$B$64</f>
        <v>2615670509.7087379</v>
      </c>
      <c r="CH64" s="49">
        <f t="shared" ref="CH64:CV76" si="330">IFERROR(IF(BS64&gt;0.01,1-EXP(-BS64),BS64),".")</f>
        <v>1</v>
      </c>
      <c r="CI64" s="49">
        <f t="shared" si="330"/>
        <v>0.14939951664921358</v>
      </c>
      <c r="CJ64" s="49">
        <f t="shared" si="330"/>
        <v>0.90415608025172489</v>
      </c>
      <c r="CK64" s="49">
        <f t="shared" si="330"/>
        <v>1</v>
      </c>
      <c r="CL64" s="49">
        <f t="shared" si="330"/>
        <v>1</v>
      </c>
      <c r="CM64" s="49">
        <f t="shared" si="330"/>
        <v>1</v>
      </c>
      <c r="CN64" s="49">
        <f t="shared" si="330"/>
        <v>1</v>
      </c>
      <c r="CO64" s="49">
        <f t="shared" si="330"/>
        <v>1</v>
      </c>
      <c r="CP64" s="49">
        <f t="shared" si="330"/>
        <v>1</v>
      </c>
      <c r="CQ64" s="49">
        <f t="shared" si="330"/>
        <v>1</v>
      </c>
      <c r="CR64" s="49">
        <f t="shared" si="330"/>
        <v>1</v>
      </c>
      <c r="CS64" s="49">
        <f t="shared" si="330"/>
        <v>1</v>
      </c>
      <c r="CT64" s="49">
        <f t="shared" si="330"/>
        <v>1</v>
      </c>
      <c r="CU64" s="49">
        <f t="shared" si="330"/>
        <v>1</v>
      </c>
      <c r="CV64" s="49">
        <f t="shared" si="330"/>
        <v>1</v>
      </c>
      <c r="CW64" s="49">
        <f t="shared" ref="CW64:CW76" si="331">IFERROR(IF(SUM(BS64:CG64)&gt;0.01,1-EXP(-SUM(BS64:CG64)),SUM(BS64:CG64)),".")</f>
        <v>1</v>
      </c>
      <c r="CX64" s="60">
        <f t="shared" ref="CX64" si="332">IFERROR(CX25/$B50,0)</f>
        <v>3.6363636363636369E-10</v>
      </c>
      <c r="CY64" s="60">
        <f>IFERROR(CY25,".")</f>
        <v>1.9948051948051951E-9</v>
      </c>
      <c r="CZ64" s="60">
        <f t="shared" ref="CZ64:DL64" si="333">IFERROR(CZ25/$B50,0)</f>
        <v>3.9818181818181825E-6</v>
      </c>
      <c r="DA64" s="60">
        <f t="shared" si="333"/>
        <v>1.6443412786038031E-11</v>
      </c>
      <c r="DB64" s="60">
        <f t="shared" si="333"/>
        <v>1.322314049586777E-8</v>
      </c>
      <c r="DC64" s="60">
        <f t="shared" si="333"/>
        <v>1.322314049586777E-8</v>
      </c>
      <c r="DD64" s="60">
        <f t="shared" si="333"/>
        <v>2.6446280991735539E-9</v>
      </c>
      <c r="DE64" s="60">
        <f t="shared" si="333"/>
        <v>2.7239669421487605E-9</v>
      </c>
      <c r="DF64" s="60">
        <f t="shared" si="333"/>
        <v>2.6446280991735539E-9</v>
      </c>
      <c r="DG64" s="60">
        <f t="shared" si="333"/>
        <v>2.6446280991735539E-9</v>
      </c>
      <c r="DH64" s="60">
        <f t="shared" si="333"/>
        <v>2.6446280991735539E-9</v>
      </c>
      <c r="DI64" s="60">
        <f t="shared" si="333"/>
        <v>2.6446280991735539E-9</v>
      </c>
      <c r="DJ64" s="60">
        <f t="shared" si="333"/>
        <v>2.7239669421487605E-9</v>
      </c>
      <c r="DK64" s="60">
        <f t="shared" si="333"/>
        <v>2.6446280991735539E-9</v>
      </c>
      <c r="DL64" s="60">
        <f t="shared" si="333"/>
        <v>2.7239669421487605E-9</v>
      </c>
      <c r="DM64" s="15"/>
      <c r="DN64" s="15"/>
      <c r="DO64" s="15"/>
      <c r="DP64" s="15"/>
      <c r="DQ64" s="15"/>
      <c r="DR64" s="15"/>
      <c r="DS64" s="15"/>
      <c r="DT64" s="15"/>
      <c r="DU64" s="15"/>
      <c r="DV64" s="15"/>
      <c r="DW64" s="15"/>
      <c r="DX64" s="15"/>
      <c r="DY64" s="15"/>
      <c r="DZ64" s="15"/>
      <c r="EA64" s="15"/>
      <c r="EB64" s="60">
        <f t="shared" ref="EB64" si="334">IFERROR(EB25/$B50,0)</f>
        <v>1.479563216754854E-11</v>
      </c>
      <c r="EC64" s="71">
        <f>IFERROR(up_RadSpec!$I$25*EC25,".")*$B$64</f>
        <v>137500</v>
      </c>
      <c r="ED64" s="71">
        <f>IFERROR(up_RadSpec!$F$25*ED25,".")</f>
        <v>25065.104166666664</v>
      </c>
      <c r="EE64" s="71">
        <f>IFERROR(up_RadSpec!$M$25*EE25,".")*$B$64</f>
        <v>12.557077625570777</v>
      </c>
      <c r="EF64" s="71">
        <f>up_b2w!CC64</f>
        <v>3040731.3038114933</v>
      </c>
      <c r="EG64" s="71">
        <f>IFERROR(up_RadSpec!$H$25*EG25,".")*$B$64</f>
        <v>3781.25</v>
      </c>
      <c r="EH64" s="71">
        <f>IFERROR(up_RadSpec!$H$25*EH25,".")*$B$64</f>
        <v>3781.25</v>
      </c>
      <c r="EI64" s="71">
        <f>IFERROR(up_RadSpec!$H$25*EI25,".")*$B$64</f>
        <v>18906.25</v>
      </c>
      <c r="EJ64" s="71">
        <f>IFERROR(up_RadSpec!$H$25*EJ25,".")*$B$64</f>
        <v>18355.582524271846</v>
      </c>
      <c r="EK64" s="71">
        <f>IFERROR(up_RadSpec!$H$25*EK25,".")*$B$64</f>
        <v>18906.25</v>
      </c>
      <c r="EL64" s="71">
        <f>IFERROR(up_RadSpec!$H$25*EL25,".")*$B$64</f>
        <v>18906.25</v>
      </c>
      <c r="EM64" s="71">
        <f>IFERROR(up_RadSpec!$H$25*EM25,".")*$B$64</f>
        <v>18906.25</v>
      </c>
      <c r="EN64" s="71">
        <f>IFERROR(up_RadSpec!$H$25*EN25,".")*$B$64</f>
        <v>18906.25</v>
      </c>
      <c r="EO64" s="71">
        <f>IFERROR(up_RadSpec!$H$25*EO25,".")*$B$64</f>
        <v>18355.582524271846</v>
      </c>
      <c r="EP64" s="71">
        <f>IFERROR(up_RadSpec!$H$25*EP25,".")*$B$64</f>
        <v>18906.25</v>
      </c>
      <c r="EQ64" s="71">
        <f>IFERROR(up_RadSpec!$H$25*EQ25,".")*$B$64</f>
        <v>18355.582524271846</v>
      </c>
      <c r="ER64" s="49">
        <f t="shared" ref="ER64:FF76" si="335">IFERROR(IF(EC64&gt;0.01,1-EXP(-EC64),EC64),".")</f>
        <v>1</v>
      </c>
      <c r="ES64" s="49">
        <f t="shared" si="335"/>
        <v>1</v>
      </c>
      <c r="ET64" s="49">
        <f t="shared" si="335"/>
        <v>0.99999648009875997</v>
      </c>
      <c r="EU64" s="49">
        <f t="shared" si="335"/>
        <v>1</v>
      </c>
      <c r="EV64" s="49">
        <f t="shared" si="335"/>
        <v>1</v>
      </c>
      <c r="EW64" s="49">
        <f t="shared" si="335"/>
        <v>1</v>
      </c>
      <c r="EX64" s="49">
        <f t="shared" si="335"/>
        <v>1</v>
      </c>
      <c r="EY64" s="49">
        <f t="shared" si="335"/>
        <v>1</v>
      </c>
      <c r="EZ64" s="49">
        <f t="shared" si="335"/>
        <v>1</v>
      </c>
      <c r="FA64" s="49">
        <f t="shared" si="335"/>
        <v>1</v>
      </c>
      <c r="FB64" s="49">
        <f t="shared" si="335"/>
        <v>1</v>
      </c>
      <c r="FC64" s="49">
        <f t="shared" si="335"/>
        <v>1</v>
      </c>
      <c r="FD64" s="49">
        <f t="shared" si="335"/>
        <v>1</v>
      </c>
      <c r="FE64" s="49">
        <f t="shared" si="335"/>
        <v>1</v>
      </c>
      <c r="FF64" s="49">
        <f t="shared" si="335"/>
        <v>1</v>
      </c>
      <c r="FG64" s="49">
        <f t="shared" ref="FG64:FG76" si="336">IFERROR(IF(SUM(EC64:EQ64)&gt;0.01,1-EXP(-SUM(EC64:EQ64)),SUM(EC64:EQ64)),".")</f>
        <v>1</v>
      </c>
      <c r="FH64" s="60">
        <f>IFERROR(FH25/$B50,0)</f>
        <v>9.9740259740259755E-10</v>
      </c>
      <c r="FI64" s="60">
        <f>IFERROR(FI25/$B50,0)</f>
        <v>6.3709090909090908E-6</v>
      </c>
      <c r="FJ64" s="60">
        <f>IFERROR(FJ25/$B50,0)</f>
        <v>9.9724647271019672E-10</v>
      </c>
      <c r="FK64" s="71">
        <f>IFERROR(up_RadSpec!$F$25*FK25,".")*$B$64</f>
        <v>50130.208333333328</v>
      </c>
      <c r="FL64" s="71">
        <f>IFERROR(up_RadSpec!$K$25*FL25,".")*$B$64</f>
        <v>7.8481735159817356</v>
      </c>
      <c r="FM64" s="49">
        <f t="shared" ref="FM64:FN76" si="337">IFERROR(IF(FK64&gt;0.01,1-EXP(-FK64),FK64),".")</f>
        <v>1</v>
      </c>
      <c r="FN64" s="49">
        <f t="shared" si="337"/>
        <v>0.99960953550549536</v>
      </c>
      <c r="FO64" s="49">
        <f t="shared" ref="FO64:FO76" si="338">IFERROR(IF(SUM(FK64:FL64)&gt;0.01,1-EXP(-SUM(FK64:FL64)),SUM(FK64:FL64)),".")</f>
        <v>1</v>
      </c>
    </row>
    <row r="65" spans="1:171" x14ac:dyDescent="0.25">
      <c r="A65" s="83" t="s">
        <v>1073</v>
      </c>
      <c r="B65" s="42">
        <v>1</v>
      </c>
      <c r="C65" s="178"/>
      <c r="D65" s="60">
        <f t="shared" ref="D65:O65" si="339">IFERROR(D21/$B51,0)</f>
        <v>1.6528925619834712E-11</v>
      </c>
      <c r="E65" s="60">
        <f t="shared" si="339"/>
        <v>6.6115702479338848E-11</v>
      </c>
      <c r="F65" s="60">
        <f t="shared" si="339"/>
        <v>6.6115702479338848E-11</v>
      </c>
      <c r="G65" s="60">
        <f t="shared" si="339"/>
        <v>6.6115702479338848E-11</v>
      </c>
      <c r="H65" s="60">
        <f t="shared" si="339"/>
        <v>6.6115702479338848E-11</v>
      </c>
      <c r="I65" s="60">
        <f t="shared" si="339"/>
        <v>6.6115702479338848E-11</v>
      </c>
      <c r="J65" s="60">
        <f t="shared" si="339"/>
        <v>6.6115702479338848E-11</v>
      </c>
      <c r="K65" s="60">
        <f t="shared" si="339"/>
        <v>6.6115702479338848E-11</v>
      </c>
      <c r="L65" s="60">
        <f t="shared" si="339"/>
        <v>6.6115702479338848E-11</v>
      </c>
      <c r="M65" s="60">
        <f t="shared" si="339"/>
        <v>6.6115702479338848E-11</v>
      </c>
      <c r="N65" s="60">
        <f t="shared" si="339"/>
        <v>6.6115702479338848E-11</v>
      </c>
      <c r="O65" s="60">
        <f t="shared" si="339"/>
        <v>6.6115702479338848E-11</v>
      </c>
      <c r="P65" s="71">
        <f>up_dir!BC65</f>
        <v>3025000</v>
      </c>
      <c r="Q65" s="71">
        <f>IFERROR(up_RadSpec!$H$21*Q21,".")*$B$65</f>
        <v>756250</v>
      </c>
      <c r="R65" s="71">
        <f>IFERROR(up_RadSpec!$H$21*R21,".")*$B$65</f>
        <v>756250</v>
      </c>
      <c r="S65" s="71">
        <f>IFERROR(up_RadSpec!$H$21*S21,".")*$B$65</f>
        <v>756250</v>
      </c>
      <c r="T65" s="71">
        <f>IFERROR(up_RadSpec!$H$21*T21,".")*$B$65</f>
        <v>756250</v>
      </c>
      <c r="U65" s="71">
        <f>IFERROR(up_RadSpec!$H$21*U21,".")*$B$65</f>
        <v>756250</v>
      </c>
      <c r="V65" s="71">
        <f>IFERROR(up_RadSpec!$H$21*V21,".")*$B$65</f>
        <v>756250</v>
      </c>
      <c r="W65" s="71">
        <f>IFERROR(up_RadSpec!$H$21*W21,".")*$B$65</f>
        <v>756250</v>
      </c>
      <c r="X65" s="71">
        <f>IFERROR(up_RadSpec!$H$21*X21,".")*$B$65</f>
        <v>756250</v>
      </c>
      <c r="Y65" s="71">
        <f>IFERROR(up_RadSpec!$H$21*Y21,".")*$B$65</f>
        <v>756250</v>
      </c>
      <c r="Z65" s="71">
        <f>IFERROR(up_RadSpec!$H$21*Z21,".")*$B$65</f>
        <v>756250</v>
      </c>
      <c r="AA65" s="71">
        <f>IFERROR(up_RadSpec!$H$21*AA21,".")*$B$65</f>
        <v>756250</v>
      </c>
      <c r="AB65" s="49">
        <f t="shared" si="327"/>
        <v>1</v>
      </c>
      <c r="AC65" s="49">
        <f t="shared" si="327"/>
        <v>1</v>
      </c>
      <c r="AD65" s="49">
        <f t="shared" si="327"/>
        <v>1</v>
      </c>
      <c r="AE65" s="49">
        <f t="shared" si="327"/>
        <v>1</v>
      </c>
      <c r="AF65" s="49">
        <f t="shared" si="327"/>
        <v>1</v>
      </c>
      <c r="AG65" s="49">
        <f t="shared" si="327"/>
        <v>1</v>
      </c>
      <c r="AH65" s="49">
        <f t="shared" si="327"/>
        <v>1</v>
      </c>
      <c r="AI65" s="49">
        <f t="shared" si="327"/>
        <v>1</v>
      </c>
      <c r="AJ65" s="49">
        <f t="shared" si="327"/>
        <v>1</v>
      </c>
      <c r="AK65" s="49">
        <f t="shared" si="327"/>
        <v>1</v>
      </c>
      <c r="AL65" s="49">
        <f t="shared" si="327"/>
        <v>1</v>
      </c>
      <c r="AM65" s="49">
        <f t="shared" si="327"/>
        <v>1</v>
      </c>
      <c r="AN65" s="60">
        <f t="shared" ref="AN65:BB65" si="340">IFERROR(AN21/$B51,0)</f>
        <v>3.3057851239669421E-8</v>
      </c>
      <c r="AO65" s="60">
        <f t="shared" si="340"/>
        <v>3.0899917851942918E-4</v>
      </c>
      <c r="AP65" s="60">
        <f t="shared" si="340"/>
        <v>0</v>
      </c>
      <c r="AQ65" s="60">
        <f t="shared" si="340"/>
        <v>3.2968835384132272E-12</v>
      </c>
      <c r="AR65" s="60">
        <f t="shared" si="340"/>
        <v>6.6115702479338848E-11</v>
      </c>
      <c r="AS65" s="60">
        <f t="shared" si="340"/>
        <v>6.6115702479338848E-11</v>
      </c>
      <c r="AT65" s="60">
        <f t="shared" si="340"/>
        <v>1.8558793678410904E-14</v>
      </c>
      <c r="AU65" s="60">
        <f t="shared" si="340"/>
        <v>1.9115557488763232E-14</v>
      </c>
      <c r="AV65" s="60">
        <f t="shared" si="340"/>
        <v>1.8558793678410904E-14</v>
      </c>
      <c r="AW65" s="60">
        <f t="shared" si="340"/>
        <v>1.8558793678410904E-14</v>
      </c>
      <c r="AX65" s="60">
        <f t="shared" si="340"/>
        <v>1.8558793678410904E-14</v>
      </c>
      <c r="AY65" s="60">
        <f t="shared" si="340"/>
        <v>1.8558793678410904E-14</v>
      </c>
      <c r="AZ65" s="60">
        <f t="shared" si="340"/>
        <v>1.9115557488763232E-14</v>
      </c>
      <c r="BA65" s="60">
        <f t="shared" si="340"/>
        <v>1.8558793678410904E-14</v>
      </c>
      <c r="BB65" s="60">
        <f t="shared" si="340"/>
        <v>1.9115557488763232E-14</v>
      </c>
      <c r="BC65" s="42"/>
      <c r="BD65" s="42"/>
      <c r="BE65" s="42"/>
      <c r="BF65" s="42"/>
      <c r="BG65" s="42"/>
      <c r="BH65" s="42"/>
      <c r="BI65" s="42"/>
      <c r="BJ65" s="42"/>
      <c r="BK65" s="42"/>
      <c r="BL65" s="42"/>
      <c r="BM65" s="42"/>
      <c r="BN65" s="42"/>
      <c r="BO65" s="42"/>
      <c r="BP65" s="42"/>
      <c r="BQ65" s="42"/>
      <c r="BR65" s="60">
        <f t="shared" ref="BR65" si="341">IFERROR(BR21/$B51,0)</f>
        <v>2.0808592671575616E-15</v>
      </c>
      <c r="BS65" s="71">
        <f>IFERROR(up_RadSpec!$E$21*BS21,".")*$B$65</f>
        <v>1512.5</v>
      </c>
      <c r="BT65" s="71">
        <f>IFERROR(up_RadSpec!$F$21*BT21,".")*$B$65</f>
        <v>0.16181272791589676</v>
      </c>
      <c r="BU65" s="71">
        <f>IFERROR(up_RadSpec!$G$21*BU21,".")*$B$65</f>
        <v>0</v>
      </c>
      <c r="BV65" s="71">
        <f>up_b2s!CC65</f>
        <v>15165837.5</v>
      </c>
      <c r="BW65" s="71">
        <f>IFERROR(up_RadSpec!$H$21*BW21,".")*$B$65</f>
        <v>756250</v>
      </c>
      <c r="BX65" s="71">
        <f>IFERROR(up_RadSpec!$H$21*BX21,".")*$B$65</f>
        <v>756250</v>
      </c>
      <c r="BY65" s="71">
        <f>IFERROR(up_RadSpec!$H$21*BY21,".")*$B$65</f>
        <v>2694140625</v>
      </c>
      <c r="BZ65" s="71">
        <f>IFERROR(up_RadSpec!$H$21*BZ21,".")*$B$65</f>
        <v>2615670509.7087379</v>
      </c>
      <c r="CA65" s="71">
        <f>IFERROR(up_RadSpec!$H$21*CA21,".")*$B$65</f>
        <v>2694140625</v>
      </c>
      <c r="CB65" s="71">
        <f>IFERROR(up_RadSpec!$H$21*CB21,".")*$B$65</f>
        <v>2694140625</v>
      </c>
      <c r="CC65" s="71">
        <f>IFERROR(up_RadSpec!$H$21*CC21,".")*$B$65</f>
        <v>2694140625</v>
      </c>
      <c r="CD65" s="71">
        <f>IFERROR(up_RadSpec!$H$21*CD21,".")*$B$65</f>
        <v>2694140625</v>
      </c>
      <c r="CE65" s="71">
        <f>IFERROR(up_RadSpec!$H$21*CE21,".")*$B$65</f>
        <v>2615670509.7087379</v>
      </c>
      <c r="CF65" s="71">
        <f>IFERROR(up_RadSpec!$H$21*CF21,".")*$B$65</f>
        <v>2694140625</v>
      </c>
      <c r="CG65" s="71">
        <f>IFERROR(up_RadSpec!$H$21*CG21,".")*$B$65</f>
        <v>2615670509.7087379</v>
      </c>
      <c r="CH65" s="49">
        <f t="shared" si="330"/>
        <v>1</v>
      </c>
      <c r="CI65" s="49">
        <f t="shared" si="330"/>
        <v>0.14939951664921358</v>
      </c>
      <c r="CJ65" s="49">
        <f t="shared" si="330"/>
        <v>0</v>
      </c>
      <c r="CK65" s="49">
        <f t="shared" si="330"/>
        <v>1</v>
      </c>
      <c r="CL65" s="49">
        <f t="shared" si="330"/>
        <v>1</v>
      </c>
      <c r="CM65" s="49">
        <f t="shared" si="330"/>
        <v>1</v>
      </c>
      <c r="CN65" s="49">
        <f t="shared" si="330"/>
        <v>1</v>
      </c>
      <c r="CO65" s="49">
        <f t="shared" si="330"/>
        <v>1</v>
      </c>
      <c r="CP65" s="49">
        <f t="shared" si="330"/>
        <v>1</v>
      </c>
      <c r="CQ65" s="49">
        <f t="shared" si="330"/>
        <v>1</v>
      </c>
      <c r="CR65" s="49">
        <f t="shared" si="330"/>
        <v>1</v>
      </c>
      <c r="CS65" s="49">
        <f t="shared" si="330"/>
        <v>1</v>
      </c>
      <c r="CT65" s="49">
        <f t="shared" si="330"/>
        <v>1</v>
      </c>
      <c r="CU65" s="49">
        <f t="shared" si="330"/>
        <v>1</v>
      </c>
      <c r="CV65" s="49">
        <f t="shared" si="330"/>
        <v>1</v>
      </c>
      <c r="CW65" s="49">
        <f t="shared" si="331"/>
        <v>1</v>
      </c>
      <c r="CX65" s="60">
        <f t="shared" ref="CX65" si="342">IFERROR(CX21/$B51,0)</f>
        <v>3.6363636363636369E-10</v>
      </c>
      <c r="CY65" s="60">
        <f>IFERROR(CY21,".")</f>
        <v>2.7382615489626788E-9</v>
      </c>
      <c r="CZ65" s="60">
        <f t="shared" ref="CZ65:DL65" si="343">IFERROR(CZ21/$B51,0)</f>
        <v>3.9818181818181825E-6</v>
      </c>
      <c r="DA65" s="60">
        <f t="shared" si="343"/>
        <v>1.6443412786038031E-11</v>
      </c>
      <c r="DB65" s="60">
        <f t="shared" si="343"/>
        <v>1.322314049586777E-8</v>
      </c>
      <c r="DC65" s="60">
        <f t="shared" si="343"/>
        <v>1.322314049586777E-8</v>
      </c>
      <c r="DD65" s="60">
        <f t="shared" si="343"/>
        <v>2.6446280991735539E-9</v>
      </c>
      <c r="DE65" s="60">
        <f t="shared" si="343"/>
        <v>2.7239669421487605E-9</v>
      </c>
      <c r="DF65" s="60">
        <f t="shared" si="343"/>
        <v>2.6446280991735539E-9</v>
      </c>
      <c r="DG65" s="60">
        <f t="shared" si="343"/>
        <v>2.6446280991735539E-9</v>
      </c>
      <c r="DH65" s="60">
        <f t="shared" si="343"/>
        <v>2.6446280991735539E-9</v>
      </c>
      <c r="DI65" s="60">
        <f t="shared" si="343"/>
        <v>2.6446280991735539E-9</v>
      </c>
      <c r="DJ65" s="60">
        <f t="shared" si="343"/>
        <v>2.7239669421487605E-9</v>
      </c>
      <c r="DK65" s="60">
        <f t="shared" si="343"/>
        <v>2.6446280991735539E-9</v>
      </c>
      <c r="DL65" s="60">
        <f t="shared" si="343"/>
        <v>2.7239669421487605E-9</v>
      </c>
      <c r="DM65" s="15"/>
      <c r="DN65" s="15"/>
      <c r="DO65" s="15"/>
      <c r="DP65" s="15"/>
      <c r="DQ65" s="15"/>
      <c r="DR65" s="15"/>
      <c r="DS65" s="15"/>
      <c r="DT65" s="15"/>
      <c r="DU65" s="15"/>
      <c r="DV65" s="15"/>
      <c r="DW65" s="15"/>
      <c r="DX65" s="15"/>
      <c r="DY65" s="15"/>
      <c r="DZ65" s="15"/>
      <c r="EA65" s="15"/>
      <c r="EB65" s="60">
        <f t="shared" ref="EB65" si="344">IFERROR(EB21/$B51,0)</f>
        <v>1.4825487545207571E-11</v>
      </c>
      <c r="EC65" s="71">
        <f>IFERROR(up_RadSpec!$I$21*EC21,".")*$B$65</f>
        <v>137500</v>
      </c>
      <c r="ED65" s="71">
        <f>IFERROR(up_RadSpec!$F$21*ED21,".")</f>
        <v>18259.760474283852</v>
      </c>
      <c r="EE65" s="71">
        <f>IFERROR(up_RadSpec!$M$21*EE21,".")*$B$65</f>
        <v>12.557077625570777</v>
      </c>
      <c r="EF65" s="71">
        <f>up_b2w!CC65</f>
        <v>3040731.3038114933</v>
      </c>
      <c r="EG65" s="71">
        <f>IFERROR(up_RadSpec!$H$21*EG21,".")*$B$65</f>
        <v>3781.25</v>
      </c>
      <c r="EH65" s="71">
        <f>IFERROR(up_RadSpec!$H$21*EH21,".")*$B$65</f>
        <v>3781.25</v>
      </c>
      <c r="EI65" s="71">
        <f>IFERROR(up_RadSpec!$H$21*EI21,".")*$B$65</f>
        <v>18906.25</v>
      </c>
      <c r="EJ65" s="71">
        <f>IFERROR(up_RadSpec!$H$21*EJ21,".")*$B$65</f>
        <v>18355.582524271846</v>
      </c>
      <c r="EK65" s="71">
        <f>IFERROR(up_RadSpec!$H$21*EK21,".")*$B$65</f>
        <v>18906.25</v>
      </c>
      <c r="EL65" s="71">
        <f>IFERROR(up_RadSpec!$H$21*EL21,".")*$B$65</f>
        <v>18906.25</v>
      </c>
      <c r="EM65" s="71">
        <f>IFERROR(up_RadSpec!$H$21*EM21,".")*$B$65</f>
        <v>18906.25</v>
      </c>
      <c r="EN65" s="71">
        <f>IFERROR(up_RadSpec!$H$21*EN21,".")*$B$65</f>
        <v>18906.25</v>
      </c>
      <c r="EO65" s="71">
        <f>IFERROR(up_RadSpec!$H$21*EO21,".")*$B$65</f>
        <v>18355.582524271846</v>
      </c>
      <c r="EP65" s="71">
        <f>IFERROR(up_RadSpec!$H$21*EP21,".")*$B$65</f>
        <v>18906.25</v>
      </c>
      <c r="EQ65" s="71">
        <f>IFERROR(up_RadSpec!$H$21*EQ21,".")*$B$65</f>
        <v>18355.582524271846</v>
      </c>
      <c r="ER65" s="49">
        <f t="shared" si="335"/>
        <v>1</v>
      </c>
      <c r="ES65" s="49">
        <f t="shared" si="335"/>
        <v>1</v>
      </c>
      <c r="ET65" s="49">
        <f t="shared" si="335"/>
        <v>0.99999648009875997</v>
      </c>
      <c r="EU65" s="49">
        <f t="shared" si="335"/>
        <v>1</v>
      </c>
      <c r="EV65" s="49">
        <f t="shared" si="335"/>
        <v>1</v>
      </c>
      <c r="EW65" s="49">
        <f t="shared" si="335"/>
        <v>1</v>
      </c>
      <c r="EX65" s="49">
        <f t="shared" si="335"/>
        <v>1</v>
      </c>
      <c r="EY65" s="49">
        <f t="shared" si="335"/>
        <v>1</v>
      </c>
      <c r="EZ65" s="49">
        <f t="shared" si="335"/>
        <v>1</v>
      </c>
      <c r="FA65" s="49">
        <f t="shared" si="335"/>
        <v>1</v>
      </c>
      <c r="FB65" s="49">
        <f t="shared" si="335"/>
        <v>1</v>
      </c>
      <c r="FC65" s="49">
        <f t="shared" si="335"/>
        <v>1</v>
      </c>
      <c r="FD65" s="49">
        <f t="shared" si="335"/>
        <v>1</v>
      </c>
      <c r="FE65" s="49">
        <f t="shared" si="335"/>
        <v>1</v>
      </c>
      <c r="FF65" s="49">
        <f t="shared" si="335"/>
        <v>1</v>
      </c>
      <c r="FG65" s="49">
        <f t="shared" si="336"/>
        <v>1</v>
      </c>
      <c r="FH65" s="60">
        <f>IFERROR(FH21/$B51,0)</f>
        <v>9.9740259740259755E-10</v>
      </c>
      <c r="FI65" s="60">
        <f>IFERROR(FI21/$B51,0)</f>
        <v>6.3709090909090908E-6</v>
      </c>
      <c r="FJ65" s="60">
        <f>IFERROR(FJ21/$B51,0)</f>
        <v>9.9724647271019672E-10</v>
      </c>
      <c r="FK65" s="71">
        <f>IFERROR(up_RadSpec!$F$21*FK21,".")*$B$65</f>
        <v>50130.208333333328</v>
      </c>
      <c r="FL65" s="71">
        <f>IFERROR(up_RadSpec!$K$21*FL21,".")*$B$65</f>
        <v>7.8481735159817356</v>
      </c>
      <c r="FM65" s="49">
        <f t="shared" si="337"/>
        <v>1</v>
      </c>
      <c r="FN65" s="49">
        <f t="shared" si="337"/>
        <v>0.99960953550549536</v>
      </c>
      <c r="FO65" s="49">
        <f t="shared" si="338"/>
        <v>1</v>
      </c>
    </row>
    <row r="66" spans="1:171" x14ac:dyDescent="0.25">
      <c r="A66" s="83" t="s">
        <v>1074</v>
      </c>
      <c r="B66" s="85">
        <v>0.99980000000000002</v>
      </c>
      <c r="C66" s="181"/>
      <c r="D66" s="60">
        <f t="shared" ref="D66:O66" si="345">IFERROR(D17/$B52,0)</f>
        <v>1.6532232066247961E-11</v>
      </c>
      <c r="E66" s="60">
        <f t="shared" si="345"/>
        <v>6.6128928264991843E-11</v>
      </c>
      <c r="F66" s="60">
        <f t="shared" si="345"/>
        <v>6.6128928264991843E-11</v>
      </c>
      <c r="G66" s="60">
        <f t="shared" si="345"/>
        <v>6.6128928264991843E-11</v>
      </c>
      <c r="H66" s="60">
        <f t="shared" si="345"/>
        <v>6.6128928264991843E-11</v>
      </c>
      <c r="I66" s="60">
        <f t="shared" si="345"/>
        <v>6.6128928264991843E-11</v>
      </c>
      <c r="J66" s="60">
        <f t="shared" si="345"/>
        <v>6.6128928264991843E-11</v>
      </c>
      <c r="K66" s="60">
        <f t="shared" si="345"/>
        <v>6.6128928264991843E-11</v>
      </c>
      <c r="L66" s="60">
        <f t="shared" si="345"/>
        <v>6.6128928264991843E-11</v>
      </c>
      <c r="M66" s="60">
        <f t="shared" si="345"/>
        <v>6.6128928264991843E-11</v>
      </c>
      <c r="N66" s="60">
        <f t="shared" si="345"/>
        <v>6.6128928264991843E-11</v>
      </c>
      <c r="O66" s="60">
        <f t="shared" si="345"/>
        <v>6.6128928264991843E-11</v>
      </c>
      <c r="P66" s="71">
        <f>up_dir!BC66</f>
        <v>3025605.1210242049</v>
      </c>
      <c r="Q66" s="71">
        <f>IFERROR(up_RadSpec!$H$17*Q17,".")*$B$66</f>
        <v>756098.75</v>
      </c>
      <c r="R66" s="71">
        <f>IFERROR(up_RadSpec!$H$17*R17,".")*$B$66</f>
        <v>756098.75</v>
      </c>
      <c r="S66" s="71">
        <f>IFERROR(up_RadSpec!$H$17*S17,".")*$B$66</f>
        <v>756098.75</v>
      </c>
      <c r="T66" s="71">
        <f>IFERROR(up_RadSpec!$H$17*T17,".")*$B$66</f>
        <v>756098.75</v>
      </c>
      <c r="U66" s="71">
        <f>IFERROR(up_RadSpec!$H$17*U17,".")*$B$66</f>
        <v>756098.75</v>
      </c>
      <c r="V66" s="71">
        <f>IFERROR(up_RadSpec!$H$17*V17,".")*$B$66</f>
        <v>756098.75</v>
      </c>
      <c r="W66" s="71">
        <f>IFERROR(up_RadSpec!$H$17*W17,".")*$B$66</f>
        <v>756098.75</v>
      </c>
      <c r="X66" s="71">
        <f>IFERROR(up_RadSpec!$H$17*X17,".")*$B$66</f>
        <v>756098.75</v>
      </c>
      <c r="Y66" s="71">
        <f>IFERROR(up_RadSpec!$H$17*Y17,".")*$B$66</f>
        <v>756098.75</v>
      </c>
      <c r="Z66" s="71">
        <f>IFERROR(up_RadSpec!$H$17*Z17,".")*$B$66</f>
        <v>756098.75</v>
      </c>
      <c r="AA66" s="71">
        <f>IFERROR(up_RadSpec!$H$17*AA17,".")*$B$66</f>
        <v>756098.75</v>
      </c>
      <c r="AB66" s="49">
        <f t="shared" si="327"/>
        <v>1</v>
      </c>
      <c r="AC66" s="49">
        <f t="shared" si="327"/>
        <v>1</v>
      </c>
      <c r="AD66" s="49">
        <f t="shared" si="327"/>
        <v>1</v>
      </c>
      <c r="AE66" s="49">
        <f t="shared" si="327"/>
        <v>1</v>
      </c>
      <c r="AF66" s="49">
        <f t="shared" si="327"/>
        <v>1</v>
      </c>
      <c r="AG66" s="49">
        <f t="shared" si="327"/>
        <v>1</v>
      </c>
      <c r="AH66" s="49">
        <f t="shared" si="327"/>
        <v>1</v>
      </c>
      <c r="AI66" s="49">
        <f t="shared" si="327"/>
        <v>1</v>
      </c>
      <c r="AJ66" s="49">
        <f t="shared" si="327"/>
        <v>1</v>
      </c>
      <c r="AK66" s="49">
        <f t="shared" si="327"/>
        <v>1</v>
      </c>
      <c r="AL66" s="49">
        <f t="shared" si="327"/>
        <v>1</v>
      </c>
      <c r="AM66" s="49">
        <f t="shared" si="327"/>
        <v>1</v>
      </c>
      <c r="AN66" s="60">
        <f t="shared" ref="AN66:BB66" si="346">IFERROR(AN17/$B52,0)</f>
        <v>3.3064464132495918E-8</v>
      </c>
      <c r="AO66" s="60">
        <f t="shared" si="346"/>
        <v>3.090609907175727E-4</v>
      </c>
      <c r="AP66" s="60">
        <f t="shared" si="346"/>
        <v>2.930928570601959E-5</v>
      </c>
      <c r="AQ66" s="60">
        <f t="shared" si="346"/>
        <v>3.2975430470226315E-12</v>
      </c>
      <c r="AR66" s="60">
        <f t="shared" si="346"/>
        <v>6.6128928264991843E-11</v>
      </c>
      <c r="AS66" s="60">
        <f t="shared" si="346"/>
        <v>6.6128928264991843E-11</v>
      </c>
      <c r="AT66" s="60">
        <f t="shared" si="346"/>
        <v>1.8562506179646832E-14</v>
      </c>
      <c r="AU66" s="60">
        <f t="shared" si="346"/>
        <v>1.9119381365036239E-14</v>
      </c>
      <c r="AV66" s="60">
        <f t="shared" si="346"/>
        <v>1.8562506179646832E-14</v>
      </c>
      <c r="AW66" s="60">
        <f t="shared" si="346"/>
        <v>1.8562506179646832E-14</v>
      </c>
      <c r="AX66" s="60">
        <f t="shared" si="346"/>
        <v>1.8562506179646832E-14</v>
      </c>
      <c r="AY66" s="60">
        <f t="shared" si="346"/>
        <v>1.8562506179646832E-14</v>
      </c>
      <c r="AZ66" s="60">
        <f t="shared" si="346"/>
        <v>1.9119381365036239E-14</v>
      </c>
      <c r="BA66" s="60">
        <f t="shared" si="346"/>
        <v>1.8562506179646832E-14</v>
      </c>
      <c r="BB66" s="60">
        <f t="shared" si="346"/>
        <v>1.9119381365036239E-14</v>
      </c>
      <c r="BC66" s="42"/>
      <c r="BD66" s="42"/>
      <c r="BE66" s="42"/>
      <c r="BF66" s="42"/>
      <c r="BG66" s="42"/>
      <c r="BH66" s="42"/>
      <c r="BI66" s="42"/>
      <c r="BJ66" s="42"/>
      <c r="BK66" s="42"/>
      <c r="BL66" s="42"/>
      <c r="BM66" s="42"/>
      <c r="BN66" s="42"/>
      <c r="BO66" s="42"/>
      <c r="BP66" s="42"/>
      <c r="BQ66" s="42"/>
      <c r="BR66" s="60">
        <f t="shared" ref="BR66" si="347">IFERROR(BR17/$B52,0)</f>
        <v>2.0812755221142204E-15</v>
      </c>
      <c r="BS66" s="71">
        <f>IFERROR(up_RadSpec!$E$17*BS17,".")*$B$66</f>
        <v>1512.1975</v>
      </c>
      <c r="BT66" s="71">
        <f>IFERROR(up_RadSpec!$F$17*BT17,".")*$B$66</f>
        <v>0.16178036537031359</v>
      </c>
      <c r="BU66" s="71">
        <f>IFERROR(up_RadSpec!$G$17*BU17,".")*$B$66</f>
        <v>1.7059439967767938</v>
      </c>
      <c r="BV66" s="71">
        <f>up_b2s!CC66</f>
        <v>15168871.274254851</v>
      </c>
      <c r="BW66" s="71">
        <f>IFERROR(up_RadSpec!$H$17*BW17,".")*$B$66</f>
        <v>756098.75</v>
      </c>
      <c r="BX66" s="71">
        <f>IFERROR(up_RadSpec!$H$17*BX17,".")*$B$66</f>
        <v>756098.75</v>
      </c>
      <c r="BY66" s="71">
        <f>IFERROR(up_RadSpec!$H$17*BY17,".")*$B$66</f>
        <v>2693601796.875</v>
      </c>
      <c r="BZ66" s="71">
        <f>IFERROR(up_RadSpec!$H$17*BZ17,".")*$B$66</f>
        <v>2615147375.6067963</v>
      </c>
      <c r="CA66" s="71">
        <f>IFERROR(up_RadSpec!$H$17*CA17,".")*$B$66</f>
        <v>2693601796.875</v>
      </c>
      <c r="CB66" s="71">
        <f>IFERROR(up_RadSpec!$H$17*CB17,".")*$B$66</f>
        <v>2693601796.875</v>
      </c>
      <c r="CC66" s="71">
        <f>IFERROR(up_RadSpec!$H$17*CC17,".")*$B$66</f>
        <v>2693601796.875</v>
      </c>
      <c r="CD66" s="71">
        <f>IFERROR(up_RadSpec!$H$17*CD17,".")*$B$66</f>
        <v>2693601796.875</v>
      </c>
      <c r="CE66" s="71">
        <f>IFERROR(up_RadSpec!$H$17*CE17,".")*$B$66</f>
        <v>2615147375.6067963</v>
      </c>
      <c r="CF66" s="71">
        <f>IFERROR(up_RadSpec!$H$17*CF17,".")*$B$66</f>
        <v>2693601796.875</v>
      </c>
      <c r="CG66" s="71">
        <f>IFERROR(up_RadSpec!$H$17*CG17,".")*$B$66</f>
        <v>2615147375.6067963</v>
      </c>
      <c r="CH66" s="49">
        <f t="shared" si="330"/>
        <v>1</v>
      </c>
      <c r="CI66" s="49">
        <f t="shared" si="330"/>
        <v>0.14937198860686174</v>
      </c>
      <c r="CJ66" s="49">
        <f t="shared" si="330"/>
        <v>0.81839912540536586</v>
      </c>
      <c r="CK66" s="49">
        <f t="shared" si="330"/>
        <v>1</v>
      </c>
      <c r="CL66" s="49">
        <f t="shared" si="330"/>
        <v>1</v>
      </c>
      <c r="CM66" s="49">
        <f t="shared" si="330"/>
        <v>1</v>
      </c>
      <c r="CN66" s="49">
        <f t="shared" si="330"/>
        <v>1</v>
      </c>
      <c r="CO66" s="49">
        <f t="shared" si="330"/>
        <v>1</v>
      </c>
      <c r="CP66" s="49">
        <f t="shared" si="330"/>
        <v>1</v>
      </c>
      <c r="CQ66" s="49">
        <f t="shared" si="330"/>
        <v>1</v>
      </c>
      <c r="CR66" s="49">
        <f t="shared" si="330"/>
        <v>1</v>
      </c>
      <c r="CS66" s="49">
        <f t="shared" si="330"/>
        <v>1</v>
      </c>
      <c r="CT66" s="49">
        <f t="shared" si="330"/>
        <v>1</v>
      </c>
      <c r="CU66" s="49">
        <f t="shared" si="330"/>
        <v>1</v>
      </c>
      <c r="CV66" s="49">
        <f t="shared" si="330"/>
        <v>1</v>
      </c>
      <c r="CW66" s="49">
        <f t="shared" si="331"/>
        <v>1</v>
      </c>
      <c r="CX66" s="60">
        <f t="shared" ref="CX66" si="348">IFERROR(CX17/$B52,0)</f>
        <v>3.637091054574552E-10</v>
      </c>
      <c r="CY66" s="60">
        <f>IFERROR(CY17,".")</f>
        <v>1.15609920856568E-8</v>
      </c>
      <c r="CZ66" s="60">
        <f t="shared" ref="CZ66:DL66" si="349">IFERROR(CZ17/$B52,0)</f>
        <v>3.9826147047591344E-6</v>
      </c>
      <c r="DA66" s="60">
        <f t="shared" si="349"/>
        <v>1.6446702126463322E-11</v>
      </c>
      <c r="DB66" s="60">
        <f t="shared" si="349"/>
        <v>1.322578565299837E-8</v>
      </c>
      <c r="DC66" s="60">
        <f t="shared" si="349"/>
        <v>1.322578565299837E-8</v>
      </c>
      <c r="DD66" s="60">
        <f t="shared" si="349"/>
        <v>2.6451571305996739E-9</v>
      </c>
      <c r="DE66" s="60">
        <f t="shared" si="349"/>
        <v>2.7245118445176639E-9</v>
      </c>
      <c r="DF66" s="60">
        <f t="shared" si="349"/>
        <v>2.6451571305996739E-9</v>
      </c>
      <c r="DG66" s="60">
        <f t="shared" si="349"/>
        <v>2.6451571305996739E-9</v>
      </c>
      <c r="DH66" s="60">
        <f t="shared" si="349"/>
        <v>2.6451571305996739E-9</v>
      </c>
      <c r="DI66" s="60">
        <f t="shared" si="349"/>
        <v>2.6451571305996739E-9</v>
      </c>
      <c r="DJ66" s="60">
        <f t="shared" si="349"/>
        <v>2.7245118445176639E-9</v>
      </c>
      <c r="DK66" s="60">
        <f t="shared" si="349"/>
        <v>2.6451571305996739E-9</v>
      </c>
      <c r="DL66" s="60">
        <f t="shared" si="349"/>
        <v>2.7245118445176639E-9</v>
      </c>
      <c r="DM66" s="15"/>
      <c r="DN66" s="15"/>
      <c r="DO66" s="15"/>
      <c r="DP66" s="15"/>
      <c r="DQ66" s="15"/>
      <c r="DR66" s="15"/>
      <c r="DS66" s="15"/>
      <c r="DT66" s="15"/>
      <c r="DU66" s="15"/>
      <c r="DV66" s="15"/>
      <c r="DW66" s="15"/>
      <c r="DX66" s="15"/>
      <c r="DY66" s="15"/>
      <c r="DZ66" s="15"/>
      <c r="EA66" s="15"/>
      <c r="EB66" s="60">
        <f t="shared" ref="EB66" si="350">IFERROR(EB17/$B52,0)</f>
        <v>1.4889976017895328E-11</v>
      </c>
      <c r="EC66" s="71">
        <f>IFERROR(up_RadSpec!$I$17*EC17,".")*$B$66</f>
        <v>137472.5</v>
      </c>
      <c r="ED66" s="71">
        <f>IFERROR(up_RadSpec!$F$17*ED17,".")</f>
        <v>4324.8883512369794</v>
      </c>
      <c r="EE66" s="71">
        <f>IFERROR(up_RadSpec!$M$17*EE17,".")*$B$66</f>
        <v>12.554566210045664</v>
      </c>
      <c r="EF66" s="71">
        <f>up_b2w!CC66</f>
        <v>3041339.5717258384</v>
      </c>
      <c r="EG66" s="71">
        <f>IFERROR(up_RadSpec!$H$17*EG17,".")*$B$66</f>
        <v>3780.4937500000001</v>
      </c>
      <c r="EH66" s="71">
        <f>IFERROR(up_RadSpec!$H$17*EH17,".")*$B$66</f>
        <v>3780.4937500000001</v>
      </c>
      <c r="EI66" s="71">
        <f>IFERROR(up_RadSpec!$H$17*EI17,".")*$B$66</f>
        <v>18902.46875</v>
      </c>
      <c r="EJ66" s="71">
        <f>IFERROR(up_RadSpec!$H$17*EJ17,".")*$B$66</f>
        <v>18351.911407766991</v>
      </c>
      <c r="EK66" s="71">
        <f>IFERROR(up_RadSpec!$H$17*EK17,".")*$B$66</f>
        <v>18902.46875</v>
      </c>
      <c r="EL66" s="71">
        <f>IFERROR(up_RadSpec!$H$17*EL17,".")*$B$66</f>
        <v>18902.46875</v>
      </c>
      <c r="EM66" s="71">
        <f>IFERROR(up_RadSpec!$H$17*EM17,".")*$B$66</f>
        <v>18902.46875</v>
      </c>
      <c r="EN66" s="71">
        <f>IFERROR(up_RadSpec!$H$17*EN17,".")*$B$66</f>
        <v>18902.46875</v>
      </c>
      <c r="EO66" s="71">
        <f>IFERROR(up_RadSpec!$H$17*EO17,".")*$B$66</f>
        <v>18351.911407766991</v>
      </c>
      <c r="EP66" s="71">
        <f>IFERROR(up_RadSpec!$H$17*EP17,".")*$B$66</f>
        <v>18902.46875</v>
      </c>
      <c r="EQ66" s="71">
        <f>IFERROR(up_RadSpec!$H$17*EQ17,".")*$B$66</f>
        <v>18351.911407766991</v>
      </c>
      <c r="ER66" s="49">
        <f t="shared" si="335"/>
        <v>1</v>
      </c>
      <c r="ES66" s="49">
        <f t="shared" si="335"/>
        <v>1</v>
      </c>
      <c r="ET66" s="49">
        <f t="shared" si="335"/>
        <v>0.99999647124771573</v>
      </c>
      <c r="EU66" s="49">
        <f t="shared" si="335"/>
        <v>1</v>
      </c>
      <c r="EV66" s="49">
        <f t="shared" si="335"/>
        <v>1</v>
      </c>
      <c r="EW66" s="49">
        <f t="shared" si="335"/>
        <v>1</v>
      </c>
      <c r="EX66" s="49">
        <f t="shared" si="335"/>
        <v>1</v>
      </c>
      <c r="EY66" s="49">
        <f t="shared" si="335"/>
        <v>1</v>
      </c>
      <c r="EZ66" s="49">
        <f t="shared" si="335"/>
        <v>1</v>
      </c>
      <c r="FA66" s="49">
        <f t="shared" si="335"/>
        <v>1</v>
      </c>
      <c r="FB66" s="49">
        <f t="shared" si="335"/>
        <v>1</v>
      </c>
      <c r="FC66" s="49">
        <f t="shared" si="335"/>
        <v>1</v>
      </c>
      <c r="FD66" s="49">
        <f t="shared" si="335"/>
        <v>1</v>
      </c>
      <c r="FE66" s="49">
        <f t="shared" si="335"/>
        <v>1</v>
      </c>
      <c r="FF66" s="49">
        <f t="shared" si="335"/>
        <v>1</v>
      </c>
      <c r="FG66" s="49">
        <f t="shared" si="336"/>
        <v>1</v>
      </c>
      <c r="FH66" s="60">
        <f>IFERROR(FH17/$B52,0)</f>
        <v>9.9760211782616282E-10</v>
      </c>
      <c r="FI66" s="60">
        <f>IFERROR(FI17/$B52,0)</f>
        <v>6.3721835276146137E-6</v>
      </c>
      <c r="FJ66" s="60">
        <f>IFERROR(FJ17/$B52,0)</f>
        <v>9.9744596190257714E-10</v>
      </c>
      <c r="FK66" s="71">
        <f>IFERROR(up_RadSpec!$F$17*FK17,".")*$B$66</f>
        <v>50120.182291666664</v>
      </c>
      <c r="FL66" s="71">
        <f>IFERROR(up_RadSpec!$K$17*FL17,".")*$B$66</f>
        <v>7.846603881278539</v>
      </c>
      <c r="FM66" s="49">
        <f t="shared" si="337"/>
        <v>1</v>
      </c>
      <c r="FN66" s="49">
        <f t="shared" si="337"/>
        <v>0.99960892213761854</v>
      </c>
      <c r="FO66" s="49">
        <f t="shared" si="338"/>
        <v>1</v>
      </c>
    </row>
    <row r="67" spans="1:171" x14ac:dyDescent="0.25">
      <c r="A67" s="83" t="s">
        <v>1088</v>
      </c>
      <c r="B67" s="42">
        <v>2.0000000000000001E-4</v>
      </c>
      <c r="C67" s="178"/>
      <c r="D67" s="60">
        <f t="shared" ref="D67:O67" si="351">IFERROR(D5/$B53,0)</f>
        <v>8.2644628099173553E-8</v>
      </c>
      <c r="E67" s="60">
        <f t="shared" si="351"/>
        <v>3.3057851239669421E-7</v>
      </c>
      <c r="F67" s="60">
        <f t="shared" si="351"/>
        <v>3.3057851239669421E-7</v>
      </c>
      <c r="G67" s="60">
        <f t="shared" si="351"/>
        <v>3.3057851239669421E-7</v>
      </c>
      <c r="H67" s="60">
        <f t="shared" si="351"/>
        <v>3.3057851239669421E-7</v>
      </c>
      <c r="I67" s="60">
        <f t="shared" si="351"/>
        <v>3.3057851239669421E-7</v>
      </c>
      <c r="J67" s="60">
        <f t="shared" si="351"/>
        <v>3.3057851239669421E-7</v>
      </c>
      <c r="K67" s="60">
        <f t="shared" si="351"/>
        <v>3.3057851239669421E-7</v>
      </c>
      <c r="L67" s="60">
        <f t="shared" si="351"/>
        <v>3.3057851239669421E-7</v>
      </c>
      <c r="M67" s="60">
        <f t="shared" si="351"/>
        <v>3.3057851239669421E-7</v>
      </c>
      <c r="N67" s="60">
        <f t="shared" si="351"/>
        <v>3.3057851239669421E-7</v>
      </c>
      <c r="O67" s="60">
        <f t="shared" si="351"/>
        <v>3.3057851239669421E-7</v>
      </c>
      <c r="P67" s="71">
        <f>up_dir!BC67</f>
        <v>15125000000</v>
      </c>
      <c r="Q67" s="71">
        <f>IFERROR(up_RadSpec!$H$5*Q5,".")*$B$67</f>
        <v>151.25</v>
      </c>
      <c r="R67" s="71">
        <f>IFERROR(up_RadSpec!$H$5*R5,".")*$B$67</f>
        <v>151.25</v>
      </c>
      <c r="S67" s="71">
        <f>IFERROR(up_RadSpec!$H$5*S5,".")*$B$67</f>
        <v>151.25</v>
      </c>
      <c r="T67" s="71">
        <f>IFERROR(up_RadSpec!$H$5*T5,".")*$B$67</f>
        <v>151.25</v>
      </c>
      <c r="U67" s="71">
        <f>IFERROR(up_RadSpec!$H$5*U5,".")*$B$67</f>
        <v>151.25</v>
      </c>
      <c r="V67" s="71">
        <f>IFERROR(up_RadSpec!$H$5*V5,".")*$B$67</f>
        <v>151.25</v>
      </c>
      <c r="W67" s="71">
        <f>IFERROR(up_RadSpec!$H$5*W5,".")*$B$67</f>
        <v>151.25</v>
      </c>
      <c r="X67" s="71">
        <f>IFERROR(up_RadSpec!$H$5*X5,".")*$B$67</f>
        <v>151.25</v>
      </c>
      <c r="Y67" s="71">
        <f>IFERROR(up_RadSpec!$H$5*Y5,".")*$B$67</f>
        <v>151.25</v>
      </c>
      <c r="Z67" s="71">
        <f>IFERROR(up_RadSpec!$H$5*Z5,".")*$B$67</f>
        <v>151.25</v>
      </c>
      <c r="AA67" s="71">
        <f>IFERROR(up_RadSpec!$H$5*AA5,".")*$B$67</f>
        <v>151.25</v>
      </c>
      <c r="AB67" s="49">
        <f t="shared" si="327"/>
        <v>1</v>
      </c>
      <c r="AC67" s="49">
        <f t="shared" si="327"/>
        <v>1</v>
      </c>
      <c r="AD67" s="49">
        <f t="shared" si="327"/>
        <v>1</v>
      </c>
      <c r="AE67" s="49">
        <f t="shared" si="327"/>
        <v>1</v>
      </c>
      <c r="AF67" s="49">
        <f t="shared" si="327"/>
        <v>1</v>
      </c>
      <c r="AG67" s="49">
        <f t="shared" si="327"/>
        <v>1</v>
      </c>
      <c r="AH67" s="49">
        <f t="shared" si="327"/>
        <v>1</v>
      </c>
      <c r="AI67" s="49">
        <f t="shared" si="327"/>
        <v>1</v>
      </c>
      <c r="AJ67" s="49">
        <f t="shared" si="327"/>
        <v>1</v>
      </c>
      <c r="AK67" s="49">
        <f t="shared" si="327"/>
        <v>1</v>
      </c>
      <c r="AL67" s="49">
        <f t="shared" si="327"/>
        <v>1</v>
      </c>
      <c r="AM67" s="49">
        <f t="shared" si="327"/>
        <v>1</v>
      </c>
      <c r="AN67" s="60">
        <f t="shared" ref="AN67:BB67" si="352">IFERROR(AN5/$B53,0)</f>
        <v>1.6528925619834709E-4</v>
      </c>
      <c r="AO67" s="60">
        <f t="shared" si="352"/>
        <v>1.5449958925971459</v>
      </c>
      <c r="AP67" s="60">
        <f t="shared" si="352"/>
        <v>0</v>
      </c>
      <c r="AQ67" s="60">
        <f t="shared" si="352"/>
        <v>1.6484417692066137E-8</v>
      </c>
      <c r="AR67" s="60">
        <f t="shared" si="352"/>
        <v>3.3057851239669421E-7</v>
      </c>
      <c r="AS67" s="60">
        <f t="shared" si="352"/>
        <v>3.3057851239669421E-7</v>
      </c>
      <c r="AT67" s="60">
        <f t="shared" si="352"/>
        <v>9.2793968392054517E-11</v>
      </c>
      <c r="AU67" s="60">
        <f t="shared" si="352"/>
        <v>9.5577787443816148E-11</v>
      </c>
      <c r="AV67" s="60">
        <f t="shared" si="352"/>
        <v>9.2793968392054517E-11</v>
      </c>
      <c r="AW67" s="60">
        <f t="shared" si="352"/>
        <v>9.2793968392054517E-11</v>
      </c>
      <c r="AX67" s="60">
        <f t="shared" si="352"/>
        <v>9.2793968392054517E-11</v>
      </c>
      <c r="AY67" s="60">
        <f t="shared" si="352"/>
        <v>9.2793968392054517E-11</v>
      </c>
      <c r="AZ67" s="60">
        <f t="shared" si="352"/>
        <v>9.5577787443816148E-11</v>
      </c>
      <c r="BA67" s="60">
        <f t="shared" si="352"/>
        <v>9.2793968392054517E-11</v>
      </c>
      <c r="BB67" s="60">
        <f t="shared" si="352"/>
        <v>9.5577787443816148E-11</v>
      </c>
      <c r="BC67" s="42"/>
      <c r="BD67" s="42"/>
      <c r="BE67" s="42"/>
      <c r="BF67" s="42"/>
      <c r="BG67" s="42"/>
      <c r="BH67" s="42"/>
      <c r="BI67" s="42"/>
      <c r="BJ67" s="42"/>
      <c r="BK67" s="42"/>
      <c r="BL67" s="42"/>
      <c r="BM67" s="42"/>
      <c r="BN67" s="42"/>
      <c r="BO67" s="42"/>
      <c r="BP67" s="42"/>
      <c r="BQ67" s="42"/>
      <c r="BR67" s="60">
        <f t="shared" ref="BR67" si="353">IFERROR(BR5/$B53,0)</f>
        <v>1.0404296335787807E-11</v>
      </c>
      <c r="BS67" s="71">
        <f>IFERROR(up_RadSpec!$E$5*BS5,".")*$B$67</f>
        <v>0.30249999999999999</v>
      </c>
      <c r="BT67" s="71">
        <f>IFERROR(up_RadSpec!$F$5*BT5,".")*$B$67</f>
        <v>3.2362545583179355E-5</v>
      </c>
      <c r="BU67" s="71">
        <f>IFERROR(up_RadSpec!$G$5*BU5,".")*$B$67</f>
        <v>0</v>
      </c>
      <c r="BV67" s="71">
        <f>up_b2s!CC67</f>
        <v>75829187500</v>
      </c>
      <c r="BW67" s="71">
        <f>IFERROR(up_RadSpec!$H$5*BW5,".")*$B$67</f>
        <v>151.25</v>
      </c>
      <c r="BX67" s="71">
        <f>IFERROR(up_RadSpec!$H$5*BX5,".")*$B$67</f>
        <v>151.25</v>
      </c>
      <c r="BY67" s="71">
        <f>IFERROR(up_RadSpec!$H$5*BY5,".")*$B$67</f>
        <v>538828.125</v>
      </c>
      <c r="BZ67" s="71">
        <f>IFERROR(up_RadSpec!$H$5*BZ5,".")*$B$67</f>
        <v>523134.10194174759</v>
      </c>
      <c r="CA67" s="71">
        <f>IFERROR(up_RadSpec!$H$5*CA5,".")*$B$67</f>
        <v>538828.125</v>
      </c>
      <c r="CB67" s="71">
        <f>IFERROR(up_RadSpec!$H$5*CB5,".")*$B$67</f>
        <v>538828.125</v>
      </c>
      <c r="CC67" s="71">
        <f>IFERROR(up_RadSpec!$H$5*CC5,".")*$B$67</f>
        <v>538828.125</v>
      </c>
      <c r="CD67" s="71">
        <f>IFERROR(up_RadSpec!$H$5*CD5,".")*$B$67</f>
        <v>538828.125</v>
      </c>
      <c r="CE67" s="71">
        <f>IFERROR(up_RadSpec!$H$5*CE5,".")*$B$67</f>
        <v>523134.10194174759</v>
      </c>
      <c r="CF67" s="71">
        <f>IFERROR(up_RadSpec!$H$5*CF5,".")*$B$67</f>
        <v>538828.125</v>
      </c>
      <c r="CG67" s="71">
        <f>IFERROR(up_RadSpec!$H$5*CG5,".")*$B$67</f>
        <v>523134.10194174759</v>
      </c>
      <c r="CH67" s="49">
        <f t="shared" si="330"/>
        <v>0.26103151174105577</v>
      </c>
      <c r="CI67" s="49">
        <f t="shared" si="330"/>
        <v>3.2362545583179355E-5</v>
      </c>
      <c r="CJ67" s="49">
        <f t="shared" si="330"/>
        <v>0</v>
      </c>
      <c r="CK67" s="49">
        <f t="shared" si="330"/>
        <v>1</v>
      </c>
      <c r="CL67" s="49">
        <f t="shared" si="330"/>
        <v>1</v>
      </c>
      <c r="CM67" s="49">
        <f t="shared" si="330"/>
        <v>1</v>
      </c>
      <c r="CN67" s="49">
        <f t="shared" si="330"/>
        <v>1</v>
      </c>
      <c r="CO67" s="49">
        <f t="shared" si="330"/>
        <v>1</v>
      </c>
      <c r="CP67" s="49">
        <f t="shared" si="330"/>
        <v>1</v>
      </c>
      <c r="CQ67" s="49">
        <f t="shared" si="330"/>
        <v>1</v>
      </c>
      <c r="CR67" s="49">
        <f t="shared" si="330"/>
        <v>1</v>
      </c>
      <c r="CS67" s="49">
        <f t="shared" si="330"/>
        <v>1</v>
      </c>
      <c r="CT67" s="49">
        <f t="shared" si="330"/>
        <v>1</v>
      </c>
      <c r="CU67" s="49">
        <f t="shared" si="330"/>
        <v>1</v>
      </c>
      <c r="CV67" s="49">
        <f t="shared" si="330"/>
        <v>1</v>
      </c>
      <c r="CW67" s="49">
        <f t="shared" si="331"/>
        <v>1</v>
      </c>
      <c r="CX67" s="60">
        <f t="shared" ref="CX67" si="354">IFERROR(CX5/$B53,0)</f>
        <v>1.8181818181818183E-6</v>
      </c>
      <c r="CY67" s="60">
        <f>IFERROR(CY5,".")</f>
        <v>1.3732464063589893E-5</v>
      </c>
      <c r="CZ67" s="60">
        <f t="shared" ref="CZ67:DL67" si="355">IFERROR(CZ5/$B53,0)</f>
        <v>1.9909090909090911E-2</v>
      </c>
      <c r="DA67" s="60">
        <f t="shared" si="355"/>
        <v>8.2217063930190147E-8</v>
      </c>
      <c r="DB67" s="60">
        <f t="shared" si="355"/>
        <v>6.6115702479338845E-5</v>
      </c>
      <c r="DC67" s="60">
        <f t="shared" si="355"/>
        <v>6.6115702479338845E-5</v>
      </c>
      <c r="DD67" s="60">
        <f t="shared" si="355"/>
        <v>1.322314049586777E-5</v>
      </c>
      <c r="DE67" s="60">
        <f t="shared" si="355"/>
        <v>1.3619834710743802E-5</v>
      </c>
      <c r="DF67" s="60">
        <f t="shared" si="355"/>
        <v>1.322314049586777E-5</v>
      </c>
      <c r="DG67" s="60">
        <f t="shared" si="355"/>
        <v>1.322314049586777E-5</v>
      </c>
      <c r="DH67" s="60">
        <f t="shared" si="355"/>
        <v>1.322314049586777E-5</v>
      </c>
      <c r="DI67" s="60">
        <f t="shared" si="355"/>
        <v>1.322314049586777E-5</v>
      </c>
      <c r="DJ67" s="60">
        <f t="shared" si="355"/>
        <v>1.3619834710743802E-5</v>
      </c>
      <c r="DK67" s="60">
        <f t="shared" si="355"/>
        <v>1.322314049586777E-5</v>
      </c>
      <c r="DL67" s="60">
        <f t="shared" si="355"/>
        <v>1.3619834710743802E-5</v>
      </c>
      <c r="DM67" s="15"/>
      <c r="DN67" s="15"/>
      <c r="DO67" s="15"/>
      <c r="DP67" s="15"/>
      <c r="DQ67" s="15"/>
      <c r="DR67" s="15"/>
      <c r="DS67" s="15"/>
      <c r="DT67" s="15"/>
      <c r="DU67" s="15"/>
      <c r="DV67" s="15"/>
      <c r="DW67" s="15"/>
      <c r="DX67" s="15"/>
      <c r="DY67" s="15"/>
      <c r="DZ67" s="15"/>
      <c r="EA67" s="15"/>
      <c r="EB67" s="60">
        <f t="shared" ref="EB67" si="356">IFERROR(EB5/$B53,0)</f>
        <v>7.4530882143665804E-8</v>
      </c>
      <c r="EC67" s="71">
        <f>IFERROR(up_RadSpec!$I$5*EC5,".")*$B$67</f>
        <v>27.5</v>
      </c>
      <c r="ED67" s="71">
        <f>IFERROR(up_RadSpec!$F$5*ED5,".")</f>
        <v>3.6410071614583335</v>
      </c>
      <c r="EE67" s="71">
        <f>IFERROR(up_RadSpec!$M$5*EE5,".")*$B$67</f>
        <v>2.5114155251141556E-3</v>
      </c>
      <c r="EF67" s="71">
        <f>up_b2w!CC67</f>
        <v>15203656519.057467</v>
      </c>
      <c r="EG67" s="71">
        <f>IFERROR(up_RadSpec!$H$5*EG5,".")*$B$67</f>
        <v>0.75625000000000009</v>
      </c>
      <c r="EH67" s="71">
        <f>IFERROR(up_RadSpec!$H$5*EH5,".")*$B$67</f>
        <v>0.75625000000000009</v>
      </c>
      <c r="EI67" s="71">
        <f>IFERROR(up_RadSpec!$H$5*EI5,".")*$B$67</f>
        <v>3.78125</v>
      </c>
      <c r="EJ67" s="71">
        <f>IFERROR(up_RadSpec!$H$5*EJ5,".")*$B$67</f>
        <v>3.6711165048543695</v>
      </c>
      <c r="EK67" s="71">
        <f>IFERROR(up_RadSpec!$H$5*EK5,".")*$B$67</f>
        <v>3.78125</v>
      </c>
      <c r="EL67" s="71">
        <f>IFERROR(up_RadSpec!$H$5*EL5,".")*$B$67</f>
        <v>3.78125</v>
      </c>
      <c r="EM67" s="71">
        <f>IFERROR(up_RadSpec!$H$5*EM5,".")*$B$67</f>
        <v>3.78125</v>
      </c>
      <c r="EN67" s="71">
        <f>IFERROR(up_RadSpec!$H$5*EN5,".")*$B$67</f>
        <v>3.78125</v>
      </c>
      <c r="EO67" s="71">
        <f>IFERROR(up_RadSpec!$H$5*EO5,".")*$B$67</f>
        <v>3.6711165048543695</v>
      </c>
      <c r="EP67" s="71">
        <f>IFERROR(up_RadSpec!$H$5*EP5,".")*$B$67</f>
        <v>3.78125</v>
      </c>
      <c r="EQ67" s="71">
        <f>IFERROR(up_RadSpec!$H$5*EQ5,".")*$B$67</f>
        <v>3.6711165048543695</v>
      </c>
      <c r="ER67" s="49">
        <f t="shared" si="335"/>
        <v>0.99999999999886002</v>
      </c>
      <c r="ES67" s="49">
        <f t="shared" si="335"/>
        <v>0.97377408307296387</v>
      </c>
      <c r="ET67" s="49">
        <f t="shared" si="335"/>
        <v>2.5114155251141556E-3</v>
      </c>
      <c r="EU67" s="49">
        <f t="shared" si="335"/>
        <v>1</v>
      </c>
      <c r="EV67" s="49">
        <f t="shared" si="335"/>
        <v>0.53057653149503292</v>
      </c>
      <c r="EW67" s="49">
        <f t="shared" si="335"/>
        <v>0.53057653149503292</v>
      </c>
      <c r="EX67" s="49">
        <f t="shared" si="335"/>
        <v>0.97720581911638771</v>
      </c>
      <c r="EY67" s="49">
        <f t="shared" si="335"/>
        <v>0.97455195878232648</v>
      </c>
      <c r="EZ67" s="49">
        <f t="shared" si="335"/>
        <v>0.97720581911638771</v>
      </c>
      <c r="FA67" s="49">
        <f t="shared" si="335"/>
        <v>0.97720581911638771</v>
      </c>
      <c r="FB67" s="49">
        <f t="shared" si="335"/>
        <v>0.97720581911638771</v>
      </c>
      <c r="FC67" s="49">
        <f t="shared" si="335"/>
        <v>0.97720581911638771</v>
      </c>
      <c r="FD67" s="49">
        <f t="shared" si="335"/>
        <v>0.97455195878232648</v>
      </c>
      <c r="FE67" s="49">
        <f t="shared" si="335"/>
        <v>0.97720581911638771</v>
      </c>
      <c r="FF67" s="49">
        <f t="shared" si="335"/>
        <v>0.97455195878232648</v>
      </c>
      <c r="FG67" s="49">
        <f t="shared" si="336"/>
        <v>1</v>
      </c>
      <c r="FH67" s="60">
        <f>IFERROR(FH5/$B53,0)</f>
        <v>4.9870129870129872E-6</v>
      </c>
      <c r="FI67" s="60">
        <f>IFERROR(FI5/$B53,0)</f>
        <v>3.1854545454545455E-2</v>
      </c>
      <c r="FJ67" s="60">
        <f>IFERROR(FJ5/$B53,0)</f>
        <v>4.9862323635509835E-6</v>
      </c>
      <c r="FK67" s="71">
        <f>IFERROR(up_RadSpec!$F$5*FK5,".")*$B$67</f>
        <v>10.026041666666666</v>
      </c>
      <c r="FL67" s="71">
        <f>IFERROR(up_RadSpec!$K$5*FL5,".")*$B$67</f>
        <v>1.5696347031963472E-3</v>
      </c>
      <c r="FM67" s="49">
        <f t="shared" si="337"/>
        <v>0.99995576709844258</v>
      </c>
      <c r="FN67" s="49">
        <f t="shared" si="337"/>
        <v>1.5696347031963472E-3</v>
      </c>
      <c r="FO67" s="49">
        <f t="shared" si="338"/>
        <v>0.99995583647347897</v>
      </c>
    </row>
    <row r="68" spans="1:171" x14ac:dyDescent="0.25">
      <c r="A68" s="83" t="s">
        <v>1089</v>
      </c>
      <c r="B68" s="42">
        <v>0.99999979999999999</v>
      </c>
      <c r="C68" s="178"/>
      <c r="D68" s="60">
        <f t="shared" ref="D68:O68" si="357">IFERROR(D9/$B54,0)</f>
        <v>1.6528928925620497E-11</v>
      </c>
      <c r="E68" s="60">
        <f t="shared" si="357"/>
        <v>6.6115715702481987E-11</v>
      </c>
      <c r="F68" s="60">
        <f t="shared" si="357"/>
        <v>6.6115715702481987E-11</v>
      </c>
      <c r="G68" s="60">
        <f t="shared" si="357"/>
        <v>6.6115715702481987E-11</v>
      </c>
      <c r="H68" s="60">
        <f t="shared" si="357"/>
        <v>6.6115715702481987E-11</v>
      </c>
      <c r="I68" s="60">
        <f t="shared" si="357"/>
        <v>6.6115715702481987E-11</v>
      </c>
      <c r="J68" s="60">
        <f t="shared" si="357"/>
        <v>6.6115715702481987E-11</v>
      </c>
      <c r="K68" s="60">
        <f t="shared" si="357"/>
        <v>6.6115715702481987E-11</v>
      </c>
      <c r="L68" s="60">
        <f t="shared" si="357"/>
        <v>6.6115715702481987E-11</v>
      </c>
      <c r="M68" s="60">
        <f t="shared" si="357"/>
        <v>6.6115715702481987E-11</v>
      </c>
      <c r="N68" s="60">
        <f t="shared" si="357"/>
        <v>6.6115715702481987E-11</v>
      </c>
      <c r="O68" s="60">
        <f t="shared" si="357"/>
        <v>6.6115715702481987E-11</v>
      </c>
      <c r="P68" s="71">
        <f>up_dir!BC68</f>
        <v>3025000.6050001215</v>
      </c>
      <c r="Q68" s="71">
        <f>IFERROR(up_RadSpec!$H$9*Q9,".")*$B$68</f>
        <v>756249.84875</v>
      </c>
      <c r="R68" s="71">
        <f>IFERROR(up_RadSpec!$H$9*R9,".")*$B$68</f>
        <v>756249.84875</v>
      </c>
      <c r="S68" s="71">
        <f>IFERROR(up_RadSpec!$H$9*S9,".")*$B$68</f>
        <v>756249.84875</v>
      </c>
      <c r="T68" s="71">
        <f>IFERROR(up_RadSpec!$H$9*T9,".")*$B$68</f>
        <v>756249.84875</v>
      </c>
      <c r="U68" s="71">
        <f>IFERROR(up_RadSpec!$H$9*U9,".")*$B$68</f>
        <v>756249.84875</v>
      </c>
      <c r="V68" s="71">
        <f>IFERROR(up_RadSpec!$H$9*V9,".")*$B$68</f>
        <v>756249.84875</v>
      </c>
      <c r="W68" s="71">
        <f>IFERROR(up_RadSpec!$H$9*W9,".")*$B$68</f>
        <v>756249.84875</v>
      </c>
      <c r="X68" s="71">
        <f>IFERROR(up_RadSpec!$H$9*X9,".")*$B$68</f>
        <v>756249.84875</v>
      </c>
      <c r="Y68" s="71">
        <f>IFERROR(up_RadSpec!$H$9*Y9,".")*$B$68</f>
        <v>756249.84875</v>
      </c>
      <c r="Z68" s="71">
        <f>IFERROR(up_RadSpec!$H$9*Z9,".")*$B$68</f>
        <v>756249.84875</v>
      </c>
      <c r="AA68" s="71">
        <f>IFERROR(up_RadSpec!$H$9*AA9,".")*$B$68</f>
        <v>756249.84875</v>
      </c>
      <c r="AB68" s="49">
        <f t="shared" si="327"/>
        <v>1</v>
      </c>
      <c r="AC68" s="49">
        <f t="shared" si="327"/>
        <v>1</v>
      </c>
      <c r="AD68" s="49">
        <f t="shared" si="327"/>
        <v>1</v>
      </c>
      <c r="AE68" s="49">
        <f t="shared" si="327"/>
        <v>1</v>
      </c>
      <c r="AF68" s="49">
        <f t="shared" si="327"/>
        <v>1</v>
      </c>
      <c r="AG68" s="49">
        <f t="shared" si="327"/>
        <v>1</v>
      </c>
      <c r="AH68" s="49">
        <f t="shared" si="327"/>
        <v>1</v>
      </c>
      <c r="AI68" s="49">
        <f t="shared" si="327"/>
        <v>1</v>
      </c>
      <c r="AJ68" s="49">
        <f t="shared" si="327"/>
        <v>1</v>
      </c>
      <c r="AK68" s="49">
        <f t="shared" si="327"/>
        <v>1</v>
      </c>
      <c r="AL68" s="49">
        <f t="shared" si="327"/>
        <v>1</v>
      </c>
      <c r="AM68" s="49">
        <f t="shared" si="327"/>
        <v>1</v>
      </c>
      <c r="AN68" s="60">
        <f t="shared" ref="AN68:BB68" si="358">IFERROR(AN9/$B54,0)</f>
        <v>3.3057857851240988E-8</v>
      </c>
      <c r="AO68" s="60">
        <f t="shared" si="358"/>
        <v>3.0899924031927724E-4</v>
      </c>
      <c r="AP68" s="60">
        <f t="shared" si="358"/>
        <v>1.0834244377237872E-5</v>
      </c>
      <c r="AQ68" s="60">
        <f t="shared" si="358"/>
        <v>3.2968841977900666E-12</v>
      </c>
      <c r="AR68" s="60">
        <f t="shared" si="358"/>
        <v>6.6115715702481987E-11</v>
      </c>
      <c r="AS68" s="60">
        <f t="shared" si="358"/>
        <v>6.6115715702481987E-11</v>
      </c>
      <c r="AT68" s="60">
        <f t="shared" si="358"/>
        <v>1.8558797390170384E-14</v>
      </c>
      <c r="AU68" s="60">
        <f t="shared" si="358"/>
        <v>1.9115561311875495E-14</v>
      </c>
      <c r="AV68" s="60">
        <f t="shared" si="358"/>
        <v>1.8558797390170384E-14</v>
      </c>
      <c r="AW68" s="60">
        <f t="shared" si="358"/>
        <v>1.8558797390170384E-14</v>
      </c>
      <c r="AX68" s="60">
        <f t="shared" si="358"/>
        <v>1.8558797390170384E-14</v>
      </c>
      <c r="AY68" s="60">
        <f t="shared" si="358"/>
        <v>1.8558797390170384E-14</v>
      </c>
      <c r="AZ68" s="60">
        <f t="shared" si="358"/>
        <v>1.9115561311875495E-14</v>
      </c>
      <c r="BA68" s="60">
        <f t="shared" si="358"/>
        <v>1.8558797390170384E-14</v>
      </c>
      <c r="BB68" s="60">
        <f t="shared" si="358"/>
        <v>1.9115561311875495E-14</v>
      </c>
      <c r="BC68" s="42"/>
      <c r="BD68" s="42"/>
      <c r="BE68" s="42"/>
      <c r="BF68" s="42"/>
      <c r="BG68" s="42"/>
      <c r="BH68" s="42"/>
      <c r="BI68" s="42"/>
      <c r="BJ68" s="42"/>
      <c r="BK68" s="42"/>
      <c r="BL68" s="42"/>
      <c r="BM68" s="42"/>
      <c r="BN68" s="42"/>
      <c r="BO68" s="42"/>
      <c r="BP68" s="42"/>
      <c r="BQ68" s="42"/>
      <c r="BR68" s="60">
        <f t="shared" ref="BR68" si="359">IFERROR(BR9/$B54,0)</f>
        <v>2.080859682929841E-15</v>
      </c>
      <c r="BS68" s="71">
        <f>IFERROR(up_RadSpec!$E$9*BS9,".")*$B$68</f>
        <v>1512.4996974999999</v>
      </c>
      <c r="BT68" s="71">
        <f>IFERROR(up_RadSpec!$F$9*BT9,".")*$B$68</f>
        <v>0.16181269555335118</v>
      </c>
      <c r="BU68" s="71">
        <f>IFERROR(up_RadSpec!$G$9*BU9,".")*$B$68</f>
        <v>4.6149965109746969</v>
      </c>
      <c r="BV68" s="71">
        <f>up_b2s!CC68</f>
        <v>15165840.533168107</v>
      </c>
      <c r="BW68" s="71">
        <f>IFERROR(up_RadSpec!$H$9*BW9,".")*$B$68</f>
        <v>756249.84875</v>
      </c>
      <c r="BX68" s="71">
        <f>IFERROR(up_RadSpec!$H$9*BX9,".")*$B$68</f>
        <v>756249.84875</v>
      </c>
      <c r="BY68" s="71">
        <f>IFERROR(up_RadSpec!$H$9*BY9,".")*$B$68</f>
        <v>2694140086.171875</v>
      </c>
      <c r="BZ68" s="71">
        <f>IFERROR(up_RadSpec!$H$9*BZ9,".")*$B$68</f>
        <v>2615669986.574636</v>
      </c>
      <c r="CA68" s="71">
        <f>IFERROR(up_RadSpec!$H$9*CA9,".")*$B$68</f>
        <v>2694140086.171875</v>
      </c>
      <c r="CB68" s="71">
        <f>IFERROR(up_RadSpec!$H$9*CB9,".")*$B$68</f>
        <v>2694140086.171875</v>
      </c>
      <c r="CC68" s="71">
        <f>IFERROR(up_RadSpec!$H$9*CC9,".")*$B$68</f>
        <v>2694140086.171875</v>
      </c>
      <c r="CD68" s="71">
        <f>IFERROR(up_RadSpec!$H$9*CD9,".")*$B$68</f>
        <v>2694140086.171875</v>
      </c>
      <c r="CE68" s="71">
        <f>IFERROR(up_RadSpec!$H$9*CE9,".")*$B$68</f>
        <v>2615669986.574636</v>
      </c>
      <c r="CF68" s="71">
        <f>IFERROR(up_RadSpec!$H$9*CF9,".")*$B$68</f>
        <v>2694140086.171875</v>
      </c>
      <c r="CG68" s="71">
        <f>IFERROR(up_RadSpec!$H$9*CG9,".")*$B$68</f>
        <v>2615669986.574636</v>
      </c>
      <c r="CH68" s="49">
        <f t="shared" si="330"/>
        <v>1</v>
      </c>
      <c r="CI68" s="49">
        <f t="shared" si="330"/>
        <v>0.14939948912161627</v>
      </c>
      <c r="CJ68" s="49">
        <f t="shared" si="330"/>
        <v>0.99009778204400389</v>
      </c>
      <c r="CK68" s="49">
        <f t="shared" si="330"/>
        <v>1</v>
      </c>
      <c r="CL68" s="49">
        <f t="shared" si="330"/>
        <v>1</v>
      </c>
      <c r="CM68" s="49">
        <f t="shared" si="330"/>
        <v>1</v>
      </c>
      <c r="CN68" s="49">
        <f t="shared" si="330"/>
        <v>1</v>
      </c>
      <c r="CO68" s="49">
        <f t="shared" si="330"/>
        <v>1</v>
      </c>
      <c r="CP68" s="49">
        <f t="shared" si="330"/>
        <v>1</v>
      </c>
      <c r="CQ68" s="49">
        <f t="shared" si="330"/>
        <v>1</v>
      </c>
      <c r="CR68" s="49">
        <f t="shared" si="330"/>
        <v>1</v>
      </c>
      <c r="CS68" s="49">
        <f t="shared" si="330"/>
        <v>1</v>
      </c>
      <c r="CT68" s="49">
        <f t="shared" si="330"/>
        <v>1</v>
      </c>
      <c r="CU68" s="49">
        <f t="shared" si="330"/>
        <v>1</v>
      </c>
      <c r="CV68" s="49">
        <f t="shared" si="330"/>
        <v>1</v>
      </c>
      <c r="CW68" s="49">
        <f t="shared" si="331"/>
        <v>1</v>
      </c>
      <c r="CX68" s="60">
        <f t="shared" ref="CX68" si="360">IFERROR(CX9/$B54,0)</f>
        <v>3.6363643636365097E-10</v>
      </c>
      <c r="CY68" s="60">
        <f>IFERROR(CY9,".")</f>
        <v>3.9187352811929723E-8</v>
      </c>
      <c r="CZ68" s="60">
        <f t="shared" ref="CZ68:DL68" si="361">IFERROR(CZ9/$B54,0)</f>
        <v>3.981818978181978E-6</v>
      </c>
      <c r="DA68" s="60">
        <f t="shared" si="361"/>
        <v>1.6443416074721245E-11</v>
      </c>
      <c r="DB68" s="60">
        <f t="shared" si="361"/>
        <v>1.3223143140496398E-8</v>
      </c>
      <c r="DC68" s="60">
        <f t="shared" si="361"/>
        <v>1.3223143140496398E-8</v>
      </c>
      <c r="DD68" s="60">
        <f t="shared" si="361"/>
        <v>2.6446286280992797E-9</v>
      </c>
      <c r="DE68" s="60">
        <f t="shared" si="361"/>
        <v>2.723967486942258E-9</v>
      </c>
      <c r="DF68" s="60">
        <f t="shared" si="361"/>
        <v>2.6446286280992797E-9</v>
      </c>
      <c r="DG68" s="60">
        <f t="shared" si="361"/>
        <v>2.6446286280992797E-9</v>
      </c>
      <c r="DH68" s="60">
        <f t="shared" si="361"/>
        <v>2.6446286280992797E-9</v>
      </c>
      <c r="DI68" s="60">
        <f t="shared" si="361"/>
        <v>2.6446286280992797E-9</v>
      </c>
      <c r="DJ68" s="60">
        <f t="shared" si="361"/>
        <v>2.723967486942258E-9</v>
      </c>
      <c r="DK68" s="60">
        <f t="shared" si="361"/>
        <v>2.6446286280992797E-9</v>
      </c>
      <c r="DL68" s="60">
        <f t="shared" si="361"/>
        <v>2.723967486942258E-9</v>
      </c>
      <c r="DM68" s="15"/>
      <c r="DN68" s="15"/>
      <c r="DO68" s="15"/>
      <c r="DP68" s="15"/>
      <c r="DQ68" s="15"/>
      <c r="DR68" s="15"/>
      <c r="DS68" s="15"/>
      <c r="DT68" s="15"/>
      <c r="DU68" s="15"/>
      <c r="DV68" s="15"/>
      <c r="DW68" s="15"/>
      <c r="DX68" s="15"/>
      <c r="DY68" s="15"/>
      <c r="DZ68" s="15"/>
      <c r="EA68" s="15"/>
      <c r="EB68" s="60">
        <f t="shared" ref="EB68" si="362">IFERROR(EB9/$B54,0)</f>
        <v>1.4900527686657088E-11</v>
      </c>
      <c r="EC68" s="71">
        <f>IFERROR(up_RadSpec!$I$9*EC9,".")*$B$68</f>
        <v>137499.9725</v>
      </c>
      <c r="ED68" s="71">
        <f>IFERROR(up_RadSpec!$F$9*ED9,".")</f>
        <v>1275.9218577473957</v>
      </c>
      <c r="EE68" s="71">
        <f>IFERROR(up_RadSpec!$M$9*EE9,".")*$B$68</f>
        <v>12.557075114155252</v>
      </c>
      <c r="EF68" s="71">
        <f>up_b2w!CC68</f>
        <v>3040731.9119578758</v>
      </c>
      <c r="EG68" s="71">
        <f>IFERROR(up_RadSpec!$H$9*EG9,".")*$B$68</f>
        <v>3781.24924375</v>
      </c>
      <c r="EH68" s="71">
        <f>IFERROR(up_RadSpec!$H$9*EH9,".")*$B$68</f>
        <v>3781.24924375</v>
      </c>
      <c r="EI68" s="71">
        <f>IFERROR(up_RadSpec!$H$9*EI9,".")*$B$68</f>
        <v>18906.246218749999</v>
      </c>
      <c r="EJ68" s="71">
        <f>IFERROR(up_RadSpec!$H$9*EJ9,".")*$B$68</f>
        <v>18355.578853155341</v>
      </c>
      <c r="EK68" s="71">
        <f>IFERROR(up_RadSpec!$H$9*EK9,".")*$B$68</f>
        <v>18906.246218749999</v>
      </c>
      <c r="EL68" s="71">
        <f>IFERROR(up_RadSpec!$H$9*EL9,".")*$B$68</f>
        <v>18906.246218749999</v>
      </c>
      <c r="EM68" s="71">
        <f>IFERROR(up_RadSpec!$H$9*EM9,".")*$B$68</f>
        <v>18906.246218749999</v>
      </c>
      <c r="EN68" s="71">
        <f>IFERROR(up_RadSpec!$H$9*EN9,".")*$B$68</f>
        <v>18906.246218749999</v>
      </c>
      <c r="EO68" s="71">
        <f>IFERROR(up_RadSpec!$H$9*EO9,".")*$B$68</f>
        <v>18355.578853155341</v>
      </c>
      <c r="EP68" s="71">
        <f>IFERROR(up_RadSpec!$H$9*EP9,".")*$B$68</f>
        <v>18906.246218749999</v>
      </c>
      <c r="EQ68" s="71">
        <f>IFERROR(up_RadSpec!$H$9*EQ9,".")*$B$68</f>
        <v>18355.578853155341</v>
      </c>
      <c r="ER68" s="49">
        <f t="shared" si="335"/>
        <v>1</v>
      </c>
      <c r="ES68" s="49">
        <f t="shared" si="335"/>
        <v>1</v>
      </c>
      <c r="ET68" s="49">
        <f t="shared" si="335"/>
        <v>0.99999648008992004</v>
      </c>
      <c r="EU68" s="49">
        <f t="shared" si="335"/>
        <v>1</v>
      </c>
      <c r="EV68" s="49">
        <f t="shared" si="335"/>
        <v>1</v>
      </c>
      <c r="EW68" s="49">
        <f t="shared" si="335"/>
        <v>1</v>
      </c>
      <c r="EX68" s="49">
        <f t="shared" si="335"/>
        <v>1</v>
      </c>
      <c r="EY68" s="49">
        <f t="shared" si="335"/>
        <v>1</v>
      </c>
      <c r="EZ68" s="49">
        <f t="shared" si="335"/>
        <v>1</v>
      </c>
      <c r="FA68" s="49">
        <f t="shared" si="335"/>
        <v>1</v>
      </c>
      <c r="FB68" s="49">
        <f t="shared" si="335"/>
        <v>1</v>
      </c>
      <c r="FC68" s="49">
        <f t="shared" si="335"/>
        <v>1</v>
      </c>
      <c r="FD68" s="49">
        <f t="shared" si="335"/>
        <v>1</v>
      </c>
      <c r="FE68" s="49">
        <f t="shared" si="335"/>
        <v>1</v>
      </c>
      <c r="FF68" s="49">
        <f t="shared" si="335"/>
        <v>1</v>
      </c>
      <c r="FG68" s="49">
        <f t="shared" si="336"/>
        <v>1</v>
      </c>
      <c r="FH68" s="60">
        <f>IFERROR(FH9/$B54,0)</f>
        <v>9.9740279688315693E-10</v>
      </c>
      <c r="FI68" s="60">
        <f>IFERROR(FI9/$B54,0)</f>
        <v>6.3709103650911641E-6</v>
      </c>
      <c r="FJ68" s="60">
        <f>IFERROR(FJ9/$B54,0)</f>
        <v>9.9724667215953107E-10</v>
      </c>
      <c r="FK68" s="71">
        <f>IFERROR(up_RadSpec!$F$9*FK9,".")*$B$68</f>
        <v>50130.198307291663</v>
      </c>
      <c r="FL68" s="71">
        <f>IFERROR(up_RadSpec!$K$9*FL9,".")*$B$68</f>
        <v>7.8481719463470325</v>
      </c>
      <c r="FM68" s="49">
        <f t="shared" si="337"/>
        <v>1</v>
      </c>
      <c r="FN68" s="49">
        <f t="shared" si="337"/>
        <v>0.99960953489260818</v>
      </c>
      <c r="FO68" s="49">
        <f t="shared" si="338"/>
        <v>1</v>
      </c>
    </row>
    <row r="69" spans="1:171" x14ac:dyDescent="0.25">
      <c r="A69" s="83" t="s">
        <v>1090</v>
      </c>
      <c r="B69" s="42">
        <v>1.9999999999999999E-7</v>
      </c>
      <c r="C69" s="178"/>
      <c r="D69" s="60">
        <f t="shared" ref="D69:O69" si="363">IFERROR(D24/$B55,0)</f>
        <v>8.264462809917356E-5</v>
      </c>
      <c r="E69" s="60">
        <f t="shared" si="363"/>
        <v>3.3057851239669424E-4</v>
      </c>
      <c r="F69" s="60">
        <f t="shared" si="363"/>
        <v>3.3057851239669424E-4</v>
      </c>
      <c r="G69" s="60">
        <f t="shared" si="363"/>
        <v>3.3057851239669424E-4</v>
      </c>
      <c r="H69" s="60">
        <f t="shared" si="363"/>
        <v>3.3057851239669424E-4</v>
      </c>
      <c r="I69" s="60">
        <f t="shared" si="363"/>
        <v>3.3057851239669424E-4</v>
      </c>
      <c r="J69" s="60">
        <f t="shared" si="363"/>
        <v>3.3057851239669424E-4</v>
      </c>
      <c r="K69" s="60">
        <f t="shared" si="363"/>
        <v>3.3057851239669424E-4</v>
      </c>
      <c r="L69" s="60">
        <f t="shared" si="363"/>
        <v>3.3057851239669424E-4</v>
      </c>
      <c r="M69" s="60">
        <f t="shared" si="363"/>
        <v>3.3057851239669424E-4</v>
      </c>
      <c r="N69" s="60">
        <f t="shared" si="363"/>
        <v>3.3057851239669424E-4</v>
      </c>
      <c r="O69" s="60">
        <f t="shared" si="363"/>
        <v>3.3057851239669424E-4</v>
      </c>
      <c r="P69" s="71">
        <f>up_dir!BC69</f>
        <v>15125000000000</v>
      </c>
      <c r="Q69" s="71">
        <f>IFERROR(up_RadSpec!$H$24*Q24,".")*$B$69</f>
        <v>0.15125</v>
      </c>
      <c r="R69" s="71">
        <f>IFERROR(up_RadSpec!$H$24*R24,".")*$B$69</f>
        <v>0.15125</v>
      </c>
      <c r="S69" s="71">
        <f>IFERROR(up_RadSpec!$H$24*S24,".")*$B$69</f>
        <v>0.15125</v>
      </c>
      <c r="T69" s="71">
        <f>IFERROR(up_RadSpec!$H$24*T24,".")*$B$69</f>
        <v>0.15125</v>
      </c>
      <c r="U69" s="71">
        <f>IFERROR(up_RadSpec!$H$24*U24,".")*$B$69</f>
        <v>0.15125</v>
      </c>
      <c r="V69" s="71">
        <f>IFERROR(up_RadSpec!$H$24*V24,".")*$B$69</f>
        <v>0.15125</v>
      </c>
      <c r="W69" s="71">
        <f>IFERROR(up_RadSpec!$H$24*W24,".")*$B$69</f>
        <v>0.15125</v>
      </c>
      <c r="X69" s="71">
        <f>IFERROR(up_RadSpec!$H$24*X24,".")*$B$69</f>
        <v>0.15125</v>
      </c>
      <c r="Y69" s="71">
        <f>IFERROR(up_RadSpec!$H$24*Y24,".")*$B$69</f>
        <v>0.15125</v>
      </c>
      <c r="Z69" s="71">
        <f>IFERROR(up_RadSpec!$H$24*Z24,".")*$B$69</f>
        <v>0.15125</v>
      </c>
      <c r="AA69" s="71">
        <f>IFERROR(up_RadSpec!$H$24*AA24,".")*$B$69</f>
        <v>0.15125</v>
      </c>
      <c r="AB69" s="49">
        <f t="shared" si="327"/>
        <v>1</v>
      </c>
      <c r="AC69" s="49">
        <f t="shared" si="327"/>
        <v>0.14036723639745774</v>
      </c>
      <c r="AD69" s="49">
        <f t="shared" si="327"/>
        <v>0.14036723639745774</v>
      </c>
      <c r="AE69" s="49">
        <f t="shared" si="327"/>
        <v>0.14036723639745774</v>
      </c>
      <c r="AF69" s="49">
        <f t="shared" si="327"/>
        <v>0.14036723639745774</v>
      </c>
      <c r="AG69" s="49">
        <f t="shared" si="327"/>
        <v>0.14036723639745774</v>
      </c>
      <c r="AH69" s="49">
        <f t="shared" si="327"/>
        <v>0.14036723639745774</v>
      </c>
      <c r="AI69" s="49">
        <f t="shared" si="327"/>
        <v>0.14036723639745774</v>
      </c>
      <c r="AJ69" s="49">
        <f t="shared" si="327"/>
        <v>0.14036723639745774</v>
      </c>
      <c r="AK69" s="49">
        <f t="shared" si="327"/>
        <v>0.14036723639745774</v>
      </c>
      <c r="AL69" s="49">
        <f t="shared" si="327"/>
        <v>0.14036723639745774</v>
      </c>
      <c r="AM69" s="49">
        <f t="shared" si="327"/>
        <v>0.14036723639745774</v>
      </c>
      <c r="AN69" s="60">
        <f t="shared" ref="AN69:BB69" si="364">IFERROR(AN24/$B55,0)</f>
        <v>0.16528925619834711</v>
      </c>
      <c r="AO69" s="60">
        <f t="shared" si="364"/>
        <v>1544.9958925971459</v>
      </c>
      <c r="AP69" s="60">
        <f t="shared" si="364"/>
        <v>95.598671407459506</v>
      </c>
      <c r="AQ69" s="60">
        <f t="shared" si="364"/>
        <v>1.6484417692066136E-5</v>
      </c>
      <c r="AR69" s="60">
        <f t="shared" si="364"/>
        <v>3.3057851239669424E-4</v>
      </c>
      <c r="AS69" s="60">
        <f t="shared" si="364"/>
        <v>3.3057851239669424E-4</v>
      </c>
      <c r="AT69" s="60">
        <f t="shared" si="364"/>
        <v>9.2793968392054527E-8</v>
      </c>
      <c r="AU69" s="60">
        <f t="shared" si="364"/>
        <v>9.5577787443816166E-8</v>
      </c>
      <c r="AV69" s="60">
        <f t="shared" si="364"/>
        <v>9.2793968392054527E-8</v>
      </c>
      <c r="AW69" s="60">
        <f t="shared" si="364"/>
        <v>9.2793968392054527E-8</v>
      </c>
      <c r="AX69" s="60">
        <f t="shared" si="364"/>
        <v>9.2793968392054527E-8</v>
      </c>
      <c r="AY69" s="60">
        <f t="shared" si="364"/>
        <v>9.2793968392054527E-8</v>
      </c>
      <c r="AZ69" s="60">
        <f t="shared" si="364"/>
        <v>9.5577787443816166E-8</v>
      </c>
      <c r="BA69" s="60">
        <f t="shared" si="364"/>
        <v>9.2793968392054527E-8</v>
      </c>
      <c r="BB69" s="60">
        <f t="shared" si="364"/>
        <v>9.5577787443816166E-8</v>
      </c>
      <c r="BC69" s="42"/>
      <c r="BD69" s="42"/>
      <c r="BE69" s="42"/>
      <c r="BF69" s="42"/>
      <c r="BG69" s="42"/>
      <c r="BH69" s="42"/>
      <c r="BI69" s="42"/>
      <c r="BJ69" s="42"/>
      <c r="BK69" s="42"/>
      <c r="BL69" s="42"/>
      <c r="BM69" s="42"/>
      <c r="BN69" s="42"/>
      <c r="BO69" s="42"/>
      <c r="BP69" s="42"/>
      <c r="BQ69" s="42"/>
      <c r="BR69" s="60">
        <f t="shared" ref="BR69" si="365">IFERROR(BR24/$B55,0)</f>
        <v>1.0404296334655475E-8</v>
      </c>
      <c r="BS69" s="71">
        <f>IFERROR(up_RadSpec!$E$24*BS24,".")*$B$69</f>
        <v>3.0249999999999998E-4</v>
      </c>
      <c r="BT69" s="71">
        <f>IFERROR(up_RadSpec!$F$24*BT24,".")*$B$69</f>
        <v>3.2362545583179352E-8</v>
      </c>
      <c r="BU69" s="71">
        <f>IFERROR(up_RadSpec!$G$24*BU24,".")*$B$69</f>
        <v>5.2301982092293537E-7</v>
      </c>
      <c r="BV69" s="71">
        <f>up_b2s!CC69</f>
        <v>75829187500000</v>
      </c>
      <c r="BW69" s="71">
        <f>IFERROR(up_RadSpec!$H$24*BW24,".")*$B$69</f>
        <v>0.15125</v>
      </c>
      <c r="BX69" s="71">
        <f>IFERROR(up_RadSpec!$H$24*BX24,".")*$B$69</f>
        <v>0.15125</v>
      </c>
      <c r="BY69" s="71">
        <f>IFERROR(up_RadSpec!$H$24*BY24,".")*$B$69</f>
        <v>538.828125</v>
      </c>
      <c r="BZ69" s="71">
        <f>IFERROR(up_RadSpec!$H$24*BZ24,".")*$B$69</f>
        <v>523.13410194174753</v>
      </c>
      <c r="CA69" s="71">
        <f>IFERROR(up_RadSpec!$H$24*CA24,".")*$B$69</f>
        <v>538.828125</v>
      </c>
      <c r="CB69" s="71">
        <f>IFERROR(up_RadSpec!$H$24*CB24,".")*$B$69</f>
        <v>538.828125</v>
      </c>
      <c r="CC69" s="71">
        <f>IFERROR(up_RadSpec!$H$24*CC24,".")*$B$69</f>
        <v>538.828125</v>
      </c>
      <c r="CD69" s="71">
        <f>IFERROR(up_RadSpec!$H$24*CD24,".")*$B$69</f>
        <v>538.828125</v>
      </c>
      <c r="CE69" s="71">
        <f>IFERROR(up_RadSpec!$H$24*CE24,".")*$B$69</f>
        <v>523.13410194174753</v>
      </c>
      <c r="CF69" s="71">
        <f>IFERROR(up_RadSpec!$H$24*CF24,".")*$B$69</f>
        <v>538.828125</v>
      </c>
      <c r="CG69" s="71">
        <f>IFERROR(up_RadSpec!$H$24*CG24,".")*$B$69</f>
        <v>523.13410194174753</v>
      </c>
      <c r="CH69" s="49">
        <f t="shared" si="330"/>
        <v>3.0249999999999998E-4</v>
      </c>
      <c r="CI69" s="49">
        <f t="shared" si="330"/>
        <v>3.2362545583179352E-8</v>
      </c>
      <c r="CJ69" s="49">
        <f t="shared" si="330"/>
        <v>5.2301982092293537E-7</v>
      </c>
      <c r="CK69" s="49">
        <f t="shared" si="330"/>
        <v>1</v>
      </c>
      <c r="CL69" s="49">
        <f t="shared" si="330"/>
        <v>0.14036723639745774</v>
      </c>
      <c r="CM69" s="49">
        <f t="shared" si="330"/>
        <v>0.14036723639745774</v>
      </c>
      <c r="CN69" s="49">
        <f t="shared" si="330"/>
        <v>1</v>
      </c>
      <c r="CO69" s="49">
        <f t="shared" si="330"/>
        <v>1</v>
      </c>
      <c r="CP69" s="49">
        <f t="shared" si="330"/>
        <v>1</v>
      </c>
      <c r="CQ69" s="49">
        <f t="shared" si="330"/>
        <v>1</v>
      </c>
      <c r="CR69" s="49">
        <f t="shared" si="330"/>
        <v>1</v>
      </c>
      <c r="CS69" s="49">
        <f t="shared" si="330"/>
        <v>1</v>
      </c>
      <c r="CT69" s="49">
        <f t="shared" si="330"/>
        <v>1</v>
      </c>
      <c r="CU69" s="49">
        <f t="shared" si="330"/>
        <v>1</v>
      </c>
      <c r="CV69" s="49">
        <f t="shared" si="330"/>
        <v>1</v>
      </c>
      <c r="CW69" s="49">
        <f t="shared" si="331"/>
        <v>1</v>
      </c>
      <c r="CX69" s="60">
        <f t="shared" ref="CX69" si="366">IFERROR(CX24/$B55,0)</f>
        <v>1.8181818181818186E-3</v>
      </c>
      <c r="CY69" s="60">
        <f>IFERROR(CY24,".")</f>
        <v>1.3733409486996358E-2</v>
      </c>
      <c r="CZ69" s="60">
        <f t="shared" ref="CZ69:DL69" si="367">IFERROR(CZ24/$B55,0)</f>
        <v>19.909090909090914</v>
      </c>
      <c r="DA69" s="60">
        <f t="shared" si="367"/>
        <v>8.2217063930190151E-5</v>
      </c>
      <c r="DB69" s="60">
        <f t="shared" si="367"/>
        <v>6.6115702479338859E-2</v>
      </c>
      <c r="DC69" s="60">
        <f t="shared" si="367"/>
        <v>6.6115702479338859E-2</v>
      </c>
      <c r="DD69" s="60">
        <f t="shared" si="367"/>
        <v>1.322314049586777E-2</v>
      </c>
      <c r="DE69" s="60">
        <f t="shared" si="367"/>
        <v>1.3619834710743803E-2</v>
      </c>
      <c r="DF69" s="60">
        <f t="shared" si="367"/>
        <v>1.322314049586777E-2</v>
      </c>
      <c r="DG69" s="60">
        <f t="shared" si="367"/>
        <v>1.322314049586777E-2</v>
      </c>
      <c r="DH69" s="60">
        <f t="shared" si="367"/>
        <v>1.322314049586777E-2</v>
      </c>
      <c r="DI69" s="60">
        <f t="shared" si="367"/>
        <v>1.322314049586777E-2</v>
      </c>
      <c r="DJ69" s="60">
        <f t="shared" si="367"/>
        <v>1.3619834710743803E-2</v>
      </c>
      <c r="DK69" s="60">
        <f t="shared" si="367"/>
        <v>1.322314049586777E-2</v>
      </c>
      <c r="DL69" s="60">
        <f t="shared" si="367"/>
        <v>1.3619834710743803E-2</v>
      </c>
      <c r="DM69" s="15"/>
      <c r="DN69" s="15"/>
      <c r="DO69" s="15"/>
      <c r="DP69" s="15"/>
      <c r="DQ69" s="15"/>
      <c r="DR69" s="15"/>
      <c r="DS69" s="15"/>
      <c r="DT69" s="15"/>
      <c r="DU69" s="15"/>
      <c r="DV69" s="15"/>
      <c r="DW69" s="15"/>
      <c r="DX69" s="15"/>
      <c r="DY69" s="15"/>
      <c r="DZ69" s="15"/>
      <c r="EA69" s="15"/>
      <c r="EB69" s="60">
        <f t="shared" ref="EB69" si="368">IFERROR(EB24/$B55,0)</f>
        <v>7.4530962963887374E-5</v>
      </c>
      <c r="EC69" s="71">
        <f>IFERROR(up_RadSpec!$I$24*EC24,".")*$B$69</f>
        <v>2.75E-2</v>
      </c>
      <c r="ED69" s="71">
        <f>IFERROR(up_RadSpec!$F$24*ED24,".")</f>
        <v>3.6407565104166666E-3</v>
      </c>
      <c r="EE69" s="71">
        <f>IFERROR(up_RadSpec!$M$24*EE24,".")*$B$69</f>
        <v>2.5114155251141552E-6</v>
      </c>
      <c r="EF69" s="71">
        <f>up_b2w!CC69</f>
        <v>15203656519057.469</v>
      </c>
      <c r="EG69" s="71">
        <f>IFERROR(up_RadSpec!$H$24*EG24,".")*$B$69</f>
        <v>7.5624999999999998E-4</v>
      </c>
      <c r="EH69" s="71">
        <f>IFERROR(up_RadSpec!$H$24*EH24,".")*$B$69</f>
        <v>7.5624999999999998E-4</v>
      </c>
      <c r="EI69" s="71">
        <f>IFERROR(up_RadSpec!$H$24*EI24,".")*$B$69</f>
        <v>3.7812499999999999E-3</v>
      </c>
      <c r="EJ69" s="71">
        <f>IFERROR(up_RadSpec!$H$24*EJ24,".")*$B$69</f>
        <v>3.6711165048543691E-3</v>
      </c>
      <c r="EK69" s="71">
        <f>IFERROR(up_RadSpec!$H$24*EK24,".")*$B$69</f>
        <v>3.7812499999999999E-3</v>
      </c>
      <c r="EL69" s="71">
        <f>IFERROR(up_RadSpec!$H$24*EL24,".")*$B$69</f>
        <v>3.7812499999999999E-3</v>
      </c>
      <c r="EM69" s="71">
        <f>IFERROR(up_RadSpec!$H$24*EM24,".")*$B$69</f>
        <v>3.7812499999999999E-3</v>
      </c>
      <c r="EN69" s="71">
        <f>IFERROR(up_RadSpec!$H$24*EN24,".")*$B$69</f>
        <v>3.7812499999999999E-3</v>
      </c>
      <c r="EO69" s="71">
        <f>IFERROR(up_RadSpec!$H$24*EO24,".")*$B$69</f>
        <v>3.6711165048543691E-3</v>
      </c>
      <c r="EP69" s="71">
        <f>IFERROR(up_RadSpec!$H$24*EP24,".")*$B$69</f>
        <v>3.7812499999999999E-3</v>
      </c>
      <c r="EQ69" s="71">
        <f>IFERROR(up_RadSpec!$H$24*EQ24,".")*$B$69</f>
        <v>3.6711165048543691E-3</v>
      </c>
      <c r="ER69" s="49">
        <f t="shared" si="335"/>
        <v>2.7125317446546005E-2</v>
      </c>
      <c r="ES69" s="49">
        <f t="shared" si="335"/>
        <v>3.6407565104166666E-3</v>
      </c>
      <c r="ET69" s="49">
        <f t="shared" si="335"/>
        <v>2.5114155251141552E-6</v>
      </c>
      <c r="EU69" s="49">
        <f t="shared" si="335"/>
        <v>1</v>
      </c>
      <c r="EV69" s="49">
        <f t="shared" si="335"/>
        <v>7.5624999999999998E-4</v>
      </c>
      <c r="EW69" s="49">
        <f t="shared" si="335"/>
        <v>7.5624999999999998E-4</v>
      </c>
      <c r="EX69" s="49">
        <f t="shared" si="335"/>
        <v>3.7812499999999999E-3</v>
      </c>
      <c r="EY69" s="49">
        <f t="shared" si="335"/>
        <v>3.6711165048543691E-3</v>
      </c>
      <c r="EZ69" s="49">
        <f t="shared" si="335"/>
        <v>3.7812499999999999E-3</v>
      </c>
      <c r="FA69" s="49">
        <f t="shared" si="335"/>
        <v>3.7812499999999999E-3</v>
      </c>
      <c r="FB69" s="49">
        <f t="shared" si="335"/>
        <v>3.7812499999999999E-3</v>
      </c>
      <c r="FC69" s="49">
        <f t="shared" si="335"/>
        <v>3.7812499999999999E-3</v>
      </c>
      <c r="FD69" s="49">
        <f t="shared" si="335"/>
        <v>3.6711165048543691E-3</v>
      </c>
      <c r="FE69" s="49">
        <f t="shared" si="335"/>
        <v>3.7812499999999999E-3</v>
      </c>
      <c r="FF69" s="49">
        <f t="shared" si="335"/>
        <v>3.6711165048543691E-3</v>
      </c>
      <c r="FG69" s="49">
        <f t="shared" si="336"/>
        <v>1</v>
      </c>
      <c r="FH69" s="60">
        <f>IFERROR(FH24/$B55,0)</f>
        <v>4.9870129870129877E-3</v>
      </c>
      <c r="FI69" s="60">
        <f>IFERROR(FI24/$B55,0)</f>
        <v>31.854545454545455</v>
      </c>
      <c r="FJ69" s="60">
        <f>IFERROR(FJ24/$B55,0)</f>
        <v>4.9862323635509838E-3</v>
      </c>
      <c r="FK69" s="71">
        <f>IFERROR(up_RadSpec!$F$24*FK24,".")*$B$69</f>
        <v>1.0026041666666666E-2</v>
      </c>
      <c r="FL69" s="71">
        <f>IFERROR(up_RadSpec!$K$24*FL24,".")*$B$69</f>
        <v>1.5696347031963471E-6</v>
      </c>
      <c r="FM69" s="49">
        <f t="shared" si="337"/>
        <v>9.9759484628785255E-3</v>
      </c>
      <c r="FN69" s="49">
        <f t="shared" si="337"/>
        <v>1.5696347031963471E-6</v>
      </c>
      <c r="FO69" s="49">
        <f t="shared" si="338"/>
        <v>9.9775024377671828E-3</v>
      </c>
    </row>
    <row r="70" spans="1:171" x14ac:dyDescent="0.25">
      <c r="A70" s="83" t="s">
        <v>1091</v>
      </c>
      <c r="B70" s="42">
        <v>0.99979000004200003</v>
      </c>
      <c r="C70" s="178"/>
      <c r="D70" s="60">
        <f t="shared" ref="D70:O70" si="369">IFERROR(D20/$B56,0)</f>
        <v>1.6532397422599096E-11</v>
      </c>
      <c r="E70" s="60">
        <f t="shared" si="369"/>
        <v>6.6129589690396382E-11</v>
      </c>
      <c r="F70" s="60">
        <f t="shared" si="369"/>
        <v>6.6129589690396382E-11</v>
      </c>
      <c r="G70" s="60">
        <f t="shared" si="369"/>
        <v>6.6129589690396382E-11</v>
      </c>
      <c r="H70" s="60">
        <f t="shared" si="369"/>
        <v>6.6129589690396382E-11</v>
      </c>
      <c r="I70" s="60">
        <f t="shared" si="369"/>
        <v>6.6129589690396382E-11</v>
      </c>
      <c r="J70" s="60">
        <f t="shared" si="369"/>
        <v>6.6129589690396382E-11</v>
      </c>
      <c r="K70" s="60">
        <f t="shared" si="369"/>
        <v>6.6129589690396382E-11</v>
      </c>
      <c r="L70" s="60">
        <f t="shared" si="369"/>
        <v>6.6129589690396382E-11</v>
      </c>
      <c r="M70" s="60">
        <f t="shared" si="369"/>
        <v>6.6129589690396382E-11</v>
      </c>
      <c r="N70" s="60">
        <f t="shared" si="369"/>
        <v>6.6129589690396382E-11</v>
      </c>
      <c r="O70" s="60">
        <f t="shared" si="369"/>
        <v>6.6129589690396382E-11</v>
      </c>
      <c r="P70" s="71">
        <f>up_dir!BC70</f>
        <v>3025635.3833034169</v>
      </c>
      <c r="Q70" s="71">
        <f>IFERROR(up_RadSpec!$H$20*Q20,".")*$B$70</f>
        <v>756091.18753176252</v>
      </c>
      <c r="R70" s="71">
        <f>IFERROR(up_RadSpec!$H$20*R20,".")*$B$70</f>
        <v>756091.18753176252</v>
      </c>
      <c r="S70" s="71">
        <f>IFERROR(up_RadSpec!$H$20*S20,".")*$B$70</f>
        <v>756091.18753176252</v>
      </c>
      <c r="T70" s="71">
        <f>IFERROR(up_RadSpec!$H$20*T20,".")*$B$70</f>
        <v>756091.18753176252</v>
      </c>
      <c r="U70" s="71">
        <f>IFERROR(up_RadSpec!$H$20*U20,".")*$B$70</f>
        <v>756091.18753176252</v>
      </c>
      <c r="V70" s="71">
        <f>IFERROR(up_RadSpec!$H$20*V20,".")*$B$70</f>
        <v>756091.18753176252</v>
      </c>
      <c r="W70" s="71">
        <f>IFERROR(up_RadSpec!$H$20*W20,".")*$B$70</f>
        <v>756091.18753176252</v>
      </c>
      <c r="X70" s="71">
        <f>IFERROR(up_RadSpec!$H$20*X20,".")*$B$70</f>
        <v>756091.18753176252</v>
      </c>
      <c r="Y70" s="71">
        <f>IFERROR(up_RadSpec!$H$20*Y20,".")*$B$70</f>
        <v>756091.18753176252</v>
      </c>
      <c r="Z70" s="71">
        <f>IFERROR(up_RadSpec!$H$20*Z20,".")*$B$70</f>
        <v>756091.18753176252</v>
      </c>
      <c r="AA70" s="71">
        <f>IFERROR(up_RadSpec!$H$20*AA20,".")*$B$70</f>
        <v>756091.18753176252</v>
      </c>
      <c r="AB70" s="49">
        <f t="shared" si="327"/>
        <v>1</v>
      </c>
      <c r="AC70" s="49">
        <f t="shared" si="327"/>
        <v>1</v>
      </c>
      <c r="AD70" s="49">
        <f t="shared" si="327"/>
        <v>1</v>
      </c>
      <c r="AE70" s="49">
        <f t="shared" si="327"/>
        <v>1</v>
      </c>
      <c r="AF70" s="49">
        <f t="shared" si="327"/>
        <v>1</v>
      </c>
      <c r="AG70" s="49">
        <f t="shared" si="327"/>
        <v>1</v>
      </c>
      <c r="AH70" s="49">
        <f t="shared" si="327"/>
        <v>1</v>
      </c>
      <c r="AI70" s="49">
        <f t="shared" si="327"/>
        <v>1</v>
      </c>
      <c r="AJ70" s="49">
        <f t="shared" si="327"/>
        <v>1</v>
      </c>
      <c r="AK70" s="49">
        <f t="shared" si="327"/>
        <v>1</v>
      </c>
      <c r="AL70" s="49">
        <f t="shared" si="327"/>
        <v>1</v>
      </c>
      <c r="AM70" s="49">
        <f t="shared" si="327"/>
        <v>1</v>
      </c>
      <c r="AN70" s="60">
        <f t="shared" ref="AN70:BB70" si="370">IFERROR(AN20/$B56,0)</f>
        <v>3.3064794845198194E-8</v>
      </c>
      <c r="AO70" s="60">
        <f t="shared" si="370"/>
        <v>3.0906408196366086E-4</v>
      </c>
      <c r="AP70" s="60">
        <f t="shared" si="370"/>
        <v>1.4977900176140338E-5</v>
      </c>
      <c r="AQ70" s="60">
        <f t="shared" si="370"/>
        <v>3.2975760292408697E-12</v>
      </c>
      <c r="AR70" s="60">
        <f t="shared" si="370"/>
        <v>6.6129589690396382E-11</v>
      </c>
      <c r="AS70" s="60">
        <f t="shared" si="370"/>
        <v>6.6129589690396382E-11</v>
      </c>
      <c r="AT70" s="60">
        <f t="shared" si="370"/>
        <v>1.8562691842918284E-14</v>
      </c>
      <c r="AU70" s="60">
        <f t="shared" si="370"/>
        <v>1.9119572598205833E-14</v>
      </c>
      <c r="AV70" s="60">
        <f t="shared" si="370"/>
        <v>1.8562691842918284E-14</v>
      </c>
      <c r="AW70" s="60">
        <f t="shared" si="370"/>
        <v>1.8562691842918284E-14</v>
      </c>
      <c r="AX70" s="60">
        <f t="shared" si="370"/>
        <v>1.8562691842918284E-14</v>
      </c>
      <c r="AY70" s="60">
        <f t="shared" si="370"/>
        <v>1.8562691842918284E-14</v>
      </c>
      <c r="AZ70" s="60">
        <f t="shared" si="370"/>
        <v>1.9119572598205833E-14</v>
      </c>
      <c r="BA70" s="60">
        <f t="shared" si="370"/>
        <v>1.8562691842918284E-14</v>
      </c>
      <c r="BB70" s="60">
        <f t="shared" si="370"/>
        <v>1.9119572598205833E-14</v>
      </c>
      <c r="BC70" s="42"/>
      <c r="BD70" s="42"/>
      <c r="BE70" s="42"/>
      <c r="BF70" s="42"/>
      <c r="BG70" s="42"/>
      <c r="BH70" s="42"/>
      <c r="BI70" s="42"/>
      <c r="BJ70" s="42"/>
      <c r="BK70" s="42"/>
      <c r="BL70" s="42"/>
      <c r="BM70" s="42"/>
      <c r="BN70" s="42"/>
      <c r="BO70" s="42"/>
      <c r="BP70" s="42"/>
      <c r="BQ70" s="42"/>
      <c r="BR70" s="60">
        <f t="shared" ref="BR70" si="371">IFERROR(BR20/$B56,0)</f>
        <v>2.081296339012188E-15</v>
      </c>
      <c r="BS70" s="71">
        <f>IFERROR(up_RadSpec!$E$20*BS20,".")*$B$70</f>
        <v>1512.1823750635251</v>
      </c>
      <c r="BT70" s="71">
        <f>IFERROR(up_RadSpec!$F$20*BT20,".")*$B$70</f>
        <v>0.16177874724983057</v>
      </c>
      <c r="BU70" s="71">
        <f>IFERROR(up_RadSpec!$G$20*BU20,".")*$B$70</f>
        <v>3.3382516515665901</v>
      </c>
      <c r="BV70" s="71">
        <f>up_b2s!CC70</f>
        <v>15169022.994191682</v>
      </c>
      <c r="BW70" s="71">
        <f>IFERROR(up_RadSpec!$H$20*BW20,".")*$B$70</f>
        <v>756091.18753176252</v>
      </c>
      <c r="BX70" s="71">
        <f>IFERROR(up_RadSpec!$H$20*BX20,".")*$B$70</f>
        <v>756091.18753176252</v>
      </c>
      <c r="BY70" s="71">
        <f>IFERROR(up_RadSpec!$H$20*BY20,".")*$B$70</f>
        <v>2693574855.5819039</v>
      </c>
      <c r="BZ70" s="71">
        <f>IFERROR(up_RadSpec!$H$20*BZ20,".")*$B$70</f>
        <v>2615121219.0115571</v>
      </c>
      <c r="CA70" s="71">
        <f>IFERROR(up_RadSpec!$H$20*CA20,".")*$B$70</f>
        <v>2693574855.5819039</v>
      </c>
      <c r="CB70" s="71">
        <f>IFERROR(up_RadSpec!$H$20*CB20,".")*$B$70</f>
        <v>2693574855.5819039</v>
      </c>
      <c r="CC70" s="71">
        <f>IFERROR(up_RadSpec!$H$20*CC20,".")*$B$70</f>
        <v>2693574855.5819039</v>
      </c>
      <c r="CD70" s="71">
        <f>IFERROR(up_RadSpec!$H$20*CD20,".")*$B$70</f>
        <v>2693574855.5819039</v>
      </c>
      <c r="CE70" s="71">
        <f>IFERROR(up_RadSpec!$H$20*CE20,".")*$B$70</f>
        <v>2615121219.0115571</v>
      </c>
      <c r="CF70" s="71">
        <f>IFERROR(up_RadSpec!$H$20*CF20,".")*$B$70</f>
        <v>2693574855.5819039</v>
      </c>
      <c r="CG70" s="71">
        <f>IFERROR(up_RadSpec!$H$20*CG20,".")*$B$70</f>
        <v>2615121219.0115571</v>
      </c>
      <c r="CH70" s="49">
        <f t="shared" si="330"/>
        <v>1</v>
      </c>
      <c r="CI70" s="49">
        <f t="shared" si="330"/>
        <v>0.14937061218713943</v>
      </c>
      <c r="CJ70" s="49">
        <f t="shared" si="330"/>
        <v>0.96450103193683789</v>
      </c>
      <c r="CK70" s="49">
        <f t="shared" si="330"/>
        <v>1</v>
      </c>
      <c r="CL70" s="49">
        <f t="shared" si="330"/>
        <v>1</v>
      </c>
      <c r="CM70" s="49">
        <f t="shared" si="330"/>
        <v>1</v>
      </c>
      <c r="CN70" s="49">
        <f t="shared" si="330"/>
        <v>1</v>
      </c>
      <c r="CO70" s="49">
        <f t="shared" si="330"/>
        <v>1</v>
      </c>
      <c r="CP70" s="49">
        <f t="shared" si="330"/>
        <v>1</v>
      </c>
      <c r="CQ70" s="49">
        <f t="shared" si="330"/>
        <v>1</v>
      </c>
      <c r="CR70" s="49">
        <f t="shared" si="330"/>
        <v>1</v>
      </c>
      <c r="CS70" s="49">
        <f t="shared" si="330"/>
        <v>1</v>
      </c>
      <c r="CT70" s="49">
        <f t="shared" si="330"/>
        <v>1</v>
      </c>
      <c r="CU70" s="49">
        <f t="shared" si="330"/>
        <v>1</v>
      </c>
      <c r="CV70" s="49">
        <f t="shared" si="330"/>
        <v>1</v>
      </c>
      <c r="CW70" s="49">
        <f t="shared" si="331"/>
        <v>1</v>
      </c>
      <c r="CX70" s="60">
        <f t="shared" ref="CX70" si="372">IFERROR(CX20/$B56,0)</f>
        <v>3.6371274329718016E-10</v>
      </c>
      <c r="CY70" s="60">
        <f>IFERROR(CY20,".")</f>
        <v>3.9187253504904385E-8</v>
      </c>
      <c r="CZ70" s="60">
        <f t="shared" ref="CZ70:DL70" si="373">IFERROR(CZ20/$B56,0)</f>
        <v>3.9826545391041227E-6</v>
      </c>
      <c r="DA70" s="60">
        <f t="shared" si="373"/>
        <v>1.6446866627339004E-11</v>
      </c>
      <c r="DB70" s="60">
        <f t="shared" si="373"/>
        <v>1.3225917938079278E-8</v>
      </c>
      <c r="DC70" s="60">
        <f t="shared" si="373"/>
        <v>1.3225917938079278E-8</v>
      </c>
      <c r="DD70" s="60">
        <f t="shared" si="373"/>
        <v>2.6451835876158556E-9</v>
      </c>
      <c r="DE70" s="60">
        <f t="shared" si="373"/>
        <v>2.7245390952443309E-9</v>
      </c>
      <c r="DF70" s="60">
        <f t="shared" si="373"/>
        <v>2.6451835876158556E-9</v>
      </c>
      <c r="DG70" s="60">
        <f t="shared" si="373"/>
        <v>2.6451835876158556E-9</v>
      </c>
      <c r="DH70" s="60">
        <f t="shared" si="373"/>
        <v>2.6451835876158556E-9</v>
      </c>
      <c r="DI70" s="60">
        <f t="shared" si="373"/>
        <v>2.6451835876158556E-9</v>
      </c>
      <c r="DJ70" s="60">
        <f t="shared" si="373"/>
        <v>2.7245390952443309E-9</v>
      </c>
      <c r="DK70" s="60">
        <f t="shared" si="373"/>
        <v>2.6451835876158556E-9</v>
      </c>
      <c r="DL70" s="60">
        <f t="shared" si="373"/>
        <v>2.7245390952443309E-9</v>
      </c>
      <c r="DM70" s="15"/>
      <c r="DN70" s="15"/>
      <c r="DO70" s="15"/>
      <c r="DP70" s="15"/>
      <c r="DQ70" s="15"/>
      <c r="DR70" s="15"/>
      <c r="DS70" s="15"/>
      <c r="DT70" s="15"/>
      <c r="DU70" s="15"/>
      <c r="DV70" s="15"/>
      <c r="DW70" s="15"/>
      <c r="DX70" s="15"/>
      <c r="DY70" s="15"/>
      <c r="DZ70" s="15"/>
      <c r="EA70" s="15"/>
      <c r="EB70" s="60">
        <f t="shared" ref="EB70" si="374">IFERROR(EB20/$B56,0)</f>
        <v>1.4903654459004038E-11</v>
      </c>
      <c r="EC70" s="71">
        <f>IFERROR(up_RadSpec!$I$20*EC20,".")*$B$70</f>
        <v>137471.12500577501</v>
      </c>
      <c r="ED70" s="71">
        <f>IFERROR(up_RadSpec!$F$20*ED20,".")</f>
        <v>1275.9250911458334</v>
      </c>
      <c r="EE70" s="71">
        <f>IFERROR(up_RadSpec!$M$20*EE20,".")*$B$70</f>
        <v>12.554440639796805</v>
      </c>
      <c r="EF70" s="71">
        <f>up_b2w!CC70</f>
        <v>3041369.991381946</v>
      </c>
      <c r="EG70" s="71">
        <f>IFERROR(up_RadSpec!$H$20*EG20,".")*$B$70</f>
        <v>3780.4559376588127</v>
      </c>
      <c r="EH70" s="71">
        <f>IFERROR(up_RadSpec!$H$20*EH20,".")*$B$70</f>
        <v>3780.4559376588127</v>
      </c>
      <c r="EI70" s="71">
        <f>IFERROR(up_RadSpec!$H$20*EI20,".")*$B$70</f>
        <v>18902.279688294064</v>
      </c>
      <c r="EJ70" s="71">
        <f>IFERROR(up_RadSpec!$H$20*EJ20,".")*$B$70</f>
        <v>18351.727852712684</v>
      </c>
      <c r="EK70" s="71">
        <f>IFERROR(up_RadSpec!$H$20*EK20,".")*$B$70</f>
        <v>18902.279688294064</v>
      </c>
      <c r="EL70" s="71">
        <f>IFERROR(up_RadSpec!$H$20*EL20,".")*$B$70</f>
        <v>18902.279688294064</v>
      </c>
      <c r="EM70" s="71">
        <f>IFERROR(up_RadSpec!$H$20*EM20,".")*$B$70</f>
        <v>18902.279688294064</v>
      </c>
      <c r="EN70" s="71">
        <f>IFERROR(up_RadSpec!$H$20*EN20,".")*$B$70</f>
        <v>18902.279688294064</v>
      </c>
      <c r="EO70" s="71">
        <f>IFERROR(up_RadSpec!$H$20*EO20,".")*$B$70</f>
        <v>18351.727852712684</v>
      </c>
      <c r="EP70" s="71">
        <f>IFERROR(up_RadSpec!$H$20*EP20,".")*$B$70</f>
        <v>18902.279688294064</v>
      </c>
      <c r="EQ70" s="71">
        <f>IFERROR(up_RadSpec!$H$20*EQ20,".")*$B$70</f>
        <v>18351.727852712684</v>
      </c>
      <c r="ER70" s="49">
        <f t="shared" si="335"/>
        <v>1</v>
      </c>
      <c r="ES70" s="49">
        <f t="shared" si="335"/>
        <v>1</v>
      </c>
      <c r="ET70" s="49">
        <f t="shared" si="335"/>
        <v>0.99999647080458165</v>
      </c>
      <c r="EU70" s="49">
        <f t="shared" si="335"/>
        <v>1</v>
      </c>
      <c r="EV70" s="49">
        <f t="shared" si="335"/>
        <v>1</v>
      </c>
      <c r="EW70" s="49">
        <f t="shared" si="335"/>
        <v>1</v>
      </c>
      <c r="EX70" s="49">
        <f t="shared" si="335"/>
        <v>1</v>
      </c>
      <c r="EY70" s="49">
        <f t="shared" si="335"/>
        <v>1</v>
      </c>
      <c r="EZ70" s="49">
        <f t="shared" si="335"/>
        <v>1</v>
      </c>
      <c r="FA70" s="49">
        <f t="shared" si="335"/>
        <v>1</v>
      </c>
      <c r="FB70" s="49">
        <f t="shared" si="335"/>
        <v>1</v>
      </c>
      <c r="FC70" s="49">
        <f t="shared" si="335"/>
        <v>1</v>
      </c>
      <c r="FD70" s="49">
        <f t="shared" si="335"/>
        <v>1</v>
      </c>
      <c r="FE70" s="49">
        <f t="shared" si="335"/>
        <v>1</v>
      </c>
      <c r="FF70" s="49">
        <f t="shared" si="335"/>
        <v>1</v>
      </c>
      <c r="FG70" s="49">
        <f t="shared" si="336"/>
        <v>1</v>
      </c>
      <c r="FH70" s="60">
        <f>IFERROR(FH20/$B56,0)</f>
        <v>9.9761209590083707E-10</v>
      </c>
      <c r="FI70" s="60">
        <f>IFERROR(FI20/$B56,0)</f>
        <v>6.372247262566595E-6</v>
      </c>
      <c r="FJ70" s="60">
        <f>IFERROR(FJ20/$B56,0)</f>
        <v>9.9745593841537082E-10</v>
      </c>
      <c r="FK70" s="71">
        <f>IFERROR(up_RadSpec!$F$20*FK20,".")*$B$70</f>
        <v>50119.680991688801</v>
      </c>
      <c r="FL70" s="71">
        <f>IFERROR(up_RadSpec!$K$20*FL20,".")*$B$70</f>
        <v>7.8465253998730029</v>
      </c>
      <c r="FM70" s="49">
        <f t="shared" si="337"/>
        <v>1</v>
      </c>
      <c r="FN70" s="49">
        <f t="shared" si="337"/>
        <v>0.99960889144407383</v>
      </c>
      <c r="FO70" s="49">
        <f t="shared" si="338"/>
        <v>1</v>
      </c>
    </row>
    <row r="71" spans="1:171" x14ac:dyDescent="0.25">
      <c r="A71" s="83" t="s">
        <v>1092</v>
      </c>
      <c r="B71" s="42">
        <v>2.0999995799999999E-4</v>
      </c>
      <c r="C71" s="178"/>
      <c r="D71" s="60">
        <f t="shared" ref="D71:O71" si="375">IFERROR(D29/$B57,0)</f>
        <v>7.8709185360097611E-8</v>
      </c>
      <c r="E71" s="60">
        <f t="shared" si="375"/>
        <v>3.1483674144039044E-7</v>
      </c>
      <c r="F71" s="60">
        <f t="shared" si="375"/>
        <v>3.1483674144039044E-7</v>
      </c>
      <c r="G71" s="60">
        <f t="shared" si="375"/>
        <v>3.1483674144039044E-7</v>
      </c>
      <c r="H71" s="60">
        <f t="shared" si="375"/>
        <v>3.1483674144039044E-7</v>
      </c>
      <c r="I71" s="60">
        <f t="shared" si="375"/>
        <v>3.1483674144039044E-7</v>
      </c>
      <c r="J71" s="60">
        <f t="shared" si="375"/>
        <v>3.1483674144039044E-7</v>
      </c>
      <c r="K71" s="60">
        <f t="shared" si="375"/>
        <v>3.1483674144039044E-7</v>
      </c>
      <c r="L71" s="60">
        <f t="shared" si="375"/>
        <v>3.1483674144039044E-7</v>
      </c>
      <c r="M71" s="60">
        <f t="shared" si="375"/>
        <v>3.1483674144039044E-7</v>
      </c>
      <c r="N71" s="60">
        <f t="shared" si="375"/>
        <v>3.1483674144039044E-7</v>
      </c>
      <c r="O71" s="60">
        <f t="shared" si="375"/>
        <v>3.1483674144039044E-7</v>
      </c>
      <c r="P71" s="71">
        <f>up_dir!BC71</f>
        <v>14404764785.714863</v>
      </c>
      <c r="Q71" s="71">
        <f>IFERROR(up_RadSpec!$H$29*Q29,".")*$B$71</f>
        <v>158.81246823749998</v>
      </c>
      <c r="R71" s="71">
        <f>IFERROR(up_RadSpec!$H$29*R29,".")*$B$71</f>
        <v>158.81246823749998</v>
      </c>
      <c r="S71" s="71">
        <f>IFERROR(up_RadSpec!$H$29*S29,".")*$B$71</f>
        <v>158.81246823749998</v>
      </c>
      <c r="T71" s="71">
        <f>IFERROR(up_RadSpec!$H$29*T29,".")*$B$71</f>
        <v>158.81246823749998</v>
      </c>
      <c r="U71" s="71">
        <f>IFERROR(up_RadSpec!$H$29*U29,".")*$B$71</f>
        <v>158.81246823749998</v>
      </c>
      <c r="V71" s="71">
        <f>IFERROR(up_RadSpec!$H$29*V29,".")*$B$71</f>
        <v>158.81246823749998</v>
      </c>
      <c r="W71" s="71">
        <f>IFERROR(up_RadSpec!$H$29*W29,".")*$B$71</f>
        <v>158.81246823749998</v>
      </c>
      <c r="X71" s="71">
        <f>IFERROR(up_RadSpec!$H$29*X29,".")*$B$71</f>
        <v>158.81246823749998</v>
      </c>
      <c r="Y71" s="71">
        <f>IFERROR(up_RadSpec!$H$29*Y29,".")*$B$71</f>
        <v>158.81246823749998</v>
      </c>
      <c r="Z71" s="71">
        <f>IFERROR(up_RadSpec!$H$29*Z29,".")*$B$71</f>
        <v>158.81246823749998</v>
      </c>
      <c r="AA71" s="71">
        <f>IFERROR(up_RadSpec!$H$29*AA29,".")*$B$71</f>
        <v>158.81246823749998</v>
      </c>
      <c r="AB71" s="49">
        <f t="shared" si="327"/>
        <v>1</v>
      </c>
      <c r="AC71" s="49">
        <f t="shared" si="327"/>
        <v>1</v>
      </c>
      <c r="AD71" s="49">
        <f t="shared" si="327"/>
        <v>1</v>
      </c>
      <c r="AE71" s="49">
        <f t="shared" si="327"/>
        <v>1</v>
      </c>
      <c r="AF71" s="49">
        <f t="shared" si="327"/>
        <v>1</v>
      </c>
      <c r="AG71" s="49">
        <f t="shared" si="327"/>
        <v>1</v>
      </c>
      <c r="AH71" s="49">
        <f t="shared" si="327"/>
        <v>1</v>
      </c>
      <c r="AI71" s="49">
        <f t="shared" si="327"/>
        <v>1</v>
      </c>
      <c r="AJ71" s="49">
        <f t="shared" si="327"/>
        <v>1</v>
      </c>
      <c r="AK71" s="49">
        <f t="shared" si="327"/>
        <v>1</v>
      </c>
      <c r="AL71" s="49">
        <f t="shared" si="327"/>
        <v>1</v>
      </c>
      <c r="AM71" s="49">
        <f t="shared" si="327"/>
        <v>1</v>
      </c>
      <c r="AN71" s="60">
        <f t="shared" ref="AN71:BB71" si="376">IFERROR(AN29/$B57,0)</f>
        <v>1.574183707201952E-4</v>
      </c>
      <c r="AO71" s="60">
        <f t="shared" si="376"/>
        <v>1.4714249539013202</v>
      </c>
      <c r="AP71" s="60">
        <f t="shared" si="376"/>
        <v>5.6123305052872913E-2</v>
      </c>
      <c r="AQ71" s="60">
        <f t="shared" si="376"/>
        <v>1.569944856090508E-8</v>
      </c>
      <c r="AR71" s="60">
        <f t="shared" si="376"/>
        <v>3.1483674144039044E-7</v>
      </c>
      <c r="AS71" s="60">
        <f t="shared" si="376"/>
        <v>3.1483674144039044E-7</v>
      </c>
      <c r="AT71" s="60">
        <f t="shared" si="376"/>
        <v>8.8375225667478014E-11</v>
      </c>
      <c r="AU71" s="60">
        <f t="shared" si="376"/>
        <v>9.1026482437502359E-11</v>
      </c>
      <c r="AV71" s="60">
        <f t="shared" si="376"/>
        <v>8.8375225667478014E-11</v>
      </c>
      <c r="AW71" s="60">
        <f t="shared" si="376"/>
        <v>8.8375225667478014E-11</v>
      </c>
      <c r="AX71" s="60">
        <f t="shared" si="376"/>
        <v>8.8375225667478014E-11</v>
      </c>
      <c r="AY71" s="60">
        <f t="shared" si="376"/>
        <v>8.8375225667478014E-11</v>
      </c>
      <c r="AZ71" s="60">
        <f t="shared" si="376"/>
        <v>9.1026482437502359E-11</v>
      </c>
      <c r="BA71" s="60">
        <f t="shared" si="376"/>
        <v>8.8375225667478014E-11</v>
      </c>
      <c r="BB71" s="60">
        <f t="shared" si="376"/>
        <v>9.1026482437502359E-11</v>
      </c>
      <c r="BC71" s="42"/>
      <c r="BD71" s="42"/>
      <c r="BE71" s="42"/>
      <c r="BF71" s="42"/>
      <c r="BG71" s="42"/>
      <c r="BH71" s="42"/>
      <c r="BI71" s="42"/>
      <c r="BJ71" s="42"/>
      <c r="BK71" s="42"/>
      <c r="BL71" s="42"/>
      <c r="BM71" s="42"/>
      <c r="BN71" s="42"/>
      <c r="BO71" s="42"/>
      <c r="BP71" s="42"/>
      <c r="BQ71" s="42"/>
      <c r="BR71" s="60">
        <f t="shared" ref="BR71" si="377">IFERROR(BR29/$B57,0)</f>
        <v>9.9088556331529124E-12</v>
      </c>
      <c r="BS71" s="71">
        <f>IFERROR(up_RadSpec!$E$29*BS29,".")*$B$71</f>
        <v>0.31762493647499995</v>
      </c>
      <c r="BT71" s="71">
        <f>IFERROR(up_RadSpec!$F$29*BT29,".")*$B$71</f>
        <v>3.3980666066203748E-5</v>
      </c>
      <c r="BU71" s="71">
        <f>IFERROR(up_RadSpec!$G$29*BU29,".")*$B$71</f>
        <v>8.9089550148366639E-4</v>
      </c>
      <c r="BV71" s="71">
        <f>up_b2s!CC71</f>
        <v>72218288253.181473</v>
      </c>
      <c r="BW71" s="71">
        <f>IFERROR(up_RadSpec!$H$29*BW29,".")*$B$71</f>
        <v>158.81246823749998</v>
      </c>
      <c r="BX71" s="71">
        <f>IFERROR(up_RadSpec!$H$29*BX29,".")*$B$71</f>
        <v>158.81246823749998</v>
      </c>
      <c r="BY71" s="71">
        <f>IFERROR(up_RadSpec!$H$29*BY29,".")*$B$71</f>
        <v>565769.41809609369</v>
      </c>
      <c r="BZ71" s="71">
        <f>IFERROR(up_RadSpec!$H$29*BZ29,".")*$B$71</f>
        <v>549290.69718067348</v>
      </c>
      <c r="CA71" s="71">
        <f>IFERROR(up_RadSpec!$H$29*CA29,".")*$B$71</f>
        <v>565769.41809609369</v>
      </c>
      <c r="CB71" s="71">
        <f>IFERROR(up_RadSpec!$H$29*CB29,".")*$B$71</f>
        <v>565769.41809609369</v>
      </c>
      <c r="CC71" s="71">
        <f>IFERROR(up_RadSpec!$H$29*CC29,".")*$B$71</f>
        <v>565769.41809609369</v>
      </c>
      <c r="CD71" s="71">
        <f>IFERROR(up_RadSpec!$H$29*CD29,".")*$B$71</f>
        <v>565769.41809609369</v>
      </c>
      <c r="CE71" s="71">
        <f>IFERROR(up_RadSpec!$H$29*CE29,".")*$B$71</f>
        <v>549290.69718067348</v>
      </c>
      <c r="CF71" s="71">
        <f>IFERROR(up_RadSpec!$H$29*CF29,".")*$B$71</f>
        <v>565769.41809609369</v>
      </c>
      <c r="CG71" s="71">
        <f>IFERROR(up_RadSpec!$H$29*CG29,".")*$B$71</f>
        <v>549290.69718067348</v>
      </c>
      <c r="CH71" s="49">
        <f t="shared" si="330"/>
        <v>0.27212426313547766</v>
      </c>
      <c r="CI71" s="49">
        <f t="shared" si="330"/>
        <v>3.3980666066203748E-5</v>
      </c>
      <c r="CJ71" s="49">
        <f t="shared" si="330"/>
        <v>8.9089550148366639E-4</v>
      </c>
      <c r="CK71" s="49">
        <f t="shared" si="330"/>
        <v>1</v>
      </c>
      <c r="CL71" s="49">
        <f t="shared" si="330"/>
        <v>1</v>
      </c>
      <c r="CM71" s="49">
        <f t="shared" si="330"/>
        <v>1</v>
      </c>
      <c r="CN71" s="49">
        <f t="shared" si="330"/>
        <v>1</v>
      </c>
      <c r="CO71" s="49">
        <f t="shared" si="330"/>
        <v>1</v>
      </c>
      <c r="CP71" s="49">
        <f t="shared" si="330"/>
        <v>1</v>
      </c>
      <c r="CQ71" s="49">
        <f t="shared" si="330"/>
        <v>1</v>
      </c>
      <c r="CR71" s="49">
        <f t="shared" si="330"/>
        <v>1</v>
      </c>
      <c r="CS71" s="49">
        <f t="shared" si="330"/>
        <v>1</v>
      </c>
      <c r="CT71" s="49">
        <f t="shared" si="330"/>
        <v>1</v>
      </c>
      <c r="CU71" s="49">
        <f t="shared" si="330"/>
        <v>1</v>
      </c>
      <c r="CV71" s="49">
        <f t="shared" si="330"/>
        <v>1</v>
      </c>
      <c r="CW71" s="49">
        <f t="shared" si="331"/>
        <v>1</v>
      </c>
      <c r="CX71" s="60">
        <f t="shared" ref="CX71" si="378">IFERROR(CX29/$B57,0)</f>
        <v>1.7316020779221475E-6</v>
      </c>
      <c r="CY71" s="60">
        <f>IFERROR(CY29,".")</f>
        <v>2.1577148215468E-4</v>
      </c>
      <c r="CZ71" s="60">
        <f t="shared" ref="CZ71:DL71" si="379">IFERROR(CZ29/$B57,0)</f>
        <v>1.8961042753247517E-2</v>
      </c>
      <c r="DA71" s="60">
        <f t="shared" si="379"/>
        <v>7.8301981308196411E-8</v>
      </c>
      <c r="DB71" s="60">
        <f t="shared" si="379"/>
        <v>6.2967348288078088E-5</v>
      </c>
      <c r="DC71" s="60">
        <f t="shared" si="379"/>
        <v>6.2967348288078088E-5</v>
      </c>
      <c r="DD71" s="60">
        <f t="shared" si="379"/>
        <v>1.2593469657615617E-5</v>
      </c>
      <c r="DE71" s="60">
        <f t="shared" si="379"/>
        <v>1.2971273747344086E-5</v>
      </c>
      <c r="DF71" s="60">
        <f t="shared" si="379"/>
        <v>1.2593469657615617E-5</v>
      </c>
      <c r="DG71" s="60">
        <f t="shared" si="379"/>
        <v>1.2593469657615617E-5</v>
      </c>
      <c r="DH71" s="60">
        <f t="shared" si="379"/>
        <v>1.2593469657615617E-5</v>
      </c>
      <c r="DI71" s="60">
        <f t="shared" si="379"/>
        <v>1.2593469657615617E-5</v>
      </c>
      <c r="DJ71" s="60">
        <f t="shared" si="379"/>
        <v>1.2971273747344086E-5</v>
      </c>
      <c r="DK71" s="60">
        <f t="shared" si="379"/>
        <v>1.2593469657615617E-5</v>
      </c>
      <c r="DL71" s="60">
        <f t="shared" si="379"/>
        <v>1.2971273747344086E-5</v>
      </c>
      <c r="DM71" s="15"/>
      <c r="DN71" s="15"/>
      <c r="DO71" s="15"/>
      <c r="DP71" s="15"/>
      <c r="DQ71" s="15"/>
      <c r="DR71" s="15"/>
      <c r="DS71" s="15"/>
      <c r="DT71" s="15"/>
      <c r="DU71" s="15"/>
      <c r="DV71" s="15"/>
      <c r="DW71" s="15"/>
      <c r="DX71" s="15"/>
      <c r="DY71" s="15"/>
      <c r="DZ71" s="15"/>
      <c r="EA71" s="15"/>
      <c r="EB71" s="60">
        <f t="shared" ref="EB71" si="380">IFERROR(EB29/$B57,0)</f>
        <v>7.0981878859178739E-8</v>
      </c>
      <c r="EC71" s="71">
        <f>IFERROR(up_RadSpec!$I$29*EC29,".")*$B$71</f>
        <v>28.874994224999998</v>
      </c>
      <c r="ED71" s="71">
        <f>IFERROR(up_RadSpec!$F$29*ED29,".")</f>
        <v>0.23172663736979165</v>
      </c>
      <c r="EE71" s="71">
        <f>IFERROR(up_RadSpec!$M$29*EE29,".")*$B$71</f>
        <v>2.6369857739726027E-3</v>
      </c>
      <c r="EF71" s="71">
        <f>up_b2w!CC71</f>
        <v>14479675771.227982</v>
      </c>
      <c r="EG71" s="71">
        <f>IFERROR(up_RadSpec!$H$29*EG29,".")*$B$71</f>
        <v>0.79406234118749996</v>
      </c>
      <c r="EH71" s="71">
        <f>IFERROR(up_RadSpec!$H$29*EH29,".")*$B$71</f>
        <v>0.79406234118749996</v>
      </c>
      <c r="EI71" s="71">
        <f>IFERROR(up_RadSpec!$H$29*EI29,".")*$B$71</f>
        <v>3.9703117059374997</v>
      </c>
      <c r="EJ71" s="71">
        <f>IFERROR(up_RadSpec!$H$29*EJ29,".")*$B$71</f>
        <v>3.8546715591626213</v>
      </c>
      <c r="EK71" s="71">
        <f>IFERROR(up_RadSpec!$H$29*EK29,".")*$B$71</f>
        <v>3.9703117059374997</v>
      </c>
      <c r="EL71" s="71">
        <f>IFERROR(up_RadSpec!$H$29*EL29,".")*$B$71</f>
        <v>3.9703117059374997</v>
      </c>
      <c r="EM71" s="71">
        <f>IFERROR(up_RadSpec!$H$29*EM29,".")*$B$71</f>
        <v>3.9703117059374997</v>
      </c>
      <c r="EN71" s="71">
        <f>IFERROR(up_RadSpec!$H$29*EN29,".")*$B$71</f>
        <v>3.9703117059374997</v>
      </c>
      <c r="EO71" s="71">
        <f>IFERROR(up_RadSpec!$H$29*EO29,".")*$B$71</f>
        <v>3.8546715591626213</v>
      </c>
      <c r="EP71" s="71">
        <f>IFERROR(up_RadSpec!$H$29*EP29,".")*$B$71</f>
        <v>3.9703117059374997</v>
      </c>
      <c r="EQ71" s="71">
        <f>IFERROR(up_RadSpec!$H$29*EQ29,".")*$B$71</f>
        <v>3.8546715591626213</v>
      </c>
      <c r="ER71" s="49">
        <f t="shared" si="335"/>
        <v>0.99999999999971179</v>
      </c>
      <c r="ES71" s="49">
        <f t="shared" si="335"/>
        <v>0.20683708522544275</v>
      </c>
      <c r="ET71" s="49">
        <f t="shared" si="335"/>
        <v>2.6369857739726027E-3</v>
      </c>
      <c r="EU71" s="49">
        <f t="shared" si="335"/>
        <v>1</v>
      </c>
      <c r="EV71" s="49">
        <f t="shared" si="335"/>
        <v>0.54799513737483663</v>
      </c>
      <c r="EW71" s="49">
        <f t="shared" si="335"/>
        <v>0.54799513737483663</v>
      </c>
      <c r="EX71" s="49">
        <f t="shared" si="335"/>
        <v>0.98113244890923601</v>
      </c>
      <c r="EY71" s="49">
        <f t="shared" si="335"/>
        <v>0.97881944127172282</v>
      </c>
      <c r="EZ71" s="49">
        <f t="shared" si="335"/>
        <v>0.98113244890923601</v>
      </c>
      <c r="FA71" s="49">
        <f t="shared" si="335"/>
        <v>0.98113244890923601</v>
      </c>
      <c r="FB71" s="49">
        <f t="shared" si="335"/>
        <v>0.98113244890923601</v>
      </c>
      <c r="FC71" s="49">
        <f t="shared" si="335"/>
        <v>0.98113244890923601</v>
      </c>
      <c r="FD71" s="49">
        <f t="shared" si="335"/>
        <v>0.97881944127172282</v>
      </c>
      <c r="FE71" s="49">
        <f t="shared" si="335"/>
        <v>0.98113244890923601</v>
      </c>
      <c r="FF71" s="49">
        <f t="shared" si="335"/>
        <v>0.97881944127172282</v>
      </c>
      <c r="FG71" s="49">
        <f t="shared" si="336"/>
        <v>1</v>
      </c>
      <c r="FH71" s="60">
        <f>IFERROR(FH29/$B57,0)</f>
        <v>4.7495371280150332E-6</v>
      </c>
      <c r="FI71" s="60">
        <f>IFERROR(FI29/$B57,0)</f>
        <v>3.0337668405196021E-2</v>
      </c>
      <c r="FJ71" s="60">
        <f>IFERROR(FJ29/$B57,0)</f>
        <v>4.7487936769501487E-6</v>
      </c>
      <c r="FK71" s="71">
        <f>IFERROR(up_RadSpec!$F$29*FK29,".")*$B$71</f>
        <v>10.527341644531248</v>
      </c>
      <c r="FL71" s="71">
        <f>IFERROR(up_RadSpec!$K$29*FL29,".")*$B$71</f>
        <v>1.6481161087328767E-3</v>
      </c>
      <c r="FM71" s="49">
        <f t="shared" si="337"/>
        <v>0.99997320624297814</v>
      </c>
      <c r="FN71" s="49">
        <f t="shared" si="337"/>
        <v>1.6481161087328767E-3</v>
      </c>
      <c r="FO71" s="49">
        <f t="shared" si="338"/>
        <v>0.99997325036583096</v>
      </c>
    </row>
    <row r="72" spans="1:171" x14ac:dyDescent="0.25">
      <c r="A72" s="83" t="s">
        <v>1093</v>
      </c>
      <c r="B72" s="42">
        <v>1</v>
      </c>
      <c r="C72" s="178"/>
      <c r="D72" s="60">
        <f t="shared" ref="D72:O72" si="381">IFERROR(D16/$B58,0)</f>
        <v>1.6528925619834712E-11</v>
      </c>
      <c r="E72" s="60">
        <f t="shared" si="381"/>
        <v>6.6115702479338848E-11</v>
      </c>
      <c r="F72" s="60">
        <f t="shared" si="381"/>
        <v>6.6115702479338848E-11</v>
      </c>
      <c r="G72" s="60">
        <f t="shared" si="381"/>
        <v>6.6115702479338848E-11</v>
      </c>
      <c r="H72" s="60">
        <f t="shared" si="381"/>
        <v>6.6115702479338848E-11</v>
      </c>
      <c r="I72" s="60">
        <f t="shared" si="381"/>
        <v>6.6115702479338848E-11</v>
      </c>
      <c r="J72" s="60">
        <f t="shared" si="381"/>
        <v>6.6115702479338848E-11</v>
      </c>
      <c r="K72" s="60">
        <f t="shared" si="381"/>
        <v>6.6115702479338848E-11</v>
      </c>
      <c r="L72" s="60">
        <f t="shared" si="381"/>
        <v>6.6115702479338848E-11</v>
      </c>
      <c r="M72" s="60">
        <f t="shared" si="381"/>
        <v>6.6115702479338848E-11</v>
      </c>
      <c r="N72" s="60">
        <f t="shared" si="381"/>
        <v>6.6115702479338848E-11</v>
      </c>
      <c r="O72" s="60">
        <f t="shared" si="381"/>
        <v>6.6115702479338848E-11</v>
      </c>
      <c r="P72" s="71">
        <f>up_dir!BC72</f>
        <v>3025000</v>
      </c>
      <c r="Q72" s="71">
        <f>IFERROR(up_RadSpec!$H$16*Q16,".")*$B$72</f>
        <v>756250</v>
      </c>
      <c r="R72" s="71">
        <f>IFERROR(up_RadSpec!$H$16*R16,".")*$B$72</f>
        <v>756250</v>
      </c>
      <c r="S72" s="71">
        <f>IFERROR(up_RadSpec!$H$16*S16,".")*$B$72</f>
        <v>756250</v>
      </c>
      <c r="T72" s="71">
        <f>IFERROR(up_RadSpec!$H$16*T16,".")*$B$72</f>
        <v>756250</v>
      </c>
      <c r="U72" s="71">
        <f>IFERROR(up_RadSpec!$H$16*U16,".")*$B$72</f>
        <v>756250</v>
      </c>
      <c r="V72" s="71">
        <f>IFERROR(up_RadSpec!$H$16*V16,".")*$B$72</f>
        <v>756250</v>
      </c>
      <c r="W72" s="71">
        <f>IFERROR(up_RadSpec!$H$16*W16,".")*$B$72</f>
        <v>756250</v>
      </c>
      <c r="X72" s="71">
        <f>IFERROR(up_RadSpec!$H$16*X16,".")*$B$72</f>
        <v>756250</v>
      </c>
      <c r="Y72" s="71">
        <f>IFERROR(up_RadSpec!$H$16*Y16,".")*$B$72</f>
        <v>756250</v>
      </c>
      <c r="Z72" s="71">
        <f>IFERROR(up_RadSpec!$H$16*Z16,".")*$B$72</f>
        <v>756250</v>
      </c>
      <c r="AA72" s="71">
        <f>IFERROR(up_RadSpec!$H$16*AA16,".")*$B$72</f>
        <v>756250</v>
      </c>
      <c r="AB72" s="49">
        <f t="shared" si="327"/>
        <v>1</v>
      </c>
      <c r="AC72" s="49">
        <f t="shared" si="327"/>
        <v>1</v>
      </c>
      <c r="AD72" s="49">
        <f t="shared" si="327"/>
        <v>1</v>
      </c>
      <c r="AE72" s="49">
        <f t="shared" si="327"/>
        <v>1</v>
      </c>
      <c r="AF72" s="49">
        <f t="shared" si="327"/>
        <v>1</v>
      </c>
      <c r="AG72" s="49">
        <f t="shared" si="327"/>
        <v>1</v>
      </c>
      <c r="AH72" s="49">
        <f t="shared" si="327"/>
        <v>1</v>
      </c>
      <c r="AI72" s="49">
        <f t="shared" si="327"/>
        <v>1</v>
      </c>
      <c r="AJ72" s="49">
        <f t="shared" si="327"/>
        <v>1</v>
      </c>
      <c r="AK72" s="49">
        <f t="shared" si="327"/>
        <v>1</v>
      </c>
      <c r="AL72" s="49">
        <f t="shared" si="327"/>
        <v>1</v>
      </c>
      <c r="AM72" s="49">
        <f t="shared" si="327"/>
        <v>1</v>
      </c>
      <c r="AN72" s="60">
        <f t="shared" ref="AN72:BB72" si="382">IFERROR(AN16/$B58,0)</f>
        <v>3.3057851239669421E-8</v>
      </c>
      <c r="AO72" s="60">
        <f t="shared" si="382"/>
        <v>3.0899917851942918E-4</v>
      </c>
      <c r="AP72" s="60">
        <f t="shared" si="382"/>
        <v>0.31872758459379402</v>
      </c>
      <c r="AQ72" s="60">
        <f t="shared" si="382"/>
        <v>3.2968835384132272E-12</v>
      </c>
      <c r="AR72" s="60">
        <f t="shared" si="382"/>
        <v>6.6115702479338848E-11</v>
      </c>
      <c r="AS72" s="60">
        <f t="shared" si="382"/>
        <v>6.6115702479338848E-11</v>
      </c>
      <c r="AT72" s="60">
        <f t="shared" si="382"/>
        <v>1.8558793678410904E-14</v>
      </c>
      <c r="AU72" s="60">
        <f t="shared" si="382"/>
        <v>1.9115557488763232E-14</v>
      </c>
      <c r="AV72" s="60">
        <f t="shared" si="382"/>
        <v>1.8558793678410904E-14</v>
      </c>
      <c r="AW72" s="60">
        <f t="shared" si="382"/>
        <v>1.8558793678410904E-14</v>
      </c>
      <c r="AX72" s="60">
        <f t="shared" si="382"/>
        <v>1.8558793678410904E-14</v>
      </c>
      <c r="AY72" s="60">
        <f t="shared" si="382"/>
        <v>1.8558793678410904E-14</v>
      </c>
      <c r="AZ72" s="60">
        <f t="shared" si="382"/>
        <v>1.9115557488763232E-14</v>
      </c>
      <c r="BA72" s="60">
        <f t="shared" si="382"/>
        <v>1.8558793678410904E-14</v>
      </c>
      <c r="BB72" s="60">
        <f t="shared" si="382"/>
        <v>1.9115557488763232E-14</v>
      </c>
      <c r="BC72" s="42"/>
      <c r="BD72" s="42"/>
      <c r="BE72" s="42"/>
      <c r="BF72" s="42"/>
      <c r="BG72" s="42"/>
      <c r="BH72" s="42"/>
      <c r="BI72" s="42"/>
      <c r="BJ72" s="42"/>
      <c r="BK72" s="42"/>
      <c r="BL72" s="42"/>
      <c r="BM72" s="42"/>
      <c r="BN72" s="42"/>
      <c r="BO72" s="42"/>
      <c r="BP72" s="42"/>
      <c r="BQ72" s="42"/>
      <c r="BR72" s="60">
        <f t="shared" ref="BR72" si="383">IFERROR(BR16/$B58,0)</f>
        <v>2.0808592671575478E-15</v>
      </c>
      <c r="BS72" s="71">
        <f>IFERROR(up_RadSpec!$E$16*BS16,".")*$B$72</f>
        <v>1512.5</v>
      </c>
      <c r="BT72" s="71">
        <f>IFERROR(up_RadSpec!$F$16*BT16,".")*$B$72</f>
        <v>0.16181272791589676</v>
      </c>
      <c r="BU72" s="71">
        <f>IFERROR(up_RadSpec!$G$16*BU16,".")*$B$72</f>
        <v>1.568737769080234E-4</v>
      </c>
      <c r="BV72" s="71">
        <f>up_b2s!CC72</f>
        <v>15165837.5</v>
      </c>
      <c r="BW72" s="71">
        <f>IFERROR(up_RadSpec!$H$16*BW16,".")*$B$72</f>
        <v>756250</v>
      </c>
      <c r="BX72" s="71">
        <f>IFERROR(up_RadSpec!$H$16*BX16,".")*$B$72</f>
        <v>756250</v>
      </c>
      <c r="BY72" s="71">
        <f>IFERROR(up_RadSpec!$H$16*BY16,".")*$B$72</f>
        <v>2694140625</v>
      </c>
      <c r="BZ72" s="71">
        <f>IFERROR(up_RadSpec!$H$16*BZ16,".")*$B$72</f>
        <v>2615670509.7087379</v>
      </c>
      <c r="CA72" s="71">
        <f>IFERROR(up_RadSpec!$H$16*CA16,".")*$B$72</f>
        <v>2694140625</v>
      </c>
      <c r="CB72" s="71">
        <f>IFERROR(up_RadSpec!$H$16*CB16,".")*$B$72</f>
        <v>2694140625</v>
      </c>
      <c r="CC72" s="71">
        <f>IFERROR(up_RadSpec!$H$16*CC16,".")*$B$72</f>
        <v>2694140625</v>
      </c>
      <c r="CD72" s="71">
        <f>IFERROR(up_RadSpec!$H$16*CD16,".")*$B$72</f>
        <v>2694140625</v>
      </c>
      <c r="CE72" s="71">
        <f>IFERROR(up_RadSpec!$H$16*CE16,".")*$B$72</f>
        <v>2615670509.7087379</v>
      </c>
      <c r="CF72" s="71">
        <f>IFERROR(up_RadSpec!$H$16*CF16,".")*$B$72</f>
        <v>2694140625</v>
      </c>
      <c r="CG72" s="71">
        <f>IFERROR(up_RadSpec!$H$16*CG16,".")*$B$72</f>
        <v>2615670509.7087379</v>
      </c>
      <c r="CH72" s="49">
        <f t="shared" si="330"/>
        <v>1</v>
      </c>
      <c r="CI72" s="49">
        <f t="shared" si="330"/>
        <v>0.14939951664921358</v>
      </c>
      <c r="CJ72" s="49">
        <f t="shared" si="330"/>
        <v>1.568737769080234E-4</v>
      </c>
      <c r="CK72" s="49">
        <f t="shared" si="330"/>
        <v>1</v>
      </c>
      <c r="CL72" s="49">
        <f t="shared" si="330"/>
        <v>1</v>
      </c>
      <c r="CM72" s="49">
        <f t="shared" si="330"/>
        <v>1</v>
      </c>
      <c r="CN72" s="49">
        <f t="shared" si="330"/>
        <v>1</v>
      </c>
      <c r="CO72" s="49">
        <f t="shared" si="330"/>
        <v>1</v>
      </c>
      <c r="CP72" s="49">
        <f t="shared" si="330"/>
        <v>1</v>
      </c>
      <c r="CQ72" s="49">
        <f t="shared" si="330"/>
        <v>1</v>
      </c>
      <c r="CR72" s="49">
        <f t="shared" si="330"/>
        <v>1</v>
      </c>
      <c r="CS72" s="49">
        <f t="shared" si="330"/>
        <v>1</v>
      </c>
      <c r="CT72" s="49">
        <f t="shared" si="330"/>
        <v>1</v>
      </c>
      <c r="CU72" s="49">
        <f t="shared" si="330"/>
        <v>1</v>
      </c>
      <c r="CV72" s="49">
        <f t="shared" si="330"/>
        <v>1</v>
      </c>
      <c r="CW72" s="49">
        <f t="shared" si="331"/>
        <v>1</v>
      </c>
      <c r="CX72" s="60">
        <f t="shared" ref="CX72" si="384">IFERROR(CX16/$B58,0)</f>
        <v>3.6363636363636369E-10</v>
      </c>
      <c r="CY72" s="60" t="str">
        <f>IFERROR(CY16,".")</f>
        <v>.</v>
      </c>
      <c r="CZ72" s="60">
        <f t="shared" ref="CZ72:DL72" si="385">IFERROR(CZ16/$B58,0)</f>
        <v>3.9818181818181825E-6</v>
      </c>
      <c r="DA72" s="60">
        <f t="shared" si="385"/>
        <v>1.6443412786038031E-11</v>
      </c>
      <c r="DB72" s="60">
        <f t="shared" si="385"/>
        <v>1.322314049586777E-8</v>
      </c>
      <c r="DC72" s="60">
        <f t="shared" si="385"/>
        <v>1.322314049586777E-8</v>
      </c>
      <c r="DD72" s="60">
        <f t="shared" si="385"/>
        <v>2.6446280991735539E-9</v>
      </c>
      <c r="DE72" s="60">
        <f t="shared" si="385"/>
        <v>2.7239669421487605E-9</v>
      </c>
      <c r="DF72" s="60">
        <f t="shared" si="385"/>
        <v>2.6446280991735539E-9</v>
      </c>
      <c r="DG72" s="60">
        <f t="shared" si="385"/>
        <v>2.6446280991735539E-9</v>
      </c>
      <c r="DH72" s="60">
        <f t="shared" si="385"/>
        <v>2.6446280991735539E-9</v>
      </c>
      <c r="DI72" s="60">
        <f t="shared" si="385"/>
        <v>2.6446280991735539E-9</v>
      </c>
      <c r="DJ72" s="60">
        <f t="shared" si="385"/>
        <v>2.7239669421487605E-9</v>
      </c>
      <c r="DK72" s="60">
        <f t="shared" si="385"/>
        <v>2.6446280991735539E-9</v>
      </c>
      <c r="DL72" s="60">
        <f t="shared" si="385"/>
        <v>2.7239669421487605E-9</v>
      </c>
      <c r="DM72" s="15"/>
      <c r="DN72" s="15"/>
      <c r="DO72" s="15"/>
      <c r="DP72" s="15"/>
      <c r="DQ72" s="15"/>
      <c r="DR72" s="15"/>
      <c r="DS72" s="15"/>
      <c r="DT72" s="15"/>
      <c r="DU72" s="15"/>
      <c r="DV72" s="15"/>
      <c r="DW72" s="15"/>
      <c r="DX72" s="15"/>
      <c r="DY72" s="15"/>
      <c r="DZ72" s="15"/>
      <c r="EA72" s="15"/>
      <c r="EB72" s="60">
        <f t="shared" ref="EB72" si="386">IFERROR(EB16/$B58,0)</f>
        <v>1.4906192608956601E-11</v>
      </c>
      <c r="EC72" s="71">
        <f>IFERROR(up_RadSpec!$I$16*EC16,".")*$B$72</f>
        <v>137500</v>
      </c>
      <c r="ED72" s="71">
        <f>IFERROR(up_RadSpec!$F$16*ED16,".")</f>
        <v>0</v>
      </c>
      <c r="EE72" s="71">
        <f>IFERROR(up_RadSpec!$M$16*EE16,".")*$B$72</f>
        <v>12.557077625570777</v>
      </c>
      <c r="EF72" s="71">
        <f>up_b2w!CC72</f>
        <v>3040731.3038114933</v>
      </c>
      <c r="EG72" s="71">
        <f>IFERROR(up_RadSpec!$H$16*EG16,".")*$B$72</f>
        <v>3781.25</v>
      </c>
      <c r="EH72" s="71">
        <f>IFERROR(up_RadSpec!$H$16*EH16,".")*$B$72</f>
        <v>3781.25</v>
      </c>
      <c r="EI72" s="71">
        <f>IFERROR(up_RadSpec!$H$16*EI16,".")*$B$72</f>
        <v>18906.25</v>
      </c>
      <c r="EJ72" s="71">
        <f>IFERROR(up_RadSpec!$H$16*EJ16,".")*$B$72</f>
        <v>18355.582524271846</v>
      </c>
      <c r="EK72" s="71">
        <f>IFERROR(up_RadSpec!$H$16*EK16,".")*$B$72</f>
        <v>18906.25</v>
      </c>
      <c r="EL72" s="71">
        <f>IFERROR(up_RadSpec!$H$16*EL16,".")*$B$72</f>
        <v>18906.25</v>
      </c>
      <c r="EM72" s="71">
        <f>IFERROR(up_RadSpec!$H$16*EM16,".")*$B$72</f>
        <v>18906.25</v>
      </c>
      <c r="EN72" s="71">
        <f>IFERROR(up_RadSpec!$H$16*EN16,".")*$B$72</f>
        <v>18906.25</v>
      </c>
      <c r="EO72" s="71">
        <f>IFERROR(up_RadSpec!$H$16*EO16,".")*$B$72</f>
        <v>18355.582524271846</v>
      </c>
      <c r="EP72" s="71">
        <f>IFERROR(up_RadSpec!$H$16*EP16,".")*$B$72</f>
        <v>18906.25</v>
      </c>
      <c r="EQ72" s="71">
        <f>IFERROR(up_RadSpec!$H$16*EQ16,".")*$B$72</f>
        <v>18355.582524271846</v>
      </c>
      <c r="ER72" s="49">
        <f t="shared" si="335"/>
        <v>1</v>
      </c>
      <c r="ES72" s="49">
        <f t="shared" si="335"/>
        <v>0</v>
      </c>
      <c r="ET72" s="49">
        <f t="shared" si="335"/>
        <v>0.99999648009875997</v>
      </c>
      <c r="EU72" s="49">
        <f t="shared" si="335"/>
        <v>1</v>
      </c>
      <c r="EV72" s="49">
        <f t="shared" si="335"/>
        <v>1</v>
      </c>
      <c r="EW72" s="49">
        <f t="shared" si="335"/>
        <v>1</v>
      </c>
      <c r="EX72" s="49">
        <f t="shared" si="335"/>
        <v>1</v>
      </c>
      <c r="EY72" s="49">
        <f t="shared" si="335"/>
        <v>1</v>
      </c>
      <c r="EZ72" s="49">
        <f t="shared" si="335"/>
        <v>1</v>
      </c>
      <c r="FA72" s="49">
        <f t="shared" si="335"/>
        <v>1</v>
      </c>
      <c r="FB72" s="49">
        <f t="shared" si="335"/>
        <v>1</v>
      </c>
      <c r="FC72" s="49">
        <f t="shared" si="335"/>
        <v>1</v>
      </c>
      <c r="FD72" s="49">
        <f t="shared" si="335"/>
        <v>1</v>
      </c>
      <c r="FE72" s="49">
        <f t="shared" si="335"/>
        <v>1</v>
      </c>
      <c r="FF72" s="49">
        <f t="shared" si="335"/>
        <v>1</v>
      </c>
      <c r="FG72" s="49">
        <f t="shared" si="336"/>
        <v>1</v>
      </c>
      <c r="FH72" s="60">
        <f>IFERROR(FH16/$B58,0)</f>
        <v>9.9740259740259755E-10</v>
      </c>
      <c r="FI72" s="60">
        <f>IFERROR(FI16/$B58,0)</f>
        <v>6.3709090909090908E-6</v>
      </c>
      <c r="FJ72" s="60">
        <f>IFERROR(FJ16/$B58,0)</f>
        <v>9.9724647271019672E-10</v>
      </c>
      <c r="FK72" s="71">
        <f>IFERROR(up_RadSpec!$F$16*FK16,".")*$B$72</f>
        <v>50130.208333333328</v>
      </c>
      <c r="FL72" s="71">
        <f>IFERROR(up_RadSpec!$K$16*FL16,".")*$B$72</f>
        <v>7.8481735159817356</v>
      </c>
      <c r="FM72" s="49">
        <f t="shared" si="337"/>
        <v>1</v>
      </c>
      <c r="FN72" s="49">
        <f t="shared" si="337"/>
        <v>0.99960953550549536</v>
      </c>
      <c r="FO72" s="49">
        <f t="shared" si="338"/>
        <v>1</v>
      </c>
    </row>
    <row r="73" spans="1:171" x14ac:dyDescent="0.25">
      <c r="A73" s="83" t="s">
        <v>1094</v>
      </c>
      <c r="B73" s="42">
        <v>1</v>
      </c>
      <c r="C73" s="178"/>
      <c r="D73" s="60">
        <f t="shared" ref="D73:O73" si="387">IFERROR(D7/$B59,0)</f>
        <v>1.6528925619834712E-11</v>
      </c>
      <c r="E73" s="60">
        <f t="shared" si="387"/>
        <v>6.6115702479338848E-11</v>
      </c>
      <c r="F73" s="60">
        <f t="shared" si="387"/>
        <v>6.6115702479338848E-11</v>
      </c>
      <c r="G73" s="60">
        <f t="shared" si="387"/>
        <v>6.6115702479338848E-11</v>
      </c>
      <c r="H73" s="60">
        <f t="shared" si="387"/>
        <v>6.6115702479338848E-11</v>
      </c>
      <c r="I73" s="60">
        <f t="shared" si="387"/>
        <v>6.6115702479338848E-11</v>
      </c>
      <c r="J73" s="60">
        <f t="shared" si="387"/>
        <v>6.6115702479338848E-11</v>
      </c>
      <c r="K73" s="60">
        <f t="shared" si="387"/>
        <v>6.6115702479338848E-11</v>
      </c>
      <c r="L73" s="60">
        <f t="shared" si="387"/>
        <v>6.6115702479338848E-11</v>
      </c>
      <c r="M73" s="60">
        <f t="shared" si="387"/>
        <v>6.6115702479338848E-11</v>
      </c>
      <c r="N73" s="60">
        <f t="shared" si="387"/>
        <v>6.6115702479338848E-11</v>
      </c>
      <c r="O73" s="60">
        <f t="shared" si="387"/>
        <v>6.6115702479338848E-11</v>
      </c>
      <c r="P73" s="71">
        <f>up_dir!BC73</f>
        <v>3025000</v>
      </c>
      <c r="Q73" s="71">
        <f>IFERROR(up_RadSpec!$H$7*Q7,".")*$B$73</f>
        <v>756250</v>
      </c>
      <c r="R73" s="71">
        <f>IFERROR(up_RadSpec!$H$7*R7,".")*$B$73</f>
        <v>756250</v>
      </c>
      <c r="S73" s="71">
        <f>IFERROR(up_RadSpec!$H$7*S7,".")*$B$73</f>
        <v>756250</v>
      </c>
      <c r="T73" s="71">
        <f>IFERROR(up_RadSpec!$H$7*T7,".")*$B$73</f>
        <v>756250</v>
      </c>
      <c r="U73" s="71">
        <f>IFERROR(up_RadSpec!$H$7*U7,".")*$B$73</f>
        <v>756250</v>
      </c>
      <c r="V73" s="71">
        <f>IFERROR(up_RadSpec!$H$7*V7,".")*$B$73</f>
        <v>756250</v>
      </c>
      <c r="W73" s="71">
        <f>IFERROR(up_RadSpec!$H$7*W7,".")*$B$73</f>
        <v>756250</v>
      </c>
      <c r="X73" s="71">
        <f>IFERROR(up_RadSpec!$H$7*X7,".")*$B$73</f>
        <v>756250</v>
      </c>
      <c r="Y73" s="71">
        <f>IFERROR(up_RadSpec!$H$7*Y7,".")*$B$73</f>
        <v>756250</v>
      </c>
      <c r="Z73" s="71">
        <f>IFERROR(up_RadSpec!$H$7*Z7,".")*$B$73</f>
        <v>756250</v>
      </c>
      <c r="AA73" s="71">
        <f>IFERROR(up_RadSpec!$H$7*AA7,".")*$B$73</f>
        <v>756250</v>
      </c>
      <c r="AB73" s="49">
        <f t="shared" si="327"/>
        <v>1</v>
      </c>
      <c r="AC73" s="49">
        <f t="shared" si="327"/>
        <v>1</v>
      </c>
      <c r="AD73" s="49">
        <f t="shared" si="327"/>
        <v>1</v>
      </c>
      <c r="AE73" s="49">
        <f t="shared" si="327"/>
        <v>1</v>
      </c>
      <c r="AF73" s="49">
        <f t="shared" si="327"/>
        <v>1</v>
      </c>
      <c r="AG73" s="49">
        <f t="shared" si="327"/>
        <v>1</v>
      </c>
      <c r="AH73" s="49">
        <f t="shared" si="327"/>
        <v>1</v>
      </c>
      <c r="AI73" s="49">
        <f t="shared" si="327"/>
        <v>1</v>
      </c>
      <c r="AJ73" s="49">
        <f t="shared" si="327"/>
        <v>1</v>
      </c>
      <c r="AK73" s="49">
        <f t="shared" si="327"/>
        <v>1</v>
      </c>
      <c r="AL73" s="49">
        <f t="shared" si="327"/>
        <v>1</v>
      </c>
      <c r="AM73" s="49">
        <f t="shared" si="327"/>
        <v>1</v>
      </c>
      <c r="AN73" s="60">
        <f t="shared" ref="AN73:BB73" si="388">IFERROR(AN7/$B59,0)</f>
        <v>3.3057851239669421E-8</v>
      </c>
      <c r="AO73" s="60">
        <f t="shared" si="388"/>
        <v>3.0899917851942918E-4</v>
      </c>
      <c r="AP73" s="60">
        <f t="shared" si="388"/>
        <v>3.8268082282680812E-5</v>
      </c>
      <c r="AQ73" s="60">
        <f t="shared" si="388"/>
        <v>3.2968835384132272E-12</v>
      </c>
      <c r="AR73" s="60">
        <f t="shared" si="388"/>
        <v>6.6115702479338848E-11</v>
      </c>
      <c r="AS73" s="60">
        <f t="shared" si="388"/>
        <v>6.6115702479338848E-11</v>
      </c>
      <c r="AT73" s="60">
        <f t="shared" si="388"/>
        <v>1.8558793678410904E-14</v>
      </c>
      <c r="AU73" s="60">
        <f t="shared" si="388"/>
        <v>1.9115557488763232E-14</v>
      </c>
      <c r="AV73" s="60">
        <f t="shared" si="388"/>
        <v>1.8558793678410904E-14</v>
      </c>
      <c r="AW73" s="60">
        <f t="shared" si="388"/>
        <v>1.8558793678410904E-14</v>
      </c>
      <c r="AX73" s="60">
        <f t="shared" si="388"/>
        <v>1.8558793678410904E-14</v>
      </c>
      <c r="AY73" s="60">
        <f t="shared" si="388"/>
        <v>1.8558793678410904E-14</v>
      </c>
      <c r="AZ73" s="60">
        <f t="shared" si="388"/>
        <v>1.9115557488763232E-14</v>
      </c>
      <c r="BA73" s="60">
        <f t="shared" si="388"/>
        <v>1.8558793678410904E-14</v>
      </c>
      <c r="BB73" s="60">
        <f t="shared" si="388"/>
        <v>1.9115557488763232E-14</v>
      </c>
      <c r="BC73" s="42"/>
      <c r="BD73" s="42"/>
      <c r="BE73" s="42"/>
      <c r="BF73" s="42"/>
      <c r="BG73" s="42"/>
      <c r="BH73" s="42"/>
      <c r="BI73" s="42"/>
      <c r="BJ73" s="42"/>
      <c r="BK73" s="42"/>
      <c r="BL73" s="42"/>
      <c r="BM73" s="42"/>
      <c r="BN73" s="42"/>
      <c r="BO73" s="42"/>
      <c r="BP73" s="42"/>
      <c r="BQ73" s="42"/>
      <c r="BR73" s="60">
        <f t="shared" ref="BR73" si="389">IFERROR(BR7/$B59,0)</f>
        <v>2.0808592670444129E-15</v>
      </c>
      <c r="BS73" s="71">
        <f>IFERROR(up_RadSpec!$E$7*BS7,".")*$B$73</f>
        <v>1512.5</v>
      </c>
      <c r="BT73" s="71">
        <f>IFERROR(up_RadSpec!$F$7*BT7,".")*$B$73</f>
        <v>0.16181272791589676</v>
      </c>
      <c r="BU73" s="71">
        <f>IFERROR(up_RadSpec!$G$7*BU7,".")*$B$73</f>
        <v>1.3065718744581243</v>
      </c>
      <c r="BV73" s="71">
        <f>up_b2s!CC73</f>
        <v>15165837.5</v>
      </c>
      <c r="BW73" s="71">
        <f>IFERROR(up_RadSpec!$H$7*BW7,".")*$B$73</f>
        <v>756250</v>
      </c>
      <c r="BX73" s="71">
        <f>IFERROR(up_RadSpec!$H$7*BX7,".")*$B$73</f>
        <v>756250</v>
      </c>
      <c r="BY73" s="71">
        <f>IFERROR(up_RadSpec!$H$7*BY7,".")*$B$73</f>
        <v>2694140625</v>
      </c>
      <c r="BZ73" s="71">
        <f>IFERROR(up_RadSpec!$H$7*BZ7,".")*$B$73</f>
        <v>2615670509.7087379</v>
      </c>
      <c r="CA73" s="71">
        <f>IFERROR(up_RadSpec!$H$7*CA7,".")*$B$73</f>
        <v>2694140625</v>
      </c>
      <c r="CB73" s="71">
        <f>IFERROR(up_RadSpec!$H$7*CB7,".")*$B$73</f>
        <v>2694140625</v>
      </c>
      <c r="CC73" s="71">
        <f>IFERROR(up_RadSpec!$H$7*CC7,".")*$B$73</f>
        <v>2694140625</v>
      </c>
      <c r="CD73" s="71">
        <f>IFERROR(up_RadSpec!$H$7*CD7,".")*$B$73</f>
        <v>2694140625</v>
      </c>
      <c r="CE73" s="71">
        <f>IFERROR(up_RadSpec!$H$7*CE7,".")*$B$73</f>
        <v>2615670509.7087379</v>
      </c>
      <c r="CF73" s="71">
        <f>IFERROR(up_RadSpec!$H$7*CF7,".")*$B$73</f>
        <v>2694140625</v>
      </c>
      <c r="CG73" s="71">
        <f>IFERROR(up_RadSpec!$H$7*CG7,".")*$B$73</f>
        <v>2615670509.7087379</v>
      </c>
      <c r="CH73" s="49">
        <f t="shared" si="330"/>
        <v>1</v>
      </c>
      <c r="CI73" s="49">
        <f t="shared" si="330"/>
        <v>0.14939951664921358</v>
      </c>
      <c r="CJ73" s="49">
        <f t="shared" si="330"/>
        <v>0.72925337930634215</v>
      </c>
      <c r="CK73" s="49">
        <f t="shared" si="330"/>
        <v>1</v>
      </c>
      <c r="CL73" s="49">
        <f t="shared" si="330"/>
        <v>1</v>
      </c>
      <c r="CM73" s="49">
        <f t="shared" si="330"/>
        <v>1</v>
      </c>
      <c r="CN73" s="49">
        <f t="shared" si="330"/>
        <v>1</v>
      </c>
      <c r="CO73" s="49">
        <f t="shared" si="330"/>
        <v>1</v>
      </c>
      <c r="CP73" s="49">
        <f t="shared" si="330"/>
        <v>1</v>
      </c>
      <c r="CQ73" s="49">
        <f t="shared" si="330"/>
        <v>1</v>
      </c>
      <c r="CR73" s="49">
        <f t="shared" si="330"/>
        <v>1</v>
      </c>
      <c r="CS73" s="49">
        <f t="shared" si="330"/>
        <v>1</v>
      </c>
      <c r="CT73" s="49">
        <f t="shared" si="330"/>
        <v>1</v>
      </c>
      <c r="CU73" s="49">
        <f t="shared" si="330"/>
        <v>1</v>
      </c>
      <c r="CV73" s="49">
        <f t="shared" si="330"/>
        <v>1</v>
      </c>
      <c r="CW73" s="49">
        <f t="shared" si="331"/>
        <v>1</v>
      </c>
      <c r="CX73" s="60">
        <f t="shared" ref="CX73" si="390">IFERROR(CX7/$B59,0)</f>
        <v>3.6363636363636369E-10</v>
      </c>
      <c r="CY73" s="60" t="str">
        <f>IFERROR(CY7,".")</f>
        <v>.</v>
      </c>
      <c r="CZ73" s="60">
        <f t="shared" ref="CZ73:DL73" si="391">IFERROR(CZ7/$B59,0)</f>
        <v>3.9818181818181825E-6</v>
      </c>
      <c r="DA73" s="60">
        <f t="shared" si="391"/>
        <v>1.6443412786038031E-11</v>
      </c>
      <c r="DB73" s="60">
        <f t="shared" si="391"/>
        <v>1.322314049586777E-8</v>
      </c>
      <c r="DC73" s="60">
        <f t="shared" si="391"/>
        <v>1.322314049586777E-8</v>
      </c>
      <c r="DD73" s="60">
        <f t="shared" si="391"/>
        <v>2.6446280991735539E-9</v>
      </c>
      <c r="DE73" s="60">
        <f t="shared" si="391"/>
        <v>2.7239669421487605E-9</v>
      </c>
      <c r="DF73" s="60">
        <f t="shared" si="391"/>
        <v>2.6446280991735539E-9</v>
      </c>
      <c r="DG73" s="60">
        <f t="shared" si="391"/>
        <v>2.6446280991735539E-9</v>
      </c>
      <c r="DH73" s="60">
        <f t="shared" si="391"/>
        <v>2.6446280991735539E-9</v>
      </c>
      <c r="DI73" s="60">
        <f t="shared" si="391"/>
        <v>2.6446280991735539E-9</v>
      </c>
      <c r="DJ73" s="60">
        <f t="shared" si="391"/>
        <v>2.7239669421487605E-9</v>
      </c>
      <c r="DK73" s="60">
        <f t="shared" si="391"/>
        <v>2.6446280991735539E-9</v>
      </c>
      <c r="DL73" s="60">
        <f t="shared" si="391"/>
        <v>2.7239669421487605E-9</v>
      </c>
      <c r="DM73" s="15"/>
      <c r="DN73" s="15"/>
      <c r="DO73" s="15"/>
      <c r="DP73" s="15"/>
      <c r="DQ73" s="15"/>
      <c r="DR73" s="15"/>
      <c r="DS73" s="15"/>
      <c r="DT73" s="15"/>
      <c r="DU73" s="15"/>
      <c r="DV73" s="15"/>
      <c r="DW73" s="15"/>
      <c r="DX73" s="15"/>
      <c r="DY73" s="15"/>
      <c r="DZ73" s="15"/>
      <c r="EA73" s="15"/>
      <c r="EB73" s="60">
        <f t="shared" ref="EB73" si="392">IFERROR(EB7/$B59,0)</f>
        <v>1.4906192608956601E-11</v>
      </c>
      <c r="EC73" s="71">
        <f>IFERROR(up_RadSpec!$I$7*EC7,".")*$B$73</f>
        <v>137500</v>
      </c>
      <c r="ED73" s="71">
        <f>IFERROR(up_RadSpec!$F$7*ED7,".")</f>
        <v>0</v>
      </c>
      <c r="EE73" s="71">
        <f>IFERROR(up_RadSpec!$M$7*EE7,".")*$B$73</f>
        <v>12.557077625570777</v>
      </c>
      <c r="EF73" s="71">
        <f>up_b2w!CC73</f>
        <v>3040731.3038114933</v>
      </c>
      <c r="EG73" s="71">
        <f>IFERROR(up_RadSpec!$H$7*EG7,".")*$B$73</f>
        <v>3781.25</v>
      </c>
      <c r="EH73" s="71">
        <f>IFERROR(up_RadSpec!$H$7*EH7,".")*$B$73</f>
        <v>3781.25</v>
      </c>
      <c r="EI73" s="71">
        <f>IFERROR(up_RadSpec!$H$7*EI7,".")*$B$73</f>
        <v>18906.25</v>
      </c>
      <c r="EJ73" s="71">
        <f>IFERROR(up_RadSpec!$H$7*EJ7,".")*$B$73</f>
        <v>18355.582524271846</v>
      </c>
      <c r="EK73" s="71">
        <f>IFERROR(up_RadSpec!$H$7*EK7,".")*$B$73</f>
        <v>18906.25</v>
      </c>
      <c r="EL73" s="71">
        <f>IFERROR(up_RadSpec!$H$7*EL7,".")*$B$73</f>
        <v>18906.25</v>
      </c>
      <c r="EM73" s="71">
        <f>IFERROR(up_RadSpec!$H$7*EM7,".")*$B$73</f>
        <v>18906.25</v>
      </c>
      <c r="EN73" s="71">
        <f>IFERROR(up_RadSpec!$H$7*EN7,".")*$B$73</f>
        <v>18906.25</v>
      </c>
      <c r="EO73" s="71">
        <f>IFERROR(up_RadSpec!$H$7*EO7,".")*$B$73</f>
        <v>18355.582524271846</v>
      </c>
      <c r="EP73" s="71">
        <f>IFERROR(up_RadSpec!$H$7*EP7,".")*$B$73</f>
        <v>18906.25</v>
      </c>
      <c r="EQ73" s="71">
        <f>IFERROR(up_RadSpec!$H$7*EQ7,".")*$B$73</f>
        <v>18355.582524271846</v>
      </c>
      <c r="ER73" s="49">
        <f t="shared" si="335"/>
        <v>1</v>
      </c>
      <c r="ES73" s="49">
        <f t="shared" si="335"/>
        <v>0</v>
      </c>
      <c r="ET73" s="49">
        <f t="shared" si="335"/>
        <v>0.99999648009875997</v>
      </c>
      <c r="EU73" s="49">
        <f t="shared" si="335"/>
        <v>1</v>
      </c>
      <c r="EV73" s="49">
        <f t="shared" si="335"/>
        <v>1</v>
      </c>
      <c r="EW73" s="49">
        <f t="shared" si="335"/>
        <v>1</v>
      </c>
      <c r="EX73" s="49">
        <f t="shared" si="335"/>
        <v>1</v>
      </c>
      <c r="EY73" s="49">
        <f t="shared" si="335"/>
        <v>1</v>
      </c>
      <c r="EZ73" s="49">
        <f t="shared" si="335"/>
        <v>1</v>
      </c>
      <c r="FA73" s="49">
        <f t="shared" si="335"/>
        <v>1</v>
      </c>
      <c r="FB73" s="49">
        <f t="shared" si="335"/>
        <v>1</v>
      </c>
      <c r="FC73" s="49">
        <f t="shared" si="335"/>
        <v>1</v>
      </c>
      <c r="FD73" s="49">
        <f t="shared" si="335"/>
        <v>1</v>
      </c>
      <c r="FE73" s="49">
        <f t="shared" si="335"/>
        <v>1</v>
      </c>
      <c r="FF73" s="49">
        <f t="shared" si="335"/>
        <v>1</v>
      </c>
      <c r="FG73" s="49">
        <f t="shared" si="336"/>
        <v>1</v>
      </c>
      <c r="FH73" s="60">
        <f>IFERROR(FH7/$B59,0)</f>
        <v>9.9740259740259755E-10</v>
      </c>
      <c r="FI73" s="60">
        <f>IFERROR(FI7/$B59,0)</f>
        <v>6.3709090909090908E-6</v>
      </c>
      <c r="FJ73" s="60">
        <f>IFERROR(FJ7/$B59,0)</f>
        <v>9.9724647271019672E-10</v>
      </c>
      <c r="FK73" s="71">
        <f>IFERROR(up_RadSpec!$F$7*FK7,".")*$B$73</f>
        <v>50130.208333333328</v>
      </c>
      <c r="FL73" s="71">
        <f>IFERROR(up_RadSpec!$K$7*FL7,".")*$B$73</f>
        <v>7.8481735159817356</v>
      </c>
      <c r="FM73" s="49">
        <f t="shared" si="337"/>
        <v>1</v>
      </c>
      <c r="FN73" s="49">
        <f t="shared" si="337"/>
        <v>0.99960953550549536</v>
      </c>
      <c r="FO73" s="49">
        <f t="shared" si="338"/>
        <v>1</v>
      </c>
    </row>
    <row r="74" spans="1:171" x14ac:dyDescent="0.25">
      <c r="A74" s="83" t="s">
        <v>1095</v>
      </c>
      <c r="B74" s="86">
        <v>1.9000000000000001E-8</v>
      </c>
      <c r="C74" s="182"/>
      <c r="D74" s="60">
        <f t="shared" ref="D74:O74" si="393">IFERROR(D12/$B60,0)</f>
        <v>8.6994345367551109E-4</v>
      </c>
      <c r="E74" s="60">
        <f t="shared" si="393"/>
        <v>3.4797738147020443E-3</v>
      </c>
      <c r="F74" s="60">
        <f t="shared" si="393"/>
        <v>3.4797738147020443E-3</v>
      </c>
      <c r="G74" s="60">
        <f t="shared" si="393"/>
        <v>3.4797738147020443E-3</v>
      </c>
      <c r="H74" s="60">
        <f t="shared" si="393"/>
        <v>3.4797738147020443E-3</v>
      </c>
      <c r="I74" s="60">
        <f t="shared" si="393"/>
        <v>3.4797738147020443E-3</v>
      </c>
      <c r="J74" s="60">
        <f t="shared" si="393"/>
        <v>3.4797738147020443E-3</v>
      </c>
      <c r="K74" s="60">
        <f t="shared" si="393"/>
        <v>3.4797738147020443E-3</v>
      </c>
      <c r="L74" s="60">
        <f t="shared" si="393"/>
        <v>3.4797738147020443E-3</v>
      </c>
      <c r="M74" s="60">
        <f t="shared" si="393"/>
        <v>3.4797738147020443E-3</v>
      </c>
      <c r="N74" s="60">
        <f t="shared" si="393"/>
        <v>3.4797738147020443E-3</v>
      </c>
      <c r="O74" s="60">
        <f t="shared" si="393"/>
        <v>3.4797738147020443E-3</v>
      </c>
      <c r="P74" s="71">
        <f>up_dir!BC74</f>
        <v>159210526315789.44</v>
      </c>
      <c r="Q74" s="71">
        <f>IFERROR(up_RadSpec!$H$12*Q12,".")*$B$74</f>
        <v>1.4368750000000001E-2</v>
      </c>
      <c r="R74" s="71">
        <f>IFERROR(up_RadSpec!$H$12*R12,".")*$B$74</f>
        <v>1.4368750000000001E-2</v>
      </c>
      <c r="S74" s="71">
        <f>IFERROR(up_RadSpec!$H$12*S12,".")*$B$74</f>
        <v>1.4368750000000001E-2</v>
      </c>
      <c r="T74" s="71">
        <f>IFERROR(up_RadSpec!$H$12*T12,".")*$B$74</f>
        <v>1.4368750000000001E-2</v>
      </c>
      <c r="U74" s="71">
        <f>IFERROR(up_RadSpec!$H$12*U12,".")*$B$74</f>
        <v>1.4368750000000001E-2</v>
      </c>
      <c r="V74" s="71">
        <f>IFERROR(up_RadSpec!$H$12*V12,".")*$B$74</f>
        <v>1.4368750000000001E-2</v>
      </c>
      <c r="W74" s="71">
        <f>IFERROR(up_RadSpec!$H$12*W12,".")*$B$74</f>
        <v>1.4368750000000001E-2</v>
      </c>
      <c r="X74" s="71">
        <f>IFERROR(up_RadSpec!$H$12*X12,".")*$B$74</f>
        <v>1.4368750000000001E-2</v>
      </c>
      <c r="Y74" s="71">
        <f>IFERROR(up_RadSpec!$H$12*Y12,".")*$B$74</f>
        <v>1.4368750000000001E-2</v>
      </c>
      <c r="Z74" s="71">
        <f>IFERROR(up_RadSpec!$H$12*Z12,".")*$B$74</f>
        <v>1.4368750000000001E-2</v>
      </c>
      <c r="AA74" s="71">
        <f>IFERROR(up_RadSpec!$H$12*AA12,".")*$B$74</f>
        <v>1.4368750000000001E-2</v>
      </c>
      <c r="AB74" s="49">
        <f t="shared" si="327"/>
        <v>1</v>
      </c>
      <c r="AC74" s="49">
        <f t="shared" si="327"/>
        <v>1.4266012171747833E-2</v>
      </c>
      <c r="AD74" s="49">
        <f t="shared" si="327"/>
        <v>1.4266012171747833E-2</v>
      </c>
      <c r="AE74" s="49">
        <f t="shared" si="327"/>
        <v>1.4266012171747833E-2</v>
      </c>
      <c r="AF74" s="49">
        <f t="shared" si="327"/>
        <v>1.4266012171747833E-2</v>
      </c>
      <c r="AG74" s="49">
        <f t="shared" si="327"/>
        <v>1.4266012171747833E-2</v>
      </c>
      <c r="AH74" s="49">
        <f t="shared" si="327"/>
        <v>1.4266012171747833E-2</v>
      </c>
      <c r="AI74" s="49">
        <f t="shared" si="327"/>
        <v>1.4266012171747833E-2</v>
      </c>
      <c r="AJ74" s="49">
        <f t="shared" si="327"/>
        <v>1.4266012171747833E-2</v>
      </c>
      <c r="AK74" s="49">
        <f t="shared" si="327"/>
        <v>1.4266012171747833E-2</v>
      </c>
      <c r="AL74" s="49">
        <f t="shared" si="327"/>
        <v>1.4266012171747833E-2</v>
      </c>
      <c r="AM74" s="49">
        <f t="shared" si="327"/>
        <v>1.4266012171747833E-2</v>
      </c>
      <c r="AN74" s="60">
        <f t="shared" ref="AN74:BB74" si="394">IFERROR(AN12/$B60,0)</f>
        <v>1.7398869073510221</v>
      </c>
      <c r="AO74" s="60">
        <f t="shared" si="394"/>
        <v>16263.114658917324</v>
      </c>
      <c r="AP74" s="60">
        <f t="shared" si="394"/>
        <v>1563.2030333122684</v>
      </c>
      <c r="AQ74" s="60">
        <f t="shared" si="394"/>
        <v>1.735201862322751E-4</v>
      </c>
      <c r="AR74" s="60">
        <f t="shared" si="394"/>
        <v>3.4797738147020443E-3</v>
      </c>
      <c r="AS74" s="60">
        <f t="shared" si="394"/>
        <v>3.4797738147020443E-3</v>
      </c>
      <c r="AT74" s="60">
        <f t="shared" si="394"/>
        <v>9.7677861465320538E-7</v>
      </c>
      <c r="AU74" s="60">
        <f t="shared" si="394"/>
        <v>1.0060819730928015E-6</v>
      </c>
      <c r="AV74" s="60">
        <f t="shared" si="394"/>
        <v>9.7677861465320538E-7</v>
      </c>
      <c r="AW74" s="60">
        <f t="shared" si="394"/>
        <v>9.7677861465320538E-7</v>
      </c>
      <c r="AX74" s="60">
        <f t="shared" si="394"/>
        <v>9.7677861465320538E-7</v>
      </c>
      <c r="AY74" s="60">
        <f t="shared" si="394"/>
        <v>9.7677861465320538E-7</v>
      </c>
      <c r="AZ74" s="60">
        <f t="shared" si="394"/>
        <v>1.0060819730928015E-6</v>
      </c>
      <c r="BA74" s="60">
        <f t="shared" si="394"/>
        <v>9.7677861465320538E-7</v>
      </c>
      <c r="BB74" s="60">
        <f t="shared" si="394"/>
        <v>1.0060819730928015E-6</v>
      </c>
      <c r="BC74" s="42"/>
      <c r="BD74" s="42"/>
      <c r="BE74" s="42"/>
      <c r="BF74" s="42"/>
      <c r="BG74" s="42"/>
      <c r="BH74" s="42"/>
      <c r="BI74" s="42"/>
      <c r="BJ74" s="42"/>
      <c r="BK74" s="42"/>
      <c r="BL74" s="42"/>
      <c r="BM74" s="42"/>
      <c r="BN74" s="42"/>
      <c r="BO74" s="42"/>
      <c r="BP74" s="42"/>
      <c r="BQ74" s="42"/>
      <c r="BR74" s="60">
        <f t="shared" ref="BR74" si="395">IFERROR(BR12/$B60,0)</f>
        <v>1.0951890879009343E-7</v>
      </c>
      <c r="BS74" s="71">
        <f>IFERROR(up_RadSpec!$E$12*BS12,".")*$B$74</f>
        <v>2.8737500000000001E-5</v>
      </c>
      <c r="BT74" s="71">
        <f>IFERROR(up_RadSpec!$F$12*BT12,".")*$B$74</f>
        <v>3.0744418304020388E-9</v>
      </c>
      <c r="BU74" s="71">
        <f>IFERROR(up_RadSpec!$G$12*BU12,".")*$B$74</f>
        <v>3.1985608353161315E-8</v>
      </c>
      <c r="BV74" s="71">
        <f>up_b2s!CC74</f>
        <v>798201973684210.5</v>
      </c>
      <c r="BW74" s="71">
        <f>IFERROR(up_RadSpec!$H$12*BW12,".")*$B$74</f>
        <v>1.4368750000000001E-2</v>
      </c>
      <c r="BX74" s="71">
        <f>IFERROR(up_RadSpec!$H$12*BX12,".")*$B$74</f>
        <v>1.4368750000000001E-2</v>
      </c>
      <c r="BY74" s="71">
        <f>IFERROR(up_RadSpec!$H$12*BY12,".")*$B$74</f>
        <v>51.188671875000004</v>
      </c>
      <c r="BZ74" s="71">
        <f>IFERROR(up_RadSpec!$H$12*BZ12,".")*$B$74</f>
        <v>49.697739684466022</v>
      </c>
      <c r="CA74" s="71">
        <f>IFERROR(up_RadSpec!$H$12*CA12,".")*$B$74</f>
        <v>51.188671875000004</v>
      </c>
      <c r="CB74" s="71">
        <f>IFERROR(up_RadSpec!$H$12*CB12,".")*$B$74</f>
        <v>51.188671875000004</v>
      </c>
      <c r="CC74" s="71">
        <f>IFERROR(up_RadSpec!$H$12*CC12,".")*$B$74</f>
        <v>51.188671875000004</v>
      </c>
      <c r="CD74" s="71">
        <f>IFERROR(up_RadSpec!$H$12*CD12,".")*$B$74</f>
        <v>51.188671875000004</v>
      </c>
      <c r="CE74" s="71">
        <f>IFERROR(up_RadSpec!$H$12*CE12,".")*$B$74</f>
        <v>49.697739684466022</v>
      </c>
      <c r="CF74" s="71">
        <f>IFERROR(up_RadSpec!$H$12*CF12,".")*$B$74</f>
        <v>51.188671875000004</v>
      </c>
      <c r="CG74" s="71">
        <f>IFERROR(up_RadSpec!$H$12*CG12,".")*$B$74</f>
        <v>49.697739684466022</v>
      </c>
      <c r="CH74" s="49">
        <f t="shared" si="330"/>
        <v>2.8737500000000001E-5</v>
      </c>
      <c r="CI74" s="49">
        <f t="shared" si="330"/>
        <v>3.0744418304020388E-9</v>
      </c>
      <c r="CJ74" s="49">
        <f t="shared" si="330"/>
        <v>3.1985608353161315E-8</v>
      </c>
      <c r="CK74" s="49">
        <f t="shared" si="330"/>
        <v>1</v>
      </c>
      <c r="CL74" s="49">
        <f t="shared" si="330"/>
        <v>1.4266012171747833E-2</v>
      </c>
      <c r="CM74" s="49">
        <f t="shared" si="330"/>
        <v>1.4266012171747833E-2</v>
      </c>
      <c r="CN74" s="49">
        <f t="shared" si="330"/>
        <v>1</v>
      </c>
      <c r="CO74" s="49">
        <f t="shared" si="330"/>
        <v>1</v>
      </c>
      <c r="CP74" s="49">
        <f t="shared" si="330"/>
        <v>1</v>
      </c>
      <c r="CQ74" s="49">
        <f t="shared" si="330"/>
        <v>1</v>
      </c>
      <c r="CR74" s="49">
        <f t="shared" si="330"/>
        <v>1</v>
      </c>
      <c r="CS74" s="49">
        <f t="shared" si="330"/>
        <v>1</v>
      </c>
      <c r="CT74" s="49">
        <f t="shared" si="330"/>
        <v>1</v>
      </c>
      <c r="CU74" s="49">
        <f t="shared" si="330"/>
        <v>1</v>
      </c>
      <c r="CV74" s="49">
        <f t="shared" si="330"/>
        <v>1</v>
      </c>
      <c r="CW74" s="49">
        <f t="shared" si="331"/>
        <v>1</v>
      </c>
      <c r="CX74" s="60">
        <f t="shared" ref="CX74" si="396">IFERROR(CX12/$B60,0)</f>
        <v>1.9138755980861247E-2</v>
      </c>
      <c r="CY74" s="60" t="str">
        <f>IFERROR(CY12,".")</f>
        <v>.</v>
      </c>
      <c r="CZ74" s="60">
        <f t="shared" ref="CZ74:DL74" si="397">IFERROR(CZ12/$B60,0)</f>
        <v>209.56937799043064</v>
      </c>
      <c r="DA74" s="60">
        <f t="shared" si="397"/>
        <v>8.6544277821252785E-4</v>
      </c>
      <c r="DB74" s="60">
        <f t="shared" si="397"/>
        <v>0.69595476294040892</v>
      </c>
      <c r="DC74" s="60">
        <f t="shared" si="397"/>
        <v>0.69595476294040892</v>
      </c>
      <c r="DD74" s="60">
        <f t="shared" si="397"/>
        <v>0.13919095258808178</v>
      </c>
      <c r="DE74" s="60">
        <f t="shared" si="397"/>
        <v>0.14336668116572424</v>
      </c>
      <c r="DF74" s="60">
        <f t="shared" si="397"/>
        <v>0.13919095258808178</v>
      </c>
      <c r="DG74" s="60">
        <f t="shared" si="397"/>
        <v>0.13919095258808178</v>
      </c>
      <c r="DH74" s="60">
        <f t="shared" si="397"/>
        <v>0.13919095258808178</v>
      </c>
      <c r="DI74" s="60">
        <f t="shared" si="397"/>
        <v>0.13919095258808178</v>
      </c>
      <c r="DJ74" s="60">
        <f t="shared" si="397"/>
        <v>0.14336668116572424</v>
      </c>
      <c r="DK74" s="60">
        <f t="shared" si="397"/>
        <v>0.13919095258808178</v>
      </c>
      <c r="DL74" s="60">
        <f t="shared" si="397"/>
        <v>0.14336668116572424</v>
      </c>
      <c r="DM74" s="15"/>
      <c r="DN74" s="15"/>
      <c r="DO74" s="15"/>
      <c r="DP74" s="15"/>
      <c r="DQ74" s="15"/>
      <c r="DR74" s="15"/>
      <c r="DS74" s="15"/>
      <c r="DT74" s="15"/>
      <c r="DU74" s="15"/>
      <c r="DV74" s="15"/>
      <c r="DW74" s="15"/>
      <c r="DX74" s="15"/>
      <c r="DY74" s="15"/>
      <c r="DZ74" s="15"/>
      <c r="EA74" s="15"/>
      <c r="EB74" s="60">
        <f t="shared" ref="EB74" si="398">IFERROR(EB12/$B60,0)</f>
        <v>7.8453645310297892E-4</v>
      </c>
      <c r="EC74" s="71">
        <f>IFERROR(up_RadSpec!$I$12*EC12,".")*$B$74</f>
        <v>2.6125000000000002E-3</v>
      </c>
      <c r="ED74" s="71">
        <f>IFERROR(up_RadSpec!$F$12*ED12,".")</f>
        <v>0</v>
      </c>
      <c r="EE74" s="71">
        <f>IFERROR(up_RadSpec!$M$12*EE12,".")*$B$74</f>
        <v>2.3858447488584478E-7</v>
      </c>
      <c r="EF74" s="71">
        <f>up_b2w!CC74</f>
        <v>160038489674289.13</v>
      </c>
      <c r="EG74" s="71">
        <f>IFERROR(up_RadSpec!$H$12*EG12,".")*$B$74</f>
        <v>7.1843750000000008E-5</v>
      </c>
      <c r="EH74" s="71">
        <f>IFERROR(up_RadSpec!$H$12*EH12,".")*$B$74</f>
        <v>7.1843750000000008E-5</v>
      </c>
      <c r="EI74" s="71">
        <f>IFERROR(up_RadSpec!$H$12*EI12,".")*$B$74</f>
        <v>3.5921875E-4</v>
      </c>
      <c r="EJ74" s="71">
        <f>IFERROR(up_RadSpec!$H$12*EJ12,".")*$B$74</f>
        <v>3.487560679611651E-4</v>
      </c>
      <c r="EK74" s="71">
        <f>IFERROR(up_RadSpec!$H$12*EK12,".")*$B$74</f>
        <v>3.5921875E-4</v>
      </c>
      <c r="EL74" s="71">
        <f>IFERROR(up_RadSpec!$H$12*EL12,".")*$B$74</f>
        <v>3.5921875E-4</v>
      </c>
      <c r="EM74" s="71">
        <f>IFERROR(up_RadSpec!$H$12*EM12,".")*$B$74</f>
        <v>3.5921875E-4</v>
      </c>
      <c r="EN74" s="71">
        <f>IFERROR(up_RadSpec!$H$12*EN12,".")*$B$74</f>
        <v>3.5921875E-4</v>
      </c>
      <c r="EO74" s="71">
        <f>IFERROR(up_RadSpec!$H$12*EO12,".")*$B$74</f>
        <v>3.487560679611651E-4</v>
      </c>
      <c r="EP74" s="71">
        <f>IFERROR(up_RadSpec!$H$12*EP12,".")*$B$74</f>
        <v>3.5921875E-4</v>
      </c>
      <c r="EQ74" s="71">
        <f>IFERROR(up_RadSpec!$H$12*EQ12,".")*$B$74</f>
        <v>3.487560679611651E-4</v>
      </c>
      <c r="ER74" s="49">
        <f t="shared" si="335"/>
        <v>2.6125000000000002E-3</v>
      </c>
      <c r="ES74" s="49">
        <f t="shared" si="335"/>
        <v>0</v>
      </c>
      <c r="ET74" s="49">
        <f t="shared" si="335"/>
        <v>2.3858447488584478E-7</v>
      </c>
      <c r="EU74" s="49">
        <f t="shared" si="335"/>
        <v>1</v>
      </c>
      <c r="EV74" s="49">
        <f t="shared" si="335"/>
        <v>7.1843750000000008E-5</v>
      </c>
      <c r="EW74" s="49">
        <f t="shared" si="335"/>
        <v>7.1843750000000008E-5</v>
      </c>
      <c r="EX74" s="49">
        <f t="shared" si="335"/>
        <v>3.5921875E-4</v>
      </c>
      <c r="EY74" s="49">
        <f t="shared" si="335"/>
        <v>3.487560679611651E-4</v>
      </c>
      <c r="EZ74" s="49">
        <f t="shared" si="335"/>
        <v>3.5921875E-4</v>
      </c>
      <c r="FA74" s="49">
        <f t="shared" si="335"/>
        <v>3.5921875E-4</v>
      </c>
      <c r="FB74" s="49">
        <f t="shared" si="335"/>
        <v>3.5921875E-4</v>
      </c>
      <c r="FC74" s="49">
        <f t="shared" si="335"/>
        <v>3.5921875E-4</v>
      </c>
      <c r="FD74" s="49">
        <f t="shared" si="335"/>
        <v>3.487560679611651E-4</v>
      </c>
      <c r="FE74" s="49">
        <f t="shared" si="335"/>
        <v>3.5921875E-4</v>
      </c>
      <c r="FF74" s="49">
        <f t="shared" si="335"/>
        <v>3.487560679611651E-4</v>
      </c>
      <c r="FG74" s="49">
        <f t="shared" si="336"/>
        <v>1</v>
      </c>
      <c r="FH74" s="60">
        <f>IFERROR(FH12/$B60,0)</f>
        <v>5.2494873547505129E-2</v>
      </c>
      <c r="FI74" s="60">
        <f>IFERROR(FI12/$B60,0)</f>
        <v>335.31100478468898</v>
      </c>
      <c r="FJ74" s="60">
        <f>IFERROR(FJ12/$B60,0)</f>
        <v>5.2486656458431404E-2</v>
      </c>
      <c r="FK74" s="71">
        <f>IFERROR(up_RadSpec!$F$12*FK12,".")*$B$74</f>
        <v>9.5247395833333328E-4</v>
      </c>
      <c r="FL74" s="71">
        <f>IFERROR(up_RadSpec!$K$12*FL12,".")*$B$74</f>
        <v>1.4911529680365299E-7</v>
      </c>
      <c r="FM74" s="49">
        <f t="shared" si="337"/>
        <v>9.5247395833333328E-4</v>
      </c>
      <c r="FN74" s="49">
        <f t="shared" si="337"/>
        <v>1.4911529680365299E-7</v>
      </c>
      <c r="FO74" s="49">
        <f t="shared" si="338"/>
        <v>9.5262307363013692E-4</v>
      </c>
    </row>
    <row r="75" spans="1:171" x14ac:dyDescent="0.25">
      <c r="A75" s="83" t="s">
        <v>1096</v>
      </c>
      <c r="B75" s="42">
        <v>1</v>
      </c>
      <c r="C75" s="178"/>
      <c r="D75" s="60">
        <f t="shared" ref="D75:O75" si="399">IFERROR(D18/$B61,0)</f>
        <v>1.6528925619834712E-11</v>
      </c>
      <c r="E75" s="60">
        <f t="shared" si="399"/>
        <v>6.6115702479338848E-11</v>
      </c>
      <c r="F75" s="60">
        <f t="shared" si="399"/>
        <v>6.6115702479338848E-11</v>
      </c>
      <c r="G75" s="60">
        <f t="shared" si="399"/>
        <v>6.6115702479338848E-11</v>
      </c>
      <c r="H75" s="60">
        <f t="shared" si="399"/>
        <v>6.6115702479338848E-11</v>
      </c>
      <c r="I75" s="60">
        <f t="shared" si="399"/>
        <v>6.6115702479338848E-11</v>
      </c>
      <c r="J75" s="60">
        <f t="shared" si="399"/>
        <v>6.6115702479338848E-11</v>
      </c>
      <c r="K75" s="60">
        <f t="shared" si="399"/>
        <v>6.6115702479338848E-11</v>
      </c>
      <c r="L75" s="60">
        <f t="shared" si="399"/>
        <v>6.6115702479338848E-11</v>
      </c>
      <c r="M75" s="60">
        <f t="shared" si="399"/>
        <v>6.6115702479338848E-11</v>
      </c>
      <c r="N75" s="60">
        <f t="shared" si="399"/>
        <v>6.6115702479338848E-11</v>
      </c>
      <c r="O75" s="60">
        <f t="shared" si="399"/>
        <v>6.6115702479338848E-11</v>
      </c>
      <c r="P75" s="71">
        <f>up_dir!BC75</f>
        <v>3025000</v>
      </c>
      <c r="Q75" s="71">
        <f>IFERROR(up_RadSpec!$H$18*Q18,".")*$B$75</f>
        <v>756250</v>
      </c>
      <c r="R75" s="71">
        <f>IFERROR(up_RadSpec!$H$18*R18,".")*$B$75</f>
        <v>756250</v>
      </c>
      <c r="S75" s="71">
        <f>IFERROR(up_RadSpec!$H$18*S18,".")*$B$75</f>
        <v>756250</v>
      </c>
      <c r="T75" s="71">
        <f>IFERROR(up_RadSpec!$H$18*T18,".")*$B$75</f>
        <v>756250</v>
      </c>
      <c r="U75" s="71">
        <f>IFERROR(up_RadSpec!$H$18*U18,".")*$B$75</f>
        <v>756250</v>
      </c>
      <c r="V75" s="71">
        <f>IFERROR(up_RadSpec!$H$18*V18,".")*$B$75</f>
        <v>756250</v>
      </c>
      <c r="W75" s="71">
        <f>IFERROR(up_RadSpec!$H$18*W18,".")*$B$75</f>
        <v>756250</v>
      </c>
      <c r="X75" s="71">
        <f>IFERROR(up_RadSpec!$H$18*X18,".")*$B$75</f>
        <v>756250</v>
      </c>
      <c r="Y75" s="71">
        <f>IFERROR(up_RadSpec!$H$18*Y18,".")*$B$75</f>
        <v>756250</v>
      </c>
      <c r="Z75" s="71">
        <f>IFERROR(up_RadSpec!$H$18*Z18,".")*$B$75</f>
        <v>756250</v>
      </c>
      <c r="AA75" s="71">
        <f>IFERROR(up_RadSpec!$H$18*AA18,".")*$B$75</f>
        <v>756250</v>
      </c>
      <c r="AB75" s="49">
        <f t="shared" si="327"/>
        <v>1</v>
      </c>
      <c r="AC75" s="49">
        <f t="shared" si="327"/>
        <v>1</v>
      </c>
      <c r="AD75" s="49">
        <f t="shared" si="327"/>
        <v>1</v>
      </c>
      <c r="AE75" s="49">
        <f t="shared" si="327"/>
        <v>1</v>
      </c>
      <c r="AF75" s="49">
        <f t="shared" si="327"/>
        <v>1</v>
      </c>
      <c r="AG75" s="49">
        <f t="shared" si="327"/>
        <v>1</v>
      </c>
      <c r="AH75" s="49">
        <f t="shared" si="327"/>
        <v>1</v>
      </c>
      <c r="AI75" s="49">
        <f t="shared" si="327"/>
        <v>1</v>
      </c>
      <c r="AJ75" s="49">
        <f t="shared" si="327"/>
        <v>1</v>
      </c>
      <c r="AK75" s="49">
        <f t="shared" si="327"/>
        <v>1</v>
      </c>
      <c r="AL75" s="49">
        <f t="shared" si="327"/>
        <v>1</v>
      </c>
      <c r="AM75" s="49">
        <f t="shared" si="327"/>
        <v>1</v>
      </c>
      <c r="AN75" s="60">
        <f t="shared" ref="AN75:BB75" si="400">IFERROR(AN18/$B61,0)</f>
        <v>3.3057851239669421E-8</v>
      </c>
      <c r="AO75" s="60">
        <f t="shared" si="400"/>
        <v>3.0899917851942918E-4</v>
      </c>
      <c r="AP75" s="60">
        <f t="shared" si="400"/>
        <v>1.4924627075710669E-5</v>
      </c>
      <c r="AQ75" s="60">
        <f t="shared" si="400"/>
        <v>3.2968835384132272E-12</v>
      </c>
      <c r="AR75" s="60">
        <f t="shared" si="400"/>
        <v>6.6115702479338848E-11</v>
      </c>
      <c r="AS75" s="60">
        <f t="shared" si="400"/>
        <v>6.6115702479338848E-11</v>
      </c>
      <c r="AT75" s="60">
        <f t="shared" si="400"/>
        <v>1.8558793678410904E-14</v>
      </c>
      <c r="AU75" s="60">
        <f t="shared" si="400"/>
        <v>1.9115557488763232E-14</v>
      </c>
      <c r="AV75" s="60">
        <f t="shared" si="400"/>
        <v>1.8558793678410904E-14</v>
      </c>
      <c r="AW75" s="60">
        <f t="shared" si="400"/>
        <v>1.8558793678410904E-14</v>
      </c>
      <c r="AX75" s="60">
        <f t="shared" si="400"/>
        <v>1.8558793678410904E-14</v>
      </c>
      <c r="AY75" s="60">
        <f t="shared" si="400"/>
        <v>1.8558793678410904E-14</v>
      </c>
      <c r="AZ75" s="60">
        <f t="shared" si="400"/>
        <v>1.9115557488763232E-14</v>
      </c>
      <c r="BA75" s="60">
        <f t="shared" si="400"/>
        <v>1.8558793678410904E-14</v>
      </c>
      <c r="BB75" s="60">
        <f t="shared" si="400"/>
        <v>1.9115557488763232E-14</v>
      </c>
      <c r="BC75" s="42"/>
      <c r="BD75" s="42"/>
      <c r="BE75" s="42"/>
      <c r="BF75" s="42"/>
      <c r="BG75" s="42"/>
      <c r="BH75" s="42"/>
      <c r="BI75" s="42"/>
      <c r="BJ75" s="42"/>
      <c r="BK75" s="42"/>
      <c r="BL75" s="42"/>
      <c r="BM75" s="42"/>
      <c r="BN75" s="42"/>
      <c r="BO75" s="42"/>
      <c r="BP75" s="42"/>
      <c r="BQ75" s="42"/>
      <c r="BR75" s="60">
        <f t="shared" ref="BR75" si="401">IFERROR(BR18/$B61,0)</f>
        <v>2.0808592668674383E-15</v>
      </c>
      <c r="BS75" s="71">
        <f>IFERROR(up_RadSpec!$E$18*BS18,".")*$B$75</f>
        <v>1512.5</v>
      </c>
      <c r="BT75" s="71">
        <f>IFERROR(up_RadSpec!$F$18*BT18,".")*$B$75</f>
        <v>0.16181272791589676</v>
      </c>
      <c r="BU75" s="71">
        <f>IFERROR(up_RadSpec!$G$18*BU18,".")*$B$75</f>
        <v>3.350167461227445</v>
      </c>
      <c r="BV75" s="71">
        <f>up_b2s!CC75</f>
        <v>15165837.5</v>
      </c>
      <c r="BW75" s="71">
        <f>IFERROR(up_RadSpec!$H$18*BW18,".")*$B$75</f>
        <v>756250</v>
      </c>
      <c r="BX75" s="71">
        <f>IFERROR(up_RadSpec!$H$18*BX18,".")*$B$75</f>
        <v>756250</v>
      </c>
      <c r="BY75" s="71">
        <f>IFERROR(up_RadSpec!$H$18*BY18,".")*$B$75</f>
        <v>2694140625</v>
      </c>
      <c r="BZ75" s="71">
        <f>IFERROR(up_RadSpec!$H$18*BZ18,".")*$B$75</f>
        <v>2615670509.7087379</v>
      </c>
      <c r="CA75" s="71">
        <f>IFERROR(up_RadSpec!$H$18*CA18,".")*$B$75</f>
        <v>2694140625</v>
      </c>
      <c r="CB75" s="71">
        <f>IFERROR(up_RadSpec!$H$18*CB18,".")*$B$75</f>
        <v>2694140625</v>
      </c>
      <c r="CC75" s="71">
        <f>IFERROR(up_RadSpec!$H$18*CC18,".")*$B$75</f>
        <v>2694140625</v>
      </c>
      <c r="CD75" s="71">
        <f>IFERROR(up_RadSpec!$H$18*CD18,".")*$B$75</f>
        <v>2694140625</v>
      </c>
      <c r="CE75" s="71">
        <f>IFERROR(up_RadSpec!$H$18*CE18,".")*$B$75</f>
        <v>2615670509.7087379</v>
      </c>
      <c r="CF75" s="71">
        <f>IFERROR(up_RadSpec!$H$18*CF18,".")*$B$75</f>
        <v>2694140625</v>
      </c>
      <c r="CG75" s="71">
        <f>IFERROR(up_RadSpec!$H$18*CG18,".")*$B$75</f>
        <v>2615670509.7087379</v>
      </c>
      <c r="CH75" s="49">
        <f t="shared" si="330"/>
        <v>1</v>
      </c>
      <c r="CI75" s="49">
        <f t="shared" si="330"/>
        <v>0.14939951664921358</v>
      </c>
      <c r="CJ75" s="49">
        <f t="shared" si="330"/>
        <v>0.96492152067624437</v>
      </c>
      <c r="CK75" s="49">
        <f t="shared" si="330"/>
        <v>1</v>
      </c>
      <c r="CL75" s="49">
        <f t="shared" si="330"/>
        <v>1</v>
      </c>
      <c r="CM75" s="49">
        <f t="shared" si="330"/>
        <v>1</v>
      </c>
      <c r="CN75" s="49">
        <f t="shared" si="330"/>
        <v>1</v>
      </c>
      <c r="CO75" s="49">
        <f t="shared" si="330"/>
        <v>1</v>
      </c>
      <c r="CP75" s="49">
        <f t="shared" si="330"/>
        <v>1</v>
      </c>
      <c r="CQ75" s="49">
        <f t="shared" si="330"/>
        <v>1</v>
      </c>
      <c r="CR75" s="49">
        <f t="shared" si="330"/>
        <v>1</v>
      </c>
      <c r="CS75" s="49">
        <f t="shared" si="330"/>
        <v>1</v>
      </c>
      <c r="CT75" s="49">
        <f t="shared" si="330"/>
        <v>1</v>
      </c>
      <c r="CU75" s="49">
        <f t="shared" si="330"/>
        <v>1</v>
      </c>
      <c r="CV75" s="49">
        <f t="shared" si="330"/>
        <v>1</v>
      </c>
      <c r="CW75" s="49">
        <f t="shared" si="331"/>
        <v>1</v>
      </c>
      <c r="CX75" s="60">
        <f t="shared" ref="CX75" si="402">IFERROR(CX18/$B61,0)</f>
        <v>3.6363636363636369E-10</v>
      </c>
      <c r="CY75" s="60" t="str">
        <f>IFERROR(CY18,".")</f>
        <v>.</v>
      </c>
      <c r="CZ75" s="60">
        <f t="shared" ref="CZ75:DL75" si="403">IFERROR(CZ18/$B61,0)</f>
        <v>3.9818181818181825E-6</v>
      </c>
      <c r="DA75" s="60">
        <f t="shared" si="403"/>
        <v>1.6443412786038031E-11</v>
      </c>
      <c r="DB75" s="60">
        <f t="shared" si="403"/>
        <v>1.322314049586777E-8</v>
      </c>
      <c r="DC75" s="60">
        <f t="shared" si="403"/>
        <v>1.322314049586777E-8</v>
      </c>
      <c r="DD75" s="60">
        <f t="shared" si="403"/>
        <v>2.6446280991735539E-9</v>
      </c>
      <c r="DE75" s="60">
        <f t="shared" si="403"/>
        <v>2.7239669421487605E-9</v>
      </c>
      <c r="DF75" s="60">
        <f t="shared" si="403"/>
        <v>2.6446280991735539E-9</v>
      </c>
      <c r="DG75" s="60">
        <f t="shared" si="403"/>
        <v>2.6446280991735539E-9</v>
      </c>
      <c r="DH75" s="60">
        <f t="shared" si="403"/>
        <v>2.6446280991735539E-9</v>
      </c>
      <c r="DI75" s="60">
        <f t="shared" si="403"/>
        <v>2.6446280991735539E-9</v>
      </c>
      <c r="DJ75" s="60">
        <f t="shared" si="403"/>
        <v>2.7239669421487605E-9</v>
      </c>
      <c r="DK75" s="60">
        <f t="shared" si="403"/>
        <v>2.6446280991735539E-9</v>
      </c>
      <c r="DL75" s="60">
        <f t="shared" si="403"/>
        <v>2.7239669421487605E-9</v>
      </c>
      <c r="DM75" s="15"/>
      <c r="DN75" s="15"/>
      <c r="DO75" s="15"/>
      <c r="DP75" s="15"/>
      <c r="DQ75" s="15"/>
      <c r="DR75" s="15"/>
      <c r="DS75" s="15"/>
      <c r="DT75" s="15"/>
      <c r="DU75" s="15"/>
      <c r="DV75" s="15"/>
      <c r="DW75" s="15"/>
      <c r="DX75" s="15"/>
      <c r="DY75" s="15"/>
      <c r="DZ75" s="15"/>
      <c r="EA75" s="15"/>
      <c r="EB75" s="60">
        <f t="shared" ref="EB75" si="404">IFERROR(EB18/$B61,0)</f>
        <v>1.4906192608956601E-11</v>
      </c>
      <c r="EC75" s="71">
        <f>IFERROR(up_RadSpec!$I$18*EC18,".")*$B$75</f>
        <v>137500</v>
      </c>
      <c r="ED75" s="71">
        <f>IFERROR(up_RadSpec!$F$18*ED18,".")</f>
        <v>0</v>
      </c>
      <c r="EE75" s="71">
        <f>IFERROR(up_RadSpec!$M$18*EE18,".")*$B$75</f>
        <v>12.557077625570777</v>
      </c>
      <c r="EF75" s="71">
        <f>up_b2w!CC75</f>
        <v>3040731.3038114933</v>
      </c>
      <c r="EG75" s="71">
        <f>IFERROR(up_RadSpec!$H$18*EG18,".")*$B$75</f>
        <v>3781.25</v>
      </c>
      <c r="EH75" s="71">
        <f>IFERROR(up_RadSpec!$H$18*EH18,".")*$B$75</f>
        <v>3781.25</v>
      </c>
      <c r="EI75" s="71">
        <f>IFERROR(up_RadSpec!$H$18*EI18,".")*$B$75</f>
        <v>18906.25</v>
      </c>
      <c r="EJ75" s="71">
        <f>IFERROR(up_RadSpec!$H$18*EJ18,".")*$B$75</f>
        <v>18355.582524271846</v>
      </c>
      <c r="EK75" s="71">
        <f>IFERROR(up_RadSpec!$H$18*EK18,".")*$B$75</f>
        <v>18906.25</v>
      </c>
      <c r="EL75" s="71">
        <f>IFERROR(up_RadSpec!$H$18*EL18,".")*$B$75</f>
        <v>18906.25</v>
      </c>
      <c r="EM75" s="71">
        <f>IFERROR(up_RadSpec!$H$18*EM18,".")*$B$75</f>
        <v>18906.25</v>
      </c>
      <c r="EN75" s="71">
        <f>IFERROR(up_RadSpec!$H$18*EN18,".")*$B$75</f>
        <v>18906.25</v>
      </c>
      <c r="EO75" s="71">
        <f>IFERROR(up_RadSpec!$H$18*EO18,".")*$B$75</f>
        <v>18355.582524271846</v>
      </c>
      <c r="EP75" s="71">
        <f>IFERROR(up_RadSpec!$H$18*EP18,".")*$B$75</f>
        <v>18906.25</v>
      </c>
      <c r="EQ75" s="71">
        <f>IFERROR(up_RadSpec!$H$18*EQ18,".")*$B$75</f>
        <v>18355.582524271846</v>
      </c>
      <c r="ER75" s="49">
        <f t="shared" si="335"/>
        <v>1</v>
      </c>
      <c r="ES75" s="49">
        <f t="shared" si="335"/>
        <v>0</v>
      </c>
      <c r="ET75" s="49">
        <f t="shared" si="335"/>
        <v>0.99999648009875997</v>
      </c>
      <c r="EU75" s="49">
        <f t="shared" si="335"/>
        <v>1</v>
      </c>
      <c r="EV75" s="49">
        <f t="shared" si="335"/>
        <v>1</v>
      </c>
      <c r="EW75" s="49">
        <f t="shared" si="335"/>
        <v>1</v>
      </c>
      <c r="EX75" s="49">
        <f t="shared" si="335"/>
        <v>1</v>
      </c>
      <c r="EY75" s="49">
        <f t="shared" si="335"/>
        <v>1</v>
      </c>
      <c r="EZ75" s="49">
        <f t="shared" si="335"/>
        <v>1</v>
      </c>
      <c r="FA75" s="49">
        <f t="shared" si="335"/>
        <v>1</v>
      </c>
      <c r="FB75" s="49">
        <f t="shared" si="335"/>
        <v>1</v>
      </c>
      <c r="FC75" s="49">
        <f t="shared" si="335"/>
        <v>1</v>
      </c>
      <c r="FD75" s="49">
        <f t="shared" si="335"/>
        <v>1</v>
      </c>
      <c r="FE75" s="49">
        <f t="shared" si="335"/>
        <v>1</v>
      </c>
      <c r="FF75" s="49">
        <f t="shared" si="335"/>
        <v>1</v>
      </c>
      <c r="FG75" s="49">
        <f t="shared" si="336"/>
        <v>1</v>
      </c>
      <c r="FH75" s="60">
        <f>IFERROR(FH18/$B61,0)</f>
        <v>9.9740259740259755E-10</v>
      </c>
      <c r="FI75" s="60">
        <f>IFERROR(FI18/$B61,0)</f>
        <v>6.3709090909090908E-6</v>
      </c>
      <c r="FJ75" s="60">
        <f>IFERROR(FJ18/$B61,0)</f>
        <v>9.9724647271019672E-10</v>
      </c>
      <c r="FK75" s="71">
        <f>IFERROR(up_RadSpec!$F$18*FK18,".")*$B$75</f>
        <v>50130.208333333328</v>
      </c>
      <c r="FL75" s="71">
        <f>IFERROR(up_RadSpec!$K$18*FL18,".")*$B$75</f>
        <v>7.8481735159817356</v>
      </c>
      <c r="FM75" s="49">
        <f t="shared" si="337"/>
        <v>1</v>
      </c>
      <c r="FN75" s="49">
        <f t="shared" si="337"/>
        <v>0.99960953550549536</v>
      </c>
      <c r="FO75" s="49">
        <f t="shared" si="338"/>
        <v>1</v>
      </c>
    </row>
    <row r="76" spans="1:171" x14ac:dyDescent="0.25">
      <c r="A76" s="83" t="s">
        <v>1097</v>
      </c>
      <c r="B76" s="42">
        <v>1.339E-6</v>
      </c>
      <c r="C76" s="178"/>
      <c r="D76" s="60">
        <f t="shared" ref="D76:O76" si="405">IFERROR(D27/$B62,0)</f>
        <v>1.2344231232139441E-5</v>
      </c>
      <c r="E76" s="60">
        <f t="shared" si="405"/>
        <v>4.9376924928557765E-5</v>
      </c>
      <c r="F76" s="60">
        <f t="shared" si="405"/>
        <v>4.9376924928557765E-5</v>
      </c>
      <c r="G76" s="60">
        <f t="shared" si="405"/>
        <v>4.9376924928557765E-5</v>
      </c>
      <c r="H76" s="60">
        <f t="shared" si="405"/>
        <v>4.9376924928557765E-5</v>
      </c>
      <c r="I76" s="60">
        <f t="shared" si="405"/>
        <v>4.9376924928557765E-5</v>
      </c>
      <c r="J76" s="60">
        <f t="shared" si="405"/>
        <v>4.9376924928557765E-5</v>
      </c>
      <c r="K76" s="60">
        <f t="shared" si="405"/>
        <v>4.9376924928557765E-5</v>
      </c>
      <c r="L76" s="60">
        <f t="shared" si="405"/>
        <v>4.9376924928557765E-5</v>
      </c>
      <c r="M76" s="60">
        <f t="shared" si="405"/>
        <v>4.9376924928557765E-5</v>
      </c>
      <c r="N76" s="60">
        <f t="shared" si="405"/>
        <v>4.9376924928557765E-5</v>
      </c>
      <c r="O76" s="60">
        <f t="shared" si="405"/>
        <v>4.9376924928557765E-5</v>
      </c>
      <c r="P76" s="71">
        <f>up_dir!BC76</f>
        <v>2259148618371.9194</v>
      </c>
      <c r="Q76" s="71">
        <f>IFERROR(up_RadSpec!$H$27*Q27,".")*$B$76</f>
        <v>1.0126187499999999</v>
      </c>
      <c r="R76" s="71">
        <f>IFERROR(up_RadSpec!$H$27*R27,".")*$B$76</f>
        <v>1.0126187499999999</v>
      </c>
      <c r="S76" s="71">
        <f>IFERROR(up_RadSpec!$H$27*S27,".")*$B$76</f>
        <v>1.0126187499999999</v>
      </c>
      <c r="T76" s="71">
        <f>IFERROR(up_RadSpec!$H$27*T27,".")*$B$76</f>
        <v>1.0126187499999999</v>
      </c>
      <c r="U76" s="71">
        <f>IFERROR(up_RadSpec!$H$27*U27,".")*$B$76</f>
        <v>1.0126187499999999</v>
      </c>
      <c r="V76" s="71">
        <f>IFERROR(up_RadSpec!$H$27*V27,".")*$B$76</f>
        <v>1.0126187499999999</v>
      </c>
      <c r="W76" s="71">
        <f>IFERROR(up_RadSpec!$H$27*W27,".")*$B$76</f>
        <v>1.0126187499999999</v>
      </c>
      <c r="X76" s="71">
        <f>IFERROR(up_RadSpec!$H$27*X27,".")*$B$76</f>
        <v>1.0126187499999999</v>
      </c>
      <c r="Y76" s="71">
        <f>IFERROR(up_RadSpec!$H$27*Y27,".")*$B$76</f>
        <v>1.0126187499999999</v>
      </c>
      <c r="Z76" s="71">
        <f>IFERROR(up_RadSpec!$H$27*Z27,".")*$B$76</f>
        <v>1.0126187499999999</v>
      </c>
      <c r="AA76" s="71">
        <f>IFERROR(up_RadSpec!$H$27*AA27,".")*$B$76</f>
        <v>1.0126187499999999</v>
      </c>
      <c r="AB76" s="49">
        <f t="shared" si="327"/>
        <v>1</v>
      </c>
      <c r="AC76" s="49">
        <f t="shared" si="327"/>
        <v>0.63673357109083517</v>
      </c>
      <c r="AD76" s="49">
        <f t="shared" si="327"/>
        <v>0.63673357109083517</v>
      </c>
      <c r="AE76" s="49">
        <f t="shared" si="327"/>
        <v>0.63673357109083517</v>
      </c>
      <c r="AF76" s="49">
        <f t="shared" si="327"/>
        <v>0.63673357109083517</v>
      </c>
      <c r="AG76" s="49">
        <f t="shared" si="327"/>
        <v>0.63673357109083517</v>
      </c>
      <c r="AH76" s="49">
        <f t="shared" si="327"/>
        <v>0.63673357109083517</v>
      </c>
      <c r="AI76" s="49">
        <f t="shared" si="327"/>
        <v>0.63673357109083517</v>
      </c>
      <c r="AJ76" s="49">
        <f t="shared" si="327"/>
        <v>0.63673357109083517</v>
      </c>
      <c r="AK76" s="49">
        <f t="shared" si="327"/>
        <v>0.63673357109083517</v>
      </c>
      <c r="AL76" s="49">
        <f t="shared" si="327"/>
        <v>0.63673357109083517</v>
      </c>
      <c r="AM76" s="49">
        <f t="shared" si="327"/>
        <v>0.63673357109083517</v>
      </c>
      <c r="AN76" s="60">
        <f t="shared" ref="AN76:BB76" si="406">IFERROR(AN27/$B62,0)</f>
        <v>2.4688462464278881E-2</v>
      </c>
      <c r="AO76" s="60">
        <f t="shared" si="406"/>
        <v>230.76861726619057</v>
      </c>
      <c r="AP76" s="60">
        <f t="shared" si="406"/>
        <v>18.292084804507244</v>
      </c>
      <c r="AQ76" s="60">
        <f t="shared" si="406"/>
        <v>2.4621983109882206E-6</v>
      </c>
      <c r="AR76" s="60">
        <f t="shared" si="406"/>
        <v>4.9376924928557765E-5</v>
      </c>
      <c r="AS76" s="60">
        <f t="shared" si="406"/>
        <v>4.9376924928557765E-5</v>
      </c>
      <c r="AT76" s="60">
        <f t="shared" si="406"/>
        <v>1.3860189453630249E-8</v>
      </c>
      <c r="AU76" s="60">
        <f t="shared" si="406"/>
        <v>1.4275995137239157E-8</v>
      </c>
      <c r="AV76" s="60">
        <f t="shared" si="406"/>
        <v>1.3860189453630249E-8</v>
      </c>
      <c r="AW76" s="60">
        <f t="shared" si="406"/>
        <v>1.3860189453630249E-8</v>
      </c>
      <c r="AX76" s="60">
        <f t="shared" si="406"/>
        <v>1.3860189453630249E-8</v>
      </c>
      <c r="AY76" s="60">
        <f t="shared" si="406"/>
        <v>1.3860189453630249E-8</v>
      </c>
      <c r="AZ76" s="60">
        <f t="shared" si="406"/>
        <v>1.4275995137239157E-8</v>
      </c>
      <c r="BA76" s="60">
        <f t="shared" si="406"/>
        <v>1.3860189453630249E-8</v>
      </c>
      <c r="BB76" s="60">
        <f t="shared" si="406"/>
        <v>1.4275995137239157E-8</v>
      </c>
      <c r="BC76" s="42"/>
      <c r="BD76" s="42"/>
      <c r="BE76" s="42"/>
      <c r="BF76" s="42"/>
      <c r="BG76" s="42"/>
      <c r="BH76" s="42"/>
      <c r="BI76" s="42"/>
      <c r="BJ76" s="42"/>
      <c r="BK76" s="42"/>
      <c r="BL76" s="42"/>
      <c r="BM76" s="42"/>
      <c r="BN76" s="42"/>
      <c r="BO76" s="42"/>
      <c r="BP76" s="42"/>
      <c r="BQ76" s="42"/>
      <c r="BR76" s="60">
        <f t="shared" ref="BR76" si="407">IFERROR(BR27/$B62,0)</f>
        <v>1.5540397811656294E-9</v>
      </c>
      <c r="BS76" s="71">
        <f>IFERROR(up_RadSpec!$E$27*BS27,".")*$B$76</f>
        <v>2.0252375000000002E-3</v>
      </c>
      <c r="BT76" s="71">
        <f>IFERROR(up_RadSpec!$F$27*BT27,".")*$B$76</f>
        <v>2.1666724267938577E-7</v>
      </c>
      <c r="BU76" s="71">
        <f>IFERROR(up_RadSpec!$G$27*BU27,".")*$B$76</f>
        <v>2.7334227090221995E-6</v>
      </c>
      <c r="BV76" s="71">
        <f>up_b2s!CC76</f>
        <v>11326241598207.617</v>
      </c>
      <c r="BW76" s="71">
        <f>IFERROR(up_RadSpec!$H$27*BW27,".")*$B$76</f>
        <v>1.0126187499999999</v>
      </c>
      <c r="BX76" s="71">
        <f>IFERROR(up_RadSpec!$H$27*BX27,".")*$B$76</f>
        <v>1.0126187499999999</v>
      </c>
      <c r="BY76" s="71">
        <f>IFERROR(up_RadSpec!$H$27*BY27,".")*$B$76</f>
        <v>3607.4542968750002</v>
      </c>
      <c r="BZ76" s="71">
        <f>IFERROR(up_RadSpec!$H$27*BZ27,".")*$B$76</f>
        <v>3502.3828125</v>
      </c>
      <c r="CA76" s="71">
        <f>IFERROR(up_RadSpec!$H$27*CA27,".")*$B$76</f>
        <v>3607.4542968750002</v>
      </c>
      <c r="CB76" s="71">
        <f>IFERROR(up_RadSpec!$H$27*CB27,".")*$B$76</f>
        <v>3607.4542968750002</v>
      </c>
      <c r="CC76" s="71">
        <f>IFERROR(up_RadSpec!$H$27*CC27,".")*$B$76</f>
        <v>3607.4542968750002</v>
      </c>
      <c r="CD76" s="71">
        <f>IFERROR(up_RadSpec!$H$27*CD27,".")*$B$76</f>
        <v>3607.4542968750002</v>
      </c>
      <c r="CE76" s="71">
        <f>IFERROR(up_RadSpec!$H$27*CE27,".")*$B$76</f>
        <v>3502.3828125</v>
      </c>
      <c r="CF76" s="71">
        <f>IFERROR(up_RadSpec!$H$27*CF27,".")*$B$76</f>
        <v>3607.4542968750002</v>
      </c>
      <c r="CG76" s="71">
        <f>IFERROR(up_RadSpec!$H$27*CG27,".")*$B$76</f>
        <v>3502.3828125</v>
      </c>
      <c r="CH76" s="49">
        <f t="shared" si="330"/>
        <v>2.0252375000000002E-3</v>
      </c>
      <c r="CI76" s="49">
        <f t="shared" si="330"/>
        <v>2.1666724267938577E-7</v>
      </c>
      <c r="CJ76" s="49">
        <f t="shared" si="330"/>
        <v>2.7334227090221995E-6</v>
      </c>
      <c r="CK76" s="49">
        <f t="shared" si="330"/>
        <v>1</v>
      </c>
      <c r="CL76" s="49">
        <f t="shared" si="330"/>
        <v>0.63673357109083517</v>
      </c>
      <c r="CM76" s="49">
        <f t="shared" si="330"/>
        <v>0.63673357109083517</v>
      </c>
      <c r="CN76" s="49">
        <f t="shared" si="330"/>
        <v>1</v>
      </c>
      <c r="CO76" s="49">
        <f t="shared" si="330"/>
        <v>1</v>
      </c>
      <c r="CP76" s="49">
        <f t="shared" si="330"/>
        <v>1</v>
      </c>
      <c r="CQ76" s="49">
        <f t="shared" si="330"/>
        <v>1</v>
      </c>
      <c r="CR76" s="49">
        <f t="shared" si="330"/>
        <v>1</v>
      </c>
      <c r="CS76" s="49">
        <f t="shared" si="330"/>
        <v>1</v>
      </c>
      <c r="CT76" s="49">
        <f t="shared" si="330"/>
        <v>1</v>
      </c>
      <c r="CU76" s="49">
        <f t="shared" si="330"/>
        <v>1</v>
      </c>
      <c r="CV76" s="49">
        <f t="shared" si="330"/>
        <v>1</v>
      </c>
      <c r="CW76" s="49">
        <f t="shared" si="331"/>
        <v>1</v>
      </c>
      <c r="CX76" s="60">
        <f t="shared" ref="CX76" si="408">IFERROR(CX27/$B62,0)</f>
        <v>2.715730871070677E-4</v>
      </c>
      <c r="CY76" s="60" t="str">
        <f>IFERROR(CY27,".")</f>
        <v>.</v>
      </c>
      <c r="CZ76" s="60">
        <f t="shared" ref="CZ76:DL76" si="409">IFERROR(CZ27/$B62,0)</f>
        <v>2.9737253038223916</v>
      </c>
      <c r="DA76" s="60">
        <f t="shared" si="409"/>
        <v>1.2280368025420486E-5</v>
      </c>
      <c r="DB76" s="60">
        <f t="shared" si="409"/>
        <v>9.8753849857115533E-3</v>
      </c>
      <c r="DC76" s="60">
        <f t="shared" si="409"/>
        <v>9.8753849857115533E-3</v>
      </c>
      <c r="DD76" s="60">
        <f t="shared" si="409"/>
        <v>1.9750769971423107E-3</v>
      </c>
      <c r="DE76" s="60">
        <f t="shared" si="409"/>
        <v>2.0343293070565799E-3</v>
      </c>
      <c r="DF76" s="60">
        <f t="shared" si="409"/>
        <v>1.9750769971423107E-3</v>
      </c>
      <c r="DG76" s="60">
        <f t="shared" si="409"/>
        <v>1.9750769971423107E-3</v>
      </c>
      <c r="DH76" s="60">
        <f t="shared" si="409"/>
        <v>1.9750769971423107E-3</v>
      </c>
      <c r="DI76" s="60">
        <f t="shared" si="409"/>
        <v>1.9750769971423107E-3</v>
      </c>
      <c r="DJ76" s="60">
        <f t="shared" si="409"/>
        <v>2.0343293070565799E-3</v>
      </c>
      <c r="DK76" s="60">
        <f t="shared" si="409"/>
        <v>1.9750769971423107E-3</v>
      </c>
      <c r="DL76" s="60">
        <f t="shared" si="409"/>
        <v>2.0343293070565799E-3</v>
      </c>
      <c r="DM76" s="15"/>
      <c r="DN76" s="15"/>
      <c r="DO76" s="15"/>
      <c r="DP76" s="15"/>
      <c r="DQ76" s="15"/>
      <c r="DR76" s="15"/>
      <c r="DS76" s="15"/>
      <c r="DT76" s="15"/>
      <c r="DU76" s="15"/>
      <c r="DV76" s="15"/>
      <c r="DW76" s="15"/>
      <c r="DX76" s="15"/>
      <c r="DY76" s="15"/>
      <c r="DZ76" s="15"/>
      <c r="EA76" s="15"/>
      <c r="EB76" s="60">
        <f t="shared" ref="EB76" si="410">IFERROR(EB27/$B62,0)</f>
        <v>1.1132332045523973E-5</v>
      </c>
      <c r="EC76" s="71">
        <f>IFERROR(up_RadSpec!$I$27*EC27,".")*$B$76</f>
        <v>0.18411250000000001</v>
      </c>
      <c r="ED76" s="71">
        <f>IFERROR(up_RadSpec!$F$27*ED27,".")</f>
        <v>0</v>
      </c>
      <c r="EE76" s="71">
        <f>IFERROR(up_RadSpec!$M$27*EE27,".")*$B$76</f>
        <v>1.6813926940639269E-5</v>
      </c>
      <c r="EF76" s="71">
        <f>up_b2w!CC76</f>
        <v>2270897164907.7622</v>
      </c>
      <c r="EG76" s="71">
        <f>IFERROR(up_RadSpec!$H$27*EG27,".")*$B$76</f>
        <v>5.0630937499999999E-3</v>
      </c>
      <c r="EH76" s="71">
        <f>IFERROR(up_RadSpec!$H$27*EH27,".")*$B$76</f>
        <v>5.0630937499999999E-3</v>
      </c>
      <c r="EI76" s="71">
        <f>IFERROR(up_RadSpec!$H$27*EI27,".")*$B$76</f>
        <v>2.531546875E-2</v>
      </c>
      <c r="EJ76" s="71">
        <f>IFERROR(up_RadSpec!$H$27*EJ27,".")*$B$76</f>
        <v>2.4578125000000003E-2</v>
      </c>
      <c r="EK76" s="71">
        <f>IFERROR(up_RadSpec!$H$27*EK27,".")*$B$76</f>
        <v>2.531546875E-2</v>
      </c>
      <c r="EL76" s="71">
        <f>IFERROR(up_RadSpec!$H$27*EL27,".")*$B$76</f>
        <v>2.531546875E-2</v>
      </c>
      <c r="EM76" s="71">
        <f>IFERROR(up_RadSpec!$H$27*EM27,".")*$B$76</f>
        <v>2.531546875E-2</v>
      </c>
      <c r="EN76" s="71">
        <f>IFERROR(up_RadSpec!$H$27*EN27,".")*$B$76</f>
        <v>2.531546875E-2</v>
      </c>
      <c r="EO76" s="71">
        <f>IFERROR(up_RadSpec!$H$27*EO27,".")*$B$76</f>
        <v>2.4578125000000003E-2</v>
      </c>
      <c r="EP76" s="71">
        <f>IFERROR(up_RadSpec!$H$27*EP27,".")*$B$76</f>
        <v>2.531546875E-2</v>
      </c>
      <c r="EQ76" s="71">
        <f>IFERROR(up_RadSpec!$H$27*EQ27,".")*$B$76</f>
        <v>2.4578125000000003E-2</v>
      </c>
      <c r="ER76" s="49">
        <f t="shared" si="335"/>
        <v>0.16815778368686241</v>
      </c>
      <c r="ES76" s="49">
        <f t="shared" si="335"/>
        <v>0</v>
      </c>
      <c r="ET76" s="49">
        <f t="shared" si="335"/>
        <v>1.6813926940639269E-5</v>
      </c>
      <c r="EU76" s="49">
        <f t="shared" si="335"/>
        <v>1</v>
      </c>
      <c r="EV76" s="49">
        <f t="shared" si="335"/>
        <v>5.0630937499999999E-3</v>
      </c>
      <c r="EW76" s="49">
        <f t="shared" si="335"/>
        <v>5.0630937499999999E-3</v>
      </c>
      <c r="EX76" s="49">
        <f t="shared" si="335"/>
        <v>2.4997719243899708E-2</v>
      </c>
      <c r="EY76" s="49">
        <f t="shared" si="335"/>
        <v>2.4278542298218797E-2</v>
      </c>
      <c r="EZ76" s="49">
        <f t="shared" si="335"/>
        <v>2.4997719243899708E-2</v>
      </c>
      <c r="FA76" s="49">
        <f t="shared" si="335"/>
        <v>2.4997719243899708E-2</v>
      </c>
      <c r="FB76" s="49">
        <f t="shared" si="335"/>
        <v>2.4997719243899708E-2</v>
      </c>
      <c r="FC76" s="49">
        <f t="shared" si="335"/>
        <v>2.4997719243899708E-2</v>
      </c>
      <c r="FD76" s="49">
        <f t="shared" si="335"/>
        <v>2.4278542298218797E-2</v>
      </c>
      <c r="FE76" s="49">
        <f t="shared" si="335"/>
        <v>2.4997719243899708E-2</v>
      </c>
      <c r="FF76" s="49">
        <f t="shared" si="335"/>
        <v>2.4278542298218797E-2</v>
      </c>
      <c r="FG76" s="49">
        <f t="shared" si="336"/>
        <v>1</v>
      </c>
      <c r="FH76" s="60">
        <f>IFERROR(FH27/$B62,0)</f>
        <v>7.4488618177938576E-4</v>
      </c>
      <c r="FI76" s="60">
        <f>IFERROR(FI27/$B62,0)</f>
        <v>4.7579604861158256</v>
      </c>
      <c r="FJ76" s="60">
        <f>IFERROR(FJ27/$B62,0)</f>
        <v>7.4476958380149125E-4</v>
      </c>
      <c r="FK76" s="71">
        <f>IFERROR(up_RadSpec!$F$27*FK27,".")*$B$76</f>
        <v>6.712434895833333E-2</v>
      </c>
      <c r="FL76" s="71">
        <f>IFERROR(up_RadSpec!$K$27*FL27,".")*$B$76</f>
        <v>1.0508704337899545E-5</v>
      </c>
      <c r="FM76" s="49">
        <f t="shared" si="337"/>
        <v>6.4921081982343365E-2</v>
      </c>
      <c r="FN76" s="49">
        <f t="shared" si="337"/>
        <v>1.0508704337899545E-5</v>
      </c>
      <c r="FO76" s="49">
        <f t="shared" si="338"/>
        <v>6.4930908398593834E-2</v>
      </c>
    </row>
  </sheetData>
  <sheetProtection algorithmName="SHA-512" hashValue="K1rdyxMpEBlKuO6f47XIcAfZlqW8i0cM55WLgVQwByJJXR8pJRsZ+AkOAnocli2whP32keDpd27QfRMvCR40fg==" saltValue="agG8vN53Lbdcd4wAGLu5AA==" spinCount="100000" sheet="1" formatColumns="0" formatRows="0" autoFilter="0"/>
  <autoFilter ref="A1:FD76" xr:uid="{F6725207-36EA-4A5F-832C-7471C0763726}"/>
  <pageMargins left="0.7" right="0.7" top="0.75" bottom="0.75" header="0.3" footer="0.3"/>
  <pageSetup orientation="portrait" horizontalDpi="1200" verticalDpi="12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2">
    <tabColor theme="9" tint="-0.499984740745262"/>
  </sheetPr>
  <dimension ref="A1:BT76"/>
  <sheetViews>
    <sheetView zoomScale="90" zoomScaleNormal="90" workbookViewId="0">
      <pane xSplit="2" ySplit="1" topLeftCell="C2" activePane="bottomRight" state="frozen"/>
      <selection activeCell="M25" sqref="M25"/>
      <selection pane="topRight" activeCell="M25" sqref="M25"/>
      <selection pane="bottomLeft" activeCell="M25" sqref="M25"/>
      <selection pane="bottomRight" activeCell="C2" sqref="C2"/>
    </sheetView>
  </sheetViews>
  <sheetFormatPr defaultColWidth="9.140625" defaultRowHeight="15" x14ac:dyDescent="0.25"/>
  <cols>
    <col min="1" max="1" width="14.5703125" style="15" bestFit="1" customWidth="1"/>
    <col min="2" max="2" width="10.7109375" style="15" bestFit="1" customWidth="1"/>
    <col min="3" max="3" width="13.28515625" style="4" customWidth="1"/>
    <col min="4" max="4" width="12.85546875" style="15" bestFit="1" customWidth="1"/>
    <col min="5" max="5" width="13" style="15" bestFit="1" customWidth="1"/>
    <col min="6" max="6" width="12.85546875" style="15" bestFit="1" customWidth="1"/>
    <col min="7" max="7" width="18.140625" style="3" bestFit="1" customWidth="1"/>
    <col min="8" max="8" width="17.28515625" style="3" bestFit="1" customWidth="1"/>
    <col min="9" max="13" width="17.28515625" style="3" customWidth="1"/>
    <col min="14" max="14" width="12.85546875" style="3" bestFit="1" customWidth="1"/>
    <col min="15" max="15" width="12.5703125" style="15" bestFit="1" customWidth="1"/>
    <col min="16" max="16" width="12.7109375" style="15" bestFit="1" customWidth="1"/>
    <col min="17" max="17" width="12.5703125" style="15" bestFit="1" customWidth="1"/>
    <col min="18" max="18" width="18.5703125" style="17" bestFit="1" customWidth="1"/>
    <col min="19" max="19" width="17.5703125" style="17" bestFit="1" customWidth="1"/>
    <col min="20" max="22" width="13.5703125" style="15" bestFit="1" customWidth="1"/>
    <col min="23" max="23" width="19" style="3" bestFit="1" customWidth="1"/>
    <col min="24" max="24" width="18" style="3" bestFit="1" customWidth="1"/>
    <col min="25" max="25" width="13.5703125" style="15" bestFit="1" customWidth="1"/>
    <col min="26" max="26" width="12" style="15" bestFit="1" customWidth="1"/>
    <col min="27" max="28" width="13.85546875" style="15" bestFit="1" customWidth="1"/>
    <col min="29" max="29" width="14.7109375" style="15" bestFit="1" customWidth="1"/>
    <col min="30" max="31" width="12.28515625" style="15" bestFit="1" customWidth="1"/>
    <col min="32" max="33" width="14" style="15" bestFit="1" customWidth="1"/>
    <col min="34" max="34" width="15" style="15" bestFit="1" customWidth="1"/>
    <col min="35" max="35" width="12.7109375" style="15" bestFit="1" customWidth="1"/>
    <col min="36" max="36" width="12.85546875" style="15" bestFit="1" customWidth="1"/>
    <col min="37" max="38" width="14.5703125" style="15" bestFit="1" customWidth="1"/>
    <col min="39" max="39" width="15.5703125" style="15" bestFit="1" customWidth="1"/>
    <col min="40" max="40" width="13.140625" style="15" bestFit="1" customWidth="1"/>
    <col min="41" max="41" width="12.28515625" style="15" bestFit="1" customWidth="1"/>
    <col min="42" max="42" width="12.5703125" style="15" bestFit="1" customWidth="1"/>
    <col min="43" max="43" width="12.140625" style="15" bestFit="1" customWidth="1"/>
    <col min="44" max="44" width="12.5703125" style="15" bestFit="1" customWidth="1"/>
    <col min="45" max="45" width="12.85546875" style="15" bestFit="1" customWidth="1"/>
    <col min="46" max="46" width="13.140625" style="15" bestFit="1" customWidth="1"/>
    <col min="47" max="47" width="13.42578125" style="15" bestFit="1" customWidth="1"/>
    <col min="48" max="48" width="13" style="15" bestFit="1" customWidth="1"/>
    <col min="49" max="49" width="13.140625" style="15" bestFit="1" customWidth="1"/>
    <col min="50" max="50" width="14.28515625" style="15" bestFit="1" customWidth="1"/>
    <col min="51" max="51" width="18.42578125" style="3" bestFit="1" customWidth="1"/>
    <col min="52" max="52" width="17.5703125" style="3" bestFit="1" customWidth="1"/>
    <col min="53" max="56" width="17.5703125" style="3" customWidth="1"/>
    <col min="57" max="57" width="13.140625" style="3" bestFit="1" customWidth="1"/>
    <col min="58" max="58" width="13.5703125" style="15" bestFit="1" customWidth="1"/>
    <col min="59" max="59" width="14.7109375" style="15" bestFit="1" customWidth="1"/>
    <col min="60" max="60" width="19" style="17" bestFit="1" customWidth="1"/>
    <col min="61" max="61" width="18" style="17" bestFit="1" customWidth="1"/>
    <col min="62" max="62" width="14" style="15" bestFit="1" customWidth="1"/>
    <col min="63" max="63" width="15.28515625" style="15" bestFit="1" customWidth="1"/>
    <col min="64" max="64" width="19.5703125" style="3" bestFit="1" customWidth="1"/>
    <col min="65" max="65" width="18.5703125" style="3" bestFit="1" customWidth="1"/>
    <col min="66" max="66" width="14" style="15" bestFit="1" customWidth="1"/>
    <col min="67" max="67" width="14.42578125" style="3" bestFit="1" customWidth="1"/>
    <col min="68" max="68" width="13.5703125" style="3" bestFit="1" customWidth="1"/>
    <col min="69" max="69" width="14.85546875" style="17" bestFit="1" customWidth="1"/>
    <col min="70" max="70" width="14" style="17" bestFit="1" customWidth="1"/>
    <col min="71" max="71" width="15.42578125" style="3" bestFit="1" customWidth="1"/>
    <col min="72" max="72" width="14.42578125" style="3" bestFit="1" customWidth="1"/>
    <col min="73" max="16384" width="9.140625" style="3"/>
  </cols>
  <sheetData>
    <row r="1" spans="1:72" x14ac:dyDescent="0.25">
      <c r="A1" s="39" t="s">
        <v>51</v>
      </c>
      <c r="B1" s="39" t="s">
        <v>348</v>
      </c>
      <c r="C1" s="78"/>
      <c r="D1" s="15" t="s">
        <v>1165</v>
      </c>
      <c r="E1" s="15" t="s">
        <v>1166</v>
      </c>
      <c r="F1" s="15" t="s">
        <v>1167</v>
      </c>
      <c r="G1" s="2" t="s">
        <v>1215</v>
      </c>
      <c r="H1" s="2" t="s">
        <v>1214</v>
      </c>
      <c r="I1" s="243" t="s">
        <v>1178</v>
      </c>
      <c r="J1" s="244" t="s">
        <v>1179</v>
      </c>
      <c r="K1" s="244" t="s">
        <v>1180</v>
      </c>
      <c r="L1" s="244" t="s">
        <v>1545</v>
      </c>
      <c r="M1" s="244" t="s">
        <v>1546</v>
      </c>
      <c r="N1" s="2" t="s">
        <v>1168</v>
      </c>
      <c r="O1" s="40" t="s">
        <v>1221</v>
      </c>
      <c r="P1" s="40" t="s">
        <v>1222</v>
      </c>
      <c r="Q1" s="40" t="s">
        <v>1223</v>
      </c>
      <c r="R1" s="16" t="s">
        <v>1376</v>
      </c>
      <c r="S1" s="16" t="s">
        <v>1379</v>
      </c>
      <c r="T1" s="41" t="s">
        <v>1225</v>
      </c>
      <c r="U1" s="41" t="s">
        <v>1226</v>
      </c>
      <c r="V1" s="41" t="s">
        <v>1227</v>
      </c>
      <c r="W1" s="69" t="s">
        <v>1382</v>
      </c>
      <c r="X1" s="69" t="s">
        <v>1385</v>
      </c>
      <c r="Y1" s="41" t="s">
        <v>1229</v>
      </c>
      <c r="Z1" s="42" t="s">
        <v>1216</v>
      </c>
      <c r="AA1" s="42" t="s">
        <v>1217</v>
      </c>
      <c r="AB1" s="42" t="s">
        <v>1218</v>
      </c>
      <c r="AC1" s="42" t="s">
        <v>1219</v>
      </c>
      <c r="AD1" s="42" t="s">
        <v>1220</v>
      </c>
      <c r="AE1" s="43" t="s">
        <v>1235</v>
      </c>
      <c r="AF1" s="43" t="s">
        <v>1236</v>
      </c>
      <c r="AG1" s="43" t="s">
        <v>1237</v>
      </c>
      <c r="AH1" s="43" t="s">
        <v>1238</v>
      </c>
      <c r="AI1" s="43" t="s">
        <v>1239</v>
      </c>
      <c r="AJ1" s="41" t="s">
        <v>1230</v>
      </c>
      <c r="AK1" s="41" t="s">
        <v>1231</v>
      </c>
      <c r="AL1" s="41" t="s">
        <v>1232</v>
      </c>
      <c r="AM1" s="41" t="s">
        <v>1233</v>
      </c>
      <c r="AN1" s="41" t="s">
        <v>1234</v>
      </c>
      <c r="AO1" s="42" t="s">
        <v>1205</v>
      </c>
      <c r="AP1" s="42" t="s">
        <v>1206</v>
      </c>
      <c r="AQ1" s="42" t="s">
        <v>1207</v>
      </c>
      <c r="AR1" s="43" t="s">
        <v>1240</v>
      </c>
      <c r="AS1" s="43" t="s">
        <v>1241</v>
      </c>
      <c r="AT1" s="41" t="s">
        <v>1242</v>
      </c>
      <c r="AU1" s="41" t="s">
        <v>1243</v>
      </c>
      <c r="AV1" s="41" t="s">
        <v>1244</v>
      </c>
      <c r="AW1" s="15" t="s">
        <v>1169</v>
      </c>
      <c r="AX1" s="15" t="s">
        <v>1209</v>
      </c>
      <c r="AY1" s="2" t="s">
        <v>1212</v>
      </c>
      <c r="AZ1" s="2" t="s">
        <v>1213</v>
      </c>
      <c r="BA1" s="244" t="s">
        <v>1178</v>
      </c>
      <c r="BB1" s="244" t="s">
        <v>1180</v>
      </c>
      <c r="BC1" s="244" t="s">
        <v>1545</v>
      </c>
      <c r="BD1" s="244" t="s">
        <v>1546</v>
      </c>
      <c r="BE1" s="2" t="s">
        <v>1198</v>
      </c>
      <c r="BF1" s="43" t="s">
        <v>1370</v>
      </c>
      <c r="BG1" s="43" t="s">
        <v>1371</v>
      </c>
      <c r="BH1" s="16" t="s">
        <v>1377</v>
      </c>
      <c r="BI1" s="16" t="s">
        <v>1380</v>
      </c>
      <c r="BJ1" s="41" t="s">
        <v>1372</v>
      </c>
      <c r="BK1" s="41" t="s">
        <v>1373</v>
      </c>
      <c r="BL1" s="69" t="s">
        <v>1383</v>
      </c>
      <c r="BM1" s="69" t="s">
        <v>1386</v>
      </c>
      <c r="BN1" s="41" t="s">
        <v>1374</v>
      </c>
      <c r="BO1" s="2" t="s">
        <v>1210</v>
      </c>
      <c r="BP1" s="2" t="s">
        <v>1211</v>
      </c>
      <c r="BQ1" s="16" t="s">
        <v>1375</v>
      </c>
      <c r="BR1" s="16" t="s">
        <v>1378</v>
      </c>
      <c r="BS1" s="69" t="s">
        <v>1381</v>
      </c>
      <c r="BT1" s="69" t="s">
        <v>1384</v>
      </c>
    </row>
    <row r="2" spans="1:72" customFormat="1" x14ac:dyDescent="0.25">
      <c r="A2" s="44" t="s">
        <v>12</v>
      </c>
      <c r="B2" s="42" t="s">
        <v>1071</v>
      </c>
      <c r="C2" s="42"/>
      <c r="D2" s="15">
        <f>IFERROR(((s_TR/(up_RadSpec!E2*s_IFS_rec_adj*(1/1000)))*1),".")</f>
        <v>3.3057851239669421E-8</v>
      </c>
      <c r="E2" s="15">
        <f>IFERROR(IF(A2="H-3",(s_TR/((up_RadSpec!F2*s_IFA_rec_adj*(1/17)*1000))*1),(s_TR/((up_RadSpec!F2*s_IFA_rec_adj*(1/s_PEF_wind)*1000))*1)),".")</f>
        <v>3.0899917851942918E-4</v>
      </c>
      <c r="F2" s="2">
        <f>IFERROR((s_TR/(up_RadSpec!G2*s_EF_rec*(1/365)*s_ED_rec*up_RadSpec!R2*s_ET_rec*(1/24)*up_RadSpec!W2)),".")</f>
        <v>1.6909254955570753E-4</v>
      </c>
      <c r="G2" s="2">
        <f>IFERROR((BO2/(up_RadSpec!AI2*((s_Q_p_game*s_f_p_game*s_f_s_game*(up_RadSpec!BD2+s_R_es_past))+(s_Q_s_game*s_f_p_game)))),".")</f>
        <v>7.5757575757575769E-12</v>
      </c>
      <c r="H2" s="2">
        <f>IFERROR((BO2/(up_RadSpec!AL2*((s_Q_p_fowl*s_f_p_fowl*s_f_s_fowl*(up_RadSpec!BD2+s_R_es_past))+(s_Q_s_fowl*s_f_p_fowl)))),".")</f>
        <v>7.5757575757575769E-12</v>
      </c>
      <c r="I2" s="244">
        <f>IFERROR(1/D2,0)</f>
        <v>30250000</v>
      </c>
      <c r="J2" s="244">
        <f t="shared" ref="J2:M17" si="0">IFERROR(1/E2,0)</f>
        <v>3236.2545583179349</v>
      </c>
      <c r="K2" s="244">
        <f t="shared" si="0"/>
        <v>5913.9211196916167</v>
      </c>
      <c r="L2" s="244">
        <f t="shared" si="0"/>
        <v>131999999999.99998</v>
      </c>
      <c r="M2" s="244">
        <f t="shared" si="0"/>
        <v>131999999999.99998</v>
      </c>
      <c r="N2" s="2">
        <f>IFERROR(1/SUM(I2:M2),0)</f>
        <v>3.7874446785707922E-12</v>
      </c>
      <c r="O2" s="40">
        <f t="shared" ref="O2:O30" si="1">s_C*s_IFS_rec_adj*(1/1000)</f>
        <v>302.5</v>
      </c>
      <c r="P2" s="40">
        <f t="shared" ref="P2:P30" si="2">s_C*s_IFA_rec_adj*(1/s_PEF_wind)*1000</f>
        <v>3.2362545583179352E-2</v>
      </c>
      <c r="Q2" s="40">
        <f>IFERROR((s_C*s_EF_rec*(1/365)*s_ED_rec*up_RadSpec!R2*s_ET_rec*(1/24)*up_RadSpec!W2),".")</f>
        <v>5.9139211196916168E-2</v>
      </c>
      <c r="R2" s="19">
        <f>IFERROR((s_C*s_IRGL_rec*s_EF_rec*s_ED_rec*s_CF_game*up_RadSpec!AI2)*((s_Q_p_game*s_f_p_game*s_f_s_game*(up_RadSpec!BD2+s_R_es_past))+(s_Q_s_game*s_f_p_game)),".")</f>
        <v>1320000</v>
      </c>
      <c r="S2" s="19">
        <f>IFERROR((s_C*s_IRGF_rec*s_EF_rec*s_ED_rec*s_CF_fowl*up_RadSpec!AL2)*((s_Q_p_fowl*s_f_p_fowl*s_f_s_fowl*(up_RadSpec!BD2+s_R_es_past))+(s_Q_s_fowl*s_f_p_fowl)),0)</f>
        <v>1320000</v>
      </c>
      <c r="T2" s="18"/>
      <c r="U2" s="18"/>
      <c r="V2" s="18"/>
      <c r="W2" s="5"/>
      <c r="X2" s="5"/>
      <c r="Y2" s="5"/>
      <c r="Z2" s="15">
        <f>IFERROR((s_TR/(up_RadSpec!G2*s_EF_rec*(1/365)*s_ED_rec*up_RadSpec!R2*s_ET_rec*(1/24)*up_RadSpec!W2)),".")</f>
        <v>1.6909254955570753E-4</v>
      </c>
      <c r="AA2" s="15">
        <f>IFERROR((s_TR/(up_RadSpec!N2*s_EF_rec*(1/365)*s_ED_rec*up_RadSpec!S2*s_ET_rec*(1/24)*up_RadSpec!X2)),".")</f>
        <v>3.4189433603046168E-4</v>
      </c>
      <c r="AB2" s="15">
        <f>IFERROR((s_TR/(up_RadSpec!O2*s_EF_rec*(1/365)*s_ED_rec*up_RadSpec!T2*s_ET_rec*(1/24)*up_RadSpec!Y2)),".")</f>
        <v>2.3221070518266771E-4</v>
      </c>
      <c r="AC2" s="15">
        <f>IFERROR((s_TR/(up_RadSpec!P2*s_EF_rec*(1/365)*s_ED_rec*up_RadSpec!U2*s_ET_rec*(1/24)*up_RadSpec!Z2)),".")</f>
        <v>1.9301841948900773E-4</v>
      </c>
      <c r="AD2" s="15">
        <f>IFERROR((s_TR/(up_RadSpec!L2*s_EF_rec*(1/365)*s_ED_rec*up_RadSpec!Q2*s_ET_rec*(1/24)*up_RadSpec!V2)),".")</f>
        <v>2.7055190009399764E-3</v>
      </c>
      <c r="AE2" s="40">
        <f>IFERROR((s_C*s_EF_rec*(1/365)*s_ED_rec*up_RadSpec!R2*s_ET_rec*(1/24)*up_RadSpec!W2),".")</f>
        <v>5.9139211196916168E-2</v>
      </c>
      <c r="AF2" s="40">
        <f>IFERROR((s_C*s_EF_rec*(1/365)*s_ED_rec*up_RadSpec!S2*s_ET_rec*(1/24)*up_RadSpec!X2),".")</f>
        <v>2.9248802762000228E-2</v>
      </c>
      <c r="AG2" s="40">
        <f>IFERROR((s_C*s_EF_rec*(1/365)*s_ED_rec*up_RadSpec!T2*s_ET_rec*(1/24)*up_RadSpec!Y2),".")</f>
        <v>4.3064336728720308E-2</v>
      </c>
      <c r="AH2" s="40">
        <f>IFERROR((s_C*s_EF_rec*(1/365)*s_ED_rec*up_RadSpec!U2*s_ET_rec*(1/24)*up_RadSpec!Z2),".")</f>
        <v>5.1808527012467298E-2</v>
      </c>
      <c r="AI2" s="40">
        <f>IFERROR((s_C*s_EF_rec*(1/365)*s_ED_rec*up_RadSpec!Q2*s_ET_rec*(1/24)*up_RadSpec!V2),".")</f>
        <v>3.6961485010919191E-3</v>
      </c>
      <c r="AJ2" s="18"/>
      <c r="AK2" s="18"/>
      <c r="AL2" s="18"/>
      <c r="AM2" s="18"/>
      <c r="AN2" s="18"/>
      <c r="AO2" s="15">
        <f>IFERROR((s_TR/(up_RadSpec!F2*s_IFA_rec_adj)),".")</f>
        <v>9.9740259740259755E-10</v>
      </c>
      <c r="AP2" s="15">
        <f>IFERROR((s_TR/(up_RadSpec!K2*s_EF_rec*(1/365)*s_ED_rec*s_ET_rec*(1/24)*s_GSF_a)),".")</f>
        <v>6.3709090909090908E-6</v>
      </c>
      <c r="AQ2" s="15">
        <f>IFERROR(IF(AND(AO2&lt;&gt;".",AP2&lt;&gt;"."),1/((1/AO2)+(1/AP2)),IF(AND(AO2&lt;&gt;".",AP2="."),1/((1/AO2)),IF(AND(AO2=".",AP2&lt;&gt;"."),1/((1/AP2)),IF(AND(AO2=".",AP2="."),".")))),".")</f>
        <v>9.9724647271019672E-10</v>
      </c>
      <c r="AR2" s="40">
        <f t="shared" ref="AR2:AR30" si="3">s_C*s_IFA_rec_adj</f>
        <v>10026.041666666666</v>
      </c>
      <c r="AS2" s="40">
        <f t="shared" ref="AS2:AS30" si="4">IFERROR((s_C*s_EF_rec*(1/365)*s_ED_rec*s_ET_rec*(1/24)*s_GSF_a),".")</f>
        <v>1.5696347031963471</v>
      </c>
      <c r="AT2" s="45"/>
      <c r="AU2" s="45"/>
      <c r="AV2" s="45"/>
      <c r="AW2" s="15">
        <f>IFERROR((s_TR/(up_RadSpec!I2*s_IFW_rec_adj)),".")</f>
        <v>2.272727272727273E-10</v>
      </c>
      <c r="AX2" s="15">
        <f>IFERROR((s_TR/(up_RadSpec!M2*(1/8760)*s_DFA_rec_adj)),".")</f>
        <v>3.9818181818181825E-6</v>
      </c>
      <c r="AY2" s="2">
        <f>IFERROR(BO2/(up_RadSpec!AI2*s_Q_w_game*(1/1000)),".")</f>
        <v>1.8181818181818183E-7</v>
      </c>
      <c r="AZ2" s="2">
        <f>IFERROR(BO2/(up_RadSpec!AL2*s_Q_w_fowl*(1/1000)),".")</f>
        <v>1.8181818181818183E-7</v>
      </c>
      <c r="BA2" s="244">
        <f t="shared" ref="BA2:BD31" si="5">IFERROR(1/AW2,0)</f>
        <v>4399999999.999999</v>
      </c>
      <c r="BB2" s="244">
        <f t="shared" si="5"/>
        <v>251141.55251141547</v>
      </c>
      <c r="BC2" s="244">
        <f t="shared" si="5"/>
        <v>5500000</v>
      </c>
      <c r="BD2" s="244">
        <f t="shared" si="5"/>
        <v>5500000</v>
      </c>
      <c r="BE2" s="2">
        <f>IFERROR(1/SUM(BA2:BD2),0)</f>
        <v>2.2669305553255277E-10</v>
      </c>
      <c r="BF2" s="40">
        <f t="shared" ref="BF2:BF30" si="6">s_C*s_IFW_rec_adj</f>
        <v>44000</v>
      </c>
      <c r="BG2" s="40">
        <f t="shared" ref="BG2:BG30" si="7">s_C*(1/8760)*s_DFA_rec_adj</f>
        <v>2.5114155251141552</v>
      </c>
      <c r="BH2" s="19">
        <f>IFERROR(s_C*up_RadSpec!AI2*s_Q_w_game*(1/1000)*s_EF_rec*s_ED_rec*s_IRGL_rec*s_CF_game,".")</f>
        <v>55</v>
      </c>
      <c r="BI2" s="19">
        <f>IFERROR(s_C*up_RadSpec!AL2*s_Q_w_fowl*(1/1000)*s_EF_rec*s_ED_rec*s_IRGL_rec*s_CF_fowl,0)</f>
        <v>55</v>
      </c>
      <c r="BJ2" s="18"/>
      <c r="BK2" s="18"/>
      <c r="BL2" s="5"/>
      <c r="BM2" s="5"/>
      <c r="BN2" s="18"/>
      <c r="BO2" s="2">
        <f>IFERROR(s_TR/(up_RadSpec!H2*s_EF_rec*s_ED_rec*s_IRGL_rec*s_CF_game),".")</f>
        <v>1.8181818181818184E-9</v>
      </c>
      <c r="BP2" s="2">
        <f>IFERROR(s_TR/(up_RadSpec!H2*s_EF_rec*s_ED_rec*s_IRGF_rec*s_CF_fowl),".")</f>
        <v>1.8181818181818184E-9</v>
      </c>
      <c r="BQ2" s="19">
        <f t="shared" ref="BQ2:BQ30" si="8">IFERROR(s_C*s_EF_rec*s_ED_rec*s_IRGL_rec*s_CF_game,".")</f>
        <v>5500</v>
      </c>
      <c r="BR2" s="19">
        <f t="shared" ref="BR2:BR30" si="9">IFERROR(s_C*s_EF_rec*s_ED_rec*s_IRGF_rec*s_CF_fowl,".")</f>
        <v>5500</v>
      </c>
      <c r="BS2" s="5"/>
      <c r="BT2" s="5"/>
    </row>
    <row r="3" spans="1:72" x14ac:dyDescent="0.25">
      <c r="A3" s="46" t="s">
        <v>13</v>
      </c>
      <c r="B3" s="42" t="s">
        <v>349</v>
      </c>
      <c r="C3" s="42"/>
      <c r="D3" s="15">
        <f>IFERROR(((s_TR/(up_RadSpec!E3*s_IFS_rec_adj*(1/1000)))*1),".")</f>
        <v>3.3057851239669421E-8</v>
      </c>
      <c r="E3" s="15">
        <f>IFERROR(IF(A3="H-3",(s_TR/((up_RadSpec!F3*s_IFA_rec_adj*(1/17)*1000))*1),(s_TR/((up_RadSpec!F3*s_IFA_rec_adj*(1/s_PEF_wind)*1000))*1)),".")</f>
        <v>3.0899917851942918E-4</v>
      </c>
      <c r="F3" s="2">
        <f>IFERROR((s_TR/(up_RadSpec!G3*s_EF_rec*(1/365)*s_ED_rec*up_RadSpec!R3*s_ET_rec*(1/24)*up_RadSpec!W3)),".")</f>
        <v>2.2184415584415595E-2</v>
      </c>
      <c r="G3" s="2">
        <f>IFERROR((BO3/(up_RadSpec!AI3*((s_Q_p_game*s_f_p_game*s_f_s_game*(up_RadSpec!BD3+s_R_es_past))+(s_Q_s_game*s_f_p_game)))),".")</f>
        <v>7.5757575757575769E-12</v>
      </c>
      <c r="H3" s="2">
        <f>IFERROR((BO3/(up_RadSpec!AL3*((s_Q_p_fowl*s_f_p_fowl*s_f_s_fowl*(up_RadSpec!BD3+s_R_es_past))+(s_Q_s_fowl*s_f_p_fowl)))),".")</f>
        <v>7.5757575757575769E-12</v>
      </c>
      <c r="I3" s="244">
        <f t="shared" ref="I3:M65" si="10">IFERROR(1/D3,0)</f>
        <v>30250000</v>
      </c>
      <c r="J3" s="244">
        <f t="shared" si="0"/>
        <v>3236.2545583179349</v>
      </c>
      <c r="K3" s="244">
        <f t="shared" si="0"/>
        <v>45.076688912305329</v>
      </c>
      <c r="L3" s="244">
        <f t="shared" si="0"/>
        <v>131999999999.99998</v>
      </c>
      <c r="M3" s="244">
        <f t="shared" si="0"/>
        <v>131999999999.99998</v>
      </c>
      <c r="N3" s="2">
        <f t="shared" ref="N3:N30" si="11">IFERROR(1/SUM(I3:M3),0)</f>
        <v>3.7874447627578245E-12</v>
      </c>
      <c r="O3" s="40">
        <f t="shared" si="1"/>
        <v>302.5</v>
      </c>
      <c r="P3" s="40">
        <f t="shared" si="2"/>
        <v>3.2362545583179352E-2</v>
      </c>
      <c r="Q3" s="40">
        <f>IFERROR((s_C*s_EF_rec*(1/365)*s_ED_rec*up_RadSpec!R3*s_ET_rec*(1/24)*up_RadSpec!W3),".")</f>
        <v>4.507668891230533E-4</v>
      </c>
      <c r="R3" s="19">
        <f>IFERROR((s_C*s_IRGL_rec*s_EF_rec*s_ED_rec*s_CF_game*up_RadSpec!AI3)*((s_Q_p_game*s_f_p_game*s_f_s_game*(up_RadSpec!BD3+s_R_es_past))+(s_Q_s_game*s_f_p_game)),".")</f>
        <v>1320000</v>
      </c>
      <c r="S3" s="19">
        <f>IFERROR((s_C*s_IRGF_rec*s_EF_rec*s_ED_rec*s_CF_fowl*up_RadSpec!AL3)*((s_Q_p_fowl*s_f_p_fowl*s_f_s_fowl*(up_RadSpec!BD3+s_R_es_past))+(s_Q_s_fowl*s_f_p_fowl)),0)</f>
        <v>1320000</v>
      </c>
      <c r="T3" s="18"/>
      <c r="U3" s="18"/>
      <c r="V3" s="18"/>
      <c r="W3" s="5"/>
      <c r="X3" s="5"/>
      <c r="Y3" s="18"/>
      <c r="Z3" s="15">
        <f>IFERROR((s_TR/(up_RadSpec!G3*s_EF_rec*(1/365)*s_ED_rec*up_RadSpec!R3*s_ET_rec*(1/24)*up_RadSpec!W3)),".")</f>
        <v>2.2184415584415595E-2</v>
      </c>
      <c r="AA3" s="15">
        <f>IFERROR((s_TR/(up_RadSpec!N3*s_EF_rec*(1/365)*s_ED_rec*up_RadSpec!S3*s_ET_rec*(1/24)*up_RadSpec!X3)),".")</f>
        <v>3.1106175132324276E-2</v>
      </c>
      <c r="AB3" s="15">
        <f>IFERROR((s_TR/(up_RadSpec!O3*s_EF_rec*(1/365)*s_ED_rec*up_RadSpec!T3*s_ET_rec*(1/24)*up_RadSpec!Y3)),".")</f>
        <v>2.3582923154193879E-2</v>
      </c>
      <c r="AC3" s="15">
        <f>IFERROR((s_TR/(up_RadSpec!P3*s_EF_rec*(1/365)*s_ED_rec*up_RadSpec!U3*s_ET_rec*(1/24)*up_RadSpec!Z3)),".")</f>
        <v>2.4309683536802174E-2</v>
      </c>
      <c r="AD3" s="15">
        <f>IFERROR((s_TR/(up_RadSpec!L3*s_EF_rec*(1/365)*s_ED_rec*up_RadSpec!Q3*s_ET_rec*(1/24)*up_RadSpec!V3)),".")</f>
        <v>4.8228185429946425E-2</v>
      </c>
      <c r="AE3" s="40">
        <f>IFERROR((s_C*s_EF_rec*(1/365)*s_ED_rec*up_RadSpec!R3*s_ET_rec*(1/24)*up_RadSpec!W3),".")</f>
        <v>4.507668891230533E-4</v>
      </c>
      <c r="AF3" s="40">
        <f>IFERROR((s_C*s_EF_rec*(1/365)*s_ED_rec*up_RadSpec!S3*s_ET_rec*(1/24)*up_RadSpec!X3),".")</f>
        <v>3.2147957624042327E-4</v>
      </c>
      <c r="AG3" s="40">
        <f>IFERROR((s_C*s_EF_rec*(1/365)*s_ED_rec*up_RadSpec!T3*s_ET_rec*(1/24)*up_RadSpec!Y3),".")</f>
        <v>4.2403564369931159E-4</v>
      </c>
      <c r="AH3" s="40">
        <f>IFERROR((s_C*s_EF_rec*(1/365)*s_ED_rec*up_RadSpec!U3*s_ET_rec*(1/24)*up_RadSpec!Z3),".")</f>
        <v>4.1135870752332526E-4</v>
      </c>
      <c r="AI3" s="40">
        <f>IFERROR((s_C*s_EF_rec*(1/365)*s_ED_rec*up_RadSpec!Q3*s_ET_rec*(1/24)*up_RadSpec!V3),".")</f>
        <v>2.0734763107613583E-4</v>
      </c>
      <c r="AJ3" s="18"/>
      <c r="AK3" s="18"/>
      <c r="AL3" s="18"/>
      <c r="AM3" s="18"/>
      <c r="AN3" s="18"/>
      <c r="AO3" s="15">
        <f>IFERROR((s_TR/(up_RadSpec!F3*s_IFA_rec_adj)),".")</f>
        <v>9.9740259740259755E-10</v>
      </c>
      <c r="AP3" s="15">
        <f>IFERROR((s_TR/(up_RadSpec!K3*s_EF_rec*(1/365)*s_ED_rec*s_ET_rec*(1/24)*s_GSF_a)),".")</f>
        <v>6.3709090909090908E-6</v>
      </c>
      <c r="AQ3" s="15">
        <f>IFERROR(IF(AND(AO3&lt;&gt;".",AP3&lt;&gt;"."),1/((1/AO3)+(1/AP3)),IF(AND(AO3&lt;&gt;".",AP3="."),1/((1/AO3)),IF(AND(AO3=".",AP3&lt;&gt;"."),1/((1/AP3)),IF(AND(AO3=".",AP3="."),".")))),".")</f>
        <v>9.9724647271019672E-10</v>
      </c>
      <c r="AR3" s="40">
        <f t="shared" si="3"/>
        <v>10026.041666666666</v>
      </c>
      <c r="AS3" s="40">
        <f t="shared" si="4"/>
        <v>1.5696347031963471</v>
      </c>
      <c r="AT3" s="45"/>
      <c r="AU3" s="45"/>
      <c r="AV3" s="45"/>
      <c r="AW3" s="15">
        <f>IFERROR((s_TR/(up_RadSpec!I3*s_IFW_rec_adj)),".")</f>
        <v>2.272727272727273E-10</v>
      </c>
      <c r="AX3" s="15">
        <f>IFERROR((s_TR/(up_RadSpec!M3*(1/8760)*s_DFA_rec_adj)),".")</f>
        <v>3.9818181818181825E-6</v>
      </c>
      <c r="AY3" s="2">
        <f>IFERROR(BO3/(up_RadSpec!AI3*s_Q_w_game*(1/1000)),".")</f>
        <v>1.8181818181818183E-7</v>
      </c>
      <c r="AZ3" s="2">
        <f>IFERROR(BO3/(up_RadSpec!AL3*s_Q_w_fowl*(1/1000)),".")</f>
        <v>1.8181818181818183E-7</v>
      </c>
      <c r="BA3" s="244">
        <f t="shared" si="5"/>
        <v>4399999999.999999</v>
      </c>
      <c r="BB3" s="244">
        <f t="shared" si="5"/>
        <v>251141.55251141547</v>
      </c>
      <c r="BC3" s="244">
        <f t="shared" si="5"/>
        <v>5500000</v>
      </c>
      <c r="BD3" s="244">
        <f t="shared" si="5"/>
        <v>5500000</v>
      </c>
      <c r="BE3" s="2">
        <f t="shared" ref="BE3:BE29" si="12">IFERROR(1/SUM(BA3:BD3),0)</f>
        <v>2.2669305553255277E-10</v>
      </c>
      <c r="BF3" s="40">
        <f t="shared" si="6"/>
        <v>44000</v>
      </c>
      <c r="BG3" s="40">
        <f t="shared" si="7"/>
        <v>2.5114155251141552</v>
      </c>
      <c r="BH3" s="19">
        <f>IFERROR(s_C*up_RadSpec!AI3*s_Q_w_game*(1/1000)*s_EF_rec*s_ED_rec*s_IRGL_rec*s_CF_game,".")</f>
        <v>55</v>
      </c>
      <c r="BI3" s="19">
        <f>IFERROR(s_C*up_RadSpec!AL3*s_Q_w_fowl*(1/1000)*s_EF_rec*s_ED_rec*s_IRGL_rec*s_CF_fowl,0)</f>
        <v>55</v>
      </c>
      <c r="BJ3" s="18"/>
      <c r="BK3" s="18"/>
      <c r="BL3" s="5"/>
      <c r="BM3" s="5"/>
      <c r="BN3" s="18"/>
      <c r="BO3" s="2">
        <f>IFERROR(s_TR/(up_RadSpec!H3*s_EF_rec*s_ED_rec*s_IRGL_rec*s_CF_game),".")</f>
        <v>1.8181818181818184E-9</v>
      </c>
      <c r="BP3" s="2">
        <f>IFERROR(s_TR/(up_RadSpec!H3*s_EF_rec*s_ED_rec*s_IRGF_rec*s_CF_fowl),".")</f>
        <v>1.8181818181818184E-9</v>
      </c>
      <c r="BQ3" s="19">
        <f t="shared" si="8"/>
        <v>5500</v>
      </c>
      <c r="BR3" s="19">
        <f t="shared" si="9"/>
        <v>5500</v>
      </c>
      <c r="BS3" s="5"/>
      <c r="BT3" s="5"/>
    </row>
    <row r="4" spans="1:72" customFormat="1" x14ac:dyDescent="0.25">
      <c r="A4" s="44" t="s">
        <v>14</v>
      </c>
      <c r="B4" s="42" t="s">
        <v>1071</v>
      </c>
      <c r="C4" s="42"/>
      <c r="D4" s="15">
        <f>IFERROR(((s_TR/(up_RadSpec!E4*s_IFS_rec_adj*(1/1000)))*1),".")</f>
        <v>3.3057851239669421E-8</v>
      </c>
      <c r="E4" s="15">
        <f>IFERROR(IF(A4="H-3",(s_TR/((up_RadSpec!F4*s_IFA_rec_adj*(1/17)*1000))*1),(s_TR/((up_RadSpec!F4*s_IFA_rec_adj*(1/s_PEF_wind)*1000))*1)),".")</f>
        <v>3.0899917851942918E-4</v>
      </c>
      <c r="F4" s="2">
        <f>IFERROR((s_TR/(up_RadSpec!G4*s_EF_rec*(1/365)*s_ED_rec*up_RadSpec!R4*s_ET_rec*(1/24)*up_RadSpec!W4)),".")</f>
        <v>8.2585858585858629E-5</v>
      </c>
      <c r="G4" s="2">
        <f>IFERROR((BO4/(up_RadSpec!AI4*((s_Q_p_game*s_f_p_game*s_f_s_game*(up_RadSpec!BD4+s_R_es_past))+(s_Q_s_game*s_f_p_game)))),".")</f>
        <v>7.5757575757575769E-12</v>
      </c>
      <c r="H4" s="2">
        <f>IFERROR((BO4/(up_RadSpec!AL4*((s_Q_p_fowl*s_f_p_fowl*s_f_s_fowl*(up_RadSpec!BD4+s_R_es_past))+(s_Q_s_fowl*s_f_p_fowl)))),".")</f>
        <v>7.5757575757575769E-12</v>
      </c>
      <c r="I4" s="244">
        <f t="shared" si="10"/>
        <v>30250000</v>
      </c>
      <c r="J4" s="244">
        <f t="shared" si="0"/>
        <v>3236.2545583179349</v>
      </c>
      <c r="K4" s="244">
        <f t="shared" si="0"/>
        <v>12108.61056751467</v>
      </c>
      <c r="L4" s="244">
        <f t="shared" si="0"/>
        <v>131999999999.99998</v>
      </c>
      <c r="M4" s="244">
        <f t="shared" si="0"/>
        <v>131999999999.99998</v>
      </c>
      <c r="N4" s="2">
        <f t="shared" si="11"/>
        <v>3.7874445897096023E-12</v>
      </c>
      <c r="O4" s="40">
        <f t="shared" si="1"/>
        <v>302.5</v>
      </c>
      <c r="P4" s="40">
        <f t="shared" si="2"/>
        <v>3.2362545583179352E-2</v>
      </c>
      <c r="Q4" s="40">
        <f>IFERROR((s_C*s_EF_rec*(1/365)*s_ED_rec*up_RadSpec!R4*s_ET_rec*(1/24)*up_RadSpec!W4),".")</f>
        <v>0.12108610567514672</v>
      </c>
      <c r="R4" s="19">
        <f>IFERROR((s_C*s_IRGL_rec*s_EF_rec*s_ED_rec*s_CF_game*up_RadSpec!AI4)*((s_Q_p_game*s_f_p_game*s_f_s_game*(up_RadSpec!BD4+s_R_es_past))+(s_Q_s_game*s_f_p_game)),".")</f>
        <v>1320000</v>
      </c>
      <c r="S4" s="19">
        <f>IFERROR((s_C*s_IRGF_rec*s_EF_rec*s_ED_rec*s_CF_fowl*up_RadSpec!AL4)*((s_Q_p_fowl*s_f_p_fowl*s_f_s_fowl*(up_RadSpec!BD4+s_R_es_past))+(s_Q_s_fowl*s_f_p_fowl)),0)</f>
        <v>1320000</v>
      </c>
      <c r="T4" s="18"/>
      <c r="U4" s="18"/>
      <c r="V4" s="18"/>
      <c r="W4" s="5"/>
      <c r="X4" s="5"/>
      <c r="Y4" s="18"/>
      <c r="Z4" s="15">
        <f>IFERROR((s_TR/(up_RadSpec!G4*s_EF_rec*(1/365)*s_ED_rec*up_RadSpec!R4*s_ET_rec*(1/24)*up_RadSpec!W4)),".")</f>
        <v>8.2585858585858629E-5</v>
      </c>
      <c r="AA4" s="15">
        <f>IFERROR((s_TR/(up_RadSpec!N4*s_EF_rec*(1/365)*s_ED_rec*up_RadSpec!S4*s_ET_rec*(1/24)*up_RadSpec!X4)),".")</f>
        <v>1.3476923076923084E-4</v>
      </c>
      <c r="AB4" s="15">
        <f>IFERROR((s_TR/(up_RadSpec!O4*s_EF_rec*(1/365)*s_ED_rec*up_RadSpec!T4*s_ET_rec*(1/24)*up_RadSpec!Y4)),".")</f>
        <v>9.6948616600790494E-5</v>
      </c>
      <c r="AC4" s="15">
        <f>IFERROR((s_TR/(up_RadSpec!P4*s_EF_rec*(1/365)*s_ED_rec*up_RadSpec!U4*s_ET_rec*(1/24)*up_RadSpec!Z4)),".")</f>
        <v>8.4393416567329625E-5</v>
      </c>
      <c r="AD4" s="15">
        <f>IFERROR((s_TR/(up_RadSpec!L4*s_EF_rec*(1/365)*s_ED_rec*up_RadSpec!Q4*s_ET_rec*(1/24)*up_RadSpec!V4)),".")</f>
        <v>2.4888664733324921E-4</v>
      </c>
      <c r="AE4" s="40">
        <f>IFERROR((s_C*s_EF_rec*(1/365)*s_ED_rec*up_RadSpec!R4*s_ET_rec*(1/24)*up_RadSpec!W4),".")</f>
        <v>0.12108610567514672</v>
      </c>
      <c r="AF4" s="40">
        <f>IFERROR((s_C*s_EF_rec*(1/365)*s_ED_rec*up_RadSpec!S4*s_ET_rec*(1/24)*up_RadSpec!X4),".")</f>
        <v>7.4200913242009101E-2</v>
      </c>
      <c r="AG4" s="40">
        <f>IFERROR((s_C*s_EF_rec*(1/365)*s_ED_rec*up_RadSpec!T4*s_ET_rec*(1/24)*up_RadSpec!Y4),".")</f>
        <v>0.10314742335290283</v>
      </c>
      <c r="AH4" s="40">
        <f>IFERROR((s_C*s_EF_rec*(1/365)*s_ED_rec*up_RadSpec!U4*s_ET_rec*(1/24)*up_RadSpec!Z4),".")</f>
        <v>0.1184926550760264</v>
      </c>
      <c r="AI4" s="40">
        <f>IFERROR((s_C*s_EF_rec*(1/365)*s_ED_rec*up_RadSpec!Q4*s_ET_rec*(1/24)*up_RadSpec!V4),".")</f>
        <v>4.0178933290102956E-2</v>
      </c>
      <c r="AJ4" s="18"/>
      <c r="AK4" s="18"/>
      <c r="AL4" s="18"/>
      <c r="AM4" s="18"/>
      <c r="AN4" s="18"/>
      <c r="AO4" s="15">
        <f>IFERROR((s_TR/(up_RadSpec!F4*s_IFA_rec_adj)),".")</f>
        <v>9.9740259740259755E-10</v>
      </c>
      <c r="AP4" s="15">
        <f>IFERROR((s_TR/(up_RadSpec!K4*s_EF_rec*(1/365)*s_ED_rec*s_ET_rec*(1/24)*s_GSF_a)),".")</f>
        <v>6.3709090909090908E-6</v>
      </c>
      <c r="AQ4" s="15">
        <f t="shared" ref="AQ4:AQ16" si="13">IFERROR(IF(AND(AO4&lt;&gt;".",AP4&lt;&gt;"."),1/((1/AO4)+(1/AP4)),IF(AND(AO4&lt;&gt;".",AP4="."),1/((1/AO4)),IF(AND(AO4=".",AP4&lt;&gt;"."),1/((1/AP4)),IF(AND(AO4=".",AP4="."),".")))),".")</f>
        <v>9.9724647271019672E-10</v>
      </c>
      <c r="AR4" s="40">
        <f t="shared" si="3"/>
        <v>10026.041666666666</v>
      </c>
      <c r="AS4" s="40">
        <f t="shared" si="4"/>
        <v>1.5696347031963471</v>
      </c>
      <c r="AT4" s="45"/>
      <c r="AU4" s="45"/>
      <c r="AV4" s="45"/>
      <c r="AW4" s="15">
        <f>IFERROR((s_TR/(up_RadSpec!I4*s_IFW_rec_adj)),".")</f>
        <v>2.272727272727273E-10</v>
      </c>
      <c r="AX4" s="15">
        <f>IFERROR((s_TR/(up_RadSpec!M4*(1/8760)*s_DFA_rec_adj)),".")</f>
        <v>3.9818181818181825E-6</v>
      </c>
      <c r="AY4" s="2">
        <f>IFERROR(BO4/(up_RadSpec!AI4*s_Q_w_game*(1/1000)),".")</f>
        <v>1.8181818181818183E-7</v>
      </c>
      <c r="AZ4" s="2">
        <f>IFERROR(BO4/(up_RadSpec!AL4*s_Q_w_fowl*(1/1000)),".")</f>
        <v>1.8181818181818183E-7</v>
      </c>
      <c r="BA4" s="244">
        <f t="shared" si="5"/>
        <v>4399999999.999999</v>
      </c>
      <c r="BB4" s="244">
        <f t="shared" si="5"/>
        <v>251141.55251141547</v>
      </c>
      <c r="BC4" s="244">
        <f t="shared" si="5"/>
        <v>5500000</v>
      </c>
      <c r="BD4" s="244">
        <f t="shared" si="5"/>
        <v>5500000</v>
      </c>
      <c r="BE4" s="2">
        <f t="shared" si="12"/>
        <v>2.2669305553255277E-10</v>
      </c>
      <c r="BF4" s="40">
        <f t="shared" si="6"/>
        <v>44000</v>
      </c>
      <c r="BG4" s="40">
        <f t="shared" si="7"/>
        <v>2.5114155251141552</v>
      </c>
      <c r="BH4" s="19">
        <f>IFERROR(s_C*up_RadSpec!AI4*s_Q_w_game*(1/1000)*s_EF_rec*s_ED_rec*s_IRGL_rec*s_CF_game,".")</f>
        <v>55</v>
      </c>
      <c r="BI4" s="19">
        <f>IFERROR(s_C*up_RadSpec!AL4*s_Q_w_fowl*(1/1000)*s_EF_rec*s_ED_rec*s_IRGL_rec*s_CF_fowl,0)</f>
        <v>55</v>
      </c>
      <c r="BJ4" s="18"/>
      <c r="BK4" s="18"/>
      <c r="BL4" s="5"/>
      <c r="BM4" s="5"/>
      <c r="BN4" s="18"/>
      <c r="BO4" s="2">
        <f>IFERROR(s_TR/(up_RadSpec!H4*s_EF_rec*s_ED_rec*s_IRGL_rec*s_CF_game),".")</f>
        <v>1.8181818181818184E-9</v>
      </c>
      <c r="BP4" s="2">
        <f>IFERROR(s_TR/(up_RadSpec!H4*s_EF_rec*s_ED_rec*s_IRGF_rec*s_CF_fowl),".")</f>
        <v>1.8181818181818184E-9</v>
      </c>
      <c r="BQ4" s="19">
        <f t="shared" si="8"/>
        <v>5500</v>
      </c>
      <c r="BR4" s="19">
        <f t="shared" si="9"/>
        <v>5500</v>
      </c>
      <c r="BS4" s="5"/>
      <c r="BT4" s="5"/>
    </row>
    <row r="5" spans="1:72" customFormat="1" x14ac:dyDescent="0.25">
      <c r="A5" s="44" t="s">
        <v>15</v>
      </c>
      <c r="B5" s="42" t="s">
        <v>1071</v>
      </c>
      <c r="C5" s="249"/>
      <c r="D5" s="15">
        <f>IFERROR(((s_TR/(up_RadSpec!E5*s_IFS_rec_adj*(1/1000)))*1),".")</f>
        <v>3.3057851239669421E-8</v>
      </c>
      <c r="E5" s="15">
        <f>IFERROR(IF(A5="H-3",(s_TR/((up_RadSpec!F5*s_IFA_rec_adj*(1/17)*1000))*1),(s_TR/((up_RadSpec!F5*s_IFA_rec_adj*(1/s_PEF_wind)*1000))*1)),".")</f>
        <v>3.0899917851942918E-4</v>
      </c>
      <c r="F5" s="2" t="str">
        <f>IFERROR((s_TR/(up_RadSpec!G5*s_EF_rec*(1/365)*s_ED_rec*up_RadSpec!R5*s_ET_rec*(1/24)*up_RadSpec!W5)),".")</f>
        <v>.</v>
      </c>
      <c r="G5" s="2">
        <f>IFERROR((BO5/(up_RadSpec!AI5*((s_Q_p_game*s_f_p_game*s_f_s_game*(up_RadSpec!BD5+s_R_es_past))+(s_Q_s_game*s_f_p_game)))),".")</f>
        <v>7.5757575757575769E-12</v>
      </c>
      <c r="H5" s="2">
        <f>IFERROR((BO5/(up_RadSpec!AL5*((s_Q_p_fowl*s_f_p_fowl*s_f_s_fowl*(up_RadSpec!BD5+s_R_es_past))+(s_Q_s_fowl*s_f_p_fowl)))),".")</f>
        <v>7.5757575757575769E-12</v>
      </c>
      <c r="I5" s="244">
        <f t="shared" si="10"/>
        <v>30250000</v>
      </c>
      <c r="J5" s="244">
        <f t="shared" si="0"/>
        <v>3236.2545583179349</v>
      </c>
      <c r="K5" s="244">
        <f t="shared" si="0"/>
        <v>0</v>
      </c>
      <c r="L5" s="244">
        <f t="shared" si="0"/>
        <v>131999999999.99998</v>
      </c>
      <c r="M5" s="244">
        <f t="shared" si="0"/>
        <v>131999999999.99998</v>
      </c>
      <c r="N5" s="2">
        <f t="shared" si="11"/>
        <v>3.787444763404439E-12</v>
      </c>
      <c r="O5" s="40">
        <f t="shared" si="1"/>
        <v>302.5</v>
      </c>
      <c r="P5" s="40">
        <f t="shared" si="2"/>
        <v>3.2362545583179352E-2</v>
      </c>
      <c r="Q5" s="40">
        <f>IFERROR((s_C*s_EF_rec*(1/365)*s_ED_rec*up_RadSpec!R5*s_ET_rec*(1/24)*up_RadSpec!W5),".")</f>
        <v>0</v>
      </c>
      <c r="R5" s="19">
        <f>IFERROR((s_C*s_IRGL_rec*s_EF_rec*s_ED_rec*s_CF_game*up_RadSpec!AI5)*((s_Q_p_game*s_f_p_game*s_f_s_game*(up_RadSpec!BD5+s_R_es_past))+(s_Q_s_game*s_f_p_game)),".")</f>
        <v>1320000</v>
      </c>
      <c r="S5" s="19">
        <f>IFERROR((s_C*s_IRGF_rec*s_EF_rec*s_ED_rec*s_CF_fowl*up_RadSpec!AL5)*((s_Q_p_fowl*s_f_p_fowl*s_f_s_fowl*(up_RadSpec!BD5+s_R_es_past))+(s_Q_s_fowl*s_f_p_fowl)),0)</f>
        <v>1320000</v>
      </c>
      <c r="T5" s="18"/>
      <c r="U5" s="18"/>
      <c r="V5" s="18"/>
      <c r="W5" s="5"/>
      <c r="X5" s="5"/>
      <c r="Y5" s="18"/>
      <c r="Z5" s="15" t="str">
        <f>IFERROR((s_TR/(up_RadSpec!G5*s_EF_rec*(1/365)*s_ED_rec*up_RadSpec!R5*s_ET_rec*(1/24)*up_RadSpec!W5)),".")</f>
        <v>.</v>
      </c>
      <c r="AA5" s="15" t="str">
        <f>IFERROR((s_TR/(up_RadSpec!N5*s_EF_rec*(1/365)*s_ED_rec*up_RadSpec!S5*s_ET_rec*(1/24)*up_RadSpec!X5)),".")</f>
        <v>.</v>
      </c>
      <c r="AB5" s="15" t="str">
        <f>IFERROR((s_TR/(up_RadSpec!O5*s_EF_rec*(1/365)*s_ED_rec*up_RadSpec!T5*s_ET_rec*(1/24)*up_RadSpec!Y5)),".")</f>
        <v>.</v>
      </c>
      <c r="AC5" s="15" t="str">
        <f>IFERROR((s_TR/(up_RadSpec!P5*s_EF_rec*(1/365)*s_ED_rec*up_RadSpec!U5*s_ET_rec*(1/24)*up_RadSpec!Z5)),".")</f>
        <v>.</v>
      </c>
      <c r="AD5" s="15" t="str">
        <f>IFERROR((s_TR/(up_RadSpec!L5*s_EF_rec*(1/365)*s_ED_rec*up_RadSpec!Q5*s_ET_rec*(1/24)*up_RadSpec!V5)),".")</f>
        <v>.</v>
      </c>
      <c r="AE5" s="40">
        <f>IFERROR((s_C*s_EF_rec*(1/365)*s_ED_rec*up_RadSpec!R5*s_ET_rec*(1/24)*up_RadSpec!W5),".")</f>
        <v>0</v>
      </c>
      <c r="AF5" s="40">
        <f>IFERROR((s_C*s_EF_rec*(1/365)*s_ED_rec*up_RadSpec!S5*s_ET_rec*(1/24)*up_RadSpec!X5),".")</f>
        <v>0</v>
      </c>
      <c r="AG5" s="40">
        <f>IFERROR((s_C*s_EF_rec*(1/365)*s_ED_rec*up_RadSpec!T5*s_ET_rec*(1/24)*up_RadSpec!Y5),".")</f>
        <v>0</v>
      </c>
      <c r="AH5" s="40">
        <f>IFERROR((s_C*s_EF_rec*(1/365)*s_ED_rec*up_RadSpec!U5*s_ET_rec*(1/24)*up_RadSpec!Z5),".")</f>
        <v>0</v>
      </c>
      <c r="AI5" s="40">
        <f>IFERROR((s_C*s_EF_rec*(1/365)*s_ED_rec*up_RadSpec!Q5*s_ET_rec*(1/24)*up_RadSpec!V5),".")</f>
        <v>0</v>
      </c>
      <c r="AJ5" s="18"/>
      <c r="AK5" s="18"/>
      <c r="AL5" s="18"/>
      <c r="AM5" s="18"/>
      <c r="AN5" s="18"/>
      <c r="AO5" s="15">
        <f>IFERROR((s_TR/(up_RadSpec!F5*s_IFA_rec_adj)),".")</f>
        <v>9.9740259740259755E-10</v>
      </c>
      <c r="AP5" s="15">
        <f>IFERROR((s_TR/(up_RadSpec!K5*s_EF_rec*(1/365)*s_ED_rec*s_ET_rec*(1/24)*s_GSF_a)),".")</f>
        <v>6.3709090909090908E-6</v>
      </c>
      <c r="AQ5" s="15">
        <f t="shared" si="13"/>
        <v>9.9724647271019672E-10</v>
      </c>
      <c r="AR5" s="40">
        <f t="shared" si="3"/>
        <v>10026.041666666666</v>
      </c>
      <c r="AS5" s="40">
        <f t="shared" si="4"/>
        <v>1.5696347031963471</v>
      </c>
      <c r="AT5" s="45"/>
      <c r="AU5" s="45"/>
      <c r="AV5" s="45"/>
      <c r="AW5" s="15">
        <f>IFERROR((s_TR/(up_RadSpec!I5*s_IFW_rec_adj)),".")</f>
        <v>2.272727272727273E-10</v>
      </c>
      <c r="AX5" s="15">
        <f>IFERROR((s_TR/(up_RadSpec!M5*(1/8760)*s_DFA_rec_adj)),".")</f>
        <v>3.9818181818181825E-6</v>
      </c>
      <c r="AY5" s="2">
        <f>IFERROR(BO5/(up_RadSpec!AI5*s_Q_w_game*(1/1000)),".")</f>
        <v>1.8181818181818183E-7</v>
      </c>
      <c r="AZ5" s="2">
        <f>IFERROR(BO5/(up_RadSpec!AL5*s_Q_w_fowl*(1/1000)),".")</f>
        <v>1.8181818181818183E-7</v>
      </c>
      <c r="BA5" s="244">
        <f t="shared" si="5"/>
        <v>4399999999.999999</v>
      </c>
      <c r="BB5" s="244">
        <f t="shared" si="5"/>
        <v>251141.55251141547</v>
      </c>
      <c r="BC5" s="244">
        <f t="shared" si="5"/>
        <v>5500000</v>
      </c>
      <c r="BD5" s="244">
        <f t="shared" si="5"/>
        <v>5500000</v>
      </c>
      <c r="BE5" s="2">
        <f t="shared" si="12"/>
        <v>2.2669305553255277E-10</v>
      </c>
      <c r="BF5" s="40">
        <f t="shared" si="6"/>
        <v>44000</v>
      </c>
      <c r="BG5" s="40">
        <f t="shared" si="7"/>
        <v>2.5114155251141552</v>
      </c>
      <c r="BH5" s="19">
        <f>IFERROR(s_C*up_RadSpec!AI5*s_Q_w_game*(1/1000)*s_EF_rec*s_ED_rec*s_IRGL_rec*s_CF_game,".")</f>
        <v>55</v>
      </c>
      <c r="BI5" s="19">
        <f>IFERROR(s_C*up_RadSpec!AL5*s_Q_w_fowl*(1/1000)*s_EF_rec*s_ED_rec*s_IRGL_rec*s_CF_fowl,0)</f>
        <v>55</v>
      </c>
      <c r="BJ5" s="18"/>
      <c r="BK5" s="18"/>
      <c r="BL5" s="5"/>
      <c r="BM5" s="5"/>
      <c r="BN5" s="18"/>
      <c r="BO5" s="2">
        <f>IFERROR(s_TR/(up_RadSpec!H5*s_EF_rec*s_ED_rec*s_IRGL_rec*s_CF_game),".")</f>
        <v>1.8181818181818184E-9</v>
      </c>
      <c r="BP5" s="2">
        <f>IFERROR(s_TR/(up_RadSpec!H5*s_EF_rec*s_ED_rec*s_IRGF_rec*s_CF_fowl),".")</f>
        <v>1.8181818181818184E-9</v>
      </c>
      <c r="BQ5" s="19">
        <f t="shared" si="8"/>
        <v>5500</v>
      </c>
      <c r="BR5" s="19">
        <f t="shared" si="9"/>
        <v>5500</v>
      </c>
      <c r="BS5" s="5"/>
      <c r="BT5" s="5"/>
    </row>
    <row r="6" spans="1:72" customFormat="1" x14ac:dyDescent="0.25">
      <c r="A6" s="44" t="s">
        <v>16</v>
      </c>
      <c r="B6" s="42" t="s">
        <v>1071</v>
      </c>
      <c r="C6" s="42"/>
      <c r="D6" s="15">
        <f>IFERROR(((s_TR/(up_RadSpec!E6*s_IFS_rec_adj*(1/1000)))*1),".")</f>
        <v>3.3057851239669421E-8</v>
      </c>
      <c r="E6" s="15">
        <f>IFERROR(IF(A6="H-3",(s_TR/((up_RadSpec!F6*s_IFA_rec_adj*(1/17)*1000))*1),(s_TR/((up_RadSpec!F6*s_IFA_rec_adj*(1/s_PEF_wind)*1000))*1)),".")</f>
        <v>3.0899917851942918E-4</v>
      </c>
      <c r="F6" s="2">
        <f>IFERROR((s_TR/(up_RadSpec!G6*s_EF_rec*(1/365)*s_ED_rec*up_RadSpec!R6*s_ET_rec*(1/24)*up_RadSpec!W6)),".")</f>
        <v>4.2446729275997562E-5</v>
      </c>
      <c r="G6" s="2">
        <f>IFERROR((BO6/(up_RadSpec!AI6*((s_Q_p_game*s_f_p_game*s_f_s_game*(up_RadSpec!BD6+s_R_es_past))+(s_Q_s_game*s_f_p_game)))),".")</f>
        <v>7.5757575757575769E-12</v>
      </c>
      <c r="H6" s="2">
        <f>IFERROR((BO6/(up_RadSpec!AL6*((s_Q_p_fowl*s_f_p_fowl*s_f_s_fowl*(up_RadSpec!BD6+s_R_es_past))+(s_Q_s_fowl*s_f_p_fowl)))),".")</f>
        <v>7.5757575757575769E-12</v>
      </c>
      <c r="I6" s="244">
        <f t="shared" si="10"/>
        <v>30250000</v>
      </c>
      <c r="J6" s="244">
        <f t="shared" si="0"/>
        <v>3236.2545583179349</v>
      </c>
      <c r="K6" s="244">
        <f t="shared" si="0"/>
        <v>23558.941220130051</v>
      </c>
      <c r="L6" s="244">
        <f t="shared" si="0"/>
        <v>131999999999.99998</v>
      </c>
      <c r="M6" s="244">
        <f t="shared" si="0"/>
        <v>131999999999.99998</v>
      </c>
      <c r="N6" s="2">
        <f t="shared" si="11"/>
        <v>3.7874444254576332E-12</v>
      </c>
      <c r="O6" s="40">
        <f t="shared" si="1"/>
        <v>302.5</v>
      </c>
      <c r="P6" s="40">
        <f t="shared" si="2"/>
        <v>3.2362545583179352E-2</v>
      </c>
      <c r="Q6" s="40">
        <f>IFERROR((s_C*s_EF_rec*(1/365)*s_ED_rec*up_RadSpec!R6*s_ET_rec*(1/24)*up_RadSpec!W6),".")</f>
        <v>0.23558941220130053</v>
      </c>
      <c r="R6" s="19">
        <f>IFERROR((s_C*s_IRGL_rec*s_EF_rec*s_ED_rec*s_CF_game*up_RadSpec!AI6)*((s_Q_p_game*s_f_p_game*s_f_s_game*(up_RadSpec!BD6+s_R_es_past))+(s_Q_s_game*s_f_p_game)),".")</f>
        <v>1320000</v>
      </c>
      <c r="S6" s="19">
        <f>IFERROR((s_C*s_IRGF_rec*s_EF_rec*s_ED_rec*s_CF_fowl*up_RadSpec!AL6)*((s_Q_p_fowl*s_f_p_fowl*s_f_s_fowl*(up_RadSpec!BD6+s_R_es_past))+(s_Q_s_fowl*s_f_p_fowl)),0)</f>
        <v>1320000</v>
      </c>
      <c r="T6" s="18"/>
      <c r="U6" s="18"/>
      <c r="V6" s="18"/>
      <c r="W6" s="5"/>
      <c r="X6" s="5"/>
      <c r="Y6" s="18"/>
      <c r="Z6" s="15">
        <f>IFERROR((s_TR/(up_RadSpec!G6*s_EF_rec*(1/365)*s_ED_rec*up_RadSpec!R6*s_ET_rec*(1/24)*up_RadSpec!W6)),".")</f>
        <v>4.2446729275997562E-5</v>
      </c>
      <c r="AA6" s="15">
        <f>IFERROR((s_TR/(up_RadSpec!N6*s_EF_rec*(1/365)*s_ED_rec*up_RadSpec!S6*s_ET_rec*(1/24)*up_RadSpec!X6)),".")</f>
        <v>7.924099104449249E-5</v>
      </c>
      <c r="AB6" s="15">
        <f>IFERROR((s_TR/(up_RadSpec!O6*s_EF_rec*(1/365)*s_ED_rec*up_RadSpec!T6*s_ET_rec*(1/24)*up_RadSpec!Y6)),".")</f>
        <v>5.5996573198457968E-5</v>
      </c>
      <c r="AC6" s="15">
        <f>IFERROR((s_TR/(up_RadSpec!P6*s_EF_rec*(1/365)*s_ED_rec*up_RadSpec!U6*s_ET_rec*(1/24)*up_RadSpec!Z6)),".")</f>
        <v>4.6307070707070694E-5</v>
      </c>
      <c r="AD6" s="15">
        <f>IFERROR((s_TR/(up_RadSpec!L6*s_EF_rec*(1/365)*s_ED_rec*up_RadSpec!Q6*s_ET_rec*(1/24)*up_RadSpec!V6)),".")</f>
        <v>1.3310541310541317E-4</v>
      </c>
      <c r="AE6" s="40">
        <f>IFERROR((s_C*s_EF_rec*(1/365)*s_ED_rec*up_RadSpec!R6*s_ET_rec*(1/24)*up_RadSpec!W6),".")</f>
        <v>0.23558941220130053</v>
      </c>
      <c r="AF6" s="40">
        <f>IFERROR((s_C*s_EF_rec*(1/365)*s_ED_rec*up_RadSpec!S6*s_ET_rec*(1/24)*up_RadSpec!X6),".")</f>
        <v>0.12619731111622731</v>
      </c>
      <c r="AG6" s="40">
        <f>IFERROR((s_C*s_EF_rec*(1/365)*s_ED_rec*up_RadSpec!T6*s_ET_rec*(1/24)*up_RadSpec!Y6),".")</f>
        <v>0.17858235654097812</v>
      </c>
      <c r="AH6" s="40">
        <f>IFERROR((s_C*s_EF_rec*(1/365)*s_ED_rec*up_RadSpec!U6*s_ET_rec*(1/24)*up_RadSpec!Z6),".")</f>
        <v>0.21594974260535738</v>
      </c>
      <c r="AI6" s="40">
        <f>IFERROR((s_C*s_EF_rec*(1/365)*s_ED_rec*up_RadSpec!Q6*s_ET_rec*(1/24)*up_RadSpec!V6),".")</f>
        <v>7.5128424657534221E-2</v>
      </c>
      <c r="AJ6" s="18"/>
      <c r="AK6" s="18"/>
      <c r="AL6" s="18"/>
      <c r="AM6" s="18"/>
      <c r="AN6" s="18"/>
      <c r="AO6" s="15">
        <f>IFERROR((s_TR/(up_RadSpec!F6*s_IFA_rec_adj)),".")</f>
        <v>9.9740259740259755E-10</v>
      </c>
      <c r="AP6" s="15">
        <f>IFERROR((s_TR/(up_RadSpec!K6*s_EF_rec*(1/365)*s_ED_rec*s_ET_rec*(1/24)*s_GSF_a)),".")</f>
        <v>6.3709090909090908E-6</v>
      </c>
      <c r="AQ6" s="15">
        <f t="shared" si="13"/>
        <v>9.9724647271019672E-10</v>
      </c>
      <c r="AR6" s="40">
        <f t="shared" si="3"/>
        <v>10026.041666666666</v>
      </c>
      <c r="AS6" s="40">
        <f t="shared" si="4"/>
        <v>1.5696347031963471</v>
      </c>
      <c r="AT6" s="45"/>
      <c r="AU6" s="45"/>
      <c r="AV6" s="45"/>
      <c r="AW6" s="15">
        <f>IFERROR((s_TR/(up_RadSpec!I6*s_IFW_rec_adj)),".")</f>
        <v>2.272727272727273E-10</v>
      </c>
      <c r="AX6" s="15">
        <f>IFERROR((s_TR/(up_RadSpec!M6*(1/8760)*s_DFA_rec_adj)),".")</f>
        <v>3.9818181818181825E-6</v>
      </c>
      <c r="AY6" s="2">
        <f>IFERROR(BO6/(up_RadSpec!AI6*s_Q_w_game*(1/1000)),".")</f>
        <v>1.8181818181818183E-7</v>
      </c>
      <c r="AZ6" s="2">
        <f>IFERROR(BO6/(up_RadSpec!AL6*s_Q_w_fowl*(1/1000)),".")</f>
        <v>1.8181818181818183E-7</v>
      </c>
      <c r="BA6" s="244">
        <f t="shared" si="5"/>
        <v>4399999999.999999</v>
      </c>
      <c r="BB6" s="244">
        <f t="shared" si="5"/>
        <v>251141.55251141547</v>
      </c>
      <c r="BC6" s="244">
        <f t="shared" si="5"/>
        <v>5500000</v>
      </c>
      <c r="BD6" s="244">
        <f t="shared" si="5"/>
        <v>5500000</v>
      </c>
      <c r="BE6" s="2">
        <f t="shared" si="12"/>
        <v>2.2669305553255277E-10</v>
      </c>
      <c r="BF6" s="40">
        <f t="shared" si="6"/>
        <v>44000</v>
      </c>
      <c r="BG6" s="40">
        <f t="shared" si="7"/>
        <v>2.5114155251141552</v>
      </c>
      <c r="BH6" s="19">
        <f>IFERROR(s_C*up_RadSpec!AI6*s_Q_w_game*(1/1000)*s_EF_rec*s_ED_rec*s_IRGL_rec*s_CF_game,".")</f>
        <v>55</v>
      </c>
      <c r="BI6" s="19">
        <f>IFERROR(s_C*up_RadSpec!AL6*s_Q_w_fowl*(1/1000)*s_EF_rec*s_ED_rec*s_IRGL_rec*s_CF_fowl,0)</f>
        <v>55</v>
      </c>
      <c r="BJ6" s="18"/>
      <c r="BK6" s="18"/>
      <c r="BL6" s="5"/>
      <c r="BM6" s="5"/>
      <c r="BN6" s="18"/>
      <c r="BO6" s="2">
        <f>IFERROR(s_TR/(up_RadSpec!H6*s_EF_rec*s_ED_rec*s_IRGL_rec*s_CF_game),".")</f>
        <v>1.8181818181818184E-9</v>
      </c>
      <c r="BP6" s="2">
        <f>IFERROR(s_TR/(up_RadSpec!H6*s_EF_rec*s_ED_rec*s_IRGF_rec*s_CF_fowl),".")</f>
        <v>1.8181818181818184E-9</v>
      </c>
      <c r="BQ6" s="19">
        <f t="shared" si="8"/>
        <v>5500</v>
      </c>
      <c r="BR6" s="19">
        <f t="shared" si="9"/>
        <v>5500</v>
      </c>
      <c r="BS6" s="5"/>
      <c r="BT6" s="5"/>
    </row>
    <row r="7" spans="1:72" customFormat="1" x14ac:dyDescent="0.25">
      <c r="A7" s="44" t="s">
        <v>17</v>
      </c>
      <c r="B7" s="42" t="s">
        <v>1071</v>
      </c>
      <c r="C7" s="249"/>
      <c r="D7" s="15">
        <f>IFERROR(((s_TR/(up_RadSpec!E7*s_IFS_rec_adj*(1/1000)))*1),".")</f>
        <v>3.3057851239669421E-8</v>
      </c>
      <c r="E7" s="15">
        <f>IFERROR(IF(A7="H-3",(s_TR/((up_RadSpec!F7*s_IFA_rec_adj*(1/17)*1000))*1),(s_TR/((up_RadSpec!F7*s_IFA_rec_adj*(1/s_PEF_wind)*1000))*1)),".")</f>
        <v>3.0899917851942918E-4</v>
      </c>
      <c r="F7" s="2">
        <f>IFERROR((s_TR/(up_RadSpec!G7*s_EF_rec*(1/365)*s_ED_rec*up_RadSpec!R7*s_ET_rec*(1/24)*up_RadSpec!W7)),".")</f>
        <v>9.1843397478433964E-5</v>
      </c>
      <c r="G7" s="2">
        <f>IFERROR((BO7/(up_RadSpec!AI7*((s_Q_p_game*s_f_p_game*s_f_s_game*(up_RadSpec!BD7+s_R_es_past))+(s_Q_s_game*s_f_p_game)))),".")</f>
        <v>7.5757575757575769E-12</v>
      </c>
      <c r="H7" s="2">
        <f>IFERROR((BO7/(up_RadSpec!AL7*((s_Q_p_fowl*s_f_p_fowl*s_f_s_fowl*(up_RadSpec!BD7+s_R_es_past))+(s_Q_s_fowl*s_f_p_fowl)))),".")</f>
        <v>7.5757575757575769E-12</v>
      </c>
      <c r="I7" s="244">
        <f t="shared" si="10"/>
        <v>30250000</v>
      </c>
      <c r="J7" s="244">
        <f t="shared" si="0"/>
        <v>3236.2545583179349</v>
      </c>
      <c r="K7" s="244">
        <f t="shared" si="0"/>
        <v>10888.0989538177</v>
      </c>
      <c r="L7" s="244">
        <f t="shared" si="0"/>
        <v>131999999999.99998</v>
      </c>
      <c r="M7" s="244">
        <f t="shared" si="0"/>
        <v>131999999999.99998</v>
      </c>
      <c r="N7" s="2">
        <f t="shared" si="11"/>
        <v>3.7874446072175197E-12</v>
      </c>
      <c r="O7" s="40">
        <f t="shared" si="1"/>
        <v>302.5</v>
      </c>
      <c r="P7" s="40">
        <f t="shared" si="2"/>
        <v>3.2362545583179352E-2</v>
      </c>
      <c r="Q7" s="40">
        <f>IFERROR((s_C*s_EF_rec*(1/365)*s_ED_rec*up_RadSpec!R7*s_ET_rec*(1/24)*up_RadSpec!W7),".")</f>
        <v>0.108880989538177</v>
      </c>
      <c r="R7" s="19">
        <f>IFERROR((s_C*s_IRGL_rec*s_EF_rec*s_ED_rec*s_CF_game*up_RadSpec!AI7)*((s_Q_p_game*s_f_p_game*s_f_s_game*(up_RadSpec!BD7+s_R_es_past))+(s_Q_s_game*s_f_p_game)),".")</f>
        <v>1320000</v>
      </c>
      <c r="S7" s="19">
        <f>IFERROR((s_C*s_IRGF_rec*s_EF_rec*s_ED_rec*s_CF_fowl*up_RadSpec!AL7)*((s_Q_p_fowl*s_f_p_fowl*s_f_s_fowl*(up_RadSpec!BD7+s_R_es_past))+(s_Q_s_fowl*s_f_p_fowl)),0)</f>
        <v>1320000</v>
      </c>
      <c r="T7" s="18"/>
      <c r="U7" s="18"/>
      <c r="V7" s="18"/>
      <c r="W7" s="5"/>
      <c r="X7" s="5"/>
      <c r="Y7" s="18"/>
      <c r="Z7" s="15">
        <f>IFERROR((s_TR/(up_RadSpec!G7*s_EF_rec*(1/365)*s_ED_rec*up_RadSpec!R7*s_ET_rec*(1/24)*up_RadSpec!W7)),".")</f>
        <v>9.1843397478433964E-5</v>
      </c>
      <c r="AA7" s="15">
        <f>IFERROR((s_TR/(up_RadSpec!N7*s_EF_rec*(1/365)*s_ED_rec*up_RadSpec!S7*s_ET_rec*(1/24)*up_RadSpec!X7)),".")</f>
        <v>1.4611153552330033E-4</v>
      </c>
      <c r="AB7" s="15">
        <f>IFERROR((s_TR/(up_RadSpec!O7*s_EF_rec*(1/365)*s_ED_rec*up_RadSpec!T7*s_ET_rec*(1/24)*up_RadSpec!Y7)),".")</f>
        <v>1.0704545454545457E-4</v>
      </c>
      <c r="AC7" s="15">
        <f>IFERROR((s_TR/(up_RadSpec!P7*s_EF_rec*(1/365)*s_ED_rec*up_RadSpec!U7*s_ET_rec*(1/24)*up_RadSpec!Z7)),".")</f>
        <v>9.8471359678034887E-5</v>
      </c>
      <c r="AD7" s="15">
        <f>IFERROR((s_TR/(up_RadSpec!L7*s_EF_rec*(1/365)*s_ED_rec*up_RadSpec!Q7*s_ET_rec*(1/24)*up_RadSpec!V7)),".")</f>
        <v>2.500423640530592E-4</v>
      </c>
      <c r="AE7" s="40">
        <f>IFERROR((s_C*s_EF_rec*(1/365)*s_ED_rec*up_RadSpec!R7*s_ET_rec*(1/24)*up_RadSpec!W7),".")</f>
        <v>0.108880989538177</v>
      </c>
      <c r="AF7" s="40">
        <f>IFERROR((s_C*s_EF_rec*(1/365)*s_ED_rec*up_RadSpec!S7*s_ET_rec*(1/24)*up_RadSpec!X7),".")</f>
        <v>6.8440865837080367E-2</v>
      </c>
      <c r="AG7" s="40">
        <f>IFERROR((s_C*s_EF_rec*(1/365)*s_ED_rec*up_RadSpec!T7*s_ET_rec*(1/24)*up_RadSpec!Y7),".")</f>
        <v>9.3418259023354558E-2</v>
      </c>
      <c r="AH7" s="40">
        <f>IFERROR((s_C*s_EF_rec*(1/365)*s_ED_rec*up_RadSpec!U7*s_ET_rec*(1/24)*up_RadSpec!Z7),".")</f>
        <v>0.10155237048311633</v>
      </c>
      <c r="AI7" s="40">
        <f>IFERROR((s_C*s_EF_rec*(1/365)*s_ED_rec*up_RadSpec!Q7*s_ET_rec*(1/24)*up_RadSpec!V7),".")</f>
        <v>3.9993222899932242E-2</v>
      </c>
      <c r="AJ7" s="18"/>
      <c r="AK7" s="18"/>
      <c r="AL7" s="18"/>
      <c r="AM7" s="18"/>
      <c r="AN7" s="18"/>
      <c r="AO7" s="15">
        <f>IFERROR((s_TR/(up_RadSpec!F7*s_IFA_rec_adj)),".")</f>
        <v>9.9740259740259755E-10</v>
      </c>
      <c r="AP7" s="15">
        <f>IFERROR((s_TR/(up_RadSpec!K7*s_EF_rec*(1/365)*s_ED_rec*s_ET_rec*(1/24)*s_GSF_a)),".")</f>
        <v>6.3709090909090908E-6</v>
      </c>
      <c r="AQ7" s="15">
        <f t="shared" si="13"/>
        <v>9.9724647271019672E-10</v>
      </c>
      <c r="AR7" s="40">
        <f t="shared" si="3"/>
        <v>10026.041666666666</v>
      </c>
      <c r="AS7" s="40">
        <f t="shared" si="4"/>
        <v>1.5696347031963471</v>
      </c>
      <c r="AT7" s="45"/>
      <c r="AU7" s="45"/>
      <c r="AV7" s="45"/>
      <c r="AW7" s="15">
        <f>IFERROR((s_TR/(up_RadSpec!I7*s_IFW_rec_adj)),".")</f>
        <v>2.272727272727273E-10</v>
      </c>
      <c r="AX7" s="15">
        <f>IFERROR((s_TR/(up_RadSpec!M7*(1/8760)*s_DFA_rec_adj)),".")</f>
        <v>3.9818181818181825E-6</v>
      </c>
      <c r="AY7" s="2">
        <f>IFERROR(BO7/(up_RadSpec!AI7*s_Q_w_game*(1/1000)),".")</f>
        <v>1.8181818181818183E-7</v>
      </c>
      <c r="AZ7" s="2">
        <f>IFERROR(BO7/(up_RadSpec!AL7*s_Q_w_fowl*(1/1000)),".")</f>
        <v>1.8181818181818183E-7</v>
      </c>
      <c r="BA7" s="244">
        <f t="shared" si="5"/>
        <v>4399999999.999999</v>
      </c>
      <c r="BB7" s="244">
        <f t="shared" si="5"/>
        <v>251141.55251141547</v>
      </c>
      <c r="BC7" s="244">
        <f t="shared" si="5"/>
        <v>5500000</v>
      </c>
      <c r="BD7" s="244">
        <f t="shared" si="5"/>
        <v>5500000</v>
      </c>
      <c r="BE7" s="2">
        <f t="shared" si="12"/>
        <v>2.2669305553255277E-10</v>
      </c>
      <c r="BF7" s="40">
        <f t="shared" si="6"/>
        <v>44000</v>
      </c>
      <c r="BG7" s="40">
        <f t="shared" si="7"/>
        <v>2.5114155251141552</v>
      </c>
      <c r="BH7" s="19">
        <f>IFERROR(s_C*up_RadSpec!AI7*s_Q_w_game*(1/1000)*s_EF_rec*s_ED_rec*s_IRGL_rec*s_CF_game,".")</f>
        <v>55</v>
      </c>
      <c r="BI7" s="19">
        <f>IFERROR(s_C*up_RadSpec!AL7*s_Q_w_fowl*(1/1000)*s_EF_rec*s_ED_rec*s_IRGL_rec*s_CF_fowl,0)</f>
        <v>55</v>
      </c>
      <c r="BJ7" s="18"/>
      <c r="BK7" s="18"/>
      <c r="BL7" s="5"/>
      <c r="BM7" s="5"/>
      <c r="BN7" s="18"/>
      <c r="BO7" s="2">
        <f>IFERROR(s_TR/(up_RadSpec!H7*s_EF_rec*s_ED_rec*s_IRGL_rec*s_CF_game),".")</f>
        <v>1.8181818181818184E-9</v>
      </c>
      <c r="BP7" s="2">
        <f>IFERROR(s_TR/(up_RadSpec!H7*s_EF_rec*s_ED_rec*s_IRGF_rec*s_CF_fowl),".")</f>
        <v>1.8181818181818184E-9</v>
      </c>
      <c r="BQ7" s="19">
        <f t="shared" si="8"/>
        <v>5500</v>
      </c>
      <c r="BR7" s="19">
        <f t="shared" si="9"/>
        <v>5500</v>
      </c>
      <c r="BS7" s="5"/>
      <c r="BT7" s="5"/>
    </row>
    <row r="8" spans="1:72" customFormat="1" x14ac:dyDescent="0.25">
      <c r="A8" s="44" t="s">
        <v>18</v>
      </c>
      <c r="B8" s="42" t="s">
        <v>1071</v>
      </c>
      <c r="C8" s="42"/>
      <c r="D8" s="15">
        <f>IFERROR(((s_TR/(up_RadSpec!E8*s_IFS_rec_adj*(1/1000)))*1),".")</f>
        <v>3.3057851239669421E-8</v>
      </c>
      <c r="E8" s="15">
        <f>IFERROR(IF(A8="H-3",(s_TR/((up_RadSpec!F8*s_IFA_rec_adj*(1/17)*1000))*1),(s_TR/((up_RadSpec!F8*s_IFA_rec_adj*(1/s_PEF_wind)*1000))*1)),".")</f>
        <v>3.0899917851942918E-4</v>
      </c>
      <c r="F8" s="2">
        <f>IFERROR((s_TR/(up_RadSpec!G8*s_EF_rec*(1/365)*s_ED_rec*up_RadSpec!R8*s_ET_rec*(1/24)*up_RadSpec!W8)),".")</f>
        <v>5.2797589151180345E-5</v>
      </c>
      <c r="G8" s="2">
        <f>IFERROR((BO8/(up_RadSpec!AI8*((s_Q_p_game*s_f_p_game*s_f_s_game*(up_RadSpec!BD8+s_R_es_past))+(s_Q_s_game*s_f_p_game)))),".")</f>
        <v>7.5757575757575769E-12</v>
      </c>
      <c r="H8" s="2">
        <f>IFERROR((BO8/(up_RadSpec!AL8*((s_Q_p_fowl*s_f_p_fowl*s_f_s_fowl*(up_RadSpec!BD8+s_R_es_past))+(s_Q_s_fowl*s_f_p_fowl)))),".")</f>
        <v>7.5757575757575769E-12</v>
      </c>
      <c r="I8" s="244">
        <f t="shared" si="10"/>
        <v>30250000</v>
      </c>
      <c r="J8" s="244">
        <f t="shared" si="0"/>
        <v>3236.2545583179349</v>
      </c>
      <c r="K8" s="244">
        <f t="shared" si="0"/>
        <v>18940.258751902576</v>
      </c>
      <c r="L8" s="244">
        <f t="shared" si="0"/>
        <v>131999999999.99998</v>
      </c>
      <c r="M8" s="244">
        <f t="shared" si="0"/>
        <v>131999999999.99998</v>
      </c>
      <c r="N8" s="2">
        <f t="shared" si="11"/>
        <v>3.7874444917114116E-12</v>
      </c>
      <c r="O8" s="40">
        <f t="shared" si="1"/>
        <v>302.5</v>
      </c>
      <c r="P8" s="40">
        <f t="shared" si="2"/>
        <v>3.2362545583179352E-2</v>
      </c>
      <c r="Q8" s="40">
        <f>IFERROR((s_C*s_EF_rec*(1/365)*s_ED_rec*up_RadSpec!R8*s_ET_rec*(1/24)*up_RadSpec!W8),".")</f>
        <v>0.18940258751902578</v>
      </c>
      <c r="R8" s="19">
        <f>IFERROR((s_C*s_IRGL_rec*s_EF_rec*s_ED_rec*s_CF_game*up_RadSpec!AI8)*((s_Q_p_game*s_f_p_game*s_f_s_game*(up_RadSpec!BD8+s_R_es_past))+(s_Q_s_game*s_f_p_game)),".")</f>
        <v>1320000</v>
      </c>
      <c r="S8" s="19">
        <f>IFERROR((s_C*s_IRGF_rec*s_EF_rec*s_ED_rec*s_CF_fowl*up_RadSpec!AL8)*((s_Q_p_fowl*s_f_p_fowl*s_f_s_fowl*(up_RadSpec!BD8+s_R_es_past))+(s_Q_s_fowl*s_f_p_fowl)),0)</f>
        <v>1320000</v>
      </c>
      <c r="T8" s="18"/>
      <c r="U8" s="18"/>
      <c r="V8" s="18"/>
      <c r="W8" s="5"/>
      <c r="X8" s="5"/>
      <c r="Y8" s="18"/>
      <c r="Z8" s="15">
        <f>IFERROR((s_TR/(up_RadSpec!G8*s_EF_rec*(1/365)*s_ED_rec*up_RadSpec!R8*s_ET_rec*(1/24)*up_RadSpec!W8)),".")</f>
        <v>5.2797589151180345E-5</v>
      </c>
      <c r="AA8" s="15">
        <f>IFERROR((s_TR/(up_RadSpec!N8*s_EF_rec*(1/365)*s_ED_rec*up_RadSpec!S8*s_ET_rec*(1/24)*up_RadSpec!X8)),".")</f>
        <v>9.6920523695371574E-5</v>
      </c>
      <c r="AB8" s="15">
        <f>IFERROR((s_TR/(up_RadSpec!O8*s_EF_rec*(1/365)*s_ED_rec*up_RadSpec!T8*s_ET_rec*(1/24)*up_RadSpec!Y8)),".")</f>
        <v>7.0742962621135223E-5</v>
      </c>
      <c r="AC8" s="15">
        <f>IFERROR((s_TR/(up_RadSpec!P8*s_EF_rec*(1/365)*s_ED_rec*up_RadSpec!U8*s_ET_rec*(1/24)*up_RadSpec!Z8)),".")</f>
        <v>6.4860129832885815E-5</v>
      </c>
      <c r="AD8" s="15">
        <f>IFERROR((s_TR/(up_RadSpec!L8*s_EF_rec*(1/365)*s_ED_rec*up_RadSpec!Q8*s_ET_rec*(1/24)*up_RadSpec!V8)),".")</f>
        <v>1.7958267236119584E-4</v>
      </c>
      <c r="AE8" s="40">
        <f>IFERROR((s_C*s_EF_rec*(1/365)*s_ED_rec*up_RadSpec!R8*s_ET_rec*(1/24)*up_RadSpec!W8),".")</f>
        <v>0.18940258751902578</v>
      </c>
      <c r="AF8" s="40">
        <f>IFERROR((s_C*s_EF_rec*(1/365)*s_ED_rec*up_RadSpec!S8*s_ET_rec*(1/24)*up_RadSpec!X8),".")</f>
        <v>0.10317732115677321</v>
      </c>
      <c r="AG8" s="40">
        <f>IFERROR((s_C*s_EF_rec*(1/365)*s_ED_rec*up_RadSpec!T8*s_ET_rec*(1/24)*up_RadSpec!Y8),".")</f>
        <v>0.14135681669928243</v>
      </c>
      <c r="AH8" s="40">
        <f>IFERROR((s_C*s_EF_rec*(1/365)*s_ED_rec*up_RadSpec!U8*s_ET_rec*(1/24)*up_RadSpec!Z8),".")</f>
        <v>0.15417792140973691</v>
      </c>
      <c r="AI8" s="40">
        <f>IFERROR((s_C*s_EF_rec*(1/365)*s_ED_rec*up_RadSpec!Q8*s_ET_rec*(1/24)*up_RadSpec!V8),".")</f>
        <v>5.5684659708632317E-2</v>
      </c>
      <c r="AJ8" s="18"/>
      <c r="AK8" s="18"/>
      <c r="AL8" s="18"/>
      <c r="AM8" s="18"/>
      <c r="AN8" s="18"/>
      <c r="AO8" s="15">
        <f>IFERROR((s_TR/(up_RadSpec!F8*s_IFA_rec_adj)),".")</f>
        <v>9.9740259740259755E-10</v>
      </c>
      <c r="AP8" s="15">
        <f>IFERROR((s_TR/(up_RadSpec!K8*s_EF_rec*(1/365)*s_ED_rec*s_ET_rec*(1/24)*s_GSF_a)),".")</f>
        <v>6.3709090909090908E-6</v>
      </c>
      <c r="AQ8" s="15">
        <f t="shared" si="13"/>
        <v>9.9724647271019672E-10</v>
      </c>
      <c r="AR8" s="40">
        <f t="shared" si="3"/>
        <v>10026.041666666666</v>
      </c>
      <c r="AS8" s="40">
        <f t="shared" si="4"/>
        <v>1.5696347031963471</v>
      </c>
      <c r="AT8" s="45"/>
      <c r="AU8" s="45"/>
      <c r="AV8" s="45"/>
      <c r="AW8" s="15">
        <f>IFERROR((s_TR/(up_RadSpec!I8*s_IFW_rec_adj)),".")</f>
        <v>2.272727272727273E-10</v>
      </c>
      <c r="AX8" s="15">
        <f>IFERROR((s_TR/(up_RadSpec!M8*(1/8760)*s_DFA_rec_adj)),".")</f>
        <v>3.9818181818181825E-6</v>
      </c>
      <c r="AY8" s="2">
        <f>IFERROR(BO8/(up_RadSpec!AI8*s_Q_w_game*(1/1000)),".")</f>
        <v>1.8181818181818183E-7</v>
      </c>
      <c r="AZ8" s="2">
        <f>IFERROR(BO8/(up_RadSpec!AL8*s_Q_w_fowl*(1/1000)),".")</f>
        <v>1.8181818181818183E-7</v>
      </c>
      <c r="BA8" s="244">
        <f t="shared" si="5"/>
        <v>4399999999.999999</v>
      </c>
      <c r="BB8" s="244">
        <f t="shared" si="5"/>
        <v>251141.55251141547</v>
      </c>
      <c r="BC8" s="244">
        <f t="shared" si="5"/>
        <v>5500000</v>
      </c>
      <c r="BD8" s="244">
        <f t="shared" si="5"/>
        <v>5500000</v>
      </c>
      <c r="BE8" s="2">
        <f t="shared" si="12"/>
        <v>2.2669305553255277E-10</v>
      </c>
      <c r="BF8" s="40">
        <f t="shared" si="6"/>
        <v>44000</v>
      </c>
      <c r="BG8" s="40">
        <f t="shared" si="7"/>
        <v>2.5114155251141552</v>
      </c>
      <c r="BH8" s="19">
        <f>IFERROR(s_C*up_RadSpec!AI8*s_Q_w_game*(1/1000)*s_EF_rec*s_ED_rec*s_IRGL_rec*s_CF_game,".")</f>
        <v>55</v>
      </c>
      <c r="BI8" s="19">
        <f>IFERROR(s_C*up_RadSpec!AL8*s_Q_w_fowl*(1/1000)*s_EF_rec*s_ED_rec*s_IRGL_rec*s_CF_fowl,0)</f>
        <v>55</v>
      </c>
      <c r="BJ8" s="18"/>
      <c r="BK8" s="18"/>
      <c r="BL8" s="5"/>
      <c r="BM8" s="5"/>
      <c r="BN8" s="18"/>
      <c r="BO8" s="2">
        <f>IFERROR(s_TR/(up_RadSpec!H8*s_EF_rec*s_ED_rec*s_IRGL_rec*s_CF_game),".")</f>
        <v>1.8181818181818184E-9</v>
      </c>
      <c r="BP8" s="2">
        <f>IFERROR(s_TR/(up_RadSpec!H8*s_EF_rec*s_ED_rec*s_IRGF_rec*s_CF_fowl),".")</f>
        <v>1.8181818181818184E-9</v>
      </c>
      <c r="BQ8" s="19">
        <f t="shared" si="8"/>
        <v>5500</v>
      </c>
      <c r="BR8" s="19">
        <f t="shared" si="9"/>
        <v>5500</v>
      </c>
      <c r="BS8" s="5"/>
      <c r="BT8" s="5"/>
    </row>
    <row r="9" spans="1:72" customFormat="1" x14ac:dyDescent="0.25">
      <c r="A9" s="44" t="s">
        <v>19</v>
      </c>
      <c r="B9" s="42" t="s">
        <v>1071</v>
      </c>
      <c r="C9" s="249"/>
      <c r="D9" s="15">
        <f>IFERROR(((s_TR/(up_RadSpec!E9*s_IFS_rec_adj*(1/1000)))*1),".")</f>
        <v>3.3057851239669421E-8</v>
      </c>
      <c r="E9" s="15">
        <f>IFERROR(IF(A9="H-3",(s_TR/((up_RadSpec!F9*s_IFA_rec_adj*(1/17)*1000))*1),(s_TR/((up_RadSpec!F9*s_IFA_rec_adj*(1/s_PEF_wind)*1000))*1)),".")</f>
        <v>3.0899917851942918E-4</v>
      </c>
      <c r="F9" s="2">
        <f>IFERROR((s_TR/(up_RadSpec!G9*s_EF_rec*(1/365)*s_ED_rec*up_RadSpec!R9*s_ET_rec*(1/24)*up_RadSpec!W9)),".")</f>
        <v>2.600218130493359E-5</v>
      </c>
      <c r="G9" s="2">
        <f>IFERROR((BO9/(up_RadSpec!AI9*((s_Q_p_game*s_f_p_game*s_f_s_game*(up_RadSpec!BD9+s_R_es_past))+(s_Q_s_game*s_f_p_game)))),".")</f>
        <v>7.5757575757575769E-12</v>
      </c>
      <c r="H9" s="2">
        <f>IFERROR((BO9/(up_RadSpec!AL9*((s_Q_p_fowl*s_f_p_fowl*s_f_s_fowl*(up_RadSpec!BD9+s_R_es_past))+(s_Q_s_fowl*s_f_p_fowl)))),".")</f>
        <v>7.5757575757575769E-12</v>
      </c>
      <c r="I9" s="244">
        <f t="shared" si="10"/>
        <v>30250000</v>
      </c>
      <c r="J9" s="244">
        <f t="shared" si="0"/>
        <v>3236.2545583179349</v>
      </c>
      <c r="K9" s="244">
        <f t="shared" si="0"/>
        <v>38458.31194978486</v>
      </c>
      <c r="L9" s="244">
        <f t="shared" si="0"/>
        <v>131999999999.99998</v>
      </c>
      <c r="M9" s="244">
        <f t="shared" si="0"/>
        <v>131999999999.99998</v>
      </c>
      <c r="N9" s="2">
        <f t="shared" si="11"/>
        <v>3.7874442117301161E-12</v>
      </c>
      <c r="O9" s="40">
        <f t="shared" si="1"/>
        <v>302.5</v>
      </c>
      <c r="P9" s="40">
        <f t="shared" si="2"/>
        <v>3.2362545583179352E-2</v>
      </c>
      <c r="Q9" s="40">
        <f>IFERROR((s_C*s_EF_rec*(1/365)*s_ED_rec*up_RadSpec!R9*s_ET_rec*(1/24)*up_RadSpec!W9),".")</f>
        <v>0.38458311949784862</v>
      </c>
      <c r="R9" s="19">
        <f>IFERROR((s_C*s_IRGL_rec*s_EF_rec*s_ED_rec*s_CF_game*up_RadSpec!AI9)*((s_Q_p_game*s_f_p_game*s_f_s_game*(up_RadSpec!BD9+s_R_es_past))+(s_Q_s_game*s_f_p_game)),".")</f>
        <v>1320000</v>
      </c>
      <c r="S9" s="19">
        <f>IFERROR((s_C*s_IRGF_rec*s_EF_rec*s_ED_rec*s_CF_fowl*up_RadSpec!AL9)*((s_Q_p_fowl*s_f_p_fowl*s_f_s_fowl*(up_RadSpec!BD9+s_R_es_past))+(s_Q_s_fowl*s_f_p_fowl)),0)</f>
        <v>1320000</v>
      </c>
      <c r="T9" s="18"/>
      <c r="U9" s="18"/>
      <c r="V9" s="18"/>
      <c r="W9" s="5"/>
      <c r="X9" s="5"/>
      <c r="Y9" s="18"/>
      <c r="Z9" s="15">
        <f>IFERROR((s_TR/(up_RadSpec!G9*s_EF_rec*(1/365)*s_ED_rec*up_RadSpec!R9*s_ET_rec*(1/24)*up_RadSpec!W9)),".")</f>
        <v>2.600218130493359E-5</v>
      </c>
      <c r="AA9" s="15">
        <f>IFERROR((s_TR/(up_RadSpec!N9*s_EF_rec*(1/365)*s_ED_rec*up_RadSpec!S9*s_ET_rec*(1/24)*up_RadSpec!X9)),".")</f>
        <v>5.3256818181818208E-5</v>
      </c>
      <c r="AB9" s="15">
        <f>IFERROR((s_TR/(up_RadSpec!O9*s_EF_rec*(1/365)*s_ED_rec*up_RadSpec!T9*s_ET_rec*(1/24)*up_RadSpec!Y9)),".")</f>
        <v>3.7472539423599806E-5</v>
      </c>
      <c r="AC9" s="15">
        <f>IFERROR((s_TR/(up_RadSpec!P9*s_EF_rec*(1/365)*s_ED_rec*up_RadSpec!U9*s_ET_rec*(1/24)*up_RadSpec!Z9)),".")</f>
        <v>3.0889256198347112E-5</v>
      </c>
      <c r="AD9" s="15">
        <f>IFERROR((s_TR/(up_RadSpec!L9*s_EF_rec*(1/365)*s_ED_rec*up_RadSpec!Q9*s_ET_rec*(1/24)*up_RadSpec!V9)),".")</f>
        <v>9.4332709543977193E-5</v>
      </c>
      <c r="AE9" s="40">
        <f>IFERROR((s_C*s_EF_rec*(1/365)*s_ED_rec*up_RadSpec!R9*s_ET_rec*(1/24)*up_RadSpec!W9),".")</f>
        <v>0.38458311949784862</v>
      </c>
      <c r="AF9" s="40">
        <f>IFERROR((s_C*s_EF_rec*(1/365)*s_ED_rec*up_RadSpec!S9*s_ET_rec*(1/24)*up_RadSpec!X9),".")</f>
        <v>0.18776938505526386</v>
      </c>
      <c r="AG9" s="40">
        <f>IFERROR((s_C*s_EF_rec*(1/365)*s_ED_rec*up_RadSpec!T9*s_ET_rec*(1/24)*up_RadSpec!Y9),".")</f>
        <v>0.26686208497794273</v>
      </c>
      <c r="AH9" s="40">
        <f>IFERROR((s_C*s_EF_rec*(1/365)*s_ED_rec*up_RadSpec!U9*s_ET_rec*(1/24)*up_RadSpec!Z9),".")</f>
        <v>0.32373715753424653</v>
      </c>
      <c r="AI9" s="40">
        <f>IFERROR((s_C*s_EF_rec*(1/365)*s_ED_rec*up_RadSpec!Q9*s_ET_rec*(1/24)*up_RadSpec!V9),".")</f>
        <v>0.10600776812562641</v>
      </c>
      <c r="AJ9" s="18"/>
      <c r="AK9" s="18"/>
      <c r="AL9" s="18"/>
      <c r="AM9" s="18"/>
      <c r="AN9" s="18"/>
      <c r="AO9" s="15">
        <f>IFERROR((s_TR/(up_RadSpec!F9*s_IFA_rec_adj)),".")</f>
        <v>9.9740259740259755E-10</v>
      </c>
      <c r="AP9" s="15">
        <f>IFERROR((s_TR/(up_RadSpec!K9*s_EF_rec*(1/365)*s_ED_rec*s_ET_rec*(1/24)*s_GSF_a)),".")</f>
        <v>6.3709090909090908E-6</v>
      </c>
      <c r="AQ9" s="15">
        <f t="shared" si="13"/>
        <v>9.9724647271019672E-10</v>
      </c>
      <c r="AR9" s="40">
        <f t="shared" si="3"/>
        <v>10026.041666666666</v>
      </c>
      <c r="AS9" s="40">
        <f t="shared" si="4"/>
        <v>1.5696347031963471</v>
      </c>
      <c r="AT9" s="45"/>
      <c r="AU9" s="45"/>
      <c r="AV9" s="45"/>
      <c r="AW9" s="15">
        <f>IFERROR((s_TR/(up_RadSpec!I9*s_IFW_rec_adj)),".")</f>
        <v>2.272727272727273E-10</v>
      </c>
      <c r="AX9" s="15">
        <f>IFERROR((s_TR/(up_RadSpec!M9*(1/8760)*s_DFA_rec_adj)),".")</f>
        <v>3.9818181818181825E-6</v>
      </c>
      <c r="AY9" s="2">
        <f>IFERROR(BO9/(up_RadSpec!AI9*s_Q_w_game*(1/1000)),".")</f>
        <v>1.8181818181818183E-7</v>
      </c>
      <c r="AZ9" s="2">
        <f>IFERROR(BO9/(up_RadSpec!AL9*s_Q_w_fowl*(1/1000)),".")</f>
        <v>1.8181818181818183E-7</v>
      </c>
      <c r="BA9" s="244">
        <f t="shared" si="5"/>
        <v>4399999999.999999</v>
      </c>
      <c r="BB9" s="244">
        <f t="shared" si="5"/>
        <v>251141.55251141547</v>
      </c>
      <c r="BC9" s="244">
        <f t="shared" si="5"/>
        <v>5500000</v>
      </c>
      <c r="BD9" s="244">
        <f t="shared" si="5"/>
        <v>5500000</v>
      </c>
      <c r="BE9" s="2">
        <f t="shared" si="12"/>
        <v>2.2669305553255277E-10</v>
      </c>
      <c r="BF9" s="40">
        <f t="shared" si="6"/>
        <v>44000</v>
      </c>
      <c r="BG9" s="40">
        <f t="shared" si="7"/>
        <v>2.5114155251141552</v>
      </c>
      <c r="BH9" s="19">
        <f>IFERROR(s_C*up_RadSpec!AI9*s_Q_w_game*(1/1000)*s_EF_rec*s_ED_rec*s_IRGL_rec*s_CF_game,".")</f>
        <v>55</v>
      </c>
      <c r="BI9" s="19">
        <f>IFERROR(s_C*up_RadSpec!AL9*s_Q_w_fowl*(1/1000)*s_EF_rec*s_ED_rec*s_IRGL_rec*s_CF_fowl,0)</f>
        <v>55</v>
      </c>
      <c r="BJ9" s="18"/>
      <c r="BK9" s="18"/>
      <c r="BL9" s="5"/>
      <c r="BM9" s="5"/>
      <c r="BN9" s="18"/>
      <c r="BO9" s="2">
        <f>IFERROR(s_TR/(up_RadSpec!H9*s_EF_rec*s_ED_rec*s_IRGL_rec*s_CF_game),".")</f>
        <v>1.8181818181818184E-9</v>
      </c>
      <c r="BP9" s="2">
        <f>IFERROR(s_TR/(up_RadSpec!H9*s_EF_rec*s_ED_rec*s_IRGF_rec*s_CF_fowl),".")</f>
        <v>1.8181818181818184E-9</v>
      </c>
      <c r="BQ9" s="19">
        <f t="shared" si="8"/>
        <v>5500</v>
      </c>
      <c r="BR9" s="19">
        <f t="shared" si="9"/>
        <v>5500</v>
      </c>
      <c r="BS9" s="5"/>
      <c r="BT9" s="5"/>
    </row>
    <row r="10" spans="1:72" customFormat="1" x14ac:dyDescent="0.25">
      <c r="A10" s="46" t="s">
        <v>20</v>
      </c>
      <c r="B10" s="42" t="s">
        <v>349</v>
      </c>
      <c r="C10" s="42"/>
      <c r="D10" s="15">
        <f>IFERROR(((s_TR/(up_RadSpec!E10*s_IFS_rec_adj*(1/1000)))*1),".")</f>
        <v>3.3057851239669421E-8</v>
      </c>
      <c r="E10" s="15">
        <f>IFERROR(IF(A10="H-3",(s_TR/((up_RadSpec!F10*s_IFA_rec_adj*(1/17)*1000))*1),(s_TR/((up_RadSpec!F10*s_IFA_rec_adj*(1/s_PEF_wind)*1000))*1)),".")</f>
        <v>3.0899917851942918E-4</v>
      </c>
      <c r="F10" s="2">
        <f>IFERROR((s_TR/(up_RadSpec!G10*s_EF_rec*(1/365)*s_ED_rec*up_RadSpec!R10*s_ET_rec*(1/24)*up_RadSpec!W10)),".")</f>
        <v>4.9753766233766238E-5</v>
      </c>
      <c r="G10" s="2">
        <f>IFERROR((BO10/(up_RadSpec!AI10*((s_Q_p_game*s_f_p_game*s_f_s_game*(up_RadSpec!BD10+s_R_es_past))+(s_Q_s_game*s_f_p_game)))),".")</f>
        <v>7.5757575757575769E-12</v>
      </c>
      <c r="H10" s="2">
        <f>IFERROR((BO10/(up_RadSpec!AL10*((s_Q_p_fowl*s_f_p_fowl*s_f_s_fowl*(up_RadSpec!BD10+s_R_es_past))+(s_Q_s_fowl*s_f_p_fowl)))),".")</f>
        <v>7.5757575757575769E-12</v>
      </c>
      <c r="I10" s="244">
        <f t="shared" si="10"/>
        <v>30250000</v>
      </c>
      <c r="J10" s="244">
        <f t="shared" si="0"/>
        <v>3236.2545583179349</v>
      </c>
      <c r="K10" s="244">
        <f t="shared" si="0"/>
        <v>20098.98095556298</v>
      </c>
      <c r="L10" s="244">
        <f t="shared" si="0"/>
        <v>131999999999.99998</v>
      </c>
      <c r="M10" s="244">
        <f t="shared" si="0"/>
        <v>131999999999.99998</v>
      </c>
      <c r="N10" s="2">
        <f t="shared" si="11"/>
        <v>3.7874444750898481E-12</v>
      </c>
      <c r="O10" s="40">
        <f t="shared" si="1"/>
        <v>302.5</v>
      </c>
      <c r="P10" s="40">
        <f t="shared" si="2"/>
        <v>3.2362545583179352E-2</v>
      </c>
      <c r="Q10" s="40">
        <f>IFERROR((s_C*s_EF_rec*(1/365)*s_ED_rec*up_RadSpec!R10*s_ET_rec*(1/24)*up_RadSpec!W10),".")</f>
        <v>0.20098980955562981</v>
      </c>
      <c r="R10" s="19">
        <f>IFERROR((s_C*s_IRGL_rec*s_EF_rec*s_ED_rec*s_CF_game*up_RadSpec!AI10)*((s_Q_p_game*s_f_p_game*s_f_s_game*(up_RadSpec!BD10+s_R_es_past))+(s_Q_s_game*s_f_p_game)),".")</f>
        <v>1320000</v>
      </c>
      <c r="S10" s="19">
        <f>IFERROR((s_C*s_IRGF_rec*s_EF_rec*s_ED_rec*s_CF_fowl*up_RadSpec!AL10)*((s_Q_p_fowl*s_f_p_fowl*s_f_s_fowl*(up_RadSpec!BD10+s_R_es_past))+(s_Q_s_fowl*s_f_p_fowl)),0)</f>
        <v>1320000</v>
      </c>
      <c r="T10" s="18"/>
      <c r="U10" s="18"/>
      <c r="V10" s="18"/>
      <c r="W10" s="5"/>
      <c r="X10" s="5"/>
      <c r="Y10" s="18"/>
      <c r="Z10" s="15">
        <f>IFERROR((s_TR/(up_RadSpec!G10*s_EF_rec*(1/365)*s_ED_rec*up_RadSpec!R10*s_ET_rec*(1/24)*up_RadSpec!W10)),".")</f>
        <v>4.9753766233766238E-5</v>
      </c>
      <c r="AA10" s="15">
        <f>IFERROR((s_TR/(up_RadSpec!N10*s_EF_rec*(1/365)*s_ED_rec*up_RadSpec!S10*s_ET_rec*(1/24)*up_RadSpec!X10)),".")</f>
        <v>7.7529581529581511E-5</v>
      </c>
      <c r="AB10" s="15">
        <f>IFERROR((s_TR/(up_RadSpec!O10*s_EF_rec*(1/365)*s_ED_rec*up_RadSpec!T10*s_ET_rec*(1/24)*up_RadSpec!Y10)),".")</f>
        <v>5.5366265416759952E-5</v>
      </c>
      <c r="AC10" s="15">
        <f>IFERROR((s_TR/(up_RadSpec!P10*s_EF_rec*(1/365)*s_ED_rec*up_RadSpec!U10*s_ET_rec*(1/24)*up_RadSpec!Z10)),".")</f>
        <v>5.0638919313618115E-5</v>
      </c>
      <c r="AD10" s="15">
        <f>IFERROR((s_TR/(up_RadSpec!L10*s_EF_rec*(1/365)*s_ED_rec*up_RadSpec!Q10*s_ET_rec*(1/24)*up_RadSpec!V10)),".")</f>
        <v>1.3033370352742084E-4</v>
      </c>
      <c r="AE10" s="40">
        <f>IFERROR((s_C*s_EF_rec*(1/365)*s_ED_rec*up_RadSpec!R10*s_ET_rec*(1/24)*up_RadSpec!W10),".")</f>
        <v>0.20098980955562981</v>
      </c>
      <c r="AF10" s="40">
        <f>IFERROR((s_C*s_EF_rec*(1/365)*s_ED_rec*up_RadSpec!S10*s_ET_rec*(1/24)*up_RadSpec!X10),".")</f>
        <v>0.12898302561048247</v>
      </c>
      <c r="AG10" s="40">
        <f>IFERROR((s_C*s_EF_rec*(1/365)*s_ED_rec*up_RadSpec!T10*s_ET_rec*(1/24)*up_RadSpec!Y10),".")</f>
        <v>0.18061539684366892</v>
      </c>
      <c r="AH10" s="40">
        <f>IFERROR((s_C*s_EF_rec*(1/365)*s_ED_rec*up_RadSpec!U10*s_ET_rec*(1/24)*up_RadSpec!Z10),".")</f>
        <v>0.1974765681326604</v>
      </c>
      <c r="AI10" s="40">
        <f>IFERROR((s_C*s_EF_rec*(1/365)*s_ED_rec*up_RadSpec!Q10*s_ET_rec*(1/24)*up_RadSpec!V10),".")</f>
        <v>7.6726124780886834E-2</v>
      </c>
      <c r="AJ10" s="18"/>
      <c r="AK10" s="18"/>
      <c r="AL10" s="18"/>
      <c r="AM10" s="18"/>
      <c r="AN10" s="18"/>
      <c r="AO10" s="15">
        <f>IFERROR((s_TR/(up_RadSpec!F10*s_IFA_rec_adj)),".")</f>
        <v>9.9740259740259755E-10</v>
      </c>
      <c r="AP10" s="15">
        <f>IFERROR((s_TR/(up_RadSpec!K10*s_EF_rec*(1/365)*s_ED_rec*s_ET_rec*(1/24)*s_GSF_a)),".")</f>
        <v>6.3709090909090908E-6</v>
      </c>
      <c r="AQ10" s="15">
        <f t="shared" si="13"/>
        <v>9.9724647271019672E-10</v>
      </c>
      <c r="AR10" s="40">
        <f t="shared" si="3"/>
        <v>10026.041666666666</v>
      </c>
      <c r="AS10" s="40">
        <f t="shared" si="4"/>
        <v>1.5696347031963471</v>
      </c>
      <c r="AT10" s="45"/>
      <c r="AU10" s="45"/>
      <c r="AV10" s="45"/>
      <c r="AW10" s="15">
        <f>IFERROR((s_TR/(up_RadSpec!I10*s_IFW_rec_adj)),".")</f>
        <v>2.272727272727273E-10</v>
      </c>
      <c r="AX10" s="15">
        <f>IFERROR((s_TR/(up_RadSpec!M10*(1/8760)*s_DFA_rec_adj)),".")</f>
        <v>3.9818181818181825E-6</v>
      </c>
      <c r="AY10" s="2">
        <f>IFERROR(BO10/(up_RadSpec!AI10*s_Q_w_game*(1/1000)),".")</f>
        <v>1.8181818181818183E-7</v>
      </c>
      <c r="AZ10" s="2">
        <f>IFERROR(BO10/(up_RadSpec!AL10*s_Q_w_fowl*(1/1000)),".")</f>
        <v>1.8181818181818183E-7</v>
      </c>
      <c r="BA10" s="244">
        <f t="shared" si="5"/>
        <v>4399999999.999999</v>
      </c>
      <c r="BB10" s="244">
        <f t="shared" si="5"/>
        <v>251141.55251141547</v>
      </c>
      <c r="BC10" s="244">
        <f t="shared" si="5"/>
        <v>5500000</v>
      </c>
      <c r="BD10" s="244">
        <f t="shared" si="5"/>
        <v>5500000</v>
      </c>
      <c r="BE10" s="2">
        <f t="shared" si="12"/>
        <v>2.2669305553255277E-10</v>
      </c>
      <c r="BF10" s="40">
        <f t="shared" si="6"/>
        <v>44000</v>
      </c>
      <c r="BG10" s="40">
        <f t="shared" si="7"/>
        <v>2.5114155251141552</v>
      </c>
      <c r="BH10" s="19">
        <f>IFERROR(s_C*up_RadSpec!AI10*s_Q_w_game*(1/1000)*s_EF_rec*s_ED_rec*s_IRGL_rec*s_CF_game,".")</f>
        <v>55</v>
      </c>
      <c r="BI10" s="19">
        <f>IFERROR(s_C*up_RadSpec!AL10*s_Q_w_fowl*(1/1000)*s_EF_rec*s_ED_rec*s_IRGL_rec*s_CF_fowl,0)</f>
        <v>55</v>
      </c>
      <c r="BJ10" s="18"/>
      <c r="BK10" s="18"/>
      <c r="BL10" s="5"/>
      <c r="BM10" s="5"/>
      <c r="BN10" s="18"/>
      <c r="BO10" s="2">
        <f>IFERROR(s_TR/(up_RadSpec!H10*s_EF_rec*s_ED_rec*s_IRGL_rec*s_CF_game),".")</f>
        <v>1.8181818181818184E-9</v>
      </c>
      <c r="BP10" s="2">
        <f>IFERROR(s_TR/(up_RadSpec!H10*s_EF_rec*s_ED_rec*s_IRGF_rec*s_CF_fowl),".")</f>
        <v>1.8181818181818184E-9</v>
      </c>
      <c r="BQ10" s="19">
        <f t="shared" si="8"/>
        <v>5500</v>
      </c>
      <c r="BR10" s="19">
        <f t="shared" si="9"/>
        <v>5500</v>
      </c>
      <c r="BS10" s="5"/>
      <c r="BT10" s="5"/>
    </row>
    <row r="11" spans="1:72" customFormat="1" x14ac:dyDescent="0.25">
      <c r="A11" s="44" t="s">
        <v>21</v>
      </c>
      <c r="B11" s="42" t="s">
        <v>1071</v>
      </c>
      <c r="C11" s="42"/>
      <c r="D11" s="15">
        <f>IFERROR(((s_TR/(up_RadSpec!E11*s_IFS_rec_adj*(1/1000)))*1),".")</f>
        <v>3.3057851239669421E-8</v>
      </c>
      <c r="E11" s="15">
        <f>IFERROR(IF(A11="H-3",(s_TR/((up_RadSpec!F11*s_IFA_rec_adj*(1/17)*1000))*1),(s_TR/((up_RadSpec!F11*s_IFA_rec_adj*(1/s_PEF_wind)*1000))*1)),".")</f>
        <v>3.0899917851942918E-4</v>
      </c>
      <c r="F11" s="2">
        <f>IFERROR((s_TR/(up_RadSpec!G11*s_EF_rec*(1/365)*s_ED_rec*up_RadSpec!R11*s_ET_rec*(1/24)*up_RadSpec!W11)),".")</f>
        <v>1.4877122877122876E-4</v>
      </c>
      <c r="G11" s="2">
        <f>IFERROR((BO11/(up_RadSpec!AI11*((s_Q_p_game*s_f_p_game*s_f_s_game*(up_RadSpec!BD11+s_R_es_past))+(s_Q_s_game*s_f_p_game)))),".")</f>
        <v>7.5757575757575769E-12</v>
      </c>
      <c r="H11" s="2">
        <f>IFERROR((BO11/(up_RadSpec!AL11*((s_Q_p_fowl*s_f_p_fowl*s_f_s_fowl*(up_RadSpec!BD11+s_R_es_past))+(s_Q_s_fowl*s_f_p_fowl)))),".")</f>
        <v>7.5757575757575769E-12</v>
      </c>
      <c r="I11" s="244">
        <f t="shared" si="10"/>
        <v>30250000</v>
      </c>
      <c r="J11" s="244">
        <f t="shared" si="0"/>
        <v>3236.2545583179349</v>
      </c>
      <c r="K11" s="244">
        <f t="shared" si="0"/>
        <v>6721.7297878055342</v>
      </c>
      <c r="L11" s="244">
        <f t="shared" si="0"/>
        <v>131999999999.99998</v>
      </c>
      <c r="M11" s="244">
        <f t="shared" si="0"/>
        <v>131999999999.99998</v>
      </c>
      <c r="N11" s="2">
        <f t="shared" si="11"/>
        <v>3.7874446669829895E-12</v>
      </c>
      <c r="O11" s="40">
        <f t="shared" si="1"/>
        <v>302.5</v>
      </c>
      <c r="P11" s="40">
        <f t="shared" si="2"/>
        <v>3.2362545583179352E-2</v>
      </c>
      <c r="Q11" s="40">
        <f>IFERROR((s_C*s_EF_rec*(1/365)*s_ED_rec*up_RadSpec!R11*s_ET_rec*(1/24)*up_RadSpec!W11),".")</f>
        <v>6.7217297878055346E-2</v>
      </c>
      <c r="R11" s="19">
        <f>IFERROR((s_C*s_IRGL_rec*s_EF_rec*s_ED_rec*s_CF_game*up_RadSpec!AI11)*((s_Q_p_game*s_f_p_game*s_f_s_game*(up_RadSpec!BD11+s_R_es_past))+(s_Q_s_game*s_f_p_game)),".")</f>
        <v>1320000</v>
      </c>
      <c r="S11" s="19">
        <f>IFERROR((s_C*s_IRGF_rec*s_EF_rec*s_ED_rec*s_CF_fowl*up_RadSpec!AL11)*((s_Q_p_fowl*s_f_p_fowl*s_f_s_fowl*(up_RadSpec!BD11+s_R_es_past))+(s_Q_s_fowl*s_f_p_fowl)),0)</f>
        <v>1320000</v>
      </c>
      <c r="T11" s="18"/>
      <c r="U11" s="18"/>
      <c r="V11" s="18"/>
      <c r="W11" s="5"/>
      <c r="X11" s="5"/>
      <c r="Y11" s="18"/>
      <c r="Z11" s="15">
        <f>IFERROR((s_TR/(up_RadSpec!G11*s_EF_rec*(1/365)*s_ED_rec*up_RadSpec!R11*s_ET_rec*(1/24)*up_RadSpec!W11)),".")</f>
        <v>1.4877122877122876E-4</v>
      </c>
      <c r="AA11" s="15">
        <f>IFERROR((s_TR/(up_RadSpec!N11*s_EF_rec*(1/365)*s_ED_rec*up_RadSpec!S11*s_ET_rec*(1/24)*up_RadSpec!X11)),".")</f>
        <v>1.8824477461596578E-4</v>
      </c>
      <c r="AB11" s="15">
        <f>IFERROR((s_TR/(up_RadSpec!O11*s_EF_rec*(1/365)*s_ED_rec*up_RadSpec!T11*s_ET_rec*(1/24)*up_RadSpec!Y11)),".")</f>
        <v>1.4609548724656639E-4</v>
      </c>
      <c r="AC11" s="15">
        <f>IFERROR((s_TR/(up_RadSpec!P11*s_EF_rec*(1/365)*s_ED_rec*up_RadSpec!U11*s_ET_rec*(1/24)*up_RadSpec!Z11)),".")</f>
        <v>1.3916387959866225E-4</v>
      </c>
      <c r="AD11" s="15">
        <f>IFERROR((s_TR/(up_RadSpec!L11*s_EF_rec*(1/365)*s_ED_rec*up_RadSpec!Q11*s_ET_rec*(1/24)*up_RadSpec!V11)),".")</f>
        <v>3.5044063079777365E-4</v>
      </c>
      <c r="AE11" s="40">
        <f>IFERROR((s_C*s_EF_rec*(1/365)*s_ED_rec*up_RadSpec!R11*s_ET_rec*(1/24)*up_RadSpec!W11),".")</f>
        <v>6.7217297878055346E-2</v>
      </c>
      <c r="AF11" s="40">
        <f>IFERROR((s_C*s_EF_rec*(1/365)*s_ED_rec*up_RadSpec!S11*s_ET_rec*(1/24)*up_RadSpec!X11),".")</f>
        <v>5.3122324486301366E-2</v>
      </c>
      <c r="AG11" s="40">
        <f>IFERROR((s_C*s_EF_rec*(1/365)*s_ED_rec*up_RadSpec!T11*s_ET_rec*(1/24)*up_RadSpec!Y11),".")</f>
        <v>6.8448383919777964E-2</v>
      </c>
      <c r="AH11" s="40">
        <f>IFERROR((s_C*s_EF_rec*(1/365)*s_ED_rec*up_RadSpec!U11*s_ET_rec*(1/24)*up_RadSpec!Z11),".")</f>
        <v>7.1857726508050931E-2</v>
      </c>
      <c r="AI11" s="40">
        <f>IFERROR((s_C*s_EF_rec*(1/365)*s_ED_rec*up_RadSpec!Q11*s_ET_rec*(1/24)*up_RadSpec!V11),".")</f>
        <v>2.8535503937528954E-2</v>
      </c>
      <c r="AJ11" s="18"/>
      <c r="AK11" s="18"/>
      <c r="AL11" s="18"/>
      <c r="AM11" s="18"/>
      <c r="AN11" s="18"/>
      <c r="AO11" s="15">
        <f>IFERROR((s_TR/(up_RadSpec!F11*s_IFA_rec_adj)),".")</f>
        <v>9.9740259740259755E-10</v>
      </c>
      <c r="AP11" s="15">
        <f>IFERROR((s_TR/(up_RadSpec!K11*s_EF_rec*(1/365)*s_ED_rec*s_ET_rec*(1/24)*s_GSF_a)),".")</f>
        <v>6.3709090909090908E-6</v>
      </c>
      <c r="AQ11" s="15">
        <f t="shared" si="13"/>
        <v>9.9724647271019672E-10</v>
      </c>
      <c r="AR11" s="40">
        <f t="shared" si="3"/>
        <v>10026.041666666666</v>
      </c>
      <c r="AS11" s="40">
        <f t="shared" si="4"/>
        <v>1.5696347031963471</v>
      </c>
      <c r="AT11" s="45"/>
      <c r="AU11" s="45"/>
      <c r="AV11" s="45"/>
      <c r="AW11" s="15">
        <f>IFERROR((s_TR/(up_RadSpec!I11*s_IFW_rec_adj)),".")</f>
        <v>2.272727272727273E-10</v>
      </c>
      <c r="AX11" s="15">
        <f>IFERROR((s_TR/(up_RadSpec!M11*(1/8760)*s_DFA_rec_adj)),".")</f>
        <v>3.9818181818181825E-6</v>
      </c>
      <c r="AY11" s="2">
        <f>IFERROR(BO11/(up_RadSpec!AI11*s_Q_w_game*(1/1000)),".")</f>
        <v>1.8181818181818183E-7</v>
      </c>
      <c r="AZ11" s="2">
        <f>IFERROR(BO11/(up_RadSpec!AL11*s_Q_w_fowl*(1/1000)),".")</f>
        <v>1.8181818181818183E-7</v>
      </c>
      <c r="BA11" s="244">
        <f t="shared" si="5"/>
        <v>4399999999.999999</v>
      </c>
      <c r="BB11" s="244">
        <f t="shared" si="5"/>
        <v>251141.55251141547</v>
      </c>
      <c r="BC11" s="244">
        <f t="shared" si="5"/>
        <v>5500000</v>
      </c>
      <c r="BD11" s="244">
        <f t="shared" si="5"/>
        <v>5500000</v>
      </c>
      <c r="BE11" s="2">
        <f t="shared" si="12"/>
        <v>2.2669305553255277E-10</v>
      </c>
      <c r="BF11" s="40">
        <f t="shared" si="6"/>
        <v>44000</v>
      </c>
      <c r="BG11" s="40">
        <f t="shared" si="7"/>
        <v>2.5114155251141552</v>
      </c>
      <c r="BH11" s="19">
        <f>IFERROR(s_C*up_RadSpec!AI11*s_Q_w_game*(1/1000)*s_EF_rec*s_ED_rec*s_IRGL_rec*s_CF_game,".")</f>
        <v>55</v>
      </c>
      <c r="BI11" s="19">
        <f>IFERROR(s_C*up_RadSpec!AL11*s_Q_w_fowl*(1/1000)*s_EF_rec*s_ED_rec*s_IRGL_rec*s_CF_fowl,0)</f>
        <v>55</v>
      </c>
      <c r="BJ11" s="18"/>
      <c r="BK11" s="18"/>
      <c r="BL11" s="5"/>
      <c r="BM11" s="5"/>
      <c r="BN11" s="18"/>
      <c r="BO11" s="2">
        <f>IFERROR(s_TR/(up_RadSpec!H11*s_EF_rec*s_ED_rec*s_IRGL_rec*s_CF_game),".")</f>
        <v>1.8181818181818184E-9</v>
      </c>
      <c r="BP11" s="2">
        <f>IFERROR(s_TR/(up_RadSpec!H11*s_EF_rec*s_ED_rec*s_IRGF_rec*s_CF_fowl),".")</f>
        <v>1.8181818181818184E-9</v>
      </c>
      <c r="BQ11" s="19">
        <f t="shared" si="8"/>
        <v>5500</v>
      </c>
      <c r="BR11" s="19">
        <f t="shared" si="9"/>
        <v>5500</v>
      </c>
      <c r="BS11" s="5"/>
      <c r="BT11" s="5"/>
    </row>
    <row r="12" spans="1:72" customFormat="1" x14ac:dyDescent="0.25">
      <c r="A12" s="44" t="s">
        <v>22</v>
      </c>
      <c r="B12" s="42" t="s">
        <v>1071</v>
      </c>
      <c r="C12" s="249"/>
      <c r="D12" s="15">
        <f>IFERROR(((s_TR/(up_RadSpec!E12*s_IFS_rec_adj*(1/1000)))*1),".")</f>
        <v>3.3057851239669421E-8</v>
      </c>
      <c r="E12" s="15">
        <f>IFERROR(IF(A12="H-3",(s_TR/((up_RadSpec!F12*s_IFA_rec_adj*(1/17)*1000))*1),(s_TR/((up_RadSpec!F12*s_IFA_rec_adj*(1/s_PEF_wind)*1000))*1)),".")</f>
        <v>3.0899917851942918E-4</v>
      </c>
      <c r="F12" s="2">
        <f>IFERROR((s_TR/(up_RadSpec!G12*s_EF_rec*(1/365)*s_ED_rec*up_RadSpec!R12*s_ET_rec*(1/24)*up_RadSpec!W12)),".")</f>
        <v>7.1282058319039457E-5</v>
      </c>
      <c r="G12" s="2">
        <f>IFERROR((BO12/(up_RadSpec!AI12*((s_Q_p_game*s_f_p_game*s_f_s_game*(up_RadSpec!BD12+s_R_es_past))+(s_Q_s_game*s_f_p_game)))),".")</f>
        <v>7.5757575757575769E-12</v>
      </c>
      <c r="H12" s="2">
        <f>IFERROR((BO12/(up_RadSpec!AL12*((s_Q_p_fowl*s_f_p_fowl*s_f_s_fowl*(up_RadSpec!BD12+s_R_es_past))+(s_Q_s_fowl*s_f_p_fowl)))),".")</f>
        <v>7.5757575757575769E-12</v>
      </c>
      <c r="I12" s="244">
        <f t="shared" si="10"/>
        <v>30250000</v>
      </c>
      <c r="J12" s="244">
        <f t="shared" si="0"/>
        <v>3236.2545583179349</v>
      </c>
      <c r="K12" s="244">
        <f t="shared" si="0"/>
        <v>14028.775593491802</v>
      </c>
      <c r="L12" s="244">
        <f t="shared" si="0"/>
        <v>131999999999.99998</v>
      </c>
      <c r="M12" s="244">
        <f t="shared" si="0"/>
        <v>131999999999.99998</v>
      </c>
      <c r="N12" s="2">
        <f t="shared" si="11"/>
        <v>3.7874445621653409E-12</v>
      </c>
      <c r="O12" s="40">
        <f t="shared" si="1"/>
        <v>302.5</v>
      </c>
      <c r="P12" s="40">
        <f t="shared" si="2"/>
        <v>3.2362545583179352E-2</v>
      </c>
      <c r="Q12" s="40">
        <f>IFERROR((s_C*s_EF_rec*(1/365)*s_ED_rec*up_RadSpec!R12*s_ET_rec*(1/24)*up_RadSpec!W12),".")</f>
        <v>0.14028775593491802</v>
      </c>
      <c r="R12" s="19">
        <f>IFERROR((s_C*s_IRGL_rec*s_EF_rec*s_ED_rec*s_CF_game*up_RadSpec!AI12)*((s_Q_p_game*s_f_p_game*s_f_s_game*(up_RadSpec!BD12+s_R_es_past))+(s_Q_s_game*s_f_p_game)),".")</f>
        <v>1320000</v>
      </c>
      <c r="S12" s="19">
        <f>IFERROR((s_C*s_IRGF_rec*s_EF_rec*s_ED_rec*s_CF_fowl*up_RadSpec!AL12)*((s_Q_p_fowl*s_f_p_fowl*s_f_s_fowl*(up_RadSpec!BD12+s_R_es_past))+(s_Q_s_fowl*s_f_p_fowl)),0)</f>
        <v>1320000</v>
      </c>
      <c r="T12" s="18"/>
      <c r="U12" s="18"/>
      <c r="V12" s="18"/>
      <c r="W12" s="5"/>
      <c r="X12" s="5"/>
      <c r="Y12" s="18"/>
      <c r="Z12" s="15">
        <f>IFERROR((s_TR/(up_RadSpec!G12*s_EF_rec*(1/365)*s_ED_rec*up_RadSpec!R12*s_ET_rec*(1/24)*up_RadSpec!W12)),".")</f>
        <v>7.1282058319039457E-5</v>
      </c>
      <c r="AA12" s="15">
        <f>IFERROR((s_TR/(up_RadSpec!N12*s_EF_rec*(1/365)*s_ED_rec*up_RadSpec!S12*s_ET_rec*(1/24)*up_RadSpec!X12)),".")</f>
        <v>1.2788458442018489E-4</v>
      </c>
      <c r="AB12" s="15">
        <f>IFERROR((s_TR/(up_RadSpec!O12*s_EF_rec*(1/365)*s_ED_rec*up_RadSpec!T12*s_ET_rec*(1/24)*up_RadSpec!Y12)),".")</f>
        <v>9.2727530906164851E-5</v>
      </c>
      <c r="AC12" s="15">
        <f>IFERROR((s_TR/(up_RadSpec!P12*s_EF_rec*(1/365)*s_ED_rec*up_RadSpec!U12*s_ET_rec*(1/24)*up_RadSpec!Z12)),".")</f>
        <v>8.1891342636499108E-5</v>
      </c>
      <c r="AD12" s="15">
        <f>IFERROR((s_TR/(up_RadSpec!L12*s_EF_rec*(1/365)*s_ED_rec*up_RadSpec!Q12*s_ET_rec*(1/24)*up_RadSpec!V12)),".")</f>
        <v>2.207606679035251E-4</v>
      </c>
      <c r="AE12" s="40">
        <f>IFERROR((s_C*s_EF_rec*(1/365)*s_ED_rec*up_RadSpec!R12*s_ET_rec*(1/24)*up_RadSpec!W12),".")</f>
        <v>0.14028775593491802</v>
      </c>
      <c r="AF12" s="40">
        <f>IFERROR((s_C*s_EF_rec*(1/365)*s_ED_rec*up_RadSpec!S12*s_ET_rec*(1/24)*up_RadSpec!X12),".")</f>
        <v>7.8195507655116819E-2</v>
      </c>
      <c r="AG12" s="40">
        <f>IFERROR((s_C*s_EF_rec*(1/365)*s_ED_rec*up_RadSpec!T12*s_ET_rec*(1/24)*up_RadSpec!Y12),".")</f>
        <v>0.10784283699001378</v>
      </c>
      <c r="AH12" s="40">
        <f>IFERROR((s_C*s_EF_rec*(1/365)*s_ED_rec*up_RadSpec!U12*s_ET_rec*(1/24)*up_RadSpec!Z12),".")</f>
        <v>0.12211303024286946</v>
      </c>
      <c r="AI12" s="40">
        <f>IFERROR((s_C*s_EF_rec*(1/365)*s_ED_rec*up_RadSpec!Q12*s_ET_rec*(1/24)*up_RadSpec!V12),".")</f>
        <v>4.5297924195310521E-2</v>
      </c>
      <c r="AJ12" s="18"/>
      <c r="AK12" s="18"/>
      <c r="AL12" s="18"/>
      <c r="AM12" s="18"/>
      <c r="AN12" s="18"/>
      <c r="AO12" s="15">
        <f>IFERROR((s_TR/(up_RadSpec!F12*s_IFA_rec_adj)),".")</f>
        <v>9.9740259740259755E-10</v>
      </c>
      <c r="AP12" s="15">
        <f>IFERROR((s_TR/(up_RadSpec!K12*s_EF_rec*(1/365)*s_ED_rec*s_ET_rec*(1/24)*s_GSF_a)),".")</f>
        <v>6.3709090909090908E-6</v>
      </c>
      <c r="AQ12" s="15">
        <f t="shared" si="13"/>
        <v>9.9724647271019672E-10</v>
      </c>
      <c r="AR12" s="40">
        <f t="shared" si="3"/>
        <v>10026.041666666666</v>
      </c>
      <c r="AS12" s="40">
        <f t="shared" si="4"/>
        <v>1.5696347031963471</v>
      </c>
      <c r="AT12" s="45"/>
      <c r="AU12" s="45"/>
      <c r="AV12" s="45"/>
      <c r="AW12" s="15">
        <f>IFERROR((s_TR/(up_RadSpec!I12*s_IFW_rec_adj)),".")</f>
        <v>2.272727272727273E-10</v>
      </c>
      <c r="AX12" s="15">
        <f>IFERROR((s_TR/(up_RadSpec!M12*(1/8760)*s_DFA_rec_adj)),".")</f>
        <v>3.9818181818181825E-6</v>
      </c>
      <c r="AY12" s="2">
        <f>IFERROR(BO12/(up_RadSpec!AI12*s_Q_w_game*(1/1000)),".")</f>
        <v>1.8181818181818183E-7</v>
      </c>
      <c r="AZ12" s="2">
        <f>IFERROR(BO12/(up_RadSpec!AL12*s_Q_w_fowl*(1/1000)),".")</f>
        <v>1.8181818181818183E-7</v>
      </c>
      <c r="BA12" s="244">
        <f t="shared" si="5"/>
        <v>4399999999.999999</v>
      </c>
      <c r="BB12" s="244">
        <f t="shared" si="5"/>
        <v>251141.55251141547</v>
      </c>
      <c r="BC12" s="244">
        <f t="shared" si="5"/>
        <v>5500000</v>
      </c>
      <c r="BD12" s="244">
        <f t="shared" si="5"/>
        <v>5500000</v>
      </c>
      <c r="BE12" s="2">
        <f t="shared" si="12"/>
        <v>2.2669305553255277E-10</v>
      </c>
      <c r="BF12" s="40">
        <f t="shared" si="6"/>
        <v>44000</v>
      </c>
      <c r="BG12" s="40">
        <f t="shared" si="7"/>
        <v>2.5114155251141552</v>
      </c>
      <c r="BH12" s="19">
        <f>IFERROR(s_C*up_RadSpec!AI12*s_Q_w_game*(1/1000)*s_EF_rec*s_ED_rec*s_IRGL_rec*s_CF_game,".")</f>
        <v>55</v>
      </c>
      <c r="BI12" s="19">
        <f>IFERROR(s_C*up_RadSpec!AL12*s_Q_w_fowl*(1/1000)*s_EF_rec*s_ED_rec*s_IRGL_rec*s_CF_fowl,0)</f>
        <v>55</v>
      </c>
      <c r="BJ12" s="18"/>
      <c r="BK12" s="18"/>
      <c r="BL12" s="5"/>
      <c r="BM12" s="5"/>
      <c r="BN12" s="18"/>
      <c r="BO12" s="2">
        <f>IFERROR(s_TR/(up_RadSpec!H12*s_EF_rec*s_ED_rec*s_IRGL_rec*s_CF_game),".")</f>
        <v>1.8181818181818184E-9</v>
      </c>
      <c r="BP12" s="2">
        <f>IFERROR(s_TR/(up_RadSpec!H12*s_EF_rec*s_ED_rec*s_IRGF_rec*s_CF_fowl),".")</f>
        <v>1.8181818181818184E-9</v>
      </c>
      <c r="BQ12" s="19">
        <f t="shared" si="8"/>
        <v>5500</v>
      </c>
      <c r="BR12" s="19">
        <f t="shared" si="9"/>
        <v>5500</v>
      </c>
      <c r="BS12" s="5"/>
      <c r="BT12" s="5"/>
    </row>
    <row r="13" spans="1:72" customFormat="1" x14ac:dyDescent="0.25">
      <c r="A13" s="44" t="s">
        <v>23</v>
      </c>
      <c r="B13" s="42" t="s">
        <v>1071</v>
      </c>
      <c r="C13" s="42"/>
      <c r="D13" s="15">
        <f>IFERROR(((s_TR/(up_RadSpec!E13*s_IFS_rec_adj*(1/1000)))*1),".")</f>
        <v>3.3057851239669421E-8</v>
      </c>
      <c r="E13" s="15">
        <f>IFERROR(IF(A13="H-3",(s_TR/((up_RadSpec!F13*s_IFA_rec_adj*(1/17)*1000))*1),(s_TR/((up_RadSpec!F13*s_IFA_rec_adj*(1/s_PEF_wind)*1000))*1)),".")</f>
        <v>3.0899917851942918E-4</v>
      </c>
      <c r="F13" s="2">
        <f>IFERROR((s_TR/(up_RadSpec!G13*s_EF_rec*(1/365)*s_ED_rec*up_RadSpec!R13*s_ET_rec*(1/24)*up_RadSpec!W13)),".")</f>
        <v>5.4790618044855369E-4</v>
      </c>
      <c r="G13" s="2">
        <f>IFERROR((BO13/(up_RadSpec!AI13*((s_Q_p_game*s_f_p_game*s_f_s_game*(up_RadSpec!BD13+s_R_es_past))+(s_Q_s_game*s_f_p_game)))),".")</f>
        <v>7.5757575757575769E-12</v>
      </c>
      <c r="H13" s="2">
        <f>IFERROR((BO13/(up_RadSpec!AL13*((s_Q_p_fowl*s_f_p_fowl*s_f_s_fowl*(up_RadSpec!BD13+s_R_es_past))+(s_Q_s_fowl*s_f_p_fowl)))),".")</f>
        <v>7.5757575757575769E-12</v>
      </c>
      <c r="I13" s="244">
        <f t="shared" si="10"/>
        <v>30250000</v>
      </c>
      <c r="J13" s="244">
        <f t="shared" si="0"/>
        <v>3236.2545583179349</v>
      </c>
      <c r="K13" s="244">
        <f t="shared" si="0"/>
        <v>1825.1299870012986</v>
      </c>
      <c r="L13" s="244">
        <f t="shared" si="0"/>
        <v>131999999999.99998</v>
      </c>
      <c r="M13" s="244">
        <f t="shared" si="0"/>
        <v>131999999999.99998</v>
      </c>
      <c r="N13" s="2">
        <f t="shared" si="11"/>
        <v>3.787444737223427E-12</v>
      </c>
      <c r="O13" s="40">
        <f t="shared" si="1"/>
        <v>302.5</v>
      </c>
      <c r="P13" s="40">
        <f t="shared" si="2"/>
        <v>3.2362545583179352E-2</v>
      </c>
      <c r="Q13" s="40">
        <f>IFERROR((s_C*s_EF_rec*(1/365)*s_ED_rec*up_RadSpec!R13*s_ET_rec*(1/24)*up_RadSpec!W13),".")</f>
        <v>1.8251299870012987E-2</v>
      </c>
      <c r="R13" s="19">
        <f>IFERROR((s_C*s_IRGL_rec*s_EF_rec*s_ED_rec*s_CF_game*up_RadSpec!AI13)*((s_Q_p_game*s_f_p_game*s_f_s_game*(up_RadSpec!BD13+s_R_es_past))+(s_Q_s_game*s_f_p_game)),".")</f>
        <v>1320000</v>
      </c>
      <c r="S13" s="19">
        <f>IFERROR((s_C*s_IRGF_rec*s_EF_rec*s_ED_rec*s_CF_fowl*up_RadSpec!AL13)*((s_Q_p_fowl*s_f_p_fowl*s_f_s_fowl*(up_RadSpec!BD13+s_R_es_past))+(s_Q_s_fowl*s_f_p_fowl)),0)</f>
        <v>1320000</v>
      </c>
      <c r="T13" s="18"/>
      <c r="U13" s="18"/>
      <c r="V13" s="18"/>
      <c r="W13" s="5"/>
      <c r="X13" s="5"/>
      <c r="Y13" s="18"/>
      <c r="Z13" s="15">
        <f>IFERROR((s_TR/(up_RadSpec!G13*s_EF_rec*(1/365)*s_ED_rec*up_RadSpec!R13*s_ET_rec*(1/24)*up_RadSpec!W13)),".")</f>
        <v>5.4790618044855369E-4</v>
      </c>
      <c r="AA13" s="15">
        <f>IFERROR((s_TR/(up_RadSpec!N13*s_EF_rec*(1/365)*s_ED_rec*up_RadSpec!S13*s_ET_rec*(1/24)*up_RadSpec!X13)),".")</f>
        <v>1.1948632373213381E-3</v>
      </c>
      <c r="AB13" s="15">
        <f>IFERROR((s_TR/(up_RadSpec!O13*s_EF_rec*(1/365)*s_ED_rec*up_RadSpec!T13*s_ET_rec*(1/24)*up_RadSpec!Y13)),".")</f>
        <v>7.0985979194934407E-4</v>
      </c>
      <c r="AC13" s="15">
        <f>IFERROR((s_TR/(up_RadSpec!P13*s_EF_rec*(1/365)*s_ED_rec*up_RadSpec!U13*s_ET_rec*(1/24)*up_RadSpec!Z13)),".")</f>
        <v>5.8600282168498098E-4</v>
      </c>
      <c r="AD13" s="15">
        <f>IFERROR((s_TR/(up_RadSpec!L13*s_EF_rec*(1/365)*s_ED_rec*up_RadSpec!Q13*s_ET_rec*(1/24)*up_RadSpec!V13)),".")</f>
        <v>1.1495129870129867E-2</v>
      </c>
      <c r="AE13" s="40">
        <f>IFERROR((s_C*s_EF_rec*(1/365)*s_ED_rec*up_RadSpec!R13*s_ET_rec*(1/24)*up_RadSpec!W13),".")</f>
        <v>1.8251299870012987E-2</v>
      </c>
      <c r="AF13" s="40">
        <f>IFERROR((s_C*s_EF_rec*(1/365)*s_ED_rec*up_RadSpec!S13*s_ET_rec*(1/24)*up_RadSpec!X13),".")</f>
        <v>8.3691586515107341E-3</v>
      </c>
      <c r="AG13" s="40">
        <f>IFERROR((s_C*s_EF_rec*(1/365)*s_ED_rec*up_RadSpec!T13*s_ET_rec*(1/24)*up_RadSpec!Y13),".")</f>
        <v>1.4087288945524055E-2</v>
      </c>
      <c r="AH13" s="40">
        <f>IFERROR((s_C*s_EF_rec*(1/365)*s_ED_rec*up_RadSpec!U13*s_ET_rec*(1/24)*up_RadSpec!Z13),".")</f>
        <v>1.7064764246776488E-2</v>
      </c>
      <c r="AI13" s="40">
        <f>IFERROR((s_C*s_EF_rec*(1/365)*s_ED_rec*up_RadSpec!Q13*s_ET_rec*(1/24)*up_RadSpec!V13),".")</f>
        <v>8.6993362519418194E-4</v>
      </c>
      <c r="AJ13" s="18"/>
      <c r="AK13" s="18"/>
      <c r="AL13" s="18"/>
      <c r="AM13" s="18"/>
      <c r="AN13" s="18"/>
      <c r="AO13" s="15">
        <f>IFERROR((s_TR/(up_RadSpec!F13*s_IFA_rec_adj)),".")</f>
        <v>9.9740259740259755E-10</v>
      </c>
      <c r="AP13" s="15">
        <f>IFERROR((s_TR/(up_RadSpec!K13*s_EF_rec*(1/365)*s_ED_rec*s_ET_rec*(1/24)*s_GSF_a)),".")</f>
        <v>6.3709090909090908E-6</v>
      </c>
      <c r="AQ13" s="15">
        <f t="shared" si="13"/>
        <v>9.9724647271019672E-10</v>
      </c>
      <c r="AR13" s="40">
        <f t="shared" si="3"/>
        <v>10026.041666666666</v>
      </c>
      <c r="AS13" s="40">
        <f t="shared" si="4"/>
        <v>1.5696347031963471</v>
      </c>
      <c r="AT13" s="45"/>
      <c r="AU13" s="45"/>
      <c r="AV13" s="45"/>
      <c r="AW13" s="15">
        <f>IFERROR((s_TR/(up_RadSpec!I13*s_IFW_rec_adj)),".")</f>
        <v>2.272727272727273E-10</v>
      </c>
      <c r="AX13" s="15">
        <f>IFERROR((s_TR/(up_RadSpec!M13*(1/8760)*s_DFA_rec_adj)),".")</f>
        <v>3.9818181818181825E-6</v>
      </c>
      <c r="AY13" s="2">
        <f>IFERROR(BO13/(up_RadSpec!AI13*s_Q_w_game*(1/1000)),".")</f>
        <v>1.8181818181818183E-7</v>
      </c>
      <c r="AZ13" s="2">
        <f>IFERROR(BO13/(up_RadSpec!AL13*s_Q_w_fowl*(1/1000)),".")</f>
        <v>1.8181818181818183E-7</v>
      </c>
      <c r="BA13" s="244">
        <f t="shared" si="5"/>
        <v>4399999999.999999</v>
      </c>
      <c r="BB13" s="244">
        <f t="shared" si="5"/>
        <v>251141.55251141547</v>
      </c>
      <c r="BC13" s="244">
        <f t="shared" si="5"/>
        <v>5500000</v>
      </c>
      <c r="BD13" s="244">
        <f t="shared" si="5"/>
        <v>5500000</v>
      </c>
      <c r="BE13" s="2">
        <f t="shared" si="12"/>
        <v>2.2669305553255277E-10</v>
      </c>
      <c r="BF13" s="40">
        <f t="shared" si="6"/>
        <v>44000</v>
      </c>
      <c r="BG13" s="40">
        <f t="shared" si="7"/>
        <v>2.5114155251141552</v>
      </c>
      <c r="BH13" s="19">
        <f>IFERROR(s_C*up_RadSpec!AI13*s_Q_w_game*(1/1000)*s_EF_rec*s_ED_rec*s_IRGL_rec*s_CF_game,".")</f>
        <v>55</v>
      </c>
      <c r="BI13" s="19">
        <f>IFERROR(s_C*up_RadSpec!AL13*s_Q_w_fowl*(1/1000)*s_EF_rec*s_ED_rec*s_IRGL_rec*s_CF_fowl,0)</f>
        <v>55</v>
      </c>
      <c r="BJ13" s="18"/>
      <c r="BK13" s="18"/>
      <c r="BL13" s="5"/>
      <c r="BM13" s="5"/>
      <c r="BN13" s="18"/>
      <c r="BO13" s="2">
        <f>IFERROR(s_TR/(up_RadSpec!H13*s_EF_rec*s_ED_rec*s_IRGL_rec*s_CF_game),".")</f>
        <v>1.8181818181818184E-9</v>
      </c>
      <c r="BP13" s="2">
        <f>IFERROR(s_TR/(up_RadSpec!H13*s_EF_rec*s_ED_rec*s_IRGF_rec*s_CF_fowl),".")</f>
        <v>1.8181818181818184E-9</v>
      </c>
      <c r="BQ13" s="19">
        <f t="shared" si="8"/>
        <v>5500</v>
      </c>
      <c r="BR13" s="19">
        <f t="shared" si="9"/>
        <v>5500</v>
      </c>
      <c r="BS13" s="5"/>
      <c r="BT13" s="5"/>
    </row>
    <row r="14" spans="1:72" customFormat="1" x14ac:dyDescent="0.25">
      <c r="A14" s="44" t="s">
        <v>24</v>
      </c>
      <c r="B14" s="42" t="s">
        <v>1071</v>
      </c>
      <c r="C14" s="42"/>
      <c r="D14" s="15">
        <f>IFERROR(((s_TR/(up_RadSpec!E14*s_IFS_rec_adj*(1/1000)))*1),".")</f>
        <v>3.3057851239669421E-8</v>
      </c>
      <c r="E14" s="15">
        <f>IFERROR(IF(A14="H-3",(s_TR/((up_RadSpec!F14*s_IFA_rec_adj*(1/17)*1000))*1),(s_TR/((up_RadSpec!F14*s_IFA_rec_adj*(1/s_PEF_wind)*1000))*1)),".")</f>
        <v>3.0899917851942918E-4</v>
      </c>
      <c r="F14" s="2">
        <f>IFERROR((s_TR/(up_RadSpec!G14*s_EF_rec*(1/365)*s_ED_rec*up_RadSpec!R14*s_ET_rec*(1/24)*up_RadSpec!W14)),".")</f>
        <v>8.2250179434746663E-5</v>
      </c>
      <c r="G14" s="2">
        <f>IFERROR((BO14/(up_RadSpec!AI14*((s_Q_p_game*s_f_p_game*s_f_s_game*(up_RadSpec!BD14+s_R_es_past))+(s_Q_s_game*s_f_p_game)))),".")</f>
        <v>7.5757575757575769E-12</v>
      </c>
      <c r="H14" s="2">
        <f>IFERROR((BO14/(up_RadSpec!AL14*((s_Q_p_fowl*s_f_p_fowl*s_f_s_fowl*(up_RadSpec!BD14+s_R_es_past))+(s_Q_s_fowl*s_f_p_fowl)))),".")</f>
        <v>7.5757575757575769E-12</v>
      </c>
      <c r="I14" s="244">
        <f t="shared" si="10"/>
        <v>30250000</v>
      </c>
      <c r="J14" s="244">
        <f t="shared" si="0"/>
        <v>3236.2545583179349</v>
      </c>
      <c r="K14" s="244">
        <f t="shared" si="0"/>
        <v>12158.028187565864</v>
      </c>
      <c r="L14" s="244">
        <f t="shared" si="0"/>
        <v>131999999999.99998</v>
      </c>
      <c r="M14" s="244">
        <f t="shared" si="0"/>
        <v>131999999999.99998</v>
      </c>
      <c r="N14" s="2">
        <f t="shared" si="11"/>
        <v>3.7874445890007198E-12</v>
      </c>
      <c r="O14" s="40">
        <f t="shared" si="1"/>
        <v>302.5</v>
      </c>
      <c r="P14" s="40">
        <f t="shared" si="2"/>
        <v>3.2362545583179352E-2</v>
      </c>
      <c r="Q14" s="40">
        <f>IFERROR((s_C*s_EF_rec*(1/365)*s_ED_rec*up_RadSpec!R14*s_ET_rec*(1/24)*up_RadSpec!W14),".")</f>
        <v>0.12158028187565864</v>
      </c>
      <c r="R14" s="19">
        <f>IFERROR((s_C*s_IRGL_rec*s_EF_rec*s_ED_rec*s_CF_game*up_RadSpec!AI14)*((s_Q_p_game*s_f_p_game*s_f_s_game*(up_RadSpec!BD14+s_R_es_past))+(s_Q_s_game*s_f_p_game)),".")</f>
        <v>1320000</v>
      </c>
      <c r="S14" s="19">
        <f>IFERROR((s_C*s_IRGF_rec*s_EF_rec*s_ED_rec*s_CF_fowl*up_RadSpec!AL14)*((s_Q_p_fowl*s_f_p_fowl*s_f_s_fowl*(up_RadSpec!BD14+s_R_es_past))+(s_Q_s_fowl*s_f_p_fowl)),0)</f>
        <v>1320000</v>
      </c>
      <c r="T14" s="18"/>
      <c r="U14" s="18"/>
      <c r="V14" s="18"/>
      <c r="W14" s="5"/>
      <c r="X14" s="5"/>
      <c r="Y14" s="18"/>
      <c r="Z14" s="15">
        <f>IFERROR((s_TR/(up_RadSpec!G14*s_EF_rec*(1/365)*s_ED_rec*up_RadSpec!R14*s_ET_rec*(1/24)*up_RadSpec!W14)),".")</f>
        <v>8.2250179434746663E-5</v>
      </c>
      <c r="AA14" s="15">
        <f>IFERROR((s_TR/(up_RadSpec!N14*s_EF_rec*(1/365)*s_ED_rec*up_RadSpec!S14*s_ET_rec*(1/24)*up_RadSpec!X14)),".")</f>
        <v>1.4937483186060481E-4</v>
      </c>
      <c r="AB14" s="15">
        <f>IFERROR((s_TR/(up_RadSpec!O14*s_EF_rec*(1/365)*s_ED_rec*up_RadSpec!T14*s_ET_rec*(1/24)*up_RadSpec!Y14)),".")</f>
        <v>1.1043933455751371E-4</v>
      </c>
      <c r="AC14" s="15">
        <f>IFERROR((s_TR/(up_RadSpec!P14*s_EF_rec*(1/365)*s_ED_rec*up_RadSpec!U14*s_ET_rec*(1/24)*up_RadSpec!Z14)),".")</f>
        <v>9.6777614763226299E-5</v>
      </c>
      <c r="AD14" s="15">
        <f>IFERROR((s_TR/(up_RadSpec!L14*s_EF_rec*(1/365)*s_ED_rec*up_RadSpec!Q14*s_ET_rec*(1/24)*up_RadSpec!V14)),".")</f>
        <v>4.1679600886917979E-4</v>
      </c>
      <c r="AE14" s="40">
        <f>IFERROR((s_C*s_EF_rec*(1/365)*s_ED_rec*up_RadSpec!R14*s_ET_rec*(1/24)*up_RadSpec!W14),".")</f>
        <v>0.12158028187565864</v>
      </c>
      <c r="AF14" s="40">
        <f>IFERROR((s_C*s_EF_rec*(1/365)*s_ED_rec*up_RadSpec!S14*s_ET_rec*(1/24)*up_RadSpec!X14),".")</f>
        <v>6.6945682049917937E-2</v>
      </c>
      <c r="AG14" s="40">
        <f>IFERROR((s_C*s_EF_rec*(1/365)*s_ED_rec*up_RadSpec!T14*s_ET_rec*(1/24)*up_RadSpec!Y14),".")</f>
        <v>9.0547448878300518E-2</v>
      </c>
      <c r="AH14" s="40">
        <f>IFERROR((s_C*s_EF_rec*(1/365)*s_ED_rec*up_RadSpec!U14*s_ET_rec*(1/24)*up_RadSpec!Z14),".")</f>
        <v>0.10332968036529679</v>
      </c>
      <c r="AI14" s="40">
        <f>IFERROR((s_C*s_EF_rec*(1/365)*s_ED_rec*up_RadSpec!Q14*s_ET_rec*(1/24)*up_RadSpec!V14),".")</f>
        <v>2.3992552201090561E-2</v>
      </c>
      <c r="AJ14" s="18"/>
      <c r="AK14" s="18"/>
      <c r="AL14" s="18"/>
      <c r="AM14" s="18"/>
      <c r="AN14" s="18"/>
      <c r="AO14" s="15">
        <f>IFERROR((s_TR/(up_RadSpec!F14*s_IFA_rec_adj)),".")</f>
        <v>9.9740259740259755E-10</v>
      </c>
      <c r="AP14" s="15">
        <f>IFERROR((s_TR/(up_RadSpec!K14*s_EF_rec*(1/365)*s_ED_rec*s_ET_rec*(1/24)*s_GSF_a)),".")</f>
        <v>6.3709090909090908E-6</v>
      </c>
      <c r="AQ14" s="15">
        <f t="shared" si="13"/>
        <v>9.9724647271019672E-10</v>
      </c>
      <c r="AR14" s="40">
        <f t="shared" si="3"/>
        <v>10026.041666666666</v>
      </c>
      <c r="AS14" s="40">
        <f t="shared" si="4"/>
        <v>1.5696347031963471</v>
      </c>
      <c r="AT14" s="45"/>
      <c r="AU14" s="45"/>
      <c r="AV14" s="45"/>
      <c r="AW14" s="15">
        <f>IFERROR((s_TR/(up_RadSpec!I14*s_IFW_rec_adj)),".")</f>
        <v>2.272727272727273E-10</v>
      </c>
      <c r="AX14" s="15">
        <f>IFERROR((s_TR/(up_RadSpec!M14*(1/8760)*s_DFA_rec_adj)),".")</f>
        <v>3.9818181818181825E-6</v>
      </c>
      <c r="AY14" s="2">
        <f>IFERROR(BO14/(up_RadSpec!AI14*s_Q_w_game*(1/1000)),".")</f>
        <v>1.8181818181818183E-7</v>
      </c>
      <c r="AZ14" s="2">
        <f>IFERROR(BO14/(up_RadSpec!AL14*s_Q_w_fowl*(1/1000)),".")</f>
        <v>1.8181818181818183E-7</v>
      </c>
      <c r="BA14" s="244">
        <f t="shared" si="5"/>
        <v>4399999999.999999</v>
      </c>
      <c r="BB14" s="244">
        <f t="shared" si="5"/>
        <v>251141.55251141547</v>
      </c>
      <c r="BC14" s="244">
        <f t="shared" si="5"/>
        <v>5500000</v>
      </c>
      <c r="BD14" s="244">
        <f t="shared" si="5"/>
        <v>5500000</v>
      </c>
      <c r="BE14" s="2">
        <f t="shared" si="12"/>
        <v>2.2669305553255277E-10</v>
      </c>
      <c r="BF14" s="40">
        <f t="shared" si="6"/>
        <v>44000</v>
      </c>
      <c r="BG14" s="40">
        <f t="shared" si="7"/>
        <v>2.5114155251141552</v>
      </c>
      <c r="BH14" s="19">
        <f>IFERROR(s_C*up_RadSpec!AI14*s_Q_w_game*(1/1000)*s_EF_rec*s_ED_rec*s_IRGL_rec*s_CF_game,".")</f>
        <v>55</v>
      </c>
      <c r="BI14" s="19">
        <f>IFERROR(s_C*up_RadSpec!AL14*s_Q_w_fowl*(1/1000)*s_EF_rec*s_ED_rec*s_IRGL_rec*s_CF_fowl,0)</f>
        <v>55</v>
      </c>
      <c r="BJ14" s="18"/>
      <c r="BK14" s="18"/>
      <c r="BL14" s="5"/>
      <c r="BM14" s="5"/>
      <c r="BN14" s="18"/>
      <c r="BO14" s="2">
        <f>IFERROR(s_TR/(up_RadSpec!H14*s_EF_rec*s_ED_rec*s_IRGL_rec*s_CF_game),".")</f>
        <v>1.8181818181818184E-9</v>
      </c>
      <c r="BP14" s="2">
        <f>IFERROR(s_TR/(up_RadSpec!H14*s_EF_rec*s_ED_rec*s_IRGF_rec*s_CF_fowl),".")</f>
        <v>1.8181818181818184E-9</v>
      </c>
      <c r="BQ14" s="19">
        <f t="shared" si="8"/>
        <v>5500</v>
      </c>
      <c r="BR14" s="19">
        <f t="shared" si="9"/>
        <v>5500</v>
      </c>
      <c r="BS14" s="5"/>
      <c r="BT14" s="5"/>
    </row>
    <row r="15" spans="1:72" customFormat="1" x14ac:dyDescent="0.25">
      <c r="A15" s="44" t="s">
        <v>25</v>
      </c>
      <c r="B15" s="42" t="s">
        <v>1071</v>
      </c>
      <c r="C15" s="42"/>
      <c r="D15" s="15">
        <f>IFERROR(((s_TR/(up_RadSpec!E15*s_IFS_rec_adj*(1/1000)))*1),".")</f>
        <v>3.3057851239669421E-8</v>
      </c>
      <c r="E15" s="15">
        <f>IFERROR(IF(A15="H-3",(s_TR/((up_RadSpec!F15*s_IFA_rec_adj*(1/17)*1000))*1),(s_TR/((up_RadSpec!F15*s_IFA_rec_adj*(1/s_PEF_wind)*1000))*1)),".")</f>
        <v>3.0899917851942918E-4</v>
      </c>
      <c r="F15" s="2" t="str">
        <f>IFERROR((s_TR/(up_RadSpec!G15*s_EF_rec*(1/365)*s_ED_rec*up_RadSpec!R15*s_ET_rec*(1/24)*up_RadSpec!W15)),".")</f>
        <v>.</v>
      </c>
      <c r="G15" s="2">
        <f>IFERROR((BO15/(up_RadSpec!AI15*((s_Q_p_game*s_f_p_game*s_f_s_game*(up_RadSpec!BD15+s_R_es_past))+(s_Q_s_game*s_f_p_game)))),".")</f>
        <v>7.5757575757575769E-12</v>
      </c>
      <c r="H15" s="2">
        <f>IFERROR((BO15/(up_RadSpec!AL15*((s_Q_p_fowl*s_f_p_fowl*s_f_s_fowl*(up_RadSpec!BD15+s_R_es_past))+(s_Q_s_fowl*s_f_p_fowl)))),".")</f>
        <v>7.5757575757575769E-12</v>
      </c>
      <c r="I15" s="244">
        <f t="shared" si="10"/>
        <v>30250000</v>
      </c>
      <c r="J15" s="244">
        <f t="shared" si="0"/>
        <v>3236.2545583179349</v>
      </c>
      <c r="K15" s="244">
        <f t="shared" si="0"/>
        <v>0</v>
      </c>
      <c r="L15" s="244">
        <f t="shared" si="0"/>
        <v>131999999999.99998</v>
      </c>
      <c r="M15" s="244">
        <f t="shared" si="0"/>
        <v>131999999999.99998</v>
      </c>
      <c r="N15" s="2">
        <f t="shared" si="11"/>
        <v>3.787444763404439E-12</v>
      </c>
      <c r="O15" s="40">
        <f t="shared" si="1"/>
        <v>302.5</v>
      </c>
      <c r="P15" s="40">
        <f t="shared" si="2"/>
        <v>3.2362545583179352E-2</v>
      </c>
      <c r="Q15" s="40">
        <f>IFERROR((s_C*s_EF_rec*(1/365)*s_ED_rec*up_RadSpec!R15*s_ET_rec*(1/24)*up_RadSpec!W15),".")</f>
        <v>0</v>
      </c>
      <c r="R15" s="19">
        <f>IFERROR((s_C*s_IRGL_rec*s_EF_rec*s_ED_rec*s_CF_game*up_RadSpec!AI15)*((s_Q_p_game*s_f_p_game*s_f_s_game*(up_RadSpec!BD15+s_R_es_past))+(s_Q_s_game*s_f_p_game)),".")</f>
        <v>1320000</v>
      </c>
      <c r="S15" s="19">
        <f>IFERROR((s_C*s_IRGF_rec*s_EF_rec*s_ED_rec*s_CF_fowl*up_RadSpec!AL15)*((s_Q_p_fowl*s_f_p_fowl*s_f_s_fowl*(up_RadSpec!BD15+s_R_es_past))+(s_Q_s_fowl*s_f_p_fowl)),0)</f>
        <v>1320000</v>
      </c>
      <c r="T15" s="18"/>
      <c r="U15" s="18"/>
      <c r="V15" s="18"/>
      <c r="W15" s="5"/>
      <c r="X15" s="5"/>
      <c r="Y15" s="18"/>
      <c r="Z15" s="15" t="str">
        <f>IFERROR((s_TR/(up_RadSpec!G15*s_EF_rec*(1/365)*s_ED_rec*up_RadSpec!R15*s_ET_rec*(1/24)*up_RadSpec!W15)),".")</f>
        <v>.</v>
      </c>
      <c r="AA15" s="15" t="str">
        <f>IFERROR((s_TR/(up_RadSpec!N15*s_EF_rec*(1/365)*s_ED_rec*up_RadSpec!S15*s_ET_rec*(1/24)*up_RadSpec!X15)),".")</f>
        <v>.</v>
      </c>
      <c r="AB15" s="15" t="str">
        <f>IFERROR((s_TR/(up_RadSpec!O15*s_EF_rec*(1/365)*s_ED_rec*up_RadSpec!T15*s_ET_rec*(1/24)*up_RadSpec!Y15)),".")</f>
        <v>.</v>
      </c>
      <c r="AC15" s="15" t="str">
        <f>IFERROR((s_TR/(up_RadSpec!P15*s_EF_rec*(1/365)*s_ED_rec*up_RadSpec!U15*s_ET_rec*(1/24)*up_RadSpec!Z15)),".")</f>
        <v>.</v>
      </c>
      <c r="AD15" s="15" t="str">
        <f>IFERROR((s_TR/(up_RadSpec!L15*s_EF_rec*(1/365)*s_ED_rec*up_RadSpec!Q15*s_ET_rec*(1/24)*up_RadSpec!V15)),".")</f>
        <v>.</v>
      </c>
      <c r="AE15" s="40">
        <f>IFERROR((s_C*s_EF_rec*(1/365)*s_ED_rec*up_RadSpec!R15*s_ET_rec*(1/24)*up_RadSpec!W15),".")</f>
        <v>0</v>
      </c>
      <c r="AF15" s="40">
        <f>IFERROR((s_C*s_EF_rec*(1/365)*s_ED_rec*up_RadSpec!S15*s_ET_rec*(1/24)*up_RadSpec!X15),".")</f>
        <v>0</v>
      </c>
      <c r="AG15" s="40">
        <f>IFERROR((s_C*s_EF_rec*(1/365)*s_ED_rec*up_RadSpec!T15*s_ET_rec*(1/24)*up_RadSpec!Y15),".")</f>
        <v>0</v>
      </c>
      <c r="AH15" s="40">
        <f>IFERROR((s_C*s_EF_rec*(1/365)*s_ED_rec*up_RadSpec!U15*s_ET_rec*(1/24)*up_RadSpec!Z15),".")</f>
        <v>0</v>
      </c>
      <c r="AI15" s="40">
        <f>IFERROR((s_C*s_EF_rec*(1/365)*s_ED_rec*up_RadSpec!Q15*s_ET_rec*(1/24)*up_RadSpec!V15),".")</f>
        <v>0</v>
      </c>
      <c r="AJ15" s="18"/>
      <c r="AK15" s="18"/>
      <c r="AL15" s="18"/>
      <c r="AM15" s="18"/>
      <c r="AN15" s="18"/>
      <c r="AO15" s="15">
        <f>IFERROR((s_TR/(up_RadSpec!F15*s_IFA_rec_adj)),".")</f>
        <v>9.9740259740259755E-10</v>
      </c>
      <c r="AP15" s="15">
        <f>IFERROR((s_TR/(up_RadSpec!K15*s_EF_rec*(1/365)*s_ED_rec*s_ET_rec*(1/24)*s_GSF_a)),".")</f>
        <v>6.3709090909090908E-6</v>
      </c>
      <c r="AQ15" s="15">
        <f t="shared" si="13"/>
        <v>9.9724647271019672E-10</v>
      </c>
      <c r="AR15" s="40">
        <f t="shared" si="3"/>
        <v>10026.041666666666</v>
      </c>
      <c r="AS15" s="40">
        <f t="shared" si="4"/>
        <v>1.5696347031963471</v>
      </c>
      <c r="AT15" s="45"/>
      <c r="AU15" s="45"/>
      <c r="AV15" s="45"/>
      <c r="AW15" s="15">
        <f>IFERROR((s_TR/(up_RadSpec!I15*s_IFW_rec_adj)),".")</f>
        <v>2.272727272727273E-10</v>
      </c>
      <c r="AX15" s="15">
        <f>IFERROR((s_TR/(up_RadSpec!M15*(1/8760)*s_DFA_rec_adj)),".")</f>
        <v>3.9818181818181825E-6</v>
      </c>
      <c r="AY15" s="2">
        <f>IFERROR(BO15/(up_RadSpec!AI15*s_Q_w_game*(1/1000)),".")</f>
        <v>1.8181818181818183E-7</v>
      </c>
      <c r="AZ15" s="2">
        <f>IFERROR(BO15/(up_RadSpec!AL15*s_Q_w_fowl*(1/1000)),".")</f>
        <v>1.8181818181818183E-7</v>
      </c>
      <c r="BA15" s="244">
        <f t="shared" si="5"/>
        <v>4399999999.999999</v>
      </c>
      <c r="BB15" s="244">
        <f t="shared" si="5"/>
        <v>251141.55251141547</v>
      </c>
      <c r="BC15" s="244">
        <f t="shared" si="5"/>
        <v>5500000</v>
      </c>
      <c r="BD15" s="244">
        <f t="shared" si="5"/>
        <v>5500000</v>
      </c>
      <c r="BE15" s="2">
        <f t="shared" si="12"/>
        <v>2.2669305553255277E-10</v>
      </c>
      <c r="BF15" s="40">
        <f t="shared" si="6"/>
        <v>44000</v>
      </c>
      <c r="BG15" s="40">
        <f t="shared" si="7"/>
        <v>2.5114155251141552</v>
      </c>
      <c r="BH15" s="19">
        <f>IFERROR(s_C*up_RadSpec!AI15*s_Q_w_game*(1/1000)*s_EF_rec*s_ED_rec*s_IRGL_rec*s_CF_game,".")</f>
        <v>55</v>
      </c>
      <c r="BI15" s="19">
        <f>IFERROR(s_C*up_RadSpec!AL15*s_Q_w_fowl*(1/1000)*s_EF_rec*s_ED_rec*s_IRGL_rec*s_CF_fowl,0)</f>
        <v>55</v>
      </c>
      <c r="BJ15" s="18"/>
      <c r="BK15" s="18"/>
      <c r="BL15" s="5"/>
      <c r="BM15" s="5"/>
      <c r="BN15" s="18"/>
      <c r="BO15" s="2">
        <f>IFERROR(s_TR/(up_RadSpec!H15*s_EF_rec*s_ED_rec*s_IRGL_rec*s_CF_game),".")</f>
        <v>1.8181818181818184E-9</v>
      </c>
      <c r="BP15" s="2">
        <f>IFERROR(s_TR/(up_RadSpec!H15*s_EF_rec*s_ED_rec*s_IRGF_rec*s_CF_fowl),".")</f>
        <v>1.8181818181818184E-9</v>
      </c>
      <c r="BQ15" s="19">
        <f t="shared" si="8"/>
        <v>5500</v>
      </c>
      <c r="BR15" s="19">
        <f t="shared" si="9"/>
        <v>5500</v>
      </c>
      <c r="BS15" s="5"/>
      <c r="BT15" s="5"/>
    </row>
    <row r="16" spans="1:72" customFormat="1" x14ac:dyDescent="0.25">
      <c r="A16" s="44" t="s">
        <v>26</v>
      </c>
      <c r="B16" s="42" t="s">
        <v>1071</v>
      </c>
      <c r="C16" s="249"/>
      <c r="D16" s="15">
        <f>IFERROR(((s_TR/(up_RadSpec!E16*s_IFS_rec_adj*(1/1000)))*1),".")</f>
        <v>3.3057851239669421E-8</v>
      </c>
      <c r="E16" s="15">
        <f>IFERROR(IF(A16="H-3",(s_TR/((up_RadSpec!F16*s_IFA_rec_adj*(1/17)*1000))*1),(s_TR/((up_RadSpec!F16*s_IFA_rec_adj*(1/s_PEF_wind)*1000))*1)),".")</f>
        <v>3.0899917851942918E-4</v>
      </c>
      <c r="F16" s="2">
        <f>IFERROR((s_TR/(up_RadSpec!G16*s_EF_rec*(1/365)*s_ED_rec*up_RadSpec!R16*s_ET_rec*(1/24)*up_RadSpec!W16)),".")</f>
        <v>0.76494620302510574</v>
      </c>
      <c r="G16" s="2">
        <f>IFERROR((BO16/(up_RadSpec!AI16*((s_Q_p_game*s_f_p_game*s_f_s_game*(up_RadSpec!BD16+s_R_es_past))+(s_Q_s_game*s_f_p_game)))),".")</f>
        <v>7.5757575757575769E-12</v>
      </c>
      <c r="H16" s="2">
        <f>IFERROR((BO16/(up_RadSpec!AL16*((s_Q_p_fowl*s_f_p_fowl*s_f_s_fowl*(up_RadSpec!BD16+s_R_es_past))+(s_Q_s_fowl*s_f_p_fowl)))),".")</f>
        <v>7.5757575757575769E-12</v>
      </c>
      <c r="I16" s="244">
        <f t="shared" si="10"/>
        <v>30250000</v>
      </c>
      <c r="J16" s="244">
        <f t="shared" si="0"/>
        <v>3236.2545583179349</v>
      </c>
      <c r="K16" s="244">
        <f t="shared" si="0"/>
        <v>1.3072814742335281</v>
      </c>
      <c r="L16" s="244">
        <f t="shared" si="0"/>
        <v>131999999999.99998</v>
      </c>
      <c r="M16" s="244">
        <f t="shared" si="0"/>
        <v>131999999999.99998</v>
      </c>
      <c r="N16" s="2">
        <f t="shared" si="11"/>
        <v>3.7874447633856853E-12</v>
      </c>
      <c r="O16" s="40">
        <f t="shared" si="1"/>
        <v>302.5</v>
      </c>
      <c r="P16" s="40">
        <f t="shared" si="2"/>
        <v>3.2362545583179352E-2</v>
      </c>
      <c r="Q16" s="40">
        <f>IFERROR((s_C*s_EF_rec*(1/365)*s_ED_rec*up_RadSpec!R16*s_ET_rec*(1/24)*up_RadSpec!W16),".")</f>
        <v>1.3072814742335284E-5</v>
      </c>
      <c r="R16" s="19">
        <f>IFERROR((s_C*s_IRGL_rec*s_EF_rec*s_ED_rec*s_CF_game*up_RadSpec!AI16)*((s_Q_p_game*s_f_p_game*s_f_s_game*(up_RadSpec!BD16+s_R_es_past))+(s_Q_s_game*s_f_p_game)),".")</f>
        <v>1320000</v>
      </c>
      <c r="S16" s="19">
        <f>IFERROR((s_C*s_IRGF_rec*s_EF_rec*s_ED_rec*s_CF_fowl*up_RadSpec!AL16)*((s_Q_p_fowl*s_f_p_fowl*s_f_s_fowl*(up_RadSpec!BD16+s_R_es_past))+(s_Q_s_fowl*s_f_p_fowl)),0)</f>
        <v>1320000</v>
      </c>
      <c r="T16" s="18"/>
      <c r="U16" s="18"/>
      <c r="V16" s="18"/>
      <c r="W16" s="5"/>
      <c r="X16" s="5"/>
      <c r="Y16" s="18"/>
      <c r="Z16" s="15">
        <f>IFERROR((s_TR/(up_RadSpec!G16*s_EF_rec*(1/365)*s_ED_rec*up_RadSpec!R16*s_ET_rec*(1/24)*up_RadSpec!W16)),".")</f>
        <v>0.76494620302510574</v>
      </c>
      <c r="AA16" s="15">
        <f>IFERROR((s_TR/(up_RadSpec!N16*s_EF_rec*(1/365)*s_ED_rec*up_RadSpec!S16*s_ET_rec*(1/24)*up_RadSpec!X16)),".")</f>
        <v>1.3623429416112349</v>
      </c>
      <c r="AB16" s="15">
        <f>IFERROR((s_TR/(up_RadSpec!O16*s_EF_rec*(1/365)*s_ED_rec*up_RadSpec!T16*s_ET_rec*(1/24)*up_RadSpec!Y16)),".")</f>
        <v>0.81841380561977772</v>
      </c>
      <c r="AC16" s="15">
        <f>IFERROR((s_TR/(up_RadSpec!P16*s_EF_rec*(1/365)*s_ED_rec*up_RadSpec!U16*s_ET_rec*(1/24)*up_RadSpec!Z16)),".")</f>
        <v>0.82264249380461774</v>
      </c>
      <c r="AD16" s="15">
        <f>IFERROR((s_TR/(up_RadSpec!L16*s_EF_rec*(1/365)*s_ED_rec*up_RadSpec!Q16*s_ET_rec*(1/24)*up_RadSpec!V16)),".")</f>
        <v>31.854545454545459</v>
      </c>
      <c r="AE16" s="40">
        <f>IFERROR((s_C*s_EF_rec*(1/365)*s_ED_rec*up_RadSpec!R16*s_ET_rec*(1/24)*up_RadSpec!W16),".")</f>
        <v>1.3072814742335284E-5</v>
      </c>
      <c r="AF16" s="40">
        <f>IFERROR((s_C*s_EF_rec*(1/365)*s_ED_rec*up_RadSpec!S16*s_ET_rec*(1/24)*up_RadSpec!X16),".")</f>
        <v>7.3402956734029545E-6</v>
      </c>
      <c r="AG16" s="40">
        <f>IFERROR((s_C*s_EF_rec*(1/365)*s_ED_rec*up_RadSpec!T16*s_ET_rec*(1/24)*up_RadSpec!Y16),".")</f>
        <v>1.2218757713192639E-5</v>
      </c>
      <c r="AH16" s="40">
        <f>IFERROR((s_C*s_EF_rec*(1/365)*s_ED_rec*up_RadSpec!U16*s_ET_rec*(1/24)*up_RadSpec!Z16),".")</f>
        <v>1.2155948756976146E-5</v>
      </c>
      <c r="AI16" s="40">
        <f>IFERROR((s_C*s_EF_rec*(1/365)*s_ED_rec*up_RadSpec!Q16*s_ET_rec*(1/24)*up_RadSpec!V16),".")</f>
        <v>3.1392694063926939E-7</v>
      </c>
      <c r="AJ16" s="18"/>
      <c r="AK16" s="18"/>
      <c r="AL16" s="18"/>
      <c r="AM16" s="18"/>
      <c r="AN16" s="18"/>
      <c r="AO16" s="15">
        <f>IFERROR((s_TR/(up_RadSpec!F16*s_IFA_rec_adj)),".")</f>
        <v>9.9740259740259755E-10</v>
      </c>
      <c r="AP16" s="15">
        <f>IFERROR((s_TR/(up_RadSpec!K16*s_EF_rec*(1/365)*s_ED_rec*s_ET_rec*(1/24)*s_GSF_a)),".")</f>
        <v>6.3709090909090908E-6</v>
      </c>
      <c r="AQ16" s="15">
        <f t="shared" si="13"/>
        <v>9.9724647271019672E-10</v>
      </c>
      <c r="AR16" s="40">
        <f t="shared" si="3"/>
        <v>10026.041666666666</v>
      </c>
      <c r="AS16" s="40">
        <f t="shared" si="4"/>
        <v>1.5696347031963471</v>
      </c>
      <c r="AT16" s="45"/>
      <c r="AU16" s="45"/>
      <c r="AV16" s="45"/>
      <c r="AW16" s="15">
        <f>IFERROR((s_TR/(up_RadSpec!I16*s_IFW_rec_adj)),".")</f>
        <v>2.272727272727273E-10</v>
      </c>
      <c r="AX16" s="15">
        <f>IFERROR((s_TR/(up_RadSpec!M16*(1/8760)*s_DFA_rec_adj)),".")</f>
        <v>3.9818181818181825E-6</v>
      </c>
      <c r="AY16" s="2">
        <f>IFERROR(BO16/(up_RadSpec!AI16*s_Q_w_game*(1/1000)),".")</f>
        <v>1.8181818181818183E-7</v>
      </c>
      <c r="AZ16" s="2">
        <f>IFERROR(BO16/(up_RadSpec!AL16*s_Q_w_fowl*(1/1000)),".")</f>
        <v>1.8181818181818183E-7</v>
      </c>
      <c r="BA16" s="244">
        <f t="shared" si="5"/>
        <v>4399999999.999999</v>
      </c>
      <c r="BB16" s="244">
        <f t="shared" si="5"/>
        <v>251141.55251141547</v>
      </c>
      <c r="BC16" s="244">
        <f t="shared" si="5"/>
        <v>5500000</v>
      </c>
      <c r="BD16" s="244">
        <f t="shared" si="5"/>
        <v>5500000</v>
      </c>
      <c r="BE16" s="2">
        <f t="shared" si="12"/>
        <v>2.2669305553255277E-10</v>
      </c>
      <c r="BF16" s="40">
        <f t="shared" si="6"/>
        <v>44000</v>
      </c>
      <c r="BG16" s="40">
        <f t="shared" si="7"/>
        <v>2.5114155251141552</v>
      </c>
      <c r="BH16" s="19">
        <f>IFERROR(s_C*up_RadSpec!AI16*s_Q_w_game*(1/1000)*s_EF_rec*s_ED_rec*s_IRGL_rec*s_CF_game,".")</f>
        <v>55</v>
      </c>
      <c r="BI16" s="19">
        <f>IFERROR(s_C*up_RadSpec!AL16*s_Q_w_fowl*(1/1000)*s_EF_rec*s_ED_rec*s_IRGL_rec*s_CF_fowl,0)</f>
        <v>55</v>
      </c>
      <c r="BJ16" s="18"/>
      <c r="BK16" s="18"/>
      <c r="BL16" s="5"/>
      <c r="BM16" s="5"/>
      <c r="BN16" s="18"/>
      <c r="BO16" s="2">
        <f>IFERROR(s_TR/(up_RadSpec!H16*s_EF_rec*s_ED_rec*s_IRGL_rec*s_CF_game),".")</f>
        <v>1.8181818181818184E-9</v>
      </c>
      <c r="BP16" s="2">
        <f>IFERROR(s_TR/(up_RadSpec!H16*s_EF_rec*s_ED_rec*s_IRGF_rec*s_CF_fowl),".")</f>
        <v>1.8181818181818184E-9</v>
      </c>
      <c r="BQ16" s="19">
        <f t="shared" si="8"/>
        <v>5500</v>
      </c>
      <c r="BR16" s="19">
        <f t="shared" si="9"/>
        <v>5500</v>
      </c>
      <c r="BS16" s="5"/>
      <c r="BT16" s="5"/>
    </row>
    <row r="17" spans="1:72" customFormat="1" x14ac:dyDescent="0.25">
      <c r="A17" s="44" t="s">
        <v>27</v>
      </c>
      <c r="B17" s="42" t="s">
        <v>1071</v>
      </c>
      <c r="C17" s="249"/>
      <c r="D17" s="15">
        <f>IFERROR(((s_TR/(up_RadSpec!E17*s_IFS_rec_adj*(1/1000)))*1),".")</f>
        <v>3.3057851239669421E-8</v>
      </c>
      <c r="E17" s="15">
        <f>IFERROR(IF(A17="H-3",(s_TR/((up_RadSpec!F17*s_IFA_rec_adj*(1/17)*1000))*1),(s_TR/((up_RadSpec!F17*s_IFA_rec_adj*(1/s_PEF_wind)*1000))*1)),".")</f>
        <v>3.0899917851942918E-4</v>
      </c>
      <c r="F17" s="2">
        <f>IFERROR((s_TR/(up_RadSpec!G17*s_EF_rec*(1/365)*s_ED_rec*up_RadSpec!R17*s_ET_rec*(1/24)*up_RadSpec!W17)),".")</f>
        <v>7.032821723730812E-5</v>
      </c>
      <c r="G17" s="2">
        <f>IFERROR((BO17/(up_RadSpec!AI17*((s_Q_p_game*s_f_p_game*s_f_s_game*(up_RadSpec!BD17+s_R_es_past))+(s_Q_s_game*s_f_p_game)))),".")</f>
        <v>7.5757575757575769E-12</v>
      </c>
      <c r="H17" s="2">
        <f>IFERROR((BO17/(up_RadSpec!AL17*((s_Q_p_fowl*s_f_p_fowl*s_f_s_fowl*(up_RadSpec!BD17+s_R_es_past))+(s_Q_s_fowl*s_f_p_fowl)))),".")</f>
        <v>7.5757575757575769E-12</v>
      </c>
      <c r="I17" s="244">
        <f t="shared" si="10"/>
        <v>30250000</v>
      </c>
      <c r="J17" s="244">
        <f t="shared" si="0"/>
        <v>3236.2545583179349</v>
      </c>
      <c r="K17" s="244">
        <f t="shared" si="0"/>
        <v>14219.043781896326</v>
      </c>
      <c r="L17" s="244">
        <f t="shared" si="0"/>
        <v>131999999999.99998</v>
      </c>
      <c r="M17" s="244">
        <f t="shared" si="0"/>
        <v>131999999999.99998</v>
      </c>
      <c r="N17" s="2">
        <f t="shared" si="11"/>
        <v>3.7874445594359938E-12</v>
      </c>
      <c r="O17" s="40">
        <f t="shared" si="1"/>
        <v>302.5</v>
      </c>
      <c r="P17" s="40">
        <f t="shared" si="2"/>
        <v>3.2362545583179352E-2</v>
      </c>
      <c r="Q17" s="40">
        <f>IFERROR((s_C*s_EF_rec*(1/365)*s_ED_rec*up_RadSpec!R17*s_ET_rec*(1/24)*up_RadSpec!W17),".")</f>
        <v>0.14219043781896326</v>
      </c>
      <c r="R17" s="19">
        <f>IFERROR((s_C*s_IRGL_rec*s_EF_rec*s_ED_rec*s_CF_game*up_RadSpec!AI17)*((s_Q_p_game*s_f_p_game*s_f_s_game*(up_RadSpec!BD17+s_R_es_past))+(s_Q_s_game*s_f_p_game)),".")</f>
        <v>1320000</v>
      </c>
      <c r="S17" s="19">
        <f>IFERROR((s_C*s_IRGF_rec*s_EF_rec*s_ED_rec*s_CF_fowl*up_RadSpec!AL17)*((s_Q_p_fowl*s_f_p_fowl*s_f_s_fowl*(up_RadSpec!BD17+s_R_es_past))+(s_Q_s_fowl*s_f_p_fowl)),0)</f>
        <v>1320000</v>
      </c>
      <c r="T17" s="18"/>
      <c r="U17" s="18"/>
      <c r="V17" s="18"/>
      <c r="W17" s="5"/>
      <c r="X17" s="5"/>
      <c r="Y17" s="18"/>
      <c r="Z17" s="15">
        <f>IFERROR((s_TR/(up_RadSpec!G17*s_EF_rec*(1/365)*s_ED_rec*up_RadSpec!R17*s_ET_rec*(1/24)*up_RadSpec!W17)),".")</f>
        <v>7.032821723730812E-5</v>
      </c>
      <c r="AA17" s="15">
        <f>IFERROR((s_TR/(up_RadSpec!N17*s_EF_rec*(1/365)*s_ED_rec*up_RadSpec!S17*s_ET_rec*(1/24)*up_RadSpec!X17)),".")</f>
        <v>1.2291326763688574E-4</v>
      </c>
      <c r="AB17" s="15">
        <f>IFERROR((s_TR/(up_RadSpec!O17*s_EF_rec*(1/365)*s_ED_rec*up_RadSpec!T17*s_ET_rec*(1/24)*up_RadSpec!Y17)),".")</f>
        <v>9.2604629075217329E-5</v>
      </c>
      <c r="AC17" s="15">
        <f>IFERROR((s_TR/(up_RadSpec!P17*s_EF_rec*(1/365)*s_ED_rec*up_RadSpec!U17*s_ET_rec*(1/24)*up_RadSpec!Z17)),".")</f>
        <v>8.2346950765735754E-5</v>
      </c>
      <c r="AD17" s="15">
        <f>IFERROR((s_TR/(up_RadSpec!L17*s_EF_rec*(1/365)*s_ED_rec*up_RadSpec!Q17*s_ET_rec*(1/24)*up_RadSpec!V17)),".")</f>
        <v>2.3551854998583974E-4</v>
      </c>
      <c r="AE17" s="40">
        <f>IFERROR((s_C*s_EF_rec*(1/365)*s_ED_rec*up_RadSpec!R17*s_ET_rec*(1/24)*up_RadSpec!W17),".")</f>
        <v>0.14219043781896326</v>
      </c>
      <c r="AF17" s="40">
        <f>IFERROR((s_C*s_EF_rec*(1/365)*s_ED_rec*up_RadSpec!S17*s_ET_rec*(1/24)*up_RadSpec!X17),".")</f>
        <v>8.1358182011256233E-2</v>
      </c>
      <c r="AG17" s="40">
        <f>IFERROR((s_C*s_EF_rec*(1/365)*s_ED_rec*up_RadSpec!T17*s_ET_rec*(1/24)*up_RadSpec!Y17),".")</f>
        <v>0.10798596247146117</v>
      </c>
      <c r="AH17" s="40">
        <f>IFERROR((s_C*s_EF_rec*(1/365)*s_ED_rec*up_RadSpec!U17*s_ET_rec*(1/24)*up_RadSpec!Z17),".")</f>
        <v>0.12143740487062409</v>
      </c>
      <c r="AI17" s="40">
        <f>IFERROR((s_C*s_EF_rec*(1/365)*s_ED_rec*up_RadSpec!Q17*s_ET_rec*(1/24)*up_RadSpec!V17),".")</f>
        <v>4.2459500538710171E-2</v>
      </c>
      <c r="AJ17" s="18"/>
      <c r="AK17" s="18"/>
      <c r="AL17" s="18"/>
      <c r="AM17" s="18"/>
      <c r="AN17" s="18"/>
      <c r="AO17" s="15">
        <f>IFERROR((s_TR/(up_RadSpec!F17*s_IFA_rec_adj)),".")</f>
        <v>9.9740259740259755E-10</v>
      </c>
      <c r="AP17" s="15">
        <f>IFERROR((s_TR/(up_RadSpec!K17*s_EF_rec*(1/365)*s_ED_rec*s_ET_rec*(1/24)*s_GSF_a)),".")</f>
        <v>6.3709090909090908E-6</v>
      </c>
      <c r="AQ17" s="15">
        <f>IFERROR(IF(AND(AO17&lt;&gt;".",AP17&lt;&gt;"."),1/((1/AO17)+(1/AP17)),IF(AND(AO17&lt;&gt;".",AP17="."),1/((1/AO17)),IF(AND(AO17=".",AP17&lt;&gt;"."),1/((1/AP17)),IF(AND(AO17=".",AP17="."),".")))),".")</f>
        <v>9.9724647271019672E-10</v>
      </c>
      <c r="AR17" s="40">
        <f t="shared" si="3"/>
        <v>10026.041666666666</v>
      </c>
      <c r="AS17" s="40">
        <f t="shared" si="4"/>
        <v>1.5696347031963471</v>
      </c>
      <c r="AT17" s="45"/>
      <c r="AU17" s="45"/>
      <c r="AV17" s="45"/>
      <c r="AW17" s="15">
        <f>IFERROR((s_TR/(up_RadSpec!I17*s_IFW_rec_adj)),".")</f>
        <v>2.272727272727273E-10</v>
      </c>
      <c r="AX17" s="15">
        <f>IFERROR((s_TR/(up_RadSpec!M17*(1/8760)*s_DFA_rec_adj)),".")</f>
        <v>3.9818181818181825E-6</v>
      </c>
      <c r="AY17" s="2">
        <f>IFERROR(BO17/(up_RadSpec!AI17*s_Q_w_game*(1/1000)),".")</f>
        <v>1.8181818181818183E-7</v>
      </c>
      <c r="AZ17" s="2">
        <f>IFERROR(BO17/(up_RadSpec!AL17*s_Q_w_fowl*(1/1000)),".")</f>
        <v>1.8181818181818183E-7</v>
      </c>
      <c r="BA17" s="244">
        <f t="shared" si="5"/>
        <v>4399999999.999999</v>
      </c>
      <c r="BB17" s="244">
        <f t="shared" si="5"/>
        <v>251141.55251141547</v>
      </c>
      <c r="BC17" s="244">
        <f t="shared" si="5"/>
        <v>5500000</v>
      </c>
      <c r="BD17" s="244">
        <f t="shared" si="5"/>
        <v>5500000</v>
      </c>
      <c r="BE17" s="2">
        <f t="shared" si="12"/>
        <v>2.2669305553255277E-10</v>
      </c>
      <c r="BF17" s="40">
        <f t="shared" si="6"/>
        <v>44000</v>
      </c>
      <c r="BG17" s="40">
        <f t="shared" si="7"/>
        <v>2.5114155251141552</v>
      </c>
      <c r="BH17" s="19">
        <f>IFERROR(s_C*up_RadSpec!AI17*s_Q_w_game*(1/1000)*s_EF_rec*s_ED_rec*s_IRGL_rec*s_CF_game,".")</f>
        <v>55</v>
      </c>
      <c r="BI17" s="19">
        <f>IFERROR(s_C*up_RadSpec!AL17*s_Q_w_fowl*(1/1000)*s_EF_rec*s_ED_rec*s_IRGL_rec*s_CF_fowl,0)</f>
        <v>55</v>
      </c>
      <c r="BJ17" s="18"/>
      <c r="BK17" s="18"/>
      <c r="BL17" s="5"/>
      <c r="BM17" s="5"/>
      <c r="BN17" s="18"/>
      <c r="BO17" s="2">
        <f>IFERROR(s_TR/(up_RadSpec!H17*s_EF_rec*s_ED_rec*s_IRGL_rec*s_CF_game),".")</f>
        <v>1.8181818181818184E-9</v>
      </c>
      <c r="BP17" s="2">
        <f>IFERROR(s_TR/(up_RadSpec!H17*s_EF_rec*s_ED_rec*s_IRGF_rec*s_CF_fowl),".")</f>
        <v>1.8181818181818184E-9</v>
      </c>
      <c r="BQ17" s="19">
        <f t="shared" si="8"/>
        <v>5500</v>
      </c>
      <c r="BR17" s="19">
        <f t="shared" si="9"/>
        <v>5500</v>
      </c>
      <c r="BS17" s="5"/>
      <c r="BT17" s="5"/>
    </row>
    <row r="18" spans="1:72" customFormat="1" x14ac:dyDescent="0.25">
      <c r="A18" s="44" t="s">
        <v>28</v>
      </c>
      <c r="B18" s="42" t="s">
        <v>1071</v>
      </c>
      <c r="C18" s="249"/>
      <c r="D18" s="15">
        <f>IFERROR(((s_TR/(up_RadSpec!E18*s_IFS_rec_adj*(1/1000)))*1),".")</f>
        <v>3.3057851239669421E-8</v>
      </c>
      <c r="E18" s="15">
        <f>IFERROR(IF(A18="H-3",(s_TR/((up_RadSpec!F18*s_IFA_rec_adj*(1/17)*1000))*1),(s_TR/((up_RadSpec!F18*s_IFA_rec_adj*(1/s_PEF_wind)*1000))*1)),".")</f>
        <v>3.0899917851942918E-4</v>
      </c>
      <c r="F18" s="2">
        <f>IFERROR((s_TR/(up_RadSpec!G18*s_EF_rec*(1/365)*s_ED_rec*up_RadSpec!R18*s_ET_rec*(1/24)*up_RadSpec!W18)),".")</f>
        <v>3.5819104981705617E-5</v>
      </c>
      <c r="G18" s="2">
        <f>IFERROR((BO18/(up_RadSpec!AI18*((s_Q_p_game*s_f_p_game*s_f_s_game*(up_RadSpec!BD18+s_R_es_past))+(s_Q_s_game*s_f_p_game)))),".")</f>
        <v>7.5757575757575769E-12</v>
      </c>
      <c r="H18" s="2">
        <f>IFERROR((BO18/(up_RadSpec!AL18*((s_Q_p_fowl*s_f_p_fowl*s_f_s_fowl*(up_RadSpec!BD18+s_R_es_past))+(s_Q_s_fowl*s_f_p_fowl)))),".")</f>
        <v>7.5757575757575769E-12</v>
      </c>
      <c r="I18" s="244">
        <f t="shared" si="10"/>
        <v>30250000</v>
      </c>
      <c r="J18" s="244">
        <f t="shared" si="10"/>
        <v>3236.2545583179349</v>
      </c>
      <c r="K18" s="244">
        <f t="shared" si="10"/>
        <v>27918.062176895368</v>
      </c>
      <c r="L18" s="244">
        <f t="shared" si="10"/>
        <v>131999999999.99998</v>
      </c>
      <c r="M18" s="244">
        <f t="shared" si="10"/>
        <v>131999999999.99998</v>
      </c>
      <c r="N18" s="2">
        <f t="shared" si="11"/>
        <v>3.7874443629271975E-12</v>
      </c>
      <c r="O18" s="40">
        <f t="shared" si="1"/>
        <v>302.5</v>
      </c>
      <c r="P18" s="40">
        <f t="shared" si="2"/>
        <v>3.2362545583179352E-2</v>
      </c>
      <c r="Q18" s="40">
        <f>IFERROR((s_C*s_EF_rec*(1/365)*s_ED_rec*up_RadSpec!R18*s_ET_rec*(1/24)*up_RadSpec!W18),".")</f>
        <v>0.2791806217689537</v>
      </c>
      <c r="R18" s="19">
        <f>IFERROR((s_C*s_IRGL_rec*s_EF_rec*s_ED_rec*s_CF_game*up_RadSpec!AI18)*((s_Q_p_game*s_f_p_game*s_f_s_game*(up_RadSpec!BD18+s_R_es_past))+(s_Q_s_game*s_f_p_game)),".")</f>
        <v>1320000</v>
      </c>
      <c r="S18" s="19">
        <f>IFERROR((s_C*s_IRGF_rec*s_EF_rec*s_ED_rec*s_CF_fowl*up_RadSpec!AL18)*((s_Q_p_fowl*s_f_p_fowl*s_f_s_fowl*(up_RadSpec!BD18+s_R_es_past))+(s_Q_s_fowl*s_f_p_fowl)),0)</f>
        <v>1320000</v>
      </c>
      <c r="T18" s="18"/>
      <c r="U18" s="18"/>
      <c r="V18" s="18"/>
      <c r="W18" s="5"/>
      <c r="X18" s="5"/>
      <c r="Y18" s="18"/>
      <c r="Z18" s="15">
        <f>IFERROR((s_TR/(up_RadSpec!G18*s_EF_rec*(1/365)*s_ED_rec*up_RadSpec!R18*s_ET_rec*(1/24)*up_RadSpec!W18)),".")</f>
        <v>3.5819104981705617E-5</v>
      </c>
      <c r="AA18" s="15">
        <f>IFERROR((s_TR/(up_RadSpec!N18*s_EF_rec*(1/365)*s_ED_rec*up_RadSpec!S18*s_ET_rec*(1/24)*up_RadSpec!X18)),".")</f>
        <v>7.0875611640484193E-5</v>
      </c>
      <c r="AB18" s="15">
        <f>IFERROR((s_TR/(up_RadSpec!O18*s_EF_rec*(1/365)*s_ED_rec*up_RadSpec!T18*s_ET_rec*(1/24)*up_RadSpec!Y18)),".")</f>
        <v>4.9633877043552499E-5</v>
      </c>
      <c r="AC18" s="15">
        <f>IFERROR((s_TR/(up_RadSpec!P18*s_EF_rec*(1/365)*s_ED_rec*up_RadSpec!U18*s_ET_rec*(1/24)*up_RadSpec!Z18)),".")</f>
        <v>4.1122563526890526E-5</v>
      </c>
      <c r="AD18" s="15">
        <f>IFERROR((s_TR/(up_RadSpec!L18*s_EF_rec*(1/365)*s_ED_rec*up_RadSpec!Q18*s_ET_rec*(1/24)*up_RadSpec!V18)),".")</f>
        <v>1.2047552447552447E-4</v>
      </c>
      <c r="AE18" s="40">
        <f>IFERROR((s_C*s_EF_rec*(1/365)*s_ED_rec*up_RadSpec!R18*s_ET_rec*(1/24)*up_RadSpec!W18),".")</f>
        <v>0.2791806217689537</v>
      </c>
      <c r="AF18" s="40">
        <f>IFERROR((s_C*s_EF_rec*(1/365)*s_ED_rec*up_RadSpec!S18*s_ET_rec*(1/24)*up_RadSpec!X18),".")</f>
        <v>0.14109225682206311</v>
      </c>
      <c r="AG18" s="40">
        <f>IFERROR((s_C*s_EF_rec*(1/365)*s_ED_rec*up_RadSpec!T18*s_ET_rec*(1/24)*up_RadSpec!Y18),".")</f>
        <v>0.20147529461027694</v>
      </c>
      <c r="AH18" s="40">
        <f>IFERROR((s_C*s_EF_rec*(1/365)*s_ED_rec*up_RadSpec!U18*s_ET_rec*(1/24)*up_RadSpec!Z18),".")</f>
        <v>0.24317550129045054</v>
      </c>
      <c r="AI18" s="40">
        <f>IFERROR((s_C*s_EF_rec*(1/365)*s_ED_rec*up_RadSpec!Q18*s_ET_rec*(1/24)*up_RadSpec!V18),".")</f>
        <v>8.3004411423264465E-2</v>
      </c>
      <c r="AJ18" s="18"/>
      <c r="AK18" s="18"/>
      <c r="AL18" s="18"/>
      <c r="AM18" s="18"/>
      <c r="AN18" s="18"/>
      <c r="AO18" s="15">
        <f>IFERROR((s_TR/(up_RadSpec!F18*s_IFA_rec_adj)),".")</f>
        <v>9.9740259740259755E-10</v>
      </c>
      <c r="AP18" s="15">
        <f>IFERROR((s_TR/(up_RadSpec!K18*s_EF_rec*(1/365)*s_ED_rec*s_ET_rec*(1/24)*s_GSF_a)),".")</f>
        <v>6.3709090909090908E-6</v>
      </c>
      <c r="AQ18" s="15">
        <f t="shared" ref="AQ18:AQ20" si="14">IFERROR(IF(AND(AO18&lt;&gt;".",AP18&lt;&gt;"."),1/((1/AO18)+(1/AP18)),IF(AND(AO18&lt;&gt;".",AP18="."),1/((1/AO18)),IF(AND(AO18=".",AP18&lt;&gt;"."),1/((1/AP18)),IF(AND(AO18=".",AP18="."),".")))),".")</f>
        <v>9.9724647271019672E-10</v>
      </c>
      <c r="AR18" s="40">
        <f t="shared" si="3"/>
        <v>10026.041666666666</v>
      </c>
      <c r="AS18" s="40">
        <f t="shared" si="4"/>
        <v>1.5696347031963471</v>
      </c>
      <c r="AT18" s="45"/>
      <c r="AU18" s="45"/>
      <c r="AV18" s="45"/>
      <c r="AW18" s="15">
        <f>IFERROR((s_TR/(up_RadSpec!I18*s_IFW_rec_adj)),".")</f>
        <v>2.272727272727273E-10</v>
      </c>
      <c r="AX18" s="15">
        <f>IFERROR((s_TR/(up_RadSpec!M18*(1/8760)*s_DFA_rec_adj)),".")</f>
        <v>3.9818181818181825E-6</v>
      </c>
      <c r="AY18" s="2">
        <f>IFERROR(BO18/(up_RadSpec!AI18*s_Q_w_game*(1/1000)),".")</f>
        <v>1.8181818181818183E-7</v>
      </c>
      <c r="AZ18" s="2">
        <f>IFERROR(BO18/(up_RadSpec!AL18*s_Q_w_fowl*(1/1000)),".")</f>
        <v>1.8181818181818183E-7</v>
      </c>
      <c r="BA18" s="244">
        <f t="shared" si="5"/>
        <v>4399999999.999999</v>
      </c>
      <c r="BB18" s="244">
        <f t="shared" si="5"/>
        <v>251141.55251141547</v>
      </c>
      <c r="BC18" s="244">
        <f t="shared" si="5"/>
        <v>5500000</v>
      </c>
      <c r="BD18" s="244">
        <f t="shared" si="5"/>
        <v>5500000</v>
      </c>
      <c r="BE18" s="2">
        <f t="shared" si="12"/>
        <v>2.2669305553255277E-10</v>
      </c>
      <c r="BF18" s="40">
        <f t="shared" si="6"/>
        <v>44000</v>
      </c>
      <c r="BG18" s="40">
        <f t="shared" si="7"/>
        <v>2.5114155251141552</v>
      </c>
      <c r="BH18" s="19">
        <f>IFERROR(s_C*up_RadSpec!AI18*s_Q_w_game*(1/1000)*s_EF_rec*s_ED_rec*s_IRGL_rec*s_CF_game,".")</f>
        <v>55</v>
      </c>
      <c r="BI18" s="19">
        <f>IFERROR(s_C*up_RadSpec!AL18*s_Q_w_fowl*(1/1000)*s_EF_rec*s_ED_rec*s_IRGL_rec*s_CF_fowl,0)</f>
        <v>55</v>
      </c>
      <c r="BJ18" s="18"/>
      <c r="BK18" s="18"/>
      <c r="BL18" s="5"/>
      <c r="BM18" s="5"/>
      <c r="BN18" s="18"/>
      <c r="BO18" s="2">
        <f>IFERROR(s_TR/(up_RadSpec!H18*s_EF_rec*s_ED_rec*s_IRGL_rec*s_CF_game),".")</f>
        <v>1.8181818181818184E-9</v>
      </c>
      <c r="BP18" s="2">
        <f>IFERROR(s_TR/(up_RadSpec!H18*s_EF_rec*s_ED_rec*s_IRGF_rec*s_CF_fowl),".")</f>
        <v>1.8181818181818184E-9</v>
      </c>
      <c r="BQ18" s="19">
        <f t="shared" si="8"/>
        <v>5500</v>
      </c>
      <c r="BR18" s="19">
        <f t="shared" si="9"/>
        <v>5500</v>
      </c>
      <c r="BS18" s="5"/>
      <c r="BT18" s="5"/>
    </row>
    <row r="19" spans="1:72" customFormat="1" x14ac:dyDescent="0.25">
      <c r="A19" s="44" t="s">
        <v>29</v>
      </c>
      <c r="B19" s="42" t="s">
        <v>1071</v>
      </c>
      <c r="C19" s="42"/>
      <c r="D19" s="15">
        <f>IFERROR(((s_TR/(up_RadSpec!E19*s_IFS_rec_adj*(1/1000)))*1),".")</f>
        <v>3.3057851239669421E-8</v>
      </c>
      <c r="E19" s="15">
        <f>IFERROR(IF(A19="H-3",(s_TR/((up_RadSpec!F19*s_IFA_rec_adj*(1/17)*1000))*1),(s_TR/((up_RadSpec!F19*s_IFA_rec_adj*(1/s_PEF_wind)*1000))*1)),".")</f>
        <v>3.0899917851942918E-4</v>
      </c>
      <c r="F19" s="2">
        <f>IFERROR((s_TR/(up_RadSpec!G19*s_EF_rec*(1/365)*s_ED_rec*up_RadSpec!R19*s_ET_rec*(1/24)*up_RadSpec!W19)),".")</f>
        <v>3.654960303268722E-5</v>
      </c>
      <c r="G19" s="2">
        <f>IFERROR((BO19/(up_RadSpec!AI19*((s_Q_p_game*s_f_p_game*s_f_s_game*(up_RadSpec!BD19+s_R_es_past))+(s_Q_s_game*s_f_p_game)))),".")</f>
        <v>7.5757575757575769E-12</v>
      </c>
      <c r="H19" s="2">
        <f>IFERROR((BO19/(up_RadSpec!AL19*((s_Q_p_fowl*s_f_p_fowl*s_f_s_fowl*(up_RadSpec!BD19+s_R_es_past))+(s_Q_s_fowl*s_f_p_fowl)))),".")</f>
        <v>7.5757575757575769E-12</v>
      </c>
      <c r="I19" s="244">
        <f t="shared" si="10"/>
        <v>30250000</v>
      </c>
      <c r="J19" s="244">
        <f t="shared" si="10"/>
        <v>3236.2545583179349</v>
      </c>
      <c r="K19" s="244">
        <f t="shared" si="10"/>
        <v>27360.078277886496</v>
      </c>
      <c r="L19" s="244">
        <f t="shared" si="10"/>
        <v>131999999999.99998</v>
      </c>
      <c r="M19" s="244">
        <f t="shared" si="10"/>
        <v>131999999999.99998</v>
      </c>
      <c r="N19" s="2">
        <f t="shared" si="11"/>
        <v>3.7874443709313292E-12</v>
      </c>
      <c r="O19" s="40">
        <f t="shared" si="1"/>
        <v>302.5</v>
      </c>
      <c r="P19" s="40">
        <f t="shared" si="2"/>
        <v>3.2362545583179352E-2</v>
      </c>
      <c r="Q19" s="40">
        <f>IFERROR((s_C*s_EF_rec*(1/365)*s_ED_rec*up_RadSpec!R19*s_ET_rec*(1/24)*up_RadSpec!W19),".")</f>
        <v>0.27360078277886496</v>
      </c>
      <c r="R19" s="19">
        <f>IFERROR((s_C*s_IRGL_rec*s_EF_rec*s_ED_rec*s_CF_game*up_RadSpec!AI19)*((s_Q_p_game*s_f_p_game*s_f_s_game*(up_RadSpec!BD19+s_R_es_past))+(s_Q_s_game*s_f_p_game)),".")</f>
        <v>1320000</v>
      </c>
      <c r="S19" s="19">
        <f>IFERROR((s_C*s_IRGF_rec*s_EF_rec*s_ED_rec*s_CF_fowl*up_RadSpec!AL19)*((s_Q_p_fowl*s_f_p_fowl*s_f_s_fowl*(up_RadSpec!BD19+s_R_es_past))+(s_Q_s_fowl*s_f_p_fowl)),0)</f>
        <v>1320000</v>
      </c>
      <c r="T19" s="18"/>
      <c r="U19" s="18"/>
      <c r="V19" s="18"/>
      <c r="W19" s="5"/>
      <c r="X19" s="5"/>
      <c r="Y19" s="18"/>
      <c r="Z19" s="15">
        <f>IFERROR((s_TR/(up_RadSpec!G19*s_EF_rec*(1/365)*s_ED_rec*up_RadSpec!R19*s_ET_rec*(1/24)*up_RadSpec!W19)),".")</f>
        <v>3.654960303268722E-5</v>
      </c>
      <c r="AA19" s="15">
        <f>IFERROR((s_TR/(up_RadSpec!N19*s_EF_rec*(1/365)*s_ED_rec*up_RadSpec!S19*s_ET_rec*(1/24)*up_RadSpec!X19)),".")</f>
        <v>7.2492613769209525E-5</v>
      </c>
      <c r="AB19" s="15">
        <f>IFERROR((s_TR/(up_RadSpec!O19*s_EF_rec*(1/365)*s_ED_rec*up_RadSpec!T19*s_ET_rec*(1/24)*up_RadSpec!Y19)),".")</f>
        <v>5.0251823043266919E-5</v>
      </c>
      <c r="AC19" s="15">
        <f>IFERROR((s_TR/(up_RadSpec!P19*s_EF_rec*(1/365)*s_ED_rec*up_RadSpec!U19*s_ET_rec*(1/24)*up_RadSpec!Z19)),".")</f>
        <v>4.1970515970515967E-5</v>
      </c>
      <c r="AD19" s="15">
        <f>IFERROR((s_TR/(up_RadSpec!L19*s_EF_rec*(1/365)*s_ED_rec*up_RadSpec!Q19*s_ET_rec*(1/24)*up_RadSpec!V19)),".")</f>
        <v>1.2483427584651175E-4</v>
      </c>
      <c r="AE19" s="40">
        <f>IFERROR((s_C*s_EF_rec*(1/365)*s_ED_rec*up_RadSpec!R19*s_ET_rec*(1/24)*up_RadSpec!W19),".")</f>
        <v>0.27360078277886496</v>
      </c>
      <c r="AF19" s="40">
        <f>IFERROR((s_C*s_EF_rec*(1/365)*s_ED_rec*up_RadSpec!S19*s_ET_rec*(1/24)*up_RadSpec!X19),".")</f>
        <v>0.13794508819665977</v>
      </c>
      <c r="AG19" s="40">
        <f>IFERROR((s_C*s_EF_rec*(1/365)*s_ED_rec*up_RadSpec!T19*s_ET_rec*(1/24)*up_RadSpec!Y19),".")</f>
        <v>0.19899775559167238</v>
      </c>
      <c r="AH19" s="40">
        <f>IFERROR((s_C*s_EF_rec*(1/365)*s_ED_rec*up_RadSpec!U19*s_ET_rec*(1/24)*up_RadSpec!Z19),".")</f>
        <v>0.23826249853647119</v>
      </c>
      <c r="AI19" s="40">
        <f>IFERROR((s_C*s_EF_rec*(1/365)*s_ED_rec*up_RadSpec!Q19*s_ET_rec*(1/24)*up_RadSpec!V19),".")</f>
        <v>8.0106204263125314E-2</v>
      </c>
      <c r="AJ19" s="18"/>
      <c r="AK19" s="18"/>
      <c r="AL19" s="18"/>
      <c r="AM19" s="18"/>
      <c r="AN19" s="18"/>
      <c r="AO19" s="15">
        <f>IFERROR((s_TR/(up_RadSpec!F19*s_IFA_rec_adj)),".")</f>
        <v>9.9740259740259755E-10</v>
      </c>
      <c r="AP19" s="15">
        <f>IFERROR((s_TR/(up_RadSpec!K19*s_EF_rec*(1/365)*s_ED_rec*s_ET_rec*(1/24)*s_GSF_a)),".")</f>
        <v>6.3709090909090908E-6</v>
      </c>
      <c r="AQ19" s="15">
        <f t="shared" si="14"/>
        <v>9.9724647271019672E-10</v>
      </c>
      <c r="AR19" s="40">
        <f t="shared" si="3"/>
        <v>10026.041666666666</v>
      </c>
      <c r="AS19" s="40">
        <f t="shared" si="4"/>
        <v>1.5696347031963471</v>
      </c>
      <c r="AT19" s="45"/>
      <c r="AU19" s="45"/>
      <c r="AV19" s="45"/>
      <c r="AW19" s="15">
        <f>IFERROR((s_TR/(up_RadSpec!I19*s_IFW_rec_adj)),".")</f>
        <v>2.272727272727273E-10</v>
      </c>
      <c r="AX19" s="15">
        <f>IFERROR((s_TR/(up_RadSpec!M19*(1/8760)*s_DFA_rec_adj)),".")</f>
        <v>3.9818181818181825E-6</v>
      </c>
      <c r="AY19" s="2">
        <f>IFERROR(BO19/(up_RadSpec!AI19*s_Q_w_game*(1/1000)),".")</f>
        <v>1.8181818181818183E-7</v>
      </c>
      <c r="AZ19" s="2">
        <f>IFERROR(BO19/(up_RadSpec!AL19*s_Q_w_fowl*(1/1000)),".")</f>
        <v>1.8181818181818183E-7</v>
      </c>
      <c r="BA19" s="244">
        <f t="shared" si="5"/>
        <v>4399999999.999999</v>
      </c>
      <c r="BB19" s="244">
        <f t="shared" si="5"/>
        <v>251141.55251141547</v>
      </c>
      <c r="BC19" s="244">
        <f t="shared" si="5"/>
        <v>5500000</v>
      </c>
      <c r="BD19" s="244">
        <f t="shared" si="5"/>
        <v>5500000</v>
      </c>
      <c r="BE19" s="2">
        <f t="shared" si="12"/>
        <v>2.2669305553255277E-10</v>
      </c>
      <c r="BF19" s="40">
        <f t="shared" si="6"/>
        <v>44000</v>
      </c>
      <c r="BG19" s="40">
        <f t="shared" si="7"/>
        <v>2.5114155251141552</v>
      </c>
      <c r="BH19" s="19">
        <f>IFERROR(s_C*up_RadSpec!AI19*s_Q_w_game*(1/1000)*s_EF_rec*s_ED_rec*s_IRGL_rec*s_CF_game,".")</f>
        <v>55</v>
      </c>
      <c r="BI19" s="19">
        <f>IFERROR(s_C*up_RadSpec!AL19*s_Q_w_fowl*(1/1000)*s_EF_rec*s_ED_rec*s_IRGL_rec*s_CF_fowl,0)</f>
        <v>55</v>
      </c>
      <c r="BJ19" s="18"/>
      <c r="BK19" s="18"/>
      <c r="BL19" s="5"/>
      <c r="BM19" s="5"/>
      <c r="BN19" s="18"/>
      <c r="BO19" s="2">
        <f>IFERROR(s_TR/(up_RadSpec!H19*s_EF_rec*s_ED_rec*s_IRGL_rec*s_CF_game),".")</f>
        <v>1.8181818181818184E-9</v>
      </c>
      <c r="BP19" s="2">
        <f>IFERROR(s_TR/(up_RadSpec!H19*s_EF_rec*s_ED_rec*s_IRGF_rec*s_CF_fowl),".")</f>
        <v>1.8181818181818184E-9</v>
      </c>
      <c r="BQ19" s="19">
        <f t="shared" si="8"/>
        <v>5500</v>
      </c>
      <c r="BR19" s="19">
        <f t="shared" si="9"/>
        <v>5500</v>
      </c>
      <c r="BS19" s="5"/>
      <c r="BT19" s="5"/>
    </row>
    <row r="20" spans="1:72" customFormat="1" x14ac:dyDescent="0.25">
      <c r="A20" s="44" t="s">
        <v>30</v>
      </c>
      <c r="B20" s="42" t="s">
        <v>1071</v>
      </c>
      <c r="C20" s="249"/>
      <c r="D20" s="15">
        <f>IFERROR(((s_TR/(up_RadSpec!E20*s_IFS_rec_adj*(1/1000)))*1),".")</f>
        <v>3.3057851239669421E-8</v>
      </c>
      <c r="E20" s="15">
        <f>IFERROR(IF(A20="H-3",(s_TR/((up_RadSpec!F20*s_IFA_rec_adj*(1/17)*1000))*1),(s_TR/((up_RadSpec!F20*s_IFA_rec_adj*(1/s_PEF_wind)*1000))*1)),".")</f>
        <v>3.0899917851942918E-4</v>
      </c>
      <c r="F20" s="2">
        <f>IFERROR((s_TR/(up_RadSpec!G20*s_EF_rec*(1/365)*s_ED_rec*up_RadSpec!R20*s_ET_rec*(1/24)*up_RadSpec!W20)),".")</f>
        <v>3.5939411562557813E-5</v>
      </c>
      <c r="G20" s="2">
        <f>IFERROR((BO20/(up_RadSpec!AI20*((s_Q_p_game*s_f_p_game*s_f_s_game*(up_RadSpec!BD20+s_R_es_past))+(s_Q_s_game*s_f_p_game)))),".")</f>
        <v>7.5757575757575769E-12</v>
      </c>
      <c r="H20" s="2">
        <f>IFERROR((BO20/(up_RadSpec!AL20*((s_Q_p_fowl*s_f_p_fowl*s_f_s_fowl*(up_RadSpec!BD20+s_R_es_past))+(s_Q_s_fowl*s_f_p_fowl)))),".")</f>
        <v>7.5757575757575769E-12</v>
      </c>
      <c r="I20" s="244">
        <f t="shared" si="10"/>
        <v>30250000</v>
      </c>
      <c r="J20" s="244">
        <f t="shared" si="10"/>
        <v>3236.2545583179349</v>
      </c>
      <c r="K20" s="244">
        <f t="shared" si="10"/>
        <v>27824.60692934144</v>
      </c>
      <c r="L20" s="244">
        <f t="shared" si="10"/>
        <v>131999999999.99998</v>
      </c>
      <c r="M20" s="244">
        <f t="shared" si="10"/>
        <v>131999999999.99998</v>
      </c>
      <c r="N20" s="2">
        <f t="shared" si="11"/>
        <v>3.7874443642677891E-12</v>
      </c>
      <c r="O20" s="40">
        <f t="shared" si="1"/>
        <v>302.5</v>
      </c>
      <c r="P20" s="40">
        <f t="shared" si="2"/>
        <v>3.2362545583179352E-2</v>
      </c>
      <c r="Q20" s="40">
        <f>IFERROR((s_C*s_EF_rec*(1/365)*s_ED_rec*up_RadSpec!R20*s_ET_rec*(1/24)*up_RadSpec!W20),".")</f>
        <v>0.27824606929341444</v>
      </c>
      <c r="R20" s="19">
        <f>IFERROR((s_C*s_IRGL_rec*s_EF_rec*s_ED_rec*s_CF_game*up_RadSpec!AI20)*((s_Q_p_game*s_f_p_game*s_f_s_game*(up_RadSpec!BD20+s_R_es_past))+(s_Q_s_game*s_f_p_game)),".")</f>
        <v>1320000</v>
      </c>
      <c r="S20" s="19">
        <f>IFERROR((s_C*s_IRGF_rec*s_EF_rec*s_ED_rec*s_CF_fowl*up_RadSpec!AL20)*((s_Q_p_fowl*s_f_p_fowl*s_f_s_fowl*(up_RadSpec!BD20+s_R_es_past))+(s_Q_s_fowl*s_f_p_fowl)),0)</f>
        <v>1320000</v>
      </c>
      <c r="T20" s="18"/>
      <c r="U20" s="18"/>
      <c r="V20" s="18"/>
      <c r="W20" s="5"/>
      <c r="X20" s="5"/>
      <c r="Y20" s="18"/>
      <c r="Z20" s="15">
        <f>IFERROR((s_TR/(up_RadSpec!G20*s_EF_rec*(1/365)*s_ED_rec*up_RadSpec!R20*s_ET_rec*(1/24)*up_RadSpec!W20)),".")</f>
        <v>3.5939411562557813E-5</v>
      </c>
      <c r="AA20" s="15">
        <f>IFERROR((s_TR/(up_RadSpec!N20*s_EF_rec*(1/365)*s_ED_rec*up_RadSpec!S20*s_ET_rec*(1/24)*up_RadSpec!X20)),".")</f>
        <v>7.0875923413236868E-5</v>
      </c>
      <c r="AB20" s="15">
        <f>IFERROR((s_TR/(up_RadSpec!O20*s_EF_rec*(1/365)*s_ED_rec*up_RadSpec!T20*s_ET_rec*(1/24)*up_RadSpec!Y20)),".")</f>
        <v>4.9590409590409608E-5</v>
      </c>
      <c r="AC20" s="15">
        <f>IFERROR((s_TR/(up_RadSpec!P20*s_EF_rec*(1/365)*s_ED_rec*up_RadSpec!U20*s_ET_rec*(1/24)*up_RadSpec!Z20)),".")</f>
        <v>4.1639928698752258E-5</v>
      </c>
      <c r="AD20" s="15">
        <f>IFERROR((s_TR/(up_RadSpec!L20*s_EF_rec*(1/365)*s_ED_rec*up_RadSpec!Q20*s_ET_rec*(1/24)*up_RadSpec!V20)),".")</f>
        <v>1.2076986076986083E-4</v>
      </c>
      <c r="AE20" s="40">
        <f>IFERROR((s_C*s_EF_rec*(1/365)*s_ED_rec*up_RadSpec!R20*s_ET_rec*(1/24)*up_RadSpec!W20),".")</f>
        <v>0.27824606929341444</v>
      </c>
      <c r="AF20" s="40">
        <f>IFERROR((s_C*s_EF_rec*(1/365)*s_ED_rec*up_RadSpec!S20*s_ET_rec*(1/24)*up_RadSpec!X20),".")</f>
        <v>0.14109163617799708</v>
      </c>
      <c r="AG20" s="40">
        <f>IFERROR((s_C*s_EF_rec*(1/365)*s_ED_rec*up_RadSpec!T20*s_ET_rec*(1/24)*up_RadSpec!Y20),".")</f>
        <v>0.20165189363416594</v>
      </c>
      <c r="AH20" s="40">
        <f>IFERROR((s_C*s_EF_rec*(1/365)*s_ED_rec*up_RadSpec!U20*s_ET_rec*(1/24)*up_RadSpec!Z20),".")</f>
        <v>0.24015410958904096</v>
      </c>
      <c r="AI20" s="40">
        <f>IFERROR((s_C*s_EF_rec*(1/365)*s_ED_rec*up_RadSpec!Q20*s_ET_rec*(1/24)*up_RadSpec!V20),".")</f>
        <v>8.2802115828021119E-2</v>
      </c>
      <c r="AJ20" s="18"/>
      <c r="AK20" s="18"/>
      <c r="AL20" s="18"/>
      <c r="AM20" s="18"/>
      <c r="AN20" s="18"/>
      <c r="AO20" s="15">
        <f>IFERROR((s_TR/(up_RadSpec!F20*s_IFA_rec_adj)),".")</f>
        <v>9.9740259740259755E-10</v>
      </c>
      <c r="AP20" s="15">
        <f>IFERROR((s_TR/(up_RadSpec!K20*s_EF_rec*(1/365)*s_ED_rec*s_ET_rec*(1/24)*s_GSF_a)),".")</f>
        <v>6.3709090909090908E-6</v>
      </c>
      <c r="AQ20" s="15">
        <f t="shared" si="14"/>
        <v>9.9724647271019672E-10</v>
      </c>
      <c r="AR20" s="40">
        <f t="shared" si="3"/>
        <v>10026.041666666666</v>
      </c>
      <c r="AS20" s="40">
        <f t="shared" si="4"/>
        <v>1.5696347031963471</v>
      </c>
      <c r="AT20" s="45"/>
      <c r="AU20" s="45"/>
      <c r="AV20" s="45"/>
      <c r="AW20" s="15">
        <f>IFERROR((s_TR/(up_RadSpec!I20*s_IFW_rec_adj)),".")</f>
        <v>2.272727272727273E-10</v>
      </c>
      <c r="AX20" s="15">
        <f>IFERROR((s_TR/(up_RadSpec!M20*(1/8760)*s_DFA_rec_adj)),".")</f>
        <v>3.9818181818181825E-6</v>
      </c>
      <c r="AY20" s="2">
        <f>IFERROR(BO20/(up_RadSpec!AI20*s_Q_w_game*(1/1000)),".")</f>
        <v>1.8181818181818183E-7</v>
      </c>
      <c r="AZ20" s="2">
        <f>IFERROR(BO20/(up_RadSpec!AL20*s_Q_w_fowl*(1/1000)),".")</f>
        <v>1.8181818181818183E-7</v>
      </c>
      <c r="BA20" s="244">
        <f t="shared" si="5"/>
        <v>4399999999.999999</v>
      </c>
      <c r="BB20" s="244">
        <f t="shared" si="5"/>
        <v>251141.55251141547</v>
      </c>
      <c r="BC20" s="244">
        <f t="shared" si="5"/>
        <v>5500000</v>
      </c>
      <c r="BD20" s="244">
        <f t="shared" si="5"/>
        <v>5500000</v>
      </c>
      <c r="BE20" s="2">
        <f t="shared" si="12"/>
        <v>2.2669305553255277E-10</v>
      </c>
      <c r="BF20" s="40">
        <f t="shared" si="6"/>
        <v>44000</v>
      </c>
      <c r="BG20" s="40">
        <f t="shared" si="7"/>
        <v>2.5114155251141552</v>
      </c>
      <c r="BH20" s="19">
        <f>IFERROR(s_C*up_RadSpec!AI20*s_Q_w_game*(1/1000)*s_EF_rec*s_ED_rec*s_IRGL_rec*s_CF_game,".")</f>
        <v>55</v>
      </c>
      <c r="BI20" s="19">
        <f>IFERROR(s_C*up_RadSpec!AL20*s_Q_w_fowl*(1/1000)*s_EF_rec*s_ED_rec*s_IRGL_rec*s_CF_fowl,0)</f>
        <v>55</v>
      </c>
      <c r="BJ20" s="18"/>
      <c r="BK20" s="18"/>
      <c r="BL20" s="5"/>
      <c r="BM20" s="5"/>
      <c r="BN20" s="18"/>
      <c r="BO20" s="2">
        <f>IFERROR(s_TR/(up_RadSpec!H20*s_EF_rec*s_ED_rec*s_IRGL_rec*s_CF_game),".")</f>
        <v>1.8181818181818184E-9</v>
      </c>
      <c r="BP20" s="2">
        <f>IFERROR(s_TR/(up_RadSpec!H20*s_EF_rec*s_ED_rec*s_IRGF_rec*s_CF_fowl),".")</f>
        <v>1.8181818181818184E-9</v>
      </c>
      <c r="BQ20" s="19">
        <f t="shared" si="8"/>
        <v>5500</v>
      </c>
      <c r="BR20" s="19">
        <f t="shared" si="9"/>
        <v>5500</v>
      </c>
      <c r="BS20" s="5"/>
      <c r="BT20" s="5"/>
    </row>
    <row r="21" spans="1:72" customFormat="1" x14ac:dyDescent="0.25">
      <c r="A21" s="44" t="s">
        <v>31</v>
      </c>
      <c r="B21" s="42" t="s">
        <v>1071</v>
      </c>
      <c r="C21" s="249"/>
      <c r="D21" s="15">
        <f>IFERROR(((s_TR/(up_RadSpec!E21*s_IFS_rec_adj*(1/1000)))*1),".")</f>
        <v>3.3057851239669421E-8</v>
      </c>
      <c r="E21" s="15">
        <f>IFERROR(IF(A21="H-3",(s_TR/((up_RadSpec!F21*s_IFA_rec_adj*(1/17)*1000))*1),(s_TR/((up_RadSpec!F21*s_IFA_rec_adj*(1/s_PEF_wind)*1000))*1)),".")</f>
        <v>3.0899917851942918E-4</v>
      </c>
      <c r="F21" s="2" t="str">
        <f>IFERROR((s_TR/(up_RadSpec!G21*s_EF_rec*(1/365)*s_ED_rec*up_RadSpec!R21*s_ET_rec*(1/24)*up_RadSpec!W21)),".")</f>
        <v>.</v>
      </c>
      <c r="G21" s="2">
        <f>IFERROR((BO21/(up_RadSpec!AI21*((s_Q_p_game*s_f_p_game*s_f_s_game*(up_RadSpec!BD21+s_R_es_past))+(s_Q_s_game*s_f_p_game)))),".")</f>
        <v>7.5757575757575769E-12</v>
      </c>
      <c r="H21" s="2">
        <f>IFERROR((BO21/(up_RadSpec!AL21*((s_Q_p_fowl*s_f_p_fowl*s_f_s_fowl*(up_RadSpec!BD21+s_R_es_past))+(s_Q_s_fowl*s_f_p_fowl)))),".")</f>
        <v>7.5757575757575769E-12</v>
      </c>
      <c r="I21" s="244">
        <f t="shared" si="10"/>
        <v>30250000</v>
      </c>
      <c r="J21" s="244">
        <f t="shared" si="10"/>
        <v>3236.2545583179349</v>
      </c>
      <c r="K21" s="244">
        <f t="shared" si="10"/>
        <v>0</v>
      </c>
      <c r="L21" s="244">
        <f t="shared" si="10"/>
        <v>131999999999.99998</v>
      </c>
      <c r="M21" s="244">
        <f t="shared" si="10"/>
        <v>131999999999.99998</v>
      </c>
      <c r="N21" s="2">
        <f t="shared" si="11"/>
        <v>3.787444763404439E-12</v>
      </c>
      <c r="O21" s="40">
        <f t="shared" si="1"/>
        <v>302.5</v>
      </c>
      <c r="P21" s="40">
        <f t="shared" si="2"/>
        <v>3.2362545583179352E-2</v>
      </c>
      <c r="Q21" s="40">
        <f>IFERROR((s_C*s_EF_rec*(1/365)*s_ED_rec*up_RadSpec!R21*s_ET_rec*(1/24)*up_RadSpec!W21),".")</f>
        <v>0</v>
      </c>
      <c r="R21" s="19">
        <f>IFERROR((s_C*s_IRGL_rec*s_EF_rec*s_ED_rec*s_CF_game*up_RadSpec!AI21)*((s_Q_p_game*s_f_p_game*s_f_s_game*(up_RadSpec!BD21+s_R_es_past))+(s_Q_s_game*s_f_p_game)),".")</f>
        <v>1320000</v>
      </c>
      <c r="S21" s="19">
        <f>IFERROR((s_C*s_IRGF_rec*s_EF_rec*s_ED_rec*s_CF_fowl*up_RadSpec!AL21)*((s_Q_p_fowl*s_f_p_fowl*s_f_s_fowl*(up_RadSpec!BD21+s_R_es_past))+(s_Q_s_fowl*s_f_p_fowl)),0)</f>
        <v>1320000</v>
      </c>
      <c r="T21" s="18"/>
      <c r="U21" s="18"/>
      <c r="V21" s="18"/>
      <c r="W21" s="5"/>
      <c r="X21" s="5"/>
      <c r="Y21" s="18"/>
      <c r="Z21" s="15" t="str">
        <f>IFERROR((s_TR/(up_RadSpec!G21*s_EF_rec*(1/365)*s_ED_rec*up_RadSpec!R21*s_ET_rec*(1/24)*up_RadSpec!W21)),".")</f>
        <v>.</v>
      </c>
      <c r="AA21" s="15" t="str">
        <f>IFERROR((s_TR/(up_RadSpec!N21*s_EF_rec*(1/365)*s_ED_rec*up_RadSpec!S21*s_ET_rec*(1/24)*up_RadSpec!X21)),".")</f>
        <v>.</v>
      </c>
      <c r="AB21" s="15" t="str">
        <f>IFERROR((s_TR/(up_RadSpec!O21*s_EF_rec*(1/365)*s_ED_rec*up_RadSpec!T21*s_ET_rec*(1/24)*up_RadSpec!Y21)),".")</f>
        <v>.</v>
      </c>
      <c r="AC21" s="15" t="str">
        <f>IFERROR((s_TR/(up_RadSpec!P21*s_EF_rec*(1/365)*s_ED_rec*up_RadSpec!U21*s_ET_rec*(1/24)*up_RadSpec!Z21)),".")</f>
        <v>.</v>
      </c>
      <c r="AD21" s="15" t="str">
        <f>IFERROR((s_TR/(up_RadSpec!L21*s_EF_rec*(1/365)*s_ED_rec*up_RadSpec!Q21*s_ET_rec*(1/24)*up_RadSpec!V21)),".")</f>
        <v>.</v>
      </c>
      <c r="AE21" s="40">
        <f>IFERROR((s_C*s_EF_rec*(1/365)*s_ED_rec*up_RadSpec!R21*s_ET_rec*(1/24)*up_RadSpec!W21),".")</f>
        <v>0</v>
      </c>
      <c r="AF21" s="40">
        <f>IFERROR((s_C*s_EF_rec*(1/365)*s_ED_rec*up_RadSpec!S21*s_ET_rec*(1/24)*up_RadSpec!X21),".")</f>
        <v>0</v>
      </c>
      <c r="AG21" s="40">
        <f>IFERROR((s_C*s_EF_rec*(1/365)*s_ED_rec*up_RadSpec!T21*s_ET_rec*(1/24)*up_RadSpec!Y21),".")</f>
        <v>0</v>
      </c>
      <c r="AH21" s="40">
        <f>IFERROR((s_C*s_EF_rec*(1/365)*s_ED_rec*up_RadSpec!U21*s_ET_rec*(1/24)*up_RadSpec!Z21),".")</f>
        <v>0</v>
      </c>
      <c r="AI21" s="40">
        <f>IFERROR((s_C*s_EF_rec*(1/365)*s_ED_rec*up_RadSpec!Q21*s_ET_rec*(1/24)*up_RadSpec!V21),".")</f>
        <v>0</v>
      </c>
      <c r="AJ21" s="18"/>
      <c r="AK21" s="18"/>
      <c r="AL21" s="18"/>
      <c r="AM21" s="18"/>
      <c r="AN21" s="18"/>
      <c r="AO21" s="15">
        <f>IFERROR((s_TR/(up_RadSpec!F21*s_IFA_rec_adj)),".")</f>
        <v>9.9740259740259755E-10</v>
      </c>
      <c r="AP21" s="15">
        <f>IFERROR((s_TR/(up_RadSpec!K21*s_EF_rec*(1/365)*s_ED_rec*s_ET_rec*(1/24)*s_GSF_a)),".")</f>
        <v>6.3709090909090908E-6</v>
      </c>
      <c r="AQ21" s="15">
        <f>IFERROR(IF(AND(AO21&lt;&gt;".",AP21&lt;&gt;"."),1/((1/AO21)+(1/AP21)),IF(AND(AO21&lt;&gt;".",AP21="."),1/((1/AO21)),IF(AND(AO21=".",AP21&lt;&gt;"."),1/((1/AP21)),IF(AND(AO21=".",AP21="."),".")))),".")</f>
        <v>9.9724647271019672E-10</v>
      </c>
      <c r="AR21" s="40">
        <f t="shared" si="3"/>
        <v>10026.041666666666</v>
      </c>
      <c r="AS21" s="40">
        <f t="shared" si="4"/>
        <v>1.5696347031963471</v>
      </c>
      <c r="AT21" s="45"/>
      <c r="AU21" s="45"/>
      <c r="AV21" s="45"/>
      <c r="AW21" s="15">
        <f>IFERROR((s_TR/(up_RadSpec!I21*s_IFW_rec_adj)),".")</f>
        <v>2.272727272727273E-10</v>
      </c>
      <c r="AX21" s="15">
        <f>IFERROR((s_TR/(up_RadSpec!M21*(1/8760)*s_DFA_rec_adj)),".")</f>
        <v>3.9818181818181825E-6</v>
      </c>
      <c r="AY21" s="2">
        <f>IFERROR(BO21/(up_RadSpec!AI21*s_Q_w_game*(1/1000)),".")</f>
        <v>1.8181818181818183E-7</v>
      </c>
      <c r="AZ21" s="2">
        <f>IFERROR(BO21/(up_RadSpec!AL21*s_Q_w_fowl*(1/1000)),".")</f>
        <v>1.8181818181818183E-7</v>
      </c>
      <c r="BA21" s="244">
        <f t="shared" si="5"/>
        <v>4399999999.999999</v>
      </c>
      <c r="BB21" s="244">
        <f t="shared" si="5"/>
        <v>251141.55251141547</v>
      </c>
      <c r="BC21" s="244">
        <f t="shared" si="5"/>
        <v>5500000</v>
      </c>
      <c r="BD21" s="244">
        <f t="shared" si="5"/>
        <v>5500000</v>
      </c>
      <c r="BE21" s="2">
        <f t="shared" si="12"/>
        <v>2.2669305553255277E-10</v>
      </c>
      <c r="BF21" s="40">
        <f t="shared" si="6"/>
        <v>44000</v>
      </c>
      <c r="BG21" s="40">
        <f t="shared" si="7"/>
        <v>2.5114155251141552</v>
      </c>
      <c r="BH21" s="19">
        <f>IFERROR(s_C*up_RadSpec!AI21*s_Q_w_game*(1/1000)*s_EF_rec*s_ED_rec*s_IRGL_rec*s_CF_game,".")</f>
        <v>55</v>
      </c>
      <c r="BI21" s="19">
        <f>IFERROR(s_C*up_RadSpec!AL21*s_Q_w_fowl*(1/1000)*s_EF_rec*s_ED_rec*s_IRGL_rec*s_CF_fowl,0)</f>
        <v>55</v>
      </c>
      <c r="BJ21" s="18"/>
      <c r="BK21" s="18"/>
      <c r="BL21" s="5"/>
      <c r="BM21" s="5"/>
      <c r="BN21" s="18"/>
      <c r="BO21" s="2">
        <f>IFERROR(s_TR/(up_RadSpec!H21*s_EF_rec*s_ED_rec*s_IRGL_rec*s_CF_game),".")</f>
        <v>1.8181818181818184E-9</v>
      </c>
      <c r="BP21" s="2">
        <f>IFERROR(s_TR/(up_RadSpec!H21*s_EF_rec*s_ED_rec*s_IRGF_rec*s_CF_fowl),".")</f>
        <v>1.8181818181818184E-9</v>
      </c>
      <c r="BQ21" s="19">
        <f t="shared" si="8"/>
        <v>5500</v>
      </c>
      <c r="BR21" s="19">
        <f t="shared" si="9"/>
        <v>5500</v>
      </c>
      <c r="BS21" s="5"/>
      <c r="BT21" s="5"/>
    </row>
    <row r="22" spans="1:72" customFormat="1" x14ac:dyDescent="0.25">
      <c r="A22" s="44" t="s">
        <v>32</v>
      </c>
      <c r="B22" s="42" t="s">
        <v>1071</v>
      </c>
      <c r="C22" s="42"/>
      <c r="D22" s="15">
        <f>IFERROR(((s_TR/(up_RadSpec!E22*s_IFS_rec_adj*(1/1000)))*1),".")</f>
        <v>3.3057851239669421E-8</v>
      </c>
      <c r="E22" s="15">
        <f>IFERROR(IF(A22="H-3",(s_TR/((up_RadSpec!F22*s_IFA_rec_adj*(1/17)*1000))*1),(s_TR/((up_RadSpec!F22*s_IFA_rec_adj*(1/s_PEF_wind)*1000))*1)),".")</f>
        <v>3.0899917851942918E-4</v>
      </c>
      <c r="F22" s="2">
        <f>IFERROR((s_TR/(up_RadSpec!G22*s_EF_rec*(1/365)*s_ED_rec*up_RadSpec!R22*s_ET_rec*(1/24)*up_RadSpec!W22)),".")</f>
        <v>152.850439882698</v>
      </c>
      <c r="G22" s="2">
        <f>IFERROR((BO22/(up_RadSpec!AI22*((s_Q_p_game*s_f_p_game*s_f_s_game*(up_RadSpec!BD22+s_R_es_past))+(s_Q_s_game*s_f_p_game)))),".")</f>
        <v>7.5757575757575769E-12</v>
      </c>
      <c r="H22" s="2">
        <f>IFERROR((BO22/(up_RadSpec!AL22*((s_Q_p_fowl*s_f_p_fowl*s_f_s_fowl*(up_RadSpec!BD22+s_R_es_past))+(s_Q_s_fowl*s_f_p_fowl)))),".")</f>
        <v>7.5757575757575769E-12</v>
      </c>
      <c r="I22" s="244">
        <f t="shared" si="10"/>
        <v>30250000</v>
      </c>
      <c r="J22" s="244">
        <f t="shared" si="10"/>
        <v>3236.2545583179349</v>
      </c>
      <c r="K22" s="244">
        <f t="shared" si="10"/>
        <v>6.542342964583091E-3</v>
      </c>
      <c r="L22" s="244">
        <f t="shared" si="10"/>
        <v>131999999999.99998</v>
      </c>
      <c r="M22" s="244">
        <f t="shared" si="10"/>
        <v>131999999999.99998</v>
      </c>
      <c r="N22" s="2">
        <f t="shared" si="11"/>
        <v>3.7874447634043453E-12</v>
      </c>
      <c r="O22" s="40">
        <f t="shared" si="1"/>
        <v>302.5</v>
      </c>
      <c r="P22" s="40">
        <f t="shared" si="2"/>
        <v>3.2362545583179352E-2</v>
      </c>
      <c r="Q22" s="40">
        <f>IFERROR((s_C*s_EF_rec*(1/365)*s_ED_rec*up_RadSpec!R22*s_ET_rec*(1/24)*up_RadSpec!W22),".")</f>
        <v>6.5423429645830922E-8</v>
      </c>
      <c r="R22" s="19">
        <f>IFERROR((s_C*s_IRGL_rec*s_EF_rec*s_ED_rec*s_CF_game*up_RadSpec!AI22)*((s_Q_p_game*s_f_p_game*s_f_s_game*(up_RadSpec!BD22+s_R_es_past))+(s_Q_s_game*s_f_p_game)),".")</f>
        <v>1320000</v>
      </c>
      <c r="S22" s="19">
        <f>IFERROR((s_C*s_IRGF_rec*s_EF_rec*s_ED_rec*s_CF_fowl*up_RadSpec!AL22)*((s_Q_p_fowl*s_f_p_fowl*s_f_s_fowl*(up_RadSpec!BD22+s_R_es_past))+(s_Q_s_fowl*s_f_p_fowl)),0)</f>
        <v>1320000</v>
      </c>
      <c r="T22" s="18"/>
      <c r="U22" s="18"/>
      <c r="V22" s="18"/>
      <c r="W22" s="5"/>
      <c r="X22" s="5"/>
      <c r="Y22" s="18"/>
      <c r="Z22" s="15">
        <f>IFERROR((s_TR/(up_RadSpec!G22*s_EF_rec*(1/365)*s_ED_rec*up_RadSpec!R22*s_ET_rec*(1/24)*up_RadSpec!W22)),".")</f>
        <v>152.850439882698</v>
      </c>
      <c r="AA22" s="15">
        <f>IFERROR((s_TR/(up_RadSpec!N22*s_EF_rec*(1/365)*s_ED_rec*up_RadSpec!S22*s_ET_rec*(1/24)*up_RadSpec!X22)),".")</f>
        <v>140.06003150167919</v>
      </c>
      <c r="AB22" s="15">
        <f>IFERROR((s_TR/(up_RadSpec!O22*s_EF_rec*(1/365)*s_ED_rec*up_RadSpec!T22*s_ET_rec*(1/24)*up_RadSpec!Y22)),".")</f>
        <v>107.60360759143475</v>
      </c>
      <c r="AC22" s="15">
        <f>IFERROR((s_TR/(up_RadSpec!P22*s_EF_rec*(1/365)*s_ED_rec*up_RadSpec!U22*s_ET_rec*(1/24)*up_RadSpec!Z22)),".")</f>
        <v>110.88257575757572</v>
      </c>
      <c r="AD22" s="15">
        <f>IFERROR((s_TR/(up_RadSpec!L22*s_EF_rec*(1/365)*s_ED_rec*up_RadSpec!Q22*s_ET_rec*(1/24)*up_RadSpec!V22)),".")</f>
        <v>786.78866993535519</v>
      </c>
      <c r="AE22" s="40">
        <f>IFERROR((s_C*s_EF_rec*(1/365)*s_ED_rec*up_RadSpec!R22*s_ET_rec*(1/24)*up_RadSpec!W22),".")</f>
        <v>6.5423429645830922E-8</v>
      </c>
      <c r="AF22" s="40">
        <f>IFERROR((s_C*s_EF_rec*(1/365)*s_ED_rec*up_RadSpec!S22*s_ET_rec*(1/24)*up_RadSpec!X22),".")</f>
        <v>7.1397956239072456E-8</v>
      </c>
      <c r="AG22" s="40">
        <f>IFERROR((s_C*s_EF_rec*(1/365)*s_ED_rec*up_RadSpec!T22*s_ET_rec*(1/24)*up_RadSpec!Y22),".")</f>
        <v>9.2933687111769299E-8</v>
      </c>
      <c r="AH22" s="40">
        <f>IFERROR((s_C*s_EF_rec*(1/365)*s_ED_rec*up_RadSpec!U22*s_ET_rec*(1/24)*up_RadSpec!Z22),".")</f>
        <v>9.0185495166194143E-8</v>
      </c>
      <c r="AI22" s="40">
        <f>IFERROR((s_C*s_EF_rec*(1/365)*s_ED_rec*up_RadSpec!Q22*s_ET_rec*(1/24)*up_RadSpec!V22),".")</f>
        <v>1.2709893243406301E-8</v>
      </c>
      <c r="AJ22" s="18"/>
      <c r="AK22" s="18"/>
      <c r="AL22" s="18"/>
      <c r="AM22" s="18"/>
      <c r="AN22" s="18"/>
      <c r="AO22" s="15">
        <f>IFERROR((s_TR/(up_RadSpec!F22*s_IFA_rec_adj)),".")</f>
        <v>9.9740259740259755E-10</v>
      </c>
      <c r="AP22" s="15">
        <f>IFERROR((s_TR/(up_RadSpec!K22*s_EF_rec*(1/365)*s_ED_rec*s_ET_rec*(1/24)*s_GSF_a)),".")</f>
        <v>6.3709090909090908E-6</v>
      </c>
      <c r="AQ22" s="15">
        <f t="shared" ref="AQ22:AQ24" si="15">IFERROR(IF(AND(AO22&lt;&gt;".",AP22&lt;&gt;"."),1/((1/AO22)+(1/AP22)),IF(AND(AO22&lt;&gt;".",AP22="."),1/((1/AO22)),IF(AND(AO22=".",AP22&lt;&gt;"."),1/((1/AP22)),IF(AND(AO22=".",AP22="."),".")))),".")</f>
        <v>9.9724647271019672E-10</v>
      </c>
      <c r="AR22" s="40">
        <f t="shared" si="3"/>
        <v>10026.041666666666</v>
      </c>
      <c r="AS22" s="40">
        <f t="shared" si="4"/>
        <v>1.5696347031963471</v>
      </c>
      <c r="AT22" s="45"/>
      <c r="AU22" s="45"/>
      <c r="AV22" s="45"/>
      <c r="AW22" s="15">
        <f>IFERROR((s_TR/(up_RadSpec!I22*s_IFW_rec_adj)),".")</f>
        <v>2.272727272727273E-10</v>
      </c>
      <c r="AX22" s="15">
        <f>IFERROR((s_TR/(up_RadSpec!M22*(1/8760)*s_DFA_rec_adj)),".")</f>
        <v>3.9818181818181825E-6</v>
      </c>
      <c r="AY22" s="2">
        <f>IFERROR(BO22/(up_RadSpec!AI22*s_Q_w_game*(1/1000)),".")</f>
        <v>1.8181818181818183E-7</v>
      </c>
      <c r="AZ22" s="2">
        <f>IFERROR(BO22/(up_RadSpec!AL22*s_Q_w_fowl*(1/1000)),".")</f>
        <v>1.8181818181818183E-7</v>
      </c>
      <c r="BA22" s="244">
        <f t="shared" si="5"/>
        <v>4399999999.999999</v>
      </c>
      <c r="BB22" s="244">
        <f t="shared" si="5"/>
        <v>251141.55251141547</v>
      </c>
      <c r="BC22" s="244">
        <f t="shared" si="5"/>
        <v>5500000</v>
      </c>
      <c r="BD22" s="244">
        <f t="shared" si="5"/>
        <v>5500000</v>
      </c>
      <c r="BE22" s="2">
        <f t="shared" si="12"/>
        <v>2.2669305553255277E-10</v>
      </c>
      <c r="BF22" s="40">
        <f t="shared" si="6"/>
        <v>44000</v>
      </c>
      <c r="BG22" s="40">
        <f t="shared" si="7"/>
        <v>2.5114155251141552</v>
      </c>
      <c r="BH22" s="19">
        <f>IFERROR(s_C*up_RadSpec!AI22*s_Q_w_game*(1/1000)*s_EF_rec*s_ED_rec*s_IRGL_rec*s_CF_game,".")</f>
        <v>55</v>
      </c>
      <c r="BI22" s="19">
        <f>IFERROR(s_C*up_RadSpec!AL22*s_Q_w_fowl*(1/1000)*s_EF_rec*s_ED_rec*s_IRGL_rec*s_CF_fowl,0)</f>
        <v>55</v>
      </c>
      <c r="BJ22" s="18"/>
      <c r="BK22" s="18"/>
      <c r="BL22" s="5"/>
      <c r="BM22" s="5"/>
      <c r="BN22" s="18"/>
      <c r="BO22" s="2">
        <f>IFERROR(s_TR/(up_RadSpec!H22*s_EF_rec*s_ED_rec*s_IRGL_rec*s_CF_game),".")</f>
        <v>1.8181818181818184E-9</v>
      </c>
      <c r="BP22" s="2">
        <f>IFERROR(s_TR/(up_RadSpec!H22*s_EF_rec*s_ED_rec*s_IRGF_rec*s_CF_fowl),".")</f>
        <v>1.8181818181818184E-9</v>
      </c>
      <c r="BQ22" s="19">
        <f t="shared" si="8"/>
        <v>5500</v>
      </c>
      <c r="BR22" s="19">
        <f t="shared" si="9"/>
        <v>5500</v>
      </c>
      <c r="BS22" s="5"/>
      <c r="BT22" s="5"/>
    </row>
    <row r="23" spans="1:72" customFormat="1" x14ac:dyDescent="0.25">
      <c r="A23" s="46" t="s">
        <v>33</v>
      </c>
      <c r="B23" s="42" t="s">
        <v>349</v>
      </c>
      <c r="C23" s="249"/>
      <c r="D23" s="15">
        <f>IFERROR(((s_TR/(up_RadSpec!E23*s_IFS_rec_adj*(1/1000)))*1),".")</f>
        <v>3.3057851239669421E-8</v>
      </c>
      <c r="E23" s="15">
        <f>IFERROR(IF(A23="H-3",(s_TR/((up_RadSpec!F23*s_IFA_rec_adj*(1/17)*1000))*1),(s_TR/((up_RadSpec!F23*s_IFA_rec_adj*(1/s_PEF_wind)*1000))*1)),".")</f>
        <v>3.0899917851942918E-4</v>
      </c>
      <c r="F23" s="2">
        <f>IFERROR((s_TR/(up_RadSpec!G23*s_EF_rec*(1/365)*s_ED_rec*up_RadSpec!R23*s_ET_rec*(1/24)*up_RadSpec!W23)),".")</f>
        <v>3.5003923532849144E-5</v>
      </c>
      <c r="G23" s="2">
        <f>IFERROR((BO23/(up_RadSpec!AI23*((s_Q_p_game*s_f_p_game*s_f_s_game*(up_RadSpec!BD23+s_R_es_past))+(s_Q_s_game*s_f_p_game)))),".")</f>
        <v>7.5757575757575769E-12</v>
      </c>
      <c r="H23" s="2">
        <f>IFERROR((BO23/(up_RadSpec!AL23*((s_Q_p_fowl*s_f_p_fowl*s_f_s_fowl*(up_RadSpec!BD23+s_R_es_past))+(s_Q_s_fowl*s_f_p_fowl)))),".")</f>
        <v>7.5757575757575769E-12</v>
      </c>
      <c r="I23" s="244">
        <f t="shared" si="10"/>
        <v>30250000</v>
      </c>
      <c r="J23" s="244">
        <f t="shared" si="10"/>
        <v>3236.2545583179349</v>
      </c>
      <c r="K23" s="244">
        <f t="shared" si="10"/>
        <v>28568.226046476138</v>
      </c>
      <c r="L23" s="244">
        <f t="shared" si="10"/>
        <v>131999999999.99998</v>
      </c>
      <c r="M23" s="244">
        <f t="shared" si="10"/>
        <v>131999999999.99998</v>
      </c>
      <c r="N23" s="2">
        <f t="shared" si="11"/>
        <v>3.7874443536007693E-12</v>
      </c>
      <c r="O23" s="40">
        <f t="shared" si="1"/>
        <v>302.5</v>
      </c>
      <c r="P23" s="40">
        <f t="shared" si="2"/>
        <v>3.2362545583179352E-2</v>
      </c>
      <c r="Q23" s="40">
        <f>IFERROR((s_C*s_EF_rec*(1/365)*s_ED_rec*up_RadSpec!R23*s_ET_rec*(1/24)*up_RadSpec!W23),".")</f>
        <v>0.28568226046476142</v>
      </c>
      <c r="R23" s="19">
        <f>IFERROR((s_C*s_IRGL_rec*s_EF_rec*s_ED_rec*s_CF_game*up_RadSpec!AI23)*((s_Q_p_game*s_f_p_game*s_f_s_game*(up_RadSpec!BD23+s_R_es_past))+(s_Q_s_game*s_f_p_game)),".")</f>
        <v>1320000</v>
      </c>
      <c r="S23" s="19">
        <f>IFERROR((s_C*s_IRGF_rec*s_EF_rec*s_ED_rec*s_CF_fowl*up_RadSpec!AL23)*((s_Q_p_fowl*s_f_p_fowl*s_f_s_fowl*(up_RadSpec!BD23+s_R_es_past))+(s_Q_s_fowl*s_f_p_fowl)),0)</f>
        <v>1320000</v>
      </c>
      <c r="T23" s="18"/>
      <c r="U23" s="18"/>
      <c r="V23" s="18"/>
      <c r="W23" s="5"/>
      <c r="X23" s="5"/>
      <c r="Y23" s="18"/>
      <c r="Z23" s="15">
        <f>IFERROR((s_TR/(up_RadSpec!G23*s_EF_rec*(1/365)*s_ED_rec*up_RadSpec!R23*s_ET_rec*(1/24)*up_RadSpec!W23)),".")</f>
        <v>3.5003923532849144E-5</v>
      </c>
      <c r="AA23" s="15">
        <f>IFERROR((s_TR/(up_RadSpec!N23*s_EF_rec*(1/365)*s_ED_rec*up_RadSpec!S23*s_ET_rec*(1/24)*up_RadSpec!X23)),".")</f>
        <v>6.2307642417036043E-5</v>
      </c>
      <c r="AB23" s="15">
        <f>IFERROR((s_TR/(up_RadSpec!O23*s_EF_rec*(1/365)*s_ED_rec*up_RadSpec!T23*s_ET_rec*(1/24)*up_RadSpec!Y23)),".")</f>
        <v>4.4059313285674305E-5</v>
      </c>
      <c r="AC23" s="15">
        <f>IFERROR((s_TR/(up_RadSpec!P23*s_EF_rec*(1/365)*s_ED_rec*up_RadSpec!U23*s_ET_rec*(1/24)*up_RadSpec!Z23)),".")</f>
        <v>3.6055144855144853E-5</v>
      </c>
      <c r="AD23" s="15">
        <f>IFERROR((s_TR/(up_RadSpec!L23*s_EF_rec*(1/365)*s_ED_rec*up_RadSpec!Q23*s_ET_rec*(1/24)*up_RadSpec!V23)),".")</f>
        <v>9.8081956878073384E-5</v>
      </c>
      <c r="AE23" s="40">
        <f>IFERROR((s_C*s_EF_rec*(1/365)*s_ED_rec*up_RadSpec!R23*s_ET_rec*(1/24)*up_RadSpec!W23),".")</f>
        <v>0.28568226046476142</v>
      </c>
      <c r="AF23" s="40">
        <f>IFERROR((s_C*s_EF_rec*(1/365)*s_ED_rec*up_RadSpec!S23*s_ET_rec*(1/24)*up_RadSpec!X23),".")</f>
        <v>0.16049395567028898</v>
      </c>
      <c r="AG23" s="40">
        <f>IFERROR((s_C*s_EF_rec*(1/365)*s_ED_rec*up_RadSpec!T23*s_ET_rec*(1/24)*up_RadSpec!Y23),".")</f>
        <v>0.22696676943558849</v>
      </c>
      <c r="AH23" s="40">
        <f>IFERROR((s_C*s_EF_rec*(1/365)*s_ED_rec*up_RadSpec!U23*s_ET_rec*(1/24)*up_RadSpec!Z23),".")</f>
        <v>0.27735292813760698</v>
      </c>
      <c r="AI23" s="40">
        <f>IFERROR((s_C*s_EF_rec*(1/365)*s_ED_rec*up_RadSpec!Q23*s_ET_rec*(1/24)*up_RadSpec!V23),".")</f>
        <v>0.10195555144185282</v>
      </c>
      <c r="AJ23" s="18"/>
      <c r="AK23" s="18"/>
      <c r="AL23" s="18"/>
      <c r="AM23" s="18"/>
      <c r="AN23" s="18"/>
      <c r="AO23" s="15">
        <f>IFERROR((s_TR/(up_RadSpec!F23*s_IFA_rec_adj)),".")</f>
        <v>9.9740259740259755E-10</v>
      </c>
      <c r="AP23" s="15">
        <f>IFERROR((s_TR/(up_RadSpec!K23*s_EF_rec*(1/365)*s_ED_rec*s_ET_rec*(1/24)*s_GSF_a)),".")</f>
        <v>6.3709090909090908E-6</v>
      </c>
      <c r="AQ23" s="15">
        <f t="shared" si="15"/>
        <v>9.9724647271019672E-10</v>
      </c>
      <c r="AR23" s="40">
        <f t="shared" si="3"/>
        <v>10026.041666666666</v>
      </c>
      <c r="AS23" s="40">
        <f t="shared" si="4"/>
        <v>1.5696347031963471</v>
      </c>
      <c r="AT23" s="45"/>
      <c r="AU23" s="45"/>
      <c r="AV23" s="45"/>
      <c r="AW23" s="15">
        <f>IFERROR((s_TR/(up_RadSpec!I23*s_IFW_rec_adj)),".")</f>
        <v>2.272727272727273E-10</v>
      </c>
      <c r="AX23" s="15">
        <f>IFERROR((s_TR/(up_RadSpec!M23*(1/8760)*s_DFA_rec_adj)),".")</f>
        <v>3.9818181818181825E-6</v>
      </c>
      <c r="AY23" s="2">
        <f>IFERROR(BO23/(up_RadSpec!AI23*s_Q_w_game*(1/1000)),".")</f>
        <v>1.8181818181818183E-7</v>
      </c>
      <c r="AZ23" s="2">
        <f>IFERROR(BO23/(up_RadSpec!AL23*s_Q_w_fowl*(1/1000)),".")</f>
        <v>1.8181818181818183E-7</v>
      </c>
      <c r="BA23" s="244">
        <f t="shared" si="5"/>
        <v>4399999999.999999</v>
      </c>
      <c r="BB23" s="244">
        <f t="shared" si="5"/>
        <v>251141.55251141547</v>
      </c>
      <c r="BC23" s="244">
        <f t="shared" si="5"/>
        <v>5500000</v>
      </c>
      <c r="BD23" s="244">
        <f t="shared" si="5"/>
        <v>5500000</v>
      </c>
      <c r="BE23" s="2">
        <f t="shared" si="12"/>
        <v>2.2669305553255277E-10</v>
      </c>
      <c r="BF23" s="40">
        <f t="shared" si="6"/>
        <v>44000</v>
      </c>
      <c r="BG23" s="40">
        <f t="shared" si="7"/>
        <v>2.5114155251141552</v>
      </c>
      <c r="BH23" s="19">
        <f>IFERROR(s_C*up_RadSpec!AI23*s_Q_w_game*(1/1000)*s_EF_rec*s_ED_rec*s_IRGL_rec*s_CF_game,".")</f>
        <v>55</v>
      </c>
      <c r="BI23" s="19">
        <f>IFERROR(s_C*up_RadSpec!AL23*s_Q_w_fowl*(1/1000)*s_EF_rec*s_ED_rec*s_IRGL_rec*s_CF_fowl,0)</f>
        <v>55</v>
      </c>
      <c r="BJ23" s="18"/>
      <c r="BK23" s="18"/>
      <c r="BL23" s="5"/>
      <c r="BM23" s="5"/>
      <c r="BN23" s="18"/>
      <c r="BO23" s="2">
        <f>IFERROR(s_TR/(up_RadSpec!H23*s_EF_rec*s_ED_rec*s_IRGL_rec*s_CF_game),".")</f>
        <v>1.8181818181818184E-9</v>
      </c>
      <c r="BP23" s="2">
        <f>IFERROR(s_TR/(up_RadSpec!H23*s_EF_rec*s_ED_rec*s_IRGF_rec*s_CF_fowl),".")</f>
        <v>1.8181818181818184E-9</v>
      </c>
      <c r="BQ23" s="19">
        <f t="shared" si="8"/>
        <v>5500</v>
      </c>
      <c r="BR23" s="19">
        <f t="shared" si="9"/>
        <v>5500</v>
      </c>
      <c r="BS23" s="5"/>
      <c r="BT23" s="5"/>
    </row>
    <row r="24" spans="1:72" customFormat="1" x14ac:dyDescent="0.25">
      <c r="A24" s="44" t="s">
        <v>34</v>
      </c>
      <c r="B24" s="42" t="s">
        <v>1071</v>
      </c>
      <c r="C24" s="249"/>
      <c r="D24" s="15">
        <f>IFERROR(((s_TR/(up_RadSpec!E24*s_IFS_rec_adj*(1/1000)))*1),".")</f>
        <v>3.3057851239669421E-8</v>
      </c>
      <c r="E24" s="15">
        <f>IFERROR(IF(A24="H-3",(s_TR/((up_RadSpec!F24*s_IFA_rec_adj*(1/17)*1000))*1),(s_TR/((up_RadSpec!F24*s_IFA_rec_adj*(1/s_PEF_wind)*1000))*1)),".")</f>
        <v>3.0899917851942918E-4</v>
      </c>
      <c r="F24" s="2">
        <f>IFERROR((s_TR/(up_RadSpec!G24*s_EF_rec*(1/365)*s_ED_rec*up_RadSpec!R24*s_ET_rec*(1/24)*up_RadSpec!W24)),".")</f>
        <v>4.588736227558055E-5</v>
      </c>
      <c r="G24" s="2">
        <f>IFERROR((BO24/(up_RadSpec!AI24*((s_Q_p_game*s_f_p_game*s_f_s_game*(up_RadSpec!BD24+s_R_es_past))+(s_Q_s_game*s_f_p_game)))),".")</f>
        <v>7.5757575757575769E-12</v>
      </c>
      <c r="H24" s="2">
        <f>IFERROR((BO24/(up_RadSpec!AL24*((s_Q_p_fowl*s_f_p_fowl*s_f_s_fowl*(up_RadSpec!BD24+s_R_es_past))+(s_Q_s_fowl*s_f_p_fowl)))),".")</f>
        <v>7.5757575757575769E-12</v>
      </c>
      <c r="I24" s="244">
        <f t="shared" si="10"/>
        <v>30250000</v>
      </c>
      <c r="J24" s="244">
        <f t="shared" si="10"/>
        <v>3236.2545583179349</v>
      </c>
      <c r="K24" s="244">
        <f t="shared" si="10"/>
        <v>21792.492538455641</v>
      </c>
      <c r="L24" s="244">
        <f t="shared" si="10"/>
        <v>131999999999.99998</v>
      </c>
      <c r="M24" s="244">
        <f t="shared" si="10"/>
        <v>131999999999.99998</v>
      </c>
      <c r="N24" s="2">
        <f t="shared" si="11"/>
        <v>3.7874444507968718E-12</v>
      </c>
      <c r="O24" s="40">
        <f t="shared" si="1"/>
        <v>302.5</v>
      </c>
      <c r="P24" s="40">
        <f t="shared" si="2"/>
        <v>3.2362545583179352E-2</v>
      </c>
      <c r="Q24" s="40">
        <f>IFERROR((s_C*s_EF_rec*(1/365)*s_ED_rec*up_RadSpec!R24*s_ET_rec*(1/24)*up_RadSpec!W24),".")</f>
        <v>0.21792492538455643</v>
      </c>
      <c r="R24" s="19">
        <f>IFERROR((s_C*s_IRGL_rec*s_EF_rec*s_ED_rec*s_CF_game*up_RadSpec!AI24)*((s_Q_p_game*s_f_p_game*s_f_s_game*(up_RadSpec!BD24+s_R_es_past))+(s_Q_s_game*s_f_p_game)),".")</f>
        <v>1320000</v>
      </c>
      <c r="S24" s="19">
        <f>IFERROR((s_C*s_IRGF_rec*s_EF_rec*s_ED_rec*s_CF_fowl*up_RadSpec!AL24)*((s_Q_p_fowl*s_f_p_fowl*s_f_s_fowl*(up_RadSpec!BD24+s_R_es_past))+(s_Q_s_fowl*s_f_p_fowl)),0)</f>
        <v>1320000</v>
      </c>
      <c r="T24" s="18"/>
      <c r="U24" s="18"/>
      <c r="V24" s="18"/>
      <c r="W24" s="5"/>
      <c r="X24" s="5"/>
      <c r="Y24" s="18"/>
      <c r="Z24" s="15">
        <f>IFERROR((s_TR/(up_RadSpec!G24*s_EF_rec*(1/365)*s_ED_rec*up_RadSpec!R24*s_ET_rec*(1/24)*up_RadSpec!W24)),".")</f>
        <v>4.588736227558055E-5</v>
      </c>
      <c r="AA24" s="15">
        <f>IFERROR((s_TR/(up_RadSpec!N24*s_EF_rec*(1/365)*s_ED_rec*up_RadSpec!S24*s_ET_rec*(1/24)*up_RadSpec!X24)),".")</f>
        <v>8.319447442262036E-5</v>
      </c>
      <c r="AB24" s="15">
        <f>IFERROR((s_TR/(up_RadSpec!O24*s_EF_rec*(1/365)*s_ED_rec*up_RadSpec!T24*s_ET_rec*(1/24)*up_RadSpec!Y24)),".")</f>
        <v>5.8740674803103339E-5</v>
      </c>
      <c r="AC24" s="15">
        <f>IFERROR((s_TR/(up_RadSpec!P24*s_EF_rec*(1/365)*s_ED_rec*up_RadSpec!U24*s_ET_rec*(1/24)*up_RadSpec!Z24)),".")</f>
        <v>4.9052272027325928E-5</v>
      </c>
      <c r="AD24" s="15">
        <f>IFERROR((s_TR/(up_RadSpec!L24*s_EF_rec*(1/365)*s_ED_rec*up_RadSpec!Q24*s_ET_rec*(1/24)*up_RadSpec!V24)),".")</f>
        <v>1.3826973026973021E-4</v>
      </c>
      <c r="AE24" s="40">
        <f>IFERROR((s_C*s_EF_rec*(1/365)*s_ED_rec*up_RadSpec!R24*s_ET_rec*(1/24)*up_RadSpec!W24),".")</f>
        <v>0.21792492538455643</v>
      </c>
      <c r="AF24" s="40">
        <f>IFERROR((s_C*s_EF_rec*(1/365)*s_ED_rec*up_RadSpec!S24*s_ET_rec*(1/24)*up_RadSpec!X24),".")</f>
        <v>0.12020029057700288</v>
      </c>
      <c r="AG24" s="40">
        <f>IFERROR((s_C*s_EF_rec*(1/365)*s_ED_rec*up_RadSpec!T24*s_ET_rec*(1/24)*up_RadSpec!Y24),".")</f>
        <v>0.17023978756661626</v>
      </c>
      <c r="AH24" s="40">
        <f>IFERROR((s_C*s_EF_rec*(1/365)*s_ED_rec*up_RadSpec!U24*s_ET_rec*(1/24)*up_RadSpec!Z24),".")</f>
        <v>0.20386415525114154</v>
      </c>
      <c r="AI24" s="40">
        <f>IFERROR((s_C*s_EF_rec*(1/365)*s_ED_rec*up_RadSpec!Q24*s_ET_rec*(1/24)*up_RadSpec!V24),".")</f>
        <v>7.2322409109300073E-2</v>
      </c>
      <c r="AJ24" s="18"/>
      <c r="AK24" s="18"/>
      <c r="AL24" s="18"/>
      <c r="AM24" s="18"/>
      <c r="AN24" s="18"/>
      <c r="AO24" s="15">
        <f>IFERROR((s_TR/(up_RadSpec!F24*s_IFA_rec_adj)),".")</f>
        <v>9.9740259740259755E-10</v>
      </c>
      <c r="AP24" s="15">
        <f>IFERROR((s_TR/(up_RadSpec!K24*s_EF_rec*(1/365)*s_ED_rec*s_ET_rec*(1/24)*s_GSF_a)),".")</f>
        <v>6.3709090909090908E-6</v>
      </c>
      <c r="AQ24" s="15">
        <f t="shared" si="15"/>
        <v>9.9724647271019672E-10</v>
      </c>
      <c r="AR24" s="40">
        <f t="shared" si="3"/>
        <v>10026.041666666666</v>
      </c>
      <c r="AS24" s="40">
        <f t="shared" si="4"/>
        <v>1.5696347031963471</v>
      </c>
      <c r="AT24" s="45"/>
      <c r="AU24" s="45"/>
      <c r="AV24" s="45"/>
      <c r="AW24" s="15">
        <f>IFERROR((s_TR/(up_RadSpec!I24*s_IFW_rec_adj)),".")</f>
        <v>2.272727272727273E-10</v>
      </c>
      <c r="AX24" s="15">
        <f>IFERROR((s_TR/(up_RadSpec!M24*(1/8760)*s_DFA_rec_adj)),".")</f>
        <v>3.9818181818181825E-6</v>
      </c>
      <c r="AY24" s="2">
        <f>IFERROR(BO24/(up_RadSpec!AI24*s_Q_w_game*(1/1000)),".")</f>
        <v>1.8181818181818183E-7</v>
      </c>
      <c r="AZ24" s="2">
        <f>IFERROR(BO24/(up_RadSpec!AL24*s_Q_w_fowl*(1/1000)),".")</f>
        <v>1.8181818181818183E-7</v>
      </c>
      <c r="BA24" s="244">
        <f t="shared" si="5"/>
        <v>4399999999.999999</v>
      </c>
      <c r="BB24" s="244">
        <f t="shared" si="5"/>
        <v>251141.55251141547</v>
      </c>
      <c r="BC24" s="244">
        <f t="shared" si="5"/>
        <v>5500000</v>
      </c>
      <c r="BD24" s="244">
        <f t="shared" si="5"/>
        <v>5500000</v>
      </c>
      <c r="BE24" s="2">
        <f t="shared" si="12"/>
        <v>2.2669305553255277E-10</v>
      </c>
      <c r="BF24" s="40">
        <f t="shared" si="6"/>
        <v>44000</v>
      </c>
      <c r="BG24" s="40">
        <f t="shared" si="7"/>
        <v>2.5114155251141552</v>
      </c>
      <c r="BH24" s="19">
        <f>IFERROR(s_C*up_RadSpec!AI24*s_Q_w_game*(1/1000)*s_EF_rec*s_ED_rec*s_IRGL_rec*s_CF_game,".")</f>
        <v>55</v>
      </c>
      <c r="BI24" s="19">
        <f>IFERROR(s_C*up_RadSpec!AL24*s_Q_w_fowl*(1/1000)*s_EF_rec*s_ED_rec*s_IRGL_rec*s_CF_fowl,0)</f>
        <v>55</v>
      </c>
      <c r="BJ24" s="18"/>
      <c r="BK24" s="18"/>
      <c r="BL24" s="5"/>
      <c r="BM24" s="5"/>
      <c r="BN24" s="18"/>
      <c r="BO24" s="2">
        <f>IFERROR(s_TR/(up_RadSpec!H24*s_EF_rec*s_ED_rec*s_IRGL_rec*s_CF_game),".")</f>
        <v>1.8181818181818184E-9</v>
      </c>
      <c r="BP24" s="2">
        <f>IFERROR(s_TR/(up_RadSpec!H24*s_EF_rec*s_ED_rec*s_IRGF_rec*s_CF_fowl),".")</f>
        <v>1.8181818181818184E-9</v>
      </c>
      <c r="BQ24" s="19">
        <f t="shared" si="8"/>
        <v>5500</v>
      </c>
      <c r="BR24" s="19">
        <f t="shared" si="9"/>
        <v>5500</v>
      </c>
      <c r="BS24" s="5"/>
      <c r="BT24" s="5"/>
    </row>
    <row r="25" spans="1:72" customFormat="1" x14ac:dyDescent="0.25">
      <c r="A25" s="46" t="s">
        <v>35</v>
      </c>
      <c r="B25" s="42" t="s">
        <v>349</v>
      </c>
      <c r="C25" s="249"/>
      <c r="D25" s="15">
        <f>IFERROR(((s_TR/(up_RadSpec!E25*s_IFS_rec_adj*(1/1000)))*1),".")</f>
        <v>3.3057851239669421E-8</v>
      </c>
      <c r="E25" s="15">
        <f>IFERROR(IF(A25="H-3",(s_TR/((up_RadSpec!F25*s_IFA_rec_adj*(1/17)*1000))*1),(s_TR/((up_RadSpec!F25*s_IFA_rec_adj*(1/s_PEF_wind)*1000))*1)),".")</f>
        <v>3.0899917851942918E-4</v>
      </c>
      <c r="F25" s="2">
        <f>IFERROR((s_TR/(up_RadSpec!G25*s_EF_rec*(1/365)*s_ED_rec*up_RadSpec!R25*s_ET_rec*(1/24)*up_RadSpec!W25)),".")</f>
        <v>5.1171960569550945E-5</v>
      </c>
      <c r="G25" s="2">
        <f>IFERROR((BO25/(up_RadSpec!AI25*((s_Q_p_game*s_f_p_game*s_f_s_game*(up_RadSpec!BD25+s_R_es_past))+(s_Q_s_game*s_f_p_game)))),".")</f>
        <v>7.5757575757575769E-12</v>
      </c>
      <c r="H25" s="2">
        <f>IFERROR((BO25/(up_RadSpec!AL25*((s_Q_p_fowl*s_f_p_fowl*s_f_s_fowl*(up_RadSpec!BD25+s_R_es_past))+(s_Q_s_fowl*s_f_p_fowl)))),".")</f>
        <v>7.5757575757575769E-12</v>
      </c>
      <c r="I25" s="244">
        <f t="shared" si="10"/>
        <v>30250000</v>
      </c>
      <c r="J25" s="244">
        <f t="shared" si="10"/>
        <v>3236.2545583179349</v>
      </c>
      <c r="K25" s="244">
        <f t="shared" si="10"/>
        <v>19541.952054794514</v>
      </c>
      <c r="L25" s="244">
        <f t="shared" si="10"/>
        <v>131999999999.99998</v>
      </c>
      <c r="M25" s="244">
        <f t="shared" si="10"/>
        <v>131999999999.99998</v>
      </c>
      <c r="N25" s="2">
        <f t="shared" si="11"/>
        <v>3.7874444830802795E-12</v>
      </c>
      <c r="O25" s="40">
        <f t="shared" si="1"/>
        <v>302.5</v>
      </c>
      <c r="P25" s="40">
        <f t="shared" si="2"/>
        <v>3.2362545583179352E-2</v>
      </c>
      <c r="Q25" s="40">
        <f>IFERROR((s_C*s_EF_rec*(1/365)*s_ED_rec*up_RadSpec!R25*s_ET_rec*(1/24)*up_RadSpec!W25),".")</f>
        <v>0.19541952054794517</v>
      </c>
      <c r="R25" s="19">
        <f>IFERROR((s_C*s_IRGL_rec*s_EF_rec*s_ED_rec*s_CF_game*up_RadSpec!AI25)*((s_Q_p_game*s_f_p_game*s_f_s_game*(up_RadSpec!BD25+s_R_es_past))+(s_Q_s_game*s_f_p_game)),".")</f>
        <v>1320000</v>
      </c>
      <c r="S25" s="19">
        <f>IFERROR((s_C*s_IRGF_rec*s_EF_rec*s_ED_rec*s_CF_fowl*up_RadSpec!AL25)*((s_Q_p_fowl*s_f_p_fowl*s_f_s_fowl*(up_RadSpec!BD25+s_R_es_past))+(s_Q_s_fowl*s_f_p_fowl)),0)</f>
        <v>1320000</v>
      </c>
      <c r="T25" s="18"/>
      <c r="U25" s="18"/>
      <c r="V25" s="18"/>
      <c r="W25" s="5"/>
      <c r="X25" s="5"/>
      <c r="Y25" s="18"/>
      <c r="Z25" s="15">
        <f>IFERROR((s_TR/(up_RadSpec!G25*s_EF_rec*(1/365)*s_ED_rec*up_RadSpec!R25*s_ET_rec*(1/24)*up_RadSpec!W25)),".")</f>
        <v>5.1171960569550945E-5</v>
      </c>
      <c r="AA25" s="15">
        <f>IFERROR((s_TR/(up_RadSpec!N25*s_EF_rec*(1/365)*s_ED_rec*up_RadSpec!S25*s_ET_rec*(1/24)*up_RadSpec!X25)),".")</f>
        <v>9.1638362553616787E-5</v>
      </c>
      <c r="AB25" s="15">
        <f>IFERROR((s_TR/(up_RadSpec!O25*s_EF_rec*(1/365)*s_ED_rec*up_RadSpec!T25*s_ET_rec*(1/24)*up_RadSpec!Y25)),".")</f>
        <v>6.5732694272020137E-5</v>
      </c>
      <c r="AC25" s="15">
        <f>IFERROR((s_TR/(up_RadSpec!P25*s_EF_rec*(1/365)*s_ED_rec*up_RadSpec!U25*s_ET_rec*(1/24)*up_RadSpec!Z25)),".")</f>
        <v>5.8697641341709148E-5</v>
      </c>
      <c r="AD25" s="15">
        <f>IFERROR((s_TR/(up_RadSpec!L25*s_EF_rec*(1/365)*s_ED_rec*up_RadSpec!Q25*s_ET_rec*(1/24)*up_RadSpec!V25)),".")</f>
        <v>1.6429752066115703E-4</v>
      </c>
      <c r="AE25" s="40">
        <f>IFERROR((s_C*s_EF_rec*(1/365)*s_ED_rec*up_RadSpec!R25*s_ET_rec*(1/24)*up_RadSpec!W25),".")</f>
        <v>0.19541952054794517</v>
      </c>
      <c r="AF25" s="40">
        <f>IFERROR((s_C*s_EF_rec*(1/365)*s_ED_rec*up_RadSpec!S25*s_ET_rec*(1/24)*up_RadSpec!X25),".")</f>
        <v>0.10912460372858682</v>
      </c>
      <c r="AG25" s="40">
        <f>IFERROR((s_C*s_EF_rec*(1/365)*s_ED_rec*up_RadSpec!T25*s_ET_rec*(1/24)*up_RadSpec!Y25),".")</f>
        <v>0.1521312964689569</v>
      </c>
      <c r="AH25" s="40">
        <f>IFERROR((s_C*s_EF_rec*(1/365)*s_ED_rec*up_RadSpec!U25*s_ET_rec*(1/24)*up_RadSpec!Z25),".")</f>
        <v>0.17036459679503746</v>
      </c>
      <c r="AI25" s="40">
        <f>IFERROR((s_C*s_EF_rec*(1/365)*s_ED_rec*up_RadSpec!Q25*s_ET_rec*(1/24)*up_RadSpec!V25),".")</f>
        <v>6.0865191146881291E-2</v>
      </c>
      <c r="AJ25" s="18"/>
      <c r="AK25" s="18"/>
      <c r="AL25" s="18"/>
      <c r="AM25" s="18"/>
      <c r="AN25" s="18"/>
      <c r="AO25" s="15">
        <f>IFERROR((s_TR/(up_RadSpec!F25*s_IFA_rec_adj)),".")</f>
        <v>9.9740259740259755E-10</v>
      </c>
      <c r="AP25" s="15">
        <f>IFERROR((s_TR/(up_RadSpec!K25*s_EF_rec*(1/365)*s_ED_rec*s_ET_rec*(1/24)*s_GSF_a)),".")</f>
        <v>6.3709090909090908E-6</v>
      </c>
      <c r="AQ25" s="15">
        <f>IFERROR(IF(AND(AO25&lt;&gt;".",AP25&lt;&gt;"."),1/((1/AO25)+(1/AP25)),IF(AND(AO25&lt;&gt;".",AP25="."),1/((1/AO25)),IF(AND(AO25=".",AP25&lt;&gt;"."),1/((1/AP25)),IF(AND(AO25=".",AP25="."),".")))),".")</f>
        <v>9.9724647271019672E-10</v>
      </c>
      <c r="AR25" s="40">
        <f t="shared" si="3"/>
        <v>10026.041666666666</v>
      </c>
      <c r="AS25" s="40">
        <f t="shared" si="4"/>
        <v>1.5696347031963471</v>
      </c>
      <c r="AT25" s="45"/>
      <c r="AU25" s="45"/>
      <c r="AV25" s="45"/>
      <c r="AW25" s="15">
        <f>IFERROR((s_TR/(up_RadSpec!I25*s_IFW_rec_adj)),".")</f>
        <v>2.272727272727273E-10</v>
      </c>
      <c r="AX25" s="15">
        <f>IFERROR((s_TR/(up_RadSpec!M25*(1/8760)*s_DFA_rec_adj)),".")</f>
        <v>3.9818181818181825E-6</v>
      </c>
      <c r="AY25" s="2">
        <f>IFERROR(BO25/(up_RadSpec!AI25*s_Q_w_game*(1/1000)),".")</f>
        <v>1.8181818181818183E-7</v>
      </c>
      <c r="AZ25" s="2">
        <f>IFERROR(BO25/(up_RadSpec!AL25*s_Q_w_fowl*(1/1000)),".")</f>
        <v>1.8181818181818183E-7</v>
      </c>
      <c r="BA25" s="244">
        <f t="shared" si="5"/>
        <v>4399999999.999999</v>
      </c>
      <c r="BB25" s="244">
        <f t="shared" si="5"/>
        <v>251141.55251141547</v>
      </c>
      <c r="BC25" s="244">
        <f t="shared" si="5"/>
        <v>5500000</v>
      </c>
      <c r="BD25" s="244">
        <f t="shared" si="5"/>
        <v>5500000</v>
      </c>
      <c r="BE25" s="2">
        <f t="shared" si="12"/>
        <v>2.2669305553255277E-10</v>
      </c>
      <c r="BF25" s="40">
        <f t="shared" si="6"/>
        <v>44000</v>
      </c>
      <c r="BG25" s="40">
        <f t="shared" si="7"/>
        <v>2.5114155251141552</v>
      </c>
      <c r="BH25" s="19">
        <f>IFERROR(s_C*up_RadSpec!AI25*s_Q_w_game*(1/1000)*s_EF_rec*s_ED_rec*s_IRGL_rec*s_CF_game,".")</f>
        <v>55</v>
      </c>
      <c r="BI25" s="19">
        <f>IFERROR(s_C*up_RadSpec!AL25*s_Q_w_fowl*(1/1000)*s_EF_rec*s_ED_rec*s_IRGL_rec*s_CF_fowl,0)</f>
        <v>55</v>
      </c>
      <c r="BJ25" s="18"/>
      <c r="BK25" s="18"/>
      <c r="BL25" s="5"/>
      <c r="BM25" s="5"/>
      <c r="BN25" s="18"/>
      <c r="BO25" s="2">
        <f>IFERROR(s_TR/(up_RadSpec!H25*s_EF_rec*s_ED_rec*s_IRGL_rec*s_CF_game),".")</f>
        <v>1.8181818181818184E-9</v>
      </c>
      <c r="BP25" s="2">
        <f>IFERROR(s_TR/(up_RadSpec!H25*s_EF_rec*s_ED_rec*s_IRGF_rec*s_CF_fowl),".")</f>
        <v>1.8181818181818184E-9</v>
      </c>
      <c r="BQ25" s="19">
        <f t="shared" si="8"/>
        <v>5500</v>
      </c>
      <c r="BR25" s="19">
        <f t="shared" si="9"/>
        <v>5500</v>
      </c>
      <c r="BS25" s="5"/>
      <c r="BT25" s="5"/>
    </row>
    <row r="26" spans="1:72" customFormat="1" x14ac:dyDescent="0.25">
      <c r="A26" s="44" t="s">
        <v>36</v>
      </c>
      <c r="B26" s="42" t="s">
        <v>1071</v>
      </c>
      <c r="C26" s="42"/>
      <c r="D26" s="15">
        <f>IFERROR(((s_TR/(up_RadSpec!E26*s_IFS_rec_adj*(1/1000)))*1),".")</f>
        <v>3.3057851239669421E-8</v>
      </c>
      <c r="E26" s="15">
        <f>IFERROR(IF(A26="H-3",(s_TR/((up_RadSpec!F26*s_IFA_rec_adj*(1/17)*1000))*1),(s_TR/((up_RadSpec!F26*s_IFA_rec_adj*(1/s_PEF_wind)*1000))*1)),".")</f>
        <v>3.0899917851942918E-4</v>
      </c>
      <c r="F26" s="2">
        <f>IFERROR((s_TR/(up_RadSpec!G26*s_EF_rec*(1/365)*s_ED_rec*up_RadSpec!R26*s_ET_rec*(1/24)*up_RadSpec!W26)),".")</f>
        <v>2.7899814471243033E-4</v>
      </c>
      <c r="G26" s="2">
        <f>IFERROR((BO26/(up_RadSpec!AI26*((s_Q_p_game*s_f_p_game*s_f_s_game*(up_RadSpec!BD26+s_R_es_past))+(s_Q_s_game*s_f_p_game)))),".")</f>
        <v>7.5757575757575769E-12</v>
      </c>
      <c r="H26" s="2">
        <f>IFERROR((BO26/(up_RadSpec!AL26*((s_Q_p_fowl*s_f_p_fowl*s_f_s_fowl*(up_RadSpec!BD26+s_R_es_past))+(s_Q_s_fowl*s_f_p_fowl)))),".")</f>
        <v>7.5757575757575769E-12</v>
      </c>
      <c r="I26" s="244">
        <f t="shared" si="10"/>
        <v>30250000</v>
      </c>
      <c r="J26" s="244">
        <f t="shared" si="10"/>
        <v>3236.2545583179349</v>
      </c>
      <c r="K26" s="244">
        <f t="shared" si="10"/>
        <v>3584.2532251629218</v>
      </c>
      <c r="L26" s="244">
        <f t="shared" si="10"/>
        <v>131999999999.99998</v>
      </c>
      <c r="M26" s="244">
        <f t="shared" si="10"/>
        <v>131999999999.99998</v>
      </c>
      <c r="N26" s="2">
        <f t="shared" si="11"/>
        <v>3.7874447119892662E-12</v>
      </c>
      <c r="O26" s="40">
        <f t="shared" si="1"/>
        <v>302.5</v>
      </c>
      <c r="P26" s="40">
        <f t="shared" si="2"/>
        <v>3.2362545583179352E-2</v>
      </c>
      <c r="Q26" s="40">
        <f>IFERROR((s_C*s_EF_rec*(1/365)*s_ED_rec*up_RadSpec!R26*s_ET_rec*(1/24)*up_RadSpec!W26),".")</f>
        <v>3.5842532251629221E-2</v>
      </c>
      <c r="R26" s="19">
        <f>IFERROR((s_C*s_IRGL_rec*s_EF_rec*s_ED_rec*s_CF_game*up_RadSpec!AI26)*((s_Q_p_game*s_f_p_game*s_f_s_game*(up_RadSpec!BD26+s_R_es_past))+(s_Q_s_game*s_f_p_game)),".")</f>
        <v>1320000</v>
      </c>
      <c r="S26" s="19">
        <f>IFERROR((s_C*s_IRGF_rec*s_EF_rec*s_ED_rec*s_CF_fowl*up_RadSpec!AL26)*((s_Q_p_fowl*s_f_p_fowl*s_f_s_fowl*(up_RadSpec!BD26+s_R_es_past))+(s_Q_s_fowl*s_f_p_fowl)),0)</f>
        <v>1320000</v>
      </c>
      <c r="T26" s="18"/>
      <c r="U26" s="18"/>
      <c r="V26" s="18"/>
      <c r="W26" s="5"/>
      <c r="X26" s="5"/>
      <c r="Y26" s="18"/>
      <c r="Z26" s="15">
        <f>IFERROR((s_TR/(up_RadSpec!G26*s_EF_rec*(1/365)*s_ED_rec*up_RadSpec!R26*s_ET_rec*(1/24)*up_RadSpec!W26)),".")</f>
        <v>2.7899814471243033E-4</v>
      </c>
      <c r="AA26" s="15">
        <f>IFERROR((s_TR/(up_RadSpec!N26*s_EF_rec*(1/365)*s_ED_rec*up_RadSpec!S26*s_ET_rec*(1/24)*up_RadSpec!X26)),".")</f>
        <v>5.0938165204298855E-4</v>
      </c>
      <c r="AB26" s="15">
        <f>IFERROR((s_TR/(up_RadSpec!O26*s_EF_rec*(1/365)*s_ED_rec*up_RadSpec!T26*s_ET_rec*(1/24)*up_RadSpec!Y26)),".")</f>
        <v>3.681714832535885E-4</v>
      </c>
      <c r="AC26" s="15">
        <f>IFERROR((s_TR/(up_RadSpec!P26*s_EF_rec*(1/365)*s_ED_rec*up_RadSpec!U26*s_ET_rec*(1/24)*up_RadSpec!Z26)),".")</f>
        <v>3.149256198347106E-4</v>
      </c>
      <c r="AD26" s="15">
        <f>IFERROR((s_TR/(up_RadSpec!L26*s_EF_rec*(1/365)*s_ED_rec*up_RadSpec!Q26*s_ET_rec*(1/24)*up_RadSpec!V26)),".")</f>
        <v>2.9689496050264632E-3</v>
      </c>
      <c r="AE26" s="40">
        <f>IFERROR((s_C*s_EF_rec*(1/365)*s_ED_rec*up_RadSpec!R26*s_ET_rec*(1/24)*up_RadSpec!W26),".")</f>
        <v>3.5842532251629221E-2</v>
      </c>
      <c r="AF26" s="40">
        <f>IFERROR((s_C*s_EF_rec*(1/365)*s_ED_rec*up_RadSpec!S26*s_ET_rec*(1/24)*up_RadSpec!X26),".")</f>
        <v>1.9631645466405737E-2</v>
      </c>
      <c r="AG26" s="40">
        <f>IFERROR((s_C*s_EF_rec*(1/365)*s_ED_rec*up_RadSpec!T26*s_ET_rec*(1/24)*up_RadSpec!Y26),".")</f>
        <v>2.7161256248388523E-2</v>
      </c>
      <c r="AH26" s="40">
        <f>IFERROR((s_C*s_EF_rec*(1/365)*s_ED_rec*up_RadSpec!U26*s_ET_rec*(1/24)*up_RadSpec!Z26),".")</f>
        <v>3.1753529627880139E-2</v>
      </c>
      <c r="AI26" s="40">
        <f>IFERROR((s_C*s_EF_rec*(1/365)*s_ED_rec*up_RadSpec!Q26*s_ET_rec*(1/24)*up_RadSpec!V26),".")</f>
        <v>3.3681945907973292E-3</v>
      </c>
      <c r="AJ26" s="18"/>
      <c r="AK26" s="18"/>
      <c r="AL26" s="18"/>
      <c r="AM26" s="18"/>
      <c r="AN26" s="18"/>
      <c r="AO26" s="15">
        <f>IFERROR((s_TR/(up_RadSpec!F26*s_IFA_rec_adj)),".")</f>
        <v>9.9740259740259755E-10</v>
      </c>
      <c r="AP26" s="15">
        <f>IFERROR((s_TR/(up_RadSpec!K26*s_EF_rec*(1/365)*s_ED_rec*s_ET_rec*(1/24)*s_GSF_a)),".")</f>
        <v>6.3709090909090908E-6</v>
      </c>
      <c r="AQ26" s="15">
        <f>IFERROR(IF(AND(AO26&lt;&gt;".",AP26&lt;&gt;"."),1/((1/AO26)+(1/AP26)),IF(AND(AO26&lt;&gt;".",AP26="."),1/((1/AO26)),IF(AND(AO26=".",AP26&lt;&gt;"."),1/((1/AP26)),IF(AND(AO26=".",AP26="."),".")))),".")</f>
        <v>9.9724647271019672E-10</v>
      </c>
      <c r="AR26" s="40">
        <f t="shared" si="3"/>
        <v>10026.041666666666</v>
      </c>
      <c r="AS26" s="40">
        <f t="shared" si="4"/>
        <v>1.5696347031963471</v>
      </c>
      <c r="AT26" s="45"/>
      <c r="AU26" s="45"/>
      <c r="AV26" s="45"/>
      <c r="AW26" s="15">
        <f>IFERROR((s_TR/(up_RadSpec!I26*s_IFW_rec_adj)),".")</f>
        <v>2.272727272727273E-10</v>
      </c>
      <c r="AX26" s="15">
        <f>IFERROR((s_TR/(up_RadSpec!M26*(1/8760)*s_DFA_rec_adj)),".")</f>
        <v>3.9818181818181825E-6</v>
      </c>
      <c r="AY26" s="2">
        <f>IFERROR(BO26/(up_RadSpec!AI26*s_Q_w_game*(1/1000)),".")</f>
        <v>1.8181818181818183E-7</v>
      </c>
      <c r="AZ26" s="2">
        <f>IFERROR(BO26/(up_RadSpec!AL26*s_Q_w_fowl*(1/1000)),".")</f>
        <v>1.8181818181818183E-7</v>
      </c>
      <c r="BA26" s="244">
        <f t="shared" si="5"/>
        <v>4399999999.999999</v>
      </c>
      <c r="BB26" s="244">
        <f t="shared" si="5"/>
        <v>251141.55251141547</v>
      </c>
      <c r="BC26" s="244">
        <f t="shared" si="5"/>
        <v>5500000</v>
      </c>
      <c r="BD26" s="244">
        <f t="shared" si="5"/>
        <v>5500000</v>
      </c>
      <c r="BE26" s="2">
        <f t="shared" si="12"/>
        <v>2.2669305553255277E-10</v>
      </c>
      <c r="BF26" s="40">
        <f t="shared" si="6"/>
        <v>44000</v>
      </c>
      <c r="BG26" s="40">
        <f t="shared" si="7"/>
        <v>2.5114155251141552</v>
      </c>
      <c r="BH26" s="19">
        <f>IFERROR(s_C*up_RadSpec!AI26*s_Q_w_game*(1/1000)*s_EF_rec*s_ED_rec*s_IRGL_rec*s_CF_game,".")</f>
        <v>55</v>
      </c>
      <c r="BI26" s="19">
        <f>IFERROR(s_C*up_RadSpec!AL26*s_Q_w_fowl*(1/1000)*s_EF_rec*s_ED_rec*s_IRGL_rec*s_CF_fowl,0)</f>
        <v>55</v>
      </c>
      <c r="BJ26" s="18"/>
      <c r="BK26" s="18"/>
      <c r="BL26" s="5"/>
      <c r="BM26" s="5"/>
      <c r="BN26" s="18"/>
      <c r="BO26" s="2">
        <f>IFERROR(s_TR/(up_RadSpec!H26*s_EF_rec*s_ED_rec*s_IRGL_rec*s_CF_game),".")</f>
        <v>1.8181818181818184E-9</v>
      </c>
      <c r="BP26" s="2">
        <f>IFERROR(s_TR/(up_RadSpec!H26*s_EF_rec*s_ED_rec*s_IRGF_rec*s_CF_fowl),".")</f>
        <v>1.8181818181818184E-9</v>
      </c>
      <c r="BQ26" s="19">
        <f t="shared" si="8"/>
        <v>5500</v>
      </c>
      <c r="BR26" s="19">
        <f t="shared" si="9"/>
        <v>5500</v>
      </c>
      <c r="BS26" s="5"/>
      <c r="BT26" s="5"/>
    </row>
    <row r="27" spans="1:72" customFormat="1" x14ac:dyDescent="0.25">
      <c r="A27" s="44" t="s">
        <v>37</v>
      </c>
      <c r="B27" s="42" t="s">
        <v>1071</v>
      </c>
      <c r="C27" s="249"/>
      <c r="D27" s="15">
        <f>IFERROR(((s_TR/(up_RadSpec!E27*s_IFS_rec_adj*(1/1000)))*1),".")</f>
        <v>3.3057851239669421E-8</v>
      </c>
      <c r="E27" s="15">
        <f>IFERROR(IF(A27="H-3",(s_TR/((up_RadSpec!F27*s_IFA_rec_adj*(1/17)*1000))*1),(s_TR/((up_RadSpec!F27*s_IFA_rec_adj*(1/s_PEF_wind)*1000))*1)),".")</f>
        <v>3.0899917851942918E-4</v>
      </c>
      <c r="F27" s="2">
        <f>IFERROR((s_TR/(up_RadSpec!G27*s_EF_rec*(1/365)*s_ED_rec*up_RadSpec!R27*s_ET_rec*(1/24)*up_RadSpec!W27)),".")</f>
        <v>5.8783443727764475E-5</v>
      </c>
      <c r="G27" s="2">
        <f>IFERROR((BO27/(up_RadSpec!AI27*((s_Q_p_game*s_f_p_game*s_f_s_game*(up_RadSpec!BD27+s_R_es_past))+(s_Q_s_game*s_f_p_game)))),".")</f>
        <v>7.5757575757575769E-12</v>
      </c>
      <c r="H27" s="2">
        <f>IFERROR((BO27/(up_RadSpec!AL27*((s_Q_p_fowl*s_f_p_fowl*s_f_s_fowl*(up_RadSpec!BD27+s_R_es_past))+(s_Q_s_fowl*s_f_p_fowl)))),".")</f>
        <v>7.5757575757575769E-12</v>
      </c>
      <c r="I27" s="244">
        <f t="shared" si="10"/>
        <v>30250000</v>
      </c>
      <c r="J27" s="244">
        <f t="shared" si="10"/>
        <v>3236.2545583179349</v>
      </c>
      <c r="K27" s="244">
        <f t="shared" si="10"/>
        <v>17011.592662572813</v>
      </c>
      <c r="L27" s="244">
        <f t="shared" si="10"/>
        <v>131999999999.99998</v>
      </c>
      <c r="M27" s="244">
        <f t="shared" si="10"/>
        <v>131999999999.99998</v>
      </c>
      <c r="N27" s="2">
        <f t="shared" si="11"/>
        <v>3.7874445193776175E-12</v>
      </c>
      <c r="O27" s="40">
        <f t="shared" si="1"/>
        <v>302.5</v>
      </c>
      <c r="P27" s="40">
        <f t="shared" si="2"/>
        <v>3.2362545583179352E-2</v>
      </c>
      <c r="Q27" s="40">
        <f>IFERROR((s_C*s_EF_rec*(1/365)*s_ED_rec*up_RadSpec!R27*s_ET_rec*(1/24)*up_RadSpec!W27),".")</f>
        <v>0.17011592662572814</v>
      </c>
      <c r="R27" s="19">
        <f>IFERROR((s_C*s_IRGL_rec*s_EF_rec*s_ED_rec*s_CF_game*up_RadSpec!AI27)*((s_Q_p_game*s_f_p_game*s_f_s_game*(up_RadSpec!BD27+s_R_es_past))+(s_Q_s_game*s_f_p_game)),".")</f>
        <v>1320000</v>
      </c>
      <c r="S27" s="19">
        <f>IFERROR((s_C*s_IRGF_rec*s_EF_rec*s_ED_rec*s_CF_fowl*up_RadSpec!AL27)*((s_Q_p_fowl*s_f_p_fowl*s_f_s_fowl*(up_RadSpec!BD27+s_R_es_past))+(s_Q_s_fowl*s_f_p_fowl)),0)</f>
        <v>1320000</v>
      </c>
      <c r="T27" s="18"/>
      <c r="U27" s="18"/>
      <c r="V27" s="18"/>
      <c r="W27" s="5"/>
      <c r="X27" s="5"/>
      <c r="Y27" s="18"/>
      <c r="Z27" s="15">
        <f>IFERROR((s_TR/(up_RadSpec!G27*s_EF_rec*(1/365)*s_ED_rec*up_RadSpec!R27*s_ET_rec*(1/24)*up_RadSpec!W27)),".")</f>
        <v>5.8783443727764475E-5</v>
      </c>
      <c r="AA27" s="15">
        <f>IFERROR((s_TR/(up_RadSpec!N27*s_EF_rec*(1/365)*s_ED_rec*up_RadSpec!S27*s_ET_rec*(1/24)*up_RadSpec!X27)),".")</f>
        <v>1.7436172248803838E-4</v>
      </c>
      <c r="AB27" s="15">
        <f>IFERROR((s_TR/(up_RadSpec!O27*s_EF_rec*(1/365)*s_ED_rec*up_RadSpec!T27*s_ET_rec*(1/24)*up_RadSpec!Y27)),".")</f>
        <v>1.0689684726048363E-4</v>
      </c>
      <c r="AC27" s="15">
        <f>IFERROR((s_TR/(up_RadSpec!P27*s_EF_rec*(1/365)*s_ED_rec*up_RadSpec!U27*s_ET_rec*(1/24)*up_RadSpec!Z27)),".")</f>
        <v>7.7763326697633295E-5</v>
      </c>
      <c r="AD27" s="15">
        <f>IFERROR((s_TR/(up_RadSpec!L27*s_EF_rec*(1/365)*s_ED_rec*up_RadSpec!Q27*s_ET_rec*(1/24)*up_RadSpec!V27)),".")</f>
        <v>5.4540040604556764E-4</v>
      </c>
      <c r="AE27" s="40">
        <f>IFERROR((s_C*s_EF_rec*(1/365)*s_ED_rec*up_RadSpec!R27*s_ET_rec*(1/24)*up_RadSpec!W27),".")</f>
        <v>0.17011592662572814</v>
      </c>
      <c r="AF27" s="40">
        <f>IFERROR((s_C*s_EF_rec*(1/365)*s_ED_rec*up_RadSpec!S27*s_ET_rec*(1/24)*up_RadSpec!X27),".")</f>
        <v>5.7352037232174191E-2</v>
      </c>
      <c r="AG27" s="40">
        <f>IFERROR((s_C*s_EF_rec*(1/365)*s_ED_rec*up_RadSpec!T27*s_ET_rec*(1/24)*up_RadSpec!Y27),".")</f>
        <v>9.35481284647455E-2</v>
      </c>
      <c r="AH27" s="40">
        <f>IFERROR((s_C*s_EF_rec*(1/365)*s_ED_rec*up_RadSpec!U27*s_ET_rec*(1/24)*up_RadSpec!Z27),".")</f>
        <v>0.12859532153096978</v>
      </c>
      <c r="AI27" s="40">
        <f>IFERROR((s_C*s_EF_rec*(1/365)*s_ED_rec*up_RadSpec!Q27*s_ET_rec*(1/24)*up_RadSpec!V27),".")</f>
        <v>1.8335153199655872E-2</v>
      </c>
      <c r="AJ27" s="18"/>
      <c r="AK27" s="18"/>
      <c r="AL27" s="18"/>
      <c r="AM27" s="18"/>
      <c r="AN27" s="18"/>
      <c r="AO27" s="15">
        <f>IFERROR((s_TR/(up_RadSpec!F27*s_IFA_rec_adj)),".")</f>
        <v>9.9740259740259755E-10</v>
      </c>
      <c r="AP27" s="15">
        <f>IFERROR((s_TR/(up_RadSpec!K27*s_EF_rec*(1/365)*s_ED_rec*s_ET_rec*(1/24)*s_GSF_a)),".")</f>
        <v>6.3709090909090908E-6</v>
      </c>
      <c r="AQ27" s="15">
        <f>IFERROR(IF(AND(AO27&lt;&gt;".",AP27&lt;&gt;"."),1/((1/AO27)+(1/AP27)),IF(AND(AO27&lt;&gt;".",AP27="."),1/((1/AO27)),IF(AND(AO27=".",AP27&lt;&gt;"."),1/((1/AP27)),IF(AND(AO27=".",AP27="."),".")))),".")</f>
        <v>9.9724647271019672E-10</v>
      </c>
      <c r="AR27" s="40">
        <f t="shared" si="3"/>
        <v>10026.041666666666</v>
      </c>
      <c r="AS27" s="40">
        <f t="shared" si="4"/>
        <v>1.5696347031963471</v>
      </c>
      <c r="AT27" s="45"/>
      <c r="AU27" s="45"/>
      <c r="AV27" s="45"/>
      <c r="AW27" s="15">
        <f>IFERROR((s_TR/(up_RadSpec!I27*s_IFW_rec_adj)),".")</f>
        <v>2.272727272727273E-10</v>
      </c>
      <c r="AX27" s="15">
        <f>IFERROR((s_TR/(up_RadSpec!M27*(1/8760)*s_DFA_rec_adj)),".")</f>
        <v>3.9818181818181825E-6</v>
      </c>
      <c r="AY27" s="2">
        <f>IFERROR(BO27/(up_RadSpec!AI27*s_Q_w_game*(1/1000)),".")</f>
        <v>1.8181818181818183E-7</v>
      </c>
      <c r="AZ27" s="2">
        <f>IFERROR(BO27/(up_RadSpec!AL27*s_Q_w_fowl*(1/1000)),".")</f>
        <v>1.8181818181818183E-7</v>
      </c>
      <c r="BA27" s="244">
        <f t="shared" si="5"/>
        <v>4399999999.999999</v>
      </c>
      <c r="BB27" s="244">
        <f t="shared" si="5"/>
        <v>251141.55251141547</v>
      </c>
      <c r="BC27" s="244">
        <f t="shared" si="5"/>
        <v>5500000</v>
      </c>
      <c r="BD27" s="244">
        <f t="shared" si="5"/>
        <v>5500000</v>
      </c>
      <c r="BE27" s="2">
        <f t="shared" si="12"/>
        <v>2.2669305553255277E-10</v>
      </c>
      <c r="BF27" s="40">
        <f t="shared" si="6"/>
        <v>44000</v>
      </c>
      <c r="BG27" s="40">
        <f t="shared" si="7"/>
        <v>2.5114155251141552</v>
      </c>
      <c r="BH27" s="19">
        <f>IFERROR(s_C*up_RadSpec!AI27*s_Q_w_game*(1/1000)*s_EF_rec*s_ED_rec*s_IRGL_rec*s_CF_game,".")</f>
        <v>55</v>
      </c>
      <c r="BI27" s="19">
        <f>IFERROR(s_C*up_RadSpec!AL27*s_Q_w_fowl*(1/1000)*s_EF_rec*s_ED_rec*s_IRGL_rec*s_CF_fowl,0)</f>
        <v>55</v>
      </c>
      <c r="BJ27" s="18"/>
      <c r="BK27" s="18"/>
      <c r="BL27" s="5"/>
      <c r="BM27" s="5"/>
      <c r="BN27" s="18"/>
      <c r="BO27" s="2">
        <f>IFERROR(s_TR/(up_RadSpec!H27*s_EF_rec*s_ED_rec*s_IRGL_rec*s_CF_game),".")</f>
        <v>1.8181818181818184E-9</v>
      </c>
      <c r="BP27" s="2">
        <f>IFERROR(s_TR/(up_RadSpec!H27*s_EF_rec*s_ED_rec*s_IRGF_rec*s_CF_fowl),".")</f>
        <v>1.8181818181818184E-9</v>
      </c>
      <c r="BQ27" s="19">
        <f t="shared" si="8"/>
        <v>5500</v>
      </c>
      <c r="BR27" s="19">
        <f t="shared" si="9"/>
        <v>5500</v>
      </c>
      <c r="BS27" s="5"/>
      <c r="BT27" s="5"/>
    </row>
    <row r="28" spans="1:72" customFormat="1" x14ac:dyDescent="0.25">
      <c r="A28" s="44" t="s">
        <v>38</v>
      </c>
      <c r="B28" s="42" t="s">
        <v>1071</v>
      </c>
      <c r="C28" s="42"/>
      <c r="D28" s="15">
        <f>IFERROR(((s_TR/(up_RadSpec!E28*s_IFS_rec_adj*(1/1000)))*1),".")</f>
        <v>3.3057851239669421E-8</v>
      </c>
      <c r="E28" s="15">
        <f>IFERROR(IF(A28="H-3",(s_TR/((up_RadSpec!F28*s_IFA_rec_adj*(1/17)*1000))*1),(s_TR/((up_RadSpec!F28*s_IFA_rec_adj*(1/s_PEF_wind)*1000))*1)),".")</f>
        <v>3.0899917851942918E-4</v>
      </c>
      <c r="F28" s="2">
        <f>IFERROR((s_TR/(up_RadSpec!G28*s_EF_rec*(1/365)*s_ED_rec*up_RadSpec!R28*s_ET_rec*(1/24)*up_RadSpec!W28)),".")</f>
        <v>2.6012204356153403E-5</v>
      </c>
      <c r="G28" s="2">
        <f>IFERROR((BO28/(up_RadSpec!AI28*((s_Q_p_game*s_f_p_game*s_f_s_game*(up_RadSpec!BD28+s_R_es_past))+(s_Q_s_game*s_f_p_game)))),".")</f>
        <v>7.5757575757575769E-12</v>
      </c>
      <c r="H28" s="2">
        <f>IFERROR((BO28/(up_RadSpec!AL28*((s_Q_p_fowl*s_f_p_fowl*s_f_s_fowl*(up_RadSpec!BD28+s_R_es_past))+(s_Q_s_fowl*s_f_p_fowl)))),".")</f>
        <v>7.5757575757575769E-12</v>
      </c>
      <c r="I28" s="244">
        <f t="shared" si="10"/>
        <v>30250000</v>
      </c>
      <c r="J28" s="244">
        <f t="shared" si="10"/>
        <v>3236.2545583179349</v>
      </c>
      <c r="K28" s="244">
        <f t="shared" si="10"/>
        <v>38443.493150684932</v>
      </c>
      <c r="L28" s="244">
        <f t="shared" si="10"/>
        <v>131999999999.99998</v>
      </c>
      <c r="M28" s="244">
        <f t="shared" si="10"/>
        <v>131999999999.99998</v>
      </c>
      <c r="N28" s="2">
        <f t="shared" si="11"/>
        <v>3.7874442119426877E-12</v>
      </c>
      <c r="O28" s="40">
        <f t="shared" si="1"/>
        <v>302.5</v>
      </c>
      <c r="P28" s="40">
        <f t="shared" si="2"/>
        <v>3.2362545583179352E-2</v>
      </c>
      <c r="Q28" s="40">
        <f>IFERROR((s_C*s_EF_rec*(1/365)*s_ED_rec*up_RadSpec!R28*s_ET_rec*(1/24)*up_RadSpec!W28),".")</f>
        <v>0.38443493150684932</v>
      </c>
      <c r="R28" s="19">
        <f>IFERROR((s_C*s_IRGL_rec*s_EF_rec*s_ED_rec*s_CF_game*up_RadSpec!AI28)*((s_Q_p_game*s_f_p_game*s_f_s_game*(up_RadSpec!BD28+s_R_es_past))+(s_Q_s_game*s_f_p_game)),".")</f>
        <v>1320000</v>
      </c>
      <c r="S28" s="19">
        <f>IFERROR((s_C*s_IRGF_rec*s_EF_rec*s_ED_rec*s_CF_fowl*up_RadSpec!AL28)*((s_Q_p_fowl*s_f_p_fowl*s_f_s_fowl*(up_RadSpec!BD28+s_R_es_past))+(s_Q_s_fowl*s_f_p_fowl)),0)</f>
        <v>1320000</v>
      </c>
      <c r="T28" s="18"/>
      <c r="U28" s="18"/>
      <c r="V28" s="18"/>
      <c r="W28" s="5"/>
      <c r="X28" s="5"/>
      <c r="Y28" s="18"/>
      <c r="Z28" s="15">
        <f>IFERROR((s_TR/(up_RadSpec!G28*s_EF_rec*(1/365)*s_ED_rec*up_RadSpec!R28*s_ET_rec*(1/24)*up_RadSpec!W28)),".")</f>
        <v>2.6012204356153403E-5</v>
      </c>
      <c r="AA28" s="15">
        <f>IFERROR((s_TR/(up_RadSpec!N28*s_EF_rec*(1/365)*s_ED_rec*up_RadSpec!S28*s_ET_rec*(1/24)*up_RadSpec!X28)),".")</f>
        <v>5.8003581393411916E-5</v>
      </c>
      <c r="AB28" s="15">
        <f>IFERROR((s_TR/(up_RadSpec!O28*s_EF_rec*(1/365)*s_ED_rec*up_RadSpec!T28*s_ET_rec*(1/24)*up_RadSpec!Y28)),".")</f>
        <v>4.0271233191587162E-5</v>
      </c>
      <c r="AC28" s="15">
        <f>IFERROR((s_TR/(up_RadSpec!P28*s_EF_rec*(1/365)*s_ED_rec*up_RadSpec!U28*s_ET_rec*(1/24)*up_RadSpec!Z28)),".")</f>
        <v>3.4866947137369667E-5</v>
      </c>
      <c r="AD28" s="15">
        <f>IFERROR((s_TR/(up_RadSpec!L28*s_EF_rec*(1/365)*s_ED_rec*up_RadSpec!Q28*s_ET_rec*(1/24)*up_RadSpec!V28)),".")</f>
        <v>1.0196825396825402E-4</v>
      </c>
      <c r="AE28" s="40">
        <f>IFERROR((s_C*s_EF_rec*(1/365)*s_ED_rec*up_RadSpec!R28*s_ET_rec*(1/24)*up_RadSpec!W28),".")</f>
        <v>0.38443493150684932</v>
      </c>
      <c r="AF28" s="40">
        <f>IFERROR((s_C*s_EF_rec*(1/365)*s_ED_rec*up_RadSpec!S28*s_ET_rec*(1/24)*up_RadSpec!X28),".")</f>
        <v>0.17240314752591823</v>
      </c>
      <c r="AG28" s="40">
        <f>IFERROR((s_C*s_EF_rec*(1/365)*s_ED_rec*up_RadSpec!T28*s_ET_rec*(1/24)*up_RadSpec!Y28),".")</f>
        <v>0.24831621004566218</v>
      </c>
      <c r="AH28" s="40">
        <f>IFERROR((s_C*s_EF_rec*(1/365)*s_ED_rec*up_RadSpec!U28*s_ET_rec*(1/24)*up_RadSpec!Z28),".")</f>
        <v>0.28680457628256789</v>
      </c>
      <c r="AI28" s="40">
        <f>IFERROR((s_C*s_EF_rec*(1/365)*s_ED_rec*up_RadSpec!Q28*s_ET_rec*(1/24)*up_RadSpec!V28),".")</f>
        <v>9.8069738480697347E-2</v>
      </c>
      <c r="AJ28" s="18"/>
      <c r="AK28" s="18"/>
      <c r="AL28" s="18"/>
      <c r="AM28" s="18"/>
      <c r="AN28" s="18"/>
      <c r="AO28" s="15">
        <f>IFERROR((s_TR/(up_RadSpec!F28*s_IFA_rec_adj)),".")</f>
        <v>9.9740259740259755E-10</v>
      </c>
      <c r="AP28" s="15">
        <f>IFERROR((s_TR/(up_RadSpec!K28*s_EF_rec*(1/365)*s_ED_rec*s_ET_rec*(1/24)*s_GSF_a)),".")</f>
        <v>6.3709090909090908E-6</v>
      </c>
      <c r="AQ28" s="15">
        <f t="shared" ref="AQ28:AQ29" si="16">IFERROR(IF(AND(AO28&lt;&gt;".",AP28&lt;&gt;"."),1/((1/AO28)+(1/AP28)),IF(AND(AO28&lt;&gt;".",AP28="."),1/((1/AO28)),IF(AND(AO28=".",AP28&lt;&gt;"."),1/((1/AP28)),IF(AND(AO28=".",AP28="."),".")))),".")</f>
        <v>9.9724647271019672E-10</v>
      </c>
      <c r="AR28" s="40">
        <f t="shared" si="3"/>
        <v>10026.041666666666</v>
      </c>
      <c r="AS28" s="40">
        <f t="shared" si="4"/>
        <v>1.5696347031963471</v>
      </c>
      <c r="AT28" s="45"/>
      <c r="AU28" s="45"/>
      <c r="AV28" s="45"/>
      <c r="AW28" s="15">
        <f>IFERROR((s_TR/(up_RadSpec!I28*s_IFW_rec_adj)),".")</f>
        <v>2.272727272727273E-10</v>
      </c>
      <c r="AX28" s="15">
        <f>IFERROR((s_TR/(up_RadSpec!M28*(1/8760)*s_DFA_rec_adj)),".")</f>
        <v>3.9818181818181825E-6</v>
      </c>
      <c r="AY28" s="2">
        <f>IFERROR(BO28/(up_RadSpec!AI28*s_Q_w_game*(1/1000)),".")</f>
        <v>1.8181818181818183E-7</v>
      </c>
      <c r="AZ28" s="2">
        <f>IFERROR(BO28/(up_RadSpec!AL28*s_Q_w_fowl*(1/1000)),".")</f>
        <v>1.8181818181818183E-7</v>
      </c>
      <c r="BA28" s="244">
        <f t="shared" si="5"/>
        <v>4399999999.999999</v>
      </c>
      <c r="BB28" s="244">
        <f t="shared" si="5"/>
        <v>251141.55251141547</v>
      </c>
      <c r="BC28" s="244">
        <f t="shared" si="5"/>
        <v>5500000</v>
      </c>
      <c r="BD28" s="244">
        <f t="shared" si="5"/>
        <v>5500000</v>
      </c>
      <c r="BE28" s="2">
        <f t="shared" si="12"/>
        <v>2.2669305553255277E-10</v>
      </c>
      <c r="BF28" s="40">
        <f t="shared" si="6"/>
        <v>44000</v>
      </c>
      <c r="BG28" s="40">
        <f t="shared" si="7"/>
        <v>2.5114155251141552</v>
      </c>
      <c r="BH28" s="19">
        <f>IFERROR(s_C*up_RadSpec!AI28*s_Q_w_game*(1/1000)*s_EF_rec*s_ED_rec*s_IRGL_rec*s_CF_game,".")</f>
        <v>55</v>
      </c>
      <c r="BI28" s="19">
        <f>IFERROR(s_C*up_RadSpec!AL28*s_Q_w_fowl*(1/1000)*s_EF_rec*s_ED_rec*s_IRGL_rec*s_CF_fowl,0)</f>
        <v>55</v>
      </c>
      <c r="BJ28" s="18"/>
      <c r="BK28" s="18"/>
      <c r="BL28" s="5"/>
      <c r="BM28" s="5"/>
      <c r="BN28" s="18"/>
      <c r="BO28" s="2">
        <f>IFERROR(s_TR/(up_RadSpec!H28*s_EF_rec*s_ED_rec*s_IRGL_rec*s_CF_game),".")</f>
        <v>1.8181818181818184E-9</v>
      </c>
      <c r="BP28" s="2">
        <f>IFERROR(s_TR/(up_RadSpec!H28*s_EF_rec*s_ED_rec*s_IRGF_rec*s_CF_fowl),".")</f>
        <v>1.8181818181818184E-9</v>
      </c>
      <c r="BQ28" s="19">
        <f t="shared" si="8"/>
        <v>5500</v>
      </c>
      <c r="BR28" s="19">
        <f t="shared" si="9"/>
        <v>5500</v>
      </c>
      <c r="BS28" s="5"/>
      <c r="BT28" s="5"/>
    </row>
    <row r="29" spans="1:72" customFormat="1" x14ac:dyDescent="0.25">
      <c r="A29" s="44" t="s">
        <v>39</v>
      </c>
      <c r="B29" s="42" t="s">
        <v>1071</v>
      </c>
      <c r="C29" s="249"/>
      <c r="D29" s="15">
        <f>IFERROR(((s_TR/(up_RadSpec!E29*s_IFS_rec_adj*(1/1000)))*1),".")</f>
        <v>3.3057851239669421E-8</v>
      </c>
      <c r="E29" s="15">
        <f>IFERROR(IF(A29="H-3",(s_TR/((up_RadSpec!F29*s_IFA_rec_adj*(1/17)*1000))*1),(s_TR/((up_RadSpec!F29*s_IFA_rec_adj*(1/s_PEF_wind)*1000))*1)),".")</f>
        <v>3.0899917851942918E-4</v>
      </c>
      <c r="F29" s="2">
        <f>IFERROR((s_TR/(up_RadSpec!G29*s_EF_rec*(1/365)*s_ED_rec*up_RadSpec!R29*s_ET_rec*(1/24)*up_RadSpec!W29)),".")</f>
        <v>2.8286140089418798E-5</v>
      </c>
      <c r="G29" s="2">
        <f>IFERROR((BO29/(up_RadSpec!AI29*((s_Q_p_game*s_f_p_game*s_f_s_game*(up_RadSpec!BD29+s_R_es_past))+(s_Q_s_game*s_f_p_game)))),".")</f>
        <v>7.5757575757575769E-12</v>
      </c>
      <c r="H29" s="2">
        <f>IFERROR((BO29/(up_RadSpec!AL29*((s_Q_p_fowl*s_f_p_fowl*s_f_s_fowl*(up_RadSpec!BD29+s_R_es_past))+(s_Q_s_fowl*s_f_p_fowl)))),".")</f>
        <v>7.5757575757575769E-12</v>
      </c>
      <c r="I29" s="244">
        <f t="shared" si="10"/>
        <v>30250000</v>
      </c>
      <c r="J29" s="244">
        <f t="shared" si="10"/>
        <v>3236.2545583179349</v>
      </c>
      <c r="K29" s="244">
        <f t="shared" si="10"/>
        <v>35353.003161222317</v>
      </c>
      <c r="L29" s="244">
        <f t="shared" si="10"/>
        <v>131999999999.99998</v>
      </c>
      <c r="M29" s="244">
        <f t="shared" si="10"/>
        <v>131999999999.99998</v>
      </c>
      <c r="N29" s="2">
        <f t="shared" si="11"/>
        <v>3.787444256274944E-12</v>
      </c>
      <c r="O29" s="40">
        <f t="shared" si="1"/>
        <v>302.5</v>
      </c>
      <c r="P29" s="40">
        <f t="shared" si="2"/>
        <v>3.2362545583179352E-2</v>
      </c>
      <c r="Q29" s="40">
        <f>IFERROR((s_C*s_EF_rec*(1/365)*s_ED_rec*up_RadSpec!R29*s_ET_rec*(1/24)*up_RadSpec!W29),".")</f>
        <v>0.35353003161222318</v>
      </c>
      <c r="R29" s="19">
        <f>IFERROR((s_C*s_IRGL_rec*s_EF_rec*s_ED_rec*s_CF_game*up_RadSpec!AI29)*((s_Q_p_game*s_f_p_game*s_f_s_game*(up_RadSpec!BD29+s_R_es_past))+(s_Q_s_game*s_f_p_game)),".")</f>
        <v>1320000</v>
      </c>
      <c r="S29" s="19">
        <f>IFERROR((s_C*s_IRGF_rec*s_EF_rec*s_ED_rec*s_CF_fowl*up_RadSpec!AL29)*((s_Q_p_fowl*s_f_p_fowl*s_f_s_fowl*(up_RadSpec!BD29+s_R_es_past))+(s_Q_s_fowl*s_f_p_fowl)),0)</f>
        <v>1320000</v>
      </c>
      <c r="T29" s="18"/>
      <c r="U29" s="18"/>
      <c r="V29" s="18"/>
      <c r="W29" s="5"/>
      <c r="X29" s="5"/>
      <c r="Y29" s="18"/>
      <c r="Z29" s="15">
        <f>IFERROR((s_TR/(up_RadSpec!G29*s_EF_rec*(1/365)*s_ED_rec*up_RadSpec!R29*s_ET_rec*(1/24)*up_RadSpec!W29)),".")</f>
        <v>2.8286140089418798E-5</v>
      </c>
      <c r="AA29" s="15">
        <f>IFERROR((s_TR/(up_RadSpec!N29*s_EF_rec*(1/365)*s_ED_rec*up_RadSpec!S29*s_ET_rec*(1/24)*up_RadSpec!X29)),".")</f>
        <v>5.6444019138755966E-5</v>
      </c>
      <c r="AB29" s="15">
        <f>IFERROR((s_TR/(up_RadSpec!O29*s_EF_rec*(1/365)*s_ED_rec*up_RadSpec!T29*s_ET_rec*(1/24)*up_RadSpec!Y29)),".")</f>
        <v>4.0210479175996424E-5</v>
      </c>
      <c r="AC29" s="15">
        <f>IFERROR((s_TR/(up_RadSpec!P29*s_EF_rec*(1/365)*s_ED_rec*up_RadSpec!U29*s_ET_rec*(1/24)*up_RadSpec!Z29)),".")</f>
        <v>3.4108867132867117E-5</v>
      </c>
      <c r="AD29" s="15">
        <f>IFERROR((s_TR/(up_RadSpec!L29*s_EF_rec*(1/365)*s_ED_rec*up_RadSpec!Q29*s_ET_rec*(1/24)*up_RadSpec!V29)),".")</f>
        <v>1.0135537190082645E-4</v>
      </c>
      <c r="AE29" s="40">
        <f>IFERROR((s_C*s_EF_rec*(1/365)*s_ED_rec*up_RadSpec!R29*s_ET_rec*(1/24)*up_RadSpec!W29),".")</f>
        <v>0.35353003161222318</v>
      </c>
      <c r="AF29" s="40">
        <f>IFERROR((s_C*s_EF_rec*(1/365)*s_ED_rec*up_RadSpec!S29*s_ET_rec*(1/24)*up_RadSpec!X29),".")</f>
        <v>0.17716668927166696</v>
      </c>
      <c r="AG29" s="40">
        <f>IFERROR((s_C*s_EF_rec*(1/365)*s_ED_rec*up_RadSpec!T29*s_ET_rec*(1/24)*up_RadSpec!Y29),".")</f>
        <v>0.24869139102349924</v>
      </c>
      <c r="AH29" s="40">
        <f>IFERROR((s_C*s_EF_rec*(1/365)*s_ED_rec*up_RadSpec!U29*s_ET_rec*(1/24)*up_RadSpec!Z29),".")</f>
        <v>0.29317889571196154</v>
      </c>
      <c r="AI29" s="40">
        <f>IFERROR((s_C*s_EF_rec*(1/365)*s_ED_rec*up_RadSpec!Q29*s_ET_rec*(1/24)*up_RadSpec!V29),".")</f>
        <v>9.8662752772341808E-2</v>
      </c>
      <c r="AJ29" s="18"/>
      <c r="AK29" s="18"/>
      <c r="AL29" s="18"/>
      <c r="AM29" s="18"/>
      <c r="AN29" s="18"/>
      <c r="AO29" s="15">
        <f>IFERROR((s_TR/(up_RadSpec!F29*s_IFA_rec_adj)),".")</f>
        <v>9.9740259740259755E-10</v>
      </c>
      <c r="AP29" s="15">
        <f>IFERROR((s_TR/(up_RadSpec!K29*s_EF_rec*(1/365)*s_ED_rec*s_ET_rec*(1/24)*s_GSF_a)),".")</f>
        <v>6.3709090909090908E-6</v>
      </c>
      <c r="AQ29" s="15">
        <f t="shared" si="16"/>
        <v>9.9724647271019672E-10</v>
      </c>
      <c r="AR29" s="40">
        <f t="shared" si="3"/>
        <v>10026.041666666666</v>
      </c>
      <c r="AS29" s="40">
        <f t="shared" si="4"/>
        <v>1.5696347031963471</v>
      </c>
      <c r="AT29" s="45"/>
      <c r="AU29" s="45"/>
      <c r="AV29" s="45"/>
      <c r="AW29" s="15">
        <f>IFERROR((s_TR/(up_RadSpec!I29*s_IFW_rec_adj)),".")</f>
        <v>2.272727272727273E-10</v>
      </c>
      <c r="AX29" s="15">
        <f>IFERROR((s_TR/(up_RadSpec!M29*(1/8760)*s_DFA_rec_adj)),".")</f>
        <v>3.9818181818181825E-6</v>
      </c>
      <c r="AY29" s="2">
        <f>IFERROR(BO29/(up_RadSpec!AI29*s_Q_w_game*(1/1000)),".")</f>
        <v>1.8181818181818183E-7</v>
      </c>
      <c r="AZ29" s="2">
        <f>IFERROR(BO29/(up_RadSpec!AL29*s_Q_w_fowl*(1/1000)),".")</f>
        <v>1.8181818181818183E-7</v>
      </c>
      <c r="BA29" s="244">
        <f t="shared" si="5"/>
        <v>4399999999.999999</v>
      </c>
      <c r="BB29" s="244">
        <f t="shared" si="5"/>
        <v>251141.55251141547</v>
      </c>
      <c r="BC29" s="244">
        <f t="shared" si="5"/>
        <v>5500000</v>
      </c>
      <c r="BD29" s="244">
        <f t="shared" si="5"/>
        <v>5500000</v>
      </c>
      <c r="BE29" s="2">
        <f t="shared" si="12"/>
        <v>2.2669305553255277E-10</v>
      </c>
      <c r="BF29" s="40">
        <f t="shared" si="6"/>
        <v>44000</v>
      </c>
      <c r="BG29" s="40">
        <f t="shared" si="7"/>
        <v>2.5114155251141552</v>
      </c>
      <c r="BH29" s="19">
        <f>IFERROR(s_C*up_RadSpec!AI29*s_Q_w_game*(1/1000)*s_EF_rec*s_ED_rec*s_IRGL_rec*s_CF_game,".")</f>
        <v>55</v>
      </c>
      <c r="BI29" s="19">
        <f>IFERROR(s_C*up_RadSpec!AL29*s_Q_w_fowl*(1/1000)*s_EF_rec*s_ED_rec*s_IRGL_rec*s_CF_fowl,0)</f>
        <v>55</v>
      </c>
      <c r="BJ29" s="18"/>
      <c r="BK29" s="18"/>
      <c r="BL29" s="5"/>
      <c r="BM29" s="5"/>
      <c r="BN29" s="18"/>
      <c r="BO29" s="2">
        <f>IFERROR(s_TR/(up_RadSpec!H29*s_EF_rec*s_ED_rec*s_IRGL_rec*s_CF_game),".")</f>
        <v>1.8181818181818184E-9</v>
      </c>
      <c r="BP29" s="2">
        <f>IFERROR(s_TR/(up_RadSpec!H29*s_EF_rec*s_ED_rec*s_IRGF_rec*s_CF_fowl),".")</f>
        <v>1.8181818181818184E-9</v>
      </c>
      <c r="BQ29" s="19">
        <f t="shared" si="8"/>
        <v>5500</v>
      </c>
      <c r="BR29" s="19">
        <f t="shared" si="9"/>
        <v>5500</v>
      </c>
      <c r="BS29" s="5"/>
      <c r="BT29" s="5"/>
    </row>
    <row r="30" spans="1:72" customFormat="1" x14ac:dyDescent="0.25">
      <c r="A30" s="44" t="s">
        <v>40</v>
      </c>
      <c r="B30" s="42" t="s">
        <v>1071</v>
      </c>
      <c r="C30" s="42"/>
      <c r="D30" s="15">
        <f>IFERROR(((s_TR/(up_RadSpec!E30*s_IFS_rec_adj*(1/1000)))*1),".")</f>
        <v>3.3057851239669421E-8</v>
      </c>
      <c r="E30" s="15">
        <f>IFERROR(IF(A30="H-3",(s_TR/((up_RadSpec!F30*s_IFA_rec_adj*(1/17)*1000))*1),(s_TR/((up_RadSpec!F30*s_IFA_rec_adj*(1/s_PEF_wind)*1000))*1)),".")</f>
        <v>3.0899917851942918E-4</v>
      </c>
      <c r="F30" s="2">
        <f>IFERROR((s_TR/(up_RadSpec!G30*s_EF_rec*(1/365)*s_ED_rec*up_RadSpec!R30*s_ET_rec*(1/24)*up_RadSpec!W30)),".")</f>
        <v>2.6545454545454545E-4</v>
      </c>
      <c r="G30" s="2">
        <f>IFERROR((BO30/(up_RadSpec!AI30*((s_Q_p_game*s_f_p_game*s_f_s_game*(up_RadSpec!BD30+s_R_es_past))+(s_Q_s_game*s_f_p_game)))),".")</f>
        <v>7.5757575757575769E-12</v>
      </c>
      <c r="H30" s="2">
        <f>IFERROR((BO30/(up_RadSpec!AL30*((s_Q_p_fowl*s_f_p_fowl*s_f_s_fowl*(up_RadSpec!BD30+s_R_es_past))+(s_Q_s_fowl*s_f_p_fowl)))),".")</f>
        <v>7.5757575757575769E-12</v>
      </c>
      <c r="I30" s="244">
        <f t="shared" si="10"/>
        <v>30250000</v>
      </c>
      <c r="J30" s="244">
        <f t="shared" si="10"/>
        <v>3236.2545583179349</v>
      </c>
      <c r="K30" s="244">
        <f t="shared" si="10"/>
        <v>3767.1232876712329</v>
      </c>
      <c r="L30" s="244">
        <f t="shared" si="10"/>
        <v>131999999999.99998</v>
      </c>
      <c r="M30" s="244">
        <f t="shared" si="10"/>
        <v>131999999999.99998</v>
      </c>
      <c r="N30" s="2">
        <f t="shared" si="11"/>
        <v>3.787444709366043E-12</v>
      </c>
      <c r="O30" s="40">
        <f t="shared" si="1"/>
        <v>302.5</v>
      </c>
      <c r="P30" s="40">
        <f t="shared" si="2"/>
        <v>3.2362545583179352E-2</v>
      </c>
      <c r="Q30" s="40">
        <f>IFERROR((s_C*s_EF_rec*(1/365)*s_ED_rec*up_RadSpec!R30*s_ET_rec*(1/24)*up_RadSpec!W30),".")</f>
        <v>3.7671232876712334E-2</v>
      </c>
      <c r="R30" s="19">
        <f>IFERROR((s_C*s_IRGL_rec*s_EF_rec*s_ED_rec*s_CF_game*up_RadSpec!AI30)*((s_Q_p_game*s_f_p_game*s_f_s_game*(up_RadSpec!BD30+s_R_es_past))+(s_Q_s_game*s_f_p_game)),".")</f>
        <v>1320000</v>
      </c>
      <c r="S30" s="19">
        <f>IFERROR((s_C*s_IRGF_rec*s_EF_rec*s_ED_rec*s_CF_fowl*up_RadSpec!AL30)*((s_Q_p_fowl*s_f_p_fowl*s_f_s_fowl*(up_RadSpec!BD30+s_R_es_past))+(s_Q_s_fowl*s_f_p_fowl)),0)</f>
        <v>1320000</v>
      </c>
      <c r="T30" s="18"/>
      <c r="U30" s="18"/>
      <c r="V30" s="18"/>
      <c r="W30" s="5"/>
      <c r="X30" s="5"/>
      <c r="Y30" s="18"/>
      <c r="Z30" s="15">
        <f>IFERROR((s_TR/(up_RadSpec!G30*s_EF_rec*(1/365)*s_ED_rec*up_RadSpec!R30*s_ET_rec*(1/24)*up_RadSpec!W30)),".")</f>
        <v>2.6545454545454545E-4</v>
      </c>
      <c r="AA30" s="15">
        <f>IFERROR((s_TR/(up_RadSpec!N30*s_EF_rec*(1/365)*s_ED_rec*up_RadSpec!S30*s_ET_rec*(1/24)*up_RadSpec!X30)),".")</f>
        <v>1.3004536082474227E-3</v>
      </c>
      <c r="AB30" s="15">
        <f>IFERROR((s_TR/(up_RadSpec!O30*s_EF_rec*(1/365)*s_ED_rec*up_RadSpec!T30*s_ET_rec*(1/24)*up_RadSpec!Y30)),".")</f>
        <v>4.6863931523022427E-4</v>
      </c>
      <c r="AC30" s="15">
        <f>IFERROR((s_TR/(up_RadSpec!P30*s_EF_rec*(1/365)*s_ED_rec*up_RadSpec!U30*s_ET_rec*(1/24)*up_RadSpec!Z30)),".")</f>
        <v>3.4883160981632989E-4</v>
      </c>
      <c r="AD30" s="15">
        <f>IFERROR((s_TR/(up_RadSpec!L30*s_EF_rec*(1/365)*s_ED_rec*up_RadSpec!Q30*s_ET_rec*(1/24)*up_RadSpec!V30)),".")</f>
        <v>3.1854545454545455E-2</v>
      </c>
      <c r="AE30" s="40">
        <f>IFERROR((s_C*s_EF_rec*(1/365)*s_ED_rec*up_RadSpec!R30*s_ET_rec*(1/24)*up_RadSpec!W30),".")</f>
        <v>3.7671232876712334E-2</v>
      </c>
      <c r="AF30" s="40">
        <f>IFERROR((s_C*s_EF_rec*(1/365)*s_ED_rec*up_RadSpec!S30*s_ET_rec*(1/24)*up_RadSpec!X30),".")</f>
        <v>7.6896245560629127E-3</v>
      </c>
      <c r="AG30" s="40">
        <f>IFERROR((s_C*s_EF_rec*(1/365)*s_ED_rec*up_RadSpec!T30*s_ET_rec*(1/24)*up_RadSpec!Y30),".")</f>
        <v>2.1338371909935448E-2</v>
      </c>
      <c r="AH30" s="40">
        <f>IFERROR((s_C*s_EF_rec*(1/365)*s_ED_rec*up_RadSpec!U30*s_ET_rec*(1/24)*up_RadSpec!Z30),".")</f>
        <v>2.8667126827368928E-2</v>
      </c>
      <c r="AI30" s="40">
        <f>IFERROR((s_C*s_EF_rec*(1/365)*s_ED_rec*up_RadSpec!Q30*s_ET_rec*(1/24)*up_RadSpec!V30),".")</f>
        <v>3.1392694063926945E-4</v>
      </c>
      <c r="AJ30" s="18"/>
      <c r="AK30" s="18"/>
      <c r="AL30" s="18"/>
      <c r="AM30" s="18"/>
      <c r="AN30" s="18"/>
      <c r="AO30" s="15">
        <f>IFERROR((s_TR/(up_RadSpec!F30*s_IFA_rec_adj)),".")</f>
        <v>9.9740259740259755E-10</v>
      </c>
      <c r="AP30" s="15">
        <f>IFERROR((s_TR/(up_RadSpec!K30*s_EF_rec*(1/365)*s_ED_rec*s_ET_rec*(1/24)*s_GSF_a)),".")</f>
        <v>6.3709090909090908E-6</v>
      </c>
      <c r="AQ30" s="15">
        <f>IFERROR(IF(AND(AO30&lt;&gt;".",AP30&lt;&gt;"."),1/((1/AO30)+(1/AP30)),IF(AND(AO30&lt;&gt;".",AP30="."),1/((1/AO30)),IF(AND(AO30=".",AP30&lt;&gt;"."),1/((1/AP30)),IF(AND(AO30=".",AP30="."),".")))),".")</f>
        <v>9.9724647271019672E-10</v>
      </c>
      <c r="AR30" s="40">
        <f t="shared" si="3"/>
        <v>10026.041666666666</v>
      </c>
      <c r="AS30" s="40">
        <f t="shared" si="4"/>
        <v>1.5696347031963471</v>
      </c>
      <c r="AT30" s="45"/>
      <c r="AU30" s="45"/>
      <c r="AV30" s="45"/>
      <c r="AW30" s="15">
        <f>IFERROR((s_TR/(up_RadSpec!I30*s_IFW_rec_adj)),".")</f>
        <v>2.272727272727273E-10</v>
      </c>
      <c r="AX30" s="15">
        <f>IFERROR((s_TR/(up_RadSpec!M30*(1/8760)*s_DFA_rec_adj)),".")</f>
        <v>3.9818181818181825E-6</v>
      </c>
      <c r="AY30" s="2">
        <f>IFERROR(BO30/(up_RadSpec!AI30*s_Q_w_game*(1/1000)),".")</f>
        <v>1.8181818181818183E-7</v>
      </c>
      <c r="AZ30" s="2">
        <f>IFERROR(BO30/(up_RadSpec!AL30*s_Q_w_fowl*(1/1000)),".")</f>
        <v>1.8181818181818183E-7</v>
      </c>
      <c r="BA30" s="244">
        <f t="shared" si="5"/>
        <v>4399999999.999999</v>
      </c>
      <c r="BB30" s="244">
        <f t="shared" si="5"/>
        <v>251141.55251141547</v>
      </c>
      <c r="BC30" s="244">
        <f t="shared" si="5"/>
        <v>5500000</v>
      </c>
      <c r="BD30" s="244">
        <f t="shared" si="5"/>
        <v>5500000</v>
      </c>
      <c r="BE30" s="2">
        <f>IFERROR(1/SUM(BA30:BD30),0)</f>
        <v>2.2669305553255277E-10</v>
      </c>
      <c r="BF30" s="40">
        <f t="shared" si="6"/>
        <v>44000</v>
      </c>
      <c r="BG30" s="40">
        <f t="shared" si="7"/>
        <v>2.5114155251141552</v>
      </c>
      <c r="BH30" s="19">
        <f>IFERROR(s_C*up_RadSpec!AI30*s_Q_w_game*(1/1000)*s_EF_rec*s_ED_rec*s_IRGL_rec*s_CF_game,".")</f>
        <v>55</v>
      </c>
      <c r="BI30" s="19">
        <f>IFERROR(s_C*up_RadSpec!AL30*s_Q_w_fowl*(1/1000)*s_EF_rec*s_ED_rec*s_IRGL_rec*s_CF_fowl,0)</f>
        <v>55</v>
      </c>
      <c r="BJ30" s="18"/>
      <c r="BK30" s="18"/>
      <c r="BL30" s="5"/>
      <c r="BM30" s="5"/>
      <c r="BN30" s="18"/>
      <c r="BO30" s="2">
        <f>IFERROR(s_TR/(up_RadSpec!H30*s_EF_rec*s_ED_rec*s_IRGL_rec*s_CF_game),".")</f>
        <v>1.8181818181818184E-9</v>
      </c>
      <c r="BP30" s="2">
        <f>IFERROR(s_TR/(up_RadSpec!H30*s_EF_rec*s_ED_rec*s_IRGF_rec*s_CF_fowl),".")</f>
        <v>1.8181818181818184E-9</v>
      </c>
      <c r="BQ30" s="19">
        <f t="shared" si="8"/>
        <v>5500</v>
      </c>
      <c r="BR30" s="19">
        <f t="shared" si="9"/>
        <v>5500</v>
      </c>
      <c r="BS30" s="5"/>
      <c r="BT30" s="5"/>
    </row>
    <row r="31" spans="1:72" x14ac:dyDescent="0.25">
      <c r="A31" s="57" t="s">
        <v>13</v>
      </c>
      <c r="B31" s="57" t="s">
        <v>1255</v>
      </c>
      <c r="C31" s="57"/>
      <c r="D31" s="58">
        <f>1/SUM(1/D32,1/D33,1/D34,1/D35,1/D36,1/D37,1/D38,1/D39,1/D40,1/D41,1/D42,1/D43,1/D44)</f>
        <v>2.7549035837466309E-9</v>
      </c>
      <c r="E31" s="58">
        <f>1/SUM(1/E32,1/E33,1/E34,1/E35,1/E36,1/E37,1/E38,1/E39,1/E40,1/E41,1/E42,1/E43,1/E44)</f>
        <v>2.5750704064407696E-5</v>
      </c>
      <c r="F31" s="58">
        <f>1/SUM(1/F32,1/F33,1/F34,1/F35,1/F36,1/F37,1/F38,1/F39,1/F40,1/F41,1/F42,1/F43)</f>
        <v>1.0793276001335158E-5</v>
      </c>
      <c r="G31" s="58">
        <f>1/SUM(1/G32,1/G33,1/G34,1/G35,1/G36,1/G37,1/G38,1/G39,1/G40,1/G41,1/G42,1/G43,1/G44)</f>
        <v>6.313320712752697E-13</v>
      </c>
      <c r="H31" s="58">
        <f>1/SUM(1/H32,1/H33,1/H34,1/H35,1/H36,1/H37,1/H38,1/H39,1/H40,1/H41,1/H42,1/H43,1/H44)</f>
        <v>6.313320712752697E-13</v>
      </c>
      <c r="I31" s="244">
        <f t="shared" si="10"/>
        <v>362989110</v>
      </c>
      <c r="J31" s="244">
        <f t="shared" si="10"/>
        <v>38833.889648174227</v>
      </c>
      <c r="K31" s="244">
        <f t="shared" si="10"/>
        <v>92650.275956650905</v>
      </c>
      <c r="L31" s="244">
        <f t="shared" si="10"/>
        <v>1583952479999.9998</v>
      </c>
      <c r="M31" s="244">
        <f t="shared" si="10"/>
        <v>1583952479999.9998</v>
      </c>
      <c r="N31" s="59">
        <f>1/SUM(1/N32,1/N33,1/N34,1/N35,1/N36,1/N37,1/N38,1/N39,1/N40,1/N41,1/N42,1/N43,1/N44)</f>
        <v>3.1562985661632005E-13</v>
      </c>
      <c r="O31" s="70"/>
      <c r="P31" s="70"/>
      <c r="Q31" s="70"/>
      <c r="R31" s="70"/>
      <c r="S31" s="70"/>
      <c r="T31" s="47">
        <f>IFERROR(IF(SUM(O32:O44)&gt;0.01,1-EXP(-SUM(O32:O44)),SUM(O32:O44)),".")</f>
        <v>1</v>
      </c>
      <c r="U31" s="47">
        <f>IFERROR(IF(SUM(P32:P44)&gt;0.01,1-EXP(-SUM(P32:P44)),SUM(P32:P44)),".")</f>
        <v>0.85653934784727048</v>
      </c>
      <c r="V31" s="47">
        <f>IFERROR(IF(SUM(Q32:Q44)&gt;0.01,1-EXP(-SUM(Q32:Q44)),SUM(Q32:Q44)),".")</f>
        <v>0.99026973159471821</v>
      </c>
      <c r="W31" s="47">
        <f>IFERROR(IF(SUM(R32:R44)&gt;0.01,1-EXP(-SUM(R32:R44)),SUM(R32:R44)),".")</f>
        <v>1</v>
      </c>
      <c r="X31" s="47">
        <f>IFERROR(IF(SUM(S32:S44)&gt;0.01,1-EXP(-SUM(S32:S44)),SUM(S32:S44)),".")</f>
        <v>1</v>
      </c>
      <c r="Y31" s="47">
        <f>IFERROR(IF(SUM(O32:S44)&gt;0.01,1-EXP(-SUM(O32:S44)),SUM(O32:S44)),".")</f>
        <v>1</v>
      </c>
      <c r="Z31" s="59">
        <f t="shared" ref="Z31:AD31" si="17">1/SUM(1/Z32,1/Z33,1/Z34,1/Z35,1/Z36,1/Z37,1/Z38,1/Z39,1/Z40,1/Z41,1/Z42,1/Z43)</f>
        <v>1.0793276001335158E-5</v>
      </c>
      <c r="AA31" s="59">
        <f t="shared" si="17"/>
        <v>1.9946413406993451E-5</v>
      </c>
      <c r="AB31" s="59">
        <f t="shared" si="17"/>
        <v>1.4093181289924032E-5</v>
      </c>
      <c r="AC31" s="59">
        <f t="shared" si="17"/>
        <v>1.2243001143509865E-5</v>
      </c>
      <c r="AD31" s="59">
        <f t="shared" si="17"/>
        <v>4.2138527700560429E-5</v>
      </c>
      <c r="AE31" s="70"/>
      <c r="AF31" s="73"/>
      <c r="AG31" s="73"/>
      <c r="AH31" s="73"/>
      <c r="AI31" s="73"/>
      <c r="AJ31" s="47">
        <f>IFERROR(IF(SUM(AE32:AE44)&gt;0.01,1-EXP(-SUM(AE32:AE44)),SUM(AE32:AE44)),".")</f>
        <v>0.99026973159471821</v>
      </c>
      <c r="AK31" s="47">
        <f t="shared" ref="AK31:AN31" si="18">IFERROR(IF(SUM(AF32:AF44)&gt;0.01,1-EXP(-SUM(AF32:AF44)),SUM(AF32:AF44)),".")</f>
        <v>0.9184644631954807</v>
      </c>
      <c r="AL31" s="47">
        <f t="shared" si="18"/>
        <v>0.97121252843391126</v>
      </c>
      <c r="AM31" s="47">
        <f t="shared" si="18"/>
        <v>0.98315945600031318</v>
      </c>
      <c r="AN31" s="47">
        <f t="shared" si="18"/>
        <v>0.69473119924117654</v>
      </c>
      <c r="AO31" s="58">
        <f t="shared" ref="AO31:AQ31" si="19">1/SUM(1/AO32,1/AO33,1/AO34,1/AO35,1/AO36,1/AO37,1/AO38,1/AO39,1/AO40,1/AO41,1/AO42,1/AO43,1/AO44)</f>
        <v>8.3119376698184091E-11</v>
      </c>
      <c r="AP31" s="58">
        <f t="shared" si="19"/>
        <v>5.3092501865965061E-7</v>
      </c>
      <c r="AQ31" s="59">
        <f t="shared" si="19"/>
        <v>8.3106365916827255E-11</v>
      </c>
      <c r="AR31" s="70"/>
      <c r="AS31" s="70"/>
      <c r="AT31" s="47">
        <f>IFERROR(IF(SUM(AR32:AR44)&gt;0.01,1-EXP(-SUM(AR32:AR44)),SUM(AR32:AR44)),".")</f>
        <v>1</v>
      </c>
      <c r="AU31" s="47">
        <f>IFERROR(IF(SUM(AS32:AS44)&gt;0.01,1-EXP(-SUM(AS32:AS44)),SUM(AS32:AS44)),".")</f>
        <v>1</v>
      </c>
      <c r="AV31" s="47">
        <f>IFERROR(IF(SUM(AR32:AS44)&gt;0.01,1-EXP(-SUM(AR32:AS44)),SUM(AR32:AS44)),".")</f>
        <v>1</v>
      </c>
      <c r="AW31" s="58">
        <f t="shared" ref="AW31:AZ31" si="20">1/SUM(1/AW32,1/AW33,1/AW34,1/AW35,1/AW36,1/AW37,1/AW38,1/AW39,1/AW40,1/AW41,1/AW42,1/AW43,1/AW44)</f>
        <v>1.8939962138258091E-11</v>
      </c>
      <c r="AX31" s="58">
        <f t="shared" si="20"/>
        <v>3.3182813666228171E-7</v>
      </c>
      <c r="AY31" s="61">
        <f t="shared" si="20"/>
        <v>1.5151969710606471E-8</v>
      </c>
      <c r="AZ31" s="61">
        <f t="shared" si="20"/>
        <v>1.5151969710606471E-8</v>
      </c>
      <c r="BA31" s="244">
        <f t="shared" si="5"/>
        <v>52798415999.999992</v>
      </c>
      <c r="BB31" s="244">
        <f t="shared" si="5"/>
        <v>3013608.219178082</v>
      </c>
      <c r="BC31" s="244">
        <f t="shared" si="5"/>
        <v>65998019.999999993</v>
      </c>
      <c r="BD31" s="244">
        <f t="shared" si="5"/>
        <v>65998019.999999993</v>
      </c>
      <c r="BE31" s="62">
        <f>1/SUM(1/BE32,1/BE33,1/BE34,1/BE35,1/BE36,1/BE37,1/BE38,1/BE39,1/BE40,1/BE41,1/BE42,1/BE43,1/BE44)</f>
        <v>1.8891654710687381E-11</v>
      </c>
      <c r="BF31" s="70"/>
      <c r="BG31" s="70"/>
      <c r="BH31" s="70"/>
      <c r="BI31" s="70"/>
      <c r="BJ31" s="47">
        <f>IFERROR(IF(SUM(BF32:BF44)&gt;0.01,1-EXP(-SUM(BF32:BF44)),SUM(BF32:BF44)),".")</f>
        <v>1</v>
      </c>
      <c r="BK31" s="47">
        <f>IFERROR(IF(SUM(BG32:BG44)&gt;0.01,1-EXP(-SUM(BG32:BG44)),SUM(BG32:BG44)),".")</f>
        <v>1</v>
      </c>
      <c r="BL31" s="47">
        <f>IFERROR(IF(SUM(BH32:BH44)&gt;0.01,1-EXP(-SUM(BH32:BH44)),SUM(BH32:BH44)),".")</f>
        <v>1</v>
      </c>
      <c r="BM31" s="47">
        <f>IFERROR(IF(SUM(BI32:BI44)&gt;0.01,1-EXP(-SUM(BI32:BI44)),SUM(BI32:BI44)),".")</f>
        <v>1</v>
      </c>
      <c r="BN31" s="47">
        <f>IFERROR(IF(SUM(BF32:BG44)&gt;0.01,1-EXP(-SUM(BF32:BG44)),SUM(BF32:BG44)),".")</f>
        <v>1</v>
      </c>
      <c r="BO31" s="61">
        <f t="shared" ref="BO31:BP31" si="21">1/SUM(1/BO32,1/BO33,1/BO34,1/BO35,1/BO36,1/BO37,1/BO38,1/BO39,1/BO40,1/BO41,1/BO42,1/BO43,1/BO44)</f>
        <v>1.5151969710606473E-10</v>
      </c>
      <c r="BP31" s="61">
        <f t="shared" si="21"/>
        <v>1.5151969710606473E-10</v>
      </c>
      <c r="BQ31" s="70"/>
      <c r="BR31" s="70"/>
      <c r="BS31" s="47">
        <f>IFERROR(IF(SUM(BQ32:BQ44)&gt;0.01,1-EXP(-SUM(BQ32:BQ44)),SUM(BQ32:BQ44)),".")</f>
        <v>1</v>
      </c>
      <c r="BT31" s="47">
        <f t="shared" ref="BT31" si="22">IFERROR(IF(SUM(BR32:BR44)&gt;0.01,1-EXP(-SUM(BR32:BR44)),SUM(BR32:BR44)),".")</f>
        <v>1</v>
      </c>
    </row>
    <row r="32" spans="1:72" x14ac:dyDescent="0.25">
      <c r="A32" s="48" t="s">
        <v>1099</v>
      </c>
      <c r="B32" s="15">
        <v>1</v>
      </c>
      <c r="C32" s="42"/>
      <c r="D32" s="60">
        <f>IFERROR(D3/$B32,0)</f>
        <v>3.3057851239669421E-8</v>
      </c>
      <c r="E32" s="60">
        <f>IFERROR(E3/$B32,0)</f>
        <v>3.0899917851942918E-4</v>
      </c>
      <c r="F32" s="60">
        <f>IFERROR(F3/$B32,0)</f>
        <v>2.2184415584415595E-2</v>
      </c>
      <c r="G32" s="60">
        <f>IFERROR(G3/$B32,0)</f>
        <v>7.5757575757575769E-12</v>
      </c>
      <c r="H32" s="60">
        <f>IFERROR(H3/$B32,0)</f>
        <v>7.5757575757575769E-12</v>
      </c>
      <c r="I32" s="244">
        <f t="shared" si="10"/>
        <v>30250000</v>
      </c>
      <c r="J32" s="244">
        <f t="shared" si="10"/>
        <v>3236.2545583179349</v>
      </c>
      <c r="K32" s="244">
        <f t="shared" si="10"/>
        <v>45.076688912305329</v>
      </c>
      <c r="L32" s="244">
        <f t="shared" si="10"/>
        <v>131999999999.99998</v>
      </c>
      <c r="M32" s="244">
        <f t="shared" si="10"/>
        <v>131999999999.99998</v>
      </c>
      <c r="N32" s="63">
        <f>IFERROR(N3/$B32,0)</f>
        <v>3.7874447627578245E-12</v>
      </c>
      <c r="O32" s="71">
        <f>IFERROR(up_RadSpec!$E$3*O3,".")*$B$32</f>
        <v>1512.5</v>
      </c>
      <c r="P32" s="71">
        <f>IFERROR(up_RadSpec!$F$3*P3,".")*B32</f>
        <v>0.16181272791589676</v>
      </c>
      <c r="Q32" s="71">
        <f>IFERROR(up_RadSpec!$G$3*Q3,".")*B32</f>
        <v>2.2538344456152666E-3</v>
      </c>
      <c r="R32" s="71">
        <f>IFERROR(up_RadSpec!$H$3*R3,".")*$B$32</f>
        <v>6600000</v>
      </c>
      <c r="S32" s="71">
        <f>IFERROR(up_RadSpec!$H$3*S3,".")*$B$32</f>
        <v>6600000</v>
      </c>
      <c r="T32" s="49">
        <f t="shared" ref="T32:X44" si="23">IFERROR(IF(O32&gt;0.01,1-EXP(-O32),O32),".")</f>
        <v>1</v>
      </c>
      <c r="U32" s="49">
        <f t="shared" si="23"/>
        <v>0.14939951664921358</v>
      </c>
      <c r="V32" s="49">
        <f t="shared" si="23"/>
        <v>2.2538344456152666E-3</v>
      </c>
      <c r="W32" s="49">
        <f t="shared" si="23"/>
        <v>1</v>
      </c>
      <c r="X32" s="49">
        <f t="shared" si="23"/>
        <v>1</v>
      </c>
      <c r="Y32" s="49">
        <f>IFERROR(IF(SUM(O32:S32)&gt;0.01,1-EXP(-SUM(O32:S32)),SUM(O32:S32)),".")</f>
        <v>1</v>
      </c>
      <c r="Z32" s="60">
        <f t="shared" ref="Z32:AD32" si="24">IFERROR(Z3/$B32,0)</f>
        <v>2.2184415584415595E-2</v>
      </c>
      <c r="AA32" s="60">
        <f t="shared" si="24"/>
        <v>3.1106175132324276E-2</v>
      </c>
      <c r="AB32" s="60">
        <f t="shared" si="24"/>
        <v>2.3582923154193879E-2</v>
      </c>
      <c r="AC32" s="60">
        <f t="shared" si="24"/>
        <v>2.4309683536802174E-2</v>
      </c>
      <c r="AD32" s="60">
        <f t="shared" si="24"/>
        <v>4.8228185429946425E-2</v>
      </c>
      <c r="AE32" s="71">
        <f>IFERROR(up_RadSpec!$G$3*AE3,".")*$B$32</f>
        <v>2.2538344456152666E-3</v>
      </c>
      <c r="AF32" s="71">
        <f>IFERROR(up_RadSpec!$N$3*AF3,".")*$B$32</f>
        <v>1.6073978812021165E-3</v>
      </c>
      <c r="AG32" s="71">
        <f>IFERROR(up_RadSpec!$O$3*AG3,".")*$B$32</f>
        <v>2.120178218496558E-3</v>
      </c>
      <c r="AH32" s="71">
        <f>IFERROR(up_RadSpec!$P$3*AH3,".")*$B$32</f>
        <v>2.0567935376166265E-3</v>
      </c>
      <c r="AI32" s="71">
        <f>IFERROR(up_RadSpec!$L$3*AI3,".")*$B$32</f>
        <v>1.0367381553806792E-3</v>
      </c>
      <c r="AJ32" s="49">
        <f>IFERROR(IF(AE32&gt;0.01,1-EXP(-AE32),AE32),".")</f>
        <v>2.2538344456152666E-3</v>
      </c>
      <c r="AK32" s="49">
        <f t="shared" ref="AK32:AN44" si="25">IFERROR(IF(AF32&gt;0.01,1-EXP(-AF32),AF32),".")</f>
        <v>1.6073978812021165E-3</v>
      </c>
      <c r="AL32" s="49">
        <f t="shared" si="25"/>
        <v>2.120178218496558E-3</v>
      </c>
      <c r="AM32" s="49">
        <f t="shared" si="25"/>
        <v>2.0567935376166265E-3</v>
      </c>
      <c r="AN32" s="49">
        <f t="shared" si="25"/>
        <v>1.0367381553806792E-3</v>
      </c>
      <c r="AO32" s="60">
        <f t="shared" ref="AO32:AQ32" si="26">IFERROR(AO3/$B32,0)</f>
        <v>9.9740259740259755E-10</v>
      </c>
      <c r="AP32" s="60">
        <f t="shared" si="26"/>
        <v>6.3709090909090908E-6</v>
      </c>
      <c r="AQ32" s="60">
        <f t="shared" si="26"/>
        <v>9.9724647271019672E-10</v>
      </c>
      <c r="AR32" s="71">
        <f>IFERROR(up_RadSpec!$F$3*AR3,".")*$B$32</f>
        <v>50130.208333333328</v>
      </c>
      <c r="AS32" s="71">
        <f>IFERROR(up_RadSpec!$K$3*AS3,".")*$B$32</f>
        <v>7.8481735159817356</v>
      </c>
      <c r="AT32" s="49">
        <f>IFERROR(IF(AR32&gt;0.01,1-EXP(-AR32),AR32),".")</f>
        <v>1</v>
      </c>
      <c r="AU32" s="49">
        <f>IFERROR(IF(AS32&gt;0.01,1-EXP(-AS32),AS32),".")</f>
        <v>0.99960953550549536</v>
      </c>
      <c r="AV32" s="49">
        <f>IFERROR(IF(SUM(AR32:AS32)&gt;0.01,1-EXP(-SUM(AR32:AS32)),SUM(AR32:AS32)),".")</f>
        <v>1</v>
      </c>
      <c r="AW32" s="60">
        <f t="shared" ref="AW32:AZ32" si="27">IFERROR(AW3/$B32,0)</f>
        <v>2.272727272727273E-10</v>
      </c>
      <c r="AX32" s="60">
        <f t="shared" si="27"/>
        <v>3.9818181818181825E-6</v>
      </c>
      <c r="AY32" s="63">
        <f t="shared" si="27"/>
        <v>1.8181818181818183E-7</v>
      </c>
      <c r="AZ32" s="63">
        <f t="shared" si="27"/>
        <v>1.8181818181818183E-7</v>
      </c>
      <c r="BA32" s="244">
        <f>IFERROR(1/AW32,0)</f>
        <v>4399999999.999999</v>
      </c>
      <c r="BB32" s="244">
        <f t="shared" ref="BB32:BD47" si="28">IFERROR(1/AX32,0)</f>
        <v>251141.55251141547</v>
      </c>
      <c r="BC32" s="244">
        <f t="shared" si="28"/>
        <v>5500000</v>
      </c>
      <c r="BD32" s="244">
        <f t="shared" si="28"/>
        <v>5500000</v>
      </c>
      <c r="BE32" s="63">
        <f>IFERROR(BE3/$B32,0)</f>
        <v>2.2669305553255277E-10</v>
      </c>
      <c r="BF32" s="71">
        <f>IFERROR(up_RadSpec!$I$3*BF3,".")*$B$32</f>
        <v>220000</v>
      </c>
      <c r="BG32" s="71">
        <f>IFERROR(up_RadSpec!$M$3*BG3,".")*$B$32</f>
        <v>12.557077625570777</v>
      </c>
      <c r="BH32" s="71">
        <f>IFERROR(up_RadSpec!$H$3*BH3,".")*$B$32</f>
        <v>275</v>
      </c>
      <c r="BI32" s="71">
        <f>IFERROR(up_RadSpec!$H$3*BI3,".")*$B$32</f>
        <v>275</v>
      </c>
      <c r="BJ32" s="49">
        <f t="shared" ref="BJ32:BM44" si="29">IFERROR(IF(BF32&gt;0.01,1-EXP(-BF32),BF32),".")</f>
        <v>1</v>
      </c>
      <c r="BK32" s="49">
        <f t="shared" si="29"/>
        <v>0.99999648009875997</v>
      </c>
      <c r="BL32" s="49">
        <f t="shared" si="29"/>
        <v>1</v>
      </c>
      <c r="BM32" s="49">
        <f t="shared" si="29"/>
        <v>1</v>
      </c>
      <c r="BN32" s="49">
        <f t="shared" ref="BN32:BN44" si="30">IFERROR(IF(SUM(BF32:BG32)&gt;0.01,1-EXP(-SUM(BF32:BG32)),SUM(BF32:BG32)),".")</f>
        <v>1</v>
      </c>
      <c r="BO32" s="63">
        <f t="shared" ref="BO32:BP32" si="31">IFERROR(BO3/$B32,0)</f>
        <v>1.8181818181818184E-9</v>
      </c>
      <c r="BP32" s="63">
        <f t="shared" si="31"/>
        <v>1.8181818181818184E-9</v>
      </c>
      <c r="BQ32" s="71">
        <f>IFERROR(up_RadSpec!$H$3*BQ3,".")*$B$32</f>
        <v>27500</v>
      </c>
      <c r="BR32" s="71">
        <f>IFERROR(up_RadSpec!$H$3*BR3,".")*$B$32</f>
        <v>27500</v>
      </c>
      <c r="BS32" s="49">
        <f t="shared" ref="BS32:BT44" si="32">IFERROR(IF(BQ32&gt;0.01,1-EXP(-BQ32),BQ32),".")</f>
        <v>1</v>
      </c>
      <c r="BT32" s="49">
        <f t="shared" si="32"/>
        <v>1</v>
      </c>
    </row>
    <row r="33" spans="1:72" x14ac:dyDescent="0.25">
      <c r="A33" s="48" t="s">
        <v>1075</v>
      </c>
      <c r="B33" s="15">
        <v>1</v>
      </c>
      <c r="C33" s="42"/>
      <c r="D33" s="60">
        <f t="shared" ref="D33:F34" si="33">IFERROR(D13/$B33,0)</f>
        <v>3.3057851239669421E-8</v>
      </c>
      <c r="E33" s="60">
        <f t="shared" si="33"/>
        <v>3.0899917851942918E-4</v>
      </c>
      <c r="F33" s="60">
        <f t="shared" si="33"/>
        <v>5.4790618044855369E-4</v>
      </c>
      <c r="G33" s="60">
        <f t="shared" ref="G33:H33" si="34">IFERROR(G13/$B33,0)</f>
        <v>7.5757575757575769E-12</v>
      </c>
      <c r="H33" s="60">
        <f t="shared" si="34"/>
        <v>7.5757575757575769E-12</v>
      </c>
      <c r="I33" s="244">
        <f t="shared" si="10"/>
        <v>30250000</v>
      </c>
      <c r="J33" s="244">
        <f t="shared" si="10"/>
        <v>3236.2545583179349</v>
      </c>
      <c r="K33" s="244">
        <f t="shared" si="10"/>
        <v>1825.1299870012986</v>
      </c>
      <c r="L33" s="244">
        <f t="shared" si="10"/>
        <v>131999999999.99998</v>
      </c>
      <c r="M33" s="244">
        <f t="shared" si="10"/>
        <v>131999999999.99998</v>
      </c>
      <c r="N33" s="63">
        <f t="shared" ref="N33" si="35">IFERROR(N13/$B33,0)</f>
        <v>3.787444737223427E-12</v>
      </c>
      <c r="O33" s="71">
        <f>IFERROR(up_RadSpec!$E$13*O13,".")*$B$33</f>
        <v>1512.5</v>
      </c>
      <c r="P33" s="71">
        <f>IFERROR(up_RadSpec!$F$13*P13,".")*B33</f>
        <v>0.16181272791589676</v>
      </c>
      <c r="Q33" s="71">
        <f>IFERROR(up_RadSpec!$G$13*Q13,".")*B33</f>
        <v>9.125649935006494E-2</v>
      </c>
      <c r="R33" s="71">
        <f>IFERROR(up_RadSpec!$H$13*R13,".")*$B$33</f>
        <v>6600000</v>
      </c>
      <c r="S33" s="71">
        <f>IFERROR(up_RadSpec!$H$13*S13,".")*$B$33</f>
        <v>6600000</v>
      </c>
      <c r="T33" s="49">
        <f t="shared" si="23"/>
        <v>1</v>
      </c>
      <c r="U33" s="49">
        <f t="shared" si="23"/>
        <v>0.14939951664921358</v>
      </c>
      <c r="V33" s="49">
        <f t="shared" si="23"/>
        <v>8.721644751815294E-2</v>
      </c>
      <c r="W33" s="49">
        <f t="shared" si="23"/>
        <v>1</v>
      </c>
      <c r="X33" s="49">
        <f t="shared" si="23"/>
        <v>1</v>
      </c>
      <c r="Y33" s="49">
        <f t="shared" ref="Y33:Y76" si="36">IFERROR(IF(SUM(O33:S33)&gt;0.01,1-EXP(-SUM(O33:S33)),SUM(O33:S33)),".")</f>
        <v>1</v>
      </c>
      <c r="Z33" s="60">
        <f t="shared" ref="Z33:AD33" si="37">IFERROR(Z13/$B33,0)</f>
        <v>5.4790618044855369E-4</v>
      </c>
      <c r="AA33" s="60">
        <f t="shared" si="37"/>
        <v>1.1948632373213381E-3</v>
      </c>
      <c r="AB33" s="60">
        <f t="shared" si="37"/>
        <v>7.0985979194934407E-4</v>
      </c>
      <c r="AC33" s="60">
        <f t="shared" si="37"/>
        <v>5.8600282168498098E-4</v>
      </c>
      <c r="AD33" s="60">
        <f t="shared" si="37"/>
        <v>1.1495129870129867E-2</v>
      </c>
      <c r="AE33" s="71">
        <f>IFERROR(up_RadSpec!$G$13*AE13,".")*$B$33</f>
        <v>9.125649935006494E-2</v>
      </c>
      <c r="AF33" s="71">
        <f>IFERROR(up_RadSpec!$N$13*AF13,".")*$B$33</f>
        <v>4.1845793257553672E-2</v>
      </c>
      <c r="AG33" s="71">
        <f>IFERROR(up_RadSpec!$O$13*AG13,".")*$B$33</f>
        <v>7.043644472762027E-2</v>
      </c>
      <c r="AH33" s="71">
        <f>IFERROR(up_RadSpec!$P$13*AH13,".")*$B$33</f>
        <v>8.5323821233882435E-2</v>
      </c>
      <c r="AI33" s="71">
        <f>IFERROR(up_RadSpec!$L$13*AI13,".")*$B$33</f>
        <v>4.34966812597091E-3</v>
      </c>
      <c r="AJ33" s="49">
        <f t="shared" ref="AJ33:AJ44" si="38">IFERROR(IF(AE33&gt;0.01,1-EXP(-AE33),AE33),".")</f>
        <v>8.721644751815294E-2</v>
      </c>
      <c r="AK33" s="49">
        <f t="shared" si="25"/>
        <v>4.0982343840809898E-2</v>
      </c>
      <c r="AL33" s="49">
        <f t="shared" si="25"/>
        <v>6.8013029670680902E-2</v>
      </c>
      <c r="AM33" s="49">
        <f t="shared" si="25"/>
        <v>8.1785101227324408E-2</v>
      </c>
      <c r="AN33" s="49">
        <f t="shared" si="25"/>
        <v>4.34966812597091E-3</v>
      </c>
      <c r="AO33" s="60">
        <f t="shared" ref="AO33:AQ33" si="39">IFERROR(AO13/$B33,0)</f>
        <v>9.9740259740259755E-10</v>
      </c>
      <c r="AP33" s="60">
        <f t="shared" si="39"/>
        <v>6.3709090909090908E-6</v>
      </c>
      <c r="AQ33" s="60">
        <f t="shared" si="39"/>
        <v>9.9724647271019672E-10</v>
      </c>
      <c r="AR33" s="71">
        <f>IFERROR(up_RadSpec!$F$13*AR13,".")*$B$33</f>
        <v>50130.208333333328</v>
      </c>
      <c r="AS33" s="71">
        <f>IFERROR(up_RadSpec!$K$13*AS13,".")*$B$33</f>
        <v>7.8481735159817356</v>
      </c>
      <c r="AT33" s="49">
        <f t="shared" ref="AT33:AU44" si="40">IFERROR(IF(AR33&gt;0.01,1-EXP(-AR33),AR33),".")</f>
        <v>1</v>
      </c>
      <c r="AU33" s="49">
        <f t="shared" si="40"/>
        <v>0.99960953550549536</v>
      </c>
      <c r="AV33" s="49">
        <f t="shared" ref="AV33:AV44" si="41">IFERROR(IF(SUM(AR33:AS33)&gt;0.01,1-EXP(-SUM(AR33:AS33)),SUM(AR33:AS33)),".")</f>
        <v>1</v>
      </c>
      <c r="AW33" s="60">
        <f t="shared" ref="AW33:AZ33" si="42">IFERROR(AW13/$B33,0)</f>
        <v>2.272727272727273E-10</v>
      </c>
      <c r="AX33" s="60">
        <f t="shared" si="42"/>
        <v>3.9818181818181825E-6</v>
      </c>
      <c r="AY33" s="63">
        <f t="shared" si="42"/>
        <v>1.8181818181818183E-7</v>
      </c>
      <c r="AZ33" s="63">
        <f t="shared" si="42"/>
        <v>1.8181818181818183E-7</v>
      </c>
      <c r="BA33" s="244">
        <f t="shared" ref="BA33:BD76" si="43">IFERROR(1/AW33,0)</f>
        <v>4399999999.999999</v>
      </c>
      <c r="BB33" s="244">
        <f t="shared" si="28"/>
        <v>251141.55251141547</v>
      </c>
      <c r="BC33" s="244">
        <f t="shared" si="28"/>
        <v>5500000</v>
      </c>
      <c r="BD33" s="244">
        <f t="shared" si="28"/>
        <v>5500000</v>
      </c>
      <c r="BE33" s="63">
        <f t="shared" ref="BE33" si="44">IFERROR(BE13/$B33,0)</f>
        <v>2.2669305553255277E-10</v>
      </c>
      <c r="BF33" s="71">
        <f>IFERROR(up_RadSpec!$I$13*BF13,".")*$B$33</f>
        <v>220000</v>
      </c>
      <c r="BG33" s="71">
        <f>IFERROR(up_RadSpec!$M$13*BG13,".")*$B$33</f>
        <v>12.557077625570777</v>
      </c>
      <c r="BH33" s="71">
        <f>IFERROR(up_RadSpec!$H$13*BH13,".")*$B$33</f>
        <v>275</v>
      </c>
      <c r="BI33" s="71">
        <f>IFERROR(up_RadSpec!$H$13*BI13,".")*$B$33</f>
        <v>275</v>
      </c>
      <c r="BJ33" s="49">
        <f t="shared" si="29"/>
        <v>1</v>
      </c>
      <c r="BK33" s="49">
        <f t="shared" si="29"/>
        <v>0.99999648009875997</v>
      </c>
      <c r="BL33" s="49">
        <f t="shared" si="29"/>
        <v>1</v>
      </c>
      <c r="BM33" s="49">
        <f t="shared" si="29"/>
        <v>1</v>
      </c>
      <c r="BN33" s="49">
        <f t="shared" si="30"/>
        <v>1</v>
      </c>
      <c r="BO33" s="63">
        <f t="shared" ref="BO33:BP33" si="45">IFERROR(BO13/$B33,0)</f>
        <v>1.8181818181818184E-9</v>
      </c>
      <c r="BP33" s="63">
        <f t="shared" si="45"/>
        <v>1.8181818181818184E-9</v>
      </c>
      <c r="BQ33" s="71">
        <f>IFERROR(up_RadSpec!$H$13*BQ13,".")*$B$33</f>
        <v>27500</v>
      </c>
      <c r="BR33" s="71">
        <f>IFERROR(up_RadSpec!$H$13*BR13,".")*$B$33</f>
        <v>27500</v>
      </c>
      <c r="BS33" s="49">
        <f t="shared" si="32"/>
        <v>1</v>
      </c>
      <c r="BT33" s="49">
        <f t="shared" si="32"/>
        <v>1</v>
      </c>
    </row>
    <row r="34" spans="1:72" x14ac:dyDescent="0.25">
      <c r="A34" s="48" t="s">
        <v>1076</v>
      </c>
      <c r="B34" s="15">
        <v>1</v>
      </c>
      <c r="C34" s="42"/>
      <c r="D34" s="60">
        <f t="shared" si="33"/>
        <v>3.3057851239669421E-8</v>
      </c>
      <c r="E34" s="60">
        <f t="shared" si="33"/>
        <v>3.0899917851942918E-4</v>
      </c>
      <c r="F34" s="60">
        <f t="shared" si="33"/>
        <v>8.2250179434746663E-5</v>
      </c>
      <c r="G34" s="60">
        <f t="shared" ref="G34:H34" si="46">IFERROR(G14/$B34,0)</f>
        <v>7.5757575757575769E-12</v>
      </c>
      <c r="H34" s="60">
        <f t="shared" si="46"/>
        <v>7.5757575757575769E-12</v>
      </c>
      <c r="I34" s="244">
        <f t="shared" si="10"/>
        <v>30250000</v>
      </c>
      <c r="J34" s="244">
        <f t="shared" si="10"/>
        <v>3236.2545583179349</v>
      </c>
      <c r="K34" s="244">
        <f t="shared" si="10"/>
        <v>12158.028187565864</v>
      </c>
      <c r="L34" s="244">
        <f t="shared" si="10"/>
        <v>131999999999.99998</v>
      </c>
      <c r="M34" s="244">
        <f t="shared" si="10"/>
        <v>131999999999.99998</v>
      </c>
      <c r="N34" s="63">
        <f t="shared" ref="N34" si="47">IFERROR(N14/$B34,0)</f>
        <v>3.7874445890007198E-12</v>
      </c>
      <c r="O34" s="71">
        <f>IFERROR(up_RadSpec!$E$14*O14,".")*$B$34</f>
        <v>1512.5</v>
      </c>
      <c r="P34" s="71">
        <f>IFERROR(up_RadSpec!$F$14*P14,".")*B33</f>
        <v>0.16181272791589676</v>
      </c>
      <c r="Q34" s="71">
        <f>IFERROR(up_RadSpec!$G$14*Q14,".")*B33</f>
        <v>0.60790140937829318</v>
      </c>
      <c r="R34" s="71">
        <f>IFERROR(up_RadSpec!$H$14*R14,".")*$B$34</f>
        <v>6600000</v>
      </c>
      <c r="S34" s="71">
        <f>IFERROR(up_RadSpec!$H$14*S14,".")*$B$34</f>
        <v>6600000</v>
      </c>
      <c r="T34" s="49">
        <f t="shared" si="23"/>
        <v>1</v>
      </c>
      <c r="U34" s="49">
        <f t="shared" si="23"/>
        <v>0.14939951664921358</v>
      </c>
      <c r="V34" s="49">
        <f t="shared" si="23"/>
        <v>0.45550766256889685</v>
      </c>
      <c r="W34" s="49">
        <f t="shared" si="23"/>
        <v>1</v>
      </c>
      <c r="X34" s="49">
        <f t="shared" si="23"/>
        <v>1</v>
      </c>
      <c r="Y34" s="49">
        <f t="shared" si="36"/>
        <v>1</v>
      </c>
      <c r="Z34" s="60">
        <f t="shared" ref="Z34:AD34" si="48">IFERROR(Z14/$B34,0)</f>
        <v>8.2250179434746663E-5</v>
      </c>
      <c r="AA34" s="60">
        <f t="shared" si="48"/>
        <v>1.4937483186060481E-4</v>
      </c>
      <c r="AB34" s="60">
        <f t="shared" si="48"/>
        <v>1.1043933455751371E-4</v>
      </c>
      <c r="AC34" s="60">
        <f t="shared" si="48"/>
        <v>9.6777614763226299E-5</v>
      </c>
      <c r="AD34" s="60">
        <f t="shared" si="48"/>
        <v>4.1679600886917979E-4</v>
      </c>
      <c r="AE34" s="71">
        <f>IFERROR(up_RadSpec!$G$14*AE14,".")*$B$33</f>
        <v>0.60790140937829318</v>
      </c>
      <c r="AF34" s="71">
        <f>IFERROR(up_RadSpec!$N$14*AF14,".")*$B$33</f>
        <v>0.33472841024958966</v>
      </c>
      <c r="AG34" s="71">
        <f>IFERROR(up_RadSpec!$O$14*AG14,".")*$B$33</f>
        <v>0.45273724439150259</v>
      </c>
      <c r="AH34" s="71">
        <f>IFERROR(up_RadSpec!$P$14*AH14,".")*$B$33</f>
        <v>0.51664840182648397</v>
      </c>
      <c r="AI34" s="71">
        <f>IFERROR(up_RadSpec!$L$14*AI14,".")*$B$33</f>
        <v>0.11996276100545281</v>
      </c>
      <c r="AJ34" s="49">
        <f t="shared" si="38"/>
        <v>0.45550766256889685</v>
      </c>
      <c r="AK34" s="49">
        <f t="shared" si="25"/>
        <v>0.28446760877069643</v>
      </c>
      <c r="AL34" s="49">
        <f t="shared" si="25"/>
        <v>0.3641148059214776</v>
      </c>
      <c r="AM34" s="49">
        <f t="shared" si="25"/>
        <v>0.40348351512626879</v>
      </c>
      <c r="AN34" s="49">
        <f t="shared" si="25"/>
        <v>0.11304653464256287</v>
      </c>
      <c r="AO34" s="60">
        <f t="shared" ref="AO34:AQ34" si="49">IFERROR(AO14/$B34,0)</f>
        <v>9.9740259740259755E-10</v>
      </c>
      <c r="AP34" s="60">
        <f t="shared" si="49"/>
        <v>6.3709090909090908E-6</v>
      </c>
      <c r="AQ34" s="60">
        <f t="shared" si="49"/>
        <v>9.9724647271019672E-10</v>
      </c>
      <c r="AR34" s="71">
        <f>IFERROR(up_RadSpec!$F$14*AR14,".")*$B$33</f>
        <v>50130.208333333328</v>
      </c>
      <c r="AS34" s="71">
        <f>IFERROR(up_RadSpec!$K$14*AS14,".")*$B$33</f>
        <v>7.8481735159817356</v>
      </c>
      <c r="AT34" s="49">
        <f t="shared" si="40"/>
        <v>1</v>
      </c>
      <c r="AU34" s="49">
        <f t="shared" si="40"/>
        <v>0.99960953550549536</v>
      </c>
      <c r="AV34" s="49">
        <f t="shared" si="41"/>
        <v>1</v>
      </c>
      <c r="AW34" s="60">
        <f t="shared" ref="AW34:AZ34" si="50">IFERROR(AW14/$B34,0)</f>
        <v>2.272727272727273E-10</v>
      </c>
      <c r="AX34" s="60">
        <f t="shared" si="50"/>
        <v>3.9818181818181825E-6</v>
      </c>
      <c r="AY34" s="63">
        <f t="shared" si="50"/>
        <v>1.8181818181818183E-7</v>
      </c>
      <c r="AZ34" s="63">
        <f t="shared" si="50"/>
        <v>1.8181818181818183E-7</v>
      </c>
      <c r="BA34" s="244">
        <f t="shared" si="43"/>
        <v>4399999999.999999</v>
      </c>
      <c r="BB34" s="244">
        <f t="shared" si="28"/>
        <v>251141.55251141547</v>
      </c>
      <c r="BC34" s="244">
        <f t="shared" si="28"/>
        <v>5500000</v>
      </c>
      <c r="BD34" s="244">
        <f t="shared" si="28"/>
        <v>5500000</v>
      </c>
      <c r="BE34" s="63">
        <f t="shared" ref="BE34" si="51">IFERROR(BE14/$B34,0)</f>
        <v>2.2669305553255277E-10</v>
      </c>
      <c r="BF34" s="71">
        <f>IFERROR(up_RadSpec!$I$14*BF14,".")*$B$34</f>
        <v>220000</v>
      </c>
      <c r="BG34" s="71">
        <f>IFERROR(up_RadSpec!$M$14*BG14,".")*$B$34</f>
        <v>12.557077625570777</v>
      </c>
      <c r="BH34" s="71">
        <f>IFERROR(up_RadSpec!$H$14*BH14,".")*$B$34</f>
        <v>275</v>
      </c>
      <c r="BI34" s="71">
        <f>IFERROR(up_RadSpec!$H$14*BI14,".")*$B$34</f>
        <v>275</v>
      </c>
      <c r="BJ34" s="49">
        <f t="shared" si="29"/>
        <v>1</v>
      </c>
      <c r="BK34" s="49">
        <f t="shared" si="29"/>
        <v>0.99999648009875997</v>
      </c>
      <c r="BL34" s="49">
        <f t="shared" si="29"/>
        <v>1</v>
      </c>
      <c r="BM34" s="49">
        <f t="shared" si="29"/>
        <v>1</v>
      </c>
      <c r="BN34" s="49">
        <f t="shared" si="30"/>
        <v>1</v>
      </c>
      <c r="BO34" s="63">
        <f t="shared" ref="BO34:BP34" si="52">IFERROR(BO14/$B34,0)</f>
        <v>1.8181818181818184E-9</v>
      </c>
      <c r="BP34" s="63">
        <f t="shared" si="52"/>
        <v>1.8181818181818184E-9</v>
      </c>
      <c r="BQ34" s="71">
        <f>IFERROR(up_RadSpec!$H$14*BQ14,".")*$B$34</f>
        <v>27500</v>
      </c>
      <c r="BR34" s="71">
        <f>IFERROR(up_RadSpec!$H$14*BR14,".")*$B$34</f>
        <v>27500</v>
      </c>
      <c r="BS34" s="49">
        <f t="shared" si="32"/>
        <v>1</v>
      </c>
      <c r="BT34" s="49">
        <f t="shared" si="32"/>
        <v>1</v>
      </c>
    </row>
    <row r="35" spans="1:72" x14ac:dyDescent="0.25">
      <c r="A35" s="48" t="s">
        <v>1077</v>
      </c>
      <c r="B35" s="15">
        <v>1</v>
      </c>
      <c r="C35" s="42"/>
      <c r="D35" s="60">
        <f>IFERROR(D30/$B35,0)</f>
        <v>3.3057851239669421E-8</v>
      </c>
      <c r="E35" s="60">
        <f>IFERROR(E30/$B35,0)</f>
        <v>3.0899917851942918E-4</v>
      </c>
      <c r="F35" s="60">
        <f>IFERROR(F30/$B35,0)</f>
        <v>2.6545454545454545E-4</v>
      </c>
      <c r="G35" s="60">
        <f>IFERROR(G30/$B35,0)</f>
        <v>7.5757575757575769E-12</v>
      </c>
      <c r="H35" s="60">
        <f>IFERROR(H30/$B35,0)</f>
        <v>7.5757575757575769E-12</v>
      </c>
      <c r="I35" s="244">
        <f t="shared" si="10"/>
        <v>30250000</v>
      </c>
      <c r="J35" s="244">
        <f t="shared" si="10"/>
        <v>3236.2545583179349</v>
      </c>
      <c r="K35" s="244">
        <f t="shared" si="10"/>
        <v>3767.1232876712329</v>
      </c>
      <c r="L35" s="244">
        <f t="shared" si="10"/>
        <v>131999999999.99998</v>
      </c>
      <c r="M35" s="244">
        <f t="shared" si="10"/>
        <v>131999999999.99998</v>
      </c>
      <c r="N35" s="63">
        <f>IFERROR(N30/$B35,0)</f>
        <v>3.787444709366043E-12</v>
      </c>
      <c r="O35" s="71">
        <f>IFERROR(up_RadSpec!$E$30*O30,".")*$B$35</f>
        <v>1512.5</v>
      </c>
      <c r="P35" s="71">
        <f>IFERROR(up_RadSpec!$F$30*P30,".")*B35</f>
        <v>0.16181272791589676</v>
      </c>
      <c r="Q35" s="71">
        <f>IFERROR(up_RadSpec!$G$30*Q30,".")*B35</f>
        <v>0.18835616438356168</v>
      </c>
      <c r="R35" s="71">
        <f>IFERROR(up_RadSpec!$H$30*R30,".")*$B$35</f>
        <v>6600000</v>
      </c>
      <c r="S35" s="71">
        <f>IFERROR(up_RadSpec!$H$30*S30,".")*$B$35</f>
        <v>6600000</v>
      </c>
      <c r="T35" s="49">
        <f t="shared" si="23"/>
        <v>1</v>
      </c>
      <c r="U35" s="49">
        <f t="shared" si="23"/>
        <v>0.14939951664921358</v>
      </c>
      <c r="V35" s="49">
        <f t="shared" si="23"/>
        <v>0.17168036326381109</v>
      </c>
      <c r="W35" s="49">
        <f t="shared" si="23"/>
        <v>1</v>
      </c>
      <c r="X35" s="49">
        <f t="shared" si="23"/>
        <v>1</v>
      </c>
      <c r="Y35" s="49">
        <f t="shared" si="36"/>
        <v>1</v>
      </c>
      <c r="Z35" s="60">
        <f t="shared" ref="Z35:AD35" si="53">IFERROR(Z30/$B35,0)</f>
        <v>2.6545454545454545E-4</v>
      </c>
      <c r="AA35" s="60">
        <f t="shared" si="53"/>
        <v>1.3004536082474227E-3</v>
      </c>
      <c r="AB35" s="60">
        <f t="shared" si="53"/>
        <v>4.6863931523022427E-4</v>
      </c>
      <c r="AC35" s="60">
        <f t="shared" si="53"/>
        <v>3.4883160981632989E-4</v>
      </c>
      <c r="AD35" s="60">
        <f t="shared" si="53"/>
        <v>3.1854545454545455E-2</v>
      </c>
      <c r="AE35" s="71">
        <f>IFERROR(up_RadSpec!$G$30*AE30,".")*$B$35</f>
        <v>0.18835616438356168</v>
      </c>
      <c r="AF35" s="71">
        <f>IFERROR(up_RadSpec!$N$30*AF30,".")*$B$35</f>
        <v>3.8448122780314564E-2</v>
      </c>
      <c r="AG35" s="71">
        <f>IFERROR(up_RadSpec!$O$30*AG30,".")*$B$35</f>
        <v>0.10669185954967725</v>
      </c>
      <c r="AH35" s="71">
        <f>IFERROR(up_RadSpec!$P$30*AH30,".")*$B$35</f>
        <v>0.14333563413684464</v>
      </c>
      <c r="AI35" s="71">
        <f>IFERROR(up_RadSpec!$L$30*AI30,".")*$B$35</f>
        <v>1.5696347031963474E-3</v>
      </c>
      <c r="AJ35" s="49">
        <f t="shared" si="38"/>
        <v>0.17168036326381109</v>
      </c>
      <c r="AK35" s="49">
        <f t="shared" si="25"/>
        <v>3.7718376059823977E-2</v>
      </c>
      <c r="AL35" s="49">
        <f t="shared" si="25"/>
        <v>0.10119741224206313</v>
      </c>
      <c r="AM35" s="49">
        <f t="shared" si="25"/>
        <v>0.13353679454370115</v>
      </c>
      <c r="AN35" s="49">
        <f t="shared" si="25"/>
        <v>1.5696347031963474E-3</v>
      </c>
      <c r="AO35" s="60">
        <f t="shared" ref="AO35:AQ35" si="54">IFERROR(AO30/$B35,0)</f>
        <v>9.9740259740259755E-10</v>
      </c>
      <c r="AP35" s="60">
        <f t="shared" si="54"/>
        <v>6.3709090909090908E-6</v>
      </c>
      <c r="AQ35" s="60">
        <f t="shared" si="54"/>
        <v>9.9724647271019672E-10</v>
      </c>
      <c r="AR35" s="71">
        <f>IFERROR(up_RadSpec!$F$30*AR30,".")*$B$35</f>
        <v>50130.208333333328</v>
      </c>
      <c r="AS35" s="71">
        <f>IFERROR(up_RadSpec!$K$30*AS30,".")*$B$35</f>
        <v>7.8481735159817356</v>
      </c>
      <c r="AT35" s="49">
        <f t="shared" si="40"/>
        <v>1</v>
      </c>
      <c r="AU35" s="49">
        <f t="shared" si="40"/>
        <v>0.99960953550549536</v>
      </c>
      <c r="AV35" s="49">
        <f t="shared" si="41"/>
        <v>1</v>
      </c>
      <c r="AW35" s="60">
        <f t="shared" ref="AW35:AZ35" si="55">IFERROR(AW30/$B35,0)</f>
        <v>2.272727272727273E-10</v>
      </c>
      <c r="AX35" s="60">
        <f t="shared" si="55"/>
        <v>3.9818181818181825E-6</v>
      </c>
      <c r="AY35" s="63">
        <f t="shared" si="55"/>
        <v>1.8181818181818183E-7</v>
      </c>
      <c r="AZ35" s="63">
        <f t="shared" si="55"/>
        <v>1.8181818181818183E-7</v>
      </c>
      <c r="BA35" s="244">
        <f t="shared" si="43"/>
        <v>4399999999.999999</v>
      </c>
      <c r="BB35" s="244">
        <f t="shared" si="28"/>
        <v>251141.55251141547</v>
      </c>
      <c r="BC35" s="244">
        <f t="shared" si="28"/>
        <v>5500000</v>
      </c>
      <c r="BD35" s="244">
        <f t="shared" si="28"/>
        <v>5500000</v>
      </c>
      <c r="BE35" s="63">
        <f>IFERROR(BE30/$B35,0)</f>
        <v>2.2669305553255277E-10</v>
      </c>
      <c r="BF35" s="71">
        <f>IFERROR(up_RadSpec!$I$30*BF30,".")*$B$35</f>
        <v>220000</v>
      </c>
      <c r="BG35" s="71">
        <f>IFERROR(up_RadSpec!$M$30*BG30,".")*$B$35</f>
        <v>12.557077625570777</v>
      </c>
      <c r="BH35" s="71">
        <f>IFERROR(up_RadSpec!$H$30*BH30,".")*$B$35</f>
        <v>275</v>
      </c>
      <c r="BI35" s="71">
        <f>IFERROR(up_RadSpec!$H$30*BI30,".")*$B$35</f>
        <v>275</v>
      </c>
      <c r="BJ35" s="49">
        <f t="shared" si="29"/>
        <v>1</v>
      </c>
      <c r="BK35" s="49">
        <f t="shared" si="29"/>
        <v>0.99999648009875997</v>
      </c>
      <c r="BL35" s="49">
        <f t="shared" si="29"/>
        <v>1</v>
      </c>
      <c r="BM35" s="49">
        <f t="shared" si="29"/>
        <v>1</v>
      </c>
      <c r="BN35" s="49">
        <f t="shared" si="30"/>
        <v>1</v>
      </c>
      <c r="BO35" s="63">
        <f t="shared" ref="BO35:BP35" si="56">IFERROR(BO30/$B35,0)</f>
        <v>1.8181818181818184E-9</v>
      </c>
      <c r="BP35" s="63">
        <f t="shared" si="56"/>
        <v>1.8181818181818184E-9</v>
      </c>
      <c r="BQ35" s="71">
        <f>IFERROR(up_RadSpec!$H$30*BQ30,".")*$B$35</f>
        <v>27500</v>
      </c>
      <c r="BR35" s="71">
        <f>IFERROR(up_RadSpec!$H$30*BR30,".")*$B$35</f>
        <v>27500</v>
      </c>
      <c r="BS35" s="49">
        <f t="shared" si="32"/>
        <v>1</v>
      </c>
      <c r="BT35" s="49">
        <f t="shared" si="32"/>
        <v>1</v>
      </c>
    </row>
    <row r="36" spans="1:72" x14ac:dyDescent="0.25">
      <c r="A36" s="48" t="s">
        <v>1078</v>
      </c>
      <c r="B36" s="15">
        <v>1</v>
      </c>
      <c r="C36" s="42"/>
      <c r="D36" s="60">
        <f>IFERROR(D26/$B36,0)</f>
        <v>3.3057851239669421E-8</v>
      </c>
      <c r="E36" s="60">
        <f>IFERROR(E26/$B36,0)</f>
        <v>3.0899917851942918E-4</v>
      </c>
      <c r="F36" s="60">
        <f>IFERROR(F26/$B36,0)</f>
        <v>2.7899814471243033E-4</v>
      </c>
      <c r="G36" s="60">
        <f>IFERROR(G26/$B36,0)</f>
        <v>7.5757575757575769E-12</v>
      </c>
      <c r="H36" s="60">
        <f>IFERROR(H26/$B36,0)</f>
        <v>7.5757575757575769E-12</v>
      </c>
      <c r="I36" s="244">
        <f t="shared" si="10"/>
        <v>30250000</v>
      </c>
      <c r="J36" s="244">
        <f t="shared" si="10"/>
        <v>3236.2545583179349</v>
      </c>
      <c r="K36" s="244">
        <f t="shared" si="10"/>
        <v>3584.2532251629218</v>
      </c>
      <c r="L36" s="244">
        <f t="shared" si="10"/>
        <v>131999999999.99998</v>
      </c>
      <c r="M36" s="244">
        <f t="shared" si="10"/>
        <v>131999999999.99998</v>
      </c>
      <c r="N36" s="63">
        <f>IFERROR(N26/$B36,0)</f>
        <v>3.7874447119892662E-12</v>
      </c>
      <c r="O36" s="71">
        <f>IFERROR(up_RadSpec!$E$26*O26,".")*$B$37</f>
        <v>1512.5</v>
      </c>
      <c r="P36" s="71">
        <f>IFERROR(up_RadSpec!$F$26*P26,".")*B37</f>
        <v>0.16181272791589676</v>
      </c>
      <c r="Q36" s="71">
        <f>IFERROR(up_RadSpec!$G$26*Q26,".")*B37</f>
        <v>0.17921266125814611</v>
      </c>
      <c r="R36" s="71">
        <f>IFERROR(up_RadSpec!$H$26*R26,".")*$B$37</f>
        <v>6600000</v>
      </c>
      <c r="S36" s="71">
        <f>IFERROR(up_RadSpec!$H$26*S26,".")*$B$37</f>
        <v>6600000</v>
      </c>
      <c r="T36" s="49">
        <f t="shared" si="23"/>
        <v>1</v>
      </c>
      <c r="U36" s="49">
        <f t="shared" si="23"/>
        <v>0.14939951664921358</v>
      </c>
      <c r="V36" s="49">
        <f t="shared" si="23"/>
        <v>0.16407188903044823</v>
      </c>
      <c r="W36" s="49">
        <f t="shared" si="23"/>
        <v>1</v>
      </c>
      <c r="X36" s="49">
        <f t="shared" si="23"/>
        <v>1</v>
      </c>
      <c r="Y36" s="49">
        <f t="shared" si="36"/>
        <v>1</v>
      </c>
      <c r="Z36" s="60">
        <f t="shared" ref="Z36:AD36" si="57">IFERROR(Z26/$B36,0)</f>
        <v>2.7899814471243033E-4</v>
      </c>
      <c r="AA36" s="60">
        <f t="shared" si="57"/>
        <v>5.0938165204298855E-4</v>
      </c>
      <c r="AB36" s="60">
        <f t="shared" si="57"/>
        <v>3.681714832535885E-4</v>
      </c>
      <c r="AC36" s="60">
        <f t="shared" si="57"/>
        <v>3.149256198347106E-4</v>
      </c>
      <c r="AD36" s="60">
        <f t="shared" si="57"/>
        <v>2.9689496050264632E-3</v>
      </c>
      <c r="AE36" s="71">
        <f>IFERROR(up_RadSpec!$G$26*AE26,".")*$B$37</f>
        <v>0.17921266125814611</v>
      </c>
      <c r="AF36" s="71">
        <f>IFERROR(up_RadSpec!$N$26*AF26,".")*$B$37</f>
        <v>9.8158227332028683E-2</v>
      </c>
      <c r="AG36" s="71">
        <f>IFERROR(up_RadSpec!$O$26*AG26,".")*$B$37</f>
        <v>0.13580628124194261</v>
      </c>
      <c r="AH36" s="71">
        <f>IFERROR(up_RadSpec!$P$26*AH26,".")*$B$37</f>
        <v>0.1587676481394007</v>
      </c>
      <c r="AI36" s="71">
        <f>IFERROR(up_RadSpec!$L$26*AI26,".")*$B$37</f>
        <v>1.6840972953986646E-2</v>
      </c>
      <c r="AJ36" s="49">
        <f t="shared" si="38"/>
        <v>0.16407188903044823</v>
      </c>
      <c r="AK36" s="49">
        <f t="shared" si="25"/>
        <v>9.3494541534424935E-2</v>
      </c>
      <c r="AL36" s="49">
        <f t="shared" si="25"/>
        <v>0.12698826514191375</v>
      </c>
      <c r="AM36" s="49">
        <f t="shared" si="25"/>
        <v>0.14680542271247177</v>
      </c>
      <c r="AN36" s="49">
        <f t="shared" si="25"/>
        <v>1.6699956496801227E-2</v>
      </c>
      <c r="AO36" s="60">
        <f t="shared" ref="AO36:AQ36" si="58">IFERROR(AO26/$B36,0)</f>
        <v>9.9740259740259755E-10</v>
      </c>
      <c r="AP36" s="60">
        <f t="shared" si="58"/>
        <v>6.3709090909090908E-6</v>
      </c>
      <c r="AQ36" s="60">
        <f t="shared" si="58"/>
        <v>9.9724647271019672E-10</v>
      </c>
      <c r="AR36" s="71">
        <f>IFERROR(up_RadSpec!$F$26*AR26,".")*$B$37</f>
        <v>50130.208333333328</v>
      </c>
      <c r="AS36" s="71">
        <f>IFERROR(up_RadSpec!$K$26*AS26,".")*$B$37</f>
        <v>7.8481735159817356</v>
      </c>
      <c r="AT36" s="49">
        <f t="shared" si="40"/>
        <v>1</v>
      </c>
      <c r="AU36" s="49">
        <f t="shared" si="40"/>
        <v>0.99960953550549536</v>
      </c>
      <c r="AV36" s="49">
        <f t="shared" si="41"/>
        <v>1</v>
      </c>
      <c r="AW36" s="60">
        <f t="shared" ref="AW36:AZ36" si="59">IFERROR(AW26/$B36,0)</f>
        <v>2.272727272727273E-10</v>
      </c>
      <c r="AX36" s="60">
        <f t="shared" si="59"/>
        <v>3.9818181818181825E-6</v>
      </c>
      <c r="AY36" s="63">
        <f t="shared" si="59"/>
        <v>1.8181818181818183E-7</v>
      </c>
      <c r="AZ36" s="63">
        <f t="shared" si="59"/>
        <v>1.8181818181818183E-7</v>
      </c>
      <c r="BA36" s="244">
        <f t="shared" si="43"/>
        <v>4399999999.999999</v>
      </c>
      <c r="BB36" s="244">
        <f t="shared" si="28"/>
        <v>251141.55251141547</v>
      </c>
      <c r="BC36" s="244">
        <f t="shared" si="28"/>
        <v>5500000</v>
      </c>
      <c r="BD36" s="244">
        <f t="shared" si="28"/>
        <v>5500000</v>
      </c>
      <c r="BE36" s="63">
        <f>IFERROR(BE26/$B36,0)</f>
        <v>2.2669305553255277E-10</v>
      </c>
      <c r="BF36" s="71">
        <f>IFERROR(up_RadSpec!$I$26*BF26,".")*$B$37</f>
        <v>220000</v>
      </c>
      <c r="BG36" s="71">
        <f>IFERROR(up_RadSpec!$M$26*BG26,".")*$B$37</f>
        <v>12.557077625570777</v>
      </c>
      <c r="BH36" s="71">
        <f>IFERROR(up_RadSpec!$H$26*BH26,".")*$B$37</f>
        <v>275</v>
      </c>
      <c r="BI36" s="71">
        <f>IFERROR(up_RadSpec!$H$26*BI26,".")*$B$37</f>
        <v>275</v>
      </c>
      <c r="BJ36" s="49">
        <f t="shared" si="29"/>
        <v>1</v>
      </c>
      <c r="BK36" s="49">
        <f t="shared" si="29"/>
        <v>0.99999648009875997</v>
      </c>
      <c r="BL36" s="49">
        <f t="shared" si="29"/>
        <v>1</v>
      </c>
      <c r="BM36" s="49">
        <f t="shared" si="29"/>
        <v>1</v>
      </c>
      <c r="BN36" s="49">
        <f t="shared" si="30"/>
        <v>1</v>
      </c>
      <c r="BO36" s="63">
        <f t="shared" ref="BO36:BP36" si="60">IFERROR(BO26/$B36,0)</f>
        <v>1.8181818181818184E-9</v>
      </c>
      <c r="BP36" s="63">
        <f t="shared" si="60"/>
        <v>1.8181818181818184E-9</v>
      </c>
      <c r="BQ36" s="71">
        <f>IFERROR(up_RadSpec!$H$26*BQ26,".")*$B$37</f>
        <v>27500</v>
      </c>
      <c r="BR36" s="71">
        <f>IFERROR(up_RadSpec!$H$26*BR26,".")*$B$37</f>
        <v>27500</v>
      </c>
      <c r="BS36" s="49">
        <f t="shared" si="32"/>
        <v>1</v>
      </c>
      <c r="BT36" s="49">
        <f t="shared" si="32"/>
        <v>1</v>
      </c>
    </row>
    <row r="37" spans="1:72" x14ac:dyDescent="0.25">
      <c r="A37" s="48" t="s">
        <v>1079</v>
      </c>
      <c r="B37" s="15">
        <v>1</v>
      </c>
      <c r="C37" s="42"/>
      <c r="D37" s="60">
        <f>IFERROR(D22/$B37,0)</f>
        <v>3.3057851239669421E-8</v>
      </c>
      <c r="E37" s="60">
        <f>IFERROR(E22/$B37,0)</f>
        <v>3.0899917851942918E-4</v>
      </c>
      <c r="F37" s="60">
        <f>IFERROR(F22/$B37,0)</f>
        <v>152.850439882698</v>
      </c>
      <c r="G37" s="60">
        <f>IFERROR(G22/$B37,0)</f>
        <v>7.5757575757575769E-12</v>
      </c>
      <c r="H37" s="60">
        <f>IFERROR(H22/$B37,0)</f>
        <v>7.5757575757575769E-12</v>
      </c>
      <c r="I37" s="244">
        <f t="shared" si="10"/>
        <v>30250000</v>
      </c>
      <c r="J37" s="244">
        <f t="shared" si="10"/>
        <v>3236.2545583179349</v>
      </c>
      <c r="K37" s="244">
        <f t="shared" si="10"/>
        <v>6.542342964583091E-3</v>
      </c>
      <c r="L37" s="244">
        <f t="shared" si="10"/>
        <v>131999999999.99998</v>
      </c>
      <c r="M37" s="244">
        <f t="shared" si="10"/>
        <v>131999999999.99998</v>
      </c>
      <c r="N37" s="63">
        <f>IFERROR(N22/$B37,0)</f>
        <v>3.7874447634043453E-12</v>
      </c>
      <c r="O37" s="71">
        <f>IFERROR(up_RadSpec!$E$22*O22,".")*$B$37</f>
        <v>1512.5</v>
      </c>
      <c r="P37" s="71">
        <f>IFERROR(up_RadSpec!$F$22*P22,".")*B37</f>
        <v>0.16181272791589676</v>
      </c>
      <c r="Q37" s="71">
        <f>IFERROR(up_RadSpec!$G$22*Q22,".")*B37</f>
        <v>3.2711714822915461E-7</v>
      </c>
      <c r="R37" s="71">
        <f>IFERROR(up_RadSpec!$H$22*R22,".")*$B$37</f>
        <v>6600000</v>
      </c>
      <c r="S37" s="71">
        <f>IFERROR(up_RadSpec!$H$22*S22,".")*$B$37</f>
        <v>6600000</v>
      </c>
      <c r="T37" s="49">
        <f t="shared" si="23"/>
        <v>1</v>
      </c>
      <c r="U37" s="49">
        <f t="shared" si="23"/>
        <v>0.14939951664921358</v>
      </c>
      <c r="V37" s="49">
        <f t="shared" si="23"/>
        <v>3.2711714822915461E-7</v>
      </c>
      <c r="W37" s="49">
        <f t="shared" si="23"/>
        <v>1</v>
      </c>
      <c r="X37" s="49">
        <f t="shared" si="23"/>
        <v>1</v>
      </c>
      <c r="Y37" s="49">
        <f t="shared" si="36"/>
        <v>1</v>
      </c>
      <c r="Z37" s="60">
        <f t="shared" ref="Z37:AD37" si="61">IFERROR(Z22/$B37,0)</f>
        <v>152.850439882698</v>
      </c>
      <c r="AA37" s="60">
        <f t="shared" si="61"/>
        <v>140.06003150167919</v>
      </c>
      <c r="AB37" s="60">
        <f t="shared" si="61"/>
        <v>107.60360759143475</v>
      </c>
      <c r="AC37" s="60">
        <f t="shared" si="61"/>
        <v>110.88257575757572</v>
      </c>
      <c r="AD37" s="60">
        <f t="shared" si="61"/>
        <v>786.78866993535519</v>
      </c>
      <c r="AE37" s="71">
        <f>IFERROR(up_RadSpec!$G$22*AE22,".")*$B$37</f>
        <v>3.2711714822915461E-7</v>
      </c>
      <c r="AF37" s="71">
        <f>IFERROR(up_RadSpec!$N$22*AF22,".")*$B$37</f>
        <v>3.5698978119536229E-7</v>
      </c>
      <c r="AG37" s="71">
        <f>IFERROR(up_RadSpec!$O$22*AG22,".")*$B$37</f>
        <v>4.6466843555884648E-7</v>
      </c>
      <c r="AH37" s="71">
        <f>IFERROR(up_RadSpec!$P$22*AH22,".")*$B$37</f>
        <v>4.5092747583097069E-7</v>
      </c>
      <c r="AI37" s="71">
        <f>IFERROR(up_RadSpec!$L$22*AI22,".")*$B$37</f>
        <v>6.3549466217031498E-8</v>
      </c>
      <c r="AJ37" s="49">
        <f t="shared" si="38"/>
        <v>3.2711714822915461E-7</v>
      </c>
      <c r="AK37" s="49">
        <f t="shared" si="25"/>
        <v>3.5698978119536229E-7</v>
      </c>
      <c r="AL37" s="49">
        <f t="shared" si="25"/>
        <v>4.6466843555884648E-7</v>
      </c>
      <c r="AM37" s="49">
        <f t="shared" si="25"/>
        <v>4.5092747583097069E-7</v>
      </c>
      <c r="AN37" s="49">
        <f t="shared" si="25"/>
        <v>6.3549466217031498E-8</v>
      </c>
      <c r="AO37" s="60">
        <f t="shared" ref="AO37:AQ37" si="62">IFERROR(AO22/$B37,0)</f>
        <v>9.9740259740259755E-10</v>
      </c>
      <c r="AP37" s="60">
        <f t="shared" si="62"/>
        <v>6.3709090909090908E-6</v>
      </c>
      <c r="AQ37" s="60">
        <f t="shared" si="62"/>
        <v>9.9724647271019672E-10</v>
      </c>
      <c r="AR37" s="71">
        <f>IFERROR(up_RadSpec!$F$22*AR22,".")*$B$37</f>
        <v>50130.208333333328</v>
      </c>
      <c r="AS37" s="71">
        <f>IFERROR(up_RadSpec!$K$22*AS22,".")*$B$37</f>
        <v>7.8481735159817356</v>
      </c>
      <c r="AT37" s="49">
        <f t="shared" si="40"/>
        <v>1</v>
      </c>
      <c r="AU37" s="49">
        <f t="shared" si="40"/>
        <v>0.99960953550549536</v>
      </c>
      <c r="AV37" s="49">
        <f t="shared" si="41"/>
        <v>1</v>
      </c>
      <c r="AW37" s="60">
        <f t="shared" ref="AW37:AZ37" si="63">IFERROR(AW22/$B37,0)</f>
        <v>2.272727272727273E-10</v>
      </c>
      <c r="AX37" s="60">
        <f t="shared" si="63"/>
        <v>3.9818181818181825E-6</v>
      </c>
      <c r="AY37" s="63">
        <f t="shared" si="63"/>
        <v>1.8181818181818183E-7</v>
      </c>
      <c r="AZ37" s="63">
        <f t="shared" si="63"/>
        <v>1.8181818181818183E-7</v>
      </c>
      <c r="BA37" s="244">
        <f t="shared" si="43"/>
        <v>4399999999.999999</v>
      </c>
      <c r="BB37" s="244">
        <f t="shared" si="28"/>
        <v>251141.55251141547</v>
      </c>
      <c r="BC37" s="244">
        <f t="shared" si="28"/>
        <v>5500000</v>
      </c>
      <c r="BD37" s="244">
        <f t="shared" si="28"/>
        <v>5500000</v>
      </c>
      <c r="BE37" s="63">
        <f>IFERROR(BE22/$B37,0)</f>
        <v>2.2669305553255277E-10</v>
      </c>
      <c r="BF37" s="71">
        <f>IFERROR(up_RadSpec!$I$22*BF22,".")*$B$37</f>
        <v>220000</v>
      </c>
      <c r="BG37" s="71">
        <f>IFERROR(up_RadSpec!$M$22*BG22,".")*$B$37</f>
        <v>12.557077625570777</v>
      </c>
      <c r="BH37" s="71">
        <f>IFERROR(up_RadSpec!$H$22*BH22,".")*$B$37</f>
        <v>275</v>
      </c>
      <c r="BI37" s="71">
        <f>IFERROR(up_RadSpec!$H$22*BI22,".")*$B$37</f>
        <v>275</v>
      </c>
      <c r="BJ37" s="49">
        <f t="shared" si="29"/>
        <v>1</v>
      </c>
      <c r="BK37" s="49">
        <f t="shared" si="29"/>
        <v>0.99999648009875997</v>
      </c>
      <c r="BL37" s="49">
        <f t="shared" si="29"/>
        <v>1</v>
      </c>
      <c r="BM37" s="49">
        <f t="shared" si="29"/>
        <v>1</v>
      </c>
      <c r="BN37" s="49">
        <f t="shared" si="30"/>
        <v>1</v>
      </c>
      <c r="BO37" s="63">
        <f t="shared" ref="BO37:BP37" si="64">IFERROR(BO22/$B37,0)</f>
        <v>1.8181818181818184E-9</v>
      </c>
      <c r="BP37" s="63">
        <f t="shared" si="64"/>
        <v>1.8181818181818184E-9</v>
      </c>
      <c r="BQ37" s="71">
        <f>IFERROR(up_RadSpec!$H$22*BQ22,".")*$B$37</f>
        <v>27500</v>
      </c>
      <c r="BR37" s="71">
        <f>IFERROR(up_RadSpec!$H$22*BR22,".")*$B$37</f>
        <v>27500</v>
      </c>
      <c r="BS37" s="49">
        <f t="shared" si="32"/>
        <v>1</v>
      </c>
      <c r="BT37" s="49">
        <f t="shared" si="32"/>
        <v>1</v>
      </c>
    </row>
    <row r="38" spans="1:72" x14ac:dyDescent="0.25">
      <c r="A38" s="48" t="s">
        <v>1080</v>
      </c>
      <c r="B38" s="15">
        <v>1</v>
      </c>
      <c r="C38" s="42"/>
      <c r="D38" s="60">
        <f>IFERROR(D2/$B38,0)</f>
        <v>3.3057851239669421E-8</v>
      </c>
      <c r="E38" s="60">
        <f>IFERROR(E2/$B38,0)</f>
        <v>3.0899917851942918E-4</v>
      </c>
      <c r="F38" s="60">
        <f>IFERROR(F2/$B38,0)</f>
        <v>1.6909254955570753E-4</v>
      </c>
      <c r="G38" s="60">
        <f>IFERROR(G2/$B38,0)</f>
        <v>7.5757575757575769E-12</v>
      </c>
      <c r="H38" s="60">
        <f>IFERROR(H2/$B38,0)</f>
        <v>7.5757575757575769E-12</v>
      </c>
      <c r="I38" s="244">
        <f t="shared" si="10"/>
        <v>30250000</v>
      </c>
      <c r="J38" s="244">
        <f t="shared" si="10"/>
        <v>3236.2545583179349</v>
      </c>
      <c r="K38" s="244">
        <f t="shared" si="10"/>
        <v>5913.9211196916167</v>
      </c>
      <c r="L38" s="244">
        <f t="shared" si="10"/>
        <v>131999999999.99998</v>
      </c>
      <c r="M38" s="244">
        <f t="shared" si="10"/>
        <v>131999999999.99998</v>
      </c>
      <c r="N38" s="63">
        <f>IFERROR(N2/$B38,0)</f>
        <v>3.7874446785707922E-12</v>
      </c>
      <c r="O38" s="71">
        <f>IFERROR(up_RadSpec!$E$2*O2,".")*$B$38</f>
        <v>1512.5</v>
      </c>
      <c r="P38" s="71">
        <f>IFERROR(up_RadSpec!$F$2*P2,".")*B38</f>
        <v>0.16181272791589676</v>
      </c>
      <c r="Q38" s="71">
        <f>IFERROR(up_RadSpec!$G$2*Q2,".")*B38</f>
        <v>0.29569605598458082</v>
      </c>
      <c r="R38" s="71">
        <f>IFERROR(up_RadSpec!$H$2*R2,".")*$B$38</f>
        <v>6600000</v>
      </c>
      <c r="S38" s="71">
        <f>IFERROR(up_RadSpec!$H$2*S2,".")*$B$38</f>
        <v>6600000</v>
      </c>
      <c r="T38" s="49">
        <f t="shared" si="23"/>
        <v>1</v>
      </c>
      <c r="U38" s="49">
        <f t="shared" si="23"/>
        <v>0.14939951664921358</v>
      </c>
      <c r="V38" s="49">
        <f t="shared" si="23"/>
        <v>0.25598646788257673</v>
      </c>
      <c r="W38" s="49">
        <f t="shared" si="23"/>
        <v>1</v>
      </c>
      <c r="X38" s="49">
        <f t="shared" si="23"/>
        <v>1</v>
      </c>
      <c r="Y38" s="49">
        <f t="shared" si="36"/>
        <v>1</v>
      </c>
      <c r="Z38" s="60">
        <f t="shared" ref="Z38:AD38" si="65">IFERROR(Z2/$B38,0)</f>
        <v>1.6909254955570753E-4</v>
      </c>
      <c r="AA38" s="60">
        <f t="shared" si="65"/>
        <v>3.4189433603046168E-4</v>
      </c>
      <c r="AB38" s="60">
        <f t="shared" si="65"/>
        <v>2.3221070518266771E-4</v>
      </c>
      <c r="AC38" s="60">
        <f t="shared" si="65"/>
        <v>1.9301841948900773E-4</v>
      </c>
      <c r="AD38" s="60">
        <f t="shared" si="65"/>
        <v>2.7055190009399764E-3</v>
      </c>
      <c r="AE38" s="71">
        <f>IFERROR(up_RadSpec!$G$2*AE2,".")*$B$38</f>
        <v>0.29569605598458082</v>
      </c>
      <c r="AF38" s="71">
        <f>IFERROR(up_RadSpec!$N$2*AF2,".")*$B$38</f>
        <v>0.14624401381000113</v>
      </c>
      <c r="AG38" s="71">
        <f>IFERROR(up_RadSpec!$O$2*AG2,".")*$B$38</f>
        <v>0.21532168364360155</v>
      </c>
      <c r="AH38" s="71">
        <f>IFERROR(up_RadSpec!$P$2*AH2,".")*$B$38</f>
        <v>0.25904263506233649</v>
      </c>
      <c r="AI38" s="71">
        <f>IFERROR(up_RadSpec!$L$2*AI2,".")*$B$38</f>
        <v>1.8480742505459596E-2</v>
      </c>
      <c r="AJ38" s="49">
        <f t="shared" si="38"/>
        <v>0.25598646788257673</v>
      </c>
      <c r="AK38" s="49">
        <f t="shared" si="25"/>
        <v>0.13605313750388714</v>
      </c>
      <c r="AL38" s="49">
        <f t="shared" si="25"/>
        <v>0.19371796928573737</v>
      </c>
      <c r="AM38" s="49">
        <f t="shared" si="25"/>
        <v>0.22820988297751665</v>
      </c>
      <c r="AN38" s="49">
        <f t="shared" si="25"/>
        <v>1.831102072007873E-2</v>
      </c>
      <c r="AO38" s="60">
        <f t="shared" ref="AO38:AQ38" si="66">IFERROR(AO2/$B38,0)</f>
        <v>9.9740259740259755E-10</v>
      </c>
      <c r="AP38" s="60">
        <f t="shared" si="66"/>
        <v>6.3709090909090908E-6</v>
      </c>
      <c r="AQ38" s="60">
        <f t="shared" si="66"/>
        <v>9.9724647271019672E-10</v>
      </c>
      <c r="AR38" s="71">
        <f>IFERROR(up_RadSpec!$F$2*AR2,".")*$B$38</f>
        <v>50130.208333333328</v>
      </c>
      <c r="AS38" s="71">
        <f>IFERROR(up_RadSpec!$K$2*AS2,".")*$B$38</f>
        <v>7.8481735159817356</v>
      </c>
      <c r="AT38" s="49">
        <f t="shared" si="40"/>
        <v>1</v>
      </c>
      <c r="AU38" s="49">
        <f t="shared" si="40"/>
        <v>0.99960953550549536</v>
      </c>
      <c r="AV38" s="49">
        <f t="shared" si="41"/>
        <v>1</v>
      </c>
      <c r="AW38" s="60">
        <f t="shared" ref="AW38:AZ38" si="67">IFERROR(AW2/$B38,0)</f>
        <v>2.272727272727273E-10</v>
      </c>
      <c r="AX38" s="60">
        <f t="shared" si="67"/>
        <v>3.9818181818181825E-6</v>
      </c>
      <c r="AY38" s="63">
        <f t="shared" si="67"/>
        <v>1.8181818181818183E-7</v>
      </c>
      <c r="AZ38" s="63">
        <f t="shared" si="67"/>
        <v>1.8181818181818183E-7</v>
      </c>
      <c r="BA38" s="244">
        <f t="shared" si="43"/>
        <v>4399999999.999999</v>
      </c>
      <c r="BB38" s="244">
        <f t="shared" si="28"/>
        <v>251141.55251141547</v>
      </c>
      <c r="BC38" s="244">
        <f t="shared" si="28"/>
        <v>5500000</v>
      </c>
      <c r="BD38" s="244">
        <f t="shared" si="28"/>
        <v>5500000</v>
      </c>
      <c r="BE38" s="63">
        <f>IFERROR(BE2/$B38,0)</f>
        <v>2.2669305553255277E-10</v>
      </c>
      <c r="BF38" s="71">
        <f>IFERROR(up_RadSpec!$I$2*BF2,".")*$B$38</f>
        <v>220000</v>
      </c>
      <c r="BG38" s="71">
        <f>IFERROR(up_RadSpec!$M$2*BG2,".")*$B$38</f>
        <v>12.557077625570777</v>
      </c>
      <c r="BH38" s="71">
        <f>IFERROR(up_RadSpec!$H$2*BH2,".")*$B$38</f>
        <v>275</v>
      </c>
      <c r="BI38" s="71">
        <f>IFERROR(up_RadSpec!$H$2*BI2,".")*$B$38</f>
        <v>275</v>
      </c>
      <c r="BJ38" s="49">
        <f t="shared" si="29"/>
        <v>1</v>
      </c>
      <c r="BK38" s="49">
        <f t="shared" si="29"/>
        <v>0.99999648009875997</v>
      </c>
      <c r="BL38" s="49">
        <f t="shared" si="29"/>
        <v>1</v>
      </c>
      <c r="BM38" s="49">
        <f t="shared" si="29"/>
        <v>1</v>
      </c>
      <c r="BN38" s="49">
        <f t="shared" si="30"/>
        <v>1</v>
      </c>
      <c r="BO38" s="63">
        <f t="shared" ref="BO38:BP38" si="68">IFERROR(BO2/$B38,0)</f>
        <v>1.8181818181818184E-9</v>
      </c>
      <c r="BP38" s="63">
        <f t="shared" si="68"/>
        <v>1.8181818181818184E-9</v>
      </c>
      <c r="BQ38" s="71">
        <f>IFERROR(up_RadSpec!$H$2*BQ2,".")*$B$38</f>
        <v>27500</v>
      </c>
      <c r="BR38" s="71">
        <f>IFERROR(up_RadSpec!$H$2*BR2,".")*$B$38</f>
        <v>27500</v>
      </c>
      <c r="BS38" s="49">
        <f t="shared" si="32"/>
        <v>1</v>
      </c>
      <c r="BT38" s="49">
        <f t="shared" si="32"/>
        <v>1</v>
      </c>
    </row>
    <row r="39" spans="1:72" x14ac:dyDescent="0.25">
      <c r="A39" s="48" t="s">
        <v>1081</v>
      </c>
      <c r="B39" s="15">
        <v>1</v>
      </c>
      <c r="C39" s="42"/>
      <c r="D39" s="60">
        <f>IFERROR(D11/$B39,0)</f>
        <v>3.3057851239669421E-8</v>
      </c>
      <c r="E39" s="60">
        <f>IFERROR(E11/$B39,0)</f>
        <v>3.0899917851942918E-4</v>
      </c>
      <c r="F39" s="60">
        <f>IFERROR(F11/$B39,0)</f>
        <v>1.4877122877122876E-4</v>
      </c>
      <c r="G39" s="60">
        <f>IFERROR(G11/$B39,0)</f>
        <v>7.5757575757575769E-12</v>
      </c>
      <c r="H39" s="60">
        <f>IFERROR(H11/$B39,0)</f>
        <v>7.5757575757575769E-12</v>
      </c>
      <c r="I39" s="244">
        <f t="shared" si="10"/>
        <v>30250000</v>
      </c>
      <c r="J39" s="244">
        <f t="shared" si="10"/>
        <v>3236.2545583179349</v>
      </c>
      <c r="K39" s="244">
        <f t="shared" si="10"/>
        <v>6721.7297878055342</v>
      </c>
      <c r="L39" s="244">
        <f t="shared" si="10"/>
        <v>131999999999.99998</v>
      </c>
      <c r="M39" s="244">
        <f t="shared" si="10"/>
        <v>131999999999.99998</v>
      </c>
      <c r="N39" s="63">
        <f>IFERROR(N11/$B39,0)</f>
        <v>3.7874446669829895E-12</v>
      </c>
      <c r="O39" s="71">
        <f>IFERROR(up_RadSpec!$E$11*O11,".")*$B$39</f>
        <v>1512.5</v>
      </c>
      <c r="P39" s="71">
        <f>IFERROR(up_RadSpec!$F$11*P11,".")*B39</f>
        <v>0.16181272791589676</v>
      </c>
      <c r="Q39" s="71">
        <f>IFERROR(up_RadSpec!$G$11*Q11,".")*B39</f>
        <v>0.33608648939027674</v>
      </c>
      <c r="R39" s="71">
        <f>IFERROR(up_RadSpec!$H$11*R11,".")*$B$39</f>
        <v>6600000</v>
      </c>
      <c r="S39" s="71">
        <f>IFERROR(up_RadSpec!$H$11*S11,".")*$B$39</f>
        <v>6600000</v>
      </c>
      <c r="T39" s="49">
        <f t="shared" si="23"/>
        <v>1</v>
      </c>
      <c r="U39" s="49">
        <f t="shared" si="23"/>
        <v>0.14939951664921358</v>
      </c>
      <c r="V39" s="49">
        <f t="shared" si="23"/>
        <v>0.28543869882788087</v>
      </c>
      <c r="W39" s="49">
        <f t="shared" si="23"/>
        <v>1</v>
      </c>
      <c r="X39" s="49">
        <f t="shared" si="23"/>
        <v>1</v>
      </c>
      <c r="Y39" s="49">
        <f t="shared" si="36"/>
        <v>1</v>
      </c>
      <c r="Z39" s="60">
        <f t="shared" ref="Z39:AD39" si="69">IFERROR(Z11/$B39,0)</f>
        <v>1.4877122877122876E-4</v>
      </c>
      <c r="AA39" s="60">
        <f t="shared" si="69"/>
        <v>1.8824477461596578E-4</v>
      </c>
      <c r="AB39" s="60">
        <f t="shared" si="69"/>
        <v>1.4609548724656639E-4</v>
      </c>
      <c r="AC39" s="60">
        <f t="shared" si="69"/>
        <v>1.3916387959866225E-4</v>
      </c>
      <c r="AD39" s="60">
        <f t="shared" si="69"/>
        <v>3.5044063079777365E-4</v>
      </c>
      <c r="AE39" s="71">
        <f>IFERROR(up_RadSpec!$G$11*AE11,".")*$B$39</f>
        <v>0.33608648939027674</v>
      </c>
      <c r="AF39" s="71">
        <f>IFERROR(up_RadSpec!$N$11*AF11,".")*$B$39</f>
        <v>0.26561162243150682</v>
      </c>
      <c r="AG39" s="71">
        <f>IFERROR(up_RadSpec!$O$11*AG11,".")*$B$39</f>
        <v>0.34224191959888983</v>
      </c>
      <c r="AH39" s="71">
        <f>IFERROR(up_RadSpec!$P$11*AH11,".")*$B$39</f>
        <v>0.35928863254025467</v>
      </c>
      <c r="AI39" s="71">
        <f>IFERROR(up_RadSpec!$L$11*AI11,".")*$B$39</f>
        <v>0.14267751968764478</v>
      </c>
      <c r="AJ39" s="49">
        <f t="shared" si="38"/>
        <v>0.28543869882788087</v>
      </c>
      <c r="AK39" s="49">
        <f t="shared" si="25"/>
        <v>0.23326314692301864</v>
      </c>
      <c r="AL39" s="49">
        <f t="shared" si="25"/>
        <v>0.28982362165865705</v>
      </c>
      <c r="AM39" s="49">
        <f t="shared" si="25"/>
        <v>0.30182719312395956</v>
      </c>
      <c r="AN39" s="49">
        <f t="shared" si="25"/>
        <v>0.13296637490837637</v>
      </c>
      <c r="AO39" s="60">
        <f t="shared" ref="AO39:AQ39" si="70">IFERROR(AO11/$B39,0)</f>
        <v>9.9740259740259755E-10</v>
      </c>
      <c r="AP39" s="60">
        <f t="shared" si="70"/>
        <v>6.3709090909090908E-6</v>
      </c>
      <c r="AQ39" s="60">
        <f t="shared" si="70"/>
        <v>9.9724647271019672E-10</v>
      </c>
      <c r="AR39" s="71">
        <f>IFERROR(up_RadSpec!$F$11*AR11,".")*$B$39</f>
        <v>50130.208333333328</v>
      </c>
      <c r="AS39" s="71">
        <f>IFERROR(up_RadSpec!$K$11*AS11,".")*$B$39</f>
        <v>7.8481735159817356</v>
      </c>
      <c r="AT39" s="49">
        <f t="shared" si="40"/>
        <v>1</v>
      </c>
      <c r="AU39" s="49">
        <f t="shared" si="40"/>
        <v>0.99960953550549536</v>
      </c>
      <c r="AV39" s="49">
        <f t="shared" si="41"/>
        <v>1</v>
      </c>
      <c r="AW39" s="60">
        <f t="shared" ref="AW39:AZ39" si="71">IFERROR(AW11/$B39,0)</f>
        <v>2.272727272727273E-10</v>
      </c>
      <c r="AX39" s="60">
        <f t="shared" si="71"/>
        <v>3.9818181818181825E-6</v>
      </c>
      <c r="AY39" s="63">
        <f t="shared" si="71"/>
        <v>1.8181818181818183E-7</v>
      </c>
      <c r="AZ39" s="63">
        <f t="shared" si="71"/>
        <v>1.8181818181818183E-7</v>
      </c>
      <c r="BA39" s="244">
        <f t="shared" si="43"/>
        <v>4399999999.999999</v>
      </c>
      <c r="BB39" s="244">
        <f t="shared" si="28"/>
        <v>251141.55251141547</v>
      </c>
      <c r="BC39" s="244">
        <f t="shared" si="28"/>
        <v>5500000</v>
      </c>
      <c r="BD39" s="244">
        <f t="shared" si="28"/>
        <v>5500000</v>
      </c>
      <c r="BE39" s="63">
        <f>IFERROR(BE11/$B39,0)</f>
        <v>2.2669305553255277E-10</v>
      </c>
      <c r="BF39" s="71">
        <f>IFERROR(up_RadSpec!$I$11*BF11,".")*$B$39</f>
        <v>220000</v>
      </c>
      <c r="BG39" s="71">
        <f>IFERROR(up_RadSpec!$M$11*BG11,".")*$B$39</f>
        <v>12.557077625570777</v>
      </c>
      <c r="BH39" s="71">
        <f>IFERROR(up_RadSpec!$H$11*BH11,".")*$B$39</f>
        <v>275</v>
      </c>
      <c r="BI39" s="71">
        <f>IFERROR(up_RadSpec!$H$11*BI11,".")*$B$39</f>
        <v>275</v>
      </c>
      <c r="BJ39" s="49">
        <f t="shared" si="29"/>
        <v>1</v>
      </c>
      <c r="BK39" s="49">
        <f t="shared" si="29"/>
        <v>0.99999648009875997</v>
      </c>
      <c r="BL39" s="49">
        <f t="shared" si="29"/>
        <v>1</v>
      </c>
      <c r="BM39" s="49">
        <f t="shared" si="29"/>
        <v>1</v>
      </c>
      <c r="BN39" s="49">
        <f t="shared" si="30"/>
        <v>1</v>
      </c>
      <c r="BO39" s="63">
        <f t="shared" ref="BO39:BP39" si="72">IFERROR(BO11/$B39,0)</f>
        <v>1.8181818181818184E-9</v>
      </c>
      <c r="BP39" s="63">
        <f t="shared" si="72"/>
        <v>1.8181818181818184E-9</v>
      </c>
      <c r="BQ39" s="71">
        <f>IFERROR(up_RadSpec!$H$11*BQ11,".")*$B$39</f>
        <v>27500</v>
      </c>
      <c r="BR39" s="71">
        <f>IFERROR(up_RadSpec!$H$11*BR11,".")*$B$39</f>
        <v>27500</v>
      </c>
      <c r="BS39" s="49">
        <f t="shared" si="32"/>
        <v>1</v>
      </c>
      <c r="BT39" s="49">
        <f t="shared" si="32"/>
        <v>1</v>
      </c>
    </row>
    <row r="40" spans="1:72" x14ac:dyDescent="0.25">
      <c r="A40" s="48" t="s">
        <v>1082</v>
      </c>
      <c r="B40" s="15">
        <v>1</v>
      </c>
      <c r="C40" s="42"/>
      <c r="D40" s="60">
        <f>IFERROR(D4/$B40,0)</f>
        <v>3.3057851239669421E-8</v>
      </c>
      <c r="E40" s="60">
        <f>IFERROR(E4/$B40,0)</f>
        <v>3.0899917851942918E-4</v>
      </c>
      <c r="F40" s="60">
        <f>IFERROR(F4/$B40,0)</f>
        <v>8.2585858585858629E-5</v>
      </c>
      <c r="G40" s="60">
        <f>IFERROR(G4/$B40,0)</f>
        <v>7.5757575757575769E-12</v>
      </c>
      <c r="H40" s="60">
        <f>IFERROR(H4/$B40,0)</f>
        <v>7.5757575757575769E-12</v>
      </c>
      <c r="I40" s="244">
        <f t="shared" si="10"/>
        <v>30250000</v>
      </c>
      <c r="J40" s="244">
        <f t="shared" si="10"/>
        <v>3236.2545583179349</v>
      </c>
      <c r="K40" s="244">
        <f t="shared" si="10"/>
        <v>12108.61056751467</v>
      </c>
      <c r="L40" s="244">
        <f t="shared" si="10"/>
        <v>131999999999.99998</v>
      </c>
      <c r="M40" s="244">
        <f t="shared" si="10"/>
        <v>131999999999.99998</v>
      </c>
      <c r="N40" s="63">
        <f>IFERROR(N4/$B40,0)</f>
        <v>3.7874445897096023E-12</v>
      </c>
      <c r="O40" s="71">
        <f>IFERROR(up_RadSpec!$E$4*O4,".")*$B$40</f>
        <v>1512.5</v>
      </c>
      <c r="P40" s="71">
        <f>IFERROR(up_RadSpec!$F$4*P4,".")*B40</f>
        <v>0.16181272791589676</v>
      </c>
      <c r="Q40" s="71">
        <f>IFERROR(up_RadSpec!$G$4*Q4,".")*B40</f>
        <v>0.60543052837573352</v>
      </c>
      <c r="R40" s="71">
        <f>IFERROR(up_RadSpec!$H$4*R4,".")*$B$40</f>
        <v>6600000</v>
      </c>
      <c r="S40" s="71">
        <f>IFERROR(up_RadSpec!$H$4*S4,".")*$B$40</f>
        <v>6600000</v>
      </c>
      <c r="T40" s="49">
        <f t="shared" si="23"/>
        <v>1</v>
      </c>
      <c r="U40" s="49">
        <f t="shared" si="23"/>
        <v>0.14939951664921358</v>
      </c>
      <c r="V40" s="49">
        <f t="shared" si="23"/>
        <v>0.45416062329475748</v>
      </c>
      <c r="W40" s="49">
        <f t="shared" si="23"/>
        <v>1</v>
      </c>
      <c r="X40" s="49">
        <f t="shared" si="23"/>
        <v>1</v>
      </c>
      <c r="Y40" s="49">
        <f t="shared" si="36"/>
        <v>1</v>
      </c>
      <c r="Z40" s="60">
        <f t="shared" ref="Z40:AD40" si="73">IFERROR(Z4/$B40,0)</f>
        <v>8.2585858585858629E-5</v>
      </c>
      <c r="AA40" s="60">
        <f t="shared" si="73"/>
        <v>1.3476923076923084E-4</v>
      </c>
      <c r="AB40" s="60">
        <f t="shared" si="73"/>
        <v>9.6948616600790494E-5</v>
      </c>
      <c r="AC40" s="60">
        <f t="shared" si="73"/>
        <v>8.4393416567329625E-5</v>
      </c>
      <c r="AD40" s="60">
        <f t="shared" si="73"/>
        <v>2.4888664733324921E-4</v>
      </c>
      <c r="AE40" s="71">
        <f>IFERROR(up_RadSpec!$G$4*AE4,".")*$B$40</f>
        <v>0.60543052837573352</v>
      </c>
      <c r="AF40" s="71">
        <f>IFERROR(up_RadSpec!$N$4*AF4,".")*$B$40</f>
        <v>0.37100456621004552</v>
      </c>
      <c r="AG40" s="71">
        <f>IFERROR(up_RadSpec!$O$4*AG4,".")*$B$40</f>
        <v>0.51573711676451417</v>
      </c>
      <c r="AH40" s="71">
        <f>IFERROR(up_RadSpec!$P$4*AH4,".")*$B$40</f>
        <v>0.59246327538013199</v>
      </c>
      <c r="AI40" s="71">
        <f>IFERROR(up_RadSpec!$L$4*AI4,".")*$B$40</f>
        <v>0.20089466645051479</v>
      </c>
      <c r="AJ40" s="49">
        <f t="shared" si="38"/>
        <v>0.45416062329475748</v>
      </c>
      <c r="AK40" s="49">
        <f t="shared" si="25"/>
        <v>0.30995920931959497</v>
      </c>
      <c r="AL40" s="49">
        <f t="shared" si="25"/>
        <v>0.40293967080341675</v>
      </c>
      <c r="AM40" s="49">
        <f t="shared" si="25"/>
        <v>0.44703649564561077</v>
      </c>
      <c r="AN40" s="49">
        <f t="shared" si="25"/>
        <v>0.18200141028896433</v>
      </c>
      <c r="AO40" s="60">
        <f t="shared" ref="AO40:AQ40" si="74">IFERROR(AO4/$B40,0)</f>
        <v>9.9740259740259755E-10</v>
      </c>
      <c r="AP40" s="60">
        <f t="shared" si="74"/>
        <v>6.3709090909090908E-6</v>
      </c>
      <c r="AQ40" s="60">
        <f t="shared" si="74"/>
        <v>9.9724647271019672E-10</v>
      </c>
      <c r="AR40" s="71">
        <f>IFERROR(up_RadSpec!$F$4*AR4,".")*$B$40</f>
        <v>50130.208333333328</v>
      </c>
      <c r="AS40" s="71">
        <f>IFERROR(up_RadSpec!$K$4*AS4,".")*$B$40</f>
        <v>7.8481735159817356</v>
      </c>
      <c r="AT40" s="49">
        <f t="shared" si="40"/>
        <v>1</v>
      </c>
      <c r="AU40" s="49">
        <f t="shared" si="40"/>
        <v>0.99960953550549536</v>
      </c>
      <c r="AV40" s="49">
        <f t="shared" si="41"/>
        <v>1</v>
      </c>
      <c r="AW40" s="60">
        <f t="shared" ref="AW40:AZ40" si="75">IFERROR(AW4/$B40,0)</f>
        <v>2.272727272727273E-10</v>
      </c>
      <c r="AX40" s="60">
        <f t="shared" si="75"/>
        <v>3.9818181818181825E-6</v>
      </c>
      <c r="AY40" s="63">
        <f t="shared" si="75"/>
        <v>1.8181818181818183E-7</v>
      </c>
      <c r="AZ40" s="63">
        <f t="shared" si="75"/>
        <v>1.8181818181818183E-7</v>
      </c>
      <c r="BA40" s="244">
        <f t="shared" si="43"/>
        <v>4399999999.999999</v>
      </c>
      <c r="BB40" s="244">
        <f t="shared" si="28"/>
        <v>251141.55251141547</v>
      </c>
      <c r="BC40" s="244">
        <f t="shared" si="28"/>
        <v>5500000</v>
      </c>
      <c r="BD40" s="244">
        <f t="shared" si="28"/>
        <v>5500000</v>
      </c>
      <c r="BE40" s="63">
        <f>IFERROR(BE4/$B40,0)</f>
        <v>2.2669305553255277E-10</v>
      </c>
      <c r="BF40" s="71">
        <f>IFERROR(up_RadSpec!$I$4*BF4,".")*$B$40</f>
        <v>220000</v>
      </c>
      <c r="BG40" s="71">
        <f>IFERROR(up_RadSpec!$M$4*BG4,".")*$B$40</f>
        <v>12.557077625570777</v>
      </c>
      <c r="BH40" s="71">
        <f>IFERROR(up_RadSpec!$H$4*BH4,".")*$B$40</f>
        <v>275</v>
      </c>
      <c r="BI40" s="71">
        <f>IFERROR(up_RadSpec!$H$4*BI4,".")*$B$40</f>
        <v>275</v>
      </c>
      <c r="BJ40" s="49">
        <f t="shared" si="29"/>
        <v>1</v>
      </c>
      <c r="BK40" s="49">
        <f t="shared" si="29"/>
        <v>0.99999648009875997</v>
      </c>
      <c r="BL40" s="49">
        <f t="shared" si="29"/>
        <v>1</v>
      </c>
      <c r="BM40" s="49">
        <f t="shared" si="29"/>
        <v>1</v>
      </c>
      <c r="BN40" s="49">
        <f t="shared" si="30"/>
        <v>1</v>
      </c>
      <c r="BO40" s="63">
        <f t="shared" ref="BO40:BP40" si="76">IFERROR(BO4/$B40,0)</f>
        <v>1.8181818181818184E-9</v>
      </c>
      <c r="BP40" s="63">
        <f t="shared" si="76"/>
        <v>1.8181818181818184E-9</v>
      </c>
      <c r="BQ40" s="71">
        <f>IFERROR(up_RadSpec!$H$4*BQ4,".")*$B$40</f>
        <v>27500</v>
      </c>
      <c r="BR40" s="71">
        <f>IFERROR(up_RadSpec!$H$4*BR4,".")*$B$40</f>
        <v>27500</v>
      </c>
      <c r="BS40" s="49">
        <f t="shared" si="32"/>
        <v>1</v>
      </c>
      <c r="BT40" s="49">
        <f t="shared" si="32"/>
        <v>1</v>
      </c>
    </row>
    <row r="41" spans="1:72" x14ac:dyDescent="0.25">
      <c r="A41" s="48" t="s">
        <v>1083</v>
      </c>
      <c r="B41" s="50">
        <v>0.99987999999999999</v>
      </c>
      <c r="C41" s="84"/>
      <c r="D41" s="60">
        <f>IFERROR(D8/$B41,0)</f>
        <v>3.3061818657908367E-8</v>
      </c>
      <c r="E41" s="60">
        <f>IFERROR(E8/$B41,0)</f>
        <v>3.0903626287097369E-4</v>
      </c>
      <c r="F41" s="60">
        <f>IFERROR(F8/$B41,0)</f>
        <v>5.2803925622255014E-5</v>
      </c>
      <c r="G41" s="60">
        <f>IFERROR(G8/$B41,0)</f>
        <v>7.5766667757706694E-12</v>
      </c>
      <c r="H41" s="60">
        <f>IFERROR(H8/$B41,0)</f>
        <v>7.5766667757706694E-12</v>
      </c>
      <c r="I41" s="244">
        <f t="shared" si="10"/>
        <v>30246370.000000004</v>
      </c>
      <c r="J41" s="244">
        <f t="shared" si="10"/>
        <v>3235.8662077709369</v>
      </c>
      <c r="K41" s="244">
        <f t="shared" si="10"/>
        <v>18937.985920852348</v>
      </c>
      <c r="L41" s="244">
        <f t="shared" si="10"/>
        <v>131984159999.99998</v>
      </c>
      <c r="M41" s="244">
        <f t="shared" si="10"/>
        <v>131984159999.99998</v>
      </c>
      <c r="N41" s="63">
        <f>IFERROR(N8/$B41,0)</f>
        <v>3.7878990395961628E-12</v>
      </c>
      <c r="O41" s="71">
        <f>IFERROR(up_RadSpec!$E$8*O8,".")*$B$41</f>
        <v>1512.3185000000001</v>
      </c>
      <c r="P41" s="71">
        <f>IFERROR(up_RadSpec!$F$8*P8,".")*B41</f>
        <v>0.16179331038854686</v>
      </c>
      <c r="Q41" s="71">
        <f>IFERROR(up_RadSpec!$G$8*Q8,".")*B41</f>
        <v>0.94689929604261736</v>
      </c>
      <c r="R41" s="71">
        <f>IFERROR(up_RadSpec!$H$8*R8,".")*$B$41</f>
        <v>6599208</v>
      </c>
      <c r="S41" s="71">
        <f>IFERROR(up_RadSpec!$H$8*S8,".")*$B$41</f>
        <v>6599208</v>
      </c>
      <c r="T41" s="49">
        <f t="shared" si="23"/>
        <v>1</v>
      </c>
      <c r="U41" s="49">
        <f t="shared" si="23"/>
        <v>0.14938299993070792</v>
      </c>
      <c r="V41" s="49">
        <f t="shared" si="23"/>
        <v>0.6120579460658726</v>
      </c>
      <c r="W41" s="49">
        <f t="shared" si="23"/>
        <v>1</v>
      </c>
      <c r="X41" s="49">
        <f t="shared" si="23"/>
        <v>1</v>
      </c>
      <c r="Y41" s="49">
        <f t="shared" si="36"/>
        <v>1</v>
      </c>
      <c r="Z41" s="60">
        <f t="shared" ref="Z41:AD41" si="77">IFERROR(Z8/$B41,0)</f>
        <v>5.2803925622255014E-5</v>
      </c>
      <c r="AA41" s="60">
        <f t="shared" si="77"/>
        <v>9.6932155554038061E-5</v>
      </c>
      <c r="AB41" s="60">
        <f t="shared" si="77"/>
        <v>7.0751452795470674E-5</v>
      </c>
      <c r="AC41" s="60">
        <f t="shared" si="77"/>
        <v>6.4867913982563719E-5</v>
      </c>
      <c r="AD41" s="60">
        <f t="shared" si="77"/>
        <v>1.7960422486818002E-4</v>
      </c>
      <c r="AE41" s="71">
        <f>IFERROR(up_RadSpec!$G$8*AE8,".")*$B$41</f>
        <v>0.94689929604261736</v>
      </c>
      <c r="AF41" s="71">
        <f>IFERROR(up_RadSpec!$N$8*AF8,".")*$B$41</f>
        <v>0.51582469939117193</v>
      </c>
      <c r="AG41" s="71">
        <f>IFERROR(up_RadSpec!$O$8*AG8,".")*$B$41</f>
        <v>0.70669926940639261</v>
      </c>
      <c r="AH41" s="71">
        <f>IFERROR(up_RadSpec!$P$8*AH8,".")*$B$41</f>
        <v>0.7707971002958387</v>
      </c>
      <c r="AI41" s="71">
        <f>IFERROR(up_RadSpec!$L$8*AI8,".")*$B$41</f>
        <v>0.27838988774733642</v>
      </c>
      <c r="AJ41" s="49">
        <f t="shared" si="38"/>
        <v>0.6120579460658726</v>
      </c>
      <c r="AK41" s="49">
        <f t="shared" si="25"/>
        <v>0.40299196062544751</v>
      </c>
      <c r="AL41" s="49">
        <f t="shared" si="25"/>
        <v>0.50673033635809328</v>
      </c>
      <c r="AM41" s="49">
        <f t="shared" si="25"/>
        <v>0.53735585248952689</v>
      </c>
      <c r="AN41" s="49">
        <f t="shared" si="25"/>
        <v>0.24299838168567478</v>
      </c>
      <c r="AO41" s="60">
        <f t="shared" ref="AO41:AQ41" si="78">IFERROR(AO8/$B41,0)</f>
        <v>9.9752230007860697E-10</v>
      </c>
      <c r="AP41" s="60">
        <f t="shared" si="78"/>
        <v>6.3716736917521008E-6</v>
      </c>
      <c r="AQ41" s="60">
        <f t="shared" si="78"/>
        <v>9.9736615664899466E-10</v>
      </c>
      <c r="AR41" s="71">
        <f>IFERROR(up_RadSpec!$F$8*AR8,".")*$B$41</f>
        <v>50124.192708333328</v>
      </c>
      <c r="AS41" s="71">
        <f>IFERROR(up_RadSpec!$K$8*AS8,".")*$B$41</f>
        <v>7.8472317351598173</v>
      </c>
      <c r="AT41" s="49">
        <f t="shared" si="40"/>
        <v>1</v>
      </c>
      <c r="AU41" s="49">
        <f t="shared" si="40"/>
        <v>0.99960916760030694</v>
      </c>
      <c r="AV41" s="49">
        <f t="shared" si="41"/>
        <v>1</v>
      </c>
      <c r="AW41" s="60">
        <f t="shared" ref="AW41:AZ41" si="79">IFERROR(AW8/$B41,0)</f>
        <v>2.2730000327312009E-10</v>
      </c>
      <c r="AX41" s="60">
        <f t="shared" si="79"/>
        <v>3.9822960573450638E-6</v>
      </c>
      <c r="AY41" s="63">
        <f t="shared" si="79"/>
        <v>1.8184000261849605E-7</v>
      </c>
      <c r="AZ41" s="63">
        <f t="shared" si="79"/>
        <v>1.8184000261849605E-7</v>
      </c>
      <c r="BA41" s="244">
        <f t="shared" si="43"/>
        <v>4399471999.999999</v>
      </c>
      <c r="BB41" s="244">
        <f t="shared" si="28"/>
        <v>251111.41552511411</v>
      </c>
      <c r="BC41" s="244">
        <f t="shared" si="28"/>
        <v>5499340</v>
      </c>
      <c r="BD41" s="244">
        <f t="shared" si="28"/>
        <v>5499340</v>
      </c>
      <c r="BE41" s="63">
        <f>IFERROR(BE8/$B41,0)</f>
        <v>2.2672026196398844E-10</v>
      </c>
      <c r="BF41" s="71">
        <f>IFERROR(up_RadSpec!$I$8*BF8,".")*$B$41</f>
        <v>219973.6</v>
      </c>
      <c r="BG41" s="71">
        <f>IFERROR(up_RadSpec!$M$8*BG8,".")*$B$41</f>
        <v>12.555570776255708</v>
      </c>
      <c r="BH41" s="71">
        <f>IFERROR(up_RadSpec!$H$8*BH8,".")*$B$41</f>
        <v>274.96699999999998</v>
      </c>
      <c r="BI41" s="71">
        <f>IFERROR(up_RadSpec!$H$8*BI8,".")*$B$41</f>
        <v>274.96699999999998</v>
      </c>
      <c r="BJ41" s="49">
        <f t="shared" si="29"/>
        <v>1</v>
      </c>
      <c r="BK41" s="49">
        <f t="shared" si="29"/>
        <v>0.99999647479080112</v>
      </c>
      <c r="BL41" s="49">
        <f t="shared" si="29"/>
        <v>1</v>
      </c>
      <c r="BM41" s="49">
        <f t="shared" si="29"/>
        <v>1</v>
      </c>
      <c r="BN41" s="49">
        <f t="shared" si="30"/>
        <v>1</v>
      </c>
      <c r="BO41" s="63">
        <f t="shared" ref="BO41:BP41" si="80">IFERROR(BO8/$B41,0)</f>
        <v>1.8184000261849607E-9</v>
      </c>
      <c r="BP41" s="63">
        <f t="shared" si="80"/>
        <v>1.8184000261849607E-9</v>
      </c>
      <c r="BQ41" s="71">
        <f>IFERROR(up_RadSpec!$H$8*BQ8,".")*$B$41</f>
        <v>27496.7</v>
      </c>
      <c r="BR41" s="71">
        <f>IFERROR(up_RadSpec!$H$8*BR8,".")*$B$41</f>
        <v>27496.7</v>
      </c>
      <c r="BS41" s="49">
        <f t="shared" si="32"/>
        <v>1</v>
      </c>
      <c r="BT41" s="49">
        <f t="shared" si="32"/>
        <v>1</v>
      </c>
    </row>
    <row r="42" spans="1:72" x14ac:dyDescent="0.25">
      <c r="A42" s="48" t="s">
        <v>1084</v>
      </c>
      <c r="B42" s="15">
        <v>0.97898250799999997</v>
      </c>
      <c r="C42" s="42"/>
      <c r="D42" s="60">
        <f>IFERROR(D19/$B42,0)</f>
        <v>3.3767560676037556E-8</v>
      </c>
      <c r="E42" s="60">
        <f>IFERROR(E19/$B42,0)</f>
        <v>3.156329924123927E-4</v>
      </c>
      <c r="F42" s="60">
        <f>IFERROR(F19/$B42,0)</f>
        <v>3.7334275877263395E-5</v>
      </c>
      <c r="G42" s="60">
        <f>IFERROR(G19/$B42,0)</f>
        <v>7.7383993215919414E-12</v>
      </c>
      <c r="H42" s="60">
        <f>IFERROR(H19/$B42,0)</f>
        <v>7.7383993215919414E-12</v>
      </c>
      <c r="I42" s="244">
        <f t="shared" si="10"/>
        <v>29614220.866999999</v>
      </c>
      <c r="J42" s="244">
        <f t="shared" si="10"/>
        <v>3168.2366040285242</v>
      </c>
      <c r="K42" s="244">
        <f t="shared" si="10"/>
        <v>26785.038051561645</v>
      </c>
      <c r="L42" s="244">
        <f t="shared" si="10"/>
        <v>129225691055.99997</v>
      </c>
      <c r="M42" s="244">
        <f t="shared" si="10"/>
        <v>129225691055.99997</v>
      </c>
      <c r="N42" s="63">
        <f>IFERROR(N19/$B42,0)</f>
        <v>3.8687559174768515E-12</v>
      </c>
      <c r="O42" s="72">
        <f>IFERROR(up_RadSpec!$E$19*O19,".")*$B$42</f>
        <v>1480.71104335</v>
      </c>
      <c r="P42" s="72">
        <f>IFERROR(up_RadSpec!$F$19*P19,".")*B42</f>
        <v>0.15841183020142621</v>
      </c>
      <c r="Q42" s="72">
        <f>IFERROR(up_RadSpec!$G$19*Q19,".")*B42</f>
        <v>1.339251902578082</v>
      </c>
      <c r="R42" s="72">
        <f>IFERROR(up_RadSpec!$H$19*R19,".")*$B$42</f>
        <v>6461284.5527999997</v>
      </c>
      <c r="S42" s="72">
        <f>IFERROR(up_RadSpec!$H$19*S19,".")*$B$42</f>
        <v>6461284.5527999997</v>
      </c>
      <c r="T42" s="49">
        <f t="shared" si="23"/>
        <v>1</v>
      </c>
      <c r="U42" s="49">
        <f t="shared" si="23"/>
        <v>0.14650178676093484</v>
      </c>
      <c r="V42" s="49">
        <f t="shared" si="23"/>
        <v>0.73795837206086223</v>
      </c>
      <c r="W42" s="49">
        <f t="shared" si="23"/>
        <v>1</v>
      </c>
      <c r="X42" s="49">
        <f t="shared" si="23"/>
        <v>1</v>
      </c>
      <c r="Y42" s="49">
        <f t="shared" si="36"/>
        <v>1</v>
      </c>
      <c r="Z42" s="60">
        <f t="shared" ref="Z42:AD42" si="81">IFERROR(Z19/$B42,0)</f>
        <v>3.7334275877263395E-5</v>
      </c>
      <c r="AA42" s="60">
        <f t="shared" si="81"/>
        <v>7.4048936703994229E-5</v>
      </c>
      <c r="AB42" s="60">
        <f t="shared" si="81"/>
        <v>5.1330664881774289E-5</v>
      </c>
      <c r="AC42" s="60">
        <f t="shared" si="81"/>
        <v>4.2871568825329785E-5</v>
      </c>
      <c r="AD42" s="60">
        <f t="shared" si="81"/>
        <v>1.2751430676891291E-4</v>
      </c>
      <c r="AE42" s="72">
        <f>IFERROR(up_RadSpec!$G$19*AE19,".")*$B$42</f>
        <v>1.339251902578082</v>
      </c>
      <c r="AF42" s="72">
        <f>IFERROR(up_RadSpec!$N$19*AF19,".")*$B$42</f>
        <v>0.67522914204523588</v>
      </c>
      <c r="AG42" s="72">
        <f>IFERROR(up_RadSpec!$O$19*AG19,".")*$B$42</f>
        <v>0.97407660927753226</v>
      </c>
      <c r="AH42" s="72">
        <f>IFERROR(up_RadSpec!$P$19*AH19,".")*$B$42</f>
        <v>1.1662740918979044</v>
      </c>
      <c r="AI42" s="72">
        <f>IFERROR(up_RadSpec!$L$19*AI19,".")*$B$42</f>
        <v>0.39211286377937354</v>
      </c>
      <c r="AJ42" s="49">
        <f t="shared" si="38"/>
        <v>0.73795837206086223</v>
      </c>
      <c r="AK42" s="49">
        <f t="shared" si="25"/>
        <v>0.49096023517013165</v>
      </c>
      <c r="AL42" s="49">
        <f t="shared" si="25"/>
        <v>0.62245918966085934</v>
      </c>
      <c r="AM42" s="49">
        <f t="shared" si="25"/>
        <v>0.68847450303769586</v>
      </c>
      <c r="AN42" s="49">
        <f t="shared" si="25"/>
        <v>0.32437214425593752</v>
      </c>
      <c r="AO42" s="60">
        <f t="shared" ref="AO42:AQ42" si="82">IFERROR(AO19/$B42,0)</f>
        <v>1.0188155449684475E-9</v>
      </c>
      <c r="AP42" s="60">
        <f t="shared" si="82"/>
        <v>6.5076842934859581E-6</v>
      </c>
      <c r="AQ42" s="60">
        <f t="shared" si="82"/>
        <v>1.0186560684802315E-9</v>
      </c>
      <c r="AR42" s="72">
        <f>IFERROR(up_RadSpec!$F$19*AR19,".")*$B$42</f>
        <v>49076.59708072916</v>
      </c>
      <c r="AS42" s="72">
        <f>IFERROR(up_RadSpec!$K$19*AS19,".")*$B$42</f>
        <v>7.6832245918949775</v>
      </c>
      <c r="AT42" s="49">
        <f t="shared" si="40"/>
        <v>1</v>
      </c>
      <c r="AU42" s="49">
        <f t="shared" si="40"/>
        <v>0.99953951238250627</v>
      </c>
      <c r="AV42" s="49">
        <f t="shared" si="41"/>
        <v>1</v>
      </c>
      <c r="AW42" s="60">
        <f t="shared" ref="AW42:AZ42" si="83">IFERROR(AW19/$B42,0)</f>
        <v>2.3215197964775822E-10</v>
      </c>
      <c r="AX42" s="60">
        <f t="shared" si="83"/>
        <v>4.0673026834287246E-6</v>
      </c>
      <c r="AY42" s="63">
        <f t="shared" si="83"/>
        <v>1.8572158371820656E-7</v>
      </c>
      <c r="AZ42" s="63">
        <f t="shared" si="83"/>
        <v>1.8572158371820656E-7</v>
      </c>
      <c r="BA42" s="244">
        <f t="shared" si="43"/>
        <v>4307523035.1999998</v>
      </c>
      <c r="BB42" s="244">
        <f t="shared" si="28"/>
        <v>245863.18694063922</v>
      </c>
      <c r="BC42" s="244">
        <f t="shared" si="28"/>
        <v>5384403.7939999998</v>
      </c>
      <c r="BD42" s="244">
        <f t="shared" si="28"/>
        <v>5384403.7939999998</v>
      </c>
      <c r="BE42" s="63">
        <f>IFERROR(BE19/$B42,0)</f>
        <v>2.3155986310283776E-10</v>
      </c>
      <c r="BF42" s="72">
        <f>IFERROR(up_RadSpec!$I$19*BF19,".")*$B$42</f>
        <v>215376.15176000001</v>
      </c>
      <c r="BG42" s="72">
        <f>IFERROR(up_RadSpec!$M$19*BG19,".")*$B$42</f>
        <v>12.293159347031963</v>
      </c>
      <c r="BH42" s="72">
        <f>IFERROR(up_RadSpec!$H$19*BH19,".")*$B$42</f>
        <v>269.22018969999999</v>
      </c>
      <c r="BI42" s="72">
        <f>IFERROR(up_RadSpec!$H$19*BI19,".")*$B$42</f>
        <v>269.22018969999999</v>
      </c>
      <c r="BJ42" s="49">
        <f t="shared" si="29"/>
        <v>1</v>
      </c>
      <c r="BK42" s="49">
        <f t="shared" si="29"/>
        <v>0.99999541701189099</v>
      </c>
      <c r="BL42" s="49">
        <f t="shared" si="29"/>
        <v>1</v>
      </c>
      <c r="BM42" s="49">
        <f t="shared" si="29"/>
        <v>1</v>
      </c>
      <c r="BN42" s="49">
        <f t="shared" si="30"/>
        <v>1</v>
      </c>
      <c r="BO42" s="63">
        <f t="shared" ref="BO42:BP42" si="84">IFERROR(BO19/$B42,0)</f>
        <v>1.8572158371820657E-9</v>
      </c>
      <c r="BP42" s="63">
        <f t="shared" si="84"/>
        <v>1.8572158371820657E-9</v>
      </c>
      <c r="BQ42" s="72">
        <f>IFERROR(up_RadSpec!$H$19*BQ19,".")*$B$42</f>
        <v>26922.018970000001</v>
      </c>
      <c r="BR42" s="72">
        <f>IFERROR(up_RadSpec!$H$19*BR19,".")*$B$42</f>
        <v>26922.018970000001</v>
      </c>
      <c r="BS42" s="49">
        <f t="shared" si="32"/>
        <v>1</v>
      </c>
      <c r="BT42" s="49">
        <f t="shared" si="32"/>
        <v>1</v>
      </c>
    </row>
    <row r="43" spans="1:72" x14ac:dyDescent="0.25">
      <c r="A43" s="48" t="s">
        <v>1085</v>
      </c>
      <c r="B43" s="15">
        <v>2.0897492E-2</v>
      </c>
      <c r="C43" s="42"/>
      <c r="D43" s="60">
        <f>IFERROR(D28/$B43,0)</f>
        <v>1.5819051989429843E-6</v>
      </c>
      <c r="E43" s="60">
        <f>IFERROR(E28/$B43,0)</f>
        <v>1.4786424060812138E-2</v>
      </c>
      <c r="F43" s="60">
        <f>IFERROR(F28/$B43,0)</f>
        <v>1.244752449535734E-3</v>
      </c>
      <c r="G43" s="60">
        <f>IFERROR(G28/$B43,0)</f>
        <v>3.6251994142443396E-10</v>
      </c>
      <c r="H43" s="60">
        <f>IFERROR(H28/$B43,0)</f>
        <v>3.6251994142443396E-10</v>
      </c>
      <c r="I43" s="244">
        <f t="shared" si="10"/>
        <v>632149.13300000003</v>
      </c>
      <c r="J43" s="244">
        <f t="shared" si="10"/>
        <v>67.629603742412584</v>
      </c>
      <c r="K43" s="244">
        <f t="shared" si="10"/>
        <v>803.37259056849302</v>
      </c>
      <c r="L43" s="244">
        <f t="shared" si="10"/>
        <v>2758468943.9999995</v>
      </c>
      <c r="M43" s="244">
        <f t="shared" si="10"/>
        <v>2758468943.9999995</v>
      </c>
      <c r="N43" s="63">
        <f>IFERROR(N28/$B43,0)</f>
        <v>1.8123917510975421E-10</v>
      </c>
      <c r="O43" s="72">
        <f>IFERROR(up_RadSpec!E28*O28,".")*$B$43</f>
        <v>31.60745665</v>
      </c>
      <c r="P43" s="72">
        <f>IFERROR(up_RadSpec!H28*P28,".")*B43</f>
        <v>3.3814801871206294E-3</v>
      </c>
      <c r="Q43" s="72">
        <f>IFERROR(up_RadSpec!G28*Q28,".")*B43</f>
        <v>4.0168629528424663E-2</v>
      </c>
      <c r="R43" s="72">
        <f>IFERROR(up_RadSpec!$H$28*R28,".")*$B$43</f>
        <v>137923.4472</v>
      </c>
      <c r="S43" s="72">
        <f>IFERROR(up_RadSpec!$H$28*S28,".")*$B$43</f>
        <v>137923.4472</v>
      </c>
      <c r="T43" s="49">
        <f t="shared" si="23"/>
        <v>0.99999999999998124</v>
      </c>
      <c r="U43" s="49">
        <f t="shared" si="23"/>
        <v>3.3814801871206294E-3</v>
      </c>
      <c r="V43" s="49">
        <f t="shared" si="23"/>
        <v>3.9372564658019527E-2</v>
      </c>
      <c r="W43" s="49">
        <f t="shared" si="23"/>
        <v>1</v>
      </c>
      <c r="X43" s="49">
        <f t="shared" si="23"/>
        <v>1</v>
      </c>
      <c r="Y43" s="49">
        <f t="shared" si="36"/>
        <v>1</v>
      </c>
      <c r="Z43" s="60">
        <f t="shared" ref="Z43:AD43" si="85">IFERROR(Z28/$B43,0)</f>
        <v>1.244752449535734E-3</v>
      </c>
      <c r="AA43" s="60">
        <f t="shared" si="85"/>
        <v>2.7756240506474133E-3</v>
      </c>
      <c r="AB43" s="60">
        <f t="shared" si="85"/>
        <v>1.9270845128969143E-3</v>
      </c>
      <c r="AC43" s="60">
        <f t="shared" si="85"/>
        <v>1.6684751996732272E-3</v>
      </c>
      <c r="AD43" s="60">
        <f t="shared" si="85"/>
        <v>4.8794493601554681E-3</v>
      </c>
      <c r="AE43" s="72">
        <f>IFERROR(up_RadSpec!$G$28*AE28,".")*$B$43</f>
        <v>4.0168629528424663E-2</v>
      </c>
      <c r="AF43" s="72">
        <f>IFERROR(up_RadSpec!$N$28*AF28,".")*$B$43</f>
        <v>1.8013966980988481E-2</v>
      </c>
      <c r="AG43" s="72">
        <f>IFERROR(up_RadSpec!$O$28*AG28,".")*$B$43</f>
        <v>2.5945930064497726E-2</v>
      </c>
      <c r="AH43" s="72">
        <f>IFERROR(up_RadSpec!$P$28*AH28,".")*$B$43</f>
        <v>2.9967481692141761E-2</v>
      </c>
      <c r="AI43" s="72">
        <f>IFERROR(up_RadSpec!$L$28*AI28,".")*$B$43</f>
        <v>1.0247057876712325E-2</v>
      </c>
      <c r="AJ43" s="49">
        <f t="shared" si="38"/>
        <v>3.9372564658019527E-2</v>
      </c>
      <c r="AK43" s="49">
        <f t="shared" si="25"/>
        <v>1.7852685370367993E-2</v>
      </c>
      <c r="AL43" s="49">
        <f t="shared" si="25"/>
        <v>2.5612226731509757E-2</v>
      </c>
      <c r="AM43" s="49">
        <f t="shared" si="25"/>
        <v>2.9522908691772543E-2</v>
      </c>
      <c r="AN43" s="49">
        <f t="shared" si="25"/>
        <v>1.0194735647955477E-2</v>
      </c>
      <c r="AO43" s="60">
        <f t="shared" ref="AO43:AQ43" si="86">IFERROR(AO28/$B43,0)</f>
        <v>4.7728339716679759E-8</v>
      </c>
      <c r="AP43" s="60">
        <f t="shared" si="86"/>
        <v>3.0486476994029193E-4</v>
      </c>
      <c r="AQ43" s="60">
        <f t="shared" si="86"/>
        <v>4.7720868739186342E-8</v>
      </c>
      <c r="AR43" s="72">
        <f>IFERROR(up_RadSpec!$F$28*AR28,".")*$B$43</f>
        <v>1047.5956276041666</v>
      </c>
      <c r="AS43" s="72">
        <f>IFERROR(up_RadSpec!$K$28*AS28,".")*$B$43</f>
        <v>0.1640071432648402</v>
      </c>
      <c r="AT43" s="49">
        <f t="shared" si="40"/>
        <v>1</v>
      </c>
      <c r="AU43" s="49">
        <f t="shared" si="40"/>
        <v>0.15126404088718259</v>
      </c>
      <c r="AV43" s="49">
        <f t="shared" si="41"/>
        <v>1</v>
      </c>
      <c r="AW43" s="60">
        <f t="shared" ref="AW43:AZ43" si="87">IFERROR(AW28/$B43,0)</f>
        <v>1.0875598242733018E-8</v>
      </c>
      <c r="AX43" s="60">
        <f t="shared" si="87"/>
        <v>1.9054048121268247E-4</v>
      </c>
      <c r="AY43" s="63">
        <f t="shared" si="87"/>
        <v>8.7004785941864133E-6</v>
      </c>
      <c r="AZ43" s="63">
        <f t="shared" si="87"/>
        <v>8.7004785941864133E-6</v>
      </c>
      <c r="BA43" s="244">
        <f t="shared" si="43"/>
        <v>91948964.799999997</v>
      </c>
      <c r="BB43" s="244">
        <f t="shared" si="28"/>
        <v>5248.2285844748858</v>
      </c>
      <c r="BC43" s="244">
        <f t="shared" si="28"/>
        <v>114936.20600000001</v>
      </c>
      <c r="BD43" s="244">
        <f t="shared" si="28"/>
        <v>114936.20600000001</v>
      </c>
      <c r="BE43" s="63">
        <f>IFERROR(BE28/$B43,0)</f>
        <v>1.0847859424114279E-8</v>
      </c>
      <c r="BF43" s="72">
        <f>IFERROR(up_RadSpec!$I$28*BF28,".")*$B$43</f>
        <v>4597.4482399999997</v>
      </c>
      <c r="BG43" s="72">
        <f>IFERROR(up_RadSpec!$M$28*BG28,".")*$B$43</f>
        <v>0.26241142922374433</v>
      </c>
      <c r="BH43" s="72">
        <f>IFERROR(up_RadSpec!$H$28*BH28,".")*$B$43</f>
        <v>5.7468102999999999</v>
      </c>
      <c r="BI43" s="72">
        <f>IFERROR(up_RadSpec!$H$28*BI28,".")*$B$43</f>
        <v>5.7468102999999999</v>
      </c>
      <c r="BJ43" s="49">
        <f t="shared" si="29"/>
        <v>1</v>
      </c>
      <c r="BK43" s="49">
        <f t="shared" si="29"/>
        <v>0.23080551049539511</v>
      </c>
      <c r="BL43" s="49">
        <f t="shared" si="29"/>
        <v>0.99680705087925303</v>
      </c>
      <c r="BM43" s="49">
        <f t="shared" si="29"/>
        <v>0.99680705087925303</v>
      </c>
      <c r="BN43" s="49">
        <f t="shared" si="30"/>
        <v>1</v>
      </c>
      <c r="BO43" s="63">
        <f t="shared" ref="BO43:BP43" si="88">IFERROR(BO28/$B43,0)</f>
        <v>8.700478594186414E-8</v>
      </c>
      <c r="BP43" s="63">
        <f t="shared" si="88"/>
        <v>8.700478594186414E-8</v>
      </c>
      <c r="BQ43" s="72">
        <f>IFERROR(up_RadSpec!$H$28*BQ28,".")*$B$43</f>
        <v>574.68102999999996</v>
      </c>
      <c r="BR43" s="72">
        <f>IFERROR(up_RadSpec!$H$28*BR28,".")*$B$43</f>
        <v>574.68102999999996</v>
      </c>
      <c r="BS43" s="49">
        <f t="shared" si="32"/>
        <v>1</v>
      </c>
      <c r="BT43" s="49">
        <f t="shared" si="32"/>
        <v>1</v>
      </c>
    </row>
    <row r="44" spans="1:72" x14ac:dyDescent="0.25">
      <c r="A44" s="48" t="s">
        <v>1086</v>
      </c>
      <c r="B44" s="15">
        <v>0.99987999999999999</v>
      </c>
      <c r="C44" s="42"/>
      <c r="D44" s="60">
        <f>IFERROR(D15/$B44,0)</f>
        <v>3.3061818657908367E-8</v>
      </c>
      <c r="E44" s="60">
        <f>IFERROR(E15/$B44,0)</f>
        <v>3.0903626287097369E-4</v>
      </c>
      <c r="F44" s="60">
        <f>IFERROR(F15/$B44,0)</f>
        <v>0</v>
      </c>
      <c r="G44" s="60">
        <f>IFERROR(G15/$B44,0)</f>
        <v>7.5766667757706694E-12</v>
      </c>
      <c r="H44" s="60">
        <f>IFERROR(H15/$B44,0)</f>
        <v>7.5766667757706694E-12</v>
      </c>
      <c r="I44" s="244">
        <f t="shared" si="10"/>
        <v>30246370.000000004</v>
      </c>
      <c r="J44" s="244">
        <f t="shared" si="10"/>
        <v>3235.8662077709369</v>
      </c>
      <c r="K44" s="244">
        <f t="shared" si="10"/>
        <v>0</v>
      </c>
      <c r="L44" s="244">
        <f t="shared" si="10"/>
        <v>131984159999.99998</v>
      </c>
      <c r="M44" s="244">
        <f t="shared" si="10"/>
        <v>131984159999.99998</v>
      </c>
      <c r="N44" s="63">
        <f>IFERROR(N15/$B44,0)</f>
        <v>3.7878993113217976E-12</v>
      </c>
      <c r="O44" s="71">
        <f>IFERROR(up_RadSpec!$E$15*O15,".")*$B$44</f>
        <v>1512.3185000000001</v>
      </c>
      <c r="P44" s="71">
        <f>IFERROR(up_RadSpec!$F$15*P15,".")*B44</f>
        <v>0.16179331038854686</v>
      </c>
      <c r="Q44" s="71">
        <f>IFERROR(up_RadSpec!$G$15*Q15,".")*B44</f>
        <v>0</v>
      </c>
      <c r="R44" s="71">
        <f>IFERROR(up_RadSpec!$H$15*R15,".")*$B$44</f>
        <v>6599208</v>
      </c>
      <c r="S44" s="71">
        <f>IFERROR(up_RadSpec!$H$15*S15,".")*$B$44</f>
        <v>6599208</v>
      </c>
      <c r="T44" s="49">
        <f t="shared" si="23"/>
        <v>1</v>
      </c>
      <c r="U44" s="49">
        <f t="shared" si="23"/>
        <v>0.14938299993070792</v>
      </c>
      <c r="V44" s="49">
        <f t="shared" si="23"/>
        <v>0</v>
      </c>
      <c r="W44" s="49">
        <f t="shared" si="23"/>
        <v>1</v>
      </c>
      <c r="X44" s="49">
        <f t="shared" si="23"/>
        <v>1</v>
      </c>
      <c r="Y44" s="49">
        <f t="shared" si="36"/>
        <v>1</v>
      </c>
      <c r="Z44" s="60">
        <f t="shared" ref="Z44:AD44" si="89">IFERROR(Z15/$B44,0)</f>
        <v>0</v>
      </c>
      <c r="AA44" s="60">
        <f t="shared" si="89"/>
        <v>0</v>
      </c>
      <c r="AB44" s="60">
        <f t="shared" si="89"/>
        <v>0</v>
      </c>
      <c r="AC44" s="60">
        <f t="shared" si="89"/>
        <v>0</v>
      </c>
      <c r="AD44" s="60">
        <f t="shared" si="89"/>
        <v>0</v>
      </c>
      <c r="AE44" s="71">
        <f>IFERROR(up_RadSpec!$G$15*AE15,".")*$B$44</f>
        <v>0</v>
      </c>
      <c r="AF44" s="71">
        <f>IFERROR(up_RadSpec!$N$15*AF15,".")*$B$44</f>
        <v>0</v>
      </c>
      <c r="AG44" s="71">
        <f>IFERROR(up_RadSpec!$O$15*AG15,".")*$B$44</f>
        <v>0</v>
      </c>
      <c r="AH44" s="71">
        <f>IFERROR(up_RadSpec!$P$15*AH15,".")*$B$44</f>
        <v>0</v>
      </c>
      <c r="AI44" s="71">
        <f>IFERROR(up_RadSpec!$L$15*AI15,".")*$B$44</f>
        <v>0</v>
      </c>
      <c r="AJ44" s="49">
        <f t="shared" si="38"/>
        <v>0</v>
      </c>
      <c r="AK44" s="49">
        <f t="shared" si="25"/>
        <v>0</v>
      </c>
      <c r="AL44" s="49">
        <f t="shared" si="25"/>
        <v>0</v>
      </c>
      <c r="AM44" s="49">
        <f t="shared" si="25"/>
        <v>0</v>
      </c>
      <c r="AN44" s="49">
        <f t="shared" si="25"/>
        <v>0</v>
      </c>
      <c r="AO44" s="60">
        <f t="shared" ref="AO44:AQ44" si="90">IFERROR(AO15/$B44,0)</f>
        <v>9.9752230007860697E-10</v>
      </c>
      <c r="AP44" s="60">
        <f t="shared" si="90"/>
        <v>6.3716736917521008E-6</v>
      </c>
      <c r="AQ44" s="60">
        <f t="shared" si="90"/>
        <v>9.9736615664899466E-10</v>
      </c>
      <c r="AR44" s="71">
        <f>IFERROR(up_RadSpec!$F$15*AR15,".")*$B$44</f>
        <v>50124.192708333328</v>
      </c>
      <c r="AS44" s="71">
        <f>IFERROR(up_RadSpec!$K$15*AS15,".")*$B$44</f>
        <v>7.8472317351598173</v>
      </c>
      <c r="AT44" s="49">
        <f t="shared" si="40"/>
        <v>1</v>
      </c>
      <c r="AU44" s="49">
        <f t="shared" si="40"/>
        <v>0.99960916760030694</v>
      </c>
      <c r="AV44" s="49">
        <f t="shared" si="41"/>
        <v>1</v>
      </c>
      <c r="AW44" s="60">
        <f t="shared" ref="AW44:AZ44" si="91">IFERROR(AW15/$B44,0)</f>
        <v>2.2730000327312009E-10</v>
      </c>
      <c r="AX44" s="60">
        <f t="shared" si="91"/>
        <v>3.9822960573450638E-6</v>
      </c>
      <c r="AY44" s="63">
        <f t="shared" si="91"/>
        <v>1.8184000261849605E-7</v>
      </c>
      <c r="AZ44" s="63">
        <f t="shared" si="91"/>
        <v>1.8184000261849605E-7</v>
      </c>
      <c r="BA44" s="244">
        <f t="shared" si="43"/>
        <v>4399471999.999999</v>
      </c>
      <c r="BB44" s="244">
        <f t="shared" si="28"/>
        <v>251111.41552511411</v>
      </c>
      <c r="BC44" s="244">
        <f t="shared" si="28"/>
        <v>5499340</v>
      </c>
      <c r="BD44" s="244">
        <f t="shared" si="28"/>
        <v>5499340</v>
      </c>
      <c r="BE44" s="63">
        <f>IFERROR(BE15/$B44,0)</f>
        <v>2.2672026196398844E-10</v>
      </c>
      <c r="BF44" s="71">
        <f>IFERROR(up_RadSpec!$I$15*BF15,".")*$B$44</f>
        <v>219973.6</v>
      </c>
      <c r="BG44" s="71">
        <f>IFERROR(up_RadSpec!$M$15*BG15,".")*$B$44</f>
        <v>12.555570776255708</v>
      </c>
      <c r="BH44" s="71">
        <f>IFERROR(up_RadSpec!$H$15*BH15,".")*$B$44</f>
        <v>274.96699999999998</v>
      </c>
      <c r="BI44" s="71">
        <f>IFERROR(up_RadSpec!$H$15*BI15,".")*$B$44</f>
        <v>274.96699999999998</v>
      </c>
      <c r="BJ44" s="49">
        <f t="shared" si="29"/>
        <v>1</v>
      </c>
      <c r="BK44" s="49">
        <f t="shared" si="29"/>
        <v>0.99999647479080112</v>
      </c>
      <c r="BL44" s="49">
        <f t="shared" si="29"/>
        <v>1</v>
      </c>
      <c r="BM44" s="49">
        <f t="shared" si="29"/>
        <v>1</v>
      </c>
      <c r="BN44" s="49">
        <f t="shared" si="30"/>
        <v>1</v>
      </c>
      <c r="BO44" s="63">
        <f t="shared" ref="BO44:BP44" si="92">IFERROR(BO15/$B44,0)</f>
        <v>1.8184000261849607E-9</v>
      </c>
      <c r="BP44" s="63">
        <f t="shared" si="92"/>
        <v>1.8184000261849607E-9</v>
      </c>
      <c r="BQ44" s="71">
        <f>IFERROR(up_RadSpec!$H$15*BQ15,".")*$B$44</f>
        <v>27496.7</v>
      </c>
      <c r="BR44" s="71">
        <f>IFERROR(up_RadSpec!$H$15*BR15,".")*$B$44</f>
        <v>27496.7</v>
      </c>
      <c r="BS44" s="49">
        <f t="shared" si="32"/>
        <v>1</v>
      </c>
      <c r="BT44" s="49">
        <f t="shared" si="32"/>
        <v>1</v>
      </c>
    </row>
    <row r="45" spans="1:72" x14ac:dyDescent="0.25">
      <c r="A45" s="57" t="s">
        <v>20</v>
      </c>
      <c r="B45" s="57" t="s">
        <v>1255</v>
      </c>
      <c r="C45" s="57"/>
      <c r="D45" s="58">
        <f>IFERROR(IF(AND(D46&lt;&gt;0,D47&lt;&gt;0),1/SUM(1/D46,1/D47),IF(AND(D46&lt;&gt;0,D47=0),1/(1/D46),IF(AND(D46=0,D47&lt;&gt;0),1/(1/D47),IF(AND(D46=0,D47=0),".")))),".")</f>
        <v>1.70051549851951E-8</v>
      </c>
      <c r="E45" s="58">
        <f t="shared" ref="E45:F45" si="93">IFERROR(IF(AND(E46&lt;&gt;0,E47&lt;&gt;0),1/SUM(1/E46,1/E47),IF(AND(E46&lt;&gt;0,E47=0),1/(1/E46),IF(AND(E46=0,E47&lt;&gt;0),1/(1/E47),IF(AND(E46=0,E47=0),".")))),".")</f>
        <v>1.5895101236088104E-4</v>
      </c>
      <c r="F45" s="58">
        <f t="shared" si="93"/>
        <v>2.3619228255008185E-5</v>
      </c>
      <c r="G45" s="58">
        <f>IFERROR(IF(AND(G46&lt;&gt;0,G47&lt;&gt;0),1/SUM(1/G46,1/G47),IF(AND(G46&lt;&gt;0,G47=0),1/(1/G46),IF(AND(G46=0,G47&lt;&gt;0),1/(1/G47),IF(AND(G46=0,G47=0),".")))),".")</f>
        <v>3.8970146841072113E-12</v>
      </c>
      <c r="H45" s="58">
        <f>IFERROR(IF(AND(H46&lt;&gt;0,H47&lt;&gt;0),1/SUM(1/H46,1/H47),IF(AND(H46&lt;&gt;0,H47=0),1/(1/H46),IF(AND(H46=0,H47&lt;&gt;0),1/(1/H47),IF(AND(H46=0,H47=0),".")))),".")</f>
        <v>3.8970146841072113E-12</v>
      </c>
      <c r="I45" s="244">
        <f t="shared" si="10"/>
        <v>58805697.5</v>
      </c>
      <c r="J45" s="244">
        <f t="shared" si="10"/>
        <v>6291.2464988244828</v>
      </c>
      <c r="K45" s="244">
        <f t="shared" si="10"/>
        <v>42338.385877953551</v>
      </c>
      <c r="L45" s="244">
        <f t="shared" si="10"/>
        <v>256606679999.99994</v>
      </c>
      <c r="M45" s="244">
        <f t="shared" si="10"/>
        <v>256606679999.99994</v>
      </c>
      <c r="N45" s="58">
        <f>IFERROR(IF(AND(N46&lt;&gt;0,N47&lt;&gt;0),1/SUM(1/N46,1/N47),IF(AND(N46&lt;&gt;0,N47=0),1/(1/N46),IF(AND(N46=0,N47&lt;&gt;0),1/(1/N47),IF(AND(N46=0,N47=0),".")))),".")</f>
        <v>1.9482839165781403E-12</v>
      </c>
      <c r="O45" s="70"/>
      <c r="P45" s="70"/>
      <c r="Q45" s="70"/>
      <c r="R45" s="70"/>
      <c r="S45" s="70"/>
      <c r="T45" s="47">
        <f>IFERROR(IF(SUM(O46:O47)&gt;0.01,1-EXP(-SUM(O46:O47)),SUM(O46:O47)),".")</f>
        <v>1</v>
      </c>
      <c r="U45" s="47">
        <f>IFERROR(IF(SUM(P46:P47)&gt;0.01,1-EXP(-SUM(P46:P47)),SUM(P46:P47)),".")</f>
        <v>0.26989164543332445</v>
      </c>
      <c r="V45" s="47">
        <f>IFERROR(IF(SUM(Q46:Q47)&gt;0.01,1-EXP(-SUM(Q46:Q47)),SUM(Q46:Q47)),".")</f>
        <v>0.87959801913765268</v>
      </c>
      <c r="W45" s="47">
        <f>IFERROR(IF(SUM(R46:R47)&gt;0.01,1-EXP(-SUM(R46:R47)),SUM(R46:R47)),".")</f>
        <v>1</v>
      </c>
      <c r="X45" s="47">
        <f>IFERROR(IF(SUM(S46:S47)&gt;0.01,1-EXP(-SUM(S46:S47)),SUM(S46:S47)),".")</f>
        <v>1</v>
      </c>
      <c r="Y45" s="47">
        <f>IFERROR(IF(SUM(O46:S47)&gt;0.01,1-EXP(-SUM(O46:S47)),SUM(O46:S47)),".")</f>
        <v>1</v>
      </c>
      <c r="Z45" s="59">
        <f t="shared" ref="Z45:AD45" si="94">IFERROR(IF(AND(Z46&lt;&gt;0,Z47&lt;&gt;0),1/SUM(1/Z46,1/Z47),IF(AND(Z46&lt;&gt;0,Z47=0),1/(1/Z46),IF(AND(Z46=0,Z47&lt;&gt;0),1/(1/Z47),IF(AND(Z46=0,Z47=0),".")))),".")</f>
        <v>2.3619228255008185E-5</v>
      </c>
      <c r="AA45" s="59">
        <f t="shared" si="94"/>
        <v>4.0304374552807869E-5</v>
      </c>
      <c r="AB45" s="59">
        <f t="shared" si="94"/>
        <v>2.8637265186322229E-5</v>
      </c>
      <c r="AC45" s="59">
        <f t="shared" si="94"/>
        <v>2.4917090520755078E-5</v>
      </c>
      <c r="AD45" s="59">
        <f t="shared" si="94"/>
        <v>6.7729291215221684E-5</v>
      </c>
      <c r="AE45" s="70"/>
      <c r="AF45" s="70"/>
      <c r="AG45" s="70"/>
      <c r="AH45" s="70"/>
      <c r="AI45" s="70"/>
      <c r="AJ45" s="47">
        <f>IFERROR(IF(SUM(AE46:AE47)&gt;0.01,1-EXP(-SUM(AE46:AE47)),SUM(AE46:AE47)),".")</f>
        <v>0.87959801913765268</v>
      </c>
      <c r="AK45" s="47">
        <f t="shared" ref="AK45:AN45" si="95">IFERROR(IF(SUM(AF46:AF47)&gt;0.01,1-EXP(-SUM(AF46:AF47)),SUM(AF46:AF47)),".")</f>
        <v>0.71077782848758519</v>
      </c>
      <c r="AL45" s="47">
        <f t="shared" si="95"/>
        <v>0.82552551712481592</v>
      </c>
      <c r="AM45" s="47">
        <f t="shared" si="95"/>
        <v>0.86556235969009876</v>
      </c>
      <c r="AN45" s="47">
        <f t="shared" si="95"/>
        <v>0.52204229413853309</v>
      </c>
      <c r="AO45" s="58">
        <f t="shared" ref="AO45:AQ45" si="96">IFERROR(IF(AND(AO46&lt;&gt;0,AO47&lt;&gt;0),1/SUM(1/AO46,1/AO47),IF(AND(AO46&lt;&gt;0,AO47=0),1/(1/AO46),IF(AND(AO46=0,AO47&lt;&gt;0),1/(1/AO47),IF(AND(AO46=0,AO47=0),".")))),".")</f>
        <v>5.1306981898188655E-10</v>
      </c>
      <c r="AP45" s="58">
        <f t="shared" si="96"/>
        <v>3.2772334687468002E-6</v>
      </c>
      <c r="AQ45" s="59">
        <f t="shared" si="96"/>
        <v>5.129895075129999E-10</v>
      </c>
      <c r="AR45" s="70"/>
      <c r="AS45" s="70"/>
      <c r="AT45" s="47">
        <f>IFERROR(IF(SUM(AR46:AR47)&gt;0.01,1-EXP(-SUM(AR46:AR47)),SUM(AR46:AR47)),".")</f>
        <v>1</v>
      </c>
      <c r="AU45" s="47">
        <f>IFERROR(IF(SUM(AS46:AS47)&gt;0.01,1-EXP(-SUM(AS46:AS47)),SUM(AS46:AS47)),".")</f>
        <v>0.99999976337064744</v>
      </c>
      <c r="AV45" s="47">
        <f>IFERROR(IF(SUM(AR46:AS47)&gt;0.01,1-EXP(-SUM(AR46:AS47)),SUM(AR46:AS47)),".")</f>
        <v>1</v>
      </c>
      <c r="AW45" s="58">
        <f t="shared" ref="AW45:AZ45" si="97">IFERROR(IF(AND(AW46&lt;&gt;0,AW47&lt;&gt;0),1/SUM(1/AW46,1/AW47),IF(AND(AW46&lt;&gt;0,AW47=0),1/(1/AW46),IF(AND(AW46=0,AW47&lt;&gt;0),1/(1/AW47),IF(AND(AW46=0,AW47=0),".")))),".")</f>
        <v>1.1691044052321633E-10</v>
      </c>
      <c r="AX45" s="58">
        <f t="shared" si="97"/>
        <v>2.0482709179667498E-6</v>
      </c>
      <c r="AY45" s="61">
        <f t="shared" si="97"/>
        <v>9.3528352418573052E-8</v>
      </c>
      <c r="AZ45" s="61">
        <f t="shared" si="97"/>
        <v>9.3528352418573052E-8</v>
      </c>
      <c r="BA45" s="244">
        <f t="shared" si="43"/>
        <v>8553555999.9999981</v>
      </c>
      <c r="BB45" s="244">
        <f t="shared" si="28"/>
        <v>488216.66666666663</v>
      </c>
      <c r="BC45" s="244">
        <f t="shared" si="28"/>
        <v>10691945</v>
      </c>
      <c r="BD45" s="244">
        <f t="shared" si="28"/>
        <v>10691945</v>
      </c>
      <c r="BE45" s="62">
        <f>IFERROR(IF(AND(BE46&lt;&gt;0,BE47&lt;&gt;0),1/SUM(1/BE46,1/BE47),IF(AND(BE46&lt;&gt;0,BE47=0),1/(1/BE46),IF(AND(BE46=0,BE47&lt;&gt;0),1/(1/BE47),IF(AND(BE46=0,BE47=0),".")))),".")</f>
        <v>1.1661225393780459E-10</v>
      </c>
      <c r="BF45" s="70"/>
      <c r="BG45" s="70"/>
      <c r="BH45" s="70"/>
      <c r="BI45" s="70"/>
      <c r="BJ45" s="47">
        <f>IFERROR(IF(SUM(BF46:BF47)&gt;0.01,1-EXP(-SUM(BF46:BF47)),SUM(BF46:BF47)),".")</f>
        <v>1</v>
      </c>
      <c r="BK45" s="47">
        <f>IFERROR(IF(SUM(BG46:BG47)&gt;0.01,1-EXP(-SUM(BG46:BG47)),SUM(BG46:BG47)),".")</f>
        <v>0.99999999997496714</v>
      </c>
      <c r="BL45" s="47">
        <f>IFERROR(IF(SUM(BH46:BH47)&gt;0.01,1-EXP(-SUM(BH46:BH47)),SUM(BH46:BH47)),".")</f>
        <v>1</v>
      </c>
      <c r="BM45" s="47">
        <f>IFERROR(IF(SUM(BI46:BI47)&gt;0.01,1-EXP(-SUM(BI46:BI47)),SUM(BI46:BI47)),".")</f>
        <v>1</v>
      </c>
      <c r="BN45" s="47">
        <f>IFERROR(IF(SUM(BF46:BG47)&gt;0.01,1-EXP(-SUM(BF46:BG47)),SUM(BF46:BG47)),".")</f>
        <v>1</v>
      </c>
      <c r="BO45" s="61">
        <f t="shared" ref="BO45:BP45" si="98">IFERROR(IF(AND(BO46&lt;&gt;0,BO47&lt;&gt;0),1/SUM(1/BO46,1/BO47),IF(AND(BO46&lt;&gt;0,BO47=0),1/(1/BO46),IF(AND(BO46=0,BO47&lt;&gt;0),1/(1/BO47),IF(AND(BO46=0,BO47=0),".")))),".")</f>
        <v>9.3528352418573063E-10</v>
      </c>
      <c r="BP45" s="61">
        <f t="shared" si="98"/>
        <v>9.3528352418573063E-10</v>
      </c>
      <c r="BQ45" s="70"/>
      <c r="BR45" s="70"/>
      <c r="BS45" s="47">
        <f>IFERROR(IF(SUM(BQ46:BQ47)&gt;0.01,1-EXP(-SUM(BQ46:BQ47)),SUM(BQ46:BQ47)),".")</f>
        <v>1</v>
      </c>
      <c r="BT45" s="47">
        <f t="shared" ref="BT45" si="99">IFERROR(IF(SUM(BR46:BR47)&gt;0.01,1-EXP(-SUM(BR46:BR47)),SUM(BR46:BR47)),".")</f>
        <v>1</v>
      </c>
    </row>
    <row r="46" spans="1:72" x14ac:dyDescent="0.25">
      <c r="A46" s="48" t="s">
        <v>1098</v>
      </c>
      <c r="B46" s="15">
        <v>1</v>
      </c>
      <c r="C46" s="42"/>
      <c r="D46" s="60">
        <f>IFERROR(D10/$B46,0)</f>
        <v>3.3057851239669421E-8</v>
      </c>
      <c r="E46" s="60">
        <f>IFERROR(E10/$B46,0)</f>
        <v>3.0899917851942918E-4</v>
      </c>
      <c r="F46" s="60">
        <f>IFERROR(F10/$B46,0)</f>
        <v>4.9753766233766238E-5</v>
      </c>
      <c r="G46" s="60">
        <f>IFERROR(G10/$B46,0)</f>
        <v>7.5757575757575769E-12</v>
      </c>
      <c r="H46" s="60">
        <f>IFERROR(H10/$B46,0)</f>
        <v>7.5757575757575769E-12</v>
      </c>
      <c r="I46" s="244">
        <f t="shared" si="10"/>
        <v>30250000</v>
      </c>
      <c r="J46" s="244">
        <f t="shared" si="10"/>
        <v>3236.2545583179349</v>
      </c>
      <c r="K46" s="244">
        <f t="shared" si="10"/>
        <v>20098.98095556298</v>
      </c>
      <c r="L46" s="244">
        <f t="shared" si="10"/>
        <v>131999999999.99998</v>
      </c>
      <c r="M46" s="244">
        <f t="shared" si="10"/>
        <v>131999999999.99998</v>
      </c>
      <c r="N46" s="63">
        <f>IFERROR(N10/$B46,0)</f>
        <v>3.7874444750898481E-12</v>
      </c>
      <c r="O46" s="71">
        <f>IFERROR(up_RadSpec!$E$10*O10,".")*$B$46</f>
        <v>1512.5</v>
      </c>
      <c r="P46" s="71">
        <f>IFERROR(up_RadSpec!$F$10*P10,".")*B46</f>
        <v>0.16181272791589676</v>
      </c>
      <c r="Q46" s="71">
        <f>IFERROR(up_RadSpec!$G$10*Q10,".")*B46</f>
        <v>1.0049490477781491</v>
      </c>
      <c r="R46" s="71">
        <f>IFERROR(up_RadSpec!$H$10*R10,".")*$B$46</f>
        <v>6600000</v>
      </c>
      <c r="S46" s="71">
        <f>IFERROR(up_RadSpec!$H$10*S10,".")*$B$46</f>
        <v>6600000</v>
      </c>
      <c r="T46" s="49">
        <f t="shared" ref="T46:X47" si="100">IFERROR(IF(O46&gt;0.01,1-EXP(-O46),O46),".")</f>
        <v>1</v>
      </c>
      <c r="U46" s="49">
        <f t="shared" si="100"/>
        <v>0.14939951664921358</v>
      </c>
      <c r="V46" s="49">
        <f t="shared" si="100"/>
        <v>0.63393671393338713</v>
      </c>
      <c r="W46" s="49">
        <f t="shared" si="100"/>
        <v>1</v>
      </c>
      <c r="X46" s="49">
        <f t="shared" si="100"/>
        <v>1</v>
      </c>
      <c r="Y46" s="49">
        <f t="shared" si="36"/>
        <v>1</v>
      </c>
      <c r="Z46" s="60">
        <f t="shared" ref="Z46:AD46" si="101">IFERROR(Z10/$B46,0)</f>
        <v>4.9753766233766238E-5</v>
      </c>
      <c r="AA46" s="60">
        <f t="shared" si="101"/>
        <v>7.7529581529581511E-5</v>
      </c>
      <c r="AB46" s="60">
        <f t="shared" si="101"/>
        <v>5.5366265416759952E-5</v>
      </c>
      <c r="AC46" s="60">
        <f t="shared" si="101"/>
        <v>5.0638919313618115E-5</v>
      </c>
      <c r="AD46" s="60">
        <f t="shared" si="101"/>
        <v>1.3033370352742084E-4</v>
      </c>
      <c r="AE46" s="71">
        <f>IFERROR(up_RadSpec!$G$10*AE10,".")*$B46</f>
        <v>1.0049490477781491</v>
      </c>
      <c r="AF46" s="71">
        <f>IFERROR(up_RadSpec!$N$10*AF10,".")*$B46</f>
        <v>0.64491512805241236</v>
      </c>
      <c r="AG46" s="71">
        <f>IFERROR(up_RadSpec!$O$10*AG10,".")*$B46</f>
        <v>0.90307698421834459</v>
      </c>
      <c r="AH46" s="71">
        <f>IFERROR(up_RadSpec!$P$10*AH10,".")*$B46</f>
        <v>0.98738284066330206</v>
      </c>
      <c r="AI46" s="71">
        <f>IFERROR(up_RadSpec!$L$10*AI10,".")*$B46</f>
        <v>0.38363062390443414</v>
      </c>
      <c r="AJ46" s="49">
        <f t="shared" ref="AJ46:AN47" si="102">IFERROR(IF(AE46&gt;0.01,1-EXP(-AE46),AE46),".")</f>
        <v>0.63393671393338713</v>
      </c>
      <c r="AK46" s="49">
        <f t="shared" si="102"/>
        <v>0.47529292687194169</v>
      </c>
      <c r="AL46" s="49">
        <f t="shared" si="102"/>
        <v>0.59467942599202606</v>
      </c>
      <c r="AM46" s="49">
        <f t="shared" si="102"/>
        <v>0.62744955989930995</v>
      </c>
      <c r="AN46" s="49">
        <f t="shared" si="102"/>
        <v>0.31861693268124913</v>
      </c>
      <c r="AO46" s="60">
        <f t="shared" ref="AO46:AQ46" si="103">IFERROR(AO10/$B46,0)</f>
        <v>9.9740259740259755E-10</v>
      </c>
      <c r="AP46" s="60">
        <f t="shared" si="103"/>
        <v>6.3709090909090908E-6</v>
      </c>
      <c r="AQ46" s="60">
        <f t="shared" si="103"/>
        <v>9.9724647271019672E-10</v>
      </c>
      <c r="AR46" s="71">
        <f>IFERROR(up_RadSpec!$F$10*AR10,".")*$B$46</f>
        <v>50130.208333333328</v>
      </c>
      <c r="AS46" s="71">
        <f>IFERROR(up_RadSpec!$K$10*AS10,".")*$B$46</f>
        <v>7.8481735159817356</v>
      </c>
      <c r="AT46" s="49">
        <f>IFERROR(IF(AR46&gt;0.01,1-EXP(-AR46),AR46),".")</f>
        <v>1</v>
      </c>
      <c r="AU46" s="49">
        <f>IFERROR(IF(AS46&gt;0.01,1-EXP(-AS46),AS46),".")</f>
        <v>0.99960953550549536</v>
      </c>
      <c r="AV46" s="49">
        <f>IFERROR(IF(SUM(AR46:AS46)&gt;0.01,1-EXP(-SUM(AR46:AS46)),SUM(AR46:AS46)),".")</f>
        <v>1</v>
      </c>
      <c r="AW46" s="60">
        <f t="shared" ref="AW46:AZ46" si="104">IFERROR(AW10/$B46,0)</f>
        <v>2.272727272727273E-10</v>
      </c>
      <c r="AX46" s="60">
        <f t="shared" si="104"/>
        <v>3.9818181818181825E-6</v>
      </c>
      <c r="AY46" s="63">
        <f t="shared" si="104"/>
        <v>1.8181818181818183E-7</v>
      </c>
      <c r="AZ46" s="63">
        <f t="shared" si="104"/>
        <v>1.8181818181818183E-7</v>
      </c>
      <c r="BA46" s="244">
        <f t="shared" si="43"/>
        <v>4399999999.999999</v>
      </c>
      <c r="BB46" s="244">
        <f t="shared" si="28"/>
        <v>251141.55251141547</v>
      </c>
      <c r="BC46" s="244">
        <f t="shared" si="28"/>
        <v>5500000</v>
      </c>
      <c r="BD46" s="244">
        <f t="shared" si="28"/>
        <v>5500000</v>
      </c>
      <c r="BE46" s="63">
        <f>IFERROR(BE10/$B46,0)</f>
        <v>2.2669305553255277E-10</v>
      </c>
      <c r="BF46" s="71">
        <f>IFERROR(up_RadSpec!$I$10*BF10,".")*$B$46</f>
        <v>220000</v>
      </c>
      <c r="BG46" s="71">
        <f>IFERROR(up_RadSpec!$M$10*BG10,".")*$B$46</f>
        <v>12.557077625570777</v>
      </c>
      <c r="BH46" s="71">
        <f>IFERROR(up_RadSpec!$H$10*BH10,".")*$B$46</f>
        <v>275</v>
      </c>
      <c r="BI46" s="71">
        <f>IFERROR(up_RadSpec!$H$10*BI10,".")*$B$46</f>
        <v>275</v>
      </c>
      <c r="BJ46" s="49">
        <f t="shared" ref="BJ46:BM47" si="105">IFERROR(IF(BF46&gt;0.01,1-EXP(-BF46),BF46),".")</f>
        <v>1</v>
      </c>
      <c r="BK46" s="49">
        <f t="shared" si="105"/>
        <v>0.99999648009875997</v>
      </c>
      <c r="BL46" s="49">
        <f t="shared" si="105"/>
        <v>1</v>
      </c>
      <c r="BM46" s="49">
        <f t="shared" si="105"/>
        <v>1</v>
      </c>
      <c r="BN46" s="49">
        <f>IFERROR(IF(SUM(BF46:BG46)&gt;0.01,1-EXP(-SUM(BF46:BG46)),SUM(BF46:BG46)),".")</f>
        <v>1</v>
      </c>
      <c r="BO46" s="63">
        <f t="shared" ref="BO46:BP46" si="106">IFERROR(BO10/$B46,0)</f>
        <v>1.8181818181818184E-9</v>
      </c>
      <c r="BP46" s="63">
        <f t="shared" si="106"/>
        <v>1.8181818181818184E-9</v>
      </c>
      <c r="BQ46" s="71">
        <f>IFERROR(up_RadSpec!$H$10*BQ10,".")*$B$46</f>
        <v>27500</v>
      </c>
      <c r="BR46" s="71">
        <f>IFERROR(up_RadSpec!$H$10*BR10,".")*$B$46</f>
        <v>27500</v>
      </c>
      <c r="BS46" s="49">
        <f>IFERROR(IF(BQ46&gt;0.01,1-EXP(-BQ46),BQ46),".")</f>
        <v>1</v>
      </c>
      <c r="BT46" s="49">
        <f t="shared" ref="BT46:BT47" si="107">IFERROR(IF(BR46&gt;0.01,1-EXP(-BR46),BR46),".")</f>
        <v>1</v>
      </c>
    </row>
    <row r="47" spans="1:72" x14ac:dyDescent="0.25">
      <c r="A47" s="48" t="s">
        <v>1072</v>
      </c>
      <c r="B47" s="51">
        <v>0.94399</v>
      </c>
      <c r="C47" s="85"/>
      <c r="D47" s="60">
        <f>IFERROR(D6/$B$47,0)</f>
        <v>3.5019281178475855E-8</v>
      </c>
      <c r="E47" s="60">
        <f>IFERROR(E6/$B$47,0)</f>
        <v>3.2733310577382087E-4</v>
      </c>
      <c r="F47" s="60">
        <f>IFERROR(F6/$B$47,0)</f>
        <v>4.4965231915589747E-5</v>
      </c>
      <c r="G47" s="60">
        <f>IFERROR(G6/$B$47,0)</f>
        <v>8.0252519367340516E-12</v>
      </c>
      <c r="H47" s="60">
        <f>IFERROR(H6/$B$47,0)</f>
        <v>8.0252519367340516E-12</v>
      </c>
      <c r="I47" s="244">
        <f t="shared" si="10"/>
        <v>28555697.5</v>
      </c>
      <c r="J47" s="244">
        <f t="shared" si="10"/>
        <v>3054.9919405065475</v>
      </c>
      <c r="K47" s="244">
        <f t="shared" si="10"/>
        <v>22239.404922390568</v>
      </c>
      <c r="L47" s="244">
        <f t="shared" si="10"/>
        <v>124606679999.99997</v>
      </c>
      <c r="M47" s="244">
        <f t="shared" si="10"/>
        <v>124606679999.99997</v>
      </c>
      <c r="N47" s="63">
        <f>IFERROR(N6/$B$47,0)</f>
        <v>4.0121658338092916E-12</v>
      </c>
      <c r="O47" s="71">
        <f>IFERROR(up_RadSpec!$E$6*O6,".")*$B$47</f>
        <v>1427.7848750000001</v>
      </c>
      <c r="P47" s="71">
        <f>IFERROR(up_RadSpec!$F$6*$P$6,".")*B47</f>
        <v>0.15274959702532739</v>
      </c>
      <c r="Q47" s="71">
        <f>IFERROR(up_RadSpec!$G$6*$Q$6,".")*B47</f>
        <v>1.1119702461195284</v>
      </c>
      <c r="R47" s="71">
        <f>IFERROR(up_RadSpec!$H$6*R6,".")*$B$47</f>
        <v>6230334</v>
      </c>
      <c r="S47" s="71">
        <f>IFERROR(up_RadSpec!$H$6*S6,".")*$B$47</f>
        <v>6230334</v>
      </c>
      <c r="T47" s="49">
        <f t="shared" si="100"/>
        <v>1</v>
      </c>
      <c r="U47" s="49">
        <f t="shared" si="100"/>
        <v>0.14165537304828935</v>
      </c>
      <c r="V47" s="49">
        <f t="shared" si="100"/>
        <v>0.67108971195642475</v>
      </c>
      <c r="W47" s="49">
        <f t="shared" si="100"/>
        <v>1</v>
      </c>
      <c r="X47" s="49">
        <f t="shared" si="100"/>
        <v>1</v>
      </c>
      <c r="Y47" s="49">
        <f t="shared" si="36"/>
        <v>1</v>
      </c>
      <c r="Z47" s="60">
        <f t="shared" ref="Z47:AD47" si="108">IFERROR(Z6/$B$47,0)</f>
        <v>4.4965231915589747E-5</v>
      </c>
      <c r="AA47" s="60">
        <f t="shared" si="108"/>
        <v>8.3942617024007128E-5</v>
      </c>
      <c r="AB47" s="60">
        <f t="shared" si="108"/>
        <v>5.9319032191504114E-5</v>
      </c>
      <c r="AC47" s="60">
        <f t="shared" si="108"/>
        <v>4.9054619971684757E-5</v>
      </c>
      <c r="AD47" s="60">
        <f t="shared" si="108"/>
        <v>1.4100299060944838E-4</v>
      </c>
      <c r="AE47" s="71">
        <f>IFERROR(up_RadSpec!$G$6*AE6,".")*$B47</f>
        <v>1.1119702461195284</v>
      </c>
      <c r="AF47" s="71">
        <f>IFERROR(up_RadSpec!$N$6*AF6,".")*$B47</f>
        <v>0.5956449986030371</v>
      </c>
      <c r="AG47" s="71">
        <f>IFERROR(up_RadSpec!$O$6*AG6,".")*$B47</f>
        <v>0.84289979375558965</v>
      </c>
      <c r="AH47" s="71">
        <f>IFERROR(up_RadSpec!$P$6*AH6,".")*$B47</f>
        <v>1.0192719876101566</v>
      </c>
      <c r="AI47" s="71">
        <f>IFERROR(up_RadSpec!$L$6*AI6,".")*$B47</f>
        <v>0.35460240796232867</v>
      </c>
      <c r="AJ47" s="49">
        <f t="shared" si="102"/>
        <v>0.67108971195642475</v>
      </c>
      <c r="AK47" s="49">
        <f t="shared" si="102"/>
        <v>0.44879307650989453</v>
      </c>
      <c r="AL47" s="49">
        <f t="shared" si="102"/>
        <v>0.56953953471961771</v>
      </c>
      <c r="AM47" s="49">
        <f t="shared" si="102"/>
        <v>0.63914244666154052</v>
      </c>
      <c r="AN47" s="49">
        <f t="shared" si="102"/>
        <v>0.29854772038548705</v>
      </c>
      <c r="AO47" s="60">
        <f t="shared" ref="AO47:AQ47" si="109">IFERROR(AO6/$B$47,0)</f>
        <v>1.0565817406991574E-9</v>
      </c>
      <c r="AP47" s="60">
        <f t="shared" si="109"/>
        <v>6.7489158687158668E-6</v>
      </c>
      <c r="AQ47" s="60">
        <f t="shared" si="109"/>
        <v>1.0564163526204691E-9</v>
      </c>
      <c r="AR47" s="71">
        <f>IFERROR(up_RadSpec!$F$6*AR6,".")*$B$47</f>
        <v>47322.415364583328</v>
      </c>
      <c r="AS47" s="71">
        <f>IFERROR(up_RadSpec!$K$6*AS6,".")*$B$47</f>
        <v>7.4085973173515987</v>
      </c>
      <c r="AT47" s="49">
        <f>IFERROR(IF(AR47&gt;0.01,1-EXP(-AR47),AR47),".")</f>
        <v>1</v>
      </c>
      <c r="AU47" s="49">
        <f>IFERROR(IF(AS47&gt;0.01,1-EXP(-AS47),AS47),".")</f>
        <v>0.99939397984741163</v>
      </c>
      <c r="AV47" s="49">
        <f>IFERROR(IF(SUM(AR47:AS47)&gt;0.01,1-EXP(-SUM(AR47:AS47)),SUM(AR47:AS47)),".")</f>
        <v>1</v>
      </c>
      <c r="AW47" s="60">
        <f t="shared" ref="AW47:AZ47" si="110">IFERROR(AW6/$B$47,0)</f>
        <v>2.4075755810202151E-10</v>
      </c>
      <c r="AX47" s="60">
        <f t="shared" si="110"/>
        <v>4.218072417947417E-6</v>
      </c>
      <c r="AY47" s="63">
        <f t="shared" si="110"/>
        <v>1.9260604648161722E-7</v>
      </c>
      <c r="AZ47" s="63">
        <f t="shared" si="110"/>
        <v>1.9260604648161722E-7</v>
      </c>
      <c r="BA47" s="244">
        <f t="shared" si="43"/>
        <v>4153555999.9999995</v>
      </c>
      <c r="BB47" s="244">
        <f t="shared" si="28"/>
        <v>237075.11415525113</v>
      </c>
      <c r="BC47" s="244">
        <f t="shared" si="28"/>
        <v>5191944.9999999991</v>
      </c>
      <c r="BD47" s="244">
        <f t="shared" si="28"/>
        <v>5191944.9999999991</v>
      </c>
      <c r="BE47" s="63">
        <f>IFERROR(BE6/$B$47,0)</f>
        <v>2.4014349255029476E-10</v>
      </c>
      <c r="BF47" s="71">
        <f>IFERROR(up_RadSpec!$I$6*BF6,".")*$B$47</f>
        <v>207677.8</v>
      </c>
      <c r="BG47" s="71">
        <f>IFERROR(up_RadSpec!$M$6*BG6,".")*$B$47</f>
        <v>11.853755707762557</v>
      </c>
      <c r="BH47" s="71">
        <f>IFERROR(up_RadSpec!$H$6*BH6,".")*$B$47</f>
        <v>259.59724999999997</v>
      </c>
      <c r="BI47" s="71">
        <f>IFERROR(up_RadSpec!$H$6*BI6,".")*$B$47</f>
        <v>259.59724999999997</v>
      </c>
      <c r="BJ47" s="49">
        <f t="shared" si="105"/>
        <v>1</v>
      </c>
      <c r="BK47" s="49">
        <f t="shared" si="105"/>
        <v>0.99999288820374177</v>
      </c>
      <c r="BL47" s="49">
        <f t="shared" si="105"/>
        <v>1</v>
      </c>
      <c r="BM47" s="49">
        <f t="shared" si="105"/>
        <v>1</v>
      </c>
      <c r="BN47" s="49">
        <f>IFERROR(IF(SUM(BF47:BG47)&gt;0.01,1-EXP(-SUM(BF47:BG47)),SUM(BF47:BG47)),".")</f>
        <v>1</v>
      </c>
      <c r="BO47" s="63">
        <f t="shared" ref="BO47:BP47" si="111">IFERROR(BO6/$B$47,0)</f>
        <v>1.9260604648161721E-9</v>
      </c>
      <c r="BP47" s="63">
        <f t="shared" si="111"/>
        <v>1.9260604648161721E-9</v>
      </c>
      <c r="BQ47" s="71">
        <f>IFERROR(up_RadSpec!$H$6*BQ6,".")*$B$47</f>
        <v>25959.724999999999</v>
      </c>
      <c r="BR47" s="71">
        <f>IFERROR(up_RadSpec!$H$6*BR6,".")*$B$47</f>
        <v>25959.724999999999</v>
      </c>
      <c r="BS47" s="49">
        <f>IFERROR(IF(BQ47&gt;0.01,1-EXP(-BQ47),BQ47),".")</f>
        <v>1</v>
      </c>
      <c r="BT47" s="49">
        <f t="shared" si="107"/>
        <v>1</v>
      </c>
    </row>
    <row r="48" spans="1:72" x14ac:dyDescent="0.25">
      <c r="A48" s="57" t="s">
        <v>33</v>
      </c>
      <c r="B48" s="57" t="s">
        <v>1255</v>
      </c>
      <c r="C48" s="250"/>
      <c r="D48" s="58">
        <f>1/SUM(1/D49,1/D50,1/D51,1/D52,1/D53,1/D54,1/D55,1/D56,1/D57,1/D58,1/D59,1/D60,1/D61,1/D62)</f>
        <v>3.6730940279564145E-9</v>
      </c>
      <c r="E48" s="58">
        <f>1/SUM(1/E49,1/E50,1/E51,1/E52,1/E53,1/E54,1/E55,1/E56,1/E57,1/E58,1/E59,1/E60,1/E61,1/E62)</f>
        <v>3.433323687721039E-5</v>
      </c>
      <c r="F48" s="58">
        <f>1/SUM(1/F49,1/F50,1/F52,1/F54,1/F55,1/F56,1/F57,1/F58,1/F59,1/F60,1/F61,1/F62)</f>
        <v>5.9730603257587581E-6</v>
      </c>
      <c r="G48" s="58">
        <f>1/SUM(1/G49,1/G50,1/G51,1/G52,1/G53,1/G54,1/G55,1/G56,1/G57,1/G58,1/G59,1/G60,1/G61,1/G62)</f>
        <v>8.4175071474001189E-13</v>
      </c>
      <c r="H48" s="58">
        <f>1/SUM(1/H49,1/H50,1/H51,1/H52,1/H53,1/H54,1/H55,1/H56,1/H57,1/H58,1/H59,1/H60,1/H61,1/H62)</f>
        <v>8.4175071474001189E-13</v>
      </c>
      <c r="I48" s="244">
        <f t="shared" si="10"/>
        <v>272250041.07950002</v>
      </c>
      <c r="J48" s="244">
        <f t="shared" si="10"/>
        <v>29126.295419695103</v>
      </c>
      <c r="K48" s="244">
        <f t="shared" si="10"/>
        <v>167418.36604052212</v>
      </c>
      <c r="L48" s="244">
        <f t="shared" si="10"/>
        <v>1188000179255.9998</v>
      </c>
      <c r="M48" s="244">
        <f t="shared" si="10"/>
        <v>1188000179255.9998</v>
      </c>
      <c r="N48" s="58">
        <f>1/SUM(1/N49,1/N50,1/N51,1/N52,1/N53,1/N54,1/N55,1/N56,1/N57,1/N58,1/N59,1/N60,1/N61,1/N62)</f>
        <v>4.2082710278665504E-13</v>
      </c>
      <c r="O48" s="70"/>
      <c r="P48" s="70"/>
      <c r="Q48" s="70"/>
      <c r="R48" s="70"/>
      <c r="S48" s="70"/>
      <c r="T48" s="47">
        <f>IFERROR(IF(SUM(O49:O62)&gt;0.01,1-EXP(-SUM(O49:O62)),SUM(O49:O62)),".")</f>
        <v>1</v>
      </c>
      <c r="U48" s="47">
        <f>IFERROR(IF(SUM(P49:P62)&gt;0.01,1-EXP(-SUM(P49:P62)),SUM(P49:P62)),".")</f>
        <v>0.76690630248292946</v>
      </c>
      <c r="V48" s="47">
        <f>IFERROR(IF(SUM(Q49:Q62)&gt;0.01,1-EXP(-SUM(Q49:Q62)),SUM(Q49:Q62)),".")</f>
        <v>0.99976849713345395</v>
      </c>
      <c r="W48" s="47">
        <f>IFERROR(IF(SUM(R49:R62)&gt;0.01,1-EXP(-SUM(R49:R62)),SUM(R49:R62)),".")</f>
        <v>1</v>
      </c>
      <c r="X48" s="47">
        <f>IFERROR(IF(SUM(S49:S62)&gt;0.01,1-EXP(-SUM(S49:S62)),SUM(S49:S62)),".")</f>
        <v>1</v>
      </c>
      <c r="Y48" s="47">
        <f>IFERROR(IF(SUM(O49:S62)&gt;0.01,1-EXP(-SUM(O49:S62)),SUM(O49:S62)),".")</f>
        <v>1</v>
      </c>
      <c r="Z48" s="59">
        <f t="shared" ref="Z48:AD48" si="112">1/SUM(1/Z49,1/Z50,1/Z52,1/Z54,1/Z55,1/Z56,1/Z57,1/Z58,1/Z59,1/Z60,1/Z61,1/Z62)</f>
        <v>5.9730603257587581E-6</v>
      </c>
      <c r="AA48" s="59">
        <f t="shared" si="112"/>
        <v>1.1243919358138259E-5</v>
      </c>
      <c r="AB48" s="59">
        <f t="shared" si="112"/>
        <v>7.9968513615528242E-6</v>
      </c>
      <c r="AC48" s="59">
        <f t="shared" si="112"/>
        <v>6.7669381505905345E-6</v>
      </c>
      <c r="AD48" s="59">
        <f t="shared" si="112"/>
        <v>1.9339257525101662E-5</v>
      </c>
      <c r="AE48" s="70"/>
      <c r="AF48" s="70"/>
      <c r="AG48" s="70"/>
      <c r="AH48" s="70"/>
      <c r="AI48" s="70"/>
      <c r="AJ48" s="47">
        <f>IFERROR(IF(SUM(AE49:AE62)&gt;0.01,1-EXP(-SUM(AE49:AE62)),SUM(AE49:AE62)),".")</f>
        <v>0.99976849713345395</v>
      </c>
      <c r="AK48" s="47">
        <f t="shared" ref="AK48:AN48" si="113">IFERROR(IF(SUM(AF49:AF62)&gt;0.01,1-EXP(-SUM(AF49:AF62)),SUM(AF49:AF62)),".")</f>
        <v>0.98828456378872975</v>
      </c>
      <c r="AL48" s="47">
        <f t="shared" si="113"/>
        <v>0.99807429056663943</v>
      </c>
      <c r="AM48" s="47">
        <f t="shared" si="113"/>
        <v>0.99938190359314594</v>
      </c>
      <c r="AN48" s="47">
        <f t="shared" si="113"/>
        <v>0.92463517797221895</v>
      </c>
      <c r="AO48" s="58">
        <f t="shared" ref="AO48:AQ48" si="114">1/SUM(1/AO49,1/AO50,1/AO51,1/AO52,1/AO53,1/AO54,1/AO55,1/AO56,1/AO57,1/AO58,1/AO59,1/AO60,1/AO61,1/AO62)</f>
        <v>1.1082249410062787E-10</v>
      </c>
      <c r="AP48" s="58">
        <f t="shared" si="114"/>
        <v>7.0787868106776008E-7</v>
      </c>
      <c r="AQ48" s="59">
        <f t="shared" si="114"/>
        <v>1.1080514691520082E-10</v>
      </c>
      <c r="AR48" s="70"/>
      <c r="AS48" s="70"/>
      <c r="AT48" s="47">
        <f>IFERROR(IF(SUM(AR49:AR62)&gt;0.01,1-EXP(-SUM(AR49:AR62)),SUM(AR49:AR62)),".")</f>
        <v>1</v>
      </c>
      <c r="AU48" s="47">
        <f>IFERROR(IF(SUM(AS49:AS62)&gt;0.01,1-EXP(-SUM(AS49:AS62)),SUM(AS49:AS62)),".")</f>
        <v>1</v>
      </c>
      <c r="AV48" s="47">
        <f>IFERROR(IF(SUM(AR49:AS62)&gt;0.01,1-EXP(-SUM(AR49:AS62)),SUM(AR49:AS62)),".")</f>
        <v>1</v>
      </c>
      <c r="AW48" s="58">
        <f t="shared" ref="AW48:AZ48" si="115">1/SUM(1/AW49,1/AW50,1/AW51,1/AW52,1/AW53,1/AW54,1/AW55,1/AW56,1/AW57,1/AW58,1/AW59,1/AW60,1/AW61,1/AW62)</f>
        <v>2.5252521442200359E-11</v>
      </c>
      <c r="AX48" s="58">
        <f t="shared" si="115"/>
        <v>4.4242417566735022E-7</v>
      </c>
      <c r="AY48" s="61">
        <f t="shared" si="115"/>
        <v>2.020201715376028E-8</v>
      </c>
      <c r="AZ48" s="61">
        <f t="shared" si="115"/>
        <v>2.020201715376028E-8</v>
      </c>
      <c r="BA48" s="244">
        <f t="shared" si="43"/>
        <v>39600005975.199989</v>
      </c>
      <c r="BB48" s="244">
        <f t="shared" si="43"/>
        <v>2260274.3136529676</v>
      </c>
      <c r="BC48" s="244">
        <f t="shared" si="43"/>
        <v>49500007.469000004</v>
      </c>
      <c r="BD48" s="244">
        <f t="shared" si="43"/>
        <v>49500007.469000004</v>
      </c>
      <c r="BE48" s="62">
        <f>1/SUM(1/BE49,1/BE50,1/BE51,1/BE52,1/BE53,1/BE54,1/BE55,1/BE56,1/BE57,1/BE58,1/BE59,1/BE60,1/BE61,1/BE62)</f>
        <v>2.5188113480788293E-11</v>
      </c>
      <c r="BF48" s="70"/>
      <c r="BG48" s="70"/>
      <c r="BH48" s="70"/>
      <c r="BI48" s="70"/>
      <c r="BJ48" s="47">
        <f>IFERROR(IF(SUM(BF49:BF62)&gt;0.01,1-EXP(-SUM(BF49:BF62)),SUM(BF49:BF62)),".")</f>
        <v>1</v>
      </c>
      <c r="BK48" s="47">
        <f>IFERROR(IF(SUM(BG49:BG62)&gt;0.01,1-EXP(-SUM(BG49:BG62)),SUM(BG49:BG62)),".")</f>
        <v>1</v>
      </c>
      <c r="BL48" s="47">
        <f>IFERROR(IF(SUM(BH49:BH62)&gt;0.01,1-EXP(-SUM(BH49:BH62)),SUM(BH49:BH62)),".")</f>
        <v>1</v>
      </c>
      <c r="BM48" s="47">
        <f>IFERROR(IF(SUM(BI49:BI62)&gt;0.01,1-EXP(-SUM(BI49:BI62)),SUM(BI49:BI62)),".")</f>
        <v>1</v>
      </c>
      <c r="BN48" s="47">
        <f>IFERROR(IF(SUM(BF49:BG62)&gt;0.01,1-EXP(-SUM(BF49:BG62)),SUM(BF49:BG62)),".")</f>
        <v>1</v>
      </c>
      <c r="BO48" s="61">
        <f t="shared" ref="BO48:BP48" si="116">1/SUM(1/BO49,1/BO50,1/BO51,1/BO52,1/BO53,1/BO54,1/BO55,1/BO56,1/BO57,1/BO58,1/BO59,1/BO60,1/BO61,1/BO62)</f>
        <v>2.0202017153760287E-10</v>
      </c>
      <c r="BP48" s="61">
        <f t="shared" si="116"/>
        <v>2.0202017153760287E-10</v>
      </c>
      <c r="BQ48" s="70"/>
      <c r="BR48" s="70"/>
      <c r="BS48" s="47">
        <f>IFERROR(IF(SUM(BQ49:BQ62)&gt;0.01,1-EXP(-SUM(BQ49:BQ62)),SUM(BQ49:BQ62)),".")</f>
        <v>1</v>
      </c>
      <c r="BT48" s="47">
        <f t="shared" ref="BT48" si="117">IFERROR(IF(SUM(BR49:BR62)&gt;0.01,1-EXP(-SUM(BR49:BR62)),SUM(BR49:BR62)),".")</f>
        <v>1</v>
      </c>
    </row>
    <row r="49" spans="1:72" x14ac:dyDescent="0.25">
      <c r="A49" s="48" t="s">
        <v>1100</v>
      </c>
      <c r="B49" s="15">
        <v>1</v>
      </c>
      <c r="C49" s="249"/>
      <c r="D49" s="60">
        <f>IFERROR(D23/$B49,0)</f>
        <v>3.3057851239669421E-8</v>
      </c>
      <c r="E49" s="60">
        <f>IFERROR(E23/$B49,0)</f>
        <v>3.0899917851942918E-4</v>
      </c>
      <c r="F49" s="60">
        <f>IFERROR(F23/$B49,0)</f>
        <v>3.5003923532849144E-5</v>
      </c>
      <c r="G49" s="60">
        <f>IFERROR(G23/$B49,0)</f>
        <v>7.5757575757575769E-12</v>
      </c>
      <c r="H49" s="60">
        <f>IFERROR(H23/$B49,0)</f>
        <v>7.5757575757575769E-12</v>
      </c>
      <c r="I49" s="244">
        <f t="shared" si="10"/>
        <v>30250000</v>
      </c>
      <c r="J49" s="244">
        <f t="shared" si="10"/>
        <v>3236.2545583179349</v>
      </c>
      <c r="K49" s="244">
        <f t="shared" si="10"/>
        <v>28568.226046476138</v>
      </c>
      <c r="L49" s="244">
        <f t="shared" si="10"/>
        <v>131999999999.99998</v>
      </c>
      <c r="M49" s="244">
        <f t="shared" si="10"/>
        <v>131999999999.99998</v>
      </c>
      <c r="N49" s="63">
        <f>IFERROR(N23/$B49,0)</f>
        <v>3.7874443536007693E-12</v>
      </c>
      <c r="O49" s="71">
        <f>IFERROR(up_RadSpec!$E$23*O23,".")*$B$49</f>
        <v>1512.5</v>
      </c>
      <c r="P49" s="71">
        <f>IFERROR(up_RadSpec!$F$23*$P$23,".")*B49</f>
        <v>0.16181272791589676</v>
      </c>
      <c r="Q49" s="71">
        <f>IFERROR(up_RadSpec!$G$23*$Q$23,".")*B49</f>
        <v>1.428411302323807</v>
      </c>
      <c r="R49" s="71">
        <f>IFERROR(up_RadSpec!$H$23*R23,".")*$B$49</f>
        <v>6600000</v>
      </c>
      <c r="S49" s="71">
        <f>IFERROR(up_RadSpec!$H$23*S23,".")*$B$49</f>
        <v>6600000</v>
      </c>
      <c r="T49" s="49">
        <f t="shared" ref="T49:X62" si="118">IFERROR(IF(O49&gt;0.01,1-EXP(-O49),O49),".")</f>
        <v>1</v>
      </c>
      <c r="U49" s="49">
        <f t="shared" si="118"/>
        <v>0.14939951664921358</v>
      </c>
      <c r="V49" s="49">
        <f t="shared" si="118"/>
        <v>0.7603105860644801</v>
      </c>
      <c r="W49" s="49">
        <f t="shared" si="118"/>
        <v>1</v>
      </c>
      <c r="X49" s="49">
        <f t="shared" si="118"/>
        <v>1</v>
      </c>
      <c r="Y49" s="49">
        <f t="shared" si="36"/>
        <v>1</v>
      </c>
      <c r="Z49" s="60">
        <f t="shared" ref="Z49:AD49" si="119">IFERROR(Z23/$B49,0)</f>
        <v>3.5003923532849144E-5</v>
      </c>
      <c r="AA49" s="60">
        <f t="shared" si="119"/>
        <v>6.2307642417036043E-5</v>
      </c>
      <c r="AB49" s="60">
        <f t="shared" si="119"/>
        <v>4.4059313285674305E-5</v>
      </c>
      <c r="AC49" s="60">
        <f t="shared" si="119"/>
        <v>3.6055144855144853E-5</v>
      </c>
      <c r="AD49" s="60">
        <f t="shared" si="119"/>
        <v>9.8081956878073384E-5</v>
      </c>
      <c r="AE49" s="71">
        <f>IFERROR(up_RadSpec!$G$23*AE23,".")*$B$49</f>
        <v>1.428411302323807</v>
      </c>
      <c r="AF49" s="71">
        <f>IFERROR(up_RadSpec!$N$23*AF23,".")*$B$49</f>
        <v>0.80246977835144495</v>
      </c>
      <c r="AG49" s="71">
        <f>IFERROR(up_RadSpec!$O$23*AG23,".")*$B$49</f>
        <v>1.1348338471779424</v>
      </c>
      <c r="AH49" s="71">
        <f>IFERROR(up_RadSpec!$P$23*AH23,".")*$B$49</f>
        <v>1.386764640688035</v>
      </c>
      <c r="AI49" s="71">
        <f>IFERROR(up_RadSpec!$L$23*AI23,".")*$B$49</f>
        <v>0.5097777572092641</v>
      </c>
      <c r="AJ49" s="49">
        <f t="shared" ref="AJ49:AN62" si="120">IFERROR(IF(AE49&gt;0.01,1-EXP(-AE49),AE49),".")</f>
        <v>0.7603105860644801</v>
      </c>
      <c r="AK49" s="49">
        <f t="shared" si="120"/>
        <v>0.55177940954898408</v>
      </c>
      <c r="AL49" s="49">
        <f t="shared" si="120"/>
        <v>0.67852446903611974</v>
      </c>
      <c r="AM49" s="49">
        <f t="shared" si="120"/>
        <v>0.75011754225101024</v>
      </c>
      <c r="AN49" s="49">
        <f t="shared" si="120"/>
        <v>0.39937095054357941</v>
      </c>
      <c r="AO49" s="60">
        <f t="shared" ref="AO49:AQ49" si="121">IFERROR(AO23/$B49,0)</f>
        <v>9.9740259740259755E-10</v>
      </c>
      <c r="AP49" s="60">
        <f t="shared" si="121"/>
        <v>6.3709090909090908E-6</v>
      </c>
      <c r="AQ49" s="60">
        <f t="shared" si="121"/>
        <v>9.9724647271019672E-10</v>
      </c>
      <c r="AR49" s="71">
        <f>IFERROR(up_RadSpec!$F$23*AR23,".")*$B$49</f>
        <v>50130.208333333328</v>
      </c>
      <c r="AS49" s="71">
        <f>IFERROR(up_RadSpec!$K$23*AS23,".")*$B$49</f>
        <v>7.8481735159817356</v>
      </c>
      <c r="AT49" s="49">
        <f t="shared" ref="AT49:AU62" si="122">IFERROR(IF(AR49&gt;0.01,1-EXP(-AR49),AR49),".")</f>
        <v>1</v>
      </c>
      <c r="AU49" s="49">
        <f t="shared" si="122"/>
        <v>0.99960953550549536</v>
      </c>
      <c r="AV49" s="49">
        <f t="shared" ref="AV49:AV62" si="123">IFERROR(IF(SUM(AR49:AS49)&gt;0.01,1-EXP(-SUM(AR49:AS49)),SUM(AR49:AS49)),".")</f>
        <v>1</v>
      </c>
      <c r="AW49" s="60">
        <f t="shared" ref="AW49:AZ49" si="124">IFERROR(AW23/$B49,0)</f>
        <v>2.272727272727273E-10</v>
      </c>
      <c r="AX49" s="60">
        <f t="shared" si="124"/>
        <v>3.9818181818181825E-6</v>
      </c>
      <c r="AY49" s="63">
        <f t="shared" si="124"/>
        <v>1.8181818181818183E-7</v>
      </c>
      <c r="AZ49" s="63">
        <f t="shared" si="124"/>
        <v>1.8181818181818183E-7</v>
      </c>
      <c r="BA49" s="244">
        <f t="shared" si="43"/>
        <v>4399999999.999999</v>
      </c>
      <c r="BB49" s="244">
        <f t="shared" si="43"/>
        <v>251141.55251141547</v>
      </c>
      <c r="BC49" s="244">
        <f t="shared" si="43"/>
        <v>5500000</v>
      </c>
      <c r="BD49" s="244">
        <f t="shared" si="43"/>
        <v>5500000</v>
      </c>
      <c r="BE49" s="63">
        <f>IFERROR(BE23/$B49,0)</f>
        <v>2.2669305553255277E-10</v>
      </c>
      <c r="BF49" s="71">
        <f>IFERROR(up_RadSpec!$I$23*BF23,".")*$B$49</f>
        <v>220000</v>
      </c>
      <c r="BG49" s="71">
        <f>IFERROR(up_RadSpec!$M$23*BG23,".")*$B$49</f>
        <v>12.557077625570777</v>
      </c>
      <c r="BH49" s="71">
        <f>IFERROR(up_RadSpec!$H$23*BH23,".")*$B$49</f>
        <v>275</v>
      </c>
      <c r="BI49" s="71">
        <f>IFERROR(up_RadSpec!$H$23*BI23,".")*$B$49</f>
        <v>275</v>
      </c>
      <c r="BJ49" s="49">
        <f t="shared" ref="BJ49:BM62" si="125">IFERROR(IF(BF49&gt;0.01,1-EXP(-BF49),BF49),".")</f>
        <v>1</v>
      </c>
      <c r="BK49" s="49">
        <f t="shared" si="125"/>
        <v>0.99999648009875997</v>
      </c>
      <c r="BL49" s="49">
        <f t="shared" si="125"/>
        <v>1</v>
      </c>
      <c r="BM49" s="49">
        <f t="shared" si="125"/>
        <v>1</v>
      </c>
      <c r="BN49" s="49">
        <f t="shared" ref="BN49:BN62" si="126">IFERROR(IF(SUM(BF49:BG49)&gt;0.01,1-EXP(-SUM(BF49:BG49)),SUM(BF49:BG49)),".")</f>
        <v>1</v>
      </c>
      <c r="BO49" s="63">
        <f t="shared" ref="BO49:BP49" si="127">IFERROR(BO23/$B49,0)</f>
        <v>1.8181818181818184E-9</v>
      </c>
      <c r="BP49" s="63">
        <f t="shared" si="127"/>
        <v>1.8181818181818184E-9</v>
      </c>
      <c r="BQ49" s="71">
        <f>IFERROR(up_RadSpec!$H$23*BQ23,".")*$B$49</f>
        <v>27500</v>
      </c>
      <c r="BR49" s="71">
        <f>IFERROR(up_RadSpec!$H$23*BR23,".")*$B$49</f>
        <v>27500</v>
      </c>
      <c r="BS49" s="49">
        <f t="shared" ref="BS49:BT62" si="128">IFERROR(IF(BQ49&gt;0.01,1-EXP(-BQ49),BQ49),".")</f>
        <v>1</v>
      </c>
      <c r="BT49" s="49">
        <f t="shared" si="128"/>
        <v>1</v>
      </c>
    </row>
    <row r="50" spans="1:72" x14ac:dyDescent="0.25">
      <c r="A50" s="48" t="s">
        <v>1087</v>
      </c>
      <c r="B50" s="15">
        <v>1</v>
      </c>
      <c r="C50" s="249"/>
      <c r="D50" s="60">
        <f>IFERROR(D25/$B50,0)</f>
        <v>3.3057851239669421E-8</v>
      </c>
      <c r="E50" s="60">
        <f>IFERROR(E25/$B50,0)</f>
        <v>3.0899917851942918E-4</v>
      </c>
      <c r="F50" s="60">
        <f>IFERROR(F25/$B50,0)</f>
        <v>5.1171960569550945E-5</v>
      </c>
      <c r="G50" s="60">
        <f>IFERROR(G25/$B50,0)</f>
        <v>7.5757575757575769E-12</v>
      </c>
      <c r="H50" s="60">
        <f>IFERROR(H25/$B50,0)</f>
        <v>7.5757575757575769E-12</v>
      </c>
      <c r="I50" s="244">
        <f t="shared" si="10"/>
        <v>30250000</v>
      </c>
      <c r="J50" s="244">
        <f t="shared" si="10"/>
        <v>3236.2545583179349</v>
      </c>
      <c r="K50" s="244">
        <f t="shared" si="10"/>
        <v>19541.952054794514</v>
      </c>
      <c r="L50" s="244">
        <f t="shared" si="10"/>
        <v>131999999999.99998</v>
      </c>
      <c r="M50" s="244">
        <f t="shared" si="10"/>
        <v>131999999999.99998</v>
      </c>
      <c r="N50" s="63">
        <f>IFERROR(N25/$B50,0)</f>
        <v>3.7874444830802795E-12</v>
      </c>
      <c r="O50" s="71">
        <f>IFERROR(up_RadSpec!$E$25*O25,".")*$B$50</f>
        <v>1512.5</v>
      </c>
      <c r="P50" s="71">
        <f>IFERROR(up_RadSpec!$F$25*$P$25,".")*B50</f>
        <v>0.16181272791589676</v>
      </c>
      <c r="Q50" s="71">
        <f>IFERROR(up_RadSpec!$G$25*$Q$25,".")*B50</f>
        <v>0.9770976027397259</v>
      </c>
      <c r="R50" s="71">
        <f>IFERROR(up_RadSpec!$H$25*R25,".")*$B$50</f>
        <v>6600000</v>
      </c>
      <c r="S50" s="71">
        <f>IFERROR(up_RadSpec!$H$25*S25,".")*$B$50</f>
        <v>6600000</v>
      </c>
      <c r="T50" s="49">
        <f t="shared" si="118"/>
        <v>1</v>
      </c>
      <c r="U50" s="49">
        <f t="shared" si="118"/>
        <v>0.14939951664921358</v>
      </c>
      <c r="V50" s="49">
        <f t="shared" si="118"/>
        <v>0.62359801691963734</v>
      </c>
      <c r="W50" s="49">
        <f t="shared" si="118"/>
        <v>1</v>
      </c>
      <c r="X50" s="49">
        <f t="shared" si="118"/>
        <v>1</v>
      </c>
      <c r="Y50" s="49">
        <f t="shared" si="36"/>
        <v>1</v>
      </c>
      <c r="Z50" s="60">
        <f t="shared" ref="Z50:AD50" si="129">IFERROR(Z25/$B50,0)</f>
        <v>5.1171960569550945E-5</v>
      </c>
      <c r="AA50" s="60">
        <f t="shared" si="129"/>
        <v>9.1638362553616787E-5</v>
      </c>
      <c r="AB50" s="60">
        <f t="shared" si="129"/>
        <v>6.5732694272020137E-5</v>
      </c>
      <c r="AC50" s="60">
        <f t="shared" si="129"/>
        <v>5.8697641341709148E-5</v>
      </c>
      <c r="AD50" s="60">
        <f t="shared" si="129"/>
        <v>1.6429752066115703E-4</v>
      </c>
      <c r="AE50" s="71">
        <f>IFERROR(up_RadSpec!$G$25*AE25,".")*$B$50</f>
        <v>0.9770976027397259</v>
      </c>
      <c r="AF50" s="71">
        <f>IFERROR(up_RadSpec!$N$25*AF25,".")*$B$50</f>
        <v>0.54562301864293405</v>
      </c>
      <c r="AG50" s="71">
        <f>IFERROR(up_RadSpec!$O$25*AG25,".")*$B$50</f>
        <v>0.76065648234478456</v>
      </c>
      <c r="AH50" s="71">
        <f>IFERROR(up_RadSpec!$P$25*AH25,".")*$B$50</f>
        <v>0.8518229839751873</v>
      </c>
      <c r="AI50" s="71">
        <f>IFERROR(up_RadSpec!$L$25*AI25,".")*$B$50</f>
        <v>0.30432595573440646</v>
      </c>
      <c r="AJ50" s="49">
        <f t="shared" si="120"/>
        <v>0.62359801691963734</v>
      </c>
      <c r="AK50" s="49">
        <f t="shared" si="120"/>
        <v>0.42051935639105253</v>
      </c>
      <c r="AL50" s="49">
        <f t="shared" si="120"/>
        <v>0.53264048698983757</v>
      </c>
      <c r="AM50" s="49">
        <f t="shared" si="120"/>
        <v>0.57336352884660768</v>
      </c>
      <c r="AN50" s="49">
        <f t="shared" si="120"/>
        <v>0.26237960433647745</v>
      </c>
      <c r="AO50" s="60">
        <f t="shared" ref="AO50:AQ50" si="130">IFERROR(AO25/$B50,0)</f>
        <v>9.9740259740259755E-10</v>
      </c>
      <c r="AP50" s="60">
        <f t="shared" si="130"/>
        <v>6.3709090909090908E-6</v>
      </c>
      <c r="AQ50" s="60">
        <f t="shared" si="130"/>
        <v>9.9724647271019672E-10</v>
      </c>
      <c r="AR50" s="71">
        <f>IFERROR(up_RadSpec!$F$25*AR$25,".")*$B$50</f>
        <v>50130.208333333328</v>
      </c>
      <c r="AS50" s="71">
        <f>IFERROR(up_RadSpec!$K$25*AS25,".")*$B$50</f>
        <v>7.8481735159817356</v>
      </c>
      <c r="AT50" s="49">
        <f t="shared" si="122"/>
        <v>1</v>
      </c>
      <c r="AU50" s="49">
        <f t="shared" si="122"/>
        <v>0.99960953550549536</v>
      </c>
      <c r="AV50" s="49">
        <f t="shared" si="123"/>
        <v>1</v>
      </c>
      <c r="AW50" s="60">
        <f t="shared" ref="AW50:AZ50" si="131">IFERROR(AW25/$B50,0)</f>
        <v>2.272727272727273E-10</v>
      </c>
      <c r="AX50" s="60">
        <f t="shared" si="131"/>
        <v>3.9818181818181825E-6</v>
      </c>
      <c r="AY50" s="63">
        <f t="shared" si="131"/>
        <v>1.8181818181818183E-7</v>
      </c>
      <c r="AZ50" s="63">
        <f t="shared" si="131"/>
        <v>1.8181818181818183E-7</v>
      </c>
      <c r="BA50" s="244">
        <f t="shared" si="43"/>
        <v>4399999999.999999</v>
      </c>
      <c r="BB50" s="244">
        <f t="shared" si="43"/>
        <v>251141.55251141547</v>
      </c>
      <c r="BC50" s="244">
        <f t="shared" si="43"/>
        <v>5500000</v>
      </c>
      <c r="BD50" s="244">
        <f t="shared" si="43"/>
        <v>5500000</v>
      </c>
      <c r="BE50" s="63">
        <f>IFERROR(BE25/$B50,0)</f>
        <v>2.2669305553255277E-10</v>
      </c>
      <c r="BF50" s="71">
        <f>IFERROR(up_RadSpec!$I$25*BF25,".")*$B$50</f>
        <v>220000</v>
      </c>
      <c r="BG50" s="71">
        <f>IFERROR(up_RadSpec!$M$25*BG25,".")*$B$50</f>
        <v>12.557077625570777</v>
      </c>
      <c r="BH50" s="71">
        <f>IFERROR(up_RadSpec!$H$25*BH25,".")*$B$50</f>
        <v>275</v>
      </c>
      <c r="BI50" s="71">
        <f>IFERROR(up_RadSpec!$H$25*BI25,".")*$B$50</f>
        <v>275</v>
      </c>
      <c r="BJ50" s="49">
        <f t="shared" si="125"/>
        <v>1</v>
      </c>
      <c r="BK50" s="49">
        <f t="shared" si="125"/>
        <v>0.99999648009875997</v>
      </c>
      <c r="BL50" s="49">
        <f t="shared" si="125"/>
        <v>1</v>
      </c>
      <c r="BM50" s="49">
        <f t="shared" si="125"/>
        <v>1</v>
      </c>
      <c r="BN50" s="49">
        <f t="shared" si="126"/>
        <v>1</v>
      </c>
      <c r="BO50" s="63">
        <f t="shared" ref="BO50:BP50" si="132">IFERROR(BO25/$B50,0)</f>
        <v>1.8181818181818184E-9</v>
      </c>
      <c r="BP50" s="63">
        <f t="shared" si="132"/>
        <v>1.8181818181818184E-9</v>
      </c>
      <c r="BQ50" s="71">
        <f>IFERROR(up_RadSpec!$H$25*BQ25,".")*$B$50</f>
        <v>27500</v>
      </c>
      <c r="BR50" s="71">
        <f>IFERROR(up_RadSpec!$H$25*BR25,".")*$B$50</f>
        <v>27500</v>
      </c>
      <c r="BS50" s="49">
        <f t="shared" si="128"/>
        <v>1</v>
      </c>
      <c r="BT50" s="49">
        <f t="shared" si="128"/>
        <v>1</v>
      </c>
    </row>
    <row r="51" spans="1:72" x14ac:dyDescent="0.25">
      <c r="A51" s="48" t="s">
        <v>1073</v>
      </c>
      <c r="B51" s="15">
        <v>1</v>
      </c>
      <c r="C51" s="249"/>
      <c r="D51" s="60">
        <f>IFERROR(D21/$B51,0)</f>
        <v>3.3057851239669421E-8</v>
      </c>
      <c r="E51" s="60">
        <f>IFERROR(E21/$B51,0)</f>
        <v>3.0899917851942918E-4</v>
      </c>
      <c r="F51" s="60">
        <f>IFERROR(F21/$B51,0)</f>
        <v>0</v>
      </c>
      <c r="G51" s="60">
        <f>IFERROR(G21/$B51,0)</f>
        <v>7.5757575757575769E-12</v>
      </c>
      <c r="H51" s="60">
        <f>IFERROR(H21/$B51,0)</f>
        <v>7.5757575757575769E-12</v>
      </c>
      <c r="I51" s="244">
        <f t="shared" si="10"/>
        <v>30250000</v>
      </c>
      <c r="J51" s="244">
        <f t="shared" si="10"/>
        <v>3236.2545583179349</v>
      </c>
      <c r="K51" s="244">
        <f t="shared" si="10"/>
        <v>0</v>
      </c>
      <c r="L51" s="244">
        <f t="shared" si="10"/>
        <v>131999999999.99998</v>
      </c>
      <c r="M51" s="244">
        <f t="shared" si="10"/>
        <v>131999999999.99998</v>
      </c>
      <c r="N51" s="63">
        <f>IFERROR(N21/$B51,0)</f>
        <v>3.787444763404439E-12</v>
      </c>
      <c r="O51" s="71">
        <f>IFERROR(up_RadSpec!$E$21*O21,".")*$B$51</f>
        <v>1512.5</v>
      </c>
      <c r="P51" s="71">
        <f>IFERROR(up_RadSpec!$F$21*$P$21,".")*B51</f>
        <v>0.16181272791589676</v>
      </c>
      <c r="Q51" s="71">
        <f>IFERROR(up_RadSpec!$G$21*$Q$21,".")*B51</f>
        <v>0</v>
      </c>
      <c r="R51" s="71">
        <f>IFERROR(up_RadSpec!$H$21*R21,".")*$B$51</f>
        <v>6600000</v>
      </c>
      <c r="S51" s="71">
        <f>IFERROR(up_RadSpec!$H$21*S21,".")*$B$51</f>
        <v>6600000</v>
      </c>
      <c r="T51" s="49">
        <f t="shared" si="118"/>
        <v>1</v>
      </c>
      <c r="U51" s="49">
        <f t="shared" si="118"/>
        <v>0.14939951664921358</v>
      </c>
      <c r="V51" s="49">
        <f t="shared" si="118"/>
        <v>0</v>
      </c>
      <c r="W51" s="49">
        <f t="shared" si="118"/>
        <v>1</v>
      </c>
      <c r="X51" s="49">
        <f t="shared" si="118"/>
        <v>1</v>
      </c>
      <c r="Y51" s="49">
        <f t="shared" si="36"/>
        <v>1</v>
      </c>
      <c r="Z51" s="60">
        <f t="shared" ref="Z51:AD51" si="133">IFERROR(Z21/$B51,0)</f>
        <v>0</v>
      </c>
      <c r="AA51" s="60">
        <f t="shared" si="133"/>
        <v>0</v>
      </c>
      <c r="AB51" s="60">
        <f t="shared" si="133"/>
        <v>0</v>
      </c>
      <c r="AC51" s="60">
        <f t="shared" si="133"/>
        <v>0</v>
      </c>
      <c r="AD51" s="60">
        <f t="shared" si="133"/>
        <v>0</v>
      </c>
      <c r="AE51" s="71">
        <f>IFERROR(up_RadSpec!$G$21*AE21,".")*$B$51</f>
        <v>0</v>
      </c>
      <c r="AF51" s="71">
        <f>IFERROR(up_RadSpec!$N$21*AF21,".")*$B$51</f>
        <v>0</v>
      </c>
      <c r="AG51" s="71">
        <f>IFERROR(up_RadSpec!$O$21*AG21,".")*$B$51</f>
        <v>0</v>
      </c>
      <c r="AH51" s="71">
        <f>IFERROR(up_RadSpec!$P$21*AH21,".")*$B$51</f>
        <v>0</v>
      </c>
      <c r="AI51" s="71">
        <f>IFERROR(up_RadSpec!$L$21*AI21,".")*$B$51</f>
        <v>0</v>
      </c>
      <c r="AJ51" s="49">
        <f t="shared" si="120"/>
        <v>0</v>
      </c>
      <c r="AK51" s="49">
        <f t="shared" si="120"/>
        <v>0</v>
      </c>
      <c r="AL51" s="49">
        <f t="shared" si="120"/>
        <v>0</v>
      </c>
      <c r="AM51" s="49">
        <f t="shared" si="120"/>
        <v>0</v>
      </c>
      <c r="AN51" s="49">
        <f t="shared" si="120"/>
        <v>0</v>
      </c>
      <c r="AO51" s="60">
        <f t="shared" ref="AO51:AQ51" si="134">IFERROR(AO21/$B51,0)</f>
        <v>9.9740259740259755E-10</v>
      </c>
      <c r="AP51" s="60">
        <f t="shared" si="134"/>
        <v>6.3709090909090908E-6</v>
      </c>
      <c r="AQ51" s="60">
        <f t="shared" si="134"/>
        <v>9.9724647271019672E-10</v>
      </c>
      <c r="AR51" s="71">
        <f>IFERROR(up_RadSpec!$F$21*AR21,".")*$B$51</f>
        <v>50130.208333333328</v>
      </c>
      <c r="AS51" s="71">
        <f>IFERROR(up_RadSpec!$K$21*AS21,".")*$B$51</f>
        <v>7.8481735159817356</v>
      </c>
      <c r="AT51" s="49">
        <f t="shared" si="122"/>
        <v>1</v>
      </c>
      <c r="AU51" s="49">
        <f t="shared" si="122"/>
        <v>0.99960953550549536</v>
      </c>
      <c r="AV51" s="49">
        <f t="shared" si="123"/>
        <v>1</v>
      </c>
      <c r="AW51" s="60">
        <f t="shared" ref="AW51:AZ51" si="135">IFERROR(AW21/$B51,0)</f>
        <v>2.272727272727273E-10</v>
      </c>
      <c r="AX51" s="60">
        <f t="shared" si="135"/>
        <v>3.9818181818181825E-6</v>
      </c>
      <c r="AY51" s="63">
        <f t="shared" si="135"/>
        <v>1.8181818181818183E-7</v>
      </c>
      <c r="AZ51" s="63">
        <f t="shared" si="135"/>
        <v>1.8181818181818183E-7</v>
      </c>
      <c r="BA51" s="244">
        <f t="shared" si="43"/>
        <v>4399999999.999999</v>
      </c>
      <c r="BB51" s="244">
        <f t="shared" si="43"/>
        <v>251141.55251141547</v>
      </c>
      <c r="BC51" s="244">
        <f t="shared" si="43"/>
        <v>5500000</v>
      </c>
      <c r="BD51" s="244">
        <f t="shared" si="43"/>
        <v>5500000</v>
      </c>
      <c r="BE51" s="63">
        <f>IFERROR(BE21/$B51,0)</f>
        <v>2.2669305553255277E-10</v>
      </c>
      <c r="BF51" s="71">
        <f>IFERROR(up_RadSpec!$I$21*BF21,".")*$B$51</f>
        <v>220000</v>
      </c>
      <c r="BG51" s="71">
        <f>IFERROR(up_RadSpec!$M$21*BG21,".")*$B$51</f>
        <v>12.557077625570777</v>
      </c>
      <c r="BH51" s="71">
        <f>IFERROR(up_RadSpec!$H$21*BH21,".")*$B$51</f>
        <v>275</v>
      </c>
      <c r="BI51" s="71">
        <f>IFERROR(up_RadSpec!$H$21*BI21,".")*$B$51</f>
        <v>275</v>
      </c>
      <c r="BJ51" s="49">
        <f t="shared" si="125"/>
        <v>1</v>
      </c>
      <c r="BK51" s="49">
        <f t="shared" si="125"/>
        <v>0.99999648009875997</v>
      </c>
      <c r="BL51" s="49">
        <f t="shared" si="125"/>
        <v>1</v>
      </c>
      <c r="BM51" s="49">
        <f t="shared" si="125"/>
        <v>1</v>
      </c>
      <c r="BN51" s="49">
        <f t="shared" si="126"/>
        <v>1</v>
      </c>
      <c r="BO51" s="63">
        <f t="shared" ref="BO51:BP51" si="136">IFERROR(BO21/$B51,0)</f>
        <v>1.8181818181818184E-9</v>
      </c>
      <c r="BP51" s="63">
        <f t="shared" si="136"/>
        <v>1.8181818181818184E-9</v>
      </c>
      <c r="BQ51" s="71">
        <f>IFERROR(up_RadSpec!$H$21*BQ21,".")*$B$51</f>
        <v>27500</v>
      </c>
      <c r="BR51" s="71">
        <f>IFERROR(up_RadSpec!$H$21*BR21,".")*$B$51</f>
        <v>27500</v>
      </c>
      <c r="BS51" s="49">
        <f t="shared" si="128"/>
        <v>1</v>
      </c>
      <c r="BT51" s="49">
        <f t="shared" si="128"/>
        <v>1</v>
      </c>
    </row>
    <row r="52" spans="1:72" x14ac:dyDescent="0.25">
      <c r="A52" s="48" t="s">
        <v>1074</v>
      </c>
      <c r="B52" s="51">
        <v>0.99980000000000002</v>
      </c>
      <c r="C52" s="251"/>
      <c r="D52" s="60">
        <f>IFERROR(D17/$B52,0)</f>
        <v>3.3064464132495918E-8</v>
      </c>
      <c r="E52" s="60">
        <f>IFERROR(E17/$B52,0)</f>
        <v>3.090609907175727E-4</v>
      </c>
      <c r="F52" s="60">
        <f>IFERROR(F17/$B52,0)</f>
        <v>7.0342285694447007E-5</v>
      </c>
      <c r="G52" s="60">
        <f>IFERROR(G17/$B52,0)</f>
        <v>7.5772730303636489E-12</v>
      </c>
      <c r="H52" s="60">
        <f>IFERROR(H17/$B52,0)</f>
        <v>7.5772730303636489E-12</v>
      </c>
      <c r="I52" s="244">
        <f t="shared" si="10"/>
        <v>30243950.000000004</v>
      </c>
      <c r="J52" s="244">
        <f t="shared" si="10"/>
        <v>3235.607307406271</v>
      </c>
      <c r="K52" s="244">
        <f t="shared" si="10"/>
        <v>14216.199973139946</v>
      </c>
      <c r="L52" s="244">
        <f t="shared" si="10"/>
        <v>131973599999.99998</v>
      </c>
      <c r="M52" s="244">
        <f t="shared" si="10"/>
        <v>131973599999.99998</v>
      </c>
      <c r="N52" s="63">
        <f>IFERROR(N17/$B52,0)</f>
        <v>3.788202199875969E-12</v>
      </c>
      <c r="O52" s="71">
        <f>IFERROR(up_RadSpec!$E$17*O17,".")*$B$52</f>
        <v>1512.1975</v>
      </c>
      <c r="P52" s="71">
        <f>IFERROR(up_RadSpec!$F$17*$P$17,".")*B52</f>
        <v>0.16178036537031359</v>
      </c>
      <c r="Q52" s="71">
        <f>IFERROR(up_RadSpec!$G$17*$Q$17,".")*B52</f>
        <v>0.71080999865699734</v>
      </c>
      <c r="R52" s="71">
        <f>IFERROR(up_RadSpec!$H$17*R17,".")*$B$52</f>
        <v>6598680</v>
      </c>
      <c r="S52" s="71">
        <f>IFERROR(up_RadSpec!$H$17*S17,".")*$B$52</f>
        <v>6598680</v>
      </c>
      <c r="T52" s="49">
        <f t="shared" si="118"/>
        <v>1</v>
      </c>
      <c r="U52" s="49">
        <f t="shared" si="118"/>
        <v>0.14937198860686174</v>
      </c>
      <c r="V52" s="49">
        <f t="shared" si="118"/>
        <v>0.50875387243889225</v>
      </c>
      <c r="W52" s="49">
        <f t="shared" si="118"/>
        <v>1</v>
      </c>
      <c r="X52" s="49">
        <f t="shared" si="118"/>
        <v>1</v>
      </c>
      <c r="Y52" s="49">
        <f t="shared" si="36"/>
        <v>1</v>
      </c>
      <c r="Z52" s="60">
        <f t="shared" ref="Z52:AD52" si="137">IFERROR(Z17/$B52,0)</f>
        <v>7.0342285694447007E-5</v>
      </c>
      <c r="AA52" s="60">
        <f t="shared" si="137"/>
        <v>1.2293785520792731E-4</v>
      </c>
      <c r="AB52" s="60">
        <f t="shared" si="137"/>
        <v>9.2623153705958522E-5</v>
      </c>
      <c r="AC52" s="60">
        <f t="shared" si="137"/>
        <v>8.2363423450425844E-5</v>
      </c>
      <c r="AD52" s="60">
        <f t="shared" si="137"/>
        <v>2.3556566311846343E-4</v>
      </c>
      <c r="AE52" s="71">
        <f>IFERROR(up_RadSpec!$G$17*AE17,".")*$B$52</f>
        <v>0.71080999865699734</v>
      </c>
      <c r="AF52" s="71">
        <f>IFERROR(up_RadSpec!$N$17*AF17,".")*$B$52</f>
        <v>0.40670955187426988</v>
      </c>
      <c r="AG52" s="71">
        <f>IFERROR(up_RadSpec!$O$17*AG17,".")*$B$52</f>
        <v>0.53982182639483445</v>
      </c>
      <c r="AH52" s="71">
        <f>IFERROR(up_RadSpec!$P$17*AH17,".")*$B$52</f>
        <v>0.60706558694824986</v>
      </c>
      <c r="AI52" s="71">
        <f>IFERROR(up_RadSpec!$L$17*AI17,".")*$B$52</f>
        <v>0.21225504319301214</v>
      </c>
      <c r="AJ52" s="49">
        <f t="shared" si="120"/>
        <v>0.50875387243889225</v>
      </c>
      <c r="AK52" s="49">
        <f t="shared" si="120"/>
        <v>0.33416244651137428</v>
      </c>
      <c r="AL52" s="49">
        <f t="shared" si="120"/>
        <v>0.41714790801851698</v>
      </c>
      <c r="AM52" s="49">
        <f t="shared" si="120"/>
        <v>0.45505237341634763</v>
      </c>
      <c r="AN52" s="49">
        <f t="shared" si="120"/>
        <v>0.19124159706486266</v>
      </c>
      <c r="AO52" s="60">
        <f t="shared" ref="AO52:AQ52" si="138">IFERROR(AO17/$B52,0)</f>
        <v>9.9760211782616282E-10</v>
      </c>
      <c r="AP52" s="60">
        <f t="shared" si="138"/>
        <v>6.3721835276146137E-6</v>
      </c>
      <c r="AQ52" s="60">
        <f t="shared" si="138"/>
        <v>9.9744596190257714E-10</v>
      </c>
      <c r="AR52" s="71">
        <f>IFERROR(up_RadSpec!$F$17*AR17,".")*$B$52</f>
        <v>50120.182291666664</v>
      </c>
      <c r="AS52" s="71">
        <f>IFERROR(up_RadSpec!$K$17*AS17,".")*$B$52</f>
        <v>7.846603881278539</v>
      </c>
      <c r="AT52" s="49">
        <f t="shared" si="122"/>
        <v>1</v>
      </c>
      <c r="AU52" s="49">
        <f t="shared" si="122"/>
        <v>0.99960892213761854</v>
      </c>
      <c r="AV52" s="49">
        <f t="shared" si="123"/>
        <v>1</v>
      </c>
      <c r="AW52" s="60">
        <f t="shared" ref="AW52:AZ52" si="139">IFERROR(AW17/$B52,0)</f>
        <v>2.2731819091090949E-10</v>
      </c>
      <c r="AX52" s="60">
        <f t="shared" si="139"/>
        <v>3.9826147047591344E-6</v>
      </c>
      <c r="AY52" s="63">
        <f t="shared" si="139"/>
        <v>1.8185455272872756E-7</v>
      </c>
      <c r="AZ52" s="63">
        <f t="shared" si="139"/>
        <v>1.8185455272872756E-7</v>
      </c>
      <c r="BA52" s="244">
        <f t="shared" si="43"/>
        <v>4399119999.999999</v>
      </c>
      <c r="BB52" s="244">
        <f t="shared" si="43"/>
        <v>251091.32420091319</v>
      </c>
      <c r="BC52" s="244">
        <f t="shared" si="43"/>
        <v>5498900</v>
      </c>
      <c r="BD52" s="244">
        <f t="shared" si="43"/>
        <v>5498900</v>
      </c>
      <c r="BE52" s="63">
        <f>IFERROR(BE17/$B52,0)</f>
        <v>2.2673840321319541E-10</v>
      </c>
      <c r="BF52" s="71">
        <f>IFERROR(up_RadSpec!$I$17*BF17,".")*$B$52</f>
        <v>219956</v>
      </c>
      <c r="BG52" s="71">
        <f>IFERROR(up_RadSpec!$M$17*BG17,".")*$B$52</f>
        <v>12.554566210045664</v>
      </c>
      <c r="BH52" s="71">
        <f>IFERROR(up_RadSpec!$H$17*BH17,".")*$B$52</f>
        <v>274.94499999999999</v>
      </c>
      <c r="BI52" s="71">
        <f>IFERROR(up_RadSpec!$H$17*BI17,".")*$B$52</f>
        <v>274.94499999999999</v>
      </c>
      <c r="BJ52" s="49">
        <f t="shared" si="125"/>
        <v>1</v>
      </c>
      <c r="BK52" s="49">
        <f t="shared" si="125"/>
        <v>0.99999647124771573</v>
      </c>
      <c r="BL52" s="49">
        <f t="shared" si="125"/>
        <v>1</v>
      </c>
      <c r="BM52" s="49">
        <f t="shared" si="125"/>
        <v>1</v>
      </c>
      <c r="BN52" s="49">
        <f t="shared" si="126"/>
        <v>1</v>
      </c>
      <c r="BO52" s="63">
        <f t="shared" ref="BO52:BP52" si="140">IFERROR(BO17/$B52,0)</f>
        <v>1.8185455272872759E-9</v>
      </c>
      <c r="BP52" s="63">
        <f t="shared" si="140"/>
        <v>1.8185455272872759E-9</v>
      </c>
      <c r="BQ52" s="71">
        <f>IFERROR(up_RadSpec!$H$17*BQ17,".")*$B$52</f>
        <v>27494.5</v>
      </c>
      <c r="BR52" s="71">
        <f>IFERROR(up_RadSpec!$H$17*BR17,".")*$B$52</f>
        <v>27494.5</v>
      </c>
      <c r="BS52" s="49">
        <f t="shared" si="128"/>
        <v>1</v>
      </c>
      <c r="BT52" s="49">
        <f t="shared" si="128"/>
        <v>1</v>
      </c>
    </row>
    <row r="53" spans="1:72" x14ac:dyDescent="0.25">
      <c r="A53" s="48" t="s">
        <v>1088</v>
      </c>
      <c r="B53" s="15">
        <v>2.0000000000000001E-4</v>
      </c>
      <c r="C53" s="249"/>
      <c r="D53" s="60">
        <f>IFERROR(D5/$B53,0)</f>
        <v>1.6528925619834709E-4</v>
      </c>
      <c r="E53" s="60">
        <f>IFERROR(E5/$B53,0)</f>
        <v>1.5449958925971459</v>
      </c>
      <c r="F53" s="60">
        <f>IFERROR(F5/$B53,0)</f>
        <v>0</v>
      </c>
      <c r="G53" s="60">
        <f>IFERROR(G5/$B53,0)</f>
        <v>3.7878787878787881E-8</v>
      </c>
      <c r="H53" s="60">
        <f>IFERROR(H5/$B53,0)</f>
        <v>3.7878787878787881E-8</v>
      </c>
      <c r="I53" s="244">
        <f t="shared" si="10"/>
        <v>6050.0000000000009</v>
      </c>
      <c r="J53" s="244">
        <f t="shared" si="10"/>
        <v>0.64725091166358695</v>
      </c>
      <c r="K53" s="244">
        <f t="shared" si="10"/>
        <v>0</v>
      </c>
      <c r="L53" s="244">
        <f t="shared" si="10"/>
        <v>26400000</v>
      </c>
      <c r="M53" s="244">
        <f t="shared" si="10"/>
        <v>26400000</v>
      </c>
      <c r="N53" s="63">
        <f>IFERROR(N5/$B53,0)</f>
        <v>1.8937223817022194E-8</v>
      </c>
      <c r="O53" s="71">
        <f>IFERROR(up_RadSpec!$E$5*O5,".")*$B$53</f>
        <v>0.30249999999999999</v>
      </c>
      <c r="P53" s="71">
        <f>IFERROR(up_RadSpec!$F$5*$P$5,".")*B53</f>
        <v>3.2362545583179355E-5</v>
      </c>
      <c r="Q53" s="71">
        <f>IFERROR(up_RadSpec!$G$5*$Q$5,".")*B53</f>
        <v>0</v>
      </c>
      <c r="R53" s="71">
        <f>IFERROR(up_RadSpec!$H$5*R5,".")*$B$53</f>
        <v>1320</v>
      </c>
      <c r="S53" s="71">
        <f>IFERROR(up_RadSpec!$H$5*S5,".")*$B$53</f>
        <v>1320</v>
      </c>
      <c r="T53" s="49">
        <f t="shared" si="118"/>
        <v>0.26103151174105577</v>
      </c>
      <c r="U53" s="49">
        <f t="shared" si="118"/>
        <v>3.2362545583179355E-5</v>
      </c>
      <c r="V53" s="49">
        <f t="shared" si="118"/>
        <v>0</v>
      </c>
      <c r="W53" s="49">
        <f t="shared" si="118"/>
        <v>1</v>
      </c>
      <c r="X53" s="49">
        <f t="shared" si="118"/>
        <v>1</v>
      </c>
      <c r="Y53" s="49">
        <f t="shared" si="36"/>
        <v>1</v>
      </c>
      <c r="Z53" s="60">
        <f t="shared" ref="Z53:AD53" si="141">IFERROR(Z5/$B53,0)</f>
        <v>0</v>
      </c>
      <c r="AA53" s="60">
        <f t="shared" si="141"/>
        <v>0</v>
      </c>
      <c r="AB53" s="60">
        <f t="shared" si="141"/>
        <v>0</v>
      </c>
      <c r="AC53" s="60">
        <f t="shared" si="141"/>
        <v>0</v>
      </c>
      <c r="AD53" s="60">
        <f t="shared" si="141"/>
        <v>0</v>
      </c>
      <c r="AE53" s="71">
        <f>IFERROR(up_RadSpec!$G$5*AE5,".")*$B$53</f>
        <v>0</v>
      </c>
      <c r="AF53" s="71">
        <f>IFERROR(up_RadSpec!$N$5*AF5,".")*$B$53</f>
        <v>0</v>
      </c>
      <c r="AG53" s="71">
        <f>IFERROR(up_RadSpec!$O$5*AG5,".")*$B$53</f>
        <v>0</v>
      </c>
      <c r="AH53" s="71">
        <f>IFERROR(up_RadSpec!$P$5*AH5,".")*$B$53</f>
        <v>0</v>
      </c>
      <c r="AI53" s="71">
        <f>IFERROR(up_RadSpec!$L$5*AI5,".")*$B$53</f>
        <v>0</v>
      </c>
      <c r="AJ53" s="49">
        <f t="shared" si="120"/>
        <v>0</v>
      </c>
      <c r="AK53" s="49">
        <f t="shared" si="120"/>
        <v>0</v>
      </c>
      <c r="AL53" s="49">
        <f t="shared" si="120"/>
        <v>0</v>
      </c>
      <c r="AM53" s="49">
        <f t="shared" si="120"/>
        <v>0</v>
      </c>
      <c r="AN53" s="49">
        <f t="shared" si="120"/>
        <v>0</v>
      </c>
      <c r="AO53" s="60">
        <f t="shared" ref="AO53:AQ53" si="142">IFERROR(AO5/$B53,0)</f>
        <v>4.9870129870129872E-6</v>
      </c>
      <c r="AP53" s="60">
        <f t="shared" si="142"/>
        <v>3.1854545454545455E-2</v>
      </c>
      <c r="AQ53" s="60">
        <f t="shared" si="142"/>
        <v>4.9862323635509835E-6</v>
      </c>
      <c r="AR53" s="71">
        <f>IFERROR(up_RadSpec!$F$5*AR5,".")*$B$53</f>
        <v>10.026041666666666</v>
      </c>
      <c r="AS53" s="71">
        <f>IFERROR(up_RadSpec!$K$5*AS5,".")*$B$53</f>
        <v>1.5696347031963472E-3</v>
      </c>
      <c r="AT53" s="49">
        <f t="shared" si="122"/>
        <v>0.99995576709844258</v>
      </c>
      <c r="AU53" s="49">
        <f t="shared" si="122"/>
        <v>1.5696347031963472E-3</v>
      </c>
      <c r="AV53" s="49">
        <f t="shared" si="123"/>
        <v>0.99995583647347897</v>
      </c>
      <c r="AW53" s="60">
        <f t="shared" ref="AW53:AZ53" si="143">IFERROR(AW5/$B53,0)</f>
        <v>1.1363636363636364E-6</v>
      </c>
      <c r="AX53" s="60">
        <f t="shared" si="143"/>
        <v>1.9909090909090911E-2</v>
      </c>
      <c r="AY53" s="63">
        <f t="shared" si="143"/>
        <v>9.0909090909090909E-4</v>
      </c>
      <c r="AZ53" s="63">
        <f t="shared" si="143"/>
        <v>9.0909090909090909E-4</v>
      </c>
      <c r="BA53" s="244">
        <f t="shared" si="43"/>
        <v>880000</v>
      </c>
      <c r="BB53" s="244">
        <f t="shared" si="43"/>
        <v>50.228310502283101</v>
      </c>
      <c r="BC53" s="244">
        <f t="shared" si="43"/>
        <v>1100</v>
      </c>
      <c r="BD53" s="244">
        <f t="shared" si="43"/>
        <v>1100</v>
      </c>
      <c r="BE53" s="63">
        <f>IFERROR(BE5/$B53,0)</f>
        <v>1.1334652776627639E-6</v>
      </c>
      <c r="BF53" s="71">
        <f>IFERROR(up_RadSpec!$I$5*BF5,".")*$B$53</f>
        <v>44</v>
      </c>
      <c r="BG53" s="71">
        <f>IFERROR(up_RadSpec!$M$5*BG5,".")*$B$53</f>
        <v>2.5114155251141556E-3</v>
      </c>
      <c r="BH53" s="71">
        <f>IFERROR(up_RadSpec!$H$5*BH5,".")*$B$53</f>
        <v>5.5E-2</v>
      </c>
      <c r="BI53" s="71">
        <f>IFERROR(up_RadSpec!$H$5*BI5,".")*$B$53</f>
        <v>5.5E-2</v>
      </c>
      <c r="BJ53" s="49">
        <f t="shared" si="125"/>
        <v>1</v>
      </c>
      <c r="BK53" s="49">
        <f t="shared" si="125"/>
        <v>2.5114155251141556E-3</v>
      </c>
      <c r="BL53" s="49">
        <f t="shared" si="125"/>
        <v>5.3514852046516181E-2</v>
      </c>
      <c r="BM53" s="49">
        <f t="shared" si="125"/>
        <v>5.3514852046516181E-2</v>
      </c>
      <c r="BN53" s="49">
        <f t="shared" si="126"/>
        <v>1</v>
      </c>
      <c r="BO53" s="63">
        <f t="shared" ref="BO53:BP53" si="144">IFERROR(BO5/$B53,0)</f>
        <v>9.090909090909091E-6</v>
      </c>
      <c r="BP53" s="63">
        <f t="shared" si="144"/>
        <v>9.090909090909091E-6</v>
      </c>
      <c r="BQ53" s="71">
        <f>IFERROR(up_RadSpec!$H$5*BQ5,".")*$B$53</f>
        <v>5.5</v>
      </c>
      <c r="BR53" s="71">
        <f>IFERROR(up_RadSpec!$H$5*BR5,".")*$B$53</f>
        <v>5.5</v>
      </c>
      <c r="BS53" s="49">
        <f t="shared" si="128"/>
        <v>0.99591322856153597</v>
      </c>
      <c r="BT53" s="49">
        <f t="shared" si="128"/>
        <v>0.99591322856153597</v>
      </c>
    </row>
    <row r="54" spans="1:72" x14ac:dyDescent="0.25">
      <c r="A54" s="48" t="s">
        <v>1089</v>
      </c>
      <c r="B54" s="15">
        <v>0.99999979999999999</v>
      </c>
      <c r="C54" s="249"/>
      <c r="D54" s="60">
        <f>IFERROR(D9/$B54,0)</f>
        <v>3.3057857851240988E-8</v>
      </c>
      <c r="E54" s="60">
        <f>IFERROR(E9/$B54,0)</f>
        <v>3.0899924031927724E-4</v>
      </c>
      <c r="F54" s="60">
        <f>IFERROR(F9/$B54,0)</f>
        <v>2.600218650537089E-5</v>
      </c>
      <c r="G54" s="60">
        <f>IFERROR(G9/$B54,0)</f>
        <v>7.5757590909093956E-12</v>
      </c>
      <c r="H54" s="60">
        <f>IFERROR(H9/$B54,0)</f>
        <v>7.5757590909093956E-12</v>
      </c>
      <c r="I54" s="244">
        <f t="shared" si="10"/>
        <v>30249993.950000003</v>
      </c>
      <c r="J54" s="244">
        <f t="shared" si="10"/>
        <v>3236.2539110670232</v>
      </c>
      <c r="K54" s="244">
        <f t="shared" si="10"/>
        <v>38458.304258122473</v>
      </c>
      <c r="L54" s="244">
        <f t="shared" si="10"/>
        <v>131999973599.99997</v>
      </c>
      <c r="M54" s="244">
        <f t="shared" si="10"/>
        <v>131999973599.99997</v>
      </c>
      <c r="N54" s="63">
        <f>IFERROR(N9/$B54,0)</f>
        <v>3.7874449692191101E-12</v>
      </c>
      <c r="O54" s="71">
        <f>IFERROR(up_RadSpec!$E$9*O9,".")*$B$54</f>
        <v>1512.4996974999999</v>
      </c>
      <c r="P54" s="71">
        <f>IFERROR(up_RadSpec!$F$9*$P$9,".")*B54</f>
        <v>0.16181269555335118</v>
      </c>
      <c r="Q54" s="71">
        <f>IFERROR(up_RadSpec!$G$9*$Q$9,".")*B54</f>
        <v>1.9229152129061235</v>
      </c>
      <c r="R54" s="71">
        <f>IFERROR(up_RadSpec!$H$9*R9,".")*$B$54</f>
        <v>6599998.6799999997</v>
      </c>
      <c r="S54" s="71">
        <f>IFERROR(up_RadSpec!$H$9*S9,".")*$B$54</f>
        <v>6599998.6799999997</v>
      </c>
      <c r="T54" s="49">
        <f t="shared" si="118"/>
        <v>1</v>
      </c>
      <c r="U54" s="49">
        <f t="shared" si="118"/>
        <v>0.14939948912161627</v>
      </c>
      <c r="V54" s="49">
        <f t="shared" si="118"/>
        <v>0.85381980601553686</v>
      </c>
      <c r="W54" s="49">
        <f t="shared" si="118"/>
        <v>1</v>
      </c>
      <c r="X54" s="49">
        <f t="shared" si="118"/>
        <v>1</v>
      </c>
      <c r="Y54" s="49">
        <f t="shared" si="36"/>
        <v>1</v>
      </c>
      <c r="Z54" s="60">
        <f t="shared" ref="Z54:AD54" si="145">IFERROR(Z9/$B54,0)</f>
        <v>2.600218650537089E-5</v>
      </c>
      <c r="AA54" s="60">
        <f t="shared" si="145"/>
        <v>5.3256828833183977E-5</v>
      </c>
      <c r="AB54" s="60">
        <f t="shared" si="145"/>
        <v>3.7472546918109186E-5</v>
      </c>
      <c r="AC54" s="60">
        <f t="shared" si="145"/>
        <v>3.0889262376199585E-5</v>
      </c>
      <c r="AD54" s="60">
        <f t="shared" si="145"/>
        <v>9.4332728410522875E-5</v>
      </c>
      <c r="AE54" s="71">
        <f>IFERROR(up_RadSpec!$G$9*AE9,".")*$B$54</f>
        <v>1.9229152129061235</v>
      </c>
      <c r="AF54" s="71">
        <f>IFERROR(up_RadSpec!$N$9*AF9,".")*$B$54</f>
        <v>0.93884673750693426</v>
      </c>
      <c r="AG54" s="71">
        <f>IFERROR(up_RadSpec!$O$9*AG9,".")*$B$54</f>
        <v>1.3343101580276284</v>
      </c>
      <c r="AH54" s="71">
        <f>IFERROR(up_RadSpec!$P$9*AH9,".")*$B$54</f>
        <v>1.6186854639340751</v>
      </c>
      <c r="AI54" s="71">
        <f>IFERROR(up_RadSpec!$L$9*AI9,".")*$B$54</f>
        <v>0.53003873462036399</v>
      </c>
      <c r="AJ54" s="49">
        <f t="shared" si="120"/>
        <v>0.85381980601553686</v>
      </c>
      <c r="AK54" s="49">
        <f t="shared" si="120"/>
        <v>0.60892140834000386</v>
      </c>
      <c r="AL54" s="49">
        <f t="shared" si="120"/>
        <v>0.73666022435865575</v>
      </c>
      <c r="AM54" s="49">
        <f t="shared" si="120"/>
        <v>0.80184098487911615</v>
      </c>
      <c r="AN54" s="49">
        <f t="shared" si="120"/>
        <v>0.41141782927013248</v>
      </c>
      <c r="AO54" s="60">
        <f t="shared" ref="AO54:AQ54" si="146">IFERROR(AO9/$B54,0)</f>
        <v>9.9740279688315693E-10</v>
      </c>
      <c r="AP54" s="60">
        <f t="shared" si="146"/>
        <v>6.3709103650911641E-6</v>
      </c>
      <c r="AQ54" s="60">
        <f t="shared" si="146"/>
        <v>9.9724667215953107E-10</v>
      </c>
      <c r="AR54" s="71">
        <f>IFERROR(up_RadSpec!$F$9*AR9,".")*$B$54</f>
        <v>50130.198307291663</v>
      </c>
      <c r="AS54" s="71">
        <f>IFERROR(up_RadSpec!$K$9*AS9,".")*$B$54</f>
        <v>7.8481719463470325</v>
      </c>
      <c r="AT54" s="49">
        <f t="shared" si="122"/>
        <v>1</v>
      </c>
      <c r="AU54" s="49">
        <f t="shared" si="122"/>
        <v>0.99960953489260818</v>
      </c>
      <c r="AV54" s="49">
        <f t="shared" si="123"/>
        <v>1</v>
      </c>
      <c r="AW54" s="60">
        <f t="shared" ref="AW54:AZ54" si="147">IFERROR(AW9/$B54,0)</f>
        <v>2.2727277272728186E-10</v>
      </c>
      <c r="AX54" s="60">
        <f t="shared" si="147"/>
        <v>3.981818978181978E-6</v>
      </c>
      <c r="AY54" s="63">
        <f t="shared" si="147"/>
        <v>1.8181821818182546E-7</v>
      </c>
      <c r="AZ54" s="63">
        <f t="shared" si="147"/>
        <v>1.8181821818182546E-7</v>
      </c>
      <c r="BA54" s="244">
        <f t="shared" si="43"/>
        <v>4399999119.999999</v>
      </c>
      <c r="BB54" s="244">
        <f t="shared" si="43"/>
        <v>251141.50228310499</v>
      </c>
      <c r="BC54" s="244">
        <f t="shared" si="43"/>
        <v>5499998.8999999994</v>
      </c>
      <c r="BD54" s="244">
        <f t="shared" si="43"/>
        <v>5499998.8999999994</v>
      </c>
      <c r="BE54" s="63">
        <f>IFERROR(BE9/$B54,0)</f>
        <v>2.2669310087117295E-10</v>
      </c>
      <c r="BF54" s="71">
        <f>IFERROR(up_RadSpec!$I$9*BF9,".")*$B$54</f>
        <v>219999.95600000001</v>
      </c>
      <c r="BG54" s="71">
        <f>IFERROR(up_RadSpec!$M$9*BG9,".")*$B$54</f>
        <v>12.557075114155252</v>
      </c>
      <c r="BH54" s="71">
        <f>IFERROR(up_RadSpec!$H$9*BH9,".")*$B$54</f>
        <v>274.99994500000003</v>
      </c>
      <c r="BI54" s="71">
        <f>IFERROR(up_RadSpec!$H$9*BI9,".")*$B$54</f>
        <v>274.99994500000003</v>
      </c>
      <c r="BJ54" s="49">
        <f t="shared" si="125"/>
        <v>1</v>
      </c>
      <c r="BK54" s="49">
        <f t="shared" si="125"/>
        <v>0.99999648008992004</v>
      </c>
      <c r="BL54" s="49">
        <f t="shared" si="125"/>
        <v>1</v>
      </c>
      <c r="BM54" s="49">
        <f t="shared" si="125"/>
        <v>1</v>
      </c>
      <c r="BN54" s="49">
        <f t="shared" si="126"/>
        <v>1</v>
      </c>
      <c r="BO54" s="63">
        <f t="shared" ref="BO54:BP54" si="148">IFERROR(BO9/$B54,0)</f>
        <v>1.8181821818182549E-9</v>
      </c>
      <c r="BP54" s="63">
        <f t="shared" si="148"/>
        <v>1.8181821818182549E-9</v>
      </c>
      <c r="BQ54" s="71">
        <f>IFERROR(up_RadSpec!$H$9*BQ9,".")*$B$54</f>
        <v>27499.994500000001</v>
      </c>
      <c r="BR54" s="71">
        <f>IFERROR(up_RadSpec!$H$9*BR9,".")*$B$54</f>
        <v>27499.994500000001</v>
      </c>
      <c r="BS54" s="49">
        <f t="shared" si="128"/>
        <v>1</v>
      </c>
      <c r="BT54" s="49">
        <f t="shared" si="128"/>
        <v>1</v>
      </c>
    </row>
    <row r="55" spans="1:72" x14ac:dyDescent="0.25">
      <c r="A55" s="48" t="s">
        <v>1090</v>
      </c>
      <c r="B55" s="15">
        <v>1.9999999999999999E-7</v>
      </c>
      <c r="C55" s="249"/>
      <c r="D55" s="60">
        <f>IFERROR(D24/$B55,0)</f>
        <v>0.16528925619834711</v>
      </c>
      <c r="E55" s="60">
        <f>IFERROR(E24/$B55,0)</f>
        <v>1544.9958925971459</v>
      </c>
      <c r="F55" s="60">
        <f>IFERROR(F24/$B55,0)</f>
        <v>229.43681137790276</v>
      </c>
      <c r="G55" s="60">
        <f>IFERROR(G24/$B55,0)</f>
        <v>3.7878787878787886E-5</v>
      </c>
      <c r="H55" s="60">
        <f>IFERROR(H24/$B55,0)</f>
        <v>3.7878787878787886E-5</v>
      </c>
      <c r="I55" s="244">
        <f t="shared" si="10"/>
        <v>6.05</v>
      </c>
      <c r="J55" s="244">
        <f t="shared" si="10"/>
        <v>6.47250911663587E-4</v>
      </c>
      <c r="K55" s="244">
        <f t="shared" si="10"/>
        <v>4.3584985076911284E-3</v>
      </c>
      <c r="L55" s="244">
        <f t="shared" si="10"/>
        <v>26399.999999999996</v>
      </c>
      <c r="M55" s="244">
        <f t="shared" si="10"/>
        <v>26399.999999999996</v>
      </c>
      <c r="N55" s="63">
        <f>IFERROR(N24/$B55,0)</f>
        <v>1.893722225398436E-5</v>
      </c>
      <c r="O55" s="71">
        <f>IFERROR(up_RadSpec!$E$24*O24,".")*$B$55</f>
        <v>3.0249999999999998E-4</v>
      </c>
      <c r="P55" s="71">
        <f>IFERROR(up_RadSpec!$F$24*$P$24,".")*B55</f>
        <v>3.2362545583179352E-8</v>
      </c>
      <c r="Q55" s="71">
        <f>IFERROR(up_RadSpec!$G$24*$Q$24,".")*B55</f>
        <v>2.1792492538455646E-7</v>
      </c>
      <c r="R55" s="71">
        <f>IFERROR(up_RadSpec!$H$24*R24,".")*$B$55</f>
        <v>1.3199999999999998</v>
      </c>
      <c r="S55" s="71">
        <f>IFERROR(up_RadSpec!$H$24*S24,".")*$B$55</f>
        <v>1.3199999999999998</v>
      </c>
      <c r="T55" s="49">
        <f t="shared" si="118"/>
        <v>3.0249999999999998E-4</v>
      </c>
      <c r="U55" s="49">
        <f t="shared" si="118"/>
        <v>3.2362545583179352E-8</v>
      </c>
      <c r="V55" s="49">
        <f t="shared" si="118"/>
        <v>2.1792492538455646E-7</v>
      </c>
      <c r="W55" s="49">
        <f t="shared" si="118"/>
        <v>0.73286469803414955</v>
      </c>
      <c r="X55" s="49">
        <f t="shared" si="118"/>
        <v>0.73286469803414955</v>
      </c>
      <c r="Y55" s="49">
        <f t="shared" si="36"/>
        <v>0.92866033181841023</v>
      </c>
      <c r="Z55" s="60">
        <f t="shared" ref="Z55:AD55" si="149">IFERROR(Z24/$B55,0)</f>
        <v>229.43681137790276</v>
      </c>
      <c r="AA55" s="60">
        <f t="shared" si="149"/>
        <v>415.97237211310181</v>
      </c>
      <c r="AB55" s="60">
        <f t="shared" si="149"/>
        <v>293.70337401551672</v>
      </c>
      <c r="AC55" s="60">
        <f t="shared" si="149"/>
        <v>245.26136013662966</v>
      </c>
      <c r="AD55" s="60">
        <f t="shared" si="149"/>
        <v>691.34865134865106</v>
      </c>
      <c r="AE55" s="71">
        <f>IFERROR(up_RadSpec!$G$24*AE24,".")*$B$55</f>
        <v>2.1792492538455646E-7</v>
      </c>
      <c r="AF55" s="71">
        <f>IFERROR(up_RadSpec!$N$24*AF24,".")*$B$55</f>
        <v>1.2020029057700286E-7</v>
      </c>
      <c r="AG55" s="71">
        <f>IFERROR(up_RadSpec!$O$24*AG24,".")*$B$55</f>
        <v>1.7023978756661625E-7</v>
      </c>
      <c r="AH55" s="71">
        <f>IFERROR(up_RadSpec!$P$24*AH24,".")*$B$55</f>
        <v>2.0386415525114152E-7</v>
      </c>
      <c r="AI55" s="71">
        <f>IFERROR(up_RadSpec!$L$24*AI24,".")*$B$55</f>
        <v>7.2322409109300078E-8</v>
      </c>
      <c r="AJ55" s="49">
        <f t="shared" si="120"/>
        <v>2.1792492538455646E-7</v>
      </c>
      <c r="AK55" s="49">
        <f t="shared" si="120"/>
        <v>1.2020029057700286E-7</v>
      </c>
      <c r="AL55" s="49">
        <f t="shared" si="120"/>
        <v>1.7023978756661625E-7</v>
      </c>
      <c r="AM55" s="49">
        <f t="shared" si="120"/>
        <v>2.0386415525114152E-7</v>
      </c>
      <c r="AN55" s="49">
        <f t="shared" si="120"/>
        <v>7.2322409109300078E-8</v>
      </c>
      <c r="AO55" s="60">
        <f t="shared" ref="AO55:AQ55" si="150">IFERROR(AO24/$B55,0)</f>
        <v>4.9870129870129877E-3</v>
      </c>
      <c r="AP55" s="60">
        <f t="shared" si="150"/>
        <v>31.854545454545455</v>
      </c>
      <c r="AQ55" s="60">
        <f t="shared" si="150"/>
        <v>4.9862323635509838E-3</v>
      </c>
      <c r="AR55" s="71">
        <f>IFERROR(up_RadSpec!$F$24*AR24,".")*$B$55</f>
        <v>1.0026041666666666E-2</v>
      </c>
      <c r="AS55" s="71">
        <f>IFERROR(up_RadSpec!$K$24*AS24,".")*$B$55</f>
        <v>1.5696347031963471E-6</v>
      </c>
      <c r="AT55" s="49">
        <f t="shared" si="122"/>
        <v>9.9759484628785255E-3</v>
      </c>
      <c r="AU55" s="49">
        <f t="shared" si="122"/>
        <v>1.5696347031963471E-6</v>
      </c>
      <c r="AV55" s="49">
        <f t="shared" si="123"/>
        <v>9.9775024377671828E-3</v>
      </c>
      <c r="AW55" s="60">
        <f t="shared" ref="AW55:AZ55" si="151">IFERROR(AW24/$B55,0)</f>
        <v>1.1363636363636365E-3</v>
      </c>
      <c r="AX55" s="60">
        <f t="shared" si="151"/>
        <v>19.909090909090914</v>
      </c>
      <c r="AY55" s="63">
        <f t="shared" si="151"/>
        <v>0.90909090909090917</v>
      </c>
      <c r="AZ55" s="63">
        <f t="shared" si="151"/>
        <v>0.90909090909090917</v>
      </c>
      <c r="BA55" s="244">
        <f t="shared" si="43"/>
        <v>879.99999999999989</v>
      </c>
      <c r="BB55" s="244">
        <f t="shared" si="43"/>
        <v>5.0228310502283095E-2</v>
      </c>
      <c r="BC55" s="244">
        <f t="shared" si="43"/>
        <v>1.0999999999999999</v>
      </c>
      <c r="BD55" s="244">
        <f t="shared" si="43"/>
        <v>1.0999999999999999</v>
      </c>
      <c r="BE55" s="63">
        <f>IFERROR(BE24/$B55,0)</f>
        <v>1.1334652776627638E-3</v>
      </c>
      <c r="BF55" s="71">
        <f>IFERROR(up_RadSpec!$I$24*BF24,".")*$B$55</f>
        <v>4.3999999999999997E-2</v>
      </c>
      <c r="BG55" s="71">
        <f>IFERROR(up_RadSpec!$M$24*BG24,".")*$B$55</f>
        <v>2.5114155251141552E-6</v>
      </c>
      <c r="BH55" s="71">
        <f>IFERROR(up_RadSpec!$H$24*BH24,".")*$B$55</f>
        <v>5.4999999999999995E-5</v>
      </c>
      <c r="BI55" s="71">
        <f>IFERROR(up_RadSpec!$H$24*BI24,".")*$B$55</f>
        <v>5.4999999999999995E-5</v>
      </c>
      <c r="BJ55" s="49">
        <f t="shared" si="125"/>
        <v>4.3046042526953321E-2</v>
      </c>
      <c r="BK55" s="49">
        <f t="shared" si="125"/>
        <v>2.5114155251141552E-6</v>
      </c>
      <c r="BL55" s="49">
        <f t="shared" si="125"/>
        <v>5.4999999999999995E-5</v>
      </c>
      <c r="BM55" s="49">
        <f t="shared" si="125"/>
        <v>5.4999999999999995E-5</v>
      </c>
      <c r="BN55" s="49">
        <f t="shared" si="126"/>
        <v>4.304844583296108E-2</v>
      </c>
      <c r="BO55" s="63">
        <f t="shared" ref="BO55:BP55" si="152">IFERROR(BO24/$B55,0)</f>
        <v>9.0909090909090922E-3</v>
      </c>
      <c r="BP55" s="63">
        <f t="shared" si="152"/>
        <v>9.0909090909090922E-3</v>
      </c>
      <c r="BQ55" s="71">
        <f>IFERROR(up_RadSpec!$H$24*BQ24,".")*$B$55</f>
        <v>5.4999999999999997E-3</v>
      </c>
      <c r="BR55" s="71">
        <f>IFERROR(up_RadSpec!$H$24*BR24,".")*$B$55</f>
        <v>5.4999999999999997E-3</v>
      </c>
      <c r="BS55" s="49">
        <f t="shared" si="128"/>
        <v>5.4999999999999997E-3</v>
      </c>
      <c r="BT55" s="49">
        <f t="shared" si="128"/>
        <v>5.4999999999999997E-3</v>
      </c>
    </row>
    <row r="56" spans="1:72" x14ac:dyDescent="0.25">
      <c r="A56" s="48" t="s">
        <v>1091</v>
      </c>
      <c r="B56" s="15">
        <v>0.99979000004200003</v>
      </c>
      <c r="C56" s="249"/>
      <c r="D56" s="60">
        <f>IFERROR(D20/$B56,0)</f>
        <v>3.3064794845198194E-8</v>
      </c>
      <c r="E56" s="60">
        <f>IFERROR(E20/$B56,0)</f>
        <v>3.0906408196366086E-4</v>
      </c>
      <c r="F56" s="60">
        <f>IFERROR(F20/$B56,0)</f>
        <v>3.5946960422736814E-5</v>
      </c>
      <c r="G56" s="60">
        <f>IFERROR(G20/$B56,0)</f>
        <v>7.5773488186912534E-12</v>
      </c>
      <c r="H56" s="60">
        <f>IFERROR(H20/$B56,0)</f>
        <v>7.5773488186912534E-12</v>
      </c>
      <c r="I56" s="244">
        <f t="shared" si="10"/>
        <v>30243647.501270499</v>
      </c>
      <c r="J56" s="244">
        <f t="shared" si="10"/>
        <v>3235.5749449966111</v>
      </c>
      <c r="K56" s="244">
        <f t="shared" si="10"/>
        <v>27818.763763054914</v>
      </c>
      <c r="L56" s="244">
        <f t="shared" si="10"/>
        <v>131972280005.54398</v>
      </c>
      <c r="M56" s="244">
        <f t="shared" si="10"/>
        <v>131972280005.54398</v>
      </c>
      <c r="N56" s="63">
        <f>IFERROR(N20/$B56,0)</f>
        <v>3.7882398944865253E-12</v>
      </c>
      <c r="O56" s="71">
        <f>IFERROR(up_RadSpec!$E$20*O20,".")*$B$56</f>
        <v>1512.1823750635251</v>
      </c>
      <c r="P56" s="71">
        <f>IFERROR(up_RadSpec!$F$20*$P$20,".")*B56</f>
        <v>0.16177874724983057</v>
      </c>
      <c r="Q56" s="71">
        <f>IFERROR(up_RadSpec!$G$20*$Q$20,".")*B56</f>
        <v>1.3909381881527458</v>
      </c>
      <c r="R56" s="71">
        <f>IFERROR(up_RadSpec!$H$20*R20,".")*$B$56</f>
        <v>6598614.0002771998</v>
      </c>
      <c r="S56" s="71">
        <f>IFERROR(up_RadSpec!$H$20*S20,".")*$B$56</f>
        <v>6598614.0002771998</v>
      </c>
      <c r="T56" s="49">
        <f t="shared" si="118"/>
        <v>1</v>
      </c>
      <c r="U56" s="49">
        <f t="shared" si="118"/>
        <v>0.14937061218713943</v>
      </c>
      <c r="V56" s="49">
        <f t="shared" si="118"/>
        <v>0.75115826528488228</v>
      </c>
      <c r="W56" s="49">
        <f t="shared" si="118"/>
        <v>1</v>
      </c>
      <c r="X56" s="49">
        <f t="shared" si="118"/>
        <v>1</v>
      </c>
      <c r="Y56" s="49">
        <f t="shared" si="36"/>
        <v>1</v>
      </c>
      <c r="Z56" s="60">
        <f t="shared" ref="Z56:AD56" si="153">IFERROR(Z20/$B56,0)</f>
        <v>3.5946960422736814E-5</v>
      </c>
      <c r="AA56" s="60">
        <f t="shared" si="153"/>
        <v>7.0890810480460354E-5</v>
      </c>
      <c r="AB56" s="60">
        <f t="shared" si="153"/>
        <v>4.9600825761736339E-5</v>
      </c>
      <c r="AC56" s="60">
        <f t="shared" si="153"/>
        <v>4.1648674918735949E-5</v>
      </c>
      <c r="AD56" s="60">
        <f t="shared" si="153"/>
        <v>1.2079522776261757E-4</v>
      </c>
      <c r="AE56" s="71">
        <f>IFERROR(up_RadSpec!$G$20*AE20,".")*$B$56</f>
        <v>1.3909381881527458</v>
      </c>
      <c r="AF56" s="71">
        <f>IFERROR(up_RadSpec!$N$20*AF20,".")*$B$56</f>
        <v>0.70531003470162767</v>
      </c>
      <c r="AG56" s="71">
        <f>IFERROR(up_RadSpec!$O$20*AG20,".")*$B$56</f>
        <v>1.0080477337248608</v>
      </c>
      <c r="AH56" s="71">
        <f>IFERROR(up_RadSpec!$P$20*AH20,".")*$B$56</f>
        <v>1.2005183861805688</v>
      </c>
      <c r="AI56" s="71">
        <f>IFERROR(up_RadSpec!$L$20*AI20,".")*$B$56</f>
        <v>0.41392363693587464</v>
      </c>
      <c r="AJ56" s="49">
        <f t="shared" si="120"/>
        <v>0.75115826528488228</v>
      </c>
      <c r="AK56" s="49">
        <f t="shared" si="120"/>
        <v>0.50604459280347081</v>
      </c>
      <c r="AL56" s="49">
        <f t="shared" si="120"/>
        <v>0.63506927346415543</v>
      </c>
      <c r="AM56" s="49">
        <f t="shared" si="120"/>
        <v>0.69896188254282077</v>
      </c>
      <c r="AN56" s="49">
        <f t="shared" si="120"/>
        <v>0.33894857074875684</v>
      </c>
      <c r="AO56" s="60">
        <f t="shared" ref="AO56:AQ56" si="154">IFERROR(AO20/$B56,0)</f>
        <v>9.9761209590083707E-10</v>
      </c>
      <c r="AP56" s="60">
        <f t="shared" si="154"/>
        <v>6.372247262566595E-6</v>
      </c>
      <c r="AQ56" s="60">
        <f t="shared" si="154"/>
        <v>9.9745593841537082E-10</v>
      </c>
      <c r="AR56" s="71">
        <f>IFERROR(up_RadSpec!$F$20*AR20,".")*$B$56</f>
        <v>50119.680991688801</v>
      </c>
      <c r="AS56" s="71">
        <f>IFERROR(up_RadSpec!$K$20*AS20,".")*$B$56</f>
        <v>7.8465253998730029</v>
      </c>
      <c r="AT56" s="49">
        <f t="shared" si="122"/>
        <v>1</v>
      </c>
      <c r="AU56" s="49">
        <f t="shared" si="122"/>
        <v>0.99960889144407383</v>
      </c>
      <c r="AV56" s="49">
        <f t="shared" si="123"/>
        <v>1</v>
      </c>
      <c r="AW56" s="60">
        <f t="shared" ref="AW56:AZ56" si="155">IFERROR(AW20/$B56,0)</f>
        <v>2.273204645607376E-10</v>
      </c>
      <c r="AX56" s="60">
        <f t="shared" si="155"/>
        <v>3.9826545391041227E-6</v>
      </c>
      <c r="AY56" s="63">
        <f t="shared" si="155"/>
        <v>1.8185637164859005E-7</v>
      </c>
      <c r="AZ56" s="63">
        <f t="shared" si="155"/>
        <v>1.8185637164859005E-7</v>
      </c>
      <c r="BA56" s="244">
        <f t="shared" si="43"/>
        <v>4399076000.1847992</v>
      </c>
      <c r="BB56" s="244">
        <f t="shared" si="43"/>
        <v>251088.81279593604</v>
      </c>
      <c r="BC56" s="244">
        <f t="shared" si="43"/>
        <v>5498845.0002310006</v>
      </c>
      <c r="BD56" s="244">
        <f t="shared" si="43"/>
        <v>5498845.0002310006</v>
      </c>
      <c r="BE56" s="63">
        <f>IFERROR(BE20/$B56,0)</f>
        <v>2.2674067106395307E-10</v>
      </c>
      <c r="BF56" s="71">
        <f>IFERROR(up_RadSpec!$I$20*BF20,".")*$B$56</f>
        <v>219953.80000924002</v>
      </c>
      <c r="BG56" s="71">
        <f>IFERROR(up_RadSpec!$M$20*BG20,".")*$B$56</f>
        <v>12.554440639796805</v>
      </c>
      <c r="BH56" s="71">
        <f>IFERROR(up_RadSpec!$H$20*BH20,".")*$B$56</f>
        <v>274.94225001155002</v>
      </c>
      <c r="BI56" s="71">
        <f>IFERROR(up_RadSpec!$H$20*BI20,".")*$B$56</f>
        <v>274.94225001155002</v>
      </c>
      <c r="BJ56" s="49">
        <f t="shared" si="125"/>
        <v>1</v>
      </c>
      <c r="BK56" s="49">
        <f t="shared" si="125"/>
        <v>0.99999647080458165</v>
      </c>
      <c r="BL56" s="49">
        <f t="shared" si="125"/>
        <v>1</v>
      </c>
      <c r="BM56" s="49">
        <f t="shared" si="125"/>
        <v>1</v>
      </c>
      <c r="BN56" s="49">
        <f t="shared" si="126"/>
        <v>1</v>
      </c>
      <c r="BO56" s="63">
        <f t="shared" ref="BO56:BP56" si="156">IFERROR(BO20/$B56,0)</f>
        <v>1.8185637164859008E-9</v>
      </c>
      <c r="BP56" s="63">
        <f t="shared" si="156"/>
        <v>1.8185637164859008E-9</v>
      </c>
      <c r="BQ56" s="71">
        <f>IFERROR(up_RadSpec!$H$20*BQ20,".")*$B$56</f>
        <v>27494.225001155002</v>
      </c>
      <c r="BR56" s="71">
        <f>IFERROR(up_RadSpec!$H$20*BR20,".")*$B$56</f>
        <v>27494.225001155002</v>
      </c>
      <c r="BS56" s="49">
        <f t="shared" si="128"/>
        <v>1</v>
      </c>
      <c r="BT56" s="49">
        <f t="shared" si="128"/>
        <v>1</v>
      </c>
    </row>
    <row r="57" spans="1:72" x14ac:dyDescent="0.25">
      <c r="A57" s="48" t="s">
        <v>1092</v>
      </c>
      <c r="B57" s="15">
        <v>2.0999995799999999E-4</v>
      </c>
      <c r="C57" s="249"/>
      <c r="D57" s="60">
        <f>IFERROR(D29/$B57,0)</f>
        <v>1.574183707201952E-4</v>
      </c>
      <c r="E57" s="60">
        <f>IFERROR(E29/$B57,0)</f>
        <v>1.4714249539013202</v>
      </c>
      <c r="F57" s="60">
        <f>IFERROR(F29/$B57,0)</f>
        <v>0.13469593212689498</v>
      </c>
      <c r="G57" s="60">
        <f>IFERROR(G29/$B57,0)</f>
        <v>3.6075043290044742E-8</v>
      </c>
      <c r="H57" s="60">
        <f>IFERROR(H29/$B57,0)</f>
        <v>3.6075043290044742E-8</v>
      </c>
      <c r="I57" s="244">
        <f t="shared" si="10"/>
        <v>6352.4987295000001</v>
      </c>
      <c r="J57" s="244">
        <f t="shared" si="10"/>
        <v>0.67961332132407493</v>
      </c>
      <c r="K57" s="244">
        <f t="shared" si="10"/>
        <v>7.4241291790305537</v>
      </c>
      <c r="L57" s="244">
        <f t="shared" si="10"/>
        <v>27719994.455999993</v>
      </c>
      <c r="M57" s="244">
        <f t="shared" si="10"/>
        <v>27719994.455999993</v>
      </c>
      <c r="N57" s="63">
        <f>IFERROR(N29/$B57,0)</f>
        <v>1.8035452446494986E-8</v>
      </c>
      <c r="O57" s="71">
        <f>IFERROR(up_RadSpec!$E$29*O29,".")*$B$57</f>
        <v>0.31762493647499995</v>
      </c>
      <c r="P57" s="71">
        <f>IFERROR(up_RadSpec!$F$29*$P$29,".")*B57</f>
        <v>3.3980666066203748E-5</v>
      </c>
      <c r="Q57" s="71">
        <f>IFERROR(up_RadSpec!$G$29*$Q$29,".")*B57</f>
        <v>3.7120645895152767E-4</v>
      </c>
      <c r="R57" s="71">
        <f>IFERROR(up_RadSpec!$H$29*R29,".")*$B$57</f>
        <v>1385.9997228</v>
      </c>
      <c r="S57" s="71">
        <f>IFERROR(up_RadSpec!$H$29*S29,".")*$B$57</f>
        <v>1385.9997228</v>
      </c>
      <c r="T57" s="49">
        <f t="shared" si="118"/>
        <v>0.27212426313547766</v>
      </c>
      <c r="U57" s="49">
        <f t="shared" si="118"/>
        <v>3.3980666066203748E-5</v>
      </c>
      <c r="V57" s="49">
        <f t="shared" si="118"/>
        <v>3.7120645895152767E-4</v>
      </c>
      <c r="W57" s="49">
        <f t="shared" si="118"/>
        <v>1</v>
      </c>
      <c r="X57" s="49">
        <f t="shared" si="118"/>
        <v>1</v>
      </c>
      <c r="Y57" s="49">
        <f t="shared" si="36"/>
        <v>1</v>
      </c>
      <c r="Z57" s="60">
        <f t="shared" ref="Z57:AD57" si="157">IFERROR(Z29/$B57,0)</f>
        <v>0.13469593212689498</v>
      </c>
      <c r="AA57" s="60">
        <f t="shared" si="157"/>
        <v>0.26878109727410504</v>
      </c>
      <c r="AB57" s="60">
        <f t="shared" si="157"/>
        <v>0.19147851056235177</v>
      </c>
      <c r="AC57" s="60">
        <f t="shared" si="157"/>
        <v>0.16242320930781862</v>
      </c>
      <c r="AD57" s="60">
        <f t="shared" si="157"/>
        <v>0.48264472462811853</v>
      </c>
      <c r="AE57" s="71">
        <f>IFERROR(up_RadSpec!$G$29*AE29,".")*$B$57</f>
        <v>3.7120645895152767E-4</v>
      </c>
      <c r="AF57" s="71">
        <f>IFERROR(up_RadSpec!$N$29*AF29,".")*$B$57</f>
        <v>1.8602498653024556E-4</v>
      </c>
      <c r="AG57" s="71">
        <f>IFERROR(up_RadSpec!$O$29*AG29,".")*$B$57</f>
        <v>2.6112590834948208E-4</v>
      </c>
      <c r="AH57" s="71">
        <f>IFERROR(up_RadSpec!$P$29*AH29,".")*$B$57</f>
        <v>3.0783777892999151E-4</v>
      </c>
      <c r="AI57" s="71">
        <f>IFERROR(up_RadSpec!$L$29*AI29,".")*$B$57</f>
        <v>1.0359586969178082E-4</v>
      </c>
      <c r="AJ57" s="49">
        <f t="shared" si="120"/>
        <v>3.7120645895152767E-4</v>
      </c>
      <c r="AK57" s="49">
        <f t="shared" si="120"/>
        <v>1.8602498653024556E-4</v>
      </c>
      <c r="AL57" s="49">
        <f t="shared" si="120"/>
        <v>2.6112590834948208E-4</v>
      </c>
      <c r="AM57" s="49">
        <f t="shared" si="120"/>
        <v>3.0783777892999151E-4</v>
      </c>
      <c r="AN57" s="49">
        <f t="shared" si="120"/>
        <v>1.0359586969178082E-4</v>
      </c>
      <c r="AO57" s="60">
        <f t="shared" ref="AO57:AQ57" si="158">IFERROR(AO29/$B57,0)</f>
        <v>4.7495371280150332E-6</v>
      </c>
      <c r="AP57" s="60">
        <f t="shared" si="158"/>
        <v>3.0337668405196021E-2</v>
      </c>
      <c r="AQ57" s="60">
        <f t="shared" si="158"/>
        <v>4.7487936769501487E-6</v>
      </c>
      <c r="AR57" s="71">
        <f>IFERROR(up_RadSpec!$F$29*AR29,".")*$B$57</f>
        <v>10.527341644531248</v>
      </c>
      <c r="AS57" s="71">
        <f>IFERROR(up_RadSpec!$K$29*AS29,".")*$B$57</f>
        <v>1.6481161087328767E-3</v>
      </c>
      <c r="AT57" s="49">
        <f t="shared" si="122"/>
        <v>0.99997320624297814</v>
      </c>
      <c r="AU57" s="49">
        <f t="shared" si="122"/>
        <v>1.6481161087328767E-3</v>
      </c>
      <c r="AV57" s="49">
        <f t="shared" si="123"/>
        <v>0.99997325036583096</v>
      </c>
      <c r="AW57" s="60">
        <f t="shared" ref="AW57:AZ57" si="159">IFERROR(AW29/$B57,0)</f>
        <v>1.0822512987013422E-6</v>
      </c>
      <c r="AX57" s="60">
        <f t="shared" si="159"/>
        <v>1.8961042753247517E-2</v>
      </c>
      <c r="AY57" s="63">
        <f t="shared" si="159"/>
        <v>8.6580103896107365E-4</v>
      </c>
      <c r="AZ57" s="63">
        <f t="shared" si="159"/>
        <v>8.6580103896107365E-4</v>
      </c>
      <c r="BA57" s="244">
        <f t="shared" si="43"/>
        <v>923999.81519999984</v>
      </c>
      <c r="BB57" s="244">
        <f t="shared" si="43"/>
        <v>52.739715479452038</v>
      </c>
      <c r="BC57" s="244">
        <f t="shared" si="43"/>
        <v>1154.999769</v>
      </c>
      <c r="BD57" s="244">
        <f t="shared" si="43"/>
        <v>1154.999769</v>
      </c>
      <c r="BE57" s="63">
        <f>IFERROR(BE29/$B57,0)</f>
        <v>1.079490956529395E-6</v>
      </c>
      <c r="BF57" s="71">
        <f>IFERROR(up_RadSpec!$I$29*BF29,".")*$B$57</f>
        <v>46.199990759999999</v>
      </c>
      <c r="BG57" s="71">
        <f>IFERROR(up_RadSpec!$M$29*BG29,".")*$B$57</f>
        <v>2.6369857739726027E-3</v>
      </c>
      <c r="BH57" s="71">
        <f>IFERROR(up_RadSpec!$H$29*BH29,".")*$B$57</f>
        <v>5.7749988449999998E-2</v>
      </c>
      <c r="BI57" s="71">
        <f>IFERROR(up_RadSpec!$H$29*BI29,".")*$B$57</f>
        <v>5.7749988449999998E-2</v>
      </c>
      <c r="BJ57" s="49">
        <f t="shared" si="125"/>
        <v>1</v>
      </c>
      <c r="BK57" s="49">
        <f t="shared" si="125"/>
        <v>2.6369857739726027E-3</v>
      </c>
      <c r="BL57" s="49">
        <f t="shared" si="125"/>
        <v>5.6114099682941787E-2</v>
      </c>
      <c r="BM57" s="49">
        <f t="shared" si="125"/>
        <v>5.6114099682941787E-2</v>
      </c>
      <c r="BN57" s="49">
        <f t="shared" si="126"/>
        <v>1</v>
      </c>
      <c r="BO57" s="63">
        <f t="shared" ref="BO57:BP57" si="160">IFERROR(BO29/$B57,0)</f>
        <v>8.6580103896107373E-6</v>
      </c>
      <c r="BP57" s="63">
        <f t="shared" si="160"/>
        <v>8.6580103896107373E-6</v>
      </c>
      <c r="BQ57" s="71">
        <f>IFERROR(up_RadSpec!$H$29*BQ29,".")*$B$57</f>
        <v>5.7749988449999998</v>
      </c>
      <c r="BR57" s="71">
        <f>IFERROR(up_RadSpec!$H$29*BR29,".")*$B$57</f>
        <v>5.7749988449999998</v>
      </c>
      <c r="BS57" s="49">
        <f t="shared" si="128"/>
        <v>0.99689579875600032</v>
      </c>
      <c r="BT57" s="49">
        <f t="shared" si="128"/>
        <v>0.99689579875600032</v>
      </c>
    </row>
    <row r="58" spans="1:72" x14ac:dyDescent="0.25">
      <c r="A58" s="48" t="s">
        <v>1093</v>
      </c>
      <c r="B58" s="15">
        <v>1</v>
      </c>
      <c r="C58" s="249"/>
      <c r="D58" s="60">
        <f>IFERROR(D16/$B58,0)</f>
        <v>3.3057851239669421E-8</v>
      </c>
      <c r="E58" s="60">
        <f>IFERROR(E16/$B58,0)</f>
        <v>3.0899917851942918E-4</v>
      </c>
      <c r="F58" s="60">
        <f>IFERROR(F16/$B58,0)</f>
        <v>0.76494620302510574</v>
      </c>
      <c r="G58" s="60">
        <f>IFERROR(G16/$B58,0)</f>
        <v>7.5757575757575769E-12</v>
      </c>
      <c r="H58" s="60">
        <f>IFERROR(H16/$B58,0)</f>
        <v>7.5757575757575769E-12</v>
      </c>
      <c r="I58" s="244">
        <f t="shared" si="10"/>
        <v>30250000</v>
      </c>
      <c r="J58" s="244">
        <f t="shared" si="10"/>
        <v>3236.2545583179349</v>
      </c>
      <c r="K58" s="244">
        <f t="shared" si="10"/>
        <v>1.3072814742335281</v>
      </c>
      <c r="L58" s="244">
        <f t="shared" si="10"/>
        <v>131999999999.99998</v>
      </c>
      <c r="M58" s="244">
        <f t="shared" si="10"/>
        <v>131999999999.99998</v>
      </c>
      <c r="N58" s="63">
        <f>IFERROR(N16/$B58,0)</f>
        <v>3.7874447633856853E-12</v>
      </c>
      <c r="O58" s="71">
        <f>IFERROR(up_RadSpec!$E$16*O16,".")*$B$58</f>
        <v>1512.5</v>
      </c>
      <c r="P58" s="71">
        <f>IFERROR(up_RadSpec!$F$16*$P$16,".")*B58</f>
        <v>0.16181272791589676</v>
      </c>
      <c r="Q58" s="71">
        <f>IFERROR(up_RadSpec!$G$16*$Q$16,".")*B58</f>
        <v>6.5364073711676418E-5</v>
      </c>
      <c r="R58" s="71">
        <f>IFERROR(up_RadSpec!$H$16*R16,".")*$B$58</f>
        <v>6600000</v>
      </c>
      <c r="S58" s="71">
        <f>IFERROR(up_RadSpec!$H$16*S16,".")*$B$58</f>
        <v>6600000</v>
      </c>
      <c r="T58" s="49">
        <f t="shared" si="118"/>
        <v>1</v>
      </c>
      <c r="U58" s="49">
        <f t="shared" si="118"/>
        <v>0.14939951664921358</v>
      </c>
      <c r="V58" s="49">
        <f t="shared" si="118"/>
        <v>6.5364073711676418E-5</v>
      </c>
      <c r="W58" s="49">
        <f t="shared" si="118"/>
        <v>1</v>
      </c>
      <c r="X58" s="49">
        <f t="shared" si="118"/>
        <v>1</v>
      </c>
      <c r="Y58" s="49">
        <f t="shared" si="36"/>
        <v>1</v>
      </c>
      <c r="Z58" s="60">
        <f t="shared" ref="Z58:AD58" si="161">IFERROR(Z16/$B58,0)</f>
        <v>0.76494620302510574</v>
      </c>
      <c r="AA58" s="60">
        <f t="shared" si="161"/>
        <v>1.3623429416112349</v>
      </c>
      <c r="AB58" s="60">
        <f t="shared" si="161"/>
        <v>0.81841380561977772</v>
      </c>
      <c r="AC58" s="60">
        <f t="shared" si="161"/>
        <v>0.82264249380461774</v>
      </c>
      <c r="AD58" s="60">
        <f t="shared" si="161"/>
        <v>31.854545454545459</v>
      </c>
      <c r="AE58" s="71">
        <f>IFERROR(up_RadSpec!$G$16*AE16,".")*$B$58</f>
        <v>6.5364073711676418E-5</v>
      </c>
      <c r="AF58" s="71">
        <f>IFERROR(up_RadSpec!$N$16*AF16,".")*$B$58</f>
        <v>3.6701478367014769E-5</v>
      </c>
      <c r="AG58" s="71">
        <f>IFERROR(up_RadSpec!$O$16*AG16,".")*$B$58</f>
        <v>6.1093788565963199E-5</v>
      </c>
      <c r="AH58" s="71">
        <f>IFERROR(up_RadSpec!$P$16*AH16,".")*$B$58</f>
        <v>6.0779743784880734E-5</v>
      </c>
      <c r="AI58" s="71">
        <f>IFERROR(up_RadSpec!$L$16*AI16,".")*$B$58</f>
        <v>1.5696347031963469E-6</v>
      </c>
      <c r="AJ58" s="49">
        <f t="shared" si="120"/>
        <v>6.5364073711676418E-5</v>
      </c>
      <c r="AK58" s="49">
        <f t="shared" si="120"/>
        <v>3.6701478367014769E-5</v>
      </c>
      <c r="AL58" s="49">
        <f t="shared" si="120"/>
        <v>6.1093788565963199E-5</v>
      </c>
      <c r="AM58" s="49">
        <f t="shared" si="120"/>
        <v>6.0779743784880734E-5</v>
      </c>
      <c r="AN58" s="49">
        <f t="shared" si="120"/>
        <v>1.5696347031963469E-6</v>
      </c>
      <c r="AO58" s="60">
        <f t="shared" ref="AO58:AQ58" si="162">IFERROR(AO16/$B58,0)</f>
        <v>9.9740259740259755E-10</v>
      </c>
      <c r="AP58" s="60">
        <f t="shared" si="162"/>
        <v>6.3709090909090908E-6</v>
      </c>
      <c r="AQ58" s="60">
        <f t="shared" si="162"/>
        <v>9.9724647271019672E-10</v>
      </c>
      <c r="AR58" s="71">
        <f>IFERROR(up_RadSpec!$F$16*AR16,".")*$B$58</f>
        <v>50130.208333333328</v>
      </c>
      <c r="AS58" s="71">
        <f>IFERROR(up_RadSpec!$K$16*AS16,".")*$B$58</f>
        <v>7.8481735159817356</v>
      </c>
      <c r="AT58" s="49">
        <f t="shared" si="122"/>
        <v>1</v>
      </c>
      <c r="AU58" s="49">
        <f t="shared" si="122"/>
        <v>0.99960953550549536</v>
      </c>
      <c r="AV58" s="49">
        <f t="shared" si="123"/>
        <v>1</v>
      </c>
      <c r="AW58" s="60">
        <f t="shared" ref="AW58:AZ58" si="163">IFERROR(AW16/$B58,0)</f>
        <v>2.272727272727273E-10</v>
      </c>
      <c r="AX58" s="60">
        <f t="shared" si="163"/>
        <v>3.9818181818181825E-6</v>
      </c>
      <c r="AY58" s="63">
        <f t="shared" si="163"/>
        <v>1.8181818181818183E-7</v>
      </c>
      <c r="AZ58" s="63">
        <f t="shared" si="163"/>
        <v>1.8181818181818183E-7</v>
      </c>
      <c r="BA58" s="244">
        <f t="shared" si="43"/>
        <v>4399999999.999999</v>
      </c>
      <c r="BB58" s="244">
        <f t="shared" si="43"/>
        <v>251141.55251141547</v>
      </c>
      <c r="BC58" s="244">
        <f t="shared" si="43"/>
        <v>5500000</v>
      </c>
      <c r="BD58" s="244">
        <f t="shared" si="43"/>
        <v>5500000</v>
      </c>
      <c r="BE58" s="63">
        <f>IFERROR(BE16/$B58,0)</f>
        <v>2.2669305553255277E-10</v>
      </c>
      <c r="BF58" s="71">
        <f>IFERROR(up_RadSpec!$I$16*BF16,".")*$B$58</f>
        <v>220000</v>
      </c>
      <c r="BG58" s="71">
        <f>IFERROR(up_RadSpec!$M$16*BG16,".")*$B$58</f>
        <v>12.557077625570777</v>
      </c>
      <c r="BH58" s="71">
        <f>IFERROR(up_RadSpec!$H$16*BH16,".")*$B$58</f>
        <v>275</v>
      </c>
      <c r="BI58" s="71">
        <f>IFERROR(up_RadSpec!$H$16*BI16,".")*$B$58</f>
        <v>275</v>
      </c>
      <c r="BJ58" s="49">
        <f t="shared" si="125"/>
        <v>1</v>
      </c>
      <c r="BK58" s="49">
        <f t="shared" si="125"/>
        <v>0.99999648009875997</v>
      </c>
      <c r="BL58" s="49">
        <f t="shared" si="125"/>
        <v>1</v>
      </c>
      <c r="BM58" s="49">
        <f t="shared" si="125"/>
        <v>1</v>
      </c>
      <c r="BN58" s="49">
        <f t="shared" si="126"/>
        <v>1</v>
      </c>
      <c r="BO58" s="63">
        <f t="shared" ref="BO58:BP58" si="164">IFERROR(BO16/$B58,0)</f>
        <v>1.8181818181818184E-9</v>
      </c>
      <c r="BP58" s="63">
        <f t="shared" si="164"/>
        <v>1.8181818181818184E-9</v>
      </c>
      <c r="BQ58" s="71">
        <f>IFERROR(up_RadSpec!$H$16*BQ16,".")*$B$58</f>
        <v>27500</v>
      </c>
      <c r="BR58" s="71">
        <f>IFERROR(up_RadSpec!$H$16*BR16,".")*$B$58</f>
        <v>27500</v>
      </c>
      <c r="BS58" s="49">
        <f t="shared" si="128"/>
        <v>1</v>
      </c>
      <c r="BT58" s="49">
        <f t="shared" si="128"/>
        <v>1</v>
      </c>
    </row>
    <row r="59" spans="1:72" x14ac:dyDescent="0.25">
      <c r="A59" s="48" t="s">
        <v>1094</v>
      </c>
      <c r="B59" s="15">
        <v>1</v>
      </c>
      <c r="C59" s="249"/>
      <c r="D59" s="60">
        <f>IFERROR(D7/$B59,0)</f>
        <v>3.3057851239669421E-8</v>
      </c>
      <c r="E59" s="60">
        <f>IFERROR(E7/$B59,0)</f>
        <v>3.0899917851942918E-4</v>
      </c>
      <c r="F59" s="60">
        <f>IFERROR(F7/$B59,0)</f>
        <v>9.1843397478433964E-5</v>
      </c>
      <c r="G59" s="60">
        <f>IFERROR(G7/$B59,0)</f>
        <v>7.5757575757575769E-12</v>
      </c>
      <c r="H59" s="60">
        <f>IFERROR(H7/$B59,0)</f>
        <v>7.5757575757575769E-12</v>
      </c>
      <c r="I59" s="244">
        <f t="shared" si="10"/>
        <v>30250000</v>
      </c>
      <c r="J59" s="244">
        <f t="shared" si="10"/>
        <v>3236.2545583179349</v>
      </c>
      <c r="K59" s="244">
        <f t="shared" si="10"/>
        <v>10888.0989538177</v>
      </c>
      <c r="L59" s="244">
        <f t="shared" si="10"/>
        <v>131999999999.99998</v>
      </c>
      <c r="M59" s="244">
        <f t="shared" si="10"/>
        <v>131999999999.99998</v>
      </c>
      <c r="N59" s="63">
        <f>IFERROR(N7/$B59,0)</f>
        <v>3.7874446072175197E-12</v>
      </c>
      <c r="O59" s="71">
        <f>IFERROR(up_RadSpec!$E$7*O7,".")*$B$59</f>
        <v>1512.5</v>
      </c>
      <c r="P59" s="71">
        <f>IFERROR(up_RadSpec!$F$7*$P$7,".")*B59</f>
        <v>0.16181272791589676</v>
      </c>
      <c r="Q59" s="71">
        <f>IFERROR(up_RadSpec!$G$7*$Q$7,".")*B59</f>
        <v>0.54440494769088499</v>
      </c>
      <c r="R59" s="71">
        <f>IFERROR(up_RadSpec!$H$7*R7,".")*$B$59</f>
        <v>6600000</v>
      </c>
      <c r="S59" s="71">
        <f>IFERROR(up_RadSpec!$H$7*S7,".")*$B$59</f>
        <v>6600000</v>
      </c>
      <c r="T59" s="49">
        <f t="shared" si="118"/>
        <v>1</v>
      </c>
      <c r="U59" s="49">
        <f t="shared" si="118"/>
        <v>0.14939951664921358</v>
      </c>
      <c r="V59" s="49">
        <f t="shared" si="118"/>
        <v>0.41981307779039934</v>
      </c>
      <c r="W59" s="49">
        <f t="shared" si="118"/>
        <v>1</v>
      </c>
      <c r="X59" s="49">
        <f t="shared" si="118"/>
        <v>1</v>
      </c>
      <c r="Y59" s="49">
        <f t="shared" si="36"/>
        <v>1</v>
      </c>
      <c r="Z59" s="60">
        <f t="shared" ref="Z59:AD59" si="165">IFERROR(Z7/$B59,0)</f>
        <v>9.1843397478433964E-5</v>
      </c>
      <c r="AA59" s="60">
        <f t="shared" si="165"/>
        <v>1.4611153552330033E-4</v>
      </c>
      <c r="AB59" s="60">
        <f t="shared" si="165"/>
        <v>1.0704545454545457E-4</v>
      </c>
      <c r="AC59" s="60">
        <f t="shared" si="165"/>
        <v>9.8471359678034887E-5</v>
      </c>
      <c r="AD59" s="60">
        <f t="shared" si="165"/>
        <v>2.500423640530592E-4</v>
      </c>
      <c r="AE59" s="71">
        <f>IFERROR(up_RadSpec!$G$7*AE7,".")*$B$59</f>
        <v>0.54440494769088499</v>
      </c>
      <c r="AF59" s="71">
        <f>IFERROR(up_RadSpec!$N$7*AF7,".")*$B$59</f>
        <v>0.34220432918540183</v>
      </c>
      <c r="AG59" s="71">
        <f>IFERROR(up_RadSpec!$O$7*AG7,".")*$B$59</f>
        <v>0.46709129511677278</v>
      </c>
      <c r="AH59" s="71">
        <f>IFERROR(up_RadSpec!$P$7*AH7,".")*$B$59</f>
        <v>0.50776185241558158</v>
      </c>
      <c r="AI59" s="71">
        <f>IFERROR(up_RadSpec!$L$7*AI7,".")*$B$59</f>
        <v>0.1999661144996612</v>
      </c>
      <c r="AJ59" s="49">
        <f t="shared" si="120"/>
        <v>0.41981307779039934</v>
      </c>
      <c r="AK59" s="49">
        <f t="shared" si="120"/>
        <v>0.28979692533318602</v>
      </c>
      <c r="AL59" s="49">
        <f t="shared" si="120"/>
        <v>0.3731771380662996</v>
      </c>
      <c r="AM59" s="49">
        <f t="shared" si="120"/>
        <v>0.39815891830321548</v>
      </c>
      <c r="AN59" s="49">
        <f t="shared" si="120"/>
        <v>0.18124150335075762</v>
      </c>
      <c r="AO59" s="60">
        <f t="shared" ref="AO59:AQ59" si="166">IFERROR(AO7/$B59,0)</f>
        <v>9.9740259740259755E-10</v>
      </c>
      <c r="AP59" s="60">
        <f t="shared" si="166"/>
        <v>6.3709090909090908E-6</v>
      </c>
      <c r="AQ59" s="60">
        <f t="shared" si="166"/>
        <v>9.9724647271019672E-10</v>
      </c>
      <c r="AR59" s="71">
        <f>IFERROR(up_RadSpec!$F$7*AR7,".")*$B$59</f>
        <v>50130.208333333328</v>
      </c>
      <c r="AS59" s="71">
        <f>IFERROR(up_RadSpec!$K$7*AS7,".")*$B$59</f>
        <v>7.8481735159817356</v>
      </c>
      <c r="AT59" s="49">
        <f t="shared" si="122"/>
        <v>1</v>
      </c>
      <c r="AU59" s="49">
        <f t="shared" si="122"/>
        <v>0.99960953550549536</v>
      </c>
      <c r="AV59" s="49">
        <f t="shared" si="123"/>
        <v>1</v>
      </c>
      <c r="AW59" s="60">
        <f t="shared" ref="AW59:AZ59" si="167">IFERROR(AW7/$B59,0)</f>
        <v>2.272727272727273E-10</v>
      </c>
      <c r="AX59" s="60">
        <f t="shared" si="167"/>
        <v>3.9818181818181825E-6</v>
      </c>
      <c r="AY59" s="63">
        <f t="shared" si="167"/>
        <v>1.8181818181818183E-7</v>
      </c>
      <c r="AZ59" s="63">
        <f t="shared" si="167"/>
        <v>1.8181818181818183E-7</v>
      </c>
      <c r="BA59" s="244">
        <f t="shared" si="43"/>
        <v>4399999999.999999</v>
      </c>
      <c r="BB59" s="244">
        <f t="shared" si="43"/>
        <v>251141.55251141547</v>
      </c>
      <c r="BC59" s="244">
        <f t="shared" si="43"/>
        <v>5500000</v>
      </c>
      <c r="BD59" s="244">
        <f t="shared" si="43"/>
        <v>5500000</v>
      </c>
      <c r="BE59" s="63">
        <f>IFERROR(BE7/$B59,0)</f>
        <v>2.2669305553255277E-10</v>
      </c>
      <c r="BF59" s="71">
        <f>IFERROR(up_RadSpec!$I$7*BF7,".")*$B$59</f>
        <v>220000</v>
      </c>
      <c r="BG59" s="71">
        <f>IFERROR(up_RadSpec!$M$7*BG7,".")*$B$59</f>
        <v>12.557077625570777</v>
      </c>
      <c r="BH59" s="71">
        <f>IFERROR(up_RadSpec!$H$7*BH7,".")*$B$59</f>
        <v>275</v>
      </c>
      <c r="BI59" s="71">
        <f>IFERROR(up_RadSpec!$H$7*BI7,".")*$B$59</f>
        <v>275</v>
      </c>
      <c r="BJ59" s="49">
        <f t="shared" si="125"/>
        <v>1</v>
      </c>
      <c r="BK59" s="49">
        <f t="shared" si="125"/>
        <v>0.99999648009875997</v>
      </c>
      <c r="BL59" s="49">
        <f t="shared" si="125"/>
        <v>1</v>
      </c>
      <c r="BM59" s="49">
        <f t="shared" si="125"/>
        <v>1</v>
      </c>
      <c r="BN59" s="49">
        <f t="shared" si="126"/>
        <v>1</v>
      </c>
      <c r="BO59" s="63">
        <f t="shared" ref="BO59:BP59" si="168">IFERROR(BO7/$B59,0)</f>
        <v>1.8181818181818184E-9</v>
      </c>
      <c r="BP59" s="63">
        <f t="shared" si="168"/>
        <v>1.8181818181818184E-9</v>
      </c>
      <c r="BQ59" s="71">
        <f>IFERROR(up_RadSpec!$H$7*BQ7,".")*$B$59</f>
        <v>27500</v>
      </c>
      <c r="BR59" s="71">
        <f>IFERROR(up_RadSpec!$H$7*BR7,".")*$B$59</f>
        <v>27500</v>
      </c>
      <c r="BS59" s="49">
        <f t="shared" si="128"/>
        <v>1</v>
      </c>
      <c r="BT59" s="49">
        <f t="shared" si="128"/>
        <v>1</v>
      </c>
    </row>
    <row r="60" spans="1:72" x14ac:dyDescent="0.25">
      <c r="A60" s="48" t="s">
        <v>1095</v>
      </c>
      <c r="B60" s="15">
        <v>1.9000000000000001E-8</v>
      </c>
      <c r="C60" s="252"/>
      <c r="D60" s="60">
        <f>IFERROR(D12/$B60,0)</f>
        <v>1.7398869073510221</v>
      </c>
      <c r="E60" s="60">
        <f>IFERROR(E12/$B60,0)</f>
        <v>16263.114658917324</v>
      </c>
      <c r="F60" s="60">
        <f>IFERROR(F12/$B60,0)</f>
        <v>3751.6872799494449</v>
      </c>
      <c r="G60" s="60">
        <f>IFERROR(G12/$B60,0)</f>
        <v>3.9872408293460931E-4</v>
      </c>
      <c r="H60" s="60">
        <f>IFERROR(H12/$B60,0)</f>
        <v>3.9872408293460931E-4</v>
      </c>
      <c r="I60" s="244">
        <f t="shared" si="10"/>
        <v>0.57474999999999998</v>
      </c>
      <c r="J60" s="244">
        <f t="shared" si="10"/>
        <v>6.148883660804077E-5</v>
      </c>
      <c r="K60" s="244">
        <f t="shared" si="10"/>
        <v>2.6654673627634425E-4</v>
      </c>
      <c r="L60" s="244">
        <f t="shared" si="10"/>
        <v>2507.9999999999995</v>
      </c>
      <c r="M60" s="244">
        <f t="shared" si="10"/>
        <v>2507.9999999999995</v>
      </c>
      <c r="N60" s="63">
        <f>IFERROR(N12/$B60,0)</f>
        <v>1.9933918748238634E-4</v>
      </c>
      <c r="O60" s="71">
        <f>IFERROR(up_RadSpec!$E$12*O12,".")*$B$60</f>
        <v>2.8737500000000001E-5</v>
      </c>
      <c r="P60" s="71">
        <f>IFERROR(up_RadSpec!$F$12*$P$12,".")*B60</f>
        <v>3.0744418304020388E-9</v>
      </c>
      <c r="Q60" s="71">
        <f>IFERROR(up_RadSpec!$G$12*$Q$12,".")*B60</f>
        <v>1.3327336813817214E-8</v>
      </c>
      <c r="R60" s="71">
        <f>IFERROR(up_RadSpec!$H$12*R12,".")*$B$60</f>
        <v>0.12540000000000001</v>
      </c>
      <c r="S60" s="71">
        <f>IFERROR(up_RadSpec!$H$12*S12,".")*$B$60</f>
        <v>0.12540000000000001</v>
      </c>
      <c r="T60" s="49">
        <f t="shared" si="118"/>
        <v>2.8737500000000001E-5</v>
      </c>
      <c r="U60" s="49">
        <f t="shared" si="118"/>
        <v>3.0744418304020388E-9</v>
      </c>
      <c r="V60" s="49">
        <f t="shared" si="118"/>
        <v>1.3327336813817214E-8</v>
      </c>
      <c r="W60" s="49">
        <f t="shared" si="118"/>
        <v>0.11785602558609864</v>
      </c>
      <c r="X60" s="49">
        <f t="shared" si="118"/>
        <v>0.11785602558609864</v>
      </c>
      <c r="Y60" s="49">
        <f t="shared" si="36"/>
        <v>0.22184438373709214</v>
      </c>
      <c r="Z60" s="60">
        <f t="shared" ref="Z60:AD60" si="169">IFERROR(Z12/$B60,0)</f>
        <v>3751.6872799494449</v>
      </c>
      <c r="AA60" s="60">
        <f t="shared" si="169"/>
        <v>6730.7676010623618</v>
      </c>
      <c r="AB60" s="60">
        <f t="shared" si="169"/>
        <v>4880.3963634823604</v>
      </c>
      <c r="AC60" s="60">
        <f t="shared" si="169"/>
        <v>4310.0706650788998</v>
      </c>
      <c r="AD60" s="60">
        <f t="shared" si="169"/>
        <v>11618.982521238162</v>
      </c>
      <c r="AE60" s="71">
        <f>IFERROR(up_RadSpec!$G$12*AE12,".")*$B$60</f>
        <v>1.3327336813817214E-8</v>
      </c>
      <c r="AF60" s="71">
        <f>IFERROR(up_RadSpec!$N$12*AF12,".")*$B$60</f>
        <v>7.4285732272360991E-9</v>
      </c>
      <c r="AG60" s="71">
        <f>IFERROR(up_RadSpec!$O$12*AG12,".")*$B$60</f>
        <v>1.024506951405131E-8</v>
      </c>
      <c r="AH60" s="71">
        <f>IFERROR(up_RadSpec!$P$12*AH12,".")*$B$60</f>
        <v>1.1600737873072599E-8</v>
      </c>
      <c r="AI60" s="71">
        <f>IFERROR(up_RadSpec!$L$12*AI12,".")*$B$60</f>
        <v>4.3033027985544997E-9</v>
      </c>
      <c r="AJ60" s="49">
        <f t="shared" si="120"/>
        <v>1.3327336813817214E-8</v>
      </c>
      <c r="AK60" s="49">
        <f t="shared" si="120"/>
        <v>7.4285732272360991E-9</v>
      </c>
      <c r="AL60" s="49">
        <f t="shared" si="120"/>
        <v>1.024506951405131E-8</v>
      </c>
      <c r="AM60" s="49">
        <f t="shared" si="120"/>
        <v>1.1600737873072599E-8</v>
      </c>
      <c r="AN60" s="49">
        <f t="shared" si="120"/>
        <v>4.3033027985544997E-9</v>
      </c>
      <c r="AO60" s="60">
        <f t="shared" ref="AO60:AQ60" si="170">IFERROR(AO12/$B60,0)</f>
        <v>5.2494873547505129E-2</v>
      </c>
      <c r="AP60" s="60">
        <f t="shared" si="170"/>
        <v>335.31100478468898</v>
      </c>
      <c r="AQ60" s="60">
        <f t="shared" si="170"/>
        <v>5.2486656458431404E-2</v>
      </c>
      <c r="AR60" s="71">
        <f>IFERROR(up_RadSpec!$F$12*AR12,".")*$B$60</f>
        <v>9.5247395833333328E-4</v>
      </c>
      <c r="AS60" s="71">
        <f>IFERROR(up_RadSpec!$K$12*AS12,".")*$B$60</f>
        <v>1.4911529680365299E-7</v>
      </c>
      <c r="AT60" s="49">
        <f t="shared" si="122"/>
        <v>9.5247395833333328E-4</v>
      </c>
      <c r="AU60" s="49">
        <f t="shared" si="122"/>
        <v>1.4911529680365299E-7</v>
      </c>
      <c r="AV60" s="49">
        <f t="shared" si="123"/>
        <v>9.5262307363013692E-4</v>
      </c>
      <c r="AW60" s="60">
        <f t="shared" ref="AW60:AZ60" si="171">IFERROR(AW12/$B60,0)</f>
        <v>1.1961722488038277E-2</v>
      </c>
      <c r="AX60" s="60">
        <f t="shared" si="171"/>
        <v>209.56937799043064</v>
      </c>
      <c r="AY60" s="63">
        <f t="shared" si="171"/>
        <v>9.5693779904306222</v>
      </c>
      <c r="AZ60" s="63">
        <f t="shared" si="171"/>
        <v>9.5693779904306222</v>
      </c>
      <c r="BA60" s="244">
        <f t="shared" si="43"/>
        <v>83.6</v>
      </c>
      <c r="BB60" s="244">
        <f t="shared" si="43"/>
        <v>4.7716894977168946E-3</v>
      </c>
      <c r="BC60" s="244">
        <f t="shared" si="43"/>
        <v>0.1045</v>
      </c>
      <c r="BD60" s="244">
        <f t="shared" si="43"/>
        <v>0.1045</v>
      </c>
      <c r="BE60" s="63">
        <f>IFERROR(BE12/$B60,0)</f>
        <v>1.1931213449081724E-2</v>
      </c>
      <c r="BF60" s="71">
        <f>IFERROR(up_RadSpec!$I$12*BF12,".")*$B$60</f>
        <v>4.1800000000000006E-3</v>
      </c>
      <c r="BG60" s="71">
        <f>IFERROR(up_RadSpec!$M$12*BG12,".")*$B$60</f>
        <v>2.3858447488584478E-7</v>
      </c>
      <c r="BH60" s="71">
        <f>IFERROR(up_RadSpec!$H$12*BH12,".")*$B$60</f>
        <v>5.2250000000000008E-6</v>
      </c>
      <c r="BI60" s="71">
        <f>IFERROR(up_RadSpec!$H$12*BI12,".")*$B$60</f>
        <v>5.2250000000000008E-6</v>
      </c>
      <c r="BJ60" s="49">
        <f t="shared" si="125"/>
        <v>4.1800000000000006E-3</v>
      </c>
      <c r="BK60" s="49">
        <f t="shared" si="125"/>
        <v>2.3858447488584478E-7</v>
      </c>
      <c r="BL60" s="49">
        <f t="shared" si="125"/>
        <v>5.2250000000000008E-6</v>
      </c>
      <c r="BM60" s="49">
        <f t="shared" si="125"/>
        <v>5.2250000000000008E-6</v>
      </c>
      <c r="BN60" s="49">
        <f t="shared" si="126"/>
        <v>4.1802385844748862E-3</v>
      </c>
      <c r="BO60" s="63">
        <f t="shared" ref="BO60:BP60" si="172">IFERROR(BO12/$B60,0)</f>
        <v>9.569377990430622E-2</v>
      </c>
      <c r="BP60" s="63">
        <f t="shared" si="172"/>
        <v>9.569377990430622E-2</v>
      </c>
      <c r="BQ60" s="71">
        <f>IFERROR(up_RadSpec!$H$12*BQ12,".")*$B$60</f>
        <v>5.2250000000000007E-4</v>
      </c>
      <c r="BR60" s="71">
        <f>IFERROR(up_RadSpec!$H$12*BR12,".")*$B$60</f>
        <v>5.2250000000000007E-4</v>
      </c>
      <c r="BS60" s="49">
        <f t="shared" si="128"/>
        <v>5.2250000000000007E-4</v>
      </c>
      <c r="BT60" s="49">
        <f t="shared" si="128"/>
        <v>5.2250000000000007E-4</v>
      </c>
    </row>
    <row r="61" spans="1:72" x14ac:dyDescent="0.25">
      <c r="A61" s="48" t="s">
        <v>1096</v>
      </c>
      <c r="B61" s="15">
        <v>1</v>
      </c>
      <c r="C61" s="249"/>
      <c r="D61" s="60">
        <f>IFERROR(D18/$B61,0)</f>
        <v>3.3057851239669421E-8</v>
      </c>
      <c r="E61" s="60">
        <f>IFERROR(E18/$B61,0)</f>
        <v>3.0899917851942918E-4</v>
      </c>
      <c r="F61" s="60">
        <f>IFERROR(F18/$B61,0)</f>
        <v>3.5819104981705617E-5</v>
      </c>
      <c r="G61" s="60">
        <f>IFERROR(G18/$B61,0)</f>
        <v>7.5757575757575769E-12</v>
      </c>
      <c r="H61" s="60">
        <f>IFERROR(H18/$B61,0)</f>
        <v>7.5757575757575769E-12</v>
      </c>
      <c r="I61" s="244">
        <f t="shared" si="10"/>
        <v>30250000</v>
      </c>
      <c r="J61" s="244">
        <f t="shared" si="10"/>
        <v>3236.2545583179349</v>
      </c>
      <c r="K61" s="244">
        <f t="shared" si="10"/>
        <v>27918.062176895368</v>
      </c>
      <c r="L61" s="244">
        <f t="shared" si="10"/>
        <v>131999999999.99998</v>
      </c>
      <c r="M61" s="244">
        <f t="shared" si="10"/>
        <v>131999999999.99998</v>
      </c>
      <c r="N61" s="63">
        <f>IFERROR(N18/$B61,0)</f>
        <v>3.7874443629271975E-12</v>
      </c>
      <c r="O61" s="71">
        <f>IFERROR(up_RadSpec!$E$18*O18,".")*$B$61</f>
        <v>1512.5</v>
      </c>
      <c r="P61" s="71">
        <f>IFERROR(up_RadSpec!$F$18*$P$18,".")*B61</f>
        <v>0.16181272791589676</v>
      </c>
      <c r="Q61" s="71">
        <f>IFERROR(up_RadSpec!$G$18*$Q$18,".")*B61</f>
        <v>1.3959031088447684</v>
      </c>
      <c r="R61" s="71">
        <f>IFERROR(up_RadSpec!$H$18*R18,".")*$B$61</f>
        <v>6600000</v>
      </c>
      <c r="S61" s="71">
        <f>IFERROR(up_RadSpec!$H$18*S18,".")*$B$61</f>
        <v>6600000</v>
      </c>
      <c r="T61" s="49">
        <f t="shared" si="118"/>
        <v>1</v>
      </c>
      <c r="U61" s="49">
        <f t="shared" si="118"/>
        <v>0.14939951664921358</v>
      </c>
      <c r="V61" s="49">
        <f t="shared" si="118"/>
        <v>0.75239068280335397</v>
      </c>
      <c r="W61" s="49">
        <f t="shared" si="118"/>
        <v>1</v>
      </c>
      <c r="X61" s="49">
        <f t="shared" si="118"/>
        <v>1</v>
      </c>
      <c r="Y61" s="49">
        <f t="shared" si="36"/>
        <v>1</v>
      </c>
      <c r="Z61" s="60">
        <f t="shared" ref="Z61:AD61" si="173">IFERROR(Z18/$B61,0)</f>
        <v>3.5819104981705617E-5</v>
      </c>
      <c r="AA61" s="60">
        <f t="shared" si="173"/>
        <v>7.0875611640484193E-5</v>
      </c>
      <c r="AB61" s="60">
        <f t="shared" si="173"/>
        <v>4.9633877043552499E-5</v>
      </c>
      <c r="AC61" s="60">
        <f t="shared" si="173"/>
        <v>4.1122563526890526E-5</v>
      </c>
      <c r="AD61" s="60">
        <f t="shared" si="173"/>
        <v>1.2047552447552447E-4</v>
      </c>
      <c r="AE61" s="71">
        <f>IFERROR(up_RadSpec!$G$18*AE18,".")*$B$61</f>
        <v>1.3959031088447684</v>
      </c>
      <c r="AF61" s="71">
        <f>IFERROR(up_RadSpec!$N$18*AF18,".")*$B$61</f>
        <v>0.70546128411031561</v>
      </c>
      <c r="AG61" s="71">
        <f>IFERROR(up_RadSpec!$O$18*AG18,".")*$B$61</f>
        <v>1.0073764730513848</v>
      </c>
      <c r="AH61" s="71">
        <f>IFERROR(up_RadSpec!$P$18*AH18,".")*$B$61</f>
        <v>1.2158775064522527</v>
      </c>
      <c r="AI61" s="71">
        <f>IFERROR(up_RadSpec!$L$18*AI18,".")*$B$61</f>
        <v>0.41502205711632234</v>
      </c>
      <c r="AJ61" s="49">
        <f t="shared" si="120"/>
        <v>0.75239068280335397</v>
      </c>
      <c r="AK61" s="49">
        <f t="shared" si="120"/>
        <v>0.50611929761705565</v>
      </c>
      <c r="AL61" s="49">
        <f t="shared" si="120"/>
        <v>0.63482422758325874</v>
      </c>
      <c r="AM61" s="49">
        <f t="shared" si="120"/>
        <v>0.70355023645539005</v>
      </c>
      <c r="AN61" s="49">
        <f t="shared" si="120"/>
        <v>0.33967428433676894</v>
      </c>
      <c r="AO61" s="60">
        <f t="shared" ref="AO61:AQ61" si="174">IFERROR(AO18/$B61,0)</f>
        <v>9.9740259740259755E-10</v>
      </c>
      <c r="AP61" s="60">
        <f t="shared" si="174"/>
        <v>6.3709090909090908E-6</v>
      </c>
      <c r="AQ61" s="60">
        <f t="shared" si="174"/>
        <v>9.9724647271019672E-10</v>
      </c>
      <c r="AR61" s="71">
        <f>IFERROR(up_RadSpec!$F$18*AR18,".")*$B$61</f>
        <v>50130.208333333328</v>
      </c>
      <c r="AS61" s="71">
        <f>IFERROR(up_RadSpec!$K$18*AS18,".")*$B$61</f>
        <v>7.8481735159817356</v>
      </c>
      <c r="AT61" s="49">
        <f t="shared" si="122"/>
        <v>1</v>
      </c>
      <c r="AU61" s="49">
        <f t="shared" si="122"/>
        <v>0.99960953550549536</v>
      </c>
      <c r="AV61" s="49">
        <f t="shared" si="123"/>
        <v>1</v>
      </c>
      <c r="AW61" s="60">
        <f t="shared" ref="AW61:AZ61" si="175">IFERROR(AW18/$B61,0)</f>
        <v>2.272727272727273E-10</v>
      </c>
      <c r="AX61" s="60">
        <f t="shared" si="175"/>
        <v>3.9818181818181825E-6</v>
      </c>
      <c r="AY61" s="63">
        <f t="shared" si="175"/>
        <v>1.8181818181818183E-7</v>
      </c>
      <c r="AZ61" s="63">
        <f t="shared" si="175"/>
        <v>1.8181818181818183E-7</v>
      </c>
      <c r="BA61" s="244">
        <f t="shared" si="43"/>
        <v>4399999999.999999</v>
      </c>
      <c r="BB61" s="244">
        <f t="shared" si="43"/>
        <v>251141.55251141547</v>
      </c>
      <c r="BC61" s="244">
        <f t="shared" si="43"/>
        <v>5500000</v>
      </c>
      <c r="BD61" s="244">
        <f t="shared" si="43"/>
        <v>5500000</v>
      </c>
      <c r="BE61" s="63">
        <f>IFERROR(BE18/$B61,0)</f>
        <v>2.2669305553255277E-10</v>
      </c>
      <c r="BF61" s="71">
        <f>IFERROR(up_RadSpec!$I$18*BF18,".")*$B$61</f>
        <v>220000</v>
      </c>
      <c r="BG61" s="71">
        <f>IFERROR(up_RadSpec!$M$18*BG18,".")*$B$61</f>
        <v>12.557077625570777</v>
      </c>
      <c r="BH61" s="71">
        <f>IFERROR(up_RadSpec!$H$18*BH18,".")*$B$61</f>
        <v>275</v>
      </c>
      <c r="BI61" s="71">
        <f>IFERROR(up_RadSpec!$H$18*BI18,".")*$B$61</f>
        <v>275</v>
      </c>
      <c r="BJ61" s="49">
        <f t="shared" si="125"/>
        <v>1</v>
      </c>
      <c r="BK61" s="49">
        <f t="shared" si="125"/>
        <v>0.99999648009875997</v>
      </c>
      <c r="BL61" s="49">
        <f t="shared" si="125"/>
        <v>1</v>
      </c>
      <c r="BM61" s="49">
        <f t="shared" si="125"/>
        <v>1</v>
      </c>
      <c r="BN61" s="49">
        <f t="shared" si="126"/>
        <v>1</v>
      </c>
      <c r="BO61" s="63">
        <f t="shared" ref="BO61:BP61" si="176">IFERROR(BO18/$B61,0)</f>
        <v>1.8181818181818184E-9</v>
      </c>
      <c r="BP61" s="63">
        <f t="shared" si="176"/>
        <v>1.8181818181818184E-9</v>
      </c>
      <c r="BQ61" s="71">
        <f>IFERROR(up_RadSpec!$H$18*BQ18,".")*$B$61</f>
        <v>27500</v>
      </c>
      <c r="BR61" s="71">
        <f>IFERROR(up_RadSpec!$H$18*BR18,".")*$B$61</f>
        <v>27500</v>
      </c>
      <c r="BS61" s="49">
        <f t="shared" si="128"/>
        <v>1</v>
      </c>
      <c r="BT61" s="49">
        <f t="shared" si="128"/>
        <v>1</v>
      </c>
    </row>
    <row r="62" spans="1:72" x14ac:dyDescent="0.25">
      <c r="A62" s="48" t="s">
        <v>1097</v>
      </c>
      <c r="B62" s="15">
        <v>1.339E-6</v>
      </c>
      <c r="C62" s="249"/>
      <c r="D62" s="60">
        <f>IFERROR(D27/$B62,0)</f>
        <v>2.4688462464278881E-2</v>
      </c>
      <c r="E62" s="60">
        <f>IFERROR(E27/$B62,0)</f>
        <v>230.76861726619057</v>
      </c>
      <c r="F62" s="60">
        <f>IFERROR(F27/$B62,0)</f>
        <v>43.901003530817384</v>
      </c>
      <c r="G62" s="60">
        <f>IFERROR(G27/$B62,0)</f>
        <v>5.6577726480639113E-6</v>
      </c>
      <c r="H62" s="60">
        <f>IFERROR(H27/$B62,0)</f>
        <v>5.6577726480639113E-6</v>
      </c>
      <c r="I62" s="244">
        <f t="shared" si="10"/>
        <v>40.504750000000001</v>
      </c>
      <c r="J62" s="244">
        <f t="shared" si="10"/>
        <v>4.3333448535877147E-3</v>
      </c>
      <c r="K62" s="244">
        <f t="shared" si="10"/>
        <v>2.2778522575184996E-2</v>
      </c>
      <c r="L62" s="244">
        <f t="shared" si="10"/>
        <v>176747.99999999997</v>
      </c>
      <c r="M62" s="244">
        <f t="shared" si="10"/>
        <v>176747.99999999997</v>
      </c>
      <c r="N62" s="63">
        <f>IFERROR(N27/$B62,0)</f>
        <v>2.8285620010288406E-6</v>
      </c>
      <c r="O62" s="71">
        <f>IFERROR(up_RadSpec!$E$27*O27,".")*$B$62</f>
        <v>2.0252375000000002E-3</v>
      </c>
      <c r="P62" s="71">
        <f>IFERROR(up_RadSpec!$F$27*$P$27,".")*B62</f>
        <v>2.1666724267938577E-7</v>
      </c>
      <c r="Q62" s="71">
        <f>IFERROR(up_RadSpec!$G$27*$Q$27,".")*B62</f>
        <v>1.13892612875925E-6</v>
      </c>
      <c r="R62" s="71">
        <f>IFERROR(up_RadSpec!$H$27*R27,".")*$B$62</f>
        <v>8.8374000000000006</v>
      </c>
      <c r="S62" s="71">
        <f>IFERROR(up_RadSpec!$H$27*S27,".")*$B$62</f>
        <v>8.8374000000000006</v>
      </c>
      <c r="T62" s="49">
        <f t="shared" si="118"/>
        <v>2.0252375000000002E-3</v>
      </c>
      <c r="U62" s="49">
        <f t="shared" si="118"/>
        <v>2.1666724267938577E-7</v>
      </c>
      <c r="V62" s="49">
        <f t="shared" si="118"/>
        <v>1.13892612875925E-6</v>
      </c>
      <c r="W62" s="49">
        <f t="shared" si="118"/>
        <v>0.99985480022425055</v>
      </c>
      <c r="X62" s="49">
        <f t="shared" si="118"/>
        <v>0.99985480022425055</v>
      </c>
      <c r="Y62" s="49">
        <f t="shared" si="36"/>
        <v>0.99999997895970849</v>
      </c>
      <c r="Z62" s="60">
        <f t="shared" ref="Z62:AD62" si="177">IFERROR(Z27/$B62,0)</f>
        <v>43.901003530817384</v>
      </c>
      <c r="AA62" s="60">
        <f t="shared" si="177"/>
        <v>130.21786593580163</v>
      </c>
      <c r="AB62" s="60">
        <f t="shared" si="177"/>
        <v>79.833343734491137</v>
      </c>
      <c r="AC62" s="60">
        <f t="shared" si="177"/>
        <v>58.075673411227257</v>
      </c>
      <c r="AD62" s="60">
        <f t="shared" si="177"/>
        <v>407.31919794291832</v>
      </c>
      <c r="AE62" s="71">
        <f>IFERROR(up_RadSpec!$G$27*AE27,".")*$B$62</f>
        <v>1.13892612875925E-6</v>
      </c>
      <c r="AF62" s="71">
        <f>IFERROR(up_RadSpec!$N$27*AF27,".")*$B$62</f>
        <v>3.8397188926940623E-7</v>
      </c>
      <c r="AG62" s="71">
        <f>IFERROR(up_RadSpec!$O$27*AG27,".")*$B$62</f>
        <v>6.2630472007147106E-7</v>
      </c>
      <c r="AH62" s="71">
        <f>IFERROR(up_RadSpec!$P$27*AH27,".")*$B$62</f>
        <v>8.609456776498427E-7</v>
      </c>
      <c r="AI62" s="71">
        <f>IFERROR(up_RadSpec!$L$27*AI27,".")*$B$62</f>
        <v>1.2275385067169607E-7</v>
      </c>
      <c r="AJ62" s="49">
        <f t="shared" si="120"/>
        <v>1.13892612875925E-6</v>
      </c>
      <c r="AK62" s="49">
        <f t="shared" si="120"/>
        <v>3.8397188926940623E-7</v>
      </c>
      <c r="AL62" s="49">
        <f t="shared" si="120"/>
        <v>6.2630472007147106E-7</v>
      </c>
      <c r="AM62" s="49">
        <f t="shared" si="120"/>
        <v>8.609456776498427E-7</v>
      </c>
      <c r="AN62" s="49">
        <f t="shared" si="120"/>
        <v>1.2275385067169607E-7</v>
      </c>
      <c r="AO62" s="60">
        <f t="shared" ref="AO62:AQ62" si="178">IFERROR(AO27/$B62,0)</f>
        <v>7.4488618177938576E-4</v>
      </c>
      <c r="AP62" s="60">
        <f t="shared" si="178"/>
        <v>4.7579604861158256</v>
      </c>
      <c r="AQ62" s="60">
        <f t="shared" si="178"/>
        <v>7.4476958380149125E-4</v>
      </c>
      <c r="AR62" s="71">
        <f>IFERROR(up_RadSpec!$F$27*AR27,".")*$B$62</f>
        <v>6.712434895833333E-2</v>
      </c>
      <c r="AS62" s="71">
        <f>IFERROR(up_RadSpec!$K$27*AS27,".")*$B$62</f>
        <v>1.0508704337899545E-5</v>
      </c>
      <c r="AT62" s="49">
        <f t="shared" si="122"/>
        <v>6.4921081982343365E-2</v>
      </c>
      <c r="AU62" s="49">
        <f t="shared" si="122"/>
        <v>1.0508704337899545E-5</v>
      </c>
      <c r="AV62" s="49">
        <f t="shared" si="123"/>
        <v>6.4930908398593834E-2</v>
      </c>
      <c r="AW62" s="60">
        <f t="shared" ref="AW62:AZ62" si="179">IFERROR(AW27/$B62,0)</f>
        <v>1.6973317944191734E-4</v>
      </c>
      <c r="AX62" s="60">
        <f t="shared" si="179"/>
        <v>2.9737253038223916</v>
      </c>
      <c r="AY62" s="63">
        <f t="shared" si="179"/>
        <v>0.13578654355353384</v>
      </c>
      <c r="AZ62" s="63">
        <f t="shared" si="179"/>
        <v>0.13578654355353384</v>
      </c>
      <c r="BA62" s="244">
        <f t="shared" si="43"/>
        <v>5891.5999999999985</v>
      </c>
      <c r="BB62" s="244">
        <f t="shared" si="43"/>
        <v>0.33627853881278535</v>
      </c>
      <c r="BC62" s="244">
        <f t="shared" si="43"/>
        <v>7.3645000000000005</v>
      </c>
      <c r="BD62" s="244">
        <f t="shared" si="43"/>
        <v>7.3645000000000005</v>
      </c>
      <c r="BE62" s="63">
        <f>IFERROR(BE27/$B62,0)</f>
        <v>1.6930026552095054E-4</v>
      </c>
      <c r="BF62" s="71">
        <f>IFERROR(up_RadSpec!$I$27*BF27,".")*$B$62</f>
        <v>0.29458000000000001</v>
      </c>
      <c r="BG62" s="71">
        <f>IFERROR(up_RadSpec!$M$27*BG27,".")*$B$62</f>
        <v>1.6813926940639269E-5</v>
      </c>
      <c r="BH62" s="71">
        <f>IFERROR(up_RadSpec!$H$27*BH27,".")*$B$62</f>
        <v>3.6822500000000002E-4</v>
      </c>
      <c r="BI62" s="71">
        <f>IFERROR(up_RadSpec!$H$27*BI27,".")*$B$62</f>
        <v>3.6822500000000002E-4</v>
      </c>
      <c r="BJ62" s="49">
        <f t="shared" si="125"/>
        <v>0.25515564359047449</v>
      </c>
      <c r="BK62" s="49">
        <f t="shared" si="125"/>
        <v>1.6813926940639269E-5</v>
      </c>
      <c r="BL62" s="49">
        <f t="shared" si="125"/>
        <v>3.6822500000000002E-4</v>
      </c>
      <c r="BM62" s="49">
        <f t="shared" si="125"/>
        <v>3.6822500000000002E-4</v>
      </c>
      <c r="BN62" s="49">
        <f t="shared" si="126"/>
        <v>0.25516816724377911</v>
      </c>
      <c r="BO62" s="63">
        <f t="shared" ref="BO62:BP62" si="180">IFERROR(BO27/$B62,0)</f>
        <v>1.3578654355353387E-3</v>
      </c>
      <c r="BP62" s="63">
        <f t="shared" si="180"/>
        <v>1.3578654355353387E-3</v>
      </c>
      <c r="BQ62" s="71">
        <f>IFERROR(up_RadSpec!$H$27*BQ27,".")*$B$62</f>
        <v>3.6822500000000001E-2</v>
      </c>
      <c r="BR62" s="71">
        <f>IFERROR(up_RadSpec!$H$27*BR27,".")*$B$62</f>
        <v>3.6822500000000001E-2</v>
      </c>
      <c r="BS62" s="49">
        <f t="shared" si="128"/>
        <v>3.6152796955113198E-2</v>
      </c>
      <c r="BT62" s="49">
        <f t="shared" si="128"/>
        <v>3.6152796955113198E-2</v>
      </c>
    </row>
    <row r="63" spans="1:72" x14ac:dyDescent="0.25">
      <c r="A63" s="57" t="s">
        <v>35</v>
      </c>
      <c r="B63" s="57" t="s">
        <v>1255</v>
      </c>
      <c r="C63" s="57"/>
      <c r="D63" s="58">
        <f>1/SUM(1/D64,1/D65,1/D66,1/D67,1/D68,1/D69,1/D70,1/D71,1/D72,1/D73,1/D74,1/D75,1/D76)</f>
        <v>4.1322307035125151E-9</v>
      </c>
      <c r="E63" s="58">
        <f>1/SUM(1/E64,1/E65,1/E66,1/E67,1/E68,1/E69,1/E70,1/E71,1/E72,1/E73,1/E74,1/E75,1/E76)</f>
        <v>3.8624890758353446E-5</v>
      </c>
      <c r="F63" s="58">
        <f>1/SUM(1/F64,1/F66,1/F68,1/F69,1/F70,1/F71,1/F72,1/F73,1/F74,1/F75,1/F76)</f>
        <v>7.2020093032882853E-6</v>
      </c>
      <c r="G63" s="58">
        <f>1/SUM(1/G64,1/G65,1/G66,1/G67,1/G68,1/G69,1/G70,1/G71,1/G72,1/G73,1/G74,1/G75,1/G76)</f>
        <v>9.469695362216183E-13</v>
      </c>
      <c r="H63" s="58">
        <f>1/SUM(1/H64,1/H65,1/H66,1/H67,1/H68,1/H69,1/H70,1/H71,1/H72,1/H73,1/H74,1/H75,1/H76)</f>
        <v>9.469695362216183E-13</v>
      </c>
      <c r="I63" s="244">
        <f t="shared" si="10"/>
        <v>242000041.07950005</v>
      </c>
      <c r="J63" s="244">
        <f t="shared" si="10"/>
        <v>25890.040861377165</v>
      </c>
      <c r="K63" s="244">
        <f t="shared" si="10"/>
        <v>138850.13999404598</v>
      </c>
      <c r="L63" s="244">
        <f t="shared" si="10"/>
        <v>1056000179255.9999</v>
      </c>
      <c r="M63" s="244">
        <f t="shared" si="10"/>
        <v>1056000179255.9999</v>
      </c>
      <c r="N63" s="58">
        <f>1/SUM(1/N64,1/N65,1/N66,1/N67,1/N68,1/N69,1/N70,1/N71,1/N72,1/N73,1/N74,1/N75,1/N76)</f>
        <v>4.7343048393934906E-13</v>
      </c>
      <c r="O63" s="70"/>
      <c r="P63" s="70"/>
      <c r="Q63" s="70"/>
      <c r="R63" s="70"/>
      <c r="S63" s="70"/>
      <c r="T63" s="47">
        <f>IFERROR(IF(SUM(O64:O76)&gt;0.01,1-EXP(-SUM(O64:O76)),SUM(O64:O76)),".")</f>
        <v>1</v>
      </c>
      <c r="U63" s="47">
        <f>IFERROR(IF(SUM(P64:P76)&gt;0.01,1-EXP(-SUM(P64:P76)),SUM(P64:P76)),".")</f>
        <v>0.7259657123649399</v>
      </c>
      <c r="V63" s="47">
        <f>IFERROR(IF(SUM(Q64:Q76)&gt;0.01,1-EXP(-SUM(Q64:Q76)),SUM(Q64:Q76)),".")</f>
        <v>0.99903415481416136</v>
      </c>
      <c r="W63" s="47">
        <f>IFERROR(IF(SUM(R64:R76)&gt;0.01,1-EXP(-SUM(R64:R76)),SUM(R64:R76)),".")</f>
        <v>1</v>
      </c>
      <c r="X63" s="47">
        <f>IFERROR(IF(SUM(S64:S76)&gt;0.01,1-EXP(-SUM(S64:S76)),SUM(S64:S76)),".")</f>
        <v>1</v>
      </c>
      <c r="Y63" s="47">
        <f>IFERROR(IF(SUM(O64:S76)&gt;0.01,1-EXP(-SUM(O64:S76)),SUM(O64:S76)),".")</f>
        <v>1</v>
      </c>
      <c r="Z63" s="59">
        <f t="shared" ref="Z63:AD63" si="181">1/SUM(1/Z64,1/Z66,1/Z68,1/Z69,1/Z70,1/Z71,1/Z72,1/Z73,1/Z74,1/Z75,1/Z76)</f>
        <v>7.2020093032882853E-6</v>
      </c>
      <c r="AA63" s="59">
        <f t="shared" si="181"/>
        <v>1.3719761599145533E-5</v>
      </c>
      <c r="AB63" s="59">
        <f t="shared" si="181"/>
        <v>9.7701532463028118E-6</v>
      </c>
      <c r="AC63" s="59">
        <f t="shared" si="181"/>
        <v>8.3304156415765933E-6</v>
      </c>
      <c r="AD63" s="59">
        <f t="shared" si="181"/>
        <v>2.4088991591820404E-5</v>
      </c>
      <c r="AE63" s="70"/>
      <c r="AF63" s="70"/>
      <c r="AG63" s="70"/>
      <c r="AH63" s="70"/>
      <c r="AI63" s="70"/>
      <c r="AJ63" s="47">
        <f>IFERROR(IF(SUM(AE64:AE76)&gt;0.01,1-EXP(-SUM(AE64:AE76)),SUM(AE64:AE76)),".")</f>
        <v>0.99903415481416136</v>
      </c>
      <c r="AK63" s="47">
        <f t="shared" ref="AK63:AN63" si="182">IFERROR(IF(SUM(AF64:AF76)&gt;0.01,1-EXP(-SUM(AF64:AF76)),SUM(AF64:AF76)),".")</f>
        <v>0.97386234264811056</v>
      </c>
      <c r="AL63" s="47">
        <f t="shared" si="182"/>
        <v>0.99400977913439714</v>
      </c>
      <c r="AM63" s="47">
        <f t="shared" si="182"/>
        <v>0.9975264513866956</v>
      </c>
      <c r="AN63" s="47">
        <f t="shared" si="182"/>
        <v>0.87452351481170032</v>
      </c>
      <c r="AO63" s="58">
        <f t="shared" ref="AO63:AQ63" si="183">1/SUM(1/AO64,1/AO65,1/AO66,1/AO67,1/AO68,1/AO69,1/AO70,1/AO71,1/AO72,1/AO73,1/AO74,1/AO75,1/AO76)</f>
        <v>1.2467530351169192E-10</v>
      </c>
      <c r="AP63" s="58">
        <f t="shared" si="183"/>
        <v>7.9636350118093191E-7</v>
      </c>
      <c r="AQ63" s="59">
        <f t="shared" si="183"/>
        <v>1.246557879284546E-10</v>
      </c>
      <c r="AR63" s="70"/>
      <c r="AS63" s="70"/>
      <c r="AT63" s="47">
        <f>IFERROR(IF(SUM(AR64:AR76)&gt;0.01,1-EXP(-SUM(AR64:AR76)),SUM(AR64:AR76)),".")</f>
        <v>1</v>
      </c>
      <c r="AU63" s="47">
        <f>IFERROR(IF(SUM(AS64:AS76)&gt;0.01,1-EXP(-SUM(AS64:AS76)),SUM(AS64:AS76)),".")</f>
        <v>1</v>
      </c>
      <c r="AV63" s="47">
        <f>IFERROR(IF(SUM(AR64:AS76)&gt;0.01,1-EXP(-SUM(AR64:AS76)),SUM(AR64:AS76)),".")</f>
        <v>1</v>
      </c>
      <c r="AW63" s="58">
        <f t="shared" ref="AW63:AZ63" si="184">1/SUM(1/AW64,1/AW65,1/AW66,1/AW67,1/AW68,1/AW69,1/AW70,1/AW71,1/AW72,1/AW73,1/AW74,1/AW75,1/AW76)</f>
        <v>2.8409086086648553E-11</v>
      </c>
      <c r="AX63" s="58">
        <f t="shared" si="184"/>
        <v>4.9772718823808261E-7</v>
      </c>
      <c r="AY63" s="61">
        <f t="shared" si="184"/>
        <v>2.2727268869318836E-8</v>
      </c>
      <c r="AZ63" s="61">
        <f t="shared" si="184"/>
        <v>2.2727268869318836E-8</v>
      </c>
      <c r="BA63" s="244">
        <f t="shared" si="43"/>
        <v>35200005975.199989</v>
      </c>
      <c r="BB63" s="244">
        <f t="shared" si="43"/>
        <v>2009132.7611415521</v>
      </c>
      <c r="BC63" s="244">
        <f t="shared" si="43"/>
        <v>44000007.469000004</v>
      </c>
      <c r="BD63" s="244">
        <f t="shared" si="43"/>
        <v>44000007.469000004</v>
      </c>
      <c r="BE63" s="62">
        <f>1/SUM(1/BE64,1/BE65,1/BE66,1/BE67,1/BE68,1/BE69,1/BE70,1/BE71,1/BE72,1/BE73,1/BE74,1/BE75,1/BE76)</f>
        <v>2.8336627131426641E-11</v>
      </c>
      <c r="BF63" s="70"/>
      <c r="BG63" s="70"/>
      <c r="BH63" s="70"/>
      <c r="BI63" s="70"/>
      <c r="BJ63" s="47">
        <f>IFERROR(IF(SUM(BF64:BF76)&gt;0.01,1-EXP(-SUM(BF64:BF76)),SUM(BF64:BF76)),".")</f>
        <v>1</v>
      </c>
      <c r="BK63" s="47">
        <f>IFERROR(IF(SUM(BG64:BG76)&gt;0.01,1-EXP(-SUM(BG64:BG76)),SUM(BG64:BG76)),".")</f>
        <v>1</v>
      </c>
      <c r="BL63" s="47">
        <f>IFERROR(IF(SUM(BH64:BH76)&gt;0.01,1-EXP(-SUM(BH64:BH76)),SUM(BH64:BH76)),".")</f>
        <v>1</v>
      </c>
      <c r="BM63" s="47">
        <f>IFERROR(IF(SUM(BI64:BI76)&gt;0.01,1-EXP(-SUM(BI64:BI76)),SUM(BI64:BI76)),".")</f>
        <v>1</v>
      </c>
      <c r="BN63" s="47">
        <f>IFERROR(IF(SUM(BF64:BG76)&gt;0.01,1-EXP(-SUM(BF64:BG76)),SUM(BF64:BG76)),".")</f>
        <v>1</v>
      </c>
      <c r="BO63" s="61">
        <f t="shared" ref="BO63:BP63" si="185">1/SUM(1/BO64,1/BO65,1/BO66,1/BO67,1/BO68,1/BO69,1/BO70,1/BO71,1/BO72,1/BO73,1/BO74,1/BO75,1/BO76)</f>
        <v>2.2727268869318842E-10</v>
      </c>
      <c r="BP63" s="61">
        <f t="shared" si="185"/>
        <v>2.2727268869318842E-10</v>
      </c>
      <c r="BQ63" s="70"/>
      <c r="BR63" s="70"/>
      <c r="BS63" s="47">
        <f>IFERROR(IF(SUM(BQ64:BQ76)&gt;0.01,1-EXP(-SUM(BQ64:BQ76)),SUM(BQ64:BQ76)),".")</f>
        <v>1</v>
      </c>
      <c r="BT63" s="47">
        <f t="shared" ref="BT63" si="186">IFERROR(IF(SUM(BR64:BR76)&gt;0.01,1-EXP(-SUM(BR64:BR76)),SUM(BR64:BR76)),".")</f>
        <v>1</v>
      </c>
    </row>
    <row r="64" spans="1:72" x14ac:dyDescent="0.25">
      <c r="A64" s="48" t="s">
        <v>1087</v>
      </c>
      <c r="B64" s="45">
        <v>1</v>
      </c>
      <c r="C64" s="178"/>
      <c r="D64" s="60">
        <f>IFERROR(D25/$B50,0)</f>
        <v>3.3057851239669421E-8</v>
      </c>
      <c r="E64" s="60">
        <f>IFERROR(E25/$B50,0)</f>
        <v>3.0899917851942918E-4</v>
      </c>
      <c r="F64" s="60">
        <f>IFERROR(F25/$B50,0)</f>
        <v>5.1171960569550945E-5</v>
      </c>
      <c r="G64" s="60">
        <f>IFERROR(G25/$B50,0)</f>
        <v>7.5757575757575769E-12</v>
      </c>
      <c r="H64" s="60">
        <f>IFERROR(H25/$B50,0)</f>
        <v>7.5757575757575769E-12</v>
      </c>
      <c r="I64" s="244">
        <f t="shared" si="10"/>
        <v>30250000</v>
      </c>
      <c r="J64" s="244">
        <f t="shared" si="10"/>
        <v>3236.2545583179349</v>
      </c>
      <c r="K64" s="244">
        <f t="shared" si="10"/>
        <v>19541.952054794514</v>
      </c>
      <c r="L64" s="244">
        <f t="shared" si="10"/>
        <v>131999999999.99998</v>
      </c>
      <c r="M64" s="244">
        <f t="shared" si="10"/>
        <v>131999999999.99998</v>
      </c>
      <c r="N64" s="63">
        <f>IFERROR(N25/$B50,0)</f>
        <v>3.7874444830802795E-12</v>
      </c>
      <c r="O64" s="71">
        <f>IFERROR(up_RadSpec!$E$25*O25,".")*$B$64</f>
        <v>1512.5</v>
      </c>
      <c r="P64" s="71">
        <f>IFERROR(up_RadSpec!$F$25*$P$25,".")*B64</f>
        <v>0.16181272791589676</v>
      </c>
      <c r="Q64" s="71">
        <f>IFERROR(up_RadSpec!$G$25*$Q$25,".")*B64</f>
        <v>0.9770976027397259</v>
      </c>
      <c r="R64" s="71">
        <f>IFERROR(up_RadSpec!$H$25*R25,".")*$B$64</f>
        <v>6600000</v>
      </c>
      <c r="S64" s="71">
        <f>IFERROR(up_RadSpec!$H$25*S25,".")*$B$64</f>
        <v>6600000</v>
      </c>
      <c r="T64" s="49">
        <f t="shared" ref="T64:X76" si="187">IFERROR(IF(O64&gt;0.01,1-EXP(-O64),O64),".")</f>
        <v>1</v>
      </c>
      <c r="U64" s="49">
        <f t="shared" si="187"/>
        <v>0.14939951664921358</v>
      </c>
      <c r="V64" s="49">
        <f t="shared" si="187"/>
        <v>0.62359801691963734</v>
      </c>
      <c r="W64" s="49">
        <f t="shared" si="187"/>
        <v>1</v>
      </c>
      <c r="X64" s="49">
        <f t="shared" si="187"/>
        <v>1</v>
      </c>
      <c r="Y64" s="49">
        <f t="shared" si="36"/>
        <v>1</v>
      </c>
      <c r="Z64" s="60">
        <f t="shared" ref="Z64:AD64" si="188">IFERROR(Z25/$B50,0)</f>
        <v>5.1171960569550945E-5</v>
      </c>
      <c r="AA64" s="60">
        <f t="shared" si="188"/>
        <v>9.1638362553616787E-5</v>
      </c>
      <c r="AB64" s="60">
        <f t="shared" si="188"/>
        <v>6.5732694272020137E-5</v>
      </c>
      <c r="AC64" s="60">
        <f t="shared" si="188"/>
        <v>5.8697641341709148E-5</v>
      </c>
      <c r="AD64" s="60">
        <f t="shared" si="188"/>
        <v>1.6429752066115703E-4</v>
      </c>
      <c r="AE64" s="71">
        <f>IFERROR(up_RadSpec!$G$25*AE25,".")*$B$64</f>
        <v>0.9770976027397259</v>
      </c>
      <c r="AF64" s="71">
        <f>IFERROR(up_RadSpec!$N$25*AF25,".")*$B$64</f>
        <v>0.54562301864293405</v>
      </c>
      <c r="AG64" s="71">
        <f>IFERROR(up_RadSpec!$O$25*AG25,".")*$B$64</f>
        <v>0.76065648234478456</v>
      </c>
      <c r="AH64" s="71">
        <f>IFERROR(up_RadSpec!$P$25*AH25,".")*$B$64</f>
        <v>0.8518229839751873</v>
      </c>
      <c r="AI64" s="71">
        <f>IFERROR(up_RadSpec!$L$25*AI25,".")*$B$64</f>
        <v>0.30432595573440646</v>
      </c>
      <c r="AJ64" s="49">
        <f t="shared" ref="AJ64:AN76" si="189">IFERROR(IF(AE64&gt;0.01,1-EXP(-AE64),AE64),".")</f>
        <v>0.62359801691963734</v>
      </c>
      <c r="AK64" s="49">
        <f t="shared" si="189"/>
        <v>0.42051935639105253</v>
      </c>
      <c r="AL64" s="49">
        <f t="shared" si="189"/>
        <v>0.53264048698983757</v>
      </c>
      <c r="AM64" s="49">
        <f t="shared" si="189"/>
        <v>0.57336352884660768</v>
      </c>
      <c r="AN64" s="49">
        <f t="shared" si="189"/>
        <v>0.26237960433647745</v>
      </c>
      <c r="AO64" s="60">
        <f t="shared" ref="AO64:AQ64" si="190">IFERROR(AO25/$B50,0)</f>
        <v>9.9740259740259755E-10</v>
      </c>
      <c r="AP64" s="60">
        <f t="shared" si="190"/>
        <v>6.3709090909090908E-6</v>
      </c>
      <c r="AQ64" s="60">
        <f t="shared" si="190"/>
        <v>9.9724647271019672E-10</v>
      </c>
      <c r="AR64" s="71">
        <f>IFERROR(up_RadSpec!$F$25*AR25,".")*$B$64</f>
        <v>50130.208333333328</v>
      </c>
      <c r="AS64" s="71">
        <f>IFERROR(up_RadSpec!$K$25*AS25,".")*$B$64</f>
        <v>7.8481735159817356</v>
      </c>
      <c r="AT64" s="49">
        <f t="shared" ref="AT64:AU76" si="191">IFERROR(IF(AR64&gt;0.01,1-EXP(-AR64),AR64),".")</f>
        <v>1</v>
      </c>
      <c r="AU64" s="49">
        <f t="shared" si="191"/>
        <v>0.99960953550549536</v>
      </c>
      <c r="AV64" s="49">
        <f t="shared" ref="AV64:AV76" si="192">IFERROR(IF(SUM(AR64:AS64)&gt;0.01,1-EXP(-SUM(AR64:AS64)),SUM(AR64:AS64)),".")</f>
        <v>1</v>
      </c>
      <c r="AW64" s="60">
        <f t="shared" ref="AW64:AZ64" si="193">IFERROR(AW25/$B50,0)</f>
        <v>2.272727272727273E-10</v>
      </c>
      <c r="AX64" s="60">
        <f t="shared" si="193"/>
        <v>3.9818181818181825E-6</v>
      </c>
      <c r="AY64" s="63">
        <f t="shared" si="193"/>
        <v>1.8181818181818183E-7</v>
      </c>
      <c r="AZ64" s="63">
        <f t="shared" si="193"/>
        <v>1.8181818181818183E-7</v>
      </c>
      <c r="BA64" s="244">
        <f t="shared" si="43"/>
        <v>4399999999.999999</v>
      </c>
      <c r="BB64" s="244">
        <f t="shared" si="43"/>
        <v>251141.55251141547</v>
      </c>
      <c r="BC64" s="244">
        <f t="shared" si="43"/>
        <v>5500000</v>
      </c>
      <c r="BD64" s="244">
        <f t="shared" si="43"/>
        <v>5500000</v>
      </c>
      <c r="BE64" s="63">
        <f>IFERROR(BE25/$B50,0)</f>
        <v>2.2669305553255277E-10</v>
      </c>
      <c r="BF64" s="71">
        <f>IFERROR(up_RadSpec!$I$25*BF25,".")*$B$64</f>
        <v>220000</v>
      </c>
      <c r="BG64" s="71">
        <f>IFERROR(up_RadSpec!$M$25*BG25,".")*$B$64</f>
        <v>12.557077625570777</v>
      </c>
      <c r="BH64" s="71">
        <f>IFERROR(up_RadSpec!$H$25*BH25,".")*$B$64</f>
        <v>275</v>
      </c>
      <c r="BI64" s="71">
        <f>IFERROR(up_RadSpec!$H$25*BI25,".")*$B$64</f>
        <v>275</v>
      </c>
      <c r="BJ64" s="49">
        <f t="shared" ref="BJ64:BM76" si="194">IFERROR(IF(BF64&gt;0.01,1-EXP(-BF64),BF64),".")</f>
        <v>1</v>
      </c>
      <c r="BK64" s="49">
        <f t="shared" si="194"/>
        <v>0.99999648009875997</v>
      </c>
      <c r="BL64" s="49">
        <f t="shared" si="194"/>
        <v>1</v>
      </c>
      <c r="BM64" s="49">
        <f t="shared" si="194"/>
        <v>1</v>
      </c>
      <c r="BN64" s="49">
        <f t="shared" ref="BN64:BN76" si="195">IFERROR(IF(SUM(BF64:BG64)&gt;0.01,1-EXP(-SUM(BF64:BG64)),SUM(BF64:BG64)),".")</f>
        <v>1</v>
      </c>
      <c r="BO64" s="63">
        <f t="shared" ref="BO64:BP64" si="196">IFERROR(BO25/$B50,0)</f>
        <v>1.8181818181818184E-9</v>
      </c>
      <c r="BP64" s="63">
        <f t="shared" si="196"/>
        <v>1.8181818181818184E-9</v>
      </c>
      <c r="BQ64" s="71">
        <f>IFERROR(up_RadSpec!$H$25*BQ25,".")*$B$64</f>
        <v>27500</v>
      </c>
      <c r="BR64" s="71">
        <f>IFERROR(up_RadSpec!$H$25*BR25,".")*$B$64</f>
        <v>27500</v>
      </c>
      <c r="BS64" s="49">
        <f t="shared" ref="BS64:BT76" si="197">IFERROR(IF(BQ64&gt;0.01,1-EXP(-BQ64),BQ64),".")</f>
        <v>1</v>
      </c>
      <c r="BT64" s="49">
        <f t="shared" si="197"/>
        <v>1</v>
      </c>
    </row>
    <row r="65" spans="1:72" x14ac:dyDescent="0.25">
      <c r="A65" s="48" t="s">
        <v>1073</v>
      </c>
      <c r="B65" s="45">
        <v>1</v>
      </c>
      <c r="C65" s="178"/>
      <c r="D65" s="60">
        <f>IFERROR(D21/$B51,0)</f>
        <v>3.3057851239669421E-8</v>
      </c>
      <c r="E65" s="60">
        <f>IFERROR(E21/$B51,0)</f>
        <v>3.0899917851942918E-4</v>
      </c>
      <c r="F65" s="60">
        <f>IFERROR(F21/$B51,0)</f>
        <v>0</v>
      </c>
      <c r="G65" s="60">
        <f>IFERROR(G21/$B51,0)</f>
        <v>7.5757575757575769E-12</v>
      </c>
      <c r="H65" s="60">
        <f>IFERROR(H21/$B51,0)</f>
        <v>7.5757575757575769E-12</v>
      </c>
      <c r="I65" s="244">
        <f t="shared" si="10"/>
        <v>30250000</v>
      </c>
      <c r="J65" s="244">
        <f t="shared" si="10"/>
        <v>3236.2545583179349</v>
      </c>
      <c r="K65" s="244">
        <f t="shared" si="10"/>
        <v>0</v>
      </c>
      <c r="L65" s="244">
        <f t="shared" si="10"/>
        <v>131999999999.99998</v>
      </c>
      <c r="M65" s="244">
        <f t="shared" si="10"/>
        <v>131999999999.99998</v>
      </c>
      <c r="N65" s="63">
        <f>IFERROR(N21/$B51,0)</f>
        <v>3.787444763404439E-12</v>
      </c>
      <c r="O65" s="71">
        <f>IFERROR(up_RadSpec!$E$21*O21,".")*$B$65</f>
        <v>1512.5</v>
      </c>
      <c r="P65" s="71">
        <f>IFERROR(up_RadSpec!$F$21*$P$21,".")*B65</f>
        <v>0.16181272791589676</v>
      </c>
      <c r="Q65" s="71">
        <f>IFERROR(up_RadSpec!$G$21*$Q$21,".")*B65</f>
        <v>0</v>
      </c>
      <c r="R65" s="71">
        <f>IFERROR(up_RadSpec!$H$21*R21,".")*$B$65</f>
        <v>6600000</v>
      </c>
      <c r="S65" s="71">
        <f>IFERROR(up_RadSpec!$H$21*S21,".")*$B$65</f>
        <v>6600000</v>
      </c>
      <c r="T65" s="49">
        <f t="shared" si="187"/>
        <v>1</v>
      </c>
      <c r="U65" s="49">
        <f t="shared" si="187"/>
        <v>0.14939951664921358</v>
      </c>
      <c r="V65" s="49">
        <f t="shared" si="187"/>
        <v>0</v>
      </c>
      <c r="W65" s="49">
        <f t="shared" si="187"/>
        <v>1</v>
      </c>
      <c r="X65" s="49">
        <f t="shared" si="187"/>
        <v>1</v>
      </c>
      <c r="Y65" s="49">
        <f t="shared" si="36"/>
        <v>1</v>
      </c>
      <c r="Z65" s="60">
        <f t="shared" ref="Z65:AD65" si="198">IFERROR(Z21/$B51,0)</f>
        <v>0</v>
      </c>
      <c r="AA65" s="60">
        <f t="shared" si="198"/>
        <v>0</v>
      </c>
      <c r="AB65" s="60">
        <f t="shared" si="198"/>
        <v>0</v>
      </c>
      <c r="AC65" s="60">
        <f t="shared" si="198"/>
        <v>0</v>
      </c>
      <c r="AD65" s="60">
        <f t="shared" si="198"/>
        <v>0</v>
      </c>
      <c r="AE65" s="71">
        <f>IFERROR(up_RadSpec!$G$21*AE21,".")*$B$65</f>
        <v>0</v>
      </c>
      <c r="AF65" s="71">
        <f>IFERROR(up_RadSpec!$N$21*AF21,".")*$B$65</f>
        <v>0</v>
      </c>
      <c r="AG65" s="71">
        <f>IFERROR(up_RadSpec!$O$21*AG21,".")*$B$65</f>
        <v>0</v>
      </c>
      <c r="AH65" s="71">
        <f>IFERROR(up_RadSpec!$P$21*AH21,".")*$B$65</f>
        <v>0</v>
      </c>
      <c r="AI65" s="71">
        <f>IFERROR(up_RadSpec!$L$21*AI21,".")*$B$65</f>
        <v>0</v>
      </c>
      <c r="AJ65" s="49">
        <f t="shared" si="189"/>
        <v>0</v>
      </c>
      <c r="AK65" s="49">
        <f t="shared" si="189"/>
        <v>0</v>
      </c>
      <c r="AL65" s="49">
        <f t="shared" si="189"/>
        <v>0</v>
      </c>
      <c r="AM65" s="49">
        <f t="shared" si="189"/>
        <v>0</v>
      </c>
      <c r="AN65" s="49">
        <f t="shared" si="189"/>
        <v>0</v>
      </c>
      <c r="AO65" s="60">
        <f t="shared" ref="AO65:AQ65" si="199">IFERROR(AO21/$B51,0)</f>
        <v>9.9740259740259755E-10</v>
      </c>
      <c r="AP65" s="60">
        <f t="shared" si="199"/>
        <v>6.3709090909090908E-6</v>
      </c>
      <c r="AQ65" s="60">
        <f t="shared" si="199"/>
        <v>9.9724647271019672E-10</v>
      </c>
      <c r="AR65" s="71">
        <f>IFERROR(up_RadSpec!$F$21*AR21,".")*$B$65</f>
        <v>50130.208333333328</v>
      </c>
      <c r="AS65" s="71">
        <f>IFERROR(up_RadSpec!$K$21*AS21,".")*$B$65</f>
        <v>7.8481735159817356</v>
      </c>
      <c r="AT65" s="49">
        <f t="shared" si="191"/>
        <v>1</v>
      </c>
      <c r="AU65" s="49">
        <f t="shared" si="191"/>
        <v>0.99960953550549536</v>
      </c>
      <c r="AV65" s="49">
        <f t="shared" si="192"/>
        <v>1</v>
      </c>
      <c r="AW65" s="60">
        <f t="shared" ref="AW65:AZ65" si="200">IFERROR(AW21/$B51,0)</f>
        <v>2.272727272727273E-10</v>
      </c>
      <c r="AX65" s="60">
        <f t="shared" si="200"/>
        <v>3.9818181818181825E-6</v>
      </c>
      <c r="AY65" s="63">
        <f t="shared" si="200"/>
        <v>1.8181818181818183E-7</v>
      </c>
      <c r="AZ65" s="63">
        <f t="shared" si="200"/>
        <v>1.8181818181818183E-7</v>
      </c>
      <c r="BA65" s="244">
        <f t="shared" si="43"/>
        <v>4399999999.999999</v>
      </c>
      <c r="BB65" s="244">
        <f t="shared" si="43"/>
        <v>251141.55251141547</v>
      </c>
      <c r="BC65" s="244">
        <f t="shared" si="43"/>
        <v>5500000</v>
      </c>
      <c r="BD65" s="244">
        <f t="shared" si="43"/>
        <v>5500000</v>
      </c>
      <c r="BE65" s="63">
        <f>IFERROR(BE21/$B51,0)</f>
        <v>2.2669305553255277E-10</v>
      </c>
      <c r="BF65" s="71">
        <f>IFERROR(up_RadSpec!$I$21*BF21,".")*$B$65</f>
        <v>220000</v>
      </c>
      <c r="BG65" s="71">
        <f>IFERROR(up_RadSpec!$M$21*BG21,".")*$B$65</f>
        <v>12.557077625570777</v>
      </c>
      <c r="BH65" s="71">
        <f>IFERROR(up_RadSpec!$H$21*BH21,".")*$B$65</f>
        <v>275</v>
      </c>
      <c r="BI65" s="71">
        <f>IFERROR(up_RadSpec!$H$21*BI21,".")*$B$65</f>
        <v>275</v>
      </c>
      <c r="BJ65" s="49">
        <f t="shared" si="194"/>
        <v>1</v>
      </c>
      <c r="BK65" s="49">
        <f t="shared" si="194"/>
        <v>0.99999648009875997</v>
      </c>
      <c r="BL65" s="49">
        <f t="shared" si="194"/>
        <v>1</v>
      </c>
      <c r="BM65" s="49">
        <f t="shared" si="194"/>
        <v>1</v>
      </c>
      <c r="BN65" s="49">
        <f t="shared" si="195"/>
        <v>1</v>
      </c>
      <c r="BO65" s="63">
        <f t="shared" ref="BO65:BP65" si="201">IFERROR(BO21/$B51,0)</f>
        <v>1.8181818181818184E-9</v>
      </c>
      <c r="BP65" s="63">
        <f t="shared" si="201"/>
        <v>1.8181818181818184E-9</v>
      </c>
      <c r="BQ65" s="71">
        <f>IFERROR(up_RadSpec!$H$21*BQ21,".")*$B$65</f>
        <v>27500</v>
      </c>
      <c r="BR65" s="71">
        <f>IFERROR(up_RadSpec!$H$21*BR21,".")*$B$65</f>
        <v>27500</v>
      </c>
      <c r="BS65" s="49">
        <f t="shared" si="197"/>
        <v>1</v>
      </c>
      <c r="BT65" s="49">
        <f t="shared" si="197"/>
        <v>1</v>
      </c>
    </row>
    <row r="66" spans="1:72" x14ac:dyDescent="0.25">
      <c r="A66" s="48" t="s">
        <v>1074</v>
      </c>
      <c r="B66" s="52">
        <v>0.99980000000000002</v>
      </c>
      <c r="C66" s="181"/>
      <c r="D66" s="60">
        <f>IFERROR(D17/$B52,0)</f>
        <v>3.3064464132495918E-8</v>
      </c>
      <c r="E66" s="60">
        <f>IFERROR(E17/$B52,0)</f>
        <v>3.090609907175727E-4</v>
      </c>
      <c r="F66" s="60">
        <f>IFERROR(F17/$B52,0)</f>
        <v>7.0342285694447007E-5</v>
      </c>
      <c r="G66" s="60">
        <f>IFERROR(G17/$B52,0)</f>
        <v>7.5772730303636489E-12</v>
      </c>
      <c r="H66" s="60">
        <f>IFERROR(H17/$B52,0)</f>
        <v>7.5772730303636489E-12</v>
      </c>
      <c r="I66" s="244">
        <f t="shared" ref="I66:M76" si="202">IFERROR(1/D66,0)</f>
        <v>30243950.000000004</v>
      </c>
      <c r="J66" s="244">
        <f t="shared" si="202"/>
        <v>3235.607307406271</v>
      </c>
      <c r="K66" s="244">
        <f t="shared" si="202"/>
        <v>14216.199973139946</v>
      </c>
      <c r="L66" s="244">
        <f t="shared" si="202"/>
        <v>131973599999.99998</v>
      </c>
      <c r="M66" s="244">
        <f t="shared" si="202"/>
        <v>131973599999.99998</v>
      </c>
      <c r="N66" s="63">
        <f>IFERROR(N17/$B52,0)</f>
        <v>3.788202199875969E-12</v>
      </c>
      <c r="O66" s="71">
        <f>IFERROR(up_RadSpec!$E$17*O17,".")*$B$66</f>
        <v>1512.1975</v>
      </c>
      <c r="P66" s="71">
        <f>IFERROR(up_RadSpec!$F$17*$P$17,".")*B66</f>
        <v>0.16178036537031359</v>
      </c>
      <c r="Q66" s="71">
        <f>IFERROR(up_RadSpec!$G$17*$Q$17,".")*B66</f>
        <v>0.71080999865699734</v>
      </c>
      <c r="R66" s="71">
        <f>IFERROR(up_RadSpec!$H$17*R17,".")*$B$66</f>
        <v>6598680</v>
      </c>
      <c r="S66" s="71">
        <f>IFERROR(up_RadSpec!$H$17*S17,".")*$B$66</f>
        <v>6598680</v>
      </c>
      <c r="T66" s="49">
        <f t="shared" si="187"/>
        <v>1</v>
      </c>
      <c r="U66" s="49">
        <f t="shared" si="187"/>
        <v>0.14937198860686174</v>
      </c>
      <c r="V66" s="49">
        <f t="shared" si="187"/>
        <v>0.50875387243889225</v>
      </c>
      <c r="W66" s="49">
        <f t="shared" si="187"/>
        <v>1</v>
      </c>
      <c r="X66" s="49">
        <f t="shared" si="187"/>
        <v>1</v>
      </c>
      <c r="Y66" s="49">
        <f t="shared" si="36"/>
        <v>1</v>
      </c>
      <c r="Z66" s="60">
        <f t="shared" ref="Z66:AD66" si="203">IFERROR(Z17/$B52,0)</f>
        <v>7.0342285694447007E-5</v>
      </c>
      <c r="AA66" s="60">
        <f t="shared" si="203"/>
        <v>1.2293785520792731E-4</v>
      </c>
      <c r="AB66" s="60">
        <f t="shared" si="203"/>
        <v>9.2623153705958522E-5</v>
      </c>
      <c r="AC66" s="60">
        <f t="shared" si="203"/>
        <v>8.2363423450425844E-5</v>
      </c>
      <c r="AD66" s="60">
        <f t="shared" si="203"/>
        <v>2.3556566311846343E-4</v>
      </c>
      <c r="AE66" s="71">
        <f>IFERROR(up_RadSpec!$G$17*AE17,".")*$B$66</f>
        <v>0.71080999865699734</v>
      </c>
      <c r="AF66" s="71">
        <f>IFERROR(up_RadSpec!$N$17*AF17,".")*$B$66</f>
        <v>0.40670955187426988</v>
      </c>
      <c r="AG66" s="71">
        <f>IFERROR(up_RadSpec!$O$17*AG17,".")*$B$66</f>
        <v>0.53982182639483445</v>
      </c>
      <c r="AH66" s="71">
        <f>IFERROR(up_RadSpec!$P$17*AH17,".")*$B$66</f>
        <v>0.60706558694824986</v>
      </c>
      <c r="AI66" s="71">
        <f>IFERROR(up_RadSpec!$L$17*AI17,".")*$B$66</f>
        <v>0.21225504319301214</v>
      </c>
      <c r="AJ66" s="49">
        <f t="shared" si="189"/>
        <v>0.50875387243889225</v>
      </c>
      <c r="AK66" s="49">
        <f t="shared" si="189"/>
        <v>0.33416244651137428</v>
      </c>
      <c r="AL66" s="49">
        <f t="shared" si="189"/>
        <v>0.41714790801851698</v>
      </c>
      <c r="AM66" s="49">
        <f t="shared" si="189"/>
        <v>0.45505237341634763</v>
      </c>
      <c r="AN66" s="49">
        <f t="shared" si="189"/>
        <v>0.19124159706486266</v>
      </c>
      <c r="AO66" s="60">
        <f t="shared" ref="AO66:AQ66" si="204">IFERROR(AO17/$B52,0)</f>
        <v>9.9760211782616282E-10</v>
      </c>
      <c r="AP66" s="60">
        <f t="shared" si="204"/>
        <v>6.3721835276146137E-6</v>
      </c>
      <c r="AQ66" s="60">
        <f t="shared" si="204"/>
        <v>9.9744596190257714E-10</v>
      </c>
      <c r="AR66" s="71">
        <f>IFERROR(up_RadSpec!$F$17*AR17,".")*$B$66</f>
        <v>50120.182291666664</v>
      </c>
      <c r="AS66" s="71">
        <f>IFERROR(up_RadSpec!$K$17*AS17,".")*$B$66</f>
        <v>7.846603881278539</v>
      </c>
      <c r="AT66" s="49">
        <f t="shared" si="191"/>
        <v>1</v>
      </c>
      <c r="AU66" s="49">
        <f t="shared" si="191"/>
        <v>0.99960892213761854</v>
      </c>
      <c r="AV66" s="49">
        <f t="shared" si="192"/>
        <v>1</v>
      </c>
      <c r="AW66" s="60">
        <f t="shared" ref="AW66:AZ66" si="205">IFERROR(AW17/$B52,0)</f>
        <v>2.2731819091090949E-10</v>
      </c>
      <c r="AX66" s="60">
        <f t="shared" si="205"/>
        <v>3.9826147047591344E-6</v>
      </c>
      <c r="AY66" s="63">
        <f t="shared" si="205"/>
        <v>1.8185455272872756E-7</v>
      </c>
      <c r="AZ66" s="63">
        <f t="shared" si="205"/>
        <v>1.8185455272872756E-7</v>
      </c>
      <c r="BA66" s="244">
        <f t="shared" si="43"/>
        <v>4399119999.999999</v>
      </c>
      <c r="BB66" s="244">
        <f t="shared" si="43"/>
        <v>251091.32420091319</v>
      </c>
      <c r="BC66" s="244">
        <f t="shared" si="43"/>
        <v>5498900</v>
      </c>
      <c r="BD66" s="244">
        <f t="shared" si="43"/>
        <v>5498900</v>
      </c>
      <c r="BE66" s="63">
        <f>IFERROR(BE17/$B52,0)</f>
        <v>2.2673840321319541E-10</v>
      </c>
      <c r="BF66" s="71">
        <f>IFERROR(up_RadSpec!$I$17*BF17,".")*$B$66</f>
        <v>219956</v>
      </c>
      <c r="BG66" s="71">
        <f>IFERROR(up_RadSpec!$M$17*BG17,".")*$B$66</f>
        <v>12.554566210045664</v>
      </c>
      <c r="BH66" s="71">
        <f>IFERROR(up_RadSpec!$H$17*BH17,".")*$B$66</f>
        <v>274.94499999999999</v>
      </c>
      <c r="BI66" s="71">
        <f>IFERROR(up_RadSpec!$H$17*BI17,".")*$B$66</f>
        <v>274.94499999999999</v>
      </c>
      <c r="BJ66" s="49">
        <f t="shared" si="194"/>
        <v>1</v>
      </c>
      <c r="BK66" s="49">
        <f t="shared" si="194"/>
        <v>0.99999647124771573</v>
      </c>
      <c r="BL66" s="49">
        <f t="shared" si="194"/>
        <v>1</v>
      </c>
      <c r="BM66" s="49">
        <f t="shared" si="194"/>
        <v>1</v>
      </c>
      <c r="BN66" s="49">
        <f t="shared" si="195"/>
        <v>1</v>
      </c>
      <c r="BO66" s="63">
        <f t="shared" ref="BO66:BP66" si="206">IFERROR(BO17/$B52,0)</f>
        <v>1.8185455272872759E-9</v>
      </c>
      <c r="BP66" s="63">
        <f t="shared" si="206"/>
        <v>1.8185455272872759E-9</v>
      </c>
      <c r="BQ66" s="71">
        <f>IFERROR(up_RadSpec!$H$17*BQ17,".")*$B$66</f>
        <v>27494.5</v>
      </c>
      <c r="BR66" s="71">
        <f>IFERROR(up_RadSpec!$H$17*BR17,".")*$B$66</f>
        <v>27494.5</v>
      </c>
      <c r="BS66" s="49">
        <f t="shared" si="197"/>
        <v>1</v>
      </c>
      <c r="BT66" s="49">
        <f t="shared" si="197"/>
        <v>1</v>
      </c>
    </row>
    <row r="67" spans="1:72" x14ac:dyDescent="0.25">
      <c r="A67" s="48" t="s">
        <v>1088</v>
      </c>
      <c r="B67" s="45">
        <v>2.0000000000000001E-4</v>
      </c>
      <c r="C67" s="178"/>
      <c r="D67" s="60">
        <f>IFERROR(D5/$B53,0)</f>
        <v>1.6528925619834709E-4</v>
      </c>
      <c r="E67" s="60">
        <f>IFERROR(E5/$B53,0)</f>
        <v>1.5449958925971459</v>
      </c>
      <c r="F67" s="60">
        <f>IFERROR(F5/$B53,0)</f>
        <v>0</v>
      </c>
      <c r="G67" s="60">
        <f>IFERROR(G5/$B53,0)</f>
        <v>3.7878787878787881E-8</v>
      </c>
      <c r="H67" s="60">
        <f>IFERROR(H5/$B53,0)</f>
        <v>3.7878787878787881E-8</v>
      </c>
      <c r="I67" s="244">
        <f t="shared" si="202"/>
        <v>6050.0000000000009</v>
      </c>
      <c r="J67" s="244">
        <f t="shared" si="202"/>
        <v>0.64725091166358695</v>
      </c>
      <c r="K67" s="244">
        <f t="shared" si="202"/>
        <v>0</v>
      </c>
      <c r="L67" s="244">
        <f t="shared" si="202"/>
        <v>26400000</v>
      </c>
      <c r="M67" s="244">
        <f t="shared" si="202"/>
        <v>26400000</v>
      </c>
      <c r="N67" s="63">
        <f>IFERROR(N5/$B53,0)</f>
        <v>1.8937223817022194E-8</v>
      </c>
      <c r="O67" s="71">
        <f>IFERROR(up_RadSpec!$E$5*O5,".")*$B$67</f>
        <v>0.30249999999999999</v>
      </c>
      <c r="P67" s="71">
        <f>IFERROR(up_RadSpec!$F$5*$P$5,".")*B67</f>
        <v>3.2362545583179355E-5</v>
      </c>
      <c r="Q67" s="71">
        <f>IFERROR(up_RadSpec!$G$5*$Q$5,".")*B67</f>
        <v>0</v>
      </c>
      <c r="R67" s="71">
        <f>IFERROR(up_RadSpec!$H$5*R5,".")*$B$67</f>
        <v>1320</v>
      </c>
      <c r="S67" s="71">
        <f>IFERROR(up_RadSpec!$H$5*S5,".")*$B$67</f>
        <v>1320</v>
      </c>
      <c r="T67" s="49">
        <f t="shared" si="187"/>
        <v>0.26103151174105577</v>
      </c>
      <c r="U67" s="49">
        <f t="shared" si="187"/>
        <v>3.2362545583179355E-5</v>
      </c>
      <c r="V67" s="49">
        <f t="shared" si="187"/>
        <v>0</v>
      </c>
      <c r="W67" s="49">
        <f t="shared" si="187"/>
        <v>1</v>
      </c>
      <c r="X67" s="49">
        <f t="shared" si="187"/>
        <v>1</v>
      </c>
      <c r="Y67" s="49">
        <f t="shared" si="36"/>
        <v>1</v>
      </c>
      <c r="Z67" s="60">
        <f t="shared" ref="Z67:AD67" si="207">IFERROR(Z5/$B53,0)</f>
        <v>0</v>
      </c>
      <c r="AA67" s="60">
        <f t="shared" si="207"/>
        <v>0</v>
      </c>
      <c r="AB67" s="60">
        <f t="shared" si="207"/>
        <v>0</v>
      </c>
      <c r="AC67" s="60">
        <f t="shared" si="207"/>
        <v>0</v>
      </c>
      <c r="AD67" s="60">
        <f t="shared" si="207"/>
        <v>0</v>
      </c>
      <c r="AE67" s="71">
        <f>IFERROR(up_RadSpec!$G$5*AE5,".")*$B$67</f>
        <v>0</v>
      </c>
      <c r="AF67" s="71">
        <f>IFERROR(up_RadSpec!$N$5*AF5,".")*$B$67</f>
        <v>0</v>
      </c>
      <c r="AG67" s="71">
        <f>IFERROR(up_RadSpec!$O$5*AG5,".")*$B$67</f>
        <v>0</v>
      </c>
      <c r="AH67" s="71">
        <f>IFERROR(up_RadSpec!$P$5*AH5,".")*$B$67</f>
        <v>0</v>
      </c>
      <c r="AI67" s="71">
        <f>IFERROR(up_RadSpec!$L$5*AI5,".")*$B$67</f>
        <v>0</v>
      </c>
      <c r="AJ67" s="49">
        <f t="shared" si="189"/>
        <v>0</v>
      </c>
      <c r="AK67" s="49">
        <f t="shared" si="189"/>
        <v>0</v>
      </c>
      <c r="AL67" s="49">
        <f t="shared" si="189"/>
        <v>0</v>
      </c>
      <c r="AM67" s="49">
        <f t="shared" si="189"/>
        <v>0</v>
      </c>
      <c r="AN67" s="49">
        <f t="shared" si="189"/>
        <v>0</v>
      </c>
      <c r="AO67" s="60">
        <f t="shared" ref="AO67:AQ67" si="208">IFERROR(AO5/$B53,0)</f>
        <v>4.9870129870129872E-6</v>
      </c>
      <c r="AP67" s="60">
        <f t="shared" si="208"/>
        <v>3.1854545454545455E-2</v>
      </c>
      <c r="AQ67" s="60">
        <f t="shared" si="208"/>
        <v>4.9862323635509835E-6</v>
      </c>
      <c r="AR67" s="71">
        <f>IFERROR(up_RadSpec!$F$5*AR5,".")*$B$67</f>
        <v>10.026041666666666</v>
      </c>
      <c r="AS67" s="71">
        <f>IFERROR(up_RadSpec!$K$5*AS5,".")*$B$67</f>
        <v>1.5696347031963472E-3</v>
      </c>
      <c r="AT67" s="49">
        <f t="shared" si="191"/>
        <v>0.99995576709844258</v>
      </c>
      <c r="AU67" s="49">
        <f t="shared" si="191"/>
        <v>1.5696347031963472E-3</v>
      </c>
      <c r="AV67" s="49">
        <f t="shared" si="192"/>
        <v>0.99995583647347897</v>
      </c>
      <c r="AW67" s="60">
        <f t="shared" ref="AW67:AZ67" si="209">IFERROR(AW5/$B53,0)</f>
        <v>1.1363636363636364E-6</v>
      </c>
      <c r="AX67" s="60">
        <f t="shared" si="209"/>
        <v>1.9909090909090911E-2</v>
      </c>
      <c r="AY67" s="63">
        <f t="shared" si="209"/>
        <v>9.0909090909090909E-4</v>
      </c>
      <c r="AZ67" s="63">
        <f t="shared" si="209"/>
        <v>9.0909090909090909E-4</v>
      </c>
      <c r="BA67" s="244">
        <f t="shared" si="43"/>
        <v>880000</v>
      </c>
      <c r="BB67" s="244">
        <f t="shared" si="43"/>
        <v>50.228310502283101</v>
      </c>
      <c r="BC67" s="244">
        <f t="shared" si="43"/>
        <v>1100</v>
      </c>
      <c r="BD67" s="244">
        <f t="shared" si="43"/>
        <v>1100</v>
      </c>
      <c r="BE67" s="63">
        <f>IFERROR(BE5/$B53,0)</f>
        <v>1.1334652776627639E-6</v>
      </c>
      <c r="BF67" s="71">
        <f>IFERROR(up_RadSpec!$I$5*BF5,".")*$B$67</f>
        <v>44</v>
      </c>
      <c r="BG67" s="71">
        <f>IFERROR(up_RadSpec!$M$5*BG5,".")*$B$67</f>
        <v>2.5114155251141556E-3</v>
      </c>
      <c r="BH67" s="71">
        <f>IFERROR(up_RadSpec!$H$5*BH5,".")*$B$67</f>
        <v>5.5E-2</v>
      </c>
      <c r="BI67" s="71">
        <f>IFERROR(up_RadSpec!$H$5*BI5,".")*$B$67</f>
        <v>5.5E-2</v>
      </c>
      <c r="BJ67" s="49">
        <f t="shared" si="194"/>
        <v>1</v>
      </c>
      <c r="BK67" s="49">
        <f t="shared" si="194"/>
        <v>2.5114155251141556E-3</v>
      </c>
      <c r="BL67" s="49">
        <f t="shared" si="194"/>
        <v>5.3514852046516181E-2</v>
      </c>
      <c r="BM67" s="49">
        <f t="shared" si="194"/>
        <v>5.3514852046516181E-2</v>
      </c>
      <c r="BN67" s="49">
        <f t="shared" si="195"/>
        <v>1</v>
      </c>
      <c r="BO67" s="63">
        <f t="shared" ref="BO67:BP67" si="210">IFERROR(BO5/$B53,0)</f>
        <v>9.090909090909091E-6</v>
      </c>
      <c r="BP67" s="63">
        <f t="shared" si="210"/>
        <v>9.090909090909091E-6</v>
      </c>
      <c r="BQ67" s="71">
        <f>IFERROR(up_RadSpec!$H$5*BQ5,".")*$B$67</f>
        <v>5.5</v>
      </c>
      <c r="BR67" s="71">
        <f>IFERROR(up_RadSpec!$H$5*BR5,".")*$B$67</f>
        <v>5.5</v>
      </c>
      <c r="BS67" s="49">
        <f t="shared" si="197"/>
        <v>0.99591322856153597</v>
      </c>
      <c r="BT67" s="49">
        <f t="shared" si="197"/>
        <v>0.99591322856153597</v>
      </c>
    </row>
    <row r="68" spans="1:72" x14ac:dyDescent="0.25">
      <c r="A68" s="48" t="s">
        <v>1089</v>
      </c>
      <c r="B68" s="45">
        <v>0.99999979999999999</v>
      </c>
      <c r="C68" s="178"/>
      <c r="D68" s="60">
        <f>IFERROR(D9/$B54,0)</f>
        <v>3.3057857851240988E-8</v>
      </c>
      <c r="E68" s="60">
        <f>IFERROR(E9/$B54,0)</f>
        <v>3.0899924031927724E-4</v>
      </c>
      <c r="F68" s="60">
        <f>IFERROR(F9/$B54,0)</f>
        <v>2.600218650537089E-5</v>
      </c>
      <c r="G68" s="60">
        <f>IFERROR(G9/$B54,0)</f>
        <v>7.5757590909093956E-12</v>
      </c>
      <c r="H68" s="60">
        <f>IFERROR(H9/$B54,0)</f>
        <v>7.5757590909093956E-12</v>
      </c>
      <c r="I68" s="244">
        <f t="shared" si="202"/>
        <v>30249993.950000003</v>
      </c>
      <c r="J68" s="244">
        <f t="shared" si="202"/>
        <v>3236.2539110670232</v>
      </c>
      <c r="K68" s="244">
        <f t="shared" si="202"/>
        <v>38458.304258122473</v>
      </c>
      <c r="L68" s="244">
        <f t="shared" si="202"/>
        <v>131999973599.99997</v>
      </c>
      <c r="M68" s="244">
        <f t="shared" si="202"/>
        <v>131999973599.99997</v>
      </c>
      <c r="N68" s="63">
        <f>IFERROR(N9/$B54,0)</f>
        <v>3.7874449692191101E-12</v>
      </c>
      <c r="O68" s="71">
        <f>IFERROR(up_RadSpec!$E$9*O9,".")*$B$68</f>
        <v>1512.4996974999999</v>
      </c>
      <c r="P68" s="71">
        <f>IFERROR(up_RadSpec!$F$9*$P$9,".")*B68</f>
        <v>0.16181269555335118</v>
      </c>
      <c r="Q68" s="71">
        <f>IFERROR(up_RadSpec!$G$9*$Q$9,".")*B68</f>
        <v>1.9229152129061235</v>
      </c>
      <c r="R68" s="71">
        <f>IFERROR(up_RadSpec!$H$9*R9,".")*$B$68</f>
        <v>6599998.6799999997</v>
      </c>
      <c r="S68" s="71">
        <f>IFERROR(up_RadSpec!$H$9*S9,".")*$B$68</f>
        <v>6599998.6799999997</v>
      </c>
      <c r="T68" s="49">
        <f t="shared" si="187"/>
        <v>1</v>
      </c>
      <c r="U68" s="49">
        <f t="shared" si="187"/>
        <v>0.14939948912161627</v>
      </c>
      <c r="V68" s="49">
        <f t="shared" si="187"/>
        <v>0.85381980601553686</v>
      </c>
      <c r="W68" s="49">
        <f t="shared" si="187"/>
        <v>1</v>
      </c>
      <c r="X68" s="49">
        <f t="shared" si="187"/>
        <v>1</v>
      </c>
      <c r="Y68" s="49">
        <f t="shared" si="36"/>
        <v>1</v>
      </c>
      <c r="Z68" s="60">
        <f t="shared" ref="Z68:AD68" si="211">IFERROR(Z9/$B54,0)</f>
        <v>2.600218650537089E-5</v>
      </c>
      <c r="AA68" s="60">
        <f t="shared" si="211"/>
        <v>5.3256828833183977E-5</v>
      </c>
      <c r="AB68" s="60">
        <f t="shared" si="211"/>
        <v>3.7472546918109186E-5</v>
      </c>
      <c r="AC68" s="60">
        <f t="shared" si="211"/>
        <v>3.0889262376199585E-5</v>
      </c>
      <c r="AD68" s="60">
        <f t="shared" si="211"/>
        <v>9.4332728410522875E-5</v>
      </c>
      <c r="AE68" s="71">
        <f>IFERROR(up_RadSpec!$G$9*AE9,".")*$B$68</f>
        <v>1.9229152129061235</v>
      </c>
      <c r="AF68" s="71">
        <f>IFERROR(up_RadSpec!$N$9*AF9,".")*$B$68</f>
        <v>0.93884673750693426</v>
      </c>
      <c r="AG68" s="71">
        <f>IFERROR(up_RadSpec!$O$9*AG9,".")*$B$68</f>
        <v>1.3343101580276284</v>
      </c>
      <c r="AH68" s="71">
        <f>IFERROR(up_RadSpec!$P$9*AH9,".")*$B$68</f>
        <v>1.6186854639340751</v>
      </c>
      <c r="AI68" s="71">
        <f>IFERROR(up_RadSpec!$L$9*AI9,".")*$B$68</f>
        <v>0.53003873462036399</v>
      </c>
      <c r="AJ68" s="49">
        <f t="shared" si="189"/>
        <v>0.85381980601553686</v>
      </c>
      <c r="AK68" s="49">
        <f t="shared" si="189"/>
        <v>0.60892140834000386</v>
      </c>
      <c r="AL68" s="49">
        <f t="shared" si="189"/>
        <v>0.73666022435865575</v>
      </c>
      <c r="AM68" s="49">
        <f t="shared" si="189"/>
        <v>0.80184098487911615</v>
      </c>
      <c r="AN68" s="49">
        <f t="shared" si="189"/>
        <v>0.41141782927013248</v>
      </c>
      <c r="AO68" s="60">
        <f t="shared" ref="AO68:AQ68" si="212">IFERROR(AO9/$B54,0)</f>
        <v>9.9740279688315693E-10</v>
      </c>
      <c r="AP68" s="60">
        <f t="shared" si="212"/>
        <v>6.3709103650911641E-6</v>
      </c>
      <c r="AQ68" s="60">
        <f t="shared" si="212"/>
        <v>9.9724667215953107E-10</v>
      </c>
      <c r="AR68" s="71">
        <f>IFERROR(up_RadSpec!$F$9*AR9,".")*$B$68</f>
        <v>50130.198307291663</v>
      </c>
      <c r="AS68" s="71">
        <f>IFERROR(up_RadSpec!$K$9*AS9,".")*$B$68</f>
        <v>7.8481719463470325</v>
      </c>
      <c r="AT68" s="49">
        <f t="shared" si="191"/>
        <v>1</v>
      </c>
      <c r="AU68" s="49">
        <f t="shared" si="191"/>
        <v>0.99960953489260818</v>
      </c>
      <c r="AV68" s="49">
        <f t="shared" si="192"/>
        <v>1</v>
      </c>
      <c r="AW68" s="60">
        <f t="shared" ref="AW68:AZ68" si="213">IFERROR(AW9/$B54,0)</f>
        <v>2.2727277272728186E-10</v>
      </c>
      <c r="AX68" s="60">
        <f t="shared" si="213"/>
        <v>3.981818978181978E-6</v>
      </c>
      <c r="AY68" s="63">
        <f t="shared" si="213"/>
        <v>1.8181821818182546E-7</v>
      </c>
      <c r="AZ68" s="63">
        <f t="shared" si="213"/>
        <v>1.8181821818182546E-7</v>
      </c>
      <c r="BA68" s="244">
        <f t="shared" si="43"/>
        <v>4399999119.999999</v>
      </c>
      <c r="BB68" s="244">
        <f t="shared" si="43"/>
        <v>251141.50228310499</v>
      </c>
      <c r="BC68" s="244">
        <f t="shared" si="43"/>
        <v>5499998.8999999994</v>
      </c>
      <c r="BD68" s="244">
        <f t="shared" si="43"/>
        <v>5499998.8999999994</v>
      </c>
      <c r="BE68" s="63">
        <f>IFERROR(BE9/$B54,0)</f>
        <v>2.2669310087117295E-10</v>
      </c>
      <c r="BF68" s="71">
        <f>IFERROR(up_RadSpec!$I$9*BF9,".")*$B$68</f>
        <v>219999.95600000001</v>
      </c>
      <c r="BG68" s="71">
        <f>IFERROR(up_RadSpec!$M$9*BG9,".")*$B$68</f>
        <v>12.557075114155252</v>
      </c>
      <c r="BH68" s="71">
        <f>IFERROR(up_RadSpec!$H$9*BH9,".")*$B$68</f>
        <v>274.99994500000003</v>
      </c>
      <c r="BI68" s="71">
        <f>IFERROR(up_RadSpec!$H$9*BI9,".")*$B$68</f>
        <v>274.99994500000003</v>
      </c>
      <c r="BJ68" s="49">
        <f t="shared" si="194"/>
        <v>1</v>
      </c>
      <c r="BK68" s="49">
        <f t="shared" si="194"/>
        <v>0.99999648008992004</v>
      </c>
      <c r="BL68" s="49">
        <f t="shared" si="194"/>
        <v>1</v>
      </c>
      <c r="BM68" s="49">
        <f t="shared" si="194"/>
        <v>1</v>
      </c>
      <c r="BN68" s="49">
        <f t="shared" si="195"/>
        <v>1</v>
      </c>
      <c r="BO68" s="63">
        <f t="shared" ref="BO68:BP68" si="214">IFERROR(BO9/$B54,0)</f>
        <v>1.8181821818182549E-9</v>
      </c>
      <c r="BP68" s="63">
        <f t="shared" si="214"/>
        <v>1.8181821818182549E-9</v>
      </c>
      <c r="BQ68" s="71">
        <f>IFERROR(up_RadSpec!$H$9*BQ9,".")*$B$68</f>
        <v>27499.994500000001</v>
      </c>
      <c r="BR68" s="71">
        <f>IFERROR(up_RadSpec!$H$9*BR9,".")*$B$68</f>
        <v>27499.994500000001</v>
      </c>
      <c r="BS68" s="49">
        <f t="shared" si="197"/>
        <v>1</v>
      </c>
      <c r="BT68" s="49">
        <f t="shared" si="197"/>
        <v>1</v>
      </c>
    </row>
    <row r="69" spans="1:72" x14ac:dyDescent="0.25">
      <c r="A69" s="48" t="s">
        <v>1090</v>
      </c>
      <c r="B69" s="45">
        <v>1.9999999999999999E-7</v>
      </c>
      <c r="C69" s="178"/>
      <c r="D69" s="60">
        <f>IFERROR(D24/$B55,0)</f>
        <v>0.16528925619834711</v>
      </c>
      <c r="E69" s="60">
        <f>IFERROR(E24/$B55,0)</f>
        <v>1544.9958925971459</v>
      </c>
      <c r="F69" s="60">
        <f>IFERROR(F24/$B55,0)</f>
        <v>229.43681137790276</v>
      </c>
      <c r="G69" s="60">
        <f>IFERROR(G24/$B55,0)</f>
        <v>3.7878787878787886E-5</v>
      </c>
      <c r="H69" s="60">
        <f>IFERROR(H24/$B55,0)</f>
        <v>3.7878787878787886E-5</v>
      </c>
      <c r="I69" s="244">
        <f t="shared" si="202"/>
        <v>6.05</v>
      </c>
      <c r="J69" s="244">
        <f t="shared" si="202"/>
        <v>6.47250911663587E-4</v>
      </c>
      <c r="K69" s="244">
        <f t="shared" si="202"/>
        <v>4.3584985076911284E-3</v>
      </c>
      <c r="L69" s="244">
        <f t="shared" si="202"/>
        <v>26399.999999999996</v>
      </c>
      <c r="M69" s="244">
        <f t="shared" si="202"/>
        <v>26399.999999999996</v>
      </c>
      <c r="N69" s="63">
        <f>IFERROR(N24/$B55,0)</f>
        <v>1.893722225398436E-5</v>
      </c>
      <c r="O69" s="71">
        <f>IFERROR(up_RadSpec!$E$24*O24,".")*$B$69</f>
        <v>3.0249999999999998E-4</v>
      </c>
      <c r="P69" s="71">
        <f>IFERROR(up_RadSpec!$F$24*$P$24,".")*B69</f>
        <v>3.2362545583179352E-8</v>
      </c>
      <c r="Q69" s="71">
        <f>IFERROR(up_RadSpec!$G$24*$Q$24,".")*B69</f>
        <v>2.1792492538455646E-7</v>
      </c>
      <c r="R69" s="71">
        <f>IFERROR(up_RadSpec!$H$24*R24,".")*$B$69</f>
        <v>1.3199999999999998</v>
      </c>
      <c r="S69" s="71">
        <f>IFERROR(up_RadSpec!$H$24*S24,".")*$B$69</f>
        <v>1.3199999999999998</v>
      </c>
      <c r="T69" s="49">
        <f t="shared" si="187"/>
        <v>3.0249999999999998E-4</v>
      </c>
      <c r="U69" s="49">
        <f t="shared" si="187"/>
        <v>3.2362545583179352E-8</v>
      </c>
      <c r="V69" s="49">
        <f t="shared" si="187"/>
        <v>2.1792492538455646E-7</v>
      </c>
      <c r="W69" s="49">
        <f t="shared" si="187"/>
        <v>0.73286469803414955</v>
      </c>
      <c r="X69" s="49">
        <f t="shared" si="187"/>
        <v>0.73286469803414955</v>
      </c>
      <c r="Y69" s="49">
        <f t="shared" si="36"/>
        <v>0.92866033181841023</v>
      </c>
      <c r="Z69" s="60">
        <f t="shared" ref="Z69:AD69" si="215">IFERROR(Z24/$B55,0)</f>
        <v>229.43681137790276</v>
      </c>
      <c r="AA69" s="60">
        <f t="shared" si="215"/>
        <v>415.97237211310181</v>
      </c>
      <c r="AB69" s="60">
        <f t="shared" si="215"/>
        <v>293.70337401551672</v>
      </c>
      <c r="AC69" s="60">
        <f t="shared" si="215"/>
        <v>245.26136013662966</v>
      </c>
      <c r="AD69" s="60">
        <f t="shared" si="215"/>
        <v>691.34865134865106</v>
      </c>
      <c r="AE69" s="71">
        <f>IFERROR(up_RadSpec!$G$24*AE24,".")*$B$69</f>
        <v>2.1792492538455646E-7</v>
      </c>
      <c r="AF69" s="71">
        <f>IFERROR(up_RadSpec!$N$24*AF24,".")*$B$69</f>
        <v>1.2020029057700286E-7</v>
      </c>
      <c r="AG69" s="71">
        <f>IFERROR(up_RadSpec!$O$24*AG24,".")*$B$69</f>
        <v>1.7023978756661625E-7</v>
      </c>
      <c r="AH69" s="71">
        <f>IFERROR(up_RadSpec!$P$24*AH24,".")*$B$69</f>
        <v>2.0386415525114152E-7</v>
      </c>
      <c r="AI69" s="71">
        <f>IFERROR(up_RadSpec!$L$24*AI24,".")*$B$69</f>
        <v>7.2322409109300078E-8</v>
      </c>
      <c r="AJ69" s="49">
        <f t="shared" si="189"/>
        <v>2.1792492538455646E-7</v>
      </c>
      <c r="AK69" s="49">
        <f t="shared" si="189"/>
        <v>1.2020029057700286E-7</v>
      </c>
      <c r="AL69" s="49">
        <f t="shared" si="189"/>
        <v>1.7023978756661625E-7</v>
      </c>
      <c r="AM69" s="49">
        <f t="shared" si="189"/>
        <v>2.0386415525114152E-7</v>
      </c>
      <c r="AN69" s="49">
        <f t="shared" si="189"/>
        <v>7.2322409109300078E-8</v>
      </c>
      <c r="AO69" s="60">
        <f t="shared" ref="AO69:AQ69" si="216">IFERROR(AO24/$B55,0)</f>
        <v>4.9870129870129877E-3</v>
      </c>
      <c r="AP69" s="60">
        <f t="shared" si="216"/>
        <v>31.854545454545455</v>
      </c>
      <c r="AQ69" s="60">
        <f t="shared" si="216"/>
        <v>4.9862323635509838E-3</v>
      </c>
      <c r="AR69" s="71">
        <f>IFERROR(up_RadSpec!$F$24*AR24,".")*$B$69</f>
        <v>1.0026041666666666E-2</v>
      </c>
      <c r="AS69" s="71">
        <f>IFERROR(up_RadSpec!$K$24*AS24,".")*$B$69</f>
        <v>1.5696347031963471E-6</v>
      </c>
      <c r="AT69" s="49">
        <f t="shared" si="191"/>
        <v>9.9759484628785255E-3</v>
      </c>
      <c r="AU69" s="49">
        <f t="shared" si="191"/>
        <v>1.5696347031963471E-6</v>
      </c>
      <c r="AV69" s="49">
        <f t="shared" si="192"/>
        <v>9.9775024377671828E-3</v>
      </c>
      <c r="AW69" s="60">
        <f t="shared" ref="AW69:AZ69" si="217">IFERROR(AW24/$B55,0)</f>
        <v>1.1363636363636365E-3</v>
      </c>
      <c r="AX69" s="60">
        <f t="shared" si="217"/>
        <v>19.909090909090914</v>
      </c>
      <c r="AY69" s="63">
        <f t="shared" si="217"/>
        <v>0.90909090909090917</v>
      </c>
      <c r="AZ69" s="63">
        <f t="shared" si="217"/>
        <v>0.90909090909090917</v>
      </c>
      <c r="BA69" s="244">
        <f t="shared" si="43"/>
        <v>879.99999999999989</v>
      </c>
      <c r="BB69" s="244">
        <f t="shared" si="43"/>
        <v>5.0228310502283095E-2</v>
      </c>
      <c r="BC69" s="244">
        <f t="shared" si="43"/>
        <v>1.0999999999999999</v>
      </c>
      <c r="BD69" s="244">
        <f t="shared" si="43"/>
        <v>1.0999999999999999</v>
      </c>
      <c r="BE69" s="63">
        <f>IFERROR(BE24/$B55,0)</f>
        <v>1.1334652776627638E-3</v>
      </c>
      <c r="BF69" s="71">
        <f>IFERROR(up_RadSpec!$I$24*BF24,".")*$B$69</f>
        <v>4.3999999999999997E-2</v>
      </c>
      <c r="BG69" s="71">
        <f>IFERROR(up_RadSpec!$M$24*BG24,".")*$B$69</f>
        <v>2.5114155251141552E-6</v>
      </c>
      <c r="BH69" s="71">
        <f>IFERROR(up_RadSpec!$H$24*BH24,".")*$B$69</f>
        <v>5.4999999999999995E-5</v>
      </c>
      <c r="BI69" s="71">
        <f>IFERROR(up_RadSpec!$H$24*BI24,".")*$B$69</f>
        <v>5.4999999999999995E-5</v>
      </c>
      <c r="BJ69" s="49">
        <f t="shared" si="194"/>
        <v>4.3046042526953321E-2</v>
      </c>
      <c r="BK69" s="49">
        <f t="shared" si="194"/>
        <v>2.5114155251141552E-6</v>
      </c>
      <c r="BL69" s="49">
        <f t="shared" si="194"/>
        <v>5.4999999999999995E-5</v>
      </c>
      <c r="BM69" s="49">
        <f t="shared" si="194"/>
        <v>5.4999999999999995E-5</v>
      </c>
      <c r="BN69" s="49">
        <f t="shared" si="195"/>
        <v>4.304844583296108E-2</v>
      </c>
      <c r="BO69" s="63">
        <f t="shared" ref="BO69:BP69" si="218">IFERROR(BO24/$B55,0)</f>
        <v>9.0909090909090922E-3</v>
      </c>
      <c r="BP69" s="63">
        <f t="shared" si="218"/>
        <v>9.0909090909090922E-3</v>
      </c>
      <c r="BQ69" s="71">
        <f>IFERROR(up_RadSpec!$H$24*BQ24,".")*$B$69</f>
        <v>5.4999999999999997E-3</v>
      </c>
      <c r="BR69" s="71">
        <f>IFERROR(up_RadSpec!$H$24*BR24,".")*$B$69</f>
        <v>5.4999999999999997E-3</v>
      </c>
      <c r="BS69" s="49">
        <f t="shared" si="197"/>
        <v>5.4999999999999997E-3</v>
      </c>
      <c r="BT69" s="49">
        <f t="shared" si="197"/>
        <v>5.4999999999999997E-3</v>
      </c>
    </row>
    <row r="70" spans="1:72" x14ac:dyDescent="0.25">
      <c r="A70" s="48" t="s">
        <v>1091</v>
      </c>
      <c r="B70" s="45">
        <v>0.99979000004200003</v>
      </c>
      <c r="C70" s="178"/>
      <c r="D70" s="60">
        <f>IFERROR(D20/$B56,0)</f>
        <v>3.3064794845198194E-8</v>
      </c>
      <c r="E70" s="60">
        <f>IFERROR(E20/$B56,0)</f>
        <v>3.0906408196366086E-4</v>
      </c>
      <c r="F70" s="60">
        <f>IFERROR(F20/$B56,0)</f>
        <v>3.5946960422736814E-5</v>
      </c>
      <c r="G70" s="60">
        <f>IFERROR(G20/$B56,0)</f>
        <v>7.5773488186912534E-12</v>
      </c>
      <c r="H70" s="60">
        <f>IFERROR(H20/$B56,0)</f>
        <v>7.5773488186912534E-12</v>
      </c>
      <c r="I70" s="244">
        <f t="shared" si="202"/>
        <v>30243647.501270499</v>
      </c>
      <c r="J70" s="244">
        <f t="shared" si="202"/>
        <v>3235.5749449966111</v>
      </c>
      <c r="K70" s="244">
        <f t="shared" si="202"/>
        <v>27818.763763054914</v>
      </c>
      <c r="L70" s="244">
        <f t="shared" si="202"/>
        <v>131972280005.54398</v>
      </c>
      <c r="M70" s="244">
        <f t="shared" si="202"/>
        <v>131972280005.54398</v>
      </c>
      <c r="N70" s="63">
        <f>IFERROR(N20/$B56,0)</f>
        <v>3.7882398944865253E-12</v>
      </c>
      <c r="O70" s="71">
        <f>IFERROR(up_RadSpec!$E$20*O20,".")*$B$70</f>
        <v>1512.1823750635251</v>
      </c>
      <c r="P70" s="71">
        <f>IFERROR(up_RadSpec!$F$20*$P$20,".")*B70</f>
        <v>0.16177874724983057</v>
      </c>
      <c r="Q70" s="71">
        <f>IFERROR(up_RadSpec!$G$20*$Q$20,".")*B70</f>
        <v>1.3909381881527458</v>
      </c>
      <c r="R70" s="71">
        <f>IFERROR(up_RadSpec!$H$20*R20,".")*$B$70</f>
        <v>6598614.0002771998</v>
      </c>
      <c r="S70" s="71">
        <f>IFERROR(up_RadSpec!$H$20*S20,".")*$B$70</f>
        <v>6598614.0002771998</v>
      </c>
      <c r="T70" s="49">
        <f t="shared" si="187"/>
        <v>1</v>
      </c>
      <c r="U70" s="49">
        <f t="shared" si="187"/>
        <v>0.14937061218713943</v>
      </c>
      <c r="V70" s="49">
        <f t="shared" si="187"/>
        <v>0.75115826528488228</v>
      </c>
      <c r="W70" s="49">
        <f t="shared" si="187"/>
        <v>1</v>
      </c>
      <c r="X70" s="49">
        <f t="shared" si="187"/>
        <v>1</v>
      </c>
      <c r="Y70" s="49">
        <f t="shared" si="36"/>
        <v>1</v>
      </c>
      <c r="Z70" s="60">
        <f t="shared" ref="Z70:AD70" si="219">IFERROR(Z20/$B56,0)</f>
        <v>3.5946960422736814E-5</v>
      </c>
      <c r="AA70" s="60">
        <f t="shared" si="219"/>
        <v>7.0890810480460354E-5</v>
      </c>
      <c r="AB70" s="60">
        <f t="shared" si="219"/>
        <v>4.9600825761736339E-5</v>
      </c>
      <c r="AC70" s="60">
        <f t="shared" si="219"/>
        <v>4.1648674918735949E-5</v>
      </c>
      <c r="AD70" s="60">
        <f t="shared" si="219"/>
        <v>1.2079522776261757E-4</v>
      </c>
      <c r="AE70" s="71">
        <f>IFERROR(up_RadSpec!$G$20*AE20,".")*$B$70</f>
        <v>1.3909381881527458</v>
      </c>
      <c r="AF70" s="71">
        <f>IFERROR(up_RadSpec!$N$20*AF20,".")*$B$70</f>
        <v>0.70531003470162767</v>
      </c>
      <c r="AG70" s="71">
        <f>IFERROR(up_RadSpec!$O$20*AG20,".")*$B$70</f>
        <v>1.0080477337248608</v>
      </c>
      <c r="AH70" s="71">
        <f>IFERROR(up_RadSpec!$P$20*AH20,".")*$B$70</f>
        <v>1.2005183861805688</v>
      </c>
      <c r="AI70" s="71">
        <f>IFERROR(up_RadSpec!$L$20*AI20,".")*$B$70</f>
        <v>0.41392363693587464</v>
      </c>
      <c r="AJ70" s="49">
        <f t="shared" si="189"/>
        <v>0.75115826528488228</v>
      </c>
      <c r="AK70" s="49">
        <f t="shared" si="189"/>
        <v>0.50604459280347081</v>
      </c>
      <c r="AL70" s="49">
        <f t="shared" si="189"/>
        <v>0.63506927346415543</v>
      </c>
      <c r="AM70" s="49">
        <f t="shared" si="189"/>
        <v>0.69896188254282077</v>
      </c>
      <c r="AN70" s="49">
        <f t="shared" si="189"/>
        <v>0.33894857074875684</v>
      </c>
      <c r="AO70" s="60">
        <f t="shared" ref="AO70:AQ70" si="220">IFERROR(AO20/$B56,0)</f>
        <v>9.9761209590083707E-10</v>
      </c>
      <c r="AP70" s="60">
        <f t="shared" si="220"/>
        <v>6.372247262566595E-6</v>
      </c>
      <c r="AQ70" s="60">
        <f t="shared" si="220"/>
        <v>9.9745593841537082E-10</v>
      </c>
      <c r="AR70" s="71">
        <f>IFERROR(up_RadSpec!$F$20*AR20,".")*$B$70</f>
        <v>50119.680991688801</v>
      </c>
      <c r="AS70" s="71">
        <f>IFERROR(up_RadSpec!$K$20*AS20,".")*$B$70</f>
        <v>7.8465253998730029</v>
      </c>
      <c r="AT70" s="49">
        <f t="shared" si="191"/>
        <v>1</v>
      </c>
      <c r="AU70" s="49">
        <f t="shared" si="191"/>
        <v>0.99960889144407383</v>
      </c>
      <c r="AV70" s="49">
        <f t="shared" si="192"/>
        <v>1</v>
      </c>
      <c r="AW70" s="60">
        <f t="shared" ref="AW70:AZ70" si="221">IFERROR(AW20/$B56,0)</f>
        <v>2.273204645607376E-10</v>
      </c>
      <c r="AX70" s="60">
        <f t="shared" si="221"/>
        <v>3.9826545391041227E-6</v>
      </c>
      <c r="AY70" s="63">
        <f t="shared" si="221"/>
        <v>1.8185637164859005E-7</v>
      </c>
      <c r="AZ70" s="63">
        <f t="shared" si="221"/>
        <v>1.8185637164859005E-7</v>
      </c>
      <c r="BA70" s="244">
        <f t="shared" si="43"/>
        <v>4399076000.1847992</v>
      </c>
      <c r="BB70" s="244">
        <f t="shared" si="43"/>
        <v>251088.81279593604</v>
      </c>
      <c r="BC70" s="244">
        <f t="shared" si="43"/>
        <v>5498845.0002310006</v>
      </c>
      <c r="BD70" s="244">
        <f t="shared" si="43"/>
        <v>5498845.0002310006</v>
      </c>
      <c r="BE70" s="63">
        <f>IFERROR(BE20/$B56,0)</f>
        <v>2.2674067106395307E-10</v>
      </c>
      <c r="BF70" s="71">
        <f>IFERROR(up_RadSpec!$I$20*BF20,".")*$B$70</f>
        <v>219953.80000924002</v>
      </c>
      <c r="BG70" s="71">
        <f>IFERROR(up_RadSpec!$M$20*BG20,".")*$B$70</f>
        <v>12.554440639796805</v>
      </c>
      <c r="BH70" s="71">
        <f>IFERROR(up_RadSpec!$H$20*BH20,".")*$B$70</f>
        <v>274.94225001155002</v>
      </c>
      <c r="BI70" s="71">
        <f>IFERROR(up_RadSpec!$H$20*BI20,".")*$B$70</f>
        <v>274.94225001155002</v>
      </c>
      <c r="BJ70" s="49">
        <f t="shared" si="194"/>
        <v>1</v>
      </c>
      <c r="BK70" s="49">
        <f t="shared" si="194"/>
        <v>0.99999647080458165</v>
      </c>
      <c r="BL70" s="49">
        <f t="shared" si="194"/>
        <v>1</v>
      </c>
      <c r="BM70" s="49">
        <f t="shared" si="194"/>
        <v>1</v>
      </c>
      <c r="BN70" s="49">
        <f t="shared" si="195"/>
        <v>1</v>
      </c>
      <c r="BO70" s="63">
        <f t="shared" ref="BO70:BP70" si="222">IFERROR(BO20/$B56,0)</f>
        <v>1.8185637164859008E-9</v>
      </c>
      <c r="BP70" s="63">
        <f t="shared" si="222"/>
        <v>1.8185637164859008E-9</v>
      </c>
      <c r="BQ70" s="71">
        <f>IFERROR(up_RadSpec!$H$20*BQ20,".")*$B$70</f>
        <v>27494.225001155002</v>
      </c>
      <c r="BR70" s="71">
        <f>IFERROR(up_RadSpec!$H$20*BR20,".")*$B$70</f>
        <v>27494.225001155002</v>
      </c>
      <c r="BS70" s="49">
        <f t="shared" si="197"/>
        <v>1</v>
      </c>
      <c r="BT70" s="49">
        <f t="shared" si="197"/>
        <v>1</v>
      </c>
    </row>
    <row r="71" spans="1:72" x14ac:dyDescent="0.25">
      <c r="A71" s="48" t="s">
        <v>1092</v>
      </c>
      <c r="B71" s="45">
        <v>2.0999995799999999E-4</v>
      </c>
      <c r="C71" s="178"/>
      <c r="D71" s="60">
        <f>IFERROR(D29/$B57,0)</f>
        <v>1.574183707201952E-4</v>
      </c>
      <c r="E71" s="60">
        <f>IFERROR(E29/$B57,0)</f>
        <v>1.4714249539013202</v>
      </c>
      <c r="F71" s="60">
        <f>IFERROR(F29/$B57,0)</f>
        <v>0.13469593212689498</v>
      </c>
      <c r="G71" s="60">
        <f>IFERROR(G29/$B57,0)</f>
        <v>3.6075043290044742E-8</v>
      </c>
      <c r="H71" s="60">
        <f>IFERROR(H29/$B57,0)</f>
        <v>3.6075043290044742E-8</v>
      </c>
      <c r="I71" s="244">
        <f t="shared" si="202"/>
        <v>6352.4987295000001</v>
      </c>
      <c r="J71" s="244">
        <f t="shared" si="202"/>
        <v>0.67961332132407493</v>
      </c>
      <c r="K71" s="244">
        <f t="shared" si="202"/>
        <v>7.4241291790305537</v>
      </c>
      <c r="L71" s="244">
        <f t="shared" si="202"/>
        <v>27719994.455999993</v>
      </c>
      <c r="M71" s="244">
        <f t="shared" si="202"/>
        <v>27719994.455999993</v>
      </c>
      <c r="N71" s="63">
        <f>IFERROR(N29/$B57,0)</f>
        <v>1.8035452446494986E-8</v>
      </c>
      <c r="O71" s="71">
        <f>IFERROR(up_RadSpec!$E$29*O29,".")*$B$71</f>
        <v>0.31762493647499995</v>
      </c>
      <c r="P71" s="71">
        <f>IFERROR(up_RadSpec!$F$29*$P$29,".")*B71</f>
        <v>3.3980666066203748E-5</v>
      </c>
      <c r="Q71" s="71">
        <f>IFERROR(up_RadSpec!$G$29*$Q$29,".")*B71</f>
        <v>3.7120645895152767E-4</v>
      </c>
      <c r="R71" s="71">
        <f>IFERROR(up_RadSpec!$H$29*R29,".")*$B$71</f>
        <v>1385.9997228</v>
      </c>
      <c r="S71" s="71">
        <f>IFERROR(up_RadSpec!$H$29*S29,".")*$B$71</f>
        <v>1385.9997228</v>
      </c>
      <c r="T71" s="49">
        <f t="shared" si="187"/>
        <v>0.27212426313547766</v>
      </c>
      <c r="U71" s="49">
        <f t="shared" si="187"/>
        <v>3.3980666066203748E-5</v>
      </c>
      <c r="V71" s="49">
        <f t="shared" si="187"/>
        <v>3.7120645895152767E-4</v>
      </c>
      <c r="W71" s="49">
        <f t="shared" si="187"/>
        <v>1</v>
      </c>
      <c r="X71" s="49">
        <f t="shared" si="187"/>
        <v>1</v>
      </c>
      <c r="Y71" s="49">
        <f t="shared" si="36"/>
        <v>1</v>
      </c>
      <c r="Z71" s="60">
        <f t="shared" ref="Z71:AD71" si="223">IFERROR(Z29/$B57,0)</f>
        <v>0.13469593212689498</v>
      </c>
      <c r="AA71" s="60">
        <f t="shared" si="223"/>
        <v>0.26878109727410504</v>
      </c>
      <c r="AB71" s="60">
        <f t="shared" si="223"/>
        <v>0.19147851056235177</v>
      </c>
      <c r="AC71" s="60">
        <f t="shared" si="223"/>
        <v>0.16242320930781862</v>
      </c>
      <c r="AD71" s="60">
        <f t="shared" si="223"/>
        <v>0.48264472462811853</v>
      </c>
      <c r="AE71" s="71">
        <f>IFERROR(up_RadSpec!$G$29*AE29,".")*$B$71</f>
        <v>3.7120645895152767E-4</v>
      </c>
      <c r="AF71" s="71">
        <f>IFERROR(up_RadSpec!$N$29*AF29,".")*$B$71</f>
        <v>1.8602498653024556E-4</v>
      </c>
      <c r="AG71" s="71">
        <f>IFERROR(up_RadSpec!$O$29*AG29,".")*$B$71</f>
        <v>2.6112590834948208E-4</v>
      </c>
      <c r="AH71" s="71">
        <f>IFERROR(up_RadSpec!$P$29*AH29,".")*$B$71</f>
        <v>3.0783777892999151E-4</v>
      </c>
      <c r="AI71" s="71">
        <f>IFERROR(up_RadSpec!$L$29*AI29,".")*$B$71</f>
        <v>1.0359586969178082E-4</v>
      </c>
      <c r="AJ71" s="49">
        <f t="shared" si="189"/>
        <v>3.7120645895152767E-4</v>
      </c>
      <c r="AK71" s="49">
        <f t="shared" si="189"/>
        <v>1.8602498653024556E-4</v>
      </c>
      <c r="AL71" s="49">
        <f t="shared" si="189"/>
        <v>2.6112590834948208E-4</v>
      </c>
      <c r="AM71" s="49">
        <f t="shared" si="189"/>
        <v>3.0783777892999151E-4</v>
      </c>
      <c r="AN71" s="49">
        <f t="shared" si="189"/>
        <v>1.0359586969178082E-4</v>
      </c>
      <c r="AO71" s="60">
        <f t="shared" ref="AO71:AQ71" si="224">IFERROR(AO29/$B57,0)</f>
        <v>4.7495371280150332E-6</v>
      </c>
      <c r="AP71" s="60">
        <f t="shared" si="224"/>
        <v>3.0337668405196021E-2</v>
      </c>
      <c r="AQ71" s="60">
        <f t="shared" si="224"/>
        <v>4.7487936769501487E-6</v>
      </c>
      <c r="AR71" s="71">
        <f>IFERROR(up_RadSpec!$F$29*AR29,".")*$B$71</f>
        <v>10.527341644531248</v>
      </c>
      <c r="AS71" s="71">
        <f>IFERROR(up_RadSpec!$K$29*AS29,".")*$B$71</f>
        <v>1.6481161087328767E-3</v>
      </c>
      <c r="AT71" s="49">
        <f t="shared" si="191"/>
        <v>0.99997320624297814</v>
      </c>
      <c r="AU71" s="49">
        <f t="shared" si="191"/>
        <v>1.6481161087328767E-3</v>
      </c>
      <c r="AV71" s="49">
        <f t="shared" si="192"/>
        <v>0.99997325036583096</v>
      </c>
      <c r="AW71" s="60">
        <f t="shared" ref="AW71:AZ71" si="225">IFERROR(AW29/$B57,0)</f>
        <v>1.0822512987013422E-6</v>
      </c>
      <c r="AX71" s="60">
        <f t="shared" si="225"/>
        <v>1.8961042753247517E-2</v>
      </c>
      <c r="AY71" s="63">
        <f t="shared" si="225"/>
        <v>8.6580103896107365E-4</v>
      </c>
      <c r="AZ71" s="63">
        <f t="shared" si="225"/>
        <v>8.6580103896107365E-4</v>
      </c>
      <c r="BA71" s="244">
        <f t="shared" si="43"/>
        <v>923999.81519999984</v>
      </c>
      <c r="BB71" s="244">
        <f t="shared" si="43"/>
        <v>52.739715479452038</v>
      </c>
      <c r="BC71" s="244">
        <f t="shared" si="43"/>
        <v>1154.999769</v>
      </c>
      <c r="BD71" s="244">
        <f t="shared" si="43"/>
        <v>1154.999769</v>
      </c>
      <c r="BE71" s="63">
        <f>IFERROR(BE29/$B57,0)</f>
        <v>1.079490956529395E-6</v>
      </c>
      <c r="BF71" s="71">
        <f>IFERROR(up_RadSpec!$I$29*BF29,".")*$B$71</f>
        <v>46.199990759999999</v>
      </c>
      <c r="BG71" s="71">
        <f>IFERROR(up_RadSpec!$M$29*BG29,".")*$B$71</f>
        <v>2.6369857739726027E-3</v>
      </c>
      <c r="BH71" s="71">
        <f>IFERROR(up_RadSpec!$H$29*BH29,".")*$B$71</f>
        <v>5.7749988449999998E-2</v>
      </c>
      <c r="BI71" s="71">
        <f>IFERROR(up_RadSpec!$H$29*BI29,".")*$B$71</f>
        <v>5.7749988449999998E-2</v>
      </c>
      <c r="BJ71" s="49">
        <f t="shared" si="194"/>
        <v>1</v>
      </c>
      <c r="BK71" s="49">
        <f t="shared" si="194"/>
        <v>2.6369857739726027E-3</v>
      </c>
      <c r="BL71" s="49">
        <f t="shared" si="194"/>
        <v>5.6114099682941787E-2</v>
      </c>
      <c r="BM71" s="49">
        <f t="shared" si="194"/>
        <v>5.6114099682941787E-2</v>
      </c>
      <c r="BN71" s="49">
        <f t="shared" si="195"/>
        <v>1</v>
      </c>
      <c r="BO71" s="63">
        <f t="shared" ref="BO71:BP71" si="226">IFERROR(BO29/$B57,0)</f>
        <v>8.6580103896107373E-6</v>
      </c>
      <c r="BP71" s="63">
        <f t="shared" si="226"/>
        <v>8.6580103896107373E-6</v>
      </c>
      <c r="BQ71" s="71">
        <f>IFERROR(up_RadSpec!$H$29*BQ29,".")*$B$71</f>
        <v>5.7749988449999998</v>
      </c>
      <c r="BR71" s="71">
        <f>IFERROR(up_RadSpec!$H$29*BR29,".")*$B$71</f>
        <v>5.7749988449999998</v>
      </c>
      <c r="BS71" s="49">
        <f t="shared" si="197"/>
        <v>0.99689579875600032</v>
      </c>
      <c r="BT71" s="49">
        <f t="shared" si="197"/>
        <v>0.99689579875600032</v>
      </c>
    </row>
    <row r="72" spans="1:72" x14ac:dyDescent="0.25">
      <c r="A72" s="48" t="s">
        <v>1093</v>
      </c>
      <c r="B72" s="45">
        <v>1</v>
      </c>
      <c r="C72" s="178"/>
      <c r="D72" s="60">
        <f>IFERROR(D16/$B58,0)</f>
        <v>3.3057851239669421E-8</v>
      </c>
      <c r="E72" s="60">
        <f>IFERROR(E16/$B58,0)</f>
        <v>3.0899917851942918E-4</v>
      </c>
      <c r="F72" s="60">
        <f>IFERROR(F16/$B58,0)</f>
        <v>0.76494620302510574</v>
      </c>
      <c r="G72" s="60">
        <f>IFERROR(G16/$B58,0)</f>
        <v>7.5757575757575769E-12</v>
      </c>
      <c r="H72" s="60">
        <f>IFERROR(H16/$B58,0)</f>
        <v>7.5757575757575769E-12</v>
      </c>
      <c r="I72" s="244">
        <f t="shared" si="202"/>
        <v>30250000</v>
      </c>
      <c r="J72" s="244">
        <f t="shared" si="202"/>
        <v>3236.2545583179349</v>
      </c>
      <c r="K72" s="244">
        <f t="shared" si="202"/>
        <v>1.3072814742335281</v>
      </c>
      <c r="L72" s="244">
        <f t="shared" si="202"/>
        <v>131999999999.99998</v>
      </c>
      <c r="M72" s="244">
        <f t="shared" si="202"/>
        <v>131999999999.99998</v>
      </c>
      <c r="N72" s="63">
        <f>IFERROR(N16/$B58,0)</f>
        <v>3.7874447633856853E-12</v>
      </c>
      <c r="O72" s="71">
        <f>IFERROR(up_RadSpec!$E$16*O16,".")*$B$72</f>
        <v>1512.5</v>
      </c>
      <c r="P72" s="71">
        <f>IFERROR(up_RadSpec!$F$16*$P$16,".")*B72</f>
        <v>0.16181272791589676</v>
      </c>
      <c r="Q72" s="71">
        <f>IFERROR(up_RadSpec!$G$16*$Q$16,".")*B72</f>
        <v>6.5364073711676418E-5</v>
      </c>
      <c r="R72" s="71">
        <f>IFERROR(up_RadSpec!$H$16*R16,".")*$B$72</f>
        <v>6600000</v>
      </c>
      <c r="S72" s="71">
        <f>IFERROR(up_RadSpec!$H$16*S16,".")*$B$72</f>
        <v>6600000</v>
      </c>
      <c r="T72" s="49">
        <f t="shared" si="187"/>
        <v>1</v>
      </c>
      <c r="U72" s="49">
        <f t="shared" si="187"/>
        <v>0.14939951664921358</v>
      </c>
      <c r="V72" s="49">
        <f t="shared" si="187"/>
        <v>6.5364073711676418E-5</v>
      </c>
      <c r="W72" s="49">
        <f t="shared" si="187"/>
        <v>1</v>
      </c>
      <c r="X72" s="49">
        <f t="shared" si="187"/>
        <v>1</v>
      </c>
      <c r="Y72" s="49">
        <f t="shared" si="36"/>
        <v>1</v>
      </c>
      <c r="Z72" s="60">
        <f t="shared" ref="Z72:AD72" si="227">IFERROR(Z16/$B58,0)</f>
        <v>0.76494620302510574</v>
      </c>
      <c r="AA72" s="60">
        <f t="shared" si="227"/>
        <v>1.3623429416112349</v>
      </c>
      <c r="AB72" s="60">
        <f t="shared" si="227"/>
        <v>0.81841380561977772</v>
      </c>
      <c r="AC72" s="60">
        <f t="shared" si="227"/>
        <v>0.82264249380461774</v>
      </c>
      <c r="AD72" s="60">
        <f t="shared" si="227"/>
        <v>31.854545454545459</v>
      </c>
      <c r="AE72" s="71">
        <f>IFERROR(up_RadSpec!$G$16*AE16,".")*$B$72</f>
        <v>6.5364073711676418E-5</v>
      </c>
      <c r="AF72" s="71">
        <f>IFERROR(up_RadSpec!$N$16*AF16,".")*$B$72</f>
        <v>3.6701478367014769E-5</v>
      </c>
      <c r="AG72" s="71">
        <f>IFERROR(up_RadSpec!$O$16*AG16,".")*$B$72</f>
        <v>6.1093788565963199E-5</v>
      </c>
      <c r="AH72" s="71">
        <f>IFERROR(up_RadSpec!$P$16*AH16,".")*$B$72</f>
        <v>6.0779743784880734E-5</v>
      </c>
      <c r="AI72" s="71">
        <f>IFERROR(up_RadSpec!$L$16*AI16,".")*$B$72</f>
        <v>1.5696347031963469E-6</v>
      </c>
      <c r="AJ72" s="49">
        <f t="shared" si="189"/>
        <v>6.5364073711676418E-5</v>
      </c>
      <c r="AK72" s="49">
        <f t="shared" si="189"/>
        <v>3.6701478367014769E-5</v>
      </c>
      <c r="AL72" s="49">
        <f t="shared" si="189"/>
        <v>6.1093788565963199E-5</v>
      </c>
      <c r="AM72" s="49">
        <f t="shared" si="189"/>
        <v>6.0779743784880734E-5</v>
      </c>
      <c r="AN72" s="49">
        <f t="shared" si="189"/>
        <v>1.5696347031963469E-6</v>
      </c>
      <c r="AO72" s="60">
        <f t="shared" ref="AO72:AQ72" si="228">IFERROR(AO16/$B58,0)</f>
        <v>9.9740259740259755E-10</v>
      </c>
      <c r="AP72" s="60">
        <f t="shared" si="228"/>
        <v>6.3709090909090908E-6</v>
      </c>
      <c r="AQ72" s="60">
        <f t="shared" si="228"/>
        <v>9.9724647271019672E-10</v>
      </c>
      <c r="AR72" s="71">
        <f>IFERROR(up_RadSpec!$F$16*AR16,".")*$B$72</f>
        <v>50130.208333333328</v>
      </c>
      <c r="AS72" s="71">
        <f>IFERROR(up_RadSpec!$K$16*AS16,".")*$B$72</f>
        <v>7.8481735159817356</v>
      </c>
      <c r="AT72" s="49">
        <f t="shared" si="191"/>
        <v>1</v>
      </c>
      <c r="AU72" s="49">
        <f t="shared" si="191"/>
        <v>0.99960953550549536</v>
      </c>
      <c r="AV72" s="49">
        <f t="shared" si="192"/>
        <v>1</v>
      </c>
      <c r="AW72" s="60">
        <f t="shared" ref="AW72:AZ72" si="229">IFERROR(AW16/$B58,0)</f>
        <v>2.272727272727273E-10</v>
      </c>
      <c r="AX72" s="60">
        <f t="shared" si="229"/>
        <v>3.9818181818181825E-6</v>
      </c>
      <c r="AY72" s="63">
        <f t="shared" si="229"/>
        <v>1.8181818181818183E-7</v>
      </c>
      <c r="AZ72" s="63">
        <f t="shared" si="229"/>
        <v>1.8181818181818183E-7</v>
      </c>
      <c r="BA72" s="244">
        <f t="shared" si="43"/>
        <v>4399999999.999999</v>
      </c>
      <c r="BB72" s="244">
        <f t="shared" si="43"/>
        <v>251141.55251141547</v>
      </c>
      <c r="BC72" s="244">
        <f t="shared" si="43"/>
        <v>5500000</v>
      </c>
      <c r="BD72" s="244">
        <f t="shared" si="43"/>
        <v>5500000</v>
      </c>
      <c r="BE72" s="63">
        <f>IFERROR(BE16/$B58,0)</f>
        <v>2.2669305553255277E-10</v>
      </c>
      <c r="BF72" s="71">
        <f>IFERROR(up_RadSpec!$I$16*BF16,".")*$B$72</f>
        <v>220000</v>
      </c>
      <c r="BG72" s="71">
        <f>IFERROR(up_RadSpec!$M$16*BG16,".")*$B$72</f>
        <v>12.557077625570777</v>
      </c>
      <c r="BH72" s="71">
        <f>IFERROR(up_RadSpec!$H$16*BH16,".")*$B$72</f>
        <v>275</v>
      </c>
      <c r="BI72" s="71">
        <f>IFERROR(up_RadSpec!$H$16*BI16,".")*$B$72</f>
        <v>275</v>
      </c>
      <c r="BJ72" s="49">
        <f t="shared" si="194"/>
        <v>1</v>
      </c>
      <c r="BK72" s="49">
        <f t="shared" si="194"/>
        <v>0.99999648009875997</v>
      </c>
      <c r="BL72" s="49">
        <f t="shared" si="194"/>
        <v>1</v>
      </c>
      <c r="BM72" s="49">
        <f t="shared" si="194"/>
        <v>1</v>
      </c>
      <c r="BN72" s="49">
        <f t="shared" si="195"/>
        <v>1</v>
      </c>
      <c r="BO72" s="63">
        <f t="shared" ref="BO72:BP72" si="230">IFERROR(BO16/$B58,0)</f>
        <v>1.8181818181818184E-9</v>
      </c>
      <c r="BP72" s="63">
        <f t="shared" si="230"/>
        <v>1.8181818181818184E-9</v>
      </c>
      <c r="BQ72" s="71">
        <f>IFERROR(up_RadSpec!$H$16*BQ16,".")*$B$72</f>
        <v>27500</v>
      </c>
      <c r="BR72" s="71">
        <f>IFERROR(up_RadSpec!$H$16*BR16,".")*$B$72</f>
        <v>27500</v>
      </c>
      <c r="BS72" s="49">
        <f t="shared" si="197"/>
        <v>1</v>
      </c>
      <c r="BT72" s="49">
        <f t="shared" si="197"/>
        <v>1</v>
      </c>
    </row>
    <row r="73" spans="1:72" x14ac:dyDescent="0.25">
      <c r="A73" s="48" t="s">
        <v>1094</v>
      </c>
      <c r="B73" s="45">
        <v>1</v>
      </c>
      <c r="C73" s="178"/>
      <c r="D73" s="60">
        <f>IFERROR(D7/$B59,0)</f>
        <v>3.3057851239669421E-8</v>
      </c>
      <c r="E73" s="60">
        <f>IFERROR(E7/$B59,0)</f>
        <v>3.0899917851942918E-4</v>
      </c>
      <c r="F73" s="60">
        <f>IFERROR(F7/$B59,0)</f>
        <v>9.1843397478433964E-5</v>
      </c>
      <c r="G73" s="60">
        <f>IFERROR(G7/$B59,0)</f>
        <v>7.5757575757575769E-12</v>
      </c>
      <c r="H73" s="60">
        <f>IFERROR(H7/$B59,0)</f>
        <v>7.5757575757575769E-12</v>
      </c>
      <c r="I73" s="244">
        <f t="shared" si="202"/>
        <v>30250000</v>
      </c>
      <c r="J73" s="244">
        <f t="shared" si="202"/>
        <v>3236.2545583179349</v>
      </c>
      <c r="K73" s="244">
        <f t="shared" si="202"/>
        <v>10888.0989538177</v>
      </c>
      <c r="L73" s="244">
        <f t="shared" si="202"/>
        <v>131999999999.99998</v>
      </c>
      <c r="M73" s="244">
        <f t="shared" si="202"/>
        <v>131999999999.99998</v>
      </c>
      <c r="N73" s="63">
        <f>IFERROR(N7/$B59,0)</f>
        <v>3.7874446072175197E-12</v>
      </c>
      <c r="O73" s="71">
        <f>IFERROR(up_RadSpec!$E$7*O7,".")*$B$73</f>
        <v>1512.5</v>
      </c>
      <c r="P73" s="71">
        <f>IFERROR(up_RadSpec!$F$7*$P$7,".")*B73</f>
        <v>0.16181272791589676</v>
      </c>
      <c r="Q73" s="71">
        <f>IFERROR(up_RadSpec!$G$7*$Q$7,".")*B73</f>
        <v>0.54440494769088499</v>
      </c>
      <c r="R73" s="71">
        <f>IFERROR(up_RadSpec!$H$7*R7,".")*$B$73</f>
        <v>6600000</v>
      </c>
      <c r="S73" s="71">
        <f>IFERROR(up_RadSpec!$H$7*S7,".")*$B$73</f>
        <v>6600000</v>
      </c>
      <c r="T73" s="49">
        <f t="shared" si="187"/>
        <v>1</v>
      </c>
      <c r="U73" s="49">
        <f t="shared" si="187"/>
        <v>0.14939951664921358</v>
      </c>
      <c r="V73" s="49">
        <f t="shared" si="187"/>
        <v>0.41981307779039934</v>
      </c>
      <c r="W73" s="49">
        <f t="shared" si="187"/>
        <v>1</v>
      </c>
      <c r="X73" s="49">
        <f t="shared" si="187"/>
        <v>1</v>
      </c>
      <c r="Y73" s="49">
        <f t="shared" si="36"/>
        <v>1</v>
      </c>
      <c r="Z73" s="60">
        <f t="shared" ref="Z73:AD73" si="231">IFERROR(Z7/$B59,0)</f>
        <v>9.1843397478433964E-5</v>
      </c>
      <c r="AA73" s="60">
        <f t="shared" si="231"/>
        <v>1.4611153552330033E-4</v>
      </c>
      <c r="AB73" s="60">
        <f t="shared" si="231"/>
        <v>1.0704545454545457E-4</v>
      </c>
      <c r="AC73" s="60">
        <f t="shared" si="231"/>
        <v>9.8471359678034887E-5</v>
      </c>
      <c r="AD73" s="60">
        <f t="shared" si="231"/>
        <v>2.500423640530592E-4</v>
      </c>
      <c r="AE73" s="71">
        <f>IFERROR(up_RadSpec!$G$7*AE7,".")*$B$73</f>
        <v>0.54440494769088499</v>
      </c>
      <c r="AF73" s="71">
        <f>IFERROR(up_RadSpec!$N$7*AF7,".")*$B$73</f>
        <v>0.34220432918540183</v>
      </c>
      <c r="AG73" s="71">
        <f>IFERROR(up_RadSpec!$O$7*AG7,".")*$B$73</f>
        <v>0.46709129511677278</v>
      </c>
      <c r="AH73" s="71">
        <f>IFERROR(up_RadSpec!$P$7*AH7,".")*$B$73</f>
        <v>0.50776185241558158</v>
      </c>
      <c r="AI73" s="71">
        <f>IFERROR(up_RadSpec!$L$7*AI7,".")*$B$73</f>
        <v>0.1999661144996612</v>
      </c>
      <c r="AJ73" s="49">
        <f t="shared" si="189"/>
        <v>0.41981307779039934</v>
      </c>
      <c r="AK73" s="49">
        <f t="shared" si="189"/>
        <v>0.28979692533318602</v>
      </c>
      <c r="AL73" s="49">
        <f t="shared" si="189"/>
        <v>0.3731771380662996</v>
      </c>
      <c r="AM73" s="49">
        <f t="shared" si="189"/>
        <v>0.39815891830321548</v>
      </c>
      <c r="AN73" s="49">
        <f t="shared" si="189"/>
        <v>0.18124150335075762</v>
      </c>
      <c r="AO73" s="60">
        <f t="shared" ref="AO73:AQ73" si="232">IFERROR(AO7/$B59,0)</f>
        <v>9.9740259740259755E-10</v>
      </c>
      <c r="AP73" s="60">
        <f t="shared" si="232"/>
        <v>6.3709090909090908E-6</v>
      </c>
      <c r="AQ73" s="60">
        <f t="shared" si="232"/>
        <v>9.9724647271019672E-10</v>
      </c>
      <c r="AR73" s="71">
        <f>IFERROR(up_RadSpec!$F$7*AR7,".")*$B$73</f>
        <v>50130.208333333328</v>
      </c>
      <c r="AS73" s="71">
        <f>IFERROR(up_RadSpec!$K$7*AS7,".")*$B$73</f>
        <v>7.8481735159817356</v>
      </c>
      <c r="AT73" s="49">
        <f t="shared" si="191"/>
        <v>1</v>
      </c>
      <c r="AU73" s="49">
        <f t="shared" si="191"/>
        <v>0.99960953550549536</v>
      </c>
      <c r="AV73" s="49">
        <f t="shared" si="192"/>
        <v>1</v>
      </c>
      <c r="AW73" s="60">
        <f t="shared" ref="AW73:AZ73" si="233">IFERROR(AW7/$B59,0)</f>
        <v>2.272727272727273E-10</v>
      </c>
      <c r="AX73" s="60">
        <f t="shared" si="233"/>
        <v>3.9818181818181825E-6</v>
      </c>
      <c r="AY73" s="63">
        <f t="shared" si="233"/>
        <v>1.8181818181818183E-7</v>
      </c>
      <c r="AZ73" s="63">
        <f t="shared" si="233"/>
        <v>1.8181818181818183E-7</v>
      </c>
      <c r="BA73" s="244">
        <f t="shared" si="43"/>
        <v>4399999999.999999</v>
      </c>
      <c r="BB73" s="244">
        <f t="shared" si="43"/>
        <v>251141.55251141547</v>
      </c>
      <c r="BC73" s="244">
        <f t="shared" si="43"/>
        <v>5500000</v>
      </c>
      <c r="BD73" s="244">
        <f t="shared" si="43"/>
        <v>5500000</v>
      </c>
      <c r="BE73" s="63">
        <f>IFERROR(BE7/$B59,0)</f>
        <v>2.2669305553255277E-10</v>
      </c>
      <c r="BF73" s="71">
        <f>IFERROR(up_RadSpec!$I$7*BF7,".")*$B$73</f>
        <v>220000</v>
      </c>
      <c r="BG73" s="71">
        <f>IFERROR(up_RadSpec!$M$7*BG7,".")*$B$73</f>
        <v>12.557077625570777</v>
      </c>
      <c r="BH73" s="71">
        <f>IFERROR(up_RadSpec!$H$7*BH7,".")*$B$73</f>
        <v>275</v>
      </c>
      <c r="BI73" s="71">
        <f>IFERROR(up_RadSpec!$H$7*BI7,".")*$B$73</f>
        <v>275</v>
      </c>
      <c r="BJ73" s="49">
        <f t="shared" si="194"/>
        <v>1</v>
      </c>
      <c r="BK73" s="49">
        <f t="shared" si="194"/>
        <v>0.99999648009875997</v>
      </c>
      <c r="BL73" s="49">
        <f t="shared" si="194"/>
        <v>1</v>
      </c>
      <c r="BM73" s="49">
        <f t="shared" si="194"/>
        <v>1</v>
      </c>
      <c r="BN73" s="49">
        <f t="shared" si="195"/>
        <v>1</v>
      </c>
      <c r="BO73" s="63">
        <f t="shared" ref="BO73:BP73" si="234">IFERROR(BO7/$B59,0)</f>
        <v>1.8181818181818184E-9</v>
      </c>
      <c r="BP73" s="63">
        <f t="shared" si="234"/>
        <v>1.8181818181818184E-9</v>
      </c>
      <c r="BQ73" s="71">
        <f>IFERROR(up_RadSpec!$H$7*BQ7,".")*$B$73</f>
        <v>27500</v>
      </c>
      <c r="BR73" s="71">
        <f>IFERROR(up_RadSpec!$H$7*BR7,".")*$B$73</f>
        <v>27500</v>
      </c>
      <c r="BS73" s="49">
        <f t="shared" si="197"/>
        <v>1</v>
      </c>
      <c r="BT73" s="49">
        <f t="shared" si="197"/>
        <v>1</v>
      </c>
    </row>
    <row r="74" spans="1:72" x14ac:dyDescent="0.25">
      <c r="A74" s="48" t="s">
        <v>1095</v>
      </c>
      <c r="B74" s="45">
        <v>1.9000000000000001E-8</v>
      </c>
      <c r="C74" s="182"/>
      <c r="D74" s="60">
        <f>IFERROR(D12/$B60,0)</f>
        <v>1.7398869073510221</v>
      </c>
      <c r="E74" s="60">
        <f>IFERROR(E12/$B60,0)</f>
        <v>16263.114658917324</v>
      </c>
      <c r="F74" s="60">
        <f>IFERROR(F12/$B60,0)</f>
        <v>3751.6872799494449</v>
      </c>
      <c r="G74" s="60">
        <f>IFERROR(G12/$B60,0)</f>
        <v>3.9872408293460931E-4</v>
      </c>
      <c r="H74" s="60">
        <f>IFERROR(H12/$B60,0)</f>
        <v>3.9872408293460931E-4</v>
      </c>
      <c r="I74" s="244">
        <f t="shared" si="202"/>
        <v>0.57474999999999998</v>
      </c>
      <c r="J74" s="244">
        <f t="shared" si="202"/>
        <v>6.148883660804077E-5</v>
      </c>
      <c r="K74" s="244">
        <f t="shared" si="202"/>
        <v>2.6654673627634425E-4</v>
      </c>
      <c r="L74" s="244">
        <f t="shared" si="202"/>
        <v>2507.9999999999995</v>
      </c>
      <c r="M74" s="244">
        <f t="shared" si="202"/>
        <v>2507.9999999999995</v>
      </c>
      <c r="N74" s="63">
        <f>IFERROR(N12/$B60,0)</f>
        <v>1.9933918748238634E-4</v>
      </c>
      <c r="O74" s="71">
        <f>IFERROR(up_RadSpec!$E$12*O12,".")*$B$74</f>
        <v>2.8737500000000001E-5</v>
      </c>
      <c r="P74" s="71">
        <f>IFERROR(up_RadSpec!$F$12*$P$12,".")*B74</f>
        <v>3.0744418304020388E-9</v>
      </c>
      <c r="Q74" s="71">
        <f>IFERROR(up_RadSpec!$G$12*$Q$12,".")*B74</f>
        <v>1.3327336813817214E-8</v>
      </c>
      <c r="R74" s="71">
        <f>IFERROR(up_RadSpec!$H$12*R12,".")*$B$74</f>
        <v>0.12540000000000001</v>
      </c>
      <c r="S74" s="71">
        <f>IFERROR(up_RadSpec!$H$12*S12,".")*$B$74</f>
        <v>0.12540000000000001</v>
      </c>
      <c r="T74" s="49">
        <f t="shared" si="187"/>
        <v>2.8737500000000001E-5</v>
      </c>
      <c r="U74" s="49">
        <f t="shared" si="187"/>
        <v>3.0744418304020388E-9</v>
      </c>
      <c r="V74" s="49">
        <f t="shared" si="187"/>
        <v>1.3327336813817214E-8</v>
      </c>
      <c r="W74" s="49">
        <f t="shared" si="187"/>
        <v>0.11785602558609864</v>
      </c>
      <c r="X74" s="49">
        <f t="shared" si="187"/>
        <v>0.11785602558609864</v>
      </c>
      <c r="Y74" s="49">
        <f t="shared" si="36"/>
        <v>0.22184438373709214</v>
      </c>
      <c r="Z74" s="60">
        <f t="shared" ref="Z74:AD74" si="235">IFERROR(Z12/$B60,0)</f>
        <v>3751.6872799494449</v>
      </c>
      <c r="AA74" s="60">
        <f t="shared" si="235"/>
        <v>6730.7676010623618</v>
      </c>
      <c r="AB74" s="60">
        <f t="shared" si="235"/>
        <v>4880.3963634823604</v>
      </c>
      <c r="AC74" s="60">
        <f t="shared" si="235"/>
        <v>4310.0706650788998</v>
      </c>
      <c r="AD74" s="60">
        <f t="shared" si="235"/>
        <v>11618.982521238162</v>
      </c>
      <c r="AE74" s="71">
        <f>IFERROR(up_RadSpec!$G$12*AE12,".")*$B$74</f>
        <v>1.3327336813817214E-8</v>
      </c>
      <c r="AF74" s="71">
        <f>IFERROR(up_RadSpec!$N$12*AF12,".")*$B$74</f>
        <v>7.4285732272360991E-9</v>
      </c>
      <c r="AG74" s="71">
        <f>IFERROR(up_RadSpec!$O$12*AG12,".")*$B$74</f>
        <v>1.024506951405131E-8</v>
      </c>
      <c r="AH74" s="71">
        <f>IFERROR(up_RadSpec!$P$12*AH12,".")*$B$74</f>
        <v>1.1600737873072599E-8</v>
      </c>
      <c r="AI74" s="71">
        <f>IFERROR(up_RadSpec!$L$12*AI12,".")*$B$74</f>
        <v>4.3033027985544997E-9</v>
      </c>
      <c r="AJ74" s="49">
        <f t="shared" si="189"/>
        <v>1.3327336813817214E-8</v>
      </c>
      <c r="AK74" s="49">
        <f t="shared" si="189"/>
        <v>7.4285732272360991E-9</v>
      </c>
      <c r="AL74" s="49">
        <f t="shared" si="189"/>
        <v>1.024506951405131E-8</v>
      </c>
      <c r="AM74" s="49">
        <f t="shared" si="189"/>
        <v>1.1600737873072599E-8</v>
      </c>
      <c r="AN74" s="49">
        <f t="shared" si="189"/>
        <v>4.3033027985544997E-9</v>
      </c>
      <c r="AO74" s="60">
        <f t="shared" ref="AO74:AQ74" si="236">IFERROR(AO12/$B60,0)</f>
        <v>5.2494873547505129E-2</v>
      </c>
      <c r="AP74" s="60">
        <f t="shared" si="236"/>
        <v>335.31100478468898</v>
      </c>
      <c r="AQ74" s="60">
        <f t="shared" si="236"/>
        <v>5.2486656458431404E-2</v>
      </c>
      <c r="AR74" s="71">
        <f>IFERROR(up_RadSpec!$F$12*AR12,".")*$B$74</f>
        <v>9.5247395833333328E-4</v>
      </c>
      <c r="AS74" s="71">
        <f>IFERROR(up_RadSpec!$K$12*AS12,".")*$B$74</f>
        <v>1.4911529680365299E-7</v>
      </c>
      <c r="AT74" s="49">
        <f t="shared" si="191"/>
        <v>9.5247395833333328E-4</v>
      </c>
      <c r="AU74" s="49">
        <f t="shared" si="191"/>
        <v>1.4911529680365299E-7</v>
      </c>
      <c r="AV74" s="49">
        <f t="shared" si="192"/>
        <v>9.5262307363013692E-4</v>
      </c>
      <c r="AW74" s="60">
        <f t="shared" ref="AW74:AZ74" si="237">IFERROR(AW12/$B60,0)</f>
        <v>1.1961722488038277E-2</v>
      </c>
      <c r="AX74" s="60">
        <f t="shared" si="237"/>
        <v>209.56937799043064</v>
      </c>
      <c r="AY74" s="63">
        <f t="shared" si="237"/>
        <v>9.5693779904306222</v>
      </c>
      <c r="AZ74" s="63">
        <f t="shared" si="237"/>
        <v>9.5693779904306222</v>
      </c>
      <c r="BA74" s="244">
        <f t="shared" si="43"/>
        <v>83.6</v>
      </c>
      <c r="BB74" s="244">
        <f t="shared" si="43"/>
        <v>4.7716894977168946E-3</v>
      </c>
      <c r="BC74" s="244">
        <f t="shared" si="43"/>
        <v>0.1045</v>
      </c>
      <c r="BD74" s="244">
        <f t="shared" si="43"/>
        <v>0.1045</v>
      </c>
      <c r="BE74" s="63">
        <f>IFERROR(BE12/$B60,0)</f>
        <v>1.1931213449081724E-2</v>
      </c>
      <c r="BF74" s="71">
        <f>IFERROR(up_RadSpec!$I$12*BF12,".")*$B$74</f>
        <v>4.1800000000000006E-3</v>
      </c>
      <c r="BG74" s="71">
        <f>IFERROR(up_RadSpec!$M$12*BG12,".")*$B$74</f>
        <v>2.3858447488584478E-7</v>
      </c>
      <c r="BH74" s="71">
        <f>IFERROR(up_RadSpec!$H$12*BH12,".")*$B$74</f>
        <v>5.2250000000000008E-6</v>
      </c>
      <c r="BI74" s="71">
        <f>IFERROR(up_RadSpec!$H$12*BI12,".")*$B$74</f>
        <v>5.2250000000000008E-6</v>
      </c>
      <c r="BJ74" s="49">
        <f t="shared" si="194"/>
        <v>4.1800000000000006E-3</v>
      </c>
      <c r="BK74" s="49">
        <f t="shared" si="194"/>
        <v>2.3858447488584478E-7</v>
      </c>
      <c r="BL74" s="49">
        <f t="shared" si="194"/>
        <v>5.2250000000000008E-6</v>
      </c>
      <c r="BM74" s="49">
        <f t="shared" si="194"/>
        <v>5.2250000000000008E-6</v>
      </c>
      <c r="BN74" s="49">
        <f t="shared" si="195"/>
        <v>4.1802385844748862E-3</v>
      </c>
      <c r="BO74" s="63">
        <f t="shared" ref="BO74:BP74" si="238">IFERROR(BO12/$B60,0)</f>
        <v>9.569377990430622E-2</v>
      </c>
      <c r="BP74" s="63">
        <f t="shared" si="238"/>
        <v>9.569377990430622E-2</v>
      </c>
      <c r="BQ74" s="71">
        <f>IFERROR(up_RadSpec!$H$12*BQ12,".")*$B$74</f>
        <v>5.2250000000000007E-4</v>
      </c>
      <c r="BR74" s="71">
        <f>IFERROR(up_RadSpec!$H$12*BR12,".")*$B$74</f>
        <v>5.2250000000000007E-4</v>
      </c>
      <c r="BS74" s="49">
        <f t="shared" si="197"/>
        <v>5.2250000000000007E-4</v>
      </c>
      <c r="BT74" s="49">
        <f t="shared" si="197"/>
        <v>5.2250000000000007E-4</v>
      </c>
    </row>
    <row r="75" spans="1:72" x14ac:dyDescent="0.25">
      <c r="A75" s="48" t="s">
        <v>1096</v>
      </c>
      <c r="B75" s="45">
        <v>1</v>
      </c>
      <c r="C75" s="178"/>
      <c r="D75" s="60">
        <f>IFERROR(D18/$B61,0)</f>
        <v>3.3057851239669421E-8</v>
      </c>
      <c r="E75" s="60">
        <f>IFERROR(E18/$B61,0)</f>
        <v>3.0899917851942918E-4</v>
      </c>
      <c r="F75" s="60">
        <f>IFERROR(F18/$B61,0)</f>
        <v>3.5819104981705617E-5</v>
      </c>
      <c r="G75" s="60">
        <f>IFERROR(G18/$B61,0)</f>
        <v>7.5757575757575769E-12</v>
      </c>
      <c r="H75" s="60">
        <f>IFERROR(H18/$B61,0)</f>
        <v>7.5757575757575769E-12</v>
      </c>
      <c r="I75" s="244">
        <f t="shared" si="202"/>
        <v>30250000</v>
      </c>
      <c r="J75" s="244">
        <f t="shared" si="202"/>
        <v>3236.2545583179349</v>
      </c>
      <c r="K75" s="244">
        <f t="shared" si="202"/>
        <v>27918.062176895368</v>
      </c>
      <c r="L75" s="244">
        <f t="shared" si="202"/>
        <v>131999999999.99998</v>
      </c>
      <c r="M75" s="244">
        <f t="shared" si="202"/>
        <v>131999999999.99998</v>
      </c>
      <c r="N75" s="63">
        <f>IFERROR(N18/$B61,0)</f>
        <v>3.7874443629271975E-12</v>
      </c>
      <c r="O75" s="71">
        <f>IFERROR(up_RadSpec!$E$18*O18,".")*$B$75</f>
        <v>1512.5</v>
      </c>
      <c r="P75" s="71">
        <f>IFERROR(up_RadSpec!$F$18*$P$18,".")*B75</f>
        <v>0.16181272791589676</v>
      </c>
      <c r="Q75" s="71">
        <f>IFERROR(up_RadSpec!$G$18*$Q$18,".")*B75</f>
        <v>1.3959031088447684</v>
      </c>
      <c r="R75" s="71">
        <f>IFERROR(up_RadSpec!$H$18*R18,".")*$B$75</f>
        <v>6600000</v>
      </c>
      <c r="S75" s="71">
        <f>IFERROR(up_RadSpec!$H$18*S18,".")*$B$75</f>
        <v>6600000</v>
      </c>
      <c r="T75" s="49">
        <f t="shared" si="187"/>
        <v>1</v>
      </c>
      <c r="U75" s="49">
        <f t="shared" si="187"/>
        <v>0.14939951664921358</v>
      </c>
      <c r="V75" s="49">
        <f t="shared" si="187"/>
        <v>0.75239068280335397</v>
      </c>
      <c r="W75" s="49">
        <f t="shared" si="187"/>
        <v>1</v>
      </c>
      <c r="X75" s="49">
        <f t="shared" si="187"/>
        <v>1</v>
      </c>
      <c r="Y75" s="49">
        <f t="shared" si="36"/>
        <v>1</v>
      </c>
      <c r="Z75" s="60">
        <f t="shared" ref="Z75:AD75" si="239">IFERROR(Z18/$B61,0)</f>
        <v>3.5819104981705617E-5</v>
      </c>
      <c r="AA75" s="60">
        <f t="shared" si="239"/>
        <v>7.0875611640484193E-5</v>
      </c>
      <c r="AB75" s="60">
        <f t="shared" si="239"/>
        <v>4.9633877043552499E-5</v>
      </c>
      <c r="AC75" s="60">
        <f t="shared" si="239"/>
        <v>4.1122563526890526E-5</v>
      </c>
      <c r="AD75" s="60">
        <f t="shared" si="239"/>
        <v>1.2047552447552447E-4</v>
      </c>
      <c r="AE75" s="71">
        <f>IFERROR(up_RadSpec!$G$18*AE18,".")*$B$75</f>
        <v>1.3959031088447684</v>
      </c>
      <c r="AF75" s="71">
        <f>IFERROR(up_RadSpec!$N$18*AF18,".")*$B$75</f>
        <v>0.70546128411031561</v>
      </c>
      <c r="AG75" s="71">
        <f>IFERROR(up_RadSpec!$O$18*AG18,".")*$B$75</f>
        <v>1.0073764730513848</v>
      </c>
      <c r="AH75" s="71">
        <f>IFERROR(up_RadSpec!$P$18*AH18,".")*$B$75</f>
        <v>1.2158775064522527</v>
      </c>
      <c r="AI75" s="71">
        <f>IFERROR(up_RadSpec!$L$18*AI18,".")*$B$75</f>
        <v>0.41502205711632234</v>
      </c>
      <c r="AJ75" s="49">
        <f t="shared" si="189"/>
        <v>0.75239068280335397</v>
      </c>
      <c r="AK75" s="49">
        <f t="shared" si="189"/>
        <v>0.50611929761705565</v>
      </c>
      <c r="AL75" s="49">
        <f t="shared" si="189"/>
        <v>0.63482422758325874</v>
      </c>
      <c r="AM75" s="49">
        <f t="shared" si="189"/>
        <v>0.70355023645539005</v>
      </c>
      <c r="AN75" s="49">
        <f t="shared" si="189"/>
        <v>0.33967428433676894</v>
      </c>
      <c r="AO75" s="60">
        <f t="shared" ref="AO75:AQ75" si="240">IFERROR(AO18/$B61,0)</f>
        <v>9.9740259740259755E-10</v>
      </c>
      <c r="AP75" s="60">
        <f t="shared" si="240"/>
        <v>6.3709090909090908E-6</v>
      </c>
      <c r="AQ75" s="60">
        <f t="shared" si="240"/>
        <v>9.9724647271019672E-10</v>
      </c>
      <c r="AR75" s="71">
        <f>IFERROR(up_RadSpec!$F$18*AR18,".")*$B$75</f>
        <v>50130.208333333328</v>
      </c>
      <c r="AS75" s="71">
        <f>IFERROR(up_RadSpec!$K$18*AS18,".")*$B$75</f>
        <v>7.8481735159817356</v>
      </c>
      <c r="AT75" s="49">
        <f t="shared" si="191"/>
        <v>1</v>
      </c>
      <c r="AU75" s="49">
        <f t="shared" si="191"/>
        <v>0.99960953550549536</v>
      </c>
      <c r="AV75" s="49">
        <f t="shared" si="192"/>
        <v>1</v>
      </c>
      <c r="AW75" s="60">
        <f t="shared" ref="AW75:AZ75" si="241">IFERROR(AW18/$B61,0)</f>
        <v>2.272727272727273E-10</v>
      </c>
      <c r="AX75" s="60">
        <f t="shared" si="241"/>
        <v>3.9818181818181825E-6</v>
      </c>
      <c r="AY75" s="63">
        <f t="shared" si="241"/>
        <v>1.8181818181818183E-7</v>
      </c>
      <c r="AZ75" s="63">
        <f t="shared" si="241"/>
        <v>1.8181818181818183E-7</v>
      </c>
      <c r="BA75" s="244">
        <f t="shared" si="43"/>
        <v>4399999999.999999</v>
      </c>
      <c r="BB75" s="244">
        <f t="shared" si="43"/>
        <v>251141.55251141547</v>
      </c>
      <c r="BC75" s="244">
        <f t="shared" si="43"/>
        <v>5500000</v>
      </c>
      <c r="BD75" s="244">
        <f t="shared" si="43"/>
        <v>5500000</v>
      </c>
      <c r="BE75" s="63">
        <f>IFERROR(BE18/$B61,0)</f>
        <v>2.2669305553255277E-10</v>
      </c>
      <c r="BF75" s="71">
        <f>IFERROR(up_RadSpec!$I$18*BF18,".")*$B$75</f>
        <v>220000</v>
      </c>
      <c r="BG75" s="71">
        <f>IFERROR(up_RadSpec!$M$18*BG18,".")*$B$75</f>
        <v>12.557077625570777</v>
      </c>
      <c r="BH75" s="71">
        <f>IFERROR(up_RadSpec!$H$18*BH18,".")*$B$75</f>
        <v>275</v>
      </c>
      <c r="BI75" s="71">
        <f>IFERROR(up_RadSpec!$H$18*BI18,".")*$B$75</f>
        <v>275</v>
      </c>
      <c r="BJ75" s="49">
        <f t="shared" si="194"/>
        <v>1</v>
      </c>
      <c r="BK75" s="49">
        <f t="shared" si="194"/>
        <v>0.99999648009875997</v>
      </c>
      <c r="BL75" s="49">
        <f t="shared" si="194"/>
        <v>1</v>
      </c>
      <c r="BM75" s="49">
        <f t="shared" si="194"/>
        <v>1</v>
      </c>
      <c r="BN75" s="49">
        <f t="shared" si="195"/>
        <v>1</v>
      </c>
      <c r="BO75" s="63">
        <f t="shared" ref="BO75:BP75" si="242">IFERROR(BO18/$B61,0)</f>
        <v>1.8181818181818184E-9</v>
      </c>
      <c r="BP75" s="63">
        <f t="shared" si="242"/>
        <v>1.8181818181818184E-9</v>
      </c>
      <c r="BQ75" s="71">
        <f>IFERROR(up_RadSpec!$H$18*BQ18,".")*$B$75</f>
        <v>27500</v>
      </c>
      <c r="BR75" s="71">
        <f>IFERROR(up_RadSpec!$H$18*BR18,".")*$B$75</f>
        <v>27500</v>
      </c>
      <c r="BS75" s="49">
        <f t="shared" si="197"/>
        <v>1</v>
      </c>
      <c r="BT75" s="49">
        <f t="shared" si="197"/>
        <v>1</v>
      </c>
    </row>
    <row r="76" spans="1:72" x14ac:dyDescent="0.25">
      <c r="A76" s="48" t="s">
        <v>1097</v>
      </c>
      <c r="B76" s="45">
        <v>1.339E-6</v>
      </c>
      <c r="C76" s="178"/>
      <c r="D76" s="60">
        <f>IFERROR(D27/$B62,0)</f>
        <v>2.4688462464278881E-2</v>
      </c>
      <c r="E76" s="60">
        <f>IFERROR(E27/$B62,0)</f>
        <v>230.76861726619057</v>
      </c>
      <c r="F76" s="60">
        <f>IFERROR(F27/$B62,0)</f>
        <v>43.901003530817384</v>
      </c>
      <c r="G76" s="60">
        <f>IFERROR(G27/$B62,0)</f>
        <v>5.6577726480639113E-6</v>
      </c>
      <c r="H76" s="60">
        <f>IFERROR(H27/$B62,0)</f>
        <v>5.6577726480639113E-6</v>
      </c>
      <c r="I76" s="244">
        <f t="shared" si="202"/>
        <v>40.504750000000001</v>
      </c>
      <c r="J76" s="244">
        <f t="shared" si="202"/>
        <v>4.3333448535877147E-3</v>
      </c>
      <c r="K76" s="244">
        <f t="shared" si="202"/>
        <v>2.2778522575184996E-2</v>
      </c>
      <c r="L76" s="244">
        <f t="shared" si="202"/>
        <v>176747.99999999997</v>
      </c>
      <c r="M76" s="244">
        <f t="shared" si="202"/>
        <v>176747.99999999997</v>
      </c>
      <c r="N76" s="63">
        <f>IFERROR(N27/$B62,0)</f>
        <v>2.8285620010288406E-6</v>
      </c>
      <c r="O76" s="71">
        <f>IFERROR(up_RadSpec!$E$27*O27,".")*$B$76</f>
        <v>2.0252375000000002E-3</v>
      </c>
      <c r="P76" s="71">
        <f>IFERROR(up_RadSpec!$F$27*$P$27,".")*B76</f>
        <v>2.1666724267938577E-7</v>
      </c>
      <c r="Q76" s="71">
        <f>IFERROR(up_RadSpec!$G$27*$Q$27,".")*B76</f>
        <v>1.13892612875925E-6</v>
      </c>
      <c r="R76" s="71">
        <f>IFERROR(up_RadSpec!$H$27*R27,".")*$B$76</f>
        <v>8.8374000000000006</v>
      </c>
      <c r="S76" s="71">
        <f>IFERROR(up_RadSpec!$H$27*S27,".")*$B$76</f>
        <v>8.8374000000000006</v>
      </c>
      <c r="T76" s="49">
        <f t="shared" si="187"/>
        <v>2.0252375000000002E-3</v>
      </c>
      <c r="U76" s="49">
        <f t="shared" si="187"/>
        <v>2.1666724267938577E-7</v>
      </c>
      <c r="V76" s="49">
        <f t="shared" si="187"/>
        <v>1.13892612875925E-6</v>
      </c>
      <c r="W76" s="49">
        <f t="shared" si="187"/>
        <v>0.99985480022425055</v>
      </c>
      <c r="X76" s="49">
        <f t="shared" si="187"/>
        <v>0.99985480022425055</v>
      </c>
      <c r="Y76" s="49">
        <f t="shared" si="36"/>
        <v>0.99999997895970849</v>
      </c>
      <c r="Z76" s="60">
        <f t="shared" ref="Z76:AD76" si="243">IFERROR(Z27/$B62,0)</f>
        <v>43.901003530817384</v>
      </c>
      <c r="AA76" s="60">
        <f t="shared" si="243"/>
        <v>130.21786593580163</v>
      </c>
      <c r="AB76" s="60">
        <f t="shared" si="243"/>
        <v>79.833343734491137</v>
      </c>
      <c r="AC76" s="60">
        <f t="shared" si="243"/>
        <v>58.075673411227257</v>
      </c>
      <c r="AD76" s="60">
        <f t="shared" si="243"/>
        <v>407.31919794291832</v>
      </c>
      <c r="AE76" s="71">
        <f>IFERROR(up_RadSpec!$G$27*AE27,".")*$B$76</f>
        <v>1.13892612875925E-6</v>
      </c>
      <c r="AF76" s="71">
        <f>IFERROR(up_RadSpec!$N$27*AF27,".")*$B$76</f>
        <v>3.8397188926940623E-7</v>
      </c>
      <c r="AG76" s="71">
        <f>IFERROR(up_RadSpec!$O$27*AG27,".")*$B$76</f>
        <v>6.2630472007147106E-7</v>
      </c>
      <c r="AH76" s="71">
        <f>IFERROR(up_RadSpec!$P$27*AH27,".")*$B$76</f>
        <v>8.609456776498427E-7</v>
      </c>
      <c r="AI76" s="71">
        <f>IFERROR(up_RadSpec!$L$27*AI27,".")*$B$76</f>
        <v>1.2275385067169607E-7</v>
      </c>
      <c r="AJ76" s="49">
        <f t="shared" si="189"/>
        <v>1.13892612875925E-6</v>
      </c>
      <c r="AK76" s="49">
        <f t="shared" si="189"/>
        <v>3.8397188926940623E-7</v>
      </c>
      <c r="AL76" s="49">
        <f t="shared" si="189"/>
        <v>6.2630472007147106E-7</v>
      </c>
      <c r="AM76" s="49">
        <f t="shared" si="189"/>
        <v>8.609456776498427E-7</v>
      </c>
      <c r="AN76" s="49">
        <f t="shared" si="189"/>
        <v>1.2275385067169607E-7</v>
      </c>
      <c r="AO76" s="60">
        <f t="shared" ref="AO76:AQ76" si="244">IFERROR(AO27/$B62,0)</f>
        <v>7.4488618177938576E-4</v>
      </c>
      <c r="AP76" s="60">
        <f t="shared" si="244"/>
        <v>4.7579604861158256</v>
      </c>
      <c r="AQ76" s="60">
        <f t="shared" si="244"/>
        <v>7.4476958380149125E-4</v>
      </c>
      <c r="AR76" s="71">
        <f>IFERROR(up_RadSpec!$F$27*AR27,".")*$B$76</f>
        <v>6.712434895833333E-2</v>
      </c>
      <c r="AS76" s="71">
        <f>IFERROR(up_RadSpec!$K$27*AS27,".")*$B$76</f>
        <v>1.0508704337899545E-5</v>
      </c>
      <c r="AT76" s="49">
        <f t="shared" si="191"/>
        <v>6.4921081982343365E-2</v>
      </c>
      <c r="AU76" s="49">
        <f t="shared" si="191"/>
        <v>1.0508704337899545E-5</v>
      </c>
      <c r="AV76" s="49">
        <f t="shared" si="192"/>
        <v>6.4930908398593834E-2</v>
      </c>
      <c r="AW76" s="60">
        <f t="shared" ref="AW76:AZ76" si="245">IFERROR(AW27/$B62,0)</f>
        <v>1.6973317944191734E-4</v>
      </c>
      <c r="AX76" s="60">
        <f t="shared" si="245"/>
        <v>2.9737253038223916</v>
      </c>
      <c r="AY76" s="63">
        <f t="shared" si="245"/>
        <v>0.13578654355353384</v>
      </c>
      <c r="AZ76" s="63">
        <f t="shared" si="245"/>
        <v>0.13578654355353384</v>
      </c>
      <c r="BA76" s="244">
        <f t="shared" si="43"/>
        <v>5891.5999999999985</v>
      </c>
      <c r="BB76" s="244">
        <f t="shared" si="43"/>
        <v>0.33627853881278535</v>
      </c>
      <c r="BC76" s="244">
        <f t="shared" si="43"/>
        <v>7.3645000000000005</v>
      </c>
      <c r="BD76" s="244">
        <f t="shared" si="43"/>
        <v>7.3645000000000005</v>
      </c>
      <c r="BE76" s="63">
        <f>IFERROR(BE27/$B62,0)</f>
        <v>1.6930026552095054E-4</v>
      </c>
      <c r="BF76" s="71">
        <f>IFERROR(up_RadSpec!$I$27*BF27,".")*$B$76</f>
        <v>0.29458000000000001</v>
      </c>
      <c r="BG76" s="71">
        <f>IFERROR(up_RadSpec!$M$27*BG27,".")*$B$76</f>
        <v>1.6813926940639269E-5</v>
      </c>
      <c r="BH76" s="71">
        <f>IFERROR(up_RadSpec!$H$27*BH27,".")*$B$76</f>
        <v>3.6822500000000002E-4</v>
      </c>
      <c r="BI76" s="71">
        <f>IFERROR(up_RadSpec!$H$27*BI27,".")*$B$76</f>
        <v>3.6822500000000002E-4</v>
      </c>
      <c r="BJ76" s="49">
        <f t="shared" si="194"/>
        <v>0.25515564359047449</v>
      </c>
      <c r="BK76" s="49">
        <f t="shared" si="194"/>
        <v>1.6813926940639269E-5</v>
      </c>
      <c r="BL76" s="49">
        <f t="shared" si="194"/>
        <v>3.6822500000000002E-4</v>
      </c>
      <c r="BM76" s="49">
        <f t="shared" si="194"/>
        <v>3.6822500000000002E-4</v>
      </c>
      <c r="BN76" s="49">
        <f t="shared" si="195"/>
        <v>0.25516816724377911</v>
      </c>
      <c r="BO76" s="63">
        <f t="shared" ref="BO76:BP76" si="246">IFERROR(BO27/$B62,0)</f>
        <v>1.3578654355353387E-3</v>
      </c>
      <c r="BP76" s="63">
        <f t="shared" si="246"/>
        <v>1.3578654355353387E-3</v>
      </c>
      <c r="BQ76" s="71">
        <f>IFERROR(up_RadSpec!$H$27*BQ27,".")*$B$76</f>
        <v>3.6822500000000001E-2</v>
      </c>
      <c r="BR76" s="71">
        <f>IFERROR(up_RadSpec!$H$27*BR27,".")*$B$76</f>
        <v>3.6822500000000001E-2</v>
      </c>
      <c r="BS76" s="49">
        <f t="shared" si="197"/>
        <v>3.6152796955113198E-2</v>
      </c>
      <c r="BT76" s="49">
        <f t="shared" si="197"/>
        <v>3.6152796955113198E-2</v>
      </c>
    </row>
  </sheetData>
  <sheetProtection algorithmName="SHA-512" hashValue="A8FyvAJfu9IKWqskDUX8wl3Bn5DfQOxl3+zgO9s97k64Q++DAn3c5GtsPXWv56FFfE93dB7wkw5Saut73tFGTA==" saltValue="FHyJFrFOobDH1CSYFXoEPQ==" spinCount="100000" sheet="1" formatColumns="0" formatRows="0" autoFilter="0"/>
  <autoFilter ref="A1:AS1299" xr:uid="{00000000-0009-0000-0000-000020000000}"/>
  <pageMargins left="0.7" right="0.7" top="0.75" bottom="0.75" header="0.3" footer="0.3"/>
  <pageSetup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3">
    <tabColor theme="9" tint="-0.499984740745262"/>
  </sheetPr>
  <dimension ref="A1:I76"/>
  <sheetViews>
    <sheetView tabSelected="1"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4.5703125" style="4" bestFit="1" customWidth="1"/>
    <col min="2" max="2" width="11.7109375" style="4" bestFit="1" customWidth="1"/>
    <col min="3" max="3" width="13.28515625" style="4" customWidth="1"/>
    <col min="4" max="4" width="17.85546875" bestFit="1" customWidth="1"/>
    <col min="5" max="5" width="18.140625" bestFit="1" customWidth="1"/>
    <col min="6" max="7" width="18.5703125" customWidth="1"/>
    <col min="8" max="8" width="15.28515625" bestFit="1" customWidth="1"/>
    <col min="9" max="9" width="15.42578125" bestFit="1" customWidth="1"/>
  </cols>
  <sheetData>
    <row r="1" spans="1:9" x14ac:dyDescent="0.25">
      <c r="A1" s="78" t="s">
        <v>51</v>
      </c>
      <c r="B1" s="79" t="s">
        <v>348</v>
      </c>
      <c r="C1" s="78"/>
      <c r="D1" s="112" t="s">
        <v>1387</v>
      </c>
      <c r="E1" s="112" t="s">
        <v>1388</v>
      </c>
      <c r="F1" s="112" t="s">
        <v>1551</v>
      </c>
      <c r="G1" s="112" t="s">
        <v>1552</v>
      </c>
      <c r="H1" s="112" t="s">
        <v>1549</v>
      </c>
      <c r="I1" s="112" t="s">
        <v>1550</v>
      </c>
    </row>
    <row r="2" spans="1:9" x14ac:dyDescent="0.25">
      <c r="A2" s="44" t="s">
        <v>12</v>
      </c>
      <c r="B2" s="42" t="s">
        <v>1071</v>
      </c>
      <c r="C2" s="42"/>
      <c r="D2" s="121">
        <f>IF(up_RadSpec!AX2*s_DAF=0,".",up_RadSpec!AX2*s_DAF)</f>
        <v>36.407844783957088</v>
      </c>
      <c r="E2" s="121">
        <f>IFERROR(up_res!AT2*s_DAF,".")</f>
        <v>1.1455333944630647E-10</v>
      </c>
      <c r="F2" s="121">
        <f>IFERROR((D2*0.001*(up_RadSpec!AU2+(s_θw/s_ρb))*1),".")</f>
        <v>0.19114118511577471</v>
      </c>
      <c r="G2" s="121">
        <f>IFERROR((E2*0.001*(up_RadSpec!AU2+(s_θw/s_ρb))*1),".")</f>
        <v>6.0140503209310891E-13</v>
      </c>
      <c r="H2" s="121">
        <f t="shared" ref="H2:H30" si="0">IFERROR((D2*s_ls2gw*s_ED_s2gw)/(s_ρb*s_d_s*1000),".")</f>
        <v>0.12742745674384981</v>
      </c>
      <c r="I2" s="121">
        <f t="shared" ref="I2:I30" si="1">IFERROR((E2*s_ls2gw*s_ED_s2gw)/(s_ρb*s_d_s*1000),".")</f>
        <v>4.0093668806207267E-13</v>
      </c>
    </row>
    <row r="3" spans="1:9" x14ac:dyDescent="0.25">
      <c r="A3" s="46" t="s">
        <v>13</v>
      </c>
      <c r="B3" s="42" t="s">
        <v>349</v>
      </c>
      <c r="C3" s="42"/>
      <c r="D3" s="121">
        <f>IF(up_RadSpec!AX3*s_DAF=0,".",up_RadSpec!AX3*s_DAF)</f>
        <v>36.407844783957088</v>
      </c>
      <c r="E3" s="121">
        <f>IFERROR(up_res!AT3*s_DAF,".")</f>
        <v>1.1455333944630647E-10</v>
      </c>
      <c r="F3" s="121">
        <f>IFERROR((D3*0.001*(up_RadSpec!AU3+(s_θw/s_ρb))*1),".")</f>
        <v>0.19114118511577471</v>
      </c>
      <c r="G3" s="121">
        <f>IFERROR((E3*0.001*(up_RadSpec!AU3+(s_θw/s_ρb))*1),".")</f>
        <v>6.0140503209310891E-13</v>
      </c>
      <c r="H3" s="121">
        <f t="shared" si="0"/>
        <v>0.12742745674384981</v>
      </c>
      <c r="I3" s="121">
        <f t="shared" si="1"/>
        <v>4.0093668806207267E-13</v>
      </c>
    </row>
    <row r="4" spans="1:9" x14ac:dyDescent="0.25">
      <c r="A4" s="44" t="s">
        <v>14</v>
      </c>
      <c r="B4" s="42" t="s">
        <v>1071</v>
      </c>
      <c r="C4" s="42"/>
      <c r="D4" s="121">
        <f>IF(up_RadSpec!AX4*s_DAF=0,".",up_RadSpec!AX4*s_DAF)</f>
        <v>36.407844783957088</v>
      </c>
      <c r="E4" s="121">
        <f>IFERROR(up_res!AT4*s_DAF,".")</f>
        <v>1.1455333944630647E-10</v>
      </c>
      <c r="F4" s="121">
        <f>IFERROR((D4*0.001*(up_RadSpec!AU4+(s_θw/s_ρb))*1),".")</f>
        <v>0.19114118511577471</v>
      </c>
      <c r="G4" s="121">
        <f>IFERROR((E4*0.001*(up_RadSpec!AU4+(s_θw/s_ρb))*1),".")</f>
        <v>6.0140503209310891E-13</v>
      </c>
      <c r="H4" s="121">
        <f t="shared" si="0"/>
        <v>0.12742745674384981</v>
      </c>
      <c r="I4" s="121">
        <f t="shared" si="1"/>
        <v>4.0093668806207267E-13</v>
      </c>
    </row>
    <row r="5" spans="1:9" x14ac:dyDescent="0.25">
      <c r="A5" s="44" t="s">
        <v>15</v>
      </c>
      <c r="B5" s="42" t="s">
        <v>1071</v>
      </c>
      <c r="C5" s="249"/>
      <c r="D5" s="121">
        <f>IF(up_RadSpec!AX5*s_DAF=0,".",up_RadSpec!AX5*s_DAF)</f>
        <v>36.407844783957088</v>
      </c>
      <c r="E5" s="121">
        <f>IFERROR(up_res!AT5*s_DAF,".")</f>
        <v>1.1455320821375488E-10</v>
      </c>
      <c r="F5" s="121">
        <f>IFERROR((D5*0.001*(up_RadSpec!AU5+(s_θw/s_ρb))*1),".")</f>
        <v>0.19114118511577471</v>
      </c>
      <c r="G5" s="121">
        <f>IFERROR((E5*0.001*(up_RadSpec!AU5+(s_θw/s_ρb))*1),".")</f>
        <v>6.0140434312221316E-13</v>
      </c>
      <c r="H5" s="121">
        <f t="shared" si="0"/>
        <v>0.12742745674384981</v>
      </c>
      <c r="I5" s="121">
        <f t="shared" si="1"/>
        <v>4.0093622874814205E-13</v>
      </c>
    </row>
    <row r="6" spans="1:9" x14ac:dyDescent="0.25">
      <c r="A6" s="44" t="s">
        <v>16</v>
      </c>
      <c r="B6" s="42" t="s">
        <v>1071</v>
      </c>
      <c r="C6" s="42"/>
      <c r="D6" s="121">
        <f>IF(up_RadSpec!AX6*s_DAF=0,".",up_RadSpec!AX6*s_DAF)</f>
        <v>36.407844783957088</v>
      </c>
      <c r="E6" s="121">
        <f>IFERROR(up_res!AT6*s_DAF,".")</f>
        <v>1.1455333944630647E-10</v>
      </c>
      <c r="F6" s="121">
        <f>IFERROR((D6*0.001*(up_RadSpec!AU6+(s_θw/s_ρb))*1),".")</f>
        <v>0.19114118511577471</v>
      </c>
      <c r="G6" s="121">
        <f>IFERROR((E6*0.001*(up_RadSpec!AU6+(s_θw/s_ρb))*1),".")</f>
        <v>6.0140503209310891E-13</v>
      </c>
      <c r="H6" s="121">
        <f t="shared" si="0"/>
        <v>0.12742745674384981</v>
      </c>
      <c r="I6" s="121">
        <f t="shared" si="1"/>
        <v>4.0093668806207267E-13</v>
      </c>
    </row>
    <row r="7" spans="1:9" x14ac:dyDescent="0.25">
      <c r="A7" s="44" t="s">
        <v>17</v>
      </c>
      <c r="B7" s="42" t="s">
        <v>1071</v>
      </c>
      <c r="C7" s="249"/>
      <c r="D7" s="121">
        <f>IF(up_RadSpec!AX7*s_DAF=0,".",up_RadSpec!AX7*s_DAF)</f>
        <v>36.407844783957088</v>
      </c>
      <c r="E7" s="121">
        <f>IFERROR(up_res!AT7*s_DAF,".")</f>
        <v>1.1455333944630647E-10</v>
      </c>
      <c r="F7" s="121">
        <f>IFERROR((D7*0.001*(up_RadSpec!AU7+(s_θw/s_ρb))*1),".")</f>
        <v>0.19114118511577471</v>
      </c>
      <c r="G7" s="121">
        <f>IFERROR((E7*0.001*(up_RadSpec!AU7+(s_θw/s_ρb))*1),".")</f>
        <v>6.0140503209310891E-13</v>
      </c>
      <c r="H7" s="121">
        <f t="shared" si="0"/>
        <v>0.12742745674384981</v>
      </c>
      <c r="I7" s="121">
        <f t="shared" si="1"/>
        <v>4.0093668806207267E-13</v>
      </c>
    </row>
    <row r="8" spans="1:9" x14ac:dyDescent="0.25">
      <c r="A8" s="44" t="s">
        <v>18</v>
      </c>
      <c r="B8" s="42" t="s">
        <v>1071</v>
      </c>
      <c r="C8" s="42"/>
      <c r="D8" s="121">
        <f>IF(up_RadSpec!AX8*s_DAF=0,".",up_RadSpec!AX8*s_DAF)</f>
        <v>36.407844783957088</v>
      </c>
      <c r="E8" s="121">
        <f>IFERROR(up_res!AT8*s_DAF,".")</f>
        <v>1.1455333944630647E-10</v>
      </c>
      <c r="F8" s="121">
        <f>IFERROR((D8*0.001*(up_RadSpec!AU8+(s_θw/s_ρb))*1),".")</f>
        <v>0.19114118511577471</v>
      </c>
      <c r="G8" s="121">
        <f>IFERROR((E8*0.001*(up_RadSpec!AU8+(s_θw/s_ρb))*1),".")</f>
        <v>6.0140503209310891E-13</v>
      </c>
      <c r="H8" s="121">
        <f t="shared" si="0"/>
        <v>0.12742745674384981</v>
      </c>
      <c r="I8" s="121">
        <f t="shared" si="1"/>
        <v>4.0093668806207267E-13</v>
      </c>
    </row>
    <row r="9" spans="1:9" x14ac:dyDescent="0.25">
      <c r="A9" s="44" t="s">
        <v>19</v>
      </c>
      <c r="B9" s="42" t="s">
        <v>1071</v>
      </c>
      <c r="C9" s="249"/>
      <c r="D9" s="121">
        <f>IF(up_RadSpec!AX9*s_DAF=0,".",up_RadSpec!AX9*s_DAF)</f>
        <v>36.407844783957088</v>
      </c>
      <c r="E9" s="121">
        <f>IFERROR(up_res!AT9*s_DAF,".")</f>
        <v>1.14507369891259E-10</v>
      </c>
      <c r="F9" s="121">
        <f>IFERROR((D9*0.001*(up_RadSpec!AU9+(s_θw/s_ρb))*1),".")</f>
        <v>0.19114118511577471</v>
      </c>
      <c r="G9" s="121">
        <f>IFERROR((E9*0.001*(up_RadSpec!AU9+(s_θw/s_ρb))*1),".")</f>
        <v>6.0116369192910986E-13</v>
      </c>
      <c r="H9" s="121">
        <f t="shared" si="0"/>
        <v>0.12742745674384981</v>
      </c>
      <c r="I9" s="121">
        <f t="shared" si="1"/>
        <v>4.0077579461940649E-13</v>
      </c>
    </row>
    <row r="10" spans="1:9" x14ac:dyDescent="0.25">
      <c r="A10" s="46" t="s">
        <v>20</v>
      </c>
      <c r="B10" s="42" t="s">
        <v>349</v>
      </c>
      <c r="C10" s="42"/>
      <c r="D10" s="121">
        <f>IF(up_RadSpec!AX10*s_DAF=0,".",up_RadSpec!AX10*s_DAF)</f>
        <v>36.407844783957088</v>
      </c>
      <c r="E10" s="121">
        <f>IFERROR(up_res!AT10*s_DAF,".")</f>
        <v>1.1455333944630647E-10</v>
      </c>
      <c r="F10" s="121">
        <f>IFERROR((D10*0.001*(up_RadSpec!AU10+(s_θw/s_ρb))*1),".")</f>
        <v>0.19114118511577471</v>
      </c>
      <c r="G10" s="121">
        <f>IFERROR((E10*0.001*(up_RadSpec!AU10+(s_θw/s_ρb))*1),".")</f>
        <v>6.0140503209310891E-13</v>
      </c>
      <c r="H10" s="121">
        <f t="shared" si="0"/>
        <v>0.12742745674384981</v>
      </c>
      <c r="I10" s="121">
        <f t="shared" si="1"/>
        <v>4.0093668806207267E-13</v>
      </c>
    </row>
    <row r="11" spans="1:9" x14ac:dyDescent="0.25">
      <c r="A11" s="44" t="s">
        <v>21</v>
      </c>
      <c r="B11" s="42" t="s">
        <v>1071</v>
      </c>
      <c r="C11" s="42"/>
      <c r="D11" s="121">
        <f>IF(up_RadSpec!AX11*s_DAF=0,".",up_RadSpec!AX11*s_DAF)</f>
        <v>36.407844783957088</v>
      </c>
      <c r="E11" s="121">
        <f>IFERROR(up_res!AT11*s_DAF,".")</f>
        <v>1.1455333944630647E-10</v>
      </c>
      <c r="F11" s="121">
        <f>IFERROR((D11*0.001*(up_RadSpec!AU11+(s_θw/s_ρb))*1),".")</f>
        <v>0.19114118511577471</v>
      </c>
      <c r="G11" s="121">
        <f>IFERROR((E11*0.001*(up_RadSpec!AU11+(s_θw/s_ρb))*1),".")</f>
        <v>6.0140503209310891E-13</v>
      </c>
      <c r="H11" s="121">
        <f t="shared" si="0"/>
        <v>0.12742745674384981</v>
      </c>
      <c r="I11" s="121">
        <f t="shared" si="1"/>
        <v>4.0093668806207267E-13</v>
      </c>
    </row>
    <row r="12" spans="1:9" x14ac:dyDescent="0.25">
      <c r="A12" s="44" t="s">
        <v>22</v>
      </c>
      <c r="B12" s="42" t="s">
        <v>1071</v>
      </c>
      <c r="C12" s="249"/>
      <c r="D12" s="121">
        <f>IF(up_RadSpec!AX12*s_DAF=0,".",up_RadSpec!AX12*s_DAF)</f>
        <v>36.407844783957088</v>
      </c>
      <c r="E12" s="121">
        <f>IFERROR(up_res!AT12*s_DAF,".")</f>
        <v>1.1455333944630647E-10</v>
      </c>
      <c r="F12" s="121">
        <f>IFERROR((D12*0.001*(up_RadSpec!AU12+(s_θw/s_ρb))*1),".")</f>
        <v>0.19114118511577471</v>
      </c>
      <c r="G12" s="121">
        <f>IFERROR((E12*0.001*(up_RadSpec!AU12+(s_θw/s_ρb))*1),".")</f>
        <v>6.0140503209310891E-13</v>
      </c>
      <c r="H12" s="121">
        <f t="shared" si="0"/>
        <v>0.12742745674384981</v>
      </c>
      <c r="I12" s="121">
        <f t="shared" si="1"/>
        <v>4.0093668806207267E-13</v>
      </c>
    </row>
    <row r="13" spans="1:9" x14ac:dyDescent="0.25">
      <c r="A13" s="44" t="s">
        <v>23</v>
      </c>
      <c r="B13" s="42" t="s">
        <v>1071</v>
      </c>
      <c r="C13" s="42"/>
      <c r="D13" s="121">
        <f>IF(up_RadSpec!AX13*s_DAF=0,".",up_RadSpec!AX13*s_DAF)</f>
        <v>36.407844783957088</v>
      </c>
      <c r="E13" s="121">
        <f>IFERROR(up_res!AT13*s_DAF,".")</f>
        <v>1.1455333944630647E-10</v>
      </c>
      <c r="F13" s="121">
        <f>IFERROR((D13*0.001*(up_RadSpec!AU13+(s_θw/s_ρb))*1),".")</f>
        <v>0.19114118511577471</v>
      </c>
      <c r="G13" s="121">
        <f>IFERROR((E13*0.001*(up_RadSpec!AU13+(s_θw/s_ρb))*1),".")</f>
        <v>6.0140503209310891E-13</v>
      </c>
      <c r="H13" s="121">
        <f t="shared" si="0"/>
        <v>0.12742745674384981</v>
      </c>
      <c r="I13" s="121">
        <f t="shared" si="1"/>
        <v>4.0093668806207267E-13</v>
      </c>
    </row>
    <row r="14" spans="1:9" x14ac:dyDescent="0.25">
      <c r="A14" s="44" t="s">
        <v>24</v>
      </c>
      <c r="B14" s="42" t="s">
        <v>1071</v>
      </c>
      <c r="C14" s="42"/>
      <c r="D14" s="121">
        <f>IF(up_RadSpec!AX14*s_DAF=0,".",up_RadSpec!AX14*s_DAF)</f>
        <v>36.407844783957088</v>
      </c>
      <c r="E14" s="121">
        <f>IFERROR(up_res!AT14*s_DAF,".")</f>
        <v>1.1455333944630647E-10</v>
      </c>
      <c r="F14" s="121">
        <f>IFERROR((D14*0.001*(up_RadSpec!AU14+(s_θw/s_ρb))*1),".")</f>
        <v>0.19114118511577471</v>
      </c>
      <c r="G14" s="121">
        <f>IFERROR((E14*0.001*(up_RadSpec!AU14+(s_θw/s_ρb))*1),".")</f>
        <v>6.0140503209310891E-13</v>
      </c>
      <c r="H14" s="121">
        <f t="shared" si="0"/>
        <v>0.12742745674384981</v>
      </c>
      <c r="I14" s="121">
        <f t="shared" si="1"/>
        <v>4.0093668806207267E-13</v>
      </c>
    </row>
    <row r="15" spans="1:9" x14ac:dyDescent="0.25">
      <c r="A15" s="44" t="s">
        <v>25</v>
      </c>
      <c r="B15" s="42" t="s">
        <v>1071</v>
      </c>
      <c r="C15" s="42"/>
      <c r="D15" s="121">
        <f>IF(up_RadSpec!AX15*s_DAF=0,".",up_RadSpec!AX15*s_DAF)</f>
        <v>36.407844783957088</v>
      </c>
      <c r="E15" s="121">
        <f>IFERROR(up_res!AT15*s_DAF,".")</f>
        <v>1.1455333944630647E-10</v>
      </c>
      <c r="F15" s="121">
        <f>IFERROR((D15*0.001*(up_RadSpec!AU15+(s_θw/s_ρb))*1),".")</f>
        <v>0.19114118511577471</v>
      </c>
      <c r="G15" s="121">
        <f>IFERROR((E15*0.001*(up_RadSpec!AU15+(s_θw/s_ρb))*1),".")</f>
        <v>6.0140503209310891E-13</v>
      </c>
      <c r="H15" s="121">
        <f t="shared" si="0"/>
        <v>0.12742745674384981</v>
      </c>
      <c r="I15" s="121">
        <f t="shared" si="1"/>
        <v>4.0093668806207267E-13</v>
      </c>
    </row>
    <row r="16" spans="1:9" x14ac:dyDescent="0.25">
      <c r="A16" s="44" t="s">
        <v>26</v>
      </c>
      <c r="B16" s="42" t="s">
        <v>1071</v>
      </c>
      <c r="C16" s="249"/>
      <c r="D16" s="121">
        <f>IF(up_RadSpec!AX16*s_DAF=0,".",up_RadSpec!AX16*s_DAF)</f>
        <v>36.407844783957088</v>
      </c>
      <c r="E16" s="121">
        <f>IFERROR(up_res!AT16*s_DAF,".")</f>
        <v>1.1455333944630647E-10</v>
      </c>
      <c r="F16" s="121">
        <f>IFERROR((D16*0.001*(up_RadSpec!AU16+(s_θw/s_ρb))*1),".")</f>
        <v>0.19114118511577471</v>
      </c>
      <c r="G16" s="121">
        <f>IFERROR((E16*0.001*(up_RadSpec!AU16+(s_θw/s_ρb))*1),".")</f>
        <v>6.0140503209310891E-13</v>
      </c>
      <c r="H16" s="121">
        <f t="shared" si="0"/>
        <v>0.12742745674384981</v>
      </c>
      <c r="I16" s="121">
        <f t="shared" si="1"/>
        <v>4.0093668806207267E-13</v>
      </c>
    </row>
    <row r="17" spans="1:9" x14ac:dyDescent="0.25">
      <c r="A17" s="44" t="s">
        <v>27</v>
      </c>
      <c r="B17" s="42" t="s">
        <v>1071</v>
      </c>
      <c r="C17" s="249"/>
      <c r="D17" s="121">
        <f>IF(up_RadSpec!AX17*s_DAF=0,".",up_RadSpec!AX17*s_DAF)</f>
        <v>36.407844783957088</v>
      </c>
      <c r="E17" s="121">
        <f>IFERROR(up_res!AT17*s_DAF,".")</f>
        <v>1.1439766946950396E-10</v>
      </c>
      <c r="F17" s="121">
        <f>IFERROR((D17*0.001*(up_RadSpec!AU17+(s_θw/s_ρb))*1),".")</f>
        <v>0.19114118511577471</v>
      </c>
      <c r="G17" s="121">
        <f>IFERROR((E17*0.001*(up_RadSpec!AU17+(s_θw/s_ρb))*1),".")</f>
        <v>6.0058776471489583E-13</v>
      </c>
      <c r="H17" s="121">
        <f t="shared" si="0"/>
        <v>0.12742745674384981</v>
      </c>
      <c r="I17" s="121">
        <f t="shared" si="1"/>
        <v>4.0039184314326386E-13</v>
      </c>
    </row>
    <row r="18" spans="1:9" x14ac:dyDescent="0.25">
      <c r="A18" s="44" t="s">
        <v>28</v>
      </c>
      <c r="B18" s="42" t="s">
        <v>1071</v>
      </c>
      <c r="C18" s="249"/>
      <c r="D18" s="121">
        <f>IF(up_RadSpec!AX18*s_DAF=0,".",up_RadSpec!AX18*s_DAF)</f>
        <v>36.407844783957088</v>
      </c>
      <c r="E18" s="121">
        <f>IFERROR(up_res!AT18*s_DAF,".")</f>
        <v>1.1455333944630647E-10</v>
      </c>
      <c r="F18" s="121">
        <f>IFERROR((D18*0.001*(up_RadSpec!AU18+(s_θw/s_ρb))*1),".")</f>
        <v>0.19114118511577471</v>
      </c>
      <c r="G18" s="121">
        <f>IFERROR((E18*0.001*(up_RadSpec!AU18+(s_θw/s_ρb))*1),".")</f>
        <v>6.0140503209310891E-13</v>
      </c>
      <c r="H18" s="121">
        <f t="shared" si="0"/>
        <v>0.12742745674384981</v>
      </c>
      <c r="I18" s="121">
        <f t="shared" si="1"/>
        <v>4.0093668806207267E-13</v>
      </c>
    </row>
    <row r="19" spans="1:9" x14ac:dyDescent="0.25">
      <c r="A19" s="44" t="s">
        <v>29</v>
      </c>
      <c r="B19" s="42" t="s">
        <v>1071</v>
      </c>
      <c r="C19" s="42"/>
      <c r="D19" s="121">
        <f>IF(up_RadSpec!AX19*s_DAF=0,".",up_RadSpec!AX19*s_DAF)</f>
        <v>36.407844783957088</v>
      </c>
      <c r="E19" s="121">
        <f>IFERROR(up_res!AT19*s_DAF,".")</f>
        <v>1.1455333944630647E-10</v>
      </c>
      <c r="F19" s="121">
        <f>IFERROR((D19*0.001*(up_RadSpec!AU19+(s_θw/s_ρb))*1),".")</f>
        <v>0.19114118511577471</v>
      </c>
      <c r="G19" s="121">
        <f>IFERROR((E19*0.001*(up_RadSpec!AU19+(s_θw/s_ρb))*1),".")</f>
        <v>6.0140503209310891E-13</v>
      </c>
      <c r="H19" s="121">
        <f t="shared" si="0"/>
        <v>0.12742745674384981</v>
      </c>
      <c r="I19" s="121">
        <f t="shared" si="1"/>
        <v>4.0093668806207267E-13</v>
      </c>
    </row>
    <row r="20" spans="1:9" x14ac:dyDescent="0.25">
      <c r="A20" s="44" t="s">
        <v>30</v>
      </c>
      <c r="B20" s="42" t="s">
        <v>1071</v>
      </c>
      <c r="C20" s="249"/>
      <c r="D20" s="121">
        <f>IF(up_RadSpec!AX20*s_DAF=0,".",up_RadSpec!AX20*s_DAF)</f>
        <v>36.407844783957088</v>
      </c>
      <c r="E20" s="121">
        <f>IFERROR(up_res!AT20*s_DAF,".")</f>
        <v>1.1450736977481124E-10</v>
      </c>
      <c r="F20" s="121">
        <f>IFERROR((D20*0.001*(up_RadSpec!AU20+(s_θw/s_ρb))*1),".")</f>
        <v>0.19114118511577471</v>
      </c>
      <c r="G20" s="121">
        <f>IFERROR((E20*0.001*(up_RadSpec!AU20+(s_θw/s_ρb))*1),".")</f>
        <v>6.0116369131775906E-13</v>
      </c>
      <c r="H20" s="121">
        <f t="shared" si="0"/>
        <v>0.12742745674384981</v>
      </c>
      <c r="I20" s="121">
        <f t="shared" si="1"/>
        <v>4.0077579421183929E-13</v>
      </c>
    </row>
    <row r="21" spans="1:9" x14ac:dyDescent="0.25">
      <c r="A21" s="44" t="s">
        <v>31</v>
      </c>
      <c r="B21" s="42" t="s">
        <v>1071</v>
      </c>
      <c r="C21" s="249"/>
      <c r="D21" s="121">
        <f>IF(up_RadSpec!AX21*s_DAF=0,".",up_RadSpec!AX21*s_DAF)</f>
        <v>36.407844783957088</v>
      </c>
      <c r="E21" s="121">
        <f>IFERROR(up_res!AT21*s_DAF,".")</f>
        <v>1.1389896304396512E-10</v>
      </c>
      <c r="F21" s="121">
        <f>IFERROR((D21*0.001*(up_RadSpec!AU21+(s_θw/s_ρb))*1),".")</f>
        <v>0.19114118511577471</v>
      </c>
      <c r="G21" s="121">
        <f>IFERROR((E21*0.001*(up_RadSpec!AU21+(s_θw/s_ρb))*1),".")</f>
        <v>5.979695559808168E-13</v>
      </c>
      <c r="H21" s="121">
        <f t="shared" si="0"/>
        <v>0.12742745674384981</v>
      </c>
      <c r="I21" s="121">
        <f t="shared" si="1"/>
        <v>3.986463706538779E-13</v>
      </c>
    </row>
    <row r="22" spans="1:9" x14ac:dyDescent="0.25">
      <c r="A22" s="44" t="s">
        <v>32</v>
      </c>
      <c r="B22" s="42" t="s">
        <v>1071</v>
      </c>
      <c r="C22" s="42"/>
      <c r="D22" s="121">
        <f>IF(up_RadSpec!AX22*s_DAF=0,".",up_RadSpec!AX22*s_DAF)</f>
        <v>36.407844783957088</v>
      </c>
      <c r="E22" s="121">
        <f>IFERROR(up_res!AT22*s_DAF,".")</f>
        <v>1.1455333944630647E-10</v>
      </c>
      <c r="F22" s="121">
        <f>IFERROR((D22*0.001*(up_RadSpec!AU22+(s_θw/s_ρb))*1),".")</f>
        <v>0.19114118511577471</v>
      </c>
      <c r="G22" s="121">
        <f>IFERROR((E22*0.001*(up_RadSpec!AU22+(s_θw/s_ρb))*1),".")</f>
        <v>6.0140503209310891E-13</v>
      </c>
      <c r="H22" s="121">
        <f t="shared" si="0"/>
        <v>0.12742745674384981</v>
      </c>
      <c r="I22" s="121">
        <f t="shared" si="1"/>
        <v>4.0093668806207267E-13</v>
      </c>
    </row>
    <row r="23" spans="1:9" x14ac:dyDescent="0.25">
      <c r="A23" s="46" t="s">
        <v>33</v>
      </c>
      <c r="B23" s="42" t="s">
        <v>349</v>
      </c>
      <c r="C23" s="249"/>
      <c r="D23" s="121">
        <f>IF(up_RadSpec!AX23*s_DAF=0,".",up_RadSpec!AX23*s_DAF)</f>
        <v>36.407844783957088</v>
      </c>
      <c r="E23" s="121">
        <f>IFERROR(up_res!AT23*s_DAF,".")</f>
        <v>1.1455333944630647E-10</v>
      </c>
      <c r="F23" s="121">
        <f>IFERROR((D23*0.001*(up_RadSpec!AU23+(s_θw/s_ρb))*1),".")</f>
        <v>0.19114118511577471</v>
      </c>
      <c r="G23" s="121">
        <f>IFERROR((E23*0.001*(up_RadSpec!AU23+(s_θw/s_ρb))*1),".")</f>
        <v>6.0140503209310891E-13</v>
      </c>
      <c r="H23" s="121">
        <f t="shared" si="0"/>
        <v>0.12742745674384981</v>
      </c>
      <c r="I23" s="121">
        <f t="shared" si="1"/>
        <v>4.0093668806207267E-13</v>
      </c>
    </row>
    <row r="24" spans="1:9" x14ac:dyDescent="0.25">
      <c r="A24" s="44" t="s">
        <v>34</v>
      </c>
      <c r="B24" s="42" t="s">
        <v>1071</v>
      </c>
      <c r="C24" s="249"/>
      <c r="D24" s="121">
        <f>IF(up_RadSpec!AX24*s_DAF=0,".",up_RadSpec!AX24*s_DAF)</f>
        <v>36.407844783957088</v>
      </c>
      <c r="E24" s="121">
        <f>IFERROR(up_res!AT24*s_DAF,".")</f>
        <v>1.145533393150828E-10</v>
      </c>
      <c r="F24" s="121">
        <f>IFERROR((D24*0.001*(up_RadSpec!AU24+(s_θw/s_ρb))*1),".")</f>
        <v>0.19114118511577471</v>
      </c>
      <c r="G24" s="121">
        <f>IFERROR((E24*0.001*(up_RadSpec!AU24+(s_θw/s_ρb))*1),".")</f>
        <v>6.0140503140418469E-13</v>
      </c>
      <c r="H24" s="121">
        <f t="shared" si="0"/>
        <v>0.12742745674384981</v>
      </c>
      <c r="I24" s="121">
        <f t="shared" si="1"/>
        <v>4.0093668760278983E-13</v>
      </c>
    </row>
    <row r="25" spans="1:9" x14ac:dyDescent="0.25">
      <c r="A25" s="46" t="s">
        <v>35</v>
      </c>
      <c r="B25" s="42" t="s">
        <v>349</v>
      </c>
      <c r="C25" s="249"/>
      <c r="D25" s="121">
        <f>IF(up_RadSpec!AX25*s_DAF=0,".",up_RadSpec!AX25*s_DAF)</f>
        <v>36.407844783957088</v>
      </c>
      <c r="E25" s="121">
        <f>IFERROR(up_res!AT25*s_DAF,".")</f>
        <v>1.1365698776210008E-10</v>
      </c>
      <c r="F25" s="121">
        <f>IFERROR((D25*0.001*(up_RadSpec!AU25+(s_θw/s_ρb))*1),".")</f>
        <v>0.19114118511577471</v>
      </c>
      <c r="G25" s="121">
        <f>IFERROR((E25*0.001*(up_RadSpec!AU25+(s_θw/s_ρb))*1),".")</f>
        <v>5.9669918575102546E-13</v>
      </c>
      <c r="H25" s="121">
        <f t="shared" si="0"/>
        <v>0.12742745674384981</v>
      </c>
      <c r="I25" s="121">
        <f t="shared" si="1"/>
        <v>3.9779945716735029E-13</v>
      </c>
    </row>
    <row r="26" spans="1:9" x14ac:dyDescent="0.25">
      <c r="A26" s="44" t="s">
        <v>36</v>
      </c>
      <c r="B26" s="42" t="s">
        <v>1071</v>
      </c>
      <c r="C26" s="42"/>
      <c r="D26" s="121">
        <f>IF(up_RadSpec!AX26*s_DAF=0,".",up_RadSpec!AX26*s_DAF)</f>
        <v>36.407844783957088</v>
      </c>
      <c r="E26" s="121">
        <f>IFERROR(up_res!AT26*s_DAF,".")</f>
        <v>1.1455333944630647E-10</v>
      </c>
      <c r="F26" s="121">
        <f>IFERROR((D26*0.001*(up_RadSpec!AU26+(s_θw/s_ρb))*1),".")</f>
        <v>0.19114118511577471</v>
      </c>
      <c r="G26" s="121">
        <f>IFERROR((E26*0.001*(up_RadSpec!AU26+(s_θw/s_ρb))*1),".")</f>
        <v>6.0140503209310891E-13</v>
      </c>
      <c r="H26" s="121">
        <f t="shared" si="0"/>
        <v>0.12742745674384981</v>
      </c>
      <c r="I26" s="121">
        <f t="shared" si="1"/>
        <v>4.0093668806207267E-13</v>
      </c>
    </row>
    <row r="27" spans="1:9" x14ac:dyDescent="0.25">
      <c r="A27" s="44" t="s">
        <v>37</v>
      </c>
      <c r="B27" s="42" t="s">
        <v>1071</v>
      </c>
      <c r="C27" s="249"/>
      <c r="D27" s="121">
        <f>IF(up_RadSpec!AX27*s_DAF=0,".",up_RadSpec!AX27*s_DAF)</f>
        <v>36.407844783957088</v>
      </c>
      <c r="E27" s="121">
        <f>IFERROR(up_res!AT27*s_DAF,".")</f>
        <v>1.1455333944630647E-10</v>
      </c>
      <c r="F27" s="121">
        <f>IFERROR((D27*0.001*(up_RadSpec!AU27+(s_θw/s_ρb))*1),".")</f>
        <v>0.19114118511577471</v>
      </c>
      <c r="G27" s="121">
        <f>IFERROR((E27*0.001*(up_RadSpec!AU27+(s_θw/s_ρb))*1),".")</f>
        <v>6.0140503209310891E-13</v>
      </c>
      <c r="H27" s="121">
        <f t="shared" si="0"/>
        <v>0.12742745674384981</v>
      </c>
      <c r="I27" s="121">
        <f t="shared" si="1"/>
        <v>4.0093668806207267E-13</v>
      </c>
    </row>
    <row r="28" spans="1:9" x14ac:dyDescent="0.25">
      <c r="A28" s="44" t="s">
        <v>38</v>
      </c>
      <c r="B28" s="42" t="s">
        <v>1071</v>
      </c>
      <c r="C28" s="42"/>
      <c r="D28" s="121">
        <f>IF(up_RadSpec!AX28*s_DAF=0,".",up_RadSpec!AX28*s_DAF)</f>
        <v>36.407844783957088</v>
      </c>
      <c r="E28" s="121">
        <f>IFERROR(up_res!AT28*s_DAF,".")</f>
        <v>1.1455333944630647E-10</v>
      </c>
      <c r="F28" s="121">
        <f>IFERROR((D28*0.001*(up_RadSpec!AU28+(s_θw/s_ρb))*1),".")</f>
        <v>0.19114118511577471</v>
      </c>
      <c r="G28" s="121">
        <f>IFERROR((E28*0.001*(up_RadSpec!AU28+(s_θw/s_ρb))*1),".")</f>
        <v>6.0140503209310891E-13</v>
      </c>
      <c r="H28" s="121">
        <f t="shared" si="0"/>
        <v>0.12742745674384981</v>
      </c>
      <c r="I28" s="121">
        <f t="shared" si="1"/>
        <v>4.0093668806207267E-13</v>
      </c>
    </row>
    <row r="29" spans="1:9" x14ac:dyDescent="0.25">
      <c r="A29" s="44" t="s">
        <v>39</v>
      </c>
      <c r="B29" s="42" t="s">
        <v>1071</v>
      </c>
      <c r="C29" s="249"/>
      <c r="D29" s="121">
        <f>IF(up_RadSpec!AX29*s_DAF=0,".",up_RadSpec!AX29*s_DAF)</f>
        <v>36.407844783957088</v>
      </c>
      <c r="E29" s="121">
        <f>IFERROR(up_res!AT29*s_DAF,".")</f>
        <v>1.1455333109419148E-10</v>
      </c>
      <c r="F29" s="121">
        <f>IFERROR((D29*0.001*(up_RadSpec!AU29+(s_θw/s_ρb))*1),".")</f>
        <v>0.19114118511577471</v>
      </c>
      <c r="G29" s="121">
        <f>IFERROR((E29*0.001*(up_RadSpec!AU29+(s_θw/s_ρb))*1),".")</f>
        <v>6.0140498824450536E-13</v>
      </c>
      <c r="H29" s="121">
        <f t="shared" si="0"/>
        <v>0.12742745674384981</v>
      </c>
      <c r="I29" s="121">
        <f t="shared" si="1"/>
        <v>4.0093665882967022E-13</v>
      </c>
    </row>
    <row r="30" spans="1:9" x14ac:dyDescent="0.25">
      <c r="A30" s="44" t="s">
        <v>40</v>
      </c>
      <c r="B30" s="42" t="s">
        <v>1071</v>
      </c>
      <c r="C30" s="42"/>
      <c r="D30" s="121">
        <f>IF(up_RadSpec!AX30*s_DAF=0,".",up_RadSpec!AX30*s_DAF)</f>
        <v>36.407844783957088</v>
      </c>
      <c r="E30" s="121">
        <f>IFERROR(up_res!AT30*s_DAF,".")</f>
        <v>1.1455333944630647E-10</v>
      </c>
      <c r="F30" s="121">
        <f>IFERROR((D30*0.001*(up_RadSpec!AU30+(s_θw/s_ρb))*1),".")</f>
        <v>0.19114118511577471</v>
      </c>
      <c r="G30" s="121">
        <f>IFERROR((E30*0.001*(up_RadSpec!AU30+(s_θw/s_ρb))*1),".")</f>
        <v>6.0140503209310891E-13</v>
      </c>
      <c r="H30" s="121">
        <f t="shared" si="0"/>
        <v>0.12742745674384981</v>
      </c>
      <c r="I30" s="121">
        <f t="shared" si="1"/>
        <v>4.0093668806207267E-13</v>
      </c>
    </row>
    <row r="31" spans="1:9" x14ac:dyDescent="0.25">
      <c r="A31" s="82" t="s">
        <v>13</v>
      </c>
      <c r="B31" s="82" t="s">
        <v>1071</v>
      </c>
      <c r="C31" s="57"/>
      <c r="D31" s="58">
        <f>1/SUM(1/D32,1/D33,1/D34,1/D35,1/D36,1/D38,1/D39,1/D40,1/D41,1/D42)</f>
        <v>3.6484964849219148</v>
      </c>
      <c r="E31" s="58">
        <f>1/SUM(1/E32,1/E33,1/E34,1/E35,1/E36,1/E37,1/E38,1/E39,1/E40,1/E41,1/E42,1/E43,1/E44)</f>
        <v>9.5463980124659126E-12</v>
      </c>
      <c r="F31" s="58">
        <f>1/SUM(1/F32,1/F33,1/F34,1/F35,1/F36,1/F38,1/F39,1/F40,1/F41,1/F42)</f>
        <v>1.9154606545840055E-2</v>
      </c>
      <c r="G31" s="58">
        <f>1/SUM(1/G32,1/G33,1/G34,1/G35,1/G36,1/G37,1/G38,1/G39,1/G40,1/G41,1/G42,1/G43,1/G44)</f>
        <v>5.0118589565446043E-14</v>
      </c>
      <c r="H31" s="58">
        <f>1/SUM(1/H32,1/H33,1/H34,1/H35,1/H36,1/H37,1/H38,1/H39,1/H40,1/H41,1/H42,1/H43,1/H44)</f>
        <v>1.0619273306853355E-2</v>
      </c>
      <c r="I31" s="58">
        <f>1/SUM(1/I32,1/I33,1/I34,1/I35,1/I36,1/I37,1/I38,1/I39,1/I40,1/I41,1/I42,1/I43,1/I44)</f>
        <v>3.3412393043630702E-14</v>
      </c>
    </row>
    <row r="32" spans="1:9" x14ac:dyDescent="0.25">
      <c r="A32" s="83" t="s">
        <v>1099</v>
      </c>
      <c r="B32" s="42">
        <v>1</v>
      </c>
      <c r="C32" s="42"/>
      <c r="D32" s="60">
        <f>IFERROR(D3/$B32,0)</f>
        <v>36.407844783957088</v>
      </c>
      <c r="E32" s="60">
        <f>IFERROR(E3/$B32,0)</f>
        <v>1.1455333944630647E-10</v>
      </c>
      <c r="F32" s="60">
        <f t="shared" ref="F32:I32" si="2">IFERROR(F3/$B32,0)</f>
        <v>0.19114118511577471</v>
      </c>
      <c r="G32" s="60">
        <f t="shared" si="2"/>
        <v>6.0140503209310891E-13</v>
      </c>
      <c r="H32" s="60">
        <f t="shared" si="2"/>
        <v>0.12742745674384981</v>
      </c>
      <c r="I32" s="60">
        <f t="shared" si="2"/>
        <v>4.0093668806207267E-13</v>
      </c>
    </row>
    <row r="33" spans="1:9" x14ac:dyDescent="0.25">
      <c r="A33" s="83" t="s">
        <v>1075</v>
      </c>
      <c r="B33" s="42">
        <v>1</v>
      </c>
      <c r="C33" s="42"/>
      <c r="D33" s="60">
        <f>IFERROR(D13/$B33,0)</f>
        <v>36.407844783957088</v>
      </c>
      <c r="E33" s="60">
        <f>IFERROR(E13/$B33,0)</f>
        <v>1.1455333944630647E-10</v>
      </c>
      <c r="F33" s="60">
        <f t="shared" ref="F33:I33" si="3">IFERROR(F13/$B33,0)</f>
        <v>0.19114118511577471</v>
      </c>
      <c r="G33" s="60">
        <f t="shared" si="3"/>
        <v>6.0140503209310891E-13</v>
      </c>
      <c r="H33" s="60">
        <f t="shared" si="3"/>
        <v>0.12742745674384981</v>
      </c>
      <c r="I33" s="60">
        <f t="shared" si="3"/>
        <v>4.0093668806207267E-13</v>
      </c>
    </row>
    <row r="34" spans="1:9" x14ac:dyDescent="0.25">
      <c r="A34" s="83" t="s">
        <v>1076</v>
      </c>
      <c r="B34" s="42">
        <v>1</v>
      </c>
      <c r="C34" s="42"/>
      <c r="D34" s="60">
        <f>IFERROR(D14/$B34,0)</f>
        <v>36.407844783957088</v>
      </c>
      <c r="E34" s="60">
        <f>IFERROR(E14/$B34,0)</f>
        <v>1.1455333944630647E-10</v>
      </c>
      <c r="F34" s="60">
        <f t="shared" ref="F34:I34" si="4">IFERROR(F14/$B34,0)</f>
        <v>0.19114118511577471</v>
      </c>
      <c r="G34" s="60">
        <f t="shared" si="4"/>
        <v>6.0140503209310891E-13</v>
      </c>
      <c r="H34" s="60">
        <f t="shared" si="4"/>
        <v>0.12742745674384981</v>
      </c>
      <c r="I34" s="60">
        <f t="shared" si="4"/>
        <v>4.0093668806207267E-13</v>
      </c>
    </row>
    <row r="35" spans="1:9" x14ac:dyDescent="0.25">
      <c r="A35" s="83" t="s">
        <v>1077</v>
      </c>
      <c r="B35" s="42">
        <v>1</v>
      </c>
      <c r="C35" s="42"/>
      <c r="D35" s="60">
        <f>IFERROR(D30/$B35,0)</f>
        <v>36.407844783957088</v>
      </c>
      <c r="E35" s="60">
        <f>IFERROR(E30/$B35,0)</f>
        <v>1.1455333944630647E-10</v>
      </c>
      <c r="F35" s="60">
        <f t="shared" ref="F35:I35" si="5">IFERROR(F30/$B35,0)</f>
        <v>0.19114118511577471</v>
      </c>
      <c r="G35" s="60">
        <f t="shared" si="5"/>
        <v>6.0140503209310891E-13</v>
      </c>
      <c r="H35" s="60">
        <f t="shared" si="5"/>
        <v>0.12742745674384981</v>
      </c>
      <c r="I35" s="60">
        <f t="shared" si="5"/>
        <v>4.0093668806207267E-13</v>
      </c>
    </row>
    <row r="36" spans="1:9" x14ac:dyDescent="0.25">
      <c r="A36" s="83" t="s">
        <v>1078</v>
      </c>
      <c r="B36" s="42">
        <v>1</v>
      </c>
      <c r="C36" s="42"/>
      <c r="D36" s="60">
        <f>IFERROR(D26/$B36,0)</f>
        <v>36.407844783957088</v>
      </c>
      <c r="E36" s="60">
        <f>IFERROR(E26/$B36,0)</f>
        <v>1.1455333944630647E-10</v>
      </c>
      <c r="F36" s="60">
        <f t="shared" ref="F36:I36" si="6">IFERROR(F26/$B36,0)</f>
        <v>0.19114118511577471</v>
      </c>
      <c r="G36" s="60">
        <f t="shared" si="6"/>
        <v>6.0140503209310891E-13</v>
      </c>
      <c r="H36" s="60">
        <f t="shared" si="6"/>
        <v>0.12742745674384981</v>
      </c>
      <c r="I36" s="60">
        <f t="shared" si="6"/>
        <v>4.0093668806207267E-13</v>
      </c>
    </row>
    <row r="37" spans="1:9" x14ac:dyDescent="0.25">
      <c r="A37" s="83" t="s">
        <v>1079</v>
      </c>
      <c r="B37" s="42">
        <v>1</v>
      </c>
      <c r="C37" s="42"/>
      <c r="D37" s="60">
        <f>IFERROR(D22/$B37,0)</f>
        <v>36.407844783957088</v>
      </c>
      <c r="E37" s="60">
        <f>IFERROR(E22/$B37,0)</f>
        <v>1.1455333944630647E-10</v>
      </c>
      <c r="F37" s="60">
        <f t="shared" ref="F37:I37" si="7">IFERROR(F22/$B37,0)</f>
        <v>0.19114118511577471</v>
      </c>
      <c r="G37" s="60">
        <f t="shared" si="7"/>
        <v>6.0140503209310891E-13</v>
      </c>
      <c r="H37" s="60">
        <f t="shared" si="7"/>
        <v>0.12742745674384981</v>
      </c>
      <c r="I37" s="60">
        <f t="shared" si="7"/>
        <v>4.0093668806207267E-13</v>
      </c>
    </row>
    <row r="38" spans="1:9" x14ac:dyDescent="0.25">
      <c r="A38" s="83" t="s">
        <v>1080</v>
      </c>
      <c r="B38" s="42">
        <v>1</v>
      </c>
      <c r="C38" s="42"/>
      <c r="D38" s="60">
        <f>IFERROR(D2/$B38,0)</f>
        <v>36.407844783957088</v>
      </c>
      <c r="E38" s="60">
        <f>IFERROR(E2/$B38,0)</f>
        <v>1.1455333944630647E-10</v>
      </c>
      <c r="F38" s="60">
        <f t="shared" ref="F38:I38" si="8">IFERROR(F2/$B38,0)</f>
        <v>0.19114118511577471</v>
      </c>
      <c r="G38" s="60">
        <f t="shared" si="8"/>
        <v>6.0140503209310891E-13</v>
      </c>
      <c r="H38" s="60">
        <f t="shared" si="8"/>
        <v>0.12742745674384981</v>
      </c>
      <c r="I38" s="60">
        <f t="shared" si="8"/>
        <v>4.0093668806207267E-13</v>
      </c>
    </row>
    <row r="39" spans="1:9" x14ac:dyDescent="0.25">
      <c r="A39" s="83" t="s">
        <v>1081</v>
      </c>
      <c r="B39" s="42">
        <v>1</v>
      </c>
      <c r="C39" s="42"/>
      <c r="D39" s="60">
        <f>IFERROR(D11/$B39,0)</f>
        <v>36.407844783957088</v>
      </c>
      <c r="E39" s="60">
        <f>IFERROR(E11/$B39,0)</f>
        <v>1.1455333944630647E-10</v>
      </c>
      <c r="F39" s="60">
        <f t="shared" ref="F39:I39" si="9">IFERROR(F11/$B39,0)</f>
        <v>0.19114118511577471</v>
      </c>
      <c r="G39" s="60">
        <f t="shared" si="9"/>
        <v>6.0140503209310891E-13</v>
      </c>
      <c r="H39" s="60">
        <f t="shared" si="9"/>
        <v>0.12742745674384981</v>
      </c>
      <c r="I39" s="60">
        <f t="shared" si="9"/>
        <v>4.0093668806207267E-13</v>
      </c>
    </row>
    <row r="40" spans="1:9" x14ac:dyDescent="0.25">
      <c r="A40" s="83" t="s">
        <v>1082</v>
      </c>
      <c r="B40" s="42">
        <v>1</v>
      </c>
      <c r="C40" s="42"/>
      <c r="D40" s="60">
        <f>IFERROR(D4/$B40,0)</f>
        <v>36.407844783957088</v>
      </c>
      <c r="E40" s="60">
        <f>IFERROR(E4/$B40,0)</f>
        <v>1.1455333944630647E-10</v>
      </c>
      <c r="F40" s="60">
        <f t="shared" ref="F40:I40" si="10">IFERROR(F4/$B40,0)</f>
        <v>0.19114118511577471</v>
      </c>
      <c r="G40" s="60">
        <f t="shared" si="10"/>
        <v>6.0140503209310891E-13</v>
      </c>
      <c r="H40" s="60">
        <f t="shared" si="10"/>
        <v>0.12742745674384981</v>
      </c>
      <c r="I40" s="60">
        <f t="shared" si="10"/>
        <v>4.0093668806207267E-13</v>
      </c>
    </row>
    <row r="41" spans="1:9" x14ac:dyDescent="0.25">
      <c r="A41" s="83" t="s">
        <v>1083</v>
      </c>
      <c r="B41" s="84">
        <v>0.99987999999999999</v>
      </c>
      <c r="C41" s="84"/>
      <c r="D41" s="60">
        <f>IFERROR(D8/$B41,0)</f>
        <v>36.412214249667052</v>
      </c>
      <c r="E41" s="60">
        <f>IFERROR(E8/$B41,0)</f>
        <v>1.1456708749680609E-10</v>
      </c>
      <c r="F41" s="60">
        <f t="shared" ref="F41:I41" si="11">IFERROR(F8/$B41,0)</f>
        <v>0.19116412481075201</v>
      </c>
      <c r="G41" s="60">
        <f t="shared" si="11"/>
        <v>6.014772093582319E-13</v>
      </c>
      <c r="H41" s="60">
        <f t="shared" si="11"/>
        <v>0.12744274987383467</v>
      </c>
      <c r="I41" s="60">
        <f t="shared" si="11"/>
        <v>4.0098480623882132E-13</v>
      </c>
    </row>
    <row r="42" spans="1:9" x14ac:dyDescent="0.25">
      <c r="A42" s="83" t="s">
        <v>1084</v>
      </c>
      <c r="B42" s="42">
        <v>0.97898250799999997</v>
      </c>
      <c r="C42" s="42"/>
      <c r="D42" s="60">
        <f>IFERROR(D19/$B42,0)</f>
        <v>37.189474261737359</v>
      </c>
      <c r="E42" s="60">
        <f>IFERROR(E19/$B42,0)</f>
        <v>1.1701265192197536E-10</v>
      </c>
      <c r="F42" s="60">
        <f t="shared" ref="F42:I42" si="12">IFERROR(F19/$B42,0)</f>
        <v>0.19524473987412114</v>
      </c>
      <c r="G42" s="60">
        <f t="shared" si="12"/>
        <v>6.1431642259037068E-13</v>
      </c>
      <c r="H42" s="60">
        <f t="shared" si="12"/>
        <v>0.13016315991608077</v>
      </c>
      <c r="I42" s="60">
        <f t="shared" si="12"/>
        <v>4.0954428172691384E-13</v>
      </c>
    </row>
    <row r="43" spans="1:9" x14ac:dyDescent="0.25">
      <c r="A43" s="83" t="s">
        <v>1085</v>
      </c>
      <c r="B43" s="42">
        <v>2.0897492E-2</v>
      </c>
      <c r="C43" s="42"/>
      <c r="D43" s="60">
        <f>IFERROR(D28/$B43,0)</f>
        <v>1742.2112081180405</v>
      </c>
      <c r="E43" s="60">
        <f>IFERROR(E28/$B43,0)</f>
        <v>5.4816788275983775E-9</v>
      </c>
      <c r="F43" s="60">
        <f t="shared" ref="F43:I43" si="13">IFERROR(F28/$B43,0)</f>
        <v>9.1466088426197132</v>
      </c>
      <c r="G43" s="60">
        <f t="shared" si="13"/>
        <v>2.877881384489148E-11</v>
      </c>
      <c r="H43" s="60">
        <f t="shared" si="13"/>
        <v>6.0977392284131424</v>
      </c>
      <c r="I43" s="60">
        <f t="shared" si="13"/>
        <v>1.9185875896594321E-11</v>
      </c>
    </row>
    <row r="44" spans="1:9" x14ac:dyDescent="0.25">
      <c r="A44" s="83" t="s">
        <v>1086</v>
      </c>
      <c r="B44" s="42">
        <v>0.99987999999999999</v>
      </c>
      <c r="C44" s="42"/>
      <c r="D44" s="60">
        <f>IFERROR(D15/$B44,0)</f>
        <v>36.412214249667052</v>
      </c>
      <c r="E44" s="60">
        <f>IFERROR(E15/$B44,0)</f>
        <v>1.1456708749680609E-10</v>
      </c>
      <c r="F44" s="60">
        <f t="shared" ref="F44:I44" si="14">IFERROR(F15/$B44,0)</f>
        <v>0.19116412481075201</v>
      </c>
      <c r="G44" s="60">
        <f t="shared" si="14"/>
        <v>6.014772093582319E-13</v>
      </c>
      <c r="H44" s="60">
        <f t="shared" si="14"/>
        <v>0.12744274987383467</v>
      </c>
      <c r="I44" s="60">
        <f t="shared" si="14"/>
        <v>4.0098480623882132E-13</v>
      </c>
    </row>
    <row r="45" spans="1:9" x14ac:dyDescent="0.25">
      <c r="A45" s="82" t="s">
        <v>20</v>
      </c>
      <c r="B45" s="82" t="s">
        <v>1071</v>
      </c>
      <c r="C45" s="57"/>
      <c r="D45" s="58">
        <f t="shared" ref="D45:H45" si="15">IFERROR(IF(AND(D46&lt;&gt;0,D47&lt;&gt;0),1/SUM(1/D46,1/D47),IF(AND(D46&lt;&gt;0,D47=0),1/(1/D46),IF(AND(D46=0,D47&lt;&gt;0),1/(1/D47),IF(AND(D46=0,D47=0),".")))),".")</f>
        <v>18.728411557650546</v>
      </c>
      <c r="E45" s="58">
        <f t="shared" si="15"/>
        <v>5.8926918063522173E-11</v>
      </c>
      <c r="F45" s="122">
        <f t="shared" si="15"/>
        <v>9.8324160677665376E-2</v>
      </c>
      <c r="G45" s="122">
        <f>IFERROR(IF(AND(G46&lt;&gt;0,G47&lt;&gt;0),1/SUM(1/G46,1/G47),IF(AND(G46&lt;&gt;0,G47=0),1/(1/G46),IF(AND(G46=0,G47&lt;&gt;0),1/(1/G47),IF(AND(G46=0,G47=0),".")))),".")</f>
        <v>3.0936631983349141E-13</v>
      </c>
      <c r="H45" s="122">
        <f t="shared" si="15"/>
        <v>6.5549440451776908E-2</v>
      </c>
      <c r="I45" s="122">
        <f>IFERROR(IF(AND(I46&lt;&gt;0,I47&lt;&gt;0),1/SUM(1/I46,1/I47),IF(AND(I46&lt;&gt;0,I47=0),1/(1/I46),IF(AND(I46=0,I47&lt;&gt;0),1/(1/I47),IF(AND(I46=0,I47=0),".")))),".")</f>
        <v>2.0624421322232759E-13</v>
      </c>
    </row>
    <row r="46" spans="1:9" x14ac:dyDescent="0.25">
      <c r="A46" s="83" t="s">
        <v>1098</v>
      </c>
      <c r="B46" s="42">
        <v>1</v>
      </c>
      <c r="C46" s="42"/>
      <c r="D46" s="60">
        <f>IFERROR(D10/$B46,0)</f>
        <v>36.407844783957088</v>
      </c>
      <c r="E46" s="60">
        <f>IFERROR(E10/$B46,0)</f>
        <v>1.1455333944630647E-10</v>
      </c>
      <c r="F46" s="60">
        <f t="shared" ref="F46:I46" si="16">IFERROR(F10/$B46,0)</f>
        <v>0.19114118511577471</v>
      </c>
      <c r="G46" s="60">
        <f t="shared" si="16"/>
        <v>6.0140503209310891E-13</v>
      </c>
      <c r="H46" s="60">
        <f t="shared" si="16"/>
        <v>0.12742745674384981</v>
      </c>
      <c r="I46" s="60">
        <f t="shared" si="16"/>
        <v>4.0093668806207267E-13</v>
      </c>
    </row>
    <row r="47" spans="1:9" x14ac:dyDescent="0.25">
      <c r="A47" s="83" t="s">
        <v>1072</v>
      </c>
      <c r="B47" s="85">
        <v>0.94399</v>
      </c>
      <c r="C47" s="85"/>
      <c r="D47" s="60">
        <f>IFERROR(D6/$B$47,0)</f>
        <v>38.568040746148888</v>
      </c>
      <c r="E47" s="60">
        <f>IFERROR(E6/$B$47,0)</f>
        <v>1.2135016202110877E-10</v>
      </c>
      <c r="F47" s="60">
        <f t="shared" ref="F47:I47" si="17">IFERROR(F6/$B$47,0)</f>
        <v>0.20248221391728166</v>
      </c>
      <c r="G47" s="60">
        <f t="shared" si="17"/>
        <v>6.37088350610821E-13</v>
      </c>
      <c r="H47" s="60">
        <f t="shared" si="17"/>
        <v>0.13498814261152112</v>
      </c>
      <c r="I47" s="60">
        <f t="shared" si="17"/>
        <v>4.2472556707388072E-13</v>
      </c>
    </row>
    <row r="48" spans="1:9" x14ac:dyDescent="0.25">
      <c r="A48" s="82" t="s">
        <v>33</v>
      </c>
      <c r="B48" s="82" t="s">
        <v>1071</v>
      </c>
      <c r="C48" s="250"/>
      <c r="D48" s="58">
        <f>1/SUM(1/D49,1/D51,1/D53,1/D54,1/D56,1/D59,1/D61)</f>
        <v>6.0679844461905974</v>
      </c>
      <c r="E48" s="58">
        <f>1/SUM(1/E49,1/E50,1/E51,1/E52,1/E53,1/E54,1/E55,1/E56,1/E57,1/E58,1/E59,1/E60,1/E61,1/E62)</f>
        <v>1.2705848099803661E-11</v>
      </c>
      <c r="F48" s="58">
        <f>1/SUM(1/F49,1/F51,1/F53,1/F54,1/F56,1/F59,1/F61)</f>
        <v>3.185691834250063E-2</v>
      </c>
      <c r="G48" s="58">
        <f>1/SUM(1/G49,1/G50,1/G51,1/G52,1/G53,1/G54,1/G55,1/G56,1/G57,1/G58,1/G59,1/G60,1/G61,1/G62)</f>
        <v>6.6705702523969243E-14</v>
      </c>
      <c r="H48" s="58">
        <f>1/SUM(1/H49,1/H50,1/H51,1/H52,1/H53,1/H54,1/H55,1/H56,1/H57,1/H58,1/H59,1/H60,1/H61,1/H62)</f>
        <v>1.4158604168496149E-2</v>
      </c>
      <c r="I48" s="58">
        <f>1/SUM(1/I49,1/I50,1/I51,1/I52,1/I53,1/I54,1/I55,1/I56,1/I57,1/I58,1/I59,1/I60,1/I61,1/I62)</f>
        <v>4.4470468349312837E-14</v>
      </c>
    </row>
    <row r="49" spans="1:9" x14ac:dyDescent="0.25">
      <c r="A49" s="83" t="s">
        <v>1100</v>
      </c>
      <c r="B49" s="42">
        <v>1</v>
      </c>
      <c r="C49" s="249"/>
      <c r="D49" s="60">
        <f>IFERROR(D23/$B49,0)</f>
        <v>36.407844783957088</v>
      </c>
      <c r="E49" s="60">
        <f>IFERROR(E23/$B49,0)</f>
        <v>1.1455333944630647E-10</v>
      </c>
      <c r="F49" s="60">
        <f t="shared" ref="F49:I49" si="18">IFERROR(F23/$B49,0)</f>
        <v>0.19114118511577471</v>
      </c>
      <c r="G49" s="60">
        <f t="shared" si="18"/>
        <v>6.0140503209310891E-13</v>
      </c>
      <c r="H49" s="60">
        <f t="shared" si="18"/>
        <v>0.12742745674384981</v>
      </c>
      <c r="I49" s="60">
        <f t="shared" si="18"/>
        <v>4.0093668806207267E-13</v>
      </c>
    </row>
    <row r="50" spans="1:9" x14ac:dyDescent="0.25">
      <c r="A50" s="83" t="s">
        <v>1087</v>
      </c>
      <c r="B50" s="42">
        <v>1</v>
      </c>
      <c r="C50" s="249"/>
      <c r="D50" s="60">
        <f>IFERROR(D25/$B50,0)</f>
        <v>36.407844783957088</v>
      </c>
      <c r="E50" s="60">
        <f>IFERROR(E25/$B50,0)</f>
        <v>1.1365698776210008E-10</v>
      </c>
      <c r="F50" s="60">
        <f t="shared" ref="F50:I50" si="19">IFERROR(F25/$B50,0)</f>
        <v>0.19114118511577471</v>
      </c>
      <c r="G50" s="60">
        <f t="shared" si="19"/>
        <v>5.9669918575102546E-13</v>
      </c>
      <c r="H50" s="60">
        <f t="shared" si="19"/>
        <v>0.12742745674384981</v>
      </c>
      <c r="I50" s="60">
        <f t="shared" si="19"/>
        <v>3.9779945716735029E-13</v>
      </c>
    </row>
    <row r="51" spans="1:9" x14ac:dyDescent="0.25">
      <c r="A51" s="83" t="s">
        <v>1073</v>
      </c>
      <c r="B51" s="42">
        <v>1</v>
      </c>
      <c r="C51" s="249"/>
      <c r="D51" s="60">
        <f>IFERROR(D21/$B51,0)</f>
        <v>36.407844783957088</v>
      </c>
      <c r="E51" s="60">
        <f>IFERROR(E21/$B51,0)</f>
        <v>1.1389896304396512E-10</v>
      </c>
      <c r="F51" s="60">
        <f t="shared" ref="F51:I51" si="20">IFERROR(F21/$B51,0)</f>
        <v>0.19114118511577471</v>
      </c>
      <c r="G51" s="60">
        <f t="shared" si="20"/>
        <v>5.979695559808168E-13</v>
      </c>
      <c r="H51" s="60">
        <f t="shared" si="20"/>
        <v>0.12742745674384981</v>
      </c>
      <c r="I51" s="60">
        <f t="shared" si="20"/>
        <v>3.986463706538779E-13</v>
      </c>
    </row>
    <row r="52" spans="1:9" x14ac:dyDescent="0.25">
      <c r="A52" s="83" t="s">
        <v>1074</v>
      </c>
      <c r="B52" s="85">
        <v>0.99980000000000002</v>
      </c>
      <c r="C52" s="251"/>
      <c r="D52" s="60">
        <f>IFERROR(D17/$B52,0)</f>
        <v>36.415127809518992</v>
      </c>
      <c r="E52" s="60">
        <f>IFERROR(E17/$B52,0)</f>
        <v>1.1442055358022001E-10</v>
      </c>
      <c r="F52" s="60">
        <f t="shared" ref="F52:I52" si="21">IFERROR(F17/$B52,0)</f>
        <v>0.1911794209999747</v>
      </c>
      <c r="G52" s="60">
        <f t="shared" si="21"/>
        <v>6.0070790629615508E-13</v>
      </c>
      <c r="H52" s="60">
        <f t="shared" si="21"/>
        <v>0.12745294733331647</v>
      </c>
      <c r="I52" s="60">
        <f t="shared" si="21"/>
        <v>4.0047193753076998E-13</v>
      </c>
    </row>
    <row r="53" spans="1:9" x14ac:dyDescent="0.25">
      <c r="A53" s="83" t="s">
        <v>1088</v>
      </c>
      <c r="B53" s="42">
        <v>2.0000000000000001E-4</v>
      </c>
      <c r="C53" s="249"/>
      <c r="D53" s="60">
        <f>IFERROR(D5/$B53,0)</f>
        <v>182039.22391978544</v>
      </c>
      <c r="E53" s="60">
        <f>IFERROR(E5/$B53,0)</f>
        <v>5.7276604106877441E-7</v>
      </c>
      <c r="F53" s="60">
        <f t="shared" ref="F53:I53" si="22">IFERROR(F5/$B53,0)</f>
        <v>955.70592557887358</v>
      </c>
      <c r="G53" s="60">
        <f t="shared" si="22"/>
        <v>3.0070217156110657E-9</v>
      </c>
      <c r="H53" s="60">
        <f t="shared" si="22"/>
        <v>637.13728371924901</v>
      </c>
      <c r="I53" s="60">
        <f t="shared" si="22"/>
        <v>2.0046811437407103E-9</v>
      </c>
    </row>
    <row r="54" spans="1:9" x14ac:dyDescent="0.25">
      <c r="A54" s="83" t="s">
        <v>1089</v>
      </c>
      <c r="B54" s="42">
        <v>0.99999979999999999</v>
      </c>
      <c r="C54" s="249"/>
      <c r="D54" s="60">
        <f>IFERROR(D9/$B54,0)</f>
        <v>36.4078520655275</v>
      </c>
      <c r="E54" s="60">
        <f>IFERROR(E9/$B54,0)</f>
        <v>1.1450739279273756E-10</v>
      </c>
      <c r="F54" s="60">
        <f t="shared" ref="F54:I54" si="23">IFERROR(F9/$B54,0)</f>
        <v>0.1911412233440194</v>
      </c>
      <c r="G54" s="60">
        <f t="shared" si="23"/>
        <v>6.0116381216187227E-13</v>
      </c>
      <c r="H54" s="60">
        <f t="shared" si="23"/>
        <v>0.12742748222934625</v>
      </c>
      <c r="I54" s="60">
        <f t="shared" si="23"/>
        <v>4.0077587477458145E-13</v>
      </c>
    </row>
    <row r="55" spans="1:9" x14ac:dyDescent="0.25">
      <c r="A55" s="83" t="s">
        <v>1090</v>
      </c>
      <c r="B55" s="42">
        <v>1.9999999999999999E-7</v>
      </c>
      <c r="C55" s="249"/>
      <c r="D55" s="60">
        <f>IFERROR(D24/$B55,0)</f>
        <v>182039223.91978544</v>
      </c>
      <c r="E55" s="60">
        <f>IFERROR(E24/$B55,0)</f>
        <v>5.7276669657541405E-4</v>
      </c>
      <c r="F55" s="60">
        <f t="shared" ref="F55:I55" si="24">IFERROR(F24/$B55,0)</f>
        <v>955705.9255788736</v>
      </c>
      <c r="G55" s="60">
        <f t="shared" si="24"/>
        <v>3.0070251570209237E-6</v>
      </c>
      <c r="H55" s="60">
        <f t="shared" si="24"/>
        <v>637137.28371924907</v>
      </c>
      <c r="I55" s="60">
        <f t="shared" si="24"/>
        <v>2.0046834380139493E-6</v>
      </c>
    </row>
    <row r="56" spans="1:9" x14ac:dyDescent="0.25">
      <c r="A56" s="83" t="s">
        <v>1091</v>
      </c>
      <c r="B56" s="42">
        <v>0.99979000004200003</v>
      </c>
      <c r="C56" s="249"/>
      <c r="D56" s="60">
        <f>IFERROR(D20/$B56,0)</f>
        <v>36.415492035755143</v>
      </c>
      <c r="E56" s="60">
        <f>IFERROR(E20/$B56,0)</f>
        <v>1.145314213684883E-10</v>
      </c>
      <c r="F56" s="60">
        <f t="shared" ref="F56:I56" si="25">IFERROR(F20/$B56,0)</f>
        <v>0.19118133318771452</v>
      </c>
      <c r="G56" s="60">
        <f t="shared" si="25"/>
        <v>6.0128996218456361E-13</v>
      </c>
      <c r="H56" s="60">
        <f t="shared" si="25"/>
        <v>0.12745422212514301</v>
      </c>
      <c r="I56" s="60">
        <f t="shared" si="25"/>
        <v>4.0085997478970903E-13</v>
      </c>
    </row>
    <row r="57" spans="1:9" x14ac:dyDescent="0.25">
      <c r="A57" s="83" t="s">
        <v>1092</v>
      </c>
      <c r="B57" s="42">
        <v>2.0999995799999999E-4</v>
      </c>
      <c r="C57" s="249"/>
      <c r="D57" s="60">
        <f>IFERROR(D29/$B57,0)</f>
        <v>173370.72412155953</v>
      </c>
      <c r="E57" s="60">
        <f>IFERROR(E29/$B57,0)</f>
        <v>5.4549216192791565E-7</v>
      </c>
      <c r="F57" s="60">
        <f t="shared" ref="F57:I57" si="26">IFERROR(F29/$B57,0)</f>
        <v>910.19630163818761</v>
      </c>
      <c r="G57" s="60">
        <f t="shared" si="26"/>
        <v>2.8638338501215575E-9</v>
      </c>
      <c r="H57" s="60">
        <f t="shared" si="26"/>
        <v>606.79753442545837</v>
      </c>
      <c r="I57" s="60">
        <f t="shared" si="26"/>
        <v>1.9092225667477051E-9</v>
      </c>
    </row>
    <row r="58" spans="1:9" x14ac:dyDescent="0.25">
      <c r="A58" s="83" t="s">
        <v>1093</v>
      </c>
      <c r="B58" s="42">
        <v>1</v>
      </c>
      <c r="C58" s="249"/>
      <c r="D58" s="60">
        <f>IFERROR(D16/$B58,0)</f>
        <v>36.407844783957088</v>
      </c>
      <c r="E58" s="60">
        <f>IFERROR(E16/$B58,0)</f>
        <v>1.1455333944630647E-10</v>
      </c>
      <c r="F58" s="60">
        <f t="shared" ref="F58:I58" si="27">IFERROR(F16/$B58,0)</f>
        <v>0.19114118511577471</v>
      </c>
      <c r="G58" s="60">
        <f t="shared" si="27"/>
        <v>6.0140503209310891E-13</v>
      </c>
      <c r="H58" s="60">
        <f t="shared" si="27"/>
        <v>0.12742745674384981</v>
      </c>
      <c r="I58" s="60">
        <f t="shared" si="27"/>
        <v>4.0093668806207267E-13</v>
      </c>
    </row>
    <row r="59" spans="1:9" x14ac:dyDescent="0.25">
      <c r="A59" s="83" t="s">
        <v>1094</v>
      </c>
      <c r="B59" s="42">
        <v>1</v>
      </c>
      <c r="C59" s="249"/>
      <c r="D59" s="60">
        <f>IFERROR(D7/$B59,0)</f>
        <v>36.407844783957088</v>
      </c>
      <c r="E59" s="60">
        <f>IFERROR(E7/$B59,0)</f>
        <v>1.1455333944630647E-10</v>
      </c>
      <c r="F59" s="60">
        <f t="shared" ref="F59:I59" si="28">IFERROR(F7/$B59,0)</f>
        <v>0.19114118511577471</v>
      </c>
      <c r="G59" s="60">
        <f t="shared" si="28"/>
        <v>6.0140503209310891E-13</v>
      </c>
      <c r="H59" s="60">
        <f t="shared" si="28"/>
        <v>0.12742745674384981</v>
      </c>
      <c r="I59" s="60">
        <f t="shared" si="28"/>
        <v>4.0093668806207267E-13</v>
      </c>
    </row>
    <row r="60" spans="1:9" x14ac:dyDescent="0.25">
      <c r="A60" s="83" t="s">
        <v>1095</v>
      </c>
      <c r="B60" s="86">
        <v>1.9000000000000001E-8</v>
      </c>
      <c r="C60" s="252"/>
      <c r="D60" s="60">
        <f>IFERROR(D12/$B60,0)</f>
        <v>1916202357.0503728</v>
      </c>
      <c r="E60" s="60">
        <f>IFERROR(E12/$B60,0)</f>
        <v>6.0291231287529718E-3</v>
      </c>
      <c r="F60" s="60">
        <f t="shared" ref="F60:I60" si="29">IFERROR(F12/$B60,0)</f>
        <v>10060062.374514459</v>
      </c>
      <c r="G60" s="60">
        <f t="shared" si="29"/>
        <v>3.1652896425953095E-5</v>
      </c>
      <c r="H60" s="60">
        <f t="shared" si="29"/>
        <v>6706708.2496763049</v>
      </c>
      <c r="I60" s="60">
        <f t="shared" si="29"/>
        <v>2.1101930950635401E-5</v>
      </c>
    </row>
    <row r="61" spans="1:9" x14ac:dyDescent="0.25">
      <c r="A61" s="83" t="s">
        <v>1096</v>
      </c>
      <c r="B61" s="42">
        <v>1</v>
      </c>
      <c r="C61" s="249"/>
      <c r="D61" s="60">
        <f>IFERROR(D18/$B61,0)</f>
        <v>36.407844783957088</v>
      </c>
      <c r="E61" s="60">
        <f>IFERROR(E18/$B61,0)</f>
        <v>1.1455333944630647E-10</v>
      </c>
      <c r="F61" s="60">
        <f t="shared" ref="F61:I61" si="30">IFERROR(F18/$B61,0)</f>
        <v>0.19114118511577471</v>
      </c>
      <c r="G61" s="60">
        <f t="shared" si="30"/>
        <v>6.0140503209310891E-13</v>
      </c>
      <c r="H61" s="60">
        <f t="shared" si="30"/>
        <v>0.12742745674384981</v>
      </c>
      <c r="I61" s="60">
        <f t="shared" si="30"/>
        <v>4.0093668806207267E-13</v>
      </c>
    </row>
    <row r="62" spans="1:9" x14ac:dyDescent="0.25">
      <c r="A62" s="83" t="s">
        <v>1097</v>
      </c>
      <c r="B62" s="42">
        <v>1.339E-6</v>
      </c>
      <c r="C62" s="249"/>
      <c r="D62" s="60">
        <f>IFERROR(D27/$B62,0)</f>
        <v>27190324.707958989</v>
      </c>
      <c r="E62" s="60">
        <f>IFERROR(E27/$B62,0)</f>
        <v>8.5551411087607512E-5</v>
      </c>
      <c r="F62" s="60">
        <f t="shared" ref="F62:I62" si="31">IFERROR(F27/$B62,0)</f>
        <v>142749.2047167847</v>
      </c>
      <c r="G62" s="60">
        <f t="shared" si="31"/>
        <v>4.4914490820993942E-7</v>
      </c>
      <c r="H62" s="60">
        <f t="shared" si="31"/>
        <v>95166.13647785646</v>
      </c>
      <c r="I62" s="60">
        <f t="shared" si="31"/>
        <v>2.9942993880662631E-7</v>
      </c>
    </row>
    <row r="63" spans="1:9" x14ac:dyDescent="0.25">
      <c r="A63" s="82" t="s">
        <v>35</v>
      </c>
      <c r="B63" s="82" t="s">
        <v>1071</v>
      </c>
      <c r="C63" s="57"/>
      <c r="D63" s="58">
        <f>1/SUM(1/D65,1/D67,1/D68,1/D70,1/D73,1/D75)</f>
        <v>7.2815838111612274</v>
      </c>
      <c r="E63" s="58">
        <f>1/SUM(1/E64,1/E65,1/E66,1/E67,1/E68,1/E69,1/E70,1/E71,1/E72,1/E73,1/E74,1/E75,1/E76)</f>
        <v>1.4290949252526638E-11</v>
      </c>
      <c r="F63" s="58">
        <f>1/SUM(1/F65,1/F67,1/F68,1/F70,1/F73,1/F75)</f>
        <v>3.8228315008596442E-2</v>
      </c>
      <c r="G63" s="58">
        <f>1/SUM(1/G64,1/G65,1/G66,1/G67,1/G68,1/G69,1/G70,1/G71,1/G72,1/G73,1/G74,1/G75,1/G76)</f>
        <v>7.5027483575764838E-14</v>
      </c>
      <c r="H63" s="58">
        <f>1/SUM(1/H64,1/H65,1/H66,1/H67,1/H68,1/H69,1/H70,1/H71,1/H72,1/H73,1/H74,1/H75,1/H76)</f>
        <v>1.5928429389130336E-2</v>
      </c>
      <c r="I63" s="58">
        <f>1/SUM(1/I64,1/I65,1/I66,1/I67,1/I68,1/I69,1/I70,1/I71,1/I72,1/I73,1/I74,1/I75,1/I76)</f>
        <v>5.0018322383843236E-14</v>
      </c>
    </row>
    <row r="64" spans="1:9" x14ac:dyDescent="0.25">
      <c r="A64" s="83" t="s">
        <v>1087</v>
      </c>
      <c r="B64" s="42">
        <v>1</v>
      </c>
      <c r="C64" s="178"/>
      <c r="D64" s="60">
        <f>IFERROR(D25/$B50,0)</f>
        <v>36.407844783957088</v>
      </c>
      <c r="E64" s="60">
        <f>IFERROR(E25/$B50,0)</f>
        <v>1.1365698776210008E-10</v>
      </c>
      <c r="F64" s="60">
        <f t="shared" ref="F64:I64" si="32">IFERROR(F25/$B50,0)</f>
        <v>0.19114118511577471</v>
      </c>
      <c r="G64" s="60">
        <f t="shared" si="32"/>
        <v>5.9669918575102546E-13</v>
      </c>
      <c r="H64" s="60">
        <f t="shared" si="32"/>
        <v>0.12742745674384981</v>
      </c>
      <c r="I64" s="60">
        <f t="shared" si="32"/>
        <v>3.9779945716735029E-13</v>
      </c>
    </row>
    <row r="65" spans="1:9" x14ac:dyDescent="0.25">
      <c r="A65" s="83" t="s">
        <v>1073</v>
      </c>
      <c r="B65" s="42">
        <v>1</v>
      </c>
      <c r="C65" s="178"/>
      <c r="D65" s="60">
        <f>IFERROR(D21/$B51,0)</f>
        <v>36.407844783957088</v>
      </c>
      <c r="E65" s="60">
        <f>IFERROR(E21/$B51,0)</f>
        <v>1.1389896304396512E-10</v>
      </c>
      <c r="F65" s="60">
        <f t="shared" ref="F65:I65" si="33">IFERROR(F21/$B51,0)</f>
        <v>0.19114118511577471</v>
      </c>
      <c r="G65" s="60">
        <f t="shared" si="33"/>
        <v>5.979695559808168E-13</v>
      </c>
      <c r="H65" s="60">
        <f t="shared" si="33"/>
        <v>0.12742745674384981</v>
      </c>
      <c r="I65" s="60">
        <f t="shared" si="33"/>
        <v>3.986463706538779E-13</v>
      </c>
    </row>
    <row r="66" spans="1:9" x14ac:dyDescent="0.25">
      <c r="A66" s="83" t="s">
        <v>1074</v>
      </c>
      <c r="B66" s="85">
        <v>0.99980000000000002</v>
      </c>
      <c r="C66" s="181"/>
      <c r="D66" s="60">
        <f>IFERROR(D17/$B52,0)</f>
        <v>36.415127809518992</v>
      </c>
      <c r="E66" s="60">
        <f>IFERROR(E17/$B52,0)</f>
        <v>1.1442055358022001E-10</v>
      </c>
      <c r="F66" s="60">
        <f t="shared" ref="F66:I66" si="34">IFERROR(F17/$B52,0)</f>
        <v>0.1911794209999747</v>
      </c>
      <c r="G66" s="60">
        <f t="shared" si="34"/>
        <v>6.0070790629615508E-13</v>
      </c>
      <c r="H66" s="60">
        <f t="shared" si="34"/>
        <v>0.12745294733331647</v>
      </c>
      <c r="I66" s="60">
        <f t="shared" si="34"/>
        <v>4.0047193753076998E-13</v>
      </c>
    </row>
    <row r="67" spans="1:9" x14ac:dyDescent="0.25">
      <c r="A67" s="83" t="s">
        <v>1088</v>
      </c>
      <c r="B67" s="42">
        <v>2.0000000000000001E-4</v>
      </c>
      <c r="C67" s="178"/>
      <c r="D67" s="60">
        <f>IFERROR(D5/$B53,0)</f>
        <v>182039.22391978544</v>
      </c>
      <c r="E67" s="60">
        <f>IFERROR(E5/$B53,0)</f>
        <v>5.7276604106877441E-7</v>
      </c>
      <c r="F67" s="60">
        <f t="shared" ref="F67:I67" si="35">IFERROR(F5/$B53,0)</f>
        <v>955.70592557887358</v>
      </c>
      <c r="G67" s="60">
        <f t="shared" si="35"/>
        <v>3.0070217156110657E-9</v>
      </c>
      <c r="H67" s="60">
        <f t="shared" si="35"/>
        <v>637.13728371924901</v>
      </c>
      <c r="I67" s="60">
        <f t="shared" si="35"/>
        <v>2.0046811437407103E-9</v>
      </c>
    </row>
    <row r="68" spans="1:9" x14ac:dyDescent="0.25">
      <c r="A68" s="83" t="s">
        <v>1089</v>
      </c>
      <c r="B68" s="42">
        <v>0.99999979999999999</v>
      </c>
      <c r="C68" s="178"/>
      <c r="D68" s="60">
        <f>IFERROR(D9/$B54,0)</f>
        <v>36.4078520655275</v>
      </c>
      <c r="E68" s="60">
        <f>IFERROR(E9/$B54,0)</f>
        <v>1.1450739279273756E-10</v>
      </c>
      <c r="F68" s="60">
        <f t="shared" ref="F68:I68" si="36">IFERROR(F9/$B54,0)</f>
        <v>0.1911412233440194</v>
      </c>
      <c r="G68" s="60">
        <f t="shared" si="36"/>
        <v>6.0116381216187227E-13</v>
      </c>
      <c r="H68" s="60">
        <f t="shared" si="36"/>
        <v>0.12742748222934625</v>
      </c>
      <c r="I68" s="60">
        <f t="shared" si="36"/>
        <v>4.0077587477458145E-13</v>
      </c>
    </row>
    <row r="69" spans="1:9" x14ac:dyDescent="0.25">
      <c r="A69" s="83" t="s">
        <v>1090</v>
      </c>
      <c r="B69" s="42">
        <v>1.9999999999999999E-7</v>
      </c>
      <c r="C69" s="178"/>
      <c r="D69" s="60">
        <f>IFERROR(D24/$B55,0)</f>
        <v>182039223.91978544</v>
      </c>
      <c r="E69" s="60">
        <f>IFERROR(E24/$B55,0)</f>
        <v>5.7276669657541405E-4</v>
      </c>
      <c r="F69" s="60">
        <f t="shared" ref="F69:I69" si="37">IFERROR(F24/$B55,0)</f>
        <v>955705.9255788736</v>
      </c>
      <c r="G69" s="60">
        <f t="shared" si="37"/>
        <v>3.0070251570209237E-6</v>
      </c>
      <c r="H69" s="60">
        <f t="shared" si="37"/>
        <v>637137.28371924907</v>
      </c>
      <c r="I69" s="60">
        <f t="shared" si="37"/>
        <v>2.0046834380139493E-6</v>
      </c>
    </row>
    <row r="70" spans="1:9" x14ac:dyDescent="0.25">
      <c r="A70" s="83" t="s">
        <v>1091</v>
      </c>
      <c r="B70" s="42">
        <v>0.99979000004200003</v>
      </c>
      <c r="C70" s="178"/>
      <c r="D70" s="60">
        <f>IFERROR(D20/$B56,0)</f>
        <v>36.415492035755143</v>
      </c>
      <c r="E70" s="60">
        <f>IFERROR(E20/$B56,0)</f>
        <v>1.145314213684883E-10</v>
      </c>
      <c r="F70" s="60">
        <f t="shared" ref="F70:I70" si="38">IFERROR(F20/$B56,0)</f>
        <v>0.19118133318771452</v>
      </c>
      <c r="G70" s="60">
        <f t="shared" si="38"/>
        <v>6.0128996218456361E-13</v>
      </c>
      <c r="H70" s="60">
        <f t="shared" si="38"/>
        <v>0.12745422212514301</v>
      </c>
      <c r="I70" s="60">
        <f t="shared" si="38"/>
        <v>4.0085997478970903E-13</v>
      </c>
    </row>
    <row r="71" spans="1:9" x14ac:dyDescent="0.25">
      <c r="A71" s="83" t="s">
        <v>1092</v>
      </c>
      <c r="B71" s="42">
        <v>2.0999995799999999E-4</v>
      </c>
      <c r="C71" s="178"/>
      <c r="D71" s="60">
        <f>IFERROR(D29/$B57,0)</f>
        <v>173370.72412155953</v>
      </c>
      <c r="E71" s="60">
        <f>IFERROR(E29/$B57,0)</f>
        <v>5.4549216192791565E-7</v>
      </c>
      <c r="F71" s="60">
        <f t="shared" ref="F71:I71" si="39">IFERROR(F29/$B57,0)</f>
        <v>910.19630163818761</v>
      </c>
      <c r="G71" s="60">
        <f t="shared" si="39"/>
        <v>2.8638338501215575E-9</v>
      </c>
      <c r="H71" s="60">
        <f t="shared" si="39"/>
        <v>606.79753442545837</v>
      </c>
      <c r="I71" s="60">
        <f t="shared" si="39"/>
        <v>1.9092225667477051E-9</v>
      </c>
    </row>
    <row r="72" spans="1:9" x14ac:dyDescent="0.25">
      <c r="A72" s="83" t="s">
        <v>1093</v>
      </c>
      <c r="B72" s="42">
        <v>1</v>
      </c>
      <c r="C72" s="178"/>
      <c r="D72" s="60">
        <f>IFERROR(D16/$B58,0)</f>
        <v>36.407844783957088</v>
      </c>
      <c r="E72" s="60">
        <f>IFERROR(E16/$B58,0)</f>
        <v>1.1455333944630647E-10</v>
      </c>
      <c r="F72" s="60">
        <f t="shared" ref="F72:I72" si="40">IFERROR(F16/$B58,0)</f>
        <v>0.19114118511577471</v>
      </c>
      <c r="G72" s="60">
        <f t="shared" si="40"/>
        <v>6.0140503209310891E-13</v>
      </c>
      <c r="H72" s="60">
        <f t="shared" si="40"/>
        <v>0.12742745674384981</v>
      </c>
      <c r="I72" s="60">
        <f t="shared" si="40"/>
        <v>4.0093668806207267E-13</v>
      </c>
    </row>
    <row r="73" spans="1:9" x14ac:dyDescent="0.25">
      <c r="A73" s="83" t="s">
        <v>1094</v>
      </c>
      <c r="B73" s="42">
        <v>1</v>
      </c>
      <c r="C73" s="178"/>
      <c r="D73" s="60">
        <f>IFERROR(D7/$B59,0)</f>
        <v>36.407844783957088</v>
      </c>
      <c r="E73" s="60">
        <f>IFERROR(E7/$B59,0)</f>
        <v>1.1455333944630647E-10</v>
      </c>
      <c r="F73" s="60">
        <f t="shared" ref="F73:I73" si="41">IFERROR(F7/$B59,0)</f>
        <v>0.19114118511577471</v>
      </c>
      <c r="G73" s="60">
        <f t="shared" si="41"/>
        <v>6.0140503209310891E-13</v>
      </c>
      <c r="H73" s="60">
        <f t="shared" si="41"/>
        <v>0.12742745674384981</v>
      </c>
      <c r="I73" s="60">
        <f t="shared" si="41"/>
        <v>4.0093668806207267E-13</v>
      </c>
    </row>
    <row r="74" spans="1:9" x14ac:dyDescent="0.25">
      <c r="A74" s="83" t="s">
        <v>1095</v>
      </c>
      <c r="B74" s="86">
        <v>1.9000000000000001E-8</v>
      </c>
      <c r="C74" s="182"/>
      <c r="D74" s="60">
        <f>IFERROR(D12/$B60,0)</f>
        <v>1916202357.0503728</v>
      </c>
      <c r="E74" s="60">
        <f>IFERROR(E12/$B60,0)</f>
        <v>6.0291231287529718E-3</v>
      </c>
      <c r="F74" s="60">
        <f t="shared" ref="F74:I74" si="42">IFERROR(F12/$B60,0)</f>
        <v>10060062.374514459</v>
      </c>
      <c r="G74" s="60">
        <f t="shared" si="42"/>
        <v>3.1652896425953095E-5</v>
      </c>
      <c r="H74" s="60">
        <f t="shared" si="42"/>
        <v>6706708.2496763049</v>
      </c>
      <c r="I74" s="60">
        <f t="shared" si="42"/>
        <v>2.1101930950635401E-5</v>
      </c>
    </row>
    <row r="75" spans="1:9" x14ac:dyDescent="0.25">
      <c r="A75" s="83" t="s">
        <v>1096</v>
      </c>
      <c r="B75" s="42">
        <v>1</v>
      </c>
      <c r="C75" s="178"/>
      <c r="D75" s="60">
        <f>IFERROR(D18/$B61,0)</f>
        <v>36.407844783957088</v>
      </c>
      <c r="E75" s="60">
        <f>IFERROR(E18/$B61,0)</f>
        <v>1.1455333944630647E-10</v>
      </c>
      <c r="F75" s="60">
        <f t="shared" ref="F75:I75" si="43">IFERROR(F18/$B61,0)</f>
        <v>0.19114118511577471</v>
      </c>
      <c r="G75" s="60">
        <f t="shared" si="43"/>
        <v>6.0140503209310891E-13</v>
      </c>
      <c r="H75" s="60">
        <f t="shared" si="43"/>
        <v>0.12742745674384981</v>
      </c>
      <c r="I75" s="60">
        <f t="shared" si="43"/>
        <v>4.0093668806207267E-13</v>
      </c>
    </row>
    <row r="76" spans="1:9" x14ac:dyDescent="0.25">
      <c r="A76" s="83" t="s">
        <v>1097</v>
      </c>
      <c r="B76" s="42">
        <v>1.339E-6</v>
      </c>
      <c r="C76" s="178"/>
      <c r="D76" s="60">
        <f>IFERROR(D27/$B62,0)</f>
        <v>27190324.707958989</v>
      </c>
      <c r="E76" s="60">
        <f>IFERROR(E27/$B62,0)</f>
        <v>8.5551411087607512E-5</v>
      </c>
      <c r="F76" s="60">
        <f t="shared" ref="F76:I76" si="44">IFERROR(F27/$B62,0)</f>
        <v>142749.2047167847</v>
      </c>
      <c r="G76" s="60">
        <f t="shared" si="44"/>
        <v>4.4914490820993942E-7</v>
      </c>
      <c r="H76" s="60">
        <f t="shared" si="44"/>
        <v>95166.13647785646</v>
      </c>
      <c r="I76" s="60">
        <f t="shared" si="44"/>
        <v>2.9942993880662631E-7</v>
      </c>
    </row>
  </sheetData>
  <sheetProtection algorithmName="SHA-512" hashValue="4NHdUj0ubPHFSj7uB0+tnUGH65KdtUsQGvhrdRwFiOgJsFZ9m8KlHE5o5b1DTDVAZaYRHe1EiNmH7ndUJaLQtw==" saltValue="d5AleneqPdigO0hiC/vtUw==" spinCount="100000" sheet="1" formatColumns="0" formatRows="0" autoFilter="0"/>
  <autoFilter ref="A1:I1299" xr:uid="{00000000-0009-0000-0000-000021000000}"/>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A32"/>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5703125" style="4" bestFit="1" customWidth="1"/>
    <col min="3" max="3" width="14.85546875" bestFit="1" customWidth="1"/>
    <col min="4" max="4" width="14.7109375" bestFit="1" customWidth="1"/>
    <col min="5" max="5" width="14" bestFit="1" customWidth="1"/>
    <col min="6" max="6" width="14.5703125" bestFit="1" customWidth="1"/>
    <col min="7" max="7" width="13.7109375" bestFit="1" customWidth="1"/>
    <col min="8" max="8" width="14" bestFit="1" customWidth="1"/>
    <col min="9" max="9" width="13.28515625" bestFit="1" customWidth="1"/>
    <col min="10" max="10" width="14.7109375" bestFit="1" customWidth="1"/>
    <col min="11" max="11" width="13.7109375" bestFit="1" customWidth="1"/>
    <col min="12" max="12" width="15.7109375" bestFit="1" customWidth="1"/>
    <col min="13" max="13" width="13" bestFit="1" customWidth="1"/>
    <col min="14" max="15" width="13.7109375" bestFit="1" customWidth="1"/>
    <col min="16" max="16" width="15" bestFit="1" customWidth="1"/>
    <col min="17" max="17" width="15.140625" bestFit="1" customWidth="1"/>
    <col min="18" max="18" width="13.85546875" bestFit="1" customWidth="1"/>
    <col min="19" max="19" width="13.140625" bestFit="1" customWidth="1"/>
    <col min="20" max="20" width="17.28515625" bestFit="1" customWidth="1"/>
    <col min="21" max="21" width="14.5703125" bestFit="1" customWidth="1"/>
    <col min="22" max="22" width="15" bestFit="1" customWidth="1"/>
    <col min="23" max="23" width="14" bestFit="1" customWidth="1"/>
    <col min="24" max="24" width="14.7109375" bestFit="1" customWidth="1"/>
    <col min="25" max="25" width="13.42578125" bestFit="1" customWidth="1"/>
    <col min="26" max="26" width="13.140625" bestFit="1" customWidth="1"/>
    <col min="27" max="27" width="15.42578125" bestFit="1" customWidth="1"/>
  </cols>
  <sheetData>
    <row r="1" spans="1:27" x14ac:dyDescent="0.25">
      <c r="A1" s="78" t="s">
        <v>51</v>
      </c>
      <c r="B1" s="79" t="s">
        <v>348</v>
      </c>
      <c r="C1" s="112" t="s">
        <v>641</v>
      </c>
      <c r="D1" s="112" t="s">
        <v>642</v>
      </c>
      <c r="E1" s="112" t="s">
        <v>643</v>
      </c>
      <c r="F1" s="112" t="s">
        <v>644</v>
      </c>
      <c r="G1" s="112" t="s">
        <v>645</v>
      </c>
      <c r="H1" s="112" t="s">
        <v>646</v>
      </c>
      <c r="I1" s="112" t="s">
        <v>647</v>
      </c>
      <c r="J1" s="112" t="s">
        <v>648</v>
      </c>
      <c r="K1" s="112" t="s">
        <v>649</v>
      </c>
      <c r="L1" s="112" t="s">
        <v>650</v>
      </c>
      <c r="M1" s="112" t="s">
        <v>651</v>
      </c>
      <c r="N1" s="112" t="s">
        <v>652</v>
      </c>
      <c r="O1" s="112" t="s">
        <v>653</v>
      </c>
      <c r="P1" s="112" t="s">
        <v>654</v>
      </c>
      <c r="Q1" s="112" t="s">
        <v>655</v>
      </c>
      <c r="R1" s="112" t="s">
        <v>656</v>
      </c>
      <c r="S1" s="112" t="s">
        <v>657</v>
      </c>
      <c r="T1" t="s">
        <v>1505</v>
      </c>
      <c r="U1" s="112" t="s">
        <v>658</v>
      </c>
      <c r="V1" s="112" t="s">
        <v>659</v>
      </c>
      <c r="W1" s="112" t="s">
        <v>660</v>
      </c>
      <c r="X1" s="112" t="s">
        <v>661</v>
      </c>
      <c r="Y1" s="112" t="s">
        <v>662</v>
      </c>
      <c r="Z1" s="112" t="s">
        <v>663</v>
      </c>
      <c r="AA1" s="112" t="s">
        <v>733</v>
      </c>
    </row>
    <row r="2" spans="1:27" ht="15" customHeight="1" x14ac:dyDescent="0.25">
      <c r="A2" s="44" t="s">
        <v>12</v>
      </c>
      <c r="B2" s="42" t="s">
        <v>1071</v>
      </c>
      <c r="C2" s="183">
        <v>1E-3</v>
      </c>
      <c r="D2" s="183">
        <v>1E-3</v>
      </c>
      <c r="E2" s="183">
        <v>1E-3</v>
      </c>
      <c r="F2" s="183">
        <v>1E-3</v>
      </c>
      <c r="G2" s="183">
        <v>1E-3</v>
      </c>
      <c r="H2" s="183">
        <v>1E-3</v>
      </c>
      <c r="I2" s="183">
        <v>1E-3</v>
      </c>
      <c r="J2" s="183">
        <v>1E-3</v>
      </c>
      <c r="K2" s="183">
        <v>1E-3</v>
      </c>
      <c r="L2" s="183">
        <v>1E-3</v>
      </c>
      <c r="M2" s="183">
        <v>1E-3</v>
      </c>
      <c r="N2" s="183">
        <v>1E-3</v>
      </c>
      <c r="O2" s="183">
        <v>1E-3</v>
      </c>
      <c r="P2" s="183">
        <v>1E-3</v>
      </c>
      <c r="Q2" s="183">
        <v>1E-3</v>
      </c>
      <c r="R2" s="183">
        <v>1E-3</v>
      </c>
      <c r="S2" s="183">
        <v>1E-3</v>
      </c>
      <c r="T2" s="212">
        <v>1E-3</v>
      </c>
      <c r="U2" s="183">
        <v>1E-3</v>
      </c>
      <c r="V2" s="183">
        <v>1E-3</v>
      </c>
      <c r="W2" s="183">
        <v>1E-3</v>
      </c>
      <c r="X2" s="183">
        <v>1E-3</v>
      </c>
      <c r="Y2" s="183">
        <v>1E-3</v>
      </c>
      <c r="Z2" s="183">
        <v>1E-3</v>
      </c>
      <c r="AA2" s="183">
        <v>1E-3</v>
      </c>
    </row>
    <row r="3" spans="1:27" ht="15" customHeight="1" x14ac:dyDescent="0.25">
      <c r="A3" s="46" t="s">
        <v>13</v>
      </c>
      <c r="B3" s="42" t="s">
        <v>349</v>
      </c>
      <c r="C3" s="184">
        <v>3.1000000000000001E-5</v>
      </c>
      <c r="D3" s="184">
        <v>2.7E-4</v>
      </c>
      <c r="E3" s="184">
        <v>6.7000000000000002E-4</v>
      </c>
      <c r="F3" s="185">
        <v>8.0000000000000004E-4</v>
      </c>
      <c r="G3" s="184">
        <v>3.6000000000000002E-4</v>
      </c>
      <c r="H3" s="184">
        <v>2.7E-4</v>
      </c>
      <c r="I3" s="184">
        <v>6.7000000000000002E-4</v>
      </c>
      <c r="J3" s="184">
        <v>3.1000000000000001E-5</v>
      </c>
      <c r="K3" s="185">
        <v>5.0000000000000002E-5</v>
      </c>
      <c r="L3" s="184">
        <v>3.6000000000000002E-4</v>
      </c>
      <c r="M3" s="184">
        <v>2.7E-4</v>
      </c>
      <c r="N3" s="184">
        <v>3.8000000000000002E-4</v>
      </c>
      <c r="O3" s="184">
        <v>3.6000000000000002E-4</v>
      </c>
      <c r="P3" s="184">
        <v>6.7000000000000002E-4</v>
      </c>
      <c r="Q3" s="184">
        <v>3.1000000000000001E-5</v>
      </c>
      <c r="R3" s="184">
        <v>3.1000000000000001E-5</v>
      </c>
      <c r="S3" s="184">
        <v>3.8000000000000002E-4</v>
      </c>
      <c r="T3" s="213">
        <v>3.6000000000000002E-4</v>
      </c>
      <c r="U3" s="184">
        <v>2.1000000000000001E-4</v>
      </c>
      <c r="V3" s="184">
        <v>3.6000000000000002E-4</v>
      </c>
      <c r="W3" s="184">
        <v>3.8000000000000002E-4</v>
      </c>
      <c r="X3" s="184">
        <v>1.1E-4</v>
      </c>
      <c r="Y3" s="184">
        <v>3.6000000000000002E-4</v>
      </c>
      <c r="Z3" s="183">
        <v>1E-3</v>
      </c>
      <c r="AA3" s="184">
        <v>2.1999999999999999E-5</v>
      </c>
    </row>
    <row r="4" spans="1:27" ht="15" customHeight="1" x14ac:dyDescent="0.25">
      <c r="A4" s="44" t="s">
        <v>14</v>
      </c>
      <c r="B4" s="42" t="s">
        <v>1071</v>
      </c>
      <c r="C4" s="183">
        <v>0.2</v>
      </c>
      <c r="D4" s="183">
        <v>0.2</v>
      </c>
      <c r="E4" s="183">
        <v>0.2</v>
      </c>
      <c r="F4" s="183">
        <v>0.2</v>
      </c>
      <c r="G4" s="183">
        <v>0.2</v>
      </c>
      <c r="H4" s="183">
        <v>0.2</v>
      </c>
      <c r="I4" s="183">
        <v>0.2</v>
      </c>
      <c r="J4" s="183">
        <v>0.2</v>
      </c>
      <c r="K4" s="183">
        <v>0.2</v>
      </c>
      <c r="L4" s="183">
        <v>0.2</v>
      </c>
      <c r="M4" s="183">
        <v>0.2</v>
      </c>
      <c r="N4" s="183">
        <v>0.2</v>
      </c>
      <c r="O4" s="183">
        <v>0.2</v>
      </c>
      <c r="P4" s="183">
        <v>0.2</v>
      </c>
      <c r="Q4" s="183">
        <v>0.2</v>
      </c>
      <c r="R4" s="183">
        <v>0.2</v>
      </c>
      <c r="S4" s="183">
        <v>0.2</v>
      </c>
      <c r="T4" s="212">
        <v>0.2</v>
      </c>
      <c r="U4" s="183">
        <v>0.2</v>
      </c>
      <c r="V4" s="183">
        <v>0.2</v>
      </c>
      <c r="W4" s="183">
        <v>0.2</v>
      </c>
      <c r="X4" s="183">
        <v>0.2</v>
      </c>
      <c r="Y4" s="183">
        <v>0.2</v>
      </c>
      <c r="Z4" s="183">
        <v>0.2</v>
      </c>
      <c r="AA4" s="183">
        <v>0.2</v>
      </c>
    </row>
    <row r="5" spans="1:27" ht="15" customHeight="1" x14ac:dyDescent="0.25">
      <c r="A5" s="44" t="s">
        <v>15</v>
      </c>
      <c r="B5" s="42" t="s">
        <v>1071</v>
      </c>
      <c r="C5" s="183">
        <v>0.2</v>
      </c>
      <c r="D5" s="183">
        <v>0.2</v>
      </c>
      <c r="E5" s="183">
        <v>0.2</v>
      </c>
      <c r="F5" s="183">
        <v>0.2</v>
      </c>
      <c r="G5" s="183">
        <v>0.2</v>
      </c>
      <c r="H5" s="183">
        <v>0.2</v>
      </c>
      <c r="I5" s="183">
        <v>0.2</v>
      </c>
      <c r="J5" s="183">
        <v>0.2</v>
      </c>
      <c r="K5" s="183">
        <v>0.2</v>
      </c>
      <c r="L5" s="183">
        <v>0.2</v>
      </c>
      <c r="M5" s="183">
        <v>0.2</v>
      </c>
      <c r="N5" s="183">
        <v>0.2</v>
      </c>
      <c r="O5" s="183">
        <v>0.2</v>
      </c>
      <c r="P5" s="183">
        <v>0.2</v>
      </c>
      <c r="Q5" s="183">
        <v>0.2</v>
      </c>
      <c r="R5" s="183">
        <v>0.2</v>
      </c>
      <c r="S5" s="183">
        <v>0.2</v>
      </c>
      <c r="T5" s="212">
        <v>0.2</v>
      </c>
      <c r="U5" s="183">
        <v>0.2</v>
      </c>
      <c r="V5" s="183">
        <v>0.2</v>
      </c>
      <c r="W5" s="183">
        <v>0.2</v>
      </c>
      <c r="X5" s="183">
        <v>0.2</v>
      </c>
      <c r="Y5" s="183">
        <v>0.2</v>
      </c>
      <c r="Z5" s="183">
        <v>0.2</v>
      </c>
      <c r="AA5" s="183">
        <v>0.2</v>
      </c>
    </row>
    <row r="6" spans="1:27" ht="15" customHeight="1" x14ac:dyDescent="0.25">
      <c r="A6" s="44" t="s">
        <v>16</v>
      </c>
      <c r="B6" s="42" t="s">
        <v>1071</v>
      </c>
      <c r="C6" s="185">
        <v>0.01</v>
      </c>
      <c r="D6" s="184">
        <v>5.0000000000000001E-3</v>
      </c>
      <c r="E6" s="184">
        <v>5.0000000000000001E-3</v>
      </c>
      <c r="F6" s="185">
        <v>0.01</v>
      </c>
      <c r="G6" s="185">
        <v>0.01</v>
      </c>
      <c r="H6" s="184">
        <v>5.0000000000000001E-3</v>
      </c>
      <c r="I6" s="184">
        <v>5.0000000000000001E-3</v>
      </c>
      <c r="J6" s="185">
        <v>0.01</v>
      </c>
      <c r="K6" s="185">
        <v>0.01</v>
      </c>
      <c r="L6" s="185">
        <v>0.01</v>
      </c>
      <c r="M6" s="184">
        <v>5.0000000000000001E-3</v>
      </c>
      <c r="N6" s="185">
        <v>0.01</v>
      </c>
      <c r="O6" s="185">
        <v>0.01</v>
      </c>
      <c r="P6" s="185">
        <v>5.0000000000000001E-3</v>
      </c>
      <c r="Q6" s="185">
        <v>0.01</v>
      </c>
      <c r="R6" s="185">
        <v>0.01</v>
      </c>
      <c r="S6" s="185">
        <v>0.01</v>
      </c>
      <c r="T6" s="214">
        <v>0.01</v>
      </c>
      <c r="U6" s="184">
        <v>5.0000000000000001E-3</v>
      </c>
      <c r="V6" s="185">
        <v>0.01</v>
      </c>
      <c r="W6" s="185">
        <v>0.01</v>
      </c>
      <c r="X6" s="185">
        <v>0.01</v>
      </c>
      <c r="Y6" s="185">
        <v>0.01</v>
      </c>
      <c r="Z6" s="184">
        <v>9.3999999999999997E-4</v>
      </c>
      <c r="AA6" s="184">
        <v>1E-3</v>
      </c>
    </row>
    <row r="7" spans="1:27" ht="15" customHeight="1" x14ac:dyDescent="0.25">
      <c r="A7" s="44" t="s">
        <v>17</v>
      </c>
      <c r="B7" s="42" t="s">
        <v>1071</v>
      </c>
      <c r="C7" s="183">
        <v>0.1</v>
      </c>
      <c r="D7" s="183">
        <v>0.1</v>
      </c>
      <c r="E7" s="183">
        <v>0.1</v>
      </c>
      <c r="F7" s="183">
        <v>0.1</v>
      </c>
      <c r="G7" s="183">
        <v>0.1</v>
      </c>
      <c r="H7" s="183">
        <v>0.1</v>
      </c>
      <c r="I7" s="183">
        <v>0.1</v>
      </c>
      <c r="J7" s="183">
        <v>0.1</v>
      </c>
      <c r="K7" s="183">
        <v>0.1</v>
      </c>
      <c r="L7" s="183">
        <v>0.1</v>
      </c>
      <c r="M7" s="183">
        <v>0.1</v>
      </c>
      <c r="N7" s="183">
        <v>0.1</v>
      </c>
      <c r="O7" s="183">
        <v>0.1</v>
      </c>
      <c r="P7" s="183">
        <v>0.1</v>
      </c>
      <c r="Q7" s="183">
        <v>0.1</v>
      </c>
      <c r="R7" s="183">
        <v>0.1</v>
      </c>
      <c r="S7" s="183">
        <v>0.1</v>
      </c>
      <c r="T7" s="212">
        <v>0.1</v>
      </c>
      <c r="U7" s="183">
        <v>0.1</v>
      </c>
      <c r="V7" s="183">
        <v>0.1</v>
      </c>
      <c r="W7" s="183">
        <v>0.1</v>
      </c>
      <c r="X7" s="183">
        <v>0.1</v>
      </c>
      <c r="Y7" s="183">
        <v>0.1</v>
      </c>
      <c r="Z7" s="183">
        <v>0.1</v>
      </c>
      <c r="AA7" s="183">
        <v>0.1</v>
      </c>
    </row>
    <row r="8" spans="1:27" ht="15" customHeight="1" x14ac:dyDescent="0.25">
      <c r="A8" s="44" t="s">
        <v>18</v>
      </c>
      <c r="B8" s="42" t="s">
        <v>1071</v>
      </c>
      <c r="C8" s="183">
        <v>0.1</v>
      </c>
      <c r="D8" s="183">
        <v>0.1</v>
      </c>
      <c r="E8" s="183">
        <v>0.1</v>
      </c>
      <c r="F8" s="183">
        <v>0.1</v>
      </c>
      <c r="G8" s="183">
        <v>0.1</v>
      </c>
      <c r="H8" s="183">
        <v>0.1</v>
      </c>
      <c r="I8" s="183">
        <v>0.1</v>
      </c>
      <c r="J8" s="183">
        <v>0.1</v>
      </c>
      <c r="K8" s="183">
        <v>0.1</v>
      </c>
      <c r="L8" s="183">
        <v>0.1</v>
      </c>
      <c r="M8" s="183">
        <v>0.1</v>
      </c>
      <c r="N8" s="183">
        <v>0.1</v>
      </c>
      <c r="O8" s="183">
        <v>0.1</v>
      </c>
      <c r="P8" s="183">
        <v>0.1</v>
      </c>
      <c r="Q8" s="183">
        <v>0.1</v>
      </c>
      <c r="R8" s="183">
        <v>0.1</v>
      </c>
      <c r="S8" s="183">
        <v>0.1</v>
      </c>
      <c r="T8" s="212">
        <v>0.1</v>
      </c>
      <c r="U8" s="183">
        <v>0.1</v>
      </c>
      <c r="V8" s="183">
        <v>0.1</v>
      </c>
      <c r="W8" s="183">
        <v>0.1</v>
      </c>
      <c r="X8" s="183">
        <v>0.1</v>
      </c>
      <c r="Y8" s="183">
        <v>0.1</v>
      </c>
      <c r="Z8" s="183">
        <v>0.1</v>
      </c>
      <c r="AA8" s="183">
        <v>0.1</v>
      </c>
    </row>
    <row r="9" spans="1:27" ht="15" customHeight="1" x14ac:dyDescent="0.25">
      <c r="A9" s="44" t="s">
        <v>19</v>
      </c>
      <c r="B9" s="42" t="s">
        <v>1071</v>
      </c>
      <c r="C9" s="183">
        <v>0.1</v>
      </c>
      <c r="D9" s="183">
        <v>0.1</v>
      </c>
      <c r="E9" s="183">
        <v>0.1</v>
      </c>
      <c r="F9" s="183">
        <v>0.1</v>
      </c>
      <c r="G9" s="183">
        <v>0.1</v>
      </c>
      <c r="H9" s="183">
        <v>0.1</v>
      </c>
      <c r="I9" s="183">
        <v>0.1</v>
      </c>
      <c r="J9" s="183">
        <v>0.1</v>
      </c>
      <c r="K9" s="183">
        <v>0.1</v>
      </c>
      <c r="L9" s="183">
        <v>0.1</v>
      </c>
      <c r="M9" s="183">
        <v>0.1</v>
      </c>
      <c r="N9" s="183">
        <v>0.1</v>
      </c>
      <c r="O9" s="183">
        <v>0.1</v>
      </c>
      <c r="P9" s="183">
        <v>0.1</v>
      </c>
      <c r="Q9" s="183">
        <v>0.1</v>
      </c>
      <c r="R9" s="183">
        <v>0.1</v>
      </c>
      <c r="S9" s="183">
        <v>0.1</v>
      </c>
      <c r="T9" s="212">
        <v>0.1</v>
      </c>
      <c r="U9" s="183">
        <v>0.1</v>
      </c>
      <c r="V9" s="183">
        <v>0.1</v>
      </c>
      <c r="W9" s="183">
        <v>0.1</v>
      </c>
      <c r="X9" s="183">
        <v>0.1</v>
      </c>
      <c r="Y9" s="183">
        <v>0.1</v>
      </c>
      <c r="Z9" s="183">
        <v>0.1</v>
      </c>
      <c r="AA9" s="183">
        <v>0.1</v>
      </c>
    </row>
    <row r="10" spans="1:27" ht="15" customHeight="1" x14ac:dyDescent="0.25">
      <c r="A10" s="46" t="s">
        <v>20</v>
      </c>
      <c r="B10" s="42" t="s">
        <v>349</v>
      </c>
      <c r="C10" s="184">
        <v>5.7999999999999996E-3</v>
      </c>
      <c r="D10" s="184">
        <v>0.06</v>
      </c>
      <c r="E10" s="184">
        <v>4.2000000000000003E-2</v>
      </c>
      <c r="F10" s="184">
        <v>2.0999999999999999E-3</v>
      </c>
      <c r="G10" s="184">
        <v>2.1000000000000001E-2</v>
      </c>
      <c r="H10" s="184">
        <v>0.06</v>
      </c>
      <c r="I10" s="184">
        <v>4.2000000000000003E-2</v>
      </c>
      <c r="J10" s="184">
        <v>5.7999999999999996E-3</v>
      </c>
      <c r="K10" s="184">
        <v>3.3000000000000002E-2</v>
      </c>
      <c r="L10" s="184">
        <v>2.1000000000000001E-2</v>
      </c>
      <c r="M10" s="184">
        <v>0.06</v>
      </c>
      <c r="N10" s="184">
        <v>0.04</v>
      </c>
      <c r="O10" s="184">
        <v>2.1000000000000001E-2</v>
      </c>
      <c r="P10" s="184">
        <v>4.2000000000000003E-2</v>
      </c>
      <c r="Q10" s="184">
        <v>5.7999999999999996E-3</v>
      </c>
      <c r="R10" s="184">
        <v>5.7999999999999996E-3</v>
      </c>
      <c r="S10" s="184">
        <v>0.04</v>
      </c>
      <c r="T10" s="213">
        <v>2.1000000000000001E-2</v>
      </c>
      <c r="U10" s="184">
        <v>5.6000000000000001E-2</v>
      </c>
      <c r="V10" s="184">
        <v>2.1000000000000001E-2</v>
      </c>
      <c r="W10" s="184">
        <v>0.04</v>
      </c>
      <c r="X10" s="184">
        <v>2.8999999999999998E-3</v>
      </c>
      <c r="Y10" s="184">
        <v>2.1000000000000001E-2</v>
      </c>
      <c r="Z10" s="184">
        <v>7.2999999999999996E-4</v>
      </c>
      <c r="AA10" s="184">
        <v>2.9000000000000001E-2</v>
      </c>
    </row>
    <row r="11" spans="1:27" ht="15" customHeight="1" x14ac:dyDescent="0.25">
      <c r="A11" s="44" t="s">
        <v>21</v>
      </c>
      <c r="B11" s="42" t="s">
        <v>1071</v>
      </c>
      <c r="C11" s="183">
        <v>0.03</v>
      </c>
      <c r="D11" s="183">
        <v>0.03</v>
      </c>
      <c r="E11" s="183">
        <v>0.03</v>
      </c>
      <c r="F11" s="183">
        <v>0.03</v>
      </c>
      <c r="G11" s="183">
        <v>0.03</v>
      </c>
      <c r="H11" s="183">
        <v>0.03</v>
      </c>
      <c r="I11" s="183">
        <v>0.03</v>
      </c>
      <c r="J11" s="183">
        <v>0.03</v>
      </c>
      <c r="K11" s="183">
        <v>0.03</v>
      </c>
      <c r="L11" s="183">
        <v>0.03</v>
      </c>
      <c r="M11" s="183">
        <v>0.03</v>
      </c>
      <c r="N11" s="183">
        <v>0.03</v>
      </c>
      <c r="O11" s="183">
        <v>0.03</v>
      </c>
      <c r="P11" s="183">
        <v>0.03</v>
      </c>
      <c r="Q11" s="183">
        <v>0.03</v>
      </c>
      <c r="R11" s="183">
        <v>0.03</v>
      </c>
      <c r="S11" s="183">
        <v>0.03</v>
      </c>
      <c r="T11" s="212">
        <v>0.03</v>
      </c>
      <c r="U11" s="183">
        <v>0.03</v>
      </c>
      <c r="V11" s="183">
        <v>0.03</v>
      </c>
      <c r="W11" s="183">
        <v>0.03</v>
      </c>
      <c r="X11" s="183">
        <v>0.03</v>
      </c>
      <c r="Y11" s="183">
        <v>0.03</v>
      </c>
      <c r="Z11" s="183">
        <v>0.03</v>
      </c>
      <c r="AA11" s="183">
        <v>0.03</v>
      </c>
    </row>
    <row r="12" spans="1:27" ht="15" customHeight="1" x14ac:dyDescent="0.25">
      <c r="A12" s="44" t="s">
        <v>22</v>
      </c>
      <c r="B12" s="42" t="s">
        <v>1071</v>
      </c>
      <c r="C12" s="183">
        <v>0.3</v>
      </c>
      <c r="D12" s="183">
        <v>0.3</v>
      </c>
      <c r="E12" s="183">
        <v>0.3</v>
      </c>
      <c r="F12" s="183">
        <v>0.3</v>
      </c>
      <c r="G12" s="183">
        <v>0.3</v>
      </c>
      <c r="H12" s="183">
        <v>0.3</v>
      </c>
      <c r="I12" s="183">
        <v>0.3</v>
      </c>
      <c r="J12" s="183">
        <v>0.3</v>
      </c>
      <c r="K12" s="183">
        <v>0.3</v>
      </c>
      <c r="L12" s="183">
        <v>0.3</v>
      </c>
      <c r="M12" s="183">
        <v>0.3</v>
      </c>
      <c r="N12" s="183">
        <v>0.3</v>
      </c>
      <c r="O12" s="183">
        <v>0.3</v>
      </c>
      <c r="P12" s="183">
        <v>0.3</v>
      </c>
      <c r="Q12" s="183">
        <v>0.3</v>
      </c>
      <c r="R12" s="183">
        <v>0.3</v>
      </c>
      <c r="S12" s="183">
        <v>0.3</v>
      </c>
      <c r="T12" s="212">
        <v>0.3</v>
      </c>
      <c r="U12" s="183">
        <v>0.3</v>
      </c>
      <c r="V12" s="183">
        <v>0.3</v>
      </c>
      <c r="W12" s="183">
        <v>0.3</v>
      </c>
      <c r="X12" s="183">
        <v>0.3</v>
      </c>
      <c r="Y12" s="183">
        <v>0.3</v>
      </c>
      <c r="Z12" s="183">
        <v>0.3</v>
      </c>
      <c r="AA12" s="183">
        <v>0.3</v>
      </c>
    </row>
    <row r="13" spans="1:27" ht="15" customHeight="1" x14ac:dyDescent="0.25">
      <c r="A13" s="44" t="s">
        <v>23</v>
      </c>
      <c r="B13" s="42" t="s">
        <v>1071</v>
      </c>
      <c r="C13" s="185">
        <v>2.9999999999999997E-4</v>
      </c>
      <c r="D13" s="184">
        <v>2.7E-2</v>
      </c>
      <c r="E13" s="184">
        <v>2.1999999999999999E-2</v>
      </c>
      <c r="F13" s="185">
        <v>2.9999999999999997E-4</v>
      </c>
      <c r="G13" s="184">
        <v>1.7999999999999999E-2</v>
      </c>
      <c r="H13" s="184">
        <v>2.7E-2</v>
      </c>
      <c r="I13" s="184">
        <v>2.1999999999999999E-2</v>
      </c>
      <c r="J13" s="185">
        <v>2.9999999999999997E-4</v>
      </c>
      <c r="K13" s="184">
        <v>4.7999999999999996E-3</v>
      </c>
      <c r="L13" s="184">
        <v>1.7999999999999999E-2</v>
      </c>
      <c r="M13" s="184">
        <v>2.7E-2</v>
      </c>
      <c r="N13" s="184">
        <v>1.7000000000000001E-2</v>
      </c>
      <c r="O13" s="184">
        <v>1.7999999999999999E-2</v>
      </c>
      <c r="P13" s="184">
        <v>2.1999999999999999E-2</v>
      </c>
      <c r="Q13" s="185">
        <v>2.9999999999999997E-4</v>
      </c>
      <c r="R13" s="185">
        <v>2.9999999999999997E-4</v>
      </c>
      <c r="S13" s="184">
        <v>1.7000000000000001E-2</v>
      </c>
      <c r="T13" s="213">
        <v>1.7999999999999999E-2</v>
      </c>
      <c r="U13" s="184">
        <v>5.7000000000000002E-3</v>
      </c>
      <c r="V13" s="184">
        <v>1.7999999999999999E-2</v>
      </c>
      <c r="W13" s="184">
        <v>1.7000000000000001E-2</v>
      </c>
      <c r="X13" s="185">
        <v>2.9999999999999997E-4</v>
      </c>
      <c r="Y13" s="184">
        <v>1.7999999999999999E-2</v>
      </c>
      <c r="Z13" s="183">
        <v>0.02</v>
      </c>
      <c r="AA13" s="184">
        <v>2.8999999999999998E-3</v>
      </c>
    </row>
    <row r="14" spans="1:27" ht="15" customHeight="1" x14ac:dyDescent="0.25">
      <c r="A14" s="44" t="s">
        <v>24</v>
      </c>
      <c r="B14" s="42" t="s">
        <v>1071</v>
      </c>
      <c r="C14" s="183">
        <v>0.01</v>
      </c>
      <c r="D14" s="183">
        <v>0.01</v>
      </c>
      <c r="E14" s="183">
        <v>0.01</v>
      </c>
      <c r="F14" s="183">
        <v>0.01</v>
      </c>
      <c r="G14" s="183">
        <v>0.01</v>
      </c>
      <c r="H14" s="183">
        <v>0.01</v>
      </c>
      <c r="I14" s="183">
        <v>0.01</v>
      </c>
      <c r="J14" s="183">
        <v>0.01</v>
      </c>
      <c r="K14" s="183">
        <v>0.01</v>
      </c>
      <c r="L14" s="183">
        <v>0.01</v>
      </c>
      <c r="M14" s="183">
        <v>0.01</v>
      </c>
      <c r="N14" s="183">
        <v>0.01</v>
      </c>
      <c r="O14" s="183">
        <v>0.01</v>
      </c>
      <c r="P14" s="183">
        <v>0.01</v>
      </c>
      <c r="Q14" s="183">
        <v>0.01</v>
      </c>
      <c r="R14" s="183">
        <v>0.01</v>
      </c>
      <c r="S14" s="183">
        <v>0.01</v>
      </c>
      <c r="T14" s="212">
        <v>0.01</v>
      </c>
      <c r="U14" s="183">
        <v>0.01</v>
      </c>
      <c r="V14" s="183">
        <v>0.01</v>
      </c>
      <c r="W14" s="183">
        <v>0.01</v>
      </c>
      <c r="X14" s="183">
        <v>0.01</v>
      </c>
      <c r="Y14" s="183">
        <v>0.01</v>
      </c>
      <c r="Z14" s="183">
        <v>0.01</v>
      </c>
      <c r="AA14" s="183">
        <v>0.01</v>
      </c>
    </row>
    <row r="15" spans="1:27" ht="15" customHeight="1" x14ac:dyDescent="0.25">
      <c r="A15" s="44" t="s">
        <v>25</v>
      </c>
      <c r="B15" s="42" t="s">
        <v>1071</v>
      </c>
      <c r="C15" s="185">
        <v>0.01</v>
      </c>
      <c r="D15" s="184">
        <v>0.08</v>
      </c>
      <c r="E15" s="184">
        <v>1.4999999999999999E-2</v>
      </c>
      <c r="F15" s="185">
        <v>0.01</v>
      </c>
      <c r="G15" s="184">
        <v>1.4999999999999999E-2</v>
      </c>
      <c r="H15" s="184">
        <v>0.08</v>
      </c>
      <c r="I15" s="184">
        <v>1.4999999999999999E-2</v>
      </c>
      <c r="J15" s="185">
        <v>0.01</v>
      </c>
      <c r="K15" s="184">
        <v>1.1999999999999999E-3</v>
      </c>
      <c r="L15" s="184">
        <v>1.4999999999999999E-2</v>
      </c>
      <c r="M15" s="184">
        <v>0.08</v>
      </c>
      <c r="N15" s="184">
        <v>5.3E-3</v>
      </c>
      <c r="O15" s="184">
        <v>1.4999999999999999E-2</v>
      </c>
      <c r="P15" s="184">
        <v>1.4999999999999999E-2</v>
      </c>
      <c r="Q15" s="185">
        <v>0.01</v>
      </c>
      <c r="R15" s="185">
        <v>0.01</v>
      </c>
      <c r="S15" s="184">
        <v>5.3E-3</v>
      </c>
      <c r="T15" s="213">
        <v>1.4999999999999999E-2</v>
      </c>
      <c r="U15" s="184">
        <v>1.5E-3</v>
      </c>
      <c r="V15" s="184">
        <v>1.4999999999999999E-2</v>
      </c>
      <c r="W15" s="184">
        <v>5.3E-3</v>
      </c>
      <c r="X15" s="185">
        <v>0.01</v>
      </c>
      <c r="Y15" s="184">
        <v>1.4999999999999999E-2</v>
      </c>
      <c r="Z15" s="184">
        <v>2.9E-4</v>
      </c>
      <c r="AA15" s="184">
        <v>1.0999999999999999E-2</v>
      </c>
    </row>
    <row r="16" spans="1:27" ht="15" customHeight="1" x14ac:dyDescent="0.25">
      <c r="A16" s="44" t="s">
        <v>26</v>
      </c>
      <c r="B16" s="42" t="s">
        <v>1071</v>
      </c>
      <c r="C16" s="185">
        <v>0.01</v>
      </c>
      <c r="D16" s="184">
        <v>0.08</v>
      </c>
      <c r="E16" s="184">
        <v>1.4999999999999999E-2</v>
      </c>
      <c r="F16" s="185">
        <v>0.01</v>
      </c>
      <c r="G16" s="184">
        <v>1.4999999999999999E-2</v>
      </c>
      <c r="H16" s="184">
        <v>0.08</v>
      </c>
      <c r="I16" s="184">
        <v>1.4999999999999999E-2</v>
      </c>
      <c r="J16" s="185">
        <v>0.01</v>
      </c>
      <c r="K16" s="184">
        <v>1.1999999999999999E-3</v>
      </c>
      <c r="L16" s="184">
        <v>1.4999999999999999E-2</v>
      </c>
      <c r="M16" s="184">
        <v>0.08</v>
      </c>
      <c r="N16" s="184">
        <v>5.3E-3</v>
      </c>
      <c r="O16" s="184">
        <v>1.4999999999999999E-2</v>
      </c>
      <c r="P16" s="184">
        <v>1.4999999999999999E-2</v>
      </c>
      <c r="Q16" s="185">
        <v>0.01</v>
      </c>
      <c r="R16" s="185">
        <v>0.01</v>
      </c>
      <c r="S16" s="184">
        <v>5.3E-3</v>
      </c>
      <c r="T16" s="213">
        <v>1.4999999999999999E-2</v>
      </c>
      <c r="U16" s="184">
        <v>1.5E-3</v>
      </c>
      <c r="V16" s="184">
        <v>1.4999999999999999E-2</v>
      </c>
      <c r="W16" s="184">
        <v>5.3E-3</v>
      </c>
      <c r="X16" s="185">
        <v>0.01</v>
      </c>
      <c r="Y16" s="184">
        <v>1.4999999999999999E-2</v>
      </c>
      <c r="Z16" s="184">
        <v>2.9E-4</v>
      </c>
      <c r="AA16" s="184">
        <v>1.0999999999999999E-2</v>
      </c>
    </row>
    <row r="17" spans="1:27" ht="15" customHeight="1" x14ac:dyDescent="0.25">
      <c r="A17" s="44" t="s">
        <v>27</v>
      </c>
      <c r="B17" s="42" t="s">
        <v>1071</v>
      </c>
      <c r="C17" s="185">
        <v>0.01</v>
      </c>
      <c r="D17" s="184">
        <v>0.08</v>
      </c>
      <c r="E17" s="184">
        <v>1.4999999999999999E-2</v>
      </c>
      <c r="F17" s="185">
        <v>0.01</v>
      </c>
      <c r="G17" s="184">
        <v>1.4999999999999999E-2</v>
      </c>
      <c r="H17" s="184">
        <v>0.08</v>
      </c>
      <c r="I17" s="184">
        <v>1.4999999999999999E-2</v>
      </c>
      <c r="J17" s="185">
        <v>0.01</v>
      </c>
      <c r="K17" s="184">
        <v>1.1999999999999999E-3</v>
      </c>
      <c r="L17" s="184">
        <v>1.4999999999999999E-2</v>
      </c>
      <c r="M17" s="184">
        <v>0.08</v>
      </c>
      <c r="N17" s="184">
        <v>5.3E-3</v>
      </c>
      <c r="O17" s="184">
        <v>1.4999999999999999E-2</v>
      </c>
      <c r="P17" s="184">
        <v>1.4999999999999999E-2</v>
      </c>
      <c r="Q17" s="185">
        <v>0.01</v>
      </c>
      <c r="R17" s="185">
        <v>0.01</v>
      </c>
      <c r="S17" s="184">
        <v>5.3E-3</v>
      </c>
      <c r="T17" s="213">
        <v>1.4999999999999999E-2</v>
      </c>
      <c r="U17" s="184">
        <v>1.5E-3</v>
      </c>
      <c r="V17" s="184">
        <v>1.4999999999999999E-2</v>
      </c>
      <c r="W17" s="184">
        <v>5.3E-3</v>
      </c>
      <c r="X17" s="185">
        <v>0.01</v>
      </c>
      <c r="Y17" s="184">
        <v>1.4999999999999999E-2</v>
      </c>
      <c r="Z17" s="184">
        <v>2.9E-4</v>
      </c>
      <c r="AA17" s="184">
        <v>1.0999999999999999E-2</v>
      </c>
    </row>
    <row r="18" spans="1:27" ht="15" customHeight="1" x14ac:dyDescent="0.25">
      <c r="A18" s="44" t="s">
        <v>28</v>
      </c>
      <c r="B18" s="42" t="s">
        <v>1071</v>
      </c>
      <c r="C18" s="185">
        <v>2.0000000000000001E-4</v>
      </c>
      <c r="D18" s="184">
        <v>7.4000000000000003E-3</v>
      </c>
      <c r="E18" s="184">
        <v>5.7999999999999996E-3</v>
      </c>
      <c r="F18" s="185">
        <v>2.0000000000000001E-4</v>
      </c>
      <c r="G18" s="185">
        <v>2.0000000000000001E-4</v>
      </c>
      <c r="H18" s="184">
        <v>7.4000000000000003E-3</v>
      </c>
      <c r="I18" s="184">
        <v>5.7999999999999996E-3</v>
      </c>
      <c r="J18" s="185">
        <v>2.0000000000000001E-4</v>
      </c>
      <c r="K18" s="184">
        <v>2.4000000000000001E-4</v>
      </c>
      <c r="L18" s="185">
        <v>2.0000000000000001E-4</v>
      </c>
      <c r="M18" s="184">
        <v>7.4000000000000003E-3</v>
      </c>
      <c r="N18" s="184">
        <v>2.7E-4</v>
      </c>
      <c r="O18" s="185">
        <v>2.0000000000000001E-4</v>
      </c>
      <c r="P18" s="185">
        <v>5.7999999999999996E-3</v>
      </c>
      <c r="Q18" s="185">
        <v>2.0000000000000001E-4</v>
      </c>
      <c r="R18" s="185">
        <v>2.0000000000000001E-4</v>
      </c>
      <c r="S18" s="184">
        <v>2.7E-4</v>
      </c>
      <c r="T18" s="214">
        <v>2.0000000000000001E-4</v>
      </c>
      <c r="U18" s="184">
        <v>2.7000000000000001E-3</v>
      </c>
      <c r="V18" s="185">
        <v>2.0000000000000001E-4</v>
      </c>
      <c r="W18" s="184">
        <v>2.7E-4</v>
      </c>
      <c r="X18" s="185">
        <v>2.0000000000000001E-4</v>
      </c>
      <c r="Y18" s="185">
        <v>2.0000000000000001E-4</v>
      </c>
      <c r="Z18" s="184">
        <v>1.2999999999999999E-2</v>
      </c>
      <c r="AA18" s="184">
        <v>2.4000000000000001E-4</v>
      </c>
    </row>
    <row r="19" spans="1:27" ht="15" customHeight="1" x14ac:dyDescent="0.25">
      <c r="A19" s="44" t="s">
        <v>29</v>
      </c>
      <c r="B19" s="42" t="s">
        <v>1071</v>
      </c>
      <c r="C19" s="185">
        <v>2.0000000000000001E-4</v>
      </c>
      <c r="D19" s="184">
        <v>7.4000000000000003E-3</v>
      </c>
      <c r="E19" s="184">
        <v>5.7999999999999996E-3</v>
      </c>
      <c r="F19" s="185">
        <v>2.0000000000000001E-4</v>
      </c>
      <c r="G19" s="185">
        <v>2.0000000000000001E-4</v>
      </c>
      <c r="H19" s="184">
        <v>7.4000000000000003E-3</v>
      </c>
      <c r="I19" s="184">
        <v>5.7999999999999996E-3</v>
      </c>
      <c r="J19" s="185">
        <v>2.0000000000000001E-4</v>
      </c>
      <c r="K19" s="184">
        <v>2.4000000000000001E-4</v>
      </c>
      <c r="L19" s="185">
        <v>2.0000000000000001E-4</v>
      </c>
      <c r="M19" s="184">
        <v>7.4000000000000003E-3</v>
      </c>
      <c r="N19" s="184">
        <v>2.7E-4</v>
      </c>
      <c r="O19" s="185">
        <v>2.0000000000000001E-4</v>
      </c>
      <c r="P19" s="185">
        <v>5.7999999999999996E-3</v>
      </c>
      <c r="Q19" s="185">
        <v>2.0000000000000001E-4</v>
      </c>
      <c r="R19" s="185">
        <v>2.0000000000000001E-4</v>
      </c>
      <c r="S19" s="184">
        <v>2.7E-4</v>
      </c>
      <c r="T19" s="214">
        <v>2.0000000000000001E-4</v>
      </c>
      <c r="U19" s="184">
        <v>2.7000000000000001E-3</v>
      </c>
      <c r="V19" s="185">
        <v>2.0000000000000001E-4</v>
      </c>
      <c r="W19" s="184">
        <v>2.7E-4</v>
      </c>
      <c r="X19" s="185">
        <v>2.0000000000000001E-4</v>
      </c>
      <c r="Y19" s="185">
        <v>2.0000000000000001E-4</v>
      </c>
      <c r="Z19" s="184">
        <v>1.2999999999999999E-2</v>
      </c>
      <c r="AA19" s="184">
        <v>2.4000000000000001E-4</v>
      </c>
    </row>
    <row r="20" spans="1:27" ht="15" customHeight="1" x14ac:dyDescent="0.25">
      <c r="A20" s="44" t="s">
        <v>30</v>
      </c>
      <c r="B20" s="42" t="s">
        <v>1071</v>
      </c>
      <c r="C20" s="185">
        <v>2.0000000000000001E-4</v>
      </c>
      <c r="D20" s="184">
        <v>7.4000000000000003E-3</v>
      </c>
      <c r="E20" s="184">
        <v>5.7999999999999996E-3</v>
      </c>
      <c r="F20" s="185">
        <v>2.0000000000000001E-4</v>
      </c>
      <c r="G20" s="185">
        <v>2.0000000000000001E-4</v>
      </c>
      <c r="H20" s="184">
        <v>7.4000000000000003E-3</v>
      </c>
      <c r="I20" s="184">
        <v>5.7999999999999996E-3</v>
      </c>
      <c r="J20" s="185">
        <v>2.0000000000000001E-4</v>
      </c>
      <c r="K20" s="184">
        <v>2.4000000000000001E-4</v>
      </c>
      <c r="L20" s="185">
        <v>2.0000000000000001E-4</v>
      </c>
      <c r="M20" s="184">
        <v>7.4000000000000003E-3</v>
      </c>
      <c r="N20" s="184">
        <v>2.7E-4</v>
      </c>
      <c r="O20" s="185">
        <v>2.0000000000000001E-4</v>
      </c>
      <c r="P20" s="185">
        <v>5.7999999999999996E-3</v>
      </c>
      <c r="Q20" s="185">
        <v>2.0000000000000001E-4</v>
      </c>
      <c r="R20" s="185">
        <v>2.0000000000000001E-4</v>
      </c>
      <c r="S20" s="184">
        <v>2.7E-4</v>
      </c>
      <c r="T20" s="214">
        <v>2.0000000000000001E-4</v>
      </c>
      <c r="U20" s="184">
        <v>2.7000000000000001E-3</v>
      </c>
      <c r="V20" s="185">
        <v>2.0000000000000001E-4</v>
      </c>
      <c r="W20" s="184">
        <v>2.7E-4</v>
      </c>
      <c r="X20" s="185">
        <v>2.0000000000000001E-4</v>
      </c>
      <c r="Y20" s="185">
        <v>2.0000000000000001E-4</v>
      </c>
      <c r="Z20" s="184">
        <v>1.2999999999999999E-2</v>
      </c>
      <c r="AA20" s="184">
        <v>2.4000000000000001E-4</v>
      </c>
    </row>
    <row r="21" spans="1:27" ht="15" customHeight="1" x14ac:dyDescent="0.25">
      <c r="A21" s="44" t="s">
        <v>31</v>
      </c>
      <c r="B21" s="42" t="s">
        <v>1071</v>
      </c>
      <c r="C21" s="185">
        <v>2.0000000000000001E-4</v>
      </c>
      <c r="D21" s="184">
        <v>7.4000000000000003E-3</v>
      </c>
      <c r="E21" s="184">
        <v>5.7999999999999996E-3</v>
      </c>
      <c r="F21" s="185">
        <v>2.0000000000000001E-4</v>
      </c>
      <c r="G21" s="185">
        <v>2.0000000000000001E-4</v>
      </c>
      <c r="H21" s="184">
        <v>7.4000000000000003E-3</v>
      </c>
      <c r="I21" s="184">
        <v>5.7999999999999996E-3</v>
      </c>
      <c r="J21" s="185">
        <v>2.0000000000000001E-4</v>
      </c>
      <c r="K21" s="184">
        <v>2.4000000000000001E-4</v>
      </c>
      <c r="L21" s="185">
        <v>2.0000000000000001E-4</v>
      </c>
      <c r="M21" s="184">
        <v>7.4000000000000003E-3</v>
      </c>
      <c r="N21" s="184">
        <v>2.7E-4</v>
      </c>
      <c r="O21" s="185">
        <v>2.0000000000000001E-4</v>
      </c>
      <c r="P21" s="185">
        <v>5.7999999999999996E-3</v>
      </c>
      <c r="Q21" s="185">
        <v>2.0000000000000001E-4</v>
      </c>
      <c r="R21" s="185">
        <v>2.0000000000000001E-4</v>
      </c>
      <c r="S21" s="184">
        <v>2.7E-4</v>
      </c>
      <c r="T21" s="214">
        <v>2.0000000000000001E-4</v>
      </c>
      <c r="U21" s="184">
        <v>2.7000000000000001E-3</v>
      </c>
      <c r="V21" s="185">
        <v>2.0000000000000001E-4</v>
      </c>
      <c r="W21" s="184">
        <v>2.7E-4</v>
      </c>
      <c r="X21" s="185">
        <v>2.0000000000000001E-4</v>
      </c>
      <c r="Y21" s="185">
        <v>2.0000000000000001E-4</v>
      </c>
      <c r="Z21" s="184">
        <v>1.2999999999999999E-2</v>
      </c>
      <c r="AA21" s="184">
        <v>2.4000000000000001E-4</v>
      </c>
    </row>
    <row r="22" spans="1:27" ht="15" customHeight="1" x14ac:dyDescent="0.25">
      <c r="A22" s="44" t="s">
        <v>32</v>
      </c>
      <c r="B22" s="42" t="s">
        <v>1071</v>
      </c>
      <c r="C22" s="185">
        <v>0.01</v>
      </c>
      <c r="D22" s="184">
        <v>9.0999999999999998E-2</v>
      </c>
      <c r="E22" s="184">
        <v>7.0000000000000007E-2</v>
      </c>
      <c r="F22" s="185">
        <v>0.01</v>
      </c>
      <c r="G22" s="184">
        <v>1.7000000000000001E-2</v>
      </c>
      <c r="H22" s="184">
        <v>9.0999999999999998E-2</v>
      </c>
      <c r="I22" s="184">
        <v>7.0000000000000007E-2</v>
      </c>
      <c r="J22" s="185">
        <v>0.01</v>
      </c>
      <c r="K22" s="184">
        <v>2.3999999999999998E-3</v>
      </c>
      <c r="L22" s="184">
        <v>1.7000000000000001E-2</v>
      </c>
      <c r="M22" s="184">
        <v>9.0999999999999998E-2</v>
      </c>
      <c r="N22" s="184">
        <v>1.4E-2</v>
      </c>
      <c r="O22" s="184">
        <v>1.7000000000000001E-2</v>
      </c>
      <c r="P22" s="184">
        <v>7.0000000000000007E-2</v>
      </c>
      <c r="Q22" s="185">
        <v>0.01</v>
      </c>
      <c r="R22" s="185">
        <v>0.01</v>
      </c>
      <c r="S22" s="184">
        <v>1.4E-2</v>
      </c>
      <c r="T22" s="213">
        <v>1.7000000000000001E-2</v>
      </c>
      <c r="U22" s="184">
        <v>1.0999999999999999E-2</v>
      </c>
      <c r="V22" s="184">
        <v>1.7000000000000001E-2</v>
      </c>
      <c r="W22" s="184">
        <v>1.4E-2</v>
      </c>
      <c r="X22" s="185">
        <v>0.01</v>
      </c>
      <c r="Y22" s="184">
        <v>1.7000000000000001E-2</v>
      </c>
      <c r="Z22" s="184">
        <v>8.7000000000000001E-4</v>
      </c>
      <c r="AA22" s="184">
        <v>1.7000000000000001E-2</v>
      </c>
    </row>
    <row r="23" spans="1:27" ht="15" customHeight="1" x14ac:dyDescent="0.25">
      <c r="A23" s="46" t="s">
        <v>33</v>
      </c>
      <c r="B23" s="42" t="s">
        <v>349</v>
      </c>
      <c r="C23" s="185">
        <v>0.01</v>
      </c>
      <c r="D23" s="184">
        <v>9.0999999999999998E-2</v>
      </c>
      <c r="E23" s="184">
        <v>7.0000000000000007E-2</v>
      </c>
      <c r="F23" s="185">
        <v>0.01</v>
      </c>
      <c r="G23" s="184">
        <v>1.7000000000000001E-2</v>
      </c>
      <c r="H23" s="184">
        <v>9.0999999999999998E-2</v>
      </c>
      <c r="I23" s="184">
        <v>7.0000000000000007E-2</v>
      </c>
      <c r="J23" s="185">
        <v>0.01</v>
      </c>
      <c r="K23" s="184">
        <v>2.3999999999999998E-3</v>
      </c>
      <c r="L23" s="184">
        <v>1.7000000000000001E-2</v>
      </c>
      <c r="M23" s="184">
        <v>9.0999999999999998E-2</v>
      </c>
      <c r="N23" s="184">
        <v>1.4E-2</v>
      </c>
      <c r="O23" s="184">
        <v>1.7000000000000001E-2</v>
      </c>
      <c r="P23" s="184">
        <v>7.0000000000000007E-2</v>
      </c>
      <c r="Q23" s="185">
        <v>0.01</v>
      </c>
      <c r="R23" s="185">
        <v>0.01</v>
      </c>
      <c r="S23" s="184">
        <v>1.4E-2</v>
      </c>
      <c r="T23" s="213">
        <v>1.7000000000000001E-2</v>
      </c>
      <c r="U23" s="184">
        <v>1.0999999999999999E-2</v>
      </c>
      <c r="V23" s="184">
        <v>1.7000000000000001E-2</v>
      </c>
      <c r="W23" s="184">
        <v>1.4E-2</v>
      </c>
      <c r="X23" s="185">
        <v>0.01</v>
      </c>
      <c r="Y23" s="184">
        <v>1.7000000000000001E-2</v>
      </c>
      <c r="Z23" s="184">
        <v>8.7000000000000001E-4</v>
      </c>
      <c r="AA23" s="184">
        <v>1.7000000000000001E-2</v>
      </c>
    </row>
    <row r="24" spans="1:27" ht="15" customHeight="1" x14ac:dyDescent="0.25">
      <c r="A24" s="44" t="s">
        <v>34</v>
      </c>
      <c r="B24" s="42" t="s">
        <v>1071</v>
      </c>
      <c r="C24" s="183">
        <v>0</v>
      </c>
      <c r="D24" s="183">
        <v>0</v>
      </c>
      <c r="E24" s="183">
        <v>0</v>
      </c>
      <c r="F24" s="183">
        <v>0</v>
      </c>
      <c r="G24" s="183">
        <v>0</v>
      </c>
      <c r="H24" s="183">
        <v>0</v>
      </c>
      <c r="I24" s="183">
        <v>0</v>
      </c>
      <c r="J24" s="183">
        <v>0</v>
      </c>
      <c r="K24" s="183">
        <v>0</v>
      </c>
      <c r="L24" s="183">
        <v>0</v>
      </c>
      <c r="M24" s="183">
        <v>0</v>
      </c>
      <c r="N24" s="183">
        <v>0</v>
      </c>
      <c r="O24" s="183">
        <v>0</v>
      </c>
      <c r="P24" s="183">
        <v>0</v>
      </c>
      <c r="Q24" s="183">
        <v>0</v>
      </c>
      <c r="R24" s="183">
        <v>0</v>
      </c>
      <c r="S24" s="183">
        <v>0</v>
      </c>
      <c r="T24" s="212">
        <v>0</v>
      </c>
      <c r="U24" s="183">
        <v>0</v>
      </c>
      <c r="V24" s="183">
        <v>0</v>
      </c>
      <c r="W24" s="183">
        <v>0</v>
      </c>
      <c r="X24" s="183">
        <v>0</v>
      </c>
      <c r="Y24" s="183">
        <v>0</v>
      </c>
      <c r="Z24" s="183">
        <v>0</v>
      </c>
      <c r="AA24" s="183">
        <v>0</v>
      </c>
    </row>
    <row r="25" spans="1:27" ht="15" customHeight="1" x14ac:dyDescent="0.25">
      <c r="A25" s="46" t="s">
        <v>35</v>
      </c>
      <c r="B25" s="42" t="s">
        <v>349</v>
      </c>
      <c r="C25" s="183">
        <v>0</v>
      </c>
      <c r="D25" s="183">
        <v>0</v>
      </c>
      <c r="E25" s="183">
        <v>0</v>
      </c>
      <c r="F25" s="183">
        <v>0</v>
      </c>
      <c r="G25" s="183">
        <v>0</v>
      </c>
      <c r="H25" s="183">
        <v>0</v>
      </c>
      <c r="I25" s="183">
        <v>0</v>
      </c>
      <c r="J25" s="183">
        <v>0</v>
      </c>
      <c r="K25" s="183">
        <v>0</v>
      </c>
      <c r="L25" s="183">
        <v>0</v>
      </c>
      <c r="M25" s="183">
        <v>0</v>
      </c>
      <c r="N25" s="183">
        <v>0</v>
      </c>
      <c r="O25" s="183">
        <v>0</v>
      </c>
      <c r="P25" s="183">
        <v>0</v>
      </c>
      <c r="Q25" s="183">
        <v>0</v>
      </c>
      <c r="R25" s="183">
        <v>0</v>
      </c>
      <c r="S25" s="183">
        <v>0</v>
      </c>
      <c r="T25" s="212">
        <v>0</v>
      </c>
      <c r="U25" s="183">
        <v>0</v>
      </c>
      <c r="V25" s="183">
        <v>0</v>
      </c>
      <c r="W25" s="183">
        <v>0</v>
      </c>
      <c r="X25" s="183">
        <v>0</v>
      </c>
      <c r="Y25" s="183">
        <v>0</v>
      </c>
      <c r="Z25" s="183">
        <v>0</v>
      </c>
      <c r="AA25" s="183">
        <v>0</v>
      </c>
    </row>
    <row r="26" spans="1:27" ht="15" customHeight="1" x14ac:dyDescent="0.25">
      <c r="A26" s="44" t="s">
        <v>36</v>
      </c>
      <c r="B26" s="42" t="s">
        <v>1071</v>
      </c>
      <c r="C26" s="185">
        <v>5.0000000000000001E-4</v>
      </c>
      <c r="D26" s="184">
        <v>1.1999999999999999E-3</v>
      </c>
      <c r="E26" s="184">
        <v>8.0000000000000004E-4</v>
      </c>
      <c r="F26" s="185">
        <v>5.0000000000000001E-4</v>
      </c>
      <c r="G26" s="184">
        <v>7.7999999999999999E-4</v>
      </c>
      <c r="H26" s="184">
        <v>1.1999999999999999E-3</v>
      </c>
      <c r="I26" s="184">
        <v>8.0000000000000004E-4</v>
      </c>
      <c r="J26" s="185">
        <v>5.0000000000000001E-4</v>
      </c>
      <c r="K26" s="184">
        <v>6.4000000000000005E-4</v>
      </c>
      <c r="L26" s="184">
        <v>7.7999999999999999E-4</v>
      </c>
      <c r="M26" s="184">
        <v>1.1999999999999999E-3</v>
      </c>
      <c r="N26" s="184">
        <v>5.2999999999999998E-4</v>
      </c>
      <c r="O26" s="184">
        <v>7.7999999999999999E-4</v>
      </c>
      <c r="P26" s="184">
        <v>8.0000000000000004E-4</v>
      </c>
      <c r="Q26" s="185">
        <v>5.0000000000000001E-4</v>
      </c>
      <c r="R26" s="185">
        <v>5.0000000000000001E-4</v>
      </c>
      <c r="S26" s="184">
        <v>5.2999999999999998E-4</v>
      </c>
      <c r="T26" s="213">
        <v>7.7999999999999999E-4</v>
      </c>
      <c r="U26" s="184">
        <v>2.0000000000000001E-4</v>
      </c>
      <c r="V26" s="184">
        <v>7.7999999999999999E-4</v>
      </c>
      <c r="W26" s="184">
        <v>5.2999999999999998E-4</v>
      </c>
      <c r="X26" s="185">
        <v>5.0000000000000001E-4</v>
      </c>
      <c r="Y26" s="184">
        <v>7.7999999999999999E-4</v>
      </c>
      <c r="Z26" s="184">
        <v>1.6000000000000001E-4</v>
      </c>
      <c r="AA26" s="184">
        <v>2.0999999999999999E-3</v>
      </c>
    </row>
    <row r="27" spans="1:27" ht="15" customHeight="1" x14ac:dyDescent="0.25">
      <c r="A27" s="44" t="s">
        <v>37</v>
      </c>
      <c r="B27" s="42" t="s">
        <v>1071</v>
      </c>
      <c r="C27" s="185">
        <v>8.0000000000000007E-5</v>
      </c>
      <c r="D27" s="185">
        <v>8.0000000000000004E-4</v>
      </c>
      <c r="E27" s="185">
        <v>8.0000000000000007E-5</v>
      </c>
      <c r="F27" s="185">
        <v>8.0000000000000007E-5</v>
      </c>
      <c r="G27" s="185">
        <v>8.0000000000000004E-4</v>
      </c>
      <c r="H27" s="185">
        <v>8.0000000000000004E-4</v>
      </c>
      <c r="I27" s="185">
        <v>8.0000000000000007E-5</v>
      </c>
      <c r="J27" s="185">
        <v>8.0000000000000007E-5</v>
      </c>
      <c r="K27" s="185">
        <v>8.0000000000000004E-4</v>
      </c>
      <c r="L27" s="185">
        <v>8.0000000000000004E-4</v>
      </c>
      <c r="M27" s="185">
        <v>8.0000000000000004E-4</v>
      </c>
      <c r="N27" s="185">
        <v>8.0000000000000004E-4</v>
      </c>
      <c r="O27" s="185">
        <v>8.0000000000000004E-4</v>
      </c>
      <c r="P27" s="185">
        <v>8.0000000000000007E-5</v>
      </c>
      <c r="Q27" s="185">
        <v>8.0000000000000007E-5</v>
      </c>
      <c r="R27" s="185">
        <v>8.0000000000000007E-5</v>
      </c>
      <c r="S27" s="185">
        <v>8.0000000000000004E-4</v>
      </c>
      <c r="T27" s="214">
        <v>8.0000000000000004E-4</v>
      </c>
      <c r="U27" s="185">
        <v>8.0000000000000007E-5</v>
      </c>
      <c r="V27" s="185">
        <v>8.0000000000000004E-4</v>
      </c>
      <c r="W27" s="185">
        <v>8.0000000000000004E-4</v>
      </c>
      <c r="X27" s="185">
        <v>8.0000000000000007E-5</v>
      </c>
      <c r="Y27" s="185">
        <v>8.0000000000000004E-4</v>
      </c>
      <c r="Z27" s="183">
        <v>0.2</v>
      </c>
      <c r="AA27" s="183">
        <v>8.0000000000000004E-4</v>
      </c>
    </row>
    <row r="28" spans="1:27" ht="15" customHeight="1" x14ac:dyDescent="0.25">
      <c r="A28" s="44" t="s">
        <v>38</v>
      </c>
      <c r="B28" s="42" t="s">
        <v>1071</v>
      </c>
      <c r="C28" s="185">
        <v>8.0000000000000007E-5</v>
      </c>
      <c r="D28" s="185">
        <v>8.0000000000000004E-4</v>
      </c>
      <c r="E28" s="185">
        <v>8.0000000000000007E-5</v>
      </c>
      <c r="F28" s="185">
        <v>8.0000000000000007E-5</v>
      </c>
      <c r="G28" s="185">
        <v>8.0000000000000004E-4</v>
      </c>
      <c r="H28" s="185">
        <v>8.0000000000000004E-4</v>
      </c>
      <c r="I28" s="185">
        <v>8.0000000000000007E-5</v>
      </c>
      <c r="J28" s="185">
        <v>8.0000000000000007E-5</v>
      </c>
      <c r="K28" s="185">
        <v>8.0000000000000004E-4</v>
      </c>
      <c r="L28" s="185">
        <v>8.0000000000000004E-4</v>
      </c>
      <c r="M28" s="185">
        <v>8.0000000000000004E-4</v>
      </c>
      <c r="N28" s="185">
        <v>8.0000000000000004E-4</v>
      </c>
      <c r="O28" s="185">
        <v>8.0000000000000004E-4</v>
      </c>
      <c r="P28" s="185">
        <v>8.0000000000000007E-5</v>
      </c>
      <c r="Q28" s="185">
        <v>8.0000000000000007E-5</v>
      </c>
      <c r="R28" s="185">
        <v>8.0000000000000007E-5</v>
      </c>
      <c r="S28" s="185">
        <v>8.0000000000000004E-4</v>
      </c>
      <c r="T28" s="214">
        <v>8.0000000000000004E-4</v>
      </c>
      <c r="U28" s="185">
        <v>8.0000000000000007E-5</v>
      </c>
      <c r="V28" s="185">
        <v>8.0000000000000004E-4</v>
      </c>
      <c r="W28" s="185">
        <v>8.0000000000000004E-4</v>
      </c>
      <c r="X28" s="185">
        <v>8.0000000000000007E-5</v>
      </c>
      <c r="Y28" s="185">
        <v>8.0000000000000004E-4</v>
      </c>
      <c r="Z28" s="183">
        <v>0.2</v>
      </c>
      <c r="AA28" s="183">
        <v>8.0000000000000004E-4</v>
      </c>
    </row>
    <row r="29" spans="1:27" ht="15" customHeight="1" x14ac:dyDescent="0.25">
      <c r="A29" s="44" t="s">
        <v>39</v>
      </c>
      <c r="B29" s="42" t="s">
        <v>1071</v>
      </c>
      <c r="C29" s="185">
        <v>8.0000000000000007E-5</v>
      </c>
      <c r="D29" s="185">
        <v>8.0000000000000004E-4</v>
      </c>
      <c r="E29" s="185">
        <v>8.0000000000000007E-5</v>
      </c>
      <c r="F29" s="185">
        <v>8.0000000000000007E-5</v>
      </c>
      <c r="G29" s="185">
        <v>8.0000000000000004E-4</v>
      </c>
      <c r="H29" s="185">
        <v>8.0000000000000004E-4</v>
      </c>
      <c r="I29" s="185">
        <v>8.0000000000000007E-5</v>
      </c>
      <c r="J29" s="185">
        <v>8.0000000000000007E-5</v>
      </c>
      <c r="K29" s="185">
        <v>8.0000000000000004E-4</v>
      </c>
      <c r="L29" s="185">
        <v>8.0000000000000004E-4</v>
      </c>
      <c r="M29" s="185">
        <v>8.0000000000000004E-4</v>
      </c>
      <c r="N29" s="185">
        <v>8.0000000000000004E-4</v>
      </c>
      <c r="O29" s="185">
        <v>8.0000000000000004E-4</v>
      </c>
      <c r="P29" s="185">
        <v>8.0000000000000007E-5</v>
      </c>
      <c r="Q29" s="185">
        <v>8.0000000000000007E-5</v>
      </c>
      <c r="R29" s="185">
        <v>8.0000000000000007E-5</v>
      </c>
      <c r="S29" s="185">
        <v>8.0000000000000004E-4</v>
      </c>
      <c r="T29" s="214">
        <v>8.0000000000000004E-4</v>
      </c>
      <c r="U29" s="185">
        <v>8.0000000000000007E-5</v>
      </c>
      <c r="V29" s="185">
        <v>8.0000000000000004E-4</v>
      </c>
      <c r="W29" s="185">
        <v>8.0000000000000004E-4</v>
      </c>
      <c r="X29" s="185">
        <v>8.0000000000000007E-5</v>
      </c>
      <c r="Y29" s="185">
        <v>8.0000000000000004E-4</v>
      </c>
      <c r="Z29" s="183">
        <v>0.2</v>
      </c>
      <c r="AA29" s="183">
        <v>8.0000000000000004E-4</v>
      </c>
    </row>
    <row r="30" spans="1:27" ht="15" customHeight="1" x14ac:dyDescent="0.25">
      <c r="A30" s="44" t="s">
        <v>40</v>
      </c>
      <c r="B30" s="42" t="s">
        <v>1071</v>
      </c>
      <c r="C30" s="185">
        <v>1E-3</v>
      </c>
      <c r="D30" s="184">
        <v>0.02</v>
      </c>
      <c r="E30" s="184">
        <v>8.3999999999999995E-3</v>
      </c>
      <c r="F30" s="185">
        <v>1E-3</v>
      </c>
      <c r="G30" s="184">
        <v>1.4999999999999999E-2</v>
      </c>
      <c r="H30" s="184">
        <v>0.02</v>
      </c>
      <c r="I30" s="184">
        <v>8.3999999999999995E-3</v>
      </c>
      <c r="J30" s="185">
        <v>1E-3</v>
      </c>
      <c r="K30" s="184">
        <v>1.4999999999999999E-2</v>
      </c>
      <c r="L30" s="184">
        <v>1.4999999999999999E-2</v>
      </c>
      <c r="M30" s="184">
        <v>0.02</v>
      </c>
      <c r="N30" s="184">
        <v>2.2000000000000001E-3</v>
      </c>
      <c r="O30" s="184">
        <v>1.4999999999999999E-2</v>
      </c>
      <c r="P30" s="184">
        <v>8.3999999999999995E-3</v>
      </c>
      <c r="Q30" s="185">
        <v>1E-3</v>
      </c>
      <c r="R30" s="185">
        <v>1E-3</v>
      </c>
      <c r="S30" s="184">
        <v>2.2000000000000001E-3</v>
      </c>
      <c r="T30" s="213">
        <v>1.4999999999999999E-2</v>
      </c>
      <c r="U30" s="184">
        <v>5.0000000000000001E-3</v>
      </c>
      <c r="V30" s="184">
        <v>1.4999999999999999E-2</v>
      </c>
      <c r="W30" s="184">
        <v>2.2000000000000001E-3</v>
      </c>
      <c r="X30" s="185">
        <v>1E-3</v>
      </c>
      <c r="Y30" s="184">
        <v>1.4999999999999999E-2</v>
      </c>
      <c r="Z30" s="184">
        <v>2.43E-4</v>
      </c>
      <c r="AA30" s="184">
        <v>6.1999999999999998E-3</v>
      </c>
    </row>
    <row r="31" spans="1:27" x14ac:dyDescent="0.25">
      <c r="A31" s="42"/>
      <c r="B31" s="42"/>
      <c r="C31" s="112"/>
      <c r="D31" s="112"/>
      <c r="E31" s="112"/>
      <c r="F31" s="112"/>
      <c r="G31" s="112"/>
      <c r="H31" s="112"/>
      <c r="I31" s="112"/>
      <c r="J31" s="112"/>
      <c r="K31" s="112"/>
      <c r="L31" s="112"/>
      <c r="M31" s="112"/>
      <c r="N31" s="112"/>
      <c r="O31" s="112"/>
      <c r="P31" s="112"/>
      <c r="Q31" s="112"/>
      <c r="R31" s="112"/>
      <c r="S31" s="112"/>
      <c r="T31" s="112"/>
      <c r="U31" s="112"/>
      <c r="V31" s="112"/>
      <c r="W31" s="112"/>
      <c r="X31" s="112"/>
      <c r="Y31" s="112"/>
      <c r="Z31" s="112"/>
      <c r="AA31" s="112"/>
    </row>
    <row r="32" spans="1:27" x14ac:dyDescent="0.25">
      <c r="A32" s="42"/>
      <c r="B32" s="42"/>
      <c r="C32" s="186" t="s">
        <v>1470</v>
      </c>
      <c r="D32" s="187" t="s">
        <v>1471</v>
      </c>
      <c r="E32" s="188" t="s">
        <v>1472</v>
      </c>
      <c r="F32" s="189" t="s">
        <v>1473</v>
      </c>
      <c r="G32" s="112"/>
      <c r="H32" s="112"/>
      <c r="I32" s="112"/>
      <c r="J32" s="112"/>
      <c r="K32" s="112"/>
      <c r="L32" s="112"/>
      <c r="M32" s="112"/>
      <c r="N32" s="112"/>
      <c r="O32" s="112"/>
      <c r="P32" s="112"/>
      <c r="Q32" s="112"/>
      <c r="R32" s="112"/>
      <c r="S32" s="112"/>
      <c r="T32" s="112"/>
      <c r="U32" s="112"/>
      <c r="V32" s="112"/>
      <c r="W32" s="112"/>
      <c r="X32" s="112"/>
      <c r="Y32" s="112"/>
      <c r="Z32" s="112"/>
      <c r="AA32" s="112"/>
    </row>
  </sheetData>
  <sheetProtection algorithmName="SHA-512" hashValue="h2yq2B1HRW56LIPtC1Ekky/EVEtlYm57IaX/ma2S4uYAUjltpTgG22Z0ICcOOg48Itn+oab87eWUAB8UwIAejw==" saltValue="QjGSAOvz/sZ86ZYz5uuWqA==" spinCount="100000" sheet="1" formatColumns="0" formatRows="0" autoFilter="0"/>
  <autoFilter ref="A1:AA30" xr:uid="{00000000-0009-0000-0000-000006000000}"/>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BY30"/>
  <sheetViews>
    <sheetView zoomScaleNormal="100" workbookViewId="0">
      <pane xSplit="2" ySplit="1" topLeftCell="C2" activePane="bottomRight" state="frozen"/>
      <selection pane="topRight" activeCell="C1" sqref="C1"/>
      <selection pane="bottomLeft" activeCell="A2" sqref="A2"/>
      <selection pane="bottomRight" activeCell="C2" sqref="C2"/>
    </sheetView>
  </sheetViews>
  <sheetFormatPr defaultRowHeight="15" x14ac:dyDescent="0.25"/>
  <cols>
    <col min="1" max="1" width="15.42578125" style="4" bestFit="1" customWidth="1"/>
    <col min="2" max="2" width="11.140625" style="4" bestFit="1" customWidth="1"/>
    <col min="3" max="3" width="15.140625" style="1" bestFit="1" customWidth="1"/>
    <col min="4" max="4" width="14.85546875" style="1" bestFit="1" customWidth="1"/>
    <col min="5" max="5" width="14.28515625" style="1" bestFit="1" customWidth="1"/>
    <col min="6" max="6" width="14.85546875" style="1" bestFit="1" customWidth="1"/>
    <col min="7" max="7" width="14" style="1" bestFit="1" customWidth="1"/>
    <col min="8" max="8" width="14.28515625" style="1" bestFit="1" customWidth="1"/>
    <col min="9" max="9" width="13.42578125" style="1" bestFit="1" customWidth="1"/>
    <col min="10" max="10" width="15" style="1" bestFit="1" customWidth="1"/>
    <col min="11" max="11" width="14" style="1" bestFit="1" customWidth="1"/>
    <col min="12" max="12" width="16" style="1" bestFit="1" customWidth="1"/>
    <col min="13" max="13" width="13.28515625" style="1" bestFit="1" customWidth="1"/>
    <col min="14" max="15" width="14" style="1" bestFit="1" customWidth="1"/>
    <col min="16" max="16" width="15.42578125" style="1" bestFit="1" customWidth="1"/>
    <col min="17" max="17" width="15.5703125" style="1" bestFit="1" customWidth="1"/>
    <col min="18" max="18" width="14.140625" style="1" bestFit="1" customWidth="1"/>
    <col min="19" max="19" width="13.42578125" style="1" bestFit="1" customWidth="1"/>
    <col min="20" max="20" width="13.42578125" style="1" customWidth="1"/>
    <col min="21" max="21" width="14.85546875" style="1" bestFit="1" customWidth="1"/>
    <col min="22" max="22" width="15.42578125" style="1" bestFit="1" customWidth="1"/>
    <col min="23" max="23" width="14.28515625" style="1" bestFit="1" customWidth="1"/>
    <col min="24" max="24" width="15" style="1" bestFit="1" customWidth="1"/>
    <col min="25" max="25" width="13.7109375" style="1" bestFit="1" customWidth="1"/>
    <col min="26" max="26" width="13.42578125" style="1" bestFit="1" customWidth="1"/>
    <col min="27" max="27" width="15.7109375" style="1" bestFit="1" customWidth="1"/>
    <col min="28" max="28" width="14.85546875" style="1" bestFit="1" customWidth="1"/>
    <col min="29" max="29" width="14.5703125" style="1" bestFit="1" customWidth="1"/>
    <col min="30" max="30" width="14" style="1" bestFit="1" customWidth="1"/>
    <col min="31" max="31" width="14.5703125" style="1" bestFit="1" customWidth="1"/>
    <col min="32" max="32" width="13.7109375" style="1" bestFit="1" customWidth="1"/>
    <col min="33" max="33" width="14" style="1" bestFit="1" customWidth="1"/>
    <col min="34" max="34" width="13.140625" style="1" bestFit="1" customWidth="1"/>
    <col min="35" max="35" width="14.7109375" style="1" bestFit="1" customWidth="1"/>
    <col min="36" max="36" width="13.7109375" style="1" bestFit="1" customWidth="1"/>
    <col min="37" max="37" width="15.7109375" style="1" bestFit="1" customWidth="1"/>
    <col min="38" max="38" width="13" style="1" bestFit="1" customWidth="1"/>
    <col min="39" max="40" width="13.7109375" style="1" bestFit="1" customWidth="1"/>
    <col min="41" max="41" width="15" style="1" bestFit="1" customWidth="1"/>
    <col min="42" max="42" width="15.140625" style="1" bestFit="1" customWidth="1"/>
    <col min="43" max="43" width="13.85546875" style="1" bestFit="1" customWidth="1"/>
    <col min="44" max="44" width="13.140625" style="1" bestFit="1" customWidth="1"/>
    <col min="45" max="45" width="13.140625" style="1" customWidth="1"/>
    <col min="46" max="46" width="14.5703125" style="1" bestFit="1" customWidth="1"/>
    <col min="47" max="47" width="15" style="1" bestFit="1" customWidth="1"/>
    <col min="48" max="48" width="14" style="1" bestFit="1" customWidth="1"/>
    <col min="49" max="49" width="14.7109375" style="1" bestFit="1" customWidth="1"/>
    <col min="50" max="50" width="13.42578125" style="1" bestFit="1" customWidth="1"/>
    <col min="51" max="51" width="13.140625" style="1" bestFit="1" customWidth="1"/>
    <col min="52" max="52" width="15.42578125" style="1" bestFit="1" customWidth="1"/>
    <col min="53" max="53" width="15.7109375" style="1" bestFit="1" customWidth="1"/>
    <col min="54" max="54" width="15.42578125" style="1" bestFit="1" customWidth="1"/>
    <col min="55" max="55" width="14.7109375" style="1" bestFit="1" customWidth="1"/>
    <col min="56" max="56" width="15.42578125" style="1" bestFit="1" customWidth="1"/>
    <col min="57" max="57" width="14.42578125" style="1" bestFit="1" customWidth="1"/>
    <col min="58" max="58" width="14.7109375" style="1" bestFit="1" customWidth="1"/>
    <col min="59" max="59" width="13.85546875" style="1" bestFit="1" customWidth="1"/>
    <col min="60" max="60" width="15.5703125" style="1" bestFit="1" customWidth="1"/>
    <col min="61" max="61" width="14.42578125" style="1" bestFit="1" customWidth="1"/>
    <col min="62" max="62" width="16.42578125" style="1" bestFit="1" customWidth="1"/>
    <col min="63" max="63" width="13.7109375" style="1" bestFit="1" customWidth="1"/>
    <col min="64" max="65" width="14.42578125" style="1" bestFit="1" customWidth="1"/>
    <col min="66" max="66" width="15.85546875" style="1" bestFit="1" customWidth="1"/>
    <col min="67" max="67" width="16" style="1" bestFit="1" customWidth="1"/>
    <col min="68" max="68" width="14.5703125" style="1" bestFit="1" customWidth="1"/>
    <col min="69" max="69" width="13.85546875" style="1" bestFit="1" customWidth="1"/>
    <col min="70" max="70" width="13.85546875" style="1" customWidth="1"/>
    <col min="71" max="71" width="15.42578125" style="1" bestFit="1" customWidth="1"/>
    <col min="72" max="72" width="15.85546875" style="1" bestFit="1" customWidth="1"/>
    <col min="73" max="73" width="14.7109375" style="1" bestFit="1" customWidth="1"/>
    <col min="74" max="74" width="15.5703125" style="1" bestFit="1" customWidth="1"/>
    <col min="75" max="75" width="14.140625" style="1" bestFit="1" customWidth="1"/>
    <col min="76" max="76" width="13.85546875" style="1" bestFit="1" customWidth="1"/>
    <col min="77" max="77" width="16.140625" style="1" bestFit="1" customWidth="1"/>
  </cols>
  <sheetData>
    <row r="1" spans="1:77" x14ac:dyDescent="0.25">
      <c r="A1" s="78" t="s">
        <v>51</v>
      </c>
      <c r="B1" s="78" t="s">
        <v>348</v>
      </c>
      <c r="C1" s="113" t="s">
        <v>664</v>
      </c>
      <c r="D1" s="113" t="s">
        <v>665</v>
      </c>
      <c r="E1" s="113" t="s">
        <v>666</v>
      </c>
      <c r="F1" s="113" t="s">
        <v>667</v>
      </c>
      <c r="G1" s="113" t="s">
        <v>668</v>
      </c>
      <c r="H1" s="113" t="s">
        <v>669</v>
      </c>
      <c r="I1" s="113" t="s">
        <v>670</v>
      </c>
      <c r="J1" s="113" t="s">
        <v>671</v>
      </c>
      <c r="K1" s="113" t="s">
        <v>672</v>
      </c>
      <c r="L1" s="113" t="s">
        <v>673</v>
      </c>
      <c r="M1" s="113" t="s">
        <v>674</v>
      </c>
      <c r="N1" s="113" t="s">
        <v>675</v>
      </c>
      <c r="O1" s="113" t="s">
        <v>676</v>
      </c>
      <c r="P1" s="113" t="s">
        <v>677</v>
      </c>
      <c r="Q1" s="113" t="s">
        <v>678</v>
      </c>
      <c r="R1" s="113" t="s">
        <v>679</v>
      </c>
      <c r="S1" s="113" t="s">
        <v>680</v>
      </c>
      <c r="T1" s="210" t="s">
        <v>1504</v>
      </c>
      <c r="U1" s="113" t="s">
        <v>681</v>
      </c>
      <c r="V1" s="113" t="s">
        <v>682</v>
      </c>
      <c r="W1" s="113" t="s">
        <v>683</v>
      </c>
      <c r="X1" s="113" t="s">
        <v>684</v>
      </c>
      <c r="Y1" s="113" t="s">
        <v>685</v>
      </c>
      <c r="Z1" s="113" t="s">
        <v>686</v>
      </c>
      <c r="AA1" s="113" t="s">
        <v>734</v>
      </c>
      <c r="AB1" s="113" t="s">
        <v>687</v>
      </c>
      <c r="AC1" s="113" t="s">
        <v>688</v>
      </c>
      <c r="AD1" s="113" t="s">
        <v>689</v>
      </c>
      <c r="AE1" s="113" t="s">
        <v>690</v>
      </c>
      <c r="AF1" s="113" t="s">
        <v>691</v>
      </c>
      <c r="AG1" s="113" t="s">
        <v>692</v>
      </c>
      <c r="AH1" s="113" t="s">
        <v>693</v>
      </c>
      <c r="AI1" s="113" t="s">
        <v>694</v>
      </c>
      <c r="AJ1" s="113" t="s">
        <v>695</v>
      </c>
      <c r="AK1" s="113" t="s">
        <v>696</v>
      </c>
      <c r="AL1" s="113" t="s">
        <v>697</v>
      </c>
      <c r="AM1" s="113" t="s">
        <v>698</v>
      </c>
      <c r="AN1" s="113" t="s">
        <v>699</v>
      </c>
      <c r="AO1" s="113" t="s">
        <v>700</v>
      </c>
      <c r="AP1" s="113" t="s">
        <v>701</v>
      </c>
      <c r="AQ1" s="113" t="s">
        <v>702</v>
      </c>
      <c r="AR1" s="113" t="s">
        <v>703</v>
      </c>
      <c r="AS1" s="113" t="s">
        <v>1506</v>
      </c>
      <c r="AT1" s="113" t="s">
        <v>704</v>
      </c>
      <c r="AU1" s="113" t="s">
        <v>705</v>
      </c>
      <c r="AV1" s="113" t="s">
        <v>706</v>
      </c>
      <c r="AW1" s="113" t="s">
        <v>707</v>
      </c>
      <c r="AX1" s="113" t="s">
        <v>708</v>
      </c>
      <c r="AY1" s="113" t="s">
        <v>709</v>
      </c>
      <c r="AZ1" s="113" t="s">
        <v>735</v>
      </c>
      <c r="BA1" s="113" t="s">
        <v>710</v>
      </c>
      <c r="BB1" s="113" t="s">
        <v>711</v>
      </c>
      <c r="BC1" s="113" t="s">
        <v>712</v>
      </c>
      <c r="BD1" s="113" t="s">
        <v>713</v>
      </c>
      <c r="BE1" s="113" t="s">
        <v>714</v>
      </c>
      <c r="BF1" s="113" t="s">
        <v>715</v>
      </c>
      <c r="BG1" s="113" t="s">
        <v>716</v>
      </c>
      <c r="BH1" s="113" t="s">
        <v>717</v>
      </c>
      <c r="BI1" s="113" t="s">
        <v>718</v>
      </c>
      <c r="BJ1" s="113" t="s">
        <v>719</v>
      </c>
      <c r="BK1" s="113" t="s">
        <v>720</v>
      </c>
      <c r="BL1" s="113" t="s">
        <v>721</v>
      </c>
      <c r="BM1" s="113" t="s">
        <v>722</v>
      </c>
      <c r="BN1" s="113" t="s">
        <v>723</v>
      </c>
      <c r="BO1" s="113" t="s">
        <v>724</v>
      </c>
      <c r="BP1" s="113" t="s">
        <v>725</v>
      </c>
      <c r="BQ1" s="113" t="s">
        <v>726</v>
      </c>
      <c r="BR1" s="113" t="s">
        <v>1507</v>
      </c>
      <c r="BS1" s="113" t="s">
        <v>727</v>
      </c>
      <c r="BT1" s="113" t="s">
        <v>728</v>
      </c>
      <c r="BU1" s="113" t="s">
        <v>729</v>
      </c>
      <c r="BV1" s="113" t="s">
        <v>730</v>
      </c>
      <c r="BW1" s="113" t="s">
        <v>731</v>
      </c>
      <c r="BX1" s="113" t="s">
        <v>732</v>
      </c>
      <c r="BY1" s="113" t="s">
        <v>736</v>
      </c>
    </row>
    <row r="2" spans="1:77" x14ac:dyDescent="0.25">
      <c r="A2" s="44" t="s">
        <v>12</v>
      </c>
      <c r="B2" s="42" t="s">
        <v>1071</v>
      </c>
      <c r="C2" s="115">
        <f>IFERROR(IF(d_Bv!C2=0,".",((Ir*F*d_Bv!C2*(1-EXP(-RadSpec!AZ2*t_b)))/(P*RadSpec!AZ2))),".")</f>
        <v>3.5746410762351036E-2</v>
      </c>
      <c r="D2" s="115">
        <f>IFERROR(IF(d_Bv!D2=0,".",((Ir*F*d_Bv!D2*(1-EXP(-RadSpec!AZ2*t_b)))/(P*RadSpec!AZ2))),".")</f>
        <v>3.5746410762351036E-2</v>
      </c>
      <c r="E2" s="115">
        <f>IFERROR(IF(d_Bv!E2=0,".",((Ir*F*d_Bv!E2*(1-EXP(-RadSpec!AZ2*t_b)))/(P*RadSpec!AZ2))),".")</f>
        <v>3.5746410762351036E-2</v>
      </c>
      <c r="F2" s="115">
        <f>IFERROR(IF(d_Bv!F2=0,".",((Ir*F*d_Bv!F2*(1-EXP(-RadSpec!AZ2*t_b)))/(P*RadSpec!AZ2))),".")</f>
        <v>3.5746410762351036E-2</v>
      </c>
      <c r="G2" s="115">
        <f>IFERROR(IF(d_Bv!G2=0,".",((Ir*F*d_Bv!G2*(1-EXP(-RadSpec!AZ2*t_b)))/(P*RadSpec!AZ2))),".")</f>
        <v>3.5746410762351036E-2</v>
      </c>
      <c r="H2" s="115">
        <f>IFERROR(IF(d_Bv!H2=0,".",((Ir*F*d_Bv!H2*(1-EXP(-RadSpec!AZ2*t_b)))/(P*RadSpec!AZ2))),".")</f>
        <v>3.5746410762351036E-2</v>
      </c>
      <c r="I2" s="115">
        <f>IFERROR(IF(d_Bv!I2=0,".",((Ir*F*d_Bv!I2*(1-EXP(-RadSpec!AZ2*t_b)))/(P*RadSpec!AZ2))),".")</f>
        <v>3.5746410762351036E-2</v>
      </c>
      <c r="J2" s="115">
        <f>IFERROR(IF(d_Bv!J2=0,".",((Ir*F*d_Bv!J2*(1-EXP(-RadSpec!AZ2*t_b)))/(P*RadSpec!AZ2))),".")</f>
        <v>3.5746410762351036E-2</v>
      </c>
      <c r="K2" s="115">
        <f>IFERROR(IF(d_Bv!K2=0,".",((Ir*F*d_Bv!K2*(1-EXP(-RadSpec!AZ2*t_b)))/(P*RadSpec!AZ2))),".")</f>
        <v>3.5746410762351036E-2</v>
      </c>
      <c r="L2" s="115">
        <f>IFERROR(IF(d_Bv!L2=0,".",((Ir*F*d_Bv!L2*(1-EXP(-RadSpec!AZ2*t_b)))/(P*RadSpec!AZ2))),".")</f>
        <v>3.5746410762351036E-2</v>
      </c>
      <c r="M2" s="115">
        <f>IFERROR(IF(d_Bv!M2=0,".",((Ir*F*d_Bv!M2*(1-EXP(-RadSpec!AZ2*t_b)))/(P*RadSpec!AZ2))),".")</f>
        <v>3.5746410762351036E-2</v>
      </c>
      <c r="N2" s="115">
        <f>IFERROR(IF(d_Bv!N2=0,".",((Ir*F*d_Bv!N2*(1-EXP(-RadSpec!AZ2*t_b)))/(P*RadSpec!AZ2))),".")</f>
        <v>3.5746410762351036E-2</v>
      </c>
      <c r="O2" s="115">
        <f>IFERROR(IF(d_Bv!O2=0,".",((Ir*F*d_Bv!O2*(1-EXP(-RadSpec!AZ2*t_b)))/(P*RadSpec!AZ2))),".")</f>
        <v>3.5746410762351036E-2</v>
      </c>
      <c r="P2" s="115">
        <f>IFERROR(IF(d_Bv!I2=0,".",((Ir*F*d_Bv!I2*(1-EXP(-RadSpec!AZ2*t_b)))/(P*RadSpec!AZ2))),".")</f>
        <v>3.5746410762351036E-2</v>
      </c>
      <c r="Q2" s="115">
        <f>IFERROR(IF(d_Bv!Q2=0,".",((Ir*F*d_Bv!Q2*(1-EXP(-RadSpec!AZ2*t_b)))/(P*RadSpec!AZ2))),".")</f>
        <v>3.5746410762351036E-2</v>
      </c>
      <c r="R2" s="115">
        <f>IFERROR(IF(d_Bv!R2=0,".",((Ir*F*d_Bv!R2*(1-EXP(-RadSpec!AZ2*t_b)))/(P*RadSpec!AZ2))),".")</f>
        <v>3.5746410762351036E-2</v>
      </c>
      <c r="S2" s="115">
        <f>IFERROR(IF(d_Bv!S2=0,".",((Ir*F*d_Bv!S2*(1-EXP(-RadSpec!AZ2*t_b)))/(P*RadSpec!AZ2))),".")</f>
        <v>3.5746410762351036E-2</v>
      </c>
      <c r="T2" s="211">
        <f>IFERROR(IF(d_Bv!T2=0,".",((Ir*F*d_Bv!S2*(1-EXP(-RadSpec!AZ2*t_b)))/(P*RadSpec!AZ2))),".")</f>
        <v>3.5746410762351036E-2</v>
      </c>
      <c r="U2" s="115">
        <f>IFERROR(IF(d_Bv!U2=0,".",((Ir*F*d_Bv!U2*(1-EXP(-RadSpec!AZ2*t_b)))/(P*RadSpec!AZ2))),".")</f>
        <v>3.5746410762351036E-2</v>
      </c>
      <c r="V2" s="115">
        <f>IFERROR(IF(d_Bv!V2=0,".",((Ir*F*d_Bv!V2*(1-EXP(-RadSpec!AZ2*t_b)))/(P*RadSpec!AZ2))),".")</f>
        <v>3.5746410762351036E-2</v>
      </c>
      <c r="W2" s="115">
        <f>IFERROR(IF(d_Bv!W2=0,".",((Ir*F*d_Bv!W2*(1-EXP(-RadSpec!AZ2*t_b)))/(P*RadSpec!AZ2))),".")</f>
        <v>3.5746410762351036E-2</v>
      </c>
      <c r="X2" s="115">
        <f>IFERROR(IF(d_Bv!X2=0,".",((Ir*F*d_Bv!X2*(1-EXP(-RadSpec!AZ2*t_b)))/(P*RadSpec!AZ2))),".")</f>
        <v>3.5746410762351036E-2</v>
      </c>
      <c r="Y2" s="115">
        <f>IFERROR(IF(d_Bv!Y2=0,".",((Ir*F*d_Bv!Y2*(1-EXP(-RadSpec!AZ2*t_b)))/(P*RadSpec!AZ2))),".")</f>
        <v>3.5746410762351036E-2</v>
      </c>
      <c r="Z2" s="115">
        <f>IFERROR(IF(d_Bv!Z2=0,".",((Ir*F*d_Bv!Z2*(1-EXP(-RadSpec!AZ2*t_b)))/(P*RadSpec!AZ2))),".")</f>
        <v>3.5746410762351036E-2</v>
      </c>
      <c r="AA2" s="115">
        <f>IFERROR(IF(d_Bv!AA2=0,".",((Ir*F*d_Bv!AA2*(1-EXP(-RadSpec!AZ2*t_b)))/(P*RadSpec!AZ2))),".")</f>
        <v>3.5746410762351036E-2</v>
      </c>
      <c r="AB2" s="115">
        <f>IFERROR(IF(d_Bv!C2=0,".",((Ir*F*MLF_apple*(1-EXP(-RadSpec!AZ2*t_b)))/(P*RadSpec!AZ2))),".")</f>
        <v>5.7194257219761657E-3</v>
      </c>
      <c r="AC2" s="115">
        <f>IFERROR(IF(d_Bv!D2=0,".",((Ir*F*MLF_asparagus*(1-EXP(-RadSpec!AZ2*t_b)))/(P*RadSpec!AZ2))),".")</f>
        <v>2.8239664502257315E-3</v>
      </c>
      <c r="AD2" s="115">
        <f>IFERROR(IF(d_Bv!E2=0,".",((Ir*F*MLF_beet*(1-EXP(-RadSpec!AZ2*t_b)))/(P*RadSpec!AZ2))),".")</f>
        <v>4.9330046852044422E-3</v>
      </c>
      <c r="AE2" s="115">
        <f>IFERROR(IF(d_Bv!F2=0,".",((Ir*F*MLF_berries*(1-EXP(-RadSpec!AZ2*t_b)))/(P*RadSpec!AZ2))),".")</f>
        <v>5.9339041865502712E-3</v>
      </c>
      <c r="AF2" s="115">
        <f>IFERROR(IF(d_Bv!G2=0,".",((Ir*F*MLF_broccoli*(1-EXP(-RadSpec!AZ2*t_b)))/(P*RadSpec!AZ2))),".")</f>
        <v>3.6103874869974538E-2</v>
      </c>
      <c r="AG2" s="115">
        <f>IFERROR(IF(d_Bv!H2=0,".",((Ir*F*MLF_cabbage*(1-EXP(-RadSpec!AZ2*t_b)))/(P*RadSpec!AZ2))),".")</f>
        <v>3.7533731300468582E-3</v>
      </c>
      <c r="AH2" s="115">
        <f>IFERROR(IF(d_Bv!I2=0,".",((Ir*F*MLF_carrot*(1-EXP(-RadSpec!AZ2*t_b)))/(P*RadSpec!AZ2))),".")</f>
        <v>3.4674018439480501E-3</v>
      </c>
      <c r="AI2" s="115">
        <f>IFERROR(IF(d_Bv!J2=0,".",((Ir*F*MLF_citrus*(1-EXP(-RadSpec!AZ2*t_b)))/(P*RadSpec!AZ2))),".")</f>
        <v>5.6121864896891112E-3</v>
      </c>
      <c r="AJ2" s="115">
        <f>IFERROR(IF(d_Bv!K2=0,".",((Ir*F*MLF_corn*(1-EXP(-RadSpec!AZ2*t_b)))/(P*RadSpec!AZ2))),".")</f>
        <v>5.1832295605408994E-3</v>
      </c>
      <c r="AK2" s="115">
        <f>IFERROR(IF(d_Bv!L2=0,".",((Ir*F*MLF_cucumber*(1-EXP(-RadSpec!AZ2*t_b)))/(P*RadSpec!AZ2))),".")</f>
        <v>1.4298564304940414E-3</v>
      </c>
      <c r="AL2" s="115">
        <f>IFERROR(IF(d_Bv!M2=0,".",((Ir*F*MLF_lettuce*(1-EXP(-RadSpec!AZ2*t_b)))/(P*RadSpec!AZ2))),".")</f>
        <v>0.48257654529173893</v>
      </c>
      <c r="AM2" s="115">
        <f>IFERROR(IF(d_Bv!N2=0,".",((Ir*F*MLF_lima_bean*(1-EXP(-RadSpec!AZ2*t_b)))/(P*RadSpec!AZ2))),".")</f>
        <v>0.13690875321980447</v>
      </c>
      <c r="AN2" s="115">
        <f>IFERROR(IF(d_Bv!O2=0,".",((Ir*F*MLF_okra*(1-EXP(-RadSpec!AZ2*t_b)))/(P*RadSpec!AZ2))),".")</f>
        <v>2.8597128609880828E-3</v>
      </c>
      <c r="AO2" s="115">
        <f>IFERROR(IF(d_Bv!P2=0,".",((Ir*F*MLF_onion*(1-EXP(-RadSpec!AZ2*t_b)))/(P*RadSpec!AZ2))),".")</f>
        <v>3.4674018439480501E-3</v>
      </c>
      <c r="AP2" s="115">
        <f>IFERROR(IF(d_Bv!Q2=0,".",((Ir*F*MLF_peach*(1-EXP(-RadSpec!AZ2*t_b)))/(P*RadSpec!AZ2))),".")</f>
        <v>5.361961614352654E-3</v>
      </c>
      <c r="AQ2" s="115">
        <f>IFERROR(IF(d_Bv!R2=0,".",((Ir*F*MLF_pear*(1-EXP(-RadSpec!AZ2*t_b)))/(P*RadSpec!AZ2))),".")</f>
        <v>5.7194257219761657E-3</v>
      </c>
      <c r="AR2" s="115">
        <f>IFERROR(IF(d_Bv!S2=0,".",((Ir*F*MLF_peas*(1-EXP(-RadSpec!AZ2*t_b)))/(P*RadSpec!AZ2))),".")</f>
        <v>6.3628611156984829E-3</v>
      </c>
      <c r="AS2" s="115">
        <f>IFERROR(IF(d_Bv!T2=0,".",((Ir*F*MLF_peppers*(1-EXP(-RadSpec!AZ2*t_b)))/(P*RadSpec!AZ2))),".")</f>
        <v>7.93570318924193E-2</v>
      </c>
      <c r="AT2" s="115">
        <f>IFERROR(IF(d_Bv!U2=0,".",((Ir*F*MLF_potato*(1-EXP(-RadSpec!AZ2*t_b)))/(P*RadSpec!AZ2))),".")</f>
        <v>7.5067462600937164E-3</v>
      </c>
      <c r="AU2" s="115">
        <f>IFERROR(IF(d_Bv!V2=0,".",((Ir*F*MLF_pumpkin*(1-EXP(-RadSpec!AZ2*t_b)))/(P*RadSpec!AZ2))),".")</f>
        <v>2.0732918242163598E-3</v>
      </c>
      <c r="AV2" s="115">
        <f>IFERROR(IF(d_Bv!W2=0,".",((Ir*F*MLF_snap_bean*(1-EXP(-RadSpec!AZ2*t_b)))/(P*RadSpec!AZ2))),".")</f>
        <v>0.17873205381175516</v>
      </c>
      <c r="AW2" s="115">
        <f>IFERROR(IF(d_Bv!X2=0,".",((Ir*F*MLF_strawberry*(1-EXP(-RadSpec!AZ2*t_b)))/(P*RadSpec!AZ2))),".")</f>
        <v>2.8597128609880828E-3</v>
      </c>
      <c r="AX2" s="115">
        <f>IFERROR(IF(d_Bv!Y2=0,".",((Ir*F*MLF_tomato*(1-EXP(-RadSpec!AZ2*t_b)))/(P*RadSpec!AZ2))),".")</f>
        <v>6.327114704936132E-2</v>
      </c>
      <c r="AY2" s="115">
        <f>IFERROR(IF(d_Bv!Z2=0,".",((Ir*F*MLF_rice*(1-EXP(-RadSpec!AZ2*t_b)))/(P*RadSpec!AZ2))),".")</f>
        <v>8.9366026905877582</v>
      </c>
      <c r="AZ2" s="115">
        <f>IFERROR(IF(d_Bv!AA2=0,".",((Ir*F*MLF_cereal*(1-EXP(-RadSpec!AZ2*t_b)))/(P*RadSpec!AZ2))),".")</f>
        <v>8.9366026905877582</v>
      </c>
      <c r="BA2" s="115">
        <f>IFERROR(IF(d_Bv!C2=0,".",((Ir*F*I_f*T*(1-EXP(-RadSpec!BA2*t_v)))/(Y_v*RadSpec!BA2))),".")</f>
        <v>3.6424203206347228</v>
      </c>
      <c r="BB2" s="115">
        <f>IFERROR(IF(d_Bv!D2=0,".",((Ir*F*I_f*T*(1-EXP(-RadSpec!BA2*t_v)))/(Y_v*RadSpec!BA2))),".")</f>
        <v>3.6424203206347228</v>
      </c>
      <c r="BC2" s="115">
        <f>IFERROR(IF(d_Bv!E2=0,".",((Ir*F*I_f*T*(1-EXP(-RadSpec!BA2*t_v)))/(Y_v*RadSpec!BA2))),".")</f>
        <v>3.6424203206347228</v>
      </c>
      <c r="BD2" s="115">
        <f>IFERROR(IF(d_Bv!F2=0,".",((Ir*F*I_f*T*(1-EXP(-RadSpec!BA2*t_v)))/(Y_v*RadSpec!BA2))),".")</f>
        <v>3.6424203206347228</v>
      </c>
      <c r="BE2" s="115">
        <f>IFERROR(IF(d_Bv!G2=0,".",((Ir*F*I_f*T*(1-EXP(-RadSpec!BA2*t_v)))/(Y_v*RadSpec!BA2))),".")</f>
        <v>3.6424203206347228</v>
      </c>
      <c r="BF2" s="115">
        <f>IFERROR(IF(d_Bv!H2=0,".",((Ir*F*I_f*T*(1-EXP(-RadSpec!BA2*t_v)))/(Y_v*RadSpec!BA2))),".")</f>
        <v>3.6424203206347228</v>
      </c>
      <c r="BG2" s="115">
        <f>IFERROR(IF(d_Bv!I2=0,".",((Ir*F*I_f*T*(1-EXP(-RadSpec!BA2*t_v)))/(Y_v*RadSpec!BA2))),".")</f>
        <v>3.6424203206347228</v>
      </c>
      <c r="BH2" s="115">
        <f>IFERROR(IF(d_Bv!J2=0,".",((Ir*F*I_f*T*(1-EXP(-RadSpec!BA2*t_v)))/(Y_v*RadSpec!BA2))),".")</f>
        <v>3.6424203206347228</v>
      </c>
      <c r="BI2" s="115">
        <f>IFERROR(IF(d_Bv!K2=0,".",((Ir*F*I_f*T*(1-EXP(-RadSpec!BA2*t_v)))/(Y_v*RadSpec!BA2))),".")</f>
        <v>3.6424203206347228</v>
      </c>
      <c r="BJ2" s="115">
        <f>IFERROR(IF(d_Bv!L2=0,".",((Ir*F*I_f*T*(1-EXP(-RadSpec!BA2*t_v)))/(Y_v*RadSpec!BA2))),".")</f>
        <v>3.6424203206347228</v>
      </c>
      <c r="BK2" s="115">
        <f>IFERROR(IF(d_Bv!M2=0,".",((Ir*F*I_f*T*(1-EXP(-RadSpec!BA2*t_v)))/(Y_v*RadSpec!BA2))),".")</f>
        <v>3.6424203206347228</v>
      </c>
      <c r="BL2" s="115">
        <f>IFERROR(IF(d_Bv!N2=0,".",((Ir*F*I_f*T*(1-EXP(-RadSpec!BA2*t_v)))/(Y_v*RadSpec!BA2))),".")</f>
        <v>3.6424203206347228</v>
      </c>
      <c r="BM2" s="115">
        <f>IFERROR(IF(d_Bv!O2=0,".",((Ir*F*I_f*T*(1-EXP(-RadSpec!BA2*t_v)))/(Y_v*RadSpec!BA2))),".")</f>
        <v>3.6424203206347228</v>
      </c>
      <c r="BN2" s="115">
        <f>IFERROR(IF(d_Bv!P2=0,".",((Ir*F*I_f*T*(1-EXP(-RadSpec!BA2*t_v)))/(Y_v*RadSpec!BA2))),".")</f>
        <v>3.6424203206347228</v>
      </c>
      <c r="BO2" s="115">
        <f>IFERROR(IF(d_Bv!Q2=0,".",((Ir*F*I_f*T*(1-EXP(-RadSpec!BA2*t_v)))/(Y_v*RadSpec!BA2))),".")</f>
        <v>3.6424203206347228</v>
      </c>
      <c r="BP2" s="115">
        <f>IFERROR(IF(d_Bv!R2=0,".",((Ir*F*I_f*T*(1-EXP(-RadSpec!BA2*t_v)))/(Y_v*RadSpec!BA2))),".")</f>
        <v>3.6424203206347228</v>
      </c>
      <c r="BQ2" s="115">
        <f>IFERROR(IF(d_Bv!S2=0,".",((Ir*F*I_f*T*(1-EXP(-RadSpec!BA2*t_v)))/(Y_v*RadSpec!BA2))),".")</f>
        <v>3.6424203206347228</v>
      </c>
      <c r="BR2" s="115">
        <f>IFERROR(IF(d_Bv!T2=0,".",((Ir*F*I_f*T*(1-EXP(-RadSpec!BA2*t_v)))/(Y_v*RadSpec!BA2))),".")</f>
        <v>3.6424203206347228</v>
      </c>
      <c r="BS2" s="115">
        <f>IFERROR(IF(d_Bv!U2=0,".",((Ir*F*I_f*T*(1-EXP(-RadSpec!BA2*t_v)))/(Y_v*RadSpec!BA2))),".")</f>
        <v>3.6424203206347228</v>
      </c>
      <c r="BT2" s="115">
        <f>IFERROR(IF(d_Bv!V2=0,".",((Ir*F*I_f*T*(1-EXP(-RadSpec!BA2*t_v)))/(Y_v*RadSpec!BA2))),".")</f>
        <v>3.6424203206347228</v>
      </c>
      <c r="BU2" s="115">
        <f>IFERROR(IF(d_Bv!W2=0,".",((Ir*F*I_f*T*(1-EXP(-RadSpec!BA2*t_v)))/(Y_v*RadSpec!BA2))),".")</f>
        <v>3.6424203206347228</v>
      </c>
      <c r="BV2" s="115">
        <f>IFERROR(IF(d_Bv!X2=0,".",((Ir*F*I_f*T*(1-EXP(-RadSpec!BA2*t_v)))/(Y_v*RadSpec!BA2))),".")</f>
        <v>3.6424203206347228</v>
      </c>
      <c r="BW2" s="115">
        <f>IFERROR(IF(d_Bv!Y2=0,".",((Ir*F*I_f*T*(1-EXP(-RadSpec!BA2*t_v)))/(Y_v*RadSpec!BA2))),".")</f>
        <v>3.6424203206347228</v>
      </c>
      <c r="BX2" s="115">
        <f>IFERROR(IF(d_Bv!Z2=0,".",((Ir*F*I_f*T*(1-EXP(-RadSpec!BA2*t_v)))/(Y_v*RadSpec!BA2))),".")</f>
        <v>3.6424203206347228</v>
      </c>
      <c r="BY2" s="115">
        <f>IFERROR(IF(d_Bv!AA2=0,".",((Ir*F*I_f*T*(1-EXP(-RadSpec!BA2*t_v)))/(Y_v*RadSpec!BA2))),".")</f>
        <v>3.6424203206347228</v>
      </c>
    </row>
    <row r="3" spans="1:77" x14ac:dyDescent="0.25">
      <c r="A3" s="46" t="s">
        <v>13</v>
      </c>
      <c r="B3" s="42" t="s">
        <v>349</v>
      </c>
      <c r="C3" s="115">
        <f>IFERROR(IF(d_Bv!C3=0,".",((Ir*F*d_Bv!C3*(1-EXP(-RadSpec!AZ3*t_b)))/(P*RadSpec!AZ3))),".")</f>
        <v>1.1081387336328819E-3</v>
      </c>
      <c r="D3" s="115">
        <f>IFERROR(IF(d_Bv!D3=0,".",((Ir*F*d_Bv!D3*(1-EXP(-RadSpec!AZ3*t_b)))/(P*RadSpec!AZ3))),".")</f>
        <v>9.6515309058347772E-3</v>
      </c>
      <c r="E3" s="115">
        <f>IFERROR(IF(d_Bv!E3=0,".",((Ir*F*d_Bv!E3*(1-EXP(-RadSpec!AZ3*t_b)))/(P*RadSpec!AZ3))),".")</f>
        <v>2.395009521077519E-2</v>
      </c>
      <c r="F3" s="115">
        <f>IFERROR(IF(d_Bv!F3=0,".",((Ir*F*d_Bv!F3*(1-EXP(-RadSpec!AZ3*t_b)))/(P*RadSpec!AZ3))),".")</f>
        <v>2.8597128609880826E-2</v>
      </c>
      <c r="G3" s="115">
        <f>IFERROR(IF(d_Bv!G3=0,".",((Ir*F*d_Bv!G3*(1-EXP(-RadSpec!AZ3*t_b)))/(P*RadSpec!AZ3))),".")</f>
        <v>1.2868707874446371E-2</v>
      </c>
      <c r="H3" s="115">
        <f>IFERROR(IF(d_Bv!H3=0,".",((Ir*F*d_Bv!H3*(1-EXP(-RadSpec!AZ3*t_b)))/(P*RadSpec!AZ3))),".")</f>
        <v>9.6515309058347772E-3</v>
      </c>
      <c r="I3" s="115">
        <f>IFERROR(IF(d_Bv!I3=0,".",((Ir*F*d_Bv!I3*(1-EXP(-RadSpec!AZ3*t_b)))/(P*RadSpec!AZ3))),".")</f>
        <v>2.395009521077519E-2</v>
      </c>
      <c r="J3" s="115">
        <f>IFERROR(IF(d_Bv!J3=0,".",((Ir*F*d_Bv!J3*(1-EXP(-RadSpec!AZ3*t_b)))/(P*RadSpec!AZ3))),".")</f>
        <v>1.1081387336328819E-3</v>
      </c>
      <c r="K3" s="115">
        <f>IFERROR(IF(d_Bv!K3=0,".",((Ir*F*d_Bv!K3*(1-EXP(-RadSpec!AZ3*t_b)))/(P*RadSpec!AZ3))),".")</f>
        <v>1.7873205381175516E-3</v>
      </c>
      <c r="L3" s="115">
        <f>IFERROR(IF(d_Bv!L3=0,".",((Ir*F*d_Bv!L3*(1-EXP(-RadSpec!AZ3*t_b)))/(P*RadSpec!AZ3))),".")</f>
        <v>1.2868707874446371E-2</v>
      </c>
      <c r="M3" s="115">
        <f>IFERROR(IF(d_Bv!M3=0,".",((Ir*F*d_Bv!M3*(1-EXP(-RadSpec!AZ3*t_b)))/(P*RadSpec!AZ3))),".")</f>
        <v>9.6515309058347772E-3</v>
      </c>
      <c r="N3" s="115">
        <f>IFERROR(IF(d_Bv!N3=0,".",((Ir*F*d_Bv!N3*(1-EXP(-RadSpec!AZ3*t_b)))/(P*RadSpec!AZ3))),".")</f>
        <v>1.3583636089693391E-2</v>
      </c>
      <c r="O3" s="115">
        <f>IFERROR(IF(d_Bv!O3=0,".",((Ir*F*d_Bv!O3*(1-EXP(-RadSpec!AZ3*t_b)))/(P*RadSpec!AZ3))),".")</f>
        <v>1.2868707874446371E-2</v>
      </c>
      <c r="P3" s="115">
        <f>IFERROR(IF(d_Bv!P3=0,".",((Ir*F*d_Bv!P3*(1-EXP(-RadSpec!AZ3*t_b)))/(P*RadSpec!AZ3))),".")</f>
        <v>2.395009521077519E-2</v>
      </c>
      <c r="Q3" s="115">
        <f>IFERROR(IF(d_Bv!Q3=0,".",((Ir*F*d_Bv!Q3*(1-EXP(-RadSpec!AZ3*t_b)))/(P*RadSpec!AZ3))),".")</f>
        <v>1.1081387336328819E-3</v>
      </c>
      <c r="R3" s="115">
        <f>IFERROR(IF(d_Bv!R3=0,".",((Ir*F*d_Bv!R3*(1-EXP(-RadSpec!AZ3*t_b)))/(P*RadSpec!AZ3))),".")</f>
        <v>1.1081387336328819E-3</v>
      </c>
      <c r="S3" s="115">
        <f>IFERROR(IF(d_Bv!S3=0,".",((Ir*F*d_Bv!S3*(1-EXP(-RadSpec!AZ3*t_b)))/(P*RadSpec!AZ3))),".")</f>
        <v>1.3583636089693391E-2</v>
      </c>
      <c r="T3" s="211">
        <f>IFERROR(IF(d_Bv!T3=0,".",((Ir*F*d_Bv!S3*(1-EXP(-RadSpec!AZ3*t_b)))/(P*RadSpec!AZ3))),".")</f>
        <v>1.3583636089693391E-2</v>
      </c>
      <c r="U3" s="115">
        <f>IFERROR(IF(d_Bv!U3=0,".",((Ir*F*d_Bv!U3*(1-EXP(-RadSpec!AZ3*t_b)))/(P*RadSpec!AZ3))),".")</f>
        <v>7.5067462600937164E-3</v>
      </c>
      <c r="V3" s="115">
        <f>IFERROR(IF(d_Bv!V3=0,".",((Ir*F*d_Bv!V3*(1-EXP(-RadSpec!AZ3*t_b)))/(P*RadSpec!AZ3))),".")</f>
        <v>1.2868707874446371E-2</v>
      </c>
      <c r="W3" s="115">
        <f>IFERROR(IF(d_Bv!W3=0,".",((Ir*F*d_Bv!W3*(1-EXP(-RadSpec!AZ3*t_b)))/(P*RadSpec!AZ3))),".")</f>
        <v>1.3583636089693391E-2</v>
      </c>
      <c r="X3" s="115">
        <f>IFERROR(IF(d_Bv!X3=0,".",((Ir*F*d_Bv!X3*(1-EXP(-RadSpec!AZ3*t_b)))/(P*RadSpec!AZ3))),".")</f>
        <v>3.9321051838586132E-3</v>
      </c>
      <c r="Y3" s="115">
        <f>IFERROR(IF(d_Bv!Y3=0,".",((Ir*F*d_Bv!Y3*(1-EXP(-RadSpec!AZ3*t_b)))/(P*RadSpec!AZ3))),".")</f>
        <v>1.2868707874446371E-2</v>
      </c>
      <c r="Z3" s="115">
        <f>IFERROR(IF(d_Bv!Z3=0,".",((Ir*F*d_Bv!Z3*(1-EXP(-RadSpec!AZ3*t_b)))/(P*RadSpec!AZ3))),".")</f>
        <v>3.5746410762351036E-2</v>
      </c>
      <c r="AA3" s="115">
        <f>IFERROR(IF(d_Bv!AA3=0,".",((Ir*F*d_Bv!AA3*(1-EXP(-RadSpec!AZ3*t_b)))/(P*RadSpec!AZ3))),".")</f>
        <v>7.8642103677172264E-4</v>
      </c>
      <c r="AB3" s="115">
        <f>IFERROR(IF(d_Bv!C3=0,".",((Ir*F*MLF_apple*(1-EXP(-RadSpec!AZ3*t_b)))/(P*RadSpec!AZ3))),".")</f>
        <v>5.7194257219761657E-3</v>
      </c>
      <c r="AC3" s="115">
        <f>IFERROR(IF(d_Bv!D3=0,".",((Ir*F*MLF_asparagus*(1-EXP(-RadSpec!AZ3*t_b)))/(P*RadSpec!AZ3))),".")</f>
        <v>2.8239664502257315E-3</v>
      </c>
      <c r="AD3" s="115">
        <f>IFERROR(IF(d_Bv!E3=0,".",((Ir*F*MLF_beet*(1-EXP(-RadSpec!AZ3*t_b)))/(P*RadSpec!AZ3))),".")</f>
        <v>4.9330046852044422E-3</v>
      </c>
      <c r="AE3" s="115">
        <f>IFERROR(IF(d_Bv!F3=0,".",((Ir*F*MLF_berries*(1-EXP(-RadSpec!AZ3*t_b)))/(P*RadSpec!AZ3))),".")</f>
        <v>5.9339041865502712E-3</v>
      </c>
      <c r="AF3" s="115">
        <f>IFERROR(IF(d_Bv!G3=0,".",((Ir*F*MLF_broccoli*(1-EXP(-RadSpec!AZ3*t_b)))/(P*RadSpec!AZ3))),".")</f>
        <v>3.6103874869974538E-2</v>
      </c>
      <c r="AG3" s="115">
        <f>IFERROR(IF(d_Bv!H3=0,".",((Ir*F*MLF_cabbage*(1-EXP(-RadSpec!AZ3*t_b)))/(P*RadSpec!AZ3))),".")</f>
        <v>3.7533731300468582E-3</v>
      </c>
      <c r="AH3" s="115">
        <f>IFERROR(IF(d_Bv!I3=0,".",((Ir*F*MLF_carrot*(1-EXP(-RadSpec!AZ3*t_b)))/(P*RadSpec!AZ3))),".")</f>
        <v>3.4674018439480501E-3</v>
      </c>
      <c r="AI3" s="115">
        <f>IFERROR(IF(d_Bv!J3=0,".",((Ir*F*MLF_citrus*(1-EXP(-RadSpec!AZ3*t_b)))/(P*RadSpec!AZ3))),".")</f>
        <v>5.6121864896891112E-3</v>
      </c>
      <c r="AJ3" s="115">
        <f>IFERROR(IF(d_Bv!K3=0,".",((Ir*F*MLF_corn*(1-EXP(-RadSpec!AZ3*t_b)))/(P*RadSpec!AZ3))),".")</f>
        <v>5.1832295605408994E-3</v>
      </c>
      <c r="AK3" s="115">
        <f>IFERROR(IF(d_Bv!L3=0,".",((Ir*F*MLF_cucumber*(1-EXP(-RadSpec!AZ3*t_b)))/(P*RadSpec!AZ3))),".")</f>
        <v>1.4298564304940414E-3</v>
      </c>
      <c r="AL3" s="115">
        <f>IFERROR(IF(d_Bv!M3=0,".",((Ir*F*MLF_lettuce*(1-EXP(-RadSpec!AZ3*t_b)))/(P*RadSpec!AZ3))),".")</f>
        <v>0.48257654529173893</v>
      </c>
      <c r="AM3" s="115">
        <f>IFERROR(IF(d_Bv!N3=0,".",((Ir*F*MLF_lima_bean*(1-EXP(-RadSpec!AZ3*t_b)))/(P*RadSpec!AZ3))),".")</f>
        <v>0.13690875321980447</v>
      </c>
      <c r="AN3" s="115">
        <f>IFERROR(IF(d_Bv!O3=0,".",((Ir*F*MLF_okra*(1-EXP(-RadSpec!AZ3*t_b)))/(P*RadSpec!AZ3))),".")</f>
        <v>2.8597128609880828E-3</v>
      </c>
      <c r="AO3" s="115">
        <f>IFERROR(IF(d_Bv!P3=0,".",((Ir*F*MLF_onion*(1-EXP(-RadSpec!AZ3*t_b)))/(P*RadSpec!AZ3))),".")</f>
        <v>3.4674018439480501E-3</v>
      </c>
      <c r="AP3" s="115">
        <f>IFERROR(IF(d_Bv!Q3=0,".",((Ir*F*MLF_peach*(1-EXP(-RadSpec!AZ3*t_b)))/(P*RadSpec!AZ3))),".")</f>
        <v>5.361961614352654E-3</v>
      </c>
      <c r="AQ3" s="115">
        <f>IFERROR(IF(d_Bv!R3=0,".",((Ir*F*MLF_pear*(1-EXP(-RadSpec!AZ3*t_b)))/(P*RadSpec!AZ3))),".")</f>
        <v>5.7194257219761657E-3</v>
      </c>
      <c r="AR3" s="115">
        <f>IFERROR(IF(d_Bv!S3=0,".",((Ir*F*MLF_peas*(1-EXP(-RadSpec!AZ3*t_b)))/(P*RadSpec!AZ3))),".")</f>
        <v>6.3628611156984829E-3</v>
      </c>
      <c r="AS3" s="115">
        <f>IFERROR(IF(d_Bv!T3=0,".",((Ir*F*MLF_peppers*(1-EXP(-RadSpec!AZ3*t_b)))/(P*RadSpec!AZ3))),".")</f>
        <v>7.93570318924193E-2</v>
      </c>
      <c r="AT3" s="115">
        <f>IFERROR(IF(d_Bv!U3=0,".",((Ir*F*MLF_potato*(1-EXP(-RadSpec!AZ3*t_b)))/(P*RadSpec!AZ3))),".")</f>
        <v>7.5067462600937164E-3</v>
      </c>
      <c r="AU3" s="115">
        <f>IFERROR(IF(d_Bv!V3=0,".",((Ir*F*MLF_pumpkin*(1-EXP(-RadSpec!AZ3*t_b)))/(P*RadSpec!AZ3))),".")</f>
        <v>2.0732918242163598E-3</v>
      </c>
      <c r="AV3" s="115">
        <f>IFERROR(IF(d_Bv!W3=0,".",((Ir*F*MLF_snap_bean*(1-EXP(-RadSpec!AZ3*t_b)))/(P*RadSpec!AZ3))),".")</f>
        <v>0.17873205381175516</v>
      </c>
      <c r="AW3" s="115">
        <f>IFERROR(IF(d_Bv!X3=0,".",((Ir*F*MLF_strawberry*(1-EXP(-RadSpec!AZ3*t_b)))/(P*RadSpec!AZ3))),".")</f>
        <v>2.8597128609880828E-3</v>
      </c>
      <c r="AX3" s="115">
        <f>IFERROR(IF(d_Bv!Y3=0,".",((Ir*F*MLF_tomato*(1-EXP(-RadSpec!AZ3*t_b)))/(P*RadSpec!AZ3))),".")</f>
        <v>6.327114704936132E-2</v>
      </c>
      <c r="AY3" s="115">
        <f>IFERROR(IF(d_Bv!Z3=0,".",((Ir*F*MLF_rice*(1-EXP(-RadSpec!AZ3*t_b)))/(P*RadSpec!AZ3))),".")</f>
        <v>8.9366026905877582</v>
      </c>
      <c r="AZ3" s="115">
        <f>IFERROR(IF(d_Bv!AA3=0,".",((Ir*F*MLF_cereal*(1-EXP(-RadSpec!AZ3*t_b)))/(P*RadSpec!AZ3))),".")</f>
        <v>8.9366026905877582</v>
      </c>
      <c r="BA3" s="115">
        <f>IFERROR(IF(d_Bv!C3=0,".",((Ir*F*I_f*T*(1-EXP(-RadSpec!BA3*t_v)))/(Y_v*RadSpec!BA3))),".")</f>
        <v>3.6424203206347228</v>
      </c>
      <c r="BB3" s="115">
        <f>IFERROR(IF(d_Bv!D3=0,".",((Ir*F*I_f*T*(1-EXP(-RadSpec!BA3*t_v)))/(Y_v*RadSpec!BA3))),".")</f>
        <v>3.6424203206347228</v>
      </c>
      <c r="BC3" s="115">
        <f>IFERROR(IF(d_Bv!E3=0,".",((Ir*F*I_f*T*(1-EXP(-RadSpec!BA3*t_v)))/(Y_v*RadSpec!BA3))),".")</f>
        <v>3.6424203206347228</v>
      </c>
      <c r="BD3" s="115">
        <f>IFERROR(IF(d_Bv!F3=0,".",((Ir*F*I_f*T*(1-EXP(-RadSpec!BA3*t_v)))/(Y_v*RadSpec!BA3))),".")</f>
        <v>3.6424203206347228</v>
      </c>
      <c r="BE3" s="115">
        <f>IFERROR(IF(d_Bv!G3=0,".",((Ir*F*I_f*T*(1-EXP(-RadSpec!BA3*t_v)))/(Y_v*RadSpec!BA3))),".")</f>
        <v>3.6424203206347228</v>
      </c>
      <c r="BF3" s="115">
        <f>IFERROR(IF(d_Bv!H3=0,".",((Ir*F*I_f*T*(1-EXP(-RadSpec!BA3*t_v)))/(Y_v*RadSpec!BA3))),".")</f>
        <v>3.6424203206347228</v>
      </c>
      <c r="BG3" s="115">
        <f>IFERROR(IF(d_Bv!I3=0,".",((Ir*F*I_f*T*(1-EXP(-RadSpec!BA3*t_v)))/(Y_v*RadSpec!BA3))),".")</f>
        <v>3.6424203206347228</v>
      </c>
      <c r="BH3" s="115">
        <f>IFERROR(IF(d_Bv!J3=0,".",((Ir*F*I_f*T*(1-EXP(-RadSpec!BA3*t_v)))/(Y_v*RadSpec!BA3))),".")</f>
        <v>3.6424203206347228</v>
      </c>
      <c r="BI3" s="115">
        <f>IFERROR(IF(d_Bv!K3=0,".",((Ir*F*I_f*T*(1-EXP(-RadSpec!BA3*t_v)))/(Y_v*RadSpec!BA3))),".")</f>
        <v>3.6424203206347228</v>
      </c>
      <c r="BJ3" s="115">
        <f>IFERROR(IF(d_Bv!L3=0,".",((Ir*F*I_f*T*(1-EXP(-RadSpec!BA3*t_v)))/(Y_v*RadSpec!BA3))),".")</f>
        <v>3.6424203206347228</v>
      </c>
      <c r="BK3" s="115">
        <f>IFERROR(IF(d_Bv!M3=0,".",((Ir*F*I_f*T*(1-EXP(-RadSpec!BA3*t_v)))/(Y_v*RadSpec!BA3))),".")</f>
        <v>3.6424203206347228</v>
      </c>
      <c r="BL3" s="115">
        <f>IFERROR(IF(d_Bv!N3=0,".",((Ir*F*I_f*T*(1-EXP(-RadSpec!BA3*t_v)))/(Y_v*RadSpec!BA3))),".")</f>
        <v>3.6424203206347228</v>
      </c>
      <c r="BM3" s="115">
        <f>IFERROR(IF(d_Bv!O3=0,".",((Ir*F*I_f*T*(1-EXP(-RadSpec!BA3*t_v)))/(Y_v*RadSpec!BA3))),".")</f>
        <v>3.6424203206347228</v>
      </c>
      <c r="BN3" s="115">
        <f>IFERROR(IF(d_Bv!P3=0,".",((Ir*F*I_f*T*(1-EXP(-RadSpec!BA3*t_v)))/(Y_v*RadSpec!BA3))),".")</f>
        <v>3.6424203206347228</v>
      </c>
      <c r="BO3" s="115">
        <f>IFERROR(IF(d_Bv!Q3=0,".",((Ir*F*I_f*T*(1-EXP(-RadSpec!BA3*t_v)))/(Y_v*RadSpec!BA3))),".")</f>
        <v>3.6424203206347228</v>
      </c>
      <c r="BP3" s="115">
        <f>IFERROR(IF(d_Bv!R3=0,".",((Ir*F*I_f*T*(1-EXP(-RadSpec!BA3*t_v)))/(Y_v*RadSpec!BA3))),".")</f>
        <v>3.6424203206347228</v>
      </c>
      <c r="BQ3" s="115">
        <f>IFERROR(IF(d_Bv!S3=0,".",((Ir*F*I_f*T*(1-EXP(-RadSpec!BA3*t_v)))/(Y_v*RadSpec!BA3))),".")</f>
        <v>3.6424203206347228</v>
      </c>
      <c r="BR3" s="115">
        <f>IFERROR(IF(d_Bv!T3=0,".",((Ir*F*I_f*T*(1-EXP(-RadSpec!BA3*t_v)))/(Y_v*RadSpec!BA3))),".")</f>
        <v>3.6424203206347228</v>
      </c>
      <c r="BS3" s="115">
        <f>IFERROR(IF(d_Bv!U3=0,".",((Ir*F*I_f*T*(1-EXP(-RadSpec!BA3*t_v)))/(Y_v*RadSpec!BA3))),".")</f>
        <v>3.6424203206347228</v>
      </c>
      <c r="BT3" s="115">
        <f>IFERROR(IF(d_Bv!V3=0,".",((Ir*F*I_f*T*(1-EXP(-RadSpec!BA3*t_v)))/(Y_v*RadSpec!BA3))),".")</f>
        <v>3.6424203206347228</v>
      </c>
      <c r="BU3" s="115">
        <f>IFERROR(IF(d_Bv!W3=0,".",((Ir*F*I_f*T*(1-EXP(-RadSpec!BA3*t_v)))/(Y_v*RadSpec!BA3))),".")</f>
        <v>3.6424203206347228</v>
      </c>
      <c r="BV3" s="115">
        <f>IFERROR(IF(d_Bv!X3=0,".",((Ir*F*I_f*T*(1-EXP(-RadSpec!BA3*t_v)))/(Y_v*RadSpec!BA3))),".")</f>
        <v>3.6424203206347228</v>
      </c>
      <c r="BW3" s="115">
        <f>IFERROR(IF(d_Bv!Y3=0,".",((Ir*F*I_f*T*(1-EXP(-RadSpec!BA3*t_v)))/(Y_v*RadSpec!BA3))),".")</f>
        <v>3.6424203206347228</v>
      </c>
      <c r="BX3" s="115">
        <f>IFERROR(IF(d_Bv!Z3=0,".",((Ir*F*I_f*T*(1-EXP(-RadSpec!BA3*t_v)))/(Y_v*RadSpec!BA3))),".")</f>
        <v>3.6424203206347228</v>
      </c>
      <c r="BY3" s="115">
        <f>IFERROR(IF(d_Bv!AA3=0,".",((Ir*F*I_f*T*(1-EXP(-RadSpec!BA3*t_v)))/(Y_v*RadSpec!BA3))),".")</f>
        <v>3.6424203206347228</v>
      </c>
    </row>
    <row r="4" spans="1:77" x14ac:dyDescent="0.25">
      <c r="A4" s="44" t="s">
        <v>14</v>
      </c>
      <c r="B4" s="42" t="s">
        <v>1071</v>
      </c>
      <c r="C4" s="115">
        <f>IFERROR(IF(d_Bv!C4=0,".",((Ir*F*d_Bv!C4*(1-EXP(-RadSpec!AZ4*t_b)))/(P*RadSpec!AZ4))),".")</f>
        <v>7.1492821524702075</v>
      </c>
      <c r="D4" s="115">
        <f>IFERROR(IF(d_Bv!D4=0,".",((Ir*F*d_Bv!D4*(1-EXP(-RadSpec!AZ4*t_b)))/(P*RadSpec!AZ4))),".")</f>
        <v>7.1492821524702075</v>
      </c>
      <c r="E4" s="115">
        <f>IFERROR(IF(d_Bv!E4=0,".",((Ir*F*d_Bv!E4*(1-EXP(-RadSpec!AZ4*t_b)))/(P*RadSpec!AZ4))),".")</f>
        <v>7.1492821524702075</v>
      </c>
      <c r="F4" s="115">
        <f>IFERROR(IF(d_Bv!F4=0,".",((Ir*F*d_Bv!F4*(1-EXP(-RadSpec!AZ4*t_b)))/(P*RadSpec!AZ4))),".")</f>
        <v>7.1492821524702075</v>
      </c>
      <c r="G4" s="115">
        <f>IFERROR(IF(d_Bv!G4=0,".",((Ir*F*d_Bv!G4*(1-EXP(-RadSpec!AZ4*t_b)))/(P*RadSpec!AZ4))),".")</f>
        <v>7.1492821524702075</v>
      </c>
      <c r="H4" s="115">
        <f>IFERROR(IF(d_Bv!H4=0,".",((Ir*F*d_Bv!H4*(1-EXP(-RadSpec!AZ4*t_b)))/(P*RadSpec!AZ4))),".")</f>
        <v>7.1492821524702075</v>
      </c>
      <c r="I4" s="115">
        <f>IFERROR(IF(d_Bv!I4=0,".",((Ir*F*d_Bv!I4*(1-EXP(-RadSpec!AZ4*t_b)))/(P*RadSpec!AZ4))),".")</f>
        <v>7.1492821524702075</v>
      </c>
      <c r="J4" s="115">
        <f>IFERROR(IF(d_Bv!J4=0,".",((Ir*F*d_Bv!J4*(1-EXP(-RadSpec!AZ4*t_b)))/(P*RadSpec!AZ4))),".")</f>
        <v>7.1492821524702075</v>
      </c>
      <c r="K4" s="115">
        <f>IFERROR(IF(d_Bv!K4=0,".",((Ir*F*d_Bv!K4*(1-EXP(-RadSpec!AZ4*t_b)))/(P*RadSpec!AZ4))),".")</f>
        <v>7.1492821524702075</v>
      </c>
      <c r="L4" s="115">
        <f>IFERROR(IF(d_Bv!L4=0,".",((Ir*F*d_Bv!L4*(1-EXP(-RadSpec!AZ4*t_b)))/(P*RadSpec!AZ4))),".")</f>
        <v>7.1492821524702075</v>
      </c>
      <c r="M4" s="115">
        <f>IFERROR(IF(d_Bv!M4=0,".",((Ir*F*d_Bv!M4*(1-EXP(-RadSpec!AZ4*t_b)))/(P*RadSpec!AZ4))),".")</f>
        <v>7.1492821524702075</v>
      </c>
      <c r="N4" s="115">
        <f>IFERROR(IF(d_Bv!N4=0,".",((Ir*F*d_Bv!N4*(1-EXP(-RadSpec!AZ4*t_b)))/(P*RadSpec!AZ4))),".")</f>
        <v>7.1492821524702075</v>
      </c>
      <c r="O4" s="115">
        <f>IFERROR(IF(d_Bv!O4=0,".",((Ir*F*d_Bv!O4*(1-EXP(-RadSpec!AZ4*t_b)))/(P*RadSpec!AZ4))),".")</f>
        <v>7.1492821524702075</v>
      </c>
      <c r="P4" s="115">
        <f>IFERROR(IF(d_Bv!P4=0,".",((Ir*F*d_Bv!P4*(1-EXP(-RadSpec!AZ4*t_b)))/(P*RadSpec!AZ4))),".")</f>
        <v>7.1492821524702075</v>
      </c>
      <c r="Q4" s="115">
        <f>IFERROR(IF(d_Bv!Q4=0,".",((Ir*F*d_Bv!Q4*(1-EXP(-RadSpec!AZ4*t_b)))/(P*RadSpec!AZ4))),".")</f>
        <v>7.1492821524702075</v>
      </c>
      <c r="R4" s="115">
        <f>IFERROR(IF(d_Bv!R4=0,".",((Ir*F*d_Bv!R4*(1-EXP(-RadSpec!AZ4*t_b)))/(P*RadSpec!AZ4))),".")</f>
        <v>7.1492821524702075</v>
      </c>
      <c r="S4" s="115">
        <f>IFERROR(IF(d_Bv!S4=0,".",((Ir*F*d_Bv!S4*(1-EXP(-RadSpec!AZ4*t_b)))/(P*RadSpec!AZ4))),".")</f>
        <v>7.1492821524702075</v>
      </c>
      <c r="T4" s="211">
        <f>IFERROR(IF(d_Bv!T4=0,".",((Ir*F*d_Bv!S4*(1-EXP(-RadSpec!AZ4*t_b)))/(P*RadSpec!AZ4))),".")</f>
        <v>7.1492821524702075</v>
      </c>
      <c r="U4" s="115">
        <f>IFERROR(IF(d_Bv!U4=0,".",((Ir*F*d_Bv!U4*(1-EXP(-RadSpec!AZ4*t_b)))/(P*RadSpec!AZ4))),".")</f>
        <v>7.1492821524702075</v>
      </c>
      <c r="V4" s="115">
        <f>IFERROR(IF(d_Bv!V4=0,".",((Ir*F*d_Bv!V4*(1-EXP(-RadSpec!AZ4*t_b)))/(P*RadSpec!AZ4))),".")</f>
        <v>7.1492821524702075</v>
      </c>
      <c r="W4" s="115">
        <f>IFERROR(IF(d_Bv!W4=0,".",((Ir*F*d_Bv!W4*(1-EXP(-RadSpec!AZ4*t_b)))/(P*RadSpec!AZ4))),".")</f>
        <v>7.1492821524702075</v>
      </c>
      <c r="X4" s="115">
        <f>IFERROR(IF(d_Bv!X4=0,".",((Ir*F*d_Bv!X4*(1-EXP(-RadSpec!AZ4*t_b)))/(P*RadSpec!AZ4))),".")</f>
        <v>7.1492821524702075</v>
      </c>
      <c r="Y4" s="115">
        <f>IFERROR(IF(d_Bv!Y4=0,".",((Ir*F*d_Bv!Y4*(1-EXP(-RadSpec!AZ4*t_b)))/(P*RadSpec!AZ4))),".")</f>
        <v>7.1492821524702075</v>
      </c>
      <c r="Z4" s="115">
        <f>IFERROR(IF(d_Bv!Z4=0,".",((Ir*F*d_Bv!Z4*(1-EXP(-RadSpec!AZ4*t_b)))/(P*RadSpec!AZ4))),".")</f>
        <v>7.1492821524702075</v>
      </c>
      <c r="AA4" s="115">
        <f>IFERROR(IF(d_Bv!AA4=0,".",((Ir*F*d_Bv!AA4*(1-EXP(-RadSpec!AZ4*t_b)))/(P*RadSpec!AZ4))),".")</f>
        <v>7.1492821524702075</v>
      </c>
      <c r="AB4" s="115">
        <f>IFERROR(IF(d_Bv!C4=0,".",((Ir*F*MLF_apple*(1-EXP(-RadSpec!AZ4*t_b)))/(P*RadSpec!AZ4))),".")</f>
        <v>5.7194257219761657E-3</v>
      </c>
      <c r="AC4" s="115">
        <f>IFERROR(IF(d_Bv!D4=0,".",((Ir*F*MLF_asparagus*(1-EXP(-RadSpec!AZ4*t_b)))/(P*RadSpec!AZ4))),".")</f>
        <v>2.8239664502257315E-3</v>
      </c>
      <c r="AD4" s="115">
        <f>IFERROR(IF(d_Bv!E4=0,".",((Ir*F*MLF_beet*(1-EXP(-RadSpec!AZ4*t_b)))/(P*RadSpec!AZ4))),".")</f>
        <v>4.9330046852044422E-3</v>
      </c>
      <c r="AE4" s="115">
        <f>IFERROR(IF(d_Bv!F4=0,".",((Ir*F*MLF_berries*(1-EXP(-RadSpec!AZ4*t_b)))/(P*RadSpec!AZ4))),".")</f>
        <v>5.9339041865502712E-3</v>
      </c>
      <c r="AF4" s="115">
        <f>IFERROR(IF(d_Bv!G4=0,".",((Ir*F*MLF_broccoli*(1-EXP(-RadSpec!AZ4*t_b)))/(P*RadSpec!AZ4))),".")</f>
        <v>3.6103874869974538E-2</v>
      </c>
      <c r="AG4" s="115">
        <f>IFERROR(IF(d_Bv!H4=0,".",((Ir*F*MLF_cabbage*(1-EXP(-RadSpec!AZ4*t_b)))/(P*RadSpec!AZ4))),".")</f>
        <v>3.7533731300468582E-3</v>
      </c>
      <c r="AH4" s="115">
        <f>IFERROR(IF(d_Bv!I4=0,".",((Ir*F*MLF_carrot*(1-EXP(-RadSpec!AZ4*t_b)))/(P*RadSpec!AZ4))),".")</f>
        <v>3.4674018439480501E-3</v>
      </c>
      <c r="AI4" s="115">
        <f>IFERROR(IF(d_Bv!J4=0,".",((Ir*F*MLF_citrus*(1-EXP(-RadSpec!AZ4*t_b)))/(P*RadSpec!AZ4))),".")</f>
        <v>5.6121864896891112E-3</v>
      </c>
      <c r="AJ4" s="115">
        <f>IFERROR(IF(d_Bv!K4=0,".",((Ir*F*MLF_corn*(1-EXP(-RadSpec!AZ4*t_b)))/(P*RadSpec!AZ4))),".")</f>
        <v>5.1832295605408994E-3</v>
      </c>
      <c r="AK4" s="115">
        <f>IFERROR(IF(d_Bv!L4=0,".",((Ir*F*MLF_cucumber*(1-EXP(-RadSpec!AZ4*t_b)))/(P*RadSpec!AZ4))),".")</f>
        <v>1.4298564304940414E-3</v>
      </c>
      <c r="AL4" s="115">
        <f>IFERROR(IF(d_Bv!M4=0,".",((Ir*F*MLF_lettuce*(1-EXP(-RadSpec!AZ4*t_b)))/(P*RadSpec!AZ4))),".")</f>
        <v>0.48257654529173893</v>
      </c>
      <c r="AM4" s="115">
        <f>IFERROR(IF(d_Bv!N4=0,".",((Ir*F*MLF_lima_bean*(1-EXP(-RadSpec!AZ4*t_b)))/(P*RadSpec!AZ4))),".")</f>
        <v>0.13690875321980447</v>
      </c>
      <c r="AN4" s="115">
        <f>IFERROR(IF(d_Bv!O4=0,".",((Ir*F*MLF_okra*(1-EXP(-RadSpec!AZ4*t_b)))/(P*RadSpec!AZ4))),".")</f>
        <v>2.8597128609880828E-3</v>
      </c>
      <c r="AO4" s="115">
        <f>IFERROR(IF(d_Bv!P4=0,".",((Ir*F*MLF_onion*(1-EXP(-RadSpec!AZ4*t_b)))/(P*RadSpec!AZ4))),".")</f>
        <v>3.4674018439480501E-3</v>
      </c>
      <c r="AP4" s="115">
        <f>IFERROR(IF(d_Bv!Q4=0,".",((Ir*F*MLF_peach*(1-EXP(-RadSpec!AZ4*t_b)))/(P*RadSpec!AZ4))),".")</f>
        <v>5.361961614352654E-3</v>
      </c>
      <c r="AQ4" s="115">
        <f>IFERROR(IF(d_Bv!R4=0,".",((Ir*F*MLF_pear*(1-EXP(-RadSpec!AZ4*t_b)))/(P*RadSpec!AZ4))),".")</f>
        <v>5.7194257219761657E-3</v>
      </c>
      <c r="AR4" s="115">
        <f>IFERROR(IF(d_Bv!S4=0,".",((Ir*F*MLF_peas*(1-EXP(-RadSpec!AZ4*t_b)))/(P*RadSpec!AZ4))),".")</f>
        <v>6.3628611156984829E-3</v>
      </c>
      <c r="AS4" s="115">
        <f>IFERROR(IF(d_Bv!T4=0,".",((Ir*F*MLF_peppers*(1-EXP(-RadSpec!AZ4*t_b)))/(P*RadSpec!AZ4))),".")</f>
        <v>7.93570318924193E-2</v>
      </c>
      <c r="AT4" s="115">
        <f>IFERROR(IF(d_Bv!U4=0,".",((Ir*F*MLF_potato*(1-EXP(-RadSpec!AZ4*t_b)))/(P*RadSpec!AZ4))),".")</f>
        <v>7.5067462600937164E-3</v>
      </c>
      <c r="AU4" s="115">
        <f>IFERROR(IF(d_Bv!V4=0,".",((Ir*F*MLF_pumpkin*(1-EXP(-RadSpec!AZ4*t_b)))/(P*RadSpec!AZ4))),".")</f>
        <v>2.0732918242163598E-3</v>
      </c>
      <c r="AV4" s="115">
        <f>IFERROR(IF(d_Bv!W4=0,".",((Ir*F*MLF_snap_bean*(1-EXP(-RadSpec!AZ4*t_b)))/(P*RadSpec!AZ4))),".")</f>
        <v>0.17873205381175516</v>
      </c>
      <c r="AW4" s="115">
        <f>IFERROR(IF(d_Bv!X4=0,".",((Ir*F*MLF_strawberry*(1-EXP(-RadSpec!AZ4*t_b)))/(P*RadSpec!AZ4))),".")</f>
        <v>2.8597128609880828E-3</v>
      </c>
      <c r="AX4" s="115">
        <f>IFERROR(IF(d_Bv!Y4=0,".",((Ir*F*MLF_tomato*(1-EXP(-RadSpec!AZ4*t_b)))/(P*RadSpec!AZ4))),".")</f>
        <v>6.327114704936132E-2</v>
      </c>
      <c r="AY4" s="115">
        <f>IFERROR(IF(d_Bv!Z4=0,".",((Ir*F*MLF_rice*(1-EXP(-RadSpec!AZ4*t_b)))/(P*RadSpec!AZ4))),".")</f>
        <v>8.9366026905877582</v>
      </c>
      <c r="AZ4" s="115">
        <f>IFERROR(IF(d_Bv!AA4=0,".",((Ir*F*MLF_cereal*(1-EXP(-RadSpec!AZ4*t_b)))/(P*RadSpec!AZ4))),".")</f>
        <v>8.9366026905877582</v>
      </c>
      <c r="BA4" s="115">
        <f>IFERROR(IF(d_Bv!C4=0,".",((Ir*F*I_f*T*(1-EXP(-RadSpec!BA4*t_v)))/(Y_v*RadSpec!BA4))),".")</f>
        <v>3.6424203206347228</v>
      </c>
      <c r="BB4" s="115">
        <f>IFERROR(IF(d_Bv!D4=0,".",((Ir*F*I_f*T*(1-EXP(-RadSpec!BA4*t_v)))/(Y_v*RadSpec!BA4))),".")</f>
        <v>3.6424203206347228</v>
      </c>
      <c r="BC4" s="115">
        <f>IFERROR(IF(d_Bv!E4=0,".",((Ir*F*I_f*T*(1-EXP(-RadSpec!BA4*t_v)))/(Y_v*RadSpec!BA4))),".")</f>
        <v>3.6424203206347228</v>
      </c>
      <c r="BD4" s="115">
        <f>IFERROR(IF(d_Bv!F4=0,".",((Ir*F*I_f*T*(1-EXP(-RadSpec!BA4*t_v)))/(Y_v*RadSpec!BA4))),".")</f>
        <v>3.6424203206347228</v>
      </c>
      <c r="BE4" s="115">
        <f>IFERROR(IF(d_Bv!G4=0,".",((Ir*F*I_f*T*(1-EXP(-RadSpec!BA4*t_v)))/(Y_v*RadSpec!BA4))),".")</f>
        <v>3.6424203206347228</v>
      </c>
      <c r="BF4" s="115">
        <f>IFERROR(IF(d_Bv!H4=0,".",((Ir*F*I_f*T*(1-EXP(-RadSpec!BA4*t_v)))/(Y_v*RadSpec!BA4))),".")</f>
        <v>3.6424203206347228</v>
      </c>
      <c r="BG4" s="115">
        <f>IFERROR(IF(d_Bv!I4=0,".",((Ir*F*I_f*T*(1-EXP(-RadSpec!BA4*t_v)))/(Y_v*RadSpec!BA4))),".")</f>
        <v>3.6424203206347228</v>
      </c>
      <c r="BH4" s="115">
        <f>IFERROR(IF(d_Bv!J4=0,".",((Ir*F*I_f*T*(1-EXP(-RadSpec!BA4*t_v)))/(Y_v*RadSpec!BA4))),".")</f>
        <v>3.6424203206347228</v>
      </c>
      <c r="BI4" s="115">
        <f>IFERROR(IF(d_Bv!K4=0,".",((Ir*F*I_f*T*(1-EXP(-RadSpec!BA4*t_v)))/(Y_v*RadSpec!BA4))),".")</f>
        <v>3.6424203206347228</v>
      </c>
      <c r="BJ4" s="115">
        <f>IFERROR(IF(d_Bv!L4=0,".",((Ir*F*I_f*T*(1-EXP(-RadSpec!BA4*t_v)))/(Y_v*RadSpec!BA4))),".")</f>
        <v>3.6424203206347228</v>
      </c>
      <c r="BK4" s="115">
        <f>IFERROR(IF(d_Bv!M4=0,".",((Ir*F*I_f*T*(1-EXP(-RadSpec!BA4*t_v)))/(Y_v*RadSpec!BA4))),".")</f>
        <v>3.6424203206347228</v>
      </c>
      <c r="BL4" s="115">
        <f>IFERROR(IF(d_Bv!N4=0,".",((Ir*F*I_f*T*(1-EXP(-RadSpec!BA4*t_v)))/(Y_v*RadSpec!BA4))),".")</f>
        <v>3.6424203206347228</v>
      </c>
      <c r="BM4" s="115">
        <f>IFERROR(IF(d_Bv!O4=0,".",((Ir*F*I_f*T*(1-EXP(-RadSpec!BA4*t_v)))/(Y_v*RadSpec!BA4))),".")</f>
        <v>3.6424203206347228</v>
      </c>
      <c r="BN4" s="115">
        <f>IFERROR(IF(d_Bv!P4=0,".",((Ir*F*I_f*T*(1-EXP(-RadSpec!BA4*t_v)))/(Y_v*RadSpec!BA4))),".")</f>
        <v>3.6424203206347228</v>
      </c>
      <c r="BO4" s="115">
        <f>IFERROR(IF(d_Bv!Q4=0,".",((Ir*F*I_f*T*(1-EXP(-RadSpec!BA4*t_v)))/(Y_v*RadSpec!BA4))),".")</f>
        <v>3.6424203206347228</v>
      </c>
      <c r="BP4" s="115">
        <f>IFERROR(IF(d_Bv!R4=0,".",((Ir*F*I_f*T*(1-EXP(-RadSpec!BA4*t_v)))/(Y_v*RadSpec!BA4))),".")</f>
        <v>3.6424203206347228</v>
      </c>
      <c r="BQ4" s="115">
        <f>IFERROR(IF(d_Bv!S4=0,".",((Ir*F*I_f*T*(1-EXP(-RadSpec!BA4*t_v)))/(Y_v*RadSpec!BA4))),".")</f>
        <v>3.6424203206347228</v>
      </c>
      <c r="BR4" s="115">
        <f>IFERROR(IF(d_Bv!T4=0,".",((Ir*F*I_f*T*(1-EXP(-RadSpec!BA4*t_v)))/(Y_v*RadSpec!BA4))),".")</f>
        <v>3.6424203206347228</v>
      </c>
      <c r="BS4" s="115">
        <f>IFERROR(IF(d_Bv!U4=0,".",((Ir*F*I_f*T*(1-EXP(-RadSpec!BA4*t_v)))/(Y_v*RadSpec!BA4))),".")</f>
        <v>3.6424203206347228</v>
      </c>
      <c r="BT4" s="115">
        <f>IFERROR(IF(d_Bv!V4=0,".",((Ir*F*I_f*T*(1-EXP(-RadSpec!BA4*t_v)))/(Y_v*RadSpec!BA4))),".")</f>
        <v>3.6424203206347228</v>
      </c>
      <c r="BU4" s="115">
        <f>IFERROR(IF(d_Bv!W4=0,".",((Ir*F*I_f*T*(1-EXP(-RadSpec!BA4*t_v)))/(Y_v*RadSpec!BA4))),".")</f>
        <v>3.6424203206347228</v>
      </c>
      <c r="BV4" s="115">
        <f>IFERROR(IF(d_Bv!X4=0,".",((Ir*F*I_f*T*(1-EXP(-RadSpec!BA4*t_v)))/(Y_v*RadSpec!BA4))),".")</f>
        <v>3.6424203206347228</v>
      </c>
      <c r="BW4" s="115">
        <f>IFERROR(IF(d_Bv!Y4=0,".",((Ir*F*I_f*T*(1-EXP(-RadSpec!BA4*t_v)))/(Y_v*RadSpec!BA4))),".")</f>
        <v>3.6424203206347228</v>
      </c>
      <c r="BX4" s="115">
        <f>IFERROR(IF(d_Bv!Z4=0,".",((Ir*F*I_f*T*(1-EXP(-RadSpec!BA4*t_v)))/(Y_v*RadSpec!BA4))),".")</f>
        <v>3.6424203206347228</v>
      </c>
      <c r="BY4" s="115">
        <f>IFERROR(IF(d_Bv!AA4=0,".",((Ir*F*I_f*T*(1-EXP(-RadSpec!BA4*t_v)))/(Y_v*RadSpec!BA4))),".")</f>
        <v>3.6424203206347228</v>
      </c>
    </row>
    <row r="5" spans="1:77" x14ac:dyDescent="0.25">
      <c r="A5" s="44" t="s">
        <v>15</v>
      </c>
      <c r="B5" s="42" t="s">
        <v>1071</v>
      </c>
      <c r="C5" s="115">
        <f>IFERROR(IF(d_Bv!C5=0,".",((Ir*F*d_Bv!C5*(1-EXP(-RadSpec!AZ5*t_b)))/(P*RadSpec!AZ5))),".")</f>
        <v>7.1492821524702075</v>
      </c>
      <c r="D5" s="115">
        <f>IFERROR(IF(d_Bv!D5=0,".",((Ir*F*d_Bv!D5*(1-EXP(-RadSpec!AZ5*t_b)))/(P*RadSpec!AZ5))),".")</f>
        <v>7.1492821524702075</v>
      </c>
      <c r="E5" s="115">
        <f>IFERROR(IF(d_Bv!E5=0,".",((Ir*F*d_Bv!E5*(1-EXP(-RadSpec!AZ5*t_b)))/(P*RadSpec!AZ5))),".")</f>
        <v>7.1492821524702075</v>
      </c>
      <c r="F5" s="115">
        <f>IFERROR(IF(d_Bv!F5=0,".",((Ir*F*d_Bv!F5*(1-EXP(-RadSpec!AZ5*t_b)))/(P*RadSpec!AZ5))),".")</f>
        <v>7.1492821524702075</v>
      </c>
      <c r="G5" s="115">
        <f>IFERROR(IF(d_Bv!G5=0,".",((Ir*F*d_Bv!G5*(1-EXP(-RadSpec!AZ5*t_b)))/(P*RadSpec!AZ5))),".")</f>
        <v>7.1492821524702075</v>
      </c>
      <c r="H5" s="115">
        <f>IFERROR(IF(d_Bv!H5=0,".",((Ir*F*d_Bv!H5*(1-EXP(-RadSpec!AZ5*t_b)))/(P*RadSpec!AZ5))),".")</f>
        <v>7.1492821524702075</v>
      </c>
      <c r="I5" s="115">
        <f>IFERROR(IF(d_Bv!I5=0,".",((Ir*F*d_Bv!I5*(1-EXP(-RadSpec!AZ5*t_b)))/(P*RadSpec!AZ5))),".")</f>
        <v>7.1492821524702075</v>
      </c>
      <c r="J5" s="115">
        <f>IFERROR(IF(d_Bv!J5=0,".",((Ir*F*d_Bv!J5*(1-EXP(-RadSpec!AZ5*t_b)))/(P*RadSpec!AZ5))),".")</f>
        <v>7.1492821524702075</v>
      </c>
      <c r="K5" s="115">
        <f>IFERROR(IF(d_Bv!K5=0,".",((Ir*F*d_Bv!K5*(1-EXP(-RadSpec!AZ5*t_b)))/(P*RadSpec!AZ5))),".")</f>
        <v>7.1492821524702075</v>
      </c>
      <c r="L5" s="115">
        <f>IFERROR(IF(d_Bv!L5=0,".",((Ir*F*d_Bv!L5*(1-EXP(-RadSpec!AZ5*t_b)))/(P*RadSpec!AZ5))),".")</f>
        <v>7.1492821524702075</v>
      </c>
      <c r="M5" s="115">
        <f>IFERROR(IF(d_Bv!M5=0,".",((Ir*F*d_Bv!M5*(1-EXP(-RadSpec!AZ5*t_b)))/(P*RadSpec!AZ5))),".")</f>
        <v>7.1492821524702075</v>
      </c>
      <c r="N5" s="115">
        <f>IFERROR(IF(d_Bv!N5=0,".",((Ir*F*d_Bv!N5*(1-EXP(-RadSpec!AZ5*t_b)))/(P*RadSpec!AZ5))),".")</f>
        <v>7.1492821524702075</v>
      </c>
      <c r="O5" s="115">
        <f>IFERROR(IF(d_Bv!O5=0,".",((Ir*F*d_Bv!O5*(1-EXP(-RadSpec!AZ5*t_b)))/(P*RadSpec!AZ5))),".")</f>
        <v>7.1492821524702075</v>
      </c>
      <c r="P5" s="115">
        <f>IFERROR(IF(d_Bv!P5=0,".",((Ir*F*d_Bv!P5*(1-EXP(-RadSpec!AZ5*t_b)))/(P*RadSpec!AZ5))),".")</f>
        <v>7.1492821524702075</v>
      </c>
      <c r="Q5" s="115">
        <f>IFERROR(IF(d_Bv!Q5=0,".",((Ir*F*d_Bv!Q5*(1-EXP(-RadSpec!AZ5*t_b)))/(P*RadSpec!AZ5))),".")</f>
        <v>7.1492821524702075</v>
      </c>
      <c r="R5" s="115">
        <f>IFERROR(IF(d_Bv!R5=0,".",((Ir*F*d_Bv!R5*(1-EXP(-RadSpec!AZ5*t_b)))/(P*RadSpec!AZ5))),".")</f>
        <v>7.1492821524702075</v>
      </c>
      <c r="S5" s="115">
        <f>IFERROR(IF(d_Bv!S5=0,".",((Ir*F*d_Bv!S5*(1-EXP(-RadSpec!AZ5*t_b)))/(P*RadSpec!AZ5))),".")</f>
        <v>7.1492821524702075</v>
      </c>
      <c r="T5" s="211">
        <f>IFERROR(IF(d_Bv!T5=0,".",((Ir*F*d_Bv!S5*(1-EXP(-RadSpec!AZ5*t_b)))/(P*RadSpec!AZ5))),".")</f>
        <v>7.1492821524702075</v>
      </c>
      <c r="U5" s="115">
        <f>IFERROR(IF(d_Bv!U5=0,".",((Ir*F*d_Bv!U5*(1-EXP(-RadSpec!AZ5*t_b)))/(P*RadSpec!AZ5))),".")</f>
        <v>7.1492821524702075</v>
      </c>
      <c r="V5" s="115">
        <f>IFERROR(IF(d_Bv!V5=0,".",((Ir*F*d_Bv!V5*(1-EXP(-RadSpec!AZ5*t_b)))/(P*RadSpec!AZ5))),".")</f>
        <v>7.1492821524702075</v>
      </c>
      <c r="W5" s="115">
        <f>IFERROR(IF(d_Bv!W5=0,".",((Ir*F*d_Bv!W5*(1-EXP(-RadSpec!AZ5*t_b)))/(P*RadSpec!AZ5))),".")</f>
        <v>7.1492821524702075</v>
      </c>
      <c r="X5" s="115">
        <f>IFERROR(IF(d_Bv!X5=0,".",((Ir*F*d_Bv!X5*(1-EXP(-RadSpec!AZ5*t_b)))/(P*RadSpec!AZ5))),".")</f>
        <v>7.1492821524702075</v>
      </c>
      <c r="Y5" s="115">
        <f>IFERROR(IF(d_Bv!Y5=0,".",((Ir*F*d_Bv!Y5*(1-EXP(-RadSpec!AZ5*t_b)))/(P*RadSpec!AZ5))),".")</f>
        <v>7.1492821524702075</v>
      </c>
      <c r="Z5" s="115">
        <f>IFERROR(IF(d_Bv!Z5=0,".",((Ir*F*d_Bv!Z5*(1-EXP(-RadSpec!AZ5*t_b)))/(P*RadSpec!AZ5))),".")</f>
        <v>7.1492821524702075</v>
      </c>
      <c r="AA5" s="115">
        <f>IFERROR(IF(d_Bv!AA5=0,".",((Ir*F*d_Bv!AA5*(1-EXP(-RadSpec!AZ5*t_b)))/(P*RadSpec!AZ5))),".")</f>
        <v>7.1492821524702075</v>
      </c>
      <c r="AB5" s="115">
        <f>IFERROR(IF(d_Bv!C5=0,".",((Ir*F*MLF_apple*(1-EXP(-RadSpec!AZ5*t_b)))/(P*RadSpec!AZ5))),".")</f>
        <v>5.7194257219761657E-3</v>
      </c>
      <c r="AC5" s="115">
        <f>IFERROR(IF(d_Bv!D5=0,".",((Ir*F*MLF_asparagus*(1-EXP(-RadSpec!AZ5*t_b)))/(P*RadSpec!AZ5))),".")</f>
        <v>2.8239664502257315E-3</v>
      </c>
      <c r="AD5" s="115">
        <f>IFERROR(IF(d_Bv!E5=0,".",((Ir*F*MLF_beet*(1-EXP(-RadSpec!AZ5*t_b)))/(P*RadSpec!AZ5))),".")</f>
        <v>4.9330046852044422E-3</v>
      </c>
      <c r="AE5" s="115">
        <f>IFERROR(IF(d_Bv!F5=0,".",((Ir*F*MLF_berries*(1-EXP(-RadSpec!AZ5*t_b)))/(P*RadSpec!AZ5))),".")</f>
        <v>5.9339041865502712E-3</v>
      </c>
      <c r="AF5" s="115">
        <f>IFERROR(IF(d_Bv!G5=0,".",((Ir*F*MLF_broccoli*(1-EXP(-RadSpec!AZ5*t_b)))/(P*RadSpec!AZ5))),".")</f>
        <v>3.6103874869974538E-2</v>
      </c>
      <c r="AG5" s="115">
        <f>IFERROR(IF(d_Bv!H5=0,".",((Ir*F*MLF_cabbage*(1-EXP(-RadSpec!AZ5*t_b)))/(P*RadSpec!AZ5))),".")</f>
        <v>3.7533731300468582E-3</v>
      </c>
      <c r="AH5" s="115">
        <f>IFERROR(IF(d_Bv!I5=0,".",((Ir*F*MLF_carrot*(1-EXP(-RadSpec!AZ5*t_b)))/(P*RadSpec!AZ5))),".")</f>
        <v>3.4674018439480501E-3</v>
      </c>
      <c r="AI5" s="115">
        <f>IFERROR(IF(d_Bv!J5=0,".",((Ir*F*MLF_citrus*(1-EXP(-RadSpec!AZ5*t_b)))/(P*RadSpec!AZ5))),".")</f>
        <v>5.6121864896891112E-3</v>
      </c>
      <c r="AJ5" s="115">
        <f>IFERROR(IF(d_Bv!K5=0,".",((Ir*F*MLF_corn*(1-EXP(-RadSpec!AZ5*t_b)))/(P*RadSpec!AZ5))),".")</f>
        <v>5.1832295605408994E-3</v>
      </c>
      <c r="AK5" s="115">
        <f>IFERROR(IF(d_Bv!L5=0,".",((Ir*F*MLF_cucumber*(1-EXP(-RadSpec!AZ5*t_b)))/(P*RadSpec!AZ5))),".")</f>
        <v>1.4298564304940414E-3</v>
      </c>
      <c r="AL5" s="115">
        <f>IFERROR(IF(d_Bv!M5=0,".",((Ir*F*MLF_lettuce*(1-EXP(-RadSpec!AZ5*t_b)))/(P*RadSpec!AZ5))),".")</f>
        <v>0.48257654529173893</v>
      </c>
      <c r="AM5" s="115">
        <f>IFERROR(IF(d_Bv!N5=0,".",((Ir*F*MLF_lima_bean*(1-EXP(-RadSpec!AZ5*t_b)))/(P*RadSpec!AZ5))),".")</f>
        <v>0.13690875321980447</v>
      </c>
      <c r="AN5" s="115">
        <f>IFERROR(IF(d_Bv!O5=0,".",((Ir*F*MLF_okra*(1-EXP(-RadSpec!AZ5*t_b)))/(P*RadSpec!AZ5))),".")</f>
        <v>2.8597128609880828E-3</v>
      </c>
      <c r="AO5" s="115">
        <f>IFERROR(IF(d_Bv!P5=0,".",((Ir*F*MLF_onion*(1-EXP(-RadSpec!AZ5*t_b)))/(P*RadSpec!AZ5))),".")</f>
        <v>3.4674018439480501E-3</v>
      </c>
      <c r="AP5" s="115">
        <f>IFERROR(IF(d_Bv!Q5=0,".",((Ir*F*MLF_peach*(1-EXP(-RadSpec!AZ5*t_b)))/(P*RadSpec!AZ5))),".")</f>
        <v>5.361961614352654E-3</v>
      </c>
      <c r="AQ5" s="115">
        <f>IFERROR(IF(d_Bv!R5=0,".",((Ir*F*MLF_pear*(1-EXP(-RadSpec!AZ5*t_b)))/(P*RadSpec!AZ5))),".")</f>
        <v>5.7194257219761657E-3</v>
      </c>
      <c r="AR5" s="115">
        <f>IFERROR(IF(d_Bv!S5=0,".",((Ir*F*MLF_peas*(1-EXP(-RadSpec!AZ5*t_b)))/(P*RadSpec!AZ5))),".")</f>
        <v>6.3628611156984829E-3</v>
      </c>
      <c r="AS5" s="115">
        <f>IFERROR(IF(d_Bv!T5=0,".",((Ir*F*MLF_peppers*(1-EXP(-RadSpec!AZ5*t_b)))/(P*RadSpec!AZ5))),".")</f>
        <v>7.93570318924193E-2</v>
      </c>
      <c r="AT5" s="115">
        <f>IFERROR(IF(d_Bv!U5=0,".",((Ir*F*MLF_potato*(1-EXP(-RadSpec!AZ5*t_b)))/(P*RadSpec!AZ5))),".")</f>
        <v>7.5067462600937164E-3</v>
      </c>
      <c r="AU5" s="115">
        <f>IFERROR(IF(d_Bv!V5=0,".",((Ir*F*MLF_pumpkin*(1-EXP(-RadSpec!AZ5*t_b)))/(P*RadSpec!AZ5))),".")</f>
        <v>2.0732918242163598E-3</v>
      </c>
      <c r="AV5" s="115">
        <f>IFERROR(IF(d_Bv!W5=0,".",((Ir*F*MLF_snap_bean*(1-EXP(-RadSpec!AZ5*t_b)))/(P*RadSpec!AZ5))),".")</f>
        <v>0.17873205381175516</v>
      </c>
      <c r="AW5" s="115">
        <f>IFERROR(IF(d_Bv!X5=0,".",((Ir*F*MLF_strawberry*(1-EXP(-RadSpec!AZ5*t_b)))/(P*RadSpec!AZ5))),".")</f>
        <v>2.8597128609880828E-3</v>
      </c>
      <c r="AX5" s="115">
        <f>IFERROR(IF(d_Bv!Y5=0,".",((Ir*F*MLF_tomato*(1-EXP(-RadSpec!AZ5*t_b)))/(P*RadSpec!AZ5))),".")</f>
        <v>6.327114704936132E-2</v>
      </c>
      <c r="AY5" s="115">
        <f>IFERROR(IF(d_Bv!Z5=0,".",((Ir*F*MLF_rice*(1-EXP(-RadSpec!AZ5*t_b)))/(P*RadSpec!AZ5))),".")</f>
        <v>8.9366026905877582</v>
      </c>
      <c r="AZ5" s="115">
        <f>IFERROR(IF(d_Bv!AA5=0,".",((Ir*F*MLF_cereal*(1-EXP(-RadSpec!AZ5*t_b)))/(P*RadSpec!AZ5))),".")</f>
        <v>8.9366026905877582</v>
      </c>
      <c r="BA5" s="115">
        <f>IFERROR(IF(d_Bv!C5=0,".",((Ir*F*I_f*T*(1-EXP(-RadSpec!BA5*t_v)))/(Y_v*RadSpec!BA5))),".")</f>
        <v>3.6424203206347228</v>
      </c>
      <c r="BB5" s="115">
        <f>IFERROR(IF(d_Bv!D5=0,".",((Ir*F*I_f*T*(1-EXP(-RadSpec!BA5*t_v)))/(Y_v*RadSpec!BA5))),".")</f>
        <v>3.6424203206347228</v>
      </c>
      <c r="BC5" s="115">
        <f>IFERROR(IF(d_Bv!E5=0,".",((Ir*F*I_f*T*(1-EXP(-RadSpec!BA5*t_v)))/(Y_v*RadSpec!BA5))),".")</f>
        <v>3.6424203206347228</v>
      </c>
      <c r="BD5" s="115">
        <f>IFERROR(IF(d_Bv!F5=0,".",((Ir*F*I_f*T*(1-EXP(-RadSpec!BA5*t_v)))/(Y_v*RadSpec!BA5))),".")</f>
        <v>3.6424203206347228</v>
      </c>
      <c r="BE5" s="115">
        <f>IFERROR(IF(d_Bv!G5=0,".",((Ir*F*I_f*T*(1-EXP(-RadSpec!BA5*t_v)))/(Y_v*RadSpec!BA5))),".")</f>
        <v>3.6424203206347228</v>
      </c>
      <c r="BF5" s="115">
        <f>IFERROR(IF(d_Bv!H5=0,".",((Ir*F*I_f*T*(1-EXP(-RadSpec!BA5*t_v)))/(Y_v*RadSpec!BA5))),".")</f>
        <v>3.6424203206347228</v>
      </c>
      <c r="BG5" s="115">
        <f>IFERROR(IF(d_Bv!I5=0,".",((Ir*F*I_f*T*(1-EXP(-RadSpec!BA5*t_v)))/(Y_v*RadSpec!BA5))),".")</f>
        <v>3.6424203206347228</v>
      </c>
      <c r="BH5" s="115">
        <f>IFERROR(IF(d_Bv!J5=0,".",((Ir*F*I_f*T*(1-EXP(-RadSpec!BA5*t_v)))/(Y_v*RadSpec!BA5))),".")</f>
        <v>3.6424203206347228</v>
      </c>
      <c r="BI5" s="115">
        <f>IFERROR(IF(d_Bv!K5=0,".",((Ir*F*I_f*T*(1-EXP(-RadSpec!BA5*t_v)))/(Y_v*RadSpec!BA5))),".")</f>
        <v>3.6424203206347228</v>
      </c>
      <c r="BJ5" s="115">
        <f>IFERROR(IF(d_Bv!L5=0,".",((Ir*F*I_f*T*(1-EXP(-RadSpec!BA5*t_v)))/(Y_v*RadSpec!BA5))),".")</f>
        <v>3.6424203206347228</v>
      </c>
      <c r="BK5" s="115">
        <f>IFERROR(IF(d_Bv!M5=0,".",((Ir*F*I_f*T*(1-EXP(-RadSpec!BA5*t_v)))/(Y_v*RadSpec!BA5))),".")</f>
        <v>3.6424203206347228</v>
      </c>
      <c r="BL5" s="115">
        <f>IFERROR(IF(d_Bv!N5=0,".",((Ir*F*I_f*T*(1-EXP(-RadSpec!BA5*t_v)))/(Y_v*RadSpec!BA5))),".")</f>
        <v>3.6424203206347228</v>
      </c>
      <c r="BM5" s="115">
        <f>IFERROR(IF(d_Bv!O5=0,".",((Ir*F*I_f*T*(1-EXP(-RadSpec!BA5*t_v)))/(Y_v*RadSpec!BA5))),".")</f>
        <v>3.6424203206347228</v>
      </c>
      <c r="BN5" s="115">
        <f>IFERROR(IF(d_Bv!P5=0,".",((Ir*F*I_f*T*(1-EXP(-RadSpec!BA5*t_v)))/(Y_v*RadSpec!BA5))),".")</f>
        <v>3.6424203206347228</v>
      </c>
      <c r="BO5" s="115">
        <f>IFERROR(IF(d_Bv!Q5=0,".",((Ir*F*I_f*T*(1-EXP(-RadSpec!BA5*t_v)))/(Y_v*RadSpec!BA5))),".")</f>
        <v>3.6424203206347228</v>
      </c>
      <c r="BP5" s="115">
        <f>IFERROR(IF(d_Bv!R5=0,".",((Ir*F*I_f*T*(1-EXP(-RadSpec!BA5*t_v)))/(Y_v*RadSpec!BA5))),".")</f>
        <v>3.6424203206347228</v>
      </c>
      <c r="BQ5" s="115">
        <f>IFERROR(IF(d_Bv!S5=0,".",((Ir*F*I_f*T*(1-EXP(-RadSpec!BA5*t_v)))/(Y_v*RadSpec!BA5))),".")</f>
        <v>3.6424203206347228</v>
      </c>
      <c r="BR5" s="115">
        <f>IFERROR(IF(d_Bv!T5=0,".",((Ir*F*I_f*T*(1-EXP(-RadSpec!BA5*t_v)))/(Y_v*RadSpec!BA5))),".")</f>
        <v>3.6424203206347228</v>
      </c>
      <c r="BS5" s="115">
        <f>IFERROR(IF(d_Bv!U5=0,".",((Ir*F*I_f*T*(1-EXP(-RadSpec!BA5*t_v)))/(Y_v*RadSpec!BA5))),".")</f>
        <v>3.6424203206347228</v>
      </c>
      <c r="BT5" s="115">
        <f>IFERROR(IF(d_Bv!V5=0,".",((Ir*F*I_f*T*(1-EXP(-RadSpec!BA5*t_v)))/(Y_v*RadSpec!BA5))),".")</f>
        <v>3.6424203206347228</v>
      </c>
      <c r="BU5" s="115">
        <f>IFERROR(IF(d_Bv!W5=0,".",((Ir*F*I_f*T*(1-EXP(-RadSpec!BA5*t_v)))/(Y_v*RadSpec!BA5))),".")</f>
        <v>3.6424203206347228</v>
      </c>
      <c r="BV5" s="115">
        <f>IFERROR(IF(d_Bv!X5=0,".",((Ir*F*I_f*T*(1-EXP(-RadSpec!BA5*t_v)))/(Y_v*RadSpec!BA5))),".")</f>
        <v>3.6424203206347228</v>
      </c>
      <c r="BW5" s="115">
        <f>IFERROR(IF(d_Bv!Y5=0,".",((Ir*F*I_f*T*(1-EXP(-RadSpec!BA5*t_v)))/(Y_v*RadSpec!BA5))),".")</f>
        <v>3.6424203206347228</v>
      </c>
      <c r="BX5" s="115">
        <f>IFERROR(IF(d_Bv!Z5=0,".",((Ir*F*I_f*T*(1-EXP(-RadSpec!BA5*t_v)))/(Y_v*RadSpec!BA5))),".")</f>
        <v>3.6424203206347228</v>
      </c>
      <c r="BY5" s="115">
        <f>IFERROR(IF(d_Bv!AA5=0,".",((Ir*F*I_f*T*(1-EXP(-RadSpec!BA5*t_v)))/(Y_v*RadSpec!BA5))),".")</f>
        <v>3.6424203206347228</v>
      </c>
    </row>
    <row r="6" spans="1:77" x14ac:dyDescent="0.25">
      <c r="A6" s="44" t="s">
        <v>16</v>
      </c>
      <c r="B6" s="42" t="s">
        <v>1071</v>
      </c>
      <c r="C6" s="115">
        <f>IFERROR(IF(d_Bv!C6=0,".",((Ir*F*d_Bv!C6*(1-EXP(-RadSpec!AZ6*t_b)))/(P*RadSpec!AZ6))),".")</f>
        <v>0.35746410762351033</v>
      </c>
      <c r="D6" s="115">
        <f>IFERROR(IF(d_Bv!D6=0,".",((Ir*F*d_Bv!D6*(1-EXP(-RadSpec!AZ6*t_b)))/(P*RadSpec!AZ6))),".")</f>
        <v>0.17873205381175516</v>
      </c>
      <c r="E6" s="115">
        <f>IFERROR(IF(d_Bv!E6=0,".",((Ir*F*d_Bv!E6*(1-EXP(-RadSpec!AZ6*t_b)))/(P*RadSpec!AZ6))),".")</f>
        <v>0.17873205381175516</v>
      </c>
      <c r="F6" s="115">
        <f>IFERROR(IF(d_Bv!F6=0,".",((Ir*F*d_Bv!F6*(1-EXP(-RadSpec!AZ6*t_b)))/(P*RadSpec!AZ6))),".")</f>
        <v>0.35746410762351033</v>
      </c>
      <c r="G6" s="115">
        <f>IFERROR(IF(d_Bv!G6=0,".",((Ir*F*d_Bv!G6*(1-EXP(-RadSpec!AZ6*t_b)))/(P*RadSpec!AZ6))),".")</f>
        <v>0.35746410762351033</v>
      </c>
      <c r="H6" s="115">
        <f>IFERROR(IF(d_Bv!H6=0,".",((Ir*F*d_Bv!H6*(1-EXP(-RadSpec!AZ6*t_b)))/(P*RadSpec!AZ6))),".")</f>
        <v>0.17873205381175516</v>
      </c>
      <c r="I6" s="115">
        <f>IFERROR(IF(d_Bv!I6=0,".",((Ir*F*d_Bv!I6*(1-EXP(-RadSpec!AZ6*t_b)))/(P*RadSpec!AZ6))),".")</f>
        <v>0.17873205381175516</v>
      </c>
      <c r="J6" s="115">
        <f>IFERROR(IF(d_Bv!J6=0,".",((Ir*F*d_Bv!J6*(1-EXP(-RadSpec!AZ6*t_b)))/(P*RadSpec!AZ6))),".")</f>
        <v>0.35746410762351033</v>
      </c>
      <c r="K6" s="115">
        <f>IFERROR(IF(d_Bv!K6=0,".",((Ir*F*d_Bv!K6*(1-EXP(-RadSpec!AZ6*t_b)))/(P*RadSpec!AZ6))),".")</f>
        <v>0.35746410762351033</v>
      </c>
      <c r="L6" s="115">
        <f>IFERROR(IF(d_Bv!L6=0,".",((Ir*F*d_Bv!L6*(1-EXP(-RadSpec!AZ6*t_b)))/(P*RadSpec!AZ6))),".")</f>
        <v>0.35746410762351033</v>
      </c>
      <c r="M6" s="115">
        <f>IFERROR(IF(d_Bv!M6=0,".",((Ir*F*d_Bv!M6*(1-EXP(-RadSpec!AZ6*t_b)))/(P*RadSpec!AZ6))),".")</f>
        <v>0.17873205381175516</v>
      </c>
      <c r="N6" s="115">
        <f>IFERROR(IF(d_Bv!N6=0,".",((Ir*F*d_Bv!N6*(1-EXP(-RadSpec!AZ6*t_b)))/(P*RadSpec!AZ6))),".")</f>
        <v>0.35746410762351033</v>
      </c>
      <c r="O6" s="115">
        <f>IFERROR(IF(d_Bv!O6=0,".",((Ir*F*d_Bv!O6*(1-EXP(-RadSpec!AZ6*t_b)))/(P*RadSpec!AZ6))),".")</f>
        <v>0.35746410762351033</v>
      </c>
      <c r="P6" s="115">
        <f>IFERROR(IF(d_Bv!P6=0,".",((Ir*F*d_Bv!P6*(1-EXP(-RadSpec!AZ6*t_b)))/(P*RadSpec!AZ6))),".")</f>
        <v>0.17873205381175516</v>
      </c>
      <c r="Q6" s="115">
        <f>IFERROR(IF(d_Bv!Q6=0,".",((Ir*F*d_Bv!Q6*(1-EXP(-RadSpec!AZ6*t_b)))/(P*RadSpec!AZ6))),".")</f>
        <v>0.35746410762351033</v>
      </c>
      <c r="R6" s="115">
        <f>IFERROR(IF(d_Bv!R6=0,".",((Ir*F*d_Bv!R6*(1-EXP(-RadSpec!AZ6*t_b)))/(P*RadSpec!AZ6))),".")</f>
        <v>0.35746410762351033</v>
      </c>
      <c r="S6" s="115">
        <f>IFERROR(IF(d_Bv!S6=0,".",((Ir*F*d_Bv!S6*(1-EXP(-RadSpec!AZ6*t_b)))/(P*RadSpec!AZ6))),".")</f>
        <v>0.35746410762351033</v>
      </c>
      <c r="T6" s="211">
        <f>IFERROR(IF(d_Bv!T6=0,".",((Ir*F*d_Bv!S6*(1-EXP(-RadSpec!AZ6*t_b)))/(P*RadSpec!AZ6))),".")</f>
        <v>0.35746410762351033</v>
      </c>
      <c r="U6" s="115">
        <f>IFERROR(IF(d_Bv!U6=0,".",((Ir*F*d_Bv!U6*(1-EXP(-RadSpec!AZ6*t_b)))/(P*RadSpec!AZ6))),".")</f>
        <v>0.17873205381175516</v>
      </c>
      <c r="V6" s="115">
        <f>IFERROR(IF(d_Bv!V6=0,".",((Ir*F*d_Bv!V6*(1-EXP(-RadSpec!AZ6*t_b)))/(P*RadSpec!AZ6))),".")</f>
        <v>0.35746410762351033</v>
      </c>
      <c r="W6" s="115">
        <f>IFERROR(IF(d_Bv!W6=0,".",((Ir*F*d_Bv!W6*(1-EXP(-RadSpec!AZ6*t_b)))/(P*RadSpec!AZ6))),".")</f>
        <v>0.35746410762351033</v>
      </c>
      <c r="X6" s="115">
        <f>IFERROR(IF(d_Bv!X6=0,".",((Ir*F*d_Bv!X6*(1-EXP(-RadSpec!AZ6*t_b)))/(P*RadSpec!AZ6))),".")</f>
        <v>0.35746410762351033</v>
      </c>
      <c r="Y6" s="115">
        <f>IFERROR(IF(d_Bv!Y6=0,".",((Ir*F*d_Bv!Y6*(1-EXP(-RadSpec!AZ6*t_b)))/(P*RadSpec!AZ6))),".")</f>
        <v>0.35746410762351033</v>
      </c>
      <c r="Z6" s="115">
        <f>IFERROR(IF(d_Bv!Z6=0,".",((Ir*F*d_Bv!Z6*(1-EXP(-RadSpec!AZ6*t_b)))/(P*RadSpec!AZ6))),".")</f>
        <v>3.3601626116609967E-2</v>
      </c>
      <c r="AA6" s="115">
        <f>IFERROR(IF(d_Bv!AA6=0,".",((Ir*F*d_Bv!AA6*(1-EXP(-RadSpec!AZ6*t_b)))/(P*RadSpec!AZ6))),".")</f>
        <v>3.5746410762351036E-2</v>
      </c>
      <c r="AB6" s="115">
        <f>IFERROR(IF(d_Bv!C6=0,".",((Ir*F*MLF_apple*(1-EXP(-RadSpec!AZ6*t_b)))/(P*RadSpec!AZ6))),".")</f>
        <v>5.7194257219761657E-3</v>
      </c>
      <c r="AC6" s="115">
        <f>IFERROR(IF(d_Bv!D6=0,".",((Ir*F*MLF_asparagus*(1-EXP(-RadSpec!AZ6*t_b)))/(P*RadSpec!AZ6))),".")</f>
        <v>2.8239664502257315E-3</v>
      </c>
      <c r="AD6" s="115">
        <f>IFERROR(IF(d_Bv!E6=0,".",((Ir*F*MLF_beet*(1-EXP(-RadSpec!AZ6*t_b)))/(P*RadSpec!AZ6))),".")</f>
        <v>4.9330046852044422E-3</v>
      </c>
      <c r="AE6" s="115">
        <f>IFERROR(IF(d_Bv!F6=0,".",((Ir*F*MLF_berries*(1-EXP(-RadSpec!AZ6*t_b)))/(P*RadSpec!AZ6))),".")</f>
        <v>5.9339041865502712E-3</v>
      </c>
      <c r="AF6" s="115">
        <f>IFERROR(IF(d_Bv!G6=0,".",((Ir*F*MLF_broccoli*(1-EXP(-RadSpec!AZ6*t_b)))/(P*RadSpec!AZ6))),".")</f>
        <v>3.6103874869974538E-2</v>
      </c>
      <c r="AG6" s="115">
        <f>IFERROR(IF(d_Bv!H6=0,".",((Ir*F*MLF_cabbage*(1-EXP(-RadSpec!AZ6*t_b)))/(P*RadSpec!AZ6))),".")</f>
        <v>3.7533731300468582E-3</v>
      </c>
      <c r="AH6" s="115">
        <f>IFERROR(IF(d_Bv!I6=0,".",((Ir*F*MLF_carrot*(1-EXP(-RadSpec!AZ6*t_b)))/(P*RadSpec!AZ6))),".")</f>
        <v>3.4674018439480501E-3</v>
      </c>
      <c r="AI6" s="115">
        <f>IFERROR(IF(d_Bv!J6=0,".",((Ir*F*MLF_citrus*(1-EXP(-RadSpec!AZ6*t_b)))/(P*RadSpec!AZ6))),".")</f>
        <v>5.6121864896891112E-3</v>
      </c>
      <c r="AJ6" s="115">
        <f>IFERROR(IF(d_Bv!K6=0,".",((Ir*F*MLF_corn*(1-EXP(-RadSpec!AZ6*t_b)))/(P*RadSpec!AZ6))),".")</f>
        <v>5.1832295605408994E-3</v>
      </c>
      <c r="AK6" s="115">
        <f>IFERROR(IF(d_Bv!L6=0,".",((Ir*F*MLF_cucumber*(1-EXP(-RadSpec!AZ6*t_b)))/(P*RadSpec!AZ6))),".")</f>
        <v>1.4298564304940414E-3</v>
      </c>
      <c r="AL6" s="115">
        <f>IFERROR(IF(d_Bv!M6=0,".",((Ir*F*MLF_lettuce*(1-EXP(-RadSpec!AZ6*t_b)))/(P*RadSpec!AZ6))),".")</f>
        <v>0.48257654529173893</v>
      </c>
      <c r="AM6" s="115">
        <f>IFERROR(IF(d_Bv!N6=0,".",((Ir*F*MLF_lima_bean*(1-EXP(-RadSpec!AZ6*t_b)))/(P*RadSpec!AZ6))),".")</f>
        <v>0.13690875321980447</v>
      </c>
      <c r="AN6" s="115">
        <f>IFERROR(IF(d_Bv!O6=0,".",((Ir*F*MLF_okra*(1-EXP(-RadSpec!AZ6*t_b)))/(P*RadSpec!AZ6))),".")</f>
        <v>2.8597128609880828E-3</v>
      </c>
      <c r="AO6" s="115">
        <f>IFERROR(IF(d_Bv!P6=0,".",((Ir*F*MLF_onion*(1-EXP(-RadSpec!AZ6*t_b)))/(P*RadSpec!AZ6))),".")</f>
        <v>3.4674018439480501E-3</v>
      </c>
      <c r="AP6" s="115">
        <f>IFERROR(IF(d_Bv!Q6=0,".",((Ir*F*MLF_peach*(1-EXP(-RadSpec!AZ6*t_b)))/(P*RadSpec!AZ6))),".")</f>
        <v>5.361961614352654E-3</v>
      </c>
      <c r="AQ6" s="115">
        <f>IFERROR(IF(d_Bv!R6=0,".",((Ir*F*MLF_pear*(1-EXP(-RadSpec!AZ6*t_b)))/(P*RadSpec!AZ6))),".")</f>
        <v>5.7194257219761657E-3</v>
      </c>
      <c r="AR6" s="115">
        <f>IFERROR(IF(d_Bv!S6=0,".",((Ir*F*MLF_peas*(1-EXP(-RadSpec!AZ6*t_b)))/(P*RadSpec!AZ6))),".")</f>
        <v>6.3628611156984829E-3</v>
      </c>
      <c r="AS6" s="115">
        <f>IFERROR(IF(d_Bv!T6=0,".",((Ir*F*MLF_peppers*(1-EXP(-RadSpec!AZ6*t_b)))/(P*RadSpec!AZ6))),".")</f>
        <v>7.93570318924193E-2</v>
      </c>
      <c r="AT6" s="115">
        <f>IFERROR(IF(d_Bv!U6=0,".",((Ir*F*MLF_potato*(1-EXP(-RadSpec!AZ6*t_b)))/(P*RadSpec!AZ6))),".")</f>
        <v>7.5067462600937164E-3</v>
      </c>
      <c r="AU6" s="115">
        <f>IFERROR(IF(d_Bv!V6=0,".",((Ir*F*MLF_pumpkin*(1-EXP(-RadSpec!AZ6*t_b)))/(P*RadSpec!AZ6))),".")</f>
        <v>2.0732918242163598E-3</v>
      </c>
      <c r="AV6" s="115">
        <f>IFERROR(IF(d_Bv!W6=0,".",((Ir*F*MLF_snap_bean*(1-EXP(-RadSpec!AZ6*t_b)))/(P*RadSpec!AZ6))),".")</f>
        <v>0.17873205381175516</v>
      </c>
      <c r="AW6" s="115">
        <f>IFERROR(IF(d_Bv!X6=0,".",((Ir*F*MLF_strawberry*(1-EXP(-RadSpec!AZ6*t_b)))/(P*RadSpec!AZ6))),".")</f>
        <v>2.8597128609880828E-3</v>
      </c>
      <c r="AX6" s="115">
        <f>IFERROR(IF(d_Bv!Y6=0,".",((Ir*F*MLF_tomato*(1-EXP(-RadSpec!AZ6*t_b)))/(P*RadSpec!AZ6))),".")</f>
        <v>6.327114704936132E-2</v>
      </c>
      <c r="AY6" s="115">
        <f>IFERROR(IF(d_Bv!Z6=0,".",((Ir*F*MLF_rice*(1-EXP(-RadSpec!AZ6*t_b)))/(P*RadSpec!AZ6))),".")</f>
        <v>8.9366026905877582</v>
      </c>
      <c r="AZ6" s="115">
        <f>IFERROR(IF(d_Bv!AA6=0,".",((Ir*F*MLF_cereal*(1-EXP(-RadSpec!AZ6*t_b)))/(P*RadSpec!AZ6))),".")</f>
        <v>8.9366026905877582</v>
      </c>
      <c r="BA6" s="115">
        <f>IFERROR(IF(d_Bv!C6=0,".",((Ir*F*I_f*T*(1-EXP(-RadSpec!BA6*t_v)))/(Y_v*RadSpec!BA6))),".")</f>
        <v>3.6424203206347228</v>
      </c>
      <c r="BB6" s="115">
        <f>IFERROR(IF(d_Bv!D6=0,".",((Ir*F*I_f*T*(1-EXP(-RadSpec!BA6*t_v)))/(Y_v*RadSpec!BA6))),".")</f>
        <v>3.6424203206347228</v>
      </c>
      <c r="BC6" s="115">
        <f>IFERROR(IF(d_Bv!E6=0,".",((Ir*F*I_f*T*(1-EXP(-RadSpec!BA6*t_v)))/(Y_v*RadSpec!BA6))),".")</f>
        <v>3.6424203206347228</v>
      </c>
      <c r="BD6" s="115">
        <f>IFERROR(IF(d_Bv!F6=0,".",((Ir*F*I_f*T*(1-EXP(-RadSpec!BA6*t_v)))/(Y_v*RadSpec!BA6))),".")</f>
        <v>3.6424203206347228</v>
      </c>
      <c r="BE6" s="115">
        <f>IFERROR(IF(d_Bv!G6=0,".",((Ir*F*I_f*T*(1-EXP(-RadSpec!BA6*t_v)))/(Y_v*RadSpec!BA6))),".")</f>
        <v>3.6424203206347228</v>
      </c>
      <c r="BF6" s="115">
        <f>IFERROR(IF(d_Bv!H6=0,".",((Ir*F*I_f*T*(1-EXP(-RadSpec!BA6*t_v)))/(Y_v*RadSpec!BA6))),".")</f>
        <v>3.6424203206347228</v>
      </c>
      <c r="BG6" s="115">
        <f>IFERROR(IF(d_Bv!I6=0,".",((Ir*F*I_f*T*(1-EXP(-RadSpec!BA6*t_v)))/(Y_v*RadSpec!BA6))),".")</f>
        <v>3.6424203206347228</v>
      </c>
      <c r="BH6" s="115">
        <f>IFERROR(IF(d_Bv!J6=0,".",((Ir*F*I_f*T*(1-EXP(-RadSpec!BA6*t_v)))/(Y_v*RadSpec!BA6))),".")</f>
        <v>3.6424203206347228</v>
      </c>
      <c r="BI6" s="115">
        <f>IFERROR(IF(d_Bv!K6=0,".",((Ir*F*I_f*T*(1-EXP(-RadSpec!BA6*t_v)))/(Y_v*RadSpec!BA6))),".")</f>
        <v>3.6424203206347228</v>
      </c>
      <c r="BJ6" s="115">
        <f>IFERROR(IF(d_Bv!L6=0,".",((Ir*F*I_f*T*(1-EXP(-RadSpec!BA6*t_v)))/(Y_v*RadSpec!BA6))),".")</f>
        <v>3.6424203206347228</v>
      </c>
      <c r="BK6" s="115">
        <f>IFERROR(IF(d_Bv!M6=0,".",((Ir*F*I_f*T*(1-EXP(-RadSpec!BA6*t_v)))/(Y_v*RadSpec!BA6))),".")</f>
        <v>3.6424203206347228</v>
      </c>
      <c r="BL6" s="115">
        <f>IFERROR(IF(d_Bv!N6=0,".",((Ir*F*I_f*T*(1-EXP(-RadSpec!BA6*t_v)))/(Y_v*RadSpec!BA6))),".")</f>
        <v>3.6424203206347228</v>
      </c>
      <c r="BM6" s="115">
        <f>IFERROR(IF(d_Bv!O6=0,".",((Ir*F*I_f*T*(1-EXP(-RadSpec!BA6*t_v)))/(Y_v*RadSpec!BA6))),".")</f>
        <v>3.6424203206347228</v>
      </c>
      <c r="BN6" s="115">
        <f>IFERROR(IF(d_Bv!P6=0,".",((Ir*F*I_f*T*(1-EXP(-RadSpec!BA6*t_v)))/(Y_v*RadSpec!BA6))),".")</f>
        <v>3.6424203206347228</v>
      </c>
      <c r="BO6" s="115">
        <f>IFERROR(IF(d_Bv!Q6=0,".",((Ir*F*I_f*T*(1-EXP(-RadSpec!BA6*t_v)))/(Y_v*RadSpec!BA6))),".")</f>
        <v>3.6424203206347228</v>
      </c>
      <c r="BP6" s="115">
        <f>IFERROR(IF(d_Bv!R6=0,".",((Ir*F*I_f*T*(1-EXP(-RadSpec!BA6*t_v)))/(Y_v*RadSpec!BA6))),".")</f>
        <v>3.6424203206347228</v>
      </c>
      <c r="BQ6" s="115">
        <f>IFERROR(IF(d_Bv!S6=0,".",((Ir*F*I_f*T*(1-EXP(-RadSpec!BA6*t_v)))/(Y_v*RadSpec!BA6))),".")</f>
        <v>3.6424203206347228</v>
      </c>
      <c r="BR6" s="115">
        <f>IFERROR(IF(d_Bv!T6=0,".",((Ir*F*I_f*T*(1-EXP(-RadSpec!BA6*t_v)))/(Y_v*RadSpec!BA6))),".")</f>
        <v>3.6424203206347228</v>
      </c>
      <c r="BS6" s="115">
        <f>IFERROR(IF(d_Bv!U6=0,".",((Ir*F*I_f*T*(1-EXP(-RadSpec!BA6*t_v)))/(Y_v*RadSpec!BA6))),".")</f>
        <v>3.6424203206347228</v>
      </c>
      <c r="BT6" s="115">
        <f>IFERROR(IF(d_Bv!V6=0,".",((Ir*F*I_f*T*(1-EXP(-RadSpec!BA6*t_v)))/(Y_v*RadSpec!BA6))),".")</f>
        <v>3.6424203206347228</v>
      </c>
      <c r="BU6" s="115">
        <f>IFERROR(IF(d_Bv!W6=0,".",((Ir*F*I_f*T*(1-EXP(-RadSpec!BA6*t_v)))/(Y_v*RadSpec!BA6))),".")</f>
        <v>3.6424203206347228</v>
      </c>
      <c r="BV6" s="115">
        <f>IFERROR(IF(d_Bv!X6=0,".",((Ir*F*I_f*T*(1-EXP(-RadSpec!BA6*t_v)))/(Y_v*RadSpec!BA6))),".")</f>
        <v>3.6424203206347228</v>
      </c>
      <c r="BW6" s="115">
        <f>IFERROR(IF(d_Bv!Y6=0,".",((Ir*F*I_f*T*(1-EXP(-RadSpec!BA6*t_v)))/(Y_v*RadSpec!BA6))),".")</f>
        <v>3.6424203206347228</v>
      </c>
      <c r="BX6" s="115">
        <f>IFERROR(IF(d_Bv!Z6=0,".",((Ir*F*I_f*T*(1-EXP(-RadSpec!BA6*t_v)))/(Y_v*RadSpec!BA6))),".")</f>
        <v>3.6424203206347228</v>
      </c>
      <c r="BY6" s="115">
        <f>IFERROR(IF(d_Bv!AA6=0,".",((Ir*F*I_f*T*(1-EXP(-RadSpec!BA6*t_v)))/(Y_v*RadSpec!BA6))),".")</f>
        <v>3.6424203206347228</v>
      </c>
    </row>
    <row r="7" spans="1:77" x14ac:dyDescent="0.25">
      <c r="A7" s="44" t="s">
        <v>17</v>
      </c>
      <c r="B7" s="42" t="s">
        <v>1071</v>
      </c>
      <c r="C7" s="115">
        <f>IFERROR(IF(d_Bv!C7=0,".",((Ir*F*d_Bv!C7*(1-EXP(-RadSpec!AZ7*t_b)))/(P*RadSpec!AZ7))),".")</f>
        <v>3.5746410762351037</v>
      </c>
      <c r="D7" s="115">
        <f>IFERROR(IF(d_Bv!D7=0,".",((Ir*F*d_Bv!D7*(1-EXP(-RadSpec!AZ7*t_b)))/(P*RadSpec!AZ7))),".")</f>
        <v>3.5746410762351037</v>
      </c>
      <c r="E7" s="115">
        <f>IFERROR(IF(d_Bv!E7=0,".",((Ir*F*d_Bv!E7*(1-EXP(-RadSpec!AZ7*t_b)))/(P*RadSpec!AZ7))),".")</f>
        <v>3.5746410762351037</v>
      </c>
      <c r="F7" s="115">
        <f>IFERROR(IF(d_Bv!F7=0,".",((Ir*F*d_Bv!F7*(1-EXP(-RadSpec!AZ7*t_b)))/(P*RadSpec!AZ7))),".")</f>
        <v>3.5746410762351037</v>
      </c>
      <c r="G7" s="115">
        <f>IFERROR(IF(d_Bv!G7=0,".",((Ir*F*d_Bv!G7*(1-EXP(-RadSpec!AZ7*t_b)))/(P*RadSpec!AZ7))),".")</f>
        <v>3.5746410762351037</v>
      </c>
      <c r="H7" s="115">
        <f>IFERROR(IF(d_Bv!H7=0,".",((Ir*F*d_Bv!H7*(1-EXP(-RadSpec!AZ7*t_b)))/(P*RadSpec!AZ7))),".")</f>
        <v>3.5746410762351037</v>
      </c>
      <c r="I7" s="115">
        <f>IFERROR(IF(d_Bv!I7=0,".",((Ir*F*d_Bv!I7*(1-EXP(-RadSpec!AZ7*t_b)))/(P*RadSpec!AZ7))),".")</f>
        <v>3.5746410762351037</v>
      </c>
      <c r="J7" s="115">
        <f>IFERROR(IF(d_Bv!J7=0,".",((Ir*F*d_Bv!J7*(1-EXP(-RadSpec!AZ7*t_b)))/(P*RadSpec!AZ7))),".")</f>
        <v>3.5746410762351037</v>
      </c>
      <c r="K7" s="115">
        <f>IFERROR(IF(d_Bv!K7=0,".",((Ir*F*d_Bv!K7*(1-EXP(-RadSpec!AZ7*t_b)))/(P*RadSpec!AZ7))),".")</f>
        <v>3.5746410762351037</v>
      </c>
      <c r="L7" s="115">
        <f>IFERROR(IF(d_Bv!L7=0,".",((Ir*F*d_Bv!L7*(1-EXP(-RadSpec!AZ7*t_b)))/(P*RadSpec!AZ7))),".")</f>
        <v>3.5746410762351037</v>
      </c>
      <c r="M7" s="115">
        <f>IFERROR(IF(d_Bv!M7=0,".",((Ir*F*d_Bv!M7*(1-EXP(-RadSpec!AZ7*t_b)))/(P*RadSpec!AZ7))),".")</f>
        <v>3.5746410762351037</v>
      </c>
      <c r="N7" s="115">
        <f>IFERROR(IF(d_Bv!N7=0,".",((Ir*F*d_Bv!N7*(1-EXP(-RadSpec!AZ7*t_b)))/(P*RadSpec!AZ7))),".")</f>
        <v>3.5746410762351037</v>
      </c>
      <c r="O7" s="115">
        <f>IFERROR(IF(d_Bv!O7=0,".",((Ir*F*d_Bv!O7*(1-EXP(-RadSpec!AZ7*t_b)))/(P*RadSpec!AZ7))),".")</f>
        <v>3.5746410762351037</v>
      </c>
      <c r="P7" s="115">
        <f>IFERROR(IF(d_Bv!P7=0,".",((Ir*F*d_Bv!P7*(1-EXP(-RadSpec!AZ7*t_b)))/(P*RadSpec!AZ7))),".")</f>
        <v>3.5746410762351037</v>
      </c>
      <c r="Q7" s="115">
        <f>IFERROR(IF(d_Bv!Q7=0,".",((Ir*F*d_Bv!Q7*(1-EXP(-RadSpec!AZ7*t_b)))/(P*RadSpec!AZ7))),".")</f>
        <v>3.5746410762351037</v>
      </c>
      <c r="R7" s="115">
        <f>IFERROR(IF(d_Bv!R7=0,".",((Ir*F*d_Bv!R7*(1-EXP(-RadSpec!AZ7*t_b)))/(P*RadSpec!AZ7))),".")</f>
        <v>3.5746410762351037</v>
      </c>
      <c r="S7" s="115">
        <f>IFERROR(IF(d_Bv!S7=0,".",((Ir*F*d_Bv!S7*(1-EXP(-RadSpec!AZ7*t_b)))/(P*RadSpec!AZ7))),".")</f>
        <v>3.5746410762351037</v>
      </c>
      <c r="T7" s="211">
        <f>IFERROR(IF(d_Bv!T7=0,".",((Ir*F*d_Bv!S7*(1-EXP(-RadSpec!AZ7*t_b)))/(P*RadSpec!AZ7))),".")</f>
        <v>3.5746410762351037</v>
      </c>
      <c r="U7" s="115">
        <f>IFERROR(IF(d_Bv!U7=0,".",((Ir*F*d_Bv!U7*(1-EXP(-RadSpec!AZ7*t_b)))/(P*RadSpec!AZ7))),".")</f>
        <v>3.5746410762351037</v>
      </c>
      <c r="V7" s="115">
        <f>IFERROR(IF(d_Bv!V7=0,".",((Ir*F*d_Bv!V7*(1-EXP(-RadSpec!AZ7*t_b)))/(P*RadSpec!AZ7))),".")</f>
        <v>3.5746410762351037</v>
      </c>
      <c r="W7" s="115">
        <f>IFERROR(IF(d_Bv!W7=0,".",((Ir*F*d_Bv!W7*(1-EXP(-RadSpec!AZ7*t_b)))/(P*RadSpec!AZ7))),".")</f>
        <v>3.5746410762351037</v>
      </c>
      <c r="X7" s="115">
        <f>IFERROR(IF(d_Bv!X7=0,".",((Ir*F*d_Bv!X7*(1-EXP(-RadSpec!AZ7*t_b)))/(P*RadSpec!AZ7))),".")</f>
        <v>3.5746410762351037</v>
      </c>
      <c r="Y7" s="115">
        <f>IFERROR(IF(d_Bv!Y7=0,".",((Ir*F*d_Bv!Y7*(1-EXP(-RadSpec!AZ7*t_b)))/(P*RadSpec!AZ7))),".")</f>
        <v>3.5746410762351037</v>
      </c>
      <c r="Z7" s="115">
        <f>IFERROR(IF(d_Bv!Z7=0,".",((Ir*F*d_Bv!Z7*(1-EXP(-RadSpec!AZ7*t_b)))/(P*RadSpec!AZ7))),".")</f>
        <v>3.5746410762351037</v>
      </c>
      <c r="AA7" s="115">
        <f>IFERROR(IF(d_Bv!AA7=0,".",((Ir*F*d_Bv!AA7*(1-EXP(-RadSpec!AZ7*t_b)))/(P*RadSpec!AZ7))),".")</f>
        <v>3.5746410762351037</v>
      </c>
      <c r="AB7" s="115">
        <f>IFERROR(IF(d_Bv!C7=0,".",((Ir*F*MLF_apple*(1-EXP(-RadSpec!AZ7*t_b)))/(P*RadSpec!AZ7))),".")</f>
        <v>5.7194257219761657E-3</v>
      </c>
      <c r="AC7" s="115">
        <f>IFERROR(IF(d_Bv!D7=0,".",((Ir*F*MLF_asparagus*(1-EXP(-RadSpec!AZ7*t_b)))/(P*RadSpec!AZ7))),".")</f>
        <v>2.8239664502257315E-3</v>
      </c>
      <c r="AD7" s="115">
        <f>IFERROR(IF(d_Bv!E7=0,".",((Ir*F*MLF_beet*(1-EXP(-RadSpec!AZ7*t_b)))/(P*RadSpec!AZ7))),".")</f>
        <v>4.9330046852044422E-3</v>
      </c>
      <c r="AE7" s="115">
        <f>IFERROR(IF(d_Bv!F7=0,".",((Ir*F*MLF_berries*(1-EXP(-RadSpec!AZ7*t_b)))/(P*RadSpec!AZ7))),".")</f>
        <v>5.9339041865502712E-3</v>
      </c>
      <c r="AF7" s="115">
        <f>IFERROR(IF(d_Bv!G7=0,".",((Ir*F*MLF_broccoli*(1-EXP(-RadSpec!AZ7*t_b)))/(P*RadSpec!AZ7))),".")</f>
        <v>3.6103874869974538E-2</v>
      </c>
      <c r="AG7" s="115">
        <f>IFERROR(IF(d_Bv!H7=0,".",((Ir*F*MLF_cabbage*(1-EXP(-RadSpec!AZ7*t_b)))/(P*RadSpec!AZ7))),".")</f>
        <v>3.7533731300468582E-3</v>
      </c>
      <c r="AH7" s="115">
        <f>IFERROR(IF(d_Bv!I7=0,".",((Ir*F*MLF_carrot*(1-EXP(-RadSpec!AZ7*t_b)))/(P*RadSpec!AZ7))),".")</f>
        <v>3.4674018439480501E-3</v>
      </c>
      <c r="AI7" s="115">
        <f>IFERROR(IF(d_Bv!J7=0,".",((Ir*F*MLF_citrus*(1-EXP(-RadSpec!AZ7*t_b)))/(P*RadSpec!AZ7))),".")</f>
        <v>5.6121864896891112E-3</v>
      </c>
      <c r="AJ7" s="115">
        <f>IFERROR(IF(d_Bv!K7=0,".",((Ir*F*MLF_corn*(1-EXP(-RadSpec!AZ7*t_b)))/(P*RadSpec!AZ7))),".")</f>
        <v>5.1832295605408994E-3</v>
      </c>
      <c r="AK7" s="115">
        <f>IFERROR(IF(d_Bv!L7=0,".",((Ir*F*MLF_cucumber*(1-EXP(-RadSpec!AZ7*t_b)))/(P*RadSpec!AZ7))),".")</f>
        <v>1.4298564304940414E-3</v>
      </c>
      <c r="AL7" s="115">
        <f>IFERROR(IF(d_Bv!M7=0,".",((Ir*F*MLF_lettuce*(1-EXP(-RadSpec!AZ7*t_b)))/(P*RadSpec!AZ7))),".")</f>
        <v>0.48257654529173893</v>
      </c>
      <c r="AM7" s="115">
        <f>IFERROR(IF(d_Bv!N7=0,".",((Ir*F*MLF_lima_bean*(1-EXP(-RadSpec!AZ7*t_b)))/(P*RadSpec!AZ7))),".")</f>
        <v>0.13690875321980447</v>
      </c>
      <c r="AN7" s="115">
        <f>IFERROR(IF(d_Bv!O7=0,".",((Ir*F*MLF_okra*(1-EXP(-RadSpec!AZ7*t_b)))/(P*RadSpec!AZ7))),".")</f>
        <v>2.8597128609880828E-3</v>
      </c>
      <c r="AO7" s="115">
        <f>IFERROR(IF(d_Bv!P7=0,".",((Ir*F*MLF_onion*(1-EXP(-RadSpec!AZ7*t_b)))/(P*RadSpec!AZ7))),".")</f>
        <v>3.4674018439480501E-3</v>
      </c>
      <c r="AP7" s="115">
        <f>IFERROR(IF(d_Bv!Q7=0,".",((Ir*F*MLF_peach*(1-EXP(-RadSpec!AZ7*t_b)))/(P*RadSpec!AZ7))),".")</f>
        <v>5.361961614352654E-3</v>
      </c>
      <c r="AQ7" s="115">
        <f>IFERROR(IF(d_Bv!R7=0,".",((Ir*F*MLF_pear*(1-EXP(-RadSpec!AZ7*t_b)))/(P*RadSpec!AZ7))),".")</f>
        <v>5.7194257219761657E-3</v>
      </c>
      <c r="AR7" s="115">
        <f>IFERROR(IF(d_Bv!S7=0,".",((Ir*F*MLF_peas*(1-EXP(-RadSpec!AZ7*t_b)))/(P*RadSpec!AZ7))),".")</f>
        <v>6.3628611156984829E-3</v>
      </c>
      <c r="AS7" s="115">
        <f>IFERROR(IF(d_Bv!T7=0,".",((Ir*F*MLF_peppers*(1-EXP(-RadSpec!AZ7*t_b)))/(P*RadSpec!AZ7))),".")</f>
        <v>7.93570318924193E-2</v>
      </c>
      <c r="AT7" s="115">
        <f>IFERROR(IF(d_Bv!U7=0,".",((Ir*F*MLF_potato*(1-EXP(-RadSpec!AZ7*t_b)))/(P*RadSpec!AZ7))),".")</f>
        <v>7.5067462600937164E-3</v>
      </c>
      <c r="AU7" s="115">
        <f>IFERROR(IF(d_Bv!V7=0,".",((Ir*F*MLF_pumpkin*(1-EXP(-RadSpec!AZ7*t_b)))/(P*RadSpec!AZ7))),".")</f>
        <v>2.0732918242163598E-3</v>
      </c>
      <c r="AV7" s="115">
        <f>IFERROR(IF(d_Bv!W7=0,".",((Ir*F*MLF_snap_bean*(1-EXP(-RadSpec!AZ7*t_b)))/(P*RadSpec!AZ7))),".")</f>
        <v>0.17873205381175516</v>
      </c>
      <c r="AW7" s="115">
        <f>IFERROR(IF(d_Bv!X7=0,".",((Ir*F*MLF_strawberry*(1-EXP(-RadSpec!AZ7*t_b)))/(P*RadSpec!AZ7))),".")</f>
        <v>2.8597128609880828E-3</v>
      </c>
      <c r="AX7" s="115">
        <f>IFERROR(IF(d_Bv!Y7=0,".",((Ir*F*MLF_tomato*(1-EXP(-RadSpec!AZ7*t_b)))/(P*RadSpec!AZ7))),".")</f>
        <v>6.327114704936132E-2</v>
      </c>
      <c r="AY7" s="115">
        <f>IFERROR(IF(d_Bv!Z7=0,".",((Ir*F*MLF_rice*(1-EXP(-RadSpec!AZ7*t_b)))/(P*RadSpec!AZ7))),".")</f>
        <v>8.9366026905877582</v>
      </c>
      <c r="AZ7" s="115">
        <f>IFERROR(IF(d_Bv!AA7=0,".",((Ir*F*MLF_cereal*(1-EXP(-RadSpec!AZ7*t_b)))/(P*RadSpec!AZ7))),".")</f>
        <v>8.9366026905877582</v>
      </c>
      <c r="BA7" s="115">
        <f>IFERROR(IF(d_Bv!C7=0,".",((Ir*F*I_f*T*(1-EXP(-RadSpec!BA7*t_v)))/(Y_v*RadSpec!BA7))),".")</f>
        <v>3.6424203206347228</v>
      </c>
      <c r="BB7" s="115">
        <f>IFERROR(IF(d_Bv!D7=0,".",((Ir*F*I_f*T*(1-EXP(-RadSpec!BA7*t_v)))/(Y_v*RadSpec!BA7))),".")</f>
        <v>3.6424203206347228</v>
      </c>
      <c r="BC7" s="115">
        <f>IFERROR(IF(d_Bv!E7=0,".",((Ir*F*I_f*T*(1-EXP(-RadSpec!BA7*t_v)))/(Y_v*RadSpec!BA7))),".")</f>
        <v>3.6424203206347228</v>
      </c>
      <c r="BD7" s="115">
        <f>IFERROR(IF(d_Bv!F7=0,".",((Ir*F*I_f*T*(1-EXP(-RadSpec!BA7*t_v)))/(Y_v*RadSpec!BA7))),".")</f>
        <v>3.6424203206347228</v>
      </c>
      <c r="BE7" s="115">
        <f>IFERROR(IF(d_Bv!G7=0,".",((Ir*F*I_f*T*(1-EXP(-RadSpec!BA7*t_v)))/(Y_v*RadSpec!BA7))),".")</f>
        <v>3.6424203206347228</v>
      </c>
      <c r="BF7" s="115">
        <f>IFERROR(IF(d_Bv!H7=0,".",((Ir*F*I_f*T*(1-EXP(-RadSpec!BA7*t_v)))/(Y_v*RadSpec!BA7))),".")</f>
        <v>3.6424203206347228</v>
      </c>
      <c r="BG7" s="115">
        <f>IFERROR(IF(d_Bv!I7=0,".",((Ir*F*I_f*T*(1-EXP(-RadSpec!BA7*t_v)))/(Y_v*RadSpec!BA7))),".")</f>
        <v>3.6424203206347228</v>
      </c>
      <c r="BH7" s="115">
        <f>IFERROR(IF(d_Bv!J7=0,".",((Ir*F*I_f*T*(1-EXP(-RadSpec!BA7*t_v)))/(Y_v*RadSpec!BA7))),".")</f>
        <v>3.6424203206347228</v>
      </c>
      <c r="BI7" s="115">
        <f>IFERROR(IF(d_Bv!K7=0,".",((Ir*F*I_f*T*(1-EXP(-RadSpec!BA7*t_v)))/(Y_v*RadSpec!BA7))),".")</f>
        <v>3.6424203206347228</v>
      </c>
      <c r="BJ7" s="115">
        <f>IFERROR(IF(d_Bv!L7=0,".",((Ir*F*I_f*T*(1-EXP(-RadSpec!BA7*t_v)))/(Y_v*RadSpec!BA7))),".")</f>
        <v>3.6424203206347228</v>
      </c>
      <c r="BK7" s="115">
        <f>IFERROR(IF(d_Bv!M7=0,".",((Ir*F*I_f*T*(1-EXP(-RadSpec!BA7*t_v)))/(Y_v*RadSpec!BA7))),".")</f>
        <v>3.6424203206347228</v>
      </c>
      <c r="BL7" s="115">
        <f>IFERROR(IF(d_Bv!N7=0,".",((Ir*F*I_f*T*(1-EXP(-RadSpec!BA7*t_v)))/(Y_v*RadSpec!BA7))),".")</f>
        <v>3.6424203206347228</v>
      </c>
      <c r="BM7" s="115">
        <f>IFERROR(IF(d_Bv!O7=0,".",((Ir*F*I_f*T*(1-EXP(-RadSpec!BA7*t_v)))/(Y_v*RadSpec!BA7))),".")</f>
        <v>3.6424203206347228</v>
      </c>
      <c r="BN7" s="115">
        <f>IFERROR(IF(d_Bv!P7=0,".",((Ir*F*I_f*T*(1-EXP(-RadSpec!BA7*t_v)))/(Y_v*RadSpec!BA7))),".")</f>
        <v>3.6424203206347228</v>
      </c>
      <c r="BO7" s="115">
        <f>IFERROR(IF(d_Bv!Q7=0,".",((Ir*F*I_f*T*(1-EXP(-RadSpec!BA7*t_v)))/(Y_v*RadSpec!BA7))),".")</f>
        <v>3.6424203206347228</v>
      </c>
      <c r="BP7" s="115">
        <f>IFERROR(IF(d_Bv!R7=0,".",((Ir*F*I_f*T*(1-EXP(-RadSpec!BA7*t_v)))/(Y_v*RadSpec!BA7))),".")</f>
        <v>3.6424203206347228</v>
      </c>
      <c r="BQ7" s="115">
        <f>IFERROR(IF(d_Bv!S7=0,".",((Ir*F*I_f*T*(1-EXP(-RadSpec!BA7*t_v)))/(Y_v*RadSpec!BA7))),".")</f>
        <v>3.6424203206347228</v>
      </c>
      <c r="BR7" s="115">
        <f>IFERROR(IF(d_Bv!T7=0,".",((Ir*F*I_f*T*(1-EXP(-RadSpec!BA7*t_v)))/(Y_v*RadSpec!BA7))),".")</f>
        <v>3.6424203206347228</v>
      </c>
      <c r="BS7" s="115">
        <f>IFERROR(IF(d_Bv!U7=0,".",((Ir*F*I_f*T*(1-EXP(-RadSpec!BA7*t_v)))/(Y_v*RadSpec!BA7))),".")</f>
        <v>3.6424203206347228</v>
      </c>
      <c r="BT7" s="115">
        <f>IFERROR(IF(d_Bv!V7=0,".",((Ir*F*I_f*T*(1-EXP(-RadSpec!BA7*t_v)))/(Y_v*RadSpec!BA7))),".")</f>
        <v>3.6424203206347228</v>
      </c>
      <c r="BU7" s="115">
        <f>IFERROR(IF(d_Bv!W7=0,".",((Ir*F*I_f*T*(1-EXP(-RadSpec!BA7*t_v)))/(Y_v*RadSpec!BA7))),".")</f>
        <v>3.6424203206347228</v>
      </c>
      <c r="BV7" s="115">
        <f>IFERROR(IF(d_Bv!X7=0,".",((Ir*F*I_f*T*(1-EXP(-RadSpec!BA7*t_v)))/(Y_v*RadSpec!BA7))),".")</f>
        <v>3.6424203206347228</v>
      </c>
      <c r="BW7" s="115">
        <f>IFERROR(IF(d_Bv!Y7=0,".",((Ir*F*I_f*T*(1-EXP(-RadSpec!BA7*t_v)))/(Y_v*RadSpec!BA7))),".")</f>
        <v>3.6424203206347228</v>
      </c>
      <c r="BX7" s="115">
        <f>IFERROR(IF(d_Bv!Z7=0,".",((Ir*F*I_f*T*(1-EXP(-RadSpec!BA7*t_v)))/(Y_v*RadSpec!BA7))),".")</f>
        <v>3.6424203206347228</v>
      </c>
      <c r="BY7" s="115">
        <f>IFERROR(IF(d_Bv!AA7=0,".",((Ir*F*I_f*T*(1-EXP(-RadSpec!BA7*t_v)))/(Y_v*RadSpec!BA7))),".")</f>
        <v>3.6424203206347228</v>
      </c>
    </row>
    <row r="8" spans="1:77" x14ac:dyDescent="0.25">
      <c r="A8" s="44" t="s">
        <v>18</v>
      </c>
      <c r="B8" s="42" t="s">
        <v>1071</v>
      </c>
      <c r="C8" s="115">
        <f>IFERROR(IF(d_Bv!C8=0,".",((Ir*F*d_Bv!C8*(1-EXP(-RadSpec!AZ8*t_b)))/(P*RadSpec!AZ8))),".")</f>
        <v>3.5746410762351037</v>
      </c>
      <c r="D8" s="115">
        <f>IFERROR(IF(d_Bv!D8=0,".",((Ir*F*d_Bv!D8*(1-EXP(-RadSpec!AZ8*t_b)))/(P*RadSpec!AZ8))),".")</f>
        <v>3.5746410762351037</v>
      </c>
      <c r="E8" s="115">
        <f>IFERROR(IF(d_Bv!E8=0,".",((Ir*F*d_Bv!E8*(1-EXP(-RadSpec!AZ8*t_b)))/(P*RadSpec!AZ8))),".")</f>
        <v>3.5746410762351037</v>
      </c>
      <c r="F8" s="115">
        <f>IFERROR(IF(d_Bv!F8=0,".",((Ir*F*d_Bv!F8*(1-EXP(-RadSpec!AZ8*t_b)))/(P*RadSpec!AZ8))),".")</f>
        <v>3.5746410762351037</v>
      </c>
      <c r="G8" s="115">
        <f>IFERROR(IF(d_Bv!G8=0,".",((Ir*F*d_Bv!G8*(1-EXP(-RadSpec!AZ8*t_b)))/(P*RadSpec!AZ8))),".")</f>
        <v>3.5746410762351037</v>
      </c>
      <c r="H8" s="115">
        <f>IFERROR(IF(d_Bv!H8=0,".",((Ir*F*d_Bv!H8*(1-EXP(-RadSpec!AZ8*t_b)))/(P*RadSpec!AZ8))),".")</f>
        <v>3.5746410762351037</v>
      </c>
      <c r="I8" s="115">
        <f>IFERROR(IF(d_Bv!I8=0,".",((Ir*F*d_Bv!I8*(1-EXP(-RadSpec!AZ8*t_b)))/(P*RadSpec!AZ8))),".")</f>
        <v>3.5746410762351037</v>
      </c>
      <c r="J8" s="115">
        <f>IFERROR(IF(d_Bv!J8=0,".",((Ir*F*d_Bv!J8*(1-EXP(-RadSpec!AZ8*t_b)))/(P*RadSpec!AZ8))),".")</f>
        <v>3.5746410762351037</v>
      </c>
      <c r="K8" s="115">
        <f>IFERROR(IF(d_Bv!K8=0,".",((Ir*F*d_Bv!K8*(1-EXP(-RadSpec!AZ8*t_b)))/(P*RadSpec!AZ8))),".")</f>
        <v>3.5746410762351037</v>
      </c>
      <c r="L8" s="115">
        <f>IFERROR(IF(d_Bv!L8=0,".",((Ir*F*d_Bv!L8*(1-EXP(-RadSpec!AZ8*t_b)))/(P*RadSpec!AZ8))),".")</f>
        <v>3.5746410762351037</v>
      </c>
      <c r="M8" s="115">
        <f>IFERROR(IF(d_Bv!M8=0,".",((Ir*F*d_Bv!M8*(1-EXP(-RadSpec!AZ8*t_b)))/(P*RadSpec!AZ8))),".")</f>
        <v>3.5746410762351037</v>
      </c>
      <c r="N8" s="115">
        <f>IFERROR(IF(d_Bv!N8=0,".",((Ir*F*d_Bv!N8*(1-EXP(-RadSpec!AZ8*t_b)))/(P*RadSpec!AZ8))),".")</f>
        <v>3.5746410762351037</v>
      </c>
      <c r="O8" s="115">
        <f>IFERROR(IF(d_Bv!O8=0,".",((Ir*F*d_Bv!O8*(1-EXP(-RadSpec!AZ8*t_b)))/(P*RadSpec!AZ8))),".")</f>
        <v>3.5746410762351037</v>
      </c>
      <c r="P8" s="115">
        <f>IFERROR(IF(d_Bv!P8=0,".",((Ir*F*d_Bv!P8*(1-EXP(-RadSpec!AZ8*t_b)))/(P*RadSpec!AZ8))),".")</f>
        <v>3.5746410762351037</v>
      </c>
      <c r="Q8" s="115">
        <f>IFERROR(IF(d_Bv!Q8=0,".",((Ir*F*d_Bv!Q8*(1-EXP(-RadSpec!AZ8*t_b)))/(P*RadSpec!AZ8))),".")</f>
        <v>3.5746410762351037</v>
      </c>
      <c r="R8" s="115">
        <f>IFERROR(IF(d_Bv!R8=0,".",((Ir*F*d_Bv!R8*(1-EXP(-RadSpec!AZ8*t_b)))/(P*RadSpec!AZ8))),".")</f>
        <v>3.5746410762351037</v>
      </c>
      <c r="S8" s="115">
        <f>IFERROR(IF(d_Bv!S8=0,".",((Ir*F*d_Bv!S8*(1-EXP(-RadSpec!AZ8*t_b)))/(P*RadSpec!AZ8))),".")</f>
        <v>3.5746410762351037</v>
      </c>
      <c r="T8" s="211">
        <f>IFERROR(IF(d_Bv!T8=0,".",((Ir*F*d_Bv!S8*(1-EXP(-RadSpec!AZ8*t_b)))/(P*RadSpec!AZ8))),".")</f>
        <v>3.5746410762351037</v>
      </c>
      <c r="U8" s="115">
        <f>IFERROR(IF(d_Bv!U8=0,".",((Ir*F*d_Bv!U8*(1-EXP(-RadSpec!AZ8*t_b)))/(P*RadSpec!AZ8))),".")</f>
        <v>3.5746410762351037</v>
      </c>
      <c r="V8" s="115">
        <f>IFERROR(IF(d_Bv!V8=0,".",((Ir*F*d_Bv!V8*(1-EXP(-RadSpec!AZ8*t_b)))/(P*RadSpec!AZ8))),".")</f>
        <v>3.5746410762351037</v>
      </c>
      <c r="W8" s="115">
        <f>IFERROR(IF(d_Bv!W8=0,".",((Ir*F*d_Bv!W8*(1-EXP(-RadSpec!AZ8*t_b)))/(P*RadSpec!AZ8))),".")</f>
        <v>3.5746410762351037</v>
      </c>
      <c r="X8" s="115">
        <f>IFERROR(IF(d_Bv!X8=0,".",((Ir*F*d_Bv!X8*(1-EXP(-RadSpec!AZ8*t_b)))/(P*RadSpec!AZ8))),".")</f>
        <v>3.5746410762351037</v>
      </c>
      <c r="Y8" s="115">
        <f>IFERROR(IF(d_Bv!Y8=0,".",((Ir*F*d_Bv!Y8*(1-EXP(-RadSpec!AZ8*t_b)))/(P*RadSpec!AZ8))),".")</f>
        <v>3.5746410762351037</v>
      </c>
      <c r="Z8" s="115">
        <f>IFERROR(IF(d_Bv!Z8=0,".",((Ir*F*d_Bv!Z8*(1-EXP(-RadSpec!AZ8*t_b)))/(P*RadSpec!AZ8))),".")</f>
        <v>3.5746410762351037</v>
      </c>
      <c r="AA8" s="115">
        <f>IFERROR(IF(d_Bv!AA8=0,".",((Ir*F*d_Bv!AA8*(1-EXP(-RadSpec!AZ8*t_b)))/(P*RadSpec!AZ8))),".")</f>
        <v>3.5746410762351037</v>
      </c>
      <c r="AB8" s="115">
        <f>IFERROR(IF(d_Bv!C8=0,".",((Ir*F*MLF_apple*(1-EXP(-RadSpec!AZ8*t_b)))/(P*RadSpec!AZ8))),".")</f>
        <v>5.7194257219761657E-3</v>
      </c>
      <c r="AC8" s="115">
        <f>IFERROR(IF(d_Bv!D8=0,".",((Ir*F*MLF_asparagus*(1-EXP(-RadSpec!AZ8*t_b)))/(P*RadSpec!AZ8))),".")</f>
        <v>2.8239664502257315E-3</v>
      </c>
      <c r="AD8" s="115">
        <f>IFERROR(IF(d_Bv!E8=0,".",((Ir*F*MLF_beet*(1-EXP(-RadSpec!AZ8*t_b)))/(P*RadSpec!AZ8))),".")</f>
        <v>4.9330046852044422E-3</v>
      </c>
      <c r="AE8" s="115">
        <f>IFERROR(IF(d_Bv!F8=0,".",((Ir*F*MLF_berries*(1-EXP(-RadSpec!AZ8*t_b)))/(P*RadSpec!AZ8))),".")</f>
        <v>5.9339041865502712E-3</v>
      </c>
      <c r="AF8" s="115">
        <f>IFERROR(IF(d_Bv!G8=0,".",((Ir*F*MLF_broccoli*(1-EXP(-RadSpec!AZ8*t_b)))/(P*RadSpec!AZ8))),".")</f>
        <v>3.6103874869974538E-2</v>
      </c>
      <c r="AG8" s="115">
        <f>IFERROR(IF(d_Bv!H8=0,".",((Ir*F*MLF_cabbage*(1-EXP(-RadSpec!AZ8*t_b)))/(P*RadSpec!AZ8))),".")</f>
        <v>3.7533731300468582E-3</v>
      </c>
      <c r="AH8" s="115">
        <f>IFERROR(IF(d_Bv!I8=0,".",((Ir*F*MLF_carrot*(1-EXP(-RadSpec!AZ8*t_b)))/(P*RadSpec!AZ8))),".")</f>
        <v>3.4674018439480501E-3</v>
      </c>
      <c r="AI8" s="115">
        <f>IFERROR(IF(d_Bv!J8=0,".",((Ir*F*MLF_citrus*(1-EXP(-RadSpec!AZ8*t_b)))/(P*RadSpec!AZ8))),".")</f>
        <v>5.6121864896891112E-3</v>
      </c>
      <c r="AJ8" s="115">
        <f>IFERROR(IF(d_Bv!K8=0,".",((Ir*F*MLF_corn*(1-EXP(-RadSpec!AZ8*t_b)))/(P*RadSpec!AZ8))),".")</f>
        <v>5.1832295605408994E-3</v>
      </c>
      <c r="AK8" s="115">
        <f>IFERROR(IF(d_Bv!L8=0,".",((Ir*F*MLF_cucumber*(1-EXP(-RadSpec!AZ8*t_b)))/(P*RadSpec!AZ8))),".")</f>
        <v>1.4298564304940414E-3</v>
      </c>
      <c r="AL8" s="115">
        <f>IFERROR(IF(d_Bv!M8=0,".",((Ir*F*MLF_lettuce*(1-EXP(-RadSpec!AZ8*t_b)))/(P*RadSpec!AZ8))),".")</f>
        <v>0.48257654529173893</v>
      </c>
      <c r="AM8" s="115">
        <f>IFERROR(IF(d_Bv!N8=0,".",((Ir*F*MLF_lima_bean*(1-EXP(-RadSpec!AZ8*t_b)))/(P*RadSpec!AZ8))),".")</f>
        <v>0.13690875321980447</v>
      </c>
      <c r="AN8" s="115">
        <f>IFERROR(IF(d_Bv!O8=0,".",((Ir*F*MLF_okra*(1-EXP(-RadSpec!AZ8*t_b)))/(P*RadSpec!AZ8))),".")</f>
        <v>2.8597128609880828E-3</v>
      </c>
      <c r="AO8" s="115">
        <f>IFERROR(IF(d_Bv!P8=0,".",((Ir*F*MLF_onion*(1-EXP(-RadSpec!AZ8*t_b)))/(P*RadSpec!AZ8))),".")</f>
        <v>3.4674018439480501E-3</v>
      </c>
      <c r="AP8" s="115">
        <f>IFERROR(IF(d_Bv!Q8=0,".",((Ir*F*MLF_peach*(1-EXP(-RadSpec!AZ8*t_b)))/(P*RadSpec!AZ8))),".")</f>
        <v>5.361961614352654E-3</v>
      </c>
      <c r="AQ8" s="115">
        <f>IFERROR(IF(d_Bv!R8=0,".",((Ir*F*MLF_pear*(1-EXP(-RadSpec!AZ8*t_b)))/(P*RadSpec!AZ8))),".")</f>
        <v>5.7194257219761657E-3</v>
      </c>
      <c r="AR8" s="115">
        <f>IFERROR(IF(d_Bv!S8=0,".",((Ir*F*MLF_peas*(1-EXP(-RadSpec!AZ8*t_b)))/(P*RadSpec!AZ8))),".")</f>
        <v>6.3628611156984829E-3</v>
      </c>
      <c r="AS8" s="115">
        <f>IFERROR(IF(d_Bv!T8=0,".",((Ir*F*MLF_peppers*(1-EXP(-RadSpec!AZ8*t_b)))/(P*RadSpec!AZ8))),".")</f>
        <v>7.93570318924193E-2</v>
      </c>
      <c r="AT8" s="115">
        <f>IFERROR(IF(d_Bv!U8=0,".",((Ir*F*MLF_potato*(1-EXP(-RadSpec!AZ8*t_b)))/(P*RadSpec!AZ8))),".")</f>
        <v>7.5067462600937164E-3</v>
      </c>
      <c r="AU8" s="115">
        <f>IFERROR(IF(d_Bv!V8=0,".",((Ir*F*MLF_pumpkin*(1-EXP(-RadSpec!AZ8*t_b)))/(P*RadSpec!AZ8))),".")</f>
        <v>2.0732918242163598E-3</v>
      </c>
      <c r="AV8" s="115">
        <f>IFERROR(IF(d_Bv!W8=0,".",((Ir*F*MLF_snap_bean*(1-EXP(-RadSpec!AZ8*t_b)))/(P*RadSpec!AZ8))),".")</f>
        <v>0.17873205381175516</v>
      </c>
      <c r="AW8" s="115">
        <f>IFERROR(IF(d_Bv!X8=0,".",((Ir*F*MLF_strawberry*(1-EXP(-RadSpec!AZ8*t_b)))/(P*RadSpec!AZ8))),".")</f>
        <v>2.8597128609880828E-3</v>
      </c>
      <c r="AX8" s="115">
        <f>IFERROR(IF(d_Bv!Y8=0,".",((Ir*F*MLF_tomato*(1-EXP(-RadSpec!AZ8*t_b)))/(P*RadSpec!AZ8))),".")</f>
        <v>6.327114704936132E-2</v>
      </c>
      <c r="AY8" s="115">
        <f>IFERROR(IF(d_Bv!Z8=0,".",((Ir*F*MLF_rice*(1-EXP(-RadSpec!AZ8*t_b)))/(P*RadSpec!AZ8))),".")</f>
        <v>8.9366026905877582</v>
      </c>
      <c r="AZ8" s="115">
        <f>IFERROR(IF(d_Bv!AA8=0,".",((Ir*F*MLF_cereal*(1-EXP(-RadSpec!AZ8*t_b)))/(P*RadSpec!AZ8))),".")</f>
        <v>8.9366026905877582</v>
      </c>
      <c r="BA8" s="115">
        <f>IFERROR(IF(d_Bv!C8=0,".",((Ir*F*I_f*T*(1-EXP(-RadSpec!BA8*t_v)))/(Y_v*RadSpec!BA8))),".")</f>
        <v>3.6424203206347228</v>
      </c>
      <c r="BB8" s="115">
        <f>IFERROR(IF(d_Bv!D8=0,".",((Ir*F*I_f*T*(1-EXP(-RadSpec!BA8*t_v)))/(Y_v*RadSpec!BA8))),".")</f>
        <v>3.6424203206347228</v>
      </c>
      <c r="BC8" s="115">
        <f>IFERROR(IF(d_Bv!E8=0,".",((Ir*F*I_f*T*(1-EXP(-RadSpec!BA8*t_v)))/(Y_v*RadSpec!BA8))),".")</f>
        <v>3.6424203206347228</v>
      </c>
      <c r="BD8" s="115">
        <f>IFERROR(IF(d_Bv!F8=0,".",((Ir*F*I_f*T*(1-EXP(-RadSpec!BA8*t_v)))/(Y_v*RadSpec!BA8))),".")</f>
        <v>3.6424203206347228</v>
      </c>
      <c r="BE8" s="115">
        <f>IFERROR(IF(d_Bv!G8=0,".",((Ir*F*I_f*T*(1-EXP(-RadSpec!BA8*t_v)))/(Y_v*RadSpec!BA8))),".")</f>
        <v>3.6424203206347228</v>
      </c>
      <c r="BF8" s="115">
        <f>IFERROR(IF(d_Bv!H8=0,".",((Ir*F*I_f*T*(1-EXP(-RadSpec!BA8*t_v)))/(Y_v*RadSpec!BA8))),".")</f>
        <v>3.6424203206347228</v>
      </c>
      <c r="BG8" s="115">
        <f>IFERROR(IF(d_Bv!I8=0,".",((Ir*F*I_f*T*(1-EXP(-RadSpec!BA8*t_v)))/(Y_v*RadSpec!BA8))),".")</f>
        <v>3.6424203206347228</v>
      </c>
      <c r="BH8" s="115">
        <f>IFERROR(IF(d_Bv!J8=0,".",((Ir*F*I_f*T*(1-EXP(-RadSpec!BA8*t_v)))/(Y_v*RadSpec!BA8))),".")</f>
        <v>3.6424203206347228</v>
      </c>
      <c r="BI8" s="115">
        <f>IFERROR(IF(d_Bv!K8=0,".",((Ir*F*I_f*T*(1-EXP(-RadSpec!BA8*t_v)))/(Y_v*RadSpec!BA8))),".")</f>
        <v>3.6424203206347228</v>
      </c>
      <c r="BJ8" s="115">
        <f>IFERROR(IF(d_Bv!L8=0,".",((Ir*F*I_f*T*(1-EXP(-RadSpec!BA8*t_v)))/(Y_v*RadSpec!BA8))),".")</f>
        <v>3.6424203206347228</v>
      </c>
      <c r="BK8" s="115">
        <f>IFERROR(IF(d_Bv!M8=0,".",((Ir*F*I_f*T*(1-EXP(-RadSpec!BA8*t_v)))/(Y_v*RadSpec!BA8))),".")</f>
        <v>3.6424203206347228</v>
      </c>
      <c r="BL8" s="115">
        <f>IFERROR(IF(d_Bv!N8=0,".",((Ir*F*I_f*T*(1-EXP(-RadSpec!BA8*t_v)))/(Y_v*RadSpec!BA8))),".")</f>
        <v>3.6424203206347228</v>
      </c>
      <c r="BM8" s="115">
        <f>IFERROR(IF(d_Bv!O8=0,".",((Ir*F*I_f*T*(1-EXP(-RadSpec!BA8*t_v)))/(Y_v*RadSpec!BA8))),".")</f>
        <v>3.6424203206347228</v>
      </c>
      <c r="BN8" s="115">
        <f>IFERROR(IF(d_Bv!P8=0,".",((Ir*F*I_f*T*(1-EXP(-RadSpec!BA8*t_v)))/(Y_v*RadSpec!BA8))),".")</f>
        <v>3.6424203206347228</v>
      </c>
      <c r="BO8" s="115">
        <f>IFERROR(IF(d_Bv!Q8=0,".",((Ir*F*I_f*T*(1-EXP(-RadSpec!BA8*t_v)))/(Y_v*RadSpec!BA8))),".")</f>
        <v>3.6424203206347228</v>
      </c>
      <c r="BP8" s="115">
        <f>IFERROR(IF(d_Bv!R8=0,".",((Ir*F*I_f*T*(1-EXP(-RadSpec!BA8*t_v)))/(Y_v*RadSpec!BA8))),".")</f>
        <v>3.6424203206347228</v>
      </c>
      <c r="BQ8" s="115">
        <f>IFERROR(IF(d_Bv!S8=0,".",((Ir*F*I_f*T*(1-EXP(-RadSpec!BA8*t_v)))/(Y_v*RadSpec!BA8))),".")</f>
        <v>3.6424203206347228</v>
      </c>
      <c r="BR8" s="115">
        <f>IFERROR(IF(d_Bv!T8=0,".",((Ir*F*I_f*T*(1-EXP(-RadSpec!BA8*t_v)))/(Y_v*RadSpec!BA8))),".")</f>
        <v>3.6424203206347228</v>
      </c>
      <c r="BS8" s="115">
        <f>IFERROR(IF(d_Bv!U8=0,".",((Ir*F*I_f*T*(1-EXP(-RadSpec!BA8*t_v)))/(Y_v*RadSpec!BA8))),".")</f>
        <v>3.6424203206347228</v>
      </c>
      <c r="BT8" s="115">
        <f>IFERROR(IF(d_Bv!V8=0,".",((Ir*F*I_f*T*(1-EXP(-RadSpec!BA8*t_v)))/(Y_v*RadSpec!BA8))),".")</f>
        <v>3.6424203206347228</v>
      </c>
      <c r="BU8" s="115">
        <f>IFERROR(IF(d_Bv!W8=0,".",((Ir*F*I_f*T*(1-EXP(-RadSpec!BA8*t_v)))/(Y_v*RadSpec!BA8))),".")</f>
        <v>3.6424203206347228</v>
      </c>
      <c r="BV8" s="115">
        <f>IFERROR(IF(d_Bv!X8=0,".",((Ir*F*I_f*T*(1-EXP(-RadSpec!BA8*t_v)))/(Y_v*RadSpec!BA8))),".")</f>
        <v>3.6424203206347228</v>
      </c>
      <c r="BW8" s="115">
        <f>IFERROR(IF(d_Bv!Y8=0,".",((Ir*F*I_f*T*(1-EXP(-RadSpec!BA8*t_v)))/(Y_v*RadSpec!BA8))),".")</f>
        <v>3.6424203206347228</v>
      </c>
      <c r="BX8" s="115">
        <f>IFERROR(IF(d_Bv!Z8=0,".",((Ir*F*I_f*T*(1-EXP(-RadSpec!BA8*t_v)))/(Y_v*RadSpec!BA8))),".")</f>
        <v>3.6424203206347228</v>
      </c>
      <c r="BY8" s="115">
        <f>IFERROR(IF(d_Bv!AA8=0,".",((Ir*F*I_f*T*(1-EXP(-RadSpec!BA8*t_v)))/(Y_v*RadSpec!BA8))),".")</f>
        <v>3.6424203206347228</v>
      </c>
    </row>
    <row r="9" spans="1:77" x14ac:dyDescent="0.25">
      <c r="A9" s="44" t="s">
        <v>19</v>
      </c>
      <c r="B9" s="42" t="s">
        <v>1071</v>
      </c>
      <c r="C9" s="115">
        <f>IFERROR(IF(d_Bv!C9=0,".",((Ir*F*d_Bv!C9*(1-EXP(-RadSpec!AZ9*t_b)))/(P*RadSpec!AZ9))),".")</f>
        <v>3.5746410762351037</v>
      </c>
      <c r="D9" s="115">
        <f>IFERROR(IF(d_Bv!D9=0,".",((Ir*F*d_Bv!D9*(1-EXP(-RadSpec!AZ9*t_b)))/(P*RadSpec!AZ9))),".")</f>
        <v>3.5746410762351037</v>
      </c>
      <c r="E9" s="115">
        <f>IFERROR(IF(d_Bv!E9=0,".",((Ir*F*d_Bv!E9*(1-EXP(-RadSpec!AZ9*t_b)))/(P*RadSpec!AZ9))),".")</f>
        <v>3.5746410762351037</v>
      </c>
      <c r="F9" s="115">
        <f>IFERROR(IF(d_Bv!F9=0,".",((Ir*F*d_Bv!F9*(1-EXP(-RadSpec!AZ9*t_b)))/(P*RadSpec!AZ9))),".")</f>
        <v>3.5746410762351037</v>
      </c>
      <c r="G9" s="115">
        <f>IFERROR(IF(d_Bv!G9=0,".",((Ir*F*d_Bv!G9*(1-EXP(-RadSpec!AZ9*t_b)))/(P*RadSpec!AZ9))),".")</f>
        <v>3.5746410762351037</v>
      </c>
      <c r="H9" s="115">
        <f>IFERROR(IF(d_Bv!H9=0,".",((Ir*F*d_Bv!H9*(1-EXP(-RadSpec!AZ9*t_b)))/(P*RadSpec!AZ9))),".")</f>
        <v>3.5746410762351037</v>
      </c>
      <c r="I9" s="115">
        <f>IFERROR(IF(d_Bv!I9=0,".",((Ir*F*d_Bv!I9*(1-EXP(-RadSpec!AZ9*t_b)))/(P*RadSpec!AZ9))),".")</f>
        <v>3.5746410762351037</v>
      </c>
      <c r="J9" s="115">
        <f>IFERROR(IF(d_Bv!J9=0,".",((Ir*F*d_Bv!J9*(1-EXP(-RadSpec!AZ9*t_b)))/(P*RadSpec!AZ9))),".")</f>
        <v>3.5746410762351037</v>
      </c>
      <c r="K9" s="115">
        <f>IFERROR(IF(d_Bv!K9=0,".",((Ir*F*d_Bv!K9*(1-EXP(-RadSpec!AZ9*t_b)))/(P*RadSpec!AZ9))),".")</f>
        <v>3.5746410762351037</v>
      </c>
      <c r="L9" s="115">
        <f>IFERROR(IF(d_Bv!L9=0,".",((Ir*F*d_Bv!L9*(1-EXP(-RadSpec!AZ9*t_b)))/(P*RadSpec!AZ9))),".")</f>
        <v>3.5746410762351037</v>
      </c>
      <c r="M9" s="115">
        <f>IFERROR(IF(d_Bv!M9=0,".",((Ir*F*d_Bv!M9*(1-EXP(-RadSpec!AZ9*t_b)))/(P*RadSpec!AZ9))),".")</f>
        <v>3.5746410762351037</v>
      </c>
      <c r="N9" s="115">
        <f>IFERROR(IF(d_Bv!N9=0,".",((Ir*F*d_Bv!N9*(1-EXP(-RadSpec!AZ9*t_b)))/(P*RadSpec!AZ9))),".")</f>
        <v>3.5746410762351037</v>
      </c>
      <c r="O9" s="115">
        <f>IFERROR(IF(d_Bv!O9=0,".",((Ir*F*d_Bv!O9*(1-EXP(-RadSpec!AZ9*t_b)))/(P*RadSpec!AZ9))),".")</f>
        <v>3.5746410762351037</v>
      </c>
      <c r="P9" s="115">
        <f>IFERROR(IF(d_Bv!P9=0,".",((Ir*F*d_Bv!P9*(1-EXP(-RadSpec!AZ9*t_b)))/(P*RadSpec!AZ9))),".")</f>
        <v>3.5746410762351037</v>
      </c>
      <c r="Q9" s="115">
        <f>IFERROR(IF(d_Bv!Q9=0,".",((Ir*F*d_Bv!Q9*(1-EXP(-RadSpec!AZ9*t_b)))/(P*RadSpec!AZ9))),".")</f>
        <v>3.5746410762351037</v>
      </c>
      <c r="R9" s="115">
        <f>IFERROR(IF(d_Bv!R9=0,".",((Ir*F*d_Bv!R9*(1-EXP(-RadSpec!AZ9*t_b)))/(P*RadSpec!AZ9))),".")</f>
        <v>3.5746410762351037</v>
      </c>
      <c r="S9" s="115">
        <f>IFERROR(IF(d_Bv!S9=0,".",((Ir*F*d_Bv!S9*(1-EXP(-RadSpec!AZ9*t_b)))/(P*RadSpec!AZ9))),".")</f>
        <v>3.5746410762351037</v>
      </c>
      <c r="T9" s="211">
        <f>IFERROR(IF(d_Bv!T9=0,".",((Ir*F*d_Bv!S9*(1-EXP(-RadSpec!AZ9*t_b)))/(P*RadSpec!AZ9))),".")</f>
        <v>3.5746410762351037</v>
      </c>
      <c r="U9" s="115">
        <f>IFERROR(IF(d_Bv!U9=0,".",((Ir*F*d_Bv!U9*(1-EXP(-RadSpec!AZ9*t_b)))/(P*RadSpec!AZ9))),".")</f>
        <v>3.5746410762351037</v>
      </c>
      <c r="V9" s="115">
        <f>IFERROR(IF(d_Bv!V9=0,".",((Ir*F*d_Bv!V9*(1-EXP(-RadSpec!AZ9*t_b)))/(P*RadSpec!AZ9))),".")</f>
        <v>3.5746410762351037</v>
      </c>
      <c r="W9" s="115">
        <f>IFERROR(IF(d_Bv!W9=0,".",((Ir*F*d_Bv!W9*(1-EXP(-RadSpec!AZ9*t_b)))/(P*RadSpec!AZ9))),".")</f>
        <v>3.5746410762351037</v>
      </c>
      <c r="X9" s="115">
        <f>IFERROR(IF(d_Bv!X9=0,".",((Ir*F*d_Bv!X9*(1-EXP(-RadSpec!AZ9*t_b)))/(P*RadSpec!AZ9))),".")</f>
        <v>3.5746410762351037</v>
      </c>
      <c r="Y9" s="115">
        <f>IFERROR(IF(d_Bv!Y9=0,".",((Ir*F*d_Bv!Y9*(1-EXP(-RadSpec!AZ9*t_b)))/(P*RadSpec!AZ9))),".")</f>
        <v>3.5746410762351037</v>
      </c>
      <c r="Z9" s="115">
        <f>IFERROR(IF(d_Bv!Z9=0,".",((Ir*F*d_Bv!Z9*(1-EXP(-RadSpec!AZ9*t_b)))/(P*RadSpec!AZ9))),".")</f>
        <v>3.5746410762351037</v>
      </c>
      <c r="AA9" s="115">
        <f>IFERROR(IF(d_Bv!AA9=0,".",((Ir*F*d_Bv!AA9*(1-EXP(-RadSpec!AZ9*t_b)))/(P*RadSpec!AZ9))),".")</f>
        <v>3.5746410762351037</v>
      </c>
      <c r="AB9" s="115">
        <f>IFERROR(IF(d_Bv!C9=0,".",((Ir*F*MLF_apple*(1-EXP(-RadSpec!AZ9*t_b)))/(P*RadSpec!AZ9))),".")</f>
        <v>5.7194257219761657E-3</v>
      </c>
      <c r="AC9" s="115">
        <f>IFERROR(IF(d_Bv!D9=0,".",((Ir*F*MLF_asparagus*(1-EXP(-RadSpec!AZ9*t_b)))/(P*RadSpec!AZ9))),".")</f>
        <v>2.8239664502257315E-3</v>
      </c>
      <c r="AD9" s="115">
        <f>IFERROR(IF(d_Bv!E9=0,".",((Ir*F*MLF_beet*(1-EXP(-RadSpec!AZ9*t_b)))/(P*RadSpec!AZ9))),".")</f>
        <v>4.9330046852044422E-3</v>
      </c>
      <c r="AE9" s="115">
        <f>IFERROR(IF(d_Bv!F9=0,".",((Ir*F*MLF_berries*(1-EXP(-RadSpec!AZ9*t_b)))/(P*RadSpec!AZ9))),".")</f>
        <v>5.9339041865502712E-3</v>
      </c>
      <c r="AF9" s="115">
        <f>IFERROR(IF(d_Bv!G9=0,".",((Ir*F*MLF_broccoli*(1-EXP(-RadSpec!AZ9*t_b)))/(P*RadSpec!AZ9))),".")</f>
        <v>3.6103874869974538E-2</v>
      </c>
      <c r="AG9" s="115">
        <f>IFERROR(IF(d_Bv!H9=0,".",((Ir*F*MLF_cabbage*(1-EXP(-RadSpec!AZ9*t_b)))/(P*RadSpec!AZ9))),".")</f>
        <v>3.7533731300468582E-3</v>
      </c>
      <c r="AH9" s="115">
        <f>IFERROR(IF(d_Bv!I9=0,".",((Ir*F*MLF_carrot*(1-EXP(-RadSpec!AZ9*t_b)))/(P*RadSpec!AZ9))),".")</f>
        <v>3.4674018439480501E-3</v>
      </c>
      <c r="AI9" s="115">
        <f>IFERROR(IF(d_Bv!J9=0,".",((Ir*F*MLF_citrus*(1-EXP(-RadSpec!AZ9*t_b)))/(P*RadSpec!AZ9))),".")</f>
        <v>5.6121864896891112E-3</v>
      </c>
      <c r="AJ9" s="115">
        <f>IFERROR(IF(d_Bv!K9=0,".",((Ir*F*MLF_corn*(1-EXP(-RadSpec!AZ9*t_b)))/(P*RadSpec!AZ9))),".")</f>
        <v>5.1832295605408994E-3</v>
      </c>
      <c r="AK9" s="115">
        <f>IFERROR(IF(d_Bv!L9=0,".",((Ir*F*MLF_cucumber*(1-EXP(-RadSpec!AZ9*t_b)))/(P*RadSpec!AZ9))),".")</f>
        <v>1.4298564304940414E-3</v>
      </c>
      <c r="AL9" s="115">
        <f>IFERROR(IF(d_Bv!M9=0,".",((Ir*F*MLF_lettuce*(1-EXP(-RadSpec!AZ9*t_b)))/(P*RadSpec!AZ9))),".")</f>
        <v>0.48257654529173893</v>
      </c>
      <c r="AM9" s="115">
        <f>IFERROR(IF(d_Bv!N9=0,".",((Ir*F*MLF_lima_bean*(1-EXP(-RadSpec!AZ9*t_b)))/(P*RadSpec!AZ9))),".")</f>
        <v>0.13690875321980447</v>
      </c>
      <c r="AN9" s="115">
        <f>IFERROR(IF(d_Bv!O9=0,".",((Ir*F*MLF_okra*(1-EXP(-RadSpec!AZ9*t_b)))/(P*RadSpec!AZ9))),".")</f>
        <v>2.8597128609880828E-3</v>
      </c>
      <c r="AO9" s="115">
        <f>IFERROR(IF(d_Bv!P9=0,".",((Ir*F*MLF_onion*(1-EXP(-RadSpec!AZ9*t_b)))/(P*RadSpec!AZ9))),".")</f>
        <v>3.4674018439480501E-3</v>
      </c>
      <c r="AP9" s="115">
        <f>IFERROR(IF(d_Bv!Q9=0,".",((Ir*F*MLF_peach*(1-EXP(-RadSpec!AZ9*t_b)))/(P*RadSpec!AZ9))),".")</f>
        <v>5.361961614352654E-3</v>
      </c>
      <c r="AQ9" s="115">
        <f>IFERROR(IF(d_Bv!R9=0,".",((Ir*F*MLF_pear*(1-EXP(-RadSpec!AZ9*t_b)))/(P*RadSpec!AZ9))),".")</f>
        <v>5.7194257219761657E-3</v>
      </c>
      <c r="AR9" s="115">
        <f>IFERROR(IF(d_Bv!S9=0,".",((Ir*F*MLF_peas*(1-EXP(-RadSpec!AZ9*t_b)))/(P*RadSpec!AZ9))),".")</f>
        <v>6.3628611156984829E-3</v>
      </c>
      <c r="AS9" s="115">
        <f>IFERROR(IF(d_Bv!T9=0,".",((Ir*F*MLF_peppers*(1-EXP(-RadSpec!AZ9*t_b)))/(P*RadSpec!AZ9))),".")</f>
        <v>7.93570318924193E-2</v>
      </c>
      <c r="AT9" s="115">
        <f>IFERROR(IF(d_Bv!U9=0,".",((Ir*F*MLF_potato*(1-EXP(-RadSpec!AZ9*t_b)))/(P*RadSpec!AZ9))),".")</f>
        <v>7.5067462600937164E-3</v>
      </c>
      <c r="AU9" s="115">
        <f>IFERROR(IF(d_Bv!V9=0,".",((Ir*F*MLF_pumpkin*(1-EXP(-RadSpec!AZ9*t_b)))/(P*RadSpec!AZ9))),".")</f>
        <v>2.0732918242163598E-3</v>
      </c>
      <c r="AV9" s="115">
        <f>IFERROR(IF(d_Bv!W9=0,".",((Ir*F*MLF_snap_bean*(1-EXP(-RadSpec!AZ9*t_b)))/(P*RadSpec!AZ9))),".")</f>
        <v>0.17873205381175516</v>
      </c>
      <c r="AW9" s="115">
        <f>IFERROR(IF(d_Bv!X9=0,".",((Ir*F*MLF_strawberry*(1-EXP(-RadSpec!AZ9*t_b)))/(P*RadSpec!AZ9))),".")</f>
        <v>2.8597128609880828E-3</v>
      </c>
      <c r="AX9" s="115">
        <f>IFERROR(IF(d_Bv!Y9=0,".",((Ir*F*MLF_tomato*(1-EXP(-RadSpec!AZ9*t_b)))/(P*RadSpec!AZ9))),".")</f>
        <v>6.327114704936132E-2</v>
      </c>
      <c r="AY9" s="115">
        <f>IFERROR(IF(d_Bv!Z9=0,".",((Ir*F*MLF_rice*(1-EXP(-RadSpec!AZ9*t_b)))/(P*RadSpec!AZ9))),".")</f>
        <v>8.9366026905877582</v>
      </c>
      <c r="AZ9" s="115">
        <f>IFERROR(IF(d_Bv!AA9=0,".",((Ir*F*MLF_cereal*(1-EXP(-RadSpec!AZ9*t_b)))/(P*RadSpec!AZ9))),".")</f>
        <v>8.9366026905877582</v>
      </c>
      <c r="BA9" s="115">
        <f>IFERROR(IF(d_Bv!C9=0,".",((Ir*F*I_f*T*(1-EXP(-RadSpec!BA9*t_v)))/(Y_v*RadSpec!BA9))),".")</f>
        <v>3.6424203206347228</v>
      </c>
      <c r="BB9" s="115">
        <f>IFERROR(IF(d_Bv!D9=0,".",((Ir*F*I_f*T*(1-EXP(-RadSpec!BA9*t_v)))/(Y_v*RadSpec!BA9))),".")</f>
        <v>3.6424203206347228</v>
      </c>
      <c r="BC9" s="115">
        <f>IFERROR(IF(d_Bv!E9=0,".",((Ir*F*I_f*T*(1-EXP(-RadSpec!BA9*t_v)))/(Y_v*RadSpec!BA9))),".")</f>
        <v>3.6424203206347228</v>
      </c>
      <c r="BD9" s="115">
        <f>IFERROR(IF(d_Bv!F9=0,".",((Ir*F*I_f*T*(1-EXP(-RadSpec!BA9*t_v)))/(Y_v*RadSpec!BA9))),".")</f>
        <v>3.6424203206347228</v>
      </c>
      <c r="BE9" s="115">
        <f>IFERROR(IF(d_Bv!G9=0,".",((Ir*F*I_f*T*(1-EXP(-RadSpec!BA9*t_v)))/(Y_v*RadSpec!BA9))),".")</f>
        <v>3.6424203206347228</v>
      </c>
      <c r="BF9" s="115">
        <f>IFERROR(IF(d_Bv!H9=0,".",((Ir*F*I_f*T*(1-EXP(-RadSpec!BA9*t_v)))/(Y_v*RadSpec!BA9))),".")</f>
        <v>3.6424203206347228</v>
      </c>
      <c r="BG9" s="115">
        <f>IFERROR(IF(d_Bv!I9=0,".",((Ir*F*I_f*T*(1-EXP(-RadSpec!BA9*t_v)))/(Y_v*RadSpec!BA9))),".")</f>
        <v>3.6424203206347228</v>
      </c>
      <c r="BH9" s="115">
        <f>IFERROR(IF(d_Bv!J9=0,".",((Ir*F*I_f*T*(1-EXP(-RadSpec!BA9*t_v)))/(Y_v*RadSpec!BA9))),".")</f>
        <v>3.6424203206347228</v>
      </c>
      <c r="BI9" s="115">
        <f>IFERROR(IF(d_Bv!K9=0,".",((Ir*F*I_f*T*(1-EXP(-RadSpec!BA9*t_v)))/(Y_v*RadSpec!BA9))),".")</f>
        <v>3.6424203206347228</v>
      </c>
      <c r="BJ9" s="115">
        <f>IFERROR(IF(d_Bv!L9=0,".",((Ir*F*I_f*T*(1-EXP(-RadSpec!BA9*t_v)))/(Y_v*RadSpec!BA9))),".")</f>
        <v>3.6424203206347228</v>
      </c>
      <c r="BK9" s="115">
        <f>IFERROR(IF(d_Bv!M9=0,".",((Ir*F*I_f*T*(1-EXP(-RadSpec!BA9*t_v)))/(Y_v*RadSpec!BA9))),".")</f>
        <v>3.6424203206347228</v>
      </c>
      <c r="BL9" s="115">
        <f>IFERROR(IF(d_Bv!N9=0,".",((Ir*F*I_f*T*(1-EXP(-RadSpec!BA9*t_v)))/(Y_v*RadSpec!BA9))),".")</f>
        <v>3.6424203206347228</v>
      </c>
      <c r="BM9" s="115">
        <f>IFERROR(IF(d_Bv!O9=0,".",((Ir*F*I_f*T*(1-EXP(-RadSpec!BA9*t_v)))/(Y_v*RadSpec!BA9))),".")</f>
        <v>3.6424203206347228</v>
      </c>
      <c r="BN9" s="115">
        <f>IFERROR(IF(d_Bv!P9=0,".",((Ir*F*I_f*T*(1-EXP(-RadSpec!BA9*t_v)))/(Y_v*RadSpec!BA9))),".")</f>
        <v>3.6424203206347228</v>
      </c>
      <c r="BO9" s="115">
        <f>IFERROR(IF(d_Bv!Q9=0,".",((Ir*F*I_f*T*(1-EXP(-RadSpec!BA9*t_v)))/(Y_v*RadSpec!BA9))),".")</f>
        <v>3.6424203206347228</v>
      </c>
      <c r="BP9" s="115">
        <f>IFERROR(IF(d_Bv!R9=0,".",((Ir*F*I_f*T*(1-EXP(-RadSpec!BA9*t_v)))/(Y_v*RadSpec!BA9))),".")</f>
        <v>3.6424203206347228</v>
      </c>
      <c r="BQ9" s="115">
        <f>IFERROR(IF(d_Bv!S9=0,".",((Ir*F*I_f*T*(1-EXP(-RadSpec!BA9*t_v)))/(Y_v*RadSpec!BA9))),".")</f>
        <v>3.6424203206347228</v>
      </c>
      <c r="BR9" s="115">
        <f>IFERROR(IF(d_Bv!T9=0,".",((Ir*F*I_f*T*(1-EXP(-RadSpec!BA9*t_v)))/(Y_v*RadSpec!BA9))),".")</f>
        <v>3.6424203206347228</v>
      </c>
      <c r="BS9" s="115">
        <f>IFERROR(IF(d_Bv!U9=0,".",((Ir*F*I_f*T*(1-EXP(-RadSpec!BA9*t_v)))/(Y_v*RadSpec!BA9))),".")</f>
        <v>3.6424203206347228</v>
      </c>
      <c r="BT9" s="115">
        <f>IFERROR(IF(d_Bv!V9=0,".",((Ir*F*I_f*T*(1-EXP(-RadSpec!BA9*t_v)))/(Y_v*RadSpec!BA9))),".")</f>
        <v>3.6424203206347228</v>
      </c>
      <c r="BU9" s="115">
        <f>IFERROR(IF(d_Bv!W9=0,".",((Ir*F*I_f*T*(1-EXP(-RadSpec!BA9*t_v)))/(Y_v*RadSpec!BA9))),".")</f>
        <v>3.6424203206347228</v>
      </c>
      <c r="BV9" s="115">
        <f>IFERROR(IF(d_Bv!X9=0,".",((Ir*F*I_f*T*(1-EXP(-RadSpec!BA9*t_v)))/(Y_v*RadSpec!BA9))),".")</f>
        <v>3.6424203206347228</v>
      </c>
      <c r="BW9" s="115">
        <f>IFERROR(IF(d_Bv!Y9=0,".",((Ir*F*I_f*T*(1-EXP(-RadSpec!BA9*t_v)))/(Y_v*RadSpec!BA9))),".")</f>
        <v>3.6424203206347228</v>
      </c>
      <c r="BX9" s="115">
        <f>IFERROR(IF(d_Bv!Z9=0,".",((Ir*F*I_f*T*(1-EXP(-RadSpec!BA9*t_v)))/(Y_v*RadSpec!BA9))),".")</f>
        <v>3.6424203206347228</v>
      </c>
      <c r="BY9" s="115">
        <f>IFERROR(IF(d_Bv!AA9=0,".",((Ir*F*I_f*T*(1-EXP(-RadSpec!BA9*t_v)))/(Y_v*RadSpec!BA9))),".")</f>
        <v>3.6424203206347228</v>
      </c>
    </row>
    <row r="10" spans="1:77" x14ac:dyDescent="0.25">
      <c r="A10" s="46" t="s">
        <v>20</v>
      </c>
      <c r="B10" s="42" t="s">
        <v>349</v>
      </c>
      <c r="C10" s="115">
        <f>IFERROR(IF(d_Bv!C10=0,".",((Ir*F*d_Bv!C10*(1-EXP(-RadSpec!AZ10*t_b)))/(P*RadSpec!AZ10))),".")</f>
        <v>0.20732918242163598</v>
      </c>
      <c r="D10" s="115">
        <f>IFERROR(IF(d_Bv!D10=0,".",((Ir*F*d_Bv!D10*(1-EXP(-RadSpec!AZ10*t_b)))/(P*RadSpec!AZ10))),".")</f>
        <v>2.144784645741062</v>
      </c>
      <c r="E10" s="115">
        <f>IFERROR(IF(d_Bv!E10=0,".",((Ir*F*d_Bv!E10*(1-EXP(-RadSpec!AZ10*t_b)))/(P*RadSpec!AZ10))),".")</f>
        <v>1.5013492520187435</v>
      </c>
      <c r="F10" s="115">
        <f>IFERROR(IF(d_Bv!F10=0,".",((Ir*F*d_Bv!F10*(1-EXP(-RadSpec!AZ10*t_b)))/(P*RadSpec!AZ10))),".")</f>
        <v>7.5067462600937149E-2</v>
      </c>
      <c r="G10" s="115">
        <f>IFERROR(IF(d_Bv!G10=0,".",((Ir*F*d_Bv!G10*(1-EXP(-RadSpec!AZ10*t_b)))/(P*RadSpec!AZ10))),".")</f>
        <v>0.75067462600937174</v>
      </c>
      <c r="H10" s="115">
        <f>IFERROR(IF(d_Bv!H10=0,".",((Ir*F*d_Bv!H10*(1-EXP(-RadSpec!AZ10*t_b)))/(P*RadSpec!AZ10))),".")</f>
        <v>2.144784645741062</v>
      </c>
      <c r="I10" s="115">
        <f>IFERROR(IF(d_Bv!I10=0,".",((Ir*F*d_Bv!I10*(1-EXP(-RadSpec!AZ10*t_b)))/(P*RadSpec!AZ10))),".")</f>
        <v>1.5013492520187435</v>
      </c>
      <c r="J10" s="115">
        <f>IFERROR(IF(d_Bv!J10=0,".",((Ir*F*d_Bv!J10*(1-EXP(-RadSpec!AZ10*t_b)))/(P*RadSpec!AZ10))),".")</f>
        <v>0.20732918242163598</v>
      </c>
      <c r="K10" s="115">
        <f>IFERROR(IF(d_Bv!K10=0,".",((Ir*F*d_Bv!K10*(1-EXP(-RadSpec!AZ10*t_b)))/(P*RadSpec!AZ10))),".")</f>
        <v>1.1796315551575842</v>
      </c>
      <c r="L10" s="115">
        <f>IFERROR(IF(d_Bv!L10=0,".",((Ir*F*d_Bv!L10*(1-EXP(-RadSpec!AZ10*t_b)))/(P*RadSpec!AZ10))),".")</f>
        <v>0.75067462600937174</v>
      </c>
      <c r="M10" s="115">
        <f>IFERROR(IF(d_Bv!M10=0,".",((Ir*F*d_Bv!M10*(1-EXP(-RadSpec!AZ10*t_b)))/(P*RadSpec!AZ10))),".")</f>
        <v>2.144784645741062</v>
      </c>
      <c r="N10" s="115">
        <f>IFERROR(IF(d_Bv!N10=0,".",((Ir*F*d_Bv!N10*(1-EXP(-RadSpec!AZ10*t_b)))/(P*RadSpec!AZ10))),".")</f>
        <v>1.4298564304940413</v>
      </c>
      <c r="O10" s="115">
        <f>IFERROR(IF(d_Bv!O10=0,".",((Ir*F*d_Bv!O10*(1-EXP(-RadSpec!AZ10*t_b)))/(P*RadSpec!AZ10))),".")</f>
        <v>0.75067462600937174</v>
      </c>
      <c r="P10" s="115">
        <f>IFERROR(IF(d_Bv!P10=0,".",((Ir*F*d_Bv!P10*(1-EXP(-RadSpec!AZ10*t_b)))/(P*RadSpec!AZ10))),".")</f>
        <v>1.5013492520187435</v>
      </c>
      <c r="Q10" s="115">
        <f>IFERROR(IF(d_Bv!Q10=0,".",((Ir*F*d_Bv!Q10*(1-EXP(-RadSpec!AZ10*t_b)))/(P*RadSpec!AZ10))),".")</f>
        <v>0.20732918242163598</v>
      </c>
      <c r="R10" s="115">
        <f>IFERROR(IF(d_Bv!R10=0,".",((Ir*F*d_Bv!R10*(1-EXP(-RadSpec!AZ10*t_b)))/(P*RadSpec!AZ10))),".")</f>
        <v>0.20732918242163598</v>
      </c>
      <c r="S10" s="115">
        <f>IFERROR(IF(d_Bv!S10=0,".",((Ir*F*d_Bv!S10*(1-EXP(-RadSpec!AZ10*t_b)))/(P*RadSpec!AZ10))),".")</f>
        <v>1.4298564304940413</v>
      </c>
      <c r="T10" s="211">
        <f>IFERROR(IF(d_Bv!T10=0,".",((Ir*F*d_Bv!S10*(1-EXP(-RadSpec!AZ10*t_b)))/(P*RadSpec!AZ10))),".")</f>
        <v>1.4298564304940413</v>
      </c>
      <c r="U10" s="115">
        <f>IFERROR(IF(d_Bv!U10=0,".",((Ir*F*d_Bv!U10*(1-EXP(-RadSpec!AZ10*t_b)))/(P*RadSpec!AZ10))),".")</f>
        <v>2.0017990026916577</v>
      </c>
      <c r="V10" s="115">
        <f>IFERROR(IF(d_Bv!V10=0,".",((Ir*F*d_Bv!V10*(1-EXP(-RadSpec!AZ10*t_b)))/(P*RadSpec!AZ10))),".")</f>
        <v>0.75067462600937174</v>
      </c>
      <c r="W10" s="115">
        <f>IFERROR(IF(d_Bv!W10=0,".",((Ir*F*d_Bv!W10*(1-EXP(-RadSpec!AZ10*t_b)))/(P*RadSpec!AZ10))),".")</f>
        <v>1.4298564304940413</v>
      </c>
      <c r="X10" s="115">
        <f>IFERROR(IF(d_Bv!X10=0,".",((Ir*F*d_Bv!X10*(1-EXP(-RadSpec!AZ10*t_b)))/(P*RadSpec!AZ10))),".")</f>
        <v>0.10366459121081799</v>
      </c>
      <c r="Y10" s="115">
        <f>IFERROR(IF(d_Bv!Y10=0,".",((Ir*F*d_Bv!Y10*(1-EXP(-RadSpec!AZ10*t_b)))/(P*RadSpec!AZ10))),".")</f>
        <v>0.75067462600937174</v>
      </c>
      <c r="Z10" s="115">
        <f>IFERROR(IF(d_Bv!Z10=0,".",((Ir*F*d_Bv!Z10*(1-EXP(-RadSpec!AZ10*t_b)))/(P*RadSpec!AZ10))),".")</f>
        <v>2.6094879856516255E-2</v>
      </c>
      <c r="AA10" s="115">
        <f>IFERROR(IF(d_Bv!AA10=0,".",((Ir*F*d_Bv!AA10*(1-EXP(-RadSpec!AZ10*t_b)))/(P*RadSpec!AZ10))),".")</f>
        <v>1.0366459121081799</v>
      </c>
      <c r="AB10" s="115">
        <f>IFERROR(IF(d_Bv!C10=0,".",((Ir*F*MLF_apple*(1-EXP(-RadSpec!AZ10*t_b)))/(P*RadSpec!AZ10))),".")</f>
        <v>5.7194257219761657E-3</v>
      </c>
      <c r="AC10" s="115">
        <f>IFERROR(IF(d_Bv!D10=0,".",((Ir*F*MLF_asparagus*(1-EXP(-RadSpec!AZ10*t_b)))/(P*RadSpec!AZ10))),".")</f>
        <v>2.8239664502257315E-3</v>
      </c>
      <c r="AD10" s="115">
        <f>IFERROR(IF(d_Bv!E10=0,".",((Ir*F*MLF_beet*(1-EXP(-RadSpec!AZ10*t_b)))/(P*RadSpec!AZ10))),".")</f>
        <v>4.9330046852044422E-3</v>
      </c>
      <c r="AE10" s="115">
        <f>IFERROR(IF(d_Bv!F10=0,".",((Ir*F*MLF_berries*(1-EXP(-RadSpec!AZ10*t_b)))/(P*RadSpec!AZ10))),".")</f>
        <v>5.9339041865502712E-3</v>
      </c>
      <c r="AF10" s="115">
        <f>IFERROR(IF(d_Bv!G10=0,".",((Ir*F*MLF_broccoli*(1-EXP(-RadSpec!AZ10*t_b)))/(P*RadSpec!AZ10))),".")</f>
        <v>3.6103874869974538E-2</v>
      </c>
      <c r="AG10" s="115">
        <f>IFERROR(IF(d_Bv!H10=0,".",((Ir*F*MLF_cabbage*(1-EXP(-RadSpec!AZ10*t_b)))/(P*RadSpec!AZ10))),".")</f>
        <v>3.7533731300468582E-3</v>
      </c>
      <c r="AH10" s="115">
        <f>IFERROR(IF(d_Bv!I10=0,".",((Ir*F*MLF_carrot*(1-EXP(-RadSpec!AZ10*t_b)))/(P*RadSpec!AZ10))),".")</f>
        <v>3.4674018439480501E-3</v>
      </c>
      <c r="AI10" s="115">
        <f>IFERROR(IF(d_Bv!J10=0,".",((Ir*F*MLF_citrus*(1-EXP(-RadSpec!AZ10*t_b)))/(P*RadSpec!AZ10))),".")</f>
        <v>5.6121864896891112E-3</v>
      </c>
      <c r="AJ10" s="115">
        <f>IFERROR(IF(d_Bv!K10=0,".",((Ir*F*MLF_corn*(1-EXP(-RadSpec!AZ10*t_b)))/(P*RadSpec!AZ10))),".")</f>
        <v>5.1832295605408994E-3</v>
      </c>
      <c r="AK10" s="115">
        <f>IFERROR(IF(d_Bv!L10=0,".",((Ir*F*MLF_cucumber*(1-EXP(-RadSpec!AZ10*t_b)))/(P*RadSpec!AZ10))),".")</f>
        <v>1.4298564304940414E-3</v>
      </c>
      <c r="AL10" s="115">
        <f>IFERROR(IF(d_Bv!M10=0,".",((Ir*F*MLF_lettuce*(1-EXP(-RadSpec!AZ10*t_b)))/(P*RadSpec!AZ10))),".")</f>
        <v>0.48257654529173893</v>
      </c>
      <c r="AM10" s="115">
        <f>IFERROR(IF(d_Bv!N10=0,".",((Ir*F*MLF_lima_bean*(1-EXP(-RadSpec!AZ10*t_b)))/(P*RadSpec!AZ10))),".")</f>
        <v>0.13690875321980447</v>
      </c>
      <c r="AN10" s="115">
        <f>IFERROR(IF(d_Bv!O10=0,".",((Ir*F*MLF_okra*(1-EXP(-RadSpec!AZ10*t_b)))/(P*RadSpec!AZ10))),".")</f>
        <v>2.8597128609880828E-3</v>
      </c>
      <c r="AO10" s="115">
        <f>IFERROR(IF(d_Bv!P10=0,".",((Ir*F*MLF_onion*(1-EXP(-RadSpec!AZ10*t_b)))/(P*RadSpec!AZ10))),".")</f>
        <v>3.4674018439480501E-3</v>
      </c>
      <c r="AP10" s="115">
        <f>IFERROR(IF(d_Bv!Q10=0,".",((Ir*F*MLF_peach*(1-EXP(-RadSpec!AZ10*t_b)))/(P*RadSpec!AZ10))),".")</f>
        <v>5.361961614352654E-3</v>
      </c>
      <c r="AQ10" s="115">
        <f>IFERROR(IF(d_Bv!R10=0,".",((Ir*F*MLF_pear*(1-EXP(-RadSpec!AZ10*t_b)))/(P*RadSpec!AZ10))),".")</f>
        <v>5.7194257219761657E-3</v>
      </c>
      <c r="AR10" s="115">
        <f>IFERROR(IF(d_Bv!S10=0,".",((Ir*F*MLF_peas*(1-EXP(-RadSpec!AZ10*t_b)))/(P*RadSpec!AZ10))),".")</f>
        <v>6.3628611156984829E-3</v>
      </c>
      <c r="AS10" s="115">
        <f>IFERROR(IF(d_Bv!T10=0,".",((Ir*F*MLF_peppers*(1-EXP(-RadSpec!AZ10*t_b)))/(P*RadSpec!AZ10))),".")</f>
        <v>7.93570318924193E-2</v>
      </c>
      <c r="AT10" s="115">
        <f>IFERROR(IF(d_Bv!U10=0,".",((Ir*F*MLF_potato*(1-EXP(-RadSpec!AZ10*t_b)))/(P*RadSpec!AZ10))),".")</f>
        <v>7.5067462600937164E-3</v>
      </c>
      <c r="AU10" s="115">
        <f>IFERROR(IF(d_Bv!V10=0,".",((Ir*F*MLF_pumpkin*(1-EXP(-RadSpec!AZ10*t_b)))/(P*RadSpec!AZ10))),".")</f>
        <v>2.0732918242163598E-3</v>
      </c>
      <c r="AV10" s="115">
        <f>IFERROR(IF(d_Bv!W10=0,".",((Ir*F*MLF_snap_bean*(1-EXP(-RadSpec!AZ10*t_b)))/(P*RadSpec!AZ10))),".")</f>
        <v>0.17873205381175516</v>
      </c>
      <c r="AW10" s="115">
        <f>IFERROR(IF(d_Bv!X10=0,".",((Ir*F*MLF_strawberry*(1-EXP(-RadSpec!AZ10*t_b)))/(P*RadSpec!AZ10))),".")</f>
        <v>2.8597128609880828E-3</v>
      </c>
      <c r="AX10" s="115">
        <f>IFERROR(IF(d_Bv!Y10=0,".",((Ir*F*MLF_tomato*(1-EXP(-RadSpec!AZ10*t_b)))/(P*RadSpec!AZ10))),".")</f>
        <v>6.327114704936132E-2</v>
      </c>
      <c r="AY10" s="115">
        <f>IFERROR(IF(d_Bv!Z10=0,".",((Ir*F*MLF_rice*(1-EXP(-RadSpec!AZ10*t_b)))/(P*RadSpec!AZ10))),".")</f>
        <v>8.9366026905877582</v>
      </c>
      <c r="AZ10" s="115">
        <f>IFERROR(IF(d_Bv!AA10=0,".",((Ir*F*MLF_cereal*(1-EXP(-RadSpec!AZ10*t_b)))/(P*RadSpec!AZ10))),".")</f>
        <v>8.9366026905877582</v>
      </c>
      <c r="BA10" s="115">
        <f>IFERROR(IF(d_Bv!C10=0,".",((Ir*F*I_f*T*(1-EXP(-RadSpec!BA10*t_v)))/(Y_v*RadSpec!BA10))),".")</f>
        <v>3.6424203206347228</v>
      </c>
      <c r="BB10" s="115">
        <f>IFERROR(IF(d_Bv!D10=0,".",((Ir*F*I_f*T*(1-EXP(-RadSpec!BA10*t_v)))/(Y_v*RadSpec!BA10))),".")</f>
        <v>3.6424203206347228</v>
      </c>
      <c r="BC10" s="115">
        <f>IFERROR(IF(d_Bv!E10=0,".",((Ir*F*I_f*T*(1-EXP(-RadSpec!BA10*t_v)))/(Y_v*RadSpec!BA10))),".")</f>
        <v>3.6424203206347228</v>
      </c>
      <c r="BD10" s="115">
        <f>IFERROR(IF(d_Bv!F10=0,".",((Ir*F*I_f*T*(1-EXP(-RadSpec!BA10*t_v)))/(Y_v*RadSpec!BA10))),".")</f>
        <v>3.6424203206347228</v>
      </c>
      <c r="BE10" s="115">
        <f>IFERROR(IF(d_Bv!G10=0,".",((Ir*F*I_f*T*(1-EXP(-RadSpec!BA10*t_v)))/(Y_v*RadSpec!BA10))),".")</f>
        <v>3.6424203206347228</v>
      </c>
      <c r="BF10" s="115">
        <f>IFERROR(IF(d_Bv!H10=0,".",((Ir*F*I_f*T*(1-EXP(-RadSpec!BA10*t_v)))/(Y_v*RadSpec!BA10))),".")</f>
        <v>3.6424203206347228</v>
      </c>
      <c r="BG10" s="115">
        <f>IFERROR(IF(d_Bv!I10=0,".",((Ir*F*I_f*T*(1-EXP(-RadSpec!BA10*t_v)))/(Y_v*RadSpec!BA10))),".")</f>
        <v>3.6424203206347228</v>
      </c>
      <c r="BH10" s="115">
        <f>IFERROR(IF(d_Bv!J10=0,".",((Ir*F*I_f*T*(1-EXP(-RadSpec!BA10*t_v)))/(Y_v*RadSpec!BA10))),".")</f>
        <v>3.6424203206347228</v>
      </c>
      <c r="BI10" s="115">
        <f>IFERROR(IF(d_Bv!K10=0,".",((Ir*F*I_f*T*(1-EXP(-RadSpec!BA10*t_v)))/(Y_v*RadSpec!BA10))),".")</f>
        <v>3.6424203206347228</v>
      </c>
      <c r="BJ10" s="115">
        <f>IFERROR(IF(d_Bv!L10=0,".",((Ir*F*I_f*T*(1-EXP(-RadSpec!BA10*t_v)))/(Y_v*RadSpec!BA10))),".")</f>
        <v>3.6424203206347228</v>
      </c>
      <c r="BK10" s="115">
        <f>IFERROR(IF(d_Bv!M10=0,".",((Ir*F*I_f*T*(1-EXP(-RadSpec!BA10*t_v)))/(Y_v*RadSpec!BA10))),".")</f>
        <v>3.6424203206347228</v>
      </c>
      <c r="BL10" s="115">
        <f>IFERROR(IF(d_Bv!N10=0,".",((Ir*F*I_f*T*(1-EXP(-RadSpec!BA10*t_v)))/(Y_v*RadSpec!BA10))),".")</f>
        <v>3.6424203206347228</v>
      </c>
      <c r="BM10" s="115">
        <f>IFERROR(IF(d_Bv!O10=0,".",((Ir*F*I_f*T*(1-EXP(-RadSpec!BA10*t_v)))/(Y_v*RadSpec!BA10))),".")</f>
        <v>3.6424203206347228</v>
      </c>
      <c r="BN10" s="115">
        <f>IFERROR(IF(d_Bv!P10=0,".",((Ir*F*I_f*T*(1-EXP(-RadSpec!BA10*t_v)))/(Y_v*RadSpec!BA10))),".")</f>
        <v>3.6424203206347228</v>
      </c>
      <c r="BO10" s="115">
        <f>IFERROR(IF(d_Bv!Q10=0,".",((Ir*F*I_f*T*(1-EXP(-RadSpec!BA10*t_v)))/(Y_v*RadSpec!BA10))),".")</f>
        <v>3.6424203206347228</v>
      </c>
      <c r="BP10" s="115">
        <f>IFERROR(IF(d_Bv!R10=0,".",((Ir*F*I_f*T*(1-EXP(-RadSpec!BA10*t_v)))/(Y_v*RadSpec!BA10))),".")</f>
        <v>3.6424203206347228</v>
      </c>
      <c r="BQ10" s="115">
        <f>IFERROR(IF(d_Bv!S10=0,".",((Ir*F*I_f*T*(1-EXP(-RadSpec!BA10*t_v)))/(Y_v*RadSpec!BA10))),".")</f>
        <v>3.6424203206347228</v>
      </c>
      <c r="BR10" s="115">
        <f>IFERROR(IF(d_Bv!T10=0,".",((Ir*F*I_f*T*(1-EXP(-RadSpec!BA10*t_v)))/(Y_v*RadSpec!BA10))),".")</f>
        <v>3.6424203206347228</v>
      </c>
      <c r="BS10" s="115">
        <f>IFERROR(IF(d_Bv!U10=0,".",((Ir*F*I_f*T*(1-EXP(-RadSpec!BA10*t_v)))/(Y_v*RadSpec!BA10))),".")</f>
        <v>3.6424203206347228</v>
      </c>
      <c r="BT10" s="115">
        <f>IFERROR(IF(d_Bv!V10=0,".",((Ir*F*I_f*T*(1-EXP(-RadSpec!BA10*t_v)))/(Y_v*RadSpec!BA10))),".")</f>
        <v>3.6424203206347228</v>
      </c>
      <c r="BU10" s="115">
        <f>IFERROR(IF(d_Bv!W10=0,".",((Ir*F*I_f*T*(1-EXP(-RadSpec!BA10*t_v)))/(Y_v*RadSpec!BA10))),".")</f>
        <v>3.6424203206347228</v>
      </c>
      <c r="BV10" s="115">
        <f>IFERROR(IF(d_Bv!X10=0,".",((Ir*F*I_f*T*(1-EXP(-RadSpec!BA10*t_v)))/(Y_v*RadSpec!BA10))),".")</f>
        <v>3.6424203206347228</v>
      </c>
      <c r="BW10" s="115">
        <f>IFERROR(IF(d_Bv!Y10=0,".",((Ir*F*I_f*T*(1-EXP(-RadSpec!BA10*t_v)))/(Y_v*RadSpec!BA10))),".")</f>
        <v>3.6424203206347228</v>
      </c>
      <c r="BX10" s="115">
        <f>IFERROR(IF(d_Bv!Z10=0,".",((Ir*F*I_f*T*(1-EXP(-RadSpec!BA10*t_v)))/(Y_v*RadSpec!BA10))),".")</f>
        <v>3.6424203206347228</v>
      </c>
      <c r="BY10" s="115">
        <f>IFERROR(IF(d_Bv!AA10=0,".",((Ir*F*I_f*T*(1-EXP(-RadSpec!BA10*t_v)))/(Y_v*RadSpec!BA10))),".")</f>
        <v>3.6424203206347228</v>
      </c>
    </row>
    <row r="11" spans="1:77" x14ac:dyDescent="0.25">
      <c r="A11" s="44" t="s">
        <v>21</v>
      </c>
      <c r="B11" s="42" t="s">
        <v>1071</v>
      </c>
      <c r="C11" s="115">
        <f>IFERROR(IF(d_Bv!C11=0,".",((Ir*F*d_Bv!C11*(1-EXP(-RadSpec!AZ11*t_b)))/(P*RadSpec!AZ11))),".")</f>
        <v>1.072392322870531</v>
      </c>
      <c r="D11" s="115">
        <f>IFERROR(IF(d_Bv!D11=0,".",((Ir*F*d_Bv!D11*(1-EXP(-RadSpec!AZ11*t_b)))/(P*RadSpec!AZ11))),".")</f>
        <v>1.072392322870531</v>
      </c>
      <c r="E11" s="115">
        <f>IFERROR(IF(d_Bv!E11=0,".",((Ir*F*d_Bv!E11*(1-EXP(-RadSpec!AZ11*t_b)))/(P*RadSpec!AZ11))),".")</f>
        <v>1.072392322870531</v>
      </c>
      <c r="F11" s="115">
        <f>IFERROR(IF(d_Bv!F11=0,".",((Ir*F*d_Bv!F11*(1-EXP(-RadSpec!AZ11*t_b)))/(P*RadSpec!AZ11))),".")</f>
        <v>1.072392322870531</v>
      </c>
      <c r="G11" s="115">
        <f>IFERROR(IF(d_Bv!G11=0,".",((Ir*F*d_Bv!G11*(1-EXP(-RadSpec!AZ11*t_b)))/(P*RadSpec!AZ11))),".")</f>
        <v>1.072392322870531</v>
      </c>
      <c r="H11" s="115">
        <f>IFERROR(IF(d_Bv!H11=0,".",((Ir*F*d_Bv!H11*(1-EXP(-RadSpec!AZ11*t_b)))/(P*RadSpec!AZ11))),".")</f>
        <v>1.072392322870531</v>
      </c>
      <c r="I11" s="115">
        <f>IFERROR(IF(d_Bv!I11=0,".",((Ir*F*d_Bv!I11*(1-EXP(-RadSpec!AZ11*t_b)))/(P*RadSpec!AZ11))),".")</f>
        <v>1.072392322870531</v>
      </c>
      <c r="J11" s="115">
        <f>IFERROR(IF(d_Bv!J11=0,".",((Ir*F*d_Bv!J11*(1-EXP(-RadSpec!AZ11*t_b)))/(P*RadSpec!AZ11))),".")</f>
        <v>1.072392322870531</v>
      </c>
      <c r="K11" s="115">
        <f>IFERROR(IF(d_Bv!K11=0,".",((Ir*F*d_Bv!K11*(1-EXP(-RadSpec!AZ11*t_b)))/(P*RadSpec!AZ11))),".")</f>
        <v>1.072392322870531</v>
      </c>
      <c r="L11" s="115">
        <f>IFERROR(IF(d_Bv!L11=0,".",((Ir*F*d_Bv!L11*(1-EXP(-RadSpec!AZ11*t_b)))/(P*RadSpec!AZ11))),".")</f>
        <v>1.072392322870531</v>
      </c>
      <c r="M11" s="115">
        <f>IFERROR(IF(d_Bv!M11=0,".",((Ir*F*d_Bv!M11*(1-EXP(-RadSpec!AZ11*t_b)))/(P*RadSpec!AZ11))),".")</f>
        <v>1.072392322870531</v>
      </c>
      <c r="N11" s="115">
        <f>IFERROR(IF(d_Bv!N11=0,".",((Ir*F*d_Bv!N11*(1-EXP(-RadSpec!AZ11*t_b)))/(P*RadSpec!AZ11))),".")</f>
        <v>1.072392322870531</v>
      </c>
      <c r="O11" s="115">
        <f>IFERROR(IF(d_Bv!O11=0,".",((Ir*F*d_Bv!O11*(1-EXP(-RadSpec!AZ11*t_b)))/(P*RadSpec!AZ11))),".")</f>
        <v>1.072392322870531</v>
      </c>
      <c r="P11" s="115">
        <f>IFERROR(IF(d_Bv!P11=0,".",((Ir*F*d_Bv!P11*(1-EXP(-RadSpec!AZ11*t_b)))/(P*RadSpec!AZ11))),".")</f>
        <v>1.072392322870531</v>
      </c>
      <c r="Q11" s="115">
        <f>IFERROR(IF(d_Bv!Q11=0,".",((Ir*F*d_Bv!Q11*(1-EXP(-RadSpec!AZ11*t_b)))/(P*RadSpec!AZ11))),".")</f>
        <v>1.072392322870531</v>
      </c>
      <c r="R11" s="115">
        <f>IFERROR(IF(d_Bv!R11=0,".",((Ir*F*d_Bv!R11*(1-EXP(-RadSpec!AZ11*t_b)))/(P*RadSpec!AZ11))),".")</f>
        <v>1.072392322870531</v>
      </c>
      <c r="S11" s="115">
        <f>IFERROR(IF(d_Bv!S11=0,".",((Ir*F*d_Bv!S11*(1-EXP(-RadSpec!AZ11*t_b)))/(P*RadSpec!AZ11))),".")</f>
        <v>1.072392322870531</v>
      </c>
      <c r="T11" s="211">
        <f>IFERROR(IF(d_Bv!T11=0,".",((Ir*F*d_Bv!S11*(1-EXP(-RadSpec!AZ11*t_b)))/(P*RadSpec!AZ11))),".")</f>
        <v>1.072392322870531</v>
      </c>
      <c r="U11" s="115">
        <f>IFERROR(IF(d_Bv!U11=0,".",((Ir*F*d_Bv!U11*(1-EXP(-RadSpec!AZ11*t_b)))/(P*RadSpec!AZ11))),".")</f>
        <v>1.072392322870531</v>
      </c>
      <c r="V11" s="115">
        <f>IFERROR(IF(d_Bv!V11=0,".",((Ir*F*d_Bv!V11*(1-EXP(-RadSpec!AZ11*t_b)))/(P*RadSpec!AZ11))),".")</f>
        <v>1.072392322870531</v>
      </c>
      <c r="W11" s="115">
        <f>IFERROR(IF(d_Bv!W11=0,".",((Ir*F*d_Bv!W11*(1-EXP(-RadSpec!AZ11*t_b)))/(P*RadSpec!AZ11))),".")</f>
        <v>1.072392322870531</v>
      </c>
      <c r="X11" s="115">
        <f>IFERROR(IF(d_Bv!X11=0,".",((Ir*F*d_Bv!X11*(1-EXP(-RadSpec!AZ11*t_b)))/(P*RadSpec!AZ11))),".")</f>
        <v>1.072392322870531</v>
      </c>
      <c r="Y11" s="115">
        <f>IFERROR(IF(d_Bv!Y11=0,".",((Ir*F*d_Bv!Y11*(1-EXP(-RadSpec!AZ11*t_b)))/(P*RadSpec!AZ11))),".")</f>
        <v>1.072392322870531</v>
      </c>
      <c r="Z11" s="115">
        <f>IFERROR(IF(d_Bv!Z11=0,".",((Ir*F*d_Bv!Z11*(1-EXP(-RadSpec!AZ11*t_b)))/(P*RadSpec!AZ11))),".")</f>
        <v>1.072392322870531</v>
      </c>
      <c r="AA11" s="115">
        <f>IFERROR(IF(d_Bv!AA11=0,".",((Ir*F*d_Bv!AA11*(1-EXP(-RadSpec!AZ11*t_b)))/(P*RadSpec!AZ11))),".")</f>
        <v>1.072392322870531</v>
      </c>
      <c r="AB11" s="115">
        <f>IFERROR(IF(d_Bv!C11=0,".",((Ir*F*MLF_apple*(1-EXP(-RadSpec!AZ11*t_b)))/(P*RadSpec!AZ11))),".")</f>
        <v>5.7194257219761657E-3</v>
      </c>
      <c r="AC11" s="115">
        <f>IFERROR(IF(d_Bv!D11=0,".",((Ir*F*MLF_asparagus*(1-EXP(-RadSpec!AZ11*t_b)))/(P*RadSpec!AZ11))),".")</f>
        <v>2.8239664502257315E-3</v>
      </c>
      <c r="AD11" s="115">
        <f>IFERROR(IF(d_Bv!E11=0,".",((Ir*F*MLF_beet*(1-EXP(-RadSpec!AZ11*t_b)))/(P*RadSpec!AZ11))),".")</f>
        <v>4.9330046852044422E-3</v>
      </c>
      <c r="AE11" s="115">
        <f>IFERROR(IF(d_Bv!F11=0,".",((Ir*F*MLF_berries*(1-EXP(-RadSpec!AZ11*t_b)))/(P*RadSpec!AZ11))),".")</f>
        <v>5.9339041865502712E-3</v>
      </c>
      <c r="AF11" s="115">
        <f>IFERROR(IF(d_Bv!G11=0,".",((Ir*F*MLF_broccoli*(1-EXP(-RadSpec!AZ11*t_b)))/(P*RadSpec!AZ11))),".")</f>
        <v>3.6103874869974538E-2</v>
      </c>
      <c r="AG11" s="115">
        <f>IFERROR(IF(d_Bv!H11=0,".",((Ir*F*MLF_cabbage*(1-EXP(-RadSpec!AZ11*t_b)))/(P*RadSpec!AZ11))),".")</f>
        <v>3.7533731300468582E-3</v>
      </c>
      <c r="AH11" s="115">
        <f>IFERROR(IF(d_Bv!I11=0,".",((Ir*F*MLF_carrot*(1-EXP(-RadSpec!AZ11*t_b)))/(P*RadSpec!AZ11))),".")</f>
        <v>3.4674018439480501E-3</v>
      </c>
      <c r="AI11" s="115">
        <f>IFERROR(IF(d_Bv!J11=0,".",((Ir*F*MLF_citrus*(1-EXP(-RadSpec!AZ11*t_b)))/(P*RadSpec!AZ11))),".")</f>
        <v>5.6121864896891112E-3</v>
      </c>
      <c r="AJ11" s="115">
        <f>IFERROR(IF(d_Bv!K11=0,".",((Ir*F*MLF_corn*(1-EXP(-RadSpec!AZ11*t_b)))/(P*RadSpec!AZ11))),".")</f>
        <v>5.1832295605408994E-3</v>
      </c>
      <c r="AK11" s="115">
        <f>IFERROR(IF(d_Bv!L11=0,".",((Ir*F*MLF_cucumber*(1-EXP(-RadSpec!AZ11*t_b)))/(P*RadSpec!AZ11))),".")</f>
        <v>1.4298564304940414E-3</v>
      </c>
      <c r="AL11" s="115">
        <f>IFERROR(IF(d_Bv!M11=0,".",((Ir*F*MLF_lettuce*(1-EXP(-RadSpec!AZ11*t_b)))/(P*RadSpec!AZ11))),".")</f>
        <v>0.48257654529173893</v>
      </c>
      <c r="AM11" s="115">
        <f>IFERROR(IF(d_Bv!N11=0,".",((Ir*F*MLF_lima_bean*(1-EXP(-RadSpec!AZ11*t_b)))/(P*RadSpec!AZ11))),".")</f>
        <v>0.13690875321980447</v>
      </c>
      <c r="AN11" s="115">
        <f>IFERROR(IF(d_Bv!O11=0,".",((Ir*F*MLF_okra*(1-EXP(-RadSpec!AZ11*t_b)))/(P*RadSpec!AZ11))),".")</f>
        <v>2.8597128609880828E-3</v>
      </c>
      <c r="AO11" s="115">
        <f>IFERROR(IF(d_Bv!P11=0,".",((Ir*F*MLF_onion*(1-EXP(-RadSpec!AZ11*t_b)))/(P*RadSpec!AZ11))),".")</f>
        <v>3.4674018439480501E-3</v>
      </c>
      <c r="AP11" s="115">
        <f>IFERROR(IF(d_Bv!Q11=0,".",((Ir*F*MLF_peach*(1-EXP(-RadSpec!AZ11*t_b)))/(P*RadSpec!AZ11))),".")</f>
        <v>5.361961614352654E-3</v>
      </c>
      <c r="AQ11" s="115">
        <f>IFERROR(IF(d_Bv!R11=0,".",((Ir*F*MLF_pear*(1-EXP(-RadSpec!AZ11*t_b)))/(P*RadSpec!AZ11))),".")</f>
        <v>5.7194257219761657E-3</v>
      </c>
      <c r="AR11" s="115">
        <f>IFERROR(IF(d_Bv!S11=0,".",((Ir*F*MLF_peas*(1-EXP(-RadSpec!AZ11*t_b)))/(P*RadSpec!AZ11))),".")</f>
        <v>6.3628611156984829E-3</v>
      </c>
      <c r="AS11" s="115">
        <f>IFERROR(IF(d_Bv!T11=0,".",((Ir*F*MLF_peppers*(1-EXP(-RadSpec!AZ11*t_b)))/(P*RadSpec!AZ11))),".")</f>
        <v>7.93570318924193E-2</v>
      </c>
      <c r="AT11" s="115">
        <f>IFERROR(IF(d_Bv!U11=0,".",((Ir*F*MLF_potato*(1-EXP(-RadSpec!AZ11*t_b)))/(P*RadSpec!AZ11))),".")</f>
        <v>7.5067462600937164E-3</v>
      </c>
      <c r="AU11" s="115">
        <f>IFERROR(IF(d_Bv!V11=0,".",((Ir*F*MLF_pumpkin*(1-EXP(-RadSpec!AZ11*t_b)))/(P*RadSpec!AZ11))),".")</f>
        <v>2.0732918242163598E-3</v>
      </c>
      <c r="AV11" s="115">
        <f>IFERROR(IF(d_Bv!W11=0,".",((Ir*F*MLF_snap_bean*(1-EXP(-RadSpec!AZ11*t_b)))/(P*RadSpec!AZ11))),".")</f>
        <v>0.17873205381175516</v>
      </c>
      <c r="AW11" s="115">
        <f>IFERROR(IF(d_Bv!X11=0,".",((Ir*F*MLF_strawberry*(1-EXP(-RadSpec!AZ11*t_b)))/(P*RadSpec!AZ11))),".")</f>
        <v>2.8597128609880828E-3</v>
      </c>
      <c r="AX11" s="115">
        <f>IFERROR(IF(d_Bv!Y11=0,".",((Ir*F*MLF_tomato*(1-EXP(-RadSpec!AZ11*t_b)))/(P*RadSpec!AZ11))),".")</f>
        <v>6.327114704936132E-2</v>
      </c>
      <c r="AY11" s="115">
        <f>IFERROR(IF(d_Bv!Z11=0,".",((Ir*F*MLF_rice*(1-EXP(-RadSpec!AZ11*t_b)))/(P*RadSpec!AZ11))),".")</f>
        <v>8.9366026905877582</v>
      </c>
      <c r="AZ11" s="115">
        <f>IFERROR(IF(d_Bv!AA11=0,".",((Ir*F*MLF_cereal*(1-EXP(-RadSpec!AZ11*t_b)))/(P*RadSpec!AZ11))),".")</f>
        <v>8.9366026905877582</v>
      </c>
      <c r="BA11" s="115">
        <f>IFERROR(IF(d_Bv!C11=0,".",((Ir*F*I_f*T*(1-EXP(-RadSpec!BA11*t_v)))/(Y_v*RadSpec!BA11))),".")</f>
        <v>3.6424203206347228</v>
      </c>
      <c r="BB11" s="115">
        <f>IFERROR(IF(d_Bv!D11=0,".",((Ir*F*I_f*T*(1-EXP(-RadSpec!BA11*t_v)))/(Y_v*RadSpec!BA11))),".")</f>
        <v>3.6424203206347228</v>
      </c>
      <c r="BC11" s="115">
        <f>IFERROR(IF(d_Bv!E11=0,".",((Ir*F*I_f*T*(1-EXP(-RadSpec!BA11*t_v)))/(Y_v*RadSpec!BA11))),".")</f>
        <v>3.6424203206347228</v>
      </c>
      <c r="BD11" s="115">
        <f>IFERROR(IF(d_Bv!F11=0,".",((Ir*F*I_f*T*(1-EXP(-RadSpec!BA11*t_v)))/(Y_v*RadSpec!BA11))),".")</f>
        <v>3.6424203206347228</v>
      </c>
      <c r="BE11" s="115">
        <f>IFERROR(IF(d_Bv!G11=0,".",((Ir*F*I_f*T*(1-EXP(-RadSpec!BA11*t_v)))/(Y_v*RadSpec!BA11))),".")</f>
        <v>3.6424203206347228</v>
      </c>
      <c r="BF11" s="115">
        <f>IFERROR(IF(d_Bv!H11=0,".",((Ir*F*I_f*T*(1-EXP(-RadSpec!BA11*t_v)))/(Y_v*RadSpec!BA11))),".")</f>
        <v>3.6424203206347228</v>
      </c>
      <c r="BG11" s="115">
        <f>IFERROR(IF(d_Bv!I11=0,".",((Ir*F*I_f*T*(1-EXP(-RadSpec!BA11*t_v)))/(Y_v*RadSpec!BA11))),".")</f>
        <v>3.6424203206347228</v>
      </c>
      <c r="BH11" s="115">
        <f>IFERROR(IF(d_Bv!J11=0,".",((Ir*F*I_f*T*(1-EXP(-RadSpec!BA11*t_v)))/(Y_v*RadSpec!BA11))),".")</f>
        <v>3.6424203206347228</v>
      </c>
      <c r="BI11" s="115">
        <f>IFERROR(IF(d_Bv!K11=0,".",((Ir*F*I_f*T*(1-EXP(-RadSpec!BA11*t_v)))/(Y_v*RadSpec!BA11))),".")</f>
        <v>3.6424203206347228</v>
      </c>
      <c r="BJ11" s="115">
        <f>IFERROR(IF(d_Bv!L11=0,".",((Ir*F*I_f*T*(1-EXP(-RadSpec!BA11*t_v)))/(Y_v*RadSpec!BA11))),".")</f>
        <v>3.6424203206347228</v>
      </c>
      <c r="BK11" s="115">
        <f>IFERROR(IF(d_Bv!M11=0,".",((Ir*F*I_f*T*(1-EXP(-RadSpec!BA11*t_v)))/(Y_v*RadSpec!BA11))),".")</f>
        <v>3.6424203206347228</v>
      </c>
      <c r="BL11" s="115">
        <f>IFERROR(IF(d_Bv!N11=0,".",((Ir*F*I_f*T*(1-EXP(-RadSpec!BA11*t_v)))/(Y_v*RadSpec!BA11))),".")</f>
        <v>3.6424203206347228</v>
      </c>
      <c r="BM11" s="115">
        <f>IFERROR(IF(d_Bv!O11=0,".",((Ir*F*I_f*T*(1-EXP(-RadSpec!BA11*t_v)))/(Y_v*RadSpec!BA11))),".")</f>
        <v>3.6424203206347228</v>
      </c>
      <c r="BN11" s="115">
        <f>IFERROR(IF(d_Bv!P11=0,".",((Ir*F*I_f*T*(1-EXP(-RadSpec!BA11*t_v)))/(Y_v*RadSpec!BA11))),".")</f>
        <v>3.6424203206347228</v>
      </c>
      <c r="BO11" s="115">
        <f>IFERROR(IF(d_Bv!Q11=0,".",((Ir*F*I_f*T*(1-EXP(-RadSpec!BA11*t_v)))/(Y_v*RadSpec!BA11))),".")</f>
        <v>3.6424203206347228</v>
      </c>
      <c r="BP11" s="115">
        <f>IFERROR(IF(d_Bv!R11=0,".",((Ir*F*I_f*T*(1-EXP(-RadSpec!BA11*t_v)))/(Y_v*RadSpec!BA11))),".")</f>
        <v>3.6424203206347228</v>
      </c>
      <c r="BQ11" s="115">
        <f>IFERROR(IF(d_Bv!S11=0,".",((Ir*F*I_f*T*(1-EXP(-RadSpec!BA11*t_v)))/(Y_v*RadSpec!BA11))),".")</f>
        <v>3.6424203206347228</v>
      </c>
      <c r="BR11" s="115">
        <f>IFERROR(IF(d_Bv!T11=0,".",((Ir*F*I_f*T*(1-EXP(-RadSpec!BA11*t_v)))/(Y_v*RadSpec!BA11))),".")</f>
        <v>3.6424203206347228</v>
      </c>
      <c r="BS11" s="115">
        <f>IFERROR(IF(d_Bv!U11=0,".",((Ir*F*I_f*T*(1-EXP(-RadSpec!BA11*t_v)))/(Y_v*RadSpec!BA11))),".")</f>
        <v>3.6424203206347228</v>
      </c>
      <c r="BT11" s="115">
        <f>IFERROR(IF(d_Bv!V11=0,".",((Ir*F*I_f*T*(1-EXP(-RadSpec!BA11*t_v)))/(Y_v*RadSpec!BA11))),".")</f>
        <v>3.6424203206347228</v>
      </c>
      <c r="BU11" s="115">
        <f>IFERROR(IF(d_Bv!W11=0,".",((Ir*F*I_f*T*(1-EXP(-RadSpec!BA11*t_v)))/(Y_v*RadSpec!BA11))),".")</f>
        <v>3.6424203206347228</v>
      </c>
      <c r="BV11" s="115">
        <f>IFERROR(IF(d_Bv!X11=0,".",((Ir*F*I_f*T*(1-EXP(-RadSpec!BA11*t_v)))/(Y_v*RadSpec!BA11))),".")</f>
        <v>3.6424203206347228</v>
      </c>
      <c r="BW11" s="115">
        <f>IFERROR(IF(d_Bv!Y11=0,".",((Ir*F*I_f*T*(1-EXP(-RadSpec!BA11*t_v)))/(Y_v*RadSpec!BA11))),".")</f>
        <v>3.6424203206347228</v>
      </c>
      <c r="BX11" s="115">
        <f>IFERROR(IF(d_Bv!Z11=0,".",((Ir*F*I_f*T*(1-EXP(-RadSpec!BA11*t_v)))/(Y_v*RadSpec!BA11))),".")</f>
        <v>3.6424203206347228</v>
      </c>
      <c r="BY11" s="115">
        <f>IFERROR(IF(d_Bv!AA11=0,".",((Ir*F*I_f*T*(1-EXP(-RadSpec!BA11*t_v)))/(Y_v*RadSpec!BA11))),".")</f>
        <v>3.6424203206347228</v>
      </c>
    </row>
    <row r="12" spans="1:77" x14ac:dyDescent="0.25">
      <c r="A12" s="44" t="s">
        <v>22</v>
      </c>
      <c r="B12" s="42" t="s">
        <v>1071</v>
      </c>
      <c r="C12" s="115">
        <f>IFERROR(IF(d_Bv!C12=0,".",((Ir*F*d_Bv!C12*(1-EXP(-RadSpec!AZ12*t_b)))/(P*RadSpec!AZ12))),".")</f>
        <v>10.72392322870531</v>
      </c>
      <c r="D12" s="115">
        <f>IFERROR(IF(d_Bv!D12=0,".",((Ir*F*d_Bv!D12*(1-EXP(-RadSpec!AZ12*t_b)))/(P*RadSpec!AZ12))),".")</f>
        <v>10.72392322870531</v>
      </c>
      <c r="E12" s="115">
        <f>IFERROR(IF(d_Bv!E12=0,".",((Ir*F*d_Bv!E12*(1-EXP(-RadSpec!AZ12*t_b)))/(P*RadSpec!AZ12))),".")</f>
        <v>10.72392322870531</v>
      </c>
      <c r="F12" s="115">
        <f>IFERROR(IF(d_Bv!F12=0,".",((Ir*F*d_Bv!F12*(1-EXP(-RadSpec!AZ12*t_b)))/(P*RadSpec!AZ12))),".")</f>
        <v>10.72392322870531</v>
      </c>
      <c r="G12" s="115">
        <f>IFERROR(IF(d_Bv!G12=0,".",((Ir*F*d_Bv!G12*(1-EXP(-RadSpec!AZ12*t_b)))/(P*RadSpec!AZ12))),".")</f>
        <v>10.72392322870531</v>
      </c>
      <c r="H12" s="115">
        <f>IFERROR(IF(d_Bv!H12=0,".",((Ir*F*d_Bv!H12*(1-EXP(-RadSpec!AZ12*t_b)))/(P*RadSpec!AZ12))),".")</f>
        <v>10.72392322870531</v>
      </c>
      <c r="I12" s="115">
        <f>IFERROR(IF(d_Bv!I12=0,".",((Ir*F*d_Bv!I12*(1-EXP(-RadSpec!AZ12*t_b)))/(P*RadSpec!AZ12))),".")</f>
        <v>10.72392322870531</v>
      </c>
      <c r="J12" s="115">
        <f>IFERROR(IF(d_Bv!J12=0,".",((Ir*F*d_Bv!J12*(1-EXP(-RadSpec!AZ12*t_b)))/(P*RadSpec!AZ12))),".")</f>
        <v>10.72392322870531</v>
      </c>
      <c r="K12" s="115">
        <f>IFERROR(IF(d_Bv!K12=0,".",((Ir*F*d_Bv!K12*(1-EXP(-RadSpec!AZ12*t_b)))/(P*RadSpec!AZ12))),".")</f>
        <v>10.72392322870531</v>
      </c>
      <c r="L12" s="115">
        <f>IFERROR(IF(d_Bv!L12=0,".",((Ir*F*d_Bv!L12*(1-EXP(-RadSpec!AZ12*t_b)))/(P*RadSpec!AZ12))),".")</f>
        <v>10.72392322870531</v>
      </c>
      <c r="M12" s="115">
        <f>IFERROR(IF(d_Bv!M12=0,".",((Ir*F*d_Bv!M12*(1-EXP(-RadSpec!AZ12*t_b)))/(P*RadSpec!AZ12))),".")</f>
        <v>10.72392322870531</v>
      </c>
      <c r="N12" s="115">
        <f>IFERROR(IF(d_Bv!N12=0,".",((Ir*F*d_Bv!N12*(1-EXP(-RadSpec!AZ12*t_b)))/(P*RadSpec!AZ12))),".")</f>
        <v>10.72392322870531</v>
      </c>
      <c r="O12" s="115">
        <f>IFERROR(IF(d_Bv!O12=0,".",((Ir*F*d_Bv!O12*(1-EXP(-RadSpec!AZ12*t_b)))/(P*RadSpec!AZ12))),".")</f>
        <v>10.72392322870531</v>
      </c>
      <c r="P12" s="115">
        <f>IFERROR(IF(d_Bv!P12=0,".",((Ir*F*d_Bv!P12*(1-EXP(-RadSpec!AZ12*t_b)))/(P*RadSpec!AZ12))),".")</f>
        <v>10.72392322870531</v>
      </c>
      <c r="Q12" s="115">
        <f>IFERROR(IF(d_Bv!Q12=0,".",((Ir*F*d_Bv!Q12*(1-EXP(-RadSpec!AZ12*t_b)))/(P*RadSpec!AZ12))),".")</f>
        <v>10.72392322870531</v>
      </c>
      <c r="R12" s="115">
        <f>IFERROR(IF(d_Bv!R12=0,".",((Ir*F*d_Bv!R12*(1-EXP(-RadSpec!AZ12*t_b)))/(P*RadSpec!AZ12))),".")</f>
        <v>10.72392322870531</v>
      </c>
      <c r="S12" s="115">
        <f>IFERROR(IF(d_Bv!S12=0,".",((Ir*F*d_Bv!S12*(1-EXP(-RadSpec!AZ12*t_b)))/(P*RadSpec!AZ12))),".")</f>
        <v>10.72392322870531</v>
      </c>
      <c r="T12" s="211">
        <f>IFERROR(IF(d_Bv!T12=0,".",((Ir*F*d_Bv!S12*(1-EXP(-RadSpec!AZ12*t_b)))/(P*RadSpec!AZ12))),".")</f>
        <v>10.72392322870531</v>
      </c>
      <c r="U12" s="115">
        <f>IFERROR(IF(d_Bv!U12=0,".",((Ir*F*d_Bv!U12*(1-EXP(-RadSpec!AZ12*t_b)))/(P*RadSpec!AZ12))),".")</f>
        <v>10.72392322870531</v>
      </c>
      <c r="V12" s="115">
        <f>IFERROR(IF(d_Bv!V12=0,".",((Ir*F*d_Bv!V12*(1-EXP(-RadSpec!AZ12*t_b)))/(P*RadSpec!AZ12))),".")</f>
        <v>10.72392322870531</v>
      </c>
      <c r="W12" s="115">
        <f>IFERROR(IF(d_Bv!W12=0,".",((Ir*F*d_Bv!W12*(1-EXP(-RadSpec!AZ12*t_b)))/(P*RadSpec!AZ12))),".")</f>
        <v>10.72392322870531</v>
      </c>
      <c r="X12" s="115">
        <f>IFERROR(IF(d_Bv!X12=0,".",((Ir*F*d_Bv!X12*(1-EXP(-RadSpec!AZ12*t_b)))/(P*RadSpec!AZ12))),".")</f>
        <v>10.72392322870531</v>
      </c>
      <c r="Y12" s="115">
        <f>IFERROR(IF(d_Bv!Y12=0,".",((Ir*F*d_Bv!Y12*(1-EXP(-RadSpec!AZ12*t_b)))/(P*RadSpec!AZ12))),".")</f>
        <v>10.72392322870531</v>
      </c>
      <c r="Z12" s="115">
        <f>IFERROR(IF(d_Bv!Z12=0,".",((Ir*F*d_Bv!Z12*(1-EXP(-RadSpec!AZ12*t_b)))/(P*RadSpec!AZ12))),".")</f>
        <v>10.72392322870531</v>
      </c>
      <c r="AA12" s="115">
        <f>IFERROR(IF(d_Bv!AA12=0,".",((Ir*F*d_Bv!AA12*(1-EXP(-RadSpec!AZ12*t_b)))/(P*RadSpec!AZ12))),".")</f>
        <v>10.72392322870531</v>
      </c>
      <c r="AB12" s="115">
        <f>IFERROR(IF(d_Bv!C12=0,".",((Ir*F*MLF_apple*(1-EXP(-RadSpec!AZ12*t_b)))/(P*RadSpec!AZ12))),".")</f>
        <v>5.7194257219761657E-3</v>
      </c>
      <c r="AC12" s="115">
        <f>IFERROR(IF(d_Bv!D12=0,".",((Ir*F*MLF_asparagus*(1-EXP(-RadSpec!AZ12*t_b)))/(P*RadSpec!AZ12))),".")</f>
        <v>2.8239664502257315E-3</v>
      </c>
      <c r="AD12" s="115">
        <f>IFERROR(IF(d_Bv!E12=0,".",((Ir*F*MLF_beet*(1-EXP(-RadSpec!AZ12*t_b)))/(P*RadSpec!AZ12))),".")</f>
        <v>4.9330046852044422E-3</v>
      </c>
      <c r="AE12" s="115">
        <f>IFERROR(IF(d_Bv!F12=0,".",((Ir*F*MLF_berries*(1-EXP(-RadSpec!AZ12*t_b)))/(P*RadSpec!AZ12))),".")</f>
        <v>5.9339041865502712E-3</v>
      </c>
      <c r="AF12" s="115">
        <f>IFERROR(IF(d_Bv!G12=0,".",((Ir*F*MLF_broccoli*(1-EXP(-RadSpec!AZ12*t_b)))/(P*RadSpec!AZ12))),".")</f>
        <v>3.6103874869974538E-2</v>
      </c>
      <c r="AG12" s="115">
        <f>IFERROR(IF(d_Bv!H12=0,".",((Ir*F*MLF_cabbage*(1-EXP(-RadSpec!AZ12*t_b)))/(P*RadSpec!AZ12))),".")</f>
        <v>3.7533731300468582E-3</v>
      </c>
      <c r="AH12" s="115">
        <f>IFERROR(IF(d_Bv!I12=0,".",((Ir*F*MLF_carrot*(1-EXP(-RadSpec!AZ12*t_b)))/(P*RadSpec!AZ12))),".")</f>
        <v>3.4674018439480501E-3</v>
      </c>
      <c r="AI12" s="115">
        <f>IFERROR(IF(d_Bv!J12=0,".",((Ir*F*MLF_citrus*(1-EXP(-RadSpec!AZ12*t_b)))/(P*RadSpec!AZ12))),".")</f>
        <v>5.6121864896891112E-3</v>
      </c>
      <c r="AJ12" s="115">
        <f>IFERROR(IF(d_Bv!K12=0,".",((Ir*F*MLF_corn*(1-EXP(-RadSpec!AZ12*t_b)))/(P*RadSpec!AZ12))),".")</f>
        <v>5.1832295605408994E-3</v>
      </c>
      <c r="AK12" s="115">
        <f>IFERROR(IF(d_Bv!L12=0,".",((Ir*F*MLF_cucumber*(1-EXP(-RadSpec!AZ12*t_b)))/(P*RadSpec!AZ12))),".")</f>
        <v>1.4298564304940414E-3</v>
      </c>
      <c r="AL12" s="115">
        <f>IFERROR(IF(d_Bv!M12=0,".",((Ir*F*MLF_lettuce*(1-EXP(-RadSpec!AZ12*t_b)))/(P*RadSpec!AZ12))),".")</f>
        <v>0.48257654529173893</v>
      </c>
      <c r="AM12" s="115">
        <f>IFERROR(IF(d_Bv!N12=0,".",((Ir*F*MLF_lima_bean*(1-EXP(-RadSpec!AZ12*t_b)))/(P*RadSpec!AZ12))),".")</f>
        <v>0.13690875321980447</v>
      </c>
      <c r="AN12" s="115">
        <f>IFERROR(IF(d_Bv!O12=0,".",((Ir*F*MLF_okra*(1-EXP(-RadSpec!AZ12*t_b)))/(P*RadSpec!AZ12))),".")</f>
        <v>2.8597128609880828E-3</v>
      </c>
      <c r="AO12" s="115">
        <f>IFERROR(IF(d_Bv!P12=0,".",((Ir*F*MLF_onion*(1-EXP(-RadSpec!AZ12*t_b)))/(P*RadSpec!AZ12))),".")</f>
        <v>3.4674018439480501E-3</v>
      </c>
      <c r="AP12" s="115">
        <f>IFERROR(IF(d_Bv!Q12=0,".",((Ir*F*MLF_peach*(1-EXP(-RadSpec!AZ12*t_b)))/(P*RadSpec!AZ12))),".")</f>
        <v>5.361961614352654E-3</v>
      </c>
      <c r="AQ12" s="115">
        <f>IFERROR(IF(d_Bv!R12=0,".",((Ir*F*MLF_pear*(1-EXP(-RadSpec!AZ12*t_b)))/(P*RadSpec!AZ12))),".")</f>
        <v>5.7194257219761657E-3</v>
      </c>
      <c r="AR12" s="115">
        <f>IFERROR(IF(d_Bv!S12=0,".",((Ir*F*MLF_peas*(1-EXP(-RadSpec!AZ12*t_b)))/(P*RadSpec!AZ12))),".")</f>
        <v>6.3628611156984829E-3</v>
      </c>
      <c r="AS12" s="115">
        <f>IFERROR(IF(d_Bv!T12=0,".",((Ir*F*MLF_peppers*(1-EXP(-RadSpec!AZ12*t_b)))/(P*RadSpec!AZ12))),".")</f>
        <v>7.93570318924193E-2</v>
      </c>
      <c r="AT12" s="115">
        <f>IFERROR(IF(d_Bv!U12=0,".",((Ir*F*MLF_potato*(1-EXP(-RadSpec!AZ12*t_b)))/(P*RadSpec!AZ12))),".")</f>
        <v>7.5067462600937164E-3</v>
      </c>
      <c r="AU12" s="115">
        <f>IFERROR(IF(d_Bv!V12=0,".",((Ir*F*MLF_pumpkin*(1-EXP(-RadSpec!AZ12*t_b)))/(P*RadSpec!AZ12))),".")</f>
        <v>2.0732918242163598E-3</v>
      </c>
      <c r="AV12" s="115">
        <f>IFERROR(IF(d_Bv!W12=0,".",((Ir*F*MLF_snap_bean*(1-EXP(-RadSpec!AZ12*t_b)))/(P*RadSpec!AZ12))),".")</f>
        <v>0.17873205381175516</v>
      </c>
      <c r="AW12" s="115">
        <f>IFERROR(IF(d_Bv!X12=0,".",((Ir*F*MLF_strawberry*(1-EXP(-RadSpec!AZ12*t_b)))/(P*RadSpec!AZ12))),".")</f>
        <v>2.8597128609880828E-3</v>
      </c>
      <c r="AX12" s="115">
        <f>IFERROR(IF(d_Bv!Y12=0,".",((Ir*F*MLF_tomato*(1-EXP(-RadSpec!AZ12*t_b)))/(P*RadSpec!AZ12))),".")</f>
        <v>6.327114704936132E-2</v>
      </c>
      <c r="AY12" s="115">
        <f>IFERROR(IF(d_Bv!Z12=0,".",((Ir*F*MLF_rice*(1-EXP(-RadSpec!AZ12*t_b)))/(P*RadSpec!AZ12))),".")</f>
        <v>8.9366026905877582</v>
      </c>
      <c r="AZ12" s="115">
        <f>IFERROR(IF(d_Bv!AA12=0,".",((Ir*F*MLF_cereal*(1-EXP(-RadSpec!AZ12*t_b)))/(P*RadSpec!AZ12))),".")</f>
        <v>8.9366026905877582</v>
      </c>
      <c r="BA12" s="115">
        <f>IFERROR(IF(d_Bv!C12=0,".",((Ir*F*I_f*T*(1-EXP(-RadSpec!BA12*t_v)))/(Y_v*RadSpec!BA12))),".")</f>
        <v>3.6424203206347228</v>
      </c>
      <c r="BB12" s="115">
        <f>IFERROR(IF(d_Bv!D12=0,".",((Ir*F*I_f*T*(1-EXP(-RadSpec!BA12*t_v)))/(Y_v*RadSpec!BA12))),".")</f>
        <v>3.6424203206347228</v>
      </c>
      <c r="BC12" s="115">
        <f>IFERROR(IF(d_Bv!E12=0,".",((Ir*F*I_f*T*(1-EXP(-RadSpec!BA12*t_v)))/(Y_v*RadSpec!BA12))),".")</f>
        <v>3.6424203206347228</v>
      </c>
      <c r="BD12" s="115">
        <f>IFERROR(IF(d_Bv!F12=0,".",((Ir*F*I_f*T*(1-EXP(-RadSpec!BA12*t_v)))/(Y_v*RadSpec!BA12))),".")</f>
        <v>3.6424203206347228</v>
      </c>
      <c r="BE12" s="115">
        <f>IFERROR(IF(d_Bv!G12=0,".",((Ir*F*I_f*T*(1-EXP(-RadSpec!BA12*t_v)))/(Y_v*RadSpec!BA12))),".")</f>
        <v>3.6424203206347228</v>
      </c>
      <c r="BF12" s="115">
        <f>IFERROR(IF(d_Bv!H12=0,".",((Ir*F*I_f*T*(1-EXP(-RadSpec!BA12*t_v)))/(Y_v*RadSpec!BA12))),".")</f>
        <v>3.6424203206347228</v>
      </c>
      <c r="BG12" s="115">
        <f>IFERROR(IF(d_Bv!I12=0,".",((Ir*F*I_f*T*(1-EXP(-RadSpec!BA12*t_v)))/(Y_v*RadSpec!BA12))),".")</f>
        <v>3.6424203206347228</v>
      </c>
      <c r="BH12" s="115">
        <f>IFERROR(IF(d_Bv!J12=0,".",((Ir*F*I_f*T*(1-EXP(-RadSpec!BA12*t_v)))/(Y_v*RadSpec!BA12))),".")</f>
        <v>3.6424203206347228</v>
      </c>
      <c r="BI12" s="115">
        <f>IFERROR(IF(d_Bv!K12=0,".",((Ir*F*I_f*T*(1-EXP(-RadSpec!BA12*t_v)))/(Y_v*RadSpec!BA12))),".")</f>
        <v>3.6424203206347228</v>
      </c>
      <c r="BJ12" s="115">
        <f>IFERROR(IF(d_Bv!L12=0,".",((Ir*F*I_f*T*(1-EXP(-RadSpec!BA12*t_v)))/(Y_v*RadSpec!BA12))),".")</f>
        <v>3.6424203206347228</v>
      </c>
      <c r="BK12" s="115">
        <f>IFERROR(IF(d_Bv!M12=0,".",((Ir*F*I_f*T*(1-EXP(-RadSpec!BA12*t_v)))/(Y_v*RadSpec!BA12))),".")</f>
        <v>3.6424203206347228</v>
      </c>
      <c r="BL12" s="115">
        <f>IFERROR(IF(d_Bv!N12=0,".",((Ir*F*I_f*T*(1-EXP(-RadSpec!BA12*t_v)))/(Y_v*RadSpec!BA12))),".")</f>
        <v>3.6424203206347228</v>
      </c>
      <c r="BM12" s="115">
        <f>IFERROR(IF(d_Bv!O12=0,".",((Ir*F*I_f*T*(1-EXP(-RadSpec!BA12*t_v)))/(Y_v*RadSpec!BA12))),".")</f>
        <v>3.6424203206347228</v>
      </c>
      <c r="BN12" s="115">
        <f>IFERROR(IF(d_Bv!P12=0,".",((Ir*F*I_f*T*(1-EXP(-RadSpec!BA12*t_v)))/(Y_v*RadSpec!BA12))),".")</f>
        <v>3.6424203206347228</v>
      </c>
      <c r="BO12" s="115">
        <f>IFERROR(IF(d_Bv!Q12=0,".",((Ir*F*I_f*T*(1-EXP(-RadSpec!BA12*t_v)))/(Y_v*RadSpec!BA12))),".")</f>
        <v>3.6424203206347228</v>
      </c>
      <c r="BP12" s="115">
        <f>IFERROR(IF(d_Bv!R12=0,".",((Ir*F*I_f*T*(1-EXP(-RadSpec!BA12*t_v)))/(Y_v*RadSpec!BA12))),".")</f>
        <v>3.6424203206347228</v>
      </c>
      <c r="BQ12" s="115">
        <f>IFERROR(IF(d_Bv!S12=0,".",((Ir*F*I_f*T*(1-EXP(-RadSpec!BA12*t_v)))/(Y_v*RadSpec!BA12))),".")</f>
        <v>3.6424203206347228</v>
      </c>
      <c r="BR12" s="115">
        <f>IFERROR(IF(d_Bv!T12=0,".",((Ir*F*I_f*T*(1-EXP(-RadSpec!BA12*t_v)))/(Y_v*RadSpec!BA12))),".")</f>
        <v>3.6424203206347228</v>
      </c>
      <c r="BS12" s="115">
        <f>IFERROR(IF(d_Bv!U12=0,".",((Ir*F*I_f*T*(1-EXP(-RadSpec!BA12*t_v)))/(Y_v*RadSpec!BA12))),".")</f>
        <v>3.6424203206347228</v>
      </c>
      <c r="BT12" s="115">
        <f>IFERROR(IF(d_Bv!V12=0,".",((Ir*F*I_f*T*(1-EXP(-RadSpec!BA12*t_v)))/(Y_v*RadSpec!BA12))),".")</f>
        <v>3.6424203206347228</v>
      </c>
      <c r="BU12" s="115">
        <f>IFERROR(IF(d_Bv!W12=0,".",((Ir*F*I_f*T*(1-EXP(-RadSpec!BA12*t_v)))/(Y_v*RadSpec!BA12))),".")</f>
        <v>3.6424203206347228</v>
      </c>
      <c r="BV12" s="115">
        <f>IFERROR(IF(d_Bv!X12=0,".",((Ir*F*I_f*T*(1-EXP(-RadSpec!BA12*t_v)))/(Y_v*RadSpec!BA12))),".")</f>
        <v>3.6424203206347228</v>
      </c>
      <c r="BW12" s="115">
        <f>IFERROR(IF(d_Bv!Y12=0,".",((Ir*F*I_f*T*(1-EXP(-RadSpec!BA12*t_v)))/(Y_v*RadSpec!BA12))),".")</f>
        <v>3.6424203206347228</v>
      </c>
      <c r="BX12" s="115">
        <f>IFERROR(IF(d_Bv!Z12=0,".",((Ir*F*I_f*T*(1-EXP(-RadSpec!BA12*t_v)))/(Y_v*RadSpec!BA12))),".")</f>
        <v>3.6424203206347228</v>
      </c>
      <c r="BY12" s="115">
        <f>IFERROR(IF(d_Bv!AA12=0,".",((Ir*F*I_f*T*(1-EXP(-RadSpec!BA12*t_v)))/(Y_v*RadSpec!BA12))),".")</f>
        <v>3.6424203206347228</v>
      </c>
    </row>
    <row r="13" spans="1:77" x14ac:dyDescent="0.25">
      <c r="A13" s="44" t="s">
        <v>23</v>
      </c>
      <c r="B13" s="42" t="s">
        <v>1071</v>
      </c>
      <c r="C13" s="115">
        <f>IFERROR(IF(d_Bv!C13=0,".",((Ir*F*d_Bv!C13*(1-EXP(-RadSpec!AZ13*t_b)))/(P*RadSpec!AZ13))),".")</f>
        <v>1.0723923228705308E-2</v>
      </c>
      <c r="D13" s="115">
        <f>IFERROR(IF(d_Bv!D13=0,".",((Ir*F*d_Bv!D13*(1-EXP(-RadSpec!AZ13*t_b)))/(P*RadSpec!AZ13))),".")</f>
        <v>0.96515309058347787</v>
      </c>
      <c r="E13" s="115">
        <f>IFERROR(IF(d_Bv!E13=0,".",((Ir*F*d_Bv!E13*(1-EXP(-RadSpec!AZ13*t_b)))/(P*RadSpec!AZ13))),".")</f>
        <v>0.7864210367717227</v>
      </c>
      <c r="F13" s="115">
        <f>IFERROR(IF(d_Bv!F13=0,".",((Ir*F*d_Bv!F13*(1-EXP(-RadSpec!AZ13*t_b)))/(P*RadSpec!AZ13))),".")</f>
        <v>1.0723923228705308E-2</v>
      </c>
      <c r="G13" s="115">
        <f>IFERROR(IF(d_Bv!G13=0,".",((Ir*F*d_Bv!G13*(1-EXP(-RadSpec!AZ13*t_b)))/(P*RadSpec!AZ13))),".")</f>
        <v>0.6434353937223185</v>
      </c>
      <c r="H13" s="115">
        <f>IFERROR(IF(d_Bv!H13=0,".",((Ir*F*d_Bv!H13*(1-EXP(-RadSpec!AZ13*t_b)))/(P*RadSpec!AZ13))),".")</f>
        <v>0.96515309058347787</v>
      </c>
      <c r="I13" s="115">
        <f>IFERROR(IF(d_Bv!I13=0,".",((Ir*F*d_Bv!I13*(1-EXP(-RadSpec!AZ13*t_b)))/(P*RadSpec!AZ13))),".")</f>
        <v>0.7864210367717227</v>
      </c>
      <c r="J13" s="115">
        <f>IFERROR(IF(d_Bv!J13=0,".",((Ir*F*d_Bv!J13*(1-EXP(-RadSpec!AZ13*t_b)))/(P*RadSpec!AZ13))),".")</f>
        <v>1.0723923228705308E-2</v>
      </c>
      <c r="K13" s="115">
        <f>IFERROR(IF(d_Bv!K13=0,".",((Ir*F*d_Bv!K13*(1-EXP(-RadSpec!AZ13*t_b)))/(P*RadSpec!AZ13))),".")</f>
        <v>0.17158277165928493</v>
      </c>
      <c r="L13" s="115">
        <f>IFERROR(IF(d_Bv!L13=0,".",((Ir*F*d_Bv!L13*(1-EXP(-RadSpec!AZ13*t_b)))/(P*RadSpec!AZ13))),".")</f>
        <v>0.6434353937223185</v>
      </c>
      <c r="M13" s="115">
        <f>IFERROR(IF(d_Bv!M13=0,".",((Ir*F*d_Bv!M13*(1-EXP(-RadSpec!AZ13*t_b)))/(P*RadSpec!AZ13))),".")</f>
        <v>0.96515309058347787</v>
      </c>
      <c r="N13" s="115">
        <f>IFERROR(IF(d_Bv!N13=0,".",((Ir*F*d_Bv!N13*(1-EXP(-RadSpec!AZ13*t_b)))/(P*RadSpec!AZ13))),".")</f>
        <v>0.60768898295996754</v>
      </c>
      <c r="O13" s="115">
        <f>IFERROR(IF(d_Bv!O13=0,".",((Ir*F*d_Bv!O13*(1-EXP(-RadSpec!AZ13*t_b)))/(P*RadSpec!AZ13))),".")</f>
        <v>0.6434353937223185</v>
      </c>
      <c r="P13" s="115">
        <f>IFERROR(IF(d_Bv!P13=0,".",((Ir*F*d_Bv!P13*(1-EXP(-RadSpec!AZ13*t_b)))/(P*RadSpec!AZ13))),".")</f>
        <v>0.7864210367717227</v>
      </c>
      <c r="Q13" s="115">
        <f>IFERROR(IF(d_Bv!Q13=0,".",((Ir*F*d_Bv!Q13*(1-EXP(-RadSpec!AZ13*t_b)))/(P*RadSpec!AZ13))),".")</f>
        <v>1.0723923228705308E-2</v>
      </c>
      <c r="R13" s="115">
        <f>IFERROR(IF(d_Bv!R13=0,".",((Ir*F*d_Bv!R13*(1-EXP(-RadSpec!AZ13*t_b)))/(P*RadSpec!AZ13))),".")</f>
        <v>1.0723923228705308E-2</v>
      </c>
      <c r="S13" s="115">
        <f>IFERROR(IF(d_Bv!S13=0,".",((Ir*F*d_Bv!S13*(1-EXP(-RadSpec!AZ13*t_b)))/(P*RadSpec!AZ13))),".")</f>
        <v>0.60768898295996754</v>
      </c>
      <c r="T13" s="211">
        <f>IFERROR(IF(d_Bv!T13=0,".",((Ir*F*d_Bv!S13*(1-EXP(-RadSpec!AZ13*t_b)))/(P*RadSpec!AZ13))),".")</f>
        <v>0.60768898295996754</v>
      </c>
      <c r="U13" s="115">
        <f>IFERROR(IF(d_Bv!U13=0,".",((Ir*F*d_Bv!U13*(1-EXP(-RadSpec!AZ13*t_b)))/(P*RadSpec!AZ13))),".")</f>
        <v>0.20375454134540089</v>
      </c>
      <c r="V13" s="115">
        <f>IFERROR(IF(d_Bv!V13=0,".",((Ir*F*d_Bv!V13*(1-EXP(-RadSpec!AZ13*t_b)))/(P*RadSpec!AZ13))),".")</f>
        <v>0.6434353937223185</v>
      </c>
      <c r="W13" s="115">
        <f>IFERROR(IF(d_Bv!W13=0,".",((Ir*F*d_Bv!W13*(1-EXP(-RadSpec!AZ13*t_b)))/(P*RadSpec!AZ13))),".")</f>
        <v>0.60768898295996754</v>
      </c>
      <c r="X13" s="115">
        <f>IFERROR(IF(d_Bv!X13=0,".",((Ir*F*d_Bv!X13*(1-EXP(-RadSpec!AZ13*t_b)))/(P*RadSpec!AZ13))),".")</f>
        <v>1.0723923228705308E-2</v>
      </c>
      <c r="Y13" s="115">
        <f>IFERROR(IF(d_Bv!Y13=0,".",((Ir*F*d_Bv!Y13*(1-EXP(-RadSpec!AZ13*t_b)))/(P*RadSpec!AZ13))),".")</f>
        <v>0.6434353937223185</v>
      </c>
      <c r="Z13" s="115">
        <f>IFERROR(IF(d_Bv!Z13=0,".",((Ir*F*d_Bv!Z13*(1-EXP(-RadSpec!AZ13*t_b)))/(P*RadSpec!AZ13))),".")</f>
        <v>0.71492821524702066</v>
      </c>
      <c r="AA13" s="115">
        <f>IFERROR(IF(d_Bv!AA13=0,".",((Ir*F*d_Bv!AA13*(1-EXP(-RadSpec!AZ13*t_b)))/(P*RadSpec!AZ13))),".")</f>
        <v>0.10366459121081799</v>
      </c>
      <c r="AB13" s="115">
        <f>IFERROR(IF(d_Bv!C13=0,".",((Ir*F*MLF_apple*(1-EXP(-RadSpec!AZ13*t_b)))/(P*RadSpec!AZ13))),".")</f>
        <v>5.7194257219761657E-3</v>
      </c>
      <c r="AC13" s="115">
        <f>IFERROR(IF(d_Bv!D13=0,".",((Ir*F*MLF_asparagus*(1-EXP(-RadSpec!AZ13*t_b)))/(P*RadSpec!AZ13))),".")</f>
        <v>2.8239664502257315E-3</v>
      </c>
      <c r="AD13" s="115">
        <f>IFERROR(IF(d_Bv!E13=0,".",((Ir*F*MLF_beet*(1-EXP(-RadSpec!AZ13*t_b)))/(P*RadSpec!AZ13))),".")</f>
        <v>4.9330046852044422E-3</v>
      </c>
      <c r="AE13" s="115">
        <f>IFERROR(IF(d_Bv!F13=0,".",((Ir*F*MLF_berries*(1-EXP(-RadSpec!AZ13*t_b)))/(P*RadSpec!AZ13))),".")</f>
        <v>5.9339041865502712E-3</v>
      </c>
      <c r="AF13" s="115">
        <f>IFERROR(IF(d_Bv!G13=0,".",((Ir*F*MLF_broccoli*(1-EXP(-RadSpec!AZ13*t_b)))/(P*RadSpec!AZ13))),".")</f>
        <v>3.6103874869974538E-2</v>
      </c>
      <c r="AG13" s="115">
        <f>IFERROR(IF(d_Bv!H13=0,".",((Ir*F*MLF_cabbage*(1-EXP(-RadSpec!AZ13*t_b)))/(P*RadSpec!AZ13))),".")</f>
        <v>3.7533731300468582E-3</v>
      </c>
      <c r="AH13" s="115">
        <f>IFERROR(IF(d_Bv!I13=0,".",((Ir*F*MLF_carrot*(1-EXP(-RadSpec!AZ13*t_b)))/(P*RadSpec!AZ13))),".")</f>
        <v>3.4674018439480501E-3</v>
      </c>
      <c r="AI13" s="115">
        <f>IFERROR(IF(d_Bv!J13=0,".",((Ir*F*MLF_citrus*(1-EXP(-RadSpec!AZ13*t_b)))/(P*RadSpec!AZ13))),".")</f>
        <v>5.6121864896891112E-3</v>
      </c>
      <c r="AJ13" s="115">
        <f>IFERROR(IF(d_Bv!K13=0,".",((Ir*F*MLF_corn*(1-EXP(-RadSpec!AZ13*t_b)))/(P*RadSpec!AZ13))),".")</f>
        <v>5.1832295605408994E-3</v>
      </c>
      <c r="AK13" s="115">
        <f>IFERROR(IF(d_Bv!L13=0,".",((Ir*F*MLF_cucumber*(1-EXP(-RadSpec!AZ13*t_b)))/(P*RadSpec!AZ13))),".")</f>
        <v>1.4298564304940414E-3</v>
      </c>
      <c r="AL13" s="115">
        <f>IFERROR(IF(d_Bv!M13=0,".",((Ir*F*MLF_lettuce*(1-EXP(-RadSpec!AZ13*t_b)))/(P*RadSpec!AZ13))),".")</f>
        <v>0.48257654529173893</v>
      </c>
      <c r="AM13" s="115">
        <f>IFERROR(IF(d_Bv!N13=0,".",((Ir*F*MLF_lima_bean*(1-EXP(-RadSpec!AZ13*t_b)))/(P*RadSpec!AZ13))),".")</f>
        <v>0.13690875321980447</v>
      </c>
      <c r="AN13" s="115">
        <f>IFERROR(IF(d_Bv!O13=0,".",((Ir*F*MLF_okra*(1-EXP(-RadSpec!AZ13*t_b)))/(P*RadSpec!AZ13))),".")</f>
        <v>2.8597128609880828E-3</v>
      </c>
      <c r="AO13" s="115">
        <f>IFERROR(IF(d_Bv!P13=0,".",((Ir*F*MLF_onion*(1-EXP(-RadSpec!AZ13*t_b)))/(P*RadSpec!AZ13))),".")</f>
        <v>3.4674018439480501E-3</v>
      </c>
      <c r="AP13" s="115">
        <f>IFERROR(IF(d_Bv!Q13=0,".",((Ir*F*MLF_peach*(1-EXP(-RadSpec!AZ13*t_b)))/(P*RadSpec!AZ13))),".")</f>
        <v>5.361961614352654E-3</v>
      </c>
      <c r="AQ13" s="115">
        <f>IFERROR(IF(d_Bv!R13=0,".",((Ir*F*MLF_pear*(1-EXP(-RadSpec!AZ13*t_b)))/(P*RadSpec!AZ13))),".")</f>
        <v>5.7194257219761657E-3</v>
      </c>
      <c r="AR13" s="115">
        <f>IFERROR(IF(d_Bv!S13=0,".",((Ir*F*MLF_peas*(1-EXP(-RadSpec!AZ13*t_b)))/(P*RadSpec!AZ13))),".")</f>
        <v>6.3628611156984829E-3</v>
      </c>
      <c r="AS13" s="115">
        <f>IFERROR(IF(d_Bv!T13=0,".",((Ir*F*MLF_peppers*(1-EXP(-RadSpec!AZ13*t_b)))/(P*RadSpec!AZ13))),".")</f>
        <v>7.93570318924193E-2</v>
      </c>
      <c r="AT13" s="115">
        <f>IFERROR(IF(d_Bv!U13=0,".",((Ir*F*MLF_potato*(1-EXP(-RadSpec!AZ13*t_b)))/(P*RadSpec!AZ13))),".")</f>
        <v>7.5067462600937164E-3</v>
      </c>
      <c r="AU13" s="115">
        <f>IFERROR(IF(d_Bv!V13=0,".",((Ir*F*MLF_pumpkin*(1-EXP(-RadSpec!AZ13*t_b)))/(P*RadSpec!AZ13))),".")</f>
        <v>2.0732918242163598E-3</v>
      </c>
      <c r="AV13" s="115">
        <f>IFERROR(IF(d_Bv!W13=0,".",((Ir*F*MLF_snap_bean*(1-EXP(-RadSpec!AZ13*t_b)))/(P*RadSpec!AZ13))),".")</f>
        <v>0.17873205381175516</v>
      </c>
      <c r="AW13" s="115">
        <f>IFERROR(IF(d_Bv!X13=0,".",((Ir*F*MLF_strawberry*(1-EXP(-RadSpec!AZ13*t_b)))/(P*RadSpec!AZ13))),".")</f>
        <v>2.8597128609880828E-3</v>
      </c>
      <c r="AX13" s="115">
        <f>IFERROR(IF(d_Bv!Y13=0,".",((Ir*F*MLF_tomato*(1-EXP(-RadSpec!AZ13*t_b)))/(P*RadSpec!AZ13))),".")</f>
        <v>6.327114704936132E-2</v>
      </c>
      <c r="AY13" s="115">
        <f>IFERROR(IF(d_Bv!Z13=0,".",((Ir*F*MLF_rice*(1-EXP(-RadSpec!AZ13*t_b)))/(P*RadSpec!AZ13))),".")</f>
        <v>8.9366026905877582</v>
      </c>
      <c r="AZ13" s="115">
        <f>IFERROR(IF(d_Bv!AA13=0,".",((Ir*F*MLF_cereal*(1-EXP(-RadSpec!AZ13*t_b)))/(P*RadSpec!AZ13))),".")</f>
        <v>8.9366026905877582</v>
      </c>
      <c r="BA13" s="115">
        <f>IFERROR(IF(d_Bv!C13=0,".",((Ir*F*I_f*T*(1-EXP(-RadSpec!BA13*t_v)))/(Y_v*RadSpec!BA13))),".")</f>
        <v>3.6424203206347228</v>
      </c>
      <c r="BB13" s="115">
        <f>IFERROR(IF(d_Bv!D13=0,".",((Ir*F*I_f*T*(1-EXP(-RadSpec!BA13*t_v)))/(Y_v*RadSpec!BA13))),".")</f>
        <v>3.6424203206347228</v>
      </c>
      <c r="BC13" s="115">
        <f>IFERROR(IF(d_Bv!E13=0,".",((Ir*F*I_f*T*(1-EXP(-RadSpec!BA13*t_v)))/(Y_v*RadSpec!BA13))),".")</f>
        <v>3.6424203206347228</v>
      </c>
      <c r="BD13" s="115">
        <f>IFERROR(IF(d_Bv!F13=0,".",((Ir*F*I_f*T*(1-EXP(-RadSpec!BA13*t_v)))/(Y_v*RadSpec!BA13))),".")</f>
        <v>3.6424203206347228</v>
      </c>
      <c r="BE13" s="115">
        <f>IFERROR(IF(d_Bv!G13=0,".",((Ir*F*I_f*T*(1-EXP(-RadSpec!BA13*t_v)))/(Y_v*RadSpec!BA13))),".")</f>
        <v>3.6424203206347228</v>
      </c>
      <c r="BF13" s="115">
        <f>IFERROR(IF(d_Bv!H13=0,".",((Ir*F*I_f*T*(1-EXP(-RadSpec!BA13*t_v)))/(Y_v*RadSpec!BA13))),".")</f>
        <v>3.6424203206347228</v>
      </c>
      <c r="BG13" s="115">
        <f>IFERROR(IF(d_Bv!I13=0,".",((Ir*F*I_f*T*(1-EXP(-RadSpec!BA13*t_v)))/(Y_v*RadSpec!BA13))),".")</f>
        <v>3.6424203206347228</v>
      </c>
      <c r="BH13" s="115">
        <f>IFERROR(IF(d_Bv!J13=0,".",((Ir*F*I_f*T*(1-EXP(-RadSpec!BA13*t_v)))/(Y_v*RadSpec!BA13))),".")</f>
        <v>3.6424203206347228</v>
      </c>
      <c r="BI13" s="115">
        <f>IFERROR(IF(d_Bv!K13=0,".",((Ir*F*I_f*T*(1-EXP(-RadSpec!BA13*t_v)))/(Y_v*RadSpec!BA13))),".")</f>
        <v>3.6424203206347228</v>
      </c>
      <c r="BJ13" s="115">
        <f>IFERROR(IF(d_Bv!L13=0,".",((Ir*F*I_f*T*(1-EXP(-RadSpec!BA13*t_v)))/(Y_v*RadSpec!BA13))),".")</f>
        <v>3.6424203206347228</v>
      </c>
      <c r="BK13" s="115">
        <f>IFERROR(IF(d_Bv!M13=0,".",((Ir*F*I_f*T*(1-EXP(-RadSpec!BA13*t_v)))/(Y_v*RadSpec!BA13))),".")</f>
        <v>3.6424203206347228</v>
      </c>
      <c r="BL13" s="115">
        <f>IFERROR(IF(d_Bv!N13=0,".",((Ir*F*I_f*T*(1-EXP(-RadSpec!BA13*t_v)))/(Y_v*RadSpec!BA13))),".")</f>
        <v>3.6424203206347228</v>
      </c>
      <c r="BM13" s="115">
        <f>IFERROR(IF(d_Bv!O13=0,".",((Ir*F*I_f*T*(1-EXP(-RadSpec!BA13*t_v)))/(Y_v*RadSpec!BA13))),".")</f>
        <v>3.6424203206347228</v>
      </c>
      <c r="BN13" s="115">
        <f>IFERROR(IF(d_Bv!P13=0,".",((Ir*F*I_f*T*(1-EXP(-RadSpec!BA13*t_v)))/(Y_v*RadSpec!BA13))),".")</f>
        <v>3.6424203206347228</v>
      </c>
      <c r="BO13" s="115">
        <f>IFERROR(IF(d_Bv!Q13=0,".",((Ir*F*I_f*T*(1-EXP(-RadSpec!BA13*t_v)))/(Y_v*RadSpec!BA13))),".")</f>
        <v>3.6424203206347228</v>
      </c>
      <c r="BP13" s="115">
        <f>IFERROR(IF(d_Bv!R13=0,".",((Ir*F*I_f*T*(1-EXP(-RadSpec!BA13*t_v)))/(Y_v*RadSpec!BA13))),".")</f>
        <v>3.6424203206347228</v>
      </c>
      <c r="BQ13" s="115">
        <f>IFERROR(IF(d_Bv!S13=0,".",((Ir*F*I_f*T*(1-EXP(-RadSpec!BA13*t_v)))/(Y_v*RadSpec!BA13))),".")</f>
        <v>3.6424203206347228</v>
      </c>
      <c r="BR13" s="115">
        <f>IFERROR(IF(d_Bv!T13=0,".",((Ir*F*I_f*T*(1-EXP(-RadSpec!BA13*t_v)))/(Y_v*RadSpec!BA13))),".")</f>
        <v>3.6424203206347228</v>
      </c>
      <c r="BS13" s="115">
        <f>IFERROR(IF(d_Bv!U13=0,".",((Ir*F*I_f*T*(1-EXP(-RadSpec!BA13*t_v)))/(Y_v*RadSpec!BA13))),".")</f>
        <v>3.6424203206347228</v>
      </c>
      <c r="BT13" s="115">
        <f>IFERROR(IF(d_Bv!V13=0,".",((Ir*F*I_f*T*(1-EXP(-RadSpec!BA13*t_v)))/(Y_v*RadSpec!BA13))),".")</f>
        <v>3.6424203206347228</v>
      </c>
      <c r="BU13" s="115">
        <f>IFERROR(IF(d_Bv!W13=0,".",((Ir*F*I_f*T*(1-EXP(-RadSpec!BA13*t_v)))/(Y_v*RadSpec!BA13))),".")</f>
        <v>3.6424203206347228</v>
      </c>
      <c r="BV13" s="115">
        <f>IFERROR(IF(d_Bv!X13=0,".",((Ir*F*I_f*T*(1-EXP(-RadSpec!BA13*t_v)))/(Y_v*RadSpec!BA13))),".")</f>
        <v>3.6424203206347228</v>
      </c>
      <c r="BW13" s="115">
        <f>IFERROR(IF(d_Bv!Y13=0,".",((Ir*F*I_f*T*(1-EXP(-RadSpec!BA13*t_v)))/(Y_v*RadSpec!BA13))),".")</f>
        <v>3.6424203206347228</v>
      </c>
      <c r="BX13" s="115">
        <f>IFERROR(IF(d_Bv!Z13=0,".",((Ir*F*I_f*T*(1-EXP(-RadSpec!BA13*t_v)))/(Y_v*RadSpec!BA13))),".")</f>
        <v>3.6424203206347228</v>
      </c>
      <c r="BY13" s="115">
        <f>IFERROR(IF(d_Bv!AA13=0,".",((Ir*F*I_f*T*(1-EXP(-RadSpec!BA13*t_v)))/(Y_v*RadSpec!BA13))),".")</f>
        <v>3.6424203206347228</v>
      </c>
    </row>
    <row r="14" spans="1:77" x14ac:dyDescent="0.25">
      <c r="A14" s="44" t="s">
        <v>24</v>
      </c>
      <c r="B14" s="42" t="s">
        <v>1071</v>
      </c>
      <c r="C14" s="115">
        <f>IFERROR(IF(d_Bv!C14=0,".",((Ir*F*d_Bv!C14*(1-EXP(-RadSpec!AZ14*t_b)))/(P*RadSpec!AZ14))),".")</f>
        <v>0.35746410762351033</v>
      </c>
      <c r="D14" s="115">
        <f>IFERROR(IF(d_Bv!D14=0,".",((Ir*F*d_Bv!D14*(1-EXP(-RadSpec!AZ14*t_b)))/(P*RadSpec!AZ14))),".")</f>
        <v>0.35746410762351033</v>
      </c>
      <c r="E14" s="115">
        <f>IFERROR(IF(d_Bv!E14=0,".",((Ir*F*d_Bv!E14*(1-EXP(-RadSpec!AZ14*t_b)))/(P*RadSpec!AZ14))),".")</f>
        <v>0.35746410762351033</v>
      </c>
      <c r="F14" s="115">
        <f>IFERROR(IF(d_Bv!F14=0,".",((Ir*F*d_Bv!F14*(1-EXP(-RadSpec!AZ14*t_b)))/(P*RadSpec!AZ14))),".")</f>
        <v>0.35746410762351033</v>
      </c>
      <c r="G14" s="115">
        <f>IFERROR(IF(d_Bv!G14=0,".",((Ir*F*d_Bv!G14*(1-EXP(-RadSpec!AZ14*t_b)))/(P*RadSpec!AZ14))),".")</f>
        <v>0.35746410762351033</v>
      </c>
      <c r="H14" s="115">
        <f>IFERROR(IF(d_Bv!H14=0,".",((Ir*F*d_Bv!H14*(1-EXP(-RadSpec!AZ14*t_b)))/(P*RadSpec!AZ14))),".")</f>
        <v>0.35746410762351033</v>
      </c>
      <c r="I14" s="115">
        <f>IFERROR(IF(d_Bv!I14=0,".",((Ir*F*d_Bv!I14*(1-EXP(-RadSpec!AZ14*t_b)))/(P*RadSpec!AZ14))),".")</f>
        <v>0.35746410762351033</v>
      </c>
      <c r="J14" s="115">
        <f>IFERROR(IF(d_Bv!J14=0,".",((Ir*F*d_Bv!J14*(1-EXP(-RadSpec!AZ14*t_b)))/(P*RadSpec!AZ14))),".")</f>
        <v>0.35746410762351033</v>
      </c>
      <c r="K14" s="115">
        <f>IFERROR(IF(d_Bv!K14=0,".",((Ir*F*d_Bv!K14*(1-EXP(-RadSpec!AZ14*t_b)))/(P*RadSpec!AZ14))),".")</f>
        <v>0.35746410762351033</v>
      </c>
      <c r="L14" s="115">
        <f>IFERROR(IF(d_Bv!L14=0,".",((Ir*F*d_Bv!L14*(1-EXP(-RadSpec!AZ14*t_b)))/(P*RadSpec!AZ14))),".")</f>
        <v>0.35746410762351033</v>
      </c>
      <c r="M14" s="115">
        <f>IFERROR(IF(d_Bv!M14=0,".",((Ir*F*d_Bv!M14*(1-EXP(-RadSpec!AZ14*t_b)))/(P*RadSpec!AZ14))),".")</f>
        <v>0.35746410762351033</v>
      </c>
      <c r="N14" s="115">
        <f>IFERROR(IF(d_Bv!N14=0,".",((Ir*F*d_Bv!N14*(1-EXP(-RadSpec!AZ14*t_b)))/(P*RadSpec!AZ14))),".")</f>
        <v>0.35746410762351033</v>
      </c>
      <c r="O14" s="115">
        <f>IFERROR(IF(d_Bv!O14=0,".",((Ir*F*d_Bv!O14*(1-EXP(-RadSpec!AZ14*t_b)))/(P*RadSpec!AZ14))),".")</f>
        <v>0.35746410762351033</v>
      </c>
      <c r="P14" s="115">
        <f>IFERROR(IF(d_Bv!P14=0,".",((Ir*F*d_Bv!P14*(1-EXP(-RadSpec!AZ14*t_b)))/(P*RadSpec!AZ14))),".")</f>
        <v>0.35746410762351033</v>
      </c>
      <c r="Q14" s="115">
        <f>IFERROR(IF(d_Bv!Q14=0,".",((Ir*F*d_Bv!Q14*(1-EXP(-RadSpec!AZ14*t_b)))/(P*RadSpec!AZ14))),".")</f>
        <v>0.35746410762351033</v>
      </c>
      <c r="R14" s="115">
        <f>IFERROR(IF(d_Bv!R14=0,".",((Ir*F*d_Bv!R14*(1-EXP(-RadSpec!AZ14*t_b)))/(P*RadSpec!AZ14))),".")</f>
        <v>0.35746410762351033</v>
      </c>
      <c r="S14" s="115">
        <f>IFERROR(IF(d_Bv!S14=0,".",((Ir*F*d_Bv!S14*(1-EXP(-RadSpec!AZ14*t_b)))/(P*RadSpec!AZ14))),".")</f>
        <v>0.35746410762351033</v>
      </c>
      <c r="T14" s="211">
        <f>IFERROR(IF(d_Bv!T14=0,".",((Ir*F*d_Bv!S14*(1-EXP(-RadSpec!AZ14*t_b)))/(P*RadSpec!AZ14))),".")</f>
        <v>0.35746410762351033</v>
      </c>
      <c r="U14" s="115">
        <f>IFERROR(IF(d_Bv!U14=0,".",((Ir*F*d_Bv!U14*(1-EXP(-RadSpec!AZ14*t_b)))/(P*RadSpec!AZ14))),".")</f>
        <v>0.35746410762351033</v>
      </c>
      <c r="V14" s="115">
        <f>IFERROR(IF(d_Bv!V14=0,".",((Ir*F*d_Bv!V14*(1-EXP(-RadSpec!AZ14*t_b)))/(P*RadSpec!AZ14))),".")</f>
        <v>0.35746410762351033</v>
      </c>
      <c r="W14" s="115">
        <f>IFERROR(IF(d_Bv!W14=0,".",((Ir*F*d_Bv!W14*(1-EXP(-RadSpec!AZ14*t_b)))/(P*RadSpec!AZ14))),".")</f>
        <v>0.35746410762351033</v>
      </c>
      <c r="X14" s="115">
        <f>IFERROR(IF(d_Bv!X14=0,".",((Ir*F*d_Bv!X14*(1-EXP(-RadSpec!AZ14*t_b)))/(P*RadSpec!AZ14))),".")</f>
        <v>0.35746410762351033</v>
      </c>
      <c r="Y14" s="115">
        <f>IFERROR(IF(d_Bv!Y14=0,".",((Ir*F*d_Bv!Y14*(1-EXP(-RadSpec!AZ14*t_b)))/(P*RadSpec!AZ14))),".")</f>
        <v>0.35746410762351033</v>
      </c>
      <c r="Z14" s="115">
        <f>IFERROR(IF(d_Bv!Z14=0,".",((Ir*F*d_Bv!Z14*(1-EXP(-RadSpec!AZ14*t_b)))/(P*RadSpec!AZ14))),".")</f>
        <v>0.35746410762351033</v>
      </c>
      <c r="AA14" s="115">
        <f>IFERROR(IF(d_Bv!AA14=0,".",((Ir*F*d_Bv!AA14*(1-EXP(-RadSpec!AZ14*t_b)))/(P*RadSpec!AZ14))),".")</f>
        <v>0.35746410762351033</v>
      </c>
      <c r="AB14" s="115">
        <f>IFERROR(IF(d_Bv!C14=0,".",((Ir*F*MLF_apple*(1-EXP(-RadSpec!AZ14*t_b)))/(P*RadSpec!AZ14))),".")</f>
        <v>5.7194257219761657E-3</v>
      </c>
      <c r="AC14" s="115">
        <f>IFERROR(IF(d_Bv!D14=0,".",((Ir*F*MLF_asparagus*(1-EXP(-RadSpec!AZ14*t_b)))/(P*RadSpec!AZ14))),".")</f>
        <v>2.8239664502257315E-3</v>
      </c>
      <c r="AD14" s="115">
        <f>IFERROR(IF(d_Bv!E14=0,".",((Ir*F*MLF_beet*(1-EXP(-RadSpec!AZ14*t_b)))/(P*RadSpec!AZ14))),".")</f>
        <v>4.9330046852044422E-3</v>
      </c>
      <c r="AE14" s="115">
        <f>IFERROR(IF(d_Bv!F14=0,".",((Ir*F*MLF_berries*(1-EXP(-RadSpec!AZ14*t_b)))/(P*RadSpec!AZ14))),".")</f>
        <v>5.9339041865502712E-3</v>
      </c>
      <c r="AF14" s="115">
        <f>IFERROR(IF(d_Bv!G14=0,".",((Ir*F*MLF_broccoli*(1-EXP(-RadSpec!AZ14*t_b)))/(P*RadSpec!AZ14))),".")</f>
        <v>3.6103874869974538E-2</v>
      </c>
      <c r="AG14" s="115">
        <f>IFERROR(IF(d_Bv!H14=0,".",((Ir*F*MLF_cabbage*(1-EXP(-RadSpec!AZ14*t_b)))/(P*RadSpec!AZ14))),".")</f>
        <v>3.7533731300468582E-3</v>
      </c>
      <c r="AH14" s="115">
        <f>IFERROR(IF(d_Bv!I14=0,".",((Ir*F*MLF_carrot*(1-EXP(-RadSpec!AZ14*t_b)))/(P*RadSpec!AZ14))),".")</f>
        <v>3.4674018439480501E-3</v>
      </c>
      <c r="AI14" s="115">
        <f>IFERROR(IF(d_Bv!J14=0,".",((Ir*F*MLF_citrus*(1-EXP(-RadSpec!AZ14*t_b)))/(P*RadSpec!AZ14))),".")</f>
        <v>5.6121864896891112E-3</v>
      </c>
      <c r="AJ14" s="115">
        <f>IFERROR(IF(d_Bv!K14=0,".",((Ir*F*MLF_corn*(1-EXP(-RadSpec!AZ14*t_b)))/(P*RadSpec!AZ14))),".")</f>
        <v>5.1832295605408994E-3</v>
      </c>
      <c r="AK14" s="115">
        <f>IFERROR(IF(d_Bv!L14=0,".",((Ir*F*MLF_cucumber*(1-EXP(-RadSpec!AZ14*t_b)))/(P*RadSpec!AZ14))),".")</f>
        <v>1.4298564304940414E-3</v>
      </c>
      <c r="AL14" s="115">
        <f>IFERROR(IF(d_Bv!M14=0,".",((Ir*F*MLF_lettuce*(1-EXP(-RadSpec!AZ14*t_b)))/(P*RadSpec!AZ14))),".")</f>
        <v>0.48257654529173893</v>
      </c>
      <c r="AM14" s="115">
        <f>IFERROR(IF(d_Bv!N14=0,".",((Ir*F*MLF_lima_bean*(1-EXP(-RadSpec!AZ14*t_b)))/(P*RadSpec!AZ14))),".")</f>
        <v>0.13690875321980447</v>
      </c>
      <c r="AN14" s="115">
        <f>IFERROR(IF(d_Bv!O14=0,".",((Ir*F*MLF_okra*(1-EXP(-RadSpec!AZ14*t_b)))/(P*RadSpec!AZ14))),".")</f>
        <v>2.8597128609880828E-3</v>
      </c>
      <c r="AO14" s="115">
        <f>IFERROR(IF(d_Bv!P14=0,".",((Ir*F*MLF_onion*(1-EXP(-RadSpec!AZ14*t_b)))/(P*RadSpec!AZ14))),".")</f>
        <v>3.4674018439480501E-3</v>
      </c>
      <c r="AP14" s="115">
        <f>IFERROR(IF(d_Bv!Q14=0,".",((Ir*F*MLF_peach*(1-EXP(-RadSpec!AZ14*t_b)))/(P*RadSpec!AZ14))),".")</f>
        <v>5.361961614352654E-3</v>
      </c>
      <c r="AQ14" s="115">
        <f>IFERROR(IF(d_Bv!R14=0,".",((Ir*F*MLF_pear*(1-EXP(-RadSpec!AZ14*t_b)))/(P*RadSpec!AZ14))),".")</f>
        <v>5.7194257219761657E-3</v>
      </c>
      <c r="AR14" s="115">
        <f>IFERROR(IF(d_Bv!S14=0,".",((Ir*F*MLF_peas*(1-EXP(-RadSpec!AZ14*t_b)))/(P*RadSpec!AZ14))),".")</f>
        <v>6.3628611156984829E-3</v>
      </c>
      <c r="AS14" s="115">
        <f>IFERROR(IF(d_Bv!T14=0,".",((Ir*F*MLF_peppers*(1-EXP(-RadSpec!AZ14*t_b)))/(P*RadSpec!AZ14))),".")</f>
        <v>7.93570318924193E-2</v>
      </c>
      <c r="AT14" s="115">
        <f>IFERROR(IF(d_Bv!U14=0,".",((Ir*F*MLF_potato*(1-EXP(-RadSpec!AZ14*t_b)))/(P*RadSpec!AZ14))),".")</f>
        <v>7.5067462600937164E-3</v>
      </c>
      <c r="AU14" s="115">
        <f>IFERROR(IF(d_Bv!V14=0,".",((Ir*F*MLF_pumpkin*(1-EXP(-RadSpec!AZ14*t_b)))/(P*RadSpec!AZ14))),".")</f>
        <v>2.0732918242163598E-3</v>
      </c>
      <c r="AV14" s="115">
        <f>IFERROR(IF(d_Bv!W14=0,".",((Ir*F*MLF_snap_bean*(1-EXP(-RadSpec!AZ14*t_b)))/(P*RadSpec!AZ14))),".")</f>
        <v>0.17873205381175516</v>
      </c>
      <c r="AW14" s="115">
        <f>IFERROR(IF(d_Bv!X14=0,".",((Ir*F*MLF_strawberry*(1-EXP(-RadSpec!AZ14*t_b)))/(P*RadSpec!AZ14))),".")</f>
        <v>2.8597128609880828E-3</v>
      </c>
      <c r="AX14" s="115">
        <f>IFERROR(IF(d_Bv!Y14=0,".",((Ir*F*MLF_tomato*(1-EXP(-RadSpec!AZ14*t_b)))/(P*RadSpec!AZ14))),".")</f>
        <v>6.327114704936132E-2</v>
      </c>
      <c r="AY14" s="115">
        <f>IFERROR(IF(d_Bv!Z14=0,".",((Ir*F*MLF_rice*(1-EXP(-RadSpec!AZ14*t_b)))/(P*RadSpec!AZ14))),".")</f>
        <v>8.9366026905877582</v>
      </c>
      <c r="AZ14" s="115">
        <f>IFERROR(IF(d_Bv!AA14=0,".",((Ir*F*MLF_cereal*(1-EXP(-RadSpec!AZ14*t_b)))/(P*RadSpec!AZ14))),".")</f>
        <v>8.9366026905877582</v>
      </c>
      <c r="BA14" s="115">
        <f>IFERROR(IF(d_Bv!C14=0,".",((Ir*F*I_f*T*(1-EXP(-RadSpec!BA14*t_v)))/(Y_v*RadSpec!BA14))),".")</f>
        <v>3.6424203206347228</v>
      </c>
      <c r="BB14" s="115">
        <f>IFERROR(IF(d_Bv!D14=0,".",((Ir*F*I_f*T*(1-EXP(-RadSpec!BA14*t_v)))/(Y_v*RadSpec!BA14))),".")</f>
        <v>3.6424203206347228</v>
      </c>
      <c r="BC14" s="115">
        <f>IFERROR(IF(d_Bv!E14=0,".",((Ir*F*I_f*T*(1-EXP(-RadSpec!BA14*t_v)))/(Y_v*RadSpec!BA14))),".")</f>
        <v>3.6424203206347228</v>
      </c>
      <c r="BD14" s="115">
        <f>IFERROR(IF(d_Bv!F14=0,".",((Ir*F*I_f*T*(1-EXP(-RadSpec!BA14*t_v)))/(Y_v*RadSpec!BA14))),".")</f>
        <v>3.6424203206347228</v>
      </c>
      <c r="BE14" s="115">
        <f>IFERROR(IF(d_Bv!G14=0,".",((Ir*F*I_f*T*(1-EXP(-RadSpec!BA14*t_v)))/(Y_v*RadSpec!BA14))),".")</f>
        <v>3.6424203206347228</v>
      </c>
      <c r="BF14" s="115">
        <f>IFERROR(IF(d_Bv!H14=0,".",((Ir*F*I_f*T*(1-EXP(-RadSpec!BA14*t_v)))/(Y_v*RadSpec!BA14))),".")</f>
        <v>3.6424203206347228</v>
      </c>
      <c r="BG14" s="115">
        <f>IFERROR(IF(d_Bv!I14=0,".",((Ir*F*I_f*T*(1-EXP(-RadSpec!BA14*t_v)))/(Y_v*RadSpec!BA14))),".")</f>
        <v>3.6424203206347228</v>
      </c>
      <c r="BH14" s="115">
        <f>IFERROR(IF(d_Bv!J14=0,".",((Ir*F*I_f*T*(1-EXP(-RadSpec!BA14*t_v)))/(Y_v*RadSpec!BA14))),".")</f>
        <v>3.6424203206347228</v>
      </c>
      <c r="BI14" s="115">
        <f>IFERROR(IF(d_Bv!K14=0,".",((Ir*F*I_f*T*(1-EXP(-RadSpec!BA14*t_v)))/(Y_v*RadSpec!BA14))),".")</f>
        <v>3.6424203206347228</v>
      </c>
      <c r="BJ14" s="115">
        <f>IFERROR(IF(d_Bv!L14=0,".",((Ir*F*I_f*T*(1-EXP(-RadSpec!BA14*t_v)))/(Y_v*RadSpec!BA14))),".")</f>
        <v>3.6424203206347228</v>
      </c>
      <c r="BK14" s="115">
        <f>IFERROR(IF(d_Bv!M14=0,".",((Ir*F*I_f*T*(1-EXP(-RadSpec!BA14*t_v)))/(Y_v*RadSpec!BA14))),".")</f>
        <v>3.6424203206347228</v>
      </c>
      <c r="BL14" s="115">
        <f>IFERROR(IF(d_Bv!N14=0,".",((Ir*F*I_f*T*(1-EXP(-RadSpec!BA14*t_v)))/(Y_v*RadSpec!BA14))),".")</f>
        <v>3.6424203206347228</v>
      </c>
      <c r="BM14" s="115">
        <f>IFERROR(IF(d_Bv!O14=0,".",((Ir*F*I_f*T*(1-EXP(-RadSpec!BA14*t_v)))/(Y_v*RadSpec!BA14))),".")</f>
        <v>3.6424203206347228</v>
      </c>
      <c r="BN14" s="115">
        <f>IFERROR(IF(d_Bv!P14=0,".",((Ir*F*I_f*T*(1-EXP(-RadSpec!BA14*t_v)))/(Y_v*RadSpec!BA14))),".")</f>
        <v>3.6424203206347228</v>
      </c>
      <c r="BO14" s="115">
        <f>IFERROR(IF(d_Bv!Q14=0,".",((Ir*F*I_f*T*(1-EXP(-RadSpec!BA14*t_v)))/(Y_v*RadSpec!BA14))),".")</f>
        <v>3.6424203206347228</v>
      </c>
      <c r="BP14" s="115">
        <f>IFERROR(IF(d_Bv!R14=0,".",((Ir*F*I_f*T*(1-EXP(-RadSpec!BA14*t_v)))/(Y_v*RadSpec!BA14))),".")</f>
        <v>3.6424203206347228</v>
      </c>
      <c r="BQ14" s="115">
        <f>IFERROR(IF(d_Bv!S14=0,".",((Ir*F*I_f*T*(1-EXP(-RadSpec!BA14*t_v)))/(Y_v*RadSpec!BA14))),".")</f>
        <v>3.6424203206347228</v>
      </c>
      <c r="BR14" s="115">
        <f>IFERROR(IF(d_Bv!T14=0,".",((Ir*F*I_f*T*(1-EXP(-RadSpec!BA14*t_v)))/(Y_v*RadSpec!BA14))),".")</f>
        <v>3.6424203206347228</v>
      </c>
      <c r="BS14" s="115">
        <f>IFERROR(IF(d_Bv!U14=0,".",((Ir*F*I_f*T*(1-EXP(-RadSpec!BA14*t_v)))/(Y_v*RadSpec!BA14))),".")</f>
        <v>3.6424203206347228</v>
      </c>
      <c r="BT14" s="115">
        <f>IFERROR(IF(d_Bv!V14=0,".",((Ir*F*I_f*T*(1-EXP(-RadSpec!BA14*t_v)))/(Y_v*RadSpec!BA14))),".")</f>
        <v>3.6424203206347228</v>
      </c>
      <c r="BU14" s="115">
        <f>IFERROR(IF(d_Bv!W14=0,".",((Ir*F*I_f*T*(1-EXP(-RadSpec!BA14*t_v)))/(Y_v*RadSpec!BA14))),".")</f>
        <v>3.6424203206347228</v>
      </c>
      <c r="BV14" s="115">
        <f>IFERROR(IF(d_Bv!X14=0,".",((Ir*F*I_f*T*(1-EXP(-RadSpec!BA14*t_v)))/(Y_v*RadSpec!BA14))),".")</f>
        <v>3.6424203206347228</v>
      </c>
      <c r="BW14" s="115">
        <f>IFERROR(IF(d_Bv!Y14=0,".",((Ir*F*I_f*T*(1-EXP(-RadSpec!BA14*t_v)))/(Y_v*RadSpec!BA14))),".")</f>
        <v>3.6424203206347228</v>
      </c>
      <c r="BX14" s="115">
        <f>IFERROR(IF(d_Bv!Z14=0,".",((Ir*F*I_f*T*(1-EXP(-RadSpec!BA14*t_v)))/(Y_v*RadSpec!BA14))),".")</f>
        <v>3.6424203206347228</v>
      </c>
      <c r="BY14" s="115">
        <f>IFERROR(IF(d_Bv!AA14=0,".",((Ir*F*I_f*T*(1-EXP(-RadSpec!BA14*t_v)))/(Y_v*RadSpec!BA14))),".")</f>
        <v>3.6424203206347228</v>
      </c>
    </row>
    <row r="15" spans="1:77" x14ac:dyDescent="0.25">
      <c r="A15" s="44" t="s">
        <v>25</v>
      </c>
      <c r="B15" s="42" t="s">
        <v>1071</v>
      </c>
      <c r="C15" s="115">
        <f>IFERROR(IF(d_Bv!C15=0,".",((Ir*F*d_Bv!C15*(1-EXP(-RadSpec!AZ15*t_b)))/(P*RadSpec!AZ15))),".")</f>
        <v>0.35746410762351033</v>
      </c>
      <c r="D15" s="115">
        <f>IFERROR(IF(d_Bv!D15=0,".",((Ir*F*d_Bv!D15*(1-EXP(-RadSpec!AZ15*t_b)))/(P*RadSpec!AZ15))),".")</f>
        <v>2.8597128609880826</v>
      </c>
      <c r="E15" s="115">
        <f>IFERROR(IF(d_Bv!E15=0,".",((Ir*F*d_Bv!E15*(1-EXP(-RadSpec!AZ15*t_b)))/(P*RadSpec!AZ15))),".")</f>
        <v>0.53619616143526549</v>
      </c>
      <c r="F15" s="115">
        <f>IFERROR(IF(d_Bv!F15=0,".",((Ir*F*d_Bv!F15*(1-EXP(-RadSpec!AZ15*t_b)))/(P*RadSpec!AZ15))),".")</f>
        <v>0.35746410762351033</v>
      </c>
      <c r="G15" s="115">
        <f>IFERROR(IF(d_Bv!G15=0,".",((Ir*F*d_Bv!G15*(1-EXP(-RadSpec!AZ15*t_b)))/(P*RadSpec!AZ15))),".")</f>
        <v>0.53619616143526549</v>
      </c>
      <c r="H15" s="115">
        <f>IFERROR(IF(d_Bv!H15=0,".",((Ir*F*d_Bv!H15*(1-EXP(-RadSpec!AZ15*t_b)))/(P*RadSpec!AZ15))),".")</f>
        <v>2.8597128609880826</v>
      </c>
      <c r="I15" s="115">
        <f>IFERROR(IF(d_Bv!I15=0,".",((Ir*F*d_Bv!I15*(1-EXP(-RadSpec!AZ15*t_b)))/(P*RadSpec!AZ15))),".")</f>
        <v>0.53619616143526549</v>
      </c>
      <c r="J15" s="115">
        <f>IFERROR(IF(d_Bv!J15=0,".",((Ir*F*d_Bv!J15*(1-EXP(-RadSpec!AZ15*t_b)))/(P*RadSpec!AZ15))),".")</f>
        <v>0.35746410762351033</v>
      </c>
      <c r="K15" s="115">
        <f>IFERROR(IF(d_Bv!K15=0,".",((Ir*F*d_Bv!K15*(1-EXP(-RadSpec!AZ15*t_b)))/(P*RadSpec!AZ15))),".")</f>
        <v>4.2895692914821232E-2</v>
      </c>
      <c r="L15" s="115">
        <f>IFERROR(IF(d_Bv!L15=0,".",((Ir*F*d_Bv!L15*(1-EXP(-RadSpec!AZ15*t_b)))/(P*RadSpec!AZ15))),".")</f>
        <v>0.53619616143526549</v>
      </c>
      <c r="M15" s="115">
        <f>IFERROR(IF(d_Bv!M15=0,".",((Ir*F*d_Bv!M15*(1-EXP(-RadSpec!AZ15*t_b)))/(P*RadSpec!AZ15))),".")</f>
        <v>2.8597128609880826</v>
      </c>
      <c r="N15" s="115">
        <f>IFERROR(IF(d_Bv!N15=0,".",((Ir*F*d_Bv!N15*(1-EXP(-RadSpec!AZ15*t_b)))/(P*RadSpec!AZ15))),".")</f>
        <v>0.18945597704046047</v>
      </c>
      <c r="O15" s="115">
        <f>IFERROR(IF(d_Bv!O15=0,".",((Ir*F*d_Bv!O15*(1-EXP(-RadSpec!AZ15*t_b)))/(P*RadSpec!AZ15))),".")</f>
        <v>0.53619616143526549</v>
      </c>
      <c r="P15" s="115">
        <f>IFERROR(IF(d_Bv!P15=0,".",((Ir*F*d_Bv!P15*(1-EXP(-RadSpec!AZ15*t_b)))/(P*RadSpec!AZ15))),".")</f>
        <v>0.53619616143526549</v>
      </c>
      <c r="Q15" s="115">
        <f>IFERROR(IF(d_Bv!Q15=0,".",((Ir*F*d_Bv!Q15*(1-EXP(-RadSpec!AZ15*t_b)))/(P*RadSpec!AZ15))),".")</f>
        <v>0.35746410762351033</v>
      </c>
      <c r="R15" s="115">
        <f>IFERROR(IF(d_Bv!R15=0,".",((Ir*F*d_Bv!R15*(1-EXP(-RadSpec!AZ15*t_b)))/(P*RadSpec!AZ15))),".")</f>
        <v>0.35746410762351033</v>
      </c>
      <c r="S15" s="115">
        <f>IFERROR(IF(d_Bv!S15=0,".",((Ir*F*d_Bv!S15*(1-EXP(-RadSpec!AZ15*t_b)))/(P*RadSpec!AZ15))),".")</f>
        <v>0.18945597704046047</v>
      </c>
      <c r="T15" s="211">
        <f>IFERROR(IF(d_Bv!T15=0,".",((Ir*F*d_Bv!S15*(1-EXP(-RadSpec!AZ15*t_b)))/(P*RadSpec!AZ15))),".")</f>
        <v>0.18945597704046047</v>
      </c>
      <c r="U15" s="115">
        <f>IFERROR(IF(d_Bv!U15=0,".",((Ir*F*d_Bv!U15*(1-EXP(-RadSpec!AZ15*t_b)))/(P*RadSpec!AZ15))),".")</f>
        <v>5.361961614352654E-2</v>
      </c>
      <c r="V15" s="115">
        <f>IFERROR(IF(d_Bv!V15=0,".",((Ir*F*d_Bv!V15*(1-EXP(-RadSpec!AZ15*t_b)))/(P*RadSpec!AZ15))),".")</f>
        <v>0.53619616143526549</v>
      </c>
      <c r="W15" s="115">
        <f>IFERROR(IF(d_Bv!W15=0,".",((Ir*F*d_Bv!W15*(1-EXP(-RadSpec!AZ15*t_b)))/(P*RadSpec!AZ15))),".")</f>
        <v>0.18945597704046047</v>
      </c>
      <c r="X15" s="115">
        <f>IFERROR(IF(d_Bv!X15=0,".",((Ir*F*d_Bv!X15*(1-EXP(-RadSpec!AZ15*t_b)))/(P*RadSpec!AZ15))),".")</f>
        <v>0.35746410762351033</v>
      </c>
      <c r="Y15" s="115">
        <f>IFERROR(IF(d_Bv!Y15=0,".",((Ir*F*d_Bv!Y15*(1-EXP(-RadSpec!AZ15*t_b)))/(P*RadSpec!AZ15))),".")</f>
        <v>0.53619616143526549</v>
      </c>
      <c r="Z15" s="115">
        <f>IFERROR(IF(d_Bv!Z15=0,".",((Ir*F*d_Bv!Z15*(1-EXP(-RadSpec!AZ15*t_b)))/(P*RadSpec!AZ15))),".")</f>
        <v>1.0366459121081799E-2</v>
      </c>
      <c r="AA15" s="115">
        <f>IFERROR(IF(d_Bv!AA15=0,".",((Ir*F*d_Bv!AA15*(1-EXP(-RadSpec!AZ15*t_b)))/(P*RadSpec!AZ15))),".")</f>
        <v>0.39321051838586135</v>
      </c>
      <c r="AB15" s="115">
        <f>IFERROR(IF(d_Bv!C15=0,".",((Ir*F*MLF_apple*(1-EXP(-RadSpec!AZ15*t_b)))/(P*RadSpec!AZ15))),".")</f>
        <v>5.7194257219761657E-3</v>
      </c>
      <c r="AC15" s="115">
        <f>IFERROR(IF(d_Bv!D15=0,".",((Ir*F*MLF_asparagus*(1-EXP(-RadSpec!AZ15*t_b)))/(P*RadSpec!AZ15))),".")</f>
        <v>2.8239664502257315E-3</v>
      </c>
      <c r="AD15" s="115">
        <f>IFERROR(IF(d_Bv!E15=0,".",((Ir*F*MLF_beet*(1-EXP(-RadSpec!AZ15*t_b)))/(P*RadSpec!AZ15))),".")</f>
        <v>4.9330046852044422E-3</v>
      </c>
      <c r="AE15" s="115">
        <f>IFERROR(IF(d_Bv!F15=0,".",((Ir*F*MLF_berries*(1-EXP(-RadSpec!AZ15*t_b)))/(P*RadSpec!AZ15))),".")</f>
        <v>5.9339041865502712E-3</v>
      </c>
      <c r="AF15" s="115">
        <f>IFERROR(IF(d_Bv!G15=0,".",((Ir*F*MLF_broccoli*(1-EXP(-RadSpec!AZ15*t_b)))/(P*RadSpec!AZ15))),".")</f>
        <v>3.6103874869974538E-2</v>
      </c>
      <c r="AG15" s="115">
        <f>IFERROR(IF(d_Bv!H15=0,".",((Ir*F*MLF_cabbage*(1-EXP(-RadSpec!AZ15*t_b)))/(P*RadSpec!AZ15))),".")</f>
        <v>3.7533731300468582E-3</v>
      </c>
      <c r="AH15" s="115">
        <f>IFERROR(IF(d_Bv!I15=0,".",((Ir*F*MLF_carrot*(1-EXP(-RadSpec!AZ15*t_b)))/(P*RadSpec!AZ15))),".")</f>
        <v>3.4674018439480501E-3</v>
      </c>
      <c r="AI15" s="115">
        <f>IFERROR(IF(d_Bv!J15=0,".",((Ir*F*MLF_citrus*(1-EXP(-RadSpec!AZ15*t_b)))/(P*RadSpec!AZ15))),".")</f>
        <v>5.6121864896891112E-3</v>
      </c>
      <c r="AJ15" s="115">
        <f>IFERROR(IF(d_Bv!K15=0,".",((Ir*F*MLF_corn*(1-EXP(-RadSpec!AZ15*t_b)))/(P*RadSpec!AZ15))),".")</f>
        <v>5.1832295605408994E-3</v>
      </c>
      <c r="AK15" s="115">
        <f>IFERROR(IF(d_Bv!L15=0,".",((Ir*F*MLF_cucumber*(1-EXP(-RadSpec!AZ15*t_b)))/(P*RadSpec!AZ15))),".")</f>
        <v>1.4298564304940414E-3</v>
      </c>
      <c r="AL15" s="115">
        <f>IFERROR(IF(d_Bv!M15=0,".",((Ir*F*MLF_lettuce*(1-EXP(-RadSpec!AZ15*t_b)))/(P*RadSpec!AZ15))),".")</f>
        <v>0.48257654529173893</v>
      </c>
      <c r="AM15" s="115">
        <f>IFERROR(IF(d_Bv!N15=0,".",((Ir*F*MLF_lima_bean*(1-EXP(-RadSpec!AZ15*t_b)))/(P*RadSpec!AZ15))),".")</f>
        <v>0.13690875321980447</v>
      </c>
      <c r="AN15" s="115">
        <f>IFERROR(IF(d_Bv!O15=0,".",((Ir*F*MLF_okra*(1-EXP(-RadSpec!AZ15*t_b)))/(P*RadSpec!AZ15))),".")</f>
        <v>2.8597128609880828E-3</v>
      </c>
      <c r="AO15" s="115">
        <f>IFERROR(IF(d_Bv!P15=0,".",((Ir*F*MLF_onion*(1-EXP(-RadSpec!AZ15*t_b)))/(P*RadSpec!AZ15))),".")</f>
        <v>3.4674018439480501E-3</v>
      </c>
      <c r="AP15" s="115">
        <f>IFERROR(IF(d_Bv!Q15=0,".",((Ir*F*MLF_peach*(1-EXP(-RadSpec!AZ15*t_b)))/(P*RadSpec!AZ15))),".")</f>
        <v>5.361961614352654E-3</v>
      </c>
      <c r="AQ15" s="115">
        <f>IFERROR(IF(d_Bv!R15=0,".",((Ir*F*MLF_pear*(1-EXP(-RadSpec!AZ15*t_b)))/(P*RadSpec!AZ15))),".")</f>
        <v>5.7194257219761657E-3</v>
      </c>
      <c r="AR15" s="115">
        <f>IFERROR(IF(d_Bv!S15=0,".",((Ir*F*MLF_peas*(1-EXP(-RadSpec!AZ15*t_b)))/(P*RadSpec!AZ15))),".")</f>
        <v>6.3628611156984829E-3</v>
      </c>
      <c r="AS15" s="115">
        <f>IFERROR(IF(d_Bv!T15=0,".",((Ir*F*MLF_peppers*(1-EXP(-RadSpec!AZ15*t_b)))/(P*RadSpec!AZ15))),".")</f>
        <v>7.93570318924193E-2</v>
      </c>
      <c r="AT15" s="115">
        <f>IFERROR(IF(d_Bv!U15=0,".",((Ir*F*MLF_potato*(1-EXP(-RadSpec!AZ15*t_b)))/(P*RadSpec!AZ15))),".")</f>
        <v>7.5067462600937164E-3</v>
      </c>
      <c r="AU15" s="115">
        <f>IFERROR(IF(d_Bv!V15=0,".",((Ir*F*MLF_pumpkin*(1-EXP(-RadSpec!AZ15*t_b)))/(P*RadSpec!AZ15))),".")</f>
        <v>2.0732918242163598E-3</v>
      </c>
      <c r="AV15" s="115">
        <f>IFERROR(IF(d_Bv!W15=0,".",((Ir*F*MLF_snap_bean*(1-EXP(-RadSpec!AZ15*t_b)))/(P*RadSpec!AZ15))),".")</f>
        <v>0.17873205381175516</v>
      </c>
      <c r="AW15" s="115">
        <f>IFERROR(IF(d_Bv!X15=0,".",((Ir*F*MLF_strawberry*(1-EXP(-RadSpec!AZ15*t_b)))/(P*RadSpec!AZ15))),".")</f>
        <v>2.8597128609880828E-3</v>
      </c>
      <c r="AX15" s="115">
        <f>IFERROR(IF(d_Bv!Y15=0,".",((Ir*F*MLF_tomato*(1-EXP(-RadSpec!AZ15*t_b)))/(P*RadSpec!AZ15))),".")</f>
        <v>6.327114704936132E-2</v>
      </c>
      <c r="AY15" s="115">
        <f>IFERROR(IF(d_Bv!Z15=0,".",((Ir*F*MLF_rice*(1-EXP(-RadSpec!AZ15*t_b)))/(P*RadSpec!AZ15))),".")</f>
        <v>8.9366026905877582</v>
      </c>
      <c r="AZ15" s="115">
        <f>IFERROR(IF(d_Bv!AA15=0,".",((Ir*F*MLF_cereal*(1-EXP(-RadSpec!AZ15*t_b)))/(P*RadSpec!AZ15))),".")</f>
        <v>8.9366026905877582</v>
      </c>
      <c r="BA15" s="115">
        <f>IFERROR(IF(d_Bv!C15=0,".",((Ir*F*I_f*T*(1-EXP(-RadSpec!BA15*t_v)))/(Y_v*RadSpec!BA15))),".")</f>
        <v>3.6424203206347228</v>
      </c>
      <c r="BB15" s="115">
        <f>IFERROR(IF(d_Bv!D15=0,".",((Ir*F*I_f*T*(1-EXP(-RadSpec!BA15*t_v)))/(Y_v*RadSpec!BA15))),".")</f>
        <v>3.6424203206347228</v>
      </c>
      <c r="BC15" s="115">
        <f>IFERROR(IF(d_Bv!E15=0,".",((Ir*F*I_f*T*(1-EXP(-RadSpec!BA15*t_v)))/(Y_v*RadSpec!BA15))),".")</f>
        <v>3.6424203206347228</v>
      </c>
      <c r="BD15" s="115">
        <f>IFERROR(IF(d_Bv!F15=0,".",((Ir*F*I_f*T*(1-EXP(-RadSpec!BA15*t_v)))/(Y_v*RadSpec!BA15))),".")</f>
        <v>3.6424203206347228</v>
      </c>
      <c r="BE15" s="115">
        <f>IFERROR(IF(d_Bv!G15=0,".",((Ir*F*I_f*T*(1-EXP(-RadSpec!BA15*t_v)))/(Y_v*RadSpec!BA15))),".")</f>
        <v>3.6424203206347228</v>
      </c>
      <c r="BF15" s="115">
        <f>IFERROR(IF(d_Bv!H15=0,".",((Ir*F*I_f*T*(1-EXP(-RadSpec!BA15*t_v)))/(Y_v*RadSpec!BA15))),".")</f>
        <v>3.6424203206347228</v>
      </c>
      <c r="BG15" s="115">
        <f>IFERROR(IF(d_Bv!I15=0,".",((Ir*F*I_f*T*(1-EXP(-RadSpec!BA15*t_v)))/(Y_v*RadSpec!BA15))),".")</f>
        <v>3.6424203206347228</v>
      </c>
      <c r="BH15" s="115">
        <f>IFERROR(IF(d_Bv!J15=0,".",((Ir*F*I_f*T*(1-EXP(-RadSpec!BA15*t_v)))/(Y_v*RadSpec!BA15))),".")</f>
        <v>3.6424203206347228</v>
      </c>
      <c r="BI15" s="115">
        <f>IFERROR(IF(d_Bv!K15=0,".",((Ir*F*I_f*T*(1-EXP(-RadSpec!BA15*t_v)))/(Y_v*RadSpec!BA15))),".")</f>
        <v>3.6424203206347228</v>
      </c>
      <c r="BJ15" s="115">
        <f>IFERROR(IF(d_Bv!L15=0,".",((Ir*F*I_f*T*(1-EXP(-RadSpec!BA15*t_v)))/(Y_v*RadSpec!BA15))),".")</f>
        <v>3.6424203206347228</v>
      </c>
      <c r="BK15" s="115">
        <f>IFERROR(IF(d_Bv!M15=0,".",((Ir*F*I_f*T*(1-EXP(-RadSpec!BA15*t_v)))/(Y_v*RadSpec!BA15))),".")</f>
        <v>3.6424203206347228</v>
      </c>
      <c r="BL15" s="115">
        <f>IFERROR(IF(d_Bv!N15=0,".",((Ir*F*I_f*T*(1-EXP(-RadSpec!BA15*t_v)))/(Y_v*RadSpec!BA15))),".")</f>
        <v>3.6424203206347228</v>
      </c>
      <c r="BM15" s="115">
        <f>IFERROR(IF(d_Bv!O15=0,".",((Ir*F*I_f*T*(1-EXP(-RadSpec!BA15*t_v)))/(Y_v*RadSpec!BA15))),".")</f>
        <v>3.6424203206347228</v>
      </c>
      <c r="BN15" s="115">
        <f>IFERROR(IF(d_Bv!P15=0,".",((Ir*F*I_f*T*(1-EXP(-RadSpec!BA15*t_v)))/(Y_v*RadSpec!BA15))),".")</f>
        <v>3.6424203206347228</v>
      </c>
      <c r="BO15" s="115">
        <f>IFERROR(IF(d_Bv!Q15=0,".",((Ir*F*I_f*T*(1-EXP(-RadSpec!BA15*t_v)))/(Y_v*RadSpec!BA15))),".")</f>
        <v>3.6424203206347228</v>
      </c>
      <c r="BP15" s="115">
        <f>IFERROR(IF(d_Bv!R15=0,".",((Ir*F*I_f*T*(1-EXP(-RadSpec!BA15*t_v)))/(Y_v*RadSpec!BA15))),".")</f>
        <v>3.6424203206347228</v>
      </c>
      <c r="BQ15" s="115">
        <f>IFERROR(IF(d_Bv!S15=0,".",((Ir*F*I_f*T*(1-EXP(-RadSpec!BA15*t_v)))/(Y_v*RadSpec!BA15))),".")</f>
        <v>3.6424203206347228</v>
      </c>
      <c r="BR15" s="115">
        <f>IFERROR(IF(d_Bv!T15=0,".",((Ir*F*I_f*T*(1-EXP(-RadSpec!BA15*t_v)))/(Y_v*RadSpec!BA15))),".")</f>
        <v>3.6424203206347228</v>
      </c>
      <c r="BS15" s="115">
        <f>IFERROR(IF(d_Bv!U15=0,".",((Ir*F*I_f*T*(1-EXP(-RadSpec!BA15*t_v)))/(Y_v*RadSpec!BA15))),".")</f>
        <v>3.6424203206347228</v>
      </c>
      <c r="BT15" s="115">
        <f>IFERROR(IF(d_Bv!V15=0,".",((Ir*F*I_f*T*(1-EXP(-RadSpec!BA15*t_v)))/(Y_v*RadSpec!BA15))),".")</f>
        <v>3.6424203206347228</v>
      </c>
      <c r="BU15" s="115">
        <f>IFERROR(IF(d_Bv!W15=0,".",((Ir*F*I_f*T*(1-EXP(-RadSpec!BA15*t_v)))/(Y_v*RadSpec!BA15))),".")</f>
        <v>3.6424203206347228</v>
      </c>
      <c r="BV15" s="115">
        <f>IFERROR(IF(d_Bv!X15=0,".",((Ir*F*I_f*T*(1-EXP(-RadSpec!BA15*t_v)))/(Y_v*RadSpec!BA15))),".")</f>
        <v>3.6424203206347228</v>
      </c>
      <c r="BW15" s="115">
        <f>IFERROR(IF(d_Bv!Y15=0,".",((Ir*F*I_f*T*(1-EXP(-RadSpec!BA15*t_v)))/(Y_v*RadSpec!BA15))),".")</f>
        <v>3.6424203206347228</v>
      </c>
      <c r="BX15" s="115">
        <f>IFERROR(IF(d_Bv!Z15=0,".",((Ir*F*I_f*T*(1-EXP(-RadSpec!BA15*t_v)))/(Y_v*RadSpec!BA15))),".")</f>
        <v>3.6424203206347228</v>
      </c>
      <c r="BY15" s="115">
        <f>IFERROR(IF(d_Bv!AA15=0,".",((Ir*F*I_f*T*(1-EXP(-RadSpec!BA15*t_v)))/(Y_v*RadSpec!BA15))),".")</f>
        <v>3.6424203206347228</v>
      </c>
    </row>
    <row r="16" spans="1:77" x14ac:dyDescent="0.25">
      <c r="A16" s="44" t="s">
        <v>26</v>
      </c>
      <c r="B16" s="42" t="s">
        <v>1071</v>
      </c>
      <c r="C16" s="115">
        <f>IFERROR(IF(d_Bv!C16=0,".",((Ir*F*d_Bv!C16*(1-EXP(-RadSpec!AZ16*t_b)))/(P*RadSpec!AZ16))),".")</f>
        <v>0.35746410762351033</v>
      </c>
      <c r="D16" s="115">
        <f>IFERROR(IF(d_Bv!D16=0,".",((Ir*F*d_Bv!D16*(1-EXP(-RadSpec!AZ16*t_b)))/(P*RadSpec!AZ16))),".")</f>
        <v>2.8597128609880826</v>
      </c>
      <c r="E16" s="115">
        <f>IFERROR(IF(d_Bv!E16=0,".",((Ir*F*d_Bv!E16*(1-EXP(-RadSpec!AZ16*t_b)))/(P*RadSpec!AZ16))),".")</f>
        <v>0.53619616143526549</v>
      </c>
      <c r="F16" s="115">
        <f>IFERROR(IF(d_Bv!F16=0,".",((Ir*F*d_Bv!F16*(1-EXP(-RadSpec!AZ16*t_b)))/(P*RadSpec!AZ16))),".")</f>
        <v>0.35746410762351033</v>
      </c>
      <c r="G16" s="115">
        <f>IFERROR(IF(d_Bv!G16=0,".",((Ir*F*d_Bv!G16*(1-EXP(-RadSpec!AZ16*t_b)))/(P*RadSpec!AZ16))),".")</f>
        <v>0.53619616143526549</v>
      </c>
      <c r="H16" s="115">
        <f>IFERROR(IF(d_Bv!H16=0,".",((Ir*F*d_Bv!H16*(1-EXP(-RadSpec!AZ16*t_b)))/(P*RadSpec!AZ16))),".")</f>
        <v>2.8597128609880826</v>
      </c>
      <c r="I16" s="115">
        <f>IFERROR(IF(d_Bv!I16=0,".",((Ir*F*d_Bv!I16*(1-EXP(-RadSpec!AZ16*t_b)))/(P*RadSpec!AZ16))),".")</f>
        <v>0.53619616143526549</v>
      </c>
      <c r="J16" s="115">
        <f>IFERROR(IF(d_Bv!J16=0,".",((Ir*F*d_Bv!J16*(1-EXP(-RadSpec!AZ16*t_b)))/(P*RadSpec!AZ16))),".")</f>
        <v>0.35746410762351033</v>
      </c>
      <c r="K16" s="115">
        <f>IFERROR(IF(d_Bv!K16=0,".",((Ir*F*d_Bv!K16*(1-EXP(-RadSpec!AZ16*t_b)))/(P*RadSpec!AZ16))),".")</f>
        <v>4.2895692914821232E-2</v>
      </c>
      <c r="L16" s="115">
        <f>IFERROR(IF(d_Bv!L16=0,".",((Ir*F*d_Bv!L16*(1-EXP(-RadSpec!AZ16*t_b)))/(P*RadSpec!AZ16))),".")</f>
        <v>0.53619616143526549</v>
      </c>
      <c r="M16" s="115">
        <f>IFERROR(IF(d_Bv!M16=0,".",((Ir*F*d_Bv!M16*(1-EXP(-RadSpec!AZ16*t_b)))/(P*RadSpec!AZ16))),".")</f>
        <v>2.8597128609880826</v>
      </c>
      <c r="N16" s="115">
        <f>IFERROR(IF(d_Bv!N16=0,".",((Ir*F*d_Bv!N16*(1-EXP(-RadSpec!AZ16*t_b)))/(P*RadSpec!AZ16))),".")</f>
        <v>0.18945597704046047</v>
      </c>
      <c r="O16" s="115">
        <f>IFERROR(IF(d_Bv!O16=0,".",((Ir*F*d_Bv!O16*(1-EXP(-RadSpec!AZ16*t_b)))/(P*RadSpec!AZ16))),".")</f>
        <v>0.53619616143526549</v>
      </c>
      <c r="P16" s="115">
        <f>IFERROR(IF(d_Bv!P16=0,".",((Ir*F*d_Bv!P16*(1-EXP(-RadSpec!AZ16*t_b)))/(P*RadSpec!AZ16))),".")</f>
        <v>0.53619616143526549</v>
      </c>
      <c r="Q16" s="115">
        <f>IFERROR(IF(d_Bv!Q16=0,".",((Ir*F*d_Bv!Q16*(1-EXP(-RadSpec!AZ16*t_b)))/(P*RadSpec!AZ16))),".")</f>
        <v>0.35746410762351033</v>
      </c>
      <c r="R16" s="115">
        <f>IFERROR(IF(d_Bv!R16=0,".",((Ir*F*d_Bv!R16*(1-EXP(-RadSpec!AZ16*t_b)))/(P*RadSpec!AZ16))),".")</f>
        <v>0.35746410762351033</v>
      </c>
      <c r="S16" s="115">
        <f>IFERROR(IF(d_Bv!S16=0,".",((Ir*F*d_Bv!S16*(1-EXP(-RadSpec!AZ16*t_b)))/(P*RadSpec!AZ16))),".")</f>
        <v>0.18945597704046047</v>
      </c>
      <c r="T16" s="211">
        <f>IFERROR(IF(d_Bv!T16=0,".",((Ir*F*d_Bv!S16*(1-EXP(-RadSpec!AZ16*t_b)))/(P*RadSpec!AZ16))),".")</f>
        <v>0.18945597704046047</v>
      </c>
      <c r="U16" s="115">
        <f>IFERROR(IF(d_Bv!U16=0,".",((Ir*F*d_Bv!U16*(1-EXP(-RadSpec!AZ16*t_b)))/(P*RadSpec!AZ16))),".")</f>
        <v>5.361961614352654E-2</v>
      </c>
      <c r="V16" s="115">
        <f>IFERROR(IF(d_Bv!V16=0,".",((Ir*F*d_Bv!V16*(1-EXP(-RadSpec!AZ16*t_b)))/(P*RadSpec!AZ16))),".")</f>
        <v>0.53619616143526549</v>
      </c>
      <c r="W16" s="115">
        <f>IFERROR(IF(d_Bv!W16=0,".",((Ir*F*d_Bv!W16*(1-EXP(-RadSpec!AZ16*t_b)))/(P*RadSpec!AZ16))),".")</f>
        <v>0.18945597704046047</v>
      </c>
      <c r="X16" s="115">
        <f>IFERROR(IF(d_Bv!X16=0,".",((Ir*F*d_Bv!X16*(1-EXP(-RadSpec!AZ16*t_b)))/(P*RadSpec!AZ16))),".")</f>
        <v>0.35746410762351033</v>
      </c>
      <c r="Y16" s="115">
        <f>IFERROR(IF(d_Bv!Y16=0,".",((Ir*F*d_Bv!Y16*(1-EXP(-RadSpec!AZ16*t_b)))/(P*RadSpec!AZ16))),".")</f>
        <v>0.53619616143526549</v>
      </c>
      <c r="Z16" s="115">
        <f>IFERROR(IF(d_Bv!Z16=0,".",((Ir*F*d_Bv!Z16*(1-EXP(-RadSpec!AZ16*t_b)))/(P*RadSpec!AZ16))),".")</f>
        <v>1.0366459121081799E-2</v>
      </c>
      <c r="AA16" s="115">
        <f>IFERROR(IF(d_Bv!AA16=0,".",((Ir*F*d_Bv!AA16*(1-EXP(-RadSpec!AZ16*t_b)))/(P*RadSpec!AZ16))),".")</f>
        <v>0.39321051838586135</v>
      </c>
      <c r="AB16" s="115">
        <f>IFERROR(IF(d_Bv!C16=0,".",((Ir*F*MLF_apple*(1-EXP(-RadSpec!AZ16*t_b)))/(P*RadSpec!AZ16))),".")</f>
        <v>5.7194257219761657E-3</v>
      </c>
      <c r="AC16" s="115">
        <f>IFERROR(IF(d_Bv!D16=0,".",((Ir*F*MLF_asparagus*(1-EXP(-RadSpec!AZ16*t_b)))/(P*RadSpec!AZ16))),".")</f>
        <v>2.8239664502257315E-3</v>
      </c>
      <c r="AD16" s="115">
        <f>IFERROR(IF(d_Bv!E16=0,".",((Ir*F*MLF_beet*(1-EXP(-RadSpec!AZ16*t_b)))/(P*RadSpec!AZ16))),".")</f>
        <v>4.9330046852044422E-3</v>
      </c>
      <c r="AE16" s="115">
        <f>IFERROR(IF(d_Bv!F16=0,".",((Ir*F*MLF_berries*(1-EXP(-RadSpec!AZ16*t_b)))/(P*RadSpec!AZ16))),".")</f>
        <v>5.9339041865502712E-3</v>
      </c>
      <c r="AF16" s="115">
        <f>IFERROR(IF(d_Bv!G16=0,".",((Ir*F*MLF_broccoli*(1-EXP(-RadSpec!AZ16*t_b)))/(P*RadSpec!AZ16))),".")</f>
        <v>3.6103874869974538E-2</v>
      </c>
      <c r="AG16" s="115">
        <f>IFERROR(IF(d_Bv!H16=0,".",((Ir*F*MLF_cabbage*(1-EXP(-RadSpec!AZ16*t_b)))/(P*RadSpec!AZ16))),".")</f>
        <v>3.7533731300468582E-3</v>
      </c>
      <c r="AH16" s="115">
        <f>IFERROR(IF(d_Bv!I16=0,".",((Ir*F*MLF_carrot*(1-EXP(-RadSpec!AZ16*t_b)))/(P*RadSpec!AZ16))),".")</f>
        <v>3.4674018439480501E-3</v>
      </c>
      <c r="AI16" s="115">
        <f>IFERROR(IF(d_Bv!J16=0,".",((Ir*F*MLF_citrus*(1-EXP(-RadSpec!AZ16*t_b)))/(P*RadSpec!AZ16))),".")</f>
        <v>5.6121864896891112E-3</v>
      </c>
      <c r="AJ16" s="115">
        <f>IFERROR(IF(d_Bv!K16=0,".",((Ir*F*MLF_corn*(1-EXP(-RadSpec!AZ16*t_b)))/(P*RadSpec!AZ16))),".")</f>
        <v>5.1832295605408994E-3</v>
      </c>
      <c r="AK16" s="115">
        <f>IFERROR(IF(d_Bv!L16=0,".",((Ir*F*MLF_cucumber*(1-EXP(-RadSpec!AZ16*t_b)))/(P*RadSpec!AZ16))),".")</f>
        <v>1.4298564304940414E-3</v>
      </c>
      <c r="AL16" s="115">
        <f>IFERROR(IF(d_Bv!M16=0,".",((Ir*F*MLF_lettuce*(1-EXP(-RadSpec!AZ16*t_b)))/(P*RadSpec!AZ16))),".")</f>
        <v>0.48257654529173893</v>
      </c>
      <c r="AM16" s="115">
        <f>IFERROR(IF(d_Bv!N16=0,".",((Ir*F*MLF_lima_bean*(1-EXP(-RadSpec!AZ16*t_b)))/(P*RadSpec!AZ16))),".")</f>
        <v>0.13690875321980447</v>
      </c>
      <c r="AN16" s="115">
        <f>IFERROR(IF(d_Bv!O16=0,".",((Ir*F*MLF_okra*(1-EXP(-RadSpec!AZ16*t_b)))/(P*RadSpec!AZ16))),".")</f>
        <v>2.8597128609880828E-3</v>
      </c>
      <c r="AO16" s="115">
        <f>IFERROR(IF(d_Bv!P16=0,".",((Ir*F*MLF_onion*(1-EXP(-RadSpec!AZ16*t_b)))/(P*RadSpec!AZ16))),".")</f>
        <v>3.4674018439480501E-3</v>
      </c>
      <c r="AP16" s="115">
        <f>IFERROR(IF(d_Bv!Q16=0,".",((Ir*F*MLF_peach*(1-EXP(-RadSpec!AZ16*t_b)))/(P*RadSpec!AZ16))),".")</f>
        <v>5.361961614352654E-3</v>
      </c>
      <c r="AQ16" s="115">
        <f>IFERROR(IF(d_Bv!R16=0,".",((Ir*F*MLF_pear*(1-EXP(-RadSpec!AZ16*t_b)))/(P*RadSpec!AZ16))),".")</f>
        <v>5.7194257219761657E-3</v>
      </c>
      <c r="AR16" s="115">
        <f>IFERROR(IF(d_Bv!S16=0,".",((Ir*F*MLF_peas*(1-EXP(-RadSpec!AZ16*t_b)))/(P*RadSpec!AZ16))),".")</f>
        <v>6.3628611156984829E-3</v>
      </c>
      <c r="AS16" s="115">
        <f>IFERROR(IF(d_Bv!T16=0,".",((Ir*F*MLF_peppers*(1-EXP(-RadSpec!AZ16*t_b)))/(P*RadSpec!AZ16))),".")</f>
        <v>7.93570318924193E-2</v>
      </c>
      <c r="AT16" s="115">
        <f>IFERROR(IF(d_Bv!U16=0,".",((Ir*F*MLF_potato*(1-EXP(-RadSpec!AZ16*t_b)))/(P*RadSpec!AZ16))),".")</f>
        <v>7.5067462600937164E-3</v>
      </c>
      <c r="AU16" s="115">
        <f>IFERROR(IF(d_Bv!V16=0,".",((Ir*F*MLF_pumpkin*(1-EXP(-RadSpec!AZ16*t_b)))/(P*RadSpec!AZ16))),".")</f>
        <v>2.0732918242163598E-3</v>
      </c>
      <c r="AV16" s="115">
        <f>IFERROR(IF(d_Bv!W16=0,".",((Ir*F*MLF_snap_bean*(1-EXP(-RadSpec!AZ16*t_b)))/(P*RadSpec!AZ16))),".")</f>
        <v>0.17873205381175516</v>
      </c>
      <c r="AW16" s="115">
        <f>IFERROR(IF(d_Bv!X16=0,".",((Ir*F*MLF_strawberry*(1-EXP(-RadSpec!AZ16*t_b)))/(P*RadSpec!AZ16))),".")</f>
        <v>2.8597128609880828E-3</v>
      </c>
      <c r="AX16" s="115">
        <f>IFERROR(IF(d_Bv!Y16=0,".",((Ir*F*MLF_tomato*(1-EXP(-RadSpec!AZ16*t_b)))/(P*RadSpec!AZ16))),".")</f>
        <v>6.327114704936132E-2</v>
      </c>
      <c r="AY16" s="115">
        <f>IFERROR(IF(d_Bv!Z16=0,".",((Ir*F*MLF_rice*(1-EXP(-RadSpec!AZ16*t_b)))/(P*RadSpec!AZ16))),".")</f>
        <v>8.9366026905877582</v>
      </c>
      <c r="AZ16" s="115">
        <f>IFERROR(IF(d_Bv!AA16=0,".",((Ir*F*MLF_cereal*(1-EXP(-RadSpec!AZ16*t_b)))/(P*RadSpec!AZ16))),".")</f>
        <v>8.9366026905877582</v>
      </c>
      <c r="BA16" s="115">
        <f>IFERROR(IF(d_Bv!C16=0,".",((Ir*F*I_f*T*(1-EXP(-RadSpec!BA16*t_v)))/(Y_v*RadSpec!BA16))),".")</f>
        <v>3.6424203206347228</v>
      </c>
      <c r="BB16" s="115">
        <f>IFERROR(IF(d_Bv!D16=0,".",((Ir*F*I_f*T*(1-EXP(-RadSpec!BA16*t_v)))/(Y_v*RadSpec!BA16))),".")</f>
        <v>3.6424203206347228</v>
      </c>
      <c r="BC16" s="115">
        <f>IFERROR(IF(d_Bv!E16=0,".",((Ir*F*I_f*T*(1-EXP(-RadSpec!BA16*t_v)))/(Y_v*RadSpec!BA16))),".")</f>
        <v>3.6424203206347228</v>
      </c>
      <c r="BD16" s="115">
        <f>IFERROR(IF(d_Bv!F16=0,".",((Ir*F*I_f*T*(1-EXP(-RadSpec!BA16*t_v)))/(Y_v*RadSpec!BA16))),".")</f>
        <v>3.6424203206347228</v>
      </c>
      <c r="BE16" s="115">
        <f>IFERROR(IF(d_Bv!G16=0,".",((Ir*F*I_f*T*(1-EXP(-RadSpec!BA16*t_v)))/(Y_v*RadSpec!BA16))),".")</f>
        <v>3.6424203206347228</v>
      </c>
      <c r="BF16" s="115">
        <f>IFERROR(IF(d_Bv!H16=0,".",((Ir*F*I_f*T*(1-EXP(-RadSpec!BA16*t_v)))/(Y_v*RadSpec!BA16))),".")</f>
        <v>3.6424203206347228</v>
      </c>
      <c r="BG16" s="115">
        <f>IFERROR(IF(d_Bv!I16=0,".",((Ir*F*I_f*T*(1-EXP(-RadSpec!BA16*t_v)))/(Y_v*RadSpec!BA16))),".")</f>
        <v>3.6424203206347228</v>
      </c>
      <c r="BH16" s="115">
        <f>IFERROR(IF(d_Bv!J16=0,".",((Ir*F*I_f*T*(1-EXP(-RadSpec!BA16*t_v)))/(Y_v*RadSpec!BA16))),".")</f>
        <v>3.6424203206347228</v>
      </c>
      <c r="BI16" s="115">
        <f>IFERROR(IF(d_Bv!K16=0,".",((Ir*F*I_f*T*(1-EXP(-RadSpec!BA16*t_v)))/(Y_v*RadSpec!BA16))),".")</f>
        <v>3.6424203206347228</v>
      </c>
      <c r="BJ16" s="115">
        <f>IFERROR(IF(d_Bv!L16=0,".",((Ir*F*I_f*T*(1-EXP(-RadSpec!BA16*t_v)))/(Y_v*RadSpec!BA16))),".")</f>
        <v>3.6424203206347228</v>
      </c>
      <c r="BK16" s="115">
        <f>IFERROR(IF(d_Bv!M16=0,".",((Ir*F*I_f*T*(1-EXP(-RadSpec!BA16*t_v)))/(Y_v*RadSpec!BA16))),".")</f>
        <v>3.6424203206347228</v>
      </c>
      <c r="BL16" s="115">
        <f>IFERROR(IF(d_Bv!N16=0,".",((Ir*F*I_f*T*(1-EXP(-RadSpec!BA16*t_v)))/(Y_v*RadSpec!BA16))),".")</f>
        <v>3.6424203206347228</v>
      </c>
      <c r="BM16" s="115">
        <f>IFERROR(IF(d_Bv!O16=0,".",((Ir*F*I_f*T*(1-EXP(-RadSpec!BA16*t_v)))/(Y_v*RadSpec!BA16))),".")</f>
        <v>3.6424203206347228</v>
      </c>
      <c r="BN16" s="115">
        <f>IFERROR(IF(d_Bv!P16=0,".",((Ir*F*I_f*T*(1-EXP(-RadSpec!BA16*t_v)))/(Y_v*RadSpec!BA16))),".")</f>
        <v>3.6424203206347228</v>
      </c>
      <c r="BO16" s="115">
        <f>IFERROR(IF(d_Bv!Q16=0,".",((Ir*F*I_f*T*(1-EXP(-RadSpec!BA16*t_v)))/(Y_v*RadSpec!BA16))),".")</f>
        <v>3.6424203206347228</v>
      </c>
      <c r="BP16" s="115">
        <f>IFERROR(IF(d_Bv!R16=0,".",((Ir*F*I_f*T*(1-EXP(-RadSpec!BA16*t_v)))/(Y_v*RadSpec!BA16))),".")</f>
        <v>3.6424203206347228</v>
      </c>
      <c r="BQ16" s="115">
        <f>IFERROR(IF(d_Bv!S16=0,".",((Ir*F*I_f*T*(1-EXP(-RadSpec!BA16*t_v)))/(Y_v*RadSpec!BA16))),".")</f>
        <v>3.6424203206347228</v>
      </c>
      <c r="BR16" s="115">
        <f>IFERROR(IF(d_Bv!T16=0,".",((Ir*F*I_f*T*(1-EXP(-RadSpec!BA16*t_v)))/(Y_v*RadSpec!BA16))),".")</f>
        <v>3.6424203206347228</v>
      </c>
      <c r="BS16" s="115">
        <f>IFERROR(IF(d_Bv!U16=0,".",((Ir*F*I_f*T*(1-EXP(-RadSpec!BA16*t_v)))/(Y_v*RadSpec!BA16))),".")</f>
        <v>3.6424203206347228</v>
      </c>
      <c r="BT16" s="115">
        <f>IFERROR(IF(d_Bv!V16=0,".",((Ir*F*I_f*T*(1-EXP(-RadSpec!BA16*t_v)))/(Y_v*RadSpec!BA16))),".")</f>
        <v>3.6424203206347228</v>
      </c>
      <c r="BU16" s="115">
        <f>IFERROR(IF(d_Bv!W16=0,".",((Ir*F*I_f*T*(1-EXP(-RadSpec!BA16*t_v)))/(Y_v*RadSpec!BA16))),".")</f>
        <v>3.6424203206347228</v>
      </c>
      <c r="BV16" s="115">
        <f>IFERROR(IF(d_Bv!X16=0,".",((Ir*F*I_f*T*(1-EXP(-RadSpec!BA16*t_v)))/(Y_v*RadSpec!BA16))),".")</f>
        <v>3.6424203206347228</v>
      </c>
      <c r="BW16" s="115">
        <f>IFERROR(IF(d_Bv!Y16=0,".",((Ir*F*I_f*T*(1-EXP(-RadSpec!BA16*t_v)))/(Y_v*RadSpec!BA16))),".")</f>
        <v>3.6424203206347228</v>
      </c>
      <c r="BX16" s="115">
        <f>IFERROR(IF(d_Bv!Z16=0,".",((Ir*F*I_f*T*(1-EXP(-RadSpec!BA16*t_v)))/(Y_v*RadSpec!BA16))),".")</f>
        <v>3.6424203206347228</v>
      </c>
      <c r="BY16" s="115">
        <f>IFERROR(IF(d_Bv!AA16=0,".",((Ir*F*I_f*T*(1-EXP(-RadSpec!BA16*t_v)))/(Y_v*RadSpec!BA16))),".")</f>
        <v>3.6424203206347228</v>
      </c>
    </row>
    <row r="17" spans="1:77" x14ac:dyDescent="0.25">
      <c r="A17" s="44" t="s">
        <v>27</v>
      </c>
      <c r="B17" s="42" t="s">
        <v>1071</v>
      </c>
      <c r="C17" s="115">
        <f>IFERROR(IF(d_Bv!C17=0,".",((Ir*F*d_Bv!C17*(1-EXP(-RadSpec!AZ17*t_b)))/(P*RadSpec!AZ17))),".")</f>
        <v>0.35746410762351033</v>
      </c>
      <c r="D17" s="115">
        <f>IFERROR(IF(d_Bv!D17=0,".",((Ir*F*d_Bv!D17*(1-EXP(-RadSpec!AZ17*t_b)))/(P*RadSpec!AZ17))),".")</f>
        <v>2.8597128609880826</v>
      </c>
      <c r="E17" s="115">
        <f>IFERROR(IF(d_Bv!E17=0,".",((Ir*F*d_Bv!E17*(1-EXP(-RadSpec!AZ17*t_b)))/(P*RadSpec!AZ17))),".")</f>
        <v>0.53619616143526549</v>
      </c>
      <c r="F17" s="115">
        <f>IFERROR(IF(d_Bv!F17=0,".",((Ir*F*d_Bv!F17*(1-EXP(-RadSpec!AZ17*t_b)))/(P*RadSpec!AZ17))),".")</f>
        <v>0.35746410762351033</v>
      </c>
      <c r="G17" s="115">
        <f>IFERROR(IF(d_Bv!G17=0,".",((Ir*F*d_Bv!G17*(1-EXP(-RadSpec!AZ17*t_b)))/(P*RadSpec!AZ17))),".")</f>
        <v>0.53619616143526549</v>
      </c>
      <c r="H17" s="115">
        <f>IFERROR(IF(d_Bv!H17=0,".",((Ir*F*d_Bv!H17*(1-EXP(-RadSpec!AZ17*t_b)))/(P*RadSpec!AZ17))),".")</f>
        <v>2.8597128609880826</v>
      </c>
      <c r="I17" s="115">
        <f>IFERROR(IF(d_Bv!I17=0,".",((Ir*F*d_Bv!I17*(1-EXP(-RadSpec!AZ17*t_b)))/(P*RadSpec!AZ17))),".")</f>
        <v>0.53619616143526549</v>
      </c>
      <c r="J17" s="115">
        <f>IFERROR(IF(d_Bv!J17=0,".",((Ir*F*d_Bv!J17*(1-EXP(-RadSpec!AZ17*t_b)))/(P*RadSpec!AZ17))),".")</f>
        <v>0.35746410762351033</v>
      </c>
      <c r="K17" s="115">
        <f>IFERROR(IF(d_Bv!K17=0,".",((Ir*F*d_Bv!K17*(1-EXP(-RadSpec!AZ17*t_b)))/(P*RadSpec!AZ17))),".")</f>
        <v>4.2895692914821232E-2</v>
      </c>
      <c r="L17" s="115">
        <f>IFERROR(IF(d_Bv!L17=0,".",((Ir*F*d_Bv!L17*(1-EXP(-RadSpec!AZ17*t_b)))/(P*RadSpec!AZ17))),".")</f>
        <v>0.53619616143526549</v>
      </c>
      <c r="M17" s="115">
        <f>IFERROR(IF(d_Bv!M17=0,".",((Ir*F*d_Bv!M17*(1-EXP(-RadSpec!AZ17*t_b)))/(P*RadSpec!AZ17))),".")</f>
        <v>2.8597128609880826</v>
      </c>
      <c r="N17" s="115">
        <f>IFERROR(IF(d_Bv!N17=0,".",((Ir*F*d_Bv!N17*(1-EXP(-RadSpec!AZ17*t_b)))/(P*RadSpec!AZ17))),".")</f>
        <v>0.18945597704046047</v>
      </c>
      <c r="O17" s="115">
        <f>IFERROR(IF(d_Bv!O17=0,".",((Ir*F*d_Bv!O17*(1-EXP(-RadSpec!AZ17*t_b)))/(P*RadSpec!AZ17))),".")</f>
        <v>0.53619616143526549</v>
      </c>
      <c r="P17" s="115">
        <f>IFERROR(IF(d_Bv!P17=0,".",((Ir*F*d_Bv!P17*(1-EXP(-RadSpec!AZ17*t_b)))/(P*RadSpec!AZ17))),".")</f>
        <v>0.53619616143526549</v>
      </c>
      <c r="Q17" s="115">
        <f>IFERROR(IF(d_Bv!Q17=0,".",((Ir*F*d_Bv!Q17*(1-EXP(-RadSpec!AZ17*t_b)))/(P*RadSpec!AZ17))),".")</f>
        <v>0.35746410762351033</v>
      </c>
      <c r="R17" s="115">
        <f>IFERROR(IF(d_Bv!R17=0,".",((Ir*F*d_Bv!R17*(1-EXP(-RadSpec!AZ17*t_b)))/(P*RadSpec!AZ17))),".")</f>
        <v>0.35746410762351033</v>
      </c>
      <c r="S17" s="115">
        <f>IFERROR(IF(d_Bv!S17=0,".",((Ir*F*d_Bv!S17*(1-EXP(-RadSpec!AZ17*t_b)))/(P*RadSpec!AZ17))),".")</f>
        <v>0.18945597704046047</v>
      </c>
      <c r="T17" s="211">
        <f>IFERROR(IF(d_Bv!T17=0,".",((Ir*F*d_Bv!S17*(1-EXP(-RadSpec!AZ17*t_b)))/(P*RadSpec!AZ17))),".")</f>
        <v>0.18945597704046047</v>
      </c>
      <c r="U17" s="115">
        <f>IFERROR(IF(d_Bv!U17=0,".",((Ir*F*d_Bv!U17*(1-EXP(-RadSpec!AZ17*t_b)))/(P*RadSpec!AZ17))),".")</f>
        <v>5.361961614352654E-2</v>
      </c>
      <c r="V17" s="115">
        <f>IFERROR(IF(d_Bv!V17=0,".",((Ir*F*d_Bv!V17*(1-EXP(-RadSpec!AZ17*t_b)))/(P*RadSpec!AZ17))),".")</f>
        <v>0.53619616143526549</v>
      </c>
      <c r="W17" s="115">
        <f>IFERROR(IF(d_Bv!W17=0,".",((Ir*F*d_Bv!W17*(1-EXP(-RadSpec!AZ17*t_b)))/(P*RadSpec!AZ17))),".")</f>
        <v>0.18945597704046047</v>
      </c>
      <c r="X17" s="115">
        <f>IFERROR(IF(d_Bv!X17=0,".",((Ir*F*d_Bv!X17*(1-EXP(-RadSpec!AZ17*t_b)))/(P*RadSpec!AZ17))),".")</f>
        <v>0.35746410762351033</v>
      </c>
      <c r="Y17" s="115">
        <f>IFERROR(IF(d_Bv!Y17=0,".",((Ir*F*d_Bv!Y17*(1-EXP(-RadSpec!AZ17*t_b)))/(P*RadSpec!AZ17))),".")</f>
        <v>0.53619616143526549</v>
      </c>
      <c r="Z17" s="115">
        <f>IFERROR(IF(d_Bv!Z17=0,".",((Ir*F*d_Bv!Z17*(1-EXP(-RadSpec!AZ17*t_b)))/(P*RadSpec!AZ17))),".")</f>
        <v>1.0366459121081799E-2</v>
      </c>
      <c r="AA17" s="115">
        <f>IFERROR(IF(d_Bv!AA17=0,".",((Ir*F*d_Bv!AA17*(1-EXP(-RadSpec!AZ17*t_b)))/(P*RadSpec!AZ17))),".")</f>
        <v>0.39321051838586135</v>
      </c>
      <c r="AB17" s="115">
        <f>IFERROR(IF(d_Bv!C17=0,".",((Ir*F*MLF_apple*(1-EXP(-RadSpec!AZ17*t_b)))/(P*RadSpec!AZ17))),".")</f>
        <v>5.7194257219761657E-3</v>
      </c>
      <c r="AC17" s="115">
        <f>IFERROR(IF(d_Bv!D17=0,".",((Ir*F*MLF_asparagus*(1-EXP(-RadSpec!AZ17*t_b)))/(P*RadSpec!AZ17))),".")</f>
        <v>2.8239664502257315E-3</v>
      </c>
      <c r="AD17" s="115">
        <f>IFERROR(IF(d_Bv!E17=0,".",((Ir*F*MLF_beet*(1-EXP(-RadSpec!AZ17*t_b)))/(P*RadSpec!AZ17))),".")</f>
        <v>4.9330046852044422E-3</v>
      </c>
      <c r="AE17" s="115">
        <f>IFERROR(IF(d_Bv!F17=0,".",((Ir*F*MLF_berries*(1-EXP(-RadSpec!AZ17*t_b)))/(P*RadSpec!AZ17))),".")</f>
        <v>5.9339041865502712E-3</v>
      </c>
      <c r="AF17" s="115">
        <f>IFERROR(IF(d_Bv!G17=0,".",((Ir*F*MLF_broccoli*(1-EXP(-RadSpec!AZ17*t_b)))/(P*RadSpec!AZ17))),".")</f>
        <v>3.6103874869974538E-2</v>
      </c>
      <c r="AG17" s="115">
        <f>IFERROR(IF(d_Bv!H17=0,".",((Ir*F*MLF_cabbage*(1-EXP(-RadSpec!AZ17*t_b)))/(P*RadSpec!AZ17))),".")</f>
        <v>3.7533731300468582E-3</v>
      </c>
      <c r="AH17" s="115">
        <f>IFERROR(IF(d_Bv!I17=0,".",((Ir*F*MLF_carrot*(1-EXP(-RadSpec!AZ17*t_b)))/(P*RadSpec!AZ17))),".")</f>
        <v>3.4674018439480501E-3</v>
      </c>
      <c r="AI17" s="115">
        <f>IFERROR(IF(d_Bv!J17=0,".",((Ir*F*MLF_citrus*(1-EXP(-RadSpec!AZ17*t_b)))/(P*RadSpec!AZ17))),".")</f>
        <v>5.6121864896891112E-3</v>
      </c>
      <c r="AJ17" s="115">
        <f>IFERROR(IF(d_Bv!K17=0,".",((Ir*F*MLF_corn*(1-EXP(-RadSpec!AZ17*t_b)))/(P*RadSpec!AZ17))),".")</f>
        <v>5.1832295605408994E-3</v>
      </c>
      <c r="AK17" s="115">
        <f>IFERROR(IF(d_Bv!L17=0,".",((Ir*F*MLF_cucumber*(1-EXP(-RadSpec!AZ17*t_b)))/(P*RadSpec!AZ17))),".")</f>
        <v>1.4298564304940414E-3</v>
      </c>
      <c r="AL17" s="115">
        <f>IFERROR(IF(d_Bv!M17=0,".",((Ir*F*MLF_lettuce*(1-EXP(-RadSpec!AZ17*t_b)))/(P*RadSpec!AZ17))),".")</f>
        <v>0.48257654529173893</v>
      </c>
      <c r="AM17" s="115">
        <f>IFERROR(IF(d_Bv!N17=0,".",((Ir*F*MLF_lima_bean*(1-EXP(-RadSpec!AZ17*t_b)))/(P*RadSpec!AZ17))),".")</f>
        <v>0.13690875321980447</v>
      </c>
      <c r="AN17" s="115">
        <f>IFERROR(IF(d_Bv!O17=0,".",((Ir*F*MLF_okra*(1-EXP(-RadSpec!AZ17*t_b)))/(P*RadSpec!AZ17))),".")</f>
        <v>2.8597128609880828E-3</v>
      </c>
      <c r="AO17" s="115">
        <f>IFERROR(IF(d_Bv!P17=0,".",((Ir*F*MLF_onion*(1-EXP(-RadSpec!AZ17*t_b)))/(P*RadSpec!AZ17))),".")</f>
        <v>3.4674018439480501E-3</v>
      </c>
      <c r="AP17" s="115">
        <f>IFERROR(IF(d_Bv!Q17=0,".",((Ir*F*MLF_peach*(1-EXP(-RadSpec!AZ17*t_b)))/(P*RadSpec!AZ17))),".")</f>
        <v>5.361961614352654E-3</v>
      </c>
      <c r="AQ17" s="115">
        <f>IFERROR(IF(d_Bv!R17=0,".",((Ir*F*MLF_pear*(1-EXP(-RadSpec!AZ17*t_b)))/(P*RadSpec!AZ17))),".")</f>
        <v>5.7194257219761657E-3</v>
      </c>
      <c r="AR17" s="115">
        <f>IFERROR(IF(d_Bv!S17=0,".",((Ir*F*MLF_peas*(1-EXP(-RadSpec!AZ17*t_b)))/(P*RadSpec!AZ17))),".")</f>
        <v>6.3628611156984829E-3</v>
      </c>
      <c r="AS17" s="115">
        <f>IFERROR(IF(d_Bv!T17=0,".",((Ir*F*MLF_peppers*(1-EXP(-RadSpec!AZ17*t_b)))/(P*RadSpec!AZ17))),".")</f>
        <v>7.93570318924193E-2</v>
      </c>
      <c r="AT17" s="115">
        <f>IFERROR(IF(d_Bv!U17=0,".",((Ir*F*MLF_potato*(1-EXP(-RadSpec!AZ17*t_b)))/(P*RadSpec!AZ17))),".")</f>
        <v>7.5067462600937164E-3</v>
      </c>
      <c r="AU17" s="115">
        <f>IFERROR(IF(d_Bv!V17=0,".",((Ir*F*MLF_pumpkin*(1-EXP(-RadSpec!AZ17*t_b)))/(P*RadSpec!AZ17))),".")</f>
        <v>2.0732918242163598E-3</v>
      </c>
      <c r="AV17" s="115">
        <f>IFERROR(IF(d_Bv!W17=0,".",((Ir*F*MLF_snap_bean*(1-EXP(-RadSpec!AZ17*t_b)))/(P*RadSpec!AZ17))),".")</f>
        <v>0.17873205381175516</v>
      </c>
      <c r="AW17" s="115">
        <f>IFERROR(IF(d_Bv!X17=0,".",((Ir*F*MLF_strawberry*(1-EXP(-RadSpec!AZ17*t_b)))/(P*RadSpec!AZ17))),".")</f>
        <v>2.8597128609880828E-3</v>
      </c>
      <c r="AX17" s="115">
        <f>IFERROR(IF(d_Bv!Y17=0,".",((Ir*F*MLF_tomato*(1-EXP(-RadSpec!AZ17*t_b)))/(P*RadSpec!AZ17))),".")</f>
        <v>6.327114704936132E-2</v>
      </c>
      <c r="AY17" s="115">
        <f>IFERROR(IF(d_Bv!Z17=0,".",((Ir*F*MLF_rice*(1-EXP(-RadSpec!AZ17*t_b)))/(P*RadSpec!AZ17))),".")</f>
        <v>8.9366026905877582</v>
      </c>
      <c r="AZ17" s="115">
        <f>IFERROR(IF(d_Bv!AA17=0,".",((Ir*F*MLF_cereal*(1-EXP(-RadSpec!AZ17*t_b)))/(P*RadSpec!AZ17))),".")</f>
        <v>8.9366026905877582</v>
      </c>
      <c r="BA17" s="115">
        <f>IFERROR(IF(d_Bv!C17=0,".",((Ir*F*I_f*T*(1-EXP(-RadSpec!BA17*t_v)))/(Y_v*RadSpec!BA17))),".")</f>
        <v>3.6424203206347228</v>
      </c>
      <c r="BB17" s="115">
        <f>IFERROR(IF(d_Bv!D17=0,".",((Ir*F*I_f*T*(1-EXP(-RadSpec!BA17*t_v)))/(Y_v*RadSpec!BA17))),".")</f>
        <v>3.6424203206347228</v>
      </c>
      <c r="BC17" s="115">
        <f>IFERROR(IF(d_Bv!E17=0,".",((Ir*F*I_f*T*(1-EXP(-RadSpec!BA17*t_v)))/(Y_v*RadSpec!BA17))),".")</f>
        <v>3.6424203206347228</v>
      </c>
      <c r="BD17" s="115">
        <f>IFERROR(IF(d_Bv!F17=0,".",((Ir*F*I_f*T*(1-EXP(-RadSpec!BA17*t_v)))/(Y_v*RadSpec!BA17))),".")</f>
        <v>3.6424203206347228</v>
      </c>
      <c r="BE17" s="115">
        <f>IFERROR(IF(d_Bv!G17=0,".",((Ir*F*I_f*T*(1-EXP(-RadSpec!BA17*t_v)))/(Y_v*RadSpec!BA17))),".")</f>
        <v>3.6424203206347228</v>
      </c>
      <c r="BF17" s="115">
        <f>IFERROR(IF(d_Bv!H17=0,".",((Ir*F*I_f*T*(1-EXP(-RadSpec!BA17*t_v)))/(Y_v*RadSpec!BA17))),".")</f>
        <v>3.6424203206347228</v>
      </c>
      <c r="BG17" s="115">
        <f>IFERROR(IF(d_Bv!I17=0,".",((Ir*F*I_f*T*(1-EXP(-RadSpec!BA17*t_v)))/(Y_v*RadSpec!BA17))),".")</f>
        <v>3.6424203206347228</v>
      </c>
      <c r="BH17" s="115">
        <f>IFERROR(IF(d_Bv!J17=0,".",((Ir*F*I_f*T*(1-EXP(-RadSpec!BA17*t_v)))/(Y_v*RadSpec!BA17))),".")</f>
        <v>3.6424203206347228</v>
      </c>
      <c r="BI17" s="115">
        <f>IFERROR(IF(d_Bv!K17=0,".",((Ir*F*I_f*T*(1-EXP(-RadSpec!BA17*t_v)))/(Y_v*RadSpec!BA17))),".")</f>
        <v>3.6424203206347228</v>
      </c>
      <c r="BJ17" s="115">
        <f>IFERROR(IF(d_Bv!L17=0,".",((Ir*F*I_f*T*(1-EXP(-RadSpec!BA17*t_v)))/(Y_v*RadSpec!BA17))),".")</f>
        <v>3.6424203206347228</v>
      </c>
      <c r="BK17" s="115">
        <f>IFERROR(IF(d_Bv!M17=0,".",((Ir*F*I_f*T*(1-EXP(-RadSpec!BA17*t_v)))/(Y_v*RadSpec!BA17))),".")</f>
        <v>3.6424203206347228</v>
      </c>
      <c r="BL17" s="115">
        <f>IFERROR(IF(d_Bv!N17=0,".",((Ir*F*I_f*T*(1-EXP(-RadSpec!BA17*t_v)))/(Y_v*RadSpec!BA17))),".")</f>
        <v>3.6424203206347228</v>
      </c>
      <c r="BM17" s="115">
        <f>IFERROR(IF(d_Bv!O17=0,".",((Ir*F*I_f*T*(1-EXP(-RadSpec!BA17*t_v)))/(Y_v*RadSpec!BA17))),".")</f>
        <v>3.6424203206347228</v>
      </c>
      <c r="BN17" s="115">
        <f>IFERROR(IF(d_Bv!P17=0,".",((Ir*F*I_f*T*(1-EXP(-RadSpec!BA17*t_v)))/(Y_v*RadSpec!BA17))),".")</f>
        <v>3.6424203206347228</v>
      </c>
      <c r="BO17" s="115">
        <f>IFERROR(IF(d_Bv!Q17=0,".",((Ir*F*I_f*T*(1-EXP(-RadSpec!BA17*t_v)))/(Y_v*RadSpec!BA17))),".")</f>
        <v>3.6424203206347228</v>
      </c>
      <c r="BP17" s="115">
        <f>IFERROR(IF(d_Bv!R17=0,".",((Ir*F*I_f*T*(1-EXP(-RadSpec!BA17*t_v)))/(Y_v*RadSpec!BA17))),".")</f>
        <v>3.6424203206347228</v>
      </c>
      <c r="BQ17" s="115">
        <f>IFERROR(IF(d_Bv!S17=0,".",((Ir*F*I_f*T*(1-EXP(-RadSpec!BA17*t_v)))/(Y_v*RadSpec!BA17))),".")</f>
        <v>3.6424203206347228</v>
      </c>
      <c r="BR17" s="115">
        <f>IFERROR(IF(d_Bv!T17=0,".",((Ir*F*I_f*T*(1-EXP(-RadSpec!BA17*t_v)))/(Y_v*RadSpec!BA17))),".")</f>
        <v>3.6424203206347228</v>
      </c>
      <c r="BS17" s="115">
        <f>IFERROR(IF(d_Bv!U17=0,".",((Ir*F*I_f*T*(1-EXP(-RadSpec!BA17*t_v)))/(Y_v*RadSpec!BA17))),".")</f>
        <v>3.6424203206347228</v>
      </c>
      <c r="BT17" s="115">
        <f>IFERROR(IF(d_Bv!V17=0,".",((Ir*F*I_f*T*(1-EXP(-RadSpec!BA17*t_v)))/(Y_v*RadSpec!BA17))),".")</f>
        <v>3.6424203206347228</v>
      </c>
      <c r="BU17" s="115">
        <f>IFERROR(IF(d_Bv!W17=0,".",((Ir*F*I_f*T*(1-EXP(-RadSpec!BA17*t_v)))/(Y_v*RadSpec!BA17))),".")</f>
        <v>3.6424203206347228</v>
      </c>
      <c r="BV17" s="115">
        <f>IFERROR(IF(d_Bv!X17=0,".",((Ir*F*I_f*T*(1-EXP(-RadSpec!BA17*t_v)))/(Y_v*RadSpec!BA17))),".")</f>
        <v>3.6424203206347228</v>
      </c>
      <c r="BW17" s="115">
        <f>IFERROR(IF(d_Bv!Y17=0,".",((Ir*F*I_f*T*(1-EXP(-RadSpec!BA17*t_v)))/(Y_v*RadSpec!BA17))),".")</f>
        <v>3.6424203206347228</v>
      </c>
      <c r="BX17" s="115">
        <f>IFERROR(IF(d_Bv!Z17=0,".",((Ir*F*I_f*T*(1-EXP(-RadSpec!BA17*t_v)))/(Y_v*RadSpec!BA17))),".")</f>
        <v>3.6424203206347228</v>
      </c>
      <c r="BY17" s="115">
        <f>IFERROR(IF(d_Bv!AA17=0,".",((Ir*F*I_f*T*(1-EXP(-RadSpec!BA17*t_v)))/(Y_v*RadSpec!BA17))),".")</f>
        <v>3.6424203206347228</v>
      </c>
    </row>
    <row r="18" spans="1:77" x14ac:dyDescent="0.25">
      <c r="A18" s="44" t="s">
        <v>28</v>
      </c>
      <c r="B18" s="42" t="s">
        <v>1071</v>
      </c>
      <c r="C18" s="115">
        <f>IFERROR(IF(d_Bv!C18=0,".",((Ir*F*d_Bv!C18*(1-EXP(-RadSpec!AZ18*t_b)))/(P*RadSpec!AZ18))),".")</f>
        <v>7.1492821524702065E-3</v>
      </c>
      <c r="D18" s="115">
        <f>IFERROR(IF(d_Bv!D18=0,".",((Ir*F*d_Bv!D18*(1-EXP(-RadSpec!AZ18*t_b)))/(P*RadSpec!AZ18))),".")</f>
        <v>0.26452343964139763</v>
      </c>
      <c r="E18" s="115">
        <f>IFERROR(IF(d_Bv!E18=0,".",((Ir*F*d_Bv!E18*(1-EXP(-RadSpec!AZ18*t_b)))/(P*RadSpec!AZ18))),".")</f>
        <v>0.20732918242163598</v>
      </c>
      <c r="F18" s="115">
        <f>IFERROR(IF(d_Bv!F18=0,".",((Ir*F*d_Bv!F18*(1-EXP(-RadSpec!AZ18*t_b)))/(P*RadSpec!AZ18))),".")</f>
        <v>7.1492821524702065E-3</v>
      </c>
      <c r="G18" s="115">
        <f>IFERROR(IF(d_Bv!G18=0,".",((Ir*F*d_Bv!G18*(1-EXP(-RadSpec!AZ18*t_b)))/(P*RadSpec!AZ18))),".")</f>
        <v>7.1492821524702065E-3</v>
      </c>
      <c r="H18" s="115">
        <f>IFERROR(IF(d_Bv!H18=0,".",((Ir*F*d_Bv!H18*(1-EXP(-RadSpec!AZ18*t_b)))/(P*RadSpec!AZ18))),".")</f>
        <v>0.26452343964139763</v>
      </c>
      <c r="I18" s="115">
        <f>IFERROR(IF(d_Bv!I18=0,".",((Ir*F*d_Bv!I18*(1-EXP(-RadSpec!AZ18*t_b)))/(P*RadSpec!AZ18))),".")</f>
        <v>0.20732918242163598</v>
      </c>
      <c r="J18" s="115">
        <f>IFERROR(IF(d_Bv!J18=0,".",((Ir*F*d_Bv!J18*(1-EXP(-RadSpec!AZ18*t_b)))/(P*RadSpec!AZ18))),".")</f>
        <v>7.1492821524702065E-3</v>
      </c>
      <c r="K18" s="115">
        <f>IFERROR(IF(d_Bv!K18=0,".",((Ir*F*d_Bv!K18*(1-EXP(-RadSpec!AZ18*t_b)))/(P*RadSpec!AZ18))),".")</f>
        <v>8.5791385829642481E-3</v>
      </c>
      <c r="L18" s="115">
        <f>IFERROR(IF(d_Bv!L18=0,".",((Ir*F*d_Bv!L18*(1-EXP(-RadSpec!AZ18*t_b)))/(P*RadSpec!AZ18))),".")</f>
        <v>7.1492821524702065E-3</v>
      </c>
      <c r="M18" s="115">
        <f>IFERROR(IF(d_Bv!M18=0,".",((Ir*F*d_Bv!M18*(1-EXP(-RadSpec!AZ18*t_b)))/(P*RadSpec!AZ18))),".")</f>
        <v>0.26452343964139763</v>
      </c>
      <c r="N18" s="115">
        <f>IFERROR(IF(d_Bv!N18=0,".",((Ir*F*d_Bv!N18*(1-EXP(-RadSpec!AZ18*t_b)))/(P*RadSpec!AZ18))),".")</f>
        <v>9.6515309058347772E-3</v>
      </c>
      <c r="O18" s="115">
        <f>IFERROR(IF(d_Bv!O18=0,".",((Ir*F*d_Bv!O18*(1-EXP(-RadSpec!AZ18*t_b)))/(P*RadSpec!AZ18))),".")</f>
        <v>7.1492821524702065E-3</v>
      </c>
      <c r="P18" s="115">
        <f>IFERROR(IF(d_Bv!P18=0,".",((Ir*F*d_Bv!P18*(1-EXP(-RadSpec!AZ18*t_b)))/(P*RadSpec!AZ18))),".")</f>
        <v>0.20732918242163598</v>
      </c>
      <c r="Q18" s="115">
        <f>IFERROR(IF(d_Bv!Q18=0,".",((Ir*F*d_Bv!Q18*(1-EXP(-RadSpec!AZ18*t_b)))/(P*RadSpec!AZ18))),".")</f>
        <v>7.1492821524702065E-3</v>
      </c>
      <c r="R18" s="115">
        <f>IFERROR(IF(d_Bv!R18=0,".",((Ir*F*d_Bv!R18*(1-EXP(-RadSpec!AZ18*t_b)))/(P*RadSpec!AZ18))),".")</f>
        <v>7.1492821524702065E-3</v>
      </c>
      <c r="S18" s="115">
        <f>IFERROR(IF(d_Bv!S18=0,".",((Ir*F*d_Bv!S18*(1-EXP(-RadSpec!AZ18*t_b)))/(P*RadSpec!AZ18))),".")</f>
        <v>9.6515309058347772E-3</v>
      </c>
      <c r="T18" s="211">
        <f>IFERROR(IF(d_Bv!T18=0,".",((Ir*F*d_Bv!S18*(1-EXP(-RadSpec!AZ18*t_b)))/(P*RadSpec!AZ18))),".")</f>
        <v>9.6515309058347772E-3</v>
      </c>
      <c r="U18" s="115">
        <f>IFERROR(IF(d_Bv!U18=0,".",((Ir*F*d_Bv!U18*(1-EXP(-RadSpec!AZ18*t_b)))/(P*RadSpec!AZ18))),".")</f>
        <v>9.6515309058347792E-2</v>
      </c>
      <c r="V18" s="115">
        <f>IFERROR(IF(d_Bv!V18=0,".",((Ir*F*d_Bv!V18*(1-EXP(-RadSpec!AZ18*t_b)))/(P*RadSpec!AZ18))),".")</f>
        <v>7.1492821524702065E-3</v>
      </c>
      <c r="W18" s="115">
        <f>IFERROR(IF(d_Bv!W18=0,".",((Ir*F*d_Bv!W18*(1-EXP(-RadSpec!AZ18*t_b)))/(P*RadSpec!AZ18))),".")</f>
        <v>9.6515309058347772E-3</v>
      </c>
      <c r="X18" s="115">
        <f>IFERROR(IF(d_Bv!X18=0,".",((Ir*F*d_Bv!X18*(1-EXP(-RadSpec!AZ18*t_b)))/(P*RadSpec!AZ18))),".")</f>
        <v>7.1492821524702065E-3</v>
      </c>
      <c r="Y18" s="115">
        <f>IFERROR(IF(d_Bv!Y18=0,".",((Ir*F*d_Bv!Y18*(1-EXP(-RadSpec!AZ18*t_b)))/(P*RadSpec!AZ18))),".")</f>
        <v>7.1492821524702065E-3</v>
      </c>
      <c r="Z18" s="115">
        <f>IFERROR(IF(d_Bv!Z18=0,".",((Ir*F*d_Bv!Z18*(1-EXP(-RadSpec!AZ18*t_b)))/(P*RadSpec!AZ18))),".")</f>
        <v>0.4647033399105634</v>
      </c>
      <c r="AA18" s="115">
        <f>IFERROR(IF(d_Bv!AA18=0,".",((Ir*F*d_Bv!AA18*(1-EXP(-RadSpec!AZ18*t_b)))/(P*RadSpec!AZ18))),".")</f>
        <v>8.5791385829642481E-3</v>
      </c>
      <c r="AB18" s="115">
        <f>IFERROR(IF(d_Bv!C18=0,".",((Ir*F*MLF_apple*(1-EXP(-RadSpec!AZ18*t_b)))/(P*RadSpec!AZ18))),".")</f>
        <v>5.7194257219761657E-3</v>
      </c>
      <c r="AC18" s="115">
        <f>IFERROR(IF(d_Bv!D18=0,".",((Ir*F*MLF_asparagus*(1-EXP(-RadSpec!AZ18*t_b)))/(P*RadSpec!AZ18))),".")</f>
        <v>2.8239664502257315E-3</v>
      </c>
      <c r="AD18" s="115">
        <f>IFERROR(IF(d_Bv!E18=0,".",((Ir*F*MLF_beet*(1-EXP(-RadSpec!AZ18*t_b)))/(P*RadSpec!AZ18))),".")</f>
        <v>4.9330046852044422E-3</v>
      </c>
      <c r="AE18" s="115">
        <f>IFERROR(IF(d_Bv!F18=0,".",((Ir*F*MLF_berries*(1-EXP(-RadSpec!AZ18*t_b)))/(P*RadSpec!AZ18))),".")</f>
        <v>5.9339041865502712E-3</v>
      </c>
      <c r="AF18" s="115">
        <f>IFERROR(IF(d_Bv!G18=0,".",((Ir*F*MLF_broccoli*(1-EXP(-RadSpec!AZ18*t_b)))/(P*RadSpec!AZ18))),".")</f>
        <v>3.6103874869974538E-2</v>
      </c>
      <c r="AG18" s="115">
        <f>IFERROR(IF(d_Bv!H18=0,".",((Ir*F*MLF_cabbage*(1-EXP(-RadSpec!AZ18*t_b)))/(P*RadSpec!AZ18))),".")</f>
        <v>3.7533731300468582E-3</v>
      </c>
      <c r="AH18" s="115">
        <f>IFERROR(IF(d_Bv!I18=0,".",((Ir*F*MLF_carrot*(1-EXP(-RadSpec!AZ18*t_b)))/(P*RadSpec!AZ18))),".")</f>
        <v>3.4674018439480501E-3</v>
      </c>
      <c r="AI18" s="115">
        <f>IFERROR(IF(d_Bv!J18=0,".",((Ir*F*MLF_citrus*(1-EXP(-RadSpec!AZ18*t_b)))/(P*RadSpec!AZ18))),".")</f>
        <v>5.6121864896891112E-3</v>
      </c>
      <c r="AJ18" s="115">
        <f>IFERROR(IF(d_Bv!K18=0,".",((Ir*F*MLF_corn*(1-EXP(-RadSpec!AZ18*t_b)))/(P*RadSpec!AZ18))),".")</f>
        <v>5.1832295605408994E-3</v>
      </c>
      <c r="AK18" s="115">
        <f>IFERROR(IF(d_Bv!L18=0,".",((Ir*F*MLF_cucumber*(1-EXP(-RadSpec!AZ18*t_b)))/(P*RadSpec!AZ18))),".")</f>
        <v>1.4298564304940414E-3</v>
      </c>
      <c r="AL18" s="115">
        <f>IFERROR(IF(d_Bv!M18=0,".",((Ir*F*MLF_lettuce*(1-EXP(-RadSpec!AZ18*t_b)))/(P*RadSpec!AZ18))),".")</f>
        <v>0.48257654529173893</v>
      </c>
      <c r="AM18" s="115">
        <f>IFERROR(IF(d_Bv!N18=0,".",((Ir*F*MLF_lima_bean*(1-EXP(-RadSpec!AZ18*t_b)))/(P*RadSpec!AZ18))),".")</f>
        <v>0.13690875321980447</v>
      </c>
      <c r="AN18" s="115">
        <f>IFERROR(IF(d_Bv!O18=0,".",((Ir*F*MLF_okra*(1-EXP(-RadSpec!AZ18*t_b)))/(P*RadSpec!AZ18))),".")</f>
        <v>2.8597128609880828E-3</v>
      </c>
      <c r="AO18" s="115">
        <f>IFERROR(IF(d_Bv!P18=0,".",((Ir*F*MLF_onion*(1-EXP(-RadSpec!AZ18*t_b)))/(P*RadSpec!AZ18))),".")</f>
        <v>3.4674018439480501E-3</v>
      </c>
      <c r="AP18" s="115">
        <f>IFERROR(IF(d_Bv!Q18=0,".",((Ir*F*MLF_peach*(1-EXP(-RadSpec!AZ18*t_b)))/(P*RadSpec!AZ18))),".")</f>
        <v>5.361961614352654E-3</v>
      </c>
      <c r="AQ18" s="115">
        <f>IFERROR(IF(d_Bv!R18=0,".",((Ir*F*MLF_pear*(1-EXP(-RadSpec!AZ18*t_b)))/(P*RadSpec!AZ18))),".")</f>
        <v>5.7194257219761657E-3</v>
      </c>
      <c r="AR18" s="115">
        <f>IFERROR(IF(d_Bv!S18=0,".",((Ir*F*MLF_peas*(1-EXP(-RadSpec!AZ18*t_b)))/(P*RadSpec!AZ18))),".")</f>
        <v>6.3628611156984829E-3</v>
      </c>
      <c r="AS18" s="115">
        <f>IFERROR(IF(d_Bv!T18=0,".",((Ir*F*MLF_peppers*(1-EXP(-RadSpec!AZ18*t_b)))/(P*RadSpec!AZ18))),".")</f>
        <v>7.93570318924193E-2</v>
      </c>
      <c r="AT18" s="115">
        <f>IFERROR(IF(d_Bv!U18=0,".",((Ir*F*MLF_potato*(1-EXP(-RadSpec!AZ18*t_b)))/(P*RadSpec!AZ18))),".")</f>
        <v>7.5067462600937164E-3</v>
      </c>
      <c r="AU18" s="115">
        <f>IFERROR(IF(d_Bv!V18=0,".",((Ir*F*MLF_pumpkin*(1-EXP(-RadSpec!AZ18*t_b)))/(P*RadSpec!AZ18))),".")</f>
        <v>2.0732918242163598E-3</v>
      </c>
      <c r="AV18" s="115">
        <f>IFERROR(IF(d_Bv!W18=0,".",((Ir*F*MLF_snap_bean*(1-EXP(-RadSpec!AZ18*t_b)))/(P*RadSpec!AZ18))),".")</f>
        <v>0.17873205381175516</v>
      </c>
      <c r="AW18" s="115">
        <f>IFERROR(IF(d_Bv!X18=0,".",((Ir*F*MLF_strawberry*(1-EXP(-RadSpec!AZ18*t_b)))/(P*RadSpec!AZ18))),".")</f>
        <v>2.8597128609880828E-3</v>
      </c>
      <c r="AX18" s="115">
        <f>IFERROR(IF(d_Bv!Y18=0,".",((Ir*F*MLF_tomato*(1-EXP(-RadSpec!AZ18*t_b)))/(P*RadSpec!AZ18))),".")</f>
        <v>6.327114704936132E-2</v>
      </c>
      <c r="AY18" s="115">
        <f>IFERROR(IF(d_Bv!Z18=0,".",((Ir*F*MLF_rice*(1-EXP(-RadSpec!AZ18*t_b)))/(P*RadSpec!AZ18))),".")</f>
        <v>8.9366026905877582</v>
      </c>
      <c r="AZ18" s="115">
        <f>IFERROR(IF(d_Bv!AA18=0,".",((Ir*F*MLF_cereal*(1-EXP(-RadSpec!AZ18*t_b)))/(P*RadSpec!AZ18))),".")</f>
        <v>8.9366026905877582</v>
      </c>
      <c r="BA18" s="115">
        <f>IFERROR(IF(d_Bv!C18=0,".",((Ir*F*I_f*T*(1-EXP(-RadSpec!BA18*t_v)))/(Y_v*RadSpec!BA18))),".")</f>
        <v>3.6424203206347228</v>
      </c>
      <c r="BB18" s="115">
        <f>IFERROR(IF(d_Bv!D18=0,".",((Ir*F*I_f*T*(1-EXP(-RadSpec!BA18*t_v)))/(Y_v*RadSpec!BA18))),".")</f>
        <v>3.6424203206347228</v>
      </c>
      <c r="BC18" s="115">
        <f>IFERROR(IF(d_Bv!E18=0,".",((Ir*F*I_f*T*(1-EXP(-RadSpec!BA18*t_v)))/(Y_v*RadSpec!BA18))),".")</f>
        <v>3.6424203206347228</v>
      </c>
      <c r="BD18" s="115">
        <f>IFERROR(IF(d_Bv!F18=0,".",((Ir*F*I_f*T*(1-EXP(-RadSpec!BA18*t_v)))/(Y_v*RadSpec!BA18))),".")</f>
        <v>3.6424203206347228</v>
      </c>
      <c r="BE18" s="115">
        <f>IFERROR(IF(d_Bv!G18=0,".",((Ir*F*I_f*T*(1-EXP(-RadSpec!BA18*t_v)))/(Y_v*RadSpec!BA18))),".")</f>
        <v>3.6424203206347228</v>
      </c>
      <c r="BF18" s="115">
        <f>IFERROR(IF(d_Bv!H18=0,".",((Ir*F*I_f*T*(1-EXP(-RadSpec!BA18*t_v)))/(Y_v*RadSpec!BA18))),".")</f>
        <v>3.6424203206347228</v>
      </c>
      <c r="BG18" s="115">
        <f>IFERROR(IF(d_Bv!I18=0,".",((Ir*F*I_f*T*(1-EXP(-RadSpec!BA18*t_v)))/(Y_v*RadSpec!BA18))),".")</f>
        <v>3.6424203206347228</v>
      </c>
      <c r="BH18" s="115">
        <f>IFERROR(IF(d_Bv!J18=0,".",((Ir*F*I_f*T*(1-EXP(-RadSpec!BA18*t_v)))/(Y_v*RadSpec!BA18))),".")</f>
        <v>3.6424203206347228</v>
      </c>
      <c r="BI18" s="115">
        <f>IFERROR(IF(d_Bv!K18=0,".",((Ir*F*I_f*T*(1-EXP(-RadSpec!BA18*t_v)))/(Y_v*RadSpec!BA18))),".")</f>
        <v>3.6424203206347228</v>
      </c>
      <c r="BJ18" s="115">
        <f>IFERROR(IF(d_Bv!L18=0,".",((Ir*F*I_f*T*(1-EXP(-RadSpec!BA18*t_v)))/(Y_v*RadSpec!BA18))),".")</f>
        <v>3.6424203206347228</v>
      </c>
      <c r="BK18" s="115">
        <f>IFERROR(IF(d_Bv!M18=0,".",((Ir*F*I_f*T*(1-EXP(-RadSpec!BA18*t_v)))/(Y_v*RadSpec!BA18))),".")</f>
        <v>3.6424203206347228</v>
      </c>
      <c r="BL18" s="115">
        <f>IFERROR(IF(d_Bv!N18=0,".",((Ir*F*I_f*T*(1-EXP(-RadSpec!BA18*t_v)))/(Y_v*RadSpec!BA18))),".")</f>
        <v>3.6424203206347228</v>
      </c>
      <c r="BM18" s="115">
        <f>IFERROR(IF(d_Bv!O18=0,".",((Ir*F*I_f*T*(1-EXP(-RadSpec!BA18*t_v)))/(Y_v*RadSpec!BA18))),".")</f>
        <v>3.6424203206347228</v>
      </c>
      <c r="BN18" s="115">
        <f>IFERROR(IF(d_Bv!P18=0,".",((Ir*F*I_f*T*(1-EXP(-RadSpec!BA18*t_v)))/(Y_v*RadSpec!BA18))),".")</f>
        <v>3.6424203206347228</v>
      </c>
      <c r="BO18" s="115">
        <f>IFERROR(IF(d_Bv!Q18=0,".",((Ir*F*I_f*T*(1-EXP(-RadSpec!BA18*t_v)))/(Y_v*RadSpec!BA18))),".")</f>
        <v>3.6424203206347228</v>
      </c>
      <c r="BP18" s="115">
        <f>IFERROR(IF(d_Bv!R18=0,".",((Ir*F*I_f*T*(1-EXP(-RadSpec!BA18*t_v)))/(Y_v*RadSpec!BA18))),".")</f>
        <v>3.6424203206347228</v>
      </c>
      <c r="BQ18" s="115">
        <f>IFERROR(IF(d_Bv!S18=0,".",((Ir*F*I_f*T*(1-EXP(-RadSpec!BA18*t_v)))/(Y_v*RadSpec!BA18))),".")</f>
        <v>3.6424203206347228</v>
      </c>
      <c r="BR18" s="115">
        <f>IFERROR(IF(d_Bv!T18=0,".",((Ir*F*I_f*T*(1-EXP(-RadSpec!BA18*t_v)))/(Y_v*RadSpec!BA18))),".")</f>
        <v>3.6424203206347228</v>
      </c>
      <c r="BS18" s="115">
        <f>IFERROR(IF(d_Bv!U18=0,".",((Ir*F*I_f*T*(1-EXP(-RadSpec!BA18*t_v)))/(Y_v*RadSpec!BA18))),".")</f>
        <v>3.6424203206347228</v>
      </c>
      <c r="BT18" s="115">
        <f>IFERROR(IF(d_Bv!V18=0,".",((Ir*F*I_f*T*(1-EXP(-RadSpec!BA18*t_v)))/(Y_v*RadSpec!BA18))),".")</f>
        <v>3.6424203206347228</v>
      </c>
      <c r="BU18" s="115">
        <f>IFERROR(IF(d_Bv!W18=0,".",((Ir*F*I_f*T*(1-EXP(-RadSpec!BA18*t_v)))/(Y_v*RadSpec!BA18))),".")</f>
        <v>3.6424203206347228</v>
      </c>
      <c r="BV18" s="115">
        <f>IFERROR(IF(d_Bv!X18=0,".",((Ir*F*I_f*T*(1-EXP(-RadSpec!BA18*t_v)))/(Y_v*RadSpec!BA18))),".")</f>
        <v>3.6424203206347228</v>
      </c>
      <c r="BW18" s="115">
        <f>IFERROR(IF(d_Bv!Y18=0,".",((Ir*F*I_f*T*(1-EXP(-RadSpec!BA18*t_v)))/(Y_v*RadSpec!BA18))),".")</f>
        <v>3.6424203206347228</v>
      </c>
      <c r="BX18" s="115">
        <f>IFERROR(IF(d_Bv!Z18=0,".",((Ir*F*I_f*T*(1-EXP(-RadSpec!BA18*t_v)))/(Y_v*RadSpec!BA18))),".")</f>
        <v>3.6424203206347228</v>
      </c>
      <c r="BY18" s="115">
        <f>IFERROR(IF(d_Bv!AA18=0,".",((Ir*F*I_f*T*(1-EXP(-RadSpec!BA18*t_v)))/(Y_v*RadSpec!BA18))),".")</f>
        <v>3.6424203206347228</v>
      </c>
    </row>
    <row r="19" spans="1:77" x14ac:dyDescent="0.25">
      <c r="A19" s="44" t="s">
        <v>29</v>
      </c>
      <c r="B19" s="42" t="s">
        <v>1071</v>
      </c>
      <c r="C19" s="115">
        <f>IFERROR(IF(d_Bv!C19=0,".",((Ir*F*d_Bv!C19*(1-EXP(-RadSpec!AZ19*t_b)))/(P*RadSpec!AZ19))),".")</f>
        <v>7.1492821524702065E-3</v>
      </c>
      <c r="D19" s="115">
        <f>IFERROR(IF(d_Bv!D19=0,".",((Ir*F*d_Bv!D19*(1-EXP(-RadSpec!AZ19*t_b)))/(P*RadSpec!AZ19))),".")</f>
        <v>0.26452343964139763</v>
      </c>
      <c r="E19" s="115">
        <f>IFERROR(IF(d_Bv!E19=0,".",((Ir*F*d_Bv!E19*(1-EXP(-RadSpec!AZ19*t_b)))/(P*RadSpec!AZ19))),".")</f>
        <v>0.20732918242163598</v>
      </c>
      <c r="F19" s="115">
        <f>IFERROR(IF(d_Bv!F19=0,".",((Ir*F*d_Bv!F19*(1-EXP(-RadSpec!AZ19*t_b)))/(P*RadSpec!AZ19))),".")</f>
        <v>7.1492821524702065E-3</v>
      </c>
      <c r="G19" s="115">
        <f>IFERROR(IF(d_Bv!G19=0,".",((Ir*F*d_Bv!G19*(1-EXP(-RadSpec!AZ19*t_b)))/(P*RadSpec!AZ19))),".")</f>
        <v>7.1492821524702065E-3</v>
      </c>
      <c r="H19" s="115">
        <f>IFERROR(IF(d_Bv!H19=0,".",((Ir*F*d_Bv!H19*(1-EXP(-RadSpec!AZ19*t_b)))/(P*RadSpec!AZ19))),".")</f>
        <v>0.26452343964139763</v>
      </c>
      <c r="I19" s="115">
        <f>IFERROR(IF(d_Bv!I19=0,".",((Ir*F*d_Bv!I19*(1-EXP(-RadSpec!AZ19*t_b)))/(P*RadSpec!AZ19))),".")</f>
        <v>0.20732918242163598</v>
      </c>
      <c r="J19" s="115">
        <f>IFERROR(IF(d_Bv!J19=0,".",((Ir*F*d_Bv!J19*(1-EXP(-RadSpec!AZ19*t_b)))/(P*RadSpec!AZ19))),".")</f>
        <v>7.1492821524702065E-3</v>
      </c>
      <c r="K19" s="115">
        <f>IFERROR(IF(d_Bv!K19=0,".",((Ir*F*d_Bv!K19*(1-EXP(-RadSpec!AZ19*t_b)))/(P*RadSpec!AZ19))),".")</f>
        <v>8.5791385829642481E-3</v>
      </c>
      <c r="L19" s="115">
        <f>IFERROR(IF(d_Bv!L19=0,".",((Ir*F*d_Bv!L19*(1-EXP(-RadSpec!AZ19*t_b)))/(P*RadSpec!AZ19))),".")</f>
        <v>7.1492821524702065E-3</v>
      </c>
      <c r="M19" s="115">
        <f>IFERROR(IF(d_Bv!M19=0,".",((Ir*F*d_Bv!M19*(1-EXP(-RadSpec!AZ19*t_b)))/(P*RadSpec!AZ19))),".")</f>
        <v>0.26452343964139763</v>
      </c>
      <c r="N19" s="115">
        <f>IFERROR(IF(d_Bv!N19=0,".",((Ir*F*d_Bv!N19*(1-EXP(-RadSpec!AZ19*t_b)))/(P*RadSpec!AZ19))),".")</f>
        <v>9.6515309058347772E-3</v>
      </c>
      <c r="O19" s="115">
        <f>IFERROR(IF(d_Bv!O19=0,".",((Ir*F*d_Bv!O19*(1-EXP(-RadSpec!AZ19*t_b)))/(P*RadSpec!AZ19))),".")</f>
        <v>7.1492821524702065E-3</v>
      </c>
      <c r="P19" s="115">
        <f>IFERROR(IF(d_Bv!P19=0,".",((Ir*F*d_Bv!P19*(1-EXP(-RadSpec!AZ19*t_b)))/(P*RadSpec!AZ19))),".")</f>
        <v>0.20732918242163598</v>
      </c>
      <c r="Q19" s="115">
        <f>IFERROR(IF(d_Bv!Q19=0,".",((Ir*F*d_Bv!Q19*(1-EXP(-RadSpec!AZ19*t_b)))/(P*RadSpec!AZ19))),".")</f>
        <v>7.1492821524702065E-3</v>
      </c>
      <c r="R19" s="115">
        <f>IFERROR(IF(d_Bv!R19=0,".",((Ir*F*d_Bv!R19*(1-EXP(-RadSpec!AZ19*t_b)))/(P*RadSpec!AZ19))),".")</f>
        <v>7.1492821524702065E-3</v>
      </c>
      <c r="S19" s="115">
        <f>IFERROR(IF(d_Bv!S19=0,".",((Ir*F*d_Bv!S19*(1-EXP(-RadSpec!AZ19*t_b)))/(P*RadSpec!AZ19))),".")</f>
        <v>9.6515309058347772E-3</v>
      </c>
      <c r="T19" s="211">
        <f>IFERROR(IF(d_Bv!T19=0,".",((Ir*F*d_Bv!S19*(1-EXP(-RadSpec!AZ19*t_b)))/(P*RadSpec!AZ19))),".")</f>
        <v>9.6515309058347772E-3</v>
      </c>
      <c r="U19" s="115">
        <f>IFERROR(IF(d_Bv!U19=0,".",((Ir*F*d_Bv!U19*(1-EXP(-RadSpec!AZ19*t_b)))/(P*RadSpec!AZ19))),".")</f>
        <v>9.6515309058347792E-2</v>
      </c>
      <c r="V19" s="115">
        <f>IFERROR(IF(d_Bv!V19=0,".",((Ir*F*d_Bv!V19*(1-EXP(-RadSpec!AZ19*t_b)))/(P*RadSpec!AZ19))),".")</f>
        <v>7.1492821524702065E-3</v>
      </c>
      <c r="W19" s="115">
        <f>IFERROR(IF(d_Bv!W19=0,".",((Ir*F*d_Bv!W19*(1-EXP(-RadSpec!AZ19*t_b)))/(P*RadSpec!AZ19))),".")</f>
        <v>9.6515309058347772E-3</v>
      </c>
      <c r="X19" s="115">
        <f>IFERROR(IF(d_Bv!X19=0,".",((Ir*F*d_Bv!X19*(1-EXP(-RadSpec!AZ19*t_b)))/(P*RadSpec!AZ19))),".")</f>
        <v>7.1492821524702065E-3</v>
      </c>
      <c r="Y19" s="115">
        <f>IFERROR(IF(d_Bv!Y19=0,".",((Ir*F*d_Bv!Y19*(1-EXP(-RadSpec!AZ19*t_b)))/(P*RadSpec!AZ19))),".")</f>
        <v>7.1492821524702065E-3</v>
      </c>
      <c r="Z19" s="115">
        <f>IFERROR(IF(d_Bv!Z19=0,".",((Ir*F*d_Bv!Z19*(1-EXP(-RadSpec!AZ19*t_b)))/(P*RadSpec!AZ19))),".")</f>
        <v>0.4647033399105634</v>
      </c>
      <c r="AA19" s="115">
        <f>IFERROR(IF(d_Bv!AA19=0,".",((Ir*F*d_Bv!AA19*(1-EXP(-RadSpec!AZ19*t_b)))/(P*RadSpec!AZ19))),".")</f>
        <v>8.5791385829642481E-3</v>
      </c>
      <c r="AB19" s="115">
        <f>IFERROR(IF(d_Bv!C19=0,".",((Ir*F*MLF_apple*(1-EXP(-RadSpec!AZ19*t_b)))/(P*RadSpec!AZ19))),".")</f>
        <v>5.7194257219761657E-3</v>
      </c>
      <c r="AC19" s="115">
        <f>IFERROR(IF(d_Bv!D19=0,".",((Ir*F*MLF_asparagus*(1-EXP(-RadSpec!AZ19*t_b)))/(P*RadSpec!AZ19))),".")</f>
        <v>2.8239664502257315E-3</v>
      </c>
      <c r="AD19" s="115">
        <f>IFERROR(IF(d_Bv!E19=0,".",((Ir*F*MLF_beet*(1-EXP(-RadSpec!AZ19*t_b)))/(P*RadSpec!AZ19))),".")</f>
        <v>4.9330046852044422E-3</v>
      </c>
      <c r="AE19" s="115">
        <f>IFERROR(IF(d_Bv!F19=0,".",((Ir*F*MLF_berries*(1-EXP(-RadSpec!AZ19*t_b)))/(P*RadSpec!AZ19))),".")</f>
        <v>5.9339041865502712E-3</v>
      </c>
      <c r="AF19" s="115">
        <f>IFERROR(IF(d_Bv!G19=0,".",((Ir*F*MLF_broccoli*(1-EXP(-RadSpec!AZ19*t_b)))/(P*RadSpec!AZ19))),".")</f>
        <v>3.6103874869974538E-2</v>
      </c>
      <c r="AG19" s="115">
        <f>IFERROR(IF(d_Bv!H19=0,".",((Ir*F*MLF_cabbage*(1-EXP(-RadSpec!AZ19*t_b)))/(P*RadSpec!AZ19))),".")</f>
        <v>3.7533731300468582E-3</v>
      </c>
      <c r="AH19" s="115">
        <f>IFERROR(IF(d_Bv!I19=0,".",((Ir*F*MLF_carrot*(1-EXP(-RadSpec!AZ19*t_b)))/(P*RadSpec!AZ19))),".")</f>
        <v>3.4674018439480501E-3</v>
      </c>
      <c r="AI19" s="115">
        <f>IFERROR(IF(d_Bv!J19=0,".",((Ir*F*MLF_citrus*(1-EXP(-RadSpec!AZ19*t_b)))/(P*RadSpec!AZ19))),".")</f>
        <v>5.6121864896891112E-3</v>
      </c>
      <c r="AJ19" s="115">
        <f>IFERROR(IF(d_Bv!K19=0,".",((Ir*F*MLF_corn*(1-EXP(-RadSpec!AZ19*t_b)))/(P*RadSpec!AZ19))),".")</f>
        <v>5.1832295605408994E-3</v>
      </c>
      <c r="AK19" s="115">
        <f>IFERROR(IF(d_Bv!L19=0,".",((Ir*F*MLF_cucumber*(1-EXP(-RadSpec!AZ19*t_b)))/(P*RadSpec!AZ19))),".")</f>
        <v>1.4298564304940414E-3</v>
      </c>
      <c r="AL19" s="115">
        <f>IFERROR(IF(d_Bv!M19=0,".",((Ir*F*MLF_lettuce*(1-EXP(-RadSpec!AZ19*t_b)))/(P*RadSpec!AZ19))),".")</f>
        <v>0.48257654529173893</v>
      </c>
      <c r="AM19" s="115">
        <f>IFERROR(IF(d_Bv!N19=0,".",((Ir*F*MLF_lima_bean*(1-EXP(-RadSpec!AZ19*t_b)))/(P*RadSpec!AZ19))),".")</f>
        <v>0.13690875321980447</v>
      </c>
      <c r="AN19" s="115">
        <f>IFERROR(IF(d_Bv!O19=0,".",((Ir*F*MLF_okra*(1-EXP(-RadSpec!AZ19*t_b)))/(P*RadSpec!AZ19))),".")</f>
        <v>2.8597128609880828E-3</v>
      </c>
      <c r="AO19" s="115">
        <f>IFERROR(IF(d_Bv!P19=0,".",((Ir*F*MLF_onion*(1-EXP(-RadSpec!AZ19*t_b)))/(P*RadSpec!AZ19))),".")</f>
        <v>3.4674018439480501E-3</v>
      </c>
      <c r="AP19" s="115">
        <f>IFERROR(IF(d_Bv!Q19=0,".",((Ir*F*MLF_peach*(1-EXP(-RadSpec!AZ19*t_b)))/(P*RadSpec!AZ19))),".")</f>
        <v>5.361961614352654E-3</v>
      </c>
      <c r="AQ19" s="115">
        <f>IFERROR(IF(d_Bv!R19=0,".",((Ir*F*MLF_pear*(1-EXP(-RadSpec!AZ19*t_b)))/(P*RadSpec!AZ19))),".")</f>
        <v>5.7194257219761657E-3</v>
      </c>
      <c r="AR19" s="115">
        <f>IFERROR(IF(d_Bv!S19=0,".",((Ir*F*MLF_peas*(1-EXP(-RadSpec!AZ19*t_b)))/(P*RadSpec!AZ19))),".")</f>
        <v>6.3628611156984829E-3</v>
      </c>
      <c r="AS19" s="115">
        <f>IFERROR(IF(d_Bv!T19=0,".",((Ir*F*MLF_peppers*(1-EXP(-RadSpec!AZ19*t_b)))/(P*RadSpec!AZ19))),".")</f>
        <v>7.93570318924193E-2</v>
      </c>
      <c r="AT19" s="115">
        <f>IFERROR(IF(d_Bv!U19=0,".",((Ir*F*MLF_potato*(1-EXP(-RadSpec!AZ19*t_b)))/(P*RadSpec!AZ19))),".")</f>
        <v>7.5067462600937164E-3</v>
      </c>
      <c r="AU19" s="115">
        <f>IFERROR(IF(d_Bv!V19=0,".",((Ir*F*MLF_pumpkin*(1-EXP(-RadSpec!AZ19*t_b)))/(P*RadSpec!AZ19))),".")</f>
        <v>2.0732918242163598E-3</v>
      </c>
      <c r="AV19" s="115">
        <f>IFERROR(IF(d_Bv!W19=0,".",((Ir*F*MLF_snap_bean*(1-EXP(-RadSpec!AZ19*t_b)))/(P*RadSpec!AZ19))),".")</f>
        <v>0.17873205381175516</v>
      </c>
      <c r="AW19" s="115">
        <f>IFERROR(IF(d_Bv!X19=0,".",((Ir*F*MLF_strawberry*(1-EXP(-RadSpec!AZ19*t_b)))/(P*RadSpec!AZ19))),".")</f>
        <v>2.8597128609880828E-3</v>
      </c>
      <c r="AX19" s="115">
        <f>IFERROR(IF(d_Bv!Y19=0,".",((Ir*F*MLF_tomato*(1-EXP(-RadSpec!AZ19*t_b)))/(P*RadSpec!AZ19))),".")</f>
        <v>6.327114704936132E-2</v>
      </c>
      <c r="AY19" s="115">
        <f>IFERROR(IF(d_Bv!Z19=0,".",((Ir*F*MLF_rice*(1-EXP(-RadSpec!AZ19*t_b)))/(P*RadSpec!AZ19))),".")</f>
        <v>8.9366026905877582</v>
      </c>
      <c r="AZ19" s="115">
        <f>IFERROR(IF(d_Bv!AA19=0,".",((Ir*F*MLF_cereal*(1-EXP(-RadSpec!AZ19*t_b)))/(P*RadSpec!AZ19))),".")</f>
        <v>8.9366026905877582</v>
      </c>
      <c r="BA19" s="115">
        <f>IFERROR(IF(d_Bv!C19=0,".",((Ir*F*I_f*T*(1-EXP(-RadSpec!BA19*t_v)))/(Y_v*RadSpec!BA19))),".")</f>
        <v>3.6424203206347228</v>
      </c>
      <c r="BB19" s="115">
        <f>IFERROR(IF(d_Bv!D19=0,".",((Ir*F*I_f*T*(1-EXP(-RadSpec!BA19*t_v)))/(Y_v*RadSpec!BA19))),".")</f>
        <v>3.6424203206347228</v>
      </c>
      <c r="BC19" s="115">
        <f>IFERROR(IF(d_Bv!E19=0,".",((Ir*F*I_f*T*(1-EXP(-RadSpec!BA19*t_v)))/(Y_v*RadSpec!BA19))),".")</f>
        <v>3.6424203206347228</v>
      </c>
      <c r="BD19" s="115">
        <f>IFERROR(IF(d_Bv!F19=0,".",((Ir*F*I_f*T*(1-EXP(-RadSpec!BA19*t_v)))/(Y_v*RadSpec!BA19))),".")</f>
        <v>3.6424203206347228</v>
      </c>
      <c r="BE19" s="115">
        <f>IFERROR(IF(d_Bv!G19=0,".",((Ir*F*I_f*T*(1-EXP(-RadSpec!BA19*t_v)))/(Y_v*RadSpec!BA19))),".")</f>
        <v>3.6424203206347228</v>
      </c>
      <c r="BF19" s="115">
        <f>IFERROR(IF(d_Bv!H19=0,".",((Ir*F*I_f*T*(1-EXP(-RadSpec!BA19*t_v)))/(Y_v*RadSpec!BA19))),".")</f>
        <v>3.6424203206347228</v>
      </c>
      <c r="BG19" s="115">
        <f>IFERROR(IF(d_Bv!I19=0,".",((Ir*F*I_f*T*(1-EXP(-RadSpec!BA19*t_v)))/(Y_v*RadSpec!BA19))),".")</f>
        <v>3.6424203206347228</v>
      </c>
      <c r="BH19" s="115">
        <f>IFERROR(IF(d_Bv!J19=0,".",((Ir*F*I_f*T*(1-EXP(-RadSpec!BA19*t_v)))/(Y_v*RadSpec!BA19))),".")</f>
        <v>3.6424203206347228</v>
      </c>
      <c r="BI19" s="115">
        <f>IFERROR(IF(d_Bv!K19=0,".",((Ir*F*I_f*T*(1-EXP(-RadSpec!BA19*t_v)))/(Y_v*RadSpec!BA19))),".")</f>
        <v>3.6424203206347228</v>
      </c>
      <c r="BJ19" s="115">
        <f>IFERROR(IF(d_Bv!L19=0,".",((Ir*F*I_f*T*(1-EXP(-RadSpec!BA19*t_v)))/(Y_v*RadSpec!BA19))),".")</f>
        <v>3.6424203206347228</v>
      </c>
      <c r="BK19" s="115">
        <f>IFERROR(IF(d_Bv!M19=0,".",((Ir*F*I_f*T*(1-EXP(-RadSpec!BA19*t_v)))/(Y_v*RadSpec!BA19))),".")</f>
        <v>3.6424203206347228</v>
      </c>
      <c r="BL19" s="115">
        <f>IFERROR(IF(d_Bv!N19=0,".",((Ir*F*I_f*T*(1-EXP(-RadSpec!BA19*t_v)))/(Y_v*RadSpec!BA19))),".")</f>
        <v>3.6424203206347228</v>
      </c>
      <c r="BM19" s="115">
        <f>IFERROR(IF(d_Bv!O19=0,".",((Ir*F*I_f*T*(1-EXP(-RadSpec!BA19*t_v)))/(Y_v*RadSpec!BA19))),".")</f>
        <v>3.6424203206347228</v>
      </c>
      <c r="BN19" s="115">
        <f>IFERROR(IF(d_Bv!P19=0,".",((Ir*F*I_f*T*(1-EXP(-RadSpec!BA19*t_v)))/(Y_v*RadSpec!BA19))),".")</f>
        <v>3.6424203206347228</v>
      </c>
      <c r="BO19" s="115">
        <f>IFERROR(IF(d_Bv!Q19=0,".",((Ir*F*I_f*T*(1-EXP(-RadSpec!BA19*t_v)))/(Y_v*RadSpec!BA19))),".")</f>
        <v>3.6424203206347228</v>
      </c>
      <c r="BP19" s="115">
        <f>IFERROR(IF(d_Bv!R19=0,".",((Ir*F*I_f*T*(1-EXP(-RadSpec!BA19*t_v)))/(Y_v*RadSpec!BA19))),".")</f>
        <v>3.6424203206347228</v>
      </c>
      <c r="BQ19" s="115">
        <f>IFERROR(IF(d_Bv!S19=0,".",((Ir*F*I_f*T*(1-EXP(-RadSpec!BA19*t_v)))/(Y_v*RadSpec!BA19))),".")</f>
        <v>3.6424203206347228</v>
      </c>
      <c r="BR19" s="115">
        <f>IFERROR(IF(d_Bv!T19=0,".",((Ir*F*I_f*T*(1-EXP(-RadSpec!BA19*t_v)))/(Y_v*RadSpec!BA19))),".")</f>
        <v>3.6424203206347228</v>
      </c>
      <c r="BS19" s="115">
        <f>IFERROR(IF(d_Bv!U19=0,".",((Ir*F*I_f*T*(1-EXP(-RadSpec!BA19*t_v)))/(Y_v*RadSpec!BA19))),".")</f>
        <v>3.6424203206347228</v>
      </c>
      <c r="BT19" s="115">
        <f>IFERROR(IF(d_Bv!V19=0,".",((Ir*F*I_f*T*(1-EXP(-RadSpec!BA19*t_v)))/(Y_v*RadSpec!BA19))),".")</f>
        <v>3.6424203206347228</v>
      </c>
      <c r="BU19" s="115">
        <f>IFERROR(IF(d_Bv!W19=0,".",((Ir*F*I_f*T*(1-EXP(-RadSpec!BA19*t_v)))/(Y_v*RadSpec!BA19))),".")</f>
        <v>3.6424203206347228</v>
      </c>
      <c r="BV19" s="115">
        <f>IFERROR(IF(d_Bv!X19=0,".",((Ir*F*I_f*T*(1-EXP(-RadSpec!BA19*t_v)))/(Y_v*RadSpec!BA19))),".")</f>
        <v>3.6424203206347228</v>
      </c>
      <c r="BW19" s="115">
        <f>IFERROR(IF(d_Bv!Y19=0,".",((Ir*F*I_f*T*(1-EXP(-RadSpec!BA19*t_v)))/(Y_v*RadSpec!BA19))),".")</f>
        <v>3.6424203206347228</v>
      </c>
      <c r="BX19" s="115">
        <f>IFERROR(IF(d_Bv!Z19=0,".",((Ir*F*I_f*T*(1-EXP(-RadSpec!BA19*t_v)))/(Y_v*RadSpec!BA19))),".")</f>
        <v>3.6424203206347228</v>
      </c>
      <c r="BY19" s="115">
        <f>IFERROR(IF(d_Bv!AA19=0,".",((Ir*F*I_f*T*(1-EXP(-RadSpec!BA19*t_v)))/(Y_v*RadSpec!BA19))),".")</f>
        <v>3.6424203206347228</v>
      </c>
    </row>
    <row r="20" spans="1:77" x14ac:dyDescent="0.25">
      <c r="A20" s="44" t="s">
        <v>30</v>
      </c>
      <c r="B20" s="42" t="s">
        <v>1071</v>
      </c>
      <c r="C20" s="115">
        <f>IFERROR(IF(d_Bv!C20=0,".",((Ir*F*d_Bv!C20*(1-EXP(-RadSpec!AZ20*t_b)))/(P*RadSpec!AZ20))),".")</f>
        <v>7.1492821524702065E-3</v>
      </c>
      <c r="D20" s="115">
        <f>IFERROR(IF(d_Bv!D20=0,".",((Ir*F*d_Bv!D20*(1-EXP(-RadSpec!AZ20*t_b)))/(P*RadSpec!AZ20))),".")</f>
        <v>0.26452343964139763</v>
      </c>
      <c r="E20" s="115">
        <f>IFERROR(IF(d_Bv!E20=0,".",((Ir*F*d_Bv!E20*(1-EXP(-RadSpec!AZ20*t_b)))/(P*RadSpec!AZ20))),".")</f>
        <v>0.20732918242163598</v>
      </c>
      <c r="F20" s="115">
        <f>IFERROR(IF(d_Bv!F20=0,".",((Ir*F*d_Bv!F20*(1-EXP(-RadSpec!AZ20*t_b)))/(P*RadSpec!AZ20))),".")</f>
        <v>7.1492821524702065E-3</v>
      </c>
      <c r="G20" s="115">
        <f>IFERROR(IF(d_Bv!G20=0,".",((Ir*F*d_Bv!G20*(1-EXP(-RadSpec!AZ20*t_b)))/(P*RadSpec!AZ20))),".")</f>
        <v>7.1492821524702065E-3</v>
      </c>
      <c r="H20" s="115">
        <f>IFERROR(IF(d_Bv!H20=0,".",((Ir*F*d_Bv!H20*(1-EXP(-RadSpec!AZ20*t_b)))/(P*RadSpec!AZ20))),".")</f>
        <v>0.26452343964139763</v>
      </c>
      <c r="I20" s="115">
        <f>IFERROR(IF(d_Bv!I20=0,".",((Ir*F*d_Bv!I20*(1-EXP(-RadSpec!AZ20*t_b)))/(P*RadSpec!AZ20))),".")</f>
        <v>0.20732918242163598</v>
      </c>
      <c r="J20" s="115">
        <f>IFERROR(IF(d_Bv!J20=0,".",((Ir*F*d_Bv!J20*(1-EXP(-RadSpec!AZ20*t_b)))/(P*RadSpec!AZ20))),".")</f>
        <v>7.1492821524702065E-3</v>
      </c>
      <c r="K20" s="115">
        <f>IFERROR(IF(d_Bv!K20=0,".",((Ir*F*d_Bv!K20*(1-EXP(-RadSpec!AZ20*t_b)))/(P*RadSpec!AZ20))),".")</f>
        <v>8.5791385829642481E-3</v>
      </c>
      <c r="L20" s="115">
        <f>IFERROR(IF(d_Bv!L20=0,".",((Ir*F*d_Bv!L20*(1-EXP(-RadSpec!AZ20*t_b)))/(P*RadSpec!AZ20))),".")</f>
        <v>7.1492821524702065E-3</v>
      </c>
      <c r="M20" s="115">
        <f>IFERROR(IF(d_Bv!M20=0,".",((Ir*F*d_Bv!M20*(1-EXP(-RadSpec!AZ20*t_b)))/(P*RadSpec!AZ20))),".")</f>
        <v>0.26452343964139763</v>
      </c>
      <c r="N20" s="115">
        <f>IFERROR(IF(d_Bv!N20=0,".",((Ir*F*d_Bv!N20*(1-EXP(-RadSpec!AZ20*t_b)))/(P*RadSpec!AZ20))),".")</f>
        <v>9.6515309058347772E-3</v>
      </c>
      <c r="O20" s="115">
        <f>IFERROR(IF(d_Bv!O20=0,".",((Ir*F*d_Bv!O20*(1-EXP(-RadSpec!AZ20*t_b)))/(P*RadSpec!AZ20))),".")</f>
        <v>7.1492821524702065E-3</v>
      </c>
      <c r="P20" s="115">
        <f>IFERROR(IF(d_Bv!I20=0,".",((Ir*F*d_Bv!I20*(1-EXP(-RadSpec!AZ20*t_b)))/(P*RadSpec!AZ20))),".")</f>
        <v>0.20732918242163598</v>
      </c>
      <c r="Q20" s="115">
        <f>IFERROR(IF(d_Bv!Q20=0,".",((Ir*F*d_Bv!Q20*(1-EXP(-RadSpec!AZ20*t_b)))/(P*RadSpec!AZ20))),".")</f>
        <v>7.1492821524702065E-3</v>
      </c>
      <c r="R20" s="115">
        <f>IFERROR(IF(d_Bv!R20=0,".",((Ir*F*d_Bv!R20*(1-EXP(-RadSpec!AZ20*t_b)))/(P*RadSpec!AZ20))),".")</f>
        <v>7.1492821524702065E-3</v>
      </c>
      <c r="S20" s="115">
        <f>IFERROR(IF(d_Bv!S20=0,".",((Ir*F*d_Bv!S20*(1-EXP(-RadSpec!AZ20*t_b)))/(P*RadSpec!AZ20))),".")</f>
        <v>9.6515309058347772E-3</v>
      </c>
      <c r="T20" s="211">
        <f>IFERROR(IF(d_Bv!T20=0,".",((Ir*F*d_Bv!S20*(1-EXP(-RadSpec!AZ20*t_b)))/(P*RadSpec!AZ20))),".")</f>
        <v>9.6515309058347772E-3</v>
      </c>
      <c r="U20" s="115">
        <f>IFERROR(IF(d_Bv!U20=0,".",((Ir*F*d_Bv!U20*(1-EXP(-RadSpec!AZ20*t_b)))/(P*RadSpec!AZ20))),".")</f>
        <v>9.6515309058347792E-2</v>
      </c>
      <c r="V20" s="115">
        <f>IFERROR(IF(d_Bv!V20=0,".",((Ir*F*d_Bv!V20*(1-EXP(-RadSpec!AZ20*t_b)))/(P*RadSpec!AZ20))),".")</f>
        <v>7.1492821524702065E-3</v>
      </c>
      <c r="W20" s="115">
        <f>IFERROR(IF(d_Bv!W20=0,".",((Ir*F*d_Bv!W20*(1-EXP(-RadSpec!AZ20*t_b)))/(P*RadSpec!AZ20))),".")</f>
        <v>9.6515309058347772E-3</v>
      </c>
      <c r="X20" s="115">
        <f>IFERROR(IF(d_Bv!X20=0,".",((Ir*F*d_Bv!X20*(1-EXP(-RadSpec!AZ20*t_b)))/(P*RadSpec!AZ20))),".")</f>
        <v>7.1492821524702065E-3</v>
      </c>
      <c r="Y20" s="115">
        <f>IFERROR(IF(d_Bv!Y20=0,".",((Ir*F*d_Bv!Y20*(1-EXP(-RadSpec!AZ20*t_b)))/(P*RadSpec!AZ20))),".")</f>
        <v>7.1492821524702065E-3</v>
      </c>
      <c r="Z20" s="115">
        <f>IFERROR(IF(d_Bv!Z20=0,".",((Ir*F*d_Bv!Z20*(1-EXP(-RadSpec!AZ20*t_b)))/(P*RadSpec!AZ20))),".")</f>
        <v>0.4647033399105634</v>
      </c>
      <c r="AA20" s="115">
        <f>IFERROR(IF(d_Bv!AA20=0,".",((Ir*F*d_Bv!AA20*(1-EXP(-RadSpec!AZ20*t_b)))/(P*RadSpec!AZ20))),".")</f>
        <v>8.5791385829642481E-3</v>
      </c>
      <c r="AB20" s="115">
        <f>IFERROR(IF(d_Bv!C20=0,".",((Ir*F*MLF_apple*(1-EXP(-RadSpec!AZ20*t_b)))/(P*RadSpec!AZ20))),".")</f>
        <v>5.7194257219761657E-3</v>
      </c>
      <c r="AC20" s="115">
        <f>IFERROR(IF(d_Bv!D20=0,".",((Ir*F*MLF_asparagus*(1-EXP(-RadSpec!AZ20*t_b)))/(P*RadSpec!AZ20))),".")</f>
        <v>2.8239664502257315E-3</v>
      </c>
      <c r="AD20" s="115">
        <f>IFERROR(IF(d_Bv!E20=0,".",((Ir*F*MLF_beet*(1-EXP(-RadSpec!AZ20*t_b)))/(P*RadSpec!AZ20))),".")</f>
        <v>4.9330046852044422E-3</v>
      </c>
      <c r="AE20" s="115">
        <f>IFERROR(IF(d_Bv!F20=0,".",((Ir*F*MLF_berries*(1-EXP(-RadSpec!AZ20*t_b)))/(P*RadSpec!AZ20))),".")</f>
        <v>5.9339041865502712E-3</v>
      </c>
      <c r="AF20" s="115">
        <f>IFERROR(IF(d_Bv!G20=0,".",((Ir*F*MLF_broccoli*(1-EXP(-RadSpec!AZ20*t_b)))/(P*RadSpec!AZ20))),".")</f>
        <v>3.6103874869974538E-2</v>
      </c>
      <c r="AG20" s="115">
        <f>IFERROR(IF(d_Bv!H20=0,".",((Ir*F*MLF_cabbage*(1-EXP(-RadSpec!AZ20*t_b)))/(P*RadSpec!AZ20))),".")</f>
        <v>3.7533731300468582E-3</v>
      </c>
      <c r="AH20" s="115">
        <f>IFERROR(IF(d_Bv!I20=0,".",((Ir*F*MLF_carrot*(1-EXP(-RadSpec!AZ20*t_b)))/(P*RadSpec!AZ20))),".")</f>
        <v>3.4674018439480501E-3</v>
      </c>
      <c r="AI20" s="115">
        <f>IFERROR(IF(d_Bv!J20=0,".",((Ir*F*MLF_citrus*(1-EXP(-RadSpec!AZ20*t_b)))/(P*RadSpec!AZ20))),".")</f>
        <v>5.6121864896891112E-3</v>
      </c>
      <c r="AJ20" s="115">
        <f>IFERROR(IF(d_Bv!K20=0,".",((Ir*F*MLF_corn*(1-EXP(-RadSpec!AZ20*t_b)))/(P*RadSpec!AZ20))),".")</f>
        <v>5.1832295605408994E-3</v>
      </c>
      <c r="AK20" s="115">
        <f>IFERROR(IF(d_Bv!L20=0,".",((Ir*F*MLF_cucumber*(1-EXP(-RadSpec!AZ20*t_b)))/(P*RadSpec!AZ20))),".")</f>
        <v>1.4298564304940414E-3</v>
      </c>
      <c r="AL20" s="115">
        <f>IFERROR(IF(d_Bv!M20=0,".",((Ir*F*MLF_lettuce*(1-EXP(-RadSpec!AZ20*t_b)))/(P*RadSpec!AZ20))),".")</f>
        <v>0.48257654529173893</v>
      </c>
      <c r="AM20" s="115">
        <f>IFERROR(IF(d_Bv!N20=0,".",((Ir*F*MLF_lima_bean*(1-EXP(-RadSpec!AZ20*t_b)))/(P*RadSpec!AZ20))),".")</f>
        <v>0.13690875321980447</v>
      </c>
      <c r="AN20" s="115">
        <f>IFERROR(IF(d_Bv!O20=0,".",((Ir*F*MLF_okra*(1-EXP(-RadSpec!AZ20*t_b)))/(P*RadSpec!AZ20))),".")</f>
        <v>2.8597128609880828E-3</v>
      </c>
      <c r="AO20" s="115">
        <f>IFERROR(IF(d_Bv!P20=0,".",((Ir*F*MLF_onion*(1-EXP(-RadSpec!AZ20*t_b)))/(P*RadSpec!AZ20))),".")</f>
        <v>3.4674018439480501E-3</v>
      </c>
      <c r="AP20" s="115">
        <f>IFERROR(IF(d_Bv!Q20=0,".",((Ir*F*MLF_peach*(1-EXP(-RadSpec!AZ20*t_b)))/(P*RadSpec!AZ20))),".")</f>
        <v>5.361961614352654E-3</v>
      </c>
      <c r="AQ20" s="115">
        <f>IFERROR(IF(d_Bv!R20=0,".",((Ir*F*MLF_pear*(1-EXP(-RadSpec!AZ20*t_b)))/(P*RadSpec!AZ20))),".")</f>
        <v>5.7194257219761657E-3</v>
      </c>
      <c r="AR20" s="115">
        <f>IFERROR(IF(d_Bv!S20=0,".",((Ir*F*MLF_peas*(1-EXP(-RadSpec!AZ20*t_b)))/(P*RadSpec!AZ20))),".")</f>
        <v>6.3628611156984829E-3</v>
      </c>
      <c r="AS20" s="115">
        <f>IFERROR(IF(d_Bv!T20=0,".",((Ir*F*MLF_peppers*(1-EXP(-RadSpec!AZ20*t_b)))/(P*RadSpec!AZ20))),".")</f>
        <v>7.93570318924193E-2</v>
      </c>
      <c r="AT20" s="115">
        <f>IFERROR(IF(d_Bv!U20=0,".",((Ir*F*MLF_potato*(1-EXP(-RadSpec!AZ20*t_b)))/(P*RadSpec!AZ20))),".")</f>
        <v>7.5067462600937164E-3</v>
      </c>
      <c r="AU20" s="115">
        <f>IFERROR(IF(d_Bv!V20=0,".",((Ir*F*MLF_pumpkin*(1-EXP(-RadSpec!AZ20*t_b)))/(P*RadSpec!AZ20))),".")</f>
        <v>2.0732918242163598E-3</v>
      </c>
      <c r="AV20" s="115">
        <f>IFERROR(IF(d_Bv!W20=0,".",((Ir*F*MLF_snap_bean*(1-EXP(-RadSpec!AZ20*t_b)))/(P*RadSpec!AZ20))),".")</f>
        <v>0.17873205381175516</v>
      </c>
      <c r="AW20" s="115">
        <f>IFERROR(IF(d_Bv!X20=0,".",((Ir*F*MLF_strawberry*(1-EXP(-RadSpec!AZ20*t_b)))/(P*RadSpec!AZ20))),".")</f>
        <v>2.8597128609880828E-3</v>
      </c>
      <c r="AX20" s="115">
        <f>IFERROR(IF(d_Bv!Y20=0,".",((Ir*F*MLF_tomato*(1-EXP(-RadSpec!AZ20*t_b)))/(P*RadSpec!AZ20))),".")</f>
        <v>6.327114704936132E-2</v>
      </c>
      <c r="AY20" s="115">
        <f>IFERROR(IF(d_Bv!Z20=0,".",((Ir*F*MLF_rice*(1-EXP(-RadSpec!AZ20*t_b)))/(P*RadSpec!AZ20))),".")</f>
        <v>8.9366026905877582</v>
      </c>
      <c r="AZ20" s="115">
        <f>IFERROR(IF(d_Bv!AA20=0,".",((Ir*F*MLF_cereal*(1-EXP(-RadSpec!AZ20*t_b)))/(P*RadSpec!AZ20))),".")</f>
        <v>8.9366026905877582</v>
      </c>
      <c r="BA20" s="115">
        <f>IFERROR(IF(d_Bv!C20=0,".",((Ir*F*I_f*T*(1-EXP(-RadSpec!BA20*t_v)))/(Y_v*RadSpec!BA20))),".")</f>
        <v>3.6424203206347228</v>
      </c>
      <c r="BB20" s="115">
        <f>IFERROR(IF(d_Bv!D20=0,".",((Ir*F*I_f*T*(1-EXP(-RadSpec!BA20*t_v)))/(Y_v*RadSpec!BA20))),".")</f>
        <v>3.6424203206347228</v>
      </c>
      <c r="BC20" s="115">
        <f>IFERROR(IF(d_Bv!E20=0,".",((Ir*F*I_f*T*(1-EXP(-RadSpec!BA20*t_v)))/(Y_v*RadSpec!BA20))),".")</f>
        <v>3.6424203206347228</v>
      </c>
      <c r="BD20" s="115">
        <f>IFERROR(IF(d_Bv!F20=0,".",((Ir*F*I_f*T*(1-EXP(-RadSpec!BA20*t_v)))/(Y_v*RadSpec!BA20))),".")</f>
        <v>3.6424203206347228</v>
      </c>
      <c r="BE20" s="115">
        <f>IFERROR(IF(d_Bv!G20=0,".",((Ir*F*I_f*T*(1-EXP(-RadSpec!BA20*t_v)))/(Y_v*RadSpec!BA20))),".")</f>
        <v>3.6424203206347228</v>
      </c>
      <c r="BF20" s="115">
        <f>IFERROR(IF(d_Bv!H20=0,".",((Ir*F*I_f*T*(1-EXP(-RadSpec!BA20*t_v)))/(Y_v*RadSpec!BA20))),".")</f>
        <v>3.6424203206347228</v>
      </c>
      <c r="BG20" s="115">
        <f>IFERROR(IF(d_Bv!I20=0,".",((Ir*F*I_f*T*(1-EXP(-RadSpec!BA20*t_v)))/(Y_v*RadSpec!BA20))),".")</f>
        <v>3.6424203206347228</v>
      </c>
      <c r="BH20" s="115">
        <f>IFERROR(IF(d_Bv!J20=0,".",((Ir*F*I_f*T*(1-EXP(-RadSpec!BA20*t_v)))/(Y_v*RadSpec!BA20))),".")</f>
        <v>3.6424203206347228</v>
      </c>
      <c r="BI20" s="115">
        <f>IFERROR(IF(d_Bv!K20=0,".",((Ir*F*I_f*T*(1-EXP(-RadSpec!BA20*t_v)))/(Y_v*RadSpec!BA20))),".")</f>
        <v>3.6424203206347228</v>
      </c>
      <c r="BJ20" s="115">
        <f>IFERROR(IF(d_Bv!L20=0,".",((Ir*F*I_f*T*(1-EXP(-RadSpec!BA20*t_v)))/(Y_v*RadSpec!BA20))),".")</f>
        <v>3.6424203206347228</v>
      </c>
      <c r="BK20" s="115">
        <f>IFERROR(IF(d_Bv!M20=0,".",((Ir*F*I_f*T*(1-EXP(-RadSpec!BA20*t_v)))/(Y_v*RadSpec!BA20))),".")</f>
        <v>3.6424203206347228</v>
      </c>
      <c r="BL20" s="115">
        <f>IFERROR(IF(d_Bv!N20=0,".",((Ir*F*I_f*T*(1-EXP(-RadSpec!BA20*t_v)))/(Y_v*RadSpec!BA20))),".")</f>
        <v>3.6424203206347228</v>
      </c>
      <c r="BM20" s="115">
        <f>IFERROR(IF(d_Bv!O20=0,".",((Ir*F*I_f*T*(1-EXP(-RadSpec!BA20*t_v)))/(Y_v*RadSpec!BA20))),".")</f>
        <v>3.6424203206347228</v>
      </c>
      <c r="BN20" s="115">
        <f>IFERROR(IF(d_Bv!P20=0,".",((Ir*F*I_f*T*(1-EXP(-RadSpec!BA20*t_v)))/(Y_v*RadSpec!BA20))),".")</f>
        <v>3.6424203206347228</v>
      </c>
      <c r="BO20" s="115">
        <f>IFERROR(IF(d_Bv!Q20=0,".",((Ir*F*I_f*T*(1-EXP(-RadSpec!BA20*t_v)))/(Y_v*RadSpec!BA20))),".")</f>
        <v>3.6424203206347228</v>
      </c>
      <c r="BP20" s="115">
        <f>IFERROR(IF(d_Bv!R20=0,".",((Ir*F*I_f*T*(1-EXP(-RadSpec!BA20*t_v)))/(Y_v*RadSpec!BA20))),".")</f>
        <v>3.6424203206347228</v>
      </c>
      <c r="BQ20" s="115">
        <f>IFERROR(IF(d_Bv!S20=0,".",((Ir*F*I_f*T*(1-EXP(-RadSpec!BA20*t_v)))/(Y_v*RadSpec!BA20))),".")</f>
        <v>3.6424203206347228</v>
      </c>
      <c r="BR20" s="115">
        <f>IFERROR(IF(d_Bv!T20=0,".",((Ir*F*I_f*T*(1-EXP(-RadSpec!BA20*t_v)))/(Y_v*RadSpec!BA20))),".")</f>
        <v>3.6424203206347228</v>
      </c>
      <c r="BS20" s="115">
        <f>IFERROR(IF(d_Bv!U20=0,".",((Ir*F*I_f*T*(1-EXP(-RadSpec!BA20*t_v)))/(Y_v*RadSpec!BA20))),".")</f>
        <v>3.6424203206347228</v>
      </c>
      <c r="BT20" s="115">
        <f>IFERROR(IF(d_Bv!V20=0,".",((Ir*F*I_f*T*(1-EXP(-RadSpec!BA20*t_v)))/(Y_v*RadSpec!BA20))),".")</f>
        <v>3.6424203206347228</v>
      </c>
      <c r="BU20" s="115">
        <f>IFERROR(IF(d_Bv!W20=0,".",((Ir*F*I_f*T*(1-EXP(-RadSpec!BA20*t_v)))/(Y_v*RadSpec!BA20))),".")</f>
        <v>3.6424203206347228</v>
      </c>
      <c r="BV20" s="115">
        <f>IFERROR(IF(d_Bv!X20=0,".",((Ir*F*I_f*T*(1-EXP(-RadSpec!BA20*t_v)))/(Y_v*RadSpec!BA20))),".")</f>
        <v>3.6424203206347228</v>
      </c>
      <c r="BW20" s="115">
        <f>IFERROR(IF(d_Bv!Y20=0,".",((Ir*F*I_f*T*(1-EXP(-RadSpec!BA20*t_v)))/(Y_v*RadSpec!BA20))),".")</f>
        <v>3.6424203206347228</v>
      </c>
      <c r="BX20" s="115">
        <f>IFERROR(IF(d_Bv!Z20=0,".",((Ir*F*I_f*T*(1-EXP(-RadSpec!BA20*t_v)))/(Y_v*RadSpec!BA20))),".")</f>
        <v>3.6424203206347228</v>
      </c>
      <c r="BY20" s="115">
        <f>IFERROR(IF(d_Bv!AA20=0,".",((Ir*F*I_f*T*(1-EXP(-RadSpec!BA20*t_v)))/(Y_v*RadSpec!BA20))),".")</f>
        <v>3.6424203206347228</v>
      </c>
    </row>
    <row r="21" spans="1:77" x14ac:dyDescent="0.25">
      <c r="A21" s="44" t="s">
        <v>31</v>
      </c>
      <c r="B21" s="42" t="s">
        <v>1071</v>
      </c>
      <c r="C21" s="115">
        <f>IFERROR(IF(d_Bv!C21=0,".",((Ir*F*d_Bv!C21*(1-EXP(-RadSpec!AZ21*t_b)))/(P*RadSpec!AZ21))),".")</f>
        <v>7.1492821524702065E-3</v>
      </c>
      <c r="D21" s="115">
        <f>IFERROR(IF(d_Bv!D21=0,".",((Ir*F*d_Bv!D21*(1-EXP(-RadSpec!AZ21*t_b)))/(P*RadSpec!AZ21))),".")</f>
        <v>0.26452343964139763</v>
      </c>
      <c r="E21" s="115">
        <f>IFERROR(IF(d_Bv!E21=0,".",((Ir*F*d_Bv!E21*(1-EXP(-RadSpec!AZ21*t_b)))/(P*RadSpec!AZ21))),".")</f>
        <v>0.20732918242163598</v>
      </c>
      <c r="F21" s="115">
        <f>IFERROR(IF(d_Bv!F21=0,".",((Ir*F*d_Bv!F21*(1-EXP(-RadSpec!AZ21*t_b)))/(P*RadSpec!AZ21))),".")</f>
        <v>7.1492821524702065E-3</v>
      </c>
      <c r="G21" s="115">
        <f>IFERROR(IF(d_Bv!G21=0,".",((Ir*F*d_Bv!G21*(1-EXP(-RadSpec!AZ21*t_b)))/(P*RadSpec!AZ21))),".")</f>
        <v>7.1492821524702065E-3</v>
      </c>
      <c r="H21" s="115">
        <f>IFERROR(IF(d_Bv!H21=0,".",((Ir*F*d_Bv!H21*(1-EXP(-RadSpec!AZ21*t_b)))/(P*RadSpec!AZ21))),".")</f>
        <v>0.26452343964139763</v>
      </c>
      <c r="I21" s="115">
        <f>IFERROR(IF(d_Bv!I21=0,".",((Ir*F*d_Bv!I21*(1-EXP(-RadSpec!AZ21*t_b)))/(P*RadSpec!AZ21))),".")</f>
        <v>0.20732918242163598</v>
      </c>
      <c r="J21" s="115">
        <f>IFERROR(IF(d_Bv!J21=0,".",((Ir*F*d_Bv!J21*(1-EXP(-RadSpec!AZ21*t_b)))/(P*RadSpec!AZ21))),".")</f>
        <v>7.1492821524702065E-3</v>
      </c>
      <c r="K21" s="115">
        <f>IFERROR(IF(d_Bv!K21=0,".",((Ir*F*d_Bv!K21*(1-EXP(-RadSpec!AZ21*t_b)))/(P*RadSpec!AZ21))),".")</f>
        <v>8.5791385829642481E-3</v>
      </c>
      <c r="L21" s="115">
        <f>IFERROR(IF(d_Bv!L21=0,".",((Ir*F*d_Bv!L21*(1-EXP(-RadSpec!AZ21*t_b)))/(P*RadSpec!AZ21))),".")</f>
        <v>7.1492821524702065E-3</v>
      </c>
      <c r="M21" s="115">
        <f>IFERROR(IF(d_Bv!M21=0,".",((Ir*F*d_Bv!M21*(1-EXP(-RadSpec!AZ21*t_b)))/(P*RadSpec!AZ21))),".")</f>
        <v>0.26452343964139763</v>
      </c>
      <c r="N21" s="115">
        <f>IFERROR(IF(d_Bv!N21=0,".",((Ir*F*d_Bv!N21*(1-EXP(-RadSpec!AZ21*t_b)))/(P*RadSpec!AZ21))),".")</f>
        <v>9.6515309058347772E-3</v>
      </c>
      <c r="O21" s="115">
        <f>IFERROR(IF(d_Bv!O21=0,".",((Ir*F*d_Bv!O21*(1-EXP(-RadSpec!AZ21*t_b)))/(P*RadSpec!AZ21))),".")</f>
        <v>7.1492821524702065E-3</v>
      </c>
      <c r="P21" s="115">
        <f>IFERROR(IF(d_Bv!I21=0,".",((Ir*F*d_Bv!I21*(1-EXP(-RadSpec!AZ21*t_b)))/(P*RadSpec!AZ21))),".")</f>
        <v>0.20732918242163598</v>
      </c>
      <c r="Q21" s="115">
        <f>IFERROR(IF(d_Bv!Q21=0,".",((Ir*F*d_Bv!Q21*(1-EXP(-RadSpec!AZ21*t_b)))/(P*RadSpec!AZ21))),".")</f>
        <v>7.1492821524702065E-3</v>
      </c>
      <c r="R21" s="115">
        <f>IFERROR(IF(d_Bv!R21=0,".",((Ir*F*d_Bv!R21*(1-EXP(-RadSpec!AZ21*t_b)))/(P*RadSpec!AZ21))),".")</f>
        <v>7.1492821524702065E-3</v>
      </c>
      <c r="S21" s="115">
        <f>IFERROR(IF(d_Bv!S21=0,".",((Ir*F*d_Bv!S21*(1-EXP(-RadSpec!AZ21*t_b)))/(P*RadSpec!AZ21))),".")</f>
        <v>9.6515309058347772E-3</v>
      </c>
      <c r="T21" s="211">
        <f>IFERROR(IF(d_Bv!T21=0,".",((Ir*F*d_Bv!S21*(1-EXP(-RadSpec!AZ21*t_b)))/(P*RadSpec!AZ21))),".")</f>
        <v>9.6515309058347772E-3</v>
      </c>
      <c r="U21" s="115">
        <f>IFERROR(IF(d_Bv!U21=0,".",((Ir*F*d_Bv!U21*(1-EXP(-RadSpec!AZ21*t_b)))/(P*RadSpec!AZ21))),".")</f>
        <v>9.6515309058347792E-2</v>
      </c>
      <c r="V21" s="115">
        <f>IFERROR(IF(d_Bv!V21=0,".",((Ir*F*d_Bv!V21*(1-EXP(-RadSpec!AZ21*t_b)))/(P*RadSpec!AZ21))),".")</f>
        <v>7.1492821524702065E-3</v>
      </c>
      <c r="W21" s="115">
        <f>IFERROR(IF(d_Bv!W21=0,".",((Ir*F*d_Bv!W21*(1-EXP(-RadSpec!AZ21*t_b)))/(P*RadSpec!AZ21))),".")</f>
        <v>9.6515309058347772E-3</v>
      </c>
      <c r="X21" s="115">
        <f>IFERROR(IF(d_Bv!X21=0,".",((Ir*F*d_Bv!X21*(1-EXP(-RadSpec!AZ21*t_b)))/(P*RadSpec!AZ21))),".")</f>
        <v>7.1492821524702065E-3</v>
      </c>
      <c r="Y21" s="115">
        <f>IFERROR(IF(d_Bv!Y21=0,".",((Ir*F*d_Bv!Y21*(1-EXP(-RadSpec!AZ21*t_b)))/(P*RadSpec!AZ21))),".")</f>
        <v>7.1492821524702065E-3</v>
      </c>
      <c r="Z21" s="115">
        <f>IFERROR(IF(d_Bv!Z21=0,".",((Ir*F*d_Bv!Z21*(1-EXP(-RadSpec!AZ21*t_b)))/(P*RadSpec!AZ21))),".")</f>
        <v>0.4647033399105634</v>
      </c>
      <c r="AA21" s="115">
        <f>IFERROR(IF(d_Bv!AA21=0,".",((Ir*F*d_Bv!AA21*(1-EXP(-RadSpec!AZ21*t_b)))/(P*RadSpec!AZ21))),".")</f>
        <v>8.5791385829642481E-3</v>
      </c>
      <c r="AB21" s="115">
        <f>IFERROR(IF(d_Bv!C21=0,".",((Ir*F*MLF_apple*(1-EXP(-RadSpec!AZ21*t_b)))/(P*RadSpec!AZ21))),".")</f>
        <v>5.7194257219761657E-3</v>
      </c>
      <c r="AC21" s="115">
        <f>IFERROR(IF(d_Bv!D21=0,".",((Ir*F*MLF_asparagus*(1-EXP(-RadSpec!AZ21*t_b)))/(P*RadSpec!AZ21))),".")</f>
        <v>2.8239664502257315E-3</v>
      </c>
      <c r="AD21" s="115">
        <f>IFERROR(IF(d_Bv!E21=0,".",((Ir*F*MLF_beet*(1-EXP(-RadSpec!AZ21*t_b)))/(P*RadSpec!AZ21))),".")</f>
        <v>4.9330046852044422E-3</v>
      </c>
      <c r="AE21" s="115">
        <f>IFERROR(IF(d_Bv!F21=0,".",((Ir*F*MLF_berries*(1-EXP(-RadSpec!AZ21*t_b)))/(P*RadSpec!AZ21))),".")</f>
        <v>5.9339041865502712E-3</v>
      </c>
      <c r="AF21" s="115">
        <f>IFERROR(IF(d_Bv!G21=0,".",((Ir*F*MLF_broccoli*(1-EXP(-RadSpec!AZ21*t_b)))/(P*RadSpec!AZ21))),".")</f>
        <v>3.6103874869974538E-2</v>
      </c>
      <c r="AG21" s="115">
        <f>IFERROR(IF(d_Bv!H21=0,".",((Ir*F*MLF_cabbage*(1-EXP(-RadSpec!AZ21*t_b)))/(P*RadSpec!AZ21))),".")</f>
        <v>3.7533731300468582E-3</v>
      </c>
      <c r="AH21" s="115">
        <f>IFERROR(IF(d_Bv!I21=0,".",((Ir*F*MLF_carrot*(1-EXP(-RadSpec!AZ21*t_b)))/(P*RadSpec!AZ21))),".")</f>
        <v>3.4674018439480501E-3</v>
      </c>
      <c r="AI21" s="115">
        <f>IFERROR(IF(d_Bv!J21=0,".",((Ir*F*MLF_citrus*(1-EXP(-RadSpec!AZ21*t_b)))/(P*RadSpec!AZ21))),".")</f>
        <v>5.6121864896891112E-3</v>
      </c>
      <c r="AJ21" s="115">
        <f>IFERROR(IF(d_Bv!K21=0,".",((Ir*F*MLF_corn*(1-EXP(-RadSpec!AZ21*t_b)))/(P*RadSpec!AZ21))),".")</f>
        <v>5.1832295605408994E-3</v>
      </c>
      <c r="AK21" s="115">
        <f>IFERROR(IF(d_Bv!L21=0,".",((Ir*F*MLF_cucumber*(1-EXP(-RadSpec!AZ21*t_b)))/(P*RadSpec!AZ21))),".")</f>
        <v>1.4298564304940414E-3</v>
      </c>
      <c r="AL21" s="115">
        <f>IFERROR(IF(d_Bv!M21=0,".",((Ir*F*MLF_lettuce*(1-EXP(-RadSpec!AZ21*t_b)))/(P*RadSpec!AZ21))),".")</f>
        <v>0.48257654529173893</v>
      </c>
      <c r="AM21" s="115">
        <f>IFERROR(IF(d_Bv!N21=0,".",((Ir*F*MLF_lima_bean*(1-EXP(-RadSpec!AZ21*t_b)))/(P*RadSpec!AZ21))),".")</f>
        <v>0.13690875321980447</v>
      </c>
      <c r="AN21" s="115">
        <f>IFERROR(IF(d_Bv!O21=0,".",((Ir*F*MLF_okra*(1-EXP(-RadSpec!AZ21*t_b)))/(P*RadSpec!AZ21))),".")</f>
        <v>2.8597128609880828E-3</v>
      </c>
      <c r="AO21" s="115">
        <f>IFERROR(IF(d_Bv!P21=0,".",((Ir*F*MLF_onion*(1-EXP(-RadSpec!AZ21*t_b)))/(P*RadSpec!AZ21))),".")</f>
        <v>3.4674018439480501E-3</v>
      </c>
      <c r="AP21" s="115">
        <f>IFERROR(IF(d_Bv!Q21=0,".",((Ir*F*MLF_peach*(1-EXP(-RadSpec!AZ21*t_b)))/(P*RadSpec!AZ21))),".")</f>
        <v>5.361961614352654E-3</v>
      </c>
      <c r="AQ21" s="115">
        <f>IFERROR(IF(d_Bv!R21=0,".",((Ir*F*MLF_pear*(1-EXP(-RadSpec!AZ21*t_b)))/(P*RadSpec!AZ21))),".")</f>
        <v>5.7194257219761657E-3</v>
      </c>
      <c r="AR21" s="115">
        <f>IFERROR(IF(d_Bv!S21=0,".",((Ir*F*MLF_peas*(1-EXP(-RadSpec!AZ21*t_b)))/(P*RadSpec!AZ21))),".")</f>
        <v>6.3628611156984829E-3</v>
      </c>
      <c r="AS21" s="115">
        <f>IFERROR(IF(d_Bv!T21=0,".",((Ir*F*MLF_peppers*(1-EXP(-RadSpec!AZ21*t_b)))/(P*RadSpec!AZ21))),".")</f>
        <v>7.93570318924193E-2</v>
      </c>
      <c r="AT21" s="115">
        <f>IFERROR(IF(d_Bv!U21=0,".",((Ir*F*MLF_potato*(1-EXP(-RadSpec!AZ21*t_b)))/(P*RadSpec!AZ21))),".")</f>
        <v>7.5067462600937164E-3</v>
      </c>
      <c r="AU21" s="115">
        <f>IFERROR(IF(d_Bv!V21=0,".",((Ir*F*MLF_pumpkin*(1-EXP(-RadSpec!AZ21*t_b)))/(P*RadSpec!AZ21))),".")</f>
        <v>2.0732918242163598E-3</v>
      </c>
      <c r="AV21" s="115">
        <f>IFERROR(IF(d_Bv!W21=0,".",((Ir*F*MLF_snap_bean*(1-EXP(-RadSpec!AZ21*t_b)))/(P*RadSpec!AZ21))),".")</f>
        <v>0.17873205381175516</v>
      </c>
      <c r="AW21" s="115">
        <f>IFERROR(IF(d_Bv!X21=0,".",((Ir*F*MLF_strawberry*(1-EXP(-RadSpec!AZ21*t_b)))/(P*RadSpec!AZ21))),".")</f>
        <v>2.8597128609880828E-3</v>
      </c>
      <c r="AX21" s="115">
        <f>IFERROR(IF(d_Bv!Y21=0,".",((Ir*F*MLF_tomato*(1-EXP(-RadSpec!AZ21*t_b)))/(P*RadSpec!AZ21))),".")</f>
        <v>6.327114704936132E-2</v>
      </c>
      <c r="AY21" s="115">
        <f>IFERROR(IF(d_Bv!Z21=0,".",((Ir*F*MLF_rice*(1-EXP(-RadSpec!AZ21*t_b)))/(P*RadSpec!AZ21))),".")</f>
        <v>8.9366026905877582</v>
      </c>
      <c r="AZ21" s="115">
        <f>IFERROR(IF(d_Bv!AA21=0,".",((Ir*F*MLF_cereal*(1-EXP(-RadSpec!AZ21*t_b)))/(P*RadSpec!AZ21))),".")</f>
        <v>8.9366026905877582</v>
      </c>
      <c r="BA21" s="115">
        <f>IFERROR(IF(d_Bv!C21=0,".",((Ir*F*I_f*T*(1-EXP(-RadSpec!BA21*t_v)))/(Y_v*RadSpec!BA21))),".")</f>
        <v>3.6424203206347228</v>
      </c>
      <c r="BB21" s="115">
        <f>IFERROR(IF(d_Bv!D21=0,".",((Ir*F*I_f*T*(1-EXP(-RadSpec!BA21*t_v)))/(Y_v*RadSpec!BA21))),".")</f>
        <v>3.6424203206347228</v>
      </c>
      <c r="BC21" s="115">
        <f>IFERROR(IF(d_Bv!E21=0,".",((Ir*F*I_f*T*(1-EXP(-RadSpec!BA21*t_v)))/(Y_v*RadSpec!BA21))),".")</f>
        <v>3.6424203206347228</v>
      </c>
      <c r="BD21" s="115">
        <f>IFERROR(IF(d_Bv!F21=0,".",((Ir*F*I_f*T*(1-EXP(-RadSpec!BA21*t_v)))/(Y_v*RadSpec!BA21))),".")</f>
        <v>3.6424203206347228</v>
      </c>
      <c r="BE21" s="115">
        <f>IFERROR(IF(d_Bv!G21=0,".",((Ir*F*I_f*T*(1-EXP(-RadSpec!BA21*t_v)))/(Y_v*RadSpec!BA21))),".")</f>
        <v>3.6424203206347228</v>
      </c>
      <c r="BF21" s="115">
        <f>IFERROR(IF(d_Bv!H21=0,".",((Ir*F*I_f*T*(1-EXP(-RadSpec!BA21*t_v)))/(Y_v*RadSpec!BA21))),".")</f>
        <v>3.6424203206347228</v>
      </c>
      <c r="BG21" s="115">
        <f>IFERROR(IF(d_Bv!I21=0,".",((Ir*F*I_f*T*(1-EXP(-RadSpec!BA21*t_v)))/(Y_v*RadSpec!BA21))),".")</f>
        <v>3.6424203206347228</v>
      </c>
      <c r="BH21" s="115">
        <f>IFERROR(IF(d_Bv!J21=0,".",((Ir*F*I_f*T*(1-EXP(-RadSpec!BA21*t_v)))/(Y_v*RadSpec!BA21))),".")</f>
        <v>3.6424203206347228</v>
      </c>
      <c r="BI21" s="115">
        <f>IFERROR(IF(d_Bv!K21=0,".",((Ir*F*I_f*T*(1-EXP(-RadSpec!BA21*t_v)))/(Y_v*RadSpec!BA21))),".")</f>
        <v>3.6424203206347228</v>
      </c>
      <c r="BJ21" s="115">
        <f>IFERROR(IF(d_Bv!L21=0,".",((Ir*F*I_f*T*(1-EXP(-RadSpec!BA21*t_v)))/(Y_v*RadSpec!BA21))),".")</f>
        <v>3.6424203206347228</v>
      </c>
      <c r="BK21" s="115">
        <f>IFERROR(IF(d_Bv!M21=0,".",((Ir*F*I_f*T*(1-EXP(-RadSpec!BA21*t_v)))/(Y_v*RadSpec!BA21))),".")</f>
        <v>3.6424203206347228</v>
      </c>
      <c r="BL21" s="115">
        <f>IFERROR(IF(d_Bv!N21=0,".",((Ir*F*I_f*T*(1-EXP(-RadSpec!BA21*t_v)))/(Y_v*RadSpec!BA21))),".")</f>
        <v>3.6424203206347228</v>
      </c>
      <c r="BM21" s="115">
        <f>IFERROR(IF(d_Bv!O21=0,".",((Ir*F*I_f*T*(1-EXP(-RadSpec!BA21*t_v)))/(Y_v*RadSpec!BA21))),".")</f>
        <v>3.6424203206347228</v>
      </c>
      <c r="BN21" s="115">
        <f>IFERROR(IF(d_Bv!P21=0,".",((Ir*F*I_f*T*(1-EXP(-RadSpec!BA21*t_v)))/(Y_v*RadSpec!BA21))),".")</f>
        <v>3.6424203206347228</v>
      </c>
      <c r="BO21" s="115">
        <f>IFERROR(IF(d_Bv!Q21=0,".",((Ir*F*I_f*T*(1-EXP(-RadSpec!BA21*t_v)))/(Y_v*RadSpec!BA21))),".")</f>
        <v>3.6424203206347228</v>
      </c>
      <c r="BP21" s="115">
        <f>IFERROR(IF(d_Bv!R21=0,".",((Ir*F*I_f*T*(1-EXP(-RadSpec!BA21*t_v)))/(Y_v*RadSpec!BA21))),".")</f>
        <v>3.6424203206347228</v>
      </c>
      <c r="BQ21" s="115">
        <f>IFERROR(IF(d_Bv!S21=0,".",((Ir*F*I_f*T*(1-EXP(-RadSpec!BA21*t_v)))/(Y_v*RadSpec!BA21))),".")</f>
        <v>3.6424203206347228</v>
      </c>
      <c r="BR21" s="115">
        <f>IFERROR(IF(d_Bv!T21=0,".",((Ir*F*I_f*T*(1-EXP(-RadSpec!BA21*t_v)))/(Y_v*RadSpec!BA21))),".")</f>
        <v>3.6424203206347228</v>
      </c>
      <c r="BS21" s="115">
        <f>IFERROR(IF(d_Bv!U21=0,".",((Ir*F*I_f*T*(1-EXP(-RadSpec!BA21*t_v)))/(Y_v*RadSpec!BA21))),".")</f>
        <v>3.6424203206347228</v>
      </c>
      <c r="BT21" s="115">
        <f>IFERROR(IF(d_Bv!V21=0,".",((Ir*F*I_f*T*(1-EXP(-RadSpec!BA21*t_v)))/(Y_v*RadSpec!BA21))),".")</f>
        <v>3.6424203206347228</v>
      </c>
      <c r="BU21" s="115">
        <f>IFERROR(IF(d_Bv!W21=0,".",((Ir*F*I_f*T*(1-EXP(-RadSpec!BA21*t_v)))/(Y_v*RadSpec!BA21))),".")</f>
        <v>3.6424203206347228</v>
      </c>
      <c r="BV21" s="115">
        <f>IFERROR(IF(d_Bv!X21=0,".",((Ir*F*I_f*T*(1-EXP(-RadSpec!BA21*t_v)))/(Y_v*RadSpec!BA21))),".")</f>
        <v>3.6424203206347228</v>
      </c>
      <c r="BW21" s="115">
        <f>IFERROR(IF(d_Bv!Y21=0,".",((Ir*F*I_f*T*(1-EXP(-RadSpec!BA21*t_v)))/(Y_v*RadSpec!BA21))),".")</f>
        <v>3.6424203206347228</v>
      </c>
      <c r="BX21" s="115">
        <f>IFERROR(IF(d_Bv!Z21=0,".",((Ir*F*I_f*T*(1-EXP(-RadSpec!BA21*t_v)))/(Y_v*RadSpec!BA21))),".")</f>
        <v>3.6424203206347228</v>
      </c>
      <c r="BY21" s="115">
        <f>IFERROR(IF(d_Bv!AA21=0,".",((Ir*F*I_f*T*(1-EXP(-RadSpec!BA21*t_v)))/(Y_v*RadSpec!BA21))),".")</f>
        <v>3.6424203206347228</v>
      </c>
    </row>
    <row r="22" spans="1:77" x14ac:dyDescent="0.25">
      <c r="A22" s="44" t="s">
        <v>32</v>
      </c>
      <c r="B22" s="42" t="s">
        <v>1071</v>
      </c>
      <c r="C22" s="115">
        <f>IFERROR(IF(d_Bv!C22=0,".",((Ir*F*d_Bv!C22*(1-EXP(-RadSpec!AZ22*t_b)))/(P*RadSpec!AZ22))),".")</f>
        <v>0.35746410762351033</v>
      </c>
      <c r="D22" s="115">
        <f>IFERROR(IF(d_Bv!D22=0,".",((Ir*F*d_Bv!D22*(1-EXP(-RadSpec!AZ22*t_b)))/(P*RadSpec!AZ22))),".")</f>
        <v>3.2529233793739438</v>
      </c>
      <c r="E22" s="115">
        <f>IFERROR(IF(d_Bv!E22=0,".",((Ir*F*d_Bv!E22*(1-EXP(-RadSpec!AZ22*t_b)))/(P*RadSpec!AZ22))),".")</f>
        <v>2.5022487533645723</v>
      </c>
      <c r="F22" s="115">
        <f>IFERROR(IF(d_Bv!F22=0,".",((Ir*F*d_Bv!F22*(1-EXP(-RadSpec!AZ22*t_b)))/(P*RadSpec!AZ22))),".")</f>
        <v>0.35746410762351033</v>
      </c>
      <c r="G22" s="115">
        <f>IFERROR(IF(d_Bv!G22=0,".",((Ir*F*d_Bv!G22*(1-EXP(-RadSpec!AZ22*t_b)))/(P*RadSpec!AZ22))),".")</f>
        <v>0.60768898295996754</v>
      </c>
      <c r="H22" s="115">
        <f>IFERROR(IF(d_Bv!H22=0,".",((Ir*F*d_Bv!H22*(1-EXP(-RadSpec!AZ22*t_b)))/(P*RadSpec!AZ22))),".")</f>
        <v>3.2529233793739438</v>
      </c>
      <c r="I22" s="115">
        <f>IFERROR(IF(d_Bv!I22=0,".",((Ir*F*d_Bv!I22*(1-EXP(-RadSpec!AZ22*t_b)))/(P*RadSpec!AZ22))),".")</f>
        <v>2.5022487533645723</v>
      </c>
      <c r="J22" s="115">
        <f>IFERROR(IF(d_Bv!J22=0,".",((Ir*F*d_Bv!J22*(1-EXP(-RadSpec!AZ22*t_b)))/(P*RadSpec!AZ22))),".")</f>
        <v>0.35746410762351033</v>
      </c>
      <c r="K22" s="115">
        <f>IFERROR(IF(d_Bv!K22=0,".",((Ir*F*d_Bv!K22*(1-EXP(-RadSpec!AZ22*t_b)))/(P*RadSpec!AZ22))),".")</f>
        <v>8.5791385829642464E-2</v>
      </c>
      <c r="L22" s="115">
        <f>IFERROR(IF(d_Bv!L22=0,".",((Ir*F*d_Bv!L22*(1-EXP(-RadSpec!AZ22*t_b)))/(P*RadSpec!AZ22))),".")</f>
        <v>0.60768898295996754</v>
      </c>
      <c r="M22" s="115">
        <f>IFERROR(IF(d_Bv!M22=0,".",((Ir*F*d_Bv!M22*(1-EXP(-RadSpec!AZ22*t_b)))/(P*RadSpec!AZ22))),".")</f>
        <v>3.2529233793739438</v>
      </c>
      <c r="N22" s="115">
        <f>IFERROR(IF(d_Bv!N22=0,".",((Ir*F*d_Bv!N22*(1-EXP(-RadSpec!AZ22*t_b)))/(P*RadSpec!AZ22))),".")</f>
        <v>0.50044975067291442</v>
      </c>
      <c r="O22" s="115">
        <f>IFERROR(IF(d_Bv!O22=0,".",((Ir*F*d_Bv!O22*(1-EXP(-RadSpec!AZ22*t_b)))/(P*RadSpec!AZ22))),".")</f>
        <v>0.60768898295996754</v>
      </c>
      <c r="P22" s="115">
        <f>IFERROR(IF(d_Bv!I22=0,".",((Ir*F*d_Bv!I22*(1-EXP(-RadSpec!AZ22*t_b)))/(P*RadSpec!AZ22))),".")</f>
        <v>2.5022487533645723</v>
      </c>
      <c r="Q22" s="115">
        <f>IFERROR(IF(d_Bv!Q22=0,".",((Ir*F*d_Bv!Q22*(1-EXP(-RadSpec!AZ22*t_b)))/(P*RadSpec!AZ22))),".")</f>
        <v>0.35746410762351033</v>
      </c>
      <c r="R22" s="115">
        <f>IFERROR(IF(d_Bv!R22=0,".",((Ir*F*d_Bv!R22*(1-EXP(-RadSpec!AZ22*t_b)))/(P*RadSpec!AZ22))),".")</f>
        <v>0.35746410762351033</v>
      </c>
      <c r="S22" s="115">
        <f>IFERROR(IF(d_Bv!S22=0,".",((Ir*F*d_Bv!S22*(1-EXP(-RadSpec!AZ22*t_b)))/(P*RadSpec!AZ22))),".")</f>
        <v>0.50044975067291442</v>
      </c>
      <c r="T22" s="211">
        <f>IFERROR(IF(d_Bv!T22=0,".",((Ir*F*d_Bv!S22*(1-EXP(-RadSpec!AZ22*t_b)))/(P*RadSpec!AZ22))),".")</f>
        <v>0.50044975067291442</v>
      </c>
      <c r="U22" s="115">
        <f>IFERROR(IF(d_Bv!U22=0,".",((Ir*F*d_Bv!U22*(1-EXP(-RadSpec!AZ22*t_b)))/(P*RadSpec!AZ22))),".")</f>
        <v>0.39321051838586135</v>
      </c>
      <c r="V22" s="115">
        <f>IFERROR(IF(d_Bv!V22=0,".",((Ir*F*d_Bv!V22*(1-EXP(-RadSpec!AZ22*t_b)))/(P*RadSpec!AZ22))),".")</f>
        <v>0.60768898295996754</v>
      </c>
      <c r="W22" s="115">
        <f>IFERROR(IF(d_Bv!W22=0,".",((Ir*F*d_Bv!W22*(1-EXP(-RadSpec!AZ22*t_b)))/(P*RadSpec!AZ22))),".")</f>
        <v>0.50044975067291442</v>
      </c>
      <c r="X22" s="115">
        <f>IFERROR(IF(d_Bv!X22=0,".",((Ir*F*d_Bv!X22*(1-EXP(-RadSpec!AZ22*t_b)))/(P*RadSpec!AZ22))),".")</f>
        <v>0.35746410762351033</v>
      </c>
      <c r="Y22" s="115">
        <f>IFERROR(IF(d_Bv!Y22=0,".",((Ir*F*d_Bv!Y22*(1-EXP(-RadSpec!AZ22*t_b)))/(P*RadSpec!AZ22))),".")</f>
        <v>0.60768898295996754</v>
      </c>
      <c r="Z22" s="115">
        <f>IFERROR(IF(d_Bv!Z22=0,".",((Ir*F*d_Bv!Z22*(1-EXP(-RadSpec!AZ22*t_b)))/(P*RadSpec!AZ22))),".")</f>
        <v>3.10993773632454E-2</v>
      </c>
      <c r="AA22" s="115">
        <f>IFERROR(IF(d_Bv!AA22=0,".",((Ir*F*d_Bv!AA22*(1-EXP(-RadSpec!AZ22*t_b)))/(P*RadSpec!AZ22))),".")</f>
        <v>0.60768898295996754</v>
      </c>
      <c r="AB22" s="115">
        <f>IFERROR(IF(d_Bv!C22=0,".",((Ir*F*MLF_apple*(1-EXP(-RadSpec!AZ22*t_b)))/(P*RadSpec!AZ22))),".")</f>
        <v>5.7194257219761657E-3</v>
      </c>
      <c r="AC22" s="115">
        <f>IFERROR(IF(d_Bv!D22=0,".",((Ir*F*MLF_asparagus*(1-EXP(-RadSpec!AZ22*t_b)))/(P*RadSpec!AZ22))),".")</f>
        <v>2.8239664502257315E-3</v>
      </c>
      <c r="AD22" s="115">
        <f>IFERROR(IF(d_Bv!E22=0,".",((Ir*F*MLF_beet*(1-EXP(-RadSpec!AZ22*t_b)))/(P*RadSpec!AZ22))),".")</f>
        <v>4.9330046852044422E-3</v>
      </c>
      <c r="AE22" s="115">
        <f>IFERROR(IF(d_Bv!F22=0,".",((Ir*F*MLF_berries*(1-EXP(-RadSpec!AZ22*t_b)))/(P*RadSpec!AZ22))),".")</f>
        <v>5.9339041865502712E-3</v>
      </c>
      <c r="AF22" s="115">
        <f>IFERROR(IF(d_Bv!G22=0,".",((Ir*F*MLF_broccoli*(1-EXP(-RadSpec!AZ22*t_b)))/(P*RadSpec!AZ22))),".")</f>
        <v>3.6103874869974538E-2</v>
      </c>
      <c r="AG22" s="115">
        <f>IFERROR(IF(d_Bv!H22=0,".",((Ir*F*MLF_cabbage*(1-EXP(-RadSpec!AZ22*t_b)))/(P*RadSpec!AZ22))),".")</f>
        <v>3.7533731300468582E-3</v>
      </c>
      <c r="AH22" s="115">
        <f>IFERROR(IF(d_Bv!I22=0,".",((Ir*F*MLF_carrot*(1-EXP(-RadSpec!AZ22*t_b)))/(P*RadSpec!AZ22))),".")</f>
        <v>3.4674018439480501E-3</v>
      </c>
      <c r="AI22" s="115">
        <f>IFERROR(IF(d_Bv!J22=0,".",((Ir*F*MLF_citrus*(1-EXP(-RadSpec!AZ22*t_b)))/(P*RadSpec!AZ22))),".")</f>
        <v>5.6121864896891112E-3</v>
      </c>
      <c r="AJ22" s="115">
        <f>IFERROR(IF(d_Bv!K22=0,".",((Ir*F*MLF_corn*(1-EXP(-RadSpec!AZ22*t_b)))/(P*RadSpec!AZ22))),".")</f>
        <v>5.1832295605408994E-3</v>
      </c>
      <c r="AK22" s="115">
        <f>IFERROR(IF(d_Bv!L22=0,".",((Ir*F*MLF_cucumber*(1-EXP(-RadSpec!AZ22*t_b)))/(P*RadSpec!AZ22))),".")</f>
        <v>1.4298564304940414E-3</v>
      </c>
      <c r="AL22" s="115">
        <f>IFERROR(IF(d_Bv!M22=0,".",((Ir*F*MLF_lettuce*(1-EXP(-RadSpec!AZ22*t_b)))/(P*RadSpec!AZ22))),".")</f>
        <v>0.48257654529173893</v>
      </c>
      <c r="AM22" s="115">
        <f>IFERROR(IF(d_Bv!N22=0,".",((Ir*F*MLF_lima_bean*(1-EXP(-RadSpec!AZ22*t_b)))/(P*RadSpec!AZ22))),".")</f>
        <v>0.13690875321980447</v>
      </c>
      <c r="AN22" s="115">
        <f>IFERROR(IF(d_Bv!O22=0,".",((Ir*F*MLF_okra*(1-EXP(-RadSpec!AZ22*t_b)))/(P*RadSpec!AZ22))),".")</f>
        <v>2.8597128609880828E-3</v>
      </c>
      <c r="AO22" s="115">
        <f>IFERROR(IF(d_Bv!P22=0,".",((Ir*F*MLF_onion*(1-EXP(-RadSpec!AZ22*t_b)))/(P*RadSpec!AZ22))),".")</f>
        <v>3.4674018439480501E-3</v>
      </c>
      <c r="AP22" s="115">
        <f>IFERROR(IF(d_Bv!Q22=0,".",((Ir*F*MLF_peach*(1-EXP(-RadSpec!AZ22*t_b)))/(P*RadSpec!AZ22))),".")</f>
        <v>5.361961614352654E-3</v>
      </c>
      <c r="AQ22" s="115">
        <f>IFERROR(IF(d_Bv!R22=0,".",((Ir*F*MLF_pear*(1-EXP(-RadSpec!AZ22*t_b)))/(P*RadSpec!AZ22))),".")</f>
        <v>5.7194257219761657E-3</v>
      </c>
      <c r="AR22" s="115">
        <f>IFERROR(IF(d_Bv!S22=0,".",((Ir*F*MLF_peas*(1-EXP(-RadSpec!AZ22*t_b)))/(P*RadSpec!AZ22))),".")</f>
        <v>6.3628611156984829E-3</v>
      </c>
      <c r="AS22" s="115">
        <f>IFERROR(IF(d_Bv!T22=0,".",((Ir*F*MLF_peppers*(1-EXP(-RadSpec!AZ22*t_b)))/(P*RadSpec!AZ22))),".")</f>
        <v>7.93570318924193E-2</v>
      </c>
      <c r="AT22" s="115">
        <f>IFERROR(IF(d_Bv!U22=0,".",((Ir*F*MLF_potato*(1-EXP(-RadSpec!AZ22*t_b)))/(P*RadSpec!AZ22))),".")</f>
        <v>7.5067462600937164E-3</v>
      </c>
      <c r="AU22" s="115">
        <f>IFERROR(IF(d_Bv!V22=0,".",((Ir*F*MLF_pumpkin*(1-EXP(-RadSpec!AZ22*t_b)))/(P*RadSpec!AZ22))),".")</f>
        <v>2.0732918242163598E-3</v>
      </c>
      <c r="AV22" s="115">
        <f>IFERROR(IF(d_Bv!W22=0,".",((Ir*F*MLF_snap_bean*(1-EXP(-RadSpec!AZ22*t_b)))/(P*RadSpec!AZ22))),".")</f>
        <v>0.17873205381175516</v>
      </c>
      <c r="AW22" s="115">
        <f>IFERROR(IF(d_Bv!X22=0,".",((Ir*F*MLF_strawberry*(1-EXP(-RadSpec!AZ22*t_b)))/(P*RadSpec!AZ22))),".")</f>
        <v>2.8597128609880828E-3</v>
      </c>
      <c r="AX22" s="115">
        <f>IFERROR(IF(d_Bv!Y22=0,".",((Ir*F*MLF_tomato*(1-EXP(-RadSpec!AZ22*t_b)))/(P*RadSpec!AZ22))),".")</f>
        <v>6.327114704936132E-2</v>
      </c>
      <c r="AY22" s="115">
        <f>IFERROR(IF(d_Bv!Z22=0,".",((Ir*F*MLF_rice*(1-EXP(-RadSpec!AZ22*t_b)))/(P*RadSpec!AZ22))),".")</f>
        <v>8.9366026905877582</v>
      </c>
      <c r="AZ22" s="115">
        <f>IFERROR(IF(d_Bv!AA22=0,".",((Ir*F*MLF_cereal*(1-EXP(-RadSpec!AZ22*t_b)))/(P*RadSpec!AZ22))),".")</f>
        <v>8.9366026905877582</v>
      </c>
      <c r="BA22" s="115">
        <f>IFERROR(IF(d_Bv!C22=0,".",((Ir*F*I_f*T*(1-EXP(-RadSpec!BA22*t_v)))/(Y_v*RadSpec!BA22))),".")</f>
        <v>3.6424203206347228</v>
      </c>
      <c r="BB22" s="115">
        <f>IFERROR(IF(d_Bv!D22=0,".",((Ir*F*I_f*T*(1-EXP(-RadSpec!BA22*t_v)))/(Y_v*RadSpec!BA22))),".")</f>
        <v>3.6424203206347228</v>
      </c>
      <c r="BC22" s="115">
        <f>IFERROR(IF(d_Bv!E22=0,".",((Ir*F*I_f*T*(1-EXP(-RadSpec!BA22*t_v)))/(Y_v*RadSpec!BA22))),".")</f>
        <v>3.6424203206347228</v>
      </c>
      <c r="BD22" s="115">
        <f>IFERROR(IF(d_Bv!F22=0,".",((Ir*F*I_f*T*(1-EXP(-RadSpec!BA22*t_v)))/(Y_v*RadSpec!BA22))),".")</f>
        <v>3.6424203206347228</v>
      </c>
      <c r="BE22" s="115">
        <f>IFERROR(IF(d_Bv!G22=0,".",((Ir*F*I_f*T*(1-EXP(-RadSpec!BA22*t_v)))/(Y_v*RadSpec!BA22))),".")</f>
        <v>3.6424203206347228</v>
      </c>
      <c r="BF22" s="115">
        <f>IFERROR(IF(d_Bv!H22=0,".",((Ir*F*I_f*T*(1-EXP(-RadSpec!BA22*t_v)))/(Y_v*RadSpec!BA22))),".")</f>
        <v>3.6424203206347228</v>
      </c>
      <c r="BG22" s="115">
        <f>IFERROR(IF(d_Bv!I22=0,".",((Ir*F*I_f*T*(1-EXP(-RadSpec!BA22*t_v)))/(Y_v*RadSpec!BA22))),".")</f>
        <v>3.6424203206347228</v>
      </c>
      <c r="BH22" s="115">
        <f>IFERROR(IF(d_Bv!J22=0,".",((Ir*F*I_f*T*(1-EXP(-RadSpec!BA22*t_v)))/(Y_v*RadSpec!BA22))),".")</f>
        <v>3.6424203206347228</v>
      </c>
      <c r="BI22" s="115">
        <f>IFERROR(IF(d_Bv!K22=0,".",((Ir*F*I_f*T*(1-EXP(-RadSpec!BA22*t_v)))/(Y_v*RadSpec!BA22))),".")</f>
        <v>3.6424203206347228</v>
      </c>
      <c r="BJ22" s="115">
        <f>IFERROR(IF(d_Bv!L22=0,".",((Ir*F*I_f*T*(1-EXP(-RadSpec!BA22*t_v)))/(Y_v*RadSpec!BA22))),".")</f>
        <v>3.6424203206347228</v>
      </c>
      <c r="BK22" s="115">
        <f>IFERROR(IF(d_Bv!M22=0,".",((Ir*F*I_f*T*(1-EXP(-RadSpec!BA22*t_v)))/(Y_v*RadSpec!BA22))),".")</f>
        <v>3.6424203206347228</v>
      </c>
      <c r="BL22" s="115">
        <f>IFERROR(IF(d_Bv!N22=0,".",((Ir*F*I_f*T*(1-EXP(-RadSpec!BA22*t_v)))/(Y_v*RadSpec!BA22))),".")</f>
        <v>3.6424203206347228</v>
      </c>
      <c r="BM22" s="115">
        <f>IFERROR(IF(d_Bv!O22=0,".",((Ir*F*I_f*T*(1-EXP(-RadSpec!BA22*t_v)))/(Y_v*RadSpec!BA22))),".")</f>
        <v>3.6424203206347228</v>
      </c>
      <c r="BN22" s="115">
        <f>IFERROR(IF(d_Bv!P22=0,".",((Ir*F*I_f*T*(1-EXP(-RadSpec!BA22*t_v)))/(Y_v*RadSpec!BA22))),".")</f>
        <v>3.6424203206347228</v>
      </c>
      <c r="BO22" s="115">
        <f>IFERROR(IF(d_Bv!Q22=0,".",((Ir*F*I_f*T*(1-EXP(-RadSpec!BA22*t_v)))/(Y_v*RadSpec!BA22))),".")</f>
        <v>3.6424203206347228</v>
      </c>
      <c r="BP22" s="115">
        <f>IFERROR(IF(d_Bv!R22=0,".",((Ir*F*I_f*T*(1-EXP(-RadSpec!BA22*t_v)))/(Y_v*RadSpec!BA22))),".")</f>
        <v>3.6424203206347228</v>
      </c>
      <c r="BQ22" s="115">
        <f>IFERROR(IF(d_Bv!S22=0,".",((Ir*F*I_f*T*(1-EXP(-RadSpec!BA22*t_v)))/(Y_v*RadSpec!BA22))),".")</f>
        <v>3.6424203206347228</v>
      </c>
      <c r="BR22" s="115">
        <f>IFERROR(IF(d_Bv!T22=0,".",((Ir*F*I_f*T*(1-EXP(-RadSpec!BA22*t_v)))/(Y_v*RadSpec!BA22))),".")</f>
        <v>3.6424203206347228</v>
      </c>
      <c r="BS22" s="115">
        <f>IFERROR(IF(d_Bv!U22=0,".",((Ir*F*I_f*T*(1-EXP(-RadSpec!BA22*t_v)))/(Y_v*RadSpec!BA22))),".")</f>
        <v>3.6424203206347228</v>
      </c>
      <c r="BT22" s="115">
        <f>IFERROR(IF(d_Bv!V22=0,".",((Ir*F*I_f*T*(1-EXP(-RadSpec!BA22*t_v)))/(Y_v*RadSpec!BA22))),".")</f>
        <v>3.6424203206347228</v>
      </c>
      <c r="BU22" s="115">
        <f>IFERROR(IF(d_Bv!W22=0,".",((Ir*F*I_f*T*(1-EXP(-RadSpec!BA22*t_v)))/(Y_v*RadSpec!BA22))),".")</f>
        <v>3.6424203206347228</v>
      </c>
      <c r="BV22" s="115">
        <f>IFERROR(IF(d_Bv!X22=0,".",((Ir*F*I_f*T*(1-EXP(-RadSpec!BA22*t_v)))/(Y_v*RadSpec!BA22))),".")</f>
        <v>3.6424203206347228</v>
      </c>
      <c r="BW22" s="115">
        <f>IFERROR(IF(d_Bv!Y22=0,".",((Ir*F*I_f*T*(1-EXP(-RadSpec!BA22*t_v)))/(Y_v*RadSpec!BA22))),".")</f>
        <v>3.6424203206347228</v>
      </c>
      <c r="BX22" s="115">
        <f>IFERROR(IF(d_Bv!Z22=0,".",((Ir*F*I_f*T*(1-EXP(-RadSpec!BA22*t_v)))/(Y_v*RadSpec!BA22))),".")</f>
        <v>3.6424203206347228</v>
      </c>
      <c r="BY22" s="115">
        <f>IFERROR(IF(d_Bv!AA22=0,".",((Ir*F*I_f*T*(1-EXP(-RadSpec!BA22*t_v)))/(Y_v*RadSpec!BA22))),".")</f>
        <v>3.6424203206347228</v>
      </c>
    </row>
    <row r="23" spans="1:77" x14ac:dyDescent="0.25">
      <c r="A23" s="46" t="s">
        <v>33</v>
      </c>
      <c r="B23" s="42" t="s">
        <v>349</v>
      </c>
      <c r="C23" s="115">
        <f>IFERROR(IF(d_Bv!C23=0,".",((Ir*F*d_Bv!C23*(1-EXP(-RadSpec!AZ23*t_b)))/(P*RadSpec!AZ23))),".")</f>
        <v>0.35746410762351033</v>
      </c>
      <c r="D23" s="115">
        <f>IFERROR(IF(d_Bv!D23=0,".",((Ir*F*d_Bv!D23*(1-EXP(-RadSpec!AZ23*t_b)))/(P*RadSpec!AZ23))),".")</f>
        <v>3.2529233793739438</v>
      </c>
      <c r="E23" s="115">
        <f>IFERROR(IF(d_Bv!E23=0,".",((Ir*F*d_Bv!E23*(1-EXP(-RadSpec!AZ23*t_b)))/(P*RadSpec!AZ23))),".")</f>
        <v>2.5022487533645723</v>
      </c>
      <c r="F23" s="115">
        <f>IFERROR(IF(d_Bv!F23=0,".",((Ir*F*d_Bv!F23*(1-EXP(-RadSpec!AZ23*t_b)))/(P*RadSpec!AZ23))),".")</f>
        <v>0.35746410762351033</v>
      </c>
      <c r="G23" s="115">
        <f>IFERROR(IF(d_Bv!G23=0,".",((Ir*F*d_Bv!G23*(1-EXP(-RadSpec!AZ23*t_b)))/(P*RadSpec!AZ23))),".")</f>
        <v>0.60768898295996754</v>
      </c>
      <c r="H23" s="115">
        <f>IFERROR(IF(d_Bv!H23=0,".",((Ir*F*d_Bv!H23*(1-EXP(-RadSpec!AZ23*t_b)))/(P*RadSpec!AZ23))),".")</f>
        <v>3.2529233793739438</v>
      </c>
      <c r="I23" s="115">
        <f>IFERROR(IF(d_Bv!I23=0,".",((Ir*F*d_Bv!I23*(1-EXP(-RadSpec!AZ23*t_b)))/(P*RadSpec!AZ23))),".")</f>
        <v>2.5022487533645723</v>
      </c>
      <c r="J23" s="115">
        <f>IFERROR(IF(d_Bv!J23=0,".",((Ir*F*d_Bv!J23*(1-EXP(-RadSpec!AZ23*t_b)))/(P*RadSpec!AZ23))),".")</f>
        <v>0.35746410762351033</v>
      </c>
      <c r="K23" s="115">
        <f>IFERROR(IF(d_Bv!K23=0,".",((Ir*F*d_Bv!K23*(1-EXP(-RadSpec!AZ23*t_b)))/(P*RadSpec!AZ23))),".")</f>
        <v>8.5791385829642464E-2</v>
      </c>
      <c r="L23" s="115">
        <f>IFERROR(IF(d_Bv!L23=0,".",((Ir*F*d_Bv!L23*(1-EXP(-RadSpec!AZ23*t_b)))/(P*RadSpec!AZ23))),".")</f>
        <v>0.60768898295996754</v>
      </c>
      <c r="M23" s="115">
        <f>IFERROR(IF(d_Bv!M23=0,".",((Ir*F*d_Bv!M23*(1-EXP(-RadSpec!AZ23*t_b)))/(P*RadSpec!AZ23))),".")</f>
        <v>3.2529233793739438</v>
      </c>
      <c r="N23" s="115">
        <f>IFERROR(IF(d_Bv!N23=0,".",((Ir*F*d_Bv!N23*(1-EXP(-RadSpec!AZ23*t_b)))/(P*RadSpec!AZ23))),".")</f>
        <v>0.50044975067291442</v>
      </c>
      <c r="O23" s="115">
        <f>IFERROR(IF(d_Bv!O23=0,".",((Ir*F*d_Bv!O23*(1-EXP(-RadSpec!AZ23*t_b)))/(P*RadSpec!AZ23))),".")</f>
        <v>0.60768898295996754</v>
      </c>
      <c r="P23" s="115">
        <f>IFERROR(IF(d_Bv!I23=0,".",((Ir*F*d_Bv!I23*(1-EXP(-RadSpec!AZ23*t_b)))/(P*RadSpec!AZ23))),".")</f>
        <v>2.5022487533645723</v>
      </c>
      <c r="Q23" s="115">
        <f>IFERROR(IF(d_Bv!Q23=0,".",((Ir*F*d_Bv!Q23*(1-EXP(-RadSpec!AZ23*t_b)))/(P*RadSpec!AZ23))),".")</f>
        <v>0.35746410762351033</v>
      </c>
      <c r="R23" s="115">
        <f>IFERROR(IF(d_Bv!R23=0,".",((Ir*F*d_Bv!R23*(1-EXP(-RadSpec!AZ23*t_b)))/(P*RadSpec!AZ23))),".")</f>
        <v>0.35746410762351033</v>
      </c>
      <c r="S23" s="115">
        <f>IFERROR(IF(d_Bv!S23=0,".",((Ir*F*d_Bv!S23*(1-EXP(-RadSpec!AZ23*t_b)))/(P*RadSpec!AZ23))),".")</f>
        <v>0.50044975067291442</v>
      </c>
      <c r="T23" s="211">
        <f>IFERROR(IF(d_Bv!T23=0,".",((Ir*F*d_Bv!S23*(1-EXP(-RadSpec!AZ23*t_b)))/(P*RadSpec!AZ23))),".")</f>
        <v>0.50044975067291442</v>
      </c>
      <c r="U23" s="115">
        <f>IFERROR(IF(d_Bv!U23=0,".",((Ir*F*d_Bv!U23*(1-EXP(-RadSpec!AZ23*t_b)))/(P*RadSpec!AZ23))),".")</f>
        <v>0.39321051838586135</v>
      </c>
      <c r="V23" s="115">
        <f>IFERROR(IF(d_Bv!V23=0,".",((Ir*F*d_Bv!V23*(1-EXP(-RadSpec!AZ23*t_b)))/(P*RadSpec!AZ23))),".")</f>
        <v>0.60768898295996754</v>
      </c>
      <c r="W23" s="115">
        <f>IFERROR(IF(d_Bv!W23=0,".",((Ir*F*d_Bv!W23*(1-EXP(-RadSpec!AZ23*t_b)))/(P*RadSpec!AZ23))),".")</f>
        <v>0.50044975067291442</v>
      </c>
      <c r="X23" s="115">
        <f>IFERROR(IF(d_Bv!X23=0,".",((Ir*F*d_Bv!X23*(1-EXP(-RadSpec!AZ23*t_b)))/(P*RadSpec!AZ23))),".")</f>
        <v>0.35746410762351033</v>
      </c>
      <c r="Y23" s="115">
        <f>IFERROR(IF(d_Bv!Y23=0,".",((Ir*F*d_Bv!Y23*(1-EXP(-RadSpec!AZ23*t_b)))/(P*RadSpec!AZ23))),".")</f>
        <v>0.60768898295996754</v>
      </c>
      <c r="Z23" s="115">
        <f>IFERROR(IF(d_Bv!Z23=0,".",((Ir*F*d_Bv!Z23*(1-EXP(-RadSpec!AZ23*t_b)))/(P*RadSpec!AZ23))),".")</f>
        <v>3.10993773632454E-2</v>
      </c>
      <c r="AA23" s="115">
        <f>IFERROR(IF(d_Bv!AA23=0,".",((Ir*F*d_Bv!AA23*(1-EXP(-RadSpec!AZ23*t_b)))/(P*RadSpec!AZ23))),".")</f>
        <v>0.60768898295996754</v>
      </c>
      <c r="AB23" s="115">
        <f>IFERROR(IF(d_Bv!C23=0,".",((Ir*F*MLF_apple*(1-EXP(-RadSpec!AZ23*t_b)))/(P*RadSpec!AZ23))),".")</f>
        <v>5.7194257219761657E-3</v>
      </c>
      <c r="AC23" s="115">
        <f>IFERROR(IF(d_Bv!D23=0,".",((Ir*F*MLF_asparagus*(1-EXP(-RadSpec!AZ23*t_b)))/(P*RadSpec!AZ23))),".")</f>
        <v>2.8239664502257315E-3</v>
      </c>
      <c r="AD23" s="115">
        <f>IFERROR(IF(d_Bv!E23=0,".",((Ir*F*MLF_beet*(1-EXP(-RadSpec!AZ23*t_b)))/(P*RadSpec!AZ23))),".")</f>
        <v>4.9330046852044422E-3</v>
      </c>
      <c r="AE23" s="115">
        <f>IFERROR(IF(d_Bv!F23=0,".",((Ir*F*MLF_berries*(1-EXP(-RadSpec!AZ23*t_b)))/(P*RadSpec!AZ23))),".")</f>
        <v>5.9339041865502712E-3</v>
      </c>
      <c r="AF23" s="115">
        <f>IFERROR(IF(d_Bv!G23=0,".",((Ir*F*MLF_broccoli*(1-EXP(-RadSpec!AZ23*t_b)))/(P*RadSpec!AZ23))),".")</f>
        <v>3.6103874869974538E-2</v>
      </c>
      <c r="AG23" s="115">
        <f>IFERROR(IF(d_Bv!H23=0,".",((Ir*F*MLF_cabbage*(1-EXP(-RadSpec!AZ23*t_b)))/(P*RadSpec!AZ23))),".")</f>
        <v>3.7533731300468582E-3</v>
      </c>
      <c r="AH23" s="115">
        <f>IFERROR(IF(d_Bv!I23=0,".",((Ir*F*MLF_carrot*(1-EXP(-RadSpec!AZ23*t_b)))/(P*RadSpec!AZ23))),".")</f>
        <v>3.4674018439480501E-3</v>
      </c>
      <c r="AI23" s="115">
        <f>IFERROR(IF(d_Bv!J23=0,".",((Ir*F*MLF_citrus*(1-EXP(-RadSpec!AZ23*t_b)))/(P*RadSpec!AZ23))),".")</f>
        <v>5.6121864896891112E-3</v>
      </c>
      <c r="AJ23" s="115">
        <f>IFERROR(IF(d_Bv!K23=0,".",((Ir*F*MLF_corn*(1-EXP(-RadSpec!AZ23*t_b)))/(P*RadSpec!AZ23))),".")</f>
        <v>5.1832295605408994E-3</v>
      </c>
      <c r="AK23" s="115">
        <f>IFERROR(IF(d_Bv!L23=0,".",((Ir*F*MLF_cucumber*(1-EXP(-RadSpec!AZ23*t_b)))/(P*RadSpec!AZ23))),".")</f>
        <v>1.4298564304940414E-3</v>
      </c>
      <c r="AL23" s="115">
        <f>IFERROR(IF(d_Bv!M23=0,".",((Ir*F*MLF_lettuce*(1-EXP(-RadSpec!AZ23*t_b)))/(P*RadSpec!AZ23))),".")</f>
        <v>0.48257654529173893</v>
      </c>
      <c r="AM23" s="115">
        <f>IFERROR(IF(d_Bv!N23=0,".",((Ir*F*MLF_lima_bean*(1-EXP(-RadSpec!AZ23*t_b)))/(P*RadSpec!AZ23))),".")</f>
        <v>0.13690875321980447</v>
      </c>
      <c r="AN23" s="115">
        <f>IFERROR(IF(d_Bv!O23=0,".",((Ir*F*MLF_okra*(1-EXP(-RadSpec!AZ23*t_b)))/(P*RadSpec!AZ23))),".")</f>
        <v>2.8597128609880828E-3</v>
      </c>
      <c r="AO23" s="115">
        <f>IFERROR(IF(d_Bv!P23=0,".",((Ir*F*MLF_onion*(1-EXP(-RadSpec!AZ23*t_b)))/(P*RadSpec!AZ23))),".")</f>
        <v>3.4674018439480501E-3</v>
      </c>
      <c r="AP23" s="115">
        <f>IFERROR(IF(d_Bv!Q23=0,".",((Ir*F*MLF_peach*(1-EXP(-RadSpec!AZ23*t_b)))/(P*RadSpec!AZ23))),".")</f>
        <v>5.361961614352654E-3</v>
      </c>
      <c r="AQ23" s="115">
        <f>IFERROR(IF(d_Bv!R23=0,".",((Ir*F*MLF_pear*(1-EXP(-RadSpec!AZ23*t_b)))/(P*RadSpec!AZ23))),".")</f>
        <v>5.7194257219761657E-3</v>
      </c>
      <c r="AR23" s="115">
        <f>IFERROR(IF(d_Bv!S23=0,".",((Ir*F*MLF_peas*(1-EXP(-RadSpec!AZ23*t_b)))/(P*RadSpec!AZ23))),".")</f>
        <v>6.3628611156984829E-3</v>
      </c>
      <c r="AS23" s="115">
        <f>IFERROR(IF(d_Bv!T23=0,".",((Ir*F*MLF_peppers*(1-EXP(-RadSpec!AZ23*t_b)))/(P*RadSpec!AZ23))),".")</f>
        <v>7.93570318924193E-2</v>
      </c>
      <c r="AT23" s="115">
        <f>IFERROR(IF(d_Bv!U23=0,".",((Ir*F*MLF_potato*(1-EXP(-RadSpec!AZ23*t_b)))/(P*RadSpec!AZ23))),".")</f>
        <v>7.5067462600937164E-3</v>
      </c>
      <c r="AU23" s="115">
        <f>IFERROR(IF(d_Bv!V23=0,".",((Ir*F*MLF_pumpkin*(1-EXP(-RadSpec!AZ23*t_b)))/(P*RadSpec!AZ23))),".")</f>
        <v>2.0732918242163598E-3</v>
      </c>
      <c r="AV23" s="115">
        <f>IFERROR(IF(d_Bv!W23=0,".",((Ir*F*MLF_snap_bean*(1-EXP(-RadSpec!AZ23*t_b)))/(P*RadSpec!AZ23))),".")</f>
        <v>0.17873205381175516</v>
      </c>
      <c r="AW23" s="115">
        <f>IFERROR(IF(d_Bv!X23=0,".",((Ir*F*MLF_strawberry*(1-EXP(-RadSpec!AZ23*t_b)))/(P*RadSpec!AZ23))),".")</f>
        <v>2.8597128609880828E-3</v>
      </c>
      <c r="AX23" s="115">
        <f>IFERROR(IF(d_Bv!Y23=0,".",((Ir*F*MLF_tomato*(1-EXP(-RadSpec!AZ23*t_b)))/(P*RadSpec!AZ23))),".")</f>
        <v>6.327114704936132E-2</v>
      </c>
      <c r="AY23" s="115">
        <f>IFERROR(IF(d_Bv!Z23=0,".",((Ir*F*MLF_rice*(1-EXP(-RadSpec!AZ23*t_b)))/(P*RadSpec!AZ23))),".")</f>
        <v>8.9366026905877582</v>
      </c>
      <c r="AZ23" s="115">
        <f>IFERROR(IF(d_Bv!AA23=0,".",((Ir*F*MLF_cereal*(1-EXP(-RadSpec!AZ23*t_b)))/(P*RadSpec!AZ23))),".")</f>
        <v>8.9366026905877582</v>
      </c>
      <c r="BA23" s="115">
        <f>IFERROR(IF(d_Bv!C23=0,".",((Ir*F*I_f*T*(1-EXP(-RadSpec!BA23*t_v)))/(Y_v*RadSpec!BA23))),".")</f>
        <v>3.6424203206347228</v>
      </c>
      <c r="BB23" s="115">
        <f>IFERROR(IF(d_Bv!D23=0,".",((Ir*F*I_f*T*(1-EXP(-RadSpec!BA23*t_v)))/(Y_v*RadSpec!BA23))),".")</f>
        <v>3.6424203206347228</v>
      </c>
      <c r="BC23" s="115">
        <f>IFERROR(IF(d_Bv!E23=0,".",((Ir*F*I_f*T*(1-EXP(-RadSpec!BA23*t_v)))/(Y_v*RadSpec!BA23))),".")</f>
        <v>3.6424203206347228</v>
      </c>
      <c r="BD23" s="115">
        <f>IFERROR(IF(d_Bv!F23=0,".",((Ir*F*I_f*T*(1-EXP(-RadSpec!BA23*t_v)))/(Y_v*RadSpec!BA23))),".")</f>
        <v>3.6424203206347228</v>
      </c>
      <c r="BE23" s="115">
        <f>IFERROR(IF(d_Bv!G23=0,".",((Ir*F*I_f*T*(1-EXP(-RadSpec!BA23*t_v)))/(Y_v*RadSpec!BA23))),".")</f>
        <v>3.6424203206347228</v>
      </c>
      <c r="BF23" s="115">
        <f>IFERROR(IF(d_Bv!H23=0,".",((Ir*F*I_f*T*(1-EXP(-RadSpec!BA23*t_v)))/(Y_v*RadSpec!BA23))),".")</f>
        <v>3.6424203206347228</v>
      </c>
      <c r="BG23" s="115">
        <f>IFERROR(IF(d_Bv!I23=0,".",((Ir*F*I_f*T*(1-EXP(-RadSpec!BA23*t_v)))/(Y_v*RadSpec!BA23))),".")</f>
        <v>3.6424203206347228</v>
      </c>
      <c r="BH23" s="115">
        <f>IFERROR(IF(d_Bv!J23=0,".",((Ir*F*I_f*T*(1-EXP(-RadSpec!BA23*t_v)))/(Y_v*RadSpec!BA23))),".")</f>
        <v>3.6424203206347228</v>
      </c>
      <c r="BI23" s="115">
        <f>IFERROR(IF(d_Bv!K23=0,".",((Ir*F*I_f*T*(1-EXP(-RadSpec!BA23*t_v)))/(Y_v*RadSpec!BA23))),".")</f>
        <v>3.6424203206347228</v>
      </c>
      <c r="BJ23" s="115">
        <f>IFERROR(IF(d_Bv!L23=0,".",((Ir*F*I_f*T*(1-EXP(-RadSpec!BA23*t_v)))/(Y_v*RadSpec!BA23))),".")</f>
        <v>3.6424203206347228</v>
      </c>
      <c r="BK23" s="115">
        <f>IFERROR(IF(d_Bv!M23=0,".",((Ir*F*I_f*T*(1-EXP(-RadSpec!BA23*t_v)))/(Y_v*RadSpec!BA23))),".")</f>
        <v>3.6424203206347228</v>
      </c>
      <c r="BL23" s="115">
        <f>IFERROR(IF(d_Bv!N23=0,".",((Ir*F*I_f*T*(1-EXP(-RadSpec!BA23*t_v)))/(Y_v*RadSpec!BA23))),".")</f>
        <v>3.6424203206347228</v>
      </c>
      <c r="BM23" s="115">
        <f>IFERROR(IF(d_Bv!O23=0,".",((Ir*F*I_f*T*(1-EXP(-RadSpec!BA23*t_v)))/(Y_v*RadSpec!BA23))),".")</f>
        <v>3.6424203206347228</v>
      </c>
      <c r="BN23" s="115">
        <f>IFERROR(IF(d_Bv!P23=0,".",((Ir*F*I_f*T*(1-EXP(-RadSpec!BA23*t_v)))/(Y_v*RadSpec!BA23))),".")</f>
        <v>3.6424203206347228</v>
      </c>
      <c r="BO23" s="115">
        <f>IFERROR(IF(d_Bv!Q23=0,".",((Ir*F*I_f*T*(1-EXP(-RadSpec!BA23*t_v)))/(Y_v*RadSpec!BA23))),".")</f>
        <v>3.6424203206347228</v>
      </c>
      <c r="BP23" s="115">
        <f>IFERROR(IF(d_Bv!R23=0,".",((Ir*F*I_f*T*(1-EXP(-RadSpec!BA23*t_v)))/(Y_v*RadSpec!BA23))),".")</f>
        <v>3.6424203206347228</v>
      </c>
      <c r="BQ23" s="115">
        <f>IFERROR(IF(d_Bv!S23=0,".",((Ir*F*I_f*T*(1-EXP(-RadSpec!BA23*t_v)))/(Y_v*RadSpec!BA23))),".")</f>
        <v>3.6424203206347228</v>
      </c>
      <c r="BR23" s="115">
        <f>IFERROR(IF(d_Bv!T23=0,".",((Ir*F*I_f*T*(1-EXP(-RadSpec!BA23*t_v)))/(Y_v*RadSpec!BA23))),".")</f>
        <v>3.6424203206347228</v>
      </c>
      <c r="BS23" s="115">
        <f>IFERROR(IF(d_Bv!U23=0,".",((Ir*F*I_f*T*(1-EXP(-RadSpec!BA23*t_v)))/(Y_v*RadSpec!BA23))),".")</f>
        <v>3.6424203206347228</v>
      </c>
      <c r="BT23" s="115">
        <f>IFERROR(IF(d_Bv!V23=0,".",((Ir*F*I_f*T*(1-EXP(-RadSpec!BA23*t_v)))/(Y_v*RadSpec!BA23))),".")</f>
        <v>3.6424203206347228</v>
      </c>
      <c r="BU23" s="115">
        <f>IFERROR(IF(d_Bv!W23=0,".",((Ir*F*I_f*T*(1-EXP(-RadSpec!BA23*t_v)))/(Y_v*RadSpec!BA23))),".")</f>
        <v>3.6424203206347228</v>
      </c>
      <c r="BV23" s="115">
        <f>IFERROR(IF(d_Bv!X23=0,".",((Ir*F*I_f*T*(1-EXP(-RadSpec!BA23*t_v)))/(Y_v*RadSpec!BA23))),".")</f>
        <v>3.6424203206347228</v>
      </c>
      <c r="BW23" s="115">
        <f>IFERROR(IF(d_Bv!Y23=0,".",((Ir*F*I_f*T*(1-EXP(-RadSpec!BA23*t_v)))/(Y_v*RadSpec!BA23))),".")</f>
        <v>3.6424203206347228</v>
      </c>
      <c r="BX23" s="115">
        <f>IFERROR(IF(d_Bv!Z23=0,".",((Ir*F*I_f*T*(1-EXP(-RadSpec!BA23*t_v)))/(Y_v*RadSpec!BA23))),".")</f>
        <v>3.6424203206347228</v>
      </c>
      <c r="BY23" s="115">
        <f>IFERROR(IF(d_Bv!AA23=0,".",((Ir*F*I_f*T*(1-EXP(-RadSpec!BA23*t_v)))/(Y_v*RadSpec!BA23))),".")</f>
        <v>3.6424203206347228</v>
      </c>
    </row>
    <row r="24" spans="1:77" x14ac:dyDescent="0.25">
      <c r="A24" s="44" t="s">
        <v>34</v>
      </c>
      <c r="B24" s="42" t="s">
        <v>1071</v>
      </c>
      <c r="C24" s="115" t="str">
        <f>IFERROR(IF(d_Bv!C24=0,".",((Ir*F*d_Bv!C24*(1-EXP(-RadSpec!AZ24*t_b)))/(P*RadSpec!AZ24))),".")</f>
        <v>.</v>
      </c>
      <c r="D24" s="115" t="str">
        <f>IFERROR(IF(d_Bv!D24=0,".",((Ir*F*d_Bv!D24*(1-EXP(-RadSpec!AZ24*t_b)))/(P*RadSpec!AZ24))),".")</f>
        <v>.</v>
      </c>
      <c r="E24" s="115" t="str">
        <f>IFERROR(IF(d_Bv!E24=0,".",((Ir*F*d_Bv!E24*(1-EXP(-RadSpec!AZ24*t_b)))/(P*RadSpec!AZ24))),".")</f>
        <v>.</v>
      </c>
      <c r="F24" s="115" t="str">
        <f>IFERROR(IF(d_Bv!F24=0,".",((Ir*F*d_Bv!F24*(1-EXP(-RadSpec!AZ24*t_b)))/(P*RadSpec!AZ24))),".")</f>
        <v>.</v>
      </c>
      <c r="G24" s="115" t="str">
        <f>IFERROR(IF(d_Bv!G24=0,".",((Ir*F*d_Bv!G24*(1-EXP(-RadSpec!AZ24*t_b)))/(P*RadSpec!AZ24))),".")</f>
        <v>.</v>
      </c>
      <c r="H24" s="115" t="str">
        <f>IFERROR(IF(d_Bv!H24=0,".",((Ir*F*d_Bv!H24*(1-EXP(-RadSpec!AZ24*t_b)))/(P*RadSpec!AZ24))),".")</f>
        <v>.</v>
      </c>
      <c r="I24" s="115" t="str">
        <f>IFERROR(IF(d_Bv!I24=0,".",((Ir*F*d_Bv!I24*(1-EXP(-RadSpec!AZ24*t_b)))/(P*RadSpec!AZ24))),".")</f>
        <v>.</v>
      </c>
      <c r="J24" s="115" t="str">
        <f>IFERROR(IF(d_Bv!J24=0,".",((Ir*F*d_Bv!J24*(1-EXP(-RadSpec!AZ24*t_b)))/(P*RadSpec!AZ24))),".")</f>
        <v>.</v>
      </c>
      <c r="K24" s="115" t="str">
        <f>IFERROR(IF(d_Bv!K24=0,".",((Ir*F*d_Bv!K24*(1-EXP(-RadSpec!AZ24*t_b)))/(P*RadSpec!AZ24))),".")</f>
        <v>.</v>
      </c>
      <c r="L24" s="115" t="str">
        <f>IFERROR(IF(d_Bv!L24=0,".",((Ir*F*d_Bv!L24*(1-EXP(-RadSpec!AZ24*t_b)))/(P*RadSpec!AZ24))),".")</f>
        <v>.</v>
      </c>
      <c r="M24" s="115" t="str">
        <f>IFERROR(IF(d_Bv!M24=0,".",((Ir*F*d_Bv!M24*(1-EXP(-RadSpec!AZ24*t_b)))/(P*RadSpec!AZ24))),".")</f>
        <v>.</v>
      </c>
      <c r="N24" s="115" t="str">
        <f>IFERROR(IF(d_Bv!N24=0,".",((Ir*F*d_Bv!N24*(1-EXP(-RadSpec!AZ24*t_b)))/(P*RadSpec!AZ24))),".")</f>
        <v>.</v>
      </c>
      <c r="O24" s="115" t="str">
        <f>IFERROR(IF(d_Bv!O24=0,".",((Ir*F*d_Bv!O24*(1-EXP(-RadSpec!AZ24*t_b)))/(P*RadSpec!AZ24))),".")</f>
        <v>.</v>
      </c>
      <c r="P24" s="115" t="str">
        <f>IFERROR(IF(d_Bv!I24=0,".",((Ir*F*d_Bv!I24*(1-EXP(-RadSpec!AZ24*t_b)))/(P*RadSpec!AZ24))),".")</f>
        <v>.</v>
      </c>
      <c r="Q24" s="115" t="str">
        <f>IFERROR(IF(d_Bv!Q24=0,".",((Ir*F*d_Bv!Q24*(1-EXP(-RadSpec!AZ24*t_b)))/(P*RadSpec!AZ24))),".")</f>
        <v>.</v>
      </c>
      <c r="R24" s="115" t="str">
        <f>IFERROR(IF(d_Bv!R24=0,".",((Ir*F*d_Bv!R24*(1-EXP(-RadSpec!AZ24*t_b)))/(P*RadSpec!AZ24))),".")</f>
        <v>.</v>
      </c>
      <c r="S24" s="115" t="str">
        <f>IFERROR(IF(d_Bv!S24=0,".",((Ir*F*d_Bv!S24*(1-EXP(-RadSpec!AZ24*t_b)))/(P*RadSpec!AZ24))),".")</f>
        <v>.</v>
      </c>
      <c r="T24" s="211" t="str">
        <f>IFERROR(IF(d_Bv!T24=0,".",((Ir*F*d_Bv!S24*(1-EXP(-RadSpec!AZ24*t_b)))/(P*RadSpec!AZ24))),".")</f>
        <v>.</v>
      </c>
      <c r="U24" s="115" t="str">
        <f>IFERROR(IF(d_Bv!U24=0,".",((Ir*F*d_Bv!U24*(1-EXP(-RadSpec!AZ24*t_b)))/(P*RadSpec!AZ24))),".")</f>
        <v>.</v>
      </c>
      <c r="V24" s="115" t="str">
        <f>IFERROR(IF(d_Bv!V24=0,".",((Ir*F*d_Bv!V24*(1-EXP(-RadSpec!AZ24*t_b)))/(P*RadSpec!AZ24))),".")</f>
        <v>.</v>
      </c>
      <c r="W24" s="115" t="str">
        <f>IFERROR(IF(d_Bv!W24=0,".",((Ir*F*d_Bv!W24*(1-EXP(-RadSpec!AZ24*t_b)))/(P*RadSpec!AZ24))),".")</f>
        <v>.</v>
      </c>
      <c r="X24" s="115" t="str">
        <f>IFERROR(IF(d_Bv!X24=0,".",((Ir*F*d_Bv!X24*(1-EXP(-RadSpec!AZ24*t_b)))/(P*RadSpec!AZ24))),".")</f>
        <v>.</v>
      </c>
      <c r="Y24" s="115" t="str">
        <f>IFERROR(IF(d_Bv!Y24=0,".",((Ir*F*d_Bv!Y24*(1-EXP(-RadSpec!AZ24*t_b)))/(P*RadSpec!AZ24))),".")</f>
        <v>.</v>
      </c>
      <c r="Z24" s="115" t="str">
        <f>IFERROR(IF(d_Bv!Z24=0,".",((Ir*F*d_Bv!Z24*(1-EXP(-RadSpec!AZ24*t_b)))/(P*RadSpec!AZ24))),".")</f>
        <v>.</v>
      </c>
      <c r="AA24" s="115" t="str">
        <f>IFERROR(IF(d_Bv!AA24=0,".",((Ir*F*d_Bv!AA24*(1-EXP(-RadSpec!AZ24*t_b)))/(P*RadSpec!AZ24))),".")</f>
        <v>.</v>
      </c>
      <c r="AB24" s="115" t="str">
        <f>IFERROR(IF(d_Bv!C24=0,".",((Ir*F*MLF_apple*(1-EXP(-RadSpec!AZ24*t_b)))/(P*RadSpec!AZ24))),".")</f>
        <v>.</v>
      </c>
      <c r="AC24" s="115" t="str">
        <f>IFERROR(IF(d_Bv!D24=0,".",((Ir*F*MLF_asparagus*(1-EXP(-RadSpec!AZ24*t_b)))/(P*RadSpec!AZ24))),".")</f>
        <v>.</v>
      </c>
      <c r="AD24" s="115" t="str">
        <f>IFERROR(IF(d_Bv!E24=0,".",((Ir*F*MLF_beet*(1-EXP(-RadSpec!AZ24*t_b)))/(P*RadSpec!AZ24))),".")</f>
        <v>.</v>
      </c>
      <c r="AE24" s="115" t="str">
        <f>IFERROR(IF(d_Bv!F24=0,".",((Ir*F*MLF_berries*(1-EXP(-RadSpec!AZ24*t_b)))/(P*RadSpec!AZ24))),".")</f>
        <v>.</v>
      </c>
      <c r="AF24" s="115" t="str">
        <f>IFERROR(IF(d_Bv!G24=0,".",((Ir*F*MLF_broccoli*(1-EXP(-RadSpec!AZ24*t_b)))/(P*RadSpec!AZ24))),".")</f>
        <v>.</v>
      </c>
      <c r="AG24" s="115" t="str">
        <f>IFERROR(IF(d_Bv!H24=0,".",((Ir*F*MLF_cabbage*(1-EXP(-RadSpec!AZ24*t_b)))/(P*RadSpec!AZ24))),".")</f>
        <v>.</v>
      </c>
      <c r="AH24" s="115" t="str">
        <f>IFERROR(IF(d_Bv!I24=0,".",((Ir*F*MLF_carrot*(1-EXP(-RadSpec!AZ24*t_b)))/(P*RadSpec!AZ24))),".")</f>
        <v>.</v>
      </c>
      <c r="AI24" s="115" t="str">
        <f>IFERROR(IF(d_Bv!J24=0,".",((Ir*F*MLF_citrus*(1-EXP(-RadSpec!AZ24*t_b)))/(P*RadSpec!AZ24))),".")</f>
        <v>.</v>
      </c>
      <c r="AJ24" s="115" t="str">
        <f>IFERROR(IF(d_Bv!K24=0,".",((Ir*F*MLF_corn*(1-EXP(-RadSpec!AZ24*t_b)))/(P*RadSpec!AZ24))),".")</f>
        <v>.</v>
      </c>
      <c r="AK24" s="115" t="str">
        <f>IFERROR(IF(d_Bv!L24=0,".",((Ir*F*MLF_cucumber*(1-EXP(-RadSpec!AZ24*t_b)))/(P*RadSpec!AZ24))),".")</f>
        <v>.</v>
      </c>
      <c r="AL24" s="115" t="str">
        <f>IFERROR(IF(d_Bv!M24=0,".",((Ir*F*MLF_lettuce*(1-EXP(-RadSpec!AZ24*t_b)))/(P*RadSpec!AZ24))),".")</f>
        <v>.</v>
      </c>
      <c r="AM24" s="115" t="str">
        <f>IFERROR(IF(d_Bv!N24=0,".",((Ir*F*MLF_lima_bean*(1-EXP(-RadSpec!AZ24*t_b)))/(P*RadSpec!AZ24))),".")</f>
        <v>.</v>
      </c>
      <c r="AN24" s="115" t="str">
        <f>IFERROR(IF(d_Bv!O24=0,".",((Ir*F*MLF_okra*(1-EXP(-RadSpec!AZ24*t_b)))/(P*RadSpec!AZ24))),".")</f>
        <v>.</v>
      </c>
      <c r="AO24" s="115" t="str">
        <f>IFERROR(IF(d_Bv!P24=0,".",((Ir*F*MLF_onion*(1-EXP(-RadSpec!AZ24*t_b)))/(P*RadSpec!AZ24))),".")</f>
        <v>.</v>
      </c>
      <c r="AP24" s="115" t="str">
        <f>IFERROR(IF(d_Bv!Q24=0,".",((Ir*F*MLF_peach*(1-EXP(-RadSpec!AZ24*t_b)))/(P*RadSpec!AZ24))),".")</f>
        <v>.</v>
      </c>
      <c r="AQ24" s="115" t="str">
        <f>IFERROR(IF(d_Bv!R24=0,".",((Ir*F*MLF_pear*(1-EXP(-RadSpec!AZ24*t_b)))/(P*RadSpec!AZ24))),".")</f>
        <v>.</v>
      </c>
      <c r="AR24" s="115" t="str">
        <f>IFERROR(IF(d_Bv!S24=0,".",((Ir*F*MLF_peas*(1-EXP(-RadSpec!AZ24*t_b)))/(P*RadSpec!AZ24))),".")</f>
        <v>.</v>
      </c>
      <c r="AS24" s="115" t="str">
        <f>IFERROR(IF(d_Bv!T24=0,".",((Ir*F*MLF_peppers*(1-EXP(-RadSpec!AZ24*t_b)))/(P*RadSpec!AZ24))),".")</f>
        <v>.</v>
      </c>
      <c r="AT24" s="115" t="str">
        <f>IFERROR(IF(d_Bv!U24=0,".",((Ir*F*MLF_potato*(1-EXP(-RadSpec!AZ24*t_b)))/(P*RadSpec!AZ24))),".")</f>
        <v>.</v>
      </c>
      <c r="AU24" s="115" t="str">
        <f>IFERROR(IF(d_Bv!V24=0,".",((Ir*F*MLF_pumpkin*(1-EXP(-RadSpec!AZ24*t_b)))/(P*RadSpec!AZ24))),".")</f>
        <v>.</v>
      </c>
      <c r="AV24" s="115" t="str">
        <f>IFERROR(IF(d_Bv!W24=0,".",((Ir*F*MLF_snap_bean*(1-EXP(-RadSpec!AZ24*t_b)))/(P*RadSpec!AZ24))),".")</f>
        <v>.</v>
      </c>
      <c r="AW24" s="115" t="str">
        <f>IFERROR(IF(d_Bv!X24=0,".",((Ir*F*MLF_strawberry*(1-EXP(-RadSpec!AZ24*t_b)))/(P*RadSpec!AZ24))),".")</f>
        <v>.</v>
      </c>
      <c r="AX24" s="115" t="str">
        <f>IFERROR(IF(d_Bv!Y24=0,".",((Ir*F*MLF_tomato*(1-EXP(-RadSpec!AZ24*t_b)))/(P*RadSpec!AZ24))),".")</f>
        <v>.</v>
      </c>
      <c r="AY24" s="115" t="str">
        <f>IFERROR(IF(d_Bv!Z24=0,".",((Ir*F*MLF_rice*(1-EXP(-RadSpec!AZ24*t_b)))/(P*RadSpec!AZ24))),".")</f>
        <v>.</v>
      </c>
      <c r="AZ24" s="115" t="str">
        <f>IFERROR(IF(d_Bv!AA24=0,".",((Ir*F*MLF_cereal*(1-EXP(-RadSpec!AZ24*t_b)))/(P*RadSpec!AZ24))),".")</f>
        <v>.</v>
      </c>
      <c r="BA24" s="115" t="str">
        <f>IFERROR(IF(d_Bv!C24=0,".",((Ir*F*I_f*T*(1-EXP(-RadSpec!BA24*t_v)))/(Y_v*RadSpec!BA24))),".")</f>
        <v>.</v>
      </c>
      <c r="BB24" s="115" t="str">
        <f>IFERROR(IF(d_Bv!D24=0,".",((Ir*F*I_f*T*(1-EXP(-RadSpec!BA24*t_v)))/(Y_v*RadSpec!BA24))),".")</f>
        <v>.</v>
      </c>
      <c r="BC24" s="115" t="str">
        <f>IFERROR(IF(d_Bv!E24=0,".",((Ir*F*I_f*T*(1-EXP(-RadSpec!BA24*t_v)))/(Y_v*RadSpec!BA24))),".")</f>
        <v>.</v>
      </c>
      <c r="BD24" s="115" t="str">
        <f>IFERROR(IF(d_Bv!F24=0,".",((Ir*F*I_f*T*(1-EXP(-RadSpec!BA24*t_v)))/(Y_v*RadSpec!BA24))),".")</f>
        <v>.</v>
      </c>
      <c r="BE24" s="115" t="str">
        <f>IFERROR(IF(d_Bv!G24=0,".",((Ir*F*I_f*T*(1-EXP(-RadSpec!BA24*t_v)))/(Y_v*RadSpec!BA24))),".")</f>
        <v>.</v>
      </c>
      <c r="BF24" s="115" t="str">
        <f>IFERROR(IF(d_Bv!H24=0,".",((Ir*F*I_f*T*(1-EXP(-RadSpec!BA24*t_v)))/(Y_v*RadSpec!BA24))),".")</f>
        <v>.</v>
      </c>
      <c r="BG24" s="115" t="str">
        <f>IFERROR(IF(d_Bv!I24=0,".",((Ir*F*I_f*T*(1-EXP(-RadSpec!BA24*t_v)))/(Y_v*RadSpec!BA24))),".")</f>
        <v>.</v>
      </c>
      <c r="BH24" s="115" t="str">
        <f>IFERROR(IF(d_Bv!J24=0,".",((Ir*F*I_f*T*(1-EXP(-RadSpec!BA24*t_v)))/(Y_v*RadSpec!BA24))),".")</f>
        <v>.</v>
      </c>
      <c r="BI24" s="115" t="str">
        <f>IFERROR(IF(d_Bv!K24=0,".",((Ir*F*I_f*T*(1-EXP(-RadSpec!BA24*t_v)))/(Y_v*RadSpec!BA24))),".")</f>
        <v>.</v>
      </c>
      <c r="BJ24" s="115" t="str">
        <f>IFERROR(IF(d_Bv!L24=0,".",((Ir*F*I_f*T*(1-EXP(-RadSpec!BA24*t_v)))/(Y_v*RadSpec!BA24))),".")</f>
        <v>.</v>
      </c>
      <c r="BK24" s="115" t="str">
        <f>IFERROR(IF(d_Bv!M24=0,".",((Ir*F*I_f*T*(1-EXP(-RadSpec!BA24*t_v)))/(Y_v*RadSpec!BA24))),".")</f>
        <v>.</v>
      </c>
      <c r="BL24" s="115" t="str">
        <f>IFERROR(IF(d_Bv!N24=0,".",((Ir*F*I_f*T*(1-EXP(-RadSpec!BA24*t_v)))/(Y_v*RadSpec!BA24))),".")</f>
        <v>.</v>
      </c>
      <c r="BM24" s="115" t="str">
        <f>IFERROR(IF(d_Bv!O24=0,".",((Ir*F*I_f*T*(1-EXP(-RadSpec!BA24*t_v)))/(Y_v*RadSpec!BA24))),".")</f>
        <v>.</v>
      </c>
      <c r="BN24" s="115" t="str">
        <f>IFERROR(IF(d_Bv!P24=0,".",((Ir*F*I_f*T*(1-EXP(-RadSpec!BA24*t_v)))/(Y_v*RadSpec!BA24))),".")</f>
        <v>.</v>
      </c>
      <c r="BO24" s="115" t="str">
        <f>IFERROR(IF(d_Bv!Q24=0,".",((Ir*F*I_f*T*(1-EXP(-RadSpec!BA24*t_v)))/(Y_v*RadSpec!BA24))),".")</f>
        <v>.</v>
      </c>
      <c r="BP24" s="115" t="str">
        <f>IFERROR(IF(d_Bv!R24=0,".",((Ir*F*I_f*T*(1-EXP(-RadSpec!BA24*t_v)))/(Y_v*RadSpec!BA24))),".")</f>
        <v>.</v>
      </c>
      <c r="BQ24" s="115" t="str">
        <f>IFERROR(IF(d_Bv!S24=0,".",((Ir*F*I_f*T*(1-EXP(-RadSpec!BA24*t_v)))/(Y_v*RadSpec!BA24))),".")</f>
        <v>.</v>
      </c>
      <c r="BR24" s="115" t="str">
        <f>IFERROR(IF(d_Bv!T24=0,".",((Ir*F*I_f*T*(1-EXP(-RadSpec!BA24*t_v)))/(Y_v*RadSpec!BA24))),".")</f>
        <v>.</v>
      </c>
      <c r="BS24" s="115" t="str">
        <f>IFERROR(IF(d_Bv!U24=0,".",((Ir*F*I_f*T*(1-EXP(-RadSpec!BA24*t_v)))/(Y_v*RadSpec!BA24))),".")</f>
        <v>.</v>
      </c>
      <c r="BT24" s="115" t="str">
        <f>IFERROR(IF(d_Bv!V24=0,".",((Ir*F*I_f*T*(1-EXP(-RadSpec!BA24*t_v)))/(Y_v*RadSpec!BA24))),".")</f>
        <v>.</v>
      </c>
      <c r="BU24" s="115" t="str">
        <f>IFERROR(IF(d_Bv!W24=0,".",((Ir*F*I_f*T*(1-EXP(-RadSpec!BA24*t_v)))/(Y_v*RadSpec!BA24))),".")</f>
        <v>.</v>
      </c>
      <c r="BV24" s="115" t="str">
        <f>IFERROR(IF(d_Bv!X24=0,".",((Ir*F*I_f*T*(1-EXP(-RadSpec!BA24*t_v)))/(Y_v*RadSpec!BA24))),".")</f>
        <v>.</v>
      </c>
      <c r="BW24" s="115" t="str">
        <f>IFERROR(IF(d_Bv!Y24=0,".",((Ir*F*I_f*T*(1-EXP(-RadSpec!BA24*t_v)))/(Y_v*RadSpec!BA24))),".")</f>
        <v>.</v>
      </c>
      <c r="BX24" s="115" t="str">
        <f>IFERROR(IF(d_Bv!Z24=0,".",((Ir*F*I_f*T*(1-EXP(-RadSpec!BA24*t_v)))/(Y_v*RadSpec!BA24))),".")</f>
        <v>.</v>
      </c>
      <c r="BY24" s="115" t="str">
        <f>IFERROR(IF(d_Bv!AA24=0,".",((Ir*F*I_f*T*(1-EXP(-RadSpec!BA24*t_v)))/(Y_v*RadSpec!BA24))),".")</f>
        <v>.</v>
      </c>
    </row>
    <row r="25" spans="1:77" x14ac:dyDescent="0.25">
      <c r="A25" s="46" t="s">
        <v>35</v>
      </c>
      <c r="B25" s="42" t="s">
        <v>349</v>
      </c>
      <c r="C25" s="115" t="str">
        <f>IFERROR(IF(d_Bv!C25=0,".",((Ir*F*d_Bv!C25*(1-EXP(-RadSpec!AZ25*t_b)))/(P*RadSpec!AZ25))),".")</f>
        <v>.</v>
      </c>
      <c r="D25" s="115" t="str">
        <f>IFERROR(IF(d_Bv!D25=0,".",((Ir*F*d_Bv!D25*(1-EXP(-RadSpec!AZ25*t_b)))/(P*RadSpec!AZ25))),".")</f>
        <v>.</v>
      </c>
      <c r="E25" s="115" t="str">
        <f>IFERROR(IF(d_Bv!E25=0,".",((Ir*F*d_Bv!E25*(1-EXP(-RadSpec!AZ25*t_b)))/(P*RadSpec!AZ25))),".")</f>
        <v>.</v>
      </c>
      <c r="F25" s="115" t="str">
        <f>IFERROR(IF(d_Bv!F25=0,".",((Ir*F*d_Bv!F25*(1-EXP(-RadSpec!AZ25*t_b)))/(P*RadSpec!AZ25))),".")</f>
        <v>.</v>
      </c>
      <c r="G25" s="115" t="str">
        <f>IFERROR(IF(d_Bv!G25=0,".",((Ir*F*d_Bv!G25*(1-EXP(-RadSpec!AZ25*t_b)))/(P*RadSpec!AZ25))),".")</f>
        <v>.</v>
      </c>
      <c r="H25" s="115" t="str">
        <f>IFERROR(IF(d_Bv!H25=0,".",((Ir*F*d_Bv!H25*(1-EXP(-RadSpec!AZ25*t_b)))/(P*RadSpec!AZ25))),".")</f>
        <v>.</v>
      </c>
      <c r="I25" s="115" t="str">
        <f>IFERROR(IF(d_Bv!I25=0,".",((Ir*F*d_Bv!I25*(1-EXP(-RadSpec!AZ25*t_b)))/(P*RadSpec!AZ25))),".")</f>
        <v>.</v>
      </c>
      <c r="J25" s="115" t="str">
        <f>IFERROR(IF(d_Bv!J25=0,".",((Ir*F*d_Bv!J25*(1-EXP(-RadSpec!AZ25*t_b)))/(P*RadSpec!AZ25))),".")</f>
        <v>.</v>
      </c>
      <c r="K25" s="115" t="str">
        <f>IFERROR(IF(d_Bv!K25=0,".",((Ir*F*d_Bv!K25*(1-EXP(-RadSpec!AZ25*t_b)))/(P*RadSpec!AZ25))),".")</f>
        <v>.</v>
      </c>
      <c r="L25" s="115" t="str">
        <f>IFERROR(IF(d_Bv!L25=0,".",((Ir*F*d_Bv!L25*(1-EXP(-RadSpec!AZ25*t_b)))/(P*RadSpec!AZ25))),".")</f>
        <v>.</v>
      </c>
      <c r="M25" s="115" t="str">
        <f>IFERROR(IF(d_Bv!M25=0,".",((Ir*F*d_Bv!M25*(1-EXP(-RadSpec!AZ25*t_b)))/(P*RadSpec!AZ25))),".")</f>
        <v>.</v>
      </c>
      <c r="N25" s="115" t="str">
        <f>IFERROR(IF(d_Bv!N25=0,".",((Ir*F*d_Bv!N25*(1-EXP(-RadSpec!AZ25*t_b)))/(P*RadSpec!AZ25))),".")</f>
        <v>.</v>
      </c>
      <c r="O25" s="115" t="str">
        <f>IFERROR(IF(d_Bv!O25=0,".",((Ir*F*d_Bv!O25*(1-EXP(-RadSpec!AZ25*t_b)))/(P*RadSpec!AZ25))),".")</f>
        <v>.</v>
      </c>
      <c r="P25" s="115" t="str">
        <f>IFERROR(IF(d_Bv!I25=0,".",((Ir*F*d_Bv!I25*(1-EXP(-RadSpec!AZ25*t_b)))/(P*RadSpec!AZ25))),".")</f>
        <v>.</v>
      </c>
      <c r="Q25" s="115" t="str">
        <f>IFERROR(IF(d_Bv!Q25=0,".",((Ir*F*d_Bv!Q25*(1-EXP(-RadSpec!AZ25*t_b)))/(P*RadSpec!AZ25))),".")</f>
        <v>.</v>
      </c>
      <c r="R25" s="115" t="str">
        <f>IFERROR(IF(d_Bv!R25=0,".",((Ir*F*d_Bv!R25*(1-EXP(-RadSpec!AZ25*t_b)))/(P*RadSpec!AZ25))),".")</f>
        <v>.</v>
      </c>
      <c r="S25" s="115" t="str">
        <f>IFERROR(IF(d_Bv!S25=0,".",((Ir*F*d_Bv!S25*(1-EXP(-RadSpec!AZ25*t_b)))/(P*RadSpec!AZ25))),".")</f>
        <v>.</v>
      </c>
      <c r="T25" s="211" t="str">
        <f>IFERROR(IF(d_Bv!T25=0,".",((Ir*F*d_Bv!S25*(1-EXP(-RadSpec!AZ25*t_b)))/(P*RadSpec!AZ25))),".")</f>
        <v>.</v>
      </c>
      <c r="U25" s="115" t="str">
        <f>IFERROR(IF(d_Bv!U25=0,".",((Ir*F*d_Bv!U25*(1-EXP(-RadSpec!AZ25*t_b)))/(P*RadSpec!AZ25))),".")</f>
        <v>.</v>
      </c>
      <c r="V25" s="115" t="str">
        <f>IFERROR(IF(d_Bv!V25=0,".",((Ir*F*d_Bv!V25*(1-EXP(-RadSpec!AZ25*t_b)))/(P*RadSpec!AZ25))),".")</f>
        <v>.</v>
      </c>
      <c r="W25" s="115" t="str">
        <f>IFERROR(IF(d_Bv!W25=0,".",((Ir*F*d_Bv!W25*(1-EXP(-RadSpec!AZ25*t_b)))/(P*RadSpec!AZ25))),".")</f>
        <v>.</v>
      </c>
      <c r="X25" s="115" t="str">
        <f>IFERROR(IF(d_Bv!X25=0,".",((Ir*F*d_Bv!X25*(1-EXP(-RadSpec!AZ25*t_b)))/(P*RadSpec!AZ25))),".")</f>
        <v>.</v>
      </c>
      <c r="Y25" s="115" t="str">
        <f>IFERROR(IF(d_Bv!Y25=0,".",((Ir*F*d_Bv!Y25*(1-EXP(-RadSpec!AZ25*t_b)))/(P*RadSpec!AZ25))),".")</f>
        <v>.</v>
      </c>
      <c r="Z25" s="115" t="str">
        <f>IFERROR(IF(d_Bv!Z25=0,".",((Ir*F*d_Bv!Z25*(1-EXP(-RadSpec!AZ25*t_b)))/(P*RadSpec!AZ25))),".")</f>
        <v>.</v>
      </c>
      <c r="AA25" s="115" t="str">
        <f>IFERROR(IF(d_Bv!AA25=0,".",((Ir*F*d_Bv!AA25*(1-EXP(-RadSpec!AZ25*t_b)))/(P*RadSpec!AZ25))),".")</f>
        <v>.</v>
      </c>
      <c r="AB25" s="115" t="str">
        <f>IFERROR(IF(d_Bv!C25=0,".",((Ir*F*MLF_apple*(1-EXP(-RadSpec!AZ25*t_b)))/(P*RadSpec!AZ25))),".")</f>
        <v>.</v>
      </c>
      <c r="AC25" s="115" t="str">
        <f>IFERROR(IF(d_Bv!D25=0,".",((Ir*F*MLF_asparagus*(1-EXP(-RadSpec!AZ25*t_b)))/(P*RadSpec!AZ25))),".")</f>
        <v>.</v>
      </c>
      <c r="AD25" s="115" t="str">
        <f>IFERROR(IF(d_Bv!E25=0,".",((Ir*F*MLF_beet*(1-EXP(-RadSpec!AZ25*t_b)))/(P*RadSpec!AZ25))),".")</f>
        <v>.</v>
      </c>
      <c r="AE25" s="115" t="str">
        <f>IFERROR(IF(d_Bv!F25=0,".",((Ir*F*MLF_berries*(1-EXP(-RadSpec!AZ25*t_b)))/(P*RadSpec!AZ25))),".")</f>
        <v>.</v>
      </c>
      <c r="AF25" s="115" t="str">
        <f>IFERROR(IF(d_Bv!G25=0,".",((Ir*F*MLF_broccoli*(1-EXP(-RadSpec!AZ25*t_b)))/(P*RadSpec!AZ25))),".")</f>
        <v>.</v>
      </c>
      <c r="AG25" s="115" t="str">
        <f>IFERROR(IF(d_Bv!H25=0,".",((Ir*F*MLF_cabbage*(1-EXP(-RadSpec!AZ25*t_b)))/(P*RadSpec!AZ25))),".")</f>
        <v>.</v>
      </c>
      <c r="AH25" s="115" t="str">
        <f>IFERROR(IF(d_Bv!I25=0,".",((Ir*F*MLF_carrot*(1-EXP(-RadSpec!AZ25*t_b)))/(P*RadSpec!AZ25))),".")</f>
        <v>.</v>
      </c>
      <c r="AI25" s="115" t="str">
        <f>IFERROR(IF(d_Bv!J25=0,".",((Ir*F*MLF_citrus*(1-EXP(-RadSpec!AZ25*t_b)))/(P*RadSpec!AZ25))),".")</f>
        <v>.</v>
      </c>
      <c r="AJ25" s="115" t="str">
        <f>IFERROR(IF(d_Bv!K25=0,".",((Ir*F*MLF_corn*(1-EXP(-RadSpec!AZ25*t_b)))/(P*RadSpec!AZ25))),".")</f>
        <v>.</v>
      </c>
      <c r="AK25" s="115" t="str">
        <f>IFERROR(IF(d_Bv!L25=0,".",((Ir*F*MLF_cucumber*(1-EXP(-RadSpec!AZ25*t_b)))/(P*RadSpec!AZ25))),".")</f>
        <v>.</v>
      </c>
      <c r="AL25" s="115" t="str">
        <f>IFERROR(IF(d_Bv!M25=0,".",((Ir*F*MLF_lettuce*(1-EXP(-RadSpec!AZ25*t_b)))/(P*RadSpec!AZ25))),".")</f>
        <v>.</v>
      </c>
      <c r="AM25" s="115" t="str">
        <f>IFERROR(IF(d_Bv!N25=0,".",((Ir*F*MLF_lima_bean*(1-EXP(-RadSpec!AZ25*t_b)))/(P*RadSpec!AZ25))),".")</f>
        <v>.</v>
      </c>
      <c r="AN25" s="115" t="str">
        <f>IFERROR(IF(d_Bv!O25=0,".",((Ir*F*MLF_okra*(1-EXP(-RadSpec!AZ25*t_b)))/(P*RadSpec!AZ25))),".")</f>
        <v>.</v>
      </c>
      <c r="AO25" s="115" t="str">
        <f>IFERROR(IF(d_Bv!P25=0,".",((Ir*F*MLF_onion*(1-EXP(-RadSpec!AZ25*t_b)))/(P*RadSpec!AZ25))),".")</f>
        <v>.</v>
      </c>
      <c r="AP25" s="115" t="str">
        <f>IFERROR(IF(d_Bv!Q25=0,".",((Ir*F*MLF_peach*(1-EXP(-RadSpec!AZ25*t_b)))/(P*RadSpec!AZ25))),".")</f>
        <v>.</v>
      </c>
      <c r="AQ25" s="115" t="str">
        <f>IFERROR(IF(d_Bv!R25=0,".",((Ir*F*MLF_pear*(1-EXP(-RadSpec!AZ25*t_b)))/(P*RadSpec!AZ25))),".")</f>
        <v>.</v>
      </c>
      <c r="AR25" s="115" t="str">
        <f>IFERROR(IF(d_Bv!S25=0,".",((Ir*F*MLF_peas*(1-EXP(-RadSpec!AZ25*t_b)))/(P*RadSpec!AZ25))),".")</f>
        <v>.</v>
      </c>
      <c r="AS25" s="115" t="str">
        <f>IFERROR(IF(d_Bv!T25=0,".",((Ir*F*MLF_peppers*(1-EXP(-RadSpec!AZ25*t_b)))/(P*RadSpec!AZ25))),".")</f>
        <v>.</v>
      </c>
      <c r="AT25" s="115" t="str">
        <f>IFERROR(IF(d_Bv!U25=0,".",((Ir*F*MLF_potato*(1-EXP(-RadSpec!AZ25*t_b)))/(P*RadSpec!AZ25))),".")</f>
        <v>.</v>
      </c>
      <c r="AU25" s="115" t="str">
        <f>IFERROR(IF(d_Bv!V25=0,".",((Ir*F*MLF_pumpkin*(1-EXP(-RadSpec!AZ25*t_b)))/(P*RadSpec!AZ25))),".")</f>
        <v>.</v>
      </c>
      <c r="AV25" s="115" t="str">
        <f>IFERROR(IF(d_Bv!W25=0,".",((Ir*F*MLF_snap_bean*(1-EXP(-RadSpec!AZ25*t_b)))/(P*RadSpec!AZ25))),".")</f>
        <v>.</v>
      </c>
      <c r="AW25" s="115" t="str">
        <f>IFERROR(IF(d_Bv!X25=0,".",((Ir*F*MLF_strawberry*(1-EXP(-RadSpec!AZ25*t_b)))/(P*RadSpec!AZ25))),".")</f>
        <v>.</v>
      </c>
      <c r="AX25" s="115" t="str">
        <f>IFERROR(IF(d_Bv!Y25=0,".",((Ir*F*MLF_tomato*(1-EXP(-RadSpec!AZ25*t_b)))/(P*RadSpec!AZ25))),".")</f>
        <v>.</v>
      </c>
      <c r="AY25" s="115" t="str">
        <f>IFERROR(IF(d_Bv!Z25=0,".",((Ir*F*MLF_rice*(1-EXP(-RadSpec!AZ25*t_b)))/(P*RadSpec!AZ25))),".")</f>
        <v>.</v>
      </c>
      <c r="AZ25" s="115" t="str">
        <f>IFERROR(IF(d_Bv!AA25=0,".",((Ir*F*MLF_cereal*(1-EXP(-RadSpec!AZ25*t_b)))/(P*RadSpec!AZ25))),".")</f>
        <v>.</v>
      </c>
      <c r="BA25" s="115" t="str">
        <f>IFERROR(IF(d_Bv!C25=0,".",((Ir*F*I_f*T*(1-EXP(-RadSpec!BA25*t_v)))/(Y_v*RadSpec!BA25))),".")</f>
        <v>.</v>
      </c>
      <c r="BB25" s="115" t="str">
        <f>IFERROR(IF(d_Bv!D25=0,".",((Ir*F*I_f*T*(1-EXP(-RadSpec!BA25*t_v)))/(Y_v*RadSpec!BA25))),".")</f>
        <v>.</v>
      </c>
      <c r="BC25" s="115" t="str">
        <f>IFERROR(IF(d_Bv!E25=0,".",((Ir*F*I_f*T*(1-EXP(-RadSpec!BA25*t_v)))/(Y_v*RadSpec!BA25))),".")</f>
        <v>.</v>
      </c>
      <c r="BD25" s="115" t="str">
        <f>IFERROR(IF(d_Bv!F25=0,".",((Ir*F*I_f*T*(1-EXP(-RadSpec!BA25*t_v)))/(Y_v*RadSpec!BA25))),".")</f>
        <v>.</v>
      </c>
      <c r="BE25" s="115" t="str">
        <f>IFERROR(IF(d_Bv!G25=0,".",((Ir*F*I_f*T*(1-EXP(-RadSpec!BA25*t_v)))/(Y_v*RadSpec!BA25))),".")</f>
        <v>.</v>
      </c>
      <c r="BF25" s="115" t="str">
        <f>IFERROR(IF(d_Bv!H25=0,".",((Ir*F*I_f*T*(1-EXP(-RadSpec!BA25*t_v)))/(Y_v*RadSpec!BA25))),".")</f>
        <v>.</v>
      </c>
      <c r="BG25" s="115" t="str">
        <f>IFERROR(IF(d_Bv!I25=0,".",((Ir*F*I_f*T*(1-EXP(-RadSpec!BA25*t_v)))/(Y_v*RadSpec!BA25))),".")</f>
        <v>.</v>
      </c>
      <c r="BH25" s="115" t="str">
        <f>IFERROR(IF(d_Bv!J25=0,".",((Ir*F*I_f*T*(1-EXP(-RadSpec!BA25*t_v)))/(Y_v*RadSpec!BA25))),".")</f>
        <v>.</v>
      </c>
      <c r="BI25" s="115" t="str">
        <f>IFERROR(IF(d_Bv!K25=0,".",((Ir*F*I_f*T*(1-EXP(-RadSpec!BA25*t_v)))/(Y_v*RadSpec!BA25))),".")</f>
        <v>.</v>
      </c>
      <c r="BJ25" s="115" t="str">
        <f>IFERROR(IF(d_Bv!L25=0,".",((Ir*F*I_f*T*(1-EXP(-RadSpec!BA25*t_v)))/(Y_v*RadSpec!BA25))),".")</f>
        <v>.</v>
      </c>
      <c r="BK25" s="115" t="str">
        <f>IFERROR(IF(d_Bv!M25=0,".",((Ir*F*I_f*T*(1-EXP(-RadSpec!BA25*t_v)))/(Y_v*RadSpec!BA25))),".")</f>
        <v>.</v>
      </c>
      <c r="BL25" s="115" t="str">
        <f>IFERROR(IF(d_Bv!N25=0,".",((Ir*F*I_f*T*(1-EXP(-RadSpec!BA25*t_v)))/(Y_v*RadSpec!BA25))),".")</f>
        <v>.</v>
      </c>
      <c r="BM25" s="115" t="str">
        <f>IFERROR(IF(d_Bv!O25=0,".",((Ir*F*I_f*T*(1-EXP(-RadSpec!BA25*t_v)))/(Y_v*RadSpec!BA25))),".")</f>
        <v>.</v>
      </c>
      <c r="BN25" s="115" t="str">
        <f>IFERROR(IF(d_Bv!P25=0,".",((Ir*F*I_f*T*(1-EXP(-RadSpec!BA25*t_v)))/(Y_v*RadSpec!BA25))),".")</f>
        <v>.</v>
      </c>
      <c r="BO25" s="115" t="str">
        <f>IFERROR(IF(d_Bv!Q25=0,".",((Ir*F*I_f*T*(1-EXP(-RadSpec!BA25*t_v)))/(Y_v*RadSpec!BA25))),".")</f>
        <v>.</v>
      </c>
      <c r="BP25" s="115" t="str">
        <f>IFERROR(IF(d_Bv!R25=0,".",((Ir*F*I_f*T*(1-EXP(-RadSpec!BA25*t_v)))/(Y_v*RadSpec!BA25))),".")</f>
        <v>.</v>
      </c>
      <c r="BQ25" s="115" t="str">
        <f>IFERROR(IF(d_Bv!S25=0,".",((Ir*F*I_f*T*(1-EXP(-RadSpec!BA25*t_v)))/(Y_v*RadSpec!BA25))),".")</f>
        <v>.</v>
      </c>
      <c r="BR25" s="115" t="str">
        <f>IFERROR(IF(d_Bv!T25=0,".",((Ir*F*I_f*T*(1-EXP(-RadSpec!BA25*t_v)))/(Y_v*RadSpec!BA25))),".")</f>
        <v>.</v>
      </c>
      <c r="BS25" s="115" t="str">
        <f>IFERROR(IF(d_Bv!U25=0,".",((Ir*F*I_f*T*(1-EXP(-RadSpec!BA25*t_v)))/(Y_v*RadSpec!BA25))),".")</f>
        <v>.</v>
      </c>
      <c r="BT25" s="115" t="str">
        <f>IFERROR(IF(d_Bv!V25=0,".",((Ir*F*I_f*T*(1-EXP(-RadSpec!BA25*t_v)))/(Y_v*RadSpec!BA25))),".")</f>
        <v>.</v>
      </c>
      <c r="BU25" s="115" t="str">
        <f>IFERROR(IF(d_Bv!W25=0,".",((Ir*F*I_f*T*(1-EXP(-RadSpec!BA25*t_v)))/(Y_v*RadSpec!BA25))),".")</f>
        <v>.</v>
      </c>
      <c r="BV25" s="115" t="str">
        <f>IFERROR(IF(d_Bv!X25=0,".",((Ir*F*I_f*T*(1-EXP(-RadSpec!BA25*t_v)))/(Y_v*RadSpec!BA25))),".")</f>
        <v>.</v>
      </c>
      <c r="BW25" s="115" t="str">
        <f>IFERROR(IF(d_Bv!Y25=0,".",((Ir*F*I_f*T*(1-EXP(-RadSpec!BA25*t_v)))/(Y_v*RadSpec!BA25))),".")</f>
        <v>.</v>
      </c>
      <c r="BX25" s="115" t="str">
        <f>IFERROR(IF(d_Bv!Z25=0,".",((Ir*F*I_f*T*(1-EXP(-RadSpec!BA25*t_v)))/(Y_v*RadSpec!BA25))),".")</f>
        <v>.</v>
      </c>
      <c r="BY25" s="115" t="str">
        <f>IFERROR(IF(d_Bv!AA25=0,".",((Ir*F*I_f*T*(1-EXP(-RadSpec!BA25*t_v)))/(Y_v*RadSpec!BA25))),".")</f>
        <v>.</v>
      </c>
    </row>
    <row r="26" spans="1:77" x14ac:dyDescent="0.25">
      <c r="A26" s="44" t="s">
        <v>36</v>
      </c>
      <c r="B26" s="42" t="s">
        <v>1071</v>
      </c>
      <c r="C26" s="115">
        <f>IFERROR(IF(d_Bv!C26=0,".",((Ir*F*d_Bv!C26*(1-EXP(-RadSpec!AZ26*t_b)))/(P*RadSpec!AZ26))),".")</f>
        <v>1.7873205381175518E-2</v>
      </c>
      <c r="D26" s="115">
        <f>IFERROR(IF(d_Bv!D26=0,".",((Ir*F*d_Bv!D26*(1-EXP(-RadSpec!AZ26*t_b)))/(P*RadSpec!AZ26))),".")</f>
        <v>4.2895692914821232E-2</v>
      </c>
      <c r="E26" s="115">
        <f>IFERROR(IF(d_Bv!E26=0,".",((Ir*F*d_Bv!E26*(1-EXP(-RadSpec!AZ26*t_b)))/(P*RadSpec!AZ26))),".")</f>
        <v>2.8597128609880826E-2</v>
      </c>
      <c r="F26" s="115">
        <f>IFERROR(IF(d_Bv!F26=0,".",((Ir*F*d_Bv!F26*(1-EXP(-RadSpec!AZ26*t_b)))/(P*RadSpec!AZ26))),".")</f>
        <v>1.7873205381175518E-2</v>
      </c>
      <c r="G26" s="115">
        <f>IFERROR(IF(d_Bv!G26=0,".",((Ir*F*d_Bv!G26*(1-EXP(-RadSpec!AZ26*t_b)))/(P*RadSpec!AZ26))),".")</f>
        <v>2.7882200394633804E-2</v>
      </c>
      <c r="H26" s="115">
        <f>IFERROR(IF(d_Bv!H26=0,".",((Ir*F*d_Bv!H26*(1-EXP(-RadSpec!AZ26*t_b)))/(P*RadSpec!AZ26))),".")</f>
        <v>4.2895692914821232E-2</v>
      </c>
      <c r="I26" s="115">
        <f>IFERROR(IF(d_Bv!I26=0,".",((Ir*F*d_Bv!I26*(1-EXP(-RadSpec!AZ26*t_b)))/(P*RadSpec!AZ26))),".")</f>
        <v>2.8597128609880826E-2</v>
      </c>
      <c r="J26" s="115">
        <f>IFERROR(IF(d_Bv!J26=0,".",((Ir*F*d_Bv!J26*(1-EXP(-RadSpec!AZ26*t_b)))/(P*RadSpec!AZ26))),".")</f>
        <v>1.7873205381175518E-2</v>
      </c>
      <c r="K26" s="115">
        <f>IFERROR(IF(d_Bv!K26=0,".",((Ir*F*d_Bv!K26*(1-EXP(-RadSpec!AZ26*t_b)))/(P*RadSpec!AZ26))),".")</f>
        <v>2.2877702887904663E-2</v>
      </c>
      <c r="L26" s="115">
        <f>IFERROR(IF(d_Bv!L26=0,".",((Ir*F*d_Bv!L26*(1-EXP(-RadSpec!AZ26*t_b)))/(P*RadSpec!AZ26))),".")</f>
        <v>2.7882200394633804E-2</v>
      </c>
      <c r="M26" s="115">
        <f>IFERROR(IF(d_Bv!M26=0,".",((Ir*F*d_Bv!M26*(1-EXP(-RadSpec!AZ26*t_b)))/(P*RadSpec!AZ26))),".")</f>
        <v>4.2895692914821232E-2</v>
      </c>
      <c r="N26" s="115">
        <f>IFERROR(IF(d_Bv!N26=0,".",((Ir*F*d_Bv!N26*(1-EXP(-RadSpec!AZ26*t_b)))/(P*RadSpec!AZ26))),".")</f>
        <v>1.8945597704046045E-2</v>
      </c>
      <c r="O26" s="115">
        <f>IFERROR(IF(d_Bv!O26=0,".",((Ir*F*d_Bv!O26*(1-EXP(-RadSpec!AZ26*t_b)))/(P*RadSpec!AZ26))),".")</f>
        <v>2.7882200394633804E-2</v>
      </c>
      <c r="P26" s="115">
        <f>IFERROR(IF(d_Bv!I26=0,".",((Ir*F*d_Bv!I26*(1-EXP(-RadSpec!AZ26*t_b)))/(P*RadSpec!AZ26))),".")</f>
        <v>2.8597128609880826E-2</v>
      </c>
      <c r="Q26" s="115">
        <f>IFERROR(IF(d_Bv!Q26=0,".",((Ir*F*d_Bv!Q26*(1-EXP(-RadSpec!AZ26*t_b)))/(P*RadSpec!AZ26))),".")</f>
        <v>1.7873205381175518E-2</v>
      </c>
      <c r="R26" s="115">
        <f>IFERROR(IF(d_Bv!R26=0,".",((Ir*F*d_Bv!R26*(1-EXP(-RadSpec!AZ26*t_b)))/(P*RadSpec!AZ26))),".")</f>
        <v>1.7873205381175518E-2</v>
      </c>
      <c r="S26" s="115">
        <f>IFERROR(IF(d_Bv!S26=0,".",((Ir*F*d_Bv!S26*(1-EXP(-RadSpec!AZ26*t_b)))/(P*RadSpec!AZ26))),".")</f>
        <v>1.8945597704046045E-2</v>
      </c>
      <c r="T26" s="211">
        <f>IFERROR(IF(d_Bv!T26=0,".",((Ir*F*d_Bv!S26*(1-EXP(-RadSpec!AZ26*t_b)))/(P*RadSpec!AZ26))),".")</f>
        <v>1.8945597704046045E-2</v>
      </c>
      <c r="U26" s="115">
        <f>IFERROR(IF(d_Bv!U26=0,".",((Ir*F*d_Bv!U26*(1-EXP(-RadSpec!AZ26*t_b)))/(P*RadSpec!AZ26))),".")</f>
        <v>7.1492821524702065E-3</v>
      </c>
      <c r="V26" s="115">
        <f>IFERROR(IF(d_Bv!V26=0,".",((Ir*F*d_Bv!V26*(1-EXP(-RadSpec!AZ26*t_b)))/(P*RadSpec!AZ26))),".")</f>
        <v>2.7882200394633804E-2</v>
      </c>
      <c r="W26" s="115">
        <f>IFERROR(IF(d_Bv!W26=0,".",((Ir*F*d_Bv!W26*(1-EXP(-RadSpec!AZ26*t_b)))/(P*RadSpec!AZ26))),".")</f>
        <v>1.8945597704046045E-2</v>
      </c>
      <c r="X26" s="115">
        <f>IFERROR(IF(d_Bv!X26=0,".",((Ir*F*d_Bv!X26*(1-EXP(-RadSpec!AZ26*t_b)))/(P*RadSpec!AZ26))),".")</f>
        <v>1.7873205381175518E-2</v>
      </c>
      <c r="Y26" s="115">
        <f>IFERROR(IF(d_Bv!Y26=0,".",((Ir*F*d_Bv!Y26*(1-EXP(-RadSpec!AZ26*t_b)))/(P*RadSpec!AZ26))),".")</f>
        <v>2.7882200394633804E-2</v>
      </c>
      <c r="Z26" s="115">
        <f>IFERROR(IF(d_Bv!Z26=0,".",((Ir*F*d_Bv!Z26*(1-EXP(-RadSpec!AZ26*t_b)))/(P*RadSpec!AZ26))),".")</f>
        <v>5.7194257219761657E-3</v>
      </c>
      <c r="AA26" s="115">
        <f>IFERROR(IF(d_Bv!AA26=0,".",((Ir*F*d_Bv!AA26*(1-EXP(-RadSpec!AZ26*t_b)))/(P*RadSpec!AZ26))),".")</f>
        <v>7.5067462600937149E-2</v>
      </c>
      <c r="AB26" s="115">
        <f>IFERROR(IF(d_Bv!C26=0,".",((Ir*F*MLF_apple*(1-EXP(-RadSpec!AZ26*t_b)))/(P*RadSpec!AZ26))),".")</f>
        <v>5.7194257219761657E-3</v>
      </c>
      <c r="AC26" s="115">
        <f>IFERROR(IF(d_Bv!D26=0,".",((Ir*F*MLF_asparagus*(1-EXP(-RadSpec!AZ26*t_b)))/(P*RadSpec!AZ26))),".")</f>
        <v>2.8239664502257315E-3</v>
      </c>
      <c r="AD26" s="115">
        <f>IFERROR(IF(d_Bv!E26=0,".",((Ir*F*MLF_beet*(1-EXP(-RadSpec!AZ26*t_b)))/(P*RadSpec!AZ26))),".")</f>
        <v>4.9330046852044422E-3</v>
      </c>
      <c r="AE26" s="115">
        <f>IFERROR(IF(d_Bv!F26=0,".",((Ir*F*MLF_berries*(1-EXP(-RadSpec!AZ26*t_b)))/(P*RadSpec!AZ26))),".")</f>
        <v>5.9339041865502712E-3</v>
      </c>
      <c r="AF26" s="115">
        <f>IFERROR(IF(d_Bv!G26=0,".",((Ir*F*MLF_broccoli*(1-EXP(-RadSpec!AZ26*t_b)))/(P*RadSpec!AZ26))),".")</f>
        <v>3.6103874869974538E-2</v>
      </c>
      <c r="AG26" s="115">
        <f>IFERROR(IF(d_Bv!H26=0,".",((Ir*F*MLF_cabbage*(1-EXP(-RadSpec!AZ26*t_b)))/(P*RadSpec!AZ26))),".")</f>
        <v>3.7533731300468582E-3</v>
      </c>
      <c r="AH26" s="115">
        <f>IFERROR(IF(d_Bv!I26=0,".",((Ir*F*MLF_carrot*(1-EXP(-RadSpec!AZ26*t_b)))/(P*RadSpec!AZ26))),".")</f>
        <v>3.4674018439480501E-3</v>
      </c>
      <c r="AI26" s="115">
        <f>IFERROR(IF(d_Bv!J26=0,".",((Ir*F*MLF_citrus*(1-EXP(-RadSpec!AZ26*t_b)))/(P*RadSpec!AZ26))),".")</f>
        <v>5.6121864896891112E-3</v>
      </c>
      <c r="AJ26" s="115">
        <f>IFERROR(IF(d_Bv!K26=0,".",((Ir*F*MLF_corn*(1-EXP(-RadSpec!AZ26*t_b)))/(P*RadSpec!AZ26))),".")</f>
        <v>5.1832295605408994E-3</v>
      </c>
      <c r="AK26" s="115">
        <f>IFERROR(IF(d_Bv!L26=0,".",((Ir*F*MLF_cucumber*(1-EXP(-RadSpec!AZ26*t_b)))/(P*RadSpec!AZ26))),".")</f>
        <v>1.4298564304940414E-3</v>
      </c>
      <c r="AL26" s="115">
        <f>IFERROR(IF(d_Bv!M26=0,".",((Ir*F*MLF_lettuce*(1-EXP(-RadSpec!AZ26*t_b)))/(P*RadSpec!AZ26))),".")</f>
        <v>0.48257654529173893</v>
      </c>
      <c r="AM26" s="115">
        <f>IFERROR(IF(d_Bv!N26=0,".",((Ir*F*MLF_lima_bean*(1-EXP(-RadSpec!AZ26*t_b)))/(P*RadSpec!AZ26))),".")</f>
        <v>0.13690875321980447</v>
      </c>
      <c r="AN26" s="115">
        <f>IFERROR(IF(d_Bv!O26=0,".",((Ir*F*MLF_okra*(1-EXP(-RadSpec!AZ26*t_b)))/(P*RadSpec!AZ26))),".")</f>
        <v>2.8597128609880828E-3</v>
      </c>
      <c r="AO26" s="115">
        <f>IFERROR(IF(d_Bv!P26=0,".",((Ir*F*MLF_onion*(1-EXP(-RadSpec!AZ26*t_b)))/(P*RadSpec!AZ26))),".")</f>
        <v>3.4674018439480501E-3</v>
      </c>
      <c r="AP26" s="115">
        <f>IFERROR(IF(d_Bv!Q26=0,".",((Ir*F*MLF_peach*(1-EXP(-RadSpec!AZ26*t_b)))/(P*RadSpec!AZ26))),".")</f>
        <v>5.361961614352654E-3</v>
      </c>
      <c r="AQ26" s="115">
        <f>IFERROR(IF(d_Bv!R26=0,".",((Ir*F*MLF_pear*(1-EXP(-RadSpec!AZ26*t_b)))/(P*RadSpec!AZ26))),".")</f>
        <v>5.7194257219761657E-3</v>
      </c>
      <c r="AR26" s="115">
        <f>IFERROR(IF(d_Bv!S26=0,".",((Ir*F*MLF_peas*(1-EXP(-RadSpec!AZ26*t_b)))/(P*RadSpec!AZ26))),".")</f>
        <v>6.3628611156984829E-3</v>
      </c>
      <c r="AS26" s="115">
        <f>IFERROR(IF(d_Bv!T26=0,".",((Ir*F*MLF_peppers*(1-EXP(-RadSpec!AZ26*t_b)))/(P*RadSpec!AZ26))),".")</f>
        <v>7.93570318924193E-2</v>
      </c>
      <c r="AT26" s="115">
        <f>IFERROR(IF(d_Bv!U26=0,".",((Ir*F*MLF_potato*(1-EXP(-RadSpec!AZ26*t_b)))/(P*RadSpec!AZ26))),".")</f>
        <v>7.5067462600937164E-3</v>
      </c>
      <c r="AU26" s="115">
        <f>IFERROR(IF(d_Bv!V26=0,".",((Ir*F*MLF_pumpkin*(1-EXP(-RadSpec!AZ26*t_b)))/(P*RadSpec!AZ26))),".")</f>
        <v>2.0732918242163598E-3</v>
      </c>
      <c r="AV26" s="115">
        <f>IFERROR(IF(d_Bv!W26=0,".",((Ir*F*MLF_snap_bean*(1-EXP(-RadSpec!AZ26*t_b)))/(P*RadSpec!AZ26))),".")</f>
        <v>0.17873205381175516</v>
      </c>
      <c r="AW26" s="115">
        <f>IFERROR(IF(d_Bv!X26=0,".",((Ir*F*MLF_strawberry*(1-EXP(-RadSpec!AZ26*t_b)))/(P*RadSpec!AZ26))),".")</f>
        <v>2.8597128609880828E-3</v>
      </c>
      <c r="AX26" s="115">
        <f>IFERROR(IF(d_Bv!Y26=0,".",((Ir*F*MLF_tomato*(1-EXP(-RadSpec!AZ26*t_b)))/(P*RadSpec!AZ26))),".")</f>
        <v>6.327114704936132E-2</v>
      </c>
      <c r="AY26" s="115">
        <f>IFERROR(IF(d_Bv!Z26=0,".",((Ir*F*MLF_rice*(1-EXP(-RadSpec!AZ26*t_b)))/(P*RadSpec!AZ26))),".")</f>
        <v>8.9366026905877582</v>
      </c>
      <c r="AZ26" s="115">
        <f>IFERROR(IF(d_Bv!AA26=0,".",((Ir*F*MLF_cereal*(1-EXP(-RadSpec!AZ26*t_b)))/(P*RadSpec!AZ26))),".")</f>
        <v>8.9366026905877582</v>
      </c>
      <c r="BA26" s="115">
        <f>IFERROR(IF(d_Bv!C26=0,".",((Ir*F*I_f*T*(1-EXP(-RadSpec!BA26*t_v)))/(Y_v*RadSpec!BA26))),".")</f>
        <v>3.6424203206347228</v>
      </c>
      <c r="BB26" s="115">
        <f>IFERROR(IF(d_Bv!D26=0,".",((Ir*F*I_f*T*(1-EXP(-RadSpec!BA26*t_v)))/(Y_v*RadSpec!BA26))),".")</f>
        <v>3.6424203206347228</v>
      </c>
      <c r="BC26" s="115">
        <f>IFERROR(IF(d_Bv!E26=0,".",((Ir*F*I_f*T*(1-EXP(-RadSpec!BA26*t_v)))/(Y_v*RadSpec!BA26))),".")</f>
        <v>3.6424203206347228</v>
      </c>
      <c r="BD26" s="115">
        <f>IFERROR(IF(d_Bv!F26=0,".",((Ir*F*I_f*T*(1-EXP(-RadSpec!BA26*t_v)))/(Y_v*RadSpec!BA26))),".")</f>
        <v>3.6424203206347228</v>
      </c>
      <c r="BE26" s="115">
        <f>IFERROR(IF(d_Bv!G26=0,".",((Ir*F*I_f*T*(1-EXP(-RadSpec!BA26*t_v)))/(Y_v*RadSpec!BA26))),".")</f>
        <v>3.6424203206347228</v>
      </c>
      <c r="BF26" s="115">
        <f>IFERROR(IF(d_Bv!H26=0,".",((Ir*F*I_f*T*(1-EXP(-RadSpec!BA26*t_v)))/(Y_v*RadSpec!BA26))),".")</f>
        <v>3.6424203206347228</v>
      </c>
      <c r="BG26" s="115">
        <f>IFERROR(IF(d_Bv!I26=0,".",((Ir*F*I_f*T*(1-EXP(-RadSpec!BA26*t_v)))/(Y_v*RadSpec!BA26))),".")</f>
        <v>3.6424203206347228</v>
      </c>
      <c r="BH26" s="115">
        <f>IFERROR(IF(d_Bv!J26=0,".",((Ir*F*I_f*T*(1-EXP(-RadSpec!BA26*t_v)))/(Y_v*RadSpec!BA26))),".")</f>
        <v>3.6424203206347228</v>
      </c>
      <c r="BI26" s="115">
        <f>IFERROR(IF(d_Bv!K26=0,".",((Ir*F*I_f*T*(1-EXP(-RadSpec!BA26*t_v)))/(Y_v*RadSpec!BA26))),".")</f>
        <v>3.6424203206347228</v>
      </c>
      <c r="BJ26" s="115">
        <f>IFERROR(IF(d_Bv!L26=0,".",((Ir*F*I_f*T*(1-EXP(-RadSpec!BA26*t_v)))/(Y_v*RadSpec!BA26))),".")</f>
        <v>3.6424203206347228</v>
      </c>
      <c r="BK26" s="115">
        <f>IFERROR(IF(d_Bv!M26=0,".",((Ir*F*I_f*T*(1-EXP(-RadSpec!BA26*t_v)))/(Y_v*RadSpec!BA26))),".")</f>
        <v>3.6424203206347228</v>
      </c>
      <c r="BL26" s="115">
        <f>IFERROR(IF(d_Bv!N26=0,".",((Ir*F*I_f*T*(1-EXP(-RadSpec!BA26*t_v)))/(Y_v*RadSpec!BA26))),".")</f>
        <v>3.6424203206347228</v>
      </c>
      <c r="BM26" s="115">
        <f>IFERROR(IF(d_Bv!O26=0,".",((Ir*F*I_f*T*(1-EXP(-RadSpec!BA26*t_v)))/(Y_v*RadSpec!BA26))),".")</f>
        <v>3.6424203206347228</v>
      </c>
      <c r="BN26" s="115">
        <f>IFERROR(IF(d_Bv!P26=0,".",((Ir*F*I_f*T*(1-EXP(-RadSpec!BA26*t_v)))/(Y_v*RadSpec!BA26))),".")</f>
        <v>3.6424203206347228</v>
      </c>
      <c r="BO26" s="115">
        <f>IFERROR(IF(d_Bv!Q26=0,".",((Ir*F*I_f*T*(1-EXP(-RadSpec!BA26*t_v)))/(Y_v*RadSpec!BA26))),".")</f>
        <v>3.6424203206347228</v>
      </c>
      <c r="BP26" s="115">
        <f>IFERROR(IF(d_Bv!R26=0,".",((Ir*F*I_f*T*(1-EXP(-RadSpec!BA26*t_v)))/(Y_v*RadSpec!BA26))),".")</f>
        <v>3.6424203206347228</v>
      </c>
      <c r="BQ26" s="115">
        <f>IFERROR(IF(d_Bv!S26=0,".",((Ir*F*I_f*T*(1-EXP(-RadSpec!BA26*t_v)))/(Y_v*RadSpec!BA26))),".")</f>
        <v>3.6424203206347228</v>
      </c>
      <c r="BR26" s="115">
        <f>IFERROR(IF(d_Bv!T26=0,".",((Ir*F*I_f*T*(1-EXP(-RadSpec!BA26*t_v)))/(Y_v*RadSpec!BA26))),".")</f>
        <v>3.6424203206347228</v>
      </c>
      <c r="BS26" s="115">
        <f>IFERROR(IF(d_Bv!U26=0,".",((Ir*F*I_f*T*(1-EXP(-RadSpec!BA26*t_v)))/(Y_v*RadSpec!BA26))),".")</f>
        <v>3.6424203206347228</v>
      </c>
      <c r="BT26" s="115">
        <f>IFERROR(IF(d_Bv!V26=0,".",((Ir*F*I_f*T*(1-EXP(-RadSpec!BA26*t_v)))/(Y_v*RadSpec!BA26))),".")</f>
        <v>3.6424203206347228</v>
      </c>
      <c r="BU26" s="115">
        <f>IFERROR(IF(d_Bv!W26=0,".",((Ir*F*I_f*T*(1-EXP(-RadSpec!BA26*t_v)))/(Y_v*RadSpec!BA26))),".")</f>
        <v>3.6424203206347228</v>
      </c>
      <c r="BV26" s="115">
        <f>IFERROR(IF(d_Bv!X26=0,".",((Ir*F*I_f*T*(1-EXP(-RadSpec!BA26*t_v)))/(Y_v*RadSpec!BA26))),".")</f>
        <v>3.6424203206347228</v>
      </c>
      <c r="BW26" s="115">
        <f>IFERROR(IF(d_Bv!Y26=0,".",((Ir*F*I_f*T*(1-EXP(-RadSpec!BA26*t_v)))/(Y_v*RadSpec!BA26))),".")</f>
        <v>3.6424203206347228</v>
      </c>
      <c r="BX26" s="115">
        <f>IFERROR(IF(d_Bv!Z26=0,".",((Ir*F*I_f*T*(1-EXP(-RadSpec!BA26*t_v)))/(Y_v*RadSpec!BA26))),".")</f>
        <v>3.6424203206347228</v>
      </c>
      <c r="BY26" s="115">
        <f>IFERROR(IF(d_Bv!AA26=0,".",((Ir*F*I_f*T*(1-EXP(-RadSpec!BA26*t_v)))/(Y_v*RadSpec!BA26))),".")</f>
        <v>3.6424203206347228</v>
      </c>
    </row>
    <row r="27" spans="1:77" x14ac:dyDescent="0.25">
      <c r="A27" s="44" t="s">
        <v>37</v>
      </c>
      <c r="B27" s="42" t="s">
        <v>1071</v>
      </c>
      <c r="C27" s="115">
        <f>IFERROR(IF(d_Bv!C27=0,".",((Ir*F*d_Bv!C27*(1-EXP(-RadSpec!AZ27*t_b)))/(P*RadSpec!AZ27))),".")</f>
        <v>2.8597128609880828E-3</v>
      </c>
      <c r="D27" s="115">
        <f>IFERROR(IF(d_Bv!D27=0,".",((Ir*F*d_Bv!D27*(1-EXP(-RadSpec!AZ27*t_b)))/(P*RadSpec!AZ27))),".")</f>
        <v>2.8597128609880826E-2</v>
      </c>
      <c r="E27" s="115">
        <f>IFERROR(IF(d_Bv!E27=0,".",((Ir*F*d_Bv!E27*(1-EXP(-RadSpec!AZ27*t_b)))/(P*RadSpec!AZ27))),".")</f>
        <v>2.8597128609880828E-3</v>
      </c>
      <c r="F27" s="115">
        <f>IFERROR(IF(d_Bv!F27=0,".",((Ir*F*d_Bv!F27*(1-EXP(-RadSpec!AZ27*t_b)))/(P*RadSpec!AZ27))),".")</f>
        <v>2.8597128609880828E-3</v>
      </c>
      <c r="G27" s="115">
        <f>IFERROR(IF(d_Bv!G27=0,".",((Ir*F*d_Bv!G27*(1-EXP(-RadSpec!AZ27*t_b)))/(P*RadSpec!AZ27))),".")</f>
        <v>2.8597128609880826E-2</v>
      </c>
      <c r="H27" s="115">
        <f>IFERROR(IF(d_Bv!H27=0,".",((Ir*F*d_Bv!H27*(1-EXP(-RadSpec!AZ27*t_b)))/(P*RadSpec!AZ27))),".")</f>
        <v>2.8597128609880826E-2</v>
      </c>
      <c r="I27" s="115">
        <f>IFERROR(IF(d_Bv!I27=0,".",((Ir*F*d_Bv!I27*(1-EXP(-RadSpec!AZ27*t_b)))/(P*RadSpec!AZ27))),".")</f>
        <v>2.8597128609880828E-3</v>
      </c>
      <c r="J27" s="115">
        <f>IFERROR(IF(d_Bv!J27=0,".",((Ir*F*d_Bv!J27*(1-EXP(-RadSpec!AZ27*t_b)))/(P*RadSpec!AZ27))),".")</f>
        <v>2.8597128609880828E-3</v>
      </c>
      <c r="K27" s="115">
        <f>IFERROR(IF(d_Bv!K27=0,".",((Ir*F*d_Bv!K27*(1-EXP(-RadSpec!AZ27*t_b)))/(P*RadSpec!AZ27))),".")</f>
        <v>2.8597128609880826E-2</v>
      </c>
      <c r="L27" s="115">
        <f>IFERROR(IF(d_Bv!L27=0,".",((Ir*F*d_Bv!L27*(1-EXP(-RadSpec!AZ27*t_b)))/(P*RadSpec!AZ27))),".")</f>
        <v>2.8597128609880826E-2</v>
      </c>
      <c r="M27" s="115">
        <f>IFERROR(IF(d_Bv!M27=0,".",((Ir*F*d_Bv!M27*(1-EXP(-RadSpec!AZ27*t_b)))/(P*RadSpec!AZ27))),".")</f>
        <v>2.8597128609880826E-2</v>
      </c>
      <c r="N27" s="115">
        <f>IFERROR(IF(d_Bv!N27=0,".",((Ir*F*d_Bv!N27*(1-EXP(-RadSpec!AZ27*t_b)))/(P*RadSpec!AZ27))),".")</f>
        <v>2.8597128609880826E-2</v>
      </c>
      <c r="O27" s="115">
        <f>IFERROR(IF(d_Bv!O27=0,".",((Ir*F*d_Bv!O27*(1-EXP(-RadSpec!AZ27*t_b)))/(P*RadSpec!AZ27))),".")</f>
        <v>2.8597128609880826E-2</v>
      </c>
      <c r="P27" s="115">
        <f>IFERROR(IF(d_Bv!I27=0,".",((Ir*F*d_Bv!I27*(1-EXP(-RadSpec!AZ27*t_b)))/(P*RadSpec!AZ27))),".")</f>
        <v>2.8597128609880828E-3</v>
      </c>
      <c r="Q27" s="115">
        <f>IFERROR(IF(d_Bv!Q27=0,".",((Ir*F*d_Bv!Q27*(1-EXP(-RadSpec!AZ27*t_b)))/(P*RadSpec!AZ27))),".")</f>
        <v>2.8597128609880828E-3</v>
      </c>
      <c r="R27" s="115">
        <f>IFERROR(IF(d_Bv!R27=0,".",((Ir*F*d_Bv!R27*(1-EXP(-RadSpec!AZ27*t_b)))/(P*RadSpec!AZ27))),".")</f>
        <v>2.8597128609880828E-3</v>
      </c>
      <c r="S27" s="115">
        <f>IFERROR(IF(d_Bv!S27=0,".",((Ir*F*d_Bv!S27*(1-EXP(-RadSpec!AZ27*t_b)))/(P*RadSpec!AZ27))),".")</f>
        <v>2.8597128609880826E-2</v>
      </c>
      <c r="T27" s="211">
        <f>IFERROR(IF(d_Bv!T27=0,".",((Ir*F*d_Bv!S27*(1-EXP(-RadSpec!AZ27*t_b)))/(P*RadSpec!AZ27))),".")</f>
        <v>2.8597128609880826E-2</v>
      </c>
      <c r="U27" s="115">
        <f>IFERROR(IF(d_Bv!U27=0,".",((Ir*F*d_Bv!U27*(1-EXP(-RadSpec!AZ27*t_b)))/(P*RadSpec!AZ27))),".")</f>
        <v>2.8597128609880828E-3</v>
      </c>
      <c r="V27" s="115">
        <f>IFERROR(IF(d_Bv!V27=0,".",((Ir*F*d_Bv!V27*(1-EXP(-RadSpec!AZ27*t_b)))/(P*RadSpec!AZ27))),".")</f>
        <v>2.8597128609880826E-2</v>
      </c>
      <c r="W27" s="115">
        <f>IFERROR(IF(d_Bv!W27=0,".",((Ir*F*d_Bv!W27*(1-EXP(-RadSpec!AZ27*t_b)))/(P*RadSpec!AZ27))),".")</f>
        <v>2.8597128609880826E-2</v>
      </c>
      <c r="X27" s="115">
        <f>IFERROR(IF(d_Bv!X27=0,".",((Ir*F*d_Bv!X27*(1-EXP(-RadSpec!AZ27*t_b)))/(P*RadSpec!AZ27))),".")</f>
        <v>2.8597128609880828E-3</v>
      </c>
      <c r="Y27" s="115">
        <f>IFERROR(IF(d_Bv!Y27=0,".",((Ir*F*d_Bv!Y27*(1-EXP(-RadSpec!AZ27*t_b)))/(P*RadSpec!AZ27))),".")</f>
        <v>2.8597128609880826E-2</v>
      </c>
      <c r="Z27" s="115">
        <f>IFERROR(IF(d_Bv!Z27=0,".",((Ir*F*d_Bv!Z27*(1-EXP(-RadSpec!AZ27*t_b)))/(P*RadSpec!AZ27))),".")</f>
        <v>7.1492821524702075</v>
      </c>
      <c r="AA27" s="115">
        <f>IFERROR(IF(d_Bv!AA27=0,".",((Ir*F*d_Bv!AA27*(1-EXP(-RadSpec!AZ27*t_b)))/(P*RadSpec!AZ27))),".")</f>
        <v>2.8597128609880826E-2</v>
      </c>
      <c r="AB27" s="115">
        <f>IFERROR(IF(d_Bv!C27=0,".",((Ir*F*MLF_apple*(1-EXP(-RadSpec!AZ27*t_b)))/(P*RadSpec!AZ27))),".")</f>
        <v>5.7194257219761657E-3</v>
      </c>
      <c r="AC27" s="115">
        <f>IFERROR(IF(d_Bv!D27=0,".",((Ir*F*MLF_asparagus*(1-EXP(-RadSpec!AZ27*t_b)))/(P*RadSpec!AZ27))),".")</f>
        <v>2.8239664502257315E-3</v>
      </c>
      <c r="AD27" s="115">
        <f>IFERROR(IF(d_Bv!E27=0,".",((Ir*F*MLF_beet*(1-EXP(-RadSpec!AZ27*t_b)))/(P*RadSpec!AZ27))),".")</f>
        <v>4.9330046852044422E-3</v>
      </c>
      <c r="AE27" s="115">
        <f>IFERROR(IF(d_Bv!F27=0,".",((Ir*F*MLF_berries*(1-EXP(-RadSpec!AZ27*t_b)))/(P*RadSpec!AZ27))),".")</f>
        <v>5.9339041865502712E-3</v>
      </c>
      <c r="AF27" s="115">
        <f>IFERROR(IF(d_Bv!G27=0,".",((Ir*F*MLF_broccoli*(1-EXP(-RadSpec!AZ27*t_b)))/(P*RadSpec!AZ27))),".")</f>
        <v>3.6103874869974538E-2</v>
      </c>
      <c r="AG27" s="115">
        <f>IFERROR(IF(d_Bv!H27=0,".",((Ir*F*MLF_cabbage*(1-EXP(-RadSpec!AZ27*t_b)))/(P*RadSpec!AZ27))),".")</f>
        <v>3.7533731300468582E-3</v>
      </c>
      <c r="AH27" s="115">
        <f>IFERROR(IF(d_Bv!I27=0,".",((Ir*F*MLF_carrot*(1-EXP(-RadSpec!AZ27*t_b)))/(P*RadSpec!AZ27))),".")</f>
        <v>3.4674018439480501E-3</v>
      </c>
      <c r="AI27" s="115">
        <f>IFERROR(IF(d_Bv!J27=0,".",((Ir*F*MLF_citrus*(1-EXP(-RadSpec!AZ27*t_b)))/(P*RadSpec!AZ27))),".")</f>
        <v>5.6121864896891112E-3</v>
      </c>
      <c r="AJ27" s="115">
        <f>IFERROR(IF(d_Bv!K27=0,".",((Ir*F*MLF_corn*(1-EXP(-RadSpec!AZ27*t_b)))/(P*RadSpec!AZ27))),".")</f>
        <v>5.1832295605408994E-3</v>
      </c>
      <c r="AK27" s="115">
        <f>IFERROR(IF(d_Bv!L27=0,".",((Ir*F*MLF_cucumber*(1-EXP(-RadSpec!AZ27*t_b)))/(P*RadSpec!AZ27))),".")</f>
        <v>1.4298564304940414E-3</v>
      </c>
      <c r="AL27" s="115">
        <f>IFERROR(IF(d_Bv!M27=0,".",((Ir*F*MLF_lettuce*(1-EXP(-RadSpec!AZ27*t_b)))/(P*RadSpec!AZ27))),".")</f>
        <v>0.48257654529173893</v>
      </c>
      <c r="AM27" s="115">
        <f>IFERROR(IF(d_Bv!N27=0,".",((Ir*F*MLF_lima_bean*(1-EXP(-RadSpec!AZ27*t_b)))/(P*RadSpec!AZ27))),".")</f>
        <v>0.13690875321980447</v>
      </c>
      <c r="AN27" s="115">
        <f>IFERROR(IF(d_Bv!O27=0,".",((Ir*F*MLF_okra*(1-EXP(-RadSpec!AZ27*t_b)))/(P*RadSpec!AZ27))),".")</f>
        <v>2.8597128609880828E-3</v>
      </c>
      <c r="AO27" s="115">
        <f>IFERROR(IF(d_Bv!P27=0,".",((Ir*F*MLF_onion*(1-EXP(-RadSpec!AZ27*t_b)))/(P*RadSpec!AZ27))),".")</f>
        <v>3.4674018439480501E-3</v>
      </c>
      <c r="AP27" s="115">
        <f>IFERROR(IF(d_Bv!Q27=0,".",((Ir*F*MLF_peach*(1-EXP(-RadSpec!AZ27*t_b)))/(P*RadSpec!AZ27))),".")</f>
        <v>5.361961614352654E-3</v>
      </c>
      <c r="AQ27" s="115">
        <f>IFERROR(IF(d_Bv!R27=0,".",((Ir*F*MLF_pear*(1-EXP(-RadSpec!AZ27*t_b)))/(P*RadSpec!AZ27))),".")</f>
        <v>5.7194257219761657E-3</v>
      </c>
      <c r="AR27" s="115">
        <f>IFERROR(IF(d_Bv!S27=0,".",((Ir*F*MLF_peas*(1-EXP(-RadSpec!AZ27*t_b)))/(P*RadSpec!AZ27))),".")</f>
        <v>6.3628611156984829E-3</v>
      </c>
      <c r="AS27" s="115">
        <f>IFERROR(IF(d_Bv!T27=0,".",((Ir*F*MLF_peppers*(1-EXP(-RadSpec!AZ27*t_b)))/(P*RadSpec!AZ27))),".")</f>
        <v>7.93570318924193E-2</v>
      </c>
      <c r="AT27" s="115">
        <f>IFERROR(IF(d_Bv!U27=0,".",((Ir*F*MLF_potato*(1-EXP(-RadSpec!AZ27*t_b)))/(P*RadSpec!AZ27))),".")</f>
        <v>7.5067462600937164E-3</v>
      </c>
      <c r="AU27" s="115">
        <f>IFERROR(IF(d_Bv!V27=0,".",((Ir*F*MLF_pumpkin*(1-EXP(-RadSpec!AZ27*t_b)))/(P*RadSpec!AZ27))),".")</f>
        <v>2.0732918242163598E-3</v>
      </c>
      <c r="AV27" s="115">
        <f>IFERROR(IF(d_Bv!W27=0,".",((Ir*F*MLF_snap_bean*(1-EXP(-RadSpec!AZ27*t_b)))/(P*RadSpec!AZ27))),".")</f>
        <v>0.17873205381175516</v>
      </c>
      <c r="AW27" s="115">
        <f>IFERROR(IF(d_Bv!X27=0,".",((Ir*F*MLF_strawberry*(1-EXP(-RadSpec!AZ27*t_b)))/(P*RadSpec!AZ27))),".")</f>
        <v>2.8597128609880828E-3</v>
      </c>
      <c r="AX27" s="115">
        <f>IFERROR(IF(d_Bv!Y27=0,".",((Ir*F*MLF_tomato*(1-EXP(-RadSpec!AZ27*t_b)))/(P*RadSpec!AZ27))),".")</f>
        <v>6.327114704936132E-2</v>
      </c>
      <c r="AY27" s="115">
        <f>IFERROR(IF(d_Bv!Z27=0,".",((Ir*F*MLF_rice*(1-EXP(-RadSpec!AZ27*t_b)))/(P*RadSpec!AZ27))),".")</f>
        <v>8.9366026905877582</v>
      </c>
      <c r="AZ27" s="115">
        <f>IFERROR(IF(d_Bv!AA27=0,".",((Ir*F*MLF_cereal*(1-EXP(-RadSpec!AZ27*t_b)))/(P*RadSpec!AZ27))),".")</f>
        <v>8.9366026905877582</v>
      </c>
      <c r="BA27" s="115">
        <f>IFERROR(IF(d_Bv!C27=0,".",((Ir*F*I_f*T*(1-EXP(-RadSpec!BA27*t_v)))/(Y_v*RadSpec!BA27))),".")</f>
        <v>3.6424203206347228</v>
      </c>
      <c r="BB27" s="115">
        <f>IFERROR(IF(d_Bv!D27=0,".",((Ir*F*I_f*T*(1-EXP(-RadSpec!BA27*t_v)))/(Y_v*RadSpec!BA27))),".")</f>
        <v>3.6424203206347228</v>
      </c>
      <c r="BC27" s="115">
        <f>IFERROR(IF(d_Bv!E27=0,".",((Ir*F*I_f*T*(1-EXP(-RadSpec!BA27*t_v)))/(Y_v*RadSpec!BA27))),".")</f>
        <v>3.6424203206347228</v>
      </c>
      <c r="BD27" s="115">
        <f>IFERROR(IF(d_Bv!F27=0,".",((Ir*F*I_f*T*(1-EXP(-RadSpec!BA27*t_v)))/(Y_v*RadSpec!BA27))),".")</f>
        <v>3.6424203206347228</v>
      </c>
      <c r="BE27" s="115">
        <f>IFERROR(IF(d_Bv!G27=0,".",((Ir*F*I_f*T*(1-EXP(-RadSpec!BA27*t_v)))/(Y_v*RadSpec!BA27))),".")</f>
        <v>3.6424203206347228</v>
      </c>
      <c r="BF27" s="115">
        <f>IFERROR(IF(d_Bv!H27=0,".",((Ir*F*I_f*T*(1-EXP(-RadSpec!BA27*t_v)))/(Y_v*RadSpec!BA27))),".")</f>
        <v>3.6424203206347228</v>
      </c>
      <c r="BG27" s="115">
        <f>IFERROR(IF(d_Bv!I27=0,".",((Ir*F*I_f*T*(1-EXP(-RadSpec!BA27*t_v)))/(Y_v*RadSpec!BA27))),".")</f>
        <v>3.6424203206347228</v>
      </c>
      <c r="BH27" s="115">
        <f>IFERROR(IF(d_Bv!J27=0,".",((Ir*F*I_f*T*(1-EXP(-RadSpec!BA27*t_v)))/(Y_v*RadSpec!BA27))),".")</f>
        <v>3.6424203206347228</v>
      </c>
      <c r="BI27" s="115">
        <f>IFERROR(IF(d_Bv!K27=0,".",((Ir*F*I_f*T*(1-EXP(-RadSpec!BA27*t_v)))/(Y_v*RadSpec!BA27))),".")</f>
        <v>3.6424203206347228</v>
      </c>
      <c r="BJ27" s="115">
        <f>IFERROR(IF(d_Bv!L27=0,".",((Ir*F*I_f*T*(1-EXP(-RadSpec!BA27*t_v)))/(Y_v*RadSpec!BA27))),".")</f>
        <v>3.6424203206347228</v>
      </c>
      <c r="BK27" s="115">
        <f>IFERROR(IF(d_Bv!M27=0,".",((Ir*F*I_f*T*(1-EXP(-RadSpec!BA27*t_v)))/(Y_v*RadSpec!BA27))),".")</f>
        <v>3.6424203206347228</v>
      </c>
      <c r="BL27" s="115">
        <f>IFERROR(IF(d_Bv!N27=0,".",((Ir*F*I_f*T*(1-EXP(-RadSpec!BA27*t_v)))/(Y_v*RadSpec!BA27))),".")</f>
        <v>3.6424203206347228</v>
      </c>
      <c r="BM27" s="115">
        <f>IFERROR(IF(d_Bv!O27=0,".",((Ir*F*I_f*T*(1-EXP(-RadSpec!BA27*t_v)))/(Y_v*RadSpec!BA27))),".")</f>
        <v>3.6424203206347228</v>
      </c>
      <c r="BN27" s="115">
        <f>IFERROR(IF(d_Bv!P27=0,".",((Ir*F*I_f*T*(1-EXP(-RadSpec!BA27*t_v)))/(Y_v*RadSpec!BA27))),".")</f>
        <v>3.6424203206347228</v>
      </c>
      <c r="BO27" s="115">
        <f>IFERROR(IF(d_Bv!Q27=0,".",((Ir*F*I_f*T*(1-EXP(-RadSpec!BA27*t_v)))/(Y_v*RadSpec!BA27))),".")</f>
        <v>3.6424203206347228</v>
      </c>
      <c r="BP27" s="115">
        <f>IFERROR(IF(d_Bv!R27=0,".",((Ir*F*I_f*T*(1-EXP(-RadSpec!BA27*t_v)))/(Y_v*RadSpec!BA27))),".")</f>
        <v>3.6424203206347228</v>
      </c>
      <c r="BQ27" s="115">
        <f>IFERROR(IF(d_Bv!S27=0,".",((Ir*F*I_f*T*(1-EXP(-RadSpec!BA27*t_v)))/(Y_v*RadSpec!BA27))),".")</f>
        <v>3.6424203206347228</v>
      </c>
      <c r="BR27" s="115">
        <f>IFERROR(IF(d_Bv!T27=0,".",((Ir*F*I_f*T*(1-EXP(-RadSpec!BA27*t_v)))/(Y_v*RadSpec!BA27))),".")</f>
        <v>3.6424203206347228</v>
      </c>
      <c r="BS27" s="115">
        <f>IFERROR(IF(d_Bv!U27=0,".",((Ir*F*I_f*T*(1-EXP(-RadSpec!BA27*t_v)))/(Y_v*RadSpec!BA27))),".")</f>
        <v>3.6424203206347228</v>
      </c>
      <c r="BT27" s="115">
        <f>IFERROR(IF(d_Bv!V27=0,".",((Ir*F*I_f*T*(1-EXP(-RadSpec!BA27*t_v)))/(Y_v*RadSpec!BA27))),".")</f>
        <v>3.6424203206347228</v>
      </c>
      <c r="BU27" s="115">
        <f>IFERROR(IF(d_Bv!W27=0,".",((Ir*F*I_f*T*(1-EXP(-RadSpec!BA27*t_v)))/(Y_v*RadSpec!BA27))),".")</f>
        <v>3.6424203206347228</v>
      </c>
      <c r="BV27" s="115">
        <f>IFERROR(IF(d_Bv!X27=0,".",((Ir*F*I_f*T*(1-EXP(-RadSpec!BA27*t_v)))/(Y_v*RadSpec!BA27))),".")</f>
        <v>3.6424203206347228</v>
      </c>
      <c r="BW27" s="115">
        <f>IFERROR(IF(d_Bv!Y27=0,".",((Ir*F*I_f*T*(1-EXP(-RadSpec!BA27*t_v)))/(Y_v*RadSpec!BA27))),".")</f>
        <v>3.6424203206347228</v>
      </c>
      <c r="BX27" s="115">
        <f>IFERROR(IF(d_Bv!Z27=0,".",((Ir*F*I_f*T*(1-EXP(-RadSpec!BA27*t_v)))/(Y_v*RadSpec!BA27))),".")</f>
        <v>3.6424203206347228</v>
      </c>
      <c r="BY27" s="115">
        <f>IFERROR(IF(d_Bv!AA27=0,".",((Ir*F*I_f*T*(1-EXP(-RadSpec!BA27*t_v)))/(Y_v*RadSpec!BA27))),".")</f>
        <v>3.6424203206347228</v>
      </c>
    </row>
    <row r="28" spans="1:77" x14ac:dyDescent="0.25">
      <c r="A28" s="44" t="s">
        <v>38</v>
      </c>
      <c r="B28" s="42" t="s">
        <v>1071</v>
      </c>
      <c r="C28" s="115">
        <f>IFERROR(IF(d_Bv!C28=0,".",((Ir*F*d_Bv!C28*(1-EXP(-RadSpec!AZ28*t_b)))/(P*RadSpec!AZ28))),".")</f>
        <v>2.8597128609880828E-3</v>
      </c>
      <c r="D28" s="115">
        <f>IFERROR(IF(d_Bv!D28=0,".",((Ir*F*d_Bv!D28*(1-EXP(-RadSpec!AZ28*t_b)))/(P*RadSpec!AZ28))),".")</f>
        <v>2.8597128609880826E-2</v>
      </c>
      <c r="E28" s="115">
        <f>IFERROR(IF(d_Bv!E28=0,".",((Ir*F*d_Bv!E28*(1-EXP(-RadSpec!AZ28*t_b)))/(P*RadSpec!AZ28))),".")</f>
        <v>2.8597128609880828E-3</v>
      </c>
      <c r="F28" s="115">
        <f>IFERROR(IF(d_Bv!F28=0,".",((Ir*F*d_Bv!F28*(1-EXP(-RadSpec!AZ28*t_b)))/(P*RadSpec!AZ28))),".")</f>
        <v>2.8597128609880828E-3</v>
      </c>
      <c r="G28" s="115">
        <f>IFERROR(IF(d_Bv!G28=0,".",((Ir*F*d_Bv!G28*(1-EXP(-RadSpec!AZ28*t_b)))/(P*RadSpec!AZ28))),".")</f>
        <v>2.8597128609880826E-2</v>
      </c>
      <c r="H28" s="115">
        <f>IFERROR(IF(d_Bv!H28=0,".",((Ir*F*d_Bv!H28*(1-EXP(-RadSpec!AZ28*t_b)))/(P*RadSpec!AZ28))),".")</f>
        <v>2.8597128609880826E-2</v>
      </c>
      <c r="I28" s="115">
        <f>IFERROR(IF(d_Bv!I28=0,".",((Ir*F*d_Bv!I28*(1-EXP(-RadSpec!AZ28*t_b)))/(P*RadSpec!AZ28))),".")</f>
        <v>2.8597128609880828E-3</v>
      </c>
      <c r="J28" s="115">
        <f>IFERROR(IF(d_Bv!J28=0,".",((Ir*F*d_Bv!J28*(1-EXP(-RadSpec!AZ28*t_b)))/(P*RadSpec!AZ28))),".")</f>
        <v>2.8597128609880828E-3</v>
      </c>
      <c r="K28" s="115">
        <f>IFERROR(IF(d_Bv!K28=0,".",((Ir*F*d_Bv!K28*(1-EXP(-RadSpec!AZ28*t_b)))/(P*RadSpec!AZ28))),".")</f>
        <v>2.8597128609880826E-2</v>
      </c>
      <c r="L28" s="115">
        <f>IFERROR(IF(d_Bv!L28=0,".",((Ir*F*d_Bv!L28*(1-EXP(-RadSpec!AZ28*t_b)))/(P*RadSpec!AZ28))),".")</f>
        <v>2.8597128609880826E-2</v>
      </c>
      <c r="M28" s="115">
        <f>IFERROR(IF(d_Bv!M28=0,".",((Ir*F*d_Bv!M28*(1-EXP(-RadSpec!AZ28*t_b)))/(P*RadSpec!AZ28))),".")</f>
        <v>2.8597128609880826E-2</v>
      </c>
      <c r="N28" s="115">
        <f>IFERROR(IF(d_Bv!N28=0,".",((Ir*F*d_Bv!N28*(1-EXP(-RadSpec!AZ28*t_b)))/(P*RadSpec!AZ28))),".")</f>
        <v>2.8597128609880826E-2</v>
      </c>
      <c r="O28" s="115">
        <f>IFERROR(IF(d_Bv!O28=0,".",((Ir*F*d_Bv!O28*(1-EXP(-RadSpec!AZ28*t_b)))/(P*RadSpec!AZ28))),".")</f>
        <v>2.8597128609880826E-2</v>
      </c>
      <c r="P28" s="115">
        <f>IFERROR(IF(d_Bv!I28=0,".",((Ir*F*d_Bv!I28*(1-EXP(-RadSpec!AZ28*t_b)))/(P*RadSpec!AZ28))),".")</f>
        <v>2.8597128609880828E-3</v>
      </c>
      <c r="Q28" s="115">
        <f>IFERROR(IF(d_Bv!Q28=0,".",((Ir*F*d_Bv!Q28*(1-EXP(-RadSpec!AZ28*t_b)))/(P*RadSpec!AZ28))),".")</f>
        <v>2.8597128609880828E-3</v>
      </c>
      <c r="R28" s="115">
        <f>IFERROR(IF(d_Bv!R28=0,".",((Ir*F*d_Bv!R28*(1-EXP(-RadSpec!AZ28*t_b)))/(P*RadSpec!AZ28))),".")</f>
        <v>2.8597128609880828E-3</v>
      </c>
      <c r="S28" s="115">
        <f>IFERROR(IF(d_Bv!S28=0,".",((Ir*F*d_Bv!S28*(1-EXP(-RadSpec!AZ28*t_b)))/(P*RadSpec!AZ28))),".")</f>
        <v>2.8597128609880826E-2</v>
      </c>
      <c r="T28" s="211">
        <f>IFERROR(IF(d_Bv!T28=0,".",((Ir*F*d_Bv!S28*(1-EXP(-RadSpec!AZ28*t_b)))/(P*RadSpec!AZ28))),".")</f>
        <v>2.8597128609880826E-2</v>
      </c>
      <c r="U28" s="115">
        <f>IFERROR(IF(d_Bv!U28=0,".",((Ir*F*d_Bv!U28*(1-EXP(-RadSpec!AZ28*t_b)))/(P*RadSpec!AZ28))),".")</f>
        <v>2.8597128609880828E-3</v>
      </c>
      <c r="V28" s="115">
        <f>IFERROR(IF(d_Bv!V28=0,".",((Ir*F*d_Bv!V28*(1-EXP(-RadSpec!AZ28*t_b)))/(P*RadSpec!AZ28))),".")</f>
        <v>2.8597128609880826E-2</v>
      </c>
      <c r="W28" s="115">
        <f>IFERROR(IF(d_Bv!W28=0,".",((Ir*F*d_Bv!W28*(1-EXP(-RadSpec!AZ28*t_b)))/(P*RadSpec!AZ28))),".")</f>
        <v>2.8597128609880826E-2</v>
      </c>
      <c r="X28" s="115">
        <f>IFERROR(IF(d_Bv!X28=0,".",((Ir*F*d_Bv!X28*(1-EXP(-RadSpec!AZ28*t_b)))/(P*RadSpec!AZ28))),".")</f>
        <v>2.8597128609880828E-3</v>
      </c>
      <c r="Y28" s="115">
        <f>IFERROR(IF(d_Bv!Y28=0,".",((Ir*F*d_Bv!Y28*(1-EXP(-RadSpec!AZ28*t_b)))/(P*RadSpec!AZ28))),".")</f>
        <v>2.8597128609880826E-2</v>
      </c>
      <c r="Z28" s="115">
        <f>IFERROR(IF(d_Bv!Z28=0,".",((Ir*F*d_Bv!Z28*(1-EXP(-RadSpec!AZ28*t_b)))/(P*RadSpec!AZ28))),".")</f>
        <v>7.1492821524702075</v>
      </c>
      <c r="AA28" s="115">
        <f>IFERROR(IF(d_Bv!AA28=0,".",((Ir*F*d_Bv!AA28*(1-EXP(-RadSpec!AZ28*t_b)))/(P*RadSpec!AZ28))),".")</f>
        <v>2.8597128609880826E-2</v>
      </c>
      <c r="AB28" s="115">
        <f>IFERROR(IF(d_Bv!C28=0,".",((Ir*F*MLF_apple*(1-EXP(-RadSpec!AZ28*t_b)))/(P*RadSpec!AZ28))),".")</f>
        <v>5.7194257219761657E-3</v>
      </c>
      <c r="AC28" s="115">
        <f>IFERROR(IF(d_Bv!D28=0,".",((Ir*F*MLF_asparagus*(1-EXP(-RadSpec!AZ28*t_b)))/(P*RadSpec!AZ28))),".")</f>
        <v>2.8239664502257315E-3</v>
      </c>
      <c r="AD28" s="115">
        <f>IFERROR(IF(d_Bv!E28=0,".",((Ir*F*MLF_beet*(1-EXP(-RadSpec!AZ28*t_b)))/(P*RadSpec!AZ28))),".")</f>
        <v>4.9330046852044422E-3</v>
      </c>
      <c r="AE28" s="115">
        <f>IFERROR(IF(d_Bv!F28=0,".",((Ir*F*MLF_berries*(1-EXP(-RadSpec!AZ28*t_b)))/(P*RadSpec!AZ28))),".")</f>
        <v>5.9339041865502712E-3</v>
      </c>
      <c r="AF28" s="115">
        <f>IFERROR(IF(d_Bv!G28=0,".",((Ir*F*MLF_broccoli*(1-EXP(-RadSpec!AZ28*t_b)))/(P*RadSpec!AZ28))),".")</f>
        <v>3.6103874869974538E-2</v>
      </c>
      <c r="AG28" s="115">
        <f>IFERROR(IF(d_Bv!H28=0,".",((Ir*F*MLF_cabbage*(1-EXP(-RadSpec!AZ28*t_b)))/(P*RadSpec!AZ28))),".")</f>
        <v>3.7533731300468582E-3</v>
      </c>
      <c r="AH28" s="115">
        <f>IFERROR(IF(d_Bv!I28=0,".",((Ir*F*MLF_carrot*(1-EXP(-RadSpec!AZ28*t_b)))/(P*RadSpec!AZ28))),".")</f>
        <v>3.4674018439480501E-3</v>
      </c>
      <c r="AI28" s="115">
        <f>IFERROR(IF(d_Bv!J28=0,".",((Ir*F*MLF_citrus*(1-EXP(-RadSpec!AZ28*t_b)))/(P*RadSpec!AZ28))),".")</f>
        <v>5.6121864896891112E-3</v>
      </c>
      <c r="AJ28" s="115">
        <f>IFERROR(IF(d_Bv!K28=0,".",((Ir*F*MLF_corn*(1-EXP(-RadSpec!AZ28*t_b)))/(P*RadSpec!AZ28))),".")</f>
        <v>5.1832295605408994E-3</v>
      </c>
      <c r="AK28" s="115">
        <f>IFERROR(IF(d_Bv!L28=0,".",((Ir*F*MLF_cucumber*(1-EXP(-RadSpec!AZ28*t_b)))/(P*RadSpec!AZ28))),".")</f>
        <v>1.4298564304940414E-3</v>
      </c>
      <c r="AL28" s="115">
        <f>IFERROR(IF(d_Bv!M28=0,".",((Ir*F*MLF_lettuce*(1-EXP(-RadSpec!AZ28*t_b)))/(P*RadSpec!AZ28))),".")</f>
        <v>0.48257654529173893</v>
      </c>
      <c r="AM28" s="115">
        <f>IFERROR(IF(d_Bv!N28=0,".",((Ir*F*MLF_lima_bean*(1-EXP(-RadSpec!AZ28*t_b)))/(P*RadSpec!AZ28))),".")</f>
        <v>0.13690875321980447</v>
      </c>
      <c r="AN28" s="115">
        <f>IFERROR(IF(d_Bv!O28=0,".",((Ir*F*MLF_okra*(1-EXP(-RadSpec!AZ28*t_b)))/(P*RadSpec!AZ28))),".")</f>
        <v>2.8597128609880828E-3</v>
      </c>
      <c r="AO28" s="115">
        <f>IFERROR(IF(d_Bv!P28=0,".",((Ir*F*MLF_onion*(1-EXP(-RadSpec!AZ28*t_b)))/(P*RadSpec!AZ28))),".")</f>
        <v>3.4674018439480501E-3</v>
      </c>
      <c r="AP28" s="115">
        <f>IFERROR(IF(d_Bv!Q28=0,".",((Ir*F*MLF_peach*(1-EXP(-RadSpec!AZ28*t_b)))/(P*RadSpec!AZ28))),".")</f>
        <v>5.361961614352654E-3</v>
      </c>
      <c r="AQ28" s="115">
        <f>IFERROR(IF(d_Bv!R28=0,".",((Ir*F*MLF_pear*(1-EXP(-RadSpec!AZ28*t_b)))/(P*RadSpec!AZ28))),".")</f>
        <v>5.7194257219761657E-3</v>
      </c>
      <c r="AR28" s="115">
        <f>IFERROR(IF(d_Bv!S28=0,".",((Ir*F*MLF_peas*(1-EXP(-RadSpec!AZ28*t_b)))/(P*RadSpec!AZ28))),".")</f>
        <v>6.3628611156984829E-3</v>
      </c>
      <c r="AS28" s="115">
        <f>IFERROR(IF(d_Bv!T28=0,".",((Ir*F*MLF_peppers*(1-EXP(-RadSpec!AZ28*t_b)))/(P*RadSpec!AZ28))),".")</f>
        <v>7.93570318924193E-2</v>
      </c>
      <c r="AT28" s="115">
        <f>IFERROR(IF(d_Bv!U28=0,".",((Ir*F*MLF_potato*(1-EXP(-RadSpec!AZ28*t_b)))/(P*RadSpec!AZ28))),".")</f>
        <v>7.5067462600937164E-3</v>
      </c>
      <c r="AU28" s="115">
        <f>IFERROR(IF(d_Bv!V28=0,".",((Ir*F*MLF_pumpkin*(1-EXP(-RadSpec!AZ28*t_b)))/(P*RadSpec!AZ28))),".")</f>
        <v>2.0732918242163598E-3</v>
      </c>
      <c r="AV28" s="115">
        <f>IFERROR(IF(d_Bv!W28=0,".",((Ir*F*MLF_snap_bean*(1-EXP(-RadSpec!AZ28*t_b)))/(P*RadSpec!AZ28))),".")</f>
        <v>0.17873205381175516</v>
      </c>
      <c r="AW28" s="115">
        <f>IFERROR(IF(d_Bv!X28=0,".",((Ir*F*MLF_strawberry*(1-EXP(-RadSpec!AZ28*t_b)))/(P*RadSpec!AZ28))),".")</f>
        <v>2.8597128609880828E-3</v>
      </c>
      <c r="AX28" s="115">
        <f>IFERROR(IF(d_Bv!Y28=0,".",((Ir*F*MLF_tomato*(1-EXP(-RadSpec!AZ28*t_b)))/(P*RadSpec!AZ28))),".")</f>
        <v>6.327114704936132E-2</v>
      </c>
      <c r="AY28" s="115">
        <f>IFERROR(IF(d_Bv!Z28=0,".",((Ir*F*MLF_rice*(1-EXP(-RadSpec!AZ28*t_b)))/(P*RadSpec!AZ28))),".")</f>
        <v>8.9366026905877582</v>
      </c>
      <c r="AZ28" s="115">
        <f>IFERROR(IF(d_Bv!AA28=0,".",((Ir*F*MLF_cereal*(1-EXP(-RadSpec!AZ28*t_b)))/(P*RadSpec!AZ28))),".")</f>
        <v>8.9366026905877582</v>
      </c>
      <c r="BA28" s="115">
        <f>IFERROR(IF(d_Bv!C28=0,".",((Ir*F*I_f*T*(1-EXP(-RadSpec!BA28*t_v)))/(Y_v*RadSpec!BA28))),".")</f>
        <v>3.6424203206347228</v>
      </c>
      <c r="BB28" s="115">
        <f>IFERROR(IF(d_Bv!D28=0,".",((Ir*F*I_f*T*(1-EXP(-RadSpec!BA28*t_v)))/(Y_v*RadSpec!BA28))),".")</f>
        <v>3.6424203206347228</v>
      </c>
      <c r="BC28" s="115">
        <f>IFERROR(IF(d_Bv!E28=0,".",((Ir*F*I_f*T*(1-EXP(-RadSpec!BA28*t_v)))/(Y_v*RadSpec!BA28))),".")</f>
        <v>3.6424203206347228</v>
      </c>
      <c r="BD28" s="115">
        <f>IFERROR(IF(d_Bv!F28=0,".",((Ir*F*I_f*T*(1-EXP(-RadSpec!BA28*t_v)))/(Y_v*RadSpec!BA28))),".")</f>
        <v>3.6424203206347228</v>
      </c>
      <c r="BE28" s="115">
        <f>IFERROR(IF(d_Bv!G28=0,".",((Ir*F*I_f*T*(1-EXP(-RadSpec!BA28*t_v)))/(Y_v*RadSpec!BA28))),".")</f>
        <v>3.6424203206347228</v>
      </c>
      <c r="BF28" s="115">
        <f>IFERROR(IF(d_Bv!H28=0,".",((Ir*F*I_f*T*(1-EXP(-RadSpec!BA28*t_v)))/(Y_v*RadSpec!BA28))),".")</f>
        <v>3.6424203206347228</v>
      </c>
      <c r="BG28" s="115">
        <f>IFERROR(IF(d_Bv!I28=0,".",((Ir*F*I_f*T*(1-EXP(-RadSpec!BA28*t_v)))/(Y_v*RadSpec!BA28))),".")</f>
        <v>3.6424203206347228</v>
      </c>
      <c r="BH28" s="115">
        <f>IFERROR(IF(d_Bv!J28=0,".",((Ir*F*I_f*T*(1-EXP(-RadSpec!BA28*t_v)))/(Y_v*RadSpec!BA28))),".")</f>
        <v>3.6424203206347228</v>
      </c>
      <c r="BI28" s="115">
        <f>IFERROR(IF(d_Bv!K28=0,".",((Ir*F*I_f*T*(1-EXP(-RadSpec!BA28*t_v)))/(Y_v*RadSpec!BA28))),".")</f>
        <v>3.6424203206347228</v>
      </c>
      <c r="BJ28" s="115">
        <f>IFERROR(IF(d_Bv!L28=0,".",((Ir*F*I_f*T*(1-EXP(-RadSpec!BA28*t_v)))/(Y_v*RadSpec!BA28))),".")</f>
        <v>3.6424203206347228</v>
      </c>
      <c r="BK28" s="115">
        <f>IFERROR(IF(d_Bv!M28=0,".",((Ir*F*I_f*T*(1-EXP(-RadSpec!BA28*t_v)))/(Y_v*RadSpec!BA28))),".")</f>
        <v>3.6424203206347228</v>
      </c>
      <c r="BL28" s="115">
        <f>IFERROR(IF(d_Bv!N28=0,".",((Ir*F*I_f*T*(1-EXP(-RadSpec!BA28*t_v)))/(Y_v*RadSpec!BA28))),".")</f>
        <v>3.6424203206347228</v>
      </c>
      <c r="BM28" s="115">
        <f>IFERROR(IF(d_Bv!O28=0,".",((Ir*F*I_f*T*(1-EXP(-RadSpec!BA28*t_v)))/(Y_v*RadSpec!BA28))),".")</f>
        <v>3.6424203206347228</v>
      </c>
      <c r="BN28" s="115">
        <f>IFERROR(IF(d_Bv!P28=0,".",((Ir*F*I_f*T*(1-EXP(-RadSpec!BA28*t_v)))/(Y_v*RadSpec!BA28))),".")</f>
        <v>3.6424203206347228</v>
      </c>
      <c r="BO28" s="115">
        <f>IFERROR(IF(d_Bv!Q28=0,".",((Ir*F*I_f*T*(1-EXP(-RadSpec!BA28*t_v)))/(Y_v*RadSpec!BA28))),".")</f>
        <v>3.6424203206347228</v>
      </c>
      <c r="BP28" s="115">
        <f>IFERROR(IF(d_Bv!R28=0,".",((Ir*F*I_f*T*(1-EXP(-RadSpec!BA28*t_v)))/(Y_v*RadSpec!BA28))),".")</f>
        <v>3.6424203206347228</v>
      </c>
      <c r="BQ28" s="115">
        <f>IFERROR(IF(d_Bv!S28=0,".",((Ir*F*I_f*T*(1-EXP(-RadSpec!BA28*t_v)))/(Y_v*RadSpec!BA28))),".")</f>
        <v>3.6424203206347228</v>
      </c>
      <c r="BR28" s="115">
        <f>IFERROR(IF(d_Bv!T28=0,".",((Ir*F*I_f*T*(1-EXP(-RadSpec!BA28*t_v)))/(Y_v*RadSpec!BA28))),".")</f>
        <v>3.6424203206347228</v>
      </c>
      <c r="BS28" s="115">
        <f>IFERROR(IF(d_Bv!U28=0,".",((Ir*F*I_f*T*(1-EXP(-RadSpec!BA28*t_v)))/(Y_v*RadSpec!BA28))),".")</f>
        <v>3.6424203206347228</v>
      </c>
      <c r="BT28" s="115">
        <f>IFERROR(IF(d_Bv!V28=0,".",((Ir*F*I_f*T*(1-EXP(-RadSpec!BA28*t_v)))/(Y_v*RadSpec!BA28))),".")</f>
        <v>3.6424203206347228</v>
      </c>
      <c r="BU28" s="115">
        <f>IFERROR(IF(d_Bv!W28=0,".",((Ir*F*I_f*T*(1-EXP(-RadSpec!BA28*t_v)))/(Y_v*RadSpec!BA28))),".")</f>
        <v>3.6424203206347228</v>
      </c>
      <c r="BV28" s="115">
        <f>IFERROR(IF(d_Bv!X28=0,".",((Ir*F*I_f*T*(1-EXP(-RadSpec!BA28*t_v)))/(Y_v*RadSpec!BA28))),".")</f>
        <v>3.6424203206347228</v>
      </c>
      <c r="BW28" s="115">
        <f>IFERROR(IF(d_Bv!Y28=0,".",((Ir*F*I_f*T*(1-EXP(-RadSpec!BA28*t_v)))/(Y_v*RadSpec!BA28))),".")</f>
        <v>3.6424203206347228</v>
      </c>
      <c r="BX28" s="115">
        <f>IFERROR(IF(d_Bv!Z28=0,".",((Ir*F*I_f*T*(1-EXP(-RadSpec!BA28*t_v)))/(Y_v*RadSpec!BA28))),".")</f>
        <v>3.6424203206347228</v>
      </c>
      <c r="BY28" s="115">
        <f>IFERROR(IF(d_Bv!AA28=0,".",((Ir*F*I_f*T*(1-EXP(-RadSpec!BA28*t_v)))/(Y_v*RadSpec!BA28))),".")</f>
        <v>3.6424203206347228</v>
      </c>
    </row>
    <row r="29" spans="1:77" x14ac:dyDescent="0.25">
      <c r="A29" s="44" t="s">
        <v>39</v>
      </c>
      <c r="B29" s="42" t="s">
        <v>1071</v>
      </c>
      <c r="C29" s="115">
        <f>IFERROR(IF(d_Bv!C29=0,".",((Ir*F*d_Bv!C29*(1-EXP(-RadSpec!AZ29*t_b)))/(P*RadSpec!AZ29))),".")</f>
        <v>2.8597128609880828E-3</v>
      </c>
      <c r="D29" s="115">
        <f>IFERROR(IF(d_Bv!D29=0,".",((Ir*F*d_Bv!D29*(1-EXP(-RadSpec!AZ29*t_b)))/(P*RadSpec!AZ29))),".")</f>
        <v>2.8597128609880826E-2</v>
      </c>
      <c r="E29" s="115">
        <f>IFERROR(IF(d_Bv!E29=0,".",((Ir*F*d_Bv!E29*(1-EXP(-RadSpec!AZ29*t_b)))/(P*RadSpec!AZ29))),".")</f>
        <v>2.8597128609880828E-3</v>
      </c>
      <c r="F29" s="115">
        <f>IFERROR(IF(d_Bv!F29=0,".",((Ir*F*d_Bv!F29*(1-EXP(-RadSpec!AZ29*t_b)))/(P*RadSpec!AZ29))),".")</f>
        <v>2.8597128609880828E-3</v>
      </c>
      <c r="G29" s="115">
        <f>IFERROR(IF(d_Bv!G29=0,".",((Ir*F*d_Bv!G29*(1-EXP(-RadSpec!AZ29*t_b)))/(P*RadSpec!AZ29))),".")</f>
        <v>2.8597128609880826E-2</v>
      </c>
      <c r="H29" s="115">
        <f>IFERROR(IF(d_Bv!H29=0,".",((Ir*F*d_Bv!H29*(1-EXP(-RadSpec!AZ29*t_b)))/(P*RadSpec!AZ29))),".")</f>
        <v>2.8597128609880826E-2</v>
      </c>
      <c r="I29" s="115">
        <f>IFERROR(IF(d_Bv!I29=0,".",((Ir*F*d_Bv!I29*(1-EXP(-RadSpec!AZ29*t_b)))/(P*RadSpec!AZ29))),".")</f>
        <v>2.8597128609880828E-3</v>
      </c>
      <c r="J29" s="115">
        <f>IFERROR(IF(d_Bv!J29=0,".",((Ir*F*d_Bv!J29*(1-EXP(-RadSpec!AZ29*t_b)))/(P*RadSpec!AZ29))),".")</f>
        <v>2.8597128609880828E-3</v>
      </c>
      <c r="K29" s="115">
        <f>IFERROR(IF(d_Bv!K29=0,".",((Ir*F*d_Bv!K29*(1-EXP(-RadSpec!AZ29*t_b)))/(P*RadSpec!AZ29))),".")</f>
        <v>2.8597128609880826E-2</v>
      </c>
      <c r="L29" s="115">
        <f>IFERROR(IF(d_Bv!L29=0,".",((Ir*F*d_Bv!L29*(1-EXP(-RadSpec!AZ29*t_b)))/(P*RadSpec!AZ29))),".")</f>
        <v>2.8597128609880826E-2</v>
      </c>
      <c r="M29" s="115">
        <f>IFERROR(IF(d_Bv!M29=0,".",((Ir*F*d_Bv!M29*(1-EXP(-RadSpec!AZ29*t_b)))/(P*RadSpec!AZ29))),".")</f>
        <v>2.8597128609880826E-2</v>
      </c>
      <c r="N29" s="115">
        <f>IFERROR(IF(d_Bv!N29=0,".",((Ir*F*d_Bv!N29*(1-EXP(-RadSpec!AZ29*t_b)))/(P*RadSpec!AZ29))),".")</f>
        <v>2.8597128609880826E-2</v>
      </c>
      <c r="O29" s="115">
        <f>IFERROR(IF(d_Bv!O29=0,".",((Ir*F*d_Bv!O29*(1-EXP(-RadSpec!AZ29*t_b)))/(P*RadSpec!AZ29))),".")</f>
        <v>2.8597128609880826E-2</v>
      </c>
      <c r="P29" s="115">
        <f>IFERROR(IF(d_Bv!I29=0,".",((Ir*F*d_Bv!I29*(1-EXP(-RadSpec!AZ29*t_b)))/(P*RadSpec!AZ29))),".")</f>
        <v>2.8597128609880828E-3</v>
      </c>
      <c r="Q29" s="115">
        <f>IFERROR(IF(d_Bv!Q29=0,".",((Ir*F*d_Bv!Q29*(1-EXP(-RadSpec!AZ29*t_b)))/(P*RadSpec!AZ29))),".")</f>
        <v>2.8597128609880828E-3</v>
      </c>
      <c r="R29" s="115">
        <f>IFERROR(IF(d_Bv!R29=0,".",((Ir*F*d_Bv!R29*(1-EXP(-RadSpec!AZ29*t_b)))/(P*RadSpec!AZ29))),".")</f>
        <v>2.8597128609880828E-3</v>
      </c>
      <c r="S29" s="115">
        <f>IFERROR(IF(d_Bv!S29=0,".",((Ir*F*d_Bv!S29*(1-EXP(-RadSpec!AZ29*t_b)))/(P*RadSpec!AZ29))),".")</f>
        <v>2.8597128609880826E-2</v>
      </c>
      <c r="T29" s="211">
        <f>IFERROR(IF(d_Bv!T29=0,".",((Ir*F*d_Bv!S29*(1-EXP(-RadSpec!AZ29*t_b)))/(P*RadSpec!AZ29))),".")</f>
        <v>2.8597128609880826E-2</v>
      </c>
      <c r="U29" s="115">
        <f>IFERROR(IF(d_Bv!U29=0,".",((Ir*F*d_Bv!U29*(1-EXP(-RadSpec!AZ29*t_b)))/(P*RadSpec!AZ29))),".")</f>
        <v>2.8597128609880828E-3</v>
      </c>
      <c r="V29" s="115">
        <f>IFERROR(IF(d_Bv!V29=0,".",((Ir*F*d_Bv!V29*(1-EXP(-RadSpec!AZ29*t_b)))/(P*RadSpec!AZ29))),".")</f>
        <v>2.8597128609880826E-2</v>
      </c>
      <c r="W29" s="115">
        <f>IFERROR(IF(d_Bv!W29=0,".",((Ir*F*d_Bv!W29*(1-EXP(-RadSpec!AZ29*t_b)))/(P*RadSpec!AZ29))),".")</f>
        <v>2.8597128609880826E-2</v>
      </c>
      <c r="X29" s="115">
        <f>IFERROR(IF(d_Bv!X29=0,".",((Ir*F*d_Bv!X29*(1-EXP(-RadSpec!AZ29*t_b)))/(P*RadSpec!AZ29))),".")</f>
        <v>2.8597128609880828E-3</v>
      </c>
      <c r="Y29" s="115">
        <f>IFERROR(IF(d_Bv!Y29=0,".",((Ir*F*d_Bv!Y29*(1-EXP(-RadSpec!AZ29*t_b)))/(P*RadSpec!AZ29))),".")</f>
        <v>2.8597128609880826E-2</v>
      </c>
      <c r="Z29" s="115">
        <f>IFERROR(IF(d_Bv!Z29=0,".",((Ir*F*d_Bv!Z29*(1-EXP(-RadSpec!AZ29*t_b)))/(P*RadSpec!AZ29))),".")</f>
        <v>7.1492821524702075</v>
      </c>
      <c r="AA29" s="115">
        <f>IFERROR(IF(d_Bv!AA29=0,".",((Ir*F*d_Bv!AA29*(1-EXP(-RadSpec!AZ29*t_b)))/(P*RadSpec!AZ29))),".")</f>
        <v>2.8597128609880826E-2</v>
      </c>
      <c r="AB29" s="115">
        <f>IFERROR(IF(d_Bv!C29=0,".",((Ir*F*MLF_apple*(1-EXP(-RadSpec!AZ29*t_b)))/(P*RadSpec!AZ29))),".")</f>
        <v>5.7194257219761657E-3</v>
      </c>
      <c r="AC29" s="115">
        <f>IFERROR(IF(d_Bv!D29=0,".",((Ir*F*MLF_asparagus*(1-EXP(-RadSpec!AZ29*t_b)))/(P*RadSpec!AZ29))),".")</f>
        <v>2.8239664502257315E-3</v>
      </c>
      <c r="AD29" s="115">
        <f>IFERROR(IF(d_Bv!E29=0,".",((Ir*F*MLF_beet*(1-EXP(-RadSpec!AZ29*t_b)))/(P*RadSpec!AZ29))),".")</f>
        <v>4.9330046852044422E-3</v>
      </c>
      <c r="AE29" s="115">
        <f>IFERROR(IF(d_Bv!F29=0,".",((Ir*F*MLF_berries*(1-EXP(-RadSpec!AZ29*t_b)))/(P*RadSpec!AZ29))),".")</f>
        <v>5.9339041865502712E-3</v>
      </c>
      <c r="AF29" s="115">
        <f>IFERROR(IF(d_Bv!G29=0,".",((Ir*F*MLF_broccoli*(1-EXP(-RadSpec!AZ29*t_b)))/(P*RadSpec!AZ29))),".")</f>
        <v>3.6103874869974538E-2</v>
      </c>
      <c r="AG29" s="115">
        <f>IFERROR(IF(d_Bv!H29=0,".",((Ir*F*MLF_cabbage*(1-EXP(-RadSpec!AZ29*t_b)))/(P*RadSpec!AZ29))),".")</f>
        <v>3.7533731300468582E-3</v>
      </c>
      <c r="AH29" s="115">
        <f>IFERROR(IF(d_Bv!I29=0,".",((Ir*F*MLF_carrot*(1-EXP(-RadSpec!AZ29*t_b)))/(P*RadSpec!AZ29))),".")</f>
        <v>3.4674018439480501E-3</v>
      </c>
      <c r="AI29" s="115">
        <f>IFERROR(IF(d_Bv!J29=0,".",((Ir*F*MLF_citrus*(1-EXP(-RadSpec!AZ29*t_b)))/(P*RadSpec!AZ29))),".")</f>
        <v>5.6121864896891112E-3</v>
      </c>
      <c r="AJ29" s="115">
        <f>IFERROR(IF(d_Bv!K29=0,".",((Ir*F*MLF_corn*(1-EXP(-RadSpec!AZ29*t_b)))/(P*RadSpec!AZ29))),".")</f>
        <v>5.1832295605408994E-3</v>
      </c>
      <c r="AK29" s="115">
        <f>IFERROR(IF(d_Bv!L29=0,".",((Ir*F*MLF_cucumber*(1-EXP(-RadSpec!AZ29*t_b)))/(P*RadSpec!AZ29))),".")</f>
        <v>1.4298564304940414E-3</v>
      </c>
      <c r="AL29" s="115">
        <f>IFERROR(IF(d_Bv!M29=0,".",((Ir*F*MLF_lettuce*(1-EXP(-RadSpec!AZ29*t_b)))/(P*RadSpec!AZ29))),".")</f>
        <v>0.48257654529173893</v>
      </c>
      <c r="AM29" s="115">
        <f>IFERROR(IF(d_Bv!N29=0,".",((Ir*F*MLF_lima_bean*(1-EXP(-RadSpec!AZ29*t_b)))/(P*RadSpec!AZ29))),".")</f>
        <v>0.13690875321980447</v>
      </c>
      <c r="AN29" s="115">
        <f>IFERROR(IF(d_Bv!O29=0,".",((Ir*F*MLF_okra*(1-EXP(-RadSpec!AZ29*t_b)))/(P*RadSpec!AZ29))),".")</f>
        <v>2.8597128609880828E-3</v>
      </c>
      <c r="AO29" s="115">
        <f>IFERROR(IF(d_Bv!P29=0,".",((Ir*F*MLF_onion*(1-EXP(-RadSpec!AZ29*t_b)))/(P*RadSpec!AZ29))),".")</f>
        <v>3.4674018439480501E-3</v>
      </c>
      <c r="AP29" s="115">
        <f>IFERROR(IF(d_Bv!Q29=0,".",((Ir*F*MLF_peach*(1-EXP(-RadSpec!AZ29*t_b)))/(P*RadSpec!AZ29))),".")</f>
        <v>5.361961614352654E-3</v>
      </c>
      <c r="AQ29" s="115">
        <f>IFERROR(IF(d_Bv!R29=0,".",((Ir*F*MLF_pear*(1-EXP(-RadSpec!AZ29*t_b)))/(P*RadSpec!AZ29))),".")</f>
        <v>5.7194257219761657E-3</v>
      </c>
      <c r="AR29" s="115">
        <f>IFERROR(IF(d_Bv!S29=0,".",((Ir*F*MLF_peas*(1-EXP(-RadSpec!AZ29*t_b)))/(P*RadSpec!AZ29))),".")</f>
        <v>6.3628611156984829E-3</v>
      </c>
      <c r="AS29" s="115">
        <f>IFERROR(IF(d_Bv!T29=0,".",((Ir*F*MLF_peppers*(1-EXP(-RadSpec!AZ29*t_b)))/(P*RadSpec!AZ29))),".")</f>
        <v>7.93570318924193E-2</v>
      </c>
      <c r="AT29" s="115">
        <f>IFERROR(IF(d_Bv!U29=0,".",((Ir*F*MLF_potato*(1-EXP(-RadSpec!AZ29*t_b)))/(P*RadSpec!AZ29))),".")</f>
        <v>7.5067462600937164E-3</v>
      </c>
      <c r="AU29" s="115">
        <f>IFERROR(IF(d_Bv!V29=0,".",((Ir*F*MLF_pumpkin*(1-EXP(-RadSpec!AZ29*t_b)))/(P*RadSpec!AZ29))),".")</f>
        <v>2.0732918242163598E-3</v>
      </c>
      <c r="AV29" s="115">
        <f>IFERROR(IF(d_Bv!W29=0,".",((Ir*F*MLF_snap_bean*(1-EXP(-RadSpec!AZ29*t_b)))/(P*RadSpec!AZ29))),".")</f>
        <v>0.17873205381175516</v>
      </c>
      <c r="AW29" s="115">
        <f>IFERROR(IF(d_Bv!X29=0,".",((Ir*F*MLF_strawberry*(1-EXP(-RadSpec!AZ29*t_b)))/(P*RadSpec!AZ29))),".")</f>
        <v>2.8597128609880828E-3</v>
      </c>
      <c r="AX29" s="115">
        <f>IFERROR(IF(d_Bv!Y29=0,".",((Ir*F*MLF_tomato*(1-EXP(-RadSpec!AZ29*t_b)))/(P*RadSpec!AZ29))),".")</f>
        <v>6.327114704936132E-2</v>
      </c>
      <c r="AY29" s="115">
        <f>IFERROR(IF(d_Bv!Z29=0,".",((Ir*F*MLF_rice*(1-EXP(-RadSpec!AZ29*t_b)))/(P*RadSpec!AZ29))),".")</f>
        <v>8.9366026905877582</v>
      </c>
      <c r="AZ29" s="115">
        <f>IFERROR(IF(d_Bv!AA29=0,".",((Ir*F*MLF_cereal*(1-EXP(-RadSpec!AZ29*t_b)))/(P*RadSpec!AZ29))),".")</f>
        <v>8.9366026905877582</v>
      </c>
      <c r="BA29" s="115">
        <f>IFERROR(IF(d_Bv!C29=0,".",((Ir*F*I_f*T*(1-EXP(-RadSpec!BA29*t_v)))/(Y_v*RadSpec!BA29))),".")</f>
        <v>3.6424203206347228</v>
      </c>
      <c r="BB29" s="115">
        <f>IFERROR(IF(d_Bv!D29=0,".",((Ir*F*I_f*T*(1-EXP(-RadSpec!BA29*t_v)))/(Y_v*RadSpec!BA29))),".")</f>
        <v>3.6424203206347228</v>
      </c>
      <c r="BC29" s="115">
        <f>IFERROR(IF(d_Bv!E29=0,".",((Ir*F*I_f*T*(1-EXP(-RadSpec!BA29*t_v)))/(Y_v*RadSpec!BA29))),".")</f>
        <v>3.6424203206347228</v>
      </c>
      <c r="BD29" s="115">
        <f>IFERROR(IF(d_Bv!F29=0,".",((Ir*F*I_f*T*(1-EXP(-RadSpec!BA29*t_v)))/(Y_v*RadSpec!BA29))),".")</f>
        <v>3.6424203206347228</v>
      </c>
      <c r="BE29" s="115">
        <f>IFERROR(IF(d_Bv!G29=0,".",((Ir*F*I_f*T*(1-EXP(-RadSpec!BA29*t_v)))/(Y_v*RadSpec!BA29))),".")</f>
        <v>3.6424203206347228</v>
      </c>
      <c r="BF29" s="115">
        <f>IFERROR(IF(d_Bv!H29=0,".",((Ir*F*I_f*T*(1-EXP(-RadSpec!BA29*t_v)))/(Y_v*RadSpec!BA29))),".")</f>
        <v>3.6424203206347228</v>
      </c>
      <c r="BG29" s="115">
        <f>IFERROR(IF(d_Bv!I29=0,".",((Ir*F*I_f*T*(1-EXP(-RadSpec!BA29*t_v)))/(Y_v*RadSpec!BA29))),".")</f>
        <v>3.6424203206347228</v>
      </c>
      <c r="BH29" s="115">
        <f>IFERROR(IF(d_Bv!J29=0,".",((Ir*F*I_f*T*(1-EXP(-RadSpec!BA29*t_v)))/(Y_v*RadSpec!BA29))),".")</f>
        <v>3.6424203206347228</v>
      </c>
      <c r="BI29" s="115">
        <f>IFERROR(IF(d_Bv!K29=0,".",((Ir*F*I_f*T*(1-EXP(-RadSpec!BA29*t_v)))/(Y_v*RadSpec!BA29))),".")</f>
        <v>3.6424203206347228</v>
      </c>
      <c r="BJ29" s="115">
        <f>IFERROR(IF(d_Bv!L29=0,".",((Ir*F*I_f*T*(1-EXP(-RadSpec!BA29*t_v)))/(Y_v*RadSpec!BA29))),".")</f>
        <v>3.6424203206347228</v>
      </c>
      <c r="BK29" s="115">
        <f>IFERROR(IF(d_Bv!M29=0,".",((Ir*F*I_f*T*(1-EXP(-RadSpec!BA29*t_v)))/(Y_v*RadSpec!BA29))),".")</f>
        <v>3.6424203206347228</v>
      </c>
      <c r="BL29" s="115">
        <f>IFERROR(IF(d_Bv!N29=0,".",((Ir*F*I_f*T*(1-EXP(-RadSpec!BA29*t_v)))/(Y_v*RadSpec!BA29))),".")</f>
        <v>3.6424203206347228</v>
      </c>
      <c r="BM29" s="115">
        <f>IFERROR(IF(d_Bv!O29=0,".",((Ir*F*I_f*T*(1-EXP(-RadSpec!BA29*t_v)))/(Y_v*RadSpec!BA29))),".")</f>
        <v>3.6424203206347228</v>
      </c>
      <c r="BN29" s="115">
        <f>IFERROR(IF(d_Bv!P29=0,".",((Ir*F*I_f*T*(1-EXP(-RadSpec!BA29*t_v)))/(Y_v*RadSpec!BA29))),".")</f>
        <v>3.6424203206347228</v>
      </c>
      <c r="BO29" s="115">
        <f>IFERROR(IF(d_Bv!Q29=0,".",((Ir*F*I_f*T*(1-EXP(-RadSpec!BA29*t_v)))/(Y_v*RadSpec!BA29))),".")</f>
        <v>3.6424203206347228</v>
      </c>
      <c r="BP29" s="115">
        <f>IFERROR(IF(d_Bv!R29=0,".",((Ir*F*I_f*T*(1-EXP(-RadSpec!BA29*t_v)))/(Y_v*RadSpec!BA29))),".")</f>
        <v>3.6424203206347228</v>
      </c>
      <c r="BQ29" s="115">
        <f>IFERROR(IF(d_Bv!S29=0,".",((Ir*F*I_f*T*(1-EXP(-RadSpec!BA29*t_v)))/(Y_v*RadSpec!BA29))),".")</f>
        <v>3.6424203206347228</v>
      </c>
      <c r="BR29" s="115">
        <f>IFERROR(IF(d_Bv!T29=0,".",((Ir*F*I_f*T*(1-EXP(-RadSpec!BA29*t_v)))/(Y_v*RadSpec!BA29))),".")</f>
        <v>3.6424203206347228</v>
      </c>
      <c r="BS29" s="115">
        <f>IFERROR(IF(d_Bv!U29=0,".",((Ir*F*I_f*T*(1-EXP(-RadSpec!BA29*t_v)))/(Y_v*RadSpec!BA29))),".")</f>
        <v>3.6424203206347228</v>
      </c>
      <c r="BT29" s="115">
        <f>IFERROR(IF(d_Bv!V29=0,".",((Ir*F*I_f*T*(1-EXP(-RadSpec!BA29*t_v)))/(Y_v*RadSpec!BA29))),".")</f>
        <v>3.6424203206347228</v>
      </c>
      <c r="BU29" s="115">
        <f>IFERROR(IF(d_Bv!W29=0,".",((Ir*F*I_f*T*(1-EXP(-RadSpec!BA29*t_v)))/(Y_v*RadSpec!BA29))),".")</f>
        <v>3.6424203206347228</v>
      </c>
      <c r="BV29" s="115">
        <f>IFERROR(IF(d_Bv!X29=0,".",((Ir*F*I_f*T*(1-EXP(-RadSpec!BA29*t_v)))/(Y_v*RadSpec!BA29))),".")</f>
        <v>3.6424203206347228</v>
      </c>
      <c r="BW29" s="115">
        <f>IFERROR(IF(d_Bv!Y29=0,".",((Ir*F*I_f*T*(1-EXP(-RadSpec!BA29*t_v)))/(Y_v*RadSpec!BA29))),".")</f>
        <v>3.6424203206347228</v>
      </c>
      <c r="BX29" s="115">
        <f>IFERROR(IF(d_Bv!Z29=0,".",((Ir*F*I_f*T*(1-EXP(-RadSpec!BA29*t_v)))/(Y_v*RadSpec!BA29))),".")</f>
        <v>3.6424203206347228</v>
      </c>
      <c r="BY29" s="115">
        <f>IFERROR(IF(d_Bv!AA29=0,".",((Ir*F*I_f*T*(1-EXP(-RadSpec!BA29*t_v)))/(Y_v*RadSpec!BA29))),".")</f>
        <v>3.6424203206347228</v>
      </c>
    </row>
    <row r="30" spans="1:77" x14ac:dyDescent="0.25">
      <c r="A30" s="44" t="s">
        <v>40</v>
      </c>
      <c r="B30" s="42" t="s">
        <v>1071</v>
      </c>
      <c r="C30" s="115">
        <f>IFERROR(IF(d_Bv!C30=0,".",((Ir*F*d_Bv!C30*(1-EXP(-RadSpec!AZ30*t_b)))/(P*RadSpec!AZ30))),".")</f>
        <v>3.5746410762351036E-2</v>
      </c>
      <c r="D30" s="115">
        <f>IFERROR(IF(d_Bv!D30=0,".",((Ir*F*d_Bv!D30*(1-EXP(-RadSpec!AZ30*t_b)))/(P*RadSpec!AZ30))),".")</f>
        <v>0.71492821524702066</v>
      </c>
      <c r="E30" s="115">
        <f>IFERROR(IF(d_Bv!E30=0,".",((Ir*F*d_Bv!E30*(1-EXP(-RadSpec!AZ30*t_b)))/(P*RadSpec!AZ30))),".")</f>
        <v>0.30026985040374859</v>
      </c>
      <c r="F30" s="115">
        <f>IFERROR(IF(d_Bv!F30=0,".",((Ir*F*d_Bv!F30*(1-EXP(-RadSpec!AZ30*t_b)))/(P*RadSpec!AZ30))),".")</f>
        <v>3.5746410762351036E-2</v>
      </c>
      <c r="G30" s="115">
        <f>IFERROR(IF(d_Bv!G30=0,".",((Ir*F*d_Bv!G30*(1-EXP(-RadSpec!AZ30*t_b)))/(P*RadSpec!AZ30))),".")</f>
        <v>0.53619616143526549</v>
      </c>
      <c r="H30" s="115">
        <f>IFERROR(IF(d_Bv!H30=0,".",((Ir*F*d_Bv!H30*(1-EXP(-RadSpec!AZ30*t_b)))/(P*RadSpec!AZ30))),".")</f>
        <v>0.71492821524702066</v>
      </c>
      <c r="I30" s="115">
        <f>IFERROR(IF(d_Bv!I30=0,".",((Ir*F*d_Bv!I30*(1-EXP(-RadSpec!AZ30*t_b)))/(P*RadSpec!AZ30))),".")</f>
        <v>0.30026985040374859</v>
      </c>
      <c r="J30" s="115">
        <f>IFERROR(IF(d_Bv!J30=0,".",((Ir*F*d_Bv!J30*(1-EXP(-RadSpec!AZ30*t_b)))/(P*RadSpec!AZ30))),".")</f>
        <v>3.5746410762351036E-2</v>
      </c>
      <c r="K30" s="115">
        <f>IFERROR(IF(d_Bv!K30=0,".",((Ir*F*d_Bv!K30*(1-EXP(-RadSpec!AZ30*t_b)))/(P*RadSpec!AZ30))),".")</f>
        <v>0.53619616143526549</v>
      </c>
      <c r="L30" s="115">
        <f>IFERROR(IF(d_Bv!L30=0,".",((Ir*F*d_Bv!L30*(1-EXP(-RadSpec!AZ30*t_b)))/(P*RadSpec!AZ30))),".")</f>
        <v>0.53619616143526549</v>
      </c>
      <c r="M30" s="115">
        <f>IFERROR(IF(d_Bv!M30=0,".",((Ir*F*d_Bv!M30*(1-EXP(-RadSpec!AZ30*t_b)))/(P*RadSpec!AZ30))),".")</f>
        <v>0.71492821524702066</v>
      </c>
      <c r="N30" s="115">
        <f>IFERROR(IF(d_Bv!N30=0,".",((Ir*F*d_Bv!N30*(1-EXP(-RadSpec!AZ30*t_b)))/(P*RadSpec!AZ30))),".")</f>
        <v>7.8642103677172268E-2</v>
      </c>
      <c r="O30" s="115">
        <f>IFERROR(IF(d_Bv!O30=0,".",((Ir*F*d_Bv!O30*(1-EXP(-RadSpec!AZ30*t_b)))/(P*RadSpec!AZ30))),".")</f>
        <v>0.53619616143526549</v>
      </c>
      <c r="P30" s="115">
        <f>IFERROR(IF(d_Bv!P30=0,".",((Ir*F*d_Bv!P30*(1-EXP(-RadSpec!AZ30*t_b)))/(P*RadSpec!AZ30))),".")</f>
        <v>0.30026985040374859</v>
      </c>
      <c r="Q30" s="115">
        <f>IFERROR(IF(d_Bv!Q30=0,".",((Ir*F*d_Bv!Q30*(1-EXP(-RadSpec!AZ30*t_b)))/(P*RadSpec!AZ30))),".")</f>
        <v>3.5746410762351036E-2</v>
      </c>
      <c r="R30" s="115">
        <f>IFERROR(IF(d_Bv!R30=0,".",((Ir*F*d_Bv!R30*(1-EXP(-RadSpec!AZ30*t_b)))/(P*RadSpec!AZ30))),".")</f>
        <v>3.5746410762351036E-2</v>
      </c>
      <c r="S30" s="115">
        <f>IFERROR(IF(d_Bv!S30=0,".",((Ir*F*d_Bv!S30*(1-EXP(-RadSpec!AZ30*t_b)))/(P*RadSpec!AZ30))),".")</f>
        <v>7.8642103677172268E-2</v>
      </c>
      <c r="T30" s="211">
        <f>IFERROR(IF(d_Bv!T30=0,".",((Ir*F*d_Bv!S30*(1-EXP(-RadSpec!AZ30*t_b)))/(P*RadSpec!AZ30))),".")</f>
        <v>7.8642103677172268E-2</v>
      </c>
      <c r="U30" s="115">
        <f>IFERROR(IF(d_Bv!U30=0,".",((Ir*F*d_Bv!U30*(1-EXP(-RadSpec!AZ30*t_b)))/(P*RadSpec!AZ30))),".")</f>
        <v>0.17873205381175516</v>
      </c>
      <c r="V30" s="115">
        <f>IFERROR(IF(d_Bv!V30=0,".",((Ir*F*d_Bv!V30*(1-EXP(-RadSpec!AZ30*t_b)))/(P*RadSpec!AZ30))),".")</f>
        <v>0.53619616143526549</v>
      </c>
      <c r="W30" s="115">
        <f>IFERROR(IF(d_Bv!W30=0,".",((Ir*F*d_Bv!W30*(1-EXP(-RadSpec!AZ30*t_b)))/(P*RadSpec!AZ30))),".")</f>
        <v>7.8642103677172268E-2</v>
      </c>
      <c r="X30" s="115">
        <f>IFERROR(IF(d_Bv!X30=0,".",((Ir*F*d_Bv!X30*(1-EXP(-RadSpec!AZ30*t_b)))/(P*RadSpec!AZ30))),".")</f>
        <v>3.5746410762351036E-2</v>
      </c>
      <c r="Y30" s="115">
        <f>IFERROR(IF(d_Bv!Y30=0,".",((Ir*F*d_Bv!Y30*(1-EXP(-RadSpec!AZ30*t_b)))/(P*RadSpec!AZ30))),".")</f>
        <v>0.53619616143526549</v>
      </c>
      <c r="Z30" s="115">
        <f>IFERROR(IF(d_Bv!Z30=0,".",((Ir*F*d_Bv!Z30*(1-EXP(-RadSpec!AZ30*t_b)))/(P*RadSpec!AZ30))),".")</f>
        <v>8.6863778152513008E-3</v>
      </c>
      <c r="AA30" s="115">
        <f>IFERROR(IF(d_Bv!AA30=0,".",((Ir*F*d_Bv!AA30*(1-EXP(-RadSpec!AZ30*t_b)))/(P*RadSpec!AZ30))),".")</f>
        <v>0.22162774672657637</v>
      </c>
      <c r="AB30" s="115">
        <f>IFERROR(IF(d_Bv!C30=0,".",((Ir*F*MLF_apple*(1-EXP(-RadSpec!AZ30*t_b)))/(P*RadSpec!AZ30))),".")</f>
        <v>5.7194257219761657E-3</v>
      </c>
      <c r="AC30" s="115">
        <f>IFERROR(IF(d_Bv!D30=0,".",((Ir*F*MLF_asparagus*(1-EXP(-RadSpec!AZ30*t_b)))/(P*RadSpec!AZ30))),".")</f>
        <v>2.8239664502257315E-3</v>
      </c>
      <c r="AD30" s="115">
        <f>IFERROR(IF(d_Bv!E30=0,".",((Ir*F*MLF_beet*(1-EXP(-RadSpec!AZ30*t_b)))/(P*RadSpec!AZ30))),".")</f>
        <v>4.9330046852044422E-3</v>
      </c>
      <c r="AE30" s="115">
        <f>IFERROR(IF(d_Bv!F30=0,".",((Ir*F*MLF_berries*(1-EXP(-RadSpec!AZ30*t_b)))/(P*RadSpec!AZ30))),".")</f>
        <v>5.9339041865502712E-3</v>
      </c>
      <c r="AF30" s="115">
        <f>IFERROR(IF(d_Bv!G30=0,".",((Ir*F*MLF_broccoli*(1-EXP(-RadSpec!AZ30*t_b)))/(P*RadSpec!AZ30))),".")</f>
        <v>3.6103874869974538E-2</v>
      </c>
      <c r="AG30" s="115">
        <f>IFERROR(IF(d_Bv!H30=0,".",((Ir*F*MLF_cabbage*(1-EXP(-RadSpec!AZ30*t_b)))/(P*RadSpec!AZ30))),".")</f>
        <v>3.7533731300468582E-3</v>
      </c>
      <c r="AH30" s="115">
        <f>IFERROR(IF(d_Bv!I30=0,".",((Ir*F*MLF_carrot*(1-EXP(-RadSpec!AZ30*t_b)))/(P*RadSpec!AZ30))),".")</f>
        <v>3.4674018439480501E-3</v>
      </c>
      <c r="AI30" s="115">
        <f>IFERROR(IF(d_Bv!J30=0,".",((Ir*F*MLF_citrus*(1-EXP(-RadSpec!AZ30*t_b)))/(P*RadSpec!AZ30))),".")</f>
        <v>5.6121864896891112E-3</v>
      </c>
      <c r="AJ30" s="115">
        <f>IFERROR(IF(d_Bv!K30=0,".",((Ir*F*MLF_corn*(1-EXP(-RadSpec!AZ30*t_b)))/(P*RadSpec!AZ30))),".")</f>
        <v>5.1832295605408994E-3</v>
      </c>
      <c r="AK30" s="115">
        <f>IFERROR(IF(d_Bv!L30=0,".",((Ir*F*MLF_cucumber*(1-EXP(-RadSpec!AZ30*t_b)))/(P*RadSpec!AZ30))),".")</f>
        <v>1.4298564304940414E-3</v>
      </c>
      <c r="AL30" s="115">
        <f>IFERROR(IF(d_Bv!M30=0,".",((Ir*F*MLF_lettuce*(1-EXP(-RadSpec!AZ30*t_b)))/(P*RadSpec!AZ30))),".")</f>
        <v>0.48257654529173893</v>
      </c>
      <c r="AM30" s="115">
        <f>IFERROR(IF(d_Bv!N30=0,".",((Ir*F*MLF_lima_bean*(1-EXP(-RadSpec!AZ30*t_b)))/(P*RadSpec!AZ30))),".")</f>
        <v>0.13690875321980447</v>
      </c>
      <c r="AN30" s="115">
        <f>IFERROR(IF(d_Bv!O30=0,".",((Ir*F*MLF_okra*(1-EXP(-RadSpec!AZ30*t_b)))/(P*RadSpec!AZ30))),".")</f>
        <v>2.8597128609880828E-3</v>
      </c>
      <c r="AO30" s="115">
        <f>IFERROR(IF(d_Bv!P30=0,".",((Ir*F*MLF_onion*(1-EXP(-RadSpec!AZ30*t_b)))/(P*RadSpec!AZ30))),".")</f>
        <v>3.4674018439480501E-3</v>
      </c>
      <c r="AP30" s="115">
        <f>IFERROR(IF(d_Bv!Q30=0,".",((Ir*F*MLF_peach*(1-EXP(-RadSpec!AZ30*t_b)))/(P*RadSpec!AZ30))),".")</f>
        <v>5.361961614352654E-3</v>
      </c>
      <c r="AQ30" s="115">
        <f>IFERROR(IF(d_Bv!R30=0,".",((Ir*F*MLF_pear*(1-EXP(-RadSpec!AZ30*t_b)))/(P*RadSpec!AZ30))),".")</f>
        <v>5.7194257219761657E-3</v>
      </c>
      <c r="AR30" s="115">
        <f>IFERROR(IF(d_Bv!S30=0,".",((Ir*F*MLF_peas*(1-EXP(-RadSpec!AZ30*t_b)))/(P*RadSpec!AZ30))),".")</f>
        <v>6.3628611156984829E-3</v>
      </c>
      <c r="AS30" s="115">
        <f>IFERROR(IF(d_Bv!T30=0,".",((Ir*F*MLF_peppers*(1-EXP(-RadSpec!AZ30*t_b)))/(P*RadSpec!AZ30))),".")</f>
        <v>7.93570318924193E-2</v>
      </c>
      <c r="AT30" s="115">
        <f>IFERROR(IF(d_Bv!U30=0,".",((Ir*F*MLF_potato*(1-EXP(-RadSpec!AZ30*t_b)))/(P*RadSpec!AZ30))),".")</f>
        <v>7.5067462600937164E-3</v>
      </c>
      <c r="AU30" s="115">
        <f>IFERROR(IF(d_Bv!V30=0,".",((Ir*F*MLF_pumpkin*(1-EXP(-RadSpec!AZ30*t_b)))/(P*RadSpec!AZ30))),".")</f>
        <v>2.0732918242163598E-3</v>
      </c>
      <c r="AV30" s="115">
        <f>IFERROR(IF(d_Bv!W30=0,".",((Ir*F*MLF_snap_bean*(1-EXP(-RadSpec!AZ30*t_b)))/(P*RadSpec!AZ30))),".")</f>
        <v>0.17873205381175516</v>
      </c>
      <c r="AW30" s="115">
        <f>IFERROR(IF(d_Bv!X30=0,".",((Ir*F*MLF_strawberry*(1-EXP(-RadSpec!AZ30*t_b)))/(P*RadSpec!AZ30))),".")</f>
        <v>2.8597128609880828E-3</v>
      </c>
      <c r="AX30" s="115">
        <f>IFERROR(IF(d_Bv!Y30=0,".",((Ir*F*MLF_tomato*(1-EXP(-RadSpec!AZ30*t_b)))/(P*RadSpec!AZ30))),".")</f>
        <v>6.327114704936132E-2</v>
      </c>
      <c r="AY30" s="115">
        <f>IFERROR(IF(d_Bv!Z30=0,".",((Ir*F*MLF_rice*(1-EXP(-RadSpec!AZ30*t_b)))/(P*RadSpec!AZ30))),".")</f>
        <v>8.9366026905877582</v>
      </c>
      <c r="AZ30" s="115">
        <f>IFERROR(IF(d_Bv!AA30=0,".",((Ir*F*MLF_cereal*(1-EXP(-RadSpec!AZ30*t_b)))/(P*RadSpec!AZ30))),".")</f>
        <v>8.9366026905877582</v>
      </c>
      <c r="BA30" s="115">
        <f>IFERROR(IF(d_Bv!C30=0,".",((Ir*F*I_f*T*(1-EXP(-RadSpec!BA30*t_v)))/(Y_v*RadSpec!BA30))),".")</f>
        <v>3.6424203206347228</v>
      </c>
      <c r="BB30" s="115">
        <f>IFERROR(IF(d_Bv!D30=0,".",((Ir*F*I_f*T*(1-EXP(-RadSpec!BA30*t_v)))/(Y_v*RadSpec!BA30))),".")</f>
        <v>3.6424203206347228</v>
      </c>
      <c r="BC30" s="115">
        <f>IFERROR(IF(d_Bv!E30=0,".",((Ir*F*I_f*T*(1-EXP(-RadSpec!BA30*t_v)))/(Y_v*RadSpec!BA30))),".")</f>
        <v>3.6424203206347228</v>
      </c>
      <c r="BD30" s="115">
        <f>IFERROR(IF(d_Bv!F30=0,".",((Ir*F*I_f*T*(1-EXP(-RadSpec!BA30*t_v)))/(Y_v*RadSpec!BA30))),".")</f>
        <v>3.6424203206347228</v>
      </c>
      <c r="BE30" s="115">
        <f>IFERROR(IF(d_Bv!G30=0,".",((Ir*F*I_f*T*(1-EXP(-RadSpec!BA30*t_v)))/(Y_v*RadSpec!BA30))),".")</f>
        <v>3.6424203206347228</v>
      </c>
      <c r="BF30" s="115">
        <f>IFERROR(IF(d_Bv!H30=0,".",((Ir*F*I_f*T*(1-EXP(-RadSpec!BA30*t_v)))/(Y_v*RadSpec!BA30))),".")</f>
        <v>3.6424203206347228</v>
      </c>
      <c r="BG30" s="115">
        <f>IFERROR(IF(d_Bv!I30=0,".",((Ir*F*I_f*T*(1-EXP(-RadSpec!BA30*t_v)))/(Y_v*RadSpec!BA30))),".")</f>
        <v>3.6424203206347228</v>
      </c>
      <c r="BH30" s="115">
        <f>IFERROR(IF(d_Bv!J30=0,".",((Ir*F*I_f*T*(1-EXP(-RadSpec!BA30*t_v)))/(Y_v*RadSpec!BA30))),".")</f>
        <v>3.6424203206347228</v>
      </c>
      <c r="BI30" s="115">
        <f>IFERROR(IF(d_Bv!K30=0,".",((Ir*F*I_f*T*(1-EXP(-RadSpec!BA30*t_v)))/(Y_v*RadSpec!BA30))),".")</f>
        <v>3.6424203206347228</v>
      </c>
      <c r="BJ30" s="115">
        <f>IFERROR(IF(d_Bv!L30=0,".",((Ir*F*I_f*T*(1-EXP(-RadSpec!BA30*t_v)))/(Y_v*RadSpec!BA30))),".")</f>
        <v>3.6424203206347228</v>
      </c>
      <c r="BK30" s="115">
        <f>IFERROR(IF(d_Bv!M30=0,".",((Ir*F*I_f*T*(1-EXP(-RadSpec!BA30*t_v)))/(Y_v*RadSpec!BA30))),".")</f>
        <v>3.6424203206347228</v>
      </c>
      <c r="BL30" s="115">
        <f>IFERROR(IF(d_Bv!N30=0,".",((Ir*F*I_f*T*(1-EXP(-RadSpec!BA30*t_v)))/(Y_v*RadSpec!BA30))),".")</f>
        <v>3.6424203206347228</v>
      </c>
      <c r="BM30" s="115">
        <f>IFERROR(IF(d_Bv!O30=0,".",((Ir*F*I_f*T*(1-EXP(-RadSpec!BA30*t_v)))/(Y_v*RadSpec!BA30))),".")</f>
        <v>3.6424203206347228</v>
      </c>
      <c r="BN30" s="115">
        <f>IFERROR(IF(d_Bv!P30=0,".",((Ir*F*I_f*T*(1-EXP(-RadSpec!BA30*t_v)))/(Y_v*RadSpec!BA30))),".")</f>
        <v>3.6424203206347228</v>
      </c>
      <c r="BO30" s="115">
        <f>IFERROR(IF(d_Bv!Q30=0,".",((Ir*F*I_f*T*(1-EXP(-RadSpec!BA30*t_v)))/(Y_v*RadSpec!BA30))),".")</f>
        <v>3.6424203206347228</v>
      </c>
      <c r="BP30" s="115">
        <f>IFERROR(IF(d_Bv!R30=0,".",((Ir*F*I_f*T*(1-EXP(-RadSpec!BA30*t_v)))/(Y_v*RadSpec!BA30))),".")</f>
        <v>3.6424203206347228</v>
      </c>
      <c r="BQ30" s="115">
        <f>IFERROR(IF(d_Bv!S30=0,".",((Ir*F*I_f*T*(1-EXP(-RadSpec!BA30*t_v)))/(Y_v*RadSpec!BA30))),".")</f>
        <v>3.6424203206347228</v>
      </c>
      <c r="BR30" s="115">
        <f>IFERROR(IF(d_Bv!T30=0,".",((Ir*F*I_f*T*(1-EXP(-RadSpec!BA30*t_v)))/(Y_v*RadSpec!BA30))),".")</f>
        <v>3.6424203206347228</v>
      </c>
      <c r="BS30" s="115">
        <f>IFERROR(IF(d_Bv!U30=0,".",((Ir*F*I_f*T*(1-EXP(-RadSpec!BA30*t_v)))/(Y_v*RadSpec!BA30))),".")</f>
        <v>3.6424203206347228</v>
      </c>
      <c r="BT30" s="115">
        <f>IFERROR(IF(d_Bv!V30=0,".",((Ir*F*I_f*T*(1-EXP(-RadSpec!BA30*t_v)))/(Y_v*RadSpec!BA30))),".")</f>
        <v>3.6424203206347228</v>
      </c>
      <c r="BU30" s="115">
        <f>IFERROR(IF(d_Bv!W30=0,".",((Ir*F*I_f*T*(1-EXP(-RadSpec!BA30*t_v)))/(Y_v*RadSpec!BA30))),".")</f>
        <v>3.6424203206347228</v>
      </c>
      <c r="BV30" s="115">
        <f>IFERROR(IF(d_Bv!X30=0,".",((Ir*F*I_f*T*(1-EXP(-RadSpec!BA30*t_v)))/(Y_v*RadSpec!BA30))),".")</f>
        <v>3.6424203206347228</v>
      </c>
      <c r="BW30" s="115">
        <f>IFERROR(IF(d_Bv!Y30=0,".",((Ir*F*I_f*T*(1-EXP(-RadSpec!BA30*t_v)))/(Y_v*RadSpec!BA30))),".")</f>
        <v>3.6424203206347228</v>
      </c>
      <c r="BX30" s="115">
        <f>IFERROR(IF(d_Bv!Z30=0,".",((Ir*F*I_f*T*(1-EXP(-RadSpec!BA30*t_v)))/(Y_v*RadSpec!BA30))),".")</f>
        <v>3.6424203206347228</v>
      </c>
      <c r="BY30" s="115">
        <f>IFERROR(IF(d_Bv!AA30=0,".",((Ir*F*I_f*T*(1-EXP(-RadSpec!BA30*t_v)))/(Y_v*RadSpec!BA30))),".")</f>
        <v>3.6424203206347228</v>
      </c>
    </row>
  </sheetData>
  <sheetProtection algorithmName="SHA-512" hashValue="PoFOMuwPxLl705yk4I9nRd+T10IY/AsCA8G5JwVqyRKvclnvX4AHIJy9znmFrMjpumPnsdWwXvJeN7Wsldtyig==" saltValue="yWb2VbvSUhygV8CWdmRdMw==" spinCount="100000" sheet="1" formatColumns="0" formatRows="0" autoFilter="0"/>
  <autoFilter ref="A1:BY30" xr:uid="{BCB2813E-7C2A-4EA1-A4A1-27D0CB95114D}"/>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B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5.42578125" style="75" bestFit="1" customWidth="1"/>
    <col min="2" max="2" width="13.28515625" style="75" bestFit="1" customWidth="1"/>
    <col min="3" max="3" width="18.5703125" style="75" bestFit="1" customWidth="1"/>
    <col min="4" max="4" width="12.140625" style="77" bestFit="1" customWidth="1"/>
    <col min="5" max="5" width="12.42578125" style="77" bestFit="1" customWidth="1"/>
    <col min="6" max="6" width="11.140625" style="77" bestFit="1" customWidth="1"/>
    <col min="7" max="7" width="11.85546875" style="77" bestFit="1" customWidth="1"/>
    <col min="8" max="8" width="11.28515625" style="77" bestFit="1" customWidth="1"/>
    <col min="9" max="9" width="11.5703125" style="77" bestFit="1" customWidth="1"/>
    <col min="10" max="10" width="11" style="77" bestFit="1" customWidth="1"/>
    <col min="11" max="11" width="12.42578125" style="77" bestFit="1" customWidth="1"/>
    <col min="12" max="12" width="11.28515625" style="77" bestFit="1" customWidth="1"/>
    <col min="13" max="13" width="13" style="77" bestFit="1" customWidth="1"/>
    <col min="14" max="14" width="10.140625" style="77" bestFit="1" customWidth="1"/>
    <col min="15" max="16" width="11.28515625" style="77" bestFit="1" customWidth="1"/>
    <col min="17" max="17" width="12.42578125" style="77" bestFit="1" customWidth="1"/>
    <col min="18" max="18" width="12.5703125" style="77" bestFit="1" customWidth="1"/>
    <col min="19" max="19" width="11.28515625" style="77" bestFit="1" customWidth="1"/>
    <col min="20" max="20" width="10.42578125" style="77" bestFit="1" customWidth="1"/>
    <col min="21" max="21" width="10.42578125" style="77" customWidth="1"/>
    <col min="22" max="22" width="11.85546875" style="77" bestFit="1" customWidth="1"/>
    <col min="23" max="23" width="12.140625" style="77" bestFit="1" customWidth="1"/>
    <col min="24" max="24" width="11.5703125" style="77" bestFit="1" customWidth="1"/>
    <col min="25" max="25" width="12.140625" style="77" bestFit="1" customWidth="1"/>
    <col min="26" max="27" width="10.5703125" style="77" bestFit="1" customWidth="1"/>
    <col min="28" max="28" width="12.7109375" style="77" bestFit="1" customWidth="1"/>
    <col min="29" max="29" width="18.42578125" style="77" bestFit="1" customWidth="1"/>
    <col min="30" max="30" width="12" style="77" bestFit="1" customWidth="1"/>
    <col min="31" max="31" width="12.140625" style="77" bestFit="1" customWidth="1"/>
    <col min="32" max="32" width="10.85546875" style="77" bestFit="1" customWidth="1"/>
    <col min="33" max="33" width="11.7109375" style="77" bestFit="1" customWidth="1"/>
    <col min="34" max="34" width="11.140625" style="77" bestFit="1" customWidth="1"/>
    <col min="35" max="35" width="11.42578125" style="77" bestFit="1" customWidth="1"/>
    <col min="36" max="36" width="10.7109375" style="77" bestFit="1" customWidth="1"/>
    <col min="37" max="37" width="12.140625" style="77" bestFit="1" customWidth="1"/>
    <col min="38" max="38" width="11.140625" style="77" bestFit="1" customWidth="1"/>
    <col min="39" max="39" width="12.85546875" style="77" bestFit="1" customWidth="1"/>
    <col min="40" max="40" width="10" style="77" bestFit="1" customWidth="1"/>
    <col min="41" max="42" width="11.140625" style="77" bestFit="1" customWidth="1"/>
    <col min="43" max="43" width="12.140625" style="77" bestFit="1" customWidth="1"/>
    <col min="44" max="44" width="12.42578125" style="77" bestFit="1" customWidth="1"/>
    <col min="45" max="45" width="11.140625" style="77" bestFit="1" customWidth="1"/>
    <col min="46" max="46" width="10.28515625" style="77" bestFit="1" customWidth="1"/>
    <col min="47" max="47" width="10.28515625" style="77" customWidth="1"/>
    <col min="48" max="48" width="11.7109375" style="77" bestFit="1" customWidth="1"/>
    <col min="49" max="49" width="12" style="77" bestFit="1" customWidth="1"/>
    <col min="50" max="50" width="11.42578125" style="77" bestFit="1" customWidth="1"/>
    <col min="51" max="51" width="12" style="77" bestFit="1" customWidth="1"/>
    <col min="52" max="53" width="10.42578125" style="77" bestFit="1" customWidth="1"/>
    <col min="54" max="54" width="11.7109375" style="77" bestFit="1" customWidth="1"/>
    <col min="55" max="16384" width="9" style="77"/>
  </cols>
  <sheetData>
    <row r="1" spans="1:54" x14ac:dyDescent="0.25">
      <c r="A1" s="87" t="s">
        <v>51</v>
      </c>
      <c r="B1" s="88" t="s">
        <v>348</v>
      </c>
      <c r="C1" s="90" t="s">
        <v>566</v>
      </c>
      <c r="D1" s="90" t="s">
        <v>567</v>
      </c>
      <c r="E1" s="90" t="s">
        <v>571</v>
      </c>
      <c r="F1" s="90" t="s">
        <v>568</v>
      </c>
      <c r="G1" s="90" t="s">
        <v>569</v>
      </c>
      <c r="H1" s="90" t="s">
        <v>570</v>
      </c>
      <c r="I1" s="90" t="s">
        <v>572</v>
      </c>
      <c r="J1" s="90" t="s">
        <v>573</v>
      </c>
      <c r="K1" s="90" t="s">
        <v>574</v>
      </c>
      <c r="L1" s="90" t="s">
        <v>575</v>
      </c>
      <c r="M1" s="90" t="s">
        <v>576</v>
      </c>
      <c r="N1" s="90" t="s">
        <v>577</v>
      </c>
      <c r="O1" s="90" t="s">
        <v>578</v>
      </c>
      <c r="P1" s="90" t="s">
        <v>579</v>
      </c>
      <c r="Q1" s="90" t="s">
        <v>580</v>
      </c>
      <c r="R1" s="90" t="s">
        <v>581</v>
      </c>
      <c r="S1" s="90" t="s">
        <v>582</v>
      </c>
      <c r="T1" s="90" t="s">
        <v>583</v>
      </c>
      <c r="U1" s="90" t="s">
        <v>1492</v>
      </c>
      <c r="V1" s="90" t="s">
        <v>584</v>
      </c>
      <c r="W1" s="90" t="s">
        <v>585</v>
      </c>
      <c r="X1" s="90" t="s">
        <v>586</v>
      </c>
      <c r="Y1" s="90" t="s">
        <v>587</v>
      </c>
      <c r="Z1" s="90" t="s">
        <v>588</v>
      </c>
      <c r="AA1" s="90" t="s">
        <v>589</v>
      </c>
      <c r="AB1" s="90" t="s">
        <v>638</v>
      </c>
      <c r="AC1" s="90" t="s">
        <v>565</v>
      </c>
      <c r="AD1" s="90" t="s">
        <v>590</v>
      </c>
      <c r="AE1" s="90" t="s">
        <v>591</v>
      </c>
      <c r="AF1" s="90" t="s">
        <v>592</v>
      </c>
      <c r="AG1" s="90" t="s">
        <v>593</v>
      </c>
      <c r="AH1" s="90" t="s">
        <v>594</v>
      </c>
      <c r="AI1" s="90" t="s">
        <v>595</v>
      </c>
      <c r="AJ1" s="90" t="s">
        <v>596</v>
      </c>
      <c r="AK1" s="90" t="s">
        <v>597</v>
      </c>
      <c r="AL1" s="90" t="s">
        <v>598</v>
      </c>
      <c r="AM1" s="90" t="s">
        <v>599</v>
      </c>
      <c r="AN1" s="90" t="s">
        <v>600</v>
      </c>
      <c r="AO1" s="90" t="s">
        <v>601</v>
      </c>
      <c r="AP1" s="90" t="s">
        <v>602</v>
      </c>
      <c r="AQ1" s="90" t="s">
        <v>603</v>
      </c>
      <c r="AR1" s="90" t="s">
        <v>604</v>
      </c>
      <c r="AS1" s="90" t="s">
        <v>605</v>
      </c>
      <c r="AT1" s="90" t="s">
        <v>606</v>
      </c>
      <c r="AU1" s="90" t="s">
        <v>1508</v>
      </c>
      <c r="AV1" s="90" t="s">
        <v>607</v>
      </c>
      <c r="AW1" s="90" t="s">
        <v>608</v>
      </c>
      <c r="AX1" s="90" t="s">
        <v>609</v>
      </c>
      <c r="AY1" s="90" t="s">
        <v>610</v>
      </c>
      <c r="AZ1" s="90" t="s">
        <v>611</v>
      </c>
      <c r="BA1" s="90" t="s">
        <v>612</v>
      </c>
      <c r="BB1" s="90" t="s">
        <v>613</v>
      </c>
    </row>
    <row r="2" spans="1:54" x14ac:dyDescent="0.25">
      <c r="A2" s="92" t="s">
        <v>12</v>
      </c>
      <c r="B2" s="90" t="s">
        <v>1071</v>
      </c>
      <c r="C2" s="2">
        <f>IFERROR(1/SUM(1/D2,1/E2,1/F2,1/G2,1/H2,1/I2,1/J2,1/K2,1/L2,1/M2,1/N2,1/O2,1/P2,1/Q2,1/R2,1/S2,1/T2,1/U2,1/V2,1/W2,1/X2,1/Y2,1/Z2),".")</f>
        <v>3.0398534713390219E-4</v>
      </c>
      <c r="D2" s="76">
        <f>IFERROR(TR/(RadSpec!F2*IFAP_res_adj*CF_apple),".")</f>
        <v>5.5080871663607013E-3</v>
      </c>
      <c r="E2" s="76">
        <f>IFERROR(TR/(RadSpec!F2*IFAS_res_adj*CF_asparagus),".")</f>
        <v>1.2045393276561643E-2</v>
      </c>
      <c r="F2" s="76">
        <f>IFERROR(TR/(RadSpec!F2*IFBT_res_adj*CF_beet),".")</f>
        <v>1.4531003436117318E-2</v>
      </c>
      <c r="G2" s="76">
        <f>IFERROR(TR/(RadSpec!F2*IFBE_res_adj*CF_berries),".")</f>
        <v>1.2388655779261588E-2</v>
      </c>
      <c r="H2" s="76">
        <f>IFERROR(TR/(RadSpec!F2*IFBR_res_adj*CF_broccoli),".")</f>
        <v>1.5264722123837695E-2</v>
      </c>
      <c r="I2" s="76">
        <f>IFERROR(TR/(RadSpec!F2*IFCB_res_adj*CF_cabbage),".")</f>
        <v>5.9343673780172272E-3</v>
      </c>
      <c r="J2" s="76">
        <f>IFERROR(TR/(RadSpec!F2*IFCR_res_adj*CF_carrot),".")</f>
        <v>1.6725670091810713E-2</v>
      </c>
      <c r="K2" s="76">
        <f>IFERROR(TR/(RadSpec!F2*IFCI_res_adj*CF_citrus),".")</f>
        <v>1.4282441607044445E-3</v>
      </c>
      <c r="L2" s="76">
        <f>IFERROR(TR/(RadSpec!F2*IFCO_res_adj*CF_corn),".")</f>
        <v>7.8323752886755062E-3</v>
      </c>
      <c r="M2" s="76">
        <f>IFERROR(TR/(RadSpec!F2*IFCU_res_adj*CF_cucumber),".")</f>
        <v>5.8675105899324816E-3</v>
      </c>
      <c r="N2" s="76">
        <f>IFERROR(TR/(RadSpec!F2*IFLE_res_adj*CF_lettuce),".")</f>
        <v>1.3945448684714926E-2</v>
      </c>
      <c r="O2" s="76">
        <f>IFERROR(TR/(RadSpec!F2*IFLI_res_adj*CF_lima_bean),".")</f>
        <v>1.2988205540430788E-2</v>
      </c>
      <c r="P2" s="76">
        <f>IFERROR(TR/(RadSpec!F2*IFOK_res_adj*CF_okra),".")</f>
        <v>1.5834507055612491E-2</v>
      </c>
      <c r="Q2" s="76">
        <f>IFERROR(TR/(RadSpec!F2*IFON_res_adj*CF_onion),".")</f>
        <v>2.260517079447559E-2</v>
      </c>
      <c r="R2" s="76">
        <f>IFERROR(TR/(RadSpec!F2*IFPC_res_adj*CF_peach),".")</f>
        <v>3.5360468162640964E-3</v>
      </c>
      <c r="S2" s="76">
        <f>IFERROR(TR/(RadSpec!F2*IFPR_res_adj*CF_pear),".")</f>
        <v>7.2136906800253295E-3</v>
      </c>
      <c r="T2" s="76">
        <f>IFERROR(TR/(RadSpec!F2*IFPE_res_adj*CF_peas),".")</f>
        <v>1.2590290195965701E-2</v>
      </c>
      <c r="U2" s="76">
        <f>IFERROR(TR/(RadSpec!F2*IFPP_res_adj*CF_peppers),".")</f>
        <v>2.520471127874686E-2</v>
      </c>
      <c r="V2" s="76">
        <f>IFERROR(TR/(RadSpec!F2*IFPT_res_adj*CF_potato),".")</f>
        <v>3.7046434564930418E-3</v>
      </c>
      <c r="W2" s="76">
        <f>IFERROR(TR/(RadSpec!F2*IFPU_res_adj*CF_pumpkin),".")</f>
        <v>7.5296639620304456E-3</v>
      </c>
      <c r="X2" s="76">
        <f>IFERROR(TR/(RadSpec!F2*IFSN_res_adj*CF_snap_bean),".")</f>
        <v>8.4447314879988276E-3</v>
      </c>
      <c r="Y2" s="76">
        <f>IFERROR(TR/(RadSpec!F2*IFST_res_adj*CF_strawberry),".")</f>
        <v>1.0768113088791135E-2</v>
      </c>
      <c r="Z2" s="76">
        <f>IFERROR(TR/(RadSpec!F2*IFTO_res_adj*CF_tomato),".")</f>
        <v>5.7868242506869854E-3</v>
      </c>
      <c r="AA2" s="76">
        <f>IFERROR(TR/(RadSpec!F2*IFRI_res_adj*CF_rice),".")</f>
        <v>5.5841011081469959E-3</v>
      </c>
      <c r="AB2" s="76">
        <f>IFERROR(TR/(RadSpec!F2*IFCG_res_adj*CF_cereal),".")</f>
        <v>6.4039727829004987E-3</v>
      </c>
      <c r="AC2" s="76">
        <f t="shared" ref="AC2:AC31" si="0">IFERROR(1/SUM(1/AD2,1/AE2,1/AF2,1/AG2,1/AH2,1/AI2,1/AJ2,1/AK2,1/AL2,1/AM2,1/AN2,1/AO2,1/AP2,1/AQ2,1/AR2,1/AS2,1/AT2,1/AU2,1/AV2,1/AW2,1/AX2,1/AY2,1/AZ2),".")</f>
        <v>1.8585259772303022E-4</v>
      </c>
      <c r="AD2" s="76">
        <f>IFERROR(TR/(RadSpec!F2*IFAP_far_adj*CF_apple),".")</f>
        <v>3.1131107556811679E-3</v>
      </c>
      <c r="AE2" s="76">
        <f>IFERROR(TR/(RadSpec!F2*IFAS_far_adj*CF_asparagus),".")</f>
        <v>7.3323435236610952E-3</v>
      </c>
      <c r="AF2" s="76">
        <f>IFERROR(TR/(RadSpec!F2*IFBT_far_adj*CF_beet),".")</f>
        <v>8.7263159321076134E-3</v>
      </c>
      <c r="AG2" s="76">
        <f>IFERROR(TR/(RadSpec!F2*IFBE_far_adj*CF_berries),".")</f>
        <v>7.8393789029425759E-3</v>
      </c>
      <c r="AH2" s="76">
        <f>IFERROR(TR/(RadSpec!F2*IFBR_far_adj*CF_broccoli),".")</f>
        <v>8.4284942218786577E-3</v>
      </c>
      <c r="AI2" s="76">
        <f>IFERROR(TR/(RadSpec!F2*IFCB_far_adj*CF_cabbage),".")</f>
        <v>3.7993667344705449E-3</v>
      </c>
      <c r="AJ2" s="76">
        <f>IFERROR(TR/(RadSpec!F2*IFCR_far_adj*CF_carrot),".")</f>
        <v>1.1583843302960735E-2</v>
      </c>
      <c r="AK2" s="76">
        <f>IFERROR(TR/(RadSpec!F2*IFCI_far_adj*CF_citrus),".")</f>
        <v>9.0250034209049827E-4</v>
      </c>
      <c r="AL2" s="76">
        <f>IFERROR(TR/(RadSpec!F2*IFCO_far_adj*CF_corn),".")</f>
        <v>3.5291668861955517E-3</v>
      </c>
      <c r="AM2" s="76">
        <f>IFERROR(TR/(RadSpec!F2*IFCU_far_adj*CF_cucumber),".")</f>
        <v>5.3555520707335262E-3</v>
      </c>
      <c r="AN2" s="76">
        <f>IFERROR(TR/(RadSpec!F2*IFLE_far_adj*CF_lettuce),".")</f>
        <v>8.2955736380294406E-3</v>
      </c>
      <c r="AO2" s="76">
        <f>IFERROR(TR/(RadSpec!F2*IFLI_far_adj*CF_lima_bean),".")</f>
        <v>8.1896672020465057E-3</v>
      </c>
      <c r="AP2" s="76">
        <f>IFERROR(TR/(RadSpec!F2*IFOK_far_adj*CF_okra),".")</f>
        <v>9.6517857685770089E-3</v>
      </c>
      <c r="AQ2" s="76">
        <f>IFERROR(TR/(RadSpec!F2*IFON_far_adj*CF_onion),".")</f>
        <v>1.0810158742035491E-2</v>
      </c>
      <c r="AR2" s="76">
        <f>IFERROR(TR/(RadSpec!F2*IFPC_far_adj*CF_peach),".")</f>
        <v>2.569346575428354E-3</v>
      </c>
      <c r="AS2" s="76">
        <f>IFERROR(TR/(RadSpec!F2*IFPR_far_adj*CF_pear),".")</f>
        <v>4.1900774604703437E-3</v>
      </c>
      <c r="AT2" s="76">
        <f>IFERROR(TR/(RadSpec!F2*IFPE_far_adj*CF_peas),".")</f>
        <v>8.7904800198436994E-3</v>
      </c>
      <c r="AU2" s="76">
        <f>IFERROR(TR/(RadSpec!F2*IFPP_far_adj*CF_peppers),".")</f>
        <v>1.2275900219076942E-2</v>
      </c>
      <c r="AV2" s="76">
        <f>IFERROR(TR/(RadSpec!F2*IFPT_far_adj*CF_potato),".")</f>
        <v>2.048533080409093E-3</v>
      </c>
      <c r="AW2" s="76">
        <f>IFERROR(TR/(RadSpec!F2*IFPU_far_adj*CF_pumpkin),".")</f>
        <v>4.6017174734270579E-3</v>
      </c>
      <c r="AX2" s="76">
        <f>IFERROR(TR/(RadSpec!F2*IFSN_far_adj*CF_snap_bean),".")</f>
        <v>5.1947691525523103E-3</v>
      </c>
      <c r="AY2" s="76">
        <f>IFERROR(TR/(RadSpec!F2*IFST_far_adj*CF_strawberry),".")</f>
        <v>6.8075879951785554E-3</v>
      </c>
      <c r="AZ2" s="76">
        <f>IFERROR(TR/(RadSpec!F2*IFTO_far_adj*CF_tomato),".")</f>
        <v>3.0501120514174127E-3</v>
      </c>
      <c r="BA2" s="76">
        <f>IFERROR(TR/(RadSpec!F2*IFRI_far_adj*CF_rice),".")</f>
        <v>3.2694531940297531E-3</v>
      </c>
      <c r="BB2" s="76">
        <f>IFERROR(TR/(RadSpec!F2*IFCG_far_adj*CF_cereal),".")</f>
        <v>3.3168694393558669E-3</v>
      </c>
    </row>
    <row r="3" spans="1:54" x14ac:dyDescent="0.25">
      <c r="A3" s="94" t="s">
        <v>13</v>
      </c>
      <c r="B3" s="90" t="s">
        <v>349</v>
      </c>
      <c r="C3" s="2">
        <f t="shared" ref="C3:C31" si="1">IFERROR(1/SUM(1/D3,1/E3,1/F3,1/G3,1/H3,1/I3,1/J3,1/K3,1/L3,1/M3,1/N3,1/O3,1/P3,1/Q3,1/R3,1/S3,1/T3,1/U3,1/V3,1/W3,1/X3,1/Y3,1/Z3),".")</f>
        <v>6.1807547034981752E-4</v>
      </c>
      <c r="D3" s="76">
        <f>IFERROR(TR/(RadSpec!F3*IFAP_res_adj*CF_apple),".")</f>
        <v>1.1199268642960539E-2</v>
      </c>
      <c r="E3" s="76">
        <f>IFERROR(TR/(RadSpec!F3*IFAS_res_adj*CF_asparagus),".")</f>
        <v>2.449118743766273E-2</v>
      </c>
      <c r="F3" s="76">
        <f>IFERROR(TR/(RadSpec!F3*IFBT_res_adj*CF_beet),".")</f>
        <v>2.9545031917202529E-2</v>
      </c>
      <c r="G3" s="76">
        <f>IFERROR(TR/(RadSpec!F3*IFBE_res_adj*CF_berries),".")</f>
        <v>2.5189122830964004E-2</v>
      </c>
      <c r="H3" s="76">
        <f>IFERROR(TR/(RadSpec!F3*IFBR_res_adj*CF_broccoli),".")</f>
        <v>3.1036858833509328E-2</v>
      </c>
      <c r="I3" s="76">
        <f>IFERROR(TR/(RadSpec!F3*IFCB_res_adj*CF_cabbage),".")</f>
        <v>1.2065999045608431E-2</v>
      </c>
      <c r="J3" s="76">
        <f>IFERROR(TR/(RadSpec!F3*IFCR_res_adj*CF_carrot),".")</f>
        <v>3.4007318136811814E-2</v>
      </c>
      <c r="K3" s="76">
        <f>IFERROR(TR/(RadSpec!F3*IFCI_res_adj*CF_citrus),".")</f>
        <v>2.9039645815985104E-3</v>
      </c>
      <c r="L3" s="76">
        <f>IFERROR(TR/(RadSpec!F3*IFCO_res_adj*CF_corn),".")</f>
        <v>1.5925106542625543E-2</v>
      </c>
      <c r="M3" s="76">
        <f>IFERROR(TR/(RadSpec!F3*IFCU_res_adj*CF_cucumber),".")</f>
        <v>1.1930063083131416E-2</v>
      </c>
      <c r="N3" s="76">
        <f>IFERROR(TR/(RadSpec!F3*IFLE_res_adj*CF_lettuce),".")</f>
        <v>2.8354457990528405E-2</v>
      </c>
      <c r="O3" s="76">
        <f>IFERROR(TR/(RadSpec!F3*IFLI_res_adj*CF_lima_bean),".")</f>
        <v>2.6408151985252631E-2</v>
      </c>
      <c r="P3" s="76">
        <f>IFERROR(TR/(RadSpec!F3*IFOK_res_adj*CF_okra),".")</f>
        <v>3.2195368916397696E-2</v>
      </c>
      <c r="Q3" s="76">
        <f>IFERROR(TR/(RadSpec!F3*IFON_res_adj*CF_onion),".")</f>
        <v>4.5961760008712139E-2</v>
      </c>
      <c r="R3" s="76">
        <f>IFERROR(TR/(RadSpec!F3*IFPC_res_adj*CF_peach),".")</f>
        <v>7.189635354952483E-3</v>
      </c>
      <c r="S3" s="76">
        <f>IFERROR(TR/(RadSpec!F3*IFPR_res_adj*CF_pear),".")</f>
        <v>1.4667171631962857E-2</v>
      </c>
      <c r="T3" s="76">
        <f>IFERROR(TR/(RadSpec!F3*IFPE_res_adj*CF_peas),".")</f>
        <v>2.5599094193459345E-2</v>
      </c>
      <c r="U3" s="76">
        <f>IFERROR(TR/(RadSpec!F3*IFPP_res_adj*CF_peppers),".")</f>
        <v>5.1247252295291396E-2</v>
      </c>
      <c r="V3" s="76">
        <f>IFERROR(TR/(RadSpec!F3*IFPT_res_adj*CF_potato),".")</f>
        <v>7.532432955861197E-3</v>
      </c>
      <c r="W3" s="76">
        <f>IFERROR(TR/(RadSpec!F3*IFPU_res_adj*CF_pumpkin),".")</f>
        <v>1.530962146296495E-2</v>
      </c>
      <c r="X3" s="76">
        <f>IFERROR(TR/(RadSpec!F3*IFSN_res_adj*CF_snap_bean),".")</f>
        <v>1.7170174271997615E-2</v>
      </c>
      <c r="Y3" s="76">
        <f>IFERROR(TR/(RadSpec!F3*IFST_res_adj*CF_strawberry),".")</f>
        <v>2.1894168994938207E-2</v>
      </c>
      <c r="Z3" s="76">
        <f>IFERROR(TR/(RadSpec!F3*IFTO_res_adj*CF_tomato),".")</f>
        <v>1.1766008310261072E-2</v>
      </c>
      <c r="AA3" s="76">
        <f>IFERROR(TR/(RadSpec!F3*IFRI_res_adj*CF_rice),".")</f>
        <v>1.1353823305761481E-2</v>
      </c>
      <c r="AB3" s="76">
        <f>IFERROR(TR/(RadSpec!F3*IFCG_res_adj*CF_cereal),".")</f>
        <v>1.3020820007337857E-2</v>
      </c>
      <c r="AC3" s="76">
        <f t="shared" si="0"/>
        <v>3.7788312113214465E-4</v>
      </c>
      <c r="AD3" s="76">
        <f>IFERROR(TR/(RadSpec!F3*IFAP_far_adj*CF_apple),".")</f>
        <v>6.329704417368358E-3</v>
      </c>
      <c r="AE3" s="76">
        <f>IFERROR(TR/(RadSpec!F3*IFAS_far_adj*CF_asparagus),".")</f>
        <v>1.4908421458081009E-2</v>
      </c>
      <c r="AF3" s="76">
        <f>IFERROR(TR/(RadSpec!F3*IFBT_far_adj*CF_beet),".")</f>
        <v>1.7742703307941796E-2</v>
      </c>
      <c r="AG3" s="76">
        <f>IFERROR(TR/(RadSpec!F3*IFBE_far_adj*CF_berries),".")</f>
        <v>1.5939346578282134E-2</v>
      </c>
      <c r="AH3" s="76">
        <f>IFERROR(TR/(RadSpec!F3*IFBR_far_adj*CF_broccoli),".")</f>
        <v>1.7137159996839152E-2</v>
      </c>
      <c r="AI3" s="76">
        <f>IFERROR(TR/(RadSpec!F3*IFCB_far_adj*CF_cabbage),".")</f>
        <v>7.7250282080370634E-3</v>
      </c>
      <c r="AJ3" s="76">
        <f>IFERROR(TR/(RadSpec!F3*IFCR_far_adj*CF_carrot),".")</f>
        <v>2.3552745109066978E-2</v>
      </c>
      <c r="AK3" s="76">
        <f>IFERROR(TR/(RadSpec!F3*IFCI_far_adj*CF_citrus),".")</f>
        <v>1.835000695552426E-3</v>
      </c>
      <c r="AL3" s="76">
        <f>IFERROR(TR/(RadSpec!F3*IFCO_far_adj*CF_corn),".")</f>
        <v>7.1756467990790451E-3</v>
      </c>
      <c r="AM3" s="76">
        <f>IFERROR(TR/(RadSpec!F3*IFCU_far_adj*CF_cucumber),".")</f>
        <v>1.0889128033014981E-2</v>
      </c>
      <c r="AN3" s="76">
        <f>IFERROR(TR/(RadSpec!F3*IFLE_far_adj*CF_lettuce),".")</f>
        <v>1.6866900416381191E-2</v>
      </c>
      <c r="AO3" s="76">
        <f>IFERROR(TR/(RadSpec!F3*IFLI_far_adj*CF_lima_bean),".")</f>
        <v>1.6651567108870176E-2</v>
      </c>
      <c r="AP3" s="76">
        <f>IFERROR(TR/(RadSpec!F3*IFOK_far_adj*CF_okra),".")</f>
        <v>1.9624406521151036E-2</v>
      </c>
      <c r="AQ3" s="76">
        <f>IFERROR(TR/(RadSpec!F3*IFON_far_adj*CF_onion),".")</f>
        <v>2.1979657940869944E-2</v>
      </c>
      <c r="AR3" s="76">
        <f>IFERROR(TR/(RadSpec!F3*IFPC_far_adj*CF_peach),".")</f>
        <v>5.2241007932532189E-3</v>
      </c>
      <c r="AS3" s="76">
        <f>IFERROR(TR/(RadSpec!F3*IFPR_far_adj*CF_pear),".")</f>
        <v>8.5194372741973189E-3</v>
      </c>
      <c r="AT3" s="76">
        <f>IFERROR(TR/(RadSpec!F3*IFPE_far_adj*CF_peas),".")</f>
        <v>1.7873164361676661E-2</v>
      </c>
      <c r="AU3" s="76">
        <f>IFERROR(TR/(RadSpec!F3*IFPP_far_adj*CF_peppers),".")</f>
        <v>2.4959863603330953E-2</v>
      </c>
      <c r="AV3" s="76">
        <f>IFERROR(TR/(RadSpec!F3*IFPT_far_adj*CF_potato),".")</f>
        <v>4.1651614432694573E-3</v>
      </c>
      <c r="AW3" s="76">
        <f>IFERROR(TR/(RadSpec!F3*IFPU_far_adj*CF_pumpkin),".")</f>
        <v>9.3564006246411643E-3</v>
      </c>
      <c r="AX3" s="76">
        <f>IFERROR(TR/(RadSpec!F3*IFSN_far_adj*CF_snap_bean),".")</f>
        <v>1.0562217612114668E-2</v>
      </c>
      <c r="AY3" s="76">
        <f>IFERROR(TR/(RadSpec!F3*IFST_far_adj*CF_strawberry),".")</f>
        <v>1.3841467004047255E-2</v>
      </c>
      <c r="AZ3" s="76">
        <f>IFERROR(TR/(RadSpec!F3*IFTO_far_adj*CF_tomato),".")</f>
        <v>6.201612869086927E-3</v>
      </c>
      <c r="BA3" s="76">
        <f>IFERROR(TR/(RadSpec!F3*IFRI_far_adj*CF_rice),".")</f>
        <v>6.647586272625591E-3</v>
      </c>
      <c r="BB3" s="76">
        <f>IFERROR(TR/(RadSpec!F3*IFCG_far_adj*CF_cereal),".")</f>
        <v>6.7439949265573583E-3</v>
      </c>
    </row>
    <row r="4" spans="1:54" x14ac:dyDescent="0.25">
      <c r="A4" s="92" t="s">
        <v>14</v>
      </c>
      <c r="B4" s="90" t="s">
        <v>1071</v>
      </c>
      <c r="C4" s="2" t="str">
        <f t="shared" si="1"/>
        <v>.</v>
      </c>
      <c r="D4" s="76" t="str">
        <f>IFERROR(TR/(RadSpec!F4*IFAP_res_adj*CF_apple),".")</f>
        <v>.</v>
      </c>
      <c r="E4" s="76" t="str">
        <f>IFERROR(TR/(RadSpec!F4*IFAS_res_adj*CF_asparagus),".")</f>
        <v>.</v>
      </c>
      <c r="F4" s="76" t="str">
        <f>IFERROR(TR/(RadSpec!F4*IFBT_res_adj*CF_beet),".")</f>
        <v>.</v>
      </c>
      <c r="G4" s="76" t="str">
        <f>IFERROR(TR/(RadSpec!F4*IFBE_res_adj*CF_berries),".")</f>
        <v>.</v>
      </c>
      <c r="H4" s="76" t="str">
        <f>IFERROR(TR/(RadSpec!F4*IFBR_res_adj*CF_broccoli),".")</f>
        <v>.</v>
      </c>
      <c r="I4" s="76" t="str">
        <f>IFERROR(TR/(RadSpec!F4*IFCB_res_adj*CF_cabbage),".")</f>
        <v>.</v>
      </c>
      <c r="J4" s="76" t="str">
        <f>IFERROR(TR/(RadSpec!F4*IFCR_res_adj*CF_carrot),".")</f>
        <v>.</v>
      </c>
      <c r="K4" s="76" t="str">
        <f>IFERROR(TR/(RadSpec!F4*IFCI_res_adj*CF_citrus),".")</f>
        <v>.</v>
      </c>
      <c r="L4" s="76" t="str">
        <f>IFERROR(TR/(RadSpec!F4*IFCO_res_adj*CF_corn),".")</f>
        <v>.</v>
      </c>
      <c r="M4" s="76" t="str">
        <f>IFERROR(TR/(RadSpec!F4*IFCU_res_adj*CF_cucumber),".")</f>
        <v>.</v>
      </c>
      <c r="N4" s="76" t="str">
        <f>IFERROR(TR/(RadSpec!F4*IFLE_res_adj*CF_lettuce),".")</f>
        <v>.</v>
      </c>
      <c r="O4" s="76" t="str">
        <f>IFERROR(TR/(RadSpec!F4*IFLI_res_adj*CF_lima_bean),".")</f>
        <v>.</v>
      </c>
      <c r="P4" s="76" t="str">
        <f>IFERROR(TR/(RadSpec!F4*IFOK_res_adj*CF_okra),".")</f>
        <v>.</v>
      </c>
      <c r="Q4" s="76" t="str">
        <f>IFERROR(TR/(RadSpec!F4*IFON_res_adj*CF_onion),".")</f>
        <v>.</v>
      </c>
      <c r="R4" s="76" t="str">
        <f>IFERROR(TR/(RadSpec!F4*IFPC_res_adj*CF_peach),".")</f>
        <v>.</v>
      </c>
      <c r="S4" s="76" t="str">
        <f>IFERROR(TR/(RadSpec!F4*IFPR_res_adj*CF_pear),".")</f>
        <v>.</v>
      </c>
      <c r="T4" s="76" t="str">
        <f>IFERROR(TR/(RadSpec!F4*IFPE_res_adj*CF_peas),".")</f>
        <v>.</v>
      </c>
      <c r="U4" s="76" t="str">
        <f>IFERROR(TR/(RadSpec!F4*IFPP_res_adj*CF_peppers),".")</f>
        <v>.</v>
      </c>
      <c r="V4" s="76" t="str">
        <f>IFERROR(TR/(RadSpec!F4*IFPT_res_adj*CF_potato),".")</f>
        <v>.</v>
      </c>
      <c r="W4" s="76" t="str">
        <f>IFERROR(TR/(RadSpec!F4*IFPU_res_adj*CF_pumpkin),".")</f>
        <v>.</v>
      </c>
      <c r="X4" s="76" t="str">
        <f>IFERROR(TR/(RadSpec!F4*IFSN_res_adj*CF_snap_bean),".")</f>
        <v>.</v>
      </c>
      <c r="Y4" s="76" t="str">
        <f>IFERROR(TR/(RadSpec!F4*IFST_res_adj*CF_strawberry),".")</f>
        <v>.</v>
      </c>
      <c r="Z4" s="76" t="str">
        <f>IFERROR(TR/(RadSpec!F4*IFTO_res_adj*CF_tomato),".")</f>
        <v>.</v>
      </c>
      <c r="AA4" s="76" t="str">
        <f>IFERROR(TR/(RadSpec!F4*IFRI_res_adj*CF_rice),".")</f>
        <v>.</v>
      </c>
      <c r="AB4" s="76" t="str">
        <f>IFERROR(TR/(RadSpec!F4*IFCG_res_adj*CF_cereal),".")</f>
        <v>.</v>
      </c>
      <c r="AC4" s="76" t="str">
        <f t="shared" si="0"/>
        <v>.</v>
      </c>
      <c r="AD4" s="76" t="str">
        <f>IFERROR(TR/(RadSpec!F4*IFAP_far_adj*CF_apple),".")</f>
        <v>.</v>
      </c>
      <c r="AE4" s="76" t="str">
        <f>IFERROR(TR/(RadSpec!F4*IFAS_far_adj*CF_asparagus),".")</f>
        <v>.</v>
      </c>
      <c r="AF4" s="76" t="str">
        <f>IFERROR(TR/(RadSpec!F4*IFBT_far_adj*CF_beet),".")</f>
        <v>.</v>
      </c>
      <c r="AG4" s="76" t="str">
        <f>IFERROR(TR/(RadSpec!F4*IFBE_far_adj*CF_berries),".")</f>
        <v>.</v>
      </c>
      <c r="AH4" s="76" t="str">
        <f>IFERROR(TR/(RadSpec!F4*IFBR_far_adj*CF_broccoli),".")</f>
        <v>.</v>
      </c>
      <c r="AI4" s="76" t="str">
        <f>IFERROR(TR/(RadSpec!F4*IFCB_far_adj*CF_cabbage),".")</f>
        <v>.</v>
      </c>
      <c r="AJ4" s="76" t="str">
        <f>IFERROR(TR/(RadSpec!F4*IFCR_far_adj*CF_carrot),".")</f>
        <v>.</v>
      </c>
      <c r="AK4" s="76" t="str">
        <f>IFERROR(TR/(RadSpec!F4*IFCI_far_adj*CF_citrus),".")</f>
        <v>.</v>
      </c>
      <c r="AL4" s="76" t="str">
        <f>IFERROR(TR/(RadSpec!F4*IFCO_far_adj*CF_corn),".")</f>
        <v>.</v>
      </c>
      <c r="AM4" s="76" t="str">
        <f>IFERROR(TR/(RadSpec!F4*IFCU_far_adj*CF_cucumber),".")</f>
        <v>.</v>
      </c>
      <c r="AN4" s="76" t="str">
        <f>IFERROR(TR/(RadSpec!F4*IFLE_far_adj*CF_lettuce),".")</f>
        <v>.</v>
      </c>
      <c r="AO4" s="76" t="str">
        <f>IFERROR(TR/(RadSpec!F4*IFLI_far_adj*CF_lima_bean),".")</f>
        <v>.</v>
      </c>
      <c r="AP4" s="76" t="str">
        <f>IFERROR(TR/(RadSpec!F4*IFOK_far_adj*CF_okra),".")</f>
        <v>.</v>
      </c>
      <c r="AQ4" s="76" t="str">
        <f>IFERROR(TR/(RadSpec!F4*IFON_far_adj*CF_onion),".")</f>
        <v>.</v>
      </c>
      <c r="AR4" s="76" t="str">
        <f>IFERROR(TR/(RadSpec!F4*IFPC_far_adj*CF_peach),".")</f>
        <v>.</v>
      </c>
      <c r="AS4" s="76" t="str">
        <f>IFERROR(TR/(RadSpec!F4*IFPR_far_adj*CF_pear),".")</f>
        <v>.</v>
      </c>
      <c r="AT4" s="76" t="str">
        <f>IFERROR(TR/(RadSpec!F4*IFPE_far_adj*CF_peas),".")</f>
        <v>.</v>
      </c>
      <c r="AU4" s="76" t="str">
        <f>IFERROR(TR/(RadSpec!F4*IFPP_far_adj*CF_peppers),".")</f>
        <v>.</v>
      </c>
      <c r="AV4" s="76" t="str">
        <f>IFERROR(TR/(RadSpec!F4*IFPT_far_adj*CF_potato),".")</f>
        <v>.</v>
      </c>
      <c r="AW4" s="76" t="str">
        <f>IFERROR(TR/(RadSpec!F4*IFPU_far_adj*CF_pumpkin),".")</f>
        <v>.</v>
      </c>
      <c r="AX4" s="76" t="str">
        <f>IFERROR(TR/(RadSpec!F4*IFSN_far_adj*CF_snap_bean),".")</f>
        <v>.</v>
      </c>
      <c r="AY4" s="76" t="str">
        <f>IFERROR(TR/(RadSpec!F4*IFST_far_adj*CF_strawberry),".")</f>
        <v>.</v>
      </c>
      <c r="AZ4" s="76" t="str">
        <f>IFERROR(TR/(RadSpec!F4*IFTO_far_adj*CF_tomato),".")</f>
        <v>.</v>
      </c>
      <c r="BA4" s="76" t="str">
        <f>IFERROR(TR/(RadSpec!F4*IFRI_far_adj*CF_rice),".")</f>
        <v>.</v>
      </c>
      <c r="BB4" s="76" t="str">
        <f>IFERROR(TR/(RadSpec!F4*IFCG_far_adj*CF_cereal),".")</f>
        <v>.</v>
      </c>
    </row>
    <row r="5" spans="1:54" x14ac:dyDescent="0.25">
      <c r="A5" s="92" t="s">
        <v>15</v>
      </c>
      <c r="B5" s="90" t="s">
        <v>1071</v>
      </c>
      <c r="C5" s="2" t="str">
        <f t="shared" si="1"/>
        <v>.</v>
      </c>
      <c r="D5" s="76" t="str">
        <f>IFERROR(TR/(RadSpec!F5*IFAP_res_adj*CF_apple),".")</f>
        <v>.</v>
      </c>
      <c r="E5" s="76" t="str">
        <f>IFERROR(TR/(RadSpec!F5*IFAS_res_adj*CF_asparagus),".")</f>
        <v>.</v>
      </c>
      <c r="F5" s="76" t="str">
        <f>IFERROR(TR/(RadSpec!F5*IFBT_res_adj*CF_beet),".")</f>
        <v>.</v>
      </c>
      <c r="G5" s="76" t="str">
        <f>IFERROR(TR/(RadSpec!F5*IFBE_res_adj*CF_berries),".")</f>
        <v>.</v>
      </c>
      <c r="H5" s="76" t="str">
        <f>IFERROR(TR/(RadSpec!F5*IFBR_res_adj*CF_broccoli),".")</f>
        <v>.</v>
      </c>
      <c r="I5" s="76" t="str">
        <f>IFERROR(TR/(RadSpec!F5*IFCB_res_adj*CF_cabbage),".")</f>
        <v>.</v>
      </c>
      <c r="J5" s="76" t="str">
        <f>IFERROR(TR/(RadSpec!F5*IFCR_res_adj*CF_carrot),".")</f>
        <v>.</v>
      </c>
      <c r="K5" s="76" t="str">
        <f>IFERROR(TR/(RadSpec!F5*IFCI_res_adj*CF_citrus),".")</f>
        <v>.</v>
      </c>
      <c r="L5" s="76" t="str">
        <f>IFERROR(TR/(RadSpec!F5*IFCO_res_adj*CF_corn),".")</f>
        <v>.</v>
      </c>
      <c r="M5" s="76" t="str">
        <f>IFERROR(TR/(RadSpec!F5*IFCU_res_adj*CF_cucumber),".")</f>
        <v>.</v>
      </c>
      <c r="N5" s="76" t="str">
        <f>IFERROR(TR/(RadSpec!F5*IFLE_res_adj*CF_lettuce),".")</f>
        <v>.</v>
      </c>
      <c r="O5" s="76" t="str">
        <f>IFERROR(TR/(RadSpec!F5*IFLI_res_adj*CF_lima_bean),".")</f>
        <v>.</v>
      </c>
      <c r="P5" s="76" t="str">
        <f>IFERROR(TR/(RadSpec!F5*IFOK_res_adj*CF_okra),".")</f>
        <v>.</v>
      </c>
      <c r="Q5" s="76" t="str">
        <f>IFERROR(TR/(RadSpec!F5*IFON_res_adj*CF_onion),".")</f>
        <v>.</v>
      </c>
      <c r="R5" s="76" t="str">
        <f>IFERROR(TR/(RadSpec!F5*IFPC_res_adj*CF_peach),".")</f>
        <v>.</v>
      </c>
      <c r="S5" s="76" t="str">
        <f>IFERROR(TR/(RadSpec!F5*IFPR_res_adj*CF_pear),".")</f>
        <v>.</v>
      </c>
      <c r="T5" s="76" t="str">
        <f>IFERROR(TR/(RadSpec!F5*IFPE_res_adj*CF_peas),".")</f>
        <v>.</v>
      </c>
      <c r="U5" s="76" t="str">
        <f>IFERROR(TR/(RadSpec!F5*IFPP_res_adj*CF_peppers),".")</f>
        <v>.</v>
      </c>
      <c r="V5" s="76" t="str">
        <f>IFERROR(TR/(RadSpec!F5*IFPT_res_adj*CF_potato),".")</f>
        <v>.</v>
      </c>
      <c r="W5" s="76" t="str">
        <f>IFERROR(TR/(RadSpec!F5*IFPU_res_adj*CF_pumpkin),".")</f>
        <v>.</v>
      </c>
      <c r="X5" s="76" t="str">
        <f>IFERROR(TR/(RadSpec!F5*IFSN_res_adj*CF_snap_bean),".")</f>
        <v>.</v>
      </c>
      <c r="Y5" s="76" t="str">
        <f>IFERROR(TR/(RadSpec!F5*IFST_res_adj*CF_strawberry),".")</f>
        <v>.</v>
      </c>
      <c r="Z5" s="76" t="str">
        <f>IFERROR(TR/(RadSpec!F5*IFTO_res_adj*CF_tomato),".")</f>
        <v>.</v>
      </c>
      <c r="AA5" s="76" t="str">
        <f>IFERROR(TR/(RadSpec!F5*IFRI_res_adj*CF_rice),".")</f>
        <v>.</v>
      </c>
      <c r="AB5" s="76" t="str">
        <f>IFERROR(TR/(RadSpec!F5*IFCG_res_adj*CF_cereal),".")</f>
        <v>.</v>
      </c>
      <c r="AC5" s="76" t="str">
        <f t="shared" si="0"/>
        <v>.</v>
      </c>
      <c r="AD5" s="76" t="str">
        <f>IFERROR(TR/(RadSpec!F5*IFAP_far_adj*CF_apple),".")</f>
        <v>.</v>
      </c>
      <c r="AE5" s="76" t="str">
        <f>IFERROR(TR/(RadSpec!F5*IFAS_far_adj*CF_asparagus),".")</f>
        <v>.</v>
      </c>
      <c r="AF5" s="76" t="str">
        <f>IFERROR(TR/(RadSpec!F5*IFBT_far_adj*CF_beet),".")</f>
        <v>.</v>
      </c>
      <c r="AG5" s="76" t="str">
        <f>IFERROR(TR/(RadSpec!F5*IFBE_far_adj*CF_berries),".")</f>
        <v>.</v>
      </c>
      <c r="AH5" s="76" t="str">
        <f>IFERROR(TR/(RadSpec!F5*IFBR_far_adj*CF_broccoli),".")</f>
        <v>.</v>
      </c>
      <c r="AI5" s="76" t="str">
        <f>IFERROR(TR/(RadSpec!F5*IFCB_far_adj*CF_cabbage),".")</f>
        <v>.</v>
      </c>
      <c r="AJ5" s="76" t="str">
        <f>IFERROR(TR/(RadSpec!F5*IFCR_far_adj*CF_carrot),".")</f>
        <v>.</v>
      </c>
      <c r="AK5" s="76" t="str">
        <f>IFERROR(TR/(RadSpec!F5*IFCI_far_adj*CF_citrus),".")</f>
        <v>.</v>
      </c>
      <c r="AL5" s="76" t="str">
        <f>IFERROR(TR/(RadSpec!F5*IFCO_far_adj*CF_corn),".")</f>
        <v>.</v>
      </c>
      <c r="AM5" s="76" t="str">
        <f>IFERROR(TR/(RadSpec!F5*IFCU_far_adj*CF_cucumber),".")</f>
        <v>.</v>
      </c>
      <c r="AN5" s="76" t="str">
        <f>IFERROR(TR/(RadSpec!F5*IFLE_far_adj*CF_lettuce),".")</f>
        <v>.</v>
      </c>
      <c r="AO5" s="76" t="str">
        <f>IFERROR(TR/(RadSpec!F5*IFLI_far_adj*CF_lima_bean),".")</f>
        <v>.</v>
      </c>
      <c r="AP5" s="76" t="str">
        <f>IFERROR(TR/(RadSpec!F5*IFOK_far_adj*CF_okra),".")</f>
        <v>.</v>
      </c>
      <c r="AQ5" s="76" t="str">
        <f>IFERROR(TR/(RadSpec!F5*IFON_far_adj*CF_onion),".")</f>
        <v>.</v>
      </c>
      <c r="AR5" s="76" t="str">
        <f>IFERROR(TR/(RadSpec!F5*IFPC_far_adj*CF_peach),".")</f>
        <v>.</v>
      </c>
      <c r="AS5" s="76" t="str">
        <f>IFERROR(TR/(RadSpec!F5*IFPR_far_adj*CF_pear),".")</f>
        <v>.</v>
      </c>
      <c r="AT5" s="76" t="str">
        <f>IFERROR(TR/(RadSpec!F5*IFPE_far_adj*CF_peas),".")</f>
        <v>.</v>
      </c>
      <c r="AU5" s="76" t="str">
        <f>IFERROR(TR/(RadSpec!F5*IFPP_far_adj*CF_peppers),".")</f>
        <v>.</v>
      </c>
      <c r="AV5" s="76" t="str">
        <f>IFERROR(TR/(RadSpec!F5*IFPT_far_adj*CF_potato),".")</f>
        <v>.</v>
      </c>
      <c r="AW5" s="76" t="str">
        <f>IFERROR(TR/(RadSpec!F5*IFPU_far_adj*CF_pumpkin),".")</f>
        <v>.</v>
      </c>
      <c r="AX5" s="76" t="str">
        <f>IFERROR(TR/(RadSpec!F5*IFSN_far_adj*CF_snap_bean),".")</f>
        <v>.</v>
      </c>
      <c r="AY5" s="76" t="str">
        <f>IFERROR(TR/(RadSpec!F5*IFST_far_adj*CF_strawberry),".")</f>
        <v>.</v>
      </c>
      <c r="AZ5" s="76" t="str">
        <f>IFERROR(TR/(RadSpec!F5*IFTO_far_adj*CF_tomato),".")</f>
        <v>.</v>
      </c>
      <c r="BA5" s="76" t="str">
        <f>IFERROR(TR/(RadSpec!F5*IFRI_far_adj*CF_rice),".")</f>
        <v>.</v>
      </c>
      <c r="BB5" s="76" t="str">
        <f>IFERROR(TR/(RadSpec!F5*IFCG_far_adj*CF_cereal),".")</f>
        <v>.</v>
      </c>
    </row>
    <row r="6" spans="1:54" x14ac:dyDescent="0.25">
      <c r="A6" s="92" t="s">
        <v>16</v>
      </c>
      <c r="B6" s="90" t="s">
        <v>1071</v>
      </c>
      <c r="C6" s="2" t="str">
        <f t="shared" si="1"/>
        <v>.</v>
      </c>
      <c r="D6" s="76" t="str">
        <f>IFERROR(TR/(RadSpec!F6*IFAP_res_adj*CF_apple),".")</f>
        <v>.</v>
      </c>
      <c r="E6" s="76" t="str">
        <f>IFERROR(TR/(RadSpec!F6*IFAS_res_adj*CF_asparagus),".")</f>
        <v>.</v>
      </c>
      <c r="F6" s="76" t="str">
        <f>IFERROR(TR/(RadSpec!F6*IFBT_res_adj*CF_beet),".")</f>
        <v>.</v>
      </c>
      <c r="G6" s="76" t="str">
        <f>IFERROR(TR/(RadSpec!F6*IFBE_res_adj*CF_berries),".")</f>
        <v>.</v>
      </c>
      <c r="H6" s="76" t="str">
        <f>IFERROR(TR/(RadSpec!F6*IFBR_res_adj*CF_broccoli),".")</f>
        <v>.</v>
      </c>
      <c r="I6" s="76" t="str">
        <f>IFERROR(TR/(RadSpec!F6*IFCB_res_adj*CF_cabbage),".")</f>
        <v>.</v>
      </c>
      <c r="J6" s="76" t="str">
        <f>IFERROR(TR/(RadSpec!F6*IFCR_res_adj*CF_carrot),".")</f>
        <v>.</v>
      </c>
      <c r="K6" s="76" t="str">
        <f>IFERROR(TR/(RadSpec!F6*IFCI_res_adj*CF_citrus),".")</f>
        <v>.</v>
      </c>
      <c r="L6" s="76" t="str">
        <f>IFERROR(TR/(RadSpec!F6*IFCO_res_adj*CF_corn),".")</f>
        <v>.</v>
      </c>
      <c r="M6" s="76" t="str">
        <f>IFERROR(TR/(RadSpec!F6*IFCU_res_adj*CF_cucumber),".")</f>
        <v>.</v>
      </c>
      <c r="N6" s="76" t="str">
        <f>IFERROR(TR/(RadSpec!F6*IFLE_res_adj*CF_lettuce),".")</f>
        <v>.</v>
      </c>
      <c r="O6" s="76" t="str">
        <f>IFERROR(TR/(RadSpec!F6*IFLI_res_adj*CF_lima_bean),".")</f>
        <v>.</v>
      </c>
      <c r="P6" s="76" t="str">
        <f>IFERROR(TR/(RadSpec!F6*IFOK_res_adj*CF_okra),".")</f>
        <v>.</v>
      </c>
      <c r="Q6" s="76" t="str">
        <f>IFERROR(TR/(RadSpec!F6*IFON_res_adj*CF_onion),".")</f>
        <v>.</v>
      </c>
      <c r="R6" s="76" t="str">
        <f>IFERROR(TR/(RadSpec!F6*IFPC_res_adj*CF_peach),".")</f>
        <v>.</v>
      </c>
      <c r="S6" s="76" t="str">
        <f>IFERROR(TR/(RadSpec!F6*IFPR_res_adj*CF_pear),".")</f>
        <v>.</v>
      </c>
      <c r="T6" s="76" t="str">
        <f>IFERROR(TR/(RadSpec!F6*IFPE_res_adj*CF_peas),".")</f>
        <v>.</v>
      </c>
      <c r="U6" s="76" t="str">
        <f>IFERROR(TR/(RadSpec!F6*IFPP_res_adj*CF_peppers),".")</f>
        <v>.</v>
      </c>
      <c r="V6" s="76" t="str">
        <f>IFERROR(TR/(RadSpec!F6*IFPT_res_adj*CF_potato),".")</f>
        <v>.</v>
      </c>
      <c r="W6" s="76" t="str">
        <f>IFERROR(TR/(RadSpec!F6*IFPU_res_adj*CF_pumpkin),".")</f>
        <v>.</v>
      </c>
      <c r="X6" s="76" t="str">
        <f>IFERROR(TR/(RadSpec!F6*IFSN_res_adj*CF_snap_bean),".")</f>
        <v>.</v>
      </c>
      <c r="Y6" s="76" t="str">
        <f>IFERROR(TR/(RadSpec!F6*IFST_res_adj*CF_strawberry),".")</f>
        <v>.</v>
      </c>
      <c r="Z6" s="76" t="str">
        <f>IFERROR(TR/(RadSpec!F6*IFTO_res_adj*CF_tomato),".")</f>
        <v>.</v>
      </c>
      <c r="AA6" s="76" t="str">
        <f>IFERROR(TR/(RadSpec!F6*IFRI_res_adj*CF_rice),".")</f>
        <v>.</v>
      </c>
      <c r="AB6" s="76" t="str">
        <f>IFERROR(TR/(RadSpec!F6*IFCG_res_adj*CF_cereal),".")</f>
        <v>.</v>
      </c>
      <c r="AC6" s="76" t="str">
        <f t="shared" si="0"/>
        <v>.</v>
      </c>
      <c r="AD6" s="76" t="str">
        <f>IFERROR(TR/(RadSpec!F6*IFAP_far_adj*CF_apple),".")</f>
        <v>.</v>
      </c>
      <c r="AE6" s="76" t="str">
        <f>IFERROR(TR/(RadSpec!F6*IFAS_far_adj*CF_asparagus),".")</f>
        <v>.</v>
      </c>
      <c r="AF6" s="76" t="str">
        <f>IFERROR(TR/(RadSpec!F6*IFBT_far_adj*CF_beet),".")</f>
        <v>.</v>
      </c>
      <c r="AG6" s="76" t="str">
        <f>IFERROR(TR/(RadSpec!F6*IFBE_far_adj*CF_berries),".")</f>
        <v>.</v>
      </c>
      <c r="AH6" s="76" t="str">
        <f>IFERROR(TR/(RadSpec!F6*IFBR_far_adj*CF_broccoli),".")</f>
        <v>.</v>
      </c>
      <c r="AI6" s="76" t="str">
        <f>IFERROR(TR/(RadSpec!F6*IFCB_far_adj*CF_cabbage),".")</f>
        <v>.</v>
      </c>
      <c r="AJ6" s="76" t="str">
        <f>IFERROR(TR/(RadSpec!F6*IFCR_far_adj*CF_carrot),".")</f>
        <v>.</v>
      </c>
      <c r="AK6" s="76" t="str">
        <f>IFERROR(TR/(RadSpec!F6*IFCI_far_adj*CF_citrus),".")</f>
        <v>.</v>
      </c>
      <c r="AL6" s="76" t="str">
        <f>IFERROR(TR/(RadSpec!F6*IFCO_far_adj*CF_corn),".")</f>
        <v>.</v>
      </c>
      <c r="AM6" s="76" t="str">
        <f>IFERROR(TR/(RadSpec!F6*IFCU_far_adj*CF_cucumber),".")</f>
        <v>.</v>
      </c>
      <c r="AN6" s="76" t="str">
        <f>IFERROR(TR/(RadSpec!F6*IFLE_far_adj*CF_lettuce),".")</f>
        <v>.</v>
      </c>
      <c r="AO6" s="76" t="str">
        <f>IFERROR(TR/(RadSpec!F6*IFLI_far_adj*CF_lima_bean),".")</f>
        <v>.</v>
      </c>
      <c r="AP6" s="76" t="str">
        <f>IFERROR(TR/(RadSpec!F6*IFOK_far_adj*CF_okra),".")</f>
        <v>.</v>
      </c>
      <c r="AQ6" s="76" t="str">
        <f>IFERROR(TR/(RadSpec!F6*IFON_far_adj*CF_onion),".")</f>
        <v>.</v>
      </c>
      <c r="AR6" s="76" t="str">
        <f>IFERROR(TR/(RadSpec!F6*IFPC_far_adj*CF_peach),".")</f>
        <v>.</v>
      </c>
      <c r="AS6" s="76" t="str">
        <f>IFERROR(TR/(RadSpec!F6*IFPR_far_adj*CF_pear),".")</f>
        <v>.</v>
      </c>
      <c r="AT6" s="76" t="str">
        <f>IFERROR(TR/(RadSpec!F6*IFPE_far_adj*CF_peas),".")</f>
        <v>.</v>
      </c>
      <c r="AU6" s="76" t="str">
        <f>IFERROR(TR/(RadSpec!F6*IFPP_far_adj*CF_peppers),".")</f>
        <v>.</v>
      </c>
      <c r="AV6" s="76" t="str">
        <f>IFERROR(TR/(RadSpec!F6*IFPT_far_adj*CF_potato),".")</f>
        <v>.</v>
      </c>
      <c r="AW6" s="76" t="str">
        <f>IFERROR(TR/(RadSpec!F6*IFPU_far_adj*CF_pumpkin),".")</f>
        <v>.</v>
      </c>
      <c r="AX6" s="76" t="str">
        <f>IFERROR(TR/(RadSpec!F6*IFSN_far_adj*CF_snap_bean),".")</f>
        <v>.</v>
      </c>
      <c r="AY6" s="76" t="str">
        <f>IFERROR(TR/(RadSpec!F6*IFST_far_adj*CF_strawberry),".")</f>
        <v>.</v>
      </c>
      <c r="AZ6" s="76" t="str">
        <f>IFERROR(TR/(RadSpec!F6*IFTO_far_adj*CF_tomato),".")</f>
        <v>.</v>
      </c>
      <c r="BA6" s="76" t="str">
        <f>IFERROR(TR/(RadSpec!F6*IFRI_far_adj*CF_rice),".")</f>
        <v>.</v>
      </c>
      <c r="BB6" s="76" t="str">
        <f>IFERROR(TR/(RadSpec!F6*IFCG_far_adj*CF_cereal),".")</f>
        <v>.</v>
      </c>
    </row>
    <row r="7" spans="1:54" x14ac:dyDescent="0.25">
      <c r="A7" s="92" t="s">
        <v>17</v>
      </c>
      <c r="B7" s="90" t="s">
        <v>1071</v>
      </c>
      <c r="C7" s="2">
        <f t="shared" si="1"/>
        <v>6.3387853635308005E-3</v>
      </c>
      <c r="D7" s="76">
        <f>IFERROR(TR/(RadSpec!F7*IFAP_res_adj*CF_apple),".")</f>
        <v>0.11485613579854419</v>
      </c>
      <c r="E7" s="76">
        <f>IFERROR(TR/(RadSpec!F7*IFAS_res_adj*CF_asparagus),".")</f>
        <v>0.25117382571012065</v>
      </c>
      <c r="F7" s="76">
        <f>IFERROR(TR/(RadSpec!F7*IFBT_res_adj*CF_beet),".")</f>
        <v>0.30300444665085552</v>
      </c>
      <c r="G7" s="76">
        <f>IFERROR(TR/(RadSpec!F7*IFBE_res_adj*CF_berries),".")</f>
        <v>0.25833162903346601</v>
      </c>
      <c r="H7" s="76">
        <f>IFERROR(TR/(RadSpec!F7*IFBR_res_adj*CF_broccoli),".")</f>
        <v>0.31830414883229741</v>
      </c>
      <c r="I7" s="76">
        <f>IFERROR(TR/(RadSpec!F7*IFCB_res_adj*CF_cabbage),".")</f>
        <v>0.12374504703024558</v>
      </c>
      <c r="J7" s="76">
        <f>IFERROR(TR/(RadSpec!F7*IFCR_res_adj*CF_carrot),".")</f>
        <v>0.34876823430082571</v>
      </c>
      <c r="K7" s="76">
        <f>IFERROR(TR/(RadSpec!F7*IFCI_res_adj*CF_citrus),".")</f>
        <v>2.978213676014382E-2</v>
      </c>
      <c r="L7" s="76">
        <f>IFERROR(TR/(RadSpec!F7*IFCO_res_adj*CF_corn),".")</f>
        <v>0.16332282562181311</v>
      </c>
      <c r="M7" s="76">
        <f>IFERROR(TR/(RadSpec!F7*IFCU_res_adj*CF_cucumber),".")</f>
        <v>0.12235093105143299</v>
      </c>
      <c r="N7" s="76">
        <f>IFERROR(TR/(RadSpec!F7*IFLE_res_adj*CF_lettuce),".")</f>
        <v>0.29079429927786238</v>
      </c>
      <c r="O7" s="76">
        <f>IFERROR(TR/(RadSpec!F7*IFLI_res_adj*CF_lima_bean),".")</f>
        <v>0.27083360416693747</v>
      </c>
      <c r="P7" s="76">
        <f>IFERROR(TR/(RadSpec!F7*IFOK_res_adj*CF_okra),".")</f>
        <v>0.33018545962555595</v>
      </c>
      <c r="Q7" s="76">
        <f>IFERROR(TR/(RadSpec!F7*IFON_res_adj*CF_onion),".")</f>
        <v>0.47136918645298531</v>
      </c>
      <c r="R7" s="76">
        <f>IFERROR(TR/(RadSpec!F7*IFPC_res_adj*CF_peach),".")</f>
        <v>7.3734612589143378E-2</v>
      </c>
      <c r="S7" s="76">
        <f>IFERROR(TR/(RadSpec!F7*IFPR_res_adj*CF_pear),".")</f>
        <v>0.15042184543007361</v>
      </c>
      <c r="T7" s="76">
        <f>IFERROR(TR/(RadSpec!F7*IFPE_res_adj*CF_peas),".")</f>
        <v>0.26253616488178477</v>
      </c>
      <c r="U7" s="76">
        <f>IFERROR(TR/(RadSpec!F7*IFPP_res_adj*CF_peppers),".")</f>
        <v>0.52557551359659649</v>
      </c>
      <c r="V7" s="76">
        <f>IFERROR(TR/(RadSpec!F7*IFPT_res_adj*CF_potato),".")</f>
        <v>7.7250235712099213E-2</v>
      </c>
      <c r="W7" s="76">
        <f>IFERROR(TR/(RadSpec!F7*IFPU_res_adj*CF_pumpkin),".")</f>
        <v>0.15701060648097578</v>
      </c>
      <c r="X7" s="76">
        <f>IFERROR(TR/(RadSpec!F7*IFSN_res_adj*CF_snap_bean),".")</f>
        <v>0.17609184409633918</v>
      </c>
      <c r="Y7" s="76">
        <f>IFERROR(TR/(RadSpec!F7*IFST_res_adj*CF_strawberry),".")</f>
        <v>0.2245396308855879</v>
      </c>
      <c r="Z7" s="76">
        <f>IFERROR(TR/(RadSpec!F7*IFTO_res_adj*CF_tomato),".")</f>
        <v>0.12066843750012067</v>
      </c>
      <c r="AA7" s="76">
        <f>IFERROR(TR/(RadSpec!F7*IFRI_res_adj*CF_rice),".")</f>
        <v>0.11644119924374702</v>
      </c>
      <c r="AB7" s="76">
        <f>IFERROR(TR/(RadSpec!F7*IFCG_res_adj*CF_cereal),".")</f>
        <v>0.13353738700707291</v>
      </c>
      <c r="AC7" s="76">
        <f t="shared" si="0"/>
        <v>3.8754490547927328E-3</v>
      </c>
      <c r="AD7" s="76">
        <f>IFERROR(TR/(RadSpec!F7*IFAP_far_adj*CF_apple),".")</f>
        <v>6.4915434507669817E-2</v>
      </c>
      <c r="AE7" s="76">
        <f>IFERROR(TR/(RadSpec!F7*IFAS_far_adj*CF_asparagus),".")</f>
        <v>0.15289602688543308</v>
      </c>
      <c r="AF7" s="76">
        <f>IFERROR(TR/(RadSpec!F7*IFBT_far_adj*CF_beet),".")</f>
        <v>0.18196351972065311</v>
      </c>
      <c r="AG7" s="76">
        <f>IFERROR(TR/(RadSpec!F7*IFBE_far_adj*CF_berries),".")</f>
        <v>0.16346886689658668</v>
      </c>
      <c r="AH7" s="76">
        <f>IFERROR(TR/(RadSpec!F7*IFBR_far_adj*CF_broccoli),".")</f>
        <v>0.1757532601948561</v>
      </c>
      <c r="AI7" s="76">
        <f>IFERROR(TR/(RadSpec!F7*IFCB_far_adj*CF_cabbage),".")</f>
        <v>7.9225431338107388E-2</v>
      </c>
      <c r="AJ7" s="76">
        <f>IFERROR(TR/(RadSpec!F7*IFCR_far_adj*CF_carrot),".")</f>
        <v>0.24154945978332898</v>
      </c>
      <c r="AK7" s="76">
        <f>IFERROR(TR/(RadSpec!F7*IFCI_far_adj*CF_citrus),".")</f>
        <v>1.8819183269728007E-2</v>
      </c>
      <c r="AL7" s="76">
        <f>IFERROR(TR/(RadSpec!F7*IFCO_far_adj*CF_corn),".")</f>
        <v>7.3591150411009526E-2</v>
      </c>
      <c r="AM7" s="76">
        <f>IFERROR(TR/(RadSpec!F7*IFCU_far_adj*CF_cucumber),".")</f>
        <v>0.11167543238404569</v>
      </c>
      <c r="AN7" s="76">
        <f>IFERROR(TR/(RadSpec!F7*IFLE_far_adj*CF_lettuce),".")</f>
        <v>0.17298156392936395</v>
      </c>
      <c r="AO7" s="76">
        <f>IFERROR(TR/(RadSpec!F7*IFLI_far_adj*CF_lima_bean),".")</f>
        <v>0.17077317404267428</v>
      </c>
      <c r="AP7" s="76">
        <f>IFERROR(TR/(RadSpec!F7*IFOK_far_adj*CF_okra),".")</f>
        <v>0.20126166915157739</v>
      </c>
      <c r="AQ7" s="76">
        <f>IFERROR(TR/(RadSpec!F7*IFON_far_adj*CF_onion),".")</f>
        <v>0.22541637831403555</v>
      </c>
      <c r="AR7" s="76">
        <f>IFERROR(TR/(RadSpec!F7*IFPC_far_adj*CF_peach),".")</f>
        <v>5.3576715521716257E-2</v>
      </c>
      <c r="AS7" s="76">
        <f>IFERROR(TR/(RadSpec!F7*IFPR_far_adj*CF_pear),".")</f>
        <v>8.737263795412592E-2</v>
      </c>
      <c r="AT7" s="76">
        <f>IFERROR(TR/(RadSpec!F7*IFPE_far_adj*CF_peas),".")</f>
        <v>0.18330148677742258</v>
      </c>
      <c r="AU7" s="76">
        <f>IFERROR(TR/(RadSpec!F7*IFPP_far_adj*CF_peppers),".")</f>
        <v>0.25598041934097943</v>
      </c>
      <c r="AV7" s="76">
        <f>IFERROR(TR/(RadSpec!F7*IFPT_far_adj*CF_potato),".")</f>
        <v>4.2716570483530523E-2</v>
      </c>
      <c r="AW7" s="76">
        <f>IFERROR(TR/(RadSpec!F7*IFPU_far_adj*CF_pumpkin),".")</f>
        <v>9.5956267769757395E-2</v>
      </c>
      <c r="AX7" s="76">
        <f>IFERROR(TR/(RadSpec!F7*IFSN_far_adj*CF_snap_bean),".")</f>
        <v>0.10832274312424421</v>
      </c>
      <c r="AY7" s="76">
        <f>IFERROR(TR/(RadSpec!F7*IFST_far_adj*CF_strawberry),".")</f>
        <v>0.14195368149037102</v>
      </c>
      <c r="AZ7" s="76">
        <f>IFERROR(TR/(RadSpec!F7*IFTO_far_adj*CF_tomato),".")</f>
        <v>6.3601768344897183E-2</v>
      </c>
      <c r="BA7" s="76">
        <f>IFERROR(TR/(RadSpec!F7*IFRI_far_adj*CF_rice),".")</f>
        <v>6.8175529670961341E-2</v>
      </c>
      <c r="BB7" s="76">
        <f>IFERROR(TR/(RadSpec!F7*IFCG_far_adj*CF_cereal),".")</f>
        <v>6.9164266150204726E-2</v>
      </c>
    </row>
    <row r="8" spans="1:54" x14ac:dyDescent="0.25">
      <c r="A8" s="92" t="s">
        <v>18</v>
      </c>
      <c r="B8" s="90" t="s">
        <v>1071</v>
      </c>
      <c r="C8" s="2">
        <f t="shared" si="1"/>
        <v>0.11501301278158976</v>
      </c>
      <c r="D8" s="76">
        <f>IFERROR(TR/(RadSpec!F8*IFAP_res_adj*CF_apple),".")</f>
        <v>2.0839876186127602</v>
      </c>
      <c r="E8" s="76">
        <f>IFERROR(TR/(RadSpec!F8*IFAS_res_adj*CF_asparagus),".")</f>
        <v>4.5573807551527041</v>
      </c>
      <c r="F8" s="76">
        <f>IFERROR(TR/(RadSpec!F8*IFBT_res_adj*CF_beet),".")</f>
        <v>5.4978126402629446</v>
      </c>
      <c r="G8" s="76">
        <f>IFERROR(TR/(RadSpec!F8*IFBE_res_adj*CF_berries),".")</f>
        <v>4.6872542999886626</v>
      </c>
      <c r="H8" s="76">
        <f>IFERROR(TR/(RadSpec!F8*IFBR_res_adj*CF_broccoli),".")</f>
        <v>5.7754154839674579</v>
      </c>
      <c r="I8" s="76">
        <f>IFERROR(TR/(RadSpec!F8*IFCB_res_adj*CF_cabbage),".")</f>
        <v>2.2452709564250743</v>
      </c>
      <c r="J8" s="76">
        <f>IFERROR(TR/(RadSpec!F8*IFCR_res_adj*CF_carrot),".")</f>
        <v>6.3281659007160123</v>
      </c>
      <c r="K8" s="76">
        <f>IFERROR(TR/(RadSpec!F8*IFCI_res_adj*CF_citrus),".")</f>
        <v>0.54037691441085689</v>
      </c>
      <c r="L8" s="76">
        <f>IFERROR(TR/(RadSpec!F8*IFCO_res_adj*CF_corn),".")</f>
        <v>2.9633832277772272</v>
      </c>
      <c r="M8" s="76">
        <f>IFERROR(TR/(RadSpec!F8*IFCU_res_adj*CF_cucumber),".")</f>
        <v>2.2199756561909489</v>
      </c>
      <c r="N8" s="76">
        <f>IFERROR(TR/(RadSpec!F8*IFLE_res_adj*CF_lettuce),".")</f>
        <v>5.2762676982375023</v>
      </c>
      <c r="O8" s="76">
        <f>IFERROR(TR/(RadSpec!F8*IFLI_res_adj*CF_lima_bean),".")</f>
        <v>4.9140942611732985</v>
      </c>
      <c r="P8" s="76">
        <f>IFERROR(TR/(RadSpec!F8*IFOK_res_adj*CF_okra),".")</f>
        <v>5.9909939066080247</v>
      </c>
      <c r="Q8" s="76">
        <f>IFERROR(TR/(RadSpec!F8*IFON_res_adj*CF_onion),".")</f>
        <v>8.5526780222397321</v>
      </c>
      <c r="R8" s="76">
        <f>IFERROR(TR/(RadSpec!F8*IFPC_res_adj*CF_peach),".")</f>
        <v>1.3378651356380653</v>
      </c>
      <c r="S8" s="76">
        <f>IFERROR(TR/(RadSpec!F8*IFPR_res_adj*CF_pear),".")</f>
        <v>2.7293035871848406</v>
      </c>
      <c r="T8" s="76">
        <f>IFERROR(TR/(RadSpec!F8*IFPE_res_adj*CF_peas),".")</f>
        <v>4.7635427854839305</v>
      </c>
      <c r="U8" s="76">
        <f>IFERROR(TR/(RadSpec!F8*IFPP_res_adj*CF_peppers),".")</f>
        <v>9.5362155044330894</v>
      </c>
      <c r="V8" s="76">
        <f>IFERROR(TR/(RadSpec!F8*IFPT_res_adj*CF_potato),".")</f>
        <v>1.4016537613741715</v>
      </c>
      <c r="W8" s="76">
        <f>IFERROR(TR/(RadSpec!F8*IFPU_res_adj*CF_pumpkin),".")</f>
        <v>2.8488522413043027</v>
      </c>
      <c r="X8" s="76">
        <f>IFERROR(TR/(RadSpec!F8*IFSN_res_adj*CF_snap_bean),".")</f>
        <v>3.1950685114387314</v>
      </c>
      <c r="Y8" s="76">
        <f>IFERROR(TR/(RadSpec!F8*IFST_res_adj*CF_strawberry),".")</f>
        <v>4.0741211377178832</v>
      </c>
      <c r="Z8" s="76">
        <f>IFERROR(TR/(RadSpec!F8*IFTO_res_adj*CF_tomato),".")</f>
        <v>2.1894479381465191</v>
      </c>
      <c r="AA8" s="76">
        <f>IFERROR(TR/(RadSpec!F8*IFRI_res_adj*CF_rice),".")</f>
        <v>2.1127475326700487</v>
      </c>
      <c r="AB8" s="76">
        <f>IFERROR(TR/(RadSpec!F8*IFCG_res_adj*CF_cereal),".")</f>
        <v>2.4229464034273023</v>
      </c>
      <c r="AC8" s="76">
        <f t="shared" si="0"/>
        <v>7.03174261488166E-2</v>
      </c>
      <c r="AD8" s="76">
        <f>IFERROR(TR/(RadSpec!F8*IFAP_far_adj*CF_apple),".")</f>
        <v>1.1778470591082357</v>
      </c>
      <c r="AE8" s="76">
        <f>IFERROR(TR/(RadSpec!F8*IFAS_far_adj*CF_asparagus),".")</f>
        <v>2.7741959517356927</v>
      </c>
      <c r="AF8" s="76">
        <f>IFERROR(TR/(RadSpec!F8*IFBT_far_adj*CF_beet),".")</f>
        <v>3.3016061310139118</v>
      </c>
      <c r="AG8" s="76">
        <f>IFERROR(TR/(RadSpec!F8*IFBE_far_adj*CF_berries),".")</f>
        <v>2.9660330488452842</v>
      </c>
      <c r="AH8" s="76">
        <f>IFERROR(TR/(RadSpec!F8*IFBR_far_adj*CF_broccoli),".")</f>
        <v>3.1889251334324404</v>
      </c>
      <c r="AI8" s="76">
        <f>IFERROR(TR/(RadSpec!F8*IFCB_far_adj*CF_cabbage),".")</f>
        <v>1.4374923624233917</v>
      </c>
      <c r="AJ8" s="76">
        <f>IFERROR(TR/(RadSpec!F8*IFCR_far_adj*CF_carrot),".")</f>
        <v>4.382753084728443</v>
      </c>
      <c r="AK8" s="76">
        <f>IFERROR(TR/(RadSpec!F8*IFCI_far_adj*CF_citrus),".")</f>
        <v>0.34146146963630197</v>
      </c>
      <c r="AL8" s="76">
        <f>IFERROR(TR/(RadSpec!F8*IFCO_far_adj*CF_corn),".")</f>
        <v>1.335262110550276</v>
      </c>
      <c r="AM8" s="76">
        <f>IFERROR(TR/(RadSpec!F8*IFCU_far_adj*CF_cucumber),".")</f>
        <v>2.0262758865558803</v>
      </c>
      <c r="AN8" s="76">
        <f>IFERROR(TR/(RadSpec!F8*IFLE_far_adj*CF_lettuce),".")</f>
        <v>3.1386345620173244</v>
      </c>
      <c r="AO8" s="76">
        <f>IFERROR(TR/(RadSpec!F8*IFLI_far_adj*CF_lima_bean),".")</f>
        <v>3.0985648073722341</v>
      </c>
      <c r="AP8" s="76">
        <f>IFERROR(TR/(RadSpec!F8*IFOK_far_adj*CF_okra),".")</f>
        <v>3.6517581206884144</v>
      </c>
      <c r="AQ8" s="76">
        <f>IFERROR(TR/(RadSpec!F8*IFON_far_adj*CF_onion),".")</f>
        <v>4.0900291322959026</v>
      </c>
      <c r="AR8" s="76">
        <f>IFERROR(TR/(RadSpec!F8*IFPC_far_adj*CF_peach),".")</f>
        <v>0.97211360121876911</v>
      </c>
      <c r="AS8" s="76">
        <f>IFERROR(TR/(RadSpec!F8*IFPR_far_adj*CF_pear),".")</f>
        <v>1.5853179670026971</v>
      </c>
      <c r="AT8" s="76">
        <f>IFERROR(TR/(RadSpec!F8*IFPE_far_adj*CF_peas),".")</f>
        <v>3.3258826466831315</v>
      </c>
      <c r="AU8" s="76">
        <f>IFERROR(TR/(RadSpec!F8*IFPP_far_adj*CF_peppers),".")</f>
        <v>4.6445931756713792</v>
      </c>
      <c r="AV8" s="76">
        <f>IFERROR(TR/(RadSpec!F8*IFPT_far_adj*CF_potato),".")</f>
        <v>0.7750635469176671</v>
      </c>
      <c r="AW8" s="76">
        <f>IFERROR(TR/(RadSpec!F8*IFPU_far_adj*CF_pumpkin),".")</f>
        <v>1.7410621780904434</v>
      </c>
      <c r="AX8" s="76">
        <f>IFERROR(TR/(RadSpec!F8*IFSN_far_adj*CF_snap_bean),".")</f>
        <v>1.9654435865842246</v>
      </c>
      <c r="AY8" s="76">
        <f>IFERROR(TR/(RadSpec!F8*IFST_far_adj*CF_strawberry),".")</f>
        <v>2.5756544270417829</v>
      </c>
      <c r="AZ8" s="76">
        <f>IFERROR(TR/(RadSpec!F8*IFTO_far_adj*CF_tomato),".")</f>
        <v>1.1540114668764849</v>
      </c>
      <c r="BA8" s="76">
        <f>IFERROR(TR/(RadSpec!F8*IFRI_far_adj*CF_rice),".")</f>
        <v>1.2369993012463087</v>
      </c>
      <c r="BB8" s="76">
        <f>IFERROR(TR/(RadSpec!F8*IFCG_far_adj*CF_cereal),".")</f>
        <v>1.2549392621068074</v>
      </c>
    </row>
    <row r="9" spans="1:54" x14ac:dyDescent="0.25">
      <c r="A9" s="92" t="s">
        <v>19</v>
      </c>
      <c r="B9" s="90" t="s">
        <v>1071</v>
      </c>
      <c r="C9" s="2">
        <f t="shared" si="1"/>
        <v>0.31119281003665855</v>
      </c>
      <c r="D9" s="76">
        <f>IFERROR(TR/(RadSpec!F9*IFAP_res_adj*CF_apple),".")</f>
        <v>5.6386833753260177</v>
      </c>
      <c r="E9" s="76">
        <f>IFERROR(TR/(RadSpec!F9*IFAS_res_adj*CF_asparagus),".")</f>
        <v>12.330988375169101</v>
      </c>
      <c r="F9" s="76">
        <f>IFERROR(TR/(RadSpec!F9*IFBT_res_adj*CF_beet),".")</f>
        <v>14.875532108940183</v>
      </c>
      <c r="G9" s="76">
        <f>IFERROR(TR/(RadSpec!F9*IFBE_res_adj*CF_berries),".")</f>
        <v>12.682389598295682</v>
      </c>
      <c r="H9" s="76">
        <f>IFERROR(TR/(RadSpec!F9*IFBR_res_adj*CF_broccoli),".")</f>
        <v>15.626647195114181</v>
      </c>
      <c r="I9" s="76">
        <f>IFERROR(TR/(RadSpec!F9*IFCB_res_adj*CF_cabbage),".")</f>
        <v>6.075070649183604</v>
      </c>
      <c r="J9" s="76">
        <f>IFERROR(TR/(RadSpec!F9*IFCR_res_adj*CF_carrot),".")</f>
        <v>17.122234096776936</v>
      </c>
      <c r="K9" s="76">
        <f>IFERROR(TR/(RadSpec!F9*IFCI_res_adj*CF_citrus),".")</f>
        <v>1.4621076903166839</v>
      </c>
      <c r="L9" s="76">
        <f>IFERROR(TR/(RadSpec!F9*IFCO_res_adj*CF_corn),".")</f>
        <v>8.0180801421029582</v>
      </c>
      <c r="M9" s="76">
        <f>IFERROR(TR/(RadSpec!F9*IFCU_res_adj*CF_cucumber),".")</f>
        <v>6.0066286931805317</v>
      </c>
      <c r="N9" s="76">
        <f>IFERROR(TR/(RadSpec!F9*IFLE_res_adj*CF_lettuce),".")</f>
        <v>14.27609391154917</v>
      </c>
      <c r="O9" s="76">
        <f>IFERROR(TR/(RadSpec!F9*IFLI_res_adj*CF_lima_bean),".")</f>
        <v>13.296154625768757</v>
      </c>
      <c r="P9" s="76">
        <f>IFERROR(TR/(RadSpec!F9*IFOK_res_adj*CF_okra),".")</f>
        <v>16.209941671993821</v>
      </c>
      <c r="Q9" s="76">
        <f>IFERROR(TR/(RadSpec!F9*IFON_res_adj*CF_onion),".")</f>
        <v>23.141137187092166</v>
      </c>
      <c r="R9" s="76">
        <f>IFERROR(TR/(RadSpec!F9*IFPC_res_adj*CF_peach),".")</f>
        <v>3.6198861410569685</v>
      </c>
      <c r="S9" s="76">
        <f>IFERROR(TR/(RadSpec!F9*IFPR_res_adj*CF_pear),".")</f>
        <v>7.3847265817832506</v>
      </c>
      <c r="T9" s="76">
        <f>IFERROR(TR/(RadSpec!F9*IFPE_res_adj*CF_peas),".")</f>
        <v>12.888804747334483</v>
      </c>
      <c r="U9" s="76">
        <f>IFERROR(TR/(RadSpec!F9*IFPP_res_adj*CF_peppers),".")</f>
        <v>25.802312522454944</v>
      </c>
      <c r="V9" s="76">
        <f>IFERROR(TR/(RadSpec!F9*IFPT_res_adj*CF_potato),".")</f>
        <v>3.792480191165819</v>
      </c>
      <c r="W9" s="76">
        <f>IFERROR(TR/(RadSpec!F9*IFPU_res_adj*CF_pumpkin),".")</f>
        <v>7.7081915594565507</v>
      </c>
      <c r="X9" s="76">
        <f>IFERROR(TR/(RadSpec!F9*IFSN_res_adj*CF_snap_bean),".")</f>
        <v>8.6449552471285056</v>
      </c>
      <c r="Y9" s="76">
        <f>IFERROR(TR/(RadSpec!F9*IFST_res_adj*CF_strawberry),".")</f>
        <v>11.023423998846154</v>
      </c>
      <c r="Z9" s="76">
        <f>IFERROR(TR/(RadSpec!F9*IFTO_res_adj*CF_tomato),".")</f>
        <v>5.9240292887088515</v>
      </c>
      <c r="AA9" s="76">
        <f>IFERROR(TR/(RadSpec!F9*IFRI_res_adj*CF_rice),".")</f>
        <v>5.7164996002508985</v>
      </c>
      <c r="AB9" s="76">
        <f>IFERROR(TR/(RadSpec!F9*IFCG_res_adj*CF_cereal),".")</f>
        <v>6.555810352369547</v>
      </c>
      <c r="AC9" s="76">
        <f t="shared" si="0"/>
        <v>0.19025914467043817</v>
      </c>
      <c r="AD9" s="76">
        <f>IFERROR(TR/(RadSpec!F9*IFAP_far_adj*CF_apple),".")</f>
        <v>3.1869223077684476</v>
      </c>
      <c r="AE9" s="76">
        <f>IFERROR(TR/(RadSpec!F9*IFAS_far_adj*CF_asparagus),".")</f>
        <v>7.5061926727576624</v>
      </c>
      <c r="AF9" s="76">
        <f>IFERROR(TR/(RadSpec!F9*IFBT_far_adj*CF_beet),".")</f>
        <v>8.9332160309163022</v>
      </c>
      <c r="AG9" s="76">
        <f>IFERROR(TR/(RadSpec!F9*IFBE_far_adj*CF_berries),".")</f>
        <v>8.0252498113805455</v>
      </c>
      <c r="AH9" s="76">
        <f>IFERROR(TR/(RadSpec!F9*IFBR_far_adj*CF_broccoli),".")</f>
        <v>8.6283329970138549</v>
      </c>
      <c r="AI9" s="76">
        <f>IFERROR(TR/(RadSpec!F9*IFCB_far_adj*CF_cabbage),".")</f>
        <v>3.8894493488164295</v>
      </c>
      <c r="AJ9" s="76">
        <f>IFERROR(TR/(RadSpec!F9*IFCR_far_adj*CF_carrot),".")</f>
        <v>11.858495096754783</v>
      </c>
      <c r="AK9" s="76">
        <f>IFERROR(TR/(RadSpec!F9*IFCI_far_adj*CF_citrus),".")</f>
        <v>0.92389853709124936</v>
      </c>
      <c r="AL9" s="76">
        <f>IFERROR(TR/(RadSpec!F9*IFCO_far_adj*CF_corn),".")</f>
        <v>3.6128430885181801</v>
      </c>
      <c r="AM9" s="76">
        <f>IFERROR(TR/(RadSpec!F9*IFCU_far_adj*CF_cucumber),".")</f>
        <v>5.4825316874733723</v>
      </c>
      <c r="AN9" s="76">
        <f>IFERROR(TR/(RadSpec!F9*IFLE_far_adj*CF_lettuce),".")</f>
        <v>8.4922608790984793</v>
      </c>
      <c r="AO9" s="76">
        <f>IFERROR(TR/(RadSpec!F9*IFLI_far_adj*CF_lima_bean),".")</f>
        <v>8.3838434118579261</v>
      </c>
      <c r="AP9" s="76">
        <f>IFERROR(TR/(RadSpec!F9*IFOK_far_adj*CF_okra),".")</f>
        <v>9.8806286668556815</v>
      </c>
      <c r="AQ9" s="76">
        <f>IFERROR(TR/(RadSpec!F9*IFON_far_adj*CF_onion),".")</f>
        <v>11.066466550424058</v>
      </c>
      <c r="AR9" s="76">
        <f>IFERROR(TR/(RadSpec!F9*IFPC_far_adj*CF_peach),".")</f>
        <v>2.6302655318889983</v>
      </c>
      <c r="AS9" s="76">
        <f>IFERROR(TR/(RadSpec!F9*IFPR_far_adj*CF_pear),".")</f>
        <v>4.2894237879849824</v>
      </c>
      <c r="AT9" s="76">
        <f>IFERROR(TR/(RadSpec!F9*IFPE_far_adj*CF_peas),".")</f>
        <v>8.9989014429083323</v>
      </c>
      <c r="AU9" s="76">
        <f>IFERROR(TR/(RadSpec!F9*IFPP_far_adj*CF_peppers),".")</f>
        <v>12.566960614787273</v>
      </c>
      <c r="AV9" s="76">
        <f>IFERROR(TR/(RadSpec!F9*IFPT_far_adj*CF_potato),".")</f>
        <v>2.0971035997493361</v>
      </c>
      <c r="AW9" s="76">
        <f>IFERROR(TR/(RadSpec!F9*IFPU_far_adj*CF_pumpkin),".")</f>
        <v>4.7108237454608926</v>
      </c>
      <c r="AX9" s="76">
        <f>IFERROR(TR/(RadSpec!F9*IFSN_far_adj*CF_snap_bean),".")</f>
        <v>5.3179366219991575</v>
      </c>
      <c r="AY9" s="76">
        <f>IFERROR(TR/(RadSpec!F9*IFST_far_adj*CF_strawberry),".")</f>
        <v>6.9689952419261632</v>
      </c>
      <c r="AZ9" s="76">
        <f>IFERROR(TR/(RadSpec!F9*IFTO_far_adj*CF_tomato),".")</f>
        <v>3.1224299103770998</v>
      </c>
      <c r="BA9" s="76">
        <f>IFERROR(TR/(RadSpec!F9*IFRI_far_adj*CF_rice),".")</f>
        <v>3.3469716100667202</v>
      </c>
      <c r="BB9" s="76">
        <f>IFERROR(TR/(RadSpec!F9*IFCG_far_adj*CF_cereal),".")</f>
        <v>3.3955120899403157</v>
      </c>
    </row>
    <row r="10" spans="1:54" x14ac:dyDescent="0.25">
      <c r="A10" s="94" t="s">
        <v>20</v>
      </c>
      <c r="B10" s="90" t="s">
        <v>349</v>
      </c>
      <c r="C10" s="2">
        <f t="shared" si="1"/>
        <v>2.2091608395671705E-3</v>
      </c>
      <c r="D10" s="76">
        <f>IFERROR(TR/(RadSpec!F10*IFAP_res_adj*CF_apple),".")</f>
        <v>4.0029069109987665E-2</v>
      </c>
      <c r="E10" s="76">
        <f>IFERROR(TR/(RadSpec!F10*IFAS_res_adj*CF_asparagus),".")</f>
        <v>8.7537808564319267E-2</v>
      </c>
      <c r="F10" s="76">
        <f>IFERROR(TR/(RadSpec!F10*IFBT_res_adj*CF_beet),".")</f>
        <v>0.1056015497238625</v>
      </c>
      <c r="G10" s="76">
        <f>IFERROR(TR/(RadSpec!F10*IFBE_res_adj*CF_berries),".")</f>
        <v>9.0032409326514892E-2</v>
      </c>
      <c r="H10" s="76">
        <f>IFERROR(TR/(RadSpec!F10*IFBR_res_adj*CF_broccoli),".")</f>
        <v>0.11093372315739472</v>
      </c>
      <c r="I10" s="76">
        <f>IFERROR(TR/(RadSpec!F10*IFCB_res_adj*CF_cabbage),".")</f>
        <v>4.3126986687768751E-2</v>
      </c>
      <c r="J10" s="76">
        <f>IFERROR(TR/(RadSpec!F10*IFCR_res_adj*CF_carrot),".")</f>
        <v>0.12155090938008974</v>
      </c>
      <c r="K10" s="76">
        <f>IFERROR(TR/(RadSpec!F10*IFCI_res_adj*CF_citrus),".")</f>
        <v>1.0379516969871903E-2</v>
      </c>
      <c r="L10" s="76">
        <f>IFERROR(TR/(RadSpec!F10*IFCO_res_adj*CF_corn),".")</f>
        <v>5.6920430315720999E-2</v>
      </c>
      <c r="M10" s="76">
        <f>IFERROR(TR/(RadSpec!F10*IFCU_res_adj*CF_cucumber),".")</f>
        <v>4.2641116564459812E-2</v>
      </c>
      <c r="N10" s="76">
        <f>IFERROR(TR/(RadSpec!F10*IFLE_res_adj*CF_lettuce),".")</f>
        <v>0.10134613202555202</v>
      </c>
      <c r="O10" s="76">
        <f>IFERROR(TR/(RadSpec!F10*IFLI_res_adj*CF_lima_bean),".")</f>
        <v>9.4389533333427714E-2</v>
      </c>
      <c r="P10" s="76">
        <f>IFERROR(TR/(RadSpec!F10*IFOK_res_adj*CF_okra),".")</f>
        <v>0.11507453642395611</v>
      </c>
      <c r="Q10" s="76">
        <f>IFERROR(TR/(RadSpec!F10*IFON_res_adj*CF_onion),".")</f>
        <v>0.16427916201133744</v>
      </c>
      <c r="R10" s="76">
        <f>IFERROR(TR/(RadSpec!F10*IFPC_res_adj*CF_peach),".")</f>
        <v>2.5697607555820262E-2</v>
      </c>
      <c r="S10" s="76">
        <f>IFERROR(TR/(RadSpec!F10*IFPR_res_adj*CF_pear),".")</f>
        <v>5.2424247120184071E-2</v>
      </c>
      <c r="T10" s="76">
        <f>IFERROR(TR/(RadSpec!F10*IFPE_res_adj*CF_peas),".")</f>
        <v>9.1497752513255676E-2</v>
      </c>
      <c r="U10" s="76">
        <f>IFERROR(TR/(RadSpec!F10*IFPP_res_adj*CF_peppers),".")</f>
        <v>0.18317087206534846</v>
      </c>
      <c r="V10" s="76">
        <f>IFERROR(TR/(RadSpec!F10*IFPT_res_adj*CF_potato),".")</f>
        <v>2.6922854426394974E-2</v>
      </c>
      <c r="W10" s="76">
        <f>IFERROR(TR/(RadSpec!F10*IFPU_res_adj*CF_pumpkin),".")</f>
        <v>5.4720528199310371E-2</v>
      </c>
      <c r="X10" s="76">
        <f>IFERROR(TR/(RadSpec!F10*IFSN_res_adj*CF_snap_bean),".")</f>
        <v>6.1370622892981577E-2</v>
      </c>
      <c r="Y10" s="76">
        <f>IFERROR(TR/(RadSpec!F10*IFST_res_adj*CF_strawberry),".")</f>
        <v>7.8255396110620726E-2</v>
      </c>
      <c r="Z10" s="76">
        <f>IFERROR(TR/(RadSpec!F10*IFTO_res_adj*CF_tomato),".")</f>
        <v>4.2054742574299475E-2</v>
      </c>
      <c r="AA10" s="76">
        <f>IFERROR(TR/(RadSpec!F10*IFRI_res_adj*CF_rice),".")</f>
        <v>4.0581487261187071E-2</v>
      </c>
      <c r="AB10" s="76">
        <f>IFERROR(TR/(RadSpec!F10*IFCG_res_adj*CF_cereal),".")</f>
        <v>4.6539762600484813E-2</v>
      </c>
      <c r="AC10" s="76">
        <f t="shared" si="0"/>
        <v>1.3506515517693483E-3</v>
      </c>
      <c r="AD10" s="76">
        <f>IFERROR(TR/(RadSpec!F10*IFAP_far_adj*CF_apple),".")</f>
        <v>2.2623993016534429E-2</v>
      </c>
      <c r="AE10" s="76">
        <f>IFERROR(TR/(RadSpec!F10*IFAS_far_adj*CF_asparagus),".")</f>
        <v>5.3286536102645977E-2</v>
      </c>
      <c r="AF10" s="76">
        <f>IFERROR(TR/(RadSpec!F10*IFBT_far_adj*CF_beet),".")</f>
        <v>6.3416989051158307E-2</v>
      </c>
      <c r="AG10" s="76">
        <f>IFERROR(TR/(RadSpec!F10*IFBE_far_adj*CF_berries),".")</f>
        <v>5.6971327868909419E-2</v>
      </c>
      <c r="AH10" s="76">
        <f>IFERROR(TR/(RadSpec!F10*IFBR_far_adj*CF_broccoli),".")</f>
        <v>6.1252621374840929E-2</v>
      </c>
      <c r="AI10" s="76">
        <f>IFERROR(TR/(RadSpec!F10*IFCB_far_adj*CF_cabbage),".")</f>
        <v>2.7611239436647325E-2</v>
      </c>
      <c r="AJ10" s="76">
        <f>IFERROR(TR/(RadSpec!F10*IFCR_far_adj*CF_carrot),".")</f>
        <v>8.4183574102704745E-2</v>
      </c>
      <c r="AK10" s="76">
        <f>IFERROR(TR/(RadSpec!F10*IFCI_far_adj*CF_citrus),".")</f>
        <v>6.5587648623210469E-3</v>
      </c>
      <c r="AL10" s="76">
        <f>IFERROR(TR/(RadSpec!F10*IFCO_far_adj*CF_corn),".")</f>
        <v>2.564760885611421E-2</v>
      </c>
      <c r="AM10" s="76">
        <f>IFERROR(TR/(RadSpec!F10*IFCU_far_adj*CF_cucumber),".")</f>
        <v>3.892054673186543E-2</v>
      </c>
      <c r="AN10" s="76">
        <f>IFERROR(TR/(RadSpec!F10*IFLE_far_adj*CF_lettuce),".")</f>
        <v>6.0286644062510997E-2</v>
      </c>
      <c r="AO10" s="76">
        <f>IFERROR(TR/(RadSpec!F10*IFLI_far_adj*CF_lima_bean),".")</f>
        <v>5.9516987389130034E-2</v>
      </c>
      <c r="AP10" s="76">
        <f>IFERROR(TR/(RadSpec!F10*IFOK_far_adj*CF_okra),".")</f>
        <v>7.0142680734015098E-2</v>
      </c>
      <c r="AQ10" s="76">
        <f>IFERROR(TR/(RadSpec!F10*IFON_far_adj*CF_onion),".")</f>
        <v>7.8560955610436134E-2</v>
      </c>
      <c r="AR10" s="76">
        <f>IFERROR(TR/(RadSpec!F10*IFPC_far_adj*CF_peach),".")</f>
        <v>1.8672281053112989E-2</v>
      </c>
      <c r="AS10" s="76">
        <f>IFERROR(TR/(RadSpec!F10*IFPR_far_adj*CF_pear),".")</f>
        <v>3.0450661940447845E-2</v>
      </c>
      <c r="AT10" s="76">
        <f>IFERROR(TR/(RadSpec!F10*IFPE_far_adj*CF_peas),".")</f>
        <v>6.3883290441240345E-2</v>
      </c>
      <c r="AU10" s="76">
        <f>IFERROR(TR/(RadSpec!F10*IFPP_far_adj*CF_peppers),".")</f>
        <v>8.921297782972748E-2</v>
      </c>
      <c r="AV10" s="76">
        <f>IFERROR(TR/(RadSpec!F10*IFPT_far_adj*CF_potato),".")</f>
        <v>1.4887359218022516E-2</v>
      </c>
      <c r="AW10" s="76">
        <f>IFERROR(TR/(RadSpec!F10*IFPU_far_adj*CF_pumpkin),".")</f>
        <v>3.3442184410846142E-2</v>
      </c>
      <c r="AX10" s="76">
        <f>IFERROR(TR/(RadSpec!F10*IFSN_far_adj*CF_snap_bean),".")</f>
        <v>3.775208473240986E-2</v>
      </c>
      <c r="AY10" s="76">
        <f>IFERROR(TR/(RadSpec!F10*IFST_far_adj*CF_strawberry),".")</f>
        <v>4.9472966222386727E-2</v>
      </c>
      <c r="AZ10" s="76">
        <f>IFERROR(TR/(RadSpec!F10*IFTO_far_adj*CF_tomato),".")</f>
        <v>2.2166160848914658E-2</v>
      </c>
      <c r="BA10" s="76">
        <f>IFERROR(TR/(RadSpec!F10*IFRI_far_adj*CF_rice),".")</f>
        <v>2.376018459819642E-2</v>
      </c>
      <c r="BB10" s="76">
        <f>IFERROR(TR/(RadSpec!F10*IFCG_far_adj*CF_cereal),".")</f>
        <v>2.4104773945417882E-2</v>
      </c>
    </row>
    <row r="11" spans="1:54" x14ac:dyDescent="0.25">
      <c r="A11" s="92" t="s">
        <v>21</v>
      </c>
      <c r="B11" s="90" t="s">
        <v>1071</v>
      </c>
      <c r="C11" s="2" t="str">
        <f t="shared" si="1"/>
        <v>.</v>
      </c>
      <c r="D11" s="76" t="str">
        <f>IFERROR(TR/(RadSpec!F11*IFAP_res_adj*CF_apple),".")</f>
        <v>.</v>
      </c>
      <c r="E11" s="76" t="str">
        <f>IFERROR(TR/(RadSpec!F11*IFAS_res_adj*CF_asparagus),".")</f>
        <v>.</v>
      </c>
      <c r="F11" s="76" t="str">
        <f>IFERROR(TR/(RadSpec!F11*IFBT_res_adj*CF_beet),".")</f>
        <v>.</v>
      </c>
      <c r="G11" s="76" t="str">
        <f>IFERROR(TR/(RadSpec!F11*IFBE_res_adj*CF_berries),".")</f>
        <v>.</v>
      </c>
      <c r="H11" s="76" t="str">
        <f>IFERROR(TR/(RadSpec!F11*IFBR_res_adj*CF_broccoli),".")</f>
        <v>.</v>
      </c>
      <c r="I11" s="76" t="str">
        <f>IFERROR(TR/(RadSpec!F11*IFCB_res_adj*CF_cabbage),".")</f>
        <v>.</v>
      </c>
      <c r="J11" s="76" t="str">
        <f>IFERROR(TR/(RadSpec!F11*IFCR_res_adj*CF_carrot),".")</f>
        <v>.</v>
      </c>
      <c r="K11" s="76" t="str">
        <f>IFERROR(TR/(RadSpec!F11*IFCI_res_adj*CF_citrus),".")</f>
        <v>.</v>
      </c>
      <c r="L11" s="76" t="str">
        <f>IFERROR(TR/(RadSpec!F11*IFCO_res_adj*CF_corn),".")</f>
        <v>.</v>
      </c>
      <c r="M11" s="76" t="str">
        <f>IFERROR(TR/(RadSpec!F11*IFCU_res_adj*CF_cucumber),".")</f>
        <v>.</v>
      </c>
      <c r="N11" s="76" t="str">
        <f>IFERROR(TR/(RadSpec!F11*IFLE_res_adj*CF_lettuce),".")</f>
        <v>.</v>
      </c>
      <c r="O11" s="76" t="str">
        <f>IFERROR(TR/(RadSpec!F11*IFLI_res_adj*CF_lima_bean),".")</f>
        <v>.</v>
      </c>
      <c r="P11" s="76" t="str">
        <f>IFERROR(TR/(RadSpec!F11*IFOK_res_adj*CF_okra),".")</f>
        <v>.</v>
      </c>
      <c r="Q11" s="76" t="str">
        <f>IFERROR(TR/(RadSpec!F11*IFON_res_adj*CF_onion),".")</f>
        <v>.</v>
      </c>
      <c r="R11" s="76" t="str">
        <f>IFERROR(TR/(RadSpec!F11*IFPC_res_adj*CF_peach),".")</f>
        <v>.</v>
      </c>
      <c r="S11" s="76" t="str">
        <f>IFERROR(TR/(RadSpec!F11*IFPR_res_adj*CF_pear),".")</f>
        <v>.</v>
      </c>
      <c r="T11" s="76" t="str">
        <f>IFERROR(TR/(RadSpec!F11*IFPE_res_adj*CF_peas),".")</f>
        <v>.</v>
      </c>
      <c r="U11" s="76" t="str">
        <f>IFERROR(TR/(RadSpec!F11*IFPP_res_adj*CF_peppers),".")</f>
        <v>.</v>
      </c>
      <c r="V11" s="76" t="str">
        <f>IFERROR(TR/(RadSpec!F11*IFPT_res_adj*CF_potato),".")</f>
        <v>.</v>
      </c>
      <c r="W11" s="76" t="str">
        <f>IFERROR(TR/(RadSpec!F11*IFPU_res_adj*CF_pumpkin),".")</f>
        <v>.</v>
      </c>
      <c r="X11" s="76" t="str">
        <f>IFERROR(TR/(RadSpec!F11*IFSN_res_adj*CF_snap_bean),".")</f>
        <v>.</v>
      </c>
      <c r="Y11" s="76" t="str">
        <f>IFERROR(TR/(RadSpec!F11*IFST_res_adj*CF_strawberry),".")</f>
        <v>.</v>
      </c>
      <c r="Z11" s="76" t="str">
        <f>IFERROR(TR/(RadSpec!F11*IFTO_res_adj*CF_tomato),".")</f>
        <v>.</v>
      </c>
      <c r="AA11" s="76" t="str">
        <f>IFERROR(TR/(RadSpec!F11*IFRI_res_adj*CF_rice),".")</f>
        <v>.</v>
      </c>
      <c r="AB11" s="76" t="str">
        <f>IFERROR(TR/(RadSpec!F11*IFCG_res_adj*CF_cereal),".")</f>
        <v>.</v>
      </c>
      <c r="AC11" s="76" t="str">
        <f t="shared" si="0"/>
        <v>.</v>
      </c>
      <c r="AD11" s="76" t="str">
        <f>IFERROR(TR/(RadSpec!F11*IFAP_far_adj*CF_apple),".")</f>
        <v>.</v>
      </c>
      <c r="AE11" s="76" t="str">
        <f>IFERROR(TR/(RadSpec!F11*IFAS_far_adj*CF_asparagus),".")</f>
        <v>.</v>
      </c>
      <c r="AF11" s="76" t="str">
        <f>IFERROR(TR/(RadSpec!F11*IFBT_far_adj*CF_beet),".")</f>
        <v>.</v>
      </c>
      <c r="AG11" s="76" t="str">
        <f>IFERROR(TR/(RadSpec!F11*IFBE_far_adj*CF_berries),".")</f>
        <v>.</v>
      </c>
      <c r="AH11" s="76" t="str">
        <f>IFERROR(TR/(RadSpec!F11*IFBR_far_adj*CF_broccoli),".")</f>
        <v>.</v>
      </c>
      <c r="AI11" s="76" t="str">
        <f>IFERROR(TR/(RadSpec!F11*IFCB_far_adj*CF_cabbage),".")</f>
        <v>.</v>
      </c>
      <c r="AJ11" s="76" t="str">
        <f>IFERROR(TR/(RadSpec!F11*IFCR_far_adj*CF_carrot),".")</f>
        <v>.</v>
      </c>
      <c r="AK11" s="76" t="str">
        <f>IFERROR(TR/(RadSpec!F11*IFCI_far_adj*CF_citrus),".")</f>
        <v>.</v>
      </c>
      <c r="AL11" s="76" t="str">
        <f>IFERROR(TR/(RadSpec!F11*IFCO_far_adj*CF_corn),".")</f>
        <v>.</v>
      </c>
      <c r="AM11" s="76" t="str">
        <f>IFERROR(TR/(RadSpec!F11*IFCU_far_adj*CF_cucumber),".")</f>
        <v>.</v>
      </c>
      <c r="AN11" s="76" t="str">
        <f>IFERROR(TR/(RadSpec!F11*IFLE_far_adj*CF_lettuce),".")</f>
        <v>.</v>
      </c>
      <c r="AO11" s="76" t="str">
        <f>IFERROR(TR/(RadSpec!F11*IFLI_far_adj*CF_lima_bean),".")</f>
        <v>.</v>
      </c>
      <c r="AP11" s="76" t="str">
        <f>IFERROR(TR/(RadSpec!F11*IFOK_far_adj*CF_okra),".")</f>
        <v>.</v>
      </c>
      <c r="AQ11" s="76" t="str">
        <f>IFERROR(TR/(RadSpec!F11*IFON_far_adj*CF_onion),".")</f>
        <v>.</v>
      </c>
      <c r="AR11" s="76" t="str">
        <f>IFERROR(TR/(RadSpec!F11*IFPC_far_adj*CF_peach),".")</f>
        <v>.</v>
      </c>
      <c r="AS11" s="76" t="str">
        <f>IFERROR(TR/(RadSpec!F11*IFPR_far_adj*CF_pear),".")</f>
        <v>.</v>
      </c>
      <c r="AT11" s="76" t="str">
        <f>IFERROR(TR/(RadSpec!F11*IFPE_far_adj*CF_peas),".")</f>
        <v>.</v>
      </c>
      <c r="AU11" s="76" t="str">
        <f>IFERROR(TR/(RadSpec!F11*IFPP_far_adj*CF_peppers),".")</f>
        <v>.</v>
      </c>
      <c r="AV11" s="76" t="str">
        <f>IFERROR(TR/(RadSpec!F11*IFPT_far_adj*CF_potato),".")</f>
        <v>.</v>
      </c>
      <c r="AW11" s="76" t="str">
        <f>IFERROR(TR/(RadSpec!F11*IFPU_far_adj*CF_pumpkin),".")</f>
        <v>.</v>
      </c>
      <c r="AX11" s="76" t="str">
        <f>IFERROR(TR/(RadSpec!F11*IFSN_far_adj*CF_snap_bean),".")</f>
        <v>.</v>
      </c>
      <c r="AY11" s="76" t="str">
        <f>IFERROR(TR/(RadSpec!F11*IFST_far_adj*CF_strawberry),".")</f>
        <v>.</v>
      </c>
      <c r="AZ11" s="76" t="str">
        <f>IFERROR(TR/(RadSpec!F11*IFTO_far_adj*CF_tomato),".")</f>
        <v>.</v>
      </c>
      <c r="BA11" s="76" t="str">
        <f>IFERROR(TR/(RadSpec!F11*IFRI_far_adj*CF_rice),".")</f>
        <v>.</v>
      </c>
      <c r="BB11" s="76" t="str">
        <f>IFERROR(TR/(RadSpec!F11*IFCG_far_adj*CF_cereal),".")</f>
        <v>.</v>
      </c>
    </row>
    <row r="12" spans="1:54" x14ac:dyDescent="0.25">
      <c r="A12" s="92" t="s">
        <v>22</v>
      </c>
      <c r="B12" s="90" t="s">
        <v>1071</v>
      </c>
      <c r="C12" s="2" t="str">
        <f t="shared" si="1"/>
        <v>.</v>
      </c>
      <c r="D12" s="76" t="str">
        <f>IFERROR(TR/(RadSpec!F12*IFAP_res_adj*CF_apple),".")</f>
        <v>.</v>
      </c>
      <c r="E12" s="76" t="str">
        <f>IFERROR(TR/(RadSpec!F12*IFAS_res_adj*CF_asparagus),".")</f>
        <v>.</v>
      </c>
      <c r="F12" s="76" t="str">
        <f>IFERROR(TR/(RadSpec!F12*IFBT_res_adj*CF_beet),".")</f>
        <v>.</v>
      </c>
      <c r="G12" s="76" t="str">
        <f>IFERROR(TR/(RadSpec!F12*IFBE_res_adj*CF_berries),".")</f>
        <v>.</v>
      </c>
      <c r="H12" s="76" t="str">
        <f>IFERROR(TR/(RadSpec!F12*IFBR_res_adj*CF_broccoli),".")</f>
        <v>.</v>
      </c>
      <c r="I12" s="76" t="str">
        <f>IFERROR(TR/(RadSpec!F12*IFCB_res_adj*CF_cabbage),".")</f>
        <v>.</v>
      </c>
      <c r="J12" s="76" t="str">
        <f>IFERROR(TR/(RadSpec!F12*IFCR_res_adj*CF_carrot),".")</f>
        <v>.</v>
      </c>
      <c r="K12" s="76" t="str">
        <f>IFERROR(TR/(RadSpec!F12*IFCI_res_adj*CF_citrus),".")</f>
        <v>.</v>
      </c>
      <c r="L12" s="76" t="str">
        <f>IFERROR(TR/(RadSpec!F12*IFCO_res_adj*CF_corn),".")</f>
        <v>.</v>
      </c>
      <c r="M12" s="76" t="str">
        <f>IFERROR(TR/(RadSpec!F12*IFCU_res_adj*CF_cucumber),".")</f>
        <v>.</v>
      </c>
      <c r="N12" s="76" t="str">
        <f>IFERROR(TR/(RadSpec!F12*IFLE_res_adj*CF_lettuce),".")</f>
        <v>.</v>
      </c>
      <c r="O12" s="76" t="str">
        <f>IFERROR(TR/(RadSpec!F12*IFLI_res_adj*CF_lima_bean),".")</f>
        <v>.</v>
      </c>
      <c r="P12" s="76" t="str">
        <f>IFERROR(TR/(RadSpec!F12*IFOK_res_adj*CF_okra),".")</f>
        <v>.</v>
      </c>
      <c r="Q12" s="76" t="str">
        <f>IFERROR(TR/(RadSpec!F12*IFON_res_adj*CF_onion),".")</f>
        <v>.</v>
      </c>
      <c r="R12" s="76" t="str">
        <f>IFERROR(TR/(RadSpec!F12*IFPC_res_adj*CF_peach),".")</f>
        <v>.</v>
      </c>
      <c r="S12" s="76" t="str">
        <f>IFERROR(TR/(RadSpec!F12*IFPR_res_adj*CF_pear),".")</f>
        <v>.</v>
      </c>
      <c r="T12" s="76" t="str">
        <f>IFERROR(TR/(RadSpec!F12*IFPE_res_adj*CF_peas),".")</f>
        <v>.</v>
      </c>
      <c r="U12" s="76" t="str">
        <f>IFERROR(TR/(RadSpec!F12*IFPP_res_adj*CF_peppers),".")</f>
        <v>.</v>
      </c>
      <c r="V12" s="76" t="str">
        <f>IFERROR(TR/(RadSpec!F12*IFPT_res_adj*CF_potato),".")</f>
        <v>.</v>
      </c>
      <c r="W12" s="76" t="str">
        <f>IFERROR(TR/(RadSpec!F12*IFPU_res_adj*CF_pumpkin),".")</f>
        <v>.</v>
      </c>
      <c r="X12" s="76" t="str">
        <f>IFERROR(TR/(RadSpec!F12*IFSN_res_adj*CF_snap_bean),".")</f>
        <v>.</v>
      </c>
      <c r="Y12" s="76" t="str">
        <f>IFERROR(TR/(RadSpec!F12*IFST_res_adj*CF_strawberry),".")</f>
        <v>.</v>
      </c>
      <c r="Z12" s="76" t="str">
        <f>IFERROR(TR/(RadSpec!F12*IFTO_res_adj*CF_tomato),".")</f>
        <v>.</v>
      </c>
      <c r="AA12" s="76" t="str">
        <f>IFERROR(TR/(RadSpec!F12*IFRI_res_adj*CF_rice),".")</f>
        <v>.</v>
      </c>
      <c r="AB12" s="76" t="str">
        <f>IFERROR(TR/(RadSpec!F12*IFCG_res_adj*CF_cereal),".")</f>
        <v>.</v>
      </c>
      <c r="AC12" s="76" t="str">
        <f t="shared" si="0"/>
        <v>.</v>
      </c>
      <c r="AD12" s="76" t="str">
        <f>IFERROR(TR/(RadSpec!F12*IFAP_far_adj*CF_apple),".")</f>
        <v>.</v>
      </c>
      <c r="AE12" s="76" t="str">
        <f>IFERROR(TR/(RadSpec!F12*IFAS_far_adj*CF_asparagus),".")</f>
        <v>.</v>
      </c>
      <c r="AF12" s="76" t="str">
        <f>IFERROR(TR/(RadSpec!F12*IFBT_far_adj*CF_beet),".")</f>
        <v>.</v>
      </c>
      <c r="AG12" s="76" t="str">
        <f>IFERROR(TR/(RadSpec!F12*IFBE_far_adj*CF_berries),".")</f>
        <v>.</v>
      </c>
      <c r="AH12" s="76" t="str">
        <f>IFERROR(TR/(RadSpec!F12*IFBR_far_adj*CF_broccoli),".")</f>
        <v>.</v>
      </c>
      <c r="AI12" s="76" t="str">
        <f>IFERROR(TR/(RadSpec!F12*IFCB_far_adj*CF_cabbage),".")</f>
        <v>.</v>
      </c>
      <c r="AJ12" s="76" t="str">
        <f>IFERROR(TR/(RadSpec!F12*IFCR_far_adj*CF_carrot),".")</f>
        <v>.</v>
      </c>
      <c r="AK12" s="76" t="str">
        <f>IFERROR(TR/(RadSpec!F12*IFCI_far_adj*CF_citrus),".")</f>
        <v>.</v>
      </c>
      <c r="AL12" s="76" t="str">
        <f>IFERROR(TR/(RadSpec!F12*IFCO_far_adj*CF_corn),".")</f>
        <v>.</v>
      </c>
      <c r="AM12" s="76" t="str">
        <f>IFERROR(TR/(RadSpec!F12*IFCU_far_adj*CF_cucumber),".")</f>
        <v>.</v>
      </c>
      <c r="AN12" s="76" t="str">
        <f>IFERROR(TR/(RadSpec!F12*IFLE_far_adj*CF_lettuce),".")</f>
        <v>.</v>
      </c>
      <c r="AO12" s="76" t="str">
        <f>IFERROR(TR/(RadSpec!F12*IFLI_far_adj*CF_lima_bean),".")</f>
        <v>.</v>
      </c>
      <c r="AP12" s="76" t="str">
        <f>IFERROR(TR/(RadSpec!F12*IFOK_far_adj*CF_okra),".")</f>
        <v>.</v>
      </c>
      <c r="AQ12" s="76" t="str">
        <f>IFERROR(TR/(RadSpec!F12*IFON_far_adj*CF_onion),".")</f>
        <v>.</v>
      </c>
      <c r="AR12" s="76" t="str">
        <f>IFERROR(TR/(RadSpec!F12*IFPC_far_adj*CF_peach),".")</f>
        <v>.</v>
      </c>
      <c r="AS12" s="76" t="str">
        <f>IFERROR(TR/(RadSpec!F12*IFPR_far_adj*CF_pear),".")</f>
        <v>.</v>
      </c>
      <c r="AT12" s="76" t="str">
        <f>IFERROR(TR/(RadSpec!F12*IFPE_far_adj*CF_peas),".")</f>
        <v>.</v>
      </c>
      <c r="AU12" s="76" t="str">
        <f>IFERROR(TR/(RadSpec!F12*IFPP_far_adj*CF_peppers),".")</f>
        <v>.</v>
      </c>
      <c r="AV12" s="76" t="str">
        <f>IFERROR(TR/(RadSpec!F12*IFPT_far_adj*CF_potato),".")</f>
        <v>.</v>
      </c>
      <c r="AW12" s="76" t="str">
        <f>IFERROR(TR/(RadSpec!F12*IFPU_far_adj*CF_pumpkin),".")</f>
        <v>.</v>
      </c>
      <c r="AX12" s="76" t="str">
        <f>IFERROR(TR/(RadSpec!F12*IFSN_far_adj*CF_snap_bean),".")</f>
        <v>.</v>
      </c>
      <c r="AY12" s="76" t="str">
        <f>IFERROR(TR/(RadSpec!F12*IFST_far_adj*CF_strawberry),".")</f>
        <v>.</v>
      </c>
      <c r="AZ12" s="76" t="str">
        <f>IFERROR(TR/(RadSpec!F12*IFTO_far_adj*CF_tomato),".")</f>
        <v>.</v>
      </c>
      <c r="BA12" s="76" t="str">
        <f>IFERROR(TR/(RadSpec!F12*IFRI_far_adj*CF_rice),".")</f>
        <v>.</v>
      </c>
      <c r="BB12" s="76" t="str">
        <f>IFERROR(TR/(RadSpec!F12*IFCG_far_adj*CF_cereal),".")</f>
        <v>.</v>
      </c>
    </row>
    <row r="13" spans="1:54" x14ac:dyDescent="0.25">
      <c r="A13" s="92" t="s">
        <v>23</v>
      </c>
      <c r="B13" s="90" t="s">
        <v>1071</v>
      </c>
      <c r="C13" s="2">
        <f t="shared" si="1"/>
        <v>9.9609484284055396E-4</v>
      </c>
      <c r="D13" s="76">
        <f>IFERROR(TR/(RadSpec!F13*IFAP_res_adj*CF_apple),".")</f>
        <v>1.8048821339771225E-2</v>
      </c>
      <c r="E13" s="76">
        <f>IFERROR(TR/(RadSpec!F13*IFAS_res_adj*CF_asparagus),".")</f>
        <v>3.9470172611590387E-2</v>
      </c>
      <c r="F13" s="76">
        <f>IFERROR(TR/(RadSpec!F13*IFBT_res_adj*CF_beet),".")</f>
        <v>4.7614984473705858E-2</v>
      </c>
      <c r="G13" s="76">
        <f>IFERROR(TR/(RadSpec!F13*IFBE_res_adj*CF_berries),".")</f>
        <v>4.0594970276687521E-2</v>
      </c>
      <c r="H13" s="76">
        <f>IFERROR(TR/(RadSpec!F13*IFBR_res_adj*CF_broccoli),".")</f>
        <v>5.0019223387932445E-2</v>
      </c>
      <c r="I13" s="76">
        <f>IFERROR(TR/(RadSpec!F13*IFCB_res_adj*CF_cabbage),".")</f>
        <v>1.9445650247610018E-2</v>
      </c>
      <c r="J13" s="76">
        <f>IFERROR(TR/(RadSpec!F13*IFCR_res_adj*CF_carrot),".")</f>
        <v>5.4806436818701176E-2</v>
      </c>
      <c r="K13" s="76">
        <f>IFERROR(TR/(RadSpec!F13*IFCI_res_adj*CF_citrus),".")</f>
        <v>4.6800500623083137E-3</v>
      </c>
      <c r="L13" s="76">
        <f>IFERROR(TR/(RadSpec!F13*IFCO_res_adj*CF_corn),".")</f>
        <v>2.5665015454856346E-2</v>
      </c>
      <c r="M13" s="76">
        <f>IFERROR(TR/(RadSpec!F13*IFCU_res_adj*CF_cucumber),".")</f>
        <v>1.9226574879510898E-2</v>
      </c>
      <c r="N13" s="76">
        <f>IFERROR(TR/(RadSpec!F13*IFLE_res_adj*CF_lettuce),".")</f>
        <v>4.569624702937837E-2</v>
      </c>
      <c r="O13" s="76">
        <f>IFERROR(TR/(RadSpec!F13*IFLI_res_adj*CF_lima_bean),".")</f>
        <v>4.2559566369090175E-2</v>
      </c>
      <c r="P13" s="76">
        <f>IFERROR(TR/(RadSpec!F13*IFOK_res_adj*CF_okra),".")</f>
        <v>5.1886286512587358E-2</v>
      </c>
      <c r="Q13" s="76">
        <f>IFERROR(TR/(RadSpec!F13*IFON_res_adj*CF_onion),".")</f>
        <v>7.4072300728326268E-2</v>
      </c>
      <c r="R13" s="76">
        <f>IFERROR(TR/(RadSpec!F13*IFPC_res_adj*CF_peach),".")</f>
        <v>1.1586867692579671E-2</v>
      </c>
      <c r="S13" s="76">
        <f>IFERROR(TR/(RadSpec!F13*IFPR_res_adj*CF_pear),".")</f>
        <v>2.3637718567582996E-2</v>
      </c>
      <c r="T13" s="76">
        <f>IFERROR(TR/(RadSpec!F13*IFPE_res_adj*CF_peas),".")</f>
        <v>4.1255683052851891E-2</v>
      </c>
      <c r="U13" s="76">
        <f>IFERROR(TR/(RadSpec!F13*IFPP_res_adj*CF_peppers),".")</f>
        <v>8.2590437850893733E-2</v>
      </c>
      <c r="V13" s="76">
        <f>IFERROR(TR/(RadSpec!F13*IFPT_res_adj*CF_potato),".")</f>
        <v>1.2139322754758449E-2</v>
      </c>
      <c r="W13" s="76">
        <f>IFERROR(TR/(RadSpec!F13*IFPU_res_adj*CF_pumpkin),".")</f>
        <v>2.4673095304153337E-2</v>
      </c>
      <c r="X13" s="76">
        <f>IFERROR(TR/(RadSpec!F13*IFSN_res_adj*CF_snap_bean),".")</f>
        <v>2.7671575500853304E-2</v>
      </c>
      <c r="Y13" s="76">
        <f>IFERROR(TR/(RadSpec!F13*IFST_res_adj*CF_strawberry),".")</f>
        <v>3.5284799139163811E-2</v>
      </c>
      <c r="Z13" s="76">
        <f>IFERROR(TR/(RadSpec!F13*IFTO_res_adj*CF_tomato),".")</f>
        <v>1.8962183035733247E-2</v>
      </c>
      <c r="AA13" s="76">
        <f>IFERROR(TR/(RadSpec!F13*IFRI_res_adj*CF_rice),".")</f>
        <v>1.8297902738303101E-2</v>
      </c>
      <c r="AB13" s="76">
        <f>IFERROR(TR/(RadSpec!F13*IFCG_res_adj*CF_cereal),".")</f>
        <v>2.0984446529682885E-2</v>
      </c>
      <c r="AC13" s="76">
        <f t="shared" si="0"/>
        <v>6.0899913718171525E-4</v>
      </c>
      <c r="AD13" s="76">
        <f>IFERROR(TR/(RadSpec!F13*IFAP_far_adj*CF_apple),".")</f>
        <v>1.0200996851205256E-2</v>
      </c>
      <c r="AE13" s="76">
        <f>IFERROR(TR/(RadSpec!F13*IFAS_far_adj*CF_asparagus),".")</f>
        <v>2.4026518510568053E-2</v>
      </c>
      <c r="AF13" s="76">
        <f>IFERROR(TR/(RadSpec!F13*IFBT_far_adj*CF_beet),".")</f>
        <v>2.8594267384674056E-2</v>
      </c>
      <c r="AG13" s="76">
        <f>IFERROR(TR/(RadSpec!F13*IFBE_far_adj*CF_berries),".")</f>
        <v>2.5687964798035052E-2</v>
      </c>
      <c r="AH13" s="76">
        <f>IFERROR(TR/(RadSpec!F13*IFBR_far_adj*CF_broccoli),".")</f>
        <v>2.7618369459191671E-2</v>
      </c>
      <c r="AI13" s="76">
        <f>IFERROR(TR/(RadSpec!F13*IFCB_far_adj*CF_cabbage),".")</f>
        <v>1.2449710638845448E-2</v>
      </c>
      <c r="AJ13" s="76">
        <f>IFERROR(TR/(RadSpec!F13*IFCR_far_adj*CF_carrot),".")</f>
        <v>3.795777225166598E-2</v>
      </c>
      <c r="AK13" s="76">
        <f>IFERROR(TR/(RadSpec!F13*IFCI_far_adj*CF_citrus),".")</f>
        <v>2.9573002281001151E-3</v>
      </c>
      <c r="AL13" s="76">
        <f>IFERROR(TR/(RadSpec!F13*IFCO_far_adj*CF_corn),".")</f>
        <v>1.1564323636015781E-2</v>
      </c>
      <c r="AM13" s="76">
        <f>IFERROR(TR/(RadSpec!F13*IFCU_far_adj*CF_cucumber),".")</f>
        <v>1.7548996517492893E-2</v>
      </c>
      <c r="AN13" s="76">
        <f>IFERROR(TR/(RadSpec!F13*IFLE_far_adj*CF_lettuce),".")</f>
        <v>2.7182817188900046E-2</v>
      </c>
      <c r="AO13" s="76">
        <f>IFERROR(TR/(RadSpec!F13*IFLI_far_adj*CF_lima_bean),".")</f>
        <v>2.6835784492420241E-2</v>
      </c>
      <c r="AP13" s="76">
        <f>IFERROR(TR/(RadSpec!F13*IFOK_far_adj*CF_okra),".")</f>
        <v>3.1626833723819303E-2</v>
      </c>
      <c r="AQ13" s="76">
        <f>IFERROR(TR/(RadSpec!F13*IFON_far_adj*CF_onion),".")</f>
        <v>3.5422573735062718E-2</v>
      </c>
      <c r="AR13" s="76">
        <f>IFERROR(TR/(RadSpec!F13*IFPC_far_adj*CF_peach),".")</f>
        <v>8.4191981534125545E-3</v>
      </c>
      <c r="AS13" s="76">
        <f>IFERROR(TR/(RadSpec!F13*IFPR_far_adj*CF_pear),".")</f>
        <v>1.3729985964219787E-2</v>
      </c>
      <c r="AT13" s="76">
        <f>IFERROR(TR/(RadSpec!F13*IFPE_far_adj*CF_peas),".")</f>
        <v>2.8804519350737835E-2</v>
      </c>
      <c r="AU13" s="76">
        <f>IFERROR(TR/(RadSpec!F13*IFPP_far_adj*CF_peppers),".")</f>
        <v>4.0225494467868189E-2</v>
      </c>
      <c r="AV13" s="76">
        <f>IFERROR(TR/(RadSpec!F13*IFPT_far_adj*CF_potato),".")</f>
        <v>6.712603933126224E-3</v>
      </c>
      <c r="AW13" s="76">
        <f>IFERROR(TR/(RadSpec!F13*IFPU_far_adj*CF_pumpkin),".")</f>
        <v>1.5078842078104735E-2</v>
      </c>
      <c r="AX13" s="76">
        <f>IFERROR(TR/(RadSpec!F13*IFSN_far_adj*CF_snap_bean),".")</f>
        <v>1.7022145348095517E-2</v>
      </c>
      <c r="AY13" s="76">
        <f>IFERROR(TR/(RadSpec!F13*IFST_far_adj*CF_strawberry),".")</f>
        <v>2.2307007091344016E-2</v>
      </c>
      <c r="AZ13" s="76">
        <f>IFERROR(TR/(RadSpec!F13*IFTO_far_adj*CF_tomato),".")</f>
        <v>9.9945635970552713E-3</v>
      </c>
      <c r="BA13" s="76">
        <f>IFERROR(TR/(RadSpec!F13*IFRI_far_adj*CF_rice),".")</f>
        <v>1.0713297519722494E-2</v>
      </c>
      <c r="BB13" s="76">
        <f>IFERROR(TR/(RadSpec!F13*IFCG_far_adj*CF_cereal),".")</f>
        <v>1.0868670395032171E-2</v>
      </c>
    </row>
    <row r="14" spans="1:54" x14ac:dyDescent="0.25">
      <c r="A14" s="92" t="s">
        <v>24</v>
      </c>
      <c r="B14" s="90" t="s">
        <v>1071</v>
      </c>
      <c r="C14" s="2">
        <f t="shared" si="1"/>
        <v>9.2200514378629854E-3</v>
      </c>
      <c r="D14" s="76">
        <f>IFERROR(TR/(RadSpec!F14*IFAP_res_adj*CF_apple),".")</f>
        <v>0.1670634702524279</v>
      </c>
      <c r="E14" s="76">
        <f>IFERROR(TR/(RadSpec!F14*IFAS_res_adj*CF_asparagus),".")</f>
        <v>0.36534374648744822</v>
      </c>
      <c r="F14" s="76">
        <f>IFERROR(TR/(RadSpec!F14*IFBT_res_adj*CF_beet),".")</f>
        <v>0.44073374058306258</v>
      </c>
      <c r="G14" s="76">
        <f>IFERROR(TR/(RadSpec!F14*IFBE_res_adj*CF_berries),".")</f>
        <v>0.37575509677595065</v>
      </c>
      <c r="H14" s="76">
        <f>IFERROR(TR/(RadSpec!F14*IFBR_res_adj*CF_broccoli),".")</f>
        <v>0.46298785284697808</v>
      </c>
      <c r="I14" s="76">
        <f>IFERROR(TR/(RadSpec!F14*IFCB_res_adj*CF_cabbage),".")</f>
        <v>0.17999279568035723</v>
      </c>
      <c r="J14" s="76">
        <f>IFERROR(TR/(RadSpec!F14*IFCR_res_adj*CF_carrot),".")</f>
        <v>0.50729924989211017</v>
      </c>
      <c r="K14" s="76">
        <f>IFERROR(TR/(RadSpec!F14*IFCI_res_adj*CF_citrus),".")</f>
        <v>4.3319471651118283E-2</v>
      </c>
      <c r="L14" s="76">
        <f>IFERROR(TR/(RadSpec!F14*IFCO_res_adj*CF_corn),".")</f>
        <v>0.23756047363172819</v>
      </c>
      <c r="M14" s="76">
        <f>IFERROR(TR/(RadSpec!F14*IFCU_res_adj*CF_cucumber),".")</f>
        <v>0.17796499062026619</v>
      </c>
      <c r="N14" s="76">
        <f>IFERROR(TR/(RadSpec!F14*IFLE_res_adj*CF_lettuce),".")</f>
        <v>0.4229735262223453</v>
      </c>
      <c r="O14" s="76">
        <f>IFERROR(TR/(RadSpec!F14*IFLI_res_adj*CF_lima_bean),".")</f>
        <v>0.39393978787918182</v>
      </c>
      <c r="P14" s="76">
        <f>IFERROR(TR/(RadSpec!F14*IFOK_res_adj*CF_okra),".")</f>
        <v>0.48026975945535411</v>
      </c>
      <c r="Q14" s="76">
        <f>IFERROR(TR/(RadSpec!F14*IFON_res_adj*CF_onion),".")</f>
        <v>0.68562790756797864</v>
      </c>
      <c r="R14" s="76">
        <f>IFERROR(TR/(RadSpec!F14*IFPC_res_adj*CF_peach),".")</f>
        <v>0.10725034558420855</v>
      </c>
      <c r="S14" s="76">
        <f>IFERROR(TR/(RadSpec!F14*IFPR_res_adj*CF_pear),".")</f>
        <v>0.21879541153465254</v>
      </c>
      <c r="T14" s="76">
        <f>IFERROR(TR/(RadSpec!F14*IFPE_res_adj*CF_peas),".")</f>
        <v>0.3818707852825961</v>
      </c>
      <c r="U14" s="76">
        <f>IFERROR(TR/(RadSpec!F14*IFPP_res_adj*CF_peppers),".")</f>
        <v>0.76447347432232216</v>
      </c>
      <c r="V14" s="76">
        <f>IFERROR(TR/(RadSpec!F14*IFPT_res_adj*CF_potato),".")</f>
        <v>0.11236397921759889</v>
      </c>
      <c r="W14" s="76">
        <f>IFERROR(TR/(RadSpec!F14*IFPU_res_adj*CF_pumpkin),".")</f>
        <v>0.22837906397232843</v>
      </c>
      <c r="X14" s="76">
        <f>IFERROR(TR/(RadSpec!F14*IFSN_res_adj*CF_snap_bean),".")</f>
        <v>0.25613359141285702</v>
      </c>
      <c r="Y14" s="76">
        <f>IFERROR(TR/(RadSpec!F14*IFST_res_adj*CF_strawberry),".")</f>
        <v>0.32660309946994603</v>
      </c>
      <c r="Z14" s="76">
        <f>IFERROR(TR/(RadSpec!F14*IFTO_res_adj*CF_tomato),".")</f>
        <v>0.1755177272729028</v>
      </c>
      <c r="AA14" s="76">
        <f>IFERROR(TR/(RadSpec!F14*IFRI_res_adj*CF_rice),".")</f>
        <v>0.16936901708181384</v>
      </c>
      <c r="AB14" s="76">
        <f>IFERROR(TR/(RadSpec!F14*IFCG_res_adj*CF_cereal),".")</f>
        <v>0.19423619928301517</v>
      </c>
      <c r="AC14" s="76">
        <f t="shared" si="0"/>
        <v>5.6370168069712484E-3</v>
      </c>
      <c r="AD14" s="76">
        <f>IFERROR(TR/(RadSpec!F14*IFAP_far_adj*CF_apple),".")</f>
        <v>9.442245019297428E-2</v>
      </c>
      <c r="AE14" s="76">
        <f>IFERROR(TR/(RadSpec!F14*IFAS_far_adj*CF_asparagus),".")</f>
        <v>0.22239422092426631</v>
      </c>
      <c r="AF14" s="76">
        <f>IFERROR(TR/(RadSpec!F14*IFBT_far_adj*CF_beet),".")</f>
        <v>0.26467421050276818</v>
      </c>
      <c r="AG14" s="76">
        <f>IFERROR(TR/(RadSpec!F14*IFBE_far_adj*CF_berries),".")</f>
        <v>0.23777289730412612</v>
      </c>
      <c r="AH14" s="76">
        <f>IFERROR(TR/(RadSpec!F14*IFBR_far_adj*CF_broccoli),".")</f>
        <v>0.25564110573797255</v>
      </c>
      <c r="AI14" s="76">
        <f>IFERROR(TR/(RadSpec!F14*IFCB_far_adj*CF_cabbage),".")</f>
        <v>0.11523699103724713</v>
      </c>
      <c r="AJ14" s="76">
        <f>IFERROR(TR/(RadSpec!F14*IFCR_far_adj*CF_carrot),".")</f>
        <v>0.35134466877575127</v>
      </c>
      <c r="AK14" s="76">
        <f>IFERROR(TR/(RadSpec!F14*IFCI_far_adj*CF_citrus),".")</f>
        <v>2.7373357483240737E-2</v>
      </c>
      <c r="AL14" s="76">
        <f>IFERROR(TR/(RadSpec!F14*IFCO_far_adj*CF_corn),".")</f>
        <v>0.10704167332510477</v>
      </c>
      <c r="AM14" s="76">
        <f>IFERROR(TR/(RadSpec!F14*IFCU_far_adj*CF_cucumber),".")</f>
        <v>0.16243699255861194</v>
      </c>
      <c r="AN14" s="76">
        <f>IFERROR(TR/(RadSpec!F14*IFLE_far_adj*CF_lettuce),".")</f>
        <v>0.2516095475336203</v>
      </c>
      <c r="AO14" s="76">
        <f>IFERROR(TR/(RadSpec!F14*IFLI_far_adj*CF_lima_bean),".")</f>
        <v>0.24839734406207165</v>
      </c>
      <c r="AP14" s="76">
        <f>IFERROR(TR/(RadSpec!F14*IFOK_far_adj*CF_okra),".")</f>
        <v>0.29274424603865806</v>
      </c>
      <c r="AQ14" s="76">
        <f>IFERROR(TR/(RadSpec!F14*IFON_far_adj*CF_onion),".")</f>
        <v>0.32787836845677892</v>
      </c>
      <c r="AR14" s="76">
        <f>IFERROR(TR/(RadSpec!F14*IFPC_far_adj*CF_peach),".")</f>
        <v>7.7929768031587285E-2</v>
      </c>
      <c r="AS14" s="76">
        <f>IFERROR(TR/(RadSpec!F14*IFPR_far_adj*CF_pear),".")</f>
        <v>0.12708747338781953</v>
      </c>
      <c r="AT14" s="76">
        <f>IFERROR(TR/(RadSpec!F14*IFPE_far_adj*CF_peas),".")</f>
        <v>0.26662034440352378</v>
      </c>
      <c r="AU14" s="76">
        <f>IFERROR(TR/(RadSpec!F14*IFPP_far_adj*CF_peppers),".")</f>
        <v>0.37233515540506096</v>
      </c>
      <c r="AV14" s="76">
        <f>IFERROR(TR/(RadSpec!F14*IFPT_far_adj*CF_potato),".")</f>
        <v>6.2133193430589852E-2</v>
      </c>
      <c r="AW14" s="76">
        <f>IFERROR(TR/(RadSpec!F14*IFPU_far_adj*CF_pumpkin),".")</f>
        <v>0.13957275311964712</v>
      </c>
      <c r="AX14" s="76">
        <f>IFERROR(TR/(RadSpec!F14*IFSN_far_adj*CF_snap_bean),".")</f>
        <v>0.1575603536352643</v>
      </c>
      <c r="AY14" s="76">
        <f>IFERROR(TR/(RadSpec!F14*IFST_far_adj*CF_strawberry),".")</f>
        <v>0.20647808216781241</v>
      </c>
      <c r="AZ14" s="76">
        <f>IFERROR(TR/(RadSpec!F14*IFTO_far_adj*CF_tomato),".")</f>
        <v>9.2511663047123188E-2</v>
      </c>
      <c r="BA14" s="76">
        <f>IFERROR(TR/(RadSpec!F14*IFRI_far_adj*CF_rice),".")</f>
        <v>9.9164406794125581E-2</v>
      </c>
      <c r="BB14" s="76">
        <f>IFERROR(TR/(RadSpec!F14*IFCG_far_adj*CF_cereal),".")</f>
        <v>0.10060256894575234</v>
      </c>
    </row>
    <row r="15" spans="1:54" x14ac:dyDescent="0.25">
      <c r="A15" s="92" t="s">
        <v>25</v>
      </c>
      <c r="B15" s="90" t="s">
        <v>1071</v>
      </c>
      <c r="C15" s="2">
        <f t="shared" si="1"/>
        <v>0.23686331719350759</v>
      </c>
      <c r="D15" s="76">
        <f>IFERROR(TR/(RadSpec!F15*IFAP_res_adj*CF_apple),".")</f>
        <v>4.2918640977799942</v>
      </c>
      <c r="E15" s="76">
        <f>IFERROR(TR/(RadSpec!F15*IFAS_res_adj*CF_asparagus),".")</f>
        <v>9.3856886040299852</v>
      </c>
      <c r="F15" s="76">
        <f>IFERROR(TR/(RadSpec!F15*IFBT_res_adj*CF_beet),".")</f>
        <v>11.322459152983136</v>
      </c>
      <c r="G15" s="76">
        <f>IFERROR(TR/(RadSpec!F15*IFBE_res_adj*CF_berries),".")</f>
        <v>9.6531564139893895</v>
      </c>
      <c r="H15" s="76">
        <f>IFERROR(TR/(RadSpec!F15*IFBR_res_adj*CF_broccoli),".")</f>
        <v>11.894167769529583</v>
      </c>
      <c r="I15" s="76">
        <f>IFERROR(TR/(RadSpec!F15*IFCB_res_adj*CF_cabbage),".")</f>
        <v>4.6240187425314696</v>
      </c>
      <c r="J15" s="76">
        <f>IFERROR(TR/(RadSpec!F15*IFCR_res_adj*CF_carrot),".")</f>
        <v>13.032528500413019</v>
      </c>
      <c r="K15" s="76">
        <f>IFERROR(TR/(RadSpec!F15*IFCI_res_adj*CF_citrus),".")</f>
        <v>1.1128781464512338</v>
      </c>
      <c r="L15" s="76">
        <f>IFERROR(TR/(RadSpec!F15*IFCO_res_adj*CF_corn),".")</f>
        <v>6.1029336113458825</v>
      </c>
      <c r="M15" s="76">
        <f>IFERROR(TR/(RadSpec!F15*IFCU_res_adj*CF_cucumber),".")</f>
        <v>4.571924387484545</v>
      </c>
      <c r="N15" s="76">
        <f>IFERROR(TR/(RadSpec!F15*IFLE_res_adj*CF_lettuce),".")</f>
        <v>10.866198868981694</v>
      </c>
      <c r="O15" s="76">
        <f>IFERROR(TR/(RadSpec!F15*IFLI_res_adj*CF_lima_bean),".")</f>
        <v>10.12032151451826</v>
      </c>
      <c r="P15" s="76">
        <f>IFERROR(TR/(RadSpec!F15*IFOK_res_adj*CF_okra),".")</f>
        <v>12.338140317218226</v>
      </c>
      <c r="Q15" s="76">
        <f>IFERROR(TR/(RadSpec!F15*IFON_res_adj*CF_onion),".")</f>
        <v>17.61379550227716</v>
      </c>
      <c r="R15" s="76">
        <f>IFERROR(TR/(RadSpec!F15*IFPC_res_adj*CF_peach),".")</f>
        <v>2.7552636551357184</v>
      </c>
      <c r="S15" s="76">
        <f>IFERROR(TR/(RadSpec!F15*IFPR_res_adj*CF_pear),".")</f>
        <v>5.6208587676630479</v>
      </c>
      <c r="T15" s="76">
        <f>IFERROR(TR/(RadSpec!F15*IFPE_res_adj*CF_peas),".")</f>
        <v>9.8102685815698774</v>
      </c>
      <c r="U15" s="76">
        <f>IFERROR(TR/(RadSpec!F15*IFPP_res_adj*CF_peppers),".")</f>
        <v>19.639339786199784</v>
      </c>
      <c r="V15" s="76">
        <f>IFERROR(TR/(RadSpec!F15*IFPT_res_adj*CF_potato),".")</f>
        <v>2.8866330117472323</v>
      </c>
      <c r="W15" s="76">
        <f>IFERROR(TR/(RadSpec!F15*IFPU_res_adj*CF_pumpkin),".")</f>
        <v>5.8670630022615153</v>
      </c>
      <c r="X15" s="76">
        <f>IFERROR(TR/(RadSpec!F15*IFSN_res_adj*CF_snap_bean),".")</f>
        <v>6.5800774014767942</v>
      </c>
      <c r="Y15" s="76">
        <f>IFERROR(TR/(RadSpec!F15*IFST_res_adj*CF_strawberry),".")</f>
        <v>8.3904405596313101</v>
      </c>
      <c r="Z15" s="76">
        <f>IFERROR(TR/(RadSpec!F15*IFTO_res_adj*CF_tomato),".")</f>
        <v>4.5090541401318971</v>
      </c>
      <c r="AA15" s="76">
        <f>IFERROR(TR/(RadSpec!F15*IFRI_res_adj*CF_rice),".")</f>
        <v>4.3510936447769586</v>
      </c>
      <c r="AB15" s="76">
        <f>IFERROR(TR/(RadSpec!F15*IFCG_res_adj*CF_cereal),".")</f>
        <v>4.9899320834914711</v>
      </c>
      <c r="AC15" s="76">
        <f t="shared" si="0"/>
        <v>0.14481508145297686</v>
      </c>
      <c r="AD15" s="76">
        <f>IFERROR(TR/(RadSpec!F15*IFAP_far_adj*CF_apple),".")</f>
        <v>2.4257147501804432</v>
      </c>
      <c r="AE15" s="76">
        <f>IFERROR(TR/(RadSpec!F15*IFAS_far_adj*CF_asparagus),".")</f>
        <v>5.7133122572900685</v>
      </c>
      <c r="AF15" s="76">
        <f>IFERROR(TR/(RadSpec!F15*IFBT_far_adj*CF_beet),".")</f>
        <v>6.7994860872261027</v>
      </c>
      <c r="AG15" s="76">
        <f>IFERROR(TR/(RadSpec!F15*IFBE_far_adj*CF_berries),".")</f>
        <v>6.1083907799998425</v>
      </c>
      <c r="AH15" s="76">
        <f>IFERROR(TR/(RadSpec!F15*IFBR_far_adj*CF_broccoli),".")</f>
        <v>6.5674254340328391</v>
      </c>
      <c r="AI15" s="76">
        <f>IFERROR(TR/(RadSpec!F15*IFCB_far_adj*CF_cabbage),".")</f>
        <v>2.9604407463921234</v>
      </c>
      <c r="AJ15" s="76">
        <f>IFERROR(TR/(RadSpec!F15*IFCR_far_adj*CF_carrot),".")</f>
        <v>9.026052000396156</v>
      </c>
      <c r="AK15" s="76">
        <f>IFERROR(TR/(RadSpec!F15*IFCI_far_adj*CF_citrus),".")</f>
        <v>0.7032221349197727</v>
      </c>
      <c r="AL15" s="76">
        <f>IFERROR(TR/(RadSpec!F15*IFCO_far_adj*CF_corn),".")</f>
        <v>2.7499028603689335</v>
      </c>
      <c r="AM15" s="76">
        <f>IFERROR(TR/(RadSpec!F15*IFCU_far_adj*CF_cucumber),".")</f>
        <v>4.1730097875991596</v>
      </c>
      <c r="AN15" s="76">
        <f>IFERROR(TR/(RadSpec!F15*IFLE_far_adj*CF_lettuce),".")</f>
        <v>6.4638546181673151</v>
      </c>
      <c r="AO15" s="76">
        <f>IFERROR(TR/(RadSpec!F15*IFLI_far_adj*CF_lima_bean),".")</f>
        <v>6.3813330427835826</v>
      </c>
      <c r="AP15" s="76">
        <f>IFERROR(TR/(RadSpec!F15*IFOK_far_adj*CF_okra),".")</f>
        <v>7.5206058961098989</v>
      </c>
      <c r="AQ15" s="76">
        <f>IFERROR(TR/(RadSpec!F15*IFON_far_adj*CF_onion),".")</f>
        <v>8.423202246978823</v>
      </c>
      <c r="AR15" s="76">
        <f>IFERROR(TR/(RadSpec!F15*IFPC_far_adj*CF_peach),".")</f>
        <v>2.0020173952913081</v>
      </c>
      <c r="AS15" s="76">
        <f>IFERROR(TR/(RadSpec!F15*IFPR_far_adj*CF_pear),".")</f>
        <v>3.2648798895809263</v>
      </c>
      <c r="AT15" s="76">
        <f>IFERROR(TR/(RadSpec!F15*IFPE_far_adj*CF_peas),".")</f>
        <v>6.8494823084557073</v>
      </c>
      <c r="AU15" s="76">
        <f>IFERROR(TR/(RadSpec!F15*IFPP_far_adj*CF_peppers),".")</f>
        <v>9.565298047561015</v>
      </c>
      <c r="AV15" s="76">
        <f>IFERROR(TR/(RadSpec!F15*IFPT_far_adj*CF_potato),".")</f>
        <v>1.5962030584079345</v>
      </c>
      <c r="AW15" s="76">
        <f>IFERROR(TR/(RadSpec!F15*IFPU_far_adj*CF_pumpkin),".")</f>
        <v>3.5856269909718268</v>
      </c>
      <c r="AX15" s="76">
        <f>IFERROR(TR/(RadSpec!F15*IFSN_far_adj*CF_snap_bean),".")</f>
        <v>4.047728830120378</v>
      </c>
      <c r="AY15" s="76">
        <f>IFERROR(TR/(RadSpec!F15*IFST_far_adj*CF_strawberry),".")</f>
        <v>5.3044263147145001</v>
      </c>
      <c r="AZ15" s="76">
        <f>IFERROR(TR/(RadSpec!F15*IFTO_far_adj*CF_tomato),".")</f>
        <v>2.3766265878347994</v>
      </c>
      <c r="BA15" s="76">
        <f>IFERROR(TR/(RadSpec!F15*IFRI_far_adj*CF_rice),".")</f>
        <v>2.5475357159425043</v>
      </c>
      <c r="BB15" s="76">
        <f>IFERROR(TR/(RadSpec!F15*IFCG_far_adj*CF_cereal),".")</f>
        <v>2.5844821321520239</v>
      </c>
    </row>
    <row r="16" spans="1:54" x14ac:dyDescent="0.25">
      <c r="A16" s="92" t="s">
        <v>26</v>
      </c>
      <c r="B16" s="90" t="s">
        <v>1071</v>
      </c>
      <c r="C16" s="2">
        <f t="shared" si="1"/>
        <v>7.016517131958622E-5</v>
      </c>
      <c r="D16" s="76">
        <f>IFERROR(TR/(RadSpec!F16*IFAP_res_adj*CF_apple),".")</f>
        <v>1.2713635157574699E-3</v>
      </c>
      <c r="E16" s="76">
        <f>IFERROR(TR/(RadSpec!F16*IFAS_res_adj*CF_asparagus),".")</f>
        <v>2.7802888883635994E-3</v>
      </c>
      <c r="F16" s="76">
        <f>IFERROR(TR/(RadSpec!F16*IFBT_res_adj*CF_beet),".")</f>
        <v>3.3540114849402872E-3</v>
      </c>
      <c r="G16" s="76">
        <f>IFERROR(TR/(RadSpec!F16*IFBE_res_adj*CF_berries),".")</f>
        <v>2.8595199188610077E-3</v>
      </c>
      <c r="H16" s="76">
        <f>IFERROR(TR/(RadSpec!F16*IFBR_res_adj*CF_broccoli),".")</f>
        <v>3.5233666788983859E-3</v>
      </c>
      <c r="I16" s="76">
        <f>IFERROR(TR/(RadSpec!F16*IFCB_res_adj*CF_cabbage),".")</f>
        <v>1.3697564954291335E-3</v>
      </c>
      <c r="J16" s="76">
        <f>IFERROR(TR/(RadSpec!F16*IFCR_res_adj*CF_carrot),".")</f>
        <v>3.8605791972921586E-3</v>
      </c>
      <c r="K16" s="76">
        <f>IFERROR(TR/(RadSpec!F16*IFCI_res_adj*CF_citrus),".")</f>
        <v>3.2966390376008251E-4</v>
      </c>
      <c r="L16" s="76">
        <f>IFERROR(TR/(RadSpec!F16*IFCO_res_adj*CF_corn),".")</f>
        <v>1.8078501452477424E-3</v>
      </c>
      <c r="M16" s="76">
        <f>IFERROR(TR/(RadSpec!F16*IFCU_res_adj*CF_cucumber),".")</f>
        <v>1.3543247713869312E-3</v>
      </c>
      <c r="N16" s="76">
        <f>IFERROR(TR/(RadSpec!F16*IFLE_res_adj*CF_lettuce),".")</f>
        <v>3.2188551366606147E-3</v>
      </c>
      <c r="O16" s="76">
        <f>IFERROR(TR/(RadSpec!F16*IFLI_res_adj*CF_lima_bean),".")</f>
        <v>2.9979065618478615E-3</v>
      </c>
      <c r="P16" s="76">
        <f>IFERROR(TR/(RadSpec!F16*IFOK_res_adj*CF_okra),".")</f>
        <v>3.6548830751004934E-3</v>
      </c>
      <c r="Q16" s="76">
        <f>IFERROR(TR/(RadSpec!F16*IFON_res_adj*CF_onion),".")</f>
        <v>5.2176714978443657E-3</v>
      </c>
      <c r="R16" s="76">
        <f>IFERROR(TR/(RadSpec!F16*IFPC_res_adj*CF_peach),".")</f>
        <v>8.1618187520058076E-4</v>
      </c>
      <c r="S16" s="76">
        <f>IFERROR(TR/(RadSpec!F16*IFPR_res_adj*CF_pear),".")</f>
        <v>1.6650468424964124E-3</v>
      </c>
      <c r="T16" s="76">
        <f>IFERROR(TR/(RadSpec!F16*IFPE_res_adj*CF_peas),".")</f>
        <v>2.9060606930310768E-3</v>
      </c>
      <c r="U16" s="76">
        <f>IFERROR(TR/(RadSpec!F16*IFPP_res_adj*CF_peppers),".")</f>
        <v>5.8176912196855959E-3</v>
      </c>
      <c r="V16" s="76">
        <f>IFERROR(TR/(RadSpec!F16*IFPT_res_adj*CF_potato),".")</f>
        <v>8.5509694876285925E-4</v>
      </c>
      <c r="W16" s="76">
        <f>IFERROR(TR/(RadSpec!F16*IFPU_res_adj*CF_pumpkin),".")</f>
        <v>1.7379790402925622E-3</v>
      </c>
      <c r="X16" s="76">
        <f>IFERROR(TR/(RadSpec!F16*IFSN_res_adj*CF_snap_bean),".")</f>
        <v>1.949192739682748E-3</v>
      </c>
      <c r="Y16" s="76">
        <f>IFERROR(TR/(RadSpec!F16*IFST_res_adj*CF_strawberry),".")</f>
        <v>2.4854701280417274E-3</v>
      </c>
      <c r="Z16" s="76">
        <f>IFERROR(TR/(RadSpec!F16*IFTO_res_adj*CF_tomato),".")</f>
        <v>1.3357009433975619E-3</v>
      </c>
      <c r="AA16" s="76">
        <f>IFERROR(TR/(RadSpec!F16*IFRI_res_adj*CF_rice),".")</f>
        <v>1.2889088721320422E-3</v>
      </c>
      <c r="AB16" s="76">
        <f>IFERROR(TR/(RadSpec!F16*IFCG_res_adj*CF_cereal),".")</f>
        <v>1.4781496926569075E-3</v>
      </c>
      <c r="AC16" s="76">
        <f t="shared" si="0"/>
        <v>4.289805243041012E-5</v>
      </c>
      <c r="AD16" s="76">
        <f>IFERROR(TR/(RadSpec!F16*IFAP_far_adj*CF_apple),".")</f>
        <v>7.185607844874143E-4</v>
      </c>
      <c r="AE16" s="76">
        <f>IFERROR(TR/(RadSpec!F16*IFAS_far_adj*CF_asparagus),".")</f>
        <v>1.692434008291586E-3</v>
      </c>
      <c r="AF16" s="76">
        <f>IFERROR(TR/(RadSpec!F16*IFBT_far_adj*CF_beet),".")</f>
        <v>2.0141873881028265E-3</v>
      </c>
      <c r="AG16" s="76">
        <f>IFERROR(TR/(RadSpec!F16*IFBE_far_adj*CF_berries),".")</f>
        <v>1.80946670275467E-3</v>
      </c>
      <c r="AH16" s="76">
        <f>IFERROR(TR/(RadSpec!F16*IFBR_far_adj*CF_broccoli),".")</f>
        <v>1.9454448927229352E-3</v>
      </c>
      <c r="AI16" s="76">
        <f>IFERROR(TR/(RadSpec!F16*IFCB_far_adj*CF_cabbage),".")</f>
        <v>8.7696074940294983E-4</v>
      </c>
      <c r="AJ16" s="76">
        <f>IFERROR(TR/(RadSpec!F16*IFCR_far_adj*CF_carrot),".")</f>
        <v>2.6737550265324463E-3</v>
      </c>
      <c r="AK16" s="76">
        <f>IFERROR(TR/(RadSpec!F16*IFCI_far_adj*CF_citrus),".")</f>
        <v>2.0831297204227227E-4</v>
      </c>
      <c r="AL16" s="76">
        <f>IFERROR(TR/(RadSpec!F16*IFCO_far_adj*CF_corn),".")</f>
        <v>8.1459386618475951E-4</v>
      </c>
      <c r="AM16" s="76">
        <f>IFERROR(TR/(RadSpec!F16*IFCU_far_adj*CF_cucumber),".")</f>
        <v>1.2361557295340905E-3</v>
      </c>
      <c r="AN16" s="76">
        <f>IFERROR(TR/(RadSpec!F16*IFLE_far_adj*CF_lettuce),".")</f>
        <v>1.9147644812306948E-3</v>
      </c>
      <c r="AO16" s="76">
        <f>IFERROR(TR/(RadSpec!F16*IFLI_far_adj*CF_lima_bean),".")</f>
        <v>1.8903194107868343E-3</v>
      </c>
      <c r="AP16" s="76">
        <f>IFERROR(TR/(RadSpec!F16*IFOK_far_adj*CF_okra),".")</f>
        <v>2.2278021239419887E-3</v>
      </c>
      <c r="AQ16" s="76">
        <f>IFERROR(TR/(RadSpec!F16*IFON_far_adj*CF_onion),".")</f>
        <v>2.4951750052371225E-3</v>
      </c>
      <c r="AR16" s="76">
        <f>IFERROR(TR/(RadSpec!F16*IFPC_far_adj*CF_peach),".")</f>
        <v>5.930504359636516E-4</v>
      </c>
      <c r="AS16" s="76">
        <f>IFERROR(TR/(RadSpec!F16*IFPR_far_adj*CF_pear),".")</f>
        <v>9.6714366540416119E-4</v>
      </c>
      <c r="AT16" s="76">
        <f>IFERROR(TR/(RadSpec!F16*IFPE_far_adj*CF_peas),".")</f>
        <v>2.0289975894859356E-3</v>
      </c>
      <c r="AU16" s="76">
        <f>IFERROR(TR/(RadSpec!F16*IFPP_far_adj*CF_peppers),".")</f>
        <v>2.8334939499378856E-3</v>
      </c>
      <c r="AV16" s="76">
        <f>IFERROR(TR/(RadSpec!F16*IFPT_far_adj*CF_potato),".")</f>
        <v>4.7283750975480324E-4</v>
      </c>
      <c r="AW16" s="76">
        <f>IFERROR(TR/(RadSpec!F16*IFPU_far_adj*CF_pumpkin),".")</f>
        <v>1.062157429401088E-3</v>
      </c>
      <c r="AX16" s="76">
        <f>IFERROR(TR/(RadSpec!F16*IFSN_far_adj*CF_snap_bean),".")</f>
        <v>1.1990442006205649E-3</v>
      </c>
      <c r="AY16" s="76">
        <f>IFERROR(TR/(RadSpec!F16*IFST_far_adj*CF_strawberry),".")</f>
        <v>1.571311191339956E-3</v>
      </c>
      <c r="AZ16" s="76">
        <f>IFERROR(TR/(RadSpec!F16*IFTO_far_adj*CF_tomato),".")</f>
        <v>7.040195741321953E-4</v>
      </c>
      <c r="BA16" s="76">
        <f>IFERROR(TR/(RadSpec!F16*IFRI_far_adj*CF_rice),".")</f>
        <v>7.5464737245843985E-4</v>
      </c>
      <c r="BB16" s="76">
        <f>IFERROR(TR/(RadSpec!F16*IFCG_far_adj*CF_cereal),".")</f>
        <v>7.6559187688276923E-4</v>
      </c>
    </row>
    <row r="17" spans="1:54" x14ac:dyDescent="0.25">
      <c r="A17" s="92" t="s">
        <v>27</v>
      </c>
      <c r="B17" s="90" t="s">
        <v>1071</v>
      </c>
      <c r="C17" s="2">
        <f t="shared" si="1"/>
        <v>0.17032461434830851</v>
      </c>
      <c r="D17" s="76">
        <f>IFERROR(TR/(RadSpec!F17*IFAP_res_adj*CF_apple),".")</f>
        <v>3.0862106718387436</v>
      </c>
      <c r="E17" s="76">
        <f>IFERROR(TR/(RadSpec!F17*IFAS_res_adj*CF_asparagus),".")</f>
        <v>6.7490982175543861</v>
      </c>
      <c r="F17" s="76">
        <f>IFERROR(TR/(RadSpec!F17*IFBT_res_adj*CF_beet),".")</f>
        <v>8.1417988718397787</v>
      </c>
      <c r="G17" s="76">
        <f>IFERROR(TR/(RadSpec!F17*IFBE_res_adj*CF_berries),".")</f>
        <v>6.9414300320442779</v>
      </c>
      <c r="H17" s="76">
        <f>IFERROR(TR/(RadSpec!F17*IFBR_res_adj*CF_broccoli),".")</f>
        <v>8.5529053732037159</v>
      </c>
      <c r="I17" s="76">
        <f>IFERROR(TR/(RadSpec!F17*IFCB_res_adj*CF_cabbage),".")</f>
        <v>3.3250577522630871</v>
      </c>
      <c r="J17" s="76">
        <f>IFERROR(TR/(RadSpec!F17*IFCR_res_adj*CF_carrot),".")</f>
        <v>9.3714823262511935</v>
      </c>
      <c r="K17" s="76">
        <f>IFERROR(TR/(RadSpec!F17*IFCI_res_adj*CF_citrus),".")</f>
        <v>0.80025283508172695</v>
      </c>
      <c r="L17" s="76">
        <f>IFERROR(TR/(RadSpec!F17*IFCO_res_adj*CF_corn),".")</f>
        <v>4.3885217266319243</v>
      </c>
      <c r="M17" s="76">
        <f>IFERROR(TR/(RadSpec!F17*IFCU_res_adj*CF_cucumber),".")</f>
        <v>3.2875975366491916</v>
      </c>
      <c r="N17" s="76">
        <f>IFERROR(TR/(RadSpec!F17*IFLE_res_adj*CF_lettuce),".")</f>
        <v>7.8137094157105</v>
      </c>
      <c r="O17" s="76">
        <f>IFERROR(TR/(RadSpec!F17*IFLI_res_adj*CF_lima_bean),".")</f>
        <v>7.2773609669283967</v>
      </c>
      <c r="P17" s="76">
        <f>IFERROR(TR/(RadSpec!F17*IFOK_res_adj*CF_okra),".")</f>
        <v>8.8721589151294413</v>
      </c>
      <c r="Q17" s="76">
        <f>IFERROR(TR/(RadSpec!F17*IFON_res_adj*CF_onion),".")</f>
        <v>12.665797987133649</v>
      </c>
      <c r="R17" s="76">
        <f>IFERROR(TR/(RadSpec!F17*IFPC_res_adj*CF_peach),".")</f>
        <v>1.9812659260594248</v>
      </c>
      <c r="S17" s="76">
        <f>IFERROR(TR/(RadSpec!F17*IFPR_res_adj*CF_pear),".")</f>
        <v>4.041869434456939</v>
      </c>
      <c r="T17" s="76">
        <f>IFERROR(TR/(RadSpec!F17*IFPE_res_adj*CF_peas),".")</f>
        <v>7.0544068731594081</v>
      </c>
      <c r="U17" s="76">
        <f>IFERROR(TR/(RadSpec!F17*IFPP_res_adj*CF_peppers),".")</f>
        <v>14.122334411145188</v>
      </c>
      <c r="V17" s="76">
        <f>IFERROR(TR/(RadSpec!F17*IFPT_res_adj*CF_potato),".")</f>
        <v>2.0757315244777805</v>
      </c>
      <c r="W17" s="76">
        <f>IFERROR(TR/(RadSpec!F17*IFPU_res_adj*CF_pumpkin),".")</f>
        <v>4.2189109527712576</v>
      </c>
      <c r="X17" s="76">
        <f>IFERROR(TR/(RadSpec!F17*IFSN_res_adj*CF_snap_bean),".")</f>
        <v>4.7316281772451436</v>
      </c>
      <c r="Y17" s="76">
        <f>IFERROR(TR/(RadSpec!F17*IFST_res_adj*CF_strawberry),".")</f>
        <v>6.033431303185262</v>
      </c>
      <c r="Z17" s="76">
        <f>IFERROR(TR/(RadSpec!F17*IFTO_res_adj*CF_tomato),".")</f>
        <v>3.2423885496215625</v>
      </c>
      <c r="AA17" s="76">
        <f>IFERROR(TR/(RadSpec!F17*IFRI_res_adj*CF_rice),".")</f>
        <v>3.1288016896029727</v>
      </c>
      <c r="AB17" s="76">
        <f>IFERROR(TR/(RadSpec!F17*IFCG_res_adj*CF_cereal),".")</f>
        <v>3.5881801699610425</v>
      </c>
      <c r="AC17" s="76">
        <f t="shared" si="0"/>
        <v>0.10413420360969784</v>
      </c>
      <c r="AD17" s="76">
        <f>IFERROR(TR/(RadSpec!F17*IFAP_far_adj*CF_apple),".")</f>
        <v>1.7442925913511276</v>
      </c>
      <c r="AE17" s="76">
        <f>IFERROR(TR/(RadSpec!F17*IFAS_far_adj*CF_asparagus),".")</f>
        <v>4.1083512567688878</v>
      </c>
      <c r="AF17" s="76">
        <f>IFERROR(TR/(RadSpec!F17*IFBT_far_adj*CF_beet),".")</f>
        <v>4.8894014459289981</v>
      </c>
      <c r="AG17" s="76">
        <f>IFERROR(TR/(RadSpec!F17*IFBE_far_adj*CF_berries),".")</f>
        <v>4.3924458891296574</v>
      </c>
      <c r="AH17" s="76">
        <f>IFERROR(TR/(RadSpec!F17*IFBR_far_adj*CF_broccoli),".")</f>
        <v>4.7225303502739955</v>
      </c>
      <c r="AI17" s="76">
        <f>IFERROR(TR/(RadSpec!F17*IFCB_far_adj*CF_cabbage),".")</f>
        <v>2.1288054832834962</v>
      </c>
      <c r="AJ17" s="76">
        <f>IFERROR(TR/(RadSpec!F17*IFCR_far_adj*CF_carrot),".")</f>
        <v>6.4904893010482274</v>
      </c>
      <c r="AK17" s="76">
        <f>IFERROR(TR/(RadSpec!F17*IFCI_far_adj*CF_citrus),".")</f>
        <v>0.50567576419421811</v>
      </c>
      <c r="AL17" s="76">
        <f>IFERROR(TR/(RadSpec!F17*IFCO_far_adj*CF_corn),".")</f>
        <v>1.9774110644790341</v>
      </c>
      <c r="AM17" s="76">
        <f>IFERROR(TR/(RadSpec!F17*IFCU_far_adj*CF_cucumber),".")</f>
        <v>3.0007444426858076</v>
      </c>
      <c r="AN17" s="76">
        <f>IFERROR(TR/(RadSpec!F17*IFLE_far_adj*CF_lettuce),".")</f>
        <v>4.6480542368806184</v>
      </c>
      <c r="AO17" s="76">
        <f>IFERROR(TR/(RadSpec!F17*IFLI_far_adj*CF_lima_bean),".")</f>
        <v>4.5887142948871249</v>
      </c>
      <c r="AP17" s="76">
        <f>IFERROR(TR/(RadSpec!F17*IFOK_far_adj*CF_okra),".")</f>
        <v>5.4079471405614692</v>
      </c>
      <c r="AQ17" s="76">
        <f>IFERROR(TR/(RadSpec!F17*IFON_far_adj*CF_onion),".")</f>
        <v>6.0569897073695032</v>
      </c>
      <c r="AR17" s="76">
        <f>IFERROR(TR/(RadSpec!F17*IFPC_far_adj*CF_peach),".")</f>
        <v>1.4396186155453525</v>
      </c>
      <c r="AS17" s="76">
        <f>IFERROR(TR/(RadSpec!F17*IFPR_far_adj*CF_pear),".")</f>
        <v>2.3477227908284215</v>
      </c>
      <c r="AT17" s="76">
        <f>IFERROR(TR/(RadSpec!F17*IFPE_far_adj*CF_peas),".")</f>
        <v>4.9253529271490644</v>
      </c>
      <c r="AU17" s="76">
        <f>IFERROR(TR/(RadSpec!F17*IFPP_far_adj*CF_peppers),".")</f>
        <v>6.8782524891621941</v>
      </c>
      <c r="AV17" s="76">
        <f>IFERROR(TR/(RadSpec!F17*IFPT_far_adj*CF_potato),".")</f>
        <v>1.1478040313131863</v>
      </c>
      <c r="AW17" s="76">
        <f>IFERROR(TR/(RadSpec!F17*IFPU_far_adj*CF_pumpkin),".")</f>
        <v>2.5783668896911909</v>
      </c>
      <c r="AX17" s="76">
        <f>IFERROR(TR/(RadSpec!F17*IFSN_far_adj*CF_snap_bean),".")</f>
        <v>2.9106569144835079</v>
      </c>
      <c r="AY17" s="76">
        <f>IFERROR(TR/(RadSpec!F17*IFST_far_adj*CF_strawberry),".")</f>
        <v>3.8143279301229462</v>
      </c>
      <c r="AZ17" s="76">
        <f>IFERROR(TR/(RadSpec!F17*IFTO_far_adj*CF_tomato),".")</f>
        <v>1.7089940807178479</v>
      </c>
      <c r="BA17" s="76">
        <f>IFERROR(TR/(RadSpec!F17*IFRI_far_adj*CF_rice),".")</f>
        <v>1.8318920949754494</v>
      </c>
      <c r="BB17" s="76">
        <f>IFERROR(TR/(RadSpec!F17*IFCG_far_adj*CF_cereal),".")</f>
        <v>1.8584596706009211</v>
      </c>
    </row>
    <row r="18" spans="1:54" x14ac:dyDescent="0.25">
      <c r="A18" s="92" t="s">
        <v>28</v>
      </c>
      <c r="B18" s="90" t="s">
        <v>1071</v>
      </c>
      <c r="C18" s="2">
        <f t="shared" si="1"/>
        <v>3.6637971230916941E-5</v>
      </c>
      <c r="D18" s="76">
        <f>IFERROR(TR/(RadSpec!F18*IFAP_res_adj*CF_apple),".")</f>
        <v>6.6386469295710252E-4</v>
      </c>
      <c r="E18" s="76">
        <f>IFERROR(TR/(RadSpec!F18*IFAS_res_adj*CF_asparagus),".")</f>
        <v>1.451776463874589E-3</v>
      </c>
      <c r="F18" s="76">
        <f>IFERROR(TR/(RadSpec!F18*IFBT_res_adj*CF_beet),".")</f>
        <v>1.7513557507569972E-3</v>
      </c>
      <c r="G18" s="76">
        <f>IFERROR(TR/(RadSpec!F18*IFBE_res_adj*CF_berries),".")</f>
        <v>1.4931483320160927E-3</v>
      </c>
      <c r="H18" s="76">
        <f>IFERROR(TR/(RadSpec!F18*IFBR_res_adj*CF_broccoli),".")</f>
        <v>1.8397875269124577E-3</v>
      </c>
      <c r="I18" s="76">
        <f>IFERROR(TR/(RadSpec!F18*IFCB_res_adj*CF_cabbage),".")</f>
        <v>7.1524230795806957E-4</v>
      </c>
      <c r="J18" s="76">
        <f>IFERROR(TR/(RadSpec!F18*IFCR_res_adj*CF_carrot),".")</f>
        <v>2.0158689404579746E-3</v>
      </c>
      <c r="K18" s="76">
        <f>IFERROR(TR/(RadSpec!F18*IFCI_res_adj*CF_citrus),".")</f>
        <v>1.721397724067426E-4</v>
      </c>
      <c r="L18" s="76">
        <f>IFERROR(TR/(RadSpec!F18*IFCO_res_adj*CF_corn),".")</f>
        <v>9.4400056845448635E-4</v>
      </c>
      <c r="M18" s="76">
        <f>IFERROR(TR/(RadSpec!F18*IFCU_res_adj*CF_cucumber),".")</f>
        <v>7.07184363384309E-4</v>
      </c>
      <c r="N18" s="76">
        <f>IFERROR(TR/(RadSpec!F18*IFLE_res_adj*CF_lettuce),".")</f>
        <v>1.6807814999311582E-3</v>
      </c>
      <c r="O18" s="76">
        <f>IFERROR(TR/(RadSpec!F18*IFLI_res_adj*CF_lima_bean),".")</f>
        <v>1.5654093377136615E-3</v>
      </c>
      <c r="P18" s="76">
        <f>IFERROR(TR/(RadSpec!F18*IFOK_res_adj*CF_okra),".")</f>
        <v>1.9084611131066616E-3</v>
      </c>
      <c r="Q18" s="76">
        <f>IFERROR(TR/(RadSpec!F18*IFON_res_adj*CF_onion),".")</f>
        <v>2.7244984175936095E-3</v>
      </c>
      <c r="R18" s="76">
        <f>IFERROR(TR/(RadSpec!F18*IFPC_res_adj*CF_peach),".")</f>
        <v>4.2618363926729834E-4</v>
      </c>
      <c r="S18" s="76">
        <f>IFERROR(TR/(RadSpec!F18*IFPR_res_adj*CF_pear),".")</f>
        <v>8.6943332662374234E-4</v>
      </c>
      <c r="T18" s="76">
        <f>IFERROR(TR/(RadSpec!F18*IFPE_res_adj*CF_peas),".")</f>
        <v>1.51745041113938E-3</v>
      </c>
      <c r="U18" s="76">
        <f>IFERROR(TR/(RadSpec!F18*IFPP_res_adj*CF_peppers),".")</f>
        <v>3.0378092083087351E-3</v>
      </c>
      <c r="V18" s="76">
        <f>IFERROR(TR/(RadSpec!F18*IFPT_res_adj*CF_potato),".")</f>
        <v>4.4650382546237971E-4</v>
      </c>
      <c r="W18" s="76">
        <f>IFERROR(TR/(RadSpec!F18*IFPU_res_adj*CF_pumpkin),".")</f>
        <v>9.0751614911828372E-4</v>
      </c>
      <c r="X18" s="76">
        <f>IFERROR(TR/(RadSpec!F18*IFSN_res_adj*CF_snap_bean),".")</f>
        <v>1.0178050758934546E-3</v>
      </c>
      <c r="Y18" s="76">
        <f>IFERROR(TR/(RadSpec!F18*IFST_res_adj*CF_strawberry),".")</f>
        <v>1.2978316924749907E-3</v>
      </c>
      <c r="Z18" s="76">
        <f>IFERROR(TR/(RadSpec!F18*IFTO_res_adj*CF_tomato),".")</f>
        <v>6.9745960591202747E-4</v>
      </c>
      <c r="AA18" s="76">
        <f>IFERROR(TR/(RadSpec!F18*IFRI_res_adj*CF_rice),".")</f>
        <v>6.7302630761574621E-4</v>
      </c>
      <c r="AB18" s="76">
        <f>IFERROR(TR/(RadSpec!F18*IFCG_res_adj*CF_cereal),".")</f>
        <v>7.7184171143661177E-4</v>
      </c>
      <c r="AC18" s="76">
        <f t="shared" si="0"/>
        <v>2.2399968264155046E-5</v>
      </c>
      <c r="AD18" s="76">
        <f>IFERROR(TR/(RadSpec!F18*IFAP_far_adj*CF_apple),".")</f>
        <v>3.752090795845611E-4</v>
      </c>
      <c r="AE18" s="76">
        <f>IFERROR(TR/(RadSpec!F18*IFAS_far_adj*CF_asparagus),".")</f>
        <v>8.8373401418181334E-4</v>
      </c>
      <c r="AF18" s="76">
        <f>IFERROR(TR/(RadSpec!F18*IFBT_far_adj*CF_beet),".")</f>
        <v>1.0517431681719193E-3</v>
      </c>
      <c r="AG18" s="76">
        <f>IFERROR(TR/(RadSpec!F18*IFBE_far_adj*CF_berries),".")</f>
        <v>9.4484468222657647E-4</v>
      </c>
      <c r="AH18" s="76">
        <f>IFERROR(TR/(RadSpec!F18*IFBR_far_adj*CF_broccoli),".")</f>
        <v>1.0158480720622223E-3</v>
      </c>
      <c r="AI18" s="76">
        <f>IFERROR(TR/(RadSpec!F18*IFCB_far_adj*CF_cabbage),".")</f>
        <v>4.5792039131385551E-4</v>
      </c>
      <c r="AJ18" s="76">
        <f>IFERROR(TR/(RadSpec!F18*IFCR_far_adj*CF_carrot),".")</f>
        <v>1.3961479448888635E-3</v>
      </c>
      <c r="AK18" s="76">
        <f>IFERROR(TR/(RadSpec!F18*IFCI_far_adj*CF_citrus),".")</f>
        <v>1.0877426126345251E-4</v>
      </c>
      <c r="AL18" s="76">
        <f>IFERROR(TR/(RadSpec!F18*IFCO_far_adj*CF_corn),".")</f>
        <v>4.2535443258908621E-4</v>
      </c>
      <c r="AM18" s="76">
        <f>IFERROR(TR/(RadSpec!F18*IFCU_far_adj*CF_cucumber),".")</f>
        <v>6.4548033167789959E-4</v>
      </c>
      <c r="AN18" s="76">
        <f>IFERROR(TR/(RadSpec!F18*IFLE_far_adj*CF_lettuce),".")</f>
        <v>9.9982775867218563E-4</v>
      </c>
      <c r="AO18" s="76">
        <f>IFERROR(TR/(RadSpec!F18*IFLI_far_adj*CF_lima_bean),".")</f>
        <v>9.870633376522389E-4</v>
      </c>
      <c r="AP18" s="76">
        <f>IFERROR(TR/(RadSpec!F18*IFOK_far_adj*CF_okra),".")</f>
        <v>1.1632858381174917E-3</v>
      </c>
      <c r="AQ18" s="76">
        <f>IFERROR(TR/(RadSpec!F18*IFON_far_adj*CF_onion),".")</f>
        <v>1.3028992638183989E-3</v>
      </c>
      <c r="AR18" s="76">
        <f>IFERROR(TR/(RadSpec!F18*IFPC_far_adj*CF_peach),".")</f>
        <v>3.0967165621747323E-4</v>
      </c>
      <c r="AS18" s="76">
        <f>IFERROR(TR/(RadSpec!F18*IFPR_far_adj*CF_pear),".")</f>
        <v>5.0501097799429098E-4</v>
      </c>
      <c r="AT18" s="76">
        <f>IFERROR(TR/(RadSpec!F18*IFPE_far_adj*CF_peas),".")</f>
        <v>1.0594765738202421E-3</v>
      </c>
      <c r="AU18" s="76">
        <f>IFERROR(TR/(RadSpec!F18*IFPP_far_adj*CF_peppers),".")</f>
        <v>1.4795584172089451E-3</v>
      </c>
      <c r="AV18" s="76">
        <f>IFERROR(TR/(RadSpec!F18*IFPT_far_adj*CF_potato),".")</f>
        <v>2.4690037455176914E-4</v>
      </c>
      <c r="AW18" s="76">
        <f>IFERROR(TR/(RadSpec!F18*IFPU_far_adj*CF_pumpkin),".")</f>
        <v>5.5462407643603619E-4</v>
      </c>
      <c r="AX18" s="76">
        <f>IFERROR(TR/(RadSpec!F18*IFSN_far_adj*CF_snap_bean),".")</f>
        <v>6.2610189786098456E-4</v>
      </c>
      <c r="AY18" s="76">
        <f>IFERROR(TR/(RadSpec!F18*IFST_far_adj*CF_strawberry),".")</f>
        <v>8.2048761715288333E-4</v>
      </c>
      <c r="AZ18" s="76">
        <f>IFERROR(TR/(RadSpec!F18*IFTO_far_adj*CF_tomato),".")</f>
        <v>3.6761613230548127E-4</v>
      </c>
      <c r="BA18" s="76">
        <f>IFERROR(TR/(RadSpec!F18*IFRI_far_adj*CF_rice),".")</f>
        <v>3.9405232256450553E-4</v>
      </c>
      <c r="BB18" s="76">
        <f>IFERROR(TR/(RadSpec!F18*IFCG_far_adj*CF_cereal),".")</f>
        <v>3.9976718694371201E-4</v>
      </c>
    </row>
    <row r="19" spans="1:54" x14ac:dyDescent="0.25">
      <c r="A19" s="92" t="s">
        <v>29</v>
      </c>
      <c r="B19" s="90" t="s">
        <v>1071</v>
      </c>
      <c r="C19" s="2" t="str">
        <f t="shared" si="1"/>
        <v>.</v>
      </c>
      <c r="D19" s="76" t="str">
        <f>IFERROR(TR/(RadSpec!F19*IFAP_res_adj*CF_apple),".")</f>
        <v>.</v>
      </c>
      <c r="E19" s="76" t="str">
        <f>IFERROR(TR/(RadSpec!F19*IFAS_res_adj*CF_asparagus),".")</f>
        <v>.</v>
      </c>
      <c r="F19" s="76" t="str">
        <f>IFERROR(TR/(RadSpec!F19*IFBT_res_adj*CF_beet),".")</f>
        <v>.</v>
      </c>
      <c r="G19" s="76" t="str">
        <f>IFERROR(TR/(RadSpec!F19*IFBE_res_adj*CF_berries),".")</f>
        <v>.</v>
      </c>
      <c r="H19" s="76" t="str">
        <f>IFERROR(TR/(RadSpec!F19*IFBR_res_adj*CF_broccoli),".")</f>
        <v>.</v>
      </c>
      <c r="I19" s="76" t="str">
        <f>IFERROR(TR/(RadSpec!F19*IFCB_res_adj*CF_cabbage),".")</f>
        <v>.</v>
      </c>
      <c r="J19" s="76" t="str">
        <f>IFERROR(TR/(RadSpec!F19*IFCR_res_adj*CF_carrot),".")</f>
        <v>.</v>
      </c>
      <c r="K19" s="76" t="str">
        <f>IFERROR(TR/(RadSpec!F19*IFCI_res_adj*CF_citrus),".")</f>
        <v>.</v>
      </c>
      <c r="L19" s="76" t="str">
        <f>IFERROR(TR/(RadSpec!F19*IFCO_res_adj*CF_corn),".")</f>
        <v>.</v>
      </c>
      <c r="M19" s="76" t="str">
        <f>IFERROR(TR/(RadSpec!F19*IFCU_res_adj*CF_cucumber),".")</f>
        <v>.</v>
      </c>
      <c r="N19" s="76" t="str">
        <f>IFERROR(TR/(RadSpec!F19*IFLE_res_adj*CF_lettuce),".")</f>
        <v>.</v>
      </c>
      <c r="O19" s="76" t="str">
        <f>IFERROR(TR/(RadSpec!F19*IFLI_res_adj*CF_lima_bean),".")</f>
        <v>.</v>
      </c>
      <c r="P19" s="76" t="str">
        <f>IFERROR(TR/(RadSpec!F19*IFOK_res_adj*CF_okra),".")</f>
        <v>.</v>
      </c>
      <c r="Q19" s="76" t="str">
        <f>IFERROR(TR/(RadSpec!F19*IFON_res_adj*CF_onion),".")</f>
        <v>.</v>
      </c>
      <c r="R19" s="76" t="str">
        <f>IFERROR(TR/(RadSpec!F19*IFPC_res_adj*CF_peach),".")</f>
        <v>.</v>
      </c>
      <c r="S19" s="76" t="str">
        <f>IFERROR(TR/(RadSpec!F19*IFPR_res_adj*CF_pear),".")</f>
        <v>.</v>
      </c>
      <c r="T19" s="76" t="str">
        <f>IFERROR(TR/(RadSpec!F19*IFPE_res_adj*CF_peas),".")</f>
        <v>.</v>
      </c>
      <c r="U19" s="76" t="str">
        <f>IFERROR(TR/(RadSpec!F19*IFPP_res_adj*CF_peppers),".")</f>
        <v>.</v>
      </c>
      <c r="V19" s="76" t="str">
        <f>IFERROR(TR/(RadSpec!F19*IFPT_res_adj*CF_potato),".")</f>
        <v>.</v>
      </c>
      <c r="W19" s="76" t="str">
        <f>IFERROR(TR/(RadSpec!F19*IFPU_res_adj*CF_pumpkin),".")</f>
        <v>.</v>
      </c>
      <c r="X19" s="76" t="str">
        <f>IFERROR(TR/(RadSpec!F19*IFSN_res_adj*CF_snap_bean),".")</f>
        <v>.</v>
      </c>
      <c r="Y19" s="76" t="str">
        <f>IFERROR(TR/(RadSpec!F19*IFST_res_adj*CF_strawberry),".")</f>
        <v>.</v>
      </c>
      <c r="Z19" s="76" t="str">
        <f>IFERROR(TR/(RadSpec!F19*IFTO_res_adj*CF_tomato),".")</f>
        <v>.</v>
      </c>
      <c r="AA19" s="76" t="str">
        <f>IFERROR(TR/(RadSpec!F19*IFRI_res_adj*CF_rice),".")</f>
        <v>.</v>
      </c>
      <c r="AB19" s="76" t="str">
        <f>IFERROR(TR/(RadSpec!F19*IFCG_res_adj*CF_cereal),".")</f>
        <v>.</v>
      </c>
      <c r="AC19" s="76" t="str">
        <f t="shared" si="0"/>
        <v>.</v>
      </c>
      <c r="AD19" s="76" t="str">
        <f>IFERROR(TR/(RadSpec!F19*IFAP_far_adj*CF_apple),".")</f>
        <v>.</v>
      </c>
      <c r="AE19" s="76" t="str">
        <f>IFERROR(TR/(RadSpec!F19*IFAS_far_adj*CF_asparagus),".")</f>
        <v>.</v>
      </c>
      <c r="AF19" s="76" t="str">
        <f>IFERROR(TR/(RadSpec!F19*IFBT_far_adj*CF_beet),".")</f>
        <v>.</v>
      </c>
      <c r="AG19" s="76" t="str">
        <f>IFERROR(TR/(RadSpec!F19*IFBE_far_adj*CF_berries),".")</f>
        <v>.</v>
      </c>
      <c r="AH19" s="76" t="str">
        <f>IFERROR(TR/(RadSpec!F19*IFBR_far_adj*CF_broccoli),".")</f>
        <v>.</v>
      </c>
      <c r="AI19" s="76" t="str">
        <f>IFERROR(TR/(RadSpec!F19*IFCB_far_adj*CF_cabbage),".")</f>
        <v>.</v>
      </c>
      <c r="AJ19" s="76" t="str">
        <f>IFERROR(TR/(RadSpec!F19*IFCR_far_adj*CF_carrot),".")</f>
        <v>.</v>
      </c>
      <c r="AK19" s="76" t="str">
        <f>IFERROR(TR/(RadSpec!F19*IFCI_far_adj*CF_citrus),".")</f>
        <v>.</v>
      </c>
      <c r="AL19" s="76" t="str">
        <f>IFERROR(TR/(RadSpec!F19*IFCO_far_adj*CF_corn),".")</f>
        <v>.</v>
      </c>
      <c r="AM19" s="76" t="str">
        <f>IFERROR(TR/(RadSpec!F19*IFCU_far_adj*CF_cucumber),".")</f>
        <v>.</v>
      </c>
      <c r="AN19" s="76" t="str">
        <f>IFERROR(TR/(RadSpec!F19*IFLE_far_adj*CF_lettuce),".")</f>
        <v>.</v>
      </c>
      <c r="AO19" s="76" t="str">
        <f>IFERROR(TR/(RadSpec!F19*IFLI_far_adj*CF_lima_bean),".")</f>
        <v>.</v>
      </c>
      <c r="AP19" s="76" t="str">
        <f>IFERROR(TR/(RadSpec!F19*IFOK_far_adj*CF_okra),".")</f>
        <v>.</v>
      </c>
      <c r="AQ19" s="76" t="str">
        <f>IFERROR(TR/(RadSpec!F19*IFON_far_adj*CF_onion),".")</f>
        <v>.</v>
      </c>
      <c r="AR19" s="76" t="str">
        <f>IFERROR(TR/(RadSpec!F19*IFPC_far_adj*CF_peach),".")</f>
        <v>.</v>
      </c>
      <c r="AS19" s="76" t="str">
        <f>IFERROR(TR/(RadSpec!F19*IFPR_far_adj*CF_pear),".")</f>
        <v>.</v>
      </c>
      <c r="AT19" s="76" t="str">
        <f>IFERROR(TR/(RadSpec!F19*IFPE_far_adj*CF_peas),".")</f>
        <v>.</v>
      </c>
      <c r="AU19" s="76" t="str">
        <f>IFERROR(TR/(RadSpec!F19*IFPP_far_adj*CF_peppers),".")</f>
        <v>.</v>
      </c>
      <c r="AV19" s="76" t="str">
        <f>IFERROR(TR/(RadSpec!F19*IFPT_far_adj*CF_potato),".")</f>
        <v>.</v>
      </c>
      <c r="AW19" s="76" t="str">
        <f>IFERROR(TR/(RadSpec!F19*IFPU_far_adj*CF_pumpkin),".")</f>
        <v>.</v>
      </c>
      <c r="AX19" s="76" t="str">
        <f>IFERROR(TR/(RadSpec!F19*IFSN_far_adj*CF_snap_bean),".")</f>
        <v>.</v>
      </c>
      <c r="AY19" s="76" t="str">
        <f>IFERROR(TR/(RadSpec!F19*IFST_far_adj*CF_strawberry),".")</f>
        <v>.</v>
      </c>
      <c r="AZ19" s="76" t="str">
        <f>IFERROR(TR/(RadSpec!F19*IFTO_far_adj*CF_tomato),".")</f>
        <v>.</v>
      </c>
      <c r="BA19" s="76" t="str">
        <f>IFERROR(TR/(RadSpec!F19*IFRI_far_adj*CF_rice),".")</f>
        <v>.</v>
      </c>
      <c r="BB19" s="76" t="str">
        <f>IFERROR(TR/(RadSpec!F19*IFCG_far_adj*CF_cereal),".")</f>
        <v>.</v>
      </c>
    </row>
    <row r="20" spans="1:54" x14ac:dyDescent="0.25">
      <c r="A20" s="92" t="s">
        <v>30</v>
      </c>
      <c r="B20" s="90" t="s">
        <v>1071</v>
      </c>
      <c r="C20" s="2" t="str">
        <f t="shared" si="1"/>
        <v>.</v>
      </c>
      <c r="D20" s="76" t="str">
        <f>IFERROR(TR/(RadSpec!F20*IFAP_res_adj*CF_apple),".")</f>
        <v>.</v>
      </c>
      <c r="E20" s="76" t="str">
        <f>IFERROR(TR/(RadSpec!F20*IFAS_res_adj*CF_asparagus),".")</f>
        <v>.</v>
      </c>
      <c r="F20" s="76" t="str">
        <f>IFERROR(TR/(RadSpec!F20*IFBT_res_adj*CF_beet),".")</f>
        <v>.</v>
      </c>
      <c r="G20" s="76" t="str">
        <f>IFERROR(TR/(RadSpec!F20*IFBE_res_adj*CF_berries),".")</f>
        <v>.</v>
      </c>
      <c r="H20" s="76" t="str">
        <f>IFERROR(TR/(RadSpec!F20*IFBR_res_adj*CF_broccoli),".")</f>
        <v>.</v>
      </c>
      <c r="I20" s="76" t="str">
        <f>IFERROR(TR/(RadSpec!F20*IFCB_res_adj*CF_cabbage),".")</f>
        <v>.</v>
      </c>
      <c r="J20" s="76" t="str">
        <f>IFERROR(TR/(RadSpec!F20*IFCR_res_adj*CF_carrot),".")</f>
        <v>.</v>
      </c>
      <c r="K20" s="76" t="str">
        <f>IFERROR(TR/(RadSpec!F20*IFCI_res_adj*CF_citrus),".")</f>
        <v>.</v>
      </c>
      <c r="L20" s="76" t="str">
        <f>IFERROR(TR/(RadSpec!F20*IFCO_res_adj*CF_corn),".")</f>
        <v>.</v>
      </c>
      <c r="M20" s="76" t="str">
        <f>IFERROR(TR/(RadSpec!F20*IFCU_res_adj*CF_cucumber),".")</f>
        <v>.</v>
      </c>
      <c r="N20" s="76" t="str">
        <f>IFERROR(TR/(RadSpec!F20*IFLE_res_adj*CF_lettuce),".")</f>
        <v>.</v>
      </c>
      <c r="O20" s="76" t="str">
        <f>IFERROR(TR/(RadSpec!F20*IFLI_res_adj*CF_lima_bean),".")</f>
        <v>.</v>
      </c>
      <c r="P20" s="76" t="str">
        <f>IFERROR(TR/(RadSpec!F20*IFOK_res_adj*CF_okra),".")</f>
        <v>.</v>
      </c>
      <c r="Q20" s="76" t="str">
        <f>IFERROR(TR/(RadSpec!F20*IFON_res_adj*CF_onion),".")</f>
        <v>.</v>
      </c>
      <c r="R20" s="76" t="str">
        <f>IFERROR(TR/(RadSpec!F20*IFPC_res_adj*CF_peach),".")</f>
        <v>.</v>
      </c>
      <c r="S20" s="76" t="str">
        <f>IFERROR(TR/(RadSpec!F20*IFPR_res_adj*CF_pear),".")</f>
        <v>.</v>
      </c>
      <c r="T20" s="76" t="str">
        <f>IFERROR(TR/(RadSpec!F20*IFPE_res_adj*CF_peas),".")</f>
        <v>.</v>
      </c>
      <c r="U20" s="76" t="str">
        <f>IFERROR(TR/(RadSpec!F20*IFPP_res_adj*CF_peppers),".")</f>
        <v>.</v>
      </c>
      <c r="V20" s="76" t="str">
        <f>IFERROR(TR/(RadSpec!F20*IFPT_res_adj*CF_potato),".")</f>
        <v>.</v>
      </c>
      <c r="W20" s="76" t="str">
        <f>IFERROR(TR/(RadSpec!F20*IFPU_res_adj*CF_pumpkin),".")</f>
        <v>.</v>
      </c>
      <c r="X20" s="76" t="str">
        <f>IFERROR(TR/(RadSpec!F20*IFSN_res_adj*CF_snap_bean),".")</f>
        <v>.</v>
      </c>
      <c r="Y20" s="76" t="str">
        <f>IFERROR(TR/(RadSpec!F20*IFST_res_adj*CF_strawberry),".")</f>
        <v>.</v>
      </c>
      <c r="Z20" s="76" t="str">
        <f>IFERROR(TR/(RadSpec!F20*IFTO_res_adj*CF_tomato),".")</f>
        <v>.</v>
      </c>
      <c r="AA20" s="76" t="str">
        <f>IFERROR(TR/(RadSpec!F20*IFRI_res_adj*CF_rice),".")</f>
        <v>.</v>
      </c>
      <c r="AB20" s="76" t="str">
        <f>IFERROR(TR/(RadSpec!F20*IFCG_res_adj*CF_cereal),".")</f>
        <v>.</v>
      </c>
      <c r="AC20" s="76" t="str">
        <f t="shared" si="0"/>
        <v>.</v>
      </c>
      <c r="AD20" s="76" t="str">
        <f>IFERROR(TR/(RadSpec!F20*IFAP_far_adj*CF_apple),".")</f>
        <v>.</v>
      </c>
      <c r="AE20" s="76" t="str">
        <f>IFERROR(TR/(RadSpec!F20*IFAS_far_adj*CF_asparagus),".")</f>
        <v>.</v>
      </c>
      <c r="AF20" s="76" t="str">
        <f>IFERROR(TR/(RadSpec!F20*IFBT_far_adj*CF_beet),".")</f>
        <v>.</v>
      </c>
      <c r="AG20" s="76" t="str">
        <f>IFERROR(TR/(RadSpec!F20*IFBE_far_adj*CF_berries),".")</f>
        <v>.</v>
      </c>
      <c r="AH20" s="76" t="str">
        <f>IFERROR(TR/(RadSpec!F20*IFBR_far_adj*CF_broccoli),".")</f>
        <v>.</v>
      </c>
      <c r="AI20" s="76" t="str">
        <f>IFERROR(TR/(RadSpec!F20*IFCB_far_adj*CF_cabbage),".")</f>
        <v>.</v>
      </c>
      <c r="AJ20" s="76" t="str">
        <f>IFERROR(TR/(RadSpec!F20*IFCR_far_adj*CF_carrot),".")</f>
        <v>.</v>
      </c>
      <c r="AK20" s="76" t="str">
        <f>IFERROR(TR/(RadSpec!F20*IFCI_far_adj*CF_citrus),".")</f>
        <v>.</v>
      </c>
      <c r="AL20" s="76" t="str">
        <f>IFERROR(TR/(RadSpec!F20*IFCO_far_adj*CF_corn),".")</f>
        <v>.</v>
      </c>
      <c r="AM20" s="76" t="str">
        <f>IFERROR(TR/(RadSpec!F20*IFCU_far_adj*CF_cucumber),".")</f>
        <v>.</v>
      </c>
      <c r="AN20" s="76" t="str">
        <f>IFERROR(TR/(RadSpec!F20*IFLE_far_adj*CF_lettuce),".")</f>
        <v>.</v>
      </c>
      <c r="AO20" s="76" t="str">
        <f>IFERROR(TR/(RadSpec!F20*IFLI_far_adj*CF_lima_bean),".")</f>
        <v>.</v>
      </c>
      <c r="AP20" s="76" t="str">
        <f>IFERROR(TR/(RadSpec!F20*IFOK_far_adj*CF_okra),".")</f>
        <v>.</v>
      </c>
      <c r="AQ20" s="76" t="str">
        <f>IFERROR(TR/(RadSpec!F20*IFON_far_adj*CF_onion),".")</f>
        <v>.</v>
      </c>
      <c r="AR20" s="76" t="str">
        <f>IFERROR(TR/(RadSpec!F20*IFPC_far_adj*CF_peach),".")</f>
        <v>.</v>
      </c>
      <c r="AS20" s="76" t="str">
        <f>IFERROR(TR/(RadSpec!F20*IFPR_far_adj*CF_pear),".")</f>
        <v>.</v>
      </c>
      <c r="AT20" s="76" t="str">
        <f>IFERROR(TR/(RadSpec!F20*IFPE_far_adj*CF_peas),".")</f>
        <v>.</v>
      </c>
      <c r="AU20" s="76" t="str">
        <f>IFERROR(TR/(RadSpec!F20*IFPP_far_adj*CF_peppers),".")</f>
        <v>.</v>
      </c>
      <c r="AV20" s="76" t="str">
        <f>IFERROR(TR/(RadSpec!F20*IFPT_far_adj*CF_potato),".")</f>
        <v>.</v>
      </c>
      <c r="AW20" s="76" t="str">
        <f>IFERROR(TR/(RadSpec!F20*IFPU_far_adj*CF_pumpkin),".")</f>
        <v>.</v>
      </c>
      <c r="AX20" s="76" t="str">
        <f>IFERROR(TR/(RadSpec!F20*IFSN_far_adj*CF_snap_bean),".")</f>
        <v>.</v>
      </c>
      <c r="AY20" s="76" t="str">
        <f>IFERROR(TR/(RadSpec!F20*IFST_far_adj*CF_strawberry),".")</f>
        <v>.</v>
      </c>
      <c r="AZ20" s="76" t="str">
        <f>IFERROR(TR/(RadSpec!F20*IFTO_far_adj*CF_tomato),".")</f>
        <v>.</v>
      </c>
      <c r="BA20" s="76" t="str">
        <f>IFERROR(TR/(RadSpec!F20*IFRI_far_adj*CF_rice),".")</f>
        <v>.</v>
      </c>
      <c r="BB20" s="76" t="str">
        <f>IFERROR(TR/(RadSpec!F20*IFCG_far_adj*CF_cereal),".")</f>
        <v>.</v>
      </c>
    </row>
    <row r="21" spans="1:54" x14ac:dyDescent="0.25">
      <c r="A21" s="92" t="s">
        <v>31</v>
      </c>
      <c r="B21" s="90" t="s">
        <v>1071</v>
      </c>
      <c r="C21" s="2" t="str">
        <f t="shared" si="1"/>
        <v>.</v>
      </c>
      <c r="D21" s="76" t="str">
        <f>IFERROR(TR/(RadSpec!F21*IFAP_res_adj*CF_apple),".")</f>
        <v>.</v>
      </c>
      <c r="E21" s="76" t="str">
        <f>IFERROR(TR/(RadSpec!F21*IFAS_res_adj*CF_asparagus),".")</f>
        <v>.</v>
      </c>
      <c r="F21" s="76" t="str">
        <f>IFERROR(TR/(RadSpec!F21*IFBT_res_adj*CF_beet),".")</f>
        <v>.</v>
      </c>
      <c r="G21" s="76" t="str">
        <f>IFERROR(TR/(RadSpec!F21*IFBE_res_adj*CF_berries),".")</f>
        <v>.</v>
      </c>
      <c r="H21" s="76" t="str">
        <f>IFERROR(TR/(RadSpec!F21*IFBR_res_adj*CF_broccoli),".")</f>
        <v>.</v>
      </c>
      <c r="I21" s="76" t="str">
        <f>IFERROR(TR/(RadSpec!F21*IFCB_res_adj*CF_cabbage),".")</f>
        <v>.</v>
      </c>
      <c r="J21" s="76" t="str">
        <f>IFERROR(TR/(RadSpec!F21*IFCR_res_adj*CF_carrot),".")</f>
        <v>.</v>
      </c>
      <c r="K21" s="76" t="str">
        <f>IFERROR(TR/(RadSpec!F21*IFCI_res_adj*CF_citrus),".")</f>
        <v>.</v>
      </c>
      <c r="L21" s="76" t="str">
        <f>IFERROR(TR/(RadSpec!F21*IFCO_res_adj*CF_corn),".")</f>
        <v>.</v>
      </c>
      <c r="M21" s="76" t="str">
        <f>IFERROR(TR/(RadSpec!F21*IFCU_res_adj*CF_cucumber),".")</f>
        <v>.</v>
      </c>
      <c r="N21" s="76" t="str">
        <f>IFERROR(TR/(RadSpec!F21*IFLE_res_adj*CF_lettuce),".")</f>
        <v>.</v>
      </c>
      <c r="O21" s="76" t="str">
        <f>IFERROR(TR/(RadSpec!F21*IFLI_res_adj*CF_lima_bean),".")</f>
        <v>.</v>
      </c>
      <c r="P21" s="76" t="str">
        <f>IFERROR(TR/(RadSpec!F21*IFOK_res_adj*CF_okra),".")</f>
        <v>.</v>
      </c>
      <c r="Q21" s="76" t="str">
        <f>IFERROR(TR/(RadSpec!F21*IFON_res_adj*CF_onion),".")</f>
        <v>.</v>
      </c>
      <c r="R21" s="76" t="str">
        <f>IFERROR(TR/(RadSpec!F21*IFPC_res_adj*CF_peach),".")</f>
        <v>.</v>
      </c>
      <c r="S21" s="76" t="str">
        <f>IFERROR(TR/(RadSpec!F21*IFPR_res_adj*CF_pear),".")</f>
        <v>.</v>
      </c>
      <c r="T21" s="76" t="str">
        <f>IFERROR(TR/(RadSpec!F21*IFPE_res_adj*CF_peas),".")</f>
        <v>.</v>
      </c>
      <c r="U21" s="76" t="str">
        <f>IFERROR(TR/(RadSpec!F21*IFPP_res_adj*CF_peppers),".")</f>
        <v>.</v>
      </c>
      <c r="V21" s="76" t="str">
        <f>IFERROR(TR/(RadSpec!F21*IFPT_res_adj*CF_potato),".")</f>
        <v>.</v>
      </c>
      <c r="W21" s="76" t="str">
        <f>IFERROR(TR/(RadSpec!F21*IFPU_res_adj*CF_pumpkin),".")</f>
        <v>.</v>
      </c>
      <c r="X21" s="76" t="str">
        <f>IFERROR(TR/(RadSpec!F21*IFSN_res_adj*CF_snap_bean),".")</f>
        <v>.</v>
      </c>
      <c r="Y21" s="76" t="str">
        <f>IFERROR(TR/(RadSpec!F21*IFST_res_adj*CF_strawberry),".")</f>
        <v>.</v>
      </c>
      <c r="Z21" s="76" t="str">
        <f>IFERROR(TR/(RadSpec!F21*IFTO_res_adj*CF_tomato),".")</f>
        <v>.</v>
      </c>
      <c r="AA21" s="76" t="str">
        <f>IFERROR(TR/(RadSpec!F21*IFRI_res_adj*CF_rice),".")</f>
        <v>.</v>
      </c>
      <c r="AB21" s="76" t="str">
        <f>IFERROR(TR/(RadSpec!F21*IFCG_res_adj*CF_cereal),".")</f>
        <v>.</v>
      </c>
      <c r="AC21" s="76" t="str">
        <f t="shared" si="0"/>
        <v>.</v>
      </c>
      <c r="AD21" s="76" t="str">
        <f>IFERROR(TR/(RadSpec!F21*IFAP_far_adj*CF_apple),".")</f>
        <v>.</v>
      </c>
      <c r="AE21" s="76" t="str">
        <f>IFERROR(TR/(RadSpec!F21*IFAS_far_adj*CF_asparagus),".")</f>
        <v>.</v>
      </c>
      <c r="AF21" s="76" t="str">
        <f>IFERROR(TR/(RadSpec!F21*IFBT_far_adj*CF_beet),".")</f>
        <v>.</v>
      </c>
      <c r="AG21" s="76" t="str">
        <f>IFERROR(TR/(RadSpec!F21*IFBE_far_adj*CF_berries),".")</f>
        <v>.</v>
      </c>
      <c r="AH21" s="76" t="str">
        <f>IFERROR(TR/(RadSpec!F21*IFBR_far_adj*CF_broccoli),".")</f>
        <v>.</v>
      </c>
      <c r="AI21" s="76" t="str">
        <f>IFERROR(TR/(RadSpec!F21*IFCB_far_adj*CF_cabbage),".")</f>
        <v>.</v>
      </c>
      <c r="AJ21" s="76" t="str">
        <f>IFERROR(TR/(RadSpec!F21*IFCR_far_adj*CF_carrot),".")</f>
        <v>.</v>
      </c>
      <c r="AK21" s="76" t="str">
        <f>IFERROR(TR/(RadSpec!F21*IFCI_far_adj*CF_citrus),".")</f>
        <v>.</v>
      </c>
      <c r="AL21" s="76" t="str">
        <f>IFERROR(TR/(RadSpec!F21*IFCO_far_adj*CF_corn),".")</f>
        <v>.</v>
      </c>
      <c r="AM21" s="76" t="str">
        <f>IFERROR(TR/(RadSpec!F21*IFCU_far_adj*CF_cucumber),".")</f>
        <v>.</v>
      </c>
      <c r="AN21" s="76" t="str">
        <f>IFERROR(TR/(RadSpec!F21*IFLE_far_adj*CF_lettuce),".")</f>
        <v>.</v>
      </c>
      <c r="AO21" s="76" t="str">
        <f>IFERROR(TR/(RadSpec!F21*IFLI_far_adj*CF_lima_bean),".")</f>
        <v>.</v>
      </c>
      <c r="AP21" s="76" t="str">
        <f>IFERROR(TR/(RadSpec!F21*IFOK_far_adj*CF_okra),".")</f>
        <v>.</v>
      </c>
      <c r="AQ21" s="76" t="str">
        <f>IFERROR(TR/(RadSpec!F21*IFON_far_adj*CF_onion),".")</f>
        <v>.</v>
      </c>
      <c r="AR21" s="76" t="str">
        <f>IFERROR(TR/(RadSpec!F21*IFPC_far_adj*CF_peach),".")</f>
        <v>.</v>
      </c>
      <c r="AS21" s="76" t="str">
        <f>IFERROR(TR/(RadSpec!F21*IFPR_far_adj*CF_pear),".")</f>
        <v>.</v>
      </c>
      <c r="AT21" s="76" t="str">
        <f>IFERROR(TR/(RadSpec!F21*IFPE_far_adj*CF_peas),".")</f>
        <v>.</v>
      </c>
      <c r="AU21" s="76" t="str">
        <f>IFERROR(TR/(RadSpec!F21*IFPP_far_adj*CF_peppers),".")</f>
        <v>.</v>
      </c>
      <c r="AV21" s="76" t="str">
        <f>IFERROR(TR/(RadSpec!F21*IFPT_far_adj*CF_potato),".")</f>
        <v>.</v>
      </c>
      <c r="AW21" s="76" t="str">
        <f>IFERROR(TR/(RadSpec!F21*IFPU_far_adj*CF_pumpkin),".")</f>
        <v>.</v>
      </c>
      <c r="AX21" s="76" t="str">
        <f>IFERROR(TR/(RadSpec!F21*IFSN_far_adj*CF_snap_bean),".")</f>
        <v>.</v>
      </c>
      <c r="AY21" s="76" t="str">
        <f>IFERROR(TR/(RadSpec!F21*IFST_far_adj*CF_strawberry),".")</f>
        <v>.</v>
      </c>
      <c r="AZ21" s="76" t="str">
        <f>IFERROR(TR/(RadSpec!F21*IFTO_far_adj*CF_tomato),".")</f>
        <v>.</v>
      </c>
      <c r="BA21" s="76" t="str">
        <f>IFERROR(TR/(RadSpec!F21*IFRI_far_adj*CF_rice),".")</f>
        <v>.</v>
      </c>
      <c r="BB21" s="76" t="str">
        <f>IFERROR(TR/(RadSpec!F21*IFCG_far_adj*CF_cereal),".")</f>
        <v>.</v>
      </c>
    </row>
    <row r="22" spans="1:54" x14ac:dyDescent="0.25">
      <c r="A22" s="92" t="s">
        <v>32</v>
      </c>
      <c r="B22" s="90" t="s">
        <v>1071</v>
      </c>
      <c r="C22" s="2">
        <f t="shared" si="1"/>
        <v>5.3765119228020282E-4</v>
      </c>
      <c r="D22" s="76">
        <f>IFERROR(TR/(RadSpec!F22*IFAP_res_adj*CF_apple),".")</f>
        <v>9.7420144099006137E-3</v>
      </c>
      <c r="E22" s="76">
        <f>IFERROR(TR/(RadSpec!F22*IFAS_res_adj*CF_asparagus),".")</f>
        <v>2.1304382325292161E-2</v>
      </c>
      <c r="F22" s="76">
        <f>IFERROR(TR/(RadSpec!F22*IFBT_res_adj*CF_beet),".")</f>
        <v>2.5700618125566534E-2</v>
      </c>
      <c r="G22" s="76">
        <f>IFERROR(TR/(RadSpec!F22*IFBE_res_adj*CF_berries),".")</f>
        <v>2.1911502028862662E-2</v>
      </c>
      <c r="H22" s="76">
        <f>IFERROR(TR/(RadSpec!F22*IFBR_res_adj*CF_broccoli),".")</f>
        <v>2.6998327804570767E-2</v>
      </c>
      <c r="I22" s="76">
        <f>IFERROR(TR/(RadSpec!F22*IFCB_res_adj*CF_cabbage),".")</f>
        <v>1.0495965434854565E-2</v>
      </c>
      <c r="J22" s="76">
        <f>IFERROR(TR/(RadSpec!F22*IFCR_res_adj*CF_carrot),".")</f>
        <v>2.9582269511780876E-2</v>
      </c>
      <c r="K22" s="76">
        <f>IFERROR(TR/(RadSpec!F22*IFCI_res_adj*CF_citrus),".")</f>
        <v>2.5260993107399095E-3</v>
      </c>
      <c r="L22" s="76">
        <f>IFERROR(TR/(RadSpec!F22*IFCO_res_adj*CF_corn),".")</f>
        <v>1.3852924004548966E-2</v>
      </c>
      <c r="M22" s="76">
        <f>IFERROR(TR/(RadSpec!F22*IFCU_res_adj*CF_cucumber),".")</f>
        <v>1.0377717525326366E-2</v>
      </c>
      <c r="N22" s="76">
        <f>IFERROR(TR/(RadSpec!F22*IFLE_res_adj*CF_lettuce),".")</f>
        <v>2.4664962252001817E-2</v>
      </c>
      <c r="O22" s="76">
        <f>IFERROR(TR/(RadSpec!F22*IFLI_res_adj*CF_lima_bean),".")</f>
        <v>2.2971910522111321E-2</v>
      </c>
      <c r="P22" s="76">
        <f>IFERROR(TR/(RadSpec!F22*IFOK_res_adj*CF_okra),".")</f>
        <v>2.8006091997155588E-2</v>
      </c>
      <c r="Q22" s="76">
        <f>IFERROR(TR/(RadSpec!F22*IFON_res_adj*CF_onion),".")</f>
        <v>3.9981193646132729E-2</v>
      </c>
      <c r="R22" s="76">
        <f>IFERROR(TR/(RadSpec!F22*IFPC_res_adj*CF_peach),".")</f>
        <v>6.2541165376815587E-3</v>
      </c>
      <c r="S22" s="76">
        <f>IFERROR(TR/(RadSpec!F22*IFPR_res_adj*CF_pear),".")</f>
        <v>1.2758672190695401E-2</v>
      </c>
      <c r="T22" s="76">
        <f>IFERROR(TR/(RadSpec!F22*IFPE_res_adj*CF_peas),".")</f>
        <v>2.2268127720093553E-2</v>
      </c>
      <c r="U22" s="76">
        <f>IFERROR(TR/(RadSpec!F22*IFPP_res_adj*CF_peppers),".")</f>
        <v>4.4578935129157095E-2</v>
      </c>
      <c r="V22" s="76">
        <f>IFERROR(TR/(RadSpec!F22*IFPT_res_adj*CF_potato),".")</f>
        <v>6.5523091495563674E-3</v>
      </c>
      <c r="W22" s="76">
        <f>IFERROR(TR/(RadSpec!F22*IFPU_res_adj*CF_pumpkin),".")</f>
        <v>1.3317526140073128E-2</v>
      </c>
      <c r="X22" s="76">
        <f>IFERROR(TR/(RadSpec!F22*IFSN_res_adj*CF_snap_bean),".")</f>
        <v>1.4935982920942503E-2</v>
      </c>
      <c r="Y22" s="76">
        <f>IFERROR(TR/(RadSpec!F22*IFST_res_adj*CF_strawberry),".")</f>
        <v>1.9045289173910105E-2</v>
      </c>
      <c r="Z22" s="76">
        <f>IFERROR(TR/(RadSpec!F22*IFTO_res_adj*CF_tomato),".")</f>
        <v>1.0235009638564451E-2</v>
      </c>
      <c r="AA22" s="76">
        <f>IFERROR(TR/(RadSpec!F22*IFRI_res_adj*CF_rice),".")</f>
        <v>9.8764583454937216E-3</v>
      </c>
      <c r="AB22" s="76">
        <f>IFERROR(TR/(RadSpec!F22*IFCG_res_adj*CF_cereal),".")</f>
        <v>1.1326544632889075E-2</v>
      </c>
      <c r="AC22" s="76">
        <f t="shared" si="0"/>
        <v>3.2871278729808246E-4</v>
      </c>
      <c r="AD22" s="76">
        <f>IFERROR(TR/(RadSpec!F22*IFAP_far_adj*CF_apple),".")</f>
        <v>5.5060802281204271E-3</v>
      </c>
      <c r="AE22" s="76">
        <f>IFERROR(TR/(RadSpec!F22*IFAS_far_adj*CF_asparagus),".")</f>
        <v>1.2968530473174082E-2</v>
      </c>
      <c r="AF22" s="76">
        <f>IFERROR(TR/(RadSpec!F22*IFBT_far_adj*CF_beet),".")</f>
        <v>1.543401420281202E-2</v>
      </c>
      <c r="AG22" s="76">
        <f>IFERROR(TR/(RadSpec!F22*IFBE_far_adj*CF_berries),".")</f>
        <v>1.3865311119903257E-2</v>
      </c>
      <c r="AH22" s="76">
        <f>IFERROR(TR/(RadSpec!F22*IFBR_far_adj*CF_broccoli),".")</f>
        <v>1.4907264479178155E-2</v>
      </c>
      <c r="AI22" s="76">
        <f>IFERROR(TR/(RadSpec!F22*IFCB_far_adj*CF_cabbage),".")</f>
        <v>6.7198438147021205E-3</v>
      </c>
      <c r="AJ22" s="76">
        <f>IFERROR(TR/(RadSpec!F22*IFCR_far_adj*CF_carrot),".")</f>
        <v>2.048805056475465E-2</v>
      </c>
      <c r="AK22" s="76">
        <f>IFERROR(TR/(RadSpec!F22*IFCI_far_adj*CF_citrus),".")</f>
        <v>1.5962295207094599E-3</v>
      </c>
      <c r="AL22" s="76">
        <f>IFERROR(TR/(RadSpec!F22*IFCO_far_adj*CF_corn),".")</f>
        <v>6.2419481794398438E-3</v>
      </c>
      <c r="AM22" s="76">
        <f>IFERROR(TR/(RadSpec!F22*IFCU_far_adj*CF_cucumber),".")</f>
        <v>9.4722294455865264E-3</v>
      </c>
      <c r="AN22" s="76">
        <f>IFERROR(TR/(RadSpec!F22*IFLE_far_adj*CF_lettuce),".")</f>
        <v>1.4672171205574965E-2</v>
      </c>
      <c r="AO22" s="76">
        <f>IFERROR(TR/(RadSpec!F22*IFLI_far_adj*CF_lima_bean),".")</f>
        <v>1.448485717181237E-2</v>
      </c>
      <c r="AP22" s="76">
        <f>IFERROR(TR/(RadSpec!F22*IFOK_far_adj*CF_okra),".")</f>
        <v>1.7070869287073555E-2</v>
      </c>
      <c r="AQ22" s="76">
        <f>IFERROR(TR/(RadSpec!F22*IFON_far_adj*CF_onion),".")</f>
        <v>1.9119654256997711E-2</v>
      </c>
      <c r="AR22" s="76">
        <f>IFERROR(TR/(RadSpec!F22*IFPC_far_adj*CF_peach),".")</f>
        <v>4.5443382803961735E-3</v>
      </c>
      <c r="AS22" s="76">
        <f>IFERROR(TR/(RadSpec!F22*IFPR_far_adj*CF_pear),".")</f>
        <v>7.4108839903258613E-3</v>
      </c>
      <c r="AT22" s="76">
        <f>IFERROR(TR/(RadSpec!F22*IFPE_far_adj*CF_peas),".")</f>
        <v>1.5547499601362109E-2</v>
      </c>
      <c r="AU22" s="76">
        <f>IFERROR(TR/(RadSpec!F22*IFPP_far_adj*CF_peppers),".")</f>
        <v>2.1712074122415603E-2</v>
      </c>
      <c r="AV22" s="76">
        <f>IFERROR(TR/(RadSpec!F22*IFPT_far_adj*CF_potato),".")</f>
        <v>3.6231886289645162E-3</v>
      </c>
      <c r="AW22" s="76">
        <f>IFERROR(TR/(RadSpec!F22*IFPU_far_adj*CF_pumpkin),".")</f>
        <v>8.1389412662541214E-3</v>
      </c>
      <c r="AX22" s="76">
        <f>IFERROR(TR/(RadSpec!F22*IFSN_far_adj*CF_snap_bean),".")</f>
        <v>9.1878567662009546E-3</v>
      </c>
      <c r="AY22" s="76">
        <f>IFERROR(TR/(RadSpec!F22*IFST_far_adj*CF_strawberry),".")</f>
        <v>1.2040408646894121E-2</v>
      </c>
      <c r="AZ22" s="76">
        <f>IFERROR(TR/(RadSpec!F22*IFTO_far_adj*CF_tomato),".")</f>
        <v>5.3946560138322429E-3</v>
      </c>
      <c r="BA22" s="76">
        <f>IFERROR(TR/(RadSpec!F22*IFRI_far_adj*CF_rice),".")</f>
        <v>5.7825991431755151E-3</v>
      </c>
      <c r="BB22" s="76">
        <f>IFERROR(TR/(RadSpec!F22*IFCG_far_adj*CF_cereal),".")</f>
        <v>5.8664630565956784E-3</v>
      </c>
    </row>
    <row r="23" spans="1:54" x14ac:dyDescent="0.25">
      <c r="A23" s="94" t="s">
        <v>33</v>
      </c>
      <c r="B23" s="90" t="s">
        <v>349</v>
      </c>
      <c r="C23" s="2">
        <f t="shared" si="1"/>
        <v>1.6052175884624759E-4</v>
      </c>
      <c r="D23" s="76">
        <f>IFERROR(TR/(RadSpec!F23*IFAP_res_adj*CF_apple),".")</f>
        <v>2.9085870360494644E-3</v>
      </c>
      <c r="E23" s="76">
        <f>IFERROR(TR/(RadSpec!F23*IFAS_res_adj*CF_asparagus),".")</f>
        <v>6.3606609100692419E-3</v>
      </c>
      <c r="F23" s="76">
        <f>IFERROR(TR/(RadSpec!F23*IFBT_res_adj*CF_beet),".")</f>
        <v>7.6732061310144702E-3</v>
      </c>
      <c r="G23" s="76">
        <f>IFERROR(TR/(RadSpec!F23*IFBE_res_adj*CF_berries),".")</f>
        <v>6.5419232676100754E-3</v>
      </c>
      <c r="H23" s="76">
        <f>IFERROR(TR/(RadSpec!F23*IFBR_res_adj*CF_broccoli),".")</f>
        <v>8.0606518265445102E-3</v>
      </c>
      <c r="I23" s="76">
        <f>IFERROR(TR/(RadSpec!F23*IFCB_res_adj*CF_cabbage),".")</f>
        <v>3.1336875219170105E-3</v>
      </c>
      <c r="J23" s="76">
        <f>IFERROR(TR/(RadSpec!F23*IFCR_res_adj*CF_carrot),".")</f>
        <v>8.8321164369705493E-3</v>
      </c>
      <c r="K23" s="76">
        <f>IFERROR(TR/(RadSpec!F23*IFCI_res_adj*CF_citrus),".")</f>
        <v>7.5419511795472122E-4</v>
      </c>
      <c r="L23" s="76">
        <f>IFERROR(TR/(RadSpec!F23*IFCO_res_adj*CF_corn),".")</f>
        <v>4.1359449366099432E-3</v>
      </c>
      <c r="M23" s="76">
        <f>IFERROR(TR/(RadSpec!F23*IFCU_res_adj*CF_cucumber),".")</f>
        <v>3.0983832899355696E-3</v>
      </c>
      <c r="N23" s="76">
        <f>IFERROR(TR/(RadSpec!F23*IFLE_res_adj*CF_lettuce),".")</f>
        <v>7.3639995212811185E-3</v>
      </c>
      <c r="O23" s="76">
        <f>IFERROR(TR/(RadSpec!F23*IFLI_res_adj*CF_lima_bean),".")</f>
        <v>6.8585200479684893E-3</v>
      </c>
      <c r="P23" s="76">
        <f>IFERROR(TR/(RadSpec!F23*IFOK_res_adj*CF_okra),".")</f>
        <v>8.3615310638989714E-3</v>
      </c>
      <c r="Q23" s="76">
        <f>IFERROR(TR/(RadSpec!F23*IFON_res_adj*CF_onion),".")</f>
        <v>1.1936831196507255E-2</v>
      </c>
      <c r="R23" s="76">
        <f>IFERROR(TR/(RadSpec!F23*IFPC_res_adj*CF_peach),".")</f>
        <v>1.8672362324732713E-3</v>
      </c>
      <c r="S23" s="76">
        <f>IFERROR(TR/(RadSpec!F23*IFPR_res_adj*CF_pear),".")</f>
        <v>3.8092438554953897E-3</v>
      </c>
      <c r="T23" s="76">
        <f>IFERROR(TR/(RadSpec!F23*IFPE_res_adj*CF_peas),".")</f>
        <v>6.6483978444883633E-3</v>
      </c>
      <c r="U23" s="76">
        <f>IFERROR(TR/(RadSpec!F23*IFPP_res_adj*CF_peppers),".")</f>
        <v>1.3309538186043307E-2</v>
      </c>
      <c r="V23" s="76">
        <f>IFERROR(TR/(RadSpec!F23*IFPT_res_adj*CF_potato),".")</f>
        <v>1.9562649619179083E-3</v>
      </c>
      <c r="W23" s="76">
        <f>IFERROR(TR/(RadSpec!F23*IFPU_res_adj*CF_pumpkin),".")</f>
        <v>3.9760959339067252E-3</v>
      </c>
      <c r="X23" s="76">
        <f>IFERROR(TR/(RadSpec!F23*IFSN_res_adj*CF_snap_bean),".")</f>
        <v>4.4593042533749207E-3</v>
      </c>
      <c r="Y23" s="76">
        <f>IFERROR(TR/(RadSpec!F23*IFST_res_adj*CF_strawberry),".")</f>
        <v>5.686183458397622E-3</v>
      </c>
      <c r="Z23" s="76">
        <f>IFERROR(TR/(RadSpec!F23*IFTO_res_adj*CF_tomato),".")</f>
        <v>3.0557762589958617E-3</v>
      </c>
      <c r="AA23" s="76">
        <f>IFERROR(TR/(RadSpec!F23*IFRI_res_adj*CF_rice),".")</f>
        <v>2.9487267722157519E-3</v>
      </c>
      <c r="AB23" s="76">
        <f>IFERROR(TR/(RadSpec!F23*IFCG_res_adj*CF_cereal),".")</f>
        <v>3.3816662033445805E-3</v>
      </c>
      <c r="AC23" s="76">
        <f t="shared" si="0"/>
        <v>9.8140868150146924E-5</v>
      </c>
      <c r="AD23" s="76">
        <f>IFERROR(TR/(RadSpec!F23*IFAP_far_adj*CF_apple),".")</f>
        <v>1.6439016508417103E-3</v>
      </c>
      <c r="AE23" s="76">
        <f>IFERROR(TR/(RadSpec!F23*IFAS_far_adj*CF_asparagus),".")</f>
        <v>3.8718993858757153E-3</v>
      </c>
      <c r="AF23" s="76">
        <f>IFERROR(TR/(RadSpec!F23*IFBT_far_adj*CF_beet),".")</f>
        <v>4.6079970461633014E-3</v>
      </c>
      <c r="AG23" s="76">
        <f>IFERROR(TR/(RadSpec!F23*IFBE_far_adj*CF_berries),".")</f>
        <v>4.1396432480286707E-3</v>
      </c>
      <c r="AH23" s="76">
        <f>IFERROR(TR/(RadSpec!F23*IFBR_far_adj*CF_broccoli),".")</f>
        <v>4.4507300423445575E-3</v>
      </c>
      <c r="AI23" s="76">
        <f>IFERROR(TR/(RadSpec!F23*IFCB_far_adj*CF_cabbage),".")</f>
        <v>2.0062843043894825E-3</v>
      </c>
      <c r="AJ23" s="76">
        <f>IFERROR(TR/(RadSpec!F23*IFCR_far_adj*CF_carrot),".")</f>
        <v>6.1169359599807056E-3</v>
      </c>
      <c r="AK23" s="76">
        <f>IFERROR(TR/(RadSpec!F23*IFCI_far_adj*CF_citrus),".")</f>
        <v>4.7657212308951501E-4</v>
      </c>
      <c r="AL23" s="76">
        <f>IFERROR(TR/(RadSpec!F23*IFCO_far_adj*CF_corn),".")</f>
        <v>1.8636032334298817E-3</v>
      </c>
      <c r="AM23" s="76">
        <f>IFERROR(TR/(RadSpec!F23*IFCU_far_adj*CF_cucumber),".")</f>
        <v>2.8280397265600062E-3</v>
      </c>
      <c r="AN23" s="76">
        <f>IFERROR(TR/(RadSpec!F23*IFLE_far_adj*CF_lettuce),".")</f>
        <v>4.3805403239666266E-3</v>
      </c>
      <c r="AO23" s="76">
        <f>IFERROR(TR/(RadSpec!F23*IFLI_far_adj*CF_lima_bean),".")</f>
        <v>4.3246156304331904E-3</v>
      </c>
      <c r="AP23" s="76">
        <f>IFERROR(TR/(RadSpec!F23*IFOK_far_adj*CF_okra),".")</f>
        <v>5.0966983842701619E-3</v>
      </c>
      <c r="AQ23" s="76">
        <f>IFERROR(TR/(RadSpec!F23*IFON_far_adj*CF_onion),".")</f>
        <v>5.7083859832043529E-3</v>
      </c>
      <c r="AR23" s="76">
        <f>IFERROR(TR/(RadSpec!F23*IFPC_far_adj*CF_peach),".")</f>
        <v>1.3567628678880664E-3</v>
      </c>
      <c r="AS23" s="76">
        <f>IFERROR(TR/(RadSpec!F23*IFPR_far_adj*CF_pear),".")</f>
        <v>2.212602054665635E-3</v>
      </c>
      <c r="AT23" s="76">
        <f>IFERROR(TR/(RadSpec!F23*IFPE_far_adj*CF_peas),".")</f>
        <v>4.64187937738509E-3</v>
      </c>
      <c r="AU23" s="76">
        <f>IFERROR(TR/(RadSpec!F23*IFPP_far_adj*CF_peppers),".")</f>
        <v>6.4823818423039399E-3</v>
      </c>
      <c r="AV23" s="76">
        <f>IFERROR(TR/(RadSpec!F23*IFPT_far_adj*CF_potato),".")</f>
        <v>1.0817433676404851E-3</v>
      </c>
      <c r="AW23" s="76">
        <f>IFERROR(TR/(RadSpec!F23*IFPU_far_adj*CF_pumpkin),".")</f>
        <v>2.4299716730183168E-3</v>
      </c>
      <c r="AX23" s="76">
        <f>IFERROR(TR/(RadSpec!F23*IFSN_far_adj*CF_snap_bean),".")</f>
        <v>2.7431370920671916E-3</v>
      </c>
      <c r="AY23" s="76">
        <f>IFERROR(TR/(RadSpec!F23*IFST_far_adj*CF_strawberry),".")</f>
        <v>3.5947982650798992E-3</v>
      </c>
      <c r="AZ23" s="76">
        <f>IFERROR(TR/(RadSpec!F23*IFTO_far_adj*CF_tomato),".")</f>
        <v>1.6106347091657416E-3</v>
      </c>
      <c r="BA23" s="76">
        <f>IFERROR(TR/(RadSpec!F23*IFRI_far_adj*CF_rice),".")</f>
        <v>1.7264594564157115E-3</v>
      </c>
      <c r="BB23" s="76">
        <f>IFERROR(TR/(RadSpec!F23*IFCG_far_adj*CF_cereal),".")</f>
        <v>1.7514979629404365E-3</v>
      </c>
    </row>
    <row r="24" spans="1:54" x14ac:dyDescent="0.25">
      <c r="A24" s="92" t="s">
        <v>34</v>
      </c>
      <c r="B24" s="90" t="s">
        <v>1071</v>
      </c>
      <c r="C24" s="2" t="str">
        <f t="shared" si="1"/>
        <v>.</v>
      </c>
      <c r="D24" s="76" t="str">
        <f>IFERROR(TR/(RadSpec!F24*IFAP_res_adj*CF_apple),".")</f>
        <v>.</v>
      </c>
      <c r="E24" s="76" t="str">
        <f>IFERROR(TR/(RadSpec!F24*IFAS_res_adj*CF_asparagus),".")</f>
        <v>.</v>
      </c>
      <c r="F24" s="76" t="str">
        <f>IFERROR(TR/(RadSpec!F24*IFBT_res_adj*CF_beet),".")</f>
        <v>.</v>
      </c>
      <c r="G24" s="76" t="str">
        <f>IFERROR(TR/(RadSpec!F24*IFBE_res_adj*CF_berries),".")</f>
        <v>.</v>
      </c>
      <c r="H24" s="76" t="str">
        <f>IFERROR(TR/(RadSpec!F24*IFBR_res_adj*CF_broccoli),".")</f>
        <v>.</v>
      </c>
      <c r="I24" s="76" t="str">
        <f>IFERROR(TR/(RadSpec!F24*IFCB_res_adj*CF_cabbage),".")</f>
        <v>.</v>
      </c>
      <c r="J24" s="76" t="str">
        <f>IFERROR(TR/(RadSpec!F24*IFCR_res_adj*CF_carrot),".")</f>
        <v>.</v>
      </c>
      <c r="K24" s="76" t="str">
        <f>IFERROR(TR/(RadSpec!F24*IFCI_res_adj*CF_citrus),".")</f>
        <v>.</v>
      </c>
      <c r="L24" s="76" t="str">
        <f>IFERROR(TR/(RadSpec!F24*IFCO_res_adj*CF_corn),".")</f>
        <v>.</v>
      </c>
      <c r="M24" s="76" t="str">
        <f>IFERROR(TR/(RadSpec!F24*IFCU_res_adj*CF_cucumber),".")</f>
        <v>.</v>
      </c>
      <c r="N24" s="76" t="str">
        <f>IFERROR(TR/(RadSpec!F24*IFLE_res_adj*CF_lettuce),".")</f>
        <v>.</v>
      </c>
      <c r="O24" s="76" t="str">
        <f>IFERROR(TR/(RadSpec!F24*IFLI_res_adj*CF_lima_bean),".")</f>
        <v>.</v>
      </c>
      <c r="P24" s="76" t="str">
        <f>IFERROR(TR/(RadSpec!F24*IFOK_res_adj*CF_okra),".")</f>
        <v>.</v>
      </c>
      <c r="Q24" s="76" t="str">
        <f>IFERROR(TR/(RadSpec!F24*IFON_res_adj*CF_onion),".")</f>
        <v>.</v>
      </c>
      <c r="R24" s="76" t="str">
        <f>IFERROR(TR/(RadSpec!F24*IFPC_res_adj*CF_peach),".")</f>
        <v>.</v>
      </c>
      <c r="S24" s="76" t="str">
        <f>IFERROR(TR/(RadSpec!F24*IFPR_res_adj*CF_pear),".")</f>
        <v>.</v>
      </c>
      <c r="T24" s="76" t="str">
        <f>IFERROR(TR/(RadSpec!F24*IFPE_res_adj*CF_peas),".")</f>
        <v>.</v>
      </c>
      <c r="U24" s="76" t="str">
        <f>IFERROR(TR/(RadSpec!F24*IFPP_res_adj*CF_peppers),".")</f>
        <v>.</v>
      </c>
      <c r="V24" s="76" t="str">
        <f>IFERROR(TR/(RadSpec!F24*IFPT_res_adj*CF_potato),".")</f>
        <v>.</v>
      </c>
      <c r="W24" s="76" t="str">
        <f>IFERROR(TR/(RadSpec!F24*IFPU_res_adj*CF_pumpkin),".")</f>
        <v>.</v>
      </c>
      <c r="X24" s="76" t="str">
        <f>IFERROR(TR/(RadSpec!F24*IFSN_res_adj*CF_snap_bean),".")</f>
        <v>.</v>
      </c>
      <c r="Y24" s="76" t="str">
        <f>IFERROR(TR/(RadSpec!F24*IFST_res_adj*CF_strawberry),".")</f>
        <v>.</v>
      </c>
      <c r="Z24" s="76" t="str">
        <f>IFERROR(TR/(RadSpec!F24*IFTO_res_adj*CF_tomato),".")</f>
        <v>.</v>
      </c>
      <c r="AA24" s="76" t="str">
        <f>IFERROR(TR/(RadSpec!F24*IFRI_res_adj*CF_rice),".")</f>
        <v>.</v>
      </c>
      <c r="AB24" s="76" t="str">
        <f>IFERROR(TR/(RadSpec!F24*IFCG_res_adj*CF_cereal),".")</f>
        <v>.</v>
      </c>
      <c r="AC24" s="76" t="str">
        <f t="shared" si="0"/>
        <v>.</v>
      </c>
      <c r="AD24" s="76" t="str">
        <f>IFERROR(TR/(RadSpec!F24*IFAP_far_adj*CF_apple),".")</f>
        <v>.</v>
      </c>
      <c r="AE24" s="76" t="str">
        <f>IFERROR(TR/(RadSpec!F24*IFAS_far_adj*CF_asparagus),".")</f>
        <v>.</v>
      </c>
      <c r="AF24" s="76" t="str">
        <f>IFERROR(TR/(RadSpec!F24*IFBT_far_adj*CF_beet),".")</f>
        <v>.</v>
      </c>
      <c r="AG24" s="76" t="str">
        <f>IFERROR(TR/(RadSpec!F24*IFBE_far_adj*CF_berries),".")</f>
        <v>.</v>
      </c>
      <c r="AH24" s="76" t="str">
        <f>IFERROR(TR/(RadSpec!F24*IFBR_far_adj*CF_broccoli),".")</f>
        <v>.</v>
      </c>
      <c r="AI24" s="76" t="str">
        <f>IFERROR(TR/(RadSpec!F24*IFCB_far_adj*CF_cabbage),".")</f>
        <v>.</v>
      </c>
      <c r="AJ24" s="76" t="str">
        <f>IFERROR(TR/(RadSpec!F24*IFCR_far_adj*CF_carrot),".")</f>
        <v>.</v>
      </c>
      <c r="AK24" s="76" t="str">
        <f>IFERROR(TR/(RadSpec!F24*IFCI_far_adj*CF_citrus),".")</f>
        <v>.</v>
      </c>
      <c r="AL24" s="76" t="str">
        <f>IFERROR(TR/(RadSpec!F24*IFCO_far_adj*CF_corn),".")</f>
        <v>.</v>
      </c>
      <c r="AM24" s="76" t="str">
        <f>IFERROR(TR/(RadSpec!F24*IFCU_far_adj*CF_cucumber),".")</f>
        <v>.</v>
      </c>
      <c r="AN24" s="76" t="str">
        <f>IFERROR(TR/(RadSpec!F24*IFLE_far_adj*CF_lettuce),".")</f>
        <v>.</v>
      </c>
      <c r="AO24" s="76" t="str">
        <f>IFERROR(TR/(RadSpec!F24*IFLI_far_adj*CF_lima_bean),".")</f>
        <v>.</v>
      </c>
      <c r="AP24" s="76" t="str">
        <f>IFERROR(TR/(RadSpec!F24*IFOK_far_adj*CF_okra),".")</f>
        <v>.</v>
      </c>
      <c r="AQ24" s="76" t="str">
        <f>IFERROR(TR/(RadSpec!F24*IFON_far_adj*CF_onion),".")</f>
        <v>.</v>
      </c>
      <c r="AR24" s="76" t="str">
        <f>IFERROR(TR/(RadSpec!F24*IFPC_far_adj*CF_peach),".")</f>
        <v>.</v>
      </c>
      <c r="AS24" s="76" t="str">
        <f>IFERROR(TR/(RadSpec!F24*IFPR_far_adj*CF_pear),".")</f>
        <v>.</v>
      </c>
      <c r="AT24" s="76" t="str">
        <f>IFERROR(TR/(RadSpec!F24*IFPE_far_adj*CF_peas),".")</f>
        <v>.</v>
      </c>
      <c r="AU24" s="76" t="str">
        <f>IFERROR(TR/(RadSpec!F24*IFPP_far_adj*CF_peppers),".")</f>
        <v>.</v>
      </c>
      <c r="AV24" s="76" t="str">
        <f>IFERROR(TR/(RadSpec!F24*IFPT_far_adj*CF_potato),".")</f>
        <v>.</v>
      </c>
      <c r="AW24" s="76" t="str">
        <f>IFERROR(TR/(RadSpec!F24*IFPU_far_adj*CF_pumpkin),".")</f>
        <v>.</v>
      </c>
      <c r="AX24" s="76" t="str">
        <f>IFERROR(TR/(RadSpec!F24*IFSN_far_adj*CF_snap_bean),".")</f>
        <v>.</v>
      </c>
      <c r="AY24" s="76" t="str">
        <f>IFERROR(TR/(RadSpec!F24*IFST_far_adj*CF_strawberry),".")</f>
        <v>.</v>
      </c>
      <c r="AZ24" s="76" t="str">
        <f>IFERROR(TR/(RadSpec!F24*IFTO_far_adj*CF_tomato),".")</f>
        <v>.</v>
      </c>
      <c r="BA24" s="76" t="str">
        <f>IFERROR(TR/(RadSpec!F24*IFRI_far_adj*CF_rice),".")</f>
        <v>.</v>
      </c>
      <c r="BB24" s="76" t="str">
        <f>IFERROR(TR/(RadSpec!F24*IFCG_far_adj*CF_cereal),".")</f>
        <v>.</v>
      </c>
    </row>
    <row r="25" spans="1:54" x14ac:dyDescent="0.25">
      <c r="A25" s="94" t="s">
        <v>35</v>
      </c>
      <c r="B25" s="90" t="s">
        <v>349</v>
      </c>
      <c r="C25" s="2" t="str">
        <f t="shared" si="1"/>
        <v>.</v>
      </c>
      <c r="D25" s="76" t="str">
        <f>IFERROR(TR/(RadSpec!F25*IFAP_res_adj*CF_apple),".")</f>
        <v>.</v>
      </c>
      <c r="E25" s="76" t="str">
        <f>IFERROR(TR/(RadSpec!F25*IFAS_res_adj*CF_asparagus),".")</f>
        <v>.</v>
      </c>
      <c r="F25" s="76" t="str">
        <f>IFERROR(TR/(RadSpec!F25*IFBT_res_adj*CF_beet),".")</f>
        <v>.</v>
      </c>
      <c r="G25" s="76" t="str">
        <f>IFERROR(TR/(RadSpec!F25*IFBE_res_adj*CF_berries),".")</f>
        <v>.</v>
      </c>
      <c r="H25" s="76" t="str">
        <f>IFERROR(TR/(RadSpec!F25*IFBR_res_adj*CF_broccoli),".")</f>
        <v>.</v>
      </c>
      <c r="I25" s="76" t="str">
        <f>IFERROR(TR/(RadSpec!F25*IFCB_res_adj*CF_cabbage),".")</f>
        <v>.</v>
      </c>
      <c r="J25" s="76" t="str">
        <f>IFERROR(TR/(RadSpec!F25*IFCR_res_adj*CF_carrot),".")</f>
        <v>.</v>
      </c>
      <c r="K25" s="76" t="str">
        <f>IFERROR(TR/(RadSpec!F25*IFCI_res_adj*CF_citrus),".")</f>
        <v>.</v>
      </c>
      <c r="L25" s="76" t="str">
        <f>IFERROR(TR/(RadSpec!F25*IFCO_res_adj*CF_corn),".")</f>
        <v>.</v>
      </c>
      <c r="M25" s="76" t="str">
        <f>IFERROR(TR/(RadSpec!F25*IFCU_res_adj*CF_cucumber),".")</f>
        <v>.</v>
      </c>
      <c r="N25" s="76" t="str">
        <f>IFERROR(TR/(RadSpec!F25*IFLE_res_adj*CF_lettuce),".")</f>
        <v>.</v>
      </c>
      <c r="O25" s="76" t="str">
        <f>IFERROR(TR/(RadSpec!F25*IFLI_res_adj*CF_lima_bean),".")</f>
        <v>.</v>
      </c>
      <c r="P25" s="76" t="str">
        <f>IFERROR(TR/(RadSpec!F25*IFOK_res_adj*CF_okra),".")</f>
        <v>.</v>
      </c>
      <c r="Q25" s="76" t="str">
        <f>IFERROR(TR/(RadSpec!F25*IFON_res_adj*CF_onion),".")</f>
        <v>.</v>
      </c>
      <c r="R25" s="76" t="str">
        <f>IFERROR(TR/(RadSpec!F25*IFPC_res_adj*CF_peach),".")</f>
        <v>.</v>
      </c>
      <c r="S25" s="76" t="str">
        <f>IFERROR(TR/(RadSpec!F25*IFPR_res_adj*CF_pear),".")</f>
        <v>.</v>
      </c>
      <c r="T25" s="76" t="str">
        <f>IFERROR(TR/(RadSpec!F25*IFPE_res_adj*CF_peas),".")</f>
        <v>.</v>
      </c>
      <c r="U25" s="76" t="str">
        <f>IFERROR(TR/(RadSpec!F25*IFPP_res_adj*CF_peppers),".")</f>
        <v>.</v>
      </c>
      <c r="V25" s="76" t="str">
        <f>IFERROR(TR/(RadSpec!F25*IFPT_res_adj*CF_potato),".")</f>
        <v>.</v>
      </c>
      <c r="W25" s="76" t="str">
        <f>IFERROR(TR/(RadSpec!F25*IFPU_res_adj*CF_pumpkin),".")</f>
        <v>.</v>
      </c>
      <c r="X25" s="76" t="str">
        <f>IFERROR(TR/(RadSpec!F25*IFSN_res_adj*CF_snap_bean),".")</f>
        <v>.</v>
      </c>
      <c r="Y25" s="76" t="str">
        <f>IFERROR(TR/(RadSpec!F25*IFST_res_adj*CF_strawberry),".")</f>
        <v>.</v>
      </c>
      <c r="Z25" s="76" t="str">
        <f>IFERROR(TR/(RadSpec!F25*IFTO_res_adj*CF_tomato),".")</f>
        <v>.</v>
      </c>
      <c r="AA25" s="76" t="str">
        <f>IFERROR(TR/(RadSpec!F25*IFRI_res_adj*CF_rice),".")</f>
        <v>.</v>
      </c>
      <c r="AB25" s="76" t="str">
        <f>IFERROR(TR/(RadSpec!F25*IFCG_res_adj*CF_cereal),".")</f>
        <v>.</v>
      </c>
      <c r="AC25" s="76" t="str">
        <f t="shared" si="0"/>
        <v>.</v>
      </c>
      <c r="AD25" s="76" t="str">
        <f>IFERROR(TR/(RadSpec!F25*IFAP_far_adj*CF_apple),".")</f>
        <v>.</v>
      </c>
      <c r="AE25" s="76" t="str">
        <f>IFERROR(TR/(RadSpec!F25*IFAS_far_adj*CF_asparagus),".")</f>
        <v>.</v>
      </c>
      <c r="AF25" s="76" t="str">
        <f>IFERROR(TR/(RadSpec!F25*IFBT_far_adj*CF_beet),".")</f>
        <v>.</v>
      </c>
      <c r="AG25" s="76" t="str">
        <f>IFERROR(TR/(RadSpec!F25*IFBE_far_adj*CF_berries),".")</f>
        <v>.</v>
      </c>
      <c r="AH25" s="76" t="str">
        <f>IFERROR(TR/(RadSpec!F25*IFBR_far_adj*CF_broccoli),".")</f>
        <v>.</v>
      </c>
      <c r="AI25" s="76" t="str">
        <f>IFERROR(TR/(RadSpec!F25*IFCB_far_adj*CF_cabbage),".")</f>
        <v>.</v>
      </c>
      <c r="AJ25" s="76" t="str">
        <f>IFERROR(TR/(RadSpec!F25*IFCR_far_adj*CF_carrot),".")</f>
        <v>.</v>
      </c>
      <c r="AK25" s="76" t="str">
        <f>IFERROR(TR/(RadSpec!F25*IFCI_far_adj*CF_citrus),".")</f>
        <v>.</v>
      </c>
      <c r="AL25" s="76" t="str">
        <f>IFERROR(TR/(RadSpec!F25*IFCO_far_adj*CF_corn),".")</f>
        <v>.</v>
      </c>
      <c r="AM25" s="76" t="str">
        <f>IFERROR(TR/(RadSpec!F25*IFCU_far_adj*CF_cucumber),".")</f>
        <v>.</v>
      </c>
      <c r="AN25" s="76" t="str">
        <f>IFERROR(TR/(RadSpec!F25*IFLE_far_adj*CF_lettuce),".")</f>
        <v>.</v>
      </c>
      <c r="AO25" s="76" t="str">
        <f>IFERROR(TR/(RadSpec!F25*IFLI_far_adj*CF_lima_bean),".")</f>
        <v>.</v>
      </c>
      <c r="AP25" s="76" t="str">
        <f>IFERROR(TR/(RadSpec!F25*IFOK_far_adj*CF_okra),".")</f>
        <v>.</v>
      </c>
      <c r="AQ25" s="76" t="str">
        <f>IFERROR(TR/(RadSpec!F25*IFON_far_adj*CF_onion),".")</f>
        <v>.</v>
      </c>
      <c r="AR25" s="76" t="str">
        <f>IFERROR(TR/(RadSpec!F25*IFPC_far_adj*CF_peach),".")</f>
        <v>.</v>
      </c>
      <c r="AS25" s="76" t="str">
        <f>IFERROR(TR/(RadSpec!F25*IFPR_far_adj*CF_pear),".")</f>
        <v>.</v>
      </c>
      <c r="AT25" s="76" t="str">
        <f>IFERROR(TR/(RadSpec!F25*IFPE_far_adj*CF_peas),".")</f>
        <v>.</v>
      </c>
      <c r="AU25" s="76" t="str">
        <f>IFERROR(TR/(RadSpec!F25*IFPP_far_adj*CF_peppers),".")</f>
        <v>.</v>
      </c>
      <c r="AV25" s="76" t="str">
        <f>IFERROR(TR/(RadSpec!F25*IFPT_far_adj*CF_potato),".")</f>
        <v>.</v>
      </c>
      <c r="AW25" s="76" t="str">
        <f>IFERROR(TR/(RadSpec!F25*IFPU_far_adj*CF_pumpkin),".")</f>
        <v>.</v>
      </c>
      <c r="AX25" s="76" t="str">
        <f>IFERROR(TR/(RadSpec!F25*IFSN_far_adj*CF_snap_bean),".")</f>
        <v>.</v>
      </c>
      <c r="AY25" s="76" t="str">
        <f>IFERROR(TR/(RadSpec!F25*IFST_far_adj*CF_strawberry),".")</f>
        <v>.</v>
      </c>
      <c r="AZ25" s="76" t="str">
        <f>IFERROR(TR/(RadSpec!F25*IFTO_far_adj*CF_tomato),".")</f>
        <v>.</v>
      </c>
      <c r="BA25" s="76" t="str">
        <f>IFERROR(TR/(RadSpec!F25*IFRI_far_adj*CF_rice),".")</f>
        <v>.</v>
      </c>
      <c r="BB25" s="76" t="str">
        <f>IFERROR(TR/(RadSpec!F25*IFCG_far_adj*CF_cereal),".")</f>
        <v>.</v>
      </c>
    </row>
    <row r="26" spans="1:54" x14ac:dyDescent="0.25">
      <c r="A26" s="92" t="s">
        <v>36</v>
      </c>
      <c r="B26" s="90" t="s">
        <v>1071</v>
      </c>
      <c r="C26" s="2">
        <f t="shared" si="1"/>
        <v>2.8423598063220915E-4</v>
      </c>
      <c r="D26" s="76">
        <f>IFERROR(TR/(RadSpec!F26*IFAP_res_adj*CF_apple),".")</f>
        <v>5.1502369173359935E-3</v>
      </c>
      <c r="E26" s="76">
        <f>IFERROR(TR/(RadSpec!F26*IFAS_res_adj*CF_asparagus),".")</f>
        <v>1.1262826324835983E-2</v>
      </c>
      <c r="F26" s="76">
        <f>IFERROR(TR/(RadSpec!F26*IFBT_res_adj*CF_beet),".")</f>
        <v>1.3586950983579761E-2</v>
      </c>
      <c r="G26" s="76">
        <f>IFERROR(TR/(RadSpec!F26*IFBE_res_adj*CF_berries),".")</f>
        <v>1.1583787696787267E-2</v>
      </c>
      <c r="H26" s="76">
        <f>IFERROR(TR/(RadSpec!F26*IFBR_res_adj*CF_broccoli),".")</f>
        <v>1.4273001323435499E-2</v>
      </c>
      <c r="I26" s="76">
        <f>IFERROR(TR/(RadSpec!F26*IFCB_res_adj*CF_cabbage),".")</f>
        <v>5.5488224910377627E-3</v>
      </c>
      <c r="J26" s="76">
        <f>IFERROR(TR/(RadSpec!F26*IFCR_res_adj*CF_carrot),".")</f>
        <v>1.5639034200495623E-2</v>
      </c>
      <c r="K26" s="76">
        <f>IFERROR(TR/(RadSpec!F26*IFCI_res_adj*CF_citrus),".")</f>
        <v>1.3354537757414805E-3</v>
      </c>
      <c r="L26" s="76">
        <f>IFERROR(TR/(RadSpec!F26*IFCO_res_adj*CF_corn),".")</f>
        <v>7.3235203336150592E-3</v>
      </c>
      <c r="M26" s="76">
        <f>IFERROR(TR/(RadSpec!F26*IFCU_res_adj*CF_cucumber),".")</f>
        <v>5.4863092649814543E-3</v>
      </c>
      <c r="N26" s="76">
        <f>IFERROR(TR/(RadSpec!F26*IFLE_res_adj*CF_lettuce),".")</f>
        <v>1.3039438642778031E-2</v>
      </c>
      <c r="O26" s="76">
        <f>IFERROR(TR/(RadSpec!F26*IFLI_res_adj*CF_lima_bean),".")</f>
        <v>1.214438581742191E-2</v>
      </c>
      <c r="P26" s="76">
        <f>IFERROR(TR/(RadSpec!F26*IFOK_res_adj*CF_okra),".")</f>
        <v>1.480576838066187E-2</v>
      </c>
      <c r="Q26" s="76">
        <f>IFERROR(TR/(RadSpec!F26*IFON_res_adj*CF_onion),".")</f>
        <v>2.1136554602732591E-2</v>
      </c>
      <c r="R26" s="76">
        <f>IFERROR(TR/(RadSpec!F26*IFPC_res_adj*CF_peach),".")</f>
        <v>3.3063163861628618E-3</v>
      </c>
      <c r="S26" s="76">
        <f>IFERROR(TR/(RadSpec!F26*IFPR_res_adj*CF_pear),".")</f>
        <v>6.7450305211956578E-3</v>
      </c>
      <c r="T26" s="76">
        <f>IFERROR(TR/(RadSpec!F26*IFPE_res_adj*CF_peas),".")</f>
        <v>1.1772322297883851E-2</v>
      </c>
      <c r="U26" s="76">
        <f>IFERROR(TR/(RadSpec!F26*IFPP_res_adj*CF_peppers),".")</f>
        <v>2.3567207743439737E-2</v>
      </c>
      <c r="V26" s="76">
        <f>IFERROR(TR/(RadSpec!F26*IFPT_res_adj*CF_potato),".")</f>
        <v>3.4639596140966784E-3</v>
      </c>
      <c r="W26" s="76">
        <f>IFERROR(TR/(RadSpec!F26*IFPU_res_adj*CF_pumpkin),".")</f>
        <v>7.0404756027138181E-3</v>
      </c>
      <c r="X26" s="76">
        <f>IFERROR(TR/(RadSpec!F26*IFSN_res_adj*CF_snap_bean),".")</f>
        <v>7.8960928817721522E-3</v>
      </c>
      <c r="Y26" s="76">
        <f>IFERROR(TR/(RadSpec!F26*IFST_res_adj*CF_strawberry),".")</f>
        <v>1.006852867155757E-2</v>
      </c>
      <c r="Z26" s="76">
        <f>IFERROR(TR/(RadSpec!F26*IFTO_res_adj*CF_tomato),".")</f>
        <v>5.4108649681582771E-3</v>
      </c>
      <c r="AA26" s="76">
        <f>IFERROR(TR/(RadSpec!F26*IFRI_res_adj*CF_rice),".")</f>
        <v>5.2213123737323503E-3</v>
      </c>
      <c r="AB26" s="76">
        <f>IFERROR(TR/(RadSpec!F26*IFCG_res_adj*CF_cereal),".")</f>
        <v>5.9879185001897655E-3</v>
      </c>
      <c r="AC26" s="76">
        <f t="shared" si="0"/>
        <v>1.7377809774357227E-4</v>
      </c>
      <c r="AD26" s="76">
        <f>IFERROR(TR/(RadSpec!F26*IFAP_far_adj*CF_apple),".")</f>
        <v>2.9108577002165312E-3</v>
      </c>
      <c r="AE26" s="76">
        <f>IFERROR(TR/(RadSpec!F26*IFAS_far_adj*CF_asparagus),".")</f>
        <v>6.8559747087480801E-3</v>
      </c>
      <c r="AF26" s="76">
        <f>IFERROR(TR/(RadSpec!F26*IFBT_far_adj*CF_beet),".")</f>
        <v>8.1593833046713238E-3</v>
      </c>
      <c r="AG26" s="76">
        <f>IFERROR(TR/(RadSpec!F26*IFBE_far_adj*CF_berries),".")</f>
        <v>7.330068935999811E-3</v>
      </c>
      <c r="AH26" s="76">
        <f>IFERROR(TR/(RadSpec!F26*IFBR_far_adj*CF_broccoli),".")</f>
        <v>7.880910520839406E-3</v>
      </c>
      <c r="AI26" s="76">
        <f>IFERROR(TR/(RadSpec!F26*IFCB_far_adj*CF_cabbage),".")</f>
        <v>3.5525288956705478E-3</v>
      </c>
      <c r="AJ26" s="76">
        <f>IFERROR(TR/(RadSpec!F26*IFCR_far_adj*CF_carrot),".")</f>
        <v>1.0831262400475388E-2</v>
      </c>
      <c r="AK26" s="76">
        <f>IFERROR(TR/(RadSpec!F26*IFCI_far_adj*CF_citrus),".")</f>
        <v>8.4386656190372708E-4</v>
      </c>
      <c r="AL26" s="76">
        <f>IFERROR(TR/(RadSpec!F26*IFCO_far_adj*CF_corn),".")</f>
        <v>3.2998834324427201E-3</v>
      </c>
      <c r="AM26" s="76">
        <f>IFERROR(TR/(RadSpec!F26*IFCU_far_adj*CF_cucumber),".")</f>
        <v>5.0076117451189912E-3</v>
      </c>
      <c r="AN26" s="76">
        <f>IFERROR(TR/(RadSpec!F26*IFLE_far_adj*CF_lettuce),".")</f>
        <v>7.7566255418007766E-3</v>
      </c>
      <c r="AO26" s="76">
        <f>IFERROR(TR/(RadSpec!F26*IFLI_far_adj*CF_lima_bean),".")</f>
        <v>7.657599651340297E-3</v>
      </c>
      <c r="AP26" s="76">
        <f>IFERROR(TR/(RadSpec!F26*IFOK_far_adj*CF_okra),".")</f>
        <v>9.0247270753318776E-3</v>
      </c>
      <c r="AQ26" s="76">
        <f>IFERROR(TR/(RadSpec!F26*IFON_far_adj*CF_onion),".")</f>
        <v>1.0107842696374585E-2</v>
      </c>
      <c r="AR26" s="76">
        <f>IFERROR(TR/(RadSpec!F26*IFPC_far_adj*CF_peach),".")</f>
        <v>2.4024208743495695E-3</v>
      </c>
      <c r="AS26" s="76">
        <f>IFERROR(TR/(RadSpec!F26*IFPR_far_adj*CF_pear),".")</f>
        <v>3.9178558674971111E-3</v>
      </c>
      <c r="AT26" s="76">
        <f>IFERROR(TR/(RadSpec!F26*IFPE_far_adj*CF_peas),".")</f>
        <v>8.2193787701468485E-3</v>
      </c>
      <c r="AU26" s="76">
        <f>IFERROR(TR/(RadSpec!F26*IFPP_far_adj*CF_peppers),".")</f>
        <v>1.1478357657073217E-2</v>
      </c>
      <c r="AV26" s="76">
        <f>IFERROR(TR/(RadSpec!F26*IFPT_far_adj*CF_potato),".")</f>
        <v>1.9154436700895212E-3</v>
      </c>
      <c r="AW26" s="76">
        <f>IFERROR(TR/(RadSpec!F26*IFPU_far_adj*CF_pumpkin),".")</f>
        <v>4.3027523891661914E-3</v>
      </c>
      <c r="AX26" s="76">
        <f>IFERROR(TR/(RadSpec!F26*IFSN_far_adj*CF_snap_bean),".")</f>
        <v>4.8572745961444532E-3</v>
      </c>
      <c r="AY26" s="76">
        <f>IFERROR(TR/(RadSpec!F26*IFST_far_adj*CF_strawberry),".")</f>
        <v>6.3653115776574004E-3</v>
      </c>
      <c r="AZ26" s="76">
        <f>IFERROR(TR/(RadSpec!F26*IFTO_far_adj*CF_tomato),".")</f>
        <v>2.8519519054017589E-3</v>
      </c>
      <c r="BA26" s="76">
        <f>IFERROR(TR/(RadSpec!F26*IFRI_far_adj*CF_rice),".")</f>
        <v>3.0570428591310045E-3</v>
      </c>
      <c r="BB26" s="76">
        <f>IFERROR(TR/(RadSpec!F26*IFCG_far_adj*CF_cereal),".")</f>
        <v>3.1013785585824287E-3</v>
      </c>
    </row>
    <row r="27" spans="1:54" x14ac:dyDescent="0.25">
      <c r="A27" s="92" t="s">
        <v>37</v>
      </c>
      <c r="B27" s="90" t="s">
        <v>1071</v>
      </c>
      <c r="C27" s="2" t="str">
        <f t="shared" si="1"/>
        <v>.</v>
      </c>
      <c r="D27" s="76" t="str">
        <f>IFERROR(TR/(RadSpec!F27*IFAP_res_adj*CF_apple),".")</f>
        <v>.</v>
      </c>
      <c r="E27" s="76" t="str">
        <f>IFERROR(TR/(RadSpec!F27*IFAS_res_adj*CF_asparagus),".")</f>
        <v>.</v>
      </c>
      <c r="F27" s="76" t="str">
        <f>IFERROR(TR/(RadSpec!F27*IFBT_res_adj*CF_beet),".")</f>
        <v>.</v>
      </c>
      <c r="G27" s="76" t="str">
        <f>IFERROR(TR/(RadSpec!F27*IFBE_res_adj*CF_berries),".")</f>
        <v>.</v>
      </c>
      <c r="H27" s="76" t="str">
        <f>IFERROR(TR/(RadSpec!F27*IFBR_res_adj*CF_broccoli),".")</f>
        <v>.</v>
      </c>
      <c r="I27" s="76" t="str">
        <f>IFERROR(TR/(RadSpec!F27*IFCB_res_adj*CF_cabbage),".")</f>
        <v>.</v>
      </c>
      <c r="J27" s="76" t="str">
        <f>IFERROR(TR/(RadSpec!F27*IFCR_res_adj*CF_carrot),".")</f>
        <v>.</v>
      </c>
      <c r="K27" s="76" t="str">
        <f>IFERROR(TR/(RadSpec!F27*IFCI_res_adj*CF_citrus),".")</f>
        <v>.</v>
      </c>
      <c r="L27" s="76" t="str">
        <f>IFERROR(TR/(RadSpec!F27*IFCO_res_adj*CF_corn),".")</f>
        <v>.</v>
      </c>
      <c r="M27" s="76" t="str">
        <f>IFERROR(TR/(RadSpec!F27*IFCU_res_adj*CF_cucumber),".")</f>
        <v>.</v>
      </c>
      <c r="N27" s="76" t="str">
        <f>IFERROR(TR/(RadSpec!F27*IFLE_res_adj*CF_lettuce),".")</f>
        <v>.</v>
      </c>
      <c r="O27" s="76" t="str">
        <f>IFERROR(TR/(RadSpec!F27*IFLI_res_adj*CF_lima_bean),".")</f>
        <v>.</v>
      </c>
      <c r="P27" s="76" t="str">
        <f>IFERROR(TR/(RadSpec!F27*IFOK_res_adj*CF_okra),".")</f>
        <v>.</v>
      </c>
      <c r="Q27" s="76" t="str">
        <f>IFERROR(TR/(RadSpec!F27*IFON_res_adj*CF_onion),".")</f>
        <v>.</v>
      </c>
      <c r="R27" s="76" t="str">
        <f>IFERROR(TR/(RadSpec!F27*IFPC_res_adj*CF_peach),".")</f>
        <v>.</v>
      </c>
      <c r="S27" s="76" t="str">
        <f>IFERROR(TR/(RadSpec!F27*IFPR_res_adj*CF_pear),".")</f>
        <v>.</v>
      </c>
      <c r="T27" s="76" t="str">
        <f>IFERROR(TR/(RadSpec!F27*IFPE_res_adj*CF_peas),".")</f>
        <v>.</v>
      </c>
      <c r="U27" s="76" t="str">
        <f>IFERROR(TR/(RadSpec!F27*IFPP_res_adj*CF_peppers),".")</f>
        <v>.</v>
      </c>
      <c r="V27" s="76" t="str">
        <f>IFERROR(TR/(RadSpec!F27*IFPT_res_adj*CF_potato),".")</f>
        <v>.</v>
      </c>
      <c r="W27" s="76" t="str">
        <f>IFERROR(TR/(RadSpec!F27*IFPU_res_adj*CF_pumpkin),".")</f>
        <v>.</v>
      </c>
      <c r="X27" s="76" t="str">
        <f>IFERROR(TR/(RadSpec!F27*IFSN_res_adj*CF_snap_bean),".")</f>
        <v>.</v>
      </c>
      <c r="Y27" s="76" t="str">
        <f>IFERROR(TR/(RadSpec!F27*IFST_res_adj*CF_strawberry),".")</f>
        <v>.</v>
      </c>
      <c r="Z27" s="76" t="str">
        <f>IFERROR(TR/(RadSpec!F27*IFTO_res_adj*CF_tomato),".")</f>
        <v>.</v>
      </c>
      <c r="AA27" s="76" t="str">
        <f>IFERROR(TR/(RadSpec!F27*IFRI_res_adj*CF_rice),".")</f>
        <v>.</v>
      </c>
      <c r="AB27" s="76" t="str">
        <f>IFERROR(TR/(RadSpec!F27*IFCG_res_adj*CF_cereal),".")</f>
        <v>.</v>
      </c>
      <c r="AC27" s="76" t="str">
        <f t="shared" si="0"/>
        <v>.</v>
      </c>
      <c r="AD27" s="76" t="str">
        <f>IFERROR(TR/(RadSpec!F27*IFAP_far_adj*CF_apple),".")</f>
        <v>.</v>
      </c>
      <c r="AE27" s="76" t="str">
        <f>IFERROR(TR/(RadSpec!F27*IFAS_far_adj*CF_asparagus),".")</f>
        <v>.</v>
      </c>
      <c r="AF27" s="76" t="str">
        <f>IFERROR(TR/(RadSpec!F27*IFBT_far_adj*CF_beet),".")</f>
        <v>.</v>
      </c>
      <c r="AG27" s="76" t="str">
        <f>IFERROR(TR/(RadSpec!F27*IFBE_far_adj*CF_berries),".")</f>
        <v>.</v>
      </c>
      <c r="AH27" s="76" t="str">
        <f>IFERROR(TR/(RadSpec!F27*IFBR_far_adj*CF_broccoli),".")</f>
        <v>.</v>
      </c>
      <c r="AI27" s="76" t="str">
        <f>IFERROR(TR/(RadSpec!F27*IFCB_far_adj*CF_cabbage),".")</f>
        <v>.</v>
      </c>
      <c r="AJ27" s="76" t="str">
        <f>IFERROR(TR/(RadSpec!F27*IFCR_far_adj*CF_carrot),".")</f>
        <v>.</v>
      </c>
      <c r="AK27" s="76" t="str">
        <f>IFERROR(TR/(RadSpec!F27*IFCI_far_adj*CF_citrus),".")</f>
        <v>.</v>
      </c>
      <c r="AL27" s="76" t="str">
        <f>IFERROR(TR/(RadSpec!F27*IFCO_far_adj*CF_corn),".")</f>
        <v>.</v>
      </c>
      <c r="AM27" s="76" t="str">
        <f>IFERROR(TR/(RadSpec!F27*IFCU_far_adj*CF_cucumber),".")</f>
        <v>.</v>
      </c>
      <c r="AN27" s="76" t="str">
        <f>IFERROR(TR/(RadSpec!F27*IFLE_far_adj*CF_lettuce),".")</f>
        <v>.</v>
      </c>
      <c r="AO27" s="76" t="str">
        <f>IFERROR(TR/(RadSpec!F27*IFLI_far_adj*CF_lima_bean),".")</f>
        <v>.</v>
      </c>
      <c r="AP27" s="76" t="str">
        <f>IFERROR(TR/(RadSpec!F27*IFOK_far_adj*CF_okra),".")</f>
        <v>.</v>
      </c>
      <c r="AQ27" s="76" t="str">
        <f>IFERROR(TR/(RadSpec!F27*IFON_far_adj*CF_onion),".")</f>
        <v>.</v>
      </c>
      <c r="AR27" s="76" t="str">
        <f>IFERROR(TR/(RadSpec!F27*IFPC_far_adj*CF_peach),".")</f>
        <v>.</v>
      </c>
      <c r="AS27" s="76" t="str">
        <f>IFERROR(TR/(RadSpec!F27*IFPR_far_adj*CF_pear),".")</f>
        <v>.</v>
      </c>
      <c r="AT27" s="76" t="str">
        <f>IFERROR(TR/(RadSpec!F27*IFPE_far_adj*CF_peas),".")</f>
        <v>.</v>
      </c>
      <c r="AU27" s="76" t="str">
        <f>IFERROR(TR/(RadSpec!F27*IFPP_far_adj*CF_peppers),".")</f>
        <v>.</v>
      </c>
      <c r="AV27" s="76" t="str">
        <f>IFERROR(TR/(RadSpec!F27*IFPT_far_adj*CF_potato),".")</f>
        <v>.</v>
      </c>
      <c r="AW27" s="76" t="str">
        <f>IFERROR(TR/(RadSpec!F27*IFPU_far_adj*CF_pumpkin),".")</f>
        <v>.</v>
      </c>
      <c r="AX27" s="76" t="str">
        <f>IFERROR(TR/(RadSpec!F27*IFSN_far_adj*CF_snap_bean),".")</f>
        <v>.</v>
      </c>
      <c r="AY27" s="76" t="str">
        <f>IFERROR(TR/(RadSpec!F27*IFST_far_adj*CF_strawberry),".")</f>
        <v>.</v>
      </c>
      <c r="AZ27" s="76" t="str">
        <f>IFERROR(TR/(RadSpec!F27*IFTO_far_adj*CF_tomato),".")</f>
        <v>.</v>
      </c>
      <c r="BA27" s="76" t="str">
        <f>IFERROR(TR/(RadSpec!F27*IFRI_far_adj*CF_rice),".")</f>
        <v>.</v>
      </c>
      <c r="BB27" s="76" t="str">
        <f>IFERROR(TR/(RadSpec!F27*IFCG_far_adj*CF_cereal),".")</f>
        <v>.</v>
      </c>
    </row>
    <row r="28" spans="1:54" x14ac:dyDescent="0.25">
      <c r="A28" s="92" t="s">
        <v>38</v>
      </c>
      <c r="B28" s="90" t="s">
        <v>1071</v>
      </c>
      <c r="C28" s="2" t="str">
        <f t="shared" si="1"/>
        <v>.</v>
      </c>
      <c r="D28" s="76" t="str">
        <f>IFERROR(TR/(RadSpec!F28*IFAP_res_adj*CF_apple),".")</f>
        <v>.</v>
      </c>
      <c r="E28" s="76" t="str">
        <f>IFERROR(TR/(RadSpec!F28*IFAS_res_adj*CF_asparagus),".")</f>
        <v>.</v>
      </c>
      <c r="F28" s="76" t="str">
        <f>IFERROR(TR/(RadSpec!F28*IFBT_res_adj*CF_beet),".")</f>
        <v>.</v>
      </c>
      <c r="G28" s="76" t="str">
        <f>IFERROR(TR/(RadSpec!F28*IFBE_res_adj*CF_berries),".")</f>
        <v>.</v>
      </c>
      <c r="H28" s="76" t="str">
        <f>IFERROR(TR/(RadSpec!F28*IFBR_res_adj*CF_broccoli),".")</f>
        <v>.</v>
      </c>
      <c r="I28" s="76" t="str">
        <f>IFERROR(TR/(RadSpec!F28*IFCB_res_adj*CF_cabbage),".")</f>
        <v>.</v>
      </c>
      <c r="J28" s="76" t="str">
        <f>IFERROR(TR/(RadSpec!F28*IFCR_res_adj*CF_carrot),".")</f>
        <v>.</v>
      </c>
      <c r="K28" s="76" t="str">
        <f>IFERROR(TR/(RadSpec!F28*IFCI_res_adj*CF_citrus),".")</f>
        <v>.</v>
      </c>
      <c r="L28" s="76" t="str">
        <f>IFERROR(TR/(RadSpec!F28*IFCO_res_adj*CF_corn),".")</f>
        <v>.</v>
      </c>
      <c r="M28" s="76" t="str">
        <f>IFERROR(TR/(RadSpec!F28*IFCU_res_adj*CF_cucumber),".")</f>
        <v>.</v>
      </c>
      <c r="N28" s="76" t="str">
        <f>IFERROR(TR/(RadSpec!F28*IFLE_res_adj*CF_lettuce),".")</f>
        <v>.</v>
      </c>
      <c r="O28" s="76" t="str">
        <f>IFERROR(TR/(RadSpec!F28*IFLI_res_adj*CF_lima_bean),".")</f>
        <v>.</v>
      </c>
      <c r="P28" s="76" t="str">
        <f>IFERROR(TR/(RadSpec!F28*IFOK_res_adj*CF_okra),".")</f>
        <v>.</v>
      </c>
      <c r="Q28" s="76" t="str">
        <f>IFERROR(TR/(RadSpec!F28*IFON_res_adj*CF_onion),".")</f>
        <v>.</v>
      </c>
      <c r="R28" s="76" t="str">
        <f>IFERROR(TR/(RadSpec!F28*IFPC_res_adj*CF_peach),".")</f>
        <v>.</v>
      </c>
      <c r="S28" s="76" t="str">
        <f>IFERROR(TR/(RadSpec!F28*IFPR_res_adj*CF_pear),".")</f>
        <v>.</v>
      </c>
      <c r="T28" s="76" t="str">
        <f>IFERROR(TR/(RadSpec!F28*IFPE_res_adj*CF_peas),".")</f>
        <v>.</v>
      </c>
      <c r="U28" s="76" t="str">
        <f>IFERROR(TR/(RadSpec!F28*IFPP_res_adj*CF_peppers),".")</f>
        <v>.</v>
      </c>
      <c r="V28" s="76" t="str">
        <f>IFERROR(TR/(RadSpec!F28*IFPT_res_adj*CF_potato),".")</f>
        <v>.</v>
      </c>
      <c r="W28" s="76" t="str">
        <f>IFERROR(TR/(RadSpec!F28*IFPU_res_adj*CF_pumpkin),".")</f>
        <v>.</v>
      </c>
      <c r="X28" s="76" t="str">
        <f>IFERROR(TR/(RadSpec!F28*IFSN_res_adj*CF_snap_bean),".")</f>
        <v>.</v>
      </c>
      <c r="Y28" s="76" t="str">
        <f>IFERROR(TR/(RadSpec!F28*IFST_res_adj*CF_strawberry),".")</f>
        <v>.</v>
      </c>
      <c r="Z28" s="76" t="str">
        <f>IFERROR(TR/(RadSpec!F28*IFTO_res_adj*CF_tomato),".")</f>
        <v>.</v>
      </c>
      <c r="AA28" s="76" t="str">
        <f>IFERROR(TR/(RadSpec!F28*IFRI_res_adj*CF_rice),".")</f>
        <v>.</v>
      </c>
      <c r="AB28" s="76" t="str">
        <f>IFERROR(TR/(RadSpec!F28*IFCG_res_adj*CF_cereal),".")</f>
        <v>.</v>
      </c>
      <c r="AC28" s="76" t="str">
        <f t="shared" si="0"/>
        <v>.</v>
      </c>
      <c r="AD28" s="76" t="str">
        <f>IFERROR(TR/(RadSpec!F28*IFAP_far_adj*CF_apple),".")</f>
        <v>.</v>
      </c>
      <c r="AE28" s="76" t="str">
        <f>IFERROR(TR/(RadSpec!F28*IFAS_far_adj*CF_asparagus),".")</f>
        <v>.</v>
      </c>
      <c r="AF28" s="76" t="str">
        <f>IFERROR(TR/(RadSpec!F28*IFBT_far_adj*CF_beet),".")</f>
        <v>.</v>
      </c>
      <c r="AG28" s="76" t="str">
        <f>IFERROR(TR/(RadSpec!F28*IFBE_far_adj*CF_berries),".")</f>
        <v>.</v>
      </c>
      <c r="AH28" s="76" t="str">
        <f>IFERROR(TR/(RadSpec!F28*IFBR_far_adj*CF_broccoli),".")</f>
        <v>.</v>
      </c>
      <c r="AI28" s="76" t="str">
        <f>IFERROR(TR/(RadSpec!F28*IFCB_far_adj*CF_cabbage),".")</f>
        <v>.</v>
      </c>
      <c r="AJ28" s="76" t="str">
        <f>IFERROR(TR/(RadSpec!F28*IFCR_far_adj*CF_carrot),".")</f>
        <v>.</v>
      </c>
      <c r="AK28" s="76" t="str">
        <f>IFERROR(TR/(RadSpec!F28*IFCI_far_adj*CF_citrus),".")</f>
        <v>.</v>
      </c>
      <c r="AL28" s="76" t="str">
        <f>IFERROR(TR/(RadSpec!F28*IFCO_far_adj*CF_corn),".")</f>
        <v>.</v>
      </c>
      <c r="AM28" s="76" t="str">
        <f>IFERROR(TR/(RadSpec!F28*IFCU_far_adj*CF_cucumber),".")</f>
        <v>.</v>
      </c>
      <c r="AN28" s="76" t="str">
        <f>IFERROR(TR/(RadSpec!F28*IFLE_far_adj*CF_lettuce),".")</f>
        <v>.</v>
      </c>
      <c r="AO28" s="76" t="str">
        <f>IFERROR(TR/(RadSpec!F28*IFLI_far_adj*CF_lima_bean),".")</f>
        <v>.</v>
      </c>
      <c r="AP28" s="76" t="str">
        <f>IFERROR(TR/(RadSpec!F28*IFOK_far_adj*CF_okra),".")</f>
        <v>.</v>
      </c>
      <c r="AQ28" s="76" t="str">
        <f>IFERROR(TR/(RadSpec!F28*IFON_far_adj*CF_onion),".")</f>
        <v>.</v>
      </c>
      <c r="AR28" s="76" t="str">
        <f>IFERROR(TR/(RadSpec!F28*IFPC_far_adj*CF_peach),".")</f>
        <v>.</v>
      </c>
      <c r="AS28" s="76" t="str">
        <f>IFERROR(TR/(RadSpec!F28*IFPR_far_adj*CF_pear),".")</f>
        <v>.</v>
      </c>
      <c r="AT28" s="76" t="str">
        <f>IFERROR(TR/(RadSpec!F28*IFPE_far_adj*CF_peas),".")</f>
        <v>.</v>
      </c>
      <c r="AU28" s="76" t="str">
        <f>IFERROR(TR/(RadSpec!F28*IFPP_far_adj*CF_peppers),".")</f>
        <v>.</v>
      </c>
      <c r="AV28" s="76" t="str">
        <f>IFERROR(TR/(RadSpec!F28*IFPT_far_adj*CF_potato),".")</f>
        <v>.</v>
      </c>
      <c r="AW28" s="76" t="str">
        <f>IFERROR(TR/(RadSpec!F28*IFPU_far_adj*CF_pumpkin),".")</f>
        <v>.</v>
      </c>
      <c r="AX28" s="76" t="str">
        <f>IFERROR(TR/(RadSpec!F28*IFSN_far_adj*CF_snap_bean),".")</f>
        <v>.</v>
      </c>
      <c r="AY28" s="76" t="str">
        <f>IFERROR(TR/(RadSpec!F28*IFST_far_adj*CF_strawberry),".")</f>
        <v>.</v>
      </c>
      <c r="AZ28" s="76" t="str">
        <f>IFERROR(TR/(RadSpec!F28*IFTO_far_adj*CF_tomato),".")</f>
        <v>.</v>
      </c>
      <c r="BA28" s="76" t="str">
        <f>IFERROR(TR/(RadSpec!F28*IFRI_far_adj*CF_rice),".")</f>
        <v>.</v>
      </c>
      <c r="BB28" s="76" t="str">
        <f>IFERROR(TR/(RadSpec!F28*IFCG_far_adj*CF_cereal),".")</f>
        <v>.</v>
      </c>
    </row>
    <row r="29" spans="1:54" x14ac:dyDescent="0.25">
      <c r="A29" s="92" t="s">
        <v>39</v>
      </c>
      <c r="B29" s="90" t="s">
        <v>1071</v>
      </c>
      <c r="C29" s="2" t="str">
        <f t="shared" si="1"/>
        <v>.</v>
      </c>
      <c r="D29" s="76" t="str">
        <f>IFERROR(TR/(RadSpec!F29*IFAP_res_adj*CF_apple),".")</f>
        <v>.</v>
      </c>
      <c r="E29" s="76" t="str">
        <f>IFERROR(TR/(RadSpec!F29*IFAS_res_adj*CF_asparagus),".")</f>
        <v>.</v>
      </c>
      <c r="F29" s="76" t="str">
        <f>IFERROR(TR/(RadSpec!F29*IFBT_res_adj*CF_beet),".")</f>
        <v>.</v>
      </c>
      <c r="G29" s="76" t="str">
        <f>IFERROR(TR/(RadSpec!F29*IFBE_res_adj*CF_berries),".")</f>
        <v>.</v>
      </c>
      <c r="H29" s="76" t="str">
        <f>IFERROR(TR/(RadSpec!F29*IFBR_res_adj*CF_broccoli),".")</f>
        <v>.</v>
      </c>
      <c r="I29" s="76" t="str">
        <f>IFERROR(TR/(RadSpec!F29*IFCB_res_adj*CF_cabbage),".")</f>
        <v>.</v>
      </c>
      <c r="J29" s="76" t="str">
        <f>IFERROR(TR/(RadSpec!F29*IFCR_res_adj*CF_carrot),".")</f>
        <v>.</v>
      </c>
      <c r="K29" s="76" t="str">
        <f>IFERROR(TR/(RadSpec!F29*IFCI_res_adj*CF_citrus),".")</f>
        <v>.</v>
      </c>
      <c r="L29" s="76" t="str">
        <f>IFERROR(TR/(RadSpec!F29*IFCO_res_adj*CF_corn),".")</f>
        <v>.</v>
      </c>
      <c r="M29" s="76" t="str">
        <f>IFERROR(TR/(RadSpec!F29*IFCU_res_adj*CF_cucumber),".")</f>
        <v>.</v>
      </c>
      <c r="N29" s="76" t="str">
        <f>IFERROR(TR/(RadSpec!F29*IFLE_res_adj*CF_lettuce),".")</f>
        <v>.</v>
      </c>
      <c r="O29" s="76" t="str">
        <f>IFERROR(TR/(RadSpec!F29*IFLI_res_adj*CF_lima_bean),".")</f>
        <v>.</v>
      </c>
      <c r="P29" s="76" t="str">
        <f>IFERROR(TR/(RadSpec!F29*IFOK_res_adj*CF_okra),".")</f>
        <v>.</v>
      </c>
      <c r="Q29" s="76" t="str">
        <f>IFERROR(TR/(RadSpec!F29*IFON_res_adj*CF_onion),".")</f>
        <v>.</v>
      </c>
      <c r="R29" s="76" t="str">
        <f>IFERROR(TR/(RadSpec!F29*IFPC_res_adj*CF_peach),".")</f>
        <v>.</v>
      </c>
      <c r="S29" s="76" t="str">
        <f>IFERROR(TR/(RadSpec!F29*IFPR_res_adj*CF_pear),".")</f>
        <v>.</v>
      </c>
      <c r="T29" s="76" t="str">
        <f>IFERROR(TR/(RadSpec!F29*IFPE_res_adj*CF_peas),".")</f>
        <v>.</v>
      </c>
      <c r="U29" s="76" t="str">
        <f>IFERROR(TR/(RadSpec!F29*IFPP_res_adj*CF_peppers),".")</f>
        <v>.</v>
      </c>
      <c r="V29" s="76" t="str">
        <f>IFERROR(TR/(RadSpec!F29*IFPT_res_adj*CF_potato),".")</f>
        <v>.</v>
      </c>
      <c r="W29" s="76" t="str">
        <f>IFERROR(TR/(RadSpec!F29*IFPU_res_adj*CF_pumpkin),".")</f>
        <v>.</v>
      </c>
      <c r="X29" s="76" t="str">
        <f>IFERROR(TR/(RadSpec!F29*IFSN_res_adj*CF_snap_bean),".")</f>
        <v>.</v>
      </c>
      <c r="Y29" s="76" t="str">
        <f>IFERROR(TR/(RadSpec!F29*IFST_res_adj*CF_strawberry),".")</f>
        <v>.</v>
      </c>
      <c r="Z29" s="76" t="str">
        <f>IFERROR(TR/(RadSpec!F29*IFTO_res_adj*CF_tomato),".")</f>
        <v>.</v>
      </c>
      <c r="AA29" s="76" t="str">
        <f>IFERROR(TR/(RadSpec!F29*IFRI_res_adj*CF_rice),".")</f>
        <v>.</v>
      </c>
      <c r="AB29" s="76" t="str">
        <f>IFERROR(TR/(RadSpec!F29*IFCG_res_adj*CF_cereal),".")</f>
        <v>.</v>
      </c>
      <c r="AC29" s="76" t="str">
        <f t="shared" si="0"/>
        <v>.</v>
      </c>
      <c r="AD29" s="76" t="str">
        <f>IFERROR(TR/(RadSpec!F29*IFAP_far_adj*CF_apple),".")</f>
        <v>.</v>
      </c>
      <c r="AE29" s="76" t="str">
        <f>IFERROR(TR/(RadSpec!F29*IFAS_far_adj*CF_asparagus),".")</f>
        <v>.</v>
      </c>
      <c r="AF29" s="76" t="str">
        <f>IFERROR(TR/(RadSpec!F29*IFBT_far_adj*CF_beet),".")</f>
        <v>.</v>
      </c>
      <c r="AG29" s="76" t="str">
        <f>IFERROR(TR/(RadSpec!F29*IFBE_far_adj*CF_berries),".")</f>
        <v>.</v>
      </c>
      <c r="AH29" s="76" t="str">
        <f>IFERROR(TR/(RadSpec!F29*IFBR_far_adj*CF_broccoli),".")</f>
        <v>.</v>
      </c>
      <c r="AI29" s="76" t="str">
        <f>IFERROR(TR/(RadSpec!F29*IFCB_far_adj*CF_cabbage),".")</f>
        <v>.</v>
      </c>
      <c r="AJ29" s="76" t="str">
        <f>IFERROR(TR/(RadSpec!F29*IFCR_far_adj*CF_carrot),".")</f>
        <v>.</v>
      </c>
      <c r="AK29" s="76" t="str">
        <f>IFERROR(TR/(RadSpec!F29*IFCI_far_adj*CF_citrus),".")</f>
        <v>.</v>
      </c>
      <c r="AL29" s="76" t="str">
        <f>IFERROR(TR/(RadSpec!F29*IFCO_far_adj*CF_corn),".")</f>
        <v>.</v>
      </c>
      <c r="AM29" s="76" t="str">
        <f>IFERROR(TR/(RadSpec!F29*IFCU_far_adj*CF_cucumber),".")</f>
        <v>.</v>
      </c>
      <c r="AN29" s="76" t="str">
        <f>IFERROR(TR/(RadSpec!F29*IFLE_far_adj*CF_lettuce),".")</f>
        <v>.</v>
      </c>
      <c r="AO29" s="76" t="str">
        <f>IFERROR(TR/(RadSpec!F29*IFLI_far_adj*CF_lima_bean),".")</f>
        <v>.</v>
      </c>
      <c r="AP29" s="76" t="str">
        <f>IFERROR(TR/(RadSpec!F29*IFOK_far_adj*CF_okra),".")</f>
        <v>.</v>
      </c>
      <c r="AQ29" s="76" t="str">
        <f>IFERROR(TR/(RadSpec!F29*IFON_far_adj*CF_onion),".")</f>
        <v>.</v>
      </c>
      <c r="AR29" s="76" t="str">
        <f>IFERROR(TR/(RadSpec!F29*IFPC_far_adj*CF_peach),".")</f>
        <v>.</v>
      </c>
      <c r="AS29" s="76" t="str">
        <f>IFERROR(TR/(RadSpec!F29*IFPR_far_adj*CF_pear),".")</f>
        <v>.</v>
      </c>
      <c r="AT29" s="76" t="str">
        <f>IFERROR(TR/(RadSpec!F29*IFPE_far_adj*CF_peas),".")</f>
        <v>.</v>
      </c>
      <c r="AU29" s="76" t="str">
        <f>IFERROR(TR/(RadSpec!F29*IFPP_far_adj*CF_peppers),".")</f>
        <v>.</v>
      </c>
      <c r="AV29" s="76" t="str">
        <f>IFERROR(TR/(RadSpec!F29*IFPT_far_adj*CF_potato),".")</f>
        <v>.</v>
      </c>
      <c r="AW29" s="76" t="str">
        <f>IFERROR(TR/(RadSpec!F29*IFPU_far_adj*CF_pumpkin),".")</f>
        <v>.</v>
      </c>
      <c r="AX29" s="76" t="str">
        <f>IFERROR(TR/(RadSpec!F29*IFSN_far_adj*CF_snap_bean),".")</f>
        <v>.</v>
      </c>
      <c r="AY29" s="76" t="str">
        <f>IFERROR(TR/(RadSpec!F29*IFST_far_adj*CF_strawberry),".")</f>
        <v>.</v>
      </c>
      <c r="AZ29" s="76" t="str">
        <f>IFERROR(TR/(RadSpec!F29*IFTO_far_adj*CF_tomato),".")</f>
        <v>.</v>
      </c>
      <c r="BA29" s="76" t="str">
        <f>IFERROR(TR/(RadSpec!F29*IFRI_far_adj*CF_rice),".")</f>
        <v>.</v>
      </c>
      <c r="BB29" s="76" t="str">
        <f>IFERROR(TR/(RadSpec!F29*IFCG_far_adj*CF_cereal),".")</f>
        <v>.</v>
      </c>
    </row>
    <row r="30" spans="1:54" x14ac:dyDescent="0.25">
      <c r="A30" s="92" t="s">
        <v>40</v>
      </c>
      <c r="B30" s="90" t="s">
        <v>1071</v>
      </c>
      <c r="C30" s="2">
        <f t="shared" si="1"/>
        <v>8.5162307174154286E-4</v>
      </c>
      <c r="D30" s="76">
        <f>IFERROR(TR/(RadSpec!F30*IFAP_res_adj*CF_apple),".")</f>
        <v>1.5431053359193722E-2</v>
      </c>
      <c r="E30" s="76">
        <f>IFERROR(TR/(RadSpec!F30*IFAS_res_adj*CF_asparagus),".")</f>
        <v>3.3745491087771931E-2</v>
      </c>
      <c r="F30" s="76">
        <f>IFERROR(TR/(RadSpec!F30*IFBT_res_adj*CF_beet),".")</f>
        <v>4.0708994359198905E-2</v>
      </c>
      <c r="G30" s="76">
        <f>IFERROR(TR/(RadSpec!F30*IFBE_res_adj*CF_berries),".")</f>
        <v>3.4707150160221391E-2</v>
      </c>
      <c r="H30" s="76">
        <f>IFERROR(TR/(RadSpec!F30*IFBR_res_adj*CF_broccoli),".")</f>
        <v>4.276452686601858E-2</v>
      </c>
      <c r="I30" s="76">
        <f>IFERROR(TR/(RadSpec!F30*IFCB_res_adj*CF_cabbage),".")</f>
        <v>1.6625288761315436E-2</v>
      </c>
      <c r="J30" s="76">
        <f>IFERROR(TR/(RadSpec!F30*IFCR_res_adj*CF_carrot),".")</f>
        <v>4.6857411631255973E-2</v>
      </c>
      <c r="K30" s="76">
        <f>IFERROR(TR/(RadSpec!F30*IFCI_res_adj*CF_citrus),".")</f>
        <v>4.0012641754086347E-3</v>
      </c>
      <c r="L30" s="76">
        <f>IFERROR(TR/(RadSpec!F30*IFCO_res_adj*CF_corn),".")</f>
        <v>2.1942608633159624E-2</v>
      </c>
      <c r="M30" s="76">
        <f>IFERROR(TR/(RadSpec!F30*IFCU_res_adj*CF_cucumber),".")</f>
        <v>1.6437987683245961E-2</v>
      </c>
      <c r="N30" s="76">
        <f>IFERROR(TR/(RadSpec!F30*IFLE_res_adj*CF_lettuce),".")</f>
        <v>3.90685470785525E-2</v>
      </c>
      <c r="O30" s="76">
        <f>IFERROR(TR/(RadSpec!F30*IFLI_res_adj*CF_lima_bean),".")</f>
        <v>3.6386804834641982E-2</v>
      </c>
      <c r="P30" s="76">
        <f>IFERROR(TR/(RadSpec!F30*IFOK_res_adj*CF_okra),".")</f>
        <v>4.4360794575647212E-2</v>
      </c>
      <c r="Q30" s="76">
        <f>IFERROR(TR/(RadSpec!F30*IFON_res_adj*CF_onion),".")</f>
        <v>6.3328989935668253E-2</v>
      </c>
      <c r="R30" s="76">
        <f>IFERROR(TR/(RadSpec!F30*IFPC_res_adj*CF_peach),".")</f>
        <v>9.9063296302971254E-3</v>
      </c>
      <c r="S30" s="76">
        <f>IFERROR(TR/(RadSpec!F30*IFPR_res_adj*CF_pear),".")</f>
        <v>2.0209347172284699E-2</v>
      </c>
      <c r="T30" s="76">
        <f>IFERROR(TR/(RadSpec!F30*IFPE_res_adj*CF_peas),".")</f>
        <v>3.5272034365797039E-2</v>
      </c>
      <c r="U30" s="76">
        <f>IFERROR(TR/(RadSpec!F30*IFPP_res_adj*CF_peppers),".")</f>
        <v>7.0611672055725938E-2</v>
      </c>
      <c r="V30" s="76">
        <f>IFERROR(TR/(RadSpec!F30*IFPT_res_adj*CF_potato),".")</f>
        <v>1.0378657622388902E-2</v>
      </c>
      <c r="W30" s="76">
        <f>IFERROR(TR/(RadSpec!F30*IFPU_res_adj*CF_pumpkin),".")</f>
        <v>2.1094554763856289E-2</v>
      </c>
      <c r="X30" s="76">
        <f>IFERROR(TR/(RadSpec!F30*IFSN_res_adj*CF_snap_bean),".")</f>
        <v>2.3658140886225726E-2</v>
      </c>
      <c r="Y30" s="76">
        <f>IFERROR(TR/(RadSpec!F30*IFST_res_adj*CF_strawberry),".")</f>
        <v>3.0167156515926313E-2</v>
      </c>
      <c r="Z30" s="76">
        <f>IFERROR(TR/(RadSpec!F30*IFTO_res_adj*CF_tomato),".")</f>
        <v>1.6211942748107815E-2</v>
      </c>
      <c r="AA30" s="76">
        <f>IFERROR(TR/(RadSpec!F30*IFRI_res_adj*CF_rice),".")</f>
        <v>1.5644008448014862E-2</v>
      </c>
      <c r="AB30" s="76">
        <f>IFERROR(TR/(RadSpec!F30*IFCG_res_adj*CF_cereal),".")</f>
        <v>1.7940900849805212E-2</v>
      </c>
      <c r="AC30" s="76">
        <f t="shared" si="0"/>
        <v>5.2067101804848925E-4</v>
      </c>
      <c r="AD30" s="76">
        <f>IFERROR(TR/(RadSpec!F30*IFAP_far_adj*CF_apple),".")</f>
        <v>8.7214629567556393E-3</v>
      </c>
      <c r="AE30" s="76">
        <f>IFERROR(TR/(RadSpec!F30*IFAS_far_adj*CF_asparagus),".")</f>
        <v>2.0541756283844442E-2</v>
      </c>
      <c r="AF30" s="76">
        <f>IFERROR(TR/(RadSpec!F30*IFBT_far_adj*CF_beet),".")</f>
        <v>2.4447007229644994E-2</v>
      </c>
      <c r="AG30" s="76">
        <f>IFERROR(TR/(RadSpec!F30*IFBE_far_adj*CF_berries),".")</f>
        <v>2.1962229445648285E-2</v>
      </c>
      <c r="AH30" s="76">
        <f>IFERROR(TR/(RadSpec!F30*IFBR_far_adj*CF_broccoli),".")</f>
        <v>2.3612651751369975E-2</v>
      </c>
      <c r="AI30" s="76">
        <f>IFERROR(TR/(RadSpec!F30*IFCB_far_adj*CF_cabbage),".")</f>
        <v>1.0644027416417481E-2</v>
      </c>
      <c r="AJ30" s="76">
        <f>IFERROR(TR/(RadSpec!F30*IFCR_far_adj*CF_carrot),".")</f>
        <v>3.2452446505241143E-2</v>
      </c>
      <c r="AK30" s="76">
        <f>IFERROR(TR/(RadSpec!F30*IFCI_far_adj*CF_citrus),".")</f>
        <v>2.528378820971091E-3</v>
      </c>
      <c r="AL30" s="76">
        <f>IFERROR(TR/(RadSpec!F30*IFCO_far_adj*CF_corn),".")</f>
        <v>9.8870553223951718E-3</v>
      </c>
      <c r="AM30" s="76">
        <f>IFERROR(TR/(RadSpec!F30*IFCU_far_adj*CF_cucumber),".")</f>
        <v>1.5003722213429039E-2</v>
      </c>
      <c r="AN30" s="76">
        <f>IFERROR(TR/(RadSpec!F30*IFLE_far_adj*CF_lettuce),".")</f>
        <v>2.3240271184403093E-2</v>
      </c>
      <c r="AO30" s="76">
        <f>IFERROR(TR/(RadSpec!F30*IFLI_far_adj*CF_lima_bean),".")</f>
        <v>2.2943571474435626E-2</v>
      </c>
      <c r="AP30" s="76">
        <f>IFERROR(TR/(RadSpec!F30*IFOK_far_adj*CF_okra),".")</f>
        <v>2.7039735702807346E-2</v>
      </c>
      <c r="AQ30" s="76">
        <f>IFERROR(TR/(RadSpec!F30*IFON_far_adj*CF_onion),".")</f>
        <v>3.0284948536847517E-2</v>
      </c>
      <c r="AR30" s="76">
        <f>IFERROR(TR/(RadSpec!F30*IFPC_far_adj*CF_peach),".")</f>
        <v>7.1980930777267634E-3</v>
      </c>
      <c r="AS30" s="76">
        <f>IFERROR(TR/(RadSpec!F30*IFPR_far_adj*CF_pear),".")</f>
        <v>1.1738613954142108E-2</v>
      </c>
      <c r="AT30" s="76">
        <f>IFERROR(TR/(RadSpec!F30*IFPE_far_adj*CF_peas),".")</f>
        <v>2.4626764635745327E-2</v>
      </c>
      <c r="AU30" s="76">
        <f>IFERROR(TR/(RadSpec!F30*IFPP_far_adj*CF_peppers),".")</f>
        <v>3.4391262445810977E-2</v>
      </c>
      <c r="AV30" s="76">
        <f>IFERROR(TR/(RadSpec!F30*IFPT_far_adj*CF_potato),".")</f>
        <v>5.7390201565659322E-3</v>
      </c>
      <c r="AW30" s="76">
        <f>IFERROR(TR/(RadSpec!F30*IFPU_far_adj*CF_pumpkin),".")</f>
        <v>1.2891834448455956E-2</v>
      </c>
      <c r="AX30" s="76">
        <f>IFERROR(TR/(RadSpec!F30*IFSN_far_adj*CF_snap_bean),".")</f>
        <v>1.4553284572417542E-2</v>
      </c>
      <c r="AY30" s="76">
        <f>IFERROR(TR/(RadSpec!F30*IFST_far_adj*CF_strawberry),".")</f>
        <v>1.907163965061473E-2</v>
      </c>
      <c r="AZ30" s="76">
        <f>IFERROR(TR/(RadSpec!F30*IFTO_far_adj*CF_tomato),".")</f>
        <v>8.5449704035892391E-3</v>
      </c>
      <c r="BA30" s="76">
        <f>IFERROR(TR/(RadSpec!F30*IFRI_far_adj*CF_rice),".")</f>
        <v>9.1594604748772464E-3</v>
      </c>
      <c r="BB30" s="76">
        <f>IFERROR(TR/(RadSpec!F30*IFCG_far_adj*CF_cereal),".")</f>
        <v>9.2922983530046039E-3</v>
      </c>
    </row>
    <row r="31" spans="1:54" x14ac:dyDescent="0.25">
      <c r="A31" s="95" t="s">
        <v>13</v>
      </c>
      <c r="B31" s="95" t="s">
        <v>1071</v>
      </c>
      <c r="C31" s="96">
        <f t="shared" si="1"/>
        <v>7.9458246687997067E-5</v>
      </c>
      <c r="D31" s="96">
        <f>IFERROR(1/SUM(D32:D44),0)</f>
        <v>1.4397501490454859E-3</v>
      </c>
      <c r="E31" s="96">
        <f>IFERROR(1/SUM(E32:E44),0)</f>
        <v>3.1485262018283475E-3</v>
      </c>
      <c r="F31" s="96">
        <f t="shared" ref="F31:AB31" si="2">IFERROR(1/SUM(F32:F44),0)</f>
        <v>3.7982358904376768E-3</v>
      </c>
      <c r="G31" s="96">
        <f t="shared" si="2"/>
        <v>3.238251041776823E-3</v>
      </c>
      <c r="H31" s="96">
        <f t="shared" si="2"/>
        <v>3.9900214519397537E-3</v>
      </c>
      <c r="I31" s="96">
        <f t="shared" si="2"/>
        <v>1.551174855977481E-3</v>
      </c>
      <c r="J31" s="96">
        <f t="shared" si="2"/>
        <v>4.3718963190411408E-3</v>
      </c>
      <c r="K31" s="96">
        <f t="shared" si="2"/>
        <v>3.7332647090373039E-4</v>
      </c>
      <c r="L31" s="96">
        <f t="shared" si="2"/>
        <v>2.0472921267695636E-3</v>
      </c>
      <c r="M31" s="96">
        <f t="shared" si="2"/>
        <v>1.5336992664120904E-3</v>
      </c>
      <c r="N31" s="96">
        <f t="shared" si="2"/>
        <v>3.6451786647360533E-3</v>
      </c>
      <c r="O31" s="96">
        <f t="shared" si="2"/>
        <v>3.3949664008356521E-3</v>
      </c>
      <c r="P31" s="96">
        <f t="shared" si="2"/>
        <v>4.1389566295558069E-3</v>
      </c>
      <c r="Q31" s="96">
        <f t="shared" si="2"/>
        <v>5.9087296619614914E-3</v>
      </c>
      <c r="R31" s="96">
        <f t="shared" si="2"/>
        <v>9.242816565867432E-4</v>
      </c>
      <c r="S31" s="96">
        <f t="shared" si="2"/>
        <v>1.8855751403434439E-3</v>
      </c>
      <c r="T31" s="96">
        <f t="shared" si="2"/>
        <v>3.2909559414515057E-3</v>
      </c>
      <c r="U31" s="96">
        <f t="shared" ref="U31" si="3">IFERROR(1/SUM(U32:U44),0)</f>
        <v>6.5882194170505002E-3</v>
      </c>
      <c r="V31" s="96">
        <f t="shared" si="2"/>
        <v>9.683508643837166E-4</v>
      </c>
      <c r="W31" s="96">
        <f t="shared" si="2"/>
        <v>1.9681668942720283E-3</v>
      </c>
      <c r="X31" s="96">
        <f t="shared" si="2"/>
        <v>2.2073549403410489E-3</v>
      </c>
      <c r="Y31" s="96">
        <f t="shared" si="2"/>
        <v>2.814659963845321E-3</v>
      </c>
      <c r="Z31" s="96">
        <f t="shared" si="2"/>
        <v>1.5126087924515284E-3</v>
      </c>
      <c r="AA31" s="96">
        <f t="shared" si="2"/>
        <v>1.4596193124611879E-3</v>
      </c>
      <c r="AB31" s="96">
        <f t="shared" si="2"/>
        <v>1.6739242662995361E-3</v>
      </c>
      <c r="AC31" s="96">
        <f t="shared" si="0"/>
        <v>4.8579715097177657E-5</v>
      </c>
      <c r="AD31" s="96">
        <f>IFERROR(1/SUM(AD32:AD44),0)</f>
        <v>8.1373107198818673E-4</v>
      </c>
      <c r="AE31" s="96">
        <f>IFERROR(1/SUM(AE32:AE44),0)</f>
        <v>1.9165896185369933E-3</v>
      </c>
      <c r="AF31" s="96">
        <f t="shared" ref="AF31:BB31" si="4">IFERROR(1/SUM(AF32:AF44),0)</f>
        <v>2.2809578505946239E-3</v>
      </c>
      <c r="AG31" s="96">
        <f t="shared" si="4"/>
        <v>2.0491227903702515E-3</v>
      </c>
      <c r="AH31" s="96">
        <f t="shared" si="4"/>
        <v>2.2031107071598128E-3</v>
      </c>
      <c r="AI31" s="96">
        <f t="shared" si="4"/>
        <v>9.9311043144704883E-4</v>
      </c>
      <c r="AJ31" s="96">
        <f t="shared" si="4"/>
        <v>3.0278823878846927E-3</v>
      </c>
      <c r="AK31" s="96">
        <f t="shared" si="4"/>
        <v>2.3590312985132347E-4</v>
      </c>
      <c r="AL31" s="96">
        <f t="shared" si="4"/>
        <v>9.2248332260210615E-4</v>
      </c>
      <c r="AM31" s="96">
        <f t="shared" si="4"/>
        <v>1.3998792428613711E-3</v>
      </c>
      <c r="AN31" s="96">
        <f t="shared" si="4"/>
        <v>2.1683668070311287E-3</v>
      </c>
      <c r="AO31" s="96">
        <f t="shared" si="4"/>
        <v>2.1406840920729238E-3</v>
      </c>
      <c r="AP31" s="96">
        <f t="shared" si="4"/>
        <v>2.5228649400705302E-3</v>
      </c>
      <c r="AQ31" s="96">
        <f t="shared" si="4"/>
        <v>2.8256502103132736E-3</v>
      </c>
      <c r="AR31" s="96">
        <f t="shared" si="4"/>
        <v>6.7159741725122794E-4</v>
      </c>
      <c r="AS31" s="96">
        <f t="shared" si="4"/>
        <v>1.0952376870626407E-3</v>
      </c>
      <c r="AT31" s="96">
        <f t="shared" si="4"/>
        <v>2.2977295994960549E-3</v>
      </c>
      <c r="AU31" s="96">
        <f>IFERROR(1/SUM(AU32:AU44),0)</f>
        <v>3.2087780451305462E-3</v>
      </c>
      <c r="AV31" s="96">
        <f t="shared" si="4"/>
        <v>5.3546280564624926E-4</v>
      </c>
      <c r="AW31" s="96">
        <f t="shared" si="4"/>
        <v>1.2028356157277921E-3</v>
      </c>
      <c r="AX31" s="96">
        <f t="shared" si="4"/>
        <v>1.3578524514501671E-3</v>
      </c>
      <c r="AY31" s="96">
        <f t="shared" si="4"/>
        <v>1.7794246050711004E-3</v>
      </c>
      <c r="AZ31" s="96">
        <f t="shared" si="4"/>
        <v>7.9726394082015484E-4</v>
      </c>
      <c r="BA31" s="96">
        <f t="shared" si="4"/>
        <v>8.5459717343429602E-4</v>
      </c>
      <c r="BB31" s="96">
        <f t="shared" si="4"/>
        <v>8.6699123042968619E-4</v>
      </c>
    </row>
    <row r="32" spans="1:54" x14ac:dyDescent="0.25">
      <c r="A32" s="190" t="s">
        <v>1099</v>
      </c>
      <c r="B32" s="191">
        <v>1</v>
      </c>
      <c r="C32" s="100">
        <f t="shared" ref="C32:BB32" si="5">IFERROR($B32/C3,0)</f>
        <v>1617.9253958000006</v>
      </c>
      <c r="D32" s="100">
        <f t="shared" si="5"/>
        <v>89.291545000000013</v>
      </c>
      <c r="E32" s="100">
        <f t="shared" si="5"/>
        <v>40.831013300000009</v>
      </c>
      <c r="F32" s="100">
        <f t="shared" si="5"/>
        <v>33.846637999999999</v>
      </c>
      <c r="G32" s="100">
        <f t="shared" si="5"/>
        <v>39.699675399999997</v>
      </c>
      <c r="H32" s="100">
        <f t="shared" si="5"/>
        <v>32.219755400000004</v>
      </c>
      <c r="I32" s="100">
        <f t="shared" si="5"/>
        <v>82.877513600000015</v>
      </c>
      <c r="J32" s="100">
        <f t="shared" si="5"/>
        <v>29.405435500000003</v>
      </c>
      <c r="K32" s="100">
        <f t="shared" si="5"/>
        <v>344.35681700000004</v>
      </c>
      <c r="L32" s="100">
        <f t="shared" si="5"/>
        <v>62.793928400000006</v>
      </c>
      <c r="M32" s="100">
        <f t="shared" si="5"/>
        <v>83.821853500000003</v>
      </c>
      <c r="N32" s="100">
        <f t="shared" si="5"/>
        <v>35.267822800000005</v>
      </c>
      <c r="O32" s="100">
        <f t="shared" si="5"/>
        <v>37.867094999999999</v>
      </c>
      <c r="P32" s="100">
        <f t="shared" si="5"/>
        <v>31.060367800000005</v>
      </c>
      <c r="Q32" s="100">
        <f t="shared" si="5"/>
        <v>21.757217300000001</v>
      </c>
      <c r="R32" s="100">
        <f t="shared" si="5"/>
        <v>139.08911240000003</v>
      </c>
      <c r="S32" s="100">
        <f t="shared" si="5"/>
        <v>68.179470800000004</v>
      </c>
      <c r="T32" s="100">
        <f t="shared" si="5"/>
        <v>39.063882200000002</v>
      </c>
      <c r="U32" s="100">
        <f t="shared" ref="U32" si="6">IFERROR($B32/U3,0)</f>
        <v>19.513241300000004</v>
      </c>
      <c r="V32" s="100">
        <f t="shared" si="5"/>
        <v>132.75923010000002</v>
      </c>
      <c r="W32" s="100">
        <f t="shared" si="5"/>
        <v>65.318401400000013</v>
      </c>
      <c r="X32" s="100">
        <f t="shared" si="5"/>
        <v>58.240527100000008</v>
      </c>
      <c r="Y32" s="100">
        <f t="shared" si="5"/>
        <v>45.674261500000007</v>
      </c>
      <c r="Z32" s="100">
        <f t="shared" si="5"/>
        <v>84.990591000000009</v>
      </c>
      <c r="AA32" s="100">
        <f t="shared" si="5"/>
        <v>88.076058000000003</v>
      </c>
      <c r="AB32" s="100">
        <f t="shared" si="5"/>
        <v>76.800078600000006</v>
      </c>
      <c r="AC32" s="100">
        <f t="shared" si="5"/>
        <v>2646.3208967999999</v>
      </c>
      <c r="AD32" s="100">
        <f t="shared" si="5"/>
        <v>157.98526030000002</v>
      </c>
      <c r="AE32" s="100">
        <f t="shared" si="5"/>
        <v>67.076182599999996</v>
      </c>
      <c r="AF32" s="100">
        <f t="shared" si="5"/>
        <v>56.361197200000007</v>
      </c>
      <c r="AG32" s="100">
        <f t="shared" si="5"/>
        <v>62.737829000000019</v>
      </c>
      <c r="AH32" s="100">
        <f t="shared" si="5"/>
        <v>58.352725900000003</v>
      </c>
      <c r="AI32" s="100">
        <f t="shared" si="5"/>
        <v>129.44936550000003</v>
      </c>
      <c r="AJ32" s="100">
        <f t="shared" si="5"/>
        <v>42.457895900000004</v>
      </c>
      <c r="AK32" s="100">
        <f t="shared" si="5"/>
        <v>544.95892150000009</v>
      </c>
      <c r="AL32" s="100">
        <f t="shared" si="5"/>
        <v>139.36025949999998</v>
      </c>
      <c r="AM32" s="100">
        <f t="shared" si="5"/>
        <v>91.834717800000007</v>
      </c>
      <c r="AN32" s="100">
        <f t="shared" si="5"/>
        <v>59.287715900000016</v>
      </c>
      <c r="AO32" s="100">
        <f t="shared" si="5"/>
        <v>60.054407700000013</v>
      </c>
      <c r="AP32" s="100">
        <f t="shared" si="5"/>
        <v>50.956955000000008</v>
      </c>
      <c r="AQ32" s="100">
        <f t="shared" si="5"/>
        <v>45.496613400000001</v>
      </c>
      <c r="AR32" s="100">
        <f t="shared" si="5"/>
        <v>191.42050270000001</v>
      </c>
      <c r="AS32" s="100">
        <f t="shared" si="5"/>
        <v>117.37864460000002</v>
      </c>
      <c r="AT32" s="100">
        <f t="shared" si="5"/>
        <v>55.949801600000008</v>
      </c>
      <c r="AU32" s="100">
        <f>IFERROR($B32/AU3,0)</f>
        <v>40.064321500000005</v>
      </c>
      <c r="AV32" s="100">
        <f t="shared" si="5"/>
        <v>240.08673220000009</v>
      </c>
      <c r="AW32" s="100">
        <f t="shared" si="5"/>
        <v>106.87870690000001</v>
      </c>
      <c r="AX32" s="100">
        <f t="shared" si="5"/>
        <v>94.677087400000019</v>
      </c>
      <c r="AY32" s="100">
        <f t="shared" si="5"/>
        <v>72.246677300000016</v>
      </c>
      <c r="AZ32" s="100">
        <f t="shared" si="5"/>
        <v>161.24837540000001</v>
      </c>
      <c r="BA32" s="100">
        <f t="shared" si="5"/>
        <v>150.43054110000003</v>
      </c>
      <c r="BB32" s="100">
        <f t="shared" si="5"/>
        <v>148.2800641</v>
      </c>
    </row>
    <row r="33" spans="1:54" x14ac:dyDescent="0.25">
      <c r="A33" s="190" t="s">
        <v>1075</v>
      </c>
      <c r="B33" s="191">
        <v>1</v>
      </c>
      <c r="C33" s="100">
        <f t="shared" ref="C33:BB34" si="7">IFERROR($B33/C13,0)</f>
        <v>1003.9204672000005</v>
      </c>
      <c r="D33" s="100">
        <f t="shared" si="7"/>
        <v>55.405280000000012</v>
      </c>
      <c r="E33" s="100">
        <f t="shared" si="7"/>
        <v>25.335587199999999</v>
      </c>
      <c r="F33" s="100">
        <f t="shared" si="7"/>
        <v>21.001792000000002</v>
      </c>
      <c r="G33" s="100">
        <f t="shared" si="7"/>
        <v>24.633593600000001</v>
      </c>
      <c r="H33" s="100">
        <f t="shared" si="7"/>
        <v>19.992313600000003</v>
      </c>
      <c r="I33" s="100">
        <f t="shared" si="7"/>
        <v>51.425382400000011</v>
      </c>
      <c r="J33" s="100">
        <f t="shared" si="7"/>
        <v>18.246032000000003</v>
      </c>
      <c r="K33" s="100">
        <f t="shared" si="7"/>
        <v>213.67292800000004</v>
      </c>
      <c r="L33" s="100">
        <f t="shared" si="7"/>
        <v>38.963545600000003</v>
      </c>
      <c r="M33" s="100">
        <f t="shared" si="7"/>
        <v>52.011344000000008</v>
      </c>
      <c r="N33" s="100">
        <f t="shared" si="7"/>
        <v>21.883635200000001</v>
      </c>
      <c r="O33" s="100">
        <f t="shared" si="7"/>
        <v>23.496480000000002</v>
      </c>
      <c r="P33" s="100">
        <f t="shared" si="7"/>
        <v>19.272915200000003</v>
      </c>
      <c r="Q33" s="100">
        <f t="shared" si="7"/>
        <v>13.5003232</v>
      </c>
      <c r="R33" s="100">
        <f t="shared" si="7"/>
        <v>86.304601600000012</v>
      </c>
      <c r="S33" s="100">
        <f t="shared" si="7"/>
        <v>42.305267200000003</v>
      </c>
      <c r="T33" s="100">
        <f t="shared" si="7"/>
        <v>24.239084800000004</v>
      </c>
      <c r="U33" s="100">
        <f t="shared" ref="U33" si="8">IFERROR($B33/U13,0)</f>
        <v>12.107939200000001</v>
      </c>
      <c r="V33" s="100">
        <f t="shared" si="7"/>
        <v>82.376918399999994</v>
      </c>
      <c r="W33" s="100">
        <f t="shared" si="7"/>
        <v>40.529977600000002</v>
      </c>
      <c r="X33" s="100">
        <f t="shared" si="7"/>
        <v>36.138166399999996</v>
      </c>
      <c r="Y33" s="100">
        <f t="shared" si="7"/>
        <v>28.340816</v>
      </c>
      <c r="Z33" s="100">
        <f t="shared" si="7"/>
        <v>52.736544000000002</v>
      </c>
      <c r="AA33" s="100">
        <f t="shared" si="7"/>
        <v>54.651072000000006</v>
      </c>
      <c r="AB33" s="100">
        <f t="shared" si="7"/>
        <v>47.654342400000004</v>
      </c>
      <c r="AC33" s="100">
        <f t="shared" si="7"/>
        <v>1642.0384511999998</v>
      </c>
      <c r="AD33" s="100">
        <f t="shared" si="7"/>
        <v>98.029635200000001</v>
      </c>
      <c r="AE33" s="100">
        <f t="shared" si="7"/>
        <v>41.620678400000003</v>
      </c>
      <c r="AF33" s="100">
        <f t="shared" si="7"/>
        <v>34.972044800000006</v>
      </c>
      <c r="AG33" s="100">
        <f t="shared" si="7"/>
        <v>38.928736000000008</v>
      </c>
      <c r="AH33" s="100">
        <f t="shared" si="7"/>
        <v>36.207785600000001</v>
      </c>
      <c r="AI33" s="100">
        <f t="shared" si="7"/>
        <v>80.323151999999993</v>
      </c>
      <c r="AJ33" s="100">
        <f t="shared" si="7"/>
        <v>26.345065600000002</v>
      </c>
      <c r="AK33" s="100">
        <f t="shared" si="7"/>
        <v>338.14625600000005</v>
      </c>
      <c r="AL33" s="100">
        <f t="shared" si="7"/>
        <v>86.472847999999999</v>
      </c>
      <c r="AM33" s="100">
        <f t="shared" si="7"/>
        <v>56.983315200000007</v>
      </c>
      <c r="AN33" s="100">
        <f t="shared" si="7"/>
        <v>36.787945600000008</v>
      </c>
      <c r="AO33" s="100">
        <f t="shared" si="7"/>
        <v>37.263676800000006</v>
      </c>
      <c r="AP33" s="100">
        <f t="shared" si="7"/>
        <v>31.618720000000003</v>
      </c>
      <c r="AQ33" s="100">
        <f t="shared" si="7"/>
        <v>28.230585600000005</v>
      </c>
      <c r="AR33" s="100">
        <f t="shared" si="7"/>
        <v>118.7761568</v>
      </c>
      <c r="AS33" s="100">
        <f t="shared" si="7"/>
        <v>72.833286400000006</v>
      </c>
      <c r="AT33" s="100">
        <f t="shared" si="7"/>
        <v>34.716774400000006</v>
      </c>
      <c r="AU33" s="100">
        <f t="shared" ref="AU33" si="9">IFERROR($B33/AU13,0)</f>
        <v>24.859856000000004</v>
      </c>
      <c r="AV33" s="100">
        <f t="shared" si="7"/>
        <v>148.97348480000005</v>
      </c>
      <c r="AW33" s="100">
        <f t="shared" si="7"/>
        <v>66.318089599999993</v>
      </c>
      <c r="AX33" s="100">
        <f t="shared" si="7"/>
        <v>58.747001600000004</v>
      </c>
      <c r="AY33" s="100">
        <f t="shared" si="7"/>
        <v>44.828963200000004</v>
      </c>
      <c r="AZ33" s="100">
        <f t="shared" si="7"/>
        <v>100.05439360000001</v>
      </c>
      <c r="BA33" s="100">
        <f t="shared" si="7"/>
        <v>93.341942400000008</v>
      </c>
      <c r="BB33" s="100">
        <f t="shared" si="7"/>
        <v>92.00757440000001</v>
      </c>
    </row>
    <row r="34" spans="1:54" x14ac:dyDescent="0.25">
      <c r="A34" s="190" t="s">
        <v>1076</v>
      </c>
      <c r="B34" s="191">
        <v>1</v>
      </c>
      <c r="C34" s="100">
        <f t="shared" si="7"/>
        <v>108.45926475999998</v>
      </c>
      <c r="D34" s="100">
        <f t="shared" si="7"/>
        <v>5.9857489999999993</v>
      </c>
      <c r="E34" s="100">
        <f t="shared" si="7"/>
        <v>2.7371482600000001</v>
      </c>
      <c r="F34" s="100">
        <f t="shared" si="7"/>
        <v>2.2689435999999996</v>
      </c>
      <c r="G34" s="100">
        <f t="shared" si="7"/>
        <v>2.6613078799999998</v>
      </c>
      <c r="H34" s="100">
        <f t="shared" si="7"/>
        <v>2.1598838799999998</v>
      </c>
      <c r="I34" s="100">
        <f t="shared" si="7"/>
        <v>5.5557779199999997</v>
      </c>
      <c r="J34" s="100">
        <f t="shared" si="7"/>
        <v>1.9712230999999998</v>
      </c>
      <c r="K34" s="100">
        <f t="shared" si="7"/>
        <v>23.0843074</v>
      </c>
      <c r="L34" s="100">
        <f t="shared" si="7"/>
        <v>4.2094544799999998</v>
      </c>
      <c r="M34" s="100">
        <f t="shared" si="7"/>
        <v>5.6190826999999999</v>
      </c>
      <c r="N34" s="100">
        <f t="shared" si="7"/>
        <v>2.36421416</v>
      </c>
      <c r="O34" s="100">
        <f t="shared" si="7"/>
        <v>2.538459</v>
      </c>
      <c r="P34" s="100">
        <f t="shared" si="7"/>
        <v>2.0821631599999999</v>
      </c>
      <c r="Q34" s="100">
        <f t="shared" si="7"/>
        <v>1.4585170600000001</v>
      </c>
      <c r="R34" s="100">
        <f t="shared" si="7"/>
        <v>9.3239792799999996</v>
      </c>
      <c r="S34" s="100">
        <f t="shared" si="7"/>
        <v>4.5704797600000004</v>
      </c>
      <c r="T34" s="100">
        <f t="shared" si="7"/>
        <v>2.6186868399999996</v>
      </c>
      <c r="U34" s="100">
        <f t="shared" ref="U34" si="10">IFERROR($B34/U14,0)</f>
        <v>1.3080898599999999</v>
      </c>
      <c r="V34" s="100">
        <f t="shared" si="7"/>
        <v>8.8996492199999988</v>
      </c>
      <c r="W34" s="100">
        <f t="shared" si="7"/>
        <v>4.3786850799999995</v>
      </c>
      <c r="X34" s="100">
        <f t="shared" si="7"/>
        <v>3.90421262</v>
      </c>
      <c r="Y34" s="100">
        <f t="shared" si="7"/>
        <v>3.0618202999999999</v>
      </c>
      <c r="Z34" s="100">
        <f t="shared" si="7"/>
        <v>5.6974301999999994</v>
      </c>
      <c r="AA34" s="100">
        <f t="shared" si="7"/>
        <v>5.9042675999999998</v>
      </c>
      <c r="AB34" s="100">
        <f t="shared" si="7"/>
        <v>5.1483709199999996</v>
      </c>
      <c r="AC34" s="100">
        <f t="shared" si="7"/>
        <v>177.39879696</v>
      </c>
      <c r="AD34" s="100">
        <f t="shared" si="7"/>
        <v>10.590701659999999</v>
      </c>
      <c r="AE34" s="100">
        <f t="shared" si="7"/>
        <v>4.4965197199999993</v>
      </c>
      <c r="AF34" s="100">
        <f t="shared" si="7"/>
        <v>3.7782298399999994</v>
      </c>
      <c r="AG34" s="100">
        <f t="shared" si="7"/>
        <v>4.2056938000000006</v>
      </c>
      <c r="AH34" s="100">
        <f t="shared" si="7"/>
        <v>3.9117339799999993</v>
      </c>
      <c r="AI34" s="100">
        <f t="shared" si="7"/>
        <v>8.677769099999999</v>
      </c>
      <c r="AJ34" s="100">
        <f t="shared" si="7"/>
        <v>2.8462079799999995</v>
      </c>
      <c r="AK34" s="100">
        <f t="shared" si="7"/>
        <v>36.531872300000003</v>
      </c>
      <c r="AL34" s="100">
        <f t="shared" si="7"/>
        <v>9.3421558999999981</v>
      </c>
      <c r="AM34" s="100">
        <f t="shared" si="7"/>
        <v>6.1562331599999993</v>
      </c>
      <c r="AN34" s="100">
        <f t="shared" si="7"/>
        <v>3.9744119800000002</v>
      </c>
      <c r="AO34" s="100">
        <f t="shared" si="7"/>
        <v>4.0258079400000009</v>
      </c>
      <c r="AP34" s="100">
        <f t="shared" si="7"/>
        <v>3.4159509999999997</v>
      </c>
      <c r="AQ34" s="100">
        <f t="shared" si="7"/>
        <v>3.0499114800000005</v>
      </c>
      <c r="AR34" s="100">
        <f t="shared" si="7"/>
        <v>12.832066939999999</v>
      </c>
      <c r="AS34" s="100">
        <f t="shared" si="7"/>
        <v>7.8685961199999994</v>
      </c>
      <c r="AT34" s="100">
        <f t="shared" si="7"/>
        <v>3.7506515200000003</v>
      </c>
      <c r="AU34" s="100">
        <f t="shared" ref="AU34" si="11">IFERROR($B34/AU14,0)</f>
        <v>2.6857523000000003</v>
      </c>
      <c r="AV34" s="100">
        <f t="shared" si="7"/>
        <v>16.094456840000003</v>
      </c>
      <c r="AW34" s="100">
        <f t="shared" si="7"/>
        <v>7.1647221800000009</v>
      </c>
      <c r="AX34" s="100">
        <f t="shared" si="7"/>
        <v>6.34677428</v>
      </c>
      <c r="AY34" s="100">
        <f t="shared" si="7"/>
        <v>4.8431290599999999</v>
      </c>
      <c r="AZ34" s="100">
        <f t="shared" si="7"/>
        <v>10.809447879999999</v>
      </c>
      <c r="BA34" s="100">
        <f t="shared" si="7"/>
        <v>10.084263419999999</v>
      </c>
      <c r="BB34" s="100">
        <f t="shared" si="7"/>
        <v>9.9401040199999997</v>
      </c>
    </row>
    <row r="35" spans="1:54" x14ac:dyDescent="0.25">
      <c r="A35" s="190" t="s">
        <v>1077</v>
      </c>
      <c r="B35" s="191">
        <v>1</v>
      </c>
      <c r="C35" s="100">
        <f t="shared" ref="C35:BB35" si="12">IFERROR($B35/C30,0)</f>
        <v>1174.2284035999999</v>
      </c>
      <c r="D35" s="100">
        <f t="shared" si="12"/>
        <v>64.804389999999998</v>
      </c>
      <c r="E35" s="100">
        <f t="shared" si="12"/>
        <v>29.633588600000003</v>
      </c>
      <c r="F35" s="100">
        <f t="shared" si="12"/>
        <v>24.564596000000002</v>
      </c>
      <c r="G35" s="100">
        <f t="shared" si="12"/>
        <v>28.812506800000001</v>
      </c>
      <c r="H35" s="100">
        <f t="shared" si="12"/>
        <v>23.383866800000003</v>
      </c>
      <c r="I35" s="100">
        <f t="shared" si="12"/>
        <v>60.149331200000006</v>
      </c>
      <c r="J35" s="100">
        <f t="shared" si="12"/>
        <v>21.341341</v>
      </c>
      <c r="K35" s="100">
        <f t="shared" si="12"/>
        <v>249.92101400000004</v>
      </c>
      <c r="L35" s="100">
        <f t="shared" si="12"/>
        <v>45.573432799999999</v>
      </c>
      <c r="M35" s="100">
        <f t="shared" si="12"/>
        <v>60.834696999999998</v>
      </c>
      <c r="N35" s="100">
        <f t="shared" si="12"/>
        <v>25.596037600000002</v>
      </c>
      <c r="O35" s="100">
        <f t="shared" si="12"/>
        <v>27.482490000000002</v>
      </c>
      <c r="P35" s="100">
        <f t="shared" si="12"/>
        <v>22.5424276</v>
      </c>
      <c r="Q35" s="100">
        <f t="shared" si="12"/>
        <v>15.790556600000002</v>
      </c>
      <c r="R35" s="100">
        <f t="shared" si="12"/>
        <v>100.9455608</v>
      </c>
      <c r="S35" s="100">
        <f t="shared" si="12"/>
        <v>49.4820536</v>
      </c>
      <c r="T35" s="100">
        <f t="shared" si="12"/>
        <v>28.351072400000003</v>
      </c>
      <c r="U35" s="100">
        <f t="shared" ref="U35" si="13">IFERROR($B35/U30,0)</f>
        <v>14.161964600000001</v>
      </c>
      <c r="V35" s="100">
        <f t="shared" si="12"/>
        <v>96.351574200000016</v>
      </c>
      <c r="W35" s="100">
        <f t="shared" si="12"/>
        <v>47.4055988</v>
      </c>
      <c r="X35" s="100">
        <f t="shared" si="12"/>
        <v>42.268748199999997</v>
      </c>
      <c r="Y35" s="100">
        <f t="shared" si="12"/>
        <v>33.148633000000004</v>
      </c>
      <c r="Z35" s="100">
        <f t="shared" si="12"/>
        <v>61.682921999999998</v>
      </c>
      <c r="AA35" s="100">
        <f t="shared" si="12"/>
        <v>63.922236000000012</v>
      </c>
      <c r="AB35" s="100">
        <f t="shared" si="12"/>
        <v>55.738561200000014</v>
      </c>
      <c r="AC35" s="100">
        <f t="shared" si="12"/>
        <v>1920.5985456000003</v>
      </c>
      <c r="AD35" s="100">
        <f t="shared" si="12"/>
        <v>114.6596626</v>
      </c>
      <c r="AE35" s="100">
        <f t="shared" si="12"/>
        <v>48.6813292</v>
      </c>
      <c r="AF35" s="100">
        <f t="shared" si="12"/>
        <v>40.904802400000001</v>
      </c>
      <c r="AG35" s="100">
        <f t="shared" si="12"/>
        <v>45.53271800000001</v>
      </c>
      <c r="AH35" s="100">
        <f t="shared" si="12"/>
        <v>42.350177800000004</v>
      </c>
      <c r="AI35" s="100">
        <f t="shared" si="12"/>
        <v>93.949401000000009</v>
      </c>
      <c r="AJ35" s="100">
        <f t="shared" si="12"/>
        <v>30.814317800000001</v>
      </c>
      <c r="AK35" s="100">
        <f t="shared" si="12"/>
        <v>395.51035300000001</v>
      </c>
      <c r="AL35" s="100">
        <f t="shared" si="12"/>
        <v>101.142349</v>
      </c>
      <c r="AM35" s="100">
        <f t="shared" si="12"/>
        <v>66.650127600000005</v>
      </c>
      <c r="AN35" s="100">
        <f t="shared" si="12"/>
        <v>43.028757800000008</v>
      </c>
      <c r="AO35" s="100">
        <f t="shared" si="12"/>
        <v>43.585193400000001</v>
      </c>
      <c r="AP35" s="100">
        <f t="shared" si="12"/>
        <v>36.982610000000001</v>
      </c>
      <c r="AQ35" s="100">
        <f t="shared" si="12"/>
        <v>33.019702800000005</v>
      </c>
      <c r="AR35" s="100">
        <f t="shared" si="12"/>
        <v>138.9256834</v>
      </c>
      <c r="AS35" s="100">
        <f t="shared" si="12"/>
        <v>85.188933200000008</v>
      </c>
      <c r="AT35" s="100">
        <f t="shared" si="12"/>
        <v>40.606227199999999</v>
      </c>
      <c r="AU35" s="100">
        <f t="shared" ref="AU35" si="14">IFERROR($B35/AU30,0)</f>
        <v>29.077152999999999</v>
      </c>
      <c r="AV35" s="100">
        <f t="shared" si="12"/>
        <v>174.24577240000005</v>
      </c>
      <c r="AW35" s="100">
        <f t="shared" si="12"/>
        <v>77.568479800000006</v>
      </c>
      <c r="AX35" s="100">
        <f t="shared" si="12"/>
        <v>68.713010800000006</v>
      </c>
      <c r="AY35" s="100">
        <f t="shared" si="12"/>
        <v>52.433876600000005</v>
      </c>
      <c r="AZ35" s="100">
        <f t="shared" si="12"/>
        <v>117.02790680000001</v>
      </c>
      <c r="BA35" s="100">
        <f t="shared" si="12"/>
        <v>109.17673620000002</v>
      </c>
      <c r="BB35" s="100">
        <f t="shared" si="12"/>
        <v>107.61600220000003</v>
      </c>
    </row>
    <row r="36" spans="1:54" x14ac:dyDescent="0.25">
      <c r="A36" s="190" t="s">
        <v>1078</v>
      </c>
      <c r="B36" s="191">
        <v>1</v>
      </c>
      <c r="C36" s="100">
        <f t="shared" ref="C36:BB36" si="15">IFERROR($B36/C26,0)</f>
        <v>3518.2034230000004</v>
      </c>
      <c r="D36" s="100">
        <f t="shared" si="15"/>
        <v>194.16582500000001</v>
      </c>
      <c r="E36" s="100">
        <f t="shared" si="15"/>
        <v>88.787660500000001</v>
      </c>
      <c r="F36" s="100">
        <f t="shared" si="15"/>
        <v>73.600030000000004</v>
      </c>
      <c r="G36" s="100">
        <f t="shared" si="15"/>
        <v>86.327549000000005</v>
      </c>
      <c r="H36" s="100">
        <f t="shared" si="15"/>
        <v>70.062349000000012</v>
      </c>
      <c r="I36" s="100">
        <f t="shared" si="15"/>
        <v>180.21841600000005</v>
      </c>
      <c r="J36" s="100">
        <f t="shared" si="15"/>
        <v>63.942567500000003</v>
      </c>
      <c r="K36" s="100">
        <f t="shared" si="15"/>
        <v>748.80914500000017</v>
      </c>
      <c r="L36" s="100">
        <f t="shared" si="15"/>
        <v>136.54635400000001</v>
      </c>
      <c r="M36" s="100">
        <f t="shared" si="15"/>
        <v>182.27189749999999</v>
      </c>
      <c r="N36" s="100">
        <f t="shared" si="15"/>
        <v>76.690418000000008</v>
      </c>
      <c r="O36" s="100">
        <f t="shared" si="15"/>
        <v>82.342575000000011</v>
      </c>
      <c r="P36" s="100">
        <f t="shared" si="15"/>
        <v>67.541243000000009</v>
      </c>
      <c r="Q36" s="100">
        <f t="shared" si="15"/>
        <v>47.311400499999998</v>
      </c>
      <c r="R36" s="100">
        <f t="shared" si="15"/>
        <v>302.45139400000005</v>
      </c>
      <c r="S36" s="100">
        <f t="shared" si="15"/>
        <v>148.25729800000002</v>
      </c>
      <c r="T36" s="100">
        <f t="shared" si="15"/>
        <v>84.945007000000018</v>
      </c>
      <c r="U36" s="100">
        <f t="shared" ref="U36" si="16">IFERROR($B36/U26,0)</f>
        <v>42.431840500000007</v>
      </c>
      <c r="V36" s="100">
        <f t="shared" si="15"/>
        <v>288.68696850000003</v>
      </c>
      <c r="W36" s="100">
        <f t="shared" si="15"/>
        <v>142.03585900000002</v>
      </c>
      <c r="X36" s="100">
        <f t="shared" si="15"/>
        <v>126.6449135</v>
      </c>
      <c r="Y36" s="100">
        <f t="shared" si="15"/>
        <v>99.319377500000016</v>
      </c>
      <c r="Z36" s="100">
        <f t="shared" si="15"/>
        <v>184.813335</v>
      </c>
      <c r="AA36" s="100">
        <f t="shared" si="15"/>
        <v>191.52273</v>
      </c>
      <c r="AB36" s="100">
        <f t="shared" si="15"/>
        <v>167.00294100000002</v>
      </c>
      <c r="AC36" s="100">
        <f t="shared" si="15"/>
        <v>5754.4651079999994</v>
      </c>
      <c r="AD36" s="100">
        <f t="shared" si="15"/>
        <v>343.54135550000007</v>
      </c>
      <c r="AE36" s="100">
        <f t="shared" si="15"/>
        <v>145.85818100000003</v>
      </c>
      <c r="AF36" s="100">
        <f t="shared" si="15"/>
        <v>122.55828199999999</v>
      </c>
      <c r="AG36" s="100">
        <f t="shared" si="15"/>
        <v>136.42436500000002</v>
      </c>
      <c r="AH36" s="100">
        <f t="shared" si="15"/>
        <v>126.88889150000001</v>
      </c>
      <c r="AI36" s="100">
        <f t="shared" si="15"/>
        <v>281.48961750000001</v>
      </c>
      <c r="AJ36" s="100">
        <f t="shared" si="15"/>
        <v>92.325341499999993</v>
      </c>
      <c r="AK36" s="100">
        <f t="shared" si="15"/>
        <v>1185.0214775000002</v>
      </c>
      <c r="AL36" s="100">
        <f t="shared" si="15"/>
        <v>303.04100749999998</v>
      </c>
      <c r="AM36" s="100">
        <f t="shared" si="15"/>
        <v>199.69599300000004</v>
      </c>
      <c r="AN36" s="100">
        <f t="shared" si="15"/>
        <v>128.92204150000003</v>
      </c>
      <c r="AO36" s="100">
        <f t="shared" si="15"/>
        <v>130.58922450000003</v>
      </c>
      <c r="AP36" s="100">
        <f t="shared" si="15"/>
        <v>110.80667500000001</v>
      </c>
      <c r="AQ36" s="100">
        <f t="shared" si="15"/>
        <v>98.933079000000021</v>
      </c>
      <c r="AR36" s="100">
        <f t="shared" si="15"/>
        <v>416.24679950000001</v>
      </c>
      <c r="AS36" s="100">
        <f t="shared" si="15"/>
        <v>255.24165100000005</v>
      </c>
      <c r="AT36" s="100">
        <f t="shared" si="15"/>
        <v>121.66369599999999</v>
      </c>
      <c r="AU36" s="100">
        <f t="shared" ref="AU36" si="17">IFERROR($B36/AU26,0)</f>
        <v>87.120477500000007</v>
      </c>
      <c r="AV36" s="100">
        <f t="shared" si="15"/>
        <v>522.07225700000015</v>
      </c>
      <c r="AW36" s="100">
        <f t="shared" si="15"/>
        <v>232.40937650000004</v>
      </c>
      <c r="AX36" s="100">
        <f t="shared" si="15"/>
        <v>205.87676900000002</v>
      </c>
      <c r="AY36" s="100">
        <f t="shared" si="15"/>
        <v>157.10150050000001</v>
      </c>
      <c r="AZ36" s="100">
        <f t="shared" si="15"/>
        <v>350.63704900000005</v>
      </c>
      <c r="BA36" s="100">
        <f t="shared" si="15"/>
        <v>327.11350350000004</v>
      </c>
      <c r="BB36" s="100">
        <f t="shared" si="15"/>
        <v>322.43725850000004</v>
      </c>
    </row>
    <row r="37" spans="1:54" x14ac:dyDescent="0.25">
      <c r="A37" s="190" t="s">
        <v>1079</v>
      </c>
      <c r="B37" s="191">
        <v>1</v>
      </c>
      <c r="C37" s="100">
        <f t="shared" ref="C37:BB37" si="18">IFERROR($B37/C22,0)</f>
        <v>1859.9419370000003</v>
      </c>
      <c r="D37" s="100">
        <f t="shared" si="18"/>
        <v>102.64817500000001</v>
      </c>
      <c r="E37" s="100">
        <f t="shared" si="18"/>
        <v>46.938699499999998</v>
      </c>
      <c r="F37" s="100">
        <f t="shared" si="18"/>
        <v>38.909570000000002</v>
      </c>
      <c r="G37" s="100">
        <f t="shared" si="18"/>
        <v>45.638131000000001</v>
      </c>
      <c r="H37" s="100">
        <f t="shared" si="18"/>
        <v>37.039331000000004</v>
      </c>
      <c r="I37" s="100">
        <f t="shared" si="18"/>
        <v>95.274704</v>
      </c>
      <c r="J37" s="100">
        <f t="shared" si="18"/>
        <v>33.804032500000005</v>
      </c>
      <c r="K37" s="100">
        <f t="shared" si="18"/>
        <v>395.867255</v>
      </c>
      <c r="L37" s="100">
        <f t="shared" si="18"/>
        <v>72.186926000000014</v>
      </c>
      <c r="M37" s="100">
        <f t="shared" si="18"/>
        <v>96.360302500000003</v>
      </c>
      <c r="N37" s="100">
        <f t="shared" si="18"/>
        <v>40.543342000000003</v>
      </c>
      <c r="O37" s="100">
        <f t="shared" si="18"/>
        <v>43.531425000000006</v>
      </c>
      <c r="P37" s="100">
        <f t="shared" si="18"/>
        <v>35.706517000000005</v>
      </c>
      <c r="Q37" s="100">
        <f t="shared" si="18"/>
        <v>25.011759500000004</v>
      </c>
      <c r="R37" s="100">
        <f t="shared" si="18"/>
        <v>159.89468600000001</v>
      </c>
      <c r="S37" s="100">
        <f t="shared" si="18"/>
        <v>78.378062</v>
      </c>
      <c r="T37" s="100">
        <f t="shared" si="18"/>
        <v>44.907233000000005</v>
      </c>
      <c r="U37" s="100">
        <f t="shared" ref="U37" si="19">IFERROR($B37/U22,0)</f>
        <v>22.432119500000002</v>
      </c>
      <c r="V37" s="100">
        <f t="shared" si="18"/>
        <v>152.6179515</v>
      </c>
      <c r="W37" s="100">
        <f t="shared" si="18"/>
        <v>75.089021000000002</v>
      </c>
      <c r="X37" s="100">
        <f t="shared" si="18"/>
        <v>66.952406500000009</v>
      </c>
      <c r="Y37" s="100">
        <f t="shared" si="18"/>
        <v>52.506422499999999</v>
      </c>
      <c r="Z37" s="100">
        <f t="shared" si="18"/>
        <v>97.703865000000008</v>
      </c>
      <c r="AA37" s="100">
        <f t="shared" si="18"/>
        <v>101.25087000000001</v>
      </c>
      <c r="AB37" s="100">
        <f t="shared" si="18"/>
        <v>88.288179</v>
      </c>
      <c r="AC37" s="100">
        <f t="shared" si="18"/>
        <v>3042.1694519999996</v>
      </c>
      <c r="AD37" s="100">
        <f t="shared" si="18"/>
        <v>181.61740450000002</v>
      </c>
      <c r="AE37" s="100">
        <f t="shared" si="18"/>
        <v>77.109739000000005</v>
      </c>
      <c r="AF37" s="100">
        <f t="shared" si="18"/>
        <v>64.791958000000008</v>
      </c>
      <c r="AG37" s="100">
        <f t="shared" si="18"/>
        <v>72.12243500000001</v>
      </c>
      <c r="AH37" s="100">
        <f t="shared" si="18"/>
        <v>67.081388500000003</v>
      </c>
      <c r="AI37" s="100">
        <f t="shared" si="18"/>
        <v>148.8129825</v>
      </c>
      <c r="AJ37" s="100">
        <f t="shared" si="18"/>
        <v>48.808938500000004</v>
      </c>
      <c r="AK37" s="100">
        <f t="shared" si="18"/>
        <v>626.47632249999992</v>
      </c>
      <c r="AL37" s="100">
        <f t="shared" si="18"/>
        <v>160.20639249999999</v>
      </c>
      <c r="AM37" s="100">
        <f t="shared" si="18"/>
        <v>105.57176700000001</v>
      </c>
      <c r="AN37" s="100">
        <f t="shared" si="18"/>
        <v>68.156238500000015</v>
      </c>
      <c r="AO37" s="100">
        <f t="shared" si="18"/>
        <v>69.037615500000015</v>
      </c>
      <c r="AP37" s="100">
        <f t="shared" si="18"/>
        <v>58.579324999999997</v>
      </c>
      <c r="AQ37" s="100">
        <f t="shared" si="18"/>
        <v>52.302201000000004</v>
      </c>
      <c r="AR37" s="100">
        <f t="shared" si="18"/>
        <v>220.05404050000001</v>
      </c>
      <c r="AS37" s="100">
        <f t="shared" si="18"/>
        <v>134.93666899999999</v>
      </c>
      <c r="AT37" s="100">
        <f t="shared" si="18"/>
        <v>64.319024000000013</v>
      </c>
      <c r="AU37" s="100">
        <f t="shared" ref="AU37" si="20">IFERROR($B37/AU22,0)</f>
        <v>46.057322500000005</v>
      </c>
      <c r="AV37" s="100">
        <f t="shared" si="18"/>
        <v>275.99998300000004</v>
      </c>
      <c r="AW37" s="100">
        <f t="shared" si="18"/>
        <v>122.86610350000001</v>
      </c>
      <c r="AX37" s="100">
        <f t="shared" si="18"/>
        <v>108.839311</v>
      </c>
      <c r="AY37" s="100">
        <f t="shared" si="18"/>
        <v>83.053659499999995</v>
      </c>
      <c r="AZ37" s="100">
        <f t="shared" si="18"/>
        <v>185.36863100000002</v>
      </c>
      <c r="BA37" s="100">
        <f t="shared" si="18"/>
        <v>172.93261650000002</v>
      </c>
      <c r="BB37" s="100">
        <f t="shared" si="18"/>
        <v>170.46046150000001</v>
      </c>
    </row>
    <row r="38" spans="1:54" x14ac:dyDescent="0.25">
      <c r="A38" s="190" t="s">
        <v>1080</v>
      </c>
      <c r="B38" s="191">
        <v>1</v>
      </c>
      <c r="C38" s="100">
        <f t="shared" ref="C38:BB38" si="21">IFERROR($B38/C2,0)</f>
        <v>3289.6322451999999</v>
      </c>
      <c r="D38" s="100">
        <f t="shared" si="21"/>
        <v>181.55123</v>
      </c>
      <c r="E38" s="100">
        <f t="shared" si="21"/>
        <v>83.019290200000015</v>
      </c>
      <c r="F38" s="100">
        <f t="shared" si="21"/>
        <v>68.818372000000011</v>
      </c>
      <c r="G38" s="100">
        <f t="shared" si="21"/>
        <v>80.719007599999998</v>
      </c>
      <c r="H38" s="100">
        <f t="shared" si="21"/>
        <v>65.510527600000003</v>
      </c>
      <c r="I38" s="100">
        <f t="shared" si="21"/>
        <v>168.50995839999999</v>
      </c>
      <c r="J38" s="100">
        <f t="shared" si="21"/>
        <v>59.788337000000006</v>
      </c>
      <c r="K38" s="100">
        <f t="shared" si="21"/>
        <v>700.1603980000001</v>
      </c>
      <c r="L38" s="100">
        <f t="shared" si="21"/>
        <v>127.6751896</v>
      </c>
      <c r="M38" s="100">
        <f t="shared" si="21"/>
        <v>170.43002900000002</v>
      </c>
      <c r="N38" s="100">
        <f t="shared" si="21"/>
        <v>71.707983200000001</v>
      </c>
      <c r="O38" s="100">
        <f t="shared" si="21"/>
        <v>76.992930000000015</v>
      </c>
      <c r="P38" s="100">
        <f t="shared" si="21"/>
        <v>63.153213200000003</v>
      </c>
      <c r="Q38" s="100">
        <f t="shared" si="21"/>
        <v>44.2376662</v>
      </c>
      <c r="R38" s="100">
        <f t="shared" si="21"/>
        <v>282.80168559999998</v>
      </c>
      <c r="S38" s="100">
        <f t="shared" si="21"/>
        <v>138.62529519999998</v>
      </c>
      <c r="T38" s="100">
        <f t="shared" si="21"/>
        <v>79.4262868</v>
      </c>
      <c r="U38" s="100">
        <f t="shared" ref="U38" si="22">IFERROR($B38/U2,0)</f>
        <v>39.675122200000004</v>
      </c>
      <c r="V38" s="100">
        <f t="shared" si="21"/>
        <v>269.93150939999998</v>
      </c>
      <c r="W38" s="100">
        <f t="shared" si="21"/>
        <v>132.80805160000003</v>
      </c>
      <c r="X38" s="100">
        <f t="shared" si="21"/>
        <v>118.41702740000001</v>
      </c>
      <c r="Y38" s="100">
        <f t="shared" si="21"/>
        <v>92.866781000000003</v>
      </c>
      <c r="Z38" s="100">
        <f t="shared" si="21"/>
        <v>172.806354</v>
      </c>
      <c r="AA38" s="100">
        <f t="shared" si="21"/>
        <v>179.07985199999999</v>
      </c>
      <c r="AB38" s="100">
        <f t="shared" si="21"/>
        <v>156.15306840000002</v>
      </c>
      <c r="AC38" s="100">
        <f t="shared" si="21"/>
        <v>5380.6081392000015</v>
      </c>
      <c r="AD38" s="100">
        <f t="shared" si="21"/>
        <v>321.22210820000004</v>
      </c>
      <c r="AE38" s="100">
        <f t="shared" si="21"/>
        <v>136.38204440000001</v>
      </c>
      <c r="AF38" s="100">
        <f t="shared" si="21"/>
        <v>114.59589680000002</v>
      </c>
      <c r="AG38" s="100">
        <f t="shared" si="21"/>
        <v>127.56112600000004</v>
      </c>
      <c r="AH38" s="100">
        <f t="shared" si="21"/>
        <v>118.6451546</v>
      </c>
      <c r="AI38" s="100">
        <f t="shared" si="21"/>
        <v>263.20175700000004</v>
      </c>
      <c r="AJ38" s="100">
        <f t="shared" si="21"/>
        <v>86.327134600000008</v>
      </c>
      <c r="AK38" s="100">
        <f t="shared" si="21"/>
        <v>1108.0328210000002</v>
      </c>
      <c r="AL38" s="100">
        <f t="shared" si="21"/>
        <v>283.35299300000003</v>
      </c>
      <c r="AM38" s="100">
        <f t="shared" si="21"/>
        <v>186.72211320000002</v>
      </c>
      <c r="AN38" s="100">
        <f t="shared" si="21"/>
        <v>120.54621460000004</v>
      </c>
      <c r="AO38" s="100">
        <f t="shared" si="21"/>
        <v>122.10508379999999</v>
      </c>
      <c r="AP38" s="100">
        <f t="shared" si="21"/>
        <v>103.60777</v>
      </c>
      <c r="AQ38" s="100">
        <f t="shared" si="21"/>
        <v>92.505579600000004</v>
      </c>
      <c r="AR38" s="100">
        <f t="shared" si="21"/>
        <v>389.2040138000001</v>
      </c>
      <c r="AS38" s="100">
        <f t="shared" si="21"/>
        <v>238.65907240000001</v>
      </c>
      <c r="AT38" s="100">
        <f t="shared" si="21"/>
        <v>113.7594304</v>
      </c>
      <c r="AU38" s="100">
        <f t="shared" ref="AU38" si="23">IFERROR($B38/AU2,0)</f>
        <v>81.460421000000011</v>
      </c>
      <c r="AV38" s="100">
        <f t="shared" si="21"/>
        <v>488.1541868000001</v>
      </c>
      <c r="AW38" s="100">
        <f t="shared" si="21"/>
        <v>217.3101686</v>
      </c>
      <c r="AX38" s="100">
        <f t="shared" si="21"/>
        <v>192.50133560000003</v>
      </c>
      <c r="AY38" s="100">
        <f t="shared" si="21"/>
        <v>146.89490620000001</v>
      </c>
      <c r="AZ38" s="100">
        <f t="shared" si="21"/>
        <v>327.85680760000002</v>
      </c>
      <c r="BA38" s="100">
        <f t="shared" si="21"/>
        <v>305.86154340000002</v>
      </c>
      <c r="BB38" s="100">
        <f t="shared" si="21"/>
        <v>301.48910540000003</v>
      </c>
    </row>
    <row r="39" spans="1:54" x14ac:dyDescent="0.25">
      <c r="A39" s="190" t="s">
        <v>1081</v>
      </c>
      <c r="B39" s="191">
        <v>1</v>
      </c>
      <c r="C39" s="100">
        <f t="shared" ref="C39:BB39" si="24">IFERROR($B39/C11,0)</f>
        <v>0</v>
      </c>
      <c r="D39" s="100">
        <f t="shared" si="24"/>
        <v>0</v>
      </c>
      <c r="E39" s="100">
        <f t="shared" si="24"/>
        <v>0</v>
      </c>
      <c r="F39" s="100">
        <f t="shared" si="24"/>
        <v>0</v>
      </c>
      <c r="G39" s="100">
        <f t="shared" si="24"/>
        <v>0</v>
      </c>
      <c r="H39" s="100">
        <f t="shared" si="24"/>
        <v>0</v>
      </c>
      <c r="I39" s="100">
        <f t="shared" si="24"/>
        <v>0</v>
      </c>
      <c r="J39" s="100">
        <f t="shared" si="24"/>
        <v>0</v>
      </c>
      <c r="K39" s="100">
        <f t="shared" si="24"/>
        <v>0</v>
      </c>
      <c r="L39" s="100">
        <f t="shared" si="24"/>
        <v>0</v>
      </c>
      <c r="M39" s="100">
        <f t="shared" si="24"/>
        <v>0</v>
      </c>
      <c r="N39" s="100">
        <f t="shared" si="24"/>
        <v>0</v>
      </c>
      <c r="O39" s="100">
        <f t="shared" si="24"/>
        <v>0</v>
      </c>
      <c r="P39" s="100">
        <f t="shared" si="24"/>
        <v>0</v>
      </c>
      <c r="Q39" s="100">
        <f t="shared" si="24"/>
        <v>0</v>
      </c>
      <c r="R39" s="100">
        <f t="shared" si="24"/>
        <v>0</v>
      </c>
      <c r="S39" s="100">
        <f t="shared" si="24"/>
        <v>0</v>
      </c>
      <c r="T39" s="100">
        <f t="shared" si="24"/>
        <v>0</v>
      </c>
      <c r="U39" s="100">
        <f t="shared" ref="U39" si="25">IFERROR($B39/U11,0)</f>
        <v>0</v>
      </c>
      <c r="V39" s="100">
        <f t="shared" si="24"/>
        <v>0</v>
      </c>
      <c r="W39" s="100">
        <f t="shared" si="24"/>
        <v>0</v>
      </c>
      <c r="X39" s="100">
        <f t="shared" si="24"/>
        <v>0</v>
      </c>
      <c r="Y39" s="100">
        <f t="shared" si="24"/>
        <v>0</v>
      </c>
      <c r="Z39" s="100">
        <f t="shared" si="24"/>
        <v>0</v>
      </c>
      <c r="AA39" s="100">
        <f t="shared" si="24"/>
        <v>0</v>
      </c>
      <c r="AB39" s="100">
        <f t="shared" si="24"/>
        <v>0</v>
      </c>
      <c r="AC39" s="100">
        <f t="shared" si="24"/>
        <v>0</v>
      </c>
      <c r="AD39" s="100">
        <f t="shared" si="24"/>
        <v>0</v>
      </c>
      <c r="AE39" s="100">
        <f t="shared" si="24"/>
        <v>0</v>
      </c>
      <c r="AF39" s="100">
        <f t="shared" si="24"/>
        <v>0</v>
      </c>
      <c r="AG39" s="100">
        <f t="shared" si="24"/>
        <v>0</v>
      </c>
      <c r="AH39" s="100">
        <f t="shared" si="24"/>
        <v>0</v>
      </c>
      <c r="AI39" s="100">
        <f t="shared" si="24"/>
        <v>0</v>
      </c>
      <c r="AJ39" s="100">
        <f t="shared" si="24"/>
        <v>0</v>
      </c>
      <c r="AK39" s="100">
        <f t="shared" si="24"/>
        <v>0</v>
      </c>
      <c r="AL39" s="100">
        <f t="shared" si="24"/>
        <v>0</v>
      </c>
      <c r="AM39" s="100">
        <f t="shared" si="24"/>
        <v>0</v>
      </c>
      <c r="AN39" s="100">
        <f t="shared" si="24"/>
        <v>0</v>
      </c>
      <c r="AO39" s="100">
        <f t="shared" si="24"/>
        <v>0</v>
      </c>
      <c r="AP39" s="100">
        <f t="shared" si="24"/>
        <v>0</v>
      </c>
      <c r="AQ39" s="100">
        <f t="shared" si="24"/>
        <v>0</v>
      </c>
      <c r="AR39" s="100">
        <f t="shared" si="24"/>
        <v>0</v>
      </c>
      <c r="AS39" s="100">
        <f t="shared" si="24"/>
        <v>0</v>
      </c>
      <c r="AT39" s="100">
        <f t="shared" si="24"/>
        <v>0</v>
      </c>
      <c r="AU39" s="100">
        <f t="shared" ref="AU39" si="26">IFERROR($B39/AU11,0)</f>
        <v>0</v>
      </c>
      <c r="AV39" s="100">
        <f t="shared" si="24"/>
        <v>0</v>
      </c>
      <c r="AW39" s="100">
        <f t="shared" si="24"/>
        <v>0</v>
      </c>
      <c r="AX39" s="100">
        <f t="shared" si="24"/>
        <v>0</v>
      </c>
      <c r="AY39" s="100">
        <f t="shared" si="24"/>
        <v>0</v>
      </c>
      <c r="AZ39" s="100">
        <f t="shared" si="24"/>
        <v>0</v>
      </c>
      <c r="BA39" s="100">
        <f t="shared" si="24"/>
        <v>0</v>
      </c>
      <c r="BB39" s="100">
        <f t="shared" si="24"/>
        <v>0</v>
      </c>
    </row>
    <row r="40" spans="1:54" x14ac:dyDescent="0.25">
      <c r="A40" s="190" t="s">
        <v>1082</v>
      </c>
      <c r="B40" s="191">
        <v>1</v>
      </c>
      <c r="C40" s="100">
        <f t="shared" ref="C40:BB40" si="27">IFERROR($B40/C4,0)</f>
        <v>0</v>
      </c>
      <c r="D40" s="100">
        <f t="shared" si="27"/>
        <v>0</v>
      </c>
      <c r="E40" s="100">
        <f t="shared" si="27"/>
        <v>0</v>
      </c>
      <c r="F40" s="100">
        <f t="shared" si="27"/>
        <v>0</v>
      </c>
      <c r="G40" s="100">
        <f t="shared" si="27"/>
        <v>0</v>
      </c>
      <c r="H40" s="100">
        <f t="shared" si="27"/>
        <v>0</v>
      </c>
      <c r="I40" s="100">
        <f t="shared" si="27"/>
        <v>0</v>
      </c>
      <c r="J40" s="100">
        <f t="shared" si="27"/>
        <v>0</v>
      </c>
      <c r="K40" s="100">
        <f t="shared" si="27"/>
        <v>0</v>
      </c>
      <c r="L40" s="100">
        <f t="shared" si="27"/>
        <v>0</v>
      </c>
      <c r="M40" s="100">
        <f t="shared" si="27"/>
        <v>0</v>
      </c>
      <c r="N40" s="100">
        <f t="shared" si="27"/>
        <v>0</v>
      </c>
      <c r="O40" s="100">
        <f t="shared" si="27"/>
        <v>0</v>
      </c>
      <c r="P40" s="100">
        <f t="shared" si="27"/>
        <v>0</v>
      </c>
      <c r="Q40" s="100">
        <f t="shared" si="27"/>
        <v>0</v>
      </c>
      <c r="R40" s="100">
        <f t="shared" si="27"/>
        <v>0</v>
      </c>
      <c r="S40" s="100">
        <f t="shared" si="27"/>
        <v>0</v>
      </c>
      <c r="T40" s="100">
        <f t="shared" si="27"/>
        <v>0</v>
      </c>
      <c r="U40" s="100">
        <f t="shared" ref="U40" si="28">IFERROR($B40/U4,0)</f>
        <v>0</v>
      </c>
      <c r="V40" s="100">
        <f t="shared" si="27"/>
        <v>0</v>
      </c>
      <c r="W40" s="100">
        <f t="shared" si="27"/>
        <v>0</v>
      </c>
      <c r="X40" s="100">
        <f t="shared" si="27"/>
        <v>0</v>
      </c>
      <c r="Y40" s="100">
        <f t="shared" si="27"/>
        <v>0</v>
      </c>
      <c r="Z40" s="100">
        <f t="shared" si="27"/>
        <v>0</v>
      </c>
      <c r="AA40" s="100">
        <f t="shared" si="27"/>
        <v>0</v>
      </c>
      <c r="AB40" s="100">
        <f t="shared" si="27"/>
        <v>0</v>
      </c>
      <c r="AC40" s="100">
        <f t="shared" si="27"/>
        <v>0</v>
      </c>
      <c r="AD40" s="100">
        <f t="shared" si="27"/>
        <v>0</v>
      </c>
      <c r="AE40" s="100">
        <f t="shared" si="27"/>
        <v>0</v>
      </c>
      <c r="AF40" s="100">
        <f t="shared" si="27"/>
        <v>0</v>
      </c>
      <c r="AG40" s="100">
        <f t="shared" si="27"/>
        <v>0</v>
      </c>
      <c r="AH40" s="100">
        <f t="shared" si="27"/>
        <v>0</v>
      </c>
      <c r="AI40" s="100">
        <f t="shared" si="27"/>
        <v>0</v>
      </c>
      <c r="AJ40" s="100">
        <f t="shared" si="27"/>
        <v>0</v>
      </c>
      <c r="AK40" s="100">
        <f t="shared" si="27"/>
        <v>0</v>
      </c>
      <c r="AL40" s="100">
        <f t="shared" si="27"/>
        <v>0</v>
      </c>
      <c r="AM40" s="100">
        <f t="shared" si="27"/>
        <v>0</v>
      </c>
      <c r="AN40" s="100">
        <f t="shared" si="27"/>
        <v>0</v>
      </c>
      <c r="AO40" s="100">
        <f t="shared" si="27"/>
        <v>0</v>
      </c>
      <c r="AP40" s="100">
        <f t="shared" si="27"/>
        <v>0</v>
      </c>
      <c r="AQ40" s="100">
        <f t="shared" si="27"/>
        <v>0</v>
      </c>
      <c r="AR40" s="100">
        <f t="shared" si="27"/>
        <v>0</v>
      </c>
      <c r="AS40" s="100">
        <f t="shared" si="27"/>
        <v>0</v>
      </c>
      <c r="AT40" s="100">
        <f t="shared" si="27"/>
        <v>0</v>
      </c>
      <c r="AU40" s="100">
        <f t="shared" ref="AU40" si="29">IFERROR($B40/AU4,0)</f>
        <v>0</v>
      </c>
      <c r="AV40" s="100">
        <f t="shared" si="27"/>
        <v>0</v>
      </c>
      <c r="AW40" s="100">
        <f t="shared" si="27"/>
        <v>0</v>
      </c>
      <c r="AX40" s="100">
        <f t="shared" si="27"/>
        <v>0</v>
      </c>
      <c r="AY40" s="100">
        <f t="shared" si="27"/>
        <v>0</v>
      </c>
      <c r="AZ40" s="100">
        <f t="shared" si="27"/>
        <v>0</v>
      </c>
      <c r="BA40" s="100">
        <f t="shared" si="27"/>
        <v>0</v>
      </c>
      <c r="BB40" s="100">
        <f t="shared" si="27"/>
        <v>0</v>
      </c>
    </row>
    <row r="41" spans="1:54" x14ac:dyDescent="0.25">
      <c r="A41" s="190" t="s">
        <v>1083</v>
      </c>
      <c r="B41" s="192">
        <v>0.99987999999999999</v>
      </c>
      <c r="C41" s="100">
        <f t="shared" ref="C41:BB41" si="30">IFERROR($B41/C8,0)</f>
        <v>8.6936249718001619</v>
      </c>
      <c r="D41" s="100">
        <f t="shared" si="30"/>
        <v>0.47979171808400001</v>
      </c>
      <c r="E41" s="100">
        <f t="shared" si="30"/>
        <v>0.21939795108616003</v>
      </c>
      <c r="F41" s="100">
        <f t="shared" si="30"/>
        <v>0.18186869313760001</v>
      </c>
      <c r="G41" s="100">
        <f t="shared" si="30"/>
        <v>0.21331891465808001</v>
      </c>
      <c r="H41" s="100">
        <f t="shared" si="30"/>
        <v>0.17312693827408002</v>
      </c>
      <c r="I41" s="100">
        <f t="shared" si="30"/>
        <v>0.44532709833472006</v>
      </c>
      <c r="J41" s="100">
        <f t="shared" si="30"/>
        <v>0.15800470715960002</v>
      </c>
      <c r="K41" s="100">
        <f t="shared" si="30"/>
        <v>1.8503381127784002</v>
      </c>
      <c r="L41" s="100">
        <f t="shared" si="30"/>
        <v>0.33741164174368005</v>
      </c>
      <c r="M41" s="100">
        <f t="shared" si="30"/>
        <v>0.45040133535320009</v>
      </c>
      <c r="N41" s="100">
        <f t="shared" si="30"/>
        <v>0.18950516865056002</v>
      </c>
      <c r="O41" s="100">
        <f t="shared" si="30"/>
        <v>0.20347188044400003</v>
      </c>
      <c r="P41" s="100">
        <f t="shared" si="30"/>
        <v>0.16689718193456002</v>
      </c>
      <c r="Q41" s="100">
        <f t="shared" si="30"/>
        <v>0.11690841130696003</v>
      </c>
      <c r="R41" s="100">
        <f t="shared" si="30"/>
        <v>0.74736980086047999</v>
      </c>
      <c r="S41" s="100">
        <f t="shared" si="30"/>
        <v>0.36634986474016007</v>
      </c>
      <c r="T41" s="100">
        <f t="shared" si="30"/>
        <v>0.20990259666543998</v>
      </c>
      <c r="U41" s="100">
        <f t="shared" ref="U41" si="31">IFERROR($B41/U8,0)</f>
        <v>0.10485081839176001</v>
      </c>
      <c r="V41" s="100">
        <f t="shared" si="30"/>
        <v>0.71335734084551994</v>
      </c>
      <c r="W41" s="100">
        <f t="shared" si="30"/>
        <v>0.35097643377328003</v>
      </c>
      <c r="X41" s="100">
        <f t="shared" si="30"/>
        <v>0.31294477611992005</v>
      </c>
      <c r="Y41" s="100">
        <f t="shared" si="30"/>
        <v>0.24542225579480001</v>
      </c>
      <c r="Z41" s="100">
        <f t="shared" si="30"/>
        <v>0.45668133166320007</v>
      </c>
      <c r="AA41" s="100">
        <f t="shared" si="30"/>
        <v>0.47326052192160006</v>
      </c>
      <c r="AB41" s="100">
        <f t="shared" si="30"/>
        <v>0.41267111752272001</v>
      </c>
      <c r="AC41" s="100">
        <f t="shared" si="30"/>
        <v>14.21951932489536</v>
      </c>
      <c r="AD41" s="100">
        <f t="shared" si="30"/>
        <v>0.84890478120056012</v>
      </c>
      <c r="AE41" s="100">
        <f t="shared" si="30"/>
        <v>0.36042154822352002</v>
      </c>
      <c r="AF41" s="100">
        <f t="shared" si="30"/>
        <v>0.30284654205344003</v>
      </c>
      <c r="AG41" s="100">
        <f t="shared" si="30"/>
        <v>0.33711020192080005</v>
      </c>
      <c r="AH41" s="100">
        <f t="shared" si="30"/>
        <v>0.31354765576568</v>
      </c>
      <c r="AI41" s="100">
        <f t="shared" si="30"/>
        <v>0.69557239129560011</v>
      </c>
      <c r="AJ41" s="100">
        <f t="shared" si="30"/>
        <v>0.22813970594968</v>
      </c>
      <c r="AK41" s="100">
        <f t="shared" si="30"/>
        <v>2.9282366794268002</v>
      </c>
      <c r="AL41" s="100">
        <f t="shared" si="30"/>
        <v>0.74882676000439985</v>
      </c>
      <c r="AM41" s="100">
        <f t="shared" si="30"/>
        <v>0.49345699005456012</v>
      </c>
      <c r="AN41" s="100">
        <f t="shared" si="30"/>
        <v>0.31857165281368011</v>
      </c>
      <c r="AO41" s="100">
        <f t="shared" si="30"/>
        <v>0.32269133039304004</v>
      </c>
      <c r="AP41" s="100">
        <f t="shared" si="30"/>
        <v>0.27380783911600004</v>
      </c>
      <c r="AQ41" s="100">
        <f t="shared" si="30"/>
        <v>0.24446769635567997</v>
      </c>
      <c r="AR41" s="100">
        <f t="shared" si="30"/>
        <v>1.0285629156370399</v>
      </c>
      <c r="AS41" s="100">
        <f t="shared" si="30"/>
        <v>0.63071258940592001</v>
      </c>
      <c r="AT41" s="100">
        <f t="shared" si="30"/>
        <v>0.30063598335232</v>
      </c>
      <c r="AU41" s="100">
        <f t="shared" ref="AU41" si="32">IFERROR($B41/AU8,0)</f>
        <v>0.21527827350680001</v>
      </c>
      <c r="AV41" s="100">
        <f t="shared" si="30"/>
        <v>1.2900619619854403</v>
      </c>
      <c r="AW41" s="100">
        <f t="shared" si="30"/>
        <v>0.57429310255688004</v>
      </c>
      <c r="AX41" s="100">
        <f t="shared" si="30"/>
        <v>0.50872994108048009</v>
      </c>
      <c r="AY41" s="100">
        <f t="shared" si="30"/>
        <v>0.38820425189896007</v>
      </c>
      <c r="AZ41" s="100">
        <f t="shared" si="30"/>
        <v>0.86643853089808009</v>
      </c>
      <c r="BA41" s="100">
        <f t="shared" si="30"/>
        <v>0.80831088505271997</v>
      </c>
      <c r="BB41" s="100">
        <f t="shared" si="30"/>
        <v>0.79675569184232009</v>
      </c>
    </row>
    <row r="42" spans="1:54" x14ac:dyDescent="0.25">
      <c r="A42" s="190" t="s">
        <v>1084</v>
      </c>
      <c r="B42" s="191">
        <v>0.97898250799999997</v>
      </c>
      <c r="C42" s="100">
        <f t="shared" ref="C42:BB42" si="33">IFERROR($B42/C19,0)</f>
        <v>0</v>
      </c>
      <c r="D42" s="100">
        <f t="shared" si="33"/>
        <v>0</v>
      </c>
      <c r="E42" s="100">
        <f t="shared" si="33"/>
        <v>0</v>
      </c>
      <c r="F42" s="100">
        <f t="shared" si="33"/>
        <v>0</v>
      </c>
      <c r="G42" s="100">
        <f t="shared" si="33"/>
        <v>0</v>
      </c>
      <c r="H42" s="100">
        <f t="shared" si="33"/>
        <v>0</v>
      </c>
      <c r="I42" s="100">
        <f t="shared" si="33"/>
        <v>0</v>
      </c>
      <c r="J42" s="100">
        <f t="shared" si="33"/>
        <v>0</v>
      </c>
      <c r="K42" s="100">
        <f t="shared" si="33"/>
        <v>0</v>
      </c>
      <c r="L42" s="100">
        <f t="shared" si="33"/>
        <v>0</v>
      </c>
      <c r="M42" s="100">
        <f t="shared" si="33"/>
        <v>0</v>
      </c>
      <c r="N42" s="100">
        <f t="shared" si="33"/>
        <v>0</v>
      </c>
      <c r="O42" s="100">
        <f t="shared" si="33"/>
        <v>0</v>
      </c>
      <c r="P42" s="100">
        <f t="shared" si="33"/>
        <v>0</v>
      </c>
      <c r="Q42" s="100">
        <f t="shared" si="33"/>
        <v>0</v>
      </c>
      <c r="R42" s="100">
        <f t="shared" si="33"/>
        <v>0</v>
      </c>
      <c r="S42" s="100">
        <f t="shared" si="33"/>
        <v>0</v>
      </c>
      <c r="T42" s="100">
        <f t="shared" si="33"/>
        <v>0</v>
      </c>
      <c r="U42" s="100">
        <f t="shared" ref="U42" si="34">IFERROR($B42/U19,0)</f>
        <v>0</v>
      </c>
      <c r="V42" s="100">
        <f t="shared" si="33"/>
        <v>0</v>
      </c>
      <c r="W42" s="100">
        <f t="shared" si="33"/>
        <v>0</v>
      </c>
      <c r="X42" s="100">
        <f t="shared" si="33"/>
        <v>0</v>
      </c>
      <c r="Y42" s="100">
        <f t="shared" si="33"/>
        <v>0</v>
      </c>
      <c r="Z42" s="100">
        <f t="shared" si="33"/>
        <v>0</v>
      </c>
      <c r="AA42" s="100">
        <f t="shared" si="33"/>
        <v>0</v>
      </c>
      <c r="AB42" s="100">
        <f t="shared" si="33"/>
        <v>0</v>
      </c>
      <c r="AC42" s="100">
        <f t="shared" si="33"/>
        <v>0</v>
      </c>
      <c r="AD42" s="100">
        <f t="shared" si="33"/>
        <v>0</v>
      </c>
      <c r="AE42" s="100">
        <f t="shared" si="33"/>
        <v>0</v>
      </c>
      <c r="AF42" s="100">
        <f t="shared" si="33"/>
        <v>0</v>
      </c>
      <c r="AG42" s="100">
        <f t="shared" si="33"/>
        <v>0</v>
      </c>
      <c r="AH42" s="100">
        <f t="shared" si="33"/>
        <v>0</v>
      </c>
      <c r="AI42" s="100">
        <f t="shared" si="33"/>
        <v>0</v>
      </c>
      <c r="AJ42" s="100">
        <f t="shared" si="33"/>
        <v>0</v>
      </c>
      <c r="AK42" s="100">
        <f t="shared" si="33"/>
        <v>0</v>
      </c>
      <c r="AL42" s="100">
        <f t="shared" si="33"/>
        <v>0</v>
      </c>
      <c r="AM42" s="100">
        <f t="shared" si="33"/>
        <v>0</v>
      </c>
      <c r="AN42" s="100">
        <f t="shared" si="33"/>
        <v>0</v>
      </c>
      <c r="AO42" s="100">
        <f t="shared" si="33"/>
        <v>0</v>
      </c>
      <c r="AP42" s="100">
        <f t="shared" si="33"/>
        <v>0</v>
      </c>
      <c r="AQ42" s="100">
        <f t="shared" si="33"/>
        <v>0</v>
      </c>
      <c r="AR42" s="100">
        <f t="shared" si="33"/>
        <v>0</v>
      </c>
      <c r="AS42" s="100">
        <f t="shared" si="33"/>
        <v>0</v>
      </c>
      <c r="AT42" s="100">
        <f t="shared" si="33"/>
        <v>0</v>
      </c>
      <c r="AU42" s="100">
        <f t="shared" ref="AU42" si="35">IFERROR($B42/AU19,0)</f>
        <v>0</v>
      </c>
      <c r="AV42" s="100">
        <f t="shared" si="33"/>
        <v>0</v>
      </c>
      <c r="AW42" s="100">
        <f t="shared" si="33"/>
        <v>0</v>
      </c>
      <c r="AX42" s="100">
        <f t="shared" si="33"/>
        <v>0</v>
      </c>
      <c r="AY42" s="100">
        <f t="shared" si="33"/>
        <v>0</v>
      </c>
      <c r="AZ42" s="100">
        <f t="shared" si="33"/>
        <v>0</v>
      </c>
      <c r="BA42" s="100">
        <f t="shared" si="33"/>
        <v>0</v>
      </c>
      <c r="BB42" s="100">
        <f t="shared" si="33"/>
        <v>0</v>
      </c>
    </row>
    <row r="43" spans="1:54" x14ac:dyDescent="0.25">
      <c r="A43" s="190" t="s">
        <v>1085</v>
      </c>
      <c r="B43" s="191">
        <v>2.0897492E-2</v>
      </c>
      <c r="C43" s="100">
        <f t="shared" ref="C43:BB43" si="36">IFERROR($B43/C28,0)</f>
        <v>0</v>
      </c>
      <c r="D43" s="100">
        <f t="shared" si="36"/>
        <v>0</v>
      </c>
      <c r="E43" s="100">
        <f t="shared" si="36"/>
        <v>0</v>
      </c>
      <c r="F43" s="100">
        <f t="shared" si="36"/>
        <v>0</v>
      </c>
      <c r="G43" s="100">
        <f t="shared" si="36"/>
        <v>0</v>
      </c>
      <c r="H43" s="100">
        <f t="shared" si="36"/>
        <v>0</v>
      </c>
      <c r="I43" s="100">
        <f t="shared" si="36"/>
        <v>0</v>
      </c>
      <c r="J43" s="100">
        <f t="shared" si="36"/>
        <v>0</v>
      </c>
      <c r="K43" s="100">
        <f t="shared" si="36"/>
        <v>0</v>
      </c>
      <c r="L43" s="100">
        <f t="shared" si="36"/>
        <v>0</v>
      </c>
      <c r="M43" s="100">
        <f t="shared" si="36"/>
        <v>0</v>
      </c>
      <c r="N43" s="100">
        <f t="shared" si="36"/>
        <v>0</v>
      </c>
      <c r="O43" s="100">
        <f t="shared" si="36"/>
        <v>0</v>
      </c>
      <c r="P43" s="100">
        <f t="shared" si="36"/>
        <v>0</v>
      </c>
      <c r="Q43" s="100">
        <f t="shared" si="36"/>
        <v>0</v>
      </c>
      <c r="R43" s="100">
        <f t="shared" si="36"/>
        <v>0</v>
      </c>
      <c r="S43" s="100">
        <f t="shared" si="36"/>
        <v>0</v>
      </c>
      <c r="T43" s="100">
        <f t="shared" si="36"/>
        <v>0</v>
      </c>
      <c r="U43" s="100">
        <f t="shared" ref="U43" si="37">IFERROR($B43/U28,0)</f>
        <v>0</v>
      </c>
      <c r="V43" s="100">
        <f t="shared" si="36"/>
        <v>0</v>
      </c>
      <c r="W43" s="100">
        <f t="shared" si="36"/>
        <v>0</v>
      </c>
      <c r="X43" s="100">
        <f t="shared" si="36"/>
        <v>0</v>
      </c>
      <c r="Y43" s="100">
        <f t="shared" si="36"/>
        <v>0</v>
      </c>
      <c r="Z43" s="100">
        <f t="shared" si="36"/>
        <v>0</v>
      </c>
      <c r="AA43" s="100">
        <f t="shared" si="36"/>
        <v>0</v>
      </c>
      <c r="AB43" s="100">
        <f t="shared" si="36"/>
        <v>0</v>
      </c>
      <c r="AC43" s="100">
        <f t="shared" si="36"/>
        <v>0</v>
      </c>
      <c r="AD43" s="100">
        <f t="shared" si="36"/>
        <v>0</v>
      </c>
      <c r="AE43" s="100">
        <f t="shared" si="36"/>
        <v>0</v>
      </c>
      <c r="AF43" s="100">
        <f t="shared" si="36"/>
        <v>0</v>
      </c>
      <c r="AG43" s="100">
        <f t="shared" si="36"/>
        <v>0</v>
      </c>
      <c r="AH43" s="100">
        <f t="shared" si="36"/>
        <v>0</v>
      </c>
      <c r="AI43" s="100">
        <f t="shared" si="36"/>
        <v>0</v>
      </c>
      <c r="AJ43" s="100">
        <f t="shared" si="36"/>
        <v>0</v>
      </c>
      <c r="AK43" s="100">
        <f t="shared" si="36"/>
        <v>0</v>
      </c>
      <c r="AL43" s="100">
        <f t="shared" si="36"/>
        <v>0</v>
      </c>
      <c r="AM43" s="100">
        <f t="shared" si="36"/>
        <v>0</v>
      </c>
      <c r="AN43" s="100">
        <f t="shared" si="36"/>
        <v>0</v>
      </c>
      <c r="AO43" s="100">
        <f t="shared" si="36"/>
        <v>0</v>
      </c>
      <c r="AP43" s="100">
        <f t="shared" si="36"/>
        <v>0</v>
      </c>
      <c r="AQ43" s="100">
        <f t="shared" si="36"/>
        <v>0</v>
      </c>
      <c r="AR43" s="100">
        <f t="shared" si="36"/>
        <v>0</v>
      </c>
      <c r="AS43" s="100">
        <f t="shared" si="36"/>
        <v>0</v>
      </c>
      <c r="AT43" s="100">
        <f t="shared" si="36"/>
        <v>0</v>
      </c>
      <c r="AU43" s="100">
        <f t="shared" ref="AU43" si="38">IFERROR($B43/AU28,0)</f>
        <v>0</v>
      </c>
      <c r="AV43" s="100">
        <f t="shared" si="36"/>
        <v>0</v>
      </c>
      <c r="AW43" s="100">
        <f t="shared" si="36"/>
        <v>0</v>
      </c>
      <c r="AX43" s="100">
        <f t="shared" si="36"/>
        <v>0</v>
      </c>
      <c r="AY43" s="100">
        <f t="shared" si="36"/>
        <v>0</v>
      </c>
      <c r="AZ43" s="100">
        <f t="shared" si="36"/>
        <v>0</v>
      </c>
      <c r="BA43" s="100">
        <f t="shared" si="36"/>
        <v>0</v>
      </c>
      <c r="BB43" s="100">
        <f t="shared" si="36"/>
        <v>0</v>
      </c>
    </row>
    <row r="44" spans="1:54" x14ac:dyDescent="0.25">
      <c r="A44" s="190" t="s">
        <v>1086</v>
      </c>
      <c r="B44" s="191">
        <v>0.99987999999999999</v>
      </c>
      <c r="C44" s="100">
        <f t="shared" ref="C44:BB44" si="39">IFERROR($B44/C15,0)</f>
        <v>4.2213374863070889</v>
      </c>
      <c r="D44" s="100">
        <f t="shared" si="39"/>
        <v>0.23297103012120002</v>
      </c>
      <c r="E44" s="100">
        <f t="shared" si="39"/>
        <v>0.10653240717688801</v>
      </c>
      <c r="F44" s="100">
        <f t="shared" si="39"/>
        <v>8.8309437595679996E-2</v>
      </c>
      <c r="G44" s="100">
        <f t="shared" si="39"/>
        <v>0.103580627632944</v>
      </c>
      <c r="H44" s="100">
        <f t="shared" si="39"/>
        <v>8.4064729821744011E-2</v>
      </c>
      <c r="I44" s="100">
        <f t="shared" si="39"/>
        <v>0.21623614774809602</v>
      </c>
      <c r="J44" s="100">
        <f t="shared" si="39"/>
        <v>7.6721873270280003E-2</v>
      </c>
      <c r="K44" s="100">
        <f t="shared" si="39"/>
        <v>0.89846314548312012</v>
      </c>
      <c r="L44" s="100">
        <f t="shared" si="39"/>
        <v>0.16383596212502402</v>
      </c>
      <c r="M44" s="100">
        <f t="shared" si="39"/>
        <v>0.21870002984676001</v>
      </c>
      <c r="N44" s="100">
        <f t="shared" si="39"/>
        <v>9.2017458179807998E-2</v>
      </c>
      <c r="O44" s="100">
        <f t="shared" si="39"/>
        <v>9.8799232669199988E-2</v>
      </c>
      <c r="P44" s="100">
        <f t="shared" si="39"/>
        <v>8.1039765661007998E-2</v>
      </c>
      <c r="Q44" s="100">
        <f t="shared" si="39"/>
        <v>5.6766867758327996E-2</v>
      </c>
      <c r="R44" s="100">
        <f t="shared" si="39"/>
        <v>0.36289811979926401</v>
      </c>
      <c r="S44" s="100">
        <f t="shared" si="39"/>
        <v>0.17788740854908802</v>
      </c>
      <c r="T44" s="100">
        <f t="shared" si="39"/>
        <v>0.10192177631899201</v>
      </c>
      <c r="U44" s="100">
        <f t="shared" ref="U44" si="40">IFERROR($B44/U15,0)</f>
        <v>5.0912098414968E-2</v>
      </c>
      <c r="V44" s="100">
        <f t="shared" si="39"/>
        <v>0.34638279127653598</v>
      </c>
      <c r="W44" s="100">
        <f t="shared" si="39"/>
        <v>0.170422577636304</v>
      </c>
      <c r="X44" s="100">
        <f t="shared" si="39"/>
        <v>0.151955659332456</v>
      </c>
      <c r="Y44" s="100">
        <f t="shared" si="39"/>
        <v>0.11916895100963999</v>
      </c>
      <c r="Z44" s="100">
        <f t="shared" si="39"/>
        <v>0.22174938887976003</v>
      </c>
      <c r="AA44" s="100">
        <f t="shared" si="39"/>
        <v>0.22979969672688</v>
      </c>
      <c r="AB44" s="100">
        <f t="shared" si="39"/>
        <v>0.20037948077649603</v>
      </c>
      <c r="AC44" s="100">
        <f t="shared" si="39"/>
        <v>6.9045294866244484</v>
      </c>
      <c r="AD44" s="100">
        <f t="shared" si="39"/>
        <v>0.41220015664480797</v>
      </c>
      <c r="AE44" s="100">
        <f t="shared" si="39"/>
        <v>0.17500881362193599</v>
      </c>
      <c r="AF44" s="100">
        <f t="shared" si="39"/>
        <v>0.14705229000739201</v>
      </c>
      <c r="AG44" s="100">
        <f t="shared" si="39"/>
        <v>0.16368959289144003</v>
      </c>
      <c r="AH44" s="100">
        <f t="shared" si="39"/>
        <v>0.15224839779962401</v>
      </c>
      <c r="AI44" s="100">
        <f t="shared" si="39"/>
        <v>0.33774700649507999</v>
      </c>
      <c r="AJ44" s="100">
        <f t="shared" si="39"/>
        <v>0.11077711495082401</v>
      </c>
      <c r="AK44" s="100">
        <f t="shared" si="39"/>
        <v>1.4218551299072399</v>
      </c>
      <c r="AL44" s="100">
        <f t="shared" si="39"/>
        <v>0.36360557109491998</v>
      </c>
      <c r="AM44" s="100">
        <f t="shared" si="39"/>
        <v>0.23960643537700801</v>
      </c>
      <c r="AN44" s="100">
        <f t="shared" si="39"/>
        <v>0.15468788502602401</v>
      </c>
      <c r="AO44" s="100">
        <f t="shared" si="39"/>
        <v>0.15668826455167198</v>
      </c>
      <c r="AP44" s="100">
        <f t="shared" si="39"/>
        <v>0.13295205383879999</v>
      </c>
      <c r="AQ44" s="100">
        <f t="shared" si="39"/>
        <v>0.11870544843662399</v>
      </c>
      <c r="AR44" s="100">
        <f t="shared" si="39"/>
        <v>0.499436219860872</v>
      </c>
      <c r="AS44" s="100">
        <f t="shared" si="39"/>
        <v>0.306253226402256</v>
      </c>
      <c r="AT44" s="100">
        <f t="shared" si="39"/>
        <v>0.14597891562777598</v>
      </c>
      <c r="AU44" s="100">
        <f t="shared" ref="AU44" si="41">IFERROR($B44/AU15,0)</f>
        <v>0.10453202765123999</v>
      </c>
      <c r="AV44" s="100">
        <f t="shared" si="39"/>
        <v>0.62641152999499206</v>
      </c>
      <c r="AW44" s="100">
        <f t="shared" si="39"/>
        <v>0.27885778484978396</v>
      </c>
      <c r="AX44" s="100">
        <f t="shared" si="39"/>
        <v>0.24702247654526402</v>
      </c>
      <c r="AY44" s="100">
        <f t="shared" si="39"/>
        <v>0.18849917798392804</v>
      </c>
      <c r="AZ44" s="100">
        <f t="shared" si="39"/>
        <v>0.42071396706494396</v>
      </c>
      <c r="BA44" s="100">
        <f t="shared" si="39"/>
        <v>0.39248909985549596</v>
      </c>
      <c r="BB44" s="100">
        <f t="shared" si="39"/>
        <v>0.38687827923477602</v>
      </c>
    </row>
    <row r="45" spans="1:54" x14ac:dyDescent="0.25">
      <c r="A45" s="95" t="s">
        <v>20</v>
      </c>
      <c r="B45" s="95" t="s">
        <v>1071</v>
      </c>
      <c r="C45" s="96">
        <f t="shared" ref="C45" si="42">IFERROR(1/SUM(1/D45,1/E45,1/F45,1/G45,1/H45,1/I45,1/J45,1/K45,1/L45,1/M45,1/N45,1/O45,1/P45,1/Q45,1/R45,1/S45,1/T45,1/U45,1/V45,1/W45,1/X45,1/Y45,1/Z45),".")</f>
        <v>2.2091608395671705E-3</v>
      </c>
      <c r="D45" s="96">
        <f>IFERROR(1/SUM(D46:D47),".")</f>
        <v>4.0029069109987665E-2</v>
      </c>
      <c r="E45" s="96">
        <f t="shared" ref="E45:AB45" si="43">IFERROR(1/SUM(E46:E47),".")</f>
        <v>8.7537808564319267E-2</v>
      </c>
      <c r="F45" s="96">
        <f t="shared" si="43"/>
        <v>0.1056015497238625</v>
      </c>
      <c r="G45" s="96">
        <f t="shared" si="43"/>
        <v>9.0032409326514892E-2</v>
      </c>
      <c r="H45" s="96">
        <f t="shared" si="43"/>
        <v>0.11093372315739473</v>
      </c>
      <c r="I45" s="96">
        <f t="shared" si="43"/>
        <v>4.3126986687768751E-2</v>
      </c>
      <c r="J45" s="96">
        <f t="shared" si="43"/>
        <v>0.12155090938008975</v>
      </c>
      <c r="K45" s="96">
        <f t="shared" si="43"/>
        <v>1.0379516969871903E-2</v>
      </c>
      <c r="L45" s="96">
        <f t="shared" si="43"/>
        <v>5.6920430315720999E-2</v>
      </c>
      <c r="M45" s="96">
        <f t="shared" si="43"/>
        <v>4.2641116564459812E-2</v>
      </c>
      <c r="N45" s="96">
        <f t="shared" si="43"/>
        <v>0.10134613202555202</v>
      </c>
      <c r="O45" s="96">
        <f t="shared" si="43"/>
        <v>9.4389533333427714E-2</v>
      </c>
      <c r="P45" s="96">
        <f t="shared" si="43"/>
        <v>0.11507453642395611</v>
      </c>
      <c r="Q45" s="96">
        <f t="shared" si="43"/>
        <v>0.16427916201133744</v>
      </c>
      <c r="R45" s="96">
        <f t="shared" si="43"/>
        <v>2.5697607555820266E-2</v>
      </c>
      <c r="S45" s="96">
        <f t="shared" si="43"/>
        <v>5.2424247120184071E-2</v>
      </c>
      <c r="T45" s="96">
        <f t="shared" si="43"/>
        <v>9.149775251325569E-2</v>
      </c>
      <c r="U45" s="96">
        <f t="shared" ref="U45" si="44">IFERROR(1/SUM(U46:U47),".")</f>
        <v>0.18317087206534846</v>
      </c>
      <c r="V45" s="96">
        <f t="shared" si="43"/>
        <v>2.6922854426394971E-2</v>
      </c>
      <c r="W45" s="96">
        <f t="shared" si="43"/>
        <v>5.4720528199310371E-2</v>
      </c>
      <c r="X45" s="96">
        <f t="shared" si="43"/>
        <v>6.1370622892981584E-2</v>
      </c>
      <c r="Y45" s="96">
        <f t="shared" si="43"/>
        <v>7.8255396110620726E-2</v>
      </c>
      <c r="Z45" s="96">
        <f t="shared" si="43"/>
        <v>4.2054742574299475E-2</v>
      </c>
      <c r="AA45" s="96">
        <f t="shared" si="43"/>
        <v>4.0581487261187071E-2</v>
      </c>
      <c r="AB45" s="96">
        <f t="shared" si="43"/>
        <v>4.6539762600484813E-2</v>
      </c>
      <c r="AC45" s="96">
        <f t="shared" ref="AC45" si="45">IFERROR(1/SUM(1/AD45,1/AE45,1/AF45,1/AG45,1/AH45,1/AI45,1/AJ45,1/AK45,1/AL45,1/AM45,1/AN45,1/AO45,1/AP45,1/AQ45,1/AR45,1/AS45,1/AT45,1/AU45,1/AV45,1/AW45,1/AX45,1/AY45,1/AZ45),".")</f>
        <v>1.3506515517693483E-3</v>
      </c>
      <c r="AD45" s="96">
        <f>IFERROR(1/SUM(AD46:AD47),".")</f>
        <v>2.2623993016534429E-2</v>
      </c>
      <c r="AE45" s="96">
        <f t="shared" ref="AE45:BB45" si="46">IFERROR(1/SUM(AE46:AE47),".")</f>
        <v>5.3286536102645977E-2</v>
      </c>
      <c r="AF45" s="96">
        <f t="shared" si="46"/>
        <v>6.3416989051158307E-2</v>
      </c>
      <c r="AG45" s="96">
        <f t="shared" si="46"/>
        <v>5.6971327868909419E-2</v>
      </c>
      <c r="AH45" s="96">
        <f t="shared" si="46"/>
        <v>6.1252621374840929E-2</v>
      </c>
      <c r="AI45" s="96">
        <f t="shared" si="46"/>
        <v>2.7611239436647325E-2</v>
      </c>
      <c r="AJ45" s="96">
        <f t="shared" si="46"/>
        <v>8.4183574102704745E-2</v>
      </c>
      <c r="AK45" s="96">
        <f t="shared" si="46"/>
        <v>6.5587648623210469E-3</v>
      </c>
      <c r="AL45" s="96">
        <f t="shared" si="46"/>
        <v>2.564760885611421E-2</v>
      </c>
      <c r="AM45" s="96">
        <f t="shared" si="46"/>
        <v>3.892054673186543E-2</v>
      </c>
      <c r="AN45" s="96">
        <f t="shared" si="46"/>
        <v>6.0286644062510997E-2</v>
      </c>
      <c r="AO45" s="96">
        <f t="shared" si="46"/>
        <v>5.9516987389130041E-2</v>
      </c>
      <c r="AP45" s="96">
        <f t="shared" si="46"/>
        <v>7.0142680734015098E-2</v>
      </c>
      <c r="AQ45" s="96">
        <f t="shared" si="46"/>
        <v>7.8560955610436134E-2</v>
      </c>
      <c r="AR45" s="96">
        <f t="shared" si="46"/>
        <v>1.8672281053112989E-2</v>
      </c>
      <c r="AS45" s="96">
        <f t="shared" si="46"/>
        <v>3.0450661940447845E-2</v>
      </c>
      <c r="AT45" s="96">
        <f t="shared" si="46"/>
        <v>6.3883290441240345E-2</v>
      </c>
      <c r="AU45" s="96">
        <f t="shared" ref="AU45" si="47">IFERROR(1/SUM(AU46:AU47),".")</f>
        <v>8.921297782972748E-2</v>
      </c>
      <c r="AV45" s="96">
        <f t="shared" si="46"/>
        <v>1.4887359218022516E-2</v>
      </c>
      <c r="AW45" s="96">
        <f t="shared" si="46"/>
        <v>3.3442184410846142E-2</v>
      </c>
      <c r="AX45" s="96">
        <f t="shared" si="46"/>
        <v>3.775208473240986E-2</v>
      </c>
      <c r="AY45" s="96">
        <f t="shared" si="46"/>
        <v>4.9472966222386727E-2</v>
      </c>
      <c r="AZ45" s="96">
        <f t="shared" si="46"/>
        <v>2.2166160848914658E-2</v>
      </c>
      <c r="BA45" s="96">
        <f t="shared" si="46"/>
        <v>2.376018459819642E-2</v>
      </c>
      <c r="BB45" s="96">
        <f t="shared" si="46"/>
        <v>2.4104773945417886E-2</v>
      </c>
    </row>
    <row r="46" spans="1:54" x14ac:dyDescent="0.25">
      <c r="A46" s="190" t="s">
        <v>1098</v>
      </c>
      <c r="B46" s="191">
        <v>1</v>
      </c>
      <c r="C46" s="100">
        <f t="shared" ref="C46:BB46" si="48">IFERROR($B46/C10,0)</f>
        <v>452.66056779999997</v>
      </c>
      <c r="D46" s="100">
        <f t="shared" si="48"/>
        <v>24.981845000000003</v>
      </c>
      <c r="E46" s="100">
        <f t="shared" si="48"/>
        <v>11.423635300000001</v>
      </c>
      <c r="F46" s="100">
        <f t="shared" si="48"/>
        <v>9.469558000000001</v>
      </c>
      <c r="G46" s="100">
        <f t="shared" si="48"/>
        <v>11.107111400000001</v>
      </c>
      <c r="H46" s="100">
        <f t="shared" si="48"/>
        <v>9.0143914000000009</v>
      </c>
      <c r="I46" s="100">
        <f t="shared" si="48"/>
        <v>23.187337600000003</v>
      </c>
      <c r="J46" s="100">
        <f t="shared" si="48"/>
        <v>8.2270055000000006</v>
      </c>
      <c r="K46" s="100">
        <f t="shared" si="48"/>
        <v>96.343597000000017</v>
      </c>
      <c r="L46" s="100">
        <f t="shared" si="48"/>
        <v>17.568384400000003</v>
      </c>
      <c r="M46" s="100">
        <f t="shared" si="48"/>
        <v>23.451543500000003</v>
      </c>
      <c r="N46" s="100">
        <f t="shared" si="48"/>
        <v>9.8671748000000008</v>
      </c>
      <c r="O46" s="100">
        <f t="shared" si="48"/>
        <v>10.594395</v>
      </c>
      <c r="P46" s="100">
        <f t="shared" si="48"/>
        <v>8.6900198000000017</v>
      </c>
      <c r="Q46" s="100">
        <f t="shared" si="48"/>
        <v>6.0871993000000009</v>
      </c>
      <c r="R46" s="100">
        <f t="shared" si="48"/>
        <v>38.914128400000003</v>
      </c>
      <c r="S46" s="100">
        <f t="shared" si="48"/>
        <v>19.075142800000002</v>
      </c>
      <c r="T46" s="100">
        <f t="shared" si="48"/>
        <v>10.929230200000001</v>
      </c>
      <c r="U46" s="100">
        <f t="shared" ref="U46" si="49">IFERROR($B46/U10,0)</f>
        <v>5.4593833000000007</v>
      </c>
      <c r="V46" s="100">
        <f t="shared" si="48"/>
        <v>37.143164100000007</v>
      </c>
      <c r="W46" s="100">
        <f t="shared" si="48"/>
        <v>18.274677400000002</v>
      </c>
      <c r="X46" s="100">
        <f t="shared" si="48"/>
        <v>16.2944411</v>
      </c>
      <c r="Y46" s="100">
        <f t="shared" si="48"/>
        <v>12.778671500000002</v>
      </c>
      <c r="Z46" s="100">
        <f t="shared" si="48"/>
        <v>23.778531000000005</v>
      </c>
      <c r="AA46" s="100">
        <f t="shared" si="48"/>
        <v>24.641778000000006</v>
      </c>
      <c r="AB46" s="100">
        <f t="shared" si="48"/>
        <v>21.4870026</v>
      </c>
      <c r="AC46" s="100">
        <f t="shared" si="48"/>
        <v>740.38340880000021</v>
      </c>
      <c r="AD46" s="100">
        <f t="shared" si="48"/>
        <v>44.200862300000004</v>
      </c>
      <c r="AE46" s="100">
        <f t="shared" si="48"/>
        <v>18.766466600000001</v>
      </c>
      <c r="AF46" s="100">
        <f t="shared" si="48"/>
        <v>15.7686452</v>
      </c>
      <c r="AG46" s="100">
        <f t="shared" si="48"/>
        <v>17.552689000000004</v>
      </c>
      <c r="AH46" s="100">
        <f t="shared" si="48"/>
        <v>16.325831900000001</v>
      </c>
      <c r="AI46" s="100">
        <f t="shared" si="48"/>
        <v>36.217135500000005</v>
      </c>
      <c r="AJ46" s="100">
        <f t="shared" si="48"/>
        <v>11.878801900000001</v>
      </c>
      <c r="AK46" s="100">
        <f t="shared" si="48"/>
        <v>152.46773150000001</v>
      </c>
      <c r="AL46" s="100">
        <f t="shared" si="48"/>
        <v>38.9899895</v>
      </c>
      <c r="AM46" s="100">
        <f t="shared" si="48"/>
        <v>25.693369800000003</v>
      </c>
      <c r="AN46" s="100">
        <f t="shared" si="48"/>
        <v>16.587421900000002</v>
      </c>
      <c r="AO46" s="100">
        <f t="shared" si="48"/>
        <v>16.801925700000002</v>
      </c>
      <c r="AP46" s="100">
        <f t="shared" si="48"/>
        <v>14.256655</v>
      </c>
      <c r="AQ46" s="100">
        <f t="shared" si="48"/>
        <v>12.728969400000002</v>
      </c>
      <c r="AR46" s="100">
        <f t="shared" si="48"/>
        <v>53.55532070000001</v>
      </c>
      <c r="AS46" s="100">
        <f t="shared" si="48"/>
        <v>32.840008600000004</v>
      </c>
      <c r="AT46" s="100">
        <f t="shared" si="48"/>
        <v>15.653545600000003</v>
      </c>
      <c r="AU46" s="100">
        <f t="shared" ref="AU46" si="50">IFERROR($B46/AU10,0)</f>
        <v>11.209131500000002</v>
      </c>
      <c r="AV46" s="100">
        <f t="shared" si="48"/>
        <v>67.17108020000002</v>
      </c>
      <c r="AW46" s="100">
        <f t="shared" si="48"/>
        <v>29.902352900000004</v>
      </c>
      <c r="AX46" s="100">
        <f t="shared" si="48"/>
        <v>26.488603400000002</v>
      </c>
      <c r="AY46" s="100">
        <f t="shared" si="48"/>
        <v>20.213059300000001</v>
      </c>
      <c r="AZ46" s="100">
        <f t="shared" si="48"/>
        <v>45.11381140000001</v>
      </c>
      <c r="BA46" s="100">
        <f t="shared" si="48"/>
        <v>42.087215100000009</v>
      </c>
      <c r="BB46" s="100">
        <f t="shared" si="48"/>
        <v>41.485558100000006</v>
      </c>
    </row>
    <row r="47" spans="1:54" x14ac:dyDescent="0.25">
      <c r="A47" s="190" t="s">
        <v>1072</v>
      </c>
      <c r="B47" s="193">
        <v>0.94399</v>
      </c>
      <c r="C47" s="100">
        <f t="shared" ref="C47:BB47" si="51">IFERROR($B47/C6,0)</f>
        <v>0</v>
      </c>
      <c r="D47" s="100">
        <f t="shared" si="51"/>
        <v>0</v>
      </c>
      <c r="E47" s="100">
        <f t="shared" si="51"/>
        <v>0</v>
      </c>
      <c r="F47" s="100">
        <f t="shared" si="51"/>
        <v>0</v>
      </c>
      <c r="G47" s="100">
        <f t="shared" si="51"/>
        <v>0</v>
      </c>
      <c r="H47" s="100">
        <f t="shared" si="51"/>
        <v>0</v>
      </c>
      <c r="I47" s="100">
        <f t="shared" si="51"/>
        <v>0</v>
      </c>
      <c r="J47" s="100">
        <f t="shared" si="51"/>
        <v>0</v>
      </c>
      <c r="K47" s="100">
        <f t="shared" si="51"/>
        <v>0</v>
      </c>
      <c r="L47" s="100">
        <f t="shared" si="51"/>
        <v>0</v>
      </c>
      <c r="M47" s="100">
        <f t="shared" si="51"/>
        <v>0</v>
      </c>
      <c r="N47" s="100">
        <f t="shared" si="51"/>
        <v>0</v>
      </c>
      <c r="O47" s="100">
        <f t="shared" si="51"/>
        <v>0</v>
      </c>
      <c r="P47" s="100">
        <f t="shared" si="51"/>
        <v>0</v>
      </c>
      <c r="Q47" s="100">
        <f t="shared" si="51"/>
        <v>0</v>
      </c>
      <c r="R47" s="100">
        <f t="shared" si="51"/>
        <v>0</v>
      </c>
      <c r="S47" s="100">
        <f t="shared" si="51"/>
        <v>0</v>
      </c>
      <c r="T47" s="100">
        <f t="shared" si="51"/>
        <v>0</v>
      </c>
      <c r="U47" s="100">
        <f t="shared" ref="U47" si="52">IFERROR($B47/U6,0)</f>
        <v>0</v>
      </c>
      <c r="V47" s="100">
        <f t="shared" si="51"/>
        <v>0</v>
      </c>
      <c r="W47" s="100">
        <f t="shared" si="51"/>
        <v>0</v>
      </c>
      <c r="X47" s="100">
        <f t="shared" si="51"/>
        <v>0</v>
      </c>
      <c r="Y47" s="100">
        <f t="shared" si="51"/>
        <v>0</v>
      </c>
      <c r="Z47" s="100">
        <f t="shared" si="51"/>
        <v>0</v>
      </c>
      <c r="AA47" s="100">
        <f t="shared" si="51"/>
        <v>0</v>
      </c>
      <c r="AB47" s="100">
        <f t="shared" si="51"/>
        <v>0</v>
      </c>
      <c r="AC47" s="100">
        <f t="shared" si="51"/>
        <v>0</v>
      </c>
      <c r="AD47" s="100">
        <f t="shared" si="51"/>
        <v>0</v>
      </c>
      <c r="AE47" s="100">
        <f t="shared" si="51"/>
        <v>0</v>
      </c>
      <c r="AF47" s="100">
        <f t="shared" si="51"/>
        <v>0</v>
      </c>
      <c r="AG47" s="100">
        <f t="shared" si="51"/>
        <v>0</v>
      </c>
      <c r="AH47" s="100">
        <f t="shared" si="51"/>
        <v>0</v>
      </c>
      <c r="AI47" s="100">
        <f t="shared" si="51"/>
        <v>0</v>
      </c>
      <c r="AJ47" s="100">
        <f t="shared" si="51"/>
        <v>0</v>
      </c>
      <c r="AK47" s="100">
        <f t="shared" si="51"/>
        <v>0</v>
      </c>
      <c r="AL47" s="100">
        <f t="shared" si="51"/>
        <v>0</v>
      </c>
      <c r="AM47" s="100">
        <f t="shared" si="51"/>
        <v>0</v>
      </c>
      <c r="AN47" s="100">
        <f t="shared" si="51"/>
        <v>0</v>
      </c>
      <c r="AO47" s="100">
        <f t="shared" si="51"/>
        <v>0</v>
      </c>
      <c r="AP47" s="100">
        <f t="shared" si="51"/>
        <v>0</v>
      </c>
      <c r="AQ47" s="100">
        <f t="shared" si="51"/>
        <v>0</v>
      </c>
      <c r="AR47" s="100">
        <f t="shared" si="51"/>
        <v>0</v>
      </c>
      <c r="AS47" s="100">
        <f t="shared" si="51"/>
        <v>0</v>
      </c>
      <c r="AT47" s="100">
        <f t="shared" si="51"/>
        <v>0</v>
      </c>
      <c r="AU47" s="100">
        <f t="shared" ref="AU47" si="53">IFERROR($B47/AU6,0)</f>
        <v>0</v>
      </c>
      <c r="AV47" s="100">
        <f t="shared" si="51"/>
        <v>0</v>
      </c>
      <c r="AW47" s="100">
        <f t="shared" si="51"/>
        <v>0</v>
      </c>
      <c r="AX47" s="100">
        <f t="shared" si="51"/>
        <v>0</v>
      </c>
      <c r="AY47" s="100">
        <f t="shared" si="51"/>
        <v>0</v>
      </c>
      <c r="AZ47" s="100">
        <f t="shared" si="51"/>
        <v>0</v>
      </c>
      <c r="BA47" s="100">
        <f t="shared" si="51"/>
        <v>0</v>
      </c>
      <c r="BB47" s="100">
        <f t="shared" si="51"/>
        <v>0</v>
      </c>
    </row>
    <row r="48" spans="1:54" x14ac:dyDescent="0.25">
      <c r="A48" s="95" t="s">
        <v>33</v>
      </c>
      <c r="B48" s="95" t="s">
        <v>1071</v>
      </c>
      <c r="C48" s="96">
        <f t="shared" ref="C48" si="54">IFERROR(1/SUM(1/D48,1/E48,1/F48,1/G48,1/H48,1/I48,1/J48,1/K48,1/L48,1/M48,1/N48,1/O48,1/P48,1/Q48,1/R48,1/S48,1/T48,1/U48,1/V48,1/W48,1/X48,1/Y48,1/Z48),".")</f>
        <v>2.0858232723689257E-5</v>
      </c>
      <c r="D48" s="96">
        <f t="shared" ref="D48:AB48" si="55">IFERROR(1/SUM(D49:D62),0)</f>
        <v>3.7794244052069483E-4</v>
      </c>
      <c r="E48" s="96">
        <f t="shared" si="55"/>
        <v>8.265056805524698E-4</v>
      </c>
      <c r="F48" s="96">
        <f t="shared" si="55"/>
        <v>9.970580958487945E-4</v>
      </c>
      <c r="G48" s="96">
        <f t="shared" si="55"/>
        <v>8.500589512417889E-4</v>
      </c>
      <c r="H48" s="96">
        <f t="shared" si="55"/>
        <v>1.047402874919511E-3</v>
      </c>
      <c r="I48" s="96">
        <f t="shared" si="55"/>
        <v>4.0719204726676848E-4</v>
      </c>
      <c r="J48" s="96">
        <f t="shared" si="55"/>
        <v>1.1476471564300908E-3</v>
      </c>
      <c r="K48" s="96">
        <f t="shared" si="55"/>
        <v>9.8000279852637412E-5</v>
      </c>
      <c r="L48" s="96">
        <f t="shared" si="55"/>
        <v>5.3742559663082722E-4</v>
      </c>
      <c r="M48" s="96">
        <f t="shared" si="55"/>
        <v>4.026046075820007E-4</v>
      </c>
      <c r="N48" s="96">
        <f t="shared" si="55"/>
        <v>9.5687972083049718E-4</v>
      </c>
      <c r="O48" s="96">
        <f t="shared" si="55"/>
        <v>8.9119760665991017E-4</v>
      </c>
      <c r="P48" s="96">
        <f t="shared" si="55"/>
        <v>1.0864991893355317E-3</v>
      </c>
      <c r="Q48" s="96">
        <f t="shared" si="55"/>
        <v>1.5510744765675271E-3</v>
      </c>
      <c r="R48" s="96">
        <f t="shared" si="55"/>
        <v>2.4262908758891072E-4</v>
      </c>
      <c r="S48" s="96">
        <f t="shared" si="55"/>
        <v>4.9497398614545198E-4</v>
      </c>
      <c r="T48" s="96">
        <f t="shared" si="55"/>
        <v>8.6389428122849094E-4</v>
      </c>
      <c r="U48" s="96">
        <f t="shared" ref="U48" si="56">IFERROR(1/SUM(U49:U62),0)</f>
        <v>1.7294443253342772E-3</v>
      </c>
      <c r="V48" s="96">
        <f t="shared" si="55"/>
        <v>2.5419750031499647E-4</v>
      </c>
      <c r="W48" s="96">
        <f t="shared" si="55"/>
        <v>5.166547819886396E-4</v>
      </c>
      <c r="X48" s="96">
        <f t="shared" si="55"/>
        <v>5.7944297752008918E-4</v>
      </c>
      <c r="Y48" s="96">
        <f t="shared" si="55"/>
        <v>7.3886393182653757E-4</v>
      </c>
      <c r="Z48" s="96">
        <f t="shared" si="55"/>
        <v>3.9706824059104902E-4</v>
      </c>
      <c r="AA48" s="96">
        <f t="shared" si="55"/>
        <v>3.8315820668499316E-4</v>
      </c>
      <c r="AB48" s="96">
        <f t="shared" si="55"/>
        <v>4.394144517862961E-4</v>
      </c>
      <c r="AC48" s="96">
        <f t="shared" ref="AC48" si="57">IFERROR(1/SUM(1/AD48,1/AE48,1/AF48,1/AG48,1/AH48,1/AI48,1/AJ48,1/AK48,1/AL48,1/AM48,1/AN48,1/AO48,1/AP48,1/AQ48,1/AR48,1/AS48,1/AT48,1/AU48,1/AV48,1/AW48,1/AX48,1/AY48,1/AZ48),".")</f>
        <v>1.2752446037807157E-5</v>
      </c>
      <c r="AD48" s="96">
        <f t="shared" ref="AD48:BB48" si="58">IFERROR(1/SUM(AD49:AD62),0)</f>
        <v>2.1360894282846873E-4</v>
      </c>
      <c r="AE48" s="96">
        <f t="shared" si="58"/>
        <v>5.0311545957243322E-4</v>
      </c>
      <c r="AF48" s="96">
        <f t="shared" si="58"/>
        <v>5.9876415178709949E-4</v>
      </c>
      <c r="AG48" s="96">
        <f t="shared" si="58"/>
        <v>5.379061560316893E-4</v>
      </c>
      <c r="AH48" s="96">
        <f t="shared" si="58"/>
        <v>5.783288426490364E-4</v>
      </c>
      <c r="AI48" s="96">
        <f t="shared" si="58"/>
        <v>2.606970247000821E-4</v>
      </c>
      <c r="AJ48" s="96">
        <f t="shared" si="58"/>
        <v>7.9483600682066409E-4</v>
      </c>
      <c r="AK48" s="96">
        <f t="shared" si="58"/>
        <v>6.1925886711377474E-5</v>
      </c>
      <c r="AL48" s="96">
        <f t="shared" si="58"/>
        <v>2.421570148924949E-4</v>
      </c>
      <c r="AM48" s="96">
        <f t="shared" si="58"/>
        <v>3.674761053729012E-4</v>
      </c>
      <c r="AN48" s="96">
        <f t="shared" si="58"/>
        <v>5.6920837517310133E-4</v>
      </c>
      <c r="AO48" s="96">
        <f t="shared" si="58"/>
        <v>5.6194150816949026E-4</v>
      </c>
      <c r="AP48" s="96">
        <f t="shared" si="58"/>
        <v>6.6226611137112576E-4</v>
      </c>
      <c r="AQ48" s="96">
        <f t="shared" si="58"/>
        <v>7.4174893279338992E-4</v>
      </c>
      <c r="AR48" s="96">
        <f t="shared" si="58"/>
        <v>1.7629806608570489E-4</v>
      </c>
      <c r="AS48" s="96">
        <f t="shared" si="58"/>
        <v>2.8750599864367022E-4</v>
      </c>
      <c r="AT48" s="96">
        <f t="shared" si="58"/>
        <v>6.0316682937376935E-4</v>
      </c>
      <c r="AU48" s="96">
        <f t="shared" ref="AU48" si="59">IFERROR(1/SUM(AU49:AU62),0)</f>
        <v>8.4232212531450091E-4</v>
      </c>
      <c r="AV48" s="96">
        <f t="shared" si="58"/>
        <v>1.4056197160887277E-4</v>
      </c>
      <c r="AW48" s="96">
        <f t="shared" si="58"/>
        <v>3.1575105476096895E-4</v>
      </c>
      <c r="AX48" s="96">
        <f t="shared" si="58"/>
        <v>3.5644383833425202E-4</v>
      </c>
      <c r="AY48" s="96">
        <f t="shared" si="58"/>
        <v>4.6710887886277155E-4</v>
      </c>
      <c r="AZ48" s="96">
        <f t="shared" si="58"/>
        <v>2.0928622909501543E-4</v>
      </c>
      <c r="BA48" s="96">
        <f t="shared" si="58"/>
        <v>2.2433652228060386E-4</v>
      </c>
      <c r="BB48" s="96">
        <f t="shared" si="58"/>
        <v>2.2759003133694655E-4</v>
      </c>
    </row>
    <row r="49" spans="1:54" x14ac:dyDescent="0.25">
      <c r="A49" s="190" t="s">
        <v>1100</v>
      </c>
      <c r="B49" s="191">
        <v>1</v>
      </c>
      <c r="C49" s="100">
        <f t="shared" ref="C49:BB49" si="60">IFERROR($B49/C23,0)</f>
        <v>6229.685042000001</v>
      </c>
      <c r="D49" s="100">
        <f t="shared" si="60"/>
        <v>343.80954999999994</v>
      </c>
      <c r="E49" s="100">
        <f t="shared" si="60"/>
        <v>157.21636700000002</v>
      </c>
      <c r="F49" s="100">
        <f t="shared" si="60"/>
        <v>130.32362000000001</v>
      </c>
      <c r="G49" s="100">
        <f t="shared" si="60"/>
        <v>152.86024600000002</v>
      </c>
      <c r="H49" s="100">
        <f t="shared" si="60"/>
        <v>124.05944599999999</v>
      </c>
      <c r="I49" s="100">
        <f t="shared" si="60"/>
        <v>319.112864</v>
      </c>
      <c r="J49" s="100">
        <f t="shared" si="60"/>
        <v>113.22314500000002</v>
      </c>
      <c r="K49" s="100">
        <f t="shared" si="60"/>
        <v>1325.9168299999999</v>
      </c>
      <c r="L49" s="100">
        <f t="shared" si="60"/>
        <v>241.78271600000002</v>
      </c>
      <c r="M49" s="100">
        <f t="shared" si="60"/>
        <v>322.748965</v>
      </c>
      <c r="N49" s="100">
        <f t="shared" si="60"/>
        <v>135.795772</v>
      </c>
      <c r="O49" s="100">
        <f t="shared" si="60"/>
        <v>145.80404999999999</v>
      </c>
      <c r="P49" s="100">
        <f t="shared" si="60"/>
        <v>119.595322</v>
      </c>
      <c r="Q49" s="100">
        <f t="shared" si="60"/>
        <v>83.774327</v>
      </c>
      <c r="R49" s="100">
        <f t="shared" si="60"/>
        <v>535.5508759999999</v>
      </c>
      <c r="S49" s="100">
        <f t="shared" si="60"/>
        <v>262.51929200000001</v>
      </c>
      <c r="T49" s="100">
        <f t="shared" si="60"/>
        <v>150.41217800000001</v>
      </c>
      <c r="U49" s="100">
        <f t="shared" ref="U49" si="61">IFERROR($B49/U23,0)</f>
        <v>75.134086999999994</v>
      </c>
      <c r="V49" s="100">
        <f t="shared" si="60"/>
        <v>511.17819900000001</v>
      </c>
      <c r="W49" s="100">
        <f t="shared" si="60"/>
        <v>251.50298599999999</v>
      </c>
      <c r="X49" s="100">
        <f t="shared" si="60"/>
        <v>224.25022899999999</v>
      </c>
      <c r="Y49" s="100">
        <f t="shared" si="60"/>
        <v>175.86488499999999</v>
      </c>
      <c r="Z49" s="100">
        <f t="shared" si="60"/>
        <v>327.24908999999997</v>
      </c>
      <c r="AA49" s="100">
        <f t="shared" si="60"/>
        <v>339.12941999999998</v>
      </c>
      <c r="AB49" s="100">
        <f t="shared" si="60"/>
        <v>295.71221399999996</v>
      </c>
      <c r="AC49" s="100">
        <f t="shared" si="60"/>
        <v>10189.435031999999</v>
      </c>
      <c r="AD49" s="100">
        <f t="shared" si="60"/>
        <v>608.308897</v>
      </c>
      <c r="AE49" s="100">
        <f t="shared" si="60"/>
        <v>258.27117399999997</v>
      </c>
      <c r="AF49" s="100">
        <f t="shared" si="60"/>
        <v>217.014028</v>
      </c>
      <c r="AG49" s="100">
        <f t="shared" si="60"/>
        <v>241.56671</v>
      </c>
      <c r="AH49" s="100">
        <f t="shared" si="60"/>
        <v>224.68224099999998</v>
      </c>
      <c r="AI49" s="100">
        <f t="shared" si="60"/>
        <v>498.43384499999996</v>
      </c>
      <c r="AJ49" s="100">
        <f t="shared" si="60"/>
        <v>163.48054099999999</v>
      </c>
      <c r="AK49" s="100">
        <f t="shared" si="60"/>
        <v>2098.3182849999998</v>
      </c>
      <c r="AL49" s="100">
        <f t="shared" si="60"/>
        <v>536.59490499999993</v>
      </c>
      <c r="AM49" s="100">
        <f t="shared" si="60"/>
        <v>353.60182200000003</v>
      </c>
      <c r="AN49" s="100">
        <f t="shared" si="60"/>
        <v>228.28234100000003</v>
      </c>
      <c r="AO49" s="100">
        <f t="shared" si="60"/>
        <v>231.23442299999999</v>
      </c>
      <c r="AP49" s="100">
        <f t="shared" si="60"/>
        <v>196.20544999999998</v>
      </c>
      <c r="AQ49" s="100">
        <f t="shared" si="60"/>
        <v>175.18086600000001</v>
      </c>
      <c r="AR49" s="100">
        <f t="shared" si="60"/>
        <v>737.04847299999994</v>
      </c>
      <c r="AS49" s="100">
        <f t="shared" si="60"/>
        <v>451.95655399999998</v>
      </c>
      <c r="AT49" s="100">
        <f t="shared" si="60"/>
        <v>215.42998400000002</v>
      </c>
      <c r="AU49" s="100">
        <f t="shared" ref="AU49" si="62">IFERROR($B49/AU23,0)</f>
        <v>154.264285</v>
      </c>
      <c r="AV49" s="100">
        <f t="shared" si="60"/>
        <v>924.4336780000001</v>
      </c>
      <c r="AW49" s="100">
        <f t="shared" si="60"/>
        <v>411.52743100000004</v>
      </c>
      <c r="AX49" s="100">
        <f t="shared" si="60"/>
        <v>364.54612599999996</v>
      </c>
      <c r="AY49" s="100">
        <f t="shared" si="60"/>
        <v>278.17972700000001</v>
      </c>
      <c r="AZ49" s="100">
        <f t="shared" si="60"/>
        <v>620.87324599999999</v>
      </c>
      <c r="BA49" s="100">
        <f t="shared" si="60"/>
        <v>579.22008900000003</v>
      </c>
      <c r="BB49" s="100">
        <f t="shared" si="60"/>
        <v>570.93985899999996</v>
      </c>
    </row>
    <row r="50" spans="1:54" x14ac:dyDescent="0.25">
      <c r="A50" s="190" t="s">
        <v>1087</v>
      </c>
      <c r="B50" s="191">
        <v>1</v>
      </c>
      <c r="C50" s="100">
        <f t="shared" ref="C50:BB50" si="63">IFERROR($B50/C25,0)</f>
        <v>0</v>
      </c>
      <c r="D50" s="100">
        <f t="shared" si="63"/>
        <v>0</v>
      </c>
      <c r="E50" s="100">
        <f t="shared" si="63"/>
        <v>0</v>
      </c>
      <c r="F50" s="100">
        <f t="shared" si="63"/>
        <v>0</v>
      </c>
      <c r="G50" s="100">
        <f t="shared" si="63"/>
        <v>0</v>
      </c>
      <c r="H50" s="100">
        <f t="shared" si="63"/>
        <v>0</v>
      </c>
      <c r="I50" s="100">
        <f t="shared" si="63"/>
        <v>0</v>
      </c>
      <c r="J50" s="100">
        <f t="shared" si="63"/>
        <v>0</v>
      </c>
      <c r="K50" s="100">
        <f t="shared" si="63"/>
        <v>0</v>
      </c>
      <c r="L50" s="100">
        <f t="shared" si="63"/>
        <v>0</v>
      </c>
      <c r="M50" s="100">
        <f t="shared" si="63"/>
        <v>0</v>
      </c>
      <c r="N50" s="100">
        <f t="shared" si="63"/>
        <v>0</v>
      </c>
      <c r="O50" s="100">
        <f t="shared" si="63"/>
        <v>0</v>
      </c>
      <c r="P50" s="100">
        <f t="shared" si="63"/>
        <v>0</v>
      </c>
      <c r="Q50" s="100">
        <f t="shared" si="63"/>
        <v>0</v>
      </c>
      <c r="R50" s="100">
        <f t="shared" si="63"/>
        <v>0</v>
      </c>
      <c r="S50" s="100">
        <f t="shared" si="63"/>
        <v>0</v>
      </c>
      <c r="T50" s="100">
        <f t="shared" si="63"/>
        <v>0</v>
      </c>
      <c r="U50" s="100">
        <f t="shared" ref="U50" si="64">IFERROR($B50/U25,0)</f>
        <v>0</v>
      </c>
      <c r="V50" s="100">
        <f t="shared" si="63"/>
        <v>0</v>
      </c>
      <c r="W50" s="100">
        <f t="shared" si="63"/>
        <v>0</v>
      </c>
      <c r="X50" s="100">
        <f t="shared" si="63"/>
        <v>0</v>
      </c>
      <c r="Y50" s="100">
        <f t="shared" si="63"/>
        <v>0</v>
      </c>
      <c r="Z50" s="100">
        <f t="shared" si="63"/>
        <v>0</v>
      </c>
      <c r="AA50" s="100">
        <f t="shared" si="63"/>
        <v>0</v>
      </c>
      <c r="AB50" s="100">
        <f t="shared" si="63"/>
        <v>0</v>
      </c>
      <c r="AC50" s="100">
        <f t="shared" si="63"/>
        <v>0</v>
      </c>
      <c r="AD50" s="100">
        <f t="shared" si="63"/>
        <v>0</v>
      </c>
      <c r="AE50" s="100">
        <f t="shared" si="63"/>
        <v>0</v>
      </c>
      <c r="AF50" s="100">
        <f t="shared" si="63"/>
        <v>0</v>
      </c>
      <c r="AG50" s="100">
        <f t="shared" si="63"/>
        <v>0</v>
      </c>
      <c r="AH50" s="100">
        <f t="shared" si="63"/>
        <v>0</v>
      </c>
      <c r="AI50" s="100">
        <f t="shared" si="63"/>
        <v>0</v>
      </c>
      <c r="AJ50" s="100">
        <f t="shared" si="63"/>
        <v>0</v>
      </c>
      <c r="AK50" s="100">
        <f t="shared" si="63"/>
        <v>0</v>
      </c>
      <c r="AL50" s="100">
        <f t="shared" si="63"/>
        <v>0</v>
      </c>
      <c r="AM50" s="100">
        <f t="shared" si="63"/>
        <v>0</v>
      </c>
      <c r="AN50" s="100">
        <f t="shared" si="63"/>
        <v>0</v>
      </c>
      <c r="AO50" s="100">
        <f t="shared" si="63"/>
        <v>0</v>
      </c>
      <c r="AP50" s="100">
        <f t="shared" si="63"/>
        <v>0</v>
      </c>
      <c r="AQ50" s="100">
        <f t="shared" si="63"/>
        <v>0</v>
      </c>
      <c r="AR50" s="100">
        <f t="shared" si="63"/>
        <v>0</v>
      </c>
      <c r="AS50" s="100">
        <f t="shared" si="63"/>
        <v>0</v>
      </c>
      <c r="AT50" s="100">
        <f t="shared" si="63"/>
        <v>0</v>
      </c>
      <c r="AU50" s="100">
        <f t="shared" ref="AU50" si="65">IFERROR($B50/AU25,0)</f>
        <v>0</v>
      </c>
      <c r="AV50" s="100">
        <f t="shared" si="63"/>
        <v>0</v>
      </c>
      <c r="AW50" s="100">
        <f t="shared" si="63"/>
        <v>0</v>
      </c>
      <c r="AX50" s="100">
        <f t="shared" si="63"/>
        <v>0</v>
      </c>
      <c r="AY50" s="100">
        <f t="shared" si="63"/>
        <v>0</v>
      </c>
      <c r="AZ50" s="100">
        <f t="shared" si="63"/>
        <v>0</v>
      </c>
      <c r="BA50" s="100">
        <f t="shared" si="63"/>
        <v>0</v>
      </c>
      <c r="BB50" s="100">
        <f t="shared" si="63"/>
        <v>0</v>
      </c>
    </row>
    <row r="51" spans="1:54" x14ac:dyDescent="0.25">
      <c r="A51" s="190" t="s">
        <v>1073</v>
      </c>
      <c r="B51" s="191">
        <v>1</v>
      </c>
      <c r="C51" s="100">
        <f t="shared" ref="C51:BB51" si="66">IFERROR($B51/C21,0)</f>
        <v>0</v>
      </c>
      <c r="D51" s="100">
        <f t="shared" si="66"/>
        <v>0</v>
      </c>
      <c r="E51" s="100">
        <f t="shared" si="66"/>
        <v>0</v>
      </c>
      <c r="F51" s="100">
        <f t="shared" si="66"/>
        <v>0</v>
      </c>
      <c r="G51" s="100">
        <f t="shared" si="66"/>
        <v>0</v>
      </c>
      <c r="H51" s="100">
        <f t="shared" si="66"/>
        <v>0</v>
      </c>
      <c r="I51" s="100">
        <f t="shared" si="66"/>
        <v>0</v>
      </c>
      <c r="J51" s="100">
        <f t="shared" si="66"/>
        <v>0</v>
      </c>
      <c r="K51" s="100">
        <f t="shared" si="66"/>
        <v>0</v>
      </c>
      <c r="L51" s="100">
        <f t="shared" si="66"/>
        <v>0</v>
      </c>
      <c r="M51" s="100">
        <f t="shared" si="66"/>
        <v>0</v>
      </c>
      <c r="N51" s="100">
        <f t="shared" si="66"/>
        <v>0</v>
      </c>
      <c r="O51" s="100">
        <f t="shared" si="66"/>
        <v>0</v>
      </c>
      <c r="P51" s="100">
        <f t="shared" si="66"/>
        <v>0</v>
      </c>
      <c r="Q51" s="100">
        <f t="shared" si="66"/>
        <v>0</v>
      </c>
      <c r="R51" s="100">
        <f t="shared" si="66"/>
        <v>0</v>
      </c>
      <c r="S51" s="100">
        <f t="shared" si="66"/>
        <v>0</v>
      </c>
      <c r="T51" s="100">
        <f t="shared" si="66"/>
        <v>0</v>
      </c>
      <c r="U51" s="100">
        <f t="shared" ref="U51" si="67">IFERROR($B51/U21,0)</f>
        <v>0</v>
      </c>
      <c r="V51" s="100">
        <f t="shared" si="66"/>
        <v>0</v>
      </c>
      <c r="W51" s="100">
        <f t="shared" si="66"/>
        <v>0</v>
      </c>
      <c r="X51" s="100">
        <f t="shared" si="66"/>
        <v>0</v>
      </c>
      <c r="Y51" s="100">
        <f t="shared" si="66"/>
        <v>0</v>
      </c>
      <c r="Z51" s="100">
        <f t="shared" si="66"/>
        <v>0</v>
      </c>
      <c r="AA51" s="100">
        <f t="shared" si="66"/>
        <v>0</v>
      </c>
      <c r="AB51" s="100">
        <f t="shared" si="66"/>
        <v>0</v>
      </c>
      <c r="AC51" s="100">
        <f t="shared" si="66"/>
        <v>0</v>
      </c>
      <c r="AD51" s="100">
        <f t="shared" si="66"/>
        <v>0</v>
      </c>
      <c r="AE51" s="100">
        <f t="shared" si="66"/>
        <v>0</v>
      </c>
      <c r="AF51" s="100">
        <f t="shared" si="66"/>
        <v>0</v>
      </c>
      <c r="AG51" s="100">
        <f t="shared" si="66"/>
        <v>0</v>
      </c>
      <c r="AH51" s="100">
        <f t="shared" si="66"/>
        <v>0</v>
      </c>
      <c r="AI51" s="100">
        <f t="shared" si="66"/>
        <v>0</v>
      </c>
      <c r="AJ51" s="100">
        <f t="shared" si="66"/>
        <v>0</v>
      </c>
      <c r="AK51" s="100">
        <f t="shared" si="66"/>
        <v>0</v>
      </c>
      <c r="AL51" s="100">
        <f t="shared" si="66"/>
        <v>0</v>
      </c>
      <c r="AM51" s="100">
        <f t="shared" si="66"/>
        <v>0</v>
      </c>
      <c r="AN51" s="100">
        <f t="shared" si="66"/>
        <v>0</v>
      </c>
      <c r="AO51" s="100">
        <f t="shared" si="66"/>
        <v>0</v>
      </c>
      <c r="AP51" s="100">
        <f t="shared" si="66"/>
        <v>0</v>
      </c>
      <c r="AQ51" s="100">
        <f t="shared" si="66"/>
        <v>0</v>
      </c>
      <c r="AR51" s="100">
        <f t="shared" si="66"/>
        <v>0</v>
      </c>
      <c r="AS51" s="100">
        <f t="shared" si="66"/>
        <v>0</v>
      </c>
      <c r="AT51" s="100">
        <f t="shared" si="66"/>
        <v>0</v>
      </c>
      <c r="AU51" s="100">
        <f t="shared" ref="AU51" si="68">IFERROR($B51/AU21,0)</f>
        <v>0</v>
      </c>
      <c r="AV51" s="100">
        <f t="shared" si="66"/>
        <v>0</v>
      </c>
      <c r="AW51" s="100">
        <f t="shared" si="66"/>
        <v>0</v>
      </c>
      <c r="AX51" s="100">
        <f t="shared" si="66"/>
        <v>0</v>
      </c>
      <c r="AY51" s="100">
        <f t="shared" si="66"/>
        <v>0</v>
      </c>
      <c r="AZ51" s="100">
        <f t="shared" si="66"/>
        <v>0</v>
      </c>
      <c r="BA51" s="100">
        <f t="shared" si="66"/>
        <v>0</v>
      </c>
      <c r="BB51" s="100">
        <f t="shared" si="66"/>
        <v>0</v>
      </c>
    </row>
    <row r="52" spans="1:54" x14ac:dyDescent="0.25">
      <c r="A52" s="190" t="s">
        <v>1074</v>
      </c>
      <c r="B52" s="193">
        <v>0.99980000000000002</v>
      </c>
      <c r="C52" s="100">
        <f t="shared" ref="C52:BB52" si="69">IFERROR($B52/C17,0)</f>
        <v>5.8699677895964015</v>
      </c>
      <c r="D52" s="100">
        <f t="shared" si="69"/>
        <v>0.32395714561000005</v>
      </c>
      <c r="E52" s="100">
        <f t="shared" si="69"/>
        <v>0.14813830941140002</v>
      </c>
      <c r="F52" s="100">
        <f t="shared" si="69"/>
        <v>0.12279841540400004</v>
      </c>
      <c r="G52" s="100">
        <f t="shared" si="69"/>
        <v>0.14403372149320001</v>
      </c>
      <c r="H52" s="100">
        <f t="shared" si="69"/>
        <v>0.11689595013320002</v>
      </c>
      <c r="I52" s="100">
        <f t="shared" si="69"/>
        <v>0.30068650666880004</v>
      </c>
      <c r="J52" s="100">
        <f t="shared" si="69"/>
        <v>0.10668536365900001</v>
      </c>
      <c r="K52" s="100">
        <f t="shared" si="69"/>
        <v>1.2493551489860002</v>
      </c>
      <c r="L52" s="100">
        <f t="shared" si="69"/>
        <v>0.22782159056720003</v>
      </c>
      <c r="M52" s="100">
        <f t="shared" si="69"/>
        <v>0.30411265030300005</v>
      </c>
      <c r="N52" s="100">
        <f t="shared" si="69"/>
        <v>0.1279545919624</v>
      </c>
      <c r="O52" s="100">
        <f t="shared" si="69"/>
        <v>0.13738496751000001</v>
      </c>
      <c r="P52" s="100">
        <f t="shared" si="69"/>
        <v>0.11268959557240002</v>
      </c>
      <c r="Q52" s="100">
        <f t="shared" si="69"/>
        <v>7.8936992443400023E-2</v>
      </c>
      <c r="R52" s="100">
        <f t="shared" si="69"/>
        <v>0.50462685843920008</v>
      </c>
      <c r="S52" s="100">
        <f t="shared" si="69"/>
        <v>0.24736078594640007</v>
      </c>
      <c r="T52" s="100">
        <f t="shared" si="69"/>
        <v>0.14172701092760001</v>
      </c>
      <c r="U52" s="100">
        <f t="shared" ref="U52" si="70">IFERROR($B52/U17,0)</f>
        <v>7.0795661035399998E-2</v>
      </c>
      <c r="V52" s="100">
        <f t="shared" si="69"/>
        <v>0.48166151942580004</v>
      </c>
      <c r="W52" s="100">
        <f t="shared" si="69"/>
        <v>0.23698058840120001</v>
      </c>
      <c r="X52" s="100">
        <f t="shared" si="69"/>
        <v>0.21130147225180007</v>
      </c>
      <c r="Y52" s="100">
        <f t="shared" si="69"/>
        <v>0.16571001636700003</v>
      </c>
      <c r="Z52" s="100">
        <f t="shared" si="69"/>
        <v>0.30835292707800005</v>
      </c>
      <c r="AA52" s="100">
        <f t="shared" si="69"/>
        <v>0.31954725776400006</v>
      </c>
      <c r="AB52" s="100">
        <f t="shared" si="69"/>
        <v>0.27863706743880007</v>
      </c>
      <c r="AC52" s="100">
        <f t="shared" si="69"/>
        <v>9.601072129454403</v>
      </c>
      <c r="AD52" s="100">
        <f t="shared" si="69"/>
        <v>0.57318365333740007</v>
      </c>
      <c r="AE52" s="100">
        <f t="shared" si="69"/>
        <v>0.24335796467080006</v>
      </c>
      <c r="AF52" s="100">
        <f t="shared" si="69"/>
        <v>0.20448310719760004</v>
      </c>
      <c r="AG52" s="100">
        <f t="shared" si="69"/>
        <v>0.22761805728200005</v>
      </c>
      <c r="AH52" s="100">
        <f t="shared" si="69"/>
        <v>0.21170853882220003</v>
      </c>
      <c r="AI52" s="100">
        <f t="shared" si="69"/>
        <v>0.46965305559900006</v>
      </c>
      <c r="AJ52" s="100">
        <f t="shared" si="69"/>
        <v>0.15404077468220004</v>
      </c>
      <c r="AK52" s="100">
        <f t="shared" si="69"/>
        <v>1.9771562546470003</v>
      </c>
      <c r="AL52" s="100">
        <f t="shared" si="69"/>
        <v>0.50561060265100011</v>
      </c>
      <c r="AM52" s="100">
        <f t="shared" si="69"/>
        <v>0.33318398787240006</v>
      </c>
      <c r="AN52" s="100">
        <f t="shared" si="69"/>
        <v>0.21510076024220004</v>
      </c>
      <c r="AO52" s="100">
        <f t="shared" si="69"/>
        <v>0.21788238180660005</v>
      </c>
      <c r="AP52" s="100">
        <f t="shared" si="69"/>
        <v>0.18487606739000001</v>
      </c>
      <c r="AQ52" s="100">
        <f t="shared" si="69"/>
        <v>0.16506549429720002</v>
      </c>
      <c r="AR52" s="100">
        <f t="shared" si="69"/>
        <v>0.69448949131660009</v>
      </c>
      <c r="AS52" s="100">
        <f t="shared" si="69"/>
        <v>0.42585947706680005</v>
      </c>
      <c r="AT52" s="100">
        <f t="shared" si="69"/>
        <v>0.20299052977280005</v>
      </c>
      <c r="AU52" s="100">
        <f t="shared" ref="AU52" si="71">IFERROR($B52/AU17,0)</f>
        <v>0.14535668784700004</v>
      </c>
      <c r="AV52" s="100">
        <f t="shared" si="69"/>
        <v>0.87105461622760028</v>
      </c>
      <c r="AW52" s="100">
        <f t="shared" si="69"/>
        <v>0.38776483052020005</v>
      </c>
      <c r="AX52" s="100">
        <f t="shared" si="69"/>
        <v>0.34349634098920007</v>
      </c>
      <c r="AY52" s="100">
        <f t="shared" si="69"/>
        <v>0.2621169491234</v>
      </c>
      <c r="AZ52" s="100">
        <f t="shared" si="69"/>
        <v>0.58502250609320006</v>
      </c>
      <c r="BA52" s="100">
        <f t="shared" si="69"/>
        <v>0.54577450426380003</v>
      </c>
      <c r="BB52" s="100">
        <f t="shared" si="69"/>
        <v>0.53797239499780003</v>
      </c>
    </row>
    <row r="53" spans="1:54" x14ac:dyDescent="0.25">
      <c r="A53" s="190" t="s">
        <v>1088</v>
      </c>
      <c r="B53" s="191">
        <v>2.0000000000000001E-4</v>
      </c>
      <c r="C53" s="100">
        <f t="shared" ref="C53:BB53" si="72">IFERROR($B53/C5,0)</f>
        <v>0</v>
      </c>
      <c r="D53" s="100">
        <f t="shared" si="72"/>
        <v>0</v>
      </c>
      <c r="E53" s="100">
        <f t="shared" si="72"/>
        <v>0</v>
      </c>
      <c r="F53" s="100">
        <f t="shared" si="72"/>
        <v>0</v>
      </c>
      <c r="G53" s="100">
        <f t="shared" si="72"/>
        <v>0</v>
      </c>
      <c r="H53" s="100">
        <f t="shared" si="72"/>
        <v>0</v>
      </c>
      <c r="I53" s="100">
        <f t="shared" si="72"/>
        <v>0</v>
      </c>
      <c r="J53" s="100">
        <f t="shared" si="72"/>
        <v>0</v>
      </c>
      <c r="K53" s="100">
        <f t="shared" si="72"/>
        <v>0</v>
      </c>
      <c r="L53" s="100">
        <f t="shared" si="72"/>
        <v>0</v>
      </c>
      <c r="M53" s="100">
        <f t="shared" si="72"/>
        <v>0</v>
      </c>
      <c r="N53" s="100">
        <f t="shared" si="72"/>
        <v>0</v>
      </c>
      <c r="O53" s="100">
        <f t="shared" si="72"/>
        <v>0</v>
      </c>
      <c r="P53" s="100">
        <f t="shared" si="72"/>
        <v>0</v>
      </c>
      <c r="Q53" s="100">
        <f t="shared" si="72"/>
        <v>0</v>
      </c>
      <c r="R53" s="100">
        <f t="shared" si="72"/>
        <v>0</v>
      </c>
      <c r="S53" s="100">
        <f t="shared" si="72"/>
        <v>0</v>
      </c>
      <c r="T53" s="100">
        <f t="shared" si="72"/>
        <v>0</v>
      </c>
      <c r="U53" s="100">
        <f t="shared" ref="U53" si="73">IFERROR($B53/U5,0)</f>
        <v>0</v>
      </c>
      <c r="V53" s="100">
        <f t="shared" si="72"/>
        <v>0</v>
      </c>
      <c r="W53" s="100">
        <f t="shared" si="72"/>
        <v>0</v>
      </c>
      <c r="X53" s="100">
        <f t="shared" si="72"/>
        <v>0</v>
      </c>
      <c r="Y53" s="100">
        <f t="shared" si="72"/>
        <v>0</v>
      </c>
      <c r="Z53" s="100">
        <f t="shared" si="72"/>
        <v>0</v>
      </c>
      <c r="AA53" s="100">
        <f t="shared" si="72"/>
        <v>0</v>
      </c>
      <c r="AB53" s="100">
        <f t="shared" si="72"/>
        <v>0</v>
      </c>
      <c r="AC53" s="100">
        <f t="shared" si="72"/>
        <v>0</v>
      </c>
      <c r="AD53" s="100">
        <f t="shared" si="72"/>
        <v>0</v>
      </c>
      <c r="AE53" s="100">
        <f t="shared" si="72"/>
        <v>0</v>
      </c>
      <c r="AF53" s="100">
        <f t="shared" si="72"/>
        <v>0</v>
      </c>
      <c r="AG53" s="100">
        <f t="shared" si="72"/>
        <v>0</v>
      </c>
      <c r="AH53" s="100">
        <f t="shared" si="72"/>
        <v>0</v>
      </c>
      <c r="AI53" s="100">
        <f t="shared" si="72"/>
        <v>0</v>
      </c>
      <c r="AJ53" s="100">
        <f t="shared" si="72"/>
        <v>0</v>
      </c>
      <c r="AK53" s="100">
        <f t="shared" si="72"/>
        <v>0</v>
      </c>
      <c r="AL53" s="100">
        <f t="shared" si="72"/>
        <v>0</v>
      </c>
      <c r="AM53" s="100">
        <f t="shared" si="72"/>
        <v>0</v>
      </c>
      <c r="AN53" s="100">
        <f t="shared" si="72"/>
        <v>0</v>
      </c>
      <c r="AO53" s="100">
        <f t="shared" si="72"/>
        <v>0</v>
      </c>
      <c r="AP53" s="100">
        <f t="shared" si="72"/>
        <v>0</v>
      </c>
      <c r="AQ53" s="100">
        <f t="shared" si="72"/>
        <v>0</v>
      </c>
      <c r="AR53" s="100">
        <f t="shared" si="72"/>
        <v>0</v>
      </c>
      <c r="AS53" s="100">
        <f t="shared" si="72"/>
        <v>0</v>
      </c>
      <c r="AT53" s="100">
        <f t="shared" si="72"/>
        <v>0</v>
      </c>
      <c r="AU53" s="100">
        <f t="shared" ref="AU53" si="74">IFERROR($B53/AU5,0)</f>
        <v>0</v>
      </c>
      <c r="AV53" s="100">
        <f t="shared" si="72"/>
        <v>0</v>
      </c>
      <c r="AW53" s="100">
        <f t="shared" si="72"/>
        <v>0</v>
      </c>
      <c r="AX53" s="100">
        <f t="shared" si="72"/>
        <v>0</v>
      </c>
      <c r="AY53" s="100">
        <f t="shared" si="72"/>
        <v>0</v>
      </c>
      <c r="AZ53" s="100">
        <f t="shared" si="72"/>
        <v>0</v>
      </c>
      <c r="BA53" s="100">
        <f t="shared" si="72"/>
        <v>0</v>
      </c>
      <c r="BB53" s="100">
        <f t="shared" si="72"/>
        <v>0</v>
      </c>
    </row>
    <row r="54" spans="1:54" x14ac:dyDescent="0.25">
      <c r="A54" s="190" t="s">
        <v>1089</v>
      </c>
      <c r="B54" s="191">
        <v>0.99999979999999999</v>
      </c>
      <c r="C54" s="100">
        <f t="shared" ref="C54:BB54" si="75">IFERROR($B54/C9,0)</f>
        <v>3.2134412099116298</v>
      </c>
      <c r="D54" s="100">
        <f t="shared" si="75"/>
        <v>0.17734632953072701</v>
      </c>
      <c r="E54" s="100">
        <f t="shared" si="75"/>
        <v>8.1096483880699996E-2</v>
      </c>
      <c r="F54" s="100">
        <f t="shared" si="75"/>
        <v>6.7224472555102818E-2</v>
      </c>
      <c r="G54" s="100">
        <f t="shared" si="75"/>
        <v>7.8849478030101255E-2</v>
      </c>
      <c r="H54" s="100">
        <f t="shared" si="75"/>
        <v>6.3993241001349246E-2</v>
      </c>
      <c r="I54" s="100">
        <f t="shared" si="75"/>
        <v>0.16460710627857217</v>
      </c>
      <c r="J54" s="100">
        <f t="shared" si="75"/>
        <v>5.8403581819281312E-2</v>
      </c>
      <c r="K54" s="100">
        <f t="shared" si="75"/>
        <v>0.68394401221117029</v>
      </c>
      <c r="L54" s="100">
        <f t="shared" si="75"/>
        <v>0.12471810985637305</v>
      </c>
      <c r="M54" s="100">
        <f t="shared" si="75"/>
        <v>0.16648270620345212</v>
      </c>
      <c r="N54" s="100">
        <f t="shared" si="75"/>
        <v>7.0047157590565678E-2</v>
      </c>
      <c r="O54" s="100">
        <f t="shared" si="75"/>
        <v>7.5209699958057014E-2</v>
      </c>
      <c r="P54" s="100">
        <f t="shared" si="75"/>
        <v>6.1690524261892678E-2</v>
      </c>
      <c r="Q54" s="100">
        <f t="shared" si="75"/>
        <v>4.3213079457382383E-2</v>
      </c>
      <c r="R54" s="100">
        <f t="shared" si="75"/>
        <v>0.2762517275496435</v>
      </c>
      <c r="S54" s="100">
        <f t="shared" si="75"/>
        <v>0.13541460051707449</v>
      </c>
      <c r="T54" s="100">
        <f t="shared" si="75"/>
        <v>7.7586697882657332E-2</v>
      </c>
      <c r="U54" s="100">
        <f t="shared" ref="U54" si="76">IFERROR($B54/U9,0)</f>
        <v>3.8756208348756781E-2</v>
      </c>
      <c r="V54" s="100">
        <f t="shared" si="75"/>
        <v>0.2636796369640621</v>
      </c>
      <c r="W54" s="100">
        <f t="shared" si="75"/>
        <v>0.12973208985357687</v>
      </c>
      <c r="X54" s="100">
        <f t="shared" si="75"/>
        <v>0.11567437556512028</v>
      </c>
      <c r="Y54" s="100">
        <f t="shared" si="75"/>
        <v>9.0715897356816927E-2</v>
      </c>
      <c r="Z54" s="100">
        <f t="shared" si="75"/>
        <v>0.16880399323919465</v>
      </c>
      <c r="AA54" s="100">
        <f t="shared" si="75"/>
        <v>0.17493219101355484</v>
      </c>
      <c r="AB54" s="100">
        <f t="shared" si="75"/>
        <v>0.1525364136927112</v>
      </c>
      <c r="AC54" s="100">
        <f t="shared" si="75"/>
        <v>5.2559880984021721</v>
      </c>
      <c r="AD54" s="100">
        <f t="shared" si="75"/>
        <v>0.31378229634352828</v>
      </c>
      <c r="AE54" s="100">
        <f t="shared" si="75"/>
        <v>0.13322330555533357</v>
      </c>
      <c r="AF54" s="100">
        <f t="shared" si="75"/>
        <v>0.11194174601164633</v>
      </c>
      <c r="AG54" s="100">
        <f t="shared" si="75"/>
        <v>0.12460668807865743</v>
      </c>
      <c r="AH54" s="100">
        <f t="shared" si="75"/>
        <v>0.11589721912055155</v>
      </c>
      <c r="AI54" s="100">
        <f t="shared" si="75"/>
        <v>0.25710575207883934</v>
      </c>
      <c r="AJ54" s="100">
        <f t="shared" si="75"/>
        <v>8.432771543445354E-2</v>
      </c>
      <c r="AK54" s="100">
        <f t="shared" si="75"/>
        <v>1.0823697190260129</v>
      </c>
      <c r="AL54" s="100">
        <f t="shared" si="75"/>
        <v>0.27679026614193569</v>
      </c>
      <c r="AM54" s="100">
        <f t="shared" si="75"/>
        <v>0.18239745012050271</v>
      </c>
      <c r="AN54" s="100">
        <f t="shared" si="75"/>
        <v>0.11775424874914557</v>
      </c>
      <c r="AO54" s="100">
        <f t="shared" si="75"/>
        <v>0.11927701304459265</v>
      </c>
      <c r="AP54" s="100">
        <f t="shared" si="75"/>
        <v>0.10120811475837302</v>
      </c>
      <c r="AQ54" s="100">
        <f t="shared" si="75"/>
        <v>9.036306172738405E-2</v>
      </c>
      <c r="AR54" s="100">
        <f t="shared" si="75"/>
        <v>0.38018967586204971</v>
      </c>
      <c r="AS54" s="100">
        <f t="shared" si="75"/>
        <v>0.23313149957369078</v>
      </c>
      <c r="AT54" s="100">
        <f t="shared" si="75"/>
        <v>0.11112465297506499</v>
      </c>
      <c r="AU54" s="100">
        <f t="shared" ref="AU54" si="77">IFERROR($B54/AU9,0)</f>
        <v>7.9573719585252903E-2</v>
      </c>
      <c r="AV54" s="100">
        <f t="shared" si="75"/>
        <v>0.4768480680303675</v>
      </c>
      <c r="AW54" s="100">
        <f t="shared" si="75"/>
        <v>0.21227705684458018</v>
      </c>
      <c r="AX54" s="100">
        <f t="shared" si="75"/>
        <v>0.18804282019142846</v>
      </c>
      <c r="AY54" s="100">
        <f t="shared" si="75"/>
        <v>0.14349267940145841</v>
      </c>
      <c r="AZ54" s="100">
        <f t="shared" si="75"/>
        <v>0.3202633297473213</v>
      </c>
      <c r="BA54" s="100">
        <f t="shared" si="75"/>
        <v>0.29877749694448874</v>
      </c>
      <c r="BB54" s="100">
        <f t="shared" si="75"/>
        <v>0.29450632879872252</v>
      </c>
    </row>
    <row r="55" spans="1:54" x14ac:dyDescent="0.25">
      <c r="A55" s="190" t="s">
        <v>1090</v>
      </c>
      <c r="B55" s="191">
        <v>1.9999999999999999E-7</v>
      </c>
      <c r="C55" s="100">
        <f t="shared" ref="C55:BB55" si="78">IFERROR($B55/C24,0)</f>
        <v>0</v>
      </c>
      <c r="D55" s="100">
        <f t="shared" si="78"/>
        <v>0</v>
      </c>
      <c r="E55" s="100">
        <f t="shared" si="78"/>
        <v>0</v>
      </c>
      <c r="F55" s="100">
        <f t="shared" si="78"/>
        <v>0</v>
      </c>
      <c r="G55" s="100">
        <f t="shared" si="78"/>
        <v>0</v>
      </c>
      <c r="H55" s="100">
        <f t="shared" si="78"/>
        <v>0</v>
      </c>
      <c r="I55" s="100">
        <f t="shared" si="78"/>
        <v>0</v>
      </c>
      <c r="J55" s="100">
        <f t="shared" si="78"/>
        <v>0</v>
      </c>
      <c r="K55" s="100">
        <f t="shared" si="78"/>
        <v>0</v>
      </c>
      <c r="L55" s="100">
        <f t="shared" si="78"/>
        <v>0</v>
      </c>
      <c r="M55" s="100">
        <f t="shared" si="78"/>
        <v>0</v>
      </c>
      <c r="N55" s="100">
        <f t="shared" si="78"/>
        <v>0</v>
      </c>
      <c r="O55" s="100">
        <f t="shared" si="78"/>
        <v>0</v>
      </c>
      <c r="P55" s="100">
        <f t="shared" si="78"/>
        <v>0</v>
      </c>
      <c r="Q55" s="100">
        <f t="shared" si="78"/>
        <v>0</v>
      </c>
      <c r="R55" s="100">
        <f t="shared" si="78"/>
        <v>0</v>
      </c>
      <c r="S55" s="100">
        <f t="shared" si="78"/>
        <v>0</v>
      </c>
      <c r="T55" s="100">
        <f t="shared" si="78"/>
        <v>0</v>
      </c>
      <c r="U55" s="100">
        <f t="shared" ref="U55" si="79">IFERROR($B55/U24,0)</f>
        <v>0</v>
      </c>
      <c r="V55" s="100">
        <f t="shared" si="78"/>
        <v>0</v>
      </c>
      <c r="W55" s="100">
        <f t="shared" si="78"/>
        <v>0</v>
      </c>
      <c r="X55" s="100">
        <f t="shared" si="78"/>
        <v>0</v>
      </c>
      <c r="Y55" s="100">
        <f t="shared" si="78"/>
        <v>0</v>
      </c>
      <c r="Z55" s="100">
        <f t="shared" si="78"/>
        <v>0</v>
      </c>
      <c r="AA55" s="100">
        <f t="shared" si="78"/>
        <v>0</v>
      </c>
      <c r="AB55" s="100">
        <f t="shared" si="78"/>
        <v>0</v>
      </c>
      <c r="AC55" s="100">
        <f t="shared" si="78"/>
        <v>0</v>
      </c>
      <c r="AD55" s="100">
        <f t="shared" si="78"/>
        <v>0</v>
      </c>
      <c r="AE55" s="100">
        <f t="shared" si="78"/>
        <v>0</v>
      </c>
      <c r="AF55" s="100">
        <f t="shared" si="78"/>
        <v>0</v>
      </c>
      <c r="AG55" s="100">
        <f t="shared" si="78"/>
        <v>0</v>
      </c>
      <c r="AH55" s="100">
        <f t="shared" si="78"/>
        <v>0</v>
      </c>
      <c r="AI55" s="100">
        <f t="shared" si="78"/>
        <v>0</v>
      </c>
      <c r="AJ55" s="100">
        <f t="shared" si="78"/>
        <v>0</v>
      </c>
      <c r="AK55" s="100">
        <f t="shared" si="78"/>
        <v>0</v>
      </c>
      <c r="AL55" s="100">
        <f t="shared" si="78"/>
        <v>0</v>
      </c>
      <c r="AM55" s="100">
        <f t="shared" si="78"/>
        <v>0</v>
      </c>
      <c r="AN55" s="100">
        <f t="shared" si="78"/>
        <v>0</v>
      </c>
      <c r="AO55" s="100">
        <f t="shared" si="78"/>
        <v>0</v>
      </c>
      <c r="AP55" s="100">
        <f t="shared" si="78"/>
        <v>0</v>
      </c>
      <c r="AQ55" s="100">
        <f t="shared" si="78"/>
        <v>0</v>
      </c>
      <c r="AR55" s="100">
        <f t="shared" si="78"/>
        <v>0</v>
      </c>
      <c r="AS55" s="100">
        <f t="shared" si="78"/>
        <v>0</v>
      </c>
      <c r="AT55" s="100">
        <f t="shared" si="78"/>
        <v>0</v>
      </c>
      <c r="AU55" s="100">
        <f t="shared" ref="AU55" si="80">IFERROR($B55/AU24,0)</f>
        <v>0</v>
      </c>
      <c r="AV55" s="100">
        <f t="shared" si="78"/>
        <v>0</v>
      </c>
      <c r="AW55" s="100">
        <f t="shared" si="78"/>
        <v>0</v>
      </c>
      <c r="AX55" s="100">
        <f t="shared" si="78"/>
        <v>0</v>
      </c>
      <c r="AY55" s="100">
        <f t="shared" si="78"/>
        <v>0</v>
      </c>
      <c r="AZ55" s="100">
        <f t="shared" si="78"/>
        <v>0</v>
      </c>
      <c r="BA55" s="100">
        <f t="shared" si="78"/>
        <v>0</v>
      </c>
      <c r="BB55" s="100">
        <f t="shared" si="78"/>
        <v>0</v>
      </c>
    </row>
    <row r="56" spans="1:54" x14ac:dyDescent="0.25">
      <c r="A56" s="190" t="s">
        <v>1091</v>
      </c>
      <c r="B56" s="191">
        <v>0.99979000004200003</v>
      </c>
      <c r="C56" s="100">
        <f t="shared" ref="C56:BB56" si="81">IFERROR($B56/C20,0)</f>
        <v>0</v>
      </c>
      <c r="D56" s="100">
        <f t="shared" si="81"/>
        <v>0</v>
      </c>
      <c r="E56" s="100">
        <f t="shared" si="81"/>
        <v>0</v>
      </c>
      <c r="F56" s="100">
        <f t="shared" si="81"/>
        <v>0</v>
      </c>
      <c r="G56" s="100">
        <f t="shared" si="81"/>
        <v>0</v>
      </c>
      <c r="H56" s="100">
        <f t="shared" si="81"/>
        <v>0</v>
      </c>
      <c r="I56" s="100">
        <f t="shared" si="81"/>
        <v>0</v>
      </c>
      <c r="J56" s="100">
        <f t="shared" si="81"/>
        <v>0</v>
      </c>
      <c r="K56" s="100">
        <f t="shared" si="81"/>
        <v>0</v>
      </c>
      <c r="L56" s="100">
        <f t="shared" si="81"/>
        <v>0</v>
      </c>
      <c r="M56" s="100">
        <f t="shared" si="81"/>
        <v>0</v>
      </c>
      <c r="N56" s="100">
        <f t="shared" si="81"/>
        <v>0</v>
      </c>
      <c r="O56" s="100">
        <f t="shared" si="81"/>
        <v>0</v>
      </c>
      <c r="P56" s="100">
        <f t="shared" si="81"/>
        <v>0</v>
      </c>
      <c r="Q56" s="100">
        <f t="shared" si="81"/>
        <v>0</v>
      </c>
      <c r="R56" s="100">
        <f t="shared" si="81"/>
        <v>0</v>
      </c>
      <c r="S56" s="100">
        <f t="shared" si="81"/>
        <v>0</v>
      </c>
      <c r="T56" s="100">
        <f t="shared" si="81"/>
        <v>0</v>
      </c>
      <c r="U56" s="100">
        <f t="shared" ref="U56" si="82">IFERROR($B56/U20,0)</f>
        <v>0</v>
      </c>
      <c r="V56" s="100">
        <f t="shared" si="81"/>
        <v>0</v>
      </c>
      <c r="W56" s="100">
        <f t="shared" si="81"/>
        <v>0</v>
      </c>
      <c r="X56" s="100">
        <f t="shared" si="81"/>
        <v>0</v>
      </c>
      <c r="Y56" s="100">
        <f t="shared" si="81"/>
        <v>0</v>
      </c>
      <c r="Z56" s="100">
        <f t="shared" si="81"/>
        <v>0</v>
      </c>
      <c r="AA56" s="100">
        <f t="shared" si="81"/>
        <v>0</v>
      </c>
      <c r="AB56" s="100">
        <f t="shared" si="81"/>
        <v>0</v>
      </c>
      <c r="AC56" s="100">
        <f t="shared" si="81"/>
        <v>0</v>
      </c>
      <c r="AD56" s="100">
        <f t="shared" si="81"/>
        <v>0</v>
      </c>
      <c r="AE56" s="100">
        <f t="shared" si="81"/>
        <v>0</v>
      </c>
      <c r="AF56" s="100">
        <f t="shared" si="81"/>
        <v>0</v>
      </c>
      <c r="AG56" s="100">
        <f t="shared" si="81"/>
        <v>0</v>
      </c>
      <c r="AH56" s="100">
        <f t="shared" si="81"/>
        <v>0</v>
      </c>
      <c r="AI56" s="100">
        <f t="shared" si="81"/>
        <v>0</v>
      </c>
      <c r="AJ56" s="100">
        <f t="shared" si="81"/>
        <v>0</v>
      </c>
      <c r="AK56" s="100">
        <f t="shared" si="81"/>
        <v>0</v>
      </c>
      <c r="AL56" s="100">
        <f t="shared" si="81"/>
        <v>0</v>
      </c>
      <c r="AM56" s="100">
        <f t="shared" si="81"/>
        <v>0</v>
      </c>
      <c r="AN56" s="100">
        <f t="shared" si="81"/>
        <v>0</v>
      </c>
      <c r="AO56" s="100">
        <f t="shared" si="81"/>
        <v>0</v>
      </c>
      <c r="AP56" s="100">
        <f t="shared" si="81"/>
        <v>0</v>
      </c>
      <c r="AQ56" s="100">
        <f t="shared" si="81"/>
        <v>0</v>
      </c>
      <c r="AR56" s="100">
        <f t="shared" si="81"/>
        <v>0</v>
      </c>
      <c r="AS56" s="100">
        <f t="shared" si="81"/>
        <v>0</v>
      </c>
      <c r="AT56" s="100">
        <f t="shared" si="81"/>
        <v>0</v>
      </c>
      <c r="AU56" s="100">
        <f t="shared" ref="AU56" si="83">IFERROR($B56/AU20,0)</f>
        <v>0</v>
      </c>
      <c r="AV56" s="100">
        <f t="shared" si="81"/>
        <v>0</v>
      </c>
      <c r="AW56" s="100">
        <f t="shared" si="81"/>
        <v>0</v>
      </c>
      <c r="AX56" s="100">
        <f t="shared" si="81"/>
        <v>0</v>
      </c>
      <c r="AY56" s="100">
        <f t="shared" si="81"/>
        <v>0</v>
      </c>
      <c r="AZ56" s="100">
        <f t="shared" si="81"/>
        <v>0</v>
      </c>
      <c r="BA56" s="100">
        <f t="shared" si="81"/>
        <v>0</v>
      </c>
      <c r="BB56" s="100">
        <f t="shared" si="81"/>
        <v>0</v>
      </c>
    </row>
    <row r="57" spans="1:54" x14ac:dyDescent="0.25">
      <c r="A57" s="190" t="s">
        <v>1092</v>
      </c>
      <c r="B57" s="191">
        <v>2.0999995799999999E-4</v>
      </c>
      <c r="C57" s="100">
        <f t="shared" ref="C57:BB57" si="84">IFERROR($B57/C29,0)</f>
        <v>0</v>
      </c>
      <c r="D57" s="100">
        <f t="shared" si="84"/>
        <v>0</v>
      </c>
      <c r="E57" s="100">
        <f t="shared" si="84"/>
        <v>0</v>
      </c>
      <c r="F57" s="100">
        <f t="shared" si="84"/>
        <v>0</v>
      </c>
      <c r="G57" s="100">
        <f t="shared" si="84"/>
        <v>0</v>
      </c>
      <c r="H57" s="100">
        <f t="shared" si="84"/>
        <v>0</v>
      </c>
      <c r="I57" s="100">
        <f t="shared" si="84"/>
        <v>0</v>
      </c>
      <c r="J57" s="100">
        <f t="shared" si="84"/>
        <v>0</v>
      </c>
      <c r="K57" s="100">
        <f t="shared" si="84"/>
        <v>0</v>
      </c>
      <c r="L57" s="100">
        <f t="shared" si="84"/>
        <v>0</v>
      </c>
      <c r="M57" s="100">
        <f t="shared" si="84"/>
        <v>0</v>
      </c>
      <c r="N57" s="100">
        <f t="shared" si="84"/>
        <v>0</v>
      </c>
      <c r="O57" s="100">
        <f t="shared" si="84"/>
        <v>0</v>
      </c>
      <c r="P57" s="100">
        <f t="shared" si="84"/>
        <v>0</v>
      </c>
      <c r="Q57" s="100">
        <f t="shared" si="84"/>
        <v>0</v>
      </c>
      <c r="R57" s="100">
        <f t="shared" si="84"/>
        <v>0</v>
      </c>
      <c r="S57" s="100">
        <f t="shared" si="84"/>
        <v>0</v>
      </c>
      <c r="T57" s="100">
        <f t="shared" si="84"/>
        <v>0</v>
      </c>
      <c r="U57" s="100">
        <f t="shared" ref="U57" si="85">IFERROR($B57/U29,0)</f>
        <v>0</v>
      </c>
      <c r="V57" s="100">
        <f t="shared" si="84"/>
        <v>0</v>
      </c>
      <c r="W57" s="100">
        <f t="shared" si="84"/>
        <v>0</v>
      </c>
      <c r="X57" s="100">
        <f t="shared" si="84"/>
        <v>0</v>
      </c>
      <c r="Y57" s="100">
        <f t="shared" si="84"/>
        <v>0</v>
      </c>
      <c r="Z57" s="100">
        <f t="shared" si="84"/>
        <v>0</v>
      </c>
      <c r="AA57" s="100">
        <f t="shared" si="84"/>
        <v>0</v>
      </c>
      <c r="AB57" s="100">
        <f t="shared" si="84"/>
        <v>0</v>
      </c>
      <c r="AC57" s="100">
        <f t="shared" si="84"/>
        <v>0</v>
      </c>
      <c r="AD57" s="100">
        <f t="shared" si="84"/>
        <v>0</v>
      </c>
      <c r="AE57" s="100">
        <f t="shared" si="84"/>
        <v>0</v>
      </c>
      <c r="AF57" s="100">
        <f t="shared" si="84"/>
        <v>0</v>
      </c>
      <c r="AG57" s="100">
        <f t="shared" si="84"/>
        <v>0</v>
      </c>
      <c r="AH57" s="100">
        <f t="shared" si="84"/>
        <v>0</v>
      </c>
      <c r="AI57" s="100">
        <f t="shared" si="84"/>
        <v>0</v>
      </c>
      <c r="AJ57" s="100">
        <f t="shared" si="84"/>
        <v>0</v>
      </c>
      <c r="AK57" s="100">
        <f t="shared" si="84"/>
        <v>0</v>
      </c>
      <c r="AL57" s="100">
        <f t="shared" si="84"/>
        <v>0</v>
      </c>
      <c r="AM57" s="100">
        <f t="shared" si="84"/>
        <v>0</v>
      </c>
      <c r="AN57" s="100">
        <f t="shared" si="84"/>
        <v>0</v>
      </c>
      <c r="AO57" s="100">
        <f t="shared" si="84"/>
        <v>0</v>
      </c>
      <c r="AP57" s="100">
        <f t="shared" si="84"/>
        <v>0</v>
      </c>
      <c r="AQ57" s="100">
        <f t="shared" si="84"/>
        <v>0</v>
      </c>
      <c r="AR57" s="100">
        <f t="shared" si="84"/>
        <v>0</v>
      </c>
      <c r="AS57" s="100">
        <f t="shared" si="84"/>
        <v>0</v>
      </c>
      <c r="AT57" s="100">
        <f t="shared" si="84"/>
        <v>0</v>
      </c>
      <c r="AU57" s="100">
        <f t="shared" ref="AU57" si="86">IFERROR($B57/AU29,0)</f>
        <v>0</v>
      </c>
      <c r="AV57" s="100">
        <f t="shared" si="84"/>
        <v>0</v>
      </c>
      <c r="AW57" s="100">
        <f t="shared" si="84"/>
        <v>0</v>
      </c>
      <c r="AX57" s="100">
        <f t="shared" si="84"/>
        <v>0</v>
      </c>
      <c r="AY57" s="100">
        <f t="shared" si="84"/>
        <v>0</v>
      </c>
      <c r="AZ57" s="100">
        <f t="shared" si="84"/>
        <v>0</v>
      </c>
      <c r="BA57" s="100">
        <f t="shared" si="84"/>
        <v>0</v>
      </c>
      <c r="BB57" s="100">
        <f t="shared" si="84"/>
        <v>0</v>
      </c>
    </row>
    <row r="58" spans="1:54" x14ac:dyDescent="0.25">
      <c r="A58" s="190" t="s">
        <v>1093</v>
      </c>
      <c r="B58" s="191">
        <v>1</v>
      </c>
      <c r="C58" s="100">
        <f t="shared" ref="C58:BB58" si="87">IFERROR($B58/C16,0)</f>
        <v>14252.085204000001</v>
      </c>
      <c r="D58" s="100">
        <f t="shared" si="87"/>
        <v>786.5571000000001</v>
      </c>
      <c r="E58" s="100">
        <f t="shared" si="87"/>
        <v>359.67485400000004</v>
      </c>
      <c r="F58" s="100">
        <f t="shared" si="87"/>
        <v>298.15044</v>
      </c>
      <c r="G58" s="100">
        <f t="shared" si="87"/>
        <v>349.70905200000004</v>
      </c>
      <c r="H58" s="100">
        <f t="shared" si="87"/>
        <v>283.81945200000007</v>
      </c>
      <c r="I58" s="100">
        <f t="shared" si="87"/>
        <v>730.05676800000003</v>
      </c>
      <c r="J58" s="100">
        <f t="shared" si="87"/>
        <v>259.02849000000003</v>
      </c>
      <c r="K58" s="100">
        <f t="shared" si="87"/>
        <v>3033.39246</v>
      </c>
      <c r="L58" s="100">
        <f t="shared" si="87"/>
        <v>553.14319200000011</v>
      </c>
      <c r="M58" s="100">
        <f t="shared" si="87"/>
        <v>738.37533000000008</v>
      </c>
      <c r="N58" s="100">
        <f t="shared" si="87"/>
        <v>310.669464</v>
      </c>
      <c r="O58" s="100">
        <f t="shared" si="87"/>
        <v>333.56610000000001</v>
      </c>
      <c r="P58" s="100">
        <f t="shared" si="87"/>
        <v>273.60656399999999</v>
      </c>
      <c r="Q58" s="100">
        <f t="shared" si="87"/>
        <v>191.656374</v>
      </c>
      <c r="R58" s="100">
        <f t="shared" si="87"/>
        <v>1225.217112</v>
      </c>
      <c r="S58" s="100">
        <f t="shared" si="87"/>
        <v>600.58370400000001</v>
      </c>
      <c r="T58" s="100">
        <f t="shared" si="87"/>
        <v>344.10843600000004</v>
      </c>
      <c r="U58" s="100">
        <f t="shared" ref="U58" si="88">IFERROR($B58/U16,0)</f>
        <v>171.88949400000001</v>
      </c>
      <c r="V58" s="100">
        <f t="shared" si="87"/>
        <v>1169.4580380000002</v>
      </c>
      <c r="W58" s="100">
        <f t="shared" si="87"/>
        <v>575.38093200000003</v>
      </c>
      <c r="X58" s="100">
        <f t="shared" si="87"/>
        <v>513.03289800000016</v>
      </c>
      <c r="Y58" s="100">
        <f t="shared" si="87"/>
        <v>402.33837000000005</v>
      </c>
      <c r="Z58" s="100">
        <f t="shared" si="87"/>
        <v>748.67058000000009</v>
      </c>
      <c r="AA58" s="100">
        <f t="shared" si="87"/>
        <v>775.85004000000015</v>
      </c>
      <c r="AB58" s="100">
        <f t="shared" si="87"/>
        <v>676.52146800000003</v>
      </c>
      <c r="AC58" s="100">
        <f t="shared" si="87"/>
        <v>23311.081584000007</v>
      </c>
      <c r="AD58" s="100">
        <f t="shared" si="87"/>
        <v>1391.6707140000001</v>
      </c>
      <c r="AE58" s="100">
        <f t="shared" si="87"/>
        <v>590.86498800000004</v>
      </c>
      <c r="AF58" s="100">
        <f t="shared" si="87"/>
        <v>496.47813600000006</v>
      </c>
      <c r="AG58" s="100">
        <f t="shared" si="87"/>
        <v>552.64902000000018</v>
      </c>
      <c r="AH58" s="100">
        <f t="shared" si="87"/>
        <v>514.02124200000003</v>
      </c>
      <c r="AI58" s="100">
        <f t="shared" si="87"/>
        <v>1140.30189</v>
      </c>
      <c r="AJ58" s="100">
        <f t="shared" si="87"/>
        <v>374.00584200000003</v>
      </c>
      <c r="AK58" s="100">
        <f t="shared" si="87"/>
        <v>4800.4691700000003</v>
      </c>
      <c r="AL58" s="100">
        <f t="shared" si="87"/>
        <v>1227.6056099999998</v>
      </c>
      <c r="AM58" s="100">
        <f t="shared" si="87"/>
        <v>808.95956400000011</v>
      </c>
      <c r="AN58" s="100">
        <f t="shared" si="87"/>
        <v>522.2574420000002</v>
      </c>
      <c r="AO58" s="100">
        <f t="shared" si="87"/>
        <v>529.0111260000001</v>
      </c>
      <c r="AP58" s="100">
        <f t="shared" si="87"/>
        <v>448.87290000000007</v>
      </c>
      <c r="AQ58" s="100">
        <f t="shared" si="87"/>
        <v>400.77349200000003</v>
      </c>
      <c r="AR58" s="100">
        <f t="shared" si="87"/>
        <v>1686.197226</v>
      </c>
      <c r="AS58" s="100">
        <f t="shared" si="87"/>
        <v>1033.972548</v>
      </c>
      <c r="AT58" s="100">
        <f t="shared" si="87"/>
        <v>492.85420800000003</v>
      </c>
      <c r="AU58" s="100">
        <f t="shared" ref="AU58" si="89">IFERROR($B58/AU16,0)</f>
        <v>352.92117000000002</v>
      </c>
      <c r="AV58" s="100">
        <f t="shared" si="87"/>
        <v>2114.8914360000003</v>
      </c>
      <c r="AW58" s="100">
        <f t="shared" si="87"/>
        <v>941.48002200000019</v>
      </c>
      <c r="AX58" s="100">
        <f t="shared" si="87"/>
        <v>833.997612</v>
      </c>
      <c r="AY58" s="100">
        <f t="shared" si="87"/>
        <v>636.41117399999996</v>
      </c>
      <c r="AZ58" s="100">
        <f t="shared" si="87"/>
        <v>1420.4150519999998</v>
      </c>
      <c r="BA58" s="100">
        <f t="shared" si="87"/>
        <v>1325.1222180000002</v>
      </c>
      <c r="BB58" s="100">
        <f t="shared" si="87"/>
        <v>1306.1789580000002</v>
      </c>
    </row>
    <row r="59" spans="1:54" x14ac:dyDescent="0.25">
      <c r="A59" s="190" t="s">
        <v>1094</v>
      </c>
      <c r="B59" s="191">
        <v>1</v>
      </c>
      <c r="C59" s="100">
        <f t="shared" ref="C59:BB59" si="90">IFERROR($B59/C7,0)</f>
        <v>157.75893056000001</v>
      </c>
      <c r="D59" s="100">
        <f t="shared" si="90"/>
        <v>8.7065439999999992</v>
      </c>
      <c r="E59" s="100">
        <f t="shared" si="90"/>
        <v>3.9813065600000002</v>
      </c>
      <c r="F59" s="100">
        <f t="shared" si="90"/>
        <v>3.3002815999999995</v>
      </c>
      <c r="G59" s="100">
        <f t="shared" si="90"/>
        <v>3.8709932800000004</v>
      </c>
      <c r="H59" s="100">
        <f t="shared" si="90"/>
        <v>3.1416492800000002</v>
      </c>
      <c r="I59" s="100">
        <f t="shared" si="90"/>
        <v>8.0811315199999996</v>
      </c>
      <c r="J59" s="100">
        <f t="shared" si="90"/>
        <v>2.8672336</v>
      </c>
      <c r="K59" s="100">
        <f t="shared" si="90"/>
        <v>33.577174399999997</v>
      </c>
      <c r="L59" s="100">
        <f t="shared" si="90"/>
        <v>6.1228428800000003</v>
      </c>
      <c r="M59" s="100">
        <f t="shared" si="90"/>
        <v>8.1732112000000008</v>
      </c>
      <c r="N59" s="100">
        <f t="shared" si="90"/>
        <v>3.4388569599999999</v>
      </c>
      <c r="O59" s="100">
        <f t="shared" si="90"/>
        <v>3.6923040000000005</v>
      </c>
      <c r="P59" s="100">
        <f t="shared" si="90"/>
        <v>3.0286009599999999</v>
      </c>
      <c r="Q59" s="100">
        <f t="shared" si="90"/>
        <v>2.1214793599999999</v>
      </c>
      <c r="R59" s="100">
        <f t="shared" si="90"/>
        <v>13.562151679999999</v>
      </c>
      <c r="S59" s="100">
        <f t="shared" si="90"/>
        <v>6.6479705600000001</v>
      </c>
      <c r="T59" s="100">
        <f t="shared" si="90"/>
        <v>3.8089990400000002</v>
      </c>
      <c r="U59" s="100">
        <f t="shared" ref="U59" si="91">IFERROR($B59/U7,0)</f>
        <v>1.9026761599999999</v>
      </c>
      <c r="V59" s="100">
        <f t="shared" si="90"/>
        <v>12.944944320000001</v>
      </c>
      <c r="W59" s="100">
        <f t="shared" si="90"/>
        <v>6.3689964799999998</v>
      </c>
      <c r="X59" s="100">
        <f t="shared" si="90"/>
        <v>5.6788547200000004</v>
      </c>
      <c r="Y59" s="100">
        <f t="shared" si="90"/>
        <v>4.4535568000000003</v>
      </c>
      <c r="Z59" s="100">
        <f t="shared" si="90"/>
        <v>8.2871711999999995</v>
      </c>
      <c r="AA59" s="100">
        <f t="shared" si="90"/>
        <v>8.5880255999999999</v>
      </c>
      <c r="AB59" s="100">
        <f t="shared" si="90"/>
        <v>7.4885395199999998</v>
      </c>
      <c r="AC59" s="100">
        <f t="shared" si="90"/>
        <v>258.03461376000001</v>
      </c>
      <c r="AD59" s="100">
        <f t="shared" si="90"/>
        <v>15.404656960000001</v>
      </c>
      <c r="AE59" s="100">
        <f t="shared" si="90"/>
        <v>6.5403923199999996</v>
      </c>
      <c r="AF59" s="100">
        <f t="shared" si="90"/>
        <v>5.4956070399999994</v>
      </c>
      <c r="AG59" s="100">
        <f t="shared" si="90"/>
        <v>6.1173728000000009</v>
      </c>
      <c r="AH59" s="100">
        <f t="shared" si="90"/>
        <v>5.68979488</v>
      </c>
      <c r="AI59" s="100">
        <f t="shared" si="90"/>
        <v>12.622209600000001</v>
      </c>
      <c r="AJ59" s="100">
        <f t="shared" si="90"/>
        <v>4.1399388799999999</v>
      </c>
      <c r="AK59" s="100">
        <f t="shared" si="90"/>
        <v>53.137268800000001</v>
      </c>
      <c r="AL59" s="100">
        <f t="shared" si="90"/>
        <v>13.588590399999999</v>
      </c>
      <c r="AM59" s="100">
        <f t="shared" si="90"/>
        <v>8.9545209600000018</v>
      </c>
      <c r="AN59" s="100">
        <f t="shared" si="90"/>
        <v>5.7809628800000006</v>
      </c>
      <c r="AO59" s="100">
        <f t="shared" si="90"/>
        <v>5.8557206399999995</v>
      </c>
      <c r="AP59" s="100">
        <f t="shared" si="90"/>
        <v>4.9686560000000002</v>
      </c>
      <c r="AQ59" s="100">
        <f t="shared" si="90"/>
        <v>4.4362348799999998</v>
      </c>
      <c r="AR59" s="100">
        <f t="shared" si="90"/>
        <v>18.664824639999999</v>
      </c>
      <c r="AS59" s="100">
        <f t="shared" si="90"/>
        <v>11.445230720000001</v>
      </c>
      <c r="AT59" s="100">
        <f t="shared" si="90"/>
        <v>5.4554931200000008</v>
      </c>
      <c r="AU59" s="100">
        <f t="shared" ref="AU59" si="92">IFERROR($B59/AU7,0)</f>
        <v>3.9065487999999999</v>
      </c>
      <c r="AV59" s="100">
        <f t="shared" si="90"/>
        <v>23.410119040000001</v>
      </c>
      <c r="AW59" s="100">
        <f t="shared" si="90"/>
        <v>10.421414080000002</v>
      </c>
      <c r="AX59" s="100">
        <f t="shared" si="90"/>
        <v>9.2316716799999998</v>
      </c>
      <c r="AY59" s="100">
        <f t="shared" si="90"/>
        <v>7.0445513599999998</v>
      </c>
      <c r="AZ59" s="100">
        <f t="shared" si="90"/>
        <v>15.722833280000001</v>
      </c>
      <c r="BA59" s="100">
        <f t="shared" si="90"/>
        <v>14.668019519999998</v>
      </c>
      <c r="BB59" s="100">
        <f t="shared" si="90"/>
        <v>14.458333120000002</v>
      </c>
    </row>
    <row r="60" spans="1:54" x14ac:dyDescent="0.25">
      <c r="A60" s="190" t="s">
        <v>1095</v>
      </c>
      <c r="B60" s="194">
        <v>1.9000000000000001E-8</v>
      </c>
      <c r="C60" s="100">
        <f t="shared" ref="C60:BB60" si="93">IFERROR($B60/C12,0)</f>
        <v>0</v>
      </c>
      <c r="D60" s="100">
        <f t="shared" si="93"/>
        <v>0</v>
      </c>
      <c r="E60" s="100">
        <f t="shared" si="93"/>
        <v>0</v>
      </c>
      <c r="F60" s="100">
        <f t="shared" si="93"/>
        <v>0</v>
      </c>
      <c r="G60" s="100">
        <f t="shared" si="93"/>
        <v>0</v>
      </c>
      <c r="H60" s="100">
        <f t="shared" si="93"/>
        <v>0</v>
      </c>
      <c r="I60" s="100">
        <f t="shared" si="93"/>
        <v>0</v>
      </c>
      <c r="J60" s="100">
        <f t="shared" si="93"/>
        <v>0</v>
      </c>
      <c r="K60" s="100">
        <f t="shared" si="93"/>
        <v>0</v>
      </c>
      <c r="L60" s="100">
        <f t="shared" si="93"/>
        <v>0</v>
      </c>
      <c r="M60" s="100">
        <f t="shared" si="93"/>
        <v>0</v>
      </c>
      <c r="N60" s="100">
        <f t="shared" si="93"/>
        <v>0</v>
      </c>
      <c r="O60" s="100">
        <f t="shared" si="93"/>
        <v>0</v>
      </c>
      <c r="P60" s="100">
        <f t="shared" si="93"/>
        <v>0</v>
      </c>
      <c r="Q60" s="100">
        <f t="shared" si="93"/>
        <v>0</v>
      </c>
      <c r="R60" s="100">
        <f t="shared" si="93"/>
        <v>0</v>
      </c>
      <c r="S60" s="100">
        <f t="shared" si="93"/>
        <v>0</v>
      </c>
      <c r="T60" s="100">
        <f t="shared" si="93"/>
        <v>0</v>
      </c>
      <c r="U60" s="100">
        <f t="shared" ref="U60" si="94">IFERROR($B60/U12,0)</f>
        <v>0</v>
      </c>
      <c r="V60" s="100">
        <f t="shared" si="93"/>
        <v>0</v>
      </c>
      <c r="W60" s="100">
        <f t="shared" si="93"/>
        <v>0</v>
      </c>
      <c r="X60" s="100">
        <f t="shared" si="93"/>
        <v>0</v>
      </c>
      <c r="Y60" s="100">
        <f t="shared" si="93"/>
        <v>0</v>
      </c>
      <c r="Z60" s="100">
        <f t="shared" si="93"/>
        <v>0</v>
      </c>
      <c r="AA60" s="100">
        <f t="shared" si="93"/>
        <v>0</v>
      </c>
      <c r="AB60" s="100">
        <f t="shared" si="93"/>
        <v>0</v>
      </c>
      <c r="AC60" s="100">
        <f t="shared" si="93"/>
        <v>0</v>
      </c>
      <c r="AD60" s="100">
        <f t="shared" si="93"/>
        <v>0</v>
      </c>
      <c r="AE60" s="100">
        <f t="shared" si="93"/>
        <v>0</v>
      </c>
      <c r="AF60" s="100">
        <f t="shared" si="93"/>
        <v>0</v>
      </c>
      <c r="AG60" s="100">
        <f t="shared" si="93"/>
        <v>0</v>
      </c>
      <c r="AH60" s="100">
        <f t="shared" si="93"/>
        <v>0</v>
      </c>
      <c r="AI60" s="100">
        <f t="shared" si="93"/>
        <v>0</v>
      </c>
      <c r="AJ60" s="100">
        <f t="shared" si="93"/>
        <v>0</v>
      </c>
      <c r="AK60" s="100">
        <f t="shared" si="93"/>
        <v>0</v>
      </c>
      <c r="AL60" s="100">
        <f t="shared" si="93"/>
        <v>0</v>
      </c>
      <c r="AM60" s="100">
        <f t="shared" si="93"/>
        <v>0</v>
      </c>
      <c r="AN60" s="100">
        <f t="shared" si="93"/>
        <v>0</v>
      </c>
      <c r="AO60" s="100">
        <f t="shared" si="93"/>
        <v>0</v>
      </c>
      <c r="AP60" s="100">
        <f t="shared" si="93"/>
        <v>0</v>
      </c>
      <c r="AQ60" s="100">
        <f t="shared" si="93"/>
        <v>0</v>
      </c>
      <c r="AR60" s="100">
        <f t="shared" si="93"/>
        <v>0</v>
      </c>
      <c r="AS60" s="100">
        <f t="shared" si="93"/>
        <v>0</v>
      </c>
      <c r="AT60" s="100">
        <f t="shared" si="93"/>
        <v>0</v>
      </c>
      <c r="AU60" s="100">
        <f t="shared" ref="AU60" si="95">IFERROR($B60/AU12,0)</f>
        <v>0</v>
      </c>
      <c r="AV60" s="100">
        <f t="shared" si="93"/>
        <v>0</v>
      </c>
      <c r="AW60" s="100">
        <f t="shared" si="93"/>
        <v>0</v>
      </c>
      <c r="AX60" s="100">
        <f t="shared" si="93"/>
        <v>0</v>
      </c>
      <c r="AY60" s="100">
        <f t="shared" si="93"/>
        <v>0</v>
      </c>
      <c r="AZ60" s="100">
        <f t="shared" si="93"/>
        <v>0</v>
      </c>
      <c r="BA60" s="100">
        <f t="shared" si="93"/>
        <v>0</v>
      </c>
      <c r="BB60" s="100">
        <f t="shared" si="93"/>
        <v>0</v>
      </c>
    </row>
    <row r="61" spans="1:54" x14ac:dyDescent="0.25">
      <c r="A61" s="190" t="s">
        <v>1096</v>
      </c>
      <c r="B61" s="191">
        <v>1</v>
      </c>
      <c r="C61" s="100">
        <f t="shared" ref="C61:BB61" si="96">IFERROR($B61/C18,0)</f>
        <v>27294.087702000004</v>
      </c>
      <c r="D61" s="100">
        <f t="shared" si="96"/>
        <v>1506.3310500000002</v>
      </c>
      <c r="E61" s="100">
        <f t="shared" si="96"/>
        <v>688.81127700000002</v>
      </c>
      <c r="F61" s="100">
        <f t="shared" si="96"/>
        <v>570.98622</v>
      </c>
      <c r="G61" s="100">
        <f t="shared" si="96"/>
        <v>669.7258260000001</v>
      </c>
      <c r="H61" s="100">
        <f t="shared" si="96"/>
        <v>543.5410260000001</v>
      </c>
      <c r="I61" s="100">
        <f t="shared" si="96"/>
        <v>1398.1275840000003</v>
      </c>
      <c r="J61" s="100">
        <f t="shared" si="96"/>
        <v>496.06399499999998</v>
      </c>
      <c r="K61" s="100">
        <f t="shared" si="96"/>
        <v>5809.2327300000006</v>
      </c>
      <c r="L61" s="100">
        <f t="shared" si="96"/>
        <v>1059.321396</v>
      </c>
      <c r="M61" s="100">
        <f t="shared" si="96"/>
        <v>1414.058415</v>
      </c>
      <c r="N61" s="100">
        <f t="shared" si="96"/>
        <v>594.96133200000008</v>
      </c>
      <c r="O61" s="100">
        <f t="shared" si="96"/>
        <v>638.81055000000003</v>
      </c>
      <c r="P61" s="100">
        <f t="shared" si="96"/>
        <v>523.98238200000003</v>
      </c>
      <c r="Q61" s="100">
        <f t="shared" si="96"/>
        <v>367.04003700000004</v>
      </c>
      <c r="R61" s="100">
        <f t="shared" si="96"/>
        <v>2346.406356</v>
      </c>
      <c r="S61" s="100">
        <f t="shared" si="96"/>
        <v>1150.1744520000002</v>
      </c>
      <c r="T61" s="100">
        <f t="shared" si="96"/>
        <v>659.00011800000004</v>
      </c>
      <c r="U61" s="100">
        <f t="shared" ref="U61" si="97">IFERROR($B61/U18,0)</f>
        <v>329.184597</v>
      </c>
      <c r="V61" s="100">
        <f t="shared" si="96"/>
        <v>2239.6224690000004</v>
      </c>
      <c r="W61" s="100">
        <f t="shared" si="96"/>
        <v>1101.908766</v>
      </c>
      <c r="X61" s="100">
        <f t="shared" si="96"/>
        <v>982.50639900000021</v>
      </c>
      <c r="Y61" s="100">
        <f t="shared" si="96"/>
        <v>770.51593500000001</v>
      </c>
      <c r="Z61" s="100">
        <f t="shared" si="96"/>
        <v>1433.7747900000002</v>
      </c>
      <c r="AA61" s="100">
        <f t="shared" si="96"/>
        <v>1485.8260200000002</v>
      </c>
      <c r="AB61" s="100">
        <f t="shared" si="96"/>
        <v>1295.6024340000001</v>
      </c>
      <c r="AC61" s="100">
        <f t="shared" si="96"/>
        <v>44642.920391999993</v>
      </c>
      <c r="AD61" s="100">
        <f t="shared" si="96"/>
        <v>2665.1807070000004</v>
      </c>
      <c r="AE61" s="100">
        <f t="shared" si="96"/>
        <v>1131.5621940000003</v>
      </c>
      <c r="AF61" s="100">
        <f t="shared" si="96"/>
        <v>950.80246800000009</v>
      </c>
      <c r="AG61" s="100">
        <f t="shared" si="96"/>
        <v>1058.3750100000004</v>
      </c>
      <c r="AH61" s="100">
        <f t="shared" si="96"/>
        <v>984.39917100000014</v>
      </c>
      <c r="AI61" s="100">
        <f t="shared" si="96"/>
        <v>2183.785695</v>
      </c>
      <c r="AJ61" s="100">
        <f t="shared" si="96"/>
        <v>716.25647100000015</v>
      </c>
      <c r="AK61" s="100">
        <f t="shared" si="96"/>
        <v>9193.3513350000012</v>
      </c>
      <c r="AL61" s="100">
        <f t="shared" si="96"/>
        <v>2350.9805550000001</v>
      </c>
      <c r="AM61" s="100">
        <f t="shared" si="96"/>
        <v>1549.233882</v>
      </c>
      <c r="AN61" s="100">
        <f t="shared" si="96"/>
        <v>1000.1722710000001</v>
      </c>
      <c r="AO61" s="100">
        <f t="shared" si="96"/>
        <v>1013.1062129999999</v>
      </c>
      <c r="AP61" s="100">
        <f t="shared" si="96"/>
        <v>859.63395000000003</v>
      </c>
      <c r="AQ61" s="100">
        <f t="shared" si="96"/>
        <v>767.51904600000012</v>
      </c>
      <c r="AR61" s="100">
        <f t="shared" si="96"/>
        <v>3229.2267630000001</v>
      </c>
      <c r="AS61" s="100">
        <f t="shared" si="96"/>
        <v>1980.1549740000003</v>
      </c>
      <c r="AT61" s="100">
        <f t="shared" si="96"/>
        <v>943.86230400000011</v>
      </c>
      <c r="AU61" s="100">
        <f t="shared" ref="AU61" si="98">IFERROR($B61/AU18,0)</f>
        <v>675.87733500000002</v>
      </c>
      <c r="AV61" s="100">
        <f t="shared" si="96"/>
        <v>4050.2166180000013</v>
      </c>
      <c r="AW61" s="100">
        <f t="shared" si="96"/>
        <v>1803.0230610000001</v>
      </c>
      <c r="AX61" s="100">
        <f t="shared" si="96"/>
        <v>1597.1841060000002</v>
      </c>
      <c r="AY61" s="100">
        <f t="shared" si="96"/>
        <v>1218.7874370000002</v>
      </c>
      <c r="AZ61" s="100">
        <f t="shared" si="96"/>
        <v>2720.228826</v>
      </c>
      <c r="BA61" s="100">
        <f t="shared" si="96"/>
        <v>2537.7340590000003</v>
      </c>
      <c r="BB61" s="100">
        <f t="shared" si="96"/>
        <v>2501.4559290000007</v>
      </c>
    </row>
    <row r="62" spans="1:54" x14ac:dyDescent="0.25">
      <c r="A62" s="190" t="s">
        <v>1097</v>
      </c>
      <c r="B62" s="191">
        <v>1.339E-6</v>
      </c>
      <c r="C62" s="100">
        <f t="shared" ref="C62:BB62" si="99">IFERROR($B62/C27,0)</f>
        <v>0</v>
      </c>
      <c r="D62" s="100">
        <f t="shared" si="99"/>
        <v>0</v>
      </c>
      <c r="E62" s="100">
        <f t="shared" si="99"/>
        <v>0</v>
      </c>
      <c r="F62" s="100">
        <f t="shared" si="99"/>
        <v>0</v>
      </c>
      <c r="G62" s="100">
        <f t="shared" si="99"/>
        <v>0</v>
      </c>
      <c r="H62" s="100">
        <f t="shared" si="99"/>
        <v>0</v>
      </c>
      <c r="I62" s="100">
        <f t="shared" si="99"/>
        <v>0</v>
      </c>
      <c r="J62" s="100">
        <f t="shared" si="99"/>
        <v>0</v>
      </c>
      <c r="K62" s="100">
        <f t="shared" si="99"/>
        <v>0</v>
      </c>
      <c r="L62" s="100">
        <f t="shared" si="99"/>
        <v>0</v>
      </c>
      <c r="M62" s="100">
        <f t="shared" si="99"/>
        <v>0</v>
      </c>
      <c r="N62" s="100">
        <f t="shared" si="99"/>
        <v>0</v>
      </c>
      <c r="O62" s="100">
        <f t="shared" si="99"/>
        <v>0</v>
      </c>
      <c r="P62" s="100">
        <f t="shared" si="99"/>
        <v>0</v>
      </c>
      <c r="Q62" s="100">
        <f t="shared" si="99"/>
        <v>0</v>
      </c>
      <c r="R62" s="100">
        <f t="shared" si="99"/>
        <v>0</v>
      </c>
      <c r="S62" s="100">
        <f t="shared" si="99"/>
        <v>0</v>
      </c>
      <c r="T62" s="100">
        <f t="shared" si="99"/>
        <v>0</v>
      </c>
      <c r="U62" s="100">
        <f t="shared" ref="U62" si="100">IFERROR($B62/U27,0)</f>
        <v>0</v>
      </c>
      <c r="V62" s="100">
        <f t="shared" si="99"/>
        <v>0</v>
      </c>
      <c r="W62" s="100">
        <f t="shared" si="99"/>
        <v>0</v>
      </c>
      <c r="X62" s="100">
        <f t="shared" si="99"/>
        <v>0</v>
      </c>
      <c r="Y62" s="100">
        <f t="shared" si="99"/>
        <v>0</v>
      </c>
      <c r="Z62" s="100">
        <f t="shared" si="99"/>
        <v>0</v>
      </c>
      <c r="AA62" s="100">
        <f t="shared" si="99"/>
        <v>0</v>
      </c>
      <c r="AB62" s="100">
        <f t="shared" si="99"/>
        <v>0</v>
      </c>
      <c r="AC62" s="100">
        <f t="shared" si="99"/>
        <v>0</v>
      </c>
      <c r="AD62" s="100">
        <f t="shared" si="99"/>
        <v>0</v>
      </c>
      <c r="AE62" s="100">
        <f t="shared" si="99"/>
        <v>0</v>
      </c>
      <c r="AF62" s="100">
        <f t="shared" si="99"/>
        <v>0</v>
      </c>
      <c r="AG62" s="100">
        <f t="shared" si="99"/>
        <v>0</v>
      </c>
      <c r="AH62" s="100">
        <f t="shared" si="99"/>
        <v>0</v>
      </c>
      <c r="AI62" s="100">
        <f t="shared" si="99"/>
        <v>0</v>
      </c>
      <c r="AJ62" s="100">
        <f t="shared" si="99"/>
        <v>0</v>
      </c>
      <c r="AK62" s="100">
        <f t="shared" si="99"/>
        <v>0</v>
      </c>
      <c r="AL62" s="100">
        <f t="shared" si="99"/>
        <v>0</v>
      </c>
      <c r="AM62" s="100">
        <f t="shared" si="99"/>
        <v>0</v>
      </c>
      <c r="AN62" s="100">
        <f t="shared" si="99"/>
        <v>0</v>
      </c>
      <c r="AO62" s="100">
        <f t="shared" si="99"/>
        <v>0</v>
      </c>
      <c r="AP62" s="100">
        <f t="shared" si="99"/>
        <v>0</v>
      </c>
      <c r="AQ62" s="100">
        <f t="shared" si="99"/>
        <v>0</v>
      </c>
      <c r="AR62" s="100">
        <f t="shared" si="99"/>
        <v>0</v>
      </c>
      <c r="AS62" s="100">
        <f t="shared" si="99"/>
        <v>0</v>
      </c>
      <c r="AT62" s="100">
        <f t="shared" si="99"/>
        <v>0</v>
      </c>
      <c r="AU62" s="100">
        <f t="shared" ref="AU62" si="101">IFERROR($B62/AU27,0)</f>
        <v>0</v>
      </c>
      <c r="AV62" s="100">
        <f t="shared" si="99"/>
        <v>0</v>
      </c>
      <c r="AW62" s="100">
        <f t="shared" si="99"/>
        <v>0</v>
      </c>
      <c r="AX62" s="100">
        <f t="shared" si="99"/>
        <v>0</v>
      </c>
      <c r="AY62" s="100">
        <f t="shared" si="99"/>
        <v>0</v>
      </c>
      <c r="AZ62" s="100">
        <f t="shared" si="99"/>
        <v>0</v>
      </c>
      <c r="BA62" s="100">
        <f t="shared" si="99"/>
        <v>0</v>
      </c>
      <c r="BB62" s="100">
        <f t="shared" si="99"/>
        <v>0</v>
      </c>
    </row>
    <row r="63" spans="1:54" x14ac:dyDescent="0.25">
      <c r="A63" s="95" t="s">
        <v>35</v>
      </c>
      <c r="B63" s="95" t="s">
        <v>1071</v>
      </c>
      <c r="C63" s="96">
        <f t="shared" ref="C63" si="102">IFERROR(1/SUM(1/D63,1/E63,1/F63,1/G63,1/H63,1/I63,1/J63,1/K63,1/L63,1/M63,1/N63,1/O63,1/P63,1/Q63,1/R63,1/S63,1/T63,1/U63,1/V63,1/W63,1/X63,1/Y63,1/Z63),".")</f>
        <v>2.3973332882150087E-5</v>
      </c>
      <c r="D63" s="96">
        <f t="shared" ref="D63:AB63" si="103">IFERROR(1/SUM(D64:D76),0)</f>
        <v>4.3438675063801213E-4</v>
      </c>
      <c r="E63" s="96">
        <f t="shared" si="103"/>
        <v>9.49941256833757E-4</v>
      </c>
      <c r="F63" s="96">
        <f t="shared" si="103"/>
        <v>1.1459650465726564E-3</v>
      </c>
      <c r="G63" s="96">
        <f t="shared" si="103"/>
        <v>9.7701212166580696E-4</v>
      </c>
      <c r="H63" s="96">
        <f t="shared" si="103"/>
        <v>1.2038286327896157E-3</v>
      </c>
      <c r="I63" s="96">
        <f t="shared" si="103"/>
        <v>4.6800467831599907E-4</v>
      </c>
      <c r="J63" s="96">
        <f t="shared" si="103"/>
        <v>1.3190440281694808E-3</v>
      </c>
      <c r="K63" s="96">
        <f t="shared" si="103"/>
        <v>1.1263626034735316E-4</v>
      </c>
      <c r="L63" s="96">
        <f t="shared" si="103"/>
        <v>6.1768812814071118E-4</v>
      </c>
      <c r="M63" s="96">
        <f t="shared" si="103"/>
        <v>4.6273212142699572E-4</v>
      </c>
      <c r="N63" s="96">
        <f t="shared" si="103"/>
        <v>1.0997861793724858E-3</v>
      </c>
      <c r="O63" s="96">
        <f t="shared" si="103"/>
        <v>1.024294683603214E-3</v>
      </c>
      <c r="P63" s="96">
        <f t="shared" si="103"/>
        <v>1.2487638376258328E-3</v>
      </c>
      <c r="Q63" s="96">
        <f t="shared" si="103"/>
        <v>1.7827217312389415E-3</v>
      </c>
      <c r="R63" s="96">
        <f t="shared" si="103"/>
        <v>2.788648473106357E-4</v>
      </c>
      <c r="S63" s="96">
        <f t="shared" si="103"/>
        <v>5.6889652613727594E-4</v>
      </c>
      <c r="T63" s="96">
        <f t="shared" si="103"/>
        <v>9.9291370717879772E-4</v>
      </c>
      <c r="U63" s="96">
        <f t="shared" ref="U63" si="104">IFERROR(1/SUM(U64:U76),0)</f>
        <v>1.9877304593162513E-3</v>
      </c>
      <c r="V63" s="96">
        <f t="shared" si="103"/>
        <v>2.9216095982766502E-4</v>
      </c>
      <c r="W63" s="96">
        <f t="shared" si="103"/>
        <v>5.9381526890824748E-4</v>
      </c>
      <c r="X63" s="96">
        <f t="shared" si="103"/>
        <v>6.6598064995874388E-4</v>
      </c>
      <c r="Y63" s="96">
        <f t="shared" si="103"/>
        <v>8.4921053604770046E-4</v>
      </c>
      <c r="Z63" s="96">
        <f t="shared" si="103"/>
        <v>4.5636891843707549E-4</v>
      </c>
      <c r="AA63" s="96">
        <f t="shared" si="103"/>
        <v>4.4038147224978935E-4</v>
      </c>
      <c r="AB63" s="96">
        <f t="shared" si="103"/>
        <v>5.0503938015498127E-4</v>
      </c>
      <c r="AC63" s="96">
        <f t="shared" ref="AC63" si="105">IFERROR(1/SUM(1/AD63,1/AE63,1/AF63,1/AG63,1/AH63,1/AI63,1/AJ63,1/AK63,1/AL63,1/AM63,1/AN63,1/AO63,1/AP63,1/AQ63,1/AR63,1/AS63,1/AT63,1/AU63,1/AV63,1/AW63,1/AX63,1/AY63,1/AZ63),".")</f>
        <v>1.4656976838636679E-5</v>
      </c>
      <c r="AD63" s="96">
        <f t="shared" ref="AD63:BB63" si="106">IFERROR(1/SUM(AD64:AD76),0)</f>
        <v>2.4551065091986841E-4</v>
      </c>
      <c r="AE63" s="96">
        <f t="shared" si="106"/>
        <v>5.7825389860510399E-4</v>
      </c>
      <c r="AF63" s="96">
        <f t="shared" si="106"/>
        <v>6.8818737037044074E-4</v>
      </c>
      <c r="AG63" s="96">
        <f t="shared" si="106"/>
        <v>6.1824045731639573E-4</v>
      </c>
      <c r="AH63" s="96">
        <f t="shared" si="106"/>
        <v>6.6470012315222188E-4</v>
      </c>
      <c r="AI63" s="96">
        <f t="shared" si="106"/>
        <v>2.9963116421762492E-4</v>
      </c>
      <c r="AJ63" s="96">
        <f t="shared" si="106"/>
        <v>9.1354183408786976E-4</v>
      </c>
      <c r="AK63" s="96">
        <f t="shared" si="106"/>
        <v>7.1174289587252581E-5</v>
      </c>
      <c r="AL63" s="96">
        <f t="shared" si="106"/>
        <v>2.7832227229741813E-4</v>
      </c>
      <c r="AM63" s="96">
        <f t="shared" si="106"/>
        <v>4.2235730692252255E-4</v>
      </c>
      <c r="AN63" s="96">
        <f t="shared" si="106"/>
        <v>6.5421754748352251E-4</v>
      </c>
      <c r="AO63" s="96">
        <f t="shared" si="106"/>
        <v>6.4586540068395099E-4</v>
      </c>
      <c r="AP63" s="96">
        <f t="shared" si="106"/>
        <v>7.6117311350330579E-4</v>
      </c>
      <c r="AQ63" s="96">
        <f t="shared" si="106"/>
        <v>8.5252640127271193E-4</v>
      </c>
      <c r="AR63" s="96">
        <f t="shared" si="106"/>
        <v>2.026275322909694E-4</v>
      </c>
      <c r="AS63" s="96">
        <f t="shared" si="106"/>
        <v>3.3044395958204689E-4</v>
      </c>
      <c r="AT63" s="96">
        <f t="shared" si="106"/>
        <v>6.9324757162316452E-4</v>
      </c>
      <c r="AU63" s="96">
        <f t="shared" ref="AU63" si="107">IFERROR(1/SUM(AU64:AU76),0)</f>
        <v>9.6811982930992231E-4</v>
      </c>
      <c r="AV63" s="96">
        <f t="shared" si="106"/>
        <v>1.6155438385361071E-4</v>
      </c>
      <c r="AW63" s="96">
        <f t="shared" si="106"/>
        <v>3.6290731069836551E-4</v>
      </c>
      <c r="AX63" s="96">
        <f t="shared" si="106"/>
        <v>4.0967741147472024E-4</v>
      </c>
      <c r="AY63" s="96">
        <f t="shared" si="106"/>
        <v>5.3686986781325435E-4</v>
      </c>
      <c r="AZ63" s="96">
        <f t="shared" si="106"/>
        <v>2.4054235582703334E-4</v>
      </c>
      <c r="BA63" s="96">
        <f t="shared" si="106"/>
        <v>2.578403548134139E-4</v>
      </c>
      <c r="BB63" s="96">
        <f t="shared" si="106"/>
        <v>2.6157976345248858E-4</v>
      </c>
    </row>
    <row r="64" spans="1:54" x14ac:dyDescent="0.25">
      <c r="A64" s="190" t="s">
        <v>1087</v>
      </c>
      <c r="B64" s="191">
        <v>1</v>
      </c>
      <c r="C64" s="100">
        <f t="shared" ref="C64:BB64" si="108">IFERROR($B64/C25,0)</f>
        <v>0</v>
      </c>
      <c r="D64" s="100">
        <f t="shared" si="108"/>
        <v>0</v>
      </c>
      <c r="E64" s="100">
        <f t="shared" si="108"/>
        <v>0</v>
      </c>
      <c r="F64" s="100">
        <f t="shared" si="108"/>
        <v>0</v>
      </c>
      <c r="G64" s="100">
        <f t="shared" si="108"/>
        <v>0</v>
      </c>
      <c r="H64" s="100">
        <f t="shared" si="108"/>
        <v>0</v>
      </c>
      <c r="I64" s="100">
        <f t="shared" si="108"/>
        <v>0</v>
      </c>
      <c r="J64" s="100">
        <f t="shared" si="108"/>
        <v>0</v>
      </c>
      <c r="K64" s="100">
        <f t="shared" si="108"/>
        <v>0</v>
      </c>
      <c r="L64" s="100">
        <f t="shared" si="108"/>
        <v>0</v>
      </c>
      <c r="M64" s="100">
        <f t="shared" si="108"/>
        <v>0</v>
      </c>
      <c r="N64" s="100">
        <f t="shared" si="108"/>
        <v>0</v>
      </c>
      <c r="O64" s="100">
        <f t="shared" si="108"/>
        <v>0</v>
      </c>
      <c r="P64" s="100">
        <f t="shared" si="108"/>
        <v>0</v>
      </c>
      <c r="Q64" s="100">
        <f t="shared" si="108"/>
        <v>0</v>
      </c>
      <c r="R64" s="100">
        <f t="shared" si="108"/>
        <v>0</v>
      </c>
      <c r="S64" s="100">
        <f t="shared" si="108"/>
        <v>0</v>
      </c>
      <c r="T64" s="100">
        <f t="shared" si="108"/>
        <v>0</v>
      </c>
      <c r="U64" s="100">
        <f t="shared" ref="U64" si="109">IFERROR($B64/U25,0)</f>
        <v>0</v>
      </c>
      <c r="V64" s="100">
        <f t="shared" si="108"/>
        <v>0</v>
      </c>
      <c r="W64" s="100">
        <f t="shared" si="108"/>
        <v>0</v>
      </c>
      <c r="X64" s="100">
        <f t="shared" si="108"/>
        <v>0</v>
      </c>
      <c r="Y64" s="100">
        <f t="shared" si="108"/>
        <v>0</v>
      </c>
      <c r="Z64" s="100">
        <f t="shared" si="108"/>
        <v>0</v>
      </c>
      <c r="AA64" s="100">
        <f t="shared" si="108"/>
        <v>0</v>
      </c>
      <c r="AB64" s="100">
        <f t="shared" si="108"/>
        <v>0</v>
      </c>
      <c r="AC64" s="100">
        <f t="shared" si="108"/>
        <v>0</v>
      </c>
      <c r="AD64" s="100">
        <f t="shared" si="108"/>
        <v>0</v>
      </c>
      <c r="AE64" s="100">
        <f t="shared" si="108"/>
        <v>0</v>
      </c>
      <c r="AF64" s="100">
        <f t="shared" si="108"/>
        <v>0</v>
      </c>
      <c r="AG64" s="100">
        <f t="shared" si="108"/>
        <v>0</v>
      </c>
      <c r="AH64" s="100">
        <f t="shared" si="108"/>
        <v>0</v>
      </c>
      <c r="AI64" s="100">
        <f t="shared" si="108"/>
        <v>0</v>
      </c>
      <c r="AJ64" s="100">
        <f t="shared" si="108"/>
        <v>0</v>
      </c>
      <c r="AK64" s="100">
        <f t="shared" si="108"/>
        <v>0</v>
      </c>
      <c r="AL64" s="100">
        <f t="shared" si="108"/>
        <v>0</v>
      </c>
      <c r="AM64" s="100">
        <f t="shared" si="108"/>
        <v>0</v>
      </c>
      <c r="AN64" s="100">
        <f t="shared" si="108"/>
        <v>0</v>
      </c>
      <c r="AO64" s="100">
        <f t="shared" si="108"/>
        <v>0</v>
      </c>
      <c r="AP64" s="100">
        <f t="shared" si="108"/>
        <v>0</v>
      </c>
      <c r="AQ64" s="100">
        <f t="shared" si="108"/>
        <v>0</v>
      </c>
      <c r="AR64" s="100">
        <f t="shared" si="108"/>
        <v>0</v>
      </c>
      <c r="AS64" s="100">
        <f t="shared" si="108"/>
        <v>0</v>
      </c>
      <c r="AT64" s="100">
        <f t="shared" si="108"/>
        <v>0</v>
      </c>
      <c r="AU64" s="100">
        <f t="shared" ref="AU64" si="110">IFERROR($B64/AU25,0)</f>
        <v>0</v>
      </c>
      <c r="AV64" s="100">
        <f t="shared" si="108"/>
        <v>0</v>
      </c>
      <c r="AW64" s="100">
        <f t="shared" si="108"/>
        <v>0</v>
      </c>
      <c r="AX64" s="100">
        <f t="shared" si="108"/>
        <v>0</v>
      </c>
      <c r="AY64" s="100">
        <f t="shared" si="108"/>
        <v>0</v>
      </c>
      <c r="AZ64" s="100">
        <f t="shared" si="108"/>
        <v>0</v>
      </c>
      <c r="BA64" s="100">
        <f t="shared" si="108"/>
        <v>0</v>
      </c>
      <c r="BB64" s="100">
        <f t="shared" si="108"/>
        <v>0</v>
      </c>
    </row>
    <row r="65" spans="1:54" x14ac:dyDescent="0.25">
      <c r="A65" s="190" t="s">
        <v>1073</v>
      </c>
      <c r="B65" s="191">
        <v>1</v>
      </c>
      <c r="C65" s="100">
        <f t="shared" ref="C65:BB65" si="111">IFERROR($B65/C21,0)</f>
        <v>0</v>
      </c>
      <c r="D65" s="100">
        <f t="shared" si="111"/>
        <v>0</v>
      </c>
      <c r="E65" s="100">
        <f t="shared" si="111"/>
        <v>0</v>
      </c>
      <c r="F65" s="100">
        <f t="shared" si="111"/>
        <v>0</v>
      </c>
      <c r="G65" s="100">
        <f t="shared" si="111"/>
        <v>0</v>
      </c>
      <c r="H65" s="100">
        <f t="shared" si="111"/>
        <v>0</v>
      </c>
      <c r="I65" s="100">
        <f t="shared" si="111"/>
        <v>0</v>
      </c>
      <c r="J65" s="100">
        <f t="shared" si="111"/>
        <v>0</v>
      </c>
      <c r="K65" s="100">
        <f t="shared" si="111"/>
        <v>0</v>
      </c>
      <c r="L65" s="100">
        <f t="shared" si="111"/>
        <v>0</v>
      </c>
      <c r="M65" s="100">
        <f t="shared" si="111"/>
        <v>0</v>
      </c>
      <c r="N65" s="100">
        <f t="shared" si="111"/>
        <v>0</v>
      </c>
      <c r="O65" s="100">
        <f t="shared" si="111"/>
        <v>0</v>
      </c>
      <c r="P65" s="100">
        <f t="shared" si="111"/>
        <v>0</v>
      </c>
      <c r="Q65" s="100">
        <f t="shared" si="111"/>
        <v>0</v>
      </c>
      <c r="R65" s="100">
        <f t="shared" si="111"/>
        <v>0</v>
      </c>
      <c r="S65" s="100">
        <f t="shared" si="111"/>
        <v>0</v>
      </c>
      <c r="T65" s="100">
        <f t="shared" si="111"/>
        <v>0</v>
      </c>
      <c r="U65" s="100">
        <f t="shared" ref="U65" si="112">IFERROR($B65/U21,0)</f>
        <v>0</v>
      </c>
      <c r="V65" s="100">
        <f t="shared" si="111"/>
        <v>0</v>
      </c>
      <c r="W65" s="100">
        <f t="shared" si="111"/>
        <v>0</v>
      </c>
      <c r="X65" s="100">
        <f t="shared" si="111"/>
        <v>0</v>
      </c>
      <c r="Y65" s="100">
        <f t="shared" si="111"/>
        <v>0</v>
      </c>
      <c r="Z65" s="100">
        <f t="shared" si="111"/>
        <v>0</v>
      </c>
      <c r="AA65" s="100">
        <f t="shared" si="111"/>
        <v>0</v>
      </c>
      <c r="AB65" s="100">
        <f t="shared" si="111"/>
        <v>0</v>
      </c>
      <c r="AC65" s="100">
        <f t="shared" si="111"/>
        <v>0</v>
      </c>
      <c r="AD65" s="100">
        <f t="shared" si="111"/>
        <v>0</v>
      </c>
      <c r="AE65" s="100">
        <f t="shared" si="111"/>
        <v>0</v>
      </c>
      <c r="AF65" s="100">
        <f t="shared" si="111"/>
        <v>0</v>
      </c>
      <c r="AG65" s="100">
        <f t="shared" si="111"/>
        <v>0</v>
      </c>
      <c r="AH65" s="100">
        <f t="shared" si="111"/>
        <v>0</v>
      </c>
      <c r="AI65" s="100">
        <f t="shared" si="111"/>
        <v>0</v>
      </c>
      <c r="AJ65" s="100">
        <f t="shared" si="111"/>
        <v>0</v>
      </c>
      <c r="AK65" s="100">
        <f t="shared" si="111"/>
        <v>0</v>
      </c>
      <c r="AL65" s="100">
        <f t="shared" si="111"/>
        <v>0</v>
      </c>
      <c r="AM65" s="100">
        <f t="shared" si="111"/>
        <v>0</v>
      </c>
      <c r="AN65" s="100">
        <f t="shared" si="111"/>
        <v>0</v>
      </c>
      <c r="AO65" s="100">
        <f t="shared" si="111"/>
        <v>0</v>
      </c>
      <c r="AP65" s="100">
        <f t="shared" si="111"/>
        <v>0</v>
      </c>
      <c r="AQ65" s="100">
        <f t="shared" si="111"/>
        <v>0</v>
      </c>
      <c r="AR65" s="100">
        <f t="shared" si="111"/>
        <v>0</v>
      </c>
      <c r="AS65" s="100">
        <f t="shared" si="111"/>
        <v>0</v>
      </c>
      <c r="AT65" s="100">
        <f t="shared" si="111"/>
        <v>0</v>
      </c>
      <c r="AU65" s="100">
        <f t="shared" ref="AU65" si="113">IFERROR($B65/AU21,0)</f>
        <v>0</v>
      </c>
      <c r="AV65" s="100">
        <f t="shared" si="111"/>
        <v>0</v>
      </c>
      <c r="AW65" s="100">
        <f t="shared" si="111"/>
        <v>0</v>
      </c>
      <c r="AX65" s="100">
        <f t="shared" si="111"/>
        <v>0</v>
      </c>
      <c r="AY65" s="100">
        <f t="shared" si="111"/>
        <v>0</v>
      </c>
      <c r="AZ65" s="100">
        <f t="shared" si="111"/>
        <v>0</v>
      </c>
      <c r="BA65" s="100">
        <f t="shared" si="111"/>
        <v>0</v>
      </c>
      <c r="BB65" s="100">
        <f t="shared" si="111"/>
        <v>0</v>
      </c>
    </row>
    <row r="66" spans="1:54" x14ac:dyDescent="0.25">
      <c r="A66" s="190" t="s">
        <v>1074</v>
      </c>
      <c r="B66" s="193">
        <v>0.99980000000000002</v>
      </c>
      <c r="C66" s="100">
        <f t="shared" ref="C66:BB66" si="114">IFERROR($B66/C17,0)</f>
        <v>5.8699677895964015</v>
      </c>
      <c r="D66" s="100">
        <f t="shared" si="114"/>
        <v>0.32395714561000005</v>
      </c>
      <c r="E66" s="100">
        <f t="shared" si="114"/>
        <v>0.14813830941140002</v>
      </c>
      <c r="F66" s="100">
        <f t="shared" si="114"/>
        <v>0.12279841540400004</v>
      </c>
      <c r="G66" s="100">
        <f t="shared" si="114"/>
        <v>0.14403372149320001</v>
      </c>
      <c r="H66" s="100">
        <f t="shared" si="114"/>
        <v>0.11689595013320002</v>
      </c>
      <c r="I66" s="100">
        <f t="shared" si="114"/>
        <v>0.30068650666880004</v>
      </c>
      <c r="J66" s="100">
        <f t="shared" si="114"/>
        <v>0.10668536365900001</v>
      </c>
      <c r="K66" s="100">
        <f t="shared" si="114"/>
        <v>1.2493551489860002</v>
      </c>
      <c r="L66" s="100">
        <f t="shared" si="114"/>
        <v>0.22782159056720003</v>
      </c>
      <c r="M66" s="100">
        <f t="shared" si="114"/>
        <v>0.30411265030300005</v>
      </c>
      <c r="N66" s="100">
        <f t="shared" si="114"/>
        <v>0.1279545919624</v>
      </c>
      <c r="O66" s="100">
        <f t="shared" si="114"/>
        <v>0.13738496751000001</v>
      </c>
      <c r="P66" s="100">
        <f t="shared" si="114"/>
        <v>0.11268959557240002</v>
      </c>
      <c r="Q66" s="100">
        <f t="shared" si="114"/>
        <v>7.8936992443400023E-2</v>
      </c>
      <c r="R66" s="100">
        <f t="shared" si="114"/>
        <v>0.50462685843920008</v>
      </c>
      <c r="S66" s="100">
        <f t="shared" si="114"/>
        <v>0.24736078594640007</v>
      </c>
      <c r="T66" s="100">
        <f t="shared" si="114"/>
        <v>0.14172701092760001</v>
      </c>
      <c r="U66" s="100">
        <f t="shared" ref="U66" si="115">IFERROR($B66/U17,0)</f>
        <v>7.0795661035399998E-2</v>
      </c>
      <c r="V66" s="100">
        <f t="shared" si="114"/>
        <v>0.48166151942580004</v>
      </c>
      <c r="W66" s="100">
        <f t="shared" si="114"/>
        <v>0.23698058840120001</v>
      </c>
      <c r="X66" s="100">
        <f t="shared" si="114"/>
        <v>0.21130147225180007</v>
      </c>
      <c r="Y66" s="100">
        <f t="shared" si="114"/>
        <v>0.16571001636700003</v>
      </c>
      <c r="Z66" s="100">
        <f t="shared" si="114"/>
        <v>0.30835292707800005</v>
      </c>
      <c r="AA66" s="100">
        <f t="shared" si="114"/>
        <v>0.31954725776400006</v>
      </c>
      <c r="AB66" s="100">
        <f t="shared" si="114"/>
        <v>0.27863706743880007</v>
      </c>
      <c r="AC66" s="100">
        <f t="shared" si="114"/>
        <v>9.601072129454403</v>
      </c>
      <c r="AD66" s="100">
        <f t="shared" si="114"/>
        <v>0.57318365333740007</v>
      </c>
      <c r="AE66" s="100">
        <f t="shared" si="114"/>
        <v>0.24335796467080006</v>
      </c>
      <c r="AF66" s="100">
        <f t="shared" si="114"/>
        <v>0.20448310719760004</v>
      </c>
      <c r="AG66" s="100">
        <f t="shared" si="114"/>
        <v>0.22761805728200005</v>
      </c>
      <c r="AH66" s="100">
        <f t="shared" si="114"/>
        <v>0.21170853882220003</v>
      </c>
      <c r="AI66" s="100">
        <f t="shared" si="114"/>
        <v>0.46965305559900006</v>
      </c>
      <c r="AJ66" s="100">
        <f t="shared" si="114"/>
        <v>0.15404077468220004</v>
      </c>
      <c r="AK66" s="100">
        <f t="shared" si="114"/>
        <v>1.9771562546470003</v>
      </c>
      <c r="AL66" s="100">
        <f t="shared" si="114"/>
        <v>0.50561060265100011</v>
      </c>
      <c r="AM66" s="100">
        <f t="shared" si="114"/>
        <v>0.33318398787240006</v>
      </c>
      <c r="AN66" s="100">
        <f t="shared" si="114"/>
        <v>0.21510076024220004</v>
      </c>
      <c r="AO66" s="100">
        <f t="shared" si="114"/>
        <v>0.21788238180660005</v>
      </c>
      <c r="AP66" s="100">
        <f t="shared" si="114"/>
        <v>0.18487606739000001</v>
      </c>
      <c r="AQ66" s="100">
        <f t="shared" si="114"/>
        <v>0.16506549429720002</v>
      </c>
      <c r="AR66" s="100">
        <f t="shared" si="114"/>
        <v>0.69448949131660009</v>
      </c>
      <c r="AS66" s="100">
        <f t="shared" si="114"/>
        <v>0.42585947706680005</v>
      </c>
      <c r="AT66" s="100">
        <f t="shared" si="114"/>
        <v>0.20299052977280005</v>
      </c>
      <c r="AU66" s="100">
        <f t="shared" ref="AU66" si="116">IFERROR($B66/AU17,0)</f>
        <v>0.14535668784700004</v>
      </c>
      <c r="AV66" s="100">
        <f t="shared" si="114"/>
        <v>0.87105461622760028</v>
      </c>
      <c r="AW66" s="100">
        <f t="shared" si="114"/>
        <v>0.38776483052020005</v>
      </c>
      <c r="AX66" s="100">
        <f t="shared" si="114"/>
        <v>0.34349634098920007</v>
      </c>
      <c r="AY66" s="100">
        <f t="shared" si="114"/>
        <v>0.2621169491234</v>
      </c>
      <c r="AZ66" s="100">
        <f t="shared" si="114"/>
        <v>0.58502250609320006</v>
      </c>
      <c r="BA66" s="100">
        <f t="shared" si="114"/>
        <v>0.54577450426380003</v>
      </c>
      <c r="BB66" s="100">
        <f t="shared" si="114"/>
        <v>0.53797239499780003</v>
      </c>
    </row>
    <row r="67" spans="1:54" x14ac:dyDescent="0.25">
      <c r="A67" s="190" t="s">
        <v>1088</v>
      </c>
      <c r="B67" s="191">
        <v>2.0000000000000001E-4</v>
      </c>
      <c r="C67" s="100">
        <f t="shared" ref="C67:BB67" si="117">IFERROR($B67/C5,0)</f>
        <v>0</v>
      </c>
      <c r="D67" s="100">
        <f t="shared" si="117"/>
        <v>0</v>
      </c>
      <c r="E67" s="100">
        <f t="shared" si="117"/>
        <v>0</v>
      </c>
      <c r="F67" s="100">
        <f t="shared" si="117"/>
        <v>0</v>
      </c>
      <c r="G67" s="100">
        <f t="shared" si="117"/>
        <v>0</v>
      </c>
      <c r="H67" s="100">
        <f t="shared" si="117"/>
        <v>0</v>
      </c>
      <c r="I67" s="100">
        <f t="shared" si="117"/>
        <v>0</v>
      </c>
      <c r="J67" s="100">
        <f t="shared" si="117"/>
        <v>0</v>
      </c>
      <c r="K67" s="100">
        <f t="shared" si="117"/>
        <v>0</v>
      </c>
      <c r="L67" s="100">
        <f t="shared" si="117"/>
        <v>0</v>
      </c>
      <c r="M67" s="100">
        <f t="shared" si="117"/>
        <v>0</v>
      </c>
      <c r="N67" s="100">
        <f t="shared" si="117"/>
        <v>0</v>
      </c>
      <c r="O67" s="100">
        <f t="shared" si="117"/>
        <v>0</v>
      </c>
      <c r="P67" s="100">
        <f t="shared" si="117"/>
        <v>0</v>
      </c>
      <c r="Q67" s="100">
        <f t="shared" si="117"/>
        <v>0</v>
      </c>
      <c r="R67" s="100">
        <f t="shared" si="117"/>
        <v>0</v>
      </c>
      <c r="S67" s="100">
        <f t="shared" si="117"/>
        <v>0</v>
      </c>
      <c r="T67" s="100">
        <f t="shared" si="117"/>
        <v>0</v>
      </c>
      <c r="U67" s="100">
        <f t="shared" ref="U67" si="118">IFERROR($B67/U5,0)</f>
        <v>0</v>
      </c>
      <c r="V67" s="100">
        <f t="shared" si="117"/>
        <v>0</v>
      </c>
      <c r="W67" s="100">
        <f t="shared" si="117"/>
        <v>0</v>
      </c>
      <c r="X67" s="100">
        <f t="shared" si="117"/>
        <v>0</v>
      </c>
      <c r="Y67" s="100">
        <f t="shared" si="117"/>
        <v>0</v>
      </c>
      <c r="Z67" s="100">
        <f t="shared" si="117"/>
        <v>0</v>
      </c>
      <c r="AA67" s="100">
        <f t="shared" si="117"/>
        <v>0</v>
      </c>
      <c r="AB67" s="100">
        <f t="shared" si="117"/>
        <v>0</v>
      </c>
      <c r="AC67" s="100">
        <f t="shared" si="117"/>
        <v>0</v>
      </c>
      <c r="AD67" s="100">
        <f t="shared" si="117"/>
        <v>0</v>
      </c>
      <c r="AE67" s="100">
        <f t="shared" si="117"/>
        <v>0</v>
      </c>
      <c r="AF67" s="100">
        <f t="shared" si="117"/>
        <v>0</v>
      </c>
      <c r="AG67" s="100">
        <f t="shared" si="117"/>
        <v>0</v>
      </c>
      <c r="AH67" s="100">
        <f t="shared" si="117"/>
        <v>0</v>
      </c>
      <c r="AI67" s="100">
        <f t="shared" si="117"/>
        <v>0</v>
      </c>
      <c r="AJ67" s="100">
        <f t="shared" si="117"/>
        <v>0</v>
      </c>
      <c r="AK67" s="100">
        <f t="shared" si="117"/>
        <v>0</v>
      </c>
      <c r="AL67" s="100">
        <f t="shared" si="117"/>
        <v>0</v>
      </c>
      <c r="AM67" s="100">
        <f t="shared" si="117"/>
        <v>0</v>
      </c>
      <c r="AN67" s="100">
        <f t="shared" si="117"/>
        <v>0</v>
      </c>
      <c r="AO67" s="100">
        <f t="shared" si="117"/>
        <v>0</v>
      </c>
      <c r="AP67" s="100">
        <f t="shared" si="117"/>
        <v>0</v>
      </c>
      <c r="AQ67" s="100">
        <f t="shared" si="117"/>
        <v>0</v>
      </c>
      <c r="AR67" s="100">
        <f t="shared" si="117"/>
        <v>0</v>
      </c>
      <c r="AS67" s="100">
        <f t="shared" si="117"/>
        <v>0</v>
      </c>
      <c r="AT67" s="100">
        <f t="shared" si="117"/>
        <v>0</v>
      </c>
      <c r="AU67" s="100">
        <f t="shared" ref="AU67" si="119">IFERROR($B67/AU5,0)</f>
        <v>0</v>
      </c>
      <c r="AV67" s="100">
        <f t="shared" si="117"/>
        <v>0</v>
      </c>
      <c r="AW67" s="100">
        <f t="shared" si="117"/>
        <v>0</v>
      </c>
      <c r="AX67" s="100">
        <f t="shared" si="117"/>
        <v>0</v>
      </c>
      <c r="AY67" s="100">
        <f t="shared" si="117"/>
        <v>0</v>
      </c>
      <c r="AZ67" s="100">
        <f t="shared" si="117"/>
        <v>0</v>
      </c>
      <c r="BA67" s="100">
        <f t="shared" si="117"/>
        <v>0</v>
      </c>
      <c r="BB67" s="100">
        <f t="shared" si="117"/>
        <v>0</v>
      </c>
    </row>
    <row r="68" spans="1:54" x14ac:dyDescent="0.25">
      <c r="A68" s="190" t="s">
        <v>1089</v>
      </c>
      <c r="B68" s="191">
        <v>0.99999979999999999</v>
      </c>
      <c r="C68" s="100">
        <f t="shared" ref="C68:BB68" si="120">IFERROR($B68/C9,0)</f>
        <v>3.2134412099116298</v>
      </c>
      <c r="D68" s="100">
        <f t="shared" si="120"/>
        <v>0.17734632953072701</v>
      </c>
      <c r="E68" s="100">
        <f t="shared" si="120"/>
        <v>8.1096483880699996E-2</v>
      </c>
      <c r="F68" s="100">
        <f t="shared" si="120"/>
        <v>6.7224472555102818E-2</v>
      </c>
      <c r="G68" s="100">
        <f t="shared" si="120"/>
        <v>7.8849478030101255E-2</v>
      </c>
      <c r="H68" s="100">
        <f t="shared" si="120"/>
        <v>6.3993241001349246E-2</v>
      </c>
      <c r="I68" s="100">
        <f t="shared" si="120"/>
        <v>0.16460710627857217</v>
      </c>
      <c r="J68" s="100">
        <f t="shared" si="120"/>
        <v>5.8403581819281312E-2</v>
      </c>
      <c r="K68" s="100">
        <f t="shared" si="120"/>
        <v>0.68394401221117029</v>
      </c>
      <c r="L68" s="100">
        <f t="shared" si="120"/>
        <v>0.12471810985637305</v>
      </c>
      <c r="M68" s="100">
        <f t="shared" si="120"/>
        <v>0.16648270620345212</v>
      </c>
      <c r="N68" s="100">
        <f t="shared" si="120"/>
        <v>7.0047157590565678E-2</v>
      </c>
      <c r="O68" s="100">
        <f t="shared" si="120"/>
        <v>7.5209699958057014E-2</v>
      </c>
      <c r="P68" s="100">
        <f t="shared" si="120"/>
        <v>6.1690524261892678E-2</v>
      </c>
      <c r="Q68" s="100">
        <f t="shared" si="120"/>
        <v>4.3213079457382383E-2</v>
      </c>
      <c r="R68" s="100">
        <f t="shared" si="120"/>
        <v>0.2762517275496435</v>
      </c>
      <c r="S68" s="100">
        <f t="shared" si="120"/>
        <v>0.13541460051707449</v>
      </c>
      <c r="T68" s="100">
        <f t="shared" si="120"/>
        <v>7.7586697882657332E-2</v>
      </c>
      <c r="U68" s="100">
        <f t="shared" ref="U68" si="121">IFERROR($B68/U9,0)</f>
        <v>3.8756208348756781E-2</v>
      </c>
      <c r="V68" s="100">
        <f t="shared" si="120"/>
        <v>0.2636796369640621</v>
      </c>
      <c r="W68" s="100">
        <f t="shared" si="120"/>
        <v>0.12973208985357687</v>
      </c>
      <c r="X68" s="100">
        <f t="shared" si="120"/>
        <v>0.11567437556512028</v>
      </c>
      <c r="Y68" s="100">
        <f t="shared" si="120"/>
        <v>9.0715897356816927E-2</v>
      </c>
      <c r="Z68" s="100">
        <f t="shared" si="120"/>
        <v>0.16880399323919465</v>
      </c>
      <c r="AA68" s="100">
        <f t="shared" si="120"/>
        <v>0.17493219101355484</v>
      </c>
      <c r="AB68" s="100">
        <f t="shared" si="120"/>
        <v>0.1525364136927112</v>
      </c>
      <c r="AC68" s="100">
        <f t="shared" si="120"/>
        <v>5.2559880984021721</v>
      </c>
      <c r="AD68" s="100">
        <f t="shared" si="120"/>
        <v>0.31378229634352828</v>
      </c>
      <c r="AE68" s="100">
        <f t="shared" si="120"/>
        <v>0.13322330555533357</v>
      </c>
      <c r="AF68" s="100">
        <f t="shared" si="120"/>
        <v>0.11194174601164633</v>
      </c>
      <c r="AG68" s="100">
        <f t="shared" si="120"/>
        <v>0.12460668807865743</v>
      </c>
      <c r="AH68" s="100">
        <f t="shared" si="120"/>
        <v>0.11589721912055155</v>
      </c>
      <c r="AI68" s="100">
        <f t="shared" si="120"/>
        <v>0.25710575207883934</v>
      </c>
      <c r="AJ68" s="100">
        <f t="shared" si="120"/>
        <v>8.432771543445354E-2</v>
      </c>
      <c r="AK68" s="100">
        <f t="shared" si="120"/>
        <v>1.0823697190260129</v>
      </c>
      <c r="AL68" s="100">
        <f t="shared" si="120"/>
        <v>0.27679026614193569</v>
      </c>
      <c r="AM68" s="100">
        <f t="shared" si="120"/>
        <v>0.18239745012050271</v>
      </c>
      <c r="AN68" s="100">
        <f t="shared" si="120"/>
        <v>0.11775424874914557</v>
      </c>
      <c r="AO68" s="100">
        <f t="shared" si="120"/>
        <v>0.11927701304459265</v>
      </c>
      <c r="AP68" s="100">
        <f t="shared" si="120"/>
        <v>0.10120811475837302</v>
      </c>
      <c r="AQ68" s="100">
        <f t="shared" si="120"/>
        <v>9.036306172738405E-2</v>
      </c>
      <c r="AR68" s="100">
        <f t="shared" si="120"/>
        <v>0.38018967586204971</v>
      </c>
      <c r="AS68" s="100">
        <f t="shared" si="120"/>
        <v>0.23313149957369078</v>
      </c>
      <c r="AT68" s="100">
        <f t="shared" si="120"/>
        <v>0.11112465297506499</v>
      </c>
      <c r="AU68" s="100">
        <f t="shared" ref="AU68" si="122">IFERROR($B68/AU9,0)</f>
        <v>7.9573719585252903E-2</v>
      </c>
      <c r="AV68" s="100">
        <f t="shared" si="120"/>
        <v>0.4768480680303675</v>
      </c>
      <c r="AW68" s="100">
        <f t="shared" si="120"/>
        <v>0.21227705684458018</v>
      </c>
      <c r="AX68" s="100">
        <f t="shared" si="120"/>
        <v>0.18804282019142846</v>
      </c>
      <c r="AY68" s="100">
        <f t="shared" si="120"/>
        <v>0.14349267940145841</v>
      </c>
      <c r="AZ68" s="100">
        <f t="shared" si="120"/>
        <v>0.3202633297473213</v>
      </c>
      <c r="BA68" s="100">
        <f t="shared" si="120"/>
        <v>0.29877749694448874</v>
      </c>
      <c r="BB68" s="100">
        <f t="shared" si="120"/>
        <v>0.29450632879872252</v>
      </c>
    </row>
    <row r="69" spans="1:54" x14ac:dyDescent="0.25">
      <c r="A69" s="190" t="s">
        <v>1090</v>
      </c>
      <c r="B69" s="191">
        <v>1.9999999999999999E-7</v>
      </c>
      <c r="C69" s="100">
        <f t="shared" ref="C69:BB69" si="123">IFERROR($B69/C24,0)</f>
        <v>0</v>
      </c>
      <c r="D69" s="100">
        <f t="shared" si="123"/>
        <v>0</v>
      </c>
      <c r="E69" s="100">
        <f t="shared" si="123"/>
        <v>0</v>
      </c>
      <c r="F69" s="100">
        <f t="shared" si="123"/>
        <v>0</v>
      </c>
      <c r="G69" s="100">
        <f t="shared" si="123"/>
        <v>0</v>
      </c>
      <c r="H69" s="100">
        <f t="shared" si="123"/>
        <v>0</v>
      </c>
      <c r="I69" s="100">
        <f t="shared" si="123"/>
        <v>0</v>
      </c>
      <c r="J69" s="100">
        <f t="shared" si="123"/>
        <v>0</v>
      </c>
      <c r="K69" s="100">
        <f t="shared" si="123"/>
        <v>0</v>
      </c>
      <c r="L69" s="100">
        <f t="shared" si="123"/>
        <v>0</v>
      </c>
      <c r="M69" s="100">
        <f t="shared" si="123"/>
        <v>0</v>
      </c>
      <c r="N69" s="100">
        <f t="shared" si="123"/>
        <v>0</v>
      </c>
      <c r="O69" s="100">
        <f t="shared" si="123"/>
        <v>0</v>
      </c>
      <c r="P69" s="100">
        <f t="shared" si="123"/>
        <v>0</v>
      </c>
      <c r="Q69" s="100">
        <f t="shared" si="123"/>
        <v>0</v>
      </c>
      <c r="R69" s="100">
        <f t="shared" si="123"/>
        <v>0</v>
      </c>
      <c r="S69" s="100">
        <f t="shared" si="123"/>
        <v>0</v>
      </c>
      <c r="T69" s="100">
        <f t="shared" si="123"/>
        <v>0</v>
      </c>
      <c r="U69" s="100">
        <f t="shared" ref="U69" si="124">IFERROR($B69/U24,0)</f>
        <v>0</v>
      </c>
      <c r="V69" s="100">
        <f t="shared" si="123"/>
        <v>0</v>
      </c>
      <c r="W69" s="100">
        <f t="shared" si="123"/>
        <v>0</v>
      </c>
      <c r="X69" s="100">
        <f t="shared" si="123"/>
        <v>0</v>
      </c>
      <c r="Y69" s="100">
        <f t="shared" si="123"/>
        <v>0</v>
      </c>
      <c r="Z69" s="100">
        <f t="shared" si="123"/>
        <v>0</v>
      </c>
      <c r="AA69" s="100">
        <f t="shared" si="123"/>
        <v>0</v>
      </c>
      <c r="AB69" s="100">
        <f t="shared" si="123"/>
        <v>0</v>
      </c>
      <c r="AC69" s="100">
        <f t="shared" si="123"/>
        <v>0</v>
      </c>
      <c r="AD69" s="100">
        <f t="shared" si="123"/>
        <v>0</v>
      </c>
      <c r="AE69" s="100">
        <f t="shared" si="123"/>
        <v>0</v>
      </c>
      <c r="AF69" s="100">
        <f t="shared" si="123"/>
        <v>0</v>
      </c>
      <c r="AG69" s="100">
        <f t="shared" si="123"/>
        <v>0</v>
      </c>
      <c r="AH69" s="100">
        <f t="shared" si="123"/>
        <v>0</v>
      </c>
      <c r="AI69" s="100">
        <f t="shared" si="123"/>
        <v>0</v>
      </c>
      <c r="AJ69" s="100">
        <f t="shared" si="123"/>
        <v>0</v>
      </c>
      <c r="AK69" s="100">
        <f t="shared" si="123"/>
        <v>0</v>
      </c>
      <c r="AL69" s="100">
        <f t="shared" si="123"/>
        <v>0</v>
      </c>
      <c r="AM69" s="100">
        <f t="shared" si="123"/>
        <v>0</v>
      </c>
      <c r="AN69" s="100">
        <f t="shared" si="123"/>
        <v>0</v>
      </c>
      <c r="AO69" s="100">
        <f t="shared" si="123"/>
        <v>0</v>
      </c>
      <c r="AP69" s="100">
        <f t="shared" si="123"/>
        <v>0</v>
      </c>
      <c r="AQ69" s="100">
        <f t="shared" si="123"/>
        <v>0</v>
      </c>
      <c r="AR69" s="100">
        <f t="shared" si="123"/>
        <v>0</v>
      </c>
      <c r="AS69" s="100">
        <f t="shared" si="123"/>
        <v>0</v>
      </c>
      <c r="AT69" s="100">
        <f t="shared" si="123"/>
        <v>0</v>
      </c>
      <c r="AU69" s="100">
        <f t="shared" ref="AU69" si="125">IFERROR($B69/AU24,0)</f>
        <v>0</v>
      </c>
      <c r="AV69" s="100">
        <f t="shared" si="123"/>
        <v>0</v>
      </c>
      <c r="AW69" s="100">
        <f t="shared" si="123"/>
        <v>0</v>
      </c>
      <c r="AX69" s="100">
        <f t="shared" si="123"/>
        <v>0</v>
      </c>
      <c r="AY69" s="100">
        <f t="shared" si="123"/>
        <v>0</v>
      </c>
      <c r="AZ69" s="100">
        <f t="shared" si="123"/>
        <v>0</v>
      </c>
      <c r="BA69" s="100">
        <f t="shared" si="123"/>
        <v>0</v>
      </c>
      <c r="BB69" s="100">
        <f t="shared" si="123"/>
        <v>0</v>
      </c>
    </row>
    <row r="70" spans="1:54" x14ac:dyDescent="0.25">
      <c r="A70" s="190" t="s">
        <v>1091</v>
      </c>
      <c r="B70" s="191">
        <v>0.99979000004200003</v>
      </c>
      <c r="C70" s="100">
        <f t="shared" ref="C70:BB70" si="126">IFERROR($B70/C20,0)</f>
        <v>0</v>
      </c>
      <c r="D70" s="100">
        <f t="shared" si="126"/>
        <v>0</v>
      </c>
      <c r="E70" s="100">
        <f t="shared" si="126"/>
        <v>0</v>
      </c>
      <c r="F70" s="100">
        <f t="shared" si="126"/>
        <v>0</v>
      </c>
      <c r="G70" s="100">
        <f t="shared" si="126"/>
        <v>0</v>
      </c>
      <c r="H70" s="100">
        <f t="shared" si="126"/>
        <v>0</v>
      </c>
      <c r="I70" s="100">
        <f t="shared" si="126"/>
        <v>0</v>
      </c>
      <c r="J70" s="100">
        <f t="shared" si="126"/>
        <v>0</v>
      </c>
      <c r="K70" s="100">
        <f t="shared" si="126"/>
        <v>0</v>
      </c>
      <c r="L70" s="100">
        <f t="shared" si="126"/>
        <v>0</v>
      </c>
      <c r="M70" s="100">
        <f t="shared" si="126"/>
        <v>0</v>
      </c>
      <c r="N70" s="100">
        <f t="shared" si="126"/>
        <v>0</v>
      </c>
      <c r="O70" s="100">
        <f t="shared" si="126"/>
        <v>0</v>
      </c>
      <c r="P70" s="100">
        <f t="shared" si="126"/>
        <v>0</v>
      </c>
      <c r="Q70" s="100">
        <f t="shared" si="126"/>
        <v>0</v>
      </c>
      <c r="R70" s="100">
        <f t="shared" si="126"/>
        <v>0</v>
      </c>
      <c r="S70" s="100">
        <f t="shared" si="126"/>
        <v>0</v>
      </c>
      <c r="T70" s="100">
        <f t="shared" si="126"/>
        <v>0</v>
      </c>
      <c r="U70" s="100">
        <f t="shared" ref="U70" si="127">IFERROR($B70/U20,0)</f>
        <v>0</v>
      </c>
      <c r="V70" s="100">
        <f t="shared" si="126"/>
        <v>0</v>
      </c>
      <c r="W70" s="100">
        <f t="shared" si="126"/>
        <v>0</v>
      </c>
      <c r="X70" s="100">
        <f t="shared" si="126"/>
        <v>0</v>
      </c>
      <c r="Y70" s="100">
        <f t="shared" si="126"/>
        <v>0</v>
      </c>
      <c r="Z70" s="100">
        <f t="shared" si="126"/>
        <v>0</v>
      </c>
      <c r="AA70" s="100">
        <f t="shared" si="126"/>
        <v>0</v>
      </c>
      <c r="AB70" s="100">
        <f t="shared" si="126"/>
        <v>0</v>
      </c>
      <c r="AC70" s="100">
        <f t="shared" si="126"/>
        <v>0</v>
      </c>
      <c r="AD70" s="100">
        <f t="shared" si="126"/>
        <v>0</v>
      </c>
      <c r="AE70" s="100">
        <f t="shared" si="126"/>
        <v>0</v>
      </c>
      <c r="AF70" s="100">
        <f t="shared" si="126"/>
        <v>0</v>
      </c>
      <c r="AG70" s="100">
        <f t="shared" si="126"/>
        <v>0</v>
      </c>
      <c r="AH70" s="100">
        <f t="shared" si="126"/>
        <v>0</v>
      </c>
      <c r="AI70" s="100">
        <f t="shared" si="126"/>
        <v>0</v>
      </c>
      <c r="AJ70" s="100">
        <f t="shared" si="126"/>
        <v>0</v>
      </c>
      <c r="AK70" s="100">
        <f t="shared" si="126"/>
        <v>0</v>
      </c>
      <c r="AL70" s="100">
        <f t="shared" si="126"/>
        <v>0</v>
      </c>
      <c r="AM70" s="100">
        <f t="shared" si="126"/>
        <v>0</v>
      </c>
      <c r="AN70" s="100">
        <f t="shared" si="126"/>
        <v>0</v>
      </c>
      <c r="AO70" s="100">
        <f t="shared" si="126"/>
        <v>0</v>
      </c>
      <c r="AP70" s="100">
        <f t="shared" si="126"/>
        <v>0</v>
      </c>
      <c r="AQ70" s="100">
        <f t="shared" si="126"/>
        <v>0</v>
      </c>
      <c r="AR70" s="100">
        <f t="shared" si="126"/>
        <v>0</v>
      </c>
      <c r="AS70" s="100">
        <f t="shared" si="126"/>
        <v>0</v>
      </c>
      <c r="AT70" s="100">
        <f t="shared" si="126"/>
        <v>0</v>
      </c>
      <c r="AU70" s="100">
        <f t="shared" ref="AU70" si="128">IFERROR($B70/AU20,0)</f>
        <v>0</v>
      </c>
      <c r="AV70" s="100">
        <f t="shared" si="126"/>
        <v>0</v>
      </c>
      <c r="AW70" s="100">
        <f t="shared" si="126"/>
        <v>0</v>
      </c>
      <c r="AX70" s="100">
        <f t="shared" si="126"/>
        <v>0</v>
      </c>
      <c r="AY70" s="100">
        <f t="shared" si="126"/>
        <v>0</v>
      </c>
      <c r="AZ70" s="100">
        <f t="shared" si="126"/>
        <v>0</v>
      </c>
      <c r="BA70" s="100">
        <f t="shared" si="126"/>
        <v>0</v>
      </c>
      <c r="BB70" s="100">
        <f t="shared" si="126"/>
        <v>0</v>
      </c>
    </row>
    <row r="71" spans="1:54" x14ac:dyDescent="0.25">
      <c r="A71" s="190" t="s">
        <v>1092</v>
      </c>
      <c r="B71" s="191">
        <v>2.0999995799999999E-4</v>
      </c>
      <c r="C71" s="100">
        <f t="shared" ref="C71:BB71" si="129">IFERROR($B71/C29,0)</f>
        <v>0</v>
      </c>
      <c r="D71" s="100">
        <f t="shared" si="129"/>
        <v>0</v>
      </c>
      <c r="E71" s="100">
        <f t="shared" si="129"/>
        <v>0</v>
      </c>
      <c r="F71" s="100">
        <f t="shared" si="129"/>
        <v>0</v>
      </c>
      <c r="G71" s="100">
        <f t="shared" si="129"/>
        <v>0</v>
      </c>
      <c r="H71" s="100">
        <f t="shared" si="129"/>
        <v>0</v>
      </c>
      <c r="I71" s="100">
        <f t="shared" si="129"/>
        <v>0</v>
      </c>
      <c r="J71" s="100">
        <f t="shared" si="129"/>
        <v>0</v>
      </c>
      <c r="K71" s="100">
        <f t="shared" si="129"/>
        <v>0</v>
      </c>
      <c r="L71" s="100">
        <f t="shared" si="129"/>
        <v>0</v>
      </c>
      <c r="M71" s="100">
        <f t="shared" si="129"/>
        <v>0</v>
      </c>
      <c r="N71" s="100">
        <f t="shared" si="129"/>
        <v>0</v>
      </c>
      <c r="O71" s="100">
        <f t="shared" si="129"/>
        <v>0</v>
      </c>
      <c r="P71" s="100">
        <f t="shared" si="129"/>
        <v>0</v>
      </c>
      <c r="Q71" s="100">
        <f t="shared" si="129"/>
        <v>0</v>
      </c>
      <c r="R71" s="100">
        <f t="shared" si="129"/>
        <v>0</v>
      </c>
      <c r="S71" s="100">
        <f t="shared" si="129"/>
        <v>0</v>
      </c>
      <c r="T71" s="100">
        <f t="shared" si="129"/>
        <v>0</v>
      </c>
      <c r="U71" s="100">
        <f t="shared" ref="U71" si="130">IFERROR($B71/U29,0)</f>
        <v>0</v>
      </c>
      <c r="V71" s="100">
        <f t="shared" si="129"/>
        <v>0</v>
      </c>
      <c r="W71" s="100">
        <f t="shared" si="129"/>
        <v>0</v>
      </c>
      <c r="X71" s="100">
        <f t="shared" si="129"/>
        <v>0</v>
      </c>
      <c r="Y71" s="100">
        <f t="shared" si="129"/>
        <v>0</v>
      </c>
      <c r="Z71" s="100">
        <f t="shared" si="129"/>
        <v>0</v>
      </c>
      <c r="AA71" s="100">
        <f t="shared" si="129"/>
        <v>0</v>
      </c>
      <c r="AB71" s="100">
        <f t="shared" si="129"/>
        <v>0</v>
      </c>
      <c r="AC71" s="100">
        <f t="shared" si="129"/>
        <v>0</v>
      </c>
      <c r="AD71" s="100">
        <f t="shared" si="129"/>
        <v>0</v>
      </c>
      <c r="AE71" s="100">
        <f t="shared" si="129"/>
        <v>0</v>
      </c>
      <c r="AF71" s="100">
        <f t="shared" si="129"/>
        <v>0</v>
      </c>
      <c r="AG71" s="100">
        <f t="shared" si="129"/>
        <v>0</v>
      </c>
      <c r="AH71" s="100">
        <f t="shared" si="129"/>
        <v>0</v>
      </c>
      <c r="AI71" s="100">
        <f t="shared" si="129"/>
        <v>0</v>
      </c>
      <c r="AJ71" s="100">
        <f t="shared" si="129"/>
        <v>0</v>
      </c>
      <c r="AK71" s="100">
        <f t="shared" si="129"/>
        <v>0</v>
      </c>
      <c r="AL71" s="100">
        <f t="shared" si="129"/>
        <v>0</v>
      </c>
      <c r="AM71" s="100">
        <f t="shared" si="129"/>
        <v>0</v>
      </c>
      <c r="AN71" s="100">
        <f t="shared" si="129"/>
        <v>0</v>
      </c>
      <c r="AO71" s="100">
        <f t="shared" si="129"/>
        <v>0</v>
      </c>
      <c r="AP71" s="100">
        <f t="shared" si="129"/>
        <v>0</v>
      </c>
      <c r="AQ71" s="100">
        <f t="shared" si="129"/>
        <v>0</v>
      </c>
      <c r="AR71" s="100">
        <f t="shared" si="129"/>
        <v>0</v>
      </c>
      <c r="AS71" s="100">
        <f t="shared" si="129"/>
        <v>0</v>
      </c>
      <c r="AT71" s="100">
        <f t="shared" si="129"/>
        <v>0</v>
      </c>
      <c r="AU71" s="100">
        <f t="shared" ref="AU71" si="131">IFERROR($B71/AU29,0)</f>
        <v>0</v>
      </c>
      <c r="AV71" s="100">
        <f t="shared" si="129"/>
        <v>0</v>
      </c>
      <c r="AW71" s="100">
        <f t="shared" si="129"/>
        <v>0</v>
      </c>
      <c r="AX71" s="100">
        <f t="shared" si="129"/>
        <v>0</v>
      </c>
      <c r="AY71" s="100">
        <f t="shared" si="129"/>
        <v>0</v>
      </c>
      <c r="AZ71" s="100">
        <f t="shared" si="129"/>
        <v>0</v>
      </c>
      <c r="BA71" s="100">
        <f t="shared" si="129"/>
        <v>0</v>
      </c>
      <c r="BB71" s="100">
        <f t="shared" si="129"/>
        <v>0</v>
      </c>
    </row>
    <row r="72" spans="1:54" x14ac:dyDescent="0.25">
      <c r="A72" s="190" t="s">
        <v>1093</v>
      </c>
      <c r="B72" s="191">
        <v>1</v>
      </c>
      <c r="C72" s="100">
        <f t="shared" ref="C72:BB72" si="132">IFERROR($B72/C16,0)</f>
        <v>14252.085204000001</v>
      </c>
      <c r="D72" s="100">
        <f t="shared" si="132"/>
        <v>786.5571000000001</v>
      </c>
      <c r="E72" s="100">
        <f t="shared" si="132"/>
        <v>359.67485400000004</v>
      </c>
      <c r="F72" s="100">
        <f t="shared" si="132"/>
        <v>298.15044</v>
      </c>
      <c r="G72" s="100">
        <f t="shared" si="132"/>
        <v>349.70905200000004</v>
      </c>
      <c r="H72" s="100">
        <f t="shared" si="132"/>
        <v>283.81945200000007</v>
      </c>
      <c r="I72" s="100">
        <f t="shared" si="132"/>
        <v>730.05676800000003</v>
      </c>
      <c r="J72" s="100">
        <f t="shared" si="132"/>
        <v>259.02849000000003</v>
      </c>
      <c r="K72" s="100">
        <f t="shared" si="132"/>
        <v>3033.39246</v>
      </c>
      <c r="L72" s="100">
        <f t="shared" si="132"/>
        <v>553.14319200000011</v>
      </c>
      <c r="M72" s="100">
        <f t="shared" si="132"/>
        <v>738.37533000000008</v>
      </c>
      <c r="N72" s="100">
        <f t="shared" si="132"/>
        <v>310.669464</v>
      </c>
      <c r="O72" s="100">
        <f t="shared" si="132"/>
        <v>333.56610000000001</v>
      </c>
      <c r="P72" s="100">
        <f t="shared" si="132"/>
        <v>273.60656399999999</v>
      </c>
      <c r="Q72" s="100">
        <f t="shared" si="132"/>
        <v>191.656374</v>
      </c>
      <c r="R72" s="100">
        <f t="shared" si="132"/>
        <v>1225.217112</v>
      </c>
      <c r="S72" s="100">
        <f t="shared" si="132"/>
        <v>600.58370400000001</v>
      </c>
      <c r="T72" s="100">
        <f t="shared" si="132"/>
        <v>344.10843600000004</v>
      </c>
      <c r="U72" s="100">
        <f t="shared" ref="U72" si="133">IFERROR($B72/U16,0)</f>
        <v>171.88949400000001</v>
      </c>
      <c r="V72" s="100">
        <f t="shared" si="132"/>
        <v>1169.4580380000002</v>
      </c>
      <c r="W72" s="100">
        <f t="shared" si="132"/>
        <v>575.38093200000003</v>
      </c>
      <c r="X72" s="100">
        <f t="shared" si="132"/>
        <v>513.03289800000016</v>
      </c>
      <c r="Y72" s="100">
        <f t="shared" si="132"/>
        <v>402.33837000000005</v>
      </c>
      <c r="Z72" s="100">
        <f t="shared" si="132"/>
        <v>748.67058000000009</v>
      </c>
      <c r="AA72" s="100">
        <f t="shared" si="132"/>
        <v>775.85004000000015</v>
      </c>
      <c r="AB72" s="100">
        <f t="shared" si="132"/>
        <v>676.52146800000003</v>
      </c>
      <c r="AC72" s="100">
        <f t="shared" si="132"/>
        <v>23311.081584000007</v>
      </c>
      <c r="AD72" s="100">
        <f t="shared" si="132"/>
        <v>1391.6707140000001</v>
      </c>
      <c r="AE72" s="100">
        <f t="shared" si="132"/>
        <v>590.86498800000004</v>
      </c>
      <c r="AF72" s="100">
        <f t="shared" si="132"/>
        <v>496.47813600000006</v>
      </c>
      <c r="AG72" s="100">
        <f t="shared" si="132"/>
        <v>552.64902000000018</v>
      </c>
      <c r="AH72" s="100">
        <f t="shared" si="132"/>
        <v>514.02124200000003</v>
      </c>
      <c r="AI72" s="100">
        <f t="shared" si="132"/>
        <v>1140.30189</v>
      </c>
      <c r="AJ72" s="100">
        <f t="shared" si="132"/>
        <v>374.00584200000003</v>
      </c>
      <c r="AK72" s="100">
        <f t="shared" si="132"/>
        <v>4800.4691700000003</v>
      </c>
      <c r="AL72" s="100">
        <f t="shared" si="132"/>
        <v>1227.6056099999998</v>
      </c>
      <c r="AM72" s="100">
        <f t="shared" si="132"/>
        <v>808.95956400000011</v>
      </c>
      <c r="AN72" s="100">
        <f t="shared" si="132"/>
        <v>522.2574420000002</v>
      </c>
      <c r="AO72" s="100">
        <f t="shared" si="132"/>
        <v>529.0111260000001</v>
      </c>
      <c r="AP72" s="100">
        <f t="shared" si="132"/>
        <v>448.87290000000007</v>
      </c>
      <c r="AQ72" s="100">
        <f t="shared" si="132"/>
        <v>400.77349200000003</v>
      </c>
      <c r="AR72" s="100">
        <f t="shared" si="132"/>
        <v>1686.197226</v>
      </c>
      <c r="AS72" s="100">
        <f t="shared" si="132"/>
        <v>1033.972548</v>
      </c>
      <c r="AT72" s="100">
        <f t="shared" si="132"/>
        <v>492.85420800000003</v>
      </c>
      <c r="AU72" s="100">
        <f t="shared" ref="AU72" si="134">IFERROR($B72/AU16,0)</f>
        <v>352.92117000000002</v>
      </c>
      <c r="AV72" s="100">
        <f t="shared" si="132"/>
        <v>2114.8914360000003</v>
      </c>
      <c r="AW72" s="100">
        <f t="shared" si="132"/>
        <v>941.48002200000019</v>
      </c>
      <c r="AX72" s="100">
        <f t="shared" si="132"/>
        <v>833.997612</v>
      </c>
      <c r="AY72" s="100">
        <f t="shared" si="132"/>
        <v>636.41117399999996</v>
      </c>
      <c r="AZ72" s="100">
        <f t="shared" si="132"/>
        <v>1420.4150519999998</v>
      </c>
      <c r="BA72" s="100">
        <f t="shared" si="132"/>
        <v>1325.1222180000002</v>
      </c>
      <c r="BB72" s="100">
        <f t="shared" si="132"/>
        <v>1306.1789580000002</v>
      </c>
    </row>
    <row r="73" spans="1:54" x14ac:dyDescent="0.25">
      <c r="A73" s="190" t="s">
        <v>1094</v>
      </c>
      <c r="B73" s="191">
        <v>1</v>
      </c>
      <c r="C73" s="100">
        <f t="shared" ref="C73:BB73" si="135">IFERROR($B73/C7,0)</f>
        <v>157.75893056000001</v>
      </c>
      <c r="D73" s="100">
        <f t="shared" si="135"/>
        <v>8.7065439999999992</v>
      </c>
      <c r="E73" s="100">
        <f t="shared" si="135"/>
        <v>3.9813065600000002</v>
      </c>
      <c r="F73" s="100">
        <f t="shared" si="135"/>
        <v>3.3002815999999995</v>
      </c>
      <c r="G73" s="100">
        <f t="shared" si="135"/>
        <v>3.8709932800000004</v>
      </c>
      <c r="H73" s="100">
        <f t="shared" si="135"/>
        <v>3.1416492800000002</v>
      </c>
      <c r="I73" s="100">
        <f t="shared" si="135"/>
        <v>8.0811315199999996</v>
      </c>
      <c r="J73" s="100">
        <f t="shared" si="135"/>
        <v>2.8672336</v>
      </c>
      <c r="K73" s="100">
        <f t="shared" si="135"/>
        <v>33.577174399999997</v>
      </c>
      <c r="L73" s="100">
        <f t="shared" si="135"/>
        <v>6.1228428800000003</v>
      </c>
      <c r="M73" s="100">
        <f t="shared" si="135"/>
        <v>8.1732112000000008</v>
      </c>
      <c r="N73" s="100">
        <f t="shared" si="135"/>
        <v>3.4388569599999999</v>
      </c>
      <c r="O73" s="100">
        <f t="shared" si="135"/>
        <v>3.6923040000000005</v>
      </c>
      <c r="P73" s="100">
        <f t="shared" si="135"/>
        <v>3.0286009599999999</v>
      </c>
      <c r="Q73" s="100">
        <f t="shared" si="135"/>
        <v>2.1214793599999999</v>
      </c>
      <c r="R73" s="100">
        <f t="shared" si="135"/>
        <v>13.562151679999999</v>
      </c>
      <c r="S73" s="100">
        <f t="shared" si="135"/>
        <v>6.6479705600000001</v>
      </c>
      <c r="T73" s="100">
        <f t="shared" si="135"/>
        <v>3.8089990400000002</v>
      </c>
      <c r="U73" s="100">
        <f t="shared" ref="U73" si="136">IFERROR($B73/U7,0)</f>
        <v>1.9026761599999999</v>
      </c>
      <c r="V73" s="100">
        <f t="shared" si="135"/>
        <v>12.944944320000001</v>
      </c>
      <c r="W73" s="100">
        <f t="shared" si="135"/>
        <v>6.3689964799999998</v>
      </c>
      <c r="X73" s="100">
        <f t="shared" si="135"/>
        <v>5.6788547200000004</v>
      </c>
      <c r="Y73" s="100">
        <f t="shared" si="135"/>
        <v>4.4535568000000003</v>
      </c>
      <c r="Z73" s="100">
        <f t="shared" si="135"/>
        <v>8.2871711999999995</v>
      </c>
      <c r="AA73" s="100">
        <f t="shared" si="135"/>
        <v>8.5880255999999999</v>
      </c>
      <c r="AB73" s="100">
        <f t="shared" si="135"/>
        <v>7.4885395199999998</v>
      </c>
      <c r="AC73" s="100">
        <f t="shared" si="135"/>
        <v>258.03461376000001</v>
      </c>
      <c r="AD73" s="100">
        <f t="shared" si="135"/>
        <v>15.404656960000001</v>
      </c>
      <c r="AE73" s="100">
        <f t="shared" si="135"/>
        <v>6.5403923199999996</v>
      </c>
      <c r="AF73" s="100">
        <f t="shared" si="135"/>
        <v>5.4956070399999994</v>
      </c>
      <c r="AG73" s="100">
        <f t="shared" si="135"/>
        <v>6.1173728000000009</v>
      </c>
      <c r="AH73" s="100">
        <f t="shared" si="135"/>
        <v>5.68979488</v>
      </c>
      <c r="AI73" s="100">
        <f t="shared" si="135"/>
        <v>12.622209600000001</v>
      </c>
      <c r="AJ73" s="100">
        <f t="shared" si="135"/>
        <v>4.1399388799999999</v>
      </c>
      <c r="AK73" s="100">
        <f t="shared" si="135"/>
        <v>53.137268800000001</v>
      </c>
      <c r="AL73" s="100">
        <f t="shared" si="135"/>
        <v>13.588590399999999</v>
      </c>
      <c r="AM73" s="100">
        <f t="shared" si="135"/>
        <v>8.9545209600000018</v>
      </c>
      <c r="AN73" s="100">
        <f t="shared" si="135"/>
        <v>5.7809628800000006</v>
      </c>
      <c r="AO73" s="100">
        <f t="shared" si="135"/>
        <v>5.8557206399999995</v>
      </c>
      <c r="AP73" s="100">
        <f t="shared" si="135"/>
        <v>4.9686560000000002</v>
      </c>
      <c r="AQ73" s="100">
        <f t="shared" si="135"/>
        <v>4.4362348799999998</v>
      </c>
      <c r="AR73" s="100">
        <f t="shared" si="135"/>
        <v>18.664824639999999</v>
      </c>
      <c r="AS73" s="100">
        <f t="shared" si="135"/>
        <v>11.445230720000001</v>
      </c>
      <c r="AT73" s="100">
        <f t="shared" si="135"/>
        <v>5.4554931200000008</v>
      </c>
      <c r="AU73" s="100">
        <f t="shared" ref="AU73" si="137">IFERROR($B73/AU7,0)</f>
        <v>3.9065487999999999</v>
      </c>
      <c r="AV73" s="100">
        <f t="shared" si="135"/>
        <v>23.410119040000001</v>
      </c>
      <c r="AW73" s="100">
        <f t="shared" si="135"/>
        <v>10.421414080000002</v>
      </c>
      <c r="AX73" s="100">
        <f t="shared" si="135"/>
        <v>9.2316716799999998</v>
      </c>
      <c r="AY73" s="100">
        <f t="shared" si="135"/>
        <v>7.0445513599999998</v>
      </c>
      <c r="AZ73" s="100">
        <f t="shared" si="135"/>
        <v>15.722833280000001</v>
      </c>
      <c r="BA73" s="100">
        <f t="shared" si="135"/>
        <v>14.668019519999998</v>
      </c>
      <c r="BB73" s="100">
        <f t="shared" si="135"/>
        <v>14.458333120000002</v>
      </c>
    </row>
    <row r="74" spans="1:54" x14ac:dyDescent="0.25">
      <c r="A74" s="190" t="s">
        <v>1095</v>
      </c>
      <c r="B74" s="194">
        <v>1.9000000000000001E-8</v>
      </c>
      <c r="C74" s="100">
        <f t="shared" ref="C74:BB74" si="138">IFERROR($B74/C12,0)</f>
        <v>0</v>
      </c>
      <c r="D74" s="100">
        <f t="shared" si="138"/>
        <v>0</v>
      </c>
      <c r="E74" s="100">
        <f t="shared" si="138"/>
        <v>0</v>
      </c>
      <c r="F74" s="100">
        <f t="shared" si="138"/>
        <v>0</v>
      </c>
      <c r="G74" s="100">
        <f t="shared" si="138"/>
        <v>0</v>
      </c>
      <c r="H74" s="100">
        <f t="shared" si="138"/>
        <v>0</v>
      </c>
      <c r="I74" s="100">
        <f t="shared" si="138"/>
        <v>0</v>
      </c>
      <c r="J74" s="100">
        <f t="shared" si="138"/>
        <v>0</v>
      </c>
      <c r="K74" s="100">
        <f t="shared" si="138"/>
        <v>0</v>
      </c>
      <c r="L74" s="100">
        <f t="shared" si="138"/>
        <v>0</v>
      </c>
      <c r="M74" s="100">
        <f t="shared" si="138"/>
        <v>0</v>
      </c>
      <c r="N74" s="100">
        <f t="shared" si="138"/>
        <v>0</v>
      </c>
      <c r="O74" s="100">
        <f t="shared" si="138"/>
        <v>0</v>
      </c>
      <c r="P74" s="100">
        <f t="shared" si="138"/>
        <v>0</v>
      </c>
      <c r="Q74" s="100">
        <f t="shared" si="138"/>
        <v>0</v>
      </c>
      <c r="R74" s="100">
        <f t="shared" si="138"/>
        <v>0</v>
      </c>
      <c r="S74" s="100">
        <f t="shared" si="138"/>
        <v>0</v>
      </c>
      <c r="T74" s="100">
        <f t="shared" si="138"/>
        <v>0</v>
      </c>
      <c r="U74" s="100">
        <f t="shared" ref="U74" si="139">IFERROR($B74/U12,0)</f>
        <v>0</v>
      </c>
      <c r="V74" s="100">
        <f t="shared" si="138"/>
        <v>0</v>
      </c>
      <c r="W74" s="100">
        <f t="shared" si="138"/>
        <v>0</v>
      </c>
      <c r="X74" s="100">
        <f t="shared" si="138"/>
        <v>0</v>
      </c>
      <c r="Y74" s="100">
        <f t="shared" si="138"/>
        <v>0</v>
      </c>
      <c r="Z74" s="100">
        <f t="shared" si="138"/>
        <v>0</v>
      </c>
      <c r="AA74" s="100">
        <f t="shared" si="138"/>
        <v>0</v>
      </c>
      <c r="AB74" s="100">
        <f t="shared" si="138"/>
        <v>0</v>
      </c>
      <c r="AC74" s="100">
        <f t="shared" si="138"/>
        <v>0</v>
      </c>
      <c r="AD74" s="100">
        <f t="shared" si="138"/>
        <v>0</v>
      </c>
      <c r="AE74" s="100">
        <f t="shared" si="138"/>
        <v>0</v>
      </c>
      <c r="AF74" s="100">
        <f t="shared" si="138"/>
        <v>0</v>
      </c>
      <c r="AG74" s="100">
        <f t="shared" si="138"/>
        <v>0</v>
      </c>
      <c r="AH74" s="100">
        <f t="shared" si="138"/>
        <v>0</v>
      </c>
      <c r="AI74" s="100">
        <f t="shared" si="138"/>
        <v>0</v>
      </c>
      <c r="AJ74" s="100">
        <f t="shared" si="138"/>
        <v>0</v>
      </c>
      <c r="AK74" s="100">
        <f t="shared" si="138"/>
        <v>0</v>
      </c>
      <c r="AL74" s="100">
        <f t="shared" si="138"/>
        <v>0</v>
      </c>
      <c r="AM74" s="100">
        <f t="shared" si="138"/>
        <v>0</v>
      </c>
      <c r="AN74" s="100">
        <f t="shared" si="138"/>
        <v>0</v>
      </c>
      <c r="AO74" s="100">
        <f t="shared" si="138"/>
        <v>0</v>
      </c>
      <c r="AP74" s="100">
        <f t="shared" si="138"/>
        <v>0</v>
      </c>
      <c r="AQ74" s="100">
        <f t="shared" si="138"/>
        <v>0</v>
      </c>
      <c r="AR74" s="100">
        <f t="shared" si="138"/>
        <v>0</v>
      </c>
      <c r="AS74" s="100">
        <f t="shared" si="138"/>
        <v>0</v>
      </c>
      <c r="AT74" s="100">
        <f t="shared" si="138"/>
        <v>0</v>
      </c>
      <c r="AU74" s="100">
        <f t="shared" ref="AU74" si="140">IFERROR($B74/AU12,0)</f>
        <v>0</v>
      </c>
      <c r="AV74" s="100">
        <f t="shared" si="138"/>
        <v>0</v>
      </c>
      <c r="AW74" s="100">
        <f t="shared" si="138"/>
        <v>0</v>
      </c>
      <c r="AX74" s="100">
        <f t="shared" si="138"/>
        <v>0</v>
      </c>
      <c r="AY74" s="100">
        <f t="shared" si="138"/>
        <v>0</v>
      </c>
      <c r="AZ74" s="100">
        <f t="shared" si="138"/>
        <v>0</v>
      </c>
      <c r="BA74" s="100">
        <f t="shared" si="138"/>
        <v>0</v>
      </c>
      <c r="BB74" s="100">
        <f t="shared" si="138"/>
        <v>0</v>
      </c>
    </row>
    <row r="75" spans="1:54" x14ac:dyDescent="0.25">
      <c r="A75" s="190" t="s">
        <v>1096</v>
      </c>
      <c r="B75" s="191">
        <v>1</v>
      </c>
      <c r="C75" s="100">
        <f t="shared" ref="C75:BB75" si="141">IFERROR($B75/C18,0)</f>
        <v>27294.087702000004</v>
      </c>
      <c r="D75" s="100">
        <f t="shared" si="141"/>
        <v>1506.3310500000002</v>
      </c>
      <c r="E75" s="100">
        <f t="shared" si="141"/>
        <v>688.81127700000002</v>
      </c>
      <c r="F75" s="100">
        <f t="shared" si="141"/>
        <v>570.98622</v>
      </c>
      <c r="G75" s="100">
        <f t="shared" si="141"/>
        <v>669.7258260000001</v>
      </c>
      <c r="H75" s="100">
        <f t="shared" si="141"/>
        <v>543.5410260000001</v>
      </c>
      <c r="I75" s="100">
        <f t="shared" si="141"/>
        <v>1398.1275840000003</v>
      </c>
      <c r="J75" s="100">
        <f t="shared" si="141"/>
        <v>496.06399499999998</v>
      </c>
      <c r="K75" s="100">
        <f t="shared" si="141"/>
        <v>5809.2327300000006</v>
      </c>
      <c r="L75" s="100">
        <f t="shared" si="141"/>
        <v>1059.321396</v>
      </c>
      <c r="M75" s="100">
        <f t="shared" si="141"/>
        <v>1414.058415</v>
      </c>
      <c r="N75" s="100">
        <f t="shared" si="141"/>
        <v>594.96133200000008</v>
      </c>
      <c r="O75" s="100">
        <f t="shared" si="141"/>
        <v>638.81055000000003</v>
      </c>
      <c r="P75" s="100">
        <f t="shared" si="141"/>
        <v>523.98238200000003</v>
      </c>
      <c r="Q75" s="100">
        <f t="shared" si="141"/>
        <v>367.04003700000004</v>
      </c>
      <c r="R75" s="100">
        <f t="shared" si="141"/>
        <v>2346.406356</v>
      </c>
      <c r="S75" s="100">
        <f t="shared" si="141"/>
        <v>1150.1744520000002</v>
      </c>
      <c r="T75" s="100">
        <f t="shared" si="141"/>
        <v>659.00011800000004</v>
      </c>
      <c r="U75" s="100">
        <f t="shared" ref="U75" si="142">IFERROR($B75/U18,0)</f>
        <v>329.184597</v>
      </c>
      <c r="V75" s="100">
        <f t="shared" si="141"/>
        <v>2239.6224690000004</v>
      </c>
      <c r="W75" s="100">
        <f t="shared" si="141"/>
        <v>1101.908766</v>
      </c>
      <c r="X75" s="100">
        <f t="shared" si="141"/>
        <v>982.50639900000021</v>
      </c>
      <c r="Y75" s="100">
        <f t="shared" si="141"/>
        <v>770.51593500000001</v>
      </c>
      <c r="Z75" s="100">
        <f t="shared" si="141"/>
        <v>1433.7747900000002</v>
      </c>
      <c r="AA75" s="100">
        <f t="shared" si="141"/>
        <v>1485.8260200000002</v>
      </c>
      <c r="AB75" s="100">
        <f t="shared" si="141"/>
        <v>1295.6024340000001</v>
      </c>
      <c r="AC75" s="100">
        <f t="shared" si="141"/>
        <v>44642.920391999993</v>
      </c>
      <c r="AD75" s="100">
        <f t="shared" si="141"/>
        <v>2665.1807070000004</v>
      </c>
      <c r="AE75" s="100">
        <f t="shared" si="141"/>
        <v>1131.5621940000003</v>
      </c>
      <c r="AF75" s="100">
        <f t="shared" si="141"/>
        <v>950.80246800000009</v>
      </c>
      <c r="AG75" s="100">
        <f t="shared" si="141"/>
        <v>1058.3750100000004</v>
      </c>
      <c r="AH75" s="100">
        <f t="shared" si="141"/>
        <v>984.39917100000014</v>
      </c>
      <c r="AI75" s="100">
        <f t="shared" si="141"/>
        <v>2183.785695</v>
      </c>
      <c r="AJ75" s="100">
        <f t="shared" si="141"/>
        <v>716.25647100000015</v>
      </c>
      <c r="AK75" s="100">
        <f t="shared" si="141"/>
        <v>9193.3513350000012</v>
      </c>
      <c r="AL75" s="100">
        <f t="shared" si="141"/>
        <v>2350.9805550000001</v>
      </c>
      <c r="AM75" s="100">
        <f t="shared" si="141"/>
        <v>1549.233882</v>
      </c>
      <c r="AN75" s="100">
        <f t="shared" si="141"/>
        <v>1000.1722710000001</v>
      </c>
      <c r="AO75" s="100">
        <f t="shared" si="141"/>
        <v>1013.1062129999999</v>
      </c>
      <c r="AP75" s="100">
        <f t="shared" si="141"/>
        <v>859.63395000000003</v>
      </c>
      <c r="AQ75" s="100">
        <f t="shared" si="141"/>
        <v>767.51904600000012</v>
      </c>
      <c r="AR75" s="100">
        <f t="shared" si="141"/>
        <v>3229.2267630000001</v>
      </c>
      <c r="AS75" s="100">
        <f t="shared" si="141"/>
        <v>1980.1549740000003</v>
      </c>
      <c r="AT75" s="100">
        <f t="shared" si="141"/>
        <v>943.86230400000011</v>
      </c>
      <c r="AU75" s="100">
        <f t="shared" ref="AU75" si="143">IFERROR($B75/AU18,0)</f>
        <v>675.87733500000002</v>
      </c>
      <c r="AV75" s="100">
        <f t="shared" si="141"/>
        <v>4050.2166180000013</v>
      </c>
      <c r="AW75" s="100">
        <f t="shared" si="141"/>
        <v>1803.0230610000001</v>
      </c>
      <c r="AX75" s="100">
        <f t="shared" si="141"/>
        <v>1597.1841060000002</v>
      </c>
      <c r="AY75" s="100">
        <f t="shared" si="141"/>
        <v>1218.7874370000002</v>
      </c>
      <c r="AZ75" s="100">
        <f t="shared" si="141"/>
        <v>2720.228826</v>
      </c>
      <c r="BA75" s="100">
        <f t="shared" si="141"/>
        <v>2537.7340590000003</v>
      </c>
      <c r="BB75" s="100">
        <f t="shared" si="141"/>
        <v>2501.4559290000007</v>
      </c>
    </row>
    <row r="76" spans="1:54" x14ac:dyDescent="0.25">
      <c r="A76" s="190" t="s">
        <v>1097</v>
      </c>
      <c r="B76" s="191">
        <v>1.339E-6</v>
      </c>
      <c r="C76" s="100">
        <f t="shared" ref="C76:BB76" si="144">IFERROR($B76/C27,0)</f>
        <v>0</v>
      </c>
      <c r="D76" s="100">
        <f t="shared" si="144"/>
        <v>0</v>
      </c>
      <c r="E76" s="100">
        <f t="shared" si="144"/>
        <v>0</v>
      </c>
      <c r="F76" s="100">
        <f t="shared" si="144"/>
        <v>0</v>
      </c>
      <c r="G76" s="100">
        <f t="shared" si="144"/>
        <v>0</v>
      </c>
      <c r="H76" s="100">
        <f t="shared" si="144"/>
        <v>0</v>
      </c>
      <c r="I76" s="100">
        <f t="shared" si="144"/>
        <v>0</v>
      </c>
      <c r="J76" s="100">
        <f t="shared" si="144"/>
        <v>0</v>
      </c>
      <c r="K76" s="100">
        <f t="shared" si="144"/>
        <v>0</v>
      </c>
      <c r="L76" s="100">
        <f t="shared" si="144"/>
        <v>0</v>
      </c>
      <c r="M76" s="100">
        <f t="shared" si="144"/>
        <v>0</v>
      </c>
      <c r="N76" s="100">
        <f t="shared" si="144"/>
        <v>0</v>
      </c>
      <c r="O76" s="100">
        <f t="shared" si="144"/>
        <v>0</v>
      </c>
      <c r="P76" s="100">
        <f t="shared" si="144"/>
        <v>0</v>
      </c>
      <c r="Q76" s="100">
        <f t="shared" si="144"/>
        <v>0</v>
      </c>
      <c r="R76" s="100">
        <f t="shared" si="144"/>
        <v>0</v>
      </c>
      <c r="S76" s="100">
        <f t="shared" si="144"/>
        <v>0</v>
      </c>
      <c r="T76" s="100">
        <f t="shared" si="144"/>
        <v>0</v>
      </c>
      <c r="U76" s="100">
        <f t="shared" ref="U76" si="145">IFERROR($B76/U27,0)</f>
        <v>0</v>
      </c>
      <c r="V76" s="100">
        <f t="shared" si="144"/>
        <v>0</v>
      </c>
      <c r="W76" s="100">
        <f t="shared" si="144"/>
        <v>0</v>
      </c>
      <c r="X76" s="100">
        <f t="shared" si="144"/>
        <v>0</v>
      </c>
      <c r="Y76" s="100">
        <f t="shared" si="144"/>
        <v>0</v>
      </c>
      <c r="Z76" s="100">
        <f t="shared" si="144"/>
        <v>0</v>
      </c>
      <c r="AA76" s="100">
        <f t="shared" si="144"/>
        <v>0</v>
      </c>
      <c r="AB76" s="100">
        <f t="shared" si="144"/>
        <v>0</v>
      </c>
      <c r="AC76" s="100">
        <f t="shared" si="144"/>
        <v>0</v>
      </c>
      <c r="AD76" s="100">
        <f t="shared" si="144"/>
        <v>0</v>
      </c>
      <c r="AE76" s="100">
        <f t="shared" si="144"/>
        <v>0</v>
      </c>
      <c r="AF76" s="100">
        <f t="shared" si="144"/>
        <v>0</v>
      </c>
      <c r="AG76" s="100">
        <f t="shared" si="144"/>
        <v>0</v>
      </c>
      <c r="AH76" s="100">
        <f t="shared" si="144"/>
        <v>0</v>
      </c>
      <c r="AI76" s="100">
        <f t="shared" si="144"/>
        <v>0</v>
      </c>
      <c r="AJ76" s="100">
        <f t="shared" si="144"/>
        <v>0</v>
      </c>
      <c r="AK76" s="100">
        <f t="shared" si="144"/>
        <v>0</v>
      </c>
      <c r="AL76" s="100">
        <f t="shared" si="144"/>
        <v>0</v>
      </c>
      <c r="AM76" s="100">
        <f t="shared" si="144"/>
        <v>0</v>
      </c>
      <c r="AN76" s="100">
        <f t="shared" si="144"/>
        <v>0</v>
      </c>
      <c r="AO76" s="100">
        <f t="shared" si="144"/>
        <v>0</v>
      </c>
      <c r="AP76" s="100">
        <f t="shared" si="144"/>
        <v>0</v>
      </c>
      <c r="AQ76" s="100">
        <f t="shared" si="144"/>
        <v>0</v>
      </c>
      <c r="AR76" s="100">
        <f t="shared" si="144"/>
        <v>0</v>
      </c>
      <c r="AS76" s="100">
        <f t="shared" si="144"/>
        <v>0</v>
      </c>
      <c r="AT76" s="100">
        <f t="shared" si="144"/>
        <v>0</v>
      </c>
      <c r="AU76" s="100">
        <f t="shared" ref="AU76" si="146">IFERROR($B76/AU27,0)</f>
        <v>0</v>
      </c>
      <c r="AV76" s="100">
        <f t="shared" si="144"/>
        <v>0</v>
      </c>
      <c r="AW76" s="100">
        <f t="shared" si="144"/>
        <v>0</v>
      </c>
      <c r="AX76" s="100">
        <f t="shared" si="144"/>
        <v>0</v>
      </c>
      <c r="AY76" s="100">
        <f t="shared" si="144"/>
        <v>0</v>
      </c>
      <c r="AZ76" s="100">
        <f t="shared" si="144"/>
        <v>0</v>
      </c>
      <c r="BA76" s="100">
        <f t="shared" si="144"/>
        <v>0</v>
      </c>
      <c r="BB76" s="100">
        <f t="shared" si="144"/>
        <v>0</v>
      </c>
    </row>
  </sheetData>
  <sheetProtection algorithmName="SHA-512" hashValue="9VmiRpVYdi++0d1EYtx4y0FuLAitvn/tRY8VidpHjixjbGcaANDR74ebuaw8N0PDS2aphZd3cKSy/PZXTE5rMg==" saltValue="CqV+DmhZcOPGBDTZqQxh6g==" spinCount="100000" sheet="1" formatColumns="0" formatRows="0" autoFilter="0"/>
  <autoFilter ref="A1:BB76" xr:uid="{00000000-0009-0000-0000-000003000000}"/>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BB76"/>
  <sheetViews>
    <sheetView zoomScale="90" zoomScaleNormal="90" workbookViewId="0">
      <pane xSplit="2" ySplit="1" topLeftCell="C2" activePane="bottomRight" state="frozen"/>
      <selection activeCell="AC53" sqref="AC53"/>
      <selection pane="topRight" activeCell="AC53" sqref="AC53"/>
      <selection pane="bottomLeft" activeCell="AC53" sqref="AC53"/>
      <selection pane="bottomRight" activeCell="C2" sqref="C2"/>
    </sheetView>
  </sheetViews>
  <sheetFormatPr defaultColWidth="9" defaultRowHeight="15" x14ac:dyDescent="0.25"/>
  <cols>
    <col min="1" max="1" width="15.42578125" style="75" bestFit="1" customWidth="1"/>
    <col min="2" max="2" width="13.28515625" style="75" bestFit="1" customWidth="1"/>
    <col min="3" max="3" width="23" style="77" bestFit="1" customWidth="1"/>
    <col min="4" max="4" width="12.140625" style="77" bestFit="1" customWidth="1"/>
    <col min="5" max="5" width="12.42578125" style="77" bestFit="1" customWidth="1"/>
    <col min="6" max="6" width="11.140625" style="77" bestFit="1" customWidth="1"/>
    <col min="7" max="7" width="11.85546875" style="77" bestFit="1" customWidth="1"/>
    <col min="8" max="8" width="11.28515625" style="77" bestFit="1" customWidth="1"/>
    <col min="9" max="9" width="11.5703125" style="77" bestFit="1" customWidth="1"/>
    <col min="10" max="10" width="11" style="77" bestFit="1" customWidth="1"/>
    <col min="11" max="11" width="12.42578125" style="77" bestFit="1" customWidth="1"/>
    <col min="12" max="12" width="11.28515625" style="77" bestFit="1" customWidth="1"/>
    <col min="13" max="13" width="13" style="77" bestFit="1" customWidth="1"/>
    <col min="14" max="14" width="10.140625" style="77" bestFit="1" customWidth="1"/>
    <col min="15" max="16" width="11.28515625" style="77" bestFit="1" customWidth="1"/>
    <col min="17" max="17" width="12.42578125" style="77" bestFit="1" customWidth="1"/>
    <col min="18" max="18" width="12.5703125" style="77" bestFit="1" customWidth="1"/>
    <col min="19" max="19" width="11.28515625" style="77" bestFit="1" customWidth="1"/>
    <col min="20" max="20" width="10.42578125" style="77" bestFit="1" customWidth="1"/>
    <col min="21" max="21" width="11.5703125" style="77" bestFit="1" customWidth="1"/>
    <col min="22" max="22" width="11.85546875" style="77" bestFit="1" customWidth="1"/>
    <col min="23" max="23" width="12.140625" style="77" bestFit="1" customWidth="1"/>
    <col min="24" max="24" width="11.5703125" style="77" bestFit="1" customWidth="1"/>
    <col min="25" max="25" width="12.140625" style="77" bestFit="1" customWidth="1"/>
    <col min="26" max="27" width="10.5703125" style="77" bestFit="1" customWidth="1"/>
    <col min="28" max="28" width="12.7109375" style="77" bestFit="1" customWidth="1"/>
    <col min="29" max="29" width="22.85546875" style="77" bestFit="1" customWidth="1"/>
    <col min="30" max="30" width="12" style="77" bestFit="1" customWidth="1"/>
    <col min="31" max="31" width="12.140625" style="77" bestFit="1" customWidth="1"/>
    <col min="32" max="32" width="10.85546875" style="77" bestFit="1" customWidth="1"/>
    <col min="33" max="33" width="11.7109375" style="77" bestFit="1" customWidth="1"/>
    <col min="34" max="34" width="11.140625" style="77" bestFit="1" customWidth="1"/>
    <col min="35" max="35" width="11.42578125" style="77" bestFit="1" customWidth="1"/>
    <col min="36" max="36" width="10.7109375" style="77" bestFit="1" customWidth="1"/>
    <col min="37" max="37" width="12.140625" style="77" bestFit="1" customWidth="1"/>
    <col min="38" max="38" width="11.140625" style="77" bestFit="1" customWidth="1"/>
    <col min="39" max="39" width="12.85546875" style="77" bestFit="1" customWidth="1"/>
    <col min="40" max="40" width="10" style="77" bestFit="1" customWidth="1"/>
    <col min="41" max="42" width="11.140625" style="77" bestFit="1" customWidth="1"/>
    <col min="43" max="43" width="12.140625" style="77" bestFit="1" customWidth="1"/>
    <col min="44" max="44" width="12.42578125" style="77" bestFit="1" customWidth="1"/>
    <col min="45" max="45" width="11.140625" style="77" bestFit="1" customWidth="1"/>
    <col min="46" max="46" width="10.28515625" style="77" bestFit="1" customWidth="1"/>
    <col min="47" max="47" width="11.42578125" style="77" bestFit="1" customWidth="1"/>
    <col min="48" max="48" width="11.7109375" style="77" bestFit="1" customWidth="1"/>
    <col min="49" max="49" width="12" style="77" bestFit="1" customWidth="1"/>
    <col min="50" max="50" width="11.42578125" style="77" bestFit="1" customWidth="1"/>
    <col min="51" max="51" width="12" style="77" bestFit="1" customWidth="1"/>
    <col min="52" max="53" width="10.42578125" style="77" bestFit="1" customWidth="1"/>
    <col min="54" max="54" width="11.7109375" style="77" bestFit="1" customWidth="1"/>
    <col min="55" max="16384" width="9" style="77"/>
  </cols>
  <sheetData>
    <row r="1" spans="1:54" x14ac:dyDescent="0.25">
      <c r="A1" s="87" t="s">
        <v>51</v>
      </c>
      <c r="B1" s="88" t="s">
        <v>348</v>
      </c>
      <c r="C1" s="89" t="s">
        <v>639</v>
      </c>
      <c r="D1" s="90" t="s">
        <v>567</v>
      </c>
      <c r="E1" s="90" t="s">
        <v>571</v>
      </c>
      <c r="F1" s="90" t="s">
        <v>568</v>
      </c>
      <c r="G1" s="90" t="s">
        <v>569</v>
      </c>
      <c r="H1" s="90" t="s">
        <v>570</v>
      </c>
      <c r="I1" s="90" t="s">
        <v>572</v>
      </c>
      <c r="J1" s="90" t="s">
        <v>573</v>
      </c>
      <c r="K1" s="90" t="s">
        <v>574</v>
      </c>
      <c r="L1" s="90" t="s">
        <v>575</v>
      </c>
      <c r="M1" s="90" t="s">
        <v>576</v>
      </c>
      <c r="N1" s="90" t="s">
        <v>577</v>
      </c>
      <c r="O1" s="90" t="s">
        <v>578</v>
      </c>
      <c r="P1" s="90" t="s">
        <v>579</v>
      </c>
      <c r="Q1" s="90" t="s">
        <v>580</v>
      </c>
      <c r="R1" s="90" t="s">
        <v>581</v>
      </c>
      <c r="S1" s="90" t="s">
        <v>582</v>
      </c>
      <c r="T1" s="90" t="s">
        <v>583</v>
      </c>
      <c r="U1" s="90" t="s">
        <v>1492</v>
      </c>
      <c r="V1" s="90" t="s">
        <v>584</v>
      </c>
      <c r="W1" s="90" t="s">
        <v>585</v>
      </c>
      <c r="X1" s="90" t="s">
        <v>586</v>
      </c>
      <c r="Y1" s="90" t="s">
        <v>587</v>
      </c>
      <c r="Z1" s="90" t="s">
        <v>588</v>
      </c>
      <c r="AA1" s="90" t="s">
        <v>589</v>
      </c>
      <c r="AB1" s="90" t="s">
        <v>638</v>
      </c>
      <c r="AC1" s="90" t="s">
        <v>640</v>
      </c>
      <c r="AD1" s="90" t="s">
        <v>590</v>
      </c>
      <c r="AE1" s="90" t="s">
        <v>591</v>
      </c>
      <c r="AF1" s="90" t="s">
        <v>592</v>
      </c>
      <c r="AG1" s="90" t="s">
        <v>593</v>
      </c>
      <c r="AH1" s="90" t="s">
        <v>594</v>
      </c>
      <c r="AI1" s="90" t="s">
        <v>595</v>
      </c>
      <c r="AJ1" s="90" t="s">
        <v>596</v>
      </c>
      <c r="AK1" s="90" t="s">
        <v>597</v>
      </c>
      <c r="AL1" s="90" t="s">
        <v>598</v>
      </c>
      <c r="AM1" s="90" t="s">
        <v>599</v>
      </c>
      <c r="AN1" s="90" t="s">
        <v>600</v>
      </c>
      <c r="AO1" s="90" t="s">
        <v>601</v>
      </c>
      <c r="AP1" s="90" t="s">
        <v>602</v>
      </c>
      <c r="AQ1" s="90" t="s">
        <v>603</v>
      </c>
      <c r="AR1" s="90" t="s">
        <v>604</v>
      </c>
      <c r="AS1" s="90" t="s">
        <v>605</v>
      </c>
      <c r="AT1" s="90" t="s">
        <v>606</v>
      </c>
      <c r="AU1" s="90" t="s">
        <v>1508</v>
      </c>
      <c r="AV1" s="90" t="s">
        <v>607</v>
      </c>
      <c r="AW1" s="90" t="s">
        <v>608</v>
      </c>
      <c r="AX1" s="90" t="s">
        <v>609</v>
      </c>
      <c r="AY1" s="90" t="s">
        <v>610</v>
      </c>
      <c r="AZ1" s="90" t="s">
        <v>611</v>
      </c>
      <c r="BA1" s="90" t="s">
        <v>612</v>
      </c>
      <c r="BB1" s="90" t="s">
        <v>613</v>
      </c>
    </row>
    <row r="2" spans="1:54" ht="15" customHeight="1" x14ac:dyDescent="0.25">
      <c r="A2" s="92" t="s">
        <v>12</v>
      </c>
      <c r="B2" s="90" t="s">
        <v>1071</v>
      </c>
      <c r="C2" s="2">
        <f>IFERROR(1/SUM(1/D2,1/E2,1/F2,1/G2,1/H2,1/I2,1/J2,1/K2,1/L2,1/M2,1/N2,1/O2,1/P2,1/Q2,1/R2,1/S2,1/T2,1/U2,1/V2,1/W2,1/X2,1/Y2,1/Z2),".")</f>
        <v>0.16717039687521798</v>
      </c>
      <c r="D2" s="76">
        <f>IFERROR((d_dir!D2/(d_Bv!C2+MLF_apple)),".")</f>
        <v>4.7483510054833635</v>
      </c>
      <c r="E2" s="76">
        <f>IFERROR((d_dir!E2/(d_Bv!D2+MLF_asparagus)),".")</f>
        <v>11.163478476887528</v>
      </c>
      <c r="F2" s="76">
        <f>IFERROR((d_dir!F2/(d_Bv!E2+MLF_beet)),".")</f>
        <v>12.76889581381135</v>
      </c>
      <c r="G2" s="76">
        <f>IFERROR((d_dir!G2/(d_Bv!F2+MLF_berries)),".")</f>
        <v>10.624919193191756</v>
      </c>
      <c r="H2" s="76">
        <f>IFERROR((d_dir!H2/(d_Bv!G2+MLF_broccoli)),".")</f>
        <v>7.5943891163371617</v>
      </c>
      <c r="I2" s="76">
        <f>IFERROR((d_dir!I2/(d_Bv!H2+MLF_cabbage)),".")</f>
        <v>5.370468215400205</v>
      </c>
      <c r="J2" s="76">
        <f>IFERROR((d_dir!J2/(d_Bv!I2+MLF_carrot)),".")</f>
        <v>15.246736637931368</v>
      </c>
      <c r="K2" s="76">
        <f>IFERROR((d_dir!K2/(d_Bv!J2+MLF_citrus)),".")</f>
        <v>1.2344374768404878</v>
      </c>
      <c r="L2" s="76">
        <f>IFERROR((d_dir!L2/(d_Bv!K2+MLF_corn)),".")</f>
        <v>6.8405024355244599</v>
      </c>
      <c r="M2" s="76">
        <f>IFERROR((d_dir!M2/(d_Bv!L2+MLF_cucumber)),".")</f>
        <v>5.6418371057043082</v>
      </c>
      <c r="N2" s="76">
        <f>IFERROR((d_dir!N2/(d_Bv!M2+MLF_lettuce)),".")</f>
        <v>0.96175508170447777</v>
      </c>
      <c r="O2" s="76">
        <f>IFERROR((d_dir!O2/(d_Bv!N2+MLF_lima_bean)),".")</f>
        <v>2.6890694700684858</v>
      </c>
      <c r="P2" s="76">
        <f>IFERROR((d_dir!P2/(d_Bv!O2+MLF_okra)),".")</f>
        <v>14.661580607048602</v>
      </c>
      <c r="Q2" s="76">
        <f>IFERROR((d_dir!Q2/(d_Bv!P2+MLF_onion)),".")</f>
        <v>20.606354416112659</v>
      </c>
      <c r="R2" s="76">
        <f>IFERROR((d_dir!R2/(d_Bv!Q2+MLF_peach)),".")</f>
        <v>3.0748233184905187</v>
      </c>
      <c r="S2" s="76">
        <f>IFERROR((d_dir!S2/(d_Bv!R2+MLF_pear)),".")</f>
        <v>6.2186988620908012</v>
      </c>
      <c r="T2" s="76">
        <f>IFERROR((d_dir!T2/(d_Bv!S2+MLF_peas)),".")</f>
        <v>10.687852458374959</v>
      </c>
      <c r="U2" s="76">
        <f>IFERROR((d_dir!U2/(d_Bv!T2+MLF_peppers)),".")</f>
        <v>7.8275500865673475</v>
      </c>
      <c r="V2" s="76">
        <f>IFERROR((d_dir!V2/(d_Bv!U2+MLF_potato)),".")</f>
        <v>3.0616888070190424</v>
      </c>
      <c r="W2" s="76">
        <f>IFERROR((d_dir!W2/(d_Bv!V2+MLF_pumpkin)),".")</f>
        <v>7.1168846522026898</v>
      </c>
      <c r="X2" s="76">
        <f>IFERROR((d_dir!X2/(d_Bv!W2+MLF_snap_bean)),".")</f>
        <v>1.4074552479998046</v>
      </c>
      <c r="Y2" s="76">
        <f>IFERROR((d_dir!Y2/(d_Bv!X2+MLF_strawberry)),".")</f>
        <v>9.9704750822140138</v>
      </c>
      <c r="Z2" s="76">
        <f>IFERROR((d_dir!Z2/(d_Bv!Y2+MLF_tomato)),".")</f>
        <v>2.0891062276848325</v>
      </c>
      <c r="AA2" s="76">
        <f>IFERROR((d_dir!AA2/(d_Bv!D2+MLF_rice)),".")</f>
        <v>2.2247414773494009E-2</v>
      </c>
      <c r="AB2" s="76">
        <f>IFERROR((d_dir!AB2/(d_Bv!AA2+MLF_cereal)),".")</f>
        <v>2.5513835788448201E-2</v>
      </c>
      <c r="AC2" s="76">
        <f>IFERROR(1/SUM(1/AD2,1/AE2,1/AF2,1/AG2,1/AH2,1/AI2,1/AJ2,1/AK2,1/AL2,1/AM2,1/AN2,1/AO2,1/AP2,1/AQ2,1/AR2,1/AS2,1/AT2,1/AU2,1/AV2,1/AW2,1/AX2,1/AY2,1/AZ2),".")</f>
        <v>0.10062628218697231</v>
      </c>
      <c r="AD2" s="76">
        <f>IFERROR((d_dir!AD2/(d_Bv!C2+MLF_apple))*1,".")</f>
        <v>2.6837161686906619</v>
      </c>
      <c r="AE2" s="76">
        <f>IFERROR((d_dir!AE2/(d_Bv!D2+MLF_asparagus))*1,".")</f>
        <v>6.7954990951446659</v>
      </c>
      <c r="AF2" s="76">
        <f>IFERROR((d_dir!AF2/(d_Bv!E2+MLF_beet))*1,".")</f>
        <v>7.6681159333107312</v>
      </c>
      <c r="AG2" s="76">
        <f>IFERROR((d_dir!AG2/(d_Bv!F2+MLF_berries))*1,".")</f>
        <v>6.7233095222492079</v>
      </c>
      <c r="AH2" s="76">
        <f>IFERROR((d_dir!AH2/(d_Bv!G2+MLF_broccoli))*1,".")</f>
        <v>4.1932807074023168</v>
      </c>
      <c r="AI2" s="76">
        <f>IFERROR((d_dir!AI2/(d_Bv!H2+MLF_cabbage))*1,".")</f>
        <v>3.4383409361724384</v>
      </c>
      <c r="AJ2" s="76">
        <f>IFERROR((d_dir!AJ2/(d_Bv!I2+MLF_carrot))*1,".")</f>
        <v>10.559565453929565</v>
      </c>
      <c r="AK2" s="76">
        <f>IFERROR((d_dir!AK2/(d_Bv!J2+MLF_citrus))*1,".")</f>
        <v>0.78003486783967002</v>
      </c>
      <c r="AL2" s="76">
        <f>IFERROR((d_dir!AL2/(d_Bv!K2+MLF_corn))*1,".")</f>
        <v>3.0822418220048489</v>
      </c>
      <c r="AM2" s="76">
        <f>IFERROR((d_dir!AM2/(d_Bv!L2+MLF_cucumber))*1,".")</f>
        <v>5.1495692987822359</v>
      </c>
      <c r="AN2" s="76">
        <f>IFERROR((d_dir!AN2/(d_Bv!M2+MLF_lettuce))*1,".")</f>
        <v>0.57210852676065116</v>
      </c>
      <c r="AO2" s="76">
        <f>IFERROR((d_dir!AO2/(d_Bv!N2+MLF_lima_bean))*1,".")</f>
        <v>1.6955832716452393</v>
      </c>
      <c r="AP2" s="76">
        <f>IFERROR((d_dir!AP2/(d_Bv!O2+MLF_okra))*1,".")</f>
        <v>8.9368386746083406</v>
      </c>
      <c r="AQ2" s="76">
        <f>IFERROR((d_dir!AQ2/(d_Bv!P2+MLF_onion))*1,".")</f>
        <v>9.8542923810715486</v>
      </c>
      <c r="AR2" s="76">
        <f>IFERROR((d_dir!AR2/(d_Bv!Q2+MLF_peach))*1,".")</f>
        <v>2.2342144134159598</v>
      </c>
      <c r="AS2" s="76">
        <f>IFERROR((d_dir!AS2/(d_Bv!R2+MLF_pear))*1,".")</f>
        <v>3.6121357417847788</v>
      </c>
      <c r="AT2" s="76">
        <f>IFERROR((d_dir!AT2/(d_Bv!S2+MLF_peas))*1,".")</f>
        <v>7.4622071475752962</v>
      </c>
      <c r="AU2" s="76">
        <f>IFERROR((d_dir!AU2/(d_Bv!T2+MLF_peppers))*1,".")</f>
        <v>3.8123913723841429</v>
      </c>
      <c r="AV2" s="76">
        <f>IFERROR((d_dir!AV2/(d_Bv!U2+MLF_potato))*1,".")</f>
        <v>1.6930025457926385</v>
      </c>
      <c r="AW2" s="76">
        <f>IFERROR((d_dir!AW2/(d_Bv!V2+MLF_pumpkin))*1,".")</f>
        <v>4.3494494077760475</v>
      </c>
      <c r="AX2" s="76">
        <f>IFERROR((d_dir!AX2/(d_Bv!W2+MLF_snap_bean))*1,".")</f>
        <v>0.86579485875871842</v>
      </c>
      <c r="AY2" s="76">
        <f>IFERROR((d_dir!AY2/(d_Bv!X2+MLF_strawberry))*1,".")</f>
        <v>6.3033222177579216</v>
      </c>
      <c r="AZ2" s="76">
        <f>IFERROR((d_dir!AZ2/(d_Bv!Y2+MLF_tomato))*1,".")</f>
        <v>1.1011234842662141</v>
      </c>
      <c r="BA2" s="76">
        <f>IFERROR((d_dir!BA2/(d_Bv!Z2+MLF_rice))*1,".")</f>
        <v>1.3025709936373519E-2</v>
      </c>
      <c r="BB2" s="76">
        <f>IFERROR((d_dir!BB2/(d_Bv!AA2+MLF_cereal))*1,".")</f>
        <v>1.3214619280302259E-2</v>
      </c>
    </row>
    <row r="3" spans="1:54" x14ac:dyDescent="0.25">
      <c r="A3" s="94" t="s">
        <v>13</v>
      </c>
      <c r="B3" s="90" t="s">
        <v>349</v>
      </c>
      <c r="C3" s="2">
        <f t="shared" ref="C3:C31" si="0">IFERROR(1/SUM(1/D3,1/E3,1/F3,1/G3,1/H3,1/I3,1/J3,1/K3,1/L3,1/M3,1/N3,1/O3,1/P3,1/Q3,1/R3,1/S3,1/T3,1/U3,1/V3,1/W3,1/X3,1/Y3,1/Z3),".")</f>
        <v>0.59625120892320971</v>
      </c>
      <c r="D3" s="76">
        <f>IFERROR((d_dir!D3/(d_Bv!C3+MLF_apple)),".")</f>
        <v>58.634914361049937</v>
      </c>
      <c r="E3" s="76">
        <f>IFERROR((d_dir!E3/(d_Bv!D3+MLF_asparagus)),".")</f>
        <v>70.175322170953379</v>
      </c>
      <c r="F3" s="76">
        <f>IFERROR((d_dir!F3/(d_Bv!E3+MLF_beet)),".")</f>
        <v>36.56563356089422</v>
      </c>
      <c r="G3" s="76">
        <f>IFERROR((d_dir!G3/(d_Bv!F3+MLF_berries)),".")</f>
        <v>26.075696512385097</v>
      </c>
      <c r="H3" s="76">
        <f>IFERROR((d_dir!H3/(d_Bv!G3+MLF_broccoli)),".")</f>
        <v>22.654641484313377</v>
      </c>
      <c r="I3" s="76">
        <f>IFERROR((d_dir!I3/(d_Bv!H3+MLF_cabbage)),".")</f>
        <v>32.175997454955812</v>
      </c>
      <c r="J3" s="76">
        <f>IFERROR((d_dir!J3/(d_Bv!I3+MLF_carrot)),".")</f>
        <v>44.338094050602102</v>
      </c>
      <c r="K3" s="76">
        <f>IFERROR((d_dir!K3/(d_Bv!J3+MLF_citrus)),".")</f>
        <v>15.446620114885695</v>
      </c>
      <c r="L3" s="76">
        <f>IFERROR((d_dir!L3/(d_Bv!K3+MLF_corn)),".")</f>
        <v>81.667213039105349</v>
      </c>
      <c r="M3" s="76">
        <f>IFERROR((d_dir!M3/(d_Bv!L3+MLF_cucumber)),".")</f>
        <v>29.825157707828538</v>
      </c>
      <c r="N3" s="76">
        <f>IFERROR((d_dir!N3/(d_Bv!M3+MLF_lettuce)),".")</f>
        <v>2.0591472760006106</v>
      </c>
      <c r="O3" s="76">
        <f>IFERROR((d_dir!O3/(d_Bv!N3+MLF_lima_bean)),".")</f>
        <v>6.2727201865208144</v>
      </c>
      <c r="P3" s="76">
        <f>IFERROR((d_dir!P3/(d_Bv!O3+MLF_okra)),".")</f>
        <v>73.171292991812948</v>
      </c>
      <c r="Q3" s="76">
        <f>IFERROR((d_dir!Q3/(d_Bv!P3+MLF_onion)),".")</f>
        <v>59.924067807968889</v>
      </c>
      <c r="R3" s="76">
        <f>IFERROR((d_dir!R3/(d_Bv!Q3+MLF_peach)),".")</f>
        <v>39.721742292555156</v>
      </c>
      <c r="S3" s="76">
        <f>IFERROR((d_dir!S3/(d_Bv!R3+MLF_pear)),".")</f>
        <v>76.791474512894538</v>
      </c>
      <c r="T3" s="76">
        <f>IFERROR((d_dir!T3/(d_Bv!S3+MLF_peas)),".")</f>
        <v>45.876512891504198</v>
      </c>
      <c r="U3" s="76">
        <f>IFERROR((d_dir!U3/(d_Bv!T3+MLF_peppers)),".")</f>
        <v>19.863276083446276</v>
      </c>
      <c r="V3" s="76">
        <f>IFERROR((d_dir!V3/(d_Bv!U3+MLF_potato)),".")</f>
        <v>17.934364180621898</v>
      </c>
      <c r="W3" s="76">
        <f>IFERROR((d_dir!W3/(d_Bv!V3+MLF_pumpkin)),".")</f>
        <v>36.625888667380259</v>
      </c>
      <c r="X3" s="76">
        <f>IFERROR((d_dir!X3/(d_Bv!W3+MLF_snap_bean)),".")</f>
        <v>3.1914822066910062</v>
      </c>
      <c r="Y3" s="76">
        <f>IFERROR((d_dir!Y3/(d_Bv!X3+MLF_strawberry)),".")</f>
        <v>115.23246839441161</v>
      </c>
      <c r="Z3" s="76">
        <f>IFERROR((d_dir!Z3/(d_Bv!Y3+MLF_tomato)),".")</f>
        <v>5.5239475635028503</v>
      </c>
      <c r="AA3" s="76">
        <f>IFERROR((d_dir!AA3/(d_Bv!D3+MLF_rice)),".")</f>
        <v>4.5366297621614579E-2</v>
      </c>
      <c r="AB3" s="76">
        <f>IFERROR((d_dir!AB3/(d_Bv!AA3+MLF_cereal)),".")</f>
        <v>5.2078697104006269E-2</v>
      </c>
      <c r="AC3" s="76">
        <f t="shared" ref="AC3:AC30" si="1">IFERROR(1/SUM(1/AD3,1/AE3,1/AF3,1/AG3,1/AH3,1/AI3,1/AJ3,1/AK3,1/AL3,1/AM3,1/AN3,1/AO3,1/AP3,1/AQ3,1/AR3,1/AS3,1/AT3,1/AU3,1/AV3,1/AW3,1/AX3,1/AY3,1/AZ3),".")</f>
        <v>0.35493801594763108</v>
      </c>
      <c r="AD3" s="76">
        <f>IFERROR((d_dir!AD3/(d_Bv!C3+MLF_apple))*1,".")</f>
        <v>33.139813703499257</v>
      </c>
      <c r="AE3" s="76">
        <f>IFERROR((d_dir!AE3/(d_Bv!D3+MLF_asparagus))*1,".")</f>
        <v>42.717539994501458</v>
      </c>
      <c r="AF3" s="76">
        <f>IFERROR((d_dir!AF3/(d_Bv!E3+MLF_beet))*1,".")</f>
        <v>21.958791222700242</v>
      </c>
      <c r="AG3" s="76">
        <f>IFERROR((d_dir!AG3/(d_Bv!F3+MLF_berries))*1,".")</f>
        <v>16.500358776689577</v>
      </c>
      <c r="AH3" s="76">
        <f>IFERROR((d_dir!AH3/(d_Bv!G3+MLF_broccoli))*1,".")</f>
        <v>12.508875910101569</v>
      </c>
      <c r="AI3" s="76">
        <f>IFERROR((d_dir!AI3/(d_Bv!H3+MLF_cabbage))*1,".")</f>
        <v>20.600075221432167</v>
      </c>
      <c r="AJ3" s="76">
        <f>IFERROR((d_dir!AJ3/(d_Bv!I3+MLF_carrot))*1,".")</f>
        <v>30.707620741938694</v>
      </c>
      <c r="AK3" s="76">
        <f>IFERROR((d_dir!AK3/(d_Bv!J3+MLF_citrus))*1,".")</f>
        <v>9.7606419976192882</v>
      </c>
      <c r="AL3" s="76">
        <f>IFERROR((d_dir!AL3/(d_Bv!K3+MLF_corn))*1,".")</f>
        <v>36.798188713225876</v>
      </c>
      <c r="AM3" s="76">
        <f>IFERROR((d_dir!AM3/(d_Bv!L3+MLF_cucumber))*1,".")</f>
        <v>27.222820082537453</v>
      </c>
      <c r="AN3" s="76">
        <f>IFERROR((d_dir!AN3/(d_Bv!M3+MLF_lettuce))*1,".")</f>
        <v>1.2249019910225993</v>
      </c>
      <c r="AO3" s="76">
        <f>IFERROR((d_dir!AO3/(d_Bv!N3+MLF_lima_bean))*1,".")</f>
        <v>3.9552415935558609</v>
      </c>
      <c r="AP3" s="76">
        <f>IFERROR((d_dir!AP3/(d_Bv!O3+MLF_okra))*1,".")</f>
        <v>44.6009239117069</v>
      </c>
      <c r="AQ3" s="76">
        <f>IFERROR((d_dir!AQ3/(d_Bv!P3+MLF_onion))*1,".")</f>
        <v>28.656659636075545</v>
      </c>
      <c r="AR3" s="76">
        <f>IFERROR((d_dir!AR3/(d_Bv!Q3+MLF_peach))*1,".")</f>
        <v>28.862435321840991</v>
      </c>
      <c r="AS3" s="76">
        <f>IFERROR((d_dir!AS3/(d_Bv!R3+MLF_pear))*1,".")</f>
        <v>44.604383634540937</v>
      </c>
      <c r="AT3" s="76">
        <f>IFERROR((d_dir!AT3/(d_Bv!S3+MLF_peas))*1,".")</f>
        <v>32.030760504796881</v>
      </c>
      <c r="AU3" s="76">
        <f>IFERROR((d_dir!AU3/(d_Bv!T3+MLF_peppers))*1,".")</f>
        <v>9.6743657377251751</v>
      </c>
      <c r="AV3" s="76">
        <f>IFERROR((d_dir!AV3/(d_Bv!U3+MLF_potato))*1,".")</f>
        <v>9.9170510554034692</v>
      </c>
      <c r="AW3" s="76">
        <f>IFERROR((d_dir!AW3/(d_Bv!V3+MLF_pumpkin))*1,".")</f>
        <v>22.383733551773119</v>
      </c>
      <c r="AX3" s="76">
        <f>IFERROR((d_dir!AX3/(d_Bv!W3+MLF_snap_bean))*1,".")</f>
        <v>1.9632374743707561</v>
      </c>
      <c r="AY3" s="76">
        <f>IFERROR((d_dir!AY3/(d_Bv!X3+MLF_strawberry))*1,".")</f>
        <v>72.849826337090818</v>
      </c>
      <c r="AZ3" s="76">
        <f>IFERROR((d_dir!AZ3/(d_Bv!Y3+MLF_tomato))*1,".")</f>
        <v>2.9115553375994963</v>
      </c>
      <c r="BA3" s="76">
        <f>IFERROR((d_dir!BA3/(d_Bv!Z3+MLF_rice))*1,".")</f>
        <v>2.6484407460659724E-2</v>
      </c>
      <c r="BB3" s="76">
        <f>IFERROR((d_dir!BB3/(d_Bv!AA3+MLF_cereal))*1,".")</f>
        <v>2.6973606028898887E-2</v>
      </c>
    </row>
    <row r="4" spans="1:54" ht="15" customHeight="1" x14ac:dyDescent="0.25">
      <c r="A4" s="92" t="s">
        <v>14</v>
      </c>
      <c r="B4" s="90" t="s">
        <v>1071</v>
      </c>
      <c r="C4" s="2" t="str">
        <f t="shared" si="0"/>
        <v>.</v>
      </c>
      <c r="D4" s="76" t="str">
        <f>IFERROR((d_dir!D4/(d_Bv!C4+MLF_apple)),".")</f>
        <v>.</v>
      </c>
      <c r="E4" s="76" t="str">
        <f>IFERROR((d_dir!E4/(d_Bv!D4+MLF_asparagus)),".")</f>
        <v>.</v>
      </c>
      <c r="F4" s="76" t="str">
        <f>IFERROR((d_dir!F4/(d_Bv!E4+MLF_beet)),".")</f>
        <v>.</v>
      </c>
      <c r="G4" s="76" t="str">
        <f>IFERROR((d_dir!G4/(d_Bv!F4+MLF_berries)),".")</f>
        <v>.</v>
      </c>
      <c r="H4" s="76" t="str">
        <f>IFERROR((d_dir!H4/(d_Bv!G4+MLF_broccoli)),".")</f>
        <v>.</v>
      </c>
      <c r="I4" s="76" t="str">
        <f>IFERROR((d_dir!I4/(d_Bv!H4+MLF_cabbage)),".")</f>
        <v>.</v>
      </c>
      <c r="J4" s="76" t="str">
        <f>IFERROR((d_dir!J4/(d_Bv!I4+MLF_carrot)),".")</f>
        <v>.</v>
      </c>
      <c r="K4" s="76" t="str">
        <f>IFERROR((d_dir!K4/(d_Bv!J4+MLF_citrus)),".")</f>
        <v>.</v>
      </c>
      <c r="L4" s="76" t="str">
        <f>IFERROR((d_dir!L4/(d_Bv!K4+MLF_corn)),".")</f>
        <v>.</v>
      </c>
      <c r="M4" s="76" t="str">
        <f>IFERROR((d_dir!M4/(d_Bv!L4+MLF_cucumber)),".")</f>
        <v>.</v>
      </c>
      <c r="N4" s="76" t="str">
        <f>IFERROR((d_dir!N4/(d_Bv!M4+MLF_lettuce)),".")</f>
        <v>.</v>
      </c>
      <c r="O4" s="76" t="str">
        <f>IFERROR((d_dir!O4/(d_Bv!N4+MLF_lima_bean)),".")</f>
        <v>.</v>
      </c>
      <c r="P4" s="76" t="str">
        <f>IFERROR((d_dir!P4/(d_Bv!O4+MLF_okra)),".")</f>
        <v>.</v>
      </c>
      <c r="Q4" s="76" t="str">
        <f>IFERROR((d_dir!Q4/(d_Bv!P4+MLF_onion)),".")</f>
        <v>.</v>
      </c>
      <c r="R4" s="76" t="str">
        <f>IFERROR((d_dir!R4/(d_Bv!Q4+MLF_peach)),".")</f>
        <v>.</v>
      </c>
      <c r="S4" s="76" t="str">
        <f>IFERROR((d_dir!S4/(d_Bv!R4+MLF_pear)),".")</f>
        <v>.</v>
      </c>
      <c r="T4" s="76" t="str">
        <f>IFERROR((d_dir!T4/(d_Bv!S4+MLF_peas)),".")</f>
        <v>.</v>
      </c>
      <c r="U4" s="76" t="str">
        <f>IFERROR((d_dir!U4/(d_Bv!T4+MLF_peppers)),".")</f>
        <v>.</v>
      </c>
      <c r="V4" s="76" t="str">
        <f>IFERROR((d_dir!V4/(d_Bv!U4+MLF_potato)),".")</f>
        <v>.</v>
      </c>
      <c r="W4" s="76" t="str">
        <f>IFERROR((d_dir!W4/(d_Bv!V4+MLF_pumpkin)),".")</f>
        <v>.</v>
      </c>
      <c r="X4" s="76" t="str">
        <f>IFERROR((d_dir!X4/(d_Bv!W4+MLF_snap_bean)),".")</f>
        <v>.</v>
      </c>
      <c r="Y4" s="76" t="str">
        <f>IFERROR((d_dir!Y4/(d_Bv!X4+MLF_strawberry)),".")</f>
        <v>.</v>
      </c>
      <c r="Z4" s="76" t="str">
        <f>IFERROR((d_dir!Z4/(d_Bv!Y4+MLF_tomato)),".")</f>
        <v>.</v>
      </c>
      <c r="AA4" s="76" t="str">
        <f>IFERROR((d_dir!AA4/(d_Bv!D4+MLF_rice)),".")</f>
        <v>.</v>
      </c>
      <c r="AB4" s="76" t="str">
        <f>IFERROR((d_dir!AB4/(d_Bv!AA4+MLF_cereal)),".")</f>
        <v>.</v>
      </c>
      <c r="AC4" s="76" t="str">
        <f t="shared" si="1"/>
        <v>.</v>
      </c>
      <c r="AD4" s="76" t="str">
        <f>IFERROR((d_dir!AD4/(d_Bv!C4+MLF_apple))*1,".")</f>
        <v>.</v>
      </c>
      <c r="AE4" s="76" t="str">
        <f>IFERROR((d_dir!AE4/(d_Bv!D4+MLF_asparagus))*1,".")</f>
        <v>.</v>
      </c>
      <c r="AF4" s="76" t="str">
        <f>IFERROR((d_dir!AF4/(d_Bv!E4+MLF_beet))*1,".")</f>
        <v>.</v>
      </c>
      <c r="AG4" s="76" t="str">
        <f>IFERROR((d_dir!AG4/(d_Bv!F4+MLF_berries))*1,".")</f>
        <v>.</v>
      </c>
      <c r="AH4" s="76" t="str">
        <f>IFERROR((d_dir!AH4/(d_Bv!G4+MLF_broccoli))*1,".")</f>
        <v>.</v>
      </c>
      <c r="AI4" s="76" t="str">
        <f>IFERROR((d_dir!AI4/(d_Bv!H4+MLF_cabbage))*1,".")</f>
        <v>.</v>
      </c>
      <c r="AJ4" s="76" t="str">
        <f>IFERROR((d_dir!AJ4/(d_Bv!I4+MLF_carrot))*1,".")</f>
        <v>.</v>
      </c>
      <c r="AK4" s="76" t="str">
        <f>IFERROR((d_dir!AK4/(d_Bv!J4+MLF_citrus))*1,".")</f>
        <v>.</v>
      </c>
      <c r="AL4" s="76" t="str">
        <f>IFERROR((d_dir!AL4/(d_Bv!K4+MLF_corn))*1,".")</f>
        <v>.</v>
      </c>
      <c r="AM4" s="76" t="str">
        <f>IFERROR((d_dir!AM4/(d_Bv!L4+MLF_cucumber))*1,".")</f>
        <v>.</v>
      </c>
      <c r="AN4" s="76" t="str">
        <f>IFERROR((d_dir!AN4/(d_Bv!M4+MLF_lettuce))*1,".")</f>
        <v>.</v>
      </c>
      <c r="AO4" s="76" t="str">
        <f>IFERROR((d_dir!AO4/(d_Bv!N4+MLF_lima_bean))*1,".")</f>
        <v>.</v>
      </c>
      <c r="AP4" s="76" t="str">
        <f>IFERROR((d_dir!AP4/(d_Bv!O4+MLF_okra))*1,".")</f>
        <v>.</v>
      </c>
      <c r="AQ4" s="76" t="str">
        <f>IFERROR((d_dir!AQ4/(d_Bv!P4+MLF_onion))*1,".")</f>
        <v>.</v>
      </c>
      <c r="AR4" s="76" t="str">
        <f>IFERROR((d_dir!AR4/(d_Bv!Q4+MLF_peach))*1,".")</f>
        <v>.</v>
      </c>
      <c r="AS4" s="76" t="str">
        <f>IFERROR((d_dir!AS4/(d_Bv!R4+MLF_pear))*1,".")</f>
        <v>.</v>
      </c>
      <c r="AT4" s="76" t="str">
        <f>IFERROR((d_dir!AT4/(d_Bv!S4+MLF_peas))*1,".")</f>
        <v>.</v>
      </c>
      <c r="AU4" s="76" t="str">
        <f>IFERROR((d_dir!AU4/(d_Bv!T4+MLF_peppers))*1,".")</f>
        <v>.</v>
      </c>
      <c r="AV4" s="76" t="str">
        <f>IFERROR((d_dir!AV4/(d_Bv!U4+MLF_potato))*1,".")</f>
        <v>.</v>
      </c>
      <c r="AW4" s="76" t="str">
        <f>IFERROR((d_dir!AW4/(d_Bv!V4+MLF_pumpkin))*1,".")</f>
        <v>.</v>
      </c>
      <c r="AX4" s="76" t="str">
        <f>IFERROR((d_dir!AX4/(d_Bv!W4+MLF_snap_bean))*1,".")</f>
        <v>.</v>
      </c>
      <c r="AY4" s="76" t="str">
        <f>IFERROR((d_dir!AY4/(d_Bv!X4+MLF_strawberry))*1,".")</f>
        <v>.</v>
      </c>
      <c r="AZ4" s="76" t="str">
        <f>IFERROR((d_dir!AZ4/(d_Bv!Y4+MLF_tomato))*1,".")</f>
        <v>.</v>
      </c>
      <c r="BA4" s="76" t="str">
        <f>IFERROR((d_dir!BA4/(d_Bv!Z4+MLF_rice))*1,".")</f>
        <v>.</v>
      </c>
      <c r="BB4" s="76" t="str">
        <f>IFERROR((d_dir!BB4/(d_Bv!AA4+MLF_cereal))*1,".")</f>
        <v>.</v>
      </c>
    </row>
    <row r="5" spans="1:54" ht="15" customHeight="1" x14ac:dyDescent="0.25">
      <c r="A5" s="92" t="s">
        <v>15</v>
      </c>
      <c r="B5" s="90" t="s">
        <v>1071</v>
      </c>
      <c r="C5" s="2" t="str">
        <f t="shared" si="0"/>
        <v>.</v>
      </c>
      <c r="D5" s="76" t="str">
        <f>IFERROR((d_dir!D5/(d_Bv!C5+MLF_apple)),".")</f>
        <v>.</v>
      </c>
      <c r="E5" s="76" t="str">
        <f>IFERROR((d_dir!E5/(d_Bv!D5+MLF_asparagus)),".")</f>
        <v>.</v>
      </c>
      <c r="F5" s="76" t="str">
        <f>IFERROR((d_dir!F5/(d_Bv!E5+MLF_beet)),".")</f>
        <v>.</v>
      </c>
      <c r="G5" s="76" t="str">
        <f>IFERROR((d_dir!G5/(d_Bv!F5+MLF_berries)),".")</f>
        <v>.</v>
      </c>
      <c r="H5" s="76" t="str">
        <f>IFERROR((d_dir!H5/(d_Bv!G5+MLF_broccoli)),".")</f>
        <v>.</v>
      </c>
      <c r="I5" s="76" t="str">
        <f>IFERROR((d_dir!I5/(d_Bv!H5+MLF_cabbage)),".")</f>
        <v>.</v>
      </c>
      <c r="J5" s="76" t="str">
        <f>IFERROR((d_dir!J5/(d_Bv!I5+MLF_carrot)),".")</f>
        <v>.</v>
      </c>
      <c r="K5" s="76" t="str">
        <f>IFERROR((d_dir!K5/(d_Bv!J5+MLF_citrus)),".")</f>
        <v>.</v>
      </c>
      <c r="L5" s="76" t="str">
        <f>IFERROR((d_dir!L5/(d_Bv!K5+MLF_corn)),".")</f>
        <v>.</v>
      </c>
      <c r="M5" s="76" t="str">
        <f>IFERROR((d_dir!M5/(d_Bv!L5+MLF_cucumber)),".")</f>
        <v>.</v>
      </c>
      <c r="N5" s="76" t="str">
        <f>IFERROR((d_dir!N5/(d_Bv!M5+MLF_lettuce)),".")</f>
        <v>.</v>
      </c>
      <c r="O5" s="76" t="str">
        <f>IFERROR((d_dir!O5/(d_Bv!N5+MLF_lima_bean)),".")</f>
        <v>.</v>
      </c>
      <c r="P5" s="76" t="str">
        <f>IFERROR((d_dir!P5/(d_Bv!O5+MLF_okra)),".")</f>
        <v>.</v>
      </c>
      <c r="Q5" s="76" t="str">
        <f>IFERROR((d_dir!Q5/(d_Bv!P5+MLF_onion)),".")</f>
        <v>.</v>
      </c>
      <c r="R5" s="76" t="str">
        <f>IFERROR((d_dir!R5/(d_Bv!Q5+MLF_peach)),".")</f>
        <v>.</v>
      </c>
      <c r="S5" s="76" t="str">
        <f>IFERROR((d_dir!S5/(d_Bv!R5+MLF_pear)),".")</f>
        <v>.</v>
      </c>
      <c r="T5" s="76" t="str">
        <f>IFERROR((d_dir!T5/(d_Bv!S5+MLF_peas)),".")</f>
        <v>.</v>
      </c>
      <c r="U5" s="76" t="str">
        <f>IFERROR((d_dir!U5/(d_Bv!T5+MLF_peppers)),".")</f>
        <v>.</v>
      </c>
      <c r="V5" s="76" t="str">
        <f>IFERROR((d_dir!V5/(d_Bv!U5+MLF_potato)),".")</f>
        <v>.</v>
      </c>
      <c r="W5" s="76" t="str">
        <f>IFERROR((d_dir!W5/(d_Bv!V5+MLF_pumpkin)),".")</f>
        <v>.</v>
      </c>
      <c r="X5" s="76" t="str">
        <f>IFERROR((d_dir!X5/(d_Bv!W5+MLF_snap_bean)),".")</f>
        <v>.</v>
      </c>
      <c r="Y5" s="76" t="str">
        <f>IFERROR((d_dir!Y5/(d_Bv!X5+MLF_strawberry)),".")</f>
        <v>.</v>
      </c>
      <c r="Z5" s="76" t="str">
        <f>IFERROR((d_dir!Z5/(d_Bv!Y5+MLF_tomato)),".")</f>
        <v>.</v>
      </c>
      <c r="AA5" s="76" t="str">
        <f>IFERROR((d_dir!AA5/(d_Bv!D5+MLF_rice)),".")</f>
        <v>.</v>
      </c>
      <c r="AB5" s="76" t="str">
        <f>IFERROR((d_dir!AB5/(d_Bv!AA5+MLF_cereal)),".")</f>
        <v>.</v>
      </c>
      <c r="AC5" s="76" t="str">
        <f t="shared" si="1"/>
        <v>.</v>
      </c>
      <c r="AD5" s="76" t="str">
        <f>IFERROR((d_dir!AD5/(d_Bv!C5+MLF_apple))*1,".")</f>
        <v>.</v>
      </c>
      <c r="AE5" s="76" t="str">
        <f>IFERROR((d_dir!AE5/(d_Bv!D5+MLF_asparagus))*1,".")</f>
        <v>.</v>
      </c>
      <c r="AF5" s="76" t="str">
        <f>IFERROR((d_dir!AF5/(d_Bv!E5+MLF_beet))*1,".")</f>
        <v>.</v>
      </c>
      <c r="AG5" s="76" t="str">
        <f>IFERROR((d_dir!AG5/(d_Bv!F5+MLF_berries))*1,".")</f>
        <v>.</v>
      </c>
      <c r="AH5" s="76" t="str">
        <f>IFERROR((d_dir!AH5/(d_Bv!G5+MLF_broccoli))*1,".")</f>
        <v>.</v>
      </c>
      <c r="AI5" s="76" t="str">
        <f>IFERROR((d_dir!AI5/(d_Bv!H5+MLF_cabbage))*1,".")</f>
        <v>.</v>
      </c>
      <c r="AJ5" s="76" t="str">
        <f>IFERROR((d_dir!AJ5/(d_Bv!I5+MLF_carrot))*1,".")</f>
        <v>.</v>
      </c>
      <c r="AK5" s="76" t="str">
        <f>IFERROR((d_dir!AK5/(d_Bv!J5+MLF_citrus))*1,".")</f>
        <v>.</v>
      </c>
      <c r="AL5" s="76" t="str">
        <f>IFERROR((d_dir!AL5/(d_Bv!K5+MLF_corn))*1,".")</f>
        <v>.</v>
      </c>
      <c r="AM5" s="76" t="str">
        <f>IFERROR((d_dir!AM5/(d_Bv!L5+MLF_cucumber))*1,".")</f>
        <v>.</v>
      </c>
      <c r="AN5" s="76" t="str">
        <f>IFERROR((d_dir!AN5/(d_Bv!M5+MLF_lettuce))*1,".")</f>
        <v>.</v>
      </c>
      <c r="AO5" s="76" t="str">
        <f>IFERROR((d_dir!AO5/(d_Bv!N5+MLF_lima_bean))*1,".")</f>
        <v>.</v>
      </c>
      <c r="AP5" s="76" t="str">
        <f>IFERROR((d_dir!AP5/(d_Bv!O5+MLF_okra))*1,".")</f>
        <v>.</v>
      </c>
      <c r="AQ5" s="76" t="str">
        <f>IFERROR((d_dir!AQ5/(d_Bv!P5+MLF_onion))*1,".")</f>
        <v>.</v>
      </c>
      <c r="AR5" s="76" t="str">
        <f>IFERROR((d_dir!AR5/(d_Bv!Q5+MLF_peach))*1,".")</f>
        <v>.</v>
      </c>
      <c r="AS5" s="76" t="str">
        <f>IFERROR((d_dir!AS5/(d_Bv!R5+MLF_pear))*1,".")</f>
        <v>.</v>
      </c>
      <c r="AT5" s="76" t="str">
        <f>IFERROR((d_dir!AT5/(d_Bv!S5+MLF_peas))*1,".")</f>
        <v>.</v>
      </c>
      <c r="AU5" s="76" t="str">
        <f>IFERROR((d_dir!AU5/(d_Bv!T5+MLF_peppers))*1,".")</f>
        <v>.</v>
      </c>
      <c r="AV5" s="76" t="str">
        <f>IFERROR((d_dir!AV5/(d_Bv!U5+MLF_potato))*1,".")</f>
        <v>.</v>
      </c>
      <c r="AW5" s="76" t="str">
        <f>IFERROR((d_dir!AW5/(d_Bv!V5+MLF_pumpkin))*1,".")</f>
        <v>.</v>
      </c>
      <c r="AX5" s="76" t="str">
        <f>IFERROR((d_dir!AX5/(d_Bv!W5+MLF_snap_bean))*1,".")</f>
        <v>.</v>
      </c>
      <c r="AY5" s="76" t="str">
        <f>IFERROR((d_dir!AY5/(d_Bv!X5+MLF_strawberry))*1,".")</f>
        <v>.</v>
      </c>
      <c r="AZ5" s="76" t="str">
        <f>IFERROR((d_dir!AZ5/(d_Bv!Y5+MLF_tomato))*1,".")</f>
        <v>.</v>
      </c>
      <c r="BA5" s="76" t="str">
        <f>IFERROR((d_dir!BA5/(d_Bv!Z5+MLF_rice))*1,".")</f>
        <v>.</v>
      </c>
      <c r="BB5" s="76" t="str">
        <f>IFERROR((d_dir!BB5/(d_Bv!AA5+MLF_cereal))*1,".")</f>
        <v>.</v>
      </c>
    </row>
    <row r="6" spans="1:54" ht="15" customHeight="1" x14ac:dyDescent="0.25">
      <c r="A6" s="92" t="s">
        <v>16</v>
      </c>
      <c r="B6" s="90" t="s">
        <v>1071</v>
      </c>
      <c r="C6" s="2" t="str">
        <f t="shared" si="0"/>
        <v>.</v>
      </c>
      <c r="D6" s="76" t="str">
        <f>IFERROR((d_dir!D6/(d_Bv!C6+MLF_apple)),".")</f>
        <v>.</v>
      </c>
      <c r="E6" s="76" t="str">
        <f>IFERROR((d_dir!E6/(d_Bv!D6+MLF_asparagus)),".")</f>
        <v>.</v>
      </c>
      <c r="F6" s="76" t="str">
        <f>IFERROR((d_dir!F6/(d_Bv!E6+MLF_beet)),".")</f>
        <v>.</v>
      </c>
      <c r="G6" s="76" t="str">
        <f>IFERROR((d_dir!G6/(d_Bv!F6+MLF_berries)),".")</f>
        <v>.</v>
      </c>
      <c r="H6" s="76" t="str">
        <f>IFERROR((d_dir!H6/(d_Bv!G6+MLF_broccoli)),".")</f>
        <v>.</v>
      </c>
      <c r="I6" s="76" t="str">
        <f>IFERROR((d_dir!I6/(d_Bv!H6+MLF_cabbage)),".")</f>
        <v>.</v>
      </c>
      <c r="J6" s="76" t="str">
        <f>IFERROR((d_dir!J6/(d_Bv!I6+MLF_carrot)),".")</f>
        <v>.</v>
      </c>
      <c r="K6" s="76" t="str">
        <f>IFERROR((d_dir!K6/(d_Bv!J6+MLF_citrus)),".")</f>
        <v>.</v>
      </c>
      <c r="L6" s="76" t="str">
        <f>IFERROR((d_dir!L6/(d_Bv!K6+MLF_corn)),".")</f>
        <v>.</v>
      </c>
      <c r="M6" s="76" t="str">
        <f>IFERROR((d_dir!M6/(d_Bv!L6+MLF_cucumber)),".")</f>
        <v>.</v>
      </c>
      <c r="N6" s="76" t="str">
        <f>IFERROR((d_dir!N6/(d_Bv!M6+MLF_lettuce)),".")</f>
        <v>.</v>
      </c>
      <c r="O6" s="76" t="str">
        <f>IFERROR((d_dir!O6/(d_Bv!N6+MLF_lima_bean)),".")</f>
        <v>.</v>
      </c>
      <c r="P6" s="76" t="str">
        <f>IFERROR((d_dir!P6/(d_Bv!O6+MLF_okra)),".")</f>
        <v>.</v>
      </c>
      <c r="Q6" s="76" t="str">
        <f>IFERROR((d_dir!Q6/(d_Bv!P6+MLF_onion)),".")</f>
        <v>.</v>
      </c>
      <c r="R6" s="76" t="str">
        <f>IFERROR((d_dir!R6/(d_Bv!Q6+MLF_peach)),".")</f>
        <v>.</v>
      </c>
      <c r="S6" s="76" t="str">
        <f>IFERROR((d_dir!S6/(d_Bv!R6+MLF_pear)),".")</f>
        <v>.</v>
      </c>
      <c r="T6" s="76" t="str">
        <f>IFERROR((d_dir!T6/(d_Bv!S6+MLF_peas)),".")</f>
        <v>.</v>
      </c>
      <c r="U6" s="76" t="str">
        <f>IFERROR((d_dir!U6/(d_Bv!T6+MLF_peppers)),".")</f>
        <v>.</v>
      </c>
      <c r="V6" s="76" t="str">
        <f>IFERROR((d_dir!V6/(d_Bv!U6+MLF_potato)),".")</f>
        <v>.</v>
      </c>
      <c r="W6" s="76" t="str">
        <f>IFERROR((d_dir!W6/(d_Bv!V6+MLF_pumpkin)),".")</f>
        <v>.</v>
      </c>
      <c r="X6" s="76" t="str">
        <f>IFERROR((d_dir!X6/(d_Bv!W6+MLF_snap_bean)),".")</f>
        <v>.</v>
      </c>
      <c r="Y6" s="76" t="str">
        <f>IFERROR((d_dir!Y6/(d_Bv!X6+MLF_strawberry)),".")</f>
        <v>.</v>
      </c>
      <c r="Z6" s="76" t="str">
        <f>IFERROR((d_dir!Z6/(d_Bv!Y6+MLF_tomato)),".")</f>
        <v>.</v>
      </c>
      <c r="AA6" s="76" t="str">
        <f>IFERROR((d_dir!AA6/(d_Bv!D6+MLF_rice)),".")</f>
        <v>.</v>
      </c>
      <c r="AB6" s="76" t="str">
        <f>IFERROR((d_dir!AB6/(d_Bv!AA6+MLF_cereal)),".")</f>
        <v>.</v>
      </c>
      <c r="AC6" s="76" t="str">
        <f t="shared" si="1"/>
        <v>.</v>
      </c>
      <c r="AD6" s="76" t="str">
        <f>IFERROR((d_dir!AD6/(d_Bv!C6+MLF_apple))*1,".")</f>
        <v>.</v>
      </c>
      <c r="AE6" s="76" t="str">
        <f>IFERROR((d_dir!AE6/(d_Bv!D6+MLF_asparagus))*1,".")</f>
        <v>.</v>
      </c>
      <c r="AF6" s="76" t="str">
        <f>IFERROR((d_dir!AF6/(d_Bv!E6+MLF_beet))*1,".")</f>
        <v>.</v>
      </c>
      <c r="AG6" s="76" t="str">
        <f>IFERROR((d_dir!AG6/(d_Bv!F6+MLF_berries))*1,".")</f>
        <v>.</v>
      </c>
      <c r="AH6" s="76" t="str">
        <f>IFERROR((d_dir!AH6/(d_Bv!G6+MLF_broccoli))*1,".")</f>
        <v>.</v>
      </c>
      <c r="AI6" s="76" t="str">
        <f>IFERROR((d_dir!AI6/(d_Bv!H6+MLF_cabbage))*1,".")</f>
        <v>.</v>
      </c>
      <c r="AJ6" s="76" t="str">
        <f>IFERROR((d_dir!AJ6/(d_Bv!I6+MLF_carrot))*1,".")</f>
        <v>.</v>
      </c>
      <c r="AK6" s="76" t="str">
        <f>IFERROR((d_dir!AK6/(d_Bv!J6+MLF_citrus))*1,".")</f>
        <v>.</v>
      </c>
      <c r="AL6" s="76" t="str">
        <f>IFERROR((d_dir!AL6/(d_Bv!K6+MLF_corn))*1,".")</f>
        <v>.</v>
      </c>
      <c r="AM6" s="76" t="str">
        <f>IFERROR((d_dir!AM6/(d_Bv!L6+MLF_cucumber))*1,".")</f>
        <v>.</v>
      </c>
      <c r="AN6" s="76" t="str">
        <f>IFERROR((d_dir!AN6/(d_Bv!M6+MLF_lettuce))*1,".")</f>
        <v>.</v>
      </c>
      <c r="AO6" s="76" t="str">
        <f>IFERROR((d_dir!AO6/(d_Bv!N6+MLF_lima_bean))*1,".")</f>
        <v>.</v>
      </c>
      <c r="AP6" s="76" t="str">
        <f>IFERROR((d_dir!AP6/(d_Bv!O6+MLF_okra))*1,".")</f>
        <v>.</v>
      </c>
      <c r="AQ6" s="76" t="str">
        <f>IFERROR((d_dir!AQ6/(d_Bv!P6+MLF_onion))*1,".")</f>
        <v>.</v>
      </c>
      <c r="AR6" s="76" t="str">
        <f>IFERROR((d_dir!AR6/(d_Bv!Q6+MLF_peach))*1,".")</f>
        <v>.</v>
      </c>
      <c r="AS6" s="76" t="str">
        <f>IFERROR((d_dir!AS6/(d_Bv!R6+MLF_pear))*1,".")</f>
        <v>.</v>
      </c>
      <c r="AT6" s="76" t="str">
        <f>IFERROR((d_dir!AT6/(d_Bv!S6+MLF_peas))*1,".")</f>
        <v>.</v>
      </c>
      <c r="AU6" s="76" t="str">
        <f>IFERROR((d_dir!AU6/(d_Bv!T6+MLF_peppers))*1,".")</f>
        <v>.</v>
      </c>
      <c r="AV6" s="76" t="str">
        <f>IFERROR((d_dir!AV6/(d_Bv!U6+MLF_potato))*1,".")</f>
        <v>.</v>
      </c>
      <c r="AW6" s="76" t="str">
        <f>IFERROR((d_dir!AW6/(d_Bv!V6+MLF_pumpkin))*1,".")</f>
        <v>.</v>
      </c>
      <c r="AX6" s="76" t="str">
        <f>IFERROR((d_dir!AX6/(d_Bv!W6+MLF_snap_bean))*1,".")</f>
        <v>.</v>
      </c>
      <c r="AY6" s="76" t="str">
        <f>IFERROR((d_dir!AY6/(d_Bv!X6+MLF_strawberry))*1,".")</f>
        <v>.</v>
      </c>
      <c r="AZ6" s="76" t="str">
        <f>IFERROR((d_dir!AZ6/(d_Bv!Y6+MLF_tomato))*1,".")</f>
        <v>.</v>
      </c>
      <c r="BA6" s="76" t="str">
        <f>IFERROR((d_dir!BA6/(d_Bv!Z6+MLF_rice))*1,".")</f>
        <v>.</v>
      </c>
      <c r="BB6" s="76" t="str">
        <f>IFERROR((d_dir!BB6/(d_Bv!AA6+MLF_cereal))*1,".")</f>
        <v>.</v>
      </c>
    </row>
    <row r="7" spans="1:54" ht="15" customHeight="1" x14ac:dyDescent="0.25">
      <c r="A7" s="92" t="s">
        <v>17</v>
      </c>
      <c r="B7" s="90" t="s">
        <v>1071</v>
      </c>
      <c r="C7" s="2">
        <f t="shared" si="0"/>
        <v>6.2873288497035204E-2</v>
      </c>
      <c r="D7" s="76">
        <f>IFERROR((d_dir!D7/(d_Bv!C7+MLF_apple)),".")</f>
        <v>1.1467265954327495</v>
      </c>
      <c r="E7" s="76">
        <f>IFERROR((d_dir!E7/(d_Bv!D7+MLF_asparagus)),".")</f>
        <v>2.5097555502165352</v>
      </c>
      <c r="F7" s="76">
        <f>IFERROR((d_dir!F7/(d_Bv!E7+MLF_beet)),".")</f>
        <v>3.0258687676092544</v>
      </c>
      <c r="G7" s="76">
        <f>IFERROR((d_dir!G7/(d_Bv!F7+MLF_berries)),".")</f>
        <v>2.5790350920818041</v>
      </c>
      <c r="H7" s="76">
        <f>IFERROR((d_dir!H7/(d_Bv!G7+MLF_broccoli)),".")</f>
        <v>3.1512142246539687</v>
      </c>
      <c r="I7" s="76">
        <f>IFERROR((d_dir!I7/(d_Bv!H7+MLF_cabbage)),".")</f>
        <v>1.2361525101667807</v>
      </c>
      <c r="J7" s="76">
        <f>IFERROR((d_dir!J7/(d_Bv!I7+MLF_carrot)),".")</f>
        <v>3.4843025695158265</v>
      </c>
      <c r="K7" s="76">
        <f>IFERROR((d_dir!K7/(d_Bv!J7+MLF_citrus)),".")</f>
        <v>0.29735452100346271</v>
      </c>
      <c r="L7" s="76">
        <f>IFERROR((d_dir!L7/(d_Bv!K7+MLF_corn)),".")</f>
        <v>1.630863504137132</v>
      </c>
      <c r="M7" s="76">
        <f>IFERROR((d_dir!M7/(d_Bv!L7+MLF_cucumber)),".")</f>
        <v>1.2230201024733405</v>
      </c>
      <c r="N7" s="76">
        <f>IFERROR((d_dir!N7/(d_Bv!M7+MLF_lettuce)),".")</f>
        <v>2.5620643108181707</v>
      </c>
      <c r="O7" s="76">
        <f>IFERROR((d_dir!O7/(d_Bv!N7+MLF_lima_bean)),".")</f>
        <v>2.608433055638423</v>
      </c>
      <c r="P7" s="76">
        <f>IFERROR((d_dir!P7/(d_Bv!O7+MLF_okra)),".")</f>
        <v>3.2992152240762986</v>
      </c>
      <c r="Q7" s="76">
        <f>IFERROR((d_dir!Q7/(d_Bv!P7+MLF_onion)),".")</f>
        <v>4.7091240142360435</v>
      </c>
      <c r="R7" s="76">
        <f>IFERROR((d_dir!R7/(d_Bv!Q7+MLF_peach)),".")</f>
        <v>0.73624176324656387</v>
      </c>
      <c r="S7" s="76">
        <f>IFERROR((d_dir!S7/(d_Bv!R7+MLF_pear)),".")</f>
        <v>1.5018155494216614</v>
      </c>
      <c r="T7" s="76">
        <f>IFERROR((d_dir!T7/(d_Bv!S7+MLF_peas)),".")</f>
        <v>2.6206968084987201</v>
      </c>
      <c r="U7" s="76">
        <f>IFERROR((d_dir!U7/(d_Bv!T7+MLF_peppers)),".")</f>
        <v>5.141611363692002</v>
      </c>
      <c r="V7" s="76">
        <f>IFERROR((d_dir!V7/(d_Bv!U7+MLF_potato)),".")</f>
        <v>0.77088350176728082</v>
      </c>
      <c r="W7" s="76">
        <f>IFERROR((d_dir!W7/(d_Bv!V7+MLF_pumpkin)),".")</f>
        <v>1.5691959311696793</v>
      </c>
      <c r="X7" s="76">
        <f>IFERROR((d_dir!X7/(d_Bv!W7+MLF_snap_bean)),".")</f>
        <v>1.6770651818698967</v>
      </c>
      <c r="Y7" s="76">
        <f>IFERROR((d_dir!Y7/(d_Bv!X7+MLF_strawberry)),".")</f>
        <v>2.243601427713708</v>
      </c>
      <c r="Z7" s="76">
        <f>IFERROR((d_dir!Z7/(d_Bv!Y7+MLF_tomato)),".")</f>
        <v>1.1856975287424651</v>
      </c>
      <c r="AA7" s="76">
        <f>IFERROR((d_dir!AA7/(d_Bv!D7+MLF_rice)),".")</f>
        <v>0.33268914069642008</v>
      </c>
      <c r="AB7" s="76">
        <f>IFERROR((d_dir!AB7/(d_Bv!AA7+MLF_cereal)),".")</f>
        <v>0.38153539144877974</v>
      </c>
      <c r="AC7" s="76">
        <f t="shared" si="1"/>
        <v>3.8429012642352843E-2</v>
      </c>
      <c r="AD7" s="76">
        <f>IFERROR((d_dir!AD7/(d_Bv!C7+MLF_apple))*1,".")</f>
        <v>0.64811735730501019</v>
      </c>
      <c r="AE7" s="76">
        <f>IFERROR((d_dir!AE7/(d_Bv!D7+MLF_asparagus))*1,".")</f>
        <v>1.5277533437127977</v>
      </c>
      <c r="AF7" s="76">
        <f>IFERROR((d_dir!AF7/(d_Bv!E7+MLF_beet))*1,".")</f>
        <v>1.8171275611721136</v>
      </c>
      <c r="AG7" s="76">
        <f>IFERROR((d_dir!AG7/(d_Bv!F7+MLF_berries))*1,".")</f>
        <v>1.6319795828583219</v>
      </c>
      <c r="AH7" s="76">
        <f>IFERROR((d_dir!AH7/(d_Bv!G7+MLF_broccoli))*1,".")</f>
        <v>1.7399590158880913</v>
      </c>
      <c r="AI7" s="76">
        <f>IFERROR((d_dir!AI7/(d_Bv!H7+MLF_cabbage))*1,".")</f>
        <v>0.79142331889623285</v>
      </c>
      <c r="AJ7" s="76">
        <f>IFERROR((d_dir!AJ7/(d_Bv!I7+MLF_carrot))*1,".")</f>
        <v>2.4131538386098379</v>
      </c>
      <c r="AK7" s="76">
        <f>IFERROR((d_dir!AK7/(d_Bv!J7+MLF_citrus))*1,".")</f>
        <v>0.18789683466685309</v>
      </c>
      <c r="AL7" s="76">
        <f>IFERROR((d_dir!AL7/(d_Bv!K7+MLF_corn))*1,".")</f>
        <v>0.73484597744280311</v>
      </c>
      <c r="AM7" s="76">
        <f>IFERROR((d_dir!AM7/(d_Bv!L7+MLF_cucumber))*1,".")</f>
        <v>1.1163078007201688</v>
      </c>
      <c r="AN7" s="76">
        <f>IFERROR((d_dir!AN7/(d_Bv!M7+MLF_lettuce))*1,".")</f>
        <v>1.524066642549462</v>
      </c>
      <c r="AO7" s="76">
        <f>IFERROR((d_dir!AO7/(d_Bv!N7+MLF_lima_bean))*1,".")</f>
        <v>1.644738264881771</v>
      </c>
      <c r="AP7" s="76">
        <f>IFERROR((d_dir!AP7/(d_Bv!O7+MLF_okra))*1,".")</f>
        <v>2.0110078852076079</v>
      </c>
      <c r="AQ7" s="76">
        <f>IFERROR((d_dir!AQ7/(d_Bv!P7+MLF_onion))*1,".")</f>
        <v>2.251979363158092</v>
      </c>
      <c r="AR7" s="76">
        <f>IFERROR((d_dir!AR7/(d_Bv!Q7+MLF_peach))*1,".")</f>
        <v>0.53496470815493014</v>
      </c>
      <c r="AS7" s="76">
        <f>IFERROR((d_dir!AS7/(d_Bv!R7+MLF_pear))*1,".")</f>
        <v>0.87233065050045844</v>
      </c>
      <c r="AT7" s="76">
        <f>IFERROR((d_dir!AT7/(d_Bv!S7+MLF_peas))*1,".")</f>
        <v>1.829757898714514</v>
      </c>
      <c r="AU7" s="76">
        <f>IFERROR((d_dir!AU7/(d_Bv!T7+MLF_peppers))*1,".")</f>
        <v>2.5042107155251361</v>
      </c>
      <c r="AV7" s="76">
        <f>IFERROR((d_dir!AV7/(d_Bv!U7+MLF_potato))*1,".")</f>
        <v>0.42627053670821796</v>
      </c>
      <c r="AW7" s="76">
        <f>IFERROR((d_dir!AW7/(d_Bv!V7+MLF_pumpkin))*1,".")</f>
        <v>0.95900645395428041</v>
      </c>
      <c r="AX7" s="76">
        <f>IFERROR((d_dir!AX7/(d_Bv!W7+MLF_snap_bean))*1,".")</f>
        <v>1.0316451726118496</v>
      </c>
      <c r="AY7" s="76">
        <f>IFERROR((d_dir!AY7/(d_Bv!X7+MLF_strawberry))*1,".")</f>
        <v>1.4184020932291268</v>
      </c>
      <c r="AZ7" s="76">
        <f>IFERROR((d_dir!AZ7/(d_Bv!Y7+MLF_tomato))*1,".")</f>
        <v>0.62495596290554367</v>
      </c>
      <c r="BA7" s="76">
        <f>IFERROR((d_dir!BA7/(d_Bv!Z7+MLF_rice))*1,".")</f>
        <v>0.19478722763131812</v>
      </c>
      <c r="BB7" s="76">
        <f>IFERROR((d_dir!BB7/(d_Bv!AA7+MLF_cereal))*1,".")</f>
        <v>0.19761218900058494</v>
      </c>
    </row>
    <row r="8" spans="1:54" ht="15" customHeight="1" x14ac:dyDescent="0.25">
      <c r="A8" s="92" t="s">
        <v>18</v>
      </c>
      <c r="B8" s="90" t="s">
        <v>1071</v>
      </c>
      <c r="C8" s="2">
        <f t="shared" si="0"/>
        <v>1.1407936881936285</v>
      </c>
      <c r="D8" s="76">
        <f>IFERROR((d_dir!D8/(d_Bv!C8+MLF_apple)),".")</f>
        <v>20.806585649089058</v>
      </c>
      <c r="E8" s="76">
        <f>IFERROR((d_dir!E8/(d_Bv!D8+MLF_asparagus)),".")</f>
        <v>45.537832663722703</v>
      </c>
      <c r="F8" s="76">
        <f>IFERROR((d_dir!F8/(d_Bv!E8+MLF_beet)),".")</f>
        <v>54.902361144250378</v>
      </c>
      <c r="G8" s="76">
        <f>IFERROR((d_dir!G8/(d_Bv!F8+MLF_berries)),".")</f>
        <v>46.794863526432742</v>
      </c>
      <c r="H8" s="76">
        <f>IFERROR((d_dir!H8/(d_Bv!G8+MLF_broccoli)),".")</f>
        <v>57.176670467948298</v>
      </c>
      <c r="I8" s="76">
        <f>IFERROR((d_dir!I8/(d_Bv!H8+MLF_cabbage)),".")</f>
        <v>22.429158947356019</v>
      </c>
      <c r="J8" s="76">
        <f>IFERROR((d_dir!J8/(d_Bv!I8+MLF_carrot)),".")</f>
        <v>63.220335281936642</v>
      </c>
      <c r="K8" s="76">
        <f>IFERROR((d_dir!K8/(d_Bv!J8+MLF_citrus)),".")</f>
        <v>5.3952985254236534</v>
      </c>
      <c r="L8" s="76">
        <f>IFERROR((d_dir!L8/(d_Bv!K8+MLF_corn)),".")</f>
        <v>29.590925435890227</v>
      </c>
      <c r="M8" s="76">
        <f>IFERROR((d_dir!M8/(d_Bv!L8+MLF_cucumber)),".")</f>
        <v>22.190880209825558</v>
      </c>
      <c r="N8" s="76">
        <f>IFERROR((d_dir!N8/(d_Bv!M8+MLF_lettuce)),".")</f>
        <v>46.486940072577113</v>
      </c>
      <c r="O8" s="76">
        <f>IFERROR((d_dir!O8/(d_Bv!N8+MLF_lima_bean)),".")</f>
        <v>47.328269875501285</v>
      </c>
      <c r="P8" s="76">
        <f>IFERROR((d_dir!P8/(d_Bv!O8+MLF_okra)),".")</f>
        <v>59.862049426539016</v>
      </c>
      <c r="Q8" s="76">
        <f>IFERROR((d_dir!Q8/(d_Bv!P8+MLF_onion)),".")</f>
        <v>85.44389963974676</v>
      </c>
      <c r="R8" s="76">
        <f>IFERROR((d_dir!R8/(d_Bv!Q8+MLF_peach)),".")</f>
        <v>13.358613436226314</v>
      </c>
      <c r="S8" s="76">
        <f>IFERROR((d_dir!S8/(d_Bv!R8+MLF_pear)),".")</f>
        <v>27.249436773011588</v>
      </c>
      <c r="T8" s="76">
        <f>IFERROR((d_dir!T8/(d_Bv!S8+MLF_peas)),".")</f>
        <v>47.550787453172653</v>
      </c>
      <c r="U8" s="76">
        <f>IFERROR((d_dir!U8/(d_Bv!T8+MLF_peppers)),".")</f>
        <v>93.29109278451466</v>
      </c>
      <c r="V8" s="76">
        <f>IFERROR((d_dir!V8/(d_Bv!U8+MLF_potato)),".")</f>
        <v>13.987164568148602</v>
      </c>
      <c r="W8" s="76">
        <f>IFERROR((d_dir!W8/(d_Bv!V8+MLF_pumpkin)),".")</f>
        <v>28.47200864802717</v>
      </c>
      <c r="X8" s="76">
        <f>IFERROR((d_dir!X8/(d_Bv!W8+MLF_snap_bean)),".")</f>
        <v>30.429223918464107</v>
      </c>
      <c r="Y8" s="76">
        <f>IFERROR((d_dir!Y8/(d_Bv!X8+MLF_strawberry)),".")</f>
        <v>40.708644461609545</v>
      </c>
      <c r="Z8" s="76">
        <f>IFERROR((d_dir!Z8/(d_Bv!Y8+MLF_tomato)),".")</f>
        <v>21.513687119450911</v>
      </c>
      <c r="AA8" s="76">
        <f>IFERROR((d_dir!AA8/(d_Bv!D8+MLF_rice)),".")</f>
        <v>6.0364215219144253</v>
      </c>
      <c r="AB8" s="76">
        <f>IFERROR((d_dir!AB8/(d_Bv!AA8+MLF_cereal)),".")</f>
        <v>6.9227040097922927</v>
      </c>
      <c r="AC8" s="76">
        <f t="shared" si="1"/>
        <v>0.69726868299526812</v>
      </c>
      <c r="AD8" s="76">
        <f>IFERROR((d_dir!AD8/(d_Bv!C8+MLF_apple))*1,".")</f>
        <v>11.759655142853791</v>
      </c>
      <c r="AE8" s="76">
        <f>IFERROR((d_dir!AE8/(d_Bv!D8+MLF_asparagus))*1,".")</f>
        <v>27.720060669428079</v>
      </c>
      <c r="AF8" s="76">
        <f>IFERROR((d_dir!AF8/(d_Bv!E8+MLF_beet))*1,".")</f>
        <v>32.97056193466927</v>
      </c>
      <c r="AG8" s="76">
        <f>IFERROR((d_dir!AG8/(d_Bv!F8+MLF_berries))*1,".")</f>
        <v>29.611175936398418</v>
      </c>
      <c r="AH8" s="76">
        <f>IFERROR((d_dir!AH8/(d_Bv!G8+MLF_broccoli))*1,".")</f>
        <v>31.57039039137155</v>
      </c>
      <c r="AI8" s="76">
        <f>IFERROR((d_dir!AI8/(d_Bv!H8+MLF_cabbage))*1,".")</f>
        <v>14.35984578615845</v>
      </c>
      <c r="AJ8" s="76">
        <f>IFERROR((d_dir!AJ8/(d_Bv!I8+MLF_carrot))*1,".")</f>
        <v>43.785059339724896</v>
      </c>
      <c r="AK8" s="76">
        <f>IFERROR((d_dir!AK8/(d_Bv!J8+MLF_citrus))*1,".")</f>
        <v>3.4092621547800146</v>
      </c>
      <c r="AL8" s="76">
        <f>IFERROR((d_dir!AL8/(d_Bv!K8+MLF_corn))*1,".")</f>
        <v>13.333287838137458</v>
      </c>
      <c r="AM8" s="76">
        <f>IFERROR((d_dir!AM8/(d_Bv!L8+MLF_cucumber))*1,".")</f>
        <v>20.2546570027577</v>
      </c>
      <c r="AN8" s="76">
        <f>IFERROR((d_dir!AN8/(d_Bv!M8+MLF_lettuce))*1,".")</f>
        <v>27.653167947289202</v>
      </c>
      <c r="AO8" s="76">
        <f>IFERROR((d_dir!AO8/(d_Bv!N8+MLF_lima_bean))*1,".")</f>
        <v>29.842673672081613</v>
      </c>
      <c r="AP8" s="76">
        <f>IFERROR((d_dir!AP8/(d_Bv!O8+MLF_okra))*1,".")</f>
        <v>36.488390494488556</v>
      </c>
      <c r="AQ8" s="76">
        <f>IFERROR((d_dir!AQ8/(d_Bv!P8+MLF_onion))*1,".")</f>
        <v>40.860656486167443</v>
      </c>
      <c r="AR8" s="76">
        <f>IFERROR((d_dir!AR8/(d_Bv!Q8+MLF_peach))*1,".")</f>
        <v>9.7065761479657429</v>
      </c>
      <c r="AS8" s="76">
        <f>IFERROR((d_dir!AS8/(d_Bv!R8+MLF_pear))*1,".")</f>
        <v>15.827855101863989</v>
      </c>
      <c r="AT8" s="76">
        <f>IFERROR((d_dir!AT8/(d_Bv!S8+MLF_peas))*1,".")</f>
        <v>33.199730945747881</v>
      </c>
      <c r="AU8" s="76">
        <f>IFERROR((d_dir!AU8/(d_Bv!T8+MLF_peppers))*1,".")</f>
        <v>45.437225353858139</v>
      </c>
      <c r="AV8" s="76">
        <f>IFERROR((d_dir!AV8/(d_Bv!U8+MLF_potato))*1,".")</f>
        <v>7.7343932433656031</v>
      </c>
      <c r="AW8" s="76">
        <f>IFERROR((d_dir!AW8/(d_Bv!V8+MLF_pumpkin))*1,".")</f>
        <v>17.400529473809623</v>
      </c>
      <c r="AX8" s="76">
        <f>IFERROR((d_dir!AX8/(d_Bv!W8+MLF_snap_bean))*1,".")</f>
        <v>18.718510348421184</v>
      </c>
      <c r="AY8" s="76">
        <f>IFERROR((d_dir!AY8/(d_Bv!X8+MLF_strawberry))*1,".")</f>
        <v>25.735955506013017</v>
      </c>
      <c r="AZ8" s="76">
        <f>IFERROR((d_dir!AZ8/(d_Bv!Y8+MLF_tomato))*1,".")</f>
        <v>11.339407161997494</v>
      </c>
      <c r="BA8" s="76">
        <f>IFERROR((d_dir!BA8/(d_Bv!Z8+MLF_rice))*1,".")</f>
        <v>3.5342837178465967</v>
      </c>
      <c r="BB8" s="76">
        <f>IFERROR((d_dir!BB8/(d_Bv!AA8+MLF_cereal))*1,".")</f>
        <v>3.5855407488765927</v>
      </c>
    </row>
    <row r="9" spans="1:54" ht="15" customHeight="1" x14ac:dyDescent="0.25">
      <c r="A9" s="92" t="s">
        <v>19</v>
      </c>
      <c r="B9" s="90" t="s">
        <v>1071</v>
      </c>
      <c r="C9" s="2">
        <f t="shared" si="0"/>
        <v>3.0866663250985202</v>
      </c>
      <c r="D9" s="76">
        <f>IFERROR((d_dir!D9/(d_Bv!C9+MLF_apple)),".")</f>
        <v>56.296758938957844</v>
      </c>
      <c r="E9" s="76">
        <f>IFERROR((d_dir!E9/(d_Bv!D9+MLF_asparagus)),".")</f>
        <v>123.21254584047703</v>
      </c>
      <c r="F9" s="76">
        <f>IFERROR((d_dir!F9/(d_Bv!E9+MLF_beet)),".")</f>
        <v>148.550321645531</v>
      </c>
      <c r="G9" s="76">
        <f>IFERROR((d_dir!G9/(d_Bv!F9+MLF_berries)),".")</f>
        <v>126.61371721238426</v>
      </c>
      <c r="H9" s="76">
        <f>IFERROR((d_dir!H9/(d_Bv!G9+MLF_broccoli)),".")</f>
        <v>154.70396193559233</v>
      </c>
      <c r="I9" s="76">
        <f>IFERROR((d_dir!I9/(d_Bv!H9+MLF_cabbage)),".")</f>
        <v>60.68698515742075</v>
      </c>
      <c r="J9" s="76">
        <f>IFERROR((d_dir!J9/(d_Bv!I9+MLF_carrot)),".")</f>
        <v>171.05641624401267</v>
      </c>
      <c r="K9" s="76">
        <f>IFERROR((d_dir!K9/(d_Bv!J9+MLF_citrus)),".")</f>
        <v>14.598157795428016</v>
      </c>
      <c r="L9" s="76">
        <f>IFERROR((d_dir!L9/(d_Bv!K9+MLF_corn)),".")</f>
        <v>80.064707595016799</v>
      </c>
      <c r="M9" s="76">
        <f>IFERROR((d_dir!M9/(d_Bv!L9+MLF_cucumber)),".")</f>
        <v>60.042270023795794</v>
      </c>
      <c r="N9" s="76">
        <f>IFERROR((d_dir!N9/(d_Bv!M9+MLF_lettuce)),".")</f>
        <v>125.78056309734951</v>
      </c>
      <c r="O9" s="76">
        <f>IFERROR((d_dir!O9/(d_Bv!N9+MLF_lima_bean)),".")</f>
        <v>128.05696451669803</v>
      </c>
      <c r="P9" s="76">
        <f>IFERROR((d_dir!P9/(d_Bv!O9+MLF_okra)),".")</f>
        <v>161.9698408472604</v>
      </c>
      <c r="Q9" s="76">
        <f>IFERROR((d_dir!Q9/(d_Bv!P9+MLF_onion)),".")</f>
        <v>231.18712036416841</v>
      </c>
      <c r="R9" s="76">
        <f>IFERROR((d_dir!R9/(d_Bv!Q9+MLF_peach)),".")</f>
        <v>36.144644443903829</v>
      </c>
      <c r="S9" s="76">
        <f>IFERROR((d_dir!S9/(d_Bv!R9+MLF_pear)),".")</f>
        <v>73.729298939529258</v>
      </c>
      <c r="T9" s="76">
        <f>IFERROR((d_dir!T9/(d_Bv!S9+MLF_peas)),".")</f>
        <v>128.65903439212684</v>
      </c>
      <c r="U9" s="76">
        <f>IFERROR((d_dir!U9/(d_Bv!T9+MLF_peppers)),".")</f>
        <v>252.41941422867288</v>
      </c>
      <c r="V9" s="76">
        <f>IFERROR((d_dir!V9/(d_Bv!U9+MLF_potato)),".")</f>
        <v>37.845326725534562</v>
      </c>
      <c r="W9" s="76">
        <f>IFERROR((d_dir!W9/(d_Bv!V9+MLF_pumpkin)),".")</f>
        <v>77.037233998846176</v>
      </c>
      <c r="X9" s="76">
        <f>IFERROR((d_dir!X9/(d_Bv!W9+MLF_snap_bean)),".")</f>
        <v>82.33290711550957</v>
      </c>
      <c r="Y9" s="76">
        <f>IFERROR((d_dir!Y9/(d_Bv!X9+MLF_strawberry)),".")</f>
        <v>110.14612308998954</v>
      </c>
      <c r="Z9" s="76">
        <f>IFERROR((d_dir!Z9/(d_Bv!Y9+MLF_tomato)),".")</f>
        <v>58.2099763064641</v>
      </c>
      <c r="AA9" s="76">
        <f>IFERROR((d_dir!AA9/(d_Bv!D9+MLF_rice)),".")</f>
        <v>16.332856000716856</v>
      </c>
      <c r="AB9" s="76">
        <f>IFERROR((d_dir!AB9/(d_Bv!AA9+MLF_cereal)),".")</f>
        <v>18.73088672105585</v>
      </c>
      <c r="AC9" s="76">
        <f t="shared" si="1"/>
        <v>1.8866126150778517</v>
      </c>
      <c r="AD9" s="76">
        <f>IFERROR((d_dir!AD9/(d_Bv!C9+MLF_apple))*1,".")</f>
        <v>31.818313775643446</v>
      </c>
      <c r="AE9" s="76">
        <f>IFERROR((d_dir!AE9/(d_Bv!D9+MLF_asparagus))*1,".")</f>
        <v>75.002674614631061</v>
      </c>
      <c r="AF9" s="76">
        <f>IFERROR((d_dir!AF9/(d_Bv!E9+MLF_beet))*1,".")</f>
        <v>89.209051817654654</v>
      </c>
      <c r="AG9" s="76">
        <f>IFERROR((d_dir!AG9/(d_Bv!F9+MLF_berries))*1,".")</f>
        <v>80.119499744230026</v>
      </c>
      <c r="AH9" s="76">
        <f>IFERROR((d_dir!AH9/(d_Bv!G9+MLF_broccoli))*1,".")</f>
        <v>85.420582091019256</v>
      </c>
      <c r="AI9" s="76">
        <f>IFERROR((d_dir!AI9/(d_Bv!H9+MLF_cabbage))*1,".")</f>
        <v>38.85369710620278</v>
      </c>
      <c r="AJ9" s="76">
        <f>IFERROR((d_dir!AJ9/(d_Bv!I9+MLF_carrot))*1,".")</f>
        <v>118.47003503356527</v>
      </c>
      <c r="AK9" s="76">
        <f>IFERROR((d_dir!AK9/(d_Bv!J9+MLF_citrus))*1,".")</f>
        <v>9.2245029013573614</v>
      </c>
      <c r="AL9" s="76">
        <f>IFERROR((d_dir!AL9/(d_Bv!K9+MLF_corn))*1,".")</f>
        <v>36.076120510441655</v>
      </c>
      <c r="AM9" s="76">
        <f>IFERROR((d_dir!AM9/(d_Bv!L9+MLF_cucumber))*1,".")</f>
        <v>54.803395516527111</v>
      </c>
      <c r="AN9" s="76">
        <f>IFERROR((d_dir!AN9/(d_Bv!M9+MLF_lettuce))*1,".")</f>
        <v>74.821681754171621</v>
      </c>
      <c r="AO9" s="76">
        <f>IFERROR((d_dir!AO9/(d_Bv!N9+MLF_lima_bean))*1,".")</f>
        <v>80.74586739726405</v>
      </c>
      <c r="AP9" s="76">
        <f>IFERROR((d_dir!AP9/(d_Bv!O9+MLF_okra))*1,".")</f>
        <v>98.727304824697057</v>
      </c>
      <c r="AQ9" s="76">
        <f>IFERROR((d_dir!AQ9/(d_Bv!P9+MLF_onion))*1,".")</f>
        <v>110.55742480218247</v>
      </c>
      <c r="AR9" s="76">
        <f>IFERROR((d_dir!AR9/(d_Bv!Q9+MLF_peach))*1,".")</f>
        <v>26.263260428247609</v>
      </c>
      <c r="AS9" s="76">
        <f>IFERROR((d_dir!AS9/(d_Bv!R9+MLF_pear))*1,".")</f>
        <v>42.825716733076902</v>
      </c>
      <c r="AT9" s="76">
        <f>IFERROR((d_dir!AT9/(d_Bv!S9+MLF_peas))*1,".")</f>
        <v>89.829118597978919</v>
      </c>
      <c r="AU9" s="76">
        <f>IFERROR((d_dir!AU9/(d_Bv!T9+MLF_peppers))*1,".")</f>
        <v>122.9403308040234</v>
      </c>
      <c r="AV9" s="76">
        <f>IFERROR((d_dir!AV9/(d_Bv!U9+MLF_potato))*1,".")</f>
        <v>20.927089110361599</v>
      </c>
      <c r="AW9" s="76">
        <f>IFERROR((d_dir!AW9/(d_Bv!V9+MLF_pumpkin))*1,".")</f>
        <v>47.080930514910271</v>
      </c>
      <c r="AX9" s="76">
        <f>IFERROR((d_dir!AX9/(d_Bv!W9+MLF_snap_bean))*1,".")</f>
        <v>50.647015447611018</v>
      </c>
      <c r="AY9" s="76">
        <f>IFERROR((d_dir!AY9/(d_Bv!X9+MLF_strawberry))*1,".")</f>
        <v>69.634245023243039</v>
      </c>
      <c r="AZ9" s="76">
        <f>IFERROR((d_dir!AZ9/(d_Bv!Y9+MLF_tomato))*1,".")</f>
        <v>30.681241135669644</v>
      </c>
      <c r="BA9" s="76">
        <f>IFERROR((d_dir!BA9/(d_Bv!Z9+MLF_rice))*1,".")</f>
        <v>9.5627760287620589</v>
      </c>
      <c r="BB9" s="76">
        <f>IFERROR((d_dir!BB9/(d_Bv!AA9+MLF_cereal))*1,".")</f>
        <v>9.7014631141151888</v>
      </c>
    </row>
    <row r="10" spans="1:54" x14ac:dyDescent="0.25">
      <c r="A10" s="94" t="s">
        <v>20</v>
      </c>
      <c r="B10" s="90" t="s">
        <v>349</v>
      </c>
      <c r="C10" s="2">
        <f t="shared" si="0"/>
        <v>8.9501348354362797E-2</v>
      </c>
      <c r="D10" s="76">
        <f>IFERROR((d_dir!D10/(d_Bv!C10+MLF_apple)),".")</f>
        <v>6.716286763420749</v>
      </c>
      <c r="E10" s="76">
        <f>IFERROR((d_dir!E10/(d_Bv!D10+MLF_asparagus)),".")</f>
        <v>1.457045033444619</v>
      </c>
      <c r="F10" s="76">
        <f>IFERROR((d_dir!F10/(d_Bv!E10+MLF_beet)),".")</f>
        <v>2.5060883222711685</v>
      </c>
      <c r="G10" s="76">
        <f>IFERROR((d_dir!G10/(d_Bv!F10+MLF_berries)),".")</f>
        <v>39.73186642829431</v>
      </c>
      <c r="H10" s="76">
        <f>IFERROR((d_dir!H10/(d_Bv!G10+MLF_broccoli)),".")</f>
        <v>5.0401509839797685</v>
      </c>
      <c r="I10" s="76">
        <f>IFERROR((d_dir!I10/(d_Bv!H10+MLF_cabbage)),".")</f>
        <v>0.71752743844553279</v>
      </c>
      <c r="J10" s="76">
        <f>IFERROR((d_dir!J10/(d_Bv!I10+MLF_carrot)),".")</f>
        <v>2.8874007501743528</v>
      </c>
      <c r="K10" s="76">
        <f>IFERROR((d_dir!K10/(d_Bv!J10+MLF_citrus)),".")</f>
        <v>1.7424067433056747</v>
      </c>
      <c r="L10" s="76">
        <f>IFERROR((d_dir!L10/(d_Bv!K10+MLF_corn)),".")</f>
        <v>1.7173157434219639</v>
      </c>
      <c r="M10" s="76">
        <f>IFERROR((d_dir!M10/(d_Bv!L10+MLF_cucumber)),".")</f>
        <v>2.0266690382347821</v>
      </c>
      <c r="N10" s="76">
        <f>IFERROR((d_dir!N10/(d_Bv!M10+MLF_lettuce)),".")</f>
        <v>1.3788589391231569</v>
      </c>
      <c r="O10" s="76">
        <f>IFERROR((d_dir!O10/(d_Bv!N10+MLF_lima_bean)),".")</f>
        <v>2.1535371511163066</v>
      </c>
      <c r="P10" s="76">
        <f>IFERROR((d_dir!P10/(d_Bv!O10+MLF_okra)),".")</f>
        <v>5.4589438531288472</v>
      </c>
      <c r="Q10" s="76">
        <f>IFERROR((d_dir!Q10/(d_Bv!P10+MLF_onion)),".")</f>
        <v>3.9023959429730724</v>
      </c>
      <c r="R10" s="76">
        <f>IFERROR((d_dir!R10/(d_Bv!Q10+MLF_peach)),".")</f>
        <v>4.3189256396336582</v>
      </c>
      <c r="S10" s="76">
        <f>IFERROR((d_dir!S10/(d_Bv!R10+MLF_pear)),".")</f>
        <v>8.796014617480548</v>
      </c>
      <c r="T10" s="76">
        <f>IFERROR((d_dir!T10/(d_Bv!S10+MLF_peas)),".")</f>
        <v>2.2773097842912957</v>
      </c>
      <c r="U10" s="76">
        <f>IFERROR((d_dir!U10/(d_Bv!T10+MLF_peppers)),".")</f>
        <v>7.8884957823147479</v>
      </c>
      <c r="V10" s="76">
        <f>IFERROR((d_dir!V10/(d_Bv!U10+MLF_potato)),".")</f>
        <v>0.47896912340144054</v>
      </c>
      <c r="W10" s="76">
        <f>IFERROR((d_dir!W10/(d_Bv!V10+MLF_pumpkin)),".")</f>
        <v>2.5985624560409519</v>
      </c>
      <c r="X10" s="76">
        <f>IFERROR((d_dir!X10/(d_Bv!W10+MLF_snap_bean)),".")</f>
        <v>1.3637916198440352</v>
      </c>
      <c r="Y10" s="76">
        <f>IFERROR((d_dir!Y10/(d_Bv!X10+MLF_strawberry)),".")</f>
        <v>26.260200037121049</v>
      </c>
      <c r="Z10" s="76">
        <f>IFERROR((d_dir!Z10/(d_Bv!Y10+MLF_tomato)),".")</f>
        <v>1.8469364327755586</v>
      </c>
      <c r="AA10" s="76">
        <f>IFERROR((d_dir!AA10/(d_Bv!D10+MLF_rice)),".")</f>
        <v>0.13090802342318411</v>
      </c>
      <c r="AB10" s="76">
        <f>IFERROR((d_dir!AB10/(d_Bv!AA10+MLF_cereal)),".")</f>
        <v>0.16680918494797423</v>
      </c>
      <c r="AC10" s="76">
        <f t="shared" si="1"/>
        <v>5.3324995332092305E-2</v>
      </c>
      <c r="AD10" s="76">
        <f>IFERROR((d_dir!AD10/(d_Bv!C10+MLF_apple))*1,".")</f>
        <v>3.7959719826400047</v>
      </c>
      <c r="AE10" s="76">
        <f>IFERROR((d_dir!AE10/(d_Bv!D10+MLF_asparagus))*1,".")</f>
        <v>0.88694112922395474</v>
      </c>
      <c r="AF10" s="76">
        <f>IFERROR((d_dir!AF10/(d_Bv!E10+MLF_beet))*1,".")</f>
        <v>1.5049833653984124</v>
      </c>
      <c r="AG10" s="76">
        <f>IFERROR((d_dir!AG10/(d_Bv!F10+MLF_berries))*1,".")</f>
        <v>25.141804002166559</v>
      </c>
      <c r="AH10" s="76">
        <f>IFERROR((d_dir!AH10/(d_Bv!G10+MLF_broccoli))*1,".")</f>
        <v>2.7829450874530179</v>
      </c>
      <c r="AI10" s="76">
        <f>IFERROR((d_dir!AI10/(d_Bv!H10+MLF_cabbage))*1,".")</f>
        <v>0.45938340298889152</v>
      </c>
      <c r="AJ10" s="76">
        <f>IFERROR((d_dir!AJ10/(d_Bv!I10+MLF_carrot))*1,".")</f>
        <v>1.9997523363352434</v>
      </c>
      <c r="AK10" s="76">
        <f>IFERROR((d_dir!AK10/(d_Bv!J10+MLF_citrus))*1,".")</f>
        <v>1.1010181068190443</v>
      </c>
      <c r="AL10" s="76">
        <f>IFERROR((d_dir!AL10/(d_Bv!K10+MLF_corn))*1,".")</f>
        <v>0.77380023702260403</v>
      </c>
      <c r="AM10" s="76">
        <f>IFERROR((d_dir!AM10/(d_Bv!L10+MLF_cucumber))*1,".")</f>
        <v>1.8498358712863798</v>
      </c>
      <c r="AN10" s="76">
        <f>IFERROR((d_dir!AN10/(d_Bv!M10+MLF_lettuce))*1,".")</f>
        <v>0.82022644983008164</v>
      </c>
      <c r="AO10" s="76">
        <f>IFERROR((d_dir!AO10/(d_Bv!N10+MLF_lima_bean))*1,".")</f>
        <v>1.3579052564255083</v>
      </c>
      <c r="AP10" s="76">
        <f>IFERROR((d_dir!AP10/(d_Bv!O10+MLF_okra))*1,".")</f>
        <v>3.327451647723676</v>
      </c>
      <c r="AQ10" s="76">
        <f>IFERROR((d_dir!AQ10/(d_Bv!P10+MLF_onion))*1,".")</f>
        <v>1.8661889353264158</v>
      </c>
      <c r="AR10" s="76">
        <f>IFERROR((d_dir!AR10/(d_Bv!Q10+MLF_peach))*1,".")</f>
        <v>3.138198496321511</v>
      </c>
      <c r="AS10" s="76">
        <f>IFERROR((d_dir!AS10/(d_Bv!R10+MLF_pear))*1,".")</f>
        <v>5.1091714665180952</v>
      </c>
      <c r="AT10" s="76">
        <f>IFERROR((d_dir!AT10/(d_Bv!S10+MLF_peas))*1,".")</f>
        <v>1.5900067310777128</v>
      </c>
      <c r="AU10" s="76">
        <f>IFERROR((d_dir!AU10/(d_Bv!T10+MLF_peppers))*1,".")</f>
        <v>3.8420748419348612</v>
      </c>
      <c r="AV10" s="76">
        <f>IFERROR((d_dir!AV10/(d_Bv!U10+MLF_potato))*1,".")</f>
        <v>0.26485250343395328</v>
      </c>
      <c r="AW10" s="76">
        <f>IFERROR((d_dir!AW10/(d_Bv!V10+MLF_pumpkin))*1,".")</f>
        <v>1.5880987943226395</v>
      </c>
      <c r="AX10" s="76">
        <f>IFERROR((d_dir!AX10/(d_Bv!W10+MLF_snap_bean))*1,".")</f>
        <v>0.83893521627577472</v>
      </c>
      <c r="AY10" s="76">
        <f>IFERROR((d_dir!AY10/(d_Bv!X10+MLF_strawberry))*1,".")</f>
        <v>16.601666517579439</v>
      </c>
      <c r="AZ10" s="76">
        <f>IFERROR((d_dir!AZ10/(d_Bv!Y10+MLF_tomato))*1,".")</f>
        <v>0.97348093319783291</v>
      </c>
      <c r="BA10" s="76">
        <f>IFERROR((d_dir!BA10/(d_Bv!Z10+MLF_rice))*1,".")</f>
        <v>9.4764027432682238E-2</v>
      </c>
      <c r="BB10" s="76">
        <f>IFERROR((d_dir!BB10/(d_Bv!AA10+MLF_cereal))*1,".")</f>
        <v>8.6397039230888456E-2</v>
      </c>
    </row>
    <row r="11" spans="1:54" ht="15" customHeight="1" x14ac:dyDescent="0.25">
      <c r="A11" s="92" t="s">
        <v>21</v>
      </c>
      <c r="B11" s="90" t="s">
        <v>1071</v>
      </c>
      <c r="C11" s="2" t="str">
        <f t="shared" si="0"/>
        <v>.</v>
      </c>
      <c r="D11" s="76" t="str">
        <f>IFERROR((d_dir!D11/(d_Bv!C11+MLF_apple)),".")</f>
        <v>.</v>
      </c>
      <c r="E11" s="76" t="str">
        <f>IFERROR((d_dir!E11/(d_Bv!D11+MLF_asparagus)),".")</f>
        <v>.</v>
      </c>
      <c r="F11" s="76" t="str">
        <f>IFERROR((d_dir!F11/(d_Bv!E11+MLF_beet)),".")</f>
        <v>.</v>
      </c>
      <c r="G11" s="76" t="str">
        <f>IFERROR((d_dir!G11/(d_Bv!F11+MLF_berries)),".")</f>
        <v>.</v>
      </c>
      <c r="H11" s="76" t="str">
        <f>IFERROR((d_dir!H11/(d_Bv!G11+MLF_broccoli)),".")</f>
        <v>.</v>
      </c>
      <c r="I11" s="76" t="str">
        <f>IFERROR((d_dir!I11/(d_Bv!H11+MLF_cabbage)),".")</f>
        <v>.</v>
      </c>
      <c r="J11" s="76" t="str">
        <f>IFERROR((d_dir!J11/(d_Bv!I11+MLF_carrot)),".")</f>
        <v>.</v>
      </c>
      <c r="K11" s="76" t="str">
        <f>IFERROR((d_dir!K11/(d_Bv!J11+MLF_citrus)),".")</f>
        <v>.</v>
      </c>
      <c r="L11" s="76" t="str">
        <f>IFERROR((d_dir!L11/(d_Bv!K11+MLF_corn)),".")</f>
        <v>.</v>
      </c>
      <c r="M11" s="76" t="str">
        <f>IFERROR((d_dir!M11/(d_Bv!L11+MLF_cucumber)),".")</f>
        <v>.</v>
      </c>
      <c r="N11" s="76" t="str">
        <f>IFERROR((d_dir!N11/(d_Bv!M11+MLF_lettuce)),".")</f>
        <v>.</v>
      </c>
      <c r="O11" s="76" t="str">
        <f>IFERROR((d_dir!O11/(d_Bv!N11+MLF_lima_bean)),".")</f>
        <v>.</v>
      </c>
      <c r="P11" s="76" t="str">
        <f>IFERROR((d_dir!P11/(d_Bv!O11+MLF_okra)),".")</f>
        <v>.</v>
      </c>
      <c r="Q11" s="76" t="str">
        <f>IFERROR((d_dir!Q11/(d_Bv!P11+MLF_onion)),".")</f>
        <v>.</v>
      </c>
      <c r="R11" s="76" t="str">
        <f>IFERROR((d_dir!R11/(d_Bv!Q11+MLF_peach)),".")</f>
        <v>.</v>
      </c>
      <c r="S11" s="76" t="str">
        <f>IFERROR((d_dir!S11/(d_Bv!R11+MLF_pear)),".")</f>
        <v>.</v>
      </c>
      <c r="T11" s="76" t="str">
        <f>IFERROR((d_dir!T11/(d_Bv!S11+MLF_peas)),".")</f>
        <v>.</v>
      </c>
      <c r="U11" s="76" t="str">
        <f>IFERROR((d_dir!U11/(d_Bv!T11+MLF_peppers)),".")</f>
        <v>.</v>
      </c>
      <c r="V11" s="76" t="str">
        <f>IFERROR((d_dir!V11/(d_Bv!U11+MLF_potato)),".")</f>
        <v>.</v>
      </c>
      <c r="W11" s="76" t="str">
        <f>IFERROR((d_dir!W11/(d_Bv!V11+MLF_pumpkin)),".")</f>
        <v>.</v>
      </c>
      <c r="X11" s="76" t="str">
        <f>IFERROR((d_dir!X11/(d_Bv!W11+MLF_snap_bean)),".")</f>
        <v>.</v>
      </c>
      <c r="Y11" s="76" t="str">
        <f>IFERROR((d_dir!Y11/(d_Bv!X11+MLF_strawberry)),".")</f>
        <v>.</v>
      </c>
      <c r="Z11" s="76" t="str">
        <f>IFERROR((d_dir!Z11/(d_Bv!Y11+MLF_tomato)),".")</f>
        <v>.</v>
      </c>
      <c r="AA11" s="76" t="str">
        <f>IFERROR((d_dir!AA11/(d_Bv!D11+MLF_rice)),".")</f>
        <v>.</v>
      </c>
      <c r="AB11" s="76" t="str">
        <f>IFERROR((d_dir!AB11/(d_Bv!AA11+MLF_cereal)),".")</f>
        <v>.</v>
      </c>
      <c r="AC11" s="76" t="str">
        <f t="shared" si="1"/>
        <v>.</v>
      </c>
      <c r="AD11" s="76" t="str">
        <f>IFERROR((d_dir!AD11/(d_Bv!C11+MLF_apple))*1,".")</f>
        <v>.</v>
      </c>
      <c r="AE11" s="76" t="str">
        <f>IFERROR((d_dir!AE11/(d_Bv!D11+MLF_asparagus))*1,".")</f>
        <v>.</v>
      </c>
      <c r="AF11" s="76" t="str">
        <f>IFERROR((d_dir!AF11/(d_Bv!E11+MLF_beet))*1,".")</f>
        <v>.</v>
      </c>
      <c r="AG11" s="76" t="str">
        <f>IFERROR((d_dir!AG11/(d_Bv!F11+MLF_berries))*1,".")</f>
        <v>.</v>
      </c>
      <c r="AH11" s="76" t="str">
        <f>IFERROR((d_dir!AH11/(d_Bv!G11+MLF_broccoli))*1,".")</f>
        <v>.</v>
      </c>
      <c r="AI11" s="76" t="str">
        <f>IFERROR((d_dir!AI11/(d_Bv!H11+MLF_cabbage))*1,".")</f>
        <v>.</v>
      </c>
      <c r="AJ11" s="76" t="str">
        <f>IFERROR((d_dir!AJ11/(d_Bv!I11+MLF_carrot))*1,".")</f>
        <v>.</v>
      </c>
      <c r="AK11" s="76" t="str">
        <f>IFERROR((d_dir!AK11/(d_Bv!J11+MLF_citrus))*1,".")</f>
        <v>.</v>
      </c>
      <c r="AL11" s="76" t="str">
        <f>IFERROR((d_dir!AL11/(d_Bv!K11+MLF_corn))*1,".")</f>
        <v>.</v>
      </c>
      <c r="AM11" s="76" t="str">
        <f>IFERROR((d_dir!AM11/(d_Bv!L11+MLF_cucumber))*1,".")</f>
        <v>.</v>
      </c>
      <c r="AN11" s="76" t="str">
        <f>IFERROR((d_dir!AN11/(d_Bv!M11+MLF_lettuce))*1,".")</f>
        <v>.</v>
      </c>
      <c r="AO11" s="76" t="str">
        <f>IFERROR((d_dir!AO11/(d_Bv!N11+MLF_lima_bean))*1,".")</f>
        <v>.</v>
      </c>
      <c r="AP11" s="76" t="str">
        <f>IFERROR((d_dir!AP11/(d_Bv!O11+MLF_okra))*1,".")</f>
        <v>.</v>
      </c>
      <c r="AQ11" s="76" t="str">
        <f>IFERROR((d_dir!AQ11/(d_Bv!P11+MLF_onion))*1,".")</f>
        <v>.</v>
      </c>
      <c r="AR11" s="76" t="str">
        <f>IFERROR((d_dir!AR11/(d_Bv!Q11+MLF_peach))*1,".")</f>
        <v>.</v>
      </c>
      <c r="AS11" s="76" t="str">
        <f>IFERROR((d_dir!AS11/(d_Bv!R11+MLF_pear))*1,".")</f>
        <v>.</v>
      </c>
      <c r="AT11" s="76" t="str">
        <f>IFERROR((d_dir!AT11/(d_Bv!S11+MLF_peas))*1,".")</f>
        <v>.</v>
      </c>
      <c r="AU11" s="76" t="str">
        <f>IFERROR((d_dir!AU11/(d_Bv!T11+MLF_peppers))*1,".")</f>
        <v>.</v>
      </c>
      <c r="AV11" s="76" t="str">
        <f>IFERROR((d_dir!AV11/(d_Bv!U11+MLF_potato))*1,".")</f>
        <v>.</v>
      </c>
      <c r="AW11" s="76" t="str">
        <f>IFERROR((d_dir!AW11/(d_Bv!V11+MLF_pumpkin))*1,".")</f>
        <v>.</v>
      </c>
      <c r="AX11" s="76" t="str">
        <f>IFERROR((d_dir!AX11/(d_Bv!W11+MLF_snap_bean))*1,".")</f>
        <v>.</v>
      </c>
      <c r="AY11" s="76" t="str">
        <f>IFERROR((d_dir!AY11/(d_Bv!X11+MLF_strawberry))*1,".")</f>
        <v>.</v>
      </c>
      <c r="AZ11" s="76" t="str">
        <f>IFERROR((d_dir!AZ11/(d_Bv!Y11+MLF_tomato))*1,".")</f>
        <v>.</v>
      </c>
      <c r="BA11" s="76" t="str">
        <f>IFERROR((d_dir!BA11/(d_Bv!Z11+MLF_rice))*1,".")</f>
        <v>.</v>
      </c>
      <c r="BB11" s="76" t="str">
        <f>IFERROR((d_dir!BB11/(d_Bv!AA11+MLF_cereal))*1,".")</f>
        <v>.</v>
      </c>
    </row>
    <row r="12" spans="1:54" ht="15" customHeight="1" x14ac:dyDescent="0.25">
      <c r="A12" s="92" t="s">
        <v>22</v>
      </c>
      <c r="B12" s="90" t="s">
        <v>1071</v>
      </c>
      <c r="C12" s="2" t="str">
        <f t="shared" si="0"/>
        <v>.</v>
      </c>
      <c r="D12" s="76" t="str">
        <f>IFERROR((d_dir!D12/(d_Bv!C12+MLF_apple)),".")</f>
        <v>.</v>
      </c>
      <c r="E12" s="76" t="str">
        <f>IFERROR((d_dir!E12/(d_Bv!D12+MLF_asparagus)),".")</f>
        <v>.</v>
      </c>
      <c r="F12" s="76" t="str">
        <f>IFERROR((d_dir!F12/(d_Bv!E12+MLF_beet)),".")</f>
        <v>.</v>
      </c>
      <c r="G12" s="76" t="str">
        <f>IFERROR((d_dir!G12/(d_Bv!F12+MLF_berries)),".")</f>
        <v>.</v>
      </c>
      <c r="H12" s="76" t="str">
        <f>IFERROR((d_dir!H12/(d_Bv!G12+MLF_broccoli)),".")</f>
        <v>.</v>
      </c>
      <c r="I12" s="76" t="str">
        <f>IFERROR((d_dir!I12/(d_Bv!H12+MLF_cabbage)),".")</f>
        <v>.</v>
      </c>
      <c r="J12" s="76" t="str">
        <f>IFERROR((d_dir!J12/(d_Bv!I12+MLF_carrot)),".")</f>
        <v>.</v>
      </c>
      <c r="K12" s="76" t="str">
        <f>IFERROR((d_dir!K12/(d_Bv!J12+MLF_citrus)),".")</f>
        <v>.</v>
      </c>
      <c r="L12" s="76" t="str">
        <f>IFERROR((d_dir!L12/(d_Bv!K12+MLF_corn)),".")</f>
        <v>.</v>
      </c>
      <c r="M12" s="76" t="str">
        <f>IFERROR((d_dir!M12/(d_Bv!L12+MLF_cucumber)),".")</f>
        <v>.</v>
      </c>
      <c r="N12" s="76" t="str">
        <f>IFERROR((d_dir!N12/(d_Bv!M12+MLF_lettuce)),".")</f>
        <v>.</v>
      </c>
      <c r="O12" s="76" t="str">
        <f>IFERROR((d_dir!O12/(d_Bv!N12+MLF_lima_bean)),".")</f>
        <v>.</v>
      </c>
      <c r="P12" s="76" t="str">
        <f>IFERROR((d_dir!P12/(d_Bv!O12+MLF_okra)),".")</f>
        <v>.</v>
      </c>
      <c r="Q12" s="76" t="str">
        <f>IFERROR((d_dir!Q12/(d_Bv!P12+MLF_onion)),".")</f>
        <v>.</v>
      </c>
      <c r="R12" s="76" t="str">
        <f>IFERROR((d_dir!R12/(d_Bv!Q12+MLF_peach)),".")</f>
        <v>.</v>
      </c>
      <c r="S12" s="76" t="str">
        <f>IFERROR((d_dir!S12/(d_Bv!R12+MLF_pear)),".")</f>
        <v>.</v>
      </c>
      <c r="T12" s="76" t="str">
        <f>IFERROR((d_dir!T12/(d_Bv!S12+MLF_peas)),".")</f>
        <v>.</v>
      </c>
      <c r="U12" s="76" t="str">
        <f>IFERROR((d_dir!U12/(d_Bv!T12+MLF_peppers)),".")</f>
        <v>.</v>
      </c>
      <c r="V12" s="76" t="str">
        <f>IFERROR((d_dir!V12/(d_Bv!U12+MLF_potato)),".")</f>
        <v>.</v>
      </c>
      <c r="W12" s="76" t="str">
        <f>IFERROR((d_dir!W12/(d_Bv!V12+MLF_pumpkin)),".")</f>
        <v>.</v>
      </c>
      <c r="X12" s="76" t="str">
        <f>IFERROR((d_dir!X12/(d_Bv!W12+MLF_snap_bean)),".")</f>
        <v>.</v>
      </c>
      <c r="Y12" s="76" t="str">
        <f>IFERROR((d_dir!Y12/(d_Bv!X12+MLF_strawberry)),".")</f>
        <v>.</v>
      </c>
      <c r="Z12" s="76" t="str">
        <f>IFERROR((d_dir!Z12/(d_Bv!Y12+MLF_tomato)),".")</f>
        <v>.</v>
      </c>
      <c r="AA12" s="76" t="str">
        <f>IFERROR((d_dir!AA12/(d_Bv!D12+MLF_rice)),".")</f>
        <v>.</v>
      </c>
      <c r="AB12" s="76" t="str">
        <f>IFERROR((d_dir!AB12/(d_Bv!AA12+MLF_cereal)),".")</f>
        <v>.</v>
      </c>
      <c r="AC12" s="76" t="str">
        <f t="shared" si="1"/>
        <v>.</v>
      </c>
      <c r="AD12" s="76" t="str">
        <f>IFERROR((d_dir!AD12/(d_Bv!C12+MLF_apple))*1,".")</f>
        <v>.</v>
      </c>
      <c r="AE12" s="76" t="str">
        <f>IFERROR((d_dir!AE12/(d_Bv!D12+MLF_asparagus))*1,".")</f>
        <v>.</v>
      </c>
      <c r="AF12" s="76" t="str">
        <f>IFERROR((d_dir!AF12/(d_Bv!E12+MLF_beet))*1,".")</f>
        <v>.</v>
      </c>
      <c r="AG12" s="76" t="str">
        <f>IFERROR((d_dir!AG12/(d_Bv!F12+MLF_berries))*1,".")</f>
        <v>.</v>
      </c>
      <c r="AH12" s="76" t="str">
        <f>IFERROR((d_dir!AH12/(d_Bv!G12+MLF_broccoli))*1,".")</f>
        <v>.</v>
      </c>
      <c r="AI12" s="76" t="str">
        <f>IFERROR((d_dir!AI12/(d_Bv!H12+MLF_cabbage))*1,".")</f>
        <v>.</v>
      </c>
      <c r="AJ12" s="76" t="str">
        <f>IFERROR((d_dir!AJ12/(d_Bv!I12+MLF_carrot))*1,".")</f>
        <v>.</v>
      </c>
      <c r="AK12" s="76" t="str">
        <f>IFERROR((d_dir!AK12/(d_Bv!J12+MLF_citrus))*1,".")</f>
        <v>.</v>
      </c>
      <c r="AL12" s="76" t="str">
        <f>IFERROR((d_dir!AL12/(d_Bv!K12+MLF_corn))*1,".")</f>
        <v>.</v>
      </c>
      <c r="AM12" s="76" t="str">
        <f>IFERROR((d_dir!AM12/(d_Bv!L12+MLF_cucumber))*1,".")</f>
        <v>.</v>
      </c>
      <c r="AN12" s="76" t="str">
        <f>IFERROR((d_dir!AN12/(d_Bv!M12+MLF_lettuce))*1,".")</f>
        <v>.</v>
      </c>
      <c r="AO12" s="76" t="str">
        <f>IFERROR((d_dir!AO12/(d_Bv!N12+MLF_lima_bean))*1,".")</f>
        <v>.</v>
      </c>
      <c r="AP12" s="76" t="str">
        <f>IFERROR((d_dir!AP12/(d_Bv!O12+MLF_okra))*1,".")</f>
        <v>.</v>
      </c>
      <c r="AQ12" s="76" t="str">
        <f>IFERROR((d_dir!AQ12/(d_Bv!P12+MLF_onion))*1,".")</f>
        <v>.</v>
      </c>
      <c r="AR12" s="76" t="str">
        <f>IFERROR((d_dir!AR12/(d_Bv!Q12+MLF_peach))*1,".")</f>
        <v>.</v>
      </c>
      <c r="AS12" s="76" t="str">
        <f>IFERROR((d_dir!AS12/(d_Bv!R12+MLF_pear))*1,".")</f>
        <v>.</v>
      </c>
      <c r="AT12" s="76" t="str">
        <f>IFERROR((d_dir!AT12/(d_Bv!S12+MLF_peas))*1,".")</f>
        <v>.</v>
      </c>
      <c r="AU12" s="76" t="str">
        <f>IFERROR((d_dir!AU12/(d_Bv!T12+MLF_peppers))*1,".")</f>
        <v>.</v>
      </c>
      <c r="AV12" s="76" t="str">
        <f>IFERROR((d_dir!AV12/(d_Bv!U12+MLF_potato))*1,".")</f>
        <v>.</v>
      </c>
      <c r="AW12" s="76" t="str">
        <f>IFERROR((d_dir!AW12/(d_Bv!V12+MLF_pumpkin))*1,".")</f>
        <v>.</v>
      </c>
      <c r="AX12" s="76" t="str">
        <f>IFERROR((d_dir!AX12/(d_Bv!W12+MLF_snap_bean))*1,".")</f>
        <v>.</v>
      </c>
      <c r="AY12" s="76" t="str">
        <f>IFERROR((d_dir!AY12/(d_Bv!X12+MLF_strawberry))*1,".")</f>
        <v>.</v>
      </c>
      <c r="AZ12" s="76" t="str">
        <f>IFERROR((d_dir!AZ12/(d_Bv!Y12+MLF_tomato))*1,".")</f>
        <v>.</v>
      </c>
      <c r="BA12" s="76" t="str">
        <f>IFERROR((d_dir!BA12/(d_Bv!Z12+MLF_rice))*1,".")</f>
        <v>.</v>
      </c>
      <c r="BB12" s="76" t="str">
        <f>IFERROR((d_dir!BB12/(d_Bv!AA12+MLF_cereal))*1,".")</f>
        <v>.</v>
      </c>
    </row>
    <row r="13" spans="1:54" ht="15" customHeight="1" x14ac:dyDescent="0.25">
      <c r="A13" s="92" t="s">
        <v>23</v>
      </c>
      <c r="B13" s="90" t="s">
        <v>1071</v>
      </c>
      <c r="C13" s="2">
        <f t="shared" si="0"/>
        <v>9.6127665114464231E-2</v>
      </c>
      <c r="D13" s="76">
        <f>IFERROR((d_dir!D13/(d_Bv!C13+MLF_apple)),".")</f>
        <v>39.236568129937446</v>
      </c>
      <c r="E13" s="76">
        <f>IFERROR((d_dir!E13/(d_Bv!D13+MLF_asparagus)),".")</f>
        <v>1.4575934344543886</v>
      </c>
      <c r="F13" s="76">
        <f>IFERROR((d_dir!F13/(d_Bv!E13+MLF_beet)),".")</f>
        <v>2.1508259315975184</v>
      </c>
      <c r="G13" s="76">
        <f>IFERROR((d_dir!G13/(d_Bv!F13+MLF_berries)),".")</f>
        <v>87.113670121647047</v>
      </c>
      <c r="H13" s="76">
        <f>IFERROR((d_dir!H13/(d_Bv!G13+MLF_broccoli)),".")</f>
        <v>2.631205859438845</v>
      </c>
      <c r="I13" s="76">
        <f>IFERROR((d_dir!I13/(d_Bv!H13+MLF_cabbage)),".")</f>
        <v>0.71741930446817992</v>
      </c>
      <c r="J13" s="76">
        <f>IFERROR((d_dir!J13/(d_Bv!I13+MLF_carrot)),".")</f>
        <v>2.4802659555008</v>
      </c>
      <c r="K13" s="76">
        <f>IFERROR((d_dir!K13/(d_Bv!J13+MLF_citrus)),".")</f>
        <v>10.240809764350796</v>
      </c>
      <c r="L13" s="76">
        <f>IFERROR((d_dir!L13/(d_Bv!K13+MLF_corn)),".")</f>
        <v>5.1900941263612435</v>
      </c>
      <c r="M13" s="76">
        <f>IFERROR((d_dir!M13/(d_Bv!L13+MLF_cucumber)),".")</f>
        <v>1.0657746607267684</v>
      </c>
      <c r="N13" s="76">
        <f>IFERROR((d_dir!N13/(d_Bv!M13+MLF_lettuce)),".")</f>
        <v>1.1283023957871201</v>
      </c>
      <c r="O13" s="76">
        <f>IFERROR((d_dir!O13/(d_Bv!N13+MLF_lima_bean)),".")</f>
        <v>2.043186095491607</v>
      </c>
      <c r="P13" s="76">
        <f>IFERROR((d_dir!P13/(d_Bv!O13+MLF_okra)),".")</f>
        <v>2.8698167318908938</v>
      </c>
      <c r="Q13" s="76">
        <f>IFERROR((d_dir!Q13/(d_Bv!P13+MLF_onion)),".")</f>
        <v>3.3521428577782628</v>
      </c>
      <c r="R13" s="76">
        <f>IFERROR((d_dir!R13/(d_Bv!Q13+MLF_peach)),".")</f>
        <v>25.74859487239927</v>
      </c>
      <c r="S13" s="76">
        <f>IFERROR((d_dir!S13/(d_Bv!R13+MLF_pear)),".")</f>
        <v>51.386344712136946</v>
      </c>
      <c r="T13" s="76">
        <f>IFERROR((d_dir!T13/(d_Bv!S13+MLF_peas)),".")</f>
        <v>2.4016581122861735</v>
      </c>
      <c r="U13" s="76">
        <f>IFERROR((d_dir!U13/(d_Bv!T13+MLF_peppers)),".")</f>
        <v>4.084591387284557</v>
      </c>
      <c r="V13" s="76">
        <f>IFERROR((d_dir!V13/(d_Bv!U13+MLF_potato)),".")</f>
        <v>2.0540309229709726</v>
      </c>
      <c r="W13" s="76">
        <f>IFERROR((d_dir!W13/(d_Bv!V13+MLF_pumpkin)),".")</f>
        <v>1.3663249143954668</v>
      </c>
      <c r="X13" s="76">
        <f>IFERROR((d_dir!X13/(d_Bv!W13+MLF_snap_bean)),".")</f>
        <v>1.2577988864024228</v>
      </c>
      <c r="Y13" s="76">
        <f>IFERROR((d_dir!Y13/(d_Bv!X13+MLF_strawberry)),".")</f>
        <v>92.854734576746878</v>
      </c>
      <c r="Z13" s="76">
        <f>IFERROR((d_dir!Z13/(d_Bv!Y13+MLF_tomato)),".")</f>
        <v>0.95913925319844451</v>
      </c>
      <c r="AA13" s="76">
        <f>IFERROR((d_dir!AA13/(d_Bv!D13+MLF_rice)),".")</f>
        <v>6.6057410607592418E-2</v>
      </c>
      <c r="AB13" s="76">
        <f>IFERROR((d_dir!AB13/(d_Bv!AA13+MLF_cereal)),".")</f>
        <v>8.2975272952482734E-2</v>
      </c>
      <c r="AC13" s="76">
        <f t="shared" si="1"/>
        <v>5.8701453844350091E-2</v>
      </c>
      <c r="AD13" s="76">
        <f>IFERROR((d_dir!AD13/(d_Bv!C13+MLF_apple))*1,".")</f>
        <v>22.176080111315773</v>
      </c>
      <c r="AE13" s="76">
        <f>IFERROR((d_dir!AE13/(d_Bv!D13+MLF_asparagus))*1,".")</f>
        <v>0.88727495515226018</v>
      </c>
      <c r="AF13" s="76">
        <f>IFERROR((d_dir!AF13/(d_Bv!E13+MLF_beet))*1,".")</f>
        <v>1.2916373378206729</v>
      </c>
      <c r="AG13" s="76">
        <f>IFERROR((d_dir!AG13/(d_Bv!F13+MLF_berries))*1,".")</f>
        <v>55.124387978615999</v>
      </c>
      <c r="AH13" s="76">
        <f>IFERROR((d_dir!AH13/(d_Bv!G13+MLF_broccoli))*1,".")</f>
        <v>1.4528337432504825</v>
      </c>
      <c r="AI13" s="76">
        <f>IFERROR((d_dir!AI13/(d_Bv!H13+MLF_cabbage))*1,".")</f>
        <v>0.45931417225033933</v>
      </c>
      <c r="AJ13" s="76">
        <f>IFERROR((d_dir!AJ13/(d_Bv!I13+MLF_carrot))*1,".")</f>
        <v>1.7177794384606953</v>
      </c>
      <c r="AK13" s="76">
        <f>IFERROR((d_dir!AK13/(d_Bv!J13+MLF_citrus))*1,".")</f>
        <v>6.4711164728667736</v>
      </c>
      <c r="AL13" s="76">
        <f>IFERROR((d_dir!AL13/(d_Bv!K13+MLF_corn))*1,".")</f>
        <v>2.3385892084966193</v>
      </c>
      <c r="AM13" s="76">
        <f>IFERROR((d_dir!AM13/(d_Bv!L13+MLF_cucumber))*1,".")</f>
        <v>0.97278251205614719</v>
      </c>
      <c r="AN13" s="76">
        <f>IFERROR((d_dir!AN13/(d_Bv!M13+MLF_lettuce))*1,".")</f>
        <v>0.67118067133086534</v>
      </c>
      <c r="AO13" s="76">
        <f>IFERROR((d_dir!AO13/(d_Bv!N13+MLF_lima_bean))*1,".")</f>
        <v>1.2883237874421622</v>
      </c>
      <c r="AP13" s="76">
        <f>IFERROR((d_dir!AP13/(d_Bv!O13+MLF_okra))*1,".")</f>
        <v>1.7492717767599173</v>
      </c>
      <c r="AQ13" s="76">
        <f>IFERROR((d_dir!AQ13/(d_Bv!P13+MLF_onion))*1,".")</f>
        <v>1.6030489991882482</v>
      </c>
      <c r="AR13" s="76">
        <f>IFERROR((d_dir!AR13/(d_Bv!Q13+MLF_peach))*1,".")</f>
        <v>18.709329229805679</v>
      </c>
      <c r="AS13" s="76">
        <f>IFERROR((d_dir!AS13/(d_Bv!R13+MLF_pear))*1,".")</f>
        <v>29.84779557439084</v>
      </c>
      <c r="AT13" s="76">
        <f>IFERROR((d_dir!AT13/(d_Bv!S13+MLF_peas))*1,".")</f>
        <v>1.6768261352158478</v>
      </c>
      <c r="AU13" s="76">
        <f>IFERROR((d_dir!AU13/(d_Bv!T13+MLF_peppers))*1,".")</f>
        <v>1.9893914177976357</v>
      </c>
      <c r="AV13" s="76">
        <f>IFERROR((d_dir!AV13/(d_Bv!U13+MLF_potato))*1,".")</f>
        <v>1.1358043880078212</v>
      </c>
      <c r="AW13" s="76">
        <f>IFERROR((d_dir!AW13/(d_Bv!V13+MLF_pumpkin))*1,".")</f>
        <v>0.83502281969790326</v>
      </c>
      <c r="AX13" s="76">
        <f>IFERROR((d_dir!AX13/(d_Bv!W13+MLF_snap_bean))*1,".")</f>
        <v>0.77373387945888705</v>
      </c>
      <c r="AY13" s="76">
        <f>IFERROR((d_dir!AY13/(d_Bv!X13+MLF_strawberry))*1,".")</f>
        <v>58.702650240378993</v>
      </c>
      <c r="AZ13" s="76">
        <f>IFERROR((d_dir!AZ13/(d_Bv!Y13+MLF_tomato))*1,".")</f>
        <v>0.50554191183891106</v>
      </c>
      <c r="BA13" s="76">
        <f>IFERROR((d_dir!BA13/(d_Bv!Z13+MLF_rice))*1,".")</f>
        <v>3.9678879702675904E-2</v>
      </c>
      <c r="BB13" s="76">
        <f>IFERROR((d_dir!BB13/(d_Bv!AA13+MLF_cereal))*1,".")</f>
        <v>4.2976158145639265E-2</v>
      </c>
    </row>
    <row r="14" spans="1:54" ht="15" customHeight="1" x14ac:dyDescent="0.25">
      <c r="A14" s="92" t="s">
        <v>24</v>
      </c>
      <c r="B14" s="90" t="s">
        <v>1071</v>
      </c>
      <c r="C14" s="2">
        <f t="shared" si="0"/>
        <v>0.85225520279349654</v>
      </c>
      <c r="D14" s="76">
        <f>IFERROR((d_dir!D14/(d_Bv!C14+MLF_apple)),".")</f>
        <v>16.443254946105107</v>
      </c>
      <c r="E14" s="76">
        <f>IFERROR((d_dir!E14/(d_Bv!D14+MLF_asparagus)),".")</f>
        <v>36.24801532765634</v>
      </c>
      <c r="F14" s="76">
        <f>IFERROR((d_dir!F14/(d_Bv!E14+MLF_beet)),".")</f>
        <v>43.473440578325373</v>
      </c>
      <c r="G14" s="76">
        <f>IFERROR((d_dir!G14/(d_Bv!F14+MLF_berries)),".")</f>
        <v>36.961941449532823</v>
      </c>
      <c r="H14" s="76">
        <f>IFERROR((d_dir!H14/(d_Bv!G14+MLF_broccoli)),".")</f>
        <v>42.051576098726436</v>
      </c>
      <c r="I14" s="76">
        <f>IFERROR((d_dir!I14/(d_Bv!H14+MLF_cabbage)),".")</f>
        <v>17.812250933236736</v>
      </c>
      <c r="J14" s="76">
        <f>IFERROR((d_dir!J14/(d_Bv!I14+MLF_carrot)),".")</f>
        <v>50.242572040418956</v>
      </c>
      <c r="K14" s="76">
        <f>IFERROR((d_dir!K14/(d_Bv!J14+MLF_citrus)),".")</f>
        <v>4.2649868712334635</v>
      </c>
      <c r="L14" s="76">
        <f>IFERROR((d_dir!L14/(d_Bv!K14+MLF_corn)),".")</f>
        <v>23.416507997213227</v>
      </c>
      <c r="M14" s="76">
        <f>IFERROR((d_dir!M14/(d_Bv!L14+MLF_cucumber)),".")</f>
        <v>17.725596675325317</v>
      </c>
      <c r="N14" s="76">
        <f>IFERROR((d_dir!N14/(d_Bv!M14+MLF_lettuce)),".")</f>
        <v>17.998873456270012</v>
      </c>
      <c r="O14" s="76">
        <f>IFERROR((d_dir!O14/(d_Bv!N14+MLF_lima_bean)),".")</f>
        <v>28.484438747590875</v>
      </c>
      <c r="P14" s="76">
        <f>IFERROR((d_dir!P14/(d_Bv!O14+MLF_okra)),".")</f>
        <v>47.645809469777191</v>
      </c>
      <c r="Q14" s="76">
        <f>IFERROR((d_dir!Q14/(d_Bv!P14+MLF_onion)),".")</f>
        <v>67.904120785181604</v>
      </c>
      <c r="R14" s="76">
        <f>IFERROR((d_dir!R14/(d_Bv!Q14+MLF_peach)),".")</f>
        <v>10.566536510759462</v>
      </c>
      <c r="S14" s="76">
        <f>IFERROR((d_dir!S14/(d_Bv!R14+MLF_pear)),".")</f>
        <v>21.534981450261075</v>
      </c>
      <c r="T14" s="76">
        <f>IFERROR((d_dir!T14/(d_Bv!S14+MLF_peas)),".")</f>
        <v>37.519236125230506</v>
      </c>
      <c r="U14" s="76">
        <f>IFERROR((d_dir!U14/(d_Bv!T14+MLF_peppers)),".")</f>
        <v>62.559204118029633</v>
      </c>
      <c r="V14" s="76">
        <f>IFERROR((d_dir!V14/(d_Bv!U14+MLF_potato)),".")</f>
        <v>11.005286896924474</v>
      </c>
      <c r="W14" s="76">
        <f>IFERROR((d_dir!W14/(d_Bv!V14+MLF_pumpkin)),".")</f>
        <v>22.706210377045974</v>
      </c>
      <c r="X14" s="76">
        <f>IFERROR((d_dir!X14/(d_Bv!W14+MLF_snap_bean)),".")</f>
        <v>17.075572760857135</v>
      </c>
      <c r="Y14" s="76">
        <f>IFERROR((d_dir!Y14/(d_Bv!X14+MLF_strawberry)),".")</f>
        <v>32.401101137891473</v>
      </c>
      <c r="Z14" s="76">
        <f>IFERROR((d_dir!Z14/(d_Bv!Y14+MLF_tomato)),".")</f>
        <v>14.912296284868546</v>
      </c>
      <c r="AA14" s="76">
        <f>IFERROR((d_dir!AA14/(d_Bv!D14+MLF_rice)),".")</f>
        <v>0.65141929646851471</v>
      </c>
      <c r="AB14" s="76">
        <f>IFERROR((d_dir!AB14/(d_Bv!AA14+MLF_cereal)),".")</f>
        <v>0.74706230493467374</v>
      </c>
      <c r="AC14" s="76">
        <f t="shared" si="1"/>
        <v>0.51968638484041607</v>
      </c>
      <c r="AD14" s="76">
        <f>IFERROR((d_dir!AD14/(d_Bv!C14+MLF_apple))*1,".")</f>
        <v>9.293548247339988</v>
      </c>
      <c r="AE14" s="76">
        <f>IFERROR((d_dir!AE14/(d_Bv!D14+MLF_asparagus))*1,".")</f>
        <v>22.065107741270594</v>
      </c>
      <c r="AF14" s="76">
        <f>IFERROR((d_dir!AF14/(d_Bv!E14+MLF_beet))*1,".")</f>
        <v>26.107142483997652</v>
      </c>
      <c r="AG14" s="76">
        <f>IFERROR((d_dir!AG14/(d_Bv!F14+MLF_berries))*1,".")</f>
        <v>23.389031802491257</v>
      </c>
      <c r="AH14" s="76">
        <f>IFERROR((d_dir!AH14/(d_Bv!G14+MLF_broccoli))*1,".")</f>
        <v>23.218992346773163</v>
      </c>
      <c r="AI14" s="76">
        <f>IFERROR((d_dir!AI14/(d_Bv!H14+MLF_cabbage))*1,".")</f>
        <v>11.403957549455432</v>
      </c>
      <c r="AJ14" s="76">
        <f>IFERROR((d_dir!AJ14/(d_Bv!I14+MLF_carrot))*1,".")</f>
        <v>34.796936592626651</v>
      </c>
      <c r="AK14" s="76">
        <f>IFERROR((d_dir!AK14/(d_Bv!J14+MLF_citrus))*1,".")</f>
        <v>2.6950238735099674</v>
      </c>
      <c r="AL14" s="76">
        <f>IFERROR((d_dir!AL14/(d_Bv!K14+MLF_corn))*1,".")</f>
        <v>10.551175290793966</v>
      </c>
      <c r="AM14" s="76">
        <f>IFERROR((d_dir!AM14/(d_Bv!L14+MLF_cucumber))*1,".")</f>
        <v>16.178983322570911</v>
      </c>
      <c r="AN14" s="76">
        <f>IFERROR((d_dir!AN14/(d_Bv!M14+MLF_lettuce))*1,".")</f>
        <v>10.706789256749801</v>
      </c>
      <c r="AO14" s="76">
        <f>IFERROR((d_dir!AO14/(d_Bv!N14+MLF_lima_bean))*1,".")</f>
        <v>17.960762405066642</v>
      </c>
      <c r="AP14" s="76">
        <f>IFERROR((d_dir!AP14/(d_Bv!O14+MLF_okra))*1,".")</f>
        <v>29.042087900660523</v>
      </c>
      <c r="AQ14" s="76">
        <f>IFERROR((d_dir!AQ14/(d_Bv!P14+MLF_onion))*1,".")</f>
        <v>32.472850198750017</v>
      </c>
      <c r="AR14" s="76">
        <f>IFERROR((d_dir!AR14/(d_Bv!Q14+MLF_peach))*1,".")</f>
        <v>7.6778096582844606</v>
      </c>
      <c r="AS14" s="76">
        <f>IFERROR((d_dir!AS14/(d_Bv!R14+MLF_pear))*1,".")</f>
        <v>12.508609585415307</v>
      </c>
      <c r="AT14" s="76">
        <f>IFERROR((d_dir!AT14/(d_Bv!S14+MLF_peas))*1,".")</f>
        <v>26.195750088772233</v>
      </c>
      <c r="AU14" s="76">
        <f>IFERROR((d_dir!AU14/(d_Bv!T14+MLF_peppers))*1,".")</f>
        <v>30.46932531956309</v>
      </c>
      <c r="AV14" s="76">
        <f>IFERROR((d_dir!AV14/(d_Bv!U14+MLF_potato))*1,".")</f>
        <v>6.0855233526532659</v>
      </c>
      <c r="AW14" s="76">
        <f>IFERROR((d_dir!AW14/(d_Bv!V14+MLF_pumpkin))*1,".")</f>
        <v>13.876789930368572</v>
      </c>
      <c r="AX14" s="76">
        <f>IFERROR((d_dir!AX14/(d_Bv!W14+MLF_snap_bean))*1,".")</f>
        <v>10.504023575684288</v>
      </c>
      <c r="AY14" s="76">
        <f>IFERROR((d_dir!AY14/(d_Bv!X14+MLF_strawberry))*1,".")</f>
        <v>20.483936722997264</v>
      </c>
      <c r="AZ14" s="76">
        <f>IFERROR((d_dir!AZ14/(d_Bv!Y14+MLF_tomato))*1,".")</f>
        <v>7.8599543795346793</v>
      </c>
      <c r="BA14" s="76">
        <f>IFERROR((d_dir!BA14/(d_Bv!Z14+MLF_rice))*1,".")</f>
        <v>0.38140156459279068</v>
      </c>
      <c r="BB14" s="76">
        <f>IFERROR((d_dir!BB14/(d_Bv!AA14+MLF_cereal))*1,".")</f>
        <v>0.38693295748366285</v>
      </c>
    </row>
    <row r="15" spans="1:54" ht="15" customHeight="1" x14ac:dyDescent="0.25">
      <c r="A15" s="92" t="s">
        <v>25</v>
      </c>
      <c r="B15" s="90" t="s">
        <v>1071</v>
      </c>
      <c r="C15" s="2">
        <f t="shared" si="0"/>
        <v>13.52961755480765</v>
      </c>
      <c r="D15" s="76">
        <f>IFERROR((d_dir!D15/(d_Bv!C15+MLF_apple)),".")</f>
        <v>422.42756867913329</v>
      </c>
      <c r="E15" s="76">
        <f>IFERROR((d_dir!E15/(d_Bv!D15+MLF_asparagus)),".")</f>
        <v>117.20536725021523</v>
      </c>
      <c r="F15" s="76">
        <f>IFERROR((d_dir!F15/(d_Bv!E15+MLF_beet)),".")</f>
        <v>747.9494750286126</v>
      </c>
      <c r="G15" s="76">
        <f>IFERROR((d_dir!G15/(d_Bv!F15+MLF_berries)),".")</f>
        <v>949.55306059309362</v>
      </c>
      <c r="H15" s="76">
        <f>IFERROR((d_dir!H15/(d_Bv!G15+MLF_broccoli)),".")</f>
        <v>742.92115987067973</v>
      </c>
      <c r="I15" s="76">
        <f>IFERROR((d_dir!I15/(d_Bv!H15+MLF_cabbage)),".")</f>
        <v>57.724470913569313</v>
      </c>
      <c r="J15" s="76">
        <f>IFERROR((d_dir!J15/(d_Bv!I15+MLF_carrot)),".")</f>
        <v>863.25286483493539</v>
      </c>
      <c r="K15" s="76">
        <f>IFERROR((d_dir!K15/(d_Bv!J15+MLF_citrus)),".")</f>
        <v>109.56760327372589</v>
      </c>
      <c r="L15" s="76">
        <f>IFERROR((d_dir!L15/(d_Bv!K15+MLF_corn)),".")</f>
        <v>4537.497108807348</v>
      </c>
      <c r="M15" s="76">
        <f>IFERROR((d_dir!M15/(d_Bv!L15+MLF_cucumber)),".")</f>
        <v>303.98433427423839</v>
      </c>
      <c r="N15" s="76">
        <f>IFERROR((d_dir!N15/(d_Bv!M15+MLF_lettuce)),".")</f>
        <v>116.2160306842962</v>
      </c>
      <c r="O15" s="76">
        <f>IFERROR((d_dir!O15/(d_Bv!N15+MLF_lima_bean)),".")</f>
        <v>1108.468950111529</v>
      </c>
      <c r="P15" s="76">
        <f>IFERROR((d_dir!P15/(d_Bv!O15+MLF_okra)),".")</f>
        <v>818.1790661285296</v>
      </c>
      <c r="Q15" s="76">
        <f>IFERROR((d_dir!Q15/(d_Bv!P15+MLF_onion)),".")</f>
        <v>1166.7083196845174</v>
      </c>
      <c r="R15" s="76">
        <f>IFERROR((d_dir!R15/(d_Bv!Q15+MLF_peach)),".")</f>
        <v>271.45454730401161</v>
      </c>
      <c r="S15" s="76">
        <f>IFERROR((d_dir!S15/(d_Bv!R15+MLF_pear)),".")</f>
        <v>553.23413067549677</v>
      </c>
      <c r="T15" s="76">
        <f>IFERROR((d_dir!T15/(d_Bv!S15+MLF_peas)),".")</f>
        <v>1790.848591013121</v>
      </c>
      <c r="U15" s="76">
        <f>IFERROR((d_dir!U15/(d_Bv!T15+MLF_peppers)),".")</f>
        <v>1140.4959225435416</v>
      </c>
      <c r="V15" s="76">
        <f>IFERROR((d_dir!V15/(d_Bv!U15+MLF_potato)),".")</f>
        <v>1688.0894805539369</v>
      </c>
      <c r="W15" s="76">
        <f>IFERROR((d_dir!W15/(d_Bv!V15+MLF_pumpkin)),".")</f>
        <v>389.63096043707765</v>
      </c>
      <c r="X15" s="76">
        <f>IFERROR((d_dir!X15/(d_Bv!W15+MLF_snap_bean)),".")</f>
        <v>638.84246616279552</v>
      </c>
      <c r="Y15" s="76">
        <f>IFERROR((d_dir!Y15/(d_Bv!X15+MLF_strawberry)),".")</f>
        <v>832.38497615389974</v>
      </c>
      <c r="Z15" s="76">
        <f>IFERROR((d_dir!Z15/(d_Bv!Y15+MLF_tomato)),".")</f>
        <v>268.87621586952281</v>
      </c>
      <c r="AA15" s="76">
        <f>IFERROR((d_dir!AA15/(d_Bv!D15+MLF_rice)),".")</f>
        <v>13.185132256899873</v>
      </c>
      <c r="AB15" s="76">
        <f>IFERROR((d_dir!AB15/(d_Bv!AA15+MLF_cereal)),".")</f>
        <v>19.118513729852378</v>
      </c>
      <c r="AC15" s="76">
        <f t="shared" si="1"/>
        <v>8.3999765638137003</v>
      </c>
      <c r="AD15" s="76">
        <f>IFERROR((d_dir!AD15/(d_Bv!C15+MLF_apple))*1,".")</f>
        <v>238.75145178941369</v>
      </c>
      <c r="AE15" s="76">
        <f>IFERROR((d_dir!AE15/(d_Bv!D15+MLF_asparagus))*1,".")</f>
        <v>71.345949091398097</v>
      </c>
      <c r="AF15" s="76">
        <f>IFERROR((d_dir!AF15/(d_Bv!E15+MLF_beet))*1,".")</f>
        <v>449.16673848765379</v>
      </c>
      <c r="AG15" s="76">
        <f>IFERROR((d_dir!AG15/(d_Bv!F15+MLF_berries))*1,".")</f>
        <v>600.8647235884165</v>
      </c>
      <c r="AH15" s="76">
        <f>IFERROR((d_dir!AH15/(d_Bv!G15+MLF_broccoli))*1,".")</f>
        <v>410.20770980842218</v>
      </c>
      <c r="AI15" s="76">
        <f>IFERROR((d_dir!AI15/(d_Bv!H15+MLF_cabbage))*1,".")</f>
        <v>36.9570032631187</v>
      </c>
      <c r="AJ15" s="76">
        <f>IFERROR((d_dir!AJ15/(d_Bv!I15+MLF_carrot))*1,".")</f>
        <v>597.87057033822327</v>
      </c>
      <c r="AK15" s="76">
        <f>IFERROR((d_dir!AK15/(d_Bv!J15+MLF_citrus))*1,".")</f>
        <v>69.235220529661589</v>
      </c>
      <c r="AL15" s="76">
        <f>IFERROR((d_dir!AL15/(d_Bv!K15+MLF_corn))*1,".")</f>
        <v>2044.5374426534825</v>
      </c>
      <c r="AM15" s="76">
        <f>IFERROR((d_dir!AM15/(d_Bv!L15+MLF_cucumber))*1,".")</f>
        <v>277.46075715419943</v>
      </c>
      <c r="AN15" s="76">
        <f>IFERROR((d_dir!AN15/(d_Bv!M15+MLF_lettuce))*1,".")</f>
        <v>69.132134953661122</v>
      </c>
      <c r="AO15" s="76">
        <f>IFERROR((d_dir!AO15/(d_Bv!N15+MLF_lima_bean))*1,".")</f>
        <v>698.94118759951618</v>
      </c>
      <c r="AP15" s="76">
        <f>IFERROR((d_dir!AP15/(d_Bv!O15+MLF_okra))*1,".")</f>
        <v>498.71391884017896</v>
      </c>
      <c r="AQ15" s="76">
        <f>IFERROR((d_dir!AQ15/(d_Bv!P15+MLF_onion))*1,".")</f>
        <v>557.93881214670614</v>
      </c>
      <c r="AR15" s="76">
        <f>IFERROR((d_dir!AR15/(d_Bv!Q15+MLF_peach))*1,".")</f>
        <v>197.24309313214854</v>
      </c>
      <c r="AS15" s="76">
        <f>IFERROR((d_dir!AS15/(d_Bv!R15+MLF_pear))*1,".")</f>
        <v>321.34644582489432</v>
      </c>
      <c r="AT15" s="76">
        <f>IFERROR((d_dir!AT15/(d_Bv!S15+MLF_peas))*1,".")</f>
        <v>1250.3618671879713</v>
      </c>
      <c r="AU15" s="76">
        <f>IFERROR((d_dir!AU15/(d_Bv!T15+MLF_peppers))*1,".")</f>
        <v>555.47607709413558</v>
      </c>
      <c r="AV15" s="76">
        <f>IFERROR((d_dir!AV15/(d_Bv!U15+MLF_potato))*1,".")</f>
        <v>933.4520809403125</v>
      </c>
      <c r="AW15" s="76">
        <f>IFERROR((d_dir!AW15/(d_Bv!V15+MLF_pumpkin))*1,".")</f>
        <v>238.121064614944</v>
      </c>
      <c r="AX15" s="76">
        <f>IFERROR((d_dir!AX15/(d_Bv!W15+MLF_snap_bean))*1,".")</f>
        <v>392.98338156508521</v>
      </c>
      <c r="AY15" s="76">
        <f>IFERROR((d_dir!AY15/(d_Bv!X15+MLF_strawberry))*1,".")</f>
        <v>526.23276931691464</v>
      </c>
      <c r="AZ15" s="76">
        <f>IFERROR((d_dir!AZ15/(d_Bv!Y15+MLF_tomato))*1,".")</f>
        <v>141.71893785538458</v>
      </c>
      <c r="BA15" s="76">
        <f>IFERROR((d_dir!BA15/(d_Bv!Z15+MLF_rice))*1,".")</f>
        <v>10.178335994016956</v>
      </c>
      <c r="BB15" s="76">
        <f>IFERROR((d_dir!BB15/(d_Bv!AA15+MLF_cereal))*1,".")</f>
        <v>9.9022303913870644</v>
      </c>
    </row>
    <row r="16" spans="1:54" ht="15" customHeight="1" x14ac:dyDescent="0.25">
      <c r="A16" s="92" t="s">
        <v>26</v>
      </c>
      <c r="B16" s="90" t="s">
        <v>1071</v>
      </c>
      <c r="C16" s="2">
        <f t="shared" si="0"/>
        <v>4.0078301058581178E-3</v>
      </c>
      <c r="D16" s="76">
        <f>IFERROR((d_dir!D16/(d_Bv!C16+MLF_apple)),".")</f>
        <v>0.12513420430683758</v>
      </c>
      <c r="E16" s="76">
        <f>IFERROR((d_dir!E16/(d_Bv!D16+MLF_asparagus)),".")</f>
        <v>3.4719325770346775E-2</v>
      </c>
      <c r="F16" s="76">
        <f>IFERROR((d_dir!F16/(d_Bv!E16+MLF_beet)),".")</f>
        <v>0.22156239165941918</v>
      </c>
      <c r="G16" s="76">
        <f>IFERROR((d_dir!G16/(d_Bv!F16+MLF_berries)),".")</f>
        <v>0.28128269908135034</v>
      </c>
      <c r="H16" s="76">
        <f>IFERROR((d_dir!H16/(d_Bv!G16+MLF_broccoli)),".")</f>
        <v>0.22007287188622024</v>
      </c>
      <c r="I16" s="76">
        <f>IFERROR((d_dir!I16/(d_Bv!H16+MLF_cabbage)),".")</f>
        <v>1.7099513081944118E-2</v>
      </c>
      <c r="J16" s="76">
        <f>IFERROR((d_dir!J16/(d_Bv!I16+MLF_carrot)),".")</f>
        <v>0.25571830146997143</v>
      </c>
      <c r="K16" s="76">
        <f>IFERROR((d_dir!K16/(d_Bv!J16+MLF_citrus)),".")</f>
        <v>3.2456818328254658E-2</v>
      </c>
      <c r="L16" s="76">
        <f>IFERROR((d_dir!L16/(d_Bv!K16+MLF_corn)),".")</f>
        <v>1.3441265020429314</v>
      </c>
      <c r="M16" s="76">
        <f>IFERROR((d_dir!M16/(d_Bv!L16+MLF_cucumber)),".")</f>
        <v>9.0048189586897018E-2</v>
      </c>
      <c r="N16" s="76">
        <f>IFERROR((d_dir!N16/(d_Bv!M16+MLF_lettuce)),".")</f>
        <v>3.4426258146102832E-2</v>
      </c>
      <c r="O16" s="76">
        <f>IFERROR((d_dir!O16/(d_Bv!N16+MLF_lima_bean)),".")</f>
        <v>0.3283577833349246</v>
      </c>
      <c r="P16" s="76">
        <f>IFERROR((d_dir!P16/(d_Bv!O16+MLF_okra)),".")</f>
        <v>0.24236625166448897</v>
      </c>
      <c r="Q16" s="76">
        <f>IFERROR((d_dir!Q16/(d_Bv!P16+MLF_onion)),".")</f>
        <v>0.34560982300088533</v>
      </c>
      <c r="R16" s="76">
        <f>IFERROR((d_dir!R16/(d_Bv!Q16+MLF_peach)),".")</f>
        <v>8.0412007408924208E-2</v>
      </c>
      <c r="S16" s="76">
        <f>IFERROR((d_dir!S16/(d_Bv!R16+MLF_pear)),".")</f>
        <v>0.16388256323783584</v>
      </c>
      <c r="T16" s="76">
        <f>IFERROR((d_dir!T16/(d_Bv!S16+MLF_peas)),".")</f>
        <v>0.53049665809256596</v>
      </c>
      <c r="U16" s="76">
        <f>IFERROR((d_dir!U16/(d_Bv!T16+MLF_peppers)),".")</f>
        <v>0.33784501856478494</v>
      </c>
      <c r="V16" s="76">
        <f>IFERROR((d_dir!V16/(d_Bv!U16+MLF_potato)),".")</f>
        <v>0.50005669518295859</v>
      </c>
      <c r="W16" s="76">
        <f>IFERROR((d_dir!W16/(d_Bv!V16+MLF_pumpkin)),".")</f>
        <v>0.11541898262003999</v>
      </c>
      <c r="X16" s="76">
        <f>IFERROR((d_dir!X16/(d_Bv!W16+MLF_snap_bean)),".")</f>
        <v>0.18924201356143183</v>
      </c>
      <c r="Y16" s="76">
        <f>IFERROR((d_dir!Y16/(d_Bv!X16+MLF_strawberry)),".")</f>
        <v>0.24657441746445707</v>
      </c>
      <c r="Z16" s="76">
        <f>IFERROR((d_dir!Z16/(d_Bv!Y16+MLF_tomato)),".")</f>
        <v>7.9648237531160515E-2</v>
      </c>
      <c r="AA16" s="76">
        <f>IFERROR((d_dir!AA16/(d_Bv!D16+MLF_rice)),".")</f>
        <v>3.9057844610061883E-3</v>
      </c>
      <c r="AB16" s="76">
        <f>IFERROR((d_dir!AB16/(d_Bv!AA16+MLF_cereal)),".")</f>
        <v>5.6634087841260826E-3</v>
      </c>
      <c r="AC16" s="76">
        <f t="shared" si="1"/>
        <v>2.4882949443750016E-3</v>
      </c>
      <c r="AD16" s="76">
        <f>IFERROR((d_dir!AD16/(d_Bv!C16+MLF_apple))*1,".")</f>
        <v>7.0724486662147076E-2</v>
      </c>
      <c r="AE16" s="76">
        <f>IFERROR((d_dir!AE16/(d_Bv!D16+MLF_asparagus))*1,".")</f>
        <v>2.1134554730848115E-2</v>
      </c>
      <c r="AF16" s="76">
        <f>IFERROR((d_dir!AF16/(d_Bv!E16+MLF_beet))*1,".")</f>
        <v>0.13305505272181442</v>
      </c>
      <c r="AG16" s="76">
        <f>IFERROR((d_dir!AG16/(d_Bv!F16+MLF_berries))*1,".")</f>
        <v>0.1779920030252479</v>
      </c>
      <c r="AH16" s="76">
        <f>IFERROR((d_dir!AH16/(d_Bv!G16+MLF_broccoli))*1,".")</f>
        <v>0.12151435932060807</v>
      </c>
      <c r="AI16" s="76">
        <f>IFERROR((d_dir!AI16/(d_Bv!H16+MLF_cabbage))*1,".")</f>
        <v>1.0947640589263466E-2</v>
      </c>
      <c r="AJ16" s="76">
        <f>IFERROR((d_dir!AJ16/(d_Bv!I16+MLF_carrot))*1,".")</f>
        <v>0.1771050557417001</v>
      </c>
      <c r="AK16" s="76">
        <f>IFERROR((d_dir!AK16/(d_Bv!J16+MLF_citrus))*1,".")</f>
        <v>2.0509301175767675E-2</v>
      </c>
      <c r="AL16" s="76">
        <f>IFERROR((d_dir!AL16/(d_Bv!K16+MLF_corn))*1,".")</f>
        <v>0.60564599716339007</v>
      </c>
      <c r="AM16" s="76">
        <f>IFERROR((d_dir!AM16/(d_Bv!L16+MLF_cucumber))*1,".")</f>
        <v>8.2191205421149646E-2</v>
      </c>
      <c r="AN16" s="76">
        <f>IFERROR((d_dir!AN16/(d_Bv!M16+MLF_lettuce))*1,".")</f>
        <v>2.047876450514112E-2</v>
      </c>
      <c r="AO16" s="76">
        <f>IFERROR((d_dir!AO16/(d_Bv!N16+MLF_lima_bean))*1,".")</f>
        <v>0.20704484236438495</v>
      </c>
      <c r="AP16" s="76">
        <f>IFERROR((d_dir!AP16/(d_Bv!O16+MLF_okra))*1,".")</f>
        <v>0.14773223633567564</v>
      </c>
      <c r="AQ16" s="76">
        <f>IFERROR((d_dir!AQ16/(d_Bv!P16+MLF_onion))*1,".")</f>
        <v>0.16527621416421293</v>
      </c>
      <c r="AR16" s="76">
        <f>IFERROR((d_dir!AR16/(d_Bv!Q16+MLF_peach))*1,".")</f>
        <v>5.8428614380655323E-2</v>
      </c>
      <c r="AS16" s="76">
        <f>IFERROR((d_dir!AS16/(d_Bv!R16+MLF_pear))*1,".")</f>
        <v>9.5191305650015864E-2</v>
      </c>
      <c r="AT16" s="76">
        <f>IFERROR((d_dir!AT16/(d_Bv!S16+MLF_peas))*1,".")</f>
        <v>0.37039021348775747</v>
      </c>
      <c r="AU16" s="76">
        <f>IFERROR((d_dir!AU16/(d_Bv!T16+MLF_peppers))*1,".")</f>
        <v>0.16454668698826283</v>
      </c>
      <c r="AV16" s="76">
        <f>IFERROR((d_dir!AV16/(d_Bv!U16+MLF_potato))*1,".")</f>
        <v>0.27651316359930012</v>
      </c>
      <c r="AW16" s="76">
        <f>IFERROR((d_dir!AW16/(d_Bv!V16+MLF_pumpkin))*1,".")</f>
        <v>7.0537749329332447E-2</v>
      </c>
      <c r="AX16" s="76">
        <f>IFERROR((d_dir!AX16/(d_Bv!W16+MLF_snap_bean))*1,".")</f>
        <v>0.1164120583126762</v>
      </c>
      <c r="AY16" s="76">
        <f>IFERROR((d_dir!AY16/(d_Bv!X16+MLF_strawberry))*1,".")</f>
        <v>0.15588404675991627</v>
      </c>
      <c r="AZ16" s="76">
        <f>IFERROR((d_dir!AZ16/(d_Bv!Y16+MLF_tomato))*1,".")</f>
        <v>4.1980892911878072E-2</v>
      </c>
      <c r="BA16" s="76">
        <f>IFERROR((d_dir!BA16/(d_Bv!Z16+MLF_rice))*1,".")</f>
        <v>3.0150919831333244E-3</v>
      </c>
      <c r="BB16" s="76">
        <f>IFERROR((d_dir!BB16/(d_Bv!AA16+MLF_cereal))*1,".")</f>
        <v>2.9333022102788092E-3</v>
      </c>
    </row>
    <row r="17" spans="1:54" ht="15" customHeight="1" x14ac:dyDescent="0.25">
      <c r="A17" s="92" t="s">
        <v>27</v>
      </c>
      <c r="B17" s="90" t="s">
        <v>1071</v>
      </c>
      <c r="C17" s="2">
        <f t="shared" si="0"/>
        <v>9.7289310966632137</v>
      </c>
      <c r="D17" s="76">
        <f>IFERROR((d_dir!D17/(d_Bv!C17+MLF_apple)),".")</f>
        <v>303.76089289751411</v>
      </c>
      <c r="E17" s="76">
        <f>IFERROR((d_dir!E17/(d_Bv!D17+MLF_asparagus)),".")</f>
        <v>84.280500724963929</v>
      </c>
      <c r="F17" s="76">
        <f>IFERROR((d_dir!F17/(d_Bv!E17+MLF_beet)),".")</f>
        <v>537.83847746332276</v>
      </c>
      <c r="G17" s="76">
        <f>IFERROR((d_dir!G17/(d_Bv!F17+MLF_berries)),".")</f>
        <v>682.80838402953748</v>
      </c>
      <c r="H17" s="76">
        <f>IFERROR((d_dir!H17/(d_Bv!G17+MLF_broccoli)),".")</f>
        <v>534.22269663983241</v>
      </c>
      <c r="I17" s="76">
        <f>IFERROR((d_dir!I17/(d_Bv!H17+MLF_cabbage)),".")</f>
        <v>41.508741679833811</v>
      </c>
      <c r="J17" s="76">
        <f>IFERROR((d_dir!J17/(d_Bv!I17+MLF_carrot)),".")</f>
        <v>620.7512966980986</v>
      </c>
      <c r="K17" s="76">
        <f>IFERROR((d_dir!K17/(d_Bv!J17+MLF_citrus)),".")</f>
        <v>78.788307086908247</v>
      </c>
      <c r="L17" s="76">
        <f>IFERROR((d_dir!L17/(d_Bv!K17+MLF_corn)),".")</f>
        <v>3262.8414324400928</v>
      </c>
      <c r="M17" s="76">
        <f>IFERROR((d_dir!M17/(d_Bv!L17+MLF_cucumber)),".")</f>
        <v>218.590261745292</v>
      </c>
      <c r="N17" s="76">
        <f>IFERROR((d_dir!N17/(d_Bv!M17+MLF_lettuce)),".")</f>
        <v>83.569084660005345</v>
      </c>
      <c r="O17" s="76">
        <f>IFERROR((d_dir!O17/(d_Bv!N17+MLF_lima_bean)),".")</f>
        <v>797.08225267561852</v>
      </c>
      <c r="P17" s="76">
        <f>IFERROR((d_dir!P17/(d_Bv!O17+MLF_okra)),".")</f>
        <v>588.33945060540066</v>
      </c>
      <c r="Q17" s="76">
        <f>IFERROR((d_dir!Q17/(d_Bv!P17+MLF_onion)),".")</f>
        <v>838.9612497273398</v>
      </c>
      <c r="R17" s="76">
        <f>IFERROR((d_dir!R17/(d_Bv!Q17+MLF_peach)),".")</f>
        <v>195.19861340486941</v>
      </c>
      <c r="S17" s="76">
        <f>IFERROR((d_dir!S17/(d_Bv!R17+MLF_pear)),".")</f>
        <v>397.82179473001366</v>
      </c>
      <c r="T17" s="76">
        <f>IFERROR((d_dir!T17/(d_Bv!S17+MLF_peas)),".")</f>
        <v>1287.7705135376793</v>
      </c>
      <c r="U17" s="76">
        <f>IFERROR((d_dir!U17/(d_Bv!T17+MLF_peppers)),".")</f>
        <v>820.11233514199705</v>
      </c>
      <c r="V17" s="76">
        <f>IFERROR((d_dir!V17/(d_Bv!U17+MLF_potato)),".")</f>
        <v>1213.87808448993</v>
      </c>
      <c r="W17" s="76">
        <f>IFERROR((d_dir!W17/(d_Bv!V17+MLF_pumpkin)),".")</f>
        <v>280.17737765780697</v>
      </c>
      <c r="X17" s="76">
        <f>IFERROR((d_dir!X17/(d_Bv!W17+MLF_snap_bean)),".")</f>
        <v>459.38137643156733</v>
      </c>
      <c r="Y17" s="76">
        <f>IFERROR((d_dir!Y17/(d_Bv!X17+MLF_strawberry)),".")</f>
        <v>598.55469277631562</v>
      </c>
      <c r="Z17" s="76">
        <f>IFERROR((d_dir!Z17/(d_Bv!Y17+MLF_tomato)),".")</f>
        <v>193.34457660235913</v>
      </c>
      <c r="AA17" s="76">
        <f>IFERROR((d_dir!AA17/(d_Bv!D17+MLF_rice)),".")</f>
        <v>9.4812172412211293</v>
      </c>
      <c r="AB17" s="76">
        <f>IFERROR((d_dir!AB17/(d_Bv!AA17+MLF_cereal)),".")</f>
        <v>13.747816743145757</v>
      </c>
      <c r="AC17" s="76">
        <f t="shared" si="1"/>
        <v>6.0402884909255743</v>
      </c>
      <c r="AD17" s="76">
        <f>IFERROR((d_dir!AD17/(d_Bv!C17+MLF_apple))*1,".")</f>
        <v>171.68234166841805</v>
      </c>
      <c r="AE17" s="76">
        <f>IFERROR((d_dir!AE17/(d_Bv!D17+MLF_asparagus))*1,".")</f>
        <v>51.303728277936635</v>
      </c>
      <c r="AF17" s="76">
        <f>IFERROR((d_dir!AF17/(d_Bv!E17+MLF_beet))*1,".")</f>
        <v>322.98860126364104</v>
      </c>
      <c r="AG17" s="76">
        <f>IFERROR((d_dir!AG17/(d_Bv!F17+MLF_berries))*1,".")</f>
        <v>432.07219054983841</v>
      </c>
      <c r="AH17" s="76">
        <f>IFERROR((d_dir!AH17/(d_Bv!G17+MLF_broccoli))*1,".")</f>
        <v>294.97378827445317</v>
      </c>
      <c r="AI17" s="76">
        <f>IFERROR((d_dir!AI17/(d_Bv!H17+MLF_cabbage))*1,".")</f>
        <v>26.575188605998331</v>
      </c>
      <c r="AJ17" s="76">
        <f>IFERROR((d_dir!AJ17/(d_Bv!I17+MLF_carrot))*1,".")</f>
        <v>429.91914294550094</v>
      </c>
      <c r="AK17" s="76">
        <f>IFERROR((d_dir!AK17/(d_Bv!J17+MLF_citrus))*1,".")</f>
        <v>49.785937205298623</v>
      </c>
      <c r="AL17" s="76">
        <f>IFERROR((d_dir!AL17/(d_Bv!K17+MLF_corn))*1,".")</f>
        <v>1470.1940999844121</v>
      </c>
      <c r="AM17" s="76">
        <f>IFERROR((d_dir!AM17/(d_Bv!L17+MLF_cucumber))*1,".")</f>
        <v>199.51758262538615</v>
      </c>
      <c r="AN17" s="76">
        <f>IFERROR((d_dir!AN17/(d_Bv!M17+MLF_lettuce))*1,".")</f>
        <v>49.711810020113568</v>
      </c>
      <c r="AO17" s="76">
        <f>IFERROR((d_dir!AO17/(d_Bv!N17+MLF_lima_bean))*1,".")</f>
        <v>502.5974036020948</v>
      </c>
      <c r="AP17" s="76">
        <f>IFERROR((d_dir!AP17/(d_Bv!O17+MLF_okra))*1,".")</f>
        <v>358.61718438736534</v>
      </c>
      <c r="AQ17" s="76">
        <f>IFERROR((d_dir!AQ17/(d_Bv!P17+MLF_onion))*1,".")</f>
        <v>401.20485575740236</v>
      </c>
      <c r="AR17" s="76">
        <f>IFERROR((d_dir!AR17/(d_Bv!Q17+MLF_peach))*1,".")</f>
        <v>141.83434635914801</v>
      </c>
      <c r="AS17" s="76">
        <f>IFERROR((d_dir!AS17/(d_Bv!R17+MLF_pear))*1,".")</f>
        <v>231.07507783744305</v>
      </c>
      <c r="AT17" s="76">
        <f>IFERROR((d_dir!AT17/(d_Bv!S17+MLF_peas))*1,".")</f>
        <v>899.11517472600656</v>
      </c>
      <c r="AU17" s="76">
        <f>IFERROR((d_dir!AU17/(d_Bv!T17+MLF_peppers))*1,".")</f>
        <v>399.43394246005772</v>
      </c>
      <c r="AV17" s="76">
        <f>IFERROR((d_dir!AV17/(d_Bv!U17+MLF_potato))*1,".")</f>
        <v>671.23042766852996</v>
      </c>
      <c r="AW17" s="76">
        <f>IFERROR((d_dir!AW17/(d_Bv!V17+MLF_pumpkin))*1,".")</f>
        <v>171.22904035670015</v>
      </c>
      <c r="AX17" s="76">
        <f>IFERROR((d_dir!AX17/(d_Bv!W17+MLF_snap_bean))*1,".")</f>
        <v>282.58804994985513</v>
      </c>
      <c r="AY17" s="76">
        <f>IFERROR((d_dir!AY17/(d_Bv!X17+MLF_strawberry))*1,".")</f>
        <v>378.40554862330816</v>
      </c>
      <c r="AZ17" s="76">
        <f>IFERROR((d_dir!AZ17/(d_Bv!Y17+MLF_tomato))*1,".")</f>
        <v>101.90781638150554</v>
      </c>
      <c r="BA17" s="76">
        <f>IFERROR((d_dir!BA17/(d_Bv!Z17+MLF_rice))*1,".")</f>
        <v>7.3190782491328026</v>
      </c>
      <c r="BB17" s="76">
        <f>IFERROR((d_dir!BB17/(d_Bv!AA17+MLF_cereal))*1,".")</f>
        <v>7.1205351364019966</v>
      </c>
    </row>
    <row r="18" spans="1:54" ht="15" customHeight="1" x14ac:dyDescent="0.25">
      <c r="A18" s="92" t="s">
        <v>28</v>
      </c>
      <c r="B18" s="90" t="s">
        <v>1071</v>
      </c>
      <c r="C18" s="2">
        <f t="shared" si="0"/>
        <v>1.6410020144732348E-2</v>
      </c>
      <c r="D18" s="76">
        <f>IFERROR((d_dir!D18/(d_Bv!C18+MLF_apple)),".")</f>
        <v>1.8440685915475068</v>
      </c>
      <c r="E18" s="76">
        <f>IFERROR((d_dir!E18/(d_Bv!D18+MLF_asparagus)),".")</f>
        <v>0.19411371358130619</v>
      </c>
      <c r="F18" s="76">
        <f>IFERROR((d_dir!F18/(d_Bv!E18+MLF_beet)),".")</f>
        <v>0.29494034199343167</v>
      </c>
      <c r="G18" s="76">
        <f>IFERROR((d_dir!G18/(d_Bv!F18+MLF_berries)),".")</f>
        <v>4.0796402514100896</v>
      </c>
      <c r="H18" s="76">
        <f>IFERROR((d_dir!H18/(d_Bv!G18+MLF_broccoli)),".")</f>
        <v>1.520485559431783</v>
      </c>
      <c r="I18" s="76">
        <f>IFERROR((d_dir!I18/(d_Bv!H18+MLF_cabbage)),".")</f>
        <v>9.5302106323526925E-2</v>
      </c>
      <c r="J18" s="76">
        <f>IFERROR((d_dir!J18/(d_Bv!I18+MLF_carrot)),".")</f>
        <v>0.34184652203798116</v>
      </c>
      <c r="K18" s="76">
        <f>IFERROR((d_dir!K18/(d_Bv!J18+MLF_citrus)),".")</f>
        <v>0.48218423643345265</v>
      </c>
      <c r="L18" s="76">
        <f>IFERROR((d_dir!L18/(d_Bv!K18+MLF_corn)),".")</f>
        <v>2.4519495284532109</v>
      </c>
      <c r="M18" s="76">
        <f>IFERROR((d_dir!M18/(d_Bv!L18+MLF_cucumber)),".")</f>
        <v>2.9466015141012876</v>
      </c>
      <c r="N18" s="76">
        <f>IFERROR((d_dir!N18/(d_Bv!M18+MLF_lettuce)),".")</f>
        <v>8.0420167460820965E-2</v>
      </c>
      <c r="O18" s="76">
        <f>IFERROR((d_dir!O18/(d_Bv!N18+MLF_lima_bean)),".")</f>
        <v>0.3818071555399174</v>
      </c>
      <c r="P18" s="76">
        <f>IFERROR((d_dir!P18/(d_Bv!O18+MLF_okra)),".")</f>
        <v>6.8159325468095053</v>
      </c>
      <c r="Q18" s="76">
        <f>IFERROR((d_dir!Q18/(d_Bv!P18+MLF_onion)),".")</f>
        <v>0.46201431534570286</v>
      </c>
      <c r="R18" s="76">
        <f>IFERROR((d_dir!R18/(d_Bv!Q18+MLF_peach)),".")</f>
        <v>1.2176675407637096</v>
      </c>
      <c r="S18" s="76">
        <f>IFERROR((d_dir!S18/(d_Bv!R18+MLF_pear)),".")</f>
        <v>2.4150925739548397</v>
      </c>
      <c r="T18" s="76">
        <f>IFERROR((d_dir!T18/(d_Bv!S18+MLF_peas)),".")</f>
        <v>3.3871660962932588</v>
      </c>
      <c r="U18" s="76">
        <f>IFERROR((d_dir!U18/(d_Bv!T18+MLF_peppers)),".")</f>
        <v>1.2552930612846012</v>
      </c>
      <c r="V18" s="76">
        <f>IFERROR((d_dir!V18/(d_Bv!U18+MLF_potato)),".")</f>
        <v>0.15343774070872154</v>
      </c>
      <c r="W18" s="76">
        <f>IFERROR((d_dir!W18/(d_Bv!V18+MLF_pumpkin)),".")</f>
        <v>3.5175044539468363</v>
      </c>
      <c r="X18" s="76">
        <f>IFERROR((d_dir!X18/(d_Bv!W18+MLF_snap_bean)),".")</f>
        <v>0.19313189295890978</v>
      </c>
      <c r="Y18" s="76">
        <f>IFERROR((d_dir!Y18/(d_Bv!X18+MLF_strawberry)),".")</f>
        <v>4.6351131874106803</v>
      </c>
      <c r="Z18" s="76">
        <f>IFERROR((d_dir!Z18/(d_Bv!Y18+MLF_tomato)),".")</f>
        <v>0.35404040909239975</v>
      </c>
      <c r="AA18" s="76">
        <f>IFERROR((d_dir!AA18/(d_Bv!D18+MLF_rice)),".")</f>
        <v>2.6147098197969935E-3</v>
      </c>
      <c r="AB18" s="76">
        <f>IFERROR((d_dir!AB18/(d_Bv!AA18+MLF_cereal)),".")</f>
        <v>3.0844058161629303E-3</v>
      </c>
      <c r="AC18" s="76">
        <f t="shared" si="1"/>
        <v>9.8122858857131959E-3</v>
      </c>
      <c r="AD18" s="76">
        <f>IFERROR((d_dir!AD18/(d_Bv!C18+MLF_apple))*1,".")</f>
        <v>1.0422474432904474</v>
      </c>
      <c r="AE18" s="76">
        <f>IFERROR((d_dir!AE18/(d_Bv!D18+MLF_asparagus))*1,".")</f>
        <v>0.11816205564671925</v>
      </c>
      <c r="AF18" s="76">
        <f>IFERROR((d_dir!AF18/(d_Bv!E18+MLF_beet))*1,".")</f>
        <v>0.17712077604781395</v>
      </c>
      <c r="AG18" s="76">
        <f>IFERROR((d_dir!AG18/(d_Bv!F18+MLF_berries))*1,".")</f>
        <v>2.5815428476135969</v>
      </c>
      <c r="AH18" s="76">
        <f>IFERROR((d_dir!AH18/(d_Bv!G18+MLF_broccoli))*1,".")</f>
        <v>0.83954386120844804</v>
      </c>
      <c r="AI18" s="76">
        <f>IFERROR((d_dir!AI18/(d_Bv!H18+MLF_cabbage))*1,".")</f>
        <v>6.1015375258341838E-2</v>
      </c>
      <c r="AJ18" s="76">
        <f>IFERROR((d_dir!AJ18/(d_Bv!I18+MLF_carrot))*1,".")</f>
        <v>0.23675562911461143</v>
      </c>
      <c r="AK18" s="76">
        <f>IFERROR((d_dir!AK18/(d_Bv!J18+MLF_citrus))*1,".")</f>
        <v>0.30468980746065127</v>
      </c>
      <c r="AL18" s="76">
        <f>IFERROR((d_dir!AL18/(d_Bv!K18+MLF_corn))*1,".")</f>
        <v>1.1048167080236004</v>
      </c>
      <c r="AM18" s="76">
        <f>IFERROR((d_dir!AM18/(d_Bv!L18+MLF_cucumber))*1,".")</f>
        <v>2.6895013819912483</v>
      </c>
      <c r="AN18" s="76">
        <f>IFERROR((d_dir!AN18/(d_Bv!M18+MLF_lettuce))*1,".")</f>
        <v>4.7838648740295961E-2</v>
      </c>
      <c r="AO18" s="76">
        <f>IFERROR((d_dir!AO18/(d_Bv!N18+MLF_lima_bean))*1,".")</f>
        <v>0.24074715552493631</v>
      </c>
      <c r="AP18" s="76">
        <f>IFERROR((d_dir!AP18/(d_Bv!O18+MLF_okra))*1,".")</f>
        <v>4.154592278991041</v>
      </c>
      <c r="AQ18" s="76">
        <f>IFERROR((d_dir!AQ18/(d_Bv!P18+MLF_onion))*1,".")</f>
        <v>0.22094272745775803</v>
      </c>
      <c r="AR18" s="76">
        <f>IFERROR((d_dir!AR18/(d_Bv!Q18+MLF_peach))*1,".")</f>
        <v>0.88477616062135211</v>
      </c>
      <c r="AS18" s="76">
        <f>IFERROR((d_dir!AS18/(d_Bv!R18+MLF_pear))*1,".")</f>
        <v>1.4028082722063637</v>
      </c>
      <c r="AT18" s="76">
        <f>IFERROR((d_dir!AT18/(d_Bv!S18+MLF_peas))*1,".")</f>
        <v>2.3649030665630404</v>
      </c>
      <c r="AU18" s="76">
        <f>IFERROR((d_dir!AU18/(d_Bv!T18+MLF_peppers))*1,".")</f>
        <v>0.61138777570617564</v>
      </c>
      <c r="AV18" s="76">
        <f>IFERROR((d_dir!AV18/(d_Bv!U18+MLF_potato))*1,".")</f>
        <v>8.4845489536690424E-2</v>
      </c>
      <c r="AW18" s="76">
        <f>IFERROR((d_dir!AW18/(d_Bv!V18+MLF_pumpkin))*1,".")</f>
        <v>2.1497057226202956</v>
      </c>
      <c r="AX18" s="76">
        <f>IFERROR((d_dir!AX18/(d_Bv!W18+MLF_snap_bean))*1,".")</f>
        <v>0.1188049142051204</v>
      </c>
      <c r="AY18" s="76">
        <f>IFERROR((d_dir!AY18/(d_Bv!X18+MLF_strawberry))*1,".")</f>
        <v>2.9303129184031542</v>
      </c>
      <c r="AZ18" s="76">
        <f>IFERROR((d_dir!AZ18/(d_Bv!Y18+MLF_tomato))*1,".")</f>
        <v>0.18660717375912755</v>
      </c>
      <c r="BA18" s="76">
        <f>IFERROR((d_dir!BA18/(d_Bv!Z18+MLF_rice))*1,".")</f>
        <v>1.4982978044277776E-3</v>
      </c>
      <c r="BB18" s="76">
        <f>IFERROR((d_dir!BB18/(d_Bv!AA18+MLF_cereal))*1,".")</f>
        <v>1.5975351140653452E-3</v>
      </c>
    </row>
    <row r="19" spans="1:54" ht="15" customHeight="1" x14ac:dyDescent="0.25">
      <c r="A19" s="92" t="s">
        <v>29</v>
      </c>
      <c r="B19" s="90" t="s">
        <v>1071</v>
      </c>
      <c r="C19" s="2" t="str">
        <f t="shared" si="0"/>
        <v>.</v>
      </c>
      <c r="D19" s="76" t="str">
        <f>IFERROR((d_dir!D19/(d_Bv!C19+MLF_apple)),".")</f>
        <v>.</v>
      </c>
      <c r="E19" s="76" t="str">
        <f>IFERROR((d_dir!E19/(d_Bv!D19+MLF_asparagus)),".")</f>
        <v>.</v>
      </c>
      <c r="F19" s="76" t="str">
        <f>IFERROR((d_dir!F19/(d_Bv!E19+MLF_beet)),".")</f>
        <v>.</v>
      </c>
      <c r="G19" s="76" t="str">
        <f>IFERROR((d_dir!G19/(d_Bv!F19+MLF_berries)),".")</f>
        <v>.</v>
      </c>
      <c r="H19" s="76" t="str">
        <f>IFERROR((d_dir!H19/(d_Bv!G19+MLF_broccoli)),".")</f>
        <v>.</v>
      </c>
      <c r="I19" s="76" t="str">
        <f>IFERROR((d_dir!I19/(d_Bv!H19+MLF_cabbage)),".")</f>
        <v>.</v>
      </c>
      <c r="J19" s="76" t="str">
        <f>IFERROR((d_dir!J19/(d_Bv!I19+MLF_carrot)),".")</f>
        <v>.</v>
      </c>
      <c r="K19" s="76" t="str">
        <f>IFERROR((d_dir!K19/(d_Bv!J19+MLF_citrus)),".")</f>
        <v>.</v>
      </c>
      <c r="L19" s="76" t="str">
        <f>IFERROR((d_dir!L19/(d_Bv!K19+MLF_corn)),".")</f>
        <v>.</v>
      </c>
      <c r="M19" s="76" t="str">
        <f>IFERROR((d_dir!M19/(d_Bv!L19+MLF_cucumber)),".")</f>
        <v>.</v>
      </c>
      <c r="N19" s="76" t="str">
        <f>IFERROR((d_dir!N19/(d_Bv!M19+MLF_lettuce)),".")</f>
        <v>.</v>
      </c>
      <c r="O19" s="76" t="str">
        <f>IFERROR((d_dir!O19/(d_Bv!N19+MLF_lima_bean)),".")</f>
        <v>.</v>
      </c>
      <c r="P19" s="76" t="str">
        <f>IFERROR((d_dir!P19/(d_Bv!O19+MLF_okra)),".")</f>
        <v>.</v>
      </c>
      <c r="Q19" s="76" t="str">
        <f>IFERROR((d_dir!Q19/(d_Bv!P19+MLF_onion)),".")</f>
        <v>.</v>
      </c>
      <c r="R19" s="76" t="str">
        <f>IFERROR((d_dir!R19/(d_Bv!Q19+MLF_peach)),".")</f>
        <v>.</v>
      </c>
      <c r="S19" s="76" t="str">
        <f>IFERROR((d_dir!S19/(d_Bv!R19+MLF_pear)),".")</f>
        <v>.</v>
      </c>
      <c r="T19" s="76" t="str">
        <f>IFERROR((d_dir!T19/(d_Bv!S19+MLF_peas)),".")</f>
        <v>.</v>
      </c>
      <c r="U19" s="76" t="str">
        <f>IFERROR((d_dir!U19/(d_Bv!T19+MLF_peppers)),".")</f>
        <v>.</v>
      </c>
      <c r="V19" s="76" t="str">
        <f>IFERROR((d_dir!V19/(d_Bv!U19+MLF_potato)),".")</f>
        <v>.</v>
      </c>
      <c r="W19" s="76" t="str">
        <f>IFERROR((d_dir!W19/(d_Bv!V19+MLF_pumpkin)),".")</f>
        <v>.</v>
      </c>
      <c r="X19" s="76" t="str">
        <f>IFERROR((d_dir!X19/(d_Bv!W19+MLF_snap_bean)),".")</f>
        <v>.</v>
      </c>
      <c r="Y19" s="76" t="str">
        <f>IFERROR((d_dir!Y19/(d_Bv!X19+MLF_strawberry)),".")</f>
        <v>.</v>
      </c>
      <c r="Z19" s="76" t="str">
        <f>IFERROR((d_dir!Z19/(d_Bv!Y19+MLF_tomato)),".")</f>
        <v>.</v>
      </c>
      <c r="AA19" s="76" t="str">
        <f>IFERROR((d_dir!AA19/(d_Bv!D19+MLF_rice)),".")</f>
        <v>.</v>
      </c>
      <c r="AB19" s="76" t="str">
        <f>IFERROR((d_dir!AB19/(d_Bv!AA19+MLF_cereal)),".")</f>
        <v>.</v>
      </c>
      <c r="AC19" s="76" t="str">
        <f t="shared" si="1"/>
        <v>.</v>
      </c>
      <c r="AD19" s="76" t="str">
        <f>IFERROR((d_dir!AD19/(d_Bv!C19+MLF_apple))*1,".")</f>
        <v>.</v>
      </c>
      <c r="AE19" s="76" t="str">
        <f>IFERROR((d_dir!AE19/(d_Bv!D19+MLF_asparagus))*1,".")</f>
        <v>.</v>
      </c>
      <c r="AF19" s="76" t="str">
        <f>IFERROR((d_dir!AF19/(d_Bv!E19+MLF_beet))*1,".")</f>
        <v>.</v>
      </c>
      <c r="AG19" s="76" t="str">
        <f>IFERROR((d_dir!AG19/(d_Bv!F19+MLF_berries))*1,".")</f>
        <v>.</v>
      </c>
      <c r="AH19" s="76" t="str">
        <f>IFERROR((d_dir!AH19/(d_Bv!G19+MLF_broccoli))*1,".")</f>
        <v>.</v>
      </c>
      <c r="AI19" s="76" t="str">
        <f>IFERROR((d_dir!AI19/(d_Bv!H19+MLF_cabbage))*1,".")</f>
        <v>.</v>
      </c>
      <c r="AJ19" s="76" t="str">
        <f>IFERROR((d_dir!AJ19/(d_Bv!I19+MLF_carrot))*1,".")</f>
        <v>.</v>
      </c>
      <c r="AK19" s="76" t="str">
        <f>IFERROR((d_dir!AK19/(d_Bv!J19+MLF_citrus))*1,".")</f>
        <v>.</v>
      </c>
      <c r="AL19" s="76" t="str">
        <f>IFERROR((d_dir!AL19/(d_Bv!K19+MLF_corn))*1,".")</f>
        <v>.</v>
      </c>
      <c r="AM19" s="76" t="str">
        <f>IFERROR((d_dir!AM19/(d_Bv!L19+MLF_cucumber))*1,".")</f>
        <v>.</v>
      </c>
      <c r="AN19" s="76" t="str">
        <f>IFERROR((d_dir!AN19/(d_Bv!M19+MLF_lettuce))*1,".")</f>
        <v>.</v>
      </c>
      <c r="AO19" s="76" t="str">
        <f>IFERROR((d_dir!AO19/(d_Bv!N19+MLF_lima_bean))*1,".")</f>
        <v>.</v>
      </c>
      <c r="AP19" s="76" t="str">
        <f>IFERROR((d_dir!AP19/(d_Bv!O19+MLF_okra))*1,".")</f>
        <v>.</v>
      </c>
      <c r="AQ19" s="76" t="str">
        <f>IFERROR((d_dir!AQ19/(d_Bv!P19+MLF_onion))*1,".")</f>
        <v>.</v>
      </c>
      <c r="AR19" s="76" t="str">
        <f>IFERROR((d_dir!AR19/(d_Bv!Q19+MLF_peach))*1,".")</f>
        <v>.</v>
      </c>
      <c r="AS19" s="76" t="str">
        <f>IFERROR((d_dir!AS19/(d_Bv!R19+MLF_pear))*1,".")</f>
        <v>.</v>
      </c>
      <c r="AT19" s="76" t="str">
        <f>IFERROR((d_dir!AT19/(d_Bv!S19+MLF_peas))*1,".")</f>
        <v>.</v>
      </c>
      <c r="AU19" s="76" t="str">
        <f>IFERROR((d_dir!AU19/(d_Bv!T19+MLF_peppers))*1,".")</f>
        <v>.</v>
      </c>
      <c r="AV19" s="76" t="str">
        <f>IFERROR((d_dir!AV19/(d_Bv!U19+MLF_potato))*1,".")</f>
        <v>.</v>
      </c>
      <c r="AW19" s="76" t="str">
        <f>IFERROR((d_dir!AW19/(d_Bv!V19+MLF_pumpkin))*1,".")</f>
        <v>.</v>
      </c>
      <c r="AX19" s="76" t="str">
        <f>IFERROR((d_dir!AX19/(d_Bv!W19+MLF_snap_bean))*1,".")</f>
        <v>.</v>
      </c>
      <c r="AY19" s="76" t="str">
        <f>IFERROR((d_dir!AY19/(d_Bv!X19+MLF_strawberry))*1,".")</f>
        <v>.</v>
      </c>
      <c r="AZ19" s="76" t="str">
        <f>IFERROR((d_dir!AZ19/(d_Bv!Y19+MLF_tomato))*1,".")</f>
        <v>.</v>
      </c>
      <c r="BA19" s="76" t="str">
        <f>IFERROR((d_dir!BA19/(d_Bv!Z19+MLF_rice))*1,".")</f>
        <v>.</v>
      </c>
      <c r="BB19" s="76" t="str">
        <f>IFERROR((d_dir!BB19/(d_Bv!AA19+MLF_cereal))*1,".")</f>
        <v>.</v>
      </c>
    </row>
    <row r="20" spans="1:54" ht="15" customHeight="1" x14ac:dyDescent="0.25">
      <c r="A20" s="92" t="s">
        <v>30</v>
      </c>
      <c r="B20" s="90" t="s">
        <v>1071</v>
      </c>
      <c r="C20" s="2" t="str">
        <f t="shared" si="0"/>
        <v>.</v>
      </c>
      <c r="D20" s="76" t="str">
        <f>IFERROR((d_dir!D20/(d_Bv!C20+MLF_apple)),".")</f>
        <v>.</v>
      </c>
      <c r="E20" s="76" t="str">
        <f>IFERROR((d_dir!E20/(d_Bv!D20+MLF_asparagus)),".")</f>
        <v>.</v>
      </c>
      <c r="F20" s="76" t="str">
        <f>IFERROR((d_dir!F20/(d_Bv!E20+MLF_beet)),".")</f>
        <v>.</v>
      </c>
      <c r="G20" s="76" t="str">
        <f>IFERROR((d_dir!G20/(d_Bv!F20+MLF_berries)),".")</f>
        <v>.</v>
      </c>
      <c r="H20" s="76" t="str">
        <f>IFERROR((d_dir!H20/(d_Bv!G20+MLF_broccoli)),".")</f>
        <v>.</v>
      </c>
      <c r="I20" s="76" t="str">
        <f>IFERROR((d_dir!I20/(d_Bv!H20+MLF_cabbage)),".")</f>
        <v>.</v>
      </c>
      <c r="J20" s="76" t="str">
        <f>IFERROR((d_dir!J20/(d_Bv!I20+MLF_carrot)),".")</f>
        <v>.</v>
      </c>
      <c r="K20" s="76" t="str">
        <f>IFERROR((d_dir!K20/(d_Bv!J20+MLF_citrus)),".")</f>
        <v>.</v>
      </c>
      <c r="L20" s="76" t="str">
        <f>IFERROR((d_dir!L20/(d_Bv!K20+MLF_corn)),".")</f>
        <v>.</v>
      </c>
      <c r="M20" s="76" t="str">
        <f>IFERROR((d_dir!M20/(d_Bv!L20+MLF_cucumber)),".")</f>
        <v>.</v>
      </c>
      <c r="N20" s="76" t="str">
        <f>IFERROR((d_dir!N20/(d_Bv!M20+MLF_lettuce)),".")</f>
        <v>.</v>
      </c>
      <c r="O20" s="76" t="str">
        <f>IFERROR((d_dir!O20/(d_Bv!N20+MLF_lima_bean)),".")</f>
        <v>.</v>
      </c>
      <c r="P20" s="76" t="str">
        <f>IFERROR((d_dir!P20/(d_Bv!O20+MLF_okra)),".")</f>
        <v>.</v>
      </c>
      <c r="Q20" s="76" t="str">
        <f>IFERROR((d_dir!Q20/(d_Bv!P20+MLF_onion)),".")</f>
        <v>.</v>
      </c>
      <c r="R20" s="76" t="str">
        <f>IFERROR((d_dir!R20/(d_Bv!Q20+MLF_peach)),".")</f>
        <v>.</v>
      </c>
      <c r="S20" s="76" t="str">
        <f>IFERROR((d_dir!S20/(d_Bv!R20+MLF_pear)),".")</f>
        <v>.</v>
      </c>
      <c r="T20" s="76" t="str">
        <f>IFERROR((d_dir!T20/(d_Bv!S20+MLF_peas)),".")</f>
        <v>.</v>
      </c>
      <c r="U20" s="76" t="str">
        <f>IFERROR((d_dir!U20/(d_Bv!T20+MLF_peppers)),".")</f>
        <v>.</v>
      </c>
      <c r="V20" s="76" t="str">
        <f>IFERROR((d_dir!V20/(d_Bv!U20+MLF_potato)),".")</f>
        <v>.</v>
      </c>
      <c r="W20" s="76" t="str">
        <f>IFERROR((d_dir!W20/(d_Bv!V20+MLF_pumpkin)),".")</f>
        <v>.</v>
      </c>
      <c r="X20" s="76" t="str">
        <f>IFERROR((d_dir!X20/(d_Bv!W20+MLF_snap_bean)),".")</f>
        <v>.</v>
      </c>
      <c r="Y20" s="76" t="str">
        <f>IFERROR((d_dir!Y20/(d_Bv!X20+MLF_strawberry)),".")</f>
        <v>.</v>
      </c>
      <c r="Z20" s="76" t="str">
        <f>IFERROR((d_dir!Z20/(d_Bv!Y20+MLF_tomato)),".")</f>
        <v>.</v>
      </c>
      <c r="AA20" s="76" t="str">
        <f>IFERROR((d_dir!AA20/(d_Bv!D20+MLF_rice)),".")</f>
        <v>.</v>
      </c>
      <c r="AB20" s="76" t="str">
        <f>IFERROR((d_dir!AB20/(d_Bv!AA20+MLF_cereal)),".")</f>
        <v>.</v>
      </c>
      <c r="AC20" s="76" t="str">
        <f t="shared" si="1"/>
        <v>.</v>
      </c>
      <c r="AD20" s="76" t="str">
        <f>IFERROR((d_dir!AD20/(d_Bv!C20+MLF_apple))*1,".")</f>
        <v>.</v>
      </c>
      <c r="AE20" s="76" t="str">
        <f>IFERROR((d_dir!AE20/(d_Bv!D20+MLF_asparagus))*1,".")</f>
        <v>.</v>
      </c>
      <c r="AF20" s="76" t="str">
        <f>IFERROR((d_dir!AF20/(d_Bv!E20+MLF_beet))*1,".")</f>
        <v>.</v>
      </c>
      <c r="AG20" s="76" t="str">
        <f>IFERROR((d_dir!AG20/(d_Bv!F20+MLF_berries))*1,".")</f>
        <v>.</v>
      </c>
      <c r="AH20" s="76" t="str">
        <f>IFERROR((d_dir!AH20/(d_Bv!G20+MLF_broccoli))*1,".")</f>
        <v>.</v>
      </c>
      <c r="AI20" s="76" t="str">
        <f>IFERROR((d_dir!AI20/(d_Bv!H20+MLF_cabbage))*1,".")</f>
        <v>.</v>
      </c>
      <c r="AJ20" s="76" t="str">
        <f>IFERROR((d_dir!AJ20/(d_Bv!I20+MLF_carrot))*1,".")</f>
        <v>.</v>
      </c>
      <c r="AK20" s="76" t="str">
        <f>IFERROR((d_dir!AK20/(d_Bv!J20+MLF_citrus))*1,".")</f>
        <v>.</v>
      </c>
      <c r="AL20" s="76" t="str">
        <f>IFERROR((d_dir!AL20/(d_Bv!K20+MLF_corn))*1,".")</f>
        <v>.</v>
      </c>
      <c r="AM20" s="76" t="str">
        <f>IFERROR((d_dir!AM20/(d_Bv!L20+MLF_cucumber))*1,".")</f>
        <v>.</v>
      </c>
      <c r="AN20" s="76" t="str">
        <f>IFERROR((d_dir!AN20/(d_Bv!M20+MLF_lettuce))*1,".")</f>
        <v>.</v>
      </c>
      <c r="AO20" s="76" t="str">
        <f>IFERROR((d_dir!AO20/(d_Bv!N20+MLF_lima_bean))*1,".")</f>
        <v>.</v>
      </c>
      <c r="AP20" s="76" t="str">
        <f>IFERROR((d_dir!AP20/(d_Bv!O20+MLF_okra))*1,".")</f>
        <v>.</v>
      </c>
      <c r="AQ20" s="76" t="str">
        <f>IFERROR((d_dir!AQ20/(d_Bv!P20+MLF_onion))*1,".")</f>
        <v>.</v>
      </c>
      <c r="AR20" s="76" t="str">
        <f>IFERROR((d_dir!AR20/(d_Bv!Q20+MLF_peach))*1,".")</f>
        <v>.</v>
      </c>
      <c r="AS20" s="76" t="str">
        <f>IFERROR((d_dir!AS20/(d_Bv!R20+MLF_pear))*1,".")</f>
        <v>.</v>
      </c>
      <c r="AT20" s="76" t="str">
        <f>IFERROR((d_dir!AT20/(d_Bv!S20+MLF_peas))*1,".")</f>
        <v>.</v>
      </c>
      <c r="AU20" s="76" t="str">
        <f>IFERROR((d_dir!AU20/(d_Bv!T20+MLF_peppers))*1,".")</f>
        <v>.</v>
      </c>
      <c r="AV20" s="76" t="str">
        <f>IFERROR((d_dir!AV20/(d_Bv!U20+MLF_potato))*1,".")</f>
        <v>.</v>
      </c>
      <c r="AW20" s="76" t="str">
        <f>IFERROR((d_dir!AW20/(d_Bv!V20+MLF_pumpkin))*1,".")</f>
        <v>.</v>
      </c>
      <c r="AX20" s="76" t="str">
        <f>IFERROR((d_dir!AX20/(d_Bv!W20+MLF_snap_bean))*1,".")</f>
        <v>.</v>
      </c>
      <c r="AY20" s="76" t="str">
        <f>IFERROR((d_dir!AY20/(d_Bv!X20+MLF_strawberry))*1,".")</f>
        <v>.</v>
      </c>
      <c r="AZ20" s="76" t="str">
        <f>IFERROR((d_dir!AZ20/(d_Bv!Y20+MLF_tomato))*1,".")</f>
        <v>.</v>
      </c>
      <c r="BA20" s="76" t="str">
        <f>IFERROR((d_dir!BA20/(d_Bv!Z20+MLF_rice))*1,".")</f>
        <v>.</v>
      </c>
      <c r="BB20" s="76" t="str">
        <f>IFERROR((d_dir!BB20/(d_Bv!AA20+MLF_cereal))*1,".")</f>
        <v>.</v>
      </c>
    </row>
    <row r="21" spans="1:54" ht="15" customHeight="1" x14ac:dyDescent="0.25">
      <c r="A21" s="92" t="s">
        <v>31</v>
      </c>
      <c r="B21" s="90" t="s">
        <v>1071</v>
      </c>
      <c r="C21" s="2" t="str">
        <f t="shared" si="0"/>
        <v>.</v>
      </c>
      <c r="D21" s="76" t="str">
        <f>IFERROR((d_dir!D21/(d_Bv!C21+MLF_apple)),".")</f>
        <v>.</v>
      </c>
      <c r="E21" s="76" t="str">
        <f>IFERROR((d_dir!E21/(d_Bv!D21+MLF_asparagus)),".")</f>
        <v>.</v>
      </c>
      <c r="F21" s="76" t="str">
        <f>IFERROR((d_dir!F21/(d_Bv!E21+MLF_beet)),".")</f>
        <v>.</v>
      </c>
      <c r="G21" s="76" t="str">
        <f>IFERROR((d_dir!G21/(d_Bv!F21+MLF_berries)),".")</f>
        <v>.</v>
      </c>
      <c r="H21" s="76" t="str">
        <f>IFERROR((d_dir!H21/(d_Bv!G21+MLF_broccoli)),".")</f>
        <v>.</v>
      </c>
      <c r="I21" s="76" t="str">
        <f>IFERROR((d_dir!I21/(d_Bv!H21+MLF_cabbage)),".")</f>
        <v>.</v>
      </c>
      <c r="J21" s="76" t="str">
        <f>IFERROR((d_dir!J21/(d_Bv!I21+MLF_carrot)),".")</f>
        <v>.</v>
      </c>
      <c r="K21" s="76" t="str">
        <f>IFERROR((d_dir!K21/(d_Bv!J21+MLF_citrus)),".")</f>
        <v>.</v>
      </c>
      <c r="L21" s="76" t="str">
        <f>IFERROR((d_dir!L21/(d_Bv!K21+MLF_corn)),".")</f>
        <v>.</v>
      </c>
      <c r="M21" s="76" t="str">
        <f>IFERROR((d_dir!M21/(d_Bv!L21+MLF_cucumber)),".")</f>
        <v>.</v>
      </c>
      <c r="N21" s="76" t="str">
        <f>IFERROR((d_dir!N21/(d_Bv!M21+MLF_lettuce)),".")</f>
        <v>.</v>
      </c>
      <c r="O21" s="76" t="str">
        <f>IFERROR((d_dir!O21/(d_Bv!N21+MLF_lima_bean)),".")</f>
        <v>.</v>
      </c>
      <c r="P21" s="76" t="str">
        <f>IFERROR((d_dir!P21/(d_Bv!O21+MLF_okra)),".")</f>
        <v>.</v>
      </c>
      <c r="Q21" s="76" t="str">
        <f>IFERROR((d_dir!Q21/(d_Bv!P21+MLF_onion)),".")</f>
        <v>.</v>
      </c>
      <c r="R21" s="76" t="str">
        <f>IFERROR((d_dir!R21/(d_Bv!Q21+MLF_peach)),".")</f>
        <v>.</v>
      </c>
      <c r="S21" s="76" t="str">
        <f>IFERROR((d_dir!S21/(d_Bv!R21+MLF_pear)),".")</f>
        <v>.</v>
      </c>
      <c r="T21" s="76" t="str">
        <f>IFERROR((d_dir!T21/(d_Bv!S21+MLF_peas)),".")</f>
        <v>.</v>
      </c>
      <c r="U21" s="76" t="str">
        <f>IFERROR((d_dir!U21/(d_Bv!T21+MLF_peppers)),".")</f>
        <v>.</v>
      </c>
      <c r="V21" s="76" t="str">
        <f>IFERROR((d_dir!V21/(d_Bv!U21+MLF_potato)),".")</f>
        <v>.</v>
      </c>
      <c r="W21" s="76" t="str">
        <f>IFERROR((d_dir!W21/(d_Bv!V21+MLF_pumpkin)),".")</f>
        <v>.</v>
      </c>
      <c r="X21" s="76" t="str">
        <f>IFERROR((d_dir!X21/(d_Bv!W21+MLF_snap_bean)),".")</f>
        <v>.</v>
      </c>
      <c r="Y21" s="76" t="str">
        <f>IFERROR((d_dir!Y21/(d_Bv!X21+MLF_strawberry)),".")</f>
        <v>.</v>
      </c>
      <c r="Z21" s="76" t="str">
        <f>IFERROR((d_dir!Z21/(d_Bv!Y21+MLF_tomato)),".")</f>
        <v>.</v>
      </c>
      <c r="AA21" s="76" t="str">
        <f>IFERROR((d_dir!AA21/(d_Bv!D21+MLF_rice)),".")</f>
        <v>.</v>
      </c>
      <c r="AB21" s="76" t="str">
        <f>IFERROR((d_dir!AB21/(d_Bv!AA21+MLF_cereal)),".")</f>
        <v>.</v>
      </c>
      <c r="AC21" s="76" t="str">
        <f t="shared" si="1"/>
        <v>.</v>
      </c>
      <c r="AD21" s="76" t="str">
        <f>IFERROR((d_dir!AD21/(d_Bv!C21+MLF_apple))*1,".")</f>
        <v>.</v>
      </c>
      <c r="AE21" s="76" t="str">
        <f>IFERROR((d_dir!AE21/(d_Bv!D21+MLF_asparagus))*1,".")</f>
        <v>.</v>
      </c>
      <c r="AF21" s="76" t="str">
        <f>IFERROR((d_dir!AF21/(d_Bv!E21+MLF_beet))*1,".")</f>
        <v>.</v>
      </c>
      <c r="AG21" s="76" t="str">
        <f>IFERROR((d_dir!AG21/(d_Bv!F21+MLF_berries))*1,".")</f>
        <v>.</v>
      </c>
      <c r="AH21" s="76" t="str">
        <f>IFERROR((d_dir!AH21/(d_Bv!G21+MLF_broccoli))*1,".")</f>
        <v>.</v>
      </c>
      <c r="AI21" s="76" t="str">
        <f>IFERROR((d_dir!AI21/(d_Bv!H21+MLF_cabbage))*1,".")</f>
        <v>.</v>
      </c>
      <c r="AJ21" s="76" t="str">
        <f>IFERROR((d_dir!AJ21/(d_Bv!I21+MLF_carrot))*1,".")</f>
        <v>.</v>
      </c>
      <c r="AK21" s="76" t="str">
        <f>IFERROR((d_dir!AK21/(d_Bv!J21+MLF_citrus))*1,".")</f>
        <v>.</v>
      </c>
      <c r="AL21" s="76" t="str">
        <f>IFERROR((d_dir!AL21/(d_Bv!K21+MLF_corn))*1,".")</f>
        <v>.</v>
      </c>
      <c r="AM21" s="76" t="str">
        <f>IFERROR((d_dir!AM21/(d_Bv!L21+MLF_cucumber))*1,".")</f>
        <v>.</v>
      </c>
      <c r="AN21" s="76" t="str">
        <f>IFERROR((d_dir!AN21/(d_Bv!M21+MLF_lettuce))*1,".")</f>
        <v>.</v>
      </c>
      <c r="AO21" s="76" t="str">
        <f>IFERROR((d_dir!AO21/(d_Bv!N21+MLF_lima_bean))*1,".")</f>
        <v>.</v>
      </c>
      <c r="AP21" s="76" t="str">
        <f>IFERROR((d_dir!AP21/(d_Bv!O21+MLF_okra))*1,".")</f>
        <v>.</v>
      </c>
      <c r="AQ21" s="76" t="str">
        <f>IFERROR((d_dir!AQ21/(d_Bv!P21+MLF_onion))*1,".")</f>
        <v>.</v>
      </c>
      <c r="AR21" s="76" t="str">
        <f>IFERROR((d_dir!AR21/(d_Bv!Q21+MLF_peach))*1,".")</f>
        <v>.</v>
      </c>
      <c r="AS21" s="76" t="str">
        <f>IFERROR((d_dir!AS21/(d_Bv!R21+MLF_pear))*1,".")</f>
        <v>.</v>
      </c>
      <c r="AT21" s="76" t="str">
        <f>IFERROR((d_dir!AT21/(d_Bv!S21+MLF_peas))*1,".")</f>
        <v>.</v>
      </c>
      <c r="AU21" s="76" t="str">
        <f>IFERROR((d_dir!AU21/(d_Bv!T21+MLF_peppers))*1,".")</f>
        <v>.</v>
      </c>
      <c r="AV21" s="76" t="str">
        <f>IFERROR((d_dir!AV21/(d_Bv!U21+MLF_potato))*1,".")</f>
        <v>.</v>
      </c>
      <c r="AW21" s="76" t="str">
        <f>IFERROR((d_dir!AW21/(d_Bv!V21+MLF_pumpkin))*1,".")</f>
        <v>.</v>
      </c>
      <c r="AX21" s="76" t="str">
        <f>IFERROR((d_dir!AX21/(d_Bv!W21+MLF_snap_bean))*1,".")</f>
        <v>.</v>
      </c>
      <c r="AY21" s="76" t="str">
        <f>IFERROR((d_dir!AY21/(d_Bv!X21+MLF_strawberry))*1,".")</f>
        <v>.</v>
      </c>
      <c r="AZ21" s="76" t="str">
        <f>IFERROR((d_dir!AZ21/(d_Bv!Y21+MLF_tomato))*1,".")</f>
        <v>.</v>
      </c>
      <c r="BA21" s="76" t="str">
        <f>IFERROR((d_dir!BA21/(d_Bv!Z21+MLF_rice))*1,".")</f>
        <v>.</v>
      </c>
      <c r="BB21" s="76" t="str">
        <f>IFERROR((d_dir!BB21/(d_Bv!AA21+MLF_cereal))*1,".")</f>
        <v>.</v>
      </c>
    </row>
    <row r="22" spans="1:54" ht="15" customHeight="1" x14ac:dyDescent="0.25">
      <c r="A22" s="92" t="s">
        <v>32</v>
      </c>
      <c r="B22" s="90" t="s">
        <v>1071</v>
      </c>
      <c r="C22" s="2">
        <f t="shared" si="0"/>
        <v>2.2954562738846787E-2</v>
      </c>
      <c r="D22" s="76">
        <f>IFERROR((d_dir!D22/(d_Bv!C22+MLF_apple)),".")</f>
        <v>0.95885968601383986</v>
      </c>
      <c r="E22" s="76">
        <f>IFERROR((d_dir!E22/(d_Bv!D22+MLF_asparagus)),".")</f>
        <v>0.23391102587086116</v>
      </c>
      <c r="F22" s="76">
        <f>IFERROR((d_dir!F22/(d_Bv!E22+MLF_beet)),".")</f>
        <v>0.36642929831997678</v>
      </c>
      <c r="G22" s="76">
        <f>IFERROR((d_dir!G22/(d_Bv!F22+MLF_berries)),".")</f>
        <v>2.1553710435631186</v>
      </c>
      <c r="H22" s="76">
        <f>IFERROR((d_dir!H22/(d_Bv!G22+MLF_broccoli)),".")</f>
        <v>1.4990742812088154</v>
      </c>
      <c r="I22" s="76">
        <f>IFERROR((d_dir!I22/(d_Bv!H22+MLF_cabbage)),".")</f>
        <v>0.11520734794857106</v>
      </c>
      <c r="J22" s="76">
        <f>IFERROR((d_dir!J22/(d_Bv!I22+MLF_carrot)),".")</f>
        <v>0.42201905233862896</v>
      </c>
      <c r="K22" s="76">
        <f>IFERROR((d_dir!K22/(d_Bv!J22+MLF_citrus)),".")</f>
        <v>0.24870525851530073</v>
      </c>
      <c r="L22" s="76">
        <f>IFERROR((d_dir!L22/(d_Bv!K22+MLF_corn)),".")</f>
        <v>5.4431921432412445</v>
      </c>
      <c r="M22" s="76">
        <f>IFERROR((d_dir!M22/(d_Bv!L22+MLF_cucumber)),".")</f>
        <v>0.60902098153323747</v>
      </c>
      <c r="N22" s="76">
        <f>IFERROR((d_dir!N22/(d_Bv!M22+MLF_lettuce)),".")</f>
        <v>0.23602834690910832</v>
      </c>
      <c r="O22" s="76">
        <f>IFERROR((d_dir!O22/(d_Bv!N22+MLF_lima_bean)),".")</f>
        <v>1.288385334947354</v>
      </c>
      <c r="P22" s="76">
        <f>IFERROR((d_dir!P22/(d_Bv!O22+MLF_okra)),".")</f>
        <v>1.6397009366016151</v>
      </c>
      <c r="Q22" s="76">
        <f>IFERROR((d_dir!Q22/(d_Bv!P22+MLF_onion)),".")</f>
        <v>0.57036954001073836</v>
      </c>
      <c r="R22" s="76">
        <f>IFERROR((d_dir!R22/(d_Bv!Q22+MLF_peach)),".")</f>
        <v>0.6161691170129614</v>
      </c>
      <c r="S22" s="76">
        <f>IFERROR((d_dir!S22/(d_Bv!R22+MLF_pear)),".")</f>
        <v>1.2557748219188385</v>
      </c>
      <c r="T22" s="76">
        <f>IFERROR((d_dir!T22/(d_Bv!S22+MLF_peas)),".")</f>
        <v>1.5706113499854391</v>
      </c>
      <c r="U22" s="76">
        <f>IFERROR((d_dir!U22/(d_Bv!T22+MLF_peppers)),".")</f>
        <v>2.3194034926720652</v>
      </c>
      <c r="V22" s="76">
        <f>IFERROR((d_dir!V22/(d_Bv!U22+MLF_potato)),".")</f>
        <v>0.58450572252956001</v>
      </c>
      <c r="W22" s="76">
        <f>IFERROR((d_dir!W22/(d_Bv!V22+MLF_pumpkin)),".")</f>
        <v>0.78072025677530354</v>
      </c>
      <c r="X22" s="76">
        <f>IFERROR((d_dir!X22/(d_Bv!W22+MLF_snap_bean)),".")</f>
        <v>0.78610436426013175</v>
      </c>
      <c r="Y22" s="76">
        <f>IFERROR((d_dir!Y22/(d_Bv!X22+MLF_strawberry)),".")</f>
        <v>1.8894136085228277</v>
      </c>
      <c r="Z22" s="76">
        <f>IFERROR((d_dir!Z22/(d_Bv!Y22+MLF_tomato)),".")</f>
        <v>0.54528554281110553</v>
      </c>
      <c r="AA22" s="76">
        <f>IFERROR((d_dir!AA22/(d_Bv!D22+MLF_rice)),".")</f>
        <v>2.8963220954527046E-2</v>
      </c>
      <c r="AB22" s="76">
        <f>IFERROR((d_dir!AB22/(d_Bv!AA22+MLF_cereal)),".")</f>
        <v>4.2421515478985296E-2</v>
      </c>
      <c r="AC22" s="76">
        <f t="shared" si="1"/>
        <v>1.4104619973505707E-2</v>
      </c>
      <c r="AD22" s="76">
        <f>IFERROR((d_dir!AD22/(d_Bv!C22+MLF_apple))*1,".")</f>
        <v>0.54193703032681362</v>
      </c>
      <c r="AE22" s="76">
        <f>IFERROR((d_dir!AE22/(d_Bv!D22+MLF_asparagus))*1,".")</f>
        <v>0.14238771257012137</v>
      </c>
      <c r="AF22" s="76">
        <f>IFERROR((d_dir!AF22/(d_Bv!E22+MLF_beet))*1,".")</f>
        <v>0.22005210018552024</v>
      </c>
      <c r="AG22" s="76">
        <f>IFERROR((d_dir!AG22/(d_Bv!F22+MLF_berries))*1,".")</f>
        <v>1.3638905292055143</v>
      </c>
      <c r="AH22" s="76">
        <f>IFERROR((d_dir!AH22/(d_Bv!G22+MLF_broccoli))*1,".")</f>
        <v>0.82772151466841504</v>
      </c>
      <c r="AI22" s="76">
        <f>IFERROR((d_dir!AI22/(d_Bv!H22+MLF_cabbage))*1,".")</f>
        <v>7.3759330604271131E-2</v>
      </c>
      <c r="AJ22" s="76">
        <f>IFERROR((d_dir!AJ22/(d_Bv!I22+MLF_carrot))*1,".")</f>
        <v>0.2922814181028382</v>
      </c>
      <c r="AK22" s="76">
        <f>IFERROR((d_dir!AK22/(d_Bv!J22+MLF_citrus))*1,".")</f>
        <v>0.1571556090094969</v>
      </c>
      <c r="AL22" s="76">
        <f>IFERROR((d_dir!AL22/(d_Bv!K22+MLF_corn))*1,".")</f>
        <v>2.4526318976187991</v>
      </c>
      <c r="AM22" s="76">
        <f>IFERROR((d_dir!AM22/(d_Bv!L22+MLF_cucumber))*1,".")</f>
        <v>0.55588200971751922</v>
      </c>
      <c r="AN22" s="76">
        <f>IFERROR((d_dir!AN22/(d_Bv!M22+MLF_lettuce))*1,".")</f>
        <v>0.140403552206459</v>
      </c>
      <c r="AO22" s="76">
        <f>IFERROR((d_dir!AO22/(d_Bv!N22+MLF_lima_bean))*1,".")</f>
        <v>0.81238682960248854</v>
      </c>
      <c r="AP22" s="76">
        <f>IFERROR((d_dir!AP22/(d_Bv!O22+MLF_okra))*1,".")</f>
        <v>0.99946541493404883</v>
      </c>
      <c r="AQ22" s="76">
        <f>IFERROR((d_dir!AQ22/(d_Bv!P22+MLF_onion))*1,".")</f>
        <v>0.27275995059699715</v>
      </c>
      <c r="AR22" s="76">
        <f>IFERROR((d_dir!AR22/(d_Bv!Q22+MLF_peach))*1,".")</f>
        <v>0.44771805718188895</v>
      </c>
      <c r="AS22" s="76">
        <f>IFERROR((d_dir!AS22/(d_Bv!R22+MLF_pear))*1,".")</f>
        <v>0.72941771558325397</v>
      </c>
      <c r="AT22" s="76">
        <f>IFERROR((d_dir!AT22/(d_Bv!S22+MLF_peas))*1,".")</f>
        <v>1.0965932854677747</v>
      </c>
      <c r="AU22" s="76">
        <f>IFERROR((d_dir!AU22/(d_Bv!T22+MLF_peppers))*1,".")</f>
        <v>1.1296604642255776</v>
      </c>
      <c r="AV22" s="76">
        <f>IFERROR((d_dir!AV22/(d_Bv!U22+MLF_potato))*1,".")</f>
        <v>0.32321040401110762</v>
      </c>
      <c r="AW22" s="76">
        <f>IFERROR((d_dir!AW22/(d_Bv!V22+MLF_pumpkin))*1,".")</f>
        <v>0.47713338411619893</v>
      </c>
      <c r="AX22" s="76">
        <f>IFERROR((d_dir!AX22/(d_Bv!W22+MLF_snap_bean))*1,".")</f>
        <v>0.48357140874741866</v>
      </c>
      <c r="AY22" s="76">
        <f>IFERROR((d_dir!AY22/(d_Bv!X22+MLF_strawberry))*1,".")</f>
        <v>1.1944849848109247</v>
      </c>
      <c r="AZ22" s="76">
        <f>IFERROR((d_dir!AZ22/(d_Bv!Y22+MLF_tomato))*1,".")</f>
        <v>0.28740841842473319</v>
      </c>
      <c r="BA22" s="76">
        <f>IFERROR((d_dir!BA22/(d_Bv!Z22+MLF_rice))*1,".")</f>
        <v>2.3050181939552418E-2</v>
      </c>
      <c r="BB22" s="76">
        <f>IFERROR((d_dir!BB22/(d_Bv!AA22+MLF_cereal))*1,".")</f>
        <v>2.1971771747549357E-2</v>
      </c>
    </row>
    <row r="23" spans="1:54" x14ac:dyDescent="0.25">
      <c r="A23" s="94" t="s">
        <v>33</v>
      </c>
      <c r="B23" s="90" t="s">
        <v>349</v>
      </c>
      <c r="C23" s="2">
        <f t="shared" si="0"/>
        <v>6.853340673828358E-3</v>
      </c>
      <c r="D23" s="76">
        <f>IFERROR((d_dir!D23/(d_Bv!C23+MLF_apple)),".")</f>
        <v>0.28627825157967168</v>
      </c>
      <c r="E23" s="76">
        <f>IFERROR((d_dir!E23/(d_Bv!D23+MLF_asparagus)),".")</f>
        <v>6.9836745134106024E-2</v>
      </c>
      <c r="F23" s="76">
        <f>IFERROR((d_dir!F23/(d_Bv!E23+MLF_beet)),".")</f>
        <v>0.10940155309553266</v>
      </c>
      <c r="G23" s="76">
        <f>IFERROR((d_dir!G23/(d_Bv!F23+MLF_berries)),".")</f>
        <v>0.64351005976884479</v>
      </c>
      <c r="H23" s="76">
        <f>IFERROR((d_dir!H23/(d_Bv!G23+MLF_broccoli)),".")</f>
        <v>0.44756534295083339</v>
      </c>
      <c r="I23" s="76">
        <f>IFERROR((d_dir!I23/(d_Bv!H23+MLF_cabbage)),".")</f>
        <v>3.4396438416299989E-2</v>
      </c>
      <c r="J23" s="76">
        <f>IFERROR((d_dir!J23/(d_Bv!I23+MLF_carrot)),".")</f>
        <v>0.12599849404354749</v>
      </c>
      <c r="K23" s="76">
        <f>IFERROR((d_dir!K23/(d_Bv!J23+MLF_citrus)),".")</f>
        <v>7.425372826176245E-2</v>
      </c>
      <c r="L23" s="76">
        <f>IFERROR((d_dir!L23/(d_Bv!K23+MLF_corn)),".")</f>
        <v>1.6251257118310189</v>
      </c>
      <c r="M23" s="76">
        <f>IFERROR((d_dir!M23/(d_Bv!L23+MLF_cucumber)),".")</f>
        <v>0.18183000527790902</v>
      </c>
      <c r="N23" s="76">
        <f>IFERROR((d_dir!N23/(d_Bv!M23+MLF_lettuce)),".")</f>
        <v>7.0468894940489177E-2</v>
      </c>
      <c r="O23" s="76">
        <f>IFERROR((d_dir!O23/(d_Bv!N23+MLF_lima_bean)),".")</f>
        <v>0.3846618086353612</v>
      </c>
      <c r="P23" s="76">
        <f>IFERROR((d_dir!P23/(d_Bv!O23+MLF_okra)),".")</f>
        <v>0.4895509990573168</v>
      </c>
      <c r="Q23" s="76">
        <f>IFERROR((d_dir!Q23/(d_Bv!P23+MLF_onion)),".")</f>
        <v>0.17029018640608376</v>
      </c>
      <c r="R23" s="76">
        <f>IFERROR((d_dir!R23/(d_Bv!Q23+MLF_peach)),".")</f>
        <v>0.18396416083480505</v>
      </c>
      <c r="S23" s="76">
        <f>IFERROR((d_dir!S23/(d_Bv!R23+MLF_pear)),".")</f>
        <v>0.37492557632828638</v>
      </c>
      <c r="T23" s="76">
        <f>IFERROR((d_dir!T23/(d_Bv!S23+MLF_peas)),".")</f>
        <v>0.4689235325496095</v>
      </c>
      <c r="U23" s="76">
        <f>IFERROR((d_dir!U23/(d_Bv!T23+MLF_peppers)),".")</f>
        <v>0.69248377658914184</v>
      </c>
      <c r="V23" s="76">
        <f>IFERROR((d_dir!V23/(d_Bv!U23+MLF_potato)),".")</f>
        <v>0.17451070133076793</v>
      </c>
      <c r="W23" s="76">
        <f>IFERROR((d_dir!W23/(d_Bv!V23+MLF_pumpkin)),".")</f>
        <v>0.2330927385336338</v>
      </c>
      <c r="X23" s="76">
        <f>IFERROR((d_dir!X23/(d_Bv!W23+MLF_snap_bean)),".")</f>
        <v>0.23470022386183795</v>
      </c>
      <c r="Y23" s="76">
        <f>IFERROR((d_dir!Y23/(d_Bv!X23+MLF_strawberry)),".")</f>
        <v>0.56410550182516084</v>
      </c>
      <c r="Z23" s="76">
        <f>IFERROR((d_dir!Z23/(d_Bv!Y23+MLF_tomato)),".")</f>
        <v>0.16280107932849555</v>
      </c>
      <c r="AA23" s="76">
        <f>IFERROR((d_dir!AA23/(d_Bv!D23+MLF_rice)),".")</f>
        <v>8.6472925871429688E-3</v>
      </c>
      <c r="AB23" s="76">
        <f>IFERROR((d_dir!AB23/(d_Bv!AA23+MLF_cereal)),".")</f>
        <v>1.2665416491927267E-2</v>
      </c>
      <c r="AC23" s="76">
        <f t="shared" si="1"/>
        <v>4.2110915748236463E-3</v>
      </c>
      <c r="AD23" s="76">
        <f>IFERROR((d_dir!AD23/(d_Bv!C23+MLF_apple))*1,".")</f>
        <v>0.1618013435867825</v>
      </c>
      <c r="AE23" s="76">
        <f>IFERROR((d_dir!AE23/(d_Bv!D23+MLF_asparagus))*1,".")</f>
        <v>4.2511439364460696E-2</v>
      </c>
      <c r="AF23" s="76">
        <f>IFERROR((d_dir!AF23/(d_Bv!E23+MLF_beet))*1,".")</f>
        <v>6.5699008328770445E-2</v>
      </c>
      <c r="AG23" s="76">
        <f>IFERROR((d_dir!AG23/(d_Bv!F23+MLF_berries))*1,".")</f>
        <v>0.40720472634553129</v>
      </c>
      <c r="AH23" s="76">
        <f>IFERROR((d_dir!AH23/(d_Bv!G23+MLF_broccoli))*1,".")</f>
        <v>0.24712548819236851</v>
      </c>
      <c r="AI23" s="76">
        <f>IFERROR((d_dir!AI23/(d_Bv!H23+MLF_cabbage))*1,".")</f>
        <v>2.2021670648037787E-2</v>
      </c>
      <c r="AJ23" s="76">
        <f>IFERROR((d_dir!AJ23/(d_Bv!I23+MLF_carrot))*1,".")</f>
        <v>8.7263876627825795E-2</v>
      </c>
      <c r="AK23" s="76">
        <f>IFERROR((d_dir!AK23/(d_Bv!J23+MLF_citrus))*1,".")</f>
        <v>4.6920559524418141E-2</v>
      </c>
      <c r="AL23" s="76">
        <f>IFERROR((d_dir!AL23/(d_Bv!K23+MLF_corn))*1,".")</f>
        <v>0.73226060252647607</v>
      </c>
      <c r="AM23" s="76">
        <f>IFERROR((d_dir!AM23/(d_Bv!L23+MLF_cucumber))*1,".")</f>
        <v>0.16596477268544638</v>
      </c>
      <c r="AN23" s="76">
        <f>IFERROR((d_dir!AN23/(d_Bv!M23+MLF_lettuce))*1,".")</f>
        <v>4.1919046162360064E-2</v>
      </c>
      <c r="AO23" s="76">
        <f>IFERROR((d_dir!AO23/(d_Bv!N23+MLF_lima_bean))*1,".")</f>
        <v>0.24254714696764951</v>
      </c>
      <c r="AP23" s="76">
        <f>IFERROR((d_dir!AP23/(d_Bv!O23+MLF_okra))*1,".")</f>
        <v>0.29840154474649655</v>
      </c>
      <c r="AQ23" s="76">
        <f>IFERROR((d_dir!AQ23/(d_Bv!P23+MLF_onion))*1,".")</f>
        <v>8.1435524818527935E-2</v>
      </c>
      <c r="AR23" s="76">
        <f>IFERROR((d_dir!AR23/(d_Bv!Q23+MLF_peach))*1,".")</f>
        <v>0.13367121851113953</v>
      </c>
      <c r="AS23" s="76">
        <f>IFERROR((d_dir!AS23/(d_Bv!R23+MLF_pear))*1,".")</f>
        <v>0.21777579278205067</v>
      </c>
      <c r="AT23" s="76">
        <f>IFERROR((d_dir!AT23/(d_Bv!S23+MLF_peas))*1,".")</f>
        <v>0.32740015357491115</v>
      </c>
      <c r="AU23" s="76">
        <f>IFERROR((d_dir!AU23/(d_Bv!T23+MLF_peppers))*1,".")</f>
        <v>0.3372727285277804</v>
      </c>
      <c r="AV23" s="76">
        <f>IFERROR((d_dir!AV23/(d_Bv!U23+MLF_potato))*1,".")</f>
        <v>9.649807026230911E-2</v>
      </c>
      <c r="AW23" s="76">
        <f>IFERROR((d_dir!AW23/(d_Bv!V23+MLF_pumpkin))*1,".")</f>
        <v>0.14245349238001623</v>
      </c>
      <c r="AX23" s="76">
        <f>IFERROR((d_dir!AX23/(d_Bv!W23+MLF_snap_bean))*1,".")</f>
        <v>0.14437563642458903</v>
      </c>
      <c r="AY23" s="76">
        <f>IFERROR((d_dir!AY23/(d_Bv!X23+MLF_strawberry))*1,".")</f>
        <v>0.35662681201189472</v>
      </c>
      <c r="AZ23" s="76">
        <f>IFERROR((d_dir!AZ23/(d_Bv!Y23+MLF_tomato))*1,".")</f>
        <v>8.5808988234722508E-2</v>
      </c>
      <c r="BA23" s="76">
        <f>IFERROR((d_dir!BA23/(d_Bv!Z23+MLF_rice))*1,".")</f>
        <v>6.8818888524562983E-3</v>
      </c>
      <c r="BB23" s="76">
        <f>IFERROR((d_dir!BB23/(d_Bv!AA23+MLF_cereal))*1,".")</f>
        <v>6.5599174641963907E-3</v>
      </c>
    </row>
    <row r="24" spans="1:54" ht="15" customHeight="1" x14ac:dyDescent="0.25">
      <c r="A24" s="92" t="s">
        <v>34</v>
      </c>
      <c r="B24" s="90" t="s">
        <v>1071</v>
      </c>
      <c r="C24" s="2" t="str">
        <f t="shared" si="0"/>
        <v>.</v>
      </c>
      <c r="D24" s="76" t="str">
        <f>IFERROR((d_dir!D24/(d_Bv!C24+MLF_apple)),".")</f>
        <v>.</v>
      </c>
      <c r="E24" s="76" t="str">
        <f>IFERROR((d_dir!E24/(d_Bv!D24+MLF_asparagus)),".")</f>
        <v>.</v>
      </c>
      <c r="F24" s="76" t="str">
        <f>IFERROR((d_dir!F24/(d_Bv!E24+MLF_beet)),".")</f>
        <v>.</v>
      </c>
      <c r="G24" s="76" t="str">
        <f>IFERROR((d_dir!G24/(d_Bv!F24+MLF_berries)),".")</f>
        <v>.</v>
      </c>
      <c r="H24" s="76" t="str">
        <f>IFERROR((d_dir!H24/(d_Bv!G24+MLF_broccoli)),".")</f>
        <v>.</v>
      </c>
      <c r="I24" s="76" t="str">
        <f>IFERROR((d_dir!I24/(d_Bv!H24+MLF_cabbage)),".")</f>
        <v>.</v>
      </c>
      <c r="J24" s="76" t="str">
        <f>IFERROR((d_dir!J24/(d_Bv!I24+MLF_carrot)),".")</f>
        <v>.</v>
      </c>
      <c r="K24" s="76" t="str">
        <f>IFERROR((d_dir!K24/(d_Bv!J24+MLF_citrus)),".")</f>
        <v>.</v>
      </c>
      <c r="L24" s="76" t="str">
        <f>IFERROR((d_dir!L24/(d_Bv!K24+MLF_corn)),".")</f>
        <v>.</v>
      </c>
      <c r="M24" s="76" t="str">
        <f>IFERROR((d_dir!M24/(d_Bv!L24+MLF_cucumber)),".")</f>
        <v>.</v>
      </c>
      <c r="N24" s="76" t="str">
        <f>IFERROR((d_dir!N24/(d_Bv!M24+MLF_lettuce)),".")</f>
        <v>.</v>
      </c>
      <c r="O24" s="76" t="str">
        <f>IFERROR((d_dir!O24/(d_Bv!N24+MLF_lima_bean)),".")</f>
        <v>.</v>
      </c>
      <c r="P24" s="76" t="str">
        <f>IFERROR((d_dir!P24/(d_Bv!O24+MLF_okra)),".")</f>
        <v>.</v>
      </c>
      <c r="Q24" s="76" t="str">
        <f>IFERROR((d_dir!Q24/(d_Bv!P24+MLF_onion)),".")</f>
        <v>.</v>
      </c>
      <c r="R24" s="76" t="str">
        <f>IFERROR((d_dir!R24/(d_Bv!Q24+MLF_peach)),".")</f>
        <v>.</v>
      </c>
      <c r="S24" s="76" t="str">
        <f>IFERROR((d_dir!S24/(d_Bv!R24+MLF_pear)),".")</f>
        <v>.</v>
      </c>
      <c r="T24" s="76" t="str">
        <f>IFERROR((d_dir!T24/(d_Bv!S24+MLF_peas)),".")</f>
        <v>.</v>
      </c>
      <c r="U24" s="76" t="str">
        <f>IFERROR((d_dir!U24/(d_Bv!T24+MLF_peppers)),".")</f>
        <v>.</v>
      </c>
      <c r="V24" s="76" t="str">
        <f>IFERROR((d_dir!V24/(d_Bv!U24+MLF_potato)),".")</f>
        <v>.</v>
      </c>
      <c r="W24" s="76" t="str">
        <f>IFERROR((d_dir!W24/(d_Bv!V24+MLF_pumpkin)),".")</f>
        <v>.</v>
      </c>
      <c r="X24" s="76" t="str">
        <f>IFERROR((d_dir!X24/(d_Bv!W24+MLF_snap_bean)),".")</f>
        <v>.</v>
      </c>
      <c r="Y24" s="76" t="str">
        <f>IFERROR((d_dir!Y24/(d_Bv!X24+MLF_strawberry)),".")</f>
        <v>.</v>
      </c>
      <c r="Z24" s="76" t="str">
        <f>IFERROR((d_dir!Z24/(d_Bv!Y24+MLF_tomato)),".")</f>
        <v>.</v>
      </c>
      <c r="AA24" s="76" t="str">
        <f>IFERROR((d_dir!AA24/(d_Bv!D24+MLF_rice)),".")</f>
        <v>.</v>
      </c>
      <c r="AB24" s="76" t="str">
        <f>IFERROR((d_dir!AB24/(d_Bv!AA24+MLF_cereal)),".")</f>
        <v>.</v>
      </c>
      <c r="AC24" s="76" t="str">
        <f t="shared" si="1"/>
        <v>.</v>
      </c>
      <c r="AD24" s="76" t="str">
        <f>IFERROR((d_dir!AD24/(d_Bv!C24+MLF_apple))*1,".")</f>
        <v>.</v>
      </c>
      <c r="AE24" s="76" t="str">
        <f>IFERROR((d_dir!AE24/(d_Bv!D24+MLF_asparagus))*1,".")</f>
        <v>.</v>
      </c>
      <c r="AF24" s="76" t="str">
        <f>IFERROR((d_dir!AF24/(d_Bv!E24+MLF_beet))*1,".")</f>
        <v>.</v>
      </c>
      <c r="AG24" s="76" t="str">
        <f>IFERROR((d_dir!AG24/(d_Bv!F24+MLF_berries))*1,".")</f>
        <v>.</v>
      </c>
      <c r="AH24" s="76" t="str">
        <f>IFERROR((d_dir!AH24/(d_Bv!G24+MLF_broccoli))*1,".")</f>
        <v>.</v>
      </c>
      <c r="AI24" s="76" t="str">
        <f>IFERROR((d_dir!AI24/(d_Bv!H24+MLF_cabbage))*1,".")</f>
        <v>.</v>
      </c>
      <c r="AJ24" s="76" t="str">
        <f>IFERROR((d_dir!AJ24/(d_Bv!I24+MLF_carrot))*1,".")</f>
        <v>.</v>
      </c>
      <c r="AK24" s="76" t="str">
        <f>IFERROR((d_dir!AK24/(d_Bv!J24+MLF_citrus))*1,".")</f>
        <v>.</v>
      </c>
      <c r="AL24" s="76" t="str">
        <f>IFERROR((d_dir!AL24/(d_Bv!K24+MLF_corn))*1,".")</f>
        <v>.</v>
      </c>
      <c r="AM24" s="76" t="str">
        <f>IFERROR((d_dir!AM24/(d_Bv!L24+MLF_cucumber))*1,".")</f>
        <v>.</v>
      </c>
      <c r="AN24" s="76" t="str">
        <f>IFERROR((d_dir!AN24/(d_Bv!M24+MLF_lettuce))*1,".")</f>
        <v>.</v>
      </c>
      <c r="AO24" s="76" t="str">
        <f>IFERROR((d_dir!AO24/(d_Bv!N24+MLF_lima_bean))*1,".")</f>
        <v>.</v>
      </c>
      <c r="AP24" s="76" t="str">
        <f>IFERROR((d_dir!AP24/(d_Bv!O24+MLF_okra))*1,".")</f>
        <v>.</v>
      </c>
      <c r="AQ24" s="76" t="str">
        <f>IFERROR((d_dir!AQ24/(d_Bv!P24+MLF_onion))*1,".")</f>
        <v>.</v>
      </c>
      <c r="AR24" s="76" t="str">
        <f>IFERROR((d_dir!AR24/(d_Bv!Q24+MLF_peach))*1,".")</f>
        <v>.</v>
      </c>
      <c r="AS24" s="76" t="str">
        <f>IFERROR((d_dir!AS24/(d_Bv!R24+MLF_pear))*1,".")</f>
        <v>.</v>
      </c>
      <c r="AT24" s="76" t="str">
        <f>IFERROR((d_dir!AT24/(d_Bv!S24+MLF_peas))*1,".")</f>
        <v>.</v>
      </c>
      <c r="AU24" s="76" t="str">
        <f>IFERROR((d_dir!AU24/(d_Bv!T24+MLF_peppers))*1,".")</f>
        <v>.</v>
      </c>
      <c r="AV24" s="76" t="str">
        <f>IFERROR((d_dir!AV24/(d_Bv!U24+MLF_potato))*1,".")</f>
        <v>.</v>
      </c>
      <c r="AW24" s="76" t="str">
        <f>IFERROR((d_dir!AW24/(d_Bv!V24+MLF_pumpkin))*1,".")</f>
        <v>.</v>
      </c>
      <c r="AX24" s="76" t="str">
        <f>IFERROR((d_dir!AX24/(d_Bv!W24+MLF_snap_bean))*1,".")</f>
        <v>.</v>
      </c>
      <c r="AY24" s="76" t="str">
        <f>IFERROR((d_dir!AY24/(d_Bv!X24+MLF_strawberry))*1,".")</f>
        <v>.</v>
      </c>
      <c r="AZ24" s="76" t="str">
        <f>IFERROR((d_dir!AZ24/(d_Bv!Y24+MLF_tomato))*1,".")</f>
        <v>.</v>
      </c>
      <c r="BA24" s="76" t="str">
        <f>IFERROR((d_dir!BA24/(d_Bv!Z24+MLF_rice))*1,".")</f>
        <v>.</v>
      </c>
      <c r="BB24" s="76" t="str">
        <f>IFERROR((d_dir!BB24/(d_Bv!AA24+MLF_cereal))*1,".")</f>
        <v>.</v>
      </c>
    </row>
    <row r="25" spans="1:54" x14ac:dyDescent="0.25">
      <c r="A25" s="94" t="s">
        <v>35</v>
      </c>
      <c r="B25" s="90" t="s">
        <v>349</v>
      </c>
      <c r="C25" s="2" t="str">
        <f t="shared" si="0"/>
        <v>.</v>
      </c>
      <c r="D25" s="76" t="str">
        <f>IFERROR((d_dir!D25/(d_Bv!C25+MLF_apple)),".")</f>
        <v>.</v>
      </c>
      <c r="E25" s="76" t="str">
        <f>IFERROR((d_dir!E25/(d_Bv!D25+MLF_asparagus)),".")</f>
        <v>.</v>
      </c>
      <c r="F25" s="76" t="str">
        <f>IFERROR((d_dir!F25/(d_Bv!E25+MLF_beet)),".")</f>
        <v>.</v>
      </c>
      <c r="G25" s="76" t="str">
        <f>IFERROR((d_dir!G25/(d_Bv!F25+MLF_berries)),".")</f>
        <v>.</v>
      </c>
      <c r="H25" s="76" t="str">
        <f>IFERROR((d_dir!H25/(d_Bv!G25+MLF_broccoli)),".")</f>
        <v>.</v>
      </c>
      <c r="I25" s="76" t="str">
        <f>IFERROR((d_dir!I25/(d_Bv!H25+MLF_cabbage)),".")</f>
        <v>.</v>
      </c>
      <c r="J25" s="76" t="str">
        <f>IFERROR((d_dir!J25/(d_Bv!I25+MLF_carrot)),".")</f>
        <v>.</v>
      </c>
      <c r="K25" s="76" t="str">
        <f>IFERROR((d_dir!K25/(d_Bv!J25+MLF_citrus)),".")</f>
        <v>.</v>
      </c>
      <c r="L25" s="76" t="str">
        <f>IFERROR((d_dir!L25/(d_Bv!K25+MLF_corn)),".")</f>
        <v>.</v>
      </c>
      <c r="M25" s="76" t="str">
        <f>IFERROR((d_dir!M25/(d_Bv!L25+MLF_cucumber)),".")</f>
        <v>.</v>
      </c>
      <c r="N25" s="76" t="str">
        <f>IFERROR((d_dir!N25/(d_Bv!M25+MLF_lettuce)),".")</f>
        <v>.</v>
      </c>
      <c r="O25" s="76" t="str">
        <f>IFERROR((d_dir!O25/(d_Bv!N25+MLF_lima_bean)),".")</f>
        <v>.</v>
      </c>
      <c r="P25" s="76" t="str">
        <f>IFERROR((d_dir!P25/(d_Bv!O25+MLF_okra)),".")</f>
        <v>.</v>
      </c>
      <c r="Q25" s="76" t="str">
        <f>IFERROR((d_dir!Q25/(d_Bv!P25+MLF_onion)),".")</f>
        <v>.</v>
      </c>
      <c r="R25" s="76" t="str">
        <f>IFERROR((d_dir!R25/(d_Bv!Q25+MLF_peach)),".")</f>
        <v>.</v>
      </c>
      <c r="S25" s="76" t="str">
        <f>IFERROR((d_dir!S25/(d_Bv!R25+MLF_pear)),".")</f>
        <v>.</v>
      </c>
      <c r="T25" s="76" t="str">
        <f>IFERROR((d_dir!T25/(d_Bv!S25+MLF_peas)),".")</f>
        <v>.</v>
      </c>
      <c r="U25" s="76" t="str">
        <f>IFERROR((d_dir!U25/(d_Bv!T25+MLF_peppers)),".")</f>
        <v>.</v>
      </c>
      <c r="V25" s="76" t="str">
        <f>IFERROR((d_dir!V25/(d_Bv!U25+MLF_potato)),".")</f>
        <v>.</v>
      </c>
      <c r="W25" s="76" t="str">
        <f>IFERROR((d_dir!W25/(d_Bv!V25+MLF_pumpkin)),".")</f>
        <v>.</v>
      </c>
      <c r="X25" s="76" t="str">
        <f>IFERROR((d_dir!X25/(d_Bv!W25+MLF_snap_bean)),".")</f>
        <v>.</v>
      </c>
      <c r="Y25" s="76" t="str">
        <f>IFERROR((d_dir!Y25/(d_Bv!X25+MLF_strawberry)),".")</f>
        <v>.</v>
      </c>
      <c r="Z25" s="76" t="str">
        <f>IFERROR((d_dir!Z25/(d_Bv!Y25+MLF_tomato)),".")</f>
        <v>.</v>
      </c>
      <c r="AA25" s="76" t="str">
        <f>IFERROR((d_dir!AA25/(d_Bv!D25+MLF_rice)),".")</f>
        <v>.</v>
      </c>
      <c r="AB25" s="76" t="str">
        <f>IFERROR((d_dir!AB25/(d_Bv!AA25+MLF_cereal)),".")</f>
        <v>.</v>
      </c>
      <c r="AC25" s="76" t="str">
        <f t="shared" si="1"/>
        <v>.</v>
      </c>
      <c r="AD25" s="76" t="str">
        <f>IFERROR((d_dir!AD25/(d_Bv!C25+MLF_apple))*1,".")</f>
        <v>.</v>
      </c>
      <c r="AE25" s="76" t="str">
        <f>IFERROR((d_dir!AE25/(d_Bv!D25+MLF_asparagus))*1,".")</f>
        <v>.</v>
      </c>
      <c r="AF25" s="76" t="str">
        <f>IFERROR((d_dir!AF25/(d_Bv!E25+MLF_beet))*1,".")</f>
        <v>.</v>
      </c>
      <c r="AG25" s="76" t="str">
        <f>IFERROR((d_dir!AG25/(d_Bv!F25+MLF_berries))*1,".")</f>
        <v>.</v>
      </c>
      <c r="AH25" s="76" t="str">
        <f>IFERROR((d_dir!AH25/(d_Bv!G25+MLF_broccoli))*1,".")</f>
        <v>.</v>
      </c>
      <c r="AI25" s="76" t="str">
        <f>IFERROR((d_dir!AI25/(d_Bv!H25+MLF_cabbage))*1,".")</f>
        <v>.</v>
      </c>
      <c r="AJ25" s="76" t="str">
        <f>IFERROR((d_dir!AJ25/(d_Bv!I25+MLF_carrot))*1,".")</f>
        <v>.</v>
      </c>
      <c r="AK25" s="76" t="str">
        <f>IFERROR((d_dir!AK25/(d_Bv!J25+MLF_citrus))*1,".")</f>
        <v>.</v>
      </c>
      <c r="AL25" s="76" t="str">
        <f>IFERROR((d_dir!AL25/(d_Bv!K25+MLF_corn))*1,".")</f>
        <v>.</v>
      </c>
      <c r="AM25" s="76" t="str">
        <f>IFERROR((d_dir!AM25/(d_Bv!L25+MLF_cucumber))*1,".")</f>
        <v>.</v>
      </c>
      <c r="AN25" s="76" t="str">
        <f>IFERROR((d_dir!AN25/(d_Bv!M25+MLF_lettuce))*1,".")</f>
        <v>.</v>
      </c>
      <c r="AO25" s="76" t="str">
        <f>IFERROR((d_dir!AO25/(d_Bv!N25+MLF_lima_bean))*1,".")</f>
        <v>.</v>
      </c>
      <c r="AP25" s="76" t="str">
        <f>IFERROR((d_dir!AP25/(d_Bv!O25+MLF_okra))*1,".")</f>
        <v>.</v>
      </c>
      <c r="AQ25" s="76" t="str">
        <f>IFERROR((d_dir!AQ25/(d_Bv!P25+MLF_onion))*1,".")</f>
        <v>.</v>
      </c>
      <c r="AR25" s="76" t="str">
        <f>IFERROR((d_dir!AR25/(d_Bv!Q25+MLF_peach))*1,".")</f>
        <v>.</v>
      </c>
      <c r="AS25" s="76" t="str">
        <f>IFERROR((d_dir!AS25/(d_Bv!R25+MLF_pear))*1,".")</f>
        <v>.</v>
      </c>
      <c r="AT25" s="76" t="str">
        <f>IFERROR((d_dir!AT25/(d_Bv!S25+MLF_peas))*1,".")</f>
        <v>.</v>
      </c>
      <c r="AU25" s="76" t="str">
        <f>IFERROR((d_dir!AU25/(d_Bv!T25+MLF_peppers))*1,".")</f>
        <v>.</v>
      </c>
      <c r="AV25" s="76" t="str">
        <f>IFERROR((d_dir!AV25/(d_Bv!U25+MLF_potato))*1,".")</f>
        <v>.</v>
      </c>
      <c r="AW25" s="76" t="str">
        <f>IFERROR((d_dir!AW25/(d_Bv!V25+MLF_pumpkin))*1,".")</f>
        <v>.</v>
      </c>
      <c r="AX25" s="76" t="str">
        <f>IFERROR((d_dir!AX25/(d_Bv!W25+MLF_snap_bean))*1,".")</f>
        <v>.</v>
      </c>
      <c r="AY25" s="76" t="str">
        <f>IFERROR((d_dir!AY25/(d_Bv!X25+MLF_strawberry))*1,".")</f>
        <v>.</v>
      </c>
      <c r="AZ25" s="76" t="str">
        <f>IFERROR((d_dir!AZ25/(d_Bv!Y25+MLF_tomato))*1,".")</f>
        <v>.</v>
      </c>
      <c r="BA25" s="76" t="str">
        <f>IFERROR((d_dir!BA25/(d_Bv!Z25+MLF_rice))*1,".")</f>
        <v>.</v>
      </c>
      <c r="BB25" s="76" t="str">
        <f>IFERROR((d_dir!BB25/(d_Bv!AA25+MLF_cereal))*1,".")</f>
        <v>.</v>
      </c>
    </row>
    <row r="26" spans="1:54" ht="15" customHeight="1" x14ac:dyDescent="0.25">
      <c r="A26" s="92" t="s">
        <v>36</v>
      </c>
      <c r="B26" s="90" t="s">
        <v>1071</v>
      </c>
      <c r="C26" s="2">
        <f t="shared" si="0"/>
        <v>0.19723118544077048</v>
      </c>
      <c r="D26" s="76">
        <f>IFERROR((d_dir!D26/(d_Bv!C26+MLF_apple)),".")</f>
        <v>7.803389268690899</v>
      </c>
      <c r="E26" s="76">
        <f>IFERROR((d_dir!E26/(d_Bv!D26+MLF_asparagus)),".")</f>
        <v>8.8059627246567498</v>
      </c>
      <c r="F26" s="76">
        <f>IFERROR((d_dir!F26/(d_Bv!E26+MLF_beet)),".")</f>
        <v>14.485022370554116</v>
      </c>
      <c r="G26" s="76">
        <f>IFERROR((d_dir!G26/(d_Bv!F26+MLF_berries)),".")</f>
        <v>17.3930746198007</v>
      </c>
      <c r="H26" s="76">
        <f>IFERROR((d_dir!H26/(d_Bv!G26+MLF_broccoli)),".")</f>
        <v>7.9737437561092177</v>
      </c>
      <c r="I26" s="76">
        <f>IFERROR((d_dir!I26/(d_Bv!H26+MLF_cabbage)),".")</f>
        <v>4.2519712575002018</v>
      </c>
      <c r="J26" s="76">
        <f>IFERROR((d_dir!J26/(d_Bv!I26+MLF_carrot)),".")</f>
        <v>17.434820736338487</v>
      </c>
      <c r="K26" s="76">
        <f>IFERROR((d_dir!K26/(d_Bv!J26+MLF_citrus)),".")</f>
        <v>2.0326541487693768</v>
      </c>
      <c r="L26" s="76">
        <f>IFERROR((d_dir!L26/(d_Bv!K26+MLF_corn)),".")</f>
        <v>9.3293252657516668</v>
      </c>
      <c r="M26" s="76">
        <f>IFERROR((d_dir!M26/(d_Bv!L26+MLF_cucumber)),".")</f>
        <v>6.6906210548554323</v>
      </c>
      <c r="N26" s="76">
        <f>IFERROR((d_dir!N26/(d_Bv!M26+MLF_lettuce)),".")</f>
        <v>0.88703664236585245</v>
      </c>
      <c r="O26" s="76">
        <f>IFERROR((d_dir!O26/(d_Bv!N26+MLF_lima_bean)),".")</f>
        <v>2.7854095911518142</v>
      </c>
      <c r="P26" s="76">
        <f>IFERROR((d_dir!P26/(d_Bv!O26+MLF_okra)),".")</f>
        <v>17.216009744955663</v>
      </c>
      <c r="Q26" s="76">
        <f>IFERROR((d_dir!Q26/(d_Bv!P26+MLF_onion)),".")</f>
        <v>23.563606023113255</v>
      </c>
      <c r="R26" s="76">
        <f>IFERROR((d_dir!R26/(d_Bv!Q26+MLF_peach)),".")</f>
        <v>5.0866405940967105</v>
      </c>
      <c r="S26" s="76">
        <f>IFERROR((d_dir!S26/(d_Bv!R26+MLF_pear)),".")</f>
        <v>10.219743213932816</v>
      </c>
      <c r="T26" s="76">
        <f>IFERROR((d_dir!T26/(d_Bv!S26+MLF_peas)),".")</f>
        <v>16.627573867067586</v>
      </c>
      <c r="U26" s="76">
        <f>IFERROR((d_dir!U26/(d_Bv!T26+MLF_peppers)),".")</f>
        <v>7.8557359144799124</v>
      </c>
      <c r="V26" s="76">
        <f>IFERROR((d_dir!V26/(d_Bv!U26+MLF_potato)),".")</f>
        <v>8.4486819856016542</v>
      </c>
      <c r="W26" s="76">
        <f>IFERROR((d_dir!W26/(d_Bv!V26+MLF_pumpkin)),".")</f>
        <v>8.4015221989425033</v>
      </c>
      <c r="X26" s="76">
        <f>IFERROR((d_dir!X26/(d_Bv!W26+MLF_snap_bean)),".")</f>
        <v>1.4278648972463204</v>
      </c>
      <c r="Y26" s="76">
        <f>IFERROR((d_dir!Y26/(d_Bv!X26+MLF_strawberry)),".")</f>
        <v>17.359532192340637</v>
      </c>
      <c r="Z26" s="76">
        <f>IFERROR((d_dir!Z26/(d_Bv!Y26+MLF_tomato)),".")</f>
        <v>2.1219078306503047</v>
      </c>
      <c r="AA26" s="76">
        <f>IFERROR((d_dir!AA26/(d_Bv!D26+MLF_rice)),".")</f>
        <v>2.0785479194794391E-2</v>
      </c>
      <c r="AB26" s="76">
        <f>IFERROR((d_dir!AB26/(d_Bv!AA26+MLF_cereal)),".")</f>
        <v>2.3752155891272376E-2</v>
      </c>
      <c r="AC26" s="76">
        <f t="shared" si="1"/>
        <v>0.11842412087178163</v>
      </c>
      <c r="AD26" s="76">
        <f>IFERROR((d_dir!AD26/(d_Bv!C26+MLF_apple))*1,".")</f>
        <v>4.4103904548735322</v>
      </c>
      <c r="AE26" s="76">
        <f>IFERROR((d_dir!AE26/(d_Bv!D26+MLF_asparagus))*1,".")</f>
        <v>5.3604180678249262</v>
      </c>
      <c r="AF26" s="76">
        <f>IFERROR((d_dir!AF26/(d_Bv!E26+MLF_beet))*1,".")</f>
        <v>8.6987028834449074</v>
      </c>
      <c r="AG26" s="76">
        <f>IFERROR((d_dir!AG26/(d_Bv!F26+MLF_berries))*1,".")</f>
        <v>11.006109513513229</v>
      </c>
      <c r="AH26" s="76">
        <f>IFERROR((d_dir!AH26/(d_Bv!G26+MLF_broccoli))*1,".")</f>
        <v>4.4027433077315123</v>
      </c>
      <c r="AI26" s="76">
        <f>IFERROR((d_dir!AI26/(d_Bv!H26+MLF_cabbage))*1,".")</f>
        <v>2.7222443644985042</v>
      </c>
      <c r="AJ26" s="76">
        <f>IFERROR((d_dir!AJ26/(d_Bv!I26+MLF_carrot))*1,".")</f>
        <v>12.074985953707234</v>
      </c>
      <c r="AK26" s="76">
        <f>IFERROR((d_dir!AK26/(d_Bv!J26+MLF_citrus))*1,".")</f>
        <v>1.2844239907210457</v>
      </c>
      <c r="AL26" s="76">
        <f>IFERROR((d_dir!AL26/(d_Bv!K26+MLF_corn))*1,".")</f>
        <v>4.2036731623474139</v>
      </c>
      <c r="AM26" s="76">
        <f>IFERROR((d_dir!AM26/(d_Bv!L26+MLF_cucumber))*1,".")</f>
        <v>6.1068435916085262</v>
      </c>
      <c r="AN26" s="76">
        <f>IFERROR((d_dir!AN26/(d_Bv!M26+MLF_lettuce))*1,".")</f>
        <v>0.52766160148304608</v>
      </c>
      <c r="AO26" s="76">
        <f>IFERROR((d_dir!AO26/(d_Bv!N26+MLF_lima_bean))*1,".")</f>
        <v>1.756330195261536</v>
      </c>
      <c r="AP26" s="76">
        <f>IFERROR((d_dir!AP26/(d_Bv!O26+MLF_okra))*1,".")</f>
        <v>10.49386869224637</v>
      </c>
      <c r="AQ26" s="76">
        <f>IFERROR((d_dir!AQ26/(d_Bv!P26+MLF_onion))*1,".")</f>
        <v>11.268497989269326</v>
      </c>
      <c r="AR26" s="76">
        <f>IFERROR((d_dir!AR26/(d_Bv!Q26+MLF_peach))*1,".")</f>
        <v>3.6960321143839532</v>
      </c>
      <c r="AS26" s="76">
        <f>IFERROR((d_dir!AS26/(d_Bv!R26+MLF_pear))*1,".")</f>
        <v>5.9361452537835016</v>
      </c>
      <c r="AT26" s="76">
        <f>IFERROR((d_dir!AT26/(d_Bv!S26+MLF_peas))*1,".")</f>
        <v>11.609292048230012</v>
      </c>
      <c r="AU26" s="76">
        <f>IFERROR((d_dir!AU26/(d_Bv!T26+MLF_peppers))*1,".")</f>
        <v>3.8261192190244055</v>
      </c>
      <c r="AV26" s="76">
        <f>IFERROR((d_dir!AV26/(d_Bv!U26+MLF_potato))*1,".")</f>
        <v>4.6718138294866369</v>
      </c>
      <c r="AW26" s="76">
        <f>IFERROR((d_dir!AW26/(d_Bv!V26+MLF_pumpkin))*1,".")</f>
        <v>5.1345493904131168</v>
      </c>
      <c r="AX26" s="76">
        <f>IFERROR((d_dir!AX26/(d_Bv!W26+MLF_snap_bean))*1,".")</f>
        <v>0.87834983655415066</v>
      </c>
      <c r="AY26" s="76">
        <f>IFERROR((d_dir!AY26/(d_Bv!X26+MLF_strawberry))*1,".")</f>
        <v>10.97467513389207</v>
      </c>
      <c r="AZ26" s="76">
        <f>IFERROR((d_dir!AZ26/(d_Bv!Y26+MLF_tomato))*1,".")</f>
        <v>1.1184125119222583</v>
      </c>
      <c r="BA26" s="76">
        <f>IFERROR((d_dir!BA26/(d_Bv!Z26+MLF_rice))*1,".")</f>
        <v>1.2220350412260172E-2</v>
      </c>
      <c r="BB26" s="76">
        <f>IFERROR((d_dir!BB26/(d_Bv!AA26+MLF_cereal))*1,".")</f>
        <v>1.2302175956296822E-2</v>
      </c>
    </row>
    <row r="27" spans="1:54" ht="15" customHeight="1" x14ac:dyDescent="0.25">
      <c r="A27" s="92" t="s">
        <v>37</v>
      </c>
      <c r="B27" s="90" t="s">
        <v>1071</v>
      </c>
      <c r="C27" s="2" t="str">
        <f t="shared" si="0"/>
        <v>.</v>
      </c>
      <c r="D27" s="76" t="str">
        <f>IFERROR((d_dir!D27/(d_Bv!C27+MLF_apple)),".")</f>
        <v>.</v>
      </c>
      <c r="E27" s="76" t="str">
        <f>IFERROR((d_dir!E27/(d_Bv!D27+MLF_asparagus)),".")</f>
        <v>.</v>
      </c>
      <c r="F27" s="76" t="str">
        <f>IFERROR((d_dir!F27/(d_Bv!E27+MLF_beet)),".")</f>
        <v>.</v>
      </c>
      <c r="G27" s="76" t="str">
        <f>IFERROR((d_dir!G27/(d_Bv!F27+MLF_berries)),".")</f>
        <v>.</v>
      </c>
      <c r="H27" s="76" t="str">
        <f>IFERROR((d_dir!H27/(d_Bv!G27+MLF_broccoli)),".")</f>
        <v>.</v>
      </c>
      <c r="I27" s="76" t="str">
        <f>IFERROR((d_dir!I27/(d_Bv!H27+MLF_cabbage)),".")</f>
        <v>.</v>
      </c>
      <c r="J27" s="76" t="str">
        <f>IFERROR((d_dir!J27/(d_Bv!I27+MLF_carrot)),".")</f>
        <v>.</v>
      </c>
      <c r="K27" s="76" t="str">
        <f>IFERROR((d_dir!K27/(d_Bv!J27+MLF_citrus)),".")</f>
        <v>.</v>
      </c>
      <c r="L27" s="76" t="str">
        <f>IFERROR((d_dir!L27/(d_Bv!K27+MLF_corn)),".")</f>
        <v>.</v>
      </c>
      <c r="M27" s="76" t="str">
        <f>IFERROR((d_dir!M27/(d_Bv!L27+MLF_cucumber)),".")</f>
        <v>.</v>
      </c>
      <c r="N27" s="76" t="str">
        <f>IFERROR((d_dir!N27/(d_Bv!M27+MLF_lettuce)),".")</f>
        <v>.</v>
      </c>
      <c r="O27" s="76" t="str">
        <f>IFERROR((d_dir!O27/(d_Bv!N27+MLF_lima_bean)),".")</f>
        <v>.</v>
      </c>
      <c r="P27" s="76" t="str">
        <f>IFERROR((d_dir!P27/(d_Bv!O27+MLF_okra)),".")</f>
        <v>.</v>
      </c>
      <c r="Q27" s="76" t="str">
        <f>IFERROR((d_dir!Q27/(d_Bv!P27+MLF_onion)),".")</f>
        <v>.</v>
      </c>
      <c r="R27" s="76" t="str">
        <f>IFERROR((d_dir!R27/(d_Bv!Q27+MLF_peach)),".")</f>
        <v>.</v>
      </c>
      <c r="S27" s="76" t="str">
        <f>IFERROR((d_dir!S27/(d_Bv!R27+MLF_pear)),".")</f>
        <v>.</v>
      </c>
      <c r="T27" s="76" t="str">
        <f>IFERROR((d_dir!T27/(d_Bv!S27+MLF_peas)),".")</f>
        <v>.</v>
      </c>
      <c r="U27" s="76" t="str">
        <f>IFERROR((d_dir!U27/(d_Bv!T27+MLF_peppers)),".")</f>
        <v>.</v>
      </c>
      <c r="V27" s="76" t="str">
        <f>IFERROR((d_dir!V27/(d_Bv!U27+MLF_potato)),".")</f>
        <v>.</v>
      </c>
      <c r="W27" s="76" t="str">
        <f>IFERROR((d_dir!W27/(d_Bv!V27+MLF_pumpkin)),".")</f>
        <v>.</v>
      </c>
      <c r="X27" s="76" t="str">
        <f>IFERROR((d_dir!X27/(d_Bv!W27+MLF_snap_bean)),".")</f>
        <v>.</v>
      </c>
      <c r="Y27" s="76" t="str">
        <f>IFERROR((d_dir!Y27/(d_Bv!X27+MLF_strawberry)),".")</f>
        <v>.</v>
      </c>
      <c r="Z27" s="76" t="str">
        <f>IFERROR((d_dir!Z27/(d_Bv!Y27+MLF_tomato)),".")</f>
        <v>.</v>
      </c>
      <c r="AA27" s="76" t="str">
        <f>IFERROR((d_dir!AA27/(d_Bv!D27+MLF_rice)),".")</f>
        <v>.</v>
      </c>
      <c r="AB27" s="76" t="str">
        <f>IFERROR((d_dir!AB27/(d_Bv!AA27+MLF_cereal)),".")</f>
        <v>.</v>
      </c>
      <c r="AC27" s="76" t="str">
        <f t="shared" si="1"/>
        <v>.</v>
      </c>
      <c r="AD27" s="76" t="str">
        <f>IFERROR((d_dir!AD27/(d_Bv!C27+MLF_apple))*1,".")</f>
        <v>.</v>
      </c>
      <c r="AE27" s="76" t="str">
        <f>IFERROR((d_dir!AE27/(d_Bv!D27+MLF_asparagus))*1,".")</f>
        <v>.</v>
      </c>
      <c r="AF27" s="76" t="str">
        <f>IFERROR((d_dir!AF27/(d_Bv!E27+MLF_beet))*1,".")</f>
        <v>.</v>
      </c>
      <c r="AG27" s="76" t="str">
        <f>IFERROR((d_dir!AG27/(d_Bv!F27+MLF_berries))*1,".")</f>
        <v>.</v>
      </c>
      <c r="AH27" s="76" t="str">
        <f>IFERROR((d_dir!AH27/(d_Bv!G27+MLF_broccoli))*1,".")</f>
        <v>.</v>
      </c>
      <c r="AI27" s="76" t="str">
        <f>IFERROR((d_dir!AI27/(d_Bv!H27+MLF_cabbage))*1,".")</f>
        <v>.</v>
      </c>
      <c r="AJ27" s="76" t="str">
        <f>IFERROR((d_dir!AJ27/(d_Bv!I27+MLF_carrot))*1,".")</f>
        <v>.</v>
      </c>
      <c r="AK27" s="76" t="str">
        <f>IFERROR((d_dir!AK27/(d_Bv!J27+MLF_citrus))*1,".")</f>
        <v>.</v>
      </c>
      <c r="AL27" s="76" t="str">
        <f>IFERROR((d_dir!AL27/(d_Bv!K27+MLF_corn))*1,".")</f>
        <v>.</v>
      </c>
      <c r="AM27" s="76" t="str">
        <f>IFERROR((d_dir!AM27/(d_Bv!L27+MLF_cucumber))*1,".")</f>
        <v>.</v>
      </c>
      <c r="AN27" s="76" t="str">
        <f>IFERROR((d_dir!AN27/(d_Bv!M27+MLF_lettuce))*1,".")</f>
        <v>.</v>
      </c>
      <c r="AO27" s="76" t="str">
        <f>IFERROR((d_dir!AO27/(d_Bv!N27+MLF_lima_bean))*1,".")</f>
        <v>.</v>
      </c>
      <c r="AP27" s="76" t="str">
        <f>IFERROR((d_dir!AP27/(d_Bv!O27+MLF_okra))*1,".")</f>
        <v>.</v>
      </c>
      <c r="AQ27" s="76" t="str">
        <f>IFERROR((d_dir!AQ27/(d_Bv!P27+MLF_onion))*1,".")</f>
        <v>.</v>
      </c>
      <c r="AR27" s="76" t="str">
        <f>IFERROR((d_dir!AR27/(d_Bv!Q27+MLF_peach))*1,".")</f>
        <v>.</v>
      </c>
      <c r="AS27" s="76" t="str">
        <f>IFERROR((d_dir!AS27/(d_Bv!R27+MLF_pear))*1,".")</f>
        <v>.</v>
      </c>
      <c r="AT27" s="76" t="str">
        <f>IFERROR((d_dir!AT27/(d_Bv!S27+MLF_peas))*1,".")</f>
        <v>.</v>
      </c>
      <c r="AU27" s="76" t="str">
        <f>IFERROR((d_dir!AU27/(d_Bv!T27+MLF_peppers))*1,".")</f>
        <v>.</v>
      </c>
      <c r="AV27" s="76" t="str">
        <f>IFERROR((d_dir!AV27/(d_Bv!U27+MLF_potato))*1,".")</f>
        <v>.</v>
      </c>
      <c r="AW27" s="76" t="str">
        <f>IFERROR((d_dir!AW27/(d_Bv!V27+MLF_pumpkin))*1,".")</f>
        <v>.</v>
      </c>
      <c r="AX27" s="76" t="str">
        <f>IFERROR((d_dir!AX27/(d_Bv!W27+MLF_snap_bean))*1,".")</f>
        <v>.</v>
      </c>
      <c r="AY27" s="76" t="str">
        <f>IFERROR((d_dir!AY27/(d_Bv!X27+MLF_strawberry))*1,".")</f>
        <v>.</v>
      </c>
      <c r="AZ27" s="76" t="str">
        <f>IFERROR((d_dir!AZ27/(d_Bv!Y27+MLF_tomato))*1,".")</f>
        <v>.</v>
      </c>
      <c r="BA27" s="76" t="str">
        <f>IFERROR((d_dir!BA27/(d_Bv!Z27+MLF_rice))*1,".")</f>
        <v>.</v>
      </c>
      <c r="BB27" s="76" t="str">
        <f>IFERROR((d_dir!BB27/(d_Bv!AA27+MLF_cereal))*1,".")</f>
        <v>.</v>
      </c>
    </row>
    <row r="28" spans="1:54" ht="15" customHeight="1" x14ac:dyDescent="0.25">
      <c r="A28" s="92" t="s">
        <v>38</v>
      </c>
      <c r="B28" s="90" t="s">
        <v>1071</v>
      </c>
      <c r="C28" s="2" t="str">
        <f t="shared" si="0"/>
        <v>.</v>
      </c>
      <c r="D28" s="76" t="str">
        <f>IFERROR((d_dir!D28/(d_Bv!C28+MLF_apple)),".")</f>
        <v>.</v>
      </c>
      <c r="E28" s="76" t="str">
        <f>IFERROR((d_dir!E28/(d_Bv!D28+MLF_asparagus)),".")</f>
        <v>.</v>
      </c>
      <c r="F28" s="76" t="str">
        <f>IFERROR((d_dir!F28/(d_Bv!E28+MLF_beet)),".")</f>
        <v>.</v>
      </c>
      <c r="G28" s="76" t="str">
        <f>IFERROR((d_dir!G28/(d_Bv!F28+MLF_berries)),".")</f>
        <v>.</v>
      </c>
      <c r="H28" s="76" t="str">
        <f>IFERROR((d_dir!H28/(d_Bv!G28+MLF_broccoli)),".")</f>
        <v>.</v>
      </c>
      <c r="I28" s="76" t="str">
        <f>IFERROR((d_dir!I28/(d_Bv!H28+MLF_cabbage)),".")</f>
        <v>.</v>
      </c>
      <c r="J28" s="76" t="str">
        <f>IFERROR((d_dir!J28/(d_Bv!I28+MLF_carrot)),".")</f>
        <v>.</v>
      </c>
      <c r="K28" s="76" t="str">
        <f>IFERROR((d_dir!K28/(d_Bv!J28+MLF_citrus)),".")</f>
        <v>.</v>
      </c>
      <c r="L28" s="76" t="str">
        <f>IFERROR((d_dir!L28/(d_Bv!K28+MLF_corn)),".")</f>
        <v>.</v>
      </c>
      <c r="M28" s="76" t="str">
        <f>IFERROR((d_dir!M28/(d_Bv!L28+MLF_cucumber)),".")</f>
        <v>.</v>
      </c>
      <c r="N28" s="76" t="str">
        <f>IFERROR((d_dir!N28/(d_Bv!M28+MLF_lettuce)),".")</f>
        <v>.</v>
      </c>
      <c r="O28" s="76" t="str">
        <f>IFERROR((d_dir!O28/(d_Bv!N28+MLF_lima_bean)),".")</f>
        <v>.</v>
      </c>
      <c r="P28" s="76" t="str">
        <f>IFERROR((d_dir!P28/(d_Bv!O28+MLF_okra)),".")</f>
        <v>.</v>
      </c>
      <c r="Q28" s="76" t="str">
        <f>IFERROR((d_dir!Q28/(d_Bv!P28+MLF_onion)),".")</f>
        <v>.</v>
      </c>
      <c r="R28" s="76" t="str">
        <f>IFERROR((d_dir!R28/(d_Bv!Q28+MLF_peach)),".")</f>
        <v>.</v>
      </c>
      <c r="S28" s="76" t="str">
        <f>IFERROR((d_dir!S28/(d_Bv!R28+MLF_pear)),".")</f>
        <v>.</v>
      </c>
      <c r="T28" s="76" t="str">
        <f>IFERROR((d_dir!T28/(d_Bv!S28+MLF_peas)),".")</f>
        <v>.</v>
      </c>
      <c r="U28" s="76" t="str">
        <f>IFERROR((d_dir!U28/(d_Bv!T28+MLF_peppers)),".")</f>
        <v>.</v>
      </c>
      <c r="V28" s="76" t="str">
        <f>IFERROR((d_dir!V28/(d_Bv!U28+MLF_potato)),".")</f>
        <v>.</v>
      </c>
      <c r="W28" s="76" t="str">
        <f>IFERROR((d_dir!W28/(d_Bv!V28+MLF_pumpkin)),".")</f>
        <v>.</v>
      </c>
      <c r="X28" s="76" t="str">
        <f>IFERROR((d_dir!X28/(d_Bv!W28+MLF_snap_bean)),".")</f>
        <v>.</v>
      </c>
      <c r="Y28" s="76" t="str">
        <f>IFERROR((d_dir!Y28/(d_Bv!X28+MLF_strawberry)),".")</f>
        <v>.</v>
      </c>
      <c r="Z28" s="76" t="str">
        <f>IFERROR((d_dir!Z28/(d_Bv!Y28+MLF_tomato)),".")</f>
        <v>.</v>
      </c>
      <c r="AA28" s="76" t="str">
        <f>IFERROR((d_dir!AA28/(d_Bv!D28+MLF_rice)),".")</f>
        <v>.</v>
      </c>
      <c r="AB28" s="76" t="str">
        <f>IFERROR((d_dir!AB28/(d_Bv!AA28+MLF_cereal)),".")</f>
        <v>.</v>
      </c>
      <c r="AC28" s="76" t="str">
        <f t="shared" si="1"/>
        <v>.</v>
      </c>
      <c r="AD28" s="76" t="str">
        <f>IFERROR((d_dir!AD28/(d_Bv!C28+MLF_apple))*1,".")</f>
        <v>.</v>
      </c>
      <c r="AE28" s="76" t="str">
        <f>IFERROR((d_dir!AE28/(d_Bv!D28+MLF_asparagus))*1,".")</f>
        <v>.</v>
      </c>
      <c r="AF28" s="76" t="str">
        <f>IFERROR((d_dir!AF28/(d_Bv!E28+MLF_beet))*1,".")</f>
        <v>.</v>
      </c>
      <c r="AG28" s="76" t="str">
        <f>IFERROR((d_dir!AG28/(d_Bv!F28+MLF_berries))*1,".")</f>
        <v>.</v>
      </c>
      <c r="AH28" s="76" t="str">
        <f>IFERROR((d_dir!AH28/(d_Bv!G28+MLF_broccoli))*1,".")</f>
        <v>.</v>
      </c>
      <c r="AI28" s="76" t="str">
        <f>IFERROR((d_dir!AI28/(d_Bv!H28+MLF_cabbage))*1,".")</f>
        <v>.</v>
      </c>
      <c r="AJ28" s="76" t="str">
        <f>IFERROR((d_dir!AJ28/(d_Bv!I28+MLF_carrot))*1,".")</f>
        <v>.</v>
      </c>
      <c r="AK28" s="76" t="str">
        <f>IFERROR((d_dir!AK28/(d_Bv!J28+MLF_citrus))*1,".")</f>
        <v>.</v>
      </c>
      <c r="AL28" s="76" t="str">
        <f>IFERROR((d_dir!AL28/(d_Bv!K28+MLF_corn))*1,".")</f>
        <v>.</v>
      </c>
      <c r="AM28" s="76" t="str">
        <f>IFERROR((d_dir!AM28/(d_Bv!L28+MLF_cucumber))*1,".")</f>
        <v>.</v>
      </c>
      <c r="AN28" s="76" t="str">
        <f>IFERROR((d_dir!AN28/(d_Bv!M28+MLF_lettuce))*1,".")</f>
        <v>.</v>
      </c>
      <c r="AO28" s="76" t="str">
        <f>IFERROR((d_dir!AO28/(d_Bv!N28+MLF_lima_bean))*1,".")</f>
        <v>.</v>
      </c>
      <c r="AP28" s="76" t="str">
        <f>IFERROR((d_dir!AP28/(d_Bv!O28+MLF_okra))*1,".")</f>
        <v>.</v>
      </c>
      <c r="AQ28" s="76" t="str">
        <f>IFERROR((d_dir!AQ28/(d_Bv!P28+MLF_onion))*1,".")</f>
        <v>.</v>
      </c>
      <c r="AR28" s="76" t="str">
        <f>IFERROR((d_dir!AR28/(d_Bv!Q28+MLF_peach))*1,".")</f>
        <v>.</v>
      </c>
      <c r="AS28" s="76" t="str">
        <f>IFERROR((d_dir!AS28/(d_Bv!R28+MLF_pear))*1,".")</f>
        <v>.</v>
      </c>
      <c r="AT28" s="76" t="str">
        <f>IFERROR((d_dir!AT28/(d_Bv!S28+MLF_peas))*1,".")</f>
        <v>.</v>
      </c>
      <c r="AU28" s="76" t="str">
        <f>IFERROR((d_dir!AU28/(d_Bv!T28+MLF_peppers))*1,".")</f>
        <v>.</v>
      </c>
      <c r="AV28" s="76" t="str">
        <f>IFERROR((d_dir!AV28/(d_Bv!U28+MLF_potato))*1,".")</f>
        <v>.</v>
      </c>
      <c r="AW28" s="76" t="str">
        <f>IFERROR((d_dir!AW28/(d_Bv!V28+MLF_pumpkin))*1,".")</f>
        <v>.</v>
      </c>
      <c r="AX28" s="76" t="str">
        <f>IFERROR((d_dir!AX28/(d_Bv!W28+MLF_snap_bean))*1,".")</f>
        <v>.</v>
      </c>
      <c r="AY28" s="76" t="str">
        <f>IFERROR((d_dir!AY28/(d_Bv!X28+MLF_strawberry))*1,".")</f>
        <v>.</v>
      </c>
      <c r="AZ28" s="76" t="str">
        <f>IFERROR((d_dir!AZ28/(d_Bv!Y28+MLF_tomato))*1,".")</f>
        <v>.</v>
      </c>
      <c r="BA28" s="76" t="str">
        <f>IFERROR((d_dir!BA28/(d_Bv!Z28+MLF_rice))*1,".")</f>
        <v>.</v>
      </c>
      <c r="BB28" s="76" t="str">
        <f>IFERROR((d_dir!BB28/(d_Bv!AA28+MLF_cereal))*1,".")</f>
        <v>.</v>
      </c>
    </row>
    <row r="29" spans="1:54" ht="15" customHeight="1" x14ac:dyDescent="0.25">
      <c r="A29" s="92" t="s">
        <v>39</v>
      </c>
      <c r="B29" s="90" t="s">
        <v>1071</v>
      </c>
      <c r="C29" s="2" t="str">
        <f t="shared" si="0"/>
        <v>.</v>
      </c>
      <c r="D29" s="76" t="str">
        <f>IFERROR((d_dir!D29/(d_Bv!C29+MLF_apple)),".")</f>
        <v>.</v>
      </c>
      <c r="E29" s="76" t="str">
        <f>IFERROR((d_dir!E29/(d_Bv!D29+MLF_asparagus)),".")</f>
        <v>.</v>
      </c>
      <c r="F29" s="76" t="str">
        <f>IFERROR((d_dir!F29/(d_Bv!E29+MLF_beet)),".")</f>
        <v>.</v>
      </c>
      <c r="G29" s="76" t="str">
        <f>IFERROR((d_dir!G29/(d_Bv!F29+MLF_berries)),".")</f>
        <v>.</v>
      </c>
      <c r="H29" s="76" t="str">
        <f>IFERROR((d_dir!H29/(d_Bv!G29+MLF_broccoli)),".")</f>
        <v>.</v>
      </c>
      <c r="I29" s="76" t="str">
        <f>IFERROR((d_dir!I29/(d_Bv!H29+MLF_cabbage)),".")</f>
        <v>.</v>
      </c>
      <c r="J29" s="76" t="str">
        <f>IFERROR((d_dir!J29/(d_Bv!I29+MLF_carrot)),".")</f>
        <v>.</v>
      </c>
      <c r="K29" s="76" t="str">
        <f>IFERROR((d_dir!K29/(d_Bv!J29+MLF_citrus)),".")</f>
        <v>.</v>
      </c>
      <c r="L29" s="76" t="str">
        <f>IFERROR((d_dir!L29/(d_Bv!K29+MLF_corn)),".")</f>
        <v>.</v>
      </c>
      <c r="M29" s="76" t="str">
        <f>IFERROR((d_dir!M29/(d_Bv!L29+MLF_cucumber)),".")</f>
        <v>.</v>
      </c>
      <c r="N29" s="76" t="str">
        <f>IFERROR((d_dir!N29/(d_Bv!M29+MLF_lettuce)),".")</f>
        <v>.</v>
      </c>
      <c r="O29" s="76" t="str">
        <f>IFERROR((d_dir!O29/(d_Bv!N29+MLF_lima_bean)),".")</f>
        <v>.</v>
      </c>
      <c r="P29" s="76" t="str">
        <f>IFERROR((d_dir!P29/(d_Bv!O29+MLF_okra)),".")</f>
        <v>.</v>
      </c>
      <c r="Q29" s="76" t="str">
        <f>IFERROR((d_dir!Q29/(d_Bv!P29+MLF_onion)),".")</f>
        <v>.</v>
      </c>
      <c r="R29" s="76" t="str">
        <f>IFERROR((d_dir!R29/(d_Bv!Q29+MLF_peach)),".")</f>
        <v>.</v>
      </c>
      <c r="S29" s="76" t="str">
        <f>IFERROR((d_dir!S29/(d_Bv!R29+MLF_pear)),".")</f>
        <v>.</v>
      </c>
      <c r="T29" s="76" t="str">
        <f>IFERROR((d_dir!T29/(d_Bv!S29+MLF_peas)),".")</f>
        <v>.</v>
      </c>
      <c r="U29" s="76" t="str">
        <f>IFERROR((d_dir!U29/(d_Bv!T29+MLF_peppers)),".")</f>
        <v>.</v>
      </c>
      <c r="V29" s="76" t="str">
        <f>IFERROR((d_dir!V29/(d_Bv!U29+MLF_potato)),".")</f>
        <v>.</v>
      </c>
      <c r="W29" s="76" t="str">
        <f>IFERROR((d_dir!W29/(d_Bv!V29+MLF_pumpkin)),".")</f>
        <v>.</v>
      </c>
      <c r="X29" s="76" t="str">
        <f>IFERROR((d_dir!X29/(d_Bv!W29+MLF_snap_bean)),".")</f>
        <v>.</v>
      </c>
      <c r="Y29" s="76" t="str">
        <f>IFERROR((d_dir!Y29/(d_Bv!X29+MLF_strawberry)),".")</f>
        <v>.</v>
      </c>
      <c r="Z29" s="76" t="str">
        <f>IFERROR((d_dir!Z29/(d_Bv!Y29+MLF_tomato)),".")</f>
        <v>.</v>
      </c>
      <c r="AA29" s="76" t="str">
        <f>IFERROR((d_dir!AA29/(d_Bv!D29+MLF_rice)),".")</f>
        <v>.</v>
      </c>
      <c r="AB29" s="76" t="str">
        <f>IFERROR((d_dir!AB29/(d_Bv!AA29+MLF_cereal)),".")</f>
        <v>.</v>
      </c>
      <c r="AC29" s="76" t="str">
        <f t="shared" si="1"/>
        <v>.</v>
      </c>
      <c r="AD29" s="76" t="str">
        <f>IFERROR((d_dir!AD29/(d_Bv!C29+MLF_apple))*1,".")</f>
        <v>.</v>
      </c>
      <c r="AE29" s="76" t="str">
        <f>IFERROR((d_dir!AE29/(d_Bv!D29+MLF_asparagus))*1,".")</f>
        <v>.</v>
      </c>
      <c r="AF29" s="76" t="str">
        <f>IFERROR((d_dir!AF29/(d_Bv!E29+MLF_beet))*1,".")</f>
        <v>.</v>
      </c>
      <c r="AG29" s="76" t="str">
        <f>IFERROR((d_dir!AG29/(d_Bv!F29+MLF_berries))*1,".")</f>
        <v>.</v>
      </c>
      <c r="AH29" s="76" t="str">
        <f>IFERROR((d_dir!AH29/(d_Bv!G29+MLF_broccoli))*1,".")</f>
        <v>.</v>
      </c>
      <c r="AI29" s="76" t="str">
        <f>IFERROR((d_dir!AI29/(d_Bv!H29+MLF_cabbage))*1,".")</f>
        <v>.</v>
      </c>
      <c r="AJ29" s="76" t="str">
        <f>IFERROR((d_dir!AJ29/(d_Bv!I29+MLF_carrot))*1,".")</f>
        <v>.</v>
      </c>
      <c r="AK29" s="76" t="str">
        <f>IFERROR((d_dir!AK29/(d_Bv!J29+MLF_citrus))*1,".")</f>
        <v>.</v>
      </c>
      <c r="AL29" s="76" t="str">
        <f>IFERROR((d_dir!AL29/(d_Bv!K29+MLF_corn))*1,".")</f>
        <v>.</v>
      </c>
      <c r="AM29" s="76" t="str">
        <f>IFERROR((d_dir!AM29/(d_Bv!L29+MLF_cucumber))*1,".")</f>
        <v>.</v>
      </c>
      <c r="AN29" s="76" t="str">
        <f>IFERROR((d_dir!AN29/(d_Bv!M29+MLF_lettuce))*1,".")</f>
        <v>.</v>
      </c>
      <c r="AO29" s="76" t="str">
        <f>IFERROR((d_dir!AO29/(d_Bv!N29+MLF_lima_bean))*1,".")</f>
        <v>.</v>
      </c>
      <c r="AP29" s="76" t="str">
        <f>IFERROR((d_dir!AP29/(d_Bv!O29+MLF_okra))*1,".")</f>
        <v>.</v>
      </c>
      <c r="AQ29" s="76" t="str">
        <f>IFERROR((d_dir!AQ29/(d_Bv!P29+MLF_onion))*1,".")</f>
        <v>.</v>
      </c>
      <c r="AR29" s="76" t="str">
        <f>IFERROR((d_dir!AR29/(d_Bv!Q29+MLF_peach))*1,".")</f>
        <v>.</v>
      </c>
      <c r="AS29" s="76" t="str">
        <f>IFERROR((d_dir!AS29/(d_Bv!R29+MLF_pear))*1,".")</f>
        <v>.</v>
      </c>
      <c r="AT29" s="76" t="str">
        <f>IFERROR((d_dir!AT29/(d_Bv!S29+MLF_peas))*1,".")</f>
        <v>.</v>
      </c>
      <c r="AU29" s="76" t="str">
        <f>IFERROR((d_dir!AU29/(d_Bv!T29+MLF_peppers))*1,".")</f>
        <v>.</v>
      </c>
      <c r="AV29" s="76" t="str">
        <f>IFERROR((d_dir!AV29/(d_Bv!U29+MLF_potato))*1,".")</f>
        <v>.</v>
      </c>
      <c r="AW29" s="76" t="str">
        <f>IFERROR((d_dir!AW29/(d_Bv!V29+MLF_pumpkin))*1,".")</f>
        <v>.</v>
      </c>
      <c r="AX29" s="76" t="str">
        <f>IFERROR((d_dir!AX29/(d_Bv!W29+MLF_snap_bean))*1,".")</f>
        <v>.</v>
      </c>
      <c r="AY29" s="76" t="str">
        <f>IFERROR((d_dir!AY29/(d_Bv!X29+MLF_strawberry))*1,".")</f>
        <v>.</v>
      </c>
      <c r="AZ29" s="76" t="str">
        <f>IFERROR((d_dir!AZ29/(d_Bv!Y29+MLF_tomato))*1,".")</f>
        <v>.</v>
      </c>
      <c r="BA29" s="76" t="str">
        <f>IFERROR((d_dir!BA29/(d_Bv!Z29+MLF_rice))*1,".")</f>
        <v>.</v>
      </c>
      <c r="BB29" s="76" t="str">
        <f>IFERROR((d_dir!BB29/(d_Bv!AA29+MLF_cereal))*1,".")</f>
        <v>.</v>
      </c>
    </row>
    <row r="30" spans="1:54" ht="15" customHeight="1" x14ac:dyDescent="0.25">
      <c r="A30" s="92" t="s">
        <v>40</v>
      </c>
      <c r="B30" s="90" t="s">
        <v>1071</v>
      </c>
      <c r="C30" s="2">
        <f t="shared" si="0"/>
        <v>0.10934568943512078</v>
      </c>
      <c r="D30" s="76">
        <f>IFERROR((d_dir!D30/(d_Bv!C30+MLF_apple)),".")</f>
        <v>13.302632206201483</v>
      </c>
      <c r="E30" s="76">
        <f>IFERROR((d_dir!E30/(d_Bv!D30+MLF_asparagus)),".")</f>
        <v>1.6806360420226072</v>
      </c>
      <c r="F30" s="76">
        <f>IFERROR((d_dir!F30/(d_Bv!E30+MLF_beet)),".")</f>
        <v>4.7679777886154735</v>
      </c>
      <c r="G30" s="76">
        <f>IFERROR((d_dir!G30/(d_Bv!F30+MLF_berries)),".")</f>
        <v>29.765994991613546</v>
      </c>
      <c r="H30" s="76">
        <f>IFERROR((d_dir!H30/(d_Bv!G30+MLF_broccoli)),".")</f>
        <v>2.6711134831991616</v>
      </c>
      <c r="I30" s="76">
        <f>IFERROR((d_dir!I30/(d_Bv!H30+MLF_cabbage)),".")</f>
        <v>0.8269230918336451</v>
      </c>
      <c r="J30" s="76">
        <f>IFERROR((d_dir!J30/(d_Bv!I30+MLF_carrot)),".")</f>
        <v>5.5145829859074942</v>
      </c>
      <c r="K30" s="76">
        <f>IFERROR((d_dir!K30/(d_Bv!J30+MLF_citrus)),".")</f>
        <v>3.4583095725225883</v>
      </c>
      <c r="L30" s="76">
        <f>IFERROR((d_dir!L30/(d_Bv!K30+MLF_corn)),".")</f>
        <v>1.4488351689111671</v>
      </c>
      <c r="M30" s="76">
        <f>IFERROR((d_dir!M30/(d_Bv!L30+MLF_cucumber)),".")</f>
        <v>1.0929513087264602</v>
      </c>
      <c r="N30" s="76">
        <f>IFERROR((d_dir!N30/(d_Bv!M30+MLF_lettuce)),".")</f>
        <v>1.1662252859269402</v>
      </c>
      <c r="O30" s="76">
        <f>IFERROR((d_dir!O30/(d_Bv!N30+MLF_lima_bean)),".")</f>
        <v>6.03429599247794</v>
      </c>
      <c r="P30" s="76">
        <f>IFERROR((d_dir!P30/(d_Bv!O30+MLF_okra)),".")</f>
        <v>2.9416972530270034</v>
      </c>
      <c r="Q30" s="76">
        <f>IFERROR((d_dir!Q30/(d_Bv!P30+MLF_onion)),".")</f>
        <v>7.4530999100468707</v>
      </c>
      <c r="R30" s="76">
        <f>IFERROR((d_dir!R30/(d_Bv!Q30+MLF_peach)),".")</f>
        <v>8.6141996785192401</v>
      </c>
      <c r="S30" s="76">
        <f>IFERROR((d_dir!S30/(d_Bv!R30+MLF_pear)),".")</f>
        <v>17.42185101059026</v>
      </c>
      <c r="T30" s="76">
        <f>IFERROR((d_dir!T30/(d_Bv!S30+MLF_peas)),".")</f>
        <v>14.832646915810361</v>
      </c>
      <c r="U30" s="76">
        <f>IFERROR((d_dir!U30/(d_Bv!T30+MLF_peppers)),".")</f>
        <v>4.1005616757099848</v>
      </c>
      <c r="V30" s="76">
        <f>IFERROR((d_dir!V30/(d_Bv!U30+MLF_potato)),".")</f>
        <v>1.9920648027617853</v>
      </c>
      <c r="W30" s="76">
        <f>IFERROR((d_dir!W30/(d_Bv!V30+MLF_pumpkin)),".")</f>
        <v>1.4008868882890351</v>
      </c>
      <c r="X30" s="76">
        <f>IFERROR((d_dir!X30/(d_Bv!W30+MLF_snap_bean)),".")</f>
        <v>3.2858529008646844</v>
      </c>
      <c r="Y30" s="76">
        <f>IFERROR((d_dir!Y30/(d_Bv!X30+MLF_strawberry)),".")</f>
        <v>27.9325523295614</v>
      </c>
      <c r="Z30" s="76">
        <f>IFERROR((d_dir!Z30/(d_Bv!Y30+MLF_tomato)),".")</f>
        <v>0.96672288301179576</v>
      </c>
      <c r="AA30" s="76">
        <f>IFERROR((d_dir!AA30/(d_Bv!D30+MLF_rice)),".")</f>
        <v>5.7940772029684673E-2</v>
      </c>
      <c r="AB30" s="76">
        <f>IFERROR((d_dir!AB30/(d_Bv!AA30+MLF_cereal)),".")</f>
        <v>7.0026935401269363E-2</v>
      </c>
      <c r="AC30" s="76">
        <f t="shared" si="1"/>
        <v>6.526769446392898E-2</v>
      </c>
      <c r="AD30" s="76">
        <f>IFERROR((d_dir!AD30/(d_Bv!C30+MLF_apple))*1,".")</f>
        <v>7.518502548927275</v>
      </c>
      <c r="AE30" s="76">
        <f>IFERROR((d_dir!AE30/(d_Bv!D30+MLF_asparagus))*1,".")</f>
        <v>1.0230467794135387</v>
      </c>
      <c r="AF30" s="76">
        <f>IFERROR((d_dir!AF30/(d_Bv!E30+MLF_beet))*1,".")</f>
        <v>2.8633177828115479</v>
      </c>
      <c r="AG30" s="76">
        <f>IFERROR((d_dir!AG30/(d_Bv!F30+MLF_berries))*1,".")</f>
        <v>18.83553125698824</v>
      </c>
      <c r="AH30" s="76">
        <f>IFERROR((d_dir!AH30/(d_Bv!G30+MLF_broccoli))*1,".")</f>
        <v>1.4748689413722658</v>
      </c>
      <c r="AI30" s="76">
        <f>IFERROR((d_dir!AI30/(d_Bv!H30+MLF_cabbage))*1,".")</f>
        <v>0.52942190581534343</v>
      </c>
      <c r="AJ30" s="76">
        <f>IFERROR((d_dir!AJ30/(d_Bv!I30+MLF_carrot))*1,".")</f>
        <v>3.8192828651572492</v>
      </c>
      <c r="AK30" s="76">
        <f>IFERROR((d_dir!AK30/(d_Bv!J30+MLF_citrus))*1,".")</f>
        <v>2.1852885228790759</v>
      </c>
      <c r="AL30" s="76">
        <f>IFERROR((d_dir!AL30/(d_Bv!K30+MLF_corn))*1,".")</f>
        <v>0.65282636661572613</v>
      </c>
      <c r="AM30" s="76">
        <f>IFERROR((d_dir!AM30/(d_Bv!L30+MLF_cucumber))*1,".")</f>
        <v>0.99758791312693085</v>
      </c>
      <c r="AN30" s="76">
        <f>IFERROR((d_dir!AN30/(d_Bv!M30+MLF_lettuce))*1,".")</f>
        <v>0.69373943834039076</v>
      </c>
      <c r="AO30" s="76">
        <f>IFERROR((d_dir!AO30/(d_Bv!N30+MLF_lima_bean))*1,".")</f>
        <v>3.8049040587787104</v>
      </c>
      <c r="AP30" s="76">
        <f>IFERROR((d_dir!AP30/(d_Bv!O30+MLF_okra))*1,".")</f>
        <v>1.7930859219368267</v>
      </c>
      <c r="AQ30" s="76">
        <f>IFERROR((d_dir!AQ30/(d_Bv!P30+MLF_onion))*1,".")</f>
        <v>3.56419307247823</v>
      </c>
      <c r="AR30" s="76">
        <f>IFERROR((d_dir!AR30/(d_Bv!Q30+MLF_peach))*1,".")</f>
        <v>6.259211371936316</v>
      </c>
      <c r="AS30" s="76">
        <f>IFERROR((d_dir!AS30/(d_Bv!R30+MLF_pear))*1,".")</f>
        <v>10.11949478805354</v>
      </c>
      <c r="AT30" s="76">
        <f>IFERROR((d_dir!AT30/(d_Bv!S30+MLF_peas))*1,".")</f>
        <v>10.356082689548078</v>
      </c>
      <c r="AU30" s="76">
        <f>IFERROR((d_dir!AU30/(d_Bv!T30+MLF_peppers))*1,".")</f>
        <v>1.9971697123002892</v>
      </c>
      <c r="AV30" s="76">
        <f>IFERROR((d_dir!AV30/(d_Bv!U30+MLF_potato))*1,".")</f>
        <v>1.1015393774598718</v>
      </c>
      <c r="AW30" s="76">
        <f>IFERROR((d_dir!AW30/(d_Bv!V30+MLF_pumpkin))*1,".")</f>
        <v>0.85614520178350084</v>
      </c>
      <c r="AX30" s="76">
        <f>IFERROR((d_dir!AX30/(d_Bv!W30+MLF_snap_bean))*1,".")</f>
        <v>2.0212895239468809</v>
      </c>
      <c r="AY30" s="76">
        <f>IFERROR((d_dir!AY30/(d_Bv!X30+MLF_strawberry))*1,".")</f>
        <v>17.658925602421046</v>
      </c>
      <c r="AZ30" s="76">
        <f>IFERROR((d_dir!AZ30/(d_Bv!Y30+MLF_tomato))*1,".")</f>
        <v>0.50953908190752772</v>
      </c>
      <c r="BA30" s="76">
        <f>IFERROR((d_dir!BA30/(d_Bv!Z30+MLF_rice))*1,".")</f>
        <v>3.6602264498416526E-2</v>
      </c>
      <c r="BB30" s="76">
        <f>IFERROR((d_dir!BB30/(d_Bv!AA30+MLF_cereal))*1,".")</f>
        <v>3.6269704734600332E-2</v>
      </c>
    </row>
    <row r="31" spans="1:54" x14ac:dyDescent="0.25">
      <c r="A31" s="95" t="s">
        <v>13</v>
      </c>
      <c r="B31" s="95" t="s">
        <v>1071</v>
      </c>
      <c r="C31" s="96">
        <f t="shared" si="0"/>
        <v>1.2826192523349744E-2</v>
      </c>
      <c r="D31" s="58">
        <f>1/SUM(1/D32,1/D33,1/D34,1/D35,1/D36,1/D37,1/D38,1/D41,1/D44)</f>
        <v>0.62088405498661314</v>
      </c>
      <c r="E31" s="58">
        <f t="shared" ref="E31:AB31" si="2">1/SUM(1/E32,1/E33,1/E34,1/E35,1/E36,1/E37,1/E38,1/E41,1/E44)</f>
        <v>0.17147752251657727</v>
      </c>
      <c r="F31" s="58">
        <f t="shared" si="2"/>
        <v>0.2761697657185479</v>
      </c>
      <c r="G31" s="58">
        <f t="shared" si="2"/>
        <v>1.3360599052474706</v>
      </c>
      <c r="H31" s="58">
        <f t="shared" si="2"/>
        <v>0.56645974185539139</v>
      </c>
      <c r="I31" s="58">
        <f t="shared" si="2"/>
        <v>8.4361851885977612E-2</v>
      </c>
      <c r="J31" s="58">
        <f t="shared" si="2"/>
        <v>0.31883109130834841</v>
      </c>
      <c r="K31" s="58">
        <f t="shared" si="2"/>
        <v>0.16120346938923943</v>
      </c>
      <c r="L31" s="58">
        <f t="shared" si="2"/>
        <v>0.70975481225317261</v>
      </c>
      <c r="M31" s="58">
        <f t="shared" si="2"/>
        <v>0.25251122673205351</v>
      </c>
      <c r="N31" s="58">
        <f t="shared" si="2"/>
        <v>0.11469260370576236</v>
      </c>
      <c r="O31" s="58">
        <f t="shared" si="2"/>
        <v>0.42038678139649938</v>
      </c>
      <c r="P31" s="58">
        <f t="shared" si="2"/>
        <v>0.67698743913423953</v>
      </c>
      <c r="Q31" s="58">
        <f t="shared" si="2"/>
        <v>0.43090837222378853</v>
      </c>
      <c r="R31" s="58">
        <f t="shared" si="2"/>
        <v>0.40031754891915261</v>
      </c>
      <c r="S31" s="58">
        <f t="shared" si="2"/>
        <v>0.81314354431186997</v>
      </c>
      <c r="T31" s="58">
        <f t="shared" si="2"/>
        <v>0.74391786522204983</v>
      </c>
      <c r="U31" s="58">
        <f>1/SUM(1/U32,1/U33,1/U34,1/U35,1/U36,1/U37,1/U38,1/U41,1/U44)</f>
        <v>0.79820570353708431</v>
      </c>
      <c r="V31" s="58">
        <f t="shared" si="2"/>
        <v>0.29732106660785673</v>
      </c>
      <c r="W31" s="58">
        <f t="shared" si="2"/>
        <v>0.32308533985683624</v>
      </c>
      <c r="X31" s="58">
        <f t="shared" si="2"/>
        <v>0.2387409483876638</v>
      </c>
      <c r="Y31" s="58">
        <f t="shared" si="2"/>
        <v>1.2515010571806522</v>
      </c>
      <c r="Z31" s="58">
        <f t="shared" si="2"/>
        <v>0.19383011092113378</v>
      </c>
      <c r="AA31" s="58">
        <f t="shared" si="2"/>
        <v>5.4406126492731214E-3</v>
      </c>
      <c r="AB31" s="58">
        <f t="shared" si="2"/>
        <v>6.5816394500642136E-3</v>
      </c>
      <c r="AC31" s="96">
        <f t="shared" ref="AC31" si="3">IFERROR(1/SUM(1/AD31,1/AE31,1/AF31,1/AG31,1/AH31,1/AI31,1/AJ31,1/AK31,1/AL31,1/AM31,1/AN31,1/AO31,1/AP31,1/AQ31,1/AR31,1/AS31,1/AT31,1/AU31,1/AV31,1/AW31,1/AX31,1/AY31,1/AZ31),".")</f>
        <v>7.8166360346285744E-3</v>
      </c>
      <c r="AD31" s="58">
        <f>1/SUM(1/AD32,1/AD33,1/AD34,1/AD35,1/AD36,1/AD37,1/AD38,1/AD41,1/AD44)</f>
        <v>0.35091689205907295</v>
      </c>
      <c r="AE31" s="58">
        <f t="shared" ref="AE31" si="4">1/SUM(1/AE32,1/AE33,1/AE34,1/AE35,1/AE36,1/AE37,1/AE38,1/AE41,1/AE44)</f>
        <v>0.10438281862697138</v>
      </c>
      <c r="AF31" s="58">
        <f t="shared" ref="AF31" si="5">1/SUM(1/AF32,1/AF33,1/AF34,1/AF35,1/AF36,1/AF37,1/AF38,1/AF41,1/AF44)</f>
        <v>0.16584846580974513</v>
      </c>
      <c r="AG31" s="58">
        <f t="shared" ref="AG31" si="6">1/SUM(1/AG32,1/AG33,1/AG34,1/AG35,1/AG36,1/AG37,1/AG38,1/AG41,1/AG44)</f>
        <v>0.84544118594348117</v>
      </c>
      <c r="AH31" s="58">
        <f t="shared" ref="AH31" si="7">1/SUM(1/AH32,1/AH33,1/AH34,1/AH35,1/AH36,1/AH37,1/AH38,1/AH41,1/AH44)</f>
        <v>0.31277363730711089</v>
      </c>
      <c r="AI31" s="58">
        <f t="shared" ref="AI31" si="8">1/SUM(1/AI32,1/AI33,1/AI34,1/AI35,1/AI36,1/AI37,1/AI38,1/AI41,1/AI44)</f>
        <v>5.401108379323262E-2</v>
      </c>
      <c r="AJ31" s="58">
        <f t="shared" ref="AJ31" si="9">1/SUM(1/AJ32,1/AJ33,1/AJ34,1/AJ35,1/AJ36,1/AJ37,1/AJ38,1/AJ41,1/AJ44)</f>
        <v>0.22081563139501348</v>
      </c>
      <c r="AK31" s="58">
        <f t="shared" ref="AK31" si="10">1/SUM(1/AK32,1/AK33,1/AK34,1/AK35,1/AK36,1/AK37,1/AK38,1/AK41,1/AK44)</f>
        <v>0.10186366608227999</v>
      </c>
      <c r="AL31" s="58">
        <f t="shared" ref="AL31" si="11">1/SUM(1/AL32,1/AL33,1/AL34,1/AL35,1/AL36,1/AL37,1/AL38,1/AL41,1/AL44)</f>
        <v>0.31980632801692765</v>
      </c>
      <c r="AM31" s="58">
        <f t="shared" ref="AM31" si="12">1/SUM(1/AM32,1/AM33,1/AM34,1/AM35,1/AM36,1/AM37,1/AM38,1/AM41,1/AM44)</f>
        <v>0.23047883808316633</v>
      </c>
      <c r="AN31" s="58">
        <f t="shared" ref="AN31" si="13">1/SUM(1/AN32,1/AN33,1/AN34,1/AN35,1/AN36,1/AN37,1/AN38,1/AN41,1/AN44)</f>
        <v>6.8225910925427458E-2</v>
      </c>
      <c r="AO31" s="58">
        <f t="shared" ref="AO31" si="14">1/SUM(1/AO32,1/AO33,1/AO34,1/AO35,1/AO36,1/AO37,1/AO38,1/AO41,1/AO44)</f>
        <v>0.26507340256201506</v>
      </c>
      <c r="AP31" s="58">
        <f t="shared" ref="AP31" si="15">1/SUM(1/AP32,1/AP33,1/AP34,1/AP35,1/AP36,1/AP37,1/AP38,1/AP41,1/AP44)</f>
        <v>0.41265179317503564</v>
      </c>
      <c r="AQ31" s="58">
        <f t="shared" ref="AQ31" si="16">1/SUM(1/AQ32,1/AQ33,1/AQ34,1/AQ35,1/AQ36,1/AQ37,1/AQ38,1/AQ41,1/AQ44)</f>
        <v>0.20606736172724127</v>
      </c>
      <c r="AR31" s="58">
        <f t="shared" ref="AR31" si="17">1/SUM(1/AR32,1/AR33,1/AR34,1/AR35,1/AR36,1/AR37,1/AR38,1/AR41,1/AR44)</f>
        <v>0.29087695294882598</v>
      </c>
      <c r="AS31" s="58">
        <f t="shared" ref="AS31" si="18">1/SUM(1/AS32,1/AS33,1/AS34,1/AS35,1/AS36,1/AS37,1/AS38,1/AS41,1/AS44)</f>
        <v>0.47231501713574608</v>
      </c>
      <c r="AT31" s="58">
        <f t="shared" ref="AT31:AU31" si="19">1/SUM(1/AT32,1/AT33,1/AT34,1/AT35,1/AT36,1/AT37,1/AT38,1/AT41,1/AT44)</f>
        <v>0.51939987314467329</v>
      </c>
      <c r="AU31" s="58">
        <f t="shared" si="19"/>
        <v>0.38876436482657994</v>
      </c>
      <c r="AV31" s="58">
        <f t="shared" ref="AV31" si="20">1/SUM(1/AV32,1/AV33,1/AV34,1/AV35,1/AV36,1/AV37,1/AV38,1/AV41,1/AV44)</f>
        <v>0.16440773521165811</v>
      </c>
      <c r="AW31" s="58">
        <f t="shared" ref="AW31" si="21">1/SUM(1/AW32,1/AW33,1/AW34,1/AW35,1/AW36,1/AW37,1/AW38,1/AW41,1/AW44)</f>
        <v>0.19745203256406771</v>
      </c>
      <c r="AX31" s="58">
        <f t="shared" ref="AX31" si="22">1/SUM(1/AX32,1/AX33,1/AX34,1/AX35,1/AX36,1/AX37,1/AX38,1/AX41,1/AX44)</f>
        <v>0.14686128456515485</v>
      </c>
      <c r="AY31" s="58">
        <f t="shared" ref="AY31" si="23">1/SUM(1/AY32,1/AY33,1/AY34,1/AY35,1/AY36,1/AY37,1/AY38,1/AY41,1/AY44)</f>
        <v>0.79119744588164709</v>
      </c>
      <c r="AZ31" s="58">
        <f t="shared" ref="AZ31" si="24">1/SUM(1/AZ32,1/AZ33,1/AZ34,1/AZ35,1/AZ36,1/AZ37,1/AZ38,1/AZ41,1/AZ44)</f>
        <v>0.10216373119987857</v>
      </c>
      <c r="BA31" s="58">
        <f t="shared" ref="BA31" si="25">1/SUM(1/BA32,1/BA33,1/BA34,1/BA35,1/BA36,1/BA37,1/BA38,1/BA41,1/BA44)</f>
        <v>3.3867339477436785E-3</v>
      </c>
      <c r="BB31" s="58">
        <f t="shared" ref="BB31" si="26">1/SUM(1/BB32,1/BB33,1/BB34,1/BB35,1/BB36,1/BB37,1/BB38,1/BB41,1/BB44)</f>
        <v>3.4088899957643889E-3</v>
      </c>
    </row>
    <row r="32" spans="1:54" x14ac:dyDescent="0.25">
      <c r="A32" s="190" t="s">
        <v>1099</v>
      </c>
      <c r="B32" s="191">
        <v>1</v>
      </c>
      <c r="C32" s="60">
        <f>IFERROR(C3/$B32,0)</f>
        <v>0.59625120892320971</v>
      </c>
      <c r="D32" s="60">
        <f>IFERROR(D3/$B32,0)</f>
        <v>58.634914361049937</v>
      </c>
      <c r="E32" s="60">
        <f t="shared" ref="E32:AB32" si="27">IFERROR(E3/$B32,0)</f>
        <v>70.175322170953379</v>
      </c>
      <c r="F32" s="60">
        <f t="shared" si="27"/>
        <v>36.56563356089422</v>
      </c>
      <c r="G32" s="60">
        <f t="shared" si="27"/>
        <v>26.075696512385097</v>
      </c>
      <c r="H32" s="60">
        <f t="shared" si="27"/>
        <v>22.654641484313377</v>
      </c>
      <c r="I32" s="60">
        <f t="shared" si="27"/>
        <v>32.175997454955812</v>
      </c>
      <c r="J32" s="60">
        <f t="shared" si="27"/>
        <v>44.338094050602102</v>
      </c>
      <c r="K32" s="60">
        <f t="shared" si="27"/>
        <v>15.446620114885695</v>
      </c>
      <c r="L32" s="60">
        <f t="shared" si="27"/>
        <v>81.667213039105349</v>
      </c>
      <c r="M32" s="60">
        <f t="shared" si="27"/>
        <v>29.825157707828538</v>
      </c>
      <c r="N32" s="60">
        <f t="shared" si="27"/>
        <v>2.0591472760006106</v>
      </c>
      <c r="O32" s="60">
        <f t="shared" si="27"/>
        <v>6.2727201865208144</v>
      </c>
      <c r="P32" s="60">
        <f t="shared" si="27"/>
        <v>73.171292991812948</v>
      </c>
      <c r="Q32" s="60">
        <f t="shared" si="27"/>
        <v>59.924067807968889</v>
      </c>
      <c r="R32" s="60">
        <f t="shared" si="27"/>
        <v>39.721742292555156</v>
      </c>
      <c r="S32" s="60">
        <f t="shared" si="27"/>
        <v>76.791474512894538</v>
      </c>
      <c r="T32" s="60">
        <f t="shared" si="27"/>
        <v>45.876512891504198</v>
      </c>
      <c r="U32" s="60">
        <f t="shared" ref="U32" si="28">IFERROR(U3/$B32,0)</f>
        <v>19.863276083446276</v>
      </c>
      <c r="V32" s="60">
        <f t="shared" si="27"/>
        <v>17.934364180621898</v>
      </c>
      <c r="W32" s="60">
        <f t="shared" si="27"/>
        <v>36.625888667380259</v>
      </c>
      <c r="X32" s="60">
        <f t="shared" si="27"/>
        <v>3.1914822066910062</v>
      </c>
      <c r="Y32" s="60">
        <f t="shared" si="27"/>
        <v>115.23246839441161</v>
      </c>
      <c r="Z32" s="60">
        <f t="shared" si="27"/>
        <v>5.5239475635028503</v>
      </c>
      <c r="AA32" s="60">
        <f t="shared" si="27"/>
        <v>4.5366297621614579E-2</v>
      </c>
      <c r="AB32" s="60">
        <f t="shared" si="27"/>
        <v>5.2078697104006269E-2</v>
      </c>
      <c r="AC32" s="60">
        <f>IFERROR(AC3/$B32,0)</f>
        <v>0.35493801594763108</v>
      </c>
      <c r="AD32" s="60">
        <f>IFERROR(AD3/$B32,0)</f>
        <v>33.139813703499257</v>
      </c>
      <c r="AE32" s="60">
        <f t="shared" ref="AE32:BB32" si="29">IFERROR(AE3/$B32,0)</f>
        <v>42.717539994501458</v>
      </c>
      <c r="AF32" s="60">
        <f t="shared" si="29"/>
        <v>21.958791222700242</v>
      </c>
      <c r="AG32" s="60">
        <f t="shared" si="29"/>
        <v>16.500358776689577</v>
      </c>
      <c r="AH32" s="60">
        <f t="shared" si="29"/>
        <v>12.508875910101569</v>
      </c>
      <c r="AI32" s="60">
        <f t="shared" si="29"/>
        <v>20.600075221432167</v>
      </c>
      <c r="AJ32" s="60">
        <f t="shared" si="29"/>
        <v>30.707620741938694</v>
      </c>
      <c r="AK32" s="60">
        <f t="shared" si="29"/>
        <v>9.7606419976192882</v>
      </c>
      <c r="AL32" s="60">
        <f t="shared" si="29"/>
        <v>36.798188713225876</v>
      </c>
      <c r="AM32" s="60">
        <f t="shared" si="29"/>
        <v>27.222820082537453</v>
      </c>
      <c r="AN32" s="60">
        <f t="shared" si="29"/>
        <v>1.2249019910225993</v>
      </c>
      <c r="AO32" s="60">
        <f t="shared" si="29"/>
        <v>3.9552415935558609</v>
      </c>
      <c r="AP32" s="60">
        <f t="shared" si="29"/>
        <v>44.6009239117069</v>
      </c>
      <c r="AQ32" s="60">
        <f t="shared" si="29"/>
        <v>28.656659636075545</v>
      </c>
      <c r="AR32" s="60">
        <f t="shared" si="29"/>
        <v>28.862435321840991</v>
      </c>
      <c r="AS32" s="60">
        <f t="shared" si="29"/>
        <v>44.604383634540937</v>
      </c>
      <c r="AT32" s="60">
        <f t="shared" si="29"/>
        <v>32.030760504796881</v>
      </c>
      <c r="AU32" s="60">
        <f t="shared" ref="AU32" si="30">IFERROR(AU3/$B32,0)</f>
        <v>9.6743657377251751</v>
      </c>
      <c r="AV32" s="60">
        <f t="shared" si="29"/>
        <v>9.9170510554034692</v>
      </c>
      <c r="AW32" s="60">
        <f t="shared" si="29"/>
        <v>22.383733551773119</v>
      </c>
      <c r="AX32" s="60">
        <f t="shared" si="29"/>
        <v>1.9632374743707561</v>
      </c>
      <c r="AY32" s="60">
        <f t="shared" si="29"/>
        <v>72.849826337090818</v>
      </c>
      <c r="AZ32" s="60">
        <f t="shared" si="29"/>
        <v>2.9115553375994963</v>
      </c>
      <c r="BA32" s="60">
        <f t="shared" si="29"/>
        <v>2.6484407460659724E-2</v>
      </c>
      <c r="BB32" s="60">
        <f t="shared" si="29"/>
        <v>2.6973606028898887E-2</v>
      </c>
    </row>
    <row r="33" spans="1:54" x14ac:dyDescent="0.25">
      <c r="A33" s="190" t="s">
        <v>1075</v>
      </c>
      <c r="B33" s="191">
        <v>1</v>
      </c>
      <c r="C33" s="60">
        <f t="shared" ref="C33:D34" si="31">IFERROR(C13/$B33,0)</f>
        <v>9.6127665114464231E-2</v>
      </c>
      <c r="D33" s="60">
        <f t="shared" si="31"/>
        <v>39.236568129937446</v>
      </c>
      <c r="E33" s="60">
        <f t="shared" ref="E33:AD33" si="32">IFERROR(E13/$B33,0)</f>
        <v>1.4575934344543886</v>
      </c>
      <c r="F33" s="60">
        <f t="shared" si="32"/>
        <v>2.1508259315975184</v>
      </c>
      <c r="G33" s="60">
        <f t="shared" si="32"/>
        <v>87.113670121647047</v>
      </c>
      <c r="H33" s="60">
        <f t="shared" si="32"/>
        <v>2.631205859438845</v>
      </c>
      <c r="I33" s="60">
        <f t="shared" si="32"/>
        <v>0.71741930446817992</v>
      </c>
      <c r="J33" s="60">
        <f t="shared" si="32"/>
        <v>2.4802659555008</v>
      </c>
      <c r="K33" s="60">
        <f t="shared" si="32"/>
        <v>10.240809764350796</v>
      </c>
      <c r="L33" s="60">
        <f t="shared" si="32"/>
        <v>5.1900941263612435</v>
      </c>
      <c r="M33" s="60">
        <f t="shared" si="32"/>
        <v>1.0657746607267684</v>
      </c>
      <c r="N33" s="60">
        <f t="shared" si="32"/>
        <v>1.1283023957871201</v>
      </c>
      <c r="O33" s="60">
        <f t="shared" si="32"/>
        <v>2.043186095491607</v>
      </c>
      <c r="P33" s="60">
        <f t="shared" si="32"/>
        <v>2.8698167318908938</v>
      </c>
      <c r="Q33" s="60">
        <f t="shared" si="32"/>
        <v>3.3521428577782628</v>
      </c>
      <c r="R33" s="60">
        <f t="shared" si="32"/>
        <v>25.74859487239927</v>
      </c>
      <c r="S33" s="60">
        <f t="shared" si="32"/>
        <v>51.386344712136946</v>
      </c>
      <c r="T33" s="60">
        <f t="shared" si="32"/>
        <v>2.4016581122861735</v>
      </c>
      <c r="U33" s="60">
        <f t="shared" ref="U33" si="33">IFERROR(U13/$B33,0)</f>
        <v>4.084591387284557</v>
      </c>
      <c r="V33" s="60">
        <f t="shared" si="32"/>
        <v>2.0540309229709726</v>
      </c>
      <c r="W33" s="60">
        <f t="shared" si="32"/>
        <v>1.3663249143954668</v>
      </c>
      <c r="X33" s="60">
        <f t="shared" si="32"/>
        <v>1.2577988864024228</v>
      </c>
      <c r="Y33" s="60">
        <f t="shared" si="32"/>
        <v>92.854734576746878</v>
      </c>
      <c r="Z33" s="60">
        <f t="shared" si="32"/>
        <v>0.95913925319844451</v>
      </c>
      <c r="AA33" s="60">
        <f t="shared" si="32"/>
        <v>6.6057410607592418E-2</v>
      </c>
      <c r="AB33" s="60">
        <f t="shared" si="32"/>
        <v>8.2975272952482734E-2</v>
      </c>
      <c r="AC33" s="60">
        <f t="shared" si="32"/>
        <v>5.8701453844350091E-2</v>
      </c>
      <c r="AD33" s="60">
        <f t="shared" si="32"/>
        <v>22.176080111315773</v>
      </c>
      <c r="AE33" s="60">
        <f t="shared" ref="AE33:BB33" si="34">IFERROR(AE13/$B33,0)</f>
        <v>0.88727495515226018</v>
      </c>
      <c r="AF33" s="60">
        <f t="shared" si="34"/>
        <v>1.2916373378206729</v>
      </c>
      <c r="AG33" s="60">
        <f t="shared" si="34"/>
        <v>55.124387978615999</v>
      </c>
      <c r="AH33" s="60">
        <f t="shared" si="34"/>
        <v>1.4528337432504825</v>
      </c>
      <c r="AI33" s="60">
        <f t="shared" si="34"/>
        <v>0.45931417225033933</v>
      </c>
      <c r="AJ33" s="60">
        <f t="shared" si="34"/>
        <v>1.7177794384606953</v>
      </c>
      <c r="AK33" s="60">
        <f t="shared" si="34"/>
        <v>6.4711164728667736</v>
      </c>
      <c r="AL33" s="60">
        <f t="shared" si="34"/>
        <v>2.3385892084966193</v>
      </c>
      <c r="AM33" s="60">
        <f t="shared" si="34"/>
        <v>0.97278251205614719</v>
      </c>
      <c r="AN33" s="60">
        <f t="shared" si="34"/>
        <v>0.67118067133086534</v>
      </c>
      <c r="AO33" s="60">
        <f t="shared" si="34"/>
        <v>1.2883237874421622</v>
      </c>
      <c r="AP33" s="60">
        <f t="shared" si="34"/>
        <v>1.7492717767599173</v>
      </c>
      <c r="AQ33" s="60">
        <f t="shared" si="34"/>
        <v>1.6030489991882482</v>
      </c>
      <c r="AR33" s="60">
        <f t="shared" si="34"/>
        <v>18.709329229805679</v>
      </c>
      <c r="AS33" s="60">
        <f t="shared" si="34"/>
        <v>29.84779557439084</v>
      </c>
      <c r="AT33" s="60">
        <f t="shared" si="34"/>
        <v>1.6768261352158478</v>
      </c>
      <c r="AU33" s="60">
        <f t="shared" ref="AU33" si="35">IFERROR(AU13/$B33,0)</f>
        <v>1.9893914177976357</v>
      </c>
      <c r="AV33" s="60">
        <f t="shared" si="34"/>
        <v>1.1358043880078212</v>
      </c>
      <c r="AW33" s="60">
        <f t="shared" si="34"/>
        <v>0.83502281969790326</v>
      </c>
      <c r="AX33" s="60">
        <f t="shared" si="34"/>
        <v>0.77373387945888705</v>
      </c>
      <c r="AY33" s="60">
        <f t="shared" si="34"/>
        <v>58.702650240378993</v>
      </c>
      <c r="AZ33" s="60">
        <f t="shared" si="34"/>
        <v>0.50554191183891106</v>
      </c>
      <c r="BA33" s="60">
        <f t="shared" si="34"/>
        <v>3.9678879702675904E-2</v>
      </c>
      <c r="BB33" s="60">
        <f t="shared" si="34"/>
        <v>4.2976158145639265E-2</v>
      </c>
    </row>
    <row r="34" spans="1:54" x14ac:dyDescent="0.25">
      <c r="A34" s="190" t="s">
        <v>1076</v>
      </c>
      <c r="B34" s="191">
        <v>1</v>
      </c>
      <c r="C34" s="60">
        <f t="shared" si="31"/>
        <v>0.85225520279349654</v>
      </c>
      <c r="D34" s="60">
        <f t="shared" si="31"/>
        <v>16.443254946105107</v>
      </c>
      <c r="E34" s="60">
        <f t="shared" ref="E34:AD34" si="36">IFERROR(E14/$B34,0)</f>
        <v>36.24801532765634</v>
      </c>
      <c r="F34" s="60">
        <f t="shared" si="36"/>
        <v>43.473440578325373</v>
      </c>
      <c r="G34" s="60">
        <f t="shared" si="36"/>
        <v>36.961941449532823</v>
      </c>
      <c r="H34" s="60">
        <f t="shared" si="36"/>
        <v>42.051576098726436</v>
      </c>
      <c r="I34" s="60">
        <f t="shared" si="36"/>
        <v>17.812250933236736</v>
      </c>
      <c r="J34" s="60">
        <f t="shared" si="36"/>
        <v>50.242572040418956</v>
      </c>
      <c r="K34" s="60">
        <f t="shared" si="36"/>
        <v>4.2649868712334635</v>
      </c>
      <c r="L34" s="60">
        <f t="shared" si="36"/>
        <v>23.416507997213227</v>
      </c>
      <c r="M34" s="60">
        <f t="shared" si="36"/>
        <v>17.725596675325317</v>
      </c>
      <c r="N34" s="60">
        <f t="shared" si="36"/>
        <v>17.998873456270012</v>
      </c>
      <c r="O34" s="60">
        <f t="shared" si="36"/>
        <v>28.484438747590875</v>
      </c>
      <c r="P34" s="60">
        <f t="shared" si="36"/>
        <v>47.645809469777191</v>
      </c>
      <c r="Q34" s="60">
        <f t="shared" si="36"/>
        <v>67.904120785181604</v>
      </c>
      <c r="R34" s="60">
        <f t="shared" si="36"/>
        <v>10.566536510759462</v>
      </c>
      <c r="S34" s="60">
        <f t="shared" si="36"/>
        <v>21.534981450261075</v>
      </c>
      <c r="T34" s="60">
        <f t="shared" si="36"/>
        <v>37.519236125230506</v>
      </c>
      <c r="U34" s="60">
        <f t="shared" ref="U34" si="37">IFERROR(U14/$B34,0)</f>
        <v>62.559204118029633</v>
      </c>
      <c r="V34" s="60">
        <f t="shared" si="36"/>
        <v>11.005286896924474</v>
      </c>
      <c r="W34" s="60">
        <f t="shared" si="36"/>
        <v>22.706210377045974</v>
      </c>
      <c r="X34" s="60">
        <f t="shared" si="36"/>
        <v>17.075572760857135</v>
      </c>
      <c r="Y34" s="60">
        <f t="shared" si="36"/>
        <v>32.401101137891473</v>
      </c>
      <c r="Z34" s="60">
        <f t="shared" si="36"/>
        <v>14.912296284868546</v>
      </c>
      <c r="AA34" s="60">
        <f t="shared" si="36"/>
        <v>0.65141929646851471</v>
      </c>
      <c r="AB34" s="60">
        <f t="shared" si="36"/>
        <v>0.74706230493467374</v>
      </c>
      <c r="AC34" s="60">
        <f t="shared" si="36"/>
        <v>0.51968638484041607</v>
      </c>
      <c r="AD34" s="60">
        <f t="shared" si="36"/>
        <v>9.293548247339988</v>
      </c>
      <c r="AE34" s="60">
        <f t="shared" ref="AE34:BB34" si="38">IFERROR(AE14/$B34,0)</f>
        <v>22.065107741270594</v>
      </c>
      <c r="AF34" s="60">
        <f t="shared" si="38"/>
        <v>26.107142483997652</v>
      </c>
      <c r="AG34" s="60">
        <f t="shared" si="38"/>
        <v>23.389031802491257</v>
      </c>
      <c r="AH34" s="60">
        <f t="shared" si="38"/>
        <v>23.218992346773163</v>
      </c>
      <c r="AI34" s="60">
        <f t="shared" si="38"/>
        <v>11.403957549455432</v>
      </c>
      <c r="AJ34" s="60">
        <f t="shared" si="38"/>
        <v>34.796936592626651</v>
      </c>
      <c r="AK34" s="60">
        <f t="shared" si="38"/>
        <v>2.6950238735099674</v>
      </c>
      <c r="AL34" s="60">
        <f t="shared" si="38"/>
        <v>10.551175290793966</v>
      </c>
      <c r="AM34" s="60">
        <f t="shared" si="38"/>
        <v>16.178983322570911</v>
      </c>
      <c r="AN34" s="60">
        <f t="shared" si="38"/>
        <v>10.706789256749801</v>
      </c>
      <c r="AO34" s="60">
        <f t="shared" si="38"/>
        <v>17.960762405066642</v>
      </c>
      <c r="AP34" s="60">
        <f t="shared" si="38"/>
        <v>29.042087900660523</v>
      </c>
      <c r="AQ34" s="60">
        <f t="shared" si="38"/>
        <v>32.472850198750017</v>
      </c>
      <c r="AR34" s="60">
        <f t="shared" si="38"/>
        <v>7.6778096582844606</v>
      </c>
      <c r="AS34" s="60">
        <f t="shared" si="38"/>
        <v>12.508609585415307</v>
      </c>
      <c r="AT34" s="60">
        <f t="shared" si="38"/>
        <v>26.195750088772233</v>
      </c>
      <c r="AU34" s="60">
        <f t="shared" ref="AU34" si="39">IFERROR(AU14/$B34,0)</f>
        <v>30.46932531956309</v>
      </c>
      <c r="AV34" s="60">
        <f t="shared" si="38"/>
        <v>6.0855233526532659</v>
      </c>
      <c r="AW34" s="60">
        <f t="shared" si="38"/>
        <v>13.876789930368572</v>
      </c>
      <c r="AX34" s="60">
        <f t="shared" si="38"/>
        <v>10.504023575684288</v>
      </c>
      <c r="AY34" s="60">
        <f t="shared" si="38"/>
        <v>20.483936722997264</v>
      </c>
      <c r="AZ34" s="60">
        <f t="shared" si="38"/>
        <v>7.8599543795346793</v>
      </c>
      <c r="BA34" s="60">
        <f t="shared" si="38"/>
        <v>0.38140156459279068</v>
      </c>
      <c r="BB34" s="60">
        <f t="shared" si="38"/>
        <v>0.38693295748366285</v>
      </c>
    </row>
    <row r="35" spans="1:54" x14ac:dyDescent="0.25">
      <c r="A35" s="190" t="s">
        <v>1077</v>
      </c>
      <c r="B35" s="191">
        <v>1</v>
      </c>
      <c r="C35" s="60">
        <f>IFERROR(C30/$B35,0)</f>
        <v>0.10934568943512078</v>
      </c>
      <c r="D35" s="60">
        <f>IFERROR(D30/$B35,0)</f>
        <v>13.302632206201483</v>
      </c>
      <c r="E35" s="60">
        <f t="shared" ref="E35:AB35" si="40">IFERROR(E30/$B35,0)</f>
        <v>1.6806360420226072</v>
      </c>
      <c r="F35" s="60">
        <f t="shared" si="40"/>
        <v>4.7679777886154735</v>
      </c>
      <c r="G35" s="60">
        <f t="shared" si="40"/>
        <v>29.765994991613546</v>
      </c>
      <c r="H35" s="60">
        <f t="shared" si="40"/>
        <v>2.6711134831991616</v>
      </c>
      <c r="I35" s="60">
        <f t="shared" si="40"/>
        <v>0.8269230918336451</v>
      </c>
      <c r="J35" s="60">
        <f t="shared" si="40"/>
        <v>5.5145829859074942</v>
      </c>
      <c r="K35" s="60">
        <f t="shared" si="40"/>
        <v>3.4583095725225883</v>
      </c>
      <c r="L35" s="60">
        <f t="shared" si="40"/>
        <v>1.4488351689111671</v>
      </c>
      <c r="M35" s="60">
        <f t="shared" si="40"/>
        <v>1.0929513087264602</v>
      </c>
      <c r="N35" s="60">
        <f t="shared" si="40"/>
        <v>1.1662252859269402</v>
      </c>
      <c r="O35" s="60">
        <f t="shared" si="40"/>
        <v>6.03429599247794</v>
      </c>
      <c r="P35" s="60">
        <f t="shared" si="40"/>
        <v>2.9416972530270034</v>
      </c>
      <c r="Q35" s="60">
        <f t="shared" si="40"/>
        <v>7.4530999100468707</v>
      </c>
      <c r="R35" s="60">
        <f t="shared" si="40"/>
        <v>8.6141996785192401</v>
      </c>
      <c r="S35" s="60">
        <f t="shared" si="40"/>
        <v>17.42185101059026</v>
      </c>
      <c r="T35" s="60">
        <f t="shared" si="40"/>
        <v>14.832646915810361</v>
      </c>
      <c r="U35" s="60">
        <f t="shared" ref="U35" si="41">IFERROR(U30/$B35,0)</f>
        <v>4.1005616757099848</v>
      </c>
      <c r="V35" s="60">
        <f t="shared" si="40"/>
        <v>1.9920648027617853</v>
      </c>
      <c r="W35" s="60">
        <f t="shared" si="40"/>
        <v>1.4008868882890351</v>
      </c>
      <c r="X35" s="60">
        <f t="shared" si="40"/>
        <v>3.2858529008646844</v>
      </c>
      <c r="Y35" s="60">
        <f t="shared" si="40"/>
        <v>27.9325523295614</v>
      </c>
      <c r="Z35" s="60">
        <f t="shared" si="40"/>
        <v>0.96672288301179576</v>
      </c>
      <c r="AA35" s="60">
        <f t="shared" si="40"/>
        <v>5.7940772029684673E-2</v>
      </c>
      <c r="AB35" s="60">
        <f t="shared" si="40"/>
        <v>7.0026935401269363E-2</v>
      </c>
      <c r="AC35" s="60">
        <f>IFERROR(AC30/$B35,0)</f>
        <v>6.526769446392898E-2</v>
      </c>
      <c r="AD35" s="60">
        <f>IFERROR(AD30/$B35,0)</f>
        <v>7.518502548927275</v>
      </c>
      <c r="AE35" s="60">
        <f t="shared" ref="AE35:BB35" si="42">IFERROR(AE30/$B35,0)</f>
        <v>1.0230467794135387</v>
      </c>
      <c r="AF35" s="60">
        <f t="shared" si="42"/>
        <v>2.8633177828115479</v>
      </c>
      <c r="AG35" s="60">
        <f t="shared" si="42"/>
        <v>18.83553125698824</v>
      </c>
      <c r="AH35" s="60">
        <f t="shared" si="42"/>
        <v>1.4748689413722658</v>
      </c>
      <c r="AI35" s="60">
        <f t="shared" si="42"/>
        <v>0.52942190581534343</v>
      </c>
      <c r="AJ35" s="60">
        <f t="shared" si="42"/>
        <v>3.8192828651572492</v>
      </c>
      <c r="AK35" s="60">
        <f t="shared" si="42"/>
        <v>2.1852885228790759</v>
      </c>
      <c r="AL35" s="60">
        <f t="shared" si="42"/>
        <v>0.65282636661572613</v>
      </c>
      <c r="AM35" s="60">
        <f t="shared" si="42"/>
        <v>0.99758791312693085</v>
      </c>
      <c r="AN35" s="60">
        <f t="shared" si="42"/>
        <v>0.69373943834039076</v>
      </c>
      <c r="AO35" s="60">
        <f t="shared" si="42"/>
        <v>3.8049040587787104</v>
      </c>
      <c r="AP35" s="60">
        <f t="shared" si="42"/>
        <v>1.7930859219368267</v>
      </c>
      <c r="AQ35" s="60">
        <f t="shared" si="42"/>
        <v>3.56419307247823</v>
      </c>
      <c r="AR35" s="60">
        <f t="shared" si="42"/>
        <v>6.259211371936316</v>
      </c>
      <c r="AS35" s="60">
        <f t="shared" si="42"/>
        <v>10.11949478805354</v>
      </c>
      <c r="AT35" s="60">
        <f t="shared" si="42"/>
        <v>10.356082689548078</v>
      </c>
      <c r="AU35" s="60">
        <f t="shared" ref="AU35" si="43">IFERROR(AU30/$B35,0)</f>
        <v>1.9971697123002892</v>
      </c>
      <c r="AV35" s="60">
        <f t="shared" si="42"/>
        <v>1.1015393774598718</v>
      </c>
      <c r="AW35" s="60">
        <f t="shared" si="42"/>
        <v>0.85614520178350084</v>
      </c>
      <c r="AX35" s="60">
        <f t="shared" si="42"/>
        <v>2.0212895239468809</v>
      </c>
      <c r="AY35" s="60">
        <f t="shared" si="42"/>
        <v>17.658925602421046</v>
      </c>
      <c r="AZ35" s="60">
        <f t="shared" si="42"/>
        <v>0.50953908190752772</v>
      </c>
      <c r="BA35" s="60">
        <f t="shared" si="42"/>
        <v>3.6602264498416526E-2</v>
      </c>
      <c r="BB35" s="60">
        <f t="shared" si="42"/>
        <v>3.6269704734600332E-2</v>
      </c>
    </row>
    <row r="36" spans="1:54" x14ac:dyDescent="0.25">
      <c r="A36" s="190" t="s">
        <v>1078</v>
      </c>
      <c r="B36" s="191">
        <v>1</v>
      </c>
      <c r="C36" s="60">
        <f>IFERROR(C26/$B36,0)</f>
        <v>0.19723118544077048</v>
      </c>
      <c r="D36" s="60">
        <f>IFERROR(D26/$B36,0)</f>
        <v>7.803389268690899</v>
      </c>
      <c r="E36" s="60">
        <f t="shared" ref="E36:AB36" si="44">IFERROR(E26/$B36,0)</f>
        <v>8.8059627246567498</v>
      </c>
      <c r="F36" s="60">
        <f t="shared" si="44"/>
        <v>14.485022370554116</v>
      </c>
      <c r="G36" s="60">
        <f t="shared" si="44"/>
        <v>17.3930746198007</v>
      </c>
      <c r="H36" s="60">
        <f t="shared" si="44"/>
        <v>7.9737437561092177</v>
      </c>
      <c r="I36" s="60">
        <f t="shared" si="44"/>
        <v>4.2519712575002018</v>
      </c>
      <c r="J36" s="60">
        <f t="shared" si="44"/>
        <v>17.434820736338487</v>
      </c>
      <c r="K36" s="60">
        <f t="shared" si="44"/>
        <v>2.0326541487693768</v>
      </c>
      <c r="L36" s="60">
        <f t="shared" si="44"/>
        <v>9.3293252657516668</v>
      </c>
      <c r="M36" s="60">
        <f t="shared" si="44"/>
        <v>6.6906210548554323</v>
      </c>
      <c r="N36" s="60">
        <f t="shared" si="44"/>
        <v>0.88703664236585245</v>
      </c>
      <c r="O36" s="60">
        <f t="shared" si="44"/>
        <v>2.7854095911518142</v>
      </c>
      <c r="P36" s="60">
        <f t="shared" si="44"/>
        <v>17.216009744955663</v>
      </c>
      <c r="Q36" s="60">
        <f t="shared" si="44"/>
        <v>23.563606023113255</v>
      </c>
      <c r="R36" s="60">
        <f t="shared" si="44"/>
        <v>5.0866405940967105</v>
      </c>
      <c r="S36" s="60">
        <f t="shared" si="44"/>
        <v>10.219743213932816</v>
      </c>
      <c r="T36" s="60">
        <f t="shared" si="44"/>
        <v>16.627573867067586</v>
      </c>
      <c r="U36" s="60">
        <f t="shared" ref="U36" si="45">IFERROR(U26/$B36,0)</f>
        <v>7.8557359144799124</v>
      </c>
      <c r="V36" s="60">
        <f t="shared" si="44"/>
        <v>8.4486819856016542</v>
      </c>
      <c r="W36" s="60">
        <f t="shared" si="44"/>
        <v>8.4015221989425033</v>
      </c>
      <c r="X36" s="60">
        <f t="shared" si="44"/>
        <v>1.4278648972463204</v>
      </c>
      <c r="Y36" s="60">
        <f t="shared" si="44"/>
        <v>17.359532192340637</v>
      </c>
      <c r="Z36" s="60">
        <f t="shared" si="44"/>
        <v>2.1219078306503047</v>
      </c>
      <c r="AA36" s="60">
        <f t="shared" si="44"/>
        <v>2.0785479194794391E-2</v>
      </c>
      <c r="AB36" s="60">
        <f t="shared" si="44"/>
        <v>2.3752155891272376E-2</v>
      </c>
      <c r="AC36" s="60">
        <f>IFERROR(AC26/$B36,0)</f>
        <v>0.11842412087178163</v>
      </c>
      <c r="AD36" s="60">
        <f>IFERROR(AD26/$B36,0)</f>
        <v>4.4103904548735322</v>
      </c>
      <c r="AE36" s="60">
        <f t="shared" ref="AE36:BB36" si="46">IFERROR(AE26/$B36,0)</f>
        <v>5.3604180678249262</v>
      </c>
      <c r="AF36" s="60">
        <f t="shared" si="46"/>
        <v>8.6987028834449074</v>
      </c>
      <c r="AG36" s="60">
        <f t="shared" si="46"/>
        <v>11.006109513513229</v>
      </c>
      <c r="AH36" s="60">
        <f t="shared" si="46"/>
        <v>4.4027433077315123</v>
      </c>
      <c r="AI36" s="60">
        <f t="shared" si="46"/>
        <v>2.7222443644985042</v>
      </c>
      <c r="AJ36" s="60">
        <f t="shared" si="46"/>
        <v>12.074985953707234</v>
      </c>
      <c r="AK36" s="60">
        <f t="shared" si="46"/>
        <v>1.2844239907210457</v>
      </c>
      <c r="AL36" s="60">
        <f t="shared" si="46"/>
        <v>4.2036731623474139</v>
      </c>
      <c r="AM36" s="60">
        <f t="shared" si="46"/>
        <v>6.1068435916085262</v>
      </c>
      <c r="AN36" s="60">
        <f t="shared" si="46"/>
        <v>0.52766160148304608</v>
      </c>
      <c r="AO36" s="60">
        <f t="shared" si="46"/>
        <v>1.756330195261536</v>
      </c>
      <c r="AP36" s="60">
        <f t="shared" si="46"/>
        <v>10.49386869224637</v>
      </c>
      <c r="AQ36" s="60">
        <f t="shared" si="46"/>
        <v>11.268497989269326</v>
      </c>
      <c r="AR36" s="60">
        <f t="shared" si="46"/>
        <v>3.6960321143839532</v>
      </c>
      <c r="AS36" s="60">
        <f t="shared" si="46"/>
        <v>5.9361452537835016</v>
      </c>
      <c r="AT36" s="60">
        <f t="shared" si="46"/>
        <v>11.609292048230012</v>
      </c>
      <c r="AU36" s="60">
        <f t="shared" ref="AU36" si="47">IFERROR(AU26/$B36,0)</f>
        <v>3.8261192190244055</v>
      </c>
      <c r="AV36" s="60">
        <f t="shared" si="46"/>
        <v>4.6718138294866369</v>
      </c>
      <c r="AW36" s="60">
        <f t="shared" si="46"/>
        <v>5.1345493904131168</v>
      </c>
      <c r="AX36" s="60">
        <f t="shared" si="46"/>
        <v>0.87834983655415066</v>
      </c>
      <c r="AY36" s="60">
        <f t="shared" si="46"/>
        <v>10.97467513389207</v>
      </c>
      <c r="AZ36" s="60">
        <f t="shared" si="46"/>
        <v>1.1184125119222583</v>
      </c>
      <c r="BA36" s="60">
        <f t="shared" si="46"/>
        <v>1.2220350412260172E-2</v>
      </c>
      <c r="BB36" s="60">
        <f t="shared" si="46"/>
        <v>1.2302175956296822E-2</v>
      </c>
    </row>
    <row r="37" spans="1:54" x14ac:dyDescent="0.25">
      <c r="A37" s="190" t="s">
        <v>1079</v>
      </c>
      <c r="B37" s="191">
        <v>1</v>
      </c>
      <c r="C37" s="60">
        <f>IFERROR(C22/$B37,0)</f>
        <v>2.2954562738846787E-2</v>
      </c>
      <c r="D37" s="60">
        <f>IFERROR(D22/$B37,0)</f>
        <v>0.95885968601383986</v>
      </c>
      <c r="E37" s="60">
        <f t="shared" ref="E37:AB37" si="48">IFERROR(E22/$B37,0)</f>
        <v>0.23391102587086116</v>
      </c>
      <c r="F37" s="60">
        <f t="shared" si="48"/>
        <v>0.36642929831997678</v>
      </c>
      <c r="G37" s="60">
        <f t="shared" si="48"/>
        <v>2.1553710435631186</v>
      </c>
      <c r="H37" s="60">
        <f t="shared" si="48"/>
        <v>1.4990742812088154</v>
      </c>
      <c r="I37" s="60">
        <f t="shared" si="48"/>
        <v>0.11520734794857106</v>
      </c>
      <c r="J37" s="60">
        <f t="shared" si="48"/>
        <v>0.42201905233862896</v>
      </c>
      <c r="K37" s="60">
        <f t="shared" si="48"/>
        <v>0.24870525851530073</v>
      </c>
      <c r="L37" s="60">
        <f t="shared" si="48"/>
        <v>5.4431921432412445</v>
      </c>
      <c r="M37" s="60">
        <f t="shared" si="48"/>
        <v>0.60902098153323747</v>
      </c>
      <c r="N37" s="60">
        <f t="shared" si="48"/>
        <v>0.23602834690910832</v>
      </c>
      <c r="O37" s="60">
        <f t="shared" si="48"/>
        <v>1.288385334947354</v>
      </c>
      <c r="P37" s="60">
        <f t="shared" si="48"/>
        <v>1.6397009366016151</v>
      </c>
      <c r="Q37" s="60">
        <f t="shared" si="48"/>
        <v>0.57036954001073836</v>
      </c>
      <c r="R37" s="60">
        <f t="shared" si="48"/>
        <v>0.6161691170129614</v>
      </c>
      <c r="S37" s="60">
        <f t="shared" si="48"/>
        <v>1.2557748219188385</v>
      </c>
      <c r="T37" s="60">
        <f t="shared" si="48"/>
        <v>1.5706113499854391</v>
      </c>
      <c r="U37" s="60">
        <f t="shared" ref="U37" si="49">IFERROR(U22/$B37,0)</f>
        <v>2.3194034926720652</v>
      </c>
      <c r="V37" s="60">
        <f t="shared" si="48"/>
        <v>0.58450572252956001</v>
      </c>
      <c r="W37" s="60">
        <f t="shared" si="48"/>
        <v>0.78072025677530354</v>
      </c>
      <c r="X37" s="60">
        <f t="shared" si="48"/>
        <v>0.78610436426013175</v>
      </c>
      <c r="Y37" s="60">
        <f t="shared" si="48"/>
        <v>1.8894136085228277</v>
      </c>
      <c r="Z37" s="60">
        <f t="shared" si="48"/>
        <v>0.54528554281110553</v>
      </c>
      <c r="AA37" s="60">
        <f t="shared" si="48"/>
        <v>2.8963220954527046E-2</v>
      </c>
      <c r="AB37" s="60">
        <f t="shared" si="48"/>
        <v>4.2421515478985296E-2</v>
      </c>
      <c r="AC37" s="60">
        <f>IFERROR(AC22/$B37,0)</f>
        <v>1.4104619973505707E-2</v>
      </c>
      <c r="AD37" s="60">
        <f>IFERROR(AD22/$B37,0)</f>
        <v>0.54193703032681362</v>
      </c>
      <c r="AE37" s="60">
        <f t="shared" ref="AE37:BB37" si="50">IFERROR(AE22/$B37,0)</f>
        <v>0.14238771257012137</v>
      </c>
      <c r="AF37" s="60">
        <f t="shared" si="50"/>
        <v>0.22005210018552024</v>
      </c>
      <c r="AG37" s="60">
        <f t="shared" si="50"/>
        <v>1.3638905292055143</v>
      </c>
      <c r="AH37" s="60">
        <f t="shared" si="50"/>
        <v>0.82772151466841504</v>
      </c>
      <c r="AI37" s="60">
        <f t="shared" si="50"/>
        <v>7.3759330604271131E-2</v>
      </c>
      <c r="AJ37" s="60">
        <f t="shared" si="50"/>
        <v>0.2922814181028382</v>
      </c>
      <c r="AK37" s="60">
        <f t="shared" si="50"/>
        <v>0.1571556090094969</v>
      </c>
      <c r="AL37" s="60">
        <f t="shared" si="50"/>
        <v>2.4526318976187991</v>
      </c>
      <c r="AM37" s="60">
        <f t="shared" si="50"/>
        <v>0.55588200971751922</v>
      </c>
      <c r="AN37" s="60">
        <f t="shared" si="50"/>
        <v>0.140403552206459</v>
      </c>
      <c r="AO37" s="60">
        <f t="shared" si="50"/>
        <v>0.81238682960248854</v>
      </c>
      <c r="AP37" s="60">
        <f t="shared" si="50"/>
        <v>0.99946541493404883</v>
      </c>
      <c r="AQ37" s="60">
        <f t="shared" si="50"/>
        <v>0.27275995059699715</v>
      </c>
      <c r="AR37" s="60">
        <f t="shared" si="50"/>
        <v>0.44771805718188895</v>
      </c>
      <c r="AS37" s="60">
        <f t="shared" si="50"/>
        <v>0.72941771558325397</v>
      </c>
      <c r="AT37" s="60">
        <f t="shared" si="50"/>
        <v>1.0965932854677747</v>
      </c>
      <c r="AU37" s="60">
        <f t="shared" ref="AU37" si="51">IFERROR(AU22/$B37,0)</f>
        <v>1.1296604642255776</v>
      </c>
      <c r="AV37" s="60">
        <f t="shared" si="50"/>
        <v>0.32321040401110762</v>
      </c>
      <c r="AW37" s="60">
        <f t="shared" si="50"/>
        <v>0.47713338411619893</v>
      </c>
      <c r="AX37" s="60">
        <f t="shared" si="50"/>
        <v>0.48357140874741866</v>
      </c>
      <c r="AY37" s="60">
        <f t="shared" si="50"/>
        <v>1.1944849848109247</v>
      </c>
      <c r="AZ37" s="60">
        <f t="shared" si="50"/>
        <v>0.28740841842473319</v>
      </c>
      <c r="BA37" s="60">
        <f t="shared" si="50"/>
        <v>2.3050181939552418E-2</v>
      </c>
      <c r="BB37" s="60">
        <f t="shared" si="50"/>
        <v>2.1971771747549357E-2</v>
      </c>
    </row>
    <row r="38" spans="1:54" x14ac:dyDescent="0.25">
      <c r="A38" s="190" t="s">
        <v>1080</v>
      </c>
      <c r="B38" s="191">
        <v>1</v>
      </c>
      <c r="C38" s="60">
        <f>IFERROR(C2/$B38,0)</f>
        <v>0.16717039687521798</v>
      </c>
      <c r="D38" s="60">
        <f>IFERROR(D2/$B38,0)</f>
        <v>4.7483510054833635</v>
      </c>
      <c r="E38" s="60">
        <f t="shared" ref="E38:AB38" si="52">IFERROR(E2/$B38,0)</f>
        <v>11.163478476887528</v>
      </c>
      <c r="F38" s="60">
        <f t="shared" si="52"/>
        <v>12.76889581381135</v>
      </c>
      <c r="G38" s="60">
        <f t="shared" si="52"/>
        <v>10.624919193191756</v>
      </c>
      <c r="H38" s="60">
        <f t="shared" si="52"/>
        <v>7.5943891163371617</v>
      </c>
      <c r="I38" s="60">
        <f t="shared" si="52"/>
        <v>5.370468215400205</v>
      </c>
      <c r="J38" s="60">
        <f t="shared" si="52"/>
        <v>15.246736637931368</v>
      </c>
      <c r="K38" s="60">
        <f t="shared" si="52"/>
        <v>1.2344374768404878</v>
      </c>
      <c r="L38" s="60">
        <f t="shared" si="52"/>
        <v>6.8405024355244599</v>
      </c>
      <c r="M38" s="60">
        <f t="shared" si="52"/>
        <v>5.6418371057043082</v>
      </c>
      <c r="N38" s="60">
        <f t="shared" si="52"/>
        <v>0.96175508170447777</v>
      </c>
      <c r="O38" s="60">
        <f t="shared" si="52"/>
        <v>2.6890694700684858</v>
      </c>
      <c r="P38" s="60">
        <f t="shared" si="52"/>
        <v>14.661580607048602</v>
      </c>
      <c r="Q38" s="60">
        <f t="shared" si="52"/>
        <v>20.606354416112659</v>
      </c>
      <c r="R38" s="60">
        <f t="shared" si="52"/>
        <v>3.0748233184905187</v>
      </c>
      <c r="S38" s="60">
        <f t="shared" si="52"/>
        <v>6.2186988620908012</v>
      </c>
      <c r="T38" s="60">
        <f t="shared" si="52"/>
        <v>10.687852458374959</v>
      </c>
      <c r="U38" s="60">
        <f t="shared" ref="U38" si="53">IFERROR(U2/$B38,0)</f>
        <v>7.8275500865673475</v>
      </c>
      <c r="V38" s="60">
        <f t="shared" si="52"/>
        <v>3.0616888070190424</v>
      </c>
      <c r="W38" s="60">
        <f t="shared" si="52"/>
        <v>7.1168846522026898</v>
      </c>
      <c r="X38" s="60">
        <f t="shared" si="52"/>
        <v>1.4074552479998046</v>
      </c>
      <c r="Y38" s="60">
        <f t="shared" si="52"/>
        <v>9.9704750822140138</v>
      </c>
      <c r="Z38" s="60">
        <f t="shared" si="52"/>
        <v>2.0891062276848325</v>
      </c>
      <c r="AA38" s="60">
        <f t="shared" si="52"/>
        <v>2.2247414773494009E-2</v>
      </c>
      <c r="AB38" s="60">
        <f t="shared" si="52"/>
        <v>2.5513835788448201E-2</v>
      </c>
      <c r="AC38" s="60">
        <f>IFERROR(AC2/$B38,0)</f>
        <v>0.10062628218697231</v>
      </c>
      <c r="AD38" s="60">
        <f>IFERROR(AD2/$B38,0)</f>
        <v>2.6837161686906619</v>
      </c>
      <c r="AE38" s="60">
        <f t="shared" ref="AE38:BB38" si="54">IFERROR(AE2/$B38,0)</f>
        <v>6.7954990951446659</v>
      </c>
      <c r="AF38" s="60">
        <f t="shared" si="54"/>
        <v>7.6681159333107312</v>
      </c>
      <c r="AG38" s="60">
        <f t="shared" si="54"/>
        <v>6.7233095222492079</v>
      </c>
      <c r="AH38" s="60">
        <f t="shared" si="54"/>
        <v>4.1932807074023168</v>
      </c>
      <c r="AI38" s="60">
        <f t="shared" si="54"/>
        <v>3.4383409361724384</v>
      </c>
      <c r="AJ38" s="60">
        <f t="shared" si="54"/>
        <v>10.559565453929565</v>
      </c>
      <c r="AK38" s="60">
        <f t="shared" si="54"/>
        <v>0.78003486783967002</v>
      </c>
      <c r="AL38" s="60">
        <f t="shared" si="54"/>
        <v>3.0822418220048489</v>
      </c>
      <c r="AM38" s="60">
        <f t="shared" si="54"/>
        <v>5.1495692987822359</v>
      </c>
      <c r="AN38" s="60">
        <f t="shared" si="54"/>
        <v>0.57210852676065116</v>
      </c>
      <c r="AO38" s="60">
        <f t="shared" si="54"/>
        <v>1.6955832716452393</v>
      </c>
      <c r="AP38" s="60">
        <f t="shared" si="54"/>
        <v>8.9368386746083406</v>
      </c>
      <c r="AQ38" s="60">
        <f t="shared" si="54"/>
        <v>9.8542923810715486</v>
      </c>
      <c r="AR38" s="60">
        <f t="shared" si="54"/>
        <v>2.2342144134159598</v>
      </c>
      <c r="AS38" s="60">
        <f t="shared" si="54"/>
        <v>3.6121357417847788</v>
      </c>
      <c r="AT38" s="60">
        <f t="shared" si="54"/>
        <v>7.4622071475752962</v>
      </c>
      <c r="AU38" s="60">
        <f t="shared" ref="AU38" si="55">IFERROR(AU2/$B38,0)</f>
        <v>3.8123913723841429</v>
      </c>
      <c r="AV38" s="60">
        <f t="shared" si="54"/>
        <v>1.6930025457926385</v>
      </c>
      <c r="AW38" s="60">
        <f t="shared" si="54"/>
        <v>4.3494494077760475</v>
      </c>
      <c r="AX38" s="60">
        <f t="shared" si="54"/>
        <v>0.86579485875871842</v>
      </c>
      <c r="AY38" s="60">
        <f t="shared" si="54"/>
        <v>6.3033222177579216</v>
      </c>
      <c r="AZ38" s="60">
        <f t="shared" si="54"/>
        <v>1.1011234842662141</v>
      </c>
      <c r="BA38" s="60">
        <f t="shared" si="54"/>
        <v>1.3025709936373519E-2</v>
      </c>
      <c r="BB38" s="60">
        <f t="shared" si="54"/>
        <v>1.3214619280302259E-2</v>
      </c>
    </row>
    <row r="39" spans="1:54" x14ac:dyDescent="0.25">
      <c r="A39" s="190" t="s">
        <v>1081</v>
      </c>
      <c r="B39" s="191">
        <v>1</v>
      </c>
      <c r="C39" s="60">
        <f>IFERROR(C11/$B39,0)</f>
        <v>0</v>
      </c>
      <c r="D39" s="60">
        <f>IFERROR(D11/$B39,0)</f>
        <v>0</v>
      </c>
      <c r="E39" s="60">
        <f t="shared" ref="E39:AB39" si="56">IFERROR(E11/$B39,0)</f>
        <v>0</v>
      </c>
      <c r="F39" s="60">
        <f t="shared" si="56"/>
        <v>0</v>
      </c>
      <c r="G39" s="60">
        <f t="shared" si="56"/>
        <v>0</v>
      </c>
      <c r="H39" s="60">
        <f t="shared" si="56"/>
        <v>0</v>
      </c>
      <c r="I39" s="60">
        <f t="shared" si="56"/>
        <v>0</v>
      </c>
      <c r="J39" s="60">
        <f t="shared" si="56"/>
        <v>0</v>
      </c>
      <c r="K39" s="60">
        <f t="shared" si="56"/>
        <v>0</v>
      </c>
      <c r="L39" s="60">
        <f t="shared" si="56"/>
        <v>0</v>
      </c>
      <c r="M39" s="60">
        <f t="shared" si="56"/>
        <v>0</v>
      </c>
      <c r="N39" s="60">
        <f t="shared" si="56"/>
        <v>0</v>
      </c>
      <c r="O39" s="60">
        <f t="shared" si="56"/>
        <v>0</v>
      </c>
      <c r="P39" s="60">
        <f t="shared" si="56"/>
        <v>0</v>
      </c>
      <c r="Q39" s="60">
        <f t="shared" si="56"/>
        <v>0</v>
      </c>
      <c r="R39" s="60">
        <f t="shared" si="56"/>
        <v>0</v>
      </c>
      <c r="S39" s="60">
        <f t="shared" si="56"/>
        <v>0</v>
      </c>
      <c r="T39" s="60">
        <f t="shared" si="56"/>
        <v>0</v>
      </c>
      <c r="U39" s="60">
        <f t="shared" ref="U39" si="57">IFERROR(U11/$B39,0)</f>
        <v>0</v>
      </c>
      <c r="V39" s="60">
        <f t="shared" si="56"/>
        <v>0</v>
      </c>
      <c r="W39" s="60">
        <f t="shared" si="56"/>
        <v>0</v>
      </c>
      <c r="X39" s="60">
        <f t="shared" si="56"/>
        <v>0</v>
      </c>
      <c r="Y39" s="60">
        <f t="shared" si="56"/>
        <v>0</v>
      </c>
      <c r="Z39" s="60">
        <f t="shared" si="56"/>
        <v>0</v>
      </c>
      <c r="AA39" s="60">
        <f t="shared" si="56"/>
        <v>0</v>
      </c>
      <c r="AB39" s="60">
        <f t="shared" si="56"/>
        <v>0</v>
      </c>
      <c r="AC39" s="60">
        <f>IFERROR(AC11/$B39,0)</f>
        <v>0</v>
      </c>
      <c r="AD39" s="60">
        <f>IFERROR(AD11/$B39,0)</f>
        <v>0</v>
      </c>
      <c r="AE39" s="60">
        <f t="shared" ref="AE39:BB39" si="58">IFERROR(AE11/$B39,0)</f>
        <v>0</v>
      </c>
      <c r="AF39" s="60">
        <f t="shared" si="58"/>
        <v>0</v>
      </c>
      <c r="AG39" s="60">
        <f t="shared" si="58"/>
        <v>0</v>
      </c>
      <c r="AH39" s="60">
        <f t="shared" si="58"/>
        <v>0</v>
      </c>
      <c r="AI39" s="60">
        <f t="shared" si="58"/>
        <v>0</v>
      </c>
      <c r="AJ39" s="60">
        <f t="shared" si="58"/>
        <v>0</v>
      </c>
      <c r="AK39" s="60">
        <f t="shared" si="58"/>
        <v>0</v>
      </c>
      <c r="AL39" s="60">
        <f t="shared" si="58"/>
        <v>0</v>
      </c>
      <c r="AM39" s="60">
        <f t="shared" si="58"/>
        <v>0</v>
      </c>
      <c r="AN39" s="60">
        <f t="shared" si="58"/>
        <v>0</v>
      </c>
      <c r="AO39" s="60">
        <f t="shared" si="58"/>
        <v>0</v>
      </c>
      <c r="AP39" s="60">
        <f t="shared" si="58"/>
        <v>0</v>
      </c>
      <c r="AQ39" s="60">
        <f t="shared" si="58"/>
        <v>0</v>
      </c>
      <c r="AR39" s="60">
        <f t="shared" si="58"/>
        <v>0</v>
      </c>
      <c r="AS39" s="60">
        <f t="shared" si="58"/>
        <v>0</v>
      </c>
      <c r="AT39" s="60">
        <f t="shared" si="58"/>
        <v>0</v>
      </c>
      <c r="AU39" s="60">
        <f t="shared" ref="AU39" si="59">IFERROR(AU11/$B39,0)</f>
        <v>0</v>
      </c>
      <c r="AV39" s="60">
        <f t="shared" si="58"/>
        <v>0</v>
      </c>
      <c r="AW39" s="60">
        <f t="shared" si="58"/>
        <v>0</v>
      </c>
      <c r="AX39" s="60">
        <f t="shared" si="58"/>
        <v>0</v>
      </c>
      <c r="AY39" s="60">
        <f t="shared" si="58"/>
        <v>0</v>
      </c>
      <c r="AZ39" s="60">
        <f t="shared" si="58"/>
        <v>0</v>
      </c>
      <c r="BA39" s="60">
        <f t="shared" si="58"/>
        <v>0</v>
      </c>
      <c r="BB39" s="60">
        <f t="shared" si="58"/>
        <v>0</v>
      </c>
    </row>
    <row r="40" spans="1:54" x14ac:dyDescent="0.25">
      <c r="A40" s="190" t="s">
        <v>1082</v>
      </c>
      <c r="B40" s="191">
        <v>1</v>
      </c>
      <c r="C40" s="60">
        <f>IFERROR(C4/$B40,0)</f>
        <v>0</v>
      </c>
      <c r="D40" s="60">
        <f>IFERROR(D4/$B40,0)</f>
        <v>0</v>
      </c>
      <c r="E40" s="60">
        <f t="shared" ref="E40:AB40" si="60">IFERROR(E4/$B40,0)</f>
        <v>0</v>
      </c>
      <c r="F40" s="60">
        <f t="shared" si="60"/>
        <v>0</v>
      </c>
      <c r="G40" s="60">
        <f t="shared" si="60"/>
        <v>0</v>
      </c>
      <c r="H40" s="60">
        <f t="shared" si="60"/>
        <v>0</v>
      </c>
      <c r="I40" s="60">
        <f t="shared" si="60"/>
        <v>0</v>
      </c>
      <c r="J40" s="60">
        <f t="shared" si="60"/>
        <v>0</v>
      </c>
      <c r="K40" s="60">
        <f t="shared" si="60"/>
        <v>0</v>
      </c>
      <c r="L40" s="60">
        <f t="shared" si="60"/>
        <v>0</v>
      </c>
      <c r="M40" s="60">
        <f t="shared" si="60"/>
        <v>0</v>
      </c>
      <c r="N40" s="60">
        <f t="shared" si="60"/>
        <v>0</v>
      </c>
      <c r="O40" s="60">
        <f t="shared" si="60"/>
        <v>0</v>
      </c>
      <c r="P40" s="60">
        <f t="shared" si="60"/>
        <v>0</v>
      </c>
      <c r="Q40" s="60">
        <f t="shared" si="60"/>
        <v>0</v>
      </c>
      <c r="R40" s="60">
        <f t="shared" si="60"/>
        <v>0</v>
      </c>
      <c r="S40" s="60">
        <f t="shared" si="60"/>
        <v>0</v>
      </c>
      <c r="T40" s="60">
        <f t="shared" si="60"/>
        <v>0</v>
      </c>
      <c r="U40" s="60">
        <f t="shared" ref="U40" si="61">IFERROR(U4/$B40,0)</f>
        <v>0</v>
      </c>
      <c r="V40" s="60">
        <f t="shared" si="60"/>
        <v>0</v>
      </c>
      <c r="W40" s="60">
        <f t="shared" si="60"/>
        <v>0</v>
      </c>
      <c r="X40" s="60">
        <f t="shared" si="60"/>
        <v>0</v>
      </c>
      <c r="Y40" s="60">
        <f t="shared" si="60"/>
        <v>0</v>
      </c>
      <c r="Z40" s="60">
        <f t="shared" si="60"/>
        <v>0</v>
      </c>
      <c r="AA40" s="60">
        <f t="shared" si="60"/>
        <v>0</v>
      </c>
      <c r="AB40" s="60">
        <f t="shared" si="60"/>
        <v>0</v>
      </c>
      <c r="AC40" s="60">
        <f>IFERROR(AC4/$B40,0)</f>
        <v>0</v>
      </c>
      <c r="AD40" s="60">
        <f>IFERROR(AD4/$B40,0)</f>
        <v>0</v>
      </c>
      <c r="AE40" s="60">
        <f t="shared" ref="AE40:BB40" si="62">IFERROR(AE4/$B40,0)</f>
        <v>0</v>
      </c>
      <c r="AF40" s="60">
        <f t="shared" si="62"/>
        <v>0</v>
      </c>
      <c r="AG40" s="60">
        <f t="shared" si="62"/>
        <v>0</v>
      </c>
      <c r="AH40" s="60">
        <f t="shared" si="62"/>
        <v>0</v>
      </c>
      <c r="AI40" s="60">
        <f t="shared" si="62"/>
        <v>0</v>
      </c>
      <c r="AJ40" s="60">
        <f t="shared" si="62"/>
        <v>0</v>
      </c>
      <c r="AK40" s="60">
        <f t="shared" si="62"/>
        <v>0</v>
      </c>
      <c r="AL40" s="60">
        <f t="shared" si="62"/>
        <v>0</v>
      </c>
      <c r="AM40" s="60">
        <f t="shared" si="62"/>
        <v>0</v>
      </c>
      <c r="AN40" s="60">
        <f t="shared" si="62"/>
        <v>0</v>
      </c>
      <c r="AO40" s="60">
        <f t="shared" si="62"/>
        <v>0</v>
      </c>
      <c r="AP40" s="60">
        <f t="shared" si="62"/>
        <v>0</v>
      </c>
      <c r="AQ40" s="60">
        <f t="shared" si="62"/>
        <v>0</v>
      </c>
      <c r="AR40" s="60">
        <f t="shared" si="62"/>
        <v>0</v>
      </c>
      <c r="AS40" s="60">
        <f t="shared" si="62"/>
        <v>0</v>
      </c>
      <c r="AT40" s="60">
        <f t="shared" si="62"/>
        <v>0</v>
      </c>
      <c r="AU40" s="60">
        <f t="shared" ref="AU40" si="63">IFERROR(AU4/$B40,0)</f>
        <v>0</v>
      </c>
      <c r="AV40" s="60">
        <f t="shared" si="62"/>
        <v>0</v>
      </c>
      <c r="AW40" s="60">
        <f t="shared" si="62"/>
        <v>0</v>
      </c>
      <c r="AX40" s="60">
        <f t="shared" si="62"/>
        <v>0</v>
      </c>
      <c r="AY40" s="60">
        <f t="shared" si="62"/>
        <v>0</v>
      </c>
      <c r="AZ40" s="60">
        <f t="shared" si="62"/>
        <v>0</v>
      </c>
      <c r="BA40" s="60">
        <f t="shared" si="62"/>
        <v>0</v>
      </c>
      <c r="BB40" s="60">
        <f t="shared" si="62"/>
        <v>0</v>
      </c>
    </row>
    <row r="41" spans="1:54" x14ac:dyDescent="0.25">
      <c r="A41" s="190" t="s">
        <v>1083</v>
      </c>
      <c r="B41" s="192">
        <v>0.99987999999999999</v>
      </c>
      <c r="C41" s="60">
        <f>IFERROR(C8/$B41,0)</f>
        <v>1.1409305998656123</v>
      </c>
      <c r="D41" s="60">
        <f>IFERROR(D8/$B41,0)</f>
        <v>20.80908273901774</v>
      </c>
      <c r="E41" s="60">
        <f t="shared" ref="E41:AB41" si="64">IFERROR(E8/$B41,0)</f>
        <v>45.543297859465838</v>
      </c>
      <c r="F41" s="60">
        <f t="shared" si="64"/>
        <v>54.908950218276573</v>
      </c>
      <c r="G41" s="60">
        <f t="shared" si="64"/>
        <v>46.80047958398282</v>
      </c>
      <c r="H41" s="60">
        <f t="shared" si="64"/>
        <v>57.183532491847323</v>
      </c>
      <c r="I41" s="60">
        <f t="shared" si="64"/>
        <v>22.431850769448353</v>
      </c>
      <c r="J41" s="60">
        <f t="shared" si="64"/>
        <v>63.227922632652557</v>
      </c>
      <c r="K41" s="60">
        <f t="shared" si="64"/>
        <v>5.3959460389483276</v>
      </c>
      <c r="L41" s="60">
        <f t="shared" si="64"/>
        <v>29.594476773103001</v>
      </c>
      <c r="M41" s="60">
        <f t="shared" si="64"/>
        <v>22.193543435037764</v>
      </c>
      <c r="N41" s="60">
        <f t="shared" si="64"/>
        <v>46.492519174878097</v>
      </c>
      <c r="O41" s="60">
        <f t="shared" si="64"/>
        <v>47.333949949495228</v>
      </c>
      <c r="P41" s="60">
        <f t="shared" si="64"/>
        <v>59.869233734587169</v>
      </c>
      <c r="Q41" s="60">
        <f t="shared" si="64"/>
        <v>85.454154138243354</v>
      </c>
      <c r="R41" s="60">
        <f t="shared" si="64"/>
        <v>13.360216662225781</v>
      </c>
      <c r="S41" s="60">
        <f t="shared" si="64"/>
        <v>27.252707097863333</v>
      </c>
      <c r="T41" s="60">
        <f t="shared" si="64"/>
        <v>47.556494232480553</v>
      </c>
      <c r="U41" s="60">
        <f t="shared" ref="U41" si="65">IFERROR(U8/$B41,0)</f>
        <v>93.302289059201769</v>
      </c>
      <c r="V41" s="60">
        <f t="shared" si="64"/>
        <v>13.988843229336123</v>
      </c>
      <c r="W41" s="60">
        <f t="shared" si="64"/>
        <v>28.475425699111064</v>
      </c>
      <c r="X41" s="60">
        <f t="shared" si="64"/>
        <v>30.432875863567734</v>
      </c>
      <c r="Y41" s="60">
        <f t="shared" si="64"/>
        <v>40.713530085219773</v>
      </c>
      <c r="Z41" s="60">
        <f t="shared" si="64"/>
        <v>21.516269071739519</v>
      </c>
      <c r="AA41" s="60">
        <f t="shared" si="64"/>
        <v>6.0371459794319575</v>
      </c>
      <c r="AB41" s="60">
        <f t="shared" si="64"/>
        <v>6.9235348339723695</v>
      </c>
      <c r="AC41" s="60">
        <f>IFERROR(AC8/$B41,0)</f>
        <v>0.6973523652791016</v>
      </c>
      <c r="AD41" s="60">
        <f>IFERROR(AD8/$B41,0)</f>
        <v>11.761066470830292</v>
      </c>
      <c r="AE41" s="60">
        <f t="shared" ref="AE41:BB41" si="66">IFERROR(AE8/$B41,0)</f>
        <v>27.72338747592519</v>
      </c>
      <c r="AF41" s="60">
        <f t="shared" si="66"/>
        <v>32.974518876934503</v>
      </c>
      <c r="AG41" s="60">
        <f t="shared" si="66"/>
        <v>29.614729703962894</v>
      </c>
      <c r="AH41" s="60">
        <f t="shared" si="66"/>
        <v>31.574179292886697</v>
      </c>
      <c r="AI41" s="60">
        <f t="shared" si="66"/>
        <v>14.361569174459385</v>
      </c>
      <c r="AJ41" s="60">
        <f t="shared" si="66"/>
        <v>43.79031417742619</v>
      </c>
      <c r="AK41" s="60">
        <f t="shared" si="66"/>
        <v>3.4096713153378553</v>
      </c>
      <c r="AL41" s="60">
        <f t="shared" si="66"/>
        <v>13.334888024700422</v>
      </c>
      <c r="AM41" s="60">
        <f t="shared" si="66"/>
        <v>20.257087853300096</v>
      </c>
      <c r="AN41" s="60">
        <f t="shared" si="66"/>
        <v>27.656486725696286</v>
      </c>
      <c r="AO41" s="60">
        <f t="shared" si="66"/>
        <v>29.84625522270834</v>
      </c>
      <c r="AP41" s="60">
        <f t="shared" si="66"/>
        <v>36.492769626843774</v>
      </c>
      <c r="AQ41" s="60">
        <f t="shared" si="66"/>
        <v>40.865560353409855</v>
      </c>
      <c r="AR41" s="60">
        <f t="shared" si="66"/>
        <v>9.7077410768949708</v>
      </c>
      <c r="AS41" s="60">
        <f t="shared" si="66"/>
        <v>15.829754672424681</v>
      </c>
      <c r="AT41" s="60">
        <f t="shared" si="66"/>
        <v>33.203715391594869</v>
      </c>
      <c r="AU41" s="60">
        <f t="shared" ref="AU41" si="67">IFERROR(AU8/$B41,0)</f>
        <v>45.442678475275173</v>
      </c>
      <c r="AV41" s="60">
        <f t="shared" si="66"/>
        <v>7.7353214819434362</v>
      </c>
      <c r="AW41" s="60">
        <f t="shared" si="66"/>
        <v>17.402617787944177</v>
      </c>
      <c r="AX41" s="60">
        <f t="shared" si="66"/>
        <v>18.720756839241893</v>
      </c>
      <c r="AY41" s="60">
        <f t="shared" si="66"/>
        <v>25.739044191315976</v>
      </c>
      <c r="AZ41" s="60">
        <f t="shared" si="66"/>
        <v>11.340768054163993</v>
      </c>
      <c r="BA41" s="60">
        <f t="shared" si="66"/>
        <v>3.534707882792532</v>
      </c>
      <c r="BB41" s="60">
        <f t="shared" si="66"/>
        <v>3.5859710654044412</v>
      </c>
    </row>
    <row r="42" spans="1:54" x14ac:dyDescent="0.25">
      <c r="A42" s="190" t="s">
        <v>1084</v>
      </c>
      <c r="B42" s="191">
        <v>0.97898250799999997</v>
      </c>
      <c r="C42" s="60">
        <f>IFERROR(C19/$B42,0)</f>
        <v>0</v>
      </c>
      <c r="D42" s="60">
        <f>IFERROR(D19/$B42,0)</f>
        <v>0</v>
      </c>
      <c r="E42" s="60">
        <f t="shared" ref="E42:AB42" si="68">IFERROR(E19/$B42,0)</f>
        <v>0</v>
      </c>
      <c r="F42" s="60">
        <f t="shared" si="68"/>
        <v>0</v>
      </c>
      <c r="G42" s="60">
        <f t="shared" si="68"/>
        <v>0</v>
      </c>
      <c r="H42" s="60">
        <f t="shared" si="68"/>
        <v>0</v>
      </c>
      <c r="I42" s="60">
        <f t="shared" si="68"/>
        <v>0</v>
      </c>
      <c r="J42" s="60">
        <f t="shared" si="68"/>
        <v>0</v>
      </c>
      <c r="K42" s="60">
        <f t="shared" si="68"/>
        <v>0</v>
      </c>
      <c r="L42" s="60">
        <f t="shared" si="68"/>
        <v>0</v>
      </c>
      <c r="M42" s="60">
        <f t="shared" si="68"/>
        <v>0</v>
      </c>
      <c r="N42" s="60">
        <f t="shared" si="68"/>
        <v>0</v>
      </c>
      <c r="O42" s="60">
        <f t="shared" si="68"/>
        <v>0</v>
      </c>
      <c r="P42" s="60">
        <f t="shared" si="68"/>
        <v>0</v>
      </c>
      <c r="Q42" s="60">
        <f t="shared" si="68"/>
        <v>0</v>
      </c>
      <c r="R42" s="60">
        <f t="shared" si="68"/>
        <v>0</v>
      </c>
      <c r="S42" s="60">
        <f t="shared" si="68"/>
        <v>0</v>
      </c>
      <c r="T42" s="60">
        <f t="shared" si="68"/>
        <v>0</v>
      </c>
      <c r="U42" s="60">
        <f t="shared" ref="U42" si="69">IFERROR(U19/$B42,0)</f>
        <v>0</v>
      </c>
      <c r="V42" s="60">
        <f t="shared" si="68"/>
        <v>0</v>
      </c>
      <c r="W42" s="60">
        <f t="shared" si="68"/>
        <v>0</v>
      </c>
      <c r="X42" s="60">
        <f t="shared" si="68"/>
        <v>0</v>
      </c>
      <c r="Y42" s="60">
        <f t="shared" si="68"/>
        <v>0</v>
      </c>
      <c r="Z42" s="60">
        <f t="shared" si="68"/>
        <v>0</v>
      </c>
      <c r="AA42" s="60">
        <f t="shared" si="68"/>
        <v>0</v>
      </c>
      <c r="AB42" s="60">
        <f t="shared" si="68"/>
        <v>0</v>
      </c>
      <c r="AC42" s="60">
        <f>IFERROR(AC19/$B42,0)</f>
        <v>0</v>
      </c>
      <c r="AD42" s="60">
        <f>IFERROR(AD19/$B42,0)</f>
        <v>0</v>
      </c>
      <c r="AE42" s="60">
        <f t="shared" ref="AE42:BB42" si="70">IFERROR(AE19/$B42,0)</f>
        <v>0</v>
      </c>
      <c r="AF42" s="60">
        <f t="shared" si="70"/>
        <v>0</v>
      </c>
      <c r="AG42" s="60">
        <f t="shared" si="70"/>
        <v>0</v>
      </c>
      <c r="AH42" s="60">
        <f t="shared" si="70"/>
        <v>0</v>
      </c>
      <c r="AI42" s="60">
        <f t="shared" si="70"/>
        <v>0</v>
      </c>
      <c r="AJ42" s="60">
        <f t="shared" si="70"/>
        <v>0</v>
      </c>
      <c r="AK42" s="60">
        <f t="shared" si="70"/>
        <v>0</v>
      </c>
      <c r="AL42" s="60">
        <f t="shared" si="70"/>
        <v>0</v>
      </c>
      <c r="AM42" s="60">
        <f t="shared" si="70"/>
        <v>0</v>
      </c>
      <c r="AN42" s="60">
        <f t="shared" si="70"/>
        <v>0</v>
      </c>
      <c r="AO42" s="60">
        <f t="shared" si="70"/>
        <v>0</v>
      </c>
      <c r="AP42" s="60">
        <f t="shared" si="70"/>
        <v>0</v>
      </c>
      <c r="AQ42" s="60">
        <f t="shared" si="70"/>
        <v>0</v>
      </c>
      <c r="AR42" s="60">
        <f t="shared" si="70"/>
        <v>0</v>
      </c>
      <c r="AS42" s="60">
        <f t="shared" si="70"/>
        <v>0</v>
      </c>
      <c r="AT42" s="60">
        <f t="shared" si="70"/>
        <v>0</v>
      </c>
      <c r="AU42" s="60">
        <f t="shared" ref="AU42" si="71">IFERROR(AU19/$B42,0)</f>
        <v>0</v>
      </c>
      <c r="AV42" s="60">
        <f t="shared" si="70"/>
        <v>0</v>
      </c>
      <c r="AW42" s="60">
        <f t="shared" si="70"/>
        <v>0</v>
      </c>
      <c r="AX42" s="60">
        <f t="shared" si="70"/>
        <v>0</v>
      </c>
      <c r="AY42" s="60">
        <f t="shared" si="70"/>
        <v>0</v>
      </c>
      <c r="AZ42" s="60">
        <f t="shared" si="70"/>
        <v>0</v>
      </c>
      <c r="BA42" s="60">
        <f t="shared" si="70"/>
        <v>0</v>
      </c>
      <c r="BB42" s="60">
        <f t="shared" si="70"/>
        <v>0</v>
      </c>
    </row>
    <row r="43" spans="1:54" x14ac:dyDescent="0.25">
      <c r="A43" s="190" t="s">
        <v>1085</v>
      </c>
      <c r="B43" s="191">
        <v>2.0897492E-2</v>
      </c>
      <c r="C43" s="60">
        <f>IFERROR(C28/$B43,0)</f>
        <v>0</v>
      </c>
      <c r="D43" s="60">
        <f>IFERROR(D28/$B43,0)</f>
        <v>0</v>
      </c>
      <c r="E43" s="60">
        <f t="shared" ref="E43:AB43" si="72">IFERROR(E28/$B43,0)</f>
        <v>0</v>
      </c>
      <c r="F43" s="60">
        <f t="shared" si="72"/>
        <v>0</v>
      </c>
      <c r="G43" s="60">
        <f t="shared" si="72"/>
        <v>0</v>
      </c>
      <c r="H43" s="60">
        <f t="shared" si="72"/>
        <v>0</v>
      </c>
      <c r="I43" s="60">
        <f t="shared" si="72"/>
        <v>0</v>
      </c>
      <c r="J43" s="60">
        <f t="shared" si="72"/>
        <v>0</v>
      </c>
      <c r="K43" s="60">
        <f t="shared" si="72"/>
        <v>0</v>
      </c>
      <c r="L43" s="60">
        <f t="shared" si="72"/>
        <v>0</v>
      </c>
      <c r="M43" s="60">
        <f t="shared" si="72"/>
        <v>0</v>
      </c>
      <c r="N43" s="60">
        <f t="shared" si="72"/>
        <v>0</v>
      </c>
      <c r="O43" s="60">
        <f t="shared" si="72"/>
        <v>0</v>
      </c>
      <c r="P43" s="60">
        <f t="shared" si="72"/>
        <v>0</v>
      </c>
      <c r="Q43" s="60">
        <f t="shared" si="72"/>
        <v>0</v>
      </c>
      <c r="R43" s="60">
        <f t="shared" si="72"/>
        <v>0</v>
      </c>
      <c r="S43" s="60">
        <f t="shared" si="72"/>
        <v>0</v>
      </c>
      <c r="T43" s="60">
        <f t="shared" si="72"/>
        <v>0</v>
      </c>
      <c r="U43" s="60">
        <f t="shared" ref="U43" si="73">IFERROR(U28/$B43,0)</f>
        <v>0</v>
      </c>
      <c r="V43" s="60">
        <f t="shared" si="72"/>
        <v>0</v>
      </c>
      <c r="W43" s="60">
        <f t="shared" si="72"/>
        <v>0</v>
      </c>
      <c r="X43" s="60">
        <f t="shared" si="72"/>
        <v>0</v>
      </c>
      <c r="Y43" s="60">
        <f t="shared" si="72"/>
        <v>0</v>
      </c>
      <c r="Z43" s="60">
        <f t="shared" si="72"/>
        <v>0</v>
      </c>
      <c r="AA43" s="60">
        <f t="shared" si="72"/>
        <v>0</v>
      </c>
      <c r="AB43" s="60">
        <f t="shared" si="72"/>
        <v>0</v>
      </c>
      <c r="AC43" s="60">
        <f>IFERROR(AC28/$B43,0)</f>
        <v>0</v>
      </c>
      <c r="AD43" s="60">
        <f>IFERROR(AD28/$B43,0)</f>
        <v>0</v>
      </c>
      <c r="AE43" s="60">
        <f t="shared" ref="AE43:BB43" si="74">IFERROR(AE28/$B43,0)</f>
        <v>0</v>
      </c>
      <c r="AF43" s="60">
        <f t="shared" si="74"/>
        <v>0</v>
      </c>
      <c r="AG43" s="60">
        <f t="shared" si="74"/>
        <v>0</v>
      </c>
      <c r="AH43" s="60">
        <f t="shared" si="74"/>
        <v>0</v>
      </c>
      <c r="AI43" s="60">
        <f t="shared" si="74"/>
        <v>0</v>
      </c>
      <c r="AJ43" s="60">
        <f t="shared" si="74"/>
        <v>0</v>
      </c>
      <c r="AK43" s="60">
        <f t="shared" si="74"/>
        <v>0</v>
      </c>
      <c r="AL43" s="60">
        <f t="shared" si="74"/>
        <v>0</v>
      </c>
      <c r="AM43" s="60">
        <f t="shared" si="74"/>
        <v>0</v>
      </c>
      <c r="AN43" s="60">
        <f t="shared" si="74"/>
        <v>0</v>
      </c>
      <c r="AO43" s="60">
        <f t="shared" si="74"/>
        <v>0</v>
      </c>
      <c r="AP43" s="60">
        <f t="shared" si="74"/>
        <v>0</v>
      </c>
      <c r="AQ43" s="60">
        <f t="shared" si="74"/>
        <v>0</v>
      </c>
      <c r="AR43" s="60">
        <f t="shared" si="74"/>
        <v>0</v>
      </c>
      <c r="AS43" s="60">
        <f t="shared" si="74"/>
        <v>0</v>
      </c>
      <c r="AT43" s="60">
        <f t="shared" si="74"/>
        <v>0</v>
      </c>
      <c r="AU43" s="60">
        <f t="shared" ref="AU43" si="75">IFERROR(AU28/$B43,0)</f>
        <v>0</v>
      </c>
      <c r="AV43" s="60">
        <f t="shared" si="74"/>
        <v>0</v>
      </c>
      <c r="AW43" s="60">
        <f t="shared" si="74"/>
        <v>0</v>
      </c>
      <c r="AX43" s="60">
        <f t="shared" si="74"/>
        <v>0</v>
      </c>
      <c r="AY43" s="60">
        <f t="shared" si="74"/>
        <v>0</v>
      </c>
      <c r="AZ43" s="60">
        <f t="shared" si="74"/>
        <v>0</v>
      </c>
      <c r="BA43" s="60">
        <f t="shared" si="74"/>
        <v>0</v>
      </c>
      <c r="BB43" s="60">
        <f t="shared" si="74"/>
        <v>0</v>
      </c>
    </row>
    <row r="44" spans="1:54" x14ac:dyDescent="0.25">
      <c r="A44" s="190" t="s">
        <v>1086</v>
      </c>
      <c r="B44" s="191">
        <v>0.99987999999999999</v>
      </c>
      <c r="C44" s="60">
        <f>IFERROR(C15/$B44,0)</f>
        <v>13.531241303764102</v>
      </c>
      <c r="D44" s="60">
        <f>IFERROR(D15/$B44,0)</f>
        <v>422.4782660710618</v>
      </c>
      <c r="E44" s="60">
        <f t="shared" ref="E44:AB44" si="76">IFERROR(E15/$B44,0)</f>
        <v>117.2194335822451</v>
      </c>
      <c r="F44" s="60">
        <f t="shared" si="76"/>
        <v>748.03923973738108</v>
      </c>
      <c r="G44" s="60">
        <f t="shared" si="76"/>
        <v>949.66702063556988</v>
      </c>
      <c r="H44" s="60">
        <f t="shared" si="76"/>
        <v>743.0103211092129</v>
      </c>
      <c r="I44" s="60">
        <f t="shared" si="76"/>
        <v>57.731398681411079</v>
      </c>
      <c r="J44" s="60">
        <f t="shared" si="76"/>
        <v>863.35646761104874</v>
      </c>
      <c r="K44" s="60">
        <f t="shared" si="76"/>
        <v>109.58075296408158</v>
      </c>
      <c r="L44" s="60">
        <f t="shared" si="76"/>
        <v>4538.0416738082049</v>
      </c>
      <c r="M44" s="60">
        <f t="shared" si="76"/>
        <v>304.02081677225107</v>
      </c>
      <c r="N44" s="60">
        <f t="shared" si="76"/>
        <v>116.22997828169001</v>
      </c>
      <c r="O44" s="60">
        <f t="shared" si="76"/>
        <v>1108.6019823494109</v>
      </c>
      <c r="P44" s="60">
        <f t="shared" si="76"/>
        <v>818.27725939965751</v>
      </c>
      <c r="Q44" s="60">
        <f t="shared" si="76"/>
        <v>1166.8483414854957</v>
      </c>
      <c r="R44" s="60">
        <f t="shared" si="76"/>
        <v>271.4871257591027</v>
      </c>
      <c r="S44" s="60">
        <f t="shared" si="76"/>
        <v>553.30052673870546</v>
      </c>
      <c r="T44" s="60">
        <f t="shared" si="76"/>
        <v>1791.0635186353572</v>
      </c>
      <c r="U44" s="60">
        <f t="shared" ref="U44" si="77">IFERROR(U15/$B44,0)</f>
        <v>1140.6327984793591</v>
      </c>
      <c r="V44" s="60">
        <f t="shared" si="76"/>
        <v>1688.2920756030094</v>
      </c>
      <c r="W44" s="60">
        <f t="shared" si="76"/>
        <v>389.67772176368931</v>
      </c>
      <c r="X44" s="60">
        <f t="shared" si="76"/>
        <v>638.91913645917066</v>
      </c>
      <c r="Y44" s="60">
        <f t="shared" si="76"/>
        <v>832.48487433882042</v>
      </c>
      <c r="Z44" s="60">
        <f t="shared" si="76"/>
        <v>268.90848488770933</v>
      </c>
      <c r="AA44" s="60">
        <f t="shared" si="76"/>
        <v>13.186714662659393</v>
      </c>
      <c r="AB44" s="60">
        <f t="shared" si="76"/>
        <v>19.1208082268396</v>
      </c>
      <c r="AC44" s="60">
        <f>IFERROR(AC15/$B44,0)</f>
        <v>8.4009846819755367</v>
      </c>
      <c r="AD44" s="60">
        <f>IFERROR(AD15/$B44,0)</f>
        <v>238.78010540206193</v>
      </c>
      <c r="AE44" s="60">
        <f t="shared" ref="AE44:BB44" si="78">IFERROR(AE15/$B44,0)</f>
        <v>71.354511632794029</v>
      </c>
      <c r="AF44" s="60">
        <f t="shared" si="78"/>
        <v>449.22064496504959</v>
      </c>
      <c r="AG44" s="60">
        <f t="shared" si="78"/>
        <v>600.9368360087376</v>
      </c>
      <c r="AH44" s="60">
        <f t="shared" si="78"/>
        <v>410.25694064129914</v>
      </c>
      <c r="AI44" s="60">
        <f t="shared" si="78"/>
        <v>36.961438635754995</v>
      </c>
      <c r="AJ44" s="60">
        <f t="shared" si="78"/>
        <v>597.94232341703332</v>
      </c>
      <c r="AK44" s="60">
        <f t="shared" si="78"/>
        <v>69.243529753231982</v>
      </c>
      <c r="AL44" s="60">
        <f t="shared" si="78"/>
        <v>2044.7828165914734</v>
      </c>
      <c r="AM44" s="60">
        <f t="shared" si="78"/>
        <v>277.49405644097237</v>
      </c>
      <c r="AN44" s="60">
        <f t="shared" si="78"/>
        <v>69.140431805477775</v>
      </c>
      <c r="AO44" s="60">
        <f t="shared" si="78"/>
        <v>699.02507060798916</v>
      </c>
      <c r="AP44" s="60">
        <f t="shared" si="78"/>
        <v>498.77377169278208</v>
      </c>
      <c r="AQ44" s="60">
        <f t="shared" si="78"/>
        <v>558.00577283944688</v>
      </c>
      <c r="AR44" s="60">
        <f t="shared" si="78"/>
        <v>197.26676514396581</v>
      </c>
      <c r="AS44" s="60">
        <f t="shared" si="78"/>
        <v>321.38501202633751</v>
      </c>
      <c r="AT44" s="60">
        <f t="shared" si="78"/>
        <v>1250.5119286194056</v>
      </c>
      <c r="AU44" s="60">
        <f t="shared" ref="AU44" si="79">IFERROR(AU15/$B44,0)</f>
        <v>555.54274222320237</v>
      </c>
      <c r="AV44" s="60">
        <f t="shared" si="78"/>
        <v>933.5641086333485</v>
      </c>
      <c r="AW44" s="60">
        <f t="shared" si="78"/>
        <v>238.14964257205264</v>
      </c>
      <c r="AX44" s="60">
        <f t="shared" si="78"/>
        <v>393.03054523051287</v>
      </c>
      <c r="AY44" s="60">
        <f t="shared" si="78"/>
        <v>526.29592482789394</v>
      </c>
      <c r="AZ44" s="60">
        <f t="shared" si="78"/>
        <v>141.73594616892484</v>
      </c>
      <c r="BA44" s="60">
        <f t="shared" si="78"/>
        <v>10.179557540921866</v>
      </c>
      <c r="BB44" s="60">
        <f t="shared" si="78"/>
        <v>9.9034188016432623</v>
      </c>
    </row>
    <row r="45" spans="1:54" x14ac:dyDescent="0.25">
      <c r="A45" s="95" t="s">
        <v>20</v>
      </c>
      <c r="B45" s="95" t="s">
        <v>1071</v>
      </c>
      <c r="C45" s="96">
        <f t="shared" ref="C45" si="80">IFERROR(1/SUM(1/D45,1/E45,1/F45,1/G45,1/H45,1/I45,1/J45,1/K45,1/L45,1/M45,1/N45,1/O45,1/P45,1/Q45,1/R45,1/S45,1/T45,1/U45,1/V45,1/W45,1/X45,1/Y45,1/Z45),".")</f>
        <v>8.9501348354362797E-2</v>
      </c>
      <c r="D45" s="58">
        <f t="shared" ref="D45:AB45" si="81">IFERROR(IF(AND(D46&lt;&gt;0,D47&lt;&gt;0),1/SUM(1/D46,1/D47),IF(AND(D46&lt;&gt;0,D47=0),1/(1/D46),IF(AND(D46=0,D47&lt;&gt;0),1/(1/D47),IF(AND(D46=0,D47=0),".")))),".")</f>
        <v>6.716286763420749</v>
      </c>
      <c r="E45" s="58">
        <f t="shared" si="81"/>
        <v>1.457045033444619</v>
      </c>
      <c r="F45" s="58">
        <f t="shared" si="81"/>
        <v>2.5060883222711685</v>
      </c>
      <c r="G45" s="58">
        <f t="shared" si="81"/>
        <v>39.73186642829431</v>
      </c>
      <c r="H45" s="58">
        <f t="shared" si="81"/>
        <v>5.0401509839797685</v>
      </c>
      <c r="I45" s="58">
        <f t="shared" si="81"/>
        <v>0.71752743844553279</v>
      </c>
      <c r="J45" s="58">
        <f t="shared" si="81"/>
        <v>2.8874007501743528</v>
      </c>
      <c r="K45" s="58">
        <f t="shared" si="81"/>
        <v>1.7424067433056749</v>
      </c>
      <c r="L45" s="58">
        <f t="shared" si="81"/>
        <v>1.7173157434219639</v>
      </c>
      <c r="M45" s="58">
        <f t="shared" si="81"/>
        <v>2.0266690382347821</v>
      </c>
      <c r="N45" s="58">
        <f t="shared" si="81"/>
        <v>1.3788589391231569</v>
      </c>
      <c r="O45" s="58">
        <f t="shared" si="81"/>
        <v>2.1535371511163066</v>
      </c>
      <c r="P45" s="58">
        <f t="shared" si="81"/>
        <v>5.4589438531288472</v>
      </c>
      <c r="Q45" s="58">
        <f t="shared" si="81"/>
        <v>3.9023959429730724</v>
      </c>
      <c r="R45" s="58">
        <f t="shared" si="81"/>
        <v>4.3189256396336582</v>
      </c>
      <c r="S45" s="58">
        <f t="shared" si="81"/>
        <v>8.796014617480548</v>
      </c>
      <c r="T45" s="58">
        <f t="shared" si="81"/>
        <v>2.2773097842912957</v>
      </c>
      <c r="U45" s="58">
        <f t="shared" ref="U45" si="82">IFERROR(IF(AND(U46&lt;&gt;0,U47&lt;&gt;0),1/SUM(1/U46,1/U47),IF(AND(U46&lt;&gt;0,U47=0),1/(1/U46),IF(AND(U46=0,U47&lt;&gt;0),1/(1/U47),IF(AND(U46=0,U47=0),".")))),".")</f>
        <v>7.8884957823147479</v>
      </c>
      <c r="V45" s="58">
        <f t="shared" si="81"/>
        <v>0.47896912340144049</v>
      </c>
      <c r="W45" s="58">
        <f t="shared" si="81"/>
        <v>2.5985624560409519</v>
      </c>
      <c r="X45" s="58">
        <f t="shared" si="81"/>
        <v>1.3637916198440352</v>
      </c>
      <c r="Y45" s="58">
        <f t="shared" si="81"/>
        <v>26.260200037121049</v>
      </c>
      <c r="Z45" s="58">
        <f t="shared" si="81"/>
        <v>1.8469364327755586</v>
      </c>
      <c r="AA45" s="58">
        <f t="shared" si="81"/>
        <v>0.13090802342318411</v>
      </c>
      <c r="AB45" s="58">
        <f t="shared" si="81"/>
        <v>0.16680918494797423</v>
      </c>
      <c r="AC45" s="96">
        <f t="shared" ref="AC45" si="83">IFERROR(1/SUM(1/AD45,1/AE45,1/AF45,1/AG45,1/AH45,1/AI45,1/AJ45,1/AK45,1/AL45,1/AM45,1/AN45,1/AO45,1/AP45,1/AQ45,1/AR45,1/AS45,1/AT45,1/AU45,1/AV45,1/AW45,1/AX45,1/AY45,1/AZ45),".")</f>
        <v>5.3324995332092305E-2</v>
      </c>
      <c r="AD45" s="58">
        <f t="shared" ref="AD45:BB45" si="84">IFERROR(IF(AND(AD46&lt;&gt;0,AD47&lt;&gt;0),1/SUM(1/AD46,1/AD47),IF(AND(AD46&lt;&gt;0,AD47=0),1/(1/AD46),IF(AND(AD46=0,AD47&lt;&gt;0),1/(1/AD47),IF(AND(AD46=0,AD47=0),".")))),".")</f>
        <v>3.7959719826400042</v>
      </c>
      <c r="AE45" s="58">
        <f t="shared" si="84"/>
        <v>0.88694112922395474</v>
      </c>
      <c r="AF45" s="58">
        <f t="shared" si="84"/>
        <v>1.5049833653984124</v>
      </c>
      <c r="AG45" s="58">
        <f t="shared" si="84"/>
        <v>25.141804002166555</v>
      </c>
      <c r="AH45" s="58">
        <f t="shared" si="84"/>
        <v>2.7829450874530179</v>
      </c>
      <c r="AI45" s="58">
        <f t="shared" si="84"/>
        <v>0.45938340298889146</v>
      </c>
      <c r="AJ45" s="58">
        <f t="shared" si="84"/>
        <v>1.9997523363352436</v>
      </c>
      <c r="AK45" s="58">
        <f t="shared" si="84"/>
        <v>1.1010181068190443</v>
      </c>
      <c r="AL45" s="58">
        <f t="shared" si="84"/>
        <v>0.77380023702260403</v>
      </c>
      <c r="AM45" s="58">
        <f t="shared" si="84"/>
        <v>1.8498358712863798</v>
      </c>
      <c r="AN45" s="58">
        <f t="shared" si="84"/>
        <v>0.82022644983008164</v>
      </c>
      <c r="AO45" s="58">
        <f t="shared" si="84"/>
        <v>1.3579052564255083</v>
      </c>
      <c r="AP45" s="58">
        <f t="shared" si="84"/>
        <v>3.327451647723676</v>
      </c>
      <c r="AQ45" s="58">
        <f t="shared" si="84"/>
        <v>1.8661889353264156</v>
      </c>
      <c r="AR45" s="58">
        <f t="shared" si="84"/>
        <v>3.138198496321511</v>
      </c>
      <c r="AS45" s="58">
        <f t="shared" si="84"/>
        <v>5.1091714665180952</v>
      </c>
      <c r="AT45" s="58">
        <f t="shared" si="84"/>
        <v>1.5900067310777128</v>
      </c>
      <c r="AU45" s="58">
        <f t="shared" ref="AU45" si="85">IFERROR(IF(AND(AU46&lt;&gt;0,AU47&lt;&gt;0),1/SUM(1/AU46,1/AU47),IF(AND(AU46&lt;&gt;0,AU47=0),1/(1/AU46),IF(AND(AU46=0,AU47&lt;&gt;0),1/(1/AU47),IF(AND(AU46=0,AU47=0),".")))),".")</f>
        <v>3.8420748419348607</v>
      </c>
      <c r="AV45" s="58">
        <f t="shared" si="84"/>
        <v>0.26485250343395328</v>
      </c>
      <c r="AW45" s="58">
        <f t="shared" si="84"/>
        <v>1.5880987943226395</v>
      </c>
      <c r="AX45" s="58">
        <f t="shared" si="84"/>
        <v>0.83893521627577461</v>
      </c>
      <c r="AY45" s="58">
        <f t="shared" si="84"/>
        <v>16.601666517579439</v>
      </c>
      <c r="AZ45" s="58">
        <f t="shared" si="84"/>
        <v>0.97348093319783291</v>
      </c>
      <c r="BA45" s="58">
        <f t="shared" si="84"/>
        <v>9.4764027432682238E-2</v>
      </c>
      <c r="BB45" s="58">
        <f t="shared" si="84"/>
        <v>8.6397039230888456E-2</v>
      </c>
    </row>
    <row r="46" spans="1:54" x14ac:dyDescent="0.25">
      <c r="A46" s="190" t="s">
        <v>1098</v>
      </c>
      <c r="B46" s="191">
        <v>1</v>
      </c>
      <c r="C46" s="60">
        <f>IFERROR(C10/$B46,0)</f>
        <v>8.9501348354362797E-2</v>
      </c>
      <c r="D46" s="60">
        <f>IFERROR(D10/$B46,0)</f>
        <v>6.716286763420749</v>
      </c>
      <c r="E46" s="60">
        <f t="shared" ref="E46:AB46" si="86">IFERROR(E10/$B46,0)</f>
        <v>1.457045033444619</v>
      </c>
      <c r="F46" s="60">
        <f t="shared" si="86"/>
        <v>2.5060883222711685</v>
      </c>
      <c r="G46" s="60">
        <f t="shared" si="86"/>
        <v>39.73186642829431</v>
      </c>
      <c r="H46" s="60">
        <f t="shared" si="86"/>
        <v>5.0401509839797685</v>
      </c>
      <c r="I46" s="60">
        <f t="shared" si="86"/>
        <v>0.71752743844553279</v>
      </c>
      <c r="J46" s="60">
        <f t="shared" si="86"/>
        <v>2.8874007501743528</v>
      </c>
      <c r="K46" s="60">
        <f t="shared" si="86"/>
        <v>1.7424067433056747</v>
      </c>
      <c r="L46" s="60">
        <f t="shared" si="86"/>
        <v>1.7173157434219639</v>
      </c>
      <c r="M46" s="60">
        <f t="shared" si="86"/>
        <v>2.0266690382347821</v>
      </c>
      <c r="N46" s="60">
        <f t="shared" si="86"/>
        <v>1.3788589391231569</v>
      </c>
      <c r="O46" s="60">
        <f t="shared" si="86"/>
        <v>2.1535371511163066</v>
      </c>
      <c r="P46" s="60">
        <f t="shared" si="86"/>
        <v>5.4589438531288472</v>
      </c>
      <c r="Q46" s="60">
        <f t="shared" si="86"/>
        <v>3.9023959429730724</v>
      </c>
      <c r="R46" s="60">
        <f t="shared" si="86"/>
        <v>4.3189256396336582</v>
      </c>
      <c r="S46" s="60">
        <f t="shared" si="86"/>
        <v>8.796014617480548</v>
      </c>
      <c r="T46" s="60">
        <f t="shared" si="86"/>
        <v>2.2773097842912957</v>
      </c>
      <c r="U46" s="60">
        <f t="shared" ref="U46" si="87">IFERROR(U10/$B46,0)</f>
        <v>7.8884957823147479</v>
      </c>
      <c r="V46" s="60">
        <f t="shared" si="86"/>
        <v>0.47896912340144054</v>
      </c>
      <c r="W46" s="60">
        <f t="shared" si="86"/>
        <v>2.5985624560409519</v>
      </c>
      <c r="X46" s="60">
        <f t="shared" si="86"/>
        <v>1.3637916198440352</v>
      </c>
      <c r="Y46" s="60">
        <f t="shared" si="86"/>
        <v>26.260200037121049</v>
      </c>
      <c r="Z46" s="60">
        <f t="shared" si="86"/>
        <v>1.8469364327755586</v>
      </c>
      <c r="AA46" s="60">
        <f t="shared" si="86"/>
        <v>0.13090802342318411</v>
      </c>
      <c r="AB46" s="60">
        <f t="shared" si="86"/>
        <v>0.16680918494797423</v>
      </c>
      <c r="AC46" s="60">
        <f>IFERROR(AC10/$B46,0)</f>
        <v>5.3324995332092305E-2</v>
      </c>
      <c r="AD46" s="60">
        <f>IFERROR(AD10/$B46,0)</f>
        <v>3.7959719826400047</v>
      </c>
      <c r="AE46" s="60">
        <f t="shared" ref="AE46:BB46" si="88">IFERROR(AE10/$B46,0)</f>
        <v>0.88694112922395474</v>
      </c>
      <c r="AF46" s="60">
        <f t="shared" si="88"/>
        <v>1.5049833653984124</v>
      </c>
      <c r="AG46" s="60">
        <f t="shared" si="88"/>
        <v>25.141804002166559</v>
      </c>
      <c r="AH46" s="60">
        <f t="shared" si="88"/>
        <v>2.7829450874530179</v>
      </c>
      <c r="AI46" s="60">
        <f t="shared" si="88"/>
        <v>0.45938340298889152</v>
      </c>
      <c r="AJ46" s="60">
        <f t="shared" si="88"/>
        <v>1.9997523363352434</v>
      </c>
      <c r="AK46" s="60">
        <f t="shared" si="88"/>
        <v>1.1010181068190443</v>
      </c>
      <c r="AL46" s="60">
        <f t="shared" si="88"/>
        <v>0.77380023702260403</v>
      </c>
      <c r="AM46" s="60">
        <f t="shared" si="88"/>
        <v>1.8498358712863798</v>
      </c>
      <c r="AN46" s="60">
        <f t="shared" si="88"/>
        <v>0.82022644983008164</v>
      </c>
      <c r="AO46" s="60">
        <f t="shared" si="88"/>
        <v>1.3579052564255083</v>
      </c>
      <c r="AP46" s="60">
        <f t="shared" si="88"/>
        <v>3.327451647723676</v>
      </c>
      <c r="AQ46" s="60">
        <f t="shared" si="88"/>
        <v>1.8661889353264158</v>
      </c>
      <c r="AR46" s="60">
        <f t="shared" si="88"/>
        <v>3.138198496321511</v>
      </c>
      <c r="AS46" s="60">
        <f t="shared" si="88"/>
        <v>5.1091714665180952</v>
      </c>
      <c r="AT46" s="60">
        <f t="shared" si="88"/>
        <v>1.5900067310777128</v>
      </c>
      <c r="AU46" s="60">
        <f t="shared" ref="AU46" si="89">IFERROR(AU10/$B46,0)</f>
        <v>3.8420748419348612</v>
      </c>
      <c r="AV46" s="60">
        <f t="shared" si="88"/>
        <v>0.26485250343395328</v>
      </c>
      <c r="AW46" s="60">
        <f t="shared" si="88"/>
        <v>1.5880987943226395</v>
      </c>
      <c r="AX46" s="60">
        <f t="shared" si="88"/>
        <v>0.83893521627577472</v>
      </c>
      <c r="AY46" s="60">
        <f t="shared" si="88"/>
        <v>16.601666517579439</v>
      </c>
      <c r="AZ46" s="60">
        <f t="shared" si="88"/>
        <v>0.97348093319783291</v>
      </c>
      <c r="BA46" s="60">
        <f t="shared" si="88"/>
        <v>9.4764027432682238E-2</v>
      </c>
      <c r="BB46" s="60">
        <f t="shared" si="88"/>
        <v>8.6397039230888456E-2</v>
      </c>
    </row>
    <row r="47" spans="1:54" x14ac:dyDescent="0.25">
      <c r="A47" s="190" t="s">
        <v>1072</v>
      </c>
      <c r="B47" s="193">
        <v>0.94399</v>
      </c>
      <c r="C47" s="60">
        <f>IFERROR(C6/$B$47,0)</f>
        <v>0</v>
      </c>
      <c r="D47" s="60">
        <f>IFERROR(D6/$B$47,0)</f>
        <v>0</v>
      </c>
      <c r="E47" s="60">
        <f t="shared" ref="E47:AB47" si="90">IFERROR(E6/$B$47,0)</f>
        <v>0</v>
      </c>
      <c r="F47" s="60">
        <f t="shared" si="90"/>
        <v>0</v>
      </c>
      <c r="G47" s="60">
        <f t="shared" si="90"/>
        <v>0</v>
      </c>
      <c r="H47" s="60">
        <f t="shared" si="90"/>
        <v>0</v>
      </c>
      <c r="I47" s="60">
        <f t="shared" si="90"/>
        <v>0</v>
      </c>
      <c r="J47" s="60">
        <f t="shared" si="90"/>
        <v>0</v>
      </c>
      <c r="K47" s="60">
        <f t="shared" si="90"/>
        <v>0</v>
      </c>
      <c r="L47" s="60">
        <f t="shared" si="90"/>
        <v>0</v>
      </c>
      <c r="M47" s="60">
        <f t="shared" si="90"/>
        <v>0</v>
      </c>
      <c r="N47" s="60">
        <f t="shared" si="90"/>
        <v>0</v>
      </c>
      <c r="O47" s="60">
        <f t="shared" si="90"/>
        <v>0</v>
      </c>
      <c r="P47" s="60">
        <f t="shared" si="90"/>
        <v>0</v>
      </c>
      <c r="Q47" s="60">
        <f t="shared" si="90"/>
        <v>0</v>
      </c>
      <c r="R47" s="60">
        <f t="shared" si="90"/>
        <v>0</v>
      </c>
      <c r="S47" s="60">
        <f t="shared" si="90"/>
        <v>0</v>
      </c>
      <c r="T47" s="60">
        <f t="shared" si="90"/>
        <v>0</v>
      </c>
      <c r="U47" s="60">
        <f t="shared" ref="U47" si="91">IFERROR(U6/$B$47,0)</f>
        <v>0</v>
      </c>
      <c r="V47" s="60">
        <f t="shared" si="90"/>
        <v>0</v>
      </c>
      <c r="W47" s="60">
        <f t="shared" si="90"/>
        <v>0</v>
      </c>
      <c r="X47" s="60">
        <f t="shared" si="90"/>
        <v>0</v>
      </c>
      <c r="Y47" s="60">
        <f t="shared" si="90"/>
        <v>0</v>
      </c>
      <c r="Z47" s="60">
        <f t="shared" si="90"/>
        <v>0</v>
      </c>
      <c r="AA47" s="60">
        <f t="shared" si="90"/>
        <v>0</v>
      </c>
      <c r="AB47" s="60">
        <f t="shared" si="90"/>
        <v>0</v>
      </c>
      <c r="AC47" s="60">
        <f>IFERROR(AC6/$B$47,0)</f>
        <v>0</v>
      </c>
      <c r="AD47" s="60">
        <f>IFERROR(AD6/$B$47,0)</f>
        <v>0</v>
      </c>
      <c r="AE47" s="60">
        <f t="shared" ref="AE47:BB47" si="92">IFERROR(AE6/$B$47,0)</f>
        <v>0</v>
      </c>
      <c r="AF47" s="60">
        <f t="shared" si="92"/>
        <v>0</v>
      </c>
      <c r="AG47" s="60">
        <f t="shared" si="92"/>
        <v>0</v>
      </c>
      <c r="AH47" s="60">
        <f t="shared" si="92"/>
        <v>0</v>
      </c>
      <c r="AI47" s="60">
        <f t="shared" si="92"/>
        <v>0</v>
      </c>
      <c r="AJ47" s="60">
        <f t="shared" si="92"/>
        <v>0</v>
      </c>
      <c r="AK47" s="60">
        <f t="shared" si="92"/>
        <v>0</v>
      </c>
      <c r="AL47" s="60">
        <f t="shared" si="92"/>
        <v>0</v>
      </c>
      <c r="AM47" s="60">
        <f t="shared" si="92"/>
        <v>0</v>
      </c>
      <c r="AN47" s="60">
        <f t="shared" si="92"/>
        <v>0</v>
      </c>
      <c r="AO47" s="60">
        <f t="shared" si="92"/>
        <v>0</v>
      </c>
      <c r="AP47" s="60">
        <f t="shared" si="92"/>
        <v>0</v>
      </c>
      <c r="AQ47" s="60">
        <f t="shared" si="92"/>
        <v>0</v>
      </c>
      <c r="AR47" s="60">
        <f t="shared" si="92"/>
        <v>0</v>
      </c>
      <c r="AS47" s="60">
        <f t="shared" si="92"/>
        <v>0</v>
      </c>
      <c r="AT47" s="60">
        <f t="shared" si="92"/>
        <v>0</v>
      </c>
      <c r="AU47" s="60">
        <f t="shared" ref="AU47" si="93">IFERROR(AU6/$B$47,0)</f>
        <v>0</v>
      </c>
      <c r="AV47" s="60">
        <f t="shared" si="92"/>
        <v>0</v>
      </c>
      <c r="AW47" s="60">
        <f t="shared" si="92"/>
        <v>0</v>
      </c>
      <c r="AX47" s="60">
        <f t="shared" si="92"/>
        <v>0</v>
      </c>
      <c r="AY47" s="60">
        <f t="shared" si="92"/>
        <v>0</v>
      </c>
      <c r="AZ47" s="60">
        <f t="shared" si="92"/>
        <v>0</v>
      </c>
      <c r="BA47" s="60">
        <f t="shared" si="92"/>
        <v>0</v>
      </c>
      <c r="BB47" s="60">
        <f t="shared" si="92"/>
        <v>0</v>
      </c>
    </row>
    <row r="48" spans="1:54" x14ac:dyDescent="0.25">
      <c r="A48" s="95" t="s">
        <v>33</v>
      </c>
      <c r="B48" s="95" t="s">
        <v>1071</v>
      </c>
      <c r="C48" s="96">
        <f t="shared" ref="C48" si="94">IFERROR(1/SUM(1/D48,1/E48,1/F48,1/G48,1/H48,1/I48,1/J48,1/K48,1/L48,1/M48,1/N48,1/O48,1/P48,1/Q48,1/R48,1/S48,1/T48,1/U48,1/V48,1/W48,1/X48,1/Y48,1/Z48),".")</f>
        <v>2.1155248444371939E-3</v>
      </c>
      <c r="D48" s="58">
        <f>1/SUM(1/D49,1/D52,1/D54,1/D58,1/D59,1/D61)</f>
        <v>7.7399942721317741E-2</v>
      </c>
      <c r="E48" s="58">
        <f t="shared" ref="E48:AB48" si="95">1/SUM(1/E49,1/E52,1/E54,1/E58,1/E59,1/E61)</f>
        <v>2.0537441992169669E-2</v>
      </c>
      <c r="F48" s="58">
        <f t="shared" si="95"/>
        <v>5.7525385043035789E-2</v>
      </c>
      <c r="G48" s="58">
        <f t="shared" si="95"/>
        <v>0.17387242287977278</v>
      </c>
      <c r="H48" s="58">
        <f t="shared" si="95"/>
        <v>0.12883911334400167</v>
      </c>
      <c r="I48" s="58">
        <f t="shared" si="95"/>
        <v>1.0111586559991555E-2</v>
      </c>
      <c r="J48" s="58">
        <f t="shared" si="95"/>
        <v>6.6370638481957622E-2</v>
      </c>
      <c r="K48" s="58">
        <f t="shared" si="95"/>
        <v>2.0082103237020445E-2</v>
      </c>
      <c r="L48" s="58">
        <f t="shared" si="95"/>
        <v>0.41786423801318956</v>
      </c>
      <c r="M48" s="58">
        <f t="shared" si="95"/>
        <v>5.6233297441427146E-2</v>
      </c>
      <c r="N48" s="58">
        <f t="shared" si="95"/>
        <v>1.7830661373870588E-2</v>
      </c>
      <c r="O48" s="58">
        <f t="shared" si="95"/>
        <v>0.11551741733917666</v>
      </c>
      <c r="P48" s="58">
        <f t="shared" si="95"/>
        <v>0.15091228249452251</v>
      </c>
      <c r="Q48" s="58">
        <f t="shared" si="95"/>
        <v>8.9701614965946169E-2</v>
      </c>
      <c r="R48" s="58">
        <f t="shared" si="95"/>
        <v>4.9790691467881204E-2</v>
      </c>
      <c r="S48" s="58">
        <f t="shared" si="95"/>
        <v>0.10136717676749649</v>
      </c>
      <c r="T48" s="58">
        <f t="shared" si="95"/>
        <v>0.21263346003782435</v>
      </c>
      <c r="U48" s="58">
        <f t="shared" ref="U48" si="96">1/SUM(1/U49,1/U52,1/U54,1/U58,1/U59,1/U61)</f>
        <v>0.18517444227154886</v>
      </c>
      <c r="V48" s="58">
        <f t="shared" si="95"/>
        <v>6.4218478091261799E-2</v>
      </c>
      <c r="W48" s="58">
        <f t="shared" si="95"/>
        <v>7.1982141305412958E-2</v>
      </c>
      <c r="X48" s="58">
        <f t="shared" si="95"/>
        <v>6.5217091234860414E-2</v>
      </c>
      <c r="Y48" s="58">
        <f t="shared" si="95"/>
        <v>0.15383445199743687</v>
      </c>
      <c r="Z48" s="58">
        <f t="shared" si="95"/>
        <v>4.4666899388192294E-2</v>
      </c>
      <c r="AA48" s="58">
        <f t="shared" si="95"/>
        <v>1.3204845803356684E-3</v>
      </c>
      <c r="AB48" s="58">
        <f t="shared" si="95"/>
        <v>1.7167797001053687E-3</v>
      </c>
      <c r="AC48" s="96">
        <f t="shared" ref="AC48" si="97">IFERROR(1/SUM(1/AD48,1/AE48,1/AF48,1/AG48,1/AH48,1/AI48,1/AJ48,1/AK48,1/AL48,1/AM48,1/AN48,1/AO48,1/AP48,1/AQ48,1/AR48,1/AS48,1/AT48,1/AU48,1/AV48,1/AW48,1/AX48,1/AY48,1/AZ48),".")</f>
        <v>1.302116616963239E-3</v>
      </c>
      <c r="AD48" s="58">
        <f>1/SUM(1/AD49,1/AD52,1/AD54,1/AD58,1/AD59,1/AD61)</f>
        <v>4.3745602946593153E-2</v>
      </c>
      <c r="AE48" s="58">
        <f t="shared" ref="AE48" si="98">1/SUM(1/AE49,1/AE52,1/AE54,1/AE58,1/AE59,1/AE61)</f>
        <v>1.2501673986591154E-2</v>
      </c>
      <c r="AF48" s="58">
        <f t="shared" ref="AF48" si="99">1/SUM(1/AF49,1/AF52,1/AF54,1/AF58,1/AF59,1/AF61)</f>
        <v>3.454576872192925E-2</v>
      </c>
      <c r="AG48" s="58">
        <f t="shared" ref="AG48" si="100">1/SUM(1/AG49,1/AG52,1/AG54,1/AG58,1/AG59,1/AG61)</f>
        <v>0.11002418890424964</v>
      </c>
      <c r="AH48" s="58">
        <f t="shared" ref="AH48" si="101">1/SUM(1/AH49,1/AH52,1/AH54,1/AH58,1/AH59,1/AH61)</f>
        <v>7.1139173943827863E-2</v>
      </c>
      <c r="AI48" s="58">
        <f t="shared" ref="AI48" si="102">1/SUM(1/AI49,1/AI52,1/AI54,1/AI58,1/AI59,1/AI61)</f>
        <v>6.4737524931574699E-3</v>
      </c>
      <c r="AJ48" s="58">
        <f t="shared" ref="AJ48" si="103">1/SUM(1/AJ49,1/AJ52,1/AJ54,1/AJ58,1/AJ59,1/AJ61)</f>
        <v>4.5966892320140215E-2</v>
      </c>
      <c r="AK48" s="58">
        <f t="shared" ref="AK48" si="104">1/SUM(1/AK49,1/AK52,1/AK54,1/AK58,1/AK59,1/AK61)</f>
        <v>1.2689780599115774E-2</v>
      </c>
      <c r="AL48" s="58">
        <f t="shared" ref="AL48" si="105">1/SUM(1/AL49,1/AL52,1/AL54,1/AL58,1/AL59,1/AL61)</f>
        <v>0.18828421486055563</v>
      </c>
      <c r="AM48" s="58">
        <f t="shared" ref="AM48" si="106">1/SUM(1/AM49,1/AM52,1/AM54,1/AM58,1/AM59,1/AM61)</f>
        <v>5.1326767619873176E-2</v>
      </c>
      <c r="AN48" s="58">
        <f t="shared" ref="AN48" si="107">1/SUM(1/AN49,1/AN52,1/AN54,1/AN58,1/AN59,1/AN61)</f>
        <v>1.0606726810004706E-2</v>
      </c>
      <c r="AO48" s="58">
        <f t="shared" ref="AO48" si="108">1/SUM(1/AO49,1/AO52,1/AO54,1/AO58,1/AO59,1/AO61)</f>
        <v>7.2839100143805929E-2</v>
      </c>
      <c r="AP48" s="58">
        <f t="shared" ref="AP48" si="109">1/SUM(1/AP49,1/AP52,1/AP54,1/AP58,1/AP59,1/AP61)</f>
        <v>9.1987266504000673E-2</v>
      </c>
      <c r="AQ48" s="58">
        <f t="shared" ref="AQ48" si="110">1/SUM(1/AQ49,1/AQ52,1/AQ54,1/AQ58,1/AQ59,1/AQ61)</f>
        <v>4.289676490459448E-2</v>
      </c>
      <c r="AR48" s="58">
        <f t="shared" ref="AR48" si="111">1/SUM(1/AR49,1/AR52,1/AR54,1/AR58,1/AR59,1/AR61)</f>
        <v>3.6178690288487317E-2</v>
      </c>
      <c r="AS48" s="58">
        <f t="shared" ref="AS48" si="112">1/SUM(1/AS49,1/AS52,1/AS54,1/AS58,1/AS59,1/AS61)</f>
        <v>5.8879198103280593E-2</v>
      </c>
      <c r="AT48" s="58">
        <f t="shared" ref="AT48:AU48" si="113">1/SUM(1/AT49,1/AT52,1/AT54,1/AT58,1/AT59,1/AT61)</f>
        <v>0.1484596584288152</v>
      </c>
      <c r="AU48" s="58">
        <f t="shared" si="113"/>
        <v>9.0188812373564173E-2</v>
      </c>
      <c r="AV48" s="58">
        <f t="shared" ref="AV48" si="114">1/SUM(1/AV49,1/AV52,1/AV54,1/AV58,1/AV59,1/AV61)</f>
        <v>3.5510482530486255E-2</v>
      </c>
      <c r="AW48" s="58">
        <f t="shared" ref="AW48" si="115">1/SUM(1/AW49,1/AW52,1/AW54,1/AW58,1/AW59,1/AW61)</f>
        <v>4.3991535225230929E-2</v>
      </c>
      <c r="AX48" s="58">
        <f t="shared" ref="AX48" si="116">1/SUM(1/AX49,1/AX52,1/AX54,1/AX58,1/AX59,1/AX61)</f>
        <v>4.0118236352157381E-2</v>
      </c>
      <c r="AY48" s="58">
        <f t="shared" ref="AY48" si="117">1/SUM(1/AY49,1/AY52,1/AY54,1/AY58,1/AY59,1/AY61)</f>
        <v>9.7253953411088265E-2</v>
      </c>
      <c r="AZ48" s="58">
        <f t="shared" ref="AZ48" si="118">1/SUM(1/AZ49,1/AZ52,1/AZ54,1/AZ58,1/AZ59,1/AZ61)</f>
        <v>2.3542973178630869E-2</v>
      </c>
      <c r="BA48" s="58">
        <f t="shared" ref="BA48" si="119">1/SUM(1/BA49,1/BA52,1/BA54,1/BA58,1/BA59,1/BA61)</f>
        <v>8.6973703050489373E-4</v>
      </c>
      <c r="BB48" s="58">
        <f t="shared" ref="BB48" si="120">1/SUM(1/BB49,1/BB52,1/BB54,1/BB58,1/BB59,1/BB61)</f>
        <v>8.8918774554924641E-4</v>
      </c>
    </row>
    <row r="49" spans="1:54" x14ac:dyDescent="0.25">
      <c r="A49" s="190" t="s">
        <v>1100</v>
      </c>
      <c r="B49" s="191">
        <v>1</v>
      </c>
      <c r="C49" s="60">
        <f>IFERROR(C23/$B49,0)</f>
        <v>6.853340673828358E-3</v>
      </c>
      <c r="D49" s="60">
        <f>IFERROR(D23/$B49,0)</f>
        <v>0.28627825157967168</v>
      </c>
      <c r="E49" s="60">
        <f t="shared" ref="E49:AB49" si="121">IFERROR(E23/$B49,0)</f>
        <v>6.9836745134106024E-2</v>
      </c>
      <c r="F49" s="60">
        <f t="shared" si="121"/>
        <v>0.10940155309553266</v>
      </c>
      <c r="G49" s="60">
        <f t="shared" si="121"/>
        <v>0.64351005976884479</v>
      </c>
      <c r="H49" s="60">
        <f t="shared" si="121"/>
        <v>0.44756534295083339</v>
      </c>
      <c r="I49" s="60">
        <f t="shared" si="121"/>
        <v>3.4396438416299989E-2</v>
      </c>
      <c r="J49" s="60">
        <f t="shared" si="121"/>
        <v>0.12599849404354749</v>
      </c>
      <c r="K49" s="60">
        <f t="shared" si="121"/>
        <v>7.425372826176245E-2</v>
      </c>
      <c r="L49" s="60">
        <f t="shared" si="121"/>
        <v>1.6251257118310189</v>
      </c>
      <c r="M49" s="60">
        <f t="shared" si="121"/>
        <v>0.18183000527790902</v>
      </c>
      <c r="N49" s="60">
        <f t="shared" si="121"/>
        <v>7.0468894940489177E-2</v>
      </c>
      <c r="O49" s="60">
        <f t="shared" si="121"/>
        <v>0.3846618086353612</v>
      </c>
      <c r="P49" s="60">
        <f t="shared" si="121"/>
        <v>0.4895509990573168</v>
      </c>
      <c r="Q49" s="60">
        <f t="shared" si="121"/>
        <v>0.17029018640608376</v>
      </c>
      <c r="R49" s="60">
        <f t="shared" si="121"/>
        <v>0.18396416083480505</v>
      </c>
      <c r="S49" s="60">
        <f t="shared" si="121"/>
        <v>0.37492557632828638</v>
      </c>
      <c r="T49" s="60">
        <f t="shared" si="121"/>
        <v>0.4689235325496095</v>
      </c>
      <c r="U49" s="60">
        <f t="shared" ref="U49" si="122">IFERROR(U23/$B49,0)</f>
        <v>0.69248377658914184</v>
      </c>
      <c r="V49" s="60">
        <f t="shared" si="121"/>
        <v>0.17451070133076793</v>
      </c>
      <c r="W49" s="60">
        <f t="shared" si="121"/>
        <v>0.2330927385336338</v>
      </c>
      <c r="X49" s="60">
        <f t="shared" si="121"/>
        <v>0.23470022386183795</v>
      </c>
      <c r="Y49" s="60">
        <f t="shared" si="121"/>
        <v>0.56410550182516084</v>
      </c>
      <c r="Z49" s="60">
        <f t="shared" si="121"/>
        <v>0.16280107932849555</v>
      </c>
      <c r="AA49" s="60">
        <f t="shared" si="121"/>
        <v>8.6472925871429688E-3</v>
      </c>
      <c r="AB49" s="60">
        <f t="shared" si="121"/>
        <v>1.2665416491927267E-2</v>
      </c>
      <c r="AC49" s="60">
        <f>IFERROR(AC23/$B49,0)</f>
        <v>4.2110915748236463E-3</v>
      </c>
      <c r="AD49" s="60">
        <f>IFERROR(AD23/$B49,0)</f>
        <v>0.1618013435867825</v>
      </c>
      <c r="AE49" s="60">
        <f t="shared" ref="AE49:BB49" si="123">IFERROR(AE23/$B49,0)</f>
        <v>4.2511439364460696E-2</v>
      </c>
      <c r="AF49" s="60">
        <f t="shared" si="123"/>
        <v>6.5699008328770445E-2</v>
      </c>
      <c r="AG49" s="60">
        <f t="shared" si="123"/>
        <v>0.40720472634553129</v>
      </c>
      <c r="AH49" s="60">
        <f t="shared" si="123"/>
        <v>0.24712548819236851</v>
      </c>
      <c r="AI49" s="60">
        <f t="shared" si="123"/>
        <v>2.2021670648037787E-2</v>
      </c>
      <c r="AJ49" s="60">
        <f t="shared" si="123"/>
        <v>8.7263876627825795E-2</v>
      </c>
      <c r="AK49" s="60">
        <f t="shared" si="123"/>
        <v>4.6920559524418141E-2</v>
      </c>
      <c r="AL49" s="60">
        <f t="shared" si="123"/>
        <v>0.73226060252647607</v>
      </c>
      <c r="AM49" s="60">
        <f t="shared" si="123"/>
        <v>0.16596477268544638</v>
      </c>
      <c r="AN49" s="60">
        <f t="shared" si="123"/>
        <v>4.1919046162360064E-2</v>
      </c>
      <c r="AO49" s="60">
        <f t="shared" si="123"/>
        <v>0.24254714696764951</v>
      </c>
      <c r="AP49" s="60">
        <f t="shared" si="123"/>
        <v>0.29840154474649655</v>
      </c>
      <c r="AQ49" s="60">
        <f t="shared" si="123"/>
        <v>8.1435524818527935E-2</v>
      </c>
      <c r="AR49" s="60">
        <f t="shared" si="123"/>
        <v>0.13367121851113953</v>
      </c>
      <c r="AS49" s="60">
        <f t="shared" si="123"/>
        <v>0.21777579278205067</v>
      </c>
      <c r="AT49" s="60">
        <f t="shared" si="123"/>
        <v>0.32740015357491115</v>
      </c>
      <c r="AU49" s="60">
        <f t="shared" ref="AU49" si="124">IFERROR(AU23/$B49,0)</f>
        <v>0.3372727285277804</v>
      </c>
      <c r="AV49" s="60">
        <f t="shared" si="123"/>
        <v>9.649807026230911E-2</v>
      </c>
      <c r="AW49" s="60">
        <f t="shared" si="123"/>
        <v>0.14245349238001623</v>
      </c>
      <c r="AX49" s="60">
        <f t="shared" si="123"/>
        <v>0.14437563642458903</v>
      </c>
      <c r="AY49" s="60">
        <f t="shared" si="123"/>
        <v>0.35662681201189472</v>
      </c>
      <c r="AZ49" s="60">
        <f t="shared" si="123"/>
        <v>8.5808988234722508E-2</v>
      </c>
      <c r="BA49" s="60">
        <f t="shared" si="123"/>
        <v>6.8818888524562983E-3</v>
      </c>
      <c r="BB49" s="60">
        <f t="shared" si="123"/>
        <v>6.5599174641963907E-3</v>
      </c>
    </row>
    <row r="50" spans="1:54" x14ac:dyDescent="0.25">
      <c r="A50" s="190" t="s">
        <v>1087</v>
      </c>
      <c r="B50" s="191">
        <v>1</v>
      </c>
      <c r="C50" s="60">
        <f>IFERROR(C25/$B50,0)</f>
        <v>0</v>
      </c>
      <c r="D50" s="60">
        <f>IFERROR(D25/$B50,0)</f>
        <v>0</v>
      </c>
      <c r="E50" s="60">
        <f t="shared" ref="E50:AB50" si="125">IFERROR(E25/$B50,0)</f>
        <v>0</v>
      </c>
      <c r="F50" s="60">
        <f t="shared" si="125"/>
        <v>0</v>
      </c>
      <c r="G50" s="60">
        <f t="shared" si="125"/>
        <v>0</v>
      </c>
      <c r="H50" s="60">
        <f t="shared" si="125"/>
        <v>0</v>
      </c>
      <c r="I50" s="60">
        <f t="shared" si="125"/>
        <v>0</v>
      </c>
      <c r="J50" s="60">
        <f t="shared" si="125"/>
        <v>0</v>
      </c>
      <c r="K50" s="60">
        <f t="shared" si="125"/>
        <v>0</v>
      </c>
      <c r="L50" s="60">
        <f t="shared" si="125"/>
        <v>0</v>
      </c>
      <c r="M50" s="60">
        <f t="shared" si="125"/>
        <v>0</v>
      </c>
      <c r="N50" s="60">
        <f t="shared" si="125"/>
        <v>0</v>
      </c>
      <c r="O50" s="60">
        <f t="shared" si="125"/>
        <v>0</v>
      </c>
      <c r="P50" s="60">
        <f t="shared" si="125"/>
        <v>0</v>
      </c>
      <c r="Q50" s="60">
        <f t="shared" si="125"/>
        <v>0</v>
      </c>
      <c r="R50" s="60">
        <f t="shared" si="125"/>
        <v>0</v>
      </c>
      <c r="S50" s="60">
        <f t="shared" si="125"/>
        <v>0</v>
      </c>
      <c r="T50" s="60">
        <f t="shared" si="125"/>
        <v>0</v>
      </c>
      <c r="U50" s="60">
        <f t="shared" ref="U50" si="126">IFERROR(U25/$B50,0)</f>
        <v>0</v>
      </c>
      <c r="V50" s="60">
        <f t="shared" si="125"/>
        <v>0</v>
      </c>
      <c r="W50" s="60">
        <f t="shared" si="125"/>
        <v>0</v>
      </c>
      <c r="X50" s="60">
        <f t="shared" si="125"/>
        <v>0</v>
      </c>
      <c r="Y50" s="60">
        <f t="shared" si="125"/>
        <v>0</v>
      </c>
      <c r="Z50" s="60">
        <f t="shared" si="125"/>
        <v>0</v>
      </c>
      <c r="AA50" s="60">
        <f t="shared" si="125"/>
        <v>0</v>
      </c>
      <c r="AB50" s="60">
        <f t="shared" si="125"/>
        <v>0</v>
      </c>
      <c r="AC50" s="60">
        <f>IFERROR(AC25/$B50,0)</f>
        <v>0</v>
      </c>
      <c r="AD50" s="60">
        <f>IFERROR(AD25/$B50,0)</f>
        <v>0</v>
      </c>
      <c r="AE50" s="60">
        <f t="shared" ref="AE50:BB50" si="127">IFERROR(AE25/$B50,0)</f>
        <v>0</v>
      </c>
      <c r="AF50" s="60">
        <f t="shared" si="127"/>
        <v>0</v>
      </c>
      <c r="AG50" s="60">
        <f t="shared" si="127"/>
        <v>0</v>
      </c>
      <c r="AH50" s="60">
        <f t="shared" si="127"/>
        <v>0</v>
      </c>
      <c r="AI50" s="60">
        <f t="shared" si="127"/>
        <v>0</v>
      </c>
      <c r="AJ50" s="60">
        <f t="shared" si="127"/>
        <v>0</v>
      </c>
      <c r="AK50" s="60">
        <f t="shared" si="127"/>
        <v>0</v>
      </c>
      <c r="AL50" s="60">
        <f t="shared" si="127"/>
        <v>0</v>
      </c>
      <c r="AM50" s="60">
        <f t="shared" si="127"/>
        <v>0</v>
      </c>
      <c r="AN50" s="60">
        <f t="shared" si="127"/>
        <v>0</v>
      </c>
      <c r="AO50" s="60">
        <f t="shared" si="127"/>
        <v>0</v>
      </c>
      <c r="AP50" s="60">
        <f t="shared" si="127"/>
        <v>0</v>
      </c>
      <c r="AQ50" s="60">
        <f t="shared" si="127"/>
        <v>0</v>
      </c>
      <c r="AR50" s="60">
        <f t="shared" si="127"/>
        <v>0</v>
      </c>
      <c r="AS50" s="60">
        <f t="shared" si="127"/>
        <v>0</v>
      </c>
      <c r="AT50" s="60">
        <f t="shared" si="127"/>
        <v>0</v>
      </c>
      <c r="AU50" s="60">
        <f t="shared" ref="AU50" si="128">IFERROR(AU25/$B50,0)</f>
        <v>0</v>
      </c>
      <c r="AV50" s="60">
        <f t="shared" si="127"/>
        <v>0</v>
      </c>
      <c r="AW50" s="60">
        <f t="shared" si="127"/>
        <v>0</v>
      </c>
      <c r="AX50" s="60">
        <f t="shared" si="127"/>
        <v>0</v>
      </c>
      <c r="AY50" s="60">
        <f t="shared" si="127"/>
        <v>0</v>
      </c>
      <c r="AZ50" s="60">
        <f t="shared" si="127"/>
        <v>0</v>
      </c>
      <c r="BA50" s="60">
        <f t="shared" si="127"/>
        <v>0</v>
      </c>
      <c r="BB50" s="60">
        <f t="shared" si="127"/>
        <v>0</v>
      </c>
    </row>
    <row r="51" spans="1:54" x14ac:dyDescent="0.25">
      <c r="A51" s="190" t="s">
        <v>1073</v>
      </c>
      <c r="B51" s="191">
        <v>1</v>
      </c>
      <c r="C51" s="60">
        <f>IFERROR(C21/$B51,0)</f>
        <v>0</v>
      </c>
      <c r="D51" s="60">
        <f>IFERROR(D21/$B51,0)</f>
        <v>0</v>
      </c>
      <c r="E51" s="60">
        <f t="shared" ref="E51:AB51" si="129">IFERROR(E21/$B51,0)</f>
        <v>0</v>
      </c>
      <c r="F51" s="60">
        <f t="shared" si="129"/>
        <v>0</v>
      </c>
      <c r="G51" s="60">
        <f t="shared" si="129"/>
        <v>0</v>
      </c>
      <c r="H51" s="60">
        <f t="shared" si="129"/>
        <v>0</v>
      </c>
      <c r="I51" s="60">
        <f t="shared" si="129"/>
        <v>0</v>
      </c>
      <c r="J51" s="60">
        <f t="shared" si="129"/>
        <v>0</v>
      </c>
      <c r="K51" s="60">
        <f t="shared" si="129"/>
        <v>0</v>
      </c>
      <c r="L51" s="60">
        <f t="shared" si="129"/>
        <v>0</v>
      </c>
      <c r="M51" s="60">
        <f t="shared" si="129"/>
        <v>0</v>
      </c>
      <c r="N51" s="60">
        <f t="shared" si="129"/>
        <v>0</v>
      </c>
      <c r="O51" s="60">
        <f t="shared" si="129"/>
        <v>0</v>
      </c>
      <c r="P51" s="60">
        <f t="shared" si="129"/>
        <v>0</v>
      </c>
      <c r="Q51" s="60">
        <f t="shared" si="129"/>
        <v>0</v>
      </c>
      <c r="R51" s="60">
        <f t="shared" si="129"/>
        <v>0</v>
      </c>
      <c r="S51" s="60">
        <f t="shared" si="129"/>
        <v>0</v>
      </c>
      <c r="T51" s="60">
        <f t="shared" si="129"/>
        <v>0</v>
      </c>
      <c r="U51" s="60">
        <f t="shared" ref="U51" si="130">IFERROR(U21/$B51,0)</f>
        <v>0</v>
      </c>
      <c r="V51" s="60">
        <f t="shared" si="129"/>
        <v>0</v>
      </c>
      <c r="W51" s="60">
        <f t="shared" si="129"/>
        <v>0</v>
      </c>
      <c r="X51" s="60">
        <f t="shared" si="129"/>
        <v>0</v>
      </c>
      <c r="Y51" s="60">
        <f t="shared" si="129"/>
        <v>0</v>
      </c>
      <c r="Z51" s="60">
        <f t="shared" si="129"/>
        <v>0</v>
      </c>
      <c r="AA51" s="60">
        <f t="shared" si="129"/>
        <v>0</v>
      </c>
      <c r="AB51" s="60">
        <f t="shared" si="129"/>
        <v>0</v>
      </c>
      <c r="AC51" s="60">
        <f>IFERROR(AC21/$B51,0)</f>
        <v>0</v>
      </c>
      <c r="AD51" s="60">
        <f>IFERROR(AD21/$B51,0)</f>
        <v>0</v>
      </c>
      <c r="AE51" s="60">
        <f t="shared" ref="AE51:BB51" si="131">IFERROR(AE21/$B51,0)</f>
        <v>0</v>
      </c>
      <c r="AF51" s="60">
        <f t="shared" si="131"/>
        <v>0</v>
      </c>
      <c r="AG51" s="60">
        <f t="shared" si="131"/>
        <v>0</v>
      </c>
      <c r="AH51" s="60">
        <f t="shared" si="131"/>
        <v>0</v>
      </c>
      <c r="AI51" s="60">
        <f t="shared" si="131"/>
        <v>0</v>
      </c>
      <c r="AJ51" s="60">
        <f t="shared" si="131"/>
        <v>0</v>
      </c>
      <c r="AK51" s="60">
        <f t="shared" si="131"/>
        <v>0</v>
      </c>
      <c r="AL51" s="60">
        <f t="shared" si="131"/>
        <v>0</v>
      </c>
      <c r="AM51" s="60">
        <f t="shared" si="131"/>
        <v>0</v>
      </c>
      <c r="AN51" s="60">
        <f t="shared" si="131"/>
        <v>0</v>
      </c>
      <c r="AO51" s="60">
        <f t="shared" si="131"/>
        <v>0</v>
      </c>
      <c r="AP51" s="60">
        <f t="shared" si="131"/>
        <v>0</v>
      </c>
      <c r="AQ51" s="60">
        <f t="shared" si="131"/>
        <v>0</v>
      </c>
      <c r="AR51" s="60">
        <f t="shared" si="131"/>
        <v>0</v>
      </c>
      <c r="AS51" s="60">
        <f t="shared" si="131"/>
        <v>0</v>
      </c>
      <c r="AT51" s="60">
        <f t="shared" si="131"/>
        <v>0</v>
      </c>
      <c r="AU51" s="60">
        <f t="shared" ref="AU51" si="132">IFERROR(AU21/$B51,0)</f>
        <v>0</v>
      </c>
      <c r="AV51" s="60">
        <f t="shared" si="131"/>
        <v>0</v>
      </c>
      <c r="AW51" s="60">
        <f t="shared" si="131"/>
        <v>0</v>
      </c>
      <c r="AX51" s="60">
        <f t="shared" si="131"/>
        <v>0</v>
      </c>
      <c r="AY51" s="60">
        <f t="shared" si="131"/>
        <v>0</v>
      </c>
      <c r="AZ51" s="60">
        <f t="shared" si="131"/>
        <v>0</v>
      </c>
      <c r="BA51" s="60">
        <f t="shared" si="131"/>
        <v>0</v>
      </c>
      <c r="BB51" s="60">
        <f t="shared" si="131"/>
        <v>0</v>
      </c>
    </row>
    <row r="52" spans="1:54" x14ac:dyDescent="0.25">
      <c r="A52" s="190" t="s">
        <v>1074</v>
      </c>
      <c r="B52" s="193">
        <v>0.99980000000000002</v>
      </c>
      <c r="C52" s="60">
        <f>IFERROR(C17/$B52,0)</f>
        <v>9.7308772721176364</v>
      </c>
      <c r="D52" s="60">
        <f>IFERROR(D17/$B52,0)</f>
        <v>303.82165722895991</v>
      </c>
      <c r="E52" s="60">
        <f t="shared" ref="E52:AB52" si="133">IFERROR(E17/$B52,0)</f>
        <v>84.297360197003329</v>
      </c>
      <c r="F52" s="60">
        <f t="shared" si="133"/>
        <v>537.94606667665812</v>
      </c>
      <c r="G52" s="60">
        <f t="shared" si="133"/>
        <v>682.94497302414231</v>
      </c>
      <c r="H52" s="60">
        <f t="shared" si="133"/>
        <v>534.32956255234285</v>
      </c>
      <c r="I52" s="60">
        <f t="shared" si="133"/>
        <v>41.517045088851582</v>
      </c>
      <c r="J52" s="60">
        <f t="shared" si="133"/>
        <v>620.87547179245712</v>
      </c>
      <c r="K52" s="60">
        <f t="shared" si="133"/>
        <v>78.804067900488349</v>
      </c>
      <c r="L52" s="60">
        <f t="shared" si="133"/>
        <v>3263.4941312663459</v>
      </c>
      <c r="M52" s="60">
        <f t="shared" si="133"/>
        <v>218.63398854300058</v>
      </c>
      <c r="N52" s="60">
        <f t="shared" si="133"/>
        <v>83.585801820369412</v>
      </c>
      <c r="O52" s="60">
        <f t="shared" si="133"/>
        <v>797.24170101582172</v>
      </c>
      <c r="P52" s="60">
        <f t="shared" si="133"/>
        <v>588.45714203380737</v>
      </c>
      <c r="Q52" s="60">
        <f t="shared" si="133"/>
        <v>839.12907554244828</v>
      </c>
      <c r="R52" s="60">
        <f t="shared" si="133"/>
        <v>195.2376609370568</v>
      </c>
      <c r="S52" s="60">
        <f t="shared" si="133"/>
        <v>397.90137500501464</v>
      </c>
      <c r="T52" s="60">
        <f t="shared" si="133"/>
        <v>1288.0281191615115</v>
      </c>
      <c r="U52" s="60">
        <f t="shared" ref="U52" si="134">IFERROR(U17/$B52,0)</f>
        <v>820.27639042008104</v>
      </c>
      <c r="V52" s="60">
        <f t="shared" si="133"/>
        <v>1214.1209086716642</v>
      </c>
      <c r="W52" s="60">
        <f t="shared" si="133"/>
        <v>280.23342434267551</v>
      </c>
      <c r="X52" s="60">
        <f t="shared" si="133"/>
        <v>459.47327108578446</v>
      </c>
      <c r="Y52" s="60">
        <f t="shared" si="133"/>
        <v>598.67442766184797</v>
      </c>
      <c r="Z52" s="60">
        <f t="shared" si="133"/>
        <v>193.38325325300971</v>
      </c>
      <c r="AA52" s="60">
        <f t="shared" si="133"/>
        <v>9.4831138639939283</v>
      </c>
      <c r="AB52" s="60">
        <f t="shared" si="133"/>
        <v>13.750566856517059</v>
      </c>
      <c r="AC52" s="60">
        <f>IFERROR(AC17/$B52,0)</f>
        <v>6.041496790283631</v>
      </c>
      <c r="AD52" s="60">
        <f>IFERROR(AD17/$B52,0)</f>
        <v>171.71668500541912</v>
      </c>
      <c r="AE52" s="60">
        <f t="shared" ref="AE52:BB52" si="135">IFERROR(AE17/$B52,0)</f>
        <v>51.313991076151865</v>
      </c>
      <c r="AF52" s="60">
        <f t="shared" si="135"/>
        <v>323.05321190602223</v>
      </c>
      <c r="AG52" s="60">
        <f t="shared" si="135"/>
        <v>432.15862227429324</v>
      </c>
      <c r="AH52" s="60">
        <f t="shared" si="135"/>
        <v>295.03279483341987</v>
      </c>
      <c r="AI52" s="60">
        <f t="shared" si="135"/>
        <v>26.58050470693972</v>
      </c>
      <c r="AJ52" s="60">
        <f t="shared" si="135"/>
        <v>430.00514397429578</v>
      </c>
      <c r="AK52" s="60">
        <f t="shared" si="135"/>
        <v>49.795896384575535</v>
      </c>
      <c r="AL52" s="60">
        <f t="shared" si="135"/>
        <v>1470.4881976239369</v>
      </c>
      <c r="AM52" s="60">
        <f t="shared" si="135"/>
        <v>199.55749412421099</v>
      </c>
      <c r="AN52" s="60">
        <f t="shared" si="135"/>
        <v>49.721754370987767</v>
      </c>
      <c r="AO52" s="60">
        <f t="shared" si="135"/>
        <v>502.69794319073293</v>
      </c>
      <c r="AP52" s="60">
        <f t="shared" si="135"/>
        <v>358.68892217179967</v>
      </c>
      <c r="AQ52" s="60">
        <f t="shared" si="135"/>
        <v>401.28511277995835</v>
      </c>
      <c r="AR52" s="60">
        <f t="shared" si="135"/>
        <v>141.86271890292861</v>
      </c>
      <c r="AS52" s="60">
        <f t="shared" si="135"/>
        <v>231.12130209786261</v>
      </c>
      <c r="AT52" s="60">
        <f t="shared" si="135"/>
        <v>899.29503373275304</v>
      </c>
      <c r="AU52" s="60">
        <f t="shared" ref="AU52" si="136">IFERROR(AU17/$B52,0)</f>
        <v>399.51384522910354</v>
      </c>
      <c r="AV52" s="60">
        <f t="shared" si="135"/>
        <v>671.36470060865167</v>
      </c>
      <c r="AW52" s="60">
        <f t="shared" si="135"/>
        <v>171.26329301530322</v>
      </c>
      <c r="AX52" s="60">
        <f t="shared" si="135"/>
        <v>282.64457886562826</v>
      </c>
      <c r="AY52" s="60">
        <f t="shared" si="135"/>
        <v>378.48124487228262</v>
      </c>
      <c r="AZ52" s="60">
        <f t="shared" si="135"/>
        <v>101.92820202190993</v>
      </c>
      <c r="BA52" s="60">
        <f t="shared" si="135"/>
        <v>7.3205423576043236</v>
      </c>
      <c r="BB52" s="60">
        <f t="shared" si="135"/>
        <v>7.1219595283076584</v>
      </c>
    </row>
    <row r="53" spans="1:54" x14ac:dyDescent="0.25">
      <c r="A53" s="190" t="s">
        <v>1088</v>
      </c>
      <c r="B53" s="191">
        <v>2.0000000000000001E-4</v>
      </c>
      <c r="C53" s="60">
        <f>IFERROR(C5/$B53,0)</f>
        <v>0</v>
      </c>
      <c r="D53" s="60">
        <f>IFERROR(D5/$B53,0)</f>
        <v>0</v>
      </c>
      <c r="E53" s="60">
        <f t="shared" ref="E53:AB53" si="137">IFERROR(E5/$B53,0)</f>
        <v>0</v>
      </c>
      <c r="F53" s="60">
        <f t="shared" si="137"/>
        <v>0</v>
      </c>
      <c r="G53" s="60">
        <f t="shared" si="137"/>
        <v>0</v>
      </c>
      <c r="H53" s="60">
        <f t="shared" si="137"/>
        <v>0</v>
      </c>
      <c r="I53" s="60">
        <f t="shared" si="137"/>
        <v>0</v>
      </c>
      <c r="J53" s="60">
        <f t="shared" si="137"/>
        <v>0</v>
      </c>
      <c r="K53" s="60">
        <f t="shared" si="137"/>
        <v>0</v>
      </c>
      <c r="L53" s="60">
        <f t="shared" si="137"/>
        <v>0</v>
      </c>
      <c r="M53" s="60">
        <f t="shared" si="137"/>
        <v>0</v>
      </c>
      <c r="N53" s="60">
        <f t="shared" si="137"/>
        <v>0</v>
      </c>
      <c r="O53" s="60">
        <f t="shared" si="137"/>
        <v>0</v>
      </c>
      <c r="P53" s="60">
        <f t="shared" si="137"/>
        <v>0</v>
      </c>
      <c r="Q53" s="60">
        <f t="shared" si="137"/>
        <v>0</v>
      </c>
      <c r="R53" s="60">
        <f t="shared" si="137"/>
        <v>0</v>
      </c>
      <c r="S53" s="60">
        <f t="shared" si="137"/>
        <v>0</v>
      </c>
      <c r="T53" s="60">
        <f t="shared" si="137"/>
        <v>0</v>
      </c>
      <c r="U53" s="60">
        <f t="shared" ref="U53" si="138">IFERROR(U5/$B53,0)</f>
        <v>0</v>
      </c>
      <c r="V53" s="60">
        <f t="shared" si="137"/>
        <v>0</v>
      </c>
      <c r="W53" s="60">
        <f t="shared" si="137"/>
        <v>0</v>
      </c>
      <c r="X53" s="60">
        <f t="shared" si="137"/>
        <v>0</v>
      </c>
      <c r="Y53" s="60">
        <f t="shared" si="137"/>
        <v>0</v>
      </c>
      <c r="Z53" s="60">
        <f t="shared" si="137"/>
        <v>0</v>
      </c>
      <c r="AA53" s="60">
        <f t="shared" si="137"/>
        <v>0</v>
      </c>
      <c r="AB53" s="60">
        <f t="shared" si="137"/>
        <v>0</v>
      </c>
      <c r="AC53" s="60">
        <f>IFERROR(AC5/$B53,0)</f>
        <v>0</v>
      </c>
      <c r="AD53" s="60">
        <f>IFERROR(AD5/$B53,0)</f>
        <v>0</v>
      </c>
      <c r="AE53" s="60">
        <f t="shared" ref="AE53:BB53" si="139">IFERROR(AE5/$B53,0)</f>
        <v>0</v>
      </c>
      <c r="AF53" s="60">
        <f t="shared" si="139"/>
        <v>0</v>
      </c>
      <c r="AG53" s="60">
        <f t="shared" si="139"/>
        <v>0</v>
      </c>
      <c r="AH53" s="60">
        <f t="shared" si="139"/>
        <v>0</v>
      </c>
      <c r="AI53" s="60">
        <f t="shared" si="139"/>
        <v>0</v>
      </c>
      <c r="AJ53" s="60">
        <f t="shared" si="139"/>
        <v>0</v>
      </c>
      <c r="AK53" s="60">
        <f t="shared" si="139"/>
        <v>0</v>
      </c>
      <c r="AL53" s="60">
        <f t="shared" si="139"/>
        <v>0</v>
      </c>
      <c r="AM53" s="60">
        <f t="shared" si="139"/>
        <v>0</v>
      </c>
      <c r="AN53" s="60">
        <f t="shared" si="139"/>
        <v>0</v>
      </c>
      <c r="AO53" s="60">
        <f t="shared" si="139"/>
        <v>0</v>
      </c>
      <c r="AP53" s="60">
        <f t="shared" si="139"/>
        <v>0</v>
      </c>
      <c r="AQ53" s="60">
        <f t="shared" si="139"/>
        <v>0</v>
      </c>
      <c r="AR53" s="60">
        <f t="shared" si="139"/>
        <v>0</v>
      </c>
      <c r="AS53" s="60">
        <f t="shared" si="139"/>
        <v>0</v>
      </c>
      <c r="AT53" s="60">
        <f t="shared" si="139"/>
        <v>0</v>
      </c>
      <c r="AU53" s="60">
        <f t="shared" ref="AU53" si="140">IFERROR(AU5/$B53,0)</f>
        <v>0</v>
      </c>
      <c r="AV53" s="60">
        <f t="shared" si="139"/>
        <v>0</v>
      </c>
      <c r="AW53" s="60">
        <f t="shared" si="139"/>
        <v>0</v>
      </c>
      <c r="AX53" s="60">
        <f t="shared" si="139"/>
        <v>0</v>
      </c>
      <c r="AY53" s="60">
        <f t="shared" si="139"/>
        <v>0</v>
      </c>
      <c r="AZ53" s="60">
        <f t="shared" si="139"/>
        <v>0</v>
      </c>
      <c r="BA53" s="60">
        <f t="shared" si="139"/>
        <v>0</v>
      </c>
      <c r="BB53" s="60">
        <f t="shared" si="139"/>
        <v>0</v>
      </c>
    </row>
    <row r="54" spans="1:54" x14ac:dyDescent="0.25">
      <c r="A54" s="190" t="s">
        <v>1089</v>
      </c>
      <c r="B54" s="191">
        <v>0.99999979999999999</v>
      </c>
      <c r="C54" s="60">
        <f>IFERROR(C9/$B54,0)</f>
        <v>3.0866669424319086</v>
      </c>
      <c r="D54" s="60">
        <f>IFERROR(D9/$B54,0)</f>
        <v>56.296770198311883</v>
      </c>
      <c r="E54" s="60">
        <f t="shared" ref="E54:AB54" si="141">IFERROR(E9/$B54,0)</f>
        <v>123.21257048299113</v>
      </c>
      <c r="F54" s="60">
        <f t="shared" si="141"/>
        <v>148.55035135560126</v>
      </c>
      <c r="G54" s="60">
        <f t="shared" si="141"/>
        <v>126.61374253513277</v>
      </c>
      <c r="H54" s="60">
        <f t="shared" si="141"/>
        <v>154.70399287639091</v>
      </c>
      <c r="I54" s="60">
        <f t="shared" si="141"/>
        <v>60.686997294820209</v>
      </c>
      <c r="J54" s="60">
        <f t="shared" si="141"/>
        <v>171.05645045530275</v>
      </c>
      <c r="K54" s="60">
        <f t="shared" si="141"/>
        <v>14.598160715060159</v>
      </c>
      <c r="L54" s="60">
        <f t="shared" si="141"/>
        <v>80.064723607961525</v>
      </c>
      <c r="M54" s="60">
        <f t="shared" si="141"/>
        <v>60.042282032252203</v>
      </c>
      <c r="N54" s="60">
        <f t="shared" si="141"/>
        <v>125.78058825346717</v>
      </c>
      <c r="O54" s="60">
        <f t="shared" si="141"/>
        <v>128.05699012809606</v>
      </c>
      <c r="P54" s="60">
        <f t="shared" si="141"/>
        <v>161.96987324123504</v>
      </c>
      <c r="Q54" s="60">
        <f t="shared" si="141"/>
        <v>231.18716660160172</v>
      </c>
      <c r="R54" s="60">
        <f t="shared" si="141"/>
        <v>36.144651672834165</v>
      </c>
      <c r="S54" s="60">
        <f t="shared" si="141"/>
        <v>73.729313685392</v>
      </c>
      <c r="T54" s="60">
        <f t="shared" si="141"/>
        <v>128.65906012393887</v>
      </c>
      <c r="U54" s="60">
        <f t="shared" ref="U54" si="142">IFERROR(U9/$B54,0)</f>
        <v>252.41946471256583</v>
      </c>
      <c r="V54" s="60">
        <f t="shared" si="141"/>
        <v>37.845334294601422</v>
      </c>
      <c r="W54" s="60">
        <f t="shared" si="141"/>
        <v>77.037249406296056</v>
      </c>
      <c r="X54" s="60">
        <f t="shared" si="141"/>
        <v>82.332923582094281</v>
      </c>
      <c r="Y54" s="60">
        <f t="shared" si="141"/>
        <v>110.14614511921857</v>
      </c>
      <c r="Z54" s="60">
        <f t="shared" si="141"/>
        <v>58.209987948461688</v>
      </c>
      <c r="AA54" s="60">
        <f t="shared" si="141"/>
        <v>16.332859267288708</v>
      </c>
      <c r="AB54" s="60">
        <f t="shared" si="141"/>
        <v>18.730890467233944</v>
      </c>
      <c r="AC54" s="60">
        <f>IFERROR(AC9/$B54,0)</f>
        <v>1.8866129924004502</v>
      </c>
      <c r="AD54" s="60">
        <f>IFERROR(AD9/$B54,0)</f>
        <v>31.818320139307474</v>
      </c>
      <c r="AE54" s="60">
        <f t="shared" ref="AE54:BB54" si="143">IFERROR(AE9/$B54,0)</f>
        <v>75.00268961516899</v>
      </c>
      <c r="AF54" s="60">
        <f t="shared" si="143"/>
        <v>89.209069659468582</v>
      </c>
      <c r="AG54" s="60">
        <f t="shared" si="143"/>
        <v>80.119515768133184</v>
      </c>
      <c r="AH54" s="60">
        <f t="shared" si="143"/>
        <v>85.420599175139088</v>
      </c>
      <c r="AI54" s="60">
        <f t="shared" si="143"/>
        <v>38.853704876943759</v>
      </c>
      <c r="AJ54" s="60">
        <f t="shared" si="143"/>
        <v>118.47005872757701</v>
      </c>
      <c r="AK54" s="60">
        <f t="shared" si="143"/>
        <v>9.2245047462583099</v>
      </c>
      <c r="AL54" s="60">
        <f t="shared" si="143"/>
        <v>36.076127725667199</v>
      </c>
      <c r="AM54" s="60">
        <f t="shared" si="143"/>
        <v>54.803406477208405</v>
      </c>
      <c r="AN54" s="60">
        <f t="shared" si="143"/>
        <v>74.821696718510964</v>
      </c>
      <c r="AO54" s="60">
        <f t="shared" si="143"/>
        <v>80.745883546440766</v>
      </c>
      <c r="AP54" s="60">
        <f t="shared" si="143"/>
        <v>98.727324570161969</v>
      </c>
      <c r="AQ54" s="60">
        <f t="shared" si="143"/>
        <v>110.55744691367185</v>
      </c>
      <c r="AR54" s="60">
        <f t="shared" si="143"/>
        <v>26.263265680900744</v>
      </c>
      <c r="AS54" s="60">
        <f t="shared" si="143"/>
        <v>42.825725298221961</v>
      </c>
      <c r="AT54" s="60">
        <f t="shared" si="143"/>
        <v>89.82913656380623</v>
      </c>
      <c r="AU54" s="60">
        <f t="shared" ref="AU54" si="144">IFERROR(AU9/$B54,0)</f>
        <v>122.94035539209449</v>
      </c>
      <c r="AV54" s="60">
        <f t="shared" si="143"/>
        <v>20.92709329578026</v>
      </c>
      <c r="AW54" s="60">
        <f t="shared" si="143"/>
        <v>47.080939931098257</v>
      </c>
      <c r="AX54" s="60">
        <f t="shared" si="143"/>
        <v>50.647025577016137</v>
      </c>
      <c r="AY54" s="60">
        <f t="shared" si="143"/>
        <v>69.634258950094832</v>
      </c>
      <c r="AZ54" s="60">
        <f t="shared" si="143"/>
        <v>30.681247271919098</v>
      </c>
      <c r="BA54" s="60">
        <f t="shared" si="143"/>
        <v>9.5627779413176466</v>
      </c>
      <c r="BB54" s="60">
        <f t="shared" si="143"/>
        <v>9.7014650544081995</v>
      </c>
    </row>
    <row r="55" spans="1:54" x14ac:dyDescent="0.25">
      <c r="A55" s="190" t="s">
        <v>1090</v>
      </c>
      <c r="B55" s="191">
        <v>1.9999999999999999E-7</v>
      </c>
      <c r="C55" s="60">
        <f>IFERROR(C24/$B55,0)</f>
        <v>0</v>
      </c>
      <c r="D55" s="60">
        <f>IFERROR(D24/$B55,0)</f>
        <v>0</v>
      </c>
      <c r="E55" s="60">
        <f t="shared" ref="E55:AB55" si="145">IFERROR(E24/$B55,0)</f>
        <v>0</v>
      </c>
      <c r="F55" s="60">
        <f t="shared" si="145"/>
        <v>0</v>
      </c>
      <c r="G55" s="60">
        <f t="shared" si="145"/>
        <v>0</v>
      </c>
      <c r="H55" s="60">
        <f t="shared" si="145"/>
        <v>0</v>
      </c>
      <c r="I55" s="60">
        <f t="shared" si="145"/>
        <v>0</v>
      </c>
      <c r="J55" s="60">
        <f t="shared" si="145"/>
        <v>0</v>
      </c>
      <c r="K55" s="60">
        <f t="shared" si="145"/>
        <v>0</v>
      </c>
      <c r="L55" s="60">
        <f t="shared" si="145"/>
        <v>0</v>
      </c>
      <c r="M55" s="60">
        <f t="shared" si="145"/>
        <v>0</v>
      </c>
      <c r="N55" s="60">
        <f t="shared" si="145"/>
        <v>0</v>
      </c>
      <c r="O55" s="60">
        <f t="shared" si="145"/>
        <v>0</v>
      </c>
      <c r="P55" s="60">
        <f t="shared" si="145"/>
        <v>0</v>
      </c>
      <c r="Q55" s="60">
        <f t="shared" si="145"/>
        <v>0</v>
      </c>
      <c r="R55" s="60">
        <f t="shared" si="145"/>
        <v>0</v>
      </c>
      <c r="S55" s="60">
        <f t="shared" si="145"/>
        <v>0</v>
      </c>
      <c r="T55" s="60">
        <f t="shared" si="145"/>
        <v>0</v>
      </c>
      <c r="U55" s="60">
        <f t="shared" ref="U55" si="146">IFERROR(U24/$B55,0)</f>
        <v>0</v>
      </c>
      <c r="V55" s="60">
        <f t="shared" si="145"/>
        <v>0</v>
      </c>
      <c r="W55" s="60">
        <f t="shared" si="145"/>
        <v>0</v>
      </c>
      <c r="X55" s="60">
        <f t="shared" si="145"/>
        <v>0</v>
      </c>
      <c r="Y55" s="60">
        <f t="shared" si="145"/>
        <v>0</v>
      </c>
      <c r="Z55" s="60">
        <f t="shared" si="145"/>
        <v>0</v>
      </c>
      <c r="AA55" s="60">
        <f t="shared" si="145"/>
        <v>0</v>
      </c>
      <c r="AB55" s="60">
        <f t="shared" si="145"/>
        <v>0</v>
      </c>
      <c r="AC55" s="60">
        <f>IFERROR(AC24/$B55,0)</f>
        <v>0</v>
      </c>
      <c r="AD55" s="60">
        <f>IFERROR(AD24/$B55,0)</f>
        <v>0</v>
      </c>
      <c r="AE55" s="60">
        <f t="shared" ref="AE55:BB55" si="147">IFERROR(AE24/$B55,0)</f>
        <v>0</v>
      </c>
      <c r="AF55" s="60">
        <f t="shared" si="147"/>
        <v>0</v>
      </c>
      <c r="AG55" s="60">
        <f t="shared" si="147"/>
        <v>0</v>
      </c>
      <c r="AH55" s="60">
        <f t="shared" si="147"/>
        <v>0</v>
      </c>
      <c r="AI55" s="60">
        <f t="shared" si="147"/>
        <v>0</v>
      </c>
      <c r="AJ55" s="60">
        <f t="shared" si="147"/>
        <v>0</v>
      </c>
      <c r="AK55" s="60">
        <f t="shared" si="147"/>
        <v>0</v>
      </c>
      <c r="AL55" s="60">
        <f t="shared" si="147"/>
        <v>0</v>
      </c>
      <c r="AM55" s="60">
        <f t="shared" si="147"/>
        <v>0</v>
      </c>
      <c r="AN55" s="60">
        <f t="shared" si="147"/>
        <v>0</v>
      </c>
      <c r="AO55" s="60">
        <f t="shared" si="147"/>
        <v>0</v>
      </c>
      <c r="AP55" s="60">
        <f t="shared" si="147"/>
        <v>0</v>
      </c>
      <c r="AQ55" s="60">
        <f t="shared" si="147"/>
        <v>0</v>
      </c>
      <c r="AR55" s="60">
        <f t="shared" si="147"/>
        <v>0</v>
      </c>
      <c r="AS55" s="60">
        <f t="shared" si="147"/>
        <v>0</v>
      </c>
      <c r="AT55" s="60">
        <f t="shared" si="147"/>
        <v>0</v>
      </c>
      <c r="AU55" s="60">
        <f t="shared" ref="AU55" si="148">IFERROR(AU24/$B55,0)</f>
        <v>0</v>
      </c>
      <c r="AV55" s="60">
        <f t="shared" si="147"/>
        <v>0</v>
      </c>
      <c r="AW55" s="60">
        <f t="shared" si="147"/>
        <v>0</v>
      </c>
      <c r="AX55" s="60">
        <f t="shared" si="147"/>
        <v>0</v>
      </c>
      <c r="AY55" s="60">
        <f t="shared" si="147"/>
        <v>0</v>
      </c>
      <c r="AZ55" s="60">
        <f t="shared" si="147"/>
        <v>0</v>
      </c>
      <c r="BA55" s="60">
        <f t="shared" si="147"/>
        <v>0</v>
      </c>
      <c r="BB55" s="60">
        <f t="shared" si="147"/>
        <v>0</v>
      </c>
    </row>
    <row r="56" spans="1:54" x14ac:dyDescent="0.25">
      <c r="A56" s="190" t="s">
        <v>1091</v>
      </c>
      <c r="B56" s="191">
        <v>0.99979000004200003</v>
      </c>
      <c r="C56" s="60">
        <f>IFERROR(C20/$B56,0)</f>
        <v>0</v>
      </c>
      <c r="D56" s="60">
        <f>IFERROR(D20/$B56,0)</f>
        <v>0</v>
      </c>
      <c r="E56" s="60">
        <f t="shared" ref="E56:AB56" si="149">IFERROR(E20/$B56,0)</f>
        <v>0</v>
      </c>
      <c r="F56" s="60">
        <f t="shared" si="149"/>
        <v>0</v>
      </c>
      <c r="G56" s="60">
        <f t="shared" si="149"/>
        <v>0</v>
      </c>
      <c r="H56" s="60">
        <f t="shared" si="149"/>
        <v>0</v>
      </c>
      <c r="I56" s="60">
        <f t="shared" si="149"/>
        <v>0</v>
      </c>
      <c r="J56" s="60">
        <f t="shared" si="149"/>
        <v>0</v>
      </c>
      <c r="K56" s="60">
        <f t="shared" si="149"/>
        <v>0</v>
      </c>
      <c r="L56" s="60">
        <f t="shared" si="149"/>
        <v>0</v>
      </c>
      <c r="M56" s="60">
        <f t="shared" si="149"/>
        <v>0</v>
      </c>
      <c r="N56" s="60">
        <f t="shared" si="149"/>
        <v>0</v>
      </c>
      <c r="O56" s="60">
        <f t="shared" si="149"/>
        <v>0</v>
      </c>
      <c r="P56" s="60">
        <f t="shared" si="149"/>
        <v>0</v>
      </c>
      <c r="Q56" s="60">
        <f t="shared" si="149"/>
        <v>0</v>
      </c>
      <c r="R56" s="60">
        <f t="shared" si="149"/>
        <v>0</v>
      </c>
      <c r="S56" s="60">
        <f t="shared" si="149"/>
        <v>0</v>
      </c>
      <c r="T56" s="60">
        <f t="shared" si="149"/>
        <v>0</v>
      </c>
      <c r="U56" s="60">
        <f t="shared" ref="U56" si="150">IFERROR(U20/$B56,0)</f>
        <v>0</v>
      </c>
      <c r="V56" s="60">
        <f t="shared" si="149"/>
        <v>0</v>
      </c>
      <c r="W56" s="60">
        <f t="shared" si="149"/>
        <v>0</v>
      </c>
      <c r="X56" s="60">
        <f t="shared" si="149"/>
        <v>0</v>
      </c>
      <c r="Y56" s="60">
        <f t="shared" si="149"/>
        <v>0</v>
      </c>
      <c r="Z56" s="60">
        <f t="shared" si="149"/>
        <v>0</v>
      </c>
      <c r="AA56" s="60">
        <f t="shared" si="149"/>
        <v>0</v>
      </c>
      <c r="AB56" s="60">
        <f t="shared" si="149"/>
        <v>0</v>
      </c>
      <c r="AC56" s="60">
        <f>IFERROR(AC20/$B56,0)</f>
        <v>0</v>
      </c>
      <c r="AD56" s="60">
        <f>IFERROR(AD20/$B56,0)</f>
        <v>0</v>
      </c>
      <c r="AE56" s="60">
        <f t="shared" ref="AE56:BB56" si="151">IFERROR(AE20/$B56,0)</f>
        <v>0</v>
      </c>
      <c r="AF56" s="60">
        <f t="shared" si="151"/>
        <v>0</v>
      </c>
      <c r="AG56" s="60">
        <f t="shared" si="151"/>
        <v>0</v>
      </c>
      <c r="AH56" s="60">
        <f t="shared" si="151"/>
        <v>0</v>
      </c>
      <c r="AI56" s="60">
        <f t="shared" si="151"/>
        <v>0</v>
      </c>
      <c r="AJ56" s="60">
        <f t="shared" si="151"/>
        <v>0</v>
      </c>
      <c r="AK56" s="60">
        <f t="shared" si="151"/>
        <v>0</v>
      </c>
      <c r="AL56" s="60">
        <f t="shared" si="151"/>
        <v>0</v>
      </c>
      <c r="AM56" s="60">
        <f t="shared" si="151"/>
        <v>0</v>
      </c>
      <c r="AN56" s="60">
        <f t="shared" si="151"/>
        <v>0</v>
      </c>
      <c r="AO56" s="60">
        <f t="shared" si="151"/>
        <v>0</v>
      </c>
      <c r="AP56" s="60">
        <f t="shared" si="151"/>
        <v>0</v>
      </c>
      <c r="AQ56" s="60">
        <f t="shared" si="151"/>
        <v>0</v>
      </c>
      <c r="AR56" s="60">
        <f t="shared" si="151"/>
        <v>0</v>
      </c>
      <c r="AS56" s="60">
        <f t="shared" si="151"/>
        <v>0</v>
      </c>
      <c r="AT56" s="60">
        <f t="shared" si="151"/>
        <v>0</v>
      </c>
      <c r="AU56" s="60">
        <f t="shared" ref="AU56" si="152">IFERROR(AU20/$B56,0)</f>
        <v>0</v>
      </c>
      <c r="AV56" s="60">
        <f t="shared" si="151"/>
        <v>0</v>
      </c>
      <c r="AW56" s="60">
        <f t="shared" si="151"/>
        <v>0</v>
      </c>
      <c r="AX56" s="60">
        <f t="shared" si="151"/>
        <v>0</v>
      </c>
      <c r="AY56" s="60">
        <f t="shared" si="151"/>
        <v>0</v>
      </c>
      <c r="AZ56" s="60">
        <f t="shared" si="151"/>
        <v>0</v>
      </c>
      <c r="BA56" s="60">
        <f t="shared" si="151"/>
        <v>0</v>
      </c>
      <c r="BB56" s="60">
        <f t="shared" si="151"/>
        <v>0</v>
      </c>
    </row>
    <row r="57" spans="1:54" x14ac:dyDescent="0.25">
      <c r="A57" s="190" t="s">
        <v>1092</v>
      </c>
      <c r="B57" s="191">
        <v>2.0999995799999999E-4</v>
      </c>
      <c r="C57" s="60">
        <f>IFERROR(C29/$B57,0)</f>
        <v>0</v>
      </c>
      <c r="D57" s="60">
        <f>IFERROR(D29/$B57,0)</f>
        <v>0</v>
      </c>
      <c r="E57" s="60">
        <f t="shared" ref="E57:AB57" si="153">IFERROR(E29/$B57,0)</f>
        <v>0</v>
      </c>
      <c r="F57" s="60">
        <f t="shared" si="153"/>
        <v>0</v>
      </c>
      <c r="G57" s="60">
        <f t="shared" si="153"/>
        <v>0</v>
      </c>
      <c r="H57" s="60">
        <f t="shared" si="153"/>
        <v>0</v>
      </c>
      <c r="I57" s="60">
        <f t="shared" si="153"/>
        <v>0</v>
      </c>
      <c r="J57" s="60">
        <f t="shared" si="153"/>
        <v>0</v>
      </c>
      <c r="K57" s="60">
        <f t="shared" si="153"/>
        <v>0</v>
      </c>
      <c r="L57" s="60">
        <f t="shared" si="153"/>
        <v>0</v>
      </c>
      <c r="M57" s="60">
        <f t="shared" si="153"/>
        <v>0</v>
      </c>
      <c r="N57" s="60">
        <f t="shared" si="153"/>
        <v>0</v>
      </c>
      <c r="O57" s="60">
        <f t="shared" si="153"/>
        <v>0</v>
      </c>
      <c r="P57" s="60">
        <f t="shared" si="153"/>
        <v>0</v>
      </c>
      <c r="Q57" s="60">
        <f t="shared" si="153"/>
        <v>0</v>
      </c>
      <c r="R57" s="60">
        <f t="shared" si="153"/>
        <v>0</v>
      </c>
      <c r="S57" s="60">
        <f t="shared" si="153"/>
        <v>0</v>
      </c>
      <c r="T57" s="60">
        <f t="shared" si="153"/>
        <v>0</v>
      </c>
      <c r="U57" s="60">
        <f t="shared" ref="U57" si="154">IFERROR(U29/$B57,0)</f>
        <v>0</v>
      </c>
      <c r="V57" s="60">
        <f t="shared" si="153"/>
        <v>0</v>
      </c>
      <c r="W57" s="60">
        <f t="shared" si="153"/>
        <v>0</v>
      </c>
      <c r="X57" s="60">
        <f t="shared" si="153"/>
        <v>0</v>
      </c>
      <c r="Y57" s="60">
        <f t="shared" si="153"/>
        <v>0</v>
      </c>
      <c r="Z57" s="60">
        <f t="shared" si="153"/>
        <v>0</v>
      </c>
      <c r="AA57" s="60">
        <f t="shared" si="153"/>
        <v>0</v>
      </c>
      <c r="AB57" s="60">
        <f t="shared" si="153"/>
        <v>0</v>
      </c>
      <c r="AC57" s="60">
        <f>IFERROR(AC29/$B57,0)</f>
        <v>0</v>
      </c>
      <c r="AD57" s="60">
        <f>IFERROR(AD29/$B57,0)</f>
        <v>0</v>
      </c>
      <c r="AE57" s="60">
        <f t="shared" ref="AE57:BB57" si="155">IFERROR(AE29/$B57,0)</f>
        <v>0</v>
      </c>
      <c r="AF57" s="60">
        <f t="shared" si="155"/>
        <v>0</v>
      </c>
      <c r="AG57" s="60">
        <f t="shared" si="155"/>
        <v>0</v>
      </c>
      <c r="AH57" s="60">
        <f t="shared" si="155"/>
        <v>0</v>
      </c>
      <c r="AI57" s="60">
        <f t="shared" si="155"/>
        <v>0</v>
      </c>
      <c r="AJ57" s="60">
        <f t="shared" si="155"/>
        <v>0</v>
      </c>
      <c r="AK57" s="60">
        <f t="shared" si="155"/>
        <v>0</v>
      </c>
      <c r="AL57" s="60">
        <f t="shared" si="155"/>
        <v>0</v>
      </c>
      <c r="AM57" s="60">
        <f t="shared" si="155"/>
        <v>0</v>
      </c>
      <c r="AN57" s="60">
        <f t="shared" si="155"/>
        <v>0</v>
      </c>
      <c r="AO57" s="60">
        <f t="shared" si="155"/>
        <v>0</v>
      </c>
      <c r="AP57" s="60">
        <f t="shared" si="155"/>
        <v>0</v>
      </c>
      <c r="AQ57" s="60">
        <f t="shared" si="155"/>
        <v>0</v>
      </c>
      <c r="AR57" s="60">
        <f t="shared" si="155"/>
        <v>0</v>
      </c>
      <c r="AS57" s="60">
        <f t="shared" si="155"/>
        <v>0</v>
      </c>
      <c r="AT57" s="60">
        <f t="shared" si="155"/>
        <v>0</v>
      </c>
      <c r="AU57" s="60">
        <f t="shared" ref="AU57" si="156">IFERROR(AU29/$B57,0)</f>
        <v>0</v>
      </c>
      <c r="AV57" s="60">
        <f t="shared" si="155"/>
        <v>0</v>
      </c>
      <c r="AW57" s="60">
        <f t="shared" si="155"/>
        <v>0</v>
      </c>
      <c r="AX57" s="60">
        <f t="shared" si="155"/>
        <v>0</v>
      </c>
      <c r="AY57" s="60">
        <f t="shared" si="155"/>
        <v>0</v>
      </c>
      <c r="AZ57" s="60">
        <f t="shared" si="155"/>
        <v>0</v>
      </c>
      <c r="BA57" s="60">
        <f t="shared" si="155"/>
        <v>0</v>
      </c>
      <c r="BB57" s="60">
        <f t="shared" si="155"/>
        <v>0</v>
      </c>
    </row>
    <row r="58" spans="1:54" x14ac:dyDescent="0.25">
      <c r="A58" s="190" t="s">
        <v>1093</v>
      </c>
      <c r="B58" s="191">
        <v>1</v>
      </c>
      <c r="C58" s="60">
        <f>IFERROR(C16/$B58,0)</f>
        <v>4.0078301058581178E-3</v>
      </c>
      <c r="D58" s="60">
        <f>IFERROR(D16/$B58,0)</f>
        <v>0.12513420430683758</v>
      </c>
      <c r="E58" s="60">
        <f t="shared" ref="E58:AB58" si="157">IFERROR(E16/$B58,0)</f>
        <v>3.4719325770346775E-2</v>
      </c>
      <c r="F58" s="60">
        <f t="shared" si="157"/>
        <v>0.22156239165941918</v>
      </c>
      <c r="G58" s="60">
        <f t="shared" si="157"/>
        <v>0.28128269908135034</v>
      </c>
      <c r="H58" s="60">
        <f t="shared" si="157"/>
        <v>0.22007287188622024</v>
      </c>
      <c r="I58" s="60">
        <f t="shared" si="157"/>
        <v>1.7099513081944118E-2</v>
      </c>
      <c r="J58" s="60">
        <f t="shared" si="157"/>
        <v>0.25571830146997143</v>
      </c>
      <c r="K58" s="60">
        <f t="shared" si="157"/>
        <v>3.2456818328254658E-2</v>
      </c>
      <c r="L58" s="60">
        <f t="shared" si="157"/>
        <v>1.3441265020429314</v>
      </c>
      <c r="M58" s="60">
        <f t="shared" si="157"/>
        <v>9.0048189586897018E-2</v>
      </c>
      <c r="N58" s="60">
        <f t="shared" si="157"/>
        <v>3.4426258146102832E-2</v>
      </c>
      <c r="O58" s="60">
        <f t="shared" si="157"/>
        <v>0.3283577833349246</v>
      </c>
      <c r="P58" s="60">
        <f t="shared" si="157"/>
        <v>0.24236625166448897</v>
      </c>
      <c r="Q58" s="60">
        <f t="shared" si="157"/>
        <v>0.34560982300088533</v>
      </c>
      <c r="R58" s="60">
        <f t="shared" si="157"/>
        <v>8.0412007408924208E-2</v>
      </c>
      <c r="S58" s="60">
        <f t="shared" si="157"/>
        <v>0.16388256323783584</v>
      </c>
      <c r="T58" s="60">
        <f t="shared" si="157"/>
        <v>0.53049665809256596</v>
      </c>
      <c r="U58" s="60">
        <f t="shared" ref="U58" si="158">IFERROR(U16/$B58,0)</f>
        <v>0.33784501856478494</v>
      </c>
      <c r="V58" s="60">
        <f t="shared" si="157"/>
        <v>0.50005669518295859</v>
      </c>
      <c r="W58" s="60">
        <f t="shared" si="157"/>
        <v>0.11541898262003999</v>
      </c>
      <c r="X58" s="60">
        <f t="shared" si="157"/>
        <v>0.18924201356143183</v>
      </c>
      <c r="Y58" s="60">
        <f t="shared" si="157"/>
        <v>0.24657441746445707</v>
      </c>
      <c r="Z58" s="60">
        <f t="shared" si="157"/>
        <v>7.9648237531160515E-2</v>
      </c>
      <c r="AA58" s="60">
        <f t="shared" si="157"/>
        <v>3.9057844610061883E-3</v>
      </c>
      <c r="AB58" s="60">
        <f t="shared" si="157"/>
        <v>5.6634087841260826E-3</v>
      </c>
      <c r="AC58" s="60">
        <f>IFERROR(AC16/$B58,0)</f>
        <v>2.4882949443750016E-3</v>
      </c>
      <c r="AD58" s="60">
        <f>IFERROR(AD16/$B58,0)</f>
        <v>7.0724486662147076E-2</v>
      </c>
      <c r="AE58" s="60">
        <f t="shared" ref="AE58:BB58" si="159">IFERROR(AE16/$B58,0)</f>
        <v>2.1134554730848115E-2</v>
      </c>
      <c r="AF58" s="60">
        <f t="shared" si="159"/>
        <v>0.13305505272181442</v>
      </c>
      <c r="AG58" s="60">
        <f t="shared" si="159"/>
        <v>0.1779920030252479</v>
      </c>
      <c r="AH58" s="60">
        <f t="shared" si="159"/>
        <v>0.12151435932060807</v>
      </c>
      <c r="AI58" s="60">
        <f t="shared" si="159"/>
        <v>1.0947640589263466E-2</v>
      </c>
      <c r="AJ58" s="60">
        <f t="shared" si="159"/>
        <v>0.1771050557417001</v>
      </c>
      <c r="AK58" s="60">
        <f t="shared" si="159"/>
        <v>2.0509301175767675E-2</v>
      </c>
      <c r="AL58" s="60">
        <f t="shared" si="159"/>
        <v>0.60564599716339007</v>
      </c>
      <c r="AM58" s="60">
        <f t="shared" si="159"/>
        <v>8.2191205421149646E-2</v>
      </c>
      <c r="AN58" s="60">
        <f t="shared" si="159"/>
        <v>2.047876450514112E-2</v>
      </c>
      <c r="AO58" s="60">
        <f t="shared" si="159"/>
        <v>0.20704484236438495</v>
      </c>
      <c r="AP58" s="60">
        <f t="shared" si="159"/>
        <v>0.14773223633567564</v>
      </c>
      <c r="AQ58" s="60">
        <f t="shared" si="159"/>
        <v>0.16527621416421293</v>
      </c>
      <c r="AR58" s="60">
        <f t="shared" si="159"/>
        <v>5.8428614380655323E-2</v>
      </c>
      <c r="AS58" s="60">
        <f t="shared" si="159"/>
        <v>9.5191305650015864E-2</v>
      </c>
      <c r="AT58" s="60">
        <f t="shared" si="159"/>
        <v>0.37039021348775747</v>
      </c>
      <c r="AU58" s="60">
        <f t="shared" ref="AU58" si="160">IFERROR(AU16/$B58,0)</f>
        <v>0.16454668698826283</v>
      </c>
      <c r="AV58" s="60">
        <f t="shared" si="159"/>
        <v>0.27651316359930012</v>
      </c>
      <c r="AW58" s="60">
        <f t="shared" si="159"/>
        <v>7.0537749329332447E-2</v>
      </c>
      <c r="AX58" s="60">
        <f t="shared" si="159"/>
        <v>0.1164120583126762</v>
      </c>
      <c r="AY58" s="60">
        <f t="shared" si="159"/>
        <v>0.15588404675991627</v>
      </c>
      <c r="AZ58" s="60">
        <f t="shared" si="159"/>
        <v>4.1980892911878072E-2</v>
      </c>
      <c r="BA58" s="60">
        <f t="shared" si="159"/>
        <v>3.0150919831333244E-3</v>
      </c>
      <c r="BB58" s="60">
        <f t="shared" si="159"/>
        <v>2.9333022102788092E-3</v>
      </c>
    </row>
    <row r="59" spans="1:54" x14ac:dyDescent="0.25">
      <c r="A59" s="190" t="s">
        <v>1094</v>
      </c>
      <c r="B59" s="191">
        <v>1</v>
      </c>
      <c r="C59" s="60">
        <f>IFERROR(C7/$B59,0)</f>
        <v>6.2873288497035204E-2</v>
      </c>
      <c r="D59" s="60">
        <f>IFERROR(D7/$B59,0)</f>
        <v>1.1467265954327495</v>
      </c>
      <c r="E59" s="60">
        <f t="shared" ref="E59:AB59" si="161">IFERROR(E7/$B59,0)</f>
        <v>2.5097555502165352</v>
      </c>
      <c r="F59" s="60">
        <f t="shared" si="161"/>
        <v>3.0258687676092544</v>
      </c>
      <c r="G59" s="60">
        <f t="shared" si="161"/>
        <v>2.5790350920818041</v>
      </c>
      <c r="H59" s="60">
        <f t="shared" si="161"/>
        <v>3.1512142246539687</v>
      </c>
      <c r="I59" s="60">
        <f t="shared" si="161"/>
        <v>1.2361525101667807</v>
      </c>
      <c r="J59" s="60">
        <f t="shared" si="161"/>
        <v>3.4843025695158265</v>
      </c>
      <c r="K59" s="60">
        <f t="shared" si="161"/>
        <v>0.29735452100346271</v>
      </c>
      <c r="L59" s="60">
        <f t="shared" si="161"/>
        <v>1.630863504137132</v>
      </c>
      <c r="M59" s="60">
        <f t="shared" si="161"/>
        <v>1.2230201024733405</v>
      </c>
      <c r="N59" s="60">
        <f t="shared" si="161"/>
        <v>2.5620643108181707</v>
      </c>
      <c r="O59" s="60">
        <f t="shared" si="161"/>
        <v>2.608433055638423</v>
      </c>
      <c r="P59" s="60">
        <f t="shared" si="161"/>
        <v>3.2992152240762986</v>
      </c>
      <c r="Q59" s="60">
        <f t="shared" si="161"/>
        <v>4.7091240142360435</v>
      </c>
      <c r="R59" s="60">
        <f t="shared" si="161"/>
        <v>0.73624176324656387</v>
      </c>
      <c r="S59" s="60">
        <f t="shared" si="161"/>
        <v>1.5018155494216614</v>
      </c>
      <c r="T59" s="60">
        <f t="shared" si="161"/>
        <v>2.6206968084987201</v>
      </c>
      <c r="U59" s="60">
        <f t="shared" ref="U59" si="162">IFERROR(U7/$B59,0)</f>
        <v>5.141611363692002</v>
      </c>
      <c r="V59" s="60">
        <f t="shared" si="161"/>
        <v>0.77088350176728082</v>
      </c>
      <c r="W59" s="60">
        <f t="shared" si="161"/>
        <v>1.5691959311696793</v>
      </c>
      <c r="X59" s="60">
        <f t="shared" si="161"/>
        <v>1.6770651818698967</v>
      </c>
      <c r="Y59" s="60">
        <f t="shared" si="161"/>
        <v>2.243601427713708</v>
      </c>
      <c r="Z59" s="60">
        <f t="shared" si="161"/>
        <v>1.1856975287424651</v>
      </c>
      <c r="AA59" s="60">
        <f t="shared" si="161"/>
        <v>0.33268914069642008</v>
      </c>
      <c r="AB59" s="60">
        <f t="shared" si="161"/>
        <v>0.38153539144877974</v>
      </c>
      <c r="AC59" s="60">
        <f>IFERROR(AC7/$B59,0)</f>
        <v>3.8429012642352843E-2</v>
      </c>
      <c r="AD59" s="60">
        <f>IFERROR(AD7/$B59,0)</f>
        <v>0.64811735730501019</v>
      </c>
      <c r="AE59" s="60">
        <f t="shared" ref="AE59:BB59" si="163">IFERROR(AE7/$B59,0)</f>
        <v>1.5277533437127977</v>
      </c>
      <c r="AF59" s="60">
        <f t="shared" si="163"/>
        <v>1.8171275611721136</v>
      </c>
      <c r="AG59" s="60">
        <f t="shared" si="163"/>
        <v>1.6319795828583219</v>
      </c>
      <c r="AH59" s="60">
        <f t="shared" si="163"/>
        <v>1.7399590158880913</v>
      </c>
      <c r="AI59" s="60">
        <f t="shared" si="163"/>
        <v>0.79142331889623285</v>
      </c>
      <c r="AJ59" s="60">
        <f t="shared" si="163"/>
        <v>2.4131538386098379</v>
      </c>
      <c r="AK59" s="60">
        <f t="shared" si="163"/>
        <v>0.18789683466685309</v>
      </c>
      <c r="AL59" s="60">
        <f t="shared" si="163"/>
        <v>0.73484597744280311</v>
      </c>
      <c r="AM59" s="60">
        <f t="shared" si="163"/>
        <v>1.1163078007201688</v>
      </c>
      <c r="AN59" s="60">
        <f t="shared" si="163"/>
        <v>1.524066642549462</v>
      </c>
      <c r="AO59" s="60">
        <f t="shared" si="163"/>
        <v>1.644738264881771</v>
      </c>
      <c r="AP59" s="60">
        <f t="shared" si="163"/>
        <v>2.0110078852076079</v>
      </c>
      <c r="AQ59" s="60">
        <f t="shared" si="163"/>
        <v>2.251979363158092</v>
      </c>
      <c r="AR59" s="60">
        <f t="shared" si="163"/>
        <v>0.53496470815493014</v>
      </c>
      <c r="AS59" s="60">
        <f t="shared" si="163"/>
        <v>0.87233065050045844</v>
      </c>
      <c r="AT59" s="60">
        <f t="shared" si="163"/>
        <v>1.829757898714514</v>
      </c>
      <c r="AU59" s="60">
        <f t="shared" ref="AU59" si="164">IFERROR(AU7/$B59,0)</f>
        <v>2.5042107155251361</v>
      </c>
      <c r="AV59" s="60">
        <f t="shared" si="163"/>
        <v>0.42627053670821796</v>
      </c>
      <c r="AW59" s="60">
        <f t="shared" si="163"/>
        <v>0.95900645395428041</v>
      </c>
      <c r="AX59" s="60">
        <f t="shared" si="163"/>
        <v>1.0316451726118496</v>
      </c>
      <c r="AY59" s="60">
        <f t="shared" si="163"/>
        <v>1.4184020932291268</v>
      </c>
      <c r="AZ59" s="60">
        <f t="shared" si="163"/>
        <v>0.62495596290554367</v>
      </c>
      <c r="BA59" s="60">
        <f t="shared" si="163"/>
        <v>0.19478722763131812</v>
      </c>
      <c r="BB59" s="60">
        <f t="shared" si="163"/>
        <v>0.19761218900058494</v>
      </c>
    </row>
    <row r="60" spans="1:54" x14ac:dyDescent="0.25">
      <c r="A60" s="190" t="s">
        <v>1095</v>
      </c>
      <c r="B60" s="194">
        <v>1.9000000000000001E-8</v>
      </c>
      <c r="C60" s="60">
        <f>IFERROR(C12/$B60,0)</f>
        <v>0</v>
      </c>
      <c r="D60" s="60">
        <f>IFERROR(D12/$B60,0)</f>
        <v>0</v>
      </c>
      <c r="E60" s="60">
        <f t="shared" ref="E60:AB60" si="165">IFERROR(E12/$B60,0)</f>
        <v>0</v>
      </c>
      <c r="F60" s="60">
        <f t="shared" si="165"/>
        <v>0</v>
      </c>
      <c r="G60" s="60">
        <f t="shared" si="165"/>
        <v>0</v>
      </c>
      <c r="H60" s="60">
        <f t="shared" si="165"/>
        <v>0</v>
      </c>
      <c r="I60" s="60">
        <f t="shared" si="165"/>
        <v>0</v>
      </c>
      <c r="J60" s="60">
        <f t="shared" si="165"/>
        <v>0</v>
      </c>
      <c r="K60" s="60">
        <f t="shared" si="165"/>
        <v>0</v>
      </c>
      <c r="L60" s="60">
        <f t="shared" si="165"/>
        <v>0</v>
      </c>
      <c r="M60" s="60">
        <f t="shared" si="165"/>
        <v>0</v>
      </c>
      <c r="N60" s="60">
        <f t="shared" si="165"/>
        <v>0</v>
      </c>
      <c r="O60" s="60">
        <f t="shared" si="165"/>
        <v>0</v>
      </c>
      <c r="P60" s="60">
        <f t="shared" si="165"/>
        <v>0</v>
      </c>
      <c r="Q60" s="60">
        <f t="shared" si="165"/>
        <v>0</v>
      </c>
      <c r="R60" s="60">
        <f t="shared" si="165"/>
        <v>0</v>
      </c>
      <c r="S60" s="60">
        <f t="shared" si="165"/>
        <v>0</v>
      </c>
      <c r="T60" s="60">
        <f t="shared" si="165"/>
        <v>0</v>
      </c>
      <c r="U60" s="60">
        <f t="shared" ref="U60" si="166">IFERROR(U12/$B60,0)</f>
        <v>0</v>
      </c>
      <c r="V60" s="60">
        <f t="shared" si="165"/>
        <v>0</v>
      </c>
      <c r="W60" s="60">
        <f t="shared" si="165"/>
        <v>0</v>
      </c>
      <c r="X60" s="60">
        <f t="shared" si="165"/>
        <v>0</v>
      </c>
      <c r="Y60" s="60">
        <f t="shared" si="165"/>
        <v>0</v>
      </c>
      <c r="Z60" s="60">
        <f t="shared" si="165"/>
        <v>0</v>
      </c>
      <c r="AA60" s="60">
        <f t="shared" si="165"/>
        <v>0</v>
      </c>
      <c r="AB60" s="60">
        <f t="shared" si="165"/>
        <v>0</v>
      </c>
      <c r="AC60" s="60">
        <f>IFERROR(AC12/$B60,0)</f>
        <v>0</v>
      </c>
      <c r="AD60" s="60">
        <f>IFERROR(AD12/$B60,0)</f>
        <v>0</v>
      </c>
      <c r="AE60" s="60">
        <f t="shared" ref="AE60:BB60" si="167">IFERROR(AE12/$B60,0)</f>
        <v>0</v>
      </c>
      <c r="AF60" s="60">
        <f t="shared" si="167"/>
        <v>0</v>
      </c>
      <c r="AG60" s="60">
        <f t="shared" si="167"/>
        <v>0</v>
      </c>
      <c r="AH60" s="60">
        <f t="shared" si="167"/>
        <v>0</v>
      </c>
      <c r="AI60" s="60">
        <f t="shared" si="167"/>
        <v>0</v>
      </c>
      <c r="AJ60" s="60">
        <f t="shared" si="167"/>
        <v>0</v>
      </c>
      <c r="AK60" s="60">
        <f t="shared" si="167"/>
        <v>0</v>
      </c>
      <c r="AL60" s="60">
        <f t="shared" si="167"/>
        <v>0</v>
      </c>
      <c r="AM60" s="60">
        <f t="shared" si="167"/>
        <v>0</v>
      </c>
      <c r="AN60" s="60">
        <f t="shared" si="167"/>
        <v>0</v>
      </c>
      <c r="AO60" s="60">
        <f t="shared" si="167"/>
        <v>0</v>
      </c>
      <c r="AP60" s="60">
        <f t="shared" si="167"/>
        <v>0</v>
      </c>
      <c r="AQ60" s="60">
        <f t="shared" si="167"/>
        <v>0</v>
      </c>
      <c r="AR60" s="60">
        <f t="shared" si="167"/>
        <v>0</v>
      </c>
      <c r="AS60" s="60">
        <f t="shared" si="167"/>
        <v>0</v>
      </c>
      <c r="AT60" s="60">
        <f t="shared" si="167"/>
        <v>0</v>
      </c>
      <c r="AU60" s="60">
        <f t="shared" ref="AU60" si="168">IFERROR(AU12/$B60,0)</f>
        <v>0</v>
      </c>
      <c r="AV60" s="60">
        <f t="shared" si="167"/>
        <v>0</v>
      </c>
      <c r="AW60" s="60">
        <f t="shared" si="167"/>
        <v>0</v>
      </c>
      <c r="AX60" s="60">
        <f t="shared" si="167"/>
        <v>0</v>
      </c>
      <c r="AY60" s="60">
        <f t="shared" si="167"/>
        <v>0</v>
      </c>
      <c r="AZ60" s="60">
        <f t="shared" si="167"/>
        <v>0</v>
      </c>
      <c r="BA60" s="60">
        <f t="shared" si="167"/>
        <v>0</v>
      </c>
      <c r="BB60" s="60">
        <f t="shared" si="167"/>
        <v>0</v>
      </c>
    </row>
    <row r="61" spans="1:54" x14ac:dyDescent="0.25">
      <c r="A61" s="190" t="s">
        <v>1096</v>
      </c>
      <c r="B61" s="191">
        <v>1</v>
      </c>
      <c r="C61" s="60">
        <f>IFERROR(C18/$B61,0)</f>
        <v>1.6410020144732348E-2</v>
      </c>
      <c r="D61" s="60">
        <f>IFERROR(D18/$B61,0)</f>
        <v>1.8440685915475068</v>
      </c>
      <c r="E61" s="60">
        <f t="shared" ref="E61:AB61" si="169">IFERROR(E18/$B61,0)</f>
        <v>0.19411371358130619</v>
      </c>
      <c r="F61" s="60">
        <f t="shared" si="169"/>
        <v>0.29494034199343167</v>
      </c>
      <c r="G61" s="60">
        <f t="shared" si="169"/>
        <v>4.0796402514100896</v>
      </c>
      <c r="H61" s="60">
        <f t="shared" si="169"/>
        <v>1.520485559431783</v>
      </c>
      <c r="I61" s="60">
        <f t="shared" si="169"/>
        <v>9.5302106323526925E-2</v>
      </c>
      <c r="J61" s="60">
        <f t="shared" si="169"/>
        <v>0.34184652203798116</v>
      </c>
      <c r="K61" s="60">
        <f t="shared" si="169"/>
        <v>0.48218423643345265</v>
      </c>
      <c r="L61" s="60">
        <f t="shared" si="169"/>
        <v>2.4519495284532109</v>
      </c>
      <c r="M61" s="60">
        <f t="shared" si="169"/>
        <v>2.9466015141012876</v>
      </c>
      <c r="N61" s="60">
        <f t="shared" si="169"/>
        <v>8.0420167460820965E-2</v>
      </c>
      <c r="O61" s="60">
        <f t="shared" si="169"/>
        <v>0.3818071555399174</v>
      </c>
      <c r="P61" s="60">
        <f t="shared" si="169"/>
        <v>6.8159325468095053</v>
      </c>
      <c r="Q61" s="60">
        <f t="shared" si="169"/>
        <v>0.46201431534570286</v>
      </c>
      <c r="R61" s="60">
        <f t="shared" si="169"/>
        <v>1.2176675407637096</v>
      </c>
      <c r="S61" s="60">
        <f t="shared" si="169"/>
        <v>2.4150925739548397</v>
      </c>
      <c r="T61" s="60">
        <f t="shared" si="169"/>
        <v>3.3871660962932588</v>
      </c>
      <c r="U61" s="60">
        <f t="shared" ref="U61" si="170">IFERROR(U18/$B61,0)</f>
        <v>1.2552930612846012</v>
      </c>
      <c r="V61" s="60">
        <f t="shared" si="169"/>
        <v>0.15343774070872154</v>
      </c>
      <c r="W61" s="60">
        <f t="shared" si="169"/>
        <v>3.5175044539468363</v>
      </c>
      <c r="X61" s="60">
        <f t="shared" si="169"/>
        <v>0.19313189295890978</v>
      </c>
      <c r="Y61" s="60">
        <f t="shared" si="169"/>
        <v>4.6351131874106803</v>
      </c>
      <c r="Z61" s="60">
        <f t="shared" si="169"/>
        <v>0.35404040909239975</v>
      </c>
      <c r="AA61" s="60">
        <f t="shared" si="169"/>
        <v>2.6147098197969935E-3</v>
      </c>
      <c r="AB61" s="60">
        <f t="shared" si="169"/>
        <v>3.0844058161629303E-3</v>
      </c>
      <c r="AC61" s="60">
        <f>IFERROR(AC18/$B61,0)</f>
        <v>9.8122858857131959E-3</v>
      </c>
      <c r="AD61" s="60">
        <f>IFERROR(AD18/$B61,0)</f>
        <v>1.0422474432904474</v>
      </c>
      <c r="AE61" s="60">
        <f t="shared" ref="AE61:BB61" si="171">IFERROR(AE18/$B61,0)</f>
        <v>0.11816205564671925</v>
      </c>
      <c r="AF61" s="60">
        <f t="shared" si="171"/>
        <v>0.17712077604781395</v>
      </c>
      <c r="AG61" s="60">
        <f t="shared" si="171"/>
        <v>2.5815428476135969</v>
      </c>
      <c r="AH61" s="60">
        <f t="shared" si="171"/>
        <v>0.83954386120844804</v>
      </c>
      <c r="AI61" s="60">
        <f t="shared" si="171"/>
        <v>6.1015375258341838E-2</v>
      </c>
      <c r="AJ61" s="60">
        <f t="shared" si="171"/>
        <v>0.23675562911461143</v>
      </c>
      <c r="AK61" s="60">
        <f t="shared" si="171"/>
        <v>0.30468980746065127</v>
      </c>
      <c r="AL61" s="60">
        <f t="shared" si="171"/>
        <v>1.1048167080236004</v>
      </c>
      <c r="AM61" s="60">
        <f t="shared" si="171"/>
        <v>2.6895013819912483</v>
      </c>
      <c r="AN61" s="60">
        <f t="shared" si="171"/>
        <v>4.7838648740295961E-2</v>
      </c>
      <c r="AO61" s="60">
        <f t="shared" si="171"/>
        <v>0.24074715552493631</v>
      </c>
      <c r="AP61" s="60">
        <f t="shared" si="171"/>
        <v>4.154592278991041</v>
      </c>
      <c r="AQ61" s="60">
        <f t="shared" si="171"/>
        <v>0.22094272745775803</v>
      </c>
      <c r="AR61" s="60">
        <f t="shared" si="171"/>
        <v>0.88477616062135211</v>
      </c>
      <c r="AS61" s="60">
        <f t="shared" si="171"/>
        <v>1.4028082722063637</v>
      </c>
      <c r="AT61" s="60">
        <f t="shared" si="171"/>
        <v>2.3649030665630404</v>
      </c>
      <c r="AU61" s="60">
        <f t="shared" ref="AU61" si="172">IFERROR(AU18/$B61,0)</f>
        <v>0.61138777570617564</v>
      </c>
      <c r="AV61" s="60">
        <f t="shared" si="171"/>
        <v>8.4845489536690424E-2</v>
      </c>
      <c r="AW61" s="60">
        <f t="shared" si="171"/>
        <v>2.1497057226202956</v>
      </c>
      <c r="AX61" s="60">
        <f t="shared" si="171"/>
        <v>0.1188049142051204</v>
      </c>
      <c r="AY61" s="60">
        <f t="shared" si="171"/>
        <v>2.9303129184031542</v>
      </c>
      <c r="AZ61" s="60">
        <f t="shared" si="171"/>
        <v>0.18660717375912755</v>
      </c>
      <c r="BA61" s="60">
        <f t="shared" si="171"/>
        <v>1.4982978044277776E-3</v>
      </c>
      <c r="BB61" s="60">
        <f t="shared" si="171"/>
        <v>1.5975351140653452E-3</v>
      </c>
    </row>
    <row r="62" spans="1:54" x14ac:dyDescent="0.25">
      <c r="A62" s="190" t="s">
        <v>1097</v>
      </c>
      <c r="B62" s="191">
        <v>1.339E-6</v>
      </c>
      <c r="C62" s="60">
        <f>IFERROR(C27/$B62,0)</f>
        <v>0</v>
      </c>
      <c r="D62" s="60">
        <f>IFERROR(D27/$B62,0)</f>
        <v>0</v>
      </c>
      <c r="E62" s="60">
        <f t="shared" ref="E62:AB62" si="173">IFERROR(E27/$B62,0)</f>
        <v>0</v>
      </c>
      <c r="F62" s="60">
        <f t="shared" si="173"/>
        <v>0</v>
      </c>
      <c r="G62" s="60">
        <f t="shared" si="173"/>
        <v>0</v>
      </c>
      <c r="H62" s="60">
        <f t="shared" si="173"/>
        <v>0</v>
      </c>
      <c r="I62" s="60">
        <f t="shared" si="173"/>
        <v>0</v>
      </c>
      <c r="J62" s="60">
        <f t="shared" si="173"/>
        <v>0</v>
      </c>
      <c r="K62" s="60">
        <f t="shared" si="173"/>
        <v>0</v>
      </c>
      <c r="L62" s="60">
        <f t="shared" si="173"/>
        <v>0</v>
      </c>
      <c r="M62" s="60">
        <f t="shared" si="173"/>
        <v>0</v>
      </c>
      <c r="N62" s="60">
        <f t="shared" si="173"/>
        <v>0</v>
      </c>
      <c r="O62" s="60">
        <f t="shared" si="173"/>
        <v>0</v>
      </c>
      <c r="P62" s="60">
        <f t="shared" si="173"/>
        <v>0</v>
      </c>
      <c r="Q62" s="60">
        <f t="shared" si="173"/>
        <v>0</v>
      </c>
      <c r="R62" s="60">
        <f t="shared" si="173"/>
        <v>0</v>
      </c>
      <c r="S62" s="60">
        <f t="shared" si="173"/>
        <v>0</v>
      </c>
      <c r="T62" s="60">
        <f t="shared" si="173"/>
        <v>0</v>
      </c>
      <c r="U62" s="60">
        <f t="shared" ref="U62" si="174">IFERROR(U27/$B62,0)</f>
        <v>0</v>
      </c>
      <c r="V62" s="60">
        <f t="shared" si="173"/>
        <v>0</v>
      </c>
      <c r="W62" s="60">
        <f t="shared" si="173"/>
        <v>0</v>
      </c>
      <c r="X62" s="60">
        <f t="shared" si="173"/>
        <v>0</v>
      </c>
      <c r="Y62" s="60">
        <f t="shared" si="173"/>
        <v>0</v>
      </c>
      <c r="Z62" s="60">
        <f t="shared" si="173"/>
        <v>0</v>
      </c>
      <c r="AA62" s="60">
        <f t="shared" si="173"/>
        <v>0</v>
      </c>
      <c r="AB62" s="60">
        <f t="shared" si="173"/>
        <v>0</v>
      </c>
      <c r="AC62" s="60">
        <f>IFERROR(AC27/$B62,0)</f>
        <v>0</v>
      </c>
      <c r="AD62" s="60">
        <f>IFERROR(AD27/$B62,0)</f>
        <v>0</v>
      </c>
      <c r="AE62" s="60">
        <f t="shared" ref="AE62:BB62" si="175">IFERROR(AE27/$B62,0)</f>
        <v>0</v>
      </c>
      <c r="AF62" s="60">
        <f t="shared" si="175"/>
        <v>0</v>
      </c>
      <c r="AG62" s="60">
        <f t="shared" si="175"/>
        <v>0</v>
      </c>
      <c r="AH62" s="60">
        <f t="shared" si="175"/>
        <v>0</v>
      </c>
      <c r="AI62" s="60">
        <f t="shared" si="175"/>
        <v>0</v>
      </c>
      <c r="AJ62" s="60">
        <f t="shared" si="175"/>
        <v>0</v>
      </c>
      <c r="AK62" s="60">
        <f t="shared" si="175"/>
        <v>0</v>
      </c>
      <c r="AL62" s="60">
        <f t="shared" si="175"/>
        <v>0</v>
      </c>
      <c r="AM62" s="60">
        <f t="shared" si="175"/>
        <v>0</v>
      </c>
      <c r="AN62" s="60">
        <f t="shared" si="175"/>
        <v>0</v>
      </c>
      <c r="AO62" s="60">
        <f t="shared" si="175"/>
        <v>0</v>
      </c>
      <c r="AP62" s="60">
        <f t="shared" si="175"/>
        <v>0</v>
      </c>
      <c r="AQ62" s="60">
        <f t="shared" si="175"/>
        <v>0</v>
      </c>
      <c r="AR62" s="60">
        <f t="shared" si="175"/>
        <v>0</v>
      </c>
      <c r="AS62" s="60">
        <f t="shared" si="175"/>
        <v>0</v>
      </c>
      <c r="AT62" s="60">
        <f t="shared" si="175"/>
        <v>0</v>
      </c>
      <c r="AU62" s="60">
        <f t="shared" ref="AU62" si="176">IFERROR(AU27/$B62,0)</f>
        <v>0</v>
      </c>
      <c r="AV62" s="60">
        <f t="shared" si="175"/>
        <v>0</v>
      </c>
      <c r="AW62" s="60">
        <f t="shared" si="175"/>
        <v>0</v>
      </c>
      <c r="AX62" s="60">
        <f t="shared" si="175"/>
        <v>0</v>
      </c>
      <c r="AY62" s="60">
        <f t="shared" si="175"/>
        <v>0</v>
      </c>
      <c r="AZ62" s="60">
        <f t="shared" si="175"/>
        <v>0</v>
      </c>
      <c r="BA62" s="60">
        <f t="shared" si="175"/>
        <v>0</v>
      </c>
      <c r="BB62" s="60">
        <f t="shared" si="175"/>
        <v>0</v>
      </c>
    </row>
    <row r="63" spans="1:54" x14ac:dyDescent="0.25">
      <c r="A63" s="95" t="s">
        <v>35</v>
      </c>
      <c r="B63" s="95" t="s">
        <v>1071</v>
      </c>
      <c r="C63" s="96">
        <f t="shared" ref="C63" si="177">IFERROR(1/SUM(1/D63,1/E63,1/F63,1/G63,1/H63,1/I63,1/J63,1/K63,1/L63,1/M63,1/N63,1/O63,1/P63,1/Q63,1/R63,1/S63,1/T63,1/U63,1/V63,1/W63,1/X63,1/Y63,1/Z63),".")</f>
        <v>3.0601469083991308E-3</v>
      </c>
      <c r="D63" s="58">
        <f>1/SUM(1/D66,1/D68,1/D72,1/D73,1/D75)</f>
        <v>0.10608052313201877</v>
      </c>
      <c r="E63" s="58">
        <f t="shared" ref="E63:AB63" si="178">1/SUM(1/E66,1/E68,1/E72,1/E73,1/E75)</f>
        <v>2.9093070504146386E-2</v>
      </c>
      <c r="F63" s="58">
        <f t="shared" si="178"/>
        <v>0.12131517616640404</v>
      </c>
      <c r="G63" s="58">
        <f t="shared" si="178"/>
        <v>0.2382446474705017</v>
      </c>
      <c r="H63" s="58">
        <f t="shared" si="178"/>
        <v>0.18091991368398316</v>
      </c>
      <c r="I63" s="58">
        <f t="shared" si="178"/>
        <v>1.4321790656157041E-2</v>
      </c>
      <c r="J63" s="58">
        <f t="shared" si="178"/>
        <v>0.14024654112871149</v>
      </c>
      <c r="K63" s="58">
        <f t="shared" si="178"/>
        <v>2.7526791673783243E-2</v>
      </c>
      <c r="L63" s="58">
        <f t="shared" si="178"/>
        <v>0.56249779519791221</v>
      </c>
      <c r="M63" s="58">
        <f t="shared" si="178"/>
        <v>8.1410579518382223E-2</v>
      </c>
      <c r="N63" s="58">
        <f t="shared" si="178"/>
        <v>2.387061491120324E-2</v>
      </c>
      <c r="O63" s="58">
        <f t="shared" si="178"/>
        <v>0.16509776952280653</v>
      </c>
      <c r="P63" s="58">
        <f t="shared" si="178"/>
        <v>0.21816542247470389</v>
      </c>
      <c r="Q63" s="58">
        <f t="shared" si="178"/>
        <v>0.18954678635573599</v>
      </c>
      <c r="R63" s="58">
        <f t="shared" si="178"/>
        <v>6.8267615173789972E-2</v>
      </c>
      <c r="S63" s="58">
        <f t="shared" si="178"/>
        <v>0.13892882555002459</v>
      </c>
      <c r="T63" s="58">
        <f t="shared" si="178"/>
        <v>0.38904680248431345</v>
      </c>
      <c r="U63" s="58">
        <f t="shared" ref="U63" si="179">1/SUM(1/U66,1/U68,1/U72,1/U73,1/U75)</f>
        <v>0.25276549914950647</v>
      </c>
      <c r="V63" s="58">
        <f t="shared" si="178"/>
        <v>0.10161017087999388</v>
      </c>
      <c r="W63" s="58">
        <f t="shared" si="178"/>
        <v>0.10414283561140388</v>
      </c>
      <c r="X63" s="58">
        <f t="shared" si="178"/>
        <v>9.0312620938676452E-2</v>
      </c>
      <c r="Y63" s="58">
        <f t="shared" si="178"/>
        <v>0.21151592533387831</v>
      </c>
      <c r="Z63" s="58">
        <f t="shared" si="178"/>
        <v>6.1555592414741359E-2</v>
      </c>
      <c r="AA63" s="58">
        <f t="shared" si="178"/>
        <v>1.5584708255442534E-3</v>
      </c>
      <c r="AB63" s="58">
        <f t="shared" si="178"/>
        <v>1.9859760023240519E-3</v>
      </c>
      <c r="AC63" s="96">
        <f t="shared" ref="AC63" si="180">IFERROR(1/SUM(1/AD63,1/AE63,1/AF63,1/AG63,1/AH63,1/AI63,1/AJ63,1/AK63,1/AL63,1/AM63,1/AN63,1/AO63,1/AP63,1/AQ63,1/AR63,1/AS63,1/AT63,1/AU63,1/AV63,1/AW63,1/AX63,1/AY63,1/AZ63),".")</f>
        <v>1.8849706149291967E-3</v>
      </c>
      <c r="AD63" s="58">
        <f>1/SUM(1/AD66,1/AD68,1/AD72,1/AD73,1/AD75)</f>
        <v>5.9955553998389033E-2</v>
      </c>
      <c r="AE63" s="58">
        <f t="shared" ref="AE63:BB63" si="181">1/SUM(1/AE66,1/AE68,1/AE72,1/AE73,1/AE75)</f>
        <v>1.7709707121774082E-2</v>
      </c>
      <c r="AF63" s="58">
        <f t="shared" si="181"/>
        <v>7.2853506589645414E-2</v>
      </c>
      <c r="AG63" s="58">
        <f t="shared" si="181"/>
        <v>0.15075808839936661</v>
      </c>
      <c r="AH63" s="58">
        <f t="shared" si="181"/>
        <v>9.9895853638039739E-2</v>
      </c>
      <c r="AI63" s="58">
        <f t="shared" si="181"/>
        <v>9.169256220742222E-3</v>
      </c>
      <c r="AJ63" s="58">
        <f t="shared" si="181"/>
        <v>9.7131770942479101E-2</v>
      </c>
      <c r="AK63" s="58">
        <f t="shared" si="181"/>
        <v>1.7394041989284324E-2</v>
      </c>
      <c r="AL63" s="58">
        <f t="shared" si="181"/>
        <v>0.25345422291507408</v>
      </c>
      <c r="AM63" s="58">
        <f t="shared" si="181"/>
        <v>7.4307253653257646E-2</v>
      </c>
      <c r="AN63" s="58">
        <f t="shared" si="181"/>
        <v>1.4199646655899479E-2</v>
      </c>
      <c r="AO63" s="58">
        <f t="shared" si="181"/>
        <v>0.10410181637355853</v>
      </c>
      <c r="AP63" s="58">
        <f t="shared" si="181"/>
        <v>0.13298083182770021</v>
      </c>
      <c r="AQ63" s="58">
        <f t="shared" si="181"/>
        <v>9.0644342755815371E-2</v>
      </c>
      <c r="AR63" s="58">
        <f t="shared" si="181"/>
        <v>4.9604310229341059E-2</v>
      </c>
      <c r="AS63" s="58">
        <f t="shared" si="181"/>
        <v>8.0696909025870595E-2</v>
      </c>
      <c r="AT63" s="58">
        <f t="shared" si="181"/>
        <v>0.27163060507678166</v>
      </c>
      <c r="AU63" s="58">
        <f t="shared" ref="AU63" si="182">1/SUM(1/AU66,1/AU68,1/AU72,1/AU73,1/AU75)</f>
        <v>0.12310889071762425</v>
      </c>
      <c r="AV63" s="58">
        <f t="shared" si="181"/>
        <v>5.6186728574072468E-2</v>
      </c>
      <c r="AW63" s="58">
        <f t="shared" si="181"/>
        <v>6.3646386981127387E-2</v>
      </c>
      <c r="AX63" s="58">
        <f t="shared" si="181"/>
        <v>5.5555729392357867E-2</v>
      </c>
      <c r="AY63" s="58">
        <f t="shared" si="181"/>
        <v>0.13372011068409417</v>
      </c>
      <c r="AZ63" s="58">
        <f t="shared" si="181"/>
        <v>3.244464426823606E-2</v>
      </c>
      <c r="BA63" s="58">
        <f t="shared" si="181"/>
        <v>9.9555595933991867E-4</v>
      </c>
      <c r="BB63" s="58">
        <f t="shared" si="181"/>
        <v>1.0286151007686338E-3</v>
      </c>
    </row>
    <row r="64" spans="1:54" x14ac:dyDescent="0.25">
      <c r="A64" s="190" t="s">
        <v>1087</v>
      </c>
      <c r="B64" s="191">
        <v>1</v>
      </c>
      <c r="C64" s="60">
        <f>IFERROR(C25/$B50,0)</f>
        <v>0</v>
      </c>
      <c r="D64" s="60">
        <f>IFERROR(D25/$B50,0)</f>
        <v>0</v>
      </c>
      <c r="E64" s="60">
        <f t="shared" ref="E64:AB64" si="183">IFERROR(E25/$B50,0)</f>
        <v>0</v>
      </c>
      <c r="F64" s="60">
        <f t="shared" si="183"/>
        <v>0</v>
      </c>
      <c r="G64" s="60">
        <f t="shared" si="183"/>
        <v>0</v>
      </c>
      <c r="H64" s="60">
        <f t="shared" si="183"/>
        <v>0</v>
      </c>
      <c r="I64" s="60">
        <f t="shared" si="183"/>
        <v>0</v>
      </c>
      <c r="J64" s="60">
        <f t="shared" si="183"/>
        <v>0</v>
      </c>
      <c r="K64" s="60">
        <f t="shared" si="183"/>
        <v>0</v>
      </c>
      <c r="L64" s="60">
        <f t="shared" si="183"/>
        <v>0</v>
      </c>
      <c r="M64" s="60">
        <f t="shared" si="183"/>
        <v>0</v>
      </c>
      <c r="N64" s="60">
        <f t="shared" si="183"/>
        <v>0</v>
      </c>
      <c r="O64" s="60">
        <f t="shared" si="183"/>
        <v>0</v>
      </c>
      <c r="P64" s="60">
        <f t="shared" si="183"/>
        <v>0</v>
      </c>
      <c r="Q64" s="60">
        <f t="shared" si="183"/>
        <v>0</v>
      </c>
      <c r="R64" s="60">
        <f t="shared" si="183"/>
        <v>0</v>
      </c>
      <c r="S64" s="60">
        <f t="shared" si="183"/>
        <v>0</v>
      </c>
      <c r="T64" s="60">
        <f t="shared" si="183"/>
        <v>0</v>
      </c>
      <c r="U64" s="60">
        <f t="shared" ref="U64" si="184">IFERROR(U25/$B50,0)</f>
        <v>0</v>
      </c>
      <c r="V64" s="60">
        <f t="shared" si="183"/>
        <v>0</v>
      </c>
      <c r="W64" s="60">
        <f t="shared" si="183"/>
        <v>0</v>
      </c>
      <c r="X64" s="60">
        <f t="shared" si="183"/>
        <v>0</v>
      </c>
      <c r="Y64" s="60">
        <f t="shared" si="183"/>
        <v>0</v>
      </c>
      <c r="Z64" s="60">
        <f t="shared" si="183"/>
        <v>0</v>
      </c>
      <c r="AA64" s="60">
        <f t="shared" si="183"/>
        <v>0</v>
      </c>
      <c r="AB64" s="60">
        <f t="shared" si="183"/>
        <v>0</v>
      </c>
      <c r="AC64" s="60">
        <f>IFERROR(AC25/$B50,0)</f>
        <v>0</v>
      </c>
      <c r="AD64" s="60">
        <f>IFERROR(AD25/$B50,0)</f>
        <v>0</v>
      </c>
      <c r="AE64" s="60">
        <f t="shared" ref="AE64:BB64" si="185">IFERROR(AE25/$B50,0)</f>
        <v>0</v>
      </c>
      <c r="AF64" s="60">
        <f t="shared" si="185"/>
        <v>0</v>
      </c>
      <c r="AG64" s="60">
        <f t="shared" si="185"/>
        <v>0</v>
      </c>
      <c r="AH64" s="60">
        <f t="shared" si="185"/>
        <v>0</v>
      </c>
      <c r="AI64" s="60">
        <f t="shared" si="185"/>
        <v>0</v>
      </c>
      <c r="AJ64" s="60">
        <f t="shared" si="185"/>
        <v>0</v>
      </c>
      <c r="AK64" s="60">
        <f t="shared" si="185"/>
        <v>0</v>
      </c>
      <c r="AL64" s="60">
        <f t="shared" si="185"/>
        <v>0</v>
      </c>
      <c r="AM64" s="60">
        <f t="shared" si="185"/>
        <v>0</v>
      </c>
      <c r="AN64" s="60">
        <f t="shared" si="185"/>
        <v>0</v>
      </c>
      <c r="AO64" s="60">
        <f t="shared" si="185"/>
        <v>0</v>
      </c>
      <c r="AP64" s="60">
        <f t="shared" si="185"/>
        <v>0</v>
      </c>
      <c r="AQ64" s="60">
        <f t="shared" si="185"/>
        <v>0</v>
      </c>
      <c r="AR64" s="60">
        <f t="shared" si="185"/>
        <v>0</v>
      </c>
      <c r="AS64" s="60">
        <f t="shared" si="185"/>
        <v>0</v>
      </c>
      <c r="AT64" s="60">
        <f t="shared" si="185"/>
        <v>0</v>
      </c>
      <c r="AU64" s="60">
        <f t="shared" ref="AU64" si="186">IFERROR(AU25/$B50,0)</f>
        <v>0</v>
      </c>
      <c r="AV64" s="60">
        <f t="shared" si="185"/>
        <v>0</v>
      </c>
      <c r="AW64" s="60">
        <f t="shared" si="185"/>
        <v>0</v>
      </c>
      <c r="AX64" s="60">
        <f t="shared" si="185"/>
        <v>0</v>
      </c>
      <c r="AY64" s="60">
        <f t="shared" si="185"/>
        <v>0</v>
      </c>
      <c r="AZ64" s="60">
        <f t="shared" si="185"/>
        <v>0</v>
      </c>
      <c r="BA64" s="60">
        <f t="shared" si="185"/>
        <v>0</v>
      </c>
      <c r="BB64" s="60">
        <f t="shared" si="185"/>
        <v>0</v>
      </c>
    </row>
    <row r="65" spans="1:54" x14ac:dyDescent="0.25">
      <c r="A65" s="190" t="s">
        <v>1073</v>
      </c>
      <c r="B65" s="191">
        <v>1</v>
      </c>
      <c r="C65" s="60">
        <f>IFERROR(C21/$B51,0)</f>
        <v>0</v>
      </c>
      <c r="D65" s="60">
        <f>IFERROR(D21/$B51,0)</f>
        <v>0</v>
      </c>
      <c r="E65" s="60">
        <f t="shared" ref="E65:AB65" si="187">IFERROR(E21/$B51,0)</f>
        <v>0</v>
      </c>
      <c r="F65" s="60">
        <f t="shared" si="187"/>
        <v>0</v>
      </c>
      <c r="G65" s="60">
        <f t="shared" si="187"/>
        <v>0</v>
      </c>
      <c r="H65" s="60">
        <f t="shared" si="187"/>
        <v>0</v>
      </c>
      <c r="I65" s="60">
        <f t="shared" si="187"/>
        <v>0</v>
      </c>
      <c r="J65" s="60">
        <f t="shared" si="187"/>
        <v>0</v>
      </c>
      <c r="K65" s="60">
        <f t="shared" si="187"/>
        <v>0</v>
      </c>
      <c r="L65" s="60">
        <f t="shared" si="187"/>
        <v>0</v>
      </c>
      <c r="M65" s="60">
        <f t="shared" si="187"/>
        <v>0</v>
      </c>
      <c r="N65" s="60">
        <f t="shared" si="187"/>
        <v>0</v>
      </c>
      <c r="O65" s="60">
        <f t="shared" si="187"/>
        <v>0</v>
      </c>
      <c r="P65" s="60">
        <f t="shared" si="187"/>
        <v>0</v>
      </c>
      <c r="Q65" s="60">
        <f t="shared" si="187"/>
        <v>0</v>
      </c>
      <c r="R65" s="60">
        <f t="shared" si="187"/>
        <v>0</v>
      </c>
      <c r="S65" s="60">
        <f t="shared" si="187"/>
        <v>0</v>
      </c>
      <c r="T65" s="60">
        <f t="shared" si="187"/>
        <v>0</v>
      </c>
      <c r="U65" s="60">
        <f t="shared" ref="U65" si="188">IFERROR(U21/$B51,0)</f>
        <v>0</v>
      </c>
      <c r="V65" s="60">
        <f t="shared" si="187"/>
        <v>0</v>
      </c>
      <c r="W65" s="60">
        <f t="shared" si="187"/>
        <v>0</v>
      </c>
      <c r="X65" s="60">
        <f t="shared" si="187"/>
        <v>0</v>
      </c>
      <c r="Y65" s="60">
        <f t="shared" si="187"/>
        <v>0</v>
      </c>
      <c r="Z65" s="60">
        <f t="shared" si="187"/>
        <v>0</v>
      </c>
      <c r="AA65" s="60">
        <f t="shared" si="187"/>
        <v>0</v>
      </c>
      <c r="AB65" s="60">
        <f t="shared" si="187"/>
        <v>0</v>
      </c>
      <c r="AC65" s="60">
        <f>IFERROR(AC21/$B51,0)</f>
        <v>0</v>
      </c>
      <c r="AD65" s="60">
        <f>IFERROR(AD21/$B51,0)</f>
        <v>0</v>
      </c>
      <c r="AE65" s="60">
        <f t="shared" ref="AE65:BB65" si="189">IFERROR(AE21/$B51,0)</f>
        <v>0</v>
      </c>
      <c r="AF65" s="60">
        <f t="shared" si="189"/>
        <v>0</v>
      </c>
      <c r="AG65" s="60">
        <f t="shared" si="189"/>
        <v>0</v>
      </c>
      <c r="AH65" s="60">
        <f t="shared" si="189"/>
        <v>0</v>
      </c>
      <c r="AI65" s="60">
        <f t="shared" si="189"/>
        <v>0</v>
      </c>
      <c r="AJ65" s="60">
        <f t="shared" si="189"/>
        <v>0</v>
      </c>
      <c r="AK65" s="60">
        <f t="shared" si="189"/>
        <v>0</v>
      </c>
      <c r="AL65" s="60">
        <f t="shared" si="189"/>
        <v>0</v>
      </c>
      <c r="AM65" s="60">
        <f t="shared" si="189"/>
        <v>0</v>
      </c>
      <c r="AN65" s="60">
        <f t="shared" si="189"/>
        <v>0</v>
      </c>
      <c r="AO65" s="60">
        <f t="shared" si="189"/>
        <v>0</v>
      </c>
      <c r="AP65" s="60">
        <f t="shared" si="189"/>
        <v>0</v>
      </c>
      <c r="AQ65" s="60">
        <f t="shared" si="189"/>
        <v>0</v>
      </c>
      <c r="AR65" s="60">
        <f t="shared" si="189"/>
        <v>0</v>
      </c>
      <c r="AS65" s="60">
        <f t="shared" si="189"/>
        <v>0</v>
      </c>
      <c r="AT65" s="60">
        <f t="shared" si="189"/>
        <v>0</v>
      </c>
      <c r="AU65" s="60">
        <f t="shared" ref="AU65" si="190">IFERROR(AU21/$B51,0)</f>
        <v>0</v>
      </c>
      <c r="AV65" s="60">
        <f t="shared" si="189"/>
        <v>0</v>
      </c>
      <c r="AW65" s="60">
        <f t="shared" si="189"/>
        <v>0</v>
      </c>
      <c r="AX65" s="60">
        <f t="shared" si="189"/>
        <v>0</v>
      </c>
      <c r="AY65" s="60">
        <f t="shared" si="189"/>
        <v>0</v>
      </c>
      <c r="AZ65" s="60">
        <f t="shared" si="189"/>
        <v>0</v>
      </c>
      <c r="BA65" s="60">
        <f t="shared" si="189"/>
        <v>0</v>
      </c>
      <c r="BB65" s="60">
        <f t="shared" si="189"/>
        <v>0</v>
      </c>
    </row>
    <row r="66" spans="1:54" x14ac:dyDescent="0.25">
      <c r="A66" s="190" t="s">
        <v>1074</v>
      </c>
      <c r="B66" s="193">
        <v>0.99980000000000002</v>
      </c>
      <c r="C66" s="60">
        <f>IFERROR(C17/$B52,0)</f>
        <v>9.7308772721176364</v>
      </c>
      <c r="D66" s="60">
        <f>IFERROR(D17/$B52,0)</f>
        <v>303.82165722895991</v>
      </c>
      <c r="E66" s="60">
        <f t="shared" ref="E66:AB66" si="191">IFERROR(E17/$B52,0)</f>
        <v>84.297360197003329</v>
      </c>
      <c r="F66" s="60">
        <f t="shared" si="191"/>
        <v>537.94606667665812</v>
      </c>
      <c r="G66" s="60">
        <f t="shared" si="191"/>
        <v>682.94497302414231</v>
      </c>
      <c r="H66" s="60">
        <f t="shared" si="191"/>
        <v>534.32956255234285</v>
      </c>
      <c r="I66" s="60">
        <f t="shared" si="191"/>
        <v>41.517045088851582</v>
      </c>
      <c r="J66" s="60">
        <f t="shared" si="191"/>
        <v>620.87547179245712</v>
      </c>
      <c r="K66" s="60">
        <f t="shared" si="191"/>
        <v>78.804067900488349</v>
      </c>
      <c r="L66" s="60">
        <f t="shared" si="191"/>
        <v>3263.4941312663459</v>
      </c>
      <c r="M66" s="60">
        <f t="shared" si="191"/>
        <v>218.63398854300058</v>
      </c>
      <c r="N66" s="60">
        <f t="shared" si="191"/>
        <v>83.585801820369412</v>
      </c>
      <c r="O66" s="60">
        <f t="shared" si="191"/>
        <v>797.24170101582172</v>
      </c>
      <c r="P66" s="60">
        <f t="shared" si="191"/>
        <v>588.45714203380737</v>
      </c>
      <c r="Q66" s="60">
        <f t="shared" si="191"/>
        <v>839.12907554244828</v>
      </c>
      <c r="R66" s="60">
        <f t="shared" si="191"/>
        <v>195.2376609370568</v>
      </c>
      <c r="S66" s="60">
        <f t="shared" si="191"/>
        <v>397.90137500501464</v>
      </c>
      <c r="T66" s="60">
        <f t="shared" si="191"/>
        <v>1288.0281191615115</v>
      </c>
      <c r="U66" s="60">
        <f t="shared" ref="U66" si="192">IFERROR(U17/$B52,0)</f>
        <v>820.27639042008104</v>
      </c>
      <c r="V66" s="60">
        <f t="shared" si="191"/>
        <v>1214.1209086716642</v>
      </c>
      <c r="W66" s="60">
        <f t="shared" si="191"/>
        <v>280.23342434267551</v>
      </c>
      <c r="X66" s="60">
        <f t="shared" si="191"/>
        <v>459.47327108578446</v>
      </c>
      <c r="Y66" s="60">
        <f t="shared" si="191"/>
        <v>598.67442766184797</v>
      </c>
      <c r="Z66" s="60">
        <f t="shared" si="191"/>
        <v>193.38325325300971</v>
      </c>
      <c r="AA66" s="60">
        <f t="shared" si="191"/>
        <v>9.4831138639939283</v>
      </c>
      <c r="AB66" s="60">
        <f t="shared" si="191"/>
        <v>13.750566856517059</v>
      </c>
      <c r="AC66" s="60">
        <f>IFERROR(AC17/$B52,0)</f>
        <v>6.041496790283631</v>
      </c>
      <c r="AD66" s="60">
        <f>IFERROR(AD17/$B52,0)</f>
        <v>171.71668500541912</v>
      </c>
      <c r="AE66" s="60">
        <f t="shared" ref="AE66:BB66" si="193">IFERROR(AE17/$B52,0)</f>
        <v>51.313991076151865</v>
      </c>
      <c r="AF66" s="60">
        <f t="shared" si="193"/>
        <v>323.05321190602223</v>
      </c>
      <c r="AG66" s="60">
        <f t="shared" si="193"/>
        <v>432.15862227429324</v>
      </c>
      <c r="AH66" s="60">
        <f t="shared" si="193"/>
        <v>295.03279483341987</v>
      </c>
      <c r="AI66" s="60">
        <f t="shared" si="193"/>
        <v>26.58050470693972</v>
      </c>
      <c r="AJ66" s="60">
        <f t="shared" si="193"/>
        <v>430.00514397429578</v>
      </c>
      <c r="AK66" s="60">
        <f t="shared" si="193"/>
        <v>49.795896384575535</v>
      </c>
      <c r="AL66" s="60">
        <f t="shared" si="193"/>
        <v>1470.4881976239369</v>
      </c>
      <c r="AM66" s="60">
        <f t="shared" si="193"/>
        <v>199.55749412421099</v>
      </c>
      <c r="AN66" s="60">
        <f t="shared" si="193"/>
        <v>49.721754370987767</v>
      </c>
      <c r="AO66" s="60">
        <f t="shared" si="193"/>
        <v>502.69794319073293</v>
      </c>
      <c r="AP66" s="60">
        <f t="shared" si="193"/>
        <v>358.68892217179967</v>
      </c>
      <c r="AQ66" s="60">
        <f t="shared" si="193"/>
        <v>401.28511277995835</v>
      </c>
      <c r="AR66" s="60">
        <f t="shared" si="193"/>
        <v>141.86271890292861</v>
      </c>
      <c r="AS66" s="60">
        <f t="shared" si="193"/>
        <v>231.12130209786261</v>
      </c>
      <c r="AT66" s="60">
        <f t="shared" si="193"/>
        <v>899.29503373275304</v>
      </c>
      <c r="AU66" s="60">
        <f t="shared" ref="AU66" si="194">IFERROR(AU17/$B52,0)</f>
        <v>399.51384522910354</v>
      </c>
      <c r="AV66" s="60">
        <f t="shared" si="193"/>
        <v>671.36470060865167</v>
      </c>
      <c r="AW66" s="60">
        <f t="shared" si="193"/>
        <v>171.26329301530322</v>
      </c>
      <c r="AX66" s="60">
        <f t="shared" si="193"/>
        <v>282.64457886562826</v>
      </c>
      <c r="AY66" s="60">
        <f t="shared" si="193"/>
        <v>378.48124487228262</v>
      </c>
      <c r="AZ66" s="60">
        <f t="shared" si="193"/>
        <v>101.92820202190993</v>
      </c>
      <c r="BA66" s="60">
        <f t="shared" si="193"/>
        <v>7.3205423576043236</v>
      </c>
      <c r="BB66" s="60">
        <f t="shared" si="193"/>
        <v>7.1219595283076584</v>
      </c>
    </row>
    <row r="67" spans="1:54" x14ac:dyDescent="0.25">
      <c r="A67" s="190" t="s">
        <v>1088</v>
      </c>
      <c r="B67" s="191">
        <v>2.0000000000000001E-4</v>
      </c>
      <c r="C67" s="60">
        <f>IFERROR(C5/$B53,0)</f>
        <v>0</v>
      </c>
      <c r="D67" s="60">
        <f>IFERROR(D5/$B53,0)</f>
        <v>0</v>
      </c>
      <c r="E67" s="60">
        <f t="shared" ref="E67:AB67" si="195">IFERROR(E5/$B53,0)</f>
        <v>0</v>
      </c>
      <c r="F67" s="60">
        <f t="shared" si="195"/>
        <v>0</v>
      </c>
      <c r="G67" s="60">
        <f t="shared" si="195"/>
        <v>0</v>
      </c>
      <c r="H67" s="60">
        <f t="shared" si="195"/>
        <v>0</v>
      </c>
      <c r="I67" s="60">
        <f t="shared" si="195"/>
        <v>0</v>
      </c>
      <c r="J67" s="60">
        <f t="shared" si="195"/>
        <v>0</v>
      </c>
      <c r="K67" s="60">
        <f t="shared" si="195"/>
        <v>0</v>
      </c>
      <c r="L67" s="60">
        <f t="shared" si="195"/>
        <v>0</v>
      </c>
      <c r="M67" s="60">
        <f t="shared" si="195"/>
        <v>0</v>
      </c>
      <c r="N67" s="60">
        <f t="shared" si="195"/>
        <v>0</v>
      </c>
      <c r="O67" s="60">
        <f t="shared" si="195"/>
        <v>0</v>
      </c>
      <c r="P67" s="60">
        <f t="shared" si="195"/>
        <v>0</v>
      </c>
      <c r="Q67" s="60">
        <f t="shared" si="195"/>
        <v>0</v>
      </c>
      <c r="R67" s="60">
        <f t="shared" si="195"/>
        <v>0</v>
      </c>
      <c r="S67" s="60">
        <f t="shared" si="195"/>
        <v>0</v>
      </c>
      <c r="T67" s="60">
        <f t="shared" si="195"/>
        <v>0</v>
      </c>
      <c r="U67" s="60">
        <f t="shared" ref="U67" si="196">IFERROR(U5/$B53,0)</f>
        <v>0</v>
      </c>
      <c r="V67" s="60">
        <f t="shared" si="195"/>
        <v>0</v>
      </c>
      <c r="W67" s="60">
        <f t="shared" si="195"/>
        <v>0</v>
      </c>
      <c r="X67" s="60">
        <f t="shared" si="195"/>
        <v>0</v>
      </c>
      <c r="Y67" s="60">
        <f t="shared" si="195"/>
        <v>0</v>
      </c>
      <c r="Z67" s="60">
        <f t="shared" si="195"/>
        <v>0</v>
      </c>
      <c r="AA67" s="60">
        <f t="shared" si="195"/>
        <v>0</v>
      </c>
      <c r="AB67" s="60">
        <f t="shared" si="195"/>
        <v>0</v>
      </c>
      <c r="AC67" s="60">
        <f>IFERROR(AC5/$B53,0)</f>
        <v>0</v>
      </c>
      <c r="AD67" s="60">
        <f>IFERROR(AD5/$B53,0)</f>
        <v>0</v>
      </c>
      <c r="AE67" s="60">
        <f t="shared" ref="AE67:BB67" si="197">IFERROR(AE5/$B53,0)</f>
        <v>0</v>
      </c>
      <c r="AF67" s="60">
        <f t="shared" si="197"/>
        <v>0</v>
      </c>
      <c r="AG67" s="60">
        <f t="shared" si="197"/>
        <v>0</v>
      </c>
      <c r="AH67" s="60">
        <f t="shared" si="197"/>
        <v>0</v>
      </c>
      <c r="AI67" s="60">
        <f t="shared" si="197"/>
        <v>0</v>
      </c>
      <c r="AJ67" s="60">
        <f t="shared" si="197"/>
        <v>0</v>
      </c>
      <c r="AK67" s="60">
        <f t="shared" si="197"/>
        <v>0</v>
      </c>
      <c r="AL67" s="60">
        <f t="shared" si="197"/>
        <v>0</v>
      </c>
      <c r="AM67" s="60">
        <f t="shared" si="197"/>
        <v>0</v>
      </c>
      <c r="AN67" s="60">
        <f t="shared" si="197"/>
        <v>0</v>
      </c>
      <c r="AO67" s="60">
        <f t="shared" si="197"/>
        <v>0</v>
      </c>
      <c r="AP67" s="60">
        <f t="shared" si="197"/>
        <v>0</v>
      </c>
      <c r="AQ67" s="60">
        <f t="shared" si="197"/>
        <v>0</v>
      </c>
      <c r="AR67" s="60">
        <f t="shared" si="197"/>
        <v>0</v>
      </c>
      <c r="AS67" s="60">
        <f t="shared" si="197"/>
        <v>0</v>
      </c>
      <c r="AT67" s="60">
        <f t="shared" si="197"/>
        <v>0</v>
      </c>
      <c r="AU67" s="60">
        <f t="shared" ref="AU67" si="198">IFERROR(AU5/$B53,0)</f>
        <v>0</v>
      </c>
      <c r="AV67" s="60">
        <f t="shared" si="197"/>
        <v>0</v>
      </c>
      <c r="AW67" s="60">
        <f t="shared" si="197"/>
        <v>0</v>
      </c>
      <c r="AX67" s="60">
        <f t="shared" si="197"/>
        <v>0</v>
      </c>
      <c r="AY67" s="60">
        <f t="shared" si="197"/>
        <v>0</v>
      </c>
      <c r="AZ67" s="60">
        <f t="shared" si="197"/>
        <v>0</v>
      </c>
      <c r="BA67" s="60">
        <f t="shared" si="197"/>
        <v>0</v>
      </c>
      <c r="BB67" s="60">
        <f t="shared" si="197"/>
        <v>0</v>
      </c>
    </row>
    <row r="68" spans="1:54" x14ac:dyDescent="0.25">
      <c r="A68" s="190" t="s">
        <v>1089</v>
      </c>
      <c r="B68" s="191">
        <v>0.99999979999999999</v>
      </c>
      <c r="C68" s="60">
        <f>IFERROR(C9/$B54,0)</f>
        <v>3.0866669424319086</v>
      </c>
      <c r="D68" s="60">
        <f>IFERROR(D9/$B54,0)</f>
        <v>56.296770198311883</v>
      </c>
      <c r="E68" s="60">
        <f t="shared" ref="E68:AB68" si="199">IFERROR(E9/$B54,0)</f>
        <v>123.21257048299113</v>
      </c>
      <c r="F68" s="60">
        <f t="shared" si="199"/>
        <v>148.55035135560126</v>
      </c>
      <c r="G68" s="60">
        <f t="shared" si="199"/>
        <v>126.61374253513277</v>
      </c>
      <c r="H68" s="60">
        <f t="shared" si="199"/>
        <v>154.70399287639091</v>
      </c>
      <c r="I68" s="60">
        <f t="shared" si="199"/>
        <v>60.686997294820209</v>
      </c>
      <c r="J68" s="60">
        <f t="shared" si="199"/>
        <v>171.05645045530275</v>
      </c>
      <c r="K68" s="60">
        <f t="shared" si="199"/>
        <v>14.598160715060159</v>
      </c>
      <c r="L68" s="60">
        <f t="shared" si="199"/>
        <v>80.064723607961525</v>
      </c>
      <c r="M68" s="60">
        <f t="shared" si="199"/>
        <v>60.042282032252203</v>
      </c>
      <c r="N68" s="60">
        <f t="shared" si="199"/>
        <v>125.78058825346717</v>
      </c>
      <c r="O68" s="60">
        <f t="shared" si="199"/>
        <v>128.05699012809606</v>
      </c>
      <c r="P68" s="60">
        <f t="shared" si="199"/>
        <v>161.96987324123504</v>
      </c>
      <c r="Q68" s="60">
        <f t="shared" si="199"/>
        <v>231.18716660160172</v>
      </c>
      <c r="R68" s="60">
        <f t="shared" si="199"/>
        <v>36.144651672834165</v>
      </c>
      <c r="S68" s="60">
        <f t="shared" si="199"/>
        <v>73.729313685392</v>
      </c>
      <c r="T68" s="60">
        <f t="shared" si="199"/>
        <v>128.65906012393887</v>
      </c>
      <c r="U68" s="60">
        <f t="shared" ref="U68" si="200">IFERROR(U9/$B54,0)</f>
        <v>252.41946471256583</v>
      </c>
      <c r="V68" s="60">
        <f t="shared" si="199"/>
        <v>37.845334294601422</v>
      </c>
      <c r="W68" s="60">
        <f t="shared" si="199"/>
        <v>77.037249406296056</v>
      </c>
      <c r="X68" s="60">
        <f t="shared" si="199"/>
        <v>82.332923582094281</v>
      </c>
      <c r="Y68" s="60">
        <f t="shared" si="199"/>
        <v>110.14614511921857</v>
      </c>
      <c r="Z68" s="60">
        <f t="shared" si="199"/>
        <v>58.209987948461688</v>
      </c>
      <c r="AA68" s="60">
        <f t="shared" si="199"/>
        <v>16.332859267288708</v>
      </c>
      <c r="AB68" s="60">
        <f t="shared" si="199"/>
        <v>18.730890467233944</v>
      </c>
      <c r="AC68" s="60">
        <f>IFERROR(AC9/$B54,0)</f>
        <v>1.8866129924004502</v>
      </c>
      <c r="AD68" s="60">
        <f>IFERROR(AD9/$B54,0)</f>
        <v>31.818320139307474</v>
      </c>
      <c r="AE68" s="60">
        <f t="shared" ref="AE68:BB68" si="201">IFERROR(AE9/$B54,0)</f>
        <v>75.00268961516899</v>
      </c>
      <c r="AF68" s="60">
        <f t="shared" si="201"/>
        <v>89.209069659468582</v>
      </c>
      <c r="AG68" s="60">
        <f t="shared" si="201"/>
        <v>80.119515768133184</v>
      </c>
      <c r="AH68" s="60">
        <f t="shared" si="201"/>
        <v>85.420599175139088</v>
      </c>
      <c r="AI68" s="60">
        <f t="shared" si="201"/>
        <v>38.853704876943759</v>
      </c>
      <c r="AJ68" s="60">
        <f t="shared" si="201"/>
        <v>118.47005872757701</v>
      </c>
      <c r="AK68" s="60">
        <f t="shared" si="201"/>
        <v>9.2245047462583099</v>
      </c>
      <c r="AL68" s="60">
        <f t="shared" si="201"/>
        <v>36.076127725667199</v>
      </c>
      <c r="AM68" s="60">
        <f t="shared" si="201"/>
        <v>54.803406477208405</v>
      </c>
      <c r="AN68" s="60">
        <f t="shared" si="201"/>
        <v>74.821696718510964</v>
      </c>
      <c r="AO68" s="60">
        <f t="shared" si="201"/>
        <v>80.745883546440766</v>
      </c>
      <c r="AP68" s="60">
        <f t="shared" si="201"/>
        <v>98.727324570161969</v>
      </c>
      <c r="AQ68" s="60">
        <f t="shared" si="201"/>
        <v>110.55744691367185</v>
      </c>
      <c r="AR68" s="60">
        <f t="shared" si="201"/>
        <v>26.263265680900744</v>
      </c>
      <c r="AS68" s="60">
        <f t="shared" si="201"/>
        <v>42.825725298221961</v>
      </c>
      <c r="AT68" s="60">
        <f t="shared" si="201"/>
        <v>89.82913656380623</v>
      </c>
      <c r="AU68" s="60">
        <f t="shared" ref="AU68" si="202">IFERROR(AU9/$B54,0)</f>
        <v>122.94035539209449</v>
      </c>
      <c r="AV68" s="60">
        <f t="shared" si="201"/>
        <v>20.92709329578026</v>
      </c>
      <c r="AW68" s="60">
        <f t="shared" si="201"/>
        <v>47.080939931098257</v>
      </c>
      <c r="AX68" s="60">
        <f t="shared" si="201"/>
        <v>50.647025577016137</v>
      </c>
      <c r="AY68" s="60">
        <f t="shared" si="201"/>
        <v>69.634258950094832</v>
      </c>
      <c r="AZ68" s="60">
        <f t="shared" si="201"/>
        <v>30.681247271919098</v>
      </c>
      <c r="BA68" s="60">
        <f t="shared" si="201"/>
        <v>9.5627779413176466</v>
      </c>
      <c r="BB68" s="60">
        <f t="shared" si="201"/>
        <v>9.7014650544081995</v>
      </c>
    </row>
    <row r="69" spans="1:54" x14ac:dyDescent="0.25">
      <c r="A69" s="190" t="s">
        <v>1090</v>
      </c>
      <c r="B69" s="191">
        <v>1.9999999999999999E-7</v>
      </c>
      <c r="C69" s="60">
        <f>IFERROR(C24/$B55,0)</f>
        <v>0</v>
      </c>
      <c r="D69" s="60">
        <f>IFERROR(D24/$B55,0)</f>
        <v>0</v>
      </c>
      <c r="E69" s="60">
        <f t="shared" ref="E69:AB69" si="203">IFERROR(E24/$B55,0)</f>
        <v>0</v>
      </c>
      <c r="F69" s="60">
        <f t="shared" si="203"/>
        <v>0</v>
      </c>
      <c r="G69" s="60">
        <f t="shared" si="203"/>
        <v>0</v>
      </c>
      <c r="H69" s="60">
        <f t="shared" si="203"/>
        <v>0</v>
      </c>
      <c r="I69" s="60">
        <f t="shared" si="203"/>
        <v>0</v>
      </c>
      <c r="J69" s="60">
        <f t="shared" si="203"/>
        <v>0</v>
      </c>
      <c r="K69" s="60">
        <f t="shared" si="203"/>
        <v>0</v>
      </c>
      <c r="L69" s="60">
        <f t="shared" si="203"/>
        <v>0</v>
      </c>
      <c r="M69" s="60">
        <f t="shared" si="203"/>
        <v>0</v>
      </c>
      <c r="N69" s="60">
        <f t="shared" si="203"/>
        <v>0</v>
      </c>
      <c r="O69" s="60">
        <f t="shared" si="203"/>
        <v>0</v>
      </c>
      <c r="P69" s="60">
        <f t="shared" si="203"/>
        <v>0</v>
      </c>
      <c r="Q69" s="60">
        <f t="shared" si="203"/>
        <v>0</v>
      </c>
      <c r="R69" s="60">
        <f t="shared" si="203"/>
        <v>0</v>
      </c>
      <c r="S69" s="60">
        <f t="shared" si="203"/>
        <v>0</v>
      </c>
      <c r="T69" s="60">
        <f t="shared" si="203"/>
        <v>0</v>
      </c>
      <c r="U69" s="60">
        <f t="shared" ref="U69" si="204">IFERROR(U24/$B55,0)</f>
        <v>0</v>
      </c>
      <c r="V69" s="60">
        <f t="shared" si="203"/>
        <v>0</v>
      </c>
      <c r="W69" s="60">
        <f t="shared" si="203"/>
        <v>0</v>
      </c>
      <c r="X69" s="60">
        <f t="shared" si="203"/>
        <v>0</v>
      </c>
      <c r="Y69" s="60">
        <f t="shared" si="203"/>
        <v>0</v>
      </c>
      <c r="Z69" s="60">
        <f t="shared" si="203"/>
        <v>0</v>
      </c>
      <c r="AA69" s="60">
        <f t="shared" si="203"/>
        <v>0</v>
      </c>
      <c r="AB69" s="60">
        <f t="shared" si="203"/>
        <v>0</v>
      </c>
      <c r="AC69" s="60">
        <f>IFERROR(AC24/$B55,0)</f>
        <v>0</v>
      </c>
      <c r="AD69" s="60">
        <f>IFERROR(AD24/$B55,0)</f>
        <v>0</v>
      </c>
      <c r="AE69" s="60">
        <f t="shared" ref="AE69:BB69" si="205">IFERROR(AE24/$B55,0)</f>
        <v>0</v>
      </c>
      <c r="AF69" s="60">
        <f t="shared" si="205"/>
        <v>0</v>
      </c>
      <c r="AG69" s="60">
        <f t="shared" si="205"/>
        <v>0</v>
      </c>
      <c r="AH69" s="60">
        <f t="shared" si="205"/>
        <v>0</v>
      </c>
      <c r="AI69" s="60">
        <f t="shared" si="205"/>
        <v>0</v>
      </c>
      <c r="AJ69" s="60">
        <f t="shared" si="205"/>
        <v>0</v>
      </c>
      <c r="AK69" s="60">
        <f t="shared" si="205"/>
        <v>0</v>
      </c>
      <c r="AL69" s="60">
        <f t="shared" si="205"/>
        <v>0</v>
      </c>
      <c r="AM69" s="60">
        <f t="shared" si="205"/>
        <v>0</v>
      </c>
      <c r="AN69" s="60">
        <f t="shared" si="205"/>
        <v>0</v>
      </c>
      <c r="AO69" s="60">
        <f t="shared" si="205"/>
        <v>0</v>
      </c>
      <c r="AP69" s="60">
        <f t="shared" si="205"/>
        <v>0</v>
      </c>
      <c r="AQ69" s="60">
        <f t="shared" si="205"/>
        <v>0</v>
      </c>
      <c r="AR69" s="60">
        <f t="shared" si="205"/>
        <v>0</v>
      </c>
      <c r="AS69" s="60">
        <f t="shared" si="205"/>
        <v>0</v>
      </c>
      <c r="AT69" s="60">
        <f t="shared" si="205"/>
        <v>0</v>
      </c>
      <c r="AU69" s="60">
        <f t="shared" ref="AU69" si="206">IFERROR(AU24/$B55,0)</f>
        <v>0</v>
      </c>
      <c r="AV69" s="60">
        <f t="shared" si="205"/>
        <v>0</v>
      </c>
      <c r="AW69" s="60">
        <f t="shared" si="205"/>
        <v>0</v>
      </c>
      <c r="AX69" s="60">
        <f t="shared" si="205"/>
        <v>0</v>
      </c>
      <c r="AY69" s="60">
        <f t="shared" si="205"/>
        <v>0</v>
      </c>
      <c r="AZ69" s="60">
        <f t="shared" si="205"/>
        <v>0</v>
      </c>
      <c r="BA69" s="60">
        <f t="shared" si="205"/>
        <v>0</v>
      </c>
      <c r="BB69" s="60">
        <f t="shared" si="205"/>
        <v>0</v>
      </c>
    </row>
    <row r="70" spans="1:54" x14ac:dyDescent="0.25">
      <c r="A70" s="190" t="s">
        <v>1091</v>
      </c>
      <c r="B70" s="191">
        <v>0.99979000004200003</v>
      </c>
      <c r="C70" s="60">
        <f>IFERROR(C20/$B56,0)</f>
        <v>0</v>
      </c>
      <c r="D70" s="60">
        <f>IFERROR(D20/$B56,0)</f>
        <v>0</v>
      </c>
      <c r="E70" s="60">
        <f t="shared" ref="E70:AB70" si="207">IFERROR(E20/$B56,0)</f>
        <v>0</v>
      </c>
      <c r="F70" s="60">
        <f t="shared" si="207"/>
        <v>0</v>
      </c>
      <c r="G70" s="60">
        <f t="shared" si="207"/>
        <v>0</v>
      </c>
      <c r="H70" s="60">
        <f t="shared" si="207"/>
        <v>0</v>
      </c>
      <c r="I70" s="60">
        <f t="shared" si="207"/>
        <v>0</v>
      </c>
      <c r="J70" s="60">
        <f t="shared" si="207"/>
        <v>0</v>
      </c>
      <c r="K70" s="60">
        <f t="shared" si="207"/>
        <v>0</v>
      </c>
      <c r="L70" s="60">
        <f t="shared" si="207"/>
        <v>0</v>
      </c>
      <c r="M70" s="60">
        <f t="shared" si="207"/>
        <v>0</v>
      </c>
      <c r="N70" s="60">
        <f t="shared" si="207"/>
        <v>0</v>
      </c>
      <c r="O70" s="60">
        <f t="shared" si="207"/>
        <v>0</v>
      </c>
      <c r="P70" s="60">
        <f t="shared" si="207"/>
        <v>0</v>
      </c>
      <c r="Q70" s="60">
        <f t="shared" si="207"/>
        <v>0</v>
      </c>
      <c r="R70" s="60">
        <f t="shared" si="207"/>
        <v>0</v>
      </c>
      <c r="S70" s="60">
        <f t="shared" si="207"/>
        <v>0</v>
      </c>
      <c r="T70" s="60">
        <f t="shared" si="207"/>
        <v>0</v>
      </c>
      <c r="U70" s="60">
        <f t="shared" ref="U70" si="208">IFERROR(U20/$B56,0)</f>
        <v>0</v>
      </c>
      <c r="V70" s="60">
        <f t="shared" si="207"/>
        <v>0</v>
      </c>
      <c r="W70" s="60">
        <f t="shared" si="207"/>
        <v>0</v>
      </c>
      <c r="X70" s="60">
        <f t="shared" si="207"/>
        <v>0</v>
      </c>
      <c r="Y70" s="60">
        <f t="shared" si="207"/>
        <v>0</v>
      </c>
      <c r="Z70" s="60">
        <f t="shared" si="207"/>
        <v>0</v>
      </c>
      <c r="AA70" s="60">
        <f t="shared" si="207"/>
        <v>0</v>
      </c>
      <c r="AB70" s="60">
        <f t="shared" si="207"/>
        <v>0</v>
      </c>
      <c r="AC70" s="60">
        <f>IFERROR(AC20/$B56,0)</f>
        <v>0</v>
      </c>
      <c r="AD70" s="60">
        <f>IFERROR(AD20/$B56,0)</f>
        <v>0</v>
      </c>
      <c r="AE70" s="60">
        <f t="shared" ref="AE70:BB70" si="209">IFERROR(AE20/$B56,0)</f>
        <v>0</v>
      </c>
      <c r="AF70" s="60">
        <f t="shared" si="209"/>
        <v>0</v>
      </c>
      <c r="AG70" s="60">
        <f t="shared" si="209"/>
        <v>0</v>
      </c>
      <c r="AH70" s="60">
        <f t="shared" si="209"/>
        <v>0</v>
      </c>
      <c r="AI70" s="60">
        <f t="shared" si="209"/>
        <v>0</v>
      </c>
      <c r="AJ70" s="60">
        <f t="shared" si="209"/>
        <v>0</v>
      </c>
      <c r="AK70" s="60">
        <f t="shared" si="209"/>
        <v>0</v>
      </c>
      <c r="AL70" s="60">
        <f t="shared" si="209"/>
        <v>0</v>
      </c>
      <c r="AM70" s="60">
        <f t="shared" si="209"/>
        <v>0</v>
      </c>
      <c r="AN70" s="60">
        <f t="shared" si="209"/>
        <v>0</v>
      </c>
      <c r="AO70" s="60">
        <f t="shared" si="209"/>
        <v>0</v>
      </c>
      <c r="AP70" s="60">
        <f t="shared" si="209"/>
        <v>0</v>
      </c>
      <c r="AQ70" s="60">
        <f t="shared" si="209"/>
        <v>0</v>
      </c>
      <c r="AR70" s="60">
        <f t="shared" si="209"/>
        <v>0</v>
      </c>
      <c r="AS70" s="60">
        <f t="shared" si="209"/>
        <v>0</v>
      </c>
      <c r="AT70" s="60">
        <f t="shared" si="209"/>
        <v>0</v>
      </c>
      <c r="AU70" s="60">
        <f t="shared" ref="AU70" si="210">IFERROR(AU20/$B56,0)</f>
        <v>0</v>
      </c>
      <c r="AV70" s="60">
        <f t="shared" si="209"/>
        <v>0</v>
      </c>
      <c r="AW70" s="60">
        <f t="shared" si="209"/>
        <v>0</v>
      </c>
      <c r="AX70" s="60">
        <f t="shared" si="209"/>
        <v>0</v>
      </c>
      <c r="AY70" s="60">
        <f t="shared" si="209"/>
        <v>0</v>
      </c>
      <c r="AZ70" s="60">
        <f t="shared" si="209"/>
        <v>0</v>
      </c>
      <c r="BA70" s="60">
        <f t="shared" si="209"/>
        <v>0</v>
      </c>
      <c r="BB70" s="60">
        <f t="shared" si="209"/>
        <v>0</v>
      </c>
    </row>
    <row r="71" spans="1:54" x14ac:dyDescent="0.25">
      <c r="A71" s="190" t="s">
        <v>1092</v>
      </c>
      <c r="B71" s="191">
        <v>2.0999995799999999E-4</v>
      </c>
      <c r="C71" s="60">
        <f>IFERROR(C29/$B57,0)</f>
        <v>0</v>
      </c>
      <c r="D71" s="60">
        <f>IFERROR(D29/$B57,0)</f>
        <v>0</v>
      </c>
      <c r="E71" s="60">
        <f t="shared" ref="E71:AB71" si="211">IFERROR(E29/$B57,0)</f>
        <v>0</v>
      </c>
      <c r="F71" s="60">
        <f t="shared" si="211"/>
        <v>0</v>
      </c>
      <c r="G71" s="60">
        <f t="shared" si="211"/>
        <v>0</v>
      </c>
      <c r="H71" s="60">
        <f t="shared" si="211"/>
        <v>0</v>
      </c>
      <c r="I71" s="60">
        <f t="shared" si="211"/>
        <v>0</v>
      </c>
      <c r="J71" s="60">
        <f t="shared" si="211"/>
        <v>0</v>
      </c>
      <c r="K71" s="60">
        <f t="shared" si="211"/>
        <v>0</v>
      </c>
      <c r="L71" s="60">
        <f t="shared" si="211"/>
        <v>0</v>
      </c>
      <c r="M71" s="60">
        <f t="shared" si="211"/>
        <v>0</v>
      </c>
      <c r="N71" s="60">
        <f t="shared" si="211"/>
        <v>0</v>
      </c>
      <c r="O71" s="60">
        <f t="shared" si="211"/>
        <v>0</v>
      </c>
      <c r="P71" s="60">
        <f t="shared" si="211"/>
        <v>0</v>
      </c>
      <c r="Q71" s="60">
        <f t="shared" si="211"/>
        <v>0</v>
      </c>
      <c r="R71" s="60">
        <f t="shared" si="211"/>
        <v>0</v>
      </c>
      <c r="S71" s="60">
        <f t="shared" si="211"/>
        <v>0</v>
      </c>
      <c r="T71" s="60">
        <f t="shared" si="211"/>
        <v>0</v>
      </c>
      <c r="U71" s="60">
        <f t="shared" ref="U71" si="212">IFERROR(U29/$B57,0)</f>
        <v>0</v>
      </c>
      <c r="V71" s="60">
        <f t="shared" si="211"/>
        <v>0</v>
      </c>
      <c r="W71" s="60">
        <f t="shared" si="211"/>
        <v>0</v>
      </c>
      <c r="X71" s="60">
        <f t="shared" si="211"/>
        <v>0</v>
      </c>
      <c r="Y71" s="60">
        <f t="shared" si="211"/>
        <v>0</v>
      </c>
      <c r="Z71" s="60">
        <f t="shared" si="211"/>
        <v>0</v>
      </c>
      <c r="AA71" s="60">
        <f t="shared" si="211"/>
        <v>0</v>
      </c>
      <c r="AB71" s="60">
        <f t="shared" si="211"/>
        <v>0</v>
      </c>
      <c r="AC71" s="60">
        <f>IFERROR(AC29/$B57,0)</f>
        <v>0</v>
      </c>
      <c r="AD71" s="60">
        <f>IFERROR(AD29/$B57,0)</f>
        <v>0</v>
      </c>
      <c r="AE71" s="60">
        <f t="shared" ref="AE71:BB71" si="213">IFERROR(AE29/$B57,0)</f>
        <v>0</v>
      </c>
      <c r="AF71" s="60">
        <f t="shared" si="213"/>
        <v>0</v>
      </c>
      <c r="AG71" s="60">
        <f t="shared" si="213"/>
        <v>0</v>
      </c>
      <c r="AH71" s="60">
        <f t="shared" si="213"/>
        <v>0</v>
      </c>
      <c r="AI71" s="60">
        <f t="shared" si="213"/>
        <v>0</v>
      </c>
      <c r="AJ71" s="60">
        <f t="shared" si="213"/>
        <v>0</v>
      </c>
      <c r="AK71" s="60">
        <f t="shared" si="213"/>
        <v>0</v>
      </c>
      <c r="AL71" s="60">
        <f t="shared" si="213"/>
        <v>0</v>
      </c>
      <c r="AM71" s="60">
        <f t="shared" si="213"/>
        <v>0</v>
      </c>
      <c r="AN71" s="60">
        <f t="shared" si="213"/>
        <v>0</v>
      </c>
      <c r="AO71" s="60">
        <f t="shared" si="213"/>
        <v>0</v>
      </c>
      <c r="AP71" s="60">
        <f t="shared" si="213"/>
        <v>0</v>
      </c>
      <c r="AQ71" s="60">
        <f t="shared" si="213"/>
        <v>0</v>
      </c>
      <c r="AR71" s="60">
        <f t="shared" si="213"/>
        <v>0</v>
      </c>
      <c r="AS71" s="60">
        <f t="shared" si="213"/>
        <v>0</v>
      </c>
      <c r="AT71" s="60">
        <f t="shared" si="213"/>
        <v>0</v>
      </c>
      <c r="AU71" s="60">
        <f t="shared" ref="AU71" si="214">IFERROR(AU29/$B57,0)</f>
        <v>0</v>
      </c>
      <c r="AV71" s="60">
        <f t="shared" si="213"/>
        <v>0</v>
      </c>
      <c r="AW71" s="60">
        <f t="shared" si="213"/>
        <v>0</v>
      </c>
      <c r="AX71" s="60">
        <f t="shared" si="213"/>
        <v>0</v>
      </c>
      <c r="AY71" s="60">
        <f t="shared" si="213"/>
        <v>0</v>
      </c>
      <c r="AZ71" s="60">
        <f t="shared" si="213"/>
        <v>0</v>
      </c>
      <c r="BA71" s="60">
        <f t="shared" si="213"/>
        <v>0</v>
      </c>
      <c r="BB71" s="60">
        <f t="shared" si="213"/>
        <v>0</v>
      </c>
    </row>
    <row r="72" spans="1:54" x14ac:dyDescent="0.25">
      <c r="A72" s="190" t="s">
        <v>1093</v>
      </c>
      <c r="B72" s="191">
        <v>1</v>
      </c>
      <c r="C72" s="60">
        <f>IFERROR(C16/$B58,0)</f>
        <v>4.0078301058581178E-3</v>
      </c>
      <c r="D72" s="60">
        <f>IFERROR(D16/$B58,0)</f>
        <v>0.12513420430683758</v>
      </c>
      <c r="E72" s="60">
        <f t="shared" ref="E72:AB72" si="215">IFERROR(E16/$B58,0)</f>
        <v>3.4719325770346775E-2</v>
      </c>
      <c r="F72" s="60">
        <f t="shared" si="215"/>
        <v>0.22156239165941918</v>
      </c>
      <c r="G72" s="60">
        <f t="shared" si="215"/>
        <v>0.28128269908135034</v>
      </c>
      <c r="H72" s="60">
        <f t="shared" si="215"/>
        <v>0.22007287188622024</v>
      </c>
      <c r="I72" s="60">
        <f t="shared" si="215"/>
        <v>1.7099513081944118E-2</v>
      </c>
      <c r="J72" s="60">
        <f t="shared" si="215"/>
        <v>0.25571830146997143</v>
      </c>
      <c r="K72" s="60">
        <f t="shared" si="215"/>
        <v>3.2456818328254658E-2</v>
      </c>
      <c r="L72" s="60">
        <f t="shared" si="215"/>
        <v>1.3441265020429314</v>
      </c>
      <c r="M72" s="60">
        <f t="shared" si="215"/>
        <v>9.0048189586897018E-2</v>
      </c>
      <c r="N72" s="60">
        <f t="shared" si="215"/>
        <v>3.4426258146102832E-2</v>
      </c>
      <c r="O72" s="60">
        <f t="shared" si="215"/>
        <v>0.3283577833349246</v>
      </c>
      <c r="P72" s="60">
        <f t="shared" si="215"/>
        <v>0.24236625166448897</v>
      </c>
      <c r="Q72" s="60">
        <f t="shared" si="215"/>
        <v>0.34560982300088533</v>
      </c>
      <c r="R72" s="60">
        <f t="shared" si="215"/>
        <v>8.0412007408924208E-2</v>
      </c>
      <c r="S72" s="60">
        <f t="shared" si="215"/>
        <v>0.16388256323783584</v>
      </c>
      <c r="T72" s="60">
        <f t="shared" si="215"/>
        <v>0.53049665809256596</v>
      </c>
      <c r="U72" s="60">
        <f t="shared" ref="U72" si="216">IFERROR(U16/$B58,0)</f>
        <v>0.33784501856478494</v>
      </c>
      <c r="V72" s="60">
        <f t="shared" si="215"/>
        <v>0.50005669518295859</v>
      </c>
      <c r="W72" s="60">
        <f t="shared" si="215"/>
        <v>0.11541898262003999</v>
      </c>
      <c r="X72" s="60">
        <f t="shared" si="215"/>
        <v>0.18924201356143183</v>
      </c>
      <c r="Y72" s="60">
        <f t="shared" si="215"/>
        <v>0.24657441746445707</v>
      </c>
      <c r="Z72" s="60">
        <f t="shared" si="215"/>
        <v>7.9648237531160515E-2</v>
      </c>
      <c r="AA72" s="60">
        <f t="shared" si="215"/>
        <v>3.9057844610061883E-3</v>
      </c>
      <c r="AB72" s="60">
        <f t="shared" si="215"/>
        <v>5.6634087841260826E-3</v>
      </c>
      <c r="AC72" s="60">
        <f>IFERROR(AC16/$B58,0)</f>
        <v>2.4882949443750016E-3</v>
      </c>
      <c r="AD72" s="60">
        <f>IFERROR(AD16/$B58,0)</f>
        <v>7.0724486662147076E-2</v>
      </c>
      <c r="AE72" s="60">
        <f t="shared" ref="AE72:BB72" si="217">IFERROR(AE16/$B58,0)</f>
        <v>2.1134554730848115E-2</v>
      </c>
      <c r="AF72" s="60">
        <f t="shared" si="217"/>
        <v>0.13305505272181442</v>
      </c>
      <c r="AG72" s="60">
        <f t="shared" si="217"/>
        <v>0.1779920030252479</v>
      </c>
      <c r="AH72" s="60">
        <f t="shared" si="217"/>
        <v>0.12151435932060807</v>
      </c>
      <c r="AI72" s="60">
        <f t="shared" si="217"/>
        <v>1.0947640589263466E-2</v>
      </c>
      <c r="AJ72" s="60">
        <f t="shared" si="217"/>
        <v>0.1771050557417001</v>
      </c>
      <c r="AK72" s="60">
        <f t="shared" si="217"/>
        <v>2.0509301175767675E-2</v>
      </c>
      <c r="AL72" s="60">
        <f t="shared" si="217"/>
        <v>0.60564599716339007</v>
      </c>
      <c r="AM72" s="60">
        <f t="shared" si="217"/>
        <v>8.2191205421149646E-2</v>
      </c>
      <c r="AN72" s="60">
        <f t="shared" si="217"/>
        <v>2.047876450514112E-2</v>
      </c>
      <c r="AO72" s="60">
        <f t="shared" si="217"/>
        <v>0.20704484236438495</v>
      </c>
      <c r="AP72" s="60">
        <f t="shared" si="217"/>
        <v>0.14773223633567564</v>
      </c>
      <c r="AQ72" s="60">
        <f t="shared" si="217"/>
        <v>0.16527621416421293</v>
      </c>
      <c r="AR72" s="60">
        <f t="shared" si="217"/>
        <v>5.8428614380655323E-2</v>
      </c>
      <c r="AS72" s="60">
        <f t="shared" si="217"/>
        <v>9.5191305650015864E-2</v>
      </c>
      <c r="AT72" s="60">
        <f t="shared" si="217"/>
        <v>0.37039021348775747</v>
      </c>
      <c r="AU72" s="60">
        <f t="shared" ref="AU72" si="218">IFERROR(AU16/$B58,0)</f>
        <v>0.16454668698826283</v>
      </c>
      <c r="AV72" s="60">
        <f t="shared" si="217"/>
        <v>0.27651316359930012</v>
      </c>
      <c r="AW72" s="60">
        <f t="shared" si="217"/>
        <v>7.0537749329332447E-2</v>
      </c>
      <c r="AX72" s="60">
        <f t="shared" si="217"/>
        <v>0.1164120583126762</v>
      </c>
      <c r="AY72" s="60">
        <f t="shared" si="217"/>
        <v>0.15588404675991627</v>
      </c>
      <c r="AZ72" s="60">
        <f t="shared" si="217"/>
        <v>4.1980892911878072E-2</v>
      </c>
      <c r="BA72" s="60">
        <f t="shared" si="217"/>
        <v>3.0150919831333244E-3</v>
      </c>
      <c r="BB72" s="60">
        <f t="shared" si="217"/>
        <v>2.9333022102788092E-3</v>
      </c>
    </row>
    <row r="73" spans="1:54" x14ac:dyDescent="0.25">
      <c r="A73" s="190" t="s">
        <v>1094</v>
      </c>
      <c r="B73" s="191">
        <v>1</v>
      </c>
      <c r="C73" s="60">
        <f>IFERROR(C7/$B59,0)</f>
        <v>6.2873288497035204E-2</v>
      </c>
      <c r="D73" s="60">
        <f>IFERROR(D7/$B59,0)</f>
        <v>1.1467265954327495</v>
      </c>
      <c r="E73" s="60">
        <f t="shared" ref="E73:AB73" si="219">IFERROR(E7/$B59,0)</f>
        <v>2.5097555502165352</v>
      </c>
      <c r="F73" s="60">
        <f t="shared" si="219"/>
        <v>3.0258687676092544</v>
      </c>
      <c r="G73" s="60">
        <f t="shared" si="219"/>
        <v>2.5790350920818041</v>
      </c>
      <c r="H73" s="60">
        <f t="shared" si="219"/>
        <v>3.1512142246539687</v>
      </c>
      <c r="I73" s="60">
        <f t="shared" si="219"/>
        <v>1.2361525101667807</v>
      </c>
      <c r="J73" s="60">
        <f t="shared" si="219"/>
        <v>3.4843025695158265</v>
      </c>
      <c r="K73" s="60">
        <f t="shared" si="219"/>
        <v>0.29735452100346271</v>
      </c>
      <c r="L73" s="60">
        <f t="shared" si="219"/>
        <v>1.630863504137132</v>
      </c>
      <c r="M73" s="60">
        <f t="shared" si="219"/>
        <v>1.2230201024733405</v>
      </c>
      <c r="N73" s="60">
        <f t="shared" si="219"/>
        <v>2.5620643108181707</v>
      </c>
      <c r="O73" s="60">
        <f t="shared" si="219"/>
        <v>2.608433055638423</v>
      </c>
      <c r="P73" s="60">
        <f t="shared" si="219"/>
        <v>3.2992152240762986</v>
      </c>
      <c r="Q73" s="60">
        <f t="shared" si="219"/>
        <v>4.7091240142360435</v>
      </c>
      <c r="R73" s="60">
        <f t="shared" si="219"/>
        <v>0.73624176324656387</v>
      </c>
      <c r="S73" s="60">
        <f t="shared" si="219"/>
        <v>1.5018155494216614</v>
      </c>
      <c r="T73" s="60">
        <f t="shared" si="219"/>
        <v>2.6206968084987201</v>
      </c>
      <c r="U73" s="60">
        <f t="shared" ref="U73" si="220">IFERROR(U7/$B59,0)</f>
        <v>5.141611363692002</v>
      </c>
      <c r="V73" s="60">
        <f t="shared" si="219"/>
        <v>0.77088350176728082</v>
      </c>
      <c r="W73" s="60">
        <f t="shared" si="219"/>
        <v>1.5691959311696793</v>
      </c>
      <c r="X73" s="60">
        <f t="shared" si="219"/>
        <v>1.6770651818698967</v>
      </c>
      <c r="Y73" s="60">
        <f t="shared" si="219"/>
        <v>2.243601427713708</v>
      </c>
      <c r="Z73" s="60">
        <f t="shared" si="219"/>
        <v>1.1856975287424651</v>
      </c>
      <c r="AA73" s="60">
        <f t="shared" si="219"/>
        <v>0.33268914069642008</v>
      </c>
      <c r="AB73" s="60">
        <f t="shared" si="219"/>
        <v>0.38153539144877974</v>
      </c>
      <c r="AC73" s="60">
        <f>IFERROR(AC7/$B59,0)</f>
        <v>3.8429012642352843E-2</v>
      </c>
      <c r="AD73" s="60">
        <f>IFERROR(AD7/$B59,0)</f>
        <v>0.64811735730501019</v>
      </c>
      <c r="AE73" s="60">
        <f t="shared" ref="AE73:BB73" si="221">IFERROR(AE7/$B59,0)</f>
        <v>1.5277533437127977</v>
      </c>
      <c r="AF73" s="60">
        <f t="shared" si="221"/>
        <v>1.8171275611721136</v>
      </c>
      <c r="AG73" s="60">
        <f t="shared" si="221"/>
        <v>1.6319795828583219</v>
      </c>
      <c r="AH73" s="60">
        <f t="shared" si="221"/>
        <v>1.7399590158880913</v>
      </c>
      <c r="AI73" s="60">
        <f t="shared" si="221"/>
        <v>0.79142331889623285</v>
      </c>
      <c r="AJ73" s="60">
        <f t="shared" si="221"/>
        <v>2.4131538386098379</v>
      </c>
      <c r="AK73" s="60">
        <f t="shared" si="221"/>
        <v>0.18789683466685309</v>
      </c>
      <c r="AL73" s="60">
        <f t="shared" si="221"/>
        <v>0.73484597744280311</v>
      </c>
      <c r="AM73" s="60">
        <f t="shared" si="221"/>
        <v>1.1163078007201688</v>
      </c>
      <c r="AN73" s="60">
        <f t="shared" si="221"/>
        <v>1.524066642549462</v>
      </c>
      <c r="AO73" s="60">
        <f t="shared" si="221"/>
        <v>1.644738264881771</v>
      </c>
      <c r="AP73" s="60">
        <f t="shared" si="221"/>
        <v>2.0110078852076079</v>
      </c>
      <c r="AQ73" s="60">
        <f t="shared" si="221"/>
        <v>2.251979363158092</v>
      </c>
      <c r="AR73" s="60">
        <f t="shared" si="221"/>
        <v>0.53496470815493014</v>
      </c>
      <c r="AS73" s="60">
        <f t="shared" si="221"/>
        <v>0.87233065050045844</v>
      </c>
      <c r="AT73" s="60">
        <f t="shared" si="221"/>
        <v>1.829757898714514</v>
      </c>
      <c r="AU73" s="60">
        <f t="shared" ref="AU73" si="222">IFERROR(AU7/$B59,0)</f>
        <v>2.5042107155251361</v>
      </c>
      <c r="AV73" s="60">
        <f t="shared" si="221"/>
        <v>0.42627053670821796</v>
      </c>
      <c r="AW73" s="60">
        <f t="shared" si="221"/>
        <v>0.95900645395428041</v>
      </c>
      <c r="AX73" s="60">
        <f t="shared" si="221"/>
        <v>1.0316451726118496</v>
      </c>
      <c r="AY73" s="60">
        <f t="shared" si="221"/>
        <v>1.4184020932291268</v>
      </c>
      <c r="AZ73" s="60">
        <f t="shared" si="221"/>
        <v>0.62495596290554367</v>
      </c>
      <c r="BA73" s="60">
        <f t="shared" si="221"/>
        <v>0.19478722763131812</v>
      </c>
      <c r="BB73" s="60">
        <f t="shared" si="221"/>
        <v>0.19761218900058494</v>
      </c>
    </row>
    <row r="74" spans="1:54" x14ac:dyDescent="0.25">
      <c r="A74" s="190" t="s">
        <v>1095</v>
      </c>
      <c r="B74" s="194">
        <v>1.9000000000000001E-8</v>
      </c>
      <c r="C74" s="60">
        <f>IFERROR(C12/$B60,0)</f>
        <v>0</v>
      </c>
      <c r="D74" s="60">
        <f>IFERROR(D12/$B60,0)</f>
        <v>0</v>
      </c>
      <c r="E74" s="60">
        <f t="shared" ref="E74:AB74" si="223">IFERROR(E12/$B60,0)</f>
        <v>0</v>
      </c>
      <c r="F74" s="60">
        <f t="shared" si="223"/>
        <v>0</v>
      </c>
      <c r="G74" s="60">
        <f t="shared" si="223"/>
        <v>0</v>
      </c>
      <c r="H74" s="60">
        <f t="shared" si="223"/>
        <v>0</v>
      </c>
      <c r="I74" s="60">
        <f t="shared" si="223"/>
        <v>0</v>
      </c>
      <c r="J74" s="60">
        <f t="shared" si="223"/>
        <v>0</v>
      </c>
      <c r="K74" s="60">
        <f t="shared" si="223"/>
        <v>0</v>
      </c>
      <c r="L74" s="60">
        <f t="shared" si="223"/>
        <v>0</v>
      </c>
      <c r="M74" s="60">
        <f t="shared" si="223"/>
        <v>0</v>
      </c>
      <c r="N74" s="60">
        <f t="shared" si="223"/>
        <v>0</v>
      </c>
      <c r="O74" s="60">
        <f t="shared" si="223"/>
        <v>0</v>
      </c>
      <c r="P74" s="60">
        <f t="shared" si="223"/>
        <v>0</v>
      </c>
      <c r="Q74" s="60">
        <f t="shared" si="223"/>
        <v>0</v>
      </c>
      <c r="R74" s="60">
        <f t="shared" si="223"/>
        <v>0</v>
      </c>
      <c r="S74" s="60">
        <f t="shared" si="223"/>
        <v>0</v>
      </c>
      <c r="T74" s="60">
        <f t="shared" si="223"/>
        <v>0</v>
      </c>
      <c r="U74" s="60">
        <f t="shared" ref="U74" si="224">IFERROR(U12/$B60,0)</f>
        <v>0</v>
      </c>
      <c r="V74" s="60">
        <f t="shared" si="223"/>
        <v>0</v>
      </c>
      <c r="W74" s="60">
        <f t="shared" si="223"/>
        <v>0</v>
      </c>
      <c r="X74" s="60">
        <f t="shared" si="223"/>
        <v>0</v>
      </c>
      <c r="Y74" s="60">
        <f t="shared" si="223"/>
        <v>0</v>
      </c>
      <c r="Z74" s="60">
        <f t="shared" si="223"/>
        <v>0</v>
      </c>
      <c r="AA74" s="60">
        <f t="shared" si="223"/>
        <v>0</v>
      </c>
      <c r="AB74" s="60">
        <f t="shared" si="223"/>
        <v>0</v>
      </c>
      <c r="AC74" s="60">
        <f>IFERROR(AC12/$B60,0)</f>
        <v>0</v>
      </c>
      <c r="AD74" s="60">
        <f>IFERROR(AD12/$B60,0)</f>
        <v>0</v>
      </c>
      <c r="AE74" s="60">
        <f t="shared" ref="AE74:BB74" si="225">IFERROR(AE12/$B60,0)</f>
        <v>0</v>
      </c>
      <c r="AF74" s="60">
        <f t="shared" si="225"/>
        <v>0</v>
      </c>
      <c r="AG74" s="60">
        <f t="shared" si="225"/>
        <v>0</v>
      </c>
      <c r="AH74" s="60">
        <f t="shared" si="225"/>
        <v>0</v>
      </c>
      <c r="AI74" s="60">
        <f t="shared" si="225"/>
        <v>0</v>
      </c>
      <c r="AJ74" s="60">
        <f t="shared" si="225"/>
        <v>0</v>
      </c>
      <c r="AK74" s="60">
        <f t="shared" si="225"/>
        <v>0</v>
      </c>
      <c r="AL74" s="60">
        <f t="shared" si="225"/>
        <v>0</v>
      </c>
      <c r="AM74" s="60">
        <f t="shared" si="225"/>
        <v>0</v>
      </c>
      <c r="AN74" s="60">
        <f t="shared" si="225"/>
        <v>0</v>
      </c>
      <c r="AO74" s="60">
        <f t="shared" si="225"/>
        <v>0</v>
      </c>
      <c r="AP74" s="60">
        <f t="shared" si="225"/>
        <v>0</v>
      </c>
      <c r="AQ74" s="60">
        <f t="shared" si="225"/>
        <v>0</v>
      </c>
      <c r="AR74" s="60">
        <f t="shared" si="225"/>
        <v>0</v>
      </c>
      <c r="AS74" s="60">
        <f t="shared" si="225"/>
        <v>0</v>
      </c>
      <c r="AT74" s="60">
        <f t="shared" si="225"/>
        <v>0</v>
      </c>
      <c r="AU74" s="60">
        <f t="shared" ref="AU74" si="226">IFERROR(AU12/$B60,0)</f>
        <v>0</v>
      </c>
      <c r="AV74" s="60">
        <f t="shared" si="225"/>
        <v>0</v>
      </c>
      <c r="AW74" s="60">
        <f t="shared" si="225"/>
        <v>0</v>
      </c>
      <c r="AX74" s="60">
        <f t="shared" si="225"/>
        <v>0</v>
      </c>
      <c r="AY74" s="60">
        <f t="shared" si="225"/>
        <v>0</v>
      </c>
      <c r="AZ74" s="60">
        <f t="shared" si="225"/>
        <v>0</v>
      </c>
      <c r="BA74" s="60">
        <f t="shared" si="225"/>
        <v>0</v>
      </c>
      <c r="BB74" s="60">
        <f t="shared" si="225"/>
        <v>0</v>
      </c>
    </row>
    <row r="75" spans="1:54" x14ac:dyDescent="0.25">
      <c r="A75" s="190" t="s">
        <v>1096</v>
      </c>
      <c r="B75" s="191">
        <v>1</v>
      </c>
      <c r="C75" s="60">
        <f>IFERROR(C18/$B61,0)</f>
        <v>1.6410020144732348E-2</v>
      </c>
      <c r="D75" s="60">
        <f>IFERROR(D18/$B61,0)</f>
        <v>1.8440685915475068</v>
      </c>
      <c r="E75" s="60">
        <f t="shared" ref="E75:AB75" si="227">IFERROR(E18/$B61,0)</f>
        <v>0.19411371358130619</v>
      </c>
      <c r="F75" s="60">
        <f t="shared" si="227"/>
        <v>0.29494034199343167</v>
      </c>
      <c r="G75" s="60">
        <f t="shared" si="227"/>
        <v>4.0796402514100896</v>
      </c>
      <c r="H75" s="60">
        <f t="shared" si="227"/>
        <v>1.520485559431783</v>
      </c>
      <c r="I75" s="60">
        <f t="shared" si="227"/>
        <v>9.5302106323526925E-2</v>
      </c>
      <c r="J75" s="60">
        <f t="shared" si="227"/>
        <v>0.34184652203798116</v>
      </c>
      <c r="K75" s="60">
        <f t="shared" si="227"/>
        <v>0.48218423643345265</v>
      </c>
      <c r="L75" s="60">
        <f t="shared" si="227"/>
        <v>2.4519495284532109</v>
      </c>
      <c r="M75" s="60">
        <f t="shared" si="227"/>
        <v>2.9466015141012876</v>
      </c>
      <c r="N75" s="60">
        <f t="shared" si="227"/>
        <v>8.0420167460820965E-2</v>
      </c>
      <c r="O75" s="60">
        <f t="shared" si="227"/>
        <v>0.3818071555399174</v>
      </c>
      <c r="P75" s="60">
        <f t="shared" si="227"/>
        <v>6.8159325468095053</v>
      </c>
      <c r="Q75" s="60">
        <f t="shared" si="227"/>
        <v>0.46201431534570286</v>
      </c>
      <c r="R75" s="60">
        <f t="shared" si="227"/>
        <v>1.2176675407637096</v>
      </c>
      <c r="S75" s="60">
        <f t="shared" si="227"/>
        <v>2.4150925739548397</v>
      </c>
      <c r="T75" s="60">
        <f t="shared" si="227"/>
        <v>3.3871660962932588</v>
      </c>
      <c r="U75" s="60">
        <f t="shared" ref="U75" si="228">IFERROR(U18/$B61,0)</f>
        <v>1.2552930612846012</v>
      </c>
      <c r="V75" s="60">
        <f t="shared" si="227"/>
        <v>0.15343774070872154</v>
      </c>
      <c r="W75" s="60">
        <f t="shared" si="227"/>
        <v>3.5175044539468363</v>
      </c>
      <c r="X75" s="60">
        <f t="shared" si="227"/>
        <v>0.19313189295890978</v>
      </c>
      <c r="Y75" s="60">
        <f t="shared" si="227"/>
        <v>4.6351131874106803</v>
      </c>
      <c r="Z75" s="60">
        <f t="shared" si="227"/>
        <v>0.35404040909239975</v>
      </c>
      <c r="AA75" s="60">
        <f t="shared" si="227"/>
        <v>2.6147098197969935E-3</v>
      </c>
      <c r="AB75" s="60">
        <f t="shared" si="227"/>
        <v>3.0844058161629303E-3</v>
      </c>
      <c r="AC75" s="60">
        <f>IFERROR(AC18/$B61,0)</f>
        <v>9.8122858857131959E-3</v>
      </c>
      <c r="AD75" s="60">
        <f>IFERROR(AD18/$B61,0)</f>
        <v>1.0422474432904474</v>
      </c>
      <c r="AE75" s="60">
        <f t="shared" ref="AE75:BB75" si="229">IFERROR(AE18/$B61,0)</f>
        <v>0.11816205564671925</v>
      </c>
      <c r="AF75" s="60">
        <f t="shared" si="229"/>
        <v>0.17712077604781395</v>
      </c>
      <c r="AG75" s="60">
        <f t="shared" si="229"/>
        <v>2.5815428476135969</v>
      </c>
      <c r="AH75" s="60">
        <f t="shared" si="229"/>
        <v>0.83954386120844804</v>
      </c>
      <c r="AI75" s="60">
        <f t="shared" si="229"/>
        <v>6.1015375258341838E-2</v>
      </c>
      <c r="AJ75" s="60">
        <f t="shared" si="229"/>
        <v>0.23675562911461143</v>
      </c>
      <c r="AK75" s="60">
        <f t="shared" si="229"/>
        <v>0.30468980746065127</v>
      </c>
      <c r="AL75" s="60">
        <f t="shared" si="229"/>
        <v>1.1048167080236004</v>
      </c>
      <c r="AM75" s="60">
        <f t="shared" si="229"/>
        <v>2.6895013819912483</v>
      </c>
      <c r="AN75" s="60">
        <f t="shared" si="229"/>
        <v>4.7838648740295961E-2</v>
      </c>
      <c r="AO75" s="60">
        <f t="shared" si="229"/>
        <v>0.24074715552493631</v>
      </c>
      <c r="AP75" s="60">
        <f t="shared" si="229"/>
        <v>4.154592278991041</v>
      </c>
      <c r="AQ75" s="60">
        <f t="shared" si="229"/>
        <v>0.22094272745775803</v>
      </c>
      <c r="AR75" s="60">
        <f t="shared" si="229"/>
        <v>0.88477616062135211</v>
      </c>
      <c r="AS75" s="60">
        <f t="shared" si="229"/>
        <v>1.4028082722063637</v>
      </c>
      <c r="AT75" s="60">
        <f t="shared" si="229"/>
        <v>2.3649030665630404</v>
      </c>
      <c r="AU75" s="60">
        <f t="shared" ref="AU75" si="230">IFERROR(AU18/$B61,0)</f>
        <v>0.61138777570617564</v>
      </c>
      <c r="AV75" s="60">
        <f t="shared" si="229"/>
        <v>8.4845489536690424E-2</v>
      </c>
      <c r="AW75" s="60">
        <f t="shared" si="229"/>
        <v>2.1497057226202956</v>
      </c>
      <c r="AX75" s="60">
        <f t="shared" si="229"/>
        <v>0.1188049142051204</v>
      </c>
      <c r="AY75" s="60">
        <f t="shared" si="229"/>
        <v>2.9303129184031542</v>
      </c>
      <c r="AZ75" s="60">
        <f t="shared" si="229"/>
        <v>0.18660717375912755</v>
      </c>
      <c r="BA75" s="60">
        <f t="shared" si="229"/>
        <v>1.4982978044277776E-3</v>
      </c>
      <c r="BB75" s="60">
        <f t="shared" si="229"/>
        <v>1.5975351140653452E-3</v>
      </c>
    </row>
    <row r="76" spans="1:54" x14ac:dyDescent="0.25">
      <c r="A76" s="190" t="s">
        <v>1097</v>
      </c>
      <c r="B76" s="191">
        <v>1.339E-6</v>
      </c>
      <c r="C76" s="60">
        <f>IFERROR(C27/$B62,0)</f>
        <v>0</v>
      </c>
      <c r="D76" s="60">
        <f>IFERROR(D27/$B62,0)</f>
        <v>0</v>
      </c>
      <c r="E76" s="60">
        <f t="shared" ref="E76:AB76" si="231">IFERROR(E27/$B62,0)</f>
        <v>0</v>
      </c>
      <c r="F76" s="60">
        <f t="shared" si="231"/>
        <v>0</v>
      </c>
      <c r="G76" s="60">
        <f t="shared" si="231"/>
        <v>0</v>
      </c>
      <c r="H76" s="60">
        <f t="shared" si="231"/>
        <v>0</v>
      </c>
      <c r="I76" s="60">
        <f t="shared" si="231"/>
        <v>0</v>
      </c>
      <c r="J76" s="60">
        <f t="shared" si="231"/>
        <v>0</v>
      </c>
      <c r="K76" s="60">
        <f t="shared" si="231"/>
        <v>0</v>
      </c>
      <c r="L76" s="60">
        <f t="shared" si="231"/>
        <v>0</v>
      </c>
      <c r="M76" s="60">
        <f t="shared" si="231"/>
        <v>0</v>
      </c>
      <c r="N76" s="60">
        <f t="shared" si="231"/>
        <v>0</v>
      </c>
      <c r="O76" s="60">
        <f t="shared" si="231"/>
        <v>0</v>
      </c>
      <c r="P76" s="60">
        <f t="shared" si="231"/>
        <v>0</v>
      </c>
      <c r="Q76" s="60">
        <f t="shared" si="231"/>
        <v>0</v>
      </c>
      <c r="R76" s="60">
        <f t="shared" si="231"/>
        <v>0</v>
      </c>
      <c r="S76" s="60">
        <f t="shared" si="231"/>
        <v>0</v>
      </c>
      <c r="T76" s="60">
        <f t="shared" si="231"/>
        <v>0</v>
      </c>
      <c r="U76" s="60">
        <f t="shared" ref="U76" si="232">IFERROR(U27/$B62,0)</f>
        <v>0</v>
      </c>
      <c r="V76" s="60">
        <f t="shared" si="231"/>
        <v>0</v>
      </c>
      <c r="W76" s="60">
        <f t="shared" si="231"/>
        <v>0</v>
      </c>
      <c r="X76" s="60">
        <f t="shared" si="231"/>
        <v>0</v>
      </c>
      <c r="Y76" s="60">
        <f t="shared" si="231"/>
        <v>0</v>
      </c>
      <c r="Z76" s="60">
        <f t="shared" si="231"/>
        <v>0</v>
      </c>
      <c r="AA76" s="60">
        <f t="shared" si="231"/>
        <v>0</v>
      </c>
      <c r="AB76" s="60">
        <f t="shared" si="231"/>
        <v>0</v>
      </c>
      <c r="AC76" s="60">
        <f>IFERROR(AC27/$B62,0)</f>
        <v>0</v>
      </c>
      <c r="AD76" s="60">
        <f>IFERROR(AD27/$B62,0)</f>
        <v>0</v>
      </c>
      <c r="AE76" s="60">
        <f t="shared" ref="AE76:BB76" si="233">IFERROR(AE27/$B62,0)</f>
        <v>0</v>
      </c>
      <c r="AF76" s="60">
        <f t="shared" si="233"/>
        <v>0</v>
      </c>
      <c r="AG76" s="60">
        <f t="shared" si="233"/>
        <v>0</v>
      </c>
      <c r="AH76" s="60">
        <f t="shared" si="233"/>
        <v>0</v>
      </c>
      <c r="AI76" s="60">
        <f t="shared" si="233"/>
        <v>0</v>
      </c>
      <c r="AJ76" s="60">
        <f t="shared" si="233"/>
        <v>0</v>
      </c>
      <c r="AK76" s="60">
        <f t="shared" si="233"/>
        <v>0</v>
      </c>
      <c r="AL76" s="60">
        <f t="shared" si="233"/>
        <v>0</v>
      </c>
      <c r="AM76" s="60">
        <f t="shared" si="233"/>
        <v>0</v>
      </c>
      <c r="AN76" s="60">
        <f t="shared" si="233"/>
        <v>0</v>
      </c>
      <c r="AO76" s="60">
        <f t="shared" si="233"/>
        <v>0</v>
      </c>
      <c r="AP76" s="60">
        <f t="shared" si="233"/>
        <v>0</v>
      </c>
      <c r="AQ76" s="60">
        <f t="shared" si="233"/>
        <v>0</v>
      </c>
      <c r="AR76" s="60">
        <f t="shared" si="233"/>
        <v>0</v>
      </c>
      <c r="AS76" s="60">
        <f t="shared" si="233"/>
        <v>0</v>
      </c>
      <c r="AT76" s="60">
        <f t="shared" si="233"/>
        <v>0</v>
      </c>
      <c r="AU76" s="60">
        <f t="shared" ref="AU76" si="234">IFERROR(AU27/$B62,0)</f>
        <v>0</v>
      </c>
      <c r="AV76" s="60">
        <f t="shared" si="233"/>
        <v>0</v>
      </c>
      <c r="AW76" s="60">
        <f t="shared" si="233"/>
        <v>0</v>
      </c>
      <c r="AX76" s="60">
        <f t="shared" si="233"/>
        <v>0</v>
      </c>
      <c r="AY76" s="60">
        <f t="shared" si="233"/>
        <v>0</v>
      </c>
      <c r="AZ76" s="60">
        <f t="shared" si="233"/>
        <v>0</v>
      </c>
      <c r="BA76" s="60">
        <f t="shared" si="233"/>
        <v>0</v>
      </c>
      <c r="BB76" s="60">
        <f t="shared" si="233"/>
        <v>0</v>
      </c>
    </row>
  </sheetData>
  <sheetProtection algorithmName="SHA-512" hashValue="NR+8YK/WbrBQ+1h2Exk1eU1l+7PY/xvcuVHnbtlEJ3ZyW5lvC/ziG52TYxDZBRWWd2ra0ku/E7HupYTWuI0M2A==" saltValue="ocr1IOx4W/qo4LaK5dP48w==" spinCount="100000" sheet="1" formatColumns="0" formatRows="0" autoFilter="0"/>
  <autoFilter ref="A1:BB76" xr:uid="{00000000-0009-0000-0000-000004000000}"/>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BB76"/>
  <sheetViews>
    <sheetView zoomScale="90" zoomScaleNormal="90" workbookViewId="0">
      <pane xSplit="2" ySplit="1" topLeftCell="C2" activePane="bottomRight" state="frozen"/>
      <selection pane="topRight" activeCell="C1" sqref="C1"/>
      <selection pane="bottomLeft" activeCell="A2" sqref="A2"/>
      <selection pane="bottomRight" activeCell="C2" sqref="C2"/>
    </sheetView>
  </sheetViews>
  <sheetFormatPr defaultColWidth="9" defaultRowHeight="15" x14ac:dyDescent="0.25"/>
  <cols>
    <col min="1" max="1" width="15.42578125" style="75" bestFit="1" customWidth="1"/>
    <col min="2" max="2" width="13.28515625" style="75" bestFit="1" customWidth="1"/>
    <col min="3" max="3" width="23" style="77" bestFit="1" customWidth="1"/>
    <col min="4" max="4" width="12.140625" style="77" bestFit="1" customWidth="1"/>
    <col min="5" max="5" width="12.42578125" style="77" bestFit="1" customWidth="1"/>
    <col min="6" max="6" width="11.140625" style="77" bestFit="1" customWidth="1"/>
    <col min="7" max="7" width="11.85546875" style="77" bestFit="1" customWidth="1"/>
    <col min="8" max="8" width="11.28515625" style="77" bestFit="1" customWidth="1"/>
    <col min="9" max="9" width="11.5703125" style="77" bestFit="1" customWidth="1"/>
    <col min="10" max="10" width="11" style="77" bestFit="1" customWidth="1"/>
    <col min="11" max="11" width="12.42578125" style="77" bestFit="1" customWidth="1"/>
    <col min="12" max="12" width="11.28515625" style="77" bestFit="1" customWidth="1"/>
    <col min="13" max="13" width="13" style="77" bestFit="1" customWidth="1"/>
    <col min="14" max="14" width="10.140625" style="77" bestFit="1" customWidth="1"/>
    <col min="15" max="16" width="11.28515625" style="77" bestFit="1" customWidth="1"/>
    <col min="17" max="17" width="12.42578125" style="77" bestFit="1" customWidth="1"/>
    <col min="18" max="18" width="12.5703125" style="77" bestFit="1" customWidth="1"/>
    <col min="19" max="19" width="11.28515625" style="77" bestFit="1" customWidth="1"/>
    <col min="20" max="20" width="10.42578125" style="77" bestFit="1" customWidth="1"/>
    <col min="21" max="21" width="11.5703125" style="77" bestFit="1" customWidth="1"/>
    <col min="22" max="22" width="11.85546875" style="77" bestFit="1" customWidth="1"/>
    <col min="23" max="23" width="12.140625" style="77" bestFit="1" customWidth="1"/>
    <col min="24" max="24" width="11.5703125" style="77" bestFit="1" customWidth="1"/>
    <col min="25" max="25" width="12.140625" style="77" bestFit="1" customWidth="1"/>
    <col min="26" max="27" width="10.5703125" style="77" bestFit="1" customWidth="1"/>
    <col min="28" max="28" width="12.7109375" style="77" bestFit="1" customWidth="1"/>
    <col min="29" max="29" width="22.7109375" style="77" bestFit="1" customWidth="1"/>
    <col min="30" max="30" width="12" style="77" bestFit="1" customWidth="1"/>
    <col min="31" max="31" width="12.140625" style="77" bestFit="1" customWidth="1"/>
    <col min="32" max="32" width="10.85546875" style="77" bestFit="1" customWidth="1"/>
    <col min="33" max="33" width="11.7109375" style="77" bestFit="1" customWidth="1"/>
    <col min="34" max="34" width="11.140625" style="77" bestFit="1" customWidth="1"/>
    <col min="35" max="35" width="11.42578125" style="77" bestFit="1" customWidth="1"/>
    <col min="36" max="36" width="10.7109375" style="77" bestFit="1" customWidth="1"/>
    <col min="37" max="37" width="12.140625" style="77" bestFit="1" customWidth="1"/>
    <col min="38" max="38" width="11.140625" style="77" bestFit="1" customWidth="1"/>
    <col min="39" max="39" width="12.85546875" style="77" bestFit="1" customWidth="1"/>
    <col min="40" max="40" width="10" style="77" bestFit="1" customWidth="1"/>
    <col min="41" max="42" width="11.140625" style="77" bestFit="1" customWidth="1"/>
    <col min="43" max="43" width="12.140625" style="77" bestFit="1" customWidth="1"/>
    <col min="44" max="44" width="12.42578125" style="77" bestFit="1" customWidth="1"/>
    <col min="45" max="45" width="11.140625" style="77" bestFit="1" customWidth="1"/>
    <col min="46" max="46" width="10.28515625" style="77" bestFit="1" customWidth="1"/>
    <col min="47" max="47" width="11.42578125" style="77" bestFit="1" customWidth="1"/>
    <col min="48" max="48" width="11.7109375" style="77" bestFit="1" customWidth="1"/>
    <col min="49" max="49" width="12" style="77" bestFit="1" customWidth="1"/>
    <col min="50" max="50" width="11.42578125" style="77" bestFit="1" customWidth="1"/>
    <col min="51" max="51" width="12" style="77" bestFit="1" customWidth="1"/>
    <col min="52" max="53" width="10.42578125" style="77" bestFit="1" customWidth="1"/>
    <col min="54" max="54" width="11.7109375" style="77" bestFit="1" customWidth="1"/>
    <col min="55" max="16384" width="9" style="77"/>
  </cols>
  <sheetData>
    <row r="1" spans="1:54" x14ac:dyDescent="0.25">
      <c r="A1" s="87" t="s">
        <v>51</v>
      </c>
      <c r="B1" s="88" t="s">
        <v>348</v>
      </c>
      <c r="C1" s="89" t="s">
        <v>737</v>
      </c>
      <c r="D1" s="90" t="s">
        <v>567</v>
      </c>
      <c r="E1" s="90" t="s">
        <v>571</v>
      </c>
      <c r="F1" s="90" t="s">
        <v>568</v>
      </c>
      <c r="G1" s="90" t="s">
        <v>569</v>
      </c>
      <c r="H1" s="90" t="s">
        <v>570</v>
      </c>
      <c r="I1" s="90" t="s">
        <v>572</v>
      </c>
      <c r="J1" s="90" t="s">
        <v>573</v>
      </c>
      <c r="K1" s="90" t="s">
        <v>574</v>
      </c>
      <c r="L1" s="90" t="s">
        <v>575</v>
      </c>
      <c r="M1" s="90" t="s">
        <v>576</v>
      </c>
      <c r="N1" s="90" t="s">
        <v>577</v>
      </c>
      <c r="O1" s="90" t="s">
        <v>578</v>
      </c>
      <c r="P1" s="90" t="s">
        <v>579</v>
      </c>
      <c r="Q1" s="90" t="s">
        <v>580</v>
      </c>
      <c r="R1" s="90" t="s">
        <v>581</v>
      </c>
      <c r="S1" s="90" t="s">
        <v>582</v>
      </c>
      <c r="T1" s="90" t="s">
        <v>583</v>
      </c>
      <c r="U1" s="90" t="s">
        <v>1492</v>
      </c>
      <c r="V1" s="90" t="s">
        <v>584</v>
      </c>
      <c r="W1" s="90" t="s">
        <v>585</v>
      </c>
      <c r="X1" s="90" t="s">
        <v>586</v>
      </c>
      <c r="Y1" s="90" t="s">
        <v>587</v>
      </c>
      <c r="Z1" s="90" t="s">
        <v>588</v>
      </c>
      <c r="AA1" s="90" t="s">
        <v>589</v>
      </c>
      <c r="AB1" s="90" t="s">
        <v>638</v>
      </c>
      <c r="AC1" s="90" t="s">
        <v>738</v>
      </c>
      <c r="AD1" s="90" t="s">
        <v>590</v>
      </c>
      <c r="AE1" s="90" t="s">
        <v>591</v>
      </c>
      <c r="AF1" s="90" t="s">
        <v>592</v>
      </c>
      <c r="AG1" s="90" t="s">
        <v>593</v>
      </c>
      <c r="AH1" s="90" t="s">
        <v>594</v>
      </c>
      <c r="AI1" s="90" t="s">
        <v>595</v>
      </c>
      <c r="AJ1" s="90" t="s">
        <v>596</v>
      </c>
      <c r="AK1" s="90" t="s">
        <v>597</v>
      </c>
      <c r="AL1" s="90" t="s">
        <v>598</v>
      </c>
      <c r="AM1" s="90" t="s">
        <v>599</v>
      </c>
      <c r="AN1" s="90" t="s">
        <v>600</v>
      </c>
      <c r="AO1" s="90" t="s">
        <v>601</v>
      </c>
      <c r="AP1" s="90" t="s">
        <v>602</v>
      </c>
      <c r="AQ1" s="90" t="s">
        <v>603</v>
      </c>
      <c r="AR1" s="90" t="s">
        <v>604</v>
      </c>
      <c r="AS1" s="90" t="s">
        <v>605</v>
      </c>
      <c r="AT1" s="90" t="s">
        <v>606</v>
      </c>
      <c r="AU1" s="90" t="s">
        <v>1508</v>
      </c>
      <c r="AV1" s="90" t="s">
        <v>607</v>
      </c>
      <c r="AW1" s="90" t="s">
        <v>608</v>
      </c>
      <c r="AX1" s="90" t="s">
        <v>609</v>
      </c>
      <c r="AY1" s="90" t="s">
        <v>610</v>
      </c>
      <c r="AZ1" s="90" t="s">
        <v>611</v>
      </c>
      <c r="BA1" s="90" t="s">
        <v>612</v>
      </c>
      <c r="BB1" s="90" t="s">
        <v>613</v>
      </c>
    </row>
    <row r="2" spans="1:54" ht="15" customHeight="1" x14ac:dyDescent="0.25">
      <c r="A2" s="92" t="s">
        <v>12</v>
      </c>
      <c r="B2" s="90" t="s">
        <v>1071</v>
      </c>
      <c r="C2" s="2">
        <f>IFERROR(1/SUM(1/D2,1/E2,1/F2,1/G2,1/H2,1/I2,1/J2,1/K2,1/L2,1/M2,1/N2,1/O2,1/P2,1/Q2,1/R2,1/S2,1/T2,1/U2,1/V2,1/W2,1/X2,1/Y2,1/Z2),".")</f>
        <v>8.1993723167205504E-2</v>
      </c>
      <c r="D2" s="76">
        <f>IFERROR(IF(AND(d_Irr!C2&lt;&gt;".",d_Irr!AB2&lt;&gt;".",d_Irr!BA2&lt;&gt;"."),d_dir!D2/((1/1000)*(d_Irr!C2+d_Irr!AB2+d_Irr!BA2)),IF(AND(d_Irr!C2&lt;&gt;".",d_Irr!AB2&lt;&gt;".",d_Irr!BA2="."),d_dir!D2/((1/1000)*(d_Irr!C2+d_Irr!AB2)),IF(AND(d_Irr!C2&lt;&gt;".",d_Irr!AB2=".",d_Irr!BA2&lt;&gt;"."),d_dir!D2/((1/1000)*(d_Irr!C2+d_Irr!BA2)),IF(AND(d_Irr!C2=".",d_Irr!AB2&lt;&gt;".",d_Irr!BA2&lt;&gt;"."),d_dir!D2/((1/1000)*(d_Irr!AB2+d_Irr!BA2)),IF(AND(d_Irr!C2=".",d_Irr!AB2=".",d_Irr!BA2&lt;&gt;"."),d_dir!D2/((1/1000)*(d_Irr!BA2)),IF(AND(d_Irr!C2=".",d_Irr!AB2&lt;&gt;".",d_Irr!BA2="."),d_dir!D2/((1/1000)*(d_Irr!AB2)),IF(AND(d_Irr!C2&lt;&gt;".",d_Irr!AB2=".",d_Irr!BA2="."),d_dir!D2/((1/1000)*(d_Irr!C2)),IF(AND(d_Irr!C2=".",d_Irr!AB2=".",d_Irr!BA2="."),d_dir!D2*1000)))))))),".")</f>
        <v>1.4951838714441306</v>
      </c>
      <c r="E2" s="76">
        <f>IFERROR(IF(AND(d_Irr!D2&lt;&gt;".",d_Irr!AC2&lt;&gt;".",d_Irr!BB2&lt;&gt;"."),d_dir!E2/((1/1000)*(d_Irr!D2+d_Irr!AC2+d_Irr!BB2)),IF(AND(d_Irr!D2&lt;&gt;".",d_Irr!AC2&lt;&gt;".",d_Irr!BB2="."),d_dir!E2/((1/1000)*(d_Irr!D2+d_Irr!AC2)),IF(AND(d_Irr!D2&lt;&gt;".",d_Irr!AC2=".",d_Irr!BB2&lt;&gt;"."),d_dir!E2/((1/1000)*(d_Irr!D2+d_Irr!BB2)),IF(AND(d_Irr!D2=".",d_Irr!AC2&lt;&gt;".",d_Irr!BB2&lt;&gt;"."),d_dir!E2/((1/1000)*(d_Irr!AC2+d_Irr!BB2)),IF(AND(d_Irr!D2=".",d_Irr!AC2=".",d_Irr!BB2&lt;&gt;"."),d_dir!E2/((1/1000)*(d_Irr!BB2)),IF(AND(d_Irr!D2=".",d_Irr!AC2&lt;&gt;".",d_Irr!BB2="."),d_dir!E2/((1/1000)*(d_Irr!AC2)),IF(AND(d_Irr!D2&lt;&gt;".",d_Irr!AC2=".",d_Irr!BB2="."),d_dir!E2/((1/1000)*(d_Irr!D2)),IF(AND(d_Irr!D2=".",d_Irr!AC2=".",d_Irr!BB2="."),d_dir!E2*1000)))))))),".")</f>
        <v>3.2723237479534997</v>
      </c>
      <c r="F2" s="76">
        <f>IFERROR(IF(AND(d_Irr!E2&lt;&gt;".",d_Irr!AD2&lt;&gt;".",d_Irr!BC2&lt;&gt;"."),d_dir!F2/((1/1000)*(d_Irr!E2+d_Irr!AD2+d_Irr!BC2)),IF(AND(d_Irr!E2&lt;&gt;".",d_Irr!AD2&lt;&gt;".",d_Irr!BC2="."),d_dir!F2/((1/1000)*(d_Irr!E2+d_Irr!AD2)),IF(AND(d_Irr!E2&lt;&gt;".",d_Irr!AD2=".",d_Irr!BC2&lt;&gt;"."),d_dir!F2/((1/1000)*(d_Irr!E2+d_Irr!BC2)),IF(AND(d_Irr!E2=".",d_Irr!AD2&lt;&gt;".",d_Irr!BC2&lt;&gt;"."),d_dir!F2/((1/1000)*(d_Irr!AD2+d_Irr!BC2)),IF(AND(d_Irr!E2=".",d_Irr!AD2=".",d_Irr!BC2&lt;&gt;"."),d_dir!F2/((1/1000)*(d_Irr!BC2)),IF(AND(d_Irr!E2=".",d_Irr!AD2&lt;&gt;".",d_Irr!BC2="."),d_dir!F2/((1/1000)*(d_Irr!AD2)),IF(AND(d_Irr!E2&lt;&gt;".",d_Irr!AD2=".",d_Irr!BC2="."),d_dir!F2/((1/1000)*(d_Irr!E2)),IF(AND(d_Irr!E2=".",d_Irr!AD2=".",d_Irr!BC2="."),d_dir!F2*1000)))))))),".")</f>
        <v>3.9453190185867681</v>
      </c>
      <c r="G2" s="76">
        <f>IFERROR(IF(AND(d_Irr!F2&lt;&gt;".",d_Irr!AE2&lt;&gt;".",d_Irr!BD2&lt;&gt;"."),d_dir!G2/((1/1000)*(d_Irr!F2+d_Irr!AE2+d_Irr!BD2)),IF(AND(d_Irr!F2&lt;&gt;".",d_Irr!AE2&lt;&gt;".",d_Irr!BD2="."),d_dir!G2/((1/1000)*(d_Irr!F2+d_Irr!AE2)),IF(AND(d_Irr!F2&lt;&gt;".",d_Irr!AE2=".",d_Irr!BD2&lt;&gt;"."),d_dir!G2/((1/1000)*(d_Irr!F2+d_Irr!BD2)),IF(AND(d_Irr!F2=".",d_Irr!AE2&lt;&gt;".",d_Irr!BD2&lt;&gt;"."),d_dir!G2/((1/1000)*(d_Irr!AE2+d_Irr!BD2)),IF(AND(d_Irr!F2=".",d_Irr!AE2=".",d_Irr!BD2&lt;&gt;"."),d_dir!G2/((1/1000)*(d_Irr!BD2)),IF(AND(d_Irr!F2=".",d_Irr!AE2&lt;&gt;".",d_Irr!BD2="."),d_dir!G2/((1/1000)*(d_Irr!AE2)),IF(AND(d_Irr!F2&lt;&gt;".",d_Irr!AE2=".",d_Irr!BD2="."),d_dir!G2/((1/1000)*(d_Irr!F2)),IF(AND(d_Irr!F2=".",d_Irr!AE2=".",d_Irr!BD2="."),d_dir!G2*1000)))))))),".")</f>
        <v>3.3627354420243774</v>
      </c>
      <c r="H2" s="76">
        <f>IFERROR(IF(AND(d_Irr!G2&lt;&gt;".",d_Irr!AF2&lt;&gt;".",d_Irr!BE2&lt;&gt;"."),d_dir!H2/((1/1000)*(d_Irr!G2+d_Irr!AF2+d_Irr!BE2)),IF(AND(d_Irr!G2&lt;&gt;".",d_Irr!AF2&lt;&gt;".",d_Irr!BE2="."),d_dir!H2/((1/1000)*(d_Irr!G2+d_Irr!AF2)),IF(AND(d_Irr!G2&lt;&gt;".",d_Irr!AF2=".",d_Irr!BE2&lt;&gt;"."),d_dir!H2/((1/1000)*(d_Irr!G2+d_Irr!BE2)),IF(AND(d_Irr!G2=".",d_Irr!AF2&lt;&gt;".",d_Irr!BE2&lt;&gt;"."),d_dir!H2/((1/1000)*(d_Irr!AF2+d_Irr!BE2)),IF(AND(d_Irr!G2=".",d_Irr!AF2=".",d_Irr!BE2&lt;&gt;"."),d_dir!H2/((1/1000)*(d_Irr!BE2)),IF(AND(d_Irr!G2=".",d_Irr!AF2&lt;&gt;".",d_Irr!BE2="."),d_dir!H2/((1/1000)*(d_Irr!AF2)),IF(AND(d_Irr!G2&lt;&gt;".",d_Irr!AF2=".",d_Irr!BE2="."),d_dir!H2/((1/1000)*(d_Irr!G2)),IF(AND(d_Irr!G2=".",d_Irr!AF2=".",d_Irr!BE2="."),d_dir!H2*1000)))))))),".")</f>
        <v>4.1097495960799666</v>
      </c>
      <c r="I2" s="76">
        <f>IFERROR(IF(AND(d_Irr!H2&lt;&gt;".",d_Irr!AG2&lt;&gt;".",d_Irr!BF2&lt;&gt;"."),d_dir!I2/((1/1000)*(d_Irr!H2+d_Irr!AG2+d_Irr!BF2)),IF(AND(d_Irr!H2&lt;&gt;".",d_Irr!AG2&lt;&gt;".",d_Irr!BF2="."),d_dir!I2/((1/1000)*(d_Irr!H2+d_Irr!AG2)),IF(AND(d_Irr!H2&lt;&gt;".",d_Irr!AG2=".",d_Irr!BF2&lt;&gt;"."),d_dir!I2/((1/1000)*(d_Irr!H2+d_Irr!BF2)),IF(AND(d_Irr!H2=".",d_Irr!AG2&lt;&gt;".",d_Irr!BF2&lt;&gt;"."),d_dir!I2/((1/1000)*(d_Irr!AG2+d_Irr!BF2)),IF(AND(d_Irr!H2=".",d_Irr!AG2=".",d_Irr!BF2&lt;&gt;"."),d_dir!I2/((1/1000)*(d_Irr!BF2)),IF(AND(d_Irr!H2=".",d_Irr!AG2&lt;&gt;".",d_Irr!BF2="."),d_dir!I2/((1/1000)*(d_Irr!AG2)),IF(AND(d_Irr!H2&lt;&gt;".",d_Irr!AG2=".",d_Irr!BF2="."),d_dir!I2/((1/1000)*(d_Irr!H2)),IF(AND(d_Irr!H2=".",d_Irr!AG2=".",d_Irr!BF2="."),d_dir!I2*1000)))))))),".")</f>
        <v>1.6117588675323509</v>
      </c>
      <c r="J2" s="76">
        <f>IFERROR(IF(AND(d_Irr!I2&lt;&gt;".",d_Irr!AH2&lt;&gt;".",d_Irr!BG2&lt;&gt;"."),d_dir!J2/((1/1000)*(d_Irr!I2+d_Irr!AH2+d_Irr!BG2)),IF(AND(d_Irr!I2&lt;&gt;".",d_Irr!AH2&lt;&gt;".",d_Irr!BG2="."),d_dir!J2/((1/1000)*(d_Irr!I2+d_Irr!AH2)),IF(AND(d_Irr!I2&lt;&gt;".",d_Irr!AH2=".",d_Irr!BG2&lt;&gt;"."),d_dir!J2/((1/1000)*(d_Irr!I2+d_Irr!BG2)),IF(AND(d_Irr!I2=".",d_Irr!AH2&lt;&gt;".",d_Irr!BG2&lt;&gt;"."),d_dir!J2/((1/1000)*(d_Irr!AH2+d_Irr!BG2)),IF(AND(d_Irr!I2=".",d_Irr!AH2=".",d_Irr!BG2&lt;&gt;"."),d_dir!J2/((1/1000)*(d_Irr!BG2)),IF(AND(d_Irr!I2=".",d_Irr!AH2&lt;&gt;".",d_Irr!BG2="."),d_dir!J2/((1/1000)*(d_Irr!AH2)),IF(AND(d_Irr!I2&lt;&gt;".",d_Irr!AH2=".",d_Irr!BG2="."),d_dir!J2/((1/1000)*(d_Irr!I2)),IF(AND(d_Irr!I2=".",d_Irr!AH2=".",d_Irr!BG2="."),d_dir!J2*1000)))))))),".")</f>
        <v>4.5430016906885706</v>
      </c>
      <c r="K2" s="76">
        <f>IFERROR(IF(AND(d_Irr!J2&lt;&gt;".",d_Irr!AI2&lt;&gt;".",d_Irr!BH2&lt;&gt;"."),d_dir!K2/((1/1000)*(d_Irr!J2+d_Irr!AI2+d_Irr!BH2)),IF(AND(d_Irr!J2&lt;&gt;".",d_Irr!AI2&lt;&gt;".",d_Irr!BH2="."),d_dir!K2/((1/1000)*(d_Irr!J2+d_Irr!AI2)),IF(AND(d_Irr!J2&lt;&gt;".",d_Irr!AI2=".",d_Irr!BH2&lt;&gt;"."),d_dir!K2/((1/1000)*(d_Irr!J2+d_Irr!BH2)),IF(AND(d_Irr!J2=".",d_Irr!AI2&lt;&gt;".",d_Irr!BH2&lt;&gt;"."),d_dir!K2/((1/1000)*(d_Irr!AI2+d_Irr!BH2)),IF(AND(d_Irr!J2=".",d_Irr!AI2=".",d_Irr!BH2&lt;&gt;"."),d_dir!K2/((1/1000)*(d_Irr!BH2)),IF(AND(d_Irr!J2=".",d_Irr!AI2&lt;&gt;".",d_Irr!BH2="."),d_dir!K2/((1/1000)*(d_Irr!AI2)),IF(AND(d_Irr!J2&lt;&gt;".",d_Irr!AI2=".",d_Irr!BH2="."),d_dir!K2/((1/1000)*(d_Irr!J2)),IF(AND(d_Irr!J2=".",d_Irr!AI2=".",d_Irr!BH2="."),d_dir!K2*1000)))))))),".")</f>
        <v>0.38771169294919877</v>
      </c>
      <c r="L2" s="76">
        <f>IFERROR(IF(AND(d_Irr!K2&lt;&gt;".",d_Irr!AJ2&lt;&gt;".",d_Irr!BI2&lt;&gt;"."),d_dir!L2/((1/1000)*(d_Irr!K2+d_Irr!AJ2+d_Irr!BI2)),IF(AND(d_Irr!K2&lt;&gt;".",d_Irr!AJ2&lt;&gt;".",d_Irr!BI2="."),d_dir!L2/((1/1000)*(d_Irr!K2+d_Irr!AJ2)),IF(AND(d_Irr!K2&lt;&gt;".",d_Irr!AJ2=".",d_Irr!BI2&lt;&gt;"."),d_dir!L2/((1/1000)*(d_Irr!K2+d_Irr!BI2)),IF(AND(d_Irr!K2=".",d_Irr!AJ2&lt;&gt;".",d_Irr!BI2&lt;&gt;"."),d_dir!L2/((1/1000)*(d_Irr!AJ2+d_Irr!BI2)),IF(AND(d_Irr!K2=".",d_Irr!AJ2=".",d_Irr!BI2&lt;&gt;"."),d_dir!L2/((1/1000)*(d_Irr!BI2)),IF(AND(d_Irr!K2=".",d_Irr!AJ2&lt;&gt;".",d_Irr!BI2="."),d_dir!L2/((1/1000)*(d_Irr!AJ2)),IF(AND(d_Irr!K2&lt;&gt;".",d_Irr!AJ2=".",d_Irr!BI2="."),d_dir!L2/((1/1000)*(d_Irr!K2)),IF(AND(d_Irr!K2=".",d_Irr!AJ2=".",d_Irr!BI2="."),d_dir!L2*1000)))))))),".")</f>
        <v>2.1264271306545113</v>
      </c>
      <c r="M2" s="76">
        <f>IFERROR(IF(AND(d_Irr!L2&lt;&gt;".",d_Irr!AK2&lt;&gt;".",d_Irr!BJ2&lt;&gt;"."),d_dir!M2/((1/1000)*(d_Irr!L2+d_Irr!AK2+d_Irr!BJ2)),IF(AND(d_Irr!L2&lt;&gt;".",d_Irr!AK2&lt;&gt;".",d_Irr!BJ2="."),d_dir!M2/((1/1000)*(d_Irr!L2+d_Irr!AK2)),IF(AND(d_Irr!L2&lt;&gt;".",d_Irr!AK2=".",d_Irr!BJ2&lt;&gt;"."),d_dir!M2/((1/1000)*(d_Irr!L2+d_Irr!BJ2)),IF(AND(d_Irr!L2=".",d_Irr!AK2&lt;&gt;".",d_Irr!BJ2&lt;&gt;"."),d_dir!M2/((1/1000)*(d_Irr!AK2+d_Irr!BJ2)),IF(AND(d_Irr!L2=".",d_Irr!AK2=".",d_Irr!BJ2&lt;&gt;"."),d_dir!M2/((1/1000)*(d_Irr!BJ2)),IF(AND(d_Irr!L2=".",d_Irr!AK2&lt;&gt;".",d_Irr!BJ2="."),d_dir!M2/((1/1000)*(d_Irr!AK2)),IF(AND(d_Irr!L2&lt;&gt;".",d_Irr!AK2=".",d_Irr!BJ2="."),d_dir!M2/((1/1000)*(d_Irr!L2)),IF(AND(d_Irr!L2=".",d_Irr!AK2=".",d_Irr!BJ2="."),d_dir!M2*1000)))))))),".")</f>
        <v>1.5946070309290772</v>
      </c>
      <c r="N2" s="76">
        <f>IFERROR(IF(AND(d_Irr!M2&lt;&gt;".",d_Irr!AL2&lt;&gt;".",d_Irr!BK2&lt;&gt;"."),d_dir!N2/((1/1000)*(d_Irr!M2+d_Irr!AL2+d_Irr!BK2)),IF(AND(d_Irr!M2&lt;&gt;".",d_Irr!AL2&lt;&gt;".",d_Irr!BK2="."),d_dir!N2/((1/1000)*(d_Irr!M2+d_Irr!AL2)),IF(AND(d_Irr!M2&lt;&gt;".",d_Irr!AL2=".",d_Irr!BK2&lt;&gt;"."),d_dir!N2/((1/1000)*(d_Irr!M2+d_Irr!BK2)),IF(AND(d_Irr!M2=".",d_Irr!AL2&lt;&gt;".",d_Irr!BK2&lt;&gt;"."),d_dir!N2/((1/1000)*(d_Irr!AL2+d_Irr!BK2)),IF(AND(d_Irr!M2=".",d_Irr!AL2=".",d_Irr!BK2&lt;&gt;"."),d_dir!N2/((1/1000)*(d_Irr!BK2)),IF(AND(d_Irr!M2=".",d_Irr!AL2&lt;&gt;".",d_Irr!BK2="."),d_dir!N2/((1/1000)*(d_Irr!AL2)),IF(AND(d_Irr!M2&lt;&gt;".",d_Irr!AL2=".",d_Irr!BK2="."),d_dir!N2/((1/1000)*(d_Irr!M2)),IF(AND(d_Irr!M2=".",d_Irr!AL2=".",d_Irr!BK2="."),d_dir!N2*1000)))))))),".")</f>
        <v>3.3516724674762783</v>
      </c>
      <c r="O2" s="76">
        <f>IFERROR(IF(AND(d_Irr!N2&lt;&gt;".",d_Irr!AM2&lt;&gt;".",d_Irr!BL2&lt;&gt;"."),d_dir!O2/((1/1000)*(d_Irr!N2+d_Irr!AM2+d_Irr!BL2)),IF(AND(d_Irr!N2&lt;&gt;".",d_Irr!AM2&lt;&gt;".",d_Irr!BL2="."),d_dir!O2/((1/1000)*(d_Irr!N2+d_Irr!AM2)),IF(AND(d_Irr!N2&lt;&gt;".",d_Irr!AM2=".",d_Irr!BL2&lt;&gt;"."),d_dir!O2/((1/1000)*(d_Irr!N2+d_Irr!BL2)),IF(AND(d_Irr!N2=".",d_Irr!AM2&lt;&gt;".",d_Irr!BL2&lt;&gt;"."),d_dir!O2/((1/1000)*(d_Irr!AM2+d_Irr!BL2)),IF(AND(d_Irr!N2=".",d_Irr!AM2=".",d_Irr!BL2&lt;&gt;"."),d_dir!O2/((1/1000)*(d_Irr!BL2)),IF(AND(d_Irr!N2=".",d_Irr!AM2&lt;&gt;".",d_Irr!BL2="."),d_dir!O2/((1/1000)*(d_Irr!AM2)),IF(AND(d_Irr!N2&lt;&gt;".",d_Irr!AM2=".",d_Irr!BL2="."),d_dir!O2/((1/1000)*(d_Irr!N2)),IF(AND(d_Irr!N2=".",d_Irr!AM2=".",d_Irr!BL2="."),d_dir!O2*1000)))))))),".")</f>
        <v>3.4044426100615155</v>
      </c>
      <c r="P2" s="76">
        <f>IFERROR(IF(AND(d_Irr!O2&lt;&gt;".",d_Irr!AN2&lt;&gt;".",d_Irr!BM2&lt;&gt;"."),d_dir!P2/((1/1000)*(d_Irr!O2+d_Irr!AN2+d_Irr!BM2)),IF(AND(d_Irr!O2&lt;&gt;".",d_Irr!AN2&lt;&gt;".",d_Irr!BM2="."),d_dir!P2/((1/1000)*(d_Irr!O2+d_Irr!AN2)),IF(AND(d_Irr!O2&lt;&gt;".",d_Irr!AN2=".",d_Irr!BM2&lt;&gt;"."),d_dir!P2/((1/1000)*(d_Irr!O2+d_Irr!BM2)),IF(AND(d_Irr!O2=".",d_Irr!AN2&lt;&gt;".",d_Irr!BM2&lt;&gt;"."),d_dir!P2/((1/1000)*(d_Irr!AN2+d_Irr!BM2)),IF(AND(d_Irr!O2=".",d_Irr!AN2=".",d_Irr!BM2&lt;&gt;"."),d_dir!P2/((1/1000)*(d_Irr!BM2)),IF(AND(d_Irr!O2=".",d_Irr!AN2&lt;&gt;".",d_Irr!BM2="."),d_dir!P2/((1/1000)*(d_Irr!AN2)),IF(AND(d_Irr!O2&lt;&gt;".",d_Irr!AN2=".",d_Irr!BM2="."),d_dir!P2/((1/1000)*(d_Irr!O2)),IF(AND(d_Irr!O2=".",d_Irr!AN2=".",d_Irr!BM2="."),d_dir!P2*1000)))))))),".")</f>
        <v>4.3016553386385823</v>
      </c>
      <c r="Q2" s="76">
        <f>IFERROR(IF(AND(d_Irr!P2&lt;&gt;".",d_Irr!AO2&lt;&gt;".",d_Irr!BN2&lt;&gt;"."),d_dir!Q2/((1/1000)*(d_Irr!P2+d_Irr!AO2+d_Irr!BN2)),IF(AND(d_Irr!P2&lt;&gt;".",d_Irr!AO2&lt;&gt;".",d_Irr!BN2="."),d_dir!Q2/((1/1000)*(d_Irr!P2+d_Irr!AO2)),IF(AND(d_Irr!P2&lt;&gt;".",d_Irr!AO2=".",d_Irr!BN2&lt;&gt;"."),d_dir!Q2/((1/1000)*(d_Irr!P2+d_Irr!BN2)),IF(AND(d_Irr!P2=".",d_Irr!AO2&lt;&gt;".",d_Irr!BN2&lt;&gt;"."),d_dir!Q2/((1/1000)*(d_Irr!AO2+d_Irr!BN2)),IF(AND(d_Irr!P2=".",d_Irr!AO2=".",d_Irr!BN2&lt;&gt;"."),d_dir!Q2/((1/1000)*(d_Irr!BN2)),IF(AND(d_Irr!P2=".",d_Irr!AO2&lt;&gt;".",d_Irr!BN2="."),d_dir!Q2/((1/1000)*(d_Irr!AO2)),IF(AND(d_Irr!P2&lt;&gt;".",d_Irr!AO2=".",d_Irr!BN2="."),d_dir!Q2/((1/1000)*(d_Irr!P2)),IF(AND(d_Irr!P2=".",d_Irr!AO2=".",d_Irr!BN2="."),d_dir!Q2*1000)))))))),".")</f>
        <v>6.1399829468051381</v>
      </c>
      <c r="R2" s="76">
        <f>IFERROR(IF(AND(d_Irr!Q2&lt;&gt;".",d_Irr!AP2&lt;&gt;".",d_Irr!BO2&lt;&gt;"."),d_dir!R2/((1/1000)*(d_Irr!Q2+d_Irr!AP2+d_Irr!BO2)),IF(AND(d_Irr!Q2&lt;&gt;".",d_Irr!AP2&lt;&gt;".",d_Irr!BO2="."),d_dir!R2/((1/1000)*(d_Irr!Q2+d_Irr!AP2)),IF(AND(d_Irr!Q2&lt;&gt;".",d_Irr!AP2=".",d_Irr!BO2&lt;&gt;"."),d_dir!R2/((1/1000)*(d_Irr!Q2+d_Irr!BO2)),IF(AND(d_Irr!Q2=".",d_Irr!AP2&lt;&gt;".",d_Irr!BO2&lt;&gt;"."),d_dir!R2/((1/1000)*(d_Irr!AP2+d_Irr!BO2)),IF(AND(d_Irr!Q2=".",d_Irr!AP2=".",d_Irr!BO2&lt;&gt;"."),d_dir!R2/((1/1000)*(d_Irr!BO2)),IF(AND(d_Irr!Q2=".",d_Irr!AP2&lt;&gt;".",d_Irr!BO2="."),d_dir!R2/((1/1000)*(d_Irr!AP2)),IF(AND(d_Irr!Q2&lt;&gt;".",d_Irr!AP2=".",d_Irr!BO2="."),d_dir!R2/((1/1000)*(d_Irr!Q2)),IF(AND(d_Irr!Q2=".",d_Irr!AP2=".",d_Irr!BO2="."),d_dir!R2*1000)))))))),".")</f>
        <v>0.95996179505072399</v>
      </c>
      <c r="S2" s="76">
        <f>IFERROR(IF(AND(d_Irr!R2&lt;&gt;".",d_Irr!AQ2&lt;&gt;".",d_Irr!BP2&lt;&gt;"."),d_dir!S2/((1/1000)*(d_Irr!R2+d_Irr!AQ2+d_Irr!BP2)),IF(AND(d_Irr!R2&lt;&gt;".",d_Irr!AQ2&lt;&gt;".",d_Irr!BP2="."),d_dir!S2/((1/1000)*(d_Irr!R2+d_Irr!AQ2)),IF(AND(d_Irr!R2&lt;&gt;".",d_Irr!AQ2=".",d_Irr!BP2&lt;&gt;"."),d_dir!S2/((1/1000)*(d_Irr!R2+d_Irr!BP2)),IF(AND(d_Irr!R2=".",d_Irr!AQ2&lt;&gt;".",d_Irr!BP2&lt;&gt;"."),d_dir!S2/((1/1000)*(d_Irr!AQ2+d_Irr!BP2)),IF(AND(d_Irr!R2=".",d_Irr!AQ2=".",d_Irr!BP2&lt;&gt;"."),d_dir!S2/((1/1000)*(d_Irr!BP2)),IF(AND(d_Irr!R2=".",d_Irr!AQ2&lt;&gt;".",d_Irr!BP2="."),d_dir!S2/((1/1000)*(d_Irr!AQ2)),IF(AND(d_Irr!R2&lt;&gt;".",d_Irr!AQ2=".",d_Irr!BP2="."),d_dir!S2/((1/1000)*(d_Irr!R2)),IF(AND(d_Irr!R2=".",d_Irr!AQ2=".",d_Irr!BP2="."),d_dir!S2*1000)))))))),".")</f>
        <v>1.9581741596669566</v>
      </c>
      <c r="T2" s="76">
        <f>IFERROR(IF(AND(d_Irr!S2&lt;&gt;".",d_Irr!AR2&lt;&gt;".",d_Irr!BQ2&lt;&gt;"."),d_dir!T2/((1/1000)*(d_Irr!S2+d_Irr!AR2+d_Irr!BQ2)),IF(AND(d_Irr!S2&lt;&gt;".",d_Irr!AR2&lt;&gt;".",d_Irr!BQ2="."),d_dir!T2/((1/1000)*(d_Irr!S2+d_Irr!AR2)),IF(AND(d_Irr!S2&lt;&gt;".",d_Irr!AR2=".",d_Irr!BQ2&lt;&gt;"."),d_dir!T2/((1/1000)*(d_Irr!S2+d_Irr!BQ2)),IF(AND(d_Irr!S2=".",d_Irr!AR2&lt;&gt;".",d_Irr!BQ2&lt;&gt;"."),d_dir!T2/((1/1000)*(d_Irr!AR2+d_Irr!BQ2)),IF(AND(d_Irr!S2=".",d_Irr!AR2=".",d_Irr!BQ2&lt;&gt;"."),d_dir!T2/((1/1000)*(d_Irr!BQ2)),IF(AND(d_Irr!S2=".",d_Irr!AR2&lt;&gt;".",d_Irr!BQ2="."),d_dir!T2/((1/1000)*(d_Irr!AR2)),IF(AND(d_Irr!S2&lt;&gt;".",d_Irr!AR2=".",d_Irr!BQ2="."),d_dir!T2/((1/1000)*(d_Irr!S2)),IF(AND(d_Irr!S2=".",d_Irr!AR2=".",d_Irr!BQ2="."),d_dir!T2*1000)))))))),".")</f>
        <v>3.4170685510438217</v>
      </c>
      <c r="U2" s="76">
        <f>IFERROR(IF(AND(d_Irr!T2&lt;&gt;".",d_Irr!AS2&lt;&gt;".",d_Irr!BR2&lt;&gt;"."),d_dir!U2/((1/1000)*(d_Irr!T2+d_Irr!AS2+d_Irr!BR2)),IF(AND(d_Irr!T2&lt;&gt;".",d_Irr!AS2&lt;&gt;".",d_Irr!BR2="."),d_dir!U2/((1/1000)*(d_Irr!T2+d_Irr!AS2)),IF(AND(d_Irr!T2&lt;&gt;".",d_Irr!AS2=".",d_Irr!BR2&lt;&gt;"."),d_dir!U2/((1/1000)*(d_Irr!T2+d_Irr!BR2)),IF(AND(d_Irr!T2=".",d_Irr!AS2&lt;&gt;".",d_Irr!BR2&lt;&gt;"."),d_dir!U2/((1/1000)*(d_Irr!AS2+d_Irr!BR2)),IF(AND(d_Irr!T2=".",d_Irr!AS2=".",d_Irr!BR2&lt;&gt;"."),d_dir!U2/((1/1000)*(d_Irr!BR2)),IF(AND(d_Irr!T2=".",d_Irr!AS2&lt;&gt;".",d_Irr!BR2="."),d_dir!U2/((1/1000)*(d_Irr!AS2)),IF(AND(d_Irr!T2&lt;&gt;".",d_Irr!AS2=".",d_Irr!BR2="."),d_dir!U2/((1/1000)*(d_Irr!T2)),IF(AND(d_Irr!T2=".",d_Irr!AS2=".",d_Irr!BR2="."),d_dir!U2*1000)))))))),".")</f>
        <v>6.7077982380294001</v>
      </c>
      <c r="V2" s="76">
        <f>IFERROR(IF(AND(d_Irr!U2&lt;&gt;".",d_Irr!AT2&lt;&gt;".",d_Irr!BS2&lt;&gt;"."),d_dir!V2/((1/1000)*(d_Irr!U2+d_Irr!AT2+d_Irr!BS2)),IF(AND(d_Irr!U2&lt;&gt;".",d_Irr!AT2&lt;&gt;".",d_Irr!BS2="."),d_dir!V2/((1/1000)*(d_Irr!U2+d_Irr!AT2)),IF(AND(d_Irr!U2&lt;&gt;".",d_Irr!AT2=".",d_Irr!BS2&lt;&gt;"."),d_dir!V2/((1/1000)*(d_Irr!U2+d_Irr!BS2)),IF(AND(d_Irr!U2=".",d_Irr!AT2&lt;&gt;".",d_Irr!BS2&lt;&gt;"."),d_dir!V2/((1/1000)*(d_Irr!AT2+d_Irr!BS2)),IF(AND(d_Irr!U2=".",d_Irr!AT2=".",d_Irr!BS2&lt;&gt;"."),d_dir!V2/((1/1000)*(d_Irr!BS2)),IF(AND(d_Irr!U2=".",d_Irr!AT2&lt;&gt;".",d_Irr!BS2="."),d_dir!V2/((1/1000)*(d_Irr!AT2)),IF(AND(d_Irr!U2&lt;&gt;".",d_Irr!AT2=".",d_Irr!BS2="."),d_dir!V2/((1/1000)*(d_Irr!U2)),IF(AND(d_Irr!U2=".",d_Irr!AT2=".",d_Irr!BS2="."),d_dir!V2*1000)))))))),".")</f>
        <v>1.0051469504693977</v>
      </c>
      <c r="W2" s="76">
        <f>IFERROR(IF(AND(d_Irr!V2&lt;&gt;".",d_Irr!AU2&lt;&gt;".",d_Irr!BT2&lt;&gt;"."),d_dir!W2/((1/1000)*(d_Irr!V2+d_Irr!AU2+d_Irr!BT2)),IF(AND(d_Irr!V2&lt;&gt;".",d_Irr!AU2&lt;&gt;".",d_Irr!BT2="."),d_dir!W2/((1/1000)*(d_Irr!V2+d_Irr!AU2)),IF(AND(d_Irr!V2&lt;&gt;".",d_Irr!AU2=".",d_Irr!BT2&lt;&gt;"."),d_dir!W2/((1/1000)*(d_Irr!V2+d_Irr!BT2)),IF(AND(d_Irr!V2=".",d_Irr!AU2&lt;&gt;".",d_Irr!BT2&lt;&gt;"."),d_dir!W2/((1/1000)*(d_Irr!AU2+d_Irr!BT2)),IF(AND(d_Irr!V2=".",d_Irr!AU2=".",d_Irr!BT2&lt;&gt;"."),d_dir!W2/((1/1000)*(d_Irr!BT2)),IF(AND(d_Irr!V2=".",d_Irr!AU2&lt;&gt;".",d_Irr!BT2="."),d_dir!W2/((1/1000)*(d_Irr!AU2)),IF(AND(d_Irr!V2&lt;&gt;".",d_Irr!AU2=".",d_Irr!BT2="."),d_dir!W2/((1/1000)*(d_Irr!V2)),IF(AND(d_Irr!V2=".",d_Irr!AU2=".",d_Irr!BT2="."),d_dir!W2*1000)))))))),".")</f>
        <v>2.0459708917136821</v>
      </c>
      <c r="X2" s="76">
        <f>IFERROR(IF(AND(d_Irr!W2&lt;&gt;".",d_Irr!AV2&lt;&gt;".",d_Irr!BU2&lt;&gt;"."),d_dir!X2/((1/1000)*(d_Irr!W2+d_Irr!AV2+d_Irr!BU2)),IF(AND(d_Irr!W2&lt;&gt;".",d_Irr!AV2&lt;&gt;".",d_Irr!BU2="."),d_dir!X2/((1/1000)*(d_Irr!W2+d_Irr!AV2)),IF(AND(d_Irr!W2&lt;&gt;".",d_Irr!AV2=".",d_Irr!BU2&lt;&gt;"."),d_dir!X2/((1/1000)*(d_Irr!W2+d_Irr!BU2)),IF(AND(d_Irr!W2=".",d_Irr!AV2&lt;&gt;".",d_Irr!BU2&lt;&gt;"."),d_dir!X2/((1/1000)*(d_Irr!AV2+d_Irr!BU2)),IF(AND(d_Irr!W2=".",d_Irr!AV2=".",d_Irr!BU2&lt;&gt;"."),d_dir!X2/((1/1000)*(d_Irr!BU2)),IF(AND(d_Irr!W2=".",d_Irr!AV2&lt;&gt;".",d_Irr!BU2="."),d_dir!X2/((1/1000)*(d_Irr!AV2)),IF(AND(d_Irr!W2&lt;&gt;".",d_Irr!AV2=".",d_Irr!BU2="."),d_dir!X2/((1/1000)*(d_Irr!W2)),IF(AND(d_Irr!W2=".",d_Irr!AV2=".",d_Irr!BU2="."),d_dir!X2*1000)))))))),".")</f>
        <v>2.1895133780498193</v>
      </c>
      <c r="Y2" s="76">
        <f>IFERROR(IF(AND(d_Irr!X2&lt;&gt;".",d_Irr!AW2&lt;&gt;".",d_Irr!BV2&lt;&gt;"."),d_dir!Y2/((1/1000)*(d_Irr!X2+d_Irr!AW2+d_Irr!BV2)),IF(AND(d_Irr!X2&lt;&gt;".",d_Irr!AW2&lt;&gt;".",d_Irr!BV2="."),d_dir!Y2/((1/1000)*(d_Irr!X2+d_Irr!AW2)),IF(AND(d_Irr!X2&lt;&gt;".",d_Irr!AW2=".",d_Irr!BV2&lt;&gt;"."),d_dir!Y2/((1/1000)*(d_Irr!X2+d_Irr!BV2)),IF(AND(d_Irr!X2=".",d_Irr!AW2&lt;&gt;".",d_Irr!BV2&lt;&gt;"."),d_dir!Y2/((1/1000)*(d_Irr!AW2+d_Irr!BV2)),IF(AND(d_Irr!X2=".",d_Irr!AW2=".",d_Irr!BV2&lt;&gt;"."),d_dir!Y2/((1/1000)*(d_Irr!BV2)),IF(AND(d_Irr!X2=".",d_Irr!AW2&lt;&gt;".",d_Irr!BV2="."),d_dir!Y2/((1/1000)*(d_Irr!AW2)),IF(AND(d_Irr!X2&lt;&gt;".",d_Irr!AW2=".",d_Irr!BV2="."),d_dir!Y2/((1/1000)*(d_Irr!X2)),IF(AND(d_Irr!X2=".",d_Irr!AW2=".",d_Irr!BV2="."),d_dir!Y2*1000)))))))),".")</f>
        <v>2.9253017471765346</v>
      </c>
      <c r="Z2" s="76">
        <f>IFERROR(IF(AND(d_Irr!Y2&lt;&gt;".",d_Irr!AX2&lt;&gt;".",d_Irr!BW2&lt;&gt;"."),d_dir!Z2/((1/1000)*(d_Irr!Y2+d_Irr!AX2+d_Irr!BW2)),IF(AND(d_Irr!Y2&lt;&gt;".",d_Irr!AX2&lt;&gt;".",d_Irr!BW2="."),d_dir!Z2/((1/1000)*(d_Irr!Y2+d_Irr!AX2)),IF(AND(d_Irr!Y2&lt;&gt;".",d_Irr!AX2=".",d_Irr!BW2&lt;&gt;"."),d_dir!Z2/((1/1000)*(d_Irr!Y2+d_Irr!BW2)),IF(AND(d_Irr!Y2=".",d_Irr!AX2&lt;&gt;".",d_Irr!BW2&lt;&gt;"."),d_dir!Z2/((1/1000)*(d_Irr!AX2+d_Irr!BW2)),IF(AND(d_Irr!Y2=".",d_Irr!AX2=".",d_Irr!BW2&lt;&gt;"."),d_dir!Z2/((1/1000)*(d_Irr!BW2)),IF(AND(d_Irr!Y2=".",d_Irr!AX2&lt;&gt;".",d_Irr!BW2="."),d_dir!Z2/((1/1000)*(d_Irr!AX2)),IF(AND(d_Irr!Y2&lt;&gt;".",d_Irr!AX2=".",d_Irr!BW2="."),d_dir!Z2/((1/1000)*(d_Irr!Y2)),IF(AND(d_Irr!Y2=".",d_Irr!AX2=".",d_Irr!BW2="."),d_dir!Z2*1000)))))))),".")</f>
        <v>1.546684573870263</v>
      </c>
      <c r="AA2" s="76">
        <f>IFERROR(IF(AND(d_Irr!Z2&lt;&gt;".",d_Irr!AY2&lt;&gt;".",d_Irr!BX2&lt;&gt;"."),d_dir!AA2/((1/1000)*(d_Irr!Z2+d_Irr!AY2+d_Irr!BX2)),IF(AND(d_Irr!Z2&lt;&gt;".",d_Irr!AY2&lt;&gt;".",d_Irr!BX2="."),d_dir!AA2/((1/1000)*(d_Irr!Z2+d_Irr!AY2)),IF(AND(d_Irr!Z2&lt;&gt;".",d_Irr!AY2=".",d_Irr!BX2&lt;&gt;"."),d_dir!AA2/((1/1000)*(d_Irr!Z2+d_Irr!BX2)),IF(AND(d_Irr!Z2=".",d_Irr!AY2&lt;&gt;".",d_Irr!BX2&lt;&gt;"."),d_dir!AA2/((1/1000)*(d_Irr!AY2+d_Irr!BX2)),IF(AND(d_Irr!Z2=".",d_Irr!AY2=".",d_Irr!BX2&lt;&gt;"."),d_dir!AA2/((1/1000)*(d_Irr!BX2)),IF(AND(d_Irr!Z2=".",d_Irr!AY2&lt;&gt;".",d_Irr!BX2="."),d_dir!AA2/((1/1000)*(d_Irr!AY2)),IF(AND(d_Irr!Z2&lt;&gt;".",d_Irr!AY2=".",d_Irr!BX2="."),d_dir!AA2/((1/1000)*(d_Irr!Z2)),IF(AND(d_Irr!Z2=".",d_Irr!AY2=".",d_Irr!BX2="."),d_dir!AA2*1000)))))))),".")</f>
        <v>0.44266374765559391</v>
      </c>
      <c r="AB2" s="76">
        <f>IFERROR(IF(AND(d_Irr!AA2&lt;&gt;".",d_Irr!AZ2&lt;&gt;".",d_Irr!BY2&lt;&gt;"."),d_dir!AB2/((1/1000)*(d_Irr!AA2+d_Irr!AZ2+d_Irr!BY2)),IF(AND(d_Irr!AA2&lt;&gt;".",d_Irr!AZ2&lt;&gt;".",d_Irr!BY2="."),d_dir!AB2/((1/1000)*(d_Irr!AA2+d_Irr!AZ2)),IF(AND(d_Irr!AA2&lt;&gt;".",d_Irr!AZ2=".",d_Irr!BY2&lt;&gt;"."),d_dir!AB2/((1/1000)*(d_Irr!AA2+d_Irr!BY2)),IF(AND(d_Irr!AA2=".",d_Irr!AZ2&lt;&gt;".",d_Irr!BY2&lt;&gt;"."),d_dir!AB2/((1/1000)*(d_Irr!AZ2+d_Irr!BY2)),IF(AND(d_Irr!AA2=".",d_Irr!AZ2=".",d_Irr!BY2&lt;&gt;"."),d_dir!AB2/((1/1000)*(d_Irr!BY2)),IF(AND(d_Irr!AA2=".",d_Irr!AZ2&lt;&gt;".",d_Irr!BY2="."),d_dir!AB2/((1/1000)*(d_Irr!AZ2)),IF(AND(d_Irr!AA2&lt;&gt;".",d_Irr!AZ2=".",d_Irr!BY2="."),d_dir!AB2/((1/1000)*(d_Irr!AA2)),IF(AND(d_Irr!AA2=".",d_Irr!AZ2=".",d_Irr!BY2="."),d_dir!AB2*1000)))))))),".")</f>
        <v>0.50765674493738666</v>
      </c>
      <c r="AC2" s="76">
        <f t="shared" ref="AC2:AC30" si="0">IFERROR(1/SUM(1/AD2,1/AE2,1/AF2,1/AG2,1/AH2,1/AI2,1/AJ2,1/AK2,1/AL2,1/AM2,1/AN2,1/AO2,1/AP2,1/AQ2,1/AR2,1/AS2,1/AT2,1/AU2,1/AV2,1/AW2,1/AX2,1/AY2,1/AZ2),".")</f>
        <v>5.0116079538197911E-2</v>
      </c>
      <c r="AD2" s="76">
        <f>IFERROR(IF(AND(d_Irr!C2&lt;&gt;".",d_Irr!AB2&lt;&gt;".",d_Irr!BA2&lt;&gt;"."),d_dir!AD2/((1/1000)*(d_Irr!C2+d_Irr!AB2+d_Irr!BA2)),IF(AND(d_Irr!C2&lt;&gt;".",d_Irr!AB2&lt;&gt;".",d_Irr!BA2="."),d_dir!AD2/((1/1000)*(d_Irr!C2+d_Irr!AB2)),IF(AND(d_Irr!C2&lt;&gt;".",d_Irr!AB2=".",d_Irr!BA2&lt;&gt;"."),d_dir!AD2/((1/1000)*(d_Irr!C2+d_Irr!BA2)),IF(AND(d_Irr!C2=".",d_Irr!AB2&lt;&gt;".",d_Irr!BA2&lt;&gt;"."),d_dir!AD2/((1/1000)*(d_Irr!AB2+d_Irr!BA2)),IF(AND(d_Irr!C2=".",d_Irr!AB2=".",d_Irr!BA2&lt;&gt;"."),d_dir!AD2/((1/1000)*(d_Irr!BA2)),IF(AND(d_Irr!C2=".",d_Irr!AB2&lt;&gt;".",d_Irr!BA2="."),d_dir!AD2/((1/1000)*(d_Irr!AB2)),IF(AND(d_Irr!C2&lt;&gt;".",d_Irr!AB2=".",d_Irr!BA2="."),d_dir!AD2/((1/1000)*(d_Irr!C2)),IF(AND(d_Irr!C2=".",d_Irr!AB2=".",d_Irr!BA2="."),d_dir!AD2*1000)))))))),".")</f>
        <v>0.84506160692971799</v>
      </c>
      <c r="AE2" s="76">
        <f>IFERROR(IF(AND(d_Irr!D2&lt;&gt;".",d_Irr!AC2&lt;&gt;".",d_Irr!BB2&lt;&gt;"."),d_dir!AE2/((1/1000)*(d_Irr!D2+d_Irr!AC2+d_Irr!BB2)),IF(AND(d_Irr!D2&lt;&gt;".",d_Irr!AC2&lt;&gt;".",d_Irr!BB2="."),d_dir!AE2/((1/1000)*(d_Irr!D2+d_Irr!AC2)),IF(AND(d_Irr!D2&lt;&gt;".",d_Irr!AC2=".",d_Irr!BB2&lt;&gt;"."),d_dir!AE2/((1/1000)*(d_Irr!D2+d_Irr!BB2)),IF(AND(d_Irr!D2=".",d_Irr!AC2&lt;&gt;".",d_Irr!BB2&lt;&gt;"."),d_dir!AE2/((1/1000)*(d_Irr!AC2+d_Irr!BB2)),IF(AND(d_Irr!D2=".",d_Irr!AC2=".",d_Irr!BB2&lt;&gt;"."),d_dir!AE2/((1/1000)*(d_Irr!BB2)),IF(AND(d_Irr!D2=".",d_Irr!AC2&lt;&gt;".",d_Irr!BB2="."),d_dir!AE2/((1/1000)*(d_Irr!AC2)),IF(AND(d_Irr!D2&lt;&gt;".",d_Irr!AC2=".",d_Irr!BB2="."),d_dir!AE2/((1/1000)*(d_Irr!D2)),IF(AND(d_Irr!D2=".",d_Irr!AC2=".",d_Irr!BB2="."),d_dir!AE2*1000)))))))),".")</f>
        <v>1.9919483980084938</v>
      </c>
      <c r="AF2" s="76">
        <f>IFERROR(IF(AND(d_Irr!E2&lt;&gt;".",d_Irr!AD2&lt;&gt;".",d_Irr!BC2&lt;&gt;"."),d_dir!AF2/((1/1000)*(d_Irr!E2+d_Irr!AD2+d_Irr!BC2)),IF(AND(d_Irr!E2&lt;&gt;".",d_Irr!AD2&lt;&gt;".",d_Irr!BC2="."),d_dir!AF2/((1/1000)*(d_Irr!E2+d_Irr!AD2)),IF(AND(d_Irr!E2&lt;&gt;".",d_Irr!AD2=".",d_Irr!BC2&lt;&gt;"."),d_dir!AF2/((1/1000)*(d_Irr!E2+d_Irr!BC2)),IF(AND(d_Irr!E2=".",d_Irr!AD2&lt;&gt;".",d_Irr!BC2&lt;&gt;"."),d_dir!AF2/((1/1000)*(d_Irr!AD2+d_Irr!BC2)),IF(AND(d_Irr!E2=".",d_Irr!AD2=".",d_Irr!BC2&lt;&gt;"."),d_dir!AF2/((1/1000)*(d_Irr!BC2)),IF(AND(d_Irr!E2=".",d_Irr!AD2&lt;&gt;".",d_Irr!BC2="."),d_dir!AF2/((1/1000)*(d_Irr!AD2)),IF(AND(d_Irr!E2&lt;&gt;".",d_Irr!AD2=".",d_Irr!BC2="."),d_dir!AF2/((1/1000)*(d_Irr!E2)),IF(AND(d_Irr!E2=".",d_Irr!AD2=".",d_Irr!BC2="."),d_dir!AF2*1000)))))))),".")</f>
        <v>2.369285807445936</v>
      </c>
      <c r="AG2" s="76">
        <f>IFERROR(IF(AND(d_Irr!F2&lt;&gt;".",d_Irr!AE2&lt;&gt;".",d_Irr!BD2&lt;&gt;"."),d_dir!AG2/((1/1000)*(d_Irr!F2+d_Irr!AE2+d_Irr!BD2)),IF(AND(d_Irr!F2&lt;&gt;".",d_Irr!AE2&lt;&gt;".",d_Irr!BD2="."),d_dir!AG2/((1/1000)*(d_Irr!F2+d_Irr!AE2)),IF(AND(d_Irr!F2&lt;&gt;".",d_Irr!AE2=".",d_Irr!BD2&lt;&gt;"."),d_dir!AG2/((1/1000)*(d_Irr!F2+d_Irr!BD2)),IF(AND(d_Irr!F2=".",d_Irr!AE2&lt;&gt;".",d_Irr!BD2&lt;&gt;"."),d_dir!AG2/((1/1000)*(d_Irr!AE2+d_Irr!BD2)),IF(AND(d_Irr!F2=".",d_Irr!AE2=".",d_Irr!BD2&lt;&gt;"."),d_dir!AG2/((1/1000)*(d_Irr!BD2)),IF(AND(d_Irr!F2=".",d_Irr!AE2&lt;&gt;".",d_Irr!BD2="."),d_dir!AG2/((1/1000)*(d_Irr!AE2)),IF(AND(d_Irr!F2&lt;&gt;".",d_Irr!AE2=".",d_Irr!BD2="."),d_dir!AG2/((1/1000)*(d_Irr!F2)),IF(AND(d_Irr!F2=".",d_Irr!AE2=".",d_Irr!BD2="."),d_dir!AG2*1000)))))))),".")</f>
        <v>2.1278948862646052</v>
      </c>
      <c r="AH2" s="76">
        <f>IFERROR(IF(AND(d_Irr!G2&lt;&gt;".",d_Irr!AF2&lt;&gt;".",d_Irr!BE2&lt;&gt;"."),d_dir!AH2/((1/1000)*(d_Irr!G2+d_Irr!AF2+d_Irr!BE2)),IF(AND(d_Irr!G2&lt;&gt;".",d_Irr!AF2&lt;&gt;".",d_Irr!BE2="."),d_dir!AH2/((1/1000)*(d_Irr!G2+d_Irr!AF2)),IF(AND(d_Irr!G2&lt;&gt;".",d_Irr!AF2=".",d_Irr!BE2&lt;&gt;"."),d_dir!AH2/((1/1000)*(d_Irr!G2+d_Irr!BE2)),IF(AND(d_Irr!G2=".",d_Irr!AF2&lt;&gt;".",d_Irr!BE2&lt;&gt;"."),d_dir!AH2/((1/1000)*(d_Irr!AF2+d_Irr!BE2)),IF(AND(d_Irr!G2=".",d_Irr!AF2=".",d_Irr!BE2&lt;&gt;"."),d_dir!AH2/((1/1000)*(d_Irr!BE2)),IF(AND(d_Irr!G2=".",d_Irr!AF2&lt;&gt;".",d_Irr!BE2="."),d_dir!AH2/((1/1000)*(d_Irr!AF2)),IF(AND(d_Irr!G2&lt;&gt;".",d_Irr!AF2=".",d_Irr!BE2="."),d_dir!AH2/((1/1000)*(d_Irr!G2)),IF(AND(d_Irr!G2=".",d_Irr!AF2=".",d_Irr!BE2="."),d_dir!AH2*1000)))))))),".")</f>
        <v>2.2692192129613149</v>
      </c>
      <c r="AI2" s="76">
        <f>IFERROR(IF(AND(d_Irr!H2&lt;&gt;".",d_Irr!AG2&lt;&gt;".",d_Irr!BF2&lt;&gt;"."),d_dir!AI2/((1/1000)*(d_Irr!H2+d_Irr!AG2+d_Irr!BF2)),IF(AND(d_Irr!H2&lt;&gt;".",d_Irr!AG2&lt;&gt;".",d_Irr!BF2="."),d_dir!AI2/((1/1000)*(d_Irr!H2+d_Irr!AG2)),IF(AND(d_Irr!H2&lt;&gt;".",d_Irr!AG2=".",d_Irr!BF2&lt;&gt;"."),d_dir!AI2/((1/1000)*(d_Irr!H2+d_Irr!BF2)),IF(AND(d_Irr!H2=".",d_Irr!AG2&lt;&gt;".",d_Irr!BF2&lt;&gt;"."),d_dir!AI2/((1/1000)*(d_Irr!AG2+d_Irr!BF2)),IF(AND(d_Irr!H2=".",d_Irr!AG2=".",d_Irr!BF2&lt;&gt;"."),d_dir!AI2/((1/1000)*(d_Irr!BF2)),IF(AND(d_Irr!H2=".",d_Irr!AG2&lt;&gt;".",d_Irr!BF2="."),d_dir!AI2/((1/1000)*(d_Irr!AG2)),IF(AND(d_Irr!H2&lt;&gt;".",d_Irr!AG2=".",d_Irr!BF2="."),d_dir!AI2/((1/1000)*(d_Irr!H2)),IF(AND(d_Irr!H2=".",d_Irr!AG2=".",d_Irr!BF2="."),d_dir!AI2*1000)))))))),".")</f>
        <v>1.031898201647292</v>
      </c>
      <c r="AJ2" s="76">
        <f>IFERROR(IF(AND(d_Irr!I2&lt;&gt;".",d_Irr!AH2&lt;&gt;".",d_Irr!BG2&lt;&gt;"."),d_dir!AJ2/((1/1000)*(d_Irr!I2+d_Irr!AH2+d_Irr!BG2)),IF(AND(d_Irr!I2&lt;&gt;".",d_Irr!AH2&lt;&gt;".",d_Irr!BG2="."),d_dir!AJ2/((1/1000)*(d_Irr!I2+d_Irr!AH2)),IF(AND(d_Irr!I2&lt;&gt;".",d_Irr!AH2=".",d_Irr!BG2&lt;&gt;"."),d_dir!AJ2/((1/1000)*(d_Irr!I2+d_Irr!BG2)),IF(AND(d_Irr!I2=".",d_Irr!AH2&lt;&gt;".",d_Irr!BG2&lt;&gt;"."),d_dir!AJ2/((1/1000)*(d_Irr!AH2+d_Irr!BG2)),IF(AND(d_Irr!I2=".",d_Irr!AH2=".",d_Irr!BG2&lt;&gt;"."),d_dir!AJ2/((1/1000)*(d_Irr!BG2)),IF(AND(d_Irr!I2=".",d_Irr!AH2&lt;&gt;".",d_Irr!BG2="."),d_dir!AJ2/((1/1000)*(d_Irr!AH2)),IF(AND(d_Irr!I2&lt;&gt;".",d_Irr!AH2=".",d_Irr!BG2="."),d_dir!AJ2/((1/1000)*(d_Irr!I2)),IF(AND(d_Irr!I2=".",d_Irr!AH2=".",d_Irr!BG2="."),d_dir!AJ2*1000)))))))),".")</f>
        <v>3.1463863283892435</v>
      </c>
      <c r="AK2" s="76">
        <f>IFERROR(IF(AND(d_Irr!J2&lt;&gt;".",d_Irr!AI2&lt;&gt;".",d_Irr!BH2&lt;&gt;"."),d_dir!AK2/((1/1000)*(d_Irr!J2+d_Irr!AI2+d_Irr!BH2)),IF(AND(d_Irr!J2&lt;&gt;".",d_Irr!AI2&lt;&gt;".",d_Irr!BH2="."),d_dir!AK2/((1/1000)*(d_Irr!J2+d_Irr!AI2)),IF(AND(d_Irr!J2&lt;&gt;".",d_Irr!AI2=".",d_Irr!BH2&lt;&gt;"."),d_dir!AK2/((1/1000)*(d_Irr!J2+d_Irr!BH2)),IF(AND(d_Irr!J2=".",d_Irr!AI2&lt;&gt;".",d_Irr!BH2&lt;&gt;"."),d_dir!AK2/((1/1000)*(d_Irr!AI2+d_Irr!BH2)),IF(AND(d_Irr!J2=".",d_Irr!AI2=".",d_Irr!BH2&lt;&gt;"."),d_dir!AK2/((1/1000)*(d_Irr!BH2)),IF(AND(d_Irr!J2=".",d_Irr!AI2&lt;&gt;".",d_Irr!BH2="."),d_dir!AK2/((1/1000)*(d_Irr!AI2)),IF(AND(d_Irr!J2&lt;&gt;".",d_Irr!AI2=".",d_Irr!BH2="."),d_dir!AK2/((1/1000)*(d_Irr!J2)),IF(AND(d_Irr!J2=".",d_Irr!AI2=".",d_Irr!BH2="."),d_dir!AK2*1000)))))))),".")</f>
        <v>0.24499307971723414</v>
      </c>
      <c r="AL2" s="76">
        <f>IFERROR(IF(AND(d_Irr!K2&lt;&gt;".",d_Irr!AJ2&lt;&gt;".",d_Irr!BI2&lt;&gt;"."),d_dir!AL2/((1/1000)*(d_Irr!K2+d_Irr!AJ2+d_Irr!BI2)),IF(AND(d_Irr!K2&lt;&gt;".",d_Irr!AJ2&lt;&gt;".",d_Irr!BI2="."),d_dir!AL2/((1/1000)*(d_Irr!K2+d_Irr!AJ2)),IF(AND(d_Irr!K2&lt;&gt;".",d_Irr!AJ2=".",d_Irr!BI2&lt;&gt;"."),d_dir!AL2/((1/1000)*(d_Irr!K2+d_Irr!BI2)),IF(AND(d_Irr!K2=".",d_Irr!AJ2&lt;&gt;".",d_Irr!BI2&lt;&gt;"."),d_dir!AL2/((1/1000)*(d_Irr!AJ2+d_Irr!BI2)),IF(AND(d_Irr!K2=".",d_Irr!AJ2=".",d_Irr!BI2&lt;&gt;"."),d_dir!AL2/((1/1000)*(d_Irr!BI2)),IF(AND(d_Irr!K2=".",d_Irr!AJ2&lt;&gt;".",d_Irr!BI2="."),d_dir!AL2/((1/1000)*(d_Irr!AJ2)),IF(AND(d_Irr!K2&lt;&gt;".",d_Irr!AJ2=".",d_Irr!BI2="."),d_dir!AL2/((1/1000)*(d_Irr!K2)),IF(AND(d_Irr!K2=".",d_Irr!AJ2=".",d_Irr!BI2="."),d_dir!AL2*1000)))))))),".")</f>
        <v>0.95814053065922156</v>
      </c>
      <c r="AM2" s="76">
        <f>IFERROR(IF(AND(d_Irr!L2&lt;&gt;".",d_Irr!AK2&lt;&gt;".",d_Irr!BJ2&lt;&gt;"."),d_dir!AM2/((1/1000)*(d_Irr!L2+d_Irr!AK2+d_Irr!BJ2)),IF(AND(d_Irr!L2&lt;&gt;".",d_Irr!AK2&lt;&gt;".",d_Irr!BJ2="."),d_dir!AM2/((1/1000)*(d_Irr!L2+d_Irr!AK2)),IF(AND(d_Irr!L2&lt;&gt;".",d_Irr!AK2=".",d_Irr!BJ2&lt;&gt;"."),d_dir!AM2/((1/1000)*(d_Irr!L2+d_Irr!BJ2)),IF(AND(d_Irr!L2=".",d_Irr!AK2&lt;&gt;".",d_Irr!BJ2&lt;&gt;"."),d_dir!AM2/((1/1000)*(d_Irr!AK2+d_Irr!BJ2)),IF(AND(d_Irr!L2=".",d_Irr!AK2=".",d_Irr!BJ2&lt;&gt;"."),d_dir!AM2/((1/1000)*(d_Irr!BJ2)),IF(AND(d_Irr!L2=".",d_Irr!AK2&lt;&gt;".",d_Irr!BJ2="."),d_dir!AM2/((1/1000)*(d_Irr!AK2)),IF(AND(d_Irr!L2&lt;&gt;".",d_Irr!AK2=".",d_Irr!BJ2="."),d_dir!AM2/((1/1000)*(d_Irr!L2)),IF(AND(d_Irr!L2=".",d_Irr!AK2=".",d_Irr!BJ2="."),d_dir!AM2*1000)))))))),".")</f>
        <v>1.455472615788961</v>
      </c>
      <c r="AN2" s="76">
        <f>IFERROR(IF(AND(d_Irr!M2&lt;&gt;".",d_Irr!AL2&lt;&gt;".",d_Irr!BK2&lt;&gt;"."),d_dir!AN2/((1/1000)*(d_Irr!M2+d_Irr!AL2+d_Irr!BK2)),IF(AND(d_Irr!M2&lt;&gt;".",d_Irr!AL2&lt;&gt;".",d_Irr!BK2="."),d_dir!AN2/((1/1000)*(d_Irr!M2+d_Irr!AL2)),IF(AND(d_Irr!M2&lt;&gt;".",d_Irr!AL2=".",d_Irr!BK2&lt;&gt;"."),d_dir!AN2/((1/1000)*(d_Irr!M2+d_Irr!BK2)),IF(AND(d_Irr!M2=".",d_Irr!AL2&lt;&gt;".",d_Irr!BK2&lt;&gt;"."),d_dir!AN2/((1/1000)*(d_Irr!AL2+d_Irr!BK2)),IF(AND(d_Irr!M2=".",d_Irr!AL2=".",d_Irr!BK2&lt;&gt;"."),d_dir!AN2/((1/1000)*(d_Irr!BK2)),IF(AND(d_Irr!M2=".",d_Irr!AL2&lt;&gt;".",d_Irr!BK2="."),d_dir!AN2/((1/1000)*(d_Irr!AL2)),IF(AND(d_Irr!M2&lt;&gt;".",d_Irr!AL2=".",d_Irr!BK2="."),d_dir!AN2/((1/1000)*(d_Irr!M2)),IF(AND(d_Irr!M2=".",d_Irr!AL2=".",d_Irr!BK2="."),d_dir!AN2*1000)))))))),".")</f>
        <v>1.9937720465731772</v>
      </c>
      <c r="AO2" s="76">
        <f>IFERROR(IF(AND(d_Irr!N2&lt;&gt;".",d_Irr!AM2&lt;&gt;".",d_Irr!BL2&lt;&gt;"."),d_dir!AO2/((1/1000)*(d_Irr!N2+d_Irr!AM2+d_Irr!BL2)),IF(AND(d_Irr!N2&lt;&gt;".",d_Irr!AM2&lt;&gt;".",d_Irr!BL2="."),d_dir!AO2/((1/1000)*(d_Irr!N2+d_Irr!AM2)),IF(AND(d_Irr!N2&lt;&gt;".",d_Irr!AM2=".",d_Irr!BL2&lt;&gt;"."),d_dir!AO2/((1/1000)*(d_Irr!N2+d_Irr!BL2)),IF(AND(d_Irr!N2=".",d_Irr!AM2&lt;&gt;".",d_Irr!BL2&lt;&gt;"."),d_dir!AO2/((1/1000)*(d_Irr!AM2+d_Irr!BL2)),IF(AND(d_Irr!N2=".",d_Irr!AM2=".",d_Irr!BL2&lt;&gt;"."),d_dir!AO2/((1/1000)*(d_Irr!BL2)),IF(AND(d_Irr!N2=".",d_Irr!AM2&lt;&gt;".",d_Irr!BL2="."),d_dir!AO2/((1/1000)*(d_Irr!AM2)),IF(AND(d_Irr!N2&lt;&gt;".",d_Irr!AM2=".",d_Irr!BL2="."),d_dir!AO2/((1/1000)*(d_Irr!N2)),IF(AND(d_Irr!N2=".",d_Irr!AM2=".",d_Irr!BL2="."),d_dir!AO2*1000)))))))),".")</f>
        <v>2.1466592823834878</v>
      </c>
      <c r="AP2" s="76">
        <f>IFERROR(IF(AND(d_Irr!O2&lt;&gt;".",d_Irr!AN2&lt;&gt;".",d_Irr!BM2&lt;&gt;"."),d_dir!AP2/((1/1000)*(d_Irr!O2+d_Irr!AN2+d_Irr!BM2)),IF(AND(d_Irr!O2&lt;&gt;".",d_Irr!AN2&lt;&gt;".",d_Irr!BM2="."),d_dir!AP2/((1/1000)*(d_Irr!O2+d_Irr!AN2)),IF(AND(d_Irr!O2&lt;&gt;".",d_Irr!AN2=".",d_Irr!BM2&lt;&gt;"."),d_dir!AP2/((1/1000)*(d_Irr!O2+d_Irr!BM2)),IF(AND(d_Irr!O2=".",d_Irr!AN2&lt;&gt;".",d_Irr!BM2&lt;&gt;"."),d_dir!AP2/((1/1000)*(d_Irr!AN2+d_Irr!BM2)),IF(AND(d_Irr!O2=".",d_Irr!AN2=".",d_Irr!BM2&lt;&gt;"."),d_dir!AP2/((1/1000)*(d_Irr!BM2)),IF(AND(d_Irr!O2=".",d_Irr!AN2&lt;&gt;".",d_Irr!BM2="."),d_dir!AP2/((1/1000)*(d_Irr!AN2)),IF(AND(d_Irr!O2&lt;&gt;".",d_Irr!AN2=".",d_Irr!BM2="."),d_dir!AP2/((1/1000)*(d_Irr!O2)),IF(AND(d_Irr!O2=".",d_Irr!AN2=".",d_Irr!BM2="."),d_dir!AP2*1000)))))))),".")</f>
        <v>2.6220365201756644</v>
      </c>
      <c r="AQ2" s="76">
        <f>IFERROR(IF(AND(d_Irr!P2&lt;&gt;".",d_Irr!AO2&lt;&gt;".",d_Irr!BN2&lt;&gt;"."),d_dir!AQ2/((1/1000)*(d_Irr!P2+d_Irr!AO2+d_Irr!BN2)),IF(AND(d_Irr!P2&lt;&gt;".",d_Irr!AO2&lt;&gt;".",d_Irr!BN2="."),d_dir!AQ2/((1/1000)*(d_Irr!P2+d_Irr!AO2)),IF(AND(d_Irr!P2&lt;&gt;".",d_Irr!AO2=".",d_Irr!BN2&lt;&gt;"."),d_dir!AQ2/((1/1000)*(d_Irr!P2+d_Irr!BN2)),IF(AND(d_Irr!P2=".",d_Irr!AO2&lt;&gt;".",d_Irr!BN2&lt;&gt;"."),d_dir!AQ2/((1/1000)*(d_Irr!AO2+d_Irr!BN2)),IF(AND(d_Irr!P2=".",d_Irr!AO2=".",d_Irr!BN2&lt;&gt;"."),d_dir!AQ2/((1/1000)*(d_Irr!BN2)),IF(AND(d_Irr!P2=".",d_Irr!AO2&lt;&gt;".",d_Irr!BN2="."),d_dir!AQ2/((1/1000)*(d_Irr!AO2)),IF(AND(d_Irr!P2&lt;&gt;".",d_Irr!AO2=".",d_Irr!BN2="."),d_dir!AQ2/((1/1000)*(d_Irr!P2)),IF(AND(d_Irr!P2=".",d_Irr!AO2=".",d_Irr!BN2="."),d_dir!AQ2*1000)))))))),".")</f>
        <v>2.9362392760410101</v>
      </c>
      <c r="AR2" s="76">
        <f>IFERROR(IF(AND(d_Irr!Q2&lt;&gt;".",d_Irr!AP2&lt;&gt;".",d_Irr!BO2&lt;&gt;"."),d_dir!AR2/((1/1000)*(d_Irr!Q2+d_Irr!AP2+d_Irr!BO2)),IF(AND(d_Irr!Q2&lt;&gt;".",d_Irr!AP2&lt;&gt;".",d_Irr!BO2="."),d_dir!AR2/((1/1000)*(d_Irr!Q2+d_Irr!AP2)),IF(AND(d_Irr!Q2&lt;&gt;".",d_Irr!AP2=".",d_Irr!BO2&lt;&gt;"."),d_dir!AR2/((1/1000)*(d_Irr!Q2+d_Irr!BO2)),IF(AND(d_Irr!Q2=".",d_Irr!AP2&lt;&gt;".",d_Irr!BO2&lt;&gt;"."),d_dir!AR2/((1/1000)*(d_Irr!AP2+d_Irr!BO2)),IF(AND(d_Irr!Q2=".",d_Irr!AP2=".",d_Irr!BO2&lt;&gt;"."),d_dir!AR2/((1/1000)*(d_Irr!BO2)),IF(AND(d_Irr!Q2=".",d_Irr!AP2&lt;&gt;".",d_Irr!BO2="."),d_dir!AR2/((1/1000)*(d_Irr!AP2)),IF(AND(d_Irr!Q2&lt;&gt;".",d_Irr!AP2=".",d_Irr!BO2="."),d_dir!AR2/((1/1000)*(d_Irr!Q2)),IF(AND(d_Irr!Q2=".",d_Irr!AP2=".",d_Irr!BO2="."),d_dir!AR2*1000)))))))),".")</f>
        <v>0.69752316041491569</v>
      </c>
      <c r="AS2" s="76">
        <f>IFERROR(IF(AND(d_Irr!R2&lt;&gt;".",d_Irr!AQ2&lt;&gt;".",d_Irr!BP2&lt;&gt;"."),d_dir!AS2/((1/1000)*(d_Irr!R2+d_Irr!AQ2+d_Irr!BP2)),IF(AND(d_Irr!R2&lt;&gt;".",d_Irr!AQ2&lt;&gt;".",d_Irr!BP2="."),d_dir!AS2/((1/1000)*(d_Irr!R2+d_Irr!AQ2)),IF(AND(d_Irr!R2&lt;&gt;".",d_Irr!AQ2=".",d_Irr!BP2&lt;&gt;"."),d_dir!AS2/((1/1000)*(d_Irr!R2+d_Irr!BP2)),IF(AND(d_Irr!R2=".",d_Irr!AQ2&lt;&gt;".",d_Irr!BP2&lt;&gt;"."),d_dir!AS2/((1/1000)*(d_Irr!AQ2+d_Irr!BP2)),IF(AND(d_Irr!R2=".",d_Irr!AQ2=".",d_Irr!BP2&lt;&gt;"."),d_dir!AS2/((1/1000)*(d_Irr!BP2)),IF(AND(d_Irr!R2=".",d_Irr!AQ2&lt;&gt;".",d_Irr!BP2="."),d_dir!AS2/((1/1000)*(d_Irr!AQ2)),IF(AND(d_Irr!R2&lt;&gt;".",d_Irr!AQ2=".",d_Irr!BP2="."),d_dir!AS2/((1/1000)*(d_Irr!R2)),IF(AND(d_Irr!R2=".",d_Irr!AQ2=".",d_Irr!BP2="."),d_dir!AS2*1000)))))))),".")</f>
        <v>1.1374068800614501</v>
      </c>
      <c r="AT2" s="76">
        <f>IFERROR(IF(AND(d_Irr!S2&lt;&gt;".",d_Irr!AR2&lt;&gt;".",d_Irr!BQ2&lt;&gt;"."),d_dir!AT2/((1/1000)*(d_Irr!S2+d_Irr!AR2+d_Irr!BQ2)),IF(AND(d_Irr!S2&lt;&gt;".",d_Irr!AR2&lt;&gt;".",d_Irr!BQ2="."),d_dir!AT2/((1/1000)*(d_Irr!S2+d_Irr!AR2)),IF(AND(d_Irr!S2&lt;&gt;".",d_Irr!AR2=".",d_Irr!BQ2&lt;&gt;"."),d_dir!AT2/((1/1000)*(d_Irr!S2+d_Irr!BQ2)),IF(AND(d_Irr!S2=".",d_Irr!AR2&lt;&gt;".",d_Irr!BQ2&lt;&gt;"."),d_dir!AT2/((1/1000)*(d_Irr!AR2+d_Irr!BQ2)),IF(AND(d_Irr!S2=".",d_Irr!AR2=".",d_Irr!BQ2&lt;&gt;"."),d_dir!AT2/((1/1000)*(d_Irr!BQ2)),IF(AND(d_Irr!S2=".",d_Irr!AR2&lt;&gt;".",d_Irr!BQ2="."),d_dir!AT2/((1/1000)*(d_Irr!AR2)),IF(AND(d_Irr!S2&lt;&gt;".",d_Irr!AR2=".",d_Irr!BQ2="."),d_dir!AT2/((1/1000)*(d_Irr!S2)),IF(AND(d_Irr!S2=".",d_Irr!AR2=".",d_Irr!BQ2="."),d_dir!AT2*1000)))))))),".")</f>
        <v>2.3857808165543259</v>
      </c>
      <c r="AU2" s="76">
        <f>IFERROR(IF(AND(d_Irr!T2&lt;&gt;".",d_Irr!AS2&lt;&gt;".",d_Irr!BR2&lt;&gt;"."),d_dir!AU2/((1/1000)*(d_Irr!T2+d_Irr!AS2+d_Irr!BR2)),IF(AND(d_Irr!T2&lt;&gt;".",d_Irr!AS2&lt;&gt;".",d_Irr!BR2="."),d_dir!AU2/((1/1000)*(d_Irr!T2+d_Irr!AS2)),IF(AND(d_Irr!T2&lt;&gt;".",d_Irr!AS2=".",d_Irr!BR2&lt;&gt;"."),d_dir!AU2/((1/1000)*(d_Irr!T2+d_Irr!BR2)),IF(AND(d_Irr!T2=".",d_Irr!AS2&lt;&gt;".",d_Irr!BR2&lt;&gt;"."),d_dir!AU2/((1/1000)*(d_Irr!AS2+d_Irr!BR2)),IF(AND(d_Irr!T2=".",d_Irr!AS2=".",d_Irr!BR2&lt;&gt;"."),d_dir!AU2/((1/1000)*(d_Irr!BR2)),IF(AND(d_Irr!T2=".",d_Irr!AS2&lt;&gt;".",d_Irr!BR2="."),d_dir!AU2/((1/1000)*(d_Irr!AS2)),IF(AND(d_Irr!T2&lt;&gt;".",d_Irr!AS2=".",d_Irr!BR2="."),d_dir!AU2/((1/1000)*(d_Irr!T2)),IF(AND(d_Irr!T2=".",d_Irr!AS2=".",d_Irr!BR2="."),d_dir!AU2*1000)))))))),".")</f>
        <v>3.2670186517543423</v>
      </c>
      <c r="AV2" s="76">
        <f>IFERROR(IF(AND(d_Irr!U2&lt;&gt;".",d_Irr!AT2&lt;&gt;".",d_Irr!BS2&lt;&gt;"."),d_dir!AV2/((1/1000)*(d_Irr!U2+d_Irr!AT2+d_Irr!BS2)),IF(AND(d_Irr!U2&lt;&gt;".",d_Irr!AT2&lt;&gt;".",d_Irr!BS2="."),d_dir!AV2/((1/1000)*(d_Irr!U2+d_Irr!AT2)),IF(AND(d_Irr!U2&lt;&gt;".",d_Irr!AT2=".",d_Irr!BS2&lt;&gt;"."),d_dir!AV2/((1/1000)*(d_Irr!U2+d_Irr!BS2)),IF(AND(d_Irr!U2=".",d_Irr!AT2&lt;&gt;".",d_Irr!BS2&lt;&gt;"."),d_dir!AV2/((1/1000)*(d_Irr!AT2+d_Irr!BS2)),IF(AND(d_Irr!U2=".",d_Irr!AT2=".",d_Irr!BS2&lt;&gt;"."),d_dir!AV2/((1/1000)*(d_Irr!BS2)),IF(AND(d_Irr!U2=".",d_Irr!AT2&lt;&gt;".",d_Irr!BS2="."),d_dir!AV2/((1/1000)*(d_Irr!AT2)),IF(AND(d_Irr!U2&lt;&gt;".",d_Irr!AT2=".",d_Irr!BS2="."),d_dir!AV2/((1/1000)*(d_Irr!U2)),IF(AND(d_Irr!U2=".",d_Irr!AT2=".",d_Irr!BS2="."),d_dir!AV2*1000)))))))),".")</f>
        <v>0.55580970284737807</v>
      </c>
      <c r="AW2" s="76">
        <f>IFERROR(IF(AND(d_Irr!V2&lt;&gt;".",d_Irr!AU2&lt;&gt;".",d_Irr!BT2&lt;&gt;"."),d_dir!AW2/((1/1000)*(d_Irr!V2+d_Irr!AU2+d_Irr!BT2)),IF(AND(d_Irr!V2&lt;&gt;".",d_Irr!AU2&lt;&gt;".",d_Irr!BT2="."),d_dir!AW2/((1/1000)*(d_Irr!V2+d_Irr!AU2)),IF(AND(d_Irr!V2&lt;&gt;".",d_Irr!AU2=".",d_Irr!BT2&lt;&gt;"."),d_dir!AW2/((1/1000)*(d_Irr!V2+d_Irr!BT2)),IF(AND(d_Irr!V2=".",d_Irr!AU2&lt;&gt;".",d_Irr!BT2&lt;&gt;"."),d_dir!AW2/((1/1000)*(d_Irr!AU2+d_Irr!BT2)),IF(AND(d_Irr!V2=".",d_Irr!AU2=".",d_Irr!BT2&lt;&gt;"."),d_dir!AW2/((1/1000)*(d_Irr!BT2)),IF(AND(d_Irr!V2=".",d_Irr!AU2&lt;&gt;".",d_Irr!BT2="."),d_dir!AW2/((1/1000)*(d_Irr!AU2)),IF(AND(d_Irr!V2&lt;&gt;".",d_Irr!AU2=".",d_Irr!BT2="."),d_dir!AW2/((1/1000)*(d_Irr!V2)),IF(AND(d_Irr!V2=".",d_Irr!AU2=".",d_Irr!BT2="."),d_dir!AW2*1000)))))))),".")</f>
        <v>1.2503851499879088</v>
      </c>
      <c r="AX2" s="76">
        <f>IFERROR(IF(AND(d_Irr!W2&lt;&gt;".",d_Irr!AV2&lt;&gt;".",d_Irr!BU2&lt;&gt;"."),d_dir!AX2/((1/1000)*(d_Irr!W2+d_Irr!AV2+d_Irr!BU2)),IF(AND(d_Irr!W2&lt;&gt;".",d_Irr!AV2&lt;&gt;".",d_Irr!BU2="."),d_dir!AX2/((1/1000)*(d_Irr!W2+d_Irr!AV2)),IF(AND(d_Irr!W2&lt;&gt;".",d_Irr!AV2=".",d_Irr!BU2&lt;&gt;"."),d_dir!AX2/((1/1000)*(d_Irr!W2+d_Irr!BU2)),IF(AND(d_Irr!W2=".",d_Irr!AV2&lt;&gt;".",d_Irr!BU2&lt;&gt;"."),d_dir!AX2/((1/1000)*(d_Irr!AV2+d_Irr!BU2)),IF(AND(d_Irr!W2=".",d_Irr!AV2=".",d_Irr!BU2&lt;&gt;"."),d_dir!AX2/((1/1000)*(d_Irr!BU2)),IF(AND(d_Irr!W2=".",d_Irr!AV2&lt;&gt;".",d_Irr!BU2="."),d_dir!AX2/((1/1000)*(d_Irr!AV2)),IF(AND(d_Irr!W2&lt;&gt;".",d_Irr!AV2=".",d_Irr!BU2="."),d_dir!AX2/((1/1000)*(d_Irr!W2)),IF(AND(d_Irr!W2=".",d_Irr!AV2=".",d_Irr!BU2="."),d_dir!AX2*1000)))))))),".")</f>
        <v>1.346877230088122</v>
      </c>
      <c r="AY2" s="76">
        <f>IFERROR(IF(AND(d_Irr!X2&lt;&gt;".",d_Irr!AW2&lt;&gt;".",d_Irr!BV2&lt;&gt;"."),d_dir!AY2/((1/1000)*(d_Irr!X2+d_Irr!AW2+d_Irr!BV2)),IF(AND(d_Irr!X2&lt;&gt;".",d_Irr!AW2&lt;&gt;".",d_Irr!BV2="."),d_dir!AY2/((1/1000)*(d_Irr!X2+d_Irr!AW2)),IF(AND(d_Irr!X2&lt;&gt;".",d_Irr!AW2=".",d_Irr!BV2&lt;&gt;"."),d_dir!AY2/((1/1000)*(d_Irr!X2+d_Irr!BV2)),IF(AND(d_Irr!X2=".",d_Irr!AW2&lt;&gt;".",d_Irr!BV2&lt;&gt;"."),d_dir!AY2/((1/1000)*(d_Irr!AW2+d_Irr!BV2)),IF(AND(d_Irr!X2=".",d_Irr!AW2=".",d_Irr!BV2&lt;&gt;"."),d_dir!AY2/((1/1000)*(d_Irr!BV2)),IF(AND(d_Irr!X2=".",d_Irr!AW2&lt;&gt;".",d_Irr!BV2="."),d_dir!AY2/((1/1000)*(d_Irr!AW2)),IF(AND(d_Irr!X2&lt;&gt;".",d_Irr!AW2=".",d_Irr!BV2="."),d_dir!AY2/((1/1000)*(d_Irr!X2)),IF(AND(d_Irr!X2=".",d_Irr!AW2=".",d_Irr!BV2="."),d_dir!AY2*1000)))))))),".")</f>
        <v>1.8493722058958679</v>
      </c>
      <c r="AZ2" s="76">
        <f>IFERROR(IF(AND(d_Irr!Y2&lt;&gt;".",d_Irr!AX2&lt;&gt;".",d_Irr!BW2&lt;&gt;"."),d_dir!AZ2/((1/1000)*(d_Irr!Y2+d_Irr!AX2+d_Irr!BW2)),IF(AND(d_Irr!Y2&lt;&gt;".",d_Irr!AX2&lt;&gt;".",d_Irr!BW2="."),d_dir!AZ2/((1/1000)*(d_Irr!Y2+d_Irr!AX2)),IF(AND(d_Irr!Y2&lt;&gt;".",d_Irr!AX2=".",d_Irr!BW2&lt;&gt;"."),d_dir!AZ2/((1/1000)*(d_Irr!Y2+d_Irr!BW2)),IF(AND(d_Irr!Y2=".",d_Irr!AX2&lt;&gt;".",d_Irr!BW2&lt;&gt;"."),d_dir!AZ2/((1/1000)*(d_Irr!AX2+d_Irr!BW2)),IF(AND(d_Irr!Y2=".",d_Irr!AX2=".",d_Irr!BW2&lt;&gt;"."),d_dir!AZ2/((1/1000)*(d_Irr!BW2)),IF(AND(d_Irr!Y2=".",d_Irr!AX2&lt;&gt;".",d_Irr!BW2="."),d_dir!AZ2/((1/1000)*(d_Irr!AX2)),IF(AND(d_Irr!Y2&lt;&gt;".",d_Irr!AX2=".",d_Irr!BW2="."),d_dir!AZ2/((1/1000)*(d_Irr!Y2)),IF(AND(d_Irr!Y2=".",d_Irr!AX2=".",d_Irr!BW2="."),d_dir!AZ2*1000)))))))),".")</f>
        <v>0.81522456085357131</v>
      </c>
      <c r="BA2" s="76">
        <f>IFERROR(IF(AND(d_Irr!Z2&lt;&gt;".",d_Irr!AY2&lt;&gt;".",d_Irr!BX2&lt;&gt;"."),d_dir!BA2/((1/1000)*(d_Irr!Z2+d_Irr!AY2+d_Irr!BX2)),IF(AND(d_Irr!Z2&lt;&gt;".",d_Irr!AY2&lt;&gt;".",d_Irr!BX2="."),d_dir!BA2/((1/1000)*(d_Irr!Z2+d_Irr!AY2)),IF(AND(d_Irr!Z2&lt;&gt;".",d_Irr!AY2=".",d_Irr!BX2&lt;&gt;"."),d_dir!BA2/((1/1000)*(d_Irr!Z2+d_Irr!BX2)),IF(AND(d_Irr!Z2=".",d_Irr!AY2&lt;&gt;".",d_Irr!BX2&lt;&gt;"."),d_dir!BA2/((1/1000)*(d_Irr!AY2+d_Irr!BX2)),IF(AND(d_Irr!Z2=".",d_Irr!AY2=".",d_Irr!BX2&lt;&gt;"."),d_dir!BA2/((1/1000)*(d_Irr!BX2)),IF(AND(d_Irr!Z2=".",d_Irr!AY2&lt;&gt;".",d_Irr!BX2="."),d_dir!BA2/((1/1000)*(d_Irr!AY2)),IF(AND(d_Irr!Z2&lt;&gt;".",d_Irr!AY2=".",d_Irr!BX2="."),d_dir!BA2/((1/1000)*(d_Irr!Z2)),IF(AND(d_Irr!Z2=".",d_Irr!AY2=".",d_Irr!BX2="."),d_dir!BA2*1000)))))))),".")</f>
        <v>0.25917661153059196</v>
      </c>
      <c r="BB2" s="76">
        <f>IFERROR(IF(AND(d_Irr!AA2&lt;&gt;".",d_Irr!AZ2&lt;&gt;".",d_Irr!BY2&lt;&gt;"."),d_dir!BB2/((1/1000)*(d_Irr!AA2+d_Irr!AZ2+d_Irr!BY2)),IF(AND(d_Irr!AA2&lt;&gt;".",d_Irr!AZ2&lt;&gt;".",d_Irr!BY2="."),d_dir!BB2/((1/1000)*(d_Irr!AA2+d_Irr!AZ2)),IF(AND(d_Irr!AA2&lt;&gt;".",d_Irr!AZ2=".",d_Irr!BY2&lt;&gt;"."),d_dir!BB2/((1/1000)*(d_Irr!AA2+d_Irr!BY2)),IF(AND(d_Irr!AA2=".",d_Irr!AZ2&lt;&gt;".",d_Irr!BY2&lt;&gt;"."),d_dir!BB2/((1/1000)*(d_Irr!AZ2+d_Irr!BY2)),IF(AND(d_Irr!AA2=".",d_Irr!AZ2=".",d_Irr!BY2&lt;&gt;"."),d_dir!BB2/((1/1000)*(d_Irr!BY2)),IF(AND(d_Irr!AA2=".",d_Irr!AZ2&lt;&gt;".",d_Irr!BY2="."),d_dir!BB2/((1/1000)*(d_Irr!AZ2)),IF(AND(d_Irr!AA2&lt;&gt;".",d_Irr!AZ2=".",d_Irr!BY2="."),d_dir!BB2/((1/1000)*(d_Irr!AA2)),IF(AND(d_Irr!AA2=".",d_Irr!AZ2=".",d_Irr!BY2="."),d_dir!BB2*1000)))))))),".")</f>
        <v>0.2629353996415722</v>
      </c>
    </row>
    <row r="3" spans="1:54" x14ac:dyDescent="0.25">
      <c r="A3" s="94" t="s">
        <v>13</v>
      </c>
      <c r="B3" s="90" t="s">
        <v>349</v>
      </c>
      <c r="C3" s="2">
        <f t="shared" ref="C3:C30" si="1">IFERROR(1/SUM(1/D3,1/E3,1/F3,1/G3,1/H3,1/I3,1/J3,1/K3,1/L3,1/M3,1/N3,1/O3,1/P3,1/Q3,1/R3,1/S3,1/T3,1/U3,1/V3,1/W3,1/X3,1/Y3,1/Z3),".")</f>
        <v>0.16797885534539592</v>
      </c>
      <c r="D3" s="76">
        <f>IFERROR(IF(AND(d_Irr!C3&lt;&gt;".",d_Irr!AB3&lt;&gt;".",d_Irr!BA3&lt;&gt;"."),d_dir!D3/((1/1000)*(d_Irr!C3+d_Irr!AB3+d_Irr!BA3)),IF(AND(d_Irr!C3&lt;&gt;".",d_Irr!AB3&lt;&gt;".",d_Irr!BA3="."),d_dir!D3/((1/1000)*(d_Irr!C3+d_Irr!AB3)),IF(AND(d_Irr!C3&lt;&gt;".",d_Irr!AB3=".",d_Irr!BA3&lt;&gt;"."),d_dir!D3/((1/1000)*(d_Irr!C3+d_Irr!BA3)),IF(AND(d_Irr!C3=".",d_Irr!AB3&lt;&gt;".",d_Irr!BA3&lt;&gt;"."),d_dir!D3/((1/1000)*(d_Irr!AB3+d_Irr!BA3)),IF(AND(d_Irr!C3=".",d_Irr!AB3=".",d_Irr!BA3&lt;&gt;"."),d_dir!D3/((1/1000)*(d_Irr!BA3)),IF(AND(d_Irr!C3=".",d_Irr!AB3&lt;&gt;".",d_Irr!BA3="."),d_dir!D3/((1/1000)*(d_Irr!AB3)),IF(AND(d_Irr!C3&lt;&gt;".",d_Irr!AB3=".",d_Irr!BA3="."),d_dir!D3/((1/1000)*(d_Irr!C3)),IF(AND(d_Irr!C3=".",d_Irr!AB3=".",d_Irr!BA3="."),d_dir!D3*1000)))))))),".")</f>
        <v>3.0689251581722345</v>
      </c>
      <c r="E3" s="76">
        <f>IFERROR(IF(AND(d_Irr!D3&lt;&gt;".",d_Irr!AC3&lt;&gt;".",d_Irr!BB3&lt;&gt;"."),d_dir!E3/((1/1000)*(d_Irr!D3+d_Irr!AC3+d_Irr!BB3)),IF(AND(d_Irr!D3&lt;&gt;".",d_Irr!AC3&lt;&gt;".",d_Irr!BB3="."),d_dir!E3/((1/1000)*(d_Irr!D3+d_Irr!AC3)),IF(AND(d_Irr!D3&lt;&gt;".",d_Irr!AC3=".",d_Irr!BB3&lt;&gt;"."),d_dir!E3/((1/1000)*(d_Irr!D3+d_Irr!BB3)),IF(AND(d_Irr!D3=".",d_Irr!AC3&lt;&gt;".",d_Irr!BB3&lt;&gt;"."),d_dir!E3/((1/1000)*(d_Irr!AC3+d_Irr!BB3)),IF(AND(d_Irr!D3=".",d_Irr!AC3=".",d_Irr!BB3&lt;&gt;"."),d_dir!E3/((1/1000)*(d_Irr!BB3)),IF(AND(d_Irr!D3=".",d_Irr!AC3&lt;&gt;".",d_Irr!BB3="."),d_dir!E3/((1/1000)*(d_Irr!AC3)),IF(AND(d_Irr!D3&lt;&gt;".",d_Irr!AC3=".",d_Irr!BB3="."),d_dir!E3/((1/1000)*(d_Irr!D3)),IF(AND(d_Irr!D3=".",d_Irr!AC3=".",d_Irr!BB3="."),d_dir!E3*1000)))))))),".")</f>
        <v>6.7009262800618883</v>
      </c>
      <c r="F3" s="76">
        <f>IFERROR(IF(AND(d_Irr!E3&lt;&gt;".",d_Irr!AD3&lt;&gt;".",d_Irr!BC3&lt;&gt;"."),d_dir!F3/((1/1000)*(d_Irr!E3+d_Irr!AD3+d_Irr!BC3)),IF(AND(d_Irr!E3&lt;&gt;".",d_Irr!AD3&lt;&gt;".",d_Irr!BC3="."),d_dir!F3/((1/1000)*(d_Irr!E3+d_Irr!AD3)),IF(AND(d_Irr!E3&lt;&gt;".",d_Irr!AD3=".",d_Irr!BC3&lt;&gt;"."),d_dir!F3/((1/1000)*(d_Irr!E3+d_Irr!BC3)),IF(AND(d_Irr!E3=".",d_Irr!AD3&lt;&gt;".",d_Irr!BC3&lt;&gt;"."),d_dir!F3/((1/1000)*(d_Irr!AD3+d_Irr!BC3)),IF(AND(d_Irr!E3=".",d_Irr!AD3=".",d_Irr!BC3&lt;&gt;"."),d_dir!F3/((1/1000)*(d_Irr!BC3)),IF(AND(d_Irr!E3=".",d_Irr!AD3&lt;&gt;".",d_Irr!BC3="."),d_dir!F3/((1/1000)*(d_Irr!AD3)),IF(AND(d_Irr!E3&lt;&gt;".",d_Irr!AD3=".",d_Irr!BC3="."),d_dir!F3/((1/1000)*(d_Irr!E3)),IF(AND(d_Irr!E3=".",d_Irr!AD3=".",d_Irr!BC3="."),d_dir!F3*1000)))))))),".")</f>
        <v>8.047559281529411</v>
      </c>
      <c r="G3" s="76">
        <f>IFERROR(IF(AND(d_Irr!F3&lt;&gt;".",d_Irr!AE3&lt;&gt;".",d_Irr!BD3&lt;&gt;"."),d_dir!G3/((1/1000)*(d_Irr!F3+d_Irr!AE3+d_Irr!BD3)),IF(AND(d_Irr!F3&lt;&gt;".",d_Irr!AE3&lt;&gt;".",d_Irr!BD3="."),d_dir!G3/((1/1000)*(d_Irr!F3+d_Irr!AE3)),IF(AND(d_Irr!F3&lt;&gt;".",d_Irr!AE3=".",d_Irr!BD3&lt;&gt;"."),d_dir!G3/((1/1000)*(d_Irr!F3+d_Irr!BD3)),IF(AND(d_Irr!F3=".",d_Irr!AE3&lt;&gt;".",d_Irr!BD3&lt;&gt;"."),d_dir!G3/((1/1000)*(d_Irr!AE3+d_Irr!BD3)),IF(AND(d_Irr!F3=".",d_Irr!AE3=".",d_Irr!BD3&lt;&gt;"."),d_dir!G3/((1/1000)*(d_Irr!BD3)),IF(AND(d_Irr!F3=".",d_Irr!AE3&lt;&gt;".",d_Irr!BD3="."),d_dir!G3/((1/1000)*(d_Irr!AE3)),IF(AND(d_Irr!F3&lt;&gt;".",d_Irr!AE3=".",d_Irr!BD3="."),d_dir!G3/((1/1000)*(d_Irr!F3)),IF(AND(d_Irr!F3=".",d_Irr!AE3=".",d_Irr!BD3="."),d_dir!G3*1000)))))))),".")</f>
        <v>6.8505455769652013</v>
      </c>
      <c r="H3" s="76">
        <f>IFERROR(IF(AND(d_Irr!G3&lt;&gt;".",d_Irr!AF3&lt;&gt;".",d_Irr!BE3&lt;&gt;"."),d_dir!H3/((1/1000)*(d_Irr!G3+d_Irr!AF3+d_Irr!BE3)),IF(AND(d_Irr!G3&lt;&gt;".",d_Irr!AF3&lt;&gt;".",d_Irr!BE3="."),d_dir!H3/((1/1000)*(d_Irr!G3+d_Irr!AF3)),IF(AND(d_Irr!G3&lt;&gt;".",d_Irr!AF3=".",d_Irr!BE3&lt;&gt;"."),d_dir!H3/((1/1000)*(d_Irr!G3+d_Irr!BE3)),IF(AND(d_Irr!G3=".",d_Irr!AF3&lt;&gt;".",d_Irr!BE3&lt;&gt;"."),d_dir!H3/((1/1000)*(d_Irr!AF3+d_Irr!BE3)),IF(AND(d_Irr!G3=".",d_Irr!AF3=".",d_Irr!BE3&lt;&gt;"."),d_dir!H3/((1/1000)*(d_Irr!BE3)),IF(AND(d_Irr!G3=".",d_Irr!AF3&lt;&gt;".",d_Irr!BE3="."),d_dir!H3/((1/1000)*(d_Irr!AF3)),IF(AND(d_Irr!G3&lt;&gt;".",d_Irr!AF3=".",d_Irr!BE3="."),d_dir!H3/((1/1000)*(d_Irr!G3)),IF(AND(d_Irr!G3=".",d_Irr!AF3=".",d_Irr!BE3="."),d_dir!H3*1000)))))))),".")</f>
        <v>8.4078990359161789</v>
      </c>
      <c r="I3" s="76">
        <f>IFERROR(IF(AND(d_Irr!H3&lt;&gt;".",d_Irr!AG3&lt;&gt;".",d_Irr!BF3&lt;&gt;"."),d_dir!I3/((1/1000)*(d_Irr!H3+d_Irr!AG3+d_Irr!BF3)),IF(AND(d_Irr!H3&lt;&gt;".",d_Irr!AG3&lt;&gt;".",d_Irr!BF3="."),d_dir!I3/((1/1000)*(d_Irr!H3+d_Irr!AG3)),IF(AND(d_Irr!H3&lt;&gt;".",d_Irr!AG3=".",d_Irr!BF3&lt;&gt;"."),d_dir!I3/((1/1000)*(d_Irr!H3+d_Irr!BF3)),IF(AND(d_Irr!H3=".",d_Irr!AG3&lt;&gt;".",d_Irr!BF3&lt;&gt;"."),d_dir!I3/((1/1000)*(d_Irr!AG3+d_Irr!BF3)),IF(AND(d_Irr!H3=".",d_Irr!AG3=".",d_Irr!BF3&lt;&gt;"."),d_dir!I3/((1/1000)*(d_Irr!BF3)),IF(AND(d_Irr!H3=".",d_Irr!AG3&lt;&gt;".",d_Irr!BF3="."),d_dir!I3/((1/1000)*(d_Irr!AG3)),IF(AND(d_Irr!H3&lt;&gt;".",d_Irr!AG3=".",d_Irr!BF3="."),d_dir!I3/((1/1000)*(d_Irr!H3)),IF(AND(d_Irr!H3=".",d_Irr!AG3=".",d_Irr!BF3="."),d_dir!I3*1000)))))))),".")</f>
        <v>3.3004857464693473</v>
      </c>
      <c r="J3" s="76">
        <f>IFERROR(IF(AND(d_Irr!I3&lt;&gt;".",d_Irr!AH3&lt;&gt;".",d_Irr!BG3&lt;&gt;"."),d_dir!J3/((1/1000)*(d_Irr!I3+d_Irr!AH3+d_Irr!BG3)),IF(AND(d_Irr!I3&lt;&gt;".",d_Irr!AH3&lt;&gt;".",d_Irr!BG3="."),d_dir!J3/((1/1000)*(d_Irr!I3+d_Irr!AH3)),IF(AND(d_Irr!I3&lt;&gt;".",d_Irr!AH3=".",d_Irr!BG3&lt;&gt;"."),d_dir!J3/((1/1000)*(d_Irr!I3+d_Irr!BG3)),IF(AND(d_Irr!I3=".",d_Irr!AH3&lt;&gt;".",d_Irr!BG3&lt;&gt;"."),d_dir!J3/((1/1000)*(d_Irr!AH3+d_Irr!BG3)),IF(AND(d_Irr!I3=".",d_Irr!AH3=".",d_Irr!BG3&lt;&gt;"."),d_dir!J3/((1/1000)*(d_Irr!BG3)),IF(AND(d_Irr!I3=".",d_Irr!AH3&lt;&gt;".",d_Irr!BG3="."),d_dir!J3/((1/1000)*(d_Irr!AH3)),IF(AND(d_Irr!I3&lt;&gt;".",d_Irr!AH3=".",d_Irr!BG3="."),d_dir!J3/((1/1000)*(d_Irr!I3)),IF(AND(d_Irr!I3=".",d_Irr!AH3=".",d_Irr!BG3="."),d_dir!J3*1000)))))))),".")</f>
        <v>9.2667087283500287</v>
      </c>
      <c r="K3" s="76">
        <f>IFERROR(IF(AND(d_Irr!J3&lt;&gt;".",d_Irr!AI3&lt;&gt;".",d_Irr!BH3&lt;&gt;"."),d_dir!K3/((1/1000)*(d_Irr!J3+d_Irr!AI3+d_Irr!BH3)),IF(AND(d_Irr!J3&lt;&gt;".",d_Irr!AI3&lt;&gt;".",d_Irr!BH3="."),d_dir!K3/((1/1000)*(d_Irr!J3+d_Irr!AI3)),IF(AND(d_Irr!J3&lt;&gt;".",d_Irr!AI3=".",d_Irr!BH3&lt;&gt;"."),d_dir!K3/((1/1000)*(d_Irr!J3+d_Irr!BH3)),IF(AND(d_Irr!J3=".",d_Irr!AI3&lt;&gt;".",d_Irr!BH3&lt;&gt;"."),d_dir!K3/((1/1000)*(d_Irr!AI3+d_Irr!BH3)),IF(AND(d_Irr!J3=".",d_Irr!AI3=".",d_Irr!BH3&lt;&gt;"."),d_dir!K3/((1/1000)*(d_Irr!BH3)),IF(AND(d_Irr!J3=".",d_Irr!AI3&lt;&gt;".",d_Irr!BH3="."),d_dir!K3/((1/1000)*(d_Irr!AI3)),IF(AND(d_Irr!J3&lt;&gt;".",d_Irr!AI3=".",d_Irr!BH3="."),d_dir!K3/((1/1000)*(d_Irr!J3)),IF(AND(d_Irr!J3=".",d_Irr!AI3=".",d_Irr!BH3="."),d_dir!K3*1000)))))))),".")</f>
        <v>0.79579409604139373</v>
      </c>
      <c r="L3" s="76">
        <f>IFERROR(IF(AND(d_Irr!K3&lt;&gt;".",d_Irr!AJ3&lt;&gt;".",d_Irr!BI3&lt;&gt;"."),d_dir!L3/((1/1000)*(d_Irr!K3+d_Irr!AJ3+d_Irr!BI3)),IF(AND(d_Irr!K3&lt;&gt;".",d_Irr!AJ3&lt;&gt;".",d_Irr!BI3="."),d_dir!L3/((1/1000)*(d_Irr!K3+d_Irr!AJ3)),IF(AND(d_Irr!K3&lt;&gt;".",d_Irr!AJ3=".",d_Irr!BI3&lt;&gt;"."),d_dir!L3/((1/1000)*(d_Irr!K3+d_Irr!BI3)),IF(AND(d_Irr!K3=".",d_Irr!AJ3&lt;&gt;".",d_Irr!BI3&lt;&gt;"."),d_dir!L3/((1/1000)*(d_Irr!AJ3+d_Irr!BI3)),IF(AND(d_Irr!K3=".",d_Irr!AJ3=".",d_Irr!BI3&lt;&gt;"."),d_dir!L3/((1/1000)*(d_Irr!BI3)),IF(AND(d_Irr!K3=".",d_Irr!AJ3&lt;&gt;".",d_Irr!BI3="."),d_dir!L3/((1/1000)*(d_Irr!AJ3)),IF(AND(d_Irr!K3&lt;&gt;".",d_Irr!AJ3=".",d_Irr!BI3="."),d_dir!L3/((1/1000)*(d_Irr!K3)),IF(AND(d_Irr!K3=".",d_Irr!AJ3=".",d_Irr!BI3="."),d_dir!L3*1000)))))))),".")</f>
        <v>4.363771135160766</v>
      </c>
      <c r="M3" s="76">
        <f>IFERROR(IF(AND(d_Irr!L3&lt;&gt;".",d_Irr!AK3&lt;&gt;".",d_Irr!BJ3&lt;&gt;"."),d_dir!M3/((1/1000)*(d_Irr!L3+d_Irr!AK3+d_Irr!BJ3)),IF(AND(d_Irr!L3&lt;&gt;".",d_Irr!AK3&lt;&gt;".",d_Irr!BJ3="."),d_dir!M3/((1/1000)*(d_Irr!L3+d_Irr!AK3)),IF(AND(d_Irr!L3&lt;&gt;".",d_Irr!AK3=".",d_Irr!BJ3&lt;&gt;"."),d_dir!M3/((1/1000)*(d_Irr!L3+d_Irr!BJ3)),IF(AND(d_Irr!L3=".",d_Irr!AK3&lt;&gt;".",d_Irr!BJ3&lt;&gt;"."),d_dir!M3/((1/1000)*(d_Irr!AK3+d_Irr!BJ3)),IF(AND(d_Irr!L3=".",d_Irr!AK3=".",d_Irr!BJ3&lt;&gt;"."),d_dir!M3/((1/1000)*(d_Irr!BJ3)),IF(AND(d_Irr!L3=".",d_Irr!AK3&lt;&gt;".",d_Irr!BJ3="."),d_dir!M3/((1/1000)*(d_Irr!AK3)),IF(AND(d_Irr!L3&lt;&gt;".",d_Irr!AK3=".",d_Irr!BJ3="."),d_dir!M3/((1/1000)*(d_Irr!L3)),IF(AND(d_Irr!L3=".",d_Irr!AK3=".",d_Irr!BJ3="."),d_dir!M3*1000)))))))),".")</f>
        <v>3.2625048461520625</v>
      </c>
      <c r="N3" s="76">
        <f>IFERROR(IF(AND(d_Irr!M3&lt;&gt;".",d_Irr!AL3&lt;&gt;".",d_Irr!BK3&lt;&gt;"."),d_dir!N3/((1/1000)*(d_Irr!M3+d_Irr!AL3+d_Irr!BK3)),IF(AND(d_Irr!M3&lt;&gt;".",d_Irr!AL3&lt;&gt;".",d_Irr!BK3="."),d_dir!N3/((1/1000)*(d_Irr!M3+d_Irr!AL3)),IF(AND(d_Irr!M3&lt;&gt;".",d_Irr!AL3=".",d_Irr!BK3&lt;&gt;"."),d_dir!N3/((1/1000)*(d_Irr!M3+d_Irr!BK3)),IF(AND(d_Irr!M3=".",d_Irr!AL3&lt;&gt;".",d_Irr!BK3&lt;&gt;"."),d_dir!N3/((1/1000)*(d_Irr!AL3+d_Irr!BK3)),IF(AND(d_Irr!M3=".",d_Irr!AL3=".",d_Irr!BK3&lt;&gt;"."),d_dir!N3/((1/1000)*(d_Irr!BK3)),IF(AND(d_Irr!M3=".",d_Irr!AL3&lt;&gt;".",d_Irr!BK3="."),d_dir!N3/((1/1000)*(d_Irr!AL3)),IF(AND(d_Irr!M3&lt;&gt;".",d_Irr!AL3=".",d_Irr!BK3="."),d_dir!N3/((1/1000)*(d_Irr!M3)),IF(AND(d_Irr!M3=".",d_Irr!AL3=".",d_Irr!BK3="."),d_dir!N3*1000)))))))),".")</f>
        <v>6.8577676428911776</v>
      </c>
      <c r="O3" s="76">
        <f>IFERROR(IF(AND(d_Irr!N3&lt;&gt;".",d_Irr!AM3&lt;&gt;".",d_Irr!BL3&lt;&gt;"."),d_dir!O3/((1/1000)*(d_Irr!N3+d_Irr!AM3+d_Irr!BL3)),IF(AND(d_Irr!N3&lt;&gt;".",d_Irr!AM3&lt;&gt;".",d_Irr!BL3="."),d_dir!O3/((1/1000)*(d_Irr!N3+d_Irr!AM3)),IF(AND(d_Irr!N3&lt;&gt;".",d_Irr!AM3=".",d_Irr!BL3&lt;&gt;"."),d_dir!O3/((1/1000)*(d_Irr!N3+d_Irr!BL3)),IF(AND(d_Irr!N3=".",d_Irr!AM3&lt;&gt;".",d_Irr!BL3&lt;&gt;"."),d_dir!O3/((1/1000)*(d_Irr!AM3+d_Irr!BL3)),IF(AND(d_Irr!N3=".",d_Irr!AM3=".",d_Irr!BL3&lt;&gt;"."),d_dir!O3/((1/1000)*(d_Irr!BL3)),IF(AND(d_Irr!N3=".",d_Irr!AM3&lt;&gt;".",d_Irr!BL3="."),d_dir!O3/((1/1000)*(d_Irr!AM3)),IF(AND(d_Irr!N3&lt;&gt;".",d_Irr!AM3=".",d_Irr!BL3="."),d_dir!O3/((1/1000)*(d_Irr!N3)),IF(AND(d_Irr!N3=".",d_Irr!AM3=".",d_Irr!BL3="."),d_dir!O3*1000)))))))),".")</f>
        <v>6.9624992729244735</v>
      </c>
      <c r="P3" s="76">
        <f>IFERROR(IF(AND(d_Irr!O3&lt;&gt;".",d_Irr!AN3&lt;&gt;".",d_Irr!BM3&lt;&gt;"."),d_dir!P3/((1/1000)*(d_Irr!O3+d_Irr!AN3+d_Irr!BM3)),IF(AND(d_Irr!O3&lt;&gt;".",d_Irr!AN3&lt;&gt;".",d_Irr!BM3="."),d_dir!P3/((1/1000)*(d_Irr!O3+d_Irr!AN3)),IF(AND(d_Irr!O3&lt;&gt;".",d_Irr!AN3=".",d_Irr!BM3&lt;&gt;"."),d_dir!P3/((1/1000)*(d_Irr!O3+d_Irr!BM3)),IF(AND(d_Irr!O3=".",d_Irr!AN3&lt;&gt;".",d_Irr!BM3&lt;&gt;"."),d_dir!P3/((1/1000)*(d_Irr!AN3+d_Irr!BM3)),IF(AND(d_Irr!O3=".",d_Irr!AN3=".",d_Irr!BM3&lt;&gt;"."),d_dir!P3/((1/1000)*(d_Irr!BM3)),IF(AND(d_Irr!O3=".",d_Irr!AN3&lt;&gt;".",d_Irr!BM3="."),d_dir!P3/((1/1000)*(d_Irr!AN3)),IF(AND(d_Irr!O3&lt;&gt;".",d_Irr!AN3=".",d_Irr!BM3="."),d_dir!P3/((1/1000)*(d_Irr!O3)),IF(AND(d_Irr!O3=".",d_Irr!AN3=".",d_Irr!BM3="."),d_dir!P3*1000)))))))),".")</f>
        <v>8.8010005039704708</v>
      </c>
      <c r="Q3" s="76">
        <f>IFERROR(IF(AND(d_Irr!P3&lt;&gt;".",d_Irr!AO3&lt;&gt;".",d_Irr!BN3&lt;&gt;"."),d_dir!Q3/((1/1000)*(d_Irr!P3+d_Irr!AO3+d_Irr!BN3)),IF(AND(d_Irr!P3&lt;&gt;".",d_Irr!AO3&lt;&gt;".",d_Irr!BN3="."),d_dir!Q3/((1/1000)*(d_Irr!P3+d_Irr!AO3)),IF(AND(d_Irr!P3&lt;&gt;".",d_Irr!AO3=".",d_Irr!BN3&lt;&gt;"."),d_dir!Q3/((1/1000)*(d_Irr!P3+d_Irr!BN3)),IF(AND(d_Irr!P3=".",d_Irr!AO3&lt;&gt;".",d_Irr!BN3&lt;&gt;"."),d_dir!Q3/((1/1000)*(d_Irr!AO3+d_Irr!BN3)),IF(AND(d_Irr!P3=".",d_Irr!AO3=".",d_Irr!BN3&lt;&gt;"."),d_dir!Q3/((1/1000)*(d_Irr!BN3)),IF(AND(d_Irr!P3=".",d_Irr!AO3&lt;&gt;".",d_Irr!BN3="."),d_dir!Q3/((1/1000)*(d_Irr!AO3)),IF(AND(d_Irr!P3&lt;&gt;".",d_Irr!AO3=".",d_Irr!BN3="."),d_dir!Q3/((1/1000)*(d_Irr!P3)),IF(AND(d_Irr!P3=".",d_Irr!AO3=".",d_Irr!BN3="."),d_dir!Q3*1000)))))))),".")</f>
        <v>12.524193790571912</v>
      </c>
      <c r="R3" s="76">
        <f>IFERROR(IF(AND(d_Irr!Q3&lt;&gt;".",d_Irr!AP3&lt;&gt;".",d_Irr!BO3&lt;&gt;"."),d_dir!R3/((1/1000)*(d_Irr!Q3+d_Irr!AP3+d_Irr!BO3)),IF(AND(d_Irr!Q3&lt;&gt;".",d_Irr!AP3&lt;&gt;".",d_Irr!BO3="."),d_dir!R3/((1/1000)*(d_Irr!Q3+d_Irr!AP3)),IF(AND(d_Irr!Q3&lt;&gt;".",d_Irr!AP3=".",d_Irr!BO3&lt;&gt;"."),d_dir!R3/((1/1000)*(d_Irr!Q3+d_Irr!BO3)),IF(AND(d_Irr!Q3=".",d_Irr!AP3&lt;&gt;".",d_Irr!BO3&lt;&gt;"."),d_dir!R3/((1/1000)*(d_Irr!AP3+d_Irr!BO3)),IF(AND(d_Irr!Q3=".",d_Irr!AP3=".",d_Irr!BO3&lt;&gt;"."),d_dir!R3/((1/1000)*(d_Irr!BO3)),IF(AND(d_Irr!Q3=".",d_Irr!AP3&lt;&gt;".",d_Irr!BO3="."),d_dir!R3/((1/1000)*(d_Irr!AP3)),IF(AND(d_Irr!Q3&lt;&gt;".",d_Irr!AP3=".",d_Irr!BO3="."),d_dir!R3/((1/1000)*(d_Irr!Q3)),IF(AND(d_Irr!Q3=".",d_Irr!AP3=".",d_Irr!BO3="."),d_dir!R3*1000)))))))),".")</f>
        <v>1.9703620896941574</v>
      </c>
      <c r="S3" s="76">
        <f>IFERROR(IF(AND(d_Irr!R3&lt;&gt;".",d_Irr!AQ3&lt;&gt;".",d_Irr!BP3&lt;&gt;"."),d_dir!S3/((1/1000)*(d_Irr!R3+d_Irr!AQ3+d_Irr!BP3)),IF(AND(d_Irr!R3&lt;&gt;".",d_Irr!AQ3&lt;&gt;".",d_Irr!BP3="."),d_dir!S3/((1/1000)*(d_Irr!R3+d_Irr!AQ3)),IF(AND(d_Irr!R3&lt;&gt;".",d_Irr!AQ3=".",d_Irr!BP3&lt;&gt;"."),d_dir!S3/((1/1000)*(d_Irr!R3+d_Irr!BP3)),IF(AND(d_Irr!R3=".",d_Irr!AQ3&lt;&gt;".",d_Irr!BP3&lt;&gt;"."),d_dir!S3/((1/1000)*(d_Irr!AQ3+d_Irr!BP3)),IF(AND(d_Irr!R3=".",d_Irr!AQ3=".",d_Irr!BP3&lt;&gt;"."),d_dir!S3/((1/1000)*(d_Irr!BP3)),IF(AND(d_Irr!R3=".",d_Irr!AQ3&lt;&gt;".",d_Irr!BP3="."),d_dir!S3/((1/1000)*(d_Irr!AQ3)),IF(AND(d_Irr!R3&lt;&gt;".",d_Irr!AQ3=".",d_Irr!BP3="."),d_dir!S3/((1/1000)*(d_Irr!R3)),IF(AND(d_Irr!R3=".",d_Irr!AQ3=".",d_Irr!BP3="."),d_dir!S3*1000)))))))),".")</f>
        <v>4.0192313851542574</v>
      </c>
      <c r="T3" s="76">
        <f>IFERROR(IF(AND(d_Irr!S3&lt;&gt;".",d_Irr!AR3&lt;&gt;".",d_Irr!BQ3&lt;&gt;"."),d_dir!T3/((1/1000)*(d_Irr!S3+d_Irr!AR3+d_Irr!BQ3)),IF(AND(d_Irr!S3&lt;&gt;".",d_Irr!AR3&lt;&gt;".",d_Irr!BQ3="."),d_dir!T3/((1/1000)*(d_Irr!S3+d_Irr!AR3)),IF(AND(d_Irr!S3&lt;&gt;".",d_Irr!AR3=".",d_Irr!BQ3&lt;&gt;"."),d_dir!T3/((1/1000)*(d_Irr!S3+d_Irr!BQ3)),IF(AND(d_Irr!S3=".",d_Irr!AR3&lt;&gt;".",d_Irr!BQ3&lt;&gt;"."),d_dir!T3/((1/1000)*(d_Irr!AR3+d_Irr!BQ3)),IF(AND(d_Irr!S3=".",d_Irr!AR3=".",d_Irr!BQ3&lt;&gt;"."),d_dir!T3/((1/1000)*(d_Irr!BQ3)),IF(AND(d_Irr!S3=".",d_Irr!AR3&lt;&gt;".",d_Irr!BQ3="."),d_dir!T3/((1/1000)*(d_Irr!AR3)),IF(AND(d_Irr!S3&lt;&gt;".",d_Irr!AR3=".",d_Irr!BQ3="."),d_dir!T3/((1/1000)*(d_Irr!S3)),IF(AND(d_Irr!S3=".",d_Irr!AR3=".",d_Irr!BQ3="."),d_dir!T3*1000)))))))),".")</f>
        <v>6.9897679469902041</v>
      </c>
      <c r="U3" s="76">
        <f>IFERROR(IF(AND(d_Irr!T3&lt;&gt;".",d_Irr!AS3&lt;&gt;".",d_Irr!BR3&lt;&gt;"."),d_dir!U3/((1/1000)*(d_Irr!T3+d_Irr!AS3+d_Irr!BR3)),IF(AND(d_Irr!T3&lt;&gt;".",d_Irr!AS3&lt;&gt;".",d_Irr!BR3="."),d_dir!U3/((1/1000)*(d_Irr!T3+d_Irr!AS3)),IF(AND(d_Irr!T3&lt;&gt;".",d_Irr!AS3=".",d_Irr!BR3&lt;&gt;"."),d_dir!U3/((1/1000)*(d_Irr!T3+d_Irr!BR3)),IF(AND(d_Irr!T3=".",d_Irr!AS3&lt;&gt;".",d_Irr!BR3&lt;&gt;"."),d_dir!U3/((1/1000)*(d_Irr!AS3+d_Irr!BR3)),IF(AND(d_Irr!T3=".",d_Irr!AS3=".",d_Irr!BR3&lt;&gt;"."),d_dir!U3/((1/1000)*(d_Irr!BR3)),IF(AND(d_Irr!T3=".",d_Irr!AS3&lt;&gt;".",d_Irr!BR3="."),d_dir!U3/((1/1000)*(d_Irr!AS3)),IF(AND(d_Irr!T3&lt;&gt;".",d_Irr!AS3=".",d_Irr!BR3="."),d_dir!U3/((1/1000)*(d_Irr!T3)),IF(AND(d_Irr!T3=".",d_Irr!AS3=".",d_Irr!BR3="."),d_dir!U3*1000)))))))),".")</f>
        <v>13.7194912222574</v>
      </c>
      <c r="V3" s="76">
        <f>IFERROR(IF(AND(d_Irr!U3&lt;&gt;".",d_Irr!AT3&lt;&gt;".",d_Irr!BS3&lt;&gt;"."),d_dir!V3/((1/1000)*(d_Irr!U3+d_Irr!AT3+d_Irr!BS3)),IF(AND(d_Irr!U3&lt;&gt;".",d_Irr!AT3&lt;&gt;".",d_Irr!BS3="."),d_dir!V3/((1/1000)*(d_Irr!U3+d_Irr!AT3)),IF(AND(d_Irr!U3&lt;&gt;".",d_Irr!AT3=".",d_Irr!BS3&lt;&gt;"."),d_dir!V3/((1/1000)*(d_Irr!U3+d_Irr!BS3)),IF(AND(d_Irr!U3=".",d_Irr!AT3&lt;&gt;".",d_Irr!BS3&lt;&gt;"."),d_dir!V3/((1/1000)*(d_Irr!AT3+d_Irr!BS3)),IF(AND(d_Irr!U3=".",d_Irr!AT3=".",d_Irr!BS3&lt;&gt;"."),d_dir!V3/((1/1000)*(d_Irr!BS3)),IF(AND(d_Irr!U3=".",d_Irr!AT3&lt;&gt;".",d_Irr!BS3="."),d_dir!V3/((1/1000)*(d_Irr!AT3)),IF(AND(d_Irr!U3&lt;&gt;".",d_Irr!AT3=".",d_Irr!BS3="."),d_dir!V3/((1/1000)*(d_Irr!U3)),IF(AND(d_Irr!U3=".",d_Irr!AT3=".",d_Irr!BS3="."),d_dir!V3*1000)))))))),".")</f>
        <v>2.0594857872120191</v>
      </c>
      <c r="W3" s="76">
        <f>IFERROR(IF(AND(d_Irr!V3&lt;&gt;".",d_Irr!AU3&lt;&gt;".",d_Irr!BT3&lt;&gt;"."),d_dir!W3/((1/1000)*(d_Irr!V3+d_Irr!AU3+d_Irr!BT3)),IF(AND(d_Irr!V3&lt;&gt;".",d_Irr!AU3&lt;&gt;".",d_Irr!BT3="."),d_dir!W3/((1/1000)*(d_Irr!V3+d_Irr!AU3)),IF(AND(d_Irr!V3&lt;&gt;".",d_Irr!AU3=".",d_Irr!BT3&lt;&gt;"."),d_dir!W3/((1/1000)*(d_Irr!V3+d_Irr!BT3)),IF(AND(d_Irr!V3=".",d_Irr!AU3&lt;&gt;".",d_Irr!BT3&lt;&gt;"."),d_dir!W3/((1/1000)*(d_Irr!AU3+d_Irr!BT3)),IF(AND(d_Irr!V3=".",d_Irr!AU3=".",d_Irr!BT3&lt;&gt;"."),d_dir!W3/((1/1000)*(d_Irr!BT3)),IF(AND(d_Irr!V3=".",d_Irr!AU3&lt;&gt;".",d_Irr!BT3="."),d_dir!W3/((1/1000)*(d_Irr!AU3)),IF(AND(d_Irr!V3&lt;&gt;".",d_Irr!AU3=".",d_Irr!BT3="."),d_dir!W3/((1/1000)*(d_Irr!V3)),IF(AND(d_Irr!V3=".",d_Irr!AU3=".",d_Irr!BT3="."),d_dir!W3*1000)))))))),".")</f>
        <v>4.1859734207491393</v>
      </c>
      <c r="X3" s="76">
        <f>IFERROR(IF(AND(d_Irr!W3&lt;&gt;".",d_Irr!AV3&lt;&gt;".",d_Irr!BU3&lt;&gt;"."),d_dir!X3/((1/1000)*(d_Irr!W3+d_Irr!AV3+d_Irr!BU3)),IF(AND(d_Irr!W3&lt;&gt;".",d_Irr!AV3&lt;&gt;".",d_Irr!BU3="."),d_dir!X3/((1/1000)*(d_Irr!W3+d_Irr!AV3)),IF(AND(d_Irr!W3&lt;&gt;".",d_Irr!AV3=".",d_Irr!BU3&lt;&gt;"."),d_dir!X3/((1/1000)*(d_Irr!W3+d_Irr!BU3)),IF(AND(d_Irr!W3=".",d_Irr!AV3&lt;&gt;".",d_Irr!BU3&lt;&gt;"."),d_dir!X3/((1/1000)*(d_Irr!AV3+d_Irr!BU3)),IF(AND(d_Irr!W3=".",d_Irr!AV3=".",d_Irr!BU3&lt;&gt;"."),d_dir!X3/((1/1000)*(d_Irr!BU3)),IF(AND(d_Irr!W3=".",d_Irr!AV3&lt;&gt;".",d_Irr!BU3="."),d_dir!X3/((1/1000)*(d_Irr!AV3)),IF(AND(d_Irr!W3&lt;&gt;".",d_Irr!AV3=".",d_Irr!BU3="."),d_dir!X3/((1/1000)*(d_Irr!W3)),IF(AND(d_Irr!W3=".",d_Irr!AV3=".",d_Irr!BU3="."),d_dir!X3*1000)))))))),".")</f>
        <v>4.4775374953638298</v>
      </c>
      <c r="Y3" s="76">
        <f>IFERROR(IF(AND(d_Irr!X3&lt;&gt;".",d_Irr!AW3&lt;&gt;".",d_Irr!BV3&lt;&gt;"."),d_dir!Y3/((1/1000)*(d_Irr!X3+d_Irr!AW3+d_Irr!BV3)),IF(AND(d_Irr!X3&lt;&gt;".",d_Irr!AW3&lt;&gt;".",d_Irr!BV3="."),d_dir!Y3/((1/1000)*(d_Irr!X3+d_Irr!AW3)),IF(AND(d_Irr!X3&lt;&gt;".",d_Irr!AW3=".",d_Irr!BV3&lt;&gt;"."),d_dir!Y3/((1/1000)*(d_Irr!X3+d_Irr!BV3)),IF(AND(d_Irr!X3=".",d_Irr!AW3&lt;&gt;".",d_Irr!BV3&lt;&gt;"."),d_dir!Y3/((1/1000)*(d_Irr!AW3+d_Irr!BV3)),IF(AND(d_Irr!X3=".",d_Irr!AW3=".",d_Irr!BV3&lt;&gt;"."),d_dir!Y3/((1/1000)*(d_Irr!BV3)),IF(AND(d_Irr!X3=".",d_Irr!AW3&lt;&gt;".",d_Irr!BV3="."),d_dir!Y3/((1/1000)*(d_Irr!AW3)),IF(AND(d_Irr!X3&lt;&gt;".",d_Irr!AW3=".",d_Irr!BV3="."),d_dir!Y3/((1/1000)*(d_Irr!X3)),IF(AND(d_Irr!X3=".",d_Irr!AW3=".",d_Irr!BV3="."),d_dir!Y3*1000)))))))),".")</f>
        <v>5.9996975135735431</v>
      </c>
      <c r="Z3" s="76">
        <f>IFERROR(IF(AND(d_Irr!Y3&lt;&gt;".",d_Irr!AX3&lt;&gt;".",d_Irr!BW3&lt;&gt;"."),d_dir!Z3/((1/1000)*(d_Irr!Y3+d_Irr!AX3+d_Irr!BW3)),IF(AND(d_Irr!Y3&lt;&gt;".",d_Irr!AX3&lt;&gt;".",d_Irr!BW3="."),d_dir!Z3/((1/1000)*(d_Irr!Y3+d_Irr!AX3)),IF(AND(d_Irr!Y3&lt;&gt;".",d_Irr!AX3=".",d_Irr!BW3&lt;&gt;"."),d_dir!Z3/((1/1000)*(d_Irr!Y3+d_Irr!BW3)),IF(AND(d_Irr!Y3=".",d_Irr!AX3&lt;&gt;".",d_Irr!BW3&lt;&gt;"."),d_dir!Z3/((1/1000)*(d_Irr!AX3+d_Irr!BW3)),IF(AND(d_Irr!Y3=".",d_Irr!AX3=".",d_Irr!BW3&lt;&gt;"."),d_dir!Z3/((1/1000)*(d_Irr!BW3)),IF(AND(d_Irr!Y3=".",d_Irr!AX3&lt;&gt;".",d_Irr!BW3="."),d_dir!Z3/((1/1000)*(d_Irr!AX3)),IF(AND(d_Irr!Y3&lt;&gt;".",d_Irr!AX3=".",d_Irr!BW3="."),d_dir!Z3/((1/1000)*(d_Irr!Y3)),IF(AND(d_Irr!Y3=".",d_Irr!AX3=".",d_Irr!BW3="."),d_dir!Z3*1000)))))))),".")</f>
        <v>3.1641301349907049</v>
      </c>
      <c r="AA3" s="76">
        <f>IFERROR(IF(AND(d_Irr!Z3&lt;&gt;".",d_Irr!AY3&lt;&gt;".",d_Irr!BX3&lt;&gt;"."),d_dir!AA3/((1/1000)*(d_Irr!Z3+d_Irr!AY3+d_Irr!BX3)),IF(AND(d_Irr!Z3&lt;&gt;".",d_Irr!AY3&lt;&gt;".",d_Irr!BX3="."),d_dir!AA3/((1/1000)*(d_Irr!Z3+d_Irr!AY3)),IF(AND(d_Irr!Z3&lt;&gt;".",d_Irr!AY3=".",d_Irr!BX3&lt;&gt;"."),d_dir!AA3/((1/1000)*(d_Irr!Z3+d_Irr!BX3)),IF(AND(d_Irr!Z3=".",d_Irr!AY3&lt;&gt;".",d_Irr!BX3&lt;&gt;"."),d_dir!AA3/((1/1000)*(d_Irr!AY3+d_Irr!BX3)),IF(AND(d_Irr!Z3=".",d_Irr!AY3=".",d_Irr!BX3&lt;&gt;"."),d_dir!AA3/((1/1000)*(d_Irr!BX3)),IF(AND(d_Irr!Z3=".",d_Irr!AY3&lt;&gt;".",d_Irr!BX3="."),d_dir!AA3/((1/1000)*(d_Irr!AY3)),IF(AND(d_Irr!Z3&lt;&gt;".",d_Irr!AY3=".",d_Irr!BX3="."),d_dir!AA3/((1/1000)*(d_Irr!Z3)),IF(AND(d_Irr!Z3=".",d_Irr!AY3=".",d_Irr!BX3="."),d_dir!AA3*1000)))))))),".")</f>
        <v>0.90004207972079198</v>
      </c>
      <c r="AB3" s="76">
        <f>IFERROR(IF(AND(d_Irr!AA3&lt;&gt;".",d_Irr!AZ3&lt;&gt;".",d_Irr!BY3&lt;&gt;"."),d_dir!AB3/((1/1000)*(d_Irr!AA3+d_Irr!AZ3+d_Irr!BY3)),IF(AND(d_Irr!AA3&lt;&gt;".",d_Irr!AZ3&lt;&gt;".",d_Irr!BY3="."),d_dir!AB3/((1/1000)*(d_Irr!AA3+d_Irr!AZ3)),IF(AND(d_Irr!AA3&lt;&gt;".",d_Irr!AZ3=".",d_Irr!BY3&lt;&gt;"."),d_dir!AB3/((1/1000)*(d_Irr!AA3+d_Irr!BY3)),IF(AND(d_Irr!AA3=".",d_Irr!AZ3&lt;&gt;".",d_Irr!BY3&lt;&gt;"."),d_dir!AB3/((1/1000)*(d_Irr!AZ3+d_Irr!BY3)),IF(AND(d_Irr!AA3=".",d_Irr!AZ3=".",d_Irr!BY3&lt;&gt;"."),d_dir!AB3/((1/1000)*(d_Irr!BY3)),IF(AND(d_Irr!AA3=".",d_Irr!AZ3&lt;&gt;".",d_Irr!BY3="."),d_dir!AB3/((1/1000)*(d_Irr!AZ3)),IF(AND(d_Irr!AA3&lt;&gt;".",d_Irr!AZ3=".",d_Irr!BY3="."),d_dir!AB3/((1/1000)*(d_Irr!AA3)),IF(AND(d_Irr!AA3=".",d_Irr!AZ3=".",d_Irr!BY3="."),d_dir!AB3*1000)))))))),".")</f>
        <v>1.0350570155655689</v>
      </c>
      <c r="AC3" s="76">
        <f t="shared" si="0"/>
        <v>0.10267200450230425</v>
      </c>
      <c r="AD3" s="76">
        <f>IFERROR(IF(AND(d_Irr!C3&lt;&gt;".",d_Irr!AB3&lt;&gt;".",d_Irr!BA3&lt;&gt;"."),d_dir!AD3/((1/1000)*(d_Irr!C3+d_Irr!AB3+d_Irr!BA3)),IF(AND(d_Irr!C3&lt;&gt;".",d_Irr!AB3&lt;&gt;".",d_Irr!BA3="."),d_dir!AD3/((1/1000)*(d_Irr!C3+d_Irr!AB3)),IF(AND(d_Irr!C3&lt;&gt;".",d_Irr!AB3=".",d_Irr!BA3&lt;&gt;"."),d_dir!AD3/((1/1000)*(d_Irr!C3+d_Irr!BA3)),IF(AND(d_Irr!C3=".",d_Irr!AB3&lt;&gt;".",d_Irr!BA3&lt;&gt;"."),d_dir!AD3/((1/1000)*(d_Irr!AB3+d_Irr!BA3)),IF(AND(d_Irr!C3=".",d_Irr!AB3=".",d_Irr!BA3&lt;&gt;"."),d_dir!AD3/((1/1000)*(d_Irr!BA3)),IF(AND(d_Irr!C3=".",d_Irr!AB3&lt;&gt;".",d_Irr!BA3="."),d_dir!AD3/((1/1000)*(d_Irr!AB3)),IF(AND(d_Irr!C3&lt;&gt;".",d_Irr!AB3=".",d_Irr!BA3="."),d_dir!AD3/((1/1000)*(d_Irr!C3)),IF(AND(d_Irr!C3=".",d_Irr!AB3=".",d_Irr!BA3="."),d_dir!AD3*1000)))))))),".")</f>
        <v>1.7345230076667362</v>
      </c>
      <c r="AE3" s="76">
        <f>IFERROR(IF(AND(d_Irr!D3&lt;&gt;".",d_Irr!AC3&lt;&gt;".",d_Irr!BB3&lt;&gt;"."),d_dir!AE3/((1/1000)*(d_Irr!D3+d_Irr!AC3+d_Irr!BB3)),IF(AND(d_Irr!D3&lt;&gt;".",d_Irr!AC3&lt;&gt;".",d_Irr!BB3="."),d_dir!AE3/((1/1000)*(d_Irr!D3+d_Irr!AC3)),IF(AND(d_Irr!D3&lt;&gt;".",d_Irr!AC3=".",d_Irr!BB3&lt;&gt;"."),d_dir!AE3/((1/1000)*(d_Irr!D3+d_Irr!BB3)),IF(AND(d_Irr!D3=".",d_Irr!AC3&lt;&gt;".",d_Irr!BB3&lt;&gt;"."),d_dir!AE3/((1/1000)*(d_Irr!AC3+d_Irr!BB3)),IF(AND(d_Irr!D3=".",d_Irr!AC3=".",d_Irr!BB3&lt;&gt;"."),d_dir!AE3/((1/1000)*(d_Irr!BB3)),IF(AND(d_Irr!D3=".",d_Irr!AC3&lt;&gt;".",d_Irr!BB3="."),d_dir!AE3/((1/1000)*(d_Irr!AC3)),IF(AND(d_Irr!D3&lt;&gt;".",d_Irr!AC3=".",d_Irr!BB3="."),d_dir!AE3/((1/1000)*(d_Irr!D3)),IF(AND(d_Irr!D3=".",d_Irr!AC3=".",d_Irr!BB3="."),d_dir!AE3*1000)))))))),".")</f>
        <v>4.0790277481224235</v>
      </c>
      <c r="AF3" s="76">
        <f>IFERROR(IF(AND(d_Irr!E3&lt;&gt;".",d_Irr!AD3&lt;&gt;".",d_Irr!BC3&lt;&gt;"."),d_dir!AF3/((1/1000)*(d_Irr!E3+d_Irr!AD3+d_Irr!BC3)),IF(AND(d_Irr!E3&lt;&gt;".",d_Irr!AD3&lt;&gt;".",d_Irr!BC3="."),d_dir!AF3/((1/1000)*(d_Irr!E3+d_Irr!AD3)),IF(AND(d_Irr!E3&lt;&gt;".",d_Irr!AD3=".",d_Irr!BC3&lt;&gt;"."),d_dir!AF3/((1/1000)*(d_Irr!E3+d_Irr!BC3)),IF(AND(d_Irr!E3=".",d_Irr!AD3&lt;&gt;".",d_Irr!BC3&lt;&gt;"."),d_dir!AF3/((1/1000)*(d_Irr!AD3+d_Irr!BC3)),IF(AND(d_Irr!E3=".",d_Irr!AD3=".",d_Irr!BC3&lt;&gt;"."),d_dir!AF3/((1/1000)*(d_Irr!BC3)),IF(AND(d_Irr!E3=".",d_Irr!AD3&lt;&gt;".",d_Irr!BC3="."),d_dir!AF3/((1/1000)*(d_Irr!AD3)),IF(AND(d_Irr!E3&lt;&gt;".",d_Irr!AD3=".",d_Irr!BC3="."),d_dir!AF3/((1/1000)*(d_Irr!E3)),IF(AND(d_Irr!E3=".",d_Irr!AD3=".",d_Irr!BC3="."),d_dir!AF3*1000)))))))),".")</f>
        <v>4.832807664090323</v>
      </c>
      <c r="AG3" s="76">
        <f>IFERROR(IF(AND(d_Irr!F3&lt;&gt;".",d_Irr!AE3&lt;&gt;".",d_Irr!BD3&lt;&gt;"."),d_dir!AG3/((1/1000)*(d_Irr!F3+d_Irr!AE3+d_Irr!BD3)),IF(AND(d_Irr!F3&lt;&gt;".",d_Irr!AE3&lt;&gt;".",d_Irr!BD3="."),d_dir!AG3/((1/1000)*(d_Irr!F3+d_Irr!AE3)),IF(AND(d_Irr!F3&lt;&gt;".",d_Irr!AE3=".",d_Irr!BD3&lt;&gt;"."),d_dir!AG3/((1/1000)*(d_Irr!F3+d_Irr!BD3)),IF(AND(d_Irr!F3=".",d_Irr!AE3&lt;&gt;".",d_Irr!BD3&lt;&gt;"."),d_dir!AG3/((1/1000)*(d_Irr!AE3+d_Irr!BD3)),IF(AND(d_Irr!F3=".",d_Irr!AE3=".",d_Irr!BD3&lt;&gt;"."),d_dir!AG3/((1/1000)*(d_Irr!BD3)),IF(AND(d_Irr!F3=".",d_Irr!AE3&lt;&gt;".",d_Irr!BD3="."),d_dir!AG3/((1/1000)*(d_Irr!AE3)),IF(AND(d_Irr!F3&lt;&gt;".",d_Irr!AE3=".",d_Irr!BD3="."),d_dir!AG3/((1/1000)*(d_Irr!F3)),IF(AND(d_Irr!F3=".",d_Irr!AE3=".",d_Irr!BD3="."),d_dir!AG3*1000)))))))),".")</f>
        <v>4.3349353978828962</v>
      </c>
      <c r="AH3" s="76">
        <f>IFERROR(IF(AND(d_Irr!G3&lt;&gt;".",d_Irr!AF3&lt;&gt;".",d_Irr!BE3&lt;&gt;"."),d_dir!AH3/((1/1000)*(d_Irr!G3+d_Irr!AF3+d_Irr!BE3)),IF(AND(d_Irr!G3&lt;&gt;".",d_Irr!AF3&lt;&gt;".",d_Irr!BE3="."),d_dir!AH3/((1/1000)*(d_Irr!G3+d_Irr!AF3)),IF(AND(d_Irr!G3&lt;&gt;".",d_Irr!AF3=".",d_Irr!BE3&lt;&gt;"."),d_dir!AH3/((1/1000)*(d_Irr!G3+d_Irr!BE3)),IF(AND(d_Irr!G3=".",d_Irr!AF3&lt;&gt;".",d_Irr!BE3&lt;&gt;"."),d_dir!AH3/((1/1000)*(d_Irr!AF3+d_Irr!BE3)),IF(AND(d_Irr!G3=".",d_Irr!AF3=".",d_Irr!BE3&lt;&gt;"."),d_dir!AH3/((1/1000)*(d_Irr!BE3)),IF(AND(d_Irr!G3=".",d_Irr!AF3&lt;&gt;".",d_Irr!BE3="."),d_dir!AH3/((1/1000)*(d_Irr!AF3)),IF(AND(d_Irr!G3&lt;&gt;".",d_Irr!AF3=".",d_Irr!BE3="."),d_dir!AH3/((1/1000)*(d_Irr!G3)),IF(AND(d_Irr!G3=".",d_Irr!AF3=".",d_Irr!BE3="."),d_dir!AH3*1000)))))))),".")</f>
        <v>4.6424643611227614</v>
      </c>
      <c r="AI3" s="76">
        <f>IFERROR(IF(AND(d_Irr!H3&lt;&gt;".",d_Irr!AG3&lt;&gt;".",d_Irr!BF3&lt;&gt;"."),d_dir!AI3/((1/1000)*(d_Irr!H3+d_Irr!AG3+d_Irr!BF3)),IF(AND(d_Irr!H3&lt;&gt;".",d_Irr!AG3&lt;&gt;".",d_Irr!BF3="."),d_dir!AI3/((1/1000)*(d_Irr!H3+d_Irr!AG3)),IF(AND(d_Irr!H3&lt;&gt;".",d_Irr!AG3=".",d_Irr!BF3&lt;&gt;"."),d_dir!AI3/((1/1000)*(d_Irr!H3+d_Irr!BF3)),IF(AND(d_Irr!H3=".",d_Irr!AG3&lt;&gt;".",d_Irr!BF3&lt;&gt;"."),d_dir!AI3/((1/1000)*(d_Irr!AG3+d_Irr!BF3)),IF(AND(d_Irr!H3=".",d_Irr!AG3=".",d_Irr!BF3&lt;&gt;"."),d_dir!AI3/((1/1000)*(d_Irr!BF3)),IF(AND(d_Irr!H3=".",d_Irr!AG3&lt;&gt;".",d_Irr!BF3="."),d_dir!AI3/((1/1000)*(d_Irr!AG3)),IF(AND(d_Irr!H3&lt;&gt;".",d_Irr!AG3=".",d_Irr!BF3="."),d_dir!AI3/((1/1000)*(d_Irr!H3)),IF(AND(d_Irr!H3=".",d_Irr!AG3=".",d_Irr!BF3="."),d_dir!AI3*1000)))))))),".")</f>
        <v>2.1130737202386638</v>
      </c>
      <c r="AJ3" s="76">
        <f>IFERROR(IF(AND(d_Irr!I3&lt;&gt;".",d_Irr!AH3&lt;&gt;".",d_Irr!BG3&lt;&gt;"."),d_dir!AJ3/((1/1000)*(d_Irr!I3+d_Irr!AH3+d_Irr!BG3)),IF(AND(d_Irr!I3&lt;&gt;".",d_Irr!AH3&lt;&gt;".",d_Irr!BG3="."),d_dir!AJ3/((1/1000)*(d_Irr!I3+d_Irr!AH3)),IF(AND(d_Irr!I3&lt;&gt;".",d_Irr!AH3=".",d_Irr!BG3&lt;&gt;"."),d_dir!AJ3/((1/1000)*(d_Irr!I3+d_Irr!BG3)),IF(AND(d_Irr!I3=".",d_Irr!AH3&lt;&gt;".",d_Irr!BG3&lt;&gt;"."),d_dir!AJ3/((1/1000)*(d_Irr!AH3+d_Irr!BG3)),IF(AND(d_Irr!I3=".",d_Irr!AH3=".",d_Irr!BG3&lt;&gt;"."),d_dir!AJ3/((1/1000)*(d_Irr!BG3)),IF(AND(d_Irr!I3=".",d_Irr!AH3&lt;&gt;".",d_Irr!BG3="."),d_dir!AJ3/((1/1000)*(d_Irr!AH3)),IF(AND(d_Irr!I3&lt;&gt;".",d_Irr!AH3=".",d_Irr!BG3="."),d_dir!AJ3/((1/1000)*(d_Irr!I3)),IF(AND(d_Irr!I3=".",d_Irr!AH3=".",d_Irr!BG3="."),d_dir!AJ3*1000)))))))),".")</f>
        <v>6.4179253359746395</v>
      </c>
      <c r="AK3" s="76">
        <f>IFERROR(IF(AND(d_Irr!J3&lt;&gt;".",d_Irr!AI3&lt;&gt;".",d_Irr!BH3&lt;&gt;"."),d_dir!AK3/((1/1000)*(d_Irr!J3+d_Irr!AI3+d_Irr!BH3)),IF(AND(d_Irr!J3&lt;&gt;".",d_Irr!AI3&lt;&gt;".",d_Irr!BH3="."),d_dir!AK3/((1/1000)*(d_Irr!J3+d_Irr!AI3)),IF(AND(d_Irr!J3&lt;&gt;".",d_Irr!AI3=".",d_Irr!BH3&lt;&gt;"."),d_dir!AK3/((1/1000)*(d_Irr!J3+d_Irr!BH3)),IF(AND(d_Irr!J3=".",d_Irr!AI3&lt;&gt;".",d_Irr!BH3&lt;&gt;"."),d_dir!AK3/((1/1000)*(d_Irr!AI3+d_Irr!BH3)),IF(AND(d_Irr!J3=".",d_Irr!AI3=".",d_Irr!BH3&lt;&gt;"."),d_dir!AK3/((1/1000)*(d_Irr!BH3)),IF(AND(d_Irr!J3=".",d_Irr!AI3&lt;&gt;".",d_Irr!BH3="."),d_dir!AK3/((1/1000)*(d_Irr!AI3)),IF(AND(d_Irr!J3&lt;&gt;".",d_Irr!AI3=".",d_Irr!BH3="."),d_dir!AK3/((1/1000)*(d_Irr!J3)),IF(AND(d_Irr!J3=".",d_Irr!AI3=".",d_Irr!BH3="."),d_dir!AK3*1000)))))))),".")</f>
        <v>0.50285830929406417</v>
      </c>
      <c r="AL3" s="76">
        <f>IFERROR(IF(AND(d_Irr!K3&lt;&gt;".",d_Irr!AJ3&lt;&gt;".",d_Irr!BI3&lt;&gt;"."),d_dir!AL3/((1/1000)*(d_Irr!K3+d_Irr!AJ3+d_Irr!BI3)),IF(AND(d_Irr!K3&lt;&gt;".",d_Irr!AJ3&lt;&gt;".",d_Irr!BI3="."),d_dir!AL3/((1/1000)*(d_Irr!K3+d_Irr!AJ3)),IF(AND(d_Irr!K3&lt;&gt;".",d_Irr!AJ3=".",d_Irr!BI3&lt;&gt;"."),d_dir!AL3/((1/1000)*(d_Irr!K3+d_Irr!BI3)),IF(AND(d_Irr!K3=".",d_Irr!AJ3&lt;&gt;".",d_Irr!BI3&lt;&gt;"."),d_dir!AL3/((1/1000)*(d_Irr!AJ3+d_Irr!BI3)),IF(AND(d_Irr!K3=".",d_Irr!AJ3=".",d_Irr!BI3&lt;&gt;"."),d_dir!AL3/((1/1000)*(d_Irr!BI3)),IF(AND(d_Irr!K3=".",d_Irr!AJ3&lt;&gt;".",d_Irr!BI3="."),d_dir!AL3/((1/1000)*(d_Irr!AJ3)),IF(AND(d_Irr!K3&lt;&gt;".",d_Irr!AJ3=".",d_Irr!BI3="."),d_dir!AL3/((1/1000)*(d_Irr!K3)),IF(AND(d_Irr!K3=".",d_Irr!AJ3=".",d_Irr!BI3="."),d_dir!AL3*1000)))))))),".")</f>
        <v>1.9662587684494939</v>
      </c>
      <c r="AM3" s="76">
        <f>IFERROR(IF(AND(d_Irr!L3&lt;&gt;".",d_Irr!AK3&lt;&gt;".",d_Irr!BJ3&lt;&gt;"."),d_dir!AM3/((1/1000)*(d_Irr!L3+d_Irr!AK3+d_Irr!BJ3)),IF(AND(d_Irr!L3&lt;&gt;".",d_Irr!AK3&lt;&gt;".",d_Irr!BJ3="."),d_dir!AM3/((1/1000)*(d_Irr!L3+d_Irr!AK3)),IF(AND(d_Irr!L3&lt;&gt;".",d_Irr!AK3=".",d_Irr!BJ3&lt;&gt;"."),d_dir!AM3/((1/1000)*(d_Irr!L3+d_Irr!BJ3)),IF(AND(d_Irr!L3=".",d_Irr!AK3&lt;&gt;".",d_Irr!BJ3&lt;&gt;"."),d_dir!AM3/((1/1000)*(d_Irr!AK3+d_Irr!BJ3)),IF(AND(d_Irr!L3=".",d_Irr!AK3=".",d_Irr!BJ3&lt;&gt;"."),d_dir!AM3/((1/1000)*(d_Irr!BJ3)),IF(AND(d_Irr!L3=".",d_Irr!AK3&lt;&gt;".",d_Irr!BJ3="."),d_dir!AM3/((1/1000)*(d_Irr!AK3)),IF(AND(d_Irr!L3&lt;&gt;".",d_Irr!AK3=".",d_Irr!BJ3="."),d_dir!AM3/((1/1000)*(d_Irr!L3)),IF(AND(d_Irr!L3=".",d_Irr!AK3=".",d_Irr!BJ3="."),d_dir!AM3*1000)))))))),".")</f>
        <v>2.9778411673542293</v>
      </c>
      <c r="AN3" s="76">
        <f>IFERROR(IF(AND(d_Irr!M3&lt;&gt;".",d_Irr!AL3&lt;&gt;".",d_Irr!BK3&lt;&gt;"."),d_dir!AN3/((1/1000)*(d_Irr!M3+d_Irr!AL3+d_Irr!BK3)),IF(AND(d_Irr!M3&lt;&gt;".",d_Irr!AL3&lt;&gt;".",d_Irr!BK3="."),d_dir!AN3/((1/1000)*(d_Irr!M3+d_Irr!AL3)),IF(AND(d_Irr!M3&lt;&gt;".",d_Irr!AL3=".",d_Irr!BK3&lt;&gt;"."),d_dir!AN3/((1/1000)*(d_Irr!M3+d_Irr!BK3)),IF(AND(d_Irr!M3=".",d_Irr!AL3&lt;&gt;".",d_Irr!BK3&lt;&gt;"."),d_dir!AN3/((1/1000)*(d_Irr!AL3+d_Irr!BK3)),IF(AND(d_Irr!M3=".",d_Irr!AL3=".",d_Irr!BK3&lt;&gt;"."),d_dir!AN3/((1/1000)*(d_Irr!BK3)),IF(AND(d_Irr!M3=".",d_Irr!AL3&lt;&gt;".",d_Irr!BK3="."),d_dir!AN3/((1/1000)*(d_Irr!AL3)),IF(AND(d_Irr!M3&lt;&gt;".",d_Irr!AL3=".",d_Irr!BK3="."),d_dir!AN3/((1/1000)*(d_Irr!M3)),IF(AND(d_Irr!M3=".",d_Irr!AL3=".",d_Irr!BK3="."),d_dir!AN3*1000)))))))),".")</f>
        <v>4.0794038083875606</v>
      </c>
      <c r="AO3" s="76">
        <f>IFERROR(IF(AND(d_Irr!N3&lt;&gt;".",d_Irr!AM3&lt;&gt;".",d_Irr!BL3&lt;&gt;"."),d_dir!AO3/((1/1000)*(d_Irr!N3+d_Irr!AM3+d_Irr!BL3)),IF(AND(d_Irr!N3&lt;&gt;".",d_Irr!AM3&lt;&gt;".",d_Irr!BL3="."),d_dir!AO3/((1/1000)*(d_Irr!N3+d_Irr!AM3)),IF(AND(d_Irr!N3&lt;&gt;".",d_Irr!AM3=".",d_Irr!BL3&lt;&gt;"."),d_dir!AO3/((1/1000)*(d_Irr!N3+d_Irr!BL3)),IF(AND(d_Irr!N3=".",d_Irr!AM3&lt;&gt;".",d_Irr!BL3&lt;&gt;"."),d_dir!AO3/((1/1000)*(d_Irr!AM3+d_Irr!BL3)),IF(AND(d_Irr!N3=".",d_Irr!AM3=".",d_Irr!BL3&lt;&gt;"."),d_dir!AO3/((1/1000)*(d_Irr!BL3)),IF(AND(d_Irr!N3=".",d_Irr!AM3&lt;&gt;".",d_Irr!BL3="."),d_dir!AO3/((1/1000)*(d_Irr!AM3)),IF(AND(d_Irr!N3&lt;&gt;".",d_Irr!AM3=".",d_Irr!BL3="."),d_dir!AO3/((1/1000)*(d_Irr!N3)),IF(AND(d_Irr!N3=".",d_Irr!AM3=".",d_Irr!BL3="."),d_dir!AO3*1000)))))))),".")</f>
        <v>4.3901793640579347</v>
      </c>
      <c r="AP3" s="76">
        <f>IFERROR(IF(AND(d_Irr!O3&lt;&gt;".",d_Irr!AN3&lt;&gt;".",d_Irr!BM3&lt;&gt;"."),d_dir!AP3/((1/1000)*(d_Irr!O3+d_Irr!AN3+d_Irr!BM3)),IF(AND(d_Irr!O3&lt;&gt;".",d_Irr!AN3&lt;&gt;".",d_Irr!BM3="."),d_dir!AP3/((1/1000)*(d_Irr!O3+d_Irr!AN3)),IF(AND(d_Irr!O3&lt;&gt;".",d_Irr!AN3=".",d_Irr!BM3&lt;&gt;"."),d_dir!AP3/((1/1000)*(d_Irr!O3+d_Irr!BM3)),IF(AND(d_Irr!O3=".",d_Irr!AN3&lt;&gt;".",d_Irr!BM3&lt;&gt;"."),d_dir!AP3/((1/1000)*(d_Irr!AN3+d_Irr!BM3)),IF(AND(d_Irr!O3=".",d_Irr!AN3=".",d_Irr!BM3&lt;&gt;"."),d_dir!AP3/((1/1000)*(d_Irr!BM3)),IF(AND(d_Irr!O3=".",d_Irr!AN3&lt;&gt;".",d_Irr!BM3="."),d_dir!AP3/((1/1000)*(d_Irr!AN3)),IF(AND(d_Irr!O3&lt;&gt;".",d_Irr!AN3=".",d_Irr!BM3="."),d_dir!AP3/((1/1000)*(d_Irr!O3)),IF(AND(d_Irr!O3=".",d_Irr!AN3=".",d_Irr!BM3="."),d_dir!AP3*1000)))))))),".")</f>
        <v>5.3645731512275052</v>
      </c>
      <c r="AQ3" s="76">
        <f>IFERROR(IF(AND(d_Irr!P3&lt;&gt;".",d_Irr!AO3&lt;&gt;".",d_Irr!BN3&lt;&gt;"."),d_dir!AQ3/((1/1000)*(d_Irr!P3+d_Irr!AO3+d_Irr!BN3)),IF(AND(d_Irr!P3&lt;&gt;".",d_Irr!AO3&lt;&gt;".",d_Irr!BN3="."),d_dir!AQ3/((1/1000)*(d_Irr!P3+d_Irr!AO3)),IF(AND(d_Irr!P3&lt;&gt;".",d_Irr!AO3=".",d_Irr!BN3&lt;&gt;"."),d_dir!AQ3/((1/1000)*(d_Irr!P3+d_Irr!BN3)),IF(AND(d_Irr!P3=".",d_Irr!AO3&lt;&gt;".",d_Irr!BN3&lt;&gt;"."),d_dir!AQ3/((1/1000)*(d_Irr!AO3+d_Irr!BN3)),IF(AND(d_Irr!P3=".",d_Irr!AO3=".",d_Irr!BN3&lt;&gt;"."),d_dir!AQ3/((1/1000)*(d_Irr!BN3)),IF(AND(d_Irr!P3=".",d_Irr!AO3&lt;&gt;".",d_Irr!BN3="."),d_dir!AQ3/((1/1000)*(d_Irr!AO3)),IF(AND(d_Irr!P3&lt;&gt;".",d_Irr!AO3=".",d_Irr!BN3="."),d_dir!AQ3/((1/1000)*(d_Irr!P3)),IF(AND(d_Irr!P3=".",d_Irr!AO3=".",d_Irr!BN3="."),d_dir!AQ3*1000)))))))),".")</f>
        <v>5.9892722874354378</v>
      </c>
      <c r="AR3" s="76">
        <f>IFERROR(IF(AND(d_Irr!Q3&lt;&gt;".",d_Irr!AP3&lt;&gt;".",d_Irr!BO3&lt;&gt;"."),d_dir!AR3/((1/1000)*(d_Irr!Q3+d_Irr!AP3+d_Irr!BO3)),IF(AND(d_Irr!Q3&lt;&gt;".",d_Irr!AP3&lt;&gt;".",d_Irr!BO3="."),d_dir!AR3/((1/1000)*(d_Irr!Q3+d_Irr!AP3)),IF(AND(d_Irr!Q3&lt;&gt;".",d_Irr!AP3=".",d_Irr!BO3&lt;&gt;"."),d_dir!AR3/((1/1000)*(d_Irr!Q3+d_Irr!BO3)),IF(AND(d_Irr!Q3=".",d_Irr!AP3&lt;&gt;".",d_Irr!BO3&lt;&gt;"."),d_dir!AR3/((1/1000)*(d_Irr!AP3+d_Irr!BO3)),IF(AND(d_Irr!Q3=".",d_Irr!AP3=".",d_Irr!BO3&lt;&gt;"."),d_dir!AR3/((1/1000)*(d_Irr!BO3)),IF(AND(d_Irr!Q3=".",d_Irr!AP3&lt;&gt;".",d_Irr!BO3="."),d_dir!AR3/((1/1000)*(d_Irr!AP3)),IF(AND(d_Irr!Q3&lt;&gt;".",d_Irr!AP3=".",d_Irr!BO3="."),d_dir!AR3/((1/1000)*(d_Irr!Q3)),IF(AND(d_Irr!Q3=".",d_Irr!AP3=".",d_Irr!BO3="."),d_dir!AR3*1000)))))))),".")</f>
        <v>1.4316957185703263</v>
      </c>
      <c r="AS3" s="76">
        <f>IFERROR(IF(AND(d_Irr!R3&lt;&gt;".",d_Irr!AQ3&lt;&gt;".",d_Irr!BP3&lt;&gt;"."),d_dir!AS3/((1/1000)*(d_Irr!R3+d_Irr!AQ3+d_Irr!BP3)),IF(AND(d_Irr!R3&lt;&gt;".",d_Irr!AQ3&lt;&gt;".",d_Irr!BP3="."),d_dir!AS3/((1/1000)*(d_Irr!R3+d_Irr!AQ3)),IF(AND(d_Irr!R3&lt;&gt;".",d_Irr!AQ3=".",d_Irr!BP3&lt;&gt;"."),d_dir!AS3/((1/1000)*(d_Irr!R3+d_Irr!BP3)),IF(AND(d_Irr!R3=".",d_Irr!AQ3&lt;&gt;".",d_Irr!BP3&lt;&gt;"."),d_dir!AS3/((1/1000)*(d_Irr!AQ3+d_Irr!BP3)),IF(AND(d_Irr!R3=".",d_Irr!AQ3=".",d_Irr!BP3&lt;&gt;"."),d_dir!AS3/((1/1000)*(d_Irr!BP3)),IF(AND(d_Irr!R3=".",d_Irr!AQ3&lt;&gt;".",d_Irr!BP3="."),d_dir!AS3/((1/1000)*(d_Irr!AQ3)),IF(AND(d_Irr!R3&lt;&gt;".",d_Irr!AQ3=".",d_Irr!BP3="."),d_dir!AS3/((1/1000)*(d_Irr!R3)),IF(AND(d_Irr!R3=".",d_Irr!AQ3=".",d_Irr!BP3="."),d_dir!AS3*1000)))))))),".")</f>
        <v>2.3345734634813478</v>
      </c>
      <c r="AT3" s="76">
        <f>IFERROR(IF(AND(d_Irr!S3&lt;&gt;".",d_Irr!AR3&lt;&gt;".",d_Irr!BQ3&lt;&gt;"."),d_dir!AT3/((1/1000)*(d_Irr!S3+d_Irr!AR3+d_Irr!BQ3)),IF(AND(d_Irr!S3&lt;&gt;".",d_Irr!AR3&lt;&gt;".",d_Irr!BQ3="."),d_dir!AT3/((1/1000)*(d_Irr!S3+d_Irr!AR3)),IF(AND(d_Irr!S3&lt;&gt;".",d_Irr!AR3=".",d_Irr!BQ3&lt;&gt;"."),d_dir!AT3/((1/1000)*(d_Irr!S3+d_Irr!BQ3)),IF(AND(d_Irr!S3=".",d_Irr!AR3&lt;&gt;".",d_Irr!BQ3&lt;&gt;"."),d_dir!AT3/((1/1000)*(d_Irr!AR3+d_Irr!BQ3)),IF(AND(d_Irr!S3=".",d_Irr!AR3=".",d_Irr!BQ3&lt;&gt;"."),d_dir!AT3/((1/1000)*(d_Irr!BQ3)),IF(AND(d_Irr!S3=".",d_Irr!AR3&lt;&gt;".",d_Irr!BQ3="."),d_dir!AT3/((1/1000)*(d_Irr!AR3)),IF(AND(d_Irr!S3&lt;&gt;".",d_Irr!AR3=".",d_Irr!BQ3="."),d_dir!AT3/((1/1000)*(d_Irr!S3)),IF(AND(d_Irr!S3=".",d_Irr!AR3=".",d_Irr!BQ3="."),d_dir!AT3*1000)))))))),".")</f>
        <v>4.8802223399941624</v>
      </c>
      <c r="AU3" s="76">
        <f>IFERROR(IF(AND(d_Irr!T3&lt;&gt;".",d_Irr!AS3&lt;&gt;".",d_Irr!BR3&lt;&gt;"."),d_dir!AU3/((1/1000)*(d_Irr!T3+d_Irr!AS3+d_Irr!BR3)),IF(AND(d_Irr!T3&lt;&gt;".",d_Irr!AS3&lt;&gt;".",d_Irr!BR3="."),d_dir!AU3/((1/1000)*(d_Irr!T3+d_Irr!AS3)),IF(AND(d_Irr!T3&lt;&gt;".",d_Irr!AS3=".",d_Irr!BR3&lt;&gt;"."),d_dir!AU3/((1/1000)*(d_Irr!T3+d_Irr!BR3)),IF(AND(d_Irr!T3=".",d_Irr!AS3&lt;&gt;".",d_Irr!BR3&lt;&gt;"."),d_dir!AU3/((1/1000)*(d_Irr!AS3+d_Irr!BR3)),IF(AND(d_Irr!T3=".",d_Irr!AS3=".",d_Irr!BR3&lt;&gt;"."),d_dir!AU3/((1/1000)*(d_Irr!BR3)),IF(AND(d_Irr!T3=".",d_Irr!AS3&lt;&gt;".",d_Irr!BR3="."),d_dir!AU3/((1/1000)*(d_Irr!AS3)),IF(AND(d_Irr!T3&lt;&gt;".",d_Irr!AS3=".",d_Irr!BR3="."),d_dir!AU3/((1/1000)*(d_Irr!T3)),IF(AND(d_Irr!T3=".",d_Irr!AS3=".",d_Irr!BR3="."),d_dir!AU3*1000)))))))),".")</f>
        <v>6.6820485836292161</v>
      </c>
      <c r="AV3" s="76">
        <f>IFERROR(IF(AND(d_Irr!U3&lt;&gt;".",d_Irr!AT3&lt;&gt;".",d_Irr!BS3&lt;&gt;"."),d_dir!AV3/((1/1000)*(d_Irr!U3+d_Irr!AT3+d_Irr!BS3)),IF(AND(d_Irr!U3&lt;&gt;".",d_Irr!AT3&lt;&gt;".",d_Irr!BS3="."),d_dir!AV3/((1/1000)*(d_Irr!U3+d_Irr!AT3)),IF(AND(d_Irr!U3&lt;&gt;".",d_Irr!AT3=".",d_Irr!BS3&lt;&gt;"."),d_dir!AV3/((1/1000)*(d_Irr!U3+d_Irr!BS3)),IF(AND(d_Irr!U3=".",d_Irr!AT3&lt;&gt;".",d_Irr!BS3&lt;&gt;"."),d_dir!AV3/((1/1000)*(d_Irr!AT3+d_Irr!BS3)),IF(AND(d_Irr!U3=".",d_Irr!AT3=".",d_Irr!BS3&lt;&gt;"."),d_dir!AV3/((1/1000)*(d_Irr!BS3)),IF(AND(d_Irr!U3=".",d_Irr!AT3&lt;&gt;".",d_Irr!BS3="."),d_dir!AV3/((1/1000)*(d_Irr!AT3)),IF(AND(d_Irr!U3&lt;&gt;".",d_Irr!AT3=".",d_Irr!BS3="."),d_dir!AV3/((1/1000)*(d_Irr!U3)),IF(AND(d_Irr!U3=".",d_Irr!AT3=".",d_Irr!BS3="."),d_dir!AV3*1000)))))))),".")</f>
        <v>1.1388207295203463</v>
      </c>
      <c r="AW3" s="76">
        <f>IFERROR(IF(AND(d_Irr!V3&lt;&gt;".",d_Irr!AU3&lt;&gt;".",d_Irr!BT3&lt;&gt;"."),d_dir!AW3/((1/1000)*(d_Irr!V3+d_Irr!AU3+d_Irr!BT3)),IF(AND(d_Irr!V3&lt;&gt;".",d_Irr!AU3&lt;&gt;".",d_Irr!BT3="."),d_dir!AW3/((1/1000)*(d_Irr!V3+d_Irr!AU3)),IF(AND(d_Irr!V3&lt;&gt;".",d_Irr!AU3=".",d_Irr!BT3&lt;&gt;"."),d_dir!AW3/((1/1000)*(d_Irr!V3+d_Irr!BT3)),IF(AND(d_Irr!V3=".",d_Irr!AU3&lt;&gt;".",d_Irr!BT3&lt;&gt;"."),d_dir!AW3/((1/1000)*(d_Irr!AU3+d_Irr!BT3)),IF(AND(d_Irr!V3=".",d_Irr!AU3=".",d_Irr!BT3&lt;&gt;"."),d_dir!AW3/((1/1000)*(d_Irr!BT3)),IF(AND(d_Irr!V3=".",d_Irr!AU3&lt;&gt;".",d_Irr!BT3="."),d_dir!AW3/((1/1000)*(d_Irr!AU3)),IF(AND(d_Irr!V3&lt;&gt;".",d_Irr!AU3=".",d_Irr!BT3="."),d_dir!AW3/((1/1000)*(d_Irr!V3)),IF(AND(d_Irr!V3=".",d_Irr!AU3=".",d_Irr!BT3="."),d_dir!AW3*1000)))))))),".")</f>
        <v>2.5582372773469939</v>
      </c>
      <c r="AX3" s="76">
        <f>IFERROR(IF(AND(d_Irr!W3&lt;&gt;".",d_Irr!AV3&lt;&gt;".",d_Irr!BU3&lt;&gt;"."),d_dir!AX3/((1/1000)*(d_Irr!W3+d_Irr!AV3+d_Irr!BU3)),IF(AND(d_Irr!W3&lt;&gt;".",d_Irr!AV3&lt;&gt;".",d_Irr!BU3="."),d_dir!AX3/((1/1000)*(d_Irr!W3+d_Irr!AV3)),IF(AND(d_Irr!W3&lt;&gt;".",d_Irr!AV3=".",d_Irr!BU3&lt;&gt;"."),d_dir!AX3/((1/1000)*(d_Irr!W3+d_Irr!BU3)),IF(AND(d_Irr!W3=".",d_Irr!AV3&lt;&gt;".",d_Irr!BU3&lt;&gt;"."),d_dir!AX3/((1/1000)*(d_Irr!AV3+d_Irr!BU3)),IF(AND(d_Irr!W3=".",d_Irr!AV3=".",d_Irr!BU3&lt;&gt;"."),d_dir!AX3/((1/1000)*(d_Irr!BU3)),IF(AND(d_Irr!W3=".",d_Irr!AV3&lt;&gt;".",d_Irr!BU3="."),d_dir!AX3/((1/1000)*(d_Irr!AV3)),IF(AND(d_Irr!W3&lt;&gt;".",d_Irr!AV3=".",d_Irr!BU3="."),d_dir!AX3/((1/1000)*(d_Irr!W3)),IF(AND(d_Irr!W3=".",d_Irr!AV3=".",d_Irr!BU3="."),d_dir!AX3*1000)))))))),".")</f>
        <v>2.754353254851007</v>
      </c>
      <c r="AY3" s="76">
        <f>IFERROR(IF(AND(d_Irr!X3&lt;&gt;".",d_Irr!AW3&lt;&gt;".",d_Irr!BV3&lt;&gt;"."),d_dir!AY3/((1/1000)*(d_Irr!X3+d_Irr!AW3+d_Irr!BV3)),IF(AND(d_Irr!X3&lt;&gt;".",d_Irr!AW3&lt;&gt;".",d_Irr!BV3="."),d_dir!AY3/((1/1000)*(d_Irr!X3+d_Irr!AW3)),IF(AND(d_Irr!X3&lt;&gt;".",d_Irr!AW3=".",d_Irr!BV3&lt;&gt;"."),d_dir!AY3/((1/1000)*(d_Irr!X3+d_Irr!BV3)),IF(AND(d_Irr!X3=".",d_Irr!AW3&lt;&gt;".",d_Irr!BV3&lt;&gt;"."),d_dir!AY3/((1/1000)*(d_Irr!AW3+d_Irr!BV3)),IF(AND(d_Irr!X3=".",d_Irr!AW3=".",d_Irr!BV3&lt;&gt;"."),d_dir!AY3/((1/1000)*(d_Irr!BV3)),IF(AND(d_Irr!X3=".",d_Irr!AW3&lt;&gt;".",d_Irr!BV3="."),d_dir!AY3/((1/1000)*(d_Irr!AW3)),IF(AND(d_Irr!X3&lt;&gt;".",d_Irr!AW3=".",d_Irr!BV3="."),d_dir!AY3/((1/1000)*(d_Irr!X3)),IF(AND(d_Irr!X3=".",d_Irr!AW3=".",d_Irr!BV3="."),d_dir!AY3*1000)))))))),".")</f>
        <v>3.7930014693680287</v>
      </c>
      <c r="AZ3" s="76">
        <f>IFERROR(IF(AND(d_Irr!Y3&lt;&gt;".",d_Irr!AX3&lt;&gt;".",d_Irr!BW3&lt;&gt;"."),d_dir!AZ3/((1/1000)*(d_Irr!Y3+d_Irr!AX3+d_Irr!BW3)),IF(AND(d_Irr!Y3&lt;&gt;".",d_Irr!AX3&lt;&gt;".",d_Irr!BW3="."),d_dir!AZ3/((1/1000)*(d_Irr!Y3+d_Irr!AX3)),IF(AND(d_Irr!Y3&lt;&gt;".",d_Irr!AX3=".",d_Irr!BW3&lt;&gt;"."),d_dir!AZ3/((1/1000)*(d_Irr!Y3+d_Irr!BW3)),IF(AND(d_Irr!Y3=".",d_Irr!AX3&lt;&gt;".",d_Irr!BW3&lt;&gt;"."),d_dir!AZ3/((1/1000)*(d_Irr!AX3+d_Irr!BW3)),IF(AND(d_Irr!Y3=".",d_Irr!AX3=".",d_Irr!BW3&lt;&gt;"."),d_dir!AZ3/((1/1000)*(d_Irr!BW3)),IF(AND(d_Irr!Y3=".",d_Irr!AX3&lt;&gt;".",d_Irr!BW3="."),d_dir!AZ3/((1/1000)*(d_Irr!AX3)),IF(AND(d_Irr!Y3&lt;&gt;".",d_Irr!AX3=".",d_Irr!BW3="."),d_dir!AZ3/((1/1000)*(d_Irr!Y3)),IF(AND(d_Irr!Y3=".",d_Irr!AX3=".",d_Irr!BW3="."),d_dir!AZ3*1000)))))))),".")</f>
        <v>1.6677457339131105</v>
      </c>
      <c r="BA3" s="76">
        <f>IFERROR(IF(AND(d_Irr!Z3&lt;&gt;".",d_Irr!AY3&lt;&gt;".",d_Irr!BX3&lt;&gt;"."),d_dir!BA3/((1/1000)*(d_Irr!Z3+d_Irr!AY3+d_Irr!BX3)),IF(AND(d_Irr!Z3&lt;&gt;".",d_Irr!AY3&lt;&gt;".",d_Irr!BX3="."),d_dir!BA3/((1/1000)*(d_Irr!Z3+d_Irr!AY3)),IF(AND(d_Irr!Z3&lt;&gt;".",d_Irr!AY3=".",d_Irr!BX3&lt;&gt;"."),d_dir!BA3/((1/1000)*(d_Irr!Z3+d_Irr!BX3)),IF(AND(d_Irr!Z3=".",d_Irr!AY3&lt;&gt;".",d_Irr!BX3&lt;&gt;"."),d_dir!BA3/((1/1000)*(d_Irr!AY3+d_Irr!BX3)),IF(AND(d_Irr!Z3=".",d_Irr!AY3=".",d_Irr!BX3&lt;&gt;"."),d_dir!BA3/((1/1000)*(d_Irr!BX3)),IF(AND(d_Irr!Z3=".",d_Irr!AY3&lt;&gt;".",d_Irr!BX3="."),d_dir!BA3/((1/1000)*(d_Irr!AY3)),IF(AND(d_Irr!Z3&lt;&gt;".",d_Irr!AY3=".",d_Irr!BX3="."),d_dir!BA3/((1/1000)*(d_Irr!Z3)),IF(AND(d_Irr!Z3=".",d_Irr!AY3=".",d_Irr!BX3="."),d_dir!BA3*1000)))))))),".")</f>
        <v>0.52696851208713147</v>
      </c>
      <c r="BB3" s="76">
        <f>IFERROR(IF(AND(d_Irr!AA3&lt;&gt;".",d_Irr!AZ3&lt;&gt;".",d_Irr!BY3&lt;&gt;"."),d_dir!BB3/((1/1000)*(d_Irr!AA3+d_Irr!AZ3+d_Irr!BY3)),IF(AND(d_Irr!AA3&lt;&gt;".",d_Irr!AZ3&lt;&gt;".",d_Irr!BY3="."),d_dir!BB3/((1/1000)*(d_Irr!AA3+d_Irr!AZ3)),IF(AND(d_Irr!AA3&lt;&gt;".",d_Irr!AZ3=".",d_Irr!BY3&lt;&gt;"."),d_dir!BB3/((1/1000)*(d_Irr!AA3+d_Irr!BY3)),IF(AND(d_Irr!AA3=".",d_Irr!AZ3&lt;&gt;".",d_Irr!BY3&lt;&gt;"."),d_dir!BB3/((1/1000)*(d_Irr!AZ3+d_Irr!BY3)),IF(AND(d_Irr!AA3=".",d_Irr!AZ3=".",d_Irr!BY3&lt;&gt;"."),d_dir!BB3/((1/1000)*(d_Irr!BY3)),IF(AND(d_Irr!AA3=".",d_Irr!AZ3&lt;&gt;".",d_Irr!BY3="."),d_dir!BB3/((1/1000)*(d_Irr!AZ3)),IF(AND(d_Irr!AA3&lt;&gt;".",d_Irr!AZ3=".",d_Irr!BY3="."),d_dir!BB3/((1/1000)*(d_Irr!AA3)),IF(AND(d_Irr!AA3=".",d_Irr!AZ3=".",d_Irr!BY3="."),d_dir!BB3*1000)))))))),".")</f>
        <v>0.53609674795734796</v>
      </c>
    </row>
    <row r="4" spans="1:54" ht="15" customHeight="1" x14ac:dyDescent="0.25">
      <c r="A4" s="92" t="s">
        <v>14</v>
      </c>
      <c r="B4" s="90" t="s">
        <v>1071</v>
      </c>
      <c r="C4" s="2" t="str">
        <f t="shared" si="1"/>
        <v>.</v>
      </c>
      <c r="D4" s="76" t="str">
        <f>IFERROR(IF(AND(d_Irr!C4&lt;&gt;".",d_Irr!AB4&lt;&gt;".",d_Irr!BA4&lt;&gt;"."),d_dir!D4/((1/1000)*(d_Irr!C4+d_Irr!AB4+d_Irr!BA4)),IF(AND(d_Irr!C4&lt;&gt;".",d_Irr!AB4&lt;&gt;".",d_Irr!BA4="."),d_dir!D4/((1/1000)*(d_Irr!C4+d_Irr!AB4)),IF(AND(d_Irr!C4&lt;&gt;".",d_Irr!AB4=".",d_Irr!BA4&lt;&gt;"."),d_dir!D4/((1/1000)*(d_Irr!C4+d_Irr!BA4)),IF(AND(d_Irr!C4=".",d_Irr!AB4&lt;&gt;".",d_Irr!BA4&lt;&gt;"."),d_dir!D4/((1/1000)*(d_Irr!AB4+d_Irr!BA4)),IF(AND(d_Irr!C4=".",d_Irr!AB4=".",d_Irr!BA4&lt;&gt;"."),d_dir!D4/((1/1000)*(d_Irr!BA4)),IF(AND(d_Irr!C4=".",d_Irr!AB4&lt;&gt;".",d_Irr!BA4="."),d_dir!D4/((1/1000)*(d_Irr!AB4)),IF(AND(d_Irr!C4&lt;&gt;".",d_Irr!AB4=".",d_Irr!BA4="."),d_dir!D4/((1/1000)*(d_Irr!C4)),IF(AND(d_Irr!C4=".",d_Irr!AB4=".",d_Irr!BA4="."),d_dir!D4*1000)))))))),".")</f>
        <v>.</v>
      </c>
      <c r="E4" s="76" t="str">
        <f>IFERROR(IF(AND(d_Irr!D4&lt;&gt;".",d_Irr!AC4&lt;&gt;".",d_Irr!BB4&lt;&gt;"."),d_dir!E4/((1/1000)*(d_Irr!D4+d_Irr!AC4+d_Irr!BB4)),IF(AND(d_Irr!D4&lt;&gt;".",d_Irr!AC4&lt;&gt;".",d_Irr!BB4="."),d_dir!E4/((1/1000)*(d_Irr!D4+d_Irr!AC4)),IF(AND(d_Irr!D4&lt;&gt;".",d_Irr!AC4=".",d_Irr!BB4&lt;&gt;"."),d_dir!E4/((1/1000)*(d_Irr!D4+d_Irr!BB4)),IF(AND(d_Irr!D4=".",d_Irr!AC4&lt;&gt;".",d_Irr!BB4&lt;&gt;"."),d_dir!E4/((1/1000)*(d_Irr!AC4+d_Irr!BB4)),IF(AND(d_Irr!D4=".",d_Irr!AC4=".",d_Irr!BB4&lt;&gt;"."),d_dir!E4/((1/1000)*(d_Irr!BB4)),IF(AND(d_Irr!D4=".",d_Irr!AC4&lt;&gt;".",d_Irr!BB4="."),d_dir!E4/((1/1000)*(d_Irr!AC4)),IF(AND(d_Irr!D4&lt;&gt;".",d_Irr!AC4=".",d_Irr!BB4="."),d_dir!E4/((1/1000)*(d_Irr!D4)),IF(AND(d_Irr!D4=".",d_Irr!AC4=".",d_Irr!BB4="."),d_dir!E4*1000)))))))),".")</f>
        <v>.</v>
      </c>
      <c r="F4" s="76" t="str">
        <f>IFERROR(IF(AND(d_Irr!E4&lt;&gt;".",d_Irr!AD4&lt;&gt;".",d_Irr!BC4&lt;&gt;"."),d_dir!F4/((1/1000)*(d_Irr!E4+d_Irr!AD4+d_Irr!BC4)),IF(AND(d_Irr!E4&lt;&gt;".",d_Irr!AD4&lt;&gt;".",d_Irr!BC4="."),d_dir!F4/((1/1000)*(d_Irr!E4+d_Irr!AD4)),IF(AND(d_Irr!E4&lt;&gt;".",d_Irr!AD4=".",d_Irr!BC4&lt;&gt;"."),d_dir!F4/((1/1000)*(d_Irr!E4+d_Irr!BC4)),IF(AND(d_Irr!E4=".",d_Irr!AD4&lt;&gt;".",d_Irr!BC4&lt;&gt;"."),d_dir!F4/((1/1000)*(d_Irr!AD4+d_Irr!BC4)),IF(AND(d_Irr!E4=".",d_Irr!AD4=".",d_Irr!BC4&lt;&gt;"."),d_dir!F4/((1/1000)*(d_Irr!BC4)),IF(AND(d_Irr!E4=".",d_Irr!AD4&lt;&gt;".",d_Irr!BC4="."),d_dir!F4/((1/1000)*(d_Irr!AD4)),IF(AND(d_Irr!E4&lt;&gt;".",d_Irr!AD4=".",d_Irr!BC4="."),d_dir!F4/((1/1000)*(d_Irr!E4)),IF(AND(d_Irr!E4=".",d_Irr!AD4=".",d_Irr!BC4="."),d_dir!F4*1000)))))))),".")</f>
        <v>.</v>
      </c>
      <c r="G4" s="76" t="str">
        <f>IFERROR(IF(AND(d_Irr!F4&lt;&gt;".",d_Irr!AE4&lt;&gt;".",d_Irr!BD4&lt;&gt;"."),d_dir!G4/((1/1000)*(d_Irr!F4+d_Irr!AE4+d_Irr!BD4)),IF(AND(d_Irr!F4&lt;&gt;".",d_Irr!AE4&lt;&gt;".",d_Irr!BD4="."),d_dir!G4/((1/1000)*(d_Irr!F4+d_Irr!AE4)),IF(AND(d_Irr!F4&lt;&gt;".",d_Irr!AE4=".",d_Irr!BD4&lt;&gt;"."),d_dir!G4/((1/1000)*(d_Irr!F4+d_Irr!BD4)),IF(AND(d_Irr!F4=".",d_Irr!AE4&lt;&gt;".",d_Irr!BD4&lt;&gt;"."),d_dir!G4/((1/1000)*(d_Irr!AE4+d_Irr!BD4)),IF(AND(d_Irr!F4=".",d_Irr!AE4=".",d_Irr!BD4&lt;&gt;"."),d_dir!G4/((1/1000)*(d_Irr!BD4)),IF(AND(d_Irr!F4=".",d_Irr!AE4&lt;&gt;".",d_Irr!BD4="."),d_dir!G4/((1/1000)*(d_Irr!AE4)),IF(AND(d_Irr!F4&lt;&gt;".",d_Irr!AE4=".",d_Irr!BD4="."),d_dir!G4/((1/1000)*(d_Irr!F4)),IF(AND(d_Irr!F4=".",d_Irr!AE4=".",d_Irr!BD4="."),d_dir!G4*1000)))))))),".")</f>
        <v>.</v>
      </c>
      <c r="H4" s="76" t="str">
        <f>IFERROR(IF(AND(d_Irr!G4&lt;&gt;".",d_Irr!AF4&lt;&gt;".",d_Irr!BE4&lt;&gt;"."),d_dir!H4/((1/1000)*(d_Irr!G4+d_Irr!AF4+d_Irr!BE4)),IF(AND(d_Irr!G4&lt;&gt;".",d_Irr!AF4&lt;&gt;".",d_Irr!BE4="."),d_dir!H4/((1/1000)*(d_Irr!G4+d_Irr!AF4)),IF(AND(d_Irr!G4&lt;&gt;".",d_Irr!AF4=".",d_Irr!BE4&lt;&gt;"."),d_dir!H4/((1/1000)*(d_Irr!G4+d_Irr!BE4)),IF(AND(d_Irr!G4=".",d_Irr!AF4&lt;&gt;".",d_Irr!BE4&lt;&gt;"."),d_dir!H4/((1/1000)*(d_Irr!AF4+d_Irr!BE4)),IF(AND(d_Irr!G4=".",d_Irr!AF4=".",d_Irr!BE4&lt;&gt;"."),d_dir!H4/((1/1000)*(d_Irr!BE4)),IF(AND(d_Irr!G4=".",d_Irr!AF4&lt;&gt;".",d_Irr!BE4="."),d_dir!H4/((1/1000)*(d_Irr!AF4)),IF(AND(d_Irr!G4&lt;&gt;".",d_Irr!AF4=".",d_Irr!BE4="."),d_dir!H4/((1/1000)*(d_Irr!G4)),IF(AND(d_Irr!G4=".",d_Irr!AF4=".",d_Irr!BE4="."),d_dir!H4*1000)))))))),".")</f>
        <v>.</v>
      </c>
      <c r="I4" s="76" t="str">
        <f>IFERROR(IF(AND(d_Irr!H4&lt;&gt;".",d_Irr!AG4&lt;&gt;".",d_Irr!BF4&lt;&gt;"."),d_dir!I4/((1/1000)*(d_Irr!H4+d_Irr!AG4+d_Irr!BF4)),IF(AND(d_Irr!H4&lt;&gt;".",d_Irr!AG4&lt;&gt;".",d_Irr!BF4="."),d_dir!I4/((1/1000)*(d_Irr!H4+d_Irr!AG4)),IF(AND(d_Irr!H4&lt;&gt;".",d_Irr!AG4=".",d_Irr!BF4&lt;&gt;"."),d_dir!I4/((1/1000)*(d_Irr!H4+d_Irr!BF4)),IF(AND(d_Irr!H4=".",d_Irr!AG4&lt;&gt;".",d_Irr!BF4&lt;&gt;"."),d_dir!I4/((1/1000)*(d_Irr!AG4+d_Irr!BF4)),IF(AND(d_Irr!H4=".",d_Irr!AG4=".",d_Irr!BF4&lt;&gt;"."),d_dir!I4/((1/1000)*(d_Irr!BF4)),IF(AND(d_Irr!H4=".",d_Irr!AG4&lt;&gt;".",d_Irr!BF4="."),d_dir!I4/((1/1000)*(d_Irr!AG4)),IF(AND(d_Irr!H4&lt;&gt;".",d_Irr!AG4=".",d_Irr!BF4="."),d_dir!I4/((1/1000)*(d_Irr!H4)),IF(AND(d_Irr!H4=".",d_Irr!AG4=".",d_Irr!BF4="."),d_dir!I4*1000)))))))),".")</f>
        <v>.</v>
      </c>
      <c r="J4" s="76" t="str">
        <f>IFERROR(IF(AND(d_Irr!I4&lt;&gt;".",d_Irr!AH4&lt;&gt;".",d_Irr!BG4&lt;&gt;"."),d_dir!J4/((1/1000)*(d_Irr!I4+d_Irr!AH4+d_Irr!BG4)),IF(AND(d_Irr!I4&lt;&gt;".",d_Irr!AH4&lt;&gt;".",d_Irr!BG4="."),d_dir!J4/((1/1000)*(d_Irr!I4+d_Irr!AH4)),IF(AND(d_Irr!I4&lt;&gt;".",d_Irr!AH4=".",d_Irr!BG4&lt;&gt;"."),d_dir!J4/((1/1000)*(d_Irr!I4+d_Irr!BG4)),IF(AND(d_Irr!I4=".",d_Irr!AH4&lt;&gt;".",d_Irr!BG4&lt;&gt;"."),d_dir!J4/((1/1000)*(d_Irr!AH4+d_Irr!BG4)),IF(AND(d_Irr!I4=".",d_Irr!AH4=".",d_Irr!BG4&lt;&gt;"."),d_dir!J4/((1/1000)*(d_Irr!BG4)),IF(AND(d_Irr!I4=".",d_Irr!AH4&lt;&gt;".",d_Irr!BG4="."),d_dir!J4/((1/1000)*(d_Irr!AH4)),IF(AND(d_Irr!I4&lt;&gt;".",d_Irr!AH4=".",d_Irr!BG4="."),d_dir!J4/((1/1000)*(d_Irr!I4)),IF(AND(d_Irr!I4=".",d_Irr!AH4=".",d_Irr!BG4="."),d_dir!J4*1000)))))))),".")</f>
        <v>.</v>
      </c>
      <c r="K4" s="76" t="str">
        <f>IFERROR(IF(AND(d_Irr!J4&lt;&gt;".",d_Irr!AI4&lt;&gt;".",d_Irr!BH4&lt;&gt;"."),d_dir!K4/((1/1000)*(d_Irr!J4+d_Irr!AI4+d_Irr!BH4)),IF(AND(d_Irr!J4&lt;&gt;".",d_Irr!AI4&lt;&gt;".",d_Irr!BH4="."),d_dir!K4/((1/1000)*(d_Irr!J4+d_Irr!AI4)),IF(AND(d_Irr!J4&lt;&gt;".",d_Irr!AI4=".",d_Irr!BH4&lt;&gt;"."),d_dir!K4/((1/1000)*(d_Irr!J4+d_Irr!BH4)),IF(AND(d_Irr!J4=".",d_Irr!AI4&lt;&gt;".",d_Irr!BH4&lt;&gt;"."),d_dir!K4/((1/1000)*(d_Irr!AI4+d_Irr!BH4)),IF(AND(d_Irr!J4=".",d_Irr!AI4=".",d_Irr!BH4&lt;&gt;"."),d_dir!K4/((1/1000)*(d_Irr!BH4)),IF(AND(d_Irr!J4=".",d_Irr!AI4&lt;&gt;".",d_Irr!BH4="."),d_dir!K4/((1/1000)*(d_Irr!AI4)),IF(AND(d_Irr!J4&lt;&gt;".",d_Irr!AI4=".",d_Irr!BH4="."),d_dir!K4/((1/1000)*(d_Irr!J4)),IF(AND(d_Irr!J4=".",d_Irr!AI4=".",d_Irr!BH4="."),d_dir!K4*1000)))))))),".")</f>
        <v>.</v>
      </c>
      <c r="L4" s="76" t="str">
        <f>IFERROR(IF(AND(d_Irr!K4&lt;&gt;".",d_Irr!AJ4&lt;&gt;".",d_Irr!BI4&lt;&gt;"."),d_dir!L4/((1/1000)*(d_Irr!K4+d_Irr!AJ4+d_Irr!BI4)),IF(AND(d_Irr!K4&lt;&gt;".",d_Irr!AJ4&lt;&gt;".",d_Irr!BI4="."),d_dir!L4/((1/1000)*(d_Irr!K4+d_Irr!AJ4)),IF(AND(d_Irr!K4&lt;&gt;".",d_Irr!AJ4=".",d_Irr!BI4&lt;&gt;"."),d_dir!L4/((1/1000)*(d_Irr!K4+d_Irr!BI4)),IF(AND(d_Irr!K4=".",d_Irr!AJ4&lt;&gt;".",d_Irr!BI4&lt;&gt;"."),d_dir!L4/((1/1000)*(d_Irr!AJ4+d_Irr!BI4)),IF(AND(d_Irr!K4=".",d_Irr!AJ4=".",d_Irr!BI4&lt;&gt;"."),d_dir!L4/((1/1000)*(d_Irr!BI4)),IF(AND(d_Irr!K4=".",d_Irr!AJ4&lt;&gt;".",d_Irr!BI4="."),d_dir!L4/((1/1000)*(d_Irr!AJ4)),IF(AND(d_Irr!K4&lt;&gt;".",d_Irr!AJ4=".",d_Irr!BI4="."),d_dir!L4/((1/1000)*(d_Irr!K4)),IF(AND(d_Irr!K4=".",d_Irr!AJ4=".",d_Irr!BI4="."),d_dir!L4*1000)))))))),".")</f>
        <v>.</v>
      </c>
      <c r="M4" s="76" t="str">
        <f>IFERROR(IF(AND(d_Irr!L4&lt;&gt;".",d_Irr!AK4&lt;&gt;".",d_Irr!BJ4&lt;&gt;"."),d_dir!M4/((1/1000)*(d_Irr!L4+d_Irr!AK4+d_Irr!BJ4)),IF(AND(d_Irr!L4&lt;&gt;".",d_Irr!AK4&lt;&gt;".",d_Irr!BJ4="."),d_dir!M4/((1/1000)*(d_Irr!L4+d_Irr!AK4)),IF(AND(d_Irr!L4&lt;&gt;".",d_Irr!AK4=".",d_Irr!BJ4&lt;&gt;"."),d_dir!M4/((1/1000)*(d_Irr!L4+d_Irr!BJ4)),IF(AND(d_Irr!L4=".",d_Irr!AK4&lt;&gt;".",d_Irr!BJ4&lt;&gt;"."),d_dir!M4/((1/1000)*(d_Irr!AK4+d_Irr!BJ4)),IF(AND(d_Irr!L4=".",d_Irr!AK4=".",d_Irr!BJ4&lt;&gt;"."),d_dir!M4/((1/1000)*(d_Irr!BJ4)),IF(AND(d_Irr!L4=".",d_Irr!AK4&lt;&gt;".",d_Irr!BJ4="."),d_dir!M4/((1/1000)*(d_Irr!AK4)),IF(AND(d_Irr!L4&lt;&gt;".",d_Irr!AK4=".",d_Irr!BJ4="."),d_dir!M4/((1/1000)*(d_Irr!L4)),IF(AND(d_Irr!L4=".",d_Irr!AK4=".",d_Irr!BJ4="."),d_dir!M4*1000)))))))),".")</f>
        <v>.</v>
      </c>
      <c r="N4" s="76" t="str">
        <f>IFERROR(IF(AND(d_Irr!M4&lt;&gt;".",d_Irr!AL4&lt;&gt;".",d_Irr!BK4&lt;&gt;"."),d_dir!N4/((1/1000)*(d_Irr!M4+d_Irr!AL4+d_Irr!BK4)),IF(AND(d_Irr!M4&lt;&gt;".",d_Irr!AL4&lt;&gt;".",d_Irr!BK4="."),d_dir!N4/((1/1000)*(d_Irr!M4+d_Irr!AL4)),IF(AND(d_Irr!M4&lt;&gt;".",d_Irr!AL4=".",d_Irr!BK4&lt;&gt;"."),d_dir!N4/((1/1000)*(d_Irr!M4+d_Irr!BK4)),IF(AND(d_Irr!M4=".",d_Irr!AL4&lt;&gt;".",d_Irr!BK4&lt;&gt;"."),d_dir!N4/((1/1000)*(d_Irr!AL4+d_Irr!BK4)),IF(AND(d_Irr!M4=".",d_Irr!AL4=".",d_Irr!BK4&lt;&gt;"."),d_dir!N4/((1/1000)*(d_Irr!BK4)),IF(AND(d_Irr!M4=".",d_Irr!AL4&lt;&gt;".",d_Irr!BK4="."),d_dir!N4/((1/1000)*(d_Irr!AL4)),IF(AND(d_Irr!M4&lt;&gt;".",d_Irr!AL4=".",d_Irr!BK4="."),d_dir!N4/((1/1000)*(d_Irr!M4)),IF(AND(d_Irr!M4=".",d_Irr!AL4=".",d_Irr!BK4="."),d_dir!N4*1000)))))))),".")</f>
        <v>.</v>
      </c>
      <c r="O4" s="76" t="str">
        <f>IFERROR(IF(AND(d_Irr!N4&lt;&gt;".",d_Irr!AM4&lt;&gt;".",d_Irr!BL4&lt;&gt;"."),d_dir!O4/((1/1000)*(d_Irr!N4+d_Irr!AM4+d_Irr!BL4)),IF(AND(d_Irr!N4&lt;&gt;".",d_Irr!AM4&lt;&gt;".",d_Irr!BL4="."),d_dir!O4/((1/1000)*(d_Irr!N4+d_Irr!AM4)),IF(AND(d_Irr!N4&lt;&gt;".",d_Irr!AM4=".",d_Irr!BL4&lt;&gt;"."),d_dir!O4/((1/1000)*(d_Irr!N4+d_Irr!BL4)),IF(AND(d_Irr!N4=".",d_Irr!AM4&lt;&gt;".",d_Irr!BL4&lt;&gt;"."),d_dir!O4/((1/1000)*(d_Irr!AM4+d_Irr!BL4)),IF(AND(d_Irr!N4=".",d_Irr!AM4=".",d_Irr!BL4&lt;&gt;"."),d_dir!O4/((1/1000)*(d_Irr!BL4)),IF(AND(d_Irr!N4=".",d_Irr!AM4&lt;&gt;".",d_Irr!BL4="."),d_dir!O4/((1/1000)*(d_Irr!AM4)),IF(AND(d_Irr!N4&lt;&gt;".",d_Irr!AM4=".",d_Irr!BL4="."),d_dir!O4/((1/1000)*(d_Irr!N4)),IF(AND(d_Irr!N4=".",d_Irr!AM4=".",d_Irr!BL4="."),d_dir!O4*1000)))))))),".")</f>
        <v>.</v>
      </c>
      <c r="P4" s="76" t="str">
        <f>IFERROR(IF(AND(d_Irr!O4&lt;&gt;".",d_Irr!AN4&lt;&gt;".",d_Irr!BM4&lt;&gt;"."),d_dir!P4/((1/1000)*(d_Irr!O4+d_Irr!AN4+d_Irr!BM4)),IF(AND(d_Irr!O4&lt;&gt;".",d_Irr!AN4&lt;&gt;".",d_Irr!BM4="."),d_dir!P4/((1/1000)*(d_Irr!O4+d_Irr!AN4)),IF(AND(d_Irr!O4&lt;&gt;".",d_Irr!AN4=".",d_Irr!BM4&lt;&gt;"."),d_dir!P4/((1/1000)*(d_Irr!O4+d_Irr!BM4)),IF(AND(d_Irr!O4=".",d_Irr!AN4&lt;&gt;".",d_Irr!BM4&lt;&gt;"."),d_dir!P4/((1/1000)*(d_Irr!AN4+d_Irr!BM4)),IF(AND(d_Irr!O4=".",d_Irr!AN4=".",d_Irr!BM4&lt;&gt;"."),d_dir!P4/((1/1000)*(d_Irr!BM4)),IF(AND(d_Irr!O4=".",d_Irr!AN4&lt;&gt;".",d_Irr!BM4="."),d_dir!P4/((1/1000)*(d_Irr!AN4)),IF(AND(d_Irr!O4&lt;&gt;".",d_Irr!AN4=".",d_Irr!BM4="."),d_dir!P4/((1/1000)*(d_Irr!O4)),IF(AND(d_Irr!O4=".",d_Irr!AN4=".",d_Irr!BM4="."),d_dir!P4*1000)))))))),".")</f>
        <v>.</v>
      </c>
      <c r="Q4" s="76" t="str">
        <f>IFERROR(IF(AND(d_Irr!P4&lt;&gt;".",d_Irr!AO4&lt;&gt;".",d_Irr!BN4&lt;&gt;"."),d_dir!Q4/((1/1000)*(d_Irr!P4+d_Irr!AO4+d_Irr!BN4)),IF(AND(d_Irr!P4&lt;&gt;".",d_Irr!AO4&lt;&gt;".",d_Irr!BN4="."),d_dir!Q4/((1/1000)*(d_Irr!P4+d_Irr!AO4)),IF(AND(d_Irr!P4&lt;&gt;".",d_Irr!AO4=".",d_Irr!BN4&lt;&gt;"."),d_dir!Q4/((1/1000)*(d_Irr!P4+d_Irr!BN4)),IF(AND(d_Irr!P4=".",d_Irr!AO4&lt;&gt;".",d_Irr!BN4&lt;&gt;"."),d_dir!Q4/((1/1000)*(d_Irr!AO4+d_Irr!BN4)),IF(AND(d_Irr!P4=".",d_Irr!AO4=".",d_Irr!BN4&lt;&gt;"."),d_dir!Q4/((1/1000)*(d_Irr!BN4)),IF(AND(d_Irr!P4=".",d_Irr!AO4&lt;&gt;".",d_Irr!BN4="."),d_dir!Q4/((1/1000)*(d_Irr!AO4)),IF(AND(d_Irr!P4&lt;&gt;".",d_Irr!AO4=".",d_Irr!BN4="."),d_dir!Q4/((1/1000)*(d_Irr!P4)),IF(AND(d_Irr!P4=".",d_Irr!AO4=".",d_Irr!BN4="."),d_dir!Q4*1000)))))))),".")</f>
        <v>.</v>
      </c>
      <c r="R4" s="76" t="str">
        <f>IFERROR(IF(AND(d_Irr!Q4&lt;&gt;".",d_Irr!AP4&lt;&gt;".",d_Irr!BO4&lt;&gt;"."),d_dir!R4/((1/1000)*(d_Irr!Q4+d_Irr!AP4+d_Irr!BO4)),IF(AND(d_Irr!Q4&lt;&gt;".",d_Irr!AP4&lt;&gt;".",d_Irr!BO4="."),d_dir!R4/((1/1000)*(d_Irr!Q4+d_Irr!AP4)),IF(AND(d_Irr!Q4&lt;&gt;".",d_Irr!AP4=".",d_Irr!BO4&lt;&gt;"."),d_dir!R4/((1/1000)*(d_Irr!Q4+d_Irr!BO4)),IF(AND(d_Irr!Q4=".",d_Irr!AP4&lt;&gt;".",d_Irr!BO4&lt;&gt;"."),d_dir!R4/((1/1000)*(d_Irr!AP4+d_Irr!BO4)),IF(AND(d_Irr!Q4=".",d_Irr!AP4=".",d_Irr!BO4&lt;&gt;"."),d_dir!R4/((1/1000)*(d_Irr!BO4)),IF(AND(d_Irr!Q4=".",d_Irr!AP4&lt;&gt;".",d_Irr!BO4="."),d_dir!R4/((1/1000)*(d_Irr!AP4)),IF(AND(d_Irr!Q4&lt;&gt;".",d_Irr!AP4=".",d_Irr!BO4="."),d_dir!R4/((1/1000)*(d_Irr!Q4)),IF(AND(d_Irr!Q4=".",d_Irr!AP4=".",d_Irr!BO4="."),d_dir!R4*1000)))))))),".")</f>
        <v>.</v>
      </c>
      <c r="S4" s="76" t="str">
        <f>IFERROR(IF(AND(d_Irr!R4&lt;&gt;".",d_Irr!AQ4&lt;&gt;".",d_Irr!BP4&lt;&gt;"."),d_dir!S4/((1/1000)*(d_Irr!R4+d_Irr!AQ4+d_Irr!BP4)),IF(AND(d_Irr!R4&lt;&gt;".",d_Irr!AQ4&lt;&gt;".",d_Irr!BP4="."),d_dir!S4/((1/1000)*(d_Irr!R4+d_Irr!AQ4)),IF(AND(d_Irr!R4&lt;&gt;".",d_Irr!AQ4=".",d_Irr!BP4&lt;&gt;"."),d_dir!S4/((1/1000)*(d_Irr!R4+d_Irr!BP4)),IF(AND(d_Irr!R4=".",d_Irr!AQ4&lt;&gt;".",d_Irr!BP4&lt;&gt;"."),d_dir!S4/((1/1000)*(d_Irr!AQ4+d_Irr!BP4)),IF(AND(d_Irr!R4=".",d_Irr!AQ4=".",d_Irr!BP4&lt;&gt;"."),d_dir!S4/((1/1000)*(d_Irr!BP4)),IF(AND(d_Irr!R4=".",d_Irr!AQ4&lt;&gt;".",d_Irr!BP4="."),d_dir!S4/((1/1000)*(d_Irr!AQ4)),IF(AND(d_Irr!R4&lt;&gt;".",d_Irr!AQ4=".",d_Irr!BP4="."),d_dir!S4/((1/1000)*(d_Irr!R4)),IF(AND(d_Irr!R4=".",d_Irr!AQ4=".",d_Irr!BP4="."),d_dir!S4*1000)))))))),".")</f>
        <v>.</v>
      </c>
      <c r="T4" s="76" t="str">
        <f>IFERROR(IF(AND(d_Irr!S4&lt;&gt;".",d_Irr!AR4&lt;&gt;".",d_Irr!BQ4&lt;&gt;"."),d_dir!T4/((1/1000)*(d_Irr!S4+d_Irr!AR4+d_Irr!BQ4)),IF(AND(d_Irr!S4&lt;&gt;".",d_Irr!AR4&lt;&gt;".",d_Irr!BQ4="."),d_dir!T4/((1/1000)*(d_Irr!S4+d_Irr!AR4)),IF(AND(d_Irr!S4&lt;&gt;".",d_Irr!AR4=".",d_Irr!BQ4&lt;&gt;"."),d_dir!T4/((1/1000)*(d_Irr!S4+d_Irr!BQ4)),IF(AND(d_Irr!S4=".",d_Irr!AR4&lt;&gt;".",d_Irr!BQ4&lt;&gt;"."),d_dir!T4/((1/1000)*(d_Irr!AR4+d_Irr!BQ4)),IF(AND(d_Irr!S4=".",d_Irr!AR4=".",d_Irr!BQ4&lt;&gt;"."),d_dir!T4/((1/1000)*(d_Irr!BQ4)),IF(AND(d_Irr!S4=".",d_Irr!AR4&lt;&gt;".",d_Irr!BQ4="."),d_dir!T4/((1/1000)*(d_Irr!AR4)),IF(AND(d_Irr!S4&lt;&gt;".",d_Irr!AR4=".",d_Irr!BQ4="."),d_dir!T4/((1/1000)*(d_Irr!S4)),IF(AND(d_Irr!S4=".",d_Irr!AR4=".",d_Irr!BQ4="."),d_dir!T4*1000)))))))),".")</f>
        <v>.</v>
      </c>
      <c r="U4" s="76" t="str">
        <f>IFERROR(IF(AND(d_Irr!T4&lt;&gt;".",d_Irr!AS4&lt;&gt;".",d_Irr!BR4&lt;&gt;"."),d_dir!U4/((1/1000)*(d_Irr!T4+d_Irr!AS4+d_Irr!BR4)),IF(AND(d_Irr!T4&lt;&gt;".",d_Irr!AS4&lt;&gt;".",d_Irr!BR4="."),d_dir!U4/((1/1000)*(d_Irr!T4+d_Irr!AS4)),IF(AND(d_Irr!T4&lt;&gt;".",d_Irr!AS4=".",d_Irr!BR4&lt;&gt;"."),d_dir!U4/((1/1000)*(d_Irr!T4+d_Irr!BR4)),IF(AND(d_Irr!T4=".",d_Irr!AS4&lt;&gt;".",d_Irr!BR4&lt;&gt;"."),d_dir!U4/((1/1000)*(d_Irr!AS4+d_Irr!BR4)),IF(AND(d_Irr!T4=".",d_Irr!AS4=".",d_Irr!BR4&lt;&gt;"."),d_dir!U4/((1/1000)*(d_Irr!BR4)),IF(AND(d_Irr!T4=".",d_Irr!AS4&lt;&gt;".",d_Irr!BR4="."),d_dir!U4/((1/1000)*(d_Irr!AS4)),IF(AND(d_Irr!T4&lt;&gt;".",d_Irr!AS4=".",d_Irr!BR4="."),d_dir!U4/((1/1000)*(d_Irr!T4)),IF(AND(d_Irr!T4=".",d_Irr!AS4=".",d_Irr!BR4="."),d_dir!U4*1000)))))))),".")</f>
        <v>.</v>
      </c>
      <c r="V4" s="76" t="str">
        <f>IFERROR(IF(AND(d_Irr!U4&lt;&gt;".",d_Irr!AT4&lt;&gt;".",d_Irr!BS4&lt;&gt;"."),d_dir!V4/((1/1000)*(d_Irr!U4+d_Irr!AT4+d_Irr!BS4)),IF(AND(d_Irr!U4&lt;&gt;".",d_Irr!AT4&lt;&gt;".",d_Irr!BS4="."),d_dir!V4/((1/1000)*(d_Irr!U4+d_Irr!AT4)),IF(AND(d_Irr!U4&lt;&gt;".",d_Irr!AT4=".",d_Irr!BS4&lt;&gt;"."),d_dir!V4/((1/1000)*(d_Irr!U4+d_Irr!BS4)),IF(AND(d_Irr!U4=".",d_Irr!AT4&lt;&gt;".",d_Irr!BS4&lt;&gt;"."),d_dir!V4/((1/1000)*(d_Irr!AT4+d_Irr!BS4)),IF(AND(d_Irr!U4=".",d_Irr!AT4=".",d_Irr!BS4&lt;&gt;"."),d_dir!V4/((1/1000)*(d_Irr!BS4)),IF(AND(d_Irr!U4=".",d_Irr!AT4&lt;&gt;".",d_Irr!BS4="."),d_dir!V4/((1/1000)*(d_Irr!AT4)),IF(AND(d_Irr!U4&lt;&gt;".",d_Irr!AT4=".",d_Irr!BS4="."),d_dir!V4/((1/1000)*(d_Irr!U4)),IF(AND(d_Irr!U4=".",d_Irr!AT4=".",d_Irr!BS4="."),d_dir!V4*1000)))))))),".")</f>
        <v>.</v>
      </c>
      <c r="W4" s="76" t="str">
        <f>IFERROR(IF(AND(d_Irr!V4&lt;&gt;".",d_Irr!AU4&lt;&gt;".",d_Irr!BT4&lt;&gt;"."),d_dir!W4/((1/1000)*(d_Irr!V4+d_Irr!AU4+d_Irr!BT4)),IF(AND(d_Irr!V4&lt;&gt;".",d_Irr!AU4&lt;&gt;".",d_Irr!BT4="."),d_dir!W4/((1/1000)*(d_Irr!V4+d_Irr!AU4)),IF(AND(d_Irr!V4&lt;&gt;".",d_Irr!AU4=".",d_Irr!BT4&lt;&gt;"."),d_dir!W4/((1/1000)*(d_Irr!V4+d_Irr!BT4)),IF(AND(d_Irr!V4=".",d_Irr!AU4&lt;&gt;".",d_Irr!BT4&lt;&gt;"."),d_dir!W4/((1/1000)*(d_Irr!AU4+d_Irr!BT4)),IF(AND(d_Irr!V4=".",d_Irr!AU4=".",d_Irr!BT4&lt;&gt;"."),d_dir!W4/((1/1000)*(d_Irr!BT4)),IF(AND(d_Irr!V4=".",d_Irr!AU4&lt;&gt;".",d_Irr!BT4="."),d_dir!W4/((1/1000)*(d_Irr!AU4)),IF(AND(d_Irr!V4&lt;&gt;".",d_Irr!AU4=".",d_Irr!BT4="."),d_dir!W4/((1/1000)*(d_Irr!V4)),IF(AND(d_Irr!V4=".",d_Irr!AU4=".",d_Irr!BT4="."),d_dir!W4*1000)))))))),".")</f>
        <v>.</v>
      </c>
      <c r="X4" s="76" t="str">
        <f>IFERROR(IF(AND(d_Irr!W4&lt;&gt;".",d_Irr!AV4&lt;&gt;".",d_Irr!BU4&lt;&gt;"."),d_dir!X4/((1/1000)*(d_Irr!W4+d_Irr!AV4+d_Irr!BU4)),IF(AND(d_Irr!W4&lt;&gt;".",d_Irr!AV4&lt;&gt;".",d_Irr!BU4="."),d_dir!X4/((1/1000)*(d_Irr!W4+d_Irr!AV4)),IF(AND(d_Irr!W4&lt;&gt;".",d_Irr!AV4=".",d_Irr!BU4&lt;&gt;"."),d_dir!X4/((1/1000)*(d_Irr!W4+d_Irr!BU4)),IF(AND(d_Irr!W4=".",d_Irr!AV4&lt;&gt;".",d_Irr!BU4&lt;&gt;"."),d_dir!X4/((1/1000)*(d_Irr!AV4+d_Irr!BU4)),IF(AND(d_Irr!W4=".",d_Irr!AV4=".",d_Irr!BU4&lt;&gt;"."),d_dir!X4/((1/1000)*(d_Irr!BU4)),IF(AND(d_Irr!W4=".",d_Irr!AV4&lt;&gt;".",d_Irr!BU4="."),d_dir!X4/((1/1000)*(d_Irr!AV4)),IF(AND(d_Irr!W4&lt;&gt;".",d_Irr!AV4=".",d_Irr!BU4="."),d_dir!X4/((1/1000)*(d_Irr!W4)),IF(AND(d_Irr!W4=".",d_Irr!AV4=".",d_Irr!BU4="."),d_dir!X4*1000)))))))),".")</f>
        <v>.</v>
      </c>
      <c r="Y4" s="76" t="str">
        <f>IFERROR(IF(AND(d_Irr!X4&lt;&gt;".",d_Irr!AW4&lt;&gt;".",d_Irr!BV4&lt;&gt;"."),d_dir!Y4/((1/1000)*(d_Irr!X4+d_Irr!AW4+d_Irr!BV4)),IF(AND(d_Irr!X4&lt;&gt;".",d_Irr!AW4&lt;&gt;".",d_Irr!BV4="."),d_dir!Y4/((1/1000)*(d_Irr!X4+d_Irr!AW4)),IF(AND(d_Irr!X4&lt;&gt;".",d_Irr!AW4=".",d_Irr!BV4&lt;&gt;"."),d_dir!Y4/((1/1000)*(d_Irr!X4+d_Irr!BV4)),IF(AND(d_Irr!X4=".",d_Irr!AW4&lt;&gt;".",d_Irr!BV4&lt;&gt;"."),d_dir!Y4/((1/1000)*(d_Irr!AW4+d_Irr!BV4)),IF(AND(d_Irr!X4=".",d_Irr!AW4=".",d_Irr!BV4&lt;&gt;"."),d_dir!Y4/((1/1000)*(d_Irr!BV4)),IF(AND(d_Irr!X4=".",d_Irr!AW4&lt;&gt;".",d_Irr!BV4="."),d_dir!Y4/((1/1000)*(d_Irr!AW4)),IF(AND(d_Irr!X4&lt;&gt;".",d_Irr!AW4=".",d_Irr!BV4="."),d_dir!Y4/((1/1000)*(d_Irr!X4)),IF(AND(d_Irr!X4=".",d_Irr!AW4=".",d_Irr!BV4="."),d_dir!Y4*1000)))))))),".")</f>
        <v>.</v>
      </c>
      <c r="Z4" s="76" t="str">
        <f>IFERROR(IF(AND(d_Irr!Y4&lt;&gt;".",d_Irr!AX4&lt;&gt;".",d_Irr!BW4&lt;&gt;"."),d_dir!Z4/((1/1000)*(d_Irr!Y4+d_Irr!AX4+d_Irr!BW4)),IF(AND(d_Irr!Y4&lt;&gt;".",d_Irr!AX4&lt;&gt;".",d_Irr!BW4="."),d_dir!Z4/((1/1000)*(d_Irr!Y4+d_Irr!AX4)),IF(AND(d_Irr!Y4&lt;&gt;".",d_Irr!AX4=".",d_Irr!BW4&lt;&gt;"."),d_dir!Z4/((1/1000)*(d_Irr!Y4+d_Irr!BW4)),IF(AND(d_Irr!Y4=".",d_Irr!AX4&lt;&gt;".",d_Irr!BW4&lt;&gt;"."),d_dir!Z4/((1/1000)*(d_Irr!AX4+d_Irr!BW4)),IF(AND(d_Irr!Y4=".",d_Irr!AX4=".",d_Irr!BW4&lt;&gt;"."),d_dir!Z4/((1/1000)*(d_Irr!BW4)),IF(AND(d_Irr!Y4=".",d_Irr!AX4&lt;&gt;".",d_Irr!BW4="."),d_dir!Z4/((1/1000)*(d_Irr!AX4)),IF(AND(d_Irr!Y4&lt;&gt;".",d_Irr!AX4=".",d_Irr!BW4="."),d_dir!Z4/((1/1000)*(d_Irr!Y4)),IF(AND(d_Irr!Y4=".",d_Irr!AX4=".",d_Irr!BW4="."),d_dir!Z4*1000)))))))),".")</f>
        <v>.</v>
      </c>
      <c r="AA4" s="76" t="str">
        <f>IFERROR(IF(AND(d_Irr!Z4&lt;&gt;".",d_Irr!AY4&lt;&gt;".",d_Irr!BX4&lt;&gt;"."),d_dir!AA4/((1/1000)*(d_Irr!Z4+d_Irr!AY4+d_Irr!BX4)),IF(AND(d_Irr!Z4&lt;&gt;".",d_Irr!AY4&lt;&gt;".",d_Irr!BX4="."),d_dir!AA4/((1/1000)*(d_Irr!Z4+d_Irr!AY4)),IF(AND(d_Irr!Z4&lt;&gt;".",d_Irr!AY4=".",d_Irr!BX4&lt;&gt;"."),d_dir!AA4/((1/1000)*(d_Irr!Z4+d_Irr!BX4)),IF(AND(d_Irr!Z4=".",d_Irr!AY4&lt;&gt;".",d_Irr!BX4&lt;&gt;"."),d_dir!AA4/((1/1000)*(d_Irr!AY4+d_Irr!BX4)),IF(AND(d_Irr!Z4=".",d_Irr!AY4=".",d_Irr!BX4&lt;&gt;"."),d_dir!AA4/((1/1000)*(d_Irr!BX4)),IF(AND(d_Irr!Z4=".",d_Irr!AY4&lt;&gt;".",d_Irr!BX4="."),d_dir!AA4/((1/1000)*(d_Irr!AY4)),IF(AND(d_Irr!Z4&lt;&gt;".",d_Irr!AY4=".",d_Irr!BX4="."),d_dir!AA4/((1/1000)*(d_Irr!Z4)),IF(AND(d_Irr!Z4=".",d_Irr!AY4=".",d_Irr!BX4="."),d_dir!AA4*1000)))))))),".")</f>
        <v>.</v>
      </c>
      <c r="AB4" s="76" t="str">
        <f>IFERROR(IF(AND(d_Irr!AA4&lt;&gt;".",d_Irr!AZ4&lt;&gt;".",d_Irr!BY4&lt;&gt;"."),d_dir!AB4/((1/1000)*(d_Irr!AA4+d_Irr!AZ4+d_Irr!BY4)),IF(AND(d_Irr!AA4&lt;&gt;".",d_Irr!AZ4&lt;&gt;".",d_Irr!BY4="."),d_dir!AB4/((1/1000)*(d_Irr!AA4+d_Irr!AZ4)),IF(AND(d_Irr!AA4&lt;&gt;".",d_Irr!AZ4=".",d_Irr!BY4&lt;&gt;"."),d_dir!AB4/((1/1000)*(d_Irr!AA4+d_Irr!BY4)),IF(AND(d_Irr!AA4=".",d_Irr!AZ4&lt;&gt;".",d_Irr!BY4&lt;&gt;"."),d_dir!AB4/((1/1000)*(d_Irr!AZ4+d_Irr!BY4)),IF(AND(d_Irr!AA4=".",d_Irr!AZ4=".",d_Irr!BY4&lt;&gt;"."),d_dir!AB4/((1/1000)*(d_Irr!BY4)),IF(AND(d_Irr!AA4=".",d_Irr!AZ4&lt;&gt;".",d_Irr!BY4="."),d_dir!AB4/((1/1000)*(d_Irr!AZ4)),IF(AND(d_Irr!AA4&lt;&gt;".",d_Irr!AZ4=".",d_Irr!BY4="."),d_dir!AB4/((1/1000)*(d_Irr!AA4)),IF(AND(d_Irr!AA4=".",d_Irr!AZ4=".",d_Irr!BY4="."),d_dir!AB4*1000)))))))),".")</f>
        <v>.</v>
      </c>
      <c r="AC4" s="76" t="str">
        <f t="shared" si="0"/>
        <v>.</v>
      </c>
      <c r="AD4" s="76" t="str">
        <f>IFERROR(IF(AND(d_Irr!C4&lt;&gt;".",d_Irr!AB4&lt;&gt;".",d_Irr!BA4&lt;&gt;"."),d_dir!AD4/((1/1000)*(d_Irr!C4+d_Irr!AB4+d_Irr!BA4)),IF(AND(d_Irr!C4&lt;&gt;".",d_Irr!AB4&lt;&gt;".",d_Irr!BA4="."),d_dir!AD4/((1/1000)*(d_Irr!C4+d_Irr!AB4)),IF(AND(d_Irr!C4&lt;&gt;".",d_Irr!AB4=".",d_Irr!BA4&lt;&gt;"."),d_dir!AD4/((1/1000)*(d_Irr!C4+d_Irr!BA4)),IF(AND(d_Irr!C4=".",d_Irr!AB4&lt;&gt;".",d_Irr!BA4&lt;&gt;"."),d_dir!AD4/((1/1000)*(d_Irr!AB4+d_Irr!BA4)),IF(AND(d_Irr!C4=".",d_Irr!AB4=".",d_Irr!BA4&lt;&gt;"."),d_dir!AD4/((1/1000)*(d_Irr!BA4)),IF(AND(d_Irr!C4=".",d_Irr!AB4&lt;&gt;".",d_Irr!BA4="."),d_dir!AD4/((1/1000)*(d_Irr!AB4)),IF(AND(d_Irr!C4&lt;&gt;".",d_Irr!AB4=".",d_Irr!BA4="."),d_dir!AD4/((1/1000)*(d_Irr!C4)),IF(AND(d_Irr!C4=".",d_Irr!AB4=".",d_Irr!BA4="."),d_dir!AD4*1000)))))))),".")</f>
        <v>.</v>
      </c>
      <c r="AE4" s="76" t="str">
        <f>IFERROR(IF(AND(d_Irr!D4&lt;&gt;".",d_Irr!AC4&lt;&gt;".",d_Irr!BB4&lt;&gt;"."),d_dir!AE4/((1/1000)*(d_Irr!D4+d_Irr!AC4+d_Irr!BB4)),IF(AND(d_Irr!D4&lt;&gt;".",d_Irr!AC4&lt;&gt;".",d_Irr!BB4="."),d_dir!AE4/((1/1000)*(d_Irr!D4+d_Irr!AC4)),IF(AND(d_Irr!D4&lt;&gt;".",d_Irr!AC4=".",d_Irr!BB4&lt;&gt;"."),d_dir!AE4/((1/1000)*(d_Irr!D4+d_Irr!BB4)),IF(AND(d_Irr!D4=".",d_Irr!AC4&lt;&gt;".",d_Irr!BB4&lt;&gt;"."),d_dir!AE4/((1/1000)*(d_Irr!AC4+d_Irr!BB4)),IF(AND(d_Irr!D4=".",d_Irr!AC4=".",d_Irr!BB4&lt;&gt;"."),d_dir!AE4/((1/1000)*(d_Irr!BB4)),IF(AND(d_Irr!D4=".",d_Irr!AC4&lt;&gt;".",d_Irr!BB4="."),d_dir!AE4/((1/1000)*(d_Irr!AC4)),IF(AND(d_Irr!D4&lt;&gt;".",d_Irr!AC4=".",d_Irr!BB4="."),d_dir!AE4/((1/1000)*(d_Irr!D4)),IF(AND(d_Irr!D4=".",d_Irr!AC4=".",d_Irr!BB4="."),d_dir!AE4*1000)))))))),".")</f>
        <v>.</v>
      </c>
      <c r="AF4" s="76" t="str">
        <f>IFERROR(IF(AND(d_Irr!E4&lt;&gt;".",d_Irr!AD4&lt;&gt;".",d_Irr!BC4&lt;&gt;"."),d_dir!AF4/((1/1000)*(d_Irr!E4+d_Irr!AD4+d_Irr!BC4)),IF(AND(d_Irr!E4&lt;&gt;".",d_Irr!AD4&lt;&gt;".",d_Irr!BC4="."),d_dir!AF4/((1/1000)*(d_Irr!E4+d_Irr!AD4)),IF(AND(d_Irr!E4&lt;&gt;".",d_Irr!AD4=".",d_Irr!BC4&lt;&gt;"."),d_dir!AF4/((1/1000)*(d_Irr!E4+d_Irr!BC4)),IF(AND(d_Irr!E4=".",d_Irr!AD4&lt;&gt;".",d_Irr!BC4&lt;&gt;"."),d_dir!AF4/((1/1000)*(d_Irr!AD4+d_Irr!BC4)),IF(AND(d_Irr!E4=".",d_Irr!AD4=".",d_Irr!BC4&lt;&gt;"."),d_dir!AF4/((1/1000)*(d_Irr!BC4)),IF(AND(d_Irr!E4=".",d_Irr!AD4&lt;&gt;".",d_Irr!BC4="."),d_dir!AF4/((1/1000)*(d_Irr!AD4)),IF(AND(d_Irr!E4&lt;&gt;".",d_Irr!AD4=".",d_Irr!BC4="."),d_dir!AF4/((1/1000)*(d_Irr!E4)),IF(AND(d_Irr!E4=".",d_Irr!AD4=".",d_Irr!BC4="."),d_dir!AF4*1000)))))))),".")</f>
        <v>.</v>
      </c>
      <c r="AG4" s="76" t="str">
        <f>IFERROR(IF(AND(d_Irr!F4&lt;&gt;".",d_Irr!AE4&lt;&gt;".",d_Irr!BD4&lt;&gt;"."),d_dir!AG4/((1/1000)*(d_Irr!F4+d_Irr!AE4+d_Irr!BD4)),IF(AND(d_Irr!F4&lt;&gt;".",d_Irr!AE4&lt;&gt;".",d_Irr!BD4="."),d_dir!AG4/((1/1000)*(d_Irr!F4+d_Irr!AE4)),IF(AND(d_Irr!F4&lt;&gt;".",d_Irr!AE4=".",d_Irr!BD4&lt;&gt;"."),d_dir!AG4/((1/1000)*(d_Irr!F4+d_Irr!BD4)),IF(AND(d_Irr!F4=".",d_Irr!AE4&lt;&gt;".",d_Irr!BD4&lt;&gt;"."),d_dir!AG4/((1/1000)*(d_Irr!AE4+d_Irr!BD4)),IF(AND(d_Irr!F4=".",d_Irr!AE4=".",d_Irr!BD4&lt;&gt;"."),d_dir!AG4/((1/1000)*(d_Irr!BD4)),IF(AND(d_Irr!F4=".",d_Irr!AE4&lt;&gt;".",d_Irr!BD4="."),d_dir!AG4/((1/1000)*(d_Irr!AE4)),IF(AND(d_Irr!F4&lt;&gt;".",d_Irr!AE4=".",d_Irr!BD4="."),d_dir!AG4/((1/1000)*(d_Irr!F4)),IF(AND(d_Irr!F4=".",d_Irr!AE4=".",d_Irr!BD4="."),d_dir!AG4*1000)))))))),".")</f>
        <v>.</v>
      </c>
      <c r="AH4" s="76" t="str">
        <f>IFERROR(IF(AND(d_Irr!G4&lt;&gt;".",d_Irr!AF4&lt;&gt;".",d_Irr!BE4&lt;&gt;"."),d_dir!AH4/((1/1000)*(d_Irr!G4+d_Irr!AF4+d_Irr!BE4)),IF(AND(d_Irr!G4&lt;&gt;".",d_Irr!AF4&lt;&gt;".",d_Irr!BE4="."),d_dir!AH4/((1/1000)*(d_Irr!G4+d_Irr!AF4)),IF(AND(d_Irr!G4&lt;&gt;".",d_Irr!AF4=".",d_Irr!BE4&lt;&gt;"."),d_dir!AH4/((1/1000)*(d_Irr!G4+d_Irr!BE4)),IF(AND(d_Irr!G4=".",d_Irr!AF4&lt;&gt;".",d_Irr!BE4&lt;&gt;"."),d_dir!AH4/((1/1000)*(d_Irr!AF4+d_Irr!BE4)),IF(AND(d_Irr!G4=".",d_Irr!AF4=".",d_Irr!BE4&lt;&gt;"."),d_dir!AH4/((1/1000)*(d_Irr!BE4)),IF(AND(d_Irr!G4=".",d_Irr!AF4&lt;&gt;".",d_Irr!BE4="."),d_dir!AH4/((1/1000)*(d_Irr!AF4)),IF(AND(d_Irr!G4&lt;&gt;".",d_Irr!AF4=".",d_Irr!BE4="."),d_dir!AH4/((1/1000)*(d_Irr!G4)),IF(AND(d_Irr!G4=".",d_Irr!AF4=".",d_Irr!BE4="."),d_dir!AH4*1000)))))))),".")</f>
        <v>.</v>
      </c>
      <c r="AI4" s="76" t="str">
        <f>IFERROR(IF(AND(d_Irr!H4&lt;&gt;".",d_Irr!AG4&lt;&gt;".",d_Irr!BF4&lt;&gt;"."),d_dir!AI4/((1/1000)*(d_Irr!H4+d_Irr!AG4+d_Irr!BF4)),IF(AND(d_Irr!H4&lt;&gt;".",d_Irr!AG4&lt;&gt;".",d_Irr!BF4="."),d_dir!AI4/((1/1000)*(d_Irr!H4+d_Irr!AG4)),IF(AND(d_Irr!H4&lt;&gt;".",d_Irr!AG4=".",d_Irr!BF4&lt;&gt;"."),d_dir!AI4/((1/1000)*(d_Irr!H4+d_Irr!BF4)),IF(AND(d_Irr!H4=".",d_Irr!AG4&lt;&gt;".",d_Irr!BF4&lt;&gt;"."),d_dir!AI4/((1/1000)*(d_Irr!AG4+d_Irr!BF4)),IF(AND(d_Irr!H4=".",d_Irr!AG4=".",d_Irr!BF4&lt;&gt;"."),d_dir!AI4/((1/1000)*(d_Irr!BF4)),IF(AND(d_Irr!H4=".",d_Irr!AG4&lt;&gt;".",d_Irr!BF4="."),d_dir!AI4/((1/1000)*(d_Irr!AG4)),IF(AND(d_Irr!H4&lt;&gt;".",d_Irr!AG4=".",d_Irr!BF4="."),d_dir!AI4/((1/1000)*(d_Irr!H4)),IF(AND(d_Irr!H4=".",d_Irr!AG4=".",d_Irr!BF4="."),d_dir!AI4*1000)))))))),".")</f>
        <v>.</v>
      </c>
      <c r="AJ4" s="76" t="str">
        <f>IFERROR(IF(AND(d_Irr!I4&lt;&gt;".",d_Irr!AH4&lt;&gt;".",d_Irr!BG4&lt;&gt;"."),d_dir!AJ4/((1/1000)*(d_Irr!I4+d_Irr!AH4+d_Irr!BG4)),IF(AND(d_Irr!I4&lt;&gt;".",d_Irr!AH4&lt;&gt;".",d_Irr!BG4="."),d_dir!AJ4/((1/1000)*(d_Irr!I4+d_Irr!AH4)),IF(AND(d_Irr!I4&lt;&gt;".",d_Irr!AH4=".",d_Irr!BG4&lt;&gt;"."),d_dir!AJ4/((1/1000)*(d_Irr!I4+d_Irr!BG4)),IF(AND(d_Irr!I4=".",d_Irr!AH4&lt;&gt;".",d_Irr!BG4&lt;&gt;"."),d_dir!AJ4/((1/1000)*(d_Irr!AH4+d_Irr!BG4)),IF(AND(d_Irr!I4=".",d_Irr!AH4=".",d_Irr!BG4&lt;&gt;"."),d_dir!AJ4/((1/1000)*(d_Irr!BG4)),IF(AND(d_Irr!I4=".",d_Irr!AH4&lt;&gt;".",d_Irr!BG4="."),d_dir!AJ4/((1/1000)*(d_Irr!AH4)),IF(AND(d_Irr!I4&lt;&gt;".",d_Irr!AH4=".",d_Irr!BG4="."),d_dir!AJ4/((1/1000)*(d_Irr!I4)),IF(AND(d_Irr!I4=".",d_Irr!AH4=".",d_Irr!BG4="."),d_dir!AJ4*1000)))))))),".")</f>
        <v>.</v>
      </c>
      <c r="AK4" s="76" t="str">
        <f>IFERROR(IF(AND(d_Irr!J4&lt;&gt;".",d_Irr!AI4&lt;&gt;".",d_Irr!BH4&lt;&gt;"."),d_dir!AK4/((1/1000)*(d_Irr!J4+d_Irr!AI4+d_Irr!BH4)),IF(AND(d_Irr!J4&lt;&gt;".",d_Irr!AI4&lt;&gt;".",d_Irr!BH4="."),d_dir!AK4/((1/1000)*(d_Irr!J4+d_Irr!AI4)),IF(AND(d_Irr!J4&lt;&gt;".",d_Irr!AI4=".",d_Irr!BH4&lt;&gt;"."),d_dir!AK4/((1/1000)*(d_Irr!J4+d_Irr!BH4)),IF(AND(d_Irr!J4=".",d_Irr!AI4&lt;&gt;".",d_Irr!BH4&lt;&gt;"."),d_dir!AK4/((1/1000)*(d_Irr!AI4+d_Irr!BH4)),IF(AND(d_Irr!J4=".",d_Irr!AI4=".",d_Irr!BH4&lt;&gt;"."),d_dir!AK4/((1/1000)*(d_Irr!BH4)),IF(AND(d_Irr!J4=".",d_Irr!AI4&lt;&gt;".",d_Irr!BH4="."),d_dir!AK4/((1/1000)*(d_Irr!AI4)),IF(AND(d_Irr!J4&lt;&gt;".",d_Irr!AI4=".",d_Irr!BH4="."),d_dir!AK4/((1/1000)*(d_Irr!J4)),IF(AND(d_Irr!J4=".",d_Irr!AI4=".",d_Irr!BH4="."),d_dir!AK4*1000)))))))),".")</f>
        <v>.</v>
      </c>
      <c r="AL4" s="76" t="str">
        <f>IFERROR(IF(AND(d_Irr!K4&lt;&gt;".",d_Irr!AJ4&lt;&gt;".",d_Irr!BI4&lt;&gt;"."),d_dir!AL4/((1/1000)*(d_Irr!K4+d_Irr!AJ4+d_Irr!BI4)),IF(AND(d_Irr!K4&lt;&gt;".",d_Irr!AJ4&lt;&gt;".",d_Irr!BI4="."),d_dir!AL4/((1/1000)*(d_Irr!K4+d_Irr!AJ4)),IF(AND(d_Irr!K4&lt;&gt;".",d_Irr!AJ4=".",d_Irr!BI4&lt;&gt;"."),d_dir!AL4/((1/1000)*(d_Irr!K4+d_Irr!BI4)),IF(AND(d_Irr!K4=".",d_Irr!AJ4&lt;&gt;".",d_Irr!BI4&lt;&gt;"."),d_dir!AL4/((1/1000)*(d_Irr!AJ4+d_Irr!BI4)),IF(AND(d_Irr!K4=".",d_Irr!AJ4=".",d_Irr!BI4&lt;&gt;"."),d_dir!AL4/((1/1000)*(d_Irr!BI4)),IF(AND(d_Irr!K4=".",d_Irr!AJ4&lt;&gt;".",d_Irr!BI4="."),d_dir!AL4/((1/1000)*(d_Irr!AJ4)),IF(AND(d_Irr!K4&lt;&gt;".",d_Irr!AJ4=".",d_Irr!BI4="."),d_dir!AL4/((1/1000)*(d_Irr!K4)),IF(AND(d_Irr!K4=".",d_Irr!AJ4=".",d_Irr!BI4="."),d_dir!AL4*1000)))))))),".")</f>
        <v>.</v>
      </c>
      <c r="AM4" s="76" t="str">
        <f>IFERROR(IF(AND(d_Irr!L4&lt;&gt;".",d_Irr!AK4&lt;&gt;".",d_Irr!BJ4&lt;&gt;"."),d_dir!AM4/((1/1000)*(d_Irr!L4+d_Irr!AK4+d_Irr!BJ4)),IF(AND(d_Irr!L4&lt;&gt;".",d_Irr!AK4&lt;&gt;".",d_Irr!BJ4="."),d_dir!AM4/((1/1000)*(d_Irr!L4+d_Irr!AK4)),IF(AND(d_Irr!L4&lt;&gt;".",d_Irr!AK4=".",d_Irr!BJ4&lt;&gt;"."),d_dir!AM4/((1/1000)*(d_Irr!L4+d_Irr!BJ4)),IF(AND(d_Irr!L4=".",d_Irr!AK4&lt;&gt;".",d_Irr!BJ4&lt;&gt;"."),d_dir!AM4/((1/1000)*(d_Irr!AK4+d_Irr!BJ4)),IF(AND(d_Irr!L4=".",d_Irr!AK4=".",d_Irr!BJ4&lt;&gt;"."),d_dir!AM4/((1/1000)*(d_Irr!BJ4)),IF(AND(d_Irr!L4=".",d_Irr!AK4&lt;&gt;".",d_Irr!BJ4="."),d_dir!AM4/((1/1000)*(d_Irr!AK4)),IF(AND(d_Irr!L4&lt;&gt;".",d_Irr!AK4=".",d_Irr!BJ4="."),d_dir!AM4/((1/1000)*(d_Irr!L4)),IF(AND(d_Irr!L4=".",d_Irr!AK4=".",d_Irr!BJ4="."),d_dir!AM4*1000)))))))),".")</f>
        <v>.</v>
      </c>
      <c r="AN4" s="76" t="str">
        <f>IFERROR(IF(AND(d_Irr!M4&lt;&gt;".",d_Irr!AL4&lt;&gt;".",d_Irr!BK4&lt;&gt;"."),d_dir!AN4/((1/1000)*(d_Irr!M4+d_Irr!AL4+d_Irr!BK4)),IF(AND(d_Irr!M4&lt;&gt;".",d_Irr!AL4&lt;&gt;".",d_Irr!BK4="."),d_dir!AN4/((1/1000)*(d_Irr!M4+d_Irr!AL4)),IF(AND(d_Irr!M4&lt;&gt;".",d_Irr!AL4=".",d_Irr!BK4&lt;&gt;"."),d_dir!AN4/((1/1000)*(d_Irr!M4+d_Irr!BK4)),IF(AND(d_Irr!M4=".",d_Irr!AL4&lt;&gt;".",d_Irr!BK4&lt;&gt;"."),d_dir!AN4/((1/1000)*(d_Irr!AL4+d_Irr!BK4)),IF(AND(d_Irr!M4=".",d_Irr!AL4=".",d_Irr!BK4&lt;&gt;"."),d_dir!AN4/((1/1000)*(d_Irr!BK4)),IF(AND(d_Irr!M4=".",d_Irr!AL4&lt;&gt;".",d_Irr!BK4="."),d_dir!AN4/((1/1000)*(d_Irr!AL4)),IF(AND(d_Irr!M4&lt;&gt;".",d_Irr!AL4=".",d_Irr!BK4="."),d_dir!AN4/((1/1000)*(d_Irr!M4)),IF(AND(d_Irr!M4=".",d_Irr!AL4=".",d_Irr!BK4="."),d_dir!AN4*1000)))))))),".")</f>
        <v>.</v>
      </c>
      <c r="AO4" s="76" t="str">
        <f>IFERROR(IF(AND(d_Irr!N4&lt;&gt;".",d_Irr!AM4&lt;&gt;".",d_Irr!BL4&lt;&gt;"."),d_dir!AO4/((1/1000)*(d_Irr!N4+d_Irr!AM4+d_Irr!BL4)),IF(AND(d_Irr!N4&lt;&gt;".",d_Irr!AM4&lt;&gt;".",d_Irr!BL4="."),d_dir!AO4/((1/1000)*(d_Irr!N4+d_Irr!AM4)),IF(AND(d_Irr!N4&lt;&gt;".",d_Irr!AM4=".",d_Irr!BL4&lt;&gt;"."),d_dir!AO4/((1/1000)*(d_Irr!N4+d_Irr!BL4)),IF(AND(d_Irr!N4=".",d_Irr!AM4&lt;&gt;".",d_Irr!BL4&lt;&gt;"."),d_dir!AO4/((1/1000)*(d_Irr!AM4+d_Irr!BL4)),IF(AND(d_Irr!N4=".",d_Irr!AM4=".",d_Irr!BL4&lt;&gt;"."),d_dir!AO4/((1/1000)*(d_Irr!BL4)),IF(AND(d_Irr!N4=".",d_Irr!AM4&lt;&gt;".",d_Irr!BL4="."),d_dir!AO4/((1/1000)*(d_Irr!AM4)),IF(AND(d_Irr!N4&lt;&gt;".",d_Irr!AM4=".",d_Irr!BL4="."),d_dir!AO4/((1/1000)*(d_Irr!N4)),IF(AND(d_Irr!N4=".",d_Irr!AM4=".",d_Irr!BL4="."),d_dir!AO4*1000)))))))),".")</f>
        <v>.</v>
      </c>
      <c r="AP4" s="76" t="str">
        <f>IFERROR(IF(AND(d_Irr!O4&lt;&gt;".",d_Irr!AN4&lt;&gt;".",d_Irr!BM4&lt;&gt;"."),d_dir!AP4/((1/1000)*(d_Irr!O4+d_Irr!AN4+d_Irr!BM4)),IF(AND(d_Irr!O4&lt;&gt;".",d_Irr!AN4&lt;&gt;".",d_Irr!BM4="."),d_dir!AP4/((1/1000)*(d_Irr!O4+d_Irr!AN4)),IF(AND(d_Irr!O4&lt;&gt;".",d_Irr!AN4=".",d_Irr!BM4&lt;&gt;"."),d_dir!AP4/((1/1000)*(d_Irr!O4+d_Irr!BM4)),IF(AND(d_Irr!O4=".",d_Irr!AN4&lt;&gt;".",d_Irr!BM4&lt;&gt;"."),d_dir!AP4/((1/1000)*(d_Irr!AN4+d_Irr!BM4)),IF(AND(d_Irr!O4=".",d_Irr!AN4=".",d_Irr!BM4&lt;&gt;"."),d_dir!AP4/((1/1000)*(d_Irr!BM4)),IF(AND(d_Irr!O4=".",d_Irr!AN4&lt;&gt;".",d_Irr!BM4="."),d_dir!AP4/((1/1000)*(d_Irr!AN4)),IF(AND(d_Irr!O4&lt;&gt;".",d_Irr!AN4=".",d_Irr!BM4="."),d_dir!AP4/((1/1000)*(d_Irr!O4)),IF(AND(d_Irr!O4=".",d_Irr!AN4=".",d_Irr!BM4="."),d_dir!AP4*1000)))))))),".")</f>
        <v>.</v>
      </c>
      <c r="AQ4" s="76" t="str">
        <f>IFERROR(IF(AND(d_Irr!P4&lt;&gt;".",d_Irr!AO4&lt;&gt;".",d_Irr!BN4&lt;&gt;"."),d_dir!AQ4/((1/1000)*(d_Irr!P4+d_Irr!AO4+d_Irr!BN4)),IF(AND(d_Irr!P4&lt;&gt;".",d_Irr!AO4&lt;&gt;".",d_Irr!BN4="."),d_dir!AQ4/((1/1000)*(d_Irr!P4+d_Irr!AO4)),IF(AND(d_Irr!P4&lt;&gt;".",d_Irr!AO4=".",d_Irr!BN4&lt;&gt;"."),d_dir!AQ4/((1/1000)*(d_Irr!P4+d_Irr!BN4)),IF(AND(d_Irr!P4=".",d_Irr!AO4&lt;&gt;".",d_Irr!BN4&lt;&gt;"."),d_dir!AQ4/((1/1000)*(d_Irr!AO4+d_Irr!BN4)),IF(AND(d_Irr!P4=".",d_Irr!AO4=".",d_Irr!BN4&lt;&gt;"."),d_dir!AQ4/((1/1000)*(d_Irr!BN4)),IF(AND(d_Irr!P4=".",d_Irr!AO4&lt;&gt;".",d_Irr!BN4="."),d_dir!AQ4/((1/1000)*(d_Irr!AO4)),IF(AND(d_Irr!P4&lt;&gt;".",d_Irr!AO4=".",d_Irr!BN4="."),d_dir!AQ4/((1/1000)*(d_Irr!P4)),IF(AND(d_Irr!P4=".",d_Irr!AO4=".",d_Irr!BN4="."),d_dir!AQ4*1000)))))))),".")</f>
        <v>.</v>
      </c>
      <c r="AR4" s="76" t="str">
        <f>IFERROR(IF(AND(d_Irr!Q4&lt;&gt;".",d_Irr!AP4&lt;&gt;".",d_Irr!BO4&lt;&gt;"."),d_dir!AR4/((1/1000)*(d_Irr!Q4+d_Irr!AP4+d_Irr!BO4)),IF(AND(d_Irr!Q4&lt;&gt;".",d_Irr!AP4&lt;&gt;".",d_Irr!BO4="."),d_dir!AR4/((1/1000)*(d_Irr!Q4+d_Irr!AP4)),IF(AND(d_Irr!Q4&lt;&gt;".",d_Irr!AP4=".",d_Irr!BO4&lt;&gt;"."),d_dir!AR4/((1/1000)*(d_Irr!Q4+d_Irr!BO4)),IF(AND(d_Irr!Q4=".",d_Irr!AP4&lt;&gt;".",d_Irr!BO4&lt;&gt;"."),d_dir!AR4/((1/1000)*(d_Irr!AP4+d_Irr!BO4)),IF(AND(d_Irr!Q4=".",d_Irr!AP4=".",d_Irr!BO4&lt;&gt;"."),d_dir!AR4/((1/1000)*(d_Irr!BO4)),IF(AND(d_Irr!Q4=".",d_Irr!AP4&lt;&gt;".",d_Irr!BO4="."),d_dir!AR4/((1/1000)*(d_Irr!AP4)),IF(AND(d_Irr!Q4&lt;&gt;".",d_Irr!AP4=".",d_Irr!BO4="."),d_dir!AR4/((1/1000)*(d_Irr!Q4)),IF(AND(d_Irr!Q4=".",d_Irr!AP4=".",d_Irr!BO4="."),d_dir!AR4*1000)))))))),".")</f>
        <v>.</v>
      </c>
      <c r="AS4" s="76" t="str">
        <f>IFERROR(IF(AND(d_Irr!R4&lt;&gt;".",d_Irr!AQ4&lt;&gt;".",d_Irr!BP4&lt;&gt;"."),d_dir!AS4/((1/1000)*(d_Irr!R4+d_Irr!AQ4+d_Irr!BP4)),IF(AND(d_Irr!R4&lt;&gt;".",d_Irr!AQ4&lt;&gt;".",d_Irr!BP4="."),d_dir!AS4/((1/1000)*(d_Irr!R4+d_Irr!AQ4)),IF(AND(d_Irr!R4&lt;&gt;".",d_Irr!AQ4=".",d_Irr!BP4&lt;&gt;"."),d_dir!AS4/((1/1000)*(d_Irr!R4+d_Irr!BP4)),IF(AND(d_Irr!R4=".",d_Irr!AQ4&lt;&gt;".",d_Irr!BP4&lt;&gt;"."),d_dir!AS4/((1/1000)*(d_Irr!AQ4+d_Irr!BP4)),IF(AND(d_Irr!R4=".",d_Irr!AQ4=".",d_Irr!BP4&lt;&gt;"."),d_dir!AS4/((1/1000)*(d_Irr!BP4)),IF(AND(d_Irr!R4=".",d_Irr!AQ4&lt;&gt;".",d_Irr!BP4="."),d_dir!AS4/((1/1000)*(d_Irr!AQ4)),IF(AND(d_Irr!R4&lt;&gt;".",d_Irr!AQ4=".",d_Irr!BP4="."),d_dir!AS4/((1/1000)*(d_Irr!R4)),IF(AND(d_Irr!R4=".",d_Irr!AQ4=".",d_Irr!BP4="."),d_dir!AS4*1000)))))))),".")</f>
        <v>.</v>
      </c>
      <c r="AT4" s="76" t="str">
        <f>IFERROR(IF(AND(d_Irr!S4&lt;&gt;".",d_Irr!AR4&lt;&gt;".",d_Irr!BQ4&lt;&gt;"."),d_dir!AT4/((1/1000)*(d_Irr!S4+d_Irr!AR4+d_Irr!BQ4)),IF(AND(d_Irr!S4&lt;&gt;".",d_Irr!AR4&lt;&gt;".",d_Irr!BQ4="."),d_dir!AT4/((1/1000)*(d_Irr!S4+d_Irr!AR4)),IF(AND(d_Irr!S4&lt;&gt;".",d_Irr!AR4=".",d_Irr!BQ4&lt;&gt;"."),d_dir!AT4/((1/1000)*(d_Irr!S4+d_Irr!BQ4)),IF(AND(d_Irr!S4=".",d_Irr!AR4&lt;&gt;".",d_Irr!BQ4&lt;&gt;"."),d_dir!AT4/((1/1000)*(d_Irr!AR4+d_Irr!BQ4)),IF(AND(d_Irr!S4=".",d_Irr!AR4=".",d_Irr!BQ4&lt;&gt;"."),d_dir!AT4/((1/1000)*(d_Irr!BQ4)),IF(AND(d_Irr!S4=".",d_Irr!AR4&lt;&gt;".",d_Irr!BQ4="."),d_dir!AT4/((1/1000)*(d_Irr!AR4)),IF(AND(d_Irr!S4&lt;&gt;".",d_Irr!AR4=".",d_Irr!BQ4="."),d_dir!AT4/((1/1000)*(d_Irr!S4)),IF(AND(d_Irr!S4=".",d_Irr!AR4=".",d_Irr!BQ4="."),d_dir!AT4*1000)))))))),".")</f>
        <v>.</v>
      </c>
      <c r="AU4" s="76" t="str">
        <f>IFERROR(IF(AND(d_Irr!T4&lt;&gt;".",d_Irr!AS4&lt;&gt;".",d_Irr!BR4&lt;&gt;"."),d_dir!AU4/((1/1000)*(d_Irr!T4+d_Irr!AS4+d_Irr!BR4)),IF(AND(d_Irr!T4&lt;&gt;".",d_Irr!AS4&lt;&gt;".",d_Irr!BR4="."),d_dir!AU4/((1/1000)*(d_Irr!T4+d_Irr!AS4)),IF(AND(d_Irr!T4&lt;&gt;".",d_Irr!AS4=".",d_Irr!BR4&lt;&gt;"."),d_dir!AU4/((1/1000)*(d_Irr!T4+d_Irr!BR4)),IF(AND(d_Irr!T4=".",d_Irr!AS4&lt;&gt;".",d_Irr!BR4&lt;&gt;"."),d_dir!AU4/((1/1000)*(d_Irr!AS4+d_Irr!BR4)),IF(AND(d_Irr!T4=".",d_Irr!AS4=".",d_Irr!BR4&lt;&gt;"."),d_dir!AU4/((1/1000)*(d_Irr!BR4)),IF(AND(d_Irr!T4=".",d_Irr!AS4&lt;&gt;".",d_Irr!BR4="."),d_dir!AU4/((1/1000)*(d_Irr!AS4)),IF(AND(d_Irr!T4&lt;&gt;".",d_Irr!AS4=".",d_Irr!BR4="."),d_dir!AU4/((1/1000)*(d_Irr!T4)),IF(AND(d_Irr!T4=".",d_Irr!AS4=".",d_Irr!BR4="."),d_dir!AU4*1000)))))))),".")</f>
        <v>.</v>
      </c>
      <c r="AV4" s="76" t="str">
        <f>IFERROR(IF(AND(d_Irr!U4&lt;&gt;".",d_Irr!AT4&lt;&gt;".",d_Irr!BS4&lt;&gt;"."),d_dir!AV4/((1/1000)*(d_Irr!U4+d_Irr!AT4+d_Irr!BS4)),IF(AND(d_Irr!U4&lt;&gt;".",d_Irr!AT4&lt;&gt;".",d_Irr!BS4="."),d_dir!AV4/((1/1000)*(d_Irr!U4+d_Irr!AT4)),IF(AND(d_Irr!U4&lt;&gt;".",d_Irr!AT4=".",d_Irr!BS4&lt;&gt;"."),d_dir!AV4/((1/1000)*(d_Irr!U4+d_Irr!BS4)),IF(AND(d_Irr!U4=".",d_Irr!AT4&lt;&gt;".",d_Irr!BS4&lt;&gt;"."),d_dir!AV4/((1/1000)*(d_Irr!AT4+d_Irr!BS4)),IF(AND(d_Irr!U4=".",d_Irr!AT4=".",d_Irr!BS4&lt;&gt;"."),d_dir!AV4/((1/1000)*(d_Irr!BS4)),IF(AND(d_Irr!U4=".",d_Irr!AT4&lt;&gt;".",d_Irr!BS4="."),d_dir!AV4/((1/1000)*(d_Irr!AT4)),IF(AND(d_Irr!U4&lt;&gt;".",d_Irr!AT4=".",d_Irr!BS4="."),d_dir!AV4/((1/1000)*(d_Irr!U4)),IF(AND(d_Irr!U4=".",d_Irr!AT4=".",d_Irr!BS4="."),d_dir!AV4*1000)))))))),".")</f>
        <v>.</v>
      </c>
      <c r="AW4" s="76" t="str">
        <f>IFERROR(IF(AND(d_Irr!V4&lt;&gt;".",d_Irr!AU4&lt;&gt;".",d_Irr!BT4&lt;&gt;"."),d_dir!AW4/((1/1000)*(d_Irr!V4+d_Irr!AU4+d_Irr!BT4)),IF(AND(d_Irr!V4&lt;&gt;".",d_Irr!AU4&lt;&gt;".",d_Irr!BT4="."),d_dir!AW4/((1/1000)*(d_Irr!V4+d_Irr!AU4)),IF(AND(d_Irr!V4&lt;&gt;".",d_Irr!AU4=".",d_Irr!BT4&lt;&gt;"."),d_dir!AW4/((1/1000)*(d_Irr!V4+d_Irr!BT4)),IF(AND(d_Irr!V4=".",d_Irr!AU4&lt;&gt;".",d_Irr!BT4&lt;&gt;"."),d_dir!AW4/((1/1000)*(d_Irr!AU4+d_Irr!BT4)),IF(AND(d_Irr!V4=".",d_Irr!AU4=".",d_Irr!BT4&lt;&gt;"."),d_dir!AW4/((1/1000)*(d_Irr!BT4)),IF(AND(d_Irr!V4=".",d_Irr!AU4&lt;&gt;".",d_Irr!BT4="."),d_dir!AW4/((1/1000)*(d_Irr!AU4)),IF(AND(d_Irr!V4&lt;&gt;".",d_Irr!AU4=".",d_Irr!BT4="."),d_dir!AW4/((1/1000)*(d_Irr!V4)),IF(AND(d_Irr!V4=".",d_Irr!AU4=".",d_Irr!BT4="."),d_dir!AW4*1000)))))))),".")</f>
        <v>.</v>
      </c>
      <c r="AX4" s="76" t="str">
        <f>IFERROR(IF(AND(d_Irr!W4&lt;&gt;".",d_Irr!AV4&lt;&gt;".",d_Irr!BU4&lt;&gt;"."),d_dir!AX4/((1/1000)*(d_Irr!W4+d_Irr!AV4+d_Irr!BU4)),IF(AND(d_Irr!W4&lt;&gt;".",d_Irr!AV4&lt;&gt;".",d_Irr!BU4="."),d_dir!AX4/((1/1000)*(d_Irr!W4+d_Irr!AV4)),IF(AND(d_Irr!W4&lt;&gt;".",d_Irr!AV4=".",d_Irr!BU4&lt;&gt;"."),d_dir!AX4/((1/1000)*(d_Irr!W4+d_Irr!BU4)),IF(AND(d_Irr!W4=".",d_Irr!AV4&lt;&gt;".",d_Irr!BU4&lt;&gt;"."),d_dir!AX4/((1/1000)*(d_Irr!AV4+d_Irr!BU4)),IF(AND(d_Irr!W4=".",d_Irr!AV4=".",d_Irr!BU4&lt;&gt;"."),d_dir!AX4/((1/1000)*(d_Irr!BU4)),IF(AND(d_Irr!W4=".",d_Irr!AV4&lt;&gt;".",d_Irr!BU4="."),d_dir!AX4/((1/1000)*(d_Irr!AV4)),IF(AND(d_Irr!W4&lt;&gt;".",d_Irr!AV4=".",d_Irr!BU4="."),d_dir!AX4/((1/1000)*(d_Irr!W4)),IF(AND(d_Irr!W4=".",d_Irr!AV4=".",d_Irr!BU4="."),d_dir!AX4*1000)))))))),".")</f>
        <v>.</v>
      </c>
      <c r="AY4" s="76" t="str">
        <f>IFERROR(IF(AND(d_Irr!X4&lt;&gt;".",d_Irr!AW4&lt;&gt;".",d_Irr!BV4&lt;&gt;"."),d_dir!AY4/((1/1000)*(d_Irr!X4+d_Irr!AW4+d_Irr!BV4)),IF(AND(d_Irr!X4&lt;&gt;".",d_Irr!AW4&lt;&gt;".",d_Irr!BV4="."),d_dir!AY4/((1/1000)*(d_Irr!X4+d_Irr!AW4)),IF(AND(d_Irr!X4&lt;&gt;".",d_Irr!AW4=".",d_Irr!BV4&lt;&gt;"."),d_dir!AY4/((1/1000)*(d_Irr!X4+d_Irr!BV4)),IF(AND(d_Irr!X4=".",d_Irr!AW4&lt;&gt;".",d_Irr!BV4&lt;&gt;"."),d_dir!AY4/((1/1000)*(d_Irr!AW4+d_Irr!BV4)),IF(AND(d_Irr!X4=".",d_Irr!AW4=".",d_Irr!BV4&lt;&gt;"."),d_dir!AY4/((1/1000)*(d_Irr!BV4)),IF(AND(d_Irr!X4=".",d_Irr!AW4&lt;&gt;".",d_Irr!BV4="."),d_dir!AY4/((1/1000)*(d_Irr!AW4)),IF(AND(d_Irr!X4&lt;&gt;".",d_Irr!AW4=".",d_Irr!BV4="."),d_dir!AY4/((1/1000)*(d_Irr!X4)),IF(AND(d_Irr!X4=".",d_Irr!AW4=".",d_Irr!BV4="."),d_dir!AY4*1000)))))))),".")</f>
        <v>.</v>
      </c>
      <c r="AZ4" s="76" t="str">
        <f>IFERROR(IF(AND(d_Irr!Y4&lt;&gt;".",d_Irr!AX4&lt;&gt;".",d_Irr!BW4&lt;&gt;"."),d_dir!AZ4/((1/1000)*(d_Irr!Y4+d_Irr!AX4+d_Irr!BW4)),IF(AND(d_Irr!Y4&lt;&gt;".",d_Irr!AX4&lt;&gt;".",d_Irr!BW4="."),d_dir!AZ4/((1/1000)*(d_Irr!Y4+d_Irr!AX4)),IF(AND(d_Irr!Y4&lt;&gt;".",d_Irr!AX4=".",d_Irr!BW4&lt;&gt;"."),d_dir!AZ4/((1/1000)*(d_Irr!Y4+d_Irr!BW4)),IF(AND(d_Irr!Y4=".",d_Irr!AX4&lt;&gt;".",d_Irr!BW4&lt;&gt;"."),d_dir!AZ4/((1/1000)*(d_Irr!AX4+d_Irr!BW4)),IF(AND(d_Irr!Y4=".",d_Irr!AX4=".",d_Irr!BW4&lt;&gt;"."),d_dir!AZ4/((1/1000)*(d_Irr!BW4)),IF(AND(d_Irr!Y4=".",d_Irr!AX4&lt;&gt;".",d_Irr!BW4="."),d_dir!AZ4/((1/1000)*(d_Irr!AX4)),IF(AND(d_Irr!Y4&lt;&gt;".",d_Irr!AX4=".",d_Irr!BW4="."),d_dir!AZ4/((1/1000)*(d_Irr!Y4)),IF(AND(d_Irr!Y4=".",d_Irr!AX4=".",d_Irr!BW4="."),d_dir!AZ4*1000)))))))),".")</f>
        <v>.</v>
      </c>
      <c r="BA4" s="76" t="str">
        <f>IFERROR(IF(AND(d_Irr!Z4&lt;&gt;".",d_Irr!AY4&lt;&gt;".",d_Irr!BX4&lt;&gt;"."),d_dir!BA4/((1/1000)*(d_Irr!Z4+d_Irr!AY4+d_Irr!BX4)),IF(AND(d_Irr!Z4&lt;&gt;".",d_Irr!AY4&lt;&gt;".",d_Irr!BX4="."),d_dir!BA4/((1/1000)*(d_Irr!Z4+d_Irr!AY4)),IF(AND(d_Irr!Z4&lt;&gt;".",d_Irr!AY4=".",d_Irr!BX4&lt;&gt;"."),d_dir!BA4/((1/1000)*(d_Irr!Z4+d_Irr!BX4)),IF(AND(d_Irr!Z4=".",d_Irr!AY4&lt;&gt;".",d_Irr!BX4&lt;&gt;"."),d_dir!BA4/((1/1000)*(d_Irr!AY4+d_Irr!BX4)),IF(AND(d_Irr!Z4=".",d_Irr!AY4=".",d_Irr!BX4&lt;&gt;"."),d_dir!BA4/((1/1000)*(d_Irr!BX4)),IF(AND(d_Irr!Z4=".",d_Irr!AY4&lt;&gt;".",d_Irr!BX4="."),d_dir!BA4/((1/1000)*(d_Irr!AY4)),IF(AND(d_Irr!Z4&lt;&gt;".",d_Irr!AY4=".",d_Irr!BX4="."),d_dir!BA4/((1/1000)*(d_Irr!Z4)),IF(AND(d_Irr!Z4=".",d_Irr!AY4=".",d_Irr!BX4="."),d_dir!BA4*1000)))))))),".")</f>
        <v>.</v>
      </c>
      <c r="BB4" s="76" t="str">
        <f>IFERROR(IF(AND(d_Irr!AA4&lt;&gt;".",d_Irr!AZ4&lt;&gt;".",d_Irr!BY4&lt;&gt;"."),d_dir!BB4/((1/1000)*(d_Irr!AA4+d_Irr!AZ4+d_Irr!BY4)),IF(AND(d_Irr!AA4&lt;&gt;".",d_Irr!AZ4&lt;&gt;".",d_Irr!BY4="."),d_dir!BB4/((1/1000)*(d_Irr!AA4+d_Irr!AZ4)),IF(AND(d_Irr!AA4&lt;&gt;".",d_Irr!AZ4=".",d_Irr!BY4&lt;&gt;"."),d_dir!BB4/((1/1000)*(d_Irr!AA4+d_Irr!BY4)),IF(AND(d_Irr!AA4=".",d_Irr!AZ4&lt;&gt;".",d_Irr!BY4&lt;&gt;"."),d_dir!BB4/((1/1000)*(d_Irr!AZ4+d_Irr!BY4)),IF(AND(d_Irr!AA4=".",d_Irr!AZ4=".",d_Irr!BY4&lt;&gt;"."),d_dir!BB4/((1/1000)*(d_Irr!BY4)),IF(AND(d_Irr!AA4=".",d_Irr!AZ4&lt;&gt;".",d_Irr!BY4="."),d_dir!BB4/((1/1000)*(d_Irr!AZ4)),IF(AND(d_Irr!AA4&lt;&gt;".",d_Irr!AZ4=".",d_Irr!BY4="."),d_dir!BB4/((1/1000)*(d_Irr!AA4)),IF(AND(d_Irr!AA4=".",d_Irr!AZ4=".",d_Irr!BY4="."),d_dir!BB4*1000)))))))),".")</f>
        <v>.</v>
      </c>
    </row>
    <row r="5" spans="1:54" ht="15" customHeight="1" x14ac:dyDescent="0.25">
      <c r="A5" s="92" t="s">
        <v>15</v>
      </c>
      <c r="B5" s="90" t="s">
        <v>1071</v>
      </c>
      <c r="C5" s="2" t="str">
        <f t="shared" si="1"/>
        <v>.</v>
      </c>
      <c r="D5" s="76" t="str">
        <f>IFERROR(IF(AND(d_Irr!C5&lt;&gt;".",d_Irr!AB5&lt;&gt;".",d_Irr!BA5&lt;&gt;"."),d_dir!D5/((1/1000)*(d_Irr!C5+d_Irr!AB5+d_Irr!BA5)),IF(AND(d_Irr!C5&lt;&gt;".",d_Irr!AB5&lt;&gt;".",d_Irr!BA5="."),d_dir!D5/((1/1000)*(d_Irr!C5+d_Irr!AB5)),IF(AND(d_Irr!C5&lt;&gt;".",d_Irr!AB5=".",d_Irr!BA5&lt;&gt;"."),d_dir!D5/((1/1000)*(d_Irr!C5+d_Irr!BA5)),IF(AND(d_Irr!C5=".",d_Irr!AB5&lt;&gt;".",d_Irr!BA5&lt;&gt;"."),d_dir!D5/((1/1000)*(d_Irr!AB5+d_Irr!BA5)),IF(AND(d_Irr!C5=".",d_Irr!AB5=".",d_Irr!BA5&lt;&gt;"."),d_dir!D5/((1/1000)*(d_Irr!BA5)),IF(AND(d_Irr!C5=".",d_Irr!AB5&lt;&gt;".",d_Irr!BA5="."),d_dir!D5/((1/1000)*(d_Irr!AB5)),IF(AND(d_Irr!C5&lt;&gt;".",d_Irr!AB5=".",d_Irr!BA5="."),d_dir!D5/((1/1000)*(d_Irr!C5)),IF(AND(d_Irr!C5=".",d_Irr!AB5=".",d_Irr!BA5="."),d_dir!D5*1000)))))))),".")</f>
        <v>.</v>
      </c>
      <c r="E5" s="76" t="str">
        <f>IFERROR(IF(AND(d_Irr!D5&lt;&gt;".",d_Irr!AC5&lt;&gt;".",d_Irr!BB5&lt;&gt;"."),d_dir!E5/((1/1000)*(d_Irr!D5+d_Irr!AC5+d_Irr!BB5)),IF(AND(d_Irr!D5&lt;&gt;".",d_Irr!AC5&lt;&gt;".",d_Irr!BB5="."),d_dir!E5/((1/1000)*(d_Irr!D5+d_Irr!AC5)),IF(AND(d_Irr!D5&lt;&gt;".",d_Irr!AC5=".",d_Irr!BB5&lt;&gt;"."),d_dir!E5/((1/1000)*(d_Irr!D5+d_Irr!BB5)),IF(AND(d_Irr!D5=".",d_Irr!AC5&lt;&gt;".",d_Irr!BB5&lt;&gt;"."),d_dir!E5/((1/1000)*(d_Irr!AC5+d_Irr!BB5)),IF(AND(d_Irr!D5=".",d_Irr!AC5=".",d_Irr!BB5&lt;&gt;"."),d_dir!E5/((1/1000)*(d_Irr!BB5)),IF(AND(d_Irr!D5=".",d_Irr!AC5&lt;&gt;".",d_Irr!BB5="."),d_dir!E5/((1/1000)*(d_Irr!AC5)),IF(AND(d_Irr!D5&lt;&gt;".",d_Irr!AC5=".",d_Irr!BB5="."),d_dir!E5/((1/1000)*(d_Irr!D5)),IF(AND(d_Irr!D5=".",d_Irr!AC5=".",d_Irr!BB5="."),d_dir!E5*1000)))))))),".")</f>
        <v>.</v>
      </c>
      <c r="F5" s="76" t="str">
        <f>IFERROR(IF(AND(d_Irr!E5&lt;&gt;".",d_Irr!AD5&lt;&gt;".",d_Irr!BC5&lt;&gt;"."),d_dir!F5/((1/1000)*(d_Irr!E5+d_Irr!AD5+d_Irr!BC5)),IF(AND(d_Irr!E5&lt;&gt;".",d_Irr!AD5&lt;&gt;".",d_Irr!BC5="."),d_dir!F5/((1/1000)*(d_Irr!E5+d_Irr!AD5)),IF(AND(d_Irr!E5&lt;&gt;".",d_Irr!AD5=".",d_Irr!BC5&lt;&gt;"."),d_dir!F5/((1/1000)*(d_Irr!E5+d_Irr!BC5)),IF(AND(d_Irr!E5=".",d_Irr!AD5&lt;&gt;".",d_Irr!BC5&lt;&gt;"."),d_dir!F5/((1/1000)*(d_Irr!AD5+d_Irr!BC5)),IF(AND(d_Irr!E5=".",d_Irr!AD5=".",d_Irr!BC5&lt;&gt;"."),d_dir!F5/((1/1000)*(d_Irr!BC5)),IF(AND(d_Irr!E5=".",d_Irr!AD5&lt;&gt;".",d_Irr!BC5="."),d_dir!F5/((1/1000)*(d_Irr!AD5)),IF(AND(d_Irr!E5&lt;&gt;".",d_Irr!AD5=".",d_Irr!BC5="."),d_dir!F5/((1/1000)*(d_Irr!E5)),IF(AND(d_Irr!E5=".",d_Irr!AD5=".",d_Irr!BC5="."),d_dir!F5*1000)))))))),".")</f>
        <v>.</v>
      </c>
      <c r="G5" s="76" t="str">
        <f>IFERROR(IF(AND(d_Irr!F5&lt;&gt;".",d_Irr!AE5&lt;&gt;".",d_Irr!BD5&lt;&gt;"."),d_dir!G5/((1/1000)*(d_Irr!F5+d_Irr!AE5+d_Irr!BD5)),IF(AND(d_Irr!F5&lt;&gt;".",d_Irr!AE5&lt;&gt;".",d_Irr!BD5="."),d_dir!G5/((1/1000)*(d_Irr!F5+d_Irr!AE5)),IF(AND(d_Irr!F5&lt;&gt;".",d_Irr!AE5=".",d_Irr!BD5&lt;&gt;"."),d_dir!G5/((1/1000)*(d_Irr!F5+d_Irr!BD5)),IF(AND(d_Irr!F5=".",d_Irr!AE5&lt;&gt;".",d_Irr!BD5&lt;&gt;"."),d_dir!G5/((1/1000)*(d_Irr!AE5+d_Irr!BD5)),IF(AND(d_Irr!F5=".",d_Irr!AE5=".",d_Irr!BD5&lt;&gt;"."),d_dir!G5/((1/1000)*(d_Irr!BD5)),IF(AND(d_Irr!F5=".",d_Irr!AE5&lt;&gt;".",d_Irr!BD5="."),d_dir!G5/((1/1000)*(d_Irr!AE5)),IF(AND(d_Irr!F5&lt;&gt;".",d_Irr!AE5=".",d_Irr!BD5="."),d_dir!G5/((1/1000)*(d_Irr!F5)),IF(AND(d_Irr!F5=".",d_Irr!AE5=".",d_Irr!BD5="."),d_dir!G5*1000)))))))),".")</f>
        <v>.</v>
      </c>
      <c r="H5" s="76" t="str">
        <f>IFERROR(IF(AND(d_Irr!G5&lt;&gt;".",d_Irr!AF5&lt;&gt;".",d_Irr!BE5&lt;&gt;"."),d_dir!H5/((1/1000)*(d_Irr!G5+d_Irr!AF5+d_Irr!BE5)),IF(AND(d_Irr!G5&lt;&gt;".",d_Irr!AF5&lt;&gt;".",d_Irr!BE5="."),d_dir!H5/((1/1000)*(d_Irr!G5+d_Irr!AF5)),IF(AND(d_Irr!G5&lt;&gt;".",d_Irr!AF5=".",d_Irr!BE5&lt;&gt;"."),d_dir!H5/((1/1000)*(d_Irr!G5+d_Irr!BE5)),IF(AND(d_Irr!G5=".",d_Irr!AF5&lt;&gt;".",d_Irr!BE5&lt;&gt;"."),d_dir!H5/((1/1000)*(d_Irr!AF5+d_Irr!BE5)),IF(AND(d_Irr!G5=".",d_Irr!AF5=".",d_Irr!BE5&lt;&gt;"."),d_dir!H5/((1/1000)*(d_Irr!BE5)),IF(AND(d_Irr!G5=".",d_Irr!AF5&lt;&gt;".",d_Irr!BE5="."),d_dir!H5/((1/1000)*(d_Irr!AF5)),IF(AND(d_Irr!G5&lt;&gt;".",d_Irr!AF5=".",d_Irr!BE5="."),d_dir!H5/((1/1000)*(d_Irr!G5)),IF(AND(d_Irr!G5=".",d_Irr!AF5=".",d_Irr!BE5="."),d_dir!H5*1000)))))))),".")</f>
        <v>.</v>
      </c>
      <c r="I5" s="76" t="str">
        <f>IFERROR(IF(AND(d_Irr!H5&lt;&gt;".",d_Irr!AG5&lt;&gt;".",d_Irr!BF5&lt;&gt;"."),d_dir!I5/((1/1000)*(d_Irr!H5+d_Irr!AG5+d_Irr!BF5)),IF(AND(d_Irr!H5&lt;&gt;".",d_Irr!AG5&lt;&gt;".",d_Irr!BF5="."),d_dir!I5/((1/1000)*(d_Irr!H5+d_Irr!AG5)),IF(AND(d_Irr!H5&lt;&gt;".",d_Irr!AG5=".",d_Irr!BF5&lt;&gt;"."),d_dir!I5/((1/1000)*(d_Irr!H5+d_Irr!BF5)),IF(AND(d_Irr!H5=".",d_Irr!AG5&lt;&gt;".",d_Irr!BF5&lt;&gt;"."),d_dir!I5/((1/1000)*(d_Irr!AG5+d_Irr!BF5)),IF(AND(d_Irr!H5=".",d_Irr!AG5=".",d_Irr!BF5&lt;&gt;"."),d_dir!I5/((1/1000)*(d_Irr!BF5)),IF(AND(d_Irr!H5=".",d_Irr!AG5&lt;&gt;".",d_Irr!BF5="."),d_dir!I5/((1/1000)*(d_Irr!AG5)),IF(AND(d_Irr!H5&lt;&gt;".",d_Irr!AG5=".",d_Irr!BF5="."),d_dir!I5/((1/1000)*(d_Irr!H5)),IF(AND(d_Irr!H5=".",d_Irr!AG5=".",d_Irr!BF5="."),d_dir!I5*1000)))))))),".")</f>
        <v>.</v>
      </c>
      <c r="J5" s="76" t="str">
        <f>IFERROR(IF(AND(d_Irr!I5&lt;&gt;".",d_Irr!AH5&lt;&gt;".",d_Irr!BG5&lt;&gt;"."),d_dir!J5/((1/1000)*(d_Irr!I5+d_Irr!AH5+d_Irr!BG5)),IF(AND(d_Irr!I5&lt;&gt;".",d_Irr!AH5&lt;&gt;".",d_Irr!BG5="."),d_dir!J5/((1/1000)*(d_Irr!I5+d_Irr!AH5)),IF(AND(d_Irr!I5&lt;&gt;".",d_Irr!AH5=".",d_Irr!BG5&lt;&gt;"."),d_dir!J5/((1/1000)*(d_Irr!I5+d_Irr!BG5)),IF(AND(d_Irr!I5=".",d_Irr!AH5&lt;&gt;".",d_Irr!BG5&lt;&gt;"."),d_dir!J5/((1/1000)*(d_Irr!AH5+d_Irr!BG5)),IF(AND(d_Irr!I5=".",d_Irr!AH5=".",d_Irr!BG5&lt;&gt;"."),d_dir!J5/((1/1000)*(d_Irr!BG5)),IF(AND(d_Irr!I5=".",d_Irr!AH5&lt;&gt;".",d_Irr!BG5="."),d_dir!J5/((1/1000)*(d_Irr!AH5)),IF(AND(d_Irr!I5&lt;&gt;".",d_Irr!AH5=".",d_Irr!BG5="."),d_dir!J5/((1/1000)*(d_Irr!I5)),IF(AND(d_Irr!I5=".",d_Irr!AH5=".",d_Irr!BG5="."),d_dir!J5*1000)))))))),".")</f>
        <v>.</v>
      </c>
      <c r="K5" s="76" t="str">
        <f>IFERROR(IF(AND(d_Irr!J5&lt;&gt;".",d_Irr!AI5&lt;&gt;".",d_Irr!BH5&lt;&gt;"."),d_dir!K5/((1/1000)*(d_Irr!J5+d_Irr!AI5+d_Irr!BH5)),IF(AND(d_Irr!J5&lt;&gt;".",d_Irr!AI5&lt;&gt;".",d_Irr!BH5="."),d_dir!K5/((1/1000)*(d_Irr!J5+d_Irr!AI5)),IF(AND(d_Irr!J5&lt;&gt;".",d_Irr!AI5=".",d_Irr!BH5&lt;&gt;"."),d_dir!K5/((1/1000)*(d_Irr!J5+d_Irr!BH5)),IF(AND(d_Irr!J5=".",d_Irr!AI5&lt;&gt;".",d_Irr!BH5&lt;&gt;"."),d_dir!K5/((1/1000)*(d_Irr!AI5+d_Irr!BH5)),IF(AND(d_Irr!J5=".",d_Irr!AI5=".",d_Irr!BH5&lt;&gt;"."),d_dir!K5/((1/1000)*(d_Irr!BH5)),IF(AND(d_Irr!J5=".",d_Irr!AI5&lt;&gt;".",d_Irr!BH5="."),d_dir!K5/((1/1000)*(d_Irr!AI5)),IF(AND(d_Irr!J5&lt;&gt;".",d_Irr!AI5=".",d_Irr!BH5="."),d_dir!K5/((1/1000)*(d_Irr!J5)),IF(AND(d_Irr!J5=".",d_Irr!AI5=".",d_Irr!BH5="."),d_dir!K5*1000)))))))),".")</f>
        <v>.</v>
      </c>
      <c r="L5" s="76" t="str">
        <f>IFERROR(IF(AND(d_Irr!K5&lt;&gt;".",d_Irr!AJ5&lt;&gt;".",d_Irr!BI5&lt;&gt;"."),d_dir!L5/((1/1000)*(d_Irr!K5+d_Irr!AJ5+d_Irr!BI5)),IF(AND(d_Irr!K5&lt;&gt;".",d_Irr!AJ5&lt;&gt;".",d_Irr!BI5="."),d_dir!L5/((1/1000)*(d_Irr!K5+d_Irr!AJ5)),IF(AND(d_Irr!K5&lt;&gt;".",d_Irr!AJ5=".",d_Irr!BI5&lt;&gt;"."),d_dir!L5/((1/1000)*(d_Irr!K5+d_Irr!BI5)),IF(AND(d_Irr!K5=".",d_Irr!AJ5&lt;&gt;".",d_Irr!BI5&lt;&gt;"."),d_dir!L5/((1/1000)*(d_Irr!AJ5+d_Irr!BI5)),IF(AND(d_Irr!K5=".",d_Irr!AJ5=".",d_Irr!BI5&lt;&gt;"."),d_dir!L5/((1/1000)*(d_Irr!BI5)),IF(AND(d_Irr!K5=".",d_Irr!AJ5&lt;&gt;".",d_Irr!BI5="."),d_dir!L5/((1/1000)*(d_Irr!AJ5)),IF(AND(d_Irr!K5&lt;&gt;".",d_Irr!AJ5=".",d_Irr!BI5="."),d_dir!L5/((1/1000)*(d_Irr!K5)),IF(AND(d_Irr!K5=".",d_Irr!AJ5=".",d_Irr!BI5="."),d_dir!L5*1000)))))))),".")</f>
        <v>.</v>
      </c>
      <c r="M5" s="76" t="str">
        <f>IFERROR(IF(AND(d_Irr!L5&lt;&gt;".",d_Irr!AK5&lt;&gt;".",d_Irr!BJ5&lt;&gt;"."),d_dir!M5/((1/1000)*(d_Irr!L5+d_Irr!AK5+d_Irr!BJ5)),IF(AND(d_Irr!L5&lt;&gt;".",d_Irr!AK5&lt;&gt;".",d_Irr!BJ5="."),d_dir!M5/((1/1000)*(d_Irr!L5+d_Irr!AK5)),IF(AND(d_Irr!L5&lt;&gt;".",d_Irr!AK5=".",d_Irr!BJ5&lt;&gt;"."),d_dir!M5/((1/1000)*(d_Irr!L5+d_Irr!BJ5)),IF(AND(d_Irr!L5=".",d_Irr!AK5&lt;&gt;".",d_Irr!BJ5&lt;&gt;"."),d_dir!M5/((1/1000)*(d_Irr!AK5+d_Irr!BJ5)),IF(AND(d_Irr!L5=".",d_Irr!AK5=".",d_Irr!BJ5&lt;&gt;"."),d_dir!M5/((1/1000)*(d_Irr!BJ5)),IF(AND(d_Irr!L5=".",d_Irr!AK5&lt;&gt;".",d_Irr!BJ5="."),d_dir!M5/((1/1000)*(d_Irr!AK5)),IF(AND(d_Irr!L5&lt;&gt;".",d_Irr!AK5=".",d_Irr!BJ5="."),d_dir!M5/((1/1000)*(d_Irr!L5)),IF(AND(d_Irr!L5=".",d_Irr!AK5=".",d_Irr!BJ5="."),d_dir!M5*1000)))))))),".")</f>
        <v>.</v>
      </c>
      <c r="N5" s="76" t="str">
        <f>IFERROR(IF(AND(d_Irr!M5&lt;&gt;".",d_Irr!AL5&lt;&gt;".",d_Irr!BK5&lt;&gt;"."),d_dir!N5/((1/1000)*(d_Irr!M5+d_Irr!AL5+d_Irr!BK5)),IF(AND(d_Irr!M5&lt;&gt;".",d_Irr!AL5&lt;&gt;".",d_Irr!BK5="."),d_dir!N5/((1/1000)*(d_Irr!M5+d_Irr!AL5)),IF(AND(d_Irr!M5&lt;&gt;".",d_Irr!AL5=".",d_Irr!BK5&lt;&gt;"."),d_dir!N5/((1/1000)*(d_Irr!M5+d_Irr!BK5)),IF(AND(d_Irr!M5=".",d_Irr!AL5&lt;&gt;".",d_Irr!BK5&lt;&gt;"."),d_dir!N5/((1/1000)*(d_Irr!AL5+d_Irr!BK5)),IF(AND(d_Irr!M5=".",d_Irr!AL5=".",d_Irr!BK5&lt;&gt;"."),d_dir!N5/((1/1000)*(d_Irr!BK5)),IF(AND(d_Irr!M5=".",d_Irr!AL5&lt;&gt;".",d_Irr!BK5="."),d_dir!N5/((1/1000)*(d_Irr!AL5)),IF(AND(d_Irr!M5&lt;&gt;".",d_Irr!AL5=".",d_Irr!BK5="."),d_dir!N5/((1/1000)*(d_Irr!M5)),IF(AND(d_Irr!M5=".",d_Irr!AL5=".",d_Irr!BK5="."),d_dir!N5*1000)))))))),".")</f>
        <v>.</v>
      </c>
      <c r="O5" s="76" t="str">
        <f>IFERROR(IF(AND(d_Irr!N5&lt;&gt;".",d_Irr!AM5&lt;&gt;".",d_Irr!BL5&lt;&gt;"."),d_dir!O5/((1/1000)*(d_Irr!N5+d_Irr!AM5+d_Irr!BL5)),IF(AND(d_Irr!N5&lt;&gt;".",d_Irr!AM5&lt;&gt;".",d_Irr!BL5="."),d_dir!O5/((1/1000)*(d_Irr!N5+d_Irr!AM5)),IF(AND(d_Irr!N5&lt;&gt;".",d_Irr!AM5=".",d_Irr!BL5&lt;&gt;"."),d_dir!O5/((1/1000)*(d_Irr!N5+d_Irr!BL5)),IF(AND(d_Irr!N5=".",d_Irr!AM5&lt;&gt;".",d_Irr!BL5&lt;&gt;"."),d_dir!O5/((1/1000)*(d_Irr!AM5+d_Irr!BL5)),IF(AND(d_Irr!N5=".",d_Irr!AM5=".",d_Irr!BL5&lt;&gt;"."),d_dir!O5/((1/1000)*(d_Irr!BL5)),IF(AND(d_Irr!N5=".",d_Irr!AM5&lt;&gt;".",d_Irr!BL5="."),d_dir!O5/((1/1000)*(d_Irr!AM5)),IF(AND(d_Irr!N5&lt;&gt;".",d_Irr!AM5=".",d_Irr!BL5="."),d_dir!O5/((1/1000)*(d_Irr!N5)),IF(AND(d_Irr!N5=".",d_Irr!AM5=".",d_Irr!BL5="."),d_dir!O5*1000)))))))),".")</f>
        <v>.</v>
      </c>
      <c r="P5" s="76" t="str">
        <f>IFERROR(IF(AND(d_Irr!O5&lt;&gt;".",d_Irr!AN5&lt;&gt;".",d_Irr!BM5&lt;&gt;"."),d_dir!P5/((1/1000)*(d_Irr!O5+d_Irr!AN5+d_Irr!BM5)),IF(AND(d_Irr!O5&lt;&gt;".",d_Irr!AN5&lt;&gt;".",d_Irr!BM5="."),d_dir!P5/((1/1000)*(d_Irr!O5+d_Irr!AN5)),IF(AND(d_Irr!O5&lt;&gt;".",d_Irr!AN5=".",d_Irr!BM5&lt;&gt;"."),d_dir!P5/((1/1000)*(d_Irr!O5+d_Irr!BM5)),IF(AND(d_Irr!O5=".",d_Irr!AN5&lt;&gt;".",d_Irr!BM5&lt;&gt;"."),d_dir!P5/((1/1000)*(d_Irr!AN5+d_Irr!BM5)),IF(AND(d_Irr!O5=".",d_Irr!AN5=".",d_Irr!BM5&lt;&gt;"."),d_dir!P5/((1/1000)*(d_Irr!BM5)),IF(AND(d_Irr!O5=".",d_Irr!AN5&lt;&gt;".",d_Irr!BM5="."),d_dir!P5/((1/1000)*(d_Irr!AN5)),IF(AND(d_Irr!O5&lt;&gt;".",d_Irr!AN5=".",d_Irr!BM5="."),d_dir!P5/((1/1000)*(d_Irr!O5)),IF(AND(d_Irr!O5=".",d_Irr!AN5=".",d_Irr!BM5="."),d_dir!P5*1000)))))))),".")</f>
        <v>.</v>
      </c>
      <c r="Q5" s="76" t="str">
        <f>IFERROR(IF(AND(d_Irr!P5&lt;&gt;".",d_Irr!AO5&lt;&gt;".",d_Irr!BN5&lt;&gt;"."),d_dir!Q5/((1/1000)*(d_Irr!P5+d_Irr!AO5+d_Irr!BN5)),IF(AND(d_Irr!P5&lt;&gt;".",d_Irr!AO5&lt;&gt;".",d_Irr!BN5="."),d_dir!Q5/((1/1000)*(d_Irr!P5+d_Irr!AO5)),IF(AND(d_Irr!P5&lt;&gt;".",d_Irr!AO5=".",d_Irr!BN5&lt;&gt;"."),d_dir!Q5/((1/1000)*(d_Irr!P5+d_Irr!BN5)),IF(AND(d_Irr!P5=".",d_Irr!AO5&lt;&gt;".",d_Irr!BN5&lt;&gt;"."),d_dir!Q5/((1/1000)*(d_Irr!AO5+d_Irr!BN5)),IF(AND(d_Irr!P5=".",d_Irr!AO5=".",d_Irr!BN5&lt;&gt;"."),d_dir!Q5/((1/1000)*(d_Irr!BN5)),IF(AND(d_Irr!P5=".",d_Irr!AO5&lt;&gt;".",d_Irr!BN5="."),d_dir!Q5/((1/1000)*(d_Irr!AO5)),IF(AND(d_Irr!P5&lt;&gt;".",d_Irr!AO5=".",d_Irr!BN5="."),d_dir!Q5/((1/1000)*(d_Irr!P5)),IF(AND(d_Irr!P5=".",d_Irr!AO5=".",d_Irr!BN5="."),d_dir!Q5*1000)))))))),".")</f>
        <v>.</v>
      </c>
      <c r="R5" s="76" t="str">
        <f>IFERROR(IF(AND(d_Irr!Q5&lt;&gt;".",d_Irr!AP5&lt;&gt;".",d_Irr!BO5&lt;&gt;"."),d_dir!R5/((1/1000)*(d_Irr!Q5+d_Irr!AP5+d_Irr!BO5)),IF(AND(d_Irr!Q5&lt;&gt;".",d_Irr!AP5&lt;&gt;".",d_Irr!BO5="."),d_dir!R5/((1/1000)*(d_Irr!Q5+d_Irr!AP5)),IF(AND(d_Irr!Q5&lt;&gt;".",d_Irr!AP5=".",d_Irr!BO5&lt;&gt;"."),d_dir!R5/((1/1000)*(d_Irr!Q5+d_Irr!BO5)),IF(AND(d_Irr!Q5=".",d_Irr!AP5&lt;&gt;".",d_Irr!BO5&lt;&gt;"."),d_dir!R5/((1/1000)*(d_Irr!AP5+d_Irr!BO5)),IF(AND(d_Irr!Q5=".",d_Irr!AP5=".",d_Irr!BO5&lt;&gt;"."),d_dir!R5/((1/1000)*(d_Irr!BO5)),IF(AND(d_Irr!Q5=".",d_Irr!AP5&lt;&gt;".",d_Irr!BO5="."),d_dir!R5/((1/1000)*(d_Irr!AP5)),IF(AND(d_Irr!Q5&lt;&gt;".",d_Irr!AP5=".",d_Irr!BO5="."),d_dir!R5/((1/1000)*(d_Irr!Q5)),IF(AND(d_Irr!Q5=".",d_Irr!AP5=".",d_Irr!BO5="."),d_dir!R5*1000)))))))),".")</f>
        <v>.</v>
      </c>
      <c r="S5" s="76" t="str">
        <f>IFERROR(IF(AND(d_Irr!R5&lt;&gt;".",d_Irr!AQ5&lt;&gt;".",d_Irr!BP5&lt;&gt;"."),d_dir!S5/((1/1000)*(d_Irr!R5+d_Irr!AQ5+d_Irr!BP5)),IF(AND(d_Irr!R5&lt;&gt;".",d_Irr!AQ5&lt;&gt;".",d_Irr!BP5="."),d_dir!S5/((1/1000)*(d_Irr!R5+d_Irr!AQ5)),IF(AND(d_Irr!R5&lt;&gt;".",d_Irr!AQ5=".",d_Irr!BP5&lt;&gt;"."),d_dir!S5/((1/1000)*(d_Irr!R5+d_Irr!BP5)),IF(AND(d_Irr!R5=".",d_Irr!AQ5&lt;&gt;".",d_Irr!BP5&lt;&gt;"."),d_dir!S5/((1/1000)*(d_Irr!AQ5+d_Irr!BP5)),IF(AND(d_Irr!R5=".",d_Irr!AQ5=".",d_Irr!BP5&lt;&gt;"."),d_dir!S5/((1/1000)*(d_Irr!BP5)),IF(AND(d_Irr!R5=".",d_Irr!AQ5&lt;&gt;".",d_Irr!BP5="."),d_dir!S5/((1/1000)*(d_Irr!AQ5)),IF(AND(d_Irr!R5&lt;&gt;".",d_Irr!AQ5=".",d_Irr!BP5="."),d_dir!S5/((1/1000)*(d_Irr!R5)),IF(AND(d_Irr!R5=".",d_Irr!AQ5=".",d_Irr!BP5="."),d_dir!S5*1000)))))))),".")</f>
        <v>.</v>
      </c>
      <c r="T5" s="76" t="str">
        <f>IFERROR(IF(AND(d_Irr!S5&lt;&gt;".",d_Irr!AR5&lt;&gt;".",d_Irr!BQ5&lt;&gt;"."),d_dir!T5/((1/1000)*(d_Irr!S5+d_Irr!AR5+d_Irr!BQ5)),IF(AND(d_Irr!S5&lt;&gt;".",d_Irr!AR5&lt;&gt;".",d_Irr!BQ5="."),d_dir!T5/((1/1000)*(d_Irr!S5+d_Irr!AR5)),IF(AND(d_Irr!S5&lt;&gt;".",d_Irr!AR5=".",d_Irr!BQ5&lt;&gt;"."),d_dir!T5/((1/1000)*(d_Irr!S5+d_Irr!BQ5)),IF(AND(d_Irr!S5=".",d_Irr!AR5&lt;&gt;".",d_Irr!BQ5&lt;&gt;"."),d_dir!T5/((1/1000)*(d_Irr!AR5+d_Irr!BQ5)),IF(AND(d_Irr!S5=".",d_Irr!AR5=".",d_Irr!BQ5&lt;&gt;"."),d_dir!T5/((1/1000)*(d_Irr!BQ5)),IF(AND(d_Irr!S5=".",d_Irr!AR5&lt;&gt;".",d_Irr!BQ5="."),d_dir!T5/((1/1000)*(d_Irr!AR5)),IF(AND(d_Irr!S5&lt;&gt;".",d_Irr!AR5=".",d_Irr!BQ5="."),d_dir!T5/((1/1000)*(d_Irr!S5)),IF(AND(d_Irr!S5=".",d_Irr!AR5=".",d_Irr!BQ5="."),d_dir!T5*1000)))))))),".")</f>
        <v>.</v>
      </c>
      <c r="U5" s="76" t="str">
        <f>IFERROR(IF(AND(d_Irr!T5&lt;&gt;".",d_Irr!AS5&lt;&gt;".",d_Irr!BR5&lt;&gt;"."),d_dir!U5/((1/1000)*(d_Irr!T5+d_Irr!AS5+d_Irr!BR5)),IF(AND(d_Irr!T5&lt;&gt;".",d_Irr!AS5&lt;&gt;".",d_Irr!BR5="."),d_dir!U5/((1/1000)*(d_Irr!T5+d_Irr!AS5)),IF(AND(d_Irr!T5&lt;&gt;".",d_Irr!AS5=".",d_Irr!BR5&lt;&gt;"."),d_dir!U5/((1/1000)*(d_Irr!T5+d_Irr!BR5)),IF(AND(d_Irr!T5=".",d_Irr!AS5&lt;&gt;".",d_Irr!BR5&lt;&gt;"."),d_dir!U5/((1/1000)*(d_Irr!AS5+d_Irr!BR5)),IF(AND(d_Irr!T5=".",d_Irr!AS5=".",d_Irr!BR5&lt;&gt;"."),d_dir!U5/((1/1000)*(d_Irr!BR5)),IF(AND(d_Irr!T5=".",d_Irr!AS5&lt;&gt;".",d_Irr!BR5="."),d_dir!U5/((1/1000)*(d_Irr!AS5)),IF(AND(d_Irr!T5&lt;&gt;".",d_Irr!AS5=".",d_Irr!BR5="."),d_dir!U5/((1/1000)*(d_Irr!T5)),IF(AND(d_Irr!T5=".",d_Irr!AS5=".",d_Irr!BR5="."),d_dir!U5*1000)))))))),".")</f>
        <v>.</v>
      </c>
      <c r="V5" s="76" t="str">
        <f>IFERROR(IF(AND(d_Irr!U5&lt;&gt;".",d_Irr!AT5&lt;&gt;".",d_Irr!BS5&lt;&gt;"."),d_dir!V5/((1/1000)*(d_Irr!U5+d_Irr!AT5+d_Irr!BS5)),IF(AND(d_Irr!U5&lt;&gt;".",d_Irr!AT5&lt;&gt;".",d_Irr!BS5="."),d_dir!V5/((1/1000)*(d_Irr!U5+d_Irr!AT5)),IF(AND(d_Irr!U5&lt;&gt;".",d_Irr!AT5=".",d_Irr!BS5&lt;&gt;"."),d_dir!V5/((1/1000)*(d_Irr!U5+d_Irr!BS5)),IF(AND(d_Irr!U5=".",d_Irr!AT5&lt;&gt;".",d_Irr!BS5&lt;&gt;"."),d_dir!V5/((1/1000)*(d_Irr!AT5+d_Irr!BS5)),IF(AND(d_Irr!U5=".",d_Irr!AT5=".",d_Irr!BS5&lt;&gt;"."),d_dir!V5/((1/1000)*(d_Irr!BS5)),IF(AND(d_Irr!U5=".",d_Irr!AT5&lt;&gt;".",d_Irr!BS5="."),d_dir!V5/((1/1000)*(d_Irr!AT5)),IF(AND(d_Irr!U5&lt;&gt;".",d_Irr!AT5=".",d_Irr!BS5="."),d_dir!V5/((1/1000)*(d_Irr!U5)),IF(AND(d_Irr!U5=".",d_Irr!AT5=".",d_Irr!BS5="."),d_dir!V5*1000)))))))),".")</f>
        <v>.</v>
      </c>
      <c r="W5" s="76" t="str">
        <f>IFERROR(IF(AND(d_Irr!V5&lt;&gt;".",d_Irr!AU5&lt;&gt;".",d_Irr!BT5&lt;&gt;"."),d_dir!W5/((1/1000)*(d_Irr!V5+d_Irr!AU5+d_Irr!BT5)),IF(AND(d_Irr!V5&lt;&gt;".",d_Irr!AU5&lt;&gt;".",d_Irr!BT5="."),d_dir!W5/((1/1000)*(d_Irr!V5+d_Irr!AU5)),IF(AND(d_Irr!V5&lt;&gt;".",d_Irr!AU5=".",d_Irr!BT5&lt;&gt;"."),d_dir!W5/((1/1000)*(d_Irr!V5+d_Irr!BT5)),IF(AND(d_Irr!V5=".",d_Irr!AU5&lt;&gt;".",d_Irr!BT5&lt;&gt;"."),d_dir!W5/((1/1000)*(d_Irr!AU5+d_Irr!BT5)),IF(AND(d_Irr!V5=".",d_Irr!AU5=".",d_Irr!BT5&lt;&gt;"."),d_dir!W5/((1/1000)*(d_Irr!BT5)),IF(AND(d_Irr!V5=".",d_Irr!AU5&lt;&gt;".",d_Irr!BT5="."),d_dir!W5/((1/1000)*(d_Irr!AU5)),IF(AND(d_Irr!V5&lt;&gt;".",d_Irr!AU5=".",d_Irr!BT5="."),d_dir!W5/((1/1000)*(d_Irr!V5)),IF(AND(d_Irr!V5=".",d_Irr!AU5=".",d_Irr!BT5="."),d_dir!W5*1000)))))))),".")</f>
        <v>.</v>
      </c>
      <c r="X5" s="76" t="str">
        <f>IFERROR(IF(AND(d_Irr!W5&lt;&gt;".",d_Irr!AV5&lt;&gt;".",d_Irr!BU5&lt;&gt;"."),d_dir!X5/((1/1000)*(d_Irr!W5+d_Irr!AV5+d_Irr!BU5)),IF(AND(d_Irr!W5&lt;&gt;".",d_Irr!AV5&lt;&gt;".",d_Irr!BU5="."),d_dir!X5/((1/1000)*(d_Irr!W5+d_Irr!AV5)),IF(AND(d_Irr!W5&lt;&gt;".",d_Irr!AV5=".",d_Irr!BU5&lt;&gt;"."),d_dir!X5/((1/1000)*(d_Irr!W5+d_Irr!BU5)),IF(AND(d_Irr!W5=".",d_Irr!AV5&lt;&gt;".",d_Irr!BU5&lt;&gt;"."),d_dir!X5/((1/1000)*(d_Irr!AV5+d_Irr!BU5)),IF(AND(d_Irr!W5=".",d_Irr!AV5=".",d_Irr!BU5&lt;&gt;"."),d_dir!X5/((1/1000)*(d_Irr!BU5)),IF(AND(d_Irr!W5=".",d_Irr!AV5&lt;&gt;".",d_Irr!BU5="."),d_dir!X5/((1/1000)*(d_Irr!AV5)),IF(AND(d_Irr!W5&lt;&gt;".",d_Irr!AV5=".",d_Irr!BU5="."),d_dir!X5/((1/1000)*(d_Irr!W5)),IF(AND(d_Irr!W5=".",d_Irr!AV5=".",d_Irr!BU5="."),d_dir!X5*1000)))))))),".")</f>
        <v>.</v>
      </c>
      <c r="Y5" s="76" t="str">
        <f>IFERROR(IF(AND(d_Irr!X5&lt;&gt;".",d_Irr!AW5&lt;&gt;".",d_Irr!BV5&lt;&gt;"."),d_dir!Y5/((1/1000)*(d_Irr!X5+d_Irr!AW5+d_Irr!BV5)),IF(AND(d_Irr!X5&lt;&gt;".",d_Irr!AW5&lt;&gt;".",d_Irr!BV5="."),d_dir!Y5/((1/1000)*(d_Irr!X5+d_Irr!AW5)),IF(AND(d_Irr!X5&lt;&gt;".",d_Irr!AW5=".",d_Irr!BV5&lt;&gt;"."),d_dir!Y5/((1/1000)*(d_Irr!X5+d_Irr!BV5)),IF(AND(d_Irr!X5=".",d_Irr!AW5&lt;&gt;".",d_Irr!BV5&lt;&gt;"."),d_dir!Y5/((1/1000)*(d_Irr!AW5+d_Irr!BV5)),IF(AND(d_Irr!X5=".",d_Irr!AW5=".",d_Irr!BV5&lt;&gt;"."),d_dir!Y5/((1/1000)*(d_Irr!BV5)),IF(AND(d_Irr!X5=".",d_Irr!AW5&lt;&gt;".",d_Irr!BV5="."),d_dir!Y5/((1/1000)*(d_Irr!AW5)),IF(AND(d_Irr!X5&lt;&gt;".",d_Irr!AW5=".",d_Irr!BV5="."),d_dir!Y5/((1/1000)*(d_Irr!X5)),IF(AND(d_Irr!X5=".",d_Irr!AW5=".",d_Irr!BV5="."),d_dir!Y5*1000)))))))),".")</f>
        <v>.</v>
      </c>
      <c r="Z5" s="76" t="str">
        <f>IFERROR(IF(AND(d_Irr!Y5&lt;&gt;".",d_Irr!AX5&lt;&gt;".",d_Irr!BW5&lt;&gt;"."),d_dir!Z5/((1/1000)*(d_Irr!Y5+d_Irr!AX5+d_Irr!BW5)),IF(AND(d_Irr!Y5&lt;&gt;".",d_Irr!AX5&lt;&gt;".",d_Irr!BW5="."),d_dir!Z5/((1/1000)*(d_Irr!Y5+d_Irr!AX5)),IF(AND(d_Irr!Y5&lt;&gt;".",d_Irr!AX5=".",d_Irr!BW5&lt;&gt;"."),d_dir!Z5/((1/1000)*(d_Irr!Y5+d_Irr!BW5)),IF(AND(d_Irr!Y5=".",d_Irr!AX5&lt;&gt;".",d_Irr!BW5&lt;&gt;"."),d_dir!Z5/((1/1000)*(d_Irr!AX5+d_Irr!BW5)),IF(AND(d_Irr!Y5=".",d_Irr!AX5=".",d_Irr!BW5&lt;&gt;"."),d_dir!Z5/((1/1000)*(d_Irr!BW5)),IF(AND(d_Irr!Y5=".",d_Irr!AX5&lt;&gt;".",d_Irr!BW5="."),d_dir!Z5/((1/1000)*(d_Irr!AX5)),IF(AND(d_Irr!Y5&lt;&gt;".",d_Irr!AX5=".",d_Irr!BW5="."),d_dir!Z5/((1/1000)*(d_Irr!Y5)),IF(AND(d_Irr!Y5=".",d_Irr!AX5=".",d_Irr!BW5="."),d_dir!Z5*1000)))))))),".")</f>
        <v>.</v>
      </c>
      <c r="AA5" s="76" t="str">
        <f>IFERROR(IF(AND(d_Irr!Z5&lt;&gt;".",d_Irr!AY5&lt;&gt;".",d_Irr!BX5&lt;&gt;"."),d_dir!AA5/((1/1000)*(d_Irr!Z5+d_Irr!AY5+d_Irr!BX5)),IF(AND(d_Irr!Z5&lt;&gt;".",d_Irr!AY5&lt;&gt;".",d_Irr!BX5="."),d_dir!AA5/((1/1000)*(d_Irr!Z5+d_Irr!AY5)),IF(AND(d_Irr!Z5&lt;&gt;".",d_Irr!AY5=".",d_Irr!BX5&lt;&gt;"."),d_dir!AA5/((1/1000)*(d_Irr!Z5+d_Irr!BX5)),IF(AND(d_Irr!Z5=".",d_Irr!AY5&lt;&gt;".",d_Irr!BX5&lt;&gt;"."),d_dir!AA5/((1/1000)*(d_Irr!AY5+d_Irr!BX5)),IF(AND(d_Irr!Z5=".",d_Irr!AY5=".",d_Irr!BX5&lt;&gt;"."),d_dir!AA5/((1/1000)*(d_Irr!BX5)),IF(AND(d_Irr!Z5=".",d_Irr!AY5&lt;&gt;".",d_Irr!BX5="."),d_dir!AA5/((1/1000)*(d_Irr!AY5)),IF(AND(d_Irr!Z5&lt;&gt;".",d_Irr!AY5=".",d_Irr!BX5="."),d_dir!AA5/((1/1000)*(d_Irr!Z5)),IF(AND(d_Irr!Z5=".",d_Irr!AY5=".",d_Irr!BX5="."),d_dir!AA5*1000)))))))),".")</f>
        <v>.</v>
      </c>
      <c r="AB5" s="76" t="str">
        <f>IFERROR(IF(AND(d_Irr!AA5&lt;&gt;".",d_Irr!AZ5&lt;&gt;".",d_Irr!BY5&lt;&gt;"."),d_dir!AB5/((1/1000)*(d_Irr!AA5+d_Irr!AZ5+d_Irr!BY5)),IF(AND(d_Irr!AA5&lt;&gt;".",d_Irr!AZ5&lt;&gt;".",d_Irr!BY5="."),d_dir!AB5/((1/1000)*(d_Irr!AA5+d_Irr!AZ5)),IF(AND(d_Irr!AA5&lt;&gt;".",d_Irr!AZ5=".",d_Irr!BY5&lt;&gt;"."),d_dir!AB5/((1/1000)*(d_Irr!AA5+d_Irr!BY5)),IF(AND(d_Irr!AA5=".",d_Irr!AZ5&lt;&gt;".",d_Irr!BY5&lt;&gt;"."),d_dir!AB5/((1/1000)*(d_Irr!AZ5+d_Irr!BY5)),IF(AND(d_Irr!AA5=".",d_Irr!AZ5=".",d_Irr!BY5&lt;&gt;"."),d_dir!AB5/((1/1000)*(d_Irr!BY5)),IF(AND(d_Irr!AA5=".",d_Irr!AZ5&lt;&gt;".",d_Irr!BY5="."),d_dir!AB5/((1/1000)*(d_Irr!AZ5)),IF(AND(d_Irr!AA5&lt;&gt;".",d_Irr!AZ5=".",d_Irr!BY5="."),d_dir!AB5/((1/1000)*(d_Irr!AA5)),IF(AND(d_Irr!AA5=".",d_Irr!AZ5=".",d_Irr!BY5="."),d_dir!AB5*1000)))))))),".")</f>
        <v>.</v>
      </c>
      <c r="AC5" s="76" t="str">
        <f t="shared" si="0"/>
        <v>.</v>
      </c>
      <c r="AD5" s="76" t="str">
        <f>IFERROR(IF(AND(d_Irr!C5&lt;&gt;".",d_Irr!AB5&lt;&gt;".",d_Irr!BA5&lt;&gt;"."),d_dir!AD5/((1/1000)*(d_Irr!C5+d_Irr!AB5+d_Irr!BA5)),IF(AND(d_Irr!C5&lt;&gt;".",d_Irr!AB5&lt;&gt;".",d_Irr!BA5="."),d_dir!AD5/((1/1000)*(d_Irr!C5+d_Irr!AB5)),IF(AND(d_Irr!C5&lt;&gt;".",d_Irr!AB5=".",d_Irr!BA5&lt;&gt;"."),d_dir!AD5/((1/1000)*(d_Irr!C5+d_Irr!BA5)),IF(AND(d_Irr!C5=".",d_Irr!AB5&lt;&gt;".",d_Irr!BA5&lt;&gt;"."),d_dir!AD5/((1/1000)*(d_Irr!AB5+d_Irr!BA5)),IF(AND(d_Irr!C5=".",d_Irr!AB5=".",d_Irr!BA5&lt;&gt;"."),d_dir!AD5/((1/1000)*(d_Irr!BA5)),IF(AND(d_Irr!C5=".",d_Irr!AB5&lt;&gt;".",d_Irr!BA5="."),d_dir!AD5/((1/1000)*(d_Irr!AB5)),IF(AND(d_Irr!C5&lt;&gt;".",d_Irr!AB5=".",d_Irr!BA5="."),d_dir!AD5/((1/1000)*(d_Irr!C5)),IF(AND(d_Irr!C5=".",d_Irr!AB5=".",d_Irr!BA5="."),d_dir!AD5*1000)))))))),".")</f>
        <v>.</v>
      </c>
      <c r="AE5" s="76" t="str">
        <f>IFERROR(IF(AND(d_Irr!D5&lt;&gt;".",d_Irr!AC5&lt;&gt;".",d_Irr!BB5&lt;&gt;"."),d_dir!AE5/((1/1000)*(d_Irr!D5+d_Irr!AC5+d_Irr!BB5)),IF(AND(d_Irr!D5&lt;&gt;".",d_Irr!AC5&lt;&gt;".",d_Irr!BB5="."),d_dir!AE5/((1/1000)*(d_Irr!D5+d_Irr!AC5)),IF(AND(d_Irr!D5&lt;&gt;".",d_Irr!AC5=".",d_Irr!BB5&lt;&gt;"."),d_dir!AE5/((1/1000)*(d_Irr!D5+d_Irr!BB5)),IF(AND(d_Irr!D5=".",d_Irr!AC5&lt;&gt;".",d_Irr!BB5&lt;&gt;"."),d_dir!AE5/((1/1000)*(d_Irr!AC5+d_Irr!BB5)),IF(AND(d_Irr!D5=".",d_Irr!AC5=".",d_Irr!BB5&lt;&gt;"."),d_dir!AE5/((1/1000)*(d_Irr!BB5)),IF(AND(d_Irr!D5=".",d_Irr!AC5&lt;&gt;".",d_Irr!BB5="."),d_dir!AE5/((1/1000)*(d_Irr!AC5)),IF(AND(d_Irr!D5&lt;&gt;".",d_Irr!AC5=".",d_Irr!BB5="."),d_dir!AE5/((1/1000)*(d_Irr!D5)),IF(AND(d_Irr!D5=".",d_Irr!AC5=".",d_Irr!BB5="."),d_dir!AE5*1000)))))))),".")</f>
        <v>.</v>
      </c>
      <c r="AF5" s="76" t="str">
        <f>IFERROR(IF(AND(d_Irr!E5&lt;&gt;".",d_Irr!AD5&lt;&gt;".",d_Irr!BC5&lt;&gt;"."),d_dir!AF5/((1/1000)*(d_Irr!E5+d_Irr!AD5+d_Irr!BC5)),IF(AND(d_Irr!E5&lt;&gt;".",d_Irr!AD5&lt;&gt;".",d_Irr!BC5="."),d_dir!AF5/((1/1000)*(d_Irr!E5+d_Irr!AD5)),IF(AND(d_Irr!E5&lt;&gt;".",d_Irr!AD5=".",d_Irr!BC5&lt;&gt;"."),d_dir!AF5/((1/1000)*(d_Irr!E5+d_Irr!BC5)),IF(AND(d_Irr!E5=".",d_Irr!AD5&lt;&gt;".",d_Irr!BC5&lt;&gt;"."),d_dir!AF5/((1/1000)*(d_Irr!AD5+d_Irr!BC5)),IF(AND(d_Irr!E5=".",d_Irr!AD5=".",d_Irr!BC5&lt;&gt;"."),d_dir!AF5/((1/1000)*(d_Irr!BC5)),IF(AND(d_Irr!E5=".",d_Irr!AD5&lt;&gt;".",d_Irr!BC5="."),d_dir!AF5/((1/1000)*(d_Irr!AD5)),IF(AND(d_Irr!E5&lt;&gt;".",d_Irr!AD5=".",d_Irr!BC5="."),d_dir!AF5/((1/1000)*(d_Irr!E5)),IF(AND(d_Irr!E5=".",d_Irr!AD5=".",d_Irr!BC5="."),d_dir!AF5*1000)))))))),".")</f>
        <v>.</v>
      </c>
      <c r="AG5" s="76" t="str">
        <f>IFERROR(IF(AND(d_Irr!F5&lt;&gt;".",d_Irr!AE5&lt;&gt;".",d_Irr!BD5&lt;&gt;"."),d_dir!AG5/((1/1000)*(d_Irr!F5+d_Irr!AE5+d_Irr!BD5)),IF(AND(d_Irr!F5&lt;&gt;".",d_Irr!AE5&lt;&gt;".",d_Irr!BD5="."),d_dir!AG5/((1/1000)*(d_Irr!F5+d_Irr!AE5)),IF(AND(d_Irr!F5&lt;&gt;".",d_Irr!AE5=".",d_Irr!BD5&lt;&gt;"."),d_dir!AG5/((1/1000)*(d_Irr!F5+d_Irr!BD5)),IF(AND(d_Irr!F5=".",d_Irr!AE5&lt;&gt;".",d_Irr!BD5&lt;&gt;"."),d_dir!AG5/((1/1000)*(d_Irr!AE5+d_Irr!BD5)),IF(AND(d_Irr!F5=".",d_Irr!AE5=".",d_Irr!BD5&lt;&gt;"."),d_dir!AG5/((1/1000)*(d_Irr!BD5)),IF(AND(d_Irr!F5=".",d_Irr!AE5&lt;&gt;".",d_Irr!BD5="."),d_dir!AG5/((1/1000)*(d_Irr!AE5)),IF(AND(d_Irr!F5&lt;&gt;".",d_Irr!AE5=".",d_Irr!BD5="."),d_dir!AG5/((1/1000)*(d_Irr!F5)),IF(AND(d_Irr!F5=".",d_Irr!AE5=".",d_Irr!BD5="."),d_dir!AG5*1000)))))))),".")</f>
        <v>.</v>
      </c>
      <c r="AH5" s="76" t="str">
        <f>IFERROR(IF(AND(d_Irr!G5&lt;&gt;".",d_Irr!AF5&lt;&gt;".",d_Irr!BE5&lt;&gt;"."),d_dir!AH5/((1/1000)*(d_Irr!G5+d_Irr!AF5+d_Irr!BE5)),IF(AND(d_Irr!G5&lt;&gt;".",d_Irr!AF5&lt;&gt;".",d_Irr!BE5="."),d_dir!AH5/((1/1000)*(d_Irr!G5+d_Irr!AF5)),IF(AND(d_Irr!G5&lt;&gt;".",d_Irr!AF5=".",d_Irr!BE5&lt;&gt;"."),d_dir!AH5/((1/1000)*(d_Irr!G5+d_Irr!BE5)),IF(AND(d_Irr!G5=".",d_Irr!AF5&lt;&gt;".",d_Irr!BE5&lt;&gt;"."),d_dir!AH5/((1/1000)*(d_Irr!AF5+d_Irr!BE5)),IF(AND(d_Irr!G5=".",d_Irr!AF5=".",d_Irr!BE5&lt;&gt;"."),d_dir!AH5/((1/1000)*(d_Irr!BE5)),IF(AND(d_Irr!G5=".",d_Irr!AF5&lt;&gt;".",d_Irr!BE5="."),d_dir!AH5/((1/1000)*(d_Irr!AF5)),IF(AND(d_Irr!G5&lt;&gt;".",d_Irr!AF5=".",d_Irr!BE5="."),d_dir!AH5/((1/1000)*(d_Irr!G5)),IF(AND(d_Irr!G5=".",d_Irr!AF5=".",d_Irr!BE5="."),d_dir!AH5*1000)))))))),".")</f>
        <v>.</v>
      </c>
      <c r="AI5" s="76" t="str">
        <f>IFERROR(IF(AND(d_Irr!H5&lt;&gt;".",d_Irr!AG5&lt;&gt;".",d_Irr!BF5&lt;&gt;"."),d_dir!AI5/((1/1000)*(d_Irr!H5+d_Irr!AG5+d_Irr!BF5)),IF(AND(d_Irr!H5&lt;&gt;".",d_Irr!AG5&lt;&gt;".",d_Irr!BF5="."),d_dir!AI5/((1/1000)*(d_Irr!H5+d_Irr!AG5)),IF(AND(d_Irr!H5&lt;&gt;".",d_Irr!AG5=".",d_Irr!BF5&lt;&gt;"."),d_dir!AI5/((1/1000)*(d_Irr!H5+d_Irr!BF5)),IF(AND(d_Irr!H5=".",d_Irr!AG5&lt;&gt;".",d_Irr!BF5&lt;&gt;"."),d_dir!AI5/((1/1000)*(d_Irr!AG5+d_Irr!BF5)),IF(AND(d_Irr!H5=".",d_Irr!AG5=".",d_Irr!BF5&lt;&gt;"."),d_dir!AI5/((1/1000)*(d_Irr!BF5)),IF(AND(d_Irr!H5=".",d_Irr!AG5&lt;&gt;".",d_Irr!BF5="."),d_dir!AI5/((1/1000)*(d_Irr!AG5)),IF(AND(d_Irr!H5&lt;&gt;".",d_Irr!AG5=".",d_Irr!BF5="."),d_dir!AI5/((1/1000)*(d_Irr!H5)),IF(AND(d_Irr!H5=".",d_Irr!AG5=".",d_Irr!BF5="."),d_dir!AI5*1000)))))))),".")</f>
        <v>.</v>
      </c>
      <c r="AJ5" s="76" t="str">
        <f>IFERROR(IF(AND(d_Irr!I5&lt;&gt;".",d_Irr!AH5&lt;&gt;".",d_Irr!BG5&lt;&gt;"."),d_dir!AJ5/((1/1000)*(d_Irr!I5+d_Irr!AH5+d_Irr!BG5)),IF(AND(d_Irr!I5&lt;&gt;".",d_Irr!AH5&lt;&gt;".",d_Irr!BG5="."),d_dir!AJ5/((1/1000)*(d_Irr!I5+d_Irr!AH5)),IF(AND(d_Irr!I5&lt;&gt;".",d_Irr!AH5=".",d_Irr!BG5&lt;&gt;"."),d_dir!AJ5/((1/1000)*(d_Irr!I5+d_Irr!BG5)),IF(AND(d_Irr!I5=".",d_Irr!AH5&lt;&gt;".",d_Irr!BG5&lt;&gt;"."),d_dir!AJ5/((1/1000)*(d_Irr!AH5+d_Irr!BG5)),IF(AND(d_Irr!I5=".",d_Irr!AH5=".",d_Irr!BG5&lt;&gt;"."),d_dir!AJ5/((1/1000)*(d_Irr!BG5)),IF(AND(d_Irr!I5=".",d_Irr!AH5&lt;&gt;".",d_Irr!BG5="."),d_dir!AJ5/((1/1000)*(d_Irr!AH5)),IF(AND(d_Irr!I5&lt;&gt;".",d_Irr!AH5=".",d_Irr!BG5="."),d_dir!AJ5/((1/1000)*(d_Irr!I5)),IF(AND(d_Irr!I5=".",d_Irr!AH5=".",d_Irr!BG5="."),d_dir!AJ5*1000)))))))),".")</f>
        <v>.</v>
      </c>
      <c r="AK5" s="76" t="str">
        <f>IFERROR(IF(AND(d_Irr!J5&lt;&gt;".",d_Irr!AI5&lt;&gt;".",d_Irr!BH5&lt;&gt;"."),d_dir!AK5/((1/1000)*(d_Irr!J5+d_Irr!AI5+d_Irr!BH5)),IF(AND(d_Irr!J5&lt;&gt;".",d_Irr!AI5&lt;&gt;".",d_Irr!BH5="."),d_dir!AK5/((1/1000)*(d_Irr!J5+d_Irr!AI5)),IF(AND(d_Irr!J5&lt;&gt;".",d_Irr!AI5=".",d_Irr!BH5&lt;&gt;"."),d_dir!AK5/((1/1000)*(d_Irr!J5+d_Irr!BH5)),IF(AND(d_Irr!J5=".",d_Irr!AI5&lt;&gt;".",d_Irr!BH5&lt;&gt;"."),d_dir!AK5/((1/1000)*(d_Irr!AI5+d_Irr!BH5)),IF(AND(d_Irr!J5=".",d_Irr!AI5=".",d_Irr!BH5&lt;&gt;"."),d_dir!AK5/((1/1000)*(d_Irr!BH5)),IF(AND(d_Irr!J5=".",d_Irr!AI5&lt;&gt;".",d_Irr!BH5="."),d_dir!AK5/((1/1000)*(d_Irr!AI5)),IF(AND(d_Irr!J5&lt;&gt;".",d_Irr!AI5=".",d_Irr!BH5="."),d_dir!AK5/((1/1000)*(d_Irr!J5)),IF(AND(d_Irr!J5=".",d_Irr!AI5=".",d_Irr!BH5="."),d_dir!AK5*1000)))))))),".")</f>
        <v>.</v>
      </c>
      <c r="AL5" s="76" t="str">
        <f>IFERROR(IF(AND(d_Irr!K5&lt;&gt;".",d_Irr!AJ5&lt;&gt;".",d_Irr!BI5&lt;&gt;"."),d_dir!AL5/((1/1000)*(d_Irr!K5+d_Irr!AJ5+d_Irr!BI5)),IF(AND(d_Irr!K5&lt;&gt;".",d_Irr!AJ5&lt;&gt;".",d_Irr!BI5="."),d_dir!AL5/((1/1000)*(d_Irr!K5+d_Irr!AJ5)),IF(AND(d_Irr!K5&lt;&gt;".",d_Irr!AJ5=".",d_Irr!BI5&lt;&gt;"."),d_dir!AL5/((1/1000)*(d_Irr!K5+d_Irr!BI5)),IF(AND(d_Irr!K5=".",d_Irr!AJ5&lt;&gt;".",d_Irr!BI5&lt;&gt;"."),d_dir!AL5/((1/1000)*(d_Irr!AJ5+d_Irr!BI5)),IF(AND(d_Irr!K5=".",d_Irr!AJ5=".",d_Irr!BI5&lt;&gt;"."),d_dir!AL5/((1/1000)*(d_Irr!BI5)),IF(AND(d_Irr!K5=".",d_Irr!AJ5&lt;&gt;".",d_Irr!BI5="."),d_dir!AL5/((1/1000)*(d_Irr!AJ5)),IF(AND(d_Irr!K5&lt;&gt;".",d_Irr!AJ5=".",d_Irr!BI5="."),d_dir!AL5/((1/1000)*(d_Irr!K5)),IF(AND(d_Irr!K5=".",d_Irr!AJ5=".",d_Irr!BI5="."),d_dir!AL5*1000)))))))),".")</f>
        <v>.</v>
      </c>
      <c r="AM5" s="76" t="str">
        <f>IFERROR(IF(AND(d_Irr!L5&lt;&gt;".",d_Irr!AK5&lt;&gt;".",d_Irr!BJ5&lt;&gt;"."),d_dir!AM5/((1/1000)*(d_Irr!L5+d_Irr!AK5+d_Irr!BJ5)),IF(AND(d_Irr!L5&lt;&gt;".",d_Irr!AK5&lt;&gt;".",d_Irr!BJ5="."),d_dir!AM5/((1/1000)*(d_Irr!L5+d_Irr!AK5)),IF(AND(d_Irr!L5&lt;&gt;".",d_Irr!AK5=".",d_Irr!BJ5&lt;&gt;"."),d_dir!AM5/((1/1000)*(d_Irr!L5+d_Irr!BJ5)),IF(AND(d_Irr!L5=".",d_Irr!AK5&lt;&gt;".",d_Irr!BJ5&lt;&gt;"."),d_dir!AM5/((1/1000)*(d_Irr!AK5+d_Irr!BJ5)),IF(AND(d_Irr!L5=".",d_Irr!AK5=".",d_Irr!BJ5&lt;&gt;"."),d_dir!AM5/((1/1000)*(d_Irr!BJ5)),IF(AND(d_Irr!L5=".",d_Irr!AK5&lt;&gt;".",d_Irr!BJ5="."),d_dir!AM5/((1/1000)*(d_Irr!AK5)),IF(AND(d_Irr!L5&lt;&gt;".",d_Irr!AK5=".",d_Irr!BJ5="."),d_dir!AM5/((1/1000)*(d_Irr!L5)),IF(AND(d_Irr!L5=".",d_Irr!AK5=".",d_Irr!BJ5="."),d_dir!AM5*1000)))))))),".")</f>
        <v>.</v>
      </c>
      <c r="AN5" s="76" t="str">
        <f>IFERROR(IF(AND(d_Irr!M5&lt;&gt;".",d_Irr!AL5&lt;&gt;".",d_Irr!BK5&lt;&gt;"."),d_dir!AN5/((1/1000)*(d_Irr!M5+d_Irr!AL5+d_Irr!BK5)),IF(AND(d_Irr!M5&lt;&gt;".",d_Irr!AL5&lt;&gt;".",d_Irr!BK5="."),d_dir!AN5/((1/1000)*(d_Irr!M5+d_Irr!AL5)),IF(AND(d_Irr!M5&lt;&gt;".",d_Irr!AL5=".",d_Irr!BK5&lt;&gt;"."),d_dir!AN5/((1/1000)*(d_Irr!M5+d_Irr!BK5)),IF(AND(d_Irr!M5=".",d_Irr!AL5&lt;&gt;".",d_Irr!BK5&lt;&gt;"."),d_dir!AN5/((1/1000)*(d_Irr!AL5+d_Irr!BK5)),IF(AND(d_Irr!M5=".",d_Irr!AL5=".",d_Irr!BK5&lt;&gt;"."),d_dir!AN5/((1/1000)*(d_Irr!BK5)),IF(AND(d_Irr!M5=".",d_Irr!AL5&lt;&gt;".",d_Irr!BK5="."),d_dir!AN5/((1/1000)*(d_Irr!AL5)),IF(AND(d_Irr!M5&lt;&gt;".",d_Irr!AL5=".",d_Irr!BK5="."),d_dir!AN5/((1/1000)*(d_Irr!M5)),IF(AND(d_Irr!M5=".",d_Irr!AL5=".",d_Irr!BK5="."),d_dir!AN5*1000)))))))),".")</f>
        <v>.</v>
      </c>
      <c r="AO5" s="76" t="str">
        <f>IFERROR(IF(AND(d_Irr!N5&lt;&gt;".",d_Irr!AM5&lt;&gt;".",d_Irr!BL5&lt;&gt;"."),d_dir!AO5/((1/1000)*(d_Irr!N5+d_Irr!AM5+d_Irr!BL5)),IF(AND(d_Irr!N5&lt;&gt;".",d_Irr!AM5&lt;&gt;".",d_Irr!BL5="."),d_dir!AO5/((1/1000)*(d_Irr!N5+d_Irr!AM5)),IF(AND(d_Irr!N5&lt;&gt;".",d_Irr!AM5=".",d_Irr!BL5&lt;&gt;"."),d_dir!AO5/((1/1000)*(d_Irr!N5+d_Irr!BL5)),IF(AND(d_Irr!N5=".",d_Irr!AM5&lt;&gt;".",d_Irr!BL5&lt;&gt;"."),d_dir!AO5/((1/1000)*(d_Irr!AM5+d_Irr!BL5)),IF(AND(d_Irr!N5=".",d_Irr!AM5=".",d_Irr!BL5&lt;&gt;"."),d_dir!AO5/((1/1000)*(d_Irr!BL5)),IF(AND(d_Irr!N5=".",d_Irr!AM5&lt;&gt;".",d_Irr!BL5="."),d_dir!AO5/((1/1000)*(d_Irr!AM5)),IF(AND(d_Irr!N5&lt;&gt;".",d_Irr!AM5=".",d_Irr!BL5="."),d_dir!AO5/((1/1000)*(d_Irr!N5)),IF(AND(d_Irr!N5=".",d_Irr!AM5=".",d_Irr!BL5="."),d_dir!AO5*1000)))))))),".")</f>
        <v>.</v>
      </c>
      <c r="AP5" s="76" t="str">
        <f>IFERROR(IF(AND(d_Irr!O5&lt;&gt;".",d_Irr!AN5&lt;&gt;".",d_Irr!BM5&lt;&gt;"."),d_dir!AP5/((1/1000)*(d_Irr!O5+d_Irr!AN5+d_Irr!BM5)),IF(AND(d_Irr!O5&lt;&gt;".",d_Irr!AN5&lt;&gt;".",d_Irr!BM5="."),d_dir!AP5/((1/1000)*(d_Irr!O5+d_Irr!AN5)),IF(AND(d_Irr!O5&lt;&gt;".",d_Irr!AN5=".",d_Irr!BM5&lt;&gt;"."),d_dir!AP5/((1/1000)*(d_Irr!O5+d_Irr!BM5)),IF(AND(d_Irr!O5=".",d_Irr!AN5&lt;&gt;".",d_Irr!BM5&lt;&gt;"."),d_dir!AP5/((1/1000)*(d_Irr!AN5+d_Irr!BM5)),IF(AND(d_Irr!O5=".",d_Irr!AN5=".",d_Irr!BM5&lt;&gt;"."),d_dir!AP5/((1/1000)*(d_Irr!BM5)),IF(AND(d_Irr!O5=".",d_Irr!AN5&lt;&gt;".",d_Irr!BM5="."),d_dir!AP5/((1/1000)*(d_Irr!AN5)),IF(AND(d_Irr!O5&lt;&gt;".",d_Irr!AN5=".",d_Irr!BM5="."),d_dir!AP5/((1/1000)*(d_Irr!O5)),IF(AND(d_Irr!O5=".",d_Irr!AN5=".",d_Irr!BM5="."),d_dir!AP5*1000)))))))),".")</f>
        <v>.</v>
      </c>
      <c r="AQ5" s="76" t="str">
        <f>IFERROR(IF(AND(d_Irr!P5&lt;&gt;".",d_Irr!AO5&lt;&gt;".",d_Irr!BN5&lt;&gt;"."),d_dir!AQ5/((1/1000)*(d_Irr!P5+d_Irr!AO5+d_Irr!BN5)),IF(AND(d_Irr!P5&lt;&gt;".",d_Irr!AO5&lt;&gt;".",d_Irr!BN5="."),d_dir!AQ5/((1/1000)*(d_Irr!P5+d_Irr!AO5)),IF(AND(d_Irr!P5&lt;&gt;".",d_Irr!AO5=".",d_Irr!BN5&lt;&gt;"."),d_dir!AQ5/((1/1000)*(d_Irr!P5+d_Irr!BN5)),IF(AND(d_Irr!P5=".",d_Irr!AO5&lt;&gt;".",d_Irr!BN5&lt;&gt;"."),d_dir!AQ5/((1/1000)*(d_Irr!AO5+d_Irr!BN5)),IF(AND(d_Irr!P5=".",d_Irr!AO5=".",d_Irr!BN5&lt;&gt;"."),d_dir!AQ5/((1/1000)*(d_Irr!BN5)),IF(AND(d_Irr!P5=".",d_Irr!AO5&lt;&gt;".",d_Irr!BN5="."),d_dir!AQ5/((1/1000)*(d_Irr!AO5)),IF(AND(d_Irr!P5&lt;&gt;".",d_Irr!AO5=".",d_Irr!BN5="."),d_dir!AQ5/((1/1000)*(d_Irr!P5)),IF(AND(d_Irr!P5=".",d_Irr!AO5=".",d_Irr!BN5="."),d_dir!AQ5*1000)))))))),".")</f>
        <v>.</v>
      </c>
      <c r="AR5" s="76" t="str">
        <f>IFERROR(IF(AND(d_Irr!Q5&lt;&gt;".",d_Irr!AP5&lt;&gt;".",d_Irr!BO5&lt;&gt;"."),d_dir!AR5/((1/1000)*(d_Irr!Q5+d_Irr!AP5+d_Irr!BO5)),IF(AND(d_Irr!Q5&lt;&gt;".",d_Irr!AP5&lt;&gt;".",d_Irr!BO5="."),d_dir!AR5/((1/1000)*(d_Irr!Q5+d_Irr!AP5)),IF(AND(d_Irr!Q5&lt;&gt;".",d_Irr!AP5=".",d_Irr!BO5&lt;&gt;"."),d_dir!AR5/((1/1000)*(d_Irr!Q5+d_Irr!BO5)),IF(AND(d_Irr!Q5=".",d_Irr!AP5&lt;&gt;".",d_Irr!BO5&lt;&gt;"."),d_dir!AR5/((1/1000)*(d_Irr!AP5+d_Irr!BO5)),IF(AND(d_Irr!Q5=".",d_Irr!AP5=".",d_Irr!BO5&lt;&gt;"."),d_dir!AR5/((1/1000)*(d_Irr!BO5)),IF(AND(d_Irr!Q5=".",d_Irr!AP5&lt;&gt;".",d_Irr!BO5="."),d_dir!AR5/((1/1000)*(d_Irr!AP5)),IF(AND(d_Irr!Q5&lt;&gt;".",d_Irr!AP5=".",d_Irr!BO5="."),d_dir!AR5/((1/1000)*(d_Irr!Q5)),IF(AND(d_Irr!Q5=".",d_Irr!AP5=".",d_Irr!BO5="."),d_dir!AR5*1000)))))))),".")</f>
        <v>.</v>
      </c>
      <c r="AS5" s="76" t="str">
        <f>IFERROR(IF(AND(d_Irr!R5&lt;&gt;".",d_Irr!AQ5&lt;&gt;".",d_Irr!BP5&lt;&gt;"."),d_dir!AS5/((1/1000)*(d_Irr!R5+d_Irr!AQ5+d_Irr!BP5)),IF(AND(d_Irr!R5&lt;&gt;".",d_Irr!AQ5&lt;&gt;".",d_Irr!BP5="."),d_dir!AS5/((1/1000)*(d_Irr!R5+d_Irr!AQ5)),IF(AND(d_Irr!R5&lt;&gt;".",d_Irr!AQ5=".",d_Irr!BP5&lt;&gt;"."),d_dir!AS5/((1/1000)*(d_Irr!R5+d_Irr!BP5)),IF(AND(d_Irr!R5=".",d_Irr!AQ5&lt;&gt;".",d_Irr!BP5&lt;&gt;"."),d_dir!AS5/((1/1000)*(d_Irr!AQ5+d_Irr!BP5)),IF(AND(d_Irr!R5=".",d_Irr!AQ5=".",d_Irr!BP5&lt;&gt;"."),d_dir!AS5/((1/1000)*(d_Irr!BP5)),IF(AND(d_Irr!R5=".",d_Irr!AQ5&lt;&gt;".",d_Irr!BP5="."),d_dir!AS5/((1/1000)*(d_Irr!AQ5)),IF(AND(d_Irr!R5&lt;&gt;".",d_Irr!AQ5=".",d_Irr!BP5="."),d_dir!AS5/((1/1000)*(d_Irr!R5)),IF(AND(d_Irr!R5=".",d_Irr!AQ5=".",d_Irr!BP5="."),d_dir!AS5*1000)))))))),".")</f>
        <v>.</v>
      </c>
      <c r="AT5" s="76" t="str">
        <f>IFERROR(IF(AND(d_Irr!S5&lt;&gt;".",d_Irr!AR5&lt;&gt;".",d_Irr!BQ5&lt;&gt;"."),d_dir!AT5/((1/1000)*(d_Irr!S5+d_Irr!AR5+d_Irr!BQ5)),IF(AND(d_Irr!S5&lt;&gt;".",d_Irr!AR5&lt;&gt;".",d_Irr!BQ5="."),d_dir!AT5/((1/1000)*(d_Irr!S5+d_Irr!AR5)),IF(AND(d_Irr!S5&lt;&gt;".",d_Irr!AR5=".",d_Irr!BQ5&lt;&gt;"."),d_dir!AT5/((1/1000)*(d_Irr!S5+d_Irr!BQ5)),IF(AND(d_Irr!S5=".",d_Irr!AR5&lt;&gt;".",d_Irr!BQ5&lt;&gt;"."),d_dir!AT5/((1/1000)*(d_Irr!AR5+d_Irr!BQ5)),IF(AND(d_Irr!S5=".",d_Irr!AR5=".",d_Irr!BQ5&lt;&gt;"."),d_dir!AT5/((1/1000)*(d_Irr!BQ5)),IF(AND(d_Irr!S5=".",d_Irr!AR5&lt;&gt;".",d_Irr!BQ5="."),d_dir!AT5/((1/1000)*(d_Irr!AR5)),IF(AND(d_Irr!S5&lt;&gt;".",d_Irr!AR5=".",d_Irr!BQ5="."),d_dir!AT5/((1/1000)*(d_Irr!S5)),IF(AND(d_Irr!S5=".",d_Irr!AR5=".",d_Irr!BQ5="."),d_dir!AT5*1000)))))))),".")</f>
        <v>.</v>
      </c>
      <c r="AU5" s="76" t="str">
        <f>IFERROR(IF(AND(d_Irr!T5&lt;&gt;".",d_Irr!AS5&lt;&gt;".",d_Irr!BR5&lt;&gt;"."),d_dir!AU5/((1/1000)*(d_Irr!T5+d_Irr!AS5+d_Irr!BR5)),IF(AND(d_Irr!T5&lt;&gt;".",d_Irr!AS5&lt;&gt;".",d_Irr!BR5="."),d_dir!AU5/((1/1000)*(d_Irr!T5+d_Irr!AS5)),IF(AND(d_Irr!T5&lt;&gt;".",d_Irr!AS5=".",d_Irr!BR5&lt;&gt;"."),d_dir!AU5/((1/1000)*(d_Irr!T5+d_Irr!BR5)),IF(AND(d_Irr!T5=".",d_Irr!AS5&lt;&gt;".",d_Irr!BR5&lt;&gt;"."),d_dir!AU5/((1/1000)*(d_Irr!AS5+d_Irr!BR5)),IF(AND(d_Irr!T5=".",d_Irr!AS5=".",d_Irr!BR5&lt;&gt;"."),d_dir!AU5/((1/1000)*(d_Irr!BR5)),IF(AND(d_Irr!T5=".",d_Irr!AS5&lt;&gt;".",d_Irr!BR5="."),d_dir!AU5/((1/1000)*(d_Irr!AS5)),IF(AND(d_Irr!T5&lt;&gt;".",d_Irr!AS5=".",d_Irr!BR5="."),d_dir!AU5/((1/1000)*(d_Irr!T5)),IF(AND(d_Irr!T5=".",d_Irr!AS5=".",d_Irr!BR5="."),d_dir!AU5*1000)))))))),".")</f>
        <v>.</v>
      </c>
      <c r="AV5" s="76" t="str">
        <f>IFERROR(IF(AND(d_Irr!U5&lt;&gt;".",d_Irr!AT5&lt;&gt;".",d_Irr!BS5&lt;&gt;"."),d_dir!AV5/((1/1000)*(d_Irr!U5+d_Irr!AT5+d_Irr!BS5)),IF(AND(d_Irr!U5&lt;&gt;".",d_Irr!AT5&lt;&gt;".",d_Irr!BS5="."),d_dir!AV5/((1/1000)*(d_Irr!U5+d_Irr!AT5)),IF(AND(d_Irr!U5&lt;&gt;".",d_Irr!AT5=".",d_Irr!BS5&lt;&gt;"."),d_dir!AV5/((1/1000)*(d_Irr!U5+d_Irr!BS5)),IF(AND(d_Irr!U5=".",d_Irr!AT5&lt;&gt;".",d_Irr!BS5&lt;&gt;"."),d_dir!AV5/((1/1000)*(d_Irr!AT5+d_Irr!BS5)),IF(AND(d_Irr!U5=".",d_Irr!AT5=".",d_Irr!BS5&lt;&gt;"."),d_dir!AV5/((1/1000)*(d_Irr!BS5)),IF(AND(d_Irr!U5=".",d_Irr!AT5&lt;&gt;".",d_Irr!BS5="."),d_dir!AV5/((1/1000)*(d_Irr!AT5)),IF(AND(d_Irr!U5&lt;&gt;".",d_Irr!AT5=".",d_Irr!BS5="."),d_dir!AV5/((1/1000)*(d_Irr!U5)),IF(AND(d_Irr!U5=".",d_Irr!AT5=".",d_Irr!BS5="."),d_dir!AV5*1000)))))))),".")</f>
        <v>.</v>
      </c>
      <c r="AW5" s="76" t="str">
        <f>IFERROR(IF(AND(d_Irr!V5&lt;&gt;".",d_Irr!AU5&lt;&gt;".",d_Irr!BT5&lt;&gt;"."),d_dir!AW5/((1/1000)*(d_Irr!V5+d_Irr!AU5+d_Irr!BT5)),IF(AND(d_Irr!V5&lt;&gt;".",d_Irr!AU5&lt;&gt;".",d_Irr!BT5="."),d_dir!AW5/((1/1000)*(d_Irr!V5+d_Irr!AU5)),IF(AND(d_Irr!V5&lt;&gt;".",d_Irr!AU5=".",d_Irr!BT5&lt;&gt;"."),d_dir!AW5/((1/1000)*(d_Irr!V5+d_Irr!BT5)),IF(AND(d_Irr!V5=".",d_Irr!AU5&lt;&gt;".",d_Irr!BT5&lt;&gt;"."),d_dir!AW5/((1/1000)*(d_Irr!AU5+d_Irr!BT5)),IF(AND(d_Irr!V5=".",d_Irr!AU5=".",d_Irr!BT5&lt;&gt;"."),d_dir!AW5/((1/1000)*(d_Irr!BT5)),IF(AND(d_Irr!V5=".",d_Irr!AU5&lt;&gt;".",d_Irr!BT5="."),d_dir!AW5/((1/1000)*(d_Irr!AU5)),IF(AND(d_Irr!V5&lt;&gt;".",d_Irr!AU5=".",d_Irr!BT5="."),d_dir!AW5/((1/1000)*(d_Irr!V5)),IF(AND(d_Irr!V5=".",d_Irr!AU5=".",d_Irr!BT5="."),d_dir!AW5*1000)))))))),".")</f>
        <v>.</v>
      </c>
      <c r="AX5" s="76" t="str">
        <f>IFERROR(IF(AND(d_Irr!W5&lt;&gt;".",d_Irr!AV5&lt;&gt;".",d_Irr!BU5&lt;&gt;"."),d_dir!AX5/((1/1000)*(d_Irr!W5+d_Irr!AV5+d_Irr!BU5)),IF(AND(d_Irr!W5&lt;&gt;".",d_Irr!AV5&lt;&gt;".",d_Irr!BU5="."),d_dir!AX5/((1/1000)*(d_Irr!W5+d_Irr!AV5)),IF(AND(d_Irr!W5&lt;&gt;".",d_Irr!AV5=".",d_Irr!BU5&lt;&gt;"."),d_dir!AX5/((1/1000)*(d_Irr!W5+d_Irr!BU5)),IF(AND(d_Irr!W5=".",d_Irr!AV5&lt;&gt;".",d_Irr!BU5&lt;&gt;"."),d_dir!AX5/((1/1000)*(d_Irr!AV5+d_Irr!BU5)),IF(AND(d_Irr!W5=".",d_Irr!AV5=".",d_Irr!BU5&lt;&gt;"."),d_dir!AX5/((1/1000)*(d_Irr!BU5)),IF(AND(d_Irr!W5=".",d_Irr!AV5&lt;&gt;".",d_Irr!BU5="."),d_dir!AX5/((1/1000)*(d_Irr!AV5)),IF(AND(d_Irr!W5&lt;&gt;".",d_Irr!AV5=".",d_Irr!BU5="."),d_dir!AX5/((1/1000)*(d_Irr!W5)),IF(AND(d_Irr!W5=".",d_Irr!AV5=".",d_Irr!BU5="."),d_dir!AX5*1000)))))))),".")</f>
        <v>.</v>
      </c>
      <c r="AY5" s="76" t="str">
        <f>IFERROR(IF(AND(d_Irr!X5&lt;&gt;".",d_Irr!AW5&lt;&gt;".",d_Irr!BV5&lt;&gt;"."),d_dir!AY5/((1/1000)*(d_Irr!X5+d_Irr!AW5+d_Irr!BV5)),IF(AND(d_Irr!X5&lt;&gt;".",d_Irr!AW5&lt;&gt;".",d_Irr!BV5="."),d_dir!AY5/((1/1000)*(d_Irr!X5+d_Irr!AW5)),IF(AND(d_Irr!X5&lt;&gt;".",d_Irr!AW5=".",d_Irr!BV5&lt;&gt;"."),d_dir!AY5/((1/1000)*(d_Irr!X5+d_Irr!BV5)),IF(AND(d_Irr!X5=".",d_Irr!AW5&lt;&gt;".",d_Irr!BV5&lt;&gt;"."),d_dir!AY5/((1/1000)*(d_Irr!AW5+d_Irr!BV5)),IF(AND(d_Irr!X5=".",d_Irr!AW5=".",d_Irr!BV5&lt;&gt;"."),d_dir!AY5/((1/1000)*(d_Irr!BV5)),IF(AND(d_Irr!X5=".",d_Irr!AW5&lt;&gt;".",d_Irr!BV5="."),d_dir!AY5/((1/1000)*(d_Irr!AW5)),IF(AND(d_Irr!X5&lt;&gt;".",d_Irr!AW5=".",d_Irr!BV5="."),d_dir!AY5/((1/1000)*(d_Irr!X5)),IF(AND(d_Irr!X5=".",d_Irr!AW5=".",d_Irr!BV5="."),d_dir!AY5*1000)))))))),".")</f>
        <v>.</v>
      </c>
      <c r="AZ5" s="76" t="str">
        <f>IFERROR(IF(AND(d_Irr!Y5&lt;&gt;".",d_Irr!AX5&lt;&gt;".",d_Irr!BW5&lt;&gt;"."),d_dir!AZ5/((1/1000)*(d_Irr!Y5+d_Irr!AX5+d_Irr!BW5)),IF(AND(d_Irr!Y5&lt;&gt;".",d_Irr!AX5&lt;&gt;".",d_Irr!BW5="."),d_dir!AZ5/((1/1000)*(d_Irr!Y5+d_Irr!AX5)),IF(AND(d_Irr!Y5&lt;&gt;".",d_Irr!AX5=".",d_Irr!BW5&lt;&gt;"."),d_dir!AZ5/((1/1000)*(d_Irr!Y5+d_Irr!BW5)),IF(AND(d_Irr!Y5=".",d_Irr!AX5&lt;&gt;".",d_Irr!BW5&lt;&gt;"."),d_dir!AZ5/((1/1000)*(d_Irr!AX5+d_Irr!BW5)),IF(AND(d_Irr!Y5=".",d_Irr!AX5=".",d_Irr!BW5&lt;&gt;"."),d_dir!AZ5/((1/1000)*(d_Irr!BW5)),IF(AND(d_Irr!Y5=".",d_Irr!AX5&lt;&gt;".",d_Irr!BW5="."),d_dir!AZ5/((1/1000)*(d_Irr!AX5)),IF(AND(d_Irr!Y5&lt;&gt;".",d_Irr!AX5=".",d_Irr!BW5="."),d_dir!AZ5/((1/1000)*(d_Irr!Y5)),IF(AND(d_Irr!Y5=".",d_Irr!AX5=".",d_Irr!BW5="."),d_dir!AZ5*1000)))))))),".")</f>
        <v>.</v>
      </c>
      <c r="BA5" s="76" t="str">
        <f>IFERROR(IF(AND(d_Irr!Z5&lt;&gt;".",d_Irr!AY5&lt;&gt;".",d_Irr!BX5&lt;&gt;"."),d_dir!BA5/((1/1000)*(d_Irr!Z5+d_Irr!AY5+d_Irr!BX5)),IF(AND(d_Irr!Z5&lt;&gt;".",d_Irr!AY5&lt;&gt;".",d_Irr!BX5="."),d_dir!BA5/((1/1000)*(d_Irr!Z5+d_Irr!AY5)),IF(AND(d_Irr!Z5&lt;&gt;".",d_Irr!AY5=".",d_Irr!BX5&lt;&gt;"."),d_dir!BA5/((1/1000)*(d_Irr!Z5+d_Irr!BX5)),IF(AND(d_Irr!Z5=".",d_Irr!AY5&lt;&gt;".",d_Irr!BX5&lt;&gt;"."),d_dir!BA5/((1/1000)*(d_Irr!AY5+d_Irr!BX5)),IF(AND(d_Irr!Z5=".",d_Irr!AY5=".",d_Irr!BX5&lt;&gt;"."),d_dir!BA5/((1/1000)*(d_Irr!BX5)),IF(AND(d_Irr!Z5=".",d_Irr!AY5&lt;&gt;".",d_Irr!BX5="."),d_dir!BA5/((1/1000)*(d_Irr!AY5)),IF(AND(d_Irr!Z5&lt;&gt;".",d_Irr!AY5=".",d_Irr!BX5="."),d_dir!BA5/((1/1000)*(d_Irr!Z5)),IF(AND(d_Irr!Z5=".",d_Irr!AY5=".",d_Irr!BX5="."),d_dir!BA5*1000)))))))),".")</f>
        <v>.</v>
      </c>
      <c r="BB5" s="76" t="str">
        <f>IFERROR(IF(AND(d_Irr!AA5&lt;&gt;".",d_Irr!AZ5&lt;&gt;".",d_Irr!BY5&lt;&gt;"."),d_dir!BB5/((1/1000)*(d_Irr!AA5+d_Irr!AZ5+d_Irr!BY5)),IF(AND(d_Irr!AA5&lt;&gt;".",d_Irr!AZ5&lt;&gt;".",d_Irr!BY5="."),d_dir!BB5/((1/1000)*(d_Irr!AA5+d_Irr!AZ5)),IF(AND(d_Irr!AA5&lt;&gt;".",d_Irr!AZ5=".",d_Irr!BY5&lt;&gt;"."),d_dir!BB5/((1/1000)*(d_Irr!AA5+d_Irr!BY5)),IF(AND(d_Irr!AA5=".",d_Irr!AZ5&lt;&gt;".",d_Irr!BY5&lt;&gt;"."),d_dir!BB5/((1/1000)*(d_Irr!AZ5+d_Irr!BY5)),IF(AND(d_Irr!AA5=".",d_Irr!AZ5=".",d_Irr!BY5&lt;&gt;"."),d_dir!BB5/((1/1000)*(d_Irr!BY5)),IF(AND(d_Irr!AA5=".",d_Irr!AZ5&lt;&gt;".",d_Irr!BY5="."),d_dir!BB5/((1/1000)*(d_Irr!AZ5)),IF(AND(d_Irr!AA5&lt;&gt;".",d_Irr!AZ5=".",d_Irr!BY5="."),d_dir!BB5/((1/1000)*(d_Irr!AA5)),IF(AND(d_Irr!AA5=".",d_Irr!AZ5=".",d_Irr!BY5="."),d_dir!BB5*1000)))))))),".")</f>
        <v>.</v>
      </c>
    </row>
    <row r="6" spans="1:54" ht="15" customHeight="1" x14ac:dyDescent="0.25">
      <c r="A6" s="92" t="s">
        <v>16</v>
      </c>
      <c r="B6" s="90" t="s">
        <v>1071</v>
      </c>
      <c r="C6" s="2" t="str">
        <f t="shared" si="1"/>
        <v>.</v>
      </c>
      <c r="D6" s="76" t="str">
        <f>IFERROR(IF(AND(d_Irr!C6&lt;&gt;".",d_Irr!AB6&lt;&gt;".",d_Irr!BA6&lt;&gt;"."),d_dir!D6/((1/1000)*(d_Irr!C6+d_Irr!AB6+d_Irr!BA6)),IF(AND(d_Irr!C6&lt;&gt;".",d_Irr!AB6&lt;&gt;".",d_Irr!BA6="."),d_dir!D6/((1/1000)*(d_Irr!C6+d_Irr!AB6)),IF(AND(d_Irr!C6&lt;&gt;".",d_Irr!AB6=".",d_Irr!BA6&lt;&gt;"."),d_dir!D6/((1/1000)*(d_Irr!C6+d_Irr!BA6)),IF(AND(d_Irr!C6=".",d_Irr!AB6&lt;&gt;".",d_Irr!BA6&lt;&gt;"."),d_dir!D6/((1/1000)*(d_Irr!AB6+d_Irr!BA6)),IF(AND(d_Irr!C6=".",d_Irr!AB6=".",d_Irr!BA6&lt;&gt;"."),d_dir!D6/((1/1000)*(d_Irr!BA6)),IF(AND(d_Irr!C6=".",d_Irr!AB6&lt;&gt;".",d_Irr!BA6="."),d_dir!D6/((1/1000)*(d_Irr!AB6)),IF(AND(d_Irr!C6&lt;&gt;".",d_Irr!AB6=".",d_Irr!BA6="."),d_dir!D6/((1/1000)*(d_Irr!C6)),IF(AND(d_Irr!C6=".",d_Irr!AB6=".",d_Irr!BA6="."),d_dir!D6*1000)))))))),".")</f>
        <v>.</v>
      </c>
      <c r="E6" s="76" t="str">
        <f>IFERROR(IF(AND(d_Irr!D6&lt;&gt;".",d_Irr!AC6&lt;&gt;".",d_Irr!BB6&lt;&gt;"."),d_dir!E6/((1/1000)*(d_Irr!D6+d_Irr!AC6+d_Irr!BB6)),IF(AND(d_Irr!D6&lt;&gt;".",d_Irr!AC6&lt;&gt;".",d_Irr!BB6="."),d_dir!E6/((1/1000)*(d_Irr!D6+d_Irr!AC6)),IF(AND(d_Irr!D6&lt;&gt;".",d_Irr!AC6=".",d_Irr!BB6&lt;&gt;"."),d_dir!E6/((1/1000)*(d_Irr!D6+d_Irr!BB6)),IF(AND(d_Irr!D6=".",d_Irr!AC6&lt;&gt;".",d_Irr!BB6&lt;&gt;"."),d_dir!E6/((1/1000)*(d_Irr!AC6+d_Irr!BB6)),IF(AND(d_Irr!D6=".",d_Irr!AC6=".",d_Irr!BB6&lt;&gt;"."),d_dir!E6/((1/1000)*(d_Irr!BB6)),IF(AND(d_Irr!D6=".",d_Irr!AC6&lt;&gt;".",d_Irr!BB6="."),d_dir!E6/((1/1000)*(d_Irr!AC6)),IF(AND(d_Irr!D6&lt;&gt;".",d_Irr!AC6=".",d_Irr!BB6="."),d_dir!E6/((1/1000)*(d_Irr!D6)),IF(AND(d_Irr!D6=".",d_Irr!AC6=".",d_Irr!BB6="."),d_dir!E6*1000)))))))),".")</f>
        <v>.</v>
      </c>
      <c r="F6" s="76" t="str">
        <f>IFERROR(IF(AND(d_Irr!E6&lt;&gt;".",d_Irr!AD6&lt;&gt;".",d_Irr!BC6&lt;&gt;"."),d_dir!F6/((1/1000)*(d_Irr!E6+d_Irr!AD6+d_Irr!BC6)),IF(AND(d_Irr!E6&lt;&gt;".",d_Irr!AD6&lt;&gt;".",d_Irr!BC6="."),d_dir!F6/((1/1000)*(d_Irr!E6+d_Irr!AD6)),IF(AND(d_Irr!E6&lt;&gt;".",d_Irr!AD6=".",d_Irr!BC6&lt;&gt;"."),d_dir!F6/((1/1000)*(d_Irr!E6+d_Irr!BC6)),IF(AND(d_Irr!E6=".",d_Irr!AD6&lt;&gt;".",d_Irr!BC6&lt;&gt;"."),d_dir!F6/((1/1000)*(d_Irr!AD6+d_Irr!BC6)),IF(AND(d_Irr!E6=".",d_Irr!AD6=".",d_Irr!BC6&lt;&gt;"."),d_dir!F6/((1/1000)*(d_Irr!BC6)),IF(AND(d_Irr!E6=".",d_Irr!AD6&lt;&gt;".",d_Irr!BC6="."),d_dir!F6/((1/1000)*(d_Irr!AD6)),IF(AND(d_Irr!E6&lt;&gt;".",d_Irr!AD6=".",d_Irr!BC6="."),d_dir!F6/((1/1000)*(d_Irr!E6)),IF(AND(d_Irr!E6=".",d_Irr!AD6=".",d_Irr!BC6="."),d_dir!F6*1000)))))))),".")</f>
        <v>.</v>
      </c>
      <c r="G6" s="76" t="str">
        <f>IFERROR(IF(AND(d_Irr!F6&lt;&gt;".",d_Irr!AE6&lt;&gt;".",d_Irr!BD6&lt;&gt;"."),d_dir!G6/((1/1000)*(d_Irr!F6+d_Irr!AE6+d_Irr!BD6)),IF(AND(d_Irr!F6&lt;&gt;".",d_Irr!AE6&lt;&gt;".",d_Irr!BD6="."),d_dir!G6/((1/1000)*(d_Irr!F6+d_Irr!AE6)),IF(AND(d_Irr!F6&lt;&gt;".",d_Irr!AE6=".",d_Irr!BD6&lt;&gt;"."),d_dir!G6/((1/1000)*(d_Irr!F6+d_Irr!BD6)),IF(AND(d_Irr!F6=".",d_Irr!AE6&lt;&gt;".",d_Irr!BD6&lt;&gt;"."),d_dir!G6/((1/1000)*(d_Irr!AE6+d_Irr!BD6)),IF(AND(d_Irr!F6=".",d_Irr!AE6=".",d_Irr!BD6&lt;&gt;"."),d_dir!G6/((1/1000)*(d_Irr!BD6)),IF(AND(d_Irr!F6=".",d_Irr!AE6&lt;&gt;".",d_Irr!BD6="."),d_dir!G6/((1/1000)*(d_Irr!AE6)),IF(AND(d_Irr!F6&lt;&gt;".",d_Irr!AE6=".",d_Irr!BD6="."),d_dir!G6/((1/1000)*(d_Irr!F6)),IF(AND(d_Irr!F6=".",d_Irr!AE6=".",d_Irr!BD6="."),d_dir!G6*1000)))))))),".")</f>
        <v>.</v>
      </c>
      <c r="H6" s="76" t="str">
        <f>IFERROR(IF(AND(d_Irr!G6&lt;&gt;".",d_Irr!AF6&lt;&gt;".",d_Irr!BE6&lt;&gt;"."),d_dir!H6/((1/1000)*(d_Irr!G6+d_Irr!AF6+d_Irr!BE6)),IF(AND(d_Irr!G6&lt;&gt;".",d_Irr!AF6&lt;&gt;".",d_Irr!BE6="."),d_dir!H6/((1/1000)*(d_Irr!G6+d_Irr!AF6)),IF(AND(d_Irr!G6&lt;&gt;".",d_Irr!AF6=".",d_Irr!BE6&lt;&gt;"."),d_dir!H6/((1/1000)*(d_Irr!G6+d_Irr!BE6)),IF(AND(d_Irr!G6=".",d_Irr!AF6&lt;&gt;".",d_Irr!BE6&lt;&gt;"."),d_dir!H6/((1/1000)*(d_Irr!AF6+d_Irr!BE6)),IF(AND(d_Irr!G6=".",d_Irr!AF6=".",d_Irr!BE6&lt;&gt;"."),d_dir!H6/((1/1000)*(d_Irr!BE6)),IF(AND(d_Irr!G6=".",d_Irr!AF6&lt;&gt;".",d_Irr!BE6="."),d_dir!H6/((1/1000)*(d_Irr!AF6)),IF(AND(d_Irr!G6&lt;&gt;".",d_Irr!AF6=".",d_Irr!BE6="."),d_dir!H6/((1/1000)*(d_Irr!G6)),IF(AND(d_Irr!G6=".",d_Irr!AF6=".",d_Irr!BE6="."),d_dir!H6*1000)))))))),".")</f>
        <v>.</v>
      </c>
      <c r="I6" s="76" t="str">
        <f>IFERROR(IF(AND(d_Irr!H6&lt;&gt;".",d_Irr!AG6&lt;&gt;".",d_Irr!BF6&lt;&gt;"."),d_dir!I6/((1/1000)*(d_Irr!H6+d_Irr!AG6+d_Irr!BF6)),IF(AND(d_Irr!H6&lt;&gt;".",d_Irr!AG6&lt;&gt;".",d_Irr!BF6="."),d_dir!I6/((1/1000)*(d_Irr!H6+d_Irr!AG6)),IF(AND(d_Irr!H6&lt;&gt;".",d_Irr!AG6=".",d_Irr!BF6&lt;&gt;"."),d_dir!I6/((1/1000)*(d_Irr!H6+d_Irr!BF6)),IF(AND(d_Irr!H6=".",d_Irr!AG6&lt;&gt;".",d_Irr!BF6&lt;&gt;"."),d_dir!I6/((1/1000)*(d_Irr!AG6+d_Irr!BF6)),IF(AND(d_Irr!H6=".",d_Irr!AG6=".",d_Irr!BF6&lt;&gt;"."),d_dir!I6/((1/1000)*(d_Irr!BF6)),IF(AND(d_Irr!H6=".",d_Irr!AG6&lt;&gt;".",d_Irr!BF6="."),d_dir!I6/((1/1000)*(d_Irr!AG6)),IF(AND(d_Irr!H6&lt;&gt;".",d_Irr!AG6=".",d_Irr!BF6="."),d_dir!I6/((1/1000)*(d_Irr!H6)),IF(AND(d_Irr!H6=".",d_Irr!AG6=".",d_Irr!BF6="."),d_dir!I6*1000)))))))),".")</f>
        <v>.</v>
      </c>
      <c r="J6" s="76" t="str">
        <f>IFERROR(IF(AND(d_Irr!I6&lt;&gt;".",d_Irr!AH6&lt;&gt;".",d_Irr!BG6&lt;&gt;"."),d_dir!J6/((1/1000)*(d_Irr!I6+d_Irr!AH6+d_Irr!BG6)),IF(AND(d_Irr!I6&lt;&gt;".",d_Irr!AH6&lt;&gt;".",d_Irr!BG6="."),d_dir!J6/((1/1000)*(d_Irr!I6+d_Irr!AH6)),IF(AND(d_Irr!I6&lt;&gt;".",d_Irr!AH6=".",d_Irr!BG6&lt;&gt;"."),d_dir!J6/((1/1000)*(d_Irr!I6+d_Irr!BG6)),IF(AND(d_Irr!I6=".",d_Irr!AH6&lt;&gt;".",d_Irr!BG6&lt;&gt;"."),d_dir!J6/((1/1000)*(d_Irr!AH6+d_Irr!BG6)),IF(AND(d_Irr!I6=".",d_Irr!AH6=".",d_Irr!BG6&lt;&gt;"."),d_dir!J6/((1/1000)*(d_Irr!BG6)),IF(AND(d_Irr!I6=".",d_Irr!AH6&lt;&gt;".",d_Irr!BG6="."),d_dir!J6/((1/1000)*(d_Irr!AH6)),IF(AND(d_Irr!I6&lt;&gt;".",d_Irr!AH6=".",d_Irr!BG6="."),d_dir!J6/((1/1000)*(d_Irr!I6)),IF(AND(d_Irr!I6=".",d_Irr!AH6=".",d_Irr!BG6="."),d_dir!J6*1000)))))))),".")</f>
        <v>.</v>
      </c>
      <c r="K6" s="76" t="str">
        <f>IFERROR(IF(AND(d_Irr!J6&lt;&gt;".",d_Irr!AI6&lt;&gt;".",d_Irr!BH6&lt;&gt;"."),d_dir!K6/((1/1000)*(d_Irr!J6+d_Irr!AI6+d_Irr!BH6)),IF(AND(d_Irr!J6&lt;&gt;".",d_Irr!AI6&lt;&gt;".",d_Irr!BH6="."),d_dir!K6/((1/1000)*(d_Irr!J6+d_Irr!AI6)),IF(AND(d_Irr!J6&lt;&gt;".",d_Irr!AI6=".",d_Irr!BH6&lt;&gt;"."),d_dir!K6/((1/1000)*(d_Irr!J6+d_Irr!BH6)),IF(AND(d_Irr!J6=".",d_Irr!AI6&lt;&gt;".",d_Irr!BH6&lt;&gt;"."),d_dir!K6/((1/1000)*(d_Irr!AI6+d_Irr!BH6)),IF(AND(d_Irr!J6=".",d_Irr!AI6=".",d_Irr!BH6&lt;&gt;"."),d_dir!K6/((1/1000)*(d_Irr!BH6)),IF(AND(d_Irr!J6=".",d_Irr!AI6&lt;&gt;".",d_Irr!BH6="."),d_dir!K6/((1/1000)*(d_Irr!AI6)),IF(AND(d_Irr!J6&lt;&gt;".",d_Irr!AI6=".",d_Irr!BH6="."),d_dir!K6/((1/1000)*(d_Irr!J6)),IF(AND(d_Irr!J6=".",d_Irr!AI6=".",d_Irr!BH6="."),d_dir!K6*1000)))))))),".")</f>
        <v>.</v>
      </c>
      <c r="L6" s="76" t="str">
        <f>IFERROR(IF(AND(d_Irr!K6&lt;&gt;".",d_Irr!AJ6&lt;&gt;".",d_Irr!BI6&lt;&gt;"."),d_dir!L6/((1/1000)*(d_Irr!K6+d_Irr!AJ6+d_Irr!BI6)),IF(AND(d_Irr!K6&lt;&gt;".",d_Irr!AJ6&lt;&gt;".",d_Irr!BI6="."),d_dir!L6/((1/1000)*(d_Irr!K6+d_Irr!AJ6)),IF(AND(d_Irr!K6&lt;&gt;".",d_Irr!AJ6=".",d_Irr!BI6&lt;&gt;"."),d_dir!L6/((1/1000)*(d_Irr!K6+d_Irr!BI6)),IF(AND(d_Irr!K6=".",d_Irr!AJ6&lt;&gt;".",d_Irr!BI6&lt;&gt;"."),d_dir!L6/((1/1000)*(d_Irr!AJ6+d_Irr!BI6)),IF(AND(d_Irr!K6=".",d_Irr!AJ6=".",d_Irr!BI6&lt;&gt;"."),d_dir!L6/((1/1000)*(d_Irr!BI6)),IF(AND(d_Irr!K6=".",d_Irr!AJ6&lt;&gt;".",d_Irr!BI6="."),d_dir!L6/((1/1000)*(d_Irr!AJ6)),IF(AND(d_Irr!K6&lt;&gt;".",d_Irr!AJ6=".",d_Irr!BI6="."),d_dir!L6/((1/1000)*(d_Irr!K6)),IF(AND(d_Irr!K6=".",d_Irr!AJ6=".",d_Irr!BI6="."),d_dir!L6*1000)))))))),".")</f>
        <v>.</v>
      </c>
      <c r="M6" s="76" t="str">
        <f>IFERROR(IF(AND(d_Irr!L6&lt;&gt;".",d_Irr!AK6&lt;&gt;".",d_Irr!BJ6&lt;&gt;"."),d_dir!M6/((1/1000)*(d_Irr!L6+d_Irr!AK6+d_Irr!BJ6)),IF(AND(d_Irr!L6&lt;&gt;".",d_Irr!AK6&lt;&gt;".",d_Irr!BJ6="."),d_dir!M6/((1/1000)*(d_Irr!L6+d_Irr!AK6)),IF(AND(d_Irr!L6&lt;&gt;".",d_Irr!AK6=".",d_Irr!BJ6&lt;&gt;"."),d_dir!M6/((1/1000)*(d_Irr!L6+d_Irr!BJ6)),IF(AND(d_Irr!L6=".",d_Irr!AK6&lt;&gt;".",d_Irr!BJ6&lt;&gt;"."),d_dir!M6/((1/1000)*(d_Irr!AK6+d_Irr!BJ6)),IF(AND(d_Irr!L6=".",d_Irr!AK6=".",d_Irr!BJ6&lt;&gt;"."),d_dir!M6/((1/1000)*(d_Irr!BJ6)),IF(AND(d_Irr!L6=".",d_Irr!AK6&lt;&gt;".",d_Irr!BJ6="."),d_dir!M6/((1/1000)*(d_Irr!AK6)),IF(AND(d_Irr!L6&lt;&gt;".",d_Irr!AK6=".",d_Irr!BJ6="."),d_dir!M6/((1/1000)*(d_Irr!L6)),IF(AND(d_Irr!L6=".",d_Irr!AK6=".",d_Irr!BJ6="."),d_dir!M6*1000)))))))),".")</f>
        <v>.</v>
      </c>
      <c r="N6" s="76" t="str">
        <f>IFERROR(IF(AND(d_Irr!M6&lt;&gt;".",d_Irr!AL6&lt;&gt;".",d_Irr!BK6&lt;&gt;"."),d_dir!N6/((1/1000)*(d_Irr!M6+d_Irr!AL6+d_Irr!BK6)),IF(AND(d_Irr!M6&lt;&gt;".",d_Irr!AL6&lt;&gt;".",d_Irr!BK6="."),d_dir!N6/((1/1000)*(d_Irr!M6+d_Irr!AL6)),IF(AND(d_Irr!M6&lt;&gt;".",d_Irr!AL6=".",d_Irr!BK6&lt;&gt;"."),d_dir!N6/((1/1000)*(d_Irr!M6+d_Irr!BK6)),IF(AND(d_Irr!M6=".",d_Irr!AL6&lt;&gt;".",d_Irr!BK6&lt;&gt;"."),d_dir!N6/((1/1000)*(d_Irr!AL6+d_Irr!BK6)),IF(AND(d_Irr!M6=".",d_Irr!AL6=".",d_Irr!BK6&lt;&gt;"."),d_dir!N6/((1/1000)*(d_Irr!BK6)),IF(AND(d_Irr!M6=".",d_Irr!AL6&lt;&gt;".",d_Irr!BK6="."),d_dir!N6/((1/1000)*(d_Irr!AL6)),IF(AND(d_Irr!M6&lt;&gt;".",d_Irr!AL6=".",d_Irr!BK6="."),d_dir!N6/((1/1000)*(d_Irr!M6)),IF(AND(d_Irr!M6=".",d_Irr!AL6=".",d_Irr!BK6="."),d_dir!N6*1000)))))))),".")</f>
        <v>.</v>
      </c>
      <c r="O6" s="76" t="str">
        <f>IFERROR(IF(AND(d_Irr!N6&lt;&gt;".",d_Irr!AM6&lt;&gt;".",d_Irr!BL6&lt;&gt;"."),d_dir!O6/((1/1000)*(d_Irr!N6+d_Irr!AM6+d_Irr!BL6)),IF(AND(d_Irr!N6&lt;&gt;".",d_Irr!AM6&lt;&gt;".",d_Irr!BL6="."),d_dir!O6/((1/1000)*(d_Irr!N6+d_Irr!AM6)),IF(AND(d_Irr!N6&lt;&gt;".",d_Irr!AM6=".",d_Irr!BL6&lt;&gt;"."),d_dir!O6/((1/1000)*(d_Irr!N6+d_Irr!BL6)),IF(AND(d_Irr!N6=".",d_Irr!AM6&lt;&gt;".",d_Irr!BL6&lt;&gt;"."),d_dir!O6/((1/1000)*(d_Irr!AM6+d_Irr!BL6)),IF(AND(d_Irr!N6=".",d_Irr!AM6=".",d_Irr!BL6&lt;&gt;"."),d_dir!O6/((1/1000)*(d_Irr!BL6)),IF(AND(d_Irr!N6=".",d_Irr!AM6&lt;&gt;".",d_Irr!BL6="."),d_dir!O6/((1/1000)*(d_Irr!AM6)),IF(AND(d_Irr!N6&lt;&gt;".",d_Irr!AM6=".",d_Irr!BL6="."),d_dir!O6/((1/1000)*(d_Irr!N6)),IF(AND(d_Irr!N6=".",d_Irr!AM6=".",d_Irr!BL6="."),d_dir!O6*1000)))))))),".")</f>
        <v>.</v>
      </c>
      <c r="P6" s="76" t="str">
        <f>IFERROR(IF(AND(d_Irr!O6&lt;&gt;".",d_Irr!AN6&lt;&gt;".",d_Irr!BM6&lt;&gt;"."),d_dir!P6/((1/1000)*(d_Irr!O6+d_Irr!AN6+d_Irr!BM6)),IF(AND(d_Irr!O6&lt;&gt;".",d_Irr!AN6&lt;&gt;".",d_Irr!BM6="."),d_dir!P6/((1/1000)*(d_Irr!O6+d_Irr!AN6)),IF(AND(d_Irr!O6&lt;&gt;".",d_Irr!AN6=".",d_Irr!BM6&lt;&gt;"."),d_dir!P6/((1/1000)*(d_Irr!O6+d_Irr!BM6)),IF(AND(d_Irr!O6=".",d_Irr!AN6&lt;&gt;".",d_Irr!BM6&lt;&gt;"."),d_dir!P6/((1/1000)*(d_Irr!AN6+d_Irr!BM6)),IF(AND(d_Irr!O6=".",d_Irr!AN6=".",d_Irr!BM6&lt;&gt;"."),d_dir!P6/((1/1000)*(d_Irr!BM6)),IF(AND(d_Irr!O6=".",d_Irr!AN6&lt;&gt;".",d_Irr!BM6="."),d_dir!P6/((1/1000)*(d_Irr!AN6)),IF(AND(d_Irr!O6&lt;&gt;".",d_Irr!AN6=".",d_Irr!BM6="."),d_dir!P6/((1/1000)*(d_Irr!O6)),IF(AND(d_Irr!O6=".",d_Irr!AN6=".",d_Irr!BM6="."),d_dir!P6*1000)))))))),".")</f>
        <v>.</v>
      </c>
      <c r="Q6" s="76" t="str">
        <f>IFERROR(IF(AND(d_Irr!P6&lt;&gt;".",d_Irr!AO6&lt;&gt;".",d_Irr!BN6&lt;&gt;"."),d_dir!Q6/((1/1000)*(d_Irr!P6+d_Irr!AO6+d_Irr!BN6)),IF(AND(d_Irr!P6&lt;&gt;".",d_Irr!AO6&lt;&gt;".",d_Irr!BN6="."),d_dir!Q6/((1/1000)*(d_Irr!P6+d_Irr!AO6)),IF(AND(d_Irr!P6&lt;&gt;".",d_Irr!AO6=".",d_Irr!BN6&lt;&gt;"."),d_dir!Q6/((1/1000)*(d_Irr!P6+d_Irr!BN6)),IF(AND(d_Irr!P6=".",d_Irr!AO6&lt;&gt;".",d_Irr!BN6&lt;&gt;"."),d_dir!Q6/((1/1000)*(d_Irr!AO6+d_Irr!BN6)),IF(AND(d_Irr!P6=".",d_Irr!AO6=".",d_Irr!BN6&lt;&gt;"."),d_dir!Q6/((1/1000)*(d_Irr!BN6)),IF(AND(d_Irr!P6=".",d_Irr!AO6&lt;&gt;".",d_Irr!BN6="."),d_dir!Q6/((1/1000)*(d_Irr!AO6)),IF(AND(d_Irr!P6&lt;&gt;".",d_Irr!AO6=".",d_Irr!BN6="."),d_dir!Q6/((1/1000)*(d_Irr!P6)),IF(AND(d_Irr!P6=".",d_Irr!AO6=".",d_Irr!BN6="."),d_dir!Q6*1000)))))))),".")</f>
        <v>.</v>
      </c>
      <c r="R6" s="76" t="str">
        <f>IFERROR(IF(AND(d_Irr!Q6&lt;&gt;".",d_Irr!AP6&lt;&gt;".",d_Irr!BO6&lt;&gt;"."),d_dir!R6/((1/1000)*(d_Irr!Q6+d_Irr!AP6+d_Irr!BO6)),IF(AND(d_Irr!Q6&lt;&gt;".",d_Irr!AP6&lt;&gt;".",d_Irr!BO6="."),d_dir!R6/((1/1000)*(d_Irr!Q6+d_Irr!AP6)),IF(AND(d_Irr!Q6&lt;&gt;".",d_Irr!AP6=".",d_Irr!BO6&lt;&gt;"."),d_dir!R6/((1/1000)*(d_Irr!Q6+d_Irr!BO6)),IF(AND(d_Irr!Q6=".",d_Irr!AP6&lt;&gt;".",d_Irr!BO6&lt;&gt;"."),d_dir!R6/((1/1000)*(d_Irr!AP6+d_Irr!BO6)),IF(AND(d_Irr!Q6=".",d_Irr!AP6=".",d_Irr!BO6&lt;&gt;"."),d_dir!R6/((1/1000)*(d_Irr!BO6)),IF(AND(d_Irr!Q6=".",d_Irr!AP6&lt;&gt;".",d_Irr!BO6="."),d_dir!R6/((1/1000)*(d_Irr!AP6)),IF(AND(d_Irr!Q6&lt;&gt;".",d_Irr!AP6=".",d_Irr!BO6="."),d_dir!R6/((1/1000)*(d_Irr!Q6)),IF(AND(d_Irr!Q6=".",d_Irr!AP6=".",d_Irr!BO6="."),d_dir!R6*1000)))))))),".")</f>
        <v>.</v>
      </c>
      <c r="S6" s="76" t="str">
        <f>IFERROR(IF(AND(d_Irr!R6&lt;&gt;".",d_Irr!AQ6&lt;&gt;".",d_Irr!BP6&lt;&gt;"."),d_dir!S6/((1/1000)*(d_Irr!R6+d_Irr!AQ6+d_Irr!BP6)),IF(AND(d_Irr!R6&lt;&gt;".",d_Irr!AQ6&lt;&gt;".",d_Irr!BP6="."),d_dir!S6/((1/1000)*(d_Irr!R6+d_Irr!AQ6)),IF(AND(d_Irr!R6&lt;&gt;".",d_Irr!AQ6=".",d_Irr!BP6&lt;&gt;"."),d_dir!S6/((1/1000)*(d_Irr!R6+d_Irr!BP6)),IF(AND(d_Irr!R6=".",d_Irr!AQ6&lt;&gt;".",d_Irr!BP6&lt;&gt;"."),d_dir!S6/((1/1000)*(d_Irr!AQ6+d_Irr!BP6)),IF(AND(d_Irr!R6=".",d_Irr!AQ6=".",d_Irr!BP6&lt;&gt;"."),d_dir!S6/((1/1000)*(d_Irr!BP6)),IF(AND(d_Irr!R6=".",d_Irr!AQ6&lt;&gt;".",d_Irr!BP6="."),d_dir!S6/((1/1000)*(d_Irr!AQ6)),IF(AND(d_Irr!R6&lt;&gt;".",d_Irr!AQ6=".",d_Irr!BP6="."),d_dir!S6/((1/1000)*(d_Irr!R6)),IF(AND(d_Irr!R6=".",d_Irr!AQ6=".",d_Irr!BP6="."),d_dir!S6*1000)))))))),".")</f>
        <v>.</v>
      </c>
      <c r="T6" s="76" t="str">
        <f>IFERROR(IF(AND(d_Irr!S6&lt;&gt;".",d_Irr!AR6&lt;&gt;".",d_Irr!BQ6&lt;&gt;"."),d_dir!T6/((1/1000)*(d_Irr!S6+d_Irr!AR6+d_Irr!BQ6)),IF(AND(d_Irr!S6&lt;&gt;".",d_Irr!AR6&lt;&gt;".",d_Irr!BQ6="."),d_dir!T6/((1/1000)*(d_Irr!S6+d_Irr!AR6)),IF(AND(d_Irr!S6&lt;&gt;".",d_Irr!AR6=".",d_Irr!BQ6&lt;&gt;"."),d_dir!T6/((1/1000)*(d_Irr!S6+d_Irr!BQ6)),IF(AND(d_Irr!S6=".",d_Irr!AR6&lt;&gt;".",d_Irr!BQ6&lt;&gt;"."),d_dir!T6/((1/1000)*(d_Irr!AR6+d_Irr!BQ6)),IF(AND(d_Irr!S6=".",d_Irr!AR6=".",d_Irr!BQ6&lt;&gt;"."),d_dir!T6/((1/1000)*(d_Irr!BQ6)),IF(AND(d_Irr!S6=".",d_Irr!AR6&lt;&gt;".",d_Irr!BQ6="."),d_dir!T6/((1/1000)*(d_Irr!AR6)),IF(AND(d_Irr!S6&lt;&gt;".",d_Irr!AR6=".",d_Irr!BQ6="."),d_dir!T6/((1/1000)*(d_Irr!S6)),IF(AND(d_Irr!S6=".",d_Irr!AR6=".",d_Irr!BQ6="."),d_dir!T6*1000)))))))),".")</f>
        <v>.</v>
      </c>
      <c r="U6" s="76" t="str">
        <f>IFERROR(IF(AND(d_Irr!T6&lt;&gt;".",d_Irr!AS6&lt;&gt;".",d_Irr!BR6&lt;&gt;"."),d_dir!U6/((1/1000)*(d_Irr!T6+d_Irr!AS6+d_Irr!BR6)),IF(AND(d_Irr!T6&lt;&gt;".",d_Irr!AS6&lt;&gt;".",d_Irr!BR6="."),d_dir!U6/((1/1000)*(d_Irr!T6+d_Irr!AS6)),IF(AND(d_Irr!T6&lt;&gt;".",d_Irr!AS6=".",d_Irr!BR6&lt;&gt;"."),d_dir!U6/((1/1000)*(d_Irr!T6+d_Irr!BR6)),IF(AND(d_Irr!T6=".",d_Irr!AS6&lt;&gt;".",d_Irr!BR6&lt;&gt;"."),d_dir!U6/((1/1000)*(d_Irr!AS6+d_Irr!BR6)),IF(AND(d_Irr!T6=".",d_Irr!AS6=".",d_Irr!BR6&lt;&gt;"."),d_dir!U6/((1/1000)*(d_Irr!BR6)),IF(AND(d_Irr!T6=".",d_Irr!AS6&lt;&gt;".",d_Irr!BR6="."),d_dir!U6/((1/1000)*(d_Irr!AS6)),IF(AND(d_Irr!T6&lt;&gt;".",d_Irr!AS6=".",d_Irr!BR6="."),d_dir!U6/((1/1000)*(d_Irr!T6)),IF(AND(d_Irr!T6=".",d_Irr!AS6=".",d_Irr!BR6="."),d_dir!U6*1000)))))))),".")</f>
        <v>.</v>
      </c>
      <c r="V6" s="76" t="str">
        <f>IFERROR(IF(AND(d_Irr!U6&lt;&gt;".",d_Irr!AT6&lt;&gt;".",d_Irr!BS6&lt;&gt;"."),d_dir!V6/((1/1000)*(d_Irr!U6+d_Irr!AT6+d_Irr!BS6)),IF(AND(d_Irr!U6&lt;&gt;".",d_Irr!AT6&lt;&gt;".",d_Irr!BS6="."),d_dir!V6/((1/1000)*(d_Irr!U6+d_Irr!AT6)),IF(AND(d_Irr!U6&lt;&gt;".",d_Irr!AT6=".",d_Irr!BS6&lt;&gt;"."),d_dir!V6/((1/1000)*(d_Irr!U6+d_Irr!BS6)),IF(AND(d_Irr!U6=".",d_Irr!AT6&lt;&gt;".",d_Irr!BS6&lt;&gt;"."),d_dir!V6/((1/1000)*(d_Irr!AT6+d_Irr!BS6)),IF(AND(d_Irr!U6=".",d_Irr!AT6=".",d_Irr!BS6&lt;&gt;"."),d_dir!V6/((1/1000)*(d_Irr!BS6)),IF(AND(d_Irr!U6=".",d_Irr!AT6&lt;&gt;".",d_Irr!BS6="."),d_dir!V6/((1/1000)*(d_Irr!AT6)),IF(AND(d_Irr!U6&lt;&gt;".",d_Irr!AT6=".",d_Irr!BS6="."),d_dir!V6/((1/1000)*(d_Irr!U6)),IF(AND(d_Irr!U6=".",d_Irr!AT6=".",d_Irr!BS6="."),d_dir!V6*1000)))))))),".")</f>
        <v>.</v>
      </c>
      <c r="W6" s="76" t="str">
        <f>IFERROR(IF(AND(d_Irr!V6&lt;&gt;".",d_Irr!AU6&lt;&gt;".",d_Irr!BT6&lt;&gt;"."),d_dir!W6/((1/1000)*(d_Irr!V6+d_Irr!AU6+d_Irr!BT6)),IF(AND(d_Irr!V6&lt;&gt;".",d_Irr!AU6&lt;&gt;".",d_Irr!BT6="."),d_dir!W6/((1/1000)*(d_Irr!V6+d_Irr!AU6)),IF(AND(d_Irr!V6&lt;&gt;".",d_Irr!AU6=".",d_Irr!BT6&lt;&gt;"."),d_dir!W6/((1/1000)*(d_Irr!V6+d_Irr!BT6)),IF(AND(d_Irr!V6=".",d_Irr!AU6&lt;&gt;".",d_Irr!BT6&lt;&gt;"."),d_dir!W6/((1/1000)*(d_Irr!AU6+d_Irr!BT6)),IF(AND(d_Irr!V6=".",d_Irr!AU6=".",d_Irr!BT6&lt;&gt;"."),d_dir!W6/((1/1000)*(d_Irr!BT6)),IF(AND(d_Irr!V6=".",d_Irr!AU6&lt;&gt;".",d_Irr!BT6="."),d_dir!W6/((1/1000)*(d_Irr!AU6)),IF(AND(d_Irr!V6&lt;&gt;".",d_Irr!AU6=".",d_Irr!BT6="."),d_dir!W6/((1/1000)*(d_Irr!V6)),IF(AND(d_Irr!V6=".",d_Irr!AU6=".",d_Irr!BT6="."),d_dir!W6*1000)))))))),".")</f>
        <v>.</v>
      </c>
      <c r="X6" s="76" t="str">
        <f>IFERROR(IF(AND(d_Irr!W6&lt;&gt;".",d_Irr!AV6&lt;&gt;".",d_Irr!BU6&lt;&gt;"."),d_dir!X6/((1/1000)*(d_Irr!W6+d_Irr!AV6+d_Irr!BU6)),IF(AND(d_Irr!W6&lt;&gt;".",d_Irr!AV6&lt;&gt;".",d_Irr!BU6="."),d_dir!X6/((1/1000)*(d_Irr!W6+d_Irr!AV6)),IF(AND(d_Irr!W6&lt;&gt;".",d_Irr!AV6=".",d_Irr!BU6&lt;&gt;"."),d_dir!X6/((1/1000)*(d_Irr!W6+d_Irr!BU6)),IF(AND(d_Irr!W6=".",d_Irr!AV6&lt;&gt;".",d_Irr!BU6&lt;&gt;"."),d_dir!X6/((1/1000)*(d_Irr!AV6+d_Irr!BU6)),IF(AND(d_Irr!W6=".",d_Irr!AV6=".",d_Irr!BU6&lt;&gt;"."),d_dir!X6/((1/1000)*(d_Irr!BU6)),IF(AND(d_Irr!W6=".",d_Irr!AV6&lt;&gt;".",d_Irr!BU6="."),d_dir!X6/((1/1000)*(d_Irr!AV6)),IF(AND(d_Irr!W6&lt;&gt;".",d_Irr!AV6=".",d_Irr!BU6="."),d_dir!X6/((1/1000)*(d_Irr!W6)),IF(AND(d_Irr!W6=".",d_Irr!AV6=".",d_Irr!BU6="."),d_dir!X6*1000)))))))),".")</f>
        <v>.</v>
      </c>
      <c r="Y6" s="76" t="str">
        <f>IFERROR(IF(AND(d_Irr!X6&lt;&gt;".",d_Irr!AW6&lt;&gt;".",d_Irr!BV6&lt;&gt;"."),d_dir!Y6/((1/1000)*(d_Irr!X6+d_Irr!AW6+d_Irr!BV6)),IF(AND(d_Irr!X6&lt;&gt;".",d_Irr!AW6&lt;&gt;".",d_Irr!BV6="."),d_dir!Y6/((1/1000)*(d_Irr!X6+d_Irr!AW6)),IF(AND(d_Irr!X6&lt;&gt;".",d_Irr!AW6=".",d_Irr!BV6&lt;&gt;"."),d_dir!Y6/((1/1000)*(d_Irr!X6+d_Irr!BV6)),IF(AND(d_Irr!X6=".",d_Irr!AW6&lt;&gt;".",d_Irr!BV6&lt;&gt;"."),d_dir!Y6/((1/1000)*(d_Irr!AW6+d_Irr!BV6)),IF(AND(d_Irr!X6=".",d_Irr!AW6=".",d_Irr!BV6&lt;&gt;"."),d_dir!Y6/((1/1000)*(d_Irr!BV6)),IF(AND(d_Irr!X6=".",d_Irr!AW6&lt;&gt;".",d_Irr!BV6="."),d_dir!Y6/((1/1000)*(d_Irr!AW6)),IF(AND(d_Irr!X6&lt;&gt;".",d_Irr!AW6=".",d_Irr!BV6="."),d_dir!Y6/((1/1000)*(d_Irr!X6)),IF(AND(d_Irr!X6=".",d_Irr!AW6=".",d_Irr!BV6="."),d_dir!Y6*1000)))))))),".")</f>
        <v>.</v>
      </c>
      <c r="Z6" s="76" t="str">
        <f>IFERROR(IF(AND(d_Irr!Y6&lt;&gt;".",d_Irr!AX6&lt;&gt;".",d_Irr!BW6&lt;&gt;"."),d_dir!Z6/((1/1000)*(d_Irr!Y6+d_Irr!AX6+d_Irr!BW6)),IF(AND(d_Irr!Y6&lt;&gt;".",d_Irr!AX6&lt;&gt;".",d_Irr!BW6="."),d_dir!Z6/((1/1000)*(d_Irr!Y6+d_Irr!AX6)),IF(AND(d_Irr!Y6&lt;&gt;".",d_Irr!AX6=".",d_Irr!BW6&lt;&gt;"."),d_dir!Z6/((1/1000)*(d_Irr!Y6+d_Irr!BW6)),IF(AND(d_Irr!Y6=".",d_Irr!AX6&lt;&gt;".",d_Irr!BW6&lt;&gt;"."),d_dir!Z6/((1/1000)*(d_Irr!AX6+d_Irr!BW6)),IF(AND(d_Irr!Y6=".",d_Irr!AX6=".",d_Irr!BW6&lt;&gt;"."),d_dir!Z6/((1/1000)*(d_Irr!BW6)),IF(AND(d_Irr!Y6=".",d_Irr!AX6&lt;&gt;".",d_Irr!BW6="."),d_dir!Z6/((1/1000)*(d_Irr!AX6)),IF(AND(d_Irr!Y6&lt;&gt;".",d_Irr!AX6=".",d_Irr!BW6="."),d_dir!Z6/((1/1000)*(d_Irr!Y6)),IF(AND(d_Irr!Y6=".",d_Irr!AX6=".",d_Irr!BW6="."),d_dir!Z6*1000)))))))),".")</f>
        <v>.</v>
      </c>
      <c r="AA6" s="76" t="str">
        <f>IFERROR(IF(AND(d_Irr!Z6&lt;&gt;".",d_Irr!AY6&lt;&gt;".",d_Irr!BX6&lt;&gt;"."),d_dir!AA6/((1/1000)*(d_Irr!Z6+d_Irr!AY6+d_Irr!BX6)),IF(AND(d_Irr!Z6&lt;&gt;".",d_Irr!AY6&lt;&gt;".",d_Irr!BX6="."),d_dir!AA6/((1/1000)*(d_Irr!Z6+d_Irr!AY6)),IF(AND(d_Irr!Z6&lt;&gt;".",d_Irr!AY6=".",d_Irr!BX6&lt;&gt;"."),d_dir!AA6/((1/1000)*(d_Irr!Z6+d_Irr!BX6)),IF(AND(d_Irr!Z6=".",d_Irr!AY6&lt;&gt;".",d_Irr!BX6&lt;&gt;"."),d_dir!AA6/((1/1000)*(d_Irr!AY6+d_Irr!BX6)),IF(AND(d_Irr!Z6=".",d_Irr!AY6=".",d_Irr!BX6&lt;&gt;"."),d_dir!AA6/((1/1000)*(d_Irr!BX6)),IF(AND(d_Irr!Z6=".",d_Irr!AY6&lt;&gt;".",d_Irr!BX6="."),d_dir!AA6/((1/1000)*(d_Irr!AY6)),IF(AND(d_Irr!Z6&lt;&gt;".",d_Irr!AY6=".",d_Irr!BX6="."),d_dir!AA6/((1/1000)*(d_Irr!Z6)),IF(AND(d_Irr!Z6=".",d_Irr!AY6=".",d_Irr!BX6="."),d_dir!AA6*1000)))))))),".")</f>
        <v>.</v>
      </c>
      <c r="AB6" s="76" t="str">
        <f>IFERROR(IF(AND(d_Irr!AA6&lt;&gt;".",d_Irr!AZ6&lt;&gt;".",d_Irr!BY6&lt;&gt;"."),d_dir!AB6/((1/1000)*(d_Irr!AA6+d_Irr!AZ6+d_Irr!BY6)),IF(AND(d_Irr!AA6&lt;&gt;".",d_Irr!AZ6&lt;&gt;".",d_Irr!BY6="."),d_dir!AB6/((1/1000)*(d_Irr!AA6+d_Irr!AZ6)),IF(AND(d_Irr!AA6&lt;&gt;".",d_Irr!AZ6=".",d_Irr!BY6&lt;&gt;"."),d_dir!AB6/((1/1000)*(d_Irr!AA6+d_Irr!BY6)),IF(AND(d_Irr!AA6=".",d_Irr!AZ6&lt;&gt;".",d_Irr!BY6&lt;&gt;"."),d_dir!AB6/((1/1000)*(d_Irr!AZ6+d_Irr!BY6)),IF(AND(d_Irr!AA6=".",d_Irr!AZ6=".",d_Irr!BY6&lt;&gt;"."),d_dir!AB6/((1/1000)*(d_Irr!BY6)),IF(AND(d_Irr!AA6=".",d_Irr!AZ6&lt;&gt;".",d_Irr!BY6="."),d_dir!AB6/((1/1000)*(d_Irr!AZ6)),IF(AND(d_Irr!AA6&lt;&gt;".",d_Irr!AZ6=".",d_Irr!BY6="."),d_dir!AB6/((1/1000)*(d_Irr!AA6)),IF(AND(d_Irr!AA6=".",d_Irr!AZ6=".",d_Irr!BY6="."),d_dir!AB6*1000)))))))),".")</f>
        <v>.</v>
      </c>
      <c r="AC6" s="76" t="str">
        <f t="shared" si="0"/>
        <v>.</v>
      </c>
      <c r="AD6" s="76" t="str">
        <f>IFERROR(IF(AND(d_Irr!C6&lt;&gt;".",d_Irr!AB6&lt;&gt;".",d_Irr!BA6&lt;&gt;"."),d_dir!AD6/((1/1000)*(d_Irr!C6+d_Irr!AB6+d_Irr!BA6)),IF(AND(d_Irr!C6&lt;&gt;".",d_Irr!AB6&lt;&gt;".",d_Irr!BA6="."),d_dir!AD6/((1/1000)*(d_Irr!C6+d_Irr!AB6)),IF(AND(d_Irr!C6&lt;&gt;".",d_Irr!AB6=".",d_Irr!BA6&lt;&gt;"."),d_dir!AD6/((1/1000)*(d_Irr!C6+d_Irr!BA6)),IF(AND(d_Irr!C6=".",d_Irr!AB6&lt;&gt;".",d_Irr!BA6&lt;&gt;"."),d_dir!AD6/((1/1000)*(d_Irr!AB6+d_Irr!BA6)),IF(AND(d_Irr!C6=".",d_Irr!AB6=".",d_Irr!BA6&lt;&gt;"."),d_dir!AD6/((1/1000)*(d_Irr!BA6)),IF(AND(d_Irr!C6=".",d_Irr!AB6&lt;&gt;".",d_Irr!BA6="."),d_dir!AD6/((1/1000)*(d_Irr!AB6)),IF(AND(d_Irr!C6&lt;&gt;".",d_Irr!AB6=".",d_Irr!BA6="."),d_dir!AD6/((1/1000)*(d_Irr!C6)),IF(AND(d_Irr!C6=".",d_Irr!AB6=".",d_Irr!BA6="."),d_dir!AD6*1000)))))))),".")</f>
        <v>.</v>
      </c>
      <c r="AE6" s="76" t="str">
        <f>IFERROR(IF(AND(d_Irr!D6&lt;&gt;".",d_Irr!AC6&lt;&gt;".",d_Irr!BB6&lt;&gt;"."),d_dir!AE6/((1/1000)*(d_Irr!D6+d_Irr!AC6+d_Irr!BB6)),IF(AND(d_Irr!D6&lt;&gt;".",d_Irr!AC6&lt;&gt;".",d_Irr!BB6="."),d_dir!AE6/((1/1000)*(d_Irr!D6+d_Irr!AC6)),IF(AND(d_Irr!D6&lt;&gt;".",d_Irr!AC6=".",d_Irr!BB6&lt;&gt;"."),d_dir!AE6/((1/1000)*(d_Irr!D6+d_Irr!BB6)),IF(AND(d_Irr!D6=".",d_Irr!AC6&lt;&gt;".",d_Irr!BB6&lt;&gt;"."),d_dir!AE6/((1/1000)*(d_Irr!AC6+d_Irr!BB6)),IF(AND(d_Irr!D6=".",d_Irr!AC6=".",d_Irr!BB6&lt;&gt;"."),d_dir!AE6/((1/1000)*(d_Irr!BB6)),IF(AND(d_Irr!D6=".",d_Irr!AC6&lt;&gt;".",d_Irr!BB6="."),d_dir!AE6/((1/1000)*(d_Irr!AC6)),IF(AND(d_Irr!D6&lt;&gt;".",d_Irr!AC6=".",d_Irr!BB6="."),d_dir!AE6/((1/1000)*(d_Irr!D6)),IF(AND(d_Irr!D6=".",d_Irr!AC6=".",d_Irr!BB6="."),d_dir!AE6*1000)))))))),".")</f>
        <v>.</v>
      </c>
      <c r="AF6" s="76" t="str">
        <f>IFERROR(IF(AND(d_Irr!E6&lt;&gt;".",d_Irr!AD6&lt;&gt;".",d_Irr!BC6&lt;&gt;"."),d_dir!AF6/((1/1000)*(d_Irr!E6+d_Irr!AD6+d_Irr!BC6)),IF(AND(d_Irr!E6&lt;&gt;".",d_Irr!AD6&lt;&gt;".",d_Irr!BC6="."),d_dir!AF6/((1/1000)*(d_Irr!E6+d_Irr!AD6)),IF(AND(d_Irr!E6&lt;&gt;".",d_Irr!AD6=".",d_Irr!BC6&lt;&gt;"."),d_dir!AF6/((1/1000)*(d_Irr!E6+d_Irr!BC6)),IF(AND(d_Irr!E6=".",d_Irr!AD6&lt;&gt;".",d_Irr!BC6&lt;&gt;"."),d_dir!AF6/((1/1000)*(d_Irr!AD6+d_Irr!BC6)),IF(AND(d_Irr!E6=".",d_Irr!AD6=".",d_Irr!BC6&lt;&gt;"."),d_dir!AF6/((1/1000)*(d_Irr!BC6)),IF(AND(d_Irr!E6=".",d_Irr!AD6&lt;&gt;".",d_Irr!BC6="."),d_dir!AF6/((1/1000)*(d_Irr!AD6)),IF(AND(d_Irr!E6&lt;&gt;".",d_Irr!AD6=".",d_Irr!BC6="."),d_dir!AF6/((1/1000)*(d_Irr!E6)),IF(AND(d_Irr!E6=".",d_Irr!AD6=".",d_Irr!BC6="."),d_dir!AF6*1000)))))))),".")</f>
        <v>.</v>
      </c>
      <c r="AG6" s="76" t="str">
        <f>IFERROR(IF(AND(d_Irr!F6&lt;&gt;".",d_Irr!AE6&lt;&gt;".",d_Irr!BD6&lt;&gt;"."),d_dir!AG6/((1/1000)*(d_Irr!F6+d_Irr!AE6+d_Irr!BD6)),IF(AND(d_Irr!F6&lt;&gt;".",d_Irr!AE6&lt;&gt;".",d_Irr!BD6="."),d_dir!AG6/((1/1000)*(d_Irr!F6+d_Irr!AE6)),IF(AND(d_Irr!F6&lt;&gt;".",d_Irr!AE6=".",d_Irr!BD6&lt;&gt;"."),d_dir!AG6/((1/1000)*(d_Irr!F6+d_Irr!BD6)),IF(AND(d_Irr!F6=".",d_Irr!AE6&lt;&gt;".",d_Irr!BD6&lt;&gt;"."),d_dir!AG6/((1/1000)*(d_Irr!AE6+d_Irr!BD6)),IF(AND(d_Irr!F6=".",d_Irr!AE6=".",d_Irr!BD6&lt;&gt;"."),d_dir!AG6/((1/1000)*(d_Irr!BD6)),IF(AND(d_Irr!F6=".",d_Irr!AE6&lt;&gt;".",d_Irr!BD6="."),d_dir!AG6/((1/1000)*(d_Irr!AE6)),IF(AND(d_Irr!F6&lt;&gt;".",d_Irr!AE6=".",d_Irr!BD6="."),d_dir!AG6/((1/1000)*(d_Irr!F6)),IF(AND(d_Irr!F6=".",d_Irr!AE6=".",d_Irr!BD6="."),d_dir!AG6*1000)))))))),".")</f>
        <v>.</v>
      </c>
      <c r="AH6" s="76" t="str">
        <f>IFERROR(IF(AND(d_Irr!G6&lt;&gt;".",d_Irr!AF6&lt;&gt;".",d_Irr!BE6&lt;&gt;"."),d_dir!AH6/((1/1000)*(d_Irr!G6+d_Irr!AF6+d_Irr!BE6)),IF(AND(d_Irr!G6&lt;&gt;".",d_Irr!AF6&lt;&gt;".",d_Irr!BE6="."),d_dir!AH6/((1/1000)*(d_Irr!G6+d_Irr!AF6)),IF(AND(d_Irr!G6&lt;&gt;".",d_Irr!AF6=".",d_Irr!BE6&lt;&gt;"."),d_dir!AH6/((1/1000)*(d_Irr!G6+d_Irr!BE6)),IF(AND(d_Irr!G6=".",d_Irr!AF6&lt;&gt;".",d_Irr!BE6&lt;&gt;"."),d_dir!AH6/((1/1000)*(d_Irr!AF6+d_Irr!BE6)),IF(AND(d_Irr!G6=".",d_Irr!AF6=".",d_Irr!BE6&lt;&gt;"."),d_dir!AH6/((1/1000)*(d_Irr!BE6)),IF(AND(d_Irr!G6=".",d_Irr!AF6&lt;&gt;".",d_Irr!BE6="."),d_dir!AH6/((1/1000)*(d_Irr!AF6)),IF(AND(d_Irr!G6&lt;&gt;".",d_Irr!AF6=".",d_Irr!BE6="."),d_dir!AH6/((1/1000)*(d_Irr!G6)),IF(AND(d_Irr!G6=".",d_Irr!AF6=".",d_Irr!BE6="."),d_dir!AH6*1000)))))))),".")</f>
        <v>.</v>
      </c>
      <c r="AI6" s="76" t="str">
        <f>IFERROR(IF(AND(d_Irr!H6&lt;&gt;".",d_Irr!AG6&lt;&gt;".",d_Irr!BF6&lt;&gt;"."),d_dir!AI6/((1/1000)*(d_Irr!H6+d_Irr!AG6+d_Irr!BF6)),IF(AND(d_Irr!H6&lt;&gt;".",d_Irr!AG6&lt;&gt;".",d_Irr!BF6="."),d_dir!AI6/((1/1000)*(d_Irr!H6+d_Irr!AG6)),IF(AND(d_Irr!H6&lt;&gt;".",d_Irr!AG6=".",d_Irr!BF6&lt;&gt;"."),d_dir!AI6/((1/1000)*(d_Irr!H6+d_Irr!BF6)),IF(AND(d_Irr!H6=".",d_Irr!AG6&lt;&gt;".",d_Irr!BF6&lt;&gt;"."),d_dir!AI6/((1/1000)*(d_Irr!AG6+d_Irr!BF6)),IF(AND(d_Irr!H6=".",d_Irr!AG6=".",d_Irr!BF6&lt;&gt;"."),d_dir!AI6/((1/1000)*(d_Irr!BF6)),IF(AND(d_Irr!H6=".",d_Irr!AG6&lt;&gt;".",d_Irr!BF6="."),d_dir!AI6/((1/1000)*(d_Irr!AG6)),IF(AND(d_Irr!H6&lt;&gt;".",d_Irr!AG6=".",d_Irr!BF6="."),d_dir!AI6/((1/1000)*(d_Irr!H6)),IF(AND(d_Irr!H6=".",d_Irr!AG6=".",d_Irr!BF6="."),d_dir!AI6*1000)))))))),".")</f>
        <v>.</v>
      </c>
      <c r="AJ6" s="76" t="str">
        <f>IFERROR(IF(AND(d_Irr!I6&lt;&gt;".",d_Irr!AH6&lt;&gt;".",d_Irr!BG6&lt;&gt;"."),d_dir!AJ6/((1/1000)*(d_Irr!I6+d_Irr!AH6+d_Irr!BG6)),IF(AND(d_Irr!I6&lt;&gt;".",d_Irr!AH6&lt;&gt;".",d_Irr!BG6="."),d_dir!AJ6/((1/1000)*(d_Irr!I6+d_Irr!AH6)),IF(AND(d_Irr!I6&lt;&gt;".",d_Irr!AH6=".",d_Irr!BG6&lt;&gt;"."),d_dir!AJ6/((1/1000)*(d_Irr!I6+d_Irr!BG6)),IF(AND(d_Irr!I6=".",d_Irr!AH6&lt;&gt;".",d_Irr!BG6&lt;&gt;"."),d_dir!AJ6/((1/1000)*(d_Irr!AH6+d_Irr!BG6)),IF(AND(d_Irr!I6=".",d_Irr!AH6=".",d_Irr!BG6&lt;&gt;"."),d_dir!AJ6/((1/1000)*(d_Irr!BG6)),IF(AND(d_Irr!I6=".",d_Irr!AH6&lt;&gt;".",d_Irr!BG6="."),d_dir!AJ6/((1/1000)*(d_Irr!AH6)),IF(AND(d_Irr!I6&lt;&gt;".",d_Irr!AH6=".",d_Irr!BG6="."),d_dir!AJ6/((1/1000)*(d_Irr!I6)),IF(AND(d_Irr!I6=".",d_Irr!AH6=".",d_Irr!BG6="."),d_dir!AJ6*1000)))))))),".")</f>
        <v>.</v>
      </c>
      <c r="AK6" s="76" t="str">
        <f>IFERROR(IF(AND(d_Irr!J6&lt;&gt;".",d_Irr!AI6&lt;&gt;".",d_Irr!BH6&lt;&gt;"."),d_dir!AK6/((1/1000)*(d_Irr!J6+d_Irr!AI6+d_Irr!BH6)),IF(AND(d_Irr!J6&lt;&gt;".",d_Irr!AI6&lt;&gt;".",d_Irr!BH6="."),d_dir!AK6/((1/1000)*(d_Irr!J6+d_Irr!AI6)),IF(AND(d_Irr!J6&lt;&gt;".",d_Irr!AI6=".",d_Irr!BH6&lt;&gt;"."),d_dir!AK6/((1/1000)*(d_Irr!J6+d_Irr!BH6)),IF(AND(d_Irr!J6=".",d_Irr!AI6&lt;&gt;".",d_Irr!BH6&lt;&gt;"."),d_dir!AK6/((1/1000)*(d_Irr!AI6+d_Irr!BH6)),IF(AND(d_Irr!J6=".",d_Irr!AI6=".",d_Irr!BH6&lt;&gt;"."),d_dir!AK6/((1/1000)*(d_Irr!BH6)),IF(AND(d_Irr!J6=".",d_Irr!AI6&lt;&gt;".",d_Irr!BH6="."),d_dir!AK6/((1/1000)*(d_Irr!AI6)),IF(AND(d_Irr!J6&lt;&gt;".",d_Irr!AI6=".",d_Irr!BH6="."),d_dir!AK6/((1/1000)*(d_Irr!J6)),IF(AND(d_Irr!J6=".",d_Irr!AI6=".",d_Irr!BH6="."),d_dir!AK6*1000)))))))),".")</f>
        <v>.</v>
      </c>
      <c r="AL6" s="76" t="str">
        <f>IFERROR(IF(AND(d_Irr!K6&lt;&gt;".",d_Irr!AJ6&lt;&gt;".",d_Irr!BI6&lt;&gt;"."),d_dir!AL6/((1/1000)*(d_Irr!K6+d_Irr!AJ6+d_Irr!BI6)),IF(AND(d_Irr!K6&lt;&gt;".",d_Irr!AJ6&lt;&gt;".",d_Irr!BI6="."),d_dir!AL6/((1/1000)*(d_Irr!K6+d_Irr!AJ6)),IF(AND(d_Irr!K6&lt;&gt;".",d_Irr!AJ6=".",d_Irr!BI6&lt;&gt;"."),d_dir!AL6/((1/1000)*(d_Irr!K6+d_Irr!BI6)),IF(AND(d_Irr!K6=".",d_Irr!AJ6&lt;&gt;".",d_Irr!BI6&lt;&gt;"."),d_dir!AL6/((1/1000)*(d_Irr!AJ6+d_Irr!BI6)),IF(AND(d_Irr!K6=".",d_Irr!AJ6=".",d_Irr!BI6&lt;&gt;"."),d_dir!AL6/((1/1000)*(d_Irr!BI6)),IF(AND(d_Irr!K6=".",d_Irr!AJ6&lt;&gt;".",d_Irr!BI6="."),d_dir!AL6/((1/1000)*(d_Irr!AJ6)),IF(AND(d_Irr!K6&lt;&gt;".",d_Irr!AJ6=".",d_Irr!BI6="."),d_dir!AL6/((1/1000)*(d_Irr!K6)),IF(AND(d_Irr!K6=".",d_Irr!AJ6=".",d_Irr!BI6="."),d_dir!AL6*1000)))))))),".")</f>
        <v>.</v>
      </c>
      <c r="AM6" s="76" t="str">
        <f>IFERROR(IF(AND(d_Irr!L6&lt;&gt;".",d_Irr!AK6&lt;&gt;".",d_Irr!BJ6&lt;&gt;"."),d_dir!AM6/((1/1000)*(d_Irr!L6+d_Irr!AK6+d_Irr!BJ6)),IF(AND(d_Irr!L6&lt;&gt;".",d_Irr!AK6&lt;&gt;".",d_Irr!BJ6="."),d_dir!AM6/((1/1000)*(d_Irr!L6+d_Irr!AK6)),IF(AND(d_Irr!L6&lt;&gt;".",d_Irr!AK6=".",d_Irr!BJ6&lt;&gt;"."),d_dir!AM6/((1/1000)*(d_Irr!L6+d_Irr!BJ6)),IF(AND(d_Irr!L6=".",d_Irr!AK6&lt;&gt;".",d_Irr!BJ6&lt;&gt;"."),d_dir!AM6/((1/1000)*(d_Irr!AK6+d_Irr!BJ6)),IF(AND(d_Irr!L6=".",d_Irr!AK6=".",d_Irr!BJ6&lt;&gt;"."),d_dir!AM6/((1/1000)*(d_Irr!BJ6)),IF(AND(d_Irr!L6=".",d_Irr!AK6&lt;&gt;".",d_Irr!BJ6="."),d_dir!AM6/((1/1000)*(d_Irr!AK6)),IF(AND(d_Irr!L6&lt;&gt;".",d_Irr!AK6=".",d_Irr!BJ6="."),d_dir!AM6/((1/1000)*(d_Irr!L6)),IF(AND(d_Irr!L6=".",d_Irr!AK6=".",d_Irr!BJ6="."),d_dir!AM6*1000)))))))),".")</f>
        <v>.</v>
      </c>
      <c r="AN6" s="76" t="str">
        <f>IFERROR(IF(AND(d_Irr!M6&lt;&gt;".",d_Irr!AL6&lt;&gt;".",d_Irr!BK6&lt;&gt;"."),d_dir!AN6/((1/1000)*(d_Irr!M6+d_Irr!AL6+d_Irr!BK6)),IF(AND(d_Irr!M6&lt;&gt;".",d_Irr!AL6&lt;&gt;".",d_Irr!BK6="."),d_dir!AN6/((1/1000)*(d_Irr!M6+d_Irr!AL6)),IF(AND(d_Irr!M6&lt;&gt;".",d_Irr!AL6=".",d_Irr!BK6&lt;&gt;"."),d_dir!AN6/((1/1000)*(d_Irr!M6+d_Irr!BK6)),IF(AND(d_Irr!M6=".",d_Irr!AL6&lt;&gt;".",d_Irr!BK6&lt;&gt;"."),d_dir!AN6/((1/1000)*(d_Irr!AL6+d_Irr!BK6)),IF(AND(d_Irr!M6=".",d_Irr!AL6=".",d_Irr!BK6&lt;&gt;"."),d_dir!AN6/((1/1000)*(d_Irr!BK6)),IF(AND(d_Irr!M6=".",d_Irr!AL6&lt;&gt;".",d_Irr!BK6="."),d_dir!AN6/((1/1000)*(d_Irr!AL6)),IF(AND(d_Irr!M6&lt;&gt;".",d_Irr!AL6=".",d_Irr!BK6="."),d_dir!AN6/((1/1000)*(d_Irr!M6)),IF(AND(d_Irr!M6=".",d_Irr!AL6=".",d_Irr!BK6="."),d_dir!AN6*1000)))))))),".")</f>
        <v>.</v>
      </c>
      <c r="AO6" s="76" t="str">
        <f>IFERROR(IF(AND(d_Irr!N6&lt;&gt;".",d_Irr!AM6&lt;&gt;".",d_Irr!BL6&lt;&gt;"."),d_dir!AO6/((1/1000)*(d_Irr!N6+d_Irr!AM6+d_Irr!BL6)),IF(AND(d_Irr!N6&lt;&gt;".",d_Irr!AM6&lt;&gt;".",d_Irr!BL6="."),d_dir!AO6/((1/1000)*(d_Irr!N6+d_Irr!AM6)),IF(AND(d_Irr!N6&lt;&gt;".",d_Irr!AM6=".",d_Irr!BL6&lt;&gt;"."),d_dir!AO6/((1/1000)*(d_Irr!N6+d_Irr!BL6)),IF(AND(d_Irr!N6=".",d_Irr!AM6&lt;&gt;".",d_Irr!BL6&lt;&gt;"."),d_dir!AO6/((1/1000)*(d_Irr!AM6+d_Irr!BL6)),IF(AND(d_Irr!N6=".",d_Irr!AM6=".",d_Irr!BL6&lt;&gt;"."),d_dir!AO6/((1/1000)*(d_Irr!BL6)),IF(AND(d_Irr!N6=".",d_Irr!AM6&lt;&gt;".",d_Irr!BL6="."),d_dir!AO6/((1/1000)*(d_Irr!AM6)),IF(AND(d_Irr!N6&lt;&gt;".",d_Irr!AM6=".",d_Irr!BL6="."),d_dir!AO6/((1/1000)*(d_Irr!N6)),IF(AND(d_Irr!N6=".",d_Irr!AM6=".",d_Irr!BL6="."),d_dir!AO6*1000)))))))),".")</f>
        <v>.</v>
      </c>
      <c r="AP6" s="76" t="str">
        <f>IFERROR(IF(AND(d_Irr!O6&lt;&gt;".",d_Irr!AN6&lt;&gt;".",d_Irr!BM6&lt;&gt;"."),d_dir!AP6/((1/1000)*(d_Irr!O6+d_Irr!AN6+d_Irr!BM6)),IF(AND(d_Irr!O6&lt;&gt;".",d_Irr!AN6&lt;&gt;".",d_Irr!BM6="."),d_dir!AP6/((1/1000)*(d_Irr!O6+d_Irr!AN6)),IF(AND(d_Irr!O6&lt;&gt;".",d_Irr!AN6=".",d_Irr!BM6&lt;&gt;"."),d_dir!AP6/((1/1000)*(d_Irr!O6+d_Irr!BM6)),IF(AND(d_Irr!O6=".",d_Irr!AN6&lt;&gt;".",d_Irr!BM6&lt;&gt;"."),d_dir!AP6/((1/1000)*(d_Irr!AN6+d_Irr!BM6)),IF(AND(d_Irr!O6=".",d_Irr!AN6=".",d_Irr!BM6&lt;&gt;"."),d_dir!AP6/((1/1000)*(d_Irr!BM6)),IF(AND(d_Irr!O6=".",d_Irr!AN6&lt;&gt;".",d_Irr!BM6="."),d_dir!AP6/((1/1000)*(d_Irr!AN6)),IF(AND(d_Irr!O6&lt;&gt;".",d_Irr!AN6=".",d_Irr!BM6="."),d_dir!AP6/((1/1000)*(d_Irr!O6)),IF(AND(d_Irr!O6=".",d_Irr!AN6=".",d_Irr!BM6="."),d_dir!AP6*1000)))))))),".")</f>
        <v>.</v>
      </c>
      <c r="AQ6" s="76" t="str">
        <f>IFERROR(IF(AND(d_Irr!P6&lt;&gt;".",d_Irr!AO6&lt;&gt;".",d_Irr!BN6&lt;&gt;"."),d_dir!AQ6/((1/1000)*(d_Irr!P6+d_Irr!AO6+d_Irr!BN6)),IF(AND(d_Irr!P6&lt;&gt;".",d_Irr!AO6&lt;&gt;".",d_Irr!BN6="."),d_dir!AQ6/((1/1000)*(d_Irr!P6+d_Irr!AO6)),IF(AND(d_Irr!P6&lt;&gt;".",d_Irr!AO6=".",d_Irr!BN6&lt;&gt;"."),d_dir!AQ6/((1/1000)*(d_Irr!P6+d_Irr!BN6)),IF(AND(d_Irr!P6=".",d_Irr!AO6&lt;&gt;".",d_Irr!BN6&lt;&gt;"."),d_dir!AQ6/((1/1000)*(d_Irr!AO6+d_Irr!BN6)),IF(AND(d_Irr!P6=".",d_Irr!AO6=".",d_Irr!BN6&lt;&gt;"."),d_dir!AQ6/((1/1000)*(d_Irr!BN6)),IF(AND(d_Irr!P6=".",d_Irr!AO6&lt;&gt;".",d_Irr!BN6="."),d_dir!AQ6/((1/1000)*(d_Irr!AO6)),IF(AND(d_Irr!P6&lt;&gt;".",d_Irr!AO6=".",d_Irr!BN6="."),d_dir!AQ6/((1/1000)*(d_Irr!P6)),IF(AND(d_Irr!P6=".",d_Irr!AO6=".",d_Irr!BN6="."),d_dir!AQ6*1000)))))))),".")</f>
        <v>.</v>
      </c>
      <c r="AR6" s="76" t="str">
        <f>IFERROR(IF(AND(d_Irr!Q6&lt;&gt;".",d_Irr!AP6&lt;&gt;".",d_Irr!BO6&lt;&gt;"."),d_dir!AR6/((1/1000)*(d_Irr!Q6+d_Irr!AP6+d_Irr!BO6)),IF(AND(d_Irr!Q6&lt;&gt;".",d_Irr!AP6&lt;&gt;".",d_Irr!BO6="."),d_dir!AR6/((1/1000)*(d_Irr!Q6+d_Irr!AP6)),IF(AND(d_Irr!Q6&lt;&gt;".",d_Irr!AP6=".",d_Irr!BO6&lt;&gt;"."),d_dir!AR6/((1/1000)*(d_Irr!Q6+d_Irr!BO6)),IF(AND(d_Irr!Q6=".",d_Irr!AP6&lt;&gt;".",d_Irr!BO6&lt;&gt;"."),d_dir!AR6/((1/1000)*(d_Irr!AP6+d_Irr!BO6)),IF(AND(d_Irr!Q6=".",d_Irr!AP6=".",d_Irr!BO6&lt;&gt;"."),d_dir!AR6/((1/1000)*(d_Irr!BO6)),IF(AND(d_Irr!Q6=".",d_Irr!AP6&lt;&gt;".",d_Irr!BO6="."),d_dir!AR6/((1/1000)*(d_Irr!AP6)),IF(AND(d_Irr!Q6&lt;&gt;".",d_Irr!AP6=".",d_Irr!BO6="."),d_dir!AR6/((1/1000)*(d_Irr!Q6)),IF(AND(d_Irr!Q6=".",d_Irr!AP6=".",d_Irr!BO6="."),d_dir!AR6*1000)))))))),".")</f>
        <v>.</v>
      </c>
      <c r="AS6" s="76" t="str">
        <f>IFERROR(IF(AND(d_Irr!R6&lt;&gt;".",d_Irr!AQ6&lt;&gt;".",d_Irr!BP6&lt;&gt;"."),d_dir!AS6/((1/1000)*(d_Irr!R6+d_Irr!AQ6+d_Irr!BP6)),IF(AND(d_Irr!R6&lt;&gt;".",d_Irr!AQ6&lt;&gt;".",d_Irr!BP6="."),d_dir!AS6/((1/1000)*(d_Irr!R6+d_Irr!AQ6)),IF(AND(d_Irr!R6&lt;&gt;".",d_Irr!AQ6=".",d_Irr!BP6&lt;&gt;"."),d_dir!AS6/((1/1000)*(d_Irr!R6+d_Irr!BP6)),IF(AND(d_Irr!R6=".",d_Irr!AQ6&lt;&gt;".",d_Irr!BP6&lt;&gt;"."),d_dir!AS6/((1/1000)*(d_Irr!AQ6+d_Irr!BP6)),IF(AND(d_Irr!R6=".",d_Irr!AQ6=".",d_Irr!BP6&lt;&gt;"."),d_dir!AS6/((1/1000)*(d_Irr!BP6)),IF(AND(d_Irr!R6=".",d_Irr!AQ6&lt;&gt;".",d_Irr!BP6="."),d_dir!AS6/((1/1000)*(d_Irr!AQ6)),IF(AND(d_Irr!R6&lt;&gt;".",d_Irr!AQ6=".",d_Irr!BP6="."),d_dir!AS6/((1/1000)*(d_Irr!R6)),IF(AND(d_Irr!R6=".",d_Irr!AQ6=".",d_Irr!BP6="."),d_dir!AS6*1000)))))))),".")</f>
        <v>.</v>
      </c>
      <c r="AT6" s="76" t="str">
        <f>IFERROR(IF(AND(d_Irr!S6&lt;&gt;".",d_Irr!AR6&lt;&gt;".",d_Irr!BQ6&lt;&gt;"."),d_dir!AT6/((1/1000)*(d_Irr!S6+d_Irr!AR6+d_Irr!BQ6)),IF(AND(d_Irr!S6&lt;&gt;".",d_Irr!AR6&lt;&gt;".",d_Irr!BQ6="."),d_dir!AT6/((1/1000)*(d_Irr!S6+d_Irr!AR6)),IF(AND(d_Irr!S6&lt;&gt;".",d_Irr!AR6=".",d_Irr!BQ6&lt;&gt;"."),d_dir!AT6/((1/1000)*(d_Irr!S6+d_Irr!BQ6)),IF(AND(d_Irr!S6=".",d_Irr!AR6&lt;&gt;".",d_Irr!BQ6&lt;&gt;"."),d_dir!AT6/((1/1000)*(d_Irr!AR6+d_Irr!BQ6)),IF(AND(d_Irr!S6=".",d_Irr!AR6=".",d_Irr!BQ6&lt;&gt;"."),d_dir!AT6/((1/1000)*(d_Irr!BQ6)),IF(AND(d_Irr!S6=".",d_Irr!AR6&lt;&gt;".",d_Irr!BQ6="."),d_dir!AT6/((1/1000)*(d_Irr!AR6)),IF(AND(d_Irr!S6&lt;&gt;".",d_Irr!AR6=".",d_Irr!BQ6="."),d_dir!AT6/((1/1000)*(d_Irr!S6)),IF(AND(d_Irr!S6=".",d_Irr!AR6=".",d_Irr!BQ6="."),d_dir!AT6*1000)))))))),".")</f>
        <v>.</v>
      </c>
      <c r="AU6" s="76" t="str">
        <f>IFERROR(IF(AND(d_Irr!T6&lt;&gt;".",d_Irr!AS6&lt;&gt;".",d_Irr!BR6&lt;&gt;"."),d_dir!AU6/((1/1000)*(d_Irr!T6+d_Irr!AS6+d_Irr!BR6)),IF(AND(d_Irr!T6&lt;&gt;".",d_Irr!AS6&lt;&gt;".",d_Irr!BR6="."),d_dir!AU6/((1/1000)*(d_Irr!T6+d_Irr!AS6)),IF(AND(d_Irr!T6&lt;&gt;".",d_Irr!AS6=".",d_Irr!BR6&lt;&gt;"."),d_dir!AU6/((1/1000)*(d_Irr!T6+d_Irr!BR6)),IF(AND(d_Irr!T6=".",d_Irr!AS6&lt;&gt;".",d_Irr!BR6&lt;&gt;"."),d_dir!AU6/((1/1000)*(d_Irr!AS6+d_Irr!BR6)),IF(AND(d_Irr!T6=".",d_Irr!AS6=".",d_Irr!BR6&lt;&gt;"."),d_dir!AU6/((1/1000)*(d_Irr!BR6)),IF(AND(d_Irr!T6=".",d_Irr!AS6&lt;&gt;".",d_Irr!BR6="."),d_dir!AU6/((1/1000)*(d_Irr!AS6)),IF(AND(d_Irr!T6&lt;&gt;".",d_Irr!AS6=".",d_Irr!BR6="."),d_dir!AU6/((1/1000)*(d_Irr!T6)),IF(AND(d_Irr!T6=".",d_Irr!AS6=".",d_Irr!BR6="."),d_dir!AU6*1000)))))))),".")</f>
        <v>.</v>
      </c>
      <c r="AV6" s="76" t="str">
        <f>IFERROR(IF(AND(d_Irr!U6&lt;&gt;".",d_Irr!AT6&lt;&gt;".",d_Irr!BS6&lt;&gt;"."),d_dir!AV6/((1/1000)*(d_Irr!U6+d_Irr!AT6+d_Irr!BS6)),IF(AND(d_Irr!U6&lt;&gt;".",d_Irr!AT6&lt;&gt;".",d_Irr!BS6="."),d_dir!AV6/((1/1000)*(d_Irr!U6+d_Irr!AT6)),IF(AND(d_Irr!U6&lt;&gt;".",d_Irr!AT6=".",d_Irr!BS6&lt;&gt;"."),d_dir!AV6/((1/1000)*(d_Irr!U6+d_Irr!BS6)),IF(AND(d_Irr!U6=".",d_Irr!AT6&lt;&gt;".",d_Irr!BS6&lt;&gt;"."),d_dir!AV6/((1/1000)*(d_Irr!AT6+d_Irr!BS6)),IF(AND(d_Irr!U6=".",d_Irr!AT6=".",d_Irr!BS6&lt;&gt;"."),d_dir!AV6/((1/1000)*(d_Irr!BS6)),IF(AND(d_Irr!U6=".",d_Irr!AT6&lt;&gt;".",d_Irr!BS6="."),d_dir!AV6/((1/1000)*(d_Irr!AT6)),IF(AND(d_Irr!U6&lt;&gt;".",d_Irr!AT6=".",d_Irr!BS6="."),d_dir!AV6/((1/1000)*(d_Irr!U6)),IF(AND(d_Irr!U6=".",d_Irr!AT6=".",d_Irr!BS6="."),d_dir!AV6*1000)))))))),".")</f>
        <v>.</v>
      </c>
      <c r="AW6" s="76" t="str">
        <f>IFERROR(IF(AND(d_Irr!V6&lt;&gt;".",d_Irr!AU6&lt;&gt;".",d_Irr!BT6&lt;&gt;"."),d_dir!AW6/((1/1000)*(d_Irr!V6+d_Irr!AU6+d_Irr!BT6)),IF(AND(d_Irr!V6&lt;&gt;".",d_Irr!AU6&lt;&gt;".",d_Irr!BT6="."),d_dir!AW6/((1/1000)*(d_Irr!V6+d_Irr!AU6)),IF(AND(d_Irr!V6&lt;&gt;".",d_Irr!AU6=".",d_Irr!BT6&lt;&gt;"."),d_dir!AW6/((1/1000)*(d_Irr!V6+d_Irr!BT6)),IF(AND(d_Irr!V6=".",d_Irr!AU6&lt;&gt;".",d_Irr!BT6&lt;&gt;"."),d_dir!AW6/((1/1000)*(d_Irr!AU6+d_Irr!BT6)),IF(AND(d_Irr!V6=".",d_Irr!AU6=".",d_Irr!BT6&lt;&gt;"."),d_dir!AW6/((1/1000)*(d_Irr!BT6)),IF(AND(d_Irr!V6=".",d_Irr!AU6&lt;&gt;".",d_Irr!BT6="."),d_dir!AW6/((1/1000)*(d_Irr!AU6)),IF(AND(d_Irr!V6&lt;&gt;".",d_Irr!AU6=".",d_Irr!BT6="."),d_dir!AW6/((1/1000)*(d_Irr!V6)),IF(AND(d_Irr!V6=".",d_Irr!AU6=".",d_Irr!BT6="."),d_dir!AW6*1000)))))))),".")</f>
        <v>.</v>
      </c>
      <c r="AX6" s="76" t="str">
        <f>IFERROR(IF(AND(d_Irr!W6&lt;&gt;".",d_Irr!AV6&lt;&gt;".",d_Irr!BU6&lt;&gt;"."),d_dir!AX6/((1/1000)*(d_Irr!W6+d_Irr!AV6+d_Irr!BU6)),IF(AND(d_Irr!W6&lt;&gt;".",d_Irr!AV6&lt;&gt;".",d_Irr!BU6="."),d_dir!AX6/((1/1000)*(d_Irr!W6+d_Irr!AV6)),IF(AND(d_Irr!W6&lt;&gt;".",d_Irr!AV6=".",d_Irr!BU6&lt;&gt;"."),d_dir!AX6/((1/1000)*(d_Irr!W6+d_Irr!BU6)),IF(AND(d_Irr!W6=".",d_Irr!AV6&lt;&gt;".",d_Irr!BU6&lt;&gt;"."),d_dir!AX6/((1/1000)*(d_Irr!AV6+d_Irr!BU6)),IF(AND(d_Irr!W6=".",d_Irr!AV6=".",d_Irr!BU6&lt;&gt;"."),d_dir!AX6/((1/1000)*(d_Irr!BU6)),IF(AND(d_Irr!W6=".",d_Irr!AV6&lt;&gt;".",d_Irr!BU6="."),d_dir!AX6/((1/1000)*(d_Irr!AV6)),IF(AND(d_Irr!W6&lt;&gt;".",d_Irr!AV6=".",d_Irr!BU6="."),d_dir!AX6/((1/1000)*(d_Irr!W6)),IF(AND(d_Irr!W6=".",d_Irr!AV6=".",d_Irr!BU6="."),d_dir!AX6*1000)))))))),".")</f>
        <v>.</v>
      </c>
      <c r="AY6" s="76" t="str">
        <f>IFERROR(IF(AND(d_Irr!X6&lt;&gt;".",d_Irr!AW6&lt;&gt;".",d_Irr!BV6&lt;&gt;"."),d_dir!AY6/((1/1000)*(d_Irr!X6+d_Irr!AW6+d_Irr!BV6)),IF(AND(d_Irr!X6&lt;&gt;".",d_Irr!AW6&lt;&gt;".",d_Irr!BV6="."),d_dir!AY6/((1/1000)*(d_Irr!X6+d_Irr!AW6)),IF(AND(d_Irr!X6&lt;&gt;".",d_Irr!AW6=".",d_Irr!BV6&lt;&gt;"."),d_dir!AY6/((1/1000)*(d_Irr!X6+d_Irr!BV6)),IF(AND(d_Irr!X6=".",d_Irr!AW6&lt;&gt;".",d_Irr!BV6&lt;&gt;"."),d_dir!AY6/((1/1000)*(d_Irr!AW6+d_Irr!BV6)),IF(AND(d_Irr!X6=".",d_Irr!AW6=".",d_Irr!BV6&lt;&gt;"."),d_dir!AY6/((1/1000)*(d_Irr!BV6)),IF(AND(d_Irr!X6=".",d_Irr!AW6&lt;&gt;".",d_Irr!BV6="."),d_dir!AY6/((1/1000)*(d_Irr!AW6)),IF(AND(d_Irr!X6&lt;&gt;".",d_Irr!AW6=".",d_Irr!BV6="."),d_dir!AY6/((1/1000)*(d_Irr!X6)),IF(AND(d_Irr!X6=".",d_Irr!AW6=".",d_Irr!BV6="."),d_dir!AY6*1000)))))))),".")</f>
        <v>.</v>
      </c>
      <c r="AZ6" s="76" t="str">
        <f>IFERROR(IF(AND(d_Irr!Y6&lt;&gt;".",d_Irr!AX6&lt;&gt;".",d_Irr!BW6&lt;&gt;"."),d_dir!AZ6/((1/1000)*(d_Irr!Y6+d_Irr!AX6+d_Irr!BW6)),IF(AND(d_Irr!Y6&lt;&gt;".",d_Irr!AX6&lt;&gt;".",d_Irr!BW6="."),d_dir!AZ6/((1/1000)*(d_Irr!Y6+d_Irr!AX6)),IF(AND(d_Irr!Y6&lt;&gt;".",d_Irr!AX6=".",d_Irr!BW6&lt;&gt;"."),d_dir!AZ6/((1/1000)*(d_Irr!Y6+d_Irr!BW6)),IF(AND(d_Irr!Y6=".",d_Irr!AX6&lt;&gt;".",d_Irr!BW6&lt;&gt;"."),d_dir!AZ6/((1/1000)*(d_Irr!AX6+d_Irr!BW6)),IF(AND(d_Irr!Y6=".",d_Irr!AX6=".",d_Irr!BW6&lt;&gt;"."),d_dir!AZ6/((1/1000)*(d_Irr!BW6)),IF(AND(d_Irr!Y6=".",d_Irr!AX6&lt;&gt;".",d_Irr!BW6="."),d_dir!AZ6/((1/1000)*(d_Irr!AX6)),IF(AND(d_Irr!Y6&lt;&gt;".",d_Irr!AX6=".",d_Irr!BW6="."),d_dir!AZ6/((1/1000)*(d_Irr!Y6)),IF(AND(d_Irr!Y6=".",d_Irr!AX6=".",d_Irr!BW6="."),d_dir!AZ6*1000)))))))),".")</f>
        <v>.</v>
      </c>
      <c r="BA6" s="76" t="str">
        <f>IFERROR(IF(AND(d_Irr!Z6&lt;&gt;".",d_Irr!AY6&lt;&gt;".",d_Irr!BX6&lt;&gt;"."),d_dir!BA6/((1/1000)*(d_Irr!Z6+d_Irr!AY6+d_Irr!BX6)),IF(AND(d_Irr!Z6&lt;&gt;".",d_Irr!AY6&lt;&gt;".",d_Irr!BX6="."),d_dir!BA6/((1/1000)*(d_Irr!Z6+d_Irr!AY6)),IF(AND(d_Irr!Z6&lt;&gt;".",d_Irr!AY6=".",d_Irr!BX6&lt;&gt;"."),d_dir!BA6/((1/1000)*(d_Irr!Z6+d_Irr!BX6)),IF(AND(d_Irr!Z6=".",d_Irr!AY6&lt;&gt;".",d_Irr!BX6&lt;&gt;"."),d_dir!BA6/((1/1000)*(d_Irr!AY6+d_Irr!BX6)),IF(AND(d_Irr!Z6=".",d_Irr!AY6=".",d_Irr!BX6&lt;&gt;"."),d_dir!BA6/((1/1000)*(d_Irr!BX6)),IF(AND(d_Irr!Z6=".",d_Irr!AY6&lt;&gt;".",d_Irr!BX6="."),d_dir!BA6/((1/1000)*(d_Irr!AY6)),IF(AND(d_Irr!Z6&lt;&gt;".",d_Irr!AY6=".",d_Irr!BX6="."),d_dir!BA6/((1/1000)*(d_Irr!Z6)),IF(AND(d_Irr!Z6=".",d_Irr!AY6=".",d_Irr!BX6="."),d_dir!BA6*1000)))))))),".")</f>
        <v>.</v>
      </c>
      <c r="BB6" s="76" t="str">
        <f>IFERROR(IF(AND(d_Irr!AA6&lt;&gt;".",d_Irr!AZ6&lt;&gt;".",d_Irr!BY6&lt;&gt;"."),d_dir!BB6/((1/1000)*(d_Irr!AA6+d_Irr!AZ6+d_Irr!BY6)),IF(AND(d_Irr!AA6&lt;&gt;".",d_Irr!AZ6&lt;&gt;".",d_Irr!BY6="."),d_dir!BB6/((1/1000)*(d_Irr!AA6+d_Irr!AZ6)),IF(AND(d_Irr!AA6&lt;&gt;".",d_Irr!AZ6=".",d_Irr!BY6&lt;&gt;"."),d_dir!BB6/((1/1000)*(d_Irr!AA6+d_Irr!BY6)),IF(AND(d_Irr!AA6=".",d_Irr!AZ6&lt;&gt;".",d_Irr!BY6&lt;&gt;"."),d_dir!BB6/((1/1000)*(d_Irr!AZ6+d_Irr!BY6)),IF(AND(d_Irr!AA6=".",d_Irr!AZ6=".",d_Irr!BY6&lt;&gt;"."),d_dir!BB6/((1/1000)*(d_Irr!BY6)),IF(AND(d_Irr!AA6=".",d_Irr!AZ6&lt;&gt;".",d_Irr!BY6="."),d_dir!BB6/((1/1000)*(d_Irr!AZ6)),IF(AND(d_Irr!AA6&lt;&gt;".",d_Irr!AZ6=".",d_Irr!BY6="."),d_dir!BB6/((1/1000)*(d_Irr!AA6)),IF(AND(d_Irr!AA6=".",d_Irr!AZ6=".",d_Irr!BY6="."),d_dir!BB6*1000)))))))),".")</f>
        <v>.</v>
      </c>
    </row>
    <row r="7" spans="1:54" ht="15" customHeight="1" x14ac:dyDescent="0.25">
      <c r="A7" s="92" t="s">
        <v>17</v>
      </c>
      <c r="B7" s="90" t="s">
        <v>1071</v>
      </c>
      <c r="C7" s="2">
        <f t="shared" si="1"/>
        <v>0.87475962020166631</v>
      </c>
      <c r="D7" s="76">
        <f>IFERROR(IF(AND(d_Irr!C7&lt;&gt;".",d_Irr!AB7&lt;&gt;".",d_Irr!BA7&lt;&gt;"."),d_dir!D7/((1/1000)*(d_Irr!C7+d_Irr!AB7+d_Irr!BA7)),IF(AND(d_Irr!C7&lt;&gt;".",d_Irr!AB7&lt;&gt;".",d_Irr!BA7="."),d_dir!D7/((1/1000)*(d_Irr!C7+d_Irr!AB7)),IF(AND(d_Irr!C7&lt;&gt;".",d_Irr!AB7=".",d_Irr!BA7&lt;&gt;"."),d_dir!D7/((1/1000)*(d_Irr!C7+d_Irr!BA7)),IF(AND(d_Irr!C7=".",d_Irr!AB7&lt;&gt;".",d_Irr!BA7&lt;&gt;"."),d_dir!D7/((1/1000)*(d_Irr!AB7+d_Irr!BA7)),IF(AND(d_Irr!C7=".",d_Irr!AB7=".",d_Irr!BA7&lt;&gt;"."),d_dir!D7/((1/1000)*(d_Irr!BA7)),IF(AND(d_Irr!C7=".",d_Irr!AB7&lt;&gt;".",d_Irr!BA7="."),d_dir!D7/((1/1000)*(d_Irr!AB7)),IF(AND(d_Irr!C7&lt;&gt;".",d_Irr!AB7=".",d_Irr!BA7="."),d_dir!D7/((1/1000)*(d_Irr!C7)),IF(AND(d_Irr!C7=".",d_Irr!AB7=".",d_Irr!BA7="."),d_dir!D7*1000)))))))),".")</f>
        <v>15.901927335146455</v>
      </c>
      <c r="E7" s="76">
        <f>IFERROR(IF(AND(d_Irr!D7&lt;&gt;".",d_Irr!AC7&lt;&gt;".",d_Irr!BB7&lt;&gt;"."),d_dir!E7/((1/1000)*(d_Irr!D7+d_Irr!AC7+d_Irr!BB7)),IF(AND(d_Irr!D7&lt;&gt;".",d_Irr!AC7&lt;&gt;".",d_Irr!BB7="."),d_dir!E7/((1/1000)*(d_Irr!D7+d_Irr!AC7)),IF(AND(d_Irr!D7&lt;&gt;".",d_Irr!AC7=".",d_Irr!BB7&lt;&gt;"."),d_dir!E7/((1/1000)*(d_Irr!D7+d_Irr!BB7)),IF(AND(d_Irr!D7=".",d_Irr!AC7&lt;&gt;".",d_Irr!BB7&lt;&gt;"."),d_dir!E7/((1/1000)*(d_Irr!AC7+d_Irr!BB7)),IF(AND(d_Irr!D7=".",d_Irr!AC7=".",d_Irr!BB7&lt;&gt;"."),d_dir!E7/((1/1000)*(d_Irr!BB7)),IF(AND(d_Irr!D7=".",d_Irr!AC7&lt;&gt;".",d_Irr!BB7="."),d_dir!E7/((1/1000)*(d_Irr!AC7)),IF(AND(d_Irr!D7&lt;&gt;".",d_Irr!AC7=".",d_Irr!BB7="."),d_dir!E7/((1/1000)*(d_Irr!D7)),IF(AND(d_Irr!D7=".",d_Irr!AC7=".",d_Irr!BB7="."),d_dir!E7*1000)))))))),".")</f>
        <v>34.789170889912683</v>
      </c>
      <c r="F7" s="76">
        <f>IFERROR(IF(AND(d_Irr!E7&lt;&gt;".",d_Irr!AD7&lt;&gt;".",d_Irr!BC7&lt;&gt;"."),d_dir!F7/((1/1000)*(d_Irr!E7+d_Irr!AD7+d_Irr!BC7)),IF(AND(d_Irr!E7&lt;&gt;".",d_Irr!AD7&lt;&gt;".",d_Irr!BC7="."),d_dir!F7/((1/1000)*(d_Irr!E7+d_Irr!AD7)),IF(AND(d_Irr!E7&lt;&gt;".",d_Irr!AD7=".",d_Irr!BC7&lt;&gt;"."),d_dir!F7/((1/1000)*(d_Irr!E7+d_Irr!BC7)),IF(AND(d_Irr!E7=".",d_Irr!AD7&lt;&gt;".",d_Irr!BC7&lt;&gt;"."),d_dir!F7/((1/1000)*(d_Irr!AD7+d_Irr!BC7)),IF(AND(d_Irr!E7=".",d_Irr!AD7=".",d_Irr!BC7&lt;&gt;"."),d_dir!F7/((1/1000)*(d_Irr!BC7)),IF(AND(d_Irr!E7=".",d_Irr!AD7&lt;&gt;".",d_Irr!BC7="."),d_dir!F7/((1/1000)*(d_Irr!AD7)),IF(AND(d_Irr!E7&lt;&gt;".",d_Irr!AD7=".",d_Irr!BC7="."),d_dir!F7/((1/1000)*(d_Irr!E7)),IF(AND(d_Irr!E7=".",d_Irr!AD7=".",d_Irr!BC7="."),d_dir!F7*1000)))))))),".")</f>
        <v>41.955785314041918</v>
      </c>
      <c r="G7" s="76">
        <f>IFERROR(IF(AND(d_Irr!F7&lt;&gt;".",d_Irr!AE7&lt;&gt;".",d_Irr!BD7&lt;&gt;"."),d_dir!G7/((1/1000)*(d_Irr!F7+d_Irr!AE7+d_Irr!BD7)),IF(AND(d_Irr!F7&lt;&gt;".",d_Irr!AE7&lt;&gt;".",d_Irr!BD7="."),d_dir!G7/((1/1000)*(d_Irr!F7+d_Irr!AE7)),IF(AND(d_Irr!F7&lt;&gt;".",d_Irr!AE7=".",d_Irr!BD7&lt;&gt;"."),d_dir!G7/((1/1000)*(d_Irr!F7+d_Irr!BD7)),IF(AND(d_Irr!F7=".",d_Irr!AE7&lt;&gt;".",d_Irr!BD7&lt;&gt;"."),d_dir!G7/((1/1000)*(d_Irr!AE7+d_Irr!BD7)),IF(AND(d_Irr!F7=".",d_Irr!AE7=".",d_Irr!BD7&lt;&gt;"."),d_dir!G7/((1/1000)*(d_Irr!BD7)),IF(AND(d_Irr!F7=".",d_Irr!AE7&lt;&gt;".",d_Irr!BD7="."),d_dir!G7/((1/1000)*(d_Irr!AE7)),IF(AND(d_Irr!F7&lt;&gt;".",d_Irr!AE7=".",d_Irr!BD7="."),d_dir!G7/((1/1000)*(d_Irr!F7)),IF(AND(d_Irr!F7=".",d_Irr!AE7=".",d_Irr!BD7="."),d_dir!G7*1000)))))))),".")</f>
        <v>35.765166425580325</v>
      </c>
      <c r="H7" s="76">
        <f>IFERROR(IF(AND(d_Irr!G7&lt;&gt;".",d_Irr!AF7&lt;&gt;".",d_Irr!BE7&lt;&gt;"."),d_dir!H7/((1/1000)*(d_Irr!G7+d_Irr!AF7+d_Irr!BE7)),IF(AND(d_Irr!G7&lt;&gt;".",d_Irr!AF7&lt;&gt;".",d_Irr!BE7="."),d_dir!H7/((1/1000)*(d_Irr!G7+d_Irr!AF7)),IF(AND(d_Irr!G7&lt;&gt;".",d_Irr!AF7=".",d_Irr!BE7&lt;&gt;"."),d_dir!H7/((1/1000)*(d_Irr!G7+d_Irr!BE7)),IF(AND(d_Irr!G7=".",d_Irr!AF7&lt;&gt;".",d_Irr!BE7&lt;&gt;"."),d_dir!H7/((1/1000)*(d_Irr!AF7+d_Irr!BE7)),IF(AND(d_Irr!G7=".",d_Irr!AF7=".",d_Irr!BE7&lt;&gt;"."),d_dir!H7/((1/1000)*(d_Irr!BE7)),IF(AND(d_Irr!G7=".",d_Irr!AF7&lt;&gt;".",d_Irr!BE7="."),d_dir!H7/((1/1000)*(d_Irr!AF7)),IF(AND(d_Irr!G7&lt;&gt;".",d_Irr!AF7=".",d_Irr!BE7="."),d_dir!H7/((1/1000)*(d_Irr!G7)),IF(AND(d_Irr!G7=".",d_Irr!AF7=".",d_Irr!BE7="."),d_dir!H7*1000)))))))),".")</f>
        <v>43.884860872051583</v>
      </c>
      <c r="I7" s="76">
        <f>IFERROR(IF(AND(d_Irr!H7&lt;&gt;".",d_Irr!AG7&lt;&gt;".",d_Irr!BF7&lt;&gt;"."),d_dir!I7/((1/1000)*(d_Irr!H7+d_Irr!AG7+d_Irr!BF7)),IF(AND(d_Irr!H7&lt;&gt;".",d_Irr!AG7&lt;&gt;".",d_Irr!BF7="."),d_dir!I7/((1/1000)*(d_Irr!H7+d_Irr!AG7)),IF(AND(d_Irr!H7&lt;&gt;".",d_Irr!AG7=".",d_Irr!BF7&lt;&gt;"."),d_dir!I7/((1/1000)*(d_Irr!H7+d_Irr!BF7)),IF(AND(d_Irr!H7=".",d_Irr!AG7&lt;&gt;".",d_Irr!BF7&lt;&gt;"."),d_dir!I7/((1/1000)*(d_Irr!AG7+d_Irr!BF7)),IF(AND(d_Irr!H7=".",d_Irr!AG7=".",d_Irr!BF7&lt;&gt;"."),d_dir!I7/((1/1000)*(d_Irr!BF7)),IF(AND(d_Irr!H7=".",d_Irr!AG7&lt;&gt;".",d_Irr!BF7="."),d_dir!I7/((1/1000)*(d_Irr!AG7)),IF(AND(d_Irr!H7&lt;&gt;".",d_Irr!AG7=".",d_Irr!BF7="."),d_dir!I7/((1/1000)*(d_Irr!H7)),IF(AND(d_Irr!H7=".",d_Irr!AG7=".",d_Irr!BF7="."),d_dir!I7*1000)))))))),".")</f>
        <v>17.137269265563468</v>
      </c>
      <c r="J7" s="76">
        <f>IFERROR(IF(AND(d_Irr!I7&lt;&gt;".",d_Irr!AH7&lt;&gt;".",d_Irr!BG7&lt;&gt;"."),d_dir!J7/((1/1000)*(d_Irr!I7+d_Irr!AH7+d_Irr!BG7)),IF(AND(d_Irr!I7&lt;&gt;".",d_Irr!AH7&lt;&gt;".",d_Irr!BG7="."),d_dir!J7/((1/1000)*(d_Irr!I7+d_Irr!AH7)),IF(AND(d_Irr!I7&lt;&gt;".",d_Irr!AH7=".",d_Irr!BG7&lt;&gt;"."),d_dir!J7/((1/1000)*(d_Irr!I7+d_Irr!BG7)),IF(AND(d_Irr!I7=".",d_Irr!AH7&lt;&gt;".",d_Irr!BG7&lt;&gt;"."),d_dir!J7/((1/1000)*(d_Irr!AH7+d_Irr!BG7)),IF(AND(d_Irr!I7=".",d_Irr!AH7=".",d_Irr!BG7&lt;&gt;"."),d_dir!J7/((1/1000)*(d_Irr!BG7)),IF(AND(d_Irr!I7=".",d_Irr!AH7&lt;&gt;".",d_Irr!BG7="."),d_dir!J7/((1/1000)*(d_Irr!AH7)),IF(AND(d_Irr!I7&lt;&gt;".",d_Irr!AH7=".",d_Irr!BG7="."),d_dir!J7/((1/1000)*(d_Irr!I7)),IF(AND(d_Irr!I7=".",d_Irr!AH7=".",d_Irr!BG7="."),d_dir!J7*1000)))))))),".")</f>
        <v>48.302311925264171</v>
      </c>
      <c r="K7" s="76">
        <f>IFERROR(IF(AND(d_Irr!J7&lt;&gt;".",d_Irr!AI7&lt;&gt;".",d_Irr!BH7&lt;&gt;"."),d_dir!K7/((1/1000)*(d_Irr!J7+d_Irr!AI7+d_Irr!BH7)),IF(AND(d_Irr!J7&lt;&gt;".",d_Irr!AI7&lt;&gt;".",d_Irr!BH7="."),d_dir!K7/((1/1000)*(d_Irr!J7+d_Irr!AI7)),IF(AND(d_Irr!J7&lt;&gt;".",d_Irr!AI7=".",d_Irr!BH7&lt;&gt;"."),d_dir!K7/((1/1000)*(d_Irr!J7+d_Irr!BH7)),IF(AND(d_Irr!J7=".",d_Irr!AI7&lt;&gt;".",d_Irr!BH7&lt;&gt;"."),d_dir!K7/((1/1000)*(d_Irr!AI7+d_Irr!BH7)),IF(AND(d_Irr!J7=".",d_Irr!AI7=".",d_Irr!BH7&lt;&gt;"."),d_dir!K7/((1/1000)*(d_Irr!BH7)),IF(AND(d_Irr!J7=".",d_Irr!AI7&lt;&gt;".",d_Irr!BH7="."),d_dir!K7/((1/1000)*(d_Irr!AI7)),IF(AND(d_Irr!J7&lt;&gt;".",d_Irr!AI7=".",d_Irr!BH7="."),d_dir!K7/((1/1000)*(d_Irr!J7)),IF(AND(d_Irr!J7=".",d_Irr!AI7=".",d_Irr!BH7="."),d_dir!K7*1000)))))))),".")</f>
        <v>4.1234227764022968</v>
      </c>
      <c r="L7" s="76">
        <f>IFERROR(IF(AND(d_Irr!K7&lt;&gt;".",d_Irr!AJ7&lt;&gt;".",d_Irr!BI7&lt;&gt;"."),d_dir!L7/((1/1000)*(d_Irr!K7+d_Irr!AJ7+d_Irr!BI7)),IF(AND(d_Irr!K7&lt;&gt;".",d_Irr!AJ7&lt;&gt;".",d_Irr!BI7="."),d_dir!L7/((1/1000)*(d_Irr!K7+d_Irr!AJ7)),IF(AND(d_Irr!K7&lt;&gt;".",d_Irr!AJ7=".",d_Irr!BI7&lt;&gt;"."),d_dir!L7/((1/1000)*(d_Irr!K7+d_Irr!BI7)),IF(AND(d_Irr!K7=".",d_Irr!AJ7&lt;&gt;".",d_Irr!BI7&lt;&gt;"."),d_dir!L7/((1/1000)*(d_Irr!AJ7+d_Irr!BI7)),IF(AND(d_Irr!K7=".",d_Irr!AJ7=".",d_Irr!BI7&lt;&gt;"."),d_dir!L7/((1/1000)*(d_Irr!BI7)),IF(AND(d_Irr!K7=".",d_Irr!AJ7&lt;&gt;".",d_Irr!BI7="."),d_dir!L7/((1/1000)*(d_Irr!AJ7)),IF(AND(d_Irr!K7&lt;&gt;".",d_Irr!AJ7=".",d_Irr!BI7="."),d_dir!L7/((1/1000)*(d_Irr!K7)),IF(AND(d_Irr!K7=".",d_Irr!AJ7=".",d_Irr!BI7="."),d_dir!L7*1000)))))))),".")</f>
        <v>22.613859550550323</v>
      </c>
      <c r="M7" s="76">
        <f>IFERROR(IF(AND(d_Irr!L7&lt;&gt;".",d_Irr!AK7&lt;&gt;".",d_Irr!BJ7&lt;&gt;"."),d_dir!M7/((1/1000)*(d_Irr!L7+d_Irr!AK7+d_Irr!BJ7)),IF(AND(d_Irr!L7&lt;&gt;".",d_Irr!AK7&lt;&gt;".",d_Irr!BJ7="."),d_dir!M7/((1/1000)*(d_Irr!L7+d_Irr!AK7)),IF(AND(d_Irr!L7&lt;&gt;".",d_Irr!AK7=".",d_Irr!BJ7&lt;&gt;"."),d_dir!M7/((1/1000)*(d_Irr!L7+d_Irr!BJ7)),IF(AND(d_Irr!L7=".",d_Irr!AK7&lt;&gt;".",d_Irr!BJ7&lt;&gt;"."),d_dir!M7/((1/1000)*(d_Irr!AK7+d_Irr!BJ7)),IF(AND(d_Irr!L7=".",d_Irr!AK7=".",d_Irr!BJ7&lt;&gt;"."),d_dir!M7/((1/1000)*(d_Irr!BJ7)),IF(AND(d_Irr!L7=".",d_Irr!AK7&lt;&gt;".",d_Irr!BJ7="."),d_dir!M7/((1/1000)*(d_Irr!AK7)),IF(AND(d_Irr!L7&lt;&gt;".",d_Irr!AK7=".",d_Irr!BJ7="."),d_dir!M7/((1/1000)*(d_Irr!L7)),IF(AND(d_Irr!L7=".",d_Irr!AK7=".",d_Irr!BJ7="."),d_dir!M7*1000)))))))),".")</f>
        <v>16.949654264039413</v>
      </c>
      <c r="N7" s="76">
        <f>IFERROR(IF(AND(d_Irr!M7&lt;&gt;".",d_Irr!AL7&lt;&gt;".",d_Irr!BK7&lt;&gt;"."),d_dir!N7/((1/1000)*(d_Irr!M7+d_Irr!AL7+d_Irr!BK7)),IF(AND(d_Irr!M7&lt;&gt;".",d_Irr!AL7&lt;&gt;".",d_Irr!BK7="."),d_dir!N7/((1/1000)*(d_Irr!M7+d_Irr!AL7)),IF(AND(d_Irr!M7&lt;&gt;".",d_Irr!AL7=".",d_Irr!BK7&lt;&gt;"."),d_dir!N7/((1/1000)*(d_Irr!M7+d_Irr!BK7)),IF(AND(d_Irr!M7=".",d_Irr!AL7&lt;&gt;".",d_Irr!BK7&lt;&gt;"."),d_dir!N7/((1/1000)*(d_Irr!AL7+d_Irr!BK7)),IF(AND(d_Irr!M7=".",d_Irr!AL7=".",d_Irr!BK7&lt;&gt;"."),d_dir!N7/((1/1000)*(d_Irr!BK7)),IF(AND(d_Irr!M7=".",d_Irr!AL7&lt;&gt;".",d_Irr!BK7="."),d_dir!N7/((1/1000)*(d_Irr!AL7)),IF(AND(d_Irr!M7&lt;&gt;".",d_Irr!AL7=".",d_Irr!BK7="."),d_dir!N7/((1/1000)*(d_Irr!M7)),IF(AND(d_Irr!M7=".",d_Irr!AL7=".",d_Irr!BK7="."),d_dir!N7*1000)))))))),".")</f>
        <v>37.767269248536373</v>
      </c>
      <c r="O7" s="76">
        <f>IFERROR(IF(AND(d_Irr!N7&lt;&gt;".",d_Irr!AM7&lt;&gt;".",d_Irr!BL7&lt;&gt;"."),d_dir!O7/((1/1000)*(d_Irr!N7+d_Irr!AM7+d_Irr!BL7)),IF(AND(d_Irr!N7&lt;&gt;".",d_Irr!AM7&lt;&gt;".",d_Irr!BL7="."),d_dir!O7/((1/1000)*(d_Irr!N7+d_Irr!AM7)),IF(AND(d_Irr!N7&lt;&gt;".",d_Irr!AM7=".",d_Irr!BL7&lt;&gt;"."),d_dir!O7/((1/1000)*(d_Irr!N7+d_Irr!BL7)),IF(AND(d_Irr!N7=".",d_Irr!AM7&lt;&gt;".",d_Irr!BL7&lt;&gt;"."),d_dir!O7/((1/1000)*(d_Irr!AM7+d_Irr!BL7)),IF(AND(d_Irr!N7=".",d_Irr!AM7=".",d_Irr!BL7&lt;&gt;"."),d_dir!O7/((1/1000)*(d_Irr!BL7)),IF(AND(d_Irr!N7=".",d_Irr!AM7&lt;&gt;".",d_Irr!BL7="."),d_dir!O7/((1/1000)*(d_Irr!AM7)),IF(AND(d_Irr!N7&lt;&gt;".",d_Irr!AM7=".",d_Irr!BL7="."),d_dir!O7/((1/1000)*(d_Irr!N7)),IF(AND(d_Irr!N7=".",d_Irr!AM7=".",d_Irr!BL7="."),d_dir!O7*1000)))))))),".")</f>
        <v>36.828216410918735</v>
      </c>
      <c r="P7" s="76">
        <f>IFERROR(IF(AND(d_Irr!O7&lt;&gt;".",d_Irr!AN7&lt;&gt;".",d_Irr!BM7&lt;&gt;"."),d_dir!P7/((1/1000)*(d_Irr!O7+d_Irr!AN7+d_Irr!BM7)),IF(AND(d_Irr!O7&lt;&gt;".",d_Irr!AN7&lt;&gt;".",d_Irr!BM7="."),d_dir!P7/((1/1000)*(d_Irr!O7+d_Irr!AN7)),IF(AND(d_Irr!O7&lt;&gt;".",d_Irr!AN7=".",d_Irr!BM7&lt;&gt;"."),d_dir!P7/((1/1000)*(d_Irr!O7+d_Irr!BM7)),IF(AND(d_Irr!O7=".",d_Irr!AN7&lt;&gt;".",d_Irr!BM7&lt;&gt;"."),d_dir!P7/((1/1000)*(d_Irr!AN7+d_Irr!BM7)),IF(AND(d_Irr!O7=".",d_Irr!AN7=".",d_Irr!BM7&lt;&gt;"."),d_dir!P7/((1/1000)*(d_Irr!BM7)),IF(AND(d_Irr!O7=".",d_Irr!AN7&lt;&gt;".",d_Irr!BM7="."),d_dir!P7/((1/1000)*(d_Irr!AN7)),IF(AND(d_Irr!O7&lt;&gt;".",d_Irr!AN7=".",d_Irr!BM7="."),d_dir!P7/((1/1000)*(d_Irr!O7)),IF(AND(d_Irr!O7=".",d_Irr!AN7=".",d_Irr!BM7="."),d_dir!P7*1000)))))))),".")</f>
        <v>45.73255782262509</v>
      </c>
      <c r="Q7" s="76">
        <f>IFERROR(IF(AND(d_Irr!P7&lt;&gt;".",d_Irr!AO7&lt;&gt;".",d_Irr!BN7&lt;&gt;"."),d_dir!Q7/((1/1000)*(d_Irr!P7+d_Irr!AO7+d_Irr!BN7)),IF(AND(d_Irr!P7&lt;&gt;".",d_Irr!AO7&lt;&gt;".",d_Irr!BN7="."),d_dir!Q7/((1/1000)*(d_Irr!P7+d_Irr!AO7)),IF(AND(d_Irr!P7&lt;&gt;".",d_Irr!AO7=".",d_Irr!BN7&lt;&gt;"."),d_dir!Q7/((1/1000)*(d_Irr!P7+d_Irr!BN7)),IF(AND(d_Irr!P7=".",d_Irr!AO7&lt;&gt;".",d_Irr!BN7&lt;&gt;"."),d_dir!Q7/((1/1000)*(d_Irr!AO7+d_Irr!BN7)),IF(AND(d_Irr!P7=".",d_Irr!AO7=".",d_Irr!BN7&lt;&gt;"."),d_dir!Q7/((1/1000)*(d_Irr!BN7)),IF(AND(d_Irr!P7=".",d_Irr!AO7&lt;&gt;".",d_Irr!BN7="."),d_dir!Q7/((1/1000)*(d_Irr!AO7)),IF(AND(d_Irr!P7&lt;&gt;".",d_Irr!AO7=".",d_Irr!BN7="."),d_dir!Q7/((1/1000)*(d_Irr!P7)),IF(AND(d_Irr!P7=".",d_Irr!AO7=".",d_Irr!BN7="."),d_dir!Q7*1000)))))))),".")</f>
        <v>65.281809628257761</v>
      </c>
      <c r="R7" s="76">
        <f>IFERROR(IF(AND(d_Irr!Q7&lt;&gt;".",d_Irr!AP7&lt;&gt;".",d_Irr!BO7&lt;&gt;"."),d_dir!R7/((1/1000)*(d_Irr!Q7+d_Irr!AP7+d_Irr!BO7)),IF(AND(d_Irr!Q7&lt;&gt;".",d_Irr!AP7&lt;&gt;".",d_Irr!BO7="."),d_dir!R7/((1/1000)*(d_Irr!Q7+d_Irr!AP7)),IF(AND(d_Irr!Q7&lt;&gt;".",d_Irr!AP7=".",d_Irr!BO7&lt;&gt;"."),d_dir!R7/((1/1000)*(d_Irr!Q7+d_Irr!BO7)),IF(AND(d_Irr!Q7=".",d_Irr!AP7&lt;&gt;".",d_Irr!BO7&lt;&gt;"."),d_dir!R7/((1/1000)*(d_Irr!AP7+d_Irr!BO7)),IF(AND(d_Irr!Q7=".",d_Irr!AP7=".",d_Irr!BO7&lt;&gt;"."),d_dir!R7/((1/1000)*(d_Irr!BO7)),IF(AND(d_Irr!Q7=".",d_Irr!AP7&lt;&gt;".",d_Irr!BO7="."),d_dir!R7/((1/1000)*(d_Irr!AP7)),IF(AND(d_Irr!Q7&lt;&gt;".",d_Irr!AP7=".",d_Irr!BO7="."),d_dir!R7/((1/1000)*(d_Irr!Q7)),IF(AND(d_Irr!Q7=".",d_Irr!AP7=".",d_Irr!BO7="."),d_dir!R7*1000)))))))),".")</f>
        <v>10.20912357658006</v>
      </c>
      <c r="S7" s="76">
        <f>IFERROR(IF(AND(d_Irr!R7&lt;&gt;".",d_Irr!AQ7&lt;&gt;".",d_Irr!BP7&lt;&gt;"."),d_dir!S7/((1/1000)*(d_Irr!R7+d_Irr!AQ7+d_Irr!BP7)),IF(AND(d_Irr!R7&lt;&gt;".",d_Irr!AQ7&lt;&gt;".",d_Irr!BP7="."),d_dir!S7/((1/1000)*(d_Irr!R7+d_Irr!AQ7)),IF(AND(d_Irr!R7&lt;&gt;".",d_Irr!AQ7=".",d_Irr!BP7&lt;&gt;"."),d_dir!S7/((1/1000)*(d_Irr!R7+d_Irr!BP7)),IF(AND(d_Irr!R7=".",d_Irr!AQ7&lt;&gt;".",d_Irr!BP7&lt;&gt;"."),d_dir!S7/((1/1000)*(d_Irr!AQ7+d_Irr!BP7)),IF(AND(d_Irr!R7=".",d_Irr!AQ7=".",d_Irr!BP7&lt;&gt;"."),d_dir!S7/((1/1000)*(d_Irr!BP7)),IF(AND(d_Irr!R7=".",d_Irr!AQ7&lt;&gt;".",d_Irr!BP7="."),d_dir!S7/((1/1000)*(d_Irr!AQ7)),IF(AND(d_Irr!R7&lt;&gt;".",d_Irr!AQ7=".",d_Irr!BP7="."),d_dir!S7/((1/1000)*(d_Irr!R7)),IF(AND(d_Irr!R7=".",d_Irr!AQ7=".",d_Irr!BP7="."),d_dir!S7*1000)))))))),".")</f>
        <v>20.826029354175621</v>
      </c>
      <c r="T7" s="76">
        <f>IFERROR(IF(AND(d_Irr!S7&lt;&gt;".",d_Irr!AR7&lt;&gt;".",d_Irr!BQ7&lt;&gt;"."),d_dir!T7/((1/1000)*(d_Irr!S7+d_Irr!AR7+d_Irr!BQ7)),IF(AND(d_Irr!S7&lt;&gt;".",d_Irr!AR7&lt;&gt;".",d_Irr!BQ7="."),d_dir!T7/((1/1000)*(d_Irr!S7+d_Irr!AR7)),IF(AND(d_Irr!S7&lt;&gt;".",d_Irr!AR7=".",d_Irr!BQ7&lt;&gt;"."),d_dir!T7/((1/1000)*(d_Irr!S7+d_Irr!BQ7)),IF(AND(d_Irr!S7=".",d_Irr!AR7&lt;&gt;".",d_Irr!BQ7&lt;&gt;"."),d_dir!T7/((1/1000)*(d_Irr!AR7+d_Irr!BQ7)),IF(AND(d_Irr!S7=".",d_Irr!AR7=".",d_Irr!BQ7&lt;&gt;"."),d_dir!T7/((1/1000)*(d_Irr!BQ7)),IF(AND(d_Irr!S7=".",d_Irr!AR7&lt;&gt;".",d_Irr!BQ7="."),d_dir!T7/((1/1000)*(d_Irr!AR7)),IF(AND(d_Irr!S7&lt;&gt;".",d_Irr!AR7=".",d_Irr!BQ7="."),d_dir!T7/((1/1000)*(d_Irr!S7)),IF(AND(d_Irr!S7=".",d_Irr!AR7=".",d_Irr!BQ7="."),d_dir!T7*1000)))))))),".")</f>
        <v>36.345112166373163</v>
      </c>
      <c r="U7" s="76">
        <f>IFERROR(IF(AND(d_Irr!T7&lt;&gt;".",d_Irr!AS7&lt;&gt;".",d_Irr!BR7&lt;&gt;"."),d_dir!U7/((1/1000)*(d_Irr!T7+d_Irr!AS7+d_Irr!BR7)),IF(AND(d_Irr!T7&lt;&gt;".",d_Irr!AS7&lt;&gt;".",d_Irr!BR7="."),d_dir!U7/((1/1000)*(d_Irr!T7+d_Irr!AS7)),IF(AND(d_Irr!T7&lt;&gt;".",d_Irr!AS7=".",d_Irr!BR7&lt;&gt;"."),d_dir!U7/((1/1000)*(d_Irr!T7+d_Irr!BR7)),IF(AND(d_Irr!T7=".",d_Irr!AS7&lt;&gt;".",d_Irr!BR7&lt;&gt;"."),d_dir!U7/((1/1000)*(d_Irr!AS7+d_Irr!BR7)),IF(AND(d_Irr!T7=".",d_Irr!AS7=".",d_Irr!BR7&lt;&gt;"."),d_dir!U7/((1/1000)*(d_Irr!BR7)),IF(AND(d_Irr!T7=".",d_Irr!AS7&lt;&gt;".",d_Irr!BR7="."),d_dir!U7/((1/1000)*(d_Irr!AS7)),IF(AND(d_Irr!T7&lt;&gt;".",d_Irr!AS7=".",d_Irr!BR7="."),d_dir!U7/((1/1000)*(d_Irr!T7)),IF(AND(d_Irr!T7=".",d_Irr!AS7=".",d_Irr!BR7="."),d_dir!U7*1000)))))))),".")</f>
        <v>72.031986477748418</v>
      </c>
      <c r="V7" s="76">
        <f>IFERROR(IF(AND(d_Irr!U7&lt;&gt;".",d_Irr!AT7&lt;&gt;".",d_Irr!BS7&lt;&gt;"."),d_dir!V7/((1/1000)*(d_Irr!U7+d_Irr!AT7+d_Irr!BS7)),IF(AND(d_Irr!U7&lt;&gt;".",d_Irr!AT7&lt;&gt;".",d_Irr!BS7="."),d_dir!V7/((1/1000)*(d_Irr!U7+d_Irr!AT7)),IF(AND(d_Irr!U7&lt;&gt;".",d_Irr!AT7=".",d_Irr!BS7&lt;&gt;"."),d_dir!V7/((1/1000)*(d_Irr!U7+d_Irr!BS7)),IF(AND(d_Irr!U7=".",d_Irr!AT7&lt;&gt;".",d_Irr!BS7&lt;&gt;"."),d_dir!V7/((1/1000)*(d_Irr!AT7+d_Irr!BS7)),IF(AND(d_Irr!U7=".",d_Irr!AT7=".",d_Irr!BS7&lt;&gt;"."),d_dir!V7/((1/1000)*(d_Irr!BS7)),IF(AND(d_Irr!U7=".",d_Irr!AT7&lt;&gt;".",d_Irr!BS7="."),d_dir!V7/((1/1000)*(d_Irr!AT7)),IF(AND(d_Irr!U7&lt;&gt;".",d_Irr!AT7=".",d_Irr!BS7="."),d_dir!V7/((1/1000)*(d_Irr!U7)),IF(AND(d_Irr!U7=".",d_Irr!AT7=".",d_Irr!BS7="."),d_dir!V7*1000)))))))),".")</f>
        <v>10.692713278032958</v>
      </c>
      <c r="W7" s="76">
        <f>IFERROR(IF(AND(d_Irr!V7&lt;&gt;".",d_Irr!AU7&lt;&gt;".",d_Irr!BT7&lt;&gt;"."),d_dir!W7/((1/1000)*(d_Irr!V7+d_Irr!AU7+d_Irr!BT7)),IF(AND(d_Irr!V7&lt;&gt;".",d_Irr!AU7&lt;&gt;".",d_Irr!BT7="."),d_dir!W7/((1/1000)*(d_Irr!V7+d_Irr!AU7)),IF(AND(d_Irr!V7&lt;&gt;".",d_Irr!AU7=".",d_Irr!BT7&lt;&gt;"."),d_dir!W7/((1/1000)*(d_Irr!V7+d_Irr!BT7)),IF(AND(d_Irr!V7=".",d_Irr!AU7&lt;&gt;".",d_Irr!BT7&lt;&gt;"."),d_dir!W7/((1/1000)*(d_Irr!AU7+d_Irr!BT7)),IF(AND(d_Irr!V7=".",d_Irr!AU7=".",d_Irr!BT7&lt;&gt;"."),d_dir!W7/((1/1000)*(d_Irr!BT7)),IF(AND(d_Irr!V7=".",d_Irr!AU7&lt;&gt;".",d_Irr!BT7="."),d_dir!W7/((1/1000)*(d_Irr!AU7)),IF(AND(d_Irr!V7&lt;&gt;".",d_Irr!AU7=".",d_Irr!BT7="."),d_dir!W7/((1/1000)*(d_Irr!V7)),IF(AND(d_Irr!V7=".",d_Irr!AU7=".",d_Irr!BT7="."),d_dir!W7*1000)))))))),".")</f>
        <v>21.749228024083223</v>
      </c>
      <c r="X7" s="76">
        <f>IFERROR(IF(AND(d_Irr!W7&lt;&gt;".",d_Irr!AV7&lt;&gt;".",d_Irr!BU7&lt;&gt;"."),d_dir!X7/((1/1000)*(d_Irr!W7+d_Irr!AV7+d_Irr!BU7)),IF(AND(d_Irr!W7&lt;&gt;".",d_Irr!AV7&lt;&gt;".",d_Irr!BU7="."),d_dir!X7/((1/1000)*(d_Irr!W7+d_Irr!AV7)),IF(AND(d_Irr!W7&lt;&gt;".",d_Irr!AV7=".",d_Irr!BU7&lt;&gt;"."),d_dir!X7/((1/1000)*(d_Irr!W7+d_Irr!BU7)),IF(AND(d_Irr!W7=".",d_Irr!AV7&lt;&gt;".",d_Irr!BU7&lt;&gt;"."),d_dir!X7/((1/1000)*(d_Irr!AV7+d_Irr!BU7)),IF(AND(d_Irr!W7=".",d_Irr!AV7=".",d_Irr!BU7&lt;&gt;"."),d_dir!X7/((1/1000)*(d_Irr!BU7)),IF(AND(d_Irr!W7=".",d_Irr!AV7&lt;&gt;".",d_Irr!BU7="."),d_dir!X7/((1/1000)*(d_Irr!AV7)),IF(AND(d_Irr!W7&lt;&gt;".",d_Irr!AV7=".",d_Irr!BU7="."),d_dir!X7/((1/1000)*(d_Irr!W7)),IF(AND(d_Irr!W7=".",d_Irr!AV7=".",d_Irr!BU7="."),d_dir!X7*1000)))))))),".")</f>
        <v>23.809729851245493</v>
      </c>
      <c r="Y7" s="76">
        <f>IFERROR(IF(AND(d_Irr!X7&lt;&gt;".",d_Irr!AW7&lt;&gt;".",d_Irr!BV7&lt;&gt;"."),d_dir!Y7/((1/1000)*(d_Irr!X7+d_Irr!AW7+d_Irr!BV7)),IF(AND(d_Irr!X7&lt;&gt;".",d_Irr!AW7&lt;&gt;".",d_Irr!BV7="."),d_dir!Y7/((1/1000)*(d_Irr!X7+d_Irr!AW7)),IF(AND(d_Irr!X7&lt;&gt;".",d_Irr!AW7=".",d_Irr!BV7&lt;&gt;"."),d_dir!Y7/((1/1000)*(d_Irr!X7+d_Irr!BV7)),IF(AND(d_Irr!X7=".",d_Irr!AW7&lt;&gt;".",d_Irr!BV7&lt;&gt;"."),d_dir!Y7/((1/1000)*(d_Irr!AW7+d_Irr!BV7)),IF(AND(d_Irr!X7=".",d_Irr!AW7=".",d_Irr!BV7&lt;&gt;"."),d_dir!Y7/((1/1000)*(d_Irr!BV7)),IF(AND(d_Irr!X7=".",d_Irr!AW7&lt;&gt;".",d_Irr!BV7="."),d_dir!Y7/((1/1000)*(d_Irr!AW7)),IF(AND(d_Irr!X7&lt;&gt;".",d_Irr!AW7=".",d_Irr!BV7="."),d_dir!Y7/((1/1000)*(d_Irr!X7)),IF(AND(d_Irr!X7=".",d_Irr!AW7=".",d_Irr!BV7="."),d_dir!Y7*1000)))))))),".")</f>
        <v>31.100011686133172</v>
      </c>
      <c r="Z7" s="76">
        <f>IFERROR(IF(AND(d_Irr!Y7&lt;&gt;".",d_Irr!AX7&lt;&gt;".",d_Irr!BW7&lt;&gt;"."),d_dir!Z7/((1/1000)*(d_Irr!Y7+d_Irr!AX7+d_Irr!BW7)),IF(AND(d_Irr!Y7&lt;&gt;".",d_Irr!AX7&lt;&gt;".",d_Irr!BW7="."),d_dir!Z7/((1/1000)*(d_Irr!Y7+d_Irr!AX7)),IF(AND(d_Irr!Y7&lt;&gt;".",d_Irr!AX7=".",d_Irr!BW7&lt;&gt;"."),d_dir!Z7/((1/1000)*(d_Irr!Y7+d_Irr!BW7)),IF(AND(d_Irr!Y7=".",d_Irr!AX7&lt;&gt;".",d_Irr!BW7&lt;&gt;"."),d_dir!Z7/((1/1000)*(d_Irr!AX7+d_Irr!BW7)),IF(AND(d_Irr!Y7=".",d_Irr!AX7=".",d_Irr!BW7&lt;&gt;"."),d_dir!Z7/((1/1000)*(d_Irr!BW7)),IF(AND(d_Irr!Y7=".",d_Irr!AX7&lt;&gt;".",d_Irr!BW7="."),d_dir!Z7/((1/1000)*(d_Irr!AX7)),IF(AND(d_Irr!Y7&lt;&gt;".",d_Irr!AX7=".",d_Irr!BW7="."),d_dir!Z7/((1/1000)*(d_Irr!Y7)),IF(AND(d_Irr!Y7=".",d_Irr!AX7=".",d_Irr!BW7="."),d_dir!Z7*1000)))))))),".")</f>
        <v>16.57457770949042</v>
      </c>
      <c r="AA7" s="76">
        <f>IFERROR(IF(AND(d_Irr!Z7&lt;&gt;".",d_Irr!AY7&lt;&gt;".",d_Irr!BX7&lt;&gt;"."),d_dir!AA7/((1/1000)*(d_Irr!Z7+d_Irr!AY7+d_Irr!BX7)),IF(AND(d_Irr!Z7&lt;&gt;".",d_Irr!AY7&lt;&gt;".",d_Irr!BX7="."),d_dir!AA7/((1/1000)*(d_Irr!Z7+d_Irr!AY7)),IF(AND(d_Irr!Z7&lt;&gt;".",d_Irr!AY7=".",d_Irr!BX7&lt;&gt;"."),d_dir!AA7/((1/1000)*(d_Irr!Z7+d_Irr!BX7)),IF(AND(d_Irr!Z7=".",d_Irr!AY7&lt;&gt;".",d_Irr!BX7&lt;&gt;"."),d_dir!AA7/((1/1000)*(d_Irr!AY7+d_Irr!BX7)),IF(AND(d_Irr!Z7=".",d_Irr!AY7=".",d_Irr!BX7&lt;&gt;"."),d_dir!AA7/((1/1000)*(d_Irr!BX7)),IF(AND(d_Irr!Z7=".",d_Irr!AY7&lt;&gt;".",d_Irr!BX7="."),d_dir!AA7/((1/1000)*(d_Irr!AY7)),IF(AND(d_Irr!Z7&lt;&gt;".",d_Irr!AY7=".",d_Irr!BX7="."),d_dir!AA7/((1/1000)*(d_Irr!Z7)),IF(AND(d_Irr!Z7=".",d_Irr!AY7=".",d_Irr!BX7="."),d_dir!AA7*1000)))))))),".")</f>
        <v>7.2083459587448697</v>
      </c>
      <c r="AB7" s="76">
        <f>IFERROR(IF(AND(d_Irr!AA7&lt;&gt;".",d_Irr!AZ7&lt;&gt;".",d_Irr!BY7&lt;&gt;"."),d_dir!AB7/((1/1000)*(d_Irr!AA7+d_Irr!AZ7+d_Irr!BY7)),IF(AND(d_Irr!AA7&lt;&gt;".",d_Irr!AZ7&lt;&gt;".",d_Irr!BY7="."),d_dir!AB7/((1/1000)*(d_Irr!AA7+d_Irr!AZ7)),IF(AND(d_Irr!AA7&lt;&gt;".",d_Irr!AZ7=".",d_Irr!BY7&lt;&gt;"."),d_dir!AB7/((1/1000)*(d_Irr!AA7+d_Irr!BY7)),IF(AND(d_Irr!AA7=".",d_Irr!AZ7&lt;&gt;".",d_Irr!BY7&lt;&gt;"."),d_dir!AB7/((1/1000)*(d_Irr!AZ7+d_Irr!BY7)),IF(AND(d_Irr!AA7=".",d_Irr!AZ7=".",d_Irr!BY7&lt;&gt;"."),d_dir!AB7/((1/1000)*(d_Irr!BY7)),IF(AND(d_Irr!AA7=".",d_Irr!AZ7&lt;&gt;".",d_Irr!BY7="."),d_dir!AB7/((1/1000)*(d_Irr!AZ7)),IF(AND(d_Irr!AA7&lt;&gt;".",d_Irr!AZ7=".",d_Irr!BY7="."),d_dir!AB7/((1/1000)*(d_Irr!AA7)),IF(AND(d_Irr!AA7=".",d_Irr!AZ7=".",d_Irr!BY7="."),d_dir!AB7*1000)))))))),".")</f>
        <v>8.2666933201091641</v>
      </c>
      <c r="AC7" s="76">
        <f t="shared" si="0"/>
        <v>0.53474110325731117</v>
      </c>
      <c r="AD7" s="76">
        <f>IFERROR(IF(AND(d_Irr!C7&lt;&gt;".",d_Irr!AB7&lt;&gt;".",d_Irr!BA7&lt;&gt;"."),d_dir!AD7/((1/1000)*(d_Irr!C7+d_Irr!AB7+d_Irr!BA7)),IF(AND(d_Irr!C7&lt;&gt;".",d_Irr!AB7&lt;&gt;".",d_Irr!BA7="."),d_dir!AD7/((1/1000)*(d_Irr!C7+d_Irr!AB7)),IF(AND(d_Irr!C7&lt;&gt;".",d_Irr!AB7=".",d_Irr!BA7&lt;&gt;"."),d_dir!AD7/((1/1000)*(d_Irr!C7+d_Irr!BA7)),IF(AND(d_Irr!C7=".",d_Irr!AB7&lt;&gt;".",d_Irr!BA7&lt;&gt;"."),d_dir!AD7/((1/1000)*(d_Irr!AB7+d_Irr!BA7)),IF(AND(d_Irr!C7=".",d_Irr!AB7=".",d_Irr!BA7&lt;&gt;"."),d_dir!AD7/((1/1000)*(d_Irr!BA7)),IF(AND(d_Irr!C7=".",d_Irr!AB7&lt;&gt;".",d_Irr!BA7="."),d_dir!AD7/((1/1000)*(d_Irr!AB7)),IF(AND(d_Irr!C7&lt;&gt;".",d_Irr!AB7=".",d_Irr!BA7="."),d_dir!AD7/((1/1000)*(d_Irr!C7)),IF(AND(d_Irr!C7=".",d_Irr!AB7=".",d_Irr!BA7="."),d_dir!AD7*1000)))))))),".")</f>
        <v>8.9875957892317349</v>
      </c>
      <c r="AE7" s="76">
        <f>IFERROR(IF(AND(d_Irr!D7&lt;&gt;".",d_Irr!AC7&lt;&gt;".",d_Irr!BB7&lt;&gt;"."),d_dir!AE7/((1/1000)*(d_Irr!D7+d_Irr!AC7+d_Irr!BB7)),IF(AND(d_Irr!D7&lt;&gt;".",d_Irr!AC7&lt;&gt;".",d_Irr!BB7="."),d_dir!AE7/((1/1000)*(d_Irr!D7+d_Irr!AC7)),IF(AND(d_Irr!D7&lt;&gt;".",d_Irr!AC7=".",d_Irr!BB7&lt;&gt;"."),d_dir!AE7/((1/1000)*(d_Irr!D7+d_Irr!BB7)),IF(AND(d_Irr!D7=".",d_Irr!AC7&lt;&gt;".",d_Irr!BB7&lt;&gt;"."),d_dir!AE7/((1/1000)*(d_Irr!AC7+d_Irr!BB7)),IF(AND(d_Irr!D7=".",d_Irr!AC7=".",d_Irr!BB7&lt;&gt;"."),d_dir!AE7/((1/1000)*(d_Irr!BB7)),IF(AND(d_Irr!D7=".",d_Irr!AC7&lt;&gt;".",d_Irr!BB7="."),d_dir!AE7/((1/1000)*(d_Irr!AC7)),IF(AND(d_Irr!D7&lt;&gt;".",d_Irr!AC7=".",d_Irr!BB7="."),d_dir!AE7/((1/1000)*(d_Irr!D7)),IF(AND(d_Irr!D7=".",d_Irr!AC7=".",d_Irr!BB7="."),d_dir!AE7*1000)))))))),".")</f>
        <v>21.17707126794657</v>
      </c>
      <c r="AF7" s="76">
        <f>IFERROR(IF(AND(d_Irr!E7&lt;&gt;".",d_Irr!AD7&lt;&gt;".",d_Irr!BC7&lt;&gt;"."),d_dir!AF7/((1/1000)*(d_Irr!E7+d_Irr!AD7+d_Irr!BC7)),IF(AND(d_Irr!E7&lt;&gt;".",d_Irr!AD7&lt;&gt;".",d_Irr!BC7="."),d_dir!AF7/((1/1000)*(d_Irr!E7+d_Irr!AD7)),IF(AND(d_Irr!E7&lt;&gt;".",d_Irr!AD7=".",d_Irr!BC7&lt;&gt;"."),d_dir!AF7/((1/1000)*(d_Irr!E7+d_Irr!BC7)),IF(AND(d_Irr!E7=".",d_Irr!AD7&lt;&gt;".",d_Irr!BC7&lt;&gt;"."),d_dir!AF7/((1/1000)*(d_Irr!AD7+d_Irr!BC7)),IF(AND(d_Irr!E7=".",d_Irr!AD7=".",d_Irr!BC7&lt;&gt;"."),d_dir!AF7/((1/1000)*(d_Irr!BC7)),IF(AND(d_Irr!E7=".",d_Irr!AD7&lt;&gt;".",d_Irr!BC7="."),d_dir!AF7/((1/1000)*(d_Irr!AD7)),IF(AND(d_Irr!E7&lt;&gt;".",d_Irr!AD7=".",d_Irr!BC7="."),d_dir!AF7/((1/1000)*(d_Irr!E7)),IF(AND(d_Irr!E7=".",d_Irr!AD7=".",d_Irr!BC7="."),d_dir!AF7*1000)))))))),".")</f>
        <v>25.195743669016544</v>
      </c>
      <c r="AG7" s="76">
        <f>IFERROR(IF(AND(d_Irr!F7&lt;&gt;".",d_Irr!AE7&lt;&gt;".",d_Irr!BD7&lt;&gt;"."),d_dir!AG7/((1/1000)*(d_Irr!F7+d_Irr!AE7+d_Irr!BD7)),IF(AND(d_Irr!F7&lt;&gt;".",d_Irr!AE7&lt;&gt;".",d_Irr!BD7="."),d_dir!AG7/((1/1000)*(d_Irr!F7+d_Irr!AE7)),IF(AND(d_Irr!F7&lt;&gt;".",d_Irr!AE7=".",d_Irr!BD7&lt;&gt;"."),d_dir!AG7/((1/1000)*(d_Irr!F7+d_Irr!BD7)),IF(AND(d_Irr!F7=".",d_Irr!AE7&lt;&gt;".",d_Irr!BD7&lt;&gt;"."),d_dir!AG7/((1/1000)*(d_Irr!AE7+d_Irr!BD7)),IF(AND(d_Irr!F7=".",d_Irr!AE7=".",d_Irr!BD7&lt;&gt;"."),d_dir!AG7/((1/1000)*(d_Irr!BD7)),IF(AND(d_Irr!F7=".",d_Irr!AE7&lt;&gt;".",d_Irr!BD7="."),d_dir!AG7/((1/1000)*(d_Irr!AE7)),IF(AND(d_Irr!F7&lt;&gt;".",d_Irr!AE7=".",d_Irr!BD7="."),d_dir!AG7/((1/1000)*(d_Irr!F7)),IF(AND(d_Irr!F7=".",d_Irr!AE7=".",d_Irr!BD7="."),d_dir!AG7*1000)))))))),".")</f>
        <v>22.631728262744272</v>
      </c>
      <c r="AH7" s="76">
        <f>IFERROR(IF(AND(d_Irr!G7&lt;&gt;".",d_Irr!AF7&lt;&gt;".",d_Irr!BE7&lt;&gt;"."),d_dir!AH7/((1/1000)*(d_Irr!G7+d_Irr!AF7+d_Irr!BE7)),IF(AND(d_Irr!G7&lt;&gt;".",d_Irr!AF7&lt;&gt;".",d_Irr!BE7="."),d_dir!AH7/((1/1000)*(d_Irr!G7+d_Irr!AF7)),IF(AND(d_Irr!G7&lt;&gt;".",d_Irr!AF7=".",d_Irr!BE7&lt;&gt;"."),d_dir!AH7/((1/1000)*(d_Irr!G7+d_Irr!BE7)),IF(AND(d_Irr!G7=".",d_Irr!AF7&lt;&gt;".",d_Irr!BE7&lt;&gt;"."),d_dir!AH7/((1/1000)*(d_Irr!AF7+d_Irr!BE7)),IF(AND(d_Irr!G7=".",d_Irr!AF7=".",d_Irr!BE7&lt;&gt;"."),d_dir!AH7/((1/1000)*(d_Irr!BE7)),IF(AND(d_Irr!G7=".",d_Irr!AF7&lt;&gt;".",d_Irr!BE7="."),d_dir!AH7/((1/1000)*(d_Irr!AF7)),IF(AND(d_Irr!G7&lt;&gt;".",d_Irr!AF7=".",d_Irr!BE7="."),d_dir!AH7/((1/1000)*(d_Irr!G7)),IF(AND(d_Irr!G7=".",d_Irr!AF7=".",d_Irr!BE7="."),d_dir!AH7*1000)))))))),".")</f>
        <v>24.231249890256333</v>
      </c>
      <c r="AI7" s="76">
        <f>IFERROR(IF(AND(d_Irr!H7&lt;&gt;".",d_Irr!AG7&lt;&gt;".",d_Irr!BF7&lt;&gt;"."),d_dir!AI7/((1/1000)*(d_Irr!H7+d_Irr!AG7+d_Irr!BF7)),IF(AND(d_Irr!H7&lt;&gt;".",d_Irr!AG7&lt;&gt;".",d_Irr!BF7="."),d_dir!AI7/((1/1000)*(d_Irr!H7+d_Irr!AG7)),IF(AND(d_Irr!H7&lt;&gt;".",d_Irr!AG7=".",d_Irr!BF7&lt;&gt;"."),d_dir!AI7/((1/1000)*(d_Irr!H7+d_Irr!BF7)),IF(AND(d_Irr!H7=".",d_Irr!AG7&lt;&gt;".",d_Irr!BF7&lt;&gt;"."),d_dir!AI7/((1/1000)*(d_Irr!AG7+d_Irr!BF7)),IF(AND(d_Irr!H7=".",d_Irr!AG7=".",d_Irr!BF7&lt;&gt;"."),d_dir!AI7/((1/1000)*(d_Irr!BF7)),IF(AND(d_Irr!H7=".",d_Irr!AG7&lt;&gt;".",d_Irr!BF7="."),d_dir!AI7/((1/1000)*(d_Irr!AG7)),IF(AND(d_Irr!H7&lt;&gt;".",d_Irr!AG7=".",d_Irr!BF7="."),d_dir!AI7/((1/1000)*(d_Irr!H7)),IF(AND(d_Irr!H7=".",d_Irr!AG7=".",d_Irr!BF7="."),d_dir!AI7*1000)))))))),".")</f>
        <v>10.971813273380613</v>
      </c>
      <c r="AJ7" s="76">
        <f>IFERROR(IF(AND(d_Irr!I7&lt;&gt;".",d_Irr!AH7&lt;&gt;".",d_Irr!BG7&lt;&gt;"."),d_dir!AJ7/((1/1000)*(d_Irr!I7+d_Irr!AH7+d_Irr!BG7)),IF(AND(d_Irr!I7&lt;&gt;".",d_Irr!AH7&lt;&gt;".",d_Irr!BG7="."),d_dir!AJ7/((1/1000)*(d_Irr!I7+d_Irr!AH7)),IF(AND(d_Irr!I7&lt;&gt;".",d_Irr!AH7=".",d_Irr!BG7&lt;&gt;"."),d_dir!AJ7/((1/1000)*(d_Irr!I7+d_Irr!BG7)),IF(AND(d_Irr!I7=".",d_Irr!AH7&lt;&gt;".",d_Irr!BG7&lt;&gt;"."),d_dir!AJ7/((1/1000)*(d_Irr!AH7+d_Irr!BG7)),IF(AND(d_Irr!I7=".",d_Irr!AH7=".",d_Irr!BG7&lt;&gt;"."),d_dir!AJ7/((1/1000)*(d_Irr!BG7)),IF(AND(d_Irr!I7=".",d_Irr!AH7&lt;&gt;".",d_Irr!BG7="."),d_dir!AJ7/((1/1000)*(d_Irr!AH7)),IF(AND(d_Irr!I7&lt;&gt;".",d_Irr!AH7=".",d_Irr!BG7="."),d_dir!AJ7/((1/1000)*(d_Irr!I7)),IF(AND(d_Irr!I7=".",d_Irr!AH7=".",d_Irr!BG7="."),d_dir!AJ7*1000)))))))),".")</f>
        <v>33.453153711727772</v>
      </c>
      <c r="AK7" s="76">
        <f>IFERROR(IF(AND(d_Irr!J7&lt;&gt;".",d_Irr!AI7&lt;&gt;".",d_Irr!BH7&lt;&gt;"."),d_dir!AK7/((1/1000)*(d_Irr!J7+d_Irr!AI7+d_Irr!BH7)),IF(AND(d_Irr!J7&lt;&gt;".",d_Irr!AI7&lt;&gt;".",d_Irr!BH7="."),d_dir!AK7/((1/1000)*(d_Irr!J7+d_Irr!AI7)),IF(AND(d_Irr!J7&lt;&gt;".",d_Irr!AI7=".",d_Irr!BH7&lt;&gt;"."),d_dir!AK7/((1/1000)*(d_Irr!J7+d_Irr!BH7)),IF(AND(d_Irr!J7=".",d_Irr!AI7&lt;&gt;".",d_Irr!BH7&lt;&gt;"."),d_dir!AK7/((1/1000)*(d_Irr!AI7+d_Irr!BH7)),IF(AND(d_Irr!J7=".",d_Irr!AI7=".",d_Irr!BH7&lt;&gt;"."),d_dir!AK7/((1/1000)*(d_Irr!BH7)),IF(AND(d_Irr!J7=".",d_Irr!AI7&lt;&gt;".",d_Irr!BH7="."),d_dir!AK7/((1/1000)*(d_Irr!AI7)),IF(AND(d_Irr!J7&lt;&gt;".",d_Irr!AI7=".",d_Irr!BH7="."),d_dir!AK7/((1/1000)*(d_Irr!J7)),IF(AND(d_Irr!J7=".",d_Irr!AI7=".",d_Irr!BH7="."),d_dir!AK7*1000)))))))),".")</f>
        <v>2.6055702299887895</v>
      </c>
      <c r="AL7" s="76">
        <f>IFERROR(IF(AND(d_Irr!K7&lt;&gt;".",d_Irr!AJ7&lt;&gt;".",d_Irr!BI7&lt;&gt;"."),d_dir!AL7/((1/1000)*(d_Irr!K7+d_Irr!AJ7+d_Irr!BI7)),IF(AND(d_Irr!K7&lt;&gt;".",d_Irr!AJ7&lt;&gt;".",d_Irr!BI7="."),d_dir!AL7/((1/1000)*(d_Irr!K7+d_Irr!AJ7)),IF(AND(d_Irr!K7&lt;&gt;".",d_Irr!AJ7=".",d_Irr!BI7&lt;&gt;"."),d_dir!AL7/((1/1000)*(d_Irr!K7+d_Irr!BI7)),IF(AND(d_Irr!K7=".",d_Irr!AJ7&lt;&gt;".",d_Irr!BI7&lt;&gt;"."),d_dir!AL7/((1/1000)*(d_Irr!AJ7+d_Irr!BI7)),IF(AND(d_Irr!K7=".",d_Irr!AJ7=".",d_Irr!BI7&lt;&gt;"."),d_dir!AL7/((1/1000)*(d_Irr!BI7)),IF(AND(d_Irr!K7=".",d_Irr!AJ7&lt;&gt;".",d_Irr!BI7="."),d_dir!AL7/((1/1000)*(d_Irr!AJ7)),IF(AND(d_Irr!K7&lt;&gt;".",d_Irr!AJ7=".",d_Irr!BI7="."),d_dir!AL7/((1/1000)*(d_Irr!K7)),IF(AND(d_Irr!K7=".",d_Irr!AJ7=".",d_Irr!BI7="."),d_dir!AL7*1000)))))))),".")</f>
        <v>10.189512293961489</v>
      </c>
      <c r="AM7" s="76">
        <f>IFERROR(IF(AND(d_Irr!L7&lt;&gt;".",d_Irr!AK7&lt;&gt;".",d_Irr!BJ7&lt;&gt;"."),d_dir!AM7/((1/1000)*(d_Irr!L7+d_Irr!AK7+d_Irr!BJ7)),IF(AND(d_Irr!L7&lt;&gt;".",d_Irr!AK7&lt;&gt;".",d_Irr!BJ7="."),d_dir!AM7/((1/1000)*(d_Irr!L7+d_Irr!AK7)),IF(AND(d_Irr!L7&lt;&gt;".",d_Irr!AK7=".",d_Irr!BJ7&lt;&gt;"."),d_dir!AM7/((1/1000)*(d_Irr!L7+d_Irr!BJ7)),IF(AND(d_Irr!L7=".",d_Irr!AK7&lt;&gt;".",d_Irr!BJ7&lt;&gt;"."),d_dir!AM7/((1/1000)*(d_Irr!AK7+d_Irr!BJ7)),IF(AND(d_Irr!L7=".",d_Irr!AK7=".",d_Irr!BJ7&lt;&gt;"."),d_dir!AM7/((1/1000)*(d_Irr!BJ7)),IF(AND(d_Irr!L7=".",d_Irr!AK7&lt;&gt;".",d_Irr!BJ7="."),d_dir!AM7/((1/1000)*(d_Irr!AK7)),IF(AND(d_Irr!L7&lt;&gt;".",d_Irr!AK7=".",d_Irr!BJ7="."),d_dir!AM7/((1/1000)*(d_Irr!L7)),IF(AND(d_Irr!L7=".",d_Irr!AK7=".",d_Irr!BJ7="."),d_dir!AM7*1000)))))))),".")</f>
        <v>15.470744296183399</v>
      </c>
      <c r="AN7" s="76">
        <f>IFERROR(IF(AND(d_Irr!M7&lt;&gt;".",d_Irr!AL7&lt;&gt;".",d_Irr!BK7&lt;&gt;"."),d_dir!AN7/((1/1000)*(d_Irr!M7+d_Irr!AL7+d_Irr!BK7)),IF(AND(d_Irr!M7&lt;&gt;".",d_Irr!AL7&lt;&gt;".",d_Irr!BK7="."),d_dir!AN7/((1/1000)*(d_Irr!M7+d_Irr!AL7)),IF(AND(d_Irr!M7&lt;&gt;".",d_Irr!AL7=".",d_Irr!BK7&lt;&gt;"."),d_dir!AN7/((1/1000)*(d_Irr!M7+d_Irr!BK7)),IF(AND(d_Irr!M7=".",d_Irr!AL7&lt;&gt;".",d_Irr!BK7&lt;&gt;"."),d_dir!AN7/((1/1000)*(d_Irr!AL7+d_Irr!BK7)),IF(AND(d_Irr!M7=".",d_Irr!AL7=".",d_Irr!BK7&lt;&gt;"."),d_dir!AN7/((1/1000)*(d_Irr!BK7)),IF(AND(d_Irr!M7=".",d_Irr!AL7&lt;&gt;".",d_Irr!BK7="."),d_dir!AN7/((1/1000)*(d_Irr!AL7)),IF(AND(d_Irr!M7&lt;&gt;".",d_Irr!AL7=".",d_Irr!BK7="."),d_dir!AN7/((1/1000)*(d_Irr!M7)),IF(AND(d_Irr!M7=".",d_Irr!AL7=".",d_Irr!BK7="."),d_dir!AN7*1000)))))))),".")</f>
        <v>22.466194544311492</v>
      </c>
      <c r="AO7" s="76">
        <f>IFERROR(IF(AND(d_Irr!N7&lt;&gt;".",d_Irr!AM7&lt;&gt;".",d_Irr!BL7&lt;&gt;"."),d_dir!AO7/((1/1000)*(d_Irr!N7+d_Irr!AM7+d_Irr!BL7)),IF(AND(d_Irr!N7&lt;&gt;".",d_Irr!AM7&lt;&gt;".",d_Irr!BL7="."),d_dir!AO7/((1/1000)*(d_Irr!N7+d_Irr!AM7)),IF(AND(d_Irr!N7&lt;&gt;".",d_Irr!AM7=".",d_Irr!BL7&lt;&gt;"."),d_dir!AO7/((1/1000)*(d_Irr!N7+d_Irr!BL7)),IF(AND(d_Irr!N7=".",d_Irr!AM7&lt;&gt;".",d_Irr!BL7&lt;&gt;"."),d_dir!AO7/((1/1000)*(d_Irr!AM7+d_Irr!BL7)),IF(AND(d_Irr!N7=".",d_Irr!AM7=".",d_Irr!BL7&lt;&gt;"."),d_dir!AO7/((1/1000)*(d_Irr!BL7)),IF(AND(d_Irr!N7=".",d_Irr!AM7&lt;&gt;".",d_Irr!BL7="."),d_dir!AO7/((1/1000)*(d_Irr!AM7)),IF(AND(d_Irr!N7&lt;&gt;".",d_Irr!AM7=".",d_Irr!BL7="."),d_dir!AO7/((1/1000)*(d_Irr!N7)),IF(AND(d_Irr!N7=".",d_Irr!AM7=".",d_Irr!BL7="."),d_dir!AO7*1000)))))))),".")</f>
        <v>23.221901987267771</v>
      </c>
      <c r="AP7" s="76">
        <f>IFERROR(IF(AND(d_Irr!O7&lt;&gt;".",d_Irr!AN7&lt;&gt;".",d_Irr!BM7&lt;&gt;"."),d_dir!AP7/((1/1000)*(d_Irr!O7+d_Irr!AN7+d_Irr!BM7)),IF(AND(d_Irr!O7&lt;&gt;".",d_Irr!AN7&lt;&gt;".",d_Irr!BM7="."),d_dir!AP7/((1/1000)*(d_Irr!O7+d_Irr!AN7)),IF(AND(d_Irr!O7&lt;&gt;".",d_Irr!AN7=".",d_Irr!BM7&lt;&gt;"."),d_dir!AP7/((1/1000)*(d_Irr!O7+d_Irr!BM7)),IF(AND(d_Irr!O7=".",d_Irr!AN7&lt;&gt;".",d_Irr!BM7&lt;&gt;"."),d_dir!AP7/((1/1000)*(d_Irr!AN7+d_Irr!BM7)),IF(AND(d_Irr!O7=".",d_Irr!AN7=".",d_Irr!BM7&lt;&gt;"."),d_dir!AP7/((1/1000)*(d_Irr!BM7)),IF(AND(d_Irr!O7=".",d_Irr!AN7&lt;&gt;".",d_Irr!BM7="."),d_dir!AP7/((1/1000)*(d_Irr!AN7)),IF(AND(d_Irr!O7&lt;&gt;".",d_Irr!AN7=".",d_Irr!BM7="."),d_dir!AP7/((1/1000)*(d_Irr!O7)),IF(AND(d_Irr!O7=".",d_Irr!AN7=".",d_Irr!BM7="."),d_dir!AP7*1000)))))))),".")</f>
        <v>27.875882034267985</v>
      </c>
      <c r="AQ7" s="76">
        <f>IFERROR(IF(AND(d_Irr!P7&lt;&gt;".",d_Irr!AO7&lt;&gt;".",d_Irr!BN7&lt;&gt;"."),d_dir!AQ7/((1/1000)*(d_Irr!P7+d_Irr!AO7+d_Irr!BN7)),IF(AND(d_Irr!P7&lt;&gt;".",d_Irr!AO7&lt;&gt;".",d_Irr!BN7="."),d_dir!AQ7/((1/1000)*(d_Irr!P7+d_Irr!AO7)),IF(AND(d_Irr!P7&lt;&gt;".",d_Irr!AO7=".",d_Irr!BN7&lt;&gt;"."),d_dir!AQ7/((1/1000)*(d_Irr!P7+d_Irr!BN7)),IF(AND(d_Irr!P7=".",d_Irr!AO7&lt;&gt;".",d_Irr!BN7&lt;&gt;"."),d_dir!AQ7/((1/1000)*(d_Irr!AO7+d_Irr!BN7)),IF(AND(d_Irr!P7=".",d_Irr!AO7=".",d_Irr!BN7&lt;&gt;"."),d_dir!AQ7/((1/1000)*(d_Irr!BN7)),IF(AND(d_Irr!P7=".",d_Irr!AO7&lt;&gt;".",d_Irr!BN7="."),d_dir!AQ7/((1/1000)*(d_Irr!AO7)),IF(AND(d_Irr!P7&lt;&gt;".",d_Irr!AO7=".",d_Irr!BN7="."),d_dir!AQ7/((1/1000)*(d_Irr!P7)),IF(AND(d_Irr!P7=".",d_Irr!AO7=".",d_Irr!BN7="."),d_dir!AQ7*1000)))))))),".")</f>
        <v>31.218818537804321</v>
      </c>
      <c r="AR7" s="76">
        <f>IFERROR(IF(AND(d_Irr!Q7&lt;&gt;".",d_Irr!AP7&lt;&gt;".",d_Irr!BO7&lt;&gt;"."),d_dir!AR7/((1/1000)*(d_Irr!Q7+d_Irr!AP7+d_Irr!BO7)),IF(AND(d_Irr!Q7&lt;&gt;".",d_Irr!AP7&lt;&gt;".",d_Irr!BO7="."),d_dir!AR7/((1/1000)*(d_Irr!Q7+d_Irr!AP7)),IF(AND(d_Irr!Q7&lt;&gt;".",d_Irr!AP7=".",d_Irr!BO7&lt;&gt;"."),d_dir!AR7/((1/1000)*(d_Irr!Q7+d_Irr!BO7)),IF(AND(d_Irr!Q7=".",d_Irr!AP7&lt;&gt;".",d_Irr!BO7&lt;&gt;"."),d_dir!AR7/((1/1000)*(d_Irr!AP7+d_Irr!BO7)),IF(AND(d_Irr!Q7=".",d_Irr!AP7=".",d_Irr!BO7&lt;&gt;"."),d_dir!AR7/((1/1000)*(d_Irr!BO7)),IF(AND(d_Irr!Q7=".",d_Irr!AP7&lt;&gt;".",d_Irr!BO7="."),d_dir!AR7/((1/1000)*(d_Irr!AP7)),IF(AND(d_Irr!Q7&lt;&gt;".",d_Irr!AP7=".",d_Irr!BO7="."),d_dir!AR7/((1/1000)*(d_Irr!Q7)),IF(AND(d_Irr!Q7=".",d_Irr!AP7=".",d_Irr!BO7="."),d_dir!AR7*1000)))))))),".")</f>
        <v>7.4181078652471539</v>
      </c>
      <c r="AS7" s="76">
        <f>IFERROR(IF(AND(d_Irr!R7&lt;&gt;".",d_Irr!AQ7&lt;&gt;".",d_Irr!BP7&lt;&gt;"."),d_dir!AS7/((1/1000)*(d_Irr!R7+d_Irr!AQ7+d_Irr!BP7)),IF(AND(d_Irr!R7&lt;&gt;".",d_Irr!AQ7&lt;&gt;".",d_Irr!BP7="."),d_dir!AS7/((1/1000)*(d_Irr!R7+d_Irr!AQ7)),IF(AND(d_Irr!R7&lt;&gt;".",d_Irr!AQ7=".",d_Irr!BP7&lt;&gt;"."),d_dir!AS7/((1/1000)*(d_Irr!R7+d_Irr!BP7)),IF(AND(d_Irr!R7=".",d_Irr!AQ7&lt;&gt;".",d_Irr!BP7&lt;&gt;"."),d_dir!AS7/((1/1000)*(d_Irr!AQ7+d_Irr!BP7)),IF(AND(d_Irr!R7=".",d_Irr!AQ7=".",d_Irr!BP7&lt;&gt;"."),d_dir!AS7/((1/1000)*(d_Irr!BP7)),IF(AND(d_Irr!R7=".",d_Irr!AQ7&lt;&gt;".",d_Irr!BP7="."),d_dir!AS7/((1/1000)*(d_Irr!AQ7)),IF(AND(d_Irr!R7&lt;&gt;".",d_Irr!AQ7=".",d_Irr!BP7="."),d_dir!AS7/((1/1000)*(d_Irr!R7)),IF(AND(d_Irr!R7=".",d_Irr!AQ7=".",d_Irr!BP7="."),d_dir!AS7*1000)))))))),".")</f>
        <v>12.09681424650698</v>
      </c>
      <c r="AT7" s="76">
        <f>IFERROR(IF(AND(d_Irr!S7&lt;&gt;".",d_Irr!AR7&lt;&gt;".",d_Irr!BQ7&lt;&gt;"."),d_dir!AT7/((1/1000)*(d_Irr!S7+d_Irr!AR7+d_Irr!BQ7)),IF(AND(d_Irr!S7&lt;&gt;".",d_Irr!AR7&lt;&gt;".",d_Irr!BQ7="."),d_dir!AT7/((1/1000)*(d_Irr!S7+d_Irr!AR7)),IF(AND(d_Irr!S7&lt;&gt;".",d_Irr!AR7=".",d_Irr!BQ7&lt;&gt;"."),d_dir!AT7/((1/1000)*(d_Irr!S7+d_Irr!BQ7)),IF(AND(d_Irr!S7=".",d_Irr!AR7&lt;&gt;".",d_Irr!BQ7&lt;&gt;"."),d_dir!AT7/((1/1000)*(d_Irr!AR7+d_Irr!BQ7)),IF(AND(d_Irr!S7=".",d_Irr!AR7=".",d_Irr!BQ7&lt;&gt;"."),d_dir!AT7/((1/1000)*(d_Irr!BQ7)),IF(AND(d_Irr!S7=".",d_Irr!AR7&lt;&gt;".",d_Irr!BQ7="."),d_dir!AT7/((1/1000)*(d_Irr!AR7)),IF(AND(d_Irr!S7&lt;&gt;".",d_Irr!AR7=".",d_Irr!BQ7="."),d_dir!AT7/((1/1000)*(d_Irr!S7)),IF(AND(d_Irr!S7=".",d_Irr!AR7=".",d_Irr!BQ7="."),d_dir!AT7*1000)))))))),".")</f>
        <v>25.375982391562012</v>
      </c>
      <c r="AU7" s="76">
        <f>IFERROR(IF(AND(d_Irr!T7&lt;&gt;".",d_Irr!AS7&lt;&gt;".",d_Irr!BR7&lt;&gt;"."),d_dir!AU7/((1/1000)*(d_Irr!T7+d_Irr!AS7+d_Irr!BR7)),IF(AND(d_Irr!T7&lt;&gt;".",d_Irr!AS7&lt;&gt;".",d_Irr!BR7="."),d_dir!AU7/((1/1000)*(d_Irr!T7+d_Irr!AS7)),IF(AND(d_Irr!T7&lt;&gt;".",d_Irr!AS7=".",d_Irr!BR7&lt;&gt;"."),d_dir!AU7/((1/1000)*(d_Irr!T7+d_Irr!BR7)),IF(AND(d_Irr!T7=".",d_Irr!AS7&lt;&gt;".",d_Irr!BR7&lt;&gt;"."),d_dir!AU7/((1/1000)*(d_Irr!AS7+d_Irr!BR7)),IF(AND(d_Irr!T7=".",d_Irr!AS7=".",d_Irr!BR7&lt;&gt;"."),d_dir!AU7/((1/1000)*(d_Irr!BR7)),IF(AND(d_Irr!T7=".",d_Irr!AS7&lt;&gt;".",d_Irr!BR7="."),d_dir!AU7/((1/1000)*(d_Irr!AS7)),IF(AND(d_Irr!T7&lt;&gt;".",d_Irr!AS7=".",d_Irr!BR7="."),d_dir!AU7/((1/1000)*(d_Irr!T7)),IF(AND(d_Irr!T7=".",d_Irr!AS7=".",d_Irr!BR7="."),d_dir!AU7*1000)))))))),".")</f>
        <v>35.083023519034064</v>
      </c>
      <c r="AV7" s="76">
        <f>IFERROR(IF(AND(d_Irr!U7&lt;&gt;".",d_Irr!AT7&lt;&gt;".",d_Irr!BS7&lt;&gt;"."),d_dir!AV7/((1/1000)*(d_Irr!U7+d_Irr!AT7+d_Irr!BS7)),IF(AND(d_Irr!U7&lt;&gt;".",d_Irr!AT7&lt;&gt;".",d_Irr!BS7="."),d_dir!AV7/((1/1000)*(d_Irr!U7+d_Irr!AT7)),IF(AND(d_Irr!U7&lt;&gt;".",d_Irr!AT7=".",d_Irr!BS7&lt;&gt;"."),d_dir!AV7/((1/1000)*(d_Irr!U7+d_Irr!BS7)),IF(AND(d_Irr!U7=".",d_Irr!AT7&lt;&gt;".",d_Irr!BS7&lt;&gt;"."),d_dir!AV7/((1/1000)*(d_Irr!AT7+d_Irr!BS7)),IF(AND(d_Irr!U7=".",d_Irr!AT7=".",d_Irr!BS7&lt;&gt;"."),d_dir!AV7/((1/1000)*(d_Irr!BS7)),IF(AND(d_Irr!U7=".",d_Irr!AT7&lt;&gt;".",d_Irr!BS7="."),d_dir!AV7/((1/1000)*(d_Irr!AT7)),IF(AND(d_Irr!U7&lt;&gt;".",d_Irr!AT7=".",d_Irr!BS7="."),d_dir!AV7/((1/1000)*(d_Irr!U7)),IF(AND(d_Irr!U7=".",d_Irr!AT7=".",d_Irr!BS7="."),d_dir!AV7*1000)))))))),".")</f>
        <v>5.91268151081821</v>
      </c>
      <c r="AW7" s="76">
        <f>IFERROR(IF(AND(d_Irr!V7&lt;&gt;".",d_Irr!AU7&lt;&gt;".",d_Irr!BT7&lt;&gt;"."),d_dir!AW7/((1/1000)*(d_Irr!V7+d_Irr!AU7+d_Irr!BT7)),IF(AND(d_Irr!V7&lt;&gt;".",d_Irr!AU7&lt;&gt;".",d_Irr!BT7="."),d_dir!AW7/((1/1000)*(d_Irr!V7+d_Irr!AU7)),IF(AND(d_Irr!V7&lt;&gt;".",d_Irr!AU7=".",d_Irr!BT7&lt;&gt;"."),d_dir!AW7/((1/1000)*(d_Irr!V7+d_Irr!BT7)),IF(AND(d_Irr!V7=".",d_Irr!AU7&lt;&gt;".",d_Irr!BT7&lt;&gt;"."),d_dir!AW7/((1/1000)*(d_Irr!AU7+d_Irr!BT7)),IF(AND(d_Irr!V7=".",d_Irr!AU7=".",d_Irr!BT7&lt;&gt;"."),d_dir!AW7/((1/1000)*(d_Irr!BT7)),IF(AND(d_Irr!V7=".",d_Irr!AU7&lt;&gt;".",d_Irr!BT7="."),d_dir!AW7/((1/1000)*(d_Irr!AU7)),IF(AND(d_Irr!V7&lt;&gt;".",d_Irr!AU7=".",d_Irr!BT7="."),d_dir!AW7/((1/1000)*(d_Irr!V7)),IF(AND(d_Irr!V7=".",d_Irr!AU7=".",d_Irr!BT7="."),d_dir!AW7*1000)))))))),".")</f>
        <v>13.291934824271312</v>
      </c>
      <c r="AX7" s="76">
        <f>IFERROR(IF(AND(d_Irr!W7&lt;&gt;".",d_Irr!AV7&lt;&gt;".",d_Irr!BU7&lt;&gt;"."),d_dir!AX7/((1/1000)*(d_Irr!W7+d_Irr!AV7+d_Irr!BU7)),IF(AND(d_Irr!W7&lt;&gt;".",d_Irr!AV7&lt;&gt;".",d_Irr!BU7="."),d_dir!AX7/((1/1000)*(d_Irr!W7+d_Irr!AV7)),IF(AND(d_Irr!W7&lt;&gt;".",d_Irr!AV7=".",d_Irr!BU7&lt;&gt;"."),d_dir!AX7/((1/1000)*(d_Irr!W7+d_Irr!BU7)),IF(AND(d_Irr!W7=".",d_Irr!AV7&lt;&gt;".",d_Irr!BU7&lt;&gt;"."),d_dir!AX7/((1/1000)*(d_Irr!AV7+d_Irr!BU7)),IF(AND(d_Irr!W7=".",d_Irr!AV7=".",d_Irr!BU7&lt;&gt;"."),d_dir!AX7/((1/1000)*(d_Irr!BU7)),IF(AND(d_Irr!W7=".",d_Irr!AV7&lt;&gt;".",d_Irr!BU7="."),d_dir!AX7/((1/1000)*(d_Irr!AV7)),IF(AND(d_Irr!W7&lt;&gt;".",d_Irr!AV7=".",d_Irr!BU7="."),d_dir!AX7/((1/1000)*(d_Irr!W7)),IF(AND(d_Irr!W7=".",d_Irr!AV7=".",d_Irr!BU7="."),d_dir!AX7*1000)))))))),".")</f>
        <v>14.646534391014042</v>
      </c>
      <c r="AY7" s="76">
        <f>IFERROR(IF(AND(d_Irr!X7&lt;&gt;".",d_Irr!AW7&lt;&gt;".",d_Irr!BV7&lt;&gt;"."),d_dir!AY7/((1/1000)*(d_Irr!X7+d_Irr!AW7+d_Irr!BV7)),IF(AND(d_Irr!X7&lt;&gt;".",d_Irr!AW7&lt;&gt;".",d_Irr!BV7="."),d_dir!AY7/((1/1000)*(d_Irr!X7+d_Irr!AW7)),IF(AND(d_Irr!X7&lt;&gt;".",d_Irr!AW7=".",d_Irr!BV7&lt;&gt;"."),d_dir!AY7/((1/1000)*(d_Irr!X7+d_Irr!BV7)),IF(AND(d_Irr!X7=".",d_Irr!AW7&lt;&gt;".",d_Irr!BV7&lt;&gt;"."),d_dir!AY7/((1/1000)*(d_Irr!AW7+d_Irr!BV7)),IF(AND(d_Irr!X7=".",d_Irr!AW7=".",d_Irr!BV7&lt;&gt;"."),d_dir!AY7/((1/1000)*(d_Irr!BV7)),IF(AND(d_Irr!X7=".",d_Irr!AW7&lt;&gt;".",d_Irr!BV7="."),d_dir!AY7/((1/1000)*(d_Irr!AW7)),IF(AND(d_Irr!X7&lt;&gt;".",d_Irr!AW7=".",d_Irr!BV7="."),d_dir!AY7/((1/1000)*(d_Irr!X7)),IF(AND(d_Irr!X7=".",d_Irr!AW7=".",d_Irr!BV7="."),d_dir!AY7*1000)))))))),".")</f>
        <v>19.661389554388577</v>
      </c>
      <c r="AZ7" s="76">
        <f>IFERROR(IF(AND(d_Irr!Y7&lt;&gt;".",d_Irr!AX7&lt;&gt;".",d_Irr!BW7&lt;&gt;"."),d_dir!AZ7/((1/1000)*(d_Irr!Y7+d_Irr!AX7+d_Irr!BW7)),IF(AND(d_Irr!Y7&lt;&gt;".",d_Irr!AX7&lt;&gt;".",d_Irr!BW7="."),d_dir!AZ7/((1/1000)*(d_Irr!Y7+d_Irr!AX7)),IF(AND(d_Irr!Y7&lt;&gt;".",d_Irr!AX7=".",d_Irr!BW7&lt;&gt;"."),d_dir!AZ7/((1/1000)*(d_Irr!Y7+d_Irr!BW7)),IF(AND(d_Irr!Y7=".",d_Irr!AX7&lt;&gt;".",d_Irr!BW7&lt;&gt;"."),d_dir!AZ7/((1/1000)*(d_Irr!AX7+d_Irr!BW7)),IF(AND(d_Irr!Y7=".",d_Irr!AX7=".",d_Irr!BW7&lt;&gt;"."),d_dir!AZ7/((1/1000)*(d_Irr!BW7)),IF(AND(d_Irr!Y7=".",d_Irr!AX7&lt;&gt;".",d_Irr!BW7="."),d_dir!AZ7/((1/1000)*(d_Irr!AX7)),IF(AND(d_Irr!Y7&lt;&gt;".",d_Irr!AX7=".",d_Irr!BW7="."),d_dir!AZ7/((1/1000)*(d_Irr!Y7)),IF(AND(d_Irr!Y7=".",d_Irr!AX7=".",d_Irr!BW7="."),d_dir!AZ7*1000)))))))),".")</f>
        <v>8.7361075831652499</v>
      </c>
      <c r="BA7" s="76">
        <f>IFERROR(IF(AND(d_Irr!Z7&lt;&gt;".",d_Irr!AY7&lt;&gt;".",d_Irr!BX7&lt;&gt;"."),d_dir!BA7/((1/1000)*(d_Irr!Z7+d_Irr!AY7+d_Irr!BX7)),IF(AND(d_Irr!Z7&lt;&gt;".",d_Irr!AY7&lt;&gt;".",d_Irr!BX7="."),d_dir!BA7/((1/1000)*(d_Irr!Z7+d_Irr!AY7)),IF(AND(d_Irr!Z7&lt;&gt;".",d_Irr!AY7=".",d_Irr!BX7&lt;&gt;"."),d_dir!BA7/((1/1000)*(d_Irr!Z7+d_Irr!BX7)),IF(AND(d_Irr!Z7=".",d_Irr!AY7&lt;&gt;".",d_Irr!BX7&lt;&gt;"."),d_dir!BA7/((1/1000)*(d_Irr!AY7+d_Irr!BX7)),IF(AND(d_Irr!Z7=".",d_Irr!AY7=".",d_Irr!BX7&lt;&gt;"."),d_dir!BA7/((1/1000)*(d_Irr!BX7)),IF(AND(d_Irr!Z7=".",d_Irr!AY7&lt;&gt;".",d_Irr!BX7="."),d_dir!BA7/((1/1000)*(d_Irr!AY7)),IF(AND(d_Irr!Z7&lt;&gt;".",d_Irr!AY7=".",d_Irr!BX7="."),d_dir!BA7/((1/1000)*(d_Irr!Z7)),IF(AND(d_Irr!Z7=".",d_Irr!AY7=".",d_Irr!BX7="."),d_dir!BA7*1000)))))))),".")</f>
        <v>4.2204374996194094</v>
      </c>
      <c r="BB7" s="76">
        <f>IFERROR(IF(AND(d_Irr!AA7&lt;&gt;".",d_Irr!AZ7&lt;&gt;".",d_Irr!BY7&lt;&gt;"."),d_dir!BB7/((1/1000)*(d_Irr!AA7+d_Irr!AZ7+d_Irr!BY7)),IF(AND(d_Irr!AA7&lt;&gt;".",d_Irr!AZ7&lt;&gt;".",d_Irr!BY7="."),d_dir!BB7/((1/1000)*(d_Irr!AA7+d_Irr!AZ7)),IF(AND(d_Irr!AA7&lt;&gt;".",d_Irr!AZ7=".",d_Irr!BY7&lt;&gt;"."),d_dir!BB7/((1/1000)*(d_Irr!AA7+d_Irr!BY7)),IF(AND(d_Irr!AA7=".",d_Irr!AZ7&lt;&gt;".",d_Irr!BY7&lt;&gt;"."),d_dir!BB7/((1/1000)*(d_Irr!AZ7+d_Irr!BY7)),IF(AND(d_Irr!AA7=".",d_Irr!AZ7=".",d_Irr!BY7&lt;&gt;"."),d_dir!BB7/((1/1000)*(d_Irr!BY7)),IF(AND(d_Irr!AA7=".",d_Irr!AZ7&lt;&gt;".",d_Irr!BY7="."),d_dir!BB7/((1/1000)*(d_Irr!AZ7)),IF(AND(d_Irr!AA7&lt;&gt;".",d_Irr!AZ7=".",d_Irr!BY7="."),d_dir!BB7/((1/1000)*(d_Irr!AA7)),IF(AND(d_Irr!AA7=".",d_Irr!AZ7=".",d_Irr!BY7="."),d_dir!BB7*1000)))))))),".")</f>
        <v>4.2816456858173062</v>
      </c>
    </row>
    <row r="8" spans="1:54" ht="15" customHeight="1" x14ac:dyDescent="0.25">
      <c r="A8" s="92" t="s">
        <v>18</v>
      </c>
      <c r="B8" s="90" t="s">
        <v>1071</v>
      </c>
      <c r="C8" s="2">
        <f t="shared" si="1"/>
        <v>15.871927129432295</v>
      </c>
      <c r="D8" s="76">
        <f>IFERROR(IF(AND(d_Irr!C8&lt;&gt;".",d_Irr!AB8&lt;&gt;".",d_Irr!BA8&lt;&gt;"."),d_dir!D8/((1/1000)*(d_Irr!C8+d_Irr!AB8+d_Irr!BA8)),IF(AND(d_Irr!C8&lt;&gt;".",d_Irr!AB8&lt;&gt;".",d_Irr!BA8="."),d_dir!D8/((1/1000)*(d_Irr!C8+d_Irr!AB8)),IF(AND(d_Irr!C8&lt;&gt;".",d_Irr!AB8=".",d_Irr!BA8&lt;&gt;"."),d_dir!D8/((1/1000)*(d_Irr!C8+d_Irr!BA8)),IF(AND(d_Irr!C8=".",d_Irr!AB8&lt;&gt;".",d_Irr!BA8&lt;&gt;"."),d_dir!D8/((1/1000)*(d_Irr!AB8+d_Irr!BA8)),IF(AND(d_Irr!C8=".",d_Irr!AB8=".",d_Irr!BA8&lt;&gt;"."),d_dir!D8/((1/1000)*(d_Irr!BA8)),IF(AND(d_Irr!C8=".",d_Irr!AB8&lt;&gt;".",d_Irr!BA8="."),d_dir!D8/((1/1000)*(d_Irr!AB8)),IF(AND(d_Irr!C8&lt;&gt;".",d_Irr!AB8=".",d_Irr!BA8="."),d_dir!D8/((1/1000)*(d_Irr!C8)),IF(AND(d_Irr!C8=".",d_Irr!AB8=".",d_Irr!BA8="."),d_dir!D8*1000)))))))),".")</f>
        <v>288.52981556554386</v>
      </c>
      <c r="E8" s="76">
        <f>IFERROR(IF(AND(d_Irr!D8&lt;&gt;".",d_Irr!AC8&lt;&gt;".",d_Irr!BB8&lt;&gt;"."),d_dir!E8/((1/1000)*(d_Irr!D8+d_Irr!AC8+d_Irr!BB8)),IF(AND(d_Irr!D8&lt;&gt;".",d_Irr!AC8&lt;&gt;".",d_Irr!BB8="."),d_dir!E8/((1/1000)*(d_Irr!D8+d_Irr!AC8)),IF(AND(d_Irr!D8&lt;&gt;".",d_Irr!AC8=".",d_Irr!BB8&lt;&gt;"."),d_dir!E8/((1/1000)*(d_Irr!D8+d_Irr!BB8)),IF(AND(d_Irr!D8=".",d_Irr!AC8&lt;&gt;".",d_Irr!BB8&lt;&gt;"."),d_dir!E8/((1/1000)*(d_Irr!AC8+d_Irr!BB8)),IF(AND(d_Irr!D8=".",d_Irr!AC8=".",d_Irr!BB8&lt;&gt;"."),d_dir!E8/((1/1000)*(d_Irr!BB8)),IF(AND(d_Irr!D8=".",d_Irr!AC8&lt;&gt;".",d_Irr!BB8="."),d_dir!E8/((1/1000)*(d_Irr!AC8)),IF(AND(d_Irr!D8&lt;&gt;".",d_Irr!AC8=".",d_Irr!BB8="."),d_dir!E8/((1/1000)*(d_Irr!D8)),IF(AND(d_Irr!D8=".",d_Irr!AC8=".",d_Irr!BB8="."),d_dir!E8*1000)))))))),".")</f>
        <v>631.22619346645683</v>
      </c>
      <c r="F8" s="76">
        <f>IFERROR(IF(AND(d_Irr!E8&lt;&gt;".",d_Irr!AD8&lt;&gt;".",d_Irr!BC8&lt;&gt;"."),d_dir!F8/((1/1000)*(d_Irr!E8+d_Irr!AD8+d_Irr!BC8)),IF(AND(d_Irr!E8&lt;&gt;".",d_Irr!AD8&lt;&gt;".",d_Irr!BC8="."),d_dir!F8/((1/1000)*(d_Irr!E8+d_Irr!AD8)),IF(AND(d_Irr!E8&lt;&gt;".",d_Irr!AD8=".",d_Irr!BC8&lt;&gt;"."),d_dir!F8/((1/1000)*(d_Irr!E8+d_Irr!BC8)),IF(AND(d_Irr!E8=".",d_Irr!AD8&lt;&gt;".",d_Irr!BC8&lt;&gt;"."),d_dir!F8/((1/1000)*(d_Irr!AD8+d_Irr!BC8)),IF(AND(d_Irr!E8=".",d_Irr!AD8=".",d_Irr!BC8&lt;&gt;"."),d_dir!F8/((1/1000)*(d_Irr!BC8)),IF(AND(d_Irr!E8=".",d_Irr!AD8&lt;&gt;".",d_Irr!BC8="."),d_dir!F8/((1/1000)*(d_Irr!AD8)),IF(AND(d_Irr!E8&lt;&gt;".",d_Irr!AD8=".",d_Irr!BC8="."),d_dir!F8/((1/1000)*(d_Irr!E8)),IF(AND(d_Irr!E8=".",d_Irr!AD8=".",d_Irr!BC8="."),d_dir!F8*1000)))))))),".")</f>
        <v>761.2596098217914</v>
      </c>
      <c r="G8" s="76">
        <f>IFERROR(IF(AND(d_Irr!F8&lt;&gt;".",d_Irr!AE8&lt;&gt;".",d_Irr!BD8&lt;&gt;"."),d_dir!G8/((1/1000)*(d_Irr!F8+d_Irr!AE8+d_Irr!BD8)),IF(AND(d_Irr!F8&lt;&gt;".",d_Irr!AE8&lt;&gt;".",d_Irr!BD8="."),d_dir!G8/((1/1000)*(d_Irr!F8+d_Irr!AE8)),IF(AND(d_Irr!F8&lt;&gt;".",d_Irr!AE8=".",d_Irr!BD8&lt;&gt;"."),d_dir!G8/((1/1000)*(d_Irr!F8+d_Irr!BD8)),IF(AND(d_Irr!F8=".",d_Irr!AE8&lt;&gt;".",d_Irr!BD8&lt;&gt;"."),d_dir!G8/((1/1000)*(d_Irr!AE8+d_Irr!BD8)),IF(AND(d_Irr!F8=".",d_Irr!AE8=".",d_Irr!BD8&lt;&gt;"."),d_dir!G8/((1/1000)*(d_Irr!BD8)),IF(AND(d_Irr!F8=".",d_Irr!AE8&lt;&gt;".",d_Irr!BD8="."),d_dir!G8/((1/1000)*(d_Irr!AE8)),IF(AND(d_Irr!F8&lt;&gt;".",d_Irr!AE8=".",d_Irr!BD8="."),d_dir!G8/((1/1000)*(d_Irr!F8)),IF(AND(d_Irr!F8=".",d_Irr!AE8=".",d_Irr!BD8="."),d_dir!G8*1000)))))))),".")</f>
        <v>648.93497844351953</v>
      </c>
      <c r="H8" s="76">
        <f>IFERROR(IF(AND(d_Irr!G8&lt;&gt;".",d_Irr!AF8&lt;&gt;".",d_Irr!BE8&lt;&gt;"."),d_dir!H8/((1/1000)*(d_Irr!G8+d_Irr!AF8+d_Irr!BE8)),IF(AND(d_Irr!G8&lt;&gt;".",d_Irr!AF8&lt;&gt;".",d_Irr!BE8="."),d_dir!H8/((1/1000)*(d_Irr!G8+d_Irr!AF8)),IF(AND(d_Irr!G8&lt;&gt;".",d_Irr!AF8=".",d_Irr!BE8&lt;&gt;"."),d_dir!H8/((1/1000)*(d_Irr!G8+d_Irr!BE8)),IF(AND(d_Irr!G8=".",d_Irr!AF8&lt;&gt;".",d_Irr!BE8&lt;&gt;"."),d_dir!H8/((1/1000)*(d_Irr!AF8+d_Irr!BE8)),IF(AND(d_Irr!G8=".",d_Irr!AF8=".",d_Irr!BE8&lt;&gt;"."),d_dir!H8/((1/1000)*(d_Irr!BE8)),IF(AND(d_Irr!G8=".",d_Irr!AF8&lt;&gt;".",d_Irr!BE8="."),d_dir!H8/((1/1000)*(d_Irr!AF8)),IF(AND(d_Irr!G8&lt;&gt;".",d_Irr!AF8=".",d_Irr!BE8="."),d_dir!H8/((1/1000)*(d_Irr!G8)),IF(AND(d_Irr!G8=".",d_Irr!AF8=".",d_Irr!BE8="."),d_dir!H8*1000)))))))),".")</f>
        <v>796.26139314237923</v>
      </c>
      <c r="I8" s="76">
        <f>IFERROR(IF(AND(d_Irr!H8&lt;&gt;".",d_Irr!AG8&lt;&gt;".",d_Irr!BF8&lt;&gt;"."),d_dir!I8/((1/1000)*(d_Irr!H8+d_Irr!AG8+d_Irr!BF8)),IF(AND(d_Irr!H8&lt;&gt;".",d_Irr!AG8&lt;&gt;".",d_Irr!BF8="."),d_dir!I8/((1/1000)*(d_Irr!H8+d_Irr!AG8)),IF(AND(d_Irr!H8&lt;&gt;".",d_Irr!AG8=".",d_Irr!BF8&lt;&gt;"."),d_dir!I8/((1/1000)*(d_Irr!H8+d_Irr!BF8)),IF(AND(d_Irr!H8=".",d_Irr!AG8&lt;&gt;".",d_Irr!BF8&lt;&gt;"."),d_dir!I8/((1/1000)*(d_Irr!AG8+d_Irr!BF8)),IF(AND(d_Irr!H8=".",d_Irr!AG8=".",d_Irr!BF8&lt;&gt;"."),d_dir!I8/((1/1000)*(d_Irr!BF8)),IF(AND(d_Irr!H8=".",d_Irr!AG8&lt;&gt;".",d_Irr!BF8="."),d_dir!I8/((1/1000)*(d_Irr!AG8)),IF(AND(d_Irr!H8&lt;&gt;".",d_Irr!AG8=".",d_Irr!BF8="."),d_dir!I8/((1/1000)*(d_Irr!H8)),IF(AND(d_Irr!H8=".",d_Irr!AG8=".",d_Irr!BF8="."),d_dir!I8*1000)))))))),".")</f>
        <v>310.94426708651241</v>
      </c>
      <c r="J8" s="76">
        <f>IFERROR(IF(AND(d_Irr!I8&lt;&gt;".",d_Irr!AH8&lt;&gt;".",d_Irr!BG8&lt;&gt;"."),d_dir!J8/((1/1000)*(d_Irr!I8+d_Irr!AH8+d_Irr!BG8)),IF(AND(d_Irr!I8&lt;&gt;".",d_Irr!AH8&lt;&gt;".",d_Irr!BG8="."),d_dir!J8/((1/1000)*(d_Irr!I8+d_Irr!AH8)),IF(AND(d_Irr!I8&lt;&gt;".",d_Irr!AH8=".",d_Irr!BG8&lt;&gt;"."),d_dir!J8/((1/1000)*(d_Irr!I8+d_Irr!BG8)),IF(AND(d_Irr!I8=".",d_Irr!AH8&lt;&gt;".",d_Irr!BG8&lt;&gt;"."),d_dir!J8/((1/1000)*(d_Irr!AH8+d_Irr!BG8)),IF(AND(d_Irr!I8=".",d_Irr!AH8=".",d_Irr!BG8&lt;&gt;"."),d_dir!J8/((1/1000)*(d_Irr!BG8)),IF(AND(d_Irr!I8=".",d_Irr!AH8&lt;&gt;".",d_Irr!BG8="."),d_dir!J8/((1/1000)*(d_Irr!AH8)),IF(AND(d_Irr!I8&lt;&gt;".",d_Irr!AH8=".",d_Irr!BG8="."),d_dir!J8/((1/1000)*(d_Irr!I8)),IF(AND(d_Irr!I8=".",d_Irr!AH8=".",d_Irr!BG8="."),d_dir!J8*1000)))))))),".")</f>
        <v>876.41308235530857</v>
      </c>
      <c r="K8" s="76">
        <f>IFERROR(IF(AND(d_Irr!J8&lt;&gt;".",d_Irr!AI8&lt;&gt;".",d_Irr!BH8&lt;&gt;"."),d_dir!K8/((1/1000)*(d_Irr!J8+d_Irr!AI8+d_Irr!BH8)),IF(AND(d_Irr!J8&lt;&gt;".",d_Irr!AI8&lt;&gt;".",d_Irr!BH8="."),d_dir!K8/((1/1000)*(d_Irr!J8+d_Irr!AI8)),IF(AND(d_Irr!J8&lt;&gt;".",d_Irr!AI8=".",d_Irr!BH8&lt;&gt;"."),d_dir!K8/((1/1000)*(d_Irr!J8+d_Irr!BH8)),IF(AND(d_Irr!J8=".",d_Irr!AI8&lt;&gt;".",d_Irr!BH8&lt;&gt;"."),d_dir!K8/((1/1000)*(d_Irr!AI8+d_Irr!BH8)),IF(AND(d_Irr!J8=".",d_Irr!AI8=".",d_Irr!BH8&lt;&gt;"."),d_dir!K8/((1/1000)*(d_Irr!BH8)),IF(AND(d_Irr!J8=".",d_Irr!AI8&lt;&gt;".",d_Irr!BH8="."),d_dir!K8/((1/1000)*(d_Irr!AI8)),IF(AND(d_Irr!J8&lt;&gt;".",d_Irr!AI8=".",d_Irr!BH8="."),d_dir!K8/((1/1000)*(d_Irr!J8)),IF(AND(d_Irr!J8=".",d_Irr!AI8=".",d_Irr!BH8="."),d_dir!K8*1000)))))))),".")</f>
        <v>74.816743159464352</v>
      </c>
      <c r="L8" s="76">
        <f>IFERROR(IF(AND(d_Irr!K8&lt;&gt;".",d_Irr!AJ8&lt;&gt;".",d_Irr!BI8&lt;&gt;"."),d_dir!L8/((1/1000)*(d_Irr!K8+d_Irr!AJ8+d_Irr!BI8)),IF(AND(d_Irr!K8&lt;&gt;".",d_Irr!AJ8&lt;&gt;".",d_Irr!BI8="."),d_dir!L8/((1/1000)*(d_Irr!K8+d_Irr!AJ8)),IF(AND(d_Irr!K8&lt;&gt;".",d_Irr!AJ8=".",d_Irr!BI8&lt;&gt;"."),d_dir!L8/((1/1000)*(d_Irr!K8+d_Irr!BI8)),IF(AND(d_Irr!K8=".",d_Irr!AJ8&lt;&gt;".",d_Irr!BI8&lt;&gt;"."),d_dir!L8/((1/1000)*(d_Irr!AJ8+d_Irr!BI8)),IF(AND(d_Irr!K8=".",d_Irr!AJ8=".",d_Irr!BI8&lt;&gt;"."),d_dir!L8/((1/1000)*(d_Irr!BI8)),IF(AND(d_Irr!K8=".",d_Irr!AJ8&lt;&gt;".",d_Irr!BI8="."),d_dir!L8/((1/1000)*(d_Irr!AJ8)),IF(AND(d_Irr!K8&lt;&gt;".",d_Irr!AJ8=".",d_Irr!BI8="."),d_dir!L8/((1/1000)*(d_Irr!K8)),IF(AND(d_Irr!K8=".",d_Irr!AJ8=".",d_Irr!BI8="."),d_dir!L8*1000)))))))),".")</f>
        <v>410.31332792751101</v>
      </c>
      <c r="M8" s="76">
        <f>IFERROR(IF(AND(d_Irr!L8&lt;&gt;".",d_Irr!AK8&lt;&gt;".",d_Irr!BJ8&lt;&gt;"."),d_dir!M8/((1/1000)*(d_Irr!L8+d_Irr!AK8+d_Irr!BJ8)),IF(AND(d_Irr!L8&lt;&gt;".",d_Irr!AK8&lt;&gt;".",d_Irr!BJ8="."),d_dir!M8/((1/1000)*(d_Irr!L8+d_Irr!AK8)),IF(AND(d_Irr!L8&lt;&gt;".",d_Irr!AK8=".",d_Irr!BJ8&lt;&gt;"."),d_dir!M8/((1/1000)*(d_Irr!L8+d_Irr!BJ8)),IF(AND(d_Irr!L8=".",d_Irr!AK8&lt;&gt;".",d_Irr!BJ8&lt;&gt;"."),d_dir!M8/((1/1000)*(d_Irr!AK8+d_Irr!BJ8)),IF(AND(d_Irr!L8=".",d_Irr!AK8=".",d_Irr!BJ8&lt;&gt;"."),d_dir!M8/((1/1000)*(d_Irr!BJ8)),IF(AND(d_Irr!L8=".",d_Irr!AK8&lt;&gt;".",d_Irr!BJ8="."),d_dir!M8/((1/1000)*(d_Irr!AK8)),IF(AND(d_Irr!L8&lt;&gt;".",d_Irr!AK8=".",d_Irr!BJ8="."),d_dir!M8/((1/1000)*(d_Irr!L8)),IF(AND(d_Irr!L8=".",d_Irr!AK8=".",d_Irr!BJ8="."),d_dir!M8*1000)))))))),".")</f>
        <v>307.54011860525122</v>
      </c>
      <c r="N8" s="76">
        <f>IFERROR(IF(AND(d_Irr!M8&lt;&gt;".",d_Irr!AL8&lt;&gt;".",d_Irr!BK8&lt;&gt;"."),d_dir!N8/((1/1000)*(d_Irr!M8+d_Irr!AL8+d_Irr!BK8)),IF(AND(d_Irr!M8&lt;&gt;".",d_Irr!AL8&lt;&gt;".",d_Irr!BK8="."),d_dir!N8/((1/1000)*(d_Irr!M8+d_Irr!AL8)),IF(AND(d_Irr!M8&lt;&gt;".",d_Irr!AL8=".",d_Irr!BK8&lt;&gt;"."),d_dir!N8/((1/1000)*(d_Irr!M8+d_Irr!BK8)),IF(AND(d_Irr!M8=".",d_Irr!AL8&lt;&gt;".",d_Irr!BK8&lt;&gt;"."),d_dir!N8/((1/1000)*(d_Irr!AL8+d_Irr!BK8)),IF(AND(d_Irr!M8=".",d_Irr!AL8=".",d_Irr!BK8&lt;&gt;"."),d_dir!N8/((1/1000)*(d_Irr!BK8)),IF(AND(d_Irr!M8=".",d_Irr!AL8&lt;&gt;".",d_Irr!BK8="."),d_dir!N8/((1/1000)*(d_Irr!AL8)),IF(AND(d_Irr!M8&lt;&gt;".",d_Irr!AL8=".",d_Irr!BK8="."),d_dir!N8/((1/1000)*(d_Irr!M8)),IF(AND(d_Irr!M8=".",d_Irr!AL8=".",d_Irr!BK8="."),d_dir!N8*1000)))))))),".")</f>
        <v>685.26179255076295</v>
      </c>
      <c r="O8" s="76">
        <f>IFERROR(IF(AND(d_Irr!N8&lt;&gt;".",d_Irr!AM8&lt;&gt;".",d_Irr!BL8&lt;&gt;"."),d_dir!O8/((1/1000)*(d_Irr!N8+d_Irr!AM8+d_Irr!BL8)),IF(AND(d_Irr!N8&lt;&gt;".",d_Irr!AM8&lt;&gt;".",d_Irr!BL8="."),d_dir!O8/((1/1000)*(d_Irr!N8+d_Irr!AM8)),IF(AND(d_Irr!N8&lt;&gt;".",d_Irr!AM8=".",d_Irr!BL8&lt;&gt;"."),d_dir!O8/((1/1000)*(d_Irr!N8+d_Irr!BL8)),IF(AND(d_Irr!N8=".",d_Irr!AM8&lt;&gt;".",d_Irr!BL8&lt;&gt;"."),d_dir!O8/((1/1000)*(d_Irr!AM8+d_Irr!BL8)),IF(AND(d_Irr!N8=".",d_Irr!AM8=".",d_Irr!BL8&lt;&gt;"."),d_dir!O8/((1/1000)*(d_Irr!BL8)),IF(AND(d_Irr!N8=".",d_Irr!AM8&lt;&gt;".",d_Irr!BL8="."),d_dir!O8/((1/1000)*(d_Irr!AM8)),IF(AND(d_Irr!N8&lt;&gt;".",d_Irr!AM8=".",d_Irr!BL8="."),d_dir!O8/((1/1000)*(d_Irr!N8)),IF(AND(d_Irr!N8=".",d_Irr!AM8=".",d_Irr!BL8="."),d_dir!O8*1000)))))))),".")</f>
        <v>668.22330807440176</v>
      </c>
      <c r="P8" s="76">
        <f>IFERROR(IF(AND(d_Irr!O8&lt;&gt;".",d_Irr!AN8&lt;&gt;".",d_Irr!BM8&lt;&gt;"."),d_dir!P8/((1/1000)*(d_Irr!O8+d_Irr!AN8+d_Irr!BM8)),IF(AND(d_Irr!O8&lt;&gt;".",d_Irr!AN8&lt;&gt;".",d_Irr!BM8="."),d_dir!P8/((1/1000)*(d_Irr!O8+d_Irr!AN8)),IF(AND(d_Irr!O8&lt;&gt;".",d_Irr!AN8=".",d_Irr!BM8&lt;&gt;"."),d_dir!P8/((1/1000)*(d_Irr!O8+d_Irr!BM8)),IF(AND(d_Irr!O8=".",d_Irr!AN8&lt;&gt;".",d_Irr!BM8&lt;&gt;"."),d_dir!P8/((1/1000)*(d_Irr!AN8+d_Irr!BM8)),IF(AND(d_Irr!O8=".",d_Irr!AN8=".",d_Irr!BM8&lt;&gt;"."),d_dir!P8/((1/1000)*(d_Irr!BM8)),IF(AND(d_Irr!O8=".",d_Irr!AN8&lt;&gt;".",d_Irr!BM8="."),d_dir!P8/((1/1000)*(d_Irr!AN8)),IF(AND(d_Irr!O8&lt;&gt;".",d_Irr!AN8=".",d_Irr!BM8="."),d_dir!P8/((1/1000)*(d_Irr!O8)),IF(AND(d_Irr!O8=".",d_Irr!AN8=".",d_Irr!BM8="."),d_dir!P8*1000)))))))),".")</f>
        <v>829.78661616309421</v>
      </c>
      <c r="Q8" s="76">
        <f>IFERROR(IF(AND(d_Irr!P8&lt;&gt;".",d_Irr!AO8&lt;&gt;".",d_Irr!BN8&lt;&gt;"."),d_dir!Q8/((1/1000)*(d_Irr!P8+d_Irr!AO8+d_Irr!BN8)),IF(AND(d_Irr!P8&lt;&gt;".",d_Irr!AO8&lt;&gt;".",d_Irr!BN8="."),d_dir!Q8/((1/1000)*(d_Irr!P8+d_Irr!AO8)),IF(AND(d_Irr!P8&lt;&gt;".",d_Irr!AO8=".",d_Irr!BN8&lt;&gt;"."),d_dir!Q8/((1/1000)*(d_Irr!P8+d_Irr!BN8)),IF(AND(d_Irr!P8=".",d_Irr!AO8&lt;&gt;".",d_Irr!BN8&lt;&gt;"."),d_dir!Q8/((1/1000)*(d_Irr!AO8+d_Irr!BN8)),IF(AND(d_Irr!P8=".",d_Irr!AO8=".",d_Irr!BN8&lt;&gt;"."),d_dir!Q8/((1/1000)*(d_Irr!BN8)),IF(AND(d_Irr!P8=".",d_Irr!AO8&lt;&gt;".",d_Irr!BN8="."),d_dir!Q8/((1/1000)*(d_Irr!AO8)),IF(AND(d_Irr!P8&lt;&gt;".",d_Irr!AO8=".",d_Irr!BN8="."),d_dir!Q8/((1/1000)*(d_Irr!P8)),IF(AND(d_Irr!P8=".",d_Irr!AO8=".",d_Irr!BN8="."),d_dir!Q8*1000)))))))),".")</f>
        <v>1184.4946901622025</v>
      </c>
      <c r="R8" s="76">
        <f>IFERROR(IF(AND(d_Irr!Q8&lt;&gt;".",d_Irr!AP8&lt;&gt;".",d_Irr!BO8&lt;&gt;"."),d_dir!R8/((1/1000)*(d_Irr!Q8+d_Irr!AP8+d_Irr!BO8)),IF(AND(d_Irr!Q8&lt;&gt;".",d_Irr!AP8&lt;&gt;".",d_Irr!BO8="."),d_dir!R8/((1/1000)*(d_Irr!Q8+d_Irr!AP8)),IF(AND(d_Irr!Q8&lt;&gt;".",d_Irr!AP8=".",d_Irr!BO8&lt;&gt;"."),d_dir!R8/((1/1000)*(d_Irr!Q8+d_Irr!BO8)),IF(AND(d_Irr!Q8=".",d_Irr!AP8&lt;&gt;".",d_Irr!BO8&lt;&gt;"."),d_dir!R8/((1/1000)*(d_Irr!AP8+d_Irr!BO8)),IF(AND(d_Irr!Q8=".",d_Irr!AP8=".",d_Irr!BO8&lt;&gt;"."),d_dir!R8/((1/1000)*(d_Irr!BO8)),IF(AND(d_Irr!Q8=".",d_Irr!AP8&lt;&gt;".",d_Irr!BO8="."),d_dir!R8/((1/1000)*(d_Irr!AP8)),IF(AND(d_Irr!Q8&lt;&gt;".",d_Irr!AP8=".",d_Irr!BO8="."),d_dir!R8/((1/1000)*(d_Irr!Q8)),IF(AND(d_Irr!Q8=".",d_Irr!AP8=".",d_Irr!BO8="."),d_dir!R8*1000)))))))),".")</f>
        <v>185.23770613176191</v>
      </c>
      <c r="S8" s="76">
        <f>IFERROR(IF(AND(d_Irr!R8&lt;&gt;".",d_Irr!AQ8&lt;&gt;".",d_Irr!BP8&lt;&gt;"."),d_dir!S8/((1/1000)*(d_Irr!R8+d_Irr!AQ8+d_Irr!BP8)),IF(AND(d_Irr!R8&lt;&gt;".",d_Irr!AQ8&lt;&gt;".",d_Irr!BP8="."),d_dir!S8/((1/1000)*(d_Irr!R8+d_Irr!AQ8)),IF(AND(d_Irr!R8&lt;&gt;".",d_Irr!AQ8=".",d_Irr!BP8&lt;&gt;"."),d_dir!S8/((1/1000)*(d_Irr!R8+d_Irr!BP8)),IF(AND(d_Irr!R8=".",d_Irr!AQ8&lt;&gt;".",d_Irr!BP8&lt;&gt;"."),d_dir!S8/((1/1000)*(d_Irr!AQ8+d_Irr!BP8)),IF(AND(d_Irr!R8=".",d_Irr!AQ8=".",d_Irr!BP8&lt;&gt;"."),d_dir!S8/((1/1000)*(d_Irr!BP8)),IF(AND(d_Irr!R8=".",d_Irr!AQ8&lt;&gt;".",d_Irr!BP8="."),d_dir!S8/((1/1000)*(d_Irr!AQ8)),IF(AND(d_Irr!R8&lt;&gt;".",d_Irr!AQ8=".",d_Irr!BP8="."),d_dir!S8/((1/1000)*(d_Irr!R8)),IF(AND(d_Irr!R8=".",d_Irr!AQ8=".",d_Irr!BP8="."),d_dir!S8*1000)))))))),".")</f>
        <v>377.87434704483593</v>
      </c>
      <c r="T8" s="76">
        <f>IFERROR(IF(AND(d_Irr!S8&lt;&gt;".",d_Irr!AR8&lt;&gt;".",d_Irr!BQ8&lt;&gt;"."),d_dir!T8/((1/1000)*(d_Irr!S8+d_Irr!AR8+d_Irr!BQ8)),IF(AND(d_Irr!S8&lt;&gt;".",d_Irr!AR8&lt;&gt;".",d_Irr!BQ8="."),d_dir!T8/((1/1000)*(d_Irr!S8+d_Irr!AR8)),IF(AND(d_Irr!S8&lt;&gt;".",d_Irr!AR8=".",d_Irr!BQ8&lt;&gt;"."),d_dir!T8/((1/1000)*(d_Irr!S8+d_Irr!BQ8)),IF(AND(d_Irr!S8=".",d_Irr!AR8&lt;&gt;".",d_Irr!BQ8&lt;&gt;"."),d_dir!T8/((1/1000)*(d_Irr!AR8+d_Irr!BQ8)),IF(AND(d_Irr!S8=".",d_Irr!AR8=".",d_Irr!BQ8&lt;&gt;"."),d_dir!T8/((1/1000)*(d_Irr!BQ8)),IF(AND(d_Irr!S8=".",d_Irr!AR8&lt;&gt;".",d_Irr!BQ8="."),d_dir!T8/((1/1000)*(d_Irr!AR8)),IF(AND(d_Irr!S8&lt;&gt;".",d_Irr!AR8=".",d_Irr!BQ8="."),d_dir!T8/((1/1000)*(d_Irr!S8)),IF(AND(d_Irr!S8=".",d_Irr!AR8=".",d_Irr!BQ8="."),d_dir!T8*1000)))))))),".")</f>
        <v>659.45770528677087</v>
      </c>
      <c r="U8" s="76">
        <f>IFERROR(IF(AND(d_Irr!T8&lt;&gt;".",d_Irr!AS8&lt;&gt;".",d_Irr!BR8&lt;&gt;"."),d_dir!U8/((1/1000)*(d_Irr!T8+d_Irr!AS8+d_Irr!BR8)),IF(AND(d_Irr!T8&lt;&gt;".",d_Irr!AS8&lt;&gt;".",d_Irr!BR8="."),d_dir!U8/((1/1000)*(d_Irr!T8+d_Irr!AS8)),IF(AND(d_Irr!T8&lt;&gt;".",d_Irr!AS8=".",d_Irr!BR8&lt;&gt;"."),d_dir!U8/((1/1000)*(d_Irr!T8+d_Irr!BR8)),IF(AND(d_Irr!T8=".",d_Irr!AS8&lt;&gt;".",d_Irr!BR8&lt;&gt;"."),d_dir!U8/((1/1000)*(d_Irr!AS8+d_Irr!BR8)),IF(AND(d_Irr!T8=".",d_Irr!AS8=".",d_Irr!BR8&lt;&gt;"."),d_dir!U8/((1/1000)*(d_Irr!BR8)),IF(AND(d_Irr!T8=".",d_Irr!AS8&lt;&gt;".",d_Irr!BR8="."),d_dir!U8/((1/1000)*(d_Irr!AS8)),IF(AND(d_Irr!T8&lt;&gt;".",d_Irr!AS8=".",d_Irr!BR8="."),d_dir!U8/((1/1000)*(d_Irr!T8)),IF(AND(d_Irr!T8=".",d_Irr!AS8=".",d_Irr!BR8="."),d_dir!U8*1000)))))))),".")</f>
        <v>1306.9721257818269</v>
      </c>
      <c r="V8" s="76">
        <f>IFERROR(IF(AND(d_Irr!U8&lt;&gt;".",d_Irr!AT8&lt;&gt;".",d_Irr!BS8&lt;&gt;"."),d_dir!V8/((1/1000)*(d_Irr!U8+d_Irr!AT8+d_Irr!BS8)),IF(AND(d_Irr!U8&lt;&gt;".",d_Irr!AT8&lt;&gt;".",d_Irr!BS8="."),d_dir!V8/((1/1000)*(d_Irr!U8+d_Irr!AT8)),IF(AND(d_Irr!U8&lt;&gt;".",d_Irr!AT8=".",d_Irr!BS8&lt;&gt;"."),d_dir!V8/((1/1000)*(d_Irr!U8+d_Irr!BS8)),IF(AND(d_Irr!U8=".",d_Irr!AT8&lt;&gt;".",d_Irr!BS8&lt;&gt;"."),d_dir!V8/((1/1000)*(d_Irr!AT8+d_Irr!BS8)),IF(AND(d_Irr!U8=".",d_Irr!AT8=".",d_Irr!BS8&lt;&gt;"."),d_dir!V8/((1/1000)*(d_Irr!BS8)),IF(AND(d_Irr!U8=".",d_Irr!AT8&lt;&gt;".",d_Irr!BS8="."),d_dir!V8/((1/1000)*(d_Irr!AT8)),IF(AND(d_Irr!U8&lt;&gt;".",d_Irr!AT8=".",d_Irr!BS8="."),d_dir!V8/((1/1000)*(d_Irr!U8)),IF(AND(d_Irr!U8=".",d_Irr!AT8=".",d_Irr!BS8="."),d_dir!V8*1000)))))))),".")</f>
        <v>194.01211720967021</v>
      </c>
      <c r="W8" s="76">
        <f>IFERROR(IF(AND(d_Irr!V8&lt;&gt;".",d_Irr!AU8&lt;&gt;".",d_Irr!BT8&lt;&gt;"."),d_dir!W8/((1/1000)*(d_Irr!V8+d_Irr!AU8+d_Irr!BT8)),IF(AND(d_Irr!V8&lt;&gt;".",d_Irr!AU8&lt;&gt;".",d_Irr!BT8="."),d_dir!W8/((1/1000)*(d_Irr!V8+d_Irr!AU8)),IF(AND(d_Irr!V8&lt;&gt;".",d_Irr!AU8=".",d_Irr!BT8&lt;&gt;"."),d_dir!W8/((1/1000)*(d_Irr!V8+d_Irr!BT8)),IF(AND(d_Irr!V8=".",d_Irr!AU8&lt;&gt;".",d_Irr!BT8&lt;&gt;"."),d_dir!W8/((1/1000)*(d_Irr!AU8+d_Irr!BT8)),IF(AND(d_Irr!V8=".",d_Irr!AU8=".",d_Irr!BT8&lt;&gt;"."),d_dir!W8/((1/1000)*(d_Irr!BT8)),IF(AND(d_Irr!V8=".",d_Irr!AU8&lt;&gt;".",d_Irr!BT8="."),d_dir!W8/((1/1000)*(d_Irr!AU8)),IF(AND(d_Irr!V8&lt;&gt;".",d_Irr!AU8=".",d_Irr!BT8="."),d_dir!W8/((1/1000)*(d_Irr!V8)),IF(AND(d_Irr!V8=".",d_Irr!AU8=".",d_Irr!BT8="."),d_dir!W8*1000)))))))),".")</f>
        <v>394.62516827202546</v>
      </c>
      <c r="X8" s="76">
        <f>IFERROR(IF(AND(d_Irr!W8&lt;&gt;".",d_Irr!AV8&lt;&gt;".",d_Irr!BU8&lt;&gt;"."),d_dir!X8/((1/1000)*(d_Irr!W8+d_Irr!AV8+d_Irr!BU8)),IF(AND(d_Irr!W8&lt;&gt;".",d_Irr!AV8&lt;&gt;".",d_Irr!BU8="."),d_dir!X8/((1/1000)*(d_Irr!W8+d_Irr!AV8)),IF(AND(d_Irr!W8&lt;&gt;".",d_Irr!AV8=".",d_Irr!BU8&lt;&gt;"."),d_dir!X8/((1/1000)*(d_Irr!W8+d_Irr!BU8)),IF(AND(d_Irr!W8=".",d_Irr!AV8&lt;&gt;".",d_Irr!BU8&lt;&gt;"."),d_dir!X8/((1/1000)*(d_Irr!AV8+d_Irr!BU8)),IF(AND(d_Irr!W8=".",d_Irr!AV8=".",d_Irr!BU8&lt;&gt;"."),d_dir!X8/((1/1000)*(d_Irr!BU8)),IF(AND(d_Irr!W8=".",d_Irr!AV8&lt;&gt;".",d_Irr!BU8="."),d_dir!X8/((1/1000)*(d_Irr!AV8)),IF(AND(d_Irr!W8&lt;&gt;".",d_Irr!AV8=".",d_Irr!BU8="."),d_dir!X8/((1/1000)*(d_Irr!W8)),IF(AND(d_Irr!W8=".",d_Irr!AV8=".",d_Irr!BU8="."),d_dir!X8*1000)))))))),".")</f>
        <v>432.01159317723778</v>
      </c>
      <c r="Y8" s="76">
        <f>IFERROR(IF(AND(d_Irr!X8&lt;&gt;".",d_Irr!AW8&lt;&gt;".",d_Irr!BV8&lt;&gt;"."),d_dir!Y8/((1/1000)*(d_Irr!X8+d_Irr!AW8+d_Irr!BV8)),IF(AND(d_Irr!X8&lt;&gt;".",d_Irr!AW8&lt;&gt;".",d_Irr!BV8="."),d_dir!Y8/((1/1000)*(d_Irr!X8+d_Irr!AW8)),IF(AND(d_Irr!X8&lt;&gt;".",d_Irr!AW8=".",d_Irr!BV8&lt;&gt;"."),d_dir!Y8/((1/1000)*(d_Irr!X8+d_Irr!BV8)),IF(AND(d_Irr!X8=".",d_Irr!AW8&lt;&gt;".",d_Irr!BV8&lt;&gt;"."),d_dir!Y8/((1/1000)*(d_Irr!AW8+d_Irr!BV8)),IF(AND(d_Irr!X8=".",d_Irr!AW8=".",d_Irr!BV8&lt;&gt;"."),d_dir!Y8/((1/1000)*(d_Irr!BV8)),IF(AND(d_Irr!X8=".",d_Irr!AW8&lt;&gt;".",d_Irr!BV8="."),d_dir!Y8/((1/1000)*(d_Irr!AW8)),IF(AND(d_Irr!X8&lt;&gt;".",d_Irr!AW8=".",d_Irr!BV8="."),d_dir!Y8/((1/1000)*(d_Irr!X8)),IF(AND(d_Irr!X8=".",d_Irr!AW8=".",d_Irr!BV8="."),d_dir!Y8*1000)))))))),".")</f>
        <v>564.28887183086988</v>
      </c>
      <c r="Z8" s="76">
        <f>IFERROR(IF(AND(d_Irr!Y8&lt;&gt;".",d_Irr!AX8&lt;&gt;".",d_Irr!BW8&lt;&gt;"."),d_dir!Z8/((1/1000)*(d_Irr!Y8+d_Irr!AX8+d_Irr!BW8)),IF(AND(d_Irr!Y8&lt;&gt;".",d_Irr!AX8&lt;&gt;".",d_Irr!BW8="."),d_dir!Z8/((1/1000)*(d_Irr!Y8+d_Irr!AX8)),IF(AND(d_Irr!Y8&lt;&gt;".",d_Irr!AX8=".",d_Irr!BW8&lt;&gt;"."),d_dir!Z8/((1/1000)*(d_Irr!Y8+d_Irr!BW8)),IF(AND(d_Irr!Y8=".",d_Irr!AX8&lt;&gt;".",d_Irr!BW8&lt;&gt;"."),d_dir!Z8/((1/1000)*(d_Irr!AX8+d_Irr!BW8)),IF(AND(d_Irr!Y8=".",d_Irr!AX8=".",d_Irr!BW8&lt;&gt;"."),d_dir!Z8/((1/1000)*(d_Irr!BW8)),IF(AND(d_Irr!Y8=".",d_Irr!AX8&lt;&gt;".",d_Irr!BW8="."),d_dir!Z8/((1/1000)*(d_Irr!AX8)),IF(AND(d_Irr!Y8&lt;&gt;".",d_Irr!AX8=".",d_Irr!BW8="."),d_dir!Z8/((1/1000)*(d_Irr!Y8)),IF(AND(d_Irr!Y8=".",d_Irr!AX8=".",d_Irr!BW8="."),d_dir!Z8*1000)))))))),".")</f>
        <v>300.7346058629189</v>
      </c>
      <c r="AA8" s="76">
        <f>IFERROR(IF(AND(d_Irr!Z8&lt;&gt;".",d_Irr!AY8&lt;&gt;".",d_Irr!BX8&lt;&gt;"."),d_dir!AA8/((1/1000)*(d_Irr!Z8+d_Irr!AY8+d_Irr!BX8)),IF(AND(d_Irr!Z8&lt;&gt;".",d_Irr!AY8&lt;&gt;".",d_Irr!BX8="."),d_dir!AA8/((1/1000)*(d_Irr!Z8+d_Irr!AY8)),IF(AND(d_Irr!Z8&lt;&gt;".",d_Irr!AY8=".",d_Irr!BX8&lt;&gt;"."),d_dir!AA8/((1/1000)*(d_Irr!Z8+d_Irr!BX8)),IF(AND(d_Irr!Z8=".",d_Irr!AY8&lt;&gt;".",d_Irr!BX8&lt;&gt;"."),d_dir!AA8/((1/1000)*(d_Irr!AY8+d_Irr!BX8)),IF(AND(d_Irr!Z8=".",d_Irr!AY8=".",d_Irr!BX8&lt;&gt;"."),d_dir!AA8/((1/1000)*(d_Irr!BX8)),IF(AND(d_Irr!Z8=".",d_Irr!AY8&lt;&gt;".",d_Irr!BX8="."),d_dir!AA8/((1/1000)*(d_Irr!AY8)),IF(AND(d_Irr!Z8&lt;&gt;".",d_Irr!AY8=".",d_Irr!BX8="."),d_dir!AA8/((1/1000)*(d_Irr!Z8)),IF(AND(d_Irr!Z8=".",d_Irr!AY8=".",d_Irr!BX8="."),d_dir!AA8*1000)))))))),".")</f>
        <v>130.79060708650485</v>
      </c>
      <c r="AB8" s="76">
        <f>IFERROR(IF(AND(d_Irr!AA8&lt;&gt;".",d_Irr!AZ8&lt;&gt;".",d_Irr!BY8&lt;&gt;"."),d_dir!AB8/((1/1000)*(d_Irr!AA8+d_Irr!AZ8+d_Irr!BY8)),IF(AND(d_Irr!AA8&lt;&gt;".",d_Irr!AZ8&lt;&gt;".",d_Irr!BY8="."),d_dir!AB8/((1/1000)*(d_Irr!AA8+d_Irr!AZ8)),IF(AND(d_Irr!AA8&lt;&gt;".",d_Irr!AZ8=".",d_Irr!BY8&lt;&gt;"."),d_dir!AB8/((1/1000)*(d_Irr!AA8+d_Irr!BY8)),IF(AND(d_Irr!AA8=".",d_Irr!AZ8&lt;&gt;".",d_Irr!BY8&lt;&gt;"."),d_dir!AB8/((1/1000)*(d_Irr!AZ8+d_Irr!BY8)),IF(AND(d_Irr!AA8=".",d_Irr!AZ8=".",d_Irr!BY8&lt;&gt;"."),d_dir!AB8/((1/1000)*(d_Irr!BY8)),IF(AND(d_Irr!AA8=".",d_Irr!AZ8&lt;&gt;".",d_Irr!BY8="."),d_dir!AB8/((1/1000)*(d_Irr!AZ8)),IF(AND(d_Irr!AA8&lt;&gt;".",d_Irr!AZ8=".",d_Irr!BY8="."),d_dir!AB8/((1/1000)*(d_Irr!AA8)),IF(AND(d_Irr!AA8=".",d_Irr!AZ8=".",d_Irr!BY8="."),d_dir!AB8*1000)))))))),".")</f>
        <v>149.99361075661989</v>
      </c>
      <c r="AC8" s="76">
        <f t="shared" si="0"/>
        <v>9.7025189869367789</v>
      </c>
      <c r="AD8" s="76">
        <f>IFERROR(IF(AND(d_Irr!C8&lt;&gt;".",d_Irr!AB8&lt;&gt;".",d_Irr!BA8&lt;&gt;"."),d_dir!AD8/((1/1000)*(d_Irr!C8+d_Irr!AB8+d_Irr!BA8)),IF(AND(d_Irr!C8&lt;&gt;".",d_Irr!AB8&lt;&gt;".",d_Irr!BA8="."),d_dir!AD8/((1/1000)*(d_Irr!C8+d_Irr!AB8)),IF(AND(d_Irr!C8&lt;&gt;".",d_Irr!AB8=".",d_Irr!BA8&lt;&gt;"."),d_dir!AD8/((1/1000)*(d_Irr!C8+d_Irr!BA8)),IF(AND(d_Irr!C8=".",d_Irr!AB8&lt;&gt;".",d_Irr!BA8&lt;&gt;"."),d_dir!AD8/((1/1000)*(d_Irr!AB8+d_Irr!BA8)),IF(AND(d_Irr!C8=".",d_Irr!AB8=".",d_Irr!BA8&lt;&gt;"."),d_dir!AD8/((1/1000)*(d_Irr!BA8)),IF(AND(d_Irr!C8=".",d_Irr!AB8&lt;&gt;".",d_Irr!BA8="."),d_dir!AD8/((1/1000)*(d_Irr!AB8)),IF(AND(d_Irr!C8&lt;&gt;".",d_Irr!AB8=".",d_Irr!BA8="."),d_dir!AD8/((1/1000)*(d_Irr!C8)),IF(AND(d_Irr!C8=".",d_Irr!AB8=".",d_Irr!BA8="."),d_dir!AD8*1000)))))))),".")</f>
        <v>163.07390297987476</v>
      </c>
      <c r="AE8" s="76">
        <f>IFERROR(IF(AND(d_Irr!D8&lt;&gt;".",d_Irr!AC8&lt;&gt;".",d_Irr!BB8&lt;&gt;"."),d_dir!AE8/((1/1000)*(d_Irr!D8+d_Irr!AC8+d_Irr!BB8)),IF(AND(d_Irr!D8&lt;&gt;".",d_Irr!AC8&lt;&gt;".",d_Irr!BB8="."),d_dir!AE8/((1/1000)*(d_Irr!D8+d_Irr!AC8)),IF(AND(d_Irr!D8&lt;&gt;".",d_Irr!AC8=".",d_Irr!BB8&lt;&gt;"."),d_dir!AE8/((1/1000)*(d_Irr!D8+d_Irr!BB8)),IF(AND(d_Irr!D8=".",d_Irr!AC8&lt;&gt;".",d_Irr!BB8&lt;&gt;"."),d_dir!AE8/((1/1000)*(d_Irr!AC8+d_Irr!BB8)),IF(AND(d_Irr!D8=".",d_Irr!AC8=".",d_Irr!BB8&lt;&gt;"."),d_dir!AE8/((1/1000)*(d_Irr!BB8)),IF(AND(d_Irr!D8=".",d_Irr!AC8&lt;&gt;".",d_Irr!BB8="."),d_dir!AE8/((1/1000)*(d_Irr!AC8)),IF(AND(d_Irr!D8&lt;&gt;".",d_Irr!AC8=".",d_Irr!BB8="."),d_dir!AE8/((1/1000)*(d_Irr!D8)),IF(AND(d_Irr!D8=".",d_Irr!AC8=".",d_Irr!BB8="."),d_dir!AE8*1000)))))))),".")</f>
        <v>384.24376733593772</v>
      </c>
      <c r="AF8" s="76">
        <f>IFERROR(IF(AND(d_Irr!E8&lt;&gt;".",d_Irr!AD8&lt;&gt;".",d_Irr!BC8&lt;&gt;"."),d_dir!AF8/((1/1000)*(d_Irr!E8+d_Irr!AD8+d_Irr!BC8)),IF(AND(d_Irr!E8&lt;&gt;".",d_Irr!AD8&lt;&gt;".",d_Irr!BC8="."),d_dir!AF8/((1/1000)*(d_Irr!E8+d_Irr!AD8)),IF(AND(d_Irr!E8&lt;&gt;".",d_Irr!AD8=".",d_Irr!BC8&lt;&gt;"."),d_dir!AF8/((1/1000)*(d_Irr!E8+d_Irr!BC8)),IF(AND(d_Irr!E8=".",d_Irr!AD8&lt;&gt;".",d_Irr!BC8&lt;&gt;"."),d_dir!AF8/((1/1000)*(d_Irr!AD8+d_Irr!BC8)),IF(AND(d_Irr!E8=".",d_Irr!AD8=".",d_Irr!BC8&lt;&gt;"."),d_dir!AF8/((1/1000)*(d_Irr!BC8)),IF(AND(d_Irr!E8=".",d_Irr!AD8&lt;&gt;".",d_Irr!BC8="."),d_dir!AF8/((1/1000)*(d_Irr!AD8)),IF(AND(d_Irr!E8&lt;&gt;".",d_Irr!AD8=".",d_Irr!BC8="."),d_dir!AF8/((1/1000)*(d_Irr!E8)),IF(AND(d_Irr!E8=".",d_Irr!AD8=".",d_Irr!BC8="."),d_dir!AF8*1000)))))))),".")</f>
        <v>457.15988512854756</v>
      </c>
      <c r="AG8" s="76">
        <f>IFERROR(IF(AND(d_Irr!F8&lt;&gt;".",d_Irr!AE8&lt;&gt;".",d_Irr!BD8&lt;&gt;"."),d_dir!AG8/((1/1000)*(d_Irr!F8+d_Irr!AE8+d_Irr!BD8)),IF(AND(d_Irr!F8&lt;&gt;".",d_Irr!AE8&lt;&gt;".",d_Irr!BD8="."),d_dir!AG8/((1/1000)*(d_Irr!F8+d_Irr!AE8)),IF(AND(d_Irr!F8&lt;&gt;".",d_Irr!AE8=".",d_Irr!BD8&lt;&gt;"."),d_dir!AG8/((1/1000)*(d_Irr!F8+d_Irr!BD8)),IF(AND(d_Irr!F8=".",d_Irr!AE8&lt;&gt;".",d_Irr!BD8&lt;&gt;"."),d_dir!AG8/((1/1000)*(d_Irr!AE8+d_Irr!BD8)),IF(AND(d_Irr!F8=".",d_Irr!AE8=".",d_Irr!BD8&lt;&gt;"."),d_dir!AG8/((1/1000)*(d_Irr!BD8)),IF(AND(d_Irr!F8=".",d_Irr!AE8&lt;&gt;".",d_Irr!BD8="."),d_dir!AG8/((1/1000)*(d_Irr!AE8)),IF(AND(d_Irr!F8&lt;&gt;".",d_Irr!AE8=".",d_Irr!BD8="."),d_dir!AG8/((1/1000)*(d_Irr!F8)),IF(AND(d_Irr!F8=".",d_Irr!AE8=".",d_Irr!BD8="."),d_dir!AG8*1000)))))))),".")</f>
        <v>410.63754373639091</v>
      </c>
      <c r="AH8" s="76">
        <f>IFERROR(IF(AND(d_Irr!G8&lt;&gt;".",d_Irr!AF8&lt;&gt;".",d_Irr!BE8&lt;&gt;"."),d_dir!AH8/((1/1000)*(d_Irr!G8+d_Irr!AF8+d_Irr!BE8)),IF(AND(d_Irr!G8&lt;&gt;".",d_Irr!AF8&lt;&gt;".",d_Irr!BE8="."),d_dir!AH8/((1/1000)*(d_Irr!G8+d_Irr!AF8)),IF(AND(d_Irr!G8&lt;&gt;".",d_Irr!AF8=".",d_Irr!BE8&lt;&gt;"."),d_dir!AH8/((1/1000)*(d_Irr!G8+d_Irr!BE8)),IF(AND(d_Irr!G8=".",d_Irr!AF8&lt;&gt;".",d_Irr!BE8&lt;&gt;"."),d_dir!AH8/((1/1000)*(d_Irr!AF8+d_Irr!BE8)),IF(AND(d_Irr!G8=".",d_Irr!AF8=".",d_Irr!BE8&lt;&gt;"."),d_dir!AH8/((1/1000)*(d_Irr!BE8)),IF(AND(d_Irr!G8=".",d_Irr!AF8&lt;&gt;".",d_Irr!BE8="."),d_dir!AH8/((1/1000)*(d_Irr!AF8)),IF(AND(d_Irr!G8&lt;&gt;".",d_Irr!AF8=".",d_Irr!BE8="."),d_dir!AH8/((1/1000)*(d_Irr!G8)),IF(AND(d_Irr!G8=".",d_Irr!AF8=".",d_Irr!BE8="."),d_dir!AH8*1000)))))))),".")</f>
        <v>439.65979182320763</v>
      </c>
      <c r="AI8" s="76">
        <f>IFERROR(IF(AND(d_Irr!H8&lt;&gt;".",d_Irr!AG8&lt;&gt;".",d_Irr!BF8&lt;&gt;"."),d_dir!AI8/((1/1000)*(d_Irr!H8+d_Irr!AG8+d_Irr!BF8)),IF(AND(d_Irr!H8&lt;&gt;".",d_Irr!AG8&lt;&gt;".",d_Irr!BF8="."),d_dir!AI8/((1/1000)*(d_Irr!H8+d_Irr!AG8)),IF(AND(d_Irr!H8&lt;&gt;".",d_Irr!AG8=".",d_Irr!BF8&lt;&gt;"."),d_dir!AI8/((1/1000)*(d_Irr!H8+d_Irr!BF8)),IF(AND(d_Irr!H8=".",d_Irr!AG8&lt;&gt;".",d_Irr!BF8&lt;&gt;"."),d_dir!AI8/((1/1000)*(d_Irr!AG8+d_Irr!BF8)),IF(AND(d_Irr!H8=".",d_Irr!AG8=".",d_Irr!BF8&lt;&gt;"."),d_dir!AI8/((1/1000)*(d_Irr!BF8)),IF(AND(d_Irr!H8=".",d_Irr!AG8&lt;&gt;".",d_Irr!BF8="."),d_dir!AI8/((1/1000)*(d_Irr!AG8)),IF(AND(d_Irr!H8&lt;&gt;".",d_Irr!AG8=".",d_Irr!BF8="."),d_dir!AI8/((1/1000)*(d_Irr!H8)),IF(AND(d_Irr!H8=".",d_Irr!AG8=".",d_Irr!BF8="."),d_dir!AI8*1000)))))))),".")</f>
        <v>199.07619959948326</v>
      </c>
      <c r="AJ8" s="76">
        <f>IFERROR(IF(AND(d_Irr!I8&lt;&gt;".",d_Irr!AH8&lt;&gt;".",d_Irr!BG8&lt;&gt;"."),d_dir!AJ8/((1/1000)*(d_Irr!I8+d_Irr!AH8+d_Irr!BG8)),IF(AND(d_Irr!I8&lt;&gt;".",d_Irr!AH8&lt;&gt;".",d_Irr!BG8="."),d_dir!AJ8/((1/1000)*(d_Irr!I8+d_Irr!AH8)),IF(AND(d_Irr!I8&lt;&gt;".",d_Irr!AH8=".",d_Irr!BG8&lt;&gt;"."),d_dir!AJ8/((1/1000)*(d_Irr!I8+d_Irr!BG8)),IF(AND(d_Irr!I8=".",d_Irr!AH8&lt;&gt;".",d_Irr!BG8&lt;&gt;"."),d_dir!AJ8/((1/1000)*(d_Irr!AH8+d_Irr!BG8)),IF(AND(d_Irr!I8=".",d_Irr!AH8=".",d_Irr!BG8&lt;&gt;"."),d_dir!AJ8/((1/1000)*(d_Irr!BG8)),IF(AND(d_Irr!I8=".",d_Irr!AH8&lt;&gt;".",d_Irr!BG8="."),d_dir!AJ8/((1/1000)*(d_Irr!AH8)),IF(AND(d_Irr!I8&lt;&gt;".",d_Irr!AH8=".",d_Irr!BG8="."),d_dir!AJ8/((1/1000)*(d_Irr!I8)),IF(AND(d_Irr!I8=".",d_Irr!AH8=".",d_Irr!BG8="."),d_dir!AJ8*1000)))))))),".")</f>
        <v>606.98505703753483</v>
      </c>
      <c r="AK8" s="76">
        <f>IFERROR(IF(AND(d_Irr!J8&lt;&gt;".",d_Irr!AI8&lt;&gt;".",d_Irr!BH8&lt;&gt;"."),d_dir!AK8/((1/1000)*(d_Irr!J8+d_Irr!AI8+d_Irr!BH8)),IF(AND(d_Irr!J8&lt;&gt;".",d_Irr!AI8&lt;&gt;".",d_Irr!BH8="."),d_dir!AK8/((1/1000)*(d_Irr!J8+d_Irr!AI8)),IF(AND(d_Irr!J8&lt;&gt;".",d_Irr!AI8=".",d_Irr!BH8&lt;&gt;"."),d_dir!AK8/((1/1000)*(d_Irr!J8+d_Irr!BH8)),IF(AND(d_Irr!J8=".",d_Irr!AI8&lt;&gt;".",d_Irr!BH8&lt;&gt;"."),d_dir!AK8/((1/1000)*(d_Irr!AI8+d_Irr!BH8)),IF(AND(d_Irr!J8=".",d_Irr!AI8=".",d_Irr!BH8&lt;&gt;"."),d_dir!AK8/((1/1000)*(d_Irr!BH8)),IF(AND(d_Irr!J8=".",d_Irr!AI8&lt;&gt;".",d_Irr!BH8="."),d_dir!AK8/((1/1000)*(d_Irr!AI8)),IF(AND(d_Irr!J8&lt;&gt;".",d_Irr!AI8=".",d_Irr!BH8="."),d_dir!AK8/((1/1000)*(d_Irr!J8)),IF(AND(d_Irr!J8=".",d_Irr!AI8=".",d_Irr!BH8="."),d_dir!AK8*1000)))))))),".")</f>
        <v>47.276325822476998</v>
      </c>
      <c r="AL8" s="76">
        <f>IFERROR(IF(AND(d_Irr!K8&lt;&gt;".",d_Irr!AJ8&lt;&gt;".",d_Irr!BI8&lt;&gt;"."),d_dir!AL8/((1/1000)*(d_Irr!K8+d_Irr!AJ8+d_Irr!BI8)),IF(AND(d_Irr!K8&lt;&gt;".",d_Irr!AJ8&lt;&gt;".",d_Irr!BI8="."),d_dir!AL8/((1/1000)*(d_Irr!K8+d_Irr!AJ8)),IF(AND(d_Irr!K8&lt;&gt;".",d_Irr!AJ8=".",d_Irr!BI8&lt;&gt;"."),d_dir!AL8/((1/1000)*(d_Irr!K8+d_Irr!BI8)),IF(AND(d_Irr!K8=".",d_Irr!AJ8&lt;&gt;".",d_Irr!BI8&lt;&gt;"."),d_dir!AL8/((1/1000)*(d_Irr!AJ8+d_Irr!BI8)),IF(AND(d_Irr!K8=".",d_Irr!AJ8=".",d_Irr!BI8&lt;&gt;"."),d_dir!AL8/((1/1000)*(d_Irr!BI8)),IF(AND(d_Irr!K8=".",d_Irr!AJ8&lt;&gt;".",d_Irr!BI8="."),d_dir!AL8/((1/1000)*(d_Irr!AJ8)),IF(AND(d_Irr!K8&lt;&gt;".",d_Irr!AJ8=".",d_Irr!BI8="."),d_dir!AL8/((1/1000)*(d_Irr!K8)),IF(AND(d_Irr!K8=".",d_Irr!AJ8=".",d_Irr!BI8="."),d_dir!AL8*1000)))))))),".")</f>
        <v>184.8818725502291</v>
      </c>
      <c r="AM8" s="76">
        <f>IFERROR(IF(AND(d_Irr!L8&lt;&gt;".",d_Irr!AK8&lt;&gt;".",d_Irr!BJ8&lt;&gt;"."),d_dir!AM8/((1/1000)*(d_Irr!L8+d_Irr!AK8+d_Irr!BJ8)),IF(AND(d_Irr!L8&lt;&gt;".",d_Irr!AK8&lt;&gt;".",d_Irr!BJ8="."),d_dir!AM8/((1/1000)*(d_Irr!L8+d_Irr!AK8)),IF(AND(d_Irr!L8&lt;&gt;".",d_Irr!AK8=".",d_Irr!BJ8&lt;&gt;"."),d_dir!AM8/((1/1000)*(d_Irr!L8+d_Irr!BJ8)),IF(AND(d_Irr!L8=".",d_Irr!AK8&lt;&gt;".",d_Irr!BJ8&lt;&gt;"."),d_dir!AM8/((1/1000)*(d_Irr!AK8+d_Irr!BJ8)),IF(AND(d_Irr!L8=".",d_Irr!AK8=".",d_Irr!BJ8&lt;&gt;"."),d_dir!AM8/((1/1000)*(d_Irr!BJ8)),IF(AND(d_Irr!L8=".",d_Irr!AK8&lt;&gt;".",d_Irr!BJ8="."),d_dir!AM8/((1/1000)*(d_Irr!AK8)),IF(AND(d_Irr!L8&lt;&gt;".",d_Irr!AK8=".",d_Irr!BJ8="."),d_dir!AM8/((1/1000)*(d_Irr!L8)),IF(AND(d_Irr!L8=".",d_Irr!AK8=".",d_Irr!BJ8="."),d_dir!AM8*1000)))))))),".")</f>
        <v>280.70628826064723</v>
      </c>
      <c r="AN8" s="76">
        <f>IFERROR(IF(AND(d_Irr!M8&lt;&gt;".",d_Irr!AL8&lt;&gt;".",d_Irr!BK8&lt;&gt;"."),d_dir!AN8/((1/1000)*(d_Irr!M8+d_Irr!AL8+d_Irr!BK8)),IF(AND(d_Irr!M8&lt;&gt;".",d_Irr!AL8&lt;&gt;".",d_Irr!BK8="."),d_dir!AN8/((1/1000)*(d_Irr!M8+d_Irr!AL8)),IF(AND(d_Irr!M8&lt;&gt;".",d_Irr!AL8=".",d_Irr!BK8&lt;&gt;"."),d_dir!AN8/((1/1000)*(d_Irr!M8+d_Irr!BK8)),IF(AND(d_Irr!M8=".",d_Irr!AL8&lt;&gt;".",d_Irr!BK8&lt;&gt;"."),d_dir!AN8/((1/1000)*(d_Irr!AL8+d_Irr!BK8)),IF(AND(d_Irr!M8=".",d_Irr!AL8=".",d_Irr!BK8&lt;&gt;"."),d_dir!AN8/((1/1000)*(d_Irr!BK8)),IF(AND(d_Irr!M8=".",d_Irr!AL8&lt;&gt;".",d_Irr!BK8="."),d_dir!AN8/((1/1000)*(d_Irr!AL8)),IF(AND(d_Irr!M8&lt;&gt;".",d_Irr!AL8=".",d_Irr!BK8="."),d_dir!AN8/((1/1000)*(d_Irr!M8)),IF(AND(d_Irr!M8=".",d_Irr!AL8=".",d_Irr!BK8="."),d_dir!AN8*1000)))))))),".")</f>
        <v>407.6340453400847</v>
      </c>
      <c r="AO8" s="76">
        <f>IFERROR(IF(AND(d_Irr!N8&lt;&gt;".",d_Irr!AM8&lt;&gt;".",d_Irr!BL8&lt;&gt;"."),d_dir!AO8/((1/1000)*(d_Irr!N8+d_Irr!AM8+d_Irr!BL8)),IF(AND(d_Irr!N8&lt;&gt;".",d_Irr!AM8&lt;&gt;".",d_Irr!BL8="."),d_dir!AO8/((1/1000)*(d_Irr!N8+d_Irr!AM8)),IF(AND(d_Irr!N8&lt;&gt;".",d_Irr!AM8=".",d_Irr!BL8&lt;&gt;"."),d_dir!AO8/((1/1000)*(d_Irr!N8+d_Irr!BL8)),IF(AND(d_Irr!N8=".",d_Irr!AM8&lt;&gt;".",d_Irr!BL8&lt;&gt;"."),d_dir!AO8/((1/1000)*(d_Irr!AM8+d_Irr!BL8)),IF(AND(d_Irr!N8=".",d_Irr!AM8=".",d_Irr!BL8&lt;&gt;"."),d_dir!AO8/((1/1000)*(d_Irr!BL8)),IF(AND(d_Irr!N8=".",d_Irr!AM8&lt;&gt;".",d_Irr!BL8="."),d_dir!AO8/((1/1000)*(d_Irr!AM8)),IF(AND(d_Irr!N8&lt;&gt;".",d_Irr!AM8=".",d_Irr!BL8="."),d_dir!AO8/((1/1000)*(d_Irr!N8)),IF(AND(d_Irr!N8=".",d_Irr!AM8=".",d_Irr!BL8="."),d_dir!AO8*1000)))))))),".")</f>
        <v>421.34585049063168</v>
      </c>
      <c r="AP8" s="76">
        <f>IFERROR(IF(AND(d_Irr!O8&lt;&gt;".",d_Irr!AN8&lt;&gt;".",d_Irr!BM8&lt;&gt;"."),d_dir!AP8/((1/1000)*(d_Irr!O8+d_Irr!AN8+d_Irr!BM8)),IF(AND(d_Irr!O8&lt;&gt;".",d_Irr!AN8&lt;&gt;".",d_Irr!BM8="."),d_dir!AP8/((1/1000)*(d_Irr!O8+d_Irr!AN8)),IF(AND(d_Irr!O8&lt;&gt;".",d_Irr!AN8=".",d_Irr!BM8&lt;&gt;"."),d_dir!AP8/((1/1000)*(d_Irr!O8+d_Irr!BM8)),IF(AND(d_Irr!O8=".",d_Irr!AN8&lt;&gt;".",d_Irr!BM8&lt;&gt;"."),d_dir!AP8/((1/1000)*(d_Irr!AN8+d_Irr!BM8)),IF(AND(d_Irr!O8=".",d_Irr!AN8=".",d_Irr!BM8&lt;&gt;"."),d_dir!AP8/((1/1000)*(d_Irr!BM8)),IF(AND(d_Irr!O8=".",d_Irr!AN8&lt;&gt;".",d_Irr!BM8="."),d_dir!AP8/((1/1000)*(d_Irr!AN8)),IF(AND(d_Irr!O8&lt;&gt;".",d_Irr!AN8=".",d_Irr!BM8="."),d_dir!AP8/((1/1000)*(d_Irr!O8)),IF(AND(d_Irr!O8=".",d_Irr!AN8=".",d_Irr!BM8="."),d_dir!AP8*1000)))))))),".")</f>
        <v>505.78919979702738</v>
      </c>
      <c r="AQ8" s="76">
        <f>IFERROR(IF(AND(d_Irr!P8&lt;&gt;".",d_Irr!AO8&lt;&gt;".",d_Irr!BN8&lt;&gt;"."),d_dir!AQ8/((1/1000)*(d_Irr!P8+d_Irr!AO8+d_Irr!BN8)),IF(AND(d_Irr!P8&lt;&gt;".",d_Irr!AO8&lt;&gt;".",d_Irr!BN8="."),d_dir!AQ8/((1/1000)*(d_Irr!P8+d_Irr!AO8)),IF(AND(d_Irr!P8&lt;&gt;".",d_Irr!AO8=".",d_Irr!BN8&lt;&gt;"."),d_dir!AQ8/((1/1000)*(d_Irr!P8+d_Irr!BN8)),IF(AND(d_Irr!P8=".",d_Irr!AO8&lt;&gt;".",d_Irr!BN8&lt;&gt;"."),d_dir!AQ8/((1/1000)*(d_Irr!AO8+d_Irr!BN8)),IF(AND(d_Irr!P8=".",d_Irr!AO8=".",d_Irr!BN8&lt;&gt;"."),d_dir!AQ8/((1/1000)*(d_Irr!BN8)),IF(AND(d_Irr!P8=".",d_Irr!AO8&lt;&gt;".",d_Irr!BN8="."),d_dir!AQ8/((1/1000)*(d_Irr!AO8)),IF(AND(d_Irr!P8&lt;&gt;".",d_Irr!AO8=".",d_Irr!BN8="."),d_dir!AQ8/((1/1000)*(d_Irr!P8)),IF(AND(d_Irr!P8=".",d_Irr!AO8=".",d_Irr!BN8="."),d_dir!AQ8*1000)))))))),".")</f>
        <v>566.44454254160416</v>
      </c>
      <c r="AR8" s="76">
        <f>IFERROR(IF(AND(d_Irr!Q8&lt;&gt;".",d_Irr!AP8&lt;&gt;".",d_Irr!BO8&lt;&gt;"."),d_dir!AR8/((1/1000)*(d_Irr!Q8+d_Irr!AP8+d_Irr!BO8)),IF(AND(d_Irr!Q8&lt;&gt;".",d_Irr!AP8&lt;&gt;".",d_Irr!BO8="."),d_dir!AR8/((1/1000)*(d_Irr!Q8+d_Irr!AP8)),IF(AND(d_Irr!Q8&lt;&gt;".",d_Irr!AP8=".",d_Irr!BO8&lt;&gt;"."),d_dir!AR8/((1/1000)*(d_Irr!Q8+d_Irr!BO8)),IF(AND(d_Irr!Q8=".",d_Irr!AP8&lt;&gt;".",d_Irr!BO8&lt;&gt;"."),d_dir!AR8/((1/1000)*(d_Irr!AP8+d_Irr!BO8)),IF(AND(d_Irr!Q8=".",d_Irr!AP8=".",d_Irr!BO8&lt;&gt;"."),d_dir!AR8/((1/1000)*(d_Irr!BO8)),IF(AND(d_Irr!Q8=".",d_Irr!AP8&lt;&gt;".",d_Irr!BO8="."),d_dir!AR8/((1/1000)*(d_Irr!AP8)),IF(AND(d_Irr!Q8&lt;&gt;".",d_Irr!AP8=".",d_Irr!BO8="."),d_dir!AR8/((1/1000)*(d_Irr!Q8)),IF(AND(d_Irr!Q8=".",d_Irr!AP8=".",d_Irr!BO8="."),d_dir!AR8*1000)))))))),".")</f>
        <v>134.59659631788651</v>
      </c>
      <c r="AS8" s="76">
        <f>IFERROR(IF(AND(d_Irr!R8&lt;&gt;".",d_Irr!AQ8&lt;&gt;".",d_Irr!BP8&lt;&gt;"."),d_dir!AS8/((1/1000)*(d_Irr!R8+d_Irr!AQ8+d_Irr!BP8)),IF(AND(d_Irr!R8&lt;&gt;".",d_Irr!AQ8&lt;&gt;".",d_Irr!BP8="."),d_dir!AS8/((1/1000)*(d_Irr!R8+d_Irr!AQ8)),IF(AND(d_Irr!R8&lt;&gt;".",d_Irr!AQ8=".",d_Irr!BP8&lt;&gt;"."),d_dir!AS8/((1/1000)*(d_Irr!R8+d_Irr!BP8)),IF(AND(d_Irr!R8=".",d_Irr!AQ8&lt;&gt;".",d_Irr!BP8&lt;&gt;"."),d_dir!AS8/((1/1000)*(d_Irr!AQ8+d_Irr!BP8)),IF(AND(d_Irr!R8=".",d_Irr!AQ8=".",d_Irr!BP8&lt;&gt;"."),d_dir!AS8/((1/1000)*(d_Irr!BP8)),IF(AND(d_Irr!R8=".",d_Irr!AQ8&lt;&gt;".",d_Irr!BP8="."),d_dir!AS8/((1/1000)*(d_Irr!AQ8)),IF(AND(d_Irr!R8&lt;&gt;".",d_Irr!AQ8=".",d_Irr!BP8="."),d_dir!AS8/((1/1000)*(d_Irr!R8)),IF(AND(d_Irr!R8=".",d_Irr!AQ8=".",d_Irr!BP8="."),d_dir!AS8*1000)))))))),".")</f>
        <v>219.48858839022972</v>
      </c>
      <c r="AT8" s="76">
        <f>IFERROR(IF(AND(d_Irr!S8&lt;&gt;".",d_Irr!AR8&lt;&gt;".",d_Irr!BQ8&lt;&gt;"."),d_dir!AT8/((1/1000)*(d_Irr!S8+d_Irr!AR8+d_Irr!BQ8)),IF(AND(d_Irr!S8&lt;&gt;".",d_Irr!AR8&lt;&gt;".",d_Irr!BQ8="."),d_dir!AT8/((1/1000)*(d_Irr!S8+d_Irr!AR8)),IF(AND(d_Irr!S8&lt;&gt;".",d_Irr!AR8=".",d_Irr!BQ8&lt;&gt;"."),d_dir!AT8/((1/1000)*(d_Irr!S8+d_Irr!BQ8)),IF(AND(d_Irr!S8=".",d_Irr!AR8&lt;&gt;".",d_Irr!BQ8&lt;&gt;"."),d_dir!AT8/((1/1000)*(d_Irr!AR8+d_Irr!BQ8)),IF(AND(d_Irr!S8=".",d_Irr!AR8=".",d_Irr!BQ8&lt;&gt;"."),d_dir!AT8/((1/1000)*(d_Irr!BQ8)),IF(AND(d_Irr!S8=".",d_Irr!AR8&lt;&gt;".",d_Irr!BQ8="."),d_dir!AT8/((1/1000)*(d_Irr!AR8)),IF(AND(d_Irr!S8&lt;&gt;".",d_Irr!AR8=".",d_Irr!BQ8="."),d_dir!AT8/((1/1000)*(d_Irr!S8)),IF(AND(d_Irr!S8=".",d_Irr!AR8=".",d_Irr!BQ8="."),d_dir!AT8*1000)))))))),".")</f>
        <v>460.4301959706097</v>
      </c>
      <c r="AU8" s="76">
        <f>IFERROR(IF(AND(d_Irr!T8&lt;&gt;".",d_Irr!AS8&lt;&gt;".",d_Irr!BR8&lt;&gt;"."),d_dir!AU8/((1/1000)*(d_Irr!T8+d_Irr!AS8+d_Irr!BR8)),IF(AND(d_Irr!T8&lt;&gt;".",d_Irr!AS8&lt;&gt;".",d_Irr!BR8="."),d_dir!AU8/((1/1000)*(d_Irr!T8+d_Irr!AS8)),IF(AND(d_Irr!T8&lt;&gt;".",d_Irr!AS8=".",d_Irr!BR8&lt;&gt;"."),d_dir!AU8/((1/1000)*(d_Irr!T8+d_Irr!BR8)),IF(AND(d_Irr!T8=".",d_Irr!AS8&lt;&gt;".",d_Irr!BR8&lt;&gt;"."),d_dir!AU8/((1/1000)*(d_Irr!AS8+d_Irr!BR8)),IF(AND(d_Irr!T8=".",d_Irr!AS8=".",d_Irr!BR8&lt;&gt;"."),d_dir!AU8/((1/1000)*(d_Irr!BR8)),IF(AND(d_Irr!T8=".",d_Irr!AS8&lt;&gt;".",d_Irr!BR8="."),d_dir!AU8/((1/1000)*(d_Irr!AS8)),IF(AND(d_Irr!T8&lt;&gt;".",d_Irr!AS8=".",d_Irr!BR8="."),d_dir!AU8/((1/1000)*(d_Irr!T8)),IF(AND(d_Irr!T8=".",d_Irr!AS8=".",d_Irr!BR8="."),d_dir!AU8*1000)))))))),".")</f>
        <v>636.55795251030872</v>
      </c>
      <c r="AV8" s="76">
        <f>IFERROR(IF(AND(d_Irr!U8&lt;&gt;".",d_Irr!AT8&lt;&gt;".",d_Irr!BS8&lt;&gt;"."),d_dir!AV8/((1/1000)*(d_Irr!U8+d_Irr!AT8+d_Irr!BS8)),IF(AND(d_Irr!U8&lt;&gt;".",d_Irr!AT8&lt;&gt;".",d_Irr!BS8="."),d_dir!AV8/((1/1000)*(d_Irr!U8+d_Irr!AT8)),IF(AND(d_Irr!U8&lt;&gt;".",d_Irr!AT8=".",d_Irr!BS8&lt;&gt;"."),d_dir!AV8/((1/1000)*(d_Irr!U8+d_Irr!BS8)),IF(AND(d_Irr!U8=".",d_Irr!AT8&lt;&gt;".",d_Irr!BS8&lt;&gt;"."),d_dir!AV8/((1/1000)*(d_Irr!AT8+d_Irr!BS8)),IF(AND(d_Irr!U8=".",d_Irr!AT8=".",d_Irr!BS8&lt;&gt;"."),d_dir!AV8/((1/1000)*(d_Irr!BS8)),IF(AND(d_Irr!U8=".",d_Irr!AT8&lt;&gt;".",d_Irr!BS8="."),d_dir!AV8/((1/1000)*(d_Irr!AT8)),IF(AND(d_Irr!U8&lt;&gt;".",d_Irr!AT8=".",d_Irr!BS8="."),d_dir!AV8/((1/1000)*(d_Irr!U8)),IF(AND(d_Irr!U8=".",d_Irr!AT8=".",d_Irr!BS8="."),d_dir!AV8*1000)))))))),".")</f>
        <v>107.28164390762936</v>
      </c>
      <c r="AW8" s="76">
        <f>IFERROR(IF(AND(d_Irr!V8&lt;&gt;".",d_Irr!AU8&lt;&gt;".",d_Irr!BT8&lt;&gt;"."),d_dir!AW8/((1/1000)*(d_Irr!V8+d_Irr!AU8+d_Irr!BT8)),IF(AND(d_Irr!V8&lt;&gt;".",d_Irr!AU8&lt;&gt;".",d_Irr!BT8="."),d_dir!AW8/((1/1000)*(d_Irr!V8+d_Irr!AU8)),IF(AND(d_Irr!V8&lt;&gt;".",d_Irr!AU8=".",d_Irr!BT8&lt;&gt;"."),d_dir!AW8/((1/1000)*(d_Irr!V8+d_Irr!BT8)),IF(AND(d_Irr!V8=".",d_Irr!AU8&lt;&gt;".",d_Irr!BT8&lt;&gt;"."),d_dir!AW8/((1/1000)*(d_Irr!AU8+d_Irr!BT8)),IF(AND(d_Irr!V8=".",d_Irr!AU8=".",d_Irr!BT8&lt;&gt;"."),d_dir!AW8/((1/1000)*(d_Irr!BT8)),IF(AND(d_Irr!V8=".",d_Irr!AU8&lt;&gt;".",d_Irr!BT8="."),d_dir!AW8/((1/1000)*(d_Irr!AU8)),IF(AND(d_Irr!V8&lt;&gt;".",d_Irr!AU8=".",d_Irr!BT8="."),d_dir!AW8/((1/1000)*(d_Irr!V8)),IF(AND(d_Irr!V8=".",d_Irr!AU8=".",d_Irr!BT8="."),d_dir!AW8*1000)))))))),".")</f>
        <v>241.17325041976815</v>
      </c>
      <c r="AX8" s="76">
        <f>IFERROR(IF(AND(d_Irr!W8&lt;&gt;".",d_Irr!AV8&lt;&gt;".",d_Irr!BU8&lt;&gt;"."),d_dir!AX8/((1/1000)*(d_Irr!W8+d_Irr!AV8+d_Irr!BU8)),IF(AND(d_Irr!W8&lt;&gt;".",d_Irr!AV8&lt;&gt;".",d_Irr!BU8="."),d_dir!AX8/((1/1000)*(d_Irr!W8+d_Irr!AV8)),IF(AND(d_Irr!W8&lt;&gt;".",d_Irr!AV8=".",d_Irr!BU8&lt;&gt;"."),d_dir!AX8/((1/1000)*(d_Irr!W8+d_Irr!BU8)),IF(AND(d_Irr!W8=".",d_Irr!AV8&lt;&gt;".",d_Irr!BU8&lt;&gt;"."),d_dir!AX8/((1/1000)*(d_Irr!AV8+d_Irr!BU8)),IF(AND(d_Irr!W8=".",d_Irr!AV8=".",d_Irr!BU8&lt;&gt;"."),d_dir!AX8/((1/1000)*(d_Irr!BU8)),IF(AND(d_Irr!W8=".",d_Irr!AV8&lt;&gt;".",d_Irr!BU8="."),d_dir!AX8/((1/1000)*(d_Irr!AV8)),IF(AND(d_Irr!W8&lt;&gt;".",d_Irr!AV8=".",d_Irr!BU8="."),d_dir!AX8/((1/1000)*(d_Irr!W8)),IF(AND(d_Irr!W8=".",d_Irr!AV8=".",d_Irr!BU8="."),d_dir!AX8*1000)))))))),".")</f>
        <v>265.75155183695574</v>
      </c>
      <c r="AY8" s="76">
        <f>IFERROR(IF(AND(d_Irr!X8&lt;&gt;".",d_Irr!AW8&lt;&gt;".",d_Irr!BV8&lt;&gt;"."),d_dir!AY8/((1/1000)*(d_Irr!X8+d_Irr!AW8+d_Irr!BV8)),IF(AND(d_Irr!X8&lt;&gt;".",d_Irr!AW8&lt;&gt;".",d_Irr!BV8="."),d_dir!AY8/((1/1000)*(d_Irr!X8+d_Irr!AW8)),IF(AND(d_Irr!X8&lt;&gt;".",d_Irr!AW8=".",d_Irr!BV8&lt;&gt;"."),d_dir!AY8/((1/1000)*(d_Irr!X8+d_Irr!BV8)),IF(AND(d_Irr!X8=".",d_Irr!AW8&lt;&gt;".",d_Irr!BV8&lt;&gt;"."),d_dir!AY8/((1/1000)*(d_Irr!AW8+d_Irr!BV8)),IF(AND(d_Irr!X8=".",d_Irr!AW8=".",d_Irr!BV8&lt;&gt;"."),d_dir!AY8/((1/1000)*(d_Irr!BV8)),IF(AND(d_Irr!X8=".",d_Irr!AW8&lt;&gt;".",d_Irr!BV8="."),d_dir!AY8/((1/1000)*(d_Irr!AW8)),IF(AND(d_Irr!X8&lt;&gt;".",d_Irr!AW8=".",d_Irr!BV8="."),d_dir!AY8/((1/1000)*(d_Irr!X8)),IF(AND(d_Irr!X8=".",d_Irr!AW8=".",d_Irr!BV8="."),d_dir!AY8*1000)))))))),".")</f>
        <v>356.74273830643182</v>
      </c>
      <c r="AZ8" s="76">
        <f>IFERROR(IF(AND(d_Irr!Y8&lt;&gt;".",d_Irr!AX8&lt;&gt;".",d_Irr!BW8&lt;&gt;"."),d_dir!AZ8/((1/1000)*(d_Irr!Y8+d_Irr!AX8+d_Irr!BW8)),IF(AND(d_Irr!Y8&lt;&gt;".",d_Irr!AX8&lt;&gt;".",d_Irr!BW8="."),d_dir!AZ8/((1/1000)*(d_Irr!Y8+d_Irr!AX8)),IF(AND(d_Irr!Y8&lt;&gt;".",d_Irr!AX8=".",d_Irr!BW8&lt;&gt;"."),d_dir!AZ8/((1/1000)*(d_Irr!Y8+d_Irr!BW8)),IF(AND(d_Irr!Y8=".",d_Irr!AX8&lt;&gt;".",d_Irr!BW8&lt;&gt;"."),d_dir!AZ8/((1/1000)*(d_Irr!AX8+d_Irr!BW8)),IF(AND(d_Irr!Y8=".",d_Irr!AX8=".",d_Irr!BW8&lt;&gt;"."),d_dir!AZ8/((1/1000)*(d_Irr!BW8)),IF(AND(d_Irr!Y8=".",d_Irr!AX8&lt;&gt;".",d_Irr!BW8="."),d_dir!AZ8/((1/1000)*(d_Irr!AX8)),IF(AND(d_Irr!Y8&lt;&gt;".",d_Irr!AX8=".",d_Irr!BW8="."),d_dir!AZ8/((1/1000)*(d_Irr!Y8)),IF(AND(d_Irr!Y8=".",d_Irr!AX8=".",d_Irr!BW8="."),d_dir!AZ8*1000)))))))),".")</f>
        <v>158.51081800382309</v>
      </c>
      <c r="BA8" s="76">
        <f>IFERROR(IF(AND(d_Irr!Z8&lt;&gt;".",d_Irr!AY8&lt;&gt;".",d_Irr!BX8&lt;&gt;"."),d_dir!BA8/((1/1000)*(d_Irr!Z8+d_Irr!AY8+d_Irr!BX8)),IF(AND(d_Irr!Z8&lt;&gt;".",d_Irr!AY8&lt;&gt;".",d_Irr!BX8="."),d_dir!BA8/((1/1000)*(d_Irr!Z8+d_Irr!AY8)),IF(AND(d_Irr!Z8&lt;&gt;".",d_Irr!AY8=".",d_Irr!BX8&lt;&gt;"."),d_dir!BA8/((1/1000)*(d_Irr!Z8+d_Irr!BX8)),IF(AND(d_Irr!Z8=".",d_Irr!AY8&lt;&gt;".",d_Irr!BX8&lt;&gt;"."),d_dir!BA8/((1/1000)*(d_Irr!AY8+d_Irr!BX8)),IF(AND(d_Irr!Z8=".",d_Irr!AY8=".",d_Irr!BX8&lt;&gt;"."),d_dir!BA8/((1/1000)*(d_Irr!BX8)),IF(AND(d_Irr!Z8=".",d_Irr!AY8&lt;&gt;".",d_Irr!BX8="."),d_dir!BA8/((1/1000)*(d_Irr!AY8)),IF(AND(d_Irr!Z8&lt;&gt;".",d_Irr!AY8=".",d_Irr!BX8="."),d_dir!BA8/((1/1000)*(d_Irr!Z8)),IF(AND(d_Irr!Z8=".",d_Irr!AY8=".",d_Irr!BX8="."),d_dir!BA8*1000)))))))),".")</f>
        <v>76.577010302372784</v>
      </c>
      <c r="BB8" s="76">
        <f>IFERROR(IF(AND(d_Irr!AA8&lt;&gt;".",d_Irr!AZ8&lt;&gt;".",d_Irr!BY8&lt;&gt;"."),d_dir!BB8/((1/1000)*(d_Irr!AA8+d_Irr!AZ8+d_Irr!BY8)),IF(AND(d_Irr!AA8&lt;&gt;".",d_Irr!AZ8&lt;&gt;".",d_Irr!BY8="."),d_dir!BB8/((1/1000)*(d_Irr!AA8+d_Irr!AZ8)),IF(AND(d_Irr!AA8&lt;&gt;".",d_Irr!AZ8=".",d_Irr!BY8&lt;&gt;"."),d_dir!BB8/((1/1000)*(d_Irr!AA8+d_Irr!BY8)),IF(AND(d_Irr!AA8=".",d_Irr!AZ8&lt;&gt;".",d_Irr!BY8&lt;&gt;"."),d_dir!BB8/((1/1000)*(d_Irr!AZ8+d_Irr!BY8)),IF(AND(d_Irr!AA8=".",d_Irr!AZ8=".",d_Irr!BY8&lt;&gt;"."),d_dir!BB8/((1/1000)*(d_Irr!BY8)),IF(AND(d_Irr!AA8=".",d_Irr!AZ8&lt;&gt;".",d_Irr!BY8="."),d_dir!BB8/((1/1000)*(d_Irr!AZ8)),IF(AND(d_Irr!AA8&lt;&gt;".",d_Irr!AZ8=".",d_Irr!BY8="."),d_dir!BB8/((1/1000)*(d_Irr!AA8)),IF(AND(d_Irr!AA8=".",d_Irr!AZ8=".",d_Irr!BY8="."),d_dir!BB8*1000)))))))),".")</f>
        <v>77.687591825138753</v>
      </c>
    </row>
    <row r="9" spans="1:54" ht="15" customHeight="1" x14ac:dyDescent="0.25">
      <c r="A9" s="92" t="s">
        <v>19</v>
      </c>
      <c r="B9" s="90" t="s">
        <v>1071</v>
      </c>
      <c r="C9" s="2">
        <f t="shared" si="1"/>
        <v>42.944963223289605</v>
      </c>
      <c r="D9" s="76">
        <f>IFERROR(IF(AND(d_Irr!C9&lt;&gt;".",d_Irr!AB9&lt;&gt;".",d_Irr!BA9&lt;&gt;"."),d_dir!D9/((1/1000)*(d_Irr!C9+d_Irr!AB9+d_Irr!BA9)),IF(AND(d_Irr!C9&lt;&gt;".",d_Irr!AB9&lt;&gt;".",d_Irr!BA9="."),d_dir!D9/((1/1000)*(d_Irr!C9+d_Irr!AB9)),IF(AND(d_Irr!C9&lt;&gt;".",d_Irr!AB9=".",d_Irr!BA9&lt;&gt;"."),d_dir!D9/((1/1000)*(d_Irr!C9+d_Irr!BA9)),IF(AND(d_Irr!C9=".",d_Irr!AB9&lt;&gt;".",d_Irr!BA9&lt;&gt;"."),d_dir!D9/((1/1000)*(d_Irr!AB9+d_Irr!BA9)),IF(AND(d_Irr!C9=".",d_Irr!AB9=".",d_Irr!BA9&lt;&gt;"."),d_dir!D9/((1/1000)*(d_Irr!BA9)),IF(AND(d_Irr!C9=".",d_Irr!AB9&lt;&gt;".",d_Irr!BA9="."),d_dir!D9/((1/1000)*(d_Irr!AB9)),IF(AND(d_Irr!C9&lt;&gt;".",d_Irr!AB9=".",d_Irr!BA9="."),d_dir!D9/((1/1000)*(d_Irr!C9)),IF(AND(d_Irr!C9=".",d_Irr!AB9=".",d_Irr!BA9="."),d_dir!D9*1000)))))))),".")</f>
        <v>780.68039358041165</v>
      </c>
      <c r="E9" s="76">
        <f>IFERROR(IF(AND(d_Irr!D9&lt;&gt;".",d_Irr!AC9&lt;&gt;".",d_Irr!BB9&lt;&gt;"."),d_dir!E9/((1/1000)*(d_Irr!D9+d_Irr!AC9+d_Irr!BB9)),IF(AND(d_Irr!D9&lt;&gt;".",d_Irr!AC9&lt;&gt;".",d_Irr!BB9="."),d_dir!E9/((1/1000)*(d_Irr!D9+d_Irr!AC9)),IF(AND(d_Irr!D9&lt;&gt;".",d_Irr!AC9=".",d_Irr!BB9&lt;&gt;"."),d_dir!E9/((1/1000)*(d_Irr!D9+d_Irr!BB9)),IF(AND(d_Irr!D9=".",d_Irr!AC9&lt;&gt;".",d_Irr!BB9&lt;&gt;"."),d_dir!E9/((1/1000)*(d_Irr!AC9+d_Irr!BB9)),IF(AND(d_Irr!D9=".",d_Irr!AC9=".",d_Irr!BB9&lt;&gt;"."),d_dir!E9/((1/1000)*(d_Irr!BB9)),IF(AND(d_Irr!D9=".",d_Irr!AC9&lt;&gt;".",d_Irr!BB9="."),d_dir!E9/((1/1000)*(d_Irr!AC9)),IF(AND(d_Irr!D9&lt;&gt;".",d_Irr!AC9=".",d_Irr!BB9="."),d_dir!E9/((1/1000)*(d_Irr!D9)),IF(AND(d_Irr!D9=".",d_Irr!AC9=".",d_Irr!BB9="."),d_dir!E9*1000)))))))),".")</f>
        <v>1707.920244525699</v>
      </c>
      <c r="F9" s="76">
        <f>IFERROR(IF(AND(d_Irr!E9&lt;&gt;".",d_Irr!AD9&lt;&gt;".",d_Irr!BC9&lt;&gt;"."),d_dir!F9/((1/1000)*(d_Irr!E9+d_Irr!AD9+d_Irr!BC9)),IF(AND(d_Irr!E9&lt;&gt;".",d_Irr!AD9&lt;&gt;".",d_Irr!BC9="."),d_dir!F9/((1/1000)*(d_Irr!E9+d_Irr!AD9)),IF(AND(d_Irr!E9&lt;&gt;".",d_Irr!AD9=".",d_Irr!BC9&lt;&gt;"."),d_dir!F9/((1/1000)*(d_Irr!E9+d_Irr!BC9)),IF(AND(d_Irr!E9=".",d_Irr!AD9&lt;&gt;".",d_Irr!BC9&lt;&gt;"."),d_dir!F9/((1/1000)*(d_Irr!AD9+d_Irr!BC9)),IF(AND(d_Irr!E9=".",d_Irr!AD9=".",d_Irr!BC9&lt;&gt;"."),d_dir!F9/((1/1000)*(d_Irr!BC9)),IF(AND(d_Irr!E9=".",d_Irr!AD9&lt;&gt;".",d_Irr!BC9="."),d_dir!F9/((1/1000)*(d_Irr!AD9)),IF(AND(d_Irr!E9&lt;&gt;".",d_Irr!AD9=".",d_Irr!BC9="."),d_dir!F9/((1/1000)*(d_Irr!E9)),IF(AND(d_Irr!E9=".",d_Irr!AD9=".",d_Irr!BC9="."),d_dir!F9*1000)))))))),".")</f>
        <v>2059.7540349432011</v>
      </c>
      <c r="G9" s="76">
        <f>IFERROR(IF(AND(d_Irr!F9&lt;&gt;".",d_Irr!AE9&lt;&gt;".",d_Irr!BD9&lt;&gt;"."),d_dir!G9/((1/1000)*(d_Irr!F9+d_Irr!AE9+d_Irr!BD9)),IF(AND(d_Irr!F9&lt;&gt;".",d_Irr!AE9&lt;&gt;".",d_Irr!BD9="."),d_dir!G9/((1/1000)*(d_Irr!F9+d_Irr!AE9)),IF(AND(d_Irr!F9&lt;&gt;".",d_Irr!AE9=".",d_Irr!BD9&lt;&gt;"."),d_dir!G9/((1/1000)*(d_Irr!F9+d_Irr!BD9)),IF(AND(d_Irr!F9=".",d_Irr!AE9&lt;&gt;".",d_Irr!BD9&lt;&gt;"."),d_dir!G9/((1/1000)*(d_Irr!AE9+d_Irr!BD9)),IF(AND(d_Irr!F9=".",d_Irr!AE9=".",d_Irr!BD9&lt;&gt;"."),d_dir!G9/((1/1000)*(d_Irr!BD9)),IF(AND(d_Irr!F9=".",d_Irr!AE9&lt;&gt;".",d_Irr!BD9="."),d_dir!G9/((1/1000)*(d_Irr!AE9)),IF(AND(d_Irr!F9&lt;&gt;".",d_Irr!AE9=".",d_Irr!BD9="."),d_dir!G9/((1/1000)*(d_Irr!F9)),IF(AND(d_Irr!F9=".",d_Irr!AE9=".",d_Irr!BD9="."),d_dir!G9*1000)))))))),".")</f>
        <v>1755.8352275877651</v>
      </c>
      <c r="H9" s="76">
        <f>IFERROR(IF(AND(d_Irr!G9&lt;&gt;".",d_Irr!AF9&lt;&gt;".",d_Irr!BE9&lt;&gt;"."),d_dir!H9/((1/1000)*(d_Irr!G9+d_Irr!AF9+d_Irr!BE9)),IF(AND(d_Irr!G9&lt;&gt;".",d_Irr!AF9&lt;&gt;".",d_Irr!BE9="."),d_dir!H9/((1/1000)*(d_Irr!G9+d_Irr!AF9)),IF(AND(d_Irr!G9&lt;&gt;".",d_Irr!AF9=".",d_Irr!BE9&lt;&gt;"."),d_dir!H9/((1/1000)*(d_Irr!G9+d_Irr!BE9)),IF(AND(d_Irr!G9=".",d_Irr!AF9&lt;&gt;".",d_Irr!BE9&lt;&gt;"."),d_dir!H9/((1/1000)*(d_Irr!AF9+d_Irr!BE9)),IF(AND(d_Irr!G9=".",d_Irr!AF9=".",d_Irr!BE9&lt;&gt;"."),d_dir!H9/((1/1000)*(d_Irr!BE9)),IF(AND(d_Irr!G9=".",d_Irr!AF9&lt;&gt;".",d_Irr!BE9="."),d_dir!H9/((1/1000)*(d_Irr!AF9)),IF(AND(d_Irr!G9&lt;&gt;".",d_Irr!AF9=".",d_Irr!BE9="."),d_dir!H9/((1/1000)*(d_Irr!G9)),IF(AND(d_Irr!G9=".",d_Irr!AF9=".",d_Irr!BE9="."),d_dir!H9*1000)))))))),".")</f>
        <v>2154.4589995763117</v>
      </c>
      <c r="I9" s="76">
        <f>IFERROR(IF(AND(d_Irr!H9&lt;&gt;".",d_Irr!AG9&lt;&gt;".",d_Irr!BF9&lt;&gt;"."),d_dir!I9/((1/1000)*(d_Irr!H9+d_Irr!AG9+d_Irr!BF9)),IF(AND(d_Irr!H9&lt;&gt;".",d_Irr!AG9&lt;&gt;".",d_Irr!BF9="."),d_dir!I9/((1/1000)*(d_Irr!H9+d_Irr!AG9)),IF(AND(d_Irr!H9&lt;&gt;".",d_Irr!AG9=".",d_Irr!BF9&lt;&gt;"."),d_dir!I9/((1/1000)*(d_Irr!H9+d_Irr!BF9)),IF(AND(d_Irr!H9=".",d_Irr!AG9&lt;&gt;".",d_Irr!BF9&lt;&gt;"."),d_dir!I9/((1/1000)*(d_Irr!AG9+d_Irr!BF9)),IF(AND(d_Irr!H9=".",d_Irr!AG9=".",d_Irr!BF9&lt;&gt;"."),d_dir!I9/((1/1000)*(d_Irr!BF9)),IF(AND(d_Irr!H9=".",d_Irr!AG9&lt;&gt;".",d_Irr!BF9="."),d_dir!I9/((1/1000)*(d_Irr!AG9)),IF(AND(d_Irr!H9&lt;&gt;".",d_Irr!AG9=".",d_Irr!BF9="."),d_dir!I9/((1/1000)*(d_Irr!H9)),IF(AND(d_Irr!H9=".",d_Irr!AG9=".",d_Irr!BF9="."),d_dir!I9*1000)))))))),".")</f>
        <v>841.32758458554258</v>
      </c>
      <c r="J9" s="76">
        <f>IFERROR(IF(AND(d_Irr!I9&lt;&gt;".",d_Irr!AH9&lt;&gt;".",d_Irr!BG9&lt;&gt;"."),d_dir!J9/((1/1000)*(d_Irr!I9+d_Irr!AH9+d_Irr!BG9)),IF(AND(d_Irr!I9&lt;&gt;".",d_Irr!AH9&lt;&gt;".",d_Irr!BG9="."),d_dir!J9/((1/1000)*(d_Irr!I9+d_Irr!AH9)),IF(AND(d_Irr!I9&lt;&gt;".",d_Irr!AH9=".",d_Irr!BG9&lt;&gt;"."),d_dir!J9/((1/1000)*(d_Irr!I9+d_Irr!BG9)),IF(AND(d_Irr!I9=".",d_Irr!AH9&lt;&gt;".",d_Irr!BG9&lt;&gt;"."),d_dir!J9/((1/1000)*(d_Irr!AH9+d_Irr!BG9)),IF(AND(d_Irr!I9=".",d_Irr!AH9=".",d_Irr!BG9&lt;&gt;"."),d_dir!J9/((1/1000)*(d_Irr!BG9)),IF(AND(d_Irr!I9=".",d_Irr!AH9&lt;&gt;".",d_Irr!BG9="."),d_dir!J9/((1/1000)*(d_Irr!AH9)),IF(AND(d_Irr!I9&lt;&gt;".",d_Irr!AH9=".",d_Irr!BG9="."),d_dir!J9/((1/1000)*(d_Irr!I9)),IF(AND(d_Irr!I9=".",d_Irr!AH9=".",d_Irr!BG9="."),d_dir!J9*1000)))))))),".")</f>
        <v>2371.3268894969297</v>
      </c>
      <c r="K9" s="76">
        <f>IFERROR(IF(AND(d_Irr!J9&lt;&gt;".",d_Irr!AI9&lt;&gt;".",d_Irr!BH9&lt;&gt;"."),d_dir!K9/((1/1000)*(d_Irr!J9+d_Irr!AI9+d_Irr!BH9)),IF(AND(d_Irr!J9&lt;&gt;".",d_Irr!AI9&lt;&gt;".",d_Irr!BH9="."),d_dir!K9/((1/1000)*(d_Irr!J9+d_Irr!AI9)),IF(AND(d_Irr!J9&lt;&gt;".",d_Irr!AI9=".",d_Irr!BH9&lt;&gt;"."),d_dir!K9/((1/1000)*(d_Irr!J9+d_Irr!BH9)),IF(AND(d_Irr!J9=".",d_Irr!AI9&lt;&gt;".",d_Irr!BH9&lt;&gt;"."),d_dir!K9/((1/1000)*(d_Irr!AI9+d_Irr!BH9)),IF(AND(d_Irr!J9=".",d_Irr!AI9=".",d_Irr!BH9&lt;&gt;"."),d_dir!K9/((1/1000)*(d_Irr!BH9)),IF(AND(d_Irr!J9=".",d_Irr!AI9&lt;&gt;".",d_Irr!BH9="."),d_dir!K9/((1/1000)*(d_Irr!AI9)),IF(AND(d_Irr!J9&lt;&gt;".",d_Irr!AI9=".",d_Irr!BH9="."),d_dir!K9/((1/1000)*(d_Irr!J9)),IF(AND(d_Irr!J9=".",d_Irr!AI9=".",d_Irr!BH9="."),d_dir!K9*1000)))))))),".")</f>
        <v>202.43302891124245</v>
      </c>
      <c r="L9" s="76">
        <f>IFERROR(IF(AND(d_Irr!K9&lt;&gt;".",d_Irr!AJ9&lt;&gt;".",d_Irr!BI9&lt;&gt;"."),d_dir!L9/((1/1000)*(d_Irr!K9+d_Irr!AJ9+d_Irr!BI9)),IF(AND(d_Irr!K9&lt;&gt;".",d_Irr!AJ9&lt;&gt;".",d_Irr!BI9="."),d_dir!L9/((1/1000)*(d_Irr!K9+d_Irr!AJ9)),IF(AND(d_Irr!K9&lt;&gt;".",d_Irr!AJ9=".",d_Irr!BI9&lt;&gt;"."),d_dir!L9/((1/1000)*(d_Irr!K9+d_Irr!BI9)),IF(AND(d_Irr!K9=".",d_Irr!AJ9&lt;&gt;".",d_Irr!BI9&lt;&gt;"."),d_dir!L9/((1/1000)*(d_Irr!AJ9+d_Irr!BI9)),IF(AND(d_Irr!K9=".",d_Irr!AJ9=".",d_Irr!BI9&lt;&gt;"."),d_dir!L9/((1/1000)*(d_Irr!BI9)),IF(AND(d_Irr!K9=".",d_Irr!AJ9&lt;&gt;".",d_Irr!BI9="."),d_dir!L9/((1/1000)*(d_Irr!AJ9)),IF(AND(d_Irr!K9&lt;&gt;".",d_Irr!AJ9=".",d_Irr!BI9="."),d_dir!L9/((1/1000)*(d_Irr!K9)),IF(AND(d_Irr!K9=".",d_Irr!AJ9=".",d_Irr!BI9="."),d_dir!L9*1000)))))))),".")</f>
        <v>1110.1922680325961</v>
      </c>
      <c r="M9" s="76">
        <f>IFERROR(IF(AND(d_Irr!L9&lt;&gt;".",d_Irr!AK9&lt;&gt;".",d_Irr!BJ9&lt;&gt;"."),d_dir!M9/((1/1000)*(d_Irr!L9+d_Irr!AK9+d_Irr!BJ9)),IF(AND(d_Irr!L9&lt;&gt;".",d_Irr!AK9&lt;&gt;".",d_Irr!BJ9="."),d_dir!M9/((1/1000)*(d_Irr!L9+d_Irr!AK9)),IF(AND(d_Irr!L9&lt;&gt;".",d_Irr!AK9=".",d_Irr!BJ9&lt;&gt;"."),d_dir!M9/((1/1000)*(d_Irr!L9+d_Irr!BJ9)),IF(AND(d_Irr!L9=".",d_Irr!AK9&lt;&gt;".",d_Irr!BJ9&lt;&gt;"."),d_dir!M9/((1/1000)*(d_Irr!AK9+d_Irr!BJ9)),IF(AND(d_Irr!L9=".",d_Irr!AK9=".",d_Irr!BJ9&lt;&gt;"."),d_dir!M9/((1/1000)*(d_Irr!BJ9)),IF(AND(d_Irr!L9=".",d_Irr!AK9&lt;&gt;".",d_Irr!BJ9="."),d_dir!M9/((1/1000)*(d_Irr!AK9)),IF(AND(d_Irr!L9&lt;&gt;".",d_Irr!AK9=".",d_Irr!BJ9="."),d_dir!M9/((1/1000)*(d_Irr!L9)),IF(AND(d_Irr!L9=".",d_Irr!AK9=".",d_Irr!BJ9="."),d_dir!M9*1000)))))))),".")</f>
        <v>832.11691784405491</v>
      </c>
      <c r="N9" s="76">
        <f>IFERROR(IF(AND(d_Irr!M9&lt;&gt;".",d_Irr!AL9&lt;&gt;".",d_Irr!BK9&lt;&gt;"."),d_dir!N9/((1/1000)*(d_Irr!M9+d_Irr!AL9+d_Irr!BK9)),IF(AND(d_Irr!M9&lt;&gt;".",d_Irr!AL9&lt;&gt;".",d_Irr!BK9="."),d_dir!N9/((1/1000)*(d_Irr!M9+d_Irr!AL9)),IF(AND(d_Irr!M9&lt;&gt;".",d_Irr!AL9=".",d_Irr!BK9&lt;&gt;"."),d_dir!N9/((1/1000)*(d_Irr!M9+d_Irr!BK9)),IF(AND(d_Irr!M9=".",d_Irr!AL9&lt;&gt;".",d_Irr!BK9&lt;&gt;"."),d_dir!N9/((1/1000)*(d_Irr!AL9+d_Irr!BK9)),IF(AND(d_Irr!M9=".",d_Irr!AL9=".",d_Irr!BK9&lt;&gt;"."),d_dir!N9/((1/1000)*(d_Irr!BK9)),IF(AND(d_Irr!M9=".",d_Irr!AL9&lt;&gt;".",d_Irr!BK9="."),d_dir!N9/((1/1000)*(d_Irr!AL9)),IF(AND(d_Irr!M9&lt;&gt;".",d_Irr!AL9=".",d_Irr!BK9="."),d_dir!N9/((1/1000)*(d_Irr!M9)),IF(AND(d_Irr!M9=".",d_Irr!AL9=".",d_Irr!BK9="."),d_dir!N9*1000)))))))),".")</f>
        <v>1854.1253522294005</v>
      </c>
      <c r="O9" s="76">
        <f>IFERROR(IF(AND(d_Irr!N9&lt;&gt;".",d_Irr!AM9&lt;&gt;".",d_Irr!BL9&lt;&gt;"."),d_dir!O9/((1/1000)*(d_Irr!N9+d_Irr!AM9+d_Irr!BL9)),IF(AND(d_Irr!N9&lt;&gt;".",d_Irr!AM9&lt;&gt;".",d_Irr!BL9="."),d_dir!O9/((1/1000)*(d_Irr!N9+d_Irr!AM9)),IF(AND(d_Irr!N9&lt;&gt;".",d_Irr!AM9=".",d_Irr!BL9&lt;&gt;"."),d_dir!O9/((1/1000)*(d_Irr!N9+d_Irr!BL9)),IF(AND(d_Irr!N9=".",d_Irr!AM9&lt;&gt;".",d_Irr!BL9&lt;&gt;"."),d_dir!O9/((1/1000)*(d_Irr!AM9+d_Irr!BL9)),IF(AND(d_Irr!N9=".",d_Irr!AM9=".",d_Irr!BL9&lt;&gt;"."),d_dir!O9/((1/1000)*(d_Irr!BL9)),IF(AND(d_Irr!N9=".",d_Irr!AM9&lt;&gt;".",d_Irr!BL9="."),d_dir!O9/((1/1000)*(d_Irr!AM9)),IF(AND(d_Irr!N9&lt;&gt;".",d_Irr!AM9=".",d_Irr!BL9="."),d_dir!O9/((1/1000)*(d_Irr!N9)),IF(AND(d_Irr!N9=".",d_Irr!AM9=".",d_Irr!BL9="."),d_dir!O9*1000)))))))),".")</f>
        <v>1808.0240134788555</v>
      </c>
      <c r="P9" s="76">
        <f>IFERROR(IF(AND(d_Irr!O9&lt;&gt;".",d_Irr!AN9&lt;&gt;".",d_Irr!BM9&lt;&gt;"."),d_dir!P9/((1/1000)*(d_Irr!O9+d_Irr!AN9+d_Irr!BM9)),IF(AND(d_Irr!O9&lt;&gt;".",d_Irr!AN9&lt;&gt;".",d_Irr!BM9="."),d_dir!P9/((1/1000)*(d_Irr!O9+d_Irr!AN9)),IF(AND(d_Irr!O9&lt;&gt;".",d_Irr!AN9=".",d_Irr!BM9&lt;&gt;"."),d_dir!P9/((1/1000)*(d_Irr!O9+d_Irr!BM9)),IF(AND(d_Irr!O9=".",d_Irr!AN9&lt;&gt;".",d_Irr!BM9&lt;&gt;"."),d_dir!P9/((1/1000)*(d_Irr!AN9+d_Irr!BM9)),IF(AND(d_Irr!O9=".",d_Irr!AN9=".",d_Irr!BM9&lt;&gt;"."),d_dir!P9/((1/1000)*(d_Irr!BM9)),IF(AND(d_Irr!O9=".",d_Irr!AN9&lt;&gt;".",d_Irr!BM9="."),d_dir!P9/((1/1000)*(d_Irr!AN9)),IF(AND(d_Irr!O9&lt;&gt;".",d_Irr!AN9=".",d_Irr!BM9="."),d_dir!P9/((1/1000)*(d_Irr!O9)),IF(AND(d_Irr!O9=".",d_Irr!AN9=".",d_Irr!BM9="."),d_dir!P9*1000)))))))),".")</f>
        <v>2245.1688080284562</v>
      </c>
      <c r="Q9" s="76">
        <f>IFERROR(IF(AND(d_Irr!P9&lt;&gt;".",d_Irr!AO9&lt;&gt;".",d_Irr!BN9&lt;&gt;"."),d_dir!Q9/((1/1000)*(d_Irr!P9+d_Irr!AO9+d_Irr!BN9)),IF(AND(d_Irr!P9&lt;&gt;".",d_Irr!AO9&lt;&gt;".",d_Irr!BN9="."),d_dir!Q9/((1/1000)*(d_Irr!P9+d_Irr!AO9)),IF(AND(d_Irr!P9&lt;&gt;".",d_Irr!AO9=".",d_Irr!BN9&lt;&gt;"."),d_dir!Q9/((1/1000)*(d_Irr!P9+d_Irr!BN9)),IF(AND(d_Irr!P9=".",d_Irr!AO9&lt;&gt;".",d_Irr!BN9&lt;&gt;"."),d_dir!Q9/((1/1000)*(d_Irr!AO9+d_Irr!BN9)),IF(AND(d_Irr!P9=".",d_Irr!AO9=".",d_Irr!BN9&lt;&gt;"."),d_dir!Q9/((1/1000)*(d_Irr!BN9)),IF(AND(d_Irr!P9=".",d_Irr!AO9&lt;&gt;".",d_Irr!BN9="."),d_dir!Q9/((1/1000)*(d_Irr!AO9)),IF(AND(d_Irr!P9&lt;&gt;".",d_Irr!AO9=".",d_Irr!BN9="."),d_dir!Q9/((1/1000)*(d_Irr!P9)),IF(AND(d_Irr!P9=".",d_Irr!AO9=".",d_Irr!BN9="."),d_dir!Q9*1000)))))))),".")</f>
        <v>3204.9089245671871</v>
      </c>
      <c r="R9" s="76">
        <f>IFERROR(IF(AND(d_Irr!Q9&lt;&gt;".",d_Irr!AP9&lt;&gt;".",d_Irr!BO9&lt;&gt;"."),d_dir!R9/((1/1000)*(d_Irr!Q9+d_Irr!AP9+d_Irr!BO9)),IF(AND(d_Irr!Q9&lt;&gt;".",d_Irr!AP9&lt;&gt;".",d_Irr!BO9="."),d_dir!R9/((1/1000)*(d_Irr!Q9+d_Irr!AP9)),IF(AND(d_Irr!Q9&lt;&gt;".",d_Irr!AP9=".",d_Irr!BO9&lt;&gt;"."),d_dir!R9/((1/1000)*(d_Irr!Q9+d_Irr!BO9)),IF(AND(d_Irr!Q9=".",d_Irr!AP9&lt;&gt;".",d_Irr!BO9&lt;&gt;"."),d_dir!R9/((1/1000)*(d_Irr!AP9+d_Irr!BO9)),IF(AND(d_Irr!Q9=".",d_Irr!AP9=".",d_Irr!BO9&lt;&gt;"."),d_dir!R9/((1/1000)*(d_Irr!BO9)),IF(AND(d_Irr!Q9=".",d_Irr!AP9&lt;&gt;".",d_Irr!BO9="."),d_dir!R9/((1/1000)*(d_Irr!AP9)),IF(AND(d_Irr!Q9&lt;&gt;".",d_Irr!AP9=".",d_Irr!BO9="."),d_dir!R9/((1/1000)*(d_Irr!Q9)),IF(AND(d_Irr!Q9=".",d_Irr!AP9=".",d_Irr!BO9="."),d_dir!R9*1000)))))))),".")</f>
        <v>501.20104587952312</v>
      </c>
      <c r="S9" s="76">
        <f>IFERROR(IF(AND(d_Irr!R9&lt;&gt;".",d_Irr!AQ9&lt;&gt;".",d_Irr!BP9&lt;&gt;"."),d_dir!S9/((1/1000)*(d_Irr!R9+d_Irr!AQ9+d_Irr!BP9)),IF(AND(d_Irr!R9&lt;&gt;".",d_Irr!AQ9&lt;&gt;".",d_Irr!BP9="."),d_dir!S9/((1/1000)*(d_Irr!R9+d_Irr!AQ9)),IF(AND(d_Irr!R9&lt;&gt;".",d_Irr!AQ9=".",d_Irr!BP9&lt;&gt;"."),d_dir!S9/((1/1000)*(d_Irr!R9+d_Irr!BP9)),IF(AND(d_Irr!R9=".",d_Irr!AQ9&lt;&gt;".",d_Irr!BP9&lt;&gt;"."),d_dir!S9/((1/1000)*(d_Irr!AQ9+d_Irr!BP9)),IF(AND(d_Irr!R9=".",d_Irr!AQ9=".",d_Irr!BP9&lt;&gt;"."),d_dir!S9/((1/1000)*(d_Irr!BP9)),IF(AND(d_Irr!R9=".",d_Irr!AQ9&lt;&gt;".",d_Irr!BP9="."),d_dir!S9/((1/1000)*(d_Irr!AQ9)),IF(AND(d_Irr!R9&lt;&gt;".",d_Irr!AQ9=".",d_Irr!BP9="."),d_dir!S9/((1/1000)*(d_Irr!R9)),IF(AND(d_Irr!R9=".",d_Irr!AQ9=".",d_Irr!BP9="."),d_dir!S9*1000)))))))),".")</f>
        <v>1022.4215247796119</v>
      </c>
      <c r="T9" s="76">
        <f>IFERROR(IF(AND(d_Irr!S9&lt;&gt;".",d_Irr!AR9&lt;&gt;".",d_Irr!BQ9&lt;&gt;"."),d_dir!T9/((1/1000)*(d_Irr!S9+d_Irr!AR9+d_Irr!BQ9)),IF(AND(d_Irr!S9&lt;&gt;".",d_Irr!AR9&lt;&gt;".",d_Irr!BQ9="."),d_dir!T9/((1/1000)*(d_Irr!S9+d_Irr!AR9)),IF(AND(d_Irr!S9&lt;&gt;".",d_Irr!AR9=".",d_Irr!BQ9&lt;&gt;"."),d_dir!T9/((1/1000)*(d_Irr!S9+d_Irr!BQ9)),IF(AND(d_Irr!S9=".",d_Irr!AR9&lt;&gt;".",d_Irr!BQ9&lt;&gt;"."),d_dir!T9/((1/1000)*(d_Irr!AR9+d_Irr!BQ9)),IF(AND(d_Irr!S9=".",d_Irr!AR9=".",d_Irr!BQ9&lt;&gt;"."),d_dir!T9/((1/1000)*(d_Irr!BQ9)),IF(AND(d_Irr!S9=".",d_Irr!AR9&lt;&gt;".",d_Irr!BQ9="."),d_dir!T9/((1/1000)*(d_Irr!AR9)),IF(AND(d_Irr!S9&lt;&gt;".",d_Irr!AR9=".",d_Irr!BQ9="."),d_dir!T9/((1/1000)*(d_Irr!S9)),IF(AND(d_Irr!S9=".",d_Irr!AR9=".",d_Irr!BQ9="."),d_dir!T9*1000)))))))),".")</f>
        <v>1784.3067618637872</v>
      </c>
      <c r="U9" s="76">
        <f>IFERROR(IF(AND(d_Irr!T9&lt;&gt;".",d_Irr!AS9&lt;&gt;".",d_Irr!BR9&lt;&gt;"."),d_dir!U9/((1/1000)*(d_Irr!T9+d_Irr!AS9+d_Irr!BR9)),IF(AND(d_Irr!T9&lt;&gt;".",d_Irr!AS9&lt;&gt;".",d_Irr!BR9="."),d_dir!U9/((1/1000)*(d_Irr!T9+d_Irr!AS9)),IF(AND(d_Irr!T9&lt;&gt;".",d_Irr!AS9=".",d_Irr!BR9&lt;&gt;"."),d_dir!U9/((1/1000)*(d_Irr!T9+d_Irr!BR9)),IF(AND(d_Irr!T9=".",d_Irr!AS9&lt;&gt;".",d_Irr!BR9&lt;&gt;"."),d_dir!U9/((1/1000)*(d_Irr!AS9+d_Irr!BR9)),IF(AND(d_Irr!T9=".",d_Irr!AS9=".",d_Irr!BR9&lt;&gt;"."),d_dir!U9/((1/1000)*(d_Irr!BR9)),IF(AND(d_Irr!T9=".",d_Irr!AS9&lt;&gt;".",d_Irr!BR9="."),d_dir!U9/((1/1000)*(d_Irr!AS9)),IF(AND(d_Irr!T9&lt;&gt;".",d_Irr!AS9=".",d_Irr!BR9="."),d_dir!U9/((1/1000)*(d_Irr!T9)),IF(AND(d_Irr!T9=".",d_Irr!AS9=".",d_Irr!BR9="."),d_dir!U9*1000)))))))),".")</f>
        <v>3536.298359855989</v>
      </c>
      <c r="V9" s="76">
        <f>IFERROR(IF(AND(d_Irr!U9&lt;&gt;".",d_Irr!AT9&lt;&gt;".",d_Irr!BS9&lt;&gt;"."),d_dir!V9/((1/1000)*(d_Irr!U9+d_Irr!AT9+d_Irr!BS9)),IF(AND(d_Irr!U9&lt;&gt;".",d_Irr!AT9&lt;&gt;".",d_Irr!BS9="."),d_dir!V9/((1/1000)*(d_Irr!U9+d_Irr!AT9)),IF(AND(d_Irr!U9&lt;&gt;".",d_Irr!AT9=".",d_Irr!BS9&lt;&gt;"."),d_dir!V9/((1/1000)*(d_Irr!U9+d_Irr!BS9)),IF(AND(d_Irr!U9=".",d_Irr!AT9&lt;&gt;".",d_Irr!BS9&lt;&gt;"."),d_dir!V9/((1/1000)*(d_Irr!AT9+d_Irr!BS9)),IF(AND(d_Irr!U9=".",d_Irr!AT9=".",d_Irr!BS9&lt;&gt;"."),d_dir!V9/((1/1000)*(d_Irr!BS9)),IF(AND(d_Irr!U9=".",d_Irr!AT9&lt;&gt;".",d_Irr!BS9="."),d_dir!V9/((1/1000)*(d_Irr!AT9)),IF(AND(d_Irr!U9&lt;&gt;".",d_Irr!AT9=".",d_Irr!BS9="."),d_dir!V9/((1/1000)*(d_Irr!U9)),IF(AND(d_Irr!U9=".",d_Irr!AT9=".",d_Irr!BS9="."),d_dir!V9*1000)))))))),".")</f>
        <v>524.94213024652743</v>
      </c>
      <c r="W9" s="76">
        <f>IFERROR(IF(AND(d_Irr!V9&lt;&gt;".",d_Irr!AU9&lt;&gt;".",d_Irr!BT9&lt;&gt;"."),d_dir!W9/((1/1000)*(d_Irr!V9+d_Irr!AU9+d_Irr!BT9)),IF(AND(d_Irr!V9&lt;&gt;".",d_Irr!AU9&lt;&gt;".",d_Irr!BT9="."),d_dir!W9/((1/1000)*(d_Irr!V9+d_Irr!AU9)),IF(AND(d_Irr!V9&lt;&gt;".",d_Irr!AU9=".",d_Irr!BT9&lt;&gt;"."),d_dir!W9/((1/1000)*(d_Irr!V9+d_Irr!BT9)),IF(AND(d_Irr!V9=".",d_Irr!AU9&lt;&gt;".",d_Irr!BT9&lt;&gt;"."),d_dir!W9/((1/1000)*(d_Irr!AU9+d_Irr!BT9)),IF(AND(d_Irr!V9=".",d_Irr!AU9=".",d_Irr!BT9&lt;&gt;"."),d_dir!W9/((1/1000)*(d_Irr!BT9)),IF(AND(d_Irr!V9=".",d_Irr!AU9&lt;&gt;".",d_Irr!BT9="."),d_dir!W9/((1/1000)*(d_Irr!AU9)),IF(AND(d_Irr!V9&lt;&gt;".",d_Irr!AU9=".",d_Irr!BT9="."),d_dir!W9/((1/1000)*(d_Irr!V9)),IF(AND(d_Irr!V9=".",d_Irr!AU9=".",d_Irr!BT9="."),d_dir!W9*1000)))))))),".")</f>
        <v>1067.7445278211007</v>
      </c>
      <c r="X9" s="76">
        <f>IFERROR(IF(AND(d_Irr!W9&lt;&gt;".",d_Irr!AV9&lt;&gt;".",d_Irr!BU9&lt;&gt;"."),d_dir!X9/((1/1000)*(d_Irr!W9+d_Irr!AV9+d_Irr!BU9)),IF(AND(d_Irr!W9&lt;&gt;".",d_Irr!AV9&lt;&gt;".",d_Irr!BU9="."),d_dir!X9/((1/1000)*(d_Irr!W9+d_Irr!AV9)),IF(AND(d_Irr!W9&lt;&gt;".",d_Irr!AV9=".",d_Irr!BU9&lt;&gt;"."),d_dir!X9/((1/1000)*(d_Irr!W9+d_Irr!BU9)),IF(AND(d_Irr!W9=".",d_Irr!AV9&lt;&gt;".",d_Irr!BU9&lt;&gt;"."),d_dir!X9/((1/1000)*(d_Irr!AV9+d_Irr!BU9)),IF(AND(d_Irr!W9=".",d_Irr!AV9=".",d_Irr!BU9&lt;&gt;"."),d_dir!X9/((1/1000)*(d_Irr!BU9)),IF(AND(d_Irr!W9=".",d_Irr!AV9&lt;&gt;".",d_Irr!BU9="."),d_dir!X9/((1/1000)*(d_Irr!AV9)),IF(AND(d_Irr!W9&lt;&gt;".",d_Irr!AV9=".",d_Irr!BU9="."),d_dir!X9/((1/1000)*(d_Irr!W9)),IF(AND(d_Irr!W9=".",d_Irr!AV9=".",d_Irr!BU9="."),d_dir!X9*1000)))))))),".")</f>
        <v>1168.9016607584954</v>
      </c>
      <c r="Y9" s="76">
        <f>IFERROR(IF(AND(d_Irr!X9&lt;&gt;".",d_Irr!AW9&lt;&gt;".",d_Irr!BV9&lt;&gt;"."),d_dir!Y9/((1/1000)*(d_Irr!X9+d_Irr!AW9+d_Irr!BV9)),IF(AND(d_Irr!X9&lt;&gt;".",d_Irr!AW9&lt;&gt;".",d_Irr!BV9="."),d_dir!Y9/((1/1000)*(d_Irr!X9+d_Irr!AW9)),IF(AND(d_Irr!X9&lt;&gt;".",d_Irr!AW9=".",d_Irr!BV9&lt;&gt;"."),d_dir!Y9/((1/1000)*(d_Irr!X9+d_Irr!BV9)),IF(AND(d_Irr!X9=".",d_Irr!AW9&lt;&gt;".",d_Irr!BV9&lt;&gt;"."),d_dir!Y9/((1/1000)*(d_Irr!AW9+d_Irr!BV9)),IF(AND(d_Irr!X9=".",d_Irr!AW9=".",d_Irr!BV9&lt;&gt;"."),d_dir!Y9/((1/1000)*(d_Irr!BV9)),IF(AND(d_Irr!X9=".",d_Irr!AW9&lt;&gt;".",d_Irr!BV9="."),d_dir!Y9/((1/1000)*(d_Irr!AW9)),IF(AND(d_Irr!X9&lt;&gt;".",d_Irr!AW9=".",d_Irr!BV9="."),d_dir!Y9/((1/1000)*(d_Irr!X9)),IF(AND(d_Irr!X9=".",d_Irr!AW9=".",d_Irr!BV9="."),d_dir!Y9*1000)))))))),".")</f>
        <v>1526.8067103931483</v>
      </c>
      <c r="Z9" s="76">
        <f>IFERROR(IF(AND(d_Irr!Y9&lt;&gt;".",d_Irr!AX9&lt;&gt;".",d_Irr!BW9&lt;&gt;"."),d_dir!Z9/((1/1000)*(d_Irr!Y9+d_Irr!AX9+d_Irr!BW9)),IF(AND(d_Irr!Y9&lt;&gt;".",d_Irr!AX9&lt;&gt;".",d_Irr!BW9="."),d_dir!Z9/((1/1000)*(d_Irr!Y9+d_Irr!AX9)),IF(AND(d_Irr!Y9&lt;&gt;".",d_Irr!AX9=".",d_Irr!BW9&lt;&gt;"."),d_dir!Z9/((1/1000)*(d_Irr!Y9+d_Irr!BW9)),IF(AND(d_Irr!Y9=".",d_Irr!AX9&lt;&gt;".",d_Irr!BW9&lt;&gt;"."),d_dir!Z9/((1/1000)*(d_Irr!AX9+d_Irr!BW9)),IF(AND(d_Irr!Y9=".",d_Irr!AX9=".",d_Irr!BW9&lt;&gt;"."),d_dir!Z9/((1/1000)*(d_Irr!BW9)),IF(AND(d_Irr!Y9=".",d_Irr!AX9&lt;&gt;".",d_Irr!BW9="."),d_dir!Z9/((1/1000)*(d_Irr!AX9)),IF(AND(d_Irr!Y9&lt;&gt;".",d_Irr!AX9=".",d_Irr!BW9="."),d_dir!Z9/((1/1000)*(d_Irr!Y9)),IF(AND(d_Irr!Y9=".",d_Irr!AX9=".",d_Irr!BW9="."),d_dir!Z9*1000)))))))),".")</f>
        <v>813.70311767651697</v>
      </c>
      <c r="AA9" s="76">
        <f>IFERROR(IF(AND(d_Irr!Z9&lt;&gt;".",d_Irr!AY9&lt;&gt;".",d_Irr!BX9&lt;&gt;"."),d_dir!AA9/((1/1000)*(d_Irr!Z9+d_Irr!AY9+d_Irr!BX9)),IF(AND(d_Irr!Z9&lt;&gt;".",d_Irr!AY9&lt;&gt;".",d_Irr!BX9="."),d_dir!AA9/((1/1000)*(d_Irr!Z9+d_Irr!AY9)),IF(AND(d_Irr!Z9&lt;&gt;".",d_Irr!AY9=".",d_Irr!BX9&lt;&gt;"."),d_dir!AA9/((1/1000)*(d_Irr!Z9+d_Irr!BX9)),IF(AND(d_Irr!Z9=".",d_Irr!AY9&lt;&gt;".",d_Irr!BX9&lt;&gt;"."),d_dir!AA9/((1/1000)*(d_Irr!AY9+d_Irr!BX9)),IF(AND(d_Irr!Z9=".",d_Irr!AY9=".",d_Irr!BX9&lt;&gt;"."),d_dir!AA9/((1/1000)*(d_Irr!BX9)),IF(AND(d_Irr!Z9=".",d_Irr!AY9&lt;&gt;".",d_Irr!BX9="."),d_dir!AA9/((1/1000)*(d_Irr!AY9)),IF(AND(d_Irr!Z9&lt;&gt;".",d_Irr!AY9=".",d_Irr!BX9="."),d_dir!AA9/((1/1000)*(d_Irr!Z9)),IF(AND(d_Irr!Z9=".",d_Irr!AY9=".",d_Irr!BX9="."),d_dir!AA9*1000)))))))),".")</f>
        <v>353.8825352131372</v>
      </c>
      <c r="AB9" s="76">
        <f>IFERROR(IF(AND(d_Irr!AA9&lt;&gt;".",d_Irr!AZ9&lt;&gt;".",d_Irr!BY9&lt;&gt;"."),d_dir!AB9/((1/1000)*(d_Irr!AA9+d_Irr!AZ9+d_Irr!BY9)),IF(AND(d_Irr!AA9&lt;&gt;".",d_Irr!AZ9&lt;&gt;".",d_Irr!BY9="."),d_dir!AB9/((1/1000)*(d_Irr!AA9+d_Irr!AZ9)),IF(AND(d_Irr!AA9&lt;&gt;".",d_Irr!AZ9=".",d_Irr!BY9&lt;&gt;"."),d_dir!AB9/((1/1000)*(d_Irr!AA9+d_Irr!BY9)),IF(AND(d_Irr!AA9=".",d_Irr!AZ9&lt;&gt;".",d_Irr!BY9&lt;&gt;"."),d_dir!AB9/((1/1000)*(d_Irr!AZ9+d_Irr!BY9)),IF(AND(d_Irr!AA9=".",d_Irr!AZ9=".",d_Irr!BY9&lt;&gt;"."),d_dir!AB9/((1/1000)*(d_Irr!BY9)),IF(AND(d_Irr!AA9=".",d_Irr!AZ9&lt;&gt;".",d_Irr!BY9="."),d_dir!AB9/((1/1000)*(d_Irr!AZ9)),IF(AND(d_Irr!AA9&lt;&gt;".",d_Irr!AZ9=".",d_Irr!BY9="."),d_dir!AB9/((1/1000)*(d_Irr!AA9)),IF(AND(d_Irr!AA9=".",d_Irr!AZ9=".",d_Irr!BY9="."),d_dir!AB9*1000)))))))),".")</f>
        <v>405.84045309322522</v>
      </c>
      <c r="AC9" s="76">
        <f t="shared" si="0"/>
        <v>26.252282893524896</v>
      </c>
      <c r="AD9" s="76">
        <f>IFERROR(IF(AND(d_Irr!C9&lt;&gt;".",d_Irr!AB9&lt;&gt;".",d_Irr!BA9&lt;&gt;"."),d_dir!AD9/((1/1000)*(d_Irr!C9+d_Irr!AB9+d_Irr!BA9)),IF(AND(d_Irr!C9&lt;&gt;".",d_Irr!AB9&lt;&gt;".",d_Irr!BA9="."),d_dir!AD9/((1/1000)*(d_Irr!C9+d_Irr!AB9)),IF(AND(d_Irr!C9&lt;&gt;".",d_Irr!AB9=".",d_Irr!BA9&lt;&gt;"."),d_dir!AD9/((1/1000)*(d_Irr!C9+d_Irr!BA9)),IF(AND(d_Irr!C9=".",d_Irr!AB9&lt;&gt;".",d_Irr!BA9&lt;&gt;"."),d_dir!AD9/((1/1000)*(d_Irr!AB9+d_Irr!BA9)),IF(AND(d_Irr!C9=".",d_Irr!AB9=".",d_Irr!BA9&lt;&gt;"."),d_dir!AD9/((1/1000)*(d_Irr!BA9)),IF(AND(d_Irr!C9=".",d_Irr!AB9&lt;&gt;".",d_Irr!BA9="."),d_dir!AD9/((1/1000)*(d_Irr!AB9)),IF(AND(d_Irr!C9&lt;&gt;".",d_Irr!AB9=".",d_Irr!BA9="."),d_dir!AD9/((1/1000)*(d_Irr!C9)),IF(AND(d_Irr!C9=".",d_Irr!AB9=".",d_Irr!BA9="."),d_dir!AD9*1000)))))))),".")</f>
        <v>441.23203874610459</v>
      </c>
      <c r="AE9" s="76">
        <f>IFERROR(IF(AND(d_Irr!D9&lt;&gt;".",d_Irr!AC9&lt;&gt;".",d_Irr!BB9&lt;&gt;"."),d_dir!AE9/((1/1000)*(d_Irr!D9+d_Irr!AC9+d_Irr!BB9)),IF(AND(d_Irr!D9&lt;&gt;".",d_Irr!AC9&lt;&gt;".",d_Irr!BB9="."),d_dir!AE9/((1/1000)*(d_Irr!D9+d_Irr!AC9)),IF(AND(d_Irr!D9&lt;&gt;".",d_Irr!AC9=".",d_Irr!BB9&lt;&gt;"."),d_dir!AE9/((1/1000)*(d_Irr!D9+d_Irr!BB9)),IF(AND(d_Irr!D9=".",d_Irr!AC9&lt;&gt;".",d_Irr!BB9&lt;&gt;"."),d_dir!AE9/((1/1000)*(d_Irr!AC9+d_Irr!BB9)),IF(AND(d_Irr!D9=".",d_Irr!AC9=".",d_Irr!BB9&lt;&gt;"."),d_dir!AE9/((1/1000)*(d_Irr!BB9)),IF(AND(d_Irr!D9=".",d_Irr!AC9&lt;&gt;".",d_Irr!BB9="."),d_dir!AE9/((1/1000)*(d_Irr!AC9)),IF(AND(d_Irr!D9&lt;&gt;".",d_Irr!AC9=".",d_Irr!BB9="."),d_dir!AE9/((1/1000)*(d_Irr!D9)),IF(AND(d_Irr!D9=".",d_Irr!AC9=".",d_Irr!BB9="."),d_dir!AE9*1000)))))))),".")</f>
        <v>1039.6553816341968</v>
      </c>
      <c r="AF9" s="76">
        <f>IFERROR(IF(AND(d_Irr!E9&lt;&gt;".",d_Irr!AD9&lt;&gt;".",d_Irr!BC9&lt;&gt;"."),d_dir!AF9/((1/1000)*(d_Irr!E9+d_Irr!AD9+d_Irr!BC9)),IF(AND(d_Irr!E9&lt;&gt;".",d_Irr!AD9&lt;&gt;".",d_Irr!BC9="."),d_dir!AF9/((1/1000)*(d_Irr!E9+d_Irr!AD9)),IF(AND(d_Irr!E9&lt;&gt;".",d_Irr!AD9=".",d_Irr!BC9&lt;&gt;"."),d_dir!AF9/((1/1000)*(d_Irr!E9+d_Irr!BC9)),IF(AND(d_Irr!E9=".",d_Irr!AD9&lt;&gt;".",d_Irr!BC9&lt;&gt;"."),d_dir!AF9/((1/1000)*(d_Irr!AD9+d_Irr!BC9)),IF(AND(d_Irr!E9=".",d_Irr!AD9=".",d_Irr!BC9&lt;&gt;"."),d_dir!AF9/((1/1000)*(d_Irr!BC9)),IF(AND(d_Irr!E9=".",d_Irr!AD9&lt;&gt;".",d_Irr!BC9="."),d_dir!AF9/((1/1000)*(d_Irr!AD9)),IF(AND(d_Irr!E9&lt;&gt;".",d_Irr!AD9=".",d_Irr!BC9="."),d_dir!AF9/((1/1000)*(d_Irr!E9)),IF(AND(d_Irr!E9=".",d_Irr!AD9=".",d_Irr!BC9="."),d_dir!AF9*1000)))))))),".")</f>
        <v>1236.9458537648288</v>
      </c>
      <c r="AG9" s="76">
        <f>IFERROR(IF(AND(d_Irr!F9&lt;&gt;".",d_Irr!AE9&lt;&gt;".",d_Irr!BD9&lt;&gt;"."),d_dir!AG9/((1/1000)*(d_Irr!F9+d_Irr!AE9+d_Irr!BD9)),IF(AND(d_Irr!F9&lt;&gt;".",d_Irr!AE9&lt;&gt;".",d_Irr!BD9="."),d_dir!AG9/((1/1000)*(d_Irr!F9+d_Irr!AE9)),IF(AND(d_Irr!F9&lt;&gt;".",d_Irr!AE9=".",d_Irr!BD9&lt;&gt;"."),d_dir!AG9/((1/1000)*(d_Irr!F9+d_Irr!BD9)),IF(AND(d_Irr!F9=".",d_Irr!AE9&lt;&gt;".",d_Irr!BD9&lt;&gt;"."),d_dir!AG9/((1/1000)*(d_Irr!AE9+d_Irr!BD9)),IF(AND(d_Irr!F9=".",d_Irr!AE9=".",d_Irr!BD9&lt;&gt;"."),d_dir!AG9/((1/1000)*(d_Irr!BD9)),IF(AND(d_Irr!F9=".",d_Irr!AE9&lt;&gt;".",d_Irr!BD9="."),d_dir!AG9/((1/1000)*(d_Irr!AE9)),IF(AND(d_Irr!F9&lt;&gt;".",d_Irr!AE9=".",d_Irr!BD9="."),d_dir!AG9/((1/1000)*(d_Irr!F9)),IF(AND(d_Irr!F9=".",d_Irr!AE9=".",d_Irr!BD9="."),d_dir!AG9*1000)))))))),".")</f>
        <v>1111.0695046702906</v>
      </c>
      <c r="AH9" s="76">
        <f>IFERROR(IF(AND(d_Irr!G9&lt;&gt;".",d_Irr!AF9&lt;&gt;".",d_Irr!BE9&lt;&gt;"."),d_dir!AH9/((1/1000)*(d_Irr!G9+d_Irr!AF9+d_Irr!BE9)),IF(AND(d_Irr!G9&lt;&gt;".",d_Irr!AF9&lt;&gt;".",d_Irr!BE9="."),d_dir!AH9/((1/1000)*(d_Irr!G9+d_Irr!AF9)),IF(AND(d_Irr!G9&lt;&gt;".",d_Irr!AF9=".",d_Irr!BE9&lt;&gt;"."),d_dir!AH9/((1/1000)*(d_Irr!G9+d_Irr!BE9)),IF(AND(d_Irr!G9=".",d_Irr!AF9&lt;&gt;".",d_Irr!BE9&lt;&gt;"."),d_dir!AH9/((1/1000)*(d_Irr!AF9+d_Irr!BE9)),IF(AND(d_Irr!G9=".",d_Irr!AF9=".",d_Irr!BE9&lt;&gt;"."),d_dir!AH9/((1/1000)*(d_Irr!BE9)),IF(AND(d_Irr!G9=".",d_Irr!AF9&lt;&gt;".",d_Irr!BE9="."),d_dir!AH9/((1/1000)*(d_Irr!AF9)),IF(AND(d_Irr!G9&lt;&gt;".",d_Irr!AF9=".",d_Irr!BE9="."),d_dir!AH9/((1/1000)*(d_Irr!G9)),IF(AND(d_Irr!G9=".",d_Irr!AF9=".",d_Irr!BE9="."),d_dir!AH9*1000)))))))),".")</f>
        <v>1189.5955315718588</v>
      </c>
      <c r="AI9" s="76">
        <f>IFERROR(IF(AND(d_Irr!H9&lt;&gt;".",d_Irr!AG9&lt;&gt;".",d_Irr!BF9&lt;&gt;"."),d_dir!AI9/((1/1000)*(d_Irr!H9+d_Irr!AG9+d_Irr!BF9)),IF(AND(d_Irr!H9&lt;&gt;".",d_Irr!AG9&lt;&gt;".",d_Irr!BF9="."),d_dir!AI9/((1/1000)*(d_Irr!H9+d_Irr!AG9)),IF(AND(d_Irr!H9&lt;&gt;".",d_Irr!AG9=".",d_Irr!BF9&lt;&gt;"."),d_dir!AI9/((1/1000)*(d_Irr!H9+d_Irr!BF9)),IF(AND(d_Irr!H9=".",d_Irr!AG9&lt;&gt;".",d_Irr!BF9&lt;&gt;"."),d_dir!AI9/((1/1000)*(d_Irr!AG9+d_Irr!BF9)),IF(AND(d_Irr!H9=".",d_Irr!AG9=".",d_Irr!BF9&lt;&gt;"."),d_dir!AI9/((1/1000)*(d_Irr!BF9)),IF(AND(d_Irr!H9=".",d_Irr!AG9&lt;&gt;".",d_Irr!BF9="."),d_dir!AI9/((1/1000)*(d_Irr!AG9)),IF(AND(d_Irr!H9&lt;&gt;".",d_Irr!AG9=".",d_Irr!BF9="."),d_dir!AI9/((1/1000)*(d_Irr!H9)),IF(AND(d_Irr!H9=".",d_Irr!AG9=".",d_Irr!BF9="."),d_dir!AI9*1000)))))))),".")</f>
        <v>538.64411049232569</v>
      </c>
      <c r="AJ9" s="76">
        <f>IFERROR(IF(AND(d_Irr!I9&lt;&gt;".",d_Irr!AH9&lt;&gt;".",d_Irr!BG9&lt;&gt;"."),d_dir!AJ9/((1/1000)*(d_Irr!I9+d_Irr!AH9+d_Irr!BG9)),IF(AND(d_Irr!I9&lt;&gt;".",d_Irr!AH9&lt;&gt;".",d_Irr!BG9="."),d_dir!AJ9/((1/1000)*(d_Irr!I9+d_Irr!AH9)),IF(AND(d_Irr!I9&lt;&gt;".",d_Irr!AH9=".",d_Irr!BG9&lt;&gt;"."),d_dir!AJ9/((1/1000)*(d_Irr!I9+d_Irr!BG9)),IF(AND(d_Irr!I9=".",d_Irr!AH9&lt;&gt;".",d_Irr!BG9&lt;&gt;"."),d_dir!AJ9/((1/1000)*(d_Irr!AH9+d_Irr!BG9)),IF(AND(d_Irr!I9=".",d_Irr!AH9=".",d_Irr!BG9&lt;&gt;"."),d_dir!AJ9/((1/1000)*(d_Irr!BG9)),IF(AND(d_Irr!I9=".",d_Irr!AH9&lt;&gt;".",d_Irr!BG9="."),d_dir!AJ9/((1/1000)*(d_Irr!AH9)),IF(AND(d_Irr!I9&lt;&gt;".",d_Irr!AH9=".",d_Irr!BG9="."),d_dir!AJ9/((1/1000)*(d_Irr!I9)),IF(AND(d_Irr!I9=".",d_Irr!AH9=".",d_Irr!BG9="."),d_dir!AJ9*1000)))))))),".")</f>
        <v>1642.3305587905406</v>
      </c>
      <c r="AK9" s="76">
        <f>IFERROR(IF(AND(d_Irr!J9&lt;&gt;".",d_Irr!AI9&lt;&gt;".",d_Irr!BH9&lt;&gt;"."),d_dir!AK9/((1/1000)*(d_Irr!J9+d_Irr!AI9+d_Irr!BH9)),IF(AND(d_Irr!J9&lt;&gt;".",d_Irr!AI9&lt;&gt;".",d_Irr!BH9="."),d_dir!AK9/((1/1000)*(d_Irr!J9+d_Irr!AI9)),IF(AND(d_Irr!J9&lt;&gt;".",d_Irr!AI9=".",d_Irr!BH9&lt;&gt;"."),d_dir!AK9/((1/1000)*(d_Irr!J9+d_Irr!BH9)),IF(AND(d_Irr!J9=".",d_Irr!AI9&lt;&gt;".",d_Irr!BH9&lt;&gt;"."),d_dir!AK9/((1/1000)*(d_Irr!AI9+d_Irr!BH9)),IF(AND(d_Irr!J9=".",d_Irr!AI9=".",d_Irr!BH9&lt;&gt;"."),d_dir!AK9/((1/1000)*(d_Irr!BH9)),IF(AND(d_Irr!J9=".",d_Irr!AI9&lt;&gt;".",d_Irr!BH9="."),d_dir!AK9/((1/1000)*(d_Irr!AI9)),IF(AND(d_Irr!J9&lt;&gt;".",d_Irr!AI9=".",d_Irr!BH9="."),d_dir!AK9/((1/1000)*(d_Irr!J9)),IF(AND(d_Irr!J9=".",d_Irr!AI9=".",d_Irr!BH9="."),d_dir!AK9*1000)))))))),".")</f>
        <v>127.91641854338268</v>
      </c>
      <c r="AL9" s="76">
        <f>IFERROR(IF(AND(d_Irr!K9&lt;&gt;".",d_Irr!AJ9&lt;&gt;".",d_Irr!BI9&lt;&gt;"."),d_dir!AL9/((1/1000)*(d_Irr!K9+d_Irr!AJ9+d_Irr!BI9)),IF(AND(d_Irr!K9&lt;&gt;".",d_Irr!AJ9&lt;&gt;".",d_Irr!BI9="."),d_dir!AL9/((1/1000)*(d_Irr!K9+d_Irr!AJ9)),IF(AND(d_Irr!K9&lt;&gt;".",d_Irr!AJ9=".",d_Irr!BI9&lt;&gt;"."),d_dir!AL9/((1/1000)*(d_Irr!K9+d_Irr!BI9)),IF(AND(d_Irr!K9=".",d_Irr!AJ9&lt;&gt;".",d_Irr!BI9&lt;&gt;"."),d_dir!AL9/((1/1000)*(d_Irr!AJ9+d_Irr!BI9)),IF(AND(d_Irr!K9=".",d_Irr!AJ9=".",d_Irr!BI9&lt;&gt;"."),d_dir!AL9/((1/1000)*(d_Irr!BI9)),IF(AND(d_Irr!K9=".",d_Irr!AJ9&lt;&gt;".",d_Irr!BI9="."),d_dir!AL9/((1/1000)*(d_Irr!AJ9)),IF(AND(d_Irr!K9&lt;&gt;".",d_Irr!AJ9=".",d_Irr!BI9="."),d_dir!AL9/((1/1000)*(d_Irr!K9)),IF(AND(d_Irr!K9=".",d_Irr!AJ9=".",d_Irr!BI9="."),d_dir!AL9*1000)))))))),".")</f>
        <v>500.23826045668676</v>
      </c>
      <c r="AM9" s="76">
        <f>IFERROR(IF(AND(d_Irr!L9&lt;&gt;".",d_Irr!AK9&lt;&gt;".",d_Irr!BJ9&lt;&gt;"."),d_dir!AM9/((1/1000)*(d_Irr!L9+d_Irr!AK9+d_Irr!BJ9)),IF(AND(d_Irr!L9&lt;&gt;".",d_Irr!AK9&lt;&gt;".",d_Irr!BJ9="."),d_dir!AM9/((1/1000)*(d_Irr!L9+d_Irr!AK9)),IF(AND(d_Irr!L9&lt;&gt;".",d_Irr!AK9=".",d_Irr!BJ9&lt;&gt;"."),d_dir!AM9/((1/1000)*(d_Irr!L9+d_Irr!BJ9)),IF(AND(d_Irr!L9=".",d_Irr!AK9&lt;&gt;".",d_Irr!BJ9&lt;&gt;"."),d_dir!AM9/((1/1000)*(d_Irr!AK9+d_Irr!BJ9)),IF(AND(d_Irr!L9=".",d_Irr!AK9=".",d_Irr!BJ9&lt;&gt;"."),d_dir!AM9/((1/1000)*(d_Irr!BJ9)),IF(AND(d_Irr!L9=".",d_Irr!AK9&lt;&gt;".",d_Irr!BJ9="."),d_dir!AM9/((1/1000)*(d_Irr!AK9)),IF(AND(d_Irr!L9&lt;&gt;".",d_Irr!AK9=".",d_Irr!BJ9="."),d_dir!AM9/((1/1000)*(d_Irr!L9)),IF(AND(d_Irr!L9=".",d_Irr!AK9=".",d_Irr!BJ9="."),d_dir!AM9*1000)))))))),".")</f>
        <v>759.51213281123512</v>
      </c>
      <c r="AN9" s="76">
        <f>IFERROR(IF(AND(d_Irr!M9&lt;&gt;".",d_Irr!AL9&lt;&gt;".",d_Irr!BK9&lt;&gt;"."),d_dir!AN9/((1/1000)*(d_Irr!M9+d_Irr!AL9+d_Irr!BK9)),IF(AND(d_Irr!M9&lt;&gt;".",d_Irr!AL9&lt;&gt;".",d_Irr!BK9="."),d_dir!AN9/((1/1000)*(d_Irr!M9+d_Irr!AL9)),IF(AND(d_Irr!M9&lt;&gt;".",d_Irr!AL9=".",d_Irr!BK9&lt;&gt;"."),d_dir!AN9/((1/1000)*(d_Irr!M9+d_Irr!BK9)),IF(AND(d_Irr!M9=".",d_Irr!AL9&lt;&gt;".",d_Irr!BK9&lt;&gt;"."),d_dir!AN9/((1/1000)*(d_Irr!AL9+d_Irr!BK9)),IF(AND(d_Irr!M9=".",d_Irr!AL9=".",d_Irr!BK9&lt;&gt;"."),d_dir!AN9/((1/1000)*(d_Irr!BK9)),IF(AND(d_Irr!M9=".",d_Irr!AL9&lt;&gt;".",d_Irr!BK9="."),d_dir!AN9/((1/1000)*(d_Irr!AL9)),IF(AND(d_Irr!M9&lt;&gt;".",d_Irr!AL9=".",d_Irr!BK9="."),d_dir!AN9/((1/1000)*(d_Irr!M9)),IF(AND(d_Irr!M9=".",d_Irr!AL9=".",d_Irr!BK9="."),d_dir!AN9*1000)))))))),".")</f>
        <v>1102.9428841837719</v>
      </c>
      <c r="AO9" s="76">
        <f>IFERROR(IF(AND(d_Irr!N9&lt;&gt;".",d_Irr!AM9&lt;&gt;".",d_Irr!BL9&lt;&gt;"."),d_dir!AO9/((1/1000)*(d_Irr!N9+d_Irr!AM9+d_Irr!BL9)),IF(AND(d_Irr!N9&lt;&gt;".",d_Irr!AM9&lt;&gt;".",d_Irr!BL9="."),d_dir!AO9/((1/1000)*(d_Irr!N9+d_Irr!AM9)),IF(AND(d_Irr!N9&lt;&gt;".",d_Irr!AM9=".",d_Irr!BL9&lt;&gt;"."),d_dir!AO9/((1/1000)*(d_Irr!N9+d_Irr!BL9)),IF(AND(d_Irr!N9=".",d_Irr!AM9&lt;&gt;".",d_Irr!BL9&lt;&gt;"."),d_dir!AO9/((1/1000)*(d_Irr!AM9+d_Irr!BL9)),IF(AND(d_Irr!N9=".",d_Irr!AM9=".",d_Irr!BL9&lt;&gt;"."),d_dir!AO9/((1/1000)*(d_Irr!BL9)),IF(AND(d_Irr!N9=".",d_Irr!AM9&lt;&gt;".",d_Irr!BL9="."),d_dir!AO9/((1/1000)*(d_Irr!AM9)),IF(AND(d_Irr!N9&lt;&gt;".",d_Irr!AM9=".",d_Irr!BL9="."),d_dir!AO9/((1/1000)*(d_Irr!N9)),IF(AND(d_Irr!N9=".",d_Irr!AM9=".",d_Irr!BL9="."),d_dir!AO9*1000)))))))),".")</f>
        <v>1140.0431659021274</v>
      </c>
      <c r="AP9" s="76">
        <f>IFERROR(IF(AND(d_Irr!O9&lt;&gt;".",d_Irr!AN9&lt;&gt;".",d_Irr!BM9&lt;&gt;"."),d_dir!AP9/((1/1000)*(d_Irr!O9+d_Irr!AN9+d_Irr!BM9)),IF(AND(d_Irr!O9&lt;&gt;".",d_Irr!AN9&lt;&gt;".",d_Irr!BM9="."),d_dir!AP9/((1/1000)*(d_Irr!O9+d_Irr!AN9)),IF(AND(d_Irr!O9&lt;&gt;".",d_Irr!AN9=".",d_Irr!BM9&lt;&gt;"."),d_dir!AP9/((1/1000)*(d_Irr!O9+d_Irr!BM9)),IF(AND(d_Irr!O9=".",d_Irr!AN9&lt;&gt;".",d_Irr!BM9&lt;&gt;"."),d_dir!AP9/((1/1000)*(d_Irr!AN9+d_Irr!BM9)),IF(AND(d_Irr!O9=".",d_Irr!AN9=".",d_Irr!BM9&lt;&gt;"."),d_dir!AP9/((1/1000)*(d_Irr!BM9)),IF(AND(d_Irr!O9=".",d_Irr!AN9&lt;&gt;".",d_Irr!BM9="."),d_dir!AP9/((1/1000)*(d_Irr!AN9)),IF(AND(d_Irr!O9&lt;&gt;".",d_Irr!AN9=".",d_Irr!BM9="."),d_dir!AP9/((1/1000)*(d_Irr!O9)),IF(AND(d_Irr!O9=".",d_Irr!AN9=".",d_Irr!BM9="."),d_dir!AP9*1000)))))))),".")</f>
        <v>1368.5230789487211</v>
      </c>
      <c r="AQ9" s="76">
        <f>IFERROR(IF(AND(d_Irr!P9&lt;&gt;".",d_Irr!AO9&lt;&gt;".",d_Irr!BN9&lt;&gt;"."),d_dir!AQ9/((1/1000)*(d_Irr!P9+d_Irr!AO9+d_Irr!BN9)),IF(AND(d_Irr!P9&lt;&gt;".",d_Irr!AO9&lt;&gt;".",d_Irr!BN9="."),d_dir!AQ9/((1/1000)*(d_Irr!P9+d_Irr!AO9)),IF(AND(d_Irr!P9&lt;&gt;".",d_Irr!AO9=".",d_Irr!BN9&lt;&gt;"."),d_dir!AQ9/((1/1000)*(d_Irr!P9+d_Irr!BN9)),IF(AND(d_Irr!P9=".",d_Irr!AO9&lt;&gt;".",d_Irr!BN9&lt;&gt;"."),d_dir!AQ9/((1/1000)*(d_Irr!AO9+d_Irr!BN9)),IF(AND(d_Irr!P9=".",d_Irr!AO9=".",d_Irr!BN9&lt;&gt;"."),d_dir!AQ9/((1/1000)*(d_Irr!BN9)),IF(AND(d_Irr!P9=".",d_Irr!AO9&lt;&gt;".",d_Irr!BN9="."),d_dir!AQ9/((1/1000)*(d_Irr!AO9)),IF(AND(d_Irr!P9&lt;&gt;".",d_Irr!AO9=".",d_Irr!BN9="."),d_dir!AQ9/((1/1000)*(d_Irr!P9)),IF(AND(d_Irr!P9=".",d_Irr!AO9=".",d_Irr!BN9="."),d_dir!AQ9*1000)))))))),".")</f>
        <v>1532.6393480205188</v>
      </c>
      <c r="AR9" s="76">
        <f>IFERROR(IF(AND(d_Irr!Q9&lt;&gt;".",d_Irr!AP9&lt;&gt;".",d_Irr!BO9&lt;&gt;"."),d_dir!AR9/((1/1000)*(d_Irr!Q9+d_Irr!AP9+d_Irr!BO9)),IF(AND(d_Irr!Q9&lt;&gt;".",d_Irr!AP9&lt;&gt;".",d_Irr!BO9="."),d_dir!AR9/((1/1000)*(d_Irr!Q9+d_Irr!AP9)),IF(AND(d_Irr!Q9&lt;&gt;".",d_Irr!AP9=".",d_Irr!BO9&lt;&gt;"."),d_dir!AR9/((1/1000)*(d_Irr!Q9+d_Irr!BO9)),IF(AND(d_Irr!Q9=".",d_Irr!AP9&lt;&gt;".",d_Irr!BO9&lt;&gt;"."),d_dir!AR9/((1/1000)*(d_Irr!AP9+d_Irr!BO9)),IF(AND(d_Irr!Q9=".",d_Irr!AP9=".",d_Irr!BO9&lt;&gt;"."),d_dir!AR9/((1/1000)*(d_Irr!BO9)),IF(AND(d_Irr!Q9=".",d_Irr!AP9&lt;&gt;".",d_Irr!BO9="."),d_dir!AR9/((1/1000)*(d_Irr!AP9)),IF(AND(d_Irr!Q9&lt;&gt;".",d_Irr!AP9=".",d_Irr!BO9="."),d_dir!AR9/((1/1000)*(d_Irr!Q9)),IF(AND(d_Irr!Q9=".",d_Irr!AP9=".",d_Irr!BO9="."),d_dir!AR9*1000)))))))),".")</f>
        <v>364.18046981408611</v>
      </c>
      <c r="AS9" s="76">
        <f>IFERROR(IF(AND(d_Irr!R9&lt;&gt;".",d_Irr!AQ9&lt;&gt;".",d_Irr!BP9&lt;&gt;"."),d_dir!AS9/((1/1000)*(d_Irr!R9+d_Irr!AQ9+d_Irr!BP9)),IF(AND(d_Irr!R9&lt;&gt;".",d_Irr!AQ9&lt;&gt;".",d_Irr!BP9="."),d_dir!AS9/((1/1000)*(d_Irr!R9+d_Irr!AQ9)),IF(AND(d_Irr!R9&lt;&gt;".",d_Irr!AQ9=".",d_Irr!BP9&lt;&gt;"."),d_dir!AS9/((1/1000)*(d_Irr!R9+d_Irr!BP9)),IF(AND(d_Irr!R9=".",d_Irr!AQ9&lt;&gt;".",d_Irr!BP9&lt;&gt;"."),d_dir!AS9/((1/1000)*(d_Irr!AQ9+d_Irr!BP9)),IF(AND(d_Irr!R9=".",d_Irr!AQ9=".",d_Irr!BP9&lt;&gt;"."),d_dir!AS9/((1/1000)*(d_Irr!BP9)),IF(AND(d_Irr!R9=".",d_Irr!AQ9&lt;&gt;".",d_Irr!BP9="."),d_dir!AS9/((1/1000)*(d_Irr!AQ9)),IF(AND(d_Irr!R9&lt;&gt;".",d_Irr!AQ9=".",d_Irr!BP9="."),d_dir!AS9/((1/1000)*(d_Irr!R9)),IF(AND(d_Irr!R9=".",d_Irr!AQ9=".",d_Irr!BP9="."),d_dir!AS9*1000)))))))),".")</f>
        <v>593.87428378946402</v>
      </c>
      <c r="AT9" s="76">
        <f>IFERROR(IF(AND(d_Irr!S9&lt;&gt;".",d_Irr!AR9&lt;&gt;".",d_Irr!BQ9&lt;&gt;"."),d_dir!AT9/((1/1000)*(d_Irr!S9+d_Irr!AR9+d_Irr!BQ9)),IF(AND(d_Irr!S9&lt;&gt;".",d_Irr!AR9&lt;&gt;".",d_Irr!BQ9="."),d_dir!AT9/((1/1000)*(d_Irr!S9+d_Irr!AR9)),IF(AND(d_Irr!S9&lt;&gt;".",d_Irr!AR9=".",d_Irr!BQ9&lt;&gt;"."),d_dir!AT9/((1/1000)*(d_Irr!S9+d_Irr!BQ9)),IF(AND(d_Irr!S9=".",d_Irr!AR9&lt;&gt;".",d_Irr!BQ9&lt;&gt;"."),d_dir!AT9/((1/1000)*(d_Irr!AR9+d_Irr!BQ9)),IF(AND(d_Irr!S9=".",d_Irr!AR9=".",d_Irr!BQ9&lt;&gt;"."),d_dir!AT9/((1/1000)*(d_Irr!BQ9)),IF(AND(d_Irr!S9=".",d_Irr!AR9&lt;&gt;".",d_Irr!BQ9="."),d_dir!AT9/((1/1000)*(d_Irr!AR9)),IF(AND(d_Irr!S9&lt;&gt;".",d_Irr!AR9=".",d_Irr!BQ9="."),d_dir!AT9/((1/1000)*(d_Irr!S9)),IF(AND(d_Irr!S9=".",d_Irr!AR9=".",d_Irr!BQ9="."),d_dir!AT9*1000)))))))),".")</f>
        <v>1245.7943935606454</v>
      </c>
      <c r="AU9" s="76">
        <f>IFERROR(IF(AND(d_Irr!T9&lt;&gt;".",d_Irr!AS9&lt;&gt;".",d_Irr!BR9&lt;&gt;"."),d_dir!AU9/((1/1000)*(d_Irr!T9+d_Irr!AS9+d_Irr!BR9)),IF(AND(d_Irr!T9&lt;&gt;".",d_Irr!AS9&lt;&gt;".",d_Irr!BR9="."),d_dir!AU9/((1/1000)*(d_Irr!T9+d_Irr!AS9)),IF(AND(d_Irr!T9&lt;&gt;".",d_Irr!AS9=".",d_Irr!BR9&lt;&gt;"."),d_dir!AU9/((1/1000)*(d_Irr!T9+d_Irr!BR9)),IF(AND(d_Irr!T9=".",d_Irr!AS9&lt;&gt;".",d_Irr!BR9&lt;&gt;"."),d_dir!AU9/((1/1000)*(d_Irr!AS9+d_Irr!BR9)),IF(AND(d_Irr!T9=".",d_Irr!AS9=".",d_Irr!BR9&lt;&gt;"."),d_dir!AU9/((1/1000)*(d_Irr!BR9)),IF(AND(d_Irr!T9=".",d_Irr!AS9&lt;&gt;".",d_Irr!BR9="."),d_dir!AU9/((1/1000)*(d_Irr!AS9)),IF(AND(d_Irr!T9&lt;&gt;".",d_Irr!AS9=".",d_Irr!BR9="."),d_dir!AU9/((1/1000)*(d_Irr!T9)),IF(AND(d_Irr!T9=".",d_Irr!AS9=".",d_Irr!BR9="."),d_dir!AU9*1000)))))))),".")</f>
        <v>1722.3464823849356</v>
      </c>
      <c r="AV9" s="76">
        <f>IFERROR(IF(AND(d_Irr!U9&lt;&gt;".",d_Irr!AT9&lt;&gt;".",d_Irr!BS9&lt;&gt;"."),d_dir!AV9/((1/1000)*(d_Irr!U9+d_Irr!AT9+d_Irr!BS9)),IF(AND(d_Irr!U9&lt;&gt;".",d_Irr!AT9&lt;&gt;".",d_Irr!BS9="."),d_dir!AV9/((1/1000)*(d_Irr!U9+d_Irr!AT9)),IF(AND(d_Irr!U9&lt;&gt;".",d_Irr!AT9=".",d_Irr!BS9&lt;&gt;"."),d_dir!AV9/((1/1000)*(d_Irr!U9+d_Irr!BS9)),IF(AND(d_Irr!U9=".",d_Irr!AT9&lt;&gt;".",d_Irr!BS9&lt;&gt;"."),d_dir!AV9/((1/1000)*(d_Irr!AT9+d_Irr!BS9)),IF(AND(d_Irr!U9=".",d_Irr!AT9=".",d_Irr!BS9&lt;&gt;"."),d_dir!AV9/((1/1000)*(d_Irr!BS9)),IF(AND(d_Irr!U9=".",d_Irr!AT9&lt;&gt;".",d_Irr!BS9="."),d_dir!AV9/((1/1000)*(d_Irr!AT9)),IF(AND(d_Irr!U9&lt;&gt;".",d_Irr!AT9=".",d_Irr!BS9="."),d_dir!AV9/((1/1000)*(d_Irr!U9)),IF(AND(d_Irr!U9=".",d_Irr!AT9=".",d_Irr!BS9="."),d_dir!AV9*1000)))))))),".")</f>
        <v>290.27390401785345</v>
      </c>
      <c r="AW9" s="76">
        <f>IFERROR(IF(AND(d_Irr!V9&lt;&gt;".",d_Irr!AU9&lt;&gt;".",d_Irr!BT9&lt;&gt;"."),d_dir!AW9/((1/1000)*(d_Irr!V9+d_Irr!AU9+d_Irr!BT9)),IF(AND(d_Irr!V9&lt;&gt;".",d_Irr!AU9&lt;&gt;".",d_Irr!BT9="."),d_dir!AW9/((1/1000)*(d_Irr!V9+d_Irr!AU9)),IF(AND(d_Irr!V9&lt;&gt;".",d_Irr!AU9=".",d_Irr!BT9&lt;&gt;"."),d_dir!AW9/((1/1000)*(d_Irr!V9+d_Irr!BT9)),IF(AND(d_Irr!V9=".",d_Irr!AU9&lt;&gt;".",d_Irr!BT9&lt;&gt;"."),d_dir!AW9/((1/1000)*(d_Irr!AU9+d_Irr!BT9)),IF(AND(d_Irr!V9=".",d_Irr!AU9=".",d_Irr!BT9&lt;&gt;"."),d_dir!AW9/((1/1000)*(d_Irr!BT9)),IF(AND(d_Irr!V9=".",d_Irr!AU9&lt;&gt;".",d_Irr!BT9="."),d_dir!AW9/((1/1000)*(d_Irr!AU9)),IF(AND(d_Irr!V9&lt;&gt;".",d_Irr!AU9=".",d_Irr!BT9="."),d_dir!AW9/((1/1000)*(d_Irr!V9)),IF(AND(d_Irr!V9=".",d_Irr!AU9=".",d_Irr!BT9="."),d_dir!AW9*1000)))))))),".")</f>
        <v>652.54687003396123</v>
      </c>
      <c r="AX9" s="76">
        <f>IFERROR(IF(AND(d_Irr!W9&lt;&gt;".",d_Irr!AV9&lt;&gt;".",d_Irr!BU9&lt;&gt;"."),d_dir!AX9/((1/1000)*(d_Irr!W9+d_Irr!AV9+d_Irr!BU9)),IF(AND(d_Irr!W9&lt;&gt;".",d_Irr!AV9&lt;&gt;".",d_Irr!BU9="."),d_dir!AX9/((1/1000)*(d_Irr!W9+d_Irr!AV9)),IF(AND(d_Irr!W9&lt;&gt;".",d_Irr!AV9=".",d_Irr!BU9&lt;&gt;"."),d_dir!AX9/((1/1000)*(d_Irr!W9+d_Irr!BU9)),IF(AND(d_Irr!W9=".",d_Irr!AV9&lt;&gt;".",d_Irr!BU9&lt;&gt;"."),d_dir!AX9/((1/1000)*(d_Irr!AV9+d_Irr!BU9)),IF(AND(d_Irr!W9=".",d_Irr!AV9=".",d_Irr!BU9&lt;&gt;"."),d_dir!AX9/((1/1000)*(d_Irr!BU9)),IF(AND(d_Irr!W9=".",d_Irr!AV9&lt;&gt;".",d_Irr!BU9="."),d_dir!AX9/((1/1000)*(d_Irr!AV9)),IF(AND(d_Irr!W9&lt;&gt;".",d_Irr!AV9=".",d_Irr!BU9="."),d_dir!AX9/((1/1000)*(d_Irr!W9)),IF(AND(d_Irr!W9=".",d_Irr!AV9=".",d_Irr!BU9="."),d_dir!AX9*1000)))))))),".")</f>
        <v>719.04882923806724</v>
      </c>
      <c r="AY9" s="76">
        <f>IFERROR(IF(AND(d_Irr!X9&lt;&gt;".",d_Irr!AW9&lt;&gt;".",d_Irr!BV9&lt;&gt;"."),d_dir!AY9/((1/1000)*(d_Irr!X9+d_Irr!AW9+d_Irr!BV9)),IF(AND(d_Irr!X9&lt;&gt;".",d_Irr!AW9&lt;&gt;".",d_Irr!BV9="."),d_dir!AY9/((1/1000)*(d_Irr!X9+d_Irr!AW9)),IF(AND(d_Irr!X9&lt;&gt;".",d_Irr!AW9=".",d_Irr!BV9&lt;&gt;"."),d_dir!AY9/((1/1000)*(d_Irr!X9+d_Irr!BV9)),IF(AND(d_Irr!X9=".",d_Irr!AW9&lt;&gt;".",d_Irr!BV9&lt;&gt;"."),d_dir!AY9/((1/1000)*(d_Irr!AW9+d_Irr!BV9)),IF(AND(d_Irr!X9=".",d_Irr!AW9=".",d_Irr!BV9&lt;&gt;"."),d_dir!AY9/((1/1000)*(d_Irr!BV9)),IF(AND(d_Irr!X9=".",d_Irr!AW9&lt;&gt;".",d_Irr!BV9="."),d_dir!AY9/((1/1000)*(d_Irr!AW9)),IF(AND(d_Irr!X9&lt;&gt;".",d_Irr!AW9=".",d_Irr!BV9="."),d_dir!AY9/((1/1000)*(d_Irr!X9)),IF(AND(d_Irr!X9=".",d_Irr!AW9=".",d_Irr!BV9="."),d_dir!AY9*1000)))))))),".")</f>
        <v>965.24534492953671</v>
      </c>
      <c r="AZ9" s="76">
        <f>IFERROR(IF(AND(d_Irr!Y9&lt;&gt;".",d_Irr!AX9&lt;&gt;".",d_Irr!BW9&lt;&gt;"."),d_dir!AZ9/((1/1000)*(d_Irr!Y9+d_Irr!AX9+d_Irr!BW9)),IF(AND(d_Irr!Y9&lt;&gt;".",d_Irr!AX9&lt;&gt;".",d_Irr!BW9="."),d_dir!AZ9/((1/1000)*(d_Irr!Y9+d_Irr!AX9)),IF(AND(d_Irr!Y9&lt;&gt;".",d_Irr!AX9=".",d_Irr!BW9&lt;&gt;"."),d_dir!AZ9/((1/1000)*(d_Irr!Y9+d_Irr!BW9)),IF(AND(d_Irr!Y9=".",d_Irr!AX9&lt;&gt;".",d_Irr!BW9&lt;&gt;"."),d_dir!AZ9/((1/1000)*(d_Irr!AX9+d_Irr!BW9)),IF(AND(d_Irr!Y9=".",d_Irr!AX9=".",d_Irr!BW9&lt;&gt;"."),d_dir!AZ9/((1/1000)*(d_Irr!BW9)),IF(AND(d_Irr!Y9=".",d_Irr!AX9&lt;&gt;".",d_Irr!BW9="."),d_dir!AZ9/((1/1000)*(d_Irr!AX9)),IF(AND(d_Irr!Y9&lt;&gt;".",d_Irr!AX9=".",d_Irr!BW9="."),d_dir!AZ9/((1/1000)*(d_Irr!Y9)),IF(AND(d_Irr!Y9=".",d_Irr!AX9=".",d_Irr!BW9="."),d_dir!AZ9*1000)))))))),".")</f>
        <v>428.88561635622983</v>
      </c>
      <c r="BA9" s="76">
        <f>IFERROR(IF(AND(d_Irr!Z9&lt;&gt;".",d_Irr!AY9&lt;&gt;".",d_Irr!BX9&lt;&gt;"."),d_dir!BA9/((1/1000)*(d_Irr!Z9+d_Irr!AY9+d_Irr!BX9)),IF(AND(d_Irr!Z9&lt;&gt;".",d_Irr!AY9&lt;&gt;".",d_Irr!BX9="."),d_dir!BA9/((1/1000)*(d_Irr!Z9+d_Irr!AY9)),IF(AND(d_Irr!Z9&lt;&gt;".",d_Irr!AY9=".",d_Irr!BX9&lt;&gt;"."),d_dir!BA9/((1/1000)*(d_Irr!Z9+d_Irr!BX9)),IF(AND(d_Irr!Z9=".",d_Irr!AY9&lt;&gt;".",d_Irr!BX9&lt;&gt;"."),d_dir!BA9/((1/1000)*(d_Irr!AY9+d_Irr!BX9)),IF(AND(d_Irr!Z9=".",d_Irr!AY9=".",d_Irr!BX9&lt;&gt;"."),d_dir!BA9/((1/1000)*(d_Irr!BX9)),IF(AND(d_Irr!Z9=".",d_Irr!AY9&lt;&gt;".",d_Irr!BX9="."),d_dir!BA9/((1/1000)*(d_Irr!AY9)),IF(AND(d_Irr!Z9&lt;&gt;".",d_Irr!AY9=".",d_Irr!BX9="."),d_dir!BA9/((1/1000)*(d_Irr!Z9)),IF(AND(d_Irr!Z9=".",d_Irr!AY9=".",d_Irr!BX9="."),d_dir!BA9*1000)))))))),".")</f>
        <v>207.19581588089702</v>
      </c>
      <c r="BB9" s="76">
        <f>IFERROR(IF(AND(d_Irr!AA9&lt;&gt;".",d_Irr!AZ9&lt;&gt;".",d_Irr!BY9&lt;&gt;"."),d_dir!BB9/((1/1000)*(d_Irr!AA9+d_Irr!AZ9+d_Irr!BY9)),IF(AND(d_Irr!AA9&lt;&gt;".",d_Irr!AZ9&lt;&gt;".",d_Irr!BY9="."),d_dir!BB9/((1/1000)*(d_Irr!AA9+d_Irr!AZ9)),IF(AND(d_Irr!AA9&lt;&gt;".",d_Irr!AZ9=".",d_Irr!BY9&lt;&gt;"."),d_dir!BB9/((1/1000)*(d_Irr!AA9+d_Irr!BY9)),IF(AND(d_Irr!AA9=".",d_Irr!AZ9&lt;&gt;".",d_Irr!BY9&lt;&gt;"."),d_dir!BB9/((1/1000)*(d_Irr!AZ9+d_Irr!BY9)),IF(AND(d_Irr!AA9=".",d_Irr!AZ9=".",d_Irr!BY9&lt;&gt;"."),d_dir!BB9/((1/1000)*(d_Irr!BY9)),IF(AND(d_Irr!AA9=".",d_Irr!AZ9&lt;&gt;".",d_Irr!BY9="."),d_dir!BB9/((1/1000)*(d_Irr!AZ9)),IF(AND(d_Irr!AA9&lt;&gt;".",d_Irr!AZ9=".",d_Irr!BY9="."),d_dir!BB9/((1/1000)*(d_Irr!AA9)),IF(AND(d_Irr!AA9=".",d_Irr!AZ9=".",d_Irr!BY9="."),d_dir!BB9*1000)))))))),".")</f>
        <v>210.20073659800445</v>
      </c>
    </row>
    <row r="10" spans="1:54" x14ac:dyDescent="0.25">
      <c r="A10" s="94" t="s">
        <v>20</v>
      </c>
      <c r="B10" s="90" t="s">
        <v>349</v>
      </c>
      <c r="C10" s="2">
        <f t="shared" si="1"/>
        <v>0.48735717871165074</v>
      </c>
      <c r="D10" s="76">
        <f>IFERROR(IF(AND(d_Irr!C10&lt;&gt;".",d_Irr!AB10&lt;&gt;".",d_Irr!BA10&lt;&gt;"."),d_dir!D10/((1/1000)*(d_Irr!C10+d_Irr!AB10+d_Irr!BA10)),IF(AND(d_Irr!C10&lt;&gt;".",d_Irr!AB10&lt;&gt;".",d_Irr!BA10="."),d_dir!D10/((1/1000)*(d_Irr!C10+d_Irr!AB10)),IF(AND(d_Irr!C10&lt;&gt;".",d_Irr!AB10=".",d_Irr!BA10&lt;&gt;"."),d_dir!D10/((1/1000)*(d_Irr!C10+d_Irr!BA10)),IF(AND(d_Irr!C10=".",d_Irr!AB10&lt;&gt;".",d_Irr!BA10&lt;&gt;"."),d_dir!D10/((1/1000)*(d_Irr!AB10+d_Irr!BA10)),IF(AND(d_Irr!C10=".",d_Irr!AB10=".",d_Irr!BA10&lt;&gt;"."),d_dir!D10/((1/1000)*(d_Irr!BA10)),IF(AND(d_Irr!C10=".",d_Irr!AB10&lt;&gt;".",d_Irr!BA10="."),d_dir!D10/((1/1000)*(d_Irr!AB10)),IF(AND(d_Irr!C10&lt;&gt;".",d_Irr!AB10=".",d_Irr!BA10="."),d_dir!D10/((1/1000)*(d_Irr!C10)),IF(AND(d_Irr!C10=".",d_Irr!AB10=".",d_Irr!BA10="."),d_dir!D10*1000)))))))),".")</f>
        <v>10.382412580529211</v>
      </c>
      <c r="E10" s="76">
        <f>IFERROR(IF(AND(d_Irr!D10&lt;&gt;".",d_Irr!AC10&lt;&gt;".",d_Irr!BB10&lt;&gt;"."),d_dir!E10/((1/1000)*(d_Irr!D10+d_Irr!AC10+d_Irr!BB10)),IF(AND(d_Irr!D10&lt;&gt;".",d_Irr!AC10&lt;&gt;".",d_Irr!BB10="."),d_dir!E10/((1/1000)*(d_Irr!D10+d_Irr!AC10)),IF(AND(d_Irr!D10&lt;&gt;".",d_Irr!AC10=".",d_Irr!BB10&lt;&gt;"."),d_dir!E10/((1/1000)*(d_Irr!D10+d_Irr!BB10)),IF(AND(d_Irr!D10=".",d_Irr!AC10&lt;&gt;".",d_Irr!BB10&lt;&gt;"."),d_dir!E10/((1/1000)*(d_Irr!AC10+d_Irr!BB10)),IF(AND(d_Irr!D10=".",d_Irr!AC10=".",d_Irr!BB10&lt;&gt;"."),d_dir!E10/((1/1000)*(d_Irr!BB10)),IF(AND(d_Irr!D10=".",d_Irr!AC10&lt;&gt;".",d_Irr!BB10="."),d_dir!E10/((1/1000)*(d_Irr!AC10)),IF(AND(d_Irr!D10&lt;&gt;".",d_Irr!AC10=".",d_Irr!BB10="."),d_dir!E10/((1/1000)*(d_Irr!D10)),IF(AND(d_Irr!D10=".",d_Irr!AC10=".",d_Irr!BB10="."),d_dir!E10*1000)))))))),".")</f>
        <v>15.118716949414898</v>
      </c>
      <c r="F10" s="76">
        <f>IFERROR(IF(AND(d_Irr!E10&lt;&gt;".",d_Irr!AD10&lt;&gt;".",d_Irr!BC10&lt;&gt;"."),d_dir!F10/((1/1000)*(d_Irr!E10+d_Irr!AD10+d_Irr!BC10)),IF(AND(d_Irr!E10&lt;&gt;".",d_Irr!AD10&lt;&gt;".",d_Irr!BC10="."),d_dir!F10/((1/1000)*(d_Irr!E10+d_Irr!AD10)),IF(AND(d_Irr!E10&lt;&gt;".",d_Irr!AD10=".",d_Irr!BC10&lt;&gt;"."),d_dir!F10/((1/1000)*(d_Irr!E10+d_Irr!BC10)),IF(AND(d_Irr!E10=".",d_Irr!AD10&lt;&gt;".",d_Irr!BC10&lt;&gt;"."),d_dir!F10/((1/1000)*(d_Irr!AD10+d_Irr!BC10)),IF(AND(d_Irr!E10=".",d_Irr!AD10=".",d_Irr!BC10&lt;&gt;"."),d_dir!F10/((1/1000)*(d_Irr!BC10)),IF(AND(d_Irr!E10=".",d_Irr!AD10&lt;&gt;".",d_Irr!BC10="."),d_dir!F10/((1/1000)*(d_Irr!AD10)),IF(AND(d_Irr!E10&lt;&gt;".",d_Irr!AD10=".",d_Irr!BC10="."),d_dir!F10/((1/1000)*(d_Irr!E10)),IF(AND(d_Irr!E10=".",d_Irr!AD10=".",d_Irr!BC10="."),d_dir!F10*1000)))))))),".")</f>
        <v>20.510322384643786</v>
      </c>
      <c r="G10" s="76">
        <f>IFERROR(IF(AND(d_Irr!F10&lt;&gt;".",d_Irr!AE10&lt;&gt;".",d_Irr!BD10&lt;&gt;"."),d_dir!G10/((1/1000)*(d_Irr!F10+d_Irr!AE10+d_Irr!BD10)),IF(AND(d_Irr!F10&lt;&gt;".",d_Irr!AE10&lt;&gt;".",d_Irr!BD10="."),d_dir!G10/((1/1000)*(d_Irr!F10+d_Irr!AE10)),IF(AND(d_Irr!F10&lt;&gt;".",d_Irr!AE10=".",d_Irr!BD10&lt;&gt;"."),d_dir!G10/((1/1000)*(d_Irr!F10+d_Irr!BD10)),IF(AND(d_Irr!F10=".",d_Irr!AE10&lt;&gt;".",d_Irr!BD10&lt;&gt;"."),d_dir!G10/((1/1000)*(d_Irr!AE10+d_Irr!BD10)),IF(AND(d_Irr!F10=".",d_Irr!AE10=".",d_Irr!BD10&lt;&gt;"."),d_dir!G10/((1/1000)*(d_Irr!BD10)),IF(AND(d_Irr!F10=".",d_Irr!AE10&lt;&gt;".",d_Irr!BD10="."),d_dir!G10/((1/1000)*(d_Irr!AE10)),IF(AND(d_Irr!F10&lt;&gt;".",d_Irr!AE10=".",d_Irr!BD10="."),d_dir!G10/((1/1000)*(d_Irr!F10)),IF(AND(d_Irr!F10=".",d_Irr!AE10=".",d_Irr!BD10="."),d_dir!G10*1000)))))))),".")</f>
        <v>24.180019585384617</v>
      </c>
      <c r="H10" s="76">
        <f>IFERROR(IF(AND(d_Irr!G10&lt;&gt;".",d_Irr!AF10&lt;&gt;".",d_Irr!BE10&lt;&gt;"."),d_dir!H10/((1/1000)*(d_Irr!G10+d_Irr!AF10+d_Irr!BE10)),IF(AND(d_Irr!G10&lt;&gt;".",d_Irr!AF10&lt;&gt;".",d_Irr!BE10="."),d_dir!H10/((1/1000)*(d_Irr!G10+d_Irr!AF10)),IF(AND(d_Irr!G10&lt;&gt;".",d_Irr!AF10=".",d_Irr!BE10&lt;&gt;"."),d_dir!H10/((1/1000)*(d_Irr!G10+d_Irr!BE10)),IF(AND(d_Irr!G10=".",d_Irr!AF10&lt;&gt;".",d_Irr!BE10&lt;&gt;"."),d_dir!H10/((1/1000)*(d_Irr!AF10+d_Irr!BE10)),IF(AND(d_Irr!G10=".",d_Irr!AF10=".",d_Irr!BE10&lt;&gt;"."),d_dir!H10/((1/1000)*(d_Irr!BE10)),IF(AND(d_Irr!G10=".",d_Irr!AF10&lt;&gt;".",d_Irr!BE10="."),d_dir!H10/((1/1000)*(d_Irr!AF10)),IF(AND(d_Irr!G10&lt;&gt;".",d_Irr!AF10=".",d_Irr!BE10="."),d_dir!H10/((1/1000)*(d_Irr!G10)),IF(AND(d_Irr!G10=".",d_Irr!AF10=".",d_Irr!BE10="."),d_dir!H10*1000)))))))),".")</f>
        <v>25.046002138931605</v>
      </c>
      <c r="I10" s="76">
        <f>IFERROR(IF(AND(d_Irr!H10&lt;&gt;".",d_Irr!AG10&lt;&gt;".",d_Irr!BF10&lt;&gt;"."),d_dir!I10/((1/1000)*(d_Irr!H10+d_Irr!AG10+d_Irr!BF10)),IF(AND(d_Irr!H10&lt;&gt;".",d_Irr!AG10&lt;&gt;".",d_Irr!BF10="."),d_dir!I10/((1/1000)*(d_Irr!H10+d_Irr!AG10)),IF(AND(d_Irr!H10&lt;&gt;".",d_Irr!AG10=".",d_Irr!BF10&lt;&gt;"."),d_dir!I10/((1/1000)*(d_Irr!H10+d_Irr!BF10)),IF(AND(d_Irr!H10=".",d_Irr!AG10&lt;&gt;".",d_Irr!BF10&lt;&gt;"."),d_dir!I10/((1/1000)*(d_Irr!AG10+d_Irr!BF10)),IF(AND(d_Irr!H10=".",d_Irr!AG10=".",d_Irr!BF10&lt;&gt;"."),d_dir!I10/((1/1000)*(d_Irr!BF10)),IF(AND(d_Irr!H10=".",d_Irr!AG10&lt;&gt;".",d_Irr!BF10="."),d_dir!I10/((1/1000)*(d_Irr!AG10)),IF(AND(d_Irr!H10&lt;&gt;".",d_Irr!AG10=".",d_Irr!BF10="."),d_dir!I10/((1/1000)*(d_Irr!H10)),IF(AND(d_Irr!H10=".",d_Irr!AG10=".",d_Irr!BF10="."),d_dir!I10*1000)))))))),".")</f>
        <v>7.4472970032536914</v>
      </c>
      <c r="J10" s="76">
        <f>IFERROR(IF(AND(d_Irr!I10&lt;&gt;".",d_Irr!AH10&lt;&gt;".",d_Irr!BG10&lt;&gt;"."),d_dir!J10/((1/1000)*(d_Irr!I10+d_Irr!AH10+d_Irr!BG10)),IF(AND(d_Irr!I10&lt;&gt;".",d_Irr!AH10&lt;&gt;".",d_Irr!BG10="."),d_dir!J10/((1/1000)*(d_Irr!I10+d_Irr!AH10)),IF(AND(d_Irr!I10&lt;&gt;".",d_Irr!AH10=".",d_Irr!BG10&lt;&gt;"."),d_dir!J10/((1/1000)*(d_Irr!I10+d_Irr!BG10)),IF(AND(d_Irr!I10=".",d_Irr!AH10&lt;&gt;".",d_Irr!BG10&lt;&gt;"."),d_dir!J10/((1/1000)*(d_Irr!AH10+d_Irr!BG10)),IF(AND(d_Irr!I10=".",d_Irr!AH10=".",d_Irr!BG10&lt;&gt;"."),d_dir!J10/((1/1000)*(d_Irr!BG10)),IF(AND(d_Irr!I10=".",d_Irr!AH10&lt;&gt;".",d_Irr!BG10="."),d_dir!J10/((1/1000)*(d_Irr!AH10)),IF(AND(d_Irr!I10&lt;&gt;".",d_Irr!AH10=".",d_Irr!BG10="."),d_dir!J10/((1/1000)*(d_Irr!I10)),IF(AND(d_Irr!I10=".",d_Irr!AH10=".",d_Irr!BG10="."),d_dir!J10*1000)))))))),".")</f>
        <v>23.614787891509152</v>
      </c>
      <c r="K10" s="76">
        <f>IFERROR(IF(AND(d_Irr!J10&lt;&gt;".",d_Irr!AI10&lt;&gt;".",d_Irr!BH10&lt;&gt;"."),d_dir!K10/((1/1000)*(d_Irr!J10+d_Irr!AI10+d_Irr!BH10)),IF(AND(d_Irr!J10&lt;&gt;".",d_Irr!AI10&lt;&gt;".",d_Irr!BH10="."),d_dir!K10/((1/1000)*(d_Irr!J10+d_Irr!AI10)),IF(AND(d_Irr!J10&lt;&gt;".",d_Irr!AI10=".",d_Irr!BH10&lt;&gt;"."),d_dir!K10/((1/1000)*(d_Irr!J10+d_Irr!BH10)),IF(AND(d_Irr!J10=".",d_Irr!AI10&lt;&gt;".",d_Irr!BH10&lt;&gt;"."),d_dir!K10/((1/1000)*(d_Irr!AI10+d_Irr!BH10)),IF(AND(d_Irr!J10=".",d_Irr!AI10=".",d_Irr!BH10&lt;&gt;"."),d_dir!K10/((1/1000)*(d_Irr!BH10)),IF(AND(d_Irr!J10=".",d_Irr!AI10&lt;&gt;".",d_Irr!BH10="."),d_dir!K10/((1/1000)*(d_Irr!AI10)),IF(AND(d_Irr!J10&lt;&gt;".",d_Irr!AI10=".",d_Irr!BH10="."),d_dir!K10/((1/1000)*(d_Irr!J10)),IF(AND(d_Irr!J10=".",d_Irr!AI10=".",d_Irr!BH10="."),d_dir!K10*1000)))))))),".")</f>
        <v>2.692229109921473</v>
      </c>
      <c r="L10" s="76">
        <f>IFERROR(IF(AND(d_Irr!K10&lt;&gt;".",d_Irr!AJ10&lt;&gt;".",d_Irr!BI10&lt;&gt;"."),d_dir!L10/((1/1000)*(d_Irr!K10+d_Irr!AJ10+d_Irr!BI10)),IF(AND(d_Irr!K10&lt;&gt;".",d_Irr!AJ10&lt;&gt;".",d_Irr!BI10="."),d_dir!L10/((1/1000)*(d_Irr!K10+d_Irr!AJ10)),IF(AND(d_Irr!K10&lt;&gt;".",d_Irr!AJ10=".",d_Irr!BI10&lt;&gt;"."),d_dir!L10/((1/1000)*(d_Irr!K10+d_Irr!BI10)),IF(AND(d_Irr!K10=".",d_Irr!AJ10&lt;&gt;".",d_Irr!BI10&lt;&gt;"."),d_dir!L10/((1/1000)*(d_Irr!AJ10+d_Irr!BI10)),IF(AND(d_Irr!K10=".",d_Irr!AJ10=".",d_Irr!BI10&lt;&gt;"."),d_dir!L10/((1/1000)*(d_Irr!BI10)),IF(AND(d_Irr!K10=".",d_Irr!AJ10&lt;&gt;".",d_Irr!BI10="."),d_dir!L10/((1/1000)*(d_Irr!AJ10)),IF(AND(d_Irr!K10&lt;&gt;".",d_Irr!AJ10=".",d_Irr!BI10="."),d_dir!L10/((1/1000)*(d_Irr!K10)),IF(AND(d_Irr!K10=".",d_Irr!AJ10=".",d_Irr!BI10="."),d_dir!L10*1000)))))))),".")</f>
        <v>11.791518141016748</v>
      </c>
      <c r="M10" s="76">
        <f>IFERROR(IF(AND(d_Irr!L10&lt;&gt;".",d_Irr!AK10&lt;&gt;".",d_Irr!BJ10&lt;&gt;"."),d_dir!M10/((1/1000)*(d_Irr!L10+d_Irr!AK10+d_Irr!BJ10)),IF(AND(d_Irr!L10&lt;&gt;".",d_Irr!AK10&lt;&gt;".",d_Irr!BJ10="."),d_dir!M10/((1/1000)*(d_Irr!L10+d_Irr!AK10)),IF(AND(d_Irr!L10&lt;&gt;".",d_Irr!AK10=".",d_Irr!BJ10&lt;&gt;"."),d_dir!M10/((1/1000)*(d_Irr!L10+d_Irr!BJ10)),IF(AND(d_Irr!L10=".",d_Irr!AK10&lt;&gt;".",d_Irr!BJ10&lt;&gt;"."),d_dir!M10/((1/1000)*(d_Irr!AK10+d_Irr!BJ10)),IF(AND(d_Irr!L10=".",d_Irr!AK10=".",d_Irr!BJ10&lt;&gt;"."),d_dir!M10/((1/1000)*(d_Irr!BJ10)),IF(AND(d_Irr!L10=".",d_Irr!AK10&lt;&gt;".",d_Irr!BJ10="."),d_dir!M10/((1/1000)*(d_Irr!AK10)),IF(AND(d_Irr!L10&lt;&gt;".",d_Irr!AK10=".",d_Irr!BJ10="."),d_dir!M10/((1/1000)*(d_Irr!L10)),IF(AND(d_Irr!L10=".",d_Irr!AK10=".",d_Irr!BJ10="."),d_dir!M10*1000)))))))),".")</f>
        <v>9.7032372043107706</v>
      </c>
      <c r="N10" s="76">
        <f>IFERROR(IF(AND(d_Irr!M10&lt;&gt;".",d_Irr!AL10&lt;&gt;".",d_Irr!BK10&lt;&gt;"."),d_dir!N10/((1/1000)*(d_Irr!M10+d_Irr!AL10+d_Irr!BK10)),IF(AND(d_Irr!M10&lt;&gt;".",d_Irr!AL10&lt;&gt;".",d_Irr!BK10="."),d_dir!N10/((1/1000)*(d_Irr!M10+d_Irr!AL10)),IF(AND(d_Irr!M10&lt;&gt;".",d_Irr!AL10=".",d_Irr!BK10&lt;&gt;"."),d_dir!N10/((1/1000)*(d_Irr!M10+d_Irr!BK10)),IF(AND(d_Irr!M10=".",d_Irr!AL10&lt;&gt;".",d_Irr!BK10&lt;&gt;"."),d_dir!N10/((1/1000)*(d_Irr!AL10+d_Irr!BK10)),IF(AND(d_Irr!M10=".",d_Irr!AL10=".",d_Irr!BK10&lt;&gt;"."),d_dir!N10/((1/1000)*(d_Irr!BK10)),IF(AND(d_Irr!M10=".",d_Irr!AL10&lt;&gt;".",d_Irr!BK10="."),d_dir!N10/((1/1000)*(d_Irr!AL10)),IF(AND(d_Irr!M10&lt;&gt;".",d_Irr!AL10=".",d_Irr!BK10="."),d_dir!N10/((1/1000)*(d_Irr!M10)),IF(AND(d_Irr!M10=".",d_Irr!AL10=".",d_Irr!BK10="."),d_dir!N10*1000)))))))),".")</f>
        <v>16.164220688863814</v>
      </c>
      <c r="O10" s="76">
        <f>IFERROR(IF(AND(d_Irr!N10&lt;&gt;".",d_Irr!AM10&lt;&gt;".",d_Irr!BL10&lt;&gt;"."),d_dir!O10/((1/1000)*(d_Irr!N10+d_Irr!AM10+d_Irr!BL10)),IF(AND(d_Irr!N10&lt;&gt;".",d_Irr!AM10&lt;&gt;".",d_Irr!BL10="."),d_dir!O10/((1/1000)*(d_Irr!N10+d_Irr!AM10)),IF(AND(d_Irr!N10&lt;&gt;".",d_Irr!AM10=".",d_Irr!BL10&lt;&gt;"."),d_dir!O10/((1/1000)*(d_Irr!N10+d_Irr!BL10)),IF(AND(d_Irr!N10=".",d_Irr!AM10&lt;&gt;".",d_Irr!BL10&lt;&gt;"."),d_dir!O10/((1/1000)*(d_Irr!AM10+d_Irr!BL10)),IF(AND(d_Irr!N10=".",d_Irr!AM10=".",d_Irr!BL10&lt;&gt;"."),d_dir!O10/((1/1000)*(d_Irr!BL10)),IF(AND(d_Irr!N10=".",d_Irr!AM10&lt;&gt;".",d_Irr!BL10="."),d_dir!O10/((1/1000)*(d_Irr!AM10)),IF(AND(d_Irr!N10&lt;&gt;".",d_Irr!AM10=".",d_Irr!BL10="."),d_dir!O10/((1/1000)*(d_Irr!N10)),IF(AND(d_Irr!N10=".",d_Irr!AM10=".",d_Irr!BL10="."),d_dir!O10*1000)))))))),".")</f>
        <v>18.119825691489083</v>
      </c>
      <c r="P10" s="76">
        <f>IFERROR(IF(AND(d_Irr!O10&lt;&gt;".",d_Irr!AN10&lt;&gt;".",d_Irr!BM10&lt;&gt;"."),d_dir!P10/((1/1000)*(d_Irr!O10+d_Irr!AN10+d_Irr!BM10)),IF(AND(d_Irr!O10&lt;&gt;".",d_Irr!AN10&lt;&gt;".",d_Irr!BM10="."),d_dir!P10/((1/1000)*(d_Irr!O10+d_Irr!AN10)),IF(AND(d_Irr!O10&lt;&gt;".",d_Irr!AN10=".",d_Irr!BM10&lt;&gt;"."),d_dir!P10/((1/1000)*(d_Irr!O10+d_Irr!BM10)),IF(AND(d_Irr!O10=".",d_Irr!AN10&lt;&gt;".",d_Irr!BM10&lt;&gt;"."),d_dir!P10/((1/1000)*(d_Irr!AN10+d_Irr!BM10)),IF(AND(d_Irr!O10=".",d_Irr!AN10=".",d_Irr!BM10&lt;&gt;"."),d_dir!P10/((1/1000)*(d_Irr!BM10)),IF(AND(d_Irr!O10=".",d_Irr!AN10&lt;&gt;".",d_Irr!BM10="."),d_dir!P10/((1/1000)*(d_Irr!AN10)),IF(AND(d_Irr!O10&lt;&gt;".",d_Irr!AN10=".",d_Irr!BM10="."),d_dir!P10/((1/1000)*(d_Irr!O10)),IF(AND(d_Irr!O10=".",d_Irr!AN10=".",d_Irr!BM10="."),d_dir!P10*1000)))))))),".")</f>
        <v>26.177371091655381</v>
      </c>
      <c r="Q10" s="76">
        <f>IFERROR(IF(AND(d_Irr!P10&lt;&gt;".",d_Irr!AO10&lt;&gt;".",d_Irr!BN10&lt;&gt;"."),d_dir!Q10/((1/1000)*(d_Irr!P10+d_Irr!AO10+d_Irr!BN10)),IF(AND(d_Irr!P10&lt;&gt;".",d_Irr!AO10&lt;&gt;".",d_Irr!BN10="."),d_dir!Q10/((1/1000)*(d_Irr!P10+d_Irr!AO10)),IF(AND(d_Irr!P10&lt;&gt;".",d_Irr!AO10=".",d_Irr!BN10&lt;&gt;"."),d_dir!Q10/((1/1000)*(d_Irr!P10+d_Irr!BN10)),IF(AND(d_Irr!P10=".",d_Irr!AO10&lt;&gt;".",d_Irr!BN10&lt;&gt;"."),d_dir!Q10/((1/1000)*(d_Irr!AO10+d_Irr!BN10)),IF(AND(d_Irr!P10=".",d_Irr!AO10=".",d_Irr!BN10&lt;&gt;"."),d_dir!Q10/((1/1000)*(d_Irr!BN10)),IF(AND(d_Irr!P10=".",d_Irr!AO10&lt;&gt;".",d_Irr!BN10="."),d_dir!Q10/((1/1000)*(d_Irr!AO10)),IF(AND(d_Irr!P10&lt;&gt;".",d_Irr!AO10=".",d_Irr!BN10="."),d_dir!Q10/((1/1000)*(d_Irr!P10)),IF(AND(d_Irr!P10=".",d_Irr!AO10=".",d_Irr!BN10="."),d_dir!Q10*1000)))))))),".")</f>
        <v>31.915989651395051</v>
      </c>
      <c r="R10" s="76">
        <f>IFERROR(IF(AND(d_Irr!Q10&lt;&gt;".",d_Irr!AP10&lt;&gt;".",d_Irr!BO10&lt;&gt;"."),d_dir!R10/((1/1000)*(d_Irr!Q10+d_Irr!AP10+d_Irr!BO10)),IF(AND(d_Irr!Q10&lt;&gt;".",d_Irr!AP10&lt;&gt;".",d_Irr!BO10="."),d_dir!R10/((1/1000)*(d_Irr!Q10+d_Irr!AP10)),IF(AND(d_Irr!Q10&lt;&gt;".",d_Irr!AP10=".",d_Irr!BO10&lt;&gt;"."),d_dir!R10/((1/1000)*(d_Irr!Q10+d_Irr!BO10)),IF(AND(d_Irr!Q10=".",d_Irr!AP10&lt;&gt;".",d_Irr!BO10&lt;&gt;"."),d_dir!R10/((1/1000)*(d_Irr!AP10+d_Irr!BO10)),IF(AND(d_Irr!Q10=".",d_Irr!AP10=".",d_Irr!BO10&lt;&gt;"."),d_dir!R10/((1/1000)*(d_Irr!BO10)),IF(AND(d_Irr!Q10=".",d_Irr!AP10&lt;&gt;".",d_Irr!BO10="."),d_dir!R10/((1/1000)*(d_Irr!AP10)),IF(AND(d_Irr!Q10&lt;&gt;".",d_Irr!AP10=".",d_Irr!BO10="."),d_dir!R10/((1/1000)*(d_Irr!Q10)),IF(AND(d_Irr!Q10=".",d_Irr!AP10=".",d_Irr!BO10="."),d_dir!R10*1000)))))))),".")</f>
        <v>6.6658533200194388</v>
      </c>
      <c r="S10" s="76">
        <f>IFERROR(IF(AND(d_Irr!R10&lt;&gt;".",d_Irr!AQ10&lt;&gt;".",d_Irr!BP10&lt;&gt;"."),d_dir!S10/((1/1000)*(d_Irr!R10+d_Irr!AQ10+d_Irr!BP10)),IF(AND(d_Irr!R10&lt;&gt;".",d_Irr!AQ10&lt;&gt;".",d_Irr!BP10="."),d_dir!S10/((1/1000)*(d_Irr!R10+d_Irr!AQ10)),IF(AND(d_Irr!R10&lt;&gt;".",d_Irr!AQ10=".",d_Irr!BP10&lt;&gt;"."),d_dir!S10/((1/1000)*(d_Irr!R10+d_Irr!BP10)),IF(AND(d_Irr!R10=".",d_Irr!AQ10&lt;&gt;".",d_Irr!BP10&lt;&gt;"."),d_dir!S10/((1/1000)*(d_Irr!AQ10+d_Irr!BP10)),IF(AND(d_Irr!R10=".",d_Irr!AQ10=".",d_Irr!BP10&lt;&gt;"."),d_dir!S10/((1/1000)*(d_Irr!BP10)),IF(AND(d_Irr!R10=".",d_Irr!AQ10&lt;&gt;".",d_Irr!BP10="."),d_dir!S10/((1/1000)*(d_Irr!AQ10)),IF(AND(d_Irr!R10&lt;&gt;".",d_Irr!AQ10=".",d_Irr!BP10="."),d_dir!S10/((1/1000)*(d_Irr!R10)),IF(AND(d_Irr!R10=".",d_Irr!AQ10=".",d_Irr!BP10="."),d_dir!S10*1000)))))))),".")</f>
        <v>13.597372482728192</v>
      </c>
      <c r="T10" s="76">
        <f>IFERROR(IF(AND(d_Irr!S10&lt;&gt;".",d_Irr!AR10&lt;&gt;".",d_Irr!BQ10&lt;&gt;"."),d_dir!T10/((1/1000)*(d_Irr!S10+d_Irr!AR10+d_Irr!BQ10)),IF(AND(d_Irr!S10&lt;&gt;".",d_Irr!AR10&lt;&gt;".",d_Irr!BQ10="."),d_dir!T10/((1/1000)*(d_Irr!S10+d_Irr!AR10)),IF(AND(d_Irr!S10&lt;&gt;".",d_Irr!AR10=".",d_Irr!BQ10&lt;&gt;"."),d_dir!T10/((1/1000)*(d_Irr!S10+d_Irr!BQ10)),IF(AND(d_Irr!S10=".",d_Irr!AR10&lt;&gt;".",d_Irr!BQ10&lt;&gt;"."),d_dir!T10/((1/1000)*(d_Irr!AR10+d_Irr!BQ10)),IF(AND(d_Irr!S10=".",d_Irr!AR10=".",d_Irr!BQ10&lt;&gt;"."),d_dir!T10/((1/1000)*(d_Irr!BQ10)),IF(AND(d_Irr!S10=".",d_Irr!AR10&lt;&gt;".",d_Irr!BQ10="."),d_dir!T10/((1/1000)*(d_Irr!AR10)),IF(AND(d_Irr!S10&lt;&gt;".",d_Irr!AR10=".",d_Irr!BQ10="."),d_dir!T10/((1/1000)*(d_Irr!S10)),IF(AND(d_Irr!S10=".",d_Irr!AR10=".",d_Irr!BQ10="."),d_dir!T10*1000)))))))),".")</f>
        <v>18.016193212973231</v>
      </c>
      <c r="U10" s="76">
        <f>IFERROR(IF(AND(d_Irr!T10&lt;&gt;".",d_Irr!AS10&lt;&gt;".",d_Irr!BR10&lt;&gt;"."),d_dir!U10/((1/1000)*(d_Irr!T10+d_Irr!AS10+d_Irr!BR10)),IF(AND(d_Irr!T10&lt;&gt;".",d_Irr!AS10&lt;&gt;".",d_Irr!BR10="."),d_dir!U10/((1/1000)*(d_Irr!T10+d_Irr!AS10)),IF(AND(d_Irr!T10&lt;&gt;".",d_Irr!AS10=".",d_Irr!BR10&lt;&gt;"."),d_dir!U10/((1/1000)*(d_Irr!T10+d_Irr!BR10)),IF(AND(d_Irr!T10=".",d_Irr!AS10&lt;&gt;".",d_Irr!BR10&lt;&gt;"."),d_dir!U10/((1/1000)*(d_Irr!AS10+d_Irr!BR10)),IF(AND(d_Irr!T10=".",d_Irr!AS10=".",d_Irr!BR10&lt;&gt;"."),d_dir!U10/((1/1000)*(d_Irr!BR10)),IF(AND(d_Irr!T10=".",d_Irr!AS10&lt;&gt;".",d_Irr!BR10="."),d_dir!U10/((1/1000)*(d_Irr!AS10)),IF(AND(d_Irr!T10&lt;&gt;".",d_Irr!AS10=".",d_Irr!BR10="."),d_dir!U10/((1/1000)*(d_Irr!T10)),IF(AND(d_Irr!T10=".",d_Irr!AS10=".",d_Irr!BR10="."),d_dir!U10*1000)))))))),".")</f>
        <v>35.555879897566712</v>
      </c>
      <c r="V10" s="76">
        <f>IFERROR(IF(AND(d_Irr!U10&lt;&gt;".",d_Irr!AT10&lt;&gt;".",d_Irr!BS10&lt;&gt;"."),d_dir!V10/((1/1000)*(d_Irr!U10+d_Irr!AT10+d_Irr!BS10)),IF(AND(d_Irr!U10&lt;&gt;".",d_Irr!AT10&lt;&gt;".",d_Irr!BS10="."),d_dir!V10/((1/1000)*(d_Irr!U10+d_Irr!AT10)),IF(AND(d_Irr!U10&lt;&gt;".",d_Irr!AT10=".",d_Irr!BS10&lt;&gt;"."),d_dir!V10/((1/1000)*(d_Irr!U10+d_Irr!BS10)),IF(AND(d_Irr!U10=".",d_Irr!AT10&lt;&gt;".",d_Irr!BS10&lt;&gt;"."),d_dir!V10/((1/1000)*(d_Irr!AT10+d_Irr!BS10)),IF(AND(d_Irr!U10=".",d_Irr!AT10=".",d_Irr!BS10&lt;&gt;"."),d_dir!V10/((1/1000)*(d_Irr!BS10)),IF(AND(d_Irr!U10=".",d_Irr!AT10&lt;&gt;".",d_Irr!BS10="."),d_dir!V10/((1/1000)*(d_Irr!AT10)),IF(AND(d_Irr!U10&lt;&gt;".",d_Irr!AT10=".",d_Irr!BS10="."),d_dir!V10/((1/1000)*(d_Irr!U10)),IF(AND(d_Irr!U10=".",d_Irr!AT10=".",d_Irr!BS10="."),d_dir!V10*1000)))))))),".")</f>
        <v>4.7636516870968713</v>
      </c>
      <c r="W10" s="76">
        <f>IFERROR(IF(AND(d_Irr!V10&lt;&gt;".",d_Irr!AU10&lt;&gt;".",d_Irr!BT10&lt;&gt;"."),d_dir!W10/((1/1000)*(d_Irr!V10+d_Irr!AU10+d_Irr!BT10)),IF(AND(d_Irr!V10&lt;&gt;".",d_Irr!AU10&lt;&gt;".",d_Irr!BT10="."),d_dir!W10/((1/1000)*(d_Irr!V10+d_Irr!AU10)),IF(AND(d_Irr!V10&lt;&gt;".",d_Irr!AU10=".",d_Irr!BT10&lt;&gt;"."),d_dir!W10/((1/1000)*(d_Irr!V10+d_Irr!BT10)),IF(AND(d_Irr!V10=".",d_Irr!AU10&lt;&gt;".",d_Irr!BT10&lt;&gt;"."),d_dir!W10/((1/1000)*(d_Irr!AU10+d_Irr!BT10)),IF(AND(d_Irr!V10=".",d_Irr!AU10=".",d_Irr!BT10&lt;&gt;"."),d_dir!W10/((1/1000)*(d_Irr!BT10)),IF(AND(d_Irr!V10=".",d_Irr!AU10&lt;&gt;".",d_Irr!BT10="."),d_dir!W10/((1/1000)*(d_Irr!AU10)),IF(AND(d_Irr!V10&lt;&gt;".",d_Irr!AU10=".",d_Irr!BT10="."),d_dir!W10/((1/1000)*(d_Irr!V10)),IF(AND(d_Irr!V10=".",d_Irr!AU10=".",d_Irr!BT10="."),d_dir!W10*1000)))))))),".")</f>
        <v>12.450155541345135</v>
      </c>
      <c r="X10" s="76">
        <f>IFERROR(IF(AND(d_Irr!W10&lt;&gt;".",d_Irr!AV10&lt;&gt;".",d_Irr!BU10&lt;&gt;"."),d_dir!X10/((1/1000)*(d_Irr!W10+d_Irr!AV10+d_Irr!BU10)),IF(AND(d_Irr!W10&lt;&gt;".",d_Irr!AV10&lt;&gt;".",d_Irr!BU10="."),d_dir!X10/((1/1000)*(d_Irr!W10+d_Irr!AV10)),IF(AND(d_Irr!W10&lt;&gt;".",d_Irr!AV10=".",d_Irr!BU10&lt;&gt;"."),d_dir!X10/((1/1000)*(d_Irr!W10+d_Irr!BU10)),IF(AND(d_Irr!W10=".",d_Irr!AV10&lt;&gt;".",d_Irr!BU10&lt;&gt;"."),d_dir!X10/((1/1000)*(d_Irr!AV10+d_Irr!BU10)),IF(AND(d_Irr!W10=".",d_Irr!AV10=".",d_Irr!BU10&lt;&gt;"."),d_dir!X10/((1/1000)*(d_Irr!BU10)),IF(AND(d_Irr!W10=".",d_Irr!AV10&lt;&gt;".",d_Irr!BU10="."),d_dir!X10/((1/1000)*(d_Irr!AV10)),IF(AND(d_Irr!W10&lt;&gt;".",d_Irr!AV10=".",d_Irr!BU10="."),d_dir!X10/((1/1000)*(d_Irr!W10)),IF(AND(d_Irr!W10=".",d_Irr!AV10=".",d_Irr!BU10="."),d_dir!X10*1000)))))))),".")</f>
        <v>11.687396683707666</v>
      </c>
      <c r="Y10" s="76">
        <f>IFERROR(IF(AND(d_Irr!X10&lt;&gt;".",d_Irr!AW10&lt;&gt;".",d_Irr!BV10&lt;&gt;"."),d_dir!Y10/((1/1000)*(d_Irr!X10+d_Irr!AW10+d_Irr!BV10)),IF(AND(d_Irr!X10&lt;&gt;".",d_Irr!AW10&lt;&gt;".",d_Irr!BV10="."),d_dir!Y10/((1/1000)*(d_Irr!X10+d_Irr!AW10)),IF(AND(d_Irr!X10&lt;&gt;".",d_Irr!AW10=".",d_Irr!BV10&lt;&gt;"."),d_dir!Y10/((1/1000)*(d_Irr!X10+d_Irr!BV10)),IF(AND(d_Irr!X10=".",d_Irr!AW10&lt;&gt;".",d_Irr!BV10&lt;&gt;"."),d_dir!Y10/((1/1000)*(d_Irr!AW10+d_Irr!BV10)),IF(AND(d_Irr!X10=".",d_Irr!AW10=".",d_Irr!BV10&lt;&gt;"."),d_dir!Y10/((1/1000)*(d_Irr!BV10)),IF(AND(d_Irr!X10=".",d_Irr!AW10&lt;&gt;".",d_Irr!BV10="."),d_dir!Y10/((1/1000)*(d_Irr!AW10)),IF(AND(d_Irr!X10&lt;&gt;".",d_Irr!AW10=".",d_Irr!BV10="."),d_dir!Y10/((1/1000)*(d_Irr!X10)),IF(AND(d_Irr!X10=".",d_Irr!AW10=".",d_Irr!BV10="."),d_dir!Y10*1000)))))))),".")</f>
        <v>20.873980264978343</v>
      </c>
      <c r="Z10" s="76">
        <f>IFERROR(IF(AND(d_Irr!Y10&lt;&gt;".",d_Irr!AX10&lt;&gt;".",d_Irr!BW10&lt;&gt;"."),d_dir!Z10/((1/1000)*(d_Irr!Y10+d_Irr!AX10+d_Irr!BW10)),IF(AND(d_Irr!Y10&lt;&gt;".",d_Irr!AX10&lt;&gt;".",d_Irr!BW10="."),d_dir!Z10/((1/1000)*(d_Irr!Y10+d_Irr!AX10)),IF(AND(d_Irr!Y10&lt;&gt;".",d_Irr!AX10=".",d_Irr!BW10&lt;&gt;"."),d_dir!Z10/((1/1000)*(d_Irr!Y10+d_Irr!BW10)),IF(AND(d_Irr!Y10=".",d_Irr!AX10&lt;&gt;".",d_Irr!BW10&lt;&gt;"."),d_dir!Z10/((1/1000)*(d_Irr!AX10+d_Irr!BW10)),IF(AND(d_Irr!Y10=".",d_Irr!AX10=".",d_Irr!BW10&lt;&gt;"."),d_dir!Z10/((1/1000)*(d_Irr!BW10)),IF(AND(d_Irr!Y10=".",d_Irr!AX10&lt;&gt;".",d_Irr!BW10="."),d_dir!Z10/((1/1000)*(d_Irr!AX10)),IF(AND(d_Irr!Y10&lt;&gt;".",d_Irr!AX10=".",d_Irr!BW10="."),d_dir!Z10/((1/1000)*(d_Irr!Y10)),IF(AND(d_Irr!Y10=".",d_Irr!AX10=".",d_Irr!BW10="."),d_dir!Z10*1000)))))))),".")</f>
        <v>9.4370035338466369</v>
      </c>
      <c r="AA10" s="76">
        <f>IFERROR(IF(AND(d_Irr!Z10&lt;&gt;".",d_Irr!AY10&lt;&gt;".",d_Irr!BX10&lt;&gt;"."),d_dir!AA10/((1/1000)*(d_Irr!Z10+d_Irr!AY10+d_Irr!BX10)),IF(AND(d_Irr!Z10&lt;&gt;".",d_Irr!AY10&lt;&gt;".",d_Irr!BX10="."),d_dir!AA10/((1/1000)*(d_Irr!Z10+d_Irr!AY10)),IF(AND(d_Irr!Z10&lt;&gt;".",d_Irr!AY10=".",d_Irr!BX10&lt;&gt;"."),d_dir!AA10/((1/1000)*(d_Irr!Z10+d_Irr!BX10)),IF(AND(d_Irr!Z10=".",d_Irr!AY10&lt;&gt;".",d_Irr!BX10&lt;&gt;"."),d_dir!AA10/((1/1000)*(d_Irr!AY10+d_Irr!BX10)),IF(AND(d_Irr!Z10=".",d_Irr!AY10=".",d_Irr!BX10&lt;&gt;"."),d_dir!AA10/((1/1000)*(d_Irr!BX10)),IF(AND(d_Irr!Z10=".",d_Irr!AY10&lt;&gt;".",d_Irr!BX10="."),d_dir!AA10/((1/1000)*(d_Irr!AY10)),IF(AND(d_Irr!Z10&lt;&gt;".",d_Irr!AY10=".",d_Irr!BX10="."),d_dir!AA10/((1/1000)*(d_Irr!Z10)),IF(AND(d_Irr!Z10=".",d_Irr!AY10=".",d_Irr!BX10="."),d_dir!AA10*1000)))))))),".")</f>
        <v>3.219445277057484</v>
      </c>
      <c r="AB10" s="76">
        <f>IFERROR(IF(AND(d_Irr!AA10&lt;&gt;".",d_Irr!AZ10&lt;&gt;".",d_Irr!BY10&lt;&gt;"."),d_dir!AB10/((1/1000)*(d_Irr!AA10+d_Irr!AZ10+d_Irr!BY10)),IF(AND(d_Irr!AA10&lt;&gt;".",d_Irr!AZ10&lt;&gt;".",d_Irr!BY10="."),d_dir!AB10/((1/1000)*(d_Irr!AA10+d_Irr!AZ10)),IF(AND(d_Irr!AA10&lt;&gt;".",d_Irr!AZ10=".",d_Irr!BY10&lt;&gt;"."),d_dir!AB10/((1/1000)*(d_Irr!AA10+d_Irr!BY10)),IF(AND(d_Irr!AA10=".",d_Irr!AZ10&lt;&gt;".",d_Irr!BY10&lt;&gt;"."),d_dir!AB10/((1/1000)*(d_Irr!AZ10+d_Irr!BY10)),IF(AND(d_Irr!AA10=".",d_Irr!AZ10=".",d_Irr!BY10&lt;&gt;"."),d_dir!AB10/((1/1000)*(d_Irr!BY10)),IF(AND(d_Irr!AA10=".",d_Irr!AZ10&lt;&gt;".",d_Irr!BY10="."),d_dir!AB10/((1/1000)*(d_Irr!AZ10)),IF(AND(d_Irr!AA10&lt;&gt;".",d_Irr!AZ10=".",d_Irr!BY10="."),d_dir!AB10/((1/1000)*(d_Irr!AA10)),IF(AND(d_Irr!AA10=".",d_Irr!AZ10=".",d_Irr!BY10="."),d_dir!AB10*1000)))))))),".")</f>
        <v>3.4181032795780024</v>
      </c>
      <c r="AC10" s="76">
        <f t="shared" si="0"/>
        <v>0.29631819187647696</v>
      </c>
      <c r="AD10" s="76">
        <f>IFERROR(IF(AND(d_Irr!C10&lt;&gt;".",d_Irr!AB10&lt;&gt;".",d_Irr!BA10&lt;&gt;"."),d_dir!AD10/((1/1000)*(d_Irr!C10+d_Irr!AB10+d_Irr!BA10)),IF(AND(d_Irr!C10&lt;&gt;".",d_Irr!AB10&lt;&gt;".",d_Irr!BA10="."),d_dir!AD10/((1/1000)*(d_Irr!C10+d_Irr!AB10)),IF(AND(d_Irr!C10&lt;&gt;".",d_Irr!AB10=".",d_Irr!BA10&lt;&gt;"."),d_dir!AD10/((1/1000)*(d_Irr!C10+d_Irr!BA10)),IF(AND(d_Irr!C10=".",d_Irr!AB10&lt;&gt;".",d_Irr!BA10&lt;&gt;"."),d_dir!AD10/((1/1000)*(d_Irr!AB10+d_Irr!BA10)),IF(AND(d_Irr!C10=".",d_Irr!AB10=".",d_Irr!BA10&lt;&gt;"."),d_dir!AD10/((1/1000)*(d_Irr!BA10)),IF(AND(d_Irr!C10=".",d_Irr!AB10&lt;&gt;".",d_Irr!BA10="."),d_dir!AD10/((1/1000)*(d_Irr!AB10)),IF(AND(d_Irr!C10&lt;&gt;".",d_Irr!AB10=".",d_Irr!BA10="."),d_dir!AD10/((1/1000)*(d_Irr!C10)),IF(AND(d_Irr!C10=".",d_Irr!AB10=".",d_Irr!BA10="."),d_dir!AD10*1000)))))))),".")</f>
        <v>5.8680262853792966</v>
      </c>
      <c r="AE10" s="76">
        <f>IFERROR(IF(AND(d_Irr!D10&lt;&gt;".",d_Irr!AC10&lt;&gt;".",d_Irr!BB10&lt;&gt;"."),d_dir!AE10/((1/1000)*(d_Irr!D10+d_Irr!AC10+d_Irr!BB10)),IF(AND(d_Irr!D10&lt;&gt;".",d_Irr!AC10&lt;&gt;".",d_Irr!BB10="."),d_dir!AE10/((1/1000)*(d_Irr!D10+d_Irr!AC10)),IF(AND(d_Irr!D10&lt;&gt;".",d_Irr!AC10=".",d_Irr!BB10&lt;&gt;"."),d_dir!AE10/((1/1000)*(d_Irr!D10+d_Irr!BB10)),IF(AND(d_Irr!D10=".",d_Irr!AC10&lt;&gt;".",d_Irr!BB10&lt;&gt;"."),d_dir!AE10/((1/1000)*(d_Irr!AC10+d_Irr!BB10)),IF(AND(d_Irr!D10=".",d_Irr!AC10=".",d_Irr!BB10&lt;&gt;"."),d_dir!AE10/((1/1000)*(d_Irr!BB10)),IF(AND(d_Irr!D10=".",d_Irr!AC10&lt;&gt;".",d_Irr!BB10="."),d_dir!AE10/((1/1000)*(d_Irr!AC10)),IF(AND(d_Irr!D10&lt;&gt;".",d_Irr!AC10=".",d_Irr!BB10="."),d_dir!AE10/((1/1000)*(d_Irr!D10)),IF(AND(d_Irr!D10=".",d_Irr!AC10=".",d_Irr!BB10="."),d_dir!AE10*1000)))))))),".")</f>
        <v>9.2031554109415747</v>
      </c>
      <c r="AF10" s="76">
        <f>IFERROR(IF(AND(d_Irr!E10&lt;&gt;".",d_Irr!AD10&lt;&gt;".",d_Irr!BC10&lt;&gt;"."),d_dir!AF10/((1/1000)*(d_Irr!E10+d_Irr!AD10+d_Irr!BC10)),IF(AND(d_Irr!E10&lt;&gt;".",d_Irr!AD10&lt;&gt;".",d_Irr!BC10="."),d_dir!AF10/((1/1000)*(d_Irr!E10+d_Irr!AD10)),IF(AND(d_Irr!E10&lt;&gt;".",d_Irr!AD10=".",d_Irr!BC10&lt;&gt;"."),d_dir!AF10/((1/1000)*(d_Irr!E10+d_Irr!BC10)),IF(AND(d_Irr!E10=".",d_Irr!AD10&lt;&gt;".",d_Irr!BC10&lt;&gt;"."),d_dir!AF10/((1/1000)*(d_Irr!AD10+d_Irr!BC10)),IF(AND(d_Irr!E10=".",d_Irr!AD10=".",d_Irr!BC10&lt;&gt;"."),d_dir!AF10/((1/1000)*(d_Irr!BC10)),IF(AND(d_Irr!E10=".",d_Irr!AD10&lt;&gt;".",d_Irr!BC10="."),d_dir!AF10/((1/1000)*(d_Irr!AD10)),IF(AND(d_Irr!E10&lt;&gt;".",d_Irr!AD10=".",d_Irr!BC10="."),d_dir!AF10/((1/1000)*(d_Irr!E10)),IF(AND(d_Irr!E10=".",d_Irr!AD10=".",d_Irr!BC10="."),d_dir!AF10*1000)))))))),".")</f>
        <v>12.317081458594973</v>
      </c>
      <c r="AG10" s="76">
        <f>IFERROR(IF(AND(d_Irr!F10&lt;&gt;".",d_Irr!AE10&lt;&gt;".",d_Irr!BD10&lt;&gt;"."),d_dir!AG10/((1/1000)*(d_Irr!F10+d_Irr!AE10+d_Irr!BD10)),IF(AND(d_Irr!F10&lt;&gt;".",d_Irr!AE10&lt;&gt;".",d_Irr!BD10="."),d_dir!AG10/((1/1000)*(d_Irr!F10+d_Irr!AE10)),IF(AND(d_Irr!F10&lt;&gt;".",d_Irr!AE10=".",d_Irr!BD10&lt;&gt;"."),d_dir!AG10/((1/1000)*(d_Irr!F10+d_Irr!BD10)),IF(AND(d_Irr!F10=".",d_Irr!AE10&lt;&gt;".",d_Irr!BD10&lt;&gt;"."),d_dir!AG10/((1/1000)*(d_Irr!AE10+d_Irr!BD10)),IF(AND(d_Irr!F10=".",d_Irr!AE10=".",d_Irr!BD10&lt;&gt;"."),d_dir!AG10/((1/1000)*(d_Irr!BD10)),IF(AND(d_Irr!F10=".",d_Irr!AE10&lt;&gt;".",d_Irr!BD10="."),d_dir!AG10/((1/1000)*(d_Irr!AE10)),IF(AND(d_Irr!F10&lt;&gt;".",d_Irr!AE10=".",d_Irr!BD10="."),d_dir!AG10/((1/1000)*(d_Irr!F10)),IF(AND(d_Irr!F10=".",d_Irr!AE10=".",d_Irr!BD10="."),d_dir!AG10*1000)))))))),".")</f>
        <v>15.300799278620429</v>
      </c>
      <c r="AH10" s="76">
        <f>IFERROR(IF(AND(d_Irr!G10&lt;&gt;".",d_Irr!AF10&lt;&gt;".",d_Irr!BE10&lt;&gt;"."),d_dir!AH10/((1/1000)*(d_Irr!G10+d_Irr!AF10+d_Irr!BE10)),IF(AND(d_Irr!G10&lt;&gt;".",d_Irr!AF10&lt;&gt;".",d_Irr!BE10="."),d_dir!AH10/((1/1000)*(d_Irr!G10+d_Irr!AF10)),IF(AND(d_Irr!G10&lt;&gt;".",d_Irr!AF10=".",d_Irr!BE10&lt;&gt;"."),d_dir!AH10/((1/1000)*(d_Irr!G10+d_Irr!BE10)),IF(AND(d_Irr!G10=".",d_Irr!AF10&lt;&gt;".",d_Irr!BE10&lt;&gt;"."),d_dir!AH10/((1/1000)*(d_Irr!AF10+d_Irr!BE10)),IF(AND(d_Irr!G10=".",d_Irr!AF10=".",d_Irr!BE10&lt;&gt;"."),d_dir!AH10/((1/1000)*(d_Irr!BE10)),IF(AND(d_Irr!G10=".",d_Irr!AF10&lt;&gt;".",d_Irr!BE10="."),d_dir!AH10/((1/1000)*(d_Irr!AF10)),IF(AND(d_Irr!G10&lt;&gt;".",d_Irr!AF10=".",d_Irr!BE10="."),d_dir!AH10/((1/1000)*(d_Irr!G10)),IF(AND(d_Irr!G10=".",d_Irr!AF10=".",d_Irr!BE10="."),d_dir!AH10*1000)))))))),".")</f>
        <v>13.829277899496606</v>
      </c>
      <c r="AI10" s="76">
        <f>IFERROR(IF(AND(d_Irr!H10&lt;&gt;".",d_Irr!AG10&lt;&gt;".",d_Irr!BF10&lt;&gt;"."),d_dir!AI10/((1/1000)*(d_Irr!H10+d_Irr!AG10+d_Irr!BF10)),IF(AND(d_Irr!H10&lt;&gt;".",d_Irr!AG10&lt;&gt;".",d_Irr!BF10="."),d_dir!AI10/((1/1000)*(d_Irr!H10+d_Irr!AG10)),IF(AND(d_Irr!H10&lt;&gt;".",d_Irr!AG10=".",d_Irr!BF10&lt;&gt;"."),d_dir!AI10/((1/1000)*(d_Irr!H10+d_Irr!BF10)),IF(AND(d_Irr!H10=".",d_Irr!AG10&lt;&gt;".",d_Irr!BF10&lt;&gt;"."),d_dir!AI10/((1/1000)*(d_Irr!AG10+d_Irr!BF10)),IF(AND(d_Irr!H10=".",d_Irr!AG10=".",d_Irr!BF10&lt;&gt;"."),d_dir!AI10/((1/1000)*(d_Irr!BF10)),IF(AND(d_Irr!H10=".",d_Irr!AG10&lt;&gt;".",d_Irr!BF10="."),d_dir!AI10/((1/1000)*(d_Irr!AG10)),IF(AND(d_Irr!H10&lt;&gt;".",d_Irr!AG10=".",d_Irr!BF10="."),d_dir!AI10/((1/1000)*(d_Irr!H10)),IF(AND(d_Irr!H10=".",d_Irr!AG10=".",d_Irr!BF10="."),d_dir!AI10*1000)))))))),".")</f>
        <v>4.7679913786089365</v>
      </c>
      <c r="AJ10" s="76">
        <f>IFERROR(IF(AND(d_Irr!I10&lt;&gt;".",d_Irr!AH10&lt;&gt;".",d_Irr!BG10&lt;&gt;"."),d_dir!AJ10/((1/1000)*(d_Irr!I10+d_Irr!AH10+d_Irr!BG10)),IF(AND(d_Irr!I10&lt;&gt;".",d_Irr!AH10&lt;&gt;".",d_Irr!BG10="."),d_dir!AJ10/((1/1000)*(d_Irr!I10+d_Irr!AH10)),IF(AND(d_Irr!I10&lt;&gt;".",d_Irr!AH10=".",d_Irr!BG10&lt;&gt;"."),d_dir!AJ10/((1/1000)*(d_Irr!I10+d_Irr!BG10)),IF(AND(d_Irr!I10=".",d_Irr!AH10&lt;&gt;".",d_Irr!BG10&lt;&gt;"."),d_dir!AJ10/((1/1000)*(d_Irr!AH10+d_Irr!BG10)),IF(AND(d_Irr!I10=".",d_Irr!AH10=".",d_Irr!BG10&lt;&gt;"."),d_dir!AJ10/((1/1000)*(d_Irr!BG10)),IF(AND(d_Irr!I10=".",d_Irr!AH10&lt;&gt;".",d_Irr!BG10="."),d_dir!AJ10/((1/1000)*(d_Irr!AH10)),IF(AND(d_Irr!I10&lt;&gt;".",d_Irr!AH10=".",d_Irr!BG10="."),d_dir!AJ10/((1/1000)*(d_Irr!I10)),IF(AND(d_Irr!I10=".",d_Irr!AH10=".",d_Irr!BG10="."),d_dir!AJ10*1000)))))))),".")</f>
        <v>16.355099739880266</v>
      </c>
      <c r="AK10" s="76">
        <f>IFERROR(IF(AND(d_Irr!J10&lt;&gt;".",d_Irr!AI10&lt;&gt;".",d_Irr!BH10&lt;&gt;"."),d_dir!AK10/((1/1000)*(d_Irr!J10+d_Irr!AI10+d_Irr!BH10)),IF(AND(d_Irr!J10&lt;&gt;".",d_Irr!AI10&lt;&gt;".",d_Irr!BH10="."),d_dir!AK10/((1/1000)*(d_Irr!J10+d_Irr!AI10)),IF(AND(d_Irr!J10&lt;&gt;".",d_Irr!AI10=".",d_Irr!BH10&lt;&gt;"."),d_dir!AK10/((1/1000)*(d_Irr!J10+d_Irr!BH10)),IF(AND(d_Irr!J10=".",d_Irr!AI10&lt;&gt;".",d_Irr!BH10&lt;&gt;"."),d_dir!AK10/((1/1000)*(d_Irr!AI10+d_Irr!BH10)),IF(AND(d_Irr!J10=".",d_Irr!AI10=".",d_Irr!BH10&lt;&gt;"."),d_dir!AK10/((1/1000)*(d_Irr!BH10)),IF(AND(d_Irr!J10=".",d_Irr!AI10&lt;&gt;".",d_Irr!BH10="."),d_dir!AK10/((1/1000)*(d_Irr!AI10)),IF(AND(d_Irr!J10&lt;&gt;".",d_Irr!AI10=".",d_Irr!BH10="."),d_dir!AK10/((1/1000)*(d_Irr!J10)),IF(AND(d_Irr!J10=".",d_Irr!AI10=".",d_Irr!BH10="."),d_dir!AK10*1000)))))))),".")</f>
        <v>1.7012061099495215</v>
      </c>
      <c r="AL10" s="76">
        <f>IFERROR(IF(AND(d_Irr!K10&lt;&gt;".",d_Irr!AJ10&lt;&gt;".",d_Irr!BI10&lt;&gt;"."),d_dir!AL10/((1/1000)*(d_Irr!K10+d_Irr!AJ10+d_Irr!BI10)),IF(AND(d_Irr!K10&lt;&gt;".",d_Irr!AJ10&lt;&gt;".",d_Irr!BI10="."),d_dir!AL10/((1/1000)*(d_Irr!K10+d_Irr!AJ10)),IF(AND(d_Irr!K10&lt;&gt;".",d_Irr!AJ10=".",d_Irr!BI10&lt;&gt;"."),d_dir!AL10/((1/1000)*(d_Irr!K10+d_Irr!BI10)),IF(AND(d_Irr!K10=".",d_Irr!AJ10&lt;&gt;".",d_Irr!BI10&lt;&gt;"."),d_dir!AL10/((1/1000)*(d_Irr!AJ10+d_Irr!BI10)),IF(AND(d_Irr!K10=".",d_Irr!AJ10=".",d_Irr!BI10&lt;&gt;"."),d_dir!AL10/((1/1000)*(d_Irr!BI10)),IF(AND(d_Irr!K10=".",d_Irr!AJ10&lt;&gt;".",d_Irr!BI10="."),d_dir!AL10/((1/1000)*(d_Irr!AJ10)),IF(AND(d_Irr!K10&lt;&gt;".",d_Irr!AJ10=".",d_Irr!BI10="."),d_dir!AL10/((1/1000)*(d_Irr!K10)),IF(AND(d_Irr!K10=".",d_Irr!AJ10=".",d_Irr!BI10="."),d_dir!AL10*1000)))))))),".")</f>
        <v>5.3131053898066751</v>
      </c>
      <c r="AM10" s="76">
        <f>IFERROR(IF(AND(d_Irr!L10&lt;&gt;".",d_Irr!AK10&lt;&gt;".",d_Irr!BJ10&lt;&gt;"."),d_dir!AM10/((1/1000)*(d_Irr!L10+d_Irr!AK10+d_Irr!BJ10)),IF(AND(d_Irr!L10&lt;&gt;".",d_Irr!AK10&lt;&gt;".",d_Irr!BJ10="."),d_dir!AM10/((1/1000)*(d_Irr!L10+d_Irr!AK10)),IF(AND(d_Irr!L10&lt;&gt;".",d_Irr!AK10=".",d_Irr!BJ10&lt;&gt;"."),d_dir!AM10/((1/1000)*(d_Irr!L10+d_Irr!BJ10)),IF(AND(d_Irr!L10=".",d_Irr!AK10&lt;&gt;".",d_Irr!BJ10&lt;&gt;"."),d_dir!AM10/((1/1000)*(d_Irr!AK10+d_Irr!BJ10)),IF(AND(d_Irr!L10=".",d_Irr!AK10=".",d_Irr!BJ10&lt;&gt;"."),d_dir!AM10/((1/1000)*(d_Irr!BJ10)),IF(AND(d_Irr!L10=".",d_Irr!AK10&lt;&gt;".",d_Irr!BJ10="."),d_dir!AM10/((1/1000)*(d_Irr!AK10)),IF(AND(d_Irr!L10&lt;&gt;".",d_Irr!AK10=".",d_Irr!BJ10="."),d_dir!AM10/((1/1000)*(d_Irr!L10)),IF(AND(d_Irr!L10=".",d_Irr!AK10=".",d_Irr!BJ10="."),d_dir!AM10*1000)))))))),".")</f>
        <v>8.8565996270256626</v>
      </c>
      <c r="AN10" s="76">
        <f>IFERROR(IF(AND(d_Irr!M10&lt;&gt;".",d_Irr!AL10&lt;&gt;".",d_Irr!BK10&lt;&gt;"."),d_dir!AN10/((1/1000)*(d_Irr!M10+d_Irr!AL10+d_Irr!BK10)),IF(AND(d_Irr!M10&lt;&gt;".",d_Irr!AL10&lt;&gt;".",d_Irr!BK10="."),d_dir!AN10/((1/1000)*(d_Irr!M10+d_Irr!AL10)),IF(AND(d_Irr!M10&lt;&gt;".",d_Irr!AL10=".",d_Irr!BK10&lt;&gt;"."),d_dir!AN10/((1/1000)*(d_Irr!M10+d_Irr!BK10)),IF(AND(d_Irr!M10=".",d_Irr!AL10&lt;&gt;".",d_Irr!BK10&lt;&gt;"."),d_dir!AN10/((1/1000)*(d_Irr!AL10+d_Irr!BK10)),IF(AND(d_Irr!M10=".",d_Irr!AL10=".",d_Irr!BK10&lt;&gt;"."),d_dir!AN10/((1/1000)*(d_Irr!BK10)),IF(AND(d_Irr!M10=".",d_Irr!AL10&lt;&gt;".",d_Irr!BK10="."),d_dir!AN10/((1/1000)*(d_Irr!AL10)),IF(AND(d_Irr!M10&lt;&gt;".",d_Irr!AL10=".",d_Irr!BK10="."),d_dir!AN10/((1/1000)*(d_Irr!M10)),IF(AND(d_Irr!M10=".",d_Irr!AL10=".",d_Irr!BK10="."),d_dir!AN10*1000)))))))),".")</f>
        <v>9.6154298120792152</v>
      </c>
      <c r="AO10" s="76">
        <f>IFERROR(IF(AND(d_Irr!N10&lt;&gt;".",d_Irr!AM10&lt;&gt;".",d_Irr!BL10&lt;&gt;"."),d_dir!AO10/((1/1000)*(d_Irr!N10+d_Irr!AM10+d_Irr!BL10)),IF(AND(d_Irr!N10&lt;&gt;".",d_Irr!AM10&lt;&gt;".",d_Irr!BL10="."),d_dir!AO10/((1/1000)*(d_Irr!N10+d_Irr!AM10)),IF(AND(d_Irr!N10&lt;&gt;".",d_Irr!AM10=".",d_Irr!BL10&lt;&gt;"."),d_dir!AO10/((1/1000)*(d_Irr!N10+d_Irr!BL10)),IF(AND(d_Irr!N10=".",d_Irr!AM10&lt;&gt;".",d_Irr!BL10&lt;&gt;"."),d_dir!AO10/((1/1000)*(d_Irr!AM10+d_Irr!BL10)),IF(AND(d_Irr!N10=".",d_Irr!AM10=".",d_Irr!BL10&lt;&gt;"."),d_dir!AO10/((1/1000)*(d_Irr!BL10)),IF(AND(d_Irr!N10=".",d_Irr!AM10&lt;&gt;".",d_Irr!BL10="."),d_dir!AO10/((1/1000)*(d_Irr!AM10)),IF(AND(d_Irr!N10&lt;&gt;".",d_Irr!AM10=".",d_Irr!BL10="."),d_dir!AO10/((1/1000)*(d_Irr!N10)),IF(AND(d_Irr!N10=".",d_Irr!AM10=".",d_Irr!BL10="."),d_dir!AO10*1000)))))))),".")</f>
        <v>11.425392192204699</v>
      </c>
      <c r="AP10" s="76">
        <f>IFERROR(IF(AND(d_Irr!O10&lt;&gt;".",d_Irr!AN10&lt;&gt;".",d_Irr!BM10&lt;&gt;"."),d_dir!AP10/((1/1000)*(d_Irr!O10+d_Irr!AN10+d_Irr!BM10)),IF(AND(d_Irr!O10&lt;&gt;".",d_Irr!AN10&lt;&gt;".",d_Irr!BM10="."),d_dir!AP10/((1/1000)*(d_Irr!O10+d_Irr!AN10)),IF(AND(d_Irr!O10&lt;&gt;".",d_Irr!AN10=".",d_Irr!BM10&lt;&gt;"."),d_dir!AP10/((1/1000)*(d_Irr!O10+d_Irr!BM10)),IF(AND(d_Irr!O10=".",d_Irr!AN10&lt;&gt;".",d_Irr!BM10&lt;&gt;"."),d_dir!AP10/((1/1000)*(d_Irr!AN10+d_Irr!BM10)),IF(AND(d_Irr!O10=".",d_Irr!AN10=".",d_Irr!BM10&lt;&gt;"."),d_dir!AP10/((1/1000)*(d_Irr!BM10)),IF(AND(d_Irr!O10=".",d_Irr!AN10&lt;&gt;".",d_Irr!BM10="."),d_dir!AP10/((1/1000)*(d_Irr!AN10)),IF(AND(d_Irr!O10&lt;&gt;".",d_Irr!AN10=".",d_Irr!BM10="."),d_dir!AP10/((1/1000)*(d_Irr!O10)),IF(AND(d_Irr!O10=".",d_Irr!AN10=".",d_Irr!BM10="."),d_dir!AP10*1000)))))))),".")</f>
        <v>15.956188397519119</v>
      </c>
      <c r="AQ10" s="76">
        <f>IFERROR(IF(AND(d_Irr!P10&lt;&gt;".",d_Irr!AO10&lt;&gt;".",d_Irr!BN10&lt;&gt;"."),d_dir!AQ10/((1/1000)*(d_Irr!P10+d_Irr!AO10+d_Irr!BN10)),IF(AND(d_Irr!P10&lt;&gt;".",d_Irr!AO10&lt;&gt;".",d_Irr!BN10="."),d_dir!AQ10/((1/1000)*(d_Irr!P10+d_Irr!AO10)),IF(AND(d_Irr!P10&lt;&gt;".",d_Irr!AO10=".",d_Irr!BN10&lt;&gt;"."),d_dir!AQ10/((1/1000)*(d_Irr!P10+d_Irr!BN10)),IF(AND(d_Irr!P10=".",d_Irr!AO10&lt;&gt;".",d_Irr!BN10&lt;&gt;"."),d_dir!AQ10/((1/1000)*(d_Irr!AO10+d_Irr!BN10)),IF(AND(d_Irr!P10=".",d_Irr!AO10=".",d_Irr!BN10&lt;&gt;"."),d_dir!AQ10/((1/1000)*(d_Irr!BN10)),IF(AND(d_Irr!P10=".",d_Irr!AO10&lt;&gt;".",d_Irr!BN10="."),d_dir!AQ10/((1/1000)*(d_Irr!AO10)),IF(AND(d_Irr!P10&lt;&gt;".",d_Irr!AO10=".",d_Irr!BN10="."),d_dir!AQ10/((1/1000)*(d_Irr!P10)),IF(AND(d_Irr!P10=".",d_Irr!AO10=".",d_Irr!BN10="."),d_dir!AQ10*1000)))))))),".")</f>
        <v>15.262743098807293</v>
      </c>
      <c r="AR10" s="76">
        <f>IFERROR(IF(AND(d_Irr!Q10&lt;&gt;".",d_Irr!AP10&lt;&gt;".",d_Irr!BO10&lt;&gt;"."),d_dir!AR10/((1/1000)*(d_Irr!Q10+d_Irr!AP10+d_Irr!BO10)),IF(AND(d_Irr!Q10&lt;&gt;".",d_Irr!AP10&lt;&gt;".",d_Irr!BO10="."),d_dir!AR10/((1/1000)*(d_Irr!Q10+d_Irr!AP10)),IF(AND(d_Irr!Q10&lt;&gt;".",d_Irr!AP10=".",d_Irr!BO10&lt;&gt;"."),d_dir!AR10/((1/1000)*(d_Irr!Q10+d_Irr!BO10)),IF(AND(d_Irr!Q10=".",d_Irr!AP10&lt;&gt;".",d_Irr!BO10&lt;&gt;"."),d_dir!AR10/((1/1000)*(d_Irr!AP10+d_Irr!BO10)),IF(AND(d_Irr!Q10=".",d_Irr!AP10=".",d_Irr!BO10&lt;&gt;"."),d_dir!AR10/((1/1000)*(d_Irr!BO10)),IF(AND(d_Irr!Q10=".",d_Irr!AP10&lt;&gt;".",d_Irr!BO10="."),d_dir!AR10/((1/1000)*(d_Irr!AP10)),IF(AND(d_Irr!Q10&lt;&gt;".",d_Irr!AP10=".",d_Irr!BO10="."),d_dir!AR10/((1/1000)*(d_Irr!Q10)),IF(AND(d_Irr!Q10=".",d_Irr!AP10=".",d_Irr!BO10="."),d_dir!AR10*1000)))))))),".")</f>
        <v>4.8435126258295886</v>
      </c>
      <c r="AS10" s="76">
        <f>IFERROR(IF(AND(d_Irr!R10&lt;&gt;".",d_Irr!AQ10&lt;&gt;".",d_Irr!BP10&lt;&gt;"."),d_dir!AS10/((1/1000)*(d_Irr!R10+d_Irr!AQ10+d_Irr!BP10)),IF(AND(d_Irr!R10&lt;&gt;".",d_Irr!AQ10&lt;&gt;".",d_Irr!BP10="."),d_dir!AS10/((1/1000)*(d_Irr!R10+d_Irr!AQ10)),IF(AND(d_Irr!R10&lt;&gt;".",d_Irr!AQ10=".",d_Irr!BP10&lt;&gt;"."),d_dir!AS10/((1/1000)*(d_Irr!R10+d_Irr!BP10)),IF(AND(d_Irr!R10=".",d_Irr!AQ10&lt;&gt;".",d_Irr!BP10&lt;&gt;"."),d_dir!AS10/((1/1000)*(d_Irr!AQ10+d_Irr!BP10)),IF(AND(d_Irr!R10=".",d_Irr!AQ10=".",d_Irr!BP10&lt;&gt;"."),d_dir!AS10/((1/1000)*(d_Irr!BP10)),IF(AND(d_Irr!R10=".",d_Irr!AQ10&lt;&gt;".",d_Irr!BP10="."),d_dir!AS10/((1/1000)*(d_Irr!AQ10)),IF(AND(d_Irr!R10&lt;&gt;".",d_Irr!AQ10=".",d_Irr!BP10="."),d_dir!AS10/((1/1000)*(d_Irr!R10)),IF(AND(d_Irr!R10=".",d_Irr!AQ10=".",d_Irr!BP10="."),d_dir!AS10*1000)))))))),".")</f>
        <v>7.8980436629005872</v>
      </c>
      <c r="AT10" s="76">
        <f>IFERROR(IF(AND(d_Irr!S10&lt;&gt;".",d_Irr!AR10&lt;&gt;".",d_Irr!BQ10&lt;&gt;"."),d_dir!AT10/((1/1000)*(d_Irr!S10+d_Irr!AR10+d_Irr!BQ10)),IF(AND(d_Irr!S10&lt;&gt;".",d_Irr!AR10&lt;&gt;".",d_Irr!BQ10="."),d_dir!AT10/((1/1000)*(d_Irr!S10+d_Irr!AR10)),IF(AND(d_Irr!S10&lt;&gt;".",d_Irr!AR10=".",d_Irr!BQ10&lt;&gt;"."),d_dir!AT10/((1/1000)*(d_Irr!S10+d_Irr!BQ10)),IF(AND(d_Irr!S10=".",d_Irr!AR10&lt;&gt;".",d_Irr!BQ10&lt;&gt;"."),d_dir!AT10/((1/1000)*(d_Irr!AR10+d_Irr!BQ10)),IF(AND(d_Irr!S10=".",d_Irr!AR10=".",d_Irr!BQ10&lt;&gt;"."),d_dir!AT10/((1/1000)*(d_Irr!BQ10)),IF(AND(d_Irr!S10=".",d_Irr!AR10&lt;&gt;".",d_Irr!BQ10="."),d_dir!AT10/((1/1000)*(d_Irr!AR10)),IF(AND(d_Irr!S10&lt;&gt;".",d_Irr!AR10=".",d_Irr!BQ10="."),d_dir!AT10/((1/1000)*(d_Irr!S10)),IF(AND(d_Irr!S10=".",d_Irr!AR10=".",d_Irr!BQ10="."),d_dir!AT10*1000)))))))),".")</f>
        <v>12.578819392346618</v>
      </c>
      <c r="AU10" s="76">
        <f>IFERROR(IF(AND(d_Irr!T10&lt;&gt;".",d_Irr!AS10&lt;&gt;".",d_Irr!BR10&lt;&gt;"."),d_dir!AU10/((1/1000)*(d_Irr!T10+d_Irr!AS10+d_Irr!BR10)),IF(AND(d_Irr!T10&lt;&gt;".",d_Irr!AS10&lt;&gt;".",d_Irr!BR10="."),d_dir!AU10/((1/1000)*(d_Irr!T10+d_Irr!AS10)),IF(AND(d_Irr!T10&lt;&gt;".",d_Irr!AS10=".",d_Irr!BR10&lt;&gt;"."),d_dir!AU10/((1/1000)*(d_Irr!T10+d_Irr!BR10)),IF(AND(d_Irr!T10=".",d_Irr!AS10&lt;&gt;".",d_Irr!BR10&lt;&gt;"."),d_dir!AU10/((1/1000)*(d_Irr!AS10+d_Irr!BR10)),IF(AND(d_Irr!T10=".",d_Irr!AS10=".",d_Irr!BR10&lt;&gt;"."),d_dir!AU10/((1/1000)*(d_Irr!BR10)),IF(AND(d_Irr!T10=".",d_Irr!AS10&lt;&gt;".",d_Irr!BR10="."),d_dir!AU10/((1/1000)*(d_Irr!AS10)),IF(AND(d_Irr!T10&lt;&gt;".",d_Irr!AS10=".",d_Irr!BR10="."),d_dir!AU10/((1/1000)*(d_Irr!T10)),IF(AND(d_Irr!T10=".",d_Irr!AS10=".",d_Irr!BR10="."),d_dir!AU10*1000)))))))),".")</f>
        <v>17.317414549876716</v>
      </c>
      <c r="AV10" s="76">
        <f>IFERROR(IF(AND(d_Irr!U10&lt;&gt;".",d_Irr!AT10&lt;&gt;".",d_Irr!BS10&lt;&gt;"."),d_dir!AV10/((1/1000)*(d_Irr!U10+d_Irr!AT10+d_Irr!BS10)),IF(AND(d_Irr!U10&lt;&gt;".",d_Irr!AT10&lt;&gt;".",d_Irr!BS10="."),d_dir!AV10/((1/1000)*(d_Irr!U10+d_Irr!AT10)),IF(AND(d_Irr!U10&lt;&gt;".",d_Irr!AT10=".",d_Irr!BS10&lt;&gt;"."),d_dir!AV10/((1/1000)*(d_Irr!U10+d_Irr!BS10)),IF(AND(d_Irr!U10=".",d_Irr!AT10&lt;&gt;".",d_Irr!BS10&lt;&gt;"."),d_dir!AV10/((1/1000)*(d_Irr!AT10+d_Irr!BS10)),IF(AND(d_Irr!U10=".",d_Irr!AT10=".",d_Irr!BS10&lt;&gt;"."),d_dir!AV10/((1/1000)*(d_Irr!BS10)),IF(AND(d_Irr!U10=".",d_Irr!AT10&lt;&gt;".",d_Irr!BS10="."),d_dir!AV10/((1/1000)*(d_Irr!AT10)),IF(AND(d_Irr!U10&lt;&gt;".",d_Irr!AT10=".",d_Irr!BS10="."),d_dir!AV10/((1/1000)*(d_Irr!U10)),IF(AND(d_Irr!U10=".",d_Irr!AT10=".",d_Irr!BS10="."),d_dir!AV10*1000)))))))),".")</f>
        <v>2.6341261120448811</v>
      </c>
      <c r="AW10" s="76">
        <f>IFERROR(IF(AND(d_Irr!V10&lt;&gt;".",d_Irr!AU10&lt;&gt;".",d_Irr!BT10&lt;&gt;"."),d_dir!AW10/((1/1000)*(d_Irr!V10+d_Irr!AU10+d_Irr!BT10)),IF(AND(d_Irr!V10&lt;&gt;".",d_Irr!AU10&lt;&gt;".",d_Irr!BT10="."),d_dir!AW10/((1/1000)*(d_Irr!V10+d_Irr!AU10)),IF(AND(d_Irr!V10&lt;&gt;".",d_Irr!AU10=".",d_Irr!BT10&lt;&gt;"."),d_dir!AW10/((1/1000)*(d_Irr!V10+d_Irr!BT10)),IF(AND(d_Irr!V10=".",d_Irr!AU10&lt;&gt;".",d_Irr!BT10&lt;&gt;"."),d_dir!AW10/((1/1000)*(d_Irr!AU10+d_Irr!BT10)),IF(AND(d_Irr!V10=".",d_Irr!AU10=".",d_Irr!BT10&lt;&gt;"."),d_dir!AW10/((1/1000)*(d_Irr!BT10)),IF(AND(d_Irr!V10=".",d_Irr!AU10&lt;&gt;".",d_Irr!BT10="."),d_dir!AW10/((1/1000)*(d_Irr!AU10)),IF(AND(d_Irr!V10&lt;&gt;".",d_Irr!AU10=".",d_Irr!BT10="."),d_dir!AW10/((1/1000)*(d_Irr!V10)),IF(AND(d_Irr!V10=".",d_Irr!AU10=".",d_Irr!BT10="."),d_dir!AW10*1000)))))))),".")</f>
        <v>7.6088519474969036</v>
      </c>
      <c r="AX10" s="76">
        <f>IFERROR(IF(AND(d_Irr!W10&lt;&gt;".",d_Irr!AV10&lt;&gt;".",d_Irr!BU10&lt;&gt;"."),d_dir!AX10/((1/1000)*(d_Irr!W10+d_Irr!AV10+d_Irr!BU10)),IF(AND(d_Irr!W10&lt;&gt;".",d_Irr!AV10&lt;&gt;".",d_Irr!BU10="."),d_dir!AX10/((1/1000)*(d_Irr!W10+d_Irr!AV10)),IF(AND(d_Irr!W10&lt;&gt;".",d_Irr!AV10=".",d_Irr!BU10&lt;&gt;"."),d_dir!AX10/((1/1000)*(d_Irr!W10+d_Irr!BU10)),IF(AND(d_Irr!W10=".",d_Irr!AV10&lt;&gt;".",d_Irr!BU10&lt;&gt;"."),d_dir!AX10/((1/1000)*(d_Irr!AV10+d_Irr!BU10)),IF(AND(d_Irr!W10=".",d_Irr!AV10=".",d_Irr!BU10&lt;&gt;"."),d_dir!AX10/((1/1000)*(d_Irr!BU10)),IF(AND(d_Irr!W10=".",d_Irr!AV10&lt;&gt;".",d_Irr!BU10="."),d_dir!AX10/((1/1000)*(d_Irr!AV10)),IF(AND(d_Irr!W10&lt;&gt;".",d_Irr!AV10=".",d_Irr!BU10="."),d_dir!AX10/((1/1000)*(d_Irr!W10)),IF(AND(d_Irr!W10=".",d_Irr!AV10=".",d_Irr!BU10="."),d_dir!AX10*1000)))))))),".")</f>
        <v>7.1894917976313497</v>
      </c>
      <c r="AY10" s="76">
        <f>IFERROR(IF(AND(d_Irr!X10&lt;&gt;".",d_Irr!AW10&lt;&gt;".",d_Irr!BV10&lt;&gt;"."),d_dir!AY10/((1/1000)*(d_Irr!X10+d_Irr!AW10+d_Irr!BV10)),IF(AND(d_Irr!X10&lt;&gt;".",d_Irr!AW10&lt;&gt;".",d_Irr!BV10="."),d_dir!AY10/((1/1000)*(d_Irr!X10+d_Irr!AW10)),IF(AND(d_Irr!X10&lt;&gt;".",d_Irr!AW10=".",d_Irr!BV10&lt;&gt;"."),d_dir!AY10/((1/1000)*(d_Irr!X10+d_Irr!BV10)),IF(AND(d_Irr!X10=".",d_Irr!AW10&lt;&gt;".",d_Irr!BV10&lt;&gt;"."),d_dir!AY10/((1/1000)*(d_Irr!AW10+d_Irr!BV10)),IF(AND(d_Irr!X10=".",d_Irr!AW10=".",d_Irr!BV10&lt;&gt;"."),d_dir!AY10/((1/1000)*(d_Irr!BV10)),IF(AND(d_Irr!X10=".",d_Irr!AW10&lt;&gt;".",d_Irr!BV10="."),d_dir!AY10/((1/1000)*(d_Irr!AW10)),IF(AND(d_Irr!X10&lt;&gt;".",d_Irr!AW10=".",d_Irr!BV10="."),d_dir!AY10/((1/1000)*(d_Irr!X10)),IF(AND(d_Irr!X10=".",d_Irr!AW10=".",d_Irr!BV10="."),d_dir!AY10*1000)))))))),".")</f>
        <v>13.196504930040016</v>
      </c>
      <c r="AZ10" s="76">
        <f>IFERROR(IF(AND(d_Irr!Y10&lt;&gt;".",d_Irr!AX10&lt;&gt;".",d_Irr!BW10&lt;&gt;"."),d_dir!AZ10/((1/1000)*(d_Irr!Y10+d_Irr!AX10+d_Irr!BW10)),IF(AND(d_Irr!Y10&lt;&gt;".",d_Irr!AX10&lt;&gt;".",d_Irr!BW10="."),d_dir!AZ10/((1/1000)*(d_Irr!Y10+d_Irr!AX10)),IF(AND(d_Irr!Y10&lt;&gt;".",d_Irr!AX10=".",d_Irr!BW10&lt;&gt;"."),d_dir!AZ10/((1/1000)*(d_Irr!Y10+d_Irr!BW10)),IF(AND(d_Irr!Y10=".",d_Irr!AX10&lt;&gt;".",d_Irr!BW10&lt;&gt;"."),d_dir!AZ10/((1/1000)*(d_Irr!AX10+d_Irr!BW10)),IF(AND(d_Irr!Y10=".",d_Irr!AX10=".",d_Irr!BW10&lt;&gt;"."),d_dir!AZ10/((1/1000)*(d_Irr!BW10)),IF(AND(d_Irr!Y10=".",d_Irr!AX10&lt;&gt;".",d_Irr!BW10="."),d_dir!AZ10/((1/1000)*(d_Irr!AX10)),IF(AND(d_Irr!Y10&lt;&gt;".",d_Irr!AX10=".",d_Irr!BW10="."),d_dir!AZ10/((1/1000)*(d_Irr!Y10)),IF(AND(d_Irr!Y10=".",d_Irr!AX10=".",d_Irr!BW10="."),d_dir!AZ10*1000)))))))),".")</f>
        <v>4.9740439593335219</v>
      </c>
      <c r="BA10" s="76">
        <f>IFERROR(IF(AND(d_Irr!Z10&lt;&gt;".",d_Irr!AY10&lt;&gt;".",d_Irr!BX10&lt;&gt;"."),d_dir!BA10/((1/1000)*(d_Irr!Z10+d_Irr!AY10+d_Irr!BX10)),IF(AND(d_Irr!Z10&lt;&gt;".",d_Irr!AY10&lt;&gt;".",d_Irr!BX10="."),d_dir!BA10/((1/1000)*(d_Irr!Z10+d_Irr!AY10)),IF(AND(d_Irr!Z10&lt;&gt;".",d_Irr!AY10=".",d_Irr!BX10&lt;&gt;"."),d_dir!BA10/((1/1000)*(d_Irr!Z10+d_Irr!BX10)),IF(AND(d_Irr!Z10=".",d_Irr!AY10&lt;&gt;".",d_Irr!BX10&lt;&gt;"."),d_dir!BA10/((1/1000)*(d_Irr!AY10+d_Irr!BX10)),IF(AND(d_Irr!Z10=".",d_Irr!AY10=".",d_Irr!BX10&lt;&gt;"."),d_dir!BA10/((1/1000)*(d_Irr!BX10)),IF(AND(d_Irr!Z10=".",d_Irr!AY10&lt;&gt;".",d_Irr!BX10="."),d_dir!BA10/((1/1000)*(d_Irr!AY10)),IF(AND(d_Irr!Z10&lt;&gt;".",d_Irr!AY10=".",d_Irr!BX10="."),d_dir!BA10/((1/1000)*(d_Irr!Z10)),IF(AND(d_Irr!Z10=".",d_Irr!AY10=".",d_Irr!BX10="."),d_dir!BA10*1000)))))))),".")</f>
        <v>1.8849632985195783</v>
      </c>
      <c r="BB10" s="76">
        <f>IFERROR(IF(AND(d_Irr!AA10&lt;&gt;".",d_Irr!AZ10&lt;&gt;".",d_Irr!BY10&lt;&gt;"."),d_dir!BB10/((1/1000)*(d_Irr!AA10+d_Irr!AZ10+d_Irr!BY10)),IF(AND(d_Irr!AA10&lt;&gt;".",d_Irr!AZ10&lt;&gt;".",d_Irr!BY10="."),d_dir!BB10/((1/1000)*(d_Irr!AA10+d_Irr!AZ10)),IF(AND(d_Irr!AA10&lt;&gt;".",d_Irr!AZ10=".",d_Irr!BY10&lt;&gt;"."),d_dir!BB10/((1/1000)*(d_Irr!AA10+d_Irr!BY10)),IF(AND(d_Irr!AA10=".",d_Irr!AZ10&lt;&gt;".",d_Irr!BY10&lt;&gt;"."),d_dir!BB10/((1/1000)*(d_Irr!AZ10+d_Irr!BY10)),IF(AND(d_Irr!AA10=".",d_Irr!AZ10=".",d_Irr!BY10&lt;&gt;"."),d_dir!BB10/((1/1000)*(d_Irr!BY10)),IF(AND(d_Irr!AA10=".",d_Irr!AZ10&lt;&gt;".",d_Irr!BY10="."),d_dir!BB10/((1/1000)*(d_Irr!AZ10)),IF(AND(d_Irr!AA10&lt;&gt;".",d_Irr!AZ10=".",d_Irr!BY10="."),d_dir!BB10/((1/1000)*(d_Irr!AA10)),IF(AND(d_Irr!AA10=".",d_Irr!AZ10=".",d_Irr!BY10="."),d_dir!BB10*1000)))))))),".")</f>
        <v>1.7703701581722495</v>
      </c>
    </row>
    <row r="11" spans="1:54" ht="15" customHeight="1" x14ac:dyDescent="0.25">
      <c r="A11" s="92" t="s">
        <v>21</v>
      </c>
      <c r="B11" s="90" t="s">
        <v>1071</v>
      </c>
      <c r="C11" s="2" t="str">
        <f t="shared" si="1"/>
        <v>.</v>
      </c>
      <c r="D11" s="76" t="str">
        <f>IFERROR(IF(AND(d_Irr!C11&lt;&gt;".",d_Irr!AB11&lt;&gt;".",d_Irr!BA11&lt;&gt;"."),d_dir!D11/((1/1000)*(d_Irr!C11+d_Irr!AB11+d_Irr!BA11)),IF(AND(d_Irr!C11&lt;&gt;".",d_Irr!AB11&lt;&gt;".",d_Irr!BA11="."),d_dir!D11/((1/1000)*(d_Irr!C11+d_Irr!AB11)),IF(AND(d_Irr!C11&lt;&gt;".",d_Irr!AB11=".",d_Irr!BA11&lt;&gt;"."),d_dir!D11/((1/1000)*(d_Irr!C11+d_Irr!BA11)),IF(AND(d_Irr!C11=".",d_Irr!AB11&lt;&gt;".",d_Irr!BA11&lt;&gt;"."),d_dir!D11/((1/1000)*(d_Irr!AB11+d_Irr!BA11)),IF(AND(d_Irr!C11=".",d_Irr!AB11=".",d_Irr!BA11&lt;&gt;"."),d_dir!D11/((1/1000)*(d_Irr!BA11)),IF(AND(d_Irr!C11=".",d_Irr!AB11&lt;&gt;".",d_Irr!BA11="."),d_dir!D11/((1/1000)*(d_Irr!AB11)),IF(AND(d_Irr!C11&lt;&gt;".",d_Irr!AB11=".",d_Irr!BA11="."),d_dir!D11/((1/1000)*(d_Irr!C11)),IF(AND(d_Irr!C11=".",d_Irr!AB11=".",d_Irr!BA11="."),d_dir!D11*1000)))))))),".")</f>
        <v>.</v>
      </c>
      <c r="E11" s="76" t="str">
        <f>IFERROR(IF(AND(d_Irr!D11&lt;&gt;".",d_Irr!AC11&lt;&gt;".",d_Irr!BB11&lt;&gt;"."),d_dir!E11/((1/1000)*(d_Irr!D11+d_Irr!AC11+d_Irr!BB11)),IF(AND(d_Irr!D11&lt;&gt;".",d_Irr!AC11&lt;&gt;".",d_Irr!BB11="."),d_dir!E11/((1/1000)*(d_Irr!D11+d_Irr!AC11)),IF(AND(d_Irr!D11&lt;&gt;".",d_Irr!AC11=".",d_Irr!BB11&lt;&gt;"."),d_dir!E11/((1/1000)*(d_Irr!D11+d_Irr!BB11)),IF(AND(d_Irr!D11=".",d_Irr!AC11&lt;&gt;".",d_Irr!BB11&lt;&gt;"."),d_dir!E11/((1/1000)*(d_Irr!AC11+d_Irr!BB11)),IF(AND(d_Irr!D11=".",d_Irr!AC11=".",d_Irr!BB11&lt;&gt;"."),d_dir!E11/((1/1000)*(d_Irr!BB11)),IF(AND(d_Irr!D11=".",d_Irr!AC11&lt;&gt;".",d_Irr!BB11="."),d_dir!E11/((1/1000)*(d_Irr!AC11)),IF(AND(d_Irr!D11&lt;&gt;".",d_Irr!AC11=".",d_Irr!BB11="."),d_dir!E11/((1/1000)*(d_Irr!D11)),IF(AND(d_Irr!D11=".",d_Irr!AC11=".",d_Irr!BB11="."),d_dir!E11*1000)))))))),".")</f>
        <v>.</v>
      </c>
      <c r="F11" s="76" t="str">
        <f>IFERROR(IF(AND(d_Irr!E11&lt;&gt;".",d_Irr!AD11&lt;&gt;".",d_Irr!BC11&lt;&gt;"."),d_dir!F11/((1/1000)*(d_Irr!E11+d_Irr!AD11+d_Irr!BC11)),IF(AND(d_Irr!E11&lt;&gt;".",d_Irr!AD11&lt;&gt;".",d_Irr!BC11="."),d_dir!F11/((1/1000)*(d_Irr!E11+d_Irr!AD11)),IF(AND(d_Irr!E11&lt;&gt;".",d_Irr!AD11=".",d_Irr!BC11&lt;&gt;"."),d_dir!F11/((1/1000)*(d_Irr!E11+d_Irr!BC11)),IF(AND(d_Irr!E11=".",d_Irr!AD11&lt;&gt;".",d_Irr!BC11&lt;&gt;"."),d_dir!F11/((1/1000)*(d_Irr!AD11+d_Irr!BC11)),IF(AND(d_Irr!E11=".",d_Irr!AD11=".",d_Irr!BC11&lt;&gt;"."),d_dir!F11/((1/1000)*(d_Irr!BC11)),IF(AND(d_Irr!E11=".",d_Irr!AD11&lt;&gt;".",d_Irr!BC11="."),d_dir!F11/((1/1000)*(d_Irr!AD11)),IF(AND(d_Irr!E11&lt;&gt;".",d_Irr!AD11=".",d_Irr!BC11="."),d_dir!F11/((1/1000)*(d_Irr!E11)),IF(AND(d_Irr!E11=".",d_Irr!AD11=".",d_Irr!BC11="."),d_dir!F11*1000)))))))),".")</f>
        <v>.</v>
      </c>
      <c r="G11" s="76" t="str">
        <f>IFERROR(IF(AND(d_Irr!F11&lt;&gt;".",d_Irr!AE11&lt;&gt;".",d_Irr!BD11&lt;&gt;"."),d_dir!G11/((1/1000)*(d_Irr!F11+d_Irr!AE11+d_Irr!BD11)),IF(AND(d_Irr!F11&lt;&gt;".",d_Irr!AE11&lt;&gt;".",d_Irr!BD11="."),d_dir!G11/((1/1000)*(d_Irr!F11+d_Irr!AE11)),IF(AND(d_Irr!F11&lt;&gt;".",d_Irr!AE11=".",d_Irr!BD11&lt;&gt;"."),d_dir!G11/((1/1000)*(d_Irr!F11+d_Irr!BD11)),IF(AND(d_Irr!F11=".",d_Irr!AE11&lt;&gt;".",d_Irr!BD11&lt;&gt;"."),d_dir!G11/((1/1000)*(d_Irr!AE11+d_Irr!BD11)),IF(AND(d_Irr!F11=".",d_Irr!AE11=".",d_Irr!BD11&lt;&gt;"."),d_dir!G11/((1/1000)*(d_Irr!BD11)),IF(AND(d_Irr!F11=".",d_Irr!AE11&lt;&gt;".",d_Irr!BD11="."),d_dir!G11/((1/1000)*(d_Irr!AE11)),IF(AND(d_Irr!F11&lt;&gt;".",d_Irr!AE11=".",d_Irr!BD11="."),d_dir!G11/((1/1000)*(d_Irr!F11)),IF(AND(d_Irr!F11=".",d_Irr!AE11=".",d_Irr!BD11="."),d_dir!G11*1000)))))))),".")</f>
        <v>.</v>
      </c>
      <c r="H11" s="76" t="str">
        <f>IFERROR(IF(AND(d_Irr!G11&lt;&gt;".",d_Irr!AF11&lt;&gt;".",d_Irr!BE11&lt;&gt;"."),d_dir!H11/((1/1000)*(d_Irr!G11+d_Irr!AF11+d_Irr!BE11)),IF(AND(d_Irr!G11&lt;&gt;".",d_Irr!AF11&lt;&gt;".",d_Irr!BE11="."),d_dir!H11/((1/1000)*(d_Irr!G11+d_Irr!AF11)),IF(AND(d_Irr!G11&lt;&gt;".",d_Irr!AF11=".",d_Irr!BE11&lt;&gt;"."),d_dir!H11/((1/1000)*(d_Irr!G11+d_Irr!BE11)),IF(AND(d_Irr!G11=".",d_Irr!AF11&lt;&gt;".",d_Irr!BE11&lt;&gt;"."),d_dir!H11/((1/1000)*(d_Irr!AF11+d_Irr!BE11)),IF(AND(d_Irr!G11=".",d_Irr!AF11=".",d_Irr!BE11&lt;&gt;"."),d_dir!H11/((1/1000)*(d_Irr!BE11)),IF(AND(d_Irr!G11=".",d_Irr!AF11&lt;&gt;".",d_Irr!BE11="."),d_dir!H11/((1/1000)*(d_Irr!AF11)),IF(AND(d_Irr!G11&lt;&gt;".",d_Irr!AF11=".",d_Irr!BE11="."),d_dir!H11/((1/1000)*(d_Irr!G11)),IF(AND(d_Irr!G11=".",d_Irr!AF11=".",d_Irr!BE11="."),d_dir!H11*1000)))))))),".")</f>
        <v>.</v>
      </c>
      <c r="I11" s="76" t="str">
        <f>IFERROR(IF(AND(d_Irr!H11&lt;&gt;".",d_Irr!AG11&lt;&gt;".",d_Irr!BF11&lt;&gt;"."),d_dir!I11/((1/1000)*(d_Irr!H11+d_Irr!AG11+d_Irr!BF11)),IF(AND(d_Irr!H11&lt;&gt;".",d_Irr!AG11&lt;&gt;".",d_Irr!BF11="."),d_dir!I11/((1/1000)*(d_Irr!H11+d_Irr!AG11)),IF(AND(d_Irr!H11&lt;&gt;".",d_Irr!AG11=".",d_Irr!BF11&lt;&gt;"."),d_dir!I11/((1/1000)*(d_Irr!H11+d_Irr!BF11)),IF(AND(d_Irr!H11=".",d_Irr!AG11&lt;&gt;".",d_Irr!BF11&lt;&gt;"."),d_dir!I11/((1/1000)*(d_Irr!AG11+d_Irr!BF11)),IF(AND(d_Irr!H11=".",d_Irr!AG11=".",d_Irr!BF11&lt;&gt;"."),d_dir!I11/((1/1000)*(d_Irr!BF11)),IF(AND(d_Irr!H11=".",d_Irr!AG11&lt;&gt;".",d_Irr!BF11="."),d_dir!I11/((1/1000)*(d_Irr!AG11)),IF(AND(d_Irr!H11&lt;&gt;".",d_Irr!AG11=".",d_Irr!BF11="."),d_dir!I11/((1/1000)*(d_Irr!H11)),IF(AND(d_Irr!H11=".",d_Irr!AG11=".",d_Irr!BF11="."),d_dir!I11*1000)))))))),".")</f>
        <v>.</v>
      </c>
      <c r="J11" s="76" t="str">
        <f>IFERROR(IF(AND(d_Irr!I11&lt;&gt;".",d_Irr!AH11&lt;&gt;".",d_Irr!BG11&lt;&gt;"."),d_dir!J11/((1/1000)*(d_Irr!I11+d_Irr!AH11+d_Irr!BG11)),IF(AND(d_Irr!I11&lt;&gt;".",d_Irr!AH11&lt;&gt;".",d_Irr!BG11="."),d_dir!J11/((1/1000)*(d_Irr!I11+d_Irr!AH11)),IF(AND(d_Irr!I11&lt;&gt;".",d_Irr!AH11=".",d_Irr!BG11&lt;&gt;"."),d_dir!J11/((1/1000)*(d_Irr!I11+d_Irr!BG11)),IF(AND(d_Irr!I11=".",d_Irr!AH11&lt;&gt;".",d_Irr!BG11&lt;&gt;"."),d_dir!J11/((1/1000)*(d_Irr!AH11+d_Irr!BG11)),IF(AND(d_Irr!I11=".",d_Irr!AH11=".",d_Irr!BG11&lt;&gt;"."),d_dir!J11/((1/1000)*(d_Irr!BG11)),IF(AND(d_Irr!I11=".",d_Irr!AH11&lt;&gt;".",d_Irr!BG11="."),d_dir!J11/((1/1000)*(d_Irr!AH11)),IF(AND(d_Irr!I11&lt;&gt;".",d_Irr!AH11=".",d_Irr!BG11="."),d_dir!J11/((1/1000)*(d_Irr!I11)),IF(AND(d_Irr!I11=".",d_Irr!AH11=".",d_Irr!BG11="."),d_dir!J11*1000)))))))),".")</f>
        <v>.</v>
      </c>
      <c r="K11" s="76" t="str">
        <f>IFERROR(IF(AND(d_Irr!J11&lt;&gt;".",d_Irr!AI11&lt;&gt;".",d_Irr!BH11&lt;&gt;"."),d_dir!K11/((1/1000)*(d_Irr!J11+d_Irr!AI11+d_Irr!BH11)),IF(AND(d_Irr!J11&lt;&gt;".",d_Irr!AI11&lt;&gt;".",d_Irr!BH11="."),d_dir!K11/((1/1000)*(d_Irr!J11+d_Irr!AI11)),IF(AND(d_Irr!J11&lt;&gt;".",d_Irr!AI11=".",d_Irr!BH11&lt;&gt;"."),d_dir!K11/((1/1000)*(d_Irr!J11+d_Irr!BH11)),IF(AND(d_Irr!J11=".",d_Irr!AI11&lt;&gt;".",d_Irr!BH11&lt;&gt;"."),d_dir!K11/((1/1000)*(d_Irr!AI11+d_Irr!BH11)),IF(AND(d_Irr!J11=".",d_Irr!AI11=".",d_Irr!BH11&lt;&gt;"."),d_dir!K11/((1/1000)*(d_Irr!BH11)),IF(AND(d_Irr!J11=".",d_Irr!AI11&lt;&gt;".",d_Irr!BH11="."),d_dir!K11/((1/1000)*(d_Irr!AI11)),IF(AND(d_Irr!J11&lt;&gt;".",d_Irr!AI11=".",d_Irr!BH11="."),d_dir!K11/((1/1000)*(d_Irr!J11)),IF(AND(d_Irr!J11=".",d_Irr!AI11=".",d_Irr!BH11="."),d_dir!K11*1000)))))))),".")</f>
        <v>.</v>
      </c>
      <c r="L11" s="76" t="str">
        <f>IFERROR(IF(AND(d_Irr!K11&lt;&gt;".",d_Irr!AJ11&lt;&gt;".",d_Irr!BI11&lt;&gt;"."),d_dir!L11/((1/1000)*(d_Irr!K11+d_Irr!AJ11+d_Irr!BI11)),IF(AND(d_Irr!K11&lt;&gt;".",d_Irr!AJ11&lt;&gt;".",d_Irr!BI11="."),d_dir!L11/((1/1000)*(d_Irr!K11+d_Irr!AJ11)),IF(AND(d_Irr!K11&lt;&gt;".",d_Irr!AJ11=".",d_Irr!BI11&lt;&gt;"."),d_dir!L11/((1/1000)*(d_Irr!K11+d_Irr!BI11)),IF(AND(d_Irr!K11=".",d_Irr!AJ11&lt;&gt;".",d_Irr!BI11&lt;&gt;"."),d_dir!L11/((1/1000)*(d_Irr!AJ11+d_Irr!BI11)),IF(AND(d_Irr!K11=".",d_Irr!AJ11=".",d_Irr!BI11&lt;&gt;"."),d_dir!L11/((1/1000)*(d_Irr!BI11)),IF(AND(d_Irr!K11=".",d_Irr!AJ11&lt;&gt;".",d_Irr!BI11="."),d_dir!L11/((1/1000)*(d_Irr!AJ11)),IF(AND(d_Irr!K11&lt;&gt;".",d_Irr!AJ11=".",d_Irr!BI11="."),d_dir!L11/((1/1000)*(d_Irr!K11)),IF(AND(d_Irr!K11=".",d_Irr!AJ11=".",d_Irr!BI11="."),d_dir!L11*1000)))))))),".")</f>
        <v>.</v>
      </c>
      <c r="M11" s="76" t="str">
        <f>IFERROR(IF(AND(d_Irr!L11&lt;&gt;".",d_Irr!AK11&lt;&gt;".",d_Irr!BJ11&lt;&gt;"."),d_dir!M11/((1/1000)*(d_Irr!L11+d_Irr!AK11+d_Irr!BJ11)),IF(AND(d_Irr!L11&lt;&gt;".",d_Irr!AK11&lt;&gt;".",d_Irr!BJ11="."),d_dir!M11/((1/1000)*(d_Irr!L11+d_Irr!AK11)),IF(AND(d_Irr!L11&lt;&gt;".",d_Irr!AK11=".",d_Irr!BJ11&lt;&gt;"."),d_dir!M11/((1/1000)*(d_Irr!L11+d_Irr!BJ11)),IF(AND(d_Irr!L11=".",d_Irr!AK11&lt;&gt;".",d_Irr!BJ11&lt;&gt;"."),d_dir!M11/((1/1000)*(d_Irr!AK11+d_Irr!BJ11)),IF(AND(d_Irr!L11=".",d_Irr!AK11=".",d_Irr!BJ11&lt;&gt;"."),d_dir!M11/((1/1000)*(d_Irr!BJ11)),IF(AND(d_Irr!L11=".",d_Irr!AK11&lt;&gt;".",d_Irr!BJ11="."),d_dir!M11/((1/1000)*(d_Irr!AK11)),IF(AND(d_Irr!L11&lt;&gt;".",d_Irr!AK11=".",d_Irr!BJ11="."),d_dir!M11/((1/1000)*(d_Irr!L11)),IF(AND(d_Irr!L11=".",d_Irr!AK11=".",d_Irr!BJ11="."),d_dir!M11*1000)))))))),".")</f>
        <v>.</v>
      </c>
      <c r="N11" s="76" t="str">
        <f>IFERROR(IF(AND(d_Irr!M11&lt;&gt;".",d_Irr!AL11&lt;&gt;".",d_Irr!BK11&lt;&gt;"."),d_dir!N11/((1/1000)*(d_Irr!M11+d_Irr!AL11+d_Irr!BK11)),IF(AND(d_Irr!M11&lt;&gt;".",d_Irr!AL11&lt;&gt;".",d_Irr!BK11="."),d_dir!N11/((1/1000)*(d_Irr!M11+d_Irr!AL11)),IF(AND(d_Irr!M11&lt;&gt;".",d_Irr!AL11=".",d_Irr!BK11&lt;&gt;"."),d_dir!N11/((1/1000)*(d_Irr!M11+d_Irr!BK11)),IF(AND(d_Irr!M11=".",d_Irr!AL11&lt;&gt;".",d_Irr!BK11&lt;&gt;"."),d_dir!N11/((1/1000)*(d_Irr!AL11+d_Irr!BK11)),IF(AND(d_Irr!M11=".",d_Irr!AL11=".",d_Irr!BK11&lt;&gt;"."),d_dir!N11/((1/1000)*(d_Irr!BK11)),IF(AND(d_Irr!M11=".",d_Irr!AL11&lt;&gt;".",d_Irr!BK11="."),d_dir!N11/((1/1000)*(d_Irr!AL11)),IF(AND(d_Irr!M11&lt;&gt;".",d_Irr!AL11=".",d_Irr!BK11="."),d_dir!N11/((1/1000)*(d_Irr!M11)),IF(AND(d_Irr!M11=".",d_Irr!AL11=".",d_Irr!BK11="."),d_dir!N11*1000)))))))),".")</f>
        <v>.</v>
      </c>
      <c r="O11" s="76" t="str">
        <f>IFERROR(IF(AND(d_Irr!N11&lt;&gt;".",d_Irr!AM11&lt;&gt;".",d_Irr!BL11&lt;&gt;"."),d_dir!O11/((1/1000)*(d_Irr!N11+d_Irr!AM11+d_Irr!BL11)),IF(AND(d_Irr!N11&lt;&gt;".",d_Irr!AM11&lt;&gt;".",d_Irr!BL11="."),d_dir!O11/((1/1000)*(d_Irr!N11+d_Irr!AM11)),IF(AND(d_Irr!N11&lt;&gt;".",d_Irr!AM11=".",d_Irr!BL11&lt;&gt;"."),d_dir!O11/((1/1000)*(d_Irr!N11+d_Irr!BL11)),IF(AND(d_Irr!N11=".",d_Irr!AM11&lt;&gt;".",d_Irr!BL11&lt;&gt;"."),d_dir!O11/((1/1000)*(d_Irr!AM11+d_Irr!BL11)),IF(AND(d_Irr!N11=".",d_Irr!AM11=".",d_Irr!BL11&lt;&gt;"."),d_dir!O11/((1/1000)*(d_Irr!BL11)),IF(AND(d_Irr!N11=".",d_Irr!AM11&lt;&gt;".",d_Irr!BL11="."),d_dir!O11/((1/1000)*(d_Irr!AM11)),IF(AND(d_Irr!N11&lt;&gt;".",d_Irr!AM11=".",d_Irr!BL11="."),d_dir!O11/((1/1000)*(d_Irr!N11)),IF(AND(d_Irr!N11=".",d_Irr!AM11=".",d_Irr!BL11="."),d_dir!O11*1000)))))))),".")</f>
        <v>.</v>
      </c>
      <c r="P11" s="76" t="str">
        <f>IFERROR(IF(AND(d_Irr!O11&lt;&gt;".",d_Irr!AN11&lt;&gt;".",d_Irr!BM11&lt;&gt;"."),d_dir!P11/((1/1000)*(d_Irr!O11+d_Irr!AN11+d_Irr!BM11)),IF(AND(d_Irr!O11&lt;&gt;".",d_Irr!AN11&lt;&gt;".",d_Irr!BM11="."),d_dir!P11/((1/1000)*(d_Irr!O11+d_Irr!AN11)),IF(AND(d_Irr!O11&lt;&gt;".",d_Irr!AN11=".",d_Irr!BM11&lt;&gt;"."),d_dir!P11/((1/1000)*(d_Irr!O11+d_Irr!BM11)),IF(AND(d_Irr!O11=".",d_Irr!AN11&lt;&gt;".",d_Irr!BM11&lt;&gt;"."),d_dir!P11/((1/1000)*(d_Irr!AN11+d_Irr!BM11)),IF(AND(d_Irr!O11=".",d_Irr!AN11=".",d_Irr!BM11&lt;&gt;"."),d_dir!P11/((1/1000)*(d_Irr!BM11)),IF(AND(d_Irr!O11=".",d_Irr!AN11&lt;&gt;".",d_Irr!BM11="."),d_dir!P11/((1/1000)*(d_Irr!AN11)),IF(AND(d_Irr!O11&lt;&gt;".",d_Irr!AN11=".",d_Irr!BM11="."),d_dir!P11/((1/1000)*(d_Irr!O11)),IF(AND(d_Irr!O11=".",d_Irr!AN11=".",d_Irr!BM11="."),d_dir!P11*1000)))))))),".")</f>
        <v>.</v>
      </c>
      <c r="Q11" s="76" t="str">
        <f>IFERROR(IF(AND(d_Irr!P11&lt;&gt;".",d_Irr!AO11&lt;&gt;".",d_Irr!BN11&lt;&gt;"."),d_dir!Q11/((1/1000)*(d_Irr!P11+d_Irr!AO11+d_Irr!BN11)),IF(AND(d_Irr!P11&lt;&gt;".",d_Irr!AO11&lt;&gt;".",d_Irr!BN11="."),d_dir!Q11/((1/1000)*(d_Irr!P11+d_Irr!AO11)),IF(AND(d_Irr!P11&lt;&gt;".",d_Irr!AO11=".",d_Irr!BN11&lt;&gt;"."),d_dir!Q11/((1/1000)*(d_Irr!P11+d_Irr!BN11)),IF(AND(d_Irr!P11=".",d_Irr!AO11&lt;&gt;".",d_Irr!BN11&lt;&gt;"."),d_dir!Q11/((1/1000)*(d_Irr!AO11+d_Irr!BN11)),IF(AND(d_Irr!P11=".",d_Irr!AO11=".",d_Irr!BN11&lt;&gt;"."),d_dir!Q11/((1/1000)*(d_Irr!BN11)),IF(AND(d_Irr!P11=".",d_Irr!AO11&lt;&gt;".",d_Irr!BN11="."),d_dir!Q11/((1/1000)*(d_Irr!AO11)),IF(AND(d_Irr!P11&lt;&gt;".",d_Irr!AO11=".",d_Irr!BN11="."),d_dir!Q11/((1/1000)*(d_Irr!P11)),IF(AND(d_Irr!P11=".",d_Irr!AO11=".",d_Irr!BN11="."),d_dir!Q11*1000)))))))),".")</f>
        <v>.</v>
      </c>
      <c r="R11" s="76" t="str">
        <f>IFERROR(IF(AND(d_Irr!Q11&lt;&gt;".",d_Irr!AP11&lt;&gt;".",d_Irr!BO11&lt;&gt;"."),d_dir!R11/((1/1000)*(d_Irr!Q11+d_Irr!AP11+d_Irr!BO11)),IF(AND(d_Irr!Q11&lt;&gt;".",d_Irr!AP11&lt;&gt;".",d_Irr!BO11="."),d_dir!R11/((1/1000)*(d_Irr!Q11+d_Irr!AP11)),IF(AND(d_Irr!Q11&lt;&gt;".",d_Irr!AP11=".",d_Irr!BO11&lt;&gt;"."),d_dir!R11/((1/1000)*(d_Irr!Q11+d_Irr!BO11)),IF(AND(d_Irr!Q11=".",d_Irr!AP11&lt;&gt;".",d_Irr!BO11&lt;&gt;"."),d_dir!R11/((1/1000)*(d_Irr!AP11+d_Irr!BO11)),IF(AND(d_Irr!Q11=".",d_Irr!AP11=".",d_Irr!BO11&lt;&gt;"."),d_dir!R11/((1/1000)*(d_Irr!BO11)),IF(AND(d_Irr!Q11=".",d_Irr!AP11&lt;&gt;".",d_Irr!BO11="."),d_dir!R11/((1/1000)*(d_Irr!AP11)),IF(AND(d_Irr!Q11&lt;&gt;".",d_Irr!AP11=".",d_Irr!BO11="."),d_dir!R11/((1/1000)*(d_Irr!Q11)),IF(AND(d_Irr!Q11=".",d_Irr!AP11=".",d_Irr!BO11="."),d_dir!R11*1000)))))))),".")</f>
        <v>.</v>
      </c>
      <c r="S11" s="76" t="str">
        <f>IFERROR(IF(AND(d_Irr!R11&lt;&gt;".",d_Irr!AQ11&lt;&gt;".",d_Irr!BP11&lt;&gt;"."),d_dir!S11/((1/1000)*(d_Irr!R11+d_Irr!AQ11+d_Irr!BP11)),IF(AND(d_Irr!R11&lt;&gt;".",d_Irr!AQ11&lt;&gt;".",d_Irr!BP11="."),d_dir!S11/((1/1000)*(d_Irr!R11+d_Irr!AQ11)),IF(AND(d_Irr!R11&lt;&gt;".",d_Irr!AQ11=".",d_Irr!BP11&lt;&gt;"."),d_dir!S11/((1/1000)*(d_Irr!R11+d_Irr!BP11)),IF(AND(d_Irr!R11=".",d_Irr!AQ11&lt;&gt;".",d_Irr!BP11&lt;&gt;"."),d_dir!S11/((1/1000)*(d_Irr!AQ11+d_Irr!BP11)),IF(AND(d_Irr!R11=".",d_Irr!AQ11=".",d_Irr!BP11&lt;&gt;"."),d_dir!S11/((1/1000)*(d_Irr!BP11)),IF(AND(d_Irr!R11=".",d_Irr!AQ11&lt;&gt;".",d_Irr!BP11="."),d_dir!S11/((1/1000)*(d_Irr!AQ11)),IF(AND(d_Irr!R11&lt;&gt;".",d_Irr!AQ11=".",d_Irr!BP11="."),d_dir!S11/((1/1000)*(d_Irr!R11)),IF(AND(d_Irr!R11=".",d_Irr!AQ11=".",d_Irr!BP11="."),d_dir!S11*1000)))))))),".")</f>
        <v>.</v>
      </c>
      <c r="T11" s="76" t="str">
        <f>IFERROR(IF(AND(d_Irr!S11&lt;&gt;".",d_Irr!AR11&lt;&gt;".",d_Irr!BQ11&lt;&gt;"."),d_dir!T11/((1/1000)*(d_Irr!S11+d_Irr!AR11+d_Irr!BQ11)),IF(AND(d_Irr!S11&lt;&gt;".",d_Irr!AR11&lt;&gt;".",d_Irr!BQ11="."),d_dir!T11/((1/1000)*(d_Irr!S11+d_Irr!AR11)),IF(AND(d_Irr!S11&lt;&gt;".",d_Irr!AR11=".",d_Irr!BQ11&lt;&gt;"."),d_dir!T11/((1/1000)*(d_Irr!S11+d_Irr!BQ11)),IF(AND(d_Irr!S11=".",d_Irr!AR11&lt;&gt;".",d_Irr!BQ11&lt;&gt;"."),d_dir!T11/((1/1000)*(d_Irr!AR11+d_Irr!BQ11)),IF(AND(d_Irr!S11=".",d_Irr!AR11=".",d_Irr!BQ11&lt;&gt;"."),d_dir!T11/((1/1000)*(d_Irr!BQ11)),IF(AND(d_Irr!S11=".",d_Irr!AR11&lt;&gt;".",d_Irr!BQ11="."),d_dir!T11/((1/1000)*(d_Irr!AR11)),IF(AND(d_Irr!S11&lt;&gt;".",d_Irr!AR11=".",d_Irr!BQ11="."),d_dir!T11/((1/1000)*(d_Irr!S11)),IF(AND(d_Irr!S11=".",d_Irr!AR11=".",d_Irr!BQ11="."),d_dir!T11*1000)))))))),".")</f>
        <v>.</v>
      </c>
      <c r="U11" s="76" t="str">
        <f>IFERROR(IF(AND(d_Irr!T11&lt;&gt;".",d_Irr!AS11&lt;&gt;".",d_Irr!BR11&lt;&gt;"."),d_dir!U11/((1/1000)*(d_Irr!T11+d_Irr!AS11+d_Irr!BR11)),IF(AND(d_Irr!T11&lt;&gt;".",d_Irr!AS11&lt;&gt;".",d_Irr!BR11="."),d_dir!U11/((1/1000)*(d_Irr!T11+d_Irr!AS11)),IF(AND(d_Irr!T11&lt;&gt;".",d_Irr!AS11=".",d_Irr!BR11&lt;&gt;"."),d_dir!U11/((1/1000)*(d_Irr!T11+d_Irr!BR11)),IF(AND(d_Irr!T11=".",d_Irr!AS11&lt;&gt;".",d_Irr!BR11&lt;&gt;"."),d_dir!U11/((1/1000)*(d_Irr!AS11+d_Irr!BR11)),IF(AND(d_Irr!T11=".",d_Irr!AS11=".",d_Irr!BR11&lt;&gt;"."),d_dir!U11/((1/1000)*(d_Irr!BR11)),IF(AND(d_Irr!T11=".",d_Irr!AS11&lt;&gt;".",d_Irr!BR11="."),d_dir!U11/((1/1000)*(d_Irr!AS11)),IF(AND(d_Irr!T11&lt;&gt;".",d_Irr!AS11=".",d_Irr!BR11="."),d_dir!U11/((1/1000)*(d_Irr!T11)),IF(AND(d_Irr!T11=".",d_Irr!AS11=".",d_Irr!BR11="."),d_dir!U11*1000)))))))),".")</f>
        <v>.</v>
      </c>
      <c r="V11" s="76" t="str">
        <f>IFERROR(IF(AND(d_Irr!U11&lt;&gt;".",d_Irr!AT11&lt;&gt;".",d_Irr!BS11&lt;&gt;"."),d_dir!V11/((1/1000)*(d_Irr!U11+d_Irr!AT11+d_Irr!BS11)),IF(AND(d_Irr!U11&lt;&gt;".",d_Irr!AT11&lt;&gt;".",d_Irr!BS11="."),d_dir!V11/((1/1000)*(d_Irr!U11+d_Irr!AT11)),IF(AND(d_Irr!U11&lt;&gt;".",d_Irr!AT11=".",d_Irr!BS11&lt;&gt;"."),d_dir!V11/((1/1000)*(d_Irr!U11+d_Irr!BS11)),IF(AND(d_Irr!U11=".",d_Irr!AT11&lt;&gt;".",d_Irr!BS11&lt;&gt;"."),d_dir!V11/((1/1000)*(d_Irr!AT11+d_Irr!BS11)),IF(AND(d_Irr!U11=".",d_Irr!AT11=".",d_Irr!BS11&lt;&gt;"."),d_dir!V11/((1/1000)*(d_Irr!BS11)),IF(AND(d_Irr!U11=".",d_Irr!AT11&lt;&gt;".",d_Irr!BS11="."),d_dir!V11/((1/1000)*(d_Irr!AT11)),IF(AND(d_Irr!U11&lt;&gt;".",d_Irr!AT11=".",d_Irr!BS11="."),d_dir!V11/((1/1000)*(d_Irr!U11)),IF(AND(d_Irr!U11=".",d_Irr!AT11=".",d_Irr!BS11="."),d_dir!V11*1000)))))))),".")</f>
        <v>.</v>
      </c>
      <c r="W11" s="76" t="str">
        <f>IFERROR(IF(AND(d_Irr!V11&lt;&gt;".",d_Irr!AU11&lt;&gt;".",d_Irr!BT11&lt;&gt;"."),d_dir!W11/((1/1000)*(d_Irr!V11+d_Irr!AU11+d_Irr!BT11)),IF(AND(d_Irr!V11&lt;&gt;".",d_Irr!AU11&lt;&gt;".",d_Irr!BT11="."),d_dir!W11/((1/1000)*(d_Irr!V11+d_Irr!AU11)),IF(AND(d_Irr!V11&lt;&gt;".",d_Irr!AU11=".",d_Irr!BT11&lt;&gt;"."),d_dir!W11/((1/1000)*(d_Irr!V11+d_Irr!BT11)),IF(AND(d_Irr!V11=".",d_Irr!AU11&lt;&gt;".",d_Irr!BT11&lt;&gt;"."),d_dir!W11/((1/1000)*(d_Irr!AU11+d_Irr!BT11)),IF(AND(d_Irr!V11=".",d_Irr!AU11=".",d_Irr!BT11&lt;&gt;"."),d_dir!W11/((1/1000)*(d_Irr!BT11)),IF(AND(d_Irr!V11=".",d_Irr!AU11&lt;&gt;".",d_Irr!BT11="."),d_dir!W11/((1/1000)*(d_Irr!AU11)),IF(AND(d_Irr!V11&lt;&gt;".",d_Irr!AU11=".",d_Irr!BT11="."),d_dir!W11/((1/1000)*(d_Irr!V11)),IF(AND(d_Irr!V11=".",d_Irr!AU11=".",d_Irr!BT11="."),d_dir!W11*1000)))))))),".")</f>
        <v>.</v>
      </c>
      <c r="X11" s="76" t="str">
        <f>IFERROR(IF(AND(d_Irr!W11&lt;&gt;".",d_Irr!AV11&lt;&gt;".",d_Irr!BU11&lt;&gt;"."),d_dir!X11/((1/1000)*(d_Irr!W11+d_Irr!AV11+d_Irr!BU11)),IF(AND(d_Irr!W11&lt;&gt;".",d_Irr!AV11&lt;&gt;".",d_Irr!BU11="."),d_dir!X11/((1/1000)*(d_Irr!W11+d_Irr!AV11)),IF(AND(d_Irr!W11&lt;&gt;".",d_Irr!AV11=".",d_Irr!BU11&lt;&gt;"."),d_dir!X11/((1/1000)*(d_Irr!W11+d_Irr!BU11)),IF(AND(d_Irr!W11=".",d_Irr!AV11&lt;&gt;".",d_Irr!BU11&lt;&gt;"."),d_dir!X11/((1/1000)*(d_Irr!AV11+d_Irr!BU11)),IF(AND(d_Irr!W11=".",d_Irr!AV11=".",d_Irr!BU11&lt;&gt;"."),d_dir!X11/((1/1000)*(d_Irr!BU11)),IF(AND(d_Irr!W11=".",d_Irr!AV11&lt;&gt;".",d_Irr!BU11="."),d_dir!X11/((1/1000)*(d_Irr!AV11)),IF(AND(d_Irr!W11&lt;&gt;".",d_Irr!AV11=".",d_Irr!BU11="."),d_dir!X11/((1/1000)*(d_Irr!W11)),IF(AND(d_Irr!W11=".",d_Irr!AV11=".",d_Irr!BU11="."),d_dir!X11*1000)))))))),".")</f>
        <v>.</v>
      </c>
      <c r="Y11" s="76" t="str">
        <f>IFERROR(IF(AND(d_Irr!X11&lt;&gt;".",d_Irr!AW11&lt;&gt;".",d_Irr!BV11&lt;&gt;"."),d_dir!Y11/((1/1000)*(d_Irr!X11+d_Irr!AW11+d_Irr!BV11)),IF(AND(d_Irr!X11&lt;&gt;".",d_Irr!AW11&lt;&gt;".",d_Irr!BV11="."),d_dir!Y11/((1/1000)*(d_Irr!X11+d_Irr!AW11)),IF(AND(d_Irr!X11&lt;&gt;".",d_Irr!AW11=".",d_Irr!BV11&lt;&gt;"."),d_dir!Y11/((1/1000)*(d_Irr!X11+d_Irr!BV11)),IF(AND(d_Irr!X11=".",d_Irr!AW11&lt;&gt;".",d_Irr!BV11&lt;&gt;"."),d_dir!Y11/((1/1000)*(d_Irr!AW11+d_Irr!BV11)),IF(AND(d_Irr!X11=".",d_Irr!AW11=".",d_Irr!BV11&lt;&gt;"."),d_dir!Y11/((1/1000)*(d_Irr!BV11)),IF(AND(d_Irr!X11=".",d_Irr!AW11&lt;&gt;".",d_Irr!BV11="."),d_dir!Y11/((1/1000)*(d_Irr!AW11)),IF(AND(d_Irr!X11&lt;&gt;".",d_Irr!AW11=".",d_Irr!BV11="."),d_dir!Y11/((1/1000)*(d_Irr!X11)),IF(AND(d_Irr!X11=".",d_Irr!AW11=".",d_Irr!BV11="."),d_dir!Y11*1000)))))))),".")</f>
        <v>.</v>
      </c>
      <c r="Z11" s="76" t="str">
        <f>IFERROR(IF(AND(d_Irr!Y11&lt;&gt;".",d_Irr!AX11&lt;&gt;".",d_Irr!BW11&lt;&gt;"."),d_dir!Z11/((1/1000)*(d_Irr!Y11+d_Irr!AX11+d_Irr!BW11)),IF(AND(d_Irr!Y11&lt;&gt;".",d_Irr!AX11&lt;&gt;".",d_Irr!BW11="."),d_dir!Z11/((1/1000)*(d_Irr!Y11+d_Irr!AX11)),IF(AND(d_Irr!Y11&lt;&gt;".",d_Irr!AX11=".",d_Irr!BW11&lt;&gt;"."),d_dir!Z11/((1/1000)*(d_Irr!Y11+d_Irr!BW11)),IF(AND(d_Irr!Y11=".",d_Irr!AX11&lt;&gt;".",d_Irr!BW11&lt;&gt;"."),d_dir!Z11/((1/1000)*(d_Irr!AX11+d_Irr!BW11)),IF(AND(d_Irr!Y11=".",d_Irr!AX11=".",d_Irr!BW11&lt;&gt;"."),d_dir!Z11/((1/1000)*(d_Irr!BW11)),IF(AND(d_Irr!Y11=".",d_Irr!AX11&lt;&gt;".",d_Irr!BW11="."),d_dir!Z11/((1/1000)*(d_Irr!AX11)),IF(AND(d_Irr!Y11&lt;&gt;".",d_Irr!AX11=".",d_Irr!BW11="."),d_dir!Z11/((1/1000)*(d_Irr!Y11)),IF(AND(d_Irr!Y11=".",d_Irr!AX11=".",d_Irr!BW11="."),d_dir!Z11*1000)))))))),".")</f>
        <v>.</v>
      </c>
      <c r="AA11" s="76" t="str">
        <f>IFERROR(IF(AND(d_Irr!Z11&lt;&gt;".",d_Irr!AY11&lt;&gt;".",d_Irr!BX11&lt;&gt;"."),d_dir!AA11/((1/1000)*(d_Irr!Z11+d_Irr!AY11+d_Irr!BX11)),IF(AND(d_Irr!Z11&lt;&gt;".",d_Irr!AY11&lt;&gt;".",d_Irr!BX11="."),d_dir!AA11/((1/1000)*(d_Irr!Z11+d_Irr!AY11)),IF(AND(d_Irr!Z11&lt;&gt;".",d_Irr!AY11=".",d_Irr!BX11&lt;&gt;"."),d_dir!AA11/((1/1000)*(d_Irr!Z11+d_Irr!BX11)),IF(AND(d_Irr!Z11=".",d_Irr!AY11&lt;&gt;".",d_Irr!BX11&lt;&gt;"."),d_dir!AA11/((1/1000)*(d_Irr!AY11+d_Irr!BX11)),IF(AND(d_Irr!Z11=".",d_Irr!AY11=".",d_Irr!BX11&lt;&gt;"."),d_dir!AA11/((1/1000)*(d_Irr!BX11)),IF(AND(d_Irr!Z11=".",d_Irr!AY11&lt;&gt;".",d_Irr!BX11="."),d_dir!AA11/((1/1000)*(d_Irr!AY11)),IF(AND(d_Irr!Z11&lt;&gt;".",d_Irr!AY11=".",d_Irr!BX11="."),d_dir!AA11/((1/1000)*(d_Irr!Z11)),IF(AND(d_Irr!Z11=".",d_Irr!AY11=".",d_Irr!BX11="."),d_dir!AA11*1000)))))))),".")</f>
        <v>.</v>
      </c>
      <c r="AB11" s="76" t="str">
        <f>IFERROR(IF(AND(d_Irr!AA11&lt;&gt;".",d_Irr!AZ11&lt;&gt;".",d_Irr!BY11&lt;&gt;"."),d_dir!AB11/((1/1000)*(d_Irr!AA11+d_Irr!AZ11+d_Irr!BY11)),IF(AND(d_Irr!AA11&lt;&gt;".",d_Irr!AZ11&lt;&gt;".",d_Irr!BY11="."),d_dir!AB11/((1/1000)*(d_Irr!AA11+d_Irr!AZ11)),IF(AND(d_Irr!AA11&lt;&gt;".",d_Irr!AZ11=".",d_Irr!BY11&lt;&gt;"."),d_dir!AB11/((1/1000)*(d_Irr!AA11+d_Irr!BY11)),IF(AND(d_Irr!AA11=".",d_Irr!AZ11&lt;&gt;".",d_Irr!BY11&lt;&gt;"."),d_dir!AB11/((1/1000)*(d_Irr!AZ11+d_Irr!BY11)),IF(AND(d_Irr!AA11=".",d_Irr!AZ11=".",d_Irr!BY11&lt;&gt;"."),d_dir!AB11/((1/1000)*(d_Irr!BY11)),IF(AND(d_Irr!AA11=".",d_Irr!AZ11&lt;&gt;".",d_Irr!BY11="."),d_dir!AB11/((1/1000)*(d_Irr!AZ11)),IF(AND(d_Irr!AA11&lt;&gt;".",d_Irr!AZ11=".",d_Irr!BY11="."),d_dir!AB11/((1/1000)*(d_Irr!AA11)),IF(AND(d_Irr!AA11=".",d_Irr!AZ11=".",d_Irr!BY11="."),d_dir!AB11*1000)))))))),".")</f>
        <v>.</v>
      </c>
      <c r="AC11" s="76" t="str">
        <f t="shared" si="0"/>
        <v>.</v>
      </c>
      <c r="AD11" s="76" t="str">
        <f>IFERROR(IF(AND(d_Irr!C11&lt;&gt;".",d_Irr!AB11&lt;&gt;".",d_Irr!BA11&lt;&gt;"."),d_dir!AD11/((1/1000)*(d_Irr!C11+d_Irr!AB11+d_Irr!BA11)),IF(AND(d_Irr!C11&lt;&gt;".",d_Irr!AB11&lt;&gt;".",d_Irr!BA11="."),d_dir!AD11/((1/1000)*(d_Irr!C11+d_Irr!AB11)),IF(AND(d_Irr!C11&lt;&gt;".",d_Irr!AB11=".",d_Irr!BA11&lt;&gt;"."),d_dir!AD11/((1/1000)*(d_Irr!C11+d_Irr!BA11)),IF(AND(d_Irr!C11=".",d_Irr!AB11&lt;&gt;".",d_Irr!BA11&lt;&gt;"."),d_dir!AD11/((1/1000)*(d_Irr!AB11+d_Irr!BA11)),IF(AND(d_Irr!C11=".",d_Irr!AB11=".",d_Irr!BA11&lt;&gt;"."),d_dir!AD11/((1/1000)*(d_Irr!BA11)),IF(AND(d_Irr!C11=".",d_Irr!AB11&lt;&gt;".",d_Irr!BA11="."),d_dir!AD11/((1/1000)*(d_Irr!AB11)),IF(AND(d_Irr!C11&lt;&gt;".",d_Irr!AB11=".",d_Irr!BA11="."),d_dir!AD11/((1/1000)*(d_Irr!C11)),IF(AND(d_Irr!C11=".",d_Irr!AB11=".",d_Irr!BA11="."),d_dir!AD11*1000)))))))),".")</f>
        <v>.</v>
      </c>
      <c r="AE11" s="76" t="str">
        <f>IFERROR(IF(AND(d_Irr!D11&lt;&gt;".",d_Irr!AC11&lt;&gt;".",d_Irr!BB11&lt;&gt;"."),d_dir!AE11/((1/1000)*(d_Irr!D11+d_Irr!AC11+d_Irr!BB11)),IF(AND(d_Irr!D11&lt;&gt;".",d_Irr!AC11&lt;&gt;".",d_Irr!BB11="."),d_dir!AE11/((1/1000)*(d_Irr!D11+d_Irr!AC11)),IF(AND(d_Irr!D11&lt;&gt;".",d_Irr!AC11=".",d_Irr!BB11&lt;&gt;"."),d_dir!AE11/((1/1000)*(d_Irr!D11+d_Irr!BB11)),IF(AND(d_Irr!D11=".",d_Irr!AC11&lt;&gt;".",d_Irr!BB11&lt;&gt;"."),d_dir!AE11/((1/1000)*(d_Irr!AC11+d_Irr!BB11)),IF(AND(d_Irr!D11=".",d_Irr!AC11=".",d_Irr!BB11&lt;&gt;"."),d_dir!AE11/((1/1000)*(d_Irr!BB11)),IF(AND(d_Irr!D11=".",d_Irr!AC11&lt;&gt;".",d_Irr!BB11="."),d_dir!AE11/((1/1000)*(d_Irr!AC11)),IF(AND(d_Irr!D11&lt;&gt;".",d_Irr!AC11=".",d_Irr!BB11="."),d_dir!AE11/((1/1000)*(d_Irr!D11)),IF(AND(d_Irr!D11=".",d_Irr!AC11=".",d_Irr!BB11="."),d_dir!AE11*1000)))))))),".")</f>
        <v>.</v>
      </c>
      <c r="AF11" s="76" t="str">
        <f>IFERROR(IF(AND(d_Irr!E11&lt;&gt;".",d_Irr!AD11&lt;&gt;".",d_Irr!BC11&lt;&gt;"."),d_dir!AF11/((1/1000)*(d_Irr!E11+d_Irr!AD11+d_Irr!BC11)),IF(AND(d_Irr!E11&lt;&gt;".",d_Irr!AD11&lt;&gt;".",d_Irr!BC11="."),d_dir!AF11/((1/1000)*(d_Irr!E11+d_Irr!AD11)),IF(AND(d_Irr!E11&lt;&gt;".",d_Irr!AD11=".",d_Irr!BC11&lt;&gt;"."),d_dir!AF11/((1/1000)*(d_Irr!E11+d_Irr!BC11)),IF(AND(d_Irr!E11=".",d_Irr!AD11&lt;&gt;".",d_Irr!BC11&lt;&gt;"."),d_dir!AF11/((1/1000)*(d_Irr!AD11+d_Irr!BC11)),IF(AND(d_Irr!E11=".",d_Irr!AD11=".",d_Irr!BC11&lt;&gt;"."),d_dir!AF11/((1/1000)*(d_Irr!BC11)),IF(AND(d_Irr!E11=".",d_Irr!AD11&lt;&gt;".",d_Irr!BC11="."),d_dir!AF11/((1/1000)*(d_Irr!AD11)),IF(AND(d_Irr!E11&lt;&gt;".",d_Irr!AD11=".",d_Irr!BC11="."),d_dir!AF11/((1/1000)*(d_Irr!E11)),IF(AND(d_Irr!E11=".",d_Irr!AD11=".",d_Irr!BC11="."),d_dir!AF11*1000)))))))),".")</f>
        <v>.</v>
      </c>
      <c r="AG11" s="76" t="str">
        <f>IFERROR(IF(AND(d_Irr!F11&lt;&gt;".",d_Irr!AE11&lt;&gt;".",d_Irr!BD11&lt;&gt;"."),d_dir!AG11/((1/1000)*(d_Irr!F11+d_Irr!AE11+d_Irr!BD11)),IF(AND(d_Irr!F11&lt;&gt;".",d_Irr!AE11&lt;&gt;".",d_Irr!BD11="."),d_dir!AG11/((1/1000)*(d_Irr!F11+d_Irr!AE11)),IF(AND(d_Irr!F11&lt;&gt;".",d_Irr!AE11=".",d_Irr!BD11&lt;&gt;"."),d_dir!AG11/((1/1000)*(d_Irr!F11+d_Irr!BD11)),IF(AND(d_Irr!F11=".",d_Irr!AE11&lt;&gt;".",d_Irr!BD11&lt;&gt;"."),d_dir!AG11/((1/1000)*(d_Irr!AE11+d_Irr!BD11)),IF(AND(d_Irr!F11=".",d_Irr!AE11=".",d_Irr!BD11&lt;&gt;"."),d_dir!AG11/((1/1000)*(d_Irr!BD11)),IF(AND(d_Irr!F11=".",d_Irr!AE11&lt;&gt;".",d_Irr!BD11="."),d_dir!AG11/((1/1000)*(d_Irr!AE11)),IF(AND(d_Irr!F11&lt;&gt;".",d_Irr!AE11=".",d_Irr!BD11="."),d_dir!AG11/((1/1000)*(d_Irr!F11)),IF(AND(d_Irr!F11=".",d_Irr!AE11=".",d_Irr!BD11="."),d_dir!AG11*1000)))))))),".")</f>
        <v>.</v>
      </c>
      <c r="AH11" s="76" t="str">
        <f>IFERROR(IF(AND(d_Irr!G11&lt;&gt;".",d_Irr!AF11&lt;&gt;".",d_Irr!BE11&lt;&gt;"."),d_dir!AH11/((1/1000)*(d_Irr!G11+d_Irr!AF11+d_Irr!BE11)),IF(AND(d_Irr!G11&lt;&gt;".",d_Irr!AF11&lt;&gt;".",d_Irr!BE11="."),d_dir!AH11/((1/1000)*(d_Irr!G11+d_Irr!AF11)),IF(AND(d_Irr!G11&lt;&gt;".",d_Irr!AF11=".",d_Irr!BE11&lt;&gt;"."),d_dir!AH11/((1/1000)*(d_Irr!G11+d_Irr!BE11)),IF(AND(d_Irr!G11=".",d_Irr!AF11&lt;&gt;".",d_Irr!BE11&lt;&gt;"."),d_dir!AH11/((1/1000)*(d_Irr!AF11+d_Irr!BE11)),IF(AND(d_Irr!G11=".",d_Irr!AF11=".",d_Irr!BE11&lt;&gt;"."),d_dir!AH11/((1/1000)*(d_Irr!BE11)),IF(AND(d_Irr!G11=".",d_Irr!AF11&lt;&gt;".",d_Irr!BE11="."),d_dir!AH11/((1/1000)*(d_Irr!AF11)),IF(AND(d_Irr!G11&lt;&gt;".",d_Irr!AF11=".",d_Irr!BE11="."),d_dir!AH11/((1/1000)*(d_Irr!G11)),IF(AND(d_Irr!G11=".",d_Irr!AF11=".",d_Irr!BE11="."),d_dir!AH11*1000)))))))),".")</f>
        <v>.</v>
      </c>
      <c r="AI11" s="76" t="str">
        <f>IFERROR(IF(AND(d_Irr!H11&lt;&gt;".",d_Irr!AG11&lt;&gt;".",d_Irr!BF11&lt;&gt;"."),d_dir!AI11/((1/1000)*(d_Irr!H11+d_Irr!AG11+d_Irr!BF11)),IF(AND(d_Irr!H11&lt;&gt;".",d_Irr!AG11&lt;&gt;".",d_Irr!BF11="."),d_dir!AI11/((1/1000)*(d_Irr!H11+d_Irr!AG11)),IF(AND(d_Irr!H11&lt;&gt;".",d_Irr!AG11=".",d_Irr!BF11&lt;&gt;"."),d_dir!AI11/((1/1000)*(d_Irr!H11+d_Irr!BF11)),IF(AND(d_Irr!H11=".",d_Irr!AG11&lt;&gt;".",d_Irr!BF11&lt;&gt;"."),d_dir!AI11/((1/1000)*(d_Irr!AG11+d_Irr!BF11)),IF(AND(d_Irr!H11=".",d_Irr!AG11=".",d_Irr!BF11&lt;&gt;"."),d_dir!AI11/((1/1000)*(d_Irr!BF11)),IF(AND(d_Irr!H11=".",d_Irr!AG11&lt;&gt;".",d_Irr!BF11="."),d_dir!AI11/((1/1000)*(d_Irr!AG11)),IF(AND(d_Irr!H11&lt;&gt;".",d_Irr!AG11=".",d_Irr!BF11="."),d_dir!AI11/((1/1000)*(d_Irr!H11)),IF(AND(d_Irr!H11=".",d_Irr!AG11=".",d_Irr!BF11="."),d_dir!AI11*1000)))))))),".")</f>
        <v>.</v>
      </c>
      <c r="AJ11" s="76" t="str">
        <f>IFERROR(IF(AND(d_Irr!I11&lt;&gt;".",d_Irr!AH11&lt;&gt;".",d_Irr!BG11&lt;&gt;"."),d_dir!AJ11/((1/1000)*(d_Irr!I11+d_Irr!AH11+d_Irr!BG11)),IF(AND(d_Irr!I11&lt;&gt;".",d_Irr!AH11&lt;&gt;".",d_Irr!BG11="."),d_dir!AJ11/((1/1000)*(d_Irr!I11+d_Irr!AH11)),IF(AND(d_Irr!I11&lt;&gt;".",d_Irr!AH11=".",d_Irr!BG11&lt;&gt;"."),d_dir!AJ11/((1/1000)*(d_Irr!I11+d_Irr!BG11)),IF(AND(d_Irr!I11=".",d_Irr!AH11&lt;&gt;".",d_Irr!BG11&lt;&gt;"."),d_dir!AJ11/((1/1000)*(d_Irr!AH11+d_Irr!BG11)),IF(AND(d_Irr!I11=".",d_Irr!AH11=".",d_Irr!BG11&lt;&gt;"."),d_dir!AJ11/((1/1000)*(d_Irr!BG11)),IF(AND(d_Irr!I11=".",d_Irr!AH11&lt;&gt;".",d_Irr!BG11="."),d_dir!AJ11/((1/1000)*(d_Irr!AH11)),IF(AND(d_Irr!I11&lt;&gt;".",d_Irr!AH11=".",d_Irr!BG11="."),d_dir!AJ11/((1/1000)*(d_Irr!I11)),IF(AND(d_Irr!I11=".",d_Irr!AH11=".",d_Irr!BG11="."),d_dir!AJ11*1000)))))))),".")</f>
        <v>.</v>
      </c>
      <c r="AK11" s="76" t="str">
        <f>IFERROR(IF(AND(d_Irr!J11&lt;&gt;".",d_Irr!AI11&lt;&gt;".",d_Irr!BH11&lt;&gt;"."),d_dir!AK11/((1/1000)*(d_Irr!J11+d_Irr!AI11+d_Irr!BH11)),IF(AND(d_Irr!J11&lt;&gt;".",d_Irr!AI11&lt;&gt;".",d_Irr!BH11="."),d_dir!AK11/((1/1000)*(d_Irr!J11+d_Irr!AI11)),IF(AND(d_Irr!J11&lt;&gt;".",d_Irr!AI11=".",d_Irr!BH11&lt;&gt;"."),d_dir!AK11/((1/1000)*(d_Irr!J11+d_Irr!BH11)),IF(AND(d_Irr!J11=".",d_Irr!AI11&lt;&gt;".",d_Irr!BH11&lt;&gt;"."),d_dir!AK11/((1/1000)*(d_Irr!AI11+d_Irr!BH11)),IF(AND(d_Irr!J11=".",d_Irr!AI11=".",d_Irr!BH11&lt;&gt;"."),d_dir!AK11/((1/1000)*(d_Irr!BH11)),IF(AND(d_Irr!J11=".",d_Irr!AI11&lt;&gt;".",d_Irr!BH11="."),d_dir!AK11/((1/1000)*(d_Irr!AI11)),IF(AND(d_Irr!J11&lt;&gt;".",d_Irr!AI11=".",d_Irr!BH11="."),d_dir!AK11/((1/1000)*(d_Irr!J11)),IF(AND(d_Irr!J11=".",d_Irr!AI11=".",d_Irr!BH11="."),d_dir!AK11*1000)))))))),".")</f>
        <v>.</v>
      </c>
      <c r="AL11" s="76" t="str">
        <f>IFERROR(IF(AND(d_Irr!K11&lt;&gt;".",d_Irr!AJ11&lt;&gt;".",d_Irr!BI11&lt;&gt;"."),d_dir!AL11/((1/1000)*(d_Irr!K11+d_Irr!AJ11+d_Irr!BI11)),IF(AND(d_Irr!K11&lt;&gt;".",d_Irr!AJ11&lt;&gt;".",d_Irr!BI11="."),d_dir!AL11/((1/1000)*(d_Irr!K11+d_Irr!AJ11)),IF(AND(d_Irr!K11&lt;&gt;".",d_Irr!AJ11=".",d_Irr!BI11&lt;&gt;"."),d_dir!AL11/((1/1000)*(d_Irr!K11+d_Irr!BI11)),IF(AND(d_Irr!K11=".",d_Irr!AJ11&lt;&gt;".",d_Irr!BI11&lt;&gt;"."),d_dir!AL11/((1/1000)*(d_Irr!AJ11+d_Irr!BI11)),IF(AND(d_Irr!K11=".",d_Irr!AJ11=".",d_Irr!BI11&lt;&gt;"."),d_dir!AL11/((1/1000)*(d_Irr!BI11)),IF(AND(d_Irr!K11=".",d_Irr!AJ11&lt;&gt;".",d_Irr!BI11="."),d_dir!AL11/((1/1000)*(d_Irr!AJ11)),IF(AND(d_Irr!K11&lt;&gt;".",d_Irr!AJ11=".",d_Irr!BI11="."),d_dir!AL11/((1/1000)*(d_Irr!K11)),IF(AND(d_Irr!K11=".",d_Irr!AJ11=".",d_Irr!BI11="."),d_dir!AL11*1000)))))))),".")</f>
        <v>.</v>
      </c>
      <c r="AM11" s="76" t="str">
        <f>IFERROR(IF(AND(d_Irr!L11&lt;&gt;".",d_Irr!AK11&lt;&gt;".",d_Irr!BJ11&lt;&gt;"."),d_dir!AM11/((1/1000)*(d_Irr!L11+d_Irr!AK11+d_Irr!BJ11)),IF(AND(d_Irr!L11&lt;&gt;".",d_Irr!AK11&lt;&gt;".",d_Irr!BJ11="."),d_dir!AM11/((1/1000)*(d_Irr!L11+d_Irr!AK11)),IF(AND(d_Irr!L11&lt;&gt;".",d_Irr!AK11=".",d_Irr!BJ11&lt;&gt;"."),d_dir!AM11/((1/1000)*(d_Irr!L11+d_Irr!BJ11)),IF(AND(d_Irr!L11=".",d_Irr!AK11&lt;&gt;".",d_Irr!BJ11&lt;&gt;"."),d_dir!AM11/((1/1000)*(d_Irr!AK11+d_Irr!BJ11)),IF(AND(d_Irr!L11=".",d_Irr!AK11=".",d_Irr!BJ11&lt;&gt;"."),d_dir!AM11/((1/1000)*(d_Irr!BJ11)),IF(AND(d_Irr!L11=".",d_Irr!AK11&lt;&gt;".",d_Irr!BJ11="."),d_dir!AM11/((1/1000)*(d_Irr!AK11)),IF(AND(d_Irr!L11&lt;&gt;".",d_Irr!AK11=".",d_Irr!BJ11="."),d_dir!AM11/((1/1000)*(d_Irr!L11)),IF(AND(d_Irr!L11=".",d_Irr!AK11=".",d_Irr!BJ11="."),d_dir!AM11*1000)))))))),".")</f>
        <v>.</v>
      </c>
      <c r="AN11" s="76" t="str">
        <f>IFERROR(IF(AND(d_Irr!M11&lt;&gt;".",d_Irr!AL11&lt;&gt;".",d_Irr!BK11&lt;&gt;"."),d_dir!AN11/((1/1000)*(d_Irr!M11+d_Irr!AL11+d_Irr!BK11)),IF(AND(d_Irr!M11&lt;&gt;".",d_Irr!AL11&lt;&gt;".",d_Irr!BK11="."),d_dir!AN11/((1/1000)*(d_Irr!M11+d_Irr!AL11)),IF(AND(d_Irr!M11&lt;&gt;".",d_Irr!AL11=".",d_Irr!BK11&lt;&gt;"."),d_dir!AN11/((1/1000)*(d_Irr!M11+d_Irr!BK11)),IF(AND(d_Irr!M11=".",d_Irr!AL11&lt;&gt;".",d_Irr!BK11&lt;&gt;"."),d_dir!AN11/((1/1000)*(d_Irr!AL11+d_Irr!BK11)),IF(AND(d_Irr!M11=".",d_Irr!AL11=".",d_Irr!BK11&lt;&gt;"."),d_dir!AN11/((1/1000)*(d_Irr!BK11)),IF(AND(d_Irr!M11=".",d_Irr!AL11&lt;&gt;".",d_Irr!BK11="."),d_dir!AN11/((1/1000)*(d_Irr!AL11)),IF(AND(d_Irr!M11&lt;&gt;".",d_Irr!AL11=".",d_Irr!BK11="."),d_dir!AN11/((1/1000)*(d_Irr!M11)),IF(AND(d_Irr!M11=".",d_Irr!AL11=".",d_Irr!BK11="."),d_dir!AN11*1000)))))))),".")</f>
        <v>.</v>
      </c>
      <c r="AO11" s="76" t="str">
        <f>IFERROR(IF(AND(d_Irr!N11&lt;&gt;".",d_Irr!AM11&lt;&gt;".",d_Irr!BL11&lt;&gt;"."),d_dir!AO11/((1/1000)*(d_Irr!N11+d_Irr!AM11+d_Irr!BL11)),IF(AND(d_Irr!N11&lt;&gt;".",d_Irr!AM11&lt;&gt;".",d_Irr!BL11="."),d_dir!AO11/((1/1000)*(d_Irr!N11+d_Irr!AM11)),IF(AND(d_Irr!N11&lt;&gt;".",d_Irr!AM11=".",d_Irr!BL11&lt;&gt;"."),d_dir!AO11/((1/1000)*(d_Irr!N11+d_Irr!BL11)),IF(AND(d_Irr!N11=".",d_Irr!AM11&lt;&gt;".",d_Irr!BL11&lt;&gt;"."),d_dir!AO11/((1/1000)*(d_Irr!AM11+d_Irr!BL11)),IF(AND(d_Irr!N11=".",d_Irr!AM11=".",d_Irr!BL11&lt;&gt;"."),d_dir!AO11/((1/1000)*(d_Irr!BL11)),IF(AND(d_Irr!N11=".",d_Irr!AM11&lt;&gt;".",d_Irr!BL11="."),d_dir!AO11/((1/1000)*(d_Irr!AM11)),IF(AND(d_Irr!N11&lt;&gt;".",d_Irr!AM11=".",d_Irr!BL11="."),d_dir!AO11/((1/1000)*(d_Irr!N11)),IF(AND(d_Irr!N11=".",d_Irr!AM11=".",d_Irr!BL11="."),d_dir!AO11*1000)))))))),".")</f>
        <v>.</v>
      </c>
      <c r="AP11" s="76" t="str">
        <f>IFERROR(IF(AND(d_Irr!O11&lt;&gt;".",d_Irr!AN11&lt;&gt;".",d_Irr!BM11&lt;&gt;"."),d_dir!AP11/((1/1000)*(d_Irr!O11+d_Irr!AN11+d_Irr!BM11)),IF(AND(d_Irr!O11&lt;&gt;".",d_Irr!AN11&lt;&gt;".",d_Irr!BM11="."),d_dir!AP11/((1/1000)*(d_Irr!O11+d_Irr!AN11)),IF(AND(d_Irr!O11&lt;&gt;".",d_Irr!AN11=".",d_Irr!BM11&lt;&gt;"."),d_dir!AP11/((1/1000)*(d_Irr!O11+d_Irr!BM11)),IF(AND(d_Irr!O11=".",d_Irr!AN11&lt;&gt;".",d_Irr!BM11&lt;&gt;"."),d_dir!AP11/((1/1000)*(d_Irr!AN11+d_Irr!BM11)),IF(AND(d_Irr!O11=".",d_Irr!AN11=".",d_Irr!BM11&lt;&gt;"."),d_dir!AP11/((1/1000)*(d_Irr!BM11)),IF(AND(d_Irr!O11=".",d_Irr!AN11&lt;&gt;".",d_Irr!BM11="."),d_dir!AP11/((1/1000)*(d_Irr!AN11)),IF(AND(d_Irr!O11&lt;&gt;".",d_Irr!AN11=".",d_Irr!BM11="."),d_dir!AP11/((1/1000)*(d_Irr!O11)),IF(AND(d_Irr!O11=".",d_Irr!AN11=".",d_Irr!BM11="."),d_dir!AP11*1000)))))))),".")</f>
        <v>.</v>
      </c>
      <c r="AQ11" s="76" t="str">
        <f>IFERROR(IF(AND(d_Irr!P11&lt;&gt;".",d_Irr!AO11&lt;&gt;".",d_Irr!BN11&lt;&gt;"."),d_dir!AQ11/((1/1000)*(d_Irr!P11+d_Irr!AO11+d_Irr!BN11)),IF(AND(d_Irr!P11&lt;&gt;".",d_Irr!AO11&lt;&gt;".",d_Irr!BN11="."),d_dir!AQ11/((1/1000)*(d_Irr!P11+d_Irr!AO11)),IF(AND(d_Irr!P11&lt;&gt;".",d_Irr!AO11=".",d_Irr!BN11&lt;&gt;"."),d_dir!AQ11/((1/1000)*(d_Irr!P11+d_Irr!BN11)),IF(AND(d_Irr!P11=".",d_Irr!AO11&lt;&gt;".",d_Irr!BN11&lt;&gt;"."),d_dir!AQ11/((1/1000)*(d_Irr!AO11+d_Irr!BN11)),IF(AND(d_Irr!P11=".",d_Irr!AO11=".",d_Irr!BN11&lt;&gt;"."),d_dir!AQ11/((1/1000)*(d_Irr!BN11)),IF(AND(d_Irr!P11=".",d_Irr!AO11&lt;&gt;".",d_Irr!BN11="."),d_dir!AQ11/((1/1000)*(d_Irr!AO11)),IF(AND(d_Irr!P11&lt;&gt;".",d_Irr!AO11=".",d_Irr!BN11="."),d_dir!AQ11/((1/1000)*(d_Irr!P11)),IF(AND(d_Irr!P11=".",d_Irr!AO11=".",d_Irr!BN11="."),d_dir!AQ11*1000)))))))),".")</f>
        <v>.</v>
      </c>
      <c r="AR11" s="76" t="str">
        <f>IFERROR(IF(AND(d_Irr!Q11&lt;&gt;".",d_Irr!AP11&lt;&gt;".",d_Irr!BO11&lt;&gt;"."),d_dir!AR11/((1/1000)*(d_Irr!Q11+d_Irr!AP11+d_Irr!BO11)),IF(AND(d_Irr!Q11&lt;&gt;".",d_Irr!AP11&lt;&gt;".",d_Irr!BO11="."),d_dir!AR11/((1/1000)*(d_Irr!Q11+d_Irr!AP11)),IF(AND(d_Irr!Q11&lt;&gt;".",d_Irr!AP11=".",d_Irr!BO11&lt;&gt;"."),d_dir!AR11/((1/1000)*(d_Irr!Q11+d_Irr!BO11)),IF(AND(d_Irr!Q11=".",d_Irr!AP11&lt;&gt;".",d_Irr!BO11&lt;&gt;"."),d_dir!AR11/((1/1000)*(d_Irr!AP11+d_Irr!BO11)),IF(AND(d_Irr!Q11=".",d_Irr!AP11=".",d_Irr!BO11&lt;&gt;"."),d_dir!AR11/((1/1000)*(d_Irr!BO11)),IF(AND(d_Irr!Q11=".",d_Irr!AP11&lt;&gt;".",d_Irr!BO11="."),d_dir!AR11/((1/1000)*(d_Irr!AP11)),IF(AND(d_Irr!Q11&lt;&gt;".",d_Irr!AP11=".",d_Irr!BO11="."),d_dir!AR11/((1/1000)*(d_Irr!Q11)),IF(AND(d_Irr!Q11=".",d_Irr!AP11=".",d_Irr!BO11="."),d_dir!AR11*1000)))))))),".")</f>
        <v>.</v>
      </c>
      <c r="AS11" s="76" t="str">
        <f>IFERROR(IF(AND(d_Irr!R11&lt;&gt;".",d_Irr!AQ11&lt;&gt;".",d_Irr!BP11&lt;&gt;"."),d_dir!AS11/((1/1000)*(d_Irr!R11+d_Irr!AQ11+d_Irr!BP11)),IF(AND(d_Irr!R11&lt;&gt;".",d_Irr!AQ11&lt;&gt;".",d_Irr!BP11="."),d_dir!AS11/((1/1000)*(d_Irr!R11+d_Irr!AQ11)),IF(AND(d_Irr!R11&lt;&gt;".",d_Irr!AQ11=".",d_Irr!BP11&lt;&gt;"."),d_dir!AS11/((1/1000)*(d_Irr!R11+d_Irr!BP11)),IF(AND(d_Irr!R11=".",d_Irr!AQ11&lt;&gt;".",d_Irr!BP11&lt;&gt;"."),d_dir!AS11/((1/1000)*(d_Irr!AQ11+d_Irr!BP11)),IF(AND(d_Irr!R11=".",d_Irr!AQ11=".",d_Irr!BP11&lt;&gt;"."),d_dir!AS11/((1/1000)*(d_Irr!BP11)),IF(AND(d_Irr!R11=".",d_Irr!AQ11&lt;&gt;".",d_Irr!BP11="."),d_dir!AS11/((1/1000)*(d_Irr!AQ11)),IF(AND(d_Irr!R11&lt;&gt;".",d_Irr!AQ11=".",d_Irr!BP11="."),d_dir!AS11/((1/1000)*(d_Irr!R11)),IF(AND(d_Irr!R11=".",d_Irr!AQ11=".",d_Irr!BP11="."),d_dir!AS11*1000)))))))),".")</f>
        <v>.</v>
      </c>
      <c r="AT11" s="76" t="str">
        <f>IFERROR(IF(AND(d_Irr!S11&lt;&gt;".",d_Irr!AR11&lt;&gt;".",d_Irr!BQ11&lt;&gt;"."),d_dir!AT11/((1/1000)*(d_Irr!S11+d_Irr!AR11+d_Irr!BQ11)),IF(AND(d_Irr!S11&lt;&gt;".",d_Irr!AR11&lt;&gt;".",d_Irr!BQ11="."),d_dir!AT11/((1/1000)*(d_Irr!S11+d_Irr!AR11)),IF(AND(d_Irr!S11&lt;&gt;".",d_Irr!AR11=".",d_Irr!BQ11&lt;&gt;"."),d_dir!AT11/((1/1000)*(d_Irr!S11+d_Irr!BQ11)),IF(AND(d_Irr!S11=".",d_Irr!AR11&lt;&gt;".",d_Irr!BQ11&lt;&gt;"."),d_dir!AT11/((1/1000)*(d_Irr!AR11+d_Irr!BQ11)),IF(AND(d_Irr!S11=".",d_Irr!AR11=".",d_Irr!BQ11&lt;&gt;"."),d_dir!AT11/((1/1000)*(d_Irr!BQ11)),IF(AND(d_Irr!S11=".",d_Irr!AR11&lt;&gt;".",d_Irr!BQ11="."),d_dir!AT11/((1/1000)*(d_Irr!AR11)),IF(AND(d_Irr!S11&lt;&gt;".",d_Irr!AR11=".",d_Irr!BQ11="."),d_dir!AT11/((1/1000)*(d_Irr!S11)),IF(AND(d_Irr!S11=".",d_Irr!AR11=".",d_Irr!BQ11="."),d_dir!AT11*1000)))))))),".")</f>
        <v>.</v>
      </c>
      <c r="AU11" s="76" t="str">
        <f>IFERROR(IF(AND(d_Irr!T11&lt;&gt;".",d_Irr!AS11&lt;&gt;".",d_Irr!BR11&lt;&gt;"."),d_dir!AU11/((1/1000)*(d_Irr!T11+d_Irr!AS11+d_Irr!BR11)),IF(AND(d_Irr!T11&lt;&gt;".",d_Irr!AS11&lt;&gt;".",d_Irr!BR11="."),d_dir!AU11/((1/1000)*(d_Irr!T11+d_Irr!AS11)),IF(AND(d_Irr!T11&lt;&gt;".",d_Irr!AS11=".",d_Irr!BR11&lt;&gt;"."),d_dir!AU11/((1/1000)*(d_Irr!T11+d_Irr!BR11)),IF(AND(d_Irr!T11=".",d_Irr!AS11&lt;&gt;".",d_Irr!BR11&lt;&gt;"."),d_dir!AU11/((1/1000)*(d_Irr!AS11+d_Irr!BR11)),IF(AND(d_Irr!T11=".",d_Irr!AS11=".",d_Irr!BR11&lt;&gt;"."),d_dir!AU11/((1/1000)*(d_Irr!BR11)),IF(AND(d_Irr!T11=".",d_Irr!AS11&lt;&gt;".",d_Irr!BR11="."),d_dir!AU11/((1/1000)*(d_Irr!AS11)),IF(AND(d_Irr!T11&lt;&gt;".",d_Irr!AS11=".",d_Irr!BR11="."),d_dir!AU11/((1/1000)*(d_Irr!T11)),IF(AND(d_Irr!T11=".",d_Irr!AS11=".",d_Irr!BR11="."),d_dir!AU11*1000)))))))),".")</f>
        <v>.</v>
      </c>
      <c r="AV11" s="76" t="str">
        <f>IFERROR(IF(AND(d_Irr!U11&lt;&gt;".",d_Irr!AT11&lt;&gt;".",d_Irr!BS11&lt;&gt;"."),d_dir!AV11/((1/1000)*(d_Irr!U11+d_Irr!AT11+d_Irr!BS11)),IF(AND(d_Irr!U11&lt;&gt;".",d_Irr!AT11&lt;&gt;".",d_Irr!BS11="."),d_dir!AV11/((1/1000)*(d_Irr!U11+d_Irr!AT11)),IF(AND(d_Irr!U11&lt;&gt;".",d_Irr!AT11=".",d_Irr!BS11&lt;&gt;"."),d_dir!AV11/((1/1000)*(d_Irr!U11+d_Irr!BS11)),IF(AND(d_Irr!U11=".",d_Irr!AT11&lt;&gt;".",d_Irr!BS11&lt;&gt;"."),d_dir!AV11/((1/1000)*(d_Irr!AT11+d_Irr!BS11)),IF(AND(d_Irr!U11=".",d_Irr!AT11=".",d_Irr!BS11&lt;&gt;"."),d_dir!AV11/((1/1000)*(d_Irr!BS11)),IF(AND(d_Irr!U11=".",d_Irr!AT11&lt;&gt;".",d_Irr!BS11="."),d_dir!AV11/((1/1000)*(d_Irr!AT11)),IF(AND(d_Irr!U11&lt;&gt;".",d_Irr!AT11=".",d_Irr!BS11="."),d_dir!AV11/((1/1000)*(d_Irr!U11)),IF(AND(d_Irr!U11=".",d_Irr!AT11=".",d_Irr!BS11="."),d_dir!AV11*1000)))))))),".")</f>
        <v>.</v>
      </c>
      <c r="AW11" s="76" t="str">
        <f>IFERROR(IF(AND(d_Irr!V11&lt;&gt;".",d_Irr!AU11&lt;&gt;".",d_Irr!BT11&lt;&gt;"."),d_dir!AW11/((1/1000)*(d_Irr!V11+d_Irr!AU11+d_Irr!BT11)),IF(AND(d_Irr!V11&lt;&gt;".",d_Irr!AU11&lt;&gt;".",d_Irr!BT11="."),d_dir!AW11/((1/1000)*(d_Irr!V11+d_Irr!AU11)),IF(AND(d_Irr!V11&lt;&gt;".",d_Irr!AU11=".",d_Irr!BT11&lt;&gt;"."),d_dir!AW11/((1/1000)*(d_Irr!V11+d_Irr!BT11)),IF(AND(d_Irr!V11=".",d_Irr!AU11&lt;&gt;".",d_Irr!BT11&lt;&gt;"."),d_dir!AW11/((1/1000)*(d_Irr!AU11+d_Irr!BT11)),IF(AND(d_Irr!V11=".",d_Irr!AU11=".",d_Irr!BT11&lt;&gt;"."),d_dir!AW11/((1/1000)*(d_Irr!BT11)),IF(AND(d_Irr!V11=".",d_Irr!AU11&lt;&gt;".",d_Irr!BT11="."),d_dir!AW11/((1/1000)*(d_Irr!AU11)),IF(AND(d_Irr!V11&lt;&gt;".",d_Irr!AU11=".",d_Irr!BT11="."),d_dir!AW11/((1/1000)*(d_Irr!V11)),IF(AND(d_Irr!V11=".",d_Irr!AU11=".",d_Irr!BT11="."),d_dir!AW11*1000)))))))),".")</f>
        <v>.</v>
      </c>
      <c r="AX11" s="76" t="str">
        <f>IFERROR(IF(AND(d_Irr!W11&lt;&gt;".",d_Irr!AV11&lt;&gt;".",d_Irr!BU11&lt;&gt;"."),d_dir!AX11/((1/1000)*(d_Irr!W11+d_Irr!AV11+d_Irr!BU11)),IF(AND(d_Irr!W11&lt;&gt;".",d_Irr!AV11&lt;&gt;".",d_Irr!BU11="."),d_dir!AX11/((1/1000)*(d_Irr!W11+d_Irr!AV11)),IF(AND(d_Irr!W11&lt;&gt;".",d_Irr!AV11=".",d_Irr!BU11&lt;&gt;"."),d_dir!AX11/((1/1000)*(d_Irr!W11+d_Irr!BU11)),IF(AND(d_Irr!W11=".",d_Irr!AV11&lt;&gt;".",d_Irr!BU11&lt;&gt;"."),d_dir!AX11/((1/1000)*(d_Irr!AV11+d_Irr!BU11)),IF(AND(d_Irr!W11=".",d_Irr!AV11=".",d_Irr!BU11&lt;&gt;"."),d_dir!AX11/((1/1000)*(d_Irr!BU11)),IF(AND(d_Irr!W11=".",d_Irr!AV11&lt;&gt;".",d_Irr!BU11="."),d_dir!AX11/((1/1000)*(d_Irr!AV11)),IF(AND(d_Irr!W11&lt;&gt;".",d_Irr!AV11=".",d_Irr!BU11="."),d_dir!AX11/((1/1000)*(d_Irr!W11)),IF(AND(d_Irr!W11=".",d_Irr!AV11=".",d_Irr!BU11="."),d_dir!AX11*1000)))))))),".")</f>
        <v>.</v>
      </c>
      <c r="AY11" s="76" t="str">
        <f>IFERROR(IF(AND(d_Irr!X11&lt;&gt;".",d_Irr!AW11&lt;&gt;".",d_Irr!BV11&lt;&gt;"."),d_dir!AY11/((1/1000)*(d_Irr!X11+d_Irr!AW11+d_Irr!BV11)),IF(AND(d_Irr!X11&lt;&gt;".",d_Irr!AW11&lt;&gt;".",d_Irr!BV11="."),d_dir!AY11/((1/1000)*(d_Irr!X11+d_Irr!AW11)),IF(AND(d_Irr!X11&lt;&gt;".",d_Irr!AW11=".",d_Irr!BV11&lt;&gt;"."),d_dir!AY11/((1/1000)*(d_Irr!X11+d_Irr!BV11)),IF(AND(d_Irr!X11=".",d_Irr!AW11&lt;&gt;".",d_Irr!BV11&lt;&gt;"."),d_dir!AY11/((1/1000)*(d_Irr!AW11+d_Irr!BV11)),IF(AND(d_Irr!X11=".",d_Irr!AW11=".",d_Irr!BV11&lt;&gt;"."),d_dir!AY11/((1/1000)*(d_Irr!BV11)),IF(AND(d_Irr!X11=".",d_Irr!AW11&lt;&gt;".",d_Irr!BV11="."),d_dir!AY11/((1/1000)*(d_Irr!AW11)),IF(AND(d_Irr!X11&lt;&gt;".",d_Irr!AW11=".",d_Irr!BV11="."),d_dir!AY11/((1/1000)*(d_Irr!X11)),IF(AND(d_Irr!X11=".",d_Irr!AW11=".",d_Irr!BV11="."),d_dir!AY11*1000)))))))),".")</f>
        <v>.</v>
      </c>
      <c r="AZ11" s="76" t="str">
        <f>IFERROR(IF(AND(d_Irr!Y11&lt;&gt;".",d_Irr!AX11&lt;&gt;".",d_Irr!BW11&lt;&gt;"."),d_dir!AZ11/((1/1000)*(d_Irr!Y11+d_Irr!AX11+d_Irr!BW11)),IF(AND(d_Irr!Y11&lt;&gt;".",d_Irr!AX11&lt;&gt;".",d_Irr!BW11="."),d_dir!AZ11/((1/1000)*(d_Irr!Y11+d_Irr!AX11)),IF(AND(d_Irr!Y11&lt;&gt;".",d_Irr!AX11=".",d_Irr!BW11&lt;&gt;"."),d_dir!AZ11/((1/1000)*(d_Irr!Y11+d_Irr!BW11)),IF(AND(d_Irr!Y11=".",d_Irr!AX11&lt;&gt;".",d_Irr!BW11&lt;&gt;"."),d_dir!AZ11/((1/1000)*(d_Irr!AX11+d_Irr!BW11)),IF(AND(d_Irr!Y11=".",d_Irr!AX11=".",d_Irr!BW11&lt;&gt;"."),d_dir!AZ11/((1/1000)*(d_Irr!BW11)),IF(AND(d_Irr!Y11=".",d_Irr!AX11&lt;&gt;".",d_Irr!BW11="."),d_dir!AZ11/((1/1000)*(d_Irr!AX11)),IF(AND(d_Irr!Y11&lt;&gt;".",d_Irr!AX11=".",d_Irr!BW11="."),d_dir!AZ11/((1/1000)*(d_Irr!Y11)),IF(AND(d_Irr!Y11=".",d_Irr!AX11=".",d_Irr!BW11="."),d_dir!AZ11*1000)))))))),".")</f>
        <v>.</v>
      </c>
      <c r="BA11" s="76" t="str">
        <f>IFERROR(IF(AND(d_Irr!Z11&lt;&gt;".",d_Irr!AY11&lt;&gt;".",d_Irr!BX11&lt;&gt;"."),d_dir!BA11/((1/1000)*(d_Irr!Z11+d_Irr!AY11+d_Irr!BX11)),IF(AND(d_Irr!Z11&lt;&gt;".",d_Irr!AY11&lt;&gt;".",d_Irr!BX11="."),d_dir!BA11/((1/1000)*(d_Irr!Z11+d_Irr!AY11)),IF(AND(d_Irr!Z11&lt;&gt;".",d_Irr!AY11=".",d_Irr!BX11&lt;&gt;"."),d_dir!BA11/((1/1000)*(d_Irr!Z11+d_Irr!BX11)),IF(AND(d_Irr!Z11=".",d_Irr!AY11&lt;&gt;".",d_Irr!BX11&lt;&gt;"."),d_dir!BA11/((1/1000)*(d_Irr!AY11+d_Irr!BX11)),IF(AND(d_Irr!Z11=".",d_Irr!AY11=".",d_Irr!BX11&lt;&gt;"."),d_dir!BA11/((1/1000)*(d_Irr!BX11)),IF(AND(d_Irr!Z11=".",d_Irr!AY11&lt;&gt;".",d_Irr!BX11="."),d_dir!BA11/((1/1000)*(d_Irr!AY11)),IF(AND(d_Irr!Z11&lt;&gt;".",d_Irr!AY11=".",d_Irr!BX11="."),d_dir!BA11/((1/1000)*(d_Irr!Z11)),IF(AND(d_Irr!Z11=".",d_Irr!AY11=".",d_Irr!BX11="."),d_dir!BA11*1000)))))))),".")</f>
        <v>.</v>
      </c>
      <c r="BB11" s="76" t="str">
        <f>IFERROR(IF(AND(d_Irr!AA11&lt;&gt;".",d_Irr!AZ11&lt;&gt;".",d_Irr!BY11&lt;&gt;"."),d_dir!BB11/((1/1000)*(d_Irr!AA11+d_Irr!AZ11+d_Irr!BY11)),IF(AND(d_Irr!AA11&lt;&gt;".",d_Irr!AZ11&lt;&gt;".",d_Irr!BY11="."),d_dir!BB11/((1/1000)*(d_Irr!AA11+d_Irr!AZ11)),IF(AND(d_Irr!AA11&lt;&gt;".",d_Irr!AZ11=".",d_Irr!BY11&lt;&gt;"."),d_dir!BB11/((1/1000)*(d_Irr!AA11+d_Irr!BY11)),IF(AND(d_Irr!AA11=".",d_Irr!AZ11&lt;&gt;".",d_Irr!BY11&lt;&gt;"."),d_dir!BB11/((1/1000)*(d_Irr!AZ11+d_Irr!BY11)),IF(AND(d_Irr!AA11=".",d_Irr!AZ11=".",d_Irr!BY11&lt;&gt;"."),d_dir!BB11/((1/1000)*(d_Irr!BY11)),IF(AND(d_Irr!AA11=".",d_Irr!AZ11&lt;&gt;".",d_Irr!BY11="."),d_dir!BB11/((1/1000)*(d_Irr!AZ11)),IF(AND(d_Irr!AA11&lt;&gt;".",d_Irr!AZ11=".",d_Irr!BY11="."),d_dir!BB11/((1/1000)*(d_Irr!AA11)),IF(AND(d_Irr!AA11=".",d_Irr!AZ11=".",d_Irr!BY11="."),d_dir!BB11*1000)))))))),".")</f>
        <v>.</v>
      </c>
    </row>
    <row r="12" spans="1:54" ht="15" customHeight="1" x14ac:dyDescent="0.25">
      <c r="A12" s="92" t="s">
        <v>22</v>
      </c>
      <c r="B12" s="90" t="s">
        <v>1071</v>
      </c>
      <c r="C12" s="2" t="str">
        <f t="shared" si="1"/>
        <v>.</v>
      </c>
      <c r="D12" s="76" t="str">
        <f>IFERROR(IF(AND(d_Irr!C12&lt;&gt;".",d_Irr!AB12&lt;&gt;".",d_Irr!BA12&lt;&gt;"."),d_dir!D12/((1/1000)*(d_Irr!C12+d_Irr!AB12+d_Irr!BA12)),IF(AND(d_Irr!C12&lt;&gt;".",d_Irr!AB12&lt;&gt;".",d_Irr!BA12="."),d_dir!D12/((1/1000)*(d_Irr!C12+d_Irr!AB12)),IF(AND(d_Irr!C12&lt;&gt;".",d_Irr!AB12=".",d_Irr!BA12&lt;&gt;"."),d_dir!D12/((1/1000)*(d_Irr!C12+d_Irr!BA12)),IF(AND(d_Irr!C12=".",d_Irr!AB12&lt;&gt;".",d_Irr!BA12&lt;&gt;"."),d_dir!D12/((1/1000)*(d_Irr!AB12+d_Irr!BA12)),IF(AND(d_Irr!C12=".",d_Irr!AB12=".",d_Irr!BA12&lt;&gt;"."),d_dir!D12/((1/1000)*(d_Irr!BA12)),IF(AND(d_Irr!C12=".",d_Irr!AB12&lt;&gt;".",d_Irr!BA12="."),d_dir!D12/((1/1000)*(d_Irr!AB12)),IF(AND(d_Irr!C12&lt;&gt;".",d_Irr!AB12=".",d_Irr!BA12="."),d_dir!D12/((1/1000)*(d_Irr!C12)),IF(AND(d_Irr!C12=".",d_Irr!AB12=".",d_Irr!BA12="."),d_dir!D12*1000)))))))),".")</f>
        <v>.</v>
      </c>
      <c r="E12" s="76" t="str">
        <f>IFERROR(IF(AND(d_Irr!D12&lt;&gt;".",d_Irr!AC12&lt;&gt;".",d_Irr!BB12&lt;&gt;"."),d_dir!E12/((1/1000)*(d_Irr!D12+d_Irr!AC12+d_Irr!BB12)),IF(AND(d_Irr!D12&lt;&gt;".",d_Irr!AC12&lt;&gt;".",d_Irr!BB12="."),d_dir!E12/((1/1000)*(d_Irr!D12+d_Irr!AC12)),IF(AND(d_Irr!D12&lt;&gt;".",d_Irr!AC12=".",d_Irr!BB12&lt;&gt;"."),d_dir!E12/((1/1000)*(d_Irr!D12+d_Irr!BB12)),IF(AND(d_Irr!D12=".",d_Irr!AC12&lt;&gt;".",d_Irr!BB12&lt;&gt;"."),d_dir!E12/((1/1000)*(d_Irr!AC12+d_Irr!BB12)),IF(AND(d_Irr!D12=".",d_Irr!AC12=".",d_Irr!BB12&lt;&gt;"."),d_dir!E12/((1/1000)*(d_Irr!BB12)),IF(AND(d_Irr!D12=".",d_Irr!AC12&lt;&gt;".",d_Irr!BB12="."),d_dir!E12/((1/1000)*(d_Irr!AC12)),IF(AND(d_Irr!D12&lt;&gt;".",d_Irr!AC12=".",d_Irr!BB12="."),d_dir!E12/((1/1000)*(d_Irr!D12)),IF(AND(d_Irr!D12=".",d_Irr!AC12=".",d_Irr!BB12="."),d_dir!E12*1000)))))))),".")</f>
        <v>.</v>
      </c>
      <c r="F12" s="76" t="str">
        <f>IFERROR(IF(AND(d_Irr!E12&lt;&gt;".",d_Irr!AD12&lt;&gt;".",d_Irr!BC12&lt;&gt;"."),d_dir!F12/((1/1000)*(d_Irr!E12+d_Irr!AD12+d_Irr!BC12)),IF(AND(d_Irr!E12&lt;&gt;".",d_Irr!AD12&lt;&gt;".",d_Irr!BC12="."),d_dir!F12/((1/1000)*(d_Irr!E12+d_Irr!AD12)),IF(AND(d_Irr!E12&lt;&gt;".",d_Irr!AD12=".",d_Irr!BC12&lt;&gt;"."),d_dir!F12/((1/1000)*(d_Irr!E12+d_Irr!BC12)),IF(AND(d_Irr!E12=".",d_Irr!AD12&lt;&gt;".",d_Irr!BC12&lt;&gt;"."),d_dir!F12/((1/1000)*(d_Irr!AD12+d_Irr!BC12)),IF(AND(d_Irr!E12=".",d_Irr!AD12=".",d_Irr!BC12&lt;&gt;"."),d_dir!F12/((1/1000)*(d_Irr!BC12)),IF(AND(d_Irr!E12=".",d_Irr!AD12&lt;&gt;".",d_Irr!BC12="."),d_dir!F12/((1/1000)*(d_Irr!AD12)),IF(AND(d_Irr!E12&lt;&gt;".",d_Irr!AD12=".",d_Irr!BC12="."),d_dir!F12/((1/1000)*(d_Irr!E12)),IF(AND(d_Irr!E12=".",d_Irr!AD12=".",d_Irr!BC12="."),d_dir!F12*1000)))))))),".")</f>
        <v>.</v>
      </c>
      <c r="G12" s="76" t="str">
        <f>IFERROR(IF(AND(d_Irr!F12&lt;&gt;".",d_Irr!AE12&lt;&gt;".",d_Irr!BD12&lt;&gt;"."),d_dir!G12/((1/1000)*(d_Irr!F12+d_Irr!AE12+d_Irr!BD12)),IF(AND(d_Irr!F12&lt;&gt;".",d_Irr!AE12&lt;&gt;".",d_Irr!BD12="."),d_dir!G12/((1/1000)*(d_Irr!F12+d_Irr!AE12)),IF(AND(d_Irr!F12&lt;&gt;".",d_Irr!AE12=".",d_Irr!BD12&lt;&gt;"."),d_dir!G12/((1/1000)*(d_Irr!F12+d_Irr!BD12)),IF(AND(d_Irr!F12=".",d_Irr!AE12&lt;&gt;".",d_Irr!BD12&lt;&gt;"."),d_dir!G12/((1/1000)*(d_Irr!AE12+d_Irr!BD12)),IF(AND(d_Irr!F12=".",d_Irr!AE12=".",d_Irr!BD12&lt;&gt;"."),d_dir!G12/((1/1000)*(d_Irr!BD12)),IF(AND(d_Irr!F12=".",d_Irr!AE12&lt;&gt;".",d_Irr!BD12="."),d_dir!G12/((1/1000)*(d_Irr!AE12)),IF(AND(d_Irr!F12&lt;&gt;".",d_Irr!AE12=".",d_Irr!BD12="."),d_dir!G12/((1/1000)*(d_Irr!F12)),IF(AND(d_Irr!F12=".",d_Irr!AE12=".",d_Irr!BD12="."),d_dir!G12*1000)))))))),".")</f>
        <v>.</v>
      </c>
      <c r="H12" s="76" t="str">
        <f>IFERROR(IF(AND(d_Irr!G12&lt;&gt;".",d_Irr!AF12&lt;&gt;".",d_Irr!BE12&lt;&gt;"."),d_dir!H12/((1/1000)*(d_Irr!G12+d_Irr!AF12+d_Irr!BE12)),IF(AND(d_Irr!G12&lt;&gt;".",d_Irr!AF12&lt;&gt;".",d_Irr!BE12="."),d_dir!H12/((1/1000)*(d_Irr!G12+d_Irr!AF12)),IF(AND(d_Irr!G12&lt;&gt;".",d_Irr!AF12=".",d_Irr!BE12&lt;&gt;"."),d_dir!H12/((1/1000)*(d_Irr!G12+d_Irr!BE12)),IF(AND(d_Irr!G12=".",d_Irr!AF12&lt;&gt;".",d_Irr!BE12&lt;&gt;"."),d_dir!H12/((1/1000)*(d_Irr!AF12+d_Irr!BE12)),IF(AND(d_Irr!G12=".",d_Irr!AF12=".",d_Irr!BE12&lt;&gt;"."),d_dir!H12/((1/1000)*(d_Irr!BE12)),IF(AND(d_Irr!G12=".",d_Irr!AF12&lt;&gt;".",d_Irr!BE12="."),d_dir!H12/((1/1000)*(d_Irr!AF12)),IF(AND(d_Irr!G12&lt;&gt;".",d_Irr!AF12=".",d_Irr!BE12="."),d_dir!H12/((1/1000)*(d_Irr!G12)),IF(AND(d_Irr!G12=".",d_Irr!AF12=".",d_Irr!BE12="."),d_dir!H12*1000)))))))),".")</f>
        <v>.</v>
      </c>
      <c r="I12" s="76" t="str">
        <f>IFERROR(IF(AND(d_Irr!H12&lt;&gt;".",d_Irr!AG12&lt;&gt;".",d_Irr!BF12&lt;&gt;"."),d_dir!I12/((1/1000)*(d_Irr!H12+d_Irr!AG12+d_Irr!BF12)),IF(AND(d_Irr!H12&lt;&gt;".",d_Irr!AG12&lt;&gt;".",d_Irr!BF12="."),d_dir!I12/((1/1000)*(d_Irr!H12+d_Irr!AG12)),IF(AND(d_Irr!H12&lt;&gt;".",d_Irr!AG12=".",d_Irr!BF12&lt;&gt;"."),d_dir!I12/((1/1000)*(d_Irr!H12+d_Irr!BF12)),IF(AND(d_Irr!H12=".",d_Irr!AG12&lt;&gt;".",d_Irr!BF12&lt;&gt;"."),d_dir!I12/((1/1000)*(d_Irr!AG12+d_Irr!BF12)),IF(AND(d_Irr!H12=".",d_Irr!AG12=".",d_Irr!BF12&lt;&gt;"."),d_dir!I12/((1/1000)*(d_Irr!BF12)),IF(AND(d_Irr!H12=".",d_Irr!AG12&lt;&gt;".",d_Irr!BF12="."),d_dir!I12/((1/1000)*(d_Irr!AG12)),IF(AND(d_Irr!H12&lt;&gt;".",d_Irr!AG12=".",d_Irr!BF12="."),d_dir!I12/((1/1000)*(d_Irr!H12)),IF(AND(d_Irr!H12=".",d_Irr!AG12=".",d_Irr!BF12="."),d_dir!I12*1000)))))))),".")</f>
        <v>.</v>
      </c>
      <c r="J12" s="76" t="str">
        <f>IFERROR(IF(AND(d_Irr!I12&lt;&gt;".",d_Irr!AH12&lt;&gt;".",d_Irr!BG12&lt;&gt;"."),d_dir!J12/((1/1000)*(d_Irr!I12+d_Irr!AH12+d_Irr!BG12)),IF(AND(d_Irr!I12&lt;&gt;".",d_Irr!AH12&lt;&gt;".",d_Irr!BG12="."),d_dir!J12/((1/1000)*(d_Irr!I12+d_Irr!AH12)),IF(AND(d_Irr!I12&lt;&gt;".",d_Irr!AH12=".",d_Irr!BG12&lt;&gt;"."),d_dir!J12/((1/1000)*(d_Irr!I12+d_Irr!BG12)),IF(AND(d_Irr!I12=".",d_Irr!AH12&lt;&gt;".",d_Irr!BG12&lt;&gt;"."),d_dir!J12/((1/1000)*(d_Irr!AH12+d_Irr!BG12)),IF(AND(d_Irr!I12=".",d_Irr!AH12=".",d_Irr!BG12&lt;&gt;"."),d_dir!J12/((1/1000)*(d_Irr!BG12)),IF(AND(d_Irr!I12=".",d_Irr!AH12&lt;&gt;".",d_Irr!BG12="."),d_dir!J12/((1/1000)*(d_Irr!AH12)),IF(AND(d_Irr!I12&lt;&gt;".",d_Irr!AH12=".",d_Irr!BG12="."),d_dir!J12/((1/1000)*(d_Irr!I12)),IF(AND(d_Irr!I12=".",d_Irr!AH12=".",d_Irr!BG12="."),d_dir!J12*1000)))))))),".")</f>
        <v>.</v>
      </c>
      <c r="K12" s="76" t="str">
        <f>IFERROR(IF(AND(d_Irr!J12&lt;&gt;".",d_Irr!AI12&lt;&gt;".",d_Irr!BH12&lt;&gt;"."),d_dir!K12/((1/1000)*(d_Irr!J12+d_Irr!AI12+d_Irr!BH12)),IF(AND(d_Irr!J12&lt;&gt;".",d_Irr!AI12&lt;&gt;".",d_Irr!BH12="."),d_dir!K12/((1/1000)*(d_Irr!J12+d_Irr!AI12)),IF(AND(d_Irr!J12&lt;&gt;".",d_Irr!AI12=".",d_Irr!BH12&lt;&gt;"."),d_dir!K12/((1/1000)*(d_Irr!J12+d_Irr!BH12)),IF(AND(d_Irr!J12=".",d_Irr!AI12&lt;&gt;".",d_Irr!BH12&lt;&gt;"."),d_dir!K12/((1/1000)*(d_Irr!AI12+d_Irr!BH12)),IF(AND(d_Irr!J12=".",d_Irr!AI12=".",d_Irr!BH12&lt;&gt;"."),d_dir!K12/((1/1000)*(d_Irr!BH12)),IF(AND(d_Irr!J12=".",d_Irr!AI12&lt;&gt;".",d_Irr!BH12="."),d_dir!K12/((1/1000)*(d_Irr!AI12)),IF(AND(d_Irr!J12&lt;&gt;".",d_Irr!AI12=".",d_Irr!BH12="."),d_dir!K12/((1/1000)*(d_Irr!J12)),IF(AND(d_Irr!J12=".",d_Irr!AI12=".",d_Irr!BH12="."),d_dir!K12*1000)))))))),".")</f>
        <v>.</v>
      </c>
      <c r="L12" s="76" t="str">
        <f>IFERROR(IF(AND(d_Irr!K12&lt;&gt;".",d_Irr!AJ12&lt;&gt;".",d_Irr!BI12&lt;&gt;"."),d_dir!L12/((1/1000)*(d_Irr!K12+d_Irr!AJ12+d_Irr!BI12)),IF(AND(d_Irr!K12&lt;&gt;".",d_Irr!AJ12&lt;&gt;".",d_Irr!BI12="."),d_dir!L12/((1/1000)*(d_Irr!K12+d_Irr!AJ12)),IF(AND(d_Irr!K12&lt;&gt;".",d_Irr!AJ12=".",d_Irr!BI12&lt;&gt;"."),d_dir!L12/((1/1000)*(d_Irr!K12+d_Irr!BI12)),IF(AND(d_Irr!K12=".",d_Irr!AJ12&lt;&gt;".",d_Irr!BI12&lt;&gt;"."),d_dir!L12/((1/1000)*(d_Irr!AJ12+d_Irr!BI12)),IF(AND(d_Irr!K12=".",d_Irr!AJ12=".",d_Irr!BI12&lt;&gt;"."),d_dir!L12/((1/1000)*(d_Irr!BI12)),IF(AND(d_Irr!K12=".",d_Irr!AJ12&lt;&gt;".",d_Irr!BI12="."),d_dir!L12/((1/1000)*(d_Irr!AJ12)),IF(AND(d_Irr!K12&lt;&gt;".",d_Irr!AJ12=".",d_Irr!BI12="."),d_dir!L12/((1/1000)*(d_Irr!K12)),IF(AND(d_Irr!K12=".",d_Irr!AJ12=".",d_Irr!BI12="."),d_dir!L12*1000)))))))),".")</f>
        <v>.</v>
      </c>
      <c r="M12" s="76" t="str">
        <f>IFERROR(IF(AND(d_Irr!L12&lt;&gt;".",d_Irr!AK12&lt;&gt;".",d_Irr!BJ12&lt;&gt;"."),d_dir!M12/((1/1000)*(d_Irr!L12+d_Irr!AK12+d_Irr!BJ12)),IF(AND(d_Irr!L12&lt;&gt;".",d_Irr!AK12&lt;&gt;".",d_Irr!BJ12="."),d_dir!M12/((1/1000)*(d_Irr!L12+d_Irr!AK12)),IF(AND(d_Irr!L12&lt;&gt;".",d_Irr!AK12=".",d_Irr!BJ12&lt;&gt;"."),d_dir!M12/((1/1000)*(d_Irr!L12+d_Irr!BJ12)),IF(AND(d_Irr!L12=".",d_Irr!AK12&lt;&gt;".",d_Irr!BJ12&lt;&gt;"."),d_dir!M12/((1/1000)*(d_Irr!AK12+d_Irr!BJ12)),IF(AND(d_Irr!L12=".",d_Irr!AK12=".",d_Irr!BJ12&lt;&gt;"."),d_dir!M12/((1/1000)*(d_Irr!BJ12)),IF(AND(d_Irr!L12=".",d_Irr!AK12&lt;&gt;".",d_Irr!BJ12="."),d_dir!M12/((1/1000)*(d_Irr!AK12)),IF(AND(d_Irr!L12&lt;&gt;".",d_Irr!AK12=".",d_Irr!BJ12="."),d_dir!M12/((1/1000)*(d_Irr!L12)),IF(AND(d_Irr!L12=".",d_Irr!AK12=".",d_Irr!BJ12="."),d_dir!M12*1000)))))))),".")</f>
        <v>.</v>
      </c>
      <c r="N12" s="76" t="str">
        <f>IFERROR(IF(AND(d_Irr!M12&lt;&gt;".",d_Irr!AL12&lt;&gt;".",d_Irr!BK12&lt;&gt;"."),d_dir!N12/((1/1000)*(d_Irr!M12+d_Irr!AL12+d_Irr!BK12)),IF(AND(d_Irr!M12&lt;&gt;".",d_Irr!AL12&lt;&gt;".",d_Irr!BK12="."),d_dir!N12/((1/1000)*(d_Irr!M12+d_Irr!AL12)),IF(AND(d_Irr!M12&lt;&gt;".",d_Irr!AL12=".",d_Irr!BK12&lt;&gt;"."),d_dir!N12/((1/1000)*(d_Irr!M12+d_Irr!BK12)),IF(AND(d_Irr!M12=".",d_Irr!AL12&lt;&gt;".",d_Irr!BK12&lt;&gt;"."),d_dir!N12/((1/1000)*(d_Irr!AL12+d_Irr!BK12)),IF(AND(d_Irr!M12=".",d_Irr!AL12=".",d_Irr!BK12&lt;&gt;"."),d_dir!N12/((1/1000)*(d_Irr!BK12)),IF(AND(d_Irr!M12=".",d_Irr!AL12&lt;&gt;".",d_Irr!BK12="."),d_dir!N12/((1/1000)*(d_Irr!AL12)),IF(AND(d_Irr!M12&lt;&gt;".",d_Irr!AL12=".",d_Irr!BK12="."),d_dir!N12/((1/1000)*(d_Irr!M12)),IF(AND(d_Irr!M12=".",d_Irr!AL12=".",d_Irr!BK12="."),d_dir!N12*1000)))))))),".")</f>
        <v>.</v>
      </c>
      <c r="O12" s="76" t="str">
        <f>IFERROR(IF(AND(d_Irr!N12&lt;&gt;".",d_Irr!AM12&lt;&gt;".",d_Irr!BL12&lt;&gt;"."),d_dir!O12/((1/1000)*(d_Irr!N12+d_Irr!AM12+d_Irr!BL12)),IF(AND(d_Irr!N12&lt;&gt;".",d_Irr!AM12&lt;&gt;".",d_Irr!BL12="."),d_dir!O12/((1/1000)*(d_Irr!N12+d_Irr!AM12)),IF(AND(d_Irr!N12&lt;&gt;".",d_Irr!AM12=".",d_Irr!BL12&lt;&gt;"."),d_dir!O12/((1/1000)*(d_Irr!N12+d_Irr!BL12)),IF(AND(d_Irr!N12=".",d_Irr!AM12&lt;&gt;".",d_Irr!BL12&lt;&gt;"."),d_dir!O12/((1/1000)*(d_Irr!AM12+d_Irr!BL12)),IF(AND(d_Irr!N12=".",d_Irr!AM12=".",d_Irr!BL12&lt;&gt;"."),d_dir!O12/((1/1000)*(d_Irr!BL12)),IF(AND(d_Irr!N12=".",d_Irr!AM12&lt;&gt;".",d_Irr!BL12="."),d_dir!O12/((1/1000)*(d_Irr!AM12)),IF(AND(d_Irr!N12&lt;&gt;".",d_Irr!AM12=".",d_Irr!BL12="."),d_dir!O12/((1/1000)*(d_Irr!N12)),IF(AND(d_Irr!N12=".",d_Irr!AM12=".",d_Irr!BL12="."),d_dir!O12*1000)))))))),".")</f>
        <v>.</v>
      </c>
      <c r="P12" s="76" t="str">
        <f>IFERROR(IF(AND(d_Irr!O12&lt;&gt;".",d_Irr!AN12&lt;&gt;".",d_Irr!BM12&lt;&gt;"."),d_dir!P12/((1/1000)*(d_Irr!O12+d_Irr!AN12+d_Irr!BM12)),IF(AND(d_Irr!O12&lt;&gt;".",d_Irr!AN12&lt;&gt;".",d_Irr!BM12="."),d_dir!P12/((1/1000)*(d_Irr!O12+d_Irr!AN12)),IF(AND(d_Irr!O12&lt;&gt;".",d_Irr!AN12=".",d_Irr!BM12&lt;&gt;"."),d_dir!P12/((1/1000)*(d_Irr!O12+d_Irr!BM12)),IF(AND(d_Irr!O12=".",d_Irr!AN12&lt;&gt;".",d_Irr!BM12&lt;&gt;"."),d_dir!P12/((1/1000)*(d_Irr!AN12+d_Irr!BM12)),IF(AND(d_Irr!O12=".",d_Irr!AN12=".",d_Irr!BM12&lt;&gt;"."),d_dir!P12/((1/1000)*(d_Irr!BM12)),IF(AND(d_Irr!O12=".",d_Irr!AN12&lt;&gt;".",d_Irr!BM12="."),d_dir!P12/((1/1000)*(d_Irr!AN12)),IF(AND(d_Irr!O12&lt;&gt;".",d_Irr!AN12=".",d_Irr!BM12="."),d_dir!P12/((1/1000)*(d_Irr!O12)),IF(AND(d_Irr!O12=".",d_Irr!AN12=".",d_Irr!BM12="."),d_dir!P12*1000)))))))),".")</f>
        <v>.</v>
      </c>
      <c r="Q12" s="76" t="str">
        <f>IFERROR(IF(AND(d_Irr!P12&lt;&gt;".",d_Irr!AO12&lt;&gt;".",d_Irr!BN12&lt;&gt;"."),d_dir!Q12/((1/1000)*(d_Irr!P12+d_Irr!AO12+d_Irr!BN12)),IF(AND(d_Irr!P12&lt;&gt;".",d_Irr!AO12&lt;&gt;".",d_Irr!BN12="."),d_dir!Q12/((1/1000)*(d_Irr!P12+d_Irr!AO12)),IF(AND(d_Irr!P12&lt;&gt;".",d_Irr!AO12=".",d_Irr!BN12&lt;&gt;"."),d_dir!Q12/((1/1000)*(d_Irr!P12+d_Irr!BN12)),IF(AND(d_Irr!P12=".",d_Irr!AO12&lt;&gt;".",d_Irr!BN12&lt;&gt;"."),d_dir!Q12/((1/1000)*(d_Irr!AO12+d_Irr!BN12)),IF(AND(d_Irr!P12=".",d_Irr!AO12=".",d_Irr!BN12&lt;&gt;"."),d_dir!Q12/((1/1000)*(d_Irr!BN12)),IF(AND(d_Irr!P12=".",d_Irr!AO12&lt;&gt;".",d_Irr!BN12="."),d_dir!Q12/((1/1000)*(d_Irr!AO12)),IF(AND(d_Irr!P12&lt;&gt;".",d_Irr!AO12=".",d_Irr!BN12="."),d_dir!Q12/((1/1000)*(d_Irr!P12)),IF(AND(d_Irr!P12=".",d_Irr!AO12=".",d_Irr!BN12="."),d_dir!Q12*1000)))))))),".")</f>
        <v>.</v>
      </c>
      <c r="R12" s="76" t="str">
        <f>IFERROR(IF(AND(d_Irr!Q12&lt;&gt;".",d_Irr!AP12&lt;&gt;".",d_Irr!BO12&lt;&gt;"."),d_dir!R12/((1/1000)*(d_Irr!Q12+d_Irr!AP12+d_Irr!BO12)),IF(AND(d_Irr!Q12&lt;&gt;".",d_Irr!AP12&lt;&gt;".",d_Irr!BO12="."),d_dir!R12/((1/1000)*(d_Irr!Q12+d_Irr!AP12)),IF(AND(d_Irr!Q12&lt;&gt;".",d_Irr!AP12=".",d_Irr!BO12&lt;&gt;"."),d_dir!R12/((1/1000)*(d_Irr!Q12+d_Irr!BO12)),IF(AND(d_Irr!Q12=".",d_Irr!AP12&lt;&gt;".",d_Irr!BO12&lt;&gt;"."),d_dir!R12/((1/1000)*(d_Irr!AP12+d_Irr!BO12)),IF(AND(d_Irr!Q12=".",d_Irr!AP12=".",d_Irr!BO12&lt;&gt;"."),d_dir!R12/((1/1000)*(d_Irr!BO12)),IF(AND(d_Irr!Q12=".",d_Irr!AP12&lt;&gt;".",d_Irr!BO12="."),d_dir!R12/((1/1000)*(d_Irr!AP12)),IF(AND(d_Irr!Q12&lt;&gt;".",d_Irr!AP12=".",d_Irr!BO12="."),d_dir!R12/((1/1000)*(d_Irr!Q12)),IF(AND(d_Irr!Q12=".",d_Irr!AP12=".",d_Irr!BO12="."),d_dir!R12*1000)))))))),".")</f>
        <v>.</v>
      </c>
      <c r="S12" s="76" t="str">
        <f>IFERROR(IF(AND(d_Irr!R12&lt;&gt;".",d_Irr!AQ12&lt;&gt;".",d_Irr!BP12&lt;&gt;"."),d_dir!S12/((1/1000)*(d_Irr!R12+d_Irr!AQ12+d_Irr!BP12)),IF(AND(d_Irr!R12&lt;&gt;".",d_Irr!AQ12&lt;&gt;".",d_Irr!BP12="."),d_dir!S12/((1/1000)*(d_Irr!R12+d_Irr!AQ12)),IF(AND(d_Irr!R12&lt;&gt;".",d_Irr!AQ12=".",d_Irr!BP12&lt;&gt;"."),d_dir!S12/((1/1000)*(d_Irr!R12+d_Irr!BP12)),IF(AND(d_Irr!R12=".",d_Irr!AQ12&lt;&gt;".",d_Irr!BP12&lt;&gt;"."),d_dir!S12/((1/1000)*(d_Irr!AQ12+d_Irr!BP12)),IF(AND(d_Irr!R12=".",d_Irr!AQ12=".",d_Irr!BP12&lt;&gt;"."),d_dir!S12/((1/1000)*(d_Irr!BP12)),IF(AND(d_Irr!R12=".",d_Irr!AQ12&lt;&gt;".",d_Irr!BP12="."),d_dir!S12/((1/1000)*(d_Irr!AQ12)),IF(AND(d_Irr!R12&lt;&gt;".",d_Irr!AQ12=".",d_Irr!BP12="."),d_dir!S12/((1/1000)*(d_Irr!R12)),IF(AND(d_Irr!R12=".",d_Irr!AQ12=".",d_Irr!BP12="."),d_dir!S12*1000)))))))),".")</f>
        <v>.</v>
      </c>
      <c r="T12" s="76" t="str">
        <f>IFERROR(IF(AND(d_Irr!S12&lt;&gt;".",d_Irr!AR12&lt;&gt;".",d_Irr!BQ12&lt;&gt;"."),d_dir!T12/((1/1000)*(d_Irr!S12+d_Irr!AR12+d_Irr!BQ12)),IF(AND(d_Irr!S12&lt;&gt;".",d_Irr!AR12&lt;&gt;".",d_Irr!BQ12="."),d_dir!T12/((1/1000)*(d_Irr!S12+d_Irr!AR12)),IF(AND(d_Irr!S12&lt;&gt;".",d_Irr!AR12=".",d_Irr!BQ12&lt;&gt;"."),d_dir!T12/((1/1000)*(d_Irr!S12+d_Irr!BQ12)),IF(AND(d_Irr!S12=".",d_Irr!AR12&lt;&gt;".",d_Irr!BQ12&lt;&gt;"."),d_dir!T12/((1/1000)*(d_Irr!AR12+d_Irr!BQ12)),IF(AND(d_Irr!S12=".",d_Irr!AR12=".",d_Irr!BQ12&lt;&gt;"."),d_dir!T12/((1/1000)*(d_Irr!BQ12)),IF(AND(d_Irr!S12=".",d_Irr!AR12&lt;&gt;".",d_Irr!BQ12="."),d_dir!T12/((1/1000)*(d_Irr!AR12)),IF(AND(d_Irr!S12&lt;&gt;".",d_Irr!AR12=".",d_Irr!BQ12="."),d_dir!T12/((1/1000)*(d_Irr!S12)),IF(AND(d_Irr!S12=".",d_Irr!AR12=".",d_Irr!BQ12="."),d_dir!T12*1000)))))))),".")</f>
        <v>.</v>
      </c>
      <c r="U12" s="76" t="str">
        <f>IFERROR(IF(AND(d_Irr!T12&lt;&gt;".",d_Irr!AS12&lt;&gt;".",d_Irr!BR12&lt;&gt;"."),d_dir!U12/((1/1000)*(d_Irr!T12+d_Irr!AS12+d_Irr!BR12)),IF(AND(d_Irr!T12&lt;&gt;".",d_Irr!AS12&lt;&gt;".",d_Irr!BR12="."),d_dir!U12/((1/1000)*(d_Irr!T12+d_Irr!AS12)),IF(AND(d_Irr!T12&lt;&gt;".",d_Irr!AS12=".",d_Irr!BR12&lt;&gt;"."),d_dir!U12/((1/1000)*(d_Irr!T12+d_Irr!BR12)),IF(AND(d_Irr!T12=".",d_Irr!AS12&lt;&gt;".",d_Irr!BR12&lt;&gt;"."),d_dir!U12/((1/1000)*(d_Irr!AS12+d_Irr!BR12)),IF(AND(d_Irr!T12=".",d_Irr!AS12=".",d_Irr!BR12&lt;&gt;"."),d_dir!U12/((1/1000)*(d_Irr!BR12)),IF(AND(d_Irr!T12=".",d_Irr!AS12&lt;&gt;".",d_Irr!BR12="."),d_dir!U12/((1/1000)*(d_Irr!AS12)),IF(AND(d_Irr!T12&lt;&gt;".",d_Irr!AS12=".",d_Irr!BR12="."),d_dir!U12/((1/1000)*(d_Irr!T12)),IF(AND(d_Irr!T12=".",d_Irr!AS12=".",d_Irr!BR12="."),d_dir!U12*1000)))))))),".")</f>
        <v>.</v>
      </c>
      <c r="V12" s="76" t="str">
        <f>IFERROR(IF(AND(d_Irr!U12&lt;&gt;".",d_Irr!AT12&lt;&gt;".",d_Irr!BS12&lt;&gt;"."),d_dir!V12/((1/1000)*(d_Irr!U12+d_Irr!AT12+d_Irr!BS12)),IF(AND(d_Irr!U12&lt;&gt;".",d_Irr!AT12&lt;&gt;".",d_Irr!BS12="."),d_dir!V12/((1/1000)*(d_Irr!U12+d_Irr!AT12)),IF(AND(d_Irr!U12&lt;&gt;".",d_Irr!AT12=".",d_Irr!BS12&lt;&gt;"."),d_dir!V12/((1/1000)*(d_Irr!U12+d_Irr!BS12)),IF(AND(d_Irr!U12=".",d_Irr!AT12&lt;&gt;".",d_Irr!BS12&lt;&gt;"."),d_dir!V12/((1/1000)*(d_Irr!AT12+d_Irr!BS12)),IF(AND(d_Irr!U12=".",d_Irr!AT12=".",d_Irr!BS12&lt;&gt;"."),d_dir!V12/((1/1000)*(d_Irr!BS12)),IF(AND(d_Irr!U12=".",d_Irr!AT12&lt;&gt;".",d_Irr!BS12="."),d_dir!V12/((1/1000)*(d_Irr!AT12)),IF(AND(d_Irr!U12&lt;&gt;".",d_Irr!AT12=".",d_Irr!BS12="."),d_dir!V12/((1/1000)*(d_Irr!U12)),IF(AND(d_Irr!U12=".",d_Irr!AT12=".",d_Irr!BS12="."),d_dir!V12*1000)))))))),".")</f>
        <v>.</v>
      </c>
      <c r="W12" s="76" t="str">
        <f>IFERROR(IF(AND(d_Irr!V12&lt;&gt;".",d_Irr!AU12&lt;&gt;".",d_Irr!BT12&lt;&gt;"."),d_dir!W12/((1/1000)*(d_Irr!V12+d_Irr!AU12+d_Irr!BT12)),IF(AND(d_Irr!V12&lt;&gt;".",d_Irr!AU12&lt;&gt;".",d_Irr!BT12="."),d_dir!W12/((1/1000)*(d_Irr!V12+d_Irr!AU12)),IF(AND(d_Irr!V12&lt;&gt;".",d_Irr!AU12=".",d_Irr!BT12&lt;&gt;"."),d_dir!W12/((1/1000)*(d_Irr!V12+d_Irr!BT12)),IF(AND(d_Irr!V12=".",d_Irr!AU12&lt;&gt;".",d_Irr!BT12&lt;&gt;"."),d_dir!W12/((1/1000)*(d_Irr!AU12+d_Irr!BT12)),IF(AND(d_Irr!V12=".",d_Irr!AU12=".",d_Irr!BT12&lt;&gt;"."),d_dir!W12/((1/1000)*(d_Irr!BT12)),IF(AND(d_Irr!V12=".",d_Irr!AU12&lt;&gt;".",d_Irr!BT12="."),d_dir!W12/((1/1000)*(d_Irr!AU12)),IF(AND(d_Irr!V12&lt;&gt;".",d_Irr!AU12=".",d_Irr!BT12="."),d_dir!W12/((1/1000)*(d_Irr!V12)),IF(AND(d_Irr!V12=".",d_Irr!AU12=".",d_Irr!BT12="."),d_dir!W12*1000)))))))),".")</f>
        <v>.</v>
      </c>
      <c r="X12" s="76" t="str">
        <f>IFERROR(IF(AND(d_Irr!W12&lt;&gt;".",d_Irr!AV12&lt;&gt;".",d_Irr!BU12&lt;&gt;"."),d_dir!X12/((1/1000)*(d_Irr!W12+d_Irr!AV12+d_Irr!BU12)),IF(AND(d_Irr!W12&lt;&gt;".",d_Irr!AV12&lt;&gt;".",d_Irr!BU12="."),d_dir!X12/((1/1000)*(d_Irr!W12+d_Irr!AV12)),IF(AND(d_Irr!W12&lt;&gt;".",d_Irr!AV12=".",d_Irr!BU12&lt;&gt;"."),d_dir!X12/((1/1000)*(d_Irr!W12+d_Irr!BU12)),IF(AND(d_Irr!W12=".",d_Irr!AV12&lt;&gt;".",d_Irr!BU12&lt;&gt;"."),d_dir!X12/((1/1000)*(d_Irr!AV12+d_Irr!BU12)),IF(AND(d_Irr!W12=".",d_Irr!AV12=".",d_Irr!BU12&lt;&gt;"."),d_dir!X12/((1/1000)*(d_Irr!BU12)),IF(AND(d_Irr!W12=".",d_Irr!AV12&lt;&gt;".",d_Irr!BU12="."),d_dir!X12/((1/1000)*(d_Irr!AV12)),IF(AND(d_Irr!W12&lt;&gt;".",d_Irr!AV12=".",d_Irr!BU12="."),d_dir!X12/((1/1000)*(d_Irr!W12)),IF(AND(d_Irr!W12=".",d_Irr!AV12=".",d_Irr!BU12="."),d_dir!X12*1000)))))))),".")</f>
        <v>.</v>
      </c>
      <c r="Y12" s="76" t="str">
        <f>IFERROR(IF(AND(d_Irr!X12&lt;&gt;".",d_Irr!AW12&lt;&gt;".",d_Irr!BV12&lt;&gt;"."),d_dir!Y12/((1/1000)*(d_Irr!X12+d_Irr!AW12+d_Irr!BV12)),IF(AND(d_Irr!X12&lt;&gt;".",d_Irr!AW12&lt;&gt;".",d_Irr!BV12="."),d_dir!Y12/((1/1000)*(d_Irr!X12+d_Irr!AW12)),IF(AND(d_Irr!X12&lt;&gt;".",d_Irr!AW12=".",d_Irr!BV12&lt;&gt;"."),d_dir!Y12/((1/1000)*(d_Irr!X12+d_Irr!BV12)),IF(AND(d_Irr!X12=".",d_Irr!AW12&lt;&gt;".",d_Irr!BV12&lt;&gt;"."),d_dir!Y12/((1/1000)*(d_Irr!AW12+d_Irr!BV12)),IF(AND(d_Irr!X12=".",d_Irr!AW12=".",d_Irr!BV12&lt;&gt;"."),d_dir!Y12/((1/1000)*(d_Irr!BV12)),IF(AND(d_Irr!X12=".",d_Irr!AW12&lt;&gt;".",d_Irr!BV12="."),d_dir!Y12/((1/1000)*(d_Irr!AW12)),IF(AND(d_Irr!X12&lt;&gt;".",d_Irr!AW12=".",d_Irr!BV12="."),d_dir!Y12/((1/1000)*(d_Irr!X12)),IF(AND(d_Irr!X12=".",d_Irr!AW12=".",d_Irr!BV12="."),d_dir!Y12*1000)))))))),".")</f>
        <v>.</v>
      </c>
      <c r="Z12" s="76" t="str">
        <f>IFERROR(IF(AND(d_Irr!Y12&lt;&gt;".",d_Irr!AX12&lt;&gt;".",d_Irr!BW12&lt;&gt;"."),d_dir!Z12/((1/1000)*(d_Irr!Y12+d_Irr!AX12+d_Irr!BW12)),IF(AND(d_Irr!Y12&lt;&gt;".",d_Irr!AX12&lt;&gt;".",d_Irr!BW12="."),d_dir!Z12/((1/1000)*(d_Irr!Y12+d_Irr!AX12)),IF(AND(d_Irr!Y12&lt;&gt;".",d_Irr!AX12=".",d_Irr!BW12&lt;&gt;"."),d_dir!Z12/((1/1000)*(d_Irr!Y12+d_Irr!BW12)),IF(AND(d_Irr!Y12=".",d_Irr!AX12&lt;&gt;".",d_Irr!BW12&lt;&gt;"."),d_dir!Z12/((1/1000)*(d_Irr!AX12+d_Irr!BW12)),IF(AND(d_Irr!Y12=".",d_Irr!AX12=".",d_Irr!BW12&lt;&gt;"."),d_dir!Z12/((1/1000)*(d_Irr!BW12)),IF(AND(d_Irr!Y12=".",d_Irr!AX12&lt;&gt;".",d_Irr!BW12="."),d_dir!Z12/((1/1000)*(d_Irr!AX12)),IF(AND(d_Irr!Y12&lt;&gt;".",d_Irr!AX12=".",d_Irr!BW12="."),d_dir!Z12/((1/1000)*(d_Irr!Y12)),IF(AND(d_Irr!Y12=".",d_Irr!AX12=".",d_Irr!BW12="."),d_dir!Z12*1000)))))))),".")</f>
        <v>.</v>
      </c>
      <c r="AA12" s="76" t="str">
        <f>IFERROR(IF(AND(d_Irr!Z12&lt;&gt;".",d_Irr!AY12&lt;&gt;".",d_Irr!BX12&lt;&gt;"."),d_dir!AA12/((1/1000)*(d_Irr!Z12+d_Irr!AY12+d_Irr!BX12)),IF(AND(d_Irr!Z12&lt;&gt;".",d_Irr!AY12&lt;&gt;".",d_Irr!BX12="."),d_dir!AA12/((1/1000)*(d_Irr!Z12+d_Irr!AY12)),IF(AND(d_Irr!Z12&lt;&gt;".",d_Irr!AY12=".",d_Irr!BX12&lt;&gt;"."),d_dir!AA12/((1/1000)*(d_Irr!Z12+d_Irr!BX12)),IF(AND(d_Irr!Z12=".",d_Irr!AY12&lt;&gt;".",d_Irr!BX12&lt;&gt;"."),d_dir!AA12/((1/1000)*(d_Irr!AY12+d_Irr!BX12)),IF(AND(d_Irr!Z12=".",d_Irr!AY12=".",d_Irr!BX12&lt;&gt;"."),d_dir!AA12/((1/1000)*(d_Irr!BX12)),IF(AND(d_Irr!Z12=".",d_Irr!AY12&lt;&gt;".",d_Irr!BX12="."),d_dir!AA12/((1/1000)*(d_Irr!AY12)),IF(AND(d_Irr!Z12&lt;&gt;".",d_Irr!AY12=".",d_Irr!BX12="."),d_dir!AA12/((1/1000)*(d_Irr!Z12)),IF(AND(d_Irr!Z12=".",d_Irr!AY12=".",d_Irr!BX12="."),d_dir!AA12*1000)))))))),".")</f>
        <v>.</v>
      </c>
      <c r="AB12" s="76" t="str">
        <f>IFERROR(IF(AND(d_Irr!AA12&lt;&gt;".",d_Irr!AZ12&lt;&gt;".",d_Irr!BY12&lt;&gt;"."),d_dir!AB12/((1/1000)*(d_Irr!AA12+d_Irr!AZ12+d_Irr!BY12)),IF(AND(d_Irr!AA12&lt;&gt;".",d_Irr!AZ12&lt;&gt;".",d_Irr!BY12="."),d_dir!AB12/((1/1000)*(d_Irr!AA12+d_Irr!AZ12)),IF(AND(d_Irr!AA12&lt;&gt;".",d_Irr!AZ12=".",d_Irr!BY12&lt;&gt;"."),d_dir!AB12/((1/1000)*(d_Irr!AA12+d_Irr!BY12)),IF(AND(d_Irr!AA12=".",d_Irr!AZ12&lt;&gt;".",d_Irr!BY12&lt;&gt;"."),d_dir!AB12/((1/1000)*(d_Irr!AZ12+d_Irr!BY12)),IF(AND(d_Irr!AA12=".",d_Irr!AZ12=".",d_Irr!BY12&lt;&gt;"."),d_dir!AB12/((1/1000)*(d_Irr!BY12)),IF(AND(d_Irr!AA12=".",d_Irr!AZ12&lt;&gt;".",d_Irr!BY12="."),d_dir!AB12/((1/1000)*(d_Irr!AZ12)),IF(AND(d_Irr!AA12&lt;&gt;".",d_Irr!AZ12=".",d_Irr!BY12="."),d_dir!AB12/((1/1000)*(d_Irr!AA12)),IF(AND(d_Irr!AA12=".",d_Irr!AZ12=".",d_Irr!BY12="."),d_dir!AB12*1000)))))))),".")</f>
        <v>.</v>
      </c>
      <c r="AC12" s="76" t="str">
        <f t="shared" si="0"/>
        <v>.</v>
      </c>
      <c r="AD12" s="76" t="str">
        <f>IFERROR(IF(AND(d_Irr!C12&lt;&gt;".",d_Irr!AB12&lt;&gt;".",d_Irr!BA12&lt;&gt;"."),d_dir!AD12/((1/1000)*(d_Irr!C12+d_Irr!AB12+d_Irr!BA12)),IF(AND(d_Irr!C12&lt;&gt;".",d_Irr!AB12&lt;&gt;".",d_Irr!BA12="."),d_dir!AD12/((1/1000)*(d_Irr!C12+d_Irr!AB12)),IF(AND(d_Irr!C12&lt;&gt;".",d_Irr!AB12=".",d_Irr!BA12&lt;&gt;"."),d_dir!AD12/((1/1000)*(d_Irr!C12+d_Irr!BA12)),IF(AND(d_Irr!C12=".",d_Irr!AB12&lt;&gt;".",d_Irr!BA12&lt;&gt;"."),d_dir!AD12/((1/1000)*(d_Irr!AB12+d_Irr!BA12)),IF(AND(d_Irr!C12=".",d_Irr!AB12=".",d_Irr!BA12&lt;&gt;"."),d_dir!AD12/((1/1000)*(d_Irr!BA12)),IF(AND(d_Irr!C12=".",d_Irr!AB12&lt;&gt;".",d_Irr!BA12="."),d_dir!AD12/((1/1000)*(d_Irr!AB12)),IF(AND(d_Irr!C12&lt;&gt;".",d_Irr!AB12=".",d_Irr!BA12="."),d_dir!AD12/((1/1000)*(d_Irr!C12)),IF(AND(d_Irr!C12=".",d_Irr!AB12=".",d_Irr!BA12="."),d_dir!AD12*1000)))))))),".")</f>
        <v>.</v>
      </c>
      <c r="AE12" s="76" t="str">
        <f>IFERROR(IF(AND(d_Irr!D12&lt;&gt;".",d_Irr!AC12&lt;&gt;".",d_Irr!BB12&lt;&gt;"."),d_dir!AE12/((1/1000)*(d_Irr!D12+d_Irr!AC12+d_Irr!BB12)),IF(AND(d_Irr!D12&lt;&gt;".",d_Irr!AC12&lt;&gt;".",d_Irr!BB12="."),d_dir!AE12/((1/1000)*(d_Irr!D12+d_Irr!AC12)),IF(AND(d_Irr!D12&lt;&gt;".",d_Irr!AC12=".",d_Irr!BB12&lt;&gt;"."),d_dir!AE12/((1/1000)*(d_Irr!D12+d_Irr!BB12)),IF(AND(d_Irr!D12=".",d_Irr!AC12&lt;&gt;".",d_Irr!BB12&lt;&gt;"."),d_dir!AE12/((1/1000)*(d_Irr!AC12+d_Irr!BB12)),IF(AND(d_Irr!D12=".",d_Irr!AC12=".",d_Irr!BB12&lt;&gt;"."),d_dir!AE12/((1/1000)*(d_Irr!BB12)),IF(AND(d_Irr!D12=".",d_Irr!AC12&lt;&gt;".",d_Irr!BB12="."),d_dir!AE12/((1/1000)*(d_Irr!AC12)),IF(AND(d_Irr!D12&lt;&gt;".",d_Irr!AC12=".",d_Irr!BB12="."),d_dir!AE12/((1/1000)*(d_Irr!D12)),IF(AND(d_Irr!D12=".",d_Irr!AC12=".",d_Irr!BB12="."),d_dir!AE12*1000)))))))),".")</f>
        <v>.</v>
      </c>
      <c r="AF12" s="76" t="str">
        <f>IFERROR(IF(AND(d_Irr!E12&lt;&gt;".",d_Irr!AD12&lt;&gt;".",d_Irr!BC12&lt;&gt;"."),d_dir!AF12/((1/1000)*(d_Irr!E12+d_Irr!AD12+d_Irr!BC12)),IF(AND(d_Irr!E12&lt;&gt;".",d_Irr!AD12&lt;&gt;".",d_Irr!BC12="."),d_dir!AF12/((1/1000)*(d_Irr!E12+d_Irr!AD12)),IF(AND(d_Irr!E12&lt;&gt;".",d_Irr!AD12=".",d_Irr!BC12&lt;&gt;"."),d_dir!AF12/((1/1000)*(d_Irr!E12+d_Irr!BC12)),IF(AND(d_Irr!E12=".",d_Irr!AD12&lt;&gt;".",d_Irr!BC12&lt;&gt;"."),d_dir!AF12/((1/1000)*(d_Irr!AD12+d_Irr!BC12)),IF(AND(d_Irr!E12=".",d_Irr!AD12=".",d_Irr!BC12&lt;&gt;"."),d_dir!AF12/((1/1000)*(d_Irr!BC12)),IF(AND(d_Irr!E12=".",d_Irr!AD12&lt;&gt;".",d_Irr!BC12="."),d_dir!AF12/((1/1000)*(d_Irr!AD12)),IF(AND(d_Irr!E12&lt;&gt;".",d_Irr!AD12=".",d_Irr!BC12="."),d_dir!AF12/((1/1000)*(d_Irr!E12)),IF(AND(d_Irr!E12=".",d_Irr!AD12=".",d_Irr!BC12="."),d_dir!AF12*1000)))))))),".")</f>
        <v>.</v>
      </c>
      <c r="AG12" s="76" t="str">
        <f>IFERROR(IF(AND(d_Irr!F12&lt;&gt;".",d_Irr!AE12&lt;&gt;".",d_Irr!BD12&lt;&gt;"."),d_dir!AG12/((1/1000)*(d_Irr!F12+d_Irr!AE12+d_Irr!BD12)),IF(AND(d_Irr!F12&lt;&gt;".",d_Irr!AE12&lt;&gt;".",d_Irr!BD12="."),d_dir!AG12/((1/1000)*(d_Irr!F12+d_Irr!AE12)),IF(AND(d_Irr!F12&lt;&gt;".",d_Irr!AE12=".",d_Irr!BD12&lt;&gt;"."),d_dir!AG12/((1/1000)*(d_Irr!F12+d_Irr!BD12)),IF(AND(d_Irr!F12=".",d_Irr!AE12&lt;&gt;".",d_Irr!BD12&lt;&gt;"."),d_dir!AG12/((1/1000)*(d_Irr!AE12+d_Irr!BD12)),IF(AND(d_Irr!F12=".",d_Irr!AE12=".",d_Irr!BD12&lt;&gt;"."),d_dir!AG12/((1/1000)*(d_Irr!BD12)),IF(AND(d_Irr!F12=".",d_Irr!AE12&lt;&gt;".",d_Irr!BD12="."),d_dir!AG12/((1/1000)*(d_Irr!AE12)),IF(AND(d_Irr!F12&lt;&gt;".",d_Irr!AE12=".",d_Irr!BD12="."),d_dir!AG12/((1/1000)*(d_Irr!F12)),IF(AND(d_Irr!F12=".",d_Irr!AE12=".",d_Irr!BD12="."),d_dir!AG12*1000)))))))),".")</f>
        <v>.</v>
      </c>
      <c r="AH12" s="76" t="str">
        <f>IFERROR(IF(AND(d_Irr!G12&lt;&gt;".",d_Irr!AF12&lt;&gt;".",d_Irr!BE12&lt;&gt;"."),d_dir!AH12/((1/1000)*(d_Irr!G12+d_Irr!AF12+d_Irr!BE12)),IF(AND(d_Irr!G12&lt;&gt;".",d_Irr!AF12&lt;&gt;".",d_Irr!BE12="."),d_dir!AH12/((1/1000)*(d_Irr!G12+d_Irr!AF12)),IF(AND(d_Irr!G12&lt;&gt;".",d_Irr!AF12=".",d_Irr!BE12&lt;&gt;"."),d_dir!AH12/((1/1000)*(d_Irr!G12+d_Irr!BE12)),IF(AND(d_Irr!G12=".",d_Irr!AF12&lt;&gt;".",d_Irr!BE12&lt;&gt;"."),d_dir!AH12/((1/1000)*(d_Irr!AF12+d_Irr!BE12)),IF(AND(d_Irr!G12=".",d_Irr!AF12=".",d_Irr!BE12&lt;&gt;"."),d_dir!AH12/((1/1000)*(d_Irr!BE12)),IF(AND(d_Irr!G12=".",d_Irr!AF12&lt;&gt;".",d_Irr!BE12="."),d_dir!AH12/((1/1000)*(d_Irr!AF12)),IF(AND(d_Irr!G12&lt;&gt;".",d_Irr!AF12=".",d_Irr!BE12="."),d_dir!AH12/((1/1000)*(d_Irr!G12)),IF(AND(d_Irr!G12=".",d_Irr!AF12=".",d_Irr!BE12="."),d_dir!AH12*1000)))))))),".")</f>
        <v>.</v>
      </c>
      <c r="AI12" s="76" t="str">
        <f>IFERROR(IF(AND(d_Irr!H12&lt;&gt;".",d_Irr!AG12&lt;&gt;".",d_Irr!BF12&lt;&gt;"."),d_dir!AI12/((1/1000)*(d_Irr!H12+d_Irr!AG12+d_Irr!BF12)),IF(AND(d_Irr!H12&lt;&gt;".",d_Irr!AG12&lt;&gt;".",d_Irr!BF12="."),d_dir!AI12/((1/1000)*(d_Irr!H12+d_Irr!AG12)),IF(AND(d_Irr!H12&lt;&gt;".",d_Irr!AG12=".",d_Irr!BF12&lt;&gt;"."),d_dir!AI12/((1/1000)*(d_Irr!H12+d_Irr!BF12)),IF(AND(d_Irr!H12=".",d_Irr!AG12&lt;&gt;".",d_Irr!BF12&lt;&gt;"."),d_dir!AI12/((1/1000)*(d_Irr!AG12+d_Irr!BF12)),IF(AND(d_Irr!H12=".",d_Irr!AG12=".",d_Irr!BF12&lt;&gt;"."),d_dir!AI12/((1/1000)*(d_Irr!BF12)),IF(AND(d_Irr!H12=".",d_Irr!AG12&lt;&gt;".",d_Irr!BF12="."),d_dir!AI12/((1/1000)*(d_Irr!AG12)),IF(AND(d_Irr!H12&lt;&gt;".",d_Irr!AG12=".",d_Irr!BF12="."),d_dir!AI12/((1/1000)*(d_Irr!H12)),IF(AND(d_Irr!H12=".",d_Irr!AG12=".",d_Irr!BF12="."),d_dir!AI12*1000)))))))),".")</f>
        <v>.</v>
      </c>
      <c r="AJ12" s="76" t="str">
        <f>IFERROR(IF(AND(d_Irr!I12&lt;&gt;".",d_Irr!AH12&lt;&gt;".",d_Irr!BG12&lt;&gt;"."),d_dir!AJ12/((1/1000)*(d_Irr!I12+d_Irr!AH12+d_Irr!BG12)),IF(AND(d_Irr!I12&lt;&gt;".",d_Irr!AH12&lt;&gt;".",d_Irr!BG12="."),d_dir!AJ12/((1/1000)*(d_Irr!I12+d_Irr!AH12)),IF(AND(d_Irr!I12&lt;&gt;".",d_Irr!AH12=".",d_Irr!BG12&lt;&gt;"."),d_dir!AJ12/((1/1000)*(d_Irr!I12+d_Irr!BG12)),IF(AND(d_Irr!I12=".",d_Irr!AH12&lt;&gt;".",d_Irr!BG12&lt;&gt;"."),d_dir!AJ12/((1/1000)*(d_Irr!AH12+d_Irr!BG12)),IF(AND(d_Irr!I12=".",d_Irr!AH12=".",d_Irr!BG12&lt;&gt;"."),d_dir!AJ12/((1/1000)*(d_Irr!BG12)),IF(AND(d_Irr!I12=".",d_Irr!AH12&lt;&gt;".",d_Irr!BG12="."),d_dir!AJ12/((1/1000)*(d_Irr!AH12)),IF(AND(d_Irr!I12&lt;&gt;".",d_Irr!AH12=".",d_Irr!BG12="."),d_dir!AJ12/((1/1000)*(d_Irr!I12)),IF(AND(d_Irr!I12=".",d_Irr!AH12=".",d_Irr!BG12="."),d_dir!AJ12*1000)))))))),".")</f>
        <v>.</v>
      </c>
      <c r="AK12" s="76" t="str">
        <f>IFERROR(IF(AND(d_Irr!J12&lt;&gt;".",d_Irr!AI12&lt;&gt;".",d_Irr!BH12&lt;&gt;"."),d_dir!AK12/((1/1000)*(d_Irr!J12+d_Irr!AI12+d_Irr!BH12)),IF(AND(d_Irr!J12&lt;&gt;".",d_Irr!AI12&lt;&gt;".",d_Irr!BH12="."),d_dir!AK12/((1/1000)*(d_Irr!J12+d_Irr!AI12)),IF(AND(d_Irr!J12&lt;&gt;".",d_Irr!AI12=".",d_Irr!BH12&lt;&gt;"."),d_dir!AK12/((1/1000)*(d_Irr!J12+d_Irr!BH12)),IF(AND(d_Irr!J12=".",d_Irr!AI12&lt;&gt;".",d_Irr!BH12&lt;&gt;"."),d_dir!AK12/((1/1000)*(d_Irr!AI12+d_Irr!BH12)),IF(AND(d_Irr!J12=".",d_Irr!AI12=".",d_Irr!BH12&lt;&gt;"."),d_dir!AK12/((1/1000)*(d_Irr!BH12)),IF(AND(d_Irr!J12=".",d_Irr!AI12&lt;&gt;".",d_Irr!BH12="."),d_dir!AK12/((1/1000)*(d_Irr!AI12)),IF(AND(d_Irr!J12&lt;&gt;".",d_Irr!AI12=".",d_Irr!BH12="."),d_dir!AK12/((1/1000)*(d_Irr!J12)),IF(AND(d_Irr!J12=".",d_Irr!AI12=".",d_Irr!BH12="."),d_dir!AK12*1000)))))))),".")</f>
        <v>.</v>
      </c>
      <c r="AL12" s="76" t="str">
        <f>IFERROR(IF(AND(d_Irr!K12&lt;&gt;".",d_Irr!AJ12&lt;&gt;".",d_Irr!BI12&lt;&gt;"."),d_dir!AL12/((1/1000)*(d_Irr!K12+d_Irr!AJ12+d_Irr!BI12)),IF(AND(d_Irr!K12&lt;&gt;".",d_Irr!AJ12&lt;&gt;".",d_Irr!BI12="."),d_dir!AL12/((1/1000)*(d_Irr!K12+d_Irr!AJ12)),IF(AND(d_Irr!K12&lt;&gt;".",d_Irr!AJ12=".",d_Irr!BI12&lt;&gt;"."),d_dir!AL12/((1/1000)*(d_Irr!K12+d_Irr!BI12)),IF(AND(d_Irr!K12=".",d_Irr!AJ12&lt;&gt;".",d_Irr!BI12&lt;&gt;"."),d_dir!AL12/((1/1000)*(d_Irr!AJ12+d_Irr!BI12)),IF(AND(d_Irr!K12=".",d_Irr!AJ12=".",d_Irr!BI12&lt;&gt;"."),d_dir!AL12/((1/1000)*(d_Irr!BI12)),IF(AND(d_Irr!K12=".",d_Irr!AJ12&lt;&gt;".",d_Irr!BI12="."),d_dir!AL12/((1/1000)*(d_Irr!AJ12)),IF(AND(d_Irr!K12&lt;&gt;".",d_Irr!AJ12=".",d_Irr!BI12="."),d_dir!AL12/((1/1000)*(d_Irr!K12)),IF(AND(d_Irr!K12=".",d_Irr!AJ12=".",d_Irr!BI12="."),d_dir!AL12*1000)))))))),".")</f>
        <v>.</v>
      </c>
      <c r="AM12" s="76" t="str">
        <f>IFERROR(IF(AND(d_Irr!L12&lt;&gt;".",d_Irr!AK12&lt;&gt;".",d_Irr!BJ12&lt;&gt;"."),d_dir!AM12/((1/1000)*(d_Irr!L12+d_Irr!AK12+d_Irr!BJ12)),IF(AND(d_Irr!L12&lt;&gt;".",d_Irr!AK12&lt;&gt;".",d_Irr!BJ12="."),d_dir!AM12/((1/1000)*(d_Irr!L12+d_Irr!AK12)),IF(AND(d_Irr!L12&lt;&gt;".",d_Irr!AK12=".",d_Irr!BJ12&lt;&gt;"."),d_dir!AM12/((1/1000)*(d_Irr!L12+d_Irr!BJ12)),IF(AND(d_Irr!L12=".",d_Irr!AK12&lt;&gt;".",d_Irr!BJ12&lt;&gt;"."),d_dir!AM12/((1/1000)*(d_Irr!AK12+d_Irr!BJ12)),IF(AND(d_Irr!L12=".",d_Irr!AK12=".",d_Irr!BJ12&lt;&gt;"."),d_dir!AM12/((1/1000)*(d_Irr!BJ12)),IF(AND(d_Irr!L12=".",d_Irr!AK12&lt;&gt;".",d_Irr!BJ12="."),d_dir!AM12/((1/1000)*(d_Irr!AK12)),IF(AND(d_Irr!L12&lt;&gt;".",d_Irr!AK12=".",d_Irr!BJ12="."),d_dir!AM12/((1/1000)*(d_Irr!L12)),IF(AND(d_Irr!L12=".",d_Irr!AK12=".",d_Irr!BJ12="."),d_dir!AM12*1000)))))))),".")</f>
        <v>.</v>
      </c>
      <c r="AN12" s="76" t="str">
        <f>IFERROR(IF(AND(d_Irr!M12&lt;&gt;".",d_Irr!AL12&lt;&gt;".",d_Irr!BK12&lt;&gt;"."),d_dir!AN12/((1/1000)*(d_Irr!M12+d_Irr!AL12+d_Irr!BK12)),IF(AND(d_Irr!M12&lt;&gt;".",d_Irr!AL12&lt;&gt;".",d_Irr!BK12="."),d_dir!AN12/((1/1000)*(d_Irr!M12+d_Irr!AL12)),IF(AND(d_Irr!M12&lt;&gt;".",d_Irr!AL12=".",d_Irr!BK12&lt;&gt;"."),d_dir!AN12/((1/1000)*(d_Irr!M12+d_Irr!BK12)),IF(AND(d_Irr!M12=".",d_Irr!AL12&lt;&gt;".",d_Irr!BK12&lt;&gt;"."),d_dir!AN12/((1/1000)*(d_Irr!AL12+d_Irr!BK12)),IF(AND(d_Irr!M12=".",d_Irr!AL12=".",d_Irr!BK12&lt;&gt;"."),d_dir!AN12/((1/1000)*(d_Irr!BK12)),IF(AND(d_Irr!M12=".",d_Irr!AL12&lt;&gt;".",d_Irr!BK12="."),d_dir!AN12/((1/1000)*(d_Irr!AL12)),IF(AND(d_Irr!M12&lt;&gt;".",d_Irr!AL12=".",d_Irr!BK12="."),d_dir!AN12/((1/1000)*(d_Irr!M12)),IF(AND(d_Irr!M12=".",d_Irr!AL12=".",d_Irr!BK12="."),d_dir!AN12*1000)))))))),".")</f>
        <v>.</v>
      </c>
      <c r="AO12" s="76" t="str">
        <f>IFERROR(IF(AND(d_Irr!N12&lt;&gt;".",d_Irr!AM12&lt;&gt;".",d_Irr!BL12&lt;&gt;"."),d_dir!AO12/((1/1000)*(d_Irr!N12+d_Irr!AM12+d_Irr!BL12)),IF(AND(d_Irr!N12&lt;&gt;".",d_Irr!AM12&lt;&gt;".",d_Irr!BL12="."),d_dir!AO12/((1/1000)*(d_Irr!N12+d_Irr!AM12)),IF(AND(d_Irr!N12&lt;&gt;".",d_Irr!AM12=".",d_Irr!BL12&lt;&gt;"."),d_dir!AO12/((1/1000)*(d_Irr!N12+d_Irr!BL12)),IF(AND(d_Irr!N12=".",d_Irr!AM12&lt;&gt;".",d_Irr!BL12&lt;&gt;"."),d_dir!AO12/((1/1000)*(d_Irr!AM12+d_Irr!BL12)),IF(AND(d_Irr!N12=".",d_Irr!AM12=".",d_Irr!BL12&lt;&gt;"."),d_dir!AO12/((1/1000)*(d_Irr!BL12)),IF(AND(d_Irr!N12=".",d_Irr!AM12&lt;&gt;".",d_Irr!BL12="."),d_dir!AO12/((1/1000)*(d_Irr!AM12)),IF(AND(d_Irr!N12&lt;&gt;".",d_Irr!AM12=".",d_Irr!BL12="."),d_dir!AO12/((1/1000)*(d_Irr!N12)),IF(AND(d_Irr!N12=".",d_Irr!AM12=".",d_Irr!BL12="."),d_dir!AO12*1000)))))))),".")</f>
        <v>.</v>
      </c>
      <c r="AP12" s="76" t="str">
        <f>IFERROR(IF(AND(d_Irr!O12&lt;&gt;".",d_Irr!AN12&lt;&gt;".",d_Irr!BM12&lt;&gt;"."),d_dir!AP12/((1/1000)*(d_Irr!O12+d_Irr!AN12+d_Irr!BM12)),IF(AND(d_Irr!O12&lt;&gt;".",d_Irr!AN12&lt;&gt;".",d_Irr!BM12="."),d_dir!AP12/((1/1000)*(d_Irr!O12+d_Irr!AN12)),IF(AND(d_Irr!O12&lt;&gt;".",d_Irr!AN12=".",d_Irr!BM12&lt;&gt;"."),d_dir!AP12/((1/1000)*(d_Irr!O12+d_Irr!BM12)),IF(AND(d_Irr!O12=".",d_Irr!AN12&lt;&gt;".",d_Irr!BM12&lt;&gt;"."),d_dir!AP12/((1/1000)*(d_Irr!AN12+d_Irr!BM12)),IF(AND(d_Irr!O12=".",d_Irr!AN12=".",d_Irr!BM12&lt;&gt;"."),d_dir!AP12/((1/1000)*(d_Irr!BM12)),IF(AND(d_Irr!O12=".",d_Irr!AN12&lt;&gt;".",d_Irr!BM12="."),d_dir!AP12/((1/1000)*(d_Irr!AN12)),IF(AND(d_Irr!O12&lt;&gt;".",d_Irr!AN12=".",d_Irr!BM12="."),d_dir!AP12/((1/1000)*(d_Irr!O12)),IF(AND(d_Irr!O12=".",d_Irr!AN12=".",d_Irr!BM12="."),d_dir!AP12*1000)))))))),".")</f>
        <v>.</v>
      </c>
      <c r="AQ12" s="76" t="str">
        <f>IFERROR(IF(AND(d_Irr!P12&lt;&gt;".",d_Irr!AO12&lt;&gt;".",d_Irr!BN12&lt;&gt;"."),d_dir!AQ12/((1/1000)*(d_Irr!P12+d_Irr!AO12+d_Irr!BN12)),IF(AND(d_Irr!P12&lt;&gt;".",d_Irr!AO12&lt;&gt;".",d_Irr!BN12="."),d_dir!AQ12/((1/1000)*(d_Irr!P12+d_Irr!AO12)),IF(AND(d_Irr!P12&lt;&gt;".",d_Irr!AO12=".",d_Irr!BN12&lt;&gt;"."),d_dir!AQ12/((1/1000)*(d_Irr!P12+d_Irr!BN12)),IF(AND(d_Irr!P12=".",d_Irr!AO12&lt;&gt;".",d_Irr!BN12&lt;&gt;"."),d_dir!AQ12/((1/1000)*(d_Irr!AO12+d_Irr!BN12)),IF(AND(d_Irr!P12=".",d_Irr!AO12=".",d_Irr!BN12&lt;&gt;"."),d_dir!AQ12/((1/1000)*(d_Irr!BN12)),IF(AND(d_Irr!P12=".",d_Irr!AO12&lt;&gt;".",d_Irr!BN12="."),d_dir!AQ12/((1/1000)*(d_Irr!AO12)),IF(AND(d_Irr!P12&lt;&gt;".",d_Irr!AO12=".",d_Irr!BN12="."),d_dir!AQ12/((1/1000)*(d_Irr!P12)),IF(AND(d_Irr!P12=".",d_Irr!AO12=".",d_Irr!BN12="."),d_dir!AQ12*1000)))))))),".")</f>
        <v>.</v>
      </c>
      <c r="AR12" s="76" t="str">
        <f>IFERROR(IF(AND(d_Irr!Q12&lt;&gt;".",d_Irr!AP12&lt;&gt;".",d_Irr!BO12&lt;&gt;"."),d_dir!AR12/((1/1000)*(d_Irr!Q12+d_Irr!AP12+d_Irr!BO12)),IF(AND(d_Irr!Q12&lt;&gt;".",d_Irr!AP12&lt;&gt;".",d_Irr!BO12="."),d_dir!AR12/((1/1000)*(d_Irr!Q12+d_Irr!AP12)),IF(AND(d_Irr!Q12&lt;&gt;".",d_Irr!AP12=".",d_Irr!BO12&lt;&gt;"."),d_dir!AR12/((1/1000)*(d_Irr!Q12+d_Irr!BO12)),IF(AND(d_Irr!Q12=".",d_Irr!AP12&lt;&gt;".",d_Irr!BO12&lt;&gt;"."),d_dir!AR12/((1/1000)*(d_Irr!AP12+d_Irr!BO12)),IF(AND(d_Irr!Q12=".",d_Irr!AP12=".",d_Irr!BO12&lt;&gt;"."),d_dir!AR12/((1/1000)*(d_Irr!BO12)),IF(AND(d_Irr!Q12=".",d_Irr!AP12&lt;&gt;".",d_Irr!BO12="."),d_dir!AR12/((1/1000)*(d_Irr!AP12)),IF(AND(d_Irr!Q12&lt;&gt;".",d_Irr!AP12=".",d_Irr!BO12="."),d_dir!AR12/((1/1000)*(d_Irr!Q12)),IF(AND(d_Irr!Q12=".",d_Irr!AP12=".",d_Irr!BO12="."),d_dir!AR12*1000)))))))),".")</f>
        <v>.</v>
      </c>
      <c r="AS12" s="76" t="str">
        <f>IFERROR(IF(AND(d_Irr!R12&lt;&gt;".",d_Irr!AQ12&lt;&gt;".",d_Irr!BP12&lt;&gt;"."),d_dir!AS12/((1/1000)*(d_Irr!R12+d_Irr!AQ12+d_Irr!BP12)),IF(AND(d_Irr!R12&lt;&gt;".",d_Irr!AQ12&lt;&gt;".",d_Irr!BP12="."),d_dir!AS12/((1/1000)*(d_Irr!R12+d_Irr!AQ12)),IF(AND(d_Irr!R12&lt;&gt;".",d_Irr!AQ12=".",d_Irr!BP12&lt;&gt;"."),d_dir!AS12/((1/1000)*(d_Irr!R12+d_Irr!BP12)),IF(AND(d_Irr!R12=".",d_Irr!AQ12&lt;&gt;".",d_Irr!BP12&lt;&gt;"."),d_dir!AS12/((1/1000)*(d_Irr!AQ12+d_Irr!BP12)),IF(AND(d_Irr!R12=".",d_Irr!AQ12=".",d_Irr!BP12&lt;&gt;"."),d_dir!AS12/((1/1000)*(d_Irr!BP12)),IF(AND(d_Irr!R12=".",d_Irr!AQ12&lt;&gt;".",d_Irr!BP12="."),d_dir!AS12/((1/1000)*(d_Irr!AQ12)),IF(AND(d_Irr!R12&lt;&gt;".",d_Irr!AQ12=".",d_Irr!BP12="."),d_dir!AS12/((1/1000)*(d_Irr!R12)),IF(AND(d_Irr!R12=".",d_Irr!AQ12=".",d_Irr!BP12="."),d_dir!AS12*1000)))))))),".")</f>
        <v>.</v>
      </c>
      <c r="AT12" s="76" t="str">
        <f>IFERROR(IF(AND(d_Irr!S12&lt;&gt;".",d_Irr!AR12&lt;&gt;".",d_Irr!BQ12&lt;&gt;"."),d_dir!AT12/((1/1000)*(d_Irr!S12+d_Irr!AR12+d_Irr!BQ12)),IF(AND(d_Irr!S12&lt;&gt;".",d_Irr!AR12&lt;&gt;".",d_Irr!BQ12="."),d_dir!AT12/((1/1000)*(d_Irr!S12+d_Irr!AR12)),IF(AND(d_Irr!S12&lt;&gt;".",d_Irr!AR12=".",d_Irr!BQ12&lt;&gt;"."),d_dir!AT12/((1/1000)*(d_Irr!S12+d_Irr!BQ12)),IF(AND(d_Irr!S12=".",d_Irr!AR12&lt;&gt;".",d_Irr!BQ12&lt;&gt;"."),d_dir!AT12/((1/1000)*(d_Irr!AR12+d_Irr!BQ12)),IF(AND(d_Irr!S12=".",d_Irr!AR12=".",d_Irr!BQ12&lt;&gt;"."),d_dir!AT12/((1/1000)*(d_Irr!BQ12)),IF(AND(d_Irr!S12=".",d_Irr!AR12&lt;&gt;".",d_Irr!BQ12="."),d_dir!AT12/((1/1000)*(d_Irr!AR12)),IF(AND(d_Irr!S12&lt;&gt;".",d_Irr!AR12=".",d_Irr!BQ12="."),d_dir!AT12/((1/1000)*(d_Irr!S12)),IF(AND(d_Irr!S12=".",d_Irr!AR12=".",d_Irr!BQ12="."),d_dir!AT12*1000)))))))),".")</f>
        <v>.</v>
      </c>
      <c r="AU12" s="76" t="str">
        <f>IFERROR(IF(AND(d_Irr!T12&lt;&gt;".",d_Irr!AS12&lt;&gt;".",d_Irr!BR12&lt;&gt;"."),d_dir!AU12/((1/1000)*(d_Irr!T12+d_Irr!AS12+d_Irr!BR12)),IF(AND(d_Irr!T12&lt;&gt;".",d_Irr!AS12&lt;&gt;".",d_Irr!BR12="."),d_dir!AU12/((1/1000)*(d_Irr!T12+d_Irr!AS12)),IF(AND(d_Irr!T12&lt;&gt;".",d_Irr!AS12=".",d_Irr!BR12&lt;&gt;"."),d_dir!AU12/((1/1000)*(d_Irr!T12+d_Irr!BR12)),IF(AND(d_Irr!T12=".",d_Irr!AS12&lt;&gt;".",d_Irr!BR12&lt;&gt;"."),d_dir!AU12/((1/1000)*(d_Irr!AS12+d_Irr!BR12)),IF(AND(d_Irr!T12=".",d_Irr!AS12=".",d_Irr!BR12&lt;&gt;"."),d_dir!AU12/((1/1000)*(d_Irr!BR12)),IF(AND(d_Irr!T12=".",d_Irr!AS12&lt;&gt;".",d_Irr!BR12="."),d_dir!AU12/((1/1000)*(d_Irr!AS12)),IF(AND(d_Irr!T12&lt;&gt;".",d_Irr!AS12=".",d_Irr!BR12="."),d_dir!AU12/((1/1000)*(d_Irr!T12)),IF(AND(d_Irr!T12=".",d_Irr!AS12=".",d_Irr!BR12="."),d_dir!AU12*1000)))))))),".")</f>
        <v>.</v>
      </c>
      <c r="AV12" s="76" t="str">
        <f>IFERROR(IF(AND(d_Irr!U12&lt;&gt;".",d_Irr!AT12&lt;&gt;".",d_Irr!BS12&lt;&gt;"."),d_dir!AV12/((1/1000)*(d_Irr!U12+d_Irr!AT12+d_Irr!BS12)),IF(AND(d_Irr!U12&lt;&gt;".",d_Irr!AT12&lt;&gt;".",d_Irr!BS12="."),d_dir!AV12/((1/1000)*(d_Irr!U12+d_Irr!AT12)),IF(AND(d_Irr!U12&lt;&gt;".",d_Irr!AT12=".",d_Irr!BS12&lt;&gt;"."),d_dir!AV12/((1/1000)*(d_Irr!U12+d_Irr!BS12)),IF(AND(d_Irr!U12=".",d_Irr!AT12&lt;&gt;".",d_Irr!BS12&lt;&gt;"."),d_dir!AV12/((1/1000)*(d_Irr!AT12+d_Irr!BS12)),IF(AND(d_Irr!U12=".",d_Irr!AT12=".",d_Irr!BS12&lt;&gt;"."),d_dir!AV12/((1/1000)*(d_Irr!BS12)),IF(AND(d_Irr!U12=".",d_Irr!AT12&lt;&gt;".",d_Irr!BS12="."),d_dir!AV12/((1/1000)*(d_Irr!AT12)),IF(AND(d_Irr!U12&lt;&gt;".",d_Irr!AT12=".",d_Irr!BS12="."),d_dir!AV12/((1/1000)*(d_Irr!U12)),IF(AND(d_Irr!U12=".",d_Irr!AT12=".",d_Irr!BS12="."),d_dir!AV12*1000)))))))),".")</f>
        <v>.</v>
      </c>
      <c r="AW12" s="76" t="str">
        <f>IFERROR(IF(AND(d_Irr!V12&lt;&gt;".",d_Irr!AU12&lt;&gt;".",d_Irr!BT12&lt;&gt;"."),d_dir!AW12/((1/1000)*(d_Irr!V12+d_Irr!AU12+d_Irr!BT12)),IF(AND(d_Irr!V12&lt;&gt;".",d_Irr!AU12&lt;&gt;".",d_Irr!BT12="."),d_dir!AW12/((1/1000)*(d_Irr!V12+d_Irr!AU12)),IF(AND(d_Irr!V12&lt;&gt;".",d_Irr!AU12=".",d_Irr!BT12&lt;&gt;"."),d_dir!AW12/((1/1000)*(d_Irr!V12+d_Irr!BT12)),IF(AND(d_Irr!V12=".",d_Irr!AU12&lt;&gt;".",d_Irr!BT12&lt;&gt;"."),d_dir!AW12/((1/1000)*(d_Irr!AU12+d_Irr!BT12)),IF(AND(d_Irr!V12=".",d_Irr!AU12=".",d_Irr!BT12&lt;&gt;"."),d_dir!AW12/((1/1000)*(d_Irr!BT12)),IF(AND(d_Irr!V12=".",d_Irr!AU12&lt;&gt;".",d_Irr!BT12="."),d_dir!AW12/((1/1000)*(d_Irr!AU12)),IF(AND(d_Irr!V12&lt;&gt;".",d_Irr!AU12=".",d_Irr!BT12="."),d_dir!AW12/((1/1000)*(d_Irr!V12)),IF(AND(d_Irr!V12=".",d_Irr!AU12=".",d_Irr!BT12="."),d_dir!AW12*1000)))))))),".")</f>
        <v>.</v>
      </c>
      <c r="AX12" s="76" t="str">
        <f>IFERROR(IF(AND(d_Irr!W12&lt;&gt;".",d_Irr!AV12&lt;&gt;".",d_Irr!BU12&lt;&gt;"."),d_dir!AX12/((1/1000)*(d_Irr!W12+d_Irr!AV12+d_Irr!BU12)),IF(AND(d_Irr!W12&lt;&gt;".",d_Irr!AV12&lt;&gt;".",d_Irr!BU12="."),d_dir!AX12/((1/1000)*(d_Irr!W12+d_Irr!AV12)),IF(AND(d_Irr!W12&lt;&gt;".",d_Irr!AV12=".",d_Irr!BU12&lt;&gt;"."),d_dir!AX12/((1/1000)*(d_Irr!W12+d_Irr!BU12)),IF(AND(d_Irr!W12=".",d_Irr!AV12&lt;&gt;".",d_Irr!BU12&lt;&gt;"."),d_dir!AX12/((1/1000)*(d_Irr!AV12+d_Irr!BU12)),IF(AND(d_Irr!W12=".",d_Irr!AV12=".",d_Irr!BU12&lt;&gt;"."),d_dir!AX12/((1/1000)*(d_Irr!BU12)),IF(AND(d_Irr!W12=".",d_Irr!AV12&lt;&gt;".",d_Irr!BU12="."),d_dir!AX12/((1/1000)*(d_Irr!AV12)),IF(AND(d_Irr!W12&lt;&gt;".",d_Irr!AV12=".",d_Irr!BU12="."),d_dir!AX12/((1/1000)*(d_Irr!W12)),IF(AND(d_Irr!W12=".",d_Irr!AV12=".",d_Irr!BU12="."),d_dir!AX12*1000)))))))),".")</f>
        <v>.</v>
      </c>
      <c r="AY12" s="76" t="str">
        <f>IFERROR(IF(AND(d_Irr!X12&lt;&gt;".",d_Irr!AW12&lt;&gt;".",d_Irr!BV12&lt;&gt;"."),d_dir!AY12/((1/1000)*(d_Irr!X12+d_Irr!AW12+d_Irr!BV12)),IF(AND(d_Irr!X12&lt;&gt;".",d_Irr!AW12&lt;&gt;".",d_Irr!BV12="."),d_dir!AY12/((1/1000)*(d_Irr!X12+d_Irr!AW12)),IF(AND(d_Irr!X12&lt;&gt;".",d_Irr!AW12=".",d_Irr!BV12&lt;&gt;"."),d_dir!AY12/((1/1000)*(d_Irr!X12+d_Irr!BV12)),IF(AND(d_Irr!X12=".",d_Irr!AW12&lt;&gt;".",d_Irr!BV12&lt;&gt;"."),d_dir!AY12/((1/1000)*(d_Irr!AW12+d_Irr!BV12)),IF(AND(d_Irr!X12=".",d_Irr!AW12=".",d_Irr!BV12&lt;&gt;"."),d_dir!AY12/((1/1000)*(d_Irr!BV12)),IF(AND(d_Irr!X12=".",d_Irr!AW12&lt;&gt;".",d_Irr!BV12="."),d_dir!AY12/((1/1000)*(d_Irr!AW12)),IF(AND(d_Irr!X12&lt;&gt;".",d_Irr!AW12=".",d_Irr!BV12="."),d_dir!AY12/((1/1000)*(d_Irr!X12)),IF(AND(d_Irr!X12=".",d_Irr!AW12=".",d_Irr!BV12="."),d_dir!AY12*1000)))))))),".")</f>
        <v>.</v>
      </c>
      <c r="AZ12" s="76" t="str">
        <f>IFERROR(IF(AND(d_Irr!Y12&lt;&gt;".",d_Irr!AX12&lt;&gt;".",d_Irr!BW12&lt;&gt;"."),d_dir!AZ12/((1/1000)*(d_Irr!Y12+d_Irr!AX12+d_Irr!BW12)),IF(AND(d_Irr!Y12&lt;&gt;".",d_Irr!AX12&lt;&gt;".",d_Irr!BW12="."),d_dir!AZ12/((1/1000)*(d_Irr!Y12+d_Irr!AX12)),IF(AND(d_Irr!Y12&lt;&gt;".",d_Irr!AX12=".",d_Irr!BW12&lt;&gt;"."),d_dir!AZ12/((1/1000)*(d_Irr!Y12+d_Irr!BW12)),IF(AND(d_Irr!Y12=".",d_Irr!AX12&lt;&gt;".",d_Irr!BW12&lt;&gt;"."),d_dir!AZ12/((1/1000)*(d_Irr!AX12+d_Irr!BW12)),IF(AND(d_Irr!Y12=".",d_Irr!AX12=".",d_Irr!BW12&lt;&gt;"."),d_dir!AZ12/((1/1000)*(d_Irr!BW12)),IF(AND(d_Irr!Y12=".",d_Irr!AX12&lt;&gt;".",d_Irr!BW12="."),d_dir!AZ12/((1/1000)*(d_Irr!AX12)),IF(AND(d_Irr!Y12&lt;&gt;".",d_Irr!AX12=".",d_Irr!BW12="."),d_dir!AZ12/((1/1000)*(d_Irr!Y12)),IF(AND(d_Irr!Y12=".",d_Irr!AX12=".",d_Irr!BW12="."),d_dir!AZ12*1000)))))))),".")</f>
        <v>.</v>
      </c>
      <c r="BA12" s="76" t="str">
        <f>IFERROR(IF(AND(d_Irr!Z12&lt;&gt;".",d_Irr!AY12&lt;&gt;".",d_Irr!BX12&lt;&gt;"."),d_dir!BA12/((1/1000)*(d_Irr!Z12+d_Irr!AY12+d_Irr!BX12)),IF(AND(d_Irr!Z12&lt;&gt;".",d_Irr!AY12&lt;&gt;".",d_Irr!BX12="."),d_dir!BA12/((1/1000)*(d_Irr!Z12+d_Irr!AY12)),IF(AND(d_Irr!Z12&lt;&gt;".",d_Irr!AY12=".",d_Irr!BX12&lt;&gt;"."),d_dir!BA12/((1/1000)*(d_Irr!Z12+d_Irr!BX12)),IF(AND(d_Irr!Z12=".",d_Irr!AY12&lt;&gt;".",d_Irr!BX12&lt;&gt;"."),d_dir!BA12/((1/1000)*(d_Irr!AY12+d_Irr!BX12)),IF(AND(d_Irr!Z12=".",d_Irr!AY12=".",d_Irr!BX12&lt;&gt;"."),d_dir!BA12/((1/1000)*(d_Irr!BX12)),IF(AND(d_Irr!Z12=".",d_Irr!AY12&lt;&gt;".",d_Irr!BX12="."),d_dir!BA12/((1/1000)*(d_Irr!AY12)),IF(AND(d_Irr!Z12&lt;&gt;".",d_Irr!AY12=".",d_Irr!BX12="."),d_dir!BA12/((1/1000)*(d_Irr!Z12)),IF(AND(d_Irr!Z12=".",d_Irr!AY12=".",d_Irr!BX12="."),d_dir!BA12*1000)))))))),".")</f>
        <v>.</v>
      </c>
      <c r="BB12" s="76" t="str">
        <f>IFERROR(IF(AND(d_Irr!AA12&lt;&gt;".",d_Irr!AZ12&lt;&gt;".",d_Irr!BY12&lt;&gt;"."),d_dir!BB12/((1/1000)*(d_Irr!AA12+d_Irr!AZ12+d_Irr!BY12)),IF(AND(d_Irr!AA12&lt;&gt;".",d_Irr!AZ12&lt;&gt;".",d_Irr!BY12="."),d_dir!BB12/((1/1000)*(d_Irr!AA12+d_Irr!AZ12)),IF(AND(d_Irr!AA12&lt;&gt;".",d_Irr!AZ12=".",d_Irr!BY12&lt;&gt;"."),d_dir!BB12/((1/1000)*(d_Irr!AA12+d_Irr!BY12)),IF(AND(d_Irr!AA12=".",d_Irr!AZ12&lt;&gt;".",d_Irr!BY12&lt;&gt;"."),d_dir!BB12/((1/1000)*(d_Irr!AZ12+d_Irr!BY12)),IF(AND(d_Irr!AA12=".",d_Irr!AZ12=".",d_Irr!BY12&lt;&gt;"."),d_dir!BB12/((1/1000)*(d_Irr!BY12)),IF(AND(d_Irr!AA12=".",d_Irr!AZ12&lt;&gt;".",d_Irr!BY12="."),d_dir!BB12/((1/1000)*(d_Irr!AZ12)),IF(AND(d_Irr!AA12&lt;&gt;".",d_Irr!AZ12=".",d_Irr!BY12="."),d_dir!BB12/((1/1000)*(d_Irr!AA12)),IF(AND(d_Irr!AA12=".",d_Irr!AZ12=".",d_Irr!BY12="."),d_dir!BB12*1000)))))))),".")</f>
        <v>.</v>
      </c>
    </row>
    <row r="13" spans="1:54" ht="15" customHeight="1" x14ac:dyDescent="0.25">
      <c r="A13" s="92" t="s">
        <v>23</v>
      </c>
      <c r="B13" s="90" t="s">
        <v>1071</v>
      </c>
      <c r="C13" s="2">
        <f t="shared" si="1"/>
        <v>0.24825406523395527</v>
      </c>
      <c r="D13" s="76">
        <f>IFERROR(IF(AND(d_Irr!C13&lt;&gt;".",d_Irr!AB13&lt;&gt;".",d_Irr!BA13&lt;&gt;"."),d_dir!D13/((1/1000)*(d_Irr!C13+d_Irr!AB13+d_Irr!BA13)),IF(AND(d_Irr!C13&lt;&gt;".",d_Irr!AB13&lt;&gt;".",d_Irr!BA13="."),d_dir!D13/((1/1000)*(d_Irr!C13+d_Irr!AB13)),IF(AND(d_Irr!C13&lt;&gt;".",d_Irr!AB13=".",d_Irr!BA13&lt;&gt;"."),d_dir!D13/((1/1000)*(d_Irr!C13+d_Irr!BA13)),IF(AND(d_Irr!C13=".",d_Irr!AB13&lt;&gt;".",d_Irr!BA13&lt;&gt;"."),d_dir!D13/((1/1000)*(d_Irr!AB13+d_Irr!BA13)),IF(AND(d_Irr!C13=".",d_Irr!AB13=".",d_Irr!BA13&lt;&gt;"."),d_dir!D13/((1/1000)*(d_Irr!BA13)),IF(AND(d_Irr!C13=".",d_Irr!AB13&lt;&gt;".",d_Irr!BA13="."),d_dir!D13/((1/1000)*(d_Irr!AB13)),IF(AND(d_Irr!C13&lt;&gt;".",d_Irr!AB13=".",d_Irr!BA13="."),d_dir!D13/((1/1000)*(d_Irr!C13)),IF(AND(d_Irr!C13=".",d_Irr!AB13=".",d_Irr!BA13="."),d_dir!D13*1000)))))))),".")</f>
        <v>4.932903483068662</v>
      </c>
      <c r="E13" s="76">
        <f>IFERROR(IF(AND(d_Irr!D13&lt;&gt;".",d_Irr!AC13&lt;&gt;".",d_Irr!BB13&lt;&gt;"."),d_dir!E13/((1/1000)*(d_Irr!D13+d_Irr!AC13+d_Irr!BB13)),IF(AND(d_Irr!D13&lt;&gt;".",d_Irr!AC13&lt;&gt;".",d_Irr!BB13="."),d_dir!E13/((1/1000)*(d_Irr!D13+d_Irr!AC13)),IF(AND(d_Irr!D13&lt;&gt;".",d_Irr!AC13=".",d_Irr!BB13&lt;&gt;"."),d_dir!E13/((1/1000)*(d_Irr!D13+d_Irr!BB13)),IF(AND(d_Irr!D13=".",d_Irr!AC13&lt;&gt;".",d_Irr!BB13&lt;&gt;"."),d_dir!E13/((1/1000)*(d_Irr!AC13+d_Irr!BB13)),IF(AND(d_Irr!D13=".",d_Irr!AC13=".",d_Irr!BB13&lt;&gt;"."),d_dir!E13/((1/1000)*(d_Irr!BB13)),IF(AND(d_Irr!D13=".",d_Irr!AC13&lt;&gt;".",d_Irr!BB13="."),d_dir!E13/((1/1000)*(d_Irr!AC13)),IF(AND(d_Irr!D13&lt;&gt;".",d_Irr!AC13=".",d_Irr!BB13="."),d_dir!E13/((1/1000)*(d_Irr!D13)),IF(AND(d_Irr!D13=".",d_Irr!AC13=".",d_Irr!BB13="."),d_dir!E13*1000)))))))),".")</f>
        <v>8.5611216080361547</v>
      </c>
      <c r="F13" s="76">
        <f>IFERROR(IF(AND(d_Irr!E13&lt;&gt;".",d_Irr!AD13&lt;&gt;".",d_Irr!BC13&lt;&gt;"."),d_dir!F13/((1/1000)*(d_Irr!E13+d_Irr!AD13+d_Irr!BC13)),IF(AND(d_Irr!E13&lt;&gt;".",d_Irr!AD13&lt;&gt;".",d_Irr!BC13="."),d_dir!F13/((1/1000)*(d_Irr!E13+d_Irr!AD13)),IF(AND(d_Irr!E13&lt;&gt;".",d_Irr!AD13=".",d_Irr!BC13&lt;&gt;"."),d_dir!F13/((1/1000)*(d_Irr!E13+d_Irr!BC13)),IF(AND(d_Irr!E13=".",d_Irr!AD13&lt;&gt;".",d_Irr!BC13&lt;&gt;"."),d_dir!F13/((1/1000)*(d_Irr!AD13+d_Irr!BC13)),IF(AND(d_Irr!E13=".",d_Irr!AD13=".",d_Irr!BC13&lt;&gt;"."),d_dir!F13/((1/1000)*(d_Irr!BC13)),IF(AND(d_Irr!E13=".",d_Irr!AD13&lt;&gt;".",d_Irr!BC13="."),d_dir!F13/((1/1000)*(d_Irr!AD13)),IF(AND(d_Irr!E13&lt;&gt;".",d_Irr!AD13=".",d_Irr!BC13="."),d_dir!F13/((1/1000)*(d_Irr!E13)),IF(AND(d_Irr!E13=".",d_Irr!AD13=".",d_Irr!BC13="."),d_dir!F13*1000)))))))),".")</f>
        <v>10.739153728888294</v>
      </c>
      <c r="G13" s="76">
        <f>IFERROR(IF(AND(d_Irr!F13&lt;&gt;".",d_Irr!AE13&lt;&gt;".",d_Irr!BD13&lt;&gt;"."),d_dir!G13/((1/1000)*(d_Irr!F13+d_Irr!AE13+d_Irr!BD13)),IF(AND(d_Irr!F13&lt;&gt;".",d_Irr!AE13&lt;&gt;".",d_Irr!BD13="."),d_dir!G13/((1/1000)*(d_Irr!F13+d_Irr!AE13)),IF(AND(d_Irr!F13&lt;&gt;".",d_Irr!AE13=".",d_Irr!BD13&lt;&gt;"."),d_dir!G13/((1/1000)*(d_Irr!F13+d_Irr!BD13)),IF(AND(d_Irr!F13=".",d_Irr!AE13&lt;&gt;".",d_Irr!BD13&lt;&gt;"."),d_dir!G13/((1/1000)*(d_Irr!AE13+d_Irr!BD13)),IF(AND(d_Irr!F13=".",d_Irr!AE13=".",d_Irr!BD13&lt;&gt;"."),d_dir!G13/((1/1000)*(d_Irr!BD13)),IF(AND(d_Irr!F13=".",d_Irr!AE13&lt;&gt;".",d_Irr!BD13="."),d_dir!G13/((1/1000)*(d_Irr!AE13)),IF(AND(d_Irr!F13&lt;&gt;".",d_Irr!AE13=".",d_Irr!BD13="."),d_dir!G13/((1/1000)*(d_Irr!F13)),IF(AND(d_Irr!F13=".",d_Irr!AE13=".",d_Irr!BD13="."),d_dir!G13*1000)))))))),".")</f>
        <v>11.09431628245537</v>
      </c>
      <c r="H13" s="76">
        <f>IFERROR(IF(AND(d_Irr!G13&lt;&gt;".",d_Irr!AF13&lt;&gt;".",d_Irr!BE13&lt;&gt;"."),d_dir!H13/((1/1000)*(d_Irr!G13+d_Irr!AF13+d_Irr!BE13)),IF(AND(d_Irr!G13&lt;&gt;".",d_Irr!AF13&lt;&gt;".",d_Irr!BE13="."),d_dir!H13/((1/1000)*(d_Irr!G13+d_Irr!AF13)),IF(AND(d_Irr!G13&lt;&gt;".",d_Irr!AF13=".",d_Irr!BE13&lt;&gt;"."),d_dir!H13/((1/1000)*(d_Irr!G13+d_Irr!BE13)),IF(AND(d_Irr!G13=".",d_Irr!AF13&lt;&gt;".",d_Irr!BE13&lt;&gt;"."),d_dir!H13/((1/1000)*(d_Irr!AF13+d_Irr!BE13)),IF(AND(d_Irr!G13=".",d_Irr!AF13=".",d_Irr!BE13&lt;&gt;"."),d_dir!H13/((1/1000)*(d_Irr!BE13)),IF(AND(d_Irr!G13=".",d_Irr!AF13&lt;&gt;".",d_Irr!BE13="."),d_dir!H13/((1/1000)*(d_Irr!AF13)),IF(AND(d_Irr!G13&lt;&gt;".",d_Irr!AF13=".",d_Irr!BE13="."),d_dir!H13/((1/1000)*(d_Irr!G13)),IF(AND(d_Irr!G13=".",d_Irr!AF13=".",d_Irr!BE13="."),d_dir!H13*1000)))))))),".")</f>
        <v>11.57327419548557</v>
      </c>
      <c r="I13" s="76">
        <f>IFERROR(IF(AND(d_Irr!H13&lt;&gt;".",d_Irr!AG13&lt;&gt;".",d_Irr!BF13&lt;&gt;"."),d_dir!I13/((1/1000)*(d_Irr!H13+d_Irr!AG13+d_Irr!BF13)),IF(AND(d_Irr!H13&lt;&gt;".",d_Irr!AG13&lt;&gt;".",d_Irr!BF13="."),d_dir!I13/((1/1000)*(d_Irr!H13+d_Irr!AG13)),IF(AND(d_Irr!H13&lt;&gt;".",d_Irr!AG13=".",d_Irr!BF13&lt;&gt;"."),d_dir!I13/((1/1000)*(d_Irr!H13+d_Irr!BF13)),IF(AND(d_Irr!H13=".",d_Irr!AG13&lt;&gt;".",d_Irr!BF13&lt;&gt;"."),d_dir!I13/((1/1000)*(d_Irr!AG13+d_Irr!BF13)),IF(AND(d_Irr!H13=".",d_Irr!AG13=".",d_Irr!BF13&lt;&gt;"."),d_dir!I13/((1/1000)*(d_Irr!BF13)),IF(AND(d_Irr!H13=".",d_Irr!AG13&lt;&gt;".",d_Irr!BF13="."),d_dir!I13/((1/1000)*(d_Irr!AG13)),IF(AND(d_Irr!H13&lt;&gt;".",d_Irr!AG13=".",d_Irr!BF13="."),d_dir!I13/((1/1000)*(d_Irr!H13)),IF(AND(d_Irr!H13=".",d_Irr!AG13=".",d_Irr!BF13="."),d_dir!I13*1000)))))))),".")</f>
        <v>4.2169317328826903</v>
      </c>
      <c r="J13" s="76">
        <f>IFERROR(IF(AND(d_Irr!I13&lt;&gt;".",d_Irr!AH13&lt;&gt;".",d_Irr!BG13&lt;&gt;"."),d_dir!J13/((1/1000)*(d_Irr!I13+d_Irr!AH13+d_Irr!BG13)),IF(AND(d_Irr!I13&lt;&gt;".",d_Irr!AH13&lt;&gt;".",d_Irr!BG13="."),d_dir!J13/((1/1000)*(d_Irr!I13+d_Irr!AH13)),IF(AND(d_Irr!I13&lt;&gt;".",d_Irr!AH13=".",d_Irr!BG13&lt;&gt;"."),d_dir!J13/((1/1000)*(d_Irr!I13+d_Irr!BG13)),IF(AND(d_Irr!I13=".",d_Irr!AH13&lt;&gt;".",d_Irr!BG13&lt;&gt;"."),d_dir!J13/((1/1000)*(d_Irr!AH13+d_Irr!BG13)),IF(AND(d_Irr!I13=".",d_Irr!AH13=".",d_Irr!BG13&lt;&gt;"."),d_dir!J13/((1/1000)*(d_Irr!BG13)),IF(AND(d_Irr!I13=".",d_Irr!AH13&lt;&gt;".",d_Irr!BG13="."),d_dir!J13/((1/1000)*(d_Irr!AH13)),IF(AND(d_Irr!I13&lt;&gt;".",d_Irr!AH13=".",d_Irr!BG13="."),d_dir!J13/((1/1000)*(d_Irr!I13)),IF(AND(d_Irr!I13=".",d_Irr!AH13=".",d_Irr!BG13="."),d_dir!J13*1000)))))))),".")</f>
        <v>12.365211855856861</v>
      </c>
      <c r="K13" s="76">
        <f>IFERROR(IF(AND(d_Irr!J13&lt;&gt;".",d_Irr!AI13&lt;&gt;".",d_Irr!BH13&lt;&gt;"."),d_dir!K13/((1/1000)*(d_Irr!J13+d_Irr!AI13+d_Irr!BH13)),IF(AND(d_Irr!J13&lt;&gt;".",d_Irr!AI13&lt;&gt;".",d_Irr!BH13="."),d_dir!K13/((1/1000)*(d_Irr!J13+d_Irr!AI13)),IF(AND(d_Irr!J13&lt;&gt;".",d_Irr!AI13=".",d_Irr!BH13&lt;&gt;"."),d_dir!K13/((1/1000)*(d_Irr!J13+d_Irr!BH13)),IF(AND(d_Irr!J13=".",d_Irr!AI13&lt;&gt;".",d_Irr!BH13&lt;&gt;"."),d_dir!K13/((1/1000)*(d_Irr!AI13+d_Irr!BH13)),IF(AND(d_Irr!J13=".",d_Irr!AI13=".",d_Irr!BH13&lt;&gt;"."),d_dir!K13/((1/1000)*(d_Irr!BH13)),IF(AND(d_Irr!J13=".",d_Irr!AI13&lt;&gt;".",d_Irr!BH13="."),d_dir!K13/((1/1000)*(d_Irr!AI13)),IF(AND(d_Irr!J13&lt;&gt;".",d_Irr!AI13=".",d_Irr!BH13="."),d_dir!K13/((1/1000)*(d_Irr!J13)),IF(AND(d_Irr!J13=".",d_Irr!AI13=".",d_Irr!BH13="."),d_dir!K13*1000)))))))),".")</f>
        <v>1.2791368191340982</v>
      </c>
      <c r="L13" s="76">
        <f>IFERROR(IF(AND(d_Irr!K13&lt;&gt;".",d_Irr!AJ13&lt;&gt;".",d_Irr!BI13&lt;&gt;"."),d_dir!L13/((1/1000)*(d_Irr!K13+d_Irr!AJ13+d_Irr!BI13)),IF(AND(d_Irr!K13&lt;&gt;".",d_Irr!AJ13&lt;&gt;".",d_Irr!BI13="."),d_dir!L13/((1/1000)*(d_Irr!K13+d_Irr!AJ13)),IF(AND(d_Irr!K13&lt;&gt;".",d_Irr!AJ13=".",d_Irr!BI13&lt;&gt;"."),d_dir!L13/((1/1000)*(d_Irr!K13+d_Irr!BI13)),IF(AND(d_Irr!K13=".",d_Irr!AJ13&lt;&gt;".",d_Irr!BI13&lt;&gt;"."),d_dir!L13/((1/1000)*(d_Irr!AJ13+d_Irr!BI13)),IF(AND(d_Irr!K13=".",d_Irr!AJ13=".",d_Irr!BI13&lt;&gt;"."),d_dir!L13/((1/1000)*(d_Irr!BI13)),IF(AND(d_Irr!K13=".",d_Irr!AJ13&lt;&gt;".",d_Irr!BI13="."),d_dir!L13/((1/1000)*(d_Irr!AJ13)),IF(AND(d_Irr!K13&lt;&gt;".",d_Irr!AJ13=".",d_Irr!BI13="."),d_dir!L13/((1/1000)*(d_Irr!K13)),IF(AND(d_Irr!K13=".",d_Irr!AJ13=".",d_Irr!BI13="."),d_dir!L13*1000)))))))),".")</f>
        <v>6.7200218297791086</v>
      </c>
      <c r="M13" s="76">
        <f>IFERROR(IF(AND(d_Irr!L13&lt;&gt;".",d_Irr!AK13&lt;&gt;".",d_Irr!BJ13&lt;&gt;"."),d_dir!M13/((1/1000)*(d_Irr!L13+d_Irr!AK13+d_Irr!BJ13)),IF(AND(d_Irr!L13&lt;&gt;".",d_Irr!AK13&lt;&gt;".",d_Irr!BJ13="."),d_dir!M13/((1/1000)*(d_Irr!L13+d_Irr!AK13)),IF(AND(d_Irr!L13&lt;&gt;".",d_Irr!AK13=".",d_Irr!BJ13&lt;&gt;"."),d_dir!M13/((1/1000)*(d_Irr!L13+d_Irr!BJ13)),IF(AND(d_Irr!L13=".",d_Irr!AK13&lt;&gt;".",d_Irr!BJ13&lt;&gt;"."),d_dir!M13/((1/1000)*(d_Irr!AK13+d_Irr!BJ13)),IF(AND(d_Irr!L13=".",d_Irr!AK13=".",d_Irr!BJ13&lt;&gt;"."),d_dir!M13/((1/1000)*(d_Irr!BJ13)),IF(AND(d_Irr!L13=".",d_Irr!AK13&lt;&gt;".",d_Irr!BJ13="."),d_dir!M13/((1/1000)*(d_Irr!AK13)),IF(AND(d_Irr!L13&lt;&gt;".",d_Irr!AK13=".",d_Irr!BJ13="."),d_dir!M13/((1/1000)*(d_Irr!L13)),IF(AND(d_Irr!L13=".",d_Irr!AK13=".",d_Irr!BJ13="."),d_dir!M13*1000)))))))),".")</f>
        <v>4.4845566179486269</v>
      </c>
      <c r="N13" s="76">
        <f>IFERROR(IF(AND(d_Irr!M13&lt;&gt;".",d_Irr!AL13&lt;&gt;".",d_Irr!BK13&lt;&gt;"."),d_dir!N13/((1/1000)*(d_Irr!M13+d_Irr!AL13+d_Irr!BK13)),IF(AND(d_Irr!M13&lt;&gt;".",d_Irr!AL13&lt;&gt;".",d_Irr!BK13="."),d_dir!N13/((1/1000)*(d_Irr!M13+d_Irr!AL13)),IF(AND(d_Irr!M13&lt;&gt;".",d_Irr!AL13=".",d_Irr!BK13&lt;&gt;"."),d_dir!N13/((1/1000)*(d_Irr!M13+d_Irr!BK13)),IF(AND(d_Irr!M13=".",d_Irr!AL13&lt;&gt;".",d_Irr!BK13&lt;&gt;"."),d_dir!N13/((1/1000)*(d_Irr!AL13+d_Irr!BK13)),IF(AND(d_Irr!M13=".",d_Irr!AL13=".",d_Irr!BK13&lt;&gt;"."),d_dir!N13/((1/1000)*(d_Irr!BK13)),IF(AND(d_Irr!M13=".",d_Irr!AL13&lt;&gt;".",d_Irr!BK13="."),d_dir!N13/((1/1000)*(d_Irr!AL13)),IF(AND(d_Irr!M13&lt;&gt;".",d_Irr!AL13=".",d_Irr!BK13="."),d_dir!N13/((1/1000)*(d_Irr!M13)),IF(AND(d_Irr!M13=".",d_Irr!AL13=".",d_Irr!BK13="."),d_dir!N13*1000)))))))),".")</f>
        <v>8.977387192873584</v>
      </c>
      <c r="O13" s="76">
        <f>IFERROR(IF(AND(d_Irr!N13&lt;&gt;".",d_Irr!AM13&lt;&gt;".",d_Irr!BL13&lt;&gt;"."),d_dir!O13/((1/1000)*(d_Irr!N13+d_Irr!AM13+d_Irr!BL13)),IF(AND(d_Irr!N13&lt;&gt;".",d_Irr!AM13&lt;&gt;".",d_Irr!BL13="."),d_dir!O13/((1/1000)*(d_Irr!N13+d_Irr!AM13)),IF(AND(d_Irr!N13&lt;&gt;".",d_Irr!AM13=".",d_Irr!BL13&lt;&gt;"."),d_dir!O13/((1/1000)*(d_Irr!N13+d_Irr!BL13)),IF(AND(d_Irr!N13=".",d_Irr!AM13&lt;&gt;".",d_Irr!BL13&lt;&gt;"."),d_dir!O13/((1/1000)*(d_Irr!AM13+d_Irr!BL13)),IF(AND(d_Irr!N13=".",d_Irr!AM13=".",d_Irr!BL13&lt;&gt;"."),d_dir!O13/((1/1000)*(d_Irr!BL13)),IF(AND(d_Irr!N13=".",d_Irr!AM13&lt;&gt;".",d_Irr!BL13="."),d_dir!O13/((1/1000)*(d_Irr!AM13)),IF(AND(d_Irr!N13&lt;&gt;".",d_Irr!AM13=".",d_Irr!BL13="."),d_dir!O13/((1/1000)*(d_Irr!N13)),IF(AND(d_Irr!N13=".",d_Irr!AM13=".",d_Irr!BL13="."),d_dir!O13*1000)))))))),".")</f>
        <v>9.7012516971479172</v>
      </c>
      <c r="P13" s="76">
        <f>IFERROR(IF(AND(d_Irr!O13&lt;&gt;".",d_Irr!AN13&lt;&gt;".",d_Irr!BM13&lt;&gt;"."),d_dir!P13/((1/1000)*(d_Irr!O13+d_Irr!AN13+d_Irr!BM13)),IF(AND(d_Irr!O13&lt;&gt;".",d_Irr!AN13&lt;&gt;".",d_Irr!BM13="."),d_dir!P13/((1/1000)*(d_Irr!O13+d_Irr!AN13)),IF(AND(d_Irr!O13&lt;&gt;".",d_Irr!AN13=".",d_Irr!BM13&lt;&gt;"."),d_dir!P13/((1/1000)*(d_Irr!O13+d_Irr!BM13)),IF(AND(d_Irr!O13=".",d_Irr!AN13&lt;&gt;".",d_Irr!BM13&lt;&gt;"."),d_dir!P13/((1/1000)*(d_Irr!AN13+d_Irr!BM13)),IF(AND(d_Irr!O13=".",d_Irr!AN13=".",d_Irr!BM13&lt;&gt;"."),d_dir!P13/((1/1000)*(d_Irr!BM13)),IF(AND(d_Irr!O13=".",d_Irr!AN13&lt;&gt;".",d_Irr!BM13="."),d_dir!P13/((1/1000)*(d_Irr!AN13)),IF(AND(d_Irr!O13&lt;&gt;".",d_Irr!AN13=".",d_Irr!BM13="."),d_dir!P13/((1/1000)*(d_Irr!O13)),IF(AND(d_Irr!O13=".",d_Irr!AN13=".",d_Irr!BM13="."),d_dir!P13*1000)))))))),".")</f>
        <v>12.098328134176194</v>
      </c>
      <c r="Q13" s="76">
        <f>IFERROR(IF(AND(d_Irr!P13&lt;&gt;".",d_Irr!AO13&lt;&gt;".",d_Irr!BN13&lt;&gt;"."),d_dir!Q13/((1/1000)*(d_Irr!P13+d_Irr!AO13+d_Irr!BN13)),IF(AND(d_Irr!P13&lt;&gt;".",d_Irr!AO13&lt;&gt;".",d_Irr!BN13="."),d_dir!Q13/((1/1000)*(d_Irr!P13+d_Irr!AO13)),IF(AND(d_Irr!P13&lt;&gt;".",d_Irr!AO13=".",d_Irr!BN13&lt;&gt;"."),d_dir!Q13/((1/1000)*(d_Irr!P13+d_Irr!BN13)),IF(AND(d_Irr!P13=".",d_Irr!AO13&lt;&gt;".",d_Irr!BN13&lt;&gt;"."),d_dir!Q13/((1/1000)*(d_Irr!AO13+d_Irr!BN13)),IF(AND(d_Irr!P13=".",d_Irr!AO13=".",d_Irr!BN13&lt;&gt;"."),d_dir!Q13/((1/1000)*(d_Irr!BN13)),IF(AND(d_Irr!P13=".",d_Irr!AO13&lt;&gt;".",d_Irr!BN13="."),d_dir!Q13/((1/1000)*(d_Irr!AO13)),IF(AND(d_Irr!P13&lt;&gt;".",d_Irr!AO13=".",d_Irr!BN13="."),d_dir!Q13/((1/1000)*(d_Irr!P13)),IF(AND(d_Irr!P13=".",d_Irr!AO13=".",d_Irr!BN13="."),d_dir!Q13*1000)))))))),".")</f>
        <v>16.711899994271523</v>
      </c>
      <c r="R13" s="76">
        <f>IFERROR(IF(AND(d_Irr!Q13&lt;&gt;".",d_Irr!AP13&lt;&gt;".",d_Irr!BO13&lt;&gt;"."),d_dir!R13/((1/1000)*(d_Irr!Q13+d_Irr!AP13+d_Irr!BO13)),IF(AND(d_Irr!Q13&lt;&gt;".",d_Irr!AP13&lt;&gt;".",d_Irr!BO13="."),d_dir!R13/((1/1000)*(d_Irr!Q13+d_Irr!AP13)),IF(AND(d_Irr!Q13&lt;&gt;".",d_Irr!AP13=".",d_Irr!BO13&lt;&gt;"."),d_dir!R13/((1/1000)*(d_Irr!Q13+d_Irr!BO13)),IF(AND(d_Irr!Q13=".",d_Irr!AP13&lt;&gt;".",d_Irr!BO13&lt;&gt;"."),d_dir!R13/((1/1000)*(d_Irr!AP13+d_Irr!BO13)),IF(AND(d_Irr!Q13=".",d_Irr!AP13=".",d_Irr!BO13&lt;&gt;"."),d_dir!R13/((1/1000)*(d_Irr!BO13)),IF(AND(d_Irr!Q13=".",d_Irr!AP13&lt;&gt;".",d_Irr!BO13="."),d_dir!R13/((1/1000)*(d_Irr!AP13)),IF(AND(d_Irr!Q13&lt;&gt;".",d_Irr!AP13=".",d_Irr!BO13="."),d_dir!R13/((1/1000)*(d_Irr!Q13)),IF(AND(d_Irr!Q13=".",d_Irr!AP13=".",d_Irr!BO13="."),d_dir!R13*1000)))))))),".")</f>
        <v>3.1671034684131389</v>
      </c>
      <c r="S13" s="76">
        <f>IFERROR(IF(AND(d_Irr!R13&lt;&gt;".",d_Irr!AQ13&lt;&gt;".",d_Irr!BP13&lt;&gt;"."),d_dir!S13/((1/1000)*(d_Irr!R13+d_Irr!AQ13+d_Irr!BP13)),IF(AND(d_Irr!R13&lt;&gt;".",d_Irr!AQ13&lt;&gt;".",d_Irr!BP13="."),d_dir!S13/((1/1000)*(d_Irr!R13+d_Irr!AQ13)),IF(AND(d_Irr!R13&lt;&gt;".",d_Irr!AQ13=".",d_Irr!BP13&lt;&gt;"."),d_dir!S13/((1/1000)*(d_Irr!R13+d_Irr!BP13)),IF(AND(d_Irr!R13=".",d_Irr!AQ13&lt;&gt;".",d_Irr!BP13&lt;&gt;"."),d_dir!S13/((1/1000)*(d_Irr!AQ13+d_Irr!BP13)),IF(AND(d_Irr!R13=".",d_Irr!AQ13=".",d_Irr!BP13&lt;&gt;"."),d_dir!S13/((1/1000)*(d_Irr!BP13)),IF(AND(d_Irr!R13=".",d_Irr!AQ13&lt;&gt;".",d_Irr!BP13="."),d_dir!S13/((1/1000)*(d_Irr!AQ13)),IF(AND(d_Irr!R13&lt;&gt;".",d_Irr!AQ13=".",d_Irr!BP13="."),d_dir!S13/((1/1000)*(d_Irr!R13)),IF(AND(d_Irr!R13=".",d_Irr!AQ13=".",d_Irr!BP13="."),d_dir!S13*1000)))))))),".")</f>
        <v>6.4603988293068735</v>
      </c>
      <c r="T13" s="76">
        <f>IFERROR(IF(AND(d_Irr!S13&lt;&gt;".",d_Irr!AR13&lt;&gt;".",d_Irr!BQ13&lt;&gt;"."),d_dir!T13/((1/1000)*(d_Irr!S13+d_Irr!AR13+d_Irr!BQ13)),IF(AND(d_Irr!S13&lt;&gt;".",d_Irr!AR13&lt;&gt;".",d_Irr!BQ13="."),d_dir!T13/((1/1000)*(d_Irr!S13+d_Irr!AR13)),IF(AND(d_Irr!S13&lt;&gt;".",d_Irr!AR13=".",d_Irr!BQ13&lt;&gt;"."),d_dir!T13/((1/1000)*(d_Irr!S13+d_Irr!BQ13)),IF(AND(d_Irr!S13=".",d_Irr!AR13&lt;&gt;".",d_Irr!BQ13&lt;&gt;"."),d_dir!T13/((1/1000)*(d_Irr!AR13+d_Irr!BQ13)),IF(AND(d_Irr!S13=".",d_Irr!AR13=".",d_Irr!BQ13&lt;&gt;"."),d_dir!T13/((1/1000)*(d_Irr!BQ13)),IF(AND(d_Irr!S13=".",d_Irr!AR13&lt;&gt;".",d_Irr!BQ13="."),d_dir!T13/((1/1000)*(d_Irr!AR13)),IF(AND(d_Irr!S13&lt;&gt;".",d_Irr!AR13=".",d_Irr!BQ13="."),d_dir!T13/((1/1000)*(d_Irr!S13)),IF(AND(d_Irr!S13=".",d_Irr!AR13=".",d_Irr!BQ13="."),d_dir!T13*1000)))))))),".")</f>
        <v>9.6924592611916989</v>
      </c>
      <c r="U13" s="76">
        <f>IFERROR(IF(AND(d_Irr!T13&lt;&gt;".",d_Irr!AS13&lt;&gt;".",d_Irr!BR13&lt;&gt;"."),d_dir!U13/((1/1000)*(d_Irr!T13+d_Irr!AS13+d_Irr!BR13)),IF(AND(d_Irr!T13&lt;&gt;".",d_Irr!AS13&lt;&gt;".",d_Irr!BR13="."),d_dir!U13/((1/1000)*(d_Irr!T13+d_Irr!AS13)),IF(AND(d_Irr!T13&lt;&gt;".",d_Irr!AS13=".",d_Irr!BR13&lt;&gt;"."),d_dir!U13/((1/1000)*(d_Irr!T13+d_Irr!BR13)),IF(AND(d_Irr!T13=".",d_Irr!AS13&lt;&gt;".",d_Irr!BR13&lt;&gt;"."),d_dir!U13/((1/1000)*(d_Irr!AS13+d_Irr!BR13)),IF(AND(d_Irr!T13=".",d_Irr!AS13=".",d_Irr!BR13&lt;&gt;"."),d_dir!U13/((1/1000)*(d_Irr!BR13)),IF(AND(d_Irr!T13=".",d_Irr!AS13&lt;&gt;".",d_Irr!BR13="."),d_dir!U13/((1/1000)*(d_Irr!AS13)),IF(AND(d_Irr!T13&lt;&gt;".",d_Irr!AS13=".",d_Irr!BR13="."),d_dir!U13/((1/1000)*(d_Irr!T13)),IF(AND(d_Irr!T13=".",d_Irr!AS13=".",d_Irr!BR13="."),d_dir!U13*1000)))))))),".")</f>
        <v>19.076355248204386</v>
      </c>
      <c r="V13" s="76">
        <f>IFERROR(IF(AND(d_Irr!U13&lt;&gt;".",d_Irr!AT13&lt;&gt;".",d_Irr!BS13&lt;&gt;"."),d_dir!V13/((1/1000)*(d_Irr!U13+d_Irr!AT13+d_Irr!BS13)),IF(AND(d_Irr!U13&lt;&gt;".",d_Irr!AT13&lt;&gt;".",d_Irr!BS13="."),d_dir!V13/((1/1000)*(d_Irr!U13+d_Irr!AT13)),IF(AND(d_Irr!U13&lt;&gt;".",d_Irr!AT13=".",d_Irr!BS13&lt;&gt;"."),d_dir!V13/((1/1000)*(d_Irr!U13+d_Irr!BS13)),IF(AND(d_Irr!U13=".",d_Irr!AT13&lt;&gt;".",d_Irr!BS13&lt;&gt;"."),d_dir!V13/((1/1000)*(d_Irr!AT13+d_Irr!BS13)),IF(AND(d_Irr!U13=".",d_Irr!AT13=".",d_Irr!BS13&lt;&gt;"."),d_dir!V13/((1/1000)*(d_Irr!BS13)),IF(AND(d_Irr!U13=".",d_Irr!AT13&lt;&gt;".",d_Irr!BS13="."),d_dir!V13/((1/1000)*(d_Irr!AT13)),IF(AND(d_Irr!U13&lt;&gt;".",d_Irr!AT13=".",d_Irr!BS13="."),d_dir!V13/((1/1000)*(d_Irr!U13)),IF(AND(d_Irr!U13=".",d_Irr!AT13=".",d_Irr!BS13="."),d_dir!V13*1000)))))))),".")</f>
        <v>3.1500585644650254</v>
      </c>
      <c r="W13" s="76">
        <f>IFERROR(IF(AND(d_Irr!V13&lt;&gt;".",d_Irr!AU13&lt;&gt;".",d_Irr!BT13&lt;&gt;"."),d_dir!W13/((1/1000)*(d_Irr!V13+d_Irr!AU13+d_Irr!BT13)),IF(AND(d_Irr!V13&lt;&gt;".",d_Irr!AU13&lt;&gt;".",d_Irr!BT13="."),d_dir!W13/((1/1000)*(d_Irr!V13+d_Irr!AU13)),IF(AND(d_Irr!V13&lt;&gt;".",d_Irr!AU13=".",d_Irr!BT13&lt;&gt;"."),d_dir!W13/((1/1000)*(d_Irr!V13+d_Irr!BT13)),IF(AND(d_Irr!V13=".",d_Irr!AU13&lt;&gt;".",d_Irr!BT13&lt;&gt;"."),d_dir!W13/((1/1000)*(d_Irr!AU13+d_Irr!BT13)),IF(AND(d_Irr!V13=".",d_Irr!AU13=".",d_Irr!BT13&lt;&gt;"."),d_dir!W13/((1/1000)*(d_Irr!BT13)),IF(AND(d_Irr!V13=".",d_Irr!AU13&lt;&gt;".",d_Irr!BT13="."),d_dir!W13/((1/1000)*(d_Irr!AU13)),IF(AND(d_Irr!V13&lt;&gt;".",d_Irr!AU13=".",d_Irr!BT13="."),d_dir!W13/((1/1000)*(d_Irr!V13)),IF(AND(d_Irr!V13=".",d_Irr!AU13=".",d_Irr!BT13="."),d_dir!W13*1000)))))))),".")</f>
        <v>5.7540820448719829</v>
      </c>
      <c r="X13" s="76">
        <f>IFERROR(IF(AND(d_Irr!W13&lt;&gt;".",d_Irr!AV13&lt;&gt;".",d_Irr!BU13&lt;&gt;"."),d_dir!X13/((1/1000)*(d_Irr!W13+d_Irr!AV13+d_Irr!BU13)),IF(AND(d_Irr!W13&lt;&gt;".",d_Irr!AV13&lt;&gt;".",d_Irr!BU13="."),d_dir!X13/((1/1000)*(d_Irr!W13+d_Irr!AV13)),IF(AND(d_Irr!W13&lt;&gt;".",d_Irr!AV13=".",d_Irr!BU13&lt;&gt;"."),d_dir!X13/((1/1000)*(d_Irr!W13+d_Irr!BU13)),IF(AND(d_Irr!W13=".",d_Irr!AV13&lt;&gt;".",d_Irr!BU13&lt;&gt;"."),d_dir!X13/((1/1000)*(d_Irr!AV13+d_Irr!BU13)),IF(AND(d_Irr!W13=".",d_Irr!AV13=".",d_Irr!BU13&lt;&gt;"."),d_dir!X13/((1/1000)*(d_Irr!BU13)),IF(AND(d_Irr!W13=".",d_Irr!AV13&lt;&gt;".",d_Irr!BU13="."),d_dir!X13/((1/1000)*(d_Irr!AV13)),IF(AND(d_Irr!W13&lt;&gt;".",d_Irr!AV13=".",d_Irr!BU13="."),d_dir!X13/((1/1000)*(d_Irr!W13)),IF(AND(d_Irr!W13=".",d_Irr!AV13=".",d_Irr!BU13="."),d_dir!X13*1000)))))))),".")</f>
        <v>6.2480394459326352</v>
      </c>
      <c r="Y13" s="76">
        <f>IFERROR(IF(AND(d_Irr!X13&lt;&gt;".",d_Irr!AW13&lt;&gt;".",d_Irr!BV13&lt;&gt;"."),d_dir!Y13/((1/1000)*(d_Irr!X13+d_Irr!AW13+d_Irr!BV13)),IF(AND(d_Irr!X13&lt;&gt;".",d_Irr!AW13&lt;&gt;".",d_Irr!BV13="."),d_dir!Y13/((1/1000)*(d_Irr!X13+d_Irr!AW13)),IF(AND(d_Irr!X13&lt;&gt;".",d_Irr!AW13=".",d_Irr!BV13&lt;&gt;"."),d_dir!Y13/((1/1000)*(d_Irr!X13+d_Irr!BV13)),IF(AND(d_Irr!X13=".",d_Irr!AW13&lt;&gt;".",d_Irr!BV13&lt;&gt;"."),d_dir!Y13/((1/1000)*(d_Irr!AW13+d_Irr!BV13)),IF(AND(d_Irr!X13=".",d_Irr!AW13=".",d_Irr!BV13&lt;&gt;"."),d_dir!Y13/((1/1000)*(d_Irr!BV13)),IF(AND(d_Irr!X13=".",d_Irr!AW13&lt;&gt;".",d_Irr!BV13="."),d_dir!Y13/((1/1000)*(d_Irr!AW13)),IF(AND(d_Irr!X13&lt;&gt;".",d_Irr!AW13=".",d_Irr!BV13="."),d_dir!Y13/((1/1000)*(d_Irr!X13)),IF(AND(d_Irr!X13=".",d_Irr!AW13=".",d_Irr!BV13="."),d_dir!Y13*1000)))))))),".")</f>
        <v>9.6511928205835691</v>
      </c>
      <c r="Z13" s="76">
        <f>IFERROR(IF(AND(d_Irr!Y13&lt;&gt;".",d_Irr!AX13&lt;&gt;".",d_Irr!BW13&lt;&gt;"."),d_dir!Z13/((1/1000)*(d_Irr!Y13+d_Irr!AX13+d_Irr!BW13)),IF(AND(d_Irr!Y13&lt;&gt;".",d_Irr!AX13&lt;&gt;".",d_Irr!BW13="."),d_dir!Z13/((1/1000)*(d_Irr!Y13+d_Irr!AX13)),IF(AND(d_Irr!Y13&lt;&gt;".",d_Irr!AX13=".",d_Irr!BW13&lt;&gt;"."),d_dir!Z13/((1/1000)*(d_Irr!Y13+d_Irr!BW13)),IF(AND(d_Irr!Y13=".",d_Irr!AX13&lt;&gt;".",d_Irr!BW13&lt;&gt;"."),d_dir!Z13/((1/1000)*(d_Irr!AX13+d_Irr!BW13)),IF(AND(d_Irr!Y13=".",d_Irr!AX13=".",d_Irr!BW13&lt;&gt;"."),d_dir!Z13/((1/1000)*(d_Irr!BW13)),IF(AND(d_Irr!Y13=".",d_Irr!AX13&lt;&gt;".",d_Irr!BW13="."),d_dir!Z13/((1/1000)*(d_Irr!AX13)),IF(AND(d_Irr!Y13&lt;&gt;".",d_Irr!AX13=".",d_Irr!BW13="."),d_dir!Z13/((1/1000)*(d_Irr!Y13)),IF(AND(d_Irr!Y13=".",d_Irr!AX13=".",d_Irr!BW13="."),d_dir!Z13*1000)))))))),".")</f>
        <v>4.3599976822937139</v>
      </c>
      <c r="AA13" s="76">
        <f>IFERROR(IF(AND(d_Irr!Z13&lt;&gt;".",d_Irr!AY13&lt;&gt;".",d_Irr!BX13&lt;&gt;"."),d_dir!AA13/((1/1000)*(d_Irr!Z13+d_Irr!AY13+d_Irr!BX13)),IF(AND(d_Irr!Z13&lt;&gt;".",d_Irr!AY13&lt;&gt;".",d_Irr!BX13="."),d_dir!AA13/((1/1000)*(d_Irr!Z13+d_Irr!AY13)),IF(AND(d_Irr!Z13&lt;&gt;".",d_Irr!AY13=".",d_Irr!BX13&lt;&gt;"."),d_dir!AA13/((1/1000)*(d_Irr!Z13+d_Irr!BX13)),IF(AND(d_Irr!Z13=".",d_Irr!AY13&lt;&gt;".",d_Irr!BX13&lt;&gt;"."),d_dir!AA13/((1/1000)*(d_Irr!AY13+d_Irr!BX13)),IF(AND(d_Irr!Z13=".",d_Irr!AY13=".",d_Irr!BX13&lt;&gt;"."),d_dir!AA13/((1/1000)*(d_Irr!BX13)),IF(AND(d_Irr!Z13=".",d_Irr!AY13&lt;&gt;".",d_Irr!BX13="."),d_dir!AA13/((1/1000)*(d_Irr!AY13)),IF(AND(d_Irr!Z13&lt;&gt;".",d_Irr!AY13=".",d_Irr!BX13="."),d_dir!AA13/((1/1000)*(d_Irr!Z13)),IF(AND(d_Irr!Z13=".",d_Irr!AY13=".",d_Irr!BX13="."),d_dir!AA13*1000)))))))),".")</f>
        <v>1.3764081443198213</v>
      </c>
      <c r="AB13" s="76">
        <f>IFERROR(IF(AND(d_Irr!AA13&lt;&gt;".",d_Irr!AZ13&lt;&gt;".",d_Irr!BY13&lt;&gt;"."),d_dir!AB13/((1/1000)*(d_Irr!AA13+d_Irr!AZ13+d_Irr!BY13)),IF(AND(d_Irr!AA13&lt;&gt;".",d_Irr!AZ13&lt;&gt;".",d_Irr!BY13="."),d_dir!AB13/((1/1000)*(d_Irr!AA13+d_Irr!AZ13)),IF(AND(d_Irr!AA13&lt;&gt;".",d_Irr!AZ13=".",d_Irr!BY13&lt;&gt;"."),d_dir!AB13/((1/1000)*(d_Irr!AA13+d_Irr!BY13)),IF(AND(d_Irr!AA13=".",d_Irr!AZ13&lt;&gt;".",d_Irr!BY13&lt;&gt;"."),d_dir!AB13/((1/1000)*(d_Irr!AZ13+d_Irr!BY13)),IF(AND(d_Irr!AA13=".",d_Irr!AZ13=".",d_Irr!BY13&lt;&gt;"."),d_dir!AB13/((1/1000)*(d_Irr!BY13)),IF(AND(d_Irr!AA13=".",d_Irr!AZ13&lt;&gt;".",d_Irr!BY13="."),d_dir!AB13/((1/1000)*(d_Irr!AZ13)),IF(AND(d_Irr!AA13&lt;&gt;".",d_Irr!AZ13=".",d_Irr!BY13="."),d_dir!AB13/((1/1000)*(d_Irr!AA13)),IF(AND(d_Irr!AA13=".",d_Irr!AZ13=".",d_Irr!BY13="."),d_dir!AB13*1000)))))))),".")</f>
        <v>1.6545741082242547</v>
      </c>
      <c r="AC13" s="76">
        <f t="shared" si="0"/>
        <v>0.15176675539748552</v>
      </c>
      <c r="AD13" s="76">
        <f>IFERROR(IF(AND(d_Irr!C13&lt;&gt;".",d_Irr!AB13&lt;&gt;".",d_Irr!BA13&lt;&gt;"."),d_dir!AD13/((1/1000)*(d_Irr!C13+d_Irr!AB13+d_Irr!BA13)),IF(AND(d_Irr!C13&lt;&gt;".",d_Irr!AB13&lt;&gt;".",d_Irr!BA13="."),d_dir!AD13/((1/1000)*(d_Irr!C13+d_Irr!AB13)),IF(AND(d_Irr!C13&lt;&gt;".",d_Irr!AB13=".",d_Irr!BA13&lt;&gt;"."),d_dir!AD13/((1/1000)*(d_Irr!C13+d_Irr!BA13)),IF(AND(d_Irr!C13=".",d_Irr!AB13&lt;&gt;".",d_Irr!BA13&lt;&gt;"."),d_dir!AD13/((1/1000)*(d_Irr!AB13+d_Irr!BA13)),IF(AND(d_Irr!C13=".",d_Irr!AB13=".",d_Irr!BA13&lt;&gt;"."),d_dir!AD13/((1/1000)*(d_Irr!BA13)),IF(AND(d_Irr!C13=".",d_Irr!AB13&lt;&gt;".",d_Irr!BA13="."),d_dir!AD13/((1/1000)*(d_Irr!AB13)),IF(AND(d_Irr!C13&lt;&gt;".",d_Irr!AB13=".",d_Irr!BA13="."),d_dir!AD13/((1/1000)*(d_Irr!C13)),IF(AND(d_Irr!C13=".",d_Irr!AB13=".",d_Irr!BA13="."),d_dir!AD13*1000)))))))),".")</f>
        <v>2.7880232149674926</v>
      </c>
      <c r="AE13" s="76">
        <f>IFERROR(IF(AND(d_Irr!D13&lt;&gt;".",d_Irr!AC13&lt;&gt;".",d_Irr!BB13&lt;&gt;"."),d_dir!AE13/((1/1000)*(d_Irr!D13+d_Irr!AC13+d_Irr!BB13)),IF(AND(d_Irr!D13&lt;&gt;".",d_Irr!AC13&lt;&gt;".",d_Irr!BB13="."),d_dir!AE13/((1/1000)*(d_Irr!D13+d_Irr!AC13)),IF(AND(d_Irr!D13&lt;&gt;".",d_Irr!AC13=".",d_Irr!BB13&lt;&gt;"."),d_dir!AE13/((1/1000)*(d_Irr!D13+d_Irr!BB13)),IF(AND(d_Irr!D13=".",d_Irr!AC13&lt;&gt;".",d_Irr!BB13&lt;&gt;"."),d_dir!AE13/((1/1000)*(d_Irr!AC13+d_Irr!BB13)),IF(AND(d_Irr!D13=".",d_Irr!AC13=".",d_Irr!BB13&lt;&gt;"."),d_dir!AE13/((1/1000)*(d_Irr!BB13)),IF(AND(d_Irr!D13=".",d_Irr!AC13&lt;&gt;".",d_Irr!BB13="."),d_dir!AE13/((1/1000)*(d_Irr!AC13)),IF(AND(d_Irr!D13&lt;&gt;".",d_Irr!AC13=".",d_Irr!BB13="."),d_dir!AE13/((1/1000)*(d_Irr!D13)),IF(AND(d_Irr!D13=".",d_Irr!AC13=".",d_Irr!BB13="."),d_dir!AE13*1000)))))))),".")</f>
        <v>5.2113769253267188</v>
      </c>
      <c r="AF13" s="76">
        <f>IFERROR(IF(AND(d_Irr!E13&lt;&gt;".",d_Irr!AD13&lt;&gt;".",d_Irr!BC13&lt;&gt;"."),d_dir!AF13/((1/1000)*(d_Irr!E13+d_Irr!AD13+d_Irr!BC13)),IF(AND(d_Irr!E13&lt;&gt;".",d_Irr!AD13&lt;&gt;".",d_Irr!BC13="."),d_dir!AF13/((1/1000)*(d_Irr!E13+d_Irr!AD13)),IF(AND(d_Irr!E13&lt;&gt;".",d_Irr!AD13=".",d_Irr!BC13&lt;&gt;"."),d_dir!AF13/((1/1000)*(d_Irr!E13+d_Irr!BC13)),IF(AND(d_Irr!E13=".",d_Irr!AD13&lt;&gt;".",d_Irr!BC13&lt;&gt;"."),d_dir!AF13/((1/1000)*(d_Irr!AD13+d_Irr!BC13)),IF(AND(d_Irr!E13=".",d_Irr!AD13=".",d_Irr!BC13&lt;&gt;"."),d_dir!AF13/((1/1000)*(d_Irr!BC13)),IF(AND(d_Irr!E13=".",d_Irr!AD13&lt;&gt;".",d_Irr!BC13="."),d_dir!AF13/((1/1000)*(d_Irr!AD13)),IF(AND(d_Irr!E13&lt;&gt;".",d_Irr!AD13=".",d_Irr!BC13="."),d_dir!AF13/((1/1000)*(d_Irr!E13)),IF(AND(d_Irr!E13=".",d_Irr!AD13=".",d_Irr!BC13="."),d_dir!AF13*1000)))))))),".")</f>
        <v>6.4491931815818884</v>
      </c>
      <c r="AG13" s="76">
        <f>IFERROR(IF(AND(d_Irr!F13&lt;&gt;".",d_Irr!AE13&lt;&gt;".",d_Irr!BD13&lt;&gt;"."),d_dir!AG13/((1/1000)*(d_Irr!F13+d_Irr!AE13+d_Irr!BD13)),IF(AND(d_Irr!F13&lt;&gt;".",d_Irr!AE13&lt;&gt;".",d_Irr!BD13="."),d_dir!AG13/((1/1000)*(d_Irr!F13+d_Irr!AE13)),IF(AND(d_Irr!F13&lt;&gt;".",d_Irr!AE13=".",d_Irr!BD13&lt;&gt;"."),d_dir!AG13/((1/1000)*(d_Irr!F13+d_Irr!BD13)),IF(AND(d_Irr!F13=".",d_Irr!AE13&lt;&gt;".",d_Irr!BD13&lt;&gt;"."),d_dir!AG13/((1/1000)*(d_Irr!AE13+d_Irr!BD13)),IF(AND(d_Irr!F13=".",d_Irr!AE13=".",d_Irr!BD13&lt;&gt;"."),d_dir!AG13/((1/1000)*(d_Irr!BD13)),IF(AND(d_Irr!F13=".",d_Irr!AE13&lt;&gt;".",d_Irr!BD13="."),d_dir!AG13/((1/1000)*(d_Irr!AE13)),IF(AND(d_Irr!F13&lt;&gt;".",d_Irr!AE13=".",d_Irr!BD13="."),d_dir!AG13/((1/1000)*(d_Irr!F13)),IF(AND(d_Irr!F13=".",d_Irr!AE13=".",d_Irr!BD13="."),d_dir!AG13*1000)))))))),".")</f>
        <v>7.0203378443078241</v>
      </c>
      <c r="AH13" s="76">
        <f>IFERROR(IF(AND(d_Irr!G13&lt;&gt;".",d_Irr!AF13&lt;&gt;".",d_Irr!BE13&lt;&gt;"."),d_dir!AH13/((1/1000)*(d_Irr!G13+d_Irr!AF13+d_Irr!BE13)),IF(AND(d_Irr!G13&lt;&gt;".",d_Irr!AF13&lt;&gt;".",d_Irr!BE13="."),d_dir!AH13/((1/1000)*(d_Irr!G13+d_Irr!AF13)),IF(AND(d_Irr!G13&lt;&gt;".",d_Irr!AF13=".",d_Irr!BE13&lt;&gt;"."),d_dir!AH13/((1/1000)*(d_Irr!G13+d_Irr!BE13)),IF(AND(d_Irr!G13=".",d_Irr!AF13&lt;&gt;".",d_Irr!BE13&lt;&gt;"."),d_dir!AH13/((1/1000)*(d_Irr!AF13+d_Irr!BE13)),IF(AND(d_Irr!G13=".",d_Irr!AF13=".",d_Irr!BE13&lt;&gt;"."),d_dir!AH13/((1/1000)*(d_Irr!BE13)),IF(AND(d_Irr!G13=".",d_Irr!AF13&lt;&gt;".",d_Irr!BE13="."),d_dir!AH13/((1/1000)*(d_Irr!AF13)),IF(AND(d_Irr!G13&lt;&gt;".",d_Irr!AF13=".",d_Irr!BE13="."),d_dir!AH13/((1/1000)*(d_Irr!G13)),IF(AND(d_Irr!G13=".",d_Irr!AF13=".",d_Irr!BE13="."),d_dir!AH13*1000)))))))),".")</f>
        <v>6.3902424094925943</v>
      </c>
      <c r="AI13" s="76">
        <f>IFERROR(IF(AND(d_Irr!H13&lt;&gt;".",d_Irr!AG13&lt;&gt;".",d_Irr!BF13&lt;&gt;"."),d_dir!AI13/((1/1000)*(d_Irr!H13+d_Irr!AG13+d_Irr!BF13)),IF(AND(d_Irr!H13&lt;&gt;".",d_Irr!AG13&lt;&gt;".",d_Irr!BF13="."),d_dir!AI13/((1/1000)*(d_Irr!H13+d_Irr!AG13)),IF(AND(d_Irr!H13&lt;&gt;".",d_Irr!AG13=".",d_Irr!BF13&lt;&gt;"."),d_dir!AI13/((1/1000)*(d_Irr!H13+d_Irr!BF13)),IF(AND(d_Irr!H13=".",d_Irr!AG13&lt;&gt;".",d_Irr!BF13&lt;&gt;"."),d_dir!AI13/((1/1000)*(d_Irr!AG13+d_Irr!BF13)),IF(AND(d_Irr!H13=".",d_Irr!AG13=".",d_Irr!BF13&lt;&gt;"."),d_dir!AI13/((1/1000)*(d_Irr!BF13)),IF(AND(d_Irr!H13=".",d_Irr!AG13&lt;&gt;".",d_Irr!BF13="."),d_dir!AI13/((1/1000)*(d_Irr!AG13)),IF(AND(d_Irr!H13&lt;&gt;".",d_Irr!AG13=".",d_Irr!BF13="."),d_dir!AI13/((1/1000)*(d_Irr!H13)),IF(AND(d_Irr!H13=".",d_Irr!AG13=".",d_Irr!BF13="."),d_dir!AI13*1000)))))))),".")</f>
        <v>2.6998109700449384</v>
      </c>
      <c r="AJ13" s="76">
        <f>IFERROR(IF(AND(d_Irr!I13&lt;&gt;".",d_Irr!AH13&lt;&gt;".",d_Irr!BG13&lt;&gt;"."),d_dir!AJ13/((1/1000)*(d_Irr!I13+d_Irr!AH13+d_Irr!BG13)),IF(AND(d_Irr!I13&lt;&gt;".",d_Irr!AH13&lt;&gt;".",d_Irr!BG13="."),d_dir!AJ13/((1/1000)*(d_Irr!I13+d_Irr!AH13)),IF(AND(d_Irr!I13&lt;&gt;".",d_Irr!AH13=".",d_Irr!BG13&lt;&gt;"."),d_dir!AJ13/((1/1000)*(d_Irr!I13+d_Irr!BG13)),IF(AND(d_Irr!I13=".",d_Irr!AH13&lt;&gt;".",d_Irr!BG13&lt;&gt;"."),d_dir!AJ13/((1/1000)*(d_Irr!AH13+d_Irr!BG13)),IF(AND(d_Irr!I13=".",d_Irr!AH13=".",d_Irr!BG13&lt;&gt;"."),d_dir!AJ13/((1/1000)*(d_Irr!BG13)),IF(AND(d_Irr!I13=".",d_Irr!AH13&lt;&gt;".",d_Irr!BG13="."),d_dir!AJ13/((1/1000)*(d_Irr!AH13)),IF(AND(d_Irr!I13&lt;&gt;".",d_Irr!AH13=".",d_Irr!BG13="."),d_dir!AJ13/((1/1000)*(d_Irr!I13)),IF(AND(d_Irr!I13=".",d_Irr!AH13=".",d_Irr!BG13="."),d_dir!AJ13*1000)))))))),".")</f>
        <v>8.5638826881017032</v>
      </c>
      <c r="AK13" s="76">
        <f>IFERROR(IF(AND(d_Irr!J13&lt;&gt;".",d_Irr!AI13&lt;&gt;".",d_Irr!BH13&lt;&gt;"."),d_dir!AK13/((1/1000)*(d_Irr!J13+d_Irr!AI13+d_Irr!BH13)),IF(AND(d_Irr!J13&lt;&gt;".",d_Irr!AI13&lt;&gt;".",d_Irr!BH13="."),d_dir!AK13/((1/1000)*(d_Irr!J13+d_Irr!AI13)),IF(AND(d_Irr!J13&lt;&gt;".",d_Irr!AI13=".",d_Irr!BH13&lt;&gt;"."),d_dir!AK13/((1/1000)*(d_Irr!J13+d_Irr!BH13)),IF(AND(d_Irr!J13=".",d_Irr!AI13&lt;&gt;".",d_Irr!BH13&lt;&gt;"."),d_dir!AK13/((1/1000)*(d_Irr!AI13+d_Irr!BH13)),IF(AND(d_Irr!J13=".",d_Irr!AI13=".",d_Irr!BH13&lt;&gt;"."),d_dir!AK13/((1/1000)*(d_Irr!BH13)),IF(AND(d_Irr!J13=".",d_Irr!AI13&lt;&gt;".",d_Irr!BH13="."),d_dir!AK13/((1/1000)*(d_Irr!AI13)),IF(AND(d_Irr!J13&lt;&gt;".",d_Irr!AI13=".",d_Irr!BH13="."),d_dir!AK13/((1/1000)*(d_Irr!J13)),IF(AND(d_Irr!J13=".",d_Irr!AI13=".",d_Irr!BH13="."),d_dir!AK13*1000)))))))),".")</f>
        <v>0.80828015868077274</v>
      </c>
      <c r="AL13" s="76">
        <f>IFERROR(IF(AND(d_Irr!K13&lt;&gt;".",d_Irr!AJ13&lt;&gt;".",d_Irr!BI13&lt;&gt;"."),d_dir!AL13/((1/1000)*(d_Irr!K13+d_Irr!AJ13+d_Irr!BI13)),IF(AND(d_Irr!K13&lt;&gt;".",d_Irr!AJ13&lt;&gt;".",d_Irr!BI13="."),d_dir!AL13/((1/1000)*(d_Irr!K13+d_Irr!AJ13)),IF(AND(d_Irr!K13&lt;&gt;".",d_Irr!AJ13=".",d_Irr!BI13&lt;&gt;"."),d_dir!AL13/((1/1000)*(d_Irr!K13+d_Irr!BI13)),IF(AND(d_Irr!K13=".",d_Irr!AJ13&lt;&gt;".",d_Irr!BI13&lt;&gt;"."),d_dir!AL13/((1/1000)*(d_Irr!AJ13+d_Irr!BI13)),IF(AND(d_Irr!K13=".",d_Irr!AJ13=".",d_Irr!BI13&lt;&gt;"."),d_dir!AL13/((1/1000)*(d_Irr!BI13)),IF(AND(d_Irr!K13=".",d_Irr!AJ13&lt;&gt;".",d_Irr!BI13="."),d_dir!AL13/((1/1000)*(d_Irr!AJ13)),IF(AND(d_Irr!K13&lt;&gt;".",d_Irr!AJ13=".",d_Irr!BI13="."),d_dir!AL13/((1/1000)*(d_Irr!K13)),IF(AND(d_Irr!K13=".",d_Irr!AJ13=".",d_Irr!BI13="."),d_dir!AL13*1000)))))))),".")</f>
        <v>3.0279548211201939</v>
      </c>
      <c r="AM13" s="76">
        <f>IFERROR(IF(AND(d_Irr!L13&lt;&gt;".",d_Irr!AK13&lt;&gt;".",d_Irr!BJ13&lt;&gt;"."),d_dir!AM13/((1/1000)*(d_Irr!L13+d_Irr!AK13+d_Irr!BJ13)),IF(AND(d_Irr!L13&lt;&gt;".",d_Irr!AK13&lt;&gt;".",d_Irr!BJ13="."),d_dir!AM13/((1/1000)*(d_Irr!L13+d_Irr!AK13)),IF(AND(d_Irr!L13&lt;&gt;".",d_Irr!AK13=".",d_Irr!BJ13&lt;&gt;"."),d_dir!AM13/((1/1000)*(d_Irr!L13+d_Irr!BJ13)),IF(AND(d_Irr!L13=".",d_Irr!AK13&lt;&gt;".",d_Irr!BJ13&lt;&gt;"."),d_dir!AM13/((1/1000)*(d_Irr!AK13+d_Irr!BJ13)),IF(AND(d_Irr!L13=".",d_Irr!AK13=".",d_Irr!BJ13&lt;&gt;"."),d_dir!AM13/((1/1000)*(d_Irr!BJ13)),IF(AND(d_Irr!L13=".",d_Irr!AK13&lt;&gt;".",d_Irr!BJ13="."),d_dir!AM13/((1/1000)*(d_Irr!AK13)),IF(AND(d_Irr!L13&lt;&gt;".",d_Irr!AK13=".",d_Irr!BJ13="."),d_dir!AM13/((1/1000)*(d_Irr!L13)),IF(AND(d_Irr!L13=".",d_Irr!AK13=".",d_Irr!BJ13="."),d_dir!AM13*1000)))))))),".")</f>
        <v>4.0932651272561023</v>
      </c>
      <c r="AN13" s="76">
        <f>IFERROR(IF(AND(d_Irr!M13&lt;&gt;".",d_Irr!AL13&lt;&gt;".",d_Irr!BK13&lt;&gt;"."),d_dir!AN13/((1/1000)*(d_Irr!M13+d_Irr!AL13+d_Irr!BK13)),IF(AND(d_Irr!M13&lt;&gt;".",d_Irr!AL13&lt;&gt;".",d_Irr!BK13="."),d_dir!AN13/((1/1000)*(d_Irr!M13+d_Irr!AL13)),IF(AND(d_Irr!M13&lt;&gt;".",d_Irr!AL13=".",d_Irr!BK13&lt;&gt;"."),d_dir!AN13/((1/1000)*(d_Irr!M13+d_Irr!BK13)),IF(AND(d_Irr!M13=".",d_Irr!AL13&lt;&gt;".",d_Irr!BK13&lt;&gt;"."),d_dir!AN13/((1/1000)*(d_Irr!AL13+d_Irr!BK13)),IF(AND(d_Irr!M13=".",d_Irr!AL13=".",d_Irr!BK13&lt;&gt;"."),d_dir!AN13/((1/1000)*(d_Irr!BK13)),IF(AND(d_Irr!M13=".",d_Irr!AL13&lt;&gt;".",d_Irr!BK13="."),d_dir!AN13/((1/1000)*(d_Irr!AL13)),IF(AND(d_Irr!M13&lt;&gt;".",d_Irr!AL13=".",d_Irr!BK13="."),d_dir!AN13/((1/1000)*(d_Irr!M13)),IF(AND(d_Irr!M13=".",d_Irr!AL13=".",d_Irr!BK13="."),d_dir!AN13*1000)))))))),".")</f>
        <v>5.3402782670744608</v>
      </c>
      <c r="AO13" s="76">
        <f>IFERROR(IF(AND(d_Irr!N13&lt;&gt;".",d_Irr!AM13&lt;&gt;".",d_Irr!BL13&lt;&gt;"."),d_dir!AO13/((1/1000)*(d_Irr!N13+d_Irr!AM13+d_Irr!BL13)),IF(AND(d_Irr!N13&lt;&gt;".",d_Irr!AM13&lt;&gt;".",d_Irr!BL13="."),d_dir!AO13/((1/1000)*(d_Irr!N13+d_Irr!AM13)),IF(AND(d_Irr!N13&lt;&gt;".",d_Irr!AM13=".",d_Irr!BL13&lt;&gt;"."),d_dir!AO13/((1/1000)*(d_Irr!N13+d_Irr!BL13)),IF(AND(d_Irr!N13=".",d_Irr!AM13&lt;&gt;".",d_Irr!BL13&lt;&gt;"."),d_dir!AO13/((1/1000)*(d_Irr!AM13+d_Irr!BL13)),IF(AND(d_Irr!N13=".",d_Irr!AM13=".",d_Irr!BL13&lt;&gt;"."),d_dir!AO13/((1/1000)*(d_Irr!BL13)),IF(AND(d_Irr!N13=".",d_Irr!AM13&lt;&gt;".",d_Irr!BL13="."),d_dir!AO13/((1/1000)*(d_Irr!AM13)),IF(AND(d_Irr!N13&lt;&gt;".",d_Irr!AM13=".",d_Irr!BL13="."),d_dir!AO13/((1/1000)*(d_Irr!N13)),IF(AND(d_Irr!N13=".",d_Irr!AM13=".",d_Irr!BL13="."),d_dir!AO13*1000)))))))),".")</f>
        <v>6.1170900472441332</v>
      </c>
      <c r="AP13" s="76">
        <f>IFERROR(IF(AND(d_Irr!O13&lt;&gt;".",d_Irr!AN13&lt;&gt;".",d_Irr!BM13&lt;&gt;"."),d_dir!AP13/((1/1000)*(d_Irr!O13+d_Irr!AN13+d_Irr!BM13)),IF(AND(d_Irr!O13&lt;&gt;".",d_Irr!AN13&lt;&gt;".",d_Irr!BM13="."),d_dir!AP13/((1/1000)*(d_Irr!O13+d_Irr!AN13)),IF(AND(d_Irr!O13&lt;&gt;".",d_Irr!AN13=".",d_Irr!BM13&lt;&gt;"."),d_dir!AP13/((1/1000)*(d_Irr!O13+d_Irr!BM13)),IF(AND(d_Irr!O13=".",d_Irr!AN13&lt;&gt;".",d_Irr!BM13&lt;&gt;"."),d_dir!AP13/((1/1000)*(d_Irr!AN13+d_Irr!BM13)),IF(AND(d_Irr!O13=".",d_Irr!AN13=".",d_Irr!BM13&lt;&gt;"."),d_dir!AP13/((1/1000)*(d_Irr!BM13)),IF(AND(d_Irr!O13=".",d_Irr!AN13&lt;&gt;".",d_Irr!BM13="."),d_dir!AP13/((1/1000)*(d_Irr!AN13)),IF(AND(d_Irr!O13&lt;&gt;".",d_Irr!AN13=".",d_Irr!BM13="."),d_dir!AP13/((1/1000)*(d_Irr!O13)),IF(AND(d_Irr!O13=".",d_Irr!AN13=".",d_Irr!BM13="."),d_dir!AP13*1000)))))))),".")</f>
        <v>7.3744304700428103</v>
      </c>
      <c r="AQ13" s="76">
        <f>IFERROR(IF(AND(d_Irr!P13&lt;&gt;".",d_Irr!AO13&lt;&gt;".",d_Irr!BN13&lt;&gt;"."),d_dir!AQ13/((1/1000)*(d_Irr!P13+d_Irr!AO13+d_Irr!BN13)),IF(AND(d_Irr!P13&lt;&gt;".",d_Irr!AO13&lt;&gt;".",d_Irr!BN13="."),d_dir!AQ13/((1/1000)*(d_Irr!P13+d_Irr!AO13)),IF(AND(d_Irr!P13&lt;&gt;".",d_Irr!AO13=".",d_Irr!BN13&lt;&gt;"."),d_dir!AQ13/((1/1000)*(d_Irr!P13+d_Irr!BN13)),IF(AND(d_Irr!P13=".",d_Irr!AO13&lt;&gt;".",d_Irr!BN13&lt;&gt;"."),d_dir!AQ13/((1/1000)*(d_Irr!AO13+d_Irr!BN13)),IF(AND(d_Irr!P13=".",d_Irr!AO13=".",d_Irr!BN13&lt;&gt;"."),d_dir!AQ13/((1/1000)*(d_Irr!BN13)),IF(AND(d_Irr!P13=".",d_Irr!AO13&lt;&gt;".",d_Irr!BN13="."),d_dir!AQ13/((1/1000)*(d_Irr!AO13)),IF(AND(d_Irr!P13&lt;&gt;".",d_Irr!AO13=".",d_Irr!BN13="."),d_dir!AQ13/((1/1000)*(d_Irr!P13)),IF(AND(d_Irr!P13=".",d_Irr!AO13=".",d_Irr!BN13="."),d_dir!AQ13*1000)))))))),".")</f>
        <v>7.9919012097554107</v>
      </c>
      <c r="AR13" s="76">
        <f>IFERROR(IF(AND(d_Irr!Q13&lt;&gt;".",d_Irr!AP13&lt;&gt;".",d_Irr!BO13&lt;&gt;"."),d_dir!AR13/((1/1000)*(d_Irr!Q13+d_Irr!AP13+d_Irr!BO13)),IF(AND(d_Irr!Q13&lt;&gt;".",d_Irr!AP13&lt;&gt;".",d_Irr!BO13="."),d_dir!AR13/((1/1000)*(d_Irr!Q13+d_Irr!AP13)),IF(AND(d_Irr!Q13&lt;&gt;".",d_Irr!AP13=".",d_Irr!BO13&lt;&gt;"."),d_dir!AR13/((1/1000)*(d_Irr!Q13+d_Irr!BO13)),IF(AND(d_Irr!Q13=".",d_Irr!AP13&lt;&gt;".",d_Irr!BO13&lt;&gt;"."),d_dir!AR13/((1/1000)*(d_Irr!AP13+d_Irr!BO13)),IF(AND(d_Irr!Q13=".",d_Irr!AP13=".",d_Irr!BO13&lt;&gt;"."),d_dir!AR13/((1/1000)*(d_Irr!BO13)),IF(AND(d_Irr!Q13=".",d_Irr!AP13&lt;&gt;".",d_Irr!BO13="."),d_dir!AR13/((1/1000)*(d_Irr!AP13)),IF(AND(d_Irr!Q13&lt;&gt;".",d_Irr!AP13=".",d_Irr!BO13="."),d_dir!AR13/((1/1000)*(d_Irr!Q13)),IF(AND(d_Irr!Q13=".",d_Irr!AP13=".",d_Irr!BO13="."),d_dir!AR13*1000)))))))),".")</f>
        <v>2.3012666046067438</v>
      </c>
      <c r="AS13" s="76">
        <f>IFERROR(IF(AND(d_Irr!R13&lt;&gt;".",d_Irr!AQ13&lt;&gt;".",d_Irr!BP13&lt;&gt;"."),d_dir!AS13/((1/1000)*(d_Irr!R13+d_Irr!AQ13+d_Irr!BP13)),IF(AND(d_Irr!R13&lt;&gt;".",d_Irr!AQ13&lt;&gt;".",d_Irr!BP13="."),d_dir!AS13/((1/1000)*(d_Irr!R13+d_Irr!AQ13)),IF(AND(d_Irr!R13&lt;&gt;".",d_Irr!AQ13=".",d_Irr!BP13&lt;&gt;"."),d_dir!AS13/((1/1000)*(d_Irr!R13+d_Irr!BP13)),IF(AND(d_Irr!R13=".",d_Irr!AQ13&lt;&gt;".",d_Irr!BP13&lt;&gt;"."),d_dir!AS13/((1/1000)*(d_Irr!AQ13+d_Irr!BP13)),IF(AND(d_Irr!R13=".",d_Irr!AQ13=".",d_Irr!BP13&lt;&gt;"."),d_dir!AS13/((1/1000)*(d_Irr!BP13)),IF(AND(d_Irr!R13=".",d_Irr!AQ13&lt;&gt;".",d_Irr!BP13="."),d_dir!AS13/((1/1000)*(d_Irr!AQ13)),IF(AND(d_Irr!R13&lt;&gt;".",d_Irr!AQ13=".",d_Irr!BP13="."),d_dir!AS13/((1/1000)*(d_Irr!R13)),IF(AND(d_Irr!R13=".",d_Irr!AQ13=".",d_Irr!BP13="."),d_dir!AS13*1000)))))))),".")</f>
        <v>3.7525273429429444</v>
      </c>
      <c r="AT13" s="76">
        <f>IFERROR(IF(AND(d_Irr!S13&lt;&gt;".",d_Irr!AR13&lt;&gt;".",d_Irr!BQ13&lt;&gt;"."),d_dir!AT13/((1/1000)*(d_Irr!S13+d_Irr!AR13+d_Irr!BQ13)),IF(AND(d_Irr!S13&lt;&gt;".",d_Irr!AR13&lt;&gt;".",d_Irr!BQ13="."),d_dir!AT13/((1/1000)*(d_Irr!S13+d_Irr!AR13)),IF(AND(d_Irr!S13&lt;&gt;".",d_Irr!AR13=".",d_Irr!BQ13&lt;&gt;"."),d_dir!AT13/((1/1000)*(d_Irr!S13+d_Irr!BQ13)),IF(AND(d_Irr!S13=".",d_Irr!AR13&lt;&gt;".",d_Irr!BQ13&lt;&gt;"."),d_dir!AT13/((1/1000)*(d_Irr!AR13+d_Irr!BQ13)),IF(AND(d_Irr!S13=".",d_Irr!AR13=".",d_Irr!BQ13&lt;&gt;"."),d_dir!AT13/((1/1000)*(d_Irr!BQ13)),IF(AND(d_Irr!S13=".",d_Irr!AR13&lt;&gt;".",d_Irr!BQ13="."),d_dir!AT13/((1/1000)*(d_Irr!AR13)),IF(AND(d_Irr!S13&lt;&gt;".",d_Irr!AR13=".",d_Irr!BQ13="."),d_dir!AT13/((1/1000)*(d_Irr!S13)),IF(AND(d_Irr!S13=".",d_Irr!AR13=".",d_Irr!BQ13="."),d_dir!AT13*1000)))))))),".")</f>
        <v>6.7672284079643914</v>
      </c>
      <c r="AU13" s="76">
        <f>IFERROR(IF(AND(d_Irr!T13&lt;&gt;".",d_Irr!AS13&lt;&gt;".",d_Irr!BR13&lt;&gt;"."),d_dir!AU13/((1/1000)*(d_Irr!T13+d_Irr!AS13+d_Irr!BR13)),IF(AND(d_Irr!T13&lt;&gt;".",d_Irr!AS13&lt;&gt;".",d_Irr!BR13="."),d_dir!AU13/((1/1000)*(d_Irr!T13+d_Irr!AS13)),IF(AND(d_Irr!T13&lt;&gt;".",d_Irr!AS13=".",d_Irr!BR13&lt;&gt;"."),d_dir!AU13/((1/1000)*(d_Irr!T13+d_Irr!BR13)),IF(AND(d_Irr!T13=".",d_Irr!AS13&lt;&gt;".",d_Irr!BR13&lt;&gt;"."),d_dir!AU13/((1/1000)*(d_Irr!AS13+d_Irr!BR13)),IF(AND(d_Irr!T13=".",d_Irr!AS13=".",d_Irr!BR13&lt;&gt;"."),d_dir!AU13/((1/1000)*(d_Irr!BR13)),IF(AND(d_Irr!T13=".",d_Irr!AS13&lt;&gt;".",d_Irr!BR13="."),d_dir!AU13/((1/1000)*(d_Irr!AS13)),IF(AND(d_Irr!T13&lt;&gt;".",d_Irr!AS13=".",d_Irr!BR13="."),d_dir!AU13/((1/1000)*(d_Irr!T13)),IF(AND(d_Irr!T13=".",d_Irr!AS13=".",d_Irr!BR13="."),d_dir!AU13*1000)))))))),".")</f>
        <v>9.2910976436412014</v>
      </c>
      <c r="AV13" s="76">
        <f>IFERROR(IF(AND(d_Irr!U13&lt;&gt;".",d_Irr!AT13&lt;&gt;".",d_Irr!BS13&lt;&gt;"."),d_dir!AV13/((1/1000)*(d_Irr!U13+d_Irr!AT13+d_Irr!BS13)),IF(AND(d_Irr!U13&lt;&gt;".",d_Irr!AT13&lt;&gt;".",d_Irr!BS13="."),d_dir!AV13/((1/1000)*(d_Irr!U13+d_Irr!AT13)),IF(AND(d_Irr!U13&lt;&gt;".",d_Irr!AT13=".",d_Irr!BS13&lt;&gt;"."),d_dir!AV13/((1/1000)*(d_Irr!U13+d_Irr!BS13)),IF(AND(d_Irr!U13=".",d_Irr!AT13&lt;&gt;".",d_Irr!BS13&lt;&gt;"."),d_dir!AV13/((1/1000)*(d_Irr!AT13+d_Irr!BS13)),IF(AND(d_Irr!U13=".",d_Irr!AT13=".",d_Irr!BS13&lt;&gt;"."),d_dir!AV13/((1/1000)*(d_Irr!BS13)),IF(AND(d_Irr!U13=".",d_Irr!AT13&lt;&gt;".",d_Irr!BS13="."),d_dir!AV13/((1/1000)*(d_Irr!AT13)),IF(AND(d_Irr!U13&lt;&gt;".",d_Irr!AT13=".",d_Irr!BS13="."),d_dir!AV13/((1/1000)*(d_Irr!U13)),IF(AND(d_Irr!U13=".",d_Irr!AT13=".",d_Irr!BS13="."),d_dir!AV13*1000)))))))),".")</f>
        <v>1.7418678073385343</v>
      </c>
      <c r="AW13" s="76">
        <f>IFERROR(IF(AND(d_Irr!V13&lt;&gt;".",d_Irr!AU13&lt;&gt;".",d_Irr!BT13&lt;&gt;"."),d_dir!AW13/((1/1000)*(d_Irr!V13+d_Irr!AU13+d_Irr!BT13)),IF(AND(d_Irr!V13&lt;&gt;".",d_Irr!AU13&lt;&gt;".",d_Irr!BT13="."),d_dir!AW13/((1/1000)*(d_Irr!V13+d_Irr!AU13)),IF(AND(d_Irr!V13&lt;&gt;".",d_Irr!AU13=".",d_Irr!BT13&lt;&gt;"."),d_dir!AW13/((1/1000)*(d_Irr!V13+d_Irr!BT13)),IF(AND(d_Irr!V13=".",d_Irr!AU13&lt;&gt;".",d_Irr!BT13&lt;&gt;"."),d_dir!AW13/((1/1000)*(d_Irr!AU13+d_Irr!BT13)),IF(AND(d_Irr!V13=".",d_Irr!AU13=".",d_Irr!BT13&lt;&gt;"."),d_dir!AW13/((1/1000)*(d_Irr!BT13)),IF(AND(d_Irr!V13=".",d_Irr!AU13&lt;&gt;".",d_Irr!BT13="."),d_dir!AW13/((1/1000)*(d_Irr!AU13)),IF(AND(d_Irr!V13&lt;&gt;".",d_Irr!AU13=".",d_Irr!BT13="."),d_dir!AW13/((1/1000)*(d_Irr!V13)),IF(AND(d_Irr!V13=".",d_Irr!AU13=".",d_Irr!BT13="."),d_dir!AW13*1000)))))))),".")</f>
        <v>3.5165792288929816</v>
      </c>
      <c r="AX13" s="76">
        <f>IFERROR(IF(AND(d_Irr!W13&lt;&gt;".",d_Irr!AV13&lt;&gt;".",d_Irr!BU13&lt;&gt;"."),d_dir!AX13/((1/1000)*(d_Irr!W13+d_Irr!AV13+d_Irr!BU13)),IF(AND(d_Irr!W13&lt;&gt;".",d_Irr!AV13&lt;&gt;".",d_Irr!BU13="."),d_dir!AX13/((1/1000)*(d_Irr!W13+d_Irr!AV13)),IF(AND(d_Irr!W13&lt;&gt;".",d_Irr!AV13=".",d_Irr!BU13&lt;&gt;"."),d_dir!AX13/((1/1000)*(d_Irr!W13+d_Irr!BU13)),IF(AND(d_Irr!W13=".",d_Irr!AV13&lt;&gt;".",d_Irr!BU13&lt;&gt;"."),d_dir!AX13/((1/1000)*(d_Irr!AV13+d_Irr!BU13)),IF(AND(d_Irr!W13=".",d_Irr!AV13=".",d_Irr!BU13&lt;&gt;"."),d_dir!AX13/((1/1000)*(d_Irr!BU13)),IF(AND(d_Irr!W13=".",d_Irr!AV13&lt;&gt;".",d_Irr!BU13="."),d_dir!AX13/((1/1000)*(d_Irr!AV13)),IF(AND(d_Irr!W13&lt;&gt;".",d_Irr!AV13=".",d_Irr!BU13="."),d_dir!AX13/((1/1000)*(d_Irr!W13)),IF(AND(d_Irr!W13=".",d_Irr!AV13=".",d_Irr!BU13="."),d_dir!AX13*1000)))))))),".")</f>
        <v>3.8434759736040269</v>
      </c>
      <c r="AY13" s="76">
        <f>IFERROR(IF(AND(d_Irr!X13&lt;&gt;".",d_Irr!AW13&lt;&gt;".",d_Irr!BV13&lt;&gt;"."),d_dir!AY13/((1/1000)*(d_Irr!X13+d_Irr!AW13+d_Irr!BV13)),IF(AND(d_Irr!X13&lt;&gt;".",d_Irr!AW13&lt;&gt;".",d_Irr!BV13="."),d_dir!AY13/((1/1000)*(d_Irr!X13+d_Irr!AW13)),IF(AND(d_Irr!X13&lt;&gt;".",d_Irr!AW13=".",d_Irr!BV13&lt;&gt;"."),d_dir!AY13/((1/1000)*(d_Irr!X13+d_Irr!BV13)),IF(AND(d_Irr!X13=".",d_Irr!AW13&lt;&gt;".",d_Irr!BV13&lt;&gt;"."),d_dir!AY13/((1/1000)*(d_Irr!AW13+d_Irr!BV13)),IF(AND(d_Irr!X13=".",d_Irr!AW13=".",d_Irr!BV13&lt;&gt;"."),d_dir!AY13/((1/1000)*(d_Irr!BV13)),IF(AND(d_Irr!X13=".",d_Irr!AW13&lt;&gt;".",d_Irr!BV13="."),d_dir!AY13/((1/1000)*(d_Irr!AW13)),IF(AND(d_Irr!X13&lt;&gt;".",d_Irr!AW13=".",d_Irr!BV13="."),d_dir!AY13/((1/1000)*(d_Irr!X13)),IF(AND(d_Irr!X13=".",d_Irr!AW13=".",d_Irr!BV13="."),d_dir!AY13*1000)))))))),".")</f>
        <v>6.1014723603663432</v>
      </c>
      <c r="AZ13" s="76">
        <f>IFERROR(IF(AND(d_Irr!Y13&lt;&gt;".",d_Irr!AX13&lt;&gt;".",d_Irr!BW13&lt;&gt;"."),d_dir!AZ13/((1/1000)*(d_Irr!Y13+d_Irr!AX13+d_Irr!BW13)),IF(AND(d_Irr!Y13&lt;&gt;".",d_Irr!AX13&lt;&gt;".",d_Irr!BW13="."),d_dir!AZ13/((1/1000)*(d_Irr!Y13+d_Irr!AX13)),IF(AND(d_Irr!Y13&lt;&gt;".",d_Irr!AX13=".",d_Irr!BW13&lt;&gt;"."),d_dir!AZ13/((1/1000)*(d_Irr!Y13+d_Irr!BW13)),IF(AND(d_Irr!Y13=".",d_Irr!AX13&lt;&gt;".",d_Irr!BW13&lt;&gt;"."),d_dir!AZ13/((1/1000)*(d_Irr!AX13+d_Irr!BW13)),IF(AND(d_Irr!Y13=".",d_Irr!AX13=".",d_Irr!BW13&lt;&gt;"."),d_dir!AZ13/((1/1000)*(d_Irr!BW13)),IF(AND(d_Irr!Y13=".",d_Irr!AX13&lt;&gt;".",d_Irr!BW13="."),d_dir!AZ13/((1/1000)*(d_Irr!AX13)),IF(AND(d_Irr!Y13&lt;&gt;".",d_Irr!AX13=".",d_Irr!BW13="."),d_dir!AZ13/((1/1000)*(d_Irr!Y13)),IF(AND(d_Irr!Y13=".",d_Irr!AX13=".",d_Irr!BW13="."),d_dir!AZ13*1000)))))))),".")</f>
        <v>2.2980620974167842</v>
      </c>
      <c r="BA13" s="76">
        <f>IFERROR(IF(AND(d_Irr!Z13&lt;&gt;".",d_Irr!AY13&lt;&gt;".",d_Irr!BX13&lt;&gt;"."),d_dir!BA13/((1/1000)*(d_Irr!Z13+d_Irr!AY13+d_Irr!BX13)),IF(AND(d_Irr!Z13&lt;&gt;".",d_Irr!AY13&lt;&gt;".",d_Irr!BX13="."),d_dir!BA13/((1/1000)*(d_Irr!Z13+d_Irr!AY13)),IF(AND(d_Irr!Z13&lt;&gt;".",d_Irr!AY13=".",d_Irr!BX13&lt;&gt;"."),d_dir!BA13/((1/1000)*(d_Irr!Z13+d_Irr!BX13)),IF(AND(d_Irr!Z13=".",d_Irr!AY13&lt;&gt;".",d_Irr!BX13&lt;&gt;"."),d_dir!BA13/((1/1000)*(d_Irr!AY13+d_Irr!BX13)),IF(AND(d_Irr!Z13=".",d_Irr!AY13=".",d_Irr!BX13&lt;&gt;"."),d_dir!BA13/((1/1000)*(d_Irr!BX13)),IF(AND(d_Irr!Z13=".",d_Irr!AY13&lt;&gt;".",d_Irr!BX13="."),d_dir!BA13/((1/1000)*(d_Irr!AY13)),IF(AND(d_Irr!Z13&lt;&gt;".",d_Irr!AY13=".",d_Irr!BX13="."),d_dir!BA13/((1/1000)*(d_Irr!Z13)),IF(AND(d_Irr!Z13=".",d_Irr!AY13=".",d_Irr!BX13="."),d_dir!BA13*1000)))))))),".")</f>
        <v>0.80587760081376825</v>
      </c>
      <c r="BB13" s="76">
        <f>IFERROR(IF(AND(d_Irr!AA13&lt;&gt;".",d_Irr!AZ13&lt;&gt;".",d_Irr!BY13&lt;&gt;"."),d_dir!BB13/((1/1000)*(d_Irr!AA13+d_Irr!AZ13+d_Irr!BY13)),IF(AND(d_Irr!AA13&lt;&gt;".",d_Irr!AZ13&lt;&gt;".",d_Irr!BY13="."),d_dir!BB13/((1/1000)*(d_Irr!AA13+d_Irr!AZ13)),IF(AND(d_Irr!AA13&lt;&gt;".",d_Irr!AZ13=".",d_Irr!BY13&lt;&gt;"."),d_dir!BB13/((1/1000)*(d_Irr!AA13+d_Irr!BY13)),IF(AND(d_Irr!AA13=".",d_Irr!AZ13&lt;&gt;".",d_Irr!BY13&lt;&gt;"."),d_dir!BB13/((1/1000)*(d_Irr!AZ13+d_Irr!BY13)),IF(AND(d_Irr!AA13=".",d_Irr!AZ13=".",d_Irr!BY13&lt;&gt;"."),d_dir!BB13/((1/1000)*(d_Irr!BY13)),IF(AND(d_Irr!AA13=".",d_Irr!AZ13&lt;&gt;".",d_Irr!BY13="."),d_dir!BB13/((1/1000)*(d_Irr!AZ13)),IF(AND(d_Irr!AA13&lt;&gt;".",d_Irr!AZ13=".",d_Irr!BY13="."),d_dir!BB13/((1/1000)*(d_Irr!AA13)),IF(AND(d_Irr!AA13=".",d_Irr!AZ13=".",d_Irr!BY13="."),d_dir!BB13*1000)))))))),".")</f>
        <v>0.85696902231881122</v>
      </c>
    </row>
    <row r="14" spans="1:54" ht="15" customHeight="1" x14ac:dyDescent="0.25">
      <c r="A14" s="92" t="s">
        <v>24</v>
      </c>
      <c r="B14" s="90" t="s">
        <v>1071</v>
      </c>
      <c r="C14" s="2">
        <f t="shared" si="1"/>
        <v>2.2883423610927007</v>
      </c>
      <c r="D14" s="76">
        <f>IFERROR(IF(AND(d_Irr!C14&lt;&gt;".",d_Irr!AB14&lt;&gt;".",d_Irr!BA14&lt;&gt;"."),d_dir!D14/((1/1000)*(d_Irr!C14+d_Irr!AB14+d_Irr!BA14)),IF(AND(d_Irr!C14&lt;&gt;".",d_Irr!AB14&lt;&gt;".",d_Irr!BA14="."),d_dir!D14/((1/1000)*(d_Irr!C14+d_Irr!AB14)),IF(AND(d_Irr!C14&lt;&gt;".",d_Irr!AB14=".",d_Irr!BA14&lt;&gt;"."),d_dir!D14/((1/1000)*(d_Irr!C14+d_Irr!BA14)),IF(AND(d_Irr!C14=".",d_Irr!AB14&lt;&gt;".",d_Irr!BA14&lt;&gt;"."),d_dir!D14/((1/1000)*(d_Irr!AB14+d_Irr!BA14)),IF(AND(d_Irr!C14=".",d_Irr!AB14=".",d_Irr!BA14&lt;&gt;"."),d_dir!D14/((1/1000)*(d_Irr!BA14)),IF(AND(d_Irr!C14=".",d_Irr!AB14&lt;&gt;".",d_Irr!BA14="."),d_dir!D14/((1/1000)*(d_Irr!AB14)),IF(AND(d_Irr!C14&lt;&gt;".",d_Irr!AB14=".",d_Irr!BA14="."),d_dir!D14/((1/1000)*(d_Irr!C14)),IF(AND(d_Irr!C14=".",d_Irr!AB14=".",d_Irr!BA14="."),d_dir!D14*1000)))))))),".")</f>
        <v>41.707436966444789</v>
      </c>
      <c r="E14" s="76">
        <f>IFERROR(IF(AND(d_Irr!D14&lt;&gt;".",d_Irr!AC14&lt;&gt;".",d_Irr!BB14&lt;&gt;"."),d_dir!E14/((1/1000)*(d_Irr!D14+d_Irr!AC14+d_Irr!BB14)),IF(AND(d_Irr!D14&lt;&gt;".",d_Irr!AC14&lt;&gt;".",d_Irr!BB14="."),d_dir!E14/((1/1000)*(d_Irr!D14+d_Irr!AC14)),IF(AND(d_Irr!D14&lt;&gt;".",d_Irr!AC14=".",d_Irr!BB14&lt;&gt;"."),d_dir!E14/((1/1000)*(d_Irr!D14+d_Irr!BB14)),IF(AND(d_Irr!D14=".",d_Irr!AC14&lt;&gt;".",d_Irr!BB14&lt;&gt;"."),d_dir!E14/((1/1000)*(d_Irr!AC14+d_Irr!BB14)),IF(AND(d_Irr!D14=".",d_Irr!AC14=".",d_Irr!BB14&lt;&gt;"."),d_dir!E14/((1/1000)*(d_Irr!BB14)),IF(AND(d_Irr!D14=".",d_Irr!AC14&lt;&gt;".",d_Irr!BB14="."),d_dir!E14/((1/1000)*(d_Irr!AC14)),IF(AND(d_Irr!D14&lt;&gt;".",d_Irr!AC14=".",d_Irr!BB14="."),d_dir!E14/((1/1000)*(d_Irr!D14)),IF(AND(d_Irr!D14=".",d_Irr!AC14=".",d_Irr!BB14="."),d_dir!E14*1000)))))))),".")</f>
        <v>91.274135025781305</v>
      </c>
      <c r="F14" s="76">
        <f>IFERROR(IF(AND(d_Irr!E14&lt;&gt;".",d_Irr!AD14&lt;&gt;".",d_Irr!BC14&lt;&gt;"."),d_dir!F14/((1/1000)*(d_Irr!E14+d_Irr!AD14+d_Irr!BC14)),IF(AND(d_Irr!E14&lt;&gt;".",d_Irr!AD14&lt;&gt;".",d_Irr!BC14="."),d_dir!F14/((1/1000)*(d_Irr!E14+d_Irr!AD14)),IF(AND(d_Irr!E14&lt;&gt;".",d_Irr!AD14=".",d_Irr!BC14&lt;&gt;"."),d_dir!F14/((1/1000)*(d_Irr!E14+d_Irr!BC14)),IF(AND(d_Irr!E14=".",d_Irr!AD14&lt;&gt;".",d_Irr!BC14&lt;&gt;"."),d_dir!F14/((1/1000)*(d_Irr!AD14+d_Irr!BC14)),IF(AND(d_Irr!E14=".",d_Irr!AD14=".",d_Irr!BC14&lt;&gt;"."),d_dir!F14/((1/1000)*(d_Irr!BC14)),IF(AND(d_Irr!E14=".",d_Irr!AD14&lt;&gt;".",d_Irr!BC14="."),d_dir!F14/((1/1000)*(d_Irr!AD14)),IF(AND(d_Irr!E14&lt;&gt;".",d_Irr!AD14=".",d_Irr!BC14="."),d_dir!F14/((1/1000)*(d_Irr!E14)),IF(AND(d_Irr!E14=".",d_Irr!AD14=".",d_Irr!BC14="."),d_dir!F14*1000)))))))),".")</f>
        <v>110.0508944446775</v>
      </c>
      <c r="G14" s="76">
        <f>IFERROR(IF(AND(d_Irr!F14&lt;&gt;".",d_Irr!AE14&lt;&gt;".",d_Irr!BD14&lt;&gt;"."),d_dir!G14/((1/1000)*(d_Irr!F14+d_Irr!AE14+d_Irr!BD14)),IF(AND(d_Irr!F14&lt;&gt;".",d_Irr!AE14&lt;&gt;".",d_Irr!BD14="."),d_dir!G14/((1/1000)*(d_Irr!F14+d_Irr!AE14)),IF(AND(d_Irr!F14&lt;&gt;".",d_Irr!AE14=".",d_Irr!BD14&lt;&gt;"."),d_dir!G14/((1/1000)*(d_Irr!F14+d_Irr!BD14)),IF(AND(d_Irr!F14=".",d_Irr!AE14&lt;&gt;".",d_Irr!BD14&lt;&gt;"."),d_dir!G14/((1/1000)*(d_Irr!AE14+d_Irr!BD14)),IF(AND(d_Irr!F14=".",d_Irr!AE14=".",d_Irr!BD14&lt;&gt;"."),d_dir!G14/((1/1000)*(d_Irr!BD14)),IF(AND(d_Irr!F14=".",d_Irr!AE14&lt;&gt;".",d_Irr!BD14="."),d_dir!G14/((1/1000)*(d_Irr!AE14)),IF(AND(d_Irr!F14&lt;&gt;".",d_Irr!AE14=".",d_Irr!BD14="."),d_dir!G14/((1/1000)*(d_Irr!F14)),IF(AND(d_Irr!F14=".",d_Irr!AE14=".",d_Irr!BD14="."),d_dir!G14*1000)))))))),".")</f>
        <v>93.802330907658586</v>
      </c>
      <c r="H14" s="76">
        <f>IFERROR(IF(AND(d_Irr!G14&lt;&gt;".",d_Irr!AF14&lt;&gt;".",d_Irr!BE14&lt;&gt;"."),d_dir!H14/((1/1000)*(d_Irr!G14+d_Irr!AF14+d_Irr!BE14)),IF(AND(d_Irr!G14&lt;&gt;".",d_Irr!AF14&lt;&gt;".",d_Irr!BE14="."),d_dir!H14/((1/1000)*(d_Irr!G14+d_Irr!AF14)),IF(AND(d_Irr!G14&lt;&gt;".",d_Irr!AF14=".",d_Irr!BE14&lt;&gt;"."),d_dir!H14/((1/1000)*(d_Irr!G14+d_Irr!BE14)),IF(AND(d_Irr!G14=".",d_Irr!AF14&lt;&gt;".",d_Irr!BE14&lt;&gt;"."),d_dir!H14/((1/1000)*(d_Irr!AF14+d_Irr!BE14)),IF(AND(d_Irr!G14=".",d_Irr!AF14=".",d_Irr!BE14&lt;&gt;"."),d_dir!H14/((1/1000)*(d_Irr!BE14)),IF(AND(d_Irr!G14=".",d_Irr!AF14&lt;&gt;".",d_Irr!BE14="."),d_dir!H14/((1/1000)*(d_Irr!AF14)),IF(AND(d_Irr!G14&lt;&gt;".",d_Irr!AF14=".",d_Irr!BE14="."),d_dir!H14/((1/1000)*(d_Irr!G14)),IF(AND(d_Irr!G14=".",d_Irr!AF14=".",d_Irr!BE14="."),d_dir!H14*1000)))))))),".")</f>
        <v>114.71486487909942</v>
      </c>
      <c r="I14" s="76">
        <f>IFERROR(IF(AND(d_Irr!H14&lt;&gt;".",d_Irr!AG14&lt;&gt;".",d_Irr!BF14&lt;&gt;"."),d_dir!I14/((1/1000)*(d_Irr!H14+d_Irr!AG14+d_Irr!BF14)),IF(AND(d_Irr!H14&lt;&gt;".",d_Irr!AG14&lt;&gt;".",d_Irr!BF14="."),d_dir!I14/((1/1000)*(d_Irr!H14+d_Irr!AG14)),IF(AND(d_Irr!H14&lt;&gt;".",d_Irr!AG14=".",d_Irr!BF14&lt;&gt;"."),d_dir!I14/((1/1000)*(d_Irr!H14+d_Irr!BF14)),IF(AND(d_Irr!H14=".",d_Irr!AG14&lt;&gt;".",d_Irr!BF14&lt;&gt;"."),d_dir!I14/((1/1000)*(d_Irr!AG14+d_Irr!BF14)),IF(AND(d_Irr!H14=".",d_Irr!AG14=".",d_Irr!BF14&lt;&gt;"."),d_dir!I14/((1/1000)*(d_Irr!BF14)),IF(AND(d_Irr!H14=".",d_Irr!AG14&lt;&gt;".",d_Irr!BF14="."),d_dir!I14/((1/1000)*(d_Irr!AG14)),IF(AND(d_Irr!H14&lt;&gt;".",d_Irr!AG14=".",d_Irr!BF14="."),d_dir!I14/((1/1000)*(d_Irr!H14)),IF(AND(d_Irr!H14=".",d_Irr!AG14=".",d_Irr!BF14="."),d_dir!I14*1000)))))))),".")</f>
        <v>44.957312476654081</v>
      </c>
      <c r="J14" s="76">
        <f>IFERROR(IF(AND(d_Irr!I14&lt;&gt;".",d_Irr!AH14&lt;&gt;".",d_Irr!BG14&lt;&gt;"."),d_dir!J14/((1/1000)*(d_Irr!I14+d_Irr!AH14+d_Irr!BG14)),IF(AND(d_Irr!I14&lt;&gt;".",d_Irr!AH14&lt;&gt;".",d_Irr!BG14="."),d_dir!J14/((1/1000)*(d_Irr!I14+d_Irr!AH14)),IF(AND(d_Irr!I14&lt;&gt;".",d_Irr!AH14=".",d_Irr!BG14&lt;&gt;"."),d_dir!J14/((1/1000)*(d_Irr!I14+d_Irr!BG14)),IF(AND(d_Irr!I14=".",d_Irr!AH14&lt;&gt;".",d_Irr!BG14&lt;&gt;"."),d_dir!J14/((1/1000)*(d_Irr!AH14+d_Irr!BG14)),IF(AND(d_Irr!I14=".",d_Irr!AH14=".",d_Irr!BG14&lt;&gt;"."),d_dir!J14/((1/1000)*(d_Irr!BG14)),IF(AND(d_Irr!I14=".",d_Irr!AH14&lt;&gt;".",d_Irr!BG14="."),d_dir!J14/((1/1000)*(d_Irr!AH14)),IF(AND(d_Irr!I14&lt;&gt;".",d_Irr!AH14=".",d_Irr!BG14="."),d_dir!J14/((1/1000)*(d_Irr!I14)),IF(AND(d_Irr!I14=".",d_Irr!AH14=".",d_Irr!BG14="."),d_dir!J14*1000)))))))),".")</f>
        <v>126.71862764536534</v>
      </c>
      <c r="K14" s="76">
        <f>IFERROR(IF(AND(d_Irr!J14&lt;&gt;".",d_Irr!AI14&lt;&gt;".",d_Irr!BH14&lt;&gt;"."),d_dir!K14/((1/1000)*(d_Irr!J14+d_Irr!AI14+d_Irr!BH14)),IF(AND(d_Irr!J14&lt;&gt;".",d_Irr!AI14&lt;&gt;".",d_Irr!BH14="."),d_dir!K14/((1/1000)*(d_Irr!J14+d_Irr!AI14)),IF(AND(d_Irr!J14&lt;&gt;".",d_Irr!AI14=".",d_Irr!BH14&lt;&gt;"."),d_dir!K14/((1/1000)*(d_Irr!J14+d_Irr!BH14)),IF(AND(d_Irr!J14=".",d_Irr!AI14&lt;&gt;".",d_Irr!BH14&lt;&gt;"."),d_dir!K14/((1/1000)*(d_Irr!AI14+d_Irr!BH14)),IF(AND(d_Irr!J14=".",d_Irr!AI14=".",d_Irr!BH14&lt;&gt;"."),d_dir!K14/((1/1000)*(d_Irr!BH14)),IF(AND(d_Irr!J14=".",d_Irr!AI14&lt;&gt;".",d_Irr!BH14="."),d_dir!K14/((1/1000)*(d_Irr!AI14)),IF(AND(d_Irr!J14&lt;&gt;".",d_Irr!AI14=".",d_Irr!BH14="."),d_dir!K14/((1/1000)*(d_Irr!J14)),IF(AND(d_Irr!J14=".",d_Irr!AI14=".",d_Irr!BH14="."),d_dir!K14*1000)))))))),".")</f>
        <v>10.815006431816572</v>
      </c>
      <c r="L14" s="76">
        <f>IFERROR(IF(AND(d_Irr!K14&lt;&gt;".",d_Irr!AJ14&lt;&gt;".",d_Irr!BI14&lt;&gt;"."),d_dir!L14/((1/1000)*(d_Irr!K14+d_Irr!AJ14+d_Irr!BI14)),IF(AND(d_Irr!K14&lt;&gt;".",d_Irr!AJ14&lt;&gt;".",d_Irr!BI14="."),d_dir!L14/((1/1000)*(d_Irr!K14+d_Irr!AJ14)),IF(AND(d_Irr!K14&lt;&gt;".",d_Irr!AJ14=".",d_Irr!BI14&lt;&gt;"."),d_dir!L14/((1/1000)*(d_Irr!K14+d_Irr!BI14)),IF(AND(d_Irr!K14=".",d_Irr!AJ14&lt;&gt;".",d_Irr!BI14&lt;&gt;"."),d_dir!L14/((1/1000)*(d_Irr!AJ14+d_Irr!BI14)),IF(AND(d_Irr!K14=".",d_Irr!AJ14=".",d_Irr!BI14&lt;&gt;"."),d_dir!L14/((1/1000)*(d_Irr!BI14)),IF(AND(d_Irr!K14=".",d_Irr!AJ14&lt;&gt;".",d_Irr!BI14="."),d_dir!L14/((1/1000)*(d_Irr!AJ14)),IF(AND(d_Irr!K14&lt;&gt;".",d_Irr!AJ14=".",d_Irr!BI14="."),d_dir!L14/((1/1000)*(d_Irr!K14)),IF(AND(d_Irr!K14=".",d_Irr!AJ14=".",d_Irr!BI14="."),d_dir!L14*1000)))))))),".")</f>
        <v>59.314971413268836</v>
      </c>
      <c r="M14" s="76">
        <f>IFERROR(IF(AND(d_Irr!L14&lt;&gt;".",d_Irr!AK14&lt;&gt;".",d_Irr!BJ14&lt;&gt;"."),d_dir!M14/((1/1000)*(d_Irr!L14+d_Irr!AK14+d_Irr!BJ14)),IF(AND(d_Irr!L14&lt;&gt;".",d_Irr!AK14&lt;&gt;".",d_Irr!BJ14="."),d_dir!M14/((1/1000)*(d_Irr!L14+d_Irr!AK14)),IF(AND(d_Irr!L14&lt;&gt;".",d_Irr!AK14=".",d_Irr!BJ14&lt;&gt;"."),d_dir!M14/((1/1000)*(d_Irr!L14+d_Irr!BJ14)),IF(AND(d_Irr!L14=".",d_Irr!AK14&lt;&gt;".",d_Irr!BJ14&lt;&gt;"."),d_dir!M14/((1/1000)*(d_Irr!AK14+d_Irr!BJ14)),IF(AND(d_Irr!L14=".",d_Irr!AK14=".",d_Irr!BJ14&lt;&gt;"."),d_dir!M14/((1/1000)*(d_Irr!BJ14)),IF(AND(d_Irr!L14=".",d_Irr!AK14&lt;&gt;".",d_Irr!BJ14="."),d_dir!M14/((1/1000)*(d_Irr!AK14)),IF(AND(d_Irr!L14&lt;&gt;".",d_Irr!AK14=".",d_Irr!BJ14="."),d_dir!M14/((1/1000)*(d_Irr!L14)),IF(AND(d_Irr!L14=".",d_Irr!AK14=".",d_Irr!BJ14="."),d_dir!M14*1000)))))))),".")</f>
        <v>44.476633915326289</v>
      </c>
      <c r="N14" s="76">
        <f>IFERROR(IF(AND(d_Irr!M14&lt;&gt;".",d_Irr!AL14&lt;&gt;".",d_Irr!BK14&lt;&gt;"."),d_dir!N14/((1/1000)*(d_Irr!M14+d_Irr!AL14+d_Irr!BK14)),IF(AND(d_Irr!M14&lt;&gt;".",d_Irr!AL14&lt;&gt;".",d_Irr!BK14="."),d_dir!N14/((1/1000)*(d_Irr!M14+d_Irr!AL14)),IF(AND(d_Irr!M14&lt;&gt;".",d_Irr!AL14=".",d_Irr!BK14&lt;&gt;"."),d_dir!N14/((1/1000)*(d_Irr!M14+d_Irr!BK14)),IF(AND(d_Irr!M14=".",d_Irr!AL14&lt;&gt;".",d_Irr!BK14&lt;&gt;"."),d_dir!N14/((1/1000)*(d_Irr!AL14+d_Irr!BK14)),IF(AND(d_Irr!M14=".",d_Irr!AL14=".",d_Irr!BK14&lt;&gt;"."),d_dir!N14/((1/1000)*(d_Irr!BK14)),IF(AND(d_Irr!M14=".",d_Irr!AL14&lt;&gt;".",d_Irr!BK14="."),d_dir!N14/((1/1000)*(d_Irr!AL14)),IF(AND(d_Irr!M14&lt;&gt;".",d_Irr!AL14=".",d_Irr!BK14="."),d_dir!N14/((1/1000)*(d_Irr!M14)),IF(AND(d_Irr!M14=".",d_Irr!AL14=".",d_Irr!BK14="."),d_dir!N14*1000)))))))),".")</f>
        <v>94.361898233631067</v>
      </c>
      <c r="O14" s="76">
        <f>IFERROR(IF(AND(d_Irr!N14&lt;&gt;".",d_Irr!AM14&lt;&gt;".",d_Irr!BL14&lt;&gt;"."),d_dir!O14/((1/1000)*(d_Irr!N14+d_Irr!AM14+d_Irr!BL14)),IF(AND(d_Irr!N14&lt;&gt;".",d_Irr!AM14&lt;&gt;".",d_Irr!BL14="."),d_dir!O14/((1/1000)*(d_Irr!N14+d_Irr!AM14)),IF(AND(d_Irr!N14&lt;&gt;".",d_Irr!AM14=".",d_Irr!BL14&lt;&gt;"."),d_dir!O14/((1/1000)*(d_Irr!N14+d_Irr!BL14)),IF(AND(d_Irr!N14=".",d_Irr!AM14&lt;&gt;".",d_Irr!BL14&lt;&gt;"."),d_dir!O14/((1/1000)*(d_Irr!AM14+d_Irr!BL14)),IF(AND(d_Irr!N14=".",d_Irr!AM14=".",d_Irr!BL14&lt;&gt;"."),d_dir!O14/((1/1000)*(d_Irr!BL14)),IF(AND(d_Irr!N14=".",d_Irr!AM14&lt;&gt;".",d_Irr!BL14="."),d_dir!O14/((1/1000)*(d_Irr!AM14)),IF(AND(d_Irr!N14&lt;&gt;".",d_Irr!AM14=".",d_Irr!BL14="."),d_dir!O14/((1/1000)*(d_Irr!N14)),IF(AND(d_Irr!N14=".",d_Irr!AM14=".",d_Irr!BL14="."),d_dir!O14*1000)))))))),".")</f>
        <v>95.2283013912798</v>
      </c>
      <c r="P14" s="76">
        <f>IFERROR(IF(AND(d_Irr!O14&lt;&gt;".",d_Irr!AN14&lt;&gt;".",d_Irr!BM14&lt;&gt;"."),d_dir!P14/((1/1000)*(d_Irr!O14+d_Irr!AN14+d_Irr!BM14)),IF(AND(d_Irr!O14&lt;&gt;".",d_Irr!AN14&lt;&gt;".",d_Irr!BM14="."),d_dir!P14/((1/1000)*(d_Irr!O14+d_Irr!AN14)),IF(AND(d_Irr!O14&lt;&gt;".",d_Irr!AN14=".",d_Irr!BM14&lt;&gt;"."),d_dir!P14/((1/1000)*(d_Irr!O14+d_Irr!BM14)),IF(AND(d_Irr!O14=".",d_Irr!AN14&lt;&gt;".",d_Irr!BM14&lt;&gt;"."),d_dir!P14/((1/1000)*(d_Irr!AN14+d_Irr!BM14)),IF(AND(d_Irr!O14=".",d_Irr!AN14=".",d_Irr!BM14&lt;&gt;"."),d_dir!P14/((1/1000)*(d_Irr!BM14)),IF(AND(d_Irr!O14=".",d_Irr!AN14&lt;&gt;".",d_Irr!BM14="."),d_dir!P14/((1/1000)*(d_Irr!AN14)),IF(AND(d_Irr!O14&lt;&gt;".",d_Irr!AN14=".",d_Irr!BM14="."),d_dir!P14/((1/1000)*(d_Irr!O14)),IF(AND(d_Irr!O14=".",d_Irr!AN14=".",d_Irr!BM14="."),d_dir!P14*1000)))))))),".")</f>
        <v>119.9851258344642</v>
      </c>
      <c r="Q14" s="76">
        <f>IFERROR(IF(AND(d_Irr!P14&lt;&gt;".",d_Irr!AO14&lt;&gt;".",d_Irr!BN14&lt;&gt;"."),d_dir!Q14/((1/1000)*(d_Irr!P14+d_Irr!AO14+d_Irr!BN14)),IF(AND(d_Irr!P14&lt;&gt;".",d_Irr!AO14&lt;&gt;".",d_Irr!BN14="."),d_dir!Q14/((1/1000)*(d_Irr!P14+d_Irr!AO14)),IF(AND(d_Irr!P14&lt;&gt;".",d_Irr!AO14=".",d_Irr!BN14&lt;&gt;"."),d_dir!Q14/((1/1000)*(d_Irr!P14+d_Irr!BN14)),IF(AND(d_Irr!P14=".",d_Irr!AO14&lt;&gt;".",d_Irr!BN14&lt;&gt;"."),d_dir!Q14/((1/1000)*(d_Irr!AO14+d_Irr!BN14)),IF(AND(d_Irr!P14=".",d_Irr!AO14=".",d_Irr!BN14&lt;&gt;"."),d_dir!Q14/((1/1000)*(d_Irr!BN14)),IF(AND(d_Irr!P14=".",d_Irr!AO14&lt;&gt;".",d_Irr!BN14="."),d_dir!Q14/((1/1000)*(d_Irr!AO14)),IF(AND(d_Irr!P14&lt;&gt;".",d_Irr!AO14=".",d_Irr!BN14="."),d_dir!Q14/((1/1000)*(d_Irr!P14)),IF(AND(d_Irr!P14=".",d_Irr!AO14=".",d_Irr!BN14="."),d_dir!Q14*1000)))))))),".")</f>
        <v>171.26346538232659</v>
      </c>
      <c r="R14" s="76">
        <f>IFERROR(IF(AND(d_Irr!Q14&lt;&gt;".",d_Irr!AP14&lt;&gt;".",d_Irr!BO14&lt;&gt;"."),d_dir!R14/((1/1000)*(d_Irr!Q14+d_Irr!AP14+d_Irr!BO14)),IF(AND(d_Irr!Q14&lt;&gt;".",d_Irr!AP14&lt;&gt;".",d_Irr!BO14="."),d_dir!R14/((1/1000)*(d_Irr!Q14+d_Irr!AP14)),IF(AND(d_Irr!Q14&lt;&gt;".",d_Irr!AP14=".",d_Irr!BO14&lt;&gt;"."),d_dir!R14/((1/1000)*(d_Irr!Q14+d_Irr!BO14)),IF(AND(d_Irr!Q14=".",d_Irr!AP14&lt;&gt;".",d_Irr!BO14&lt;&gt;"."),d_dir!R14/((1/1000)*(d_Irr!AP14+d_Irr!BO14)),IF(AND(d_Irr!Q14=".",d_Irr!AP14=".",d_Irr!BO14&lt;&gt;"."),d_dir!R14/((1/1000)*(d_Irr!BO14)),IF(AND(d_Irr!Q14=".",d_Irr!AP14&lt;&gt;".",d_Irr!BO14="."),d_dir!R14/((1/1000)*(d_Irr!AP14)),IF(AND(d_Irr!Q14&lt;&gt;".",d_Irr!AP14=".",d_Irr!BO14="."),d_dir!R14/((1/1000)*(d_Irr!Q14)),IF(AND(d_Irr!Q14=".",d_Irr!AP14=".",d_Irr!BO14="."),d_dir!R14*1000)))))))),".")</f>
        <v>26.777465140570389</v>
      </c>
      <c r="S14" s="76">
        <f>IFERROR(IF(AND(d_Irr!R14&lt;&gt;".",d_Irr!AQ14&lt;&gt;".",d_Irr!BP14&lt;&gt;"."),d_dir!S14/((1/1000)*(d_Irr!R14+d_Irr!AQ14+d_Irr!BP14)),IF(AND(d_Irr!R14&lt;&gt;".",d_Irr!AQ14&lt;&gt;".",d_Irr!BP14="."),d_dir!S14/((1/1000)*(d_Irr!R14+d_Irr!AQ14)),IF(AND(d_Irr!R14&lt;&gt;".",d_Irr!AQ14=".",d_Irr!BP14&lt;&gt;"."),d_dir!S14/((1/1000)*(d_Irr!R14+d_Irr!BP14)),IF(AND(d_Irr!R14=".",d_Irr!AQ14&lt;&gt;".",d_Irr!BP14&lt;&gt;"."),d_dir!S14/((1/1000)*(d_Irr!AQ14+d_Irr!BP14)),IF(AND(d_Irr!R14=".",d_Irr!AQ14=".",d_Irr!BP14&lt;&gt;"."),d_dir!S14/((1/1000)*(d_Irr!BP14)),IF(AND(d_Irr!R14=".",d_Irr!AQ14&lt;&gt;".",d_Irr!BP14="."),d_dir!S14/((1/1000)*(d_Irr!AQ14)),IF(AND(d_Irr!R14&lt;&gt;".",d_Irr!AQ14=".",d_Irr!BP14="."),d_dir!S14/((1/1000)*(d_Irr!R14)),IF(AND(d_Irr!R14=".",d_Irr!AQ14=".",d_Irr!BP14="."),d_dir!S14*1000)))))))),".")</f>
        <v>54.622328994726786</v>
      </c>
      <c r="T14" s="76">
        <f>IFERROR(IF(AND(d_Irr!S14&lt;&gt;".",d_Irr!AR14&lt;&gt;".",d_Irr!BQ14&lt;&gt;"."),d_dir!T14/((1/1000)*(d_Irr!S14+d_Irr!AR14+d_Irr!BQ14)),IF(AND(d_Irr!S14&lt;&gt;".",d_Irr!AR14&lt;&gt;".",d_Irr!BQ14="."),d_dir!T14/((1/1000)*(d_Irr!S14+d_Irr!AR14)),IF(AND(d_Irr!S14&lt;&gt;".",d_Irr!AR14=".",d_Irr!BQ14&lt;&gt;"."),d_dir!T14/((1/1000)*(d_Irr!S14+d_Irr!BQ14)),IF(AND(d_Irr!S14=".",d_Irr!AR14&lt;&gt;".",d_Irr!BQ14&lt;&gt;"."),d_dir!T14/((1/1000)*(d_Irr!AR14+d_Irr!BQ14)),IF(AND(d_Irr!S14=".",d_Irr!AR14=".",d_Irr!BQ14&lt;&gt;"."),d_dir!T14/((1/1000)*(d_Irr!BQ14)),IF(AND(d_Irr!S14=".",d_Irr!AR14&lt;&gt;".",d_Irr!BQ14="."),d_dir!T14/((1/1000)*(d_Irr!AR14)),IF(AND(d_Irr!S14&lt;&gt;".",d_Irr!AR14=".",d_Irr!BQ14="."),d_dir!T14/((1/1000)*(d_Irr!S14)),IF(AND(d_Irr!S14=".",d_Irr!AR14=".",d_Irr!BQ14="."),d_dir!T14*1000)))))))),".")</f>
        <v>95.318825249619636</v>
      </c>
      <c r="U14" s="76">
        <f>IFERROR(IF(AND(d_Irr!T14&lt;&gt;".",d_Irr!AS14&lt;&gt;".",d_Irr!BR14&lt;&gt;"."),d_dir!U14/((1/1000)*(d_Irr!T14+d_Irr!AS14+d_Irr!BR14)),IF(AND(d_Irr!T14&lt;&gt;".",d_Irr!AS14&lt;&gt;".",d_Irr!BR14="."),d_dir!U14/((1/1000)*(d_Irr!T14+d_Irr!AS14)),IF(AND(d_Irr!T14&lt;&gt;".",d_Irr!AS14=".",d_Irr!BR14&lt;&gt;"."),d_dir!U14/((1/1000)*(d_Irr!T14+d_Irr!BR14)),IF(AND(d_Irr!T14=".",d_Irr!AS14&lt;&gt;".",d_Irr!BR14&lt;&gt;"."),d_dir!U14/((1/1000)*(d_Irr!AS14+d_Irr!BR14)),IF(AND(d_Irr!T14=".",d_Irr!AS14=".",d_Irr!BR14&lt;&gt;"."),d_dir!U14/((1/1000)*(d_Irr!BR14)),IF(AND(d_Irr!T14=".",d_Irr!AS14&lt;&gt;".",d_Irr!BR14="."),d_dir!U14/((1/1000)*(d_Irr!AS14)),IF(AND(d_Irr!T14&lt;&gt;".",d_Irr!AS14=".",d_Irr!BR14="."),d_dir!U14/((1/1000)*(d_Irr!T14)),IF(AND(d_Irr!T14=".",d_Irr!AS14=".",d_Irr!BR14="."),d_dir!U14*1000)))))))),".")</f>
        <v>187.40579144194345</v>
      </c>
      <c r="V14" s="76">
        <f>IFERROR(IF(AND(d_Irr!U14&lt;&gt;".",d_Irr!AT14&lt;&gt;".",d_Irr!BS14&lt;&gt;"."),d_dir!V14/((1/1000)*(d_Irr!U14+d_Irr!AT14+d_Irr!BS14)),IF(AND(d_Irr!U14&lt;&gt;".",d_Irr!AT14&lt;&gt;".",d_Irr!BS14="."),d_dir!V14/((1/1000)*(d_Irr!U14+d_Irr!AT14)),IF(AND(d_Irr!U14&lt;&gt;".",d_Irr!AT14=".",d_Irr!BS14&lt;&gt;"."),d_dir!V14/((1/1000)*(d_Irr!U14+d_Irr!BS14)),IF(AND(d_Irr!U14=".",d_Irr!AT14&lt;&gt;".",d_Irr!BS14&lt;&gt;"."),d_dir!V14/((1/1000)*(d_Irr!AT14+d_Irr!BS14)),IF(AND(d_Irr!U14=".",d_Irr!AT14=".",d_Irr!BS14&lt;&gt;"."),d_dir!V14/((1/1000)*(d_Irr!BS14)),IF(AND(d_Irr!U14=".",d_Irr!AT14&lt;&gt;".",d_Irr!BS14="."),d_dir!V14/((1/1000)*(d_Irr!AT14)),IF(AND(d_Irr!U14&lt;&gt;".",d_Irr!AT14=".",d_Irr!BS14="."),d_dir!V14/((1/1000)*(d_Irr!U14)),IF(AND(d_Irr!U14=".",d_Irr!AT14=".",d_Irr!BS14="."),d_dir!V14*1000)))))))),".")</f>
        <v>28.039184178496029</v>
      </c>
      <c r="W14" s="76">
        <f>IFERROR(IF(AND(d_Irr!V14&lt;&gt;".",d_Irr!AU14&lt;&gt;".",d_Irr!BT14&lt;&gt;"."),d_dir!W14/((1/1000)*(d_Irr!V14+d_Irr!AU14+d_Irr!BT14)),IF(AND(d_Irr!V14&lt;&gt;".",d_Irr!AU14&lt;&gt;".",d_Irr!BT14="."),d_dir!W14/((1/1000)*(d_Irr!V14+d_Irr!AU14)),IF(AND(d_Irr!V14&lt;&gt;".",d_Irr!AU14=".",d_Irr!BT14&lt;&gt;"."),d_dir!W14/((1/1000)*(d_Irr!V14+d_Irr!BT14)),IF(AND(d_Irr!V14=".",d_Irr!AU14&lt;&gt;".",d_Irr!BT14&lt;&gt;"."),d_dir!W14/((1/1000)*(d_Irr!AU14+d_Irr!BT14)),IF(AND(d_Irr!V14=".",d_Irr!AU14=".",d_Irr!BT14&lt;&gt;"."),d_dir!W14/((1/1000)*(d_Irr!BT14)),IF(AND(d_Irr!V14=".",d_Irr!AU14&lt;&gt;".",d_Irr!BT14="."),d_dir!W14/((1/1000)*(d_Irr!AU14)),IF(AND(d_Irr!V14&lt;&gt;".",d_Irr!AU14=".",d_Irr!BT14="."),d_dir!W14/((1/1000)*(d_Irr!V14)),IF(AND(d_Irr!V14=".",d_Irr!AU14=".",d_Irr!BT14="."),d_dir!W14*1000)))))))),".")</f>
        <v>57.066835770474675</v>
      </c>
      <c r="X14" s="76">
        <f>IFERROR(IF(AND(d_Irr!W14&lt;&gt;".",d_Irr!AV14&lt;&gt;".",d_Irr!BU14&lt;&gt;"."),d_dir!X14/((1/1000)*(d_Irr!W14+d_Irr!AV14+d_Irr!BU14)),IF(AND(d_Irr!W14&lt;&gt;".",d_Irr!AV14&lt;&gt;".",d_Irr!BU14="."),d_dir!X14/((1/1000)*(d_Irr!W14+d_Irr!AV14)),IF(AND(d_Irr!W14&lt;&gt;".",d_Irr!AV14=".",d_Irr!BU14&lt;&gt;"."),d_dir!X14/((1/1000)*(d_Irr!W14+d_Irr!BU14)),IF(AND(d_Irr!W14=".",d_Irr!AV14&lt;&gt;".",d_Irr!BU14&lt;&gt;"."),d_dir!X14/((1/1000)*(d_Irr!AV14+d_Irr!BU14)),IF(AND(d_Irr!W14=".",d_Irr!AV14=".",d_Irr!BU14&lt;&gt;"."),d_dir!X14/((1/1000)*(d_Irr!BU14)),IF(AND(d_Irr!W14=".",d_Irr!AV14&lt;&gt;".",d_Irr!BU14="."),d_dir!X14/((1/1000)*(d_Irr!AV14)),IF(AND(d_Irr!W14&lt;&gt;".",d_Irr!AV14=".",d_Irr!BU14="."),d_dir!X14/((1/1000)*(d_Irr!W14)),IF(AND(d_Irr!W14=".",d_Irr!AV14=".",d_Irr!BU14="."),d_dir!X14*1000)))))))),".")</f>
        <v>61.296266961062301</v>
      </c>
      <c r="Y14" s="76">
        <f>IFERROR(IF(AND(d_Irr!X14&lt;&gt;".",d_Irr!AW14&lt;&gt;".",d_Irr!BV14&lt;&gt;"."),d_dir!Y14/((1/1000)*(d_Irr!X14+d_Irr!AW14+d_Irr!BV14)),IF(AND(d_Irr!X14&lt;&gt;".",d_Irr!AW14&lt;&gt;".",d_Irr!BV14="."),d_dir!Y14/((1/1000)*(d_Irr!X14+d_Irr!AW14)),IF(AND(d_Irr!X14&lt;&gt;".",d_Irr!AW14=".",d_Irr!BV14&lt;&gt;"."),d_dir!Y14/((1/1000)*(d_Irr!X14+d_Irr!BV14)),IF(AND(d_Irr!X14=".",d_Irr!AW14&lt;&gt;".",d_Irr!BV14&lt;&gt;"."),d_dir!Y14/((1/1000)*(d_Irr!AW14+d_Irr!BV14)),IF(AND(d_Irr!X14=".",d_Irr!AW14=".",d_Irr!BV14&lt;&gt;"."),d_dir!Y14/((1/1000)*(d_Irr!BV14)),IF(AND(d_Irr!X14=".",d_Irr!AW14&lt;&gt;".",d_Irr!BV14="."),d_dir!Y14/((1/1000)*(d_Irr!AW14)),IF(AND(d_Irr!X14&lt;&gt;".",d_Irr!AW14=".",d_Irr!BV14="."),d_dir!Y14/((1/1000)*(d_Irr!X14)),IF(AND(d_Irr!X14=".",d_Irr!AW14=".",d_Irr!BV14="."),d_dir!Y14*1000)))))))),".")</f>
        <v>81.594797957439113</v>
      </c>
      <c r="Z14" s="76">
        <f>IFERROR(IF(AND(d_Irr!Y14&lt;&gt;".",d_Irr!AX14&lt;&gt;".",d_Irr!BW14&lt;&gt;"."),d_dir!Z14/((1/1000)*(d_Irr!Y14+d_Irr!AX14+d_Irr!BW14)),IF(AND(d_Irr!Y14&lt;&gt;".",d_Irr!AX14&lt;&gt;".",d_Irr!BW14="."),d_dir!Z14/((1/1000)*(d_Irr!Y14+d_Irr!AX14)),IF(AND(d_Irr!Y14&lt;&gt;".",d_Irr!AX14=".",d_Irr!BW14&lt;&gt;"."),d_dir!Z14/((1/1000)*(d_Irr!Y14+d_Irr!BW14)),IF(AND(d_Irr!Y14=".",d_Irr!AX14&lt;&gt;".",d_Irr!BW14&lt;&gt;"."),d_dir!Z14/((1/1000)*(d_Irr!AX14+d_Irr!BW14)),IF(AND(d_Irr!Y14=".",d_Irr!AX14=".",d_Irr!BW14&lt;&gt;"."),d_dir!Z14/((1/1000)*(d_Irr!BW14)),IF(AND(d_Irr!Y14=".",d_Irr!AX14&lt;&gt;".",d_Irr!BW14="."),d_dir!Z14/((1/1000)*(d_Irr!AX14)),IF(AND(d_Irr!Y14&lt;&gt;".",d_Irr!AX14=".",d_Irr!BW14="."),d_dir!Z14/((1/1000)*(d_Irr!Y14)),IF(AND(d_Irr!Y14=".",d_Irr!AX14=".",d_Irr!BW14="."),d_dir!Z14*1000)))))))),".")</f>
        <v>43.19739277017851</v>
      </c>
      <c r="AA14" s="76">
        <f>IFERROR(IF(AND(d_Irr!Z14&lt;&gt;".",d_Irr!AY14&lt;&gt;".",d_Irr!BX14&lt;&gt;"."),d_dir!AA14/((1/1000)*(d_Irr!Z14+d_Irr!AY14+d_Irr!BX14)),IF(AND(d_Irr!Z14&lt;&gt;".",d_Irr!AY14&lt;&gt;".",d_Irr!BX14="."),d_dir!AA14/((1/1000)*(d_Irr!Z14+d_Irr!AY14)),IF(AND(d_Irr!Z14&lt;&gt;".",d_Irr!AY14=".",d_Irr!BX14&lt;&gt;"."),d_dir!AA14/((1/1000)*(d_Irr!Z14+d_Irr!BX14)),IF(AND(d_Irr!Z14=".",d_Irr!AY14&lt;&gt;".",d_Irr!BX14&lt;&gt;"."),d_dir!AA14/((1/1000)*(d_Irr!AY14+d_Irr!BX14)),IF(AND(d_Irr!Z14=".",d_Irr!AY14=".",d_Irr!BX14&lt;&gt;"."),d_dir!AA14/((1/1000)*(d_Irr!BX14)),IF(AND(d_Irr!Z14=".",d_Irr!AY14&lt;&gt;".",d_Irr!BX14="."),d_dir!AA14/((1/1000)*(d_Irr!AY14)),IF(AND(d_Irr!Z14&lt;&gt;".",d_Irr!AY14=".",d_Irr!BX14="."),d_dir!AA14/((1/1000)*(d_Irr!Z14)),IF(AND(d_Irr!Z14=".",d_Irr!AY14=".",d_Irr!BX14="."),d_dir!AA14*1000)))))))),".")</f>
        <v>13.092349996242451</v>
      </c>
      <c r="AB14" s="76">
        <f>IFERROR(IF(AND(d_Irr!AA14&lt;&gt;".",d_Irr!AZ14&lt;&gt;".",d_Irr!BY14&lt;&gt;"."),d_dir!AB14/((1/1000)*(d_Irr!AA14+d_Irr!AZ14+d_Irr!BY14)),IF(AND(d_Irr!AA14&lt;&gt;".",d_Irr!AZ14&lt;&gt;".",d_Irr!BY14="."),d_dir!AB14/((1/1000)*(d_Irr!AA14+d_Irr!AZ14)),IF(AND(d_Irr!AA14&lt;&gt;".",d_Irr!AZ14=".",d_Irr!BY14&lt;&gt;"."),d_dir!AB14/((1/1000)*(d_Irr!AA14+d_Irr!BY14)),IF(AND(d_Irr!AA14=".",d_Irr!AZ14&lt;&gt;".",d_Irr!BY14&lt;&gt;"."),d_dir!AB14/((1/1000)*(d_Irr!AZ14+d_Irr!BY14)),IF(AND(d_Irr!AA14=".",d_Irr!AZ14=".",d_Irr!BY14&lt;&gt;"."),d_dir!AB14/((1/1000)*(d_Irr!BY14)),IF(AND(d_Irr!AA14=".",d_Irr!AZ14&lt;&gt;".",d_Irr!BY14="."),d_dir!AB14/((1/1000)*(d_Irr!AZ14)),IF(AND(d_Irr!AA14&lt;&gt;".",d_Irr!AZ14=".",d_Irr!BY14="."),d_dir!AB14/((1/1000)*(d_Irr!AA14)),IF(AND(d_Irr!AA14=".",d_Irr!AZ14=".",d_Irr!BY14="."),d_dir!AB14*1000)))))))),".")</f>
        <v>15.01460152965716</v>
      </c>
      <c r="AC14" s="76">
        <f t="shared" si="0"/>
        <v>1.3987078863946356</v>
      </c>
      <c r="AD14" s="76">
        <f>IFERROR(IF(AND(d_Irr!C14&lt;&gt;".",d_Irr!AB14&lt;&gt;".",d_Irr!BA14&lt;&gt;"."),d_dir!AD14/((1/1000)*(d_Irr!C14+d_Irr!AB14+d_Irr!BA14)),IF(AND(d_Irr!C14&lt;&gt;".",d_Irr!AB14&lt;&gt;".",d_Irr!BA14="."),d_dir!AD14/((1/1000)*(d_Irr!C14+d_Irr!AB14)),IF(AND(d_Irr!C14&lt;&gt;".",d_Irr!AB14=".",d_Irr!BA14&lt;&gt;"."),d_dir!AD14/((1/1000)*(d_Irr!C14+d_Irr!BA14)),IF(AND(d_Irr!C14=".",d_Irr!AB14&lt;&gt;".",d_Irr!BA14&lt;&gt;"."),d_dir!AD14/((1/1000)*(d_Irr!AB14+d_Irr!BA14)),IF(AND(d_Irr!C14=".",d_Irr!AB14=".",d_Irr!BA14&lt;&gt;"."),d_dir!AD14/((1/1000)*(d_Irr!BA14)),IF(AND(d_Irr!C14=".",d_Irr!AB14&lt;&gt;".",d_Irr!BA14="."),d_dir!AD14/((1/1000)*(d_Irr!AB14)),IF(AND(d_Irr!C14&lt;&gt;".",d_Irr!AB14=".",d_Irr!BA14="."),d_dir!AD14/((1/1000)*(d_Irr!C14)),IF(AND(d_Irr!C14=".",d_Irr!AB14=".",d_Irr!BA14="."),d_dir!AD14*1000)))))))),".")</f>
        <v>23.572588212673711</v>
      </c>
      <c r="AE14" s="76">
        <f>IFERROR(IF(AND(d_Irr!D14&lt;&gt;".",d_Irr!AC14&lt;&gt;".",d_Irr!BB14&lt;&gt;"."),d_dir!AE14/((1/1000)*(d_Irr!D14+d_Irr!AC14+d_Irr!BB14)),IF(AND(d_Irr!D14&lt;&gt;".",d_Irr!AC14&lt;&gt;".",d_Irr!BB14="."),d_dir!AE14/((1/1000)*(d_Irr!D14+d_Irr!AC14)),IF(AND(d_Irr!D14&lt;&gt;".",d_Irr!AC14=".",d_Irr!BB14&lt;&gt;"."),d_dir!AE14/((1/1000)*(d_Irr!D14+d_Irr!BB14)),IF(AND(d_Irr!D14=".",d_Irr!AC14&lt;&gt;".",d_Irr!BB14&lt;&gt;"."),d_dir!AE14/((1/1000)*(d_Irr!AC14+d_Irr!BB14)),IF(AND(d_Irr!D14=".",d_Irr!AC14=".",d_Irr!BB14&lt;&gt;"."),d_dir!AE14/((1/1000)*(d_Irr!BB14)),IF(AND(d_Irr!D14=".",d_Irr!AC14&lt;&gt;".",d_Irr!BB14="."),d_dir!AE14/((1/1000)*(d_Irr!AC14)),IF(AND(d_Irr!D14&lt;&gt;".",d_Irr!AC14=".",d_Irr!BB14="."),d_dir!AE14/((1/1000)*(d_Irr!D14)),IF(AND(d_Irr!D14=".",d_Irr!AC14=".",d_Irr!BB14="."),d_dir!AE14*1000)))))))),".")</f>
        <v>55.560934995481873</v>
      </c>
      <c r="AF14" s="76">
        <f>IFERROR(IF(AND(d_Irr!E14&lt;&gt;".",d_Irr!AD14&lt;&gt;".",d_Irr!BC14&lt;&gt;"."),d_dir!AF14/((1/1000)*(d_Irr!E14+d_Irr!AD14+d_Irr!BC14)),IF(AND(d_Irr!E14&lt;&gt;".",d_Irr!AD14&lt;&gt;".",d_Irr!BC14="."),d_dir!AF14/((1/1000)*(d_Irr!E14+d_Irr!AD14)),IF(AND(d_Irr!E14&lt;&gt;".",d_Irr!AD14=".",d_Irr!BC14&lt;&gt;"."),d_dir!AF14/((1/1000)*(d_Irr!E14+d_Irr!BC14)),IF(AND(d_Irr!E14=".",d_Irr!AD14&lt;&gt;".",d_Irr!BC14&lt;&gt;"."),d_dir!AF14/((1/1000)*(d_Irr!AD14+d_Irr!BC14)),IF(AND(d_Irr!E14=".",d_Irr!AD14=".",d_Irr!BC14&lt;&gt;"."),d_dir!AF14/((1/1000)*(d_Irr!BC14)),IF(AND(d_Irr!E14=".",d_Irr!AD14&lt;&gt;".",d_Irr!BC14="."),d_dir!AF14/((1/1000)*(d_Irr!AD14)),IF(AND(d_Irr!E14&lt;&gt;".",d_Irr!AD14=".",d_Irr!BC14="."),d_dir!AF14/((1/1000)*(d_Irr!E14)),IF(AND(d_Irr!E14=".",d_Irr!AD14=".",d_Irr!BC14="."),d_dir!AF14*1000)))))))),".")</f>
        <v>66.088957845012033</v>
      </c>
      <c r="AG14" s="76">
        <f>IFERROR(IF(AND(d_Irr!F14&lt;&gt;".",d_Irr!AE14&lt;&gt;".",d_Irr!BD14&lt;&gt;"."),d_dir!AG14/((1/1000)*(d_Irr!F14+d_Irr!AE14+d_Irr!BD14)),IF(AND(d_Irr!F14&lt;&gt;".",d_Irr!AE14&lt;&gt;".",d_Irr!BD14="."),d_dir!AG14/((1/1000)*(d_Irr!F14+d_Irr!AE14)),IF(AND(d_Irr!F14&lt;&gt;".",d_Irr!AE14=".",d_Irr!BD14&lt;&gt;"."),d_dir!AG14/((1/1000)*(d_Irr!F14+d_Irr!BD14)),IF(AND(d_Irr!F14=".",d_Irr!AE14&lt;&gt;".",d_Irr!BD14&lt;&gt;"."),d_dir!AG14/((1/1000)*(d_Irr!AE14+d_Irr!BD14)),IF(AND(d_Irr!F14=".",d_Irr!AE14=".",d_Irr!BD14&lt;&gt;"."),d_dir!AG14/((1/1000)*(d_Irr!BD14)),IF(AND(d_Irr!F14=".",d_Irr!AE14&lt;&gt;".",d_Irr!BD14="."),d_dir!AG14/((1/1000)*(d_Irr!AE14)),IF(AND(d_Irr!F14&lt;&gt;".",d_Irr!AE14=".",d_Irr!BD14="."),d_dir!AG14/((1/1000)*(d_Irr!F14)),IF(AND(d_Irr!F14=".",d_Irr!AE14=".",d_Irr!BD14="."),d_dir!AG14*1000)))))))),".")</f>
        <v>59.356884803862641</v>
      </c>
      <c r="AH14" s="76">
        <f>IFERROR(IF(AND(d_Irr!G14&lt;&gt;".",d_Irr!AF14&lt;&gt;".",d_Irr!BE14&lt;&gt;"."),d_dir!AH14/((1/1000)*(d_Irr!G14+d_Irr!AF14+d_Irr!BE14)),IF(AND(d_Irr!G14&lt;&gt;".",d_Irr!AF14&lt;&gt;".",d_Irr!BE14="."),d_dir!AH14/((1/1000)*(d_Irr!G14+d_Irr!AF14)),IF(AND(d_Irr!G14&lt;&gt;".",d_Irr!AF14=".",d_Irr!BE14&lt;&gt;"."),d_dir!AH14/((1/1000)*(d_Irr!G14+d_Irr!BE14)),IF(AND(d_Irr!G14=".",d_Irr!AF14&lt;&gt;".",d_Irr!BE14&lt;&gt;"."),d_dir!AH14/((1/1000)*(d_Irr!AF14+d_Irr!BE14)),IF(AND(d_Irr!G14=".",d_Irr!AF14=".",d_Irr!BE14&lt;&gt;"."),d_dir!AH14/((1/1000)*(d_Irr!BE14)),IF(AND(d_Irr!G14=".",d_Irr!AF14&lt;&gt;".",d_Irr!BE14="."),d_dir!AH14/((1/1000)*(d_Irr!AF14)),IF(AND(d_Irr!G14&lt;&gt;".",d_Irr!AF14=".",d_Irr!BE14="."),d_dir!AH14/((1/1000)*(d_Irr!G14)),IF(AND(d_Irr!G14=".",d_Irr!AF14=".",d_Irr!BE14="."),d_dir!AH14*1000)))))))),".")</f>
        <v>63.340398072965336</v>
      </c>
      <c r="AI14" s="76">
        <f>IFERROR(IF(AND(d_Irr!H14&lt;&gt;".",d_Irr!AG14&lt;&gt;".",d_Irr!BF14&lt;&gt;"."),d_dir!AI14/((1/1000)*(d_Irr!H14+d_Irr!AG14+d_Irr!BF14)),IF(AND(d_Irr!H14&lt;&gt;".",d_Irr!AG14&lt;&gt;".",d_Irr!BF14="."),d_dir!AI14/((1/1000)*(d_Irr!H14+d_Irr!AG14)),IF(AND(d_Irr!H14&lt;&gt;".",d_Irr!AG14=".",d_Irr!BF14&lt;&gt;"."),d_dir!AI14/((1/1000)*(d_Irr!H14+d_Irr!BF14)),IF(AND(d_Irr!H14=".",d_Irr!AG14&lt;&gt;".",d_Irr!BF14&lt;&gt;"."),d_dir!AI14/((1/1000)*(d_Irr!AG14+d_Irr!BF14)),IF(AND(d_Irr!H14=".",d_Irr!AG14=".",d_Irr!BF14&lt;&gt;"."),d_dir!AI14/((1/1000)*(d_Irr!BF14)),IF(AND(d_Irr!H14=".",d_Irr!AG14&lt;&gt;".",d_Irr!BF14="."),d_dir!AI14/((1/1000)*(d_Irr!AG14)),IF(AND(d_Irr!H14&lt;&gt;".",d_Irr!AG14=".",d_Irr!BF14="."),d_dir!AI14/((1/1000)*(d_Irr!H14)),IF(AND(d_Irr!H14=".",d_Irr!AG14=".",d_Irr!BF14="."),d_dir!AI14*1000)))))))),".")</f>
        <v>28.783070985414362</v>
      </c>
      <c r="AJ14" s="76">
        <f>IFERROR(IF(AND(d_Irr!I14&lt;&gt;".",d_Irr!AH14&lt;&gt;".",d_Irr!BG14&lt;&gt;"."),d_dir!AJ14/((1/1000)*(d_Irr!I14+d_Irr!AH14+d_Irr!BG14)),IF(AND(d_Irr!I14&lt;&gt;".",d_Irr!AH14&lt;&gt;".",d_Irr!BG14="."),d_dir!AJ14/((1/1000)*(d_Irr!I14+d_Irr!AH14)),IF(AND(d_Irr!I14&lt;&gt;".",d_Irr!AH14=".",d_Irr!BG14&lt;&gt;"."),d_dir!AJ14/((1/1000)*(d_Irr!I14+d_Irr!BG14)),IF(AND(d_Irr!I14=".",d_Irr!AH14&lt;&gt;".",d_Irr!BG14&lt;&gt;"."),d_dir!AJ14/((1/1000)*(d_Irr!AH14+d_Irr!BG14)),IF(AND(d_Irr!I14=".",d_Irr!AH14=".",d_Irr!BG14&lt;&gt;"."),d_dir!AJ14/((1/1000)*(d_Irr!BG14)),IF(AND(d_Irr!I14=".",d_Irr!AH14&lt;&gt;".",d_Irr!BG14="."),d_dir!AJ14/((1/1000)*(d_Irr!AH14)),IF(AND(d_Irr!I14&lt;&gt;".",d_Irr!AH14=".",d_Irr!BG14="."),d_dir!AJ14/((1/1000)*(d_Irr!I14)),IF(AND(d_Irr!I14=".",d_Irr!AH14=".",d_Irr!BG14="."),d_dir!AJ14*1000)))))))),".")</f>
        <v>87.762625841152612</v>
      </c>
      <c r="AK14" s="76">
        <f>IFERROR(IF(AND(d_Irr!J14&lt;&gt;".",d_Irr!AI14&lt;&gt;".",d_Irr!BH14&lt;&gt;"."),d_dir!AK14/((1/1000)*(d_Irr!J14+d_Irr!AI14+d_Irr!BH14)),IF(AND(d_Irr!J14&lt;&gt;".",d_Irr!AI14&lt;&gt;".",d_Irr!BH14="."),d_dir!AK14/((1/1000)*(d_Irr!J14+d_Irr!AI14)),IF(AND(d_Irr!J14&lt;&gt;".",d_Irr!AI14=".",d_Irr!BH14&lt;&gt;"."),d_dir!AK14/((1/1000)*(d_Irr!J14+d_Irr!BH14)),IF(AND(d_Irr!J14=".",d_Irr!AI14&lt;&gt;".",d_Irr!BH14&lt;&gt;"."),d_dir!AK14/((1/1000)*(d_Irr!AI14+d_Irr!BH14)),IF(AND(d_Irr!J14=".",d_Irr!AI14=".",d_Irr!BH14&lt;&gt;"."),d_dir!AK14/((1/1000)*(d_Irr!BH14)),IF(AND(d_Irr!J14=".",d_Irr!AI14&lt;&gt;".",d_Irr!BH14="."),d_dir!AK14/((1/1000)*(d_Irr!AI14)),IF(AND(d_Irr!J14&lt;&gt;".",d_Irr!AI14=".",d_Irr!BH14="."),d_dir!AK14/((1/1000)*(d_Irr!J14)),IF(AND(d_Irr!J14=".",d_Irr!AI14=".",d_Irr!BH14="."),d_dir!AK14*1000)))))))),".")</f>
        <v>6.8339484753161939</v>
      </c>
      <c r="AL14" s="76">
        <f>IFERROR(IF(AND(d_Irr!K14&lt;&gt;".",d_Irr!AJ14&lt;&gt;".",d_Irr!BI14&lt;&gt;"."),d_dir!AL14/((1/1000)*(d_Irr!K14+d_Irr!AJ14+d_Irr!BI14)),IF(AND(d_Irr!K14&lt;&gt;".",d_Irr!AJ14&lt;&gt;".",d_Irr!BI14="."),d_dir!AL14/((1/1000)*(d_Irr!K14+d_Irr!AJ14)),IF(AND(d_Irr!K14&lt;&gt;".",d_Irr!AJ14=".",d_Irr!BI14&lt;&gt;"."),d_dir!AL14/((1/1000)*(d_Irr!K14+d_Irr!BI14)),IF(AND(d_Irr!K14=".",d_Irr!AJ14&lt;&gt;".",d_Irr!BI14&lt;&gt;"."),d_dir!AL14/((1/1000)*(d_Irr!AJ14+d_Irr!BI14)),IF(AND(d_Irr!K14=".",d_Irr!AJ14=".",d_Irr!BI14&lt;&gt;"."),d_dir!AL14/((1/1000)*(d_Irr!BI14)),IF(AND(d_Irr!K14=".",d_Irr!AJ14&lt;&gt;".",d_Irr!BI14="."),d_dir!AL14/((1/1000)*(d_Irr!AJ14)),IF(AND(d_Irr!K14&lt;&gt;".",d_Irr!AJ14=".",d_Irr!BI14="."),d_dir!AL14/((1/1000)*(d_Irr!K14)),IF(AND(d_Irr!K14=".",d_Irr!AJ14=".",d_Irr!BI14="."),d_dir!AL14*1000)))))))),".")</f>
        <v>26.726558068534956</v>
      </c>
      <c r="AM14" s="76">
        <f>IFERROR(IF(AND(d_Irr!L14&lt;&gt;".",d_Irr!AK14&lt;&gt;".",d_Irr!BJ14&lt;&gt;"."),d_dir!AM14/((1/1000)*(d_Irr!L14+d_Irr!AK14+d_Irr!BJ14)),IF(AND(d_Irr!L14&lt;&gt;".",d_Irr!AK14&lt;&gt;".",d_Irr!BJ14="."),d_dir!AM14/((1/1000)*(d_Irr!L14+d_Irr!AK14)),IF(AND(d_Irr!L14&lt;&gt;".",d_Irr!AK14=".",d_Irr!BJ14&lt;&gt;"."),d_dir!AM14/((1/1000)*(d_Irr!L14+d_Irr!BJ14)),IF(AND(d_Irr!L14=".",d_Irr!AK14&lt;&gt;".",d_Irr!BJ14&lt;&gt;"."),d_dir!AM14/((1/1000)*(d_Irr!AK14+d_Irr!BJ14)),IF(AND(d_Irr!L14=".",d_Irr!AK14=".",d_Irr!BJ14&lt;&gt;"."),d_dir!AM14/((1/1000)*(d_Irr!BJ14)),IF(AND(d_Irr!L14=".",d_Irr!AK14&lt;&gt;".",d_Irr!BJ14="."),d_dir!AM14/((1/1000)*(d_Irr!AK14)),IF(AND(d_Irr!L14&lt;&gt;".",d_Irr!AK14=".",d_Irr!BJ14="."),d_dir!AM14/((1/1000)*(d_Irr!L14)),IF(AND(d_Irr!L14=".",d_Irr!AK14=".",d_Irr!BJ14="."),d_dir!AM14*1000)))))))),".")</f>
        <v>40.595909494084729</v>
      </c>
      <c r="AN14" s="76">
        <f>IFERROR(IF(AND(d_Irr!M14&lt;&gt;".",d_Irr!AL14&lt;&gt;".",d_Irr!BK14&lt;&gt;"."),d_dir!AN14/((1/1000)*(d_Irr!M14+d_Irr!AL14+d_Irr!BK14)),IF(AND(d_Irr!M14&lt;&gt;".",d_Irr!AL14&lt;&gt;".",d_Irr!BK14="."),d_dir!AN14/((1/1000)*(d_Irr!M14+d_Irr!AL14)),IF(AND(d_Irr!M14&lt;&gt;".",d_Irr!AL14=".",d_Irr!BK14&lt;&gt;"."),d_dir!AN14/((1/1000)*(d_Irr!M14+d_Irr!BK14)),IF(AND(d_Irr!M14=".",d_Irr!AL14&lt;&gt;".",d_Irr!BK14&lt;&gt;"."),d_dir!AN14/((1/1000)*(d_Irr!AL14+d_Irr!BK14)),IF(AND(d_Irr!M14=".",d_Irr!AL14=".",d_Irr!BK14&lt;&gt;"."),d_dir!AN14/((1/1000)*(d_Irr!BK14)),IF(AND(d_Irr!M14=".",d_Irr!AL14&lt;&gt;".",d_Irr!BK14="."),d_dir!AN14/((1/1000)*(d_Irr!AL14)),IF(AND(d_Irr!M14&lt;&gt;".",d_Irr!AL14=".",d_Irr!BK14="."),d_dir!AN14/((1/1000)*(d_Irr!M14)),IF(AND(d_Irr!M14=".",d_Irr!AL14=".",d_Irr!BK14="."),d_dir!AN14*1000)))))))),".")</f>
        <v>56.132010745506442</v>
      </c>
      <c r="AO14" s="76">
        <f>IFERROR(IF(AND(d_Irr!N14&lt;&gt;".",d_Irr!AM14&lt;&gt;".",d_Irr!BL14&lt;&gt;"."),d_dir!AO14/((1/1000)*(d_Irr!N14+d_Irr!AM14+d_Irr!BL14)),IF(AND(d_Irr!N14&lt;&gt;".",d_Irr!AM14&lt;&gt;".",d_Irr!BL14="."),d_dir!AO14/((1/1000)*(d_Irr!N14+d_Irr!AM14)),IF(AND(d_Irr!N14&lt;&gt;".",d_Irr!AM14=".",d_Irr!BL14&lt;&gt;"."),d_dir!AO14/((1/1000)*(d_Irr!N14+d_Irr!BL14)),IF(AND(d_Irr!N14=".",d_Irr!AM14&lt;&gt;".",d_Irr!BL14&lt;&gt;"."),d_dir!AO14/((1/1000)*(d_Irr!AM14+d_Irr!BL14)),IF(AND(d_Irr!N14=".",d_Irr!AM14=".",d_Irr!BL14&lt;&gt;"."),d_dir!AO14/((1/1000)*(d_Irr!BL14)),IF(AND(d_Irr!N14=".",d_Irr!AM14&lt;&gt;".",d_Irr!BL14="."),d_dir!AO14/((1/1000)*(d_Irr!AM14)),IF(AND(d_Irr!N14&lt;&gt;".",d_Irr!AM14=".",d_Irr!BL14="."),d_dir!AO14/((1/1000)*(d_Irr!N14)),IF(AND(d_Irr!N14=".",d_Irr!AM14=".",d_Irr!BL14="."),d_dir!AO14*1000)))))))),".")</f>
        <v>60.045869630185756</v>
      </c>
      <c r="AP14" s="76">
        <f>IFERROR(IF(AND(d_Irr!O14&lt;&gt;".",d_Irr!AN14&lt;&gt;".",d_Irr!BM14&lt;&gt;"."),d_dir!AP14/((1/1000)*(d_Irr!O14+d_Irr!AN14+d_Irr!BM14)),IF(AND(d_Irr!O14&lt;&gt;".",d_Irr!AN14&lt;&gt;".",d_Irr!BM14="."),d_dir!AP14/((1/1000)*(d_Irr!O14+d_Irr!AN14)),IF(AND(d_Irr!O14&lt;&gt;".",d_Irr!AN14=".",d_Irr!BM14&lt;&gt;"."),d_dir!AP14/((1/1000)*(d_Irr!O14+d_Irr!BM14)),IF(AND(d_Irr!O14=".",d_Irr!AN14&lt;&gt;".",d_Irr!BM14&lt;&gt;"."),d_dir!AP14/((1/1000)*(d_Irr!AN14+d_Irr!BM14)),IF(AND(d_Irr!O14=".",d_Irr!AN14=".",d_Irr!BM14&lt;&gt;"."),d_dir!AP14/((1/1000)*(d_Irr!BM14)),IF(AND(d_Irr!O14=".",d_Irr!AN14&lt;&gt;".",d_Irr!BM14="."),d_dir!AP14/((1/1000)*(d_Irr!AN14)),IF(AND(d_Irr!O14&lt;&gt;".",d_Irr!AN14=".",d_Irr!BM14="."),d_dir!AP14/((1/1000)*(d_Irr!O14)),IF(AND(d_Irr!O14=".",d_Irr!AN14=".",d_Irr!BM14="."),d_dir!AP14*1000)))))))),".")</f>
        <v>73.135887710475245</v>
      </c>
      <c r="AQ14" s="76">
        <f>IFERROR(IF(AND(d_Irr!P14&lt;&gt;".",d_Irr!AO14&lt;&gt;".",d_Irr!BN14&lt;&gt;"."),d_dir!AQ14/((1/1000)*(d_Irr!P14+d_Irr!AO14+d_Irr!BN14)),IF(AND(d_Irr!P14&lt;&gt;".",d_Irr!AO14&lt;&gt;".",d_Irr!BN14="."),d_dir!AQ14/((1/1000)*(d_Irr!P14+d_Irr!AO14)),IF(AND(d_Irr!P14&lt;&gt;".",d_Irr!AO14=".",d_Irr!BN14&lt;&gt;"."),d_dir!AQ14/((1/1000)*(d_Irr!P14+d_Irr!BN14)),IF(AND(d_Irr!P14=".",d_Irr!AO14&lt;&gt;".",d_Irr!BN14&lt;&gt;"."),d_dir!AQ14/((1/1000)*(d_Irr!AO14+d_Irr!BN14)),IF(AND(d_Irr!P14=".",d_Irr!AO14=".",d_Irr!BN14&lt;&gt;"."),d_dir!AQ14/((1/1000)*(d_Irr!BN14)),IF(AND(d_Irr!P14=".",d_Irr!AO14&lt;&gt;".",d_Irr!BN14="."),d_dir!AQ14/((1/1000)*(d_Irr!AO14)),IF(AND(d_Irr!P14&lt;&gt;".",d_Irr!AO14=".",d_Irr!BN14="."),d_dir!AQ14/((1/1000)*(d_Irr!P14)),IF(AND(d_Irr!P14=".",d_Irr!AO14=".",d_Irr!BN14="."),d_dir!AQ14*1000)))))))),".")</f>
        <v>81.90096258624618</v>
      </c>
      <c r="AR14" s="76">
        <f>IFERROR(IF(AND(d_Irr!Q14&lt;&gt;".",d_Irr!AP14&lt;&gt;".",d_Irr!BO14&lt;&gt;"."),d_dir!AR14/((1/1000)*(d_Irr!Q14+d_Irr!AP14+d_Irr!BO14)),IF(AND(d_Irr!Q14&lt;&gt;".",d_Irr!AP14&lt;&gt;".",d_Irr!BO14="."),d_dir!AR14/((1/1000)*(d_Irr!Q14+d_Irr!AP14)),IF(AND(d_Irr!Q14&lt;&gt;".",d_Irr!AP14=".",d_Irr!BO14&lt;&gt;"."),d_dir!AR14/((1/1000)*(d_Irr!Q14+d_Irr!BO14)),IF(AND(d_Irr!Q14=".",d_Irr!AP14&lt;&gt;".",d_Irr!BO14&lt;&gt;"."),d_dir!AR14/((1/1000)*(d_Irr!AP14+d_Irr!BO14)),IF(AND(d_Irr!Q14=".",d_Irr!AP14=".",d_Irr!BO14&lt;&gt;"."),d_dir!AR14/((1/1000)*(d_Irr!BO14)),IF(AND(d_Irr!Q14=".",d_Irr!AP14&lt;&gt;".",d_Irr!BO14="."),d_dir!AR14/((1/1000)*(d_Irr!AP14)),IF(AND(d_Irr!Q14&lt;&gt;".",d_Irr!AP14=".",d_Irr!BO14="."),d_dir!AR14/((1/1000)*(d_Irr!Q14)),IF(AND(d_Irr!Q14=".",d_Irr!AP14=".",d_Irr!BO14="."),d_dir!AR14*1000)))))))),".")</f>
        <v>19.456922357794419</v>
      </c>
      <c r="AS14" s="76">
        <f>IFERROR(IF(AND(d_Irr!R14&lt;&gt;".",d_Irr!AQ14&lt;&gt;".",d_Irr!BP14&lt;&gt;"."),d_dir!AS14/((1/1000)*(d_Irr!R14+d_Irr!AQ14+d_Irr!BP14)),IF(AND(d_Irr!R14&lt;&gt;".",d_Irr!AQ14&lt;&gt;".",d_Irr!BP14="."),d_dir!AS14/((1/1000)*(d_Irr!R14+d_Irr!AQ14)),IF(AND(d_Irr!R14&lt;&gt;".",d_Irr!AQ14=".",d_Irr!BP14&lt;&gt;"."),d_dir!AS14/((1/1000)*(d_Irr!R14+d_Irr!BP14)),IF(AND(d_Irr!R14=".",d_Irr!AQ14&lt;&gt;".",d_Irr!BP14&lt;&gt;"."),d_dir!AS14/((1/1000)*(d_Irr!AQ14+d_Irr!BP14)),IF(AND(d_Irr!R14=".",d_Irr!AQ14=".",d_Irr!BP14&lt;&gt;"."),d_dir!AS14/((1/1000)*(d_Irr!BP14)),IF(AND(d_Irr!R14=".",d_Irr!AQ14&lt;&gt;".",d_Irr!BP14="."),d_dir!AS14/((1/1000)*(d_Irr!AQ14)),IF(AND(d_Irr!R14&lt;&gt;".",d_Irr!AQ14=".",d_Irr!BP14="."),d_dir!AS14/((1/1000)*(d_Irr!R14)),IF(AND(d_Irr!R14=".",d_Irr!AQ14=".",d_Irr!BP14="."),d_dir!AS14*1000)))))))),".")</f>
        <v>31.727419390596442</v>
      </c>
      <c r="AT14" s="76">
        <f>IFERROR(IF(AND(d_Irr!S14&lt;&gt;".",d_Irr!AR14&lt;&gt;".",d_Irr!BQ14&lt;&gt;"."),d_dir!AT14/((1/1000)*(d_Irr!S14+d_Irr!AR14+d_Irr!BQ14)),IF(AND(d_Irr!S14&lt;&gt;".",d_Irr!AR14&lt;&gt;".",d_Irr!BQ14="."),d_dir!AT14/((1/1000)*(d_Irr!S14+d_Irr!AR14)),IF(AND(d_Irr!S14&lt;&gt;".",d_Irr!AR14=".",d_Irr!BQ14&lt;&gt;"."),d_dir!AT14/((1/1000)*(d_Irr!S14+d_Irr!BQ14)),IF(AND(d_Irr!S14=".",d_Irr!AR14&lt;&gt;".",d_Irr!BQ14&lt;&gt;"."),d_dir!AT14/((1/1000)*(d_Irr!AR14+d_Irr!BQ14)),IF(AND(d_Irr!S14=".",d_Irr!AR14=".",d_Irr!BQ14&lt;&gt;"."),d_dir!AT14/((1/1000)*(d_Irr!BQ14)),IF(AND(d_Irr!S14=".",d_Irr!AR14&lt;&gt;".",d_Irr!BQ14="."),d_dir!AT14/((1/1000)*(d_Irr!AR14)),IF(AND(d_Irr!S14&lt;&gt;".",d_Irr!AR14=".",d_Irr!BQ14="."),d_dir!AT14/((1/1000)*(d_Irr!S14)),IF(AND(d_Irr!S14=".",d_Irr!AR14=".",d_Irr!BQ14="."),d_dir!AT14*1000)))))))),".")</f>
        <v>66.551145035580006</v>
      </c>
      <c r="AU14" s="76">
        <f>IFERROR(IF(AND(d_Irr!T14&lt;&gt;".",d_Irr!AS14&lt;&gt;".",d_Irr!BR14&lt;&gt;"."),d_dir!AU14/((1/1000)*(d_Irr!T14+d_Irr!AS14+d_Irr!BR14)),IF(AND(d_Irr!T14&lt;&gt;".",d_Irr!AS14&lt;&gt;".",d_Irr!BR14="."),d_dir!AU14/((1/1000)*(d_Irr!T14+d_Irr!AS14)),IF(AND(d_Irr!T14&lt;&gt;".",d_Irr!AS14=".",d_Irr!BR14&lt;&gt;"."),d_dir!AU14/((1/1000)*(d_Irr!T14+d_Irr!BR14)),IF(AND(d_Irr!T14=".",d_Irr!AS14&lt;&gt;".",d_Irr!BR14&lt;&gt;"."),d_dir!AU14/((1/1000)*(d_Irr!AS14+d_Irr!BR14)),IF(AND(d_Irr!T14=".",d_Irr!AS14=".",d_Irr!BR14&lt;&gt;"."),d_dir!AU14/((1/1000)*(d_Irr!BR14)),IF(AND(d_Irr!T14=".",d_Irr!AS14&lt;&gt;".",d_Irr!BR14="."),d_dir!AU14/((1/1000)*(d_Irr!AS14)),IF(AND(d_Irr!T14&lt;&gt;".",d_Irr!AS14=".",d_Irr!BR14="."),d_dir!AU14/((1/1000)*(d_Irr!T14)),IF(AND(d_Irr!T14=".",d_Irr!AS14=".",d_Irr!BR14="."),d_dir!AU14*1000)))))))),".")</f>
        <v>91.275586170206765</v>
      </c>
      <c r="AV14" s="76">
        <f>IFERROR(IF(AND(d_Irr!U14&lt;&gt;".",d_Irr!AT14&lt;&gt;".",d_Irr!BS14&lt;&gt;"."),d_dir!AV14/((1/1000)*(d_Irr!U14+d_Irr!AT14+d_Irr!BS14)),IF(AND(d_Irr!U14&lt;&gt;".",d_Irr!AT14&lt;&gt;".",d_Irr!BS14="."),d_dir!AV14/((1/1000)*(d_Irr!U14+d_Irr!AT14)),IF(AND(d_Irr!U14&lt;&gt;".",d_Irr!AT14=".",d_Irr!BS14&lt;&gt;"."),d_dir!AV14/((1/1000)*(d_Irr!U14+d_Irr!BS14)),IF(AND(d_Irr!U14=".",d_Irr!AT14&lt;&gt;".",d_Irr!BS14&lt;&gt;"."),d_dir!AV14/((1/1000)*(d_Irr!AT14+d_Irr!BS14)),IF(AND(d_Irr!U14=".",d_Irr!AT14=".",d_Irr!BS14&lt;&gt;"."),d_dir!AV14/((1/1000)*(d_Irr!BS14)),IF(AND(d_Irr!U14=".",d_Irr!AT14&lt;&gt;".",d_Irr!BS14="."),d_dir!AV14/((1/1000)*(d_Irr!AT14)),IF(AND(d_Irr!U14&lt;&gt;".",d_Irr!AT14=".",d_Irr!BS14="."),d_dir!AV14/((1/1000)*(d_Irr!U14)),IF(AND(d_Irr!U14=".",d_Irr!AT14=".",d_Irr!BS14="."),d_dir!AV14*1000)))))))),".")</f>
        <v>15.504648966059079</v>
      </c>
      <c r="AW14" s="76">
        <f>IFERROR(IF(AND(d_Irr!V14&lt;&gt;".",d_Irr!AU14&lt;&gt;".",d_Irr!BT14&lt;&gt;"."),d_dir!AW14/((1/1000)*(d_Irr!V14+d_Irr!AU14+d_Irr!BT14)),IF(AND(d_Irr!V14&lt;&gt;".",d_Irr!AU14&lt;&gt;".",d_Irr!BT14="."),d_dir!AW14/((1/1000)*(d_Irr!V14+d_Irr!AU14)),IF(AND(d_Irr!V14&lt;&gt;".",d_Irr!AU14=".",d_Irr!BT14&lt;&gt;"."),d_dir!AW14/((1/1000)*(d_Irr!V14+d_Irr!BT14)),IF(AND(d_Irr!V14=".",d_Irr!AU14&lt;&gt;".",d_Irr!BT14&lt;&gt;"."),d_dir!AW14/((1/1000)*(d_Irr!AU14+d_Irr!BT14)),IF(AND(d_Irr!V14=".",d_Irr!AU14=".",d_Irr!BT14&lt;&gt;"."),d_dir!AW14/((1/1000)*(d_Irr!BT14)),IF(AND(d_Irr!V14=".",d_Irr!AU14&lt;&gt;".",d_Irr!BT14="."),d_dir!AW14/((1/1000)*(d_Irr!AU14)),IF(AND(d_Irr!V14&lt;&gt;".",d_Irr!AU14=".",d_Irr!BT14="."),d_dir!AW14/((1/1000)*(d_Irr!V14)),IF(AND(d_Irr!V14=".",d_Irr!AU14=".",d_Irr!BT14="."),d_dir!AW14*1000)))))))),".")</f>
        <v>34.876118860339083</v>
      </c>
      <c r="AX14" s="76">
        <f>IFERROR(IF(AND(d_Irr!W14&lt;&gt;".",d_Irr!AV14&lt;&gt;".",d_Irr!BU14&lt;&gt;"."),d_dir!AX14/((1/1000)*(d_Irr!W14+d_Irr!AV14+d_Irr!BU14)),IF(AND(d_Irr!W14&lt;&gt;".",d_Irr!AV14&lt;&gt;".",d_Irr!BU14="."),d_dir!AX14/((1/1000)*(d_Irr!W14+d_Irr!AV14)),IF(AND(d_Irr!W14&lt;&gt;".",d_Irr!AV14=".",d_Irr!BU14&lt;&gt;"."),d_dir!AX14/((1/1000)*(d_Irr!W14+d_Irr!BU14)),IF(AND(d_Irr!W14=".",d_Irr!AV14&lt;&gt;".",d_Irr!BU14&lt;&gt;"."),d_dir!AX14/((1/1000)*(d_Irr!AV14+d_Irr!BU14)),IF(AND(d_Irr!W14=".",d_Irr!AV14=".",d_Irr!BU14&lt;&gt;"."),d_dir!AX14/((1/1000)*(d_Irr!BU14)),IF(AND(d_Irr!W14=".",d_Irr!AV14&lt;&gt;".",d_Irr!BU14="."),d_dir!AX14/((1/1000)*(d_Irr!AV14)),IF(AND(d_Irr!W14&lt;&gt;".",d_Irr!AV14=".",d_Irr!BU14="."),d_dir!AX14/((1/1000)*(d_Irr!W14)),IF(AND(d_Irr!W14=".",d_Irr!AV14=".",d_Irr!BU14="."),d_dir!AX14*1000)))))))),".")</f>
        <v>37.70634474624304</v>
      </c>
      <c r="AY14" s="76">
        <f>IFERROR(IF(AND(d_Irr!X14&lt;&gt;".",d_Irr!AW14&lt;&gt;".",d_Irr!BV14&lt;&gt;"."),d_dir!AY14/((1/1000)*(d_Irr!X14+d_Irr!AW14+d_Irr!BV14)),IF(AND(d_Irr!X14&lt;&gt;".",d_Irr!AW14&lt;&gt;".",d_Irr!BV14="."),d_dir!AY14/((1/1000)*(d_Irr!X14+d_Irr!AW14)),IF(AND(d_Irr!X14&lt;&gt;".",d_Irr!AW14=".",d_Irr!BV14&lt;&gt;"."),d_dir!AY14/((1/1000)*(d_Irr!X14+d_Irr!BV14)),IF(AND(d_Irr!X14=".",d_Irr!AW14&lt;&gt;".",d_Irr!BV14&lt;&gt;"."),d_dir!AY14/((1/1000)*(d_Irr!AW14+d_Irr!BV14)),IF(AND(d_Irr!X14=".",d_Irr!AW14=".",d_Irr!BV14&lt;&gt;"."),d_dir!AY14/((1/1000)*(d_Irr!BV14)),IF(AND(d_Irr!X14=".",d_Irr!AW14&lt;&gt;".",d_Irr!BV14="."),d_dir!AY14/((1/1000)*(d_Irr!AW14)),IF(AND(d_Irr!X14&lt;&gt;".",d_Irr!AW14=".",d_Irr!BV14="."),d_dir!AY14/((1/1000)*(d_Irr!X14)),IF(AND(d_Irr!X14=".",d_Irr!AW14=".",d_Irr!BV14="."),d_dir!AY14*1000)))))))),".")</f>
        <v>51.584132007517809</v>
      </c>
      <c r="AZ14" s="76">
        <f>IFERROR(IF(AND(d_Irr!Y14&lt;&gt;".",d_Irr!AX14&lt;&gt;".",d_Irr!BW14&lt;&gt;"."),d_dir!AZ14/((1/1000)*(d_Irr!Y14+d_Irr!AX14+d_Irr!BW14)),IF(AND(d_Irr!Y14&lt;&gt;".",d_Irr!AX14&lt;&gt;".",d_Irr!BW14="."),d_dir!AZ14/((1/1000)*(d_Irr!Y14+d_Irr!AX14)),IF(AND(d_Irr!Y14&lt;&gt;".",d_Irr!AX14=".",d_Irr!BW14&lt;&gt;"."),d_dir!AZ14/((1/1000)*(d_Irr!Y14+d_Irr!BW14)),IF(AND(d_Irr!Y14=".",d_Irr!AX14&lt;&gt;".",d_Irr!BW14&lt;&gt;"."),d_dir!AZ14/((1/1000)*(d_Irr!AX14+d_Irr!BW14)),IF(AND(d_Irr!Y14=".",d_Irr!AX14=".",d_Irr!BW14&lt;&gt;"."),d_dir!AZ14/((1/1000)*(d_Irr!BW14)),IF(AND(d_Irr!Y14=".",d_Irr!AX14&lt;&gt;".",d_Irr!BW14="."),d_dir!AZ14/((1/1000)*(d_Irr!AX14)),IF(AND(d_Irr!Y14&lt;&gt;".",d_Irr!AX14=".",d_Irr!BW14="."),d_dir!AZ14/((1/1000)*(d_Irr!Y14)),IF(AND(d_Irr!Y14=".",d_Irr!AX14=".",d_Irr!BW14="."),d_dir!AZ14*1000)))))))),".")</f>
        <v>22.768427477729485</v>
      </c>
      <c r="BA14" s="76">
        <f>IFERROR(IF(AND(d_Irr!Z14&lt;&gt;".",d_Irr!AY14&lt;&gt;".",d_Irr!BX14&lt;&gt;"."),d_dir!BA14/((1/1000)*(d_Irr!Z14+d_Irr!AY14+d_Irr!BX14)),IF(AND(d_Irr!Z14&lt;&gt;".",d_Irr!AY14&lt;&gt;".",d_Irr!BX14="."),d_dir!BA14/((1/1000)*(d_Irr!Z14+d_Irr!AY14)),IF(AND(d_Irr!Z14&lt;&gt;".",d_Irr!AY14=".",d_Irr!BX14&lt;&gt;"."),d_dir!BA14/((1/1000)*(d_Irr!Z14+d_Irr!BX14)),IF(AND(d_Irr!Z14=".",d_Irr!AY14&lt;&gt;".",d_Irr!BX14&lt;&gt;"."),d_dir!BA14/((1/1000)*(d_Irr!AY14+d_Irr!BX14)),IF(AND(d_Irr!Z14=".",d_Irr!AY14=".",d_Irr!BX14&lt;&gt;"."),d_dir!BA14/((1/1000)*(d_Irr!BX14)),IF(AND(d_Irr!Z14=".",d_Irr!AY14&lt;&gt;".",d_Irr!BX14="."),d_dir!BA14/((1/1000)*(d_Irr!AY14)),IF(AND(d_Irr!Z14&lt;&gt;".",d_Irr!AY14=".",d_Irr!BX14="."),d_dir!BA14/((1/1000)*(d_Irr!Z14)),IF(AND(d_Irr!Z14=".",d_Irr!AY14=".",d_Irr!BX14="."),d_dir!BA14*1000)))))))),".")</f>
        <v>7.6654818176769153</v>
      </c>
      <c r="BB14" s="76">
        <f>IFERROR(IF(AND(d_Irr!AA14&lt;&gt;".",d_Irr!AZ14&lt;&gt;".",d_Irr!BY14&lt;&gt;"."),d_dir!BB14/((1/1000)*(d_Irr!AA14+d_Irr!AZ14+d_Irr!BY14)),IF(AND(d_Irr!AA14&lt;&gt;".",d_Irr!AZ14&lt;&gt;".",d_Irr!BY14="."),d_dir!BB14/((1/1000)*(d_Irr!AA14+d_Irr!AZ14)),IF(AND(d_Irr!AA14&lt;&gt;".",d_Irr!AZ14=".",d_Irr!BY14&lt;&gt;"."),d_dir!BB14/((1/1000)*(d_Irr!AA14+d_Irr!BY14)),IF(AND(d_Irr!AA14=".",d_Irr!AZ14&lt;&gt;".",d_Irr!BY14&lt;&gt;"."),d_dir!BB14/((1/1000)*(d_Irr!AZ14+d_Irr!BY14)),IF(AND(d_Irr!AA14=".",d_Irr!AZ14=".",d_Irr!BY14&lt;&gt;"."),d_dir!BB14/((1/1000)*(d_Irr!BY14)),IF(AND(d_Irr!AA14=".",d_Irr!AZ14&lt;&gt;".",d_Irr!BY14="."),d_dir!BB14/((1/1000)*(d_Irr!AZ14)),IF(AND(d_Irr!AA14&lt;&gt;".",d_Irr!AZ14=".",d_Irr!BY14="."),d_dir!BB14/((1/1000)*(d_Irr!AA14)),IF(AND(d_Irr!AA14=".",d_Irr!AZ14=".",d_Irr!BY14="."),d_dir!BB14*1000)))))))),".")</f>
        <v>7.7766528132041044</v>
      </c>
    </row>
    <row r="15" spans="1:54" ht="15" customHeight="1" x14ac:dyDescent="0.25">
      <c r="A15" s="92" t="s">
        <v>25</v>
      </c>
      <c r="B15" s="90" t="s">
        <v>1071</v>
      </c>
      <c r="C15" s="2">
        <f t="shared" si="1"/>
        <v>55.548885972814709</v>
      </c>
      <c r="D15" s="76">
        <f>IFERROR(IF(AND(d_Irr!C15&lt;&gt;".",d_Irr!AB15&lt;&gt;".",d_Irr!BA15&lt;&gt;"."),d_dir!D15/((1/1000)*(d_Irr!C15+d_Irr!AB15+d_Irr!BA15)),IF(AND(d_Irr!C15&lt;&gt;".",d_Irr!AB15&lt;&gt;".",d_Irr!BA15="."),d_dir!D15/((1/1000)*(d_Irr!C15+d_Irr!AB15)),IF(AND(d_Irr!C15&lt;&gt;".",d_Irr!AB15=".",d_Irr!BA15&lt;&gt;"."),d_dir!D15/((1/1000)*(d_Irr!C15+d_Irr!BA15)),IF(AND(d_Irr!C15=".",d_Irr!AB15&lt;&gt;".",d_Irr!BA15&lt;&gt;"."),d_dir!D15/((1/1000)*(d_Irr!AB15+d_Irr!BA15)),IF(AND(d_Irr!C15=".",d_Irr!AB15=".",d_Irr!BA15&lt;&gt;"."),d_dir!D15/((1/1000)*(d_Irr!BA15)),IF(AND(d_Irr!C15=".",d_Irr!AB15&lt;&gt;".",d_Irr!BA15="."),d_dir!D15/((1/1000)*(d_Irr!AB15)),IF(AND(d_Irr!C15&lt;&gt;".",d_Irr!AB15=".",d_Irr!BA15="."),d_dir!D15/((1/1000)*(d_Irr!C15)),IF(AND(d_Irr!C15=".",d_Irr!AB15=".",d_Irr!BA15="."),d_dir!D15*1000)))))))),".")</f>
        <v>1071.4649411761823</v>
      </c>
      <c r="E15" s="76">
        <f>IFERROR(IF(AND(d_Irr!D15&lt;&gt;".",d_Irr!AC15&lt;&gt;".",d_Irr!BB15&lt;&gt;"."),d_dir!E15/((1/1000)*(d_Irr!D15+d_Irr!AC15+d_Irr!BB15)),IF(AND(d_Irr!D15&lt;&gt;".",d_Irr!AC15&lt;&gt;".",d_Irr!BB15="."),d_dir!E15/((1/1000)*(d_Irr!D15+d_Irr!AC15)),IF(AND(d_Irr!D15&lt;&gt;".",d_Irr!AC15=".",d_Irr!BB15&lt;&gt;"."),d_dir!E15/((1/1000)*(d_Irr!D15+d_Irr!BB15)),IF(AND(d_Irr!D15=".",d_Irr!AC15&lt;&gt;".",d_Irr!BB15&lt;&gt;"."),d_dir!E15/((1/1000)*(d_Irr!AC15+d_Irr!BB15)),IF(AND(d_Irr!D15=".",d_Irr!AC15=".",d_Irr!BB15&lt;&gt;"."),d_dir!E15/((1/1000)*(d_Irr!BB15)),IF(AND(d_Irr!D15=".",d_Irr!AC15&lt;&gt;".",d_Irr!BB15="."),d_dir!E15/((1/1000)*(d_Irr!AC15)),IF(AND(d_Irr!D15&lt;&gt;".",d_Irr!AC15=".",d_Irr!BB15="."),d_dir!E15/((1/1000)*(d_Irr!D15)),IF(AND(d_Irr!D15=".",d_Irr!AC15=".",d_Irr!BB15="."),d_dir!E15*1000)))))))),".")</f>
        <v>1442.8517191401199</v>
      </c>
      <c r="F15" s="76">
        <f>IFERROR(IF(AND(d_Irr!E15&lt;&gt;".",d_Irr!AD15&lt;&gt;".",d_Irr!BC15&lt;&gt;"."),d_dir!F15/((1/1000)*(d_Irr!E15+d_Irr!AD15+d_Irr!BC15)),IF(AND(d_Irr!E15&lt;&gt;".",d_Irr!AD15&lt;&gt;".",d_Irr!BC15="."),d_dir!F15/((1/1000)*(d_Irr!E15+d_Irr!AD15)),IF(AND(d_Irr!E15&lt;&gt;".",d_Irr!AD15=".",d_Irr!BC15&lt;&gt;"."),d_dir!F15/((1/1000)*(d_Irr!E15+d_Irr!BC15)),IF(AND(d_Irr!E15=".",d_Irr!AD15&lt;&gt;".",d_Irr!BC15&lt;&gt;"."),d_dir!F15/((1/1000)*(d_Irr!AD15+d_Irr!BC15)),IF(AND(d_Irr!E15=".",d_Irr!AD15=".",d_Irr!BC15&lt;&gt;"."),d_dir!F15/((1/1000)*(d_Irr!BC15)),IF(AND(d_Irr!E15=".",d_Irr!AD15&lt;&gt;".",d_Irr!BC15="."),d_dir!F15/((1/1000)*(d_Irr!AD15)),IF(AND(d_Irr!E15&lt;&gt;".",d_Irr!AD15=".",d_Irr!BC15="."),d_dir!F15/((1/1000)*(d_Irr!E15)),IF(AND(d_Irr!E15=".",d_Irr!AD15=".",d_Irr!BC15="."),d_dir!F15*1000)))))))),".")</f>
        <v>2706.4240996381664</v>
      </c>
      <c r="G15" s="76">
        <f>IFERROR(IF(AND(d_Irr!F15&lt;&gt;".",d_Irr!AE15&lt;&gt;".",d_Irr!BD15&lt;&gt;"."),d_dir!G15/((1/1000)*(d_Irr!F15+d_Irr!AE15+d_Irr!BD15)),IF(AND(d_Irr!F15&lt;&gt;".",d_Irr!AE15&lt;&gt;".",d_Irr!BD15="."),d_dir!G15/((1/1000)*(d_Irr!F15+d_Irr!AE15)),IF(AND(d_Irr!F15&lt;&gt;".",d_Irr!AE15=".",d_Irr!BD15&lt;&gt;"."),d_dir!G15/((1/1000)*(d_Irr!F15+d_Irr!BD15)),IF(AND(d_Irr!F15=".",d_Irr!AE15&lt;&gt;".",d_Irr!BD15&lt;&gt;"."),d_dir!G15/((1/1000)*(d_Irr!AE15+d_Irr!BD15)),IF(AND(d_Irr!F15=".",d_Irr!AE15=".",d_Irr!BD15&lt;&gt;"."),d_dir!G15/((1/1000)*(d_Irr!BD15)),IF(AND(d_Irr!F15=".",d_Irr!AE15&lt;&gt;".",d_Irr!BD15="."),d_dir!G15/((1/1000)*(d_Irr!AE15)),IF(AND(d_Irr!F15&lt;&gt;".",d_Irr!AE15=".",d_Irr!BD15="."),d_dir!G15/((1/1000)*(d_Irr!F15)),IF(AND(d_Irr!F15=".",d_Irr!AE15=".",d_Irr!BD15="."),d_dir!G15*1000)))))))),".")</f>
        <v>2409.7838725746683</v>
      </c>
      <c r="H15" s="76">
        <f>IFERROR(IF(AND(d_Irr!G15&lt;&gt;".",d_Irr!AF15&lt;&gt;".",d_Irr!BE15&lt;&gt;"."),d_dir!H15/((1/1000)*(d_Irr!G15+d_Irr!AF15+d_Irr!BE15)),IF(AND(d_Irr!G15&lt;&gt;".",d_Irr!AF15&lt;&gt;".",d_Irr!BE15="."),d_dir!H15/((1/1000)*(d_Irr!G15+d_Irr!AF15)),IF(AND(d_Irr!G15&lt;&gt;".",d_Irr!AF15=".",d_Irr!BE15&lt;&gt;"."),d_dir!H15/((1/1000)*(d_Irr!G15+d_Irr!BE15)),IF(AND(d_Irr!G15=".",d_Irr!AF15&lt;&gt;".",d_Irr!BE15&lt;&gt;"."),d_dir!H15/((1/1000)*(d_Irr!AF15+d_Irr!BE15)),IF(AND(d_Irr!G15=".",d_Irr!AF15=".",d_Irr!BE15&lt;&gt;"."),d_dir!H15/((1/1000)*(d_Irr!BE15)),IF(AND(d_Irr!G15=".",d_Irr!AF15&lt;&gt;".",d_Irr!BE15="."),d_dir!H15/((1/1000)*(d_Irr!AF15)),IF(AND(d_Irr!G15&lt;&gt;".",d_Irr!AF15=".",d_Irr!BE15="."),d_dir!H15/((1/1000)*(d_Irr!G15)),IF(AND(d_Irr!G15=".",d_Irr!AF15=".",d_Irr!BE15="."),d_dir!H15*1000)))))))),".")</f>
        <v>2822.0538404035833</v>
      </c>
      <c r="I15" s="76">
        <f>IFERROR(IF(AND(d_Irr!H15&lt;&gt;".",d_Irr!AG15&lt;&gt;".",d_Irr!BF15&lt;&gt;"."),d_dir!I15/((1/1000)*(d_Irr!H15+d_Irr!AG15+d_Irr!BF15)),IF(AND(d_Irr!H15&lt;&gt;".",d_Irr!AG15&lt;&gt;".",d_Irr!BF15="."),d_dir!I15/((1/1000)*(d_Irr!H15+d_Irr!AG15)),IF(AND(d_Irr!H15&lt;&gt;".",d_Irr!AG15=".",d_Irr!BF15&lt;&gt;"."),d_dir!I15/((1/1000)*(d_Irr!H15+d_Irr!BF15)),IF(AND(d_Irr!H15=".",d_Irr!AG15&lt;&gt;".",d_Irr!BF15&lt;&gt;"."),d_dir!I15/((1/1000)*(d_Irr!AG15+d_Irr!BF15)),IF(AND(d_Irr!H15=".",d_Irr!AG15=".",d_Irr!BF15&lt;&gt;"."),d_dir!I15/((1/1000)*(d_Irr!BF15)),IF(AND(d_Irr!H15=".",d_Irr!AG15&lt;&gt;".",d_Irr!BF15="."),d_dir!I15/((1/1000)*(d_Irr!AG15)),IF(AND(d_Irr!H15&lt;&gt;".",d_Irr!AG15=".",d_Irr!BF15="."),d_dir!I15/((1/1000)*(d_Irr!H15)),IF(AND(d_Irr!H15=".",d_Irr!AG15=".",d_Irr!BF15="."),d_dir!I15*1000)))))))),".")</f>
        <v>710.74383231496859</v>
      </c>
      <c r="J15" s="76">
        <f>IFERROR(IF(AND(d_Irr!I15&lt;&gt;".",d_Irr!AH15&lt;&gt;".",d_Irr!BG15&lt;&gt;"."),d_dir!J15/((1/1000)*(d_Irr!I15+d_Irr!AH15+d_Irr!BG15)),IF(AND(d_Irr!I15&lt;&gt;".",d_Irr!AH15&lt;&gt;".",d_Irr!BG15="."),d_dir!J15/((1/1000)*(d_Irr!I15+d_Irr!AH15)),IF(AND(d_Irr!I15&lt;&gt;".",d_Irr!AH15=".",d_Irr!BG15&lt;&gt;"."),d_dir!J15/((1/1000)*(d_Irr!I15+d_Irr!BG15)),IF(AND(d_Irr!I15=".",d_Irr!AH15&lt;&gt;".",d_Irr!BG15&lt;&gt;"."),d_dir!J15/((1/1000)*(d_Irr!AH15+d_Irr!BG15)),IF(AND(d_Irr!I15=".",d_Irr!AH15=".",d_Irr!BG15&lt;&gt;"."),d_dir!J15/((1/1000)*(d_Irr!BG15)),IF(AND(d_Irr!I15=".",d_Irr!AH15&lt;&gt;".",d_Irr!BG15="."),d_dir!J15/((1/1000)*(d_Irr!AH15)),IF(AND(d_Irr!I15&lt;&gt;".",d_Irr!AH15=".",d_Irr!BG15="."),d_dir!J15/((1/1000)*(d_Irr!I15)),IF(AND(d_Irr!I15=".",d_Irr!AH15=".",d_Irr!BG15="."),d_dir!J15*1000)))))))),".")</f>
        <v>3116.2762063529226</v>
      </c>
      <c r="K15" s="76">
        <f>IFERROR(IF(AND(d_Irr!J15&lt;&gt;".",d_Irr!AI15&lt;&gt;".",d_Irr!BH15&lt;&gt;"."),d_dir!K15/((1/1000)*(d_Irr!J15+d_Irr!AI15+d_Irr!BH15)),IF(AND(d_Irr!J15&lt;&gt;".",d_Irr!AI15&lt;&gt;".",d_Irr!BH15="."),d_dir!K15/((1/1000)*(d_Irr!J15+d_Irr!AI15)),IF(AND(d_Irr!J15&lt;&gt;".",d_Irr!AI15=".",d_Irr!BH15&lt;&gt;"."),d_dir!K15/((1/1000)*(d_Irr!J15+d_Irr!BH15)),IF(AND(d_Irr!J15=".",d_Irr!AI15&lt;&gt;".",d_Irr!BH15&lt;&gt;"."),d_dir!K15/((1/1000)*(d_Irr!AI15+d_Irr!BH15)),IF(AND(d_Irr!J15=".",d_Irr!AI15=".",d_Irr!BH15&lt;&gt;"."),d_dir!K15/((1/1000)*(d_Irr!BH15)),IF(AND(d_Irr!J15=".",d_Irr!AI15&lt;&gt;".",d_Irr!BH15="."),d_dir!K15/((1/1000)*(d_Irr!AI15)),IF(AND(d_Irr!J15&lt;&gt;".",d_Irr!AI15=".",d_Irr!BH15="."),d_dir!K15/((1/1000)*(d_Irr!J15)),IF(AND(d_Irr!J15=".",d_Irr!AI15=".",d_Irr!BH15="."),d_dir!K15*1000)))))))),".")</f>
        <v>277.83774485133864</v>
      </c>
      <c r="L15" s="76">
        <f>IFERROR(IF(AND(d_Irr!K15&lt;&gt;".",d_Irr!AJ15&lt;&gt;".",d_Irr!BI15&lt;&gt;"."),d_dir!L15/((1/1000)*(d_Irr!K15+d_Irr!AJ15+d_Irr!BI15)),IF(AND(d_Irr!K15&lt;&gt;".",d_Irr!AJ15&lt;&gt;".",d_Irr!BI15="."),d_dir!L15/((1/1000)*(d_Irr!K15+d_Irr!AJ15)),IF(AND(d_Irr!K15&lt;&gt;".",d_Irr!AJ15=".",d_Irr!BI15&lt;&gt;"."),d_dir!L15/((1/1000)*(d_Irr!K15+d_Irr!BI15)),IF(AND(d_Irr!K15=".",d_Irr!AJ15&lt;&gt;".",d_Irr!BI15&lt;&gt;"."),d_dir!L15/((1/1000)*(d_Irr!AJ15+d_Irr!BI15)),IF(AND(d_Irr!K15=".",d_Irr!AJ15=".",d_Irr!BI15&lt;&gt;"."),d_dir!L15/((1/1000)*(d_Irr!BI15)),IF(AND(d_Irr!K15=".",d_Irr!AJ15&lt;&gt;".",d_Irr!BI15="."),d_dir!L15/((1/1000)*(d_Irr!AJ15)),IF(AND(d_Irr!K15&lt;&gt;".",d_Irr!AJ15=".",d_Irr!BI15="."),d_dir!L15/((1/1000)*(d_Irr!K15)),IF(AND(d_Irr!K15=".",d_Irr!AJ15=".",d_Irr!BI15="."),d_dir!L15*1000)))))))),".")</f>
        <v>1653.6878100543311</v>
      </c>
      <c r="M15" s="76">
        <f>IFERROR(IF(AND(d_Irr!L15&lt;&gt;".",d_Irr!AK15&lt;&gt;".",d_Irr!BJ15&lt;&gt;"."),d_dir!M15/((1/1000)*(d_Irr!L15+d_Irr!AK15+d_Irr!BJ15)),IF(AND(d_Irr!L15&lt;&gt;".",d_Irr!AK15&lt;&gt;".",d_Irr!BJ15="."),d_dir!M15/((1/1000)*(d_Irr!L15+d_Irr!AK15)),IF(AND(d_Irr!L15&lt;&gt;".",d_Irr!AK15=".",d_Irr!BJ15&lt;&gt;"."),d_dir!M15/((1/1000)*(d_Irr!L15+d_Irr!BJ15)),IF(AND(d_Irr!L15=".",d_Irr!AK15&lt;&gt;".",d_Irr!BJ15&lt;&gt;"."),d_dir!M15/((1/1000)*(d_Irr!AK15+d_Irr!BJ15)),IF(AND(d_Irr!L15=".",d_Irr!AK15=".",d_Irr!BJ15&lt;&gt;"."),d_dir!M15/((1/1000)*(d_Irr!BJ15)),IF(AND(d_Irr!L15=".",d_Irr!AK15&lt;&gt;".",d_Irr!BJ15="."),d_dir!M15/((1/1000)*(d_Irr!AK15)),IF(AND(d_Irr!L15&lt;&gt;".",d_Irr!AK15=".",d_Irr!BJ15="."),d_dir!M15/((1/1000)*(d_Irr!L15)),IF(AND(d_Irr!L15=".",d_Irr!AK15=".",d_Irr!BJ15="."),d_dir!M15*1000)))))))),".")</f>
        <v>1093.7496901349284</v>
      </c>
      <c r="N15" s="76">
        <f>IFERROR(IF(AND(d_Irr!M15&lt;&gt;".",d_Irr!AL15&lt;&gt;".",d_Irr!BK15&lt;&gt;"."),d_dir!N15/((1/1000)*(d_Irr!M15+d_Irr!AL15+d_Irr!BK15)),IF(AND(d_Irr!M15&lt;&gt;".",d_Irr!AL15&lt;&gt;".",d_Irr!BK15="."),d_dir!N15/((1/1000)*(d_Irr!M15+d_Irr!AL15)),IF(AND(d_Irr!M15&lt;&gt;".",d_Irr!AL15=".",d_Irr!BK15&lt;&gt;"."),d_dir!N15/((1/1000)*(d_Irr!M15+d_Irr!BK15)),IF(AND(d_Irr!M15=".",d_Irr!AL15&lt;&gt;".",d_Irr!BK15&lt;&gt;"."),d_dir!N15/((1/1000)*(d_Irr!AL15+d_Irr!BK15)),IF(AND(d_Irr!M15=".",d_Irr!AL15=".",d_Irr!BK15&lt;&gt;"."),d_dir!N15/((1/1000)*(d_Irr!BK15)),IF(AND(d_Irr!M15=".",d_Irr!AL15&lt;&gt;".",d_Irr!BK15="."),d_dir!N15/((1/1000)*(d_Irr!AL15)),IF(AND(d_Irr!M15&lt;&gt;".",d_Irr!AL15=".",d_Irr!BK15="."),d_dir!N15/((1/1000)*(d_Irr!M15)),IF(AND(d_Irr!M15=".",d_Irr!AL15=".",d_Irr!BK15="."),d_dir!N15*1000)))))))),".")</f>
        <v>1555.7123049953539</v>
      </c>
      <c r="O15" s="76">
        <f>IFERROR(IF(AND(d_Irr!N15&lt;&gt;".",d_Irr!AM15&lt;&gt;".",d_Irr!BL15&lt;&gt;"."),d_dir!O15/((1/1000)*(d_Irr!N15+d_Irr!AM15+d_Irr!BL15)),IF(AND(d_Irr!N15&lt;&gt;".",d_Irr!AM15&lt;&gt;".",d_Irr!BL15="."),d_dir!O15/((1/1000)*(d_Irr!N15+d_Irr!AM15)),IF(AND(d_Irr!N15&lt;&gt;".",d_Irr!AM15=".",d_Irr!BL15&lt;&gt;"."),d_dir!O15/((1/1000)*(d_Irr!N15+d_Irr!BL15)),IF(AND(d_Irr!N15=".",d_Irr!AM15&lt;&gt;".",d_Irr!BL15&lt;&gt;"."),d_dir!O15/((1/1000)*(d_Irr!AM15+d_Irr!BL15)),IF(AND(d_Irr!N15=".",d_Irr!AM15=".",d_Irr!BL15&lt;&gt;"."),d_dir!O15/((1/1000)*(d_Irr!BL15)),IF(AND(d_Irr!N15=".",d_Irr!AM15&lt;&gt;".",d_Irr!BL15="."),d_dir!O15/((1/1000)*(d_Irr!AM15)),IF(AND(d_Irr!N15&lt;&gt;".",d_Irr!AM15=".",d_Irr!BL15="."),d_dir!O15/((1/1000)*(d_Irr!N15)),IF(AND(d_Irr!N15=".",d_Irr!AM15=".",d_Irr!BL15="."),d_dir!O15*1000)))))))),".")</f>
        <v>2549.9797506635082</v>
      </c>
      <c r="P15" s="76">
        <f>IFERROR(IF(AND(d_Irr!O15&lt;&gt;".",d_Irr!AN15&lt;&gt;".",d_Irr!BM15&lt;&gt;"."),d_dir!P15/((1/1000)*(d_Irr!O15+d_Irr!AN15+d_Irr!BM15)),IF(AND(d_Irr!O15&lt;&gt;".",d_Irr!AN15&lt;&gt;".",d_Irr!BM15="."),d_dir!P15/((1/1000)*(d_Irr!O15+d_Irr!AN15)),IF(AND(d_Irr!O15&lt;&gt;".",d_Irr!AN15=".",d_Irr!BM15&lt;&gt;"."),d_dir!P15/((1/1000)*(d_Irr!O15+d_Irr!BM15)),IF(AND(d_Irr!O15=".",d_Irr!AN15&lt;&gt;".",d_Irr!BM15&lt;&gt;"."),d_dir!P15/((1/1000)*(d_Irr!AN15+d_Irr!BM15)),IF(AND(d_Irr!O15=".",d_Irr!AN15=".",d_Irr!BM15&lt;&gt;"."),d_dir!P15/((1/1000)*(d_Irr!BM15)),IF(AND(d_Irr!O15=".",d_Irr!AN15&lt;&gt;".",d_Irr!BM15="."),d_dir!P15/((1/1000)*(d_Irr!AN15)),IF(AND(d_Irr!O15&lt;&gt;".",d_Irr!AN15=".",d_Irr!BM15="."),d_dir!P15/((1/1000)*(d_Irr!O15)),IF(AND(d_Irr!O15=".",d_Irr!AN15=".",d_Irr!BM15="."),d_dir!P15*1000)))))))),".")</f>
        <v>2950.6661623890677</v>
      </c>
      <c r="Q15" s="76">
        <f>IFERROR(IF(AND(d_Irr!P15&lt;&gt;".",d_Irr!AO15&lt;&gt;".",d_Irr!BN15&lt;&gt;"."),d_dir!Q15/((1/1000)*(d_Irr!P15+d_Irr!AO15+d_Irr!BN15)),IF(AND(d_Irr!P15&lt;&gt;".",d_Irr!AO15&lt;&gt;".",d_Irr!BN15="."),d_dir!Q15/((1/1000)*(d_Irr!P15+d_Irr!AO15)),IF(AND(d_Irr!P15&lt;&gt;".",d_Irr!AO15=".",d_Irr!BN15&lt;&gt;"."),d_dir!Q15/((1/1000)*(d_Irr!P15+d_Irr!BN15)),IF(AND(d_Irr!P15=".",d_Irr!AO15&lt;&gt;".",d_Irr!BN15&lt;&gt;"."),d_dir!Q15/((1/1000)*(d_Irr!AO15+d_Irr!BN15)),IF(AND(d_Irr!P15=".",d_Irr!AO15=".",d_Irr!BN15&lt;&gt;"."),d_dir!Q15/((1/1000)*(d_Irr!BN15)),IF(AND(d_Irr!P15=".",d_Irr!AO15&lt;&gt;".",d_Irr!BN15="."),d_dir!Q15/((1/1000)*(d_Irr!AO15)),IF(AND(d_Irr!P15&lt;&gt;".",d_Irr!AO15=".",d_Irr!BN15="."),d_dir!Q15/((1/1000)*(d_Irr!P15)),IF(AND(d_Irr!P15=".",d_Irr!AO15=".",d_Irr!BN15="."),d_dir!Q15*1000)))))))),".")</f>
        <v>4211.7269742071094</v>
      </c>
      <c r="R15" s="76">
        <f>IFERROR(IF(AND(d_Irr!Q15&lt;&gt;".",d_Irr!AP15&lt;&gt;".",d_Irr!BO15&lt;&gt;"."),d_dir!R15/((1/1000)*(d_Irr!Q15+d_Irr!AP15+d_Irr!BO15)),IF(AND(d_Irr!Q15&lt;&gt;".",d_Irr!AP15&lt;&gt;".",d_Irr!BO15="."),d_dir!R15/((1/1000)*(d_Irr!Q15+d_Irr!AP15)),IF(AND(d_Irr!Q15&lt;&gt;".",d_Irr!AP15=".",d_Irr!BO15&lt;&gt;"."),d_dir!R15/((1/1000)*(d_Irr!Q15+d_Irr!BO15)),IF(AND(d_Irr!Q15=".",d_Irr!AP15&lt;&gt;".",d_Irr!BO15&lt;&gt;"."),d_dir!R15/((1/1000)*(d_Irr!AP15+d_Irr!BO15)),IF(AND(d_Irr!Q15=".",d_Irr!AP15=".",d_Irr!BO15&lt;&gt;"."),d_dir!R15/((1/1000)*(d_Irr!BO15)),IF(AND(d_Irr!Q15=".",d_Irr!AP15&lt;&gt;".",d_Irr!BO15="."),d_dir!R15/((1/1000)*(d_Irr!AP15)),IF(AND(d_Irr!Q15&lt;&gt;".",d_Irr!AP15=".",d_Irr!BO15="."),d_dir!R15/((1/1000)*(d_Irr!Q15)),IF(AND(d_Irr!Q15=".",d_Irr!AP15=".",d_Irr!BO15="."),d_dir!R15*1000)))))))),".")</f>
        <v>687.9136479849293</v>
      </c>
      <c r="S15" s="76">
        <f>IFERROR(IF(AND(d_Irr!R15&lt;&gt;".",d_Irr!AQ15&lt;&gt;".",d_Irr!BP15&lt;&gt;"."),d_dir!S15/((1/1000)*(d_Irr!R15+d_Irr!AQ15+d_Irr!BP15)),IF(AND(d_Irr!R15&lt;&gt;".",d_Irr!AQ15&lt;&gt;".",d_Irr!BP15="."),d_dir!S15/((1/1000)*(d_Irr!R15+d_Irr!AQ15)),IF(AND(d_Irr!R15&lt;&gt;".",d_Irr!AQ15=".",d_Irr!BP15&lt;&gt;"."),d_dir!S15/((1/1000)*(d_Irr!R15+d_Irr!BP15)),IF(AND(d_Irr!R15=".",d_Irr!AQ15&lt;&gt;".",d_Irr!BP15&lt;&gt;"."),d_dir!S15/((1/1000)*(d_Irr!AQ15+d_Irr!BP15)),IF(AND(d_Irr!R15=".",d_Irr!AQ15=".",d_Irr!BP15&lt;&gt;"."),d_dir!S15/((1/1000)*(d_Irr!BP15)),IF(AND(d_Irr!R15=".",d_Irr!AQ15&lt;&gt;".",d_Irr!BP15="."),d_dir!S15/((1/1000)*(d_Irr!AQ15)),IF(AND(d_Irr!R15&lt;&gt;".",d_Irr!AQ15=".",d_Irr!BP15="."),d_dir!S15/((1/1000)*(d_Irr!R15)),IF(AND(d_Irr!R15=".",d_Irr!AQ15=".",d_Irr!BP15="."),d_dir!S15*1000)))))))),".")</f>
        <v>1403.248791584276</v>
      </c>
      <c r="T15" s="76">
        <f>IFERROR(IF(AND(d_Irr!S15&lt;&gt;".",d_Irr!AR15&lt;&gt;".",d_Irr!BQ15&lt;&gt;"."),d_dir!T15/((1/1000)*(d_Irr!S15+d_Irr!AR15+d_Irr!BQ15)),IF(AND(d_Irr!S15&lt;&gt;".",d_Irr!AR15&lt;&gt;".",d_Irr!BQ15="."),d_dir!T15/((1/1000)*(d_Irr!S15+d_Irr!AR15)),IF(AND(d_Irr!S15&lt;&gt;".",d_Irr!AR15=".",d_Irr!BQ15&lt;&gt;"."),d_dir!T15/((1/1000)*(d_Irr!S15+d_Irr!BQ15)),IF(AND(d_Irr!S15=".",d_Irr!AR15&lt;&gt;".",d_Irr!BQ15&lt;&gt;"."),d_dir!T15/((1/1000)*(d_Irr!AR15+d_Irr!BQ15)),IF(AND(d_Irr!S15=".",d_Irr!AR15=".",d_Irr!BQ15&lt;&gt;"."),d_dir!T15/((1/1000)*(d_Irr!BQ15)),IF(AND(d_Irr!S15=".",d_Irr!AR15&lt;&gt;".",d_Irr!BQ15="."),d_dir!T15/((1/1000)*(d_Irr!AR15)),IF(AND(d_Irr!S15&lt;&gt;".",d_Irr!AR15=".",d_Irr!BQ15="."),d_dir!T15/((1/1000)*(d_Irr!S15)),IF(AND(d_Irr!S15=".",d_Irr!AR15=".",d_Irr!BQ15="."),d_dir!T15*1000)))))))),".")</f>
        <v>2555.9294707055979</v>
      </c>
      <c r="U15" s="76">
        <f>IFERROR(IF(AND(d_Irr!T15&lt;&gt;".",d_Irr!AS15&lt;&gt;".",d_Irr!BR15&lt;&gt;"."),d_dir!U15/((1/1000)*(d_Irr!T15+d_Irr!AS15+d_Irr!BR15)),IF(AND(d_Irr!T15&lt;&gt;".",d_Irr!AS15&lt;&gt;".",d_Irr!BR15="."),d_dir!U15/((1/1000)*(d_Irr!T15+d_Irr!AS15)),IF(AND(d_Irr!T15&lt;&gt;".",d_Irr!AS15=".",d_Irr!BR15&lt;&gt;"."),d_dir!U15/((1/1000)*(d_Irr!T15+d_Irr!BR15)),IF(AND(d_Irr!T15=".",d_Irr!AS15&lt;&gt;".",d_Irr!BR15&lt;&gt;"."),d_dir!U15/((1/1000)*(d_Irr!AS15+d_Irr!BR15)),IF(AND(d_Irr!T15=".",d_Irr!AS15=".",d_Irr!BR15&lt;&gt;"."),d_dir!U15/((1/1000)*(d_Irr!BR15)),IF(AND(d_Irr!T15=".",d_Irr!AS15&lt;&gt;".",d_Irr!BR15="."),d_dir!U15/((1/1000)*(d_Irr!AS15)),IF(AND(d_Irr!T15&lt;&gt;".",d_Irr!AS15=".",d_Irr!BR15="."),d_dir!U15/((1/1000)*(d_Irr!T15)),IF(AND(d_Irr!T15=".",d_Irr!AS15=".",d_Irr!BR15="."),d_dir!U15*1000)))))))),".")</f>
        <v>5021.2651947233653</v>
      </c>
      <c r="V15" s="76">
        <f>IFERROR(IF(AND(d_Irr!U15&lt;&gt;".",d_Irr!AT15&lt;&gt;".",d_Irr!BS15&lt;&gt;"."),d_dir!V15/((1/1000)*(d_Irr!U15+d_Irr!AT15+d_Irr!BS15)),IF(AND(d_Irr!U15&lt;&gt;".",d_Irr!AT15&lt;&gt;".",d_Irr!BS15="."),d_dir!V15/((1/1000)*(d_Irr!U15+d_Irr!AT15)),IF(AND(d_Irr!U15&lt;&gt;".",d_Irr!AT15=".",d_Irr!BS15&lt;&gt;"."),d_dir!V15/((1/1000)*(d_Irr!U15+d_Irr!BS15)),IF(AND(d_Irr!U15=".",d_Irr!AT15&lt;&gt;".",d_Irr!BS15&lt;&gt;"."),d_dir!V15/((1/1000)*(d_Irr!AT15+d_Irr!BS15)),IF(AND(d_Irr!U15=".",d_Irr!AT15=".",d_Irr!BS15&lt;&gt;"."),d_dir!V15/((1/1000)*(d_Irr!BS15)),IF(AND(d_Irr!U15=".",d_Irr!AT15&lt;&gt;".",d_Irr!BS15="."),d_dir!V15/((1/1000)*(d_Irr!AT15)),IF(AND(d_Irr!U15&lt;&gt;".",d_Irr!AT15=".",d_Irr!BS15="."),d_dir!V15/((1/1000)*(d_Irr!U15)),IF(AND(d_Irr!U15=".",d_Irr!AT15=".",d_Irr!BS15="."),d_dir!V15*1000)))))))),".")</f>
        <v>779.42395730221358</v>
      </c>
      <c r="W15" s="76">
        <f>IFERROR(IF(AND(d_Irr!V15&lt;&gt;".",d_Irr!AU15&lt;&gt;".",d_Irr!BT15&lt;&gt;"."),d_dir!W15/((1/1000)*(d_Irr!V15+d_Irr!AU15+d_Irr!BT15)),IF(AND(d_Irr!V15&lt;&gt;".",d_Irr!AU15&lt;&gt;".",d_Irr!BT15="."),d_dir!W15/((1/1000)*(d_Irr!V15+d_Irr!AU15)),IF(AND(d_Irr!V15&lt;&gt;".",d_Irr!AU15=".",d_Irr!BT15&lt;&gt;"."),d_dir!W15/((1/1000)*(d_Irr!V15+d_Irr!BT15)),IF(AND(d_Irr!V15=".",d_Irr!AU15&lt;&gt;".",d_Irr!BT15&lt;&gt;"."),d_dir!W15/((1/1000)*(d_Irr!AU15+d_Irr!BT15)),IF(AND(d_Irr!V15=".",d_Irr!AU15=".",d_Irr!BT15&lt;&gt;"."),d_dir!W15/((1/1000)*(d_Irr!BT15)),IF(AND(d_Irr!V15=".",d_Irr!AU15&lt;&gt;".",d_Irr!BT15="."),d_dir!W15/((1/1000)*(d_Irr!AU15)),IF(AND(d_Irr!V15&lt;&gt;".",d_Irr!AU15=".",d_Irr!BT15="."),d_dir!W15/((1/1000)*(d_Irr!V15)),IF(AND(d_Irr!V15=".",d_Irr!AU15=".",d_Irr!BT15="."),d_dir!W15*1000)))))))),".")</f>
        <v>1403.3720078676147</v>
      </c>
      <c r="X15" s="76">
        <f>IFERROR(IF(AND(d_Irr!W15&lt;&gt;".",d_Irr!AV15&lt;&gt;".",d_Irr!BU15&lt;&gt;"."),d_dir!X15/((1/1000)*(d_Irr!W15+d_Irr!AV15+d_Irr!BU15)),IF(AND(d_Irr!W15&lt;&gt;".",d_Irr!AV15&lt;&gt;".",d_Irr!BU15="."),d_dir!X15/((1/1000)*(d_Irr!W15+d_Irr!AV15)),IF(AND(d_Irr!W15&lt;&gt;".",d_Irr!AV15=".",d_Irr!BU15&lt;&gt;"."),d_dir!X15/((1/1000)*(d_Irr!W15+d_Irr!BU15)),IF(AND(d_Irr!W15=".",d_Irr!AV15&lt;&gt;".",d_Irr!BU15&lt;&gt;"."),d_dir!X15/((1/1000)*(d_Irr!AV15+d_Irr!BU15)),IF(AND(d_Irr!W15=".",d_Irr!AV15=".",d_Irr!BU15&lt;&gt;"."),d_dir!X15/((1/1000)*(d_Irr!BU15)),IF(AND(d_Irr!W15=".",d_Irr!AV15&lt;&gt;".",d_Irr!BU15="."),d_dir!X15/((1/1000)*(d_Irr!AV15)),IF(AND(d_Irr!W15&lt;&gt;".",d_Irr!AV15=".",d_Irr!BU15="."),d_dir!X15/((1/1000)*(d_Irr!W15)),IF(AND(d_Irr!W15=".",d_Irr!AV15=".",d_Irr!BU15="."),d_dir!X15*1000)))))))),".")</f>
        <v>1640.6681542557553</v>
      </c>
      <c r="Y15" s="76">
        <f>IFERROR(IF(AND(d_Irr!X15&lt;&gt;".",d_Irr!AW15&lt;&gt;".",d_Irr!BV15&lt;&gt;"."),d_dir!Y15/((1/1000)*(d_Irr!X15+d_Irr!AW15+d_Irr!BV15)),IF(AND(d_Irr!X15&lt;&gt;".",d_Irr!AW15&lt;&gt;".",d_Irr!BV15="."),d_dir!Y15/((1/1000)*(d_Irr!X15+d_Irr!AW15)),IF(AND(d_Irr!X15&lt;&gt;".",d_Irr!AW15=".",d_Irr!BV15&lt;&gt;"."),d_dir!Y15/((1/1000)*(d_Irr!X15+d_Irr!BV15)),IF(AND(d_Irr!X15=".",d_Irr!AW15&lt;&gt;".",d_Irr!BV15&lt;&gt;"."),d_dir!Y15/((1/1000)*(d_Irr!AW15+d_Irr!BV15)),IF(AND(d_Irr!X15=".",d_Irr!AW15=".",d_Irr!BV15&lt;&gt;"."),d_dir!Y15/((1/1000)*(d_Irr!BV15)),IF(AND(d_Irr!X15=".",d_Irr!AW15&lt;&gt;".",d_Irr!BV15="."),d_dir!Y15/((1/1000)*(d_Irr!AW15)),IF(AND(d_Irr!X15&lt;&gt;".",d_Irr!AW15=".",d_Irr!BV15="."),d_dir!Y15/((1/1000)*(d_Irr!X15)),IF(AND(d_Irr!X15=".",d_Irr!AW15=".",d_Irr!BV15="."),d_dir!Y15*1000)))))))),".")</f>
        <v>2096.1720919002405</v>
      </c>
      <c r="Z15" s="76">
        <f>IFERROR(IF(AND(d_Irr!Y15&lt;&gt;".",d_Irr!AX15&lt;&gt;".",d_Irr!BW15&lt;&gt;"."),d_dir!Z15/((1/1000)*(d_Irr!Y15+d_Irr!AX15+d_Irr!BW15)),IF(AND(d_Irr!Y15&lt;&gt;".",d_Irr!AX15&lt;&gt;".",d_Irr!BW15="."),d_dir!Z15/((1/1000)*(d_Irr!Y15+d_Irr!AX15)),IF(AND(d_Irr!Y15&lt;&gt;".",d_Irr!AX15=".",d_Irr!BW15&lt;&gt;"."),d_dir!Z15/((1/1000)*(d_Irr!Y15+d_Irr!BW15)),IF(AND(d_Irr!Y15=".",d_Irr!AX15&lt;&gt;".",d_Irr!BW15&lt;&gt;"."),d_dir!Z15/((1/1000)*(d_Irr!AX15+d_Irr!BW15)),IF(AND(d_Irr!Y15=".",d_Irr!AX15=".",d_Irr!BW15&lt;&gt;"."),d_dir!Z15/((1/1000)*(d_Irr!BW15)),IF(AND(d_Irr!Y15=".",d_Irr!AX15&lt;&gt;".",d_Irr!BW15="."),d_dir!Z15/((1/1000)*(d_Irr!AX15)),IF(AND(d_Irr!Y15&lt;&gt;".",d_Irr!AX15=".",d_Irr!BW15="."),d_dir!Z15/((1/1000)*(d_Irr!Y15)),IF(AND(d_Irr!Y15=".",d_Irr!AX15=".",d_Irr!BW15="."),d_dir!Z15*1000)))))))),".")</f>
        <v>1062.9829298585198</v>
      </c>
      <c r="AA15" s="76">
        <f>IFERROR(IF(AND(d_Irr!Z15&lt;&gt;".",d_Irr!AY15&lt;&gt;".",d_Irr!BX15&lt;&gt;"."),d_dir!AA15/((1/1000)*(d_Irr!Z15+d_Irr!AY15+d_Irr!BX15)),IF(AND(d_Irr!Z15&lt;&gt;".",d_Irr!AY15&lt;&gt;".",d_Irr!BX15="."),d_dir!AA15/((1/1000)*(d_Irr!Z15+d_Irr!AY15)),IF(AND(d_Irr!Z15&lt;&gt;".",d_Irr!AY15=".",d_Irr!BX15&lt;&gt;"."),d_dir!AA15/((1/1000)*(d_Irr!Z15+d_Irr!BX15)),IF(AND(d_Irr!Z15=".",d_Irr!AY15&lt;&gt;".",d_Irr!BX15&lt;&gt;"."),d_dir!AA15/((1/1000)*(d_Irr!AY15+d_Irr!BX15)),IF(AND(d_Irr!Z15=".",d_Irr!AY15=".",d_Irr!BX15&lt;&gt;"."),d_dir!AA15/((1/1000)*(d_Irr!BX15)),IF(AND(d_Irr!Z15=".",d_Irr!AY15&lt;&gt;".",d_Irr!BX15="."),d_dir!AA15/((1/1000)*(d_Irr!AY15)),IF(AND(d_Irr!Z15&lt;&gt;".",d_Irr!AY15=".",d_Irr!BX15="."),d_dir!AA15/((1/1000)*(d_Irr!Z15)),IF(AND(d_Irr!Z15=".",d_Irr!AY15=".",d_Irr!BX15="."),d_dir!AA15*1000)))))))),".")</f>
        <v>345.61593753427809</v>
      </c>
      <c r="AB15" s="76">
        <f>IFERROR(IF(AND(d_Irr!AA15&lt;&gt;".",d_Irr!AZ15&lt;&gt;".",d_Irr!BY15&lt;&gt;"."),d_dir!AB15/((1/1000)*(d_Irr!AA15+d_Irr!AZ15+d_Irr!BY15)),IF(AND(d_Irr!AA15&lt;&gt;".",d_Irr!AZ15&lt;&gt;".",d_Irr!BY15="."),d_dir!AB15/((1/1000)*(d_Irr!AA15+d_Irr!AZ15)),IF(AND(d_Irr!AA15&lt;&gt;".",d_Irr!AZ15=".",d_Irr!BY15&lt;&gt;"."),d_dir!AB15/((1/1000)*(d_Irr!AA15+d_Irr!BY15)),IF(AND(d_Irr!AA15=".",d_Irr!AZ15&lt;&gt;".",d_Irr!BY15&lt;&gt;"."),d_dir!AB15/((1/1000)*(d_Irr!AZ15+d_Irr!BY15)),IF(AND(d_Irr!AA15=".",d_Irr!AZ15=".",d_Irr!BY15&lt;&gt;"."),d_dir!AB15/((1/1000)*(d_Irr!BY15)),IF(AND(d_Irr!AA15=".",d_Irr!AZ15&lt;&gt;".",d_Irr!BY15="."),d_dir!AB15/((1/1000)*(d_Irr!AZ15)),IF(AND(d_Irr!AA15&lt;&gt;".",d_Irr!AZ15=".",d_Irr!BY15="."),d_dir!AB15/((1/1000)*(d_Irr!AA15)),IF(AND(d_Irr!AA15=".",d_Irr!AZ15=".",d_Irr!BY15="."),d_dir!AB15*1000)))))))),".")</f>
        <v>384.66252338907185</v>
      </c>
      <c r="AC15" s="76">
        <f t="shared" si="0"/>
        <v>34.04660525120444</v>
      </c>
      <c r="AD15" s="76">
        <f>IFERROR(IF(AND(d_Irr!C15&lt;&gt;".",d_Irr!AB15&lt;&gt;".",d_Irr!BA15&lt;&gt;"."),d_dir!AD15/((1/1000)*(d_Irr!C15+d_Irr!AB15+d_Irr!BA15)),IF(AND(d_Irr!C15&lt;&gt;".",d_Irr!AB15&lt;&gt;".",d_Irr!BA15="."),d_dir!AD15/((1/1000)*(d_Irr!C15+d_Irr!AB15)),IF(AND(d_Irr!C15&lt;&gt;".",d_Irr!AB15=".",d_Irr!BA15&lt;&gt;"."),d_dir!AD15/((1/1000)*(d_Irr!C15+d_Irr!BA15)),IF(AND(d_Irr!C15=".",d_Irr!AB15&lt;&gt;".",d_Irr!BA15&lt;&gt;"."),d_dir!AD15/((1/1000)*(d_Irr!AB15+d_Irr!BA15)),IF(AND(d_Irr!C15=".",d_Irr!AB15=".",d_Irr!BA15&lt;&gt;"."),d_dir!AD15/((1/1000)*(d_Irr!BA15)),IF(AND(d_Irr!C15=".",d_Irr!AB15&lt;&gt;".",d_Irr!BA15="."),d_dir!AD15/((1/1000)*(d_Irr!AB15)),IF(AND(d_Irr!C15&lt;&gt;".",d_Irr!AB15=".",d_Irr!BA15="."),d_dir!AD15/((1/1000)*(d_Irr!C15)),IF(AND(d_Irr!C15=".",d_Irr!AB15=".",d_Irr!BA15="."),d_dir!AD15*1000)))))))),".")</f>
        <v>605.5802916631676</v>
      </c>
      <c r="AE15" s="76">
        <f>IFERROR(IF(AND(d_Irr!D15&lt;&gt;".",d_Irr!AC15&lt;&gt;".",d_Irr!BB15&lt;&gt;"."),d_dir!AE15/((1/1000)*(d_Irr!D15+d_Irr!AC15+d_Irr!BB15)),IF(AND(d_Irr!D15&lt;&gt;".",d_Irr!AC15&lt;&gt;".",d_Irr!BB15="."),d_dir!AE15/((1/1000)*(d_Irr!D15+d_Irr!AC15)),IF(AND(d_Irr!D15&lt;&gt;".",d_Irr!AC15=".",d_Irr!BB15&lt;&gt;"."),d_dir!AE15/((1/1000)*(d_Irr!D15+d_Irr!BB15)),IF(AND(d_Irr!D15=".",d_Irr!AC15&lt;&gt;".",d_Irr!BB15&lt;&gt;"."),d_dir!AE15/((1/1000)*(d_Irr!AC15+d_Irr!BB15)),IF(AND(d_Irr!D15=".",d_Irr!AC15=".",d_Irr!BB15&lt;&gt;"."),d_dir!AE15/((1/1000)*(d_Irr!BB15)),IF(AND(d_Irr!D15=".",d_Irr!AC15&lt;&gt;".",d_Irr!BB15="."),d_dir!AE15/((1/1000)*(d_Irr!AC15)),IF(AND(d_Irr!D15&lt;&gt;".",d_Irr!AC15=".",d_Irr!BB15="."),d_dir!AE15/((1/1000)*(d_Irr!D15)),IF(AND(d_Irr!D15=".",d_Irr!AC15=".",d_Irr!BB15="."),d_dir!AE15*1000)))))))),".")</f>
        <v>878.30129042164822</v>
      </c>
      <c r="AF15" s="76">
        <f>IFERROR(IF(AND(d_Irr!E15&lt;&gt;".",d_Irr!AD15&lt;&gt;".",d_Irr!BC15&lt;&gt;"."),d_dir!AF15/((1/1000)*(d_Irr!E15+d_Irr!AD15+d_Irr!BC15)),IF(AND(d_Irr!E15&lt;&gt;".",d_Irr!AD15&lt;&gt;".",d_Irr!BC15="."),d_dir!AF15/((1/1000)*(d_Irr!E15+d_Irr!AD15)),IF(AND(d_Irr!E15&lt;&gt;".",d_Irr!AD15=".",d_Irr!BC15&lt;&gt;"."),d_dir!AF15/((1/1000)*(d_Irr!E15+d_Irr!BC15)),IF(AND(d_Irr!E15=".",d_Irr!AD15&lt;&gt;".",d_Irr!BC15&lt;&gt;"."),d_dir!AF15/((1/1000)*(d_Irr!AD15+d_Irr!BC15)),IF(AND(d_Irr!E15=".",d_Irr!AD15=".",d_Irr!BC15&lt;&gt;"."),d_dir!AF15/((1/1000)*(d_Irr!BC15)),IF(AND(d_Irr!E15=".",d_Irr!AD15&lt;&gt;".",d_Irr!BC15="."),d_dir!AF15/((1/1000)*(d_Irr!AD15)),IF(AND(d_Irr!E15&lt;&gt;".",d_Irr!AD15=".",d_Irr!BC15="."),d_dir!AF15/((1/1000)*(d_Irr!E15)),IF(AND(d_Irr!E15=".",d_Irr!AD15=".",d_Irr!BC15="."),d_dir!AF15*1000)))))))),".")</f>
        <v>1625.2911812691045</v>
      </c>
      <c r="AG15" s="76">
        <f>IFERROR(IF(AND(d_Irr!F15&lt;&gt;".",d_Irr!AE15&lt;&gt;".",d_Irr!BD15&lt;&gt;"."),d_dir!AG15/((1/1000)*(d_Irr!F15+d_Irr!AE15+d_Irr!BD15)),IF(AND(d_Irr!F15&lt;&gt;".",d_Irr!AE15&lt;&gt;".",d_Irr!BD15="."),d_dir!AG15/((1/1000)*(d_Irr!F15+d_Irr!AE15)),IF(AND(d_Irr!F15&lt;&gt;".",d_Irr!AE15=".",d_Irr!BD15&lt;&gt;"."),d_dir!AG15/((1/1000)*(d_Irr!F15+d_Irr!BD15)),IF(AND(d_Irr!F15=".",d_Irr!AE15&lt;&gt;".",d_Irr!BD15&lt;&gt;"."),d_dir!AG15/((1/1000)*(d_Irr!AE15+d_Irr!BD15)),IF(AND(d_Irr!F15=".",d_Irr!AE15=".",d_Irr!BD15&lt;&gt;"."),d_dir!AG15/((1/1000)*(d_Irr!BD15)),IF(AND(d_Irr!F15=".",d_Irr!AE15&lt;&gt;".",d_Irr!BD15="."),d_dir!AG15/((1/1000)*(d_Irr!AE15)),IF(AND(d_Irr!F15&lt;&gt;".",d_Irr!AE15=".",d_Irr!BD15="."),d_dir!AG15/((1/1000)*(d_Irr!F15)),IF(AND(d_Irr!F15=".",d_Irr!AE15=".",d_Irr!BD15="."),d_dir!AG15*1000)))))))),".")</f>
        <v>1524.8796308423309</v>
      </c>
      <c r="AH15" s="76">
        <f>IFERROR(IF(AND(d_Irr!G15&lt;&gt;".",d_Irr!AF15&lt;&gt;".",d_Irr!BE15&lt;&gt;"."),d_dir!AH15/((1/1000)*(d_Irr!G15+d_Irr!AF15+d_Irr!BE15)),IF(AND(d_Irr!G15&lt;&gt;".",d_Irr!AF15&lt;&gt;".",d_Irr!BE15="."),d_dir!AH15/((1/1000)*(d_Irr!G15+d_Irr!AF15)),IF(AND(d_Irr!G15&lt;&gt;".",d_Irr!AF15=".",d_Irr!BE15&lt;&gt;"."),d_dir!AH15/((1/1000)*(d_Irr!G15+d_Irr!BE15)),IF(AND(d_Irr!G15=".",d_Irr!AF15&lt;&gt;".",d_Irr!BE15&lt;&gt;"."),d_dir!AH15/((1/1000)*(d_Irr!AF15+d_Irr!BE15)),IF(AND(d_Irr!G15=".",d_Irr!AF15=".",d_Irr!BE15&lt;&gt;"."),d_dir!AH15/((1/1000)*(d_Irr!BE15)),IF(AND(d_Irr!G15=".",d_Irr!AF15&lt;&gt;".",d_Irr!BE15="."),d_dir!AH15/((1/1000)*(d_Irr!AF15)),IF(AND(d_Irr!G15&lt;&gt;".",d_Irr!AF15=".",d_Irr!BE15="."),d_dir!AH15/((1/1000)*(d_Irr!G15)),IF(AND(d_Irr!G15=".",d_Irr!AF15=".",d_Irr!BE15="."),d_dir!AH15*1000)))))))),".")</f>
        <v>1558.2114299039815</v>
      </c>
      <c r="AI15" s="76">
        <f>IFERROR(IF(AND(d_Irr!H15&lt;&gt;".",d_Irr!AG15&lt;&gt;".",d_Irr!BF15&lt;&gt;"."),d_dir!AI15/((1/1000)*(d_Irr!H15+d_Irr!AG15+d_Irr!BF15)),IF(AND(d_Irr!H15&lt;&gt;".",d_Irr!AG15&lt;&gt;".",d_Irr!BF15="."),d_dir!AI15/((1/1000)*(d_Irr!H15+d_Irr!AG15)),IF(AND(d_Irr!H15&lt;&gt;".",d_Irr!AG15=".",d_Irr!BF15&lt;&gt;"."),d_dir!AI15/((1/1000)*(d_Irr!H15+d_Irr!BF15)),IF(AND(d_Irr!H15=".",d_Irr!AG15&lt;&gt;".",d_Irr!BF15&lt;&gt;"."),d_dir!AI15/((1/1000)*(d_Irr!AG15+d_Irr!BF15)),IF(AND(d_Irr!H15=".",d_Irr!AG15=".",d_Irr!BF15&lt;&gt;"."),d_dir!AI15/((1/1000)*(d_Irr!BF15)),IF(AND(d_Irr!H15=".",d_Irr!AG15&lt;&gt;".",d_Irr!BF15="."),d_dir!AI15/((1/1000)*(d_Irr!AG15)),IF(AND(d_Irr!H15&lt;&gt;".",d_Irr!AG15=".",d_Irr!BF15="."),d_dir!AI15/((1/1000)*(d_Irr!H15)),IF(AND(d_Irr!H15=".",d_Irr!AG15=".",d_Irr!BF15="."),d_dir!AI15*1000)))))))),".")</f>
        <v>455.0403271679221</v>
      </c>
      <c r="AJ15" s="76">
        <f>IFERROR(IF(AND(d_Irr!I15&lt;&gt;".",d_Irr!AH15&lt;&gt;".",d_Irr!BG15&lt;&gt;"."),d_dir!AJ15/((1/1000)*(d_Irr!I15+d_Irr!AH15+d_Irr!BG15)),IF(AND(d_Irr!I15&lt;&gt;".",d_Irr!AH15&lt;&gt;".",d_Irr!BG15="."),d_dir!AJ15/((1/1000)*(d_Irr!I15+d_Irr!AH15)),IF(AND(d_Irr!I15&lt;&gt;".",d_Irr!AH15=".",d_Irr!BG15&lt;&gt;"."),d_dir!AJ15/((1/1000)*(d_Irr!I15+d_Irr!BG15)),IF(AND(d_Irr!I15=".",d_Irr!AH15&lt;&gt;".",d_Irr!BG15&lt;&gt;"."),d_dir!AJ15/((1/1000)*(d_Irr!AH15+d_Irr!BG15)),IF(AND(d_Irr!I15=".",d_Irr!AH15=".",d_Irr!BG15&lt;&gt;"."),d_dir!AJ15/((1/1000)*(d_Irr!BG15)),IF(AND(d_Irr!I15=".",d_Irr!AH15&lt;&gt;".",d_Irr!BG15="."),d_dir!AJ15/((1/1000)*(d_Irr!AH15)),IF(AND(d_Irr!I15&lt;&gt;".",d_Irr!AH15=".",d_Irr!BG15="."),d_dir!AJ15/((1/1000)*(d_Irr!I15)),IF(AND(d_Irr!I15=".",d_Irr!AH15=".",d_Irr!BG15="."),d_dir!AJ15*1000)))))))),".")</f>
        <v>2158.2666084518701</v>
      </c>
      <c r="AK15" s="76">
        <f>IFERROR(IF(AND(d_Irr!J15&lt;&gt;".",d_Irr!AI15&lt;&gt;".",d_Irr!BH15&lt;&gt;"."),d_dir!AK15/((1/1000)*(d_Irr!J15+d_Irr!AI15+d_Irr!BH15)),IF(AND(d_Irr!J15&lt;&gt;".",d_Irr!AI15&lt;&gt;".",d_Irr!BH15="."),d_dir!AK15/((1/1000)*(d_Irr!J15+d_Irr!AI15)),IF(AND(d_Irr!J15&lt;&gt;".",d_Irr!AI15=".",d_Irr!BH15&lt;&gt;"."),d_dir!AK15/((1/1000)*(d_Irr!J15+d_Irr!BH15)),IF(AND(d_Irr!J15=".",d_Irr!AI15&lt;&gt;".",d_Irr!BH15&lt;&gt;"."),d_dir!AK15/((1/1000)*(d_Irr!AI15+d_Irr!BH15)),IF(AND(d_Irr!J15=".",d_Irr!AI15=".",d_Irr!BH15&lt;&gt;"."),d_dir!AK15/((1/1000)*(d_Irr!BH15)),IF(AND(d_Irr!J15=".",d_Irr!AI15&lt;&gt;".",d_Irr!BH15="."),d_dir!AK15/((1/1000)*(d_Irr!AI15)),IF(AND(d_Irr!J15&lt;&gt;".",d_Irr!AI15=".",d_Irr!BH15="."),d_dir!AK15/((1/1000)*(d_Irr!J15)),IF(AND(d_Irr!J15=".",d_Irr!AI15=".",d_Irr!BH15="."),d_dir!AK15*1000)))))))),".")</f>
        <v>175.5642814253205</v>
      </c>
      <c r="AL15" s="76">
        <f>IFERROR(IF(AND(d_Irr!K15&lt;&gt;".",d_Irr!AJ15&lt;&gt;".",d_Irr!BI15&lt;&gt;"."),d_dir!AL15/((1/1000)*(d_Irr!K15+d_Irr!AJ15+d_Irr!BI15)),IF(AND(d_Irr!K15&lt;&gt;".",d_Irr!AJ15&lt;&gt;".",d_Irr!BI15="."),d_dir!AL15/((1/1000)*(d_Irr!K15+d_Irr!AJ15)),IF(AND(d_Irr!K15&lt;&gt;".",d_Irr!AJ15=".",d_Irr!BI15&lt;&gt;"."),d_dir!AL15/((1/1000)*(d_Irr!K15+d_Irr!BI15)),IF(AND(d_Irr!K15=".",d_Irr!AJ15&lt;&gt;".",d_Irr!BI15&lt;&gt;"."),d_dir!AL15/((1/1000)*(d_Irr!AJ15+d_Irr!BI15)),IF(AND(d_Irr!K15=".",d_Irr!AJ15=".",d_Irr!BI15&lt;&gt;"."),d_dir!AL15/((1/1000)*(d_Irr!BI15)),IF(AND(d_Irr!K15=".",d_Irr!AJ15&lt;&gt;".",d_Irr!BI15="."),d_dir!AL15/((1/1000)*(d_Irr!AJ15)),IF(AND(d_Irr!K15&lt;&gt;".",d_Irr!AJ15=".",d_Irr!BI15="."),d_dir!AL15/((1/1000)*(d_Irr!K15)),IF(AND(d_Irr!K15=".",d_Irr!AJ15=".",d_Irr!BI15="."),d_dir!AL15*1000)))))))),".")</f>
        <v>745.13031414457487</v>
      </c>
      <c r="AM15" s="76">
        <f>IFERROR(IF(AND(d_Irr!L15&lt;&gt;".",d_Irr!AK15&lt;&gt;".",d_Irr!BJ15&lt;&gt;"."),d_dir!AM15/((1/1000)*(d_Irr!L15+d_Irr!AK15+d_Irr!BJ15)),IF(AND(d_Irr!L15&lt;&gt;".",d_Irr!AK15&lt;&gt;".",d_Irr!BJ15="."),d_dir!AM15/((1/1000)*(d_Irr!L15+d_Irr!AK15)),IF(AND(d_Irr!L15&lt;&gt;".",d_Irr!AK15=".",d_Irr!BJ15&lt;&gt;"."),d_dir!AM15/((1/1000)*(d_Irr!L15+d_Irr!BJ15)),IF(AND(d_Irr!L15=".",d_Irr!AK15&lt;&gt;".",d_Irr!BJ15&lt;&gt;"."),d_dir!AM15/((1/1000)*(d_Irr!AK15+d_Irr!BJ15)),IF(AND(d_Irr!L15=".",d_Irr!AK15=".",d_Irr!BJ15&lt;&gt;"."),d_dir!AM15/((1/1000)*(d_Irr!BJ15)),IF(AND(d_Irr!L15=".",d_Irr!AK15&lt;&gt;".",d_Irr!BJ15="."),d_dir!AM15/((1/1000)*(d_Irr!AK15)),IF(AND(d_Irr!L15&lt;&gt;".",d_Irr!AK15=".",d_Irr!BJ15="."),d_dir!AM15/((1/1000)*(d_Irr!L15)),IF(AND(d_Irr!L15=".",d_Irr!AK15=".",d_Irr!BJ15="."),d_dir!AM15*1000)))))))),".")</f>
        <v>998.31663327831734</v>
      </c>
      <c r="AN15" s="76">
        <f>IFERROR(IF(AND(d_Irr!M15&lt;&gt;".",d_Irr!AL15&lt;&gt;".",d_Irr!BK15&lt;&gt;"."),d_dir!AN15/((1/1000)*(d_Irr!M15+d_Irr!AL15+d_Irr!BK15)),IF(AND(d_Irr!M15&lt;&gt;".",d_Irr!AL15&lt;&gt;".",d_Irr!BK15="."),d_dir!AN15/((1/1000)*(d_Irr!M15+d_Irr!AL15)),IF(AND(d_Irr!M15&lt;&gt;".",d_Irr!AL15=".",d_Irr!BK15&lt;&gt;"."),d_dir!AN15/((1/1000)*(d_Irr!M15+d_Irr!BK15)),IF(AND(d_Irr!M15=".",d_Irr!AL15&lt;&gt;".",d_Irr!BK15&lt;&gt;"."),d_dir!AN15/((1/1000)*(d_Irr!AL15+d_Irr!BK15)),IF(AND(d_Irr!M15=".",d_Irr!AL15=".",d_Irr!BK15&lt;&gt;"."),d_dir!AN15/((1/1000)*(d_Irr!BK15)),IF(AND(d_Irr!M15=".",d_Irr!AL15&lt;&gt;".",d_Irr!BK15="."),d_dir!AN15/((1/1000)*(d_Irr!AL15)),IF(AND(d_Irr!M15&lt;&gt;".",d_Irr!AL15=".",d_Irr!BK15="."),d_dir!AN15/((1/1000)*(d_Irr!M15)),IF(AND(d_Irr!M15=".",d_Irr!AL15=".",d_Irr!BK15="."),d_dir!AN15*1000)))))))),".")</f>
        <v>925.42924056812387</v>
      </c>
      <c r="AO15" s="76">
        <f>IFERROR(IF(AND(d_Irr!N15&lt;&gt;".",d_Irr!AM15&lt;&gt;".",d_Irr!BL15&lt;&gt;"."),d_dir!AO15/((1/1000)*(d_Irr!N15+d_Irr!AM15+d_Irr!BL15)),IF(AND(d_Irr!N15&lt;&gt;".",d_Irr!AM15&lt;&gt;".",d_Irr!BL15="."),d_dir!AO15/((1/1000)*(d_Irr!N15+d_Irr!AM15)),IF(AND(d_Irr!N15&lt;&gt;".",d_Irr!AM15=".",d_Irr!BL15&lt;&gt;"."),d_dir!AO15/((1/1000)*(d_Irr!N15+d_Irr!BL15)),IF(AND(d_Irr!N15=".",d_Irr!AM15&lt;&gt;".",d_Irr!BL15&lt;&gt;"."),d_dir!AO15/((1/1000)*(d_Irr!AM15+d_Irr!BL15)),IF(AND(d_Irr!N15=".",d_Irr!AM15=".",d_Irr!BL15&lt;&gt;"."),d_dir!AO15/((1/1000)*(d_Irr!BL15)),IF(AND(d_Irr!N15=".",d_Irr!AM15&lt;&gt;".",d_Irr!BL15="."),d_dir!AO15/((1/1000)*(d_Irr!AM15)),IF(AND(d_Irr!N15&lt;&gt;".",d_Irr!AM15=".",d_Irr!BL15="."),d_dir!AO15/((1/1000)*(d_Irr!N15)),IF(AND(d_Irr!N15=".",d_Irr!AM15=".",d_Irr!BL15="."),d_dir!AO15*1000)))))))),".")</f>
        <v>1607.8807395589613</v>
      </c>
      <c r="AP15" s="76">
        <f>IFERROR(IF(AND(d_Irr!O15&lt;&gt;".",d_Irr!AN15&lt;&gt;".",d_Irr!BM15&lt;&gt;"."),d_dir!AP15/((1/1000)*(d_Irr!O15+d_Irr!AN15+d_Irr!BM15)),IF(AND(d_Irr!O15&lt;&gt;".",d_Irr!AN15&lt;&gt;".",d_Irr!BM15="."),d_dir!AP15/((1/1000)*(d_Irr!O15+d_Irr!AN15)),IF(AND(d_Irr!O15&lt;&gt;".",d_Irr!AN15=".",d_Irr!BM15&lt;&gt;"."),d_dir!AP15/((1/1000)*(d_Irr!O15+d_Irr!BM15)),IF(AND(d_Irr!O15=".",d_Irr!AN15&lt;&gt;".",d_Irr!BM15&lt;&gt;"."),d_dir!AP15/((1/1000)*(d_Irr!AN15+d_Irr!BM15)),IF(AND(d_Irr!O15=".",d_Irr!AN15=".",d_Irr!BM15&lt;&gt;"."),d_dir!AP15/((1/1000)*(d_Irr!BM15)),IF(AND(d_Irr!O15=".",d_Irr!AN15&lt;&gt;".",d_Irr!BM15="."),d_dir!AP15/((1/1000)*(d_Irr!AN15)),IF(AND(d_Irr!O15&lt;&gt;".",d_Irr!AN15=".",d_Irr!BM15="."),d_dir!AP15/((1/1000)*(d_Irr!O15)),IF(AND(d_Irr!O15=".",d_Irr!AN15=".",d_Irr!BM15="."),d_dir!AP15*1000)))))))),".")</f>
        <v>1798.5528424690795</v>
      </c>
      <c r="AQ15" s="76">
        <f>IFERROR(IF(AND(d_Irr!P15&lt;&gt;".",d_Irr!AO15&lt;&gt;".",d_Irr!BN15&lt;&gt;"."),d_dir!AQ15/((1/1000)*(d_Irr!P15+d_Irr!AO15+d_Irr!BN15)),IF(AND(d_Irr!P15&lt;&gt;".",d_Irr!AO15&lt;&gt;".",d_Irr!BN15="."),d_dir!AQ15/((1/1000)*(d_Irr!P15+d_Irr!AO15)),IF(AND(d_Irr!P15&lt;&gt;".",d_Irr!AO15=".",d_Irr!BN15&lt;&gt;"."),d_dir!AQ15/((1/1000)*(d_Irr!P15+d_Irr!BN15)),IF(AND(d_Irr!P15=".",d_Irr!AO15&lt;&gt;".",d_Irr!BN15&lt;&gt;"."),d_dir!AQ15/((1/1000)*(d_Irr!AO15+d_Irr!BN15)),IF(AND(d_Irr!P15=".",d_Irr!AO15=".",d_Irr!BN15&lt;&gt;"."),d_dir!AQ15/((1/1000)*(d_Irr!BN15)),IF(AND(d_Irr!P15=".",d_Irr!AO15&lt;&gt;".",d_Irr!BN15="."),d_dir!AQ15/((1/1000)*(d_Irr!AO15)),IF(AND(d_Irr!P15&lt;&gt;".",d_Irr!AO15=".",d_Irr!BN15="."),d_dir!AQ15/((1/1000)*(d_Irr!P15)),IF(AND(d_Irr!P15=".",d_Irr!AO15=".",d_Irr!BN15="."),d_dir!AQ15*1000)))))))),".")</f>
        <v>2014.116043768998</v>
      </c>
      <c r="AR15" s="76">
        <f>IFERROR(IF(AND(d_Irr!Q15&lt;&gt;".",d_Irr!AP15&lt;&gt;".",d_Irr!BO15&lt;&gt;"."),d_dir!AR15/((1/1000)*(d_Irr!Q15+d_Irr!AP15+d_Irr!BO15)),IF(AND(d_Irr!Q15&lt;&gt;".",d_Irr!AP15&lt;&gt;".",d_Irr!BO15="."),d_dir!AR15/((1/1000)*(d_Irr!Q15+d_Irr!AP15)),IF(AND(d_Irr!Q15&lt;&gt;".",d_Irr!AP15=".",d_Irr!BO15&lt;&gt;"."),d_dir!AR15/((1/1000)*(d_Irr!Q15+d_Irr!BO15)),IF(AND(d_Irr!Q15=".",d_Irr!AP15&lt;&gt;".",d_Irr!BO15&lt;&gt;"."),d_dir!AR15/((1/1000)*(d_Irr!AP15+d_Irr!BO15)),IF(AND(d_Irr!Q15=".",d_Irr!AP15=".",d_Irr!BO15&lt;&gt;"."),d_dir!AR15/((1/1000)*(d_Irr!BO15)),IF(AND(d_Irr!Q15=".",d_Irr!AP15&lt;&gt;".",d_Irr!BO15="."),d_dir!AR15/((1/1000)*(d_Irr!AP15)),IF(AND(d_Irr!Q15&lt;&gt;".",d_Irr!AP15=".",d_Irr!BO15="."),d_dir!AR15/((1/1000)*(d_Irr!Q15)),IF(AND(d_Irr!Q15=".",d_Irr!AP15=".",d_Irr!BO15="."),d_dir!AR15*1000)))))))),".")</f>
        <v>499.84874846987782</v>
      </c>
      <c r="AS15" s="76">
        <f>IFERROR(IF(AND(d_Irr!R15&lt;&gt;".",d_Irr!AQ15&lt;&gt;".",d_Irr!BP15&lt;&gt;"."),d_dir!AS15/((1/1000)*(d_Irr!R15+d_Irr!AQ15+d_Irr!BP15)),IF(AND(d_Irr!R15&lt;&gt;".",d_Irr!AQ15&lt;&gt;".",d_Irr!BP15="."),d_dir!AS15/((1/1000)*(d_Irr!R15+d_Irr!AQ15)),IF(AND(d_Irr!R15&lt;&gt;".",d_Irr!AQ15=".",d_Irr!BP15&lt;&gt;"."),d_dir!AS15/((1/1000)*(d_Irr!R15+d_Irr!BP15)),IF(AND(d_Irr!R15=".",d_Irr!AQ15&lt;&gt;".",d_Irr!BP15&lt;&gt;"."),d_dir!AS15/((1/1000)*(d_Irr!AQ15+d_Irr!BP15)),IF(AND(d_Irr!R15=".",d_Irr!AQ15=".",d_Irr!BP15&lt;&gt;"."),d_dir!AS15/((1/1000)*(d_Irr!BP15)),IF(AND(d_Irr!R15=".",d_Irr!AQ15&lt;&gt;".",d_Irr!BP15="."),d_dir!AS15/((1/1000)*(d_Irr!AQ15)),IF(AND(d_Irr!R15&lt;&gt;".",d_Irr!AQ15=".",d_Irr!BP15="."),d_dir!AS15/((1/1000)*(d_Irr!R15)),IF(AND(d_Irr!R15=".",d_Irr!AQ15=".",d_Irr!BP15="."),d_dir!AS15*1000)))))))),".")</f>
        <v>815.07807776266861</v>
      </c>
      <c r="AT15" s="76">
        <f>IFERROR(IF(AND(d_Irr!S15&lt;&gt;".",d_Irr!AR15&lt;&gt;".",d_Irr!BQ15&lt;&gt;"."),d_dir!AT15/((1/1000)*(d_Irr!S15+d_Irr!AR15+d_Irr!BQ15)),IF(AND(d_Irr!S15&lt;&gt;".",d_Irr!AR15&lt;&gt;".",d_Irr!BQ15="."),d_dir!AT15/((1/1000)*(d_Irr!S15+d_Irr!AR15)),IF(AND(d_Irr!S15&lt;&gt;".",d_Irr!AR15=".",d_Irr!BQ15&lt;&gt;"."),d_dir!AT15/((1/1000)*(d_Irr!S15+d_Irr!BQ15)),IF(AND(d_Irr!S15=".",d_Irr!AR15&lt;&gt;".",d_Irr!BQ15&lt;&gt;"."),d_dir!AT15/((1/1000)*(d_Irr!AR15+d_Irr!BQ15)),IF(AND(d_Irr!S15=".",d_Irr!AR15=".",d_Irr!BQ15&lt;&gt;"."),d_dir!AT15/((1/1000)*(d_Irr!BQ15)),IF(AND(d_Irr!S15=".",d_Irr!AR15&lt;&gt;".",d_Irr!BQ15="."),d_dir!AT15/((1/1000)*(d_Irr!AR15)),IF(AND(d_Irr!S15&lt;&gt;".",d_Irr!AR15=".",d_Irr!BQ15="."),d_dir!AT15/((1/1000)*(d_Irr!S15)),IF(AND(d_Irr!S15=".",d_Irr!AR15=".",d_Irr!BQ15="."),d_dir!AT15*1000)))))))),".")</f>
        <v>1784.5376551818163</v>
      </c>
      <c r="AU15" s="76">
        <f>IFERROR(IF(AND(d_Irr!T15&lt;&gt;".",d_Irr!AS15&lt;&gt;".",d_Irr!BR15&lt;&gt;"."),d_dir!AU15/((1/1000)*(d_Irr!T15+d_Irr!AS15+d_Irr!BR15)),IF(AND(d_Irr!T15&lt;&gt;".",d_Irr!AS15&lt;&gt;".",d_Irr!BR15="."),d_dir!AU15/((1/1000)*(d_Irr!T15+d_Irr!AS15)),IF(AND(d_Irr!T15&lt;&gt;".",d_Irr!AS15=".",d_Irr!BR15&lt;&gt;"."),d_dir!AU15/((1/1000)*(d_Irr!T15+d_Irr!BR15)),IF(AND(d_Irr!T15=".",d_Irr!AS15&lt;&gt;".",d_Irr!BR15&lt;&gt;"."),d_dir!AU15/((1/1000)*(d_Irr!AS15+d_Irr!BR15)),IF(AND(d_Irr!T15=".",d_Irr!AS15=".",d_Irr!BR15&lt;&gt;"."),d_dir!AU15/((1/1000)*(d_Irr!BR15)),IF(AND(d_Irr!T15=".",d_Irr!AS15&lt;&gt;".",d_Irr!BR15="."),d_dir!AU15/((1/1000)*(d_Irr!AS15)),IF(AND(d_Irr!T15&lt;&gt;".",d_Irr!AS15=".",d_Irr!BR15="."),d_dir!AU15/((1/1000)*(d_Irr!T15)),IF(AND(d_Irr!T15=".",d_Irr!AS15=".",d_Irr!BR15="."),d_dir!AU15*1000)))))))),".")</f>
        <v>2445.5963737194079</v>
      </c>
      <c r="AV15" s="76">
        <f>IFERROR(IF(AND(d_Irr!U15&lt;&gt;".",d_Irr!AT15&lt;&gt;".",d_Irr!BS15&lt;&gt;"."),d_dir!AV15/((1/1000)*(d_Irr!U15+d_Irr!AT15+d_Irr!BS15)),IF(AND(d_Irr!U15&lt;&gt;".",d_Irr!AT15&lt;&gt;".",d_Irr!BS15="."),d_dir!AV15/((1/1000)*(d_Irr!U15+d_Irr!AT15)),IF(AND(d_Irr!U15&lt;&gt;".",d_Irr!AT15=".",d_Irr!BS15&lt;&gt;"."),d_dir!AV15/((1/1000)*(d_Irr!U15+d_Irr!BS15)),IF(AND(d_Irr!U15=".",d_Irr!AT15&lt;&gt;".",d_Irr!BS15&lt;&gt;"."),d_dir!AV15/((1/1000)*(d_Irr!AT15+d_Irr!BS15)),IF(AND(d_Irr!U15=".",d_Irr!AT15=".",d_Irr!BS15&lt;&gt;"."),d_dir!AV15/((1/1000)*(d_Irr!BS15)),IF(AND(d_Irr!U15=".",d_Irr!AT15&lt;&gt;".",d_Irr!BS15="."),d_dir!AV15/((1/1000)*(d_Irr!AT15)),IF(AND(d_Irr!U15&lt;&gt;".",d_Irr!AT15=".",d_Irr!BS15="."),d_dir!AV15/((1/1000)*(d_Irr!U15)),IF(AND(d_Irr!U15=".",d_Irr!AT15=".",d_Irr!BS15="."),d_dir!AV15*1000)))))))),".")</f>
        <v>430.99309797235486</v>
      </c>
      <c r="AW15" s="76">
        <f>IFERROR(IF(AND(d_Irr!V15&lt;&gt;".",d_Irr!AU15&lt;&gt;".",d_Irr!BT15&lt;&gt;"."),d_dir!AW15/((1/1000)*(d_Irr!V15+d_Irr!AU15+d_Irr!BT15)),IF(AND(d_Irr!V15&lt;&gt;".",d_Irr!AU15&lt;&gt;".",d_Irr!BT15="."),d_dir!AW15/((1/1000)*(d_Irr!V15+d_Irr!AU15)),IF(AND(d_Irr!V15&lt;&gt;".",d_Irr!AU15=".",d_Irr!BT15&lt;&gt;"."),d_dir!AW15/((1/1000)*(d_Irr!V15+d_Irr!BT15)),IF(AND(d_Irr!V15=".",d_Irr!AU15&lt;&gt;".",d_Irr!BT15&lt;&gt;"."),d_dir!AW15/((1/1000)*(d_Irr!AU15+d_Irr!BT15)),IF(AND(d_Irr!V15=".",d_Irr!AU15=".",d_Irr!BT15&lt;&gt;"."),d_dir!AW15/((1/1000)*(d_Irr!BT15)),IF(AND(d_Irr!V15=".",d_Irr!AU15&lt;&gt;".",d_Irr!BT15="."),d_dir!AW15/((1/1000)*(d_Irr!AU15)),IF(AND(d_Irr!V15&lt;&gt;".",d_Irr!AU15=".",d_Irr!BT15="."),d_dir!AW15/((1/1000)*(d_Irr!V15)),IF(AND(d_Irr!V15=".",d_Irr!AU15=".",d_Irr!BT15="."),d_dir!AW15*1000)))))))),".")</f>
        <v>857.66397051554179</v>
      </c>
      <c r="AX15" s="76">
        <f>IFERROR(IF(AND(d_Irr!W15&lt;&gt;".",d_Irr!AV15&lt;&gt;".",d_Irr!BU15&lt;&gt;"."),d_dir!AX15/((1/1000)*(d_Irr!W15+d_Irr!AV15+d_Irr!BU15)),IF(AND(d_Irr!W15&lt;&gt;".",d_Irr!AV15&lt;&gt;".",d_Irr!BU15="."),d_dir!AX15/((1/1000)*(d_Irr!W15+d_Irr!AV15)),IF(AND(d_Irr!W15&lt;&gt;".",d_Irr!AV15=".",d_Irr!BU15&lt;&gt;"."),d_dir!AX15/((1/1000)*(d_Irr!W15+d_Irr!BU15)),IF(AND(d_Irr!W15=".",d_Irr!AV15&lt;&gt;".",d_Irr!BU15&lt;&gt;"."),d_dir!AX15/((1/1000)*(d_Irr!AV15+d_Irr!BU15)),IF(AND(d_Irr!W15=".",d_Irr!AV15=".",d_Irr!BU15&lt;&gt;"."),d_dir!AX15/((1/1000)*(d_Irr!BU15)),IF(AND(d_Irr!W15=".",d_Irr!AV15&lt;&gt;".",d_Irr!BU15="."),d_dir!AX15/((1/1000)*(d_Irr!AV15)),IF(AND(d_Irr!W15&lt;&gt;".",d_Irr!AV15=".",d_Irr!BU15="."),d_dir!AX15/((1/1000)*(d_Irr!W15)),IF(AND(d_Irr!W15=".",d_Irr!AV15=".",d_Irr!BU15="."),d_dir!AX15*1000)))))))),".")</f>
        <v>1009.2555730652873</v>
      </c>
      <c r="AY15" s="76">
        <f>IFERROR(IF(AND(d_Irr!X15&lt;&gt;".",d_Irr!AW15&lt;&gt;".",d_Irr!BV15&lt;&gt;"."),d_dir!AY15/((1/1000)*(d_Irr!X15+d_Irr!AW15+d_Irr!BV15)),IF(AND(d_Irr!X15&lt;&gt;".",d_Irr!AW15&lt;&gt;".",d_Irr!BV15="."),d_dir!AY15/((1/1000)*(d_Irr!X15+d_Irr!AW15)),IF(AND(d_Irr!X15&lt;&gt;".",d_Irr!AW15=".",d_Irr!BV15&lt;&gt;"."),d_dir!AY15/((1/1000)*(d_Irr!X15+d_Irr!BV15)),IF(AND(d_Irr!X15=".",d_Irr!AW15&lt;&gt;".",d_Irr!BV15&lt;&gt;"."),d_dir!AY15/((1/1000)*(d_Irr!AW15+d_Irr!BV15)),IF(AND(d_Irr!X15=".",d_Irr!AW15=".",d_Irr!BV15&lt;&gt;"."),d_dir!AY15/((1/1000)*(d_Irr!BV15)),IF(AND(d_Irr!X15=".",d_Irr!AW15&lt;&gt;".",d_Irr!BV15="."),d_dir!AY15/((1/1000)*(d_Irr!AW15)),IF(AND(d_Irr!X15&lt;&gt;".",d_Irr!AW15=".",d_Irr!BV15="."),d_dir!AY15/((1/1000)*(d_Irr!X15)),IF(AND(d_Irr!X15=".",d_Irr!AW15=".",d_Irr!BV15="."),d_dir!AY15*1000)))))))),".")</f>
        <v>1325.1974464776335</v>
      </c>
      <c r="AZ15" s="76">
        <f>IFERROR(IF(AND(d_Irr!Y15&lt;&gt;".",d_Irr!AX15&lt;&gt;".",d_Irr!BW15&lt;&gt;"."),d_dir!AZ15/((1/1000)*(d_Irr!Y15+d_Irr!AX15+d_Irr!BW15)),IF(AND(d_Irr!Y15&lt;&gt;".",d_Irr!AX15&lt;&gt;".",d_Irr!BW15="."),d_dir!AZ15/((1/1000)*(d_Irr!Y15+d_Irr!AX15)),IF(AND(d_Irr!Y15&lt;&gt;".",d_Irr!AX15=".",d_Irr!BW15&lt;&gt;"."),d_dir!AZ15/((1/1000)*(d_Irr!Y15+d_Irr!BW15)),IF(AND(d_Irr!Y15=".",d_Irr!AX15&lt;&gt;".",d_Irr!BW15&lt;&gt;"."),d_dir!AZ15/((1/1000)*(d_Irr!AX15+d_Irr!BW15)),IF(AND(d_Irr!Y15=".",d_Irr!AX15=".",d_Irr!BW15&lt;&gt;"."),d_dir!AZ15/((1/1000)*(d_Irr!BW15)),IF(AND(d_Irr!Y15=".",d_Irr!AX15&lt;&gt;".",d_Irr!BW15="."),d_dir!AZ15/((1/1000)*(d_Irr!AX15)),IF(AND(d_Irr!Y15&lt;&gt;".",d_Irr!AX15=".",d_Irr!BW15="."),d_dir!AZ15/((1/1000)*(d_Irr!Y15)),IF(AND(d_Irr!Y15=".",d_Irr!AX15=".",d_Irr!BW15="."),d_dir!AZ15*1000)))))))),".")</f>
        <v>560.2757063906962</v>
      </c>
      <c r="BA15" s="76">
        <f>IFERROR(IF(AND(d_Irr!Z15&lt;&gt;".",d_Irr!AY15&lt;&gt;".",d_Irr!BX15&lt;&gt;"."),d_dir!BA15/((1/1000)*(d_Irr!Z15+d_Irr!AY15+d_Irr!BX15)),IF(AND(d_Irr!Z15&lt;&gt;".",d_Irr!AY15&lt;&gt;".",d_Irr!BX15="."),d_dir!BA15/((1/1000)*(d_Irr!Z15+d_Irr!AY15)),IF(AND(d_Irr!Z15&lt;&gt;".",d_Irr!AY15=".",d_Irr!BX15&lt;&gt;"."),d_dir!BA15/((1/1000)*(d_Irr!Z15+d_Irr!BX15)),IF(AND(d_Irr!Z15=".",d_Irr!AY15&lt;&gt;".",d_Irr!BX15&lt;&gt;"."),d_dir!BA15/((1/1000)*(d_Irr!AY15+d_Irr!BX15)),IF(AND(d_Irr!Z15=".",d_Irr!AY15=".",d_Irr!BX15&lt;&gt;"."),d_dir!BA15/((1/1000)*(d_Irr!BX15)),IF(AND(d_Irr!Z15=".",d_Irr!AY15&lt;&gt;".",d_Irr!BX15="."),d_dir!BA15/((1/1000)*(d_Irr!AY15)),IF(AND(d_Irr!Z15&lt;&gt;".",d_Irr!AY15=".",d_Irr!BX15="."),d_dir!BA15/((1/1000)*(d_Irr!Z15)),IF(AND(d_Irr!Z15=".",d_Irr!AY15=".",d_Irr!BX15="."),d_dir!BA15*1000)))))))),".")</f>
        <v>202.35577920149788</v>
      </c>
      <c r="BB15" s="76">
        <f>IFERROR(IF(AND(d_Irr!AA15&lt;&gt;".",d_Irr!AZ15&lt;&gt;".",d_Irr!BY15&lt;&gt;"."),d_dir!BB15/((1/1000)*(d_Irr!AA15+d_Irr!AZ15+d_Irr!BY15)),IF(AND(d_Irr!AA15&lt;&gt;".",d_Irr!AZ15&lt;&gt;".",d_Irr!BY15="."),d_dir!BB15/((1/1000)*(d_Irr!AA15+d_Irr!AZ15)),IF(AND(d_Irr!AA15&lt;&gt;".",d_Irr!AZ15=".",d_Irr!BY15&lt;&gt;"."),d_dir!BB15/((1/1000)*(d_Irr!AA15+d_Irr!BY15)),IF(AND(d_Irr!AA15=".",d_Irr!AZ15&lt;&gt;".",d_Irr!BY15&lt;&gt;"."),d_dir!BB15/((1/1000)*(d_Irr!AZ15+d_Irr!BY15)),IF(AND(d_Irr!AA15=".",d_Irr!AZ15=".",d_Irr!BY15&lt;&gt;"."),d_dir!BB15/((1/1000)*(d_Irr!BY15)),IF(AND(d_Irr!AA15=".",d_Irr!AZ15&lt;&gt;".",d_Irr!BY15="."),d_dir!BB15/((1/1000)*(d_Irr!AZ15)),IF(AND(d_Irr!AA15&lt;&gt;".",d_Irr!AZ15=".",d_Irr!BY15="."),d_dir!BB15/((1/1000)*(d_Irr!AA15)),IF(AND(d_Irr!AA15=".",d_Irr!AZ15=".",d_Irr!BY15="."),d_dir!BB15*1000)))))))),".")</f>
        <v>199.23185365520123</v>
      </c>
    </row>
    <row r="16" spans="1:54" ht="15" customHeight="1" x14ac:dyDescent="0.25">
      <c r="A16" s="92" t="s">
        <v>26</v>
      </c>
      <c r="B16" s="90" t="s">
        <v>1071</v>
      </c>
      <c r="C16" s="2">
        <f t="shared" si="1"/>
        <v>1.645504735421115E-2</v>
      </c>
      <c r="D16" s="76">
        <f>IFERROR(IF(AND(d_Irr!C16&lt;&gt;".",d_Irr!AB16&lt;&gt;".",d_Irr!BA16&lt;&gt;"."),d_dir!D16/((1/1000)*(d_Irr!C16+d_Irr!AB16+d_Irr!BA16)),IF(AND(d_Irr!C16&lt;&gt;".",d_Irr!AB16&lt;&gt;".",d_Irr!BA16="."),d_dir!D16/((1/1000)*(d_Irr!C16+d_Irr!AB16)),IF(AND(d_Irr!C16&lt;&gt;".",d_Irr!AB16=".",d_Irr!BA16&lt;&gt;"."),d_dir!D16/((1/1000)*(d_Irr!C16+d_Irr!BA16)),IF(AND(d_Irr!C16=".",d_Irr!AB16&lt;&gt;".",d_Irr!BA16&lt;&gt;"."),d_dir!D16/((1/1000)*(d_Irr!AB16+d_Irr!BA16)),IF(AND(d_Irr!C16=".",d_Irr!AB16=".",d_Irr!BA16&lt;&gt;"."),d_dir!D16/((1/1000)*(d_Irr!BA16)),IF(AND(d_Irr!C16=".",d_Irr!AB16&lt;&gt;".",d_Irr!BA16="."),d_dir!D16/((1/1000)*(d_Irr!AB16)),IF(AND(d_Irr!C16&lt;&gt;".",d_Irr!AB16=".",d_Irr!BA16="."),d_dir!D16/((1/1000)*(d_Irr!C16)),IF(AND(d_Irr!C16=".",d_Irr!AB16=".",d_Irr!BA16="."),d_dir!D16*1000)))))))),".")</f>
        <v>0.31739621842388793</v>
      </c>
      <c r="E16" s="76">
        <f>IFERROR(IF(AND(d_Irr!D16&lt;&gt;".",d_Irr!AC16&lt;&gt;".",d_Irr!BB16&lt;&gt;"."),d_dir!E16/((1/1000)*(d_Irr!D16+d_Irr!AC16+d_Irr!BB16)),IF(AND(d_Irr!D16&lt;&gt;".",d_Irr!AC16&lt;&gt;".",d_Irr!BB16="."),d_dir!E16/((1/1000)*(d_Irr!D16+d_Irr!AC16)),IF(AND(d_Irr!D16&lt;&gt;".",d_Irr!AC16=".",d_Irr!BB16&lt;&gt;"."),d_dir!E16/((1/1000)*(d_Irr!D16+d_Irr!BB16)),IF(AND(d_Irr!D16=".",d_Irr!AC16&lt;&gt;".",d_Irr!BB16&lt;&gt;"."),d_dir!E16/((1/1000)*(d_Irr!AC16+d_Irr!BB16)),IF(AND(d_Irr!D16=".",d_Irr!AC16=".",d_Irr!BB16&lt;&gt;"."),d_dir!E16/((1/1000)*(d_Irr!BB16)),IF(AND(d_Irr!D16=".",d_Irr!AC16&lt;&gt;".",d_Irr!BB16="."),d_dir!E16/((1/1000)*(d_Irr!AC16)),IF(AND(d_Irr!D16&lt;&gt;".",d_Irr!AC16=".",d_Irr!BB16="."),d_dir!E16/((1/1000)*(d_Irr!D16)),IF(AND(d_Irr!D16=".",d_Irr!AC16=".",d_Irr!BB16="."),d_dir!E16*1000)))))))),".")</f>
        <v>0.4274107922735827</v>
      </c>
      <c r="F16" s="76">
        <f>IFERROR(IF(AND(d_Irr!E16&lt;&gt;".",d_Irr!AD16&lt;&gt;".",d_Irr!BC16&lt;&gt;"."),d_dir!F16/((1/1000)*(d_Irr!E16+d_Irr!AD16+d_Irr!BC16)),IF(AND(d_Irr!E16&lt;&gt;".",d_Irr!AD16&lt;&gt;".",d_Irr!BC16="."),d_dir!F16/((1/1000)*(d_Irr!E16+d_Irr!AD16)),IF(AND(d_Irr!E16&lt;&gt;".",d_Irr!AD16=".",d_Irr!BC16&lt;&gt;"."),d_dir!F16/((1/1000)*(d_Irr!E16+d_Irr!BC16)),IF(AND(d_Irr!E16=".",d_Irr!AD16&lt;&gt;".",d_Irr!BC16&lt;&gt;"."),d_dir!F16/((1/1000)*(d_Irr!AD16+d_Irr!BC16)),IF(AND(d_Irr!E16=".",d_Irr!AD16=".",d_Irr!BC16&lt;&gt;"."),d_dir!F16/((1/1000)*(d_Irr!BC16)),IF(AND(d_Irr!E16=".",d_Irr!AD16&lt;&gt;".",d_Irr!BC16="."),d_dir!F16/((1/1000)*(d_Irr!AD16)),IF(AND(d_Irr!E16&lt;&gt;".",d_Irr!AD16=".",d_Irr!BC16="."),d_dir!F16/((1/1000)*(d_Irr!E16)),IF(AND(d_Irr!E16=".",d_Irr!AD16=".",d_Irr!BC16="."),d_dir!F16*1000)))))))),".")</f>
        <v>0.8017143087607399</v>
      </c>
      <c r="G16" s="76">
        <f>IFERROR(IF(AND(d_Irr!F16&lt;&gt;".",d_Irr!AE16&lt;&gt;".",d_Irr!BD16&lt;&gt;"."),d_dir!G16/((1/1000)*(d_Irr!F16+d_Irr!AE16+d_Irr!BD16)),IF(AND(d_Irr!F16&lt;&gt;".",d_Irr!AE16&lt;&gt;".",d_Irr!BD16="."),d_dir!G16/((1/1000)*(d_Irr!F16+d_Irr!AE16)),IF(AND(d_Irr!F16&lt;&gt;".",d_Irr!AE16=".",d_Irr!BD16&lt;&gt;"."),d_dir!G16/((1/1000)*(d_Irr!F16+d_Irr!BD16)),IF(AND(d_Irr!F16=".",d_Irr!AE16&lt;&gt;".",d_Irr!BD16&lt;&gt;"."),d_dir!G16/((1/1000)*(d_Irr!AE16+d_Irr!BD16)),IF(AND(d_Irr!F16=".",d_Irr!AE16=".",d_Irr!BD16&lt;&gt;"."),d_dir!G16/((1/1000)*(d_Irr!BD16)),IF(AND(d_Irr!F16=".",d_Irr!AE16&lt;&gt;".",d_Irr!BD16="."),d_dir!G16/((1/1000)*(d_Irr!AE16)),IF(AND(d_Irr!F16&lt;&gt;".",d_Irr!AE16=".",d_Irr!BD16="."),d_dir!G16/((1/1000)*(d_Irr!F16)),IF(AND(d_Irr!F16=".",d_Irr!AE16=".",d_Irr!BD16="."),d_dir!G16*1000)))))))),".")</f>
        <v>0.71384163772494891</v>
      </c>
      <c r="H16" s="76">
        <f>IFERROR(IF(AND(d_Irr!G16&lt;&gt;".",d_Irr!AF16&lt;&gt;".",d_Irr!BE16&lt;&gt;"."),d_dir!H16/((1/1000)*(d_Irr!G16+d_Irr!AF16+d_Irr!BE16)),IF(AND(d_Irr!G16&lt;&gt;".",d_Irr!AF16&lt;&gt;".",d_Irr!BE16="."),d_dir!H16/((1/1000)*(d_Irr!G16+d_Irr!AF16)),IF(AND(d_Irr!G16&lt;&gt;".",d_Irr!AF16=".",d_Irr!BE16&lt;&gt;"."),d_dir!H16/((1/1000)*(d_Irr!G16+d_Irr!BE16)),IF(AND(d_Irr!G16=".",d_Irr!AF16&lt;&gt;".",d_Irr!BE16&lt;&gt;"."),d_dir!H16/((1/1000)*(d_Irr!AF16+d_Irr!BE16)),IF(AND(d_Irr!G16=".",d_Irr!AF16=".",d_Irr!BE16&lt;&gt;"."),d_dir!H16/((1/1000)*(d_Irr!BE16)),IF(AND(d_Irr!G16=".",d_Irr!AF16&lt;&gt;".",d_Irr!BE16="."),d_dir!H16/((1/1000)*(d_Irr!AF16)),IF(AND(d_Irr!G16&lt;&gt;".",d_Irr!AF16=".",d_Irr!BE16="."),d_dir!H16/((1/1000)*(d_Irr!G16)),IF(AND(d_Irr!G16=".",d_Irr!AF16=".",d_Irr!BE16="."),d_dir!H16*1000)))))))),".")</f>
        <v>0.83596689234596711</v>
      </c>
      <c r="I16" s="76">
        <f>IFERROR(IF(AND(d_Irr!H16&lt;&gt;".",d_Irr!AG16&lt;&gt;".",d_Irr!BF16&lt;&gt;"."),d_dir!I16/((1/1000)*(d_Irr!H16+d_Irr!AG16+d_Irr!BF16)),IF(AND(d_Irr!H16&lt;&gt;".",d_Irr!AG16&lt;&gt;".",d_Irr!BF16="."),d_dir!I16/((1/1000)*(d_Irr!H16+d_Irr!AG16)),IF(AND(d_Irr!H16&lt;&gt;".",d_Irr!AG16=".",d_Irr!BF16&lt;&gt;"."),d_dir!I16/((1/1000)*(d_Irr!H16+d_Irr!BF16)),IF(AND(d_Irr!H16=".",d_Irr!AG16&lt;&gt;".",d_Irr!BF16&lt;&gt;"."),d_dir!I16/((1/1000)*(d_Irr!AG16+d_Irr!BF16)),IF(AND(d_Irr!H16=".",d_Irr!AG16=".",d_Irr!BF16&lt;&gt;"."),d_dir!I16/((1/1000)*(d_Irr!BF16)),IF(AND(d_Irr!H16=".",d_Irr!AG16&lt;&gt;".",d_Irr!BF16="."),d_dir!I16/((1/1000)*(d_Irr!AG16)),IF(AND(d_Irr!H16&lt;&gt;".",d_Irr!AG16=".",d_Irr!BF16="."),d_dir!I16/((1/1000)*(d_Irr!H16)),IF(AND(d_Irr!H16=".",d_Irr!AG16=".",d_Irr!BF16="."),d_dir!I16*1000)))))))),".")</f>
        <v>0.21054109749707559</v>
      </c>
      <c r="J16" s="76">
        <f>IFERROR(IF(AND(d_Irr!I16&lt;&gt;".",d_Irr!AH16&lt;&gt;".",d_Irr!BG16&lt;&gt;"."),d_dir!J16/((1/1000)*(d_Irr!I16+d_Irr!AH16+d_Irr!BG16)),IF(AND(d_Irr!I16&lt;&gt;".",d_Irr!AH16&lt;&gt;".",d_Irr!BG16="."),d_dir!J16/((1/1000)*(d_Irr!I16+d_Irr!AH16)),IF(AND(d_Irr!I16&lt;&gt;".",d_Irr!AH16=".",d_Irr!BG16&lt;&gt;"."),d_dir!J16/((1/1000)*(d_Irr!I16+d_Irr!BG16)),IF(AND(d_Irr!I16=".",d_Irr!AH16&lt;&gt;".",d_Irr!BG16&lt;&gt;"."),d_dir!J16/((1/1000)*(d_Irr!AH16+d_Irr!BG16)),IF(AND(d_Irr!I16=".",d_Irr!AH16=".",d_Irr!BG16&lt;&gt;"."),d_dir!J16/((1/1000)*(d_Irr!BG16)),IF(AND(d_Irr!I16=".",d_Irr!AH16&lt;&gt;".",d_Irr!BG16="."),d_dir!J16/((1/1000)*(d_Irr!AH16)),IF(AND(d_Irr!I16&lt;&gt;".",d_Irr!AH16=".",d_Irr!BG16="."),d_dir!J16/((1/1000)*(d_Irr!I16)),IF(AND(d_Irr!I16=".",d_Irr!AH16=".",d_Irr!BG16="."),d_dir!J16*1000)))))))),".")</f>
        <v>0.9231233290517149</v>
      </c>
      <c r="K16" s="76">
        <f>IFERROR(IF(AND(d_Irr!J16&lt;&gt;".",d_Irr!AI16&lt;&gt;".",d_Irr!BH16&lt;&gt;"."),d_dir!K16/((1/1000)*(d_Irr!J16+d_Irr!AI16+d_Irr!BH16)),IF(AND(d_Irr!J16&lt;&gt;".",d_Irr!AI16&lt;&gt;".",d_Irr!BH16="."),d_dir!K16/((1/1000)*(d_Irr!J16+d_Irr!AI16)),IF(AND(d_Irr!J16&lt;&gt;".",d_Irr!AI16=".",d_Irr!BH16&lt;&gt;"."),d_dir!K16/((1/1000)*(d_Irr!J16+d_Irr!BH16)),IF(AND(d_Irr!J16=".",d_Irr!AI16&lt;&gt;".",d_Irr!BH16&lt;&gt;"."),d_dir!K16/((1/1000)*(d_Irr!AI16+d_Irr!BH16)),IF(AND(d_Irr!J16=".",d_Irr!AI16=".",d_Irr!BH16&lt;&gt;"."),d_dir!K16/((1/1000)*(d_Irr!BH16)),IF(AND(d_Irr!J16=".",d_Irr!AI16&lt;&gt;".",d_Irr!BH16="."),d_dir!K16/((1/1000)*(d_Irr!AI16)),IF(AND(d_Irr!J16&lt;&gt;".",d_Irr!AI16=".",d_Irr!BH16="."),d_dir!K16/((1/1000)*(d_Irr!J16)),IF(AND(d_Irr!J16=".",d_Irr!AI16=".",d_Irr!BH16="."),d_dir!K16*1000)))))))),".")</f>
        <v>8.2302879135207882E-2</v>
      </c>
      <c r="L16" s="76">
        <f>IFERROR(IF(AND(d_Irr!K16&lt;&gt;".",d_Irr!AJ16&lt;&gt;".",d_Irr!BI16&lt;&gt;"."),d_dir!L16/((1/1000)*(d_Irr!K16+d_Irr!AJ16+d_Irr!BI16)),IF(AND(d_Irr!K16&lt;&gt;".",d_Irr!AJ16&lt;&gt;".",d_Irr!BI16="."),d_dir!L16/((1/1000)*(d_Irr!K16+d_Irr!AJ16)),IF(AND(d_Irr!K16&lt;&gt;".",d_Irr!AJ16=".",d_Irr!BI16&lt;&gt;"."),d_dir!L16/((1/1000)*(d_Irr!K16+d_Irr!BI16)),IF(AND(d_Irr!K16=".",d_Irr!AJ16&lt;&gt;".",d_Irr!BI16&lt;&gt;"."),d_dir!L16/((1/1000)*(d_Irr!AJ16+d_Irr!BI16)),IF(AND(d_Irr!K16=".",d_Irr!AJ16=".",d_Irr!BI16&lt;&gt;"."),d_dir!L16/((1/1000)*(d_Irr!BI16)),IF(AND(d_Irr!K16=".",d_Irr!AJ16&lt;&gt;".",d_Irr!BI16="."),d_dir!L16/((1/1000)*(d_Irr!AJ16)),IF(AND(d_Irr!K16&lt;&gt;".",d_Irr!AJ16=".",d_Irr!BI16="."),d_dir!L16/((1/1000)*(d_Irr!K16)),IF(AND(d_Irr!K16=".",d_Irr!AJ16=".",d_Irr!BI16="."),d_dir!L16*1000)))))))),".")</f>
        <v>0.48986601165760368</v>
      </c>
      <c r="M16" s="76">
        <f>IFERROR(IF(AND(d_Irr!L16&lt;&gt;".",d_Irr!AK16&lt;&gt;".",d_Irr!BJ16&lt;&gt;"."),d_dir!M16/((1/1000)*(d_Irr!L16+d_Irr!AK16+d_Irr!BJ16)),IF(AND(d_Irr!L16&lt;&gt;".",d_Irr!AK16&lt;&gt;".",d_Irr!BJ16="."),d_dir!M16/((1/1000)*(d_Irr!L16+d_Irr!AK16)),IF(AND(d_Irr!L16&lt;&gt;".",d_Irr!AK16=".",d_Irr!BJ16&lt;&gt;"."),d_dir!M16/((1/1000)*(d_Irr!L16+d_Irr!BJ16)),IF(AND(d_Irr!L16=".",d_Irr!AK16&lt;&gt;".",d_Irr!BJ16&lt;&gt;"."),d_dir!M16/((1/1000)*(d_Irr!AK16+d_Irr!BJ16)),IF(AND(d_Irr!L16=".",d_Irr!AK16=".",d_Irr!BJ16&lt;&gt;"."),d_dir!M16/((1/1000)*(d_Irr!BJ16)),IF(AND(d_Irr!L16=".",d_Irr!AK16&lt;&gt;".",d_Irr!BJ16="."),d_dir!M16/((1/1000)*(d_Irr!AK16)),IF(AND(d_Irr!L16&lt;&gt;".",d_Irr!AK16=".",d_Irr!BJ16="."),d_dir!M16/((1/1000)*(d_Irr!L16)),IF(AND(d_Irr!L16=".",d_Irr!AK16=".",d_Irr!BJ16="."),d_dir!M16*1000)))))))),".")</f>
        <v>0.32399754971921463</v>
      </c>
      <c r="N16" s="76">
        <f>IFERROR(IF(AND(d_Irr!M16&lt;&gt;".",d_Irr!AL16&lt;&gt;".",d_Irr!BK16&lt;&gt;"."),d_dir!N16/((1/1000)*(d_Irr!M16+d_Irr!AL16+d_Irr!BK16)),IF(AND(d_Irr!M16&lt;&gt;".",d_Irr!AL16&lt;&gt;".",d_Irr!BK16="."),d_dir!N16/((1/1000)*(d_Irr!M16+d_Irr!AL16)),IF(AND(d_Irr!M16&lt;&gt;".",d_Irr!AL16=".",d_Irr!BK16&lt;&gt;"."),d_dir!N16/((1/1000)*(d_Irr!M16+d_Irr!BK16)),IF(AND(d_Irr!M16=".",d_Irr!AL16&lt;&gt;".",d_Irr!BK16&lt;&gt;"."),d_dir!N16/((1/1000)*(d_Irr!AL16+d_Irr!BK16)),IF(AND(d_Irr!M16=".",d_Irr!AL16=".",d_Irr!BK16&lt;&gt;"."),d_dir!N16/((1/1000)*(d_Irr!BK16)),IF(AND(d_Irr!M16=".",d_Irr!AL16&lt;&gt;".",d_Irr!BK16="."),d_dir!N16/((1/1000)*(d_Irr!AL16)),IF(AND(d_Irr!M16&lt;&gt;".",d_Irr!AL16=".",d_Irr!BK16="."),d_dir!N16/((1/1000)*(d_Irr!M16)),IF(AND(d_Irr!M16=".",d_Irr!AL16=".",d_Irr!BK16="."),d_dir!N16*1000)))))))),".")</f>
        <v>0.46084307902692551</v>
      </c>
      <c r="O16" s="76">
        <f>IFERROR(IF(AND(d_Irr!N16&lt;&gt;".",d_Irr!AM16&lt;&gt;".",d_Irr!BL16&lt;&gt;"."),d_dir!O16/((1/1000)*(d_Irr!N16+d_Irr!AM16+d_Irr!BL16)),IF(AND(d_Irr!N16&lt;&gt;".",d_Irr!AM16&lt;&gt;".",d_Irr!BL16="."),d_dir!O16/((1/1000)*(d_Irr!N16+d_Irr!AM16)),IF(AND(d_Irr!N16&lt;&gt;".",d_Irr!AM16=".",d_Irr!BL16&lt;&gt;"."),d_dir!O16/((1/1000)*(d_Irr!N16+d_Irr!BL16)),IF(AND(d_Irr!N16=".",d_Irr!AM16&lt;&gt;".",d_Irr!BL16&lt;&gt;"."),d_dir!O16/((1/1000)*(d_Irr!AM16+d_Irr!BL16)),IF(AND(d_Irr!N16=".",d_Irr!AM16=".",d_Irr!BL16&lt;&gt;"."),d_dir!O16/((1/1000)*(d_Irr!BL16)),IF(AND(d_Irr!N16=".",d_Irr!AM16&lt;&gt;".",d_Irr!BL16="."),d_dir!O16/((1/1000)*(d_Irr!AM16)),IF(AND(d_Irr!N16&lt;&gt;".",d_Irr!AM16=".",d_Irr!BL16="."),d_dir!O16/((1/1000)*(d_Irr!N16)),IF(AND(d_Irr!N16=".",d_Irr!AM16=".",d_Irr!BL16="."),d_dir!O16*1000)))))))),".")</f>
        <v>0.75537136010220896</v>
      </c>
      <c r="P16" s="76">
        <f>IFERROR(IF(AND(d_Irr!O16&lt;&gt;".",d_Irr!AN16&lt;&gt;".",d_Irr!BM16&lt;&gt;"."),d_dir!P16/((1/1000)*(d_Irr!O16+d_Irr!AN16+d_Irr!BM16)),IF(AND(d_Irr!O16&lt;&gt;".",d_Irr!AN16&lt;&gt;".",d_Irr!BM16="."),d_dir!P16/((1/1000)*(d_Irr!O16+d_Irr!AN16)),IF(AND(d_Irr!O16&lt;&gt;".",d_Irr!AN16=".",d_Irr!BM16&lt;&gt;"."),d_dir!P16/((1/1000)*(d_Irr!O16+d_Irr!BM16)),IF(AND(d_Irr!O16=".",d_Irr!AN16&lt;&gt;".",d_Irr!BM16&lt;&gt;"."),d_dir!P16/((1/1000)*(d_Irr!AN16+d_Irr!BM16)),IF(AND(d_Irr!O16=".",d_Irr!AN16=".",d_Irr!BM16&lt;&gt;"."),d_dir!P16/((1/1000)*(d_Irr!BM16)),IF(AND(d_Irr!O16=".",d_Irr!AN16&lt;&gt;".",d_Irr!BM16="."),d_dir!P16/((1/1000)*(d_Irr!AN16)),IF(AND(d_Irr!O16&lt;&gt;".",d_Irr!AN16=".",d_Irr!BM16="."),d_dir!P16/((1/1000)*(d_Irr!O16)),IF(AND(d_Irr!O16=".",d_Irr!AN16=".",d_Irr!BM16="."),d_dir!P16*1000)))))))),".")</f>
        <v>0.87406525942468605</v>
      </c>
      <c r="Q16" s="76">
        <f>IFERROR(IF(AND(d_Irr!P16&lt;&gt;".",d_Irr!AO16&lt;&gt;".",d_Irr!BN16&lt;&gt;"."),d_dir!Q16/((1/1000)*(d_Irr!P16+d_Irr!AO16+d_Irr!BN16)),IF(AND(d_Irr!P16&lt;&gt;".",d_Irr!AO16&lt;&gt;".",d_Irr!BN16="."),d_dir!Q16/((1/1000)*(d_Irr!P16+d_Irr!AO16)),IF(AND(d_Irr!P16&lt;&gt;".",d_Irr!AO16=".",d_Irr!BN16&lt;&gt;"."),d_dir!Q16/((1/1000)*(d_Irr!P16+d_Irr!BN16)),IF(AND(d_Irr!P16=".",d_Irr!AO16&lt;&gt;".",d_Irr!BN16&lt;&gt;"."),d_dir!Q16/((1/1000)*(d_Irr!AO16+d_Irr!BN16)),IF(AND(d_Irr!P16=".",d_Irr!AO16=".",d_Irr!BN16&lt;&gt;"."),d_dir!Q16/((1/1000)*(d_Irr!BN16)),IF(AND(d_Irr!P16=".",d_Irr!AO16&lt;&gt;".",d_Irr!BN16="."),d_dir!Q16/((1/1000)*(d_Irr!AO16)),IF(AND(d_Irr!P16&lt;&gt;".",d_Irr!AO16=".",d_Irr!BN16="."),d_dir!Q16/((1/1000)*(d_Irr!P16)),IF(AND(d_Irr!P16=".",d_Irr!AO16=".",d_Irr!BN16="."),d_dir!Q16*1000)))))))),".")</f>
        <v>1.2476247829255021</v>
      </c>
      <c r="R16" s="76">
        <f>IFERROR(IF(AND(d_Irr!Q16&lt;&gt;".",d_Irr!AP16&lt;&gt;".",d_Irr!BO16&lt;&gt;"."),d_dir!R16/((1/1000)*(d_Irr!Q16+d_Irr!AP16+d_Irr!BO16)),IF(AND(d_Irr!Q16&lt;&gt;".",d_Irr!AP16&lt;&gt;".",d_Irr!BO16="."),d_dir!R16/((1/1000)*(d_Irr!Q16+d_Irr!AP16)),IF(AND(d_Irr!Q16&lt;&gt;".",d_Irr!AP16=".",d_Irr!BO16&lt;&gt;"."),d_dir!R16/((1/1000)*(d_Irr!Q16+d_Irr!BO16)),IF(AND(d_Irr!Q16=".",d_Irr!AP16&lt;&gt;".",d_Irr!BO16&lt;&gt;"."),d_dir!R16/((1/1000)*(d_Irr!AP16+d_Irr!BO16)),IF(AND(d_Irr!Q16=".",d_Irr!AP16=".",d_Irr!BO16&lt;&gt;"."),d_dir!R16/((1/1000)*(d_Irr!BO16)),IF(AND(d_Irr!Q16=".",d_Irr!AP16&lt;&gt;".",d_Irr!BO16="."),d_dir!R16/((1/1000)*(d_Irr!AP16)),IF(AND(d_Irr!Q16&lt;&gt;".",d_Irr!AP16=".",d_Irr!BO16="."),d_dir!R16/((1/1000)*(d_Irr!Q16)),IF(AND(d_Irr!Q16=".",d_Irr!AP16=".",d_Irr!BO16="."),d_dir!R16*1000)))))))),".")</f>
        <v>0.2037781938370451</v>
      </c>
      <c r="S16" s="76">
        <f>IFERROR(IF(AND(d_Irr!R16&lt;&gt;".",d_Irr!AQ16&lt;&gt;".",d_Irr!BP16&lt;&gt;"."),d_dir!S16/((1/1000)*(d_Irr!R16+d_Irr!AQ16+d_Irr!BP16)),IF(AND(d_Irr!R16&lt;&gt;".",d_Irr!AQ16&lt;&gt;".",d_Irr!BP16="."),d_dir!S16/((1/1000)*(d_Irr!R16+d_Irr!AQ16)),IF(AND(d_Irr!R16&lt;&gt;".",d_Irr!AQ16=".",d_Irr!BP16&lt;&gt;"."),d_dir!S16/((1/1000)*(d_Irr!R16+d_Irr!BP16)),IF(AND(d_Irr!R16=".",d_Irr!AQ16&lt;&gt;".",d_Irr!BP16&lt;&gt;"."),d_dir!S16/((1/1000)*(d_Irr!AQ16+d_Irr!BP16)),IF(AND(d_Irr!R16=".",d_Irr!AQ16=".",d_Irr!BP16&lt;&gt;"."),d_dir!S16/((1/1000)*(d_Irr!BP16)),IF(AND(d_Irr!R16=".",d_Irr!AQ16&lt;&gt;".",d_Irr!BP16="."),d_dir!S16/((1/1000)*(d_Irr!AQ16)),IF(AND(d_Irr!R16&lt;&gt;".",d_Irr!AQ16=".",d_Irr!BP16="."),d_dir!S16/((1/1000)*(d_Irr!R16)),IF(AND(d_Irr!R16=".",d_Irr!AQ16=".",d_Irr!BP16="."),d_dir!S16*1000)))))))),".")</f>
        <v>0.41567935901647424</v>
      </c>
      <c r="T16" s="76">
        <f>IFERROR(IF(AND(d_Irr!S16&lt;&gt;".",d_Irr!AR16&lt;&gt;".",d_Irr!BQ16&lt;&gt;"."),d_dir!T16/((1/1000)*(d_Irr!S16+d_Irr!AR16+d_Irr!BQ16)),IF(AND(d_Irr!S16&lt;&gt;".",d_Irr!AR16&lt;&gt;".",d_Irr!BQ16="."),d_dir!T16/((1/1000)*(d_Irr!S16+d_Irr!AR16)),IF(AND(d_Irr!S16&lt;&gt;".",d_Irr!AR16=".",d_Irr!BQ16&lt;&gt;"."),d_dir!T16/((1/1000)*(d_Irr!S16+d_Irr!BQ16)),IF(AND(d_Irr!S16=".",d_Irr!AR16&lt;&gt;".",d_Irr!BQ16&lt;&gt;"."),d_dir!T16/((1/1000)*(d_Irr!AR16+d_Irr!BQ16)),IF(AND(d_Irr!S16=".",d_Irr!AR16=".",d_Irr!BQ16&lt;&gt;"."),d_dir!T16/((1/1000)*(d_Irr!BQ16)),IF(AND(d_Irr!S16=".",d_Irr!AR16&lt;&gt;".",d_Irr!BQ16="."),d_dir!T16/((1/1000)*(d_Irr!AR16)),IF(AND(d_Irr!S16&lt;&gt;".",d_Irr!AR16=".",d_Irr!BQ16="."),d_dir!T16/((1/1000)*(d_Irr!S16)),IF(AND(d_Irr!S16=".",d_Irr!AR16=".",d_Irr!BQ16="."),d_dir!T16*1000)))))))),".")</f>
        <v>0.75713382434109211</v>
      </c>
      <c r="U16" s="76">
        <f>IFERROR(IF(AND(d_Irr!T16&lt;&gt;".",d_Irr!AS16&lt;&gt;".",d_Irr!BR16&lt;&gt;"."),d_dir!U16/((1/1000)*(d_Irr!T16+d_Irr!AS16+d_Irr!BR16)),IF(AND(d_Irr!T16&lt;&gt;".",d_Irr!AS16&lt;&gt;".",d_Irr!BR16="."),d_dir!U16/((1/1000)*(d_Irr!T16+d_Irr!AS16)),IF(AND(d_Irr!T16&lt;&gt;".",d_Irr!AS16=".",d_Irr!BR16&lt;&gt;"."),d_dir!U16/((1/1000)*(d_Irr!T16+d_Irr!BR16)),IF(AND(d_Irr!T16=".",d_Irr!AS16&lt;&gt;".",d_Irr!BR16&lt;&gt;"."),d_dir!U16/((1/1000)*(d_Irr!AS16+d_Irr!BR16)),IF(AND(d_Irr!T16=".",d_Irr!AS16=".",d_Irr!BR16&lt;&gt;"."),d_dir!U16/((1/1000)*(d_Irr!BR16)),IF(AND(d_Irr!T16=".",d_Irr!AS16&lt;&gt;".",d_Irr!BR16="."),d_dir!U16/((1/1000)*(d_Irr!AS16)),IF(AND(d_Irr!T16&lt;&gt;".",d_Irr!AS16=".",d_Irr!BR16="."),d_dir!U16/((1/1000)*(d_Irr!T16)),IF(AND(d_Irr!T16=".",d_Irr!AS16=".",d_Irr!BR16="."),d_dir!U16*1000)))))))),".")</f>
        <v>1.4874313878708836</v>
      </c>
      <c r="V16" s="76">
        <f>IFERROR(IF(AND(d_Irr!U16&lt;&gt;".",d_Irr!AT16&lt;&gt;".",d_Irr!BS16&lt;&gt;"."),d_dir!V16/((1/1000)*(d_Irr!U16+d_Irr!AT16+d_Irr!BS16)),IF(AND(d_Irr!U16&lt;&gt;".",d_Irr!AT16&lt;&gt;".",d_Irr!BS16="."),d_dir!V16/((1/1000)*(d_Irr!U16+d_Irr!AT16)),IF(AND(d_Irr!U16&lt;&gt;".",d_Irr!AT16=".",d_Irr!BS16&lt;&gt;"."),d_dir!V16/((1/1000)*(d_Irr!U16+d_Irr!BS16)),IF(AND(d_Irr!U16=".",d_Irr!AT16&lt;&gt;".",d_Irr!BS16&lt;&gt;"."),d_dir!V16/((1/1000)*(d_Irr!AT16+d_Irr!BS16)),IF(AND(d_Irr!U16=".",d_Irr!AT16=".",d_Irr!BS16&lt;&gt;"."),d_dir!V16/((1/1000)*(d_Irr!BS16)),IF(AND(d_Irr!U16=".",d_Irr!AT16&lt;&gt;".",d_Irr!BS16="."),d_dir!V16/((1/1000)*(d_Irr!AT16)),IF(AND(d_Irr!U16&lt;&gt;".",d_Irr!AT16=".",d_Irr!BS16="."),d_dir!V16/((1/1000)*(d_Irr!U16)),IF(AND(d_Irr!U16=".",d_Irr!AT16=".",d_Irr!BS16="."),d_dir!V16*1000)))))))),".")</f>
        <v>0.23088596471027834</v>
      </c>
      <c r="W16" s="76">
        <f>IFERROR(IF(AND(d_Irr!V16&lt;&gt;".",d_Irr!AU16&lt;&gt;".",d_Irr!BT16&lt;&gt;"."),d_dir!W16/((1/1000)*(d_Irr!V16+d_Irr!AU16+d_Irr!BT16)),IF(AND(d_Irr!V16&lt;&gt;".",d_Irr!AU16&lt;&gt;".",d_Irr!BT16="."),d_dir!W16/((1/1000)*(d_Irr!V16+d_Irr!AU16)),IF(AND(d_Irr!V16&lt;&gt;".",d_Irr!AU16=".",d_Irr!BT16&lt;&gt;"."),d_dir!W16/((1/1000)*(d_Irr!V16+d_Irr!BT16)),IF(AND(d_Irr!V16=".",d_Irr!AU16&lt;&gt;".",d_Irr!BT16&lt;&gt;"."),d_dir!W16/((1/1000)*(d_Irr!AU16+d_Irr!BT16)),IF(AND(d_Irr!V16=".",d_Irr!AU16=".",d_Irr!BT16&lt;&gt;"."),d_dir!W16/((1/1000)*(d_Irr!BT16)),IF(AND(d_Irr!V16=".",d_Irr!AU16&lt;&gt;".",d_Irr!BT16="."),d_dir!W16/((1/1000)*(d_Irr!AU16)),IF(AND(d_Irr!V16&lt;&gt;".",d_Irr!AU16=".",d_Irr!BT16="."),d_dir!W16/((1/1000)*(d_Irr!V16)),IF(AND(d_Irr!V16=".",d_Irr!AU16=".",d_Irr!BT16="."),d_dir!W16*1000)))))))),".")</f>
        <v>0.41571585893436896</v>
      </c>
      <c r="X16" s="76">
        <f>IFERROR(IF(AND(d_Irr!W16&lt;&gt;".",d_Irr!AV16&lt;&gt;".",d_Irr!BU16&lt;&gt;"."),d_dir!X16/((1/1000)*(d_Irr!W16+d_Irr!AV16+d_Irr!BU16)),IF(AND(d_Irr!W16&lt;&gt;".",d_Irr!AV16&lt;&gt;".",d_Irr!BU16="."),d_dir!X16/((1/1000)*(d_Irr!W16+d_Irr!AV16)),IF(AND(d_Irr!W16&lt;&gt;".",d_Irr!AV16=".",d_Irr!BU16&lt;&gt;"."),d_dir!X16/((1/1000)*(d_Irr!W16+d_Irr!BU16)),IF(AND(d_Irr!W16=".",d_Irr!AV16&lt;&gt;".",d_Irr!BU16&lt;&gt;"."),d_dir!X16/((1/1000)*(d_Irr!AV16+d_Irr!BU16)),IF(AND(d_Irr!W16=".",d_Irr!AV16=".",d_Irr!BU16&lt;&gt;"."),d_dir!X16/((1/1000)*(d_Irr!BU16)),IF(AND(d_Irr!W16=".",d_Irr!AV16&lt;&gt;".",d_Irr!BU16="."),d_dir!X16/((1/1000)*(d_Irr!AV16)),IF(AND(d_Irr!W16&lt;&gt;".",d_Irr!AV16=".",d_Irr!BU16="."),d_dir!X16/((1/1000)*(d_Irr!W16)),IF(AND(d_Irr!W16=".",d_Irr!AV16=".",d_Irr!BU16="."),d_dir!X16*1000)))))))),".")</f>
        <v>0.48600924569462928</v>
      </c>
      <c r="Y16" s="76">
        <f>IFERROR(IF(AND(d_Irr!X16&lt;&gt;".",d_Irr!AW16&lt;&gt;".",d_Irr!BV16&lt;&gt;"."),d_dir!Y16/((1/1000)*(d_Irr!X16+d_Irr!AW16+d_Irr!BV16)),IF(AND(d_Irr!X16&lt;&gt;".",d_Irr!AW16&lt;&gt;".",d_Irr!BV16="."),d_dir!Y16/((1/1000)*(d_Irr!X16+d_Irr!AW16)),IF(AND(d_Irr!X16&lt;&gt;".",d_Irr!AW16=".",d_Irr!BV16&lt;&gt;"."),d_dir!Y16/((1/1000)*(d_Irr!X16+d_Irr!BV16)),IF(AND(d_Irr!X16=".",d_Irr!AW16&lt;&gt;".",d_Irr!BV16&lt;&gt;"."),d_dir!Y16/((1/1000)*(d_Irr!AW16+d_Irr!BV16)),IF(AND(d_Irr!X16=".",d_Irr!AW16=".",d_Irr!BV16&lt;&gt;"."),d_dir!Y16/((1/1000)*(d_Irr!BV16)),IF(AND(d_Irr!X16=".",d_Irr!AW16&lt;&gt;".",d_Irr!BV16="."),d_dir!Y16/((1/1000)*(d_Irr!AW16)),IF(AND(d_Irr!X16&lt;&gt;".",d_Irr!AW16=".",d_Irr!BV16="."),d_dir!Y16/((1/1000)*(d_Irr!X16)),IF(AND(d_Irr!X16=".",d_Irr!AW16=".",d_Irr!BV16="."),d_dir!Y16*1000)))))))),".")</f>
        <v>0.62094154420441083</v>
      </c>
      <c r="Z16" s="76">
        <f>IFERROR(IF(AND(d_Irr!Y16&lt;&gt;".",d_Irr!AX16&lt;&gt;".",d_Irr!BW16&lt;&gt;"."),d_dir!Z16/((1/1000)*(d_Irr!Y16+d_Irr!AX16+d_Irr!BW16)),IF(AND(d_Irr!Y16&lt;&gt;".",d_Irr!AX16&lt;&gt;".",d_Irr!BW16="."),d_dir!Z16/((1/1000)*(d_Irr!Y16+d_Irr!AX16)),IF(AND(d_Irr!Y16&lt;&gt;".",d_Irr!AX16=".",d_Irr!BW16&lt;&gt;"."),d_dir!Z16/((1/1000)*(d_Irr!Y16+d_Irr!BW16)),IF(AND(d_Irr!Y16=".",d_Irr!AX16&lt;&gt;".",d_Irr!BW16&lt;&gt;"."),d_dir!Z16/((1/1000)*(d_Irr!AX16+d_Irr!BW16)),IF(AND(d_Irr!Y16=".",d_Irr!AX16=".",d_Irr!BW16&lt;&gt;"."),d_dir!Z16/((1/1000)*(d_Irr!BW16)),IF(AND(d_Irr!Y16=".",d_Irr!AX16&lt;&gt;".",d_Irr!BW16="."),d_dir!Z16/((1/1000)*(d_Irr!AX16)),IF(AND(d_Irr!Y16&lt;&gt;".",d_Irr!AX16=".",d_Irr!BW16="."),d_dir!Z16/((1/1000)*(d_Irr!Y16)),IF(AND(d_Irr!Y16=".",d_Irr!AX16=".",d_Irr!BW16="."),d_dir!Z16*1000)))))))),".")</f>
        <v>0.3148836226184672</v>
      </c>
      <c r="AA16" s="76">
        <f>IFERROR(IF(AND(d_Irr!Z16&lt;&gt;".",d_Irr!AY16&lt;&gt;".",d_Irr!BX16&lt;&gt;"."),d_dir!AA16/((1/1000)*(d_Irr!Z16+d_Irr!AY16+d_Irr!BX16)),IF(AND(d_Irr!Z16&lt;&gt;".",d_Irr!AY16&lt;&gt;".",d_Irr!BX16="."),d_dir!AA16/((1/1000)*(d_Irr!Z16+d_Irr!AY16)),IF(AND(d_Irr!Z16&lt;&gt;".",d_Irr!AY16=".",d_Irr!BX16&lt;&gt;"."),d_dir!AA16/((1/1000)*(d_Irr!Z16+d_Irr!BX16)),IF(AND(d_Irr!Z16=".",d_Irr!AY16&lt;&gt;".",d_Irr!BX16&lt;&gt;"."),d_dir!AA16/((1/1000)*(d_Irr!AY16+d_Irr!BX16)),IF(AND(d_Irr!Z16=".",d_Irr!AY16=".",d_Irr!BX16&lt;&gt;"."),d_dir!AA16/((1/1000)*(d_Irr!BX16)),IF(AND(d_Irr!Z16=".",d_Irr!AY16&lt;&gt;".",d_Irr!BX16="."),d_dir!AA16/((1/1000)*(d_Irr!AY16)),IF(AND(d_Irr!Z16&lt;&gt;".",d_Irr!AY16=".",d_Irr!BX16="."),d_dir!AA16/((1/1000)*(d_Irr!Z16)),IF(AND(d_Irr!Z16=".",d_Irr!AY16=".",d_Irr!BX16="."),d_dir!AA16*1000)))))))),".")</f>
        <v>0.10238057017524839</v>
      </c>
      <c r="AB16" s="76">
        <f>IFERROR(IF(AND(d_Irr!AA16&lt;&gt;".",d_Irr!AZ16&lt;&gt;".",d_Irr!BY16&lt;&gt;"."),d_dir!AB16/((1/1000)*(d_Irr!AA16+d_Irr!AZ16+d_Irr!BY16)),IF(AND(d_Irr!AA16&lt;&gt;".",d_Irr!AZ16&lt;&gt;".",d_Irr!BY16="."),d_dir!AB16/((1/1000)*(d_Irr!AA16+d_Irr!AZ16)),IF(AND(d_Irr!AA16&lt;&gt;".",d_Irr!AZ16=".",d_Irr!BY16&lt;&gt;"."),d_dir!AB16/((1/1000)*(d_Irr!AA16+d_Irr!BY16)),IF(AND(d_Irr!AA16=".",d_Irr!AZ16&lt;&gt;".",d_Irr!BY16&lt;&gt;"."),d_dir!AB16/((1/1000)*(d_Irr!AZ16+d_Irr!BY16)),IF(AND(d_Irr!AA16=".",d_Irr!AZ16=".",d_Irr!BY16&lt;&gt;"."),d_dir!AB16/((1/1000)*(d_Irr!BY16)),IF(AND(d_Irr!AA16=".",d_Irr!AZ16&lt;&gt;".",d_Irr!BY16="."),d_dir!AB16/((1/1000)*(d_Irr!AZ16)),IF(AND(d_Irr!AA16&lt;&gt;".",d_Irr!AZ16=".",d_Irr!BY16="."),d_dir!AB16/((1/1000)*(d_Irr!AA16)),IF(AND(d_Irr!AA16=".",d_Irr!AZ16=".",d_Irr!BY16="."),d_dir!AB16*1000)))))))),".")</f>
        <v>0.11394720032468732</v>
      </c>
      <c r="AC16" s="76">
        <f t="shared" si="0"/>
        <v>1.0085503819696409E-2</v>
      </c>
      <c r="AD16" s="76">
        <f>IFERROR(IF(AND(d_Irr!C16&lt;&gt;".",d_Irr!AB16&lt;&gt;".",d_Irr!BA16&lt;&gt;"."),d_dir!AD16/((1/1000)*(d_Irr!C16+d_Irr!AB16+d_Irr!BA16)),IF(AND(d_Irr!C16&lt;&gt;".",d_Irr!AB16&lt;&gt;".",d_Irr!BA16="."),d_dir!AD16/((1/1000)*(d_Irr!C16+d_Irr!AB16)),IF(AND(d_Irr!C16&lt;&gt;".",d_Irr!AB16=".",d_Irr!BA16&lt;&gt;"."),d_dir!AD16/((1/1000)*(d_Irr!C16+d_Irr!BA16)),IF(AND(d_Irr!C16=".",d_Irr!AB16&lt;&gt;".",d_Irr!BA16&lt;&gt;"."),d_dir!AD16/((1/1000)*(d_Irr!AB16+d_Irr!BA16)),IF(AND(d_Irr!C16=".",d_Irr!AB16=".",d_Irr!BA16&lt;&gt;"."),d_dir!AD16/((1/1000)*(d_Irr!BA16)),IF(AND(d_Irr!C16=".",d_Irr!AB16&lt;&gt;".",d_Irr!BA16="."),d_dir!AD16/((1/1000)*(d_Irr!AB16)),IF(AND(d_Irr!C16&lt;&gt;".",d_Irr!AB16=".",d_Irr!BA16="."),d_dir!AD16/((1/1000)*(d_Irr!C16)),IF(AND(d_Irr!C16=".",d_Irr!AB16=".",d_Irr!BA16="."),d_dir!AD16*1000)))))))),".")</f>
        <v>0.17938887885116472</v>
      </c>
      <c r="AE16" s="76">
        <f>IFERROR(IF(AND(d_Irr!D16&lt;&gt;".",d_Irr!AC16&lt;&gt;".",d_Irr!BB16&lt;&gt;"."),d_dir!AE16/((1/1000)*(d_Irr!D16+d_Irr!AC16+d_Irr!BB16)),IF(AND(d_Irr!D16&lt;&gt;".",d_Irr!AC16&lt;&gt;".",d_Irr!BB16="."),d_dir!AE16/((1/1000)*(d_Irr!D16+d_Irr!AC16)),IF(AND(d_Irr!D16&lt;&gt;".",d_Irr!AC16=".",d_Irr!BB16&lt;&gt;"."),d_dir!AE16/((1/1000)*(d_Irr!D16+d_Irr!BB16)),IF(AND(d_Irr!D16=".",d_Irr!AC16&lt;&gt;".",d_Irr!BB16&lt;&gt;"."),d_dir!AE16/((1/1000)*(d_Irr!AC16+d_Irr!BB16)),IF(AND(d_Irr!D16=".",d_Irr!AC16=".",d_Irr!BB16&lt;&gt;"."),d_dir!AE16/((1/1000)*(d_Irr!BB16)),IF(AND(d_Irr!D16=".",d_Irr!AC16&lt;&gt;".",d_Irr!BB16="."),d_dir!AE16/((1/1000)*(d_Irr!AC16)),IF(AND(d_Irr!D16&lt;&gt;".",d_Irr!AC16=".",d_Irr!BB16="."),d_dir!AE16/((1/1000)*(d_Irr!D16)),IF(AND(d_Irr!D16=".",d_Irr!AC16=".",d_Irr!BB16="."),d_dir!AE16*1000)))))))),".")</f>
        <v>0.26017604263433725</v>
      </c>
      <c r="AF16" s="76">
        <f>IFERROR(IF(AND(d_Irr!E16&lt;&gt;".",d_Irr!AD16&lt;&gt;".",d_Irr!BC16&lt;&gt;"."),d_dir!AF16/((1/1000)*(d_Irr!E16+d_Irr!AD16+d_Irr!BC16)),IF(AND(d_Irr!E16&lt;&gt;".",d_Irr!AD16&lt;&gt;".",d_Irr!BC16="."),d_dir!AF16/((1/1000)*(d_Irr!E16+d_Irr!AD16)),IF(AND(d_Irr!E16&lt;&gt;".",d_Irr!AD16=".",d_Irr!BC16&lt;&gt;"."),d_dir!AF16/((1/1000)*(d_Irr!E16+d_Irr!BC16)),IF(AND(d_Irr!E16=".",d_Irr!AD16&lt;&gt;".",d_Irr!BC16&lt;&gt;"."),d_dir!AF16/((1/1000)*(d_Irr!AD16+d_Irr!BC16)),IF(AND(d_Irr!E16=".",d_Irr!AD16=".",d_Irr!BC16&lt;&gt;"."),d_dir!AF16/((1/1000)*(d_Irr!BC16)),IF(AND(d_Irr!E16=".",d_Irr!AD16&lt;&gt;".",d_Irr!BC16="."),d_dir!AF16/((1/1000)*(d_Irr!AD16)),IF(AND(d_Irr!E16&lt;&gt;".",d_Irr!AD16=".",d_Irr!BC16="."),d_dir!AF16/((1/1000)*(d_Irr!E16)),IF(AND(d_Irr!E16=".",d_Irr!AD16=".",d_Irr!BC16="."),d_dir!AF16*1000)))))))),".")</f>
        <v>0.48145418011179131</v>
      </c>
      <c r="AG16" s="76">
        <f>IFERROR(IF(AND(d_Irr!F16&lt;&gt;".",d_Irr!AE16&lt;&gt;".",d_Irr!BD16&lt;&gt;"."),d_dir!AG16/((1/1000)*(d_Irr!F16+d_Irr!AE16+d_Irr!BD16)),IF(AND(d_Irr!F16&lt;&gt;".",d_Irr!AE16&lt;&gt;".",d_Irr!BD16="."),d_dir!AG16/((1/1000)*(d_Irr!F16+d_Irr!AE16)),IF(AND(d_Irr!F16&lt;&gt;".",d_Irr!AE16=".",d_Irr!BD16&lt;&gt;"."),d_dir!AG16/((1/1000)*(d_Irr!F16+d_Irr!BD16)),IF(AND(d_Irr!F16=".",d_Irr!AE16&lt;&gt;".",d_Irr!BD16&lt;&gt;"."),d_dir!AG16/((1/1000)*(d_Irr!AE16+d_Irr!BD16)),IF(AND(d_Irr!F16=".",d_Irr!AE16=".",d_Irr!BD16&lt;&gt;"."),d_dir!AG16/((1/1000)*(d_Irr!BD16)),IF(AND(d_Irr!F16=".",d_Irr!AE16&lt;&gt;".",d_Irr!BD16="."),d_dir!AG16/((1/1000)*(d_Irr!AE16)),IF(AND(d_Irr!F16&lt;&gt;".",d_Irr!AE16=".",d_Irr!BD16="."),d_dir!AG16/((1/1000)*(d_Irr!F16)),IF(AND(d_Irr!F16=".",d_Irr!AE16=".",d_Irr!BD16="."),d_dir!AG16*1000)))))))),".")</f>
        <v>0.45170962649480362</v>
      </c>
      <c r="AH16" s="76">
        <f>IFERROR(IF(AND(d_Irr!G16&lt;&gt;".",d_Irr!AF16&lt;&gt;".",d_Irr!BE16&lt;&gt;"."),d_dir!AH16/((1/1000)*(d_Irr!G16+d_Irr!AF16+d_Irr!BE16)),IF(AND(d_Irr!G16&lt;&gt;".",d_Irr!AF16&lt;&gt;".",d_Irr!BE16="."),d_dir!AH16/((1/1000)*(d_Irr!G16+d_Irr!AF16)),IF(AND(d_Irr!G16&lt;&gt;".",d_Irr!AF16=".",d_Irr!BE16&lt;&gt;"."),d_dir!AH16/((1/1000)*(d_Irr!G16+d_Irr!BE16)),IF(AND(d_Irr!G16=".",d_Irr!AF16&lt;&gt;".",d_Irr!BE16&lt;&gt;"."),d_dir!AH16/((1/1000)*(d_Irr!AF16+d_Irr!BE16)),IF(AND(d_Irr!G16=".",d_Irr!AF16=".",d_Irr!BE16&lt;&gt;"."),d_dir!AH16/((1/1000)*(d_Irr!BE16)),IF(AND(d_Irr!G16=".",d_Irr!AF16&lt;&gt;".",d_Irr!BE16="."),d_dir!AH16/((1/1000)*(d_Irr!AF16)),IF(AND(d_Irr!G16&lt;&gt;".",d_Irr!AF16=".",d_Irr!BE16="."),d_dir!AH16/((1/1000)*(d_Irr!G16)),IF(AND(d_Irr!G16=".",d_Irr!AF16=".",d_Irr!BE16="."),d_dir!AH16*1000)))))))),".")</f>
        <v>0.46158338583948133</v>
      </c>
      <c r="AI16" s="76">
        <f>IFERROR(IF(AND(d_Irr!H16&lt;&gt;".",d_Irr!AG16&lt;&gt;".",d_Irr!BF16&lt;&gt;"."),d_dir!AI16/((1/1000)*(d_Irr!H16+d_Irr!AG16+d_Irr!BF16)),IF(AND(d_Irr!H16&lt;&gt;".",d_Irr!AG16&lt;&gt;".",d_Irr!BF16="."),d_dir!AI16/((1/1000)*(d_Irr!H16+d_Irr!AG16)),IF(AND(d_Irr!H16&lt;&gt;".",d_Irr!AG16=".",d_Irr!BF16&lt;&gt;"."),d_dir!AI16/((1/1000)*(d_Irr!H16+d_Irr!BF16)),IF(AND(d_Irr!H16=".",d_Irr!AG16&lt;&gt;".",d_Irr!BF16&lt;&gt;"."),d_dir!AI16/((1/1000)*(d_Irr!AG16+d_Irr!BF16)),IF(AND(d_Irr!H16=".",d_Irr!AG16=".",d_Irr!BF16&lt;&gt;"."),d_dir!AI16/((1/1000)*(d_Irr!BF16)),IF(AND(d_Irr!H16=".",d_Irr!AG16&lt;&gt;".",d_Irr!BF16="."),d_dir!AI16/((1/1000)*(d_Irr!AG16)),IF(AND(d_Irr!H16&lt;&gt;".",d_Irr!AG16=".",d_Irr!BF16="."),d_dir!AI16/((1/1000)*(d_Irr!H16)),IF(AND(d_Irr!H16=".",d_Irr!AG16=".",d_Irr!BF16="."),d_dir!AI16*1000)))))))),".")</f>
        <v>0.13479496484030901</v>
      </c>
      <c r="AJ16" s="76">
        <f>IFERROR(IF(AND(d_Irr!I16&lt;&gt;".",d_Irr!AH16&lt;&gt;".",d_Irr!BG16&lt;&gt;"."),d_dir!AJ16/((1/1000)*(d_Irr!I16+d_Irr!AH16+d_Irr!BG16)),IF(AND(d_Irr!I16&lt;&gt;".",d_Irr!AH16&lt;&gt;".",d_Irr!BG16="."),d_dir!AJ16/((1/1000)*(d_Irr!I16+d_Irr!AH16)),IF(AND(d_Irr!I16&lt;&gt;".",d_Irr!AH16=".",d_Irr!BG16&lt;&gt;"."),d_dir!AJ16/((1/1000)*(d_Irr!I16+d_Irr!BG16)),IF(AND(d_Irr!I16=".",d_Irr!AH16&lt;&gt;".",d_Irr!BG16&lt;&gt;"."),d_dir!AJ16/((1/1000)*(d_Irr!AH16+d_Irr!BG16)),IF(AND(d_Irr!I16=".",d_Irr!AH16=".",d_Irr!BG16&lt;&gt;"."),d_dir!AJ16/((1/1000)*(d_Irr!BG16)),IF(AND(d_Irr!I16=".",d_Irr!AH16&lt;&gt;".",d_Irr!BG16="."),d_dir!AJ16/((1/1000)*(d_Irr!AH16)),IF(AND(d_Irr!I16&lt;&gt;".",d_Irr!AH16=".",d_Irr!BG16="."),d_dir!AJ16/((1/1000)*(d_Irr!I16)),IF(AND(d_Irr!I16=".",d_Irr!AH16=".",d_Irr!BG16="."),d_dir!AJ16*1000)))))))),".")</f>
        <v>0.6393355802395162</v>
      </c>
      <c r="AK16" s="76">
        <f>IFERROR(IF(AND(d_Irr!J16&lt;&gt;".",d_Irr!AI16&lt;&gt;".",d_Irr!BH16&lt;&gt;"."),d_dir!AK16/((1/1000)*(d_Irr!J16+d_Irr!AI16+d_Irr!BH16)),IF(AND(d_Irr!J16&lt;&gt;".",d_Irr!AI16&lt;&gt;".",d_Irr!BH16="."),d_dir!AK16/((1/1000)*(d_Irr!J16+d_Irr!AI16)),IF(AND(d_Irr!J16&lt;&gt;".",d_Irr!AI16=".",d_Irr!BH16&lt;&gt;"."),d_dir!AK16/((1/1000)*(d_Irr!J16+d_Irr!BH16)),IF(AND(d_Irr!J16=".",d_Irr!AI16&lt;&gt;".",d_Irr!BH16&lt;&gt;"."),d_dir!AK16/((1/1000)*(d_Irr!AI16+d_Irr!BH16)),IF(AND(d_Irr!J16=".",d_Irr!AI16=".",d_Irr!BH16&lt;&gt;"."),d_dir!AK16/((1/1000)*(d_Irr!BH16)),IF(AND(d_Irr!J16=".",d_Irr!AI16&lt;&gt;".",d_Irr!BH16="."),d_dir!AK16/((1/1000)*(d_Irr!AI16)),IF(AND(d_Irr!J16&lt;&gt;".",d_Irr!AI16=".",d_Irr!BH16="."),d_dir!AK16/((1/1000)*(d_Irr!J16)),IF(AND(d_Irr!J16=".",d_Irr!AI16=".",d_Irr!BH16="."),d_dir!AK16*1000)))))))),".")</f>
        <v>5.2006777705236443E-2</v>
      </c>
      <c r="AL16" s="76">
        <f>IFERROR(IF(AND(d_Irr!K16&lt;&gt;".",d_Irr!AJ16&lt;&gt;".",d_Irr!BI16&lt;&gt;"."),d_dir!AL16/((1/1000)*(d_Irr!K16+d_Irr!AJ16+d_Irr!BI16)),IF(AND(d_Irr!K16&lt;&gt;".",d_Irr!AJ16&lt;&gt;".",d_Irr!BI16="."),d_dir!AL16/((1/1000)*(d_Irr!K16+d_Irr!AJ16)),IF(AND(d_Irr!K16&lt;&gt;".",d_Irr!AJ16=".",d_Irr!BI16&lt;&gt;"."),d_dir!AL16/((1/1000)*(d_Irr!K16+d_Irr!BI16)),IF(AND(d_Irr!K16=".",d_Irr!AJ16&lt;&gt;".",d_Irr!BI16&lt;&gt;"."),d_dir!AL16/((1/1000)*(d_Irr!AJ16+d_Irr!BI16)),IF(AND(d_Irr!K16=".",d_Irr!AJ16=".",d_Irr!BI16&lt;&gt;"."),d_dir!AL16/((1/1000)*(d_Irr!BI16)),IF(AND(d_Irr!K16=".",d_Irr!AJ16&lt;&gt;".",d_Irr!BI16="."),d_dir!AL16/((1/1000)*(d_Irr!AJ16)),IF(AND(d_Irr!K16&lt;&gt;".",d_Irr!AJ16=".",d_Irr!BI16="."),d_dir!AL16/((1/1000)*(d_Irr!K16)),IF(AND(d_Irr!K16=".",d_Irr!AJ16=".",d_Irr!BI16="."),d_dir!AL16*1000)))))))),".")</f>
        <v>0.22072728173716652</v>
      </c>
      <c r="AM16" s="76">
        <f>IFERROR(IF(AND(d_Irr!L16&lt;&gt;".",d_Irr!AK16&lt;&gt;".",d_Irr!BJ16&lt;&gt;"."),d_dir!AM16/((1/1000)*(d_Irr!L16+d_Irr!AK16+d_Irr!BJ16)),IF(AND(d_Irr!L16&lt;&gt;".",d_Irr!AK16&lt;&gt;".",d_Irr!BJ16="."),d_dir!AM16/((1/1000)*(d_Irr!L16+d_Irr!AK16)),IF(AND(d_Irr!L16&lt;&gt;".",d_Irr!AK16=".",d_Irr!BJ16&lt;&gt;"."),d_dir!AM16/((1/1000)*(d_Irr!L16+d_Irr!BJ16)),IF(AND(d_Irr!L16=".",d_Irr!AK16&lt;&gt;".",d_Irr!BJ16&lt;&gt;"."),d_dir!AM16/((1/1000)*(d_Irr!AK16+d_Irr!BJ16)),IF(AND(d_Irr!L16=".",d_Irr!AK16=".",d_Irr!BJ16&lt;&gt;"."),d_dir!AM16/((1/1000)*(d_Irr!BJ16)),IF(AND(d_Irr!L16=".",d_Irr!AK16&lt;&gt;".",d_Irr!BJ16="."),d_dir!AM16/((1/1000)*(d_Irr!AK16)),IF(AND(d_Irr!L16&lt;&gt;".",d_Irr!AK16=".",d_Irr!BJ16="."),d_dir!AM16/((1/1000)*(d_Irr!L16)),IF(AND(d_Irr!L16=".",d_Irr!AK16=".",d_Irr!BJ16="."),d_dir!AM16*1000)))))))),".")</f>
        <v>0.29572775740508644</v>
      </c>
      <c r="AN16" s="76">
        <f>IFERROR(IF(AND(d_Irr!M16&lt;&gt;".",d_Irr!AL16&lt;&gt;".",d_Irr!BK16&lt;&gt;"."),d_dir!AN16/((1/1000)*(d_Irr!M16+d_Irr!AL16+d_Irr!BK16)),IF(AND(d_Irr!M16&lt;&gt;".",d_Irr!AL16&lt;&gt;".",d_Irr!BK16="."),d_dir!AN16/((1/1000)*(d_Irr!M16+d_Irr!AL16)),IF(AND(d_Irr!M16&lt;&gt;".",d_Irr!AL16=".",d_Irr!BK16&lt;&gt;"."),d_dir!AN16/((1/1000)*(d_Irr!M16+d_Irr!BK16)),IF(AND(d_Irr!M16=".",d_Irr!AL16&lt;&gt;".",d_Irr!BK16&lt;&gt;"."),d_dir!AN16/((1/1000)*(d_Irr!AL16+d_Irr!BK16)),IF(AND(d_Irr!M16=".",d_Irr!AL16=".",d_Irr!BK16&lt;&gt;"."),d_dir!AN16/((1/1000)*(d_Irr!BK16)),IF(AND(d_Irr!M16=".",d_Irr!AL16&lt;&gt;".",d_Irr!BK16="."),d_dir!AN16/((1/1000)*(d_Irr!AL16)),IF(AND(d_Irr!M16&lt;&gt;".",d_Irr!AL16=".",d_Irr!BK16="."),d_dir!AN16/((1/1000)*(d_Irr!M16)),IF(AND(d_Irr!M16=".",d_Irr!AL16=".",d_Irr!BK16="."),d_dir!AN16*1000)))))))),".")</f>
        <v>0.27413658635697252</v>
      </c>
      <c r="AO16" s="76">
        <f>IFERROR(IF(AND(d_Irr!N16&lt;&gt;".",d_Irr!AM16&lt;&gt;".",d_Irr!BL16&lt;&gt;"."),d_dir!AO16/((1/1000)*(d_Irr!N16+d_Irr!AM16+d_Irr!BL16)),IF(AND(d_Irr!N16&lt;&gt;".",d_Irr!AM16&lt;&gt;".",d_Irr!BL16="."),d_dir!AO16/((1/1000)*(d_Irr!N16+d_Irr!AM16)),IF(AND(d_Irr!N16&lt;&gt;".",d_Irr!AM16=".",d_Irr!BL16&lt;&gt;"."),d_dir!AO16/((1/1000)*(d_Irr!N16+d_Irr!BL16)),IF(AND(d_Irr!N16=".",d_Irr!AM16&lt;&gt;".",d_Irr!BL16&lt;&gt;"."),d_dir!AO16/((1/1000)*(d_Irr!AM16+d_Irr!BL16)),IF(AND(d_Irr!N16=".",d_Irr!AM16=".",d_Irr!BL16&lt;&gt;"."),d_dir!AO16/((1/1000)*(d_Irr!BL16)),IF(AND(d_Irr!N16=".",d_Irr!AM16&lt;&gt;".",d_Irr!BL16="."),d_dir!AO16/((1/1000)*(d_Irr!AM16)),IF(AND(d_Irr!N16&lt;&gt;".",d_Irr!AM16=".",d_Irr!BL16="."),d_dir!AO16/((1/1000)*(d_Irr!N16)),IF(AND(d_Irr!N16=".",d_Irr!AM16=".",d_Irr!BL16="."),d_dir!AO16*1000)))))))),".")</f>
        <v>0.47629674737878652</v>
      </c>
      <c r="AP16" s="76">
        <f>IFERROR(IF(AND(d_Irr!O16&lt;&gt;".",d_Irr!AN16&lt;&gt;".",d_Irr!BM16&lt;&gt;"."),d_dir!AP16/((1/1000)*(d_Irr!O16+d_Irr!AN16+d_Irr!BM16)),IF(AND(d_Irr!O16&lt;&gt;".",d_Irr!AN16&lt;&gt;".",d_Irr!BM16="."),d_dir!AP16/((1/1000)*(d_Irr!O16+d_Irr!AN16)),IF(AND(d_Irr!O16&lt;&gt;".",d_Irr!AN16=".",d_Irr!BM16&lt;&gt;"."),d_dir!AP16/((1/1000)*(d_Irr!O16+d_Irr!BM16)),IF(AND(d_Irr!O16=".",d_Irr!AN16&lt;&gt;".",d_Irr!BM16&lt;&gt;"."),d_dir!AP16/((1/1000)*(d_Irr!AN16+d_Irr!BM16)),IF(AND(d_Irr!O16=".",d_Irr!AN16=".",d_Irr!BM16&lt;&gt;"."),d_dir!AP16/((1/1000)*(d_Irr!BM16)),IF(AND(d_Irr!O16=".",d_Irr!AN16&lt;&gt;".",d_Irr!BM16="."),d_dir!AP16/((1/1000)*(d_Irr!AN16)),IF(AND(d_Irr!O16&lt;&gt;".",d_Irr!AN16=".",d_Irr!BM16="."),d_dir!AP16/((1/1000)*(d_Irr!O16)),IF(AND(d_Irr!O16=".",d_Irr!AN16=".",d_Irr!BM16="."),d_dir!AP16*1000)))))))),".")</f>
        <v>0.53277886088234994</v>
      </c>
      <c r="AQ16" s="76">
        <f>IFERROR(IF(AND(d_Irr!P16&lt;&gt;".",d_Irr!AO16&lt;&gt;".",d_Irr!BN16&lt;&gt;"."),d_dir!AQ16/((1/1000)*(d_Irr!P16+d_Irr!AO16+d_Irr!BN16)),IF(AND(d_Irr!P16&lt;&gt;".",d_Irr!AO16&lt;&gt;".",d_Irr!BN16="."),d_dir!AQ16/((1/1000)*(d_Irr!P16+d_Irr!AO16)),IF(AND(d_Irr!P16&lt;&gt;".",d_Irr!AO16=".",d_Irr!BN16&lt;&gt;"."),d_dir!AQ16/((1/1000)*(d_Irr!P16+d_Irr!BN16)),IF(AND(d_Irr!P16=".",d_Irr!AO16&lt;&gt;".",d_Irr!BN16&lt;&gt;"."),d_dir!AQ16/((1/1000)*(d_Irr!AO16+d_Irr!BN16)),IF(AND(d_Irr!P16=".",d_Irr!AO16=".",d_Irr!BN16&lt;&gt;"."),d_dir!AQ16/((1/1000)*(d_Irr!BN16)),IF(AND(d_Irr!P16=".",d_Irr!AO16&lt;&gt;".",d_Irr!BN16="."),d_dir!AQ16/((1/1000)*(d_Irr!AO16)),IF(AND(d_Irr!P16&lt;&gt;".",d_Irr!AO16=".",d_Irr!BN16="."),d_dir!AQ16/((1/1000)*(d_Irr!P16)),IF(AND(d_Irr!P16=".",d_Irr!AO16=".",d_Irr!BN16="."),d_dir!AQ16*1000)))))))),".")</f>
        <v>0.59663437522968421</v>
      </c>
      <c r="AR16" s="76">
        <f>IFERROR(IF(AND(d_Irr!Q16&lt;&gt;".",d_Irr!AP16&lt;&gt;".",d_Irr!BO16&lt;&gt;"."),d_dir!AR16/((1/1000)*(d_Irr!Q16+d_Irr!AP16+d_Irr!BO16)),IF(AND(d_Irr!Q16&lt;&gt;".",d_Irr!AP16&lt;&gt;".",d_Irr!BO16="."),d_dir!AR16/((1/1000)*(d_Irr!Q16+d_Irr!AP16)),IF(AND(d_Irr!Q16&lt;&gt;".",d_Irr!AP16=".",d_Irr!BO16&lt;&gt;"."),d_dir!AR16/((1/1000)*(d_Irr!Q16+d_Irr!BO16)),IF(AND(d_Irr!Q16=".",d_Irr!AP16&lt;&gt;".",d_Irr!BO16&lt;&gt;"."),d_dir!AR16/((1/1000)*(d_Irr!AP16+d_Irr!BO16)),IF(AND(d_Irr!Q16=".",d_Irr!AP16=".",d_Irr!BO16&lt;&gt;"."),d_dir!AR16/((1/1000)*(d_Irr!BO16)),IF(AND(d_Irr!Q16=".",d_Irr!AP16&lt;&gt;".",d_Irr!BO16="."),d_dir!AR16/((1/1000)*(d_Irr!AP16)),IF(AND(d_Irr!Q16&lt;&gt;".",d_Irr!AP16=".",d_Irr!BO16="."),d_dir!AR16/((1/1000)*(d_Irr!Q16)),IF(AND(d_Irr!Q16=".",d_Irr!AP16=".",d_Irr!BO16="."),d_dir!AR16*1000)))))))),".")</f>
        <v>0.14806840284862419</v>
      </c>
      <c r="AS16" s="76">
        <f>IFERROR(IF(AND(d_Irr!R16&lt;&gt;".",d_Irr!AQ16&lt;&gt;".",d_Irr!BP16&lt;&gt;"."),d_dir!AS16/((1/1000)*(d_Irr!R16+d_Irr!AQ16+d_Irr!BP16)),IF(AND(d_Irr!R16&lt;&gt;".",d_Irr!AQ16&lt;&gt;".",d_Irr!BP16="."),d_dir!AS16/((1/1000)*(d_Irr!R16+d_Irr!AQ16)),IF(AND(d_Irr!R16&lt;&gt;".",d_Irr!AQ16=".",d_Irr!BP16&lt;&gt;"."),d_dir!AS16/((1/1000)*(d_Irr!R16+d_Irr!BP16)),IF(AND(d_Irr!R16=".",d_Irr!AQ16&lt;&gt;".",d_Irr!BP16&lt;&gt;"."),d_dir!AS16/((1/1000)*(d_Irr!AQ16+d_Irr!BP16)),IF(AND(d_Irr!R16=".",d_Irr!AQ16=".",d_Irr!BP16&lt;&gt;"."),d_dir!AS16/((1/1000)*(d_Irr!BP16)),IF(AND(d_Irr!R16=".",d_Irr!AQ16&lt;&gt;".",d_Irr!BP16="."),d_dir!AS16/((1/1000)*(d_Irr!AQ16)),IF(AND(d_Irr!R16&lt;&gt;".",d_Irr!AQ16=".",d_Irr!BP16="."),d_dir!AS16/((1/1000)*(d_Irr!R16)),IF(AND(d_Irr!R16=".",d_Irr!AQ16=".",d_Irr!BP16="."),d_dir!AS16*1000)))))))),".")</f>
        <v>0.24144765699762072</v>
      </c>
      <c r="AT16" s="76">
        <f>IFERROR(IF(AND(d_Irr!S16&lt;&gt;".",d_Irr!AR16&lt;&gt;".",d_Irr!BQ16&lt;&gt;"."),d_dir!AT16/((1/1000)*(d_Irr!S16+d_Irr!AR16+d_Irr!BQ16)),IF(AND(d_Irr!S16&lt;&gt;".",d_Irr!AR16&lt;&gt;".",d_Irr!BQ16="."),d_dir!AT16/((1/1000)*(d_Irr!S16+d_Irr!AR16)),IF(AND(d_Irr!S16&lt;&gt;".",d_Irr!AR16=".",d_Irr!BQ16&lt;&gt;"."),d_dir!AT16/((1/1000)*(d_Irr!S16+d_Irr!BQ16)),IF(AND(d_Irr!S16=".",d_Irr!AR16&lt;&gt;".",d_Irr!BQ16&lt;&gt;"."),d_dir!AT16/((1/1000)*(d_Irr!AR16+d_Irr!BQ16)),IF(AND(d_Irr!S16=".",d_Irr!AR16=".",d_Irr!BQ16&lt;&gt;"."),d_dir!AT16/((1/1000)*(d_Irr!BQ16)),IF(AND(d_Irr!S16=".",d_Irr!AR16&lt;&gt;".",d_Irr!BQ16="."),d_dir!AT16/((1/1000)*(d_Irr!AR16)),IF(AND(d_Irr!S16&lt;&gt;".",d_Irr!AR16=".",d_Irr!BQ16="."),d_dir!AT16/((1/1000)*(d_Irr!S16)),IF(AND(d_Irr!S16=".",d_Irr!AR16=".",d_Irr!BQ16="."),d_dir!AT16*1000)))))))),".")</f>
        <v>0.52862719219536813</v>
      </c>
      <c r="AU16" s="76">
        <f>IFERROR(IF(AND(d_Irr!T16&lt;&gt;".",d_Irr!AS16&lt;&gt;".",d_Irr!BR16&lt;&gt;"."),d_dir!AU16/((1/1000)*(d_Irr!T16+d_Irr!AS16+d_Irr!BR16)),IF(AND(d_Irr!T16&lt;&gt;".",d_Irr!AS16&lt;&gt;".",d_Irr!BR16="."),d_dir!AU16/((1/1000)*(d_Irr!T16+d_Irr!AS16)),IF(AND(d_Irr!T16&lt;&gt;".",d_Irr!AS16=".",d_Irr!BR16&lt;&gt;"."),d_dir!AU16/((1/1000)*(d_Irr!T16+d_Irr!BR16)),IF(AND(d_Irr!T16=".",d_Irr!AS16&lt;&gt;".",d_Irr!BR16&lt;&gt;"."),d_dir!AU16/((1/1000)*(d_Irr!AS16+d_Irr!BR16)),IF(AND(d_Irr!T16=".",d_Irr!AS16=".",d_Irr!BR16&lt;&gt;"."),d_dir!AU16/((1/1000)*(d_Irr!BR16)),IF(AND(d_Irr!T16=".",d_Irr!AS16&lt;&gt;".",d_Irr!BR16="."),d_dir!AU16/((1/1000)*(d_Irr!AS16)),IF(AND(d_Irr!T16&lt;&gt;".",d_Irr!AS16=".",d_Irr!BR16="."),d_dir!AU16/((1/1000)*(d_Irr!T16)),IF(AND(d_Irr!T16=".",d_Irr!AS16=".",d_Irr!BR16="."),d_dir!AU16*1000)))))))),".")</f>
        <v>0.72445024655461709</v>
      </c>
      <c r="AV16" s="76">
        <f>IFERROR(IF(AND(d_Irr!U16&lt;&gt;".",d_Irr!AT16&lt;&gt;".",d_Irr!BS16&lt;&gt;"."),d_dir!AV16/((1/1000)*(d_Irr!U16+d_Irr!AT16+d_Irr!BS16)),IF(AND(d_Irr!U16&lt;&gt;".",d_Irr!AT16&lt;&gt;".",d_Irr!BS16="."),d_dir!AV16/((1/1000)*(d_Irr!U16+d_Irr!AT16)),IF(AND(d_Irr!U16&lt;&gt;".",d_Irr!AT16=".",d_Irr!BS16&lt;&gt;"."),d_dir!AV16/((1/1000)*(d_Irr!U16+d_Irr!BS16)),IF(AND(d_Irr!U16=".",d_Irr!AT16&lt;&gt;".",d_Irr!BS16&lt;&gt;"."),d_dir!AV16/((1/1000)*(d_Irr!AT16+d_Irr!BS16)),IF(AND(d_Irr!U16=".",d_Irr!AT16=".",d_Irr!BS16&lt;&gt;"."),d_dir!AV16/((1/1000)*(d_Irr!BS16)),IF(AND(d_Irr!U16=".",d_Irr!AT16&lt;&gt;".",d_Irr!BS16="."),d_dir!AV16/((1/1000)*(d_Irr!AT16)),IF(AND(d_Irr!U16&lt;&gt;".",d_Irr!AT16=".",d_Irr!BS16="."),d_dir!AV16/((1/1000)*(d_Irr!U16)),IF(AND(d_Irr!U16=".",d_Irr!AT16=".",d_Irr!BS16="."),d_dir!AV16*1000)))))))),".")</f>
        <v>0.12767154034275419</v>
      </c>
      <c r="AW16" s="76">
        <f>IFERROR(IF(AND(d_Irr!V16&lt;&gt;".",d_Irr!AU16&lt;&gt;".",d_Irr!BT16&lt;&gt;"."),d_dir!AW16/((1/1000)*(d_Irr!V16+d_Irr!AU16+d_Irr!BT16)),IF(AND(d_Irr!V16&lt;&gt;".",d_Irr!AU16&lt;&gt;".",d_Irr!BT16="."),d_dir!AW16/((1/1000)*(d_Irr!V16+d_Irr!AU16)),IF(AND(d_Irr!V16&lt;&gt;".",d_Irr!AU16=".",d_Irr!BT16&lt;&gt;"."),d_dir!AW16/((1/1000)*(d_Irr!V16+d_Irr!BT16)),IF(AND(d_Irr!V16=".",d_Irr!AU16&lt;&gt;".",d_Irr!BT16&lt;&gt;"."),d_dir!AW16/((1/1000)*(d_Irr!AU16+d_Irr!BT16)),IF(AND(d_Irr!V16=".",d_Irr!AU16=".",d_Irr!BT16&lt;&gt;"."),d_dir!AW16/((1/1000)*(d_Irr!BT16)),IF(AND(d_Irr!V16=".",d_Irr!AU16&lt;&gt;".",d_Irr!BT16="."),d_dir!AW16/((1/1000)*(d_Irr!AU16)),IF(AND(d_Irr!V16&lt;&gt;".",d_Irr!AU16=".",d_Irr!BT16="."),d_dir!AW16/((1/1000)*(d_Irr!V16)),IF(AND(d_Irr!V16=".",d_Irr!AU16=".",d_Irr!BT16="."),d_dir!AW16*1000)))))))),".")</f>
        <v>0.25406272334139629</v>
      </c>
      <c r="AX16" s="76">
        <f>IFERROR(IF(AND(d_Irr!W16&lt;&gt;".",d_Irr!AV16&lt;&gt;".",d_Irr!BU16&lt;&gt;"."),d_dir!AX16/((1/1000)*(d_Irr!W16+d_Irr!AV16+d_Irr!BU16)),IF(AND(d_Irr!W16&lt;&gt;".",d_Irr!AV16&lt;&gt;".",d_Irr!BU16="."),d_dir!AX16/((1/1000)*(d_Irr!W16+d_Irr!AV16)),IF(AND(d_Irr!W16&lt;&gt;".",d_Irr!AV16=".",d_Irr!BU16&lt;&gt;"."),d_dir!AX16/((1/1000)*(d_Irr!W16+d_Irr!BU16)),IF(AND(d_Irr!W16=".",d_Irr!AV16&lt;&gt;".",d_Irr!BU16&lt;&gt;"."),d_dir!AX16/((1/1000)*(d_Irr!AV16+d_Irr!BU16)),IF(AND(d_Irr!W16=".",d_Irr!AV16=".",d_Irr!BU16&lt;&gt;"."),d_dir!AX16/((1/1000)*(d_Irr!BU16)),IF(AND(d_Irr!W16=".",d_Irr!AV16&lt;&gt;".",d_Irr!BU16="."),d_dir!AX16/((1/1000)*(d_Irr!AV16)),IF(AND(d_Irr!W16&lt;&gt;".",d_Irr!AV16=".",d_Irr!BU16="."),d_dir!AX16/((1/1000)*(d_Irr!W16)),IF(AND(d_Irr!W16=".",d_Irr!AV16=".",d_Irr!BU16="."),d_dir!AX16*1000)))))))),".")</f>
        <v>0.29896816032311346</v>
      </c>
      <c r="AY16" s="76">
        <f>IFERROR(IF(AND(d_Irr!X16&lt;&gt;".",d_Irr!AW16&lt;&gt;".",d_Irr!BV16&lt;&gt;"."),d_dir!AY16/((1/1000)*(d_Irr!X16+d_Irr!AW16+d_Irr!BV16)),IF(AND(d_Irr!X16&lt;&gt;".",d_Irr!AW16&lt;&gt;".",d_Irr!BV16="."),d_dir!AY16/((1/1000)*(d_Irr!X16+d_Irr!AW16)),IF(AND(d_Irr!X16&lt;&gt;".",d_Irr!AW16=".",d_Irr!BV16&lt;&gt;"."),d_dir!AY16/((1/1000)*(d_Irr!X16+d_Irr!BV16)),IF(AND(d_Irr!X16=".",d_Irr!AW16&lt;&gt;".",d_Irr!BV16&lt;&gt;"."),d_dir!AY16/((1/1000)*(d_Irr!AW16+d_Irr!BV16)),IF(AND(d_Irr!X16=".",d_Irr!AW16=".",d_Irr!BV16&lt;&gt;"."),d_dir!AY16/((1/1000)*(d_Irr!BV16)),IF(AND(d_Irr!X16=".",d_Irr!AW16&lt;&gt;".",d_Irr!BV16="."),d_dir!AY16/((1/1000)*(d_Irr!AW16)),IF(AND(d_Irr!X16&lt;&gt;".",d_Irr!AW16=".",d_Irr!BV16="."),d_dir!AY16/((1/1000)*(d_Irr!X16)),IF(AND(d_Irr!X16=".",d_Irr!AW16=".",d_Irr!BV16="."),d_dir!AY16*1000)))))))),".")</f>
        <v>0.39255848886224243</v>
      </c>
      <c r="AZ16" s="76">
        <f>IFERROR(IF(AND(d_Irr!Y16&lt;&gt;".",d_Irr!AX16&lt;&gt;".",d_Irr!BW16&lt;&gt;"."),d_dir!AZ16/((1/1000)*(d_Irr!Y16+d_Irr!AX16+d_Irr!BW16)),IF(AND(d_Irr!Y16&lt;&gt;".",d_Irr!AX16&lt;&gt;".",d_Irr!BW16="."),d_dir!AZ16/((1/1000)*(d_Irr!Y16+d_Irr!AX16)),IF(AND(d_Irr!Y16&lt;&gt;".",d_Irr!AX16=".",d_Irr!BW16&lt;&gt;"."),d_dir!AZ16/((1/1000)*(d_Irr!Y16+d_Irr!BW16)),IF(AND(d_Irr!Y16=".",d_Irr!AX16&lt;&gt;".",d_Irr!BW16&lt;&gt;"."),d_dir!AZ16/((1/1000)*(d_Irr!AX16+d_Irr!BW16)),IF(AND(d_Irr!Y16=".",d_Irr!AX16=".",d_Irr!BW16&lt;&gt;"."),d_dir!AZ16/((1/1000)*(d_Irr!BW16)),IF(AND(d_Irr!Y16=".",d_Irr!AX16&lt;&gt;".",d_Irr!BW16="."),d_dir!AZ16/((1/1000)*(d_Irr!AX16)),IF(AND(d_Irr!Y16&lt;&gt;".",d_Irr!AX16=".",d_Irr!BW16="."),d_dir!AZ16/((1/1000)*(d_Irr!Y16)),IF(AND(d_Irr!Y16=".",d_Irr!AX16=".",d_Irr!BW16="."),d_dir!AZ16*1000)))))))),".")</f>
        <v>0.16596846396856471</v>
      </c>
      <c r="BA16" s="76">
        <f>IFERROR(IF(AND(d_Irr!Z16&lt;&gt;".",d_Irr!AY16&lt;&gt;".",d_Irr!BX16&lt;&gt;"."),d_dir!BA16/((1/1000)*(d_Irr!Z16+d_Irr!AY16+d_Irr!BX16)),IF(AND(d_Irr!Z16&lt;&gt;".",d_Irr!AY16&lt;&gt;".",d_Irr!BX16="."),d_dir!BA16/((1/1000)*(d_Irr!Z16+d_Irr!AY16)),IF(AND(d_Irr!Z16&lt;&gt;".",d_Irr!AY16=".",d_Irr!BX16&lt;&gt;"."),d_dir!BA16/((1/1000)*(d_Irr!Z16+d_Irr!BX16)),IF(AND(d_Irr!Z16=".",d_Irr!AY16&lt;&gt;".",d_Irr!BX16&lt;&gt;"."),d_dir!BA16/((1/1000)*(d_Irr!AY16+d_Irr!BX16)),IF(AND(d_Irr!Z16=".",d_Irr!AY16=".",d_Irr!BX16&lt;&gt;"."),d_dir!BA16/((1/1000)*(d_Irr!BX16)),IF(AND(d_Irr!Z16=".",d_Irr!AY16&lt;&gt;".",d_Irr!BX16="."),d_dir!BA16/((1/1000)*(d_Irr!AY16)),IF(AND(d_Irr!Z16&lt;&gt;".",d_Irr!AY16=".",d_Irr!BX16="."),d_dir!BA16/((1/1000)*(d_Irr!Z16)),IF(AND(d_Irr!Z16=".",d_Irr!AY16=".",d_Irr!BX16="."),d_dir!BA16*1000)))))))),".")</f>
        <v>5.9943127046481443E-2</v>
      </c>
      <c r="BB16" s="76">
        <f>IFERROR(IF(AND(d_Irr!AA16&lt;&gt;".",d_Irr!AZ16&lt;&gt;".",d_Irr!BY16&lt;&gt;"."),d_dir!BB16/((1/1000)*(d_Irr!AA16+d_Irr!AZ16+d_Irr!BY16)),IF(AND(d_Irr!AA16&lt;&gt;".",d_Irr!AZ16&lt;&gt;".",d_Irr!BY16="."),d_dir!BB16/((1/1000)*(d_Irr!AA16+d_Irr!AZ16)),IF(AND(d_Irr!AA16&lt;&gt;".",d_Irr!AZ16=".",d_Irr!BY16&lt;&gt;"."),d_dir!BB16/((1/1000)*(d_Irr!AA16+d_Irr!BY16)),IF(AND(d_Irr!AA16=".",d_Irr!AZ16&lt;&gt;".",d_Irr!BY16&lt;&gt;"."),d_dir!BB16/((1/1000)*(d_Irr!AZ16+d_Irr!BY16)),IF(AND(d_Irr!AA16=".",d_Irr!AZ16=".",d_Irr!BY16&lt;&gt;"."),d_dir!BB16/((1/1000)*(d_Irr!BY16)),IF(AND(d_Irr!AA16=".",d_Irr!AZ16&lt;&gt;".",d_Irr!BY16="."),d_dir!BB16/((1/1000)*(d_Irr!AZ16)),IF(AND(d_Irr!AA16&lt;&gt;".",d_Irr!AZ16=".",d_Irr!BY16="."),d_dir!BB16/((1/1000)*(d_Irr!AA16)),IF(AND(d_Irr!AA16=".",d_Irr!AZ16=".",d_Irr!BY16="."),d_dir!BB16*1000)))))))),".")</f>
        <v>5.9017737780880354E-2</v>
      </c>
    </row>
    <row r="17" spans="1:54" ht="15" customHeight="1" x14ac:dyDescent="0.25">
      <c r="A17" s="92" t="s">
        <v>27</v>
      </c>
      <c r="B17" s="90" t="s">
        <v>1071</v>
      </c>
      <c r="C17" s="2">
        <f t="shared" si="1"/>
        <v>39.944313424726296</v>
      </c>
      <c r="D17" s="76">
        <f>IFERROR(IF(AND(d_Irr!C17&lt;&gt;".",d_Irr!AB17&lt;&gt;".",d_Irr!BA17&lt;&gt;"."),d_dir!D17/((1/1000)*(d_Irr!C17+d_Irr!AB17+d_Irr!BA17)),IF(AND(d_Irr!C17&lt;&gt;".",d_Irr!AB17&lt;&gt;".",d_Irr!BA17="."),d_dir!D17/((1/1000)*(d_Irr!C17+d_Irr!AB17)),IF(AND(d_Irr!C17&lt;&gt;".",d_Irr!AB17=".",d_Irr!BA17&lt;&gt;"."),d_dir!D17/((1/1000)*(d_Irr!C17+d_Irr!BA17)),IF(AND(d_Irr!C17=".",d_Irr!AB17&lt;&gt;".",d_Irr!BA17&lt;&gt;"."),d_dir!D17/((1/1000)*(d_Irr!AB17+d_Irr!BA17)),IF(AND(d_Irr!C17=".",d_Irr!AB17=".",d_Irr!BA17&lt;&gt;"."),d_dir!D17/((1/1000)*(d_Irr!BA17)),IF(AND(d_Irr!C17=".",d_Irr!AB17&lt;&gt;".",d_Irr!BA17="."),d_dir!D17/((1/1000)*(d_Irr!AB17)),IF(AND(d_Irr!C17&lt;&gt;".",d_Irr!AB17=".",d_Irr!BA17="."),d_dir!D17/((1/1000)*(d_Irr!C17)),IF(AND(d_Irr!C17=".",d_Irr!AB17=".",d_Irr!BA17="."),d_dir!D17*1000)))))))),".")</f>
        <v>770.47326304424701</v>
      </c>
      <c r="E17" s="76">
        <f>IFERROR(IF(AND(d_Irr!D17&lt;&gt;".",d_Irr!AC17&lt;&gt;".",d_Irr!BB17&lt;&gt;"."),d_dir!E17/((1/1000)*(d_Irr!D17+d_Irr!AC17+d_Irr!BB17)),IF(AND(d_Irr!D17&lt;&gt;".",d_Irr!AC17&lt;&gt;".",d_Irr!BB17="."),d_dir!E17/((1/1000)*(d_Irr!D17+d_Irr!AC17)),IF(AND(d_Irr!D17&lt;&gt;".",d_Irr!AC17=".",d_Irr!BB17&lt;&gt;"."),d_dir!E17/((1/1000)*(d_Irr!D17+d_Irr!BB17)),IF(AND(d_Irr!D17=".",d_Irr!AC17&lt;&gt;".",d_Irr!BB17&lt;&gt;"."),d_dir!E17/((1/1000)*(d_Irr!AC17+d_Irr!BB17)),IF(AND(d_Irr!D17=".",d_Irr!AC17=".",d_Irr!BB17&lt;&gt;"."),d_dir!E17/((1/1000)*(d_Irr!BB17)),IF(AND(d_Irr!D17=".",d_Irr!AC17&lt;&gt;".",d_Irr!BB17="."),d_dir!E17/((1/1000)*(d_Irr!AC17)),IF(AND(d_Irr!D17&lt;&gt;".",d_Irr!AC17=".",d_Irr!BB17="."),d_dir!E17/((1/1000)*(d_Irr!D17)),IF(AND(d_Irr!D17=".",d_Irr!AC17=".",d_Irr!BB17="."),d_dir!E17*1000)))))))),".")</f>
        <v>1037.5315415496129</v>
      </c>
      <c r="F17" s="76">
        <f>IFERROR(IF(AND(d_Irr!E17&lt;&gt;".",d_Irr!AD17&lt;&gt;".",d_Irr!BC17&lt;&gt;"."),d_dir!F17/((1/1000)*(d_Irr!E17+d_Irr!AD17+d_Irr!BC17)),IF(AND(d_Irr!E17&lt;&gt;".",d_Irr!AD17&lt;&gt;".",d_Irr!BC17="."),d_dir!F17/((1/1000)*(d_Irr!E17+d_Irr!AD17)),IF(AND(d_Irr!E17&lt;&gt;".",d_Irr!AD17=".",d_Irr!BC17&lt;&gt;"."),d_dir!F17/((1/1000)*(d_Irr!E17+d_Irr!BC17)),IF(AND(d_Irr!E17=".",d_Irr!AD17&lt;&gt;".",d_Irr!BC17&lt;&gt;"."),d_dir!F17/((1/1000)*(d_Irr!AD17+d_Irr!BC17)),IF(AND(d_Irr!E17=".",d_Irr!AD17=".",d_Irr!BC17&lt;&gt;"."),d_dir!F17/((1/1000)*(d_Irr!BC17)),IF(AND(d_Irr!E17=".",d_Irr!AD17&lt;&gt;".",d_Irr!BC17="."),d_dir!F17/((1/1000)*(d_Irr!AD17)),IF(AND(d_Irr!E17&lt;&gt;".",d_Irr!AD17=".",d_Irr!BC17="."),d_dir!F17/((1/1000)*(d_Irr!E17)),IF(AND(d_Irr!E17=".",d_Irr!AD17=".",d_Irr!BC17="."),d_dir!F17*1000)))))))),".")</f>
        <v>1946.1461846253069</v>
      </c>
      <c r="G17" s="76">
        <f>IFERROR(IF(AND(d_Irr!F17&lt;&gt;".",d_Irr!AE17&lt;&gt;".",d_Irr!BD17&lt;&gt;"."),d_dir!G17/((1/1000)*(d_Irr!F17+d_Irr!AE17+d_Irr!BD17)),IF(AND(d_Irr!F17&lt;&gt;".",d_Irr!AE17&lt;&gt;".",d_Irr!BD17="."),d_dir!G17/((1/1000)*(d_Irr!F17+d_Irr!AE17)),IF(AND(d_Irr!F17&lt;&gt;".",d_Irr!AE17=".",d_Irr!BD17&lt;&gt;"."),d_dir!G17/((1/1000)*(d_Irr!F17+d_Irr!BD17)),IF(AND(d_Irr!F17=".",d_Irr!AE17&lt;&gt;".",d_Irr!BD17&lt;&gt;"."),d_dir!G17/((1/1000)*(d_Irr!AE17+d_Irr!BD17)),IF(AND(d_Irr!F17=".",d_Irr!AE17=".",d_Irr!BD17&lt;&gt;"."),d_dir!G17/((1/1000)*(d_Irr!BD17)),IF(AND(d_Irr!F17=".",d_Irr!AE17&lt;&gt;".",d_Irr!BD17="."),d_dir!G17/((1/1000)*(d_Irr!AE17)),IF(AND(d_Irr!F17&lt;&gt;".",d_Irr!AE17=".",d_Irr!BD17="."),d_dir!G17/((1/1000)*(d_Irr!F17)),IF(AND(d_Irr!F17=".",d_Irr!AE17=".",d_Irr!BD17="."),d_dir!G17*1000)))))))),".")</f>
        <v>1732.8369526452957</v>
      </c>
      <c r="H17" s="76">
        <f>IFERROR(IF(AND(d_Irr!G17&lt;&gt;".",d_Irr!AF17&lt;&gt;".",d_Irr!BE17&lt;&gt;"."),d_dir!H17/((1/1000)*(d_Irr!G17+d_Irr!AF17+d_Irr!BE17)),IF(AND(d_Irr!G17&lt;&gt;".",d_Irr!AF17&lt;&gt;".",d_Irr!BE17="."),d_dir!H17/((1/1000)*(d_Irr!G17+d_Irr!AF17)),IF(AND(d_Irr!G17&lt;&gt;".",d_Irr!AF17=".",d_Irr!BE17&lt;&gt;"."),d_dir!H17/((1/1000)*(d_Irr!G17+d_Irr!BE17)),IF(AND(d_Irr!G17=".",d_Irr!AF17&lt;&gt;".",d_Irr!BE17&lt;&gt;"."),d_dir!H17/((1/1000)*(d_Irr!AF17+d_Irr!BE17)),IF(AND(d_Irr!G17=".",d_Irr!AF17=".",d_Irr!BE17&lt;&gt;"."),d_dir!H17/((1/1000)*(d_Irr!BE17)),IF(AND(d_Irr!G17=".",d_Irr!AF17&lt;&gt;".",d_Irr!BE17="."),d_dir!H17/((1/1000)*(d_Irr!AF17)),IF(AND(d_Irr!G17&lt;&gt;".",d_Irr!AF17=".",d_Irr!BE17="."),d_dir!H17/((1/1000)*(d_Irr!G17)),IF(AND(d_Irr!G17=".",d_Irr!AF17=".",d_Irr!BE17="."),d_dir!H17*1000)))))))),".")</f>
        <v>2029.2936776031875</v>
      </c>
      <c r="I17" s="76">
        <f>IFERROR(IF(AND(d_Irr!H17&lt;&gt;".",d_Irr!AG17&lt;&gt;".",d_Irr!BF17&lt;&gt;"."),d_dir!I17/((1/1000)*(d_Irr!H17+d_Irr!AG17+d_Irr!BF17)),IF(AND(d_Irr!H17&lt;&gt;".",d_Irr!AG17&lt;&gt;".",d_Irr!BF17="."),d_dir!I17/((1/1000)*(d_Irr!H17+d_Irr!AG17)),IF(AND(d_Irr!H17&lt;&gt;".",d_Irr!AG17=".",d_Irr!BF17&lt;&gt;"."),d_dir!I17/((1/1000)*(d_Irr!H17+d_Irr!BF17)),IF(AND(d_Irr!H17=".",d_Irr!AG17&lt;&gt;".",d_Irr!BF17&lt;&gt;"."),d_dir!I17/((1/1000)*(d_Irr!AG17+d_Irr!BF17)),IF(AND(d_Irr!H17=".",d_Irr!AG17=".",d_Irr!BF17&lt;&gt;"."),d_dir!I17/((1/1000)*(d_Irr!BF17)),IF(AND(d_Irr!H17=".",d_Irr!AG17&lt;&gt;".",d_Irr!BF17="."),d_dir!I17/((1/1000)*(d_Irr!AG17)),IF(AND(d_Irr!H17&lt;&gt;".",d_Irr!AG17=".",d_Irr!BF17="."),d_dir!I17/((1/1000)*(d_Irr!H17)),IF(AND(d_Irr!H17=".",d_Irr!AG17=".",d_Irr!BF17="."),d_dir!I17*1000)))))))),".")</f>
        <v>511.08449621427508</v>
      </c>
      <c r="J17" s="76">
        <f>IFERROR(IF(AND(d_Irr!I17&lt;&gt;".",d_Irr!AH17&lt;&gt;".",d_Irr!BG17&lt;&gt;"."),d_dir!J17/((1/1000)*(d_Irr!I17+d_Irr!AH17+d_Irr!BG17)),IF(AND(d_Irr!I17&lt;&gt;".",d_Irr!AH17&lt;&gt;".",d_Irr!BG17="."),d_dir!J17/((1/1000)*(d_Irr!I17+d_Irr!AH17)),IF(AND(d_Irr!I17&lt;&gt;".",d_Irr!AH17=".",d_Irr!BG17&lt;&gt;"."),d_dir!J17/((1/1000)*(d_Irr!I17+d_Irr!BG17)),IF(AND(d_Irr!I17=".",d_Irr!AH17&lt;&gt;".",d_Irr!BG17&lt;&gt;"."),d_dir!J17/((1/1000)*(d_Irr!AH17+d_Irr!BG17)),IF(AND(d_Irr!I17=".",d_Irr!AH17=".",d_Irr!BG17&lt;&gt;"."),d_dir!J17/((1/1000)*(d_Irr!BG17)),IF(AND(d_Irr!I17=".",d_Irr!AH17&lt;&gt;".",d_Irr!BG17="."),d_dir!J17/((1/1000)*(d_Irr!AH17)),IF(AND(d_Irr!I17&lt;&gt;".",d_Irr!AH17=".",d_Irr!BG17="."),d_dir!J17/((1/1000)*(d_Irr!I17)),IF(AND(d_Irr!I17=".",d_Irr!AH17=".",d_Irr!BG17="."),d_dir!J17*1000)))))))),".")</f>
        <v>2240.864264415613</v>
      </c>
      <c r="K17" s="76">
        <f>IFERROR(IF(AND(d_Irr!J17&lt;&gt;".",d_Irr!AI17&lt;&gt;".",d_Irr!BH17&lt;&gt;"."),d_dir!K17/((1/1000)*(d_Irr!J17+d_Irr!AI17+d_Irr!BH17)),IF(AND(d_Irr!J17&lt;&gt;".",d_Irr!AI17&lt;&gt;".",d_Irr!BH17="."),d_dir!K17/((1/1000)*(d_Irr!J17+d_Irr!AI17)),IF(AND(d_Irr!J17&lt;&gt;".",d_Irr!AI17=".",d_Irr!BH17&lt;&gt;"."),d_dir!K17/((1/1000)*(d_Irr!J17+d_Irr!BH17)),IF(AND(d_Irr!J17=".",d_Irr!AI17&lt;&gt;".",d_Irr!BH17&lt;&gt;"."),d_dir!K17/((1/1000)*(d_Irr!AI17+d_Irr!BH17)),IF(AND(d_Irr!J17=".",d_Irr!AI17=".",d_Irr!BH17&lt;&gt;"."),d_dir!K17/((1/1000)*(d_Irr!BH17)),IF(AND(d_Irr!J17=".",d_Irr!AI17&lt;&gt;".",d_Irr!BH17="."),d_dir!K17/((1/1000)*(d_Irr!AI17)),IF(AND(d_Irr!J17&lt;&gt;".",d_Irr!AI17=".",d_Irr!BH17="."),d_dir!K17/((1/1000)*(d_Irr!J17)),IF(AND(d_Irr!J17=".",d_Irr!AI17=".",d_Irr!BH17="."),d_dir!K17*1000)))))))),".")</f>
        <v>199.78866843508476</v>
      </c>
      <c r="L17" s="76">
        <f>IFERROR(IF(AND(d_Irr!K17&lt;&gt;".",d_Irr!AJ17&lt;&gt;".",d_Irr!BI17&lt;&gt;"."),d_dir!L17/((1/1000)*(d_Irr!K17+d_Irr!AJ17+d_Irr!BI17)),IF(AND(d_Irr!K17&lt;&gt;".",d_Irr!AJ17&lt;&gt;".",d_Irr!BI17="."),d_dir!L17/((1/1000)*(d_Irr!K17+d_Irr!AJ17)),IF(AND(d_Irr!K17&lt;&gt;".",d_Irr!AJ17=".",d_Irr!BI17&lt;&gt;"."),d_dir!L17/((1/1000)*(d_Irr!K17+d_Irr!BI17)),IF(AND(d_Irr!K17=".",d_Irr!AJ17&lt;&gt;".",d_Irr!BI17&lt;&gt;"."),d_dir!L17/((1/1000)*(d_Irr!AJ17+d_Irr!BI17)),IF(AND(d_Irr!K17=".",d_Irr!AJ17=".",d_Irr!BI17&lt;&gt;"."),d_dir!L17/((1/1000)*(d_Irr!BI17)),IF(AND(d_Irr!K17=".",d_Irr!AJ17&lt;&gt;".",d_Irr!BI17="."),d_dir!L17/((1/1000)*(d_Irr!AJ17)),IF(AND(d_Irr!K17&lt;&gt;".",d_Irr!AJ17=".",d_Irr!BI17="."),d_dir!L17/((1/1000)*(d_Irr!K17)),IF(AND(d_Irr!K17=".",d_Irr!AJ17=".",d_Irr!BI17="."),d_dir!L17*1000)))))))),".")</f>
        <v>1189.1403947108242</v>
      </c>
      <c r="M17" s="76">
        <f>IFERROR(IF(AND(d_Irr!L17&lt;&gt;".",d_Irr!AK17&lt;&gt;".",d_Irr!BJ17&lt;&gt;"."),d_dir!M17/((1/1000)*(d_Irr!L17+d_Irr!AK17+d_Irr!BJ17)),IF(AND(d_Irr!L17&lt;&gt;".",d_Irr!AK17&lt;&gt;".",d_Irr!BJ17="."),d_dir!M17/((1/1000)*(d_Irr!L17+d_Irr!AK17)),IF(AND(d_Irr!L17&lt;&gt;".",d_Irr!AK17=".",d_Irr!BJ17&lt;&gt;"."),d_dir!M17/((1/1000)*(d_Irr!L17+d_Irr!BJ17)),IF(AND(d_Irr!L17=".",d_Irr!AK17&lt;&gt;".",d_Irr!BJ17&lt;&gt;"."),d_dir!M17/((1/1000)*(d_Irr!AK17+d_Irr!BJ17)),IF(AND(d_Irr!L17=".",d_Irr!AK17=".",d_Irr!BJ17&lt;&gt;"."),d_dir!M17/((1/1000)*(d_Irr!BJ17)),IF(AND(d_Irr!L17=".",d_Irr!AK17&lt;&gt;".",d_Irr!BJ17="."),d_dir!M17/((1/1000)*(d_Irr!AK17)),IF(AND(d_Irr!L17&lt;&gt;".",d_Irr!AK17=".",d_Irr!BJ17="."),d_dir!M17/((1/1000)*(d_Irr!L17)),IF(AND(d_Irr!L17=".",d_Irr!AK17=".",d_Irr!BJ17="."),d_dir!M17*1000)))))))),".")</f>
        <v>786.49786878404768</v>
      </c>
      <c r="N17" s="76">
        <f>IFERROR(IF(AND(d_Irr!M17&lt;&gt;".",d_Irr!AL17&lt;&gt;".",d_Irr!BK17&lt;&gt;"."),d_dir!N17/((1/1000)*(d_Irr!M17+d_Irr!AL17+d_Irr!BK17)),IF(AND(d_Irr!M17&lt;&gt;".",d_Irr!AL17&lt;&gt;".",d_Irr!BK17="."),d_dir!N17/((1/1000)*(d_Irr!M17+d_Irr!AL17)),IF(AND(d_Irr!M17&lt;&gt;".",d_Irr!AL17=".",d_Irr!BK17&lt;&gt;"."),d_dir!N17/((1/1000)*(d_Irr!M17+d_Irr!BK17)),IF(AND(d_Irr!M17=".",d_Irr!AL17&lt;&gt;".",d_Irr!BK17&lt;&gt;"."),d_dir!N17/((1/1000)*(d_Irr!AL17+d_Irr!BK17)),IF(AND(d_Irr!M17=".",d_Irr!AL17=".",d_Irr!BK17&lt;&gt;"."),d_dir!N17/((1/1000)*(d_Irr!BK17)),IF(AND(d_Irr!M17=".",d_Irr!AL17&lt;&gt;".",d_Irr!BK17="."),d_dir!N17/((1/1000)*(d_Irr!AL17)),IF(AND(d_Irr!M17&lt;&gt;".",d_Irr!AL17=".",d_Irr!BK17="."),d_dir!N17/((1/1000)*(d_Irr!M17)),IF(AND(d_Irr!M17=".",d_Irr!AL17=".",d_Irr!BK17="."),d_dir!N17*1000)))))))),".")</f>
        <v>1118.6877796226131</v>
      </c>
      <c r="O17" s="76">
        <f>IFERROR(IF(AND(d_Irr!N17&lt;&gt;".",d_Irr!AM17&lt;&gt;".",d_Irr!BL17&lt;&gt;"."),d_dir!O17/((1/1000)*(d_Irr!N17+d_Irr!AM17+d_Irr!BL17)),IF(AND(d_Irr!N17&lt;&gt;".",d_Irr!AM17&lt;&gt;".",d_Irr!BL17="."),d_dir!O17/((1/1000)*(d_Irr!N17+d_Irr!AM17)),IF(AND(d_Irr!N17&lt;&gt;".",d_Irr!AM17=".",d_Irr!BL17&lt;&gt;"."),d_dir!O17/((1/1000)*(d_Irr!N17+d_Irr!BL17)),IF(AND(d_Irr!N17=".",d_Irr!AM17&lt;&gt;".",d_Irr!BL17&lt;&gt;"."),d_dir!O17/((1/1000)*(d_Irr!AM17+d_Irr!BL17)),IF(AND(d_Irr!N17=".",d_Irr!AM17=".",d_Irr!BL17&lt;&gt;"."),d_dir!O17/((1/1000)*(d_Irr!BL17)),IF(AND(d_Irr!N17=".",d_Irr!AM17&lt;&gt;".",d_Irr!BL17="."),d_dir!O17/((1/1000)*(d_Irr!AM17)),IF(AND(d_Irr!N17&lt;&gt;".",d_Irr!AM17=".",d_Irr!BL17="."),d_dir!O17/((1/1000)*(d_Irr!N17)),IF(AND(d_Irr!N17=".",d_Irr!AM17=".",d_Irr!BL17="."),d_dir!O17*1000)))))))),".")</f>
        <v>1833.6495611641408</v>
      </c>
      <c r="P17" s="76">
        <f>IFERROR(IF(AND(d_Irr!O17&lt;&gt;".",d_Irr!AN17&lt;&gt;".",d_Irr!BM17&lt;&gt;"."),d_dir!P17/((1/1000)*(d_Irr!O17+d_Irr!AN17+d_Irr!BM17)),IF(AND(d_Irr!O17&lt;&gt;".",d_Irr!AN17&lt;&gt;".",d_Irr!BM17="."),d_dir!P17/((1/1000)*(d_Irr!O17+d_Irr!AN17)),IF(AND(d_Irr!O17&lt;&gt;".",d_Irr!AN17=".",d_Irr!BM17&lt;&gt;"."),d_dir!P17/((1/1000)*(d_Irr!O17+d_Irr!BM17)),IF(AND(d_Irr!O17=".",d_Irr!AN17&lt;&gt;".",d_Irr!BM17&lt;&gt;"."),d_dir!P17/((1/1000)*(d_Irr!AN17+d_Irr!BM17)),IF(AND(d_Irr!O17=".",d_Irr!AN17=".",d_Irr!BM17&lt;&gt;"."),d_dir!P17/((1/1000)*(d_Irr!BM17)),IF(AND(d_Irr!O17=".",d_Irr!AN17&lt;&gt;".",d_Irr!BM17="."),d_dir!P17/((1/1000)*(d_Irr!AN17)),IF(AND(d_Irr!O17&lt;&gt;".",d_Irr!AN17=".",d_Irr!BM17="."),d_dir!P17/((1/1000)*(d_Irr!O17)),IF(AND(d_Irr!O17=".",d_Irr!AN17=".",d_Irr!BM17="."),d_dir!P17*1000)))))))),".")</f>
        <v>2121.7767366187036</v>
      </c>
      <c r="Q17" s="76">
        <f>IFERROR(IF(AND(d_Irr!P17&lt;&gt;".",d_Irr!AO17&lt;&gt;".",d_Irr!BN17&lt;&gt;"."),d_dir!Q17/((1/1000)*(d_Irr!P17+d_Irr!AO17+d_Irr!BN17)),IF(AND(d_Irr!P17&lt;&gt;".",d_Irr!AO17&lt;&gt;".",d_Irr!BN17="."),d_dir!Q17/((1/1000)*(d_Irr!P17+d_Irr!AO17)),IF(AND(d_Irr!P17&lt;&gt;".",d_Irr!AO17=".",d_Irr!BN17&lt;&gt;"."),d_dir!Q17/((1/1000)*(d_Irr!P17+d_Irr!BN17)),IF(AND(d_Irr!P17=".",d_Irr!AO17&lt;&gt;".",d_Irr!BN17&lt;&gt;"."),d_dir!Q17/((1/1000)*(d_Irr!AO17+d_Irr!BN17)),IF(AND(d_Irr!P17=".",d_Irr!AO17=".",d_Irr!BN17&lt;&gt;"."),d_dir!Q17/((1/1000)*(d_Irr!BN17)),IF(AND(d_Irr!P17=".",d_Irr!AO17&lt;&gt;".",d_Irr!BN17="."),d_dir!Q17/((1/1000)*(d_Irr!AO17)),IF(AND(d_Irr!P17&lt;&gt;".",d_Irr!AO17=".",d_Irr!BN17="."),d_dir!Q17/((1/1000)*(d_Irr!P17)),IF(AND(d_Irr!P17=".",d_Irr!AO17=".",d_Irr!BN17="."),d_dir!Q17*1000)))))))),".")</f>
        <v>3028.5853509183939</v>
      </c>
      <c r="R17" s="76">
        <f>IFERROR(IF(AND(d_Irr!Q17&lt;&gt;".",d_Irr!AP17&lt;&gt;".",d_Irr!BO17&lt;&gt;"."),d_dir!R17/((1/1000)*(d_Irr!Q17+d_Irr!AP17+d_Irr!BO17)),IF(AND(d_Irr!Q17&lt;&gt;".",d_Irr!AP17&lt;&gt;".",d_Irr!BO17="."),d_dir!R17/((1/1000)*(d_Irr!Q17+d_Irr!AP17)),IF(AND(d_Irr!Q17&lt;&gt;".",d_Irr!AP17=".",d_Irr!BO17&lt;&gt;"."),d_dir!R17/((1/1000)*(d_Irr!Q17+d_Irr!BO17)),IF(AND(d_Irr!Q17=".",d_Irr!AP17&lt;&gt;".",d_Irr!BO17&lt;&gt;"."),d_dir!R17/((1/1000)*(d_Irr!AP17+d_Irr!BO17)),IF(AND(d_Irr!Q17=".",d_Irr!AP17=".",d_Irr!BO17&lt;&gt;"."),d_dir!R17/((1/1000)*(d_Irr!BO17)),IF(AND(d_Irr!Q17=".",d_Irr!AP17&lt;&gt;".",d_Irr!BO17="."),d_dir!R17/((1/1000)*(d_Irr!AP17)),IF(AND(d_Irr!Q17&lt;&gt;".",d_Irr!AP17=".",d_Irr!BO17="."),d_dir!R17/((1/1000)*(d_Irr!Q17)),IF(AND(d_Irr!Q17=".",d_Irr!AP17=".",d_Irr!BO17="."),d_dir!R17*1000)))))))),".")</f>
        <v>494.66767664259794</v>
      </c>
      <c r="S17" s="76">
        <f>IFERROR(IF(AND(d_Irr!R17&lt;&gt;".",d_Irr!AQ17&lt;&gt;".",d_Irr!BP17&lt;&gt;"."),d_dir!S17/((1/1000)*(d_Irr!R17+d_Irr!AQ17+d_Irr!BP17)),IF(AND(d_Irr!R17&lt;&gt;".",d_Irr!AQ17&lt;&gt;".",d_Irr!BP17="."),d_dir!S17/((1/1000)*(d_Irr!R17+d_Irr!AQ17)),IF(AND(d_Irr!R17&lt;&gt;".",d_Irr!AQ17=".",d_Irr!BP17&lt;&gt;"."),d_dir!S17/((1/1000)*(d_Irr!R17+d_Irr!BP17)),IF(AND(d_Irr!R17=".",d_Irr!AQ17&lt;&gt;".",d_Irr!BP17&lt;&gt;"."),d_dir!S17/((1/1000)*(d_Irr!AQ17+d_Irr!BP17)),IF(AND(d_Irr!R17=".",d_Irr!AQ17=".",d_Irr!BP17&lt;&gt;"."),d_dir!S17/((1/1000)*(d_Irr!BP17)),IF(AND(d_Irr!R17=".",d_Irr!AQ17&lt;&gt;".",d_Irr!BP17="."),d_dir!S17/((1/1000)*(d_Irr!AQ17)),IF(AND(d_Irr!R17&lt;&gt;".",d_Irr!AQ17=".",d_Irr!BP17="."),d_dir!S17/((1/1000)*(d_Irr!R17)),IF(AND(d_Irr!R17=".",d_Irr!AQ17=".",d_Irr!BP17="."),d_dir!S17*1000)))))))),".")</f>
        <v>1009.053711200296</v>
      </c>
      <c r="T17" s="76">
        <f>IFERROR(IF(AND(d_Irr!S17&lt;&gt;".",d_Irr!AR17&lt;&gt;".",d_Irr!BQ17&lt;&gt;"."),d_dir!T17/((1/1000)*(d_Irr!S17+d_Irr!AR17+d_Irr!BQ17)),IF(AND(d_Irr!S17&lt;&gt;".",d_Irr!AR17&lt;&gt;".",d_Irr!BQ17="."),d_dir!T17/((1/1000)*(d_Irr!S17+d_Irr!AR17)),IF(AND(d_Irr!S17&lt;&gt;".",d_Irr!AR17=".",d_Irr!BQ17&lt;&gt;"."),d_dir!T17/((1/1000)*(d_Irr!S17+d_Irr!BQ17)),IF(AND(d_Irr!S17=".",d_Irr!AR17&lt;&gt;".",d_Irr!BQ17&lt;&gt;"."),d_dir!T17/((1/1000)*(d_Irr!AR17+d_Irr!BQ17)),IF(AND(d_Irr!S17=".",d_Irr!AR17=".",d_Irr!BQ17&lt;&gt;"."),d_dir!T17/((1/1000)*(d_Irr!BQ17)),IF(AND(d_Irr!S17=".",d_Irr!AR17&lt;&gt;".",d_Irr!BQ17="."),d_dir!T17/((1/1000)*(d_Irr!AR17)),IF(AND(d_Irr!S17&lt;&gt;".",d_Irr!AR17=".",d_Irr!BQ17="."),d_dir!T17/((1/1000)*(d_Irr!S17)),IF(AND(d_Irr!S17=".",d_Irr!AR17=".",d_Irr!BQ17="."),d_dir!T17*1000)))))))),".")</f>
        <v>1837.9279094692163</v>
      </c>
      <c r="U17" s="76">
        <f>IFERROR(IF(AND(d_Irr!T17&lt;&gt;".",d_Irr!AS17&lt;&gt;".",d_Irr!BR17&lt;&gt;"."),d_dir!U17/((1/1000)*(d_Irr!T17+d_Irr!AS17+d_Irr!BR17)),IF(AND(d_Irr!T17&lt;&gt;".",d_Irr!AS17&lt;&gt;".",d_Irr!BR17="."),d_dir!U17/((1/1000)*(d_Irr!T17+d_Irr!AS17)),IF(AND(d_Irr!T17&lt;&gt;".",d_Irr!AS17=".",d_Irr!BR17&lt;&gt;"."),d_dir!U17/((1/1000)*(d_Irr!T17+d_Irr!BR17)),IF(AND(d_Irr!T17=".",d_Irr!AS17&lt;&gt;".",d_Irr!BR17&lt;&gt;"."),d_dir!U17/((1/1000)*(d_Irr!AS17+d_Irr!BR17)),IF(AND(d_Irr!T17=".",d_Irr!AS17=".",d_Irr!BR17&lt;&gt;"."),d_dir!U17/((1/1000)*(d_Irr!BR17)),IF(AND(d_Irr!T17=".",d_Irr!AS17&lt;&gt;".",d_Irr!BR17="."),d_dir!U17/((1/1000)*(d_Irr!AS17)),IF(AND(d_Irr!T17&lt;&gt;".",d_Irr!AS17=".",d_Irr!BR17="."),d_dir!U17/((1/1000)*(d_Irr!T17)),IF(AND(d_Irr!T17=".",d_Irr!AS17=".",d_Irr!BR17="."),d_dir!U17*1000)))))))),".")</f>
        <v>3610.7113079613819</v>
      </c>
      <c r="V17" s="76">
        <f>IFERROR(IF(AND(d_Irr!U17&lt;&gt;".",d_Irr!AT17&lt;&gt;".",d_Irr!BS17&lt;&gt;"."),d_dir!V17/((1/1000)*(d_Irr!U17+d_Irr!AT17+d_Irr!BS17)),IF(AND(d_Irr!U17&lt;&gt;".",d_Irr!AT17&lt;&gt;".",d_Irr!BS17="."),d_dir!V17/((1/1000)*(d_Irr!U17+d_Irr!AT17)),IF(AND(d_Irr!U17&lt;&gt;".",d_Irr!AT17=".",d_Irr!BS17&lt;&gt;"."),d_dir!V17/((1/1000)*(d_Irr!U17+d_Irr!BS17)),IF(AND(d_Irr!U17=".",d_Irr!AT17&lt;&gt;".",d_Irr!BS17&lt;&gt;"."),d_dir!V17/((1/1000)*(d_Irr!AT17+d_Irr!BS17)),IF(AND(d_Irr!U17=".",d_Irr!AT17=".",d_Irr!BS17&lt;&gt;"."),d_dir!V17/((1/1000)*(d_Irr!BS17)),IF(AND(d_Irr!U17=".",d_Irr!AT17&lt;&gt;".",d_Irr!BS17="."),d_dir!V17/((1/1000)*(d_Irr!AT17)),IF(AND(d_Irr!U17&lt;&gt;".",d_Irr!AT17=".",d_Irr!BS17="."),d_dir!V17/((1/1000)*(d_Irr!U17)),IF(AND(d_Irr!U17=".",d_Irr!AT17=".",d_Irr!BS17="."),d_dir!V17*1000)))))))),".")</f>
        <v>560.47127311350005</v>
      </c>
      <c r="W17" s="76">
        <f>IFERROR(IF(AND(d_Irr!V17&lt;&gt;".",d_Irr!AU17&lt;&gt;".",d_Irr!BT17&lt;&gt;"."),d_dir!W17/((1/1000)*(d_Irr!V17+d_Irr!AU17+d_Irr!BT17)),IF(AND(d_Irr!V17&lt;&gt;".",d_Irr!AU17&lt;&gt;".",d_Irr!BT17="."),d_dir!W17/((1/1000)*(d_Irr!V17+d_Irr!AU17)),IF(AND(d_Irr!V17&lt;&gt;".",d_Irr!AU17=".",d_Irr!BT17&lt;&gt;"."),d_dir!W17/((1/1000)*(d_Irr!V17+d_Irr!BT17)),IF(AND(d_Irr!V17=".",d_Irr!AU17&lt;&gt;".",d_Irr!BT17&lt;&gt;"."),d_dir!W17/((1/1000)*(d_Irr!AU17+d_Irr!BT17)),IF(AND(d_Irr!V17=".",d_Irr!AU17=".",d_Irr!BT17&lt;&gt;"."),d_dir!W17/((1/1000)*(d_Irr!BT17)),IF(AND(d_Irr!V17=".",d_Irr!AU17&lt;&gt;".",d_Irr!BT17="."),d_dir!W17/((1/1000)*(d_Irr!AU17)),IF(AND(d_Irr!V17&lt;&gt;".",d_Irr!AU17=".",d_Irr!BT17="."),d_dir!W17/((1/1000)*(d_Irr!V17)),IF(AND(d_Irr!V17=".",d_Irr!AU17=".",d_Irr!BT17="."),d_dir!W17*1000)))))))),".")</f>
        <v>1009.1423140544223</v>
      </c>
      <c r="X17" s="76">
        <f>IFERROR(IF(AND(d_Irr!W17&lt;&gt;".",d_Irr!AV17&lt;&gt;".",d_Irr!BU17&lt;&gt;"."),d_dir!X17/((1/1000)*(d_Irr!W17+d_Irr!AV17+d_Irr!BU17)),IF(AND(d_Irr!W17&lt;&gt;".",d_Irr!AV17&lt;&gt;".",d_Irr!BU17="."),d_dir!X17/((1/1000)*(d_Irr!W17+d_Irr!AV17)),IF(AND(d_Irr!W17&lt;&gt;".",d_Irr!AV17=".",d_Irr!BU17&lt;&gt;"."),d_dir!X17/((1/1000)*(d_Irr!W17+d_Irr!BU17)),IF(AND(d_Irr!W17=".",d_Irr!AV17&lt;&gt;".",d_Irr!BU17&lt;&gt;"."),d_dir!X17/((1/1000)*(d_Irr!AV17+d_Irr!BU17)),IF(AND(d_Irr!W17=".",d_Irr!AV17=".",d_Irr!BU17&lt;&gt;"."),d_dir!X17/((1/1000)*(d_Irr!BU17)),IF(AND(d_Irr!W17=".",d_Irr!AV17&lt;&gt;".",d_Irr!BU17="."),d_dir!X17/((1/1000)*(d_Irr!AV17)),IF(AND(d_Irr!W17&lt;&gt;".",d_Irr!AV17=".",d_Irr!BU17="."),d_dir!X17/((1/1000)*(d_Irr!W17)),IF(AND(d_Irr!W17=".",d_Irr!AV17=".",d_Irr!BU17="."),d_dir!X17*1000)))))))),".")</f>
        <v>1179.7781689381077</v>
      </c>
      <c r="Y17" s="76">
        <f>IFERROR(IF(AND(d_Irr!X17&lt;&gt;".",d_Irr!AW17&lt;&gt;".",d_Irr!BV17&lt;&gt;"."),d_dir!Y17/((1/1000)*(d_Irr!X17+d_Irr!AW17+d_Irr!BV17)),IF(AND(d_Irr!X17&lt;&gt;".",d_Irr!AW17&lt;&gt;".",d_Irr!BV17="."),d_dir!Y17/((1/1000)*(d_Irr!X17+d_Irr!AW17)),IF(AND(d_Irr!X17&lt;&gt;".",d_Irr!AW17=".",d_Irr!BV17&lt;&gt;"."),d_dir!Y17/((1/1000)*(d_Irr!X17+d_Irr!BV17)),IF(AND(d_Irr!X17=".",d_Irr!AW17&lt;&gt;".",d_Irr!BV17&lt;&gt;"."),d_dir!Y17/((1/1000)*(d_Irr!AW17+d_Irr!BV17)),IF(AND(d_Irr!X17=".",d_Irr!AW17=".",d_Irr!BV17&lt;&gt;"."),d_dir!Y17/((1/1000)*(d_Irr!BV17)),IF(AND(d_Irr!X17=".",d_Irr!AW17&lt;&gt;".",d_Irr!BV17="."),d_dir!Y17/((1/1000)*(d_Irr!AW17)),IF(AND(d_Irr!X17&lt;&gt;".",d_Irr!AW17=".",d_Irr!BV17="."),d_dir!Y17/((1/1000)*(d_Irr!X17)),IF(AND(d_Irr!X17=".",d_Irr!AW17=".",d_Irr!BV17="."),d_dir!Y17*1000)))))))),".")</f>
        <v>1507.3237485267377</v>
      </c>
      <c r="Z17" s="76">
        <f>IFERROR(IF(AND(d_Irr!Y17&lt;&gt;".",d_Irr!AX17&lt;&gt;".",d_Irr!BW17&lt;&gt;"."),d_dir!Z17/((1/1000)*(d_Irr!Y17+d_Irr!AX17+d_Irr!BW17)),IF(AND(d_Irr!Y17&lt;&gt;".",d_Irr!AX17&lt;&gt;".",d_Irr!BW17="."),d_dir!Z17/((1/1000)*(d_Irr!Y17+d_Irr!AX17)),IF(AND(d_Irr!Y17&lt;&gt;".",d_Irr!AX17=".",d_Irr!BW17&lt;&gt;"."),d_dir!Z17/((1/1000)*(d_Irr!Y17+d_Irr!BW17)),IF(AND(d_Irr!Y17=".",d_Irr!AX17&lt;&gt;".",d_Irr!BW17&lt;&gt;"."),d_dir!Z17/((1/1000)*(d_Irr!AX17+d_Irr!BW17)),IF(AND(d_Irr!Y17=".",d_Irr!AX17=".",d_Irr!BW17&lt;&gt;"."),d_dir!Z17/((1/1000)*(d_Irr!BW17)),IF(AND(d_Irr!Y17=".",d_Irr!AX17&lt;&gt;".",d_Irr!BW17="."),d_dir!Z17/((1/1000)*(d_Irr!AX17)),IF(AND(d_Irr!Y17&lt;&gt;".",d_Irr!AX17=".",d_Irr!BW17="."),d_dir!Z17/((1/1000)*(d_Irr!Y17)),IF(AND(d_Irr!Y17=".",d_Irr!AX17=".",d_Irr!BW17="."),d_dir!Z17*1000)))))))),".")</f>
        <v>764.37398467688979</v>
      </c>
      <c r="AA17" s="76">
        <f>IFERROR(IF(AND(d_Irr!Z17&lt;&gt;".",d_Irr!AY17&lt;&gt;".",d_Irr!BX17&lt;&gt;"."),d_dir!AA17/((1/1000)*(d_Irr!Z17+d_Irr!AY17+d_Irr!BX17)),IF(AND(d_Irr!Z17&lt;&gt;".",d_Irr!AY17&lt;&gt;".",d_Irr!BX17="."),d_dir!AA17/((1/1000)*(d_Irr!Z17+d_Irr!AY17)),IF(AND(d_Irr!Z17&lt;&gt;".",d_Irr!AY17=".",d_Irr!BX17&lt;&gt;"."),d_dir!AA17/((1/1000)*(d_Irr!Z17+d_Irr!BX17)),IF(AND(d_Irr!Z17=".",d_Irr!AY17&lt;&gt;".",d_Irr!BX17&lt;&gt;"."),d_dir!AA17/((1/1000)*(d_Irr!AY17+d_Irr!BX17)),IF(AND(d_Irr!Z17=".",d_Irr!AY17=".",d_Irr!BX17&lt;&gt;"."),d_dir!AA17/((1/1000)*(d_Irr!BX17)),IF(AND(d_Irr!Z17=".",d_Irr!AY17&lt;&gt;".",d_Irr!BX17="."),d_dir!AA17/((1/1000)*(d_Irr!AY17)),IF(AND(d_Irr!Z17&lt;&gt;".",d_Irr!AY17=".",d_Irr!BX17="."),d_dir!AA17/((1/1000)*(d_Irr!Z17)),IF(AND(d_Irr!Z17=".",d_Irr!AY17=".",d_Irr!BX17="."),d_dir!AA17*1000)))))))),".")</f>
        <v>248.52688027274036</v>
      </c>
      <c r="AB17" s="76">
        <f>IFERROR(IF(AND(d_Irr!AA17&lt;&gt;".",d_Irr!AZ17&lt;&gt;".",d_Irr!BY17&lt;&gt;"."),d_dir!AB17/((1/1000)*(d_Irr!AA17+d_Irr!AZ17+d_Irr!BY17)),IF(AND(d_Irr!AA17&lt;&gt;".",d_Irr!AZ17&lt;&gt;".",d_Irr!BY17="."),d_dir!AB17/((1/1000)*(d_Irr!AA17+d_Irr!AZ17)),IF(AND(d_Irr!AA17&lt;&gt;".",d_Irr!AZ17=".",d_Irr!BY17&lt;&gt;"."),d_dir!AB17/((1/1000)*(d_Irr!AA17+d_Irr!BY17)),IF(AND(d_Irr!AA17=".",d_Irr!AZ17&lt;&gt;".",d_Irr!BY17&lt;&gt;"."),d_dir!AB17/((1/1000)*(d_Irr!AZ17+d_Irr!BY17)),IF(AND(d_Irr!AA17=".",d_Irr!AZ17=".",d_Irr!BY17&lt;&gt;"."),d_dir!AB17/((1/1000)*(d_Irr!BY17)),IF(AND(d_Irr!AA17=".",d_Irr!AZ17&lt;&gt;".",d_Irr!BY17="."),d_dir!AB17/((1/1000)*(d_Irr!AZ17)),IF(AND(d_Irr!AA17&lt;&gt;".",d_Irr!AZ17=".",d_Irr!BY17="."),d_dir!AB17/((1/1000)*(d_Irr!AA17)),IF(AND(d_Irr!AA17=".",d_Irr!AZ17=".",d_Irr!BY17="."),d_dir!AB17*1000)))))))),".")</f>
        <v>276.60465422328679</v>
      </c>
      <c r="AC17" s="76">
        <f t="shared" si="0"/>
        <v>24.482368050866086</v>
      </c>
      <c r="AD17" s="76">
        <f>IFERROR(IF(AND(d_Irr!C17&lt;&gt;".",d_Irr!AB17&lt;&gt;".",d_Irr!BA17&lt;&gt;"."),d_dir!AD17/((1/1000)*(d_Irr!C17+d_Irr!AB17+d_Irr!BA17)),IF(AND(d_Irr!C17&lt;&gt;".",d_Irr!AB17&lt;&gt;".",d_Irr!BA17="."),d_dir!AD17/((1/1000)*(d_Irr!C17+d_Irr!AB17)),IF(AND(d_Irr!C17&lt;&gt;".",d_Irr!AB17=".",d_Irr!BA17&lt;&gt;"."),d_dir!AD17/((1/1000)*(d_Irr!C17+d_Irr!BA17)),IF(AND(d_Irr!C17=".",d_Irr!AB17&lt;&gt;".",d_Irr!BA17&lt;&gt;"."),d_dir!AD17/((1/1000)*(d_Irr!AB17+d_Irr!BA17)),IF(AND(d_Irr!C17=".",d_Irr!AB17=".",d_Irr!BA17&lt;&gt;"."),d_dir!AD17/((1/1000)*(d_Irr!BA17)),IF(AND(d_Irr!C17=".",d_Irr!AB17&lt;&gt;".",d_Irr!BA17="."),d_dir!AD17/((1/1000)*(d_Irr!AB17)),IF(AND(d_Irr!C17&lt;&gt;".",d_Irr!AB17=".",d_Irr!BA17="."),d_dir!AD17/((1/1000)*(d_Irr!C17)),IF(AND(d_Irr!C17=".",d_Irr!AB17=".",d_Irr!BA17="."),d_dir!AD17*1000)))))))),".")</f>
        <v>435.46307995931585</v>
      </c>
      <c r="AE17" s="76">
        <f>IFERROR(IF(AND(d_Irr!D17&lt;&gt;".",d_Irr!AC17&lt;&gt;".",d_Irr!BB17&lt;&gt;"."),d_dir!AE17/((1/1000)*(d_Irr!D17+d_Irr!AC17+d_Irr!BB17)),IF(AND(d_Irr!D17&lt;&gt;".",d_Irr!AC17&lt;&gt;".",d_Irr!BB17="."),d_dir!AE17/((1/1000)*(d_Irr!D17+d_Irr!AC17)),IF(AND(d_Irr!D17&lt;&gt;".",d_Irr!AC17=".",d_Irr!BB17&lt;&gt;"."),d_dir!AE17/((1/1000)*(d_Irr!D17+d_Irr!BB17)),IF(AND(d_Irr!D17=".",d_Irr!AC17&lt;&gt;".",d_Irr!BB17&lt;&gt;"."),d_dir!AE17/((1/1000)*(d_Irr!AC17+d_Irr!BB17)),IF(AND(d_Irr!D17=".",d_Irr!AC17=".",d_Irr!BB17&lt;&gt;"."),d_dir!AE17/((1/1000)*(d_Irr!BB17)),IF(AND(d_Irr!D17=".",d_Irr!AC17&lt;&gt;".",d_Irr!BB17="."),d_dir!AE17/((1/1000)*(d_Irr!AC17)),IF(AND(d_Irr!D17&lt;&gt;".",d_Irr!AC17=".",d_Irr!BB17="."),d_dir!AE17/((1/1000)*(d_Irr!D17)),IF(AND(d_Irr!D17=".",d_Irr!AC17=".",d_Irr!BB17="."),d_dir!AE17*1000)))))))),".")</f>
        <v>631.57237830320037</v>
      </c>
      <c r="AF17" s="76">
        <f>IFERROR(IF(AND(d_Irr!E17&lt;&gt;".",d_Irr!AD17&lt;&gt;".",d_Irr!BC17&lt;&gt;"."),d_dir!AF17/((1/1000)*(d_Irr!E17+d_Irr!AD17+d_Irr!BC17)),IF(AND(d_Irr!E17&lt;&gt;".",d_Irr!AD17&lt;&gt;".",d_Irr!BC17="."),d_dir!AF17/((1/1000)*(d_Irr!E17+d_Irr!AD17)),IF(AND(d_Irr!E17&lt;&gt;".",d_Irr!AD17=".",d_Irr!BC17&lt;&gt;"."),d_dir!AF17/((1/1000)*(d_Irr!E17+d_Irr!BC17)),IF(AND(d_Irr!E17=".",d_Irr!AD17&lt;&gt;".",d_Irr!BC17&lt;&gt;"."),d_dir!AF17/((1/1000)*(d_Irr!AD17+d_Irr!BC17)),IF(AND(d_Irr!E17=".",d_Irr!AD17=".",d_Irr!BC17&lt;&gt;"."),d_dir!AF17/((1/1000)*(d_Irr!BC17)),IF(AND(d_Irr!E17=".",d_Irr!AD17&lt;&gt;".",d_Irr!BC17="."),d_dir!AF17/((1/1000)*(d_Irr!AD17)),IF(AND(d_Irr!E17&lt;&gt;".",d_Irr!AD17=".",d_Irr!BC17="."),d_dir!AF17/((1/1000)*(d_Irr!E17)),IF(AND(d_Irr!E17=".",d_Irr!AD17=".",d_Irr!BC17="."),d_dir!AF17*1000)))))))),".")</f>
        <v>1168.720834164501</v>
      </c>
      <c r="AG17" s="76">
        <f>IFERROR(IF(AND(d_Irr!F17&lt;&gt;".",d_Irr!AE17&lt;&gt;".",d_Irr!BD17&lt;&gt;"."),d_dir!AG17/((1/1000)*(d_Irr!F17+d_Irr!AE17+d_Irr!BD17)),IF(AND(d_Irr!F17&lt;&gt;".",d_Irr!AE17&lt;&gt;".",d_Irr!BD17="."),d_dir!AG17/((1/1000)*(d_Irr!F17+d_Irr!AE17)),IF(AND(d_Irr!F17&lt;&gt;".",d_Irr!AE17=".",d_Irr!BD17&lt;&gt;"."),d_dir!AG17/((1/1000)*(d_Irr!F17+d_Irr!BD17)),IF(AND(d_Irr!F17=".",d_Irr!AE17&lt;&gt;".",d_Irr!BD17&lt;&gt;"."),d_dir!AG17/((1/1000)*(d_Irr!AE17+d_Irr!BD17)),IF(AND(d_Irr!F17=".",d_Irr!AE17=".",d_Irr!BD17&lt;&gt;"."),d_dir!AG17/((1/1000)*(d_Irr!BD17)),IF(AND(d_Irr!F17=".",d_Irr!AE17&lt;&gt;".",d_Irr!BD17="."),d_dir!AG17/((1/1000)*(d_Irr!AE17)),IF(AND(d_Irr!F17&lt;&gt;".",d_Irr!AE17=".",d_Irr!BD17="."),d_dir!AG17/((1/1000)*(d_Irr!F17)),IF(AND(d_Irr!F17=".",d_Irr!AE17=".",d_Irr!BD17="."),d_dir!AG17*1000)))))))),".")</f>
        <v>1096.5164979034166</v>
      </c>
      <c r="AH17" s="76">
        <f>IFERROR(IF(AND(d_Irr!G17&lt;&gt;".",d_Irr!AF17&lt;&gt;".",d_Irr!BE17&lt;&gt;"."),d_dir!AH17/((1/1000)*(d_Irr!G17+d_Irr!AF17+d_Irr!BE17)),IF(AND(d_Irr!G17&lt;&gt;".",d_Irr!AF17&lt;&gt;".",d_Irr!BE17="."),d_dir!AH17/((1/1000)*(d_Irr!G17+d_Irr!AF17)),IF(AND(d_Irr!G17&lt;&gt;".",d_Irr!AF17=".",d_Irr!BE17&lt;&gt;"."),d_dir!AH17/((1/1000)*(d_Irr!G17+d_Irr!BE17)),IF(AND(d_Irr!G17=".",d_Irr!AF17&lt;&gt;".",d_Irr!BE17&lt;&gt;"."),d_dir!AH17/((1/1000)*(d_Irr!AF17+d_Irr!BE17)),IF(AND(d_Irr!G17=".",d_Irr!AF17=".",d_Irr!BE17&lt;&gt;"."),d_dir!AH17/((1/1000)*(d_Irr!BE17)),IF(AND(d_Irr!G17=".",d_Irr!AF17&lt;&gt;".",d_Irr!BE17="."),d_dir!AH17/((1/1000)*(d_Irr!AF17)),IF(AND(d_Irr!G17&lt;&gt;".",d_Irr!AF17=".",d_Irr!BE17="."),d_dir!AH17/((1/1000)*(d_Irr!G17)),IF(AND(d_Irr!G17=".",d_Irr!AF17=".",d_Irr!BE17="."),d_dir!AH17*1000)))))))),".")</f>
        <v>1120.4848602820996</v>
      </c>
      <c r="AI17" s="76">
        <f>IFERROR(IF(AND(d_Irr!H17&lt;&gt;".",d_Irr!AG17&lt;&gt;".",d_Irr!BF17&lt;&gt;"."),d_dir!AI17/((1/1000)*(d_Irr!H17+d_Irr!AG17+d_Irr!BF17)),IF(AND(d_Irr!H17&lt;&gt;".",d_Irr!AG17&lt;&gt;".",d_Irr!BF17="."),d_dir!AI17/((1/1000)*(d_Irr!H17+d_Irr!AG17)),IF(AND(d_Irr!H17&lt;&gt;".",d_Irr!AG17=".",d_Irr!BF17&lt;&gt;"."),d_dir!AI17/((1/1000)*(d_Irr!H17+d_Irr!BF17)),IF(AND(d_Irr!H17=".",d_Irr!AG17&lt;&gt;".",d_Irr!BF17&lt;&gt;"."),d_dir!AI17/((1/1000)*(d_Irr!AG17+d_Irr!BF17)),IF(AND(d_Irr!H17=".",d_Irr!AG17=".",d_Irr!BF17&lt;&gt;"."),d_dir!AI17/((1/1000)*(d_Irr!BF17)),IF(AND(d_Irr!H17=".",d_Irr!AG17&lt;&gt;".",d_Irr!BF17="."),d_dir!AI17/((1/1000)*(d_Irr!AG17)),IF(AND(d_Irr!H17&lt;&gt;".",d_Irr!AG17=".",d_Irr!BF17="."),d_dir!AI17/((1/1000)*(d_Irr!H17)),IF(AND(d_Irr!H17=".",d_Irr!AG17=".",d_Irr!BF17="."),d_dir!AI17*1000)))))))),".")</f>
        <v>327.21220472685695</v>
      </c>
      <c r="AJ17" s="76">
        <f>IFERROR(IF(AND(d_Irr!I17&lt;&gt;".",d_Irr!AH17&lt;&gt;".",d_Irr!BG17&lt;&gt;"."),d_dir!AJ17/((1/1000)*(d_Irr!I17+d_Irr!AH17+d_Irr!BG17)),IF(AND(d_Irr!I17&lt;&gt;".",d_Irr!AH17&lt;&gt;".",d_Irr!BG17="."),d_dir!AJ17/((1/1000)*(d_Irr!I17+d_Irr!AH17)),IF(AND(d_Irr!I17&lt;&gt;".",d_Irr!AH17=".",d_Irr!BG17&lt;&gt;"."),d_dir!AJ17/((1/1000)*(d_Irr!I17+d_Irr!BG17)),IF(AND(d_Irr!I17=".",d_Irr!AH17&lt;&gt;".",d_Irr!BG17&lt;&gt;"."),d_dir!AJ17/((1/1000)*(d_Irr!AH17+d_Irr!BG17)),IF(AND(d_Irr!I17=".",d_Irr!AH17=".",d_Irr!BG17&lt;&gt;"."),d_dir!AJ17/((1/1000)*(d_Irr!BG17)),IF(AND(d_Irr!I17=".",d_Irr!AH17&lt;&gt;".",d_Irr!BG17="."),d_dir!AJ17/((1/1000)*(d_Irr!AH17)),IF(AND(d_Irr!I17&lt;&gt;".",d_Irr!AH17=".",d_Irr!BG17="."),d_dir!AJ17/((1/1000)*(d_Irr!I17)),IF(AND(d_Irr!I17=".",d_Irr!AH17=".",d_Irr!BG17="."),d_dir!AJ17*1000)))))))),".")</f>
        <v>1551.9749199707339</v>
      </c>
      <c r="AK17" s="76">
        <f>IFERROR(IF(AND(d_Irr!J17&lt;&gt;".",d_Irr!AI17&lt;&gt;".",d_Irr!BH17&lt;&gt;"."),d_dir!AK17/((1/1000)*(d_Irr!J17+d_Irr!AI17+d_Irr!BH17)),IF(AND(d_Irr!J17&lt;&gt;".",d_Irr!AI17&lt;&gt;".",d_Irr!BH17="."),d_dir!AK17/((1/1000)*(d_Irr!J17+d_Irr!AI17)),IF(AND(d_Irr!J17&lt;&gt;".",d_Irr!AI17=".",d_Irr!BH17&lt;&gt;"."),d_dir!AK17/((1/1000)*(d_Irr!J17+d_Irr!BH17)),IF(AND(d_Irr!J17=".",d_Irr!AI17&lt;&gt;".",d_Irr!BH17&lt;&gt;"."),d_dir!AK17/((1/1000)*(d_Irr!AI17+d_Irr!BH17)),IF(AND(d_Irr!J17=".",d_Irr!AI17=".",d_Irr!BH17&lt;&gt;"."),d_dir!AK17/((1/1000)*(d_Irr!BH17)),IF(AND(d_Irr!J17=".",d_Irr!AI17&lt;&gt;".",d_Irr!BH17="."),d_dir!AK17/((1/1000)*(d_Irr!AI17)),IF(AND(d_Irr!J17&lt;&gt;".",d_Irr!AI17=".",d_Irr!BH17="."),d_dir!AK17/((1/1000)*(d_Irr!J17)),IF(AND(d_Irr!J17=".",d_Irr!AI17=".",d_Irr!BH17="."),d_dir!AK17*1000)))))))),".")</f>
        <v>126.24546038370372</v>
      </c>
      <c r="AL17" s="76">
        <f>IFERROR(IF(AND(d_Irr!K17&lt;&gt;".",d_Irr!AJ17&lt;&gt;".",d_Irr!BI17&lt;&gt;"."),d_dir!AL17/((1/1000)*(d_Irr!K17+d_Irr!AJ17+d_Irr!BI17)),IF(AND(d_Irr!K17&lt;&gt;".",d_Irr!AJ17&lt;&gt;".",d_Irr!BI17="."),d_dir!AL17/((1/1000)*(d_Irr!K17+d_Irr!AJ17)),IF(AND(d_Irr!K17&lt;&gt;".",d_Irr!AJ17=".",d_Irr!BI17&lt;&gt;"."),d_dir!AL17/((1/1000)*(d_Irr!K17+d_Irr!BI17)),IF(AND(d_Irr!K17=".",d_Irr!AJ17&lt;&gt;".",d_Irr!BI17&lt;&gt;"."),d_dir!AL17/((1/1000)*(d_Irr!AJ17+d_Irr!BI17)),IF(AND(d_Irr!K17=".",d_Irr!AJ17=".",d_Irr!BI17&lt;&gt;"."),d_dir!AL17/((1/1000)*(d_Irr!BI17)),IF(AND(d_Irr!K17=".",d_Irr!AJ17&lt;&gt;".",d_Irr!BI17="."),d_dir!AL17/((1/1000)*(d_Irr!AJ17)),IF(AND(d_Irr!K17&lt;&gt;".",d_Irr!AJ17=".",d_Irr!BI17="."),d_dir!AL17/((1/1000)*(d_Irr!K17)),IF(AND(d_Irr!K17=".",d_Irr!AJ17=".",d_Irr!BI17="."),d_dir!AL17*1000)))))))),".")</f>
        <v>535.81126406426677</v>
      </c>
      <c r="AM17" s="76">
        <f>IFERROR(IF(AND(d_Irr!L17&lt;&gt;".",d_Irr!AK17&lt;&gt;".",d_Irr!BJ17&lt;&gt;"."),d_dir!AM17/((1/1000)*(d_Irr!L17+d_Irr!AK17+d_Irr!BJ17)),IF(AND(d_Irr!L17&lt;&gt;".",d_Irr!AK17&lt;&gt;".",d_Irr!BJ17="."),d_dir!AM17/((1/1000)*(d_Irr!L17+d_Irr!AK17)),IF(AND(d_Irr!L17&lt;&gt;".",d_Irr!AK17=".",d_Irr!BJ17&lt;&gt;"."),d_dir!AM17/((1/1000)*(d_Irr!L17+d_Irr!BJ17)),IF(AND(d_Irr!L17=".",d_Irr!AK17&lt;&gt;".",d_Irr!BJ17&lt;&gt;"."),d_dir!AM17/((1/1000)*(d_Irr!AK17+d_Irr!BJ17)),IF(AND(d_Irr!L17=".",d_Irr!AK17=".",d_Irr!BJ17&lt;&gt;"."),d_dir!AM17/((1/1000)*(d_Irr!BJ17)),IF(AND(d_Irr!L17=".",d_Irr!AK17&lt;&gt;".",d_Irr!BJ17="."),d_dir!AM17/((1/1000)*(d_Irr!AK17)),IF(AND(d_Irr!L17&lt;&gt;".",d_Irr!AK17=".",d_Irr!BJ17="."),d_dir!AM17/((1/1000)*(d_Irr!L17)),IF(AND(d_Irr!L17=".",d_Irr!AK17=".",d_Irr!BJ17="."),d_dir!AM17*1000)))))))),".")</f>
        <v>717.87348744135488</v>
      </c>
      <c r="AN17" s="76">
        <f>IFERROR(IF(AND(d_Irr!M17&lt;&gt;".",d_Irr!AL17&lt;&gt;".",d_Irr!BK17&lt;&gt;"."),d_dir!AN17/((1/1000)*(d_Irr!M17+d_Irr!AL17+d_Irr!BK17)),IF(AND(d_Irr!M17&lt;&gt;".",d_Irr!AL17&lt;&gt;".",d_Irr!BK17="."),d_dir!AN17/((1/1000)*(d_Irr!M17+d_Irr!AL17)),IF(AND(d_Irr!M17&lt;&gt;".",d_Irr!AL17=".",d_Irr!BK17&lt;&gt;"."),d_dir!AN17/((1/1000)*(d_Irr!M17+d_Irr!BK17)),IF(AND(d_Irr!M17=".",d_Irr!AL17&lt;&gt;".",d_Irr!BK17&lt;&gt;"."),d_dir!AN17/((1/1000)*(d_Irr!AL17+d_Irr!BK17)),IF(AND(d_Irr!M17=".",d_Irr!AL17=".",d_Irr!BK17&lt;&gt;"."),d_dir!AN17/((1/1000)*(d_Irr!BK17)),IF(AND(d_Irr!M17=".",d_Irr!AL17&lt;&gt;".",d_Irr!BK17="."),d_dir!AN17/((1/1000)*(d_Irr!AL17)),IF(AND(d_Irr!M17&lt;&gt;".",d_Irr!AL17=".",d_Irr!BK17="."),d_dir!AN17/((1/1000)*(d_Irr!M17)),IF(AND(d_Irr!M17=".",d_Irr!AL17=".",d_Irr!BK17="."),d_dir!AN17*1000)))))))),".")</f>
        <v>665.46133176730734</v>
      </c>
      <c r="AO17" s="76">
        <f>IFERROR(IF(AND(d_Irr!N17&lt;&gt;".",d_Irr!AM17&lt;&gt;".",d_Irr!BL17&lt;&gt;"."),d_dir!AO17/((1/1000)*(d_Irr!N17+d_Irr!AM17+d_Irr!BL17)),IF(AND(d_Irr!N17&lt;&gt;".",d_Irr!AM17&lt;&gt;".",d_Irr!BL17="."),d_dir!AO17/((1/1000)*(d_Irr!N17+d_Irr!AM17)),IF(AND(d_Irr!N17&lt;&gt;".",d_Irr!AM17=".",d_Irr!BL17&lt;&gt;"."),d_dir!AO17/((1/1000)*(d_Irr!N17+d_Irr!BL17)),IF(AND(d_Irr!N17=".",d_Irr!AM17&lt;&gt;".",d_Irr!BL17&lt;&gt;"."),d_dir!AO17/((1/1000)*(d_Irr!AM17+d_Irr!BL17)),IF(AND(d_Irr!N17=".",d_Irr!AM17=".",d_Irr!BL17&lt;&gt;"."),d_dir!AO17/((1/1000)*(d_Irr!BL17)),IF(AND(d_Irr!N17=".",d_Irr!AM17&lt;&gt;".",d_Irr!BL17="."),d_dir!AO17/((1/1000)*(d_Irr!AM17)),IF(AND(d_Irr!N17&lt;&gt;".",d_Irr!AM17=".",d_Irr!BL17="."),d_dir!AO17/((1/1000)*(d_Irr!N17)),IF(AND(d_Irr!N17=".",d_Irr!AM17=".",d_Irr!BL17="."),d_dir!AO17*1000)))))))),".")</f>
        <v>1156.2012646294208</v>
      </c>
      <c r="AP17" s="76">
        <f>IFERROR(IF(AND(d_Irr!O17&lt;&gt;".",d_Irr!AN17&lt;&gt;".",d_Irr!BM17&lt;&gt;"."),d_dir!AP17/((1/1000)*(d_Irr!O17+d_Irr!AN17+d_Irr!BM17)),IF(AND(d_Irr!O17&lt;&gt;".",d_Irr!AN17&lt;&gt;".",d_Irr!BM17="."),d_dir!AP17/((1/1000)*(d_Irr!O17+d_Irr!AN17)),IF(AND(d_Irr!O17&lt;&gt;".",d_Irr!AN17=".",d_Irr!BM17&lt;&gt;"."),d_dir!AP17/((1/1000)*(d_Irr!O17+d_Irr!BM17)),IF(AND(d_Irr!O17=".",d_Irr!AN17&lt;&gt;".",d_Irr!BM17&lt;&gt;"."),d_dir!AP17/((1/1000)*(d_Irr!AN17+d_Irr!BM17)),IF(AND(d_Irr!O17=".",d_Irr!AN17=".",d_Irr!BM17&lt;&gt;"."),d_dir!AP17/((1/1000)*(d_Irr!BM17)),IF(AND(d_Irr!O17=".",d_Irr!AN17&lt;&gt;".",d_Irr!BM17="."),d_dir!AP17/((1/1000)*(d_Irr!AN17)),IF(AND(d_Irr!O17&lt;&gt;".",d_Irr!AN17=".",d_Irr!BM17="."),d_dir!AP17/((1/1000)*(d_Irr!O17)),IF(AND(d_Irr!O17=".",d_Irr!AN17=".",d_Irr!BM17="."),d_dir!AP17*1000)))))))),".")</f>
        <v>1293.3105172563914</v>
      </c>
      <c r="AQ17" s="76">
        <f>IFERROR(IF(AND(d_Irr!P17&lt;&gt;".",d_Irr!AO17&lt;&gt;".",d_Irr!BN17&lt;&gt;"."),d_dir!AQ17/((1/1000)*(d_Irr!P17+d_Irr!AO17+d_Irr!BN17)),IF(AND(d_Irr!P17&lt;&gt;".",d_Irr!AO17&lt;&gt;".",d_Irr!BN17="."),d_dir!AQ17/((1/1000)*(d_Irr!P17+d_Irr!AO17)),IF(AND(d_Irr!P17&lt;&gt;".",d_Irr!AO17=".",d_Irr!BN17&lt;&gt;"."),d_dir!AQ17/((1/1000)*(d_Irr!P17+d_Irr!BN17)),IF(AND(d_Irr!P17=".",d_Irr!AO17&lt;&gt;".",d_Irr!BN17&lt;&gt;"."),d_dir!AQ17/((1/1000)*(d_Irr!AO17+d_Irr!BN17)),IF(AND(d_Irr!P17=".",d_Irr!AO17=".",d_Irr!BN17&lt;&gt;"."),d_dir!AQ17/((1/1000)*(d_Irr!BN17)),IF(AND(d_Irr!P17=".",d_Irr!AO17&lt;&gt;".",d_Irr!BN17="."),d_dir!AQ17/((1/1000)*(d_Irr!AO17)),IF(AND(d_Irr!P17&lt;&gt;".",d_Irr!AO17=".",d_Irr!BN17="."),d_dir!AQ17/((1/1000)*(d_Irr!P17)),IF(AND(d_Irr!P17=".",d_Irr!AO17=".",d_Irr!BN17="."),d_dir!AQ17*1000)))))))),".")</f>
        <v>1448.3185597178592</v>
      </c>
      <c r="AR17" s="76">
        <f>IFERROR(IF(AND(d_Irr!Q17&lt;&gt;".",d_Irr!AP17&lt;&gt;".",d_Irr!BO17&lt;&gt;"."),d_dir!AR17/((1/1000)*(d_Irr!Q17+d_Irr!AP17+d_Irr!BO17)),IF(AND(d_Irr!Q17&lt;&gt;".",d_Irr!AP17&lt;&gt;".",d_Irr!BO17="."),d_dir!AR17/((1/1000)*(d_Irr!Q17+d_Irr!AP17)),IF(AND(d_Irr!Q17&lt;&gt;".",d_Irr!AP17=".",d_Irr!BO17&lt;&gt;"."),d_dir!AR17/((1/1000)*(d_Irr!Q17+d_Irr!BO17)),IF(AND(d_Irr!Q17=".",d_Irr!AP17&lt;&gt;".",d_Irr!BO17&lt;&gt;"."),d_dir!AR17/((1/1000)*(d_Irr!AP17+d_Irr!BO17)),IF(AND(d_Irr!Q17=".",d_Irr!AP17=".",d_Irr!BO17&lt;&gt;"."),d_dir!AR17/((1/1000)*(d_Irr!BO17)),IF(AND(d_Irr!Q17=".",d_Irr!AP17&lt;&gt;".",d_Irr!BO17="."),d_dir!AR17/((1/1000)*(d_Irr!AP17)),IF(AND(d_Irr!Q17&lt;&gt;".",d_Irr!AP17=".",d_Irr!BO17="."),d_dir!AR17/((1/1000)*(d_Irr!Q17)),IF(AND(d_Irr!Q17=".",d_Irr!AP17=".",d_Irr!BO17="."),d_dir!AR17*1000)))))))),".")</f>
        <v>359.43322218215633</v>
      </c>
      <c r="AS17" s="76">
        <f>IFERROR(IF(AND(d_Irr!R17&lt;&gt;".",d_Irr!AQ17&lt;&gt;".",d_Irr!BP17&lt;&gt;"."),d_dir!AS17/((1/1000)*(d_Irr!R17+d_Irr!AQ17+d_Irr!BP17)),IF(AND(d_Irr!R17&lt;&gt;".",d_Irr!AQ17&lt;&gt;".",d_Irr!BP17="."),d_dir!AS17/((1/1000)*(d_Irr!R17+d_Irr!AQ17)),IF(AND(d_Irr!R17&lt;&gt;".",d_Irr!AQ17=".",d_Irr!BP17&lt;&gt;"."),d_dir!AS17/((1/1000)*(d_Irr!R17+d_Irr!BP17)),IF(AND(d_Irr!R17=".",d_Irr!AQ17&lt;&gt;".",d_Irr!BP17&lt;&gt;"."),d_dir!AS17/((1/1000)*(d_Irr!AQ17+d_Irr!BP17)),IF(AND(d_Irr!R17=".",d_Irr!AQ17=".",d_Irr!BP17&lt;&gt;"."),d_dir!AS17/((1/1000)*(d_Irr!BP17)),IF(AND(d_Irr!R17=".",d_Irr!AQ17&lt;&gt;".",d_Irr!BP17="."),d_dir!AS17/((1/1000)*(d_Irr!AQ17)),IF(AND(d_Irr!R17&lt;&gt;".",d_Irr!AQ17=".",d_Irr!BP17="."),d_dir!AS17/((1/1000)*(d_Irr!R17)),IF(AND(d_Irr!R17=".",d_Irr!AQ17=".",d_Irr!BP17="."),d_dir!AS17*1000)))))))),".")</f>
        <v>586.1095795820105</v>
      </c>
      <c r="AT17" s="76">
        <f>IFERROR(IF(AND(d_Irr!S17&lt;&gt;".",d_Irr!AR17&lt;&gt;".",d_Irr!BQ17&lt;&gt;"."),d_dir!AT17/((1/1000)*(d_Irr!S17+d_Irr!AR17+d_Irr!BQ17)),IF(AND(d_Irr!S17&lt;&gt;".",d_Irr!AR17&lt;&gt;".",d_Irr!BQ17="."),d_dir!AT17/((1/1000)*(d_Irr!S17+d_Irr!AR17)),IF(AND(d_Irr!S17&lt;&gt;".",d_Irr!AR17=".",d_Irr!BQ17&lt;&gt;"."),d_dir!AT17/((1/1000)*(d_Irr!S17+d_Irr!BQ17)),IF(AND(d_Irr!S17=".",d_Irr!AR17&lt;&gt;".",d_Irr!BQ17&lt;&gt;"."),d_dir!AT17/((1/1000)*(d_Irr!AR17+d_Irr!BQ17)),IF(AND(d_Irr!S17=".",d_Irr!AR17=".",d_Irr!BQ17&lt;&gt;"."),d_dir!AT17/((1/1000)*(d_Irr!BQ17)),IF(AND(d_Irr!S17=".",d_Irr!AR17&lt;&gt;".",d_Irr!BQ17="."),d_dir!AT17/((1/1000)*(d_Irr!AR17)),IF(AND(d_Irr!S17&lt;&gt;".",d_Irr!AR17=".",d_Irr!BQ17="."),d_dir!AT17/((1/1000)*(d_Irr!S17)),IF(AND(d_Irr!S17=".",d_Irr!AR17=".",d_Irr!BQ17="."),d_dir!AT17*1000)))))))),".")</f>
        <v>1283.2324207490615</v>
      </c>
      <c r="AU17" s="76">
        <f>IFERROR(IF(AND(d_Irr!T17&lt;&gt;".",d_Irr!AS17&lt;&gt;".",d_Irr!BR17&lt;&gt;"."),d_dir!AU17/((1/1000)*(d_Irr!T17+d_Irr!AS17+d_Irr!BR17)),IF(AND(d_Irr!T17&lt;&gt;".",d_Irr!AS17&lt;&gt;".",d_Irr!BR17="."),d_dir!AU17/((1/1000)*(d_Irr!T17+d_Irr!AS17)),IF(AND(d_Irr!T17&lt;&gt;".",d_Irr!AS17=".",d_Irr!BR17&lt;&gt;"."),d_dir!AU17/((1/1000)*(d_Irr!T17+d_Irr!BR17)),IF(AND(d_Irr!T17=".",d_Irr!AS17&lt;&gt;".",d_Irr!BR17&lt;&gt;"."),d_dir!AU17/((1/1000)*(d_Irr!AS17+d_Irr!BR17)),IF(AND(d_Irr!T17=".",d_Irr!AS17=".",d_Irr!BR17&lt;&gt;"."),d_dir!AU17/((1/1000)*(d_Irr!BR17)),IF(AND(d_Irr!T17=".",d_Irr!AS17&lt;&gt;".",d_Irr!BR17="."),d_dir!AU17/((1/1000)*(d_Irr!AS17)),IF(AND(d_Irr!T17&lt;&gt;".",d_Irr!AS17=".",d_Irr!BR17="."),d_dir!AU17/((1/1000)*(d_Irr!T17)),IF(AND(d_Irr!T17=".",d_Irr!AS17=".",d_Irr!BR17="."),d_dir!AU17*1000)))))))),".")</f>
        <v>1758.589148124948</v>
      </c>
      <c r="AV17" s="76">
        <f>IFERROR(IF(AND(d_Irr!U17&lt;&gt;".",d_Irr!AT17&lt;&gt;".",d_Irr!BS17&lt;&gt;"."),d_dir!AV17/((1/1000)*(d_Irr!U17+d_Irr!AT17+d_Irr!BS17)),IF(AND(d_Irr!U17&lt;&gt;".",d_Irr!AT17&lt;&gt;".",d_Irr!BS17="."),d_dir!AV17/((1/1000)*(d_Irr!U17+d_Irr!AT17)),IF(AND(d_Irr!U17&lt;&gt;".",d_Irr!AT17=".",d_Irr!BS17&lt;&gt;"."),d_dir!AV17/((1/1000)*(d_Irr!U17+d_Irr!BS17)),IF(AND(d_Irr!U17=".",d_Irr!AT17&lt;&gt;".",d_Irr!BS17&lt;&gt;"."),d_dir!AV17/((1/1000)*(d_Irr!AT17+d_Irr!BS17)),IF(AND(d_Irr!U17=".",d_Irr!AT17=".",d_Irr!BS17&lt;&gt;"."),d_dir!AV17/((1/1000)*(d_Irr!BS17)),IF(AND(d_Irr!U17=".",d_Irr!AT17&lt;&gt;".",d_Irr!BS17="."),d_dir!AV17/((1/1000)*(d_Irr!AT17)),IF(AND(d_Irr!U17&lt;&gt;".",d_Irr!AT17=".",d_Irr!BS17="."),d_dir!AV17/((1/1000)*(d_Irr!U17)),IF(AND(d_Irr!U17=".",d_Irr!AT17=".",d_Irr!BS17="."),d_dir!AV17*1000)))))))),".")</f>
        <v>309.92022770225816</v>
      </c>
      <c r="AW17" s="76">
        <f>IFERROR(IF(AND(d_Irr!V17&lt;&gt;".",d_Irr!AU17&lt;&gt;".",d_Irr!BT17&lt;&gt;"."),d_dir!AW17/((1/1000)*(d_Irr!V17+d_Irr!AU17+d_Irr!BT17)),IF(AND(d_Irr!V17&lt;&gt;".",d_Irr!AU17&lt;&gt;".",d_Irr!BT17="."),d_dir!AW17/((1/1000)*(d_Irr!V17+d_Irr!AU17)),IF(AND(d_Irr!V17&lt;&gt;".",d_Irr!AU17=".",d_Irr!BT17&lt;&gt;"."),d_dir!AW17/((1/1000)*(d_Irr!V17+d_Irr!BT17)),IF(AND(d_Irr!V17=".",d_Irr!AU17&lt;&gt;".",d_Irr!BT17&lt;&gt;"."),d_dir!AW17/((1/1000)*(d_Irr!AU17+d_Irr!BT17)),IF(AND(d_Irr!V17=".",d_Irr!AU17=".",d_Irr!BT17&lt;&gt;"."),d_dir!AW17/((1/1000)*(d_Irr!BT17)),IF(AND(d_Irr!V17=".",d_Irr!AU17&lt;&gt;".",d_Irr!BT17="."),d_dir!AW17/((1/1000)*(d_Irr!AU17)),IF(AND(d_Irr!V17&lt;&gt;".",d_Irr!AU17=".",d_Irr!BT17="."),d_dir!AW17/((1/1000)*(d_Irr!V17)),IF(AND(d_Irr!V17=".",d_Irr!AU17=".",d_Irr!BT17="."),d_dir!AW17*1000)))))))),".")</f>
        <v>616.73241238598484</v>
      </c>
      <c r="AX17" s="76">
        <f>IFERROR(IF(AND(d_Irr!W17&lt;&gt;".",d_Irr!AV17&lt;&gt;".",d_Irr!BU17&lt;&gt;"."),d_dir!AX17/((1/1000)*(d_Irr!W17+d_Irr!AV17+d_Irr!BU17)),IF(AND(d_Irr!W17&lt;&gt;".",d_Irr!AV17&lt;&gt;".",d_Irr!BU17="."),d_dir!AX17/((1/1000)*(d_Irr!W17+d_Irr!AV17)),IF(AND(d_Irr!W17&lt;&gt;".",d_Irr!AV17=".",d_Irr!BU17&lt;&gt;"."),d_dir!AX17/((1/1000)*(d_Irr!W17+d_Irr!BU17)),IF(AND(d_Irr!W17=".",d_Irr!AV17&lt;&gt;".",d_Irr!BU17&lt;&gt;"."),d_dir!AX17/((1/1000)*(d_Irr!AV17+d_Irr!BU17)),IF(AND(d_Irr!W17=".",d_Irr!AV17=".",d_Irr!BU17&lt;&gt;"."),d_dir!AX17/((1/1000)*(d_Irr!BU17)),IF(AND(d_Irr!W17=".",d_Irr!AV17&lt;&gt;".",d_Irr!BU17="."),d_dir!AX17/((1/1000)*(d_Irr!AV17)),IF(AND(d_Irr!W17&lt;&gt;".",d_Irr!AV17=".",d_Irr!BU17="."),d_dir!AX17/((1/1000)*(d_Irr!W17)),IF(AND(d_Irr!W17=".",d_Irr!AV17=".",d_Irr!BU17="."),d_dir!AX17*1000)))))))),".")</f>
        <v>725.73950368511487</v>
      </c>
      <c r="AY17" s="76">
        <f>IFERROR(IF(AND(d_Irr!X17&lt;&gt;".",d_Irr!AW17&lt;&gt;".",d_Irr!BV17&lt;&gt;"."),d_dir!AY17/((1/1000)*(d_Irr!X17+d_Irr!AW17+d_Irr!BV17)),IF(AND(d_Irr!X17&lt;&gt;".",d_Irr!AW17&lt;&gt;".",d_Irr!BV17="."),d_dir!AY17/((1/1000)*(d_Irr!X17+d_Irr!AW17)),IF(AND(d_Irr!X17&lt;&gt;".",d_Irr!AW17=".",d_Irr!BV17&lt;&gt;"."),d_dir!AY17/((1/1000)*(d_Irr!X17+d_Irr!BV17)),IF(AND(d_Irr!X17=".",d_Irr!AW17&lt;&gt;".",d_Irr!BV17&lt;&gt;"."),d_dir!AY17/((1/1000)*(d_Irr!AW17+d_Irr!BV17)),IF(AND(d_Irr!X17=".",d_Irr!AW17=".",d_Irr!BV17&lt;&gt;"."),d_dir!AY17/((1/1000)*(d_Irr!BV17)),IF(AND(d_Irr!X17=".",d_Irr!AW17&lt;&gt;".",d_Irr!BV17="."),d_dir!AY17/((1/1000)*(d_Irr!AW17)),IF(AND(d_Irr!X17&lt;&gt;".",d_Irr!AW17=".",d_Irr!BV17="."),d_dir!AY17/((1/1000)*(d_Irr!X17)),IF(AND(d_Irr!X17=".",d_Irr!AW17=".",d_Irr!BV17="."),d_dir!AY17*1000)))))))),".")</f>
        <v>952.92824013887855</v>
      </c>
      <c r="AZ17" s="76">
        <f>IFERROR(IF(AND(d_Irr!Y17&lt;&gt;".",d_Irr!AX17&lt;&gt;".",d_Irr!BW17&lt;&gt;"."),d_dir!AZ17/((1/1000)*(d_Irr!Y17+d_Irr!AX17+d_Irr!BW17)),IF(AND(d_Irr!Y17&lt;&gt;".",d_Irr!AX17&lt;&gt;".",d_Irr!BW17="."),d_dir!AZ17/((1/1000)*(d_Irr!Y17+d_Irr!AX17)),IF(AND(d_Irr!Y17&lt;&gt;".",d_Irr!AX17=".",d_Irr!BW17&lt;&gt;"."),d_dir!AZ17/((1/1000)*(d_Irr!Y17+d_Irr!BW17)),IF(AND(d_Irr!Y17=".",d_Irr!AX17&lt;&gt;".",d_Irr!BW17&lt;&gt;"."),d_dir!AZ17/((1/1000)*(d_Irr!AX17+d_Irr!BW17)),IF(AND(d_Irr!Y17=".",d_Irr!AX17=".",d_Irr!BW17&lt;&gt;"."),d_dir!AZ17/((1/1000)*(d_Irr!BW17)),IF(AND(d_Irr!Y17=".",d_Irr!AX17&lt;&gt;".",d_Irr!BW17="."),d_dir!AZ17/((1/1000)*(d_Irr!AX17)),IF(AND(d_Irr!Y17&lt;&gt;".",d_Irr!AX17=".",d_Irr!BW17="."),d_dir!AZ17/((1/1000)*(d_Irr!Y17)),IF(AND(d_Irr!Y17=".",d_Irr!AX17=".",d_Irr!BW17="."),d_dir!AZ17*1000)))))))),".")</f>
        <v>402.88527894659217</v>
      </c>
      <c r="BA17" s="76">
        <f>IFERROR(IF(AND(d_Irr!Z17&lt;&gt;".",d_Irr!AY17&lt;&gt;".",d_Irr!BX17&lt;&gt;"."),d_dir!BA17/((1/1000)*(d_Irr!Z17+d_Irr!AY17+d_Irr!BX17)),IF(AND(d_Irr!Z17&lt;&gt;".",d_Irr!AY17&lt;&gt;".",d_Irr!BX17="."),d_dir!BA17/((1/1000)*(d_Irr!Z17+d_Irr!AY17)),IF(AND(d_Irr!Z17&lt;&gt;".",d_Irr!AY17=".",d_Irr!BX17&lt;&gt;"."),d_dir!BA17/((1/1000)*(d_Irr!Z17+d_Irr!BX17)),IF(AND(d_Irr!Z17=".",d_Irr!AY17&lt;&gt;".",d_Irr!BX17&lt;&gt;"."),d_dir!BA17/((1/1000)*(d_Irr!AY17+d_Irr!BX17)),IF(AND(d_Irr!Z17=".",d_Irr!AY17=".",d_Irr!BX17&lt;&gt;"."),d_dir!BA17/((1/1000)*(d_Irr!BX17)),IF(AND(d_Irr!Z17=".",d_Irr!AY17&lt;&gt;".",d_Irr!BX17="."),d_dir!BA17/((1/1000)*(d_Irr!AY17)),IF(AND(d_Irr!Z17&lt;&gt;".",d_Irr!AY17=".",d_Irr!BX17="."),d_dir!BA17/((1/1000)*(d_Irr!Z17)),IF(AND(d_Irr!Z17=".",d_Irr!AY17=".",d_Irr!BX17="."),d_dir!BA17*1000)))))))),".")</f>
        <v>145.51079695252747</v>
      </c>
      <c r="BB17" s="76">
        <f>IFERROR(IF(AND(d_Irr!AA17&lt;&gt;".",d_Irr!AZ17&lt;&gt;".",d_Irr!BY17&lt;&gt;"."),d_dir!BB17/((1/1000)*(d_Irr!AA17+d_Irr!AZ17+d_Irr!BY17)),IF(AND(d_Irr!AA17&lt;&gt;".",d_Irr!AZ17&lt;&gt;".",d_Irr!BY17="."),d_dir!BB17/((1/1000)*(d_Irr!AA17+d_Irr!AZ17)),IF(AND(d_Irr!AA17&lt;&gt;".",d_Irr!AZ17=".",d_Irr!BY17&lt;&gt;"."),d_dir!BB17/((1/1000)*(d_Irr!AA17+d_Irr!BY17)),IF(AND(d_Irr!AA17=".",d_Irr!AZ17&lt;&gt;".",d_Irr!BY17&lt;&gt;"."),d_dir!BB17/((1/1000)*(d_Irr!AZ17+d_Irr!BY17)),IF(AND(d_Irr!AA17=".",d_Irr!AZ17=".",d_Irr!BY17&lt;&gt;"."),d_dir!BB17/((1/1000)*(d_Irr!BY17)),IF(AND(d_Irr!AA17=".",d_Irr!AZ17&lt;&gt;".",d_Irr!BY17="."),d_dir!BB17/((1/1000)*(d_Irr!AZ17)),IF(AND(d_Irr!AA17&lt;&gt;".",d_Irr!AZ17=".",d_Irr!BY17="."),d_dir!BB17/((1/1000)*(d_Irr!AA17)),IF(AND(d_Irr!AA17=".",d_Irr!AZ17=".",d_Irr!BY17="."),d_dir!BB17*1000)))))))),".")</f>
        <v>143.26443217038135</v>
      </c>
    </row>
    <row r="18" spans="1:54" ht="15" customHeight="1" x14ac:dyDescent="0.25">
      <c r="A18" s="92" t="s">
        <v>28</v>
      </c>
      <c r="B18" s="90" t="s">
        <v>1071</v>
      </c>
      <c r="C18" s="2">
        <f t="shared" si="1"/>
        <v>9.8429370750903501E-3</v>
      </c>
      <c r="D18" s="76">
        <f>IFERROR(IF(AND(d_Irr!C18&lt;&gt;".",d_Irr!AB18&lt;&gt;".",d_Irr!BA18&lt;&gt;"."),d_dir!D18/((1/1000)*(d_Irr!C18+d_Irr!AB18+d_Irr!BA18)),IF(AND(d_Irr!C18&lt;&gt;".",d_Irr!AB18&lt;&gt;".",d_Irr!BA18="."),d_dir!D18/((1/1000)*(d_Irr!C18+d_Irr!AB18)),IF(AND(d_Irr!C18&lt;&gt;".",d_Irr!AB18=".",d_Irr!BA18&lt;&gt;"."),d_dir!D18/((1/1000)*(d_Irr!C18+d_Irr!BA18)),IF(AND(d_Irr!C18=".",d_Irr!AB18&lt;&gt;".",d_Irr!BA18&lt;&gt;"."),d_dir!D18/((1/1000)*(d_Irr!AB18+d_Irr!BA18)),IF(AND(d_Irr!C18=".",d_Irr!AB18=".",d_Irr!BA18&lt;&gt;"."),d_dir!D18/((1/1000)*(d_Irr!BA18)),IF(AND(d_Irr!C18=".",d_Irr!AB18&lt;&gt;".",d_Irr!BA18="."),d_dir!D18/((1/1000)*(d_Irr!AB18)),IF(AND(d_Irr!C18&lt;&gt;".",d_Irr!AB18=".",d_Irr!BA18="."),d_dir!D18/((1/1000)*(d_Irr!C18)),IF(AND(d_Irr!C18=".",d_Irr!AB18=".",d_Irr!BA18="."),d_dir!D18*1000)))))))),".")</f>
        <v>0.18161756506238952</v>
      </c>
      <c r="E18" s="76">
        <f>IFERROR(IF(AND(d_Irr!D18&lt;&gt;".",d_Irr!AC18&lt;&gt;".",d_Irr!BB18&lt;&gt;"."),d_dir!E18/((1/1000)*(d_Irr!D18+d_Irr!AC18+d_Irr!BB18)),IF(AND(d_Irr!D18&lt;&gt;".",d_Irr!AC18&lt;&gt;".",d_Irr!BB18="."),d_dir!E18/((1/1000)*(d_Irr!D18+d_Irr!AC18)),IF(AND(d_Irr!D18&lt;&gt;".",d_Irr!AC18=".",d_Irr!BB18&lt;&gt;"."),d_dir!E18/((1/1000)*(d_Irr!D18+d_Irr!BB18)),IF(AND(d_Irr!D18=".",d_Irr!AC18&lt;&gt;".",d_Irr!BB18&lt;&gt;"."),d_dir!E18/((1/1000)*(d_Irr!AC18+d_Irr!BB18)),IF(AND(d_Irr!D18=".",d_Irr!AC18=".",d_Irr!BB18&lt;&gt;"."),d_dir!E18/((1/1000)*(d_Irr!BB18)),IF(AND(d_Irr!D18=".",d_Irr!AC18&lt;&gt;".",d_Irr!BB18="."),d_dir!E18/((1/1000)*(d_Irr!AC18)),IF(AND(d_Irr!D18&lt;&gt;".",d_Irr!AC18=".",d_Irr!BB18="."),d_dir!E18/((1/1000)*(d_Irr!D18)),IF(AND(d_Irr!D18=".",d_Irr!AC18=".",d_Irr!BB18="."),d_dir!E18*1000)))))))),".")</f>
        <v>0.37132038661799566</v>
      </c>
      <c r="F18" s="76">
        <f>IFERROR(IF(AND(d_Irr!E18&lt;&gt;".",d_Irr!AD18&lt;&gt;".",d_Irr!BC18&lt;&gt;"."),d_dir!F18/((1/1000)*(d_Irr!E18+d_Irr!AD18+d_Irr!BC18)),IF(AND(d_Irr!E18&lt;&gt;".",d_Irr!AD18&lt;&gt;".",d_Irr!BC18="."),d_dir!F18/((1/1000)*(d_Irr!E18+d_Irr!AD18)),IF(AND(d_Irr!E18&lt;&gt;".",d_Irr!AD18=".",d_Irr!BC18&lt;&gt;"."),d_dir!F18/((1/1000)*(d_Irr!E18+d_Irr!BC18)),IF(AND(d_Irr!E18=".",d_Irr!AD18&lt;&gt;".",d_Irr!BC18&lt;&gt;"."),d_dir!F18/((1/1000)*(d_Irr!AD18+d_Irr!BC18)),IF(AND(d_Irr!E18=".",d_Irr!AD18=".",d_Irr!BC18&lt;&gt;"."),d_dir!F18/((1/1000)*(d_Irr!BC18)),IF(AND(d_Irr!E18=".",d_Irr!AD18&lt;&gt;".",d_Irr!BC18="."),d_dir!F18/((1/1000)*(d_Irr!AD18)),IF(AND(d_Irr!E18&lt;&gt;".",d_Irr!AD18=".",d_Irr!BC18="."),d_dir!F18/((1/1000)*(d_Irr!E18)),IF(AND(d_Irr!E18=".",d_Irr!AD18=".",d_Irr!BC18="."),d_dir!F18*1000)))))))),".")</f>
        <v>0.45434500694665686</v>
      </c>
      <c r="G18" s="76">
        <f>IFERROR(IF(AND(d_Irr!F18&lt;&gt;".",d_Irr!AE18&lt;&gt;".",d_Irr!BD18&lt;&gt;"."),d_dir!G18/((1/1000)*(d_Irr!F18+d_Irr!AE18+d_Irr!BD18)),IF(AND(d_Irr!F18&lt;&gt;".",d_Irr!AE18&lt;&gt;".",d_Irr!BD18="."),d_dir!G18/((1/1000)*(d_Irr!F18+d_Irr!AE18)),IF(AND(d_Irr!F18&lt;&gt;".",d_Irr!AE18=".",d_Irr!BD18&lt;&gt;"."),d_dir!G18/((1/1000)*(d_Irr!F18+d_Irr!BD18)),IF(AND(d_Irr!F18=".",d_Irr!AE18&lt;&gt;".",d_Irr!BD18&lt;&gt;"."),d_dir!G18/((1/1000)*(d_Irr!AE18+d_Irr!BD18)),IF(AND(d_Irr!F18=".",d_Irr!AE18=".",d_Irr!BD18&lt;&gt;"."),d_dir!G18/((1/1000)*(d_Irr!BD18)),IF(AND(d_Irr!F18=".",d_Irr!AE18&lt;&gt;".",d_Irr!BD18="."),d_dir!G18/((1/1000)*(d_Irr!AE18)),IF(AND(d_Irr!F18&lt;&gt;".",d_Irr!AE18=".",d_Irr!BD18="."),d_dir!G18/((1/1000)*(d_Irr!F18)),IF(AND(d_Irr!F18=".",d_Irr!AE18=".",d_Irr!BD18="."),d_dir!G18*1000)))))))),".")</f>
        <v>0.40846584585886914</v>
      </c>
      <c r="H18" s="76">
        <f>IFERROR(IF(AND(d_Irr!G18&lt;&gt;".",d_Irr!AF18&lt;&gt;".",d_Irr!BE18&lt;&gt;"."),d_dir!H18/((1/1000)*(d_Irr!G18+d_Irr!AF18+d_Irr!BE18)),IF(AND(d_Irr!G18&lt;&gt;".",d_Irr!AF18&lt;&gt;".",d_Irr!BE18="."),d_dir!H18/((1/1000)*(d_Irr!G18+d_Irr!AF18)),IF(AND(d_Irr!G18&lt;&gt;".",d_Irr!AF18=".",d_Irr!BE18&lt;&gt;"."),d_dir!H18/((1/1000)*(d_Irr!G18+d_Irr!BE18)),IF(AND(d_Irr!G18=".",d_Irr!AF18&lt;&gt;".",d_Irr!BE18&lt;&gt;"."),d_dir!H18/((1/1000)*(d_Irr!AF18+d_Irr!BE18)),IF(AND(d_Irr!G18=".",d_Irr!AF18=".",d_Irr!BE18&lt;&gt;"."),d_dir!H18/((1/1000)*(d_Irr!BE18)),IF(AND(d_Irr!G18=".",d_Irr!AF18&lt;&gt;".",d_Irr!BE18="."),d_dir!H18/((1/1000)*(d_Irr!AF18)),IF(AND(d_Irr!G18&lt;&gt;".",d_Irr!AF18=".",d_Irr!BE18="."),d_dir!H18/((1/1000)*(d_Irr!G18)),IF(AND(d_Irr!G18=".",d_Irr!AF18=".",d_Irr!BE18="."),d_dir!H18*1000)))))))),".")</f>
        <v>0.49917268528137104</v>
      </c>
      <c r="I18" s="76">
        <f>IFERROR(IF(AND(d_Irr!H18&lt;&gt;".",d_Irr!AG18&lt;&gt;".",d_Irr!BF18&lt;&gt;"."),d_dir!I18/((1/1000)*(d_Irr!H18+d_Irr!AG18+d_Irr!BF18)),IF(AND(d_Irr!H18&lt;&gt;".",d_Irr!AG18&lt;&gt;".",d_Irr!BF18="."),d_dir!I18/((1/1000)*(d_Irr!H18+d_Irr!AG18)),IF(AND(d_Irr!H18&lt;&gt;".",d_Irr!AG18=".",d_Irr!BF18&lt;&gt;"."),d_dir!I18/((1/1000)*(d_Irr!H18+d_Irr!BF18)),IF(AND(d_Irr!H18=".",d_Irr!AG18&lt;&gt;".",d_Irr!BF18&lt;&gt;"."),d_dir!I18/((1/1000)*(d_Irr!AG18+d_Irr!BF18)),IF(AND(d_Irr!H18=".",d_Irr!AG18=".",d_Irr!BF18&lt;&gt;"."),d_dir!I18/((1/1000)*(d_Irr!BF18)),IF(AND(d_Irr!H18=".",d_Irr!AG18&lt;&gt;".",d_Irr!BF18="."),d_dir!I18/((1/1000)*(d_Irr!AG18)),IF(AND(d_Irr!H18&lt;&gt;".",d_Irr!AG18=".",d_Irr!BF18="."),d_dir!I18/((1/1000)*(d_Irr!H18)),IF(AND(d_Irr!H18=".",d_Irr!AG18=".",d_Irr!BF18="."),d_dir!I18*1000)))))))),".")</f>
        <v>0.18289381242241651</v>
      </c>
      <c r="J18" s="76">
        <f>IFERROR(IF(AND(d_Irr!I18&lt;&gt;".",d_Irr!AH18&lt;&gt;".",d_Irr!BG18&lt;&gt;"."),d_dir!J18/((1/1000)*(d_Irr!I18+d_Irr!AH18+d_Irr!BG18)),IF(AND(d_Irr!I18&lt;&gt;".",d_Irr!AH18&lt;&gt;".",d_Irr!BG18="."),d_dir!J18/((1/1000)*(d_Irr!I18+d_Irr!AH18)),IF(AND(d_Irr!I18&lt;&gt;".",d_Irr!AH18=".",d_Irr!BG18&lt;&gt;"."),d_dir!J18/((1/1000)*(d_Irr!I18+d_Irr!BG18)),IF(AND(d_Irr!I18=".",d_Irr!AH18&lt;&gt;".",d_Irr!BG18&lt;&gt;"."),d_dir!J18/((1/1000)*(d_Irr!AH18+d_Irr!BG18)),IF(AND(d_Irr!I18=".",d_Irr!AH18=".",d_Irr!BG18&lt;&gt;"."),d_dir!J18/((1/1000)*(d_Irr!BG18)),IF(AND(d_Irr!I18=".",d_Irr!AH18&lt;&gt;".",d_Irr!BG18="."),d_dir!J18/((1/1000)*(d_Irr!AH18)),IF(AND(d_Irr!I18&lt;&gt;".",d_Irr!AH18=".",d_Irr!BG18="."),d_dir!J18/((1/1000)*(d_Irr!I18)),IF(AND(d_Irr!I18=".",d_Irr!AH18=".",d_Irr!BG18="."),d_dir!J18*1000)))))))),".")</f>
        <v>0.52316518644312615</v>
      </c>
      <c r="K18" s="76">
        <f>IFERROR(IF(AND(d_Irr!J18&lt;&gt;".",d_Irr!AI18&lt;&gt;".",d_Irr!BH18&lt;&gt;"."),d_dir!K18/((1/1000)*(d_Irr!J18+d_Irr!AI18+d_Irr!BH18)),IF(AND(d_Irr!J18&lt;&gt;".",d_Irr!AI18&lt;&gt;".",d_Irr!BH18="."),d_dir!K18/((1/1000)*(d_Irr!J18+d_Irr!AI18)),IF(AND(d_Irr!J18&lt;&gt;".",d_Irr!AI18=".",d_Irr!BH18&lt;&gt;"."),d_dir!K18/((1/1000)*(d_Irr!J18+d_Irr!BH18)),IF(AND(d_Irr!J18=".",d_Irr!AI18&lt;&gt;".",d_Irr!BH18&lt;&gt;"."),d_dir!K18/((1/1000)*(d_Irr!AI18+d_Irr!BH18)),IF(AND(d_Irr!J18=".",d_Irr!AI18=".",d_Irr!BH18&lt;&gt;"."),d_dir!K18/((1/1000)*(d_Irr!BH18)),IF(AND(d_Irr!J18=".",d_Irr!AI18&lt;&gt;".",d_Irr!BH18="."),d_dir!K18/((1/1000)*(d_Irr!AI18)),IF(AND(d_Irr!J18&lt;&gt;".",d_Irr!AI18=".",d_Irr!BH18="."),d_dir!K18/((1/1000)*(d_Irr!J18)),IF(AND(d_Irr!J18=".",d_Irr!AI18=".",d_Irr!BH18="."),d_dir!K18*1000)))))))),".")</f>
        <v>4.7094722596765191E-2</v>
      </c>
      <c r="L18" s="76">
        <f>IFERROR(IF(AND(d_Irr!K18&lt;&gt;".",d_Irr!AJ18&lt;&gt;".",d_Irr!BI18&lt;&gt;"."),d_dir!L18/((1/1000)*(d_Irr!K18+d_Irr!AJ18+d_Irr!BI18)),IF(AND(d_Irr!K18&lt;&gt;".",d_Irr!AJ18&lt;&gt;".",d_Irr!BI18="."),d_dir!L18/((1/1000)*(d_Irr!K18+d_Irr!AJ18)),IF(AND(d_Irr!K18&lt;&gt;".",d_Irr!AJ18=".",d_Irr!BI18&lt;&gt;"."),d_dir!L18/((1/1000)*(d_Irr!K18+d_Irr!BI18)),IF(AND(d_Irr!K18=".",d_Irr!AJ18&lt;&gt;".",d_Irr!BI18&lt;&gt;"."),d_dir!L18/((1/1000)*(d_Irr!AJ18+d_Irr!BI18)),IF(AND(d_Irr!K18=".",d_Irr!AJ18=".",d_Irr!BI18&lt;&gt;"."),d_dir!L18/((1/1000)*(d_Irr!BI18)),IF(AND(d_Irr!K18=".",d_Irr!AJ18&lt;&gt;".",d_Irr!BI18="."),d_dir!L18/((1/1000)*(d_Irr!AJ18)),IF(AND(d_Irr!K18&lt;&gt;".",d_Irr!AJ18=".",d_Irr!BI18="."),d_dir!L18/((1/1000)*(d_Irr!K18)),IF(AND(d_Irr!K18=".",d_Irr!AJ18=".",d_Irr!BI18="."),d_dir!L18*1000)))))))),".")</f>
        <v>0.25819294297078443</v>
      </c>
      <c r="M18" s="76">
        <f>IFERROR(IF(AND(d_Irr!L18&lt;&gt;".",d_Irr!AK18&lt;&gt;".",d_Irr!BJ18&lt;&gt;"."),d_dir!M18/((1/1000)*(d_Irr!L18+d_Irr!AK18+d_Irr!BJ18)),IF(AND(d_Irr!L18&lt;&gt;".",d_Irr!AK18&lt;&gt;".",d_Irr!BJ18="."),d_dir!M18/((1/1000)*(d_Irr!L18+d_Irr!AK18)),IF(AND(d_Irr!L18&lt;&gt;".",d_Irr!AK18=".",d_Irr!BJ18&lt;&gt;"."),d_dir!M18/((1/1000)*(d_Irr!L18+d_Irr!BJ18)),IF(AND(d_Irr!L18=".",d_Irr!AK18&lt;&gt;".",d_Irr!BJ18&lt;&gt;"."),d_dir!M18/((1/1000)*(d_Irr!AK18+d_Irr!BJ18)),IF(AND(d_Irr!L18=".",d_Irr!AK18=".",d_Irr!BJ18&lt;&gt;"."),d_dir!M18/((1/1000)*(d_Irr!BJ18)),IF(AND(d_Irr!L18=".",d_Irr!AK18&lt;&gt;".",d_Irr!BJ18="."),d_dir!M18/((1/1000)*(d_Irr!AK18)),IF(AND(d_Irr!L18&lt;&gt;".",d_Irr!AK18=".",d_Irr!BJ18="."),d_dir!M18/((1/1000)*(d_Irr!L18)),IF(AND(d_Irr!L18=".",d_Irr!AK18=".",d_Irr!BJ18="."),d_dir!M18*1000)))))))),".")</f>
        <v>0.19369610192597508</v>
      </c>
      <c r="N18" s="76">
        <f>IFERROR(IF(AND(d_Irr!M18&lt;&gt;".",d_Irr!AL18&lt;&gt;".",d_Irr!BK18&lt;&gt;"."),d_dir!N18/((1/1000)*(d_Irr!M18+d_Irr!AL18+d_Irr!BK18)),IF(AND(d_Irr!M18&lt;&gt;".",d_Irr!AL18&lt;&gt;".",d_Irr!BK18="."),d_dir!N18/((1/1000)*(d_Irr!M18+d_Irr!AL18)),IF(AND(d_Irr!M18&lt;&gt;".",d_Irr!AL18=".",d_Irr!BK18&lt;&gt;"."),d_dir!N18/((1/1000)*(d_Irr!M18+d_Irr!BK18)),IF(AND(d_Irr!M18=".",d_Irr!AL18&lt;&gt;".",d_Irr!BK18&lt;&gt;"."),d_dir!N18/((1/1000)*(d_Irr!AL18+d_Irr!BK18)),IF(AND(d_Irr!M18=".",d_Irr!AL18=".",d_Irr!BK18&lt;&gt;"."),d_dir!N18/((1/1000)*(d_Irr!BK18)),IF(AND(d_Irr!M18=".",d_Irr!AL18&lt;&gt;".",d_Irr!BK18="."),d_dir!N18/((1/1000)*(d_Irr!AL18)),IF(AND(d_Irr!M18&lt;&gt;".",d_Irr!AL18=".",d_Irr!BK18="."),d_dir!N18/((1/1000)*(d_Irr!M18)),IF(AND(d_Irr!M18=".",d_Irr!AL18=".",d_Irr!BK18="."),d_dir!N18*1000)))))))),".")</f>
        <v>0.3829077855726471</v>
      </c>
      <c r="O18" s="76">
        <f>IFERROR(IF(AND(d_Irr!N18&lt;&gt;".",d_Irr!AM18&lt;&gt;".",d_Irr!BL18&lt;&gt;"."),d_dir!O18/((1/1000)*(d_Irr!N18+d_Irr!AM18+d_Irr!BL18)),IF(AND(d_Irr!N18&lt;&gt;".",d_Irr!AM18&lt;&gt;".",d_Irr!BL18="."),d_dir!O18/((1/1000)*(d_Irr!N18+d_Irr!AM18)),IF(AND(d_Irr!N18&lt;&gt;".",d_Irr!AM18=".",d_Irr!BL18&lt;&gt;"."),d_dir!O18/((1/1000)*(d_Irr!N18+d_Irr!BL18)),IF(AND(d_Irr!N18=".",d_Irr!AM18&lt;&gt;".",d_Irr!BL18&lt;&gt;"."),d_dir!O18/((1/1000)*(d_Irr!AM18+d_Irr!BL18)),IF(AND(d_Irr!N18=".",d_Irr!AM18=".",d_Irr!BL18&lt;&gt;"."),d_dir!O18/((1/1000)*(d_Irr!BL18)),IF(AND(d_Irr!N18=".",d_Irr!AM18&lt;&gt;".",d_Irr!BL18="."),d_dir!O18/((1/1000)*(d_Irr!AM18)),IF(AND(d_Irr!N18&lt;&gt;".",d_Irr!AM18=".",d_Irr!BL18="."),d_dir!O18/((1/1000)*(d_Irr!N18)),IF(AND(d_Irr!N18=".",d_Irr!AM18=".",d_Irr!BL18="."),d_dir!O18*1000)))))))),".")</f>
        <v>0.41314788884031972</v>
      </c>
      <c r="P18" s="76">
        <f>IFERROR(IF(AND(d_Irr!O18&lt;&gt;".",d_Irr!AN18&lt;&gt;".",d_Irr!BM18&lt;&gt;"."),d_dir!P18/((1/1000)*(d_Irr!O18+d_Irr!AN18+d_Irr!BM18)),IF(AND(d_Irr!O18&lt;&gt;".",d_Irr!AN18&lt;&gt;".",d_Irr!BM18="."),d_dir!P18/((1/1000)*(d_Irr!O18+d_Irr!AN18)),IF(AND(d_Irr!O18&lt;&gt;".",d_Irr!AN18=".",d_Irr!BM18&lt;&gt;"."),d_dir!P18/((1/1000)*(d_Irr!O18+d_Irr!BM18)),IF(AND(d_Irr!O18=".",d_Irr!AN18&lt;&gt;".",d_Irr!BM18&lt;&gt;"."),d_dir!P18/((1/1000)*(d_Irr!AN18+d_Irr!BM18)),IF(AND(d_Irr!O18=".",d_Irr!AN18=".",d_Irr!BM18&lt;&gt;"."),d_dir!P18/((1/1000)*(d_Irr!BM18)),IF(AND(d_Irr!O18=".",d_Irr!AN18&lt;&gt;".",d_Irr!BM18="."),d_dir!P18/((1/1000)*(d_Irr!AN18)),IF(AND(d_Irr!O18&lt;&gt;".",d_Irr!AN18=".",d_Irr!BM18="."),d_dir!P18/((1/1000)*(d_Irr!O18)),IF(AND(d_Irr!O18=".",d_Irr!AN18=".",d_Irr!BM18="."),d_dir!P18*1000)))))))),".")</f>
        <v>0.52251828801455535</v>
      </c>
      <c r="Q18" s="76">
        <f>IFERROR(IF(AND(d_Irr!P18&lt;&gt;".",d_Irr!AO18&lt;&gt;".",d_Irr!BN18&lt;&gt;"."),d_dir!Q18/((1/1000)*(d_Irr!P18+d_Irr!AO18+d_Irr!BN18)),IF(AND(d_Irr!P18&lt;&gt;".",d_Irr!AO18&lt;&gt;".",d_Irr!BN18="."),d_dir!Q18/((1/1000)*(d_Irr!P18+d_Irr!AO18)),IF(AND(d_Irr!P18&lt;&gt;".",d_Irr!AO18=".",d_Irr!BN18&lt;&gt;"."),d_dir!Q18/((1/1000)*(d_Irr!P18+d_Irr!BN18)),IF(AND(d_Irr!P18=".",d_Irr!AO18&lt;&gt;".",d_Irr!BN18&lt;&gt;"."),d_dir!Q18/((1/1000)*(d_Irr!AO18+d_Irr!BN18)),IF(AND(d_Irr!P18=".",d_Irr!AO18=".",d_Irr!BN18&lt;&gt;"."),d_dir!Q18/((1/1000)*(d_Irr!BN18)),IF(AND(d_Irr!P18=".",d_Irr!AO18&lt;&gt;".",d_Irr!BN18="."),d_dir!Q18/((1/1000)*(d_Irr!AO18)),IF(AND(d_Irr!P18&lt;&gt;".",d_Irr!AO18=".",d_Irr!BN18="."),d_dir!Q18/((1/1000)*(d_Irr!P18)),IF(AND(d_Irr!P18=".",d_Irr!AO18=".",d_Irr!BN18="."),d_dir!Q18*1000)))))))),".")</f>
        <v>0.70707112649919701</v>
      </c>
      <c r="R18" s="76">
        <f>IFERROR(IF(AND(d_Irr!Q18&lt;&gt;".",d_Irr!AP18&lt;&gt;".",d_Irr!BO18&lt;&gt;"."),d_dir!R18/((1/1000)*(d_Irr!Q18+d_Irr!AP18+d_Irr!BO18)),IF(AND(d_Irr!Q18&lt;&gt;".",d_Irr!AP18&lt;&gt;".",d_Irr!BO18="."),d_dir!R18/((1/1000)*(d_Irr!Q18+d_Irr!AP18)),IF(AND(d_Irr!Q18&lt;&gt;".",d_Irr!AP18=".",d_Irr!BO18&lt;&gt;"."),d_dir!R18/((1/1000)*(d_Irr!Q18+d_Irr!BO18)),IF(AND(d_Irr!Q18=".",d_Irr!AP18&lt;&gt;".",d_Irr!BO18&lt;&gt;"."),d_dir!R18/((1/1000)*(d_Irr!AP18+d_Irr!BO18)),IF(AND(d_Irr!Q18=".",d_Irr!AP18=".",d_Irr!BO18&lt;&gt;"."),d_dir!R18/((1/1000)*(d_Irr!BO18)),IF(AND(d_Irr!Q18=".",d_Irr!AP18&lt;&gt;".",d_Irr!BO18="."),d_dir!R18/((1/1000)*(d_Irr!AP18)),IF(AND(d_Irr!Q18&lt;&gt;".",d_Irr!AP18=".",d_Irr!BO18="."),d_dir!R18/((1/1000)*(d_Irr!Q18)),IF(AND(d_Irr!Q18=".",d_Irr!AP18=".",d_Irr!BO18="."),d_dir!R18*1000)))))))),".")</f>
        <v>0.11660509417419999</v>
      </c>
      <c r="S18" s="76">
        <f>IFERROR(IF(AND(d_Irr!R18&lt;&gt;".",d_Irr!AQ18&lt;&gt;".",d_Irr!BP18&lt;&gt;"."),d_dir!S18/((1/1000)*(d_Irr!R18+d_Irr!AQ18+d_Irr!BP18)),IF(AND(d_Irr!R18&lt;&gt;".",d_Irr!AQ18&lt;&gt;".",d_Irr!BP18="."),d_dir!S18/((1/1000)*(d_Irr!R18+d_Irr!AQ18)),IF(AND(d_Irr!R18&lt;&gt;".",d_Irr!AQ18=".",d_Irr!BP18&lt;&gt;"."),d_dir!S18/((1/1000)*(d_Irr!R18+d_Irr!BP18)),IF(AND(d_Irr!R18=".",d_Irr!AQ18&lt;&gt;".",d_Irr!BP18&lt;&gt;"."),d_dir!S18/((1/1000)*(d_Irr!AQ18+d_Irr!BP18)),IF(AND(d_Irr!R18=".",d_Irr!AQ18=".",d_Irr!BP18&lt;&gt;"."),d_dir!S18/((1/1000)*(d_Irr!BP18)),IF(AND(d_Irr!R18=".",d_Irr!AQ18&lt;&gt;".",d_Irr!BP18="."),d_dir!S18/((1/1000)*(d_Irr!AQ18)),IF(AND(d_Irr!R18&lt;&gt;".",d_Irr!AQ18=".",d_Irr!BP18="."),d_dir!S18/((1/1000)*(d_Irr!R18)),IF(AND(d_Irr!R18=".",d_Irr!AQ18=".",d_Irr!BP18="."),d_dir!S18*1000)))))))),".")</f>
        <v>0.23785624607046349</v>
      </c>
      <c r="T18" s="76">
        <f>IFERROR(IF(AND(d_Irr!S18&lt;&gt;".",d_Irr!AR18&lt;&gt;".",d_Irr!BQ18&lt;&gt;"."),d_dir!T18/((1/1000)*(d_Irr!S18+d_Irr!AR18+d_Irr!BQ18)),IF(AND(d_Irr!S18&lt;&gt;".",d_Irr!AR18&lt;&gt;".",d_Irr!BQ18="."),d_dir!T18/((1/1000)*(d_Irr!S18+d_Irr!AR18)),IF(AND(d_Irr!S18&lt;&gt;".",d_Irr!AR18=".",d_Irr!BQ18&lt;&gt;"."),d_dir!T18/((1/1000)*(d_Irr!S18+d_Irr!BQ18)),IF(AND(d_Irr!S18=".",d_Irr!AR18&lt;&gt;".",d_Irr!BQ18&lt;&gt;"."),d_dir!T18/((1/1000)*(d_Irr!AR18+d_Irr!BQ18)),IF(AND(d_Irr!S18=".",d_Irr!AR18=".",d_Irr!BQ18&lt;&gt;"."),d_dir!T18/((1/1000)*(d_Irr!BQ18)),IF(AND(d_Irr!S18=".",d_Irr!AR18&lt;&gt;".",d_Irr!BQ18="."),d_dir!T18/((1/1000)*(d_Irr!AR18)),IF(AND(d_Irr!S18&lt;&gt;".",d_Irr!AR18=".",d_Irr!BQ18="."),d_dir!T18/((1/1000)*(d_Irr!S18)),IF(AND(d_Irr!S18=".",d_Irr!AR18=".",d_Irr!BQ18="."),d_dir!T18*1000)))))))),".")</f>
        <v>0.41478132871684203</v>
      </c>
      <c r="U18" s="76">
        <f>IFERROR(IF(AND(d_Irr!T18&lt;&gt;".",d_Irr!AS18&lt;&gt;".",d_Irr!BR18&lt;&gt;"."),d_dir!U18/((1/1000)*(d_Irr!T18+d_Irr!AS18+d_Irr!BR18)),IF(AND(d_Irr!T18&lt;&gt;".",d_Irr!AS18&lt;&gt;".",d_Irr!BR18="."),d_dir!U18/((1/1000)*(d_Irr!T18+d_Irr!AS18)),IF(AND(d_Irr!T18&lt;&gt;".",d_Irr!AS18=".",d_Irr!BR18&lt;&gt;"."),d_dir!U18/((1/1000)*(d_Irr!T18+d_Irr!BR18)),IF(AND(d_Irr!T18=".",d_Irr!AS18&lt;&gt;".",d_Irr!BR18&lt;&gt;"."),d_dir!U18/((1/1000)*(d_Irr!AS18+d_Irr!BR18)),IF(AND(d_Irr!T18=".",d_Irr!AS18=".",d_Irr!BR18&lt;&gt;"."),d_dir!U18/((1/1000)*(d_Irr!BR18)),IF(AND(d_Irr!T18=".",d_Irr!AS18&lt;&gt;".",d_Irr!BR18="."),d_dir!U18/((1/1000)*(d_Irr!AS18)),IF(AND(d_Irr!T18&lt;&gt;".",d_Irr!AS18=".",d_Irr!BR18="."),d_dir!U18/((1/1000)*(d_Irr!T18)),IF(AND(d_Irr!T18=".",d_Irr!AS18=".",d_Irr!BR18="."),d_dir!U18*1000)))))))),".")</f>
        <v>0.81411419142843211</v>
      </c>
      <c r="V18" s="76">
        <f>IFERROR(IF(AND(d_Irr!U18&lt;&gt;".",d_Irr!AT18&lt;&gt;".",d_Irr!BS18&lt;&gt;"."),d_dir!V18/((1/1000)*(d_Irr!U18+d_Irr!AT18+d_Irr!BS18)),IF(AND(d_Irr!U18&lt;&gt;".",d_Irr!AT18&lt;&gt;".",d_Irr!BS18="."),d_dir!V18/((1/1000)*(d_Irr!U18+d_Irr!AT18)),IF(AND(d_Irr!U18&lt;&gt;".",d_Irr!AT18=".",d_Irr!BS18&lt;&gt;"."),d_dir!V18/((1/1000)*(d_Irr!U18+d_Irr!BS18)),IF(AND(d_Irr!U18=".",d_Irr!AT18&lt;&gt;".",d_Irr!BS18&lt;&gt;"."),d_dir!V18/((1/1000)*(d_Irr!AT18+d_Irr!BS18)),IF(AND(d_Irr!U18=".",d_Irr!AT18=".",d_Irr!BS18&lt;&gt;"."),d_dir!V18/((1/1000)*(d_Irr!BS18)),IF(AND(d_Irr!U18=".",d_Irr!AT18&lt;&gt;".",d_Irr!BS18="."),d_dir!V18/((1/1000)*(d_Irr!AT18)),IF(AND(d_Irr!U18&lt;&gt;".",d_Irr!AT18=".",d_Irr!BS18="."),d_dir!V18/((1/1000)*(d_Irr!U18)),IF(AND(d_Irr!U18=".",d_Irr!AT18=".",d_Irr!BS18="."),d_dir!V18*1000)))))))),".")</f>
        <v>0.11918075354055882</v>
      </c>
      <c r="W18" s="76">
        <f>IFERROR(IF(AND(d_Irr!V18&lt;&gt;".",d_Irr!AU18&lt;&gt;".",d_Irr!BT18&lt;&gt;"."),d_dir!W18/((1/1000)*(d_Irr!V18+d_Irr!AU18+d_Irr!BT18)),IF(AND(d_Irr!V18&lt;&gt;".",d_Irr!AU18&lt;&gt;".",d_Irr!BT18="."),d_dir!W18/((1/1000)*(d_Irr!V18+d_Irr!AU18)),IF(AND(d_Irr!V18&lt;&gt;".",d_Irr!AU18=".",d_Irr!BT18&lt;&gt;"."),d_dir!W18/((1/1000)*(d_Irr!V18+d_Irr!BT18)),IF(AND(d_Irr!V18=".",d_Irr!AU18&lt;&gt;".",d_Irr!BT18&lt;&gt;"."),d_dir!W18/((1/1000)*(d_Irr!AU18+d_Irr!BT18)),IF(AND(d_Irr!V18=".",d_Irr!AU18=".",d_Irr!BT18&lt;&gt;"."),d_dir!W18/((1/1000)*(d_Irr!BT18)),IF(AND(d_Irr!V18=".",d_Irr!AU18&lt;&gt;".",d_Irr!BT18="."),d_dir!W18/((1/1000)*(d_Irr!AU18)),IF(AND(d_Irr!V18&lt;&gt;".",d_Irr!AU18=".",d_Irr!BT18="."),d_dir!W18/((1/1000)*(d_Irr!V18)),IF(AND(d_Irr!V18=".",d_Irr!AU18=".",d_Irr!BT18="."),d_dir!W18*1000)))))))),".")</f>
        <v>0.24852269931911217</v>
      </c>
      <c r="X18" s="76">
        <f>IFERROR(IF(AND(d_Irr!W18&lt;&gt;".",d_Irr!AV18&lt;&gt;".",d_Irr!BU18&lt;&gt;"."),d_dir!X18/((1/1000)*(d_Irr!W18+d_Irr!AV18+d_Irr!BU18)),IF(AND(d_Irr!W18&lt;&gt;".",d_Irr!AV18&lt;&gt;".",d_Irr!BU18="."),d_dir!X18/((1/1000)*(d_Irr!W18+d_Irr!AV18)),IF(AND(d_Irr!W18&lt;&gt;".",d_Irr!AV18=".",d_Irr!BU18&lt;&gt;"."),d_dir!X18/((1/1000)*(d_Irr!W18+d_Irr!BU18)),IF(AND(d_Irr!W18=".",d_Irr!AV18&lt;&gt;".",d_Irr!BU18&lt;&gt;"."),d_dir!X18/((1/1000)*(d_Irr!AV18+d_Irr!BU18)),IF(AND(d_Irr!W18=".",d_Irr!AV18=".",d_Irr!BU18&lt;&gt;"."),d_dir!X18/((1/1000)*(d_Irr!BU18)),IF(AND(d_Irr!W18=".",d_Irr!AV18&lt;&gt;".",d_Irr!BU18="."),d_dir!X18/((1/1000)*(d_Irr!AV18)),IF(AND(d_Irr!W18&lt;&gt;".",d_Irr!AV18=".",d_Irr!BU18="."),d_dir!X18/((1/1000)*(d_Irr!W18)),IF(AND(d_Irr!W18=".",d_Irr!AV18=".",d_Irr!BU18="."),d_dir!X18*1000)))))))),".")</f>
        <v>0.26568968316843372</v>
      </c>
      <c r="Y18" s="76">
        <f>IFERROR(IF(AND(d_Irr!X18&lt;&gt;".",d_Irr!AW18&lt;&gt;".",d_Irr!BV18&lt;&gt;"."),d_dir!Y18/((1/1000)*(d_Irr!X18+d_Irr!AW18+d_Irr!BV18)),IF(AND(d_Irr!X18&lt;&gt;".",d_Irr!AW18&lt;&gt;".",d_Irr!BV18="."),d_dir!Y18/((1/1000)*(d_Irr!X18+d_Irr!AW18)),IF(AND(d_Irr!X18&lt;&gt;".",d_Irr!AW18=".",d_Irr!BV18&lt;&gt;"."),d_dir!Y18/((1/1000)*(d_Irr!X18+d_Irr!BV18)),IF(AND(d_Irr!X18=".",d_Irr!AW18&lt;&gt;".",d_Irr!BV18&lt;&gt;"."),d_dir!Y18/((1/1000)*(d_Irr!AW18+d_Irr!BV18)),IF(AND(d_Irr!X18=".",d_Irr!AW18=".",d_Irr!BV18&lt;&gt;"."),d_dir!Y18/((1/1000)*(d_Irr!BV18)),IF(AND(d_Irr!X18=".",d_Irr!AW18&lt;&gt;".",d_Irr!BV18="."),d_dir!Y18/((1/1000)*(d_Irr!AW18)),IF(AND(d_Irr!X18&lt;&gt;".",d_Irr!AW18=".",d_Irr!BV18="."),d_dir!Y18/((1/1000)*(d_Irr!X18)),IF(AND(d_Irr!X18=".",d_Irr!AW18=".",d_Irr!BV18="."),d_dir!Y18*1000)))))))),".")</f>
        <v>0.35533382861501595</v>
      </c>
      <c r="Z18" s="76">
        <f>IFERROR(IF(AND(d_Irr!Y18&lt;&gt;".",d_Irr!AX18&lt;&gt;".",d_Irr!BW18&lt;&gt;"."),d_dir!Z18/((1/1000)*(d_Irr!Y18+d_Irr!AX18+d_Irr!BW18)),IF(AND(d_Irr!Y18&lt;&gt;".",d_Irr!AX18&lt;&gt;".",d_Irr!BW18="."),d_dir!Z18/((1/1000)*(d_Irr!Y18+d_Irr!AX18)),IF(AND(d_Irr!Y18&lt;&gt;".",d_Irr!AX18=".",d_Irr!BW18&lt;&gt;"."),d_dir!Z18/((1/1000)*(d_Irr!Y18+d_Irr!BW18)),IF(AND(d_Irr!Y18=".",d_Irr!AX18&lt;&gt;".",d_Irr!BW18&lt;&gt;"."),d_dir!Z18/((1/1000)*(d_Irr!AX18+d_Irr!BW18)),IF(AND(d_Irr!Y18=".",d_Irr!AX18=".",d_Irr!BW18&lt;&gt;"."),d_dir!Z18/((1/1000)*(d_Irr!BW18)),IF(AND(d_Irr!Y18=".",d_Irr!AX18&lt;&gt;".",d_Irr!BW18="."),d_dir!Z18/((1/1000)*(d_Irr!AX18)),IF(AND(d_Irr!Y18&lt;&gt;".",d_Irr!AX18=".",d_Irr!BW18="."),d_dir!Z18/((1/1000)*(d_Irr!Y18)),IF(AND(d_Irr!Y18=".",d_Irr!AX18=".",d_Irr!BW18="."),d_dir!Z18*1000)))))))),".")</f>
        <v>0.18785066554301605</v>
      </c>
      <c r="AA18" s="76">
        <f>IFERROR(IF(AND(d_Irr!Z18&lt;&gt;".",d_Irr!AY18&lt;&gt;".",d_Irr!BX18&lt;&gt;"."),d_dir!AA18/((1/1000)*(d_Irr!Z18+d_Irr!AY18+d_Irr!BX18)),IF(AND(d_Irr!Z18&lt;&gt;".",d_Irr!AY18&lt;&gt;".",d_Irr!BX18="."),d_dir!AA18/((1/1000)*(d_Irr!Z18+d_Irr!AY18)),IF(AND(d_Irr!Z18&lt;&gt;".",d_Irr!AY18=".",d_Irr!BX18&lt;&gt;"."),d_dir!AA18/((1/1000)*(d_Irr!Z18+d_Irr!BX18)),IF(AND(d_Irr!Z18=".",d_Irr!AY18&lt;&gt;".",d_Irr!BX18&lt;&gt;"."),d_dir!AA18/((1/1000)*(d_Irr!AY18+d_Irr!BX18)),IF(AND(d_Irr!Z18=".",d_Irr!AY18=".",d_Irr!BX18&lt;&gt;"."),d_dir!AA18/((1/1000)*(d_Irr!BX18)),IF(AND(d_Irr!Z18=".",d_Irr!AY18&lt;&gt;".",d_Irr!BX18="."),d_dir!AA18/((1/1000)*(d_Irr!AY18)),IF(AND(d_Irr!Z18&lt;&gt;".",d_Irr!AY18=".",d_Irr!BX18="."),d_dir!AA18/((1/1000)*(d_Irr!Z18)),IF(AND(d_Irr!Z18=".",d_Irr!AY18=".",d_Irr!BX18="."),d_dir!AA18*1000)))))))),".")</f>
        <v>5.1597702182496617E-2</v>
      </c>
      <c r="AB18" s="76">
        <f>IFERROR(IF(AND(d_Irr!AA18&lt;&gt;".",d_Irr!AZ18&lt;&gt;".",d_Irr!BY18&lt;&gt;"."),d_dir!AB18/((1/1000)*(d_Irr!AA18+d_Irr!AZ18+d_Irr!BY18)),IF(AND(d_Irr!AA18&lt;&gt;".",d_Irr!AZ18&lt;&gt;".",d_Irr!BY18="."),d_dir!AB18/((1/1000)*(d_Irr!AA18+d_Irr!AZ18)),IF(AND(d_Irr!AA18&lt;&gt;".",d_Irr!AZ18=".",d_Irr!BY18&lt;&gt;"."),d_dir!AB18/((1/1000)*(d_Irr!AA18+d_Irr!BY18)),IF(AND(d_Irr!AA18=".",d_Irr!AZ18&lt;&gt;".",d_Irr!BY18&lt;&gt;"."),d_dir!AB18/((1/1000)*(d_Irr!AZ18+d_Irr!BY18)),IF(AND(d_Irr!AA18=".",d_Irr!AZ18=".",d_Irr!BY18&lt;&gt;"."),d_dir!AB18/((1/1000)*(d_Irr!BY18)),IF(AND(d_Irr!AA18=".",d_Irr!AZ18&lt;&gt;".",d_Irr!BY18="."),d_dir!AB18/((1/1000)*(d_Irr!AZ18)),IF(AND(d_Irr!AA18&lt;&gt;".",d_Irr!AZ18=".",d_Irr!BY18="."),d_dir!AB18/((1/1000)*(d_Irr!AA18)),IF(AND(d_Irr!AA18=".",d_Irr!AZ18=".",d_Irr!BY18="."),d_dir!AB18*1000)))))))),".")</f>
        <v>6.1317612540569638E-2</v>
      </c>
      <c r="AC18" s="76">
        <f t="shared" si="0"/>
        <v>6.0149291467434885E-3</v>
      </c>
      <c r="AD18" s="76">
        <f>IFERROR(IF(AND(d_Irr!C18&lt;&gt;".",d_Irr!AB18&lt;&gt;".",d_Irr!BA18&lt;&gt;"."),d_dir!AD18/((1/1000)*(d_Irr!C18+d_Irr!AB18+d_Irr!BA18)),IF(AND(d_Irr!C18&lt;&gt;".",d_Irr!AB18&lt;&gt;".",d_Irr!BA18="."),d_dir!AD18/((1/1000)*(d_Irr!C18+d_Irr!AB18)),IF(AND(d_Irr!C18&lt;&gt;".",d_Irr!AB18=".",d_Irr!BA18&lt;&gt;"."),d_dir!AD18/((1/1000)*(d_Irr!C18+d_Irr!BA18)),IF(AND(d_Irr!C18=".",d_Irr!AB18&lt;&gt;".",d_Irr!BA18&lt;&gt;"."),d_dir!AD18/((1/1000)*(d_Irr!AB18+d_Irr!BA18)),IF(AND(d_Irr!C18=".",d_Irr!AB18=".",d_Irr!BA18&lt;&gt;"."),d_dir!AD18/((1/1000)*(d_Irr!BA18)),IF(AND(d_Irr!C18=".",d_Irr!AB18&lt;&gt;".",d_Irr!BA18="."),d_dir!AD18/((1/1000)*(d_Irr!AB18)),IF(AND(d_Irr!C18&lt;&gt;".",d_Irr!AB18=".",d_Irr!BA18="."),d_dir!AD18/((1/1000)*(d_Irr!C18)),IF(AND(d_Irr!C18=".",d_Irr!AB18=".",d_Irr!BA18="."),d_dir!AD18*1000)))))))),".")</f>
        <v>0.1026482657481103</v>
      </c>
      <c r="AE18" s="76">
        <f>IFERROR(IF(AND(d_Irr!D18&lt;&gt;".",d_Irr!AC18&lt;&gt;".",d_Irr!BB18&lt;&gt;"."),d_dir!AE18/((1/1000)*(d_Irr!D18+d_Irr!AC18+d_Irr!BB18)),IF(AND(d_Irr!D18&lt;&gt;".",d_Irr!AC18&lt;&gt;".",d_Irr!BB18="."),d_dir!AE18/((1/1000)*(d_Irr!D18+d_Irr!AC18)),IF(AND(d_Irr!D18&lt;&gt;".",d_Irr!AC18=".",d_Irr!BB18&lt;&gt;"."),d_dir!AE18/((1/1000)*(d_Irr!D18+d_Irr!BB18)),IF(AND(d_Irr!D18=".",d_Irr!AC18&lt;&gt;".",d_Irr!BB18&lt;&gt;"."),d_dir!AE18/((1/1000)*(d_Irr!AC18+d_Irr!BB18)),IF(AND(d_Irr!D18=".",d_Irr!AC18=".",d_Irr!BB18&lt;&gt;"."),d_dir!AE18/((1/1000)*(d_Irr!BB18)),IF(AND(d_Irr!D18=".",d_Irr!AC18&lt;&gt;".",d_Irr!BB18="."),d_dir!AE18/((1/1000)*(d_Irr!AC18)),IF(AND(d_Irr!D18&lt;&gt;".",d_Irr!AC18=".",d_Irr!BB18="."),d_dir!AE18/((1/1000)*(d_Irr!D18)),IF(AND(d_Irr!D18=".",d_Irr!AC18=".",d_Irr!BB18="."),d_dir!AE18*1000)))))))),".")</f>
        <v>0.22603235689445034</v>
      </c>
      <c r="AF18" s="76">
        <f>IFERROR(IF(AND(d_Irr!E18&lt;&gt;".",d_Irr!AD18&lt;&gt;".",d_Irr!BC18&lt;&gt;"."),d_dir!AF18/((1/1000)*(d_Irr!E18+d_Irr!AD18+d_Irr!BC18)),IF(AND(d_Irr!E18&lt;&gt;".",d_Irr!AD18&lt;&gt;".",d_Irr!BC18="."),d_dir!AF18/((1/1000)*(d_Irr!E18+d_Irr!AD18)),IF(AND(d_Irr!E18&lt;&gt;".",d_Irr!AD18=".",d_Irr!BC18&lt;&gt;"."),d_dir!AF18/((1/1000)*(d_Irr!E18+d_Irr!BC18)),IF(AND(d_Irr!E18=".",d_Irr!AD18&lt;&gt;".",d_Irr!BC18&lt;&gt;"."),d_dir!AF18/((1/1000)*(d_Irr!AD18+d_Irr!BC18)),IF(AND(d_Irr!E18=".",d_Irr!AD18=".",d_Irr!BC18&lt;&gt;"."),d_dir!AF18/((1/1000)*(d_Irr!BC18)),IF(AND(d_Irr!E18=".",d_Irr!AD18&lt;&gt;".",d_Irr!BC18="."),d_dir!AF18/((1/1000)*(d_Irr!AD18)),IF(AND(d_Irr!E18&lt;&gt;".",d_Irr!AD18=".",d_Irr!BC18="."),d_dir!AF18/((1/1000)*(d_Irr!E18)),IF(AND(d_Irr!E18=".",d_Irr!AD18=".",d_Irr!BC18="."),d_dir!AF18*1000)))))))),".")</f>
        <v>0.2728481959434137</v>
      </c>
      <c r="AG18" s="76">
        <f>IFERROR(IF(AND(d_Irr!F18&lt;&gt;".",d_Irr!AE18&lt;&gt;".",d_Irr!BD18&lt;&gt;"."),d_dir!AG18/((1/1000)*(d_Irr!F18+d_Irr!AE18+d_Irr!BD18)),IF(AND(d_Irr!F18&lt;&gt;".",d_Irr!AE18&lt;&gt;".",d_Irr!BD18="."),d_dir!AG18/((1/1000)*(d_Irr!F18+d_Irr!AE18)),IF(AND(d_Irr!F18&lt;&gt;".",d_Irr!AE18=".",d_Irr!BD18&lt;&gt;"."),d_dir!AG18/((1/1000)*(d_Irr!F18+d_Irr!BD18)),IF(AND(d_Irr!F18=".",d_Irr!AE18&lt;&gt;".",d_Irr!BD18&lt;&gt;"."),d_dir!AG18/((1/1000)*(d_Irr!AE18+d_Irr!BD18)),IF(AND(d_Irr!F18=".",d_Irr!AE18=".",d_Irr!BD18&lt;&gt;"."),d_dir!AG18/((1/1000)*(d_Irr!BD18)),IF(AND(d_Irr!F18=".",d_Irr!AE18&lt;&gt;".",d_Irr!BD18="."),d_dir!AG18/((1/1000)*(d_Irr!AE18)),IF(AND(d_Irr!F18&lt;&gt;".",d_Irr!AE18=".",d_Irr!BD18="."),d_dir!AG18/((1/1000)*(d_Irr!F18)),IF(AND(d_Irr!F18=".",d_Irr!AE18=".",d_Irr!BD18="."),d_dir!AG18*1000)))))))),".")</f>
        <v>0.2584718303303663</v>
      </c>
      <c r="AH18" s="76">
        <f>IFERROR(IF(AND(d_Irr!G18&lt;&gt;".",d_Irr!AF18&lt;&gt;".",d_Irr!BE18&lt;&gt;"."),d_dir!AH18/((1/1000)*(d_Irr!G18+d_Irr!AF18+d_Irr!BE18)),IF(AND(d_Irr!G18&lt;&gt;".",d_Irr!AF18&lt;&gt;".",d_Irr!BE18="."),d_dir!AH18/((1/1000)*(d_Irr!G18+d_Irr!AF18)),IF(AND(d_Irr!G18&lt;&gt;".",d_Irr!AF18=".",d_Irr!BE18&lt;&gt;"."),d_dir!AH18/((1/1000)*(d_Irr!G18+d_Irr!BE18)),IF(AND(d_Irr!G18=".",d_Irr!AF18&lt;&gt;".",d_Irr!BE18&lt;&gt;"."),d_dir!AH18/((1/1000)*(d_Irr!AF18+d_Irr!BE18)),IF(AND(d_Irr!G18=".",d_Irr!AF18=".",d_Irr!BE18&lt;&gt;"."),d_dir!AH18/((1/1000)*(d_Irr!BE18)),IF(AND(d_Irr!G18=".",d_Irr!AF18&lt;&gt;".",d_Irr!BE18="."),d_dir!AH18/((1/1000)*(d_Irr!AF18)),IF(AND(d_Irr!G18&lt;&gt;".",d_Irr!AF18=".",d_Irr!BE18="."),d_dir!AH18/((1/1000)*(d_Irr!G18)),IF(AND(d_Irr!G18=".",d_Irr!AF18=".",d_Irr!BE18="."),d_dir!AH18*1000)))))))),".")</f>
        <v>0.27562074563044459</v>
      </c>
      <c r="AI18" s="76">
        <f>IFERROR(IF(AND(d_Irr!H18&lt;&gt;".",d_Irr!AG18&lt;&gt;".",d_Irr!BF18&lt;&gt;"."),d_dir!AI18/((1/1000)*(d_Irr!H18+d_Irr!AG18+d_Irr!BF18)),IF(AND(d_Irr!H18&lt;&gt;".",d_Irr!AG18&lt;&gt;".",d_Irr!BF18="."),d_dir!AI18/((1/1000)*(d_Irr!H18+d_Irr!AG18)),IF(AND(d_Irr!H18&lt;&gt;".",d_Irr!AG18=".",d_Irr!BF18&lt;&gt;"."),d_dir!AI18/((1/1000)*(d_Irr!H18+d_Irr!BF18)),IF(AND(d_Irr!H18=".",d_Irr!AG18&lt;&gt;".",d_Irr!BF18&lt;&gt;"."),d_dir!AI18/((1/1000)*(d_Irr!AG18+d_Irr!BF18)),IF(AND(d_Irr!H18=".",d_Irr!AG18=".",d_Irr!BF18&lt;&gt;"."),d_dir!AI18/((1/1000)*(d_Irr!BF18)),IF(AND(d_Irr!H18=".",d_Irr!AG18&lt;&gt;".",d_Irr!BF18="."),d_dir!AI18/((1/1000)*(d_Irr!AG18)),IF(AND(d_Irr!H18&lt;&gt;".",d_Irr!AG18=".",d_Irr!BF18="."),d_dir!AI18/((1/1000)*(d_Irr!H18)),IF(AND(d_Irr!H18=".",d_Irr!AG18=".",d_Irr!BF18="."),d_dir!AI18*1000)))))))),".")</f>
        <v>0.11709431226524379</v>
      </c>
      <c r="AJ18" s="76">
        <f>IFERROR(IF(AND(d_Irr!I18&lt;&gt;".",d_Irr!AH18&lt;&gt;".",d_Irr!BG18&lt;&gt;"."),d_dir!AJ18/((1/1000)*(d_Irr!I18+d_Irr!AH18+d_Irr!BG18)),IF(AND(d_Irr!I18&lt;&gt;".",d_Irr!AH18&lt;&gt;".",d_Irr!BG18="."),d_dir!AJ18/((1/1000)*(d_Irr!I18+d_Irr!AH18)),IF(AND(d_Irr!I18&lt;&gt;".",d_Irr!AH18=".",d_Irr!BG18&lt;&gt;"."),d_dir!AJ18/((1/1000)*(d_Irr!I18+d_Irr!BG18)),IF(AND(d_Irr!I18=".",d_Irr!AH18&lt;&gt;".",d_Irr!BG18&lt;&gt;"."),d_dir!AJ18/((1/1000)*(d_Irr!AH18+d_Irr!BG18)),IF(AND(d_Irr!I18=".",d_Irr!AH18=".",d_Irr!BG18&lt;&gt;"."),d_dir!AJ18/((1/1000)*(d_Irr!BG18)),IF(AND(d_Irr!I18=".",d_Irr!AH18&lt;&gt;".",d_Irr!BG18="."),d_dir!AJ18/((1/1000)*(d_Irr!AH18)),IF(AND(d_Irr!I18&lt;&gt;".",d_Irr!AH18=".",d_Irr!BG18="."),d_dir!AJ18/((1/1000)*(d_Irr!I18)),IF(AND(d_Irr!I18=".",d_Irr!AH18=".",d_Irr!BG18="."),d_dir!AJ18*1000)))))))),".")</f>
        <v>0.3623330789173379</v>
      </c>
      <c r="AK18" s="76">
        <f>IFERROR(IF(AND(d_Irr!J18&lt;&gt;".",d_Irr!AI18&lt;&gt;".",d_Irr!BH18&lt;&gt;"."),d_dir!AK18/((1/1000)*(d_Irr!J18+d_Irr!AI18+d_Irr!BH18)),IF(AND(d_Irr!J18&lt;&gt;".",d_Irr!AI18&lt;&gt;".",d_Irr!BH18="."),d_dir!AK18/((1/1000)*(d_Irr!J18+d_Irr!AI18)),IF(AND(d_Irr!J18&lt;&gt;".",d_Irr!AI18=".",d_Irr!BH18&lt;&gt;"."),d_dir!AK18/((1/1000)*(d_Irr!J18+d_Irr!BH18)),IF(AND(d_Irr!J18=".",d_Irr!AI18&lt;&gt;".",d_Irr!BH18&lt;&gt;"."),d_dir!AK18/((1/1000)*(d_Irr!AI18+d_Irr!BH18)),IF(AND(d_Irr!J18=".",d_Irr!AI18=".",d_Irr!BH18&lt;&gt;"."),d_dir!AK18/((1/1000)*(d_Irr!BH18)),IF(AND(d_Irr!J18=".",d_Irr!AI18&lt;&gt;".",d_Irr!BH18="."),d_dir!AK18/((1/1000)*(d_Irr!AI18)),IF(AND(d_Irr!J18&lt;&gt;".",d_Irr!AI18=".",d_Irr!BH18="."),d_dir!AK18/((1/1000)*(d_Irr!J18)),IF(AND(d_Irr!J18=".",d_Irr!AI18=".",d_Irr!BH18="."),d_dir!AK18*1000)))))))),".")</f>
        <v>2.9758919674682367E-2</v>
      </c>
      <c r="AL18" s="76">
        <f>IFERROR(IF(AND(d_Irr!K18&lt;&gt;".",d_Irr!AJ18&lt;&gt;".",d_Irr!BI18&lt;&gt;"."),d_dir!AL18/((1/1000)*(d_Irr!K18+d_Irr!AJ18+d_Irr!BI18)),IF(AND(d_Irr!K18&lt;&gt;".",d_Irr!AJ18&lt;&gt;".",d_Irr!BI18="."),d_dir!AL18/((1/1000)*(d_Irr!K18+d_Irr!AJ18)),IF(AND(d_Irr!K18&lt;&gt;".",d_Irr!AJ18=".",d_Irr!BI18&lt;&gt;"."),d_dir!AL18/((1/1000)*(d_Irr!K18+d_Irr!BI18)),IF(AND(d_Irr!K18=".",d_Irr!AJ18&lt;&gt;".",d_Irr!BI18&lt;&gt;"."),d_dir!AL18/((1/1000)*(d_Irr!AJ18+d_Irr!BI18)),IF(AND(d_Irr!K18=".",d_Irr!AJ18=".",d_Irr!BI18&lt;&gt;"."),d_dir!AL18/((1/1000)*(d_Irr!BI18)),IF(AND(d_Irr!K18=".",d_Irr!AJ18&lt;&gt;".",d_Irr!BI18="."),d_dir!AL18/((1/1000)*(d_Irr!AJ18)),IF(AND(d_Irr!K18&lt;&gt;".",d_Irr!AJ18=".",d_Irr!BI18="."),d_dir!AL18/((1/1000)*(d_Irr!K18)),IF(AND(d_Irr!K18=".",d_Irr!AJ18=".",d_Irr!BI18="."),d_dir!AL18*1000)))))))),".")</f>
        <v>0.1163383968461448</v>
      </c>
      <c r="AM18" s="76">
        <f>IFERROR(IF(AND(d_Irr!L18&lt;&gt;".",d_Irr!AK18&lt;&gt;".",d_Irr!BJ18&lt;&gt;"."),d_dir!AM18/((1/1000)*(d_Irr!L18+d_Irr!AK18+d_Irr!BJ18)),IF(AND(d_Irr!L18&lt;&gt;".",d_Irr!AK18&lt;&gt;".",d_Irr!BJ18="."),d_dir!AM18/((1/1000)*(d_Irr!L18+d_Irr!AK18)),IF(AND(d_Irr!L18&lt;&gt;".",d_Irr!AK18=".",d_Irr!BJ18&lt;&gt;"."),d_dir!AM18/((1/1000)*(d_Irr!L18+d_Irr!BJ18)),IF(AND(d_Irr!L18=".",d_Irr!AK18&lt;&gt;".",d_Irr!BJ18&lt;&gt;"."),d_dir!AM18/((1/1000)*(d_Irr!AK18+d_Irr!BJ18)),IF(AND(d_Irr!L18=".",d_Irr!AK18=".",d_Irr!BJ18&lt;&gt;"."),d_dir!AM18/((1/1000)*(d_Irr!BJ18)),IF(AND(d_Irr!L18=".",d_Irr!AK18&lt;&gt;".",d_Irr!BJ18="."),d_dir!AM18/((1/1000)*(d_Irr!AK18)),IF(AND(d_Irr!L18&lt;&gt;".",d_Irr!AK18=".",d_Irr!BJ18="."),d_dir!AM18/((1/1000)*(d_Irr!L18)),IF(AND(d_Irr!L18=".",d_Irr!AK18=".",d_Irr!BJ18="."),d_dir!AM18*1000)))))))),".")</f>
        <v>0.17679551555348874</v>
      </c>
      <c r="AN18" s="76">
        <f>IFERROR(IF(AND(d_Irr!M18&lt;&gt;".",d_Irr!AL18&lt;&gt;".",d_Irr!BK18&lt;&gt;"."),d_dir!AN18/((1/1000)*(d_Irr!M18+d_Irr!AL18+d_Irr!BK18)),IF(AND(d_Irr!M18&lt;&gt;".",d_Irr!AL18&lt;&gt;".",d_Irr!BK18="."),d_dir!AN18/((1/1000)*(d_Irr!M18+d_Irr!AL18)),IF(AND(d_Irr!M18&lt;&gt;".",d_Irr!AL18=".",d_Irr!BK18&lt;&gt;"."),d_dir!AN18/((1/1000)*(d_Irr!M18+d_Irr!BK18)),IF(AND(d_Irr!M18=".",d_Irr!AL18&lt;&gt;".",d_Irr!BK18&lt;&gt;"."),d_dir!AN18/((1/1000)*(d_Irr!AL18+d_Irr!BK18)),IF(AND(d_Irr!M18=".",d_Irr!AL18=".",d_Irr!BK18&lt;&gt;"."),d_dir!AN18/((1/1000)*(d_Irr!BK18)),IF(AND(d_Irr!M18=".",d_Irr!AL18&lt;&gt;".",d_Irr!BK18="."),d_dir!AN18/((1/1000)*(d_Irr!AL18)),IF(AND(d_Irr!M18&lt;&gt;".",d_Irr!AL18=".",d_Irr!BK18="."),d_dir!AN18/((1/1000)*(d_Irr!M18)),IF(AND(d_Irr!M18=".",d_Irr!AL18=".",d_Irr!BK18="."),d_dir!AN18*1000)))))))),".")</f>
        <v>0.22777608692320217</v>
      </c>
      <c r="AO18" s="76">
        <f>IFERROR(IF(AND(d_Irr!N18&lt;&gt;".",d_Irr!AM18&lt;&gt;".",d_Irr!BL18&lt;&gt;"."),d_dir!AO18/((1/1000)*(d_Irr!N18+d_Irr!AM18+d_Irr!BL18)),IF(AND(d_Irr!N18&lt;&gt;".",d_Irr!AM18&lt;&gt;".",d_Irr!BL18="."),d_dir!AO18/((1/1000)*(d_Irr!N18+d_Irr!AM18)),IF(AND(d_Irr!N18&lt;&gt;".",d_Irr!AM18=".",d_Irr!BL18&lt;&gt;"."),d_dir!AO18/((1/1000)*(d_Irr!N18+d_Irr!BL18)),IF(AND(d_Irr!N18=".",d_Irr!AM18&lt;&gt;".",d_Irr!BL18&lt;&gt;"."),d_dir!AO18/((1/1000)*(d_Irr!AM18+d_Irr!BL18)),IF(AND(d_Irr!N18=".",d_Irr!AM18=".",d_Irr!BL18&lt;&gt;"."),d_dir!AO18/((1/1000)*(d_Irr!BL18)),IF(AND(d_Irr!N18=".",d_Irr!AM18&lt;&gt;".",d_Irr!BL18="."),d_dir!AO18/((1/1000)*(d_Irr!AM18)),IF(AND(d_Irr!N18&lt;&gt;".",d_Irr!AM18=".",d_Irr!BL18="."),d_dir!AO18/((1/1000)*(d_Irr!N18)),IF(AND(d_Irr!N18=".",d_Irr!AM18=".",d_Irr!BL18="."),d_dir!AO18*1000)))))))),".")</f>
        <v>0.26050894438787098</v>
      </c>
      <c r="AP18" s="76">
        <f>IFERROR(IF(AND(d_Irr!O18&lt;&gt;".",d_Irr!AN18&lt;&gt;".",d_Irr!BM18&lt;&gt;"."),d_dir!AP18/((1/1000)*(d_Irr!O18+d_Irr!AN18+d_Irr!BM18)),IF(AND(d_Irr!O18&lt;&gt;".",d_Irr!AN18&lt;&gt;".",d_Irr!BM18="."),d_dir!AP18/((1/1000)*(d_Irr!O18+d_Irr!AN18)),IF(AND(d_Irr!O18&lt;&gt;".",d_Irr!AN18=".",d_Irr!BM18&lt;&gt;"."),d_dir!AP18/((1/1000)*(d_Irr!O18+d_Irr!BM18)),IF(AND(d_Irr!O18=".",d_Irr!AN18&lt;&gt;".",d_Irr!BM18&lt;&gt;"."),d_dir!AP18/((1/1000)*(d_Irr!AN18+d_Irr!BM18)),IF(AND(d_Irr!O18=".",d_Irr!AN18=".",d_Irr!BM18&lt;&gt;"."),d_dir!AP18/((1/1000)*(d_Irr!BM18)),IF(AND(d_Irr!O18=".",d_Irr!AN18&lt;&gt;".",d_Irr!BM18="."),d_dir!AP18/((1/1000)*(d_Irr!AN18)),IF(AND(d_Irr!O18&lt;&gt;".",d_Irr!AN18=".",d_Irr!BM18="."),d_dir!AP18/((1/1000)*(d_Irr!O18)),IF(AND(d_Irr!O18=".",d_Irr!AN18=".",d_Irr!BM18="."),d_dir!AP18*1000)))))))),".")</f>
        <v>0.31849646840079865</v>
      </c>
      <c r="AQ18" s="76">
        <f>IFERROR(IF(AND(d_Irr!P18&lt;&gt;".",d_Irr!AO18&lt;&gt;".",d_Irr!BN18&lt;&gt;"."),d_dir!AQ18/((1/1000)*(d_Irr!P18+d_Irr!AO18+d_Irr!BN18)),IF(AND(d_Irr!P18&lt;&gt;".",d_Irr!AO18&lt;&gt;".",d_Irr!BN18="."),d_dir!AQ18/((1/1000)*(d_Irr!P18+d_Irr!AO18)),IF(AND(d_Irr!P18&lt;&gt;".",d_Irr!AO18=".",d_Irr!BN18&lt;&gt;"."),d_dir!AQ18/((1/1000)*(d_Irr!P18+d_Irr!BN18)),IF(AND(d_Irr!P18=".",d_Irr!AO18&lt;&gt;".",d_Irr!BN18&lt;&gt;"."),d_dir!AQ18/((1/1000)*(d_Irr!AO18+d_Irr!BN18)),IF(AND(d_Irr!P18=".",d_Irr!AO18=".",d_Irr!BN18&lt;&gt;"."),d_dir!AQ18/((1/1000)*(d_Irr!BN18)),IF(AND(d_Irr!P18=".",d_Irr!AO18&lt;&gt;".",d_Irr!BN18="."),d_dir!AQ18/((1/1000)*(d_Irr!AO18)),IF(AND(d_Irr!P18&lt;&gt;".",d_Irr!AO18=".",d_Irr!BN18="."),d_dir!AQ18/((1/1000)*(d_Irr!P18)),IF(AND(d_Irr!P18=".",d_Irr!AO18=".",d_Irr!BN18="."),d_dir!AQ18*1000)))))))),".")</f>
        <v>0.3381328630011573</v>
      </c>
      <c r="AR18" s="76">
        <f>IFERROR(IF(AND(d_Irr!Q18&lt;&gt;".",d_Irr!AP18&lt;&gt;".",d_Irr!BO18&lt;&gt;"."),d_dir!AR18/((1/1000)*(d_Irr!Q18+d_Irr!AP18+d_Irr!BO18)),IF(AND(d_Irr!Q18&lt;&gt;".",d_Irr!AP18&lt;&gt;".",d_Irr!BO18="."),d_dir!AR18/((1/1000)*(d_Irr!Q18+d_Irr!AP18)),IF(AND(d_Irr!Q18&lt;&gt;".",d_Irr!AP18=".",d_Irr!BO18&lt;&gt;"."),d_dir!AR18/((1/1000)*(d_Irr!Q18+d_Irr!BO18)),IF(AND(d_Irr!Q18=".",d_Irr!AP18&lt;&gt;".",d_Irr!BO18&lt;&gt;"."),d_dir!AR18/((1/1000)*(d_Irr!AP18+d_Irr!BO18)),IF(AND(d_Irr!Q18=".",d_Irr!AP18=".",d_Irr!BO18&lt;&gt;"."),d_dir!AR18/((1/1000)*(d_Irr!BO18)),IF(AND(d_Irr!Q18=".",d_Irr!AP18&lt;&gt;".",d_Irr!BO18="."),d_dir!AR18/((1/1000)*(d_Irr!AP18)),IF(AND(d_Irr!Q18&lt;&gt;".",d_Irr!AP18=".",d_Irr!BO18="."),d_dir!AR18/((1/1000)*(d_Irr!Q18)),IF(AND(d_Irr!Q18=".",d_Irr!AP18=".",d_Irr!BO18="."),d_dir!AR18*1000)))))))),".")</f>
        <v>8.472707375252278E-2</v>
      </c>
      <c r="AS18" s="76">
        <f>IFERROR(IF(AND(d_Irr!R18&lt;&gt;".",d_Irr!AQ18&lt;&gt;".",d_Irr!BP18&lt;&gt;"."),d_dir!AS18/((1/1000)*(d_Irr!R18+d_Irr!AQ18+d_Irr!BP18)),IF(AND(d_Irr!R18&lt;&gt;".",d_Irr!AQ18&lt;&gt;".",d_Irr!BP18="."),d_dir!AS18/((1/1000)*(d_Irr!R18+d_Irr!AQ18)),IF(AND(d_Irr!R18&lt;&gt;".",d_Irr!AQ18=".",d_Irr!BP18&lt;&gt;"."),d_dir!AS18/((1/1000)*(d_Irr!R18+d_Irr!BP18)),IF(AND(d_Irr!R18=".",d_Irr!AQ18&lt;&gt;".",d_Irr!BP18&lt;&gt;"."),d_dir!AS18/((1/1000)*(d_Irr!AQ18+d_Irr!BP18)),IF(AND(d_Irr!R18=".",d_Irr!AQ18=".",d_Irr!BP18&lt;&gt;"."),d_dir!AS18/((1/1000)*(d_Irr!BP18)),IF(AND(d_Irr!R18=".",d_Irr!AQ18&lt;&gt;".",d_Irr!BP18="."),d_dir!AS18/((1/1000)*(d_Irr!AQ18)),IF(AND(d_Irr!R18&lt;&gt;".",d_Irr!AQ18=".",d_Irr!BP18="."),d_dir!AS18/((1/1000)*(d_Irr!R18)),IF(AND(d_Irr!R18=".",d_Irr!AQ18=".",d_Irr!BP18="."),d_dir!AS18*1000)))))))),".")</f>
        <v>0.13815897294454516</v>
      </c>
      <c r="AT18" s="76">
        <f>IFERROR(IF(AND(d_Irr!S18&lt;&gt;".",d_Irr!AR18&lt;&gt;".",d_Irr!BQ18&lt;&gt;"."),d_dir!AT18/((1/1000)*(d_Irr!S18+d_Irr!AR18+d_Irr!BQ18)),IF(AND(d_Irr!S18&lt;&gt;".",d_Irr!AR18&lt;&gt;".",d_Irr!BQ18="."),d_dir!AT18/((1/1000)*(d_Irr!S18+d_Irr!AR18)),IF(AND(d_Irr!S18&lt;&gt;".",d_Irr!AR18=".",d_Irr!BQ18&lt;&gt;"."),d_dir!AT18/((1/1000)*(d_Irr!S18+d_Irr!BQ18)),IF(AND(d_Irr!S18=".",d_Irr!AR18&lt;&gt;".",d_Irr!BQ18&lt;&gt;"."),d_dir!AT18/((1/1000)*(d_Irr!AR18+d_Irr!BQ18)),IF(AND(d_Irr!S18=".",d_Irr!AR18=".",d_Irr!BQ18&lt;&gt;"."),d_dir!AT18/((1/1000)*(d_Irr!BQ18)),IF(AND(d_Irr!S18=".",d_Irr!AR18&lt;&gt;".",d_Irr!BQ18="."),d_dir!AT18/((1/1000)*(d_Irr!AR18)),IF(AND(d_Irr!S18&lt;&gt;".",d_Irr!AR18=".",d_Irr!BQ18="."),d_dir!AT18/((1/1000)*(d_Irr!S18)),IF(AND(d_Irr!S18=".",d_Irr!AR18=".",d_Irr!BQ18="."),d_dir!AT18*1000)))))))),".")</f>
        <v>0.28959832743632452</v>
      </c>
      <c r="AU18" s="76">
        <f>IFERROR(IF(AND(d_Irr!T18&lt;&gt;".",d_Irr!AS18&lt;&gt;".",d_Irr!BR18&lt;&gt;"."),d_dir!AU18/((1/1000)*(d_Irr!T18+d_Irr!AS18+d_Irr!BR18)),IF(AND(d_Irr!T18&lt;&gt;".",d_Irr!AS18&lt;&gt;".",d_Irr!BR18="."),d_dir!AU18/((1/1000)*(d_Irr!T18+d_Irr!AS18)),IF(AND(d_Irr!T18&lt;&gt;".",d_Irr!AS18=".",d_Irr!BR18&lt;&gt;"."),d_dir!AU18/((1/1000)*(d_Irr!T18+d_Irr!BR18)),IF(AND(d_Irr!T18=".",d_Irr!AS18&lt;&gt;".",d_Irr!BR18&lt;&gt;"."),d_dir!AU18/((1/1000)*(d_Irr!AS18+d_Irr!BR18)),IF(AND(d_Irr!T18=".",d_Irr!AS18=".",d_Irr!BR18&lt;&gt;"."),d_dir!AU18/((1/1000)*(d_Irr!BR18)),IF(AND(d_Irr!T18=".",d_Irr!AS18&lt;&gt;".",d_Irr!BR18="."),d_dir!AU18/((1/1000)*(d_Irr!AS18)),IF(AND(d_Irr!T18&lt;&gt;".",d_Irr!AS18=".",d_Irr!BR18="."),d_dir!AU18/((1/1000)*(d_Irr!T18)),IF(AND(d_Irr!T18=".",d_Irr!AS18=".",d_Irr!BR18="."),d_dir!AU18*1000)))))))),".")</f>
        <v>0.39651255951251757</v>
      </c>
      <c r="AV18" s="76">
        <f>IFERROR(IF(AND(d_Irr!U18&lt;&gt;".",d_Irr!AT18&lt;&gt;".",d_Irr!BS18&lt;&gt;"."),d_dir!AV18/((1/1000)*(d_Irr!U18+d_Irr!AT18+d_Irr!BS18)),IF(AND(d_Irr!U18&lt;&gt;".",d_Irr!AT18&lt;&gt;".",d_Irr!BS18="."),d_dir!AV18/((1/1000)*(d_Irr!U18+d_Irr!AT18)),IF(AND(d_Irr!U18&lt;&gt;".",d_Irr!AT18=".",d_Irr!BS18&lt;&gt;"."),d_dir!AV18/((1/1000)*(d_Irr!U18+d_Irr!BS18)),IF(AND(d_Irr!U18=".",d_Irr!AT18&lt;&gt;".",d_Irr!BS18&lt;&gt;"."),d_dir!AV18/((1/1000)*(d_Irr!AT18+d_Irr!BS18)),IF(AND(d_Irr!U18=".",d_Irr!AT18=".",d_Irr!BS18&lt;&gt;"."),d_dir!AV18/((1/1000)*(d_Irr!BS18)),IF(AND(d_Irr!U18=".",d_Irr!AT18&lt;&gt;".",d_Irr!BS18="."),d_dir!AV18/((1/1000)*(d_Irr!AT18)),IF(AND(d_Irr!U18&lt;&gt;".",d_Irr!AT18=".",d_Irr!BS18="."),d_dir!AV18/((1/1000)*(d_Irr!U18)),IF(AND(d_Irr!U18=".",d_Irr!AT18=".",d_Irr!BS18="."),d_dir!AV18*1000)))))))),".")</f>
        <v>6.5902621680909504E-2</v>
      </c>
      <c r="AW18" s="76">
        <f>IFERROR(IF(AND(d_Irr!V18&lt;&gt;".",d_Irr!AU18&lt;&gt;".",d_Irr!BT18&lt;&gt;"."),d_dir!AW18/((1/1000)*(d_Irr!V18+d_Irr!AU18+d_Irr!BT18)),IF(AND(d_Irr!V18&lt;&gt;".",d_Irr!AU18&lt;&gt;".",d_Irr!BT18="."),d_dir!AW18/((1/1000)*(d_Irr!V18+d_Irr!AU18)),IF(AND(d_Irr!V18&lt;&gt;".",d_Irr!AU18=".",d_Irr!BT18&lt;&gt;"."),d_dir!AW18/((1/1000)*(d_Irr!V18+d_Irr!BT18)),IF(AND(d_Irr!V18=".",d_Irr!AU18&lt;&gt;".",d_Irr!BT18&lt;&gt;"."),d_dir!AW18/((1/1000)*(d_Irr!AU18+d_Irr!BT18)),IF(AND(d_Irr!V18=".",d_Irr!AU18=".",d_Irr!BT18&lt;&gt;"."),d_dir!AW18/((1/1000)*(d_Irr!BT18)),IF(AND(d_Irr!V18=".",d_Irr!AU18&lt;&gt;".",d_Irr!BT18="."),d_dir!AW18/((1/1000)*(d_Irr!AU18)),IF(AND(d_Irr!V18&lt;&gt;".",d_Irr!AU18=".",d_Irr!BT18="."),d_dir!AW18/((1/1000)*(d_Irr!V18)),IF(AND(d_Irr!V18=".",d_Irr!AU18=".",d_Irr!BT18="."),d_dir!AW18*1000)))))))),".")</f>
        <v>0.15188343779575869</v>
      </c>
      <c r="AX18" s="76">
        <f>IFERROR(IF(AND(d_Irr!W18&lt;&gt;".",d_Irr!AV18&lt;&gt;".",d_Irr!BU18&lt;&gt;"."),d_dir!AX18/((1/1000)*(d_Irr!W18+d_Irr!AV18+d_Irr!BU18)),IF(AND(d_Irr!W18&lt;&gt;".",d_Irr!AV18&lt;&gt;".",d_Irr!BU18="."),d_dir!AX18/((1/1000)*(d_Irr!W18+d_Irr!AV18)),IF(AND(d_Irr!W18&lt;&gt;".",d_Irr!AV18=".",d_Irr!BU18&lt;&gt;"."),d_dir!AX18/((1/1000)*(d_Irr!W18+d_Irr!BU18)),IF(AND(d_Irr!W18=".",d_Irr!AV18&lt;&gt;".",d_Irr!BU18&lt;&gt;"."),d_dir!AX18/((1/1000)*(d_Irr!AV18+d_Irr!BU18)),IF(AND(d_Irr!W18=".",d_Irr!AV18=".",d_Irr!BU18&lt;&gt;"."),d_dir!AX18/((1/1000)*(d_Irr!BU18)),IF(AND(d_Irr!W18=".",d_Irr!AV18&lt;&gt;".",d_Irr!BU18="."),d_dir!AX18/((1/1000)*(d_Irr!AV18)),IF(AND(d_Irr!W18&lt;&gt;".",d_Irr!AV18=".",d_Irr!BU18="."),d_dir!AX18/((1/1000)*(d_Irr!W18)),IF(AND(d_Irr!W18=".",d_Irr!AV18=".",d_Irr!BU18="."),d_dir!AX18*1000)))))))),".")</f>
        <v>0.16343877507961427</v>
      </c>
      <c r="AY18" s="76">
        <f>IFERROR(IF(AND(d_Irr!X18&lt;&gt;".",d_Irr!AW18&lt;&gt;".",d_Irr!BV18&lt;&gt;"."),d_dir!AY18/((1/1000)*(d_Irr!X18+d_Irr!AW18+d_Irr!BV18)),IF(AND(d_Irr!X18&lt;&gt;".",d_Irr!AW18&lt;&gt;".",d_Irr!BV18="."),d_dir!AY18/((1/1000)*(d_Irr!X18+d_Irr!AW18)),IF(AND(d_Irr!X18&lt;&gt;".",d_Irr!AW18=".",d_Irr!BV18&lt;&gt;"."),d_dir!AY18/((1/1000)*(d_Irr!X18+d_Irr!BV18)),IF(AND(d_Irr!X18=".",d_Irr!AW18&lt;&gt;".",d_Irr!BV18&lt;&gt;"."),d_dir!AY18/((1/1000)*(d_Irr!AW18+d_Irr!BV18)),IF(AND(d_Irr!X18=".",d_Irr!AW18=".",d_Irr!BV18&lt;&gt;"."),d_dir!AY18/((1/1000)*(d_Irr!BV18)),IF(AND(d_Irr!X18=".",d_Irr!AW18&lt;&gt;".",d_Irr!BV18="."),d_dir!AY18/((1/1000)*(d_Irr!AW18)),IF(AND(d_Irr!X18&lt;&gt;".",d_Irr!AW18=".",d_Irr!BV18="."),d_dir!AY18/((1/1000)*(d_Irr!X18)),IF(AND(d_Irr!X18=".",d_Irr!AW18=".",d_Irr!BV18="."),d_dir!AY18*1000)))))))),".")</f>
        <v>0.22464161418200501</v>
      </c>
      <c r="AZ18" s="76">
        <f>IFERROR(IF(AND(d_Irr!Y18&lt;&gt;".",d_Irr!AX18&lt;&gt;".",d_Irr!BW18&lt;&gt;"."),d_dir!AZ18/((1/1000)*(d_Irr!Y18+d_Irr!AX18+d_Irr!BW18)),IF(AND(d_Irr!Y18&lt;&gt;".",d_Irr!AX18&lt;&gt;".",d_Irr!BW18="."),d_dir!AZ18/((1/1000)*(d_Irr!Y18+d_Irr!AX18)),IF(AND(d_Irr!Y18&lt;&gt;".",d_Irr!AX18=".",d_Irr!BW18&lt;&gt;"."),d_dir!AZ18/((1/1000)*(d_Irr!Y18+d_Irr!BW18)),IF(AND(d_Irr!Y18=".",d_Irr!AX18&lt;&gt;".",d_Irr!BW18&lt;&gt;"."),d_dir!AZ18/((1/1000)*(d_Irr!AX18+d_Irr!BW18)),IF(AND(d_Irr!Y18=".",d_Irr!AX18=".",d_Irr!BW18&lt;&gt;"."),d_dir!AZ18/((1/1000)*(d_Irr!BW18)),IF(AND(d_Irr!Y18=".",d_Irr!AX18&lt;&gt;".",d_Irr!BW18="."),d_dir!AZ18/((1/1000)*(d_Irr!AX18)),IF(AND(d_Irr!Y18&lt;&gt;".",d_Irr!AX18=".",d_Irr!BW18="."),d_dir!AZ18/((1/1000)*(d_Irr!Y18)),IF(AND(d_Irr!Y18=".",d_Irr!AX18=".",d_Irr!BW18="."),d_dir!AZ18*1000)))))))),".")</f>
        <v>9.90120926467596E-2</v>
      </c>
      <c r="BA18" s="76">
        <f>IFERROR(IF(AND(d_Irr!Z18&lt;&gt;".",d_Irr!AY18&lt;&gt;".",d_Irr!BX18&lt;&gt;"."),d_dir!BA18/((1/1000)*(d_Irr!Z18+d_Irr!AY18+d_Irr!BX18)),IF(AND(d_Irr!Z18&lt;&gt;".",d_Irr!AY18&lt;&gt;".",d_Irr!BX18="."),d_dir!BA18/((1/1000)*(d_Irr!Z18+d_Irr!AY18)),IF(AND(d_Irr!Z18&lt;&gt;".",d_Irr!AY18=".",d_Irr!BX18&lt;&gt;"."),d_dir!BA18/((1/1000)*(d_Irr!Z18+d_Irr!BX18)),IF(AND(d_Irr!Z18=".",d_Irr!AY18&lt;&gt;".",d_Irr!BX18&lt;&gt;"."),d_dir!BA18/((1/1000)*(d_Irr!AY18+d_Irr!BX18)),IF(AND(d_Irr!Z18=".",d_Irr!AY18=".",d_Irr!BX18&lt;&gt;"."),d_dir!BA18/((1/1000)*(d_Irr!BX18)),IF(AND(d_Irr!Z18=".",d_Irr!AY18&lt;&gt;".",d_Irr!BX18="."),d_dir!BA18/((1/1000)*(d_Irr!AY18)),IF(AND(d_Irr!Z18&lt;&gt;".",d_Irr!AY18=".",d_Irr!BX18="."),d_dir!BA18/((1/1000)*(d_Irr!Z18)),IF(AND(d_Irr!Z18=".",d_Irr!AY18=".",d_Irr!BX18="."),d_dir!BA18*1000)))))))),".")</f>
        <v>3.0210103459451684E-2</v>
      </c>
      <c r="BB18" s="76">
        <f>IFERROR(IF(AND(d_Irr!AA18&lt;&gt;".",d_Irr!AZ18&lt;&gt;".",d_Irr!BY18&lt;&gt;"."),d_dir!BB18/((1/1000)*(d_Irr!AA18+d_Irr!AZ18+d_Irr!BY18)),IF(AND(d_Irr!AA18&lt;&gt;".",d_Irr!AZ18&lt;&gt;".",d_Irr!BY18="."),d_dir!BB18/((1/1000)*(d_Irr!AA18+d_Irr!AZ18)),IF(AND(d_Irr!AA18&lt;&gt;".",d_Irr!AZ18=".",d_Irr!BY18&lt;&gt;"."),d_dir!BB18/((1/1000)*(d_Irr!AA18+d_Irr!BY18)),IF(AND(d_Irr!AA18=".",d_Irr!AZ18&lt;&gt;".",d_Irr!BY18&lt;&gt;"."),d_dir!BB18/((1/1000)*(d_Irr!AZ18+d_Irr!BY18)),IF(AND(d_Irr!AA18=".",d_Irr!AZ18=".",d_Irr!BY18&lt;&gt;"."),d_dir!BB18/((1/1000)*(d_Irr!BY18)),IF(AND(d_Irr!AA18=".",d_Irr!AZ18&lt;&gt;".",d_Irr!BY18="."),d_dir!BB18/((1/1000)*(d_Irr!AZ18)),IF(AND(d_Irr!AA18&lt;&gt;".",d_Irr!AZ18=".",d_Irr!BY18="."),d_dir!BB18/((1/1000)*(d_Irr!AA18)),IF(AND(d_Irr!AA18=".",d_Irr!AZ18=".",d_Irr!BY18="."),d_dir!BB18*1000)))))))),".")</f>
        <v>3.1758803796471342E-2</v>
      </c>
    </row>
    <row r="19" spans="1:54" ht="15" customHeight="1" x14ac:dyDescent="0.25">
      <c r="A19" s="92" t="s">
        <v>29</v>
      </c>
      <c r="B19" s="90" t="s">
        <v>1071</v>
      </c>
      <c r="C19" s="2" t="str">
        <f t="shared" si="1"/>
        <v>.</v>
      </c>
      <c r="D19" s="76" t="str">
        <f>IFERROR(IF(AND(d_Irr!C19&lt;&gt;".",d_Irr!AB19&lt;&gt;".",d_Irr!BA19&lt;&gt;"."),d_dir!D19/((1/1000)*(d_Irr!C19+d_Irr!AB19+d_Irr!BA19)),IF(AND(d_Irr!C19&lt;&gt;".",d_Irr!AB19&lt;&gt;".",d_Irr!BA19="."),d_dir!D19/((1/1000)*(d_Irr!C19+d_Irr!AB19)),IF(AND(d_Irr!C19&lt;&gt;".",d_Irr!AB19=".",d_Irr!BA19&lt;&gt;"."),d_dir!D19/((1/1000)*(d_Irr!C19+d_Irr!BA19)),IF(AND(d_Irr!C19=".",d_Irr!AB19&lt;&gt;".",d_Irr!BA19&lt;&gt;"."),d_dir!D19/((1/1000)*(d_Irr!AB19+d_Irr!BA19)),IF(AND(d_Irr!C19=".",d_Irr!AB19=".",d_Irr!BA19&lt;&gt;"."),d_dir!D19/((1/1000)*(d_Irr!BA19)),IF(AND(d_Irr!C19=".",d_Irr!AB19&lt;&gt;".",d_Irr!BA19="."),d_dir!D19/((1/1000)*(d_Irr!AB19)),IF(AND(d_Irr!C19&lt;&gt;".",d_Irr!AB19=".",d_Irr!BA19="."),d_dir!D19/((1/1000)*(d_Irr!C19)),IF(AND(d_Irr!C19=".",d_Irr!AB19=".",d_Irr!BA19="."),d_dir!D19*1000)))))))),".")</f>
        <v>.</v>
      </c>
      <c r="E19" s="76" t="str">
        <f>IFERROR(IF(AND(d_Irr!D19&lt;&gt;".",d_Irr!AC19&lt;&gt;".",d_Irr!BB19&lt;&gt;"."),d_dir!E19/((1/1000)*(d_Irr!D19+d_Irr!AC19+d_Irr!BB19)),IF(AND(d_Irr!D19&lt;&gt;".",d_Irr!AC19&lt;&gt;".",d_Irr!BB19="."),d_dir!E19/((1/1000)*(d_Irr!D19+d_Irr!AC19)),IF(AND(d_Irr!D19&lt;&gt;".",d_Irr!AC19=".",d_Irr!BB19&lt;&gt;"."),d_dir!E19/((1/1000)*(d_Irr!D19+d_Irr!BB19)),IF(AND(d_Irr!D19=".",d_Irr!AC19&lt;&gt;".",d_Irr!BB19&lt;&gt;"."),d_dir!E19/((1/1000)*(d_Irr!AC19+d_Irr!BB19)),IF(AND(d_Irr!D19=".",d_Irr!AC19=".",d_Irr!BB19&lt;&gt;"."),d_dir!E19/((1/1000)*(d_Irr!BB19)),IF(AND(d_Irr!D19=".",d_Irr!AC19&lt;&gt;".",d_Irr!BB19="."),d_dir!E19/((1/1000)*(d_Irr!AC19)),IF(AND(d_Irr!D19&lt;&gt;".",d_Irr!AC19=".",d_Irr!BB19="."),d_dir!E19/((1/1000)*(d_Irr!D19)),IF(AND(d_Irr!D19=".",d_Irr!AC19=".",d_Irr!BB19="."),d_dir!E19*1000)))))))),".")</f>
        <v>.</v>
      </c>
      <c r="F19" s="76" t="str">
        <f>IFERROR(IF(AND(d_Irr!E19&lt;&gt;".",d_Irr!AD19&lt;&gt;".",d_Irr!BC19&lt;&gt;"."),d_dir!F19/((1/1000)*(d_Irr!E19+d_Irr!AD19+d_Irr!BC19)),IF(AND(d_Irr!E19&lt;&gt;".",d_Irr!AD19&lt;&gt;".",d_Irr!BC19="."),d_dir!F19/((1/1000)*(d_Irr!E19+d_Irr!AD19)),IF(AND(d_Irr!E19&lt;&gt;".",d_Irr!AD19=".",d_Irr!BC19&lt;&gt;"."),d_dir!F19/((1/1000)*(d_Irr!E19+d_Irr!BC19)),IF(AND(d_Irr!E19=".",d_Irr!AD19&lt;&gt;".",d_Irr!BC19&lt;&gt;"."),d_dir!F19/((1/1000)*(d_Irr!AD19+d_Irr!BC19)),IF(AND(d_Irr!E19=".",d_Irr!AD19=".",d_Irr!BC19&lt;&gt;"."),d_dir!F19/((1/1000)*(d_Irr!BC19)),IF(AND(d_Irr!E19=".",d_Irr!AD19&lt;&gt;".",d_Irr!BC19="."),d_dir!F19/((1/1000)*(d_Irr!AD19)),IF(AND(d_Irr!E19&lt;&gt;".",d_Irr!AD19=".",d_Irr!BC19="."),d_dir!F19/((1/1000)*(d_Irr!E19)),IF(AND(d_Irr!E19=".",d_Irr!AD19=".",d_Irr!BC19="."),d_dir!F19*1000)))))))),".")</f>
        <v>.</v>
      </c>
      <c r="G19" s="76" t="str">
        <f>IFERROR(IF(AND(d_Irr!F19&lt;&gt;".",d_Irr!AE19&lt;&gt;".",d_Irr!BD19&lt;&gt;"."),d_dir!G19/((1/1000)*(d_Irr!F19+d_Irr!AE19+d_Irr!BD19)),IF(AND(d_Irr!F19&lt;&gt;".",d_Irr!AE19&lt;&gt;".",d_Irr!BD19="."),d_dir!G19/((1/1000)*(d_Irr!F19+d_Irr!AE19)),IF(AND(d_Irr!F19&lt;&gt;".",d_Irr!AE19=".",d_Irr!BD19&lt;&gt;"."),d_dir!G19/((1/1000)*(d_Irr!F19+d_Irr!BD19)),IF(AND(d_Irr!F19=".",d_Irr!AE19&lt;&gt;".",d_Irr!BD19&lt;&gt;"."),d_dir!G19/((1/1000)*(d_Irr!AE19+d_Irr!BD19)),IF(AND(d_Irr!F19=".",d_Irr!AE19=".",d_Irr!BD19&lt;&gt;"."),d_dir!G19/((1/1000)*(d_Irr!BD19)),IF(AND(d_Irr!F19=".",d_Irr!AE19&lt;&gt;".",d_Irr!BD19="."),d_dir!G19/((1/1000)*(d_Irr!AE19)),IF(AND(d_Irr!F19&lt;&gt;".",d_Irr!AE19=".",d_Irr!BD19="."),d_dir!G19/((1/1000)*(d_Irr!F19)),IF(AND(d_Irr!F19=".",d_Irr!AE19=".",d_Irr!BD19="."),d_dir!G19*1000)))))))),".")</f>
        <v>.</v>
      </c>
      <c r="H19" s="76" t="str">
        <f>IFERROR(IF(AND(d_Irr!G19&lt;&gt;".",d_Irr!AF19&lt;&gt;".",d_Irr!BE19&lt;&gt;"."),d_dir!H19/((1/1000)*(d_Irr!G19+d_Irr!AF19+d_Irr!BE19)),IF(AND(d_Irr!G19&lt;&gt;".",d_Irr!AF19&lt;&gt;".",d_Irr!BE19="."),d_dir!H19/((1/1000)*(d_Irr!G19+d_Irr!AF19)),IF(AND(d_Irr!G19&lt;&gt;".",d_Irr!AF19=".",d_Irr!BE19&lt;&gt;"."),d_dir!H19/((1/1000)*(d_Irr!G19+d_Irr!BE19)),IF(AND(d_Irr!G19=".",d_Irr!AF19&lt;&gt;".",d_Irr!BE19&lt;&gt;"."),d_dir!H19/((1/1000)*(d_Irr!AF19+d_Irr!BE19)),IF(AND(d_Irr!G19=".",d_Irr!AF19=".",d_Irr!BE19&lt;&gt;"."),d_dir!H19/((1/1000)*(d_Irr!BE19)),IF(AND(d_Irr!G19=".",d_Irr!AF19&lt;&gt;".",d_Irr!BE19="."),d_dir!H19/((1/1000)*(d_Irr!AF19)),IF(AND(d_Irr!G19&lt;&gt;".",d_Irr!AF19=".",d_Irr!BE19="."),d_dir!H19/((1/1000)*(d_Irr!G19)),IF(AND(d_Irr!G19=".",d_Irr!AF19=".",d_Irr!BE19="."),d_dir!H19*1000)))))))),".")</f>
        <v>.</v>
      </c>
      <c r="I19" s="76" t="str">
        <f>IFERROR(IF(AND(d_Irr!H19&lt;&gt;".",d_Irr!AG19&lt;&gt;".",d_Irr!BF19&lt;&gt;"."),d_dir!I19/((1/1000)*(d_Irr!H19+d_Irr!AG19+d_Irr!BF19)),IF(AND(d_Irr!H19&lt;&gt;".",d_Irr!AG19&lt;&gt;".",d_Irr!BF19="."),d_dir!I19/((1/1000)*(d_Irr!H19+d_Irr!AG19)),IF(AND(d_Irr!H19&lt;&gt;".",d_Irr!AG19=".",d_Irr!BF19&lt;&gt;"."),d_dir!I19/((1/1000)*(d_Irr!H19+d_Irr!BF19)),IF(AND(d_Irr!H19=".",d_Irr!AG19&lt;&gt;".",d_Irr!BF19&lt;&gt;"."),d_dir!I19/((1/1000)*(d_Irr!AG19+d_Irr!BF19)),IF(AND(d_Irr!H19=".",d_Irr!AG19=".",d_Irr!BF19&lt;&gt;"."),d_dir!I19/((1/1000)*(d_Irr!BF19)),IF(AND(d_Irr!H19=".",d_Irr!AG19&lt;&gt;".",d_Irr!BF19="."),d_dir!I19/((1/1000)*(d_Irr!AG19)),IF(AND(d_Irr!H19&lt;&gt;".",d_Irr!AG19=".",d_Irr!BF19="."),d_dir!I19/((1/1000)*(d_Irr!H19)),IF(AND(d_Irr!H19=".",d_Irr!AG19=".",d_Irr!BF19="."),d_dir!I19*1000)))))))),".")</f>
        <v>.</v>
      </c>
      <c r="J19" s="76" t="str">
        <f>IFERROR(IF(AND(d_Irr!I19&lt;&gt;".",d_Irr!AH19&lt;&gt;".",d_Irr!BG19&lt;&gt;"."),d_dir!J19/((1/1000)*(d_Irr!I19+d_Irr!AH19+d_Irr!BG19)),IF(AND(d_Irr!I19&lt;&gt;".",d_Irr!AH19&lt;&gt;".",d_Irr!BG19="."),d_dir!J19/((1/1000)*(d_Irr!I19+d_Irr!AH19)),IF(AND(d_Irr!I19&lt;&gt;".",d_Irr!AH19=".",d_Irr!BG19&lt;&gt;"."),d_dir!J19/((1/1000)*(d_Irr!I19+d_Irr!BG19)),IF(AND(d_Irr!I19=".",d_Irr!AH19&lt;&gt;".",d_Irr!BG19&lt;&gt;"."),d_dir!J19/((1/1000)*(d_Irr!AH19+d_Irr!BG19)),IF(AND(d_Irr!I19=".",d_Irr!AH19=".",d_Irr!BG19&lt;&gt;"."),d_dir!J19/((1/1000)*(d_Irr!BG19)),IF(AND(d_Irr!I19=".",d_Irr!AH19&lt;&gt;".",d_Irr!BG19="."),d_dir!J19/((1/1000)*(d_Irr!AH19)),IF(AND(d_Irr!I19&lt;&gt;".",d_Irr!AH19=".",d_Irr!BG19="."),d_dir!J19/((1/1000)*(d_Irr!I19)),IF(AND(d_Irr!I19=".",d_Irr!AH19=".",d_Irr!BG19="."),d_dir!J19*1000)))))))),".")</f>
        <v>.</v>
      </c>
      <c r="K19" s="76" t="str">
        <f>IFERROR(IF(AND(d_Irr!J19&lt;&gt;".",d_Irr!AI19&lt;&gt;".",d_Irr!BH19&lt;&gt;"."),d_dir!K19/((1/1000)*(d_Irr!J19+d_Irr!AI19+d_Irr!BH19)),IF(AND(d_Irr!J19&lt;&gt;".",d_Irr!AI19&lt;&gt;".",d_Irr!BH19="."),d_dir!K19/((1/1000)*(d_Irr!J19+d_Irr!AI19)),IF(AND(d_Irr!J19&lt;&gt;".",d_Irr!AI19=".",d_Irr!BH19&lt;&gt;"."),d_dir!K19/((1/1000)*(d_Irr!J19+d_Irr!BH19)),IF(AND(d_Irr!J19=".",d_Irr!AI19&lt;&gt;".",d_Irr!BH19&lt;&gt;"."),d_dir!K19/((1/1000)*(d_Irr!AI19+d_Irr!BH19)),IF(AND(d_Irr!J19=".",d_Irr!AI19=".",d_Irr!BH19&lt;&gt;"."),d_dir!K19/((1/1000)*(d_Irr!BH19)),IF(AND(d_Irr!J19=".",d_Irr!AI19&lt;&gt;".",d_Irr!BH19="."),d_dir!K19/((1/1000)*(d_Irr!AI19)),IF(AND(d_Irr!J19&lt;&gt;".",d_Irr!AI19=".",d_Irr!BH19="."),d_dir!K19/((1/1000)*(d_Irr!J19)),IF(AND(d_Irr!J19=".",d_Irr!AI19=".",d_Irr!BH19="."),d_dir!K19*1000)))))))),".")</f>
        <v>.</v>
      </c>
      <c r="L19" s="76" t="str">
        <f>IFERROR(IF(AND(d_Irr!K19&lt;&gt;".",d_Irr!AJ19&lt;&gt;".",d_Irr!BI19&lt;&gt;"."),d_dir!L19/((1/1000)*(d_Irr!K19+d_Irr!AJ19+d_Irr!BI19)),IF(AND(d_Irr!K19&lt;&gt;".",d_Irr!AJ19&lt;&gt;".",d_Irr!BI19="."),d_dir!L19/((1/1000)*(d_Irr!K19+d_Irr!AJ19)),IF(AND(d_Irr!K19&lt;&gt;".",d_Irr!AJ19=".",d_Irr!BI19&lt;&gt;"."),d_dir!L19/((1/1000)*(d_Irr!K19+d_Irr!BI19)),IF(AND(d_Irr!K19=".",d_Irr!AJ19&lt;&gt;".",d_Irr!BI19&lt;&gt;"."),d_dir!L19/((1/1000)*(d_Irr!AJ19+d_Irr!BI19)),IF(AND(d_Irr!K19=".",d_Irr!AJ19=".",d_Irr!BI19&lt;&gt;"."),d_dir!L19/((1/1000)*(d_Irr!BI19)),IF(AND(d_Irr!K19=".",d_Irr!AJ19&lt;&gt;".",d_Irr!BI19="."),d_dir!L19/((1/1000)*(d_Irr!AJ19)),IF(AND(d_Irr!K19&lt;&gt;".",d_Irr!AJ19=".",d_Irr!BI19="."),d_dir!L19/((1/1000)*(d_Irr!K19)),IF(AND(d_Irr!K19=".",d_Irr!AJ19=".",d_Irr!BI19="."),d_dir!L19*1000)))))))),".")</f>
        <v>.</v>
      </c>
      <c r="M19" s="76" t="str">
        <f>IFERROR(IF(AND(d_Irr!L19&lt;&gt;".",d_Irr!AK19&lt;&gt;".",d_Irr!BJ19&lt;&gt;"."),d_dir!M19/((1/1000)*(d_Irr!L19+d_Irr!AK19+d_Irr!BJ19)),IF(AND(d_Irr!L19&lt;&gt;".",d_Irr!AK19&lt;&gt;".",d_Irr!BJ19="."),d_dir!M19/((1/1000)*(d_Irr!L19+d_Irr!AK19)),IF(AND(d_Irr!L19&lt;&gt;".",d_Irr!AK19=".",d_Irr!BJ19&lt;&gt;"."),d_dir!M19/((1/1000)*(d_Irr!L19+d_Irr!BJ19)),IF(AND(d_Irr!L19=".",d_Irr!AK19&lt;&gt;".",d_Irr!BJ19&lt;&gt;"."),d_dir!M19/((1/1000)*(d_Irr!AK19+d_Irr!BJ19)),IF(AND(d_Irr!L19=".",d_Irr!AK19=".",d_Irr!BJ19&lt;&gt;"."),d_dir!M19/((1/1000)*(d_Irr!BJ19)),IF(AND(d_Irr!L19=".",d_Irr!AK19&lt;&gt;".",d_Irr!BJ19="."),d_dir!M19/((1/1000)*(d_Irr!AK19)),IF(AND(d_Irr!L19&lt;&gt;".",d_Irr!AK19=".",d_Irr!BJ19="."),d_dir!M19/((1/1000)*(d_Irr!L19)),IF(AND(d_Irr!L19=".",d_Irr!AK19=".",d_Irr!BJ19="."),d_dir!M19*1000)))))))),".")</f>
        <v>.</v>
      </c>
      <c r="N19" s="76" t="str">
        <f>IFERROR(IF(AND(d_Irr!M19&lt;&gt;".",d_Irr!AL19&lt;&gt;".",d_Irr!BK19&lt;&gt;"."),d_dir!N19/((1/1000)*(d_Irr!M19+d_Irr!AL19+d_Irr!BK19)),IF(AND(d_Irr!M19&lt;&gt;".",d_Irr!AL19&lt;&gt;".",d_Irr!BK19="."),d_dir!N19/((1/1000)*(d_Irr!M19+d_Irr!AL19)),IF(AND(d_Irr!M19&lt;&gt;".",d_Irr!AL19=".",d_Irr!BK19&lt;&gt;"."),d_dir!N19/((1/1000)*(d_Irr!M19+d_Irr!BK19)),IF(AND(d_Irr!M19=".",d_Irr!AL19&lt;&gt;".",d_Irr!BK19&lt;&gt;"."),d_dir!N19/((1/1000)*(d_Irr!AL19+d_Irr!BK19)),IF(AND(d_Irr!M19=".",d_Irr!AL19=".",d_Irr!BK19&lt;&gt;"."),d_dir!N19/((1/1000)*(d_Irr!BK19)),IF(AND(d_Irr!M19=".",d_Irr!AL19&lt;&gt;".",d_Irr!BK19="."),d_dir!N19/((1/1000)*(d_Irr!AL19)),IF(AND(d_Irr!M19&lt;&gt;".",d_Irr!AL19=".",d_Irr!BK19="."),d_dir!N19/((1/1000)*(d_Irr!M19)),IF(AND(d_Irr!M19=".",d_Irr!AL19=".",d_Irr!BK19="."),d_dir!N19*1000)))))))),".")</f>
        <v>.</v>
      </c>
      <c r="O19" s="76" t="str">
        <f>IFERROR(IF(AND(d_Irr!N19&lt;&gt;".",d_Irr!AM19&lt;&gt;".",d_Irr!BL19&lt;&gt;"."),d_dir!O19/((1/1000)*(d_Irr!N19+d_Irr!AM19+d_Irr!BL19)),IF(AND(d_Irr!N19&lt;&gt;".",d_Irr!AM19&lt;&gt;".",d_Irr!BL19="."),d_dir!O19/((1/1000)*(d_Irr!N19+d_Irr!AM19)),IF(AND(d_Irr!N19&lt;&gt;".",d_Irr!AM19=".",d_Irr!BL19&lt;&gt;"."),d_dir!O19/((1/1000)*(d_Irr!N19+d_Irr!BL19)),IF(AND(d_Irr!N19=".",d_Irr!AM19&lt;&gt;".",d_Irr!BL19&lt;&gt;"."),d_dir!O19/((1/1000)*(d_Irr!AM19+d_Irr!BL19)),IF(AND(d_Irr!N19=".",d_Irr!AM19=".",d_Irr!BL19&lt;&gt;"."),d_dir!O19/((1/1000)*(d_Irr!BL19)),IF(AND(d_Irr!N19=".",d_Irr!AM19&lt;&gt;".",d_Irr!BL19="."),d_dir!O19/((1/1000)*(d_Irr!AM19)),IF(AND(d_Irr!N19&lt;&gt;".",d_Irr!AM19=".",d_Irr!BL19="."),d_dir!O19/((1/1000)*(d_Irr!N19)),IF(AND(d_Irr!N19=".",d_Irr!AM19=".",d_Irr!BL19="."),d_dir!O19*1000)))))))),".")</f>
        <v>.</v>
      </c>
      <c r="P19" s="76" t="str">
        <f>IFERROR(IF(AND(d_Irr!O19&lt;&gt;".",d_Irr!AN19&lt;&gt;".",d_Irr!BM19&lt;&gt;"."),d_dir!P19/((1/1000)*(d_Irr!O19+d_Irr!AN19+d_Irr!BM19)),IF(AND(d_Irr!O19&lt;&gt;".",d_Irr!AN19&lt;&gt;".",d_Irr!BM19="."),d_dir!P19/((1/1000)*(d_Irr!O19+d_Irr!AN19)),IF(AND(d_Irr!O19&lt;&gt;".",d_Irr!AN19=".",d_Irr!BM19&lt;&gt;"."),d_dir!P19/((1/1000)*(d_Irr!O19+d_Irr!BM19)),IF(AND(d_Irr!O19=".",d_Irr!AN19&lt;&gt;".",d_Irr!BM19&lt;&gt;"."),d_dir!P19/((1/1000)*(d_Irr!AN19+d_Irr!BM19)),IF(AND(d_Irr!O19=".",d_Irr!AN19=".",d_Irr!BM19&lt;&gt;"."),d_dir!P19/((1/1000)*(d_Irr!BM19)),IF(AND(d_Irr!O19=".",d_Irr!AN19&lt;&gt;".",d_Irr!BM19="."),d_dir!P19/((1/1000)*(d_Irr!AN19)),IF(AND(d_Irr!O19&lt;&gt;".",d_Irr!AN19=".",d_Irr!BM19="."),d_dir!P19/((1/1000)*(d_Irr!O19)),IF(AND(d_Irr!O19=".",d_Irr!AN19=".",d_Irr!BM19="."),d_dir!P19*1000)))))))),".")</f>
        <v>.</v>
      </c>
      <c r="Q19" s="76" t="str">
        <f>IFERROR(IF(AND(d_Irr!P19&lt;&gt;".",d_Irr!AO19&lt;&gt;".",d_Irr!BN19&lt;&gt;"."),d_dir!Q19/((1/1000)*(d_Irr!P19+d_Irr!AO19+d_Irr!BN19)),IF(AND(d_Irr!P19&lt;&gt;".",d_Irr!AO19&lt;&gt;".",d_Irr!BN19="."),d_dir!Q19/((1/1000)*(d_Irr!P19+d_Irr!AO19)),IF(AND(d_Irr!P19&lt;&gt;".",d_Irr!AO19=".",d_Irr!BN19&lt;&gt;"."),d_dir!Q19/((1/1000)*(d_Irr!P19+d_Irr!BN19)),IF(AND(d_Irr!P19=".",d_Irr!AO19&lt;&gt;".",d_Irr!BN19&lt;&gt;"."),d_dir!Q19/((1/1000)*(d_Irr!AO19+d_Irr!BN19)),IF(AND(d_Irr!P19=".",d_Irr!AO19=".",d_Irr!BN19&lt;&gt;"."),d_dir!Q19/((1/1000)*(d_Irr!BN19)),IF(AND(d_Irr!P19=".",d_Irr!AO19&lt;&gt;".",d_Irr!BN19="."),d_dir!Q19/((1/1000)*(d_Irr!AO19)),IF(AND(d_Irr!P19&lt;&gt;".",d_Irr!AO19=".",d_Irr!BN19="."),d_dir!Q19/((1/1000)*(d_Irr!P19)),IF(AND(d_Irr!P19=".",d_Irr!AO19=".",d_Irr!BN19="."),d_dir!Q19*1000)))))))),".")</f>
        <v>.</v>
      </c>
      <c r="R19" s="76" t="str">
        <f>IFERROR(IF(AND(d_Irr!Q19&lt;&gt;".",d_Irr!AP19&lt;&gt;".",d_Irr!BO19&lt;&gt;"."),d_dir!R19/((1/1000)*(d_Irr!Q19+d_Irr!AP19+d_Irr!BO19)),IF(AND(d_Irr!Q19&lt;&gt;".",d_Irr!AP19&lt;&gt;".",d_Irr!BO19="."),d_dir!R19/((1/1000)*(d_Irr!Q19+d_Irr!AP19)),IF(AND(d_Irr!Q19&lt;&gt;".",d_Irr!AP19=".",d_Irr!BO19&lt;&gt;"."),d_dir!R19/((1/1000)*(d_Irr!Q19+d_Irr!BO19)),IF(AND(d_Irr!Q19=".",d_Irr!AP19&lt;&gt;".",d_Irr!BO19&lt;&gt;"."),d_dir!R19/((1/1000)*(d_Irr!AP19+d_Irr!BO19)),IF(AND(d_Irr!Q19=".",d_Irr!AP19=".",d_Irr!BO19&lt;&gt;"."),d_dir!R19/((1/1000)*(d_Irr!BO19)),IF(AND(d_Irr!Q19=".",d_Irr!AP19&lt;&gt;".",d_Irr!BO19="."),d_dir!R19/((1/1000)*(d_Irr!AP19)),IF(AND(d_Irr!Q19&lt;&gt;".",d_Irr!AP19=".",d_Irr!BO19="."),d_dir!R19/((1/1000)*(d_Irr!Q19)),IF(AND(d_Irr!Q19=".",d_Irr!AP19=".",d_Irr!BO19="."),d_dir!R19*1000)))))))),".")</f>
        <v>.</v>
      </c>
      <c r="S19" s="76" t="str">
        <f>IFERROR(IF(AND(d_Irr!R19&lt;&gt;".",d_Irr!AQ19&lt;&gt;".",d_Irr!BP19&lt;&gt;"."),d_dir!S19/((1/1000)*(d_Irr!R19+d_Irr!AQ19+d_Irr!BP19)),IF(AND(d_Irr!R19&lt;&gt;".",d_Irr!AQ19&lt;&gt;".",d_Irr!BP19="."),d_dir!S19/((1/1000)*(d_Irr!R19+d_Irr!AQ19)),IF(AND(d_Irr!R19&lt;&gt;".",d_Irr!AQ19=".",d_Irr!BP19&lt;&gt;"."),d_dir!S19/((1/1000)*(d_Irr!R19+d_Irr!BP19)),IF(AND(d_Irr!R19=".",d_Irr!AQ19&lt;&gt;".",d_Irr!BP19&lt;&gt;"."),d_dir!S19/((1/1000)*(d_Irr!AQ19+d_Irr!BP19)),IF(AND(d_Irr!R19=".",d_Irr!AQ19=".",d_Irr!BP19&lt;&gt;"."),d_dir!S19/((1/1000)*(d_Irr!BP19)),IF(AND(d_Irr!R19=".",d_Irr!AQ19&lt;&gt;".",d_Irr!BP19="."),d_dir!S19/((1/1000)*(d_Irr!AQ19)),IF(AND(d_Irr!R19&lt;&gt;".",d_Irr!AQ19=".",d_Irr!BP19="."),d_dir!S19/((1/1000)*(d_Irr!R19)),IF(AND(d_Irr!R19=".",d_Irr!AQ19=".",d_Irr!BP19="."),d_dir!S19*1000)))))))),".")</f>
        <v>.</v>
      </c>
      <c r="T19" s="76" t="str">
        <f>IFERROR(IF(AND(d_Irr!S19&lt;&gt;".",d_Irr!AR19&lt;&gt;".",d_Irr!BQ19&lt;&gt;"."),d_dir!T19/((1/1000)*(d_Irr!S19+d_Irr!AR19+d_Irr!BQ19)),IF(AND(d_Irr!S19&lt;&gt;".",d_Irr!AR19&lt;&gt;".",d_Irr!BQ19="."),d_dir!T19/((1/1000)*(d_Irr!S19+d_Irr!AR19)),IF(AND(d_Irr!S19&lt;&gt;".",d_Irr!AR19=".",d_Irr!BQ19&lt;&gt;"."),d_dir!T19/((1/1000)*(d_Irr!S19+d_Irr!BQ19)),IF(AND(d_Irr!S19=".",d_Irr!AR19&lt;&gt;".",d_Irr!BQ19&lt;&gt;"."),d_dir!T19/((1/1000)*(d_Irr!AR19+d_Irr!BQ19)),IF(AND(d_Irr!S19=".",d_Irr!AR19=".",d_Irr!BQ19&lt;&gt;"."),d_dir!T19/((1/1000)*(d_Irr!BQ19)),IF(AND(d_Irr!S19=".",d_Irr!AR19&lt;&gt;".",d_Irr!BQ19="."),d_dir!T19/((1/1000)*(d_Irr!AR19)),IF(AND(d_Irr!S19&lt;&gt;".",d_Irr!AR19=".",d_Irr!BQ19="."),d_dir!T19/((1/1000)*(d_Irr!S19)),IF(AND(d_Irr!S19=".",d_Irr!AR19=".",d_Irr!BQ19="."),d_dir!T19*1000)))))))),".")</f>
        <v>.</v>
      </c>
      <c r="U19" s="76" t="str">
        <f>IFERROR(IF(AND(d_Irr!T19&lt;&gt;".",d_Irr!AS19&lt;&gt;".",d_Irr!BR19&lt;&gt;"."),d_dir!U19/((1/1000)*(d_Irr!T19+d_Irr!AS19+d_Irr!BR19)),IF(AND(d_Irr!T19&lt;&gt;".",d_Irr!AS19&lt;&gt;".",d_Irr!BR19="."),d_dir!U19/((1/1000)*(d_Irr!T19+d_Irr!AS19)),IF(AND(d_Irr!T19&lt;&gt;".",d_Irr!AS19=".",d_Irr!BR19&lt;&gt;"."),d_dir!U19/((1/1000)*(d_Irr!T19+d_Irr!BR19)),IF(AND(d_Irr!T19=".",d_Irr!AS19&lt;&gt;".",d_Irr!BR19&lt;&gt;"."),d_dir!U19/((1/1000)*(d_Irr!AS19+d_Irr!BR19)),IF(AND(d_Irr!T19=".",d_Irr!AS19=".",d_Irr!BR19&lt;&gt;"."),d_dir!U19/((1/1000)*(d_Irr!BR19)),IF(AND(d_Irr!T19=".",d_Irr!AS19&lt;&gt;".",d_Irr!BR19="."),d_dir!U19/((1/1000)*(d_Irr!AS19)),IF(AND(d_Irr!T19&lt;&gt;".",d_Irr!AS19=".",d_Irr!BR19="."),d_dir!U19/((1/1000)*(d_Irr!T19)),IF(AND(d_Irr!T19=".",d_Irr!AS19=".",d_Irr!BR19="."),d_dir!U19*1000)))))))),".")</f>
        <v>.</v>
      </c>
      <c r="V19" s="76" t="str">
        <f>IFERROR(IF(AND(d_Irr!U19&lt;&gt;".",d_Irr!AT19&lt;&gt;".",d_Irr!BS19&lt;&gt;"."),d_dir!V19/((1/1000)*(d_Irr!U19+d_Irr!AT19+d_Irr!BS19)),IF(AND(d_Irr!U19&lt;&gt;".",d_Irr!AT19&lt;&gt;".",d_Irr!BS19="."),d_dir!V19/((1/1000)*(d_Irr!U19+d_Irr!AT19)),IF(AND(d_Irr!U19&lt;&gt;".",d_Irr!AT19=".",d_Irr!BS19&lt;&gt;"."),d_dir!V19/((1/1000)*(d_Irr!U19+d_Irr!BS19)),IF(AND(d_Irr!U19=".",d_Irr!AT19&lt;&gt;".",d_Irr!BS19&lt;&gt;"."),d_dir!V19/((1/1000)*(d_Irr!AT19+d_Irr!BS19)),IF(AND(d_Irr!U19=".",d_Irr!AT19=".",d_Irr!BS19&lt;&gt;"."),d_dir!V19/((1/1000)*(d_Irr!BS19)),IF(AND(d_Irr!U19=".",d_Irr!AT19&lt;&gt;".",d_Irr!BS19="."),d_dir!V19/((1/1000)*(d_Irr!AT19)),IF(AND(d_Irr!U19&lt;&gt;".",d_Irr!AT19=".",d_Irr!BS19="."),d_dir!V19/((1/1000)*(d_Irr!U19)),IF(AND(d_Irr!U19=".",d_Irr!AT19=".",d_Irr!BS19="."),d_dir!V19*1000)))))))),".")</f>
        <v>.</v>
      </c>
      <c r="W19" s="76" t="str">
        <f>IFERROR(IF(AND(d_Irr!V19&lt;&gt;".",d_Irr!AU19&lt;&gt;".",d_Irr!BT19&lt;&gt;"."),d_dir!W19/((1/1000)*(d_Irr!V19+d_Irr!AU19+d_Irr!BT19)),IF(AND(d_Irr!V19&lt;&gt;".",d_Irr!AU19&lt;&gt;".",d_Irr!BT19="."),d_dir!W19/((1/1000)*(d_Irr!V19+d_Irr!AU19)),IF(AND(d_Irr!V19&lt;&gt;".",d_Irr!AU19=".",d_Irr!BT19&lt;&gt;"."),d_dir!W19/((1/1000)*(d_Irr!V19+d_Irr!BT19)),IF(AND(d_Irr!V19=".",d_Irr!AU19&lt;&gt;".",d_Irr!BT19&lt;&gt;"."),d_dir!W19/((1/1000)*(d_Irr!AU19+d_Irr!BT19)),IF(AND(d_Irr!V19=".",d_Irr!AU19=".",d_Irr!BT19&lt;&gt;"."),d_dir!W19/((1/1000)*(d_Irr!BT19)),IF(AND(d_Irr!V19=".",d_Irr!AU19&lt;&gt;".",d_Irr!BT19="."),d_dir!W19/((1/1000)*(d_Irr!AU19)),IF(AND(d_Irr!V19&lt;&gt;".",d_Irr!AU19=".",d_Irr!BT19="."),d_dir!W19/((1/1000)*(d_Irr!V19)),IF(AND(d_Irr!V19=".",d_Irr!AU19=".",d_Irr!BT19="."),d_dir!W19*1000)))))))),".")</f>
        <v>.</v>
      </c>
      <c r="X19" s="76" t="str">
        <f>IFERROR(IF(AND(d_Irr!W19&lt;&gt;".",d_Irr!AV19&lt;&gt;".",d_Irr!BU19&lt;&gt;"."),d_dir!X19/((1/1000)*(d_Irr!W19+d_Irr!AV19+d_Irr!BU19)),IF(AND(d_Irr!W19&lt;&gt;".",d_Irr!AV19&lt;&gt;".",d_Irr!BU19="."),d_dir!X19/((1/1000)*(d_Irr!W19+d_Irr!AV19)),IF(AND(d_Irr!W19&lt;&gt;".",d_Irr!AV19=".",d_Irr!BU19&lt;&gt;"."),d_dir!X19/((1/1000)*(d_Irr!W19+d_Irr!BU19)),IF(AND(d_Irr!W19=".",d_Irr!AV19&lt;&gt;".",d_Irr!BU19&lt;&gt;"."),d_dir!X19/((1/1000)*(d_Irr!AV19+d_Irr!BU19)),IF(AND(d_Irr!W19=".",d_Irr!AV19=".",d_Irr!BU19&lt;&gt;"."),d_dir!X19/((1/1000)*(d_Irr!BU19)),IF(AND(d_Irr!W19=".",d_Irr!AV19&lt;&gt;".",d_Irr!BU19="."),d_dir!X19/((1/1000)*(d_Irr!AV19)),IF(AND(d_Irr!W19&lt;&gt;".",d_Irr!AV19=".",d_Irr!BU19="."),d_dir!X19/((1/1000)*(d_Irr!W19)),IF(AND(d_Irr!W19=".",d_Irr!AV19=".",d_Irr!BU19="."),d_dir!X19*1000)))))))),".")</f>
        <v>.</v>
      </c>
      <c r="Y19" s="76" t="str">
        <f>IFERROR(IF(AND(d_Irr!X19&lt;&gt;".",d_Irr!AW19&lt;&gt;".",d_Irr!BV19&lt;&gt;"."),d_dir!Y19/((1/1000)*(d_Irr!X19+d_Irr!AW19+d_Irr!BV19)),IF(AND(d_Irr!X19&lt;&gt;".",d_Irr!AW19&lt;&gt;".",d_Irr!BV19="."),d_dir!Y19/((1/1000)*(d_Irr!X19+d_Irr!AW19)),IF(AND(d_Irr!X19&lt;&gt;".",d_Irr!AW19=".",d_Irr!BV19&lt;&gt;"."),d_dir!Y19/((1/1000)*(d_Irr!X19+d_Irr!BV19)),IF(AND(d_Irr!X19=".",d_Irr!AW19&lt;&gt;".",d_Irr!BV19&lt;&gt;"."),d_dir!Y19/((1/1000)*(d_Irr!AW19+d_Irr!BV19)),IF(AND(d_Irr!X19=".",d_Irr!AW19=".",d_Irr!BV19&lt;&gt;"."),d_dir!Y19/((1/1000)*(d_Irr!BV19)),IF(AND(d_Irr!X19=".",d_Irr!AW19&lt;&gt;".",d_Irr!BV19="."),d_dir!Y19/((1/1000)*(d_Irr!AW19)),IF(AND(d_Irr!X19&lt;&gt;".",d_Irr!AW19=".",d_Irr!BV19="."),d_dir!Y19/((1/1000)*(d_Irr!X19)),IF(AND(d_Irr!X19=".",d_Irr!AW19=".",d_Irr!BV19="."),d_dir!Y19*1000)))))))),".")</f>
        <v>.</v>
      </c>
      <c r="Z19" s="76" t="str">
        <f>IFERROR(IF(AND(d_Irr!Y19&lt;&gt;".",d_Irr!AX19&lt;&gt;".",d_Irr!BW19&lt;&gt;"."),d_dir!Z19/((1/1000)*(d_Irr!Y19+d_Irr!AX19+d_Irr!BW19)),IF(AND(d_Irr!Y19&lt;&gt;".",d_Irr!AX19&lt;&gt;".",d_Irr!BW19="."),d_dir!Z19/((1/1000)*(d_Irr!Y19+d_Irr!AX19)),IF(AND(d_Irr!Y19&lt;&gt;".",d_Irr!AX19=".",d_Irr!BW19&lt;&gt;"."),d_dir!Z19/((1/1000)*(d_Irr!Y19+d_Irr!BW19)),IF(AND(d_Irr!Y19=".",d_Irr!AX19&lt;&gt;".",d_Irr!BW19&lt;&gt;"."),d_dir!Z19/((1/1000)*(d_Irr!AX19+d_Irr!BW19)),IF(AND(d_Irr!Y19=".",d_Irr!AX19=".",d_Irr!BW19&lt;&gt;"."),d_dir!Z19/((1/1000)*(d_Irr!BW19)),IF(AND(d_Irr!Y19=".",d_Irr!AX19&lt;&gt;".",d_Irr!BW19="."),d_dir!Z19/((1/1000)*(d_Irr!AX19)),IF(AND(d_Irr!Y19&lt;&gt;".",d_Irr!AX19=".",d_Irr!BW19="."),d_dir!Z19/((1/1000)*(d_Irr!Y19)),IF(AND(d_Irr!Y19=".",d_Irr!AX19=".",d_Irr!BW19="."),d_dir!Z19*1000)))))))),".")</f>
        <v>.</v>
      </c>
      <c r="AA19" s="76" t="str">
        <f>IFERROR(IF(AND(d_Irr!Z19&lt;&gt;".",d_Irr!AY19&lt;&gt;".",d_Irr!BX19&lt;&gt;"."),d_dir!AA19/((1/1000)*(d_Irr!Z19+d_Irr!AY19+d_Irr!BX19)),IF(AND(d_Irr!Z19&lt;&gt;".",d_Irr!AY19&lt;&gt;".",d_Irr!BX19="."),d_dir!AA19/((1/1000)*(d_Irr!Z19+d_Irr!AY19)),IF(AND(d_Irr!Z19&lt;&gt;".",d_Irr!AY19=".",d_Irr!BX19&lt;&gt;"."),d_dir!AA19/((1/1000)*(d_Irr!Z19+d_Irr!BX19)),IF(AND(d_Irr!Z19=".",d_Irr!AY19&lt;&gt;".",d_Irr!BX19&lt;&gt;"."),d_dir!AA19/((1/1000)*(d_Irr!AY19+d_Irr!BX19)),IF(AND(d_Irr!Z19=".",d_Irr!AY19=".",d_Irr!BX19&lt;&gt;"."),d_dir!AA19/((1/1000)*(d_Irr!BX19)),IF(AND(d_Irr!Z19=".",d_Irr!AY19&lt;&gt;".",d_Irr!BX19="."),d_dir!AA19/((1/1000)*(d_Irr!AY19)),IF(AND(d_Irr!Z19&lt;&gt;".",d_Irr!AY19=".",d_Irr!BX19="."),d_dir!AA19/((1/1000)*(d_Irr!Z19)),IF(AND(d_Irr!Z19=".",d_Irr!AY19=".",d_Irr!BX19="."),d_dir!AA19*1000)))))))),".")</f>
        <v>.</v>
      </c>
      <c r="AB19" s="76" t="str">
        <f>IFERROR(IF(AND(d_Irr!AA19&lt;&gt;".",d_Irr!AZ19&lt;&gt;".",d_Irr!BY19&lt;&gt;"."),d_dir!AB19/((1/1000)*(d_Irr!AA19+d_Irr!AZ19+d_Irr!BY19)),IF(AND(d_Irr!AA19&lt;&gt;".",d_Irr!AZ19&lt;&gt;".",d_Irr!BY19="."),d_dir!AB19/((1/1000)*(d_Irr!AA19+d_Irr!AZ19)),IF(AND(d_Irr!AA19&lt;&gt;".",d_Irr!AZ19=".",d_Irr!BY19&lt;&gt;"."),d_dir!AB19/((1/1000)*(d_Irr!AA19+d_Irr!BY19)),IF(AND(d_Irr!AA19=".",d_Irr!AZ19&lt;&gt;".",d_Irr!BY19&lt;&gt;"."),d_dir!AB19/((1/1000)*(d_Irr!AZ19+d_Irr!BY19)),IF(AND(d_Irr!AA19=".",d_Irr!AZ19=".",d_Irr!BY19&lt;&gt;"."),d_dir!AB19/((1/1000)*(d_Irr!BY19)),IF(AND(d_Irr!AA19=".",d_Irr!AZ19&lt;&gt;".",d_Irr!BY19="."),d_dir!AB19/((1/1000)*(d_Irr!AZ19)),IF(AND(d_Irr!AA19&lt;&gt;".",d_Irr!AZ19=".",d_Irr!BY19="."),d_dir!AB19/((1/1000)*(d_Irr!AA19)),IF(AND(d_Irr!AA19=".",d_Irr!AZ19=".",d_Irr!BY19="."),d_dir!AB19*1000)))))))),".")</f>
        <v>.</v>
      </c>
      <c r="AC19" s="76" t="str">
        <f t="shared" si="0"/>
        <v>.</v>
      </c>
      <c r="AD19" s="76" t="str">
        <f>IFERROR(IF(AND(d_Irr!C19&lt;&gt;".",d_Irr!AB19&lt;&gt;".",d_Irr!BA19&lt;&gt;"."),d_dir!AD19/((1/1000)*(d_Irr!C19+d_Irr!AB19+d_Irr!BA19)),IF(AND(d_Irr!C19&lt;&gt;".",d_Irr!AB19&lt;&gt;".",d_Irr!BA19="."),d_dir!AD19/((1/1000)*(d_Irr!C19+d_Irr!AB19)),IF(AND(d_Irr!C19&lt;&gt;".",d_Irr!AB19=".",d_Irr!BA19&lt;&gt;"."),d_dir!AD19/((1/1000)*(d_Irr!C19+d_Irr!BA19)),IF(AND(d_Irr!C19=".",d_Irr!AB19&lt;&gt;".",d_Irr!BA19&lt;&gt;"."),d_dir!AD19/((1/1000)*(d_Irr!AB19+d_Irr!BA19)),IF(AND(d_Irr!C19=".",d_Irr!AB19=".",d_Irr!BA19&lt;&gt;"."),d_dir!AD19/((1/1000)*(d_Irr!BA19)),IF(AND(d_Irr!C19=".",d_Irr!AB19&lt;&gt;".",d_Irr!BA19="."),d_dir!AD19/((1/1000)*(d_Irr!AB19)),IF(AND(d_Irr!C19&lt;&gt;".",d_Irr!AB19=".",d_Irr!BA19="."),d_dir!AD19/((1/1000)*(d_Irr!C19)),IF(AND(d_Irr!C19=".",d_Irr!AB19=".",d_Irr!BA19="."),d_dir!AD19*1000)))))))),".")</f>
        <v>.</v>
      </c>
      <c r="AE19" s="76" t="str">
        <f>IFERROR(IF(AND(d_Irr!D19&lt;&gt;".",d_Irr!AC19&lt;&gt;".",d_Irr!BB19&lt;&gt;"."),d_dir!AE19/((1/1000)*(d_Irr!D19+d_Irr!AC19+d_Irr!BB19)),IF(AND(d_Irr!D19&lt;&gt;".",d_Irr!AC19&lt;&gt;".",d_Irr!BB19="."),d_dir!AE19/((1/1000)*(d_Irr!D19+d_Irr!AC19)),IF(AND(d_Irr!D19&lt;&gt;".",d_Irr!AC19=".",d_Irr!BB19&lt;&gt;"."),d_dir!AE19/((1/1000)*(d_Irr!D19+d_Irr!BB19)),IF(AND(d_Irr!D19=".",d_Irr!AC19&lt;&gt;".",d_Irr!BB19&lt;&gt;"."),d_dir!AE19/((1/1000)*(d_Irr!AC19+d_Irr!BB19)),IF(AND(d_Irr!D19=".",d_Irr!AC19=".",d_Irr!BB19&lt;&gt;"."),d_dir!AE19/((1/1000)*(d_Irr!BB19)),IF(AND(d_Irr!D19=".",d_Irr!AC19&lt;&gt;".",d_Irr!BB19="."),d_dir!AE19/((1/1000)*(d_Irr!AC19)),IF(AND(d_Irr!D19&lt;&gt;".",d_Irr!AC19=".",d_Irr!BB19="."),d_dir!AE19/((1/1000)*(d_Irr!D19)),IF(AND(d_Irr!D19=".",d_Irr!AC19=".",d_Irr!BB19="."),d_dir!AE19*1000)))))))),".")</f>
        <v>.</v>
      </c>
      <c r="AF19" s="76" t="str">
        <f>IFERROR(IF(AND(d_Irr!E19&lt;&gt;".",d_Irr!AD19&lt;&gt;".",d_Irr!BC19&lt;&gt;"."),d_dir!AF19/((1/1000)*(d_Irr!E19+d_Irr!AD19+d_Irr!BC19)),IF(AND(d_Irr!E19&lt;&gt;".",d_Irr!AD19&lt;&gt;".",d_Irr!BC19="."),d_dir!AF19/((1/1000)*(d_Irr!E19+d_Irr!AD19)),IF(AND(d_Irr!E19&lt;&gt;".",d_Irr!AD19=".",d_Irr!BC19&lt;&gt;"."),d_dir!AF19/((1/1000)*(d_Irr!E19+d_Irr!BC19)),IF(AND(d_Irr!E19=".",d_Irr!AD19&lt;&gt;".",d_Irr!BC19&lt;&gt;"."),d_dir!AF19/((1/1000)*(d_Irr!AD19+d_Irr!BC19)),IF(AND(d_Irr!E19=".",d_Irr!AD19=".",d_Irr!BC19&lt;&gt;"."),d_dir!AF19/((1/1000)*(d_Irr!BC19)),IF(AND(d_Irr!E19=".",d_Irr!AD19&lt;&gt;".",d_Irr!BC19="."),d_dir!AF19/((1/1000)*(d_Irr!AD19)),IF(AND(d_Irr!E19&lt;&gt;".",d_Irr!AD19=".",d_Irr!BC19="."),d_dir!AF19/((1/1000)*(d_Irr!E19)),IF(AND(d_Irr!E19=".",d_Irr!AD19=".",d_Irr!BC19="."),d_dir!AF19*1000)))))))),".")</f>
        <v>.</v>
      </c>
      <c r="AG19" s="76" t="str">
        <f>IFERROR(IF(AND(d_Irr!F19&lt;&gt;".",d_Irr!AE19&lt;&gt;".",d_Irr!BD19&lt;&gt;"."),d_dir!AG19/((1/1000)*(d_Irr!F19+d_Irr!AE19+d_Irr!BD19)),IF(AND(d_Irr!F19&lt;&gt;".",d_Irr!AE19&lt;&gt;".",d_Irr!BD19="."),d_dir!AG19/((1/1000)*(d_Irr!F19+d_Irr!AE19)),IF(AND(d_Irr!F19&lt;&gt;".",d_Irr!AE19=".",d_Irr!BD19&lt;&gt;"."),d_dir!AG19/((1/1000)*(d_Irr!F19+d_Irr!BD19)),IF(AND(d_Irr!F19=".",d_Irr!AE19&lt;&gt;".",d_Irr!BD19&lt;&gt;"."),d_dir!AG19/((1/1000)*(d_Irr!AE19+d_Irr!BD19)),IF(AND(d_Irr!F19=".",d_Irr!AE19=".",d_Irr!BD19&lt;&gt;"."),d_dir!AG19/((1/1000)*(d_Irr!BD19)),IF(AND(d_Irr!F19=".",d_Irr!AE19&lt;&gt;".",d_Irr!BD19="."),d_dir!AG19/((1/1000)*(d_Irr!AE19)),IF(AND(d_Irr!F19&lt;&gt;".",d_Irr!AE19=".",d_Irr!BD19="."),d_dir!AG19/((1/1000)*(d_Irr!F19)),IF(AND(d_Irr!F19=".",d_Irr!AE19=".",d_Irr!BD19="."),d_dir!AG19*1000)))))))),".")</f>
        <v>.</v>
      </c>
      <c r="AH19" s="76" t="str">
        <f>IFERROR(IF(AND(d_Irr!G19&lt;&gt;".",d_Irr!AF19&lt;&gt;".",d_Irr!BE19&lt;&gt;"."),d_dir!AH19/((1/1000)*(d_Irr!G19+d_Irr!AF19+d_Irr!BE19)),IF(AND(d_Irr!G19&lt;&gt;".",d_Irr!AF19&lt;&gt;".",d_Irr!BE19="."),d_dir!AH19/((1/1000)*(d_Irr!G19+d_Irr!AF19)),IF(AND(d_Irr!G19&lt;&gt;".",d_Irr!AF19=".",d_Irr!BE19&lt;&gt;"."),d_dir!AH19/((1/1000)*(d_Irr!G19+d_Irr!BE19)),IF(AND(d_Irr!G19=".",d_Irr!AF19&lt;&gt;".",d_Irr!BE19&lt;&gt;"."),d_dir!AH19/((1/1000)*(d_Irr!AF19+d_Irr!BE19)),IF(AND(d_Irr!G19=".",d_Irr!AF19=".",d_Irr!BE19&lt;&gt;"."),d_dir!AH19/((1/1000)*(d_Irr!BE19)),IF(AND(d_Irr!G19=".",d_Irr!AF19&lt;&gt;".",d_Irr!BE19="."),d_dir!AH19/((1/1000)*(d_Irr!AF19)),IF(AND(d_Irr!G19&lt;&gt;".",d_Irr!AF19=".",d_Irr!BE19="."),d_dir!AH19/((1/1000)*(d_Irr!G19)),IF(AND(d_Irr!G19=".",d_Irr!AF19=".",d_Irr!BE19="."),d_dir!AH19*1000)))))))),".")</f>
        <v>.</v>
      </c>
      <c r="AI19" s="76" t="str">
        <f>IFERROR(IF(AND(d_Irr!H19&lt;&gt;".",d_Irr!AG19&lt;&gt;".",d_Irr!BF19&lt;&gt;"."),d_dir!AI19/((1/1000)*(d_Irr!H19+d_Irr!AG19+d_Irr!BF19)),IF(AND(d_Irr!H19&lt;&gt;".",d_Irr!AG19&lt;&gt;".",d_Irr!BF19="."),d_dir!AI19/((1/1000)*(d_Irr!H19+d_Irr!AG19)),IF(AND(d_Irr!H19&lt;&gt;".",d_Irr!AG19=".",d_Irr!BF19&lt;&gt;"."),d_dir!AI19/((1/1000)*(d_Irr!H19+d_Irr!BF19)),IF(AND(d_Irr!H19=".",d_Irr!AG19&lt;&gt;".",d_Irr!BF19&lt;&gt;"."),d_dir!AI19/((1/1000)*(d_Irr!AG19+d_Irr!BF19)),IF(AND(d_Irr!H19=".",d_Irr!AG19=".",d_Irr!BF19&lt;&gt;"."),d_dir!AI19/((1/1000)*(d_Irr!BF19)),IF(AND(d_Irr!H19=".",d_Irr!AG19&lt;&gt;".",d_Irr!BF19="."),d_dir!AI19/((1/1000)*(d_Irr!AG19)),IF(AND(d_Irr!H19&lt;&gt;".",d_Irr!AG19=".",d_Irr!BF19="."),d_dir!AI19/((1/1000)*(d_Irr!H19)),IF(AND(d_Irr!H19=".",d_Irr!AG19=".",d_Irr!BF19="."),d_dir!AI19*1000)))))))),".")</f>
        <v>.</v>
      </c>
      <c r="AJ19" s="76" t="str">
        <f>IFERROR(IF(AND(d_Irr!I19&lt;&gt;".",d_Irr!AH19&lt;&gt;".",d_Irr!BG19&lt;&gt;"."),d_dir!AJ19/((1/1000)*(d_Irr!I19+d_Irr!AH19+d_Irr!BG19)),IF(AND(d_Irr!I19&lt;&gt;".",d_Irr!AH19&lt;&gt;".",d_Irr!BG19="."),d_dir!AJ19/((1/1000)*(d_Irr!I19+d_Irr!AH19)),IF(AND(d_Irr!I19&lt;&gt;".",d_Irr!AH19=".",d_Irr!BG19&lt;&gt;"."),d_dir!AJ19/((1/1000)*(d_Irr!I19+d_Irr!BG19)),IF(AND(d_Irr!I19=".",d_Irr!AH19&lt;&gt;".",d_Irr!BG19&lt;&gt;"."),d_dir!AJ19/((1/1000)*(d_Irr!AH19+d_Irr!BG19)),IF(AND(d_Irr!I19=".",d_Irr!AH19=".",d_Irr!BG19&lt;&gt;"."),d_dir!AJ19/((1/1000)*(d_Irr!BG19)),IF(AND(d_Irr!I19=".",d_Irr!AH19&lt;&gt;".",d_Irr!BG19="."),d_dir!AJ19/((1/1000)*(d_Irr!AH19)),IF(AND(d_Irr!I19&lt;&gt;".",d_Irr!AH19=".",d_Irr!BG19="."),d_dir!AJ19/((1/1000)*(d_Irr!I19)),IF(AND(d_Irr!I19=".",d_Irr!AH19=".",d_Irr!BG19="."),d_dir!AJ19*1000)))))))),".")</f>
        <v>.</v>
      </c>
      <c r="AK19" s="76" t="str">
        <f>IFERROR(IF(AND(d_Irr!J19&lt;&gt;".",d_Irr!AI19&lt;&gt;".",d_Irr!BH19&lt;&gt;"."),d_dir!AK19/((1/1000)*(d_Irr!J19+d_Irr!AI19+d_Irr!BH19)),IF(AND(d_Irr!J19&lt;&gt;".",d_Irr!AI19&lt;&gt;".",d_Irr!BH19="."),d_dir!AK19/((1/1000)*(d_Irr!J19+d_Irr!AI19)),IF(AND(d_Irr!J19&lt;&gt;".",d_Irr!AI19=".",d_Irr!BH19&lt;&gt;"."),d_dir!AK19/((1/1000)*(d_Irr!J19+d_Irr!BH19)),IF(AND(d_Irr!J19=".",d_Irr!AI19&lt;&gt;".",d_Irr!BH19&lt;&gt;"."),d_dir!AK19/((1/1000)*(d_Irr!AI19+d_Irr!BH19)),IF(AND(d_Irr!J19=".",d_Irr!AI19=".",d_Irr!BH19&lt;&gt;"."),d_dir!AK19/((1/1000)*(d_Irr!BH19)),IF(AND(d_Irr!J19=".",d_Irr!AI19&lt;&gt;".",d_Irr!BH19="."),d_dir!AK19/((1/1000)*(d_Irr!AI19)),IF(AND(d_Irr!J19&lt;&gt;".",d_Irr!AI19=".",d_Irr!BH19="."),d_dir!AK19/((1/1000)*(d_Irr!J19)),IF(AND(d_Irr!J19=".",d_Irr!AI19=".",d_Irr!BH19="."),d_dir!AK19*1000)))))))),".")</f>
        <v>.</v>
      </c>
      <c r="AL19" s="76" t="str">
        <f>IFERROR(IF(AND(d_Irr!K19&lt;&gt;".",d_Irr!AJ19&lt;&gt;".",d_Irr!BI19&lt;&gt;"."),d_dir!AL19/((1/1000)*(d_Irr!K19+d_Irr!AJ19+d_Irr!BI19)),IF(AND(d_Irr!K19&lt;&gt;".",d_Irr!AJ19&lt;&gt;".",d_Irr!BI19="."),d_dir!AL19/((1/1000)*(d_Irr!K19+d_Irr!AJ19)),IF(AND(d_Irr!K19&lt;&gt;".",d_Irr!AJ19=".",d_Irr!BI19&lt;&gt;"."),d_dir!AL19/((1/1000)*(d_Irr!K19+d_Irr!BI19)),IF(AND(d_Irr!K19=".",d_Irr!AJ19&lt;&gt;".",d_Irr!BI19&lt;&gt;"."),d_dir!AL19/((1/1000)*(d_Irr!AJ19+d_Irr!BI19)),IF(AND(d_Irr!K19=".",d_Irr!AJ19=".",d_Irr!BI19&lt;&gt;"."),d_dir!AL19/((1/1000)*(d_Irr!BI19)),IF(AND(d_Irr!K19=".",d_Irr!AJ19&lt;&gt;".",d_Irr!BI19="."),d_dir!AL19/((1/1000)*(d_Irr!AJ19)),IF(AND(d_Irr!K19&lt;&gt;".",d_Irr!AJ19=".",d_Irr!BI19="."),d_dir!AL19/((1/1000)*(d_Irr!K19)),IF(AND(d_Irr!K19=".",d_Irr!AJ19=".",d_Irr!BI19="."),d_dir!AL19*1000)))))))),".")</f>
        <v>.</v>
      </c>
      <c r="AM19" s="76" t="str">
        <f>IFERROR(IF(AND(d_Irr!L19&lt;&gt;".",d_Irr!AK19&lt;&gt;".",d_Irr!BJ19&lt;&gt;"."),d_dir!AM19/((1/1000)*(d_Irr!L19+d_Irr!AK19+d_Irr!BJ19)),IF(AND(d_Irr!L19&lt;&gt;".",d_Irr!AK19&lt;&gt;".",d_Irr!BJ19="."),d_dir!AM19/((1/1000)*(d_Irr!L19+d_Irr!AK19)),IF(AND(d_Irr!L19&lt;&gt;".",d_Irr!AK19=".",d_Irr!BJ19&lt;&gt;"."),d_dir!AM19/((1/1000)*(d_Irr!L19+d_Irr!BJ19)),IF(AND(d_Irr!L19=".",d_Irr!AK19&lt;&gt;".",d_Irr!BJ19&lt;&gt;"."),d_dir!AM19/((1/1000)*(d_Irr!AK19+d_Irr!BJ19)),IF(AND(d_Irr!L19=".",d_Irr!AK19=".",d_Irr!BJ19&lt;&gt;"."),d_dir!AM19/((1/1000)*(d_Irr!BJ19)),IF(AND(d_Irr!L19=".",d_Irr!AK19&lt;&gt;".",d_Irr!BJ19="."),d_dir!AM19/((1/1000)*(d_Irr!AK19)),IF(AND(d_Irr!L19&lt;&gt;".",d_Irr!AK19=".",d_Irr!BJ19="."),d_dir!AM19/((1/1000)*(d_Irr!L19)),IF(AND(d_Irr!L19=".",d_Irr!AK19=".",d_Irr!BJ19="."),d_dir!AM19*1000)))))))),".")</f>
        <v>.</v>
      </c>
      <c r="AN19" s="76" t="str">
        <f>IFERROR(IF(AND(d_Irr!M19&lt;&gt;".",d_Irr!AL19&lt;&gt;".",d_Irr!BK19&lt;&gt;"."),d_dir!AN19/((1/1000)*(d_Irr!M19+d_Irr!AL19+d_Irr!BK19)),IF(AND(d_Irr!M19&lt;&gt;".",d_Irr!AL19&lt;&gt;".",d_Irr!BK19="."),d_dir!AN19/((1/1000)*(d_Irr!M19+d_Irr!AL19)),IF(AND(d_Irr!M19&lt;&gt;".",d_Irr!AL19=".",d_Irr!BK19&lt;&gt;"."),d_dir!AN19/((1/1000)*(d_Irr!M19+d_Irr!BK19)),IF(AND(d_Irr!M19=".",d_Irr!AL19&lt;&gt;".",d_Irr!BK19&lt;&gt;"."),d_dir!AN19/((1/1000)*(d_Irr!AL19+d_Irr!BK19)),IF(AND(d_Irr!M19=".",d_Irr!AL19=".",d_Irr!BK19&lt;&gt;"."),d_dir!AN19/((1/1000)*(d_Irr!BK19)),IF(AND(d_Irr!M19=".",d_Irr!AL19&lt;&gt;".",d_Irr!BK19="."),d_dir!AN19/((1/1000)*(d_Irr!AL19)),IF(AND(d_Irr!M19&lt;&gt;".",d_Irr!AL19=".",d_Irr!BK19="."),d_dir!AN19/((1/1000)*(d_Irr!M19)),IF(AND(d_Irr!M19=".",d_Irr!AL19=".",d_Irr!BK19="."),d_dir!AN19*1000)))))))),".")</f>
        <v>.</v>
      </c>
      <c r="AO19" s="76" t="str">
        <f>IFERROR(IF(AND(d_Irr!N19&lt;&gt;".",d_Irr!AM19&lt;&gt;".",d_Irr!BL19&lt;&gt;"."),d_dir!AO19/((1/1000)*(d_Irr!N19+d_Irr!AM19+d_Irr!BL19)),IF(AND(d_Irr!N19&lt;&gt;".",d_Irr!AM19&lt;&gt;".",d_Irr!BL19="."),d_dir!AO19/((1/1000)*(d_Irr!N19+d_Irr!AM19)),IF(AND(d_Irr!N19&lt;&gt;".",d_Irr!AM19=".",d_Irr!BL19&lt;&gt;"."),d_dir!AO19/((1/1000)*(d_Irr!N19+d_Irr!BL19)),IF(AND(d_Irr!N19=".",d_Irr!AM19&lt;&gt;".",d_Irr!BL19&lt;&gt;"."),d_dir!AO19/((1/1000)*(d_Irr!AM19+d_Irr!BL19)),IF(AND(d_Irr!N19=".",d_Irr!AM19=".",d_Irr!BL19&lt;&gt;"."),d_dir!AO19/((1/1000)*(d_Irr!BL19)),IF(AND(d_Irr!N19=".",d_Irr!AM19&lt;&gt;".",d_Irr!BL19="."),d_dir!AO19/((1/1000)*(d_Irr!AM19)),IF(AND(d_Irr!N19&lt;&gt;".",d_Irr!AM19=".",d_Irr!BL19="."),d_dir!AO19/((1/1000)*(d_Irr!N19)),IF(AND(d_Irr!N19=".",d_Irr!AM19=".",d_Irr!BL19="."),d_dir!AO19*1000)))))))),".")</f>
        <v>.</v>
      </c>
      <c r="AP19" s="76" t="str">
        <f>IFERROR(IF(AND(d_Irr!O19&lt;&gt;".",d_Irr!AN19&lt;&gt;".",d_Irr!BM19&lt;&gt;"."),d_dir!AP19/((1/1000)*(d_Irr!O19+d_Irr!AN19+d_Irr!BM19)),IF(AND(d_Irr!O19&lt;&gt;".",d_Irr!AN19&lt;&gt;".",d_Irr!BM19="."),d_dir!AP19/((1/1000)*(d_Irr!O19+d_Irr!AN19)),IF(AND(d_Irr!O19&lt;&gt;".",d_Irr!AN19=".",d_Irr!BM19&lt;&gt;"."),d_dir!AP19/((1/1000)*(d_Irr!O19+d_Irr!BM19)),IF(AND(d_Irr!O19=".",d_Irr!AN19&lt;&gt;".",d_Irr!BM19&lt;&gt;"."),d_dir!AP19/((1/1000)*(d_Irr!AN19+d_Irr!BM19)),IF(AND(d_Irr!O19=".",d_Irr!AN19=".",d_Irr!BM19&lt;&gt;"."),d_dir!AP19/((1/1000)*(d_Irr!BM19)),IF(AND(d_Irr!O19=".",d_Irr!AN19&lt;&gt;".",d_Irr!BM19="."),d_dir!AP19/((1/1000)*(d_Irr!AN19)),IF(AND(d_Irr!O19&lt;&gt;".",d_Irr!AN19=".",d_Irr!BM19="."),d_dir!AP19/((1/1000)*(d_Irr!O19)),IF(AND(d_Irr!O19=".",d_Irr!AN19=".",d_Irr!BM19="."),d_dir!AP19*1000)))))))),".")</f>
        <v>.</v>
      </c>
      <c r="AQ19" s="76" t="str">
        <f>IFERROR(IF(AND(d_Irr!P19&lt;&gt;".",d_Irr!AO19&lt;&gt;".",d_Irr!BN19&lt;&gt;"."),d_dir!AQ19/((1/1000)*(d_Irr!P19+d_Irr!AO19+d_Irr!BN19)),IF(AND(d_Irr!P19&lt;&gt;".",d_Irr!AO19&lt;&gt;".",d_Irr!BN19="."),d_dir!AQ19/((1/1000)*(d_Irr!P19+d_Irr!AO19)),IF(AND(d_Irr!P19&lt;&gt;".",d_Irr!AO19=".",d_Irr!BN19&lt;&gt;"."),d_dir!AQ19/((1/1000)*(d_Irr!P19+d_Irr!BN19)),IF(AND(d_Irr!P19=".",d_Irr!AO19&lt;&gt;".",d_Irr!BN19&lt;&gt;"."),d_dir!AQ19/((1/1000)*(d_Irr!AO19+d_Irr!BN19)),IF(AND(d_Irr!P19=".",d_Irr!AO19=".",d_Irr!BN19&lt;&gt;"."),d_dir!AQ19/((1/1000)*(d_Irr!BN19)),IF(AND(d_Irr!P19=".",d_Irr!AO19&lt;&gt;".",d_Irr!BN19="."),d_dir!AQ19/((1/1000)*(d_Irr!AO19)),IF(AND(d_Irr!P19&lt;&gt;".",d_Irr!AO19=".",d_Irr!BN19="."),d_dir!AQ19/((1/1000)*(d_Irr!P19)),IF(AND(d_Irr!P19=".",d_Irr!AO19=".",d_Irr!BN19="."),d_dir!AQ19*1000)))))))),".")</f>
        <v>.</v>
      </c>
      <c r="AR19" s="76" t="str">
        <f>IFERROR(IF(AND(d_Irr!Q19&lt;&gt;".",d_Irr!AP19&lt;&gt;".",d_Irr!BO19&lt;&gt;"."),d_dir!AR19/((1/1000)*(d_Irr!Q19+d_Irr!AP19+d_Irr!BO19)),IF(AND(d_Irr!Q19&lt;&gt;".",d_Irr!AP19&lt;&gt;".",d_Irr!BO19="."),d_dir!AR19/((1/1000)*(d_Irr!Q19+d_Irr!AP19)),IF(AND(d_Irr!Q19&lt;&gt;".",d_Irr!AP19=".",d_Irr!BO19&lt;&gt;"."),d_dir!AR19/((1/1000)*(d_Irr!Q19+d_Irr!BO19)),IF(AND(d_Irr!Q19=".",d_Irr!AP19&lt;&gt;".",d_Irr!BO19&lt;&gt;"."),d_dir!AR19/((1/1000)*(d_Irr!AP19+d_Irr!BO19)),IF(AND(d_Irr!Q19=".",d_Irr!AP19=".",d_Irr!BO19&lt;&gt;"."),d_dir!AR19/((1/1000)*(d_Irr!BO19)),IF(AND(d_Irr!Q19=".",d_Irr!AP19&lt;&gt;".",d_Irr!BO19="."),d_dir!AR19/((1/1000)*(d_Irr!AP19)),IF(AND(d_Irr!Q19&lt;&gt;".",d_Irr!AP19=".",d_Irr!BO19="."),d_dir!AR19/((1/1000)*(d_Irr!Q19)),IF(AND(d_Irr!Q19=".",d_Irr!AP19=".",d_Irr!BO19="."),d_dir!AR19*1000)))))))),".")</f>
        <v>.</v>
      </c>
      <c r="AS19" s="76" t="str">
        <f>IFERROR(IF(AND(d_Irr!R19&lt;&gt;".",d_Irr!AQ19&lt;&gt;".",d_Irr!BP19&lt;&gt;"."),d_dir!AS19/((1/1000)*(d_Irr!R19+d_Irr!AQ19+d_Irr!BP19)),IF(AND(d_Irr!R19&lt;&gt;".",d_Irr!AQ19&lt;&gt;".",d_Irr!BP19="."),d_dir!AS19/((1/1000)*(d_Irr!R19+d_Irr!AQ19)),IF(AND(d_Irr!R19&lt;&gt;".",d_Irr!AQ19=".",d_Irr!BP19&lt;&gt;"."),d_dir!AS19/((1/1000)*(d_Irr!R19+d_Irr!BP19)),IF(AND(d_Irr!R19=".",d_Irr!AQ19&lt;&gt;".",d_Irr!BP19&lt;&gt;"."),d_dir!AS19/((1/1000)*(d_Irr!AQ19+d_Irr!BP19)),IF(AND(d_Irr!R19=".",d_Irr!AQ19=".",d_Irr!BP19&lt;&gt;"."),d_dir!AS19/((1/1000)*(d_Irr!BP19)),IF(AND(d_Irr!R19=".",d_Irr!AQ19&lt;&gt;".",d_Irr!BP19="."),d_dir!AS19/((1/1000)*(d_Irr!AQ19)),IF(AND(d_Irr!R19&lt;&gt;".",d_Irr!AQ19=".",d_Irr!BP19="."),d_dir!AS19/((1/1000)*(d_Irr!R19)),IF(AND(d_Irr!R19=".",d_Irr!AQ19=".",d_Irr!BP19="."),d_dir!AS19*1000)))))))),".")</f>
        <v>.</v>
      </c>
      <c r="AT19" s="76" t="str">
        <f>IFERROR(IF(AND(d_Irr!S19&lt;&gt;".",d_Irr!AR19&lt;&gt;".",d_Irr!BQ19&lt;&gt;"."),d_dir!AT19/((1/1000)*(d_Irr!S19+d_Irr!AR19+d_Irr!BQ19)),IF(AND(d_Irr!S19&lt;&gt;".",d_Irr!AR19&lt;&gt;".",d_Irr!BQ19="."),d_dir!AT19/((1/1000)*(d_Irr!S19+d_Irr!AR19)),IF(AND(d_Irr!S19&lt;&gt;".",d_Irr!AR19=".",d_Irr!BQ19&lt;&gt;"."),d_dir!AT19/((1/1000)*(d_Irr!S19+d_Irr!BQ19)),IF(AND(d_Irr!S19=".",d_Irr!AR19&lt;&gt;".",d_Irr!BQ19&lt;&gt;"."),d_dir!AT19/((1/1000)*(d_Irr!AR19+d_Irr!BQ19)),IF(AND(d_Irr!S19=".",d_Irr!AR19=".",d_Irr!BQ19&lt;&gt;"."),d_dir!AT19/((1/1000)*(d_Irr!BQ19)),IF(AND(d_Irr!S19=".",d_Irr!AR19&lt;&gt;".",d_Irr!BQ19="."),d_dir!AT19/((1/1000)*(d_Irr!AR19)),IF(AND(d_Irr!S19&lt;&gt;".",d_Irr!AR19=".",d_Irr!BQ19="."),d_dir!AT19/((1/1000)*(d_Irr!S19)),IF(AND(d_Irr!S19=".",d_Irr!AR19=".",d_Irr!BQ19="."),d_dir!AT19*1000)))))))),".")</f>
        <v>.</v>
      </c>
      <c r="AU19" s="76" t="str">
        <f>IFERROR(IF(AND(d_Irr!T19&lt;&gt;".",d_Irr!AS19&lt;&gt;".",d_Irr!BR19&lt;&gt;"."),d_dir!AU19/((1/1000)*(d_Irr!T19+d_Irr!AS19+d_Irr!BR19)),IF(AND(d_Irr!T19&lt;&gt;".",d_Irr!AS19&lt;&gt;".",d_Irr!BR19="."),d_dir!AU19/((1/1000)*(d_Irr!T19+d_Irr!AS19)),IF(AND(d_Irr!T19&lt;&gt;".",d_Irr!AS19=".",d_Irr!BR19&lt;&gt;"."),d_dir!AU19/((1/1000)*(d_Irr!T19+d_Irr!BR19)),IF(AND(d_Irr!T19=".",d_Irr!AS19&lt;&gt;".",d_Irr!BR19&lt;&gt;"."),d_dir!AU19/((1/1000)*(d_Irr!AS19+d_Irr!BR19)),IF(AND(d_Irr!T19=".",d_Irr!AS19=".",d_Irr!BR19&lt;&gt;"."),d_dir!AU19/((1/1000)*(d_Irr!BR19)),IF(AND(d_Irr!T19=".",d_Irr!AS19&lt;&gt;".",d_Irr!BR19="."),d_dir!AU19/((1/1000)*(d_Irr!AS19)),IF(AND(d_Irr!T19&lt;&gt;".",d_Irr!AS19=".",d_Irr!BR19="."),d_dir!AU19/((1/1000)*(d_Irr!T19)),IF(AND(d_Irr!T19=".",d_Irr!AS19=".",d_Irr!BR19="."),d_dir!AU19*1000)))))))),".")</f>
        <v>.</v>
      </c>
      <c r="AV19" s="76" t="str">
        <f>IFERROR(IF(AND(d_Irr!U19&lt;&gt;".",d_Irr!AT19&lt;&gt;".",d_Irr!BS19&lt;&gt;"."),d_dir!AV19/((1/1000)*(d_Irr!U19+d_Irr!AT19+d_Irr!BS19)),IF(AND(d_Irr!U19&lt;&gt;".",d_Irr!AT19&lt;&gt;".",d_Irr!BS19="."),d_dir!AV19/((1/1000)*(d_Irr!U19+d_Irr!AT19)),IF(AND(d_Irr!U19&lt;&gt;".",d_Irr!AT19=".",d_Irr!BS19&lt;&gt;"."),d_dir!AV19/((1/1000)*(d_Irr!U19+d_Irr!BS19)),IF(AND(d_Irr!U19=".",d_Irr!AT19&lt;&gt;".",d_Irr!BS19&lt;&gt;"."),d_dir!AV19/((1/1000)*(d_Irr!AT19+d_Irr!BS19)),IF(AND(d_Irr!U19=".",d_Irr!AT19=".",d_Irr!BS19&lt;&gt;"."),d_dir!AV19/((1/1000)*(d_Irr!BS19)),IF(AND(d_Irr!U19=".",d_Irr!AT19&lt;&gt;".",d_Irr!BS19="."),d_dir!AV19/((1/1000)*(d_Irr!AT19)),IF(AND(d_Irr!U19&lt;&gt;".",d_Irr!AT19=".",d_Irr!BS19="."),d_dir!AV19/((1/1000)*(d_Irr!U19)),IF(AND(d_Irr!U19=".",d_Irr!AT19=".",d_Irr!BS19="."),d_dir!AV19*1000)))))))),".")</f>
        <v>.</v>
      </c>
      <c r="AW19" s="76" t="str">
        <f>IFERROR(IF(AND(d_Irr!V19&lt;&gt;".",d_Irr!AU19&lt;&gt;".",d_Irr!BT19&lt;&gt;"."),d_dir!AW19/((1/1000)*(d_Irr!V19+d_Irr!AU19+d_Irr!BT19)),IF(AND(d_Irr!V19&lt;&gt;".",d_Irr!AU19&lt;&gt;".",d_Irr!BT19="."),d_dir!AW19/((1/1000)*(d_Irr!V19+d_Irr!AU19)),IF(AND(d_Irr!V19&lt;&gt;".",d_Irr!AU19=".",d_Irr!BT19&lt;&gt;"."),d_dir!AW19/((1/1000)*(d_Irr!V19+d_Irr!BT19)),IF(AND(d_Irr!V19=".",d_Irr!AU19&lt;&gt;".",d_Irr!BT19&lt;&gt;"."),d_dir!AW19/((1/1000)*(d_Irr!AU19+d_Irr!BT19)),IF(AND(d_Irr!V19=".",d_Irr!AU19=".",d_Irr!BT19&lt;&gt;"."),d_dir!AW19/((1/1000)*(d_Irr!BT19)),IF(AND(d_Irr!V19=".",d_Irr!AU19&lt;&gt;".",d_Irr!BT19="."),d_dir!AW19/((1/1000)*(d_Irr!AU19)),IF(AND(d_Irr!V19&lt;&gt;".",d_Irr!AU19=".",d_Irr!BT19="."),d_dir!AW19/((1/1000)*(d_Irr!V19)),IF(AND(d_Irr!V19=".",d_Irr!AU19=".",d_Irr!BT19="."),d_dir!AW19*1000)))))))),".")</f>
        <v>.</v>
      </c>
      <c r="AX19" s="76" t="str">
        <f>IFERROR(IF(AND(d_Irr!W19&lt;&gt;".",d_Irr!AV19&lt;&gt;".",d_Irr!BU19&lt;&gt;"."),d_dir!AX19/((1/1000)*(d_Irr!W19+d_Irr!AV19+d_Irr!BU19)),IF(AND(d_Irr!W19&lt;&gt;".",d_Irr!AV19&lt;&gt;".",d_Irr!BU19="."),d_dir!AX19/((1/1000)*(d_Irr!W19+d_Irr!AV19)),IF(AND(d_Irr!W19&lt;&gt;".",d_Irr!AV19=".",d_Irr!BU19&lt;&gt;"."),d_dir!AX19/((1/1000)*(d_Irr!W19+d_Irr!BU19)),IF(AND(d_Irr!W19=".",d_Irr!AV19&lt;&gt;".",d_Irr!BU19&lt;&gt;"."),d_dir!AX19/((1/1000)*(d_Irr!AV19+d_Irr!BU19)),IF(AND(d_Irr!W19=".",d_Irr!AV19=".",d_Irr!BU19&lt;&gt;"."),d_dir!AX19/((1/1000)*(d_Irr!BU19)),IF(AND(d_Irr!W19=".",d_Irr!AV19&lt;&gt;".",d_Irr!BU19="."),d_dir!AX19/((1/1000)*(d_Irr!AV19)),IF(AND(d_Irr!W19&lt;&gt;".",d_Irr!AV19=".",d_Irr!BU19="."),d_dir!AX19/((1/1000)*(d_Irr!W19)),IF(AND(d_Irr!W19=".",d_Irr!AV19=".",d_Irr!BU19="."),d_dir!AX19*1000)))))))),".")</f>
        <v>.</v>
      </c>
      <c r="AY19" s="76" t="str">
        <f>IFERROR(IF(AND(d_Irr!X19&lt;&gt;".",d_Irr!AW19&lt;&gt;".",d_Irr!BV19&lt;&gt;"."),d_dir!AY19/((1/1000)*(d_Irr!X19+d_Irr!AW19+d_Irr!BV19)),IF(AND(d_Irr!X19&lt;&gt;".",d_Irr!AW19&lt;&gt;".",d_Irr!BV19="."),d_dir!AY19/((1/1000)*(d_Irr!X19+d_Irr!AW19)),IF(AND(d_Irr!X19&lt;&gt;".",d_Irr!AW19=".",d_Irr!BV19&lt;&gt;"."),d_dir!AY19/((1/1000)*(d_Irr!X19+d_Irr!BV19)),IF(AND(d_Irr!X19=".",d_Irr!AW19&lt;&gt;".",d_Irr!BV19&lt;&gt;"."),d_dir!AY19/((1/1000)*(d_Irr!AW19+d_Irr!BV19)),IF(AND(d_Irr!X19=".",d_Irr!AW19=".",d_Irr!BV19&lt;&gt;"."),d_dir!AY19/((1/1000)*(d_Irr!BV19)),IF(AND(d_Irr!X19=".",d_Irr!AW19&lt;&gt;".",d_Irr!BV19="."),d_dir!AY19/((1/1000)*(d_Irr!AW19)),IF(AND(d_Irr!X19&lt;&gt;".",d_Irr!AW19=".",d_Irr!BV19="."),d_dir!AY19/((1/1000)*(d_Irr!X19)),IF(AND(d_Irr!X19=".",d_Irr!AW19=".",d_Irr!BV19="."),d_dir!AY19*1000)))))))),".")</f>
        <v>.</v>
      </c>
      <c r="AZ19" s="76" t="str">
        <f>IFERROR(IF(AND(d_Irr!Y19&lt;&gt;".",d_Irr!AX19&lt;&gt;".",d_Irr!BW19&lt;&gt;"."),d_dir!AZ19/((1/1000)*(d_Irr!Y19+d_Irr!AX19+d_Irr!BW19)),IF(AND(d_Irr!Y19&lt;&gt;".",d_Irr!AX19&lt;&gt;".",d_Irr!BW19="."),d_dir!AZ19/((1/1000)*(d_Irr!Y19+d_Irr!AX19)),IF(AND(d_Irr!Y19&lt;&gt;".",d_Irr!AX19=".",d_Irr!BW19&lt;&gt;"."),d_dir!AZ19/((1/1000)*(d_Irr!Y19+d_Irr!BW19)),IF(AND(d_Irr!Y19=".",d_Irr!AX19&lt;&gt;".",d_Irr!BW19&lt;&gt;"."),d_dir!AZ19/((1/1000)*(d_Irr!AX19+d_Irr!BW19)),IF(AND(d_Irr!Y19=".",d_Irr!AX19=".",d_Irr!BW19&lt;&gt;"."),d_dir!AZ19/((1/1000)*(d_Irr!BW19)),IF(AND(d_Irr!Y19=".",d_Irr!AX19&lt;&gt;".",d_Irr!BW19="."),d_dir!AZ19/((1/1000)*(d_Irr!AX19)),IF(AND(d_Irr!Y19&lt;&gt;".",d_Irr!AX19=".",d_Irr!BW19="."),d_dir!AZ19/((1/1000)*(d_Irr!Y19)),IF(AND(d_Irr!Y19=".",d_Irr!AX19=".",d_Irr!BW19="."),d_dir!AZ19*1000)))))))),".")</f>
        <v>.</v>
      </c>
      <c r="BA19" s="76" t="str">
        <f>IFERROR(IF(AND(d_Irr!Z19&lt;&gt;".",d_Irr!AY19&lt;&gt;".",d_Irr!BX19&lt;&gt;"."),d_dir!BA19/((1/1000)*(d_Irr!Z19+d_Irr!AY19+d_Irr!BX19)),IF(AND(d_Irr!Z19&lt;&gt;".",d_Irr!AY19&lt;&gt;".",d_Irr!BX19="."),d_dir!BA19/((1/1000)*(d_Irr!Z19+d_Irr!AY19)),IF(AND(d_Irr!Z19&lt;&gt;".",d_Irr!AY19=".",d_Irr!BX19&lt;&gt;"."),d_dir!BA19/((1/1000)*(d_Irr!Z19+d_Irr!BX19)),IF(AND(d_Irr!Z19=".",d_Irr!AY19&lt;&gt;".",d_Irr!BX19&lt;&gt;"."),d_dir!BA19/((1/1000)*(d_Irr!AY19+d_Irr!BX19)),IF(AND(d_Irr!Z19=".",d_Irr!AY19=".",d_Irr!BX19&lt;&gt;"."),d_dir!BA19/((1/1000)*(d_Irr!BX19)),IF(AND(d_Irr!Z19=".",d_Irr!AY19&lt;&gt;".",d_Irr!BX19="."),d_dir!BA19/((1/1000)*(d_Irr!AY19)),IF(AND(d_Irr!Z19&lt;&gt;".",d_Irr!AY19=".",d_Irr!BX19="."),d_dir!BA19/((1/1000)*(d_Irr!Z19)),IF(AND(d_Irr!Z19=".",d_Irr!AY19=".",d_Irr!BX19="."),d_dir!BA19*1000)))))))),".")</f>
        <v>.</v>
      </c>
      <c r="BB19" s="76" t="str">
        <f>IFERROR(IF(AND(d_Irr!AA19&lt;&gt;".",d_Irr!AZ19&lt;&gt;".",d_Irr!BY19&lt;&gt;"."),d_dir!BB19/((1/1000)*(d_Irr!AA19+d_Irr!AZ19+d_Irr!BY19)),IF(AND(d_Irr!AA19&lt;&gt;".",d_Irr!AZ19&lt;&gt;".",d_Irr!BY19="."),d_dir!BB19/((1/1000)*(d_Irr!AA19+d_Irr!AZ19)),IF(AND(d_Irr!AA19&lt;&gt;".",d_Irr!AZ19=".",d_Irr!BY19&lt;&gt;"."),d_dir!BB19/((1/1000)*(d_Irr!AA19+d_Irr!BY19)),IF(AND(d_Irr!AA19=".",d_Irr!AZ19&lt;&gt;".",d_Irr!BY19&lt;&gt;"."),d_dir!BB19/((1/1000)*(d_Irr!AZ19+d_Irr!BY19)),IF(AND(d_Irr!AA19=".",d_Irr!AZ19=".",d_Irr!BY19&lt;&gt;"."),d_dir!BB19/((1/1000)*(d_Irr!BY19)),IF(AND(d_Irr!AA19=".",d_Irr!AZ19&lt;&gt;".",d_Irr!BY19="."),d_dir!BB19/((1/1000)*(d_Irr!AZ19)),IF(AND(d_Irr!AA19&lt;&gt;".",d_Irr!AZ19=".",d_Irr!BY19="."),d_dir!BB19/((1/1000)*(d_Irr!AA19)),IF(AND(d_Irr!AA19=".",d_Irr!AZ19=".",d_Irr!BY19="."),d_dir!BB19*1000)))))))),".")</f>
        <v>.</v>
      </c>
    </row>
    <row r="20" spans="1:54" ht="15" customHeight="1" x14ac:dyDescent="0.25">
      <c r="A20" s="92" t="s">
        <v>30</v>
      </c>
      <c r="B20" s="90" t="s">
        <v>1071</v>
      </c>
      <c r="C20" s="2" t="str">
        <f t="shared" si="1"/>
        <v>.</v>
      </c>
      <c r="D20" s="76" t="str">
        <f>IFERROR(IF(AND(d_Irr!C20&lt;&gt;".",d_Irr!AB20&lt;&gt;".",d_Irr!BA20&lt;&gt;"."),d_dir!D20/((1/1000)*(d_Irr!C20+d_Irr!AB20+d_Irr!BA20)),IF(AND(d_Irr!C20&lt;&gt;".",d_Irr!AB20&lt;&gt;".",d_Irr!BA20="."),d_dir!D20/((1/1000)*(d_Irr!C20+d_Irr!AB20)),IF(AND(d_Irr!C20&lt;&gt;".",d_Irr!AB20=".",d_Irr!BA20&lt;&gt;"."),d_dir!D20/((1/1000)*(d_Irr!C20+d_Irr!BA20)),IF(AND(d_Irr!C20=".",d_Irr!AB20&lt;&gt;".",d_Irr!BA20&lt;&gt;"."),d_dir!D20/((1/1000)*(d_Irr!AB20+d_Irr!BA20)),IF(AND(d_Irr!C20=".",d_Irr!AB20=".",d_Irr!BA20&lt;&gt;"."),d_dir!D20/((1/1000)*(d_Irr!BA20)),IF(AND(d_Irr!C20=".",d_Irr!AB20&lt;&gt;".",d_Irr!BA20="."),d_dir!D20/((1/1000)*(d_Irr!AB20)),IF(AND(d_Irr!C20&lt;&gt;".",d_Irr!AB20=".",d_Irr!BA20="."),d_dir!D20/((1/1000)*(d_Irr!C20)),IF(AND(d_Irr!C20=".",d_Irr!AB20=".",d_Irr!BA20="."),d_dir!D20*1000)))))))),".")</f>
        <v>.</v>
      </c>
      <c r="E20" s="76" t="str">
        <f>IFERROR(IF(AND(d_Irr!D20&lt;&gt;".",d_Irr!AC20&lt;&gt;".",d_Irr!BB20&lt;&gt;"."),d_dir!E20/((1/1000)*(d_Irr!D20+d_Irr!AC20+d_Irr!BB20)),IF(AND(d_Irr!D20&lt;&gt;".",d_Irr!AC20&lt;&gt;".",d_Irr!BB20="."),d_dir!E20/((1/1000)*(d_Irr!D20+d_Irr!AC20)),IF(AND(d_Irr!D20&lt;&gt;".",d_Irr!AC20=".",d_Irr!BB20&lt;&gt;"."),d_dir!E20/((1/1000)*(d_Irr!D20+d_Irr!BB20)),IF(AND(d_Irr!D20=".",d_Irr!AC20&lt;&gt;".",d_Irr!BB20&lt;&gt;"."),d_dir!E20/((1/1000)*(d_Irr!AC20+d_Irr!BB20)),IF(AND(d_Irr!D20=".",d_Irr!AC20=".",d_Irr!BB20&lt;&gt;"."),d_dir!E20/((1/1000)*(d_Irr!BB20)),IF(AND(d_Irr!D20=".",d_Irr!AC20&lt;&gt;".",d_Irr!BB20="."),d_dir!E20/((1/1000)*(d_Irr!AC20)),IF(AND(d_Irr!D20&lt;&gt;".",d_Irr!AC20=".",d_Irr!BB20="."),d_dir!E20/((1/1000)*(d_Irr!D20)),IF(AND(d_Irr!D20=".",d_Irr!AC20=".",d_Irr!BB20="."),d_dir!E20*1000)))))))),".")</f>
        <v>.</v>
      </c>
      <c r="F20" s="76" t="str">
        <f>IFERROR(IF(AND(d_Irr!E20&lt;&gt;".",d_Irr!AD20&lt;&gt;".",d_Irr!BC20&lt;&gt;"."),d_dir!F20/((1/1000)*(d_Irr!E20+d_Irr!AD20+d_Irr!BC20)),IF(AND(d_Irr!E20&lt;&gt;".",d_Irr!AD20&lt;&gt;".",d_Irr!BC20="."),d_dir!F20/((1/1000)*(d_Irr!E20+d_Irr!AD20)),IF(AND(d_Irr!E20&lt;&gt;".",d_Irr!AD20=".",d_Irr!BC20&lt;&gt;"."),d_dir!F20/((1/1000)*(d_Irr!E20+d_Irr!BC20)),IF(AND(d_Irr!E20=".",d_Irr!AD20&lt;&gt;".",d_Irr!BC20&lt;&gt;"."),d_dir!F20/((1/1000)*(d_Irr!AD20+d_Irr!BC20)),IF(AND(d_Irr!E20=".",d_Irr!AD20=".",d_Irr!BC20&lt;&gt;"."),d_dir!F20/((1/1000)*(d_Irr!BC20)),IF(AND(d_Irr!E20=".",d_Irr!AD20&lt;&gt;".",d_Irr!BC20="."),d_dir!F20/((1/1000)*(d_Irr!AD20)),IF(AND(d_Irr!E20&lt;&gt;".",d_Irr!AD20=".",d_Irr!BC20="."),d_dir!F20/((1/1000)*(d_Irr!E20)),IF(AND(d_Irr!E20=".",d_Irr!AD20=".",d_Irr!BC20="."),d_dir!F20*1000)))))))),".")</f>
        <v>.</v>
      </c>
      <c r="G20" s="76" t="str">
        <f>IFERROR(IF(AND(d_Irr!F20&lt;&gt;".",d_Irr!AE20&lt;&gt;".",d_Irr!BD20&lt;&gt;"."),d_dir!G20/((1/1000)*(d_Irr!F20+d_Irr!AE20+d_Irr!BD20)),IF(AND(d_Irr!F20&lt;&gt;".",d_Irr!AE20&lt;&gt;".",d_Irr!BD20="."),d_dir!G20/((1/1000)*(d_Irr!F20+d_Irr!AE20)),IF(AND(d_Irr!F20&lt;&gt;".",d_Irr!AE20=".",d_Irr!BD20&lt;&gt;"."),d_dir!G20/((1/1000)*(d_Irr!F20+d_Irr!BD20)),IF(AND(d_Irr!F20=".",d_Irr!AE20&lt;&gt;".",d_Irr!BD20&lt;&gt;"."),d_dir!G20/((1/1000)*(d_Irr!AE20+d_Irr!BD20)),IF(AND(d_Irr!F20=".",d_Irr!AE20=".",d_Irr!BD20&lt;&gt;"."),d_dir!G20/((1/1000)*(d_Irr!BD20)),IF(AND(d_Irr!F20=".",d_Irr!AE20&lt;&gt;".",d_Irr!BD20="."),d_dir!G20/((1/1000)*(d_Irr!AE20)),IF(AND(d_Irr!F20&lt;&gt;".",d_Irr!AE20=".",d_Irr!BD20="."),d_dir!G20/((1/1000)*(d_Irr!F20)),IF(AND(d_Irr!F20=".",d_Irr!AE20=".",d_Irr!BD20="."),d_dir!G20*1000)))))))),".")</f>
        <v>.</v>
      </c>
      <c r="H20" s="76" t="str">
        <f>IFERROR(IF(AND(d_Irr!G20&lt;&gt;".",d_Irr!AF20&lt;&gt;".",d_Irr!BE20&lt;&gt;"."),d_dir!H20/((1/1000)*(d_Irr!G20+d_Irr!AF20+d_Irr!BE20)),IF(AND(d_Irr!G20&lt;&gt;".",d_Irr!AF20&lt;&gt;".",d_Irr!BE20="."),d_dir!H20/((1/1000)*(d_Irr!G20+d_Irr!AF20)),IF(AND(d_Irr!G20&lt;&gt;".",d_Irr!AF20=".",d_Irr!BE20&lt;&gt;"."),d_dir!H20/((1/1000)*(d_Irr!G20+d_Irr!BE20)),IF(AND(d_Irr!G20=".",d_Irr!AF20&lt;&gt;".",d_Irr!BE20&lt;&gt;"."),d_dir!H20/((1/1000)*(d_Irr!AF20+d_Irr!BE20)),IF(AND(d_Irr!G20=".",d_Irr!AF20=".",d_Irr!BE20&lt;&gt;"."),d_dir!H20/((1/1000)*(d_Irr!BE20)),IF(AND(d_Irr!G20=".",d_Irr!AF20&lt;&gt;".",d_Irr!BE20="."),d_dir!H20/((1/1000)*(d_Irr!AF20)),IF(AND(d_Irr!G20&lt;&gt;".",d_Irr!AF20=".",d_Irr!BE20="."),d_dir!H20/((1/1000)*(d_Irr!G20)),IF(AND(d_Irr!G20=".",d_Irr!AF20=".",d_Irr!BE20="."),d_dir!H20*1000)))))))),".")</f>
        <v>.</v>
      </c>
      <c r="I20" s="76" t="str">
        <f>IFERROR(IF(AND(d_Irr!H20&lt;&gt;".",d_Irr!AG20&lt;&gt;".",d_Irr!BF20&lt;&gt;"."),d_dir!I20/((1/1000)*(d_Irr!H20+d_Irr!AG20+d_Irr!BF20)),IF(AND(d_Irr!H20&lt;&gt;".",d_Irr!AG20&lt;&gt;".",d_Irr!BF20="."),d_dir!I20/((1/1000)*(d_Irr!H20+d_Irr!AG20)),IF(AND(d_Irr!H20&lt;&gt;".",d_Irr!AG20=".",d_Irr!BF20&lt;&gt;"."),d_dir!I20/((1/1000)*(d_Irr!H20+d_Irr!BF20)),IF(AND(d_Irr!H20=".",d_Irr!AG20&lt;&gt;".",d_Irr!BF20&lt;&gt;"."),d_dir!I20/((1/1000)*(d_Irr!AG20+d_Irr!BF20)),IF(AND(d_Irr!H20=".",d_Irr!AG20=".",d_Irr!BF20&lt;&gt;"."),d_dir!I20/((1/1000)*(d_Irr!BF20)),IF(AND(d_Irr!H20=".",d_Irr!AG20&lt;&gt;".",d_Irr!BF20="."),d_dir!I20/((1/1000)*(d_Irr!AG20)),IF(AND(d_Irr!H20&lt;&gt;".",d_Irr!AG20=".",d_Irr!BF20="."),d_dir!I20/((1/1000)*(d_Irr!H20)),IF(AND(d_Irr!H20=".",d_Irr!AG20=".",d_Irr!BF20="."),d_dir!I20*1000)))))))),".")</f>
        <v>.</v>
      </c>
      <c r="J20" s="76" t="str">
        <f>IFERROR(IF(AND(d_Irr!I20&lt;&gt;".",d_Irr!AH20&lt;&gt;".",d_Irr!BG20&lt;&gt;"."),d_dir!J20/((1/1000)*(d_Irr!I20+d_Irr!AH20+d_Irr!BG20)),IF(AND(d_Irr!I20&lt;&gt;".",d_Irr!AH20&lt;&gt;".",d_Irr!BG20="."),d_dir!J20/((1/1000)*(d_Irr!I20+d_Irr!AH20)),IF(AND(d_Irr!I20&lt;&gt;".",d_Irr!AH20=".",d_Irr!BG20&lt;&gt;"."),d_dir!J20/((1/1000)*(d_Irr!I20+d_Irr!BG20)),IF(AND(d_Irr!I20=".",d_Irr!AH20&lt;&gt;".",d_Irr!BG20&lt;&gt;"."),d_dir!J20/((1/1000)*(d_Irr!AH20+d_Irr!BG20)),IF(AND(d_Irr!I20=".",d_Irr!AH20=".",d_Irr!BG20&lt;&gt;"."),d_dir!J20/((1/1000)*(d_Irr!BG20)),IF(AND(d_Irr!I20=".",d_Irr!AH20&lt;&gt;".",d_Irr!BG20="."),d_dir!J20/((1/1000)*(d_Irr!AH20)),IF(AND(d_Irr!I20&lt;&gt;".",d_Irr!AH20=".",d_Irr!BG20="."),d_dir!J20/((1/1000)*(d_Irr!I20)),IF(AND(d_Irr!I20=".",d_Irr!AH20=".",d_Irr!BG20="."),d_dir!J20*1000)))))))),".")</f>
        <v>.</v>
      </c>
      <c r="K20" s="76" t="str">
        <f>IFERROR(IF(AND(d_Irr!J20&lt;&gt;".",d_Irr!AI20&lt;&gt;".",d_Irr!BH20&lt;&gt;"."),d_dir!K20/((1/1000)*(d_Irr!J20+d_Irr!AI20+d_Irr!BH20)),IF(AND(d_Irr!J20&lt;&gt;".",d_Irr!AI20&lt;&gt;".",d_Irr!BH20="."),d_dir!K20/((1/1000)*(d_Irr!J20+d_Irr!AI20)),IF(AND(d_Irr!J20&lt;&gt;".",d_Irr!AI20=".",d_Irr!BH20&lt;&gt;"."),d_dir!K20/((1/1000)*(d_Irr!J20+d_Irr!BH20)),IF(AND(d_Irr!J20=".",d_Irr!AI20&lt;&gt;".",d_Irr!BH20&lt;&gt;"."),d_dir!K20/((1/1000)*(d_Irr!AI20+d_Irr!BH20)),IF(AND(d_Irr!J20=".",d_Irr!AI20=".",d_Irr!BH20&lt;&gt;"."),d_dir!K20/((1/1000)*(d_Irr!BH20)),IF(AND(d_Irr!J20=".",d_Irr!AI20&lt;&gt;".",d_Irr!BH20="."),d_dir!K20/((1/1000)*(d_Irr!AI20)),IF(AND(d_Irr!J20&lt;&gt;".",d_Irr!AI20=".",d_Irr!BH20="."),d_dir!K20/((1/1000)*(d_Irr!J20)),IF(AND(d_Irr!J20=".",d_Irr!AI20=".",d_Irr!BH20="."),d_dir!K20*1000)))))))),".")</f>
        <v>.</v>
      </c>
      <c r="L20" s="76" t="str">
        <f>IFERROR(IF(AND(d_Irr!K20&lt;&gt;".",d_Irr!AJ20&lt;&gt;".",d_Irr!BI20&lt;&gt;"."),d_dir!L20/((1/1000)*(d_Irr!K20+d_Irr!AJ20+d_Irr!BI20)),IF(AND(d_Irr!K20&lt;&gt;".",d_Irr!AJ20&lt;&gt;".",d_Irr!BI20="."),d_dir!L20/((1/1000)*(d_Irr!K20+d_Irr!AJ20)),IF(AND(d_Irr!K20&lt;&gt;".",d_Irr!AJ20=".",d_Irr!BI20&lt;&gt;"."),d_dir!L20/((1/1000)*(d_Irr!K20+d_Irr!BI20)),IF(AND(d_Irr!K20=".",d_Irr!AJ20&lt;&gt;".",d_Irr!BI20&lt;&gt;"."),d_dir!L20/((1/1000)*(d_Irr!AJ20+d_Irr!BI20)),IF(AND(d_Irr!K20=".",d_Irr!AJ20=".",d_Irr!BI20&lt;&gt;"."),d_dir!L20/((1/1000)*(d_Irr!BI20)),IF(AND(d_Irr!K20=".",d_Irr!AJ20&lt;&gt;".",d_Irr!BI20="."),d_dir!L20/((1/1000)*(d_Irr!AJ20)),IF(AND(d_Irr!K20&lt;&gt;".",d_Irr!AJ20=".",d_Irr!BI20="."),d_dir!L20/((1/1000)*(d_Irr!K20)),IF(AND(d_Irr!K20=".",d_Irr!AJ20=".",d_Irr!BI20="."),d_dir!L20*1000)))))))),".")</f>
        <v>.</v>
      </c>
      <c r="M20" s="76" t="str">
        <f>IFERROR(IF(AND(d_Irr!L20&lt;&gt;".",d_Irr!AK20&lt;&gt;".",d_Irr!BJ20&lt;&gt;"."),d_dir!M20/((1/1000)*(d_Irr!L20+d_Irr!AK20+d_Irr!BJ20)),IF(AND(d_Irr!L20&lt;&gt;".",d_Irr!AK20&lt;&gt;".",d_Irr!BJ20="."),d_dir!M20/((1/1000)*(d_Irr!L20+d_Irr!AK20)),IF(AND(d_Irr!L20&lt;&gt;".",d_Irr!AK20=".",d_Irr!BJ20&lt;&gt;"."),d_dir!M20/((1/1000)*(d_Irr!L20+d_Irr!BJ20)),IF(AND(d_Irr!L20=".",d_Irr!AK20&lt;&gt;".",d_Irr!BJ20&lt;&gt;"."),d_dir!M20/((1/1000)*(d_Irr!AK20+d_Irr!BJ20)),IF(AND(d_Irr!L20=".",d_Irr!AK20=".",d_Irr!BJ20&lt;&gt;"."),d_dir!M20/((1/1000)*(d_Irr!BJ20)),IF(AND(d_Irr!L20=".",d_Irr!AK20&lt;&gt;".",d_Irr!BJ20="."),d_dir!M20/((1/1000)*(d_Irr!AK20)),IF(AND(d_Irr!L20&lt;&gt;".",d_Irr!AK20=".",d_Irr!BJ20="."),d_dir!M20/((1/1000)*(d_Irr!L20)),IF(AND(d_Irr!L20=".",d_Irr!AK20=".",d_Irr!BJ20="."),d_dir!M20*1000)))))))),".")</f>
        <v>.</v>
      </c>
      <c r="N20" s="76" t="str">
        <f>IFERROR(IF(AND(d_Irr!M20&lt;&gt;".",d_Irr!AL20&lt;&gt;".",d_Irr!BK20&lt;&gt;"."),d_dir!N20/((1/1000)*(d_Irr!M20+d_Irr!AL20+d_Irr!BK20)),IF(AND(d_Irr!M20&lt;&gt;".",d_Irr!AL20&lt;&gt;".",d_Irr!BK20="."),d_dir!N20/((1/1000)*(d_Irr!M20+d_Irr!AL20)),IF(AND(d_Irr!M20&lt;&gt;".",d_Irr!AL20=".",d_Irr!BK20&lt;&gt;"."),d_dir!N20/((1/1000)*(d_Irr!M20+d_Irr!BK20)),IF(AND(d_Irr!M20=".",d_Irr!AL20&lt;&gt;".",d_Irr!BK20&lt;&gt;"."),d_dir!N20/((1/1000)*(d_Irr!AL20+d_Irr!BK20)),IF(AND(d_Irr!M20=".",d_Irr!AL20=".",d_Irr!BK20&lt;&gt;"."),d_dir!N20/((1/1000)*(d_Irr!BK20)),IF(AND(d_Irr!M20=".",d_Irr!AL20&lt;&gt;".",d_Irr!BK20="."),d_dir!N20/((1/1000)*(d_Irr!AL20)),IF(AND(d_Irr!M20&lt;&gt;".",d_Irr!AL20=".",d_Irr!BK20="."),d_dir!N20/((1/1000)*(d_Irr!M20)),IF(AND(d_Irr!M20=".",d_Irr!AL20=".",d_Irr!BK20="."),d_dir!N20*1000)))))))),".")</f>
        <v>.</v>
      </c>
      <c r="O20" s="76" t="str">
        <f>IFERROR(IF(AND(d_Irr!N20&lt;&gt;".",d_Irr!AM20&lt;&gt;".",d_Irr!BL20&lt;&gt;"."),d_dir!O20/((1/1000)*(d_Irr!N20+d_Irr!AM20+d_Irr!BL20)),IF(AND(d_Irr!N20&lt;&gt;".",d_Irr!AM20&lt;&gt;".",d_Irr!BL20="."),d_dir!O20/((1/1000)*(d_Irr!N20+d_Irr!AM20)),IF(AND(d_Irr!N20&lt;&gt;".",d_Irr!AM20=".",d_Irr!BL20&lt;&gt;"."),d_dir!O20/((1/1000)*(d_Irr!N20+d_Irr!BL20)),IF(AND(d_Irr!N20=".",d_Irr!AM20&lt;&gt;".",d_Irr!BL20&lt;&gt;"."),d_dir!O20/((1/1000)*(d_Irr!AM20+d_Irr!BL20)),IF(AND(d_Irr!N20=".",d_Irr!AM20=".",d_Irr!BL20&lt;&gt;"."),d_dir!O20/((1/1000)*(d_Irr!BL20)),IF(AND(d_Irr!N20=".",d_Irr!AM20&lt;&gt;".",d_Irr!BL20="."),d_dir!O20/((1/1000)*(d_Irr!AM20)),IF(AND(d_Irr!N20&lt;&gt;".",d_Irr!AM20=".",d_Irr!BL20="."),d_dir!O20/((1/1000)*(d_Irr!N20)),IF(AND(d_Irr!N20=".",d_Irr!AM20=".",d_Irr!BL20="."),d_dir!O20*1000)))))))),".")</f>
        <v>.</v>
      </c>
      <c r="P20" s="76" t="str">
        <f>IFERROR(IF(AND(d_Irr!O20&lt;&gt;".",d_Irr!AN20&lt;&gt;".",d_Irr!BM20&lt;&gt;"."),d_dir!P20/((1/1000)*(d_Irr!O20+d_Irr!AN20+d_Irr!BM20)),IF(AND(d_Irr!O20&lt;&gt;".",d_Irr!AN20&lt;&gt;".",d_Irr!BM20="."),d_dir!P20/((1/1000)*(d_Irr!O20+d_Irr!AN20)),IF(AND(d_Irr!O20&lt;&gt;".",d_Irr!AN20=".",d_Irr!BM20&lt;&gt;"."),d_dir!P20/((1/1000)*(d_Irr!O20+d_Irr!BM20)),IF(AND(d_Irr!O20=".",d_Irr!AN20&lt;&gt;".",d_Irr!BM20&lt;&gt;"."),d_dir!P20/((1/1000)*(d_Irr!AN20+d_Irr!BM20)),IF(AND(d_Irr!O20=".",d_Irr!AN20=".",d_Irr!BM20&lt;&gt;"."),d_dir!P20/((1/1000)*(d_Irr!BM20)),IF(AND(d_Irr!O20=".",d_Irr!AN20&lt;&gt;".",d_Irr!BM20="."),d_dir!P20/((1/1000)*(d_Irr!AN20)),IF(AND(d_Irr!O20&lt;&gt;".",d_Irr!AN20=".",d_Irr!BM20="."),d_dir!P20/((1/1000)*(d_Irr!O20)),IF(AND(d_Irr!O20=".",d_Irr!AN20=".",d_Irr!BM20="."),d_dir!P20*1000)))))))),".")</f>
        <v>.</v>
      </c>
      <c r="Q20" s="76" t="str">
        <f>IFERROR(IF(AND(d_Irr!P20&lt;&gt;".",d_Irr!AO20&lt;&gt;".",d_Irr!BN20&lt;&gt;"."),d_dir!Q20/((1/1000)*(d_Irr!P20+d_Irr!AO20+d_Irr!BN20)),IF(AND(d_Irr!P20&lt;&gt;".",d_Irr!AO20&lt;&gt;".",d_Irr!BN20="."),d_dir!Q20/((1/1000)*(d_Irr!P20+d_Irr!AO20)),IF(AND(d_Irr!P20&lt;&gt;".",d_Irr!AO20=".",d_Irr!BN20&lt;&gt;"."),d_dir!Q20/((1/1000)*(d_Irr!P20+d_Irr!BN20)),IF(AND(d_Irr!P20=".",d_Irr!AO20&lt;&gt;".",d_Irr!BN20&lt;&gt;"."),d_dir!Q20/((1/1000)*(d_Irr!AO20+d_Irr!BN20)),IF(AND(d_Irr!P20=".",d_Irr!AO20=".",d_Irr!BN20&lt;&gt;"."),d_dir!Q20/((1/1000)*(d_Irr!BN20)),IF(AND(d_Irr!P20=".",d_Irr!AO20&lt;&gt;".",d_Irr!BN20="."),d_dir!Q20/((1/1000)*(d_Irr!AO20)),IF(AND(d_Irr!P20&lt;&gt;".",d_Irr!AO20=".",d_Irr!BN20="."),d_dir!Q20/((1/1000)*(d_Irr!P20)),IF(AND(d_Irr!P20=".",d_Irr!AO20=".",d_Irr!BN20="."),d_dir!Q20*1000)))))))),".")</f>
        <v>.</v>
      </c>
      <c r="R20" s="76" t="str">
        <f>IFERROR(IF(AND(d_Irr!Q20&lt;&gt;".",d_Irr!AP20&lt;&gt;".",d_Irr!BO20&lt;&gt;"."),d_dir!R20/((1/1000)*(d_Irr!Q20+d_Irr!AP20+d_Irr!BO20)),IF(AND(d_Irr!Q20&lt;&gt;".",d_Irr!AP20&lt;&gt;".",d_Irr!BO20="."),d_dir!R20/((1/1000)*(d_Irr!Q20+d_Irr!AP20)),IF(AND(d_Irr!Q20&lt;&gt;".",d_Irr!AP20=".",d_Irr!BO20&lt;&gt;"."),d_dir!R20/((1/1000)*(d_Irr!Q20+d_Irr!BO20)),IF(AND(d_Irr!Q20=".",d_Irr!AP20&lt;&gt;".",d_Irr!BO20&lt;&gt;"."),d_dir!R20/((1/1000)*(d_Irr!AP20+d_Irr!BO20)),IF(AND(d_Irr!Q20=".",d_Irr!AP20=".",d_Irr!BO20&lt;&gt;"."),d_dir!R20/((1/1000)*(d_Irr!BO20)),IF(AND(d_Irr!Q20=".",d_Irr!AP20&lt;&gt;".",d_Irr!BO20="."),d_dir!R20/((1/1000)*(d_Irr!AP20)),IF(AND(d_Irr!Q20&lt;&gt;".",d_Irr!AP20=".",d_Irr!BO20="."),d_dir!R20/((1/1000)*(d_Irr!Q20)),IF(AND(d_Irr!Q20=".",d_Irr!AP20=".",d_Irr!BO20="."),d_dir!R20*1000)))))))),".")</f>
        <v>.</v>
      </c>
      <c r="S20" s="76" t="str">
        <f>IFERROR(IF(AND(d_Irr!R20&lt;&gt;".",d_Irr!AQ20&lt;&gt;".",d_Irr!BP20&lt;&gt;"."),d_dir!S20/((1/1000)*(d_Irr!R20+d_Irr!AQ20+d_Irr!BP20)),IF(AND(d_Irr!R20&lt;&gt;".",d_Irr!AQ20&lt;&gt;".",d_Irr!BP20="."),d_dir!S20/((1/1000)*(d_Irr!R20+d_Irr!AQ20)),IF(AND(d_Irr!R20&lt;&gt;".",d_Irr!AQ20=".",d_Irr!BP20&lt;&gt;"."),d_dir!S20/((1/1000)*(d_Irr!R20+d_Irr!BP20)),IF(AND(d_Irr!R20=".",d_Irr!AQ20&lt;&gt;".",d_Irr!BP20&lt;&gt;"."),d_dir!S20/((1/1000)*(d_Irr!AQ20+d_Irr!BP20)),IF(AND(d_Irr!R20=".",d_Irr!AQ20=".",d_Irr!BP20&lt;&gt;"."),d_dir!S20/((1/1000)*(d_Irr!BP20)),IF(AND(d_Irr!R20=".",d_Irr!AQ20&lt;&gt;".",d_Irr!BP20="."),d_dir!S20/((1/1000)*(d_Irr!AQ20)),IF(AND(d_Irr!R20&lt;&gt;".",d_Irr!AQ20=".",d_Irr!BP20="."),d_dir!S20/((1/1000)*(d_Irr!R20)),IF(AND(d_Irr!R20=".",d_Irr!AQ20=".",d_Irr!BP20="."),d_dir!S20*1000)))))))),".")</f>
        <v>.</v>
      </c>
      <c r="T20" s="76" t="str">
        <f>IFERROR(IF(AND(d_Irr!S20&lt;&gt;".",d_Irr!AR20&lt;&gt;".",d_Irr!BQ20&lt;&gt;"."),d_dir!T20/((1/1000)*(d_Irr!S20+d_Irr!AR20+d_Irr!BQ20)),IF(AND(d_Irr!S20&lt;&gt;".",d_Irr!AR20&lt;&gt;".",d_Irr!BQ20="."),d_dir!T20/((1/1000)*(d_Irr!S20+d_Irr!AR20)),IF(AND(d_Irr!S20&lt;&gt;".",d_Irr!AR20=".",d_Irr!BQ20&lt;&gt;"."),d_dir!T20/((1/1000)*(d_Irr!S20+d_Irr!BQ20)),IF(AND(d_Irr!S20=".",d_Irr!AR20&lt;&gt;".",d_Irr!BQ20&lt;&gt;"."),d_dir!T20/((1/1000)*(d_Irr!AR20+d_Irr!BQ20)),IF(AND(d_Irr!S20=".",d_Irr!AR20=".",d_Irr!BQ20&lt;&gt;"."),d_dir!T20/((1/1000)*(d_Irr!BQ20)),IF(AND(d_Irr!S20=".",d_Irr!AR20&lt;&gt;".",d_Irr!BQ20="."),d_dir!T20/((1/1000)*(d_Irr!AR20)),IF(AND(d_Irr!S20&lt;&gt;".",d_Irr!AR20=".",d_Irr!BQ20="."),d_dir!T20/((1/1000)*(d_Irr!S20)),IF(AND(d_Irr!S20=".",d_Irr!AR20=".",d_Irr!BQ20="."),d_dir!T20*1000)))))))),".")</f>
        <v>.</v>
      </c>
      <c r="U20" s="76" t="str">
        <f>IFERROR(IF(AND(d_Irr!T20&lt;&gt;".",d_Irr!AS20&lt;&gt;".",d_Irr!BR20&lt;&gt;"."),d_dir!U20/((1/1000)*(d_Irr!T20+d_Irr!AS20+d_Irr!BR20)),IF(AND(d_Irr!T20&lt;&gt;".",d_Irr!AS20&lt;&gt;".",d_Irr!BR20="."),d_dir!U20/((1/1000)*(d_Irr!T20+d_Irr!AS20)),IF(AND(d_Irr!T20&lt;&gt;".",d_Irr!AS20=".",d_Irr!BR20&lt;&gt;"."),d_dir!U20/((1/1000)*(d_Irr!T20+d_Irr!BR20)),IF(AND(d_Irr!T20=".",d_Irr!AS20&lt;&gt;".",d_Irr!BR20&lt;&gt;"."),d_dir!U20/((1/1000)*(d_Irr!AS20+d_Irr!BR20)),IF(AND(d_Irr!T20=".",d_Irr!AS20=".",d_Irr!BR20&lt;&gt;"."),d_dir!U20/((1/1000)*(d_Irr!BR20)),IF(AND(d_Irr!T20=".",d_Irr!AS20&lt;&gt;".",d_Irr!BR20="."),d_dir!U20/((1/1000)*(d_Irr!AS20)),IF(AND(d_Irr!T20&lt;&gt;".",d_Irr!AS20=".",d_Irr!BR20="."),d_dir!U20/((1/1000)*(d_Irr!T20)),IF(AND(d_Irr!T20=".",d_Irr!AS20=".",d_Irr!BR20="."),d_dir!U20*1000)))))))),".")</f>
        <v>.</v>
      </c>
      <c r="V20" s="76" t="str">
        <f>IFERROR(IF(AND(d_Irr!U20&lt;&gt;".",d_Irr!AT20&lt;&gt;".",d_Irr!BS20&lt;&gt;"."),d_dir!V20/((1/1000)*(d_Irr!U20+d_Irr!AT20+d_Irr!BS20)),IF(AND(d_Irr!U20&lt;&gt;".",d_Irr!AT20&lt;&gt;".",d_Irr!BS20="."),d_dir!V20/((1/1000)*(d_Irr!U20+d_Irr!AT20)),IF(AND(d_Irr!U20&lt;&gt;".",d_Irr!AT20=".",d_Irr!BS20&lt;&gt;"."),d_dir!V20/((1/1000)*(d_Irr!U20+d_Irr!BS20)),IF(AND(d_Irr!U20=".",d_Irr!AT20&lt;&gt;".",d_Irr!BS20&lt;&gt;"."),d_dir!V20/((1/1000)*(d_Irr!AT20+d_Irr!BS20)),IF(AND(d_Irr!U20=".",d_Irr!AT20=".",d_Irr!BS20&lt;&gt;"."),d_dir!V20/((1/1000)*(d_Irr!BS20)),IF(AND(d_Irr!U20=".",d_Irr!AT20&lt;&gt;".",d_Irr!BS20="."),d_dir!V20/((1/1000)*(d_Irr!AT20)),IF(AND(d_Irr!U20&lt;&gt;".",d_Irr!AT20=".",d_Irr!BS20="."),d_dir!V20/((1/1000)*(d_Irr!U20)),IF(AND(d_Irr!U20=".",d_Irr!AT20=".",d_Irr!BS20="."),d_dir!V20*1000)))))))),".")</f>
        <v>.</v>
      </c>
      <c r="W20" s="76" t="str">
        <f>IFERROR(IF(AND(d_Irr!V20&lt;&gt;".",d_Irr!AU20&lt;&gt;".",d_Irr!BT20&lt;&gt;"."),d_dir!W20/((1/1000)*(d_Irr!V20+d_Irr!AU20+d_Irr!BT20)),IF(AND(d_Irr!V20&lt;&gt;".",d_Irr!AU20&lt;&gt;".",d_Irr!BT20="."),d_dir!W20/((1/1000)*(d_Irr!V20+d_Irr!AU20)),IF(AND(d_Irr!V20&lt;&gt;".",d_Irr!AU20=".",d_Irr!BT20&lt;&gt;"."),d_dir!W20/((1/1000)*(d_Irr!V20+d_Irr!BT20)),IF(AND(d_Irr!V20=".",d_Irr!AU20&lt;&gt;".",d_Irr!BT20&lt;&gt;"."),d_dir!W20/((1/1000)*(d_Irr!AU20+d_Irr!BT20)),IF(AND(d_Irr!V20=".",d_Irr!AU20=".",d_Irr!BT20&lt;&gt;"."),d_dir!W20/((1/1000)*(d_Irr!BT20)),IF(AND(d_Irr!V20=".",d_Irr!AU20&lt;&gt;".",d_Irr!BT20="."),d_dir!W20/((1/1000)*(d_Irr!AU20)),IF(AND(d_Irr!V20&lt;&gt;".",d_Irr!AU20=".",d_Irr!BT20="."),d_dir!W20/((1/1000)*(d_Irr!V20)),IF(AND(d_Irr!V20=".",d_Irr!AU20=".",d_Irr!BT20="."),d_dir!W20*1000)))))))),".")</f>
        <v>.</v>
      </c>
      <c r="X20" s="76" t="str">
        <f>IFERROR(IF(AND(d_Irr!W20&lt;&gt;".",d_Irr!AV20&lt;&gt;".",d_Irr!BU20&lt;&gt;"."),d_dir!X20/((1/1000)*(d_Irr!W20+d_Irr!AV20+d_Irr!BU20)),IF(AND(d_Irr!W20&lt;&gt;".",d_Irr!AV20&lt;&gt;".",d_Irr!BU20="."),d_dir!X20/((1/1000)*(d_Irr!W20+d_Irr!AV20)),IF(AND(d_Irr!W20&lt;&gt;".",d_Irr!AV20=".",d_Irr!BU20&lt;&gt;"."),d_dir!X20/((1/1000)*(d_Irr!W20+d_Irr!BU20)),IF(AND(d_Irr!W20=".",d_Irr!AV20&lt;&gt;".",d_Irr!BU20&lt;&gt;"."),d_dir!X20/((1/1000)*(d_Irr!AV20+d_Irr!BU20)),IF(AND(d_Irr!W20=".",d_Irr!AV20=".",d_Irr!BU20&lt;&gt;"."),d_dir!X20/((1/1000)*(d_Irr!BU20)),IF(AND(d_Irr!W20=".",d_Irr!AV20&lt;&gt;".",d_Irr!BU20="."),d_dir!X20/((1/1000)*(d_Irr!AV20)),IF(AND(d_Irr!W20&lt;&gt;".",d_Irr!AV20=".",d_Irr!BU20="."),d_dir!X20/((1/1000)*(d_Irr!W20)),IF(AND(d_Irr!W20=".",d_Irr!AV20=".",d_Irr!BU20="."),d_dir!X20*1000)))))))),".")</f>
        <v>.</v>
      </c>
      <c r="Y20" s="76" t="str">
        <f>IFERROR(IF(AND(d_Irr!X20&lt;&gt;".",d_Irr!AW20&lt;&gt;".",d_Irr!BV20&lt;&gt;"."),d_dir!Y20/((1/1000)*(d_Irr!X20+d_Irr!AW20+d_Irr!BV20)),IF(AND(d_Irr!X20&lt;&gt;".",d_Irr!AW20&lt;&gt;".",d_Irr!BV20="."),d_dir!Y20/((1/1000)*(d_Irr!X20+d_Irr!AW20)),IF(AND(d_Irr!X20&lt;&gt;".",d_Irr!AW20=".",d_Irr!BV20&lt;&gt;"."),d_dir!Y20/((1/1000)*(d_Irr!X20+d_Irr!BV20)),IF(AND(d_Irr!X20=".",d_Irr!AW20&lt;&gt;".",d_Irr!BV20&lt;&gt;"."),d_dir!Y20/((1/1000)*(d_Irr!AW20+d_Irr!BV20)),IF(AND(d_Irr!X20=".",d_Irr!AW20=".",d_Irr!BV20&lt;&gt;"."),d_dir!Y20/((1/1000)*(d_Irr!BV20)),IF(AND(d_Irr!X20=".",d_Irr!AW20&lt;&gt;".",d_Irr!BV20="."),d_dir!Y20/((1/1000)*(d_Irr!AW20)),IF(AND(d_Irr!X20&lt;&gt;".",d_Irr!AW20=".",d_Irr!BV20="."),d_dir!Y20/((1/1000)*(d_Irr!X20)),IF(AND(d_Irr!X20=".",d_Irr!AW20=".",d_Irr!BV20="."),d_dir!Y20*1000)))))))),".")</f>
        <v>.</v>
      </c>
      <c r="Z20" s="76" t="str">
        <f>IFERROR(IF(AND(d_Irr!Y20&lt;&gt;".",d_Irr!AX20&lt;&gt;".",d_Irr!BW20&lt;&gt;"."),d_dir!Z20/((1/1000)*(d_Irr!Y20+d_Irr!AX20+d_Irr!BW20)),IF(AND(d_Irr!Y20&lt;&gt;".",d_Irr!AX20&lt;&gt;".",d_Irr!BW20="."),d_dir!Z20/((1/1000)*(d_Irr!Y20+d_Irr!AX20)),IF(AND(d_Irr!Y20&lt;&gt;".",d_Irr!AX20=".",d_Irr!BW20&lt;&gt;"."),d_dir!Z20/((1/1000)*(d_Irr!Y20+d_Irr!BW20)),IF(AND(d_Irr!Y20=".",d_Irr!AX20&lt;&gt;".",d_Irr!BW20&lt;&gt;"."),d_dir!Z20/((1/1000)*(d_Irr!AX20+d_Irr!BW20)),IF(AND(d_Irr!Y20=".",d_Irr!AX20=".",d_Irr!BW20&lt;&gt;"."),d_dir!Z20/((1/1000)*(d_Irr!BW20)),IF(AND(d_Irr!Y20=".",d_Irr!AX20&lt;&gt;".",d_Irr!BW20="."),d_dir!Z20/((1/1000)*(d_Irr!AX20)),IF(AND(d_Irr!Y20&lt;&gt;".",d_Irr!AX20=".",d_Irr!BW20="."),d_dir!Z20/((1/1000)*(d_Irr!Y20)),IF(AND(d_Irr!Y20=".",d_Irr!AX20=".",d_Irr!BW20="."),d_dir!Z20*1000)))))))),".")</f>
        <v>.</v>
      </c>
      <c r="AA20" s="76" t="str">
        <f>IFERROR(IF(AND(d_Irr!Z20&lt;&gt;".",d_Irr!AY20&lt;&gt;".",d_Irr!BX20&lt;&gt;"."),d_dir!AA20/((1/1000)*(d_Irr!Z20+d_Irr!AY20+d_Irr!BX20)),IF(AND(d_Irr!Z20&lt;&gt;".",d_Irr!AY20&lt;&gt;".",d_Irr!BX20="."),d_dir!AA20/((1/1000)*(d_Irr!Z20+d_Irr!AY20)),IF(AND(d_Irr!Z20&lt;&gt;".",d_Irr!AY20=".",d_Irr!BX20&lt;&gt;"."),d_dir!AA20/((1/1000)*(d_Irr!Z20+d_Irr!BX20)),IF(AND(d_Irr!Z20=".",d_Irr!AY20&lt;&gt;".",d_Irr!BX20&lt;&gt;"."),d_dir!AA20/((1/1000)*(d_Irr!AY20+d_Irr!BX20)),IF(AND(d_Irr!Z20=".",d_Irr!AY20=".",d_Irr!BX20&lt;&gt;"."),d_dir!AA20/((1/1000)*(d_Irr!BX20)),IF(AND(d_Irr!Z20=".",d_Irr!AY20&lt;&gt;".",d_Irr!BX20="."),d_dir!AA20/((1/1000)*(d_Irr!AY20)),IF(AND(d_Irr!Z20&lt;&gt;".",d_Irr!AY20=".",d_Irr!BX20="."),d_dir!AA20/((1/1000)*(d_Irr!Z20)),IF(AND(d_Irr!Z20=".",d_Irr!AY20=".",d_Irr!BX20="."),d_dir!AA20*1000)))))))),".")</f>
        <v>.</v>
      </c>
      <c r="AB20" s="76" t="str">
        <f>IFERROR(IF(AND(d_Irr!AA20&lt;&gt;".",d_Irr!AZ20&lt;&gt;".",d_Irr!BY20&lt;&gt;"."),d_dir!AB20/((1/1000)*(d_Irr!AA20+d_Irr!AZ20+d_Irr!BY20)),IF(AND(d_Irr!AA20&lt;&gt;".",d_Irr!AZ20&lt;&gt;".",d_Irr!BY20="."),d_dir!AB20/((1/1000)*(d_Irr!AA20+d_Irr!AZ20)),IF(AND(d_Irr!AA20&lt;&gt;".",d_Irr!AZ20=".",d_Irr!BY20&lt;&gt;"."),d_dir!AB20/((1/1000)*(d_Irr!AA20+d_Irr!BY20)),IF(AND(d_Irr!AA20=".",d_Irr!AZ20&lt;&gt;".",d_Irr!BY20&lt;&gt;"."),d_dir!AB20/((1/1000)*(d_Irr!AZ20+d_Irr!BY20)),IF(AND(d_Irr!AA20=".",d_Irr!AZ20=".",d_Irr!BY20&lt;&gt;"."),d_dir!AB20/((1/1000)*(d_Irr!BY20)),IF(AND(d_Irr!AA20=".",d_Irr!AZ20&lt;&gt;".",d_Irr!BY20="."),d_dir!AB20/((1/1000)*(d_Irr!AZ20)),IF(AND(d_Irr!AA20&lt;&gt;".",d_Irr!AZ20=".",d_Irr!BY20="."),d_dir!AB20/((1/1000)*(d_Irr!AA20)),IF(AND(d_Irr!AA20=".",d_Irr!AZ20=".",d_Irr!BY20="."),d_dir!AB20*1000)))))))),".")</f>
        <v>.</v>
      </c>
      <c r="AC20" s="76" t="str">
        <f t="shared" si="0"/>
        <v>.</v>
      </c>
      <c r="AD20" s="76" t="str">
        <f>IFERROR(IF(AND(d_Irr!C20&lt;&gt;".",d_Irr!AB20&lt;&gt;".",d_Irr!BA20&lt;&gt;"."),d_dir!AD20/((1/1000)*(d_Irr!C20+d_Irr!AB20+d_Irr!BA20)),IF(AND(d_Irr!C20&lt;&gt;".",d_Irr!AB20&lt;&gt;".",d_Irr!BA20="."),d_dir!AD20/((1/1000)*(d_Irr!C20+d_Irr!AB20)),IF(AND(d_Irr!C20&lt;&gt;".",d_Irr!AB20=".",d_Irr!BA20&lt;&gt;"."),d_dir!AD20/((1/1000)*(d_Irr!C20+d_Irr!BA20)),IF(AND(d_Irr!C20=".",d_Irr!AB20&lt;&gt;".",d_Irr!BA20&lt;&gt;"."),d_dir!AD20/((1/1000)*(d_Irr!AB20+d_Irr!BA20)),IF(AND(d_Irr!C20=".",d_Irr!AB20=".",d_Irr!BA20&lt;&gt;"."),d_dir!AD20/((1/1000)*(d_Irr!BA20)),IF(AND(d_Irr!C20=".",d_Irr!AB20&lt;&gt;".",d_Irr!BA20="."),d_dir!AD20/((1/1000)*(d_Irr!AB20)),IF(AND(d_Irr!C20&lt;&gt;".",d_Irr!AB20=".",d_Irr!BA20="."),d_dir!AD20/((1/1000)*(d_Irr!C20)),IF(AND(d_Irr!C20=".",d_Irr!AB20=".",d_Irr!BA20="."),d_dir!AD20*1000)))))))),".")</f>
        <v>.</v>
      </c>
      <c r="AE20" s="76" t="str">
        <f>IFERROR(IF(AND(d_Irr!D20&lt;&gt;".",d_Irr!AC20&lt;&gt;".",d_Irr!BB20&lt;&gt;"."),d_dir!AE20/((1/1000)*(d_Irr!D20+d_Irr!AC20+d_Irr!BB20)),IF(AND(d_Irr!D20&lt;&gt;".",d_Irr!AC20&lt;&gt;".",d_Irr!BB20="."),d_dir!AE20/((1/1000)*(d_Irr!D20+d_Irr!AC20)),IF(AND(d_Irr!D20&lt;&gt;".",d_Irr!AC20=".",d_Irr!BB20&lt;&gt;"."),d_dir!AE20/((1/1000)*(d_Irr!D20+d_Irr!BB20)),IF(AND(d_Irr!D20=".",d_Irr!AC20&lt;&gt;".",d_Irr!BB20&lt;&gt;"."),d_dir!AE20/((1/1000)*(d_Irr!AC20+d_Irr!BB20)),IF(AND(d_Irr!D20=".",d_Irr!AC20=".",d_Irr!BB20&lt;&gt;"."),d_dir!AE20/((1/1000)*(d_Irr!BB20)),IF(AND(d_Irr!D20=".",d_Irr!AC20&lt;&gt;".",d_Irr!BB20="."),d_dir!AE20/((1/1000)*(d_Irr!AC20)),IF(AND(d_Irr!D20&lt;&gt;".",d_Irr!AC20=".",d_Irr!BB20="."),d_dir!AE20/((1/1000)*(d_Irr!D20)),IF(AND(d_Irr!D20=".",d_Irr!AC20=".",d_Irr!BB20="."),d_dir!AE20*1000)))))))),".")</f>
        <v>.</v>
      </c>
      <c r="AF20" s="76" t="str">
        <f>IFERROR(IF(AND(d_Irr!E20&lt;&gt;".",d_Irr!AD20&lt;&gt;".",d_Irr!BC20&lt;&gt;"."),d_dir!AF20/((1/1000)*(d_Irr!E20+d_Irr!AD20+d_Irr!BC20)),IF(AND(d_Irr!E20&lt;&gt;".",d_Irr!AD20&lt;&gt;".",d_Irr!BC20="."),d_dir!AF20/((1/1000)*(d_Irr!E20+d_Irr!AD20)),IF(AND(d_Irr!E20&lt;&gt;".",d_Irr!AD20=".",d_Irr!BC20&lt;&gt;"."),d_dir!AF20/((1/1000)*(d_Irr!E20+d_Irr!BC20)),IF(AND(d_Irr!E20=".",d_Irr!AD20&lt;&gt;".",d_Irr!BC20&lt;&gt;"."),d_dir!AF20/((1/1000)*(d_Irr!AD20+d_Irr!BC20)),IF(AND(d_Irr!E20=".",d_Irr!AD20=".",d_Irr!BC20&lt;&gt;"."),d_dir!AF20/((1/1000)*(d_Irr!BC20)),IF(AND(d_Irr!E20=".",d_Irr!AD20&lt;&gt;".",d_Irr!BC20="."),d_dir!AF20/((1/1000)*(d_Irr!AD20)),IF(AND(d_Irr!E20&lt;&gt;".",d_Irr!AD20=".",d_Irr!BC20="."),d_dir!AF20/((1/1000)*(d_Irr!E20)),IF(AND(d_Irr!E20=".",d_Irr!AD20=".",d_Irr!BC20="."),d_dir!AF20*1000)))))))),".")</f>
        <v>.</v>
      </c>
      <c r="AG20" s="76" t="str">
        <f>IFERROR(IF(AND(d_Irr!F20&lt;&gt;".",d_Irr!AE20&lt;&gt;".",d_Irr!BD20&lt;&gt;"."),d_dir!AG20/((1/1000)*(d_Irr!F20+d_Irr!AE20+d_Irr!BD20)),IF(AND(d_Irr!F20&lt;&gt;".",d_Irr!AE20&lt;&gt;".",d_Irr!BD20="."),d_dir!AG20/((1/1000)*(d_Irr!F20+d_Irr!AE20)),IF(AND(d_Irr!F20&lt;&gt;".",d_Irr!AE20=".",d_Irr!BD20&lt;&gt;"."),d_dir!AG20/((1/1000)*(d_Irr!F20+d_Irr!BD20)),IF(AND(d_Irr!F20=".",d_Irr!AE20&lt;&gt;".",d_Irr!BD20&lt;&gt;"."),d_dir!AG20/((1/1000)*(d_Irr!AE20+d_Irr!BD20)),IF(AND(d_Irr!F20=".",d_Irr!AE20=".",d_Irr!BD20&lt;&gt;"."),d_dir!AG20/((1/1000)*(d_Irr!BD20)),IF(AND(d_Irr!F20=".",d_Irr!AE20&lt;&gt;".",d_Irr!BD20="."),d_dir!AG20/((1/1000)*(d_Irr!AE20)),IF(AND(d_Irr!F20&lt;&gt;".",d_Irr!AE20=".",d_Irr!BD20="."),d_dir!AG20/((1/1000)*(d_Irr!F20)),IF(AND(d_Irr!F20=".",d_Irr!AE20=".",d_Irr!BD20="."),d_dir!AG20*1000)))))))),".")</f>
        <v>.</v>
      </c>
      <c r="AH20" s="76" t="str">
        <f>IFERROR(IF(AND(d_Irr!G20&lt;&gt;".",d_Irr!AF20&lt;&gt;".",d_Irr!BE20&lt;&gt;"."),d_dir!AH20/((1/1000)*(d_Irr!G20+d_Irr!AF20+d_Irr!BE20)),IF(AND(d_Irr!G20&lt;&gt;".",d_Irr!AF20&lt;&gt;".",d_Irr!BE20="."),d_dir!AH20/((1/1000)*(d_Irr!G20+d_Irr!AF20)),IF(AND(d_Irr!G20&lt;&gt;".",d_Irr!AF20=".",d_Irr!BE20&lt;&gt;"."),d_dir!AH20/((1/1000)*(d_Irr!G20+d_Irr!BE20)),IF(AND(d_Irr!G20=".",d_Irr!AF20&lt;&gt;".",d_Irr!BE20&lt;&gt;"."),d_dir!AH20/((1/1000)*(d_Irr!AF20+d_Irr!BE20)),IF(AND(d_Irr!G20=".",d_Irr!AF20=".",d_Irr!BE20&lt;&gt;"."),d_dir!AH20/((1/1000)*(d_Irr!BE20)),IF(AND(d_Irr!G20=".",d_Irr!AF20&lt;&gt;".",d_Irr!BE20="."),d_dir!AH20/((1/1000)*(d_Irr!AF20)),IF(AND(d_Irr!G20&lt;&gt;".",d_Irr!AF20=".",d_Irr!BE20="."),d_dir!AH20/((1/1000)*(d_Irr!G20)),IF(AND(d_Irr!G20=".",d_Irr!AF20=".",d_Irr!BE20="."),d_dir!AH20*1000)))))))),".")</f>
        <v>.</v>
      </c>
      <c r="AI20" s="76" t="str">
        <f>IFERROR(IF(AND(d_Irr!H20&lt;&gt;".",d_Irr!AG20&lt;&gt;".",d_Irr!BF20&lt;&gt;"."),d_dir!AI20/((1/1000)*(d_Irr!H20+d_Irr!AG20+d_Irr!BF20)),IF(AND(d_Irr!H20&lt;&gt;".",d_Irr!AG20&lt;&gt;".",d_Irr!BF20="."),d_dir!AI20/((1/1000)*(d_Irr!H20+d_Irr!AG20)),IF(AND(d_Irr!H20&lt;&gt;".",d_Irr!AG20=".",d_Irr!BF20&lt;&gt;"."),d_dir!AI20/((1/1000)*(d_Irr!H20+d_Irr!BF20)),IF(AND(d_Irr!H20=".",d_Irr!AG20&lt;&gt;".",d_Irr!BF20&lt;&gt;"."),d_dir!AI20/((1/1000)*(d_Irr!AG20+d_Irr!BF20)),IF(AND(d_Irr!H20=".",d_Irr!AG20=".",d_Irr!BF20&lt;&gt;"."),d_dir!AI20/((1/1000)*(d_Irr!BF20)),IF(AND(d_Irr!H20=".",d_Irr!AG20&lt;&gt;".",d_Irr!BF20="."),d_dir!AI20/((1/1000)*(d_Irr!AG20)),IF(AND(d_Irr!H20&lt;&gt;".",d_Irr!AG20=".",d_Irr!BF20="."),d_dir!AI20/((1/1000)*(d_Irr!H20)),IF(AND(d_Irr!H20=".",d_Irr!AG20=".",d_Irr!BF20="."),d_dir!AI20*1000)))))))),".")</f>
        <v>.</v>
      </c>
      <c r="AJ20" s="76" t="str">
        <f>IFERROR(IF(AND(d_Irr!I20&lt;&gt;".",d_Irr!AH20&lt;&gt;".",d_Irr!BG20&lt;&gt;"."),d_dir!AJ20/((1/1000)*(d_Irr!I20+d_Irr!AH20+d_Irr!BG20)),IF(AND(d_Irr!I20&lt;&gt;".",d_Irr!AH20&lt;&gt;".",d_Irr!BG20="."),d_dir!AJ20/((1/1000)*(d_Irr!I20+d_Irr!AH20)),IF(AND(d_Irr!I20&lt;&gt;".",d_Irr!AH20=".",d_Irr!BG20&lt;&gt;"."),d_dir!AJ20/((1/1000)*(d_Irr!I20+d_Irr!BG20)),IF(AND(d_Irr!I20=".",d_Irr!AH20&lt;&gt;".",d_Irr!BG20&lt;&gt;"."),d_dir!AJ20/((1/1000)*(d_Irr!AH20+d_Irr!BG20)),IF(AND(d_Irr!I20=".",d_Irr!AH20=".",d_Irr!BG20&lt;&gt;"."),d_dir!AJ20/((1/1000)*(d_Irr!BG20)),IF(AND(d_Irr!I20=".",d_Irr!AH20&lt;&gt;".",d_Irr!BG20="."),d_dir!AJ20/((1/1000)*(d_Irr!AH20)),IF(AND(d_Irr!I20&lt;&gt;".",d_Irr!AH20=".",d_Irr!BG20="."),d_dir!AJ20/((1/1000)*(d_Irr!I20)),IF(AND(d_Irr!I20=".",d_Irr!AH20=".",d_Irr!BG20="."),d_dir!AJ20*1000)))))))),".")</f>
        <v>.</v>
      </c>
      <c r="AK20" s="76" t="str">
        <f>IFERROR(IF(AND(d_Irr!J20&lt;&gt;".",d_Irr!AI20&lt;&gt;".",d_Irr!BH20&lt;&gt;"."),d_dir!AK20/((1/1000)*(d_Irr!J20+d_Irr!AI20+d_Irr!BH20)),IF(AND(d_Irr!J20&lt;&gt;".",d_Irr!AI20&lt;&gt;".",d_Irr!BH20="."),d_dir!AK20/((1/1000)*(d_Irr!J20+d_Irr!AI20)),IF(AND(d_Irr!J20&lt;&gt;".",d_Irr!AI20=".",d_Irr!BH20&lt;&gt;"."),d_dir!AK20/((1/1000)*(d_Irr!J20+d_Irr!BH20)),IF(AND(d_Irr!J20=".",d_Irr!AI20&lt;&gt;".",d_Irr!BH20&lt;&gt;"."),d_dir!AK20/((1/1000)*(d_Irr!AI20+d_Irr!BH20)),IF(AND(d_Irr!J20=".",d_Irr!AI20=".",d_Irr!BH20&lt;&gt;"."),d_dir!AK20/((1/1000)*(d_Irr!BH20)),IF(AND(d_Irr!J20=".",d_Irr!AI20&lt;&gt;".",d_Irr!BH20="."),d_dir!AK20/((1/1000)*(d_Irr!AI20)),IF(AND(d_Irr!J20&lt;&gt;".",d_Irr!AI20=".",d_Irr!BH20="."),d_dir!AK20/((1/1000)*(d_Irr!J20)),IF(AND(d_Irr!J20=".",d_Irr!AI20=".",d_Irr!BH20="."),d_dir!AK20*1000)))))))),".")</f>
        <v>.</v>
      </c>
      <c r="AL20" s="76" t="str">
        <f>IFERROR(IF(AND(d_Irr!K20&lt;&gt;".",d_Irr!AJ20&lt;&gt;".",d_Irr!BI20&lt;&gt;"."),d_dir!AL20/((1/1000)*(d_Irr!K20+d_Irr!AJ20+d_Irr!BI20)),IF(AND(d_Irr!K20&lt;&gt;".",d_Irr!AJ20&lt;&gt;".",d_Irr!BI20="."),d_dir!AL20/((1/1000)*(d_Irr!K20+d_Irr!AJ20)),IF(AND(d_Irr!K20&lt;&gt;".",d_Irr!AJ20=".",d_Irr!BI20&lt;&gt;"."),d_dir!AL20/((1/1000)*(d_Irr!K20+d_Irr!BI20)),IF(AND(d_Irr!K20=".",d_Irr!AJ20&lt;&gt;".",d_Irr!BI20&lt;&gt;"."),d_dir!AL20/((1/1000)*(d_Irr!AJ20+d_Irr!BI20)),IF(AND(d_Irr!K20=".",d_Irr!AJ20=".",d_Irr!BI20&lt;&gt;"."),d_dir!AL20/((1/1000)*(d_Irr!BI20)),IF(AND(d_Irr!K20=".",d_Irr!AJ20&lt;&gt;".",d_Irr!BI20="."),d_dir!AL20/((1/1000)*(d_Irr!AJ20)),IF(AND(d_Irr!K20&lt;&gt;".",d_Irr!AJ20=".",d_Irr!BI20="."),d_dir!AL20/((1/1000)*(d_Irr!K20)),IF(AND(d_Irr!K20=".",d_Irr!AJ20=".",d_Irr!BI20="."),d_dir!AL20*1000)))))))),".")</f>
        <v>.</v>
      </c>
      <c r="AM20" s="76" t="str">
        <f>IFERROR(IF(AND(d_Irr!L20&lt;&gt;".",d_Irr!AK20&lt;&gt;".",d_Irr!BJ20&lt;&gt;"."),d_dir!AM20/((1/1000)*(d_Irr!L20+d_Irr!AK20+d_Irr!BJ20)),IF(AND(d_Irr!L20&lt;&gt;".",d_Irr!AK20&lt;&gt;".",d_Irr!BJ20="."),d_dir!AM20/((1/1000)*(d_Irr!L20+d_Irr!AK20)),IF(AND(d_Irr!L20&lt;&gt;".",d_Irr!AK20=".",d_Irr!BJ20&lt;&gt;"."),d_dir!AM20/((1/1000)*(d_Irr!L20+d_Irr!BJ20)),IF(AND(d_Irr!L20=".",d_Irr!AK20&lt;&gt;".",d_Irr!BJ20&lt;&gt;"."),d_dir!AM20/((1/1000)*(d_Irr!AK20+d_Irr!BJ20)),IF(AND(d_Irr!L20=".",d_Irr!AK20=".",d_Irr!BJ20&lt;&gt;"."),d_dir!AM20/((1/1000)*(d_Irr!BJ20)),IF(AND(d_Irr!L20=".",d_Irr!AK20&lt;&gt;".",d_Irr!BJ20="."),d_dir!AM20/((1/1000)*(d_Irr!AK20)),IF(AND(d_Irr!L20&lt;&gt;".",d_Irr!AK20=".",d_Irr!BJ20="."),d_dir!AM20/((1/1000)*(d_Irr!L20)),IF(AND(d_Irr!L20=".",d_Irr!AK20=".",d_Irr!BJ20="."),d_dir!AM20*1000)))))))),".")</f>
        <v>.</v>
      </c>
      <c r="AN20" s="76" t="str">
        <f>IFERROR(IF(AND(d_Irr!M20&lt;&gt;".",d_Irr!AL20&lt;&gt;".",d_Irr!BK20&lt;&gt;"."),d_dir!AN20/((1/1000)*(d_Irr!M20+d_Irr!AL20+d_Irr!BK20)),IF(AND(d_Irr!M20&lt;&gt;".",d_Irr!AL20&lt;&gt;".",d_Irr!BK20="."),d_dir!AN20/((1/1000)*(d_Irr!M20+d_Irr!AL20)),IF(AND(d_Irr!M20&lt;&gt;".",d_Irr!AL20=".",d_Irr!BK20&lt;&gt;"."),d_dir!AN20/((1/1000)*(d_Irr!M20+d_Irr!BK20)),IF(AND(d_Irr!M20=".",d_Irr!AL20&lt;&gt;".",d_Irr!BK20&lt;&gt;"."),d_dir!AN20/((1/1000)*(d_Irr!AL20+d_Irr!BK20)),IF(AND(d_Irr!M20=".",d_Irr!AL20=".",d_Irr!BK20&lt;&gt;"."),d_dir!AN20/((1/1000)*(d_Irr!BK20)),IF(AND(d_Irr!M20=".",d_Irr!AL20&lt;&gt;".",d_Irr!BK20="."),d_dir!AN20/((1/1000)*(d_Irr!AL20)),IF(AND(d_Irr!M20&lt;&gt;".",d_Irr!AL20=".",d_Irr!BK20="."),d_dir!AN20/((1/1000)*(d_Irr!M20)),IF(AND(d_Irr!M20=".",d_Irr!AL20=".",d_Irr!BK20="."),d_dir!AN20*1000)))))))),".")</f>
        <v>.</v>
      </c>
      <c r="AO20" s="76" t="str">
        <f>IFERROR(IF(AND(d_Irr!N20&lt;&gt;".",d_Irr!AM20&lt;&gt;".",d_Irr!BL20&lt;&gt;"."),d_dir!AO20/((1/1000)*(d_Irr!N20+d_Irr!AM20+d_Irr!BL20)),IF(AND(d_Irr!N20&lt;&gt;".",d_Irr!AM20&lt;&gt;".",d_Irr!BL20="."),d_dir!AO20/((1/1000)*(d_Irr!N20+d_Irr!AM20)),IF(AND(d_Irr!N20&lt;&gt;".",d_Irr!AM20=".",d_Irr!BL20&lt;&gt;"."),d_dir!AO20/((1/1000)*(d_Irr!N20+d_Irr!BL20)),IF(AND(d_Irr!N20=".",d_Irr!AM20&lt;&gt;".",d_Irr!BL20&lt;&gt;"."),d_dir!AO20/((1/1000)*(d_Irr!AM20+d_Irr!BL20)),IF(AND(d_Irr!N20=".",d_Irr!AM20=".",d_Irr!BL20&lt;&gt;"."),d_dir!AO20/((1/1000)*(d_Irr!BL20)),IF(AND(d_Irr!N20=".",d_Irr!AM20&lt;&gt;".",d_Irr!BL20="."),d_dir!AO20/((1/1000)*(d_Irr!AM20)),IF(AND(d_Irr!N20&lt;&gt;".",d_Irr!AM20=".",d_Irr!BL20="."),d_dir!AO20/((1/1000)*(d_Irr!N20)),IF(AND(d_Irr!N20=".",d_Irr!AM20=".",d_Irr!BL20="."),d_dir!AO20*1000)))))))),".")</f>
        <v>.</v>
      </c>
      <c r="AP20" s="76" t="str">
        <f>IFERROR(IF(AND(d_Irr!O20&lt;&gt;".",d_Irr!AN20&lt;&gt;".",d_Irr!BM20&lt;&gt;"."),d_dir!AP20/((1/1000)*(d_Irr!O20+d_Irr!AN20+d_Irr!BM20)),IF(AND(d_Irr!O20&lt;&gt;".",d_Irr!AN20&lt;&gt;".",d_Irr!BM20="."),d_dir!AP20/((1/1000)*(d_Irr!O20+d_Irr!AN20)),IF(AND(d_Irr!O20&lt;&gt;".",d_Irr!AN20=".",d_Irr!BM20&lt;&gt;"."),d_dir!AP20/((1/1000)*(d_Irr!O20+d_Irr!BM20)),IF(AND(d_Irr!O20=".",d_Irr!AN20&lt;&gt;".",d_Irr!BM20&lt;&gt;"."),d_dir!AP20/((1/1000)*(d_Irr!AN20+d_Irr!BM20)),IF(AND(d_Irr!O20=".",d_Irr!AN20=".",d_Irr!BM20&lt;&gt;"."),d_dir!AP20/((1/1000)*(d_Irr!BM20)),IF(AND(d_Irr!O20=".",d_Irr!AN20&lt;&gt;".",d_Irr!BM20="."),d_dir!AP20/((1/1000)*(d_Irr!AN20)),IF(AND(d_Irr!O20&lt;&gt;".",d_Irr!AN20=".",d_Irr!BM20="."),d_dir!AP20/((1/1000)*(d_Irr!O20)),IF(AND(d_Irr!O20=".",d_Irr!AN20=".",d_Irr!BM20="."),d_dir!AP20*1000)))))))),".")</f>
        <v>.</v>
      </c>
      <c r="AQ20" s="76" t="str">
        <f>IFERROR(IF(AND(d_Irr!P20&lt;&gt;".",d_Irr!AO20&lt;&gt;".",d_Irr!BN20&lt;&gt;"."),d_dir!AQ20/((1/1000)*(d_Irr!P20+d_Irr!AO20+d_Irr!BN20)),IF(AND(d_Irr!P20&lt;&gt;".",d_Irr!AO20&lt;&gt;".",d_Irr!BN20="."),d_dir!AQ20/((1/1000)*(d_Irr!P20+d_Irr!AO20)),IF(AND(d_Irr!P20&lt;&gt;".",d_Irr!AO20=".",d_Irr!BN20&lt;&gt;"."),d_dir!AQ20/((1/1000)*(d_Irr!P20+d_Irr!BN20)),IF(AND(d_Irr!P20=".",d_Irr!AO20&lt;&gt;".",d_Irr!BN20&lt;&gt;"."),d_dir!AQ20/((1/1000)*(d_Irr!AO20+d_Irr!BN20)),IF(AND(d_Irr!P20=".",d_Irr!AO20=".",d_Irr!BN20&lt;&gt;"."),d_dir!AQ20/((1/1000)*(d_Irr!BN20)),IF(AND(d_Irr!P20=".",d_Irr!AO20&lt;&gt;".",d_Irr!BN20="."),d_dir!AQ20/((1/1000)*(d_Irr!AO20)),IF(AND(d_Irr!P20&lt;&gt;".",d_Irr!AO20=".",d_Irr!BN20="."),d_dir!AQ20/((1/1000)*(d_Irr!P20)),IF(AND(d_Irr!P20=".",d_Irr!AO20=".",d_Irr!BN20="."),d_dir!AQ20*1000)))))))),".")</f>
        <v>.</v>
      </c>
      <c r="AR20" s="76" t="str">
        <f>IFERROR(IF(AND(d_Irr!Q20&lt;&gt;".",d_Irr!AP20&lt;&gt;".",d_Irr!BO20&lt;&gt;"."),d_dir!AR20/((1/1000)*(d_Irr!Q20+d_Irr!AP20+d_Irr!BO20)),IF(AND(d_Irr!Q20&lt;&gt;".",d_Irr!AP20&lt;&gt;".",d_Irr!BO20="."),d_dir!AR20/((1/1000)*(d_Irr!Q20+d_Irr!AP20)),IF(AND(d_Irr!Q20&lt;&gt;".",d_Irr!AP20=".",d_Irr!BO20&lt;&gt;"."),d_dir!AR20/((1/1000)*(d_Irr!Q20+d_Irr!BO20)),IF(AND(d_Irr!Q20=".",d_Irr!AP20&lt;&gt;".",d_Irr!BO20&lt;&gt;"."),d_dir!AR20/((1/1000)*(d_Irr!AP20+d_Irr!BO20)),IF(AND(d_Irr!Q20=".",d_Irr!AP20=".",d_Irr!BO20&lt;&gt;"."),d_dir!AR20/((1/1000)*(d_Irr!BO20)),IF(AND(d_Irr!Q20=".",d_Irr!AP20&lt;&gt;".",d_Irr!BO20="."),d_dir!AR20/((1/1000)*(d_Irr!AP20)),IF(AND(d_Irr!Q20&lt;&gt;".",d_Irr!AP20=".",d_Irr!BO20="."),d_dir!AR20/((1/1000)*(d_Irr!Q20)),IF(AND(d_Irr!Q20=".",d_Irr!AP20=".",d_Irr!BO20="."),d_dir!AR20*1000)))))))),".")</f>
        <v>.</v>
      </c>
      <c r="AS20" s="76" t="str">
        <f>IFERROR(IF(AND(d_Irr!R20&lt;&gt;".",d_Irr!AQ20&lt;&gt;".",d_Irr!BP20&lt;&gt;"."),d_dir!AS20/((1/1000)*(d_Irr!R20+d_Irr!AQ20+d_Irr!BP20)),IF(AND(d_Irr!R20&lt;&gt;".",d_Irr!AQ20&lt;&gt;".",d_Irr!BP20="."),d_dir!AS20/((1/1000)*(d_Irr!R20+d_Irr!AQ20)),IF(AND(d_Irr!R20&lt;&gt;".",d_Irr!AQ20=".",d_Irr!BP20&lt;&gt;"."),d_dir!AS20/((1/1000)*(d_Irr!R20+d_Irr!BP20)),IF(AND(d_Irr!R20=".",d_Irr!AQ20&lt;&gt;".",d_Irr!BP20&lt;&gt;"."),d_dir!AS20/((1/1000)*(d_Irr!AQ20+d_Irr!BP20)),IF(AND(d_Irr!R20=".",d_Irr!AQ20=".",d_Irr!BP20&lt;&gt;"."),d_dir!AS20/((1/1000)*(d_Irr!BP20)),IF(AND(d_Irr!R20=".",d_Irr!AQ20&lt;&gt;".",d_Irr!BP20="."),d_dir!AS20/((1/1000)*(d_Irr!AQ20)),IF(AND(d_Irr!R20&lt;&gt;".",d_Irr!AQ20=".",d_Irr!BP20="."),d_dir!AS20/((1/1000)*(d_Irr!R20)),IF(AND(d_Irr!R20=".",d_Irr!AQ20=".",d_Irr!BP20="."),d_dir!AS20*1000)))))))),".")</f>
        <v>.</v>
      </c>
      <c r="AT20" s="76" t="str">
        <f>IFERROR(IF(AND(d_Irr!S20&lt;&gt;".",d_Irr!AR20&lt;&gt;".",d_Irr!BQ20&lt;&gt;"."),d_dir!AT20/((1/1000)*(d_Irr!S20+d_Irr!AR20+d_Irr!BQ20)),IF(AND(d_Irr!S20&lt;&gt;".",d_Irr!AR20&lt;&gt;".",d_Irr!BQ20="."),d_dir!AT20/((1/1000)*(d_Irr!S20+d_Irr!AR20)),IF(AND(d_Irr!S20&lt;&gt;".",d_Irr!AR20=".",d_Irr!BQ20&lt;&gt;"."),d_dir!AT20/((1/1000)*(d_Irr!S20+d_Irr!BQ20)),IF(AND(d_Irr!S20=".",d_Irr!AR20&lt;&gt;".",d_Irr!BQ20&lt;&gt;"."),d_dir!AT20/((1/1000)*(d_Irr!AR20+d_Irr!BQ20)),IF(AND(d_Irr!S20=".",d_Irr!AR20=".",d_Irr!BQ20&lt;&gt;"."),d_dir!AT20/((1/1000)*(d_Irr!BQ20)),IF(AND(d_Irr!S20=".",d_Irr!AR20&lt;&gt;".",d_Irr!BQ20="."),d_dir!AT20/((1/1000)*(d_Irr!AR20)),IF(AND(d_Irr!S20&lt;&gt;".",d_Irr!AR20=".",d_Irr!BQ20="."),d_dir!AT20/((1/1000)*(d_Irr!S20)),IF(AND(d_Irr!S20=".",d_Irr!AR20=".",d_Irr!BQ20="."),d_dir!AT20*1000)))))))),".")</f>
        <v>.</v>
      </c>
      <c r="AU20" s="76" t="str">
        <f>IFERROR(IF(AND(d_Irr!T20&lt;&gt;".",d_Irr!AS20&lt;&gt;".",d_Irr!BR20&lt;&gt;"."),d_dir!AU20/((1/1000)*(d_Irr!T20+d_Irr!AS20+d_Irr!BR20)),IF(AND(d_Irr!T20&lt;&gt;".",d_Irr!AS20&lt;&gt;".",d_Irr!BR20="."),d_dir!AU20/((1/1000)*(d_Irr!T20+d_Irr!AS20)),IF(AND(d_Irr!T20&lt;&gt;".",d_Irr!AS20=".",d_Irr!BR20&lt;&gt;"."),d_dir!AU20/((1/1000)*(d_Irr!T20+d_Irr!BR20)),IF(AND(d_Irr!T20=".",d_Irr!AS20&lt;&gt;".",d_Irr!BR20&lt;&gt;"."),d_dir!AU20/((1/1000)*(d_Irr!AS20+d_Irr!BR20)),IF(AND(d_Irr!T20=".",d_Irr!AS20=".",d_Irr!BR20&lt;&gt;"."),d_dir!AU20/((1/1000)*(d_Irr!BR20)),IF(AND(d_Irr!T20=".",d_Irr!AS20&lt;&gt;".",d_Irr!BR20="."),d_dir!AU20/((1/1000)*(d_Irr!AS20)),IF(AND(d_Irr!T20&lt;&gt;".",d_Irr!AS20=".",d_Irr!BR20="."),d_dir!AU20/((1/1000)*(d_Irr!T20)),IF(AND(d_Irr!T20=".",d_Irr!AS20=".",d_Irr!BR20="."),d_dir!AU20*1000)))))))),".")</f>
        <v>.</v>
      </c>
      <c r="AV20" s="76" t="str">
        <f>IFERROR(IF(AND(d_Irr!U20&lt;&gt;".",d_Irr!AT20&lt;&gt;".",d_Irr!BS20&lt;&gt;"."),d_dir!AV20/((1/1000)*(d_Irr!U20+d_Irr!AT20+d_Irr!BS20)),IF(AND(d_Irr!U20&lt;&gt;".",d_Irr!AT20&lt;&gt;".",d_Irr!BS20="."),d_dir!AV20/((1/1000)*(d_Irr!U20+d_Irr!AT20)),IF(AND(d_Irr!U20&lt;&gt;".",d_Irr!AT20=".",d_Irr!BS20&lt;&gt;"."),d_dir!AV20/((1/1000)*(d_Irr!U20+d_Irr!BS20)),IF(AND(d_Irr!U20=".",d_Irr!AT20&lt;&gt;".",d_Irr!BS20&lt;&gt;"."),d_dir!AV20/((1/1000)*(d_Irr!AT20+d_Irr!BS20)),IF(AND(d_Irr!U20=".",d_Irr!AT20=".",d_Irr!BS20&lt;&gt;"."),d_dir!AV20/((1/1000)*(d_Irr!BS20)),IF(AND(d_Irr!U20=".",d_Irr!AT20&lt;&gt;".",d_Irr!BS20="."),d_dir!AV20/((1/1000)*(d_Irr!AT20)),IF(AND(d_Irr!U20&lt;&gt;".",d_Irr!AT20=".",d_Irr!BS20="."),d_dir!AV20/((1/1000)*(d_Irr!U20)),IF(AND(d_Irr!U20=".",d_Irr!AT20=".",d_Irr!BS20="."),d_dir!AV20*1000)))))))),".")</f>
        <v>.</v>
      </c>
      <c r="AW20" s="76" t="str">
        <f>IFERROR(IF(AND(d_Irr!V20&lt;&gt;".",d_Irr!AU20&lt;&gt;".",d_Irr!BT20&lt;&gt;"."),d_dir!AW20/((1/1000)*(d_Irr!V20+d_Irr!AU20+d_Irr!BT20)),IF(AND(d_Irr!V20&lt;&gt;".",d_Irr!AU20&lt;&gt;".",d_Irr!BT20="."),d_dir!AW20/((1/1000)*(d_Irr!V20+d_Irr!AU20)),IF(AND(d_Irr!V20&lt;&gt;".",d_Irr!AU20=".",d_Irr!BT20&lt;&gt;"."),d_dir!AW20/((1/1000)*(d_Irr!V20+d_Irr!BT20)),IF(AND(d_Irr!V20=".",d_Irr!AU20&lt;&gt;".",d_Irr!BT20&lt;&gt;"."),d_dir!AW20/((1/1000)*(d_Irr!AU20+d_Irr!BT20)),IF(AND(d_Irr!V20=".",d_Irr!AU20=".",d_Irr!BT20&lt;&gt;"."),d_dir!AW20/((1/1000)*(d_Irr!BT20)),IF(AND(d_Irr!V20=".",d_Irr!AU20&lt;&gt;".",d_Irr!BT20="."),d_dir!AW20/((1/1000)*(d_Irr!AU20)),IF(AND(d_Irr!V20&lt;&gt;".",d_Irr!AU20=".",d_Irr!BT20="."),d_dir!AW20/((1/1000)*(d_Irr!V20)),IF(AND(d_Irr!V20=".",d_Irr!AU20=".",d_Irr!BT20="."),d_dir!AW20*1000)))))))),".")</f>
        <v>.</v>
      </c>
      <c r="AX20" s="76" t="str">
        <f>IFERROR(IF(AND(d_Irr!W20&lt;&gt;".",d_Irr!AV20&lt;&gt;".",d_Irr!BU20&lt;&gt;"."),d_dir!AX20/((1/1000)*(d_Irr!W20+d_Irr!AV20+d_Irr!BU20)),IF(AND(d_Irr!W20&lt;&gt;".",d_Irr!AV20&lt;&gt;".",d_Irr!BU20="."),d_dir!AX20/((1/1000)*(d_Irr!W20+d_Irr!AV20)),IF(AND(d_Irr!W20&lt;&gt;".",d_Irr!AV20=".",d_Irr!BU20&lt;&gt;"."),d_dir!AX20/((1/1000)*(d_Irr!W20+d_Irr!BU20)),IF(AND(d_Irr!W20=".",d_Irr!AV20&lt;&gt;".",d_Irr!BU20&lt;&gt;"."),d_dir!AX20/((1/1000)*(d_Irr!AV20+d_Irr!BU20)),IF(AND(d_Irr!W20=".",d_Irr!AV20=".",d_Irr!BU20&lt;&gt;"."),d_dir!AX20/((1/1000)*(d_Irr!BU20)),IF(AND(d_Irr!W20=".",d_Irr!AV20&lt;&gt;".",d_Irr!BU20="."),d_dir!AX20/((1/1000)*(d_Irr!AV20)),IF(AND(d_Irr!W20&lt;&gt;".",d_Irr!AV20=".",d_Irr!BU20="."),d_dir!AX20/((1/1000)*(d_Irr!W20)),IF(AND(d_Irr!W20=".",d_Irr!AV20=".",d_Irr!BU20="."),d_dir!AX20*1000)))))))),".")</f>
        <v>.</v>
      </c>
      <c r="AY20" s="76" t="str">
        <f>IFERROR(IF(AND(d_Irr!X20&lt;&gt;".",d_Irr!AW20&lt;&gt;".",d_Irr!BV20&lt;&gt;"."),d_dir!AY20/((1/1000)*(d_Irr!X20+d_Irr!AW20+d_Irr!BV20)),IF(AND(d_Irr!X20&lt;&gt;".",d_Irr!AW20&lt;&gt;".",d_Irr!BV20="."),d_dir!AY20/((1/1000)*(d_Irr!X20+d_Irr!AW20)),IF(AND(d_Irr!X20&lt;&gt;".",d_Irr!AW20=".",d_Irr!BV20&lt;&gt;"."),d_dir!AY20/((1/1000)*(d_Irr!X20+d_Irr!BV20)),IF(AND(d_Irr!X20=".",d_Irr!AW20&lt;&gt;".",d_Irr!BV20&lt;&gt;"."),d_dir!AY20/((1/1000)*(d_Irr!AW20+d_Irr!BV20)),IF(AND(d_Irr!X20=".",d_Irr!AW20=".",d_Irr!BV20&lt;&gt;"."),d_dir!AY20/((1/1000)*(d_Irr!BV20)),IF(AND(d_Irr!X20=".",d_Irr!AW20&lt;&gt;".",d_Irr!BV20="."),d_dir!AY20/((1/1000)*(d_Irr!AW20)),IF(AND(d_Irr!X20&lt;&gt;".",d_Irr!AW20=".",d_Irr!BV20="."),d_dir!AY20/((1/1000)*(d_Irr!X20)),IF(AND(d_Irr!X20=".",d_Irr!AW20=".",d_Irr!BV20="."),d_dir!AY20*1000)))))))),".")</f>
        <v>.</v>
      </c>
      <c r="AZ20" s="76" t="str">
        <f>IFERROR(IF(AND(d_Irr!Y20&lt;&gt;".",d_Irr!AX20&lt;&gt;".",d_Irr!BW20&lt;&gt;"."),d_dir!AZ20/((1/1000)*(d_Irr!Y20+d_Irr!AX20+d_Irr!BW20)),IF(AND(d_Irr!Y20&lt;&gt;".",d_Irr!AX20&lt;&gt;".",d_Irr!BW20="."),d_dir!AZ20/((1/1000)*(d_Irr!Y20+d_Irr!AX20)),IF(AND(d_Irr!Y20&lt;&gt;".",d_Irr!AX20=".",d_Irr!BW20&lt;&gt;"."),d_dir!AZ20/((1/1000)*(d_Irr!Y20+d_Irr!BW20)),IF(AND(d_Irr!Y20=".",d_Irr!AX20&lt;&gt;".",d_Irr!BW20&lt;&gt;"."),d_dir!AZ20/((1/1000)*(d_Irr!AX20+d_Irr!BW20)),IF(AND(d_Irr!Y20=".",d_Irr!AX20=".",d_Irr!BW20&lt;&gt;"."),d_dir!AZ20/((1/1000)*(d_Irr!BW20)),IF(AND(d_Irr!Y20=".",d_Irr!AX20&lt;&gt;".",d_Irr!BW20="."),d_dir!AZ20/((1/1000)*(d_Irr!AX20)),IF(AND(d_Irr!Y20&lt;&gt;".",d_Irr!AX20=".",d_Irr!BW20="."),d_dir!AZ20/((1/1000)*(d_Irr!Y20)),IF(AND(d_Irr!Y20=".",d_Irr!AX20=".",d_Irr!BW20="."),d_dir!AZ20*1000)))))))),".")</f>
        <v>.</v>
      </c>
      <c r="BA20" s="76" t="str">
        <f>IFERROR(IF(AND(d_Irr!Z20&lt;&gt;".",d_Irr!AY20&lt;&gt;".",d_Irr!BX20&lt;&gt;"."),d_dir!BA20/((1/1000)*(d_Irr!Z20+d_Irr!AY20+d_Irr!BX20)),IF(AND(d_Irr!Z20&lt;&gt;".",d_Irr!AY20&lt;&gt;".",d_Irr!BX20="."),d_dir!BA20/((1/1000)*(d_Irr!Z20+d_Irr!AY20)),IF(AND(d_Irr!Z20&lt;&gt;".",d_Irr!AY20=".",d_Irr!BX20&lt;&gt;"."),d_dir!BA20/((1/1000)*(d_Irr!Z20+d_Irr!BX20)),IF(AND(d_Irr!Z20=".",d_Irr!AY20&lt;&gt;".",d_Irr!BX20&lt;&gt;"."),d_dir!BA20/((1/1000)*(d_Irr!AY20+d_Irr!BX20)),IF(AND(d_Irr!Z20=".",d_Irr!AY20=".",d_Irr!BX20&lt;&gt;"."),d_dir!BA20/((1/1000)*(d_Irr!BX20)),IF(AND(d_Irr!Z20=".",d_Irr!AY20&lt;&gt;".",d_Irr!BX20="."),d_dir!BA20/((1/1000)*(d_Irr!AY20)),IF(AND(d_Irr!Z20&lt;&gt;".",d_Irr!AY20=".",d_Irr!BX20="."),d_dir!BA20/((1/1000)*(d_Irr!Z20)),IF(AND(d_Irr!Z20=".",d_Irr!AY20=".",d_Irr!BX20="."),d_dir!BA20*1000)))))))),".")</f>
        <v>.</v>
      </c>
      <c r="BB20" s="76" t="str">
        <f>IFERROR(IF(AND(d_Irr!AA20&lt;&gt;".",d_Irr!AZ20&lt;&gt;".",d_Irr!BY20&lt;&gt;"."),d_dir!BB20/((1/1000)*(d_Irr!AA20+d_Irr!AZ20+d_Irr!BY20)),IF(AND(d_Irr!AA20&lt;&gt;".",d_Irr!AZ20&lt;&gt;".",d_Irr!BY20="."),d_dir!BB20/((1/1000)*(d_Irr!AA20+d_Irr!AZ20)),IF(AND(d_Irr!AA20&lt;&gt;".",d_Irr!AZ20=".",d_Irr!BY20&lt;&gt;"."),d_dir!BB20/((1/1000)*(d_Irr!AA20+d_Irr!BY20)),IF(AND(d_Irr!AA20=".",d_Irr!AZ20&lt;&gt;".",d_Irr!BY20&lt;&gt;"."),d_dir!BB20/((1/1000)*(d_Irr!AZ20+d_Irr!BY20)),IF(AND(d_Irr!AA20=".",d_Irr!AZ20=".",d_Irr!BY20&lt;&gt;"."),d_dir!BB20/((1/1000)*(d_Irr!BY20)),IF(AND(d_Irr!AA20=".",d_Irr!AZ20&lt;&gt;".",d_Irr!BY20="."),d_dir!BB20/((1/1000)*(d_Irr!AZ20)),IF(AND(d_Irr!AA20&lt;&gt;".",d_Irr!AZ20=".",d_Irr!BY20="."),d_dir!BB20/((1/1000)*(d_Irr!AA20)),IF(AND(d_Irr!AA20=".",d_Irr!AZ20=".",d_Irr!BY20="."),d_dir!BB20*1000)))))))),".")</f>
        <v>.</v>
      </c>
    </row>
    <row r="21" spans="1:54" ht="15" customHeight="1" x14ac:dyDescent="0.25">
      <c r="A21" s="92" t="s">
        <v>31</v>
      </c>
      <c r="B21" s="90" t="s">
        <v>1071</v>
      </c>
      <c r="C21" s="2" t="str">
        <f t="shared" si="1"/>
        <v>.</v>
      </c>
      <c r="D21" s="76" t="str">
        <f>IFERROR(IF(AND(d_Irr!C21&lt;&gt;".",d_Irr!AB21&lt;&gt;".",d_Irr!BA21&lt;&gt;"."),d_dir!D21/((1/1000)*(d_Irr!C21+d_Irr!AB21+d_Irr!BA21)),IF(AND(d_Irr!C21&lt;&gt;".",d_Irr!AB21&lt;&gt;".",d_Irr!BA21="."),d_dir!D21/((1/1000)*(d_Irr!C21+d_Irr!AB21)),IF(AND(d_Irr!C21&lt;&gt;".",d_Irr!AB21=".",d_Irr!BA21&lt;&gt;"."),d_dir!D21/((1/1000)*(d_Irr!C21+d_Irr!BA21)),IF(AND(d_Irr!C21=".",d_Irr!AB21&lt;&gt;".",d_Irr!BA21&lt;&gt;"."),d_dir!D21/((1/1000)*(d_Irr!AB21+d_Irr!BA21)),IF(AND(d_Irr!C21=".",d_Irr!AB21=".",d_Irr!BA21&lt;&gt;"."),d_dir!D21/((1/1000)*(d_Irr!BA21)),IF(AND(d_Irr!C21=".",d_Irr!AB21&lt;&gt;".",d_Irr!BA21="."),d_dir!D21/((1/1000)*(d_Irr!AB21)),IF(AND(d_Irr!C21&lt;&gt;".",d_Irr!AB21=".",d_Irr!BA21="."),d_dir!D21/((1/1000)*(d_Irr!C21)),IF(AND(d_Irr!C21=".",d_Irr!AB21=".",d_Irr!BA21="."),d_dir!D21*1000)))))))),".")</f>
        <v>.</v>
      </c>
      <c r="E21" s="76" t="str">
        <f>IFERROR(IF(AND(d_Irr!D21&lt;&gt;".",d_Irr!AC21&lt;&gt;".",d_Irr!BB21&lt;&gt;"."),d_dir!E21/((1/1000)*(d_Irr!D21+d_Irr!AC21+d_Irr!BB21)),IF(AND(d_Irr!D21&lt;&gt;".",d_Irr!AC21&lt;&gt;".",d_Irr!BB21="."),d_dir!E21/((1/1000)*(d_Irr!D21+d_Irr!AC21)),IF(AND(d_Irr!D21&lt;&gt;".",d_Irr!AC21=".",d_Irr!BB21&lt;&gt;"."),d_dir!E21/((1/1000)*(d_Irr!D21+d_Irr!BB21)),IF(AND(d_Irr!D21=".",d_Irr!AC21&lt;&gt;".",d_Irr!BB21&lt;&gt;"."),d_dir!E21/((1/1000)*(d_Irr!AC21+d_Irr!BB21)),IF(AND(d_Irr!D21=".",d_Irr!AC21=".",d_Irr!BB21&lt;&gt;"."),d_dir!E21/((1/1000)*(d_Irr!BB21)),IF(AND(d_Irr!D21=".",d_Irr!AC21&lt;&gt;".",d_Irr!BB21="."),d_dir!E21/((1/1000)*(d_Irr!AC21)),IF(AND(d_Irr!D21&lt;&gt;".",d_Irr!AC21=".",d_Irr!BB21="."),d_dir!E21/((1/1000)*(d_Irr!D21)),IF(AND(d_Irr!D21=".",d_Irr!AC21=".",d_Irr!BB21="."),d_dir!E21*1000)))))))),".")</f>
        <v>.</v>
      </c>
      <c r="F21" s="76" t="str">
        <f>IFERROR(IF(AND(d_Irr!E21&lt;&gt;".",d_Irr!AD21&lt;&gt;".",d_Irr!BC21&lt;&gt;"."),d_dir!F21/((1/1000)*(d_Irr!E21+d_Irr!AD21+d_Irr!BC21)),IF(AND(d_Irr!E21&lt;&gt;".",d_Irr!AD21&lt;&gt;".",d_Irr!BC21="."),d_dir!F21/((1/1000)*(d_Irr!E21+d_Irr!AD21)),IF(AND(d_Irr!E21&lt;&gt;".",d_Irr!AD21=".",d_Irr!BC21&lt;&gt;"."),d_dir!F21/((1/1000)*(d_Irr!E21+d_Irr!BC21)),IF(AND(d_Irr!E21=".",d_Irr!AD21&lt;&gt;".",d_Irr!BC21&lt;&gt;"."),d_dir!F21/((1/1000)*(d_Irr!AD21+d_Irr!BC21)),IF(AND(d_Irr!E21=".",d_Irr!AD21=".",d_Irr!BC21&lt;&gt;"."),d_dir!F21/((1/1000)*(d_Irr!BC21)),IF(AND(d_Irr!E21=".",d_Irr!AD21&lt;&gt;".",d_Irr!BC21="."),d_dir!F21/((1/1000)*(d_Irr!AD21)),IF(AND(d_Irr!E21&lt;&gt;".",d_Irr!AD21=".",d_Irr!BC21="."),d_dir!F21/((1/1000)*(d_Irr!E21)),IF(AND(d_Irr!E21=".",d_Irr!AD21=".",d_Irr!BC21="."),d_dir!F21*1000)))))))),".")</f>
        <v>.</v>
      </c>
      <c r="G21" s="76" t="str">
        <f>IFERROR(IF(AND(d_Irr!F21&lt;&gt;".",d_Irr!AE21&lt;&gt;".",d_Irr!BD21&lt;&gt;"."),d_dir!G21/((1/1000)*(d_Irr!F21+d_Irr!AE21+d_Irr!BD21)),IF(AND(d_Irr!F21&lt;&gt;".",d_Irr!AE21&lt;&gt;".",d_Irr!BD21="."),d_dir!G21/((1/1000)*(d_Irr!F21+d_Irr!AE21)),IF(AND(d_Irr!F21&lt;&gt;".",d_Irr!AE21=".",d_Irr!BD21&lt;&gt;"."),d_dir!G21/((1/1000)*(d_Irr!F21+d_Irr!BD21)),IF(AND(d_Irr!F21=".",d_Irr!AE21&lt;&gt;".",d_Irr!BD21&lt;&gt;"."),d_dir!G21/((1/1000)*(d_Irr!AE21+d_Irr!BD21)),IF(AND(d_Irr!F21=".",d_Irr!AE21=".",d_Irr!BD21&lt;&gt;"."),d_dir!G21/((1/1000)*(d_Irr!BD21)),IF(AND(d_Irr!F21=".",d_Irr!AE21&lt;&gt;".",d_Irr!BD21="."),d_dir!G21/((1/1000)*(d_Irr!AE21)),IF(AND(d_Irr!F21&lt;&gt;".",d_Irr!AE21=".",d_Irr!BD21="."),d_dir!G21/((1/1000)*(d_Irr!F21)),IF(AND(d_Irr!F21=".",d_Irr!AE21=".",d_Irr!BD21="."),d_dir!G21*1000)))))))),".")</f>
        <v>.</v>
      </c>
      <c r="H21" s="76" t="str">
        <f>IFERROR(IF(AND(d_Irr!G21&lt;&gt;".",d_Irr!AF21&lt;&gt;".",d_Irr!BE21&lt;&gt;"."),d_dir!H21/((1/1000)*(d_Irr!G21+d_Irr!AF21+d_Irr!BE21)),IF(AND(d_Irr!G21&lt;&gt;".",d_Irr!AF21&lt;&gt;".",d_Irr!BE21="."),d_dir!H21/((1/1000)*(d_Irr!G21+d_Irr!AF21)),IF(AND(d_Irr!G21&lt;&gt;".",d_Irr!AF21=".",d_Irr!BE21&lt;&gt;"."),d_dir!H21/((1/1000)*(d_Irr!G21+d_Irr!BE21)),IF(AND(d_Irr!G21=".",d_Irr!AF21&lt;&gt;".",d_Irr!BE21&lt;&gt;"."),d_dir!H21/((1/1000)*(d_Irr!AF21+d_Irr!BE21)),IF(AND(d_Irr!G21=".",d_Irr!AF21=".",d_Irr!BE21&lt;&gt;"."),d_dir!H21/((1/1000)*(d_Irr!BE21)),IF(AND(d_Irr!G21=".",d_Irr!AF21&lt;&gt;".",d_Irr!BE21="."),d_dir!H21/((1/1000)*(d_Irr!AF21)),IF(AND(d_Irr!G21&lt;&gt;".",d_Irr!AF21=".",d_Irr!BE21="."),d_dir!H21/((1/1000)*(d_Irr!G21)),IF(AND(d_Irr!G21=".",d_Irr!AF21=".",d_Irr!BE21="."),d_dir!H21*1000)))))))),".")</f>
        <v>.</v>
      </c>
      <c r="I21" s="76" t="str">
        <f>IFERROR(IF(AND(d_Irr!H21&lt;&gt;".",d_Irr!AG21&lt;&gt;".",d_Irr!BF21&lt;&gt;"."),d_dir!I21/((1/1000)*(d_Irr!H21+d_Irr!AG21+d_Irr!BF21)),IF(AND(d_Irr!H21&lt;&gt;".",d_Irr!AG21&lt;&gt;".",d_Irr!BF21="."),d_dir!I21/((1/1000)*(d_Irr!H21+d_Irr!AG21)),IF(AND(d_Irr!H21&lt;&gt;".",d_Irr!AG21=".",d_Irr!BF21&lt;&gt;"."),d_dir!I21/((1/1000)*(d_Irr!H21+d_Irr!BF21)),IF(AND(d_Irr!H21=".",d_Irr!AG21&lt;&gt;".",d_Irr!BF21&lt;&gt;"."),d_dir!I21/((1/1000)*(d_Irr!AG21+d_Irr!BF21)),IF(AND(d_Irr!H21=".",d_Irr!AG21=".",d_Irr!BF21&lt;&gt;"."),d_dir!I21/((1/1000)*(d_Irr!BF21)),IF(AND(d_Irr!H21=".",d_Irr!AG21&lt;&gt;".",d_Irr!BF21="."),d_dir!I21/((1/1000)*(d_Irr!AG21)),IF(AND(d_Irr!H21&lt;&gt;".",d_Irr!AG21=".",d_Irr!BF21="."),d_dir!I21/((1/1000)*(d_Irr!H21)),IF(AND(d_Irr!H21=".",d_Irr!AG21=".",d_Irr!BF21="."),d_dir!I21*1000)))))))),".")</f>
        <v>.</v>
      </c>
      <c r="J21" s="76" t="str">
        <f>IFERROR(IF(AND(d_Irr!I21&lt;&gt;".",d_Irr!AH21&lt;&gt;".",d_Irr!BG21&lt;&gt;"."),d_dir!J21/((1/1000)*(d_Irr!I21+d_Irr!AH21+d_Irr!BG21)),IF(AND(d_Irr!I21&lt;&gt;".",d_Irr!AH21&lt;&gt;".",d_Irr!BG21="."),d_dir!J21/((1/1000)*(d_Irr!I21+d_Irr!AH21)),IF(AND(d_Irr!I21&lt;&gt;".",d_Irr!AH21=".",d_Irr!BG21&lt;&gt;"."),d_dir!J21/((1/1000)*(d_Irr!I21+d_Irr!BG21)),IF(AND(d_Irr!I21=".",d_Irr!AH21&lt;&gt;".",d_Irr!BG21&lt;&gt;"."),d_dir!J21/((1/1000)*(d_Irr!AH21+d_Irr!BG21)),IF(AND(d_Irr!I21=".",d_Irr!AH21=".",d_Irr!BG21&lt;&gt;"."),d_dir!J21/((1/1000)*(d_Irr!BG21)),IF(AND(d_Irr!I21=".",d_Irr!AH21&lt;&gt;".",d_Irr!BG21="."),d_dir!J21/((1/1000)*(d_Irr!AH21)),IF(AND(d_Irr!I21&lt;&gt;".",d_Irr!AH21=".",d_Irr!BG21="."),d_dir!J21/((1/1000)*(d_Irr!I21)),IF(AND(d_Irr!I21=".",d_Irr!AH21=".",d_Irr!BG21="."),d_dir!J21*1000)))))))),".")</f>
        <v>.</v>
      </c>
      <c r="K21" s="76" t="str">
        <f>IFERROR(IF(AND(d_Irr!J21&lt;&gt;".",d_Irr!AI21&lt;&gt;".",d_Irr!BH21&lt;&gt;"."),d_dir!K21/((1/1000)*(d_Irr!J21+d_Irr!AI21+d_Irr!BH21)),IF(AND(d_Irr!J21&lt;&gt;".",d_Irr!AI21&lt;&gt;".",d_Irr!BH21="."),d_dir!K21/((1/1000)*(d_Irr!J21+d_Irr!AI21)),IF(AND(d_Irr!J21&lt;&gt;".",d_Irr!AI21=".",d_Irr!BH21&lt;&gt;"."),d_dir!K21/((1/1000)*(d_Irr!J21+d_Irr!BH21)),IF(AND(d_Irr!J21=".",d_Irr!AI21&lt;&gt;".",d_Irr!BH21&lt;&gt;"."),d_dir!K21/((1/1000)*(d_Irr!AI21+d_Irr!BH21)),IF(AND(d_Irr!J21=".",d_Irr!AI21=".",d_Irr!BH21&lt;&gt;"."),d_dir!K21/((1/1000)*(d_Irr!BH21)),IF(AND(d_Irr!J21=".",d_Irr!AI21&lt;&gt;".",d_Irr!BH21="."),d_dir!K21/((1/1000)*(d_Irr!AI21)),IF(AND(d_Irr!J21&lt;&gt;".",d_Irr!AI21=".",d_Irr!BH21="."),d_dir!K21/((1/1000)*(d_Irr!J21)),IF(AND(d_Irr!J21=".",d_Irr!AI21=".",d_Irr!BH21="."),d_dir!K21*1000)))))))),".")</f>
        <v>.</v>
      </c>
      <c r="L21" s="76" t="str">
        <f>IFERROR(IF(AND(d_Irr!K21&lt;&gt;".",d_Irr!AJ21&lt;&gt;".",d_Irr!BI21&lt;&gt;"."),d_dir!L21/((1/1000)*(d_Irr!K21+d_Irr!AJ21+d_Irr!BI21)),IF(AND(d_Irr!K21&lt;&gt;".",d_Irr!AJ21&lt;&gt;".",d_Irr!BI21="."),d_dir!L21/((1/1000)*(d_Irr!K21+d_Irr!AJ21)),IF(AND(d_Irr!K21&lt;&gt;".",d_Irr!AJ21=".",d_Irr!BI21&lt;&gt;"."),d_dir!L21/((1/1000)*(d_Irr!K21+d_Irr!BI21)),IF(AND(d_Irr!K21=".",d_Irr!AJ21&lt;&gt;".",d_Irr!BI21&lt;&gt;"."),d_dir!L21/((1/1000)*(d_Irr!AJ21+d_Irr!BI21)),IF(AND(d_Irr!K21=".",d_Irr!AJ21=".",d_Irr!BI21&lt;&gt;"."),d_dir!L21/((1/1000)*(d_Irr!BI21)),IF(AND(d_Irr!K21=".",d_Irr!AJ21&lt;&gt;".",d_Irr!BI21="."),d_dir!L21/((1/1000)*(d_Irr!AJ21)),IF(AND(d_Irr!K21&lt;&gt;".",d_Irr!AJ21=".",d_Irr!BI21="."),d_dir!L21/((1/1000)*(d_Irr!K21)),IF(AND(d_Irr!K21=".",d_Irr!AJ21=".",d_Irr!BI21="."),d_dir!L21*1000)))))))),".")</f>
        <v>.</v>
      </c>
      <c r="M21" s="76" t="str">
        <f>IFERROR(IF(AND(d_Irr!L21&lt;&gt;".",d_Irr!AK21&lt;&gt;".",d_Irr!BJ21&lt;&gt;"."),d_dir!M21/((1/1000)*(d_Irr!L21+d_Irr!AK21+d_Irr!BJ21)),IF(AND(d_Irr!L21&lt;&gt;".",d_Irr!AK21&lt;&gt;".",d_Irr!BJ21="."),d_dir!M21/((1/1000)*(d_Irr!L21+d_Irr!AK21)),IF(AND(d_Irr!L21&lt;&gt;".",d_Irr!AK21=".",d_Irr!BJ21&lt;&gt;"."),d_dir!M21/((1/1000)*(d_Irr!L21+d_Irr!BJ21)),IF(AND(d_Irr!L21=".",d_Irr!AK21&lt;&gt;".",d_Irr!BJ21&lt;&gt;"."),d_dir!M21/((1/1000)*(d_Irr!AK21+d_Irr!BJ21)),IF(AND(d_Irr!L21=".",d_Irr!AK21=".",d_Irr!BJ21&lt;&gt;"."),d_dir!M21/((1/1000)*(d_Irr!BJ21)),IF(AND(d_Irr!L21=".",d_Irr!AK21&lt;&gt;".",d_Irr!BJ21="."),d_dir!M21/((1/1000)*(d_Irr!AK21)),IF(AND(d_Irr!L21&lt;&gt;".",d_Irr!AK21=".",d_Irr!BJ21="."),d_dir!M21/((1/1000)*(d_Irr!L21)),IF(AND(d_Irr!L21=".",d_Irr!AK21=".",d_Irr!BJ21="."),d_dir!M21*1000)))))))),".")</f>
        <v>.</v>
      </c>
      <c r="N21" s="76" t="str">
        <f>IFERROR(IF(AND(d_Irr!M21&lt;&gt;".",d_Irr!AL21&lt;&gt;".",d_Irr!BK21&lt;&gt;"."),d_dir!N21/((1/1000)*(d_Irr!M21+d_Irr!AL21+d_Irr!BK21)),IF(AND(d_Irr!M21&lt;&gt;".",d_Irr!AL21&lt;&gt;".",d_Irr!BK21="."),d_dir!N21/((1/1000)*(d_Irr!M21+d_Irr!AL21)),IF(AND(d_Irr!M21&lt;&gt;".",d_Irr!AL21=".",d_Irr!BK21&lt;&gt;"."),d_dir!N21/((1/1000)*(d_Irr!M21+d_Irr!BK21)),IF(AND(d_Irr!M21=".",d_Irr!AL21&lt;&gt;".",d_Irr!BK21&lt;&gt;"."),d_dir!N21/((1/1000)*(d_Irr!AL21+d_Irr!BK21)),IF(AND(d_Irr!M21=".",d_Irr!AL21=".",d_Irr!BK21&lt;&gt;"."),d_dir!N21/((1/1000)*(d_Irr!BK21)),IF(AND(d_Irr!M21=".",d_Irr!AL21&lt;&gt;".",d_Irr!BK21="."),d_dir!N21/((1/1000)*(d_Irr!AL21)),IF(AND(d_Irr!M21&lt;&gt;".",d_Irr!AL21=".",d_Irr!BK21="."),d_dir!N21/((1/1000)*(d_Irr!M21)),IF(AND(d_Irr!M21=".",d_Irr!AL21=".",d_Irr!BK21="."),d_dir!N21*1000)))))))),".")</f>
        <v>.</v>
      </c>
      <c r="O21" s="76" t="str">
        <f>IFERROR(IF(AND(d_Irr!N21&lt;&gt;".",d_Irr!AM21&lt;&gt;".",d_Irr!BL21&lt;&gt;"."),d_dir!O21/((1/1000)*(d_Irr!N21+d_Irr!AM21+d_Irr!BL21)),IF(AND(d_Irr!N21&lt;&gt;".",d_Irr!AM21&lt;&gt;".",d_Irr!BL21="."),d_dir!O21/((1/1000)*(d_Irr!N21+d_Irr!AM21)),IF(AND(d_Irr!N21&lt;&gt;".",d_Irr!AM21=".",d_Irr!BL21&lt;&gt;"."),d_dir!O21/((1/1000)*(d_Irr!N21+d_Irr!BL21)),IF(AND(d_Irr!N21=".",d_Irr!AM21&lt;&gt;".",d_Irr!BL21&lt;&gt;"."),d_dir!O21/((1/1000)*(d_Irr!AM21+d_Irr!BL21)),IF(AND(d_Irr!N21=".",d_Irr!AM21=".",d_Irr!BL21&lt;&gt;"."),d_dir!O21/((1/1000)*(d_Irr!BL21)),IF(AND(d_Irr!N21=".",d_Irr!AM21&lt;&gt;".",d_Irr!BL21="."),d_dir!O21/((1/1000)*(d_Irr!AM21)),IF(AND(d_Irr!N21&lt;&gt;".",d_Irr!AM21=".",d_Irr!BL21="."),d_dir!O21/((1/1000)*(d_Irr!N21)),IF(AND(d_Irr!N21=".",d_Irr!AM21=".",d_Irr!BL21="."),d_dir!O21*1000)))))))),".")</f>
        <v>.</v>
      </c>
      <c r="P21" s="76" t="str">
        <f>IFERROR(IF(AND(d_Irr!O21&lt;&gt;".",d_Irr!AN21&lt;&gt;".",d_Irr!BM21&lt;&gt;"."),d_dir!P21/((1/1000)*(d_Irr!O21+d_Irr!AN21+d_Irr!BM21)),IF(AND(d_Irr!O21&lt;&gt;".",d_Irr!AN21&lt;&gt;".",d_Irr!BM21="."),d_dir!P21/((1/1000)*(d_Irr!O21+d_Irr!AN21)),IF(AND(d_Irr!O21&lt;&gt;".",d_Irr!AN21=".",d_Irr!BM21&lt;&gt;"."),d_dir!P21/((1/1000)*(d_Irr!O21+d_Irr!BM21)),IF(AND(d_Irr!O21=".",d_Irr!AN21&lt;&gt;".",d_Irr!BM21&lt;&gt;"."),d_dir!P21/((1/1000)*(d_Irr!AN21+d_Irr!BM21)),IF(AND(d_Irr!O21=".",d_Irr!AN21=".",d_Irr!BM21&lt;&gt;"."),d_dir!P21/((1/1000)*(d_Irr!BM21)),IF(AND(d_Irr!O21=".",d_Irr!AN21&lt;&gt;".",d_Irr!BM21="."),d_dir!P21/((1/1000)*(d_Irr!AN21)),IF(AND(d_Irr!O21&lt;&gt;".",d_Irr!AN21=".",d_Irr!BM21="."),d_dir!P21/((1/1000)*(d_Irr!O21)),IF(AND(d_Irr!O21=".",d_Irr!AN21=".",d_Irr!BM21="."),d_dir!P21*1000)))))))),".")</f>
        <v>.</v>
      </c>
      <c r="Q21" s="76" t="str">
        <f>IFERROR(IF(AND(d_Irr!P21&lt;&gt;".",d_Irr!AO21&lt;&gt;".",d_Irr!BN21&lt;&gt;"."),d_dir!Q21/((1/1000)*(d_Irr!P21+d_Irr!AO21+d_Irr!BN21)),IF(AND(d_Irr!P21&lt;&gt;".",d_Irr!AO21&lt;&gt;".",d_Irr!BN21="."),d_dir!Q21/((1/1000)*(d_Irr!P21+d_Irr!AO21)),IF(AND(d_Irr!P21&lt;&gt;".",d_Irr!AO21=".",d_Irr!BN21&lt;&gt;"."),d_dir!Q21/((1/1000)*(d_Irr!P21+d_Irr!BN21)),IF(AND(d_Irr!P21=".",d_Irr!AO21&lt;&gt;".",d_Irr!BN21&lt;&gt;"."),d_dir!Q21/((1/1000)*(d_Irr!AO21+d_Irr!BN21)),IF(AND(d_Irr!P21=".",d_Irr!AO21=".",d_Irr!BN21&lt;&gt;"."),d_dir!Q21/((1/1000)*(d_Irr!BN21)),IF(AND(d_Irr!P21=".",d_Irr!AO21&lt;&gt;".",d_Irr!BN21="."),d_dir!Q21/((1/1000)*(d_Irr!AO21)),IF(AND(d_Irr!P21&lt;&gt;".",d_Irr!AO21=".",d_Irr!BN21="."),d_dir!Q21/((1/1000)*(d_Irr!P21)),IF(AND(d_Irr!P21=".",d_Irr!AO21=".",d_Irr!BN21="."),d_dir!Q21*1000)))))))),".")</f>
        <v>.</v>
      </c>
      <c r="R21" s="76" t="str">
        <f>IFERROR(IF(AND(d_Irr!Q21&lt;&gt;".",d_Irr!AP21&lt;&gt;".",d_Irr!BO21&lt;&gt;"."),d_dir!R21/((1/1000)*(d_Irr!Q21+d_Irr!AP21+d_Irr!BO21)),IF(AND(d_Irr!Q21&lt;&gt;".",d_Irr!AP21&lt;&gt;".",d_Irr!BO21="."),d_dir!R21/((1/1000)*(d_Irr!Q21+d_Irr!AP21)),IF(AND(d_Irr!Q21&lt;&gt;".",d_Irr!AP21=".",d_Irr!BO21&lt;&gt;"."),d_dir!R21/((1/1000)*(d_Irr!Q21+d_Irr!BO21)),IF(AND(d_Irr!Q21=".",d_Irr!AP21&lt;&gt;".",d_Irr!BO21&lt;&gt;"."),d_dir!R21/((1/1000)*(d_Irr!AP21+d_Irr!BO21)),IF(AND(d_Irr!Q21=".",d_Irr!AP21=".",d_Irr!BO21&lt;&gt;"."),d_dir!R21/((1/1000)*(d_Irr!BO21)),IF(AND(d_Irr!Q21=".",d_Irr!AP21&lt;&gt;".",d_Irr!BO21="."),d_dir!R21/((1/1000)*(d_Irr!AP21)),IF(AND(d_Irr!Q21&lt;&gt;".",d_Irr!AP21=".",d_Irr!BO21="."),d_dir!R21/((1/1000)*(d_Irr!Q21)),IF(AND(d_Irr!Q21=".",d_Irr!AP21=".",d_Irr!BO21="."),d_dir!R21*1000)))))))),".")</f>
        <v>.</v>
      </c>
      <c r="S21" s="76" t="str">
        <f>IFERROR(IF(AND(d_Irr!R21&lt;&gt;".",d_Irr!AQ21&lt;&gt;".",d_Irr!BP21&lt;&gt;"."),d_dir!S21/((1/1000)*(d_Irr!R21+d_Irr!AQ21+d_Irr!BP21)),IF(AND(d_Irr!R21&lt;&gt;".",d_Irr!AQ21&lt;&gt;".",d_Irr!BP21="."),d_dir!S21/((1/1000)*(d_Irr!R21+d_Irr!AQ21)),IF(AND(d_Irr!R21&lt;&gt;".",d_Irr!AQ21=".",d_Irr!BP21&lt;&gt;"."),d_dir!S21/((1/1000)*(d_Irr!R21+d_Irr!BP21)),IF(AND(d_Irr!R21=".",d_Irr!AQ21&lt;&gt;".",d_Irr!BP21&lt;&gt;"."),d_dir!S21/((1/1000)*(d_Irr!AQ21+d_Irr!BP21)),IF(AND(d_Irr!R21=".",d_Irr!AQ21=".",d_Irr!BP21&lt;&gt;"."),d_dir!S21/((1/1000)*(d_Irr!BP21)),IF(AND(d_Irr!R21=".",d_Irr!AQ21&lt;&gt;".",d_Irr!BP21="."),d_dir!S21/((1/1000)*(d_Irr!AQ21)),IF(AND(d_Irr!R21&lt;&gt;".",d_Irr!AQ21=".",d_Irr!BP21="."),d_dir!S21/((1/1000)*(d_Irr!R21)),IF(AND(d_Irr!R21=".",d_Irr!AQ21=".",d_Irr!BP21="."),d_dir!S21*1000)))))))),".")</f>
        <v>.</v>
      </c>
      <c r="T21" s="76" t="str">
        <f>IFERROR(IF(AND(d_Irr!S21&lt;&gt;".",d_Irr!AR21&lt;&gt;".",d_Irr!BQ21&lt;&gt;"."),d_dir!T21/((1/1000)*(d_Irr!S21+d_Irr!AR21+d_Irr!BQ21)),IF(AND(d_Irr!S21&lt;&gt;".",d_Irr!AR21&lt;&gt;".",d_Irr!BQ21="."),d_dir!T21/((1/1000)*(d_Irr!S21+d_Irr!AR21)),IF(AND(d_Irr!S21&lt;&gt;".",d_Irr!AR21=".",d_Irr!BQ21&lt;&gt;"."),d_dir!T21/((1/1000)*(d_Irr!S21+d_Irr!BQ21)),IF(AND(d_Irr!S21=".",d_Irr!AR21&lt;&gt;".",d_Irr!BQ21&lt;&gt;"."),d_dir!T21/((1/1000)*(d_Irr!AR21+d_Irr!BQ21)),IF(AND(d_Irr!S21=".",d_Irr!AR21=".",d_Irr!BQ21&lt;&gt;"."),d_dir!T21/((1/1000)*(d_Irr!BQ21)),IF(AND(d_Irr!S21=".",d_Irr!AR21&lt;&gt;".",d_Irr!BQ21="."),d_dir!T21/((1/1000)*(d_Irr!AR21)),IF(AND(d_Irr!S21&lt;&gt;".",d_Irr!AR21=".",d_Irr!BQ21="."),d_dir!T21/((1/1000)*(d_Irr!S21)),IF(AND(d_Irr!S21=".",d_Irr!AR21=".",d_Irr!BQ21="."),d_dir!T21*1000)))))))),".")</f>
        <v>.</v>
      </c>
      <c r="U21" s="76" t="str">
        <f>IFERROR(IF(AND(d_Irr!T21&lt;&gt;".",d_Irr!AS21&lt;&gt;".",d_Irr!BR21&lt;&gt;"."),d_dir!U21/((1/1000)*(d_Irr!T21+d_Irr!AS21+d_Irr!BR21)),IF(AND(d_Irr!T21&lt;&gt;".",d_Irr!AS21&lt;&gt;".",d_Irr!BR21="."),d_dir!U21/((1/1000)*(d_Irr!T21+d_Irr!AS21)),IF(AND(d_Irr!T21&lt;&gt;".",d_Irr!AS21=".",d_Irr!BR21&lt;&gt;"."),d_dir!U21/((1/1000)*(d_Irr!T21+d_Irr!BR21)),IF(AND(d_Irr!T21=".",d_Irr!AS21&lt;&gt;".",d_Irr!BR21&lt;&gt;"."),d_dir!U21/((1/1000)*(d_Irr!AS21+d_Irr!BR21)),IF(AND(d_Irr!T21=".",d_Irr!AS21=".",d_Irr!BR21&lt;&gt;"."),d_dir!U21/((1/1000)*(d_Irr!BR21)),IF(AND(d_Irr!T21=".",d_Irr!AS21&lt;&gt;".",d_Irr!BR21="."),d_dir!U21/((1/1000)*(d_Irr!AS21)),IF(AND(d_Irr!T21&lt;&gt;".",d_Irr!AS21=".",d_Irr!BR21="."),d_dir!U21/((1/1000)*(d_Irr!T21)),IF(AND(d_Irr!T21=".",d_Irr!AS21=".",d_Irr!BR21="."),d_dir!U21*1000)))))))),".")</f>
        <v>.</v>
      </c>
      <c r="V21" s="76" t="str">
        <f>IFERROR(IF(AND(d_Irr!U21&lt;&gt;".",d_Irr!AT21&lt;&gt;".",d_Irr!BS21&lt;&gt;"."),d_dir!V21/((1/1000)*(d_Irr!U21+d_Irr!AT21+d_Irr!BS21)),IF(AND(d_Irr!U21&lt;&gt;".",d_Irr!AT21&lt;&gt;".",d_Irr!BS21="."),d_dir!V21/((1/1000)*(d_Irr!U21+d_Irr!AT21)),IF(AND(d_Irr!U21&lt;&gt;".",d_Irr!AT21=".",d_Irr!BS21&lt;&gt;"."),d_dir!V21/((1/1000)*(d_Irr!U21+d_Irr!BS21)),IF(AND(d_Irr!U21=".",d_Irr!AT21&lt;&gt;".",d_Irr!BS21&lt;&gt;"."),d_dir!V21/((1/1000)*(d_Irr!AT21+d_Irr!BS21)),IF(AND(d_Irr!U21=".",d_Irr!AT21=".",d_Irr!BS21&lt;&gt;"."),d_dir!V21/((1/1000)*(d_Irr!BS21)),IF(AND(d_Irr!U21=".",d_Irr!AT21&lt;&gt;".",d_Irr!BS21="."),d_dir!V21/((1/1000)*(d_Irr!AT21)),IF(AND(d_Irr!U21&lt;&gt;".",d_Irr!AT21=".",d_Irr!BS21="."),d_dir!V21/((1/1000)*(d_Irr!U21)),IF(AND(d_Irr!U21=".",d_Irr!AT21=".",d_Irr!BS21="."),d_dir!V21*1000)))))))),".")</f>
        <v>.</v>
      </c>
      <c r="W21" s="76" t="str">
        <f>IFERROR(IF(AND(d_Irr!V21&lt;&gt;".",d_Irr!AU21&lt;&gt;".",d_Irr!BT21&lt;&gt;"."),d_dir!W21/((1/1000)*(d_Irr!V21+d_Irr!AU21+d_Irr!BT21)),IF(AND(d_Irr!V21&lt;&gt;".",d_Irr!AU21&lt;&gt;".",d_Irr!BT21="."),d_dir!W21/((1/1000)*(d_Irr!V21+d_Irr!AU21)),IF(AND(d_Irr!V21&lt;&gt;".",d_Irr!AU21=".",d_Irr!BT21&lt;&gt;"."),d_dir!W21/((1/1000)*(d_Irr!V21+d_Irr!BT21)),IF(AND(d_Irr!V21=".",d_Irr!AU21&lt;&gt;".",d_Irr!BT21&lt;&gt;"."),d_dir!W21/((1/1000)*(d_Irr!AU21+d_Irr!BT21)),IF(AND(d_Irr!V21=".",d_Irr!AU21=".",d_Irr!BT21&lt;&gt;"."),d_dir!W21/((1/1000)*(d_Irr!BT21)),IF(AND(d_Irr!V21=".",d_Irr!AU21&lt;&gt;".",d_Irr!BT21="."),d_dir!W21/((1/1000)*(d_Irr!AU21)),IF(AND(d_Irr!V21&lt;&gt;".",d_Irr!AU21=".",d_Irr!BT21="."),d_dir!W21/((1/1000)*(d_Irr!V21)),IF(AND(d_Irr!V21=".",d_Irr!AU21=".",d_Irr!BT21="."),d_dir!W21*1000)))))))),".")</f>
        <v>.</v>
      </c>
      <c r="X21" s="76" t="str">
        <f>IFERROR(IF(AND(d_Irr!W21&lt;&gt;".",d_Irr!AV21&lt;&gt;".",d_Irr!BU21&lt;&gt;"."),d_dir!X21/((1/1000)*(d_Irr!W21+d_Irr!AV21+d_Irr!BU21)),IF(AND(d_Irr!W21&lt;&gt;".",d_Irr!AV21&lt;&gt;".",d_Irr!BU21="."),d_dir!X21/((1/1000)*(d_Irr!W21+d_Irr!AV21)),IF(AND(d_Irr!W21&lt;&gt;".",d_Irr!AV21=".",d_Irr!BU21&lt;&gt;"."),d_dir!X21/((1/1000)*(d_Irr!W21+d_Irr!BU21)),IF(AND(d_Irr!W21=".",d_Irr!AV21&lt;&gt;".",d_Irr!BU21&lt;&gt;"."),d_dir!X21/((1/1000)*(d_Irr!AV21+d_Irr!BU21)),IF(AND(d_Irr!W21=".",d_Irr!AV21=".",d_Irr!BU21&lt;&gt;"."),d_dir!X21/((1/1000)*(d_Irr!BU21)),IF(AND(d_Irr!W21=".",d_Irr!AV21&lt;&gt;".",d_Irr!BU21="."),d_dir!X21/((1/1000)*(d_Irr!AV21)),IF(AND(d_Irr!W21&lt;&gt;".",d_Irr!AV21=".",d_Irr!BU21="."),d_dir!X21/((1/1000)*(d_Irr!W21)),IF(AND(d_Irr!W21=".",d_Irr!AV21=".",d_Irr!BU21="."),d_dir!X21*1000)))))))),".")</f>
        <v>.</v>
      </c>
      <c r="Y21" s="76" t="str">
        <f>IFERROR(IF(AND(d_Irr!X21&lt;&gt;".",d_Irr!AW21&lt;&gt;".",d_Irr!BV21&lt;&gt;"."),d_dir!Y21/((1/1000)*(d_Irr!X21+d_Irr!AW21+d_Irr!BV21)),IF(AND(d_Irr!X21&lt;&gt;".",d_Irr!AW21&lt;&gt;".",d_Irr!BV21="."),d_dir!Y21/((1/1000)*(d_Irr!X21+d_Irr!AW21)),IF(AND(d_Irr!X21&lt;&gt;".",d_Irr!AW21=".",d_Irr!BV21&lt;&gt;"."),d_dir!Y21/((1/1000)*(d_Irr!X21+d_Irr!BV21)),IF(AND(d_Irr!X21=".",d_Irr!AW21&lt;&gt;".",d_Irr!BV21&lt;&gt;"."),d_dir!Y21/((1/1000)*(d_Irr!AW21+d_Irr!BV21)),IF(AND(d_Irr!X21=".",d_Irr!AW21=".",d_Irr!BV21&lt;&gt;"."),d_dir!Y21/((1/1000)*(d_Irr!BV21)),IF(AND(d_Irr!X21=".",d_Irr!AW21&lt;&gt;".",d_Irr!BV21="."),d_dir!Y21/((1/1000)*(d_Irr!AW21)),IF(AND(d_Irr!X21&lt;&gt;".",d_Irr!AW21=".",d_Irr!BV21="."),d_dir!Y21/((1/1000)*(d_Irr!X21)),IF(AND(d_Irr!X21=".",d_Irr!AW21=".",d_Irr!BV21="."),d_dir!Y21*1000)))))))),".")</f>
        <v>.</v>
      </c>
      <c r="Z21" s="76" t="str">
        <f>IFERROR(IF(AND(d_Irr!Y21&lt;&gt;".",d_Irr!AX21&lt;&gt;".",d_Irr!BW21&lt;&gt;"."),d_dir!Z21/((1/1000)*(d_Irr!Y21+d_Irr!AX21+d_Irr!BW21)),IF(AND(d_Irr!Y21&lt;&gt;".",d_Irr!AX21&lt;&gt;".",d_Irr!BW21="."),d_dir!Z21/((1/1000)*(d_Irr!Y21+d_Irr!AX21)),IF(AND(d_Irr!Y21&lt;&gt;".",d_Irr!AX21=".",d_Irr!BW21&lt;&gt;"."),d_dir!Z21/((1/1000)*(d_Irr!Y21+d_Irr!BW21)),IF(AND(d_Irr!Y21=".",d_Irr!AX21&lt;&gt;".",d_Irr!BW21&lt;&gt;"."),d_dir!Z21/((1/1000)*(d_Irr!AX21+d_Irr!BW21)),IF(AND(d_Irr!Y21=".",d_Irr!AX21=".",d_Irr!BW21&lt;&gt;"."),d_dir!Z21/((1/1000)*(d_Irr!BW21)),IF(AND(d_Irr!Y21=".",d_Irr!AX21&lt;&gt;".",d_Irr!BW21="."),d_dir!Z21/((1/1000)*(d_Irr!AX21)),IF(AND(d_Irr!Y21&lt;&gt;".",d_Irr!AX21=".",d_Irr!BW21="."),d_dir!Z21/((1/1000)*(d_Irr!Y21)),IF(AND(d_Irr!Y21=".",d_Irr!AX21=".",d_Irr!BW21="."),d_dir!Z21*1000)))))))),".")</f>
        <v>.</v>
      </c>
      <c r="AA21" s="76" t="str">
        <f>IFERROR(IF(AND(d_Irr!Z21&lt;&gt;".",d_Irr!AY21&lt;&gt;".",d_Irr!BX21&lt;&gt;"."),d_dir!AA21/((1/1000)*(d_Irr!Z21+d_Irr!AY21+d_Irr!BX21)),IF(AND(d_Irr!Z21&lt;&gt;".",d_Irr!AY21&lt;&gt;".",d_Irr!BX21="."),d_dir!AA21/((1/1000)*(d_Irr!Z21+d_Irr!AY21)),IF(AND(d_Irr!Z21&lt;&gt;".",d_Irr!AY21=".",d_Irr!BX21&lt;&gt;"."),d_dir!AA21/((1/1000)*(d_Irr!Z21+d_Irr!BX21)),IF(AND(d_Irr!Z21=".",d_Irr!AY21&lt;&gt;".",d_Irr!BX21&lt;&gt;"."),d_dir!AA21/((1/1000)*(d_Irr!AY21+d_Irr!BX21)),IF(AND(d_Irr!Z21=".",d_Irr!AY21=".",d_Irr!BX21&lt;&gt;"."),d_dir!AA21/((1/1000)*(d_Irr!BX21)),IF(AND(d_Irr!Z21=".",d_Irr!AY21&lt;&gt;".",d_Irr!BX21="."),d_dir!AA21/((1/1000)*(d_Irr!AY21)),IF(AND(d_Irr!Z21&lt;&gt;".",d_Irr!AY21=".",d_Irr!BX21="."),d_dir!AA21/((1/1000)*(d_Irr!Z21)),IF(AND(d_Irr!Z21=".",d_Irr!AY21=".",d_Irr!BX21="."),d_dir!AA21*1000)))))))),".")</f>
        <v>.</v>
      </c>
      <c r="AB21" s="76" t="str">
        <f>IFERROR(IF(AND(d_Irr!AA21&lt;&gt;".",d_Irr!AZ21&lt;&gt;".",d_Irr!BY21&lt;&gt;"."),d_dir!AB21/((1/1000)*(d_Irr!AA21+d_Irr!AZ21+d_Irr!BY21)),IF(AND(d_Irr!AA21&lt;&gt;".",d_Irr!AZ21&lt;&gt;".",d_Irr!BY21="."),d_dir!AB21/((1/1000)*(d_Irr!AA21+d_Irr!AZ21)),IF(AND(d_Irr!AA21&lt;&gt;".",d_Irr!AZ21=".",d_Irr!BY21&lt;&gt;"."),d_dir!AB21/((1/1000)*(d_Irr!AA21+d_Irr!BY21)),IF(AND(d_Irr!AA21=".",d_Irr!AZ21&lt;&gt;".",d_Irr!BY21&lt;&gt;"."),d_dir!AB21/((1/1000)*(d_Irr!AZ21+d_Irr!BY21)),IF(AND(d_Irr!AA21=".",d_Irr!AZ21=".",d_Irr!BY21&lt;&gt;"."),d_dir!AB21/((1/1000)*(d_Irr!BY21)),IF(AND(d_Irr!AA21=".",d_Irr!AZ21&lt;&gt;".",d_Irr!BY21="."),d_dir!AB21/((1/1000)*(d_Irr!AZ21)),IF(AND(d_Irr!AA21&lt;&gt;".",d_Irr!AZ21=".",d_Irr!BY21="."),d_dir!AB21/((1/1000)*(d_Irr!AA21)),IF(AND(d_Irr!AA21=".",d_Irr!AZ21=".",d_Irr!BY21="."),d_dir!AB21*1000)))))))),".")</f>
        <v>.</v>
      </c>
      <c r="AC21" s="76" t="str">
        <f t="shared" si="0"/>
        <v>.</v>
      </c>
      <c r="AD21" s="76" t="str">
        <f>IFERROR(IF(AND(d_Irr!C21&lt;&gt;".",d_Irr!AB21&lt;&gt;".",d_Irr!BA21&lt;&gt;"."),d_dir!AD21/((1/1000)*(d_Irr!C21+d_Irr!AB21+d_Irr!BA21)),IF(AND(d_Irr!C21&lt;&gt;".",d_Irr!AB21&lt;&gt;".",d_Irr!BA21="."),d_dir!AD21/((1/1000)*(d_Irr!C21+d_Irr!AB21)),IF(AND(d_Irr!C21&lt;&gt;".",d_Irr!AB21=".",d_Irr!BA21&lt;&gt;"."),d_dir!AD21/((1/1000)*(d_Irr!C21+d_Irr!BA21)),IF(AND(d_Irr!C21=".",d_Irr!AB21&lt;&gt;".",d_Irr!BA21&lt;&gt;"."),d_dir!AD21/((1/1000)*(d_Irr!AB21+d_Irr!BA21)),IF(AND(d_Irr!C21=".",d_Irr!AB21=".",d_Irr!BA21&lt;&gt;"."),d_dir!AD21/((1/1000)*(d_Irr!BA21)),IF(AND(d_Irr!C21=".",d_Irr!AB21&lt;&gt;".",d_Irr!BA21="."),d_dir!AD21/((1/1000)*(d_Irr!AB21)),IF(AND(d_Irr!C21&lt;&gt;".",d_Irr!AB21=".",d_Irr!BA21="."),d_dir!AD21/((1/1000)*(d_Irr!C21)),IF(AND(d_Irr!C21=".",d_Irr!AB21=".",d_Irr!BA21="."),d_dir!AD21*1000)))))))),".")</f>
        <v>.</v>
      </c>
      <c r="AE21" s="76" t="str">
        <f>IFERROR(IF(AND(d_Irr!D21&lt;&gt;".",d_Irr!AC21&lt;&gt;".",d_Irr!BB21&lt;&gt;"."),d_dir!AE21/((1/1000)*(d_Irr!D21+d_Irr!AC21+d_Irr!BB21)),IF(AND(d_Irr!D21&lt;&gt;".",d_Irr!AC21&lt;&gt;".",d_Irr!BB21="."),d_dir!AE21/((1/1000)*(d_Irr!D21+d_Irr!AC21)),IF(AND(d_Irr!D21&lt;&gt;".",d_Irr!AC21=".",d_Irr!BB21&lt;&gt;"."),d_dir!AE21/((1/1000)*(d_Irr!D21+d_Irr!BB21)),IF(AND(d_Irr!D21=".",d_Irr!AC21&lt;&gt;".",d_Irr!BB21&lt;&gt;"."),d_dir!AE21/((1/1000)*(d_Irr!AC21+d_Irr!BB21)),IF(AND(d_Irr!D21=".",d_Irr!AC21=".",d_Irr!BB21&lt;&gt;"."),d_dir!AE21/((1/1000)*(d_Irr!BB21)),IF(AND(d_Irr!D21=".",d_Irr!AC21&lt;&gt;".",d_Irr!BB21="."),d_dir!AE21/((1/1000)*(d_Irr!AC21)),IF(AND(d_Irr!D21&lt;&gt;".",d_Irr!AC21=".",d_Irr!BB21="."),d_dir!AE21/((1/1000)*(d_Irr!D21)),IF(AND(d_Irr!D21=".",d_Irr!AC21=".",d_Irr!BB21="."),d_dir!AE21*1000)))))))),".")</f>
        <v>.</v>
      </c>
      <c r="AF21" s="76" t="str">
        <f>IFERROR(IF(AND(d_Irr!E21&lt;&gt;".",d_Irr!AD21&lt;&gt;".",d_Irr!BC21&lt;&gt;"."),d_dir!AF21/((1/1000)*(d_Irr!E21+d_Irr!AD21+d_Irr!BC21)),IF(AND(d_Irr!E21&lt;&gt;".",d_Irr!AD21&lt;&gt;".",d_Irr!BC21="."),d_dir!AF21/((1/1000)*(d_Irr!E21+d_Irr!AD21)),IF(AND(d_Irr!E21&lt;&gt;".",d_Irr!AD21=".",d_Irr!BC21&lt;&gt;"."),d_dir!AF21/((1/1000)*(d_Irr!E21+d_Irr!BC21)),IF(AND(d_Irr!E21=".",d_Irr!AD21&lt;&gt;".",d_Irr!BC21&lt;&gt;"."),d_dir!AF21/((1/1000)*(d_Irr!AD21+d_Irr!BC21)),IF(AND(d_Irr!E21=".",d_Irr!AD21=".",d_Irr!BC21&lt;&gt;"."),d_dir!AF21/((1/1000)*(d_Irr!BC21)),IF(AND(d_Irr!E21=".",d_Irr!AD21&lt;&gt;".",d_Irr!BC21="."),d_dir!AF21/((1/1000)*(d_Irr!AD21)),IF(AND(d_Irr!E21&lt;&gt;".",d_Irr!AD21=".",d_Irr!BC21="."),d_dir!AF21/((1/1000)*(d_Irr!E21)),IF(AND(d_Irr!E21=".",d_Irr!AD21=".",d_Irr!BC21="."),d_dir!AF21*1000)))))))),".")</f>
        <v>.</v>
      </c>
      <c r="AG21" s="76" t="str">
        <f>IFERROR(IF(AND(d_Irr!F21&lt;&gt;".",d_Irr!AE21&lt;&gt;".",d_Irr!BD21&lt;&gt;"."),d_dir!AG21/((1/1000)*(d_Irr!F21+d_Irr!AE21+d_Irr!BD21)),IF(AND(d_Irr!F21&lt;&gt;".",d_Irr!AE21&lt;&gt;".",d_Irr!BD21="."),d_dir!AG21/((1/1000)*(d_Irr!F21+d_Irr!AE21)),IF(AND(d_Irr!F21&lt;&gt;".",d_Irr!AE21=".",d_Irr!BD21&lt;&gt;"."),d_dir!AG21/((1/1000)*(d_Irr!F21+d_Irr!BD21)),IF(AND(d_Irr!F21=".",d_Irr!AE21&lt;&gt;".",d_Irr!BD21&lt;&gt;"."),d_dir!AG21/((1/1000)*(d_Irr!AE21+d_Irr!BD21)),IF(AND(d_Irr!F21=".",d_Irr!AE21=".",d_Irr!BD21&lt;&gt;"."),d_dir!AG21/((1/1000)*(d_Irr!BD21)),IF(AND(d_Irr!F21=".",d_Irr!AE21&lt;&gt;".",d_Irr!BD21="."),d_dir!AG21/((1/1000)*(d_Irr!AE21)),IF(AND(d_Irr!F21&lt;&gt;".",d_Irr!AE21=".",d_Irr!BD21="."),d_dir!AG21/((1/1000)*(d_Irr!F21)),IF(AND(d_Irr!F21=".",d_Irr!AE21=".",d_Irr!BD21="."),d_dir!AG21*1000)))))))),".")</f>
        <v>.</v>
      </c>
      <c r="AH21" s="76" t="str">
        <f>IFERROR(IF(AND(d_Irr!G21&lt;&gt;".",d_Irr!AF21&lt;&gt;".",d_Irr!BE21&lt;&gt;"."),d_dir!AH21/((1/1000)*(d_Irr!G21+d_Irr!AF21+d_Irr!BE21)),IF(AND(d_Irr!G21&lt;&gt;".",d_Irr!AF21&lt;&gt;".",d_Irr!BE21="."),d_dir!AH21/((1/1000)*(d_Irr!G21+d_Irr!AF21)),IF(AND(d_Irr!G21&lt;&gt;".",d_Irr!AF21=".",d_Irr!BE21&lt;&gt;"."),d_dir!AH21/((1/1000)*(d_Irr!G21+d_Irr!BE21)),IF(AND(d_Irr!G21=".",d_Irr!AF21&lt;&gt;".",d_Irr!BE21&lt;&gt;"."),d_dir!AH21/((1/1000)*(d_Irr!AF21+d_Irr!BE21)),IF(AND(d_Irr!G21=".",d_Irr!AF21=".",d_Irr!BE21&lt;&gt;"."),d_dir!AH21/((1/1000)*(d_Irr!BE21)),IF(AND(d_Irr!G21=".",d_Irr!AF21&lt;&gt;".",d_Irr!BE21="."),d_dir!AH21/((1/1000)*(d_Irr!AF21)),IF(AND(d_Irr!G21&lt;&gt;".",d_Irr!AF21=".",d_Irr!BE21="."),d_dir!AH21/((1/1000)*(d_Irr!G21)),IF(AND(d_Irr!G21=".",d_Irr!AF21=".",d_Irr!BE21="."),d_dir!AH21*1000)))))))),".")</f>
        <v>.</v>
      </c>
      <c r="AI21" s="76" t="str">
        <f>IFERROR(IF(AND(d_Irr!H21&lt;&gt;".",d_Irr!AG21&lt;&gt;".",d_Irr!BF21&lt;&gt;"."),d_dir!AI21/((1/1000)*(d_Irr!H21+d_Irr!AG21+d_Irr!BF21)),IF(AND(d_Irr!H21&lt;&gt;".",d_Irr!AG21&lt;&gt;".",d_Irr!BF21="."),d_dir!AI21/((1/1000)*(d_Irr!H21+d_Irr!AG21)),IF(AND(d_Irr!H21&lt;&gt;".",d_Irr!AG21=".",d_Irr!BF21&lt;&gt;"."),d_dir!AI21/((1/1000)*(d_Irr!H21+d_Irr!BF21)),IF(AND(d_Irr!H21=".",d_Irr!AG21&lt;&gt;".",d_Irr!BF21&lt;&gt;"."),d_dir!AI21/((1/1000)*(d_Irr!AG21+d_Irr!BF21)),IF(AND(d_Irr!H21=".",d_Irr!AG21=".",d_Irr!BF21&lt;&gt;"."),d_dir!AI21/((1/1000)*(d_Irr!BF21)),IF(AND(d_Irr!H21=".",d_Irr!AG21&lt;&gt;".",d_Irr!BF21="."),d_dir!AI21/((1/1000)*(d_Irr!AG21)),IF(AND(d_Irr!H21&lt;&gt;".",d_Irr!AG21=".",d_Irr!BF21="."),d_dir!AI21/((1/1000)*(d_Irr!H21)),IF(AND(d_Irr!H21=".",d_Irr!AG21=".",d_Irr!BF21="."),d_dir!AI21*1000)))))))),".")</f>
        <v>.</v>
      </c>
      <c r="AJ21" s="76" t="str">
        <f>IFERROR(IF(AND(d_Irr!I21&lt;&gt;".",d_Irr!AH21&lt;&gt;".",d_Irr!BG21&lt;&gt;"."),d_dir!AJ21/((1/1000)*(d_Irr!I21+d_Irr!AH21+d_Irr!BG21)),IF(AND(d_Irr!I21&lt;&gt;".",d_Irr!AH21&lt;&gt;".",d_Irr!BG21="."),d_dir!AJ21/((1/1000)*(d_Irr!I21+d_Irr!AH21)),IF(AND(d_Irr!I21&lt;&gt;".",d_Irr!AH21=".",d_Irr!BG21&lt;&gt;"."),d_dir!AJ21/((1/1000)*(d_Irr!I21+d_Irr!BG21)),IF(AND(d_Irr!I21=".",d_Irr!AH21&lt;&gt;".",d_Irr!BG21&lt;&gt;"."),d_dir!AJ21/((1/1000)*(d_Irr!AH21+d_Irr!BG21)),IF(AND(d_Irr!I21=".",d_Irr!AH21=".",d_Irr!BG21&lt;&gt;"."),d_dir!AJ21/((1/1000)*(d_Irr!BG21)),IF(AND(d_Irr!I21=".",d_Irr!AH21&lt;&gt;".",d_Irr!BG21="."),d_dir!AJ21/((1/1000)*(d_Irr!AH21)),IF(AND(d_Irr!I21&lt;&gt;".",d_Irr!AH21=".",d_Irr!BG21="."),d_dir!AJ21/((1/1000)*(d_Irr!I21)),IF(AND(d_Irr!I21=".",d_Irr!AH21=".",d_Irr!BG21="."),d_dir!AJ21*1000)))))))),".")</f>
        <v>.</v>
      </c>
      <c r="AK21" s="76" t="str">
        <f>IFERROR(IF(AND(d_Irr!J21&lt;&gt;".",d_Irr!AI21&lt;&gt;".",d_Irr!BH21&lt;&gt;"."),d_dir!AK21/((1/1000)*(d_Irr!J21+d_Irr!AI21+d_Irr!BH21)),IF(AND(d_Irr!J21&lt;&gt;".",d_Irr!AI21&lt;&gt;".",d_Irr!BH21="."),d_dir!AK21/((1/1000)*(d_Irr!J21+d_Irr!AI21)),IF(AND(d_Irr!J21&lt;&gt;".",d_Irr!AI21=".",d_Irr!BH21&lt;&gt;"."),d_dir!AK21/((1/1000)*(d_Irr!J21+d_Irr!BH21)),IF(AND(d_Irr!J21=".",d_Irr!AI21&lt;&gt;".",d_Irr!BH21&lt;&gt;"."),d_dir!AK21/((1/1000)*(d_Irr!AI21+d_Irr!BH21)),IF(AND(d_Irr!J21=".",d_Irr!AI21=".",d_Irr!BH21&lt;&gt;"."),d_dir!AK21/((1/1000)*(d_Irr!BH21)),IF(AND(d_Irr!J21=".",d_Irr!AI21&lt;&gt;".",d_Irr!BH21="."),d_dir!AK21/((1/1000)*(d_Irr!AI21)),IF(AND(d_Irr!J21&lt;&gt;".",d_Irr!AI21=".",d_Irr!BH21="."),d_dir!AK21/((1/1000)*(d_Irr!J21)),IF(AND(d_Irr!J21=".",d_Irr!AI21=".",d_Irr!BH21="."),d_dir!AK21*1000)))))))),".")</f>
        <v>.</v>
      </c>
      <c r="AL21" s="76" t="str">
        <f>IFERROR(IF(AND(d_Irr!K21&lt;&gt;".",d_Irr!AJ21&lt;&gt;".",d_Irr!BI21&lt;&gt;"."),d_dir!AL21/((1/1000)*(d_Irr!K21+d_Irr!AJ21+d_Irr!BI21)),IF(AND(d_Irr!K21&lt;&gt;".",d_Irr!AJ21&lt;&gt;".",d_Irr!BI21="."),d_dir!AL21/((1/1000)*(d_Irr!K21+d_Irr!AJ21)),IF(AND(d_Irr!K21&lt;&gt;".",d_Irr!AJ21=".",d_Irr!BI21&lt;&gt;"."),d_dir!AL21/((1/1000)*(d_Irr!K21+d_Irr!BI21)),IF(AND(d_Irr!K21=".",d_Irr!AJ21&lt;&gt;".",d_Irr!BI21&lt;&gt;"."),d_dir!AL21/((1/1000)*(d_Irr!AJ21+d_Irr!BI21)),IF(AND(d_Irr!K21=".",d_Irr!AJ21=".",d_Irr!BI21&lt;&gt;"."),d_dir!AL21/((1/1000)*(d_Irr!BI21)),IF(AND(d_Irr!K21=".",d_Irr!AJ21&lt;&gt;".",d_Irr!BI21="."),d_dir!AL21/((1/1000)*(d_Irr!AJ21)),IF(AND(d_Irr!K21&lt;&gt;".",d_Irr!AJ21=".",d_Irr!BI21="."),d_dir!AL21/((1/1000)*(d_Irr!K21)),IF(AND(d_Irr!K21=".",d_Irr!AJ21=".",d_Irr!BI21="."),d_dir!AL21*1000)))))))),".")</f>
        <v>.</v>
      </c>
      <c r="AM21" s="76" t="str">
        <f>IFERROR(IF(AND(d_Irr!L21&lt;&gt;".",d_Irr!AK21&lt;&gt;".",d_Irr!BJ21&lt;&gt;"."),d_dir!AM21/((1/1000)*(d_Irr!L21+d_Irr!AK21+d_Irr!BJ21)),IF(AND(d_Irr!L21&lt;&gt;".",d_Irr!AK21&lt;&gt;".",d_Irr!BJ21="."),d_dir!AM21/((1/1000)*(d_Irr!L21+d_Irr!AK21)),IF(AND(d_Irr!L21&lt;&gt;".",d_Irr!AK21=".",d_Irr!BJ21&lt;&gt;"."),d_dir!AM21/((1/1000)*(d_Irr!L21+d_Irr!BJ21)),IF(AND(d_Irr!L21=".",d_Irr!AK21&lt;&gt;".",d_Irr!BJ21&lt;&gt;"."),d_dir!AM21/((1/1000)*(d_Irr!AK21+d_Irr!BJ21)),IF(AND(d_Irr!L21=".",d_Irr!AK21=".",d_Irr!BJ21&lt;&gt;"."),d_dir!AM21/((1/1000)*(d_Irr!BJ21)),IF(AND(d_Irr!L21=".",d_Irr!AK21&lt;&gt;".",d_Irr!BJ21="."),d_dir!AM21/((1/1000)*(d_Irr!AK21)),IF(AND(d_Irr!L21&lt;&gt;".",d_Irr!AK21=".",d_Irr!BJ21="."),d_dir!AM21/((1/1000)*(d_Irr!L21)),IF(AND(d_Irr!L21=".",d_Irr!AK21=".",d_Irr!BJ21="."),d_dir!AM21*1000)))))))),".")</f>
        <v>.</v>
      </c>
      <c r="AN21" s="76" t="str">
        <f>IFERROR(IF(AND(d_Irr!M21&lt;&gt;".",d_Irr!AL21&lt;&gt;".",d_Irr!BK21&lt;&gt;"."),d_dir!AN21/((1/1000)*(d_Irr!M21+d_Irr!AL21+d_Irr!BK21)),IF(AND(d_Irr!M21&lt;&gt;".",d_Irr!AL21&lt;&gt;".",d_Irr!BK21="."),d_dir!AN21/((1/1000)*(d_Irr!M21+d_Irr!AL21)),IF(AND(d_Irr!M21&lt;&gt;".",d_Irr!AL21=".",d_Irr!BK21&lt;&gt;"."),d_dir!AN21/((1/1000)*(d_Irr!M21+d_Irr!BK21)),IF(AND(d_Irr!M21=".",d_Irr!AL21&lt;&gt;".",d_Irr!BK21&lt;&gt;"."),d_dir!AN21/((1/1000)*(d_Irr!AL21+d_Irr!BK21)),IF(AND(d_Irr!M21=".",d_Irr!AL21=".",d_Irr!BK21&lt;&gt;"."),d_dir!AN21/((1/1000)*(d_Irr!BK21)),IF(AND(d_Irr!M21=".",d_Irr!AL21&lt;&gt;".",d_Irr!BK21="."),d_dir!AN21/((1/1000)*(d_Irr!AL21)),IF(AND(d_Irr!M21&lt;&gt;".",d_Irr!AL21=".",d_Irr!BK21="."),d_dir!AN21/((1/1000)*(d_Irr!M21)),IF(AND(d_Irr!M21=".",d_Irr!AL21=".",d_Irr!BK21="."),d_dir!AN21*1000)))))))),".")</f>
        <v>.</v>
      </c>
      <c r="AO21" s="76" t="str">
        <f>IFERROR(IF(AND(d_Irr!N21&lt;&gt;".",d_Irr!AM21&lt;&gt;".",d_Irr!BL21&lt;&gt;"."),d_dir!AO21/((1/1000)*(d_Irr!N21+d_Irr!AM21+d_Irr!BL21)),IF(AND(d_Irr!N21&lt;&gt;".",d_Irr!AM21&lt;&gt;".",d_Irr!BL21="."),d_dir!AO21/((1/1000)*(d_Irr!N21+d_Irr!AM21)),IF(AND(d_Irr!N21&lt;&gt;".",d_Irr!AM21=".",d_Irr!BL21&lt;&gt;"."),d_dir!AO21/((1/1000)*(d_Irr!N21+d_Irr!BL21)),IF(AND(d_Irr!N21=".",d_Irr!AM21&lt;&gt;".",d_Irr!BL21&lt;&gt;"."),d_dir!AO21/((1/1000)*(d_Irr!AM21+d_Irr!BL21)),IF(AND(d_Irr!N21=".",d_Irr!AM21=".",d_Irr!BL21&lt;&gt;"."),d_dir!AO21/((1/1000)*(d_Irr!BL21)),IF(AND(d_Irr!N21=".",d_Irr!AM21&lt;&gt;".",d_Irr!BL21="."),d_dir!AO21/((1/1000)*(d_Irr!AM21)),IF(AND(d_Irr!N21&lt;&gt;".",d_Irr!AM21=".",d_Irr!BL21="."),d_dir!AO21/((1/1000)*(d_Irr!N21)),IF(AND(d_Irr!N21=".",d_Irr!AM21=".",d_Irr!BL21="."),d_dir!AO21*1000)))))))),".")</f>
        <v>.</v>
      </c>
      <c r="AP21" s="76" t="str">
        <f>IFERROR(IF(AND(d_Irr!O21&lt;&gt;".",d_Irr!AN21&lt;&gt;".",d_Irr!BM21&lt;&gt;"."),d_dir!AP21/((1/1000)*(d_Irr!O21+d_Irr!AN21+d_Irr!BM21)),IF(AND(d_Irr!O21&lt;&gt;".",d_Irr!AN21&lt;&gt;".",d_Irr!BM21="."),d_dir!AP21/((1/1000)*(d_Irr!O21+d_Irr!AN21)),IF(AND(d_Irr!O21&lt;&gt;".",d_Irr!AN21=".",d_Irr!BM21&lt;&gt;"."),d_dir!AP21/((1/1000)*(d_Irr!O21+d_Irr!BM21)),IF(AND(d_Irr!O21=".",d_Irr!AN21&lt;&gt;".",d_Irr!BM21&lt;&gt;"."),d_dir!AP21/((1/1000)*(d_Irr!AN21+d_Irr!BM21)),IF(AND(d_Irr!O21=".",d_Irr!AN21=".",d_Irr!BM21&lt;&gt;"."),d_dir!AP21/((1/1000)*(d_Irr!BM21)),IF(AND(d_Irr!O21=".",d_Irr!AN21&lt;&gt;".",d_Irr!BM21="."),d_dir!AP21/((1/1000)*(d_Irr!AN21)),IF(AND(d_Irr!O21&lt;&gt;".",d_Irr!AN21=".",d_Irr!BM21="."),d_dir!AP21/((1/1000)*(d_Irr!O21)),IF(AND(d_Irr!O21=".",d_Irr!AN21=".",d_Irr!BM21="."),d_dir!AP21*1000)))))))),".")</f>
        <v>.</v>
      </c>
      <c r="AQ21" s="76" t="str">
        <f>IFERROR(IF(AND(d_Irr!P21&lt;&gt;".",d_Irr!AO21&lt;&gt;".",d_Irr!BN21&lt;&gt;"."),d_dir!AQ21/((1/1000)*(d_Irr!P21+d_Irr!AO21+d_Irr!BN21)),IF(AND(d_Irr!P21&lt;&gt;".",d_Irr!AO21&lt;&gt;".",d_Irr!BN21="."),d_dir!AQ21/((1/1000)*(d_Irr!P21+d_Irr!AO21)),IF(AND(d_Irr!P21&lt;&gt;".",d_Irr!AO21=".",d_Irr!BN21&lt;&gt;"."),d_dir!AQ21/((1/1000)*(d_Irr!P21+d_Irr!BN21)),IF(AND(d_Irr!P21=".",d_Irr!AO21&lt;&gt;".",d_Irr!BN21&lt;&gt;"."),d_dir!AQ21/((1/1000)*(d_Irr!AO21+d_Irr!BN21)),IF(AND(d_Irr!P21=".",d_Irr!AO21=".",d_Irr!BN21&lt;&gt;"."),d_dir!AQ21/((1/1000)*(d_Irr!BN21)),IF(AND(d_Irr!P21=".",d_Irr!AO21&lt;&gt;".",d_Irr!BN21="."),d_dir!AQ21/((1/1000)*(d_Irr!AO21)),IF(AND(d_Irr!P21&lt;&gt;".",d_Irr!AO21=".",d_Irr!BN21="."),d_dir!AQ21/((1/1000)*(d_Irr!P21)),IF(AND(d_Irr!P21=".",d_Irr!AO21=".",d_Irr!BN21="."),d_dir!AQ21*1000)))))))),".")</f>
        <v>.</v>
      </c>
      <c r="AR21" s="76" t="str">
        <f>IFERROR(IF(AND(d_Irr!Q21&lt;&gt;".",d_Irr!AP21&lt;&gt;".",d_Irr!BO21&lt;&gt;"."),d_dir!AR21/((1/1000)*(d_Irr!Q21+d_Irr!AP21+d_Irr!BO21)),IF(AND(d_Irr!Q21&lt;&gt;".",d_Irr!AP21&lt;&gt;".",d_Irr!BO21="."),d_dir!AR21/((1/1000)*(d_Irr!Q21+d_Irr!AP21)),IF(AND(d_Irr!Q21&lt;&gt;".",d_Irr!AP21=".",d_Irr!BO21&lt;&gt;"."),d_dir!AR21/((1/1000)*(d_Irr!Q21+d_Irr!BO21)),IF(AND(d_Irr!Q21=".",d_Irr!AP21&lt;&gt;".",d_Irr!BO21&lt;&gt;"."),d_dir!AR21/((1/1000)*(d_Irr!AP21+d_Irr!BO21)),IF(AND(d_Irr!Q21=".",d_Irr!AP21=".",d_Irr!BO21&lt;&gt;"."),d_dir!AR21/((1/1000)*(d_Irr!BO21)),IF(AND(d_Irr!Q21=".",d_Irr!AP21&lt;&gt;".",d_Irr!BO21="."),d_dir!AR21/((1/1000)*(d_Irr!AP21)),IF(AND(d_Irr!Q21&lt;&gt;".",d_Irr!AP21=".",d_Irr!BO21="."),d_dir!AR21/((1/1000)*(d_Irr!Q21)),IF(AND(d_Irr!Q21=".",d_Irr!AP21=".",d_Irr!BO21="."),d_dir!AR21*1000)))))))),".")</f>
        <v>.</v>
      </c>
      <c r="AS21" s="76" t="str">
        <f>IFERROR(IF(AND(d_Irr!R21&lt;&gt;".",d_Irr!AQ21&lt;&gt;".",d_Irr!BP21&lt;&gt;"."),d_dir!AS21/((1/1000)*(d_Irr!R21+d_Irr!AQ21+d_Irr!BP21)),IF(AND(d_Irr!R21&lt;&gt;".",d_Irr!AQ21&lt;&gt;".",d_Irr!BP21="."),d_dir!AS21/((1/1000)*(d_Irr!R21+d_Irr!AQ21)),IF(AND(d_Irr!R21&lt;&gt;".",d_Irr!AQ21=".",d_Irr!BP21&lt;&gt;"."),d_dir!AS21/((1/1000)*(d_Irr!R21+d_Irr!BP21)),IF(AND(d_Irr!R21=".",d_Irr!AQ21&lt;&gt;".",d_Irr!BP21&lt;&gt;"."),d_dir!AS21/((1/1000)*(d_Irr!AQ21+d_Irr!BP21)),IF(AND(d_Irr!R21=".",d_Irr!AQ21=".",d_Irr!BP21&lt;&gt;"."),d_dir!AS21/((1/1000)*(d_Irr!BP21)),IF(AND(d_Irr!R21=".",d_Irr!AQ21&lt;&gt;".",d_Irr!BP21="."),d_dir!AS21/((1/1000)*(d_Irr!AQ21)),IF(AND(d_Irr!R21&lt;&gt;".",d_Irr!AQ21=".",d_Irr!BP21="."),d_dir!AS21/((1/1000)*(d_Irr!R21)),IF(AND(d_Irr!R21=".",d_Irr!AQ21=".",d_Irr!BP21="."),d_dir!AS21*1000)))))))),".")</f>
        <v>.</v>
      </c>
      <c r="AT21" s="76" t="str">
        <f>IFERROR(IF(AND(d_Irr!S21&lt;&gt;".",d_Irr!AR21&lt;&gt;".",d_Irr!BQ21&lt;&gt;"."),d_dir!AT21/((1/1000)*(d_Irr!S21+d_Irr!AR21+d_Irr!BQ21)),IF(AND(d_Irr!S21&lt;&gt;".",d_Irr!AR21&lt;&gt;".",d_Irr!BQ21="."),d_dir!AT21/((1/1000)*(d_Irr!S21+d_Irr!AR21)),IF(AND(d_Irr!S21&lt;&gt;".",d_Irr!AR21=".",d_Irr!BQ21&lt;&gt;"."),d_dir!AT21/((1/1000)*(d_Irr!S21+d_Irr!BQ21)),IF(AND(d_Irr!S21=".",d_Irr!AR21&lt;&gt;".",d_Irr!BQ21&lt;&gt;"."),d_dir!AT21/((1/1000)*(d_Irr!AR21+d_Irr!BQ21)),IF(AND(d_Irr!S21=".",d_Irr!AR21=".",d_Irr!BQ21&lt;&gt;"."),d_dir!AT21/((1/1000)*(d_Irr!BQ21)),IF(AND(d_Irr!S21=".",d_Irr!AR21&lt;&gt;".",d_Irr!BQ21="."),d_dir!AT21/((1/1000)*(d_Irr!AR21)),IF(AND(d_Irr!S21&lt;&gt;".",d_Irr!AR21=".",d_Irr!BQ21="."),d_dir!AT21/((1/1000)*(d_Irr!S21)),IF(AND(d_Irr!S21=".",d_Irr!AR21=".",d_Irr!BQ21="."),d_dir!AT21*1000)))))))),".")</f>
        <v>.</v>
      </c>
      <c r="AU21" s="76" t="str">
        <f>IFERROR(IF(AND(d_Irr!T21&lt;&gt;".",d_Irr!AS21&lt;&gt;".",d_Irr!BR21&lt;&gt;"."),d_dir!AU21/((1/1000)*(d_Irr!T21+d_Irr!AS21+d_Irr!BR21)),IF(AND(d_Irr!T21&lt;&gt;".",d_Irr!AS21&lt;&gt;".",d_Irr!BR21="."),d_dir!AU21/((1/1000)*(d_Irr!T21+d_Irr!AS21)),IF(AND(d_Irr!T21&lt;&gt;".",d_Irr!AS21=".",d_Irr!BR21&lt;&gt;"."),d_dir!AU21/((1/1000)*(d_Irr!T21+d_Irr!BR21)),IF(AND(d_Irr!T21=".",d_Irr!AS21&lt;&gt;".",d_Irr!BR21&lt;&gt;"."),d_dir!AU21/((1/1000)*(d_Irr!AS21+d_Irr!BR21)),IF(AND(d_Irr!T21=".",d_Irr!AS21=".",d_Irr!BR21&lt;&gt;"."),d_dir!AU21/((1/1000)*(d_Irr!BR21)),IF(AND(d_Irr!T21=".",d_Irr!AS21&lt;&gt;".",d_Irr!BR21="."),d_dir!AU21/((1/1000)*(d_Irr!AS21)),IF(AND(d_Irr!T21&lt;&gt;".",d_Irr!AS21=".",d_Irr!BR21="."),d_dir!AU21/((1/1000)*(d_Irr!T21)),IF(AND(d_Irr!T21=".",d_Irr!AS21=".",d_Irr!BR21="."),d_dir!AU21*1000)))))))),".")</f>
        <v>.</v>
      </c>
      <c r="AV21" s="76" t="str">
        <f>IFERROR(IF(AND(d_Irr!U21&lt;&gt;".",d_Irr!AT21&lt;&gt;".",d_Irr!BS21&lt;&gt;"."),d_dir!AV21/((1/1000)*(d_Irr!U21+d_Irr!AT21+d_Irr!BS21)),IF(AND(d_Irr!U21&lt;&gt;".",d_Irr!AT21&lt;&gt;".",d_Irr!BS21="."),d_dir!AV21/((1/1000)*(d_Irr!U21+d_Irr!AT21)),IF(AND(d_Irr!U21&lt;&gt;".",d_Irr!AT21=".",d_Irr!BS21&lt;&gt;"."),d_dir!AV21/((1/1000)*(d_Irr!U21+d_Irr!BS21)),IF(AND(d_Irr!U21=".",d_Irr!AT21&lt;&gt;".",d_Irr!BS21&lt;&gt;"."),d_dir!AV21/((1/1000)*(d_Irr!AT21+d_Irr!BS21)),IF(AND(d_Irr!U21=".",d_Irr!AT21=".",d_Irr!BS21&lt;&gt;"."),d_dir!AV21/((1/1000)*(d_Irr!BS21)),IF(AND(d_Irr!U21=".",d_Irr!AT21&lt;&gt;".",d_Irr!BS21="."),d_dir!AV21/((1/1000)*(d_Irr!AT21)),IF(AND(d_Irr!U21&lt;&gt;".",d_Irr!AT21=".",d_Irr!BS21="."),d_dir!AV21/((1/1000)*(d_Irr!U21)),IF(AND(d_Irr!U21=".",d_Irr!AT21=".",d_Irr!BS21="."),d_dir!AV21*1000)))))))),".")</f>
        <v>.</v>
      </c>
      <c r="AW21" s="76" t="str">
        <f>IFERROR(IF(AND(d_Irr!V21&lt;&gt;".",d_Irr!AU21&lt;&gt;".",d_Irr!BT21&lt;&gt;"."),d_dir!AW21/((1/1000)*(d_Irr!V21+d_Irr!AU21+d_Irr!BT21)),IF(AND(d_Irr!V21&lt;&gt;".",d_Irr!AU21&lt;&gt;".",d_Irr!BT21="."),d_dir!AW21/((1/1000)*(d_Irr!V21+d_Irr!AU21)),IF(AND(d_Irr!V21&lt;&gt;".",d_Irr!AU21=".",d_Irr!BT21&lt;&gt;"."),d_dir!AW21/((1/1000)*(d_Irr!V21+d_Irr!BT21)),IF(AND(d_Irr!V21=".",d_Irr!AU21&lt;&gt;".",d_Irr!BT21&lt;&gt;"."),d_dir!AW21/((1/1000)*(d_Irr!AU21+d_Irr!BT21)),IF(AND(d_Irr!V21=".",d_Irr!AU21=".",d_Irr!BT21&lt;&gt;"."),d_dir!AW21/((1/1000)*(d_Irr!BT21)),IF(AND(d_Irr!V21=".",d_Irr!AU21&lt;&gt;".",d_Irr!BT21="."),d_dir!AW21/((1/1000)*(d_Irr!AU21)),IF(AND(d_Irr!V21&lt;&gt;".",d_Irr!AU21=".",d_Irr!BT21="."),d_dir!AW21/((1/1000)*(d_Irr!V21)),IF(AND(d_Irr!V21=".",d_Irr!AU21=".",d_Irr!BT21="."),d_dir!AW21*1000)))))))),".")</f>
        <v>.</v>
      </c>
      <c r="AX21" s="76" t="str">
        <f>IFERROR(IF(AND(d_Irr!W21&lt;&gt;".",d_Irr!AV21&lt;&gt;".",d_Irr!BU21&lt;&gt;"."),d_dir!AX21/((1/1000)*(d_Irr!W21+d_Irr!AV21+d_Irr!BU21)),IF(AND(d_Irr!W21&lt;&gt;".",d_Irr!AV21&lt;&gt;".",d_Irr!BU21="."),d_dir!AX21/((1/1000)*(d_Irr!W21+d_Irr!AV21)),IF(AND(d_Irr!W21&lt;&gt;".",d_Irr!AV21=".",d_Irr!BU21&lt;&gt;"."),d_dir!AX21/((1/1000)*(d_Irr!W21+d_Irr!BU21)),IF(AND(d_Irr!W21=".",d_Irr!AV21&lt;&gt;".",d_Irr!BU21&lt;&gt;"."),d_dir!AX21/((1/1000)*(d_Irr!AV21+d_Irr!BU21)),IF(AND(d_Irr!W21=".",d_Irr!AV21=".",d_Irr!BU21&lt;&gt;"."),d_dir!AX21/((1/1000)*(d_Irr!BU21)),IF(AND(d_Irr!W21=".",d_Irr!AV21&lt;&gt;".",d_Irr!BU21="."),d_dir!AX21/((1/1000)*(d_Irr!AV21)),IF(AND(d_Irr!W21&lt;&gt;".",d_Irr!AV21=".",d_Irr!BU21="."),d_dir!AX21/((1/1000)*(d_Irr!W21)),IF(AND(d_Irr!W21=".",d_Irr!AV21=".",d_Irr!BU21="."),d_dir!AX21*1000)))))))),".")</f>
        <v>.</v>
      </c>
      <c r="AY21" s="76" t="str">
        <f>IFERROR(IF(AND(d_Irr!X21&lt;&gt;".",d_Irr!AW21&lt;&gt;".",d_Irr!BV21&lt;&gt;"."),d_dir!AY21/((1/1000)*(d_Irr!X21+d_Irr!AW21+d_Irr!BV21)),IF(AND(d_Irr!X21&lt;&gt;".",d_Irr!AW21&lt;&gt;".",d_Irr!BV21="."),d_dir!AY21/((1/1000)*(d_Irr!X21+d_Irr!AW21)),IF(AND(d_Irr!X21&lt;&gt;".",d_Irr!AW21=".",d_Irr!BV21&lt;&gt;"."),d_dir!AY21/((1/1000)*(d_Irr!X21+d_Irr!BV21)),IF(AND(d_Irr!X21=".",d_Irr!AW21&lt;&gt;".",d_Irr!BV21&lt;&gt;"."),d_dir!AY21/((1/1000)*(d_Irr!AW21+d_Irr!BV21)),IF(AND(d_Irr!X21=".",d_Irr!AW21=".",d_Irr!BV21&lt;&gt;"."),d_dir!AY21/((1/1000)*(d_Irr!BV21)),IF(AND(d_Irr!X21=".",d_Irr!AW21&lt;&gt;".",d_Irr!BV21="."),d_dir!AY21/((1/1000)*(d_Irr!AW21)),IF(AND(d_Irr!X21&lt;&gt;".",d_Irr!AW21=".",d_Irr!BV21="."),d_dir!AY21/((1/1000)*(d_Irr!X21)),IF(AND(d_Irr!X21=".",d_Irr!AW21=".",d_Irr!BV21="."),d_dir!AY21*1000)))))))),".")</f>
        <v>.</v>
      </c>
      <c r="AZ21" s="76" t="str">
        <f>IFERROR(IF(AND(d_Irr!Y21&lt;&gt;".",d_Irr!AX21&lt;&gt;".",d_Irr!BW21&lt;&gt;"."),d_dir!AZ21/((1/1000)*(d_Irr!Y21+d_Irr!AX21+d_Irr!BW21)),IF(AND(d_Irr!Y21&lt;&gt;".",d_Irr!AX21&lt;&gt;".",d_Irr!BW21="."),d_dir!AZ21/((1/1000)*(d_Irr!Y21+d_Irr!AX21)),IF(AND(d_Irr!Y21&lt;&gt;".",d_Irr!AX21=".",d_Irr!BW21&lt;&gt;"."),d_dir!AZ21/((1/1000)*(d_Irr!Y21+d_Irr!BW21)),IF(AND(d_Irr!Y21=".",d_Irr!AX21&lt;&gt;".",d_Irr!BW21&lt;&gt;"."),d_dir!AZ21/((1/1000)*(d_Irr!AX21+d_Irr!BW21)),IF(AND(d_Irr!Y21=".",d_Irr!AX21=".",d_Irr!BW21&lt;&gt;"."),d_dir!AZ21/((1/1000)*(d_Irr!BW21)),IF(AND(d_Irr!Y21=".",d_Irr!AX21&lt;&gt;".",d_Irr!BW21="."),d_dir!AZ21/((1/1000)*(d_Irr!AX21)),IF(AND(d_Irr!Y21&lt;&gt;".",d_Irr!AX21=".",d_Irr!BW21="."),d_dir!AZ21/((1/1000)*(d_Irr!Y21)),IF(AND(d_Irr!Y21=".",d_Irr!AX21=".",d_Irr!BW21="."),d_dir!AZ21*1000)))))))),".")</f>
        <v>.</v>
      </c>
      <c r="BA21" s="76" t="str">
        <f>IFERROR(IF(AND(d_Irr!Z21&lt;&gt;".",d_Irr!AY21&lt;&gt;".",d_Irr!BX21&lt;&gt;"."),d_dir!BA21/((1/1000)*(d_Irr!Z21+d_Irr!AY21+d_Irr!BX21)),IF(AND(d_Irr!Z21&lt;&gt;".",d_Irr!AY21&lt;&gt;".",d_Irr!BX21="."),d_dir!BA21/((1/1000)*(d_Irr!Z21+d_Irr!AY21)),IF(AND(d_Irr!Z21&lt;&gt;".",d_Irr!AY21=".",d_Irr!BX21&lt;&gt;"."),d_dir!BA21/((1/1000)*(d_Irr!Z21+d_Irr!BX21)),IF(AND(d_Irr!Z21=".",d_Irr!AY21&lt;&gt;".",d_Irr!BX21&lt;&gt;"."),d_dir!BA21/((1/1000)*(d_Irr!AY21+d_Irr!BX21)),IF(AND(d_Irr!Z21=".",d_Irr!AY21=".",d_Irr!BX21&lt;&gt;"."),d_dir!BA21/((1/1000)*(d_Irr!BX21)),IF(AND(d_Irr!Z21=".",d_Irr!AY21&lt;&gt;".",d_Irr!BX21="."),d_dir!BA21/((1/1000)*(d_Irr!AY21)),IF(AND(d_Irr!Z21&lt;&gt;".",d_Irr!AY21=".",d_Irr!BX21="."),d_dir!BA21/((1/1000)*(d_Irr!Z21)),IF(AND(d_Irr!Z21=".",d_Irr!AY21=".",d_Irr!BX21="."),d_dir!BA21*1000)))))))),".")</f>
        <v>.</v>
      </c>
      <c r="BB21" s="76" t="str">
        <f>IFERROR(IF(AND(d_Irr!AA21&lt;&gt;".",d_Irr!AZ21&lt;&gt;".",d_Irr!BY21&lt;&gt;"."),d_dir!BB21/((1/1000)*(d_Irr!AA21+d_Irr!AZ21+d_Irr!BY21)),IF(AND(d_Irr!AA21&lt;&gt;".",d_Irr!AZ21&lt;&gt;".",d_Irr!BY21="."),d_dir!BB21/((1/1000)*(d_Irr!AA21+d_Irr!AZ21)),IF(AND(d_Irr!AA21&lt;&gt;".",d_Irr!AZ21=".",d_Irr!BY21&lt;&gt;"."),d_dir!BB21/((1/1000)*(d_Irr!AA21+d_Irr!BY21)),IF(AND(d_Irr!AA21=".",d_Irr!AZ21&lt;&gt;".",d_Irr!BY21&lt;&gt;"."),d_dir!BB21/((1/1000)*(d_Irr!AZ21+d_Irr!BY21)),IF(AND(d_Irr!AA21=".",d_Irr!AZ21=".",d_Irr!BY21&lt;&gt;"."),d_dir!BB21/((1/1000)*(d_Irr!BY21)),IF(AND(d_Irr!AA21=".",d_Irr!AZ21&lt;&gt;".",d_Irr!BY21="."),d_dir!BB21/((1/1000)*(d_Irr!AZ21)),IF(AND(d_Irr!AA21&lt;&gt;".",d_Irr!AZ21=".",d_Irr!BY21="."),d_dir!BB21/((1/1000)*(d_Irr!AA21)),IF(AND(d_Irr!AA21=".",d_Irr!AZ21=".",d_Irr!BY21="."),d_dir!BB21*1000)))))))),".")</f>
        <v>.</v>
      </c>
    </row>
    <row r="22" spans="1:54" ht="15" customHeight="1" x14ac:dyDescent="0.25">
      <c r="A22" s="92" t="s">
        <v>32</v>
      </c>
      <c r="B22" s="90" t="s">
        <v>1071</v>
      </c>
      <c r="C22" s="2">
        <f t="shared" si="1"/>
        <v>0.12005446279717383</v>
      </c>
      <c r="D22" s="76">
        <f>IFERROR(IF(AND(d_Irr!C22&lt;&gt;".",d_Irr!AB22&lt;&gt;".",d_Irr!BA22&lt;&gt;"."),d_dir!D22/((1/1000)*(d_Irr!C22+d_Irr!AB22+d_Irr!BA22)),IF(AND(d_Irr!C22&lt;&gt;".",d_Irr!AB22&lt;&gt;".",d_Irr!BA22="."),d_dir!D22/((1/1000)*(d_Irr!C22+d_Irr!AB22)),IF(AND(d_Irr!C22&lt;&gt;".",d_Irr!AB22=".",d_Irr!BA22&lt;&gt;"."),d_dir!D22/((1/1000)*(d_Irr!C22+d_Irr!BA22)),IF(AND(d_Irr!C22=".",d_Irr!AB22&lt;&gt;".",d_Irr!BA22&lt;&gt;"."),d_dir!D22/((1/1000)*(d_Irr!AB22+d_Irr!BA22)),IF(AND(d_Irr!C22=".",d_Irr!AB22=".",d_Irr!BA22&lt;&gt;"."),d_dir!D22/((1/1000)*(d_Irr!BA22)),IF(AND(d_Irr!C22=".",d_Irr!AB22&lt;&gt;".",d_Irr!BA22="."),d_dir!D22/((1/1000)*(d_Irr!AB22)),IF(AND(d_Irr!C22&lt;&gt;".",d_Irr!AB22=".",d_Irr!BA22="."),d_dir!D22/((1/1000)*(d_Irr!C22)),IF(AND(d_Irr!C22=".",d_Irr!AB22=".",d_Irr!BA22="."),d_dir!D22*1000)))))))),".")</f>
        <v>2.4320963243083464</v>
      </c>
      <c r="E22" s="76">
        <f>IFERROR(IF(AND(d_Irr!D22&lt;&gt;".",d_Irr!AC22&lt;&gt;".",d_Irr!BB22&lt;&gt;"."),d_dir!E22/((1/1000)*(d_Irr!D22+d_Irr!AC22+d_Irr!BB22)),IF(AND(d_Irr!D22&lt;&gt;".",d_Irr!AC22&lt;&gt;".",d_Irr!BB22="."),d_dir!E22/((1/1000)*(d_Irr!D22+d_Irr!AC22)),IF(AND(d_Irr!D22&lt;&gt;".",d_Irr!AC22=".",d_Irr!BB22&lt;&gt;"."),d_dir!E22/((1/1000)*(d_Irr!D22+d_Irr!BB22)),IF(AND(d_Irr!D22=".",d_Irr!AC22&lt;&gt;".",d_Irr!BB22&lt;&gt;"."),d_dir!E22/((1/1000)*(d_Irr!AC22+d_Irr!BB22)),IF(AND(d_Irr!D22=".",d_Irr!AC22=".",d_Irr!BB22&lt;&gt;"."),d_dir!E22/((1/1000)*(d_Irr!BB22)),IF(AND(d_Irr!D22=".",d_Irr!AC22&lt;&gt;".",d_Irr!BB22="."),d_dir!E22/((1/1000)*(d_Irr!AC22)),IF(AND(d_Irr!D22&lt;&gt;".",d_Irr!AC22=".",d_Irr!BB22="."),d_dir!E22/((1/1000)*(d_Irr!D22)),IF(AND(d_Irr!D22=".",d_Irr!AC22=".",d_Irr!BB22="."),d_dir!E22*1000)))))))),".")</f>
        <v>3.0884117863473968</v>
      </c>
      <c r="F22" s="76">
        <f>IFERROR(IF(AND(d_Irr!E22&lt;&gt;".",d_Irr!AD22&lt;&gt;".",d_Irr!BC22&lt;&gt;"."),d_dir!F22/((1/1000)*(d_Irr!E22+d_Irr!AD22+d_Irr!BC22)),IF(AND(d_Irr!E22&lt;&gt;".",d_Irr!AD22&lt;&gt;".",d_Irr!BC22="."),d_dir!F22/((1/1000)*(d_Irr!E22+d_Irr!AD22)),IF(AND(d_Irr!E22&lt;&gt;".",d_Irr!AD22=".",d_Irr!BC22&lt;&gt;"."),d_dir!F22/((1/1000)*(d_Irr!E22+d_Irr!BC22)),IF(AND(d_Irr!E22=".",d_Irr!AD22&lt;&gt;".",d_Irr!BC22&lt;&gt;"."),d_dir!F22/((1/1000)*(d_Irr!AD22+d_Irr!BC22)),IF(AND(d_Irr!E22=".",d_Irr!AD22=".",d_Irr!BC22&lt;&gt;"."),d_dir!F22/((1/1000)*(d_Irr!BC22)),IF(AND(d_Irr!E22=".",d_Irr!AD22&lt;&gt;".",d_Irr!BC22="."),d_dir!F22/((1/1000)*(d_Irr!AD22)),IF(AND(d_Irr!E22&lt;&gt;".",d_Irr!AD22=".",d_Irr!BC22="."),d_dir!F22/((1/1000)*(d_Irr!E22)),IF(AND(d_Irr!E22=".",d_Irr!AD22=".",d_Irr!BC22="."),d_dir!F22*1000)))))))),".")</f>
        <v>4.1792327042832529</v>
      </c>
      <c r="G22" s="76">
        <f>IFERROR(IF(AND(d_Irr!F22&lt;&gt;".",d_Irr!AE22&lt;&gt;".",d_Irr!BD22&lt;&gt;"."),d_dir!G22/((1/1000)*(d_Irr!F22+d_Irr!AE22+d_Irr!BD22)),IF(AND(d_Irr!F22&lt;&gt;".",d_Irr!AE22&lt;&gt;".",d_Irr!BD22="."),d_dir!G22/((1/1000)*(d_Irr!F22+d_Irr!AE22)),IF(AND(d_Irr!F22&lt;&gt;".",d_Irr!AE22=".",d_Irr!BD22&lt;&gt;"."),d_dir!G22/((1/1000)*(d_Irr!F22+d_Irr!BD22)),IF(AND(d_Irr!F22=".",d_Irr!AE22&lt;&gt;".",d_Irr!BD22&lt;&gt;"."),d_dir!G22/((1/1000)*(d_Irr!AE22+d_Irr!BD22)),IF(AND(d_Irr!F22=".",d_Irr!AE22=".",d_Irr!BD22&lt;&gt;"."),d_dir!G22/((1/1000)*(d_Irr!BD22)),IF(AND(d_Irr!F22=".",d_Irr!AE22&lt;&gt;".",d_Irr!BD22="."),d_dir!G22/((1/1000)*(d_Irr!AE22)),IF(AND(d_Irr!F22&lt;&gt;".",d_Irr!AE22=".",d_Irr!BD22="."),d_dir!G22/((1/1000)*(d_Irr!F22)),IF(AND(d_Irr!F22=".",d_Irr!AE22=".",d_Irr!BD22="."),d_dir!G22*1000)))))))),".")</f>
        <v>5.4699190553381625</v>
      </c>
      <c r="H22" s="76">
        <f>IFERROR(IF(AND(d_Irr!G22&lt;&gt;".",d_Irr!AF22&lt;&gt;".",d_Irr!BE22&lt;&gt;"."),d_dir!H22/((1/1000)*(d_Irr!G22+d_Irr!AF22+d_Irr!BE22)),IF(AND(d_Irr!G22&lt;&gt;".",d_Irr!AF22&lt;&gt;".",d_Irr!BE22="."),d_dir!H22/((1/1000)*(d_Irr!G22+d_Irr!AF22)),IF(AND(d_Irr!G22&lt;&gt;".",d_Irr!AF22=".",d_Irr!BE22&lt;&gt;"."),d_dir!H22/((1/1000)*(d_Irr!G22+d_Irr!BE22)),IF(AND(d_Irr!G22=".",d_Irr!AF22&lt;&gt;".",d_Irr!BE22&lt;&gt;"."),d_dir!H22/((1/1000)*(d_Irr!AF22+d_Irr!BE22)),IF(AND(d_Irr!G22=".",d_Irr!AF22=".",d_Irr!BE22&lt;&gt;"."),d_dir!H22/((1/1000)*(d_Irr!BE22)),IF(AND(d_Irr!G22=".",d_Irr!AF22&lt;&gt;".",d_Irr!BE22="."),d_dir!H22/((1/1000)*(d_Irr!AF22)),IF(AND(d_Irr!G22&lt;&gt;".",d_Irr!AF22=".",d_Irr!BE22="."),d_dir!H22/((1/1000)*(d_Irr!G22)),IF(AND(d_Irr!G22=".",d_Irr!AF22=".",d_Irr!BE22="."),d_dir!H22*1000)))))))),".")</f>
        <v>6.2988765794989341</v>
      </c>
      <c r="I22" s="76">
        <f>IFERROR(IF(AND(d_Irr!H22&lt;&gt;".",d_Irr!AG22&lt;&gt;".",d_Irr!BF22&lt;&gt;"."),d_dir!I22/((1/1000)*(d_Irr!H22+d_Irr!AG22+d_Irr!BF22)),IF(AND(d_Irr!H22&lt;&gt;".",d_Irr!AG22&lt;&gt;".",d_Irr!BF22="."),d_dir!I22/((1/1000)*(d_Irr!H22+d_Irr!AG22)),IF(AND(d_Irr!H22&lt;&gt;".",d_Irr!AG22=".",d_Irr!BF22&lt;&gt;"."),d_dir!I22/((1/1000)*(d_Irr!H22+d_Irr!BF22)),IF(AND(d_Irr!H22=".",d_Irr!AG22&lt;&gt;".",d_Irr!BF22&lt;&gt;"."),d_dir!I22/((1/1000)*(d_Irr!AG22+d_Irr!BF22)),IF(AND(d_Irr!H22=".",d_Irr!AG22=".",d_Irr!BF22&lt;&gt;"."),d_dir!I22/((1/1000)*(d_Irr!BF22)),IF(AND(d_Irr!H22=".",d_Irr!AG22&lt;&gt;".",d_Irr!BF22="."),d_dir!I22/((1/1000)*(d_Irr!AG22)),IF(AND(d_Irr!H22&lt;&gt;".",d_Irr!AG22=".",d_Irr!BF22="."),d_dir!I22/((1/1000)*(d_Irr!H22)),IF(AND(d_Irr!H22=".",d_Irr!AG22=".",d_Irr!BF22="."),d_dir!I22*1000)))))))),".")</f>
        <v>1.5213534935926725</v>
      </c>
      <c r="J22" s="76">
        <f>IFERROR(IF(AND(d_Irr!I22&lt;&gt;".",d_Irr!AH22&lt;&gt;".",d_Irr!BG22&lt;&gt;"."),d_dir!J22/((1/1000)*(d_Irr!I22+d_Irr!AH22+d_Irr!BG22)),IF(AND(d_Irr!I22&lt;&gt;".",d_Irr!AH22&lt;&gt;".",d_Irr!BG22="."),d_dir!J22/((1/1000)*(d_Irr!I22+d_Irr!AH22)),IF(AND(d_Irr!I22&lt;&gt;".",d_Irr!AH22=".",d_Irr!BG22&lt;&gt;"."),d_dir!J22/((1/1000)*(d_Irr!I22+d_Irr!BG22)),IF(AND(d_Irr!I22=".",d_Irr!AH22&lt;&gt;".",d_Irr!BG22&lt;&gt;"."),d_dir!J22/((1/1000)*(d_Irr!AH22+d_Irr!BG22)),IF(AND(d_Irr!I22=".",d_Irr!AH22=".",d_Irr!BG22&lt;&gt;"."),d_dir!J22/((1/1000)*(d_Irr!BG22)),IF(AND(d_Irr!I22=".",d_Irr!AH22&lt;&gt;".",d_Irr!BG22="."),d_dir!J22/((1/1000)*(d_Irr!AH22)),IF(AND(d_Irr!I22&lt;&gt;".",d_Irr!AH22=".",d_Irr!BG22="."),d_dir!J22/((1/1000)*(d_Irr!I22)),IF(AND(d_Irr!I22=".",d_Irr!AH22=".",d_Irr!BG22="."),d_dir!J22*1000)))))))),".")</f>
        <v>4.8115830915616655</v>
      </c>
      <c r="K22" s="76">
        <f>IFERROR(IF(AND(d_Irr!J22&lt;&gt;".",d_Irr!AI22&lt;&gt;".",d_Irr!BH22&lt;&gt;"."),d_dir!K22/((1/1000)*(d_Irr!J22+d_Irr!AI22+d_Irr!BH22)),IF(AND(d_Irr!J22&lt;&gt;".",d_Irr!AI22&lt;&gt;".",d_Irr!BH22="."),d_dir!K22/((1/1000)*(d_Irr!J22+d_Irr!AI22)),IF(AND(d_Irr!J22&lt;&gt;".",d_Irr!AI22=".",d_Irr!BH22&lt;&gt;"."),d_dir!K22/((1/1000)*(d_Irr!J22+d_Irr!BH22)),IF(AND(d_Irr!J22=".",d_Irr!AI22&lt;&gt;".",d_Irr!BH22&lt;&gt;"."),d_dir!K22/((1/1000)*(d_Irr!AI22+d_Irr!BH22)),IF(AND(d_Irr!J22=".",d_Irr!AI22=".",d_Irr!BH22&lt;&gt;"."),d_dir!K22/((1/1000)*(d_Irr!BH22)),IF(AND(d_Irr!J22=".",d_Irr!AI22&lt;&gt;".",d_Irr!BH22="."),d_dir!K22/((1/1000)*(d_Irr!AI22)),IF(AND(d_Irr!J22&lt;&gt;".",d_Irr!AI22=".",d_Irr!BH22="."),d_dir!K22/((1/1000)*(d_Irr!J22)),IF(AND(d_Irr!J22=".",d_Irr!AI22=".",d_Irr!BH22="."),d_dir!K22*1000)))))))),".")</f>
        <v>0.63065820638544834</v>
      </c>
      <c r="L22" s="76">
        <f>IFERROR(IF(AND(d_Irr!K22&lt;&gt;".",d_Irr!AJ22&lt;&gt;".",d_Irr!BI22&lt;&gt;"."),d_dir!L22/((1/1000)*(d_Irr!K22+d_Irr!AJ22+d_Irr!BI22)),IF(AND(d_Irr!K22&lt;&gt;".",d_Irr!AJ22&lt;&gt;".",d_Irr!BI22="."),d_dir!L22/((1/1000)*(d_Irr!K22+d_Irr!AJ22)),IF(AND(d_Irr!K22&lt;&gt;".",d_Irr!AJ22=".",d_Irr!BI22&lt;&gt;"."),d_dir!L22/((1/1000)*(d_Irr!K22+d_Irr!BI22)),IF(AND(d_Irr!K22=".",d_Irr!AJ22&lt;&gt;".",d_Irr!BI22&lt;&gt;"."),d_dir!L22/((1/1000)*(d_Irr!AJ22+d_Irr!BI22)),IF(AND(d_Irr!K22=".",d_Irr!AJ22=".",d_Irr!BI22&lt;&gt;"."),d_dir!L22/((1/1000)*(d_Irr!BI22)),IF(AND(d_Irr!K22=".",d_Irr!AJ22&lt;&gt;".",d_Irr!BI22="."),d_dir!L22/((1/1000)*(d_Irr!AJ22)),IF(AND(d_Irr!K22&lt;&gt;".",d_Irr!AJ22=".",d_Irr!BI22="."),d_dir!L22/((1/1000)*(d_Irr!K22)),IF(AND(d_Irr!K22=".",d_Irr!AJ22=".",d_Irr!BI22="."),d_dir!L22*1000)))))))),".")</f>
        <v>3.7105434174340859</v>
      </c>
      <c r="M22" s="76">
        <f>IFERROR(IF(AND(d_Irr!L22&lt;&gt;".",d_Irr!AK22&lt;&gt;".",d_Irr!BJ22&lt;&gt;"."),d_dir!M22/((1/1000)*(d_Irr!L22+d_Irr!AK22+d_Irr!BJ22)),IF(AND(d_Irr!L22&lt;&gt;".",d_Irr!AK22&lt;&gt;".",d_Irr!BJ22="."),d_dir!M22/((1/1000)*(d_Irr!L22+d_Irr!AK22)),IF(AND(d_Irr!L22&lt;&gt;".",d_Irr!AK22=".",d_Irr!BJ22&lt;&gt;"."),d_dir!M22/((1/1000)*(d_Irr!L22+d_Irr!BJ22)),IF(AND(d_Irr!L22=".",d_Irr!AK22&lt;&gt;".",d_Irr!BJ22&lt;&gt;"."),d_dir!M22/((1/1000)*(d_Irr!AK22+d_Irr!BJ22)),IF(AND(d_Irr!L22=".",d_Irr!AK22=".",d_Irr!BJ22&lt;&gt;"."),d_dir!M22/((1/1000)*(d_Irr!BJ22)),IF(AND(d_Irr!L22=".",d_Irr!AK22&lt;&gt;".",d_Irr!BJ22="."),d_dir!M22/((1/1000)*(d_Irr!AK22)),IF(AND(d_Irr!L22&lt;&gt;".",d_Irr!AK22=".",d_Irr!BJ22="."),d_dir!M22/((1/1000)*(d_Irr!L22)),IF(AND(d_Irr!L22=".",d_Irr!AK22=".",d_Irr!BJ22="."),d_dir!M22*1000)))))))),".")</f>
        <v>2.4409318918903931</v>
      </c>
      <c r="N22" s="76">
        <f>IFERROR(IF(AND(d_Irr!M22&lt;&gt;".",d_Irr!AL22&lt;&gt;".",d_Irr!BK22&lt;&gt;"."),d_dir!N22/((1/1000)*(d_Irr!M22+d_Irr!AL22+d_Irr!BK22)),IF(AND(d_Irr!M22&lt;&gt;".",d_Irr!AL22&lt;&gt;".",d_Irr!BK22="."),d_dir!N22/((1/1000)*(d_Irr!M22+d_Irr!AL22)),IF(AND(d_Irr!M22&lt;&gt;".",d_Irr!AL22=".",d_Irr!BK22&lt;&gt;"."),d_dir!N22/((1/1000)*(d_Irr!M22+d_Irr!BK22)),IF(AND(d_Irr!M22=".",d_Irr!AL22&lt;&gt;".",d_Irr!BK22&lt;&gt;"."),d_dir!N22/((1/1000)*(d_Irr!AL22+d_Irr!BK22)),IF(AND(d_Irr!M22=".",d_Irr!AL22=".",d_Irr!BK22&lt;&gt;"."),d_dir!N22/((1/1000)*(d_Irr!BK22)),IF(AND(d_Irr!M22=".",d_Irr!AL22&lt;&gt;".",d_Irr!BK22="."),d_dir!N22/((1/1000)*(d_Irr!AL22)),IF(AND(d_Irr!M22&lt;&gt;".",d_Irr!AL22=".",d_Irr!BK22="."),d_dir!N22/((1/1000)*(d_Irr!M22)),IF(AND(d_Irr!M22=".",d_Irr!AL22=".",d_Irr!BK22="."),d_dir!N22*1000)))))))),".")</f>
        <v>3.3430779178878938</v>
      </c>
      <c r="O22" s="76">
        <f>IFERROR(IF(AND(d_Irr!N22&lt;&gt;".",d_Irr!AM22&lt;&gt;".",d_Irr!BL22&lt;&gt;"."),d_dir!O22/((1/1000)*(d_Irr!N22+d_Irr!AM22+d_Irr!BL22)),IF(AND(d_Irr!N22&lt;&gt;".",d_Irr!AM22&lt;&gt;".",d_Irr!BL22="."),d_dir!O22/((1/1000)*(d_Irr!N22+d_Irr!AM22)),IF(AND(d_Irr!N22&lt;&gt;".",d_Irr!AM22=".",d_Irr!BL22&lt;&gt;"."),d_dir!O22/((1/1000)*(d_Irr!N22+d_Irr!BL22)),IF(AND(d_Irr!N22=".",d_Irr!AM22&lt;&gt;".",d_Irr!BL22&lt;&gt;"."),d_dir!O22/((1/1000)*(d_Irr!AM22+d_Irr!BL22)),IF(AND(d_Irr!N22=".",d_Irr!AM22=".",d_Irr!BL22&lt;&gt;"."),d_dir!O22/((1/1000)*(d_Irr!BL22)),IF(AND(d_Irr!N22=".",d_Irr!AM22&lt;&gt;".",d_Irr!BL22="."),d_dir!O22/((1/1000)*(d_Irr!AM22)),IF(AND(d_Irr!N22&lt;&gt;".",d_Irr!AM22=".",d_Irr!BL22="."),d_dir!O22/((1/1000)*(d_Irr!N22)),IF(AND(d_Irr!N22=".",d_Irr!AM22=".",d_Irr!BL22="."),d_dir!O22*1000)))))))),".")</f>
        <v>5.3675461896439938</v>
      </c>
      <c r="P22" s="76">
        <f>IFERROR(IF(AND(d_Irr!O22&lt;&gt;".",d_Irr!AN22&lt;&gt;".",d_Irr!BM22&lt;&gt;"."),d_dir!P22/((1/1000)*(d_Irr!O22+d_Irr!AN22+d_Irr!BM22)),IF(AND(d_Irr!O22&lt;&gt;".",d_Irr!AN22&lt;&gt;".",d_Irr!BM22="."),d_dir!P22/((1/1000)*(d_Irr!O22+d_Irr!AN22)),IF(AND(d_Irr!O22&lt;&gt;".",d_Irr!AN22=".",d_Irr!BM22&lt;&gt;"."),d_dir!P22/((1/1000)*(d_Irr!O22+d_Irr!BM22)),IF(AND(d_Irr!O22=".",d_Irr!AN22&lt;&gt;".",d_Irr!BM22&lt;&gt;"."),d_dir!P22/((1/1000)*(d_Irr!AN22+d_Irr!BM22)),IF(AND(d_Irr!O22=".",d_Irr!AN22=".",d_Irr!BM22&lt;&gt;"."),d_dir!P22/((1/1000)*(d_Irr!BM22)),IF(AND(d_Irr!O22=".",d_Irr!AN22&lt;&gt;".",d_Irr!BM22="."),d_dir!P22/((1/1000)*(d_Irr!AN22)),IF(AND(d_Irr!O22&lt;&gt;".",d_Irr!AN22=".",d_Irr!BM22="."),d_dir!P22/((1/1000)*(d_Irr!O22)),IF(AND(d_Irr!O22=".",d_Irr!AN22=".",d_Irr!BM22="."),d_dir!P22*1000)))))))),".")</f>
        <v>6.5850684283835186</v>
      </c>
      <c r="Q22" s="76">
        <f>IFERROR(IF(AND(d_Irr!P22&lt;&gt;".",d_Irr!AO22&lt;&gt;".",d_Irr!BN22&lt;&gt;"."),d_dir!Q22/((1/1000)*(d_Irr!P22+d_Irr!AO22+d_Irr!BN22)),IF(AND(d_Irr!P22&lt;&gt;".",d_Irr!AO22&lt;&gt;".",d_Irr!BN22="."),d_dir!Q22/((1/1000)*(d_Irr!P22+d_Irr!AO22)),IF(AND(d_Irr!P22&lt;&gt;".",d_Irr!AO22=".",d_Irr!BN22&lt;&gt;"."),d_dir!Q22/((1/1000)*(d_Irr!P22+d_Irr!BN22)),IF(AND(d_Irr!P22=".",d_Irr!AO22&lt;&gt;".",d_Irr!BN22&lt;&gt;"."),d_dir!Q22/((1/1000)*(d_Irr!AO22+d_Irr!BN22)),IF(AND(d_Irr!P22=".",d_Irr!AO22=".",d_Irr!BN22&lt;&gt;"."),d_dir!Q22/((1/1000)*(d_Irr!BN22)),IF(AND(d_Irr!P22=".",d_Irr!AO22&lt;&gt;".",d_Irr!BN22="."),d_dir!Q22/((1/1000)*(d_Irr!AO22)),IF(AND(d_Irr!P22&lt;&gt;".",d_Irr!AO22=".",d_Irr!BN22="."),d_dir!Q22/((1/1000)*(d_Irr!P22)),IF(AND(d_Irr!P22=".",d_Irr!AO22=".",d_Irr!BN22="."),d_dir!Q22*1000)))))))),".")</f>
        <v>6.5029775775511123</v>
      </c>
      <c r="R22" s="76">
        <f>IFERROR(IF(AND(d_Irr!Q22&lt;&gt;".",d_Irr!AP22&lt;&gt;".",d_Irr!BO22&lt;&gt;"."),d_dir!R22/((1/1000)*(d_Irr!Q22+d_Irr!AP22+d_Irr!BO22)),IF(AND(d_Irr!Q22&lt;&gt;".",d_Irr!AP22&lt;&gt;".",d_Irr!BO22="."),d_dir!R22/((1/1000)*(d_Irr!Q22+d_Irr!AP22)),IF(AND(d_Irr!Q22&lt;&gt;".",d_Irr!AP22=".",d_Irr!BO22&lt;&gt;"."),d_dir!R22/((1/1000)*(d_Irr!Q22+d_Irr!BO22)),IF(AND(d_Irr!Q22=".",d_Irr!AP22&lt;&gt;".",d_Irr!BO22&lt;&gt;"."),d_dir!R22/((1/1000)*(d_Irr!AP22+d_Irr!BO22)),IF(AND(d_Irr!Q22=".",d_Irr!AP22=".",d_Irr!BO22&lt;&gt;"."),d_dir!R22/((1/1000)*(d_Irr!BO22)),IF(AND(d_Irr!Q22=".",d_Irr!AP22&lt;&gt;".",d_Irr!BO22="."),d_dir!R22/((1/1000)*(d_Irr!AP22)),IF(AND(d_Irr!Q22&lt;&gt;".",d_Irr!AP22=".",d_Irr!BO22="."),d_dir!R22/((1/1000)*(d_Irr!Q22)),IF(AND(d_Irr!Q22=".",d_Irr!AP22=".",d_Irr!BO22="."),d_dir!R22*1000)))))))),".")</f>
        <v>1.5614810997633817</v>
      </c>
      <c r="S22" s="76">
        <f>IFERROR(IF(AND(d_Irr!R22&lt;&gt;".",d_Irr!AQ22&lt;&gt;".",d_Irr!BP22&lt;&gt;"."),d_dir!S22/((1/1000)*(d_Irr!R22+d_Irr!AQ22+d_Irr!BP22)),IF(AND(d_Irr!R22&lt;&gt;".",d_Irr!AQ22&lt;&gt;".",d_Irr!BP22="."),d_dir!S22/((1/1000)*(d_Irr!R22+d_Irr!AQ22)),IF(AND(d_Irr!R22&lt;&gt;".",d_Irr!AQ22=".",d_Irr!BP22&lt;&gt;"."),d_dir!S22/((1/1000)*(d_Irr!R22+d_Irr!BP22)),IF(AND(d_Irr!R22=".",d_Irr!AQ22&lt;&gt;".",d_Irr!BP22&lt;&gt;"."),d_dir!S22/((1/1000)*(d_Irr!AQ22+d_Irr!BP22)),IF(AND(d_Irr!R22=".",d_Irr!AQ22=".",d_Irr!BP22&lt;&gt;"."),d_dir!S22/((1/1000)*(d_Irr!BP22)),IF(AND(d_Irr!R22=".",d_Irr!AQ22&lt;&gt;".",d_Irr!BP22="."),d_dir!S22/((1/1000)*(d_Irr!AQ22)),IF(AND(d_Irr!R22&lt;&gt;".",d_Irr!AQ22=".",d_Irr!BP22="."),d_dir!S22/((1/1000)*(d_Irr!R22)),IF(AND(d_Irr!R22=".",d_Irr!AQ22=".",d_Irr!BP22="."),d_dir!S22*1000)))))))),".")</f>
        <v>3.1852056907768387</v>
      </c>
      <c r="T22" s="76">
        <f>IFERROR(IF(AND(d_Irr!S22&lt;&gt;".",d_Irr!AR22&lt;&gt;".",d_Irr!BQ22&lt;&gt;"."),d_dir!T22/((1/1000)*(d_Irr!S22+d_Irr!AR22+d_Irr!BQ22)),IF(AND(d_Irr!S22&lt;&gt;".",d_Irr!AR22&lt;&gt;".",d_Irr!BQ22="."),d_dir!T22/((1/1000)*(d_Irr!S22+d_Irr!AR22)),IF(AND(d_Irr!S22&lt;&gt;".",d_Irr!AR22=".",d_Irr!BQ22&lt;&gt;"."),d_dir!T22/((1/1000)*(d_Irr!S22+d_Irr!BQ22)),IF(AND(d_Irr!S22=".",d_Irr!AR22&lt;&gt;".",d_Irr!BQ22&lt;&gt;"."),d_dir!T22/((1/1000)*(d_Irr!AR22+d_Irr!BQ22)),IF(AND(d_Irr!S22=".",d_Irr!AR22=".",d_Irr!BQ22&lt;&gt;"."),d_dir!T22/((1/1000)*(d_Irr!BQ22)),IF(AND(d_Irr!S22=".",d_Irr!AR22&lt;&gt;".",d_Irr!BQ22="."),d_dir!T22/((1/1000)*(d_Irr!AR22)),IF(AND(d_Irr!S22&lt;&gt;".",d_Irr!AR22=".",d_Irr!BQ22="."),d_dir!T22/((1/1000)*(d_Irr!S22)),IF(AND(d_Irr!S22=".",d_Irr!AR22=".",d_Irr!BQ22="."),d_dir!T22*1000)))))))),".")</f>
        <v>5.3668058850308942</v>
      </c>
      <c r="U22" s="76">
        <f>IFERROR(IF(AND(d_Irr!T22&lt;&gt;".",d_Irr!AS22&lt;&gt;".",d_Irr!BR22&lt;&gt;"."),d_dir!U22/((1/1000)*(d_Irr!T22+d_Irr!AS22+d_Irr!BR22)),IF(AND(d_Irr!T22&lt;&gt;".",d_Irr!AS22&lt;&gt;".",d_Irr!BR22="."),d_dir!U22/((1/1000)*(d_Irr!T22+d_Irr!AS22)),IF(AND(d_Irr!T22&lt;&gt;".",d_Irr!AS22=".",d_Irr!BR22&lt;&gt;"."),d_dir!U22/((1/1000)*(d_Irr!T22+d_Irr!BR22)),IF(AND(d_Irr!T22=".",d_Irr!AS22&lt;&gt;".",d_Irr!BR22&lt;&gt;"."),d_dir!U22/((1/1000)*(d_Irr!AS22+d_Irr!BR22)),IF(AND(d_Irr!T22=".",d_Irr!AS22=".",d_Irr!BR22&lt;&gt;"."),d_dir!U22/((1/1000)*(d_Irr!BR22)),IF(AND(d_Irr!T22=".",d_Irr!AS22&lt;&gt;".",d_Irr!BR22="."),d_dir!U22/((1/1000)*(d_Irr!AS22)),IF(AND(d_Irr!T22&lt;&gt;".",d_Irr!AS22=".",d_Irr!BR22="."),d_dir!U22/((1/1000)*(d_Irr!T22)),IF(AND(d_Irr!T22=".",d_Irr!AS22=".",d_Irr!BR22="."),d_dir!U22*1000)))))))),".")</f>
        <v>10.558156640927818</v>
      </c>
      <c r="V22" s="76">
        <f>IFERROR(IF(AND(d_Irr!U22&lt;&gt;".",d_Irr!AT22&lt;&gt;".",d_Irr!BS22&lt;&gt;"."),d_dir!V22/((1/1000)*(d_Irr!U22+d_Irr!AT22+d_Irr!BS22)),IF(AND(d_Irr!U22&lt;&gt;".",d_Irr!AT22&lt;&gt;".",d_Irr!BS22="."),d_dir!V22/((1/1000)*(d_Irr!U22+d_Irr!AT22)),IF(AND(d_Irr!U22&lt;&gt;".",d_Irr!AT22=".",d_Irr!BS22&lt;&gt;"."),d_dir!V22/((1/1000)*(d_Irr!U22+d_Irr!BS22)),IF(AND(d_Irr!U22=".",d_Irr!AT22&lt;&gt;".",d_Irr!BS22&lt;&gt;"."),d_dir!V22/((1/1000)*(d_Irr!AT22+d_Irr!BS22)),IF(AND(d_Irr!U22=".",d_Irr!AT22=".",d_Irr!BS22&lt;&gt;"."),d_dir!V22/((1/1000)*(d_Irr!BS22)),IF(AND(d_Irr!U22=".",d_Irr!AT22&lt;&gt;".",d_Irr!BS22="."),d_dir!V22/((1/1000)*(d_Irr!AT22)),IF(AND(d_Irr!U22&lt;&gt;".",d_Irr!AT22=".",d_Irr!BS22="."),d_dir!V22/((1/1000)*(d_Irr!U22)),IF(AND(d_Irr!U22=".",d_Irr!AT22=".",d_Irr!BS22="."),d_dir!V22*1000)))))))),".")</f>
        <v>1.6206000937021046</v>
      </c>
      <c r="W22" s="76">
        <f>IFERROR(IF(AND(d_Irr!V22&lt;&gt;".",d_Irr!AU22&lt;&gt;".",d_Irr!BT22&lt;&gt;"."),d_dir!W22/((1/1000)*(d_Irr!V22+d_Irr!AU22+d_Irr!BT22)),IF(AND(d_Irr!V22&lt;&gt;".",d_Irr!AU22&lt;&gt;".",d_Irr!BT22="."),d_dir!W22/((1/1000)*(d_Irr!V22+d_Irr!AU22)),IF(AND(d_Irr!V22&lt;&gt;".",d_Irr!AU22=".",d_Irr!BT22&lt;&gt;"."),d_dir!W22/((1/1000)*(d_Irr!V22+d_Irr!BT22)),IF(AND(d_Irr!V22=".",d_Irr!AU22&lt;&gt;".",d_Irr!BT22&lt;&gt;"."),d_dir!W22/((1/1000)*(d_Irr!AU22+d_Irr!BT22)),IF(AND(d_Irr!V22=".",d_Irr!AU22=".",d_Irr!BT22&lt;&gt;"."),d_dir!W22/((1/1000)*(d_Irr!BT22)),IF(AND(d_Irr!V22=".",d_Irr!AU22&lt;&gt;".",d_Irr!BT22="."),d_dir!W22/((1/1000)*(d_Irr!AU22)),IF(AND(d_Irr!V22&lt;&gt;".",d_Irr!AU22=".",d_Irr!BT22="."),d_dir!W22/((1/1000)*(d_Irr!V22)),IF(AND(d_Irr!V22=".",d_Irr!AU22=".",d_Irr!BT22="."),d_dir!W22*1000)))))))),".")</f>
        <v>3.1319271553438885</v>
      </c>
      <c r="X22" s="76">
        <f>IFERROR(IF(AND(d_Irr!W22&lt;&gt;".",d_Irr!AV22&lt;&gt;".",d_Irr!BU22&lt;&gt;"."),d_dir!X22/((1/1000)*(d_Irr!W22+d_Irr!AV22+d_Irr!BU22)),IF(AND(d_Irr!W22&lt;&gt;".",d_Irr!AV22&lt;&gt;".",d_Irr!BU22="."),d_dir!X22/((1/1000)*(d_Irr!W22+d_Irr!AV22)),IF(AND(d_Irr!W22&lt;&gt;".",d_Irr!AV22=".",d_Irr!BU22&lt;&gt;"."),d_dir!X22/((1/1000)*(d_Irr!W22+d_Irr!BU22)),IF(AND(d_Irr!W22=".",d_Irr!AV22&lt;&gt;".",d_Irr!BU22&lt;&gt;"."),d_dir!X22/((1/1000)*(d_Irr!AV22+d_Irr!BU22)),IF(AND(d_Irr!W22=".",d_Irr!AV22=".",d_Irr!BU22&lt;&gt;"."),d_dir!X22/((1/1000)*(d_Irr!BU22)),IF(AND(d_Irr!W22=".",d_Irr!AV22&lt;&gt;".",d_Irr!BU22="."),d_dir!X22/((1/1000)*(d_Irr!AV22)),IF(AND(d_Irr!W22&lt;&gt;".",d_Irr!AV22=".",d_Irr!BU22="."),d_dir!X22/((1/1000)*(d_Irr!W22)),IF(AND(d_Irr!W22=".",d_Irr!AV22=".",d_Irr!BU22="."),d_dir!X22*1000)))))))),".")</f>
        <v>3.4561217086891975</v>
      </c>
      <c r="Y22" s="76">
        <f>IFERROR(IF(AND(d_Irr!X22&lt;&gt;".",d_Irr!AW22&lt;&gt;".",d_Irr!BV22&lt;&gt;"."),d_dir!Y22/((1/1000)*(d_Irr!X22+d_Irr!AW22+d_Irr!BV22)),IF(AND(d_Irr!X22&lt;&gt;".",d_Irr!AW22&lt;&gt;".",d_Irr!BV22="."),d_dir!Y22/((1/1000)*(d_Irr!X22+d_Irr!AW22)),IF(AND(d_Irr!X22&lt;&gt;".",d_Irr!AW22=".",d_Irr!BV22&lt;&gt;"."),d_dir!Y22/((1/1000)*(d_Irr!X22+d_Irr!BV22)),IF(AND(d_Irr!X22=".",d_Irr!AW22&lt;&gt;".",d_Irr!BV22&lt;&gt;"."),d_dir!Y22/((1/1000)*(d_Irr!AW22+d_Irr!BV22)),IF(AND(d_Irr!X22=".",d_Irr!AW22=".",d_Irr!BV22&lt;&gt;"."),d_dir!Y22/((1/1000)*(d_Irr!BV22)),IF(AND(d_Irr!X22=".",d_Irr!AW22&lt;&gt;".",d_Irr!BV22="."),d_dir!Y22/((1/1000)*(d_Irr!AW22)),IF(AND(d_Irr!X22&lt;&gt;".",d_Irr!AW22=".",d_Irr!BV22="."),d_dir!Y22/((1/1000)*(d_Irr!X22)),IF(AND(d_Irr!X22=".",d_Irr!AW22=".",d_Irr!BV22="."),d_dir!Y22*1000)))))))),".")</f>
        <v>4.7580580977591005</v>
      </c>
      <c r="Z22" s="76">
        <f>IFERROR(IF(AND(d_Irr!Y22&lt;&gt;".",d_Irr!AX22&lt;&gt;".",d_Irr!BW22&lt;&gt;"."),d_dir!Z22/((1/1000)*(d_Irr!Y22+d_Irr!AX22+d_Irr!BW22)),IF(AND(d_Irr!Y22&lt;&gt;".",d_Irr!AX22&lt;&gt;".",d_Irr!BW22="."),d_dir!Z22/((1/1000)*(d_Irr!Y22+d_Irr!AX22)),IF(AND(d_Irr!Y22&lt;&gt;".",d_Irr!AX22=".",d_Irr!BW22&lt;&gt;"."),d_dir!Z22/((1/1000)*(d_Irr!Y22+d_Irr!BW22)),IF(AND(d_Irr!Y22=".",d_Irr!AX22&lt;&gt;".",d_Irr!BW22&lt;&gt;"."),d_dir!Z22/((1/1000)*(d_Irr!AX22+d_Irr!BW22)),IF(AND(d_Irr!Y22=".",d_Irr!AX22=".",d_Irr!BW22&lt;&gt;"."),d_dir!Z22/((1/1000)*(d_Irr!BW22)),IF(AND(d_Irr!Y22=".",d_Irr!AX22&lt;&gt;".",d_Irr!BW22="."),d_dir!Z22/((1/1000)*(d_Irr!AX22)),IF(AND(d_Irr!Y22&lt;&gt;".",d_Irr!AX22=".",d_Irr!BW22="."),d_dir!Z22/((1/1000)*(d_Irr!Y22)),IF(AND(d_Irr!Y22=".",d_Irr!AX22=".",d_Irr!BW22="."),d_dir!Z22*1000)))))))),".")</f>
        <v>2.3728511212212253</v>
      </c>
      <c r="AA22" s="76">
        <f>IFERROR(IF(AND(d_Irr!Z22&lt;&gt;".",d_Irr!AY22&lt;&gt;".",d_Irr!BX22&lt;&gt;"."),d_dir!AA22/((1/1000)*(d_Irr!Z22+d_Irr!AY22+d_Irr!BX22)),IF(AND(d_Irr!Z22&lt;&gt;".",d_Irr!AY22&lt;&gt;".",d_Irr!BX22="."),d_dir!AA22/((1/1000)*(d_Irr!Z22+d_Irr!AY22)),IF(AND(d_Irr!Z22&lt;&gt;".",d_Irr!AY22=".",d_Irr!BX22&lt;&gt;"."),d_dir!AA22/((1/1000)*(d_Irr!Z22+d_Irr!BX22)),IF(AND(d_Irr!Z22=".",d_Irr!AY22&lt;&gt;".",d_Irr!BX22&lt;&gt;"."),d_dir!AA22/((1/1000)*(d_Irr!AY22+d_Irr!BX22)),IF(AND(d_Irr!Z22=".",d_Irr!AY22=".",d_Irr!BX22&lt;&gt;"."),d_dir!AA22/((1/1000)*(d_Irr!BX22)),IF(AND(d_Irr!Z22=".",d_Irr!AY22&lt;&gt;".",d_Irr!BX22="."),d_dir!AA22/((1/1000)*(d_Irr!AY22)),IF(AND(d_Irr!Z22&lt;&gt;".",d_Irr!AY22=".",d_Irr!BX22="."),d_dir!AA22/((1/1000)*(d_Irr!Z22)),IF(AND(d_Irr!Z22=".",d_Irr!AY22=".",d_Irr!BX22="."),d_dir!AA22*1000)))))))),".")</f>
        <v>0.78321669220542789</v>
      </c>
      <c r="AB22" s="76">
        <f>IFERROR(IF(AND(d_Irr!AA22&lt;&gt;".",d_Irr!AZ22&lt;&gt;".",d_Irr!BY22&lt;&gt;"."),d_dir!AB22/((1/1000)*(d_Irr!AA22+d_Irr!AZ22+d_Irr!BY22)),IF(AND(d_Irr!AA22&lt;&gt;".",d_Irr!AZ22&lt;&gt;".",d_Irr!BY22="."),d_dir!AB22/((1/1000)*(d_Irr!AA22+d_Irr!AZ22)),IF(AND(d_Irr!AA22&lt;&gt;".",d_Irr!AZ22=".",d_Irr!BY22&lt;&gt;"."),d_dir!AB22/((1/1000)*(d_Irr!AA22+d_Irr!BY22)),IF(AND(d_Irr!AA22=".",d_Irr!AZ22&lt;&gt;".",d_Irr!BY22&lt;&gt;"."),d_dir!AB22/((1/1000)*(d_Irr!AZ22+d_Irr!BY22)),IF(AND(d_Irr!AA22=".",d_Irr!AZ22=".",d_Irr!BY22&lt;&gt;"."),d_dir!AB22/((1/1000)*(d_Irr!BY22)),IF(AND(d_Irr!AA22=".",d_Irr!AZ22&lt;&gt;".",d_Irr!BY22="."),d_dir!AB22/((1/1000)*(d_Irr!AZ22)),IF(AND(d_Irr!AA22&lt;&gt;".",d_Irr!AZ22=".",d_Irr!BY22="."),d_dir!AB22/((1/1000)*(d_Irr!AA22)),IF(AND(d_Irr!AA22=".",d_Irr!AZ22=".",d_Irr!BY22="."),d_dir!AB22*1000)))))))),".")</f>
        <v>0.85893622594366048</v>
      </c>
      <c r="AC22" s="76">
        <f t="shared" si="0"/>
        <v>7.3473783962706027E-2</v>
      </c>
      <c r="AD22" s="76">
        <f>IFERROR(IF(AND(d_Irr!C22&lt;&gt;".",d_Irr!AB22&lt;&gt;".",d_Irr!BA22&lt;&gt;"."),d_dir!AD22/((1/1000)*(d_Irr!C22+d_Irr!AB22+d_Irr!BA22)),IF(AND(d_Irr!C22&lt;&gt;".",d_Irr!AB22&lt;&gt;".",d_Irr!BA22="."),d_dir!AD22/((1/1000)*(d_Irr!C22+d_Irr!AB22)),IF(AND(d_Irr!C22&lt;&gt;".",d_Irr!AB22=".",d_Irr!BA22&lt;&gt;"."),d_dir!AD22/((1/1000)*(d_Irr!C22+d_Irr!BA22)),IF(AND(d_Irr!C22=".",d_Irr!AB22&lt;&gt;".",d_Irr!BA22&lt;&gt;"."),d_dir!AD22/((1/1000)*(d_Irr!AB22+d_Irr!BA22)),IF(AND(d_Irr!C22=".",d_Irr!AB22=".",d_Irr!BA22&lt;&gt;"."),d_dir!AD22/((1/1000)*(d_Irr!BA22)),IF(AND(d_Irr!C22=".",d_Irr!AB22&lt;&gt;".",d_Irr!BA22="."),d_dir!AD22/((1/1000)*(d_Irr!AB22)),IF(AND(d_Irr!C22&lt;&gt;".",d_Irr!AB22=".",d_Irr!BA22="."),d_dir!AD22/((1/1000)*(d_Irr!C22)),IF(AND(d_Irr!C22=".",d_Irr!AB22=".",d_Irr!BA22="."),d_dir!AD22*1000)))))))),".")</f>
        <v>1.374594300594467</v>
      </c>
      <c r="AE22" s="76">
        <f>IFERROR(IF(AND(d_Irr!D22&lt;&gt;".",d_Irr!AC22&lt;&gt;".",d_Irr!BB22&lt;&gt;"."),d_dir!AE22/((1/1000)*(d_Irr!D22+d_Irr!AC22+d_Irr!BB22)),IF(AND(d_Irr!D22&lt;&gt;".",d_Irr!AC22&lt;&gt;".",d_Irr!BB22="."),d_dir!AE22/((1/1000)*(d_Irr!D22+d_Irr!AC22)),IF(AND(d_Irr!D22&lt;&gt;".",d_Irr!AC22=".",d_Irr!BB22&lt;&gt;"."),d_dir!AE22/((1/1000)*(d_Irr!D22+d_Irr!BB22)),IF(AND(d_Irr!D22=".",d_Irr!AC22&lt;&gt;".",d_Irr!BB22&lt;&gt;"."),d_dir!AE22/((1/1000)*(d_Irr!AC22+d_Irr!BB22)),IF(AND(d_Irr!D22=".",d_Irr!AC22=".",d_Irr!BB22&lt;&gt;"."),d_dir!AE22/((1/1000)*(d_Irr!BB22)),IF(AND(d_Irr!D22=".",d_Irr!AC22&lt;&gt;".",d_Irr!BB22="."),d_dir!AE22/((1/1000)*(d_Irr!AC22)),IF(AND(d_Irr!D22&lt;&gt;".",d_Irr!AC22=".",d_Irr!BB22="."),d_dir!AE22/((1/1000)*(d_Irr!D22)),IF(AND(d_Irr!D22=".",d_Irr!AC22=".",d_Irr!BB22="."),d_dir!AE22*1000)))))))),".")</f>
        <v>1.8799964135738891</v>
      </c>
      <c r="AF22" s="76">
        <f>IFERROR(IF(AND(d_Irr!E22&lt;&gt;".",d_Irr!AD22&lt;&gt;".",d_Irr!BC22&lt;&gt;"."),d_dir!AF22/((1/1000)*(d_Irr!E22+d_Irr!AD22+d_Irr!BC22)),IF(AND(d_Irr!E22&lt;&gt;".",d_Irr!AD22&lt;&gt;".",d_Irr!BC22="."),d_dir!AF22/((1/1000)*(d_Irr!E22+d_Irr!AD22)),IF(AND(d_Irr!E22&lt;&gt;".",d_Irr!AD22=".",d_Irr!BC22&lt;&gt;"."),d_dir!AF22/((1/1000)*(d_Irr!E22+d_Irr!BC22)),IF(AND(d_Irr!E22=".",d_Irr!AD22&lt;&gt;".",d_Irr!BC22&lt;&gt;"."),d_dir!AF22/((1/1000)*(d_Irr!AD22+d_Irr!BC22)),IF(AND(d_Irr!E22=".",d_Irr!AD22=".",d_Irr!BC22&lt;&gt;"."),d_dir!AF22/((1/1000)*(d_Irr!BC22)),IF(AND(d_Irr!E22=".",d_Irr!AD22&lt;&gt;".",d_Irr!BC22="."),d_dir!AF22/((1/1000)*(d_Irr!AD22)),IF(AND(d_Irr!E22&lt;&gt;".",d_Irr!AD22=".",d_Irr!BC22="."),d_dir!AF22/((1/1000)*(d_Irr!E22)),IF(AND(d_Irr!E22=".",d_Irr!AD22=".",d_Irr!BC22="."),d_dir!AF22*1000)))))))),".")</f>
        <v>2.5097581933486026</v>
      </c>
      <c r="AG22" s="76">
        <f>IFERROR(IF(AND(d_Irr!F22&lt;&gt;".",d_Irr!AE22&lt;&gt;".",d_Irr!BD22&lt;&gt;"."),d_dir!AG22/((1/1000)*(d_Irr!F22+d_Irr!AE22+d_Irr!BD22)),IF(AND(d_Irr!F22&lt;&gt;".",d_Irr!AE22&lt;&gt;".",d_Irr!BD22="."),d_dir!AG22/((1/1000)*(d_Irr!F22+d_Irr!AE22)),IF(AND(d_Irr!F22&lt;&gt;".",d_Irr!AE22=".",d_Irr!BD22&lt;&gt;"."),d_dir!AG22/((1/1000)*(d_Irr!F22+d_Irr!BD22)),IF(AND(d_Irr!F22=".",d_Irr!AE22&lt;&gt;".",d_Irr!BD22&lt;&gt;"."),d_dir!AG22/((1/1000)*(d_Irr!AE22+d_Irr!BD22)),IF(AND(d_Irr!F22=".",d_Irr!AE22=".",d_Irr!BD22&lt;&gt;"."),d_dir!AG22/((1/1000)*(d_Irr!BD22)),IF(AND(d_Irr!F22=".",d_Irr!AE22&lt;&gt;".",d_Irr!BD22="."),d_dir!AG22/((1/1000)*(d_Irr!AE22)),IF(AND(d_Irr!F22&lt;&gt;".",d_Irr!AE22=".",d_Irr!BD22="."),d_dir!AG22/((1/1000)*(d_Irr!F22)),IF(AND(d_Irr!F22=".",d_Irr!AE22=".",d_Irr!BD22="."),d_dir!AG22*1000)))))))),".")</f>
        <v>3.4612930415746406</v>
      </c>
      <c r="AH22" s="76">
        <f>IFERROR(IF(AND(d_Irr!G22&lt;&gt;".",d_Irr!AF22&lt;&gt;".",d_Irr!BE22&lt;&gt;"."),d_dir!AH22/((1/1000)*(d_Irr!G22+d_Irr!AF22+d_Irr!BE22)),IF(AND(d_Irr!G22&lt;&gt;".",d_Irr!AF22&lt;&gt;".",d_Irr!BE22="."),d_dir!AH22/((1/1000)*(d_Irr!G22+d_Irr!AF22)),IF(AND(d_Irr!G22&lt;&gt;".",d_Irr!AF22=".",d_Irr!BE22&lt;&gt;"."),d_dir!AH22/((1/1000)*(d_Irr!G22+d_Irr!BE22)),IF(AND(d_Irr!G22=".",d_Irr!AF22&lt;&gt;".",d_Irr!BE22&lt;&gt;"."),d_dir!AH22/((1/1000)*(d_Irr!AF22+d_Irr!BE22)),IF(AND(d_Irr!G22=".",d_Irr!AF22=".",d_Irr!BE22&lt;&gt;"."),d_dir!AH22/((1/1000)*(d_Irr!BE22)),IF(AND(d_Irr!G22=".",d_Irr!AF22&lt;&gt;".",d_Irr!BE22="."),d_dir!AH22/((1/1000)*(d_Irr!AF22)),IF(AND(d_Irr!G22&lt;&gt;".",d_Irr!AF22=".",d_Irr!BE22="."),d_dir!AH22/((1/1000)*(d_Irr!G22)),IF(AND(d_Irr!G22=".",d_Irr!AF22=".",d_Irr!BE22="."),d_dir!AH22*1000)))))))),".")</f>
        <v>3.4779568487347108</v>
      </c>
      <c r="AI22" s="76">
        <f>IFERROR(IF(AND(d_Irr!H22&lt;&gt;".",d_Irr!AG22&lt;&gt;".",d_Irr!BF22&lt;&gt;"."),d_dir!AI22/((1/1000)*(d_Irr!H22+d_Irr!AG22+d_Irr!BF22)),IF(AND(d_Irr!H22&lt;&gt;".",d_Irr!AG22&lt;&gt;".",d_Irr!BF22="."),d_dir!AI22/((1/1000)*(d_Irr!H22+d_Irr!AG22)),IF(AND(d_Irr!H22&lt;&gt;".",d_Irr!AG22=".",d_Irr!BF22&lt;&gt;"."),d_dir!AI22/((1/1000)*(d_Irr!H22+d_Irr!BF22)),IF(AND(d_Irr!H22=".",d_Irr!AG22&lt;&gt;".",d_Irr!BF22&lt;&gt;"."),d_dir!AI22/((1/1000)*(d_Irr!AG22+d_Irr!BF22)),IF(AND(d_Irr!H22=".",d_Irr!AG22=".",d_Irr!BF22&lt;&gt;"."),d_dir!AI22/((1/1000)*(d_Irr!BF22)),IF(AND(d_Irr!H22=".",d_Irr!AG22&lt;&gt;".",d_Irr!BF22="."),d_dir!AI22/((1/1000)*(d_Irr!AG22)),IF(AND(d_Irr!H22&lt;&gt;".",d_Irr!AG22=".",d_Irr!BF22="."),d_dir!AI22/((1/1000)*(d_Irr!H22)),IF(AND(d_Irr!H22=".",d_Irr!AG22=".",d_Irr!BF22="."),d_dir!AI22*1000)))))))),".")</f>
        <v>0.97401786689819059</v>
      </c>
      <c r="AJ22" s="76">
        <f>IFERROR(IF(AND(d_Irr!I22&lt;&gt;".",d_Irr!AH22&lt;&gt;".",d_Irr!BG22&lt;&gt;"."),d_dir!AJ22/((1/1000)*(d_Irr!I22+d_Irr!AH22+d_Irr!BG22)),IF(AND(d_Irr!I22&lt;&gt;".",d_Irr!AH22&lt;&gt;".",d_Irr!BG22="."),d_dir!AJ22/((1/1000)*(d_Irr!I22+d_Irr!AH22)),IF(AND(d_Irr!I22&lt;&gt;".",d_Irr!AH22=".",d_Irr!BG22&lt;&gt;"."),d_dir!AJ22/((1/1000)*(d_Irr!I22+d_Irr!BG22)),IF(AND(d_Irr!I22=".",d_Irr!AH22&lt;&gt;".",d_Irr!BG22&lt;&gt;"."),d_dir!AJ22/((1/1000)*(d_Irr!AH22+d_Irr!BG22)),IF(AND(d_Irr!I22=".",d_Irr!AH22=".",d_Irr!BG22&lt;&gt;"."),d_dir!AJ22/((1/1000)*(d_Irr!BG22)),IF(AND(d_Irr!I22=".",d_Irr!AH22&lt;&gt;".",d_Irr!BG22="."),d_dir!AJ22/((1/1000)*(d_Irr!AH22)),IF(AND(d_Irr!I22&lt;&gt;".",d_Irr!AH22=".",d_Irr!BG22="."),d_dir!AJ22/((1/1000)*(d_Irr!I22)),IF(AND(d_Irr!I22=".",d_Irr!AH22=".",d_Irr!BG22="."),d_dir!AJ22*1000)))))))),".")</f>
        <v>3.3324000931427968</v>
      </c>
      <c r="AK22" s="76">
        <f>IFERROR(IF(AND(d_Irr!J22&lt;&gt;".",d_Irr!AI22&lt;&gt;".",d_Irr!BH22&lt;&gt;"."),d_dir!AK22/((1/1000)*(d_Irr!J22+d_Irr!AI22+d_Irr!BH22)),IF(AND(d_Irr!J22&lt;&gt;".",d_Irr!AI22&lt;&gt;".",d_Irr!BH22="."),d_dir!AK22/((1/1000)*(d_Irr!J22+d_Irr!AI22)),IF(AND(d_Irr!J22&lt;&gt;".",d_Irr!AI22=".",d_Irr!BH22&lt;&gt;"."),d_dir!AK22/((1/1000)*(d_Irr!J22+d_Irr!BH22)),IF(AND(d_Irr!J22=".",d_Irr!AI22&lt;&gt;".",d_Irr!BH22&lt;&gt;"."),d_dir!AK22/((1/1000)*(d_Irr!AI22+d_Irr!BH22)),IF(AND(d_Irr!J22=".",d_Irr!AI22=".",d_Irr!BH22&lt;&gt;"."),d_dir!AK22/((1/1000)*(d_Irr!BH22)),IF(AND(d_Irr!J22=".",d_Irr!AI22&lt;&gt;".",d_Irr!BH22="."),d_dir!AK22/((1/1000)*(d_Irr!AI22)),IF(AND(d_Irr!J22&lt;&gt;".",d_Irr!AI22=".",d_Irr!BH22="."),d_dir!AK22/((1/1000)*(d_Irr!J22)),IF(AND(d_Irr!J22=".",d_Irr!AI22=".",d_Irr!BH22="."),d_dir!AK22*1000)))))))),".")</f>
        <v>0.39850976651241427</v>
      </c>
      <c r="AL22" s="76">
        <f>IFERROR(IF(AND(d_Irr!K22&lt;&gt;".",d_Irr!AJ22&lt;&gt;".",d_Irr!BI22&lt;&gt;"."),d_dir!AL22/((1/1000)*(d_Irr!K22+d_Irr!AJ22+d_Irr!BI22)),IF(AND(d_Irr!K22&lt;&gt;".",d_Irr!AJ22&lt;&gt;".",d_Irr!BI22="."),d_dir!AL22/((1/1000)*(d_Irr!K22+d_Irr!AJ22)),IF(AND(d_Irr!K22&lt;&gt;".",d_Irr!AJ22=".",d_Irr!BI22&lt;&gt;"."),d_dir!AL22/((1/1000)*(d_Irr!K22+d_Irr!BI22)),IF(AND(d_Irr!K22=".",d_Irr!AJ22&lt;&gt;".",d_Irr!BI22&lt;&gt;"."),d_dir!AL22/((1/1000)*(d_Irr!AJ22+d_Irr!BI22)),IF(AND(d_Irr!K22=".",d_Irr!AJ22=".",d_Irr!BI22&lt;&gt;"."),d_dir!AL22/((1/1000)*(d_Irr!BI22)),IF(AND(d_Irr!K22=".",d_Irr!AJ22&lt;&gt;".",d_Irr!BI22="."),d_dir!AL22/((1/1000)*(d_Irr!AJ22)),IF(AND(d_Irr!K22&lt;&gt;".",d_Irr!AJ22=".",d_Irr!BI22="."),d_dir!AL22/((1/1000)*(d_Irr!K22)),IF(AND(d_Irr!K22=".",d_Irr!AJ22=".",d_Irr!BI22="."),d_dir!AL22*1000)))))))),".")</f>
        <v>1.6719228172752316</v>
      </c>
      <c r="AM22" s="76">
        <f>IFERROR(IF(AND(d_Irr!L22&lt;&gt;".",d_Irr!AK22&lt;&gt;".",d_Irr!BJ22&lt;&gt;"."),d_dir!AM22/((1/1000)*(d_Irr!L22+d_Irr!AK22+d_Irr!BJ22)),IF(AND(d_Irr!L22&lt;&gt;".",d_Irr!AK22&lt;&gt;".",d_Irr!BJ22="."),d_dir!AM22/((1/1000)*(d_Irr!L22+d_Irr!AK22)),IF(AND(d_Irr!L22&lt;&gt;".",d_Irr!AK22=".",d_Irr!BJ22&lt;&gt;"."),d_dir!AM22/((1/1000)*(d_Irr!L22+d_Irr!BJ22)),IF(AND(d_Irr!L22=".",d_Irr!AK22&lt;&gt;".",d_Irr!BJ22&lt;&gt;"."),d_dir!AM22/((1/1000)*(d_Irr!AK22+d_Irr!BJ22)),IF(AND(d_Irr!L22=".",d_Irr!AK22=".",d_Irr!BJ22&lt;&gt;"."),d_dir!AM22/((1/1000)*(d_Irr!BJ22)),IF(AND(d_Irr!L22=".",d_Irr!AK22&lt;&gt;".",d_Irr!BJ22="."),d_dir!AM22/((1/1000)*(d_Irr!AK22)),IF(AND(d_Irr!L22&lt;&gt;".",d_Irr!AK22=".",d_Irr!BJ22="."),d_dir!AM22/((1/1000)*(d_Irr!L22)),IF(AND(d_Irr!L22=".",d_Irr!AK22=".",d_Irr!BJ22="."),d_dir!AM22*1000)))))))),".")</f>
        <v>2.2279530045609217</v>
      </c>
      <c r="AN22" s="76">
        <f>IFERROR(IF(AND(d_Irr!M22&lt;&gt;".",d_Irr!AL22&lt;&gt;".",d_Irr!BK22&lt;&gt;"."),d_dir!AN22/((1/1000)*(d_Irr!M22+d_Irr!AL22+d_Irr!BK22)),IF(AND(d_Irr!M22&lt;&gt;".",d_Irr!AL22&lt;&gt;".",d_Irr!BK22="."),d_dir!AN22/((1/1000)*(d_Irr!M22+d_Irr!AL22)),IF(AND(d_Irr!M22&lt;&gt;".",d_Irr!AL22=".",d_Irr!BK22&lt;&gt;"."),d_dir!AN22/((1/1000)*(d_Irr!M22+d_Irr!BK22)),IF(AND(d_Irr!M22=".",d_Irr!AL22&lt;&gt;".",d_Irr!BK22&lt;&gt;"."),d_dir!AN22/((1/1000)*(d_Irr!AL22+d_Irr!BK22)),IF(AND(d_Irr!M22=".",d_Irr!AL22=".",d_Irr!BK22&lt;&gt;"."),d_dir!AN22/((1/1000)*(d_Irr!BK22)),IF(AND(d_Irr!M22=".",d_Irr!AL22&lt;&gt;".",d_Irr!BK22="."),d_dir!AN22/((1/1000)*(d_Irr!AL22)),IF(AND(d_Irr!M22&lt;&gt;".",d_Irr!AL22=".",d_Irr!BK22="."),d_dir!AN22/((1/1000)*(d_Irr!M22)),IF(AND(d_Irr!M22=".",d_Irr!AL22=".",d_Irr!BK22="."),d_dir!AN22*1000)))))))),".")</f>
        <v>1.9886595026451876</v>
      </c>
      <c r="AO22" s="76">
        <f>IFERROR(IF(AND(d_Irr!N22&lt;&gt;".",d_Irr!AM22&lt;&gt;".",d_Irr!BL22&lt;&gt;"."),d_dir!AO22/((1/1000)*(d_Irr!N22+d_Irr!AM22+d_Irr!BL22)),IF(AND(d_Irr!N22&lt;&gt;".",d_Irr!AM22&lt;&gt;".",d_Irr!BL22="."),d_dir!AO22/((1/1000)*(d_Irr!N22+d_Irr!AM22)),IF(AND(d_Irr!N22&lt;&gt;".",d_Irr!AM22=".",d_Irr!BL22&lt;&gt;"."),d_dir!AO22/((1/1000)*(d_Irr!N22+d_Irr!BL22)),IF(AND(d_Irr!N22=".",d_Irr!AM22&lt;&gt;".",d_Irr!BL22&lt;&gt;"."),d_dir!AO22/((1/1000)*(d_Irr!AM22+d_Irr!BL22)),IF(AND(d_Irr!N22=".",d_Irr!AM22=".",d_Irr!BL22&lt;&gt;"."),d_dir!AO22/((1/1000)*(d_Irr!BL22)),IF(AND(d_Irr!N22=".",d_Irr!AM22&lt;&gt;".",d_Irr!BL22="."),d_dir!AO22/((1/1000)*(d_Irr!AM22)),IF(AND(d_Irr!N22&lt;&gt;".",d_Irr!AM22=".",d_Irr!BL22="."),d_dir!AO22/((1/1000)*(d_Irr!N22)),IF(AND(d_Irr!N22=".",d_Irr!AM22=".",d_Irr!BL22="."),d_dir!AO22*1000)))))))),".")</f>
        <v>3.384487321821295</v>
      </c>
      <c r="AP22" s="76">
        <f>IFERROR(IF(AND(d_Irr!O22&lt;&gt;".",d_Irr!AN22&lt;&gt;".",d_Irr!BM22&lt;&gt;"."),d_dir!AP22/((1/1000)*(d_Irr!O22+d_Irr!AN22+d_Irr!BM22)),IF(AND(d_Irr!O22&lt;&gt;".",d_Irr!AN22&lt;&gt;".",d_Irr!BM22="."),d_dir!AP22/((1/1000)*(d_Irr!O22+d_Irr!AN22)),IF(AND(d_Irr!O22&lt;&gt;".",d_Irr!AN22=".",d_Irr!BM22&lt;&gt;"."),d_dir!AP22/((1/1000)*(d_Irr!O22+d_Irr!BM22)),IF(AND(d_Irr!O22=".",d_Irr!AN22&lt;&gt;".",d_Irr!BM22&lt;&gt;"."),d_dir!AP22/((1/1000)*(d_Irr!AN22+d_Irr!BM22)),IF(AND(d_Irr!O22=".",d_Irr!AN22=".",d_Irr!BM22&lt;&gt;"."),d_dir!AP22/((1/1000)*(d_Irr!BM22)),IF(AND(d_Irr!O22=".",d_Irr!AN22&lt;&gt;".",d_Irr!BM22="."),d_dir!AP22/((1/1000)*(d_Irr!AN22)),IF(AND(d_Irr!O22&lt;&gt;".",d_Irr!AN22=".",d_Irr!BM22="."),d_dir!AP22/((1/1000)*(d_Irr!O22)),IF(AND(d_Irr!O22=".",d_Irr!AN22=".",d_Irr!BM22="."),d_dir!AP22*1000)))))))),".")</f>
        <v>4.0138710677229454</v>
      </c>
      <c r="AQ22" s="76">
        <f>IFERROR(IF(AND(d_Irr!P22&lt;&gt;".",d_Irr!AO22&lt;&gt;".",d_Irr!BN22&lt;&gt;"."),d_dir!AQ22/((1/1000)*(d_Irr!P22+d_Irr!AO22+d_Irr!BN22)),IF(AND(d_Irr!P22&lt;&gt;".",d_Irr!AO22&lt;&gt;".",d_Irr!BN22="."),d_dir!AQ22/((1/1000)*(d_Irr!P22+d_Irr!AO22)),IF(AND(d_Irr!P22&lt;&gt;".",d_Irr!AO22=".",d_Irr!BN22&lt;&gt;"."),d_dir!AQ22/((1/1000)*(d_Irr!P22+d_Irr!BN22)),IF(AND(d_Irr!P22=".",d_Irr!AO22&lt;&gt;".",d_Irr!BN22&lt;&gt;"."),d_dir!AQ22/((1/1000)*(d_Irr!AO22+d_Irr!BN22)),IF(AND(d_Irr!P22=".",d_Irr!AO22=".",d_Irr!BN22&lt;&gt;"."),d_dir!AQ22/((1/1000)*(d_Irr!BN22)),IF(AND(d_Irr!P22=".",d_Irr!AO22&lt;&gt;".",d_Irr!BN22="."),d_dir!AQ22/((1/1000)*(d_Irr!AO22)),IF(AND(d_Irr!P22&lt;&gt;".",d_Irr!AO22=".",d_Irr!BN22="."),d_dir!AQ22/((1/1000)*(d_Irr!P22)),IF(AND(d_Irr!P22=".",d_Irr!AO22=".",d_Irr!BN22="."),d_dir!AQ22*1000)))))))),".")</f>
        <v>3.1098291867984873</v>
      </c>
      <c r="AR22" s="76">
        <f>IFERROR(IF(AND(d_Irr!Q22&lt;&gt;".",d_Irr!AP22&lt;&gt;".",d_Irr!BO22&lt;&gt;"."),d_dir!AR22/((1/1000)*(d_Irr!Q22+d_Irr!AP22+d_Irr!BO22)),IF(AND(d_Irr!Q22&lt;&gt;".",d_Irr!AP22&lt;&gt;".",d_Irr!BO22="."),d_dir!AR22/((1/1000)*(d_Irr!Q22+d_Irr!AP22)),IF(AND(d_Irr!Q22&lt;&gt;".",d_Irr!AP22=".",d_Irr!BO22&lt;&gt;"."),d_dir!AR22/((1/1000)*(d_Irr!Q22+d_Irr!BO22)),IF(AND(d_Irr!Q22=".",d_Irr!AP22&lt;&gt;".",d_Irr!BO22&lt;&gt;"."),d_dir!AR22/((1/1000)*(d_Irr!AP22+d_Irr!BO22)),IF(AND(d_Irr!Q22=".",d_Irr!AP22=".",d_Irr!BO22&lt;&gt;"."),d_dir!AR22/((1/1000)*(d_Irr!BO22)),IF(AND(d_Irr!Q22=".",d_Irr!AP22&lt;&gt;".",d_Irr!BO22="."),d_dir!AR22/((1/1000)*(d_Irr!AP22)),IF(AND(d_Irr!Q22&lt;&gt;".",d_Irr!AP22=".",d_Irr!BO22="."),d_dir!AR22/((1/1000)*(d_Irr!Q22)),IF(AND(d_Irr!Q22=".",d_Irr!AP22=".",d_Irr!BO22="."),d_dir!AR22*1000)))))))),".")</f>
        <v>1.1345964362858429</v>
      </c>
      <c r="AS22" s="76">
        <f>IFERROR(IF(AND(d_Irr!R22&lt;&gt;".",d_Irr!AQ22&lt;&gt;".",d_Irr!BP22&lt;&gt;"."),d_dir!AS22/((1/1000)*(d_Irr!R22+d_Irr!AQ22+d_Irr!BP22)),IF(AND(d_Irr!R22&lt;&gt;".",d_Irr!AQ22&lt;&gt;".",d_Irr!BP22="."),d_dir!AS22/((1/1000)*(d_Irr!R22+d_Irr!AQ22)),IF(AND(d_Irr!R22&lt;&gt;".",d_Irr!AQ22=".",d_Irr!BP22&lt;&gt;"."),d_dir!AS22/((1/1000)*(d_Irr!R22+d_Irr!BP22)),IF(AND(d_Irr!R22=".",d_Irr!AQ22&lt;&gt;".",d_Irr!BP22&lt;&gt;"."),d_dir!AS22/((1/1000)*(d_Irr!AQ22+d_Irr!BP22)),IF(AND(d_Irr!R22=".",d_Irr!AQ22=".",d_Irr!BP22&lt;&gt;"."),d_dir!AS22/((1/1000)*(d_Irr!BP22)),IF(AND(d_Irr!R22=".",d_Irr!AQ22&lt;&gt;".",d_Irr!BP22="."),d_dir!AS22/((1/1000)*(d_Irr!AQ22)),IF(AND(d_Irr!R22&lt;&gt;".",d_Irr!AQ22=".",d_Irr!BP22="."),d_dir!AS22/((1/1000)*(d_Irr!R22)),IF(AND(d_Irr!R22=".",d_Irr!AQ22=".",d_Irr!BP22="."),d_dir!AS22*1000)))))))),".")</f>
        <v>1.850129034343214</v>
      </c>
      <c r="AT22" s="76">
        <f>IFERROR(IF(AND(d_Irr!S22&lt;&gt;".",d_Irr!AR22&lt;&gt;".",d_Irr!BQ22&lt;&gt;"."),d_dir!AT22/((1/1000)*(d_Irr!S22+d_Irr!AR22+d_Irr!BQ22)),IF(AND(d_Irr!S22&lt;&gt;".",d_Irr!AR22&lt;&gt;".",d_Irr!BQ22="."),d_dir!AT22/((1/1000)*(d_Irr!S22+d_Irr!AR22)),IF(AND(d_Irr!S22&lt;&gt;".",d_Irr!AR22=".",d_Irr!BQ22&lt;&gt;"."),d_dir!AT22/((1/1000)*(d_Irr!S22+d_Irr!BQ22)),IF(AND(d_Irr!S22=".",d_Irr!AR22&lt;&gt;".",d_Irr!BQ22&lt;&gt;"."),d_dir!AT22/((1/1000)*(d_Irr!AR22+d_Irr!BQ22)),IF(AND(d_Irr!S22=".",d_Irr!AR22=".",d_Irr!BQ22&lt;&gt;"."),d_dir!AT22/((1/1000)*(d_Irr!BQ22)),IF(AND(d_Irr!S22=".",d_Irr!AR22&lt;&gt;".",d_Irr!BQ22="."),d_dir!AT22/((1/1000)*(d_Irr!AR22)),IF(AND(d_Irr!S22&lt;&gt;".",d_Irr!AR22=".",d_Irr!BQ22="."),d_dir!AT22/((1/1000)*(d_Irr!S22)),IF(AND(d_Irr!S22=".",d_Irr!AR22=".",d_Irr!BQ22="."),d_dir!AT22*1000)))))))),".")</f>
        <v>3.7470780393815297</v>
      </c>
      <c r="AU22" s="76">
        <f>IFERROR(IF(AND(d_Irr!T22&lt;&gt;".",d_Irr!AS22&lt;&gt;".",d_Irr!BR22&lt;&gt;"."),d_dir!AU22/((1/1000)*(d_Irr!T22+d_Irr!AS22+d_Irr!BR22)),IF(AND(d_Irr!T22&lt;&gt;".",d_Irr!AS22&lt;&gt;".",d_Irr!BR22="."),d_dir!AU22/((1/1000)*(d_Irr!T22+d_Irr!AS22)),IF(AND(d_Irr!T22&lt;&gt;".",d_Irr!AS22=".",d_Irr!BR22&lt;&gt;"."),d_dir!AU22/((1/1000)*(d_Irr!T22+d_Irr!BR22)),IF(AND(d_Irr!T22=".",d_Irr!AS22&lt;&gt;".",d_Irr!BR22&lt;&gt;"."),d_dir!AU22/((1/1000)*(d_Irr!AS22+d_Irr!BR22)),IF(AND(d_Irr!T22=".",d_Irr!AS22=".",d_Irr!BR22&lt;&gt;"."),d_dir!AU22/((1/1000)*(d_Irr!BR22)),IF(AND(d_Irr!T22=".",d_Irr!AS22&lt;&gt;".",d_Irr!BR22="."),d_dir!AU22/((1/1000)*(d_Irr!AS22)),IF(AND(d_Irr!T22&lt;&gt;".",d_Irr!AS22=".",d_Irr!BR22="."),d_dir!AU22/((1/1000)*(d_Irr!T22)),IF(AND(d_Irr!T22=".",d_Irr!AS22=".",d_Irr!BR22="."),d_dir!AU22*1000)))))))),".")</f>
        <v>5.1423274001438397</v>
      </c>
      <c r="AV22" s="76">
        <f>IFERROR(IF(AND(d_Irr!U22&lt;&gt;".",d_Irr!AT22&lt;&gt;".",d_Irr!BS22&lt;&gt;"."),d_dir!AV22/((1/1000)*(d_Irr!U22+d_Irr!AT22+d_Irr!BS22)),IF(AND(d_Irr!U22&lt;&gt;".",d_Irr!AT22&lt;&gt;".",d_Irr!BS22="."),d_dir!AV22/((1/1000)*(d_Irr!U22+d_Irr!AT22)),IF(AND(d_Irr!U22&lt;&gt;".",d_Irr!AT22=".",d_Irr!BS22&lt;&gt;"."),d_dir!AV22/((1/1000)*(d_Irr!U22+d_Irr!BS22)),IF(AND(d_Irr!U22=".",d_Irr!AT22&lt;&gt;".",d_Irr!BS22&lt;&gt;"."),d_dir!AV22/((1/1000)*(d_Irr!AT22+d_Irr!BS22)),IF(AND(d_Irr!U22=".",d_Irr!AT22=".",d_Irr!BS22&lt;&gt;"."),d_dir!AV22/((1/1000)*(d_Irr!BS22)),IF(AND(d_Irr!U22=".",d_Irr!AT22&lt;&gt;".",d_Irr!BS22="."),d_dir!AV22/((1/1000)*(d_Irr!AT22)),IF(AND(d_Irr!U22&lt;&gt;".",d_Irr!AT22=".",d_Irr!BS22="."),d_dir!AV22/((1/1000)*(d_Irr!U22)),IF(AND(d_Irr!U22=".",d_Irr!AT22=".",d_Irr!BS22="."),d_dir!AV22*1000)))))))),".")</f>
        <v>0.89613290483979202</v>
      </c>
      <c r="AW22" s="76">
        <f>IFERROR(IF(AND(d_Irr!V22&lt;&gt;".",d_Irr!AU22&lt;&gt;".",d_Irr!BT22&lt;&gt;"."),d_dir!AW22/((1/1000)*(d_Irr!V22+d_Irr!AU22+d_Irr!BT22)),IF(AND(d_Irr!V22&lt;&gt;".",d_Irr!AU22&lt;&gt;".",d_Irr!BT22="."),d_dir!AW22/((1/1000)*(d_Irr!V22+d_Irr!AU22)),IF(AND(d_Irr!V22&lt;&gt;".",d_Irr!AU22=".",d_Irr!BT22&lt;&gt;"."),d_dir!AW22/((1/1000)*(d_Irr!V22+d_Irr!BT22)),IF(AND(d_Irr!V22=".",d_Irr!AU22&lt;&gt;".",d_Irr!BT22&lt;&gt;"."),d_dir!AW22/((1/1000)*(d_Irr!AU22+d_Irr!BT22)),IF(AND(d_Irr!V22=".",d_Irr!AU22=".",d_Irr!BT22&lt;&gt;"."),d_dir!AW22/((1/1000)*(d_Irr!BT22)),IF(AND(d_Irr!V22=".",d_Irr!AU22&lt;&gt;".",d_Irr!BT22="."),d_dir!AW22/((1/1000)*(d_Irr!AU22)),IF(AND(d_Irr!V22&lt;&gt;".",d_Irr!AU22=".",d_Irr!BT22="."),d_dir!AW22/((1/1000)*(d_Irr!V22)),IF(AND(d_Irr!V22=".",d_Irr!AU22=".",d_Irr!BT22="."),d_dir!AW22*1000)))))))),".")</f>
        <v>1.914062033700674</v>
      </c>
      <c r="AX22" s="76">
        <f>IFERROR(IF(AND(d_Irr!W22&lt;&gt;".",d_Irr!AV22&lt;&gt;".",d_Irr!BU22&lt;&gt;"."),d_dir!AX22/((1/1000)*(d_Irr!W22+d_Irr!AV22+d_Irr!BU22)),IF(AND(d_Irr!W22&lt;&gt;".",d_Irr!AV22&lt;&gt;".",d_Irr!BU22="."),d_dir!AX22/((1/1000)*(d_Irr!W22+d_Irr!AV22)),IF(AND(d_Irr!W22&lt;&gt;".",d_Irr!AV22=".",d_Irr!BU22&lt;&gt;"."),d_dir!AX22/((1/1000)*(d_Irr!W22+d_Irr!BU22)),IF(AND(d_Irr!W22=".",d_Irr!AV22&lt;&gt;".",d_Irr!BU22&lt;&gt;"."),d_dir!AX22/((1/1000)*(d_Irr!AV22+d_Irr!BU22)),IF(AND(d_Irr!W22=".",d_Irr!AV22=".",d_Irr!BU22&lt;&gt;"."),d_dir!AX22/((1/1000)*(d_Irr!BU22)),IF(AND(d_Irr!W22=".",d_Irr!AV22&lt;&gt;".",d_Irr!BU22="."),d_dir!AX22/((1/1000)*(d_Irr!AV22)),IF(AND(d_Irr!W22&lt;&gt;".",d_Irr!AV22=".",d_Irr!BU22="."),d_dir!AX22/((1/1000)*(d_Irr!W22)),IF(AND(d_Irr!W22=".",d_Irr!AV22=".",d_Irr!BU22="."),d_dir!AX22*1000)))))))),".")</f>
        <v>2.1260302314265269</v>
      </c>
      <c r="AY22" s="76">
        <f>IFERROR(IF(AND(d_Irr!X22&lt;&gt;".",d_Irr!AW22&lt;&gt;".",d_Irr!BV22&lt;&gt;"."),d_dir!AY22/((1/1000)*(d_Irr!X22+d_Irr!AW22+d_Irr!BV22)),IF(AND(d_Irr!X22&lt;&gt;".",d_Irr!AW22&lt;&gt;".",d_Irr!BV22="."),d_dir!AY22/((1/1000)*(d_Irr!X22+d_Irr!AW22)),IF(AND(d_Irr!X22&lt;&gt;".",d_Irr!AW22=".",d_Irr!BV22&lt;&gt;"."),d_dir!AY22/((1/1000)*(d_Irr!X22+d_Irr!BV22)),IF(AND(d_Irr!X22=".",d_Irr!AW22&lt;&gt;".",d_Irr!BV22&lt;&gt;"."),d_dir!AY22/((1/1000)*(d_Irr!AW22+d_Irr!BV22)),IF(AND(d_Irr!X22=".",d_Irr!AW22=".",d_Irr!BV22&lt;&gt;"."),d_dir!AY22/((1/1000)*(d_Irr!BV22)),IF(AND(d_Irr!X22=".",d_Irr!AW22&lt;&gt;".",d_Irr!BV22="."),d_dir!AY22/((1/1000)*(d_Irr!AW22)),IF(AND(d_Irr!X22&lt;&gt;".",d_Irr!AW22=".",d_Irr!BV22="."),d_dir!AY22/((1/1000)*(d_Irr!X22)),IF(AND(d_Irr!X22=".",d_Irr!AW22=".",d_Irr!BV22="."),d_dir!AY22*1000)))))))),".")</f>
        <v>3.0080385411612793</v>
      </c>
      <c r="AZ22" s="76">
        <f>IFERROR(IF(AND(d_Irr!Y22&lt;&gt;".",d_Irr!AX22&lt;&gt;".",d_Irr!BW22&lt;&gt;"."),d_dir!AZ22/((1/1000)*(d_Irr!Y22+d_Irr!AX22+d_Irr!BW22)),IF(AND(d_Irr!Y22&lt;&gt;".",d_Irr!AX22&lt;&gt;".",d_Irr!BW22="."),d_dir!AZ22/((1/1000)*(d_Irr!Y22+d_Irr!AX22)),IF(AND(d_Irr!Y22&lt;&gt;".",d_Irr!AX22=".",d_Irr!BW22&lt;&gt;"."),d_dir!AZ22/((1/1000)*(d_Irr!Y22+d_Irr!BW22)),IF(AND(d_Irr!Y22=".",d_Irr!AX22&lt;&gt;".",d_Irr!BW22&lt;&gt;"."),d_dir!AZ22/((1/1000)*(d_Irr!AX22+d_Irr!BW22)),IF(AND(d_Irr!Y22=".",d_Irr!AX22=".",d_Irr!BW22&lt;&gt;"."),d_dir!AZ22/((1/1000)*(d_Irr!BW22)),IF(AND(d_Irr!Y22=".",d_Irr!AX22&lt;&gt;".",d_Irr!BW22="."),d_dir!AZ22/((1/1000)*(d_Irr!AX22)),IF(AND(d_Irr!Y22&lt;&gt;".",d_Irr!AX22=".",d_Irr!BW22="."),d_dir!AZ22/((1/1000)*(d_Irr!Y22)),IF(AND(d_Irr!Y22=".",d_Irr!AX22=".",d_Irr!BW22="."),d_dir!AZ22*1000)))))))),".")</f>
        <v>1.2506793860547918</v>
      </c>
      <c r="BA22" s="76">
        <f>IFERROR(IF(AND(d_Irr!Z22&lt;&gt;".",d_Irr!AY22&lt;&gt;".",d_Irr!BX22&lt;&gt;"."),d_dir!BA22/((1/1000)*(d_Irr!Z22+d_Irr!AY22+d_Irr!BX22)),IF(AND(d_Irr!Z22&lt;&gt;".",d_Irr!AY22&lt;&gt;".",d_Irr!BX22="."),d_dir!BA22/((1/1000)*(d_Irr!Z22+d_Irr!AY22)),IF(AND(d_Irr!Z22&lt;&gt;".",d_Irr!AY22=".",d_Irr!BX22&lt;&gt;"."),d_dir!BA22/((1/1000)*(d_Irr!Z22+d_Irr!BX22)),IF(AND(d_Irr!Z22=".",d_Irr!AY22&lt;&gt;".",d_Irr!BX22&lt;&gt;"."),d_dir!BA22/((1/1000)*(d_Irr!AY22+d_Irr!BX22)),IF(AND(d_Irr!Z22=".",d_Irr!AY22=".",d_Irr!BX22&lt;&gt;"."),d_dir!BA22/((1/1000)*(d_Irr!BX22)),IF(AND(d_Irr!Z22=".",d_Irr!AY22&lt;&gt;".",d_Irr!BX22="."),d_dir!BA22/((1/1000)*(d_Irr!AY22)),IF(AND(d_Irr!Z22&lt;&gt;".",d_Irr!AY22=".",d_Irr!BX22="."),d_dir!BA22/((1/1000)*(d_Irr!Z22)),IF(AND(d_Irr!Z22=".",d_Irr!AY22=".",d_Irr!BX22="."),d_dir!BA22*1000)))))))),".")</f>
        <v>0.45856804279788249</v>
      </c>
      <c r="BB22" s="76">
        <f>IFERROR(IF(AND(d_Irr!AA22&lt;&gt;".",d_Irr!AZ22&lt;&gt;".",d_Irr!BY22&lt;&gt;"."),d_dir!BB22/((1/1000)*(d_Irr!AA22+d_Irr!AZ22+d_Irr!BY22)),IF(AND(d_Irr!AA22&lt;&gt;".",d_Irr!AZ22&lt;&gt;".",d_Irr!BY22="."),d_dir!BB22/((1/1000)*(d_Irr!AA22+d_Irr!AZ22)),IF(AND(d_Irr!AA22&lt;&gt;".",d_Irr!AZ22=".",d_Irr!BY22&lt;&gt;"."),d_dir!BB22/((1/1000)*(d_Irr!AA22+d_Irr!BY22)),IF(AND(d_Irr!AA22=".",d_Irr!AZ22&lt;&gt;".",d_Irr!BY22&lt;&gt;"."),d_dir!BB22/((1/1000)*(d_Irr!AZ22+d_Irr!BY22)),IF(AND(d_Irr!AA22=".",d_Irr!AZ22=".",d_Irr!BY22&lt;&gt;"."),d_dir!BB22/((1/1000)*(d_Irr!BY22)),IF(AND(d_Irr!AA22=".",d_Irr!AZ22&lt;&gt;".",d_Irr!BY22="."),d_dir!BB22/((1/1000)*(d_Irr!AZ22)),IF(AND(d_Irr!AA22&lt;&gt;".",d_Irr!AZ22=".",d_Irr!BY22="."),d_dir!BB22/((1/1000)*(d_Irr!AA22)),IF(AND(d_Irr!AA22=".",d_Irr!AZ22=".",d_Irr!BY22="."),d_dir!BB22*1000)))))))),".")</f>
        <v>0.44487686234322638</v>
      </c>
    </row>
    <row r="23" spans="1:54" x14ac:dyDescent="0.25">
      <c r="A23" s="94" t="s">
        <v>33</v>
      </c>
      <c r="B23" s="90" t="s">
        <v>349</v>
      </c>
      <c r="C23" s="2">
        <f t="shared" si="1"/>
        <v>3.5843598604911618E-2</v>
      </c>
      <c r="D23" s="76">
        <f>IFERROR(IF(AND(d_Irr!C23&lt;&gt;".",d_Irr!AB23&lt;&gt;".",d_Irr!BA23&lt;&gt;"."),d_dir!D23/((1/1000)*(d_Irr!C23+d_Irr!AB23+d_Irr!BA23)),IF(AND(d_Irr!C23&lt;&gt;".",d_Irr!AB23&lt;&gt;".",d_Irr!BA23="."),d_dir!D23/((1/1000)*(d_Irr!C23+d_Irr!AB23)),IF(AND(d_Irr!C23&lt;&gt;".",d_Irr!AB23=".",d_Irr!BA23&lt;&gt;"."),d_dir!D23/((1/1000)*(d_Irr!C23+d_Irr!BA23)),IF(AND(d_Irr!C23=".",d_Irr!AB23&lt;&gt;".",d_Irr!BA23&lt;&gt;"."),d_dir!D23/((1/1000)*(d_Irr!AB23+d_Irr!BA23)),IF(AND(d_Irr!C23=".",d_Irr!AB23=".",d_Irr!BA23&lt;&gt;"."),d_dir!D23/((1/1000)*(d_Irr!BA23)),IF(AND(d_Irr!C23=".",d_Irr!AB23&lt;&gt;".",d_Irr!BA23="."),d_dir!D23/((1/1000)*(d_Irr!AB23)),IF(AND(d_Irr!C23&lt;&gt;".",d_Irr!AB23=".",d_Irr!BA23="."),d_dir!D23/((1/1000)*(d_Irr!C23)),IF(AND(d_Irr!C23=".",d_Irr!AB23=".",d_Irr!BA23="."),d_dir!D23*1000)))))))),".")</f>
        <v>0.72612947812083739</v>
      </c>
      <c r="E23" s="76">
        <f>IFERROR(IF(AND(d_Irr!D23&lt;&gt;".",d_Irr!AC23&lt;&gt;".",d_Irr!BB23&lt;&gt;"."),d_dir!E23/((1/1000)*(d_Irr!D23+d_Irr!AC23+d_Irr!BB23)),IF(AND(d_Irr!D23&lt;&gt;".",d_Irr!AC23&lt;&gt;".",d_Irr!BB23="."),d_dir!E23/((1/1000)*(d_Irr!D23+d_Irr!AC23)),IF(AND(d_Irr!D23&lt;&gt;".",d_Irr!AC23=".",d_Irr!BB23&lt;&gt;"."),d_dir!E23/((1/1000)*(d_Irr!D23+d_Irr!BB23)),IF(AND(d_Irr!D23=".",d_Irr!AC23&lt;&gt;".",d_Irr!BB23&lt;&gt;"."),d_dir!E23/((1/1000)*(d_Irr!AC23+d_Irr!BB23)),IF(AND(d_Irr!D23=".",d_Irr!AC23=".",d_Irr!BB23&lt;&gt;"."),d_dir!E23/((1/1000)*(d_Irr!BB23)),IF(AND(d_Irr!D23=".",d_Irr!AC23&lt;&gt;".",d_Irr!BB23="."),d_dir!E23/((1/1000)*(d_Irr!AC23)),IF(AND(d_Irr!D23&lt;&gt;".",d_Irr!AC23=".",d_Irr!BB23="."),d_dir!E23/((1/1000)*(d_Irr!D23)),IF(AND(d_Irr!D23=".",d_Irr!AC23=".",d_Irr!BB23="."),d_dir!E23*1000)))))))),".")</f>
        <v>0.92207977793825147</v>
      </c>
      <c r="F23" s="76">
        <f>IFERROR(IF(AND(d_Irr!E23&lt;&gt;".",d_Irr!AD23&lt;&gt;".",d_Irr!BC23&lt;&gt;"."),d_dir!F23/((1/1000)*(d_Irr!E23+d_Irr!AD23+d_Irr!BC23)),IF(AND(d_Irr!E23&lt;&gt;".",d_Irr!AD23&lt;&gt;".",d_Irr!BC23="."),d_dir!F23/((1/1000)*(d_Irr!E23+d_Irr!AD23)),IF(AND(d_Irr!E23&lt;&gt;".",d_Irr!AD23=".",d_Irr!BC23&lt;&gt;"."),d_dir!F23/((1/1000)*(d_Irr!E23+d_Irr!BC23)),IF(AND(d_Irr!E23=".",d_Irr!AD23&lt;&gt;".",d_Irr!BC23&lt;&gt;"."),d_dir!F23/((1/1000)*(d_Irr!AD23+d_Irr!BC23)),IF(AND(d_Irr!E23=".",d_Irr!AD23=".",d_Irr!BC23&lt;&gt;"."),d_dir!F23/((1/1000)*(d_Irr!BC23)),IF(AND(d_Irr!E23=".",d_Irr!AD23&lt;&gt;".",d_Irr!BC23="."),d_dir!F23/((1/1000)*(d_Irr!AD23)),IF(AND(d_Irr!E23&lt;&gt;".",d_Irr!AD23=".",d_Irr!BC23="."),d_dir!F23/((1/1000)*(d_Irr!E23)),IF(AND(d_Irr!E23=".",d_Irr!AD23=".",d_Irr!BC23="."),d_dir!F23*1000)))))))),".")</f>
        <v>1.2477565268183815</v>
      </c>
      <c r="G23" s="76">
        <f>IFERROR(IF(AND(d_Irr!F23&lt;&gt;".",d_Irr!AE23&lt;&gt;".",d_Irr!BD23&lt;&gt;"."),d_dir!G23/((1/1000)*(d_Irr!F23+d_Irr!AE23+d_Irr!BD23)),IF(AND(d_Irr!F23&lt;&gt;".",d_Irr!AE23&lt;&gt;".",d_Irr!BD23="."),d_dir!G23/((1/1000)*(d_Irr!F23+d_Irr!AE23)),IF(AND(d_Irr!F23&lt;&gt;".",d_Irr!AE23=".",d_Irr!BD23&lt;&gt;"."),d_dir!G23/((1/1000)*(d_Irr!F23+d_Irr!BD23)),IF(AND(d_Irr!F23=".",d_Irr!AE23&lt;&gt;".",d_Irr!BD23&lt;&gt;"."),d_dir!G23/((1/1000)*(d_Irr!AE23+d_Irr!BD23)),IF(AND(d_Irr!F23=".",d_Irr!AE23=".",d_Irr!BD23&lt;&gt;"."),d_dir!G23/((1/1000)*(d_Irr!BD23)),IF(AND(d_Irr!F23=".",d_Irr!AE23&lt;&gt;".",d_Irr!BD23="."),d_dir!G23/((1/1000)*(d_Irr!AE23)),IF(AND(d_Irr!F23&lt;&gt;".",d_Irr!AE23=".",d_Irr!BD23="."),d_dir!G23/((1/1000)*(d_Irr!F23)),IF(AND(d_Irr!F23=".",d_Irr!AE23=".",d_Irr!BD23="."),d_dir!G23*1000)))))))),".")</f>
        <v>1.6331053294714659</v>
      </c>
      <c r="H23" s="76">
        <f>IFERROR(IF(AND(d_Irr!G23&lt;&gt;".",d_Irr!AF23&lt;&gt;".",d_Irr!BE23&lt;&gt;"."),d_dir!H23/((1/1000)*(d_Irr!G23+d_Irr!AF23+d_Irr!BE23)),IF(AND(d_Irr!G23&lt;&gt;".",d_Irr!AF23&lt;&gt;".",d_Irr!BE23="."),d_dir!H23/((1/1000)*(d_Irr!G23+d_Irr!AF23)),IF(AND(d_Irr!G23&lt;&gt;".",d_Irr!AF23=".",d_Irr!BE23&lt;&gt;"."),d_dir!H23/((1/1000)*(d_Irr!G23+d_Irr!BE23)),IF(AND(d_Irr!G23=".",d_Irr!AF23&lt;&gt;".",d_Irr!BE23&lt;&gt;"."),d_dir!H23/((1/1000)*(d_Irr!AF23+d_Irr!BE23)),IF(AND(d_Irr!G23=".",d_Irr!AF23=".",d_Irr!BE23&lt;&gt;"."),d_dir!H23/((1/1000)*(d_Irr!BE23)),IF(AND(d_Irr!G23=".",d_Irr!AF23&lt;&gt;".",d_Irr!BE23="."),d_dir!H23/((1/1000)*(d_Irr!AF23)),IF(AND(d_Irr!G23&lt;&gt;".",d_Irr!AF23=".",d_Irr!BE23="."),d_dir!H23/((1/1000)*(d_Irr!G23)),IF(AND(d_Irr!G23=".",d_Irr!AF23=".",d_Irr!BE23="."),d_dir!H23*1000)))))))),".")</f>
        <v>1.8805998420806171</v>
      </c>
      <c r="I23" s="76">
        <f>IFERROR(IF(AND(d_Irr!H23&lt;&gt;".",d_Irr!AG23&lt;&gt;".",d_Irr!BF23&lt;&gt;"."),d_dir!I23/((1/1000)*(d_Irr!H23+d_Irr!AG23+d_Irr!BF23)),IF(AND(d_Irr!H23&lt;&gt;".",d_Irr!AG23&lt;&gt;".",d_Irr!BF23="."),d_dir!I23/((1/1000)*(d_Irr!H23+d_Irr!AG23)),IF(AND(d_Irr!H23&lt;&gt;".",d_Irr!AG23=".",d_Irr!BF23&lt;&gt;"."),d_dir!I23/((1/1000)*(d_Irr!H23+d_Irr!BF23)),IF(AND(d_Irr!H23=".",d_Irr!AG23&lt;&gt;".",d_Irr!BF23&lt;&gt;"."),d_dir!I23/((1/1000)*(d_Irr!AG23+d_Irr!BF23)),IF(AND(d_Irr!H23=".",d_Irr!AG23=".",d_Irr!BF23&lt;&gt;"."),d_dir!I23/((1/1000)*(d_Irr!BF23)),IF(AND(d_Irr!H23=".",d_Irr!AG23&lt;&gt;".",d_Irr!BF23="."),d_dir!I23/((1/1000)*(d_Irr!AG23)),IF(AND(d_Irr!H23&lt;&gt;".",d_Irr!AG23=".",d_Irr!BF23="."),d_dir!I23/((1/1000)*(d_Irr!H23)),IF(AND(d_Irr!H23=".",d_Irr!AG23=".",d_Irr!BF23="."),d_dir!I23*1000)))))))),".")</f>
        <v>0.4542170502452943</v>
      </c>
      <c r="J23" s="76">
        <f>IFERROR(IF(AND(d_Irr!I23&lt;&gt;".",d_Irr!AH23&lt;&gt;".",d_Irr!BG23&lt;&gt;"."),d_dir!J23/((1/1000)*(d_Irr!I23+d_Irr!AH23+d_Irr!BG23)),IF(AND(d_Irr!I23&lt;&gt;".",d_Irr!AH23&lt;&gt;".",d_Irr!BG23="."),d_dir!J23/((1/1000)*(d_Irr!I23+d_Irr!AH23)),IF(AND(d_Irr!I23&lt;&gt;".",d_Irr!AH23=".",d_Irr!BG23&lt;&gt;"."),d_dir!J23/((1/1000)*(d_Irr!I23+d_Irr!BG23)),IF(AND(d_Irr!I23=".",d_Irr!AH23&lt;&gt;".",d_Irr!BG23&lt;&gt;"."),d_dir!J23/((1/1000)*(d_Irr!AH23+d_Irr!BG23)),IF(AND(d_Irr!I23=".",d_Irr!AH23=".",d_Irr!BG23&lt;&gt;"."),d_dir!J23/((1/1000)*(d_Irr!BG23)),IF(AND(d_Irr!I23=".",d_Irr!AH23&lt;&gt;".",d_Irr!BG23="."),d_dir!J23/((1/1000)*(d_Irr!AH23)),IF(AND(d_Irr!I23&lt;&gt;".",d_Irr!AH23=".",d_Irr!BG23="."),d_dir!J23/((1/1000)*(d_Irr!I23)),IF(AND(d_Irr!I23=".",d_Irr!AH23=".",d_Irr!BG23="."),d_dir!J23*1000)))))))),".")</f>
        <v>1.436551786329562</v>
      </c>
      <c r="K23" s="76">
        <f>IFERROR(IF(AND(d_Irr!J23&lt;&gt;".",d_Irr!AI23&lt;&gt;".",d_Irr!BH23&lt;&gt;"."),d_dir!K23/((1/1000)*(d_Irr!J23+d_Irr!AI23+d_Irr!BH23)),IF(AND(d_Irr!J23&lt;&gt;".",d_Irr!AI23&lt;&gt;".",d_Irr!BH23="."),d_dir!K23/((1/1000)*(d_Irr!J23+d_Irr!AI23)),IF(AND(d_Irr!J23&lt;&gt;".",d_Irr!AI23=".",d_Irr!BH23&lt;&gt;"."),d_dir!K23/((1/1000)*(d_Irr!J23+d_Irr!BH23)),IF(AND(d_Irr!J23=".",d_Irr!AI23&lt;&gt;".",d_Irr!BH23&lt;&gt;"."),d_dir!K23/((1/1000)*(d_Irr!AI23+d_Irr!BH23)),IF(AND(d_Irr!J23=".",d_Irr!AI23=".",d_Irr!BH23&lt;&gt;"."),d_dir!K23/((1/1000)*(d_Irr!BH23)),IF(AND(d_Irr!J23=".",d_Irr!AI23&lt;&gt;".",d_Irr!BH23="."),d_dir!K23/((1/1000)*(d_Irr!AI23)),IF(AND(d_Irr!J23&lt;&gt;".",d_Irr!AI23=".",d_Irr!BH23="."),d_dir!K23/((1/1000)*(d_Irr!J23)),IF(AND(d_Irr!J23=".",d_Irr!AI23=".",d_Irr!BH23="."),d_dir!K23*1000)))))))),".")</f>
        <v>0.18829004003594321</v>
      </c>
      <c r="L23" s="76">
        <f>IFERROR(IF(AND(d_Irr!K23&lt;&gt;".",d_Irr!AJ23&lt;&gt;".",d_Irr!BI23&lt;&gt;"."),d_dir!L23/((1/1000)*(d_Irr!K23+d_Irr!AJ23+d_Irr!BI23)),IF(AND(d_Irr!K23&lt;&gt;".",d_Irr!AJ23&lt;&gt;".",d_Irr!BI23="."),d_dir!L23/((1/1000)*(d_Irr!K23+d_Irr!AJ23)),IF(AND(d_Irr!K23&lt;&gt;".",d_Irr!AJ23=".",d_Irr!BI23&lt;&gt;"."),d_dir!L23/((1/1000)*(d_Irr!K23+d_Irr!BI23)),IF(AND(d_Irr!K23=".",d_Irr!AJ23&lt;&gt;".",d_Irr!BI23&lt;&gt;"."),d_dir!L23/((1/1000)*(d_Irr!AJ23+d_Irr!BI23)),IF(AND(d_Irr!K23=".",d_Irr!AJ23=".",d_Irr!BI23&lt;&gt;"."),d_dir!L23/((1/1000)*(d_Irr!BI23)),IF(AND(d_Irr!K23=".",d_Irr!AJ23&lt;&gt;".",d_Irr!BI23="."),d_dir!L23/((1/1000)*(d_Irr!AJ23)),IF(AND(d_Irr!K23&lt;&gt;".",d_Irr!AJ23=".",d_Irr!BI23="."),d_dir!L23/((1/1000)*(d_Irr!K23)),IF(AND(d_Irr!K23=".",d_Irr!AJ23=".",d_Irr!BI23="."),d_dir!L23*1000)))))))),".")</f>
        <v>1.1078241138382343</v>
      </c>
      <c r="M23" s="76">
        <f>IFERROR(IF(AND(d_Irr!L23&lt;&gt;".",d_Irr!AK23&lt;&gt;".",d_Irr!BJ23&lt;&gt;"."),d_dir!M23/((1/1000)*(d_Irr!L23+d_Irr!AK23+d_Irr!BJ23)),IF(AND(d_Irr!L23&lt;&gt;".",d_Irr!AK23&lt;&gt;".",d_Irr!BJ23="."),d_dir!M23/((1/1000)*(d_Irr!L23+d_Irr!AK23)),IF(AND(d_Irr!L23&lt;&gt;".",d_Irr!AK23=".",d_Irr!BJ23&lt;&gt;"."),d_dir!M23/((1/1000)*(d_Irr!L23+d_Irr!BJ23)),IF(AND(d_Irr!L23=".",d_Irr!AK23&lt;&gt;".",d_Irr!BJ23&lt;&gt;"."),d_dir!M23/((1/1000)*(d_Irr!AK23+d_Irr!BJ23)),IF(AND(d_Irr!L23=".",d_Irr!AK23=".",d_Irr!BJ23&lt;&gt;"."),d_dir!M23/((1/1000)*(d_Irr!BJ23)),IF(AND(d_Irr!L23=".",d_Irr!AK23&lt;&gt;".",d_Irr!BJ23="."),d_dir!M23/((1/1000)*(d_Irr!AK23)),IF(AND(d_Irr!L23&lt;&gt;".",d_Irr!AK23=".",d_Irr!BJ23="."),d_dir!M23/((1/1000)*(d_Irr!L23)),IF(AND(d_Irr!L23=".",d_Irr!AK23=".",d_Irr!BJ23="."),d_dir!M23*1000)))))))),".")</f>
        <v>0.72876743534857058</v>
      </c>
      <c r="N23" s="76">
        <f>IFERROR(IF(AND(d_Irr!M23&lt;&gt;".",d_Irr!AL23&lt;&gt;".",d_Irr!BK23&lt;&gt;"."),d_dir!N23/((1/1000)*(d_Irr!M23+d_Irr!AL23+d_Irr!BK23)),IF(AND(d_Irr!M23&lt;&gt;".",d_Irr!AL23&lt;&gt;".",d_Irr!BK23="."),d_dir!N23/((1/1000)*(d_Irr!M23+d_Irr!AL23)),IF(AND(d_Irr!M23&lt;&gt;".",d_Irr!AL23=".",d_Irr!BK23&lt;&gt;"."),d_dir!N23/((1/1000)*(d_Irr!M23+d_Irr!BK23)),IF(AND(d_Irr!M23=".",d_Irr!AL23&lt;&gt;".",d_Irr!BK23&lt;&gt;"."),d_dir!N23/((1/1000)*(d_Irr!AL23+d_Irr!BK23)),IF(AND(d_Irr!M23=".",d_Irr!AL23=".",d_Irr!BK23&lt;&gt;"."),d_dir!N23/((1/1000)*(d_Irr!BK23)),IF(AND(d_Irr!M23=".",d_Irr!AL23&lt;&gt;".",d_Irr!BK23="."),d_dir!N23/((1/1000)*(d_Irr!AL23)),IF(AND(d_Irr!M23&lt;&gt;".",d_Irr!AL23=".",d_Irr!BK23="."),d_dir!N23/((1/1000)*(d_Irr!M23)),IF(AND(d_Irr!M23=".",d_Irr!AL23=".",d_Irr!BK23="."),d_dir!N23*1000)))))))),".")</f>
        <v>0.99811319131185317</v>
      </c>
      <c r="O23" s="76">
        <f>IFERROR(IF(AND(d_Irr!N23&lt;&gt;".",d_Irr!AM23&lt;&gt;".",d_Irr!BL23&lt;&gt;"."),d_dir!O23/((1/1000)*(d_Irr!N23+d_Irr!AM23+d_Irr!BL23)),IF(AND(d_Irr!N23&lt;&gt;".",d_Irr!AM23&lt;&gt;".",d_Irr!BL23="."),d_dir!O23/((1/1000)*(d_Irr!N23+d_Irr!AM23)),IF(AND(d_Irr!N23&lt;&gt;".",d_Irr!AM23=".",d_Irr!BL23&lt;&gt;"."),d_dir!O23/((1/1000)*(d_Irr!N23+d_Irr!BL23)),IF(AND(d_Irr!N23=".",d_Irr!AM23&lt;&gt;".",d_Irr!BL23&lt;&gt;"."),d_dir!O23/((1/1000)*(d_Irr!AM23+d_Irr!BL23)),IF(AND(d_Irr!N23=".",d_Irr!AM23=".",d_Irr!BL23&lt;&gt;"."),d_dir!O23/((1/1000)*(d_Irr!BL23)),IF(AND(d_Irr!N23=".",d_Irr!AM23&lt;&gt;".",d_Irr!BL23="."),d_dir!O23/((1/1000)*(d_Irr!AM23)),IF(AND(d_Irr!N23&lt;&gt;".",d_Irr!AM23=".",d_Irr!BL23="."),d_dir!O23/((1/1000)*(d_Irr!N23)),IF(AND(d_Irr!N23=".",d_Irr!AM23=".",d_Irr!BL23="."),d_dir!O23*1000)))))))),".")</f>
        <v>1.6025407688505453</v>
      </c>
      <c r="P23" s="76">
        <f>IFERROR(IF(AND(d_Irr!O23&lt;&gt;".",d_Irr!AN23&lt;&gt;".",d_Irr!BM23&lt;&gt;"."),d_dir!P23/((1/1000)*(d_Irr!O23+d_Irr!AN23+d_Irr!BM23)),IF(AND(d_Irr!O23&lt;&gt;".",d_Irr!AN23&lt;&gt;".",d_Irr!BM23="."),d_dir!P23/((1/1000)*(d_Irr!O23+d_Irr!AN23)),IF(AND(d_Irr!O23&lt;&gt;".",d_Irr!AN23=".",d_Irr!BM23&lt;&gt;"."),d_dir!P23/((1/1000)*(d_Irr!O23+d_Irr!BM23)),IF(AND(d_Irr!O23=".",d_Irr!AN23&lt;&gt;".",d_Irr!BM23&lt;&gt;"."),d_dir!P23/((1/1000)*(d_Irr!AN23+d_Irr!BM23)),IF(AND(d_Irr!O23=".",d_Irr!AN23=".",d_Irr!BM23&lt;&gt;"."),d_dir!P23/((1/1000)*(d_Irr!BM23)),IF(AND(d_Irr!O23=".",d_Irr!AN23&lt;&gt;".",d_Irr!BM23="."),d_dir!P23/((1/1000)*(d_Irr!AN23)),IF(AND(d_Irr!O23&lt;&gt;".",d_Irr!AN23=".",d_Irr!BM23="."),d_dir!P23/((1/1000)*(d_Irr!O23)),IF(AND(d_Irr!O23=".",d_Irr!AN23=".",d_Irr!BM23="."),d_dir!P23*1000)))))))),".")</f>
        <v>1.9660456099130652</v>
      </c>
      <c r="Q23" s="76">
        <f>IFERROR(IF(AND(d_Irr!P23&lt;&gt;".",d_Irr!AO23&lt;&gt;".",d_Irr!BN23&lt;&gt;"."),d_dir!Q23/((1/1000)*(d_Irr!P23+d_Irr!AO23+d_Irr!BN23)),IF(AND(d_Irr!P23&lt;&gt;".",d_Irr!AO23&lt;&gt;".",d_Irr!BN23="."),d_dir!Q23/((1/1000)*(d_Irr!P23+d_Irr!AO23)),IF(AND(d_Irr!P23&lt;&gt;".",d_Irr!AO23=".",d_Irr!BN23&lt;&gt;"."),d_dir!Q23/((1/1000)*(d_Irr!P23+d_Irr!BN23)),IF(AND(d_Irr!P23=".",d_Irr!AO23&lt;&gt;".",d_Irr!BN23&lt;&gt;"."),d_dir!Q23/((1/1000)*(d_Irr!AO23+d_Irr!BN23)),IF(AND(d_Irr!P23=".",d_Irr!AO23=".",d_Irr!BN23&lt;&gt;"."),d_dir!Q23/((1/1000)*(d_Irr!BN23)),IF(AND(d_Irr!P23=".",d_Irr!AO23&lt;&gt;".",d_Irr!BN23="."),d_dir!Q23/((1/1000)*(d_Irr!AO23)),IF(AND(d_Irr!P23&lt;&gt;".",d_Irr!AO23=".",d_Irr!BN23="."),d_dir!Q23/((1/1000)*(d_Irr!P23)),IF(AND(d_Irr!P23=".",d_Irr!AO23=".",d_Irr!BN23="."),d_dir!Q23*1000)))))))),".")</f>
        <v>1.9415364709954763</v>
      </c>
      <c r="R23" s="76">
        <f>IFERROR(IF(AND(d_Irr!Q23&lt;&gt;".",d_Irr!AP23&lt;&gt;".",d_Irr!BO23&lt;&gt;"."),d_dir!R23/((1/1000)*(d_Irr!Q23+d_Irr!AP23+d_Irr!BO23)),IF(AND(d_Irr!Q23&lt;&gt;".",d_Irr!AP23&lt;&gt;".",d_Irr!BO23="."),d_dir!R23/((1/1000)*(d_Irr!Q23+d_Irr!AP23)),IF(AND(d_Irr!Q23&lt;&gt;".",d_Irr!AP23=".",d_Irr!BO23&lt;&gt;"."),d_dir!R23/((1/1000)*(d_Irr!Q23+d_Irr!BO23)),IF(AND(d_Irr!Q23=".",d_Irr!AP23&lt;&gt;".",d_Irr!BO23&lt;&gt;"."),d_dir!R23/((1/1000)*(d_Irr!AP23+d_Irr!BO23)),IF(AND(d_Irr!Q23=".",d_Irr!AP23=".",d_Irr!BO23&lt;&gt;"."),d_dir!R23/((1/1000)*(d_Irr!BO23)),IF(AND(d_Irr!Q23=".",d_Irr!AP23&lt;&gt;".",d_Irr!BO23="."),d_dir!R23/((1/1000)*(d_Irr!AP23)),IF(AND(d_Irr!Q23&lt;&gt;".",d_Irr!AP23=".",d_Irr!BO23="."),d_dir!R23/((1/1000)*(d_Irr!Q23)),IF(AND(d_Irr!Q23=".",d_Irr!AP23=".",d_Irr!BO23="."),d_dir!R23*1000)))))))),".")</f>
        <v>0.46619759453367154</v>
      </c>
      <c r="S23" s="76">
        <f>IFERROR(IF(AND(d_Irr!R23&lt;&gt;".",d_Irr!AQ23&lt;&gt;".",d_Irr!BP23&lt;&gt;"."),d_dir!S23/((1/1000)*(d_Irr!R23+d_Irr!AQ23+d_Irr!BP23)),IF(AND(d_Irr!R23&lt;&gt;".",d_Irr!AQ23&lt;&gt;".",d_Irr!BP23="."),d_dir!S23/((1/1000)*(d_Irr!R23+d_Irr!AQ23)),IF(AND(d_Irr!R23&lt;&gt;".",d_Irr!AQ23=".",d_Irr!BP23&lt;&gt;"."),d_dir!S23/((1/1000)*(d_Irr!R23+d_Irr!BP23)),IF(AND(d_Irr!R23=".",d_Irr!AQ23&lt;&gt;".",d_Irr!BP23&lt;&gt;"."),d_dir!S23/((1/1000)*(d_Irr!AQ23+d_Irr!BP23)),IF(AND(d_Irr!R23=".",d_Irr!AQ23=".",d_Irr!BP23&lt;&gt;"."),d_dir!S23/((1/1000)*(d_Irr!BP23)),IF(AND(d_Irr!R23=".",d_Irr!AQ23&lt;&gt;".",d_Irr!BP23="."),d_dir!S23/((1/1000)*(d_Irr!AQ23)),IF(AND(d_Irr!R23&lt;&gt;".",d_Irr!AQ23=".",d_Irr!BP23="."),d_dir!S23/((1/1000)*(d_Irr!R23)),IF(AND(d_Irr!R23=".",d_Irr!AQ23=".",d_Irr!BP23="."),d_dir!S23*1000)))))))),".")</f>
        <v>0.95097867746214981</v>
      </c>
      <c r="T23" s="76">
        <f>IFERROR(IF(AND(d_Irr!S23&lt;&gt;".",d_Irr!AR23&lt;&gt;".",d_Irr!BQ23&lt;&gt;"."),d_dir!T23/((1/1000)*(d_Irr!S23+d_Irr!AR23+d_Irr!BQ23)),IF(AND(d_Irr!S23&lt;&gt;".",d_Irr!AR23&lt;&gt;".",d_Irr!BQ23="."),d_dir!T23/((1/1000)*(d_Irr!S23+d_Irr!AR23)),IF(AND(d_Irr!S23&lt;&gt;".",d_Irr!AR23=".",d_Irr!BQ23&lt;&gt;"."),d_dir!T23/((1/1000)*(d_Irr!S23+d_Irr!BQ23)),IF(AND(d_Irr!S23=".",d_Irr!AR23&lt;&gt;".",d_Irr!BQ23&lt;&gt;"."),d_dir!T23/((1/1000)*(d_Irr!AR23+d_Irr!BQ23)),IF(AND(d_Irr!S23=".",d_Irr!AR23=".",d_Irr!BQ23&lt;&gt;"."),d_dir!T23/((1/1000)*(d_Irr!BQ23)),IF(AND(d_Irr!S23=".",d_Irr!AR23&lt;&gt;".",d_Irr!BQ23="."),d_dir!T23/((1/1000)*(d_Irr!AR23)),IF(AND(d_Irr!S23&lt;&gt;".",d_Irr!AR23=".",d_Irr!BQ23="."),d_dir!T23/((1/1000)*(d_Irr!S23)),IF(AND(d_Irr!S23=".",d_Irr!AR23=".",d_Irr!BQ23="."),d_dir!T23*1000)))))))),".")</f>
        <v>1.6023197426531088</v>
      </c>
      <c r="U23" s="76">
        <f>IFERROR(IF(AND(d_Irr!T23&lt;&gt;".",d_Irr!AS23&lt;&gt;".",d_Irr!BR23&lt;&gt;"."),d_dir!U23/((1/1000)*(d_Irr!T23+d_Irr!AS23+d_Irr!BR23)),IF(AND(d_Irr!T23&lt;&gt;".",d_Irr!AS23&lt;&gt;".",d_Irr!BR23="."),d_dir!U23/((1/1000)*(d_Irr!T23+d_Irr!AS23)),IF(AND(d_Irr!T23&lt;&gt;".",d_Irr!AS23=".",d_Irr!BR23&lt;&gt;"."),d_dir!U23/((1/1000)*(d_Irr!T23+d_Irr!BR23)),IF(AND(d_Irr!T23=".",d_Irr!AS23&lt;&gt;".",d_Irr!BR23&lt;&gt;"."),d_dir!U23/((1/1000)*(d_Irr!AS23+d_Irr!BR23)),IF(AND(d_Irr!T23=".",d_Irr!AS23=".",d_Irr!BR23&lt;&gt;"."),d_dir!U23/((1/1000)*(d_Irr!BR23)),IF(AND(d_Irr!T23=".",d_Irr!AS23&lt;&gt;".",d_Irr!BR23="."),d_dir!U23/((1/1000)*(d_Irr!AS23)),IF(AND(d_Irr!T23&lt;&gt;".",d_Irr!AS23=".",d_Irr!BR23="."),d_dir!U23/((1/1000)*(d_Irr!T23)),IF(AND(d_Irr!T23=".",d_Irr!AS23=".",d_Irr!BR23="."),d_dir!U23*1000)))))))),".")</f>
        <v>3.1522553999892406</v>
      </c>
      <c r="V23" s="76">
        <f>IFERROR(IF(AND(d_Irr!U23&lt;&gt;".",d_Irr!AT23&lt;&gt;".",d_Irr!BS23&lt;&gt;"."),d_dir!V23/((1/1000)*(d_Irr!U23+d_Irr!AT23+d_Irr!BS23)),IF(AND(d_Irr!U23&lt;&gt;".",d_Irr!AT23&lt;&gt;".",d_Irr!BS23="."),d_dir!V23/((1/1000)*(d_Irr!U23+d_Irr!AT23)),IF(AND(d_Irr!U23&lt;&gt;".",d_Irr!AT23=".",d_Irr!BS23&lt;&gt;"."),d_dir!V23/((1/1000)*(d_Irr!U23+d_Irr!BS23)),IF(AND(d_Irr!U23=".",d_Irr!AT23&lt;&gt;".",d_Irr!BS23&lt;&gt;"."),d_dir!V23/((1/1000)*(d_Irr!AT23+d_Irr!BS23)),IF(AND(d_Irr!U23=".",d_Irr!AT23=".",d_Irr!BS23&lt;&gt;"."),d_dir!V23/((1/1000)*(d_Irr!BS23)),IF(AND(d_Irr!U23=".",d_Irr!AT23&lt;&gt;".",d_Irr!BS23="."),d_dir!V23/((1/1000)*(d_Irr!AT23)),IF(AND(d_Irr!U23&lt;&gt;".",d_Irr!AT23=".",d_Irr!BS23="."),d_dir!V23/((1/1000)*(d_Irr!U23)),IF(AND(d_Irr!U23=".",d_Irr!AT23=".",d_Irr!BS23="."),d_dir!V23*1000)))))))),".")</f>
        <v>0.48384822941465716</v>
      </c>
      <c r="W23" s="76">
        <f>IFERROR(IF(AND(d_Irr!V23&lt;&gt;".",d_Irr!AU23&lt;&gt;".",d_Irr!BT23&lt;&gt;"."),d_dir!W23/((1/1000)*(d_Irr!V23+d_Irr!AU23+d_Irr!BT23)),IF(AND(d_Irr!V23&lt;&gt;".",d_Irr!AU23&lt;&gt;".",d_Irr!BT23="."),d_dir!W23/((1/1000)*(d_Irr!V23+d_Irr!AU23)),IF(AND(d_Irr!V23&lt;&gt;".",d_Irr!AU23=".",d_Irr!BT23&lt;&gt;"."),d_dir!W23/((1/1000)*(d_Irr!V23+d_Irr!BT23)),IF(AND(d_Irr!V23=".",d_Irr!AU23&lt;&gt;".",d_Irr!BT23&lt;&gt;"."),d_dir!W23/((1/1000)*(d_Irr!AU23+d_Irr!BT23)),IF(AND(d_Irr!V23=".",d_Irr!AU23=".",d_Irr!BT23&lt;&gt;"."),d_dir!W23/((1/1000)*(d_Irr!BT23)),IF(AND(d_Irr!V23=".",d_Irr!AU23&lt;&gt;".",d_Irr!BT23="."),d_dir!W23/((1/1000)*(d_Irr!AU23)),IF(AND(d_Irr!V23&lt;&gt;".",d_Irr!AU23=".",d_Irr!BT23="."),d_dir!W23/((1/1000)*(d_Irr!V23)),IF(AND(d_Irr!V23=".",d_Irr!AU23=".",d_Irr!BT23="."),d_dir!W23*1000)))))))),".")</f>
        <v>0.93507177659547747</v>
      </c>
      <c r="X23" s="76">
        <f>IFERROR(IF(AND(d_Irr!W23&lt;&gt;".",d_Irr!AV23&lt;&gt;".",d_Irr!BU23&lt;&gt;"."),d_dir!X23/((1/1000)*(d_Irr!W23+d_Irr!AV23+d_Irr!BU23)),IF(AND(d_Irr!W23&lt;&gt;".",d_Irr!AV23&lt;&gt;".",d_Irr!BU23="."),d_dir!X23/((1/1000)*(d_Irr!W23+d_Irr!AV23)),IF(AND(d_Irr!W23&lt;&gt;".",d_Irr!AV23=".",d_Irr!BU23&lt;&gt;"."),d_dir!X23/((1/1000)*(d_Irr!W23+d_Irr!BU23)),IF(AND(d_Irr!W23=".",d_Irr!AV23&lt;&gt;".",d_Irr!BU23&lt;&gt;"."),d_dir!X23/((1/1000)*(d_Irr!AV23+d_Irr!BU23)),IF(AND(d_Irr!W23=".",d_Irr!AV23=".",d_Irr!BU23&lt;&gt;"."),d_dir!X23/((1/1000)*(d_Irr!BU23)),IF(AND(d_Irr!W23=".",d_Irr!AV23&lt;&gt;".",d_Irr!BU23="."),d_dir!X23/((1/1000)*(d_Irr!AV23)),IF(AND(d_Irr!W23&lt;&gt;".",d_Irr!AV23=".",d_Irr!BU23="."),d_dir!X23/((1/1000)*(d_Irr!W23)),IF(AND(d_Irr!W23=".",d_Irr!AV23=".",d_Irr!BU23="."),d_dir!X23*1000)))))))),".")</f>
        <v>1.0318636756158397</v>
      </c>
      <c r="Y23" s="76">
        <f>IFERROR(IF(AND(d_Irr!X23&lt;&gt;".",d_Irr!AW23&lt;&gt;".",d_Irr!BV23&lt;&gt;"."),d_dir!Y23/((1/1000)*(d_Irr!X23+d_Irr!AW23+d_Irr!BV23)),IF(AND(d_Irr!X23&lt;&gt;".",d_Irr!AW23&lt;&gt;".",d_Irr!BV23="."),d_dir!Y23/((1/1000)*(d_Irr!X23+d_Irr!AW23)),IF(AND(d_Irr!X23&lt;&gt;".",d_Irr!AW23=".",d_Irr!BV23&lt;&gt;"."),d_dir!Y23/((1/1000)*(d_Irr!X23+d_Irr!BV23)),IF(AND(d_Irr!X23=".",d_Irr!AW23&lt;&gt;".",d_Irr!BV23&lt;&gt;"."),d_dir!Y23/((1/1000)*(d_Irr!AW23+d_Irr!BV23)),IF(AND(d_Irr!X23=".",d_Irr!AW23=".",d_Irr!BV23&lt;&gt;"."),d_dir!Y23/((1/1000)*(d_Irr!BV23)),IF(AND(d_Irr!X23=".",d_Irr!AW23&lt;&gt;".",d_Irr!BV23="."),d_dir!Y23/((1/1000)*(d_Irr!AW23)),IF(AND(d_Irr!X23&lt;&gt;".",d_Irr!AW23=".",d_Irr!BV23="."),d_dir!Y23/((1/1000)*(d_Irr!X23)),IF(AND(d_Irr!X23=".",d_Irr!AW23=".",d_Irr!BV23="."),d_dir!Y23*1000)))))))),".")</f>
        <v>1.4205713025683646</v>
      </c>
      <c r="Z23" s="76">
        <f>IFERROR(IF(AND(d_Irr!Y23&lt;&gt;".",d_Irr!AX23&lt;&gt;".",d_Irr!BW23&lt;&gt;"."),d_dir!Z23/((1/1000)*(d_Irr!Y23+d_Irr!AX23+d_Irr!BW23)),IF(AND(d_Irr!Y23&lt;&gt;".",d_Irr!AX23&lt;&gt;".",d_Irr!BW23="."),d_dir!Z23/((1/1000)*(d_Irr!Y23+d_Irr!AX23)),IF(AND(d_Irr!Y23&lt;&gt;".",d_Irr!AX23=".",d_Irr!BW23&lt;&gt;"."),d_dir!Z23/((1/1000)*(d_Irr!Y23+d_Irr!BW23)),IF(AND(d_Irr!Y23=".",d_Irr!AX23&lt;&gt;".",d_Irr!BW23&lt;&gt;"."),d_dir!Z23/((1/1000)*(d_Irr!AX23+d_Irr!BW23)),IF(AND(d_Irr!Y23=".",d_Irr!AX23=".",d_Irr!BW23&lt;&gt;"."),d_dir!Z23/((1/1000)*(d_Irr!BW23)),IF(AND(d_Irr!Y23=".",d_Irr!AX23&lt;&gt;".",d_Irr!BW23="."),d_dir!Z23/((1/1000)*(d_Irr!AX23)),IF(AND(d_Irr!Y23&lt;&gt;".",d_Irr!AX23=".",d_Irr!BW23="."),d_dir!Z23/((1/1000)*(d_Irr!Y23)),IF(AND(d_Irr!Y23=".",d_Irr!AX23=".",d_Irr!BW23="."),d_dir!Z23*1000)))))))),".")</f>
        <v>0.70844116209122932</v>
      </c>
      <c r="AA23" s="76">
        <f>IFERROR(IF(AND(d_Irr!Z23&lt;&gt;".",d_Irr!AY23&lt;&gt;".",d_Irr!BX23&lt;&gt;"."),d_dir!AA23/((1/1000)*(d_Irr!Z23+d_Irr!AY23+d_Irr!BX23)),IF(AND(d_Irr!Z23&lt;&gt;".",d_Irr!AY23&lt;&gt;".",d_Irr!BX23="."),d_dir!AA23/((1/1000)*(d_Irr!Z23+d_Irr!AY23)),IF(AND(d_Irr!Z23&lt;&gt;".",d_Irr!AY23=".",d_Irr!BX23&lt;&gt;"."),d_dir!AA23/((1/1000)*(d_Irr!Z23+d_Irr!BX23)),IF(AND(d_Irr!Z23=".",d_Irr!AY23&lt;&gt;".",d_Irr!BX23&lt;&gt;"."),d_dir!AA23/((1/1000)*(d_Irr!AY23+d_Irr!BX23)),IF(AND(d_Irr!Z23=".",d_Irr!AY23=".",d_Irr!BX23&lt;&gt;"."),d_dir!AA23/((1/1000)*(d_Irr!BX23)),IF(AND(d_Irr!Z23=".",d_Irr!AY23&lt;&gt;".",d_Irr!BX23="."),d_dir!AA23/((1/1000)*(d_Irr!AY23)),IF(AND(d_Irr!Z23&lt;&gt;".",d_Irr!AY23=".",d_Irr!BX23="."),d_dir!AA23/((1/1000)*(d_Irr!Z23)),IF(AND(d_Irr!Z23=".",d_Irr!AY23=".",d_Irr!BX23="."),d_dir!AA23*1000)))))))),".")</f>
        <v>0.23383807716924648</v>
      </c>
      <c r="AB23" s="76">
        <f>IFERROR(IF(AND(d_Irr!AA23&lt;&gt;".",d_Irr!AZ23&lt;&gt;".",d_Irr!BY23&lt;&gt;"."),d_dir!AB23/((1/1000)*(d_Irr!AA23+d_Irr!AZ23+d_Irr!BY23)),IF(AND(d_Irr!AA23&lt;&gt;".",d_Irr!AZ23&lt;&gt;".",d_Irr!BY23="."),d_dir!AB23/((1/1000)*(d_Irr!AA23+d_Irr!AZ23)),IF(AND(d_Irr!AA23&lt;&gt;".",d_Irr!AZ23=".",d_Irr!BY23&lt;&gt;"."),d_dir!AB23/((1/1000)*(d_Irr!AA23+d_Irr!BY23)),IF(AND(d_Irr!AA23=".",d_Irr!AZ23&lt;&gt;".",d_Irr!BY23&lt;&gt;"."),d_dir!AB23/((1/1000)*(d_Irr!AZ23+d_Irr!BY23)),IF(AND(d_Irr!AA23=".",d_Irr!AZ23=".",d_Irr!BY23&lt;&gt;"."),d_dir!AB23/((1/1000)*(d_Irr!BY23)),IF(AND(d_Irr!AA23=".",d_Irr!AZ23&lt;&gt;".",d_Irr!BY23="."),d_dir!AB23/((1/1000)*(d_Irr!AZ23)),IF(AND(d_Irr!AA23&lt;&gt;".",d_Irr!AZ23=".",d_Irr!BY23="."),d_dir!AB23/((1/1000)*(d_Irr!AA23)),IF(AND(d_Irr!AA23=".",d_Irr!AZ23=".",d_Irr!BY23="."),d_dir!AB23*1000)))))))),".")</f>
        <v>0.25644498832130874</v>
      </c>
      <c r="AC23" s="76">
        <f t="shared" si="0"/>
        <v>2.193641751404533E-2</v>
      </c>
      <c r="AD23" s="76">
        <f>IFERROR(IF(AND(d_Irr!C23&lt;&gt;".",d_Irr!AB23&lt;&gt;".",d_Irr!BA23&lt;&gt;"."),d_dir!AD23/((1/1000)*(d_Irr!C23+d_Irr!AB23+d_Irr!BA23)),IF(AND(d_Irr!C23&lt;&gt;".",d_Irr!AB23&lt;&gt;".",d_Irr!BA23="."),d_dir!AD23/((1/1000)*(d_Irr!C23+d_Irr!AB23)),IF(AND(d_Irr!C23&lt;&gt;".",d_Irr!AB23=".",d_Irr!BA23&lt;&gt;"."),d_dir!AD23/((1/1000)*(d_Irr!C23+d_Irr!BA23)),IF(AND(d_Irr!C23=".",d_Irr!AB23&lt;&gt;".",d_Irr!BA23&lt;&gt;"."),d_dir!AD23/((1/1000)*(d_Irr!AB23+d_Irr!BA23)),IF(AND(d_Irr!C23=".",d_Irr!AB23=".",d_Irr!BA23&lt;&gt;"."),d_dir!AD23/((1/1000)*(d_Irr!BA23)),IF(AND(d_Irr!C23=".",d_Irr!AB23&lt;&gt;".",d_Irr!BA23="."),d_dir!AD23/((1/1000)*(d_Irr!AB23)),IF(AND(d_Irr!C23&lt;&gt;".",d_Irr!AB23=".",d_Irr!BA23="."),d_dir!AD23/((1/1000)*(d_Irr!C23)),IF(AND(d_Irr!C23=".",d_Irr!AB23=".",d_Irr!BA23="."),d_dir!AD23*1000)))))))),".")</f>
        <v>0.4104004566523049</v>
      </c>
      <c r="AE23" s="76">
        <f>IFERROR(IF(AND(d_Irr!D23&lt;&gt;".",d_Irr!AC23&lt;&gt;".",d_Irr!BB23&lt;&gt;"."),d_dir!AE23/((1/1000)*(d_Irr!D23+d_Irr!AC23+d_Irr!BB23)),IF(AND(d_Irr!D23&lt;&gt;".",d_Irr!AC23&lt;&gt;".",d_Irr!BB23="."),d_dir!AE23/((1/1000)*(d_Irr!D23+d_Irr!AC23)),IF(AND(d_Irr!D23&lt;&gt;".",d_Irr!AC23=".",d_Irr!BB23&lt;&gt;"."),d_dir!AE23/((1/1000)*(d_Irr!D23+d_Irr!BB23)),IF(AND(d_Irr!D23=".",d_Irr!AC23&lt;&gt;".",d_Irr!BB23&lt;&gt;"."),d_dir!AE23/((1/1000)*(d_Irr!AC23+d_Irr!BB23)),IF(AND(d_Irr!D23=".",d_Irr!AC23=".",d_Irr!BB23&lt;&gt;"."),d_dir!AE23/((1/1000)*(d_Irr!BB23)),IF(AND(d_Irr!D23=".",d_Irr!AC23&lt;&gt;".",d_Irr!BB23="."),d_dir!AE23/((1/1000)*(d_Irr!AC23)),IF(AND(d_Irr!D23&lt;&gt;".",d_Irr!AC23=".",d_Irr!BB23="."),d_dir!AE23/((1/1000)*(d_Irr!D23)),IF(AND(d_Irr!D23=".",d_Irr!AC23=".",d_Irr!BB23="."),d_dir!AE23*1000)))))))),".")</f>
        <v>0.56129389326126911</v>
      </c>
      <c r="AF23" s="76">
        <f>IFERROR(IF(AND(d_Irr!E23&lt;&gt;".",d_Irr!AD23&lt;&gt;".",d_Irr!BC23&lt;&gt;"."),d_dir!AF23/((1/1000)*(d_Irr!E23+d_Irr!AD23+d_Irr!BC23)),IF(AND(d_Irr!E23&lt;&gt;".",d_Irr!AD23&lt;&gt;".",d_Irr!BC23="."),d_dir!AF23/((1/1000)*(d_Irr!E23+d_Irr!AD23)),IF(AND(d_Irr!E23&lt;&gt;".",d_Irr!AD23=".",d_Irr!BC23&lt;&gt;"."),d_dir!AF23/((1/1000)*(d_Irr!E23+d_Irr!BC23)),IF(AND(d_Irr!E23=".",d_Irr!AD23&lt;&gt;".",d_Irr!BC23&lt;&gt;"."),d_dir!AF23/((1/1000)*(d_Irr!AD23+d_Irr!BC23)),IF(AND(d_Irr!E23=".",d_Irr!AD23=".",d_Irr!BC23&lt;&gt;"."),d_dir!AF23/((1/1000)*(d_Irr!BC23)),IF(AND(d_Irr!E23=".",d_Irr!AD23&lt;&gt;".",d_Irr!BC23="."),d_dir!AF23/((1/1000)*(d_Irr!AD23)),IF(AND(d_Irr!E23&lt;&gt;".",d_Irr!AD23=".",d_Irr!BC23="."),d_dir!AF23/((1/1000)*(d_Irr!E23)),IF(AND(d_Irr!E23=".",d_Irr!AD23=".",d_Irr!BC23="."),d_dir!AF23*1000)))))))),".")</f>
        <v>0.74931629513645337</v>
      </c>
      <c r="AG23" s="76">
        <f>IFERROR(IF(AND(d_Irr!F23&lt;&gt;".",d_Irr!AE23&lt;&gt;".",d_Irr!BD23&lt;&gt;"."),d_dir!AG23/((1/1000)*(d_Irr!F23+d_Irr!AE23+d_Irr!BD23)),IF(AND(d_Irr!F23&lt;&gt;".",d_Irr!AE23&lt;&gt;".",d_Irr!BD23="."),d_dir!AG23/((1/1000)*(d_Irr!F23+d_Irr!AE23)),IF(AND(d_Irr!F23&lt;&gt;".",d_Irr!AE23=".",d_Irr!BD23&lt;&gt;"."),d_dir!AG23/((1/1000)*(d_Irr!F23+d_Irr!BD23)),IF(AND(d_Irr!F23=".",d_Irr!AE23&lt;&gt;".",d_Irr!BD23&lt;&gt;"."),d_dir!AG23/((1/1000)*(d_Irr!AE23+d_Irr!BD23)),IF(AND(d_Irr!F23=".",d_Irr!AE23=".",d_Irr!BD23&lt;&gt;"."),d_dir!AG23/((1/1000)*(d_Irr!BD23)),IF(AND(d_Irr!F23=".",d_Irr!AE23&lt;&gt;".",d_Irr!BD23="."),d_dir!AG23/((1/1000)*(d_Irr!AE23)),IF(AND(d_Irr!F23&lt;&gt;".",d_Irr!AE23=".",d_Irr!BD23="."),d_dir!AG23/((1/1000)*(d_Irr!F23)),IF(AND(d_Irr!F23=".",d_Irr!AE23=".",d_Irr!BD23="."),d_dir!AG23*1000)))))))),".")</f>
        <v>1.033407634714731</v>
      </c>
      <c r="AH23" s="76">
        <f>IFERROR(IF(AND(d_Irr!G23&lt;&gt;".",d_Irr!AF23&lt;&gt;".",d_Irr!BE23&lt;&gt;"."),d_dir!AH23/((1/1000)*(d_Irr!G23+d_Irr!AF23+d_Irr!BE23)),IF(AND(d_Irr!G23&lt;&gt;".",d_Irr!AF23&lt;&gt;".",d_Irr!BE23="."),d_dir!AH23/((1/1000)*(d_Irr!G23+d_Irr!AF23)),IF(AND(d_Irr!G23&lt;&gt;".",d_Irr!AF23=".",d_Irr!BE23&lt;&gt;"."),d_dir!AH23/((1/1000)*(d_Irr!G23+d_Irr!BE23)),IF(AND(d_Irr!G23=".",d_Irr!AF23&lt;&gt;".",d_Irr!BE23&lt;&gt;"."),d_dir!AH23/((1/1000)*(d_Irr!AF23+d_Irr!BE23)),IF(AND(d_Irr!G23=".",d_Irr!AF23=".",d_Irr!BE23&lt;&gt;"."),d_dir!AH23/((1/1000)*(d_Irr!BE23)),IF(AND(d_Irr!G23=".",d_Irr!AF23&lt;&gt;".",d_Irr!BE23="."),d_dir!AH23/((1/1000)*(d_Irr!AF23)),IF(AND(d_Irr!G23&lt;&gt;".",d_Irr!AF23=".",d_Irr!BE23="."),d_dir!AH23/((1/1000)*(d_Irr!G23)),IF(AND(d_Irr!G23=".",d_Irr!AF23=".",d_Irr!BE23="."),d_dir!AH23*1000)))))))),".")</f>
        <v>1.0383828001618021</v>
      </c>
      <c r="AI23" s="76">
        <f>IFERROR(IF(AND(d_Irr!H23&lt;&gt;".",d_Irr!AG23&lt;&gt;".",d_Irr!BF23&lt;&gt;"."),d_dir!AI23/((1/1000)*(d_Irr!H23+d_Irr!AG23+d_Irr!BF23)),IF(AND(d_Irr!H23&lt;&gt;".",d_Irr!AG23&lt;&gt;".",d_Irr!BF23="."),d_dir!AI23/((1/1000)*(d_Irr!H23+d_Irr!AG23)),IF(AND(d_Irr!H23&lt;&gt;".",d_Irr!AG23=".",d_Irr!BF23&lt;&gt;"."),d_dir!AI23/((1/1000)*(d_Irr!H23+d_Irr!BF23)),IF(AND(d_Irr!H23=".",d_Irr!AG23&lt;&gt;".",d_Irr!BF23&lt;&gt;"."),d_dir!AI23/((1/1000)*(d_Irr!AG23+d_Irr!BF23)),IF(AND(d_Irr!H23=".",d_Irr!AG23=".",d_Irr!BF23&lt;&gt;"."),d_dir!AI23/((1/1000)*(d_Irr!BF23)),IF(AND(d_Irr!H23=".",d_Irr!AG23&lt;&gt;".",d_Irr!BF23="."),d_dir!AI23/((1/1000)*(d_Irr!AG23)),IF(AND(d_Irr!H23&lt;&gt;".",d_Irr!AG23=".",d_Irr!BF23="."),d_dir!AI23/((1/1000)*(d_Irr!H23)),IF(AND(d_Irr!H23=".",d_Irr!AG23=".",d_Irr!BF23="."),d_dir!AI23*1000)))))))),".")</f>
        <v>0.29080389551276919</v>
      </c>
      <c r="AJ23" s="76">
        <f>IFERROR(IF(AND(d_Irr!I23&lt;&gt;".",d_Irr!AH23&lt;&gt;".",d_Irr!BG23&lt;&gt;"."),d_dir!AJ23/((1/1000)*(d_Irr!I23+d_Irr!AH23+d_Irr!BG23)),IF(AND(d_Irr!I23&lt;&gt;".",d_Irr!AH23&lt;&gt;".",d_Irr!BG23="."),d_dir!AJ23/((1/1000)*(d_Irr!I23+d_Irr!AH23)),IF(AND(d_Irr!I23&lt;&gt;".",d_Irr!AH23=".",d_Irr!BG23&lt;&gt;"."),d_dir!AJ23/((1/1000)*(d_Irr!I23+d_Irr!BG23)),IF(AND(d_Irr!I23=".",d_Irr!AH23&lt;&gt;".",d_Irr!BG23&lt;&gt;"."),d_dir!AJ23/((1/1000)*(d_Irr!AH23+d_Irr!BG23)),IF(AND(d_Irr!I23=".",d_Irr!AH23=".",d_Irr!BG23&lt;&gt;"."),d_dir!AJ23/((1/1000)*(d_Irr!BG23)),IF(AND(d_Irr!I23=".",d_Irr!AH23&lt;&gt;".",d_Irr!BG23="."),d_dir!AJ23/((1/1000)*(d_Irr!AH23)),IF(AND(d_Irr!I23&lt;&gt;".",d_Irr!AH23=".",d_Irr!BG23="."),d_dir!AJ23/((1/1000)*(d_Irr!I23)),IF(AND(d_Irr!I23=".",d_Irr!AH23=".",d_Irr!BG23="."),d_dir!AJ23*1000)))))))),".")</f>
        <v>0.99492520766493575</v>
      </c>
      <c r="AK23" s="76">
        <f>IFERROR(IF(AND(d_Irr!J23&lt;&gt;".",d_Irr!AI23&lt;&gt;".",d_Irr!BH23&lt;&gt;"."),d_dir!AK23/((1/1000)*(d_Irr!J23+d_Irr!AI23+d_Irr!BH23)),IF(AND(d_Irr!J23&lt;&gt;".",d_Irr!AI23&lt;&gt;".",d_Irr!BH23="."),d_dir!AK23/((1/1000)*(d_Irr!J23+d_Irr!AI23)),IF(AND(d_Irr!J23&lt;&gt;".",d_Irr!AI23=".",d_Irr!BH23&lt;&gt;"."),d_dir!AK23/((1/1000)*(d_Irr!J23+d_Irr!BH23)),IF(AND(d_Irr!J23=".",d_Irr!AI23&lt;&gt;".",d_Irr!BH23&lt;&gt;"."),d_dir!AK23/((1/1000)*(d_Irr!AI23+d_Irr!BH23)),IF(AND(d_Irr!J23=".",d_Irr!AI23=".",d_Irr!BH23&lt;&gt;"."),d_dir!AK23/((1/1000)*(d_Irr!BH23)),IF(AND(d_Irr!J23=".",d_Irr!AI23&lt;&gt;".",d_Irr!BH23="."),d_dir!AK23/((1/1000)*(d_Irr!AI23)),IF(AND(d_Irr!J23&lt;&gt;".",d_Irr!AI23=".",d_Irr!BH23="."),d_dir!AK23/((1/1000)*(d_Irr!J23)),IF(AND(d_Irr!J23=".",d_Irr!AI23=".",d_Irr!BH23="."),d_dir!AK23*1000)))))))),".")</f>
        <v>0.11897953460622439</v>
      </c>
      <c r="AL23" s="76">
        <f>IFERROR(IF(AND(d_Irr!K23&lt;&gt;".",d_Irr!AJ23&lt;&gt;".",d_Irr!BI23&lt;&gt;"."),d_dir!AL23/((1/1000)*(d_Irr!K23+d_Irr!AJ23+d_Irr!BI23)),IF(AND(d_Irr!K23&lt;&gt;".",d_Irr!AJ23&lt;&gt;".",d_Irr!BI23="."),d_dir!AL23/((1/1000)*(d_Irr!K23+d_Irr!AJ23)),IF(AND(d_Irr!K23&lt;&gt;".",d_Irr!AJ23=".",d_Irr!BI23&lt;&gt;"."),d_dir!AL23/((1/1000)*(d_Irr!K23+d_Irr!BI23)),IF(AND(d_Irr!K23=".",d_Irr!AJ23&lt;&gt;".",d_Irr!BI23&lt;&gt;"."),d_dir!AL23/((1/1000)*(d_Irr!AJ23+d_Irr!BI23)),IF(AND(d_Irr!K23=".",d_Irr!AJ23=".",d_Irr!BI23&lt;&gt;"."),d_dir!AL23/((1/1000)*(d_Irr!BI23)),IF(AND(d_Irr!K23=".",d_Irr!AJ23&lt;&gt;".",d_Irr!BI23="."),d_dir!AL23/((1/1000)*(d_Irr!AJ23)),IF(AND(d_Irr!K23&lt;&gt;".",d_Irr!AJ23=".",d_Irr!BI23="."),d_dir!AL23/((1/1000)*(d_Irr!K23)),IF(AND(d_Irr!K23=".",d_Irr!AJ23=".",d_Irr!BI23="."),d_dir!AL23*1000)))))))),".")</f>
        <v>0.49917120084116628</v>
      </c>
      <c r="AM23" s="76">
        <f>IFERROR(IF(AND(d_Irr!L23&lt;&gt;".",d_Irr!AK23&lt;&gt;".",d_Irr!BJ23&lt;&gt;"."),d_dir!AM23/((1/1000)*(d_Irr!L23+d_Irr!AK23+d_Irr!BJ23)),IF(AND(d_Irr!L23&lt;&gt;".",d_Irr!AK23&lt;&gt;".",d_Irr!BJ23="."),d_dir!AM23/((1/1000)*(d_Irr!L23+d_Irr!AK23)),IF(AND(d_Irr!L23&lt;&gt;".",d_Irr!AK23=".",d_Irr!BJ23&lt;&gt;"."),d_dir!AM23/((1/1000)*(d_Irr!L23+d_Irr!BJ23)),IF(AND(d_Irr!L23=".",d_Irr!AK23&lt;&gt;".",d_Irr!BJ23&lt;&gt;"."),d_dir!AM23/((1/1000)*(d_Irr!AK23+d_Irr!BJ23)),IF(AND(d_Irr!L23=".",d_Irr!AK23=".",d_Irr!BJ23&lt;&gt;"."),d_dir!AM23/((1/1000)*(d_Irr!BJ23)),IF(AND(d_Irr!L23=".",d_Irr!AK23&lt;&gt;".",d_Irr!BJ23="."),d_dir!AM23/((1/1000)*(d_Irr!AK23)),IF(AND(d_Irr!L23&lt;&gt;".",d_Irr!AK23=".",d_Irr!BJ23="."),d_dir!AM23/((1/1000)*(d_Irr!L23)),IF(AND(d_Irr!L23=".",d_Irr!AK23=".",d_Irr!BJ23="."),d_dir!AM23*1000)))))))),".")</f>
        <v>0.66518021359192991</v>
      </c>
      <c r="AN23" s="76">
        <f>IFERROR(IF(AND(d_Irr!M23&lt;&gt;".",d_Irr!AL23&lt;&gt;".",d_Irr!BK23&lt;&gt;"."),d_dir!AN23/((1/1000)*(d_Irr!M23+d_Irr!AL23+d_Irr!BK23)),IF(AND(d_Irr!M23&lt;&gt;".",d_Irr!AL23&lt;&gt;".",d_Irr!BK23="."),d_dir!AN23/((1/1000)*(d_Irr!M23+d_Irr!AL23)),IF(AND(d_Irr!M23&lt;&gt;".",d_Irr!AL23=".",d_Irr!BK23&lt;&gt;"."),d_dir!AN23/((1/1000)*(d_Irr!M23+d_Irr!BK23)),IF(AND(d_Irr!M23=".",d_Irr!AL23&lt;&gt;".",d_Irr!BK23&lt;&gt;"."),d_dir!AN23/((1/1000)*(d_Irr!AL23+d_Irr!BK23)),IF(AND(d_Irr!M23=".",d_Irr!AL23=".",d_Irr!BK23&lt;&gt;"."),d_dir!AN23/((1/1000)*(d_Irr!BK23)),IF(AND(d_Irr!M23=".",d_Irr!AL23&lt;&gt;".",d_Irr!BK23="."),d_dir!AN23/((1/1000)*(d_Irr!AL23)),IF(AND(d_Irr!M23&lt;&gt;".",d_Irr!AL23=".",d_Irr!BK23="."),d_dir!AN23/((1/1000)*(d_Irr!M23)),IF(AND(d_Irr!M23=".",d_Irr!AL23=".",d_Irr!BK23="."),d_dir!AN23*1000)))))))),".")</f>
        <v>0.59373647021421072</v>
      </c>
      <c r="AO23" s="76">
        <f>IFERROR(IF(AND(d_Irr!N23&lt;&gt;".",d_Irr!AM23&lt;&gt;".",d_Irr!BL23&lt;&gt;"."),d_dir!AO23/((1/1000)*(d_Irr!N23+d_Irr!AM23+d_Irr!BL23)),IF(AND(d_Irr!N23&lt;&gt;".",d_Irr!AM23&lt;&gt;".",d_Irr!BL23="."),d_dir!AO23/((1/1000)*(d_Irr!N23+d_Irr!AM23)),IF(AND(d_Irr!N23&lt;&gt;".",d_Irr!AM23=".",d_Irr!BL23&lt;&gt;"."),d_dir!AO23/((1/1000)*(d_Irr!N23+d_Irr!BL23)),IF(AND(d_Irr!N23=".",d_Irr!AM23&lt;&gt;".",d_Irr!BL23&lt;&gt;"."),d_dir!AO23/((1/1000)*(d_Irr!AM23+d_Irr!BL23)),IF(AND(d_Irr!N23=".",d_Irr!AM23=".",d_Irr!BL23&lt;&gt;"."),d_dir!AO23/((1/1000)*(d_Irr!BL23)),IF(AND(d_Irr!N23=".",d_Irr!AM23&lt;&gt;".",d_Irr!BL23="."),d_dir!AO23/((1/1000)*(d_Irr!AM23)),IF(AND(d_Irr!N23&lt;&gt;".",d_Irr!AM23=".",d_Irr!BL23="."),d_dir!AO23/((1/1000)*(d_Irr!N23)),IF(AND(d_Irr!N23=".",d_Irr!AM23=".",d_Irr!BL23="."),d_dir!AO23*1000)))))))),".")</f>
        <v>1.0104764306157106</v>
      </c>
      <c r="AP23" s="76">
        <f>IFERROR(IF(AND(d_Irr!O23&lt;&gt;".",d_Irr!AN23&lt;&gt;".",d_Irr!BM23&lt;&gt;"."),d_dir!AP23/((1/1000)*(d_Irr!O23+d_Irr!AN23+d_Irr!BM23)),IF(AND(d_Irr!O23&lt;&gt;".",d_Irr!AN23&lt;&gt;".",d_Irr!BM23="."),d_dir!AP23/((1/1000)*(d_Irr!O23+d_Irr!AN23)),IF(AND(d_Irr!O23&lt;&gt;".",d_Irr!AN23=".",d_Irr!BM23&lt;&gt;"."),d_dir!AP23/((1/1000)*(d_Irr!O23+d_Irr!BM23)),IF(AND(d_Irr!O23=".",d_Irr!AN23&lt;&gt;".",d_Irr!BM23&lt;&gt;"."),d_dir!AP23/((1/1000)*(d_Irr!AN23+d_Irr!BM23)),IF(AND(d_Irr!O23=".",d_Irr!AN23=".",d_Irr!BM23&lt;&gt;"."),d_dir!AP23/((1/1000)*(d_Irr!BM23)),IF(AND(d_Irr!O23=".",d_Irr!AN23&lt;&gt;".",d_Irr!BM23="."),d_dir!AP23/((1/1000)*(d_Irr!AN23)),IF(AND(d_Irr!O23&lt;&gt;".",d_Irr!AN23=".",d_Irr!BM23="."),d_dir!AP23/((1/1000)*(d_Irr!O23)),IF(AND(d_Irr!O23=".",d_Irr!AN23=".",d_Irr!BM23="."),d_dir!AP23*1000)))))))),".")</f>
        <v>1.198385966262606</v>
      </c>
      <c r="AQ23" s="76">
        <f>IFERROR(IF(AND(d_Irr!P23&lt;&gt;".",d_Irr!AO23&lt;&gt;".",d_Irr!BN23&lt;&gt;"."),d_dir!AQ23/((1/1000)*(d_Irr!P23+d_Irr!AO23+d_Irr!BN23)),IF(AND(d_Irr!P23&lt;&gt;".",d_Irr!AO23&lt;&gt;".",d_Irr!BN23="."),d_dir!AQ23/((1/1000)*(d_Irr!P23+d_Irr!AO23)),IF(AND(d_Irr!P23&lt;&gt;".",d_Irr!AO23=".",d_Irr!BN23&lt;&gt;"."),d_dir!AQ23/((1/1000)*(d_Irr!P23+d_Irr!BN23)),IF(AND(d_Irr!P23=".",d_Irr!AO23&lt;&gt;".",d_Irr!BN23&lt;&gt;"."),d_dir!AQ23/((1/1000)*(d_Irr!AO23+d_Irr!BN23)),IF(AND(d_Irr!P23=".",d_Irr!AO23=".",d_Irr!BN23&lt;&gt;"."),d_dir!AQ23/((1/1000)*(d_Irr!BN23)),IF(AND(d_Irr!P23=".",d_Irr!AO23&lt;&gt;".",d_Irr!BN23="."),d_dir!AQ23/((1/1000)*(d_Irr!AO23)),IF(AND(d_Irr!P23&lt;&gt;".",d_Irr!AO23=".",d_Irr!BN23="."),d_dir!AQ23/((1/1000)*(d_Irr!P23)),IF(AND(d_Irr!P23=".",d_Irr!AO23=".",d_Irr!BN23="."),d_dir!AQ23*1000)))))))),".")</f>
        <v>0.92847418167005202</v>
      </c>
      <c r="AR23" s="76">
        <f>IFERROR(IF(AND(d_Irr!Q23&lt;&gt;".",d_Irr!AP23&lt;&gt;".",d_Irr!BO23&lt;&gt;"."),d_dir!AR23/((1/1000)*(d_Irr!Q23+d_Irr!AP23+d_Irr!BO23)),IF(AND(d_Irr!Q23&lt;&gt;".",d_Irr!AP23&lt;&gt;".",d_Irr!BO23="."),d_dir!AR23/((1/1000)*(d_Irr!Q23+d_Irr!AP23)),IF(AND(d_Irr!Q23&lt;&gt;".",d_Irr!AP23=".",d_Irr!BO23&lt;&gt;"."),d_dir!AR23/((1/1000)*(d_Irr!Q23+d_Irr!BO23)),IF(AND(d_Irr!Q23=".",d_Irr!AP23&lt;&gt;".",d_Irr!BO23&lt;&gt;"."),d_dir!AR23/((1/1000)*(d_Irr!AP23+d_Irr!BO23)),IF(AND(d_Irr!Q23=".",d_Irr!AP23=".",d_Irr!BO23&lt;&gt;"."),d_dir!AR23/((1/1000)*(d_Irr!BO23)),IF(AND(d_Irr!Q23=".",d_Irr!AP23&lt;&gt;".",d_Irr!BO23="."),d_dir!AR23/((1/1000)*(d_Irr!AP23)),IF(AND(d_Irr!Q23&lt;&gt;".",d_Irr!AP23=".",d_Irr!BO23="."),d_dir!AR23/((1/1000)*(d_Irr!Q23)),IF(AND(d_Irr!Q23=".",d_Irr!AP23=".",d_Irr!BO23="."),d_dir!AR23*1000)))))))),".")</f>
        <v>0.33874641802778771</v>
      </c>
      <c r="AS23" s="76">
        <f>IFERROR(IF(AND(d_Irr!R23&lt;&gt;".",d_Irr!AQ23&lt;&gt;".",d_Irr!BP23&lt;&gt;"."),d_dir!AS23/((1/1000)*(d_Irr!R23+d_Irr!AQ23+d_Irr!BP23)),IF(AND(d_Irr!R23&lt;&gt;".",d_Irr!AQ23&lt;&gt;".",d_Irr!BP23="."),d_dir!AS23/((1/1000)*(d_Irr!R23+d_Irr!AQ23)),IF(AND(d_Irr!R23&lt;&gt;".",d_Irr!AQ23=".",d_Irr!BP23&lt;&gt;"."),d_dir!AS23/((1/1000)*(d_Irr!R23+d_Irr!BP23)),IF(AND(d_Irr!R23=".",d_Irr!AQ23&lt;&gt;".",d_Irr!BP23&lt;&gt;"."),d_dir!AS23/((1/1000)*(d_Irr!AQ23+d_Irr!BP23)),IF(AND(d_Irr!R23=".",d_Irr!AQ23=".",d_Irr!BP23&lt;&gt;"."),d_dir!AS23/((1/1000)*(d_Irr!BP23)),IF(AND(d_Irr!R23=".",d_Irr!AQ23&lt;&gt;".",d_Irr!BP23="."),d_dir!AS23/((1/1000)*(d_Irr!AQ23)),IF(AND(d_Irr!R23&lt;&gt;".",d_Irr!AQ23=".",d_Irr!BP23="."),d_dir!AS23/((1/1000)*(d_Irr!R23)),IF(AND(d_Irr!R23=".",d_Irr!AQ23=".",d_Irr!BP23="."),d_dir!AS23*1000)))))))),".")</f>
        <v>0.55237665413844161</v>
      </c>
      <c r="AT23" s="76">
        <f>IFERROR(IF(AND(d_Irr!S23&lt;&gt;".",d_Irr!AR23&lt;&gt;".",d_Irr!BQ23&lt;&gt;"."),d_dir!AT23/((1/1000)*(d_Irr!S23+d_Irr!AR23+d_Irr!BQ23)),IF(AND(d_Irr!S23&lt;&gt;".",d_Irr!AR23&lt;&gt;".",d_Irr!BQ23="."),d_dir!AT23/((1/1000)*(d_Irr!S23+d_Irr!AR23)),IF(AND(d_Irr!S23&lt;&gt;".",d_Irr!AR23=".",d_Irr!BQ23&lt;&gt;"."),d_dir!AT23/((1/1000)*(d_Irr!S23+d_Irr!BQ23)),IF(AND(d_Irr!S23=".",d_Irr!AR23&lt;&gt;".",d_Irr!BQ23&lt;&gt;"."),d_dir!AT23/((1/1000)*(d_Irr!AR23+d_Irr!BQ23)),IF(AND(d_Irr!S23=".",d_Irr!AR23=".",d_Irr!BQ23&lt;&gt;"."),d_dir!AT23/((1/1000)*(d_Irr!BQ23)),IF(AND(d_Irr!S23=".",d_Irr!AR23&lt;&gt;".",d_Irr!BQ23="."),d_dir!AT23/((1/1000)*(d_Irr!AR23)),IF(AND(d_Irr!S23&lt;&gt;".",d_Irr!AR23=".",d_Irr!BQ23="."),d_dir!AT23/((1/1000)*(d_Irr!S23)),IF(AND(d_Irr!S23=".",d_Irr!AR23=".",d_Irr!BQ23="."),d_dir!AT23*1000)))))))),".")</f>
        <v>1.1187319326211043</v>
      </c>
      <c r="AU23" s="76">
        <f>IFERROR(IF(AND(d_Irr!T23&lt;&gt;".",d_Irr!AS23&lt;&gt;".",d_Irr!BR23&lt;&gt;"."),d_dir!AU23/((1/1000)*(d_Irr!T23+d_Irr!AS23+d_Irr!BR23)),IF(AND(d_Irr!T23&lt;&gt;".",d_Irr!AS23&lt;&gt;".",d_Irr!BR23="."),d_dir!AU23/((1/1000)*(d_Irr!T23+d_Irr!AS23)),IF(AND(d_Irr!T23&lt;&gt;".",d_Irr!AS23=".",d_Irr!BR23&lt;&gt;"."),d_dir!AU23/((1/1000)*(d_Irr!T23+d_Irr!BR23)),IF(AND(d_Irr!T23=".",d_Irr!AS23&lt;&gt;".",d_Irr!BR23&lt;&gt;"."),d_dir!AU23/((1/1000)*(d_Irr!AS23+d_Irr!BR23)),IF(AND(d_Irr!T23=".",d_Irr!AS23=".",d_Irr!BR23&lt;&gt;"."),d_dir!AU23/((1/1000)*(d_Irr!BR23)),IF(AND(d_Irr!T23=".",d_Irr!AS23&lt;&gt;".",d_Irr!BR23="."),d_dir!AU23/((1/1000)*(d_Irr!AS23)),IF(AND(d_Irr!T23&lt;&gt;".",d_Irr!AS23=".",d_Irr!BR23="."),d_dir!AU23/((1/1000)*(d_Irr!T23)),IF(AND(d_Irr!T23=".",d_Irr!AS23=".",d_Irr!BR23="."),d_dir!AU23*1000)))))))),".")</f>
        <v>1.5352991878127293</v>
      </c>
      <c r="AV23" s="76">
        <f>IFERROR(IF(AND(d_Irr!U23&lt;&gt;".",d_Irr!AT23&lt;&gt;".",d_Irr!BS23&lt;&gt;"."),d_dir!AV23/((1/1000)*(d_Irr!U23+d_Irr!AT23+d_Irr!BS23)),IF(AND(d_Irr!U23&lt;&gt;".",d_Irr!AT23&lt;&gt;".",d_Irr!BS23="."),d_dir!AV23/((1/1000)*(d_Irr!U23+d_Irr!AT23)),IF(AND(d_Irr!U23&lt;&gt;".",d_Irr!AT23=".",d_Irr!BS23&lt;&gt;"."),d_dir!AV23/((1/1000)*(d_Irr!U23+d_Irr!BS23)),IF(AND(d_Irr!U23=".",d_Irr!AT23&lt;&gt;".",d_Irr!BS23&lt;&gt;"."),d_dir!AV23/((1/1000)*(d_Irr!AT23+d_Irr!BS23)),IF(AND(d_Irr!U23=".",d_Irr!AT23=".",d_Irr!BS23&lt;&gt;"."),d_dir!AV23/((1/1000)*(d_Irr!BS23)),IF(AND(d_Irr!U23=".",d_Irr!AT23&lt;&gt;".",d_Irr!BS23="."),d_dir!AV23/((1/1000)*(d_Irr!AT23)),IF(AND(d_Irr!U23&lt;&gt;".",d_Irr!AT23=".",d_Irr!BS23="."),d_dir!AV23/((1/1000)*(d_Irr!U23)),IF(AND(d_Irr!U23=".",d_Irr!AT23=".",d_Irr!BS23="."),d_dir!AV23*1000)))))))),".")</f>
        <v>0.26755047158885881</v>
      </c>
      <c r="AW23" s="76">
        <f>IFERROR(IF(AND(d_Irr!V23&lt;&gt;".",d_Irr!AU23&lt;&gt;".",d_Irr!BT23&lt;&gt;"."),d_dir!AW23/((1/1000)*(d_Irr!V23+d_Irr!AU23+d_Irr!BT23)),IF(AND(d_Irr!V23&lt;&gt;".",d_Irr!AU23&lt;&gt;".",d_Irr!BT23="."),d_dir!AW23/((1/1000)*(d_Irr!V23+d_Irr!AU23)),IF(AND(d_Irr!V23&lt;&gt;".",d_Irr!AU23=".",d_Irr!BT23&lt;&gt;"."),d_dir!AW23/((1/1000)*(d_Irr!V23+d_Irr!BT23)),IF(AND(d_Irr!V23=".",d_Irr!AU23&lt;&gt;".",d_Irr!BT23&lt;&gt;"."),d_dir!AW23/((1/1000)*(d_Irr!AU23+d_Irr!BT23)),IF(AND(d_Irr!V23=".",d_Irr!AU23=".",d_Irr!BT23&lt;&gt;"."),d_dir!AW23/((1/1000)*(d_Irr!BT23)),IF(AND(d_Irr!V23=".",d_Irr!AU23&lt;&gt;".",d_Irr!BT23="."),d_dir!AW23/((1/1000)*(d_Irr!AU23)),IF(AND(d_Irr!V23&lt;&gt;".",d_Irr!AU23=".",d_Irr!BT23="."),d_dir!AW23/((1/1000)*(d_Irr!V23)),IF(AND(d_Irr!V23=".",d_Irr!AU23=".",d_Irr!BT23="."),d_dir!AW23*1000)))))))),".")</f>
        <v>0.57146456401854651</v>
      </c>
      <c r="AX23" s="76">
        <f>IFERROR(IF(AND(d_Irr!W23&lt;&gt;".",d_Irr!AV23&lt;&gt;".",d_Irr!BU23&lt;&gt;"."),d_dir!AX23/((1/1000)*(d_Irr!W23+d_Irr!AV23+d_Irr!BU23)),IF(AND(d_Irr!W23&lt;&gt;".",d_Irr!AV23&lt;&gt;".",d_Irr!BU23="."),d_dir!AX23/((1/1000)*(d_Irr!W23+d_Irr!AV23)),IF(AND(d_Irr!W23&lt;&gt;".",d_Irr!AV23=".",d_Irr!BU23&lt;&gt;"."),d_dir!AX23/((1/1000)*(d_Irr!W23+d_Irr!BU23)),IF(AND(d_Irr!W23=".",d_Irr!AV23&lt;&gt;".",d_Irr!BU23&lt;&gt;"."),d_dir!AX23/((1/1000)*(d_Irr!AV23+d_Irr!BU23)),IF(AND(d_Irr!W23=".",d_Irr!AV23=".",d_Irr!BU23&lt;&gt;"."),d_dir!AX23/((1/1000)*(d_Irr!BU23)),IF(AND(d_Irr!W23=".",d_Irr!AV23&lt;&gt;".",d_Irr!BU23="."),d_dir!AX23/((1/1000)*(d_Irr!AV23)),IF(AND(d_Irr!W23&lt;&gt;".",d_Irr!AV23=".",d_Irr!BU23="."),d_dir!AX23/((1/1000)*(d_Irr!W23)),IF(AND(d_Irr!W23=".",d_Irr!AV23=".",d_Irr!BU23="."),d_dir!AX23*1000)))))))),".")</f>
        <v>0.63475003312374734</v>
      </c>
      <c r="AY23" s="76">
        <f>IFERROR(IF(AND(d_Irr!X23&lt;&gt;".",d_Irr!AW23&lt;&gt;".",d_Irr!BV23&lt;&gt;"."),d_dir!AY23/((1/1000)*(d_Irr!X23+d_Irr!AW23+d_Irr!BV23)),IF(AND(d_Irr!X23&lt;&gt;".",d_Irr!AW23&lt;&gt;".",d_Irr!BV23="."),d_dir!AY23/((1/1000)*(d_Irr!X23+d_Irr!AW23)),IF(AND(d_Irr!X23&lt;&gt;".",d_Irr!AW23=".",d_Irr!BV23&lt;&gt;"."),d_dir!AY23/((1/1000)*(d_Irr!X23+d_Irr!BV23)),IF(AND(d_Irr!X23=".",d_Irr!AW23&lt;&gt;".",d_Irr!BV23&lt;&gt;"."),d_dir!AY23/((1/1000)*(d_Irr!AW23+d_Irr!BV23)),IF(AND(d_Irr!X23=".",d_Irr!AW23=".",d_Irr!BV23&lt;&gt;"."),d_dir!AY23/((1/1000)*(d_Irr!BV23)),IF(AND(d_Irr!X23=".",d_Irr!AW23&lt;&gt;".",d_Irr!BV23="."),d_dir!AY23/((1/1000)*(d_Irr!AW23)),IF(AND(d_Irr!X23&lt;&gt;".",d_Irr!AW23=".",d_Irr!BV23="."),d_dir!AY23/((1/1000)*(d_Irr!X23)),IF(AND(d_Irr!X23=".",d_Irr!AW23=".",d_Irr!BV23="."),d_dir!AY23*1000)))))))),".")</f>
        <v>0.89808344933951867</v>
      </c>
      <c r="AZ23" s="76">
        <f>IFERROR(IF(AND(d_Irr!Y23&lt;&gt;".",d_Irr!AX23&lt;&gt;".",d_Irr!BW23&lt;&gt;"."),d_dir!AZ23/((1/1000)*(d_Irr!Y23+d_Irr!AX23+d_Irr!BW23)),IF(AND(d_Irr!Y23&lt;&gt;".",d_Irr!AX23&lt;&gt;".",d_Irr!BW23="."),d_dir!AZ23/((1/1000)*(d_Irr!Y23+d_Irr!AX23)),IF(AND(d_Irr!Y23&lt;&gt;".",d_Irr!AX23=".",d_Irr!BW23&lt;&gt;"."),d_dir!AZ23/((1/1000)*(d_Irr!Y23+d_Irr!BW23)),IF(AND(d_Irr!Y23=".",d_Irr!AX23&lt;&gt;".",d_Irr!BW23&lt;&gt;"."),d_dir!AZ23/((1/1000)*(d_Irr!AX23+d_Irr!BW23)),IF(AND(d_Irr!Y23=".",d_Irr!AX23=".",d_Irr!BW23&lt;&gt;"."),d_dir!AZ23/((1/1000)*(d_Irr!BW23)),IF(AND(d_Irr!Y23=".",d_Irr!AX23&lt;&gt;".",d_Irr!BW23="."),d_dir!AZ23/((1/1000)*(d_Irr!AX23)),IF(AND(d_Irr!Y23&lt;&gt;".",d_Irr!AX23=".",d_Irr!BW23="."),d_dir!AZ23/((1/1000)*(d_Irr!Y23)),IF(AND(d_Irr!Y23=".",d_Irr!AX23=".",d_Irr!BW23="."),d_dir!AZ23*1000)))))))),".")</f>
        <v>0.37340427713146662</v>
      </c>
      <c r="BA23" s="76">
        <f>IFERROR(IF(AND(d_Irr!Z23&lt;&gt;".",d_Irr!AY23&lt;&gt;".",d_Irr!BX23&lt;&gt;"."),d_dir!BA23/((1/1000)*(d_Irr!Z23+d_Irr!AY23+d_Irr!BX23)),IF(AND(d_Irr!Z23&lt;&gt;".",d_Irr!AY23&lt;&gt;".",d_Irr!BX23="."),d_dir!BA23/((1/1000)*(d_Irr!Z23+d_Irr!AY23)),IF(AND(d_Irr!Z23&lt;&gt;".",d_Irr!AY23=".",d_Irr!BX23&lt;&gt;"."),d_dir!BA23/((1/1000)*(d_Irr!Z23+d_Irr!BX23)),IF(AND(d_Irr!Z23=".",d_Irr!AY23&lt;&gt;".",d_Irr!BX23&lt;&gt;"."),d_dir!BA23/((1/1000)*(d_Irr!AY23+d_Irr!BX23)),IF(AND(d_Irr!Z23=".",d_Irr!AY23=".",d_Irr!BX23&lt;&gt;"."),d_dir!BA23/((1/1000)*(d_Irr!BX23)),IF(AND(d_Irr!Z23=".",d_Irr!AY23&lt;&gt;".",d_Irr!BX23="."),d_dir!BA23/((1/1000)*(d_Irr!AY23)),IF(AND(d_Irr!Z23&lt;&gt;".",d_Irr!AY23=".",d_Irr!BX23="."),d_dir!BA23/((1/1000)*(d_Irr!Z23)),IF(AND(d_Irr!Z23=".",d_Irr!AY23=".",d_Irr!BX23="."),d_dir!BA23*1000)))))))),".")</f>
        <v>0.13691060270584263</v>
      </c>
      <c r="BB23" s="76">
        <f>IFERROR(IF(AND(d_Irr!AA23&lt;&gt;".",d_Irr!AZ23&lt;&gt;".",d_Irr!BY23&lt;&gt;"."),d_dir!BB23/((1/1000)*(d_Irr!AA23+d_Irr!AZ23+d_Irr!BY23)),IF(AND(d_Irr!AA23&lt;&gt;".",d_Irr!AZ23&lt;&gt;".",d_Irr!BY23="."),d_dir!BB23/((1/1000)*(d_Irr!AA23+d_Irr!AZ23)),IF(AND(d_Irr!AA23&lt;&gt;".",d_Irr!AZ23=".",d_Irr!BY23&lt;&gt;"."),d_dir!BB23/((1/1000)*(d_Irr!AA23+d_Irr!BY23)),IF(AND(d_Irr!AA23=".",d_Irr!AZ23&lt;&gt;".",d_Irr!BY23&lt;&gt;"."),d_dir!BB23/((1/1000)*(d_Irr!AZ23+d_Irr!BY23)),IF(AND(d_Irr!AA23=".",d_Irr!AZ23=".",d_Irr!BY23&lt;&gt;"."),d_dir!BB23/((1/1000)*(d_Irr!BY23)),IF(AND(d_Irr!AA23=".",d_Irr!AZ23&lt;&gt;".",d_Irr!BY23="."),d_dir!BB23/((1/1000)*(d_Irr!AZ23)),IF(AND(d_Irr!AA23&lt;&gt;".",d_Irr!AZ23=".",d_Irr!BY23="."),d_dir!BB23/((1/1000)*(d_Irr!AA23)),IF(AND(d_Irr!AA23=".",d_Irr!AZ23=".",d_Irr!BY23="."),d_dir!BB23*1000)))))))),".")</f>
        <v>0.13282294810966833</v>
      </c>
    </row>
    <row r="24" spans="1:54" ht="15" customHeight="1" x14ac:dyDescent="0.25">
      <c r="A24" s="92" t="s">
        <v>34</v>
      </c>
      <c r="B24" s="90" t="s">
        <v>1071</v>
      </c>
      <c r="C24" s="2" t="str">
        <f t="shared" si="1"/>
        <v>.</v>
      </c>
      <c r="D24" s="76" t="str">
        <f>IFERROR(IF(AND(d_Irr!C24&lt;&gt;".",d_Irr!AB24&lt;&gt;".",d_Irr!BA24&lt;&gt;"."),d_dir!D24/((1/1000)*(d_Irr!C24+d_Irr!AB24+d_Irr!BA24)),IF(AND(d_Irr!C24&lt;&gt;".",d_Irr!AB24&lt;&gt;".",d_Irr!BA24="."),d_dir!D24/((1/1000)*(d_Irr!C24+d_Irr!AB24)),IF(AND(d_Irr!C24&lt;&gt;".",d_Irr!AB24=".",d_Irr!BA24&lt;&gt;"."),d_dir!D24/((1/1000)*(d_Irr!C24+d_Irr!BA24)),IF(AND(d_Irr!C24=".",d_Irr!AB24&lt;&gt;".",d_Irr!BA24&lt;&gt;"."),d_dir!D24/((1/1000)*(d_Irr!AB24+d_Irr!BA24)),IF(AND(d_Irr!C24=".",d_Irr!AB24=".",d_Irr!BA24&lt;&gt;"."),d_dir!D24/((1/1000)*(d_Irr!BA24)),IF(AND(d_Irr!C24=".",d_Irr!AB24&lt;&gt;".",d_Irr!BA24="."),d_dir!D24/((1/1000)*(d_Irr!AB24)),IF(AND(d_Irr!C24&lt;&gt;".",d_Irr!AB24=".",d_Irr!BA24="."),d_dir!D24/((1/1000)*(d_Irr!C24)),IF(AND(d_Irr!C24=".",d_Irr!AB24=".",d_Irr!BA24="."),d_dir!D24*1000)))))))),".")</f>
        <v>.</v>
      </c>
      <c r="E24" s="76" t="str">
        <f>IFERROR(IF(AND(d_Irr!D24&lt;&gt;".",d_Irr!AC24&lt;&gt;".",d_Irr!BB24&lt;&gt;"."),d_dir!E24/((1/1000)*(d_Irr!D24+d_Irr!AC24+d_Irr!BB24)),IF(AND(d_Irr!D24&lt;&gt;".",d_Irr!AC24&lt;&gt;".",d_Irr!BB24="."),d_dir!E24/((1/1000)*(d_Irr!D24+d_Irr!AC24)),IF(AND(d_Irr!D24&lt;&gt;".",d_Irr!AC24=".",d_Irr!BB24&lt;&gt;"."),d_dir!E24/((1/1000)*(d_Irr!D24+d_Irr!BB24)),IF(AND(d_Irr!D24=".",d_Irr!AC24&lt;&gt;".",d_Irr!BB24&lt;&gt;"."),d_dir!E24/((1/1000)*(d_Irr!AC24+d_Irr!BB24)),IF(AND(d_Irr!D24=".",d_Irr!AC24=".",d_Irr!BB24&lt;&gt;"."),d_dir!E24/((1/1000)*(d_Irr!BB24)),IF(AND(d_Irr!D24=".",d_Irr!AC24&lt;&gt;".",d_Irr!BB24="."),d_dir!E24/((1/1000)*(d_Irr!AC24)),IF(AND(d_Irr!D24&lt;&gt;".",d_Irr!AC24=".",d_Irr!BB24="."),d_dir!E24/((1/1000)*(d_Irr!D24)),IF(AND(d_Irr!D24=".",d_Irr!AC24=".",d_Irr!BB24="."),d_dir!E24*1000)))))))),".")</f>
        <v>.</v>
      </c>
      <c r="F24" s="76" t="str">
        <f>IFERROR(IF(AND(d_Irr!E24&lt;&gt;".",d_Irr!AD24&lt;&gt;".",d_Irr!BC24&lt;&gt;"."),d_dir!F24/((1/1000)*(d_Irr!E24+d_Irr!AD24+d_Irr!BC24)),IF(AND(d_Irr!E24&lt;&gt;".",d_Irr!AD24&lt;&gt;".",d_Irr!BC24="."),d_dir!F24/((1/1000)*(d_Irr!E24+d_Irr!AD24)),IF(AND(d_Irr!E24&lt;&gt;".",d_Irr!AD24=".",d_Irr!BC24&lt;&gt;"."),d_dir!F24/((1/1000)*(d_Irr!E24+d_Irr!BC24)),IF(AND(d_Irr!E24=".",d_Irr!AD24&lt;&gt;".",d_Irr!BC24&lt;&gt;"."),d_dir!F24/((1/1000)*(d_Irr!AD24+d_Irr!BC24)),IF(AND(d_Irr!E24=".",d_Irr!AD24=".",d_Irr!BC24&lt;&gt;"."),d_dir!F24/((1/1000)*(d_Irr!BC24)),IF(AND(d_Irr!E24=".",d_Irr!AD24&lt;&gt;".",d_Irr!BC24="."),d_dir!F24/((1/1000)*(d_Irr!AD24)),IF(AND(d_Irr!E24&lt;&gt;".",d_Irr!AD24=".",d_Irr!BC24="."),d_dir!F24/((1/1000)*(d_Irr!E24)),IF(AND(d_Irr!E24=".",d_Irr!AD24=".",d_Irr!BC24="."),d_dir!F24*1000)))))))),".")</f>
        <v>.</v>
      </c>
      <c r="G24" s="76" t="str">
        <f>IFERROR(IF(AND(d_Irr!F24&lt;&gt;".",d_Irr!AE24&lt;&gt;".",d_Irr!BD24&lt;&gt;"."),d_dir!G24/((1/1000)*(d_Irr!F24+d_Irr!AE24+d_Irr!BD24)),IF(AND(d_Irr!F24&lt;&gt;".",d_Irr!AE24&lt;&gt;".",d_Irr!BD24="."),d_dir!G24/((1/1000)*(d_Irr!F24+d_Irr!AE24)),IF(AND(d_Irr!F24&lt;&gt;".",d_Irr!AE24=".",d_Irr!BD24&lt;&gt;"."),d_dir!G24/((1/1000)*(d_Irr!F24+d_Irr!BD24)),IF(AND(d_Irr!F24=".",d_Irr!AE24&lt;&gt;".",d_Irr!BD24&lt;&gt;"."),d_dir!G24/((1/1000)*(d_Irr!AE24+d_Irr!BD24)),IF(AND(d_Irr!F24=".",d_Irr!AE24=".",d_Irr!BD24&lt;&gt;"."),d_dir!G24/((1/1000)*(d_Irr!BD24)),IF(AND(d_Irr!F24=".",d_Irr!AE24&lt;&gt;".",d_Irr!BD24="."),d_dir!G24/((1/1000)*(d_Irr!AE24)),IF(AND(d_Irr!F24&lt;&gt;".",d_Irr!AE24=".",d_Irr!BD24="."),d_dir!G24/((1/1000)*(d_Irr!F24)),IF(AND(d_Irr!F24=".",d_Irr!AE24=".",d_Irr!BD24="."),d_dir!G24*1000)))))))),".")</f>
        <v>.</v>
      </c>
      <c r="H24" s="76" t="str">
        <f>IFERROR(IF(AND(d_Irr!G24&lt;&gt;".",d_Irr!AF24&lt;&gt;".",d_Irr!BE24&lt;&gt;"."),d_dir!H24/((1/1000)*(d_Irr!G24+d_Irr!AF24+d_Irr!BE24)),IF(AND(d_Irr!G24&lt;&gt;".",d_Irr!AF24&lt;&gt;".",d_Irr!BE24="."),d_dir!H24/((1/1000)*(d_Irr!G24+d_Irr!AF24)),IF(AND(d_Irr!G24&lt;&gt;".",d_Irr!AF24=".",d_Irr!BE24&lt;&gt;"."),d_dir!H24/((1/1000)*(d_Irr!G24+d_Irr!BE24)),IF(AND(d_Irr!G24=".",d_Irr!AF24&lt;&gt;".",d_Irr!BE24&lt;&gt;"."),d_dir!H24/((1/1000)*(d_Irr!AF24+d_Irr!BE24)),IF(AND(d_Irr!G24=".",d_Irr!AF24=".",d_Irr!BE24&lt;&gt;"."),d_dir!H24/((1/1000)*(d_Irr!BE24)),IF(AND(d_Irr!G24=".",d_Irr!AF24&lt;&gt;".",d_Irr!BE24="."),d_dir!H24/((1/1000)*(d_Irr!AF24)),IF(AND(d_Irr!G24&lt;&gt;".",d_Irr!AF24=".",d_Irr!BE24="."),d_dir!H24/((1/1000)*(d_Irr!G24)),IF(AND(d_Irr!G24=".",d_Irr!AF24=".",d_Irr!BE24="."),d_dir!H24*1000)))))))),".")</f>
        <v>.</v>
      </c>
      <c r="I24" s="76" t="str">
        <f>IFERROR(IF(AND(d_Irr!H24&lt;&gt;".",d_Irr!AG24&lt;&gt;".",d_Irr!BF24&lt;&gt;"."),d_dir!I24/((1/1000)*(d_Irr!H24+d_Irr!AG24+d_Irr!BF24)),IF(AND(d_Irr!H24&lt;&gt;".",d_Irr!AG24&lt;&gt;".",d_Irr!BF24="."),d_dir!I24/((1/1000)*(d_Irr!H24+d_Irr!AG24)),IF(AND(d_Irr!H24&lt;&gt;".",d_Irr!AG24=".",d_Irr!BF24&lt;&gt;"."),d_dir!I24/((1/1000)*(d_Irr!H24+d_Irr!BF24)),IF(AND(d_Irr!H24=".",d_Irr!AG24&lt;&gt;".",d_Irr!BF24&lt;&gt;"."),d_dir!I24/((1/1000)*(d_Irr!AG24+d_Irr!BF24)),IF(AND(d_Irr!H24=".",d_Irr!AG24=".",d_Irr!BF24&lt;&gt;"."),d_dir!I24/((1/1000)*(d_Irr!BF24)),IF(AND(d_Irr!H24=".",d_Irr!AG24&lt;&gt;".",d_Irr!BF24="."),d_dir!I24/((1/1000)*(d_Irr!AG24)),IF(AND(d_Irr!H24&lt;&gt;".",d_Irr!AG24=".",d_Irr!BF24="."),d_dir!I24/((1/1000)*(d_Irr!H24)),IF(AND(d_Irr!H24=".",d_Irr!AG24=".",d_Irr!BF24="."),d_dir!I24*1000)))))))),".")</f>
        <v>.</v>
      </c>
      <c r="J24" s="76" t="str">
        <f>IFERROR(IF(AND(d_Irr!I24&lt;&gt;".",d_Irr!AH24&lt;&gt;".",d_Irr!BG24&lt;&gt;"."),d_dir!J24/((1/1000)*(d_Irr!I24+d_Irr!AH24+d_Irr!BG24)),IF(AND(d_Irr!I24&lt;&gt;".",d_Irr!AH24&lt;&gt;".",d_Irr!BG24="."),d_dir!J24/((1/1000)*(d_Irr!I24+d_Irr!AH24)),IF(AND(d_Irr!I24&lt;&gt;".",d_Irr!AH24=".",d_Irr!BG24&lt;&gt;"."),d_dir!J24/((1/1000)*(d_Irr!I24+d_Irr!BG24)),IF(AND(d_Irr!I24=".",d_Irr!AH24&lt;&gt;".",d_Irr!BG24&lt;&gt;"."),d_dir!J24/((1/1000)*(d_Irr!AH24+d_Irr!BG24)),IF(AND(d_Irr!I24=".",d_Irr!AH24=".",d_Irr!BG24&lt;&gt;"."),d_dir!J24/((1/1000)*(d_Irr!BG24)),IF(AND(d_Irr!I24=".",d_Irr!AH24&lt;&gt;".",d_Irr!BG24="."),d_dir!J24/((1/1000)*(d_Irr!AH24)),IF(AND(d_Irr!I24&lt;&gt;".",d_Irr!AH24=".",d_Irr!BG24="."),d_dir!J24/((1/1000)*(d_Irr!I24)),IF(AND(d_Irr!I24=".",d_Irr!AH24=".",d_Irr!BG24="."),d_dir!J24*1000)))))))),".")</f>
        <v>.</v>
      </c>
      <c r="K24" s="76" t="str">
        <f>IFERROR(IF(AND(d_Irr!J24&lt;&gt;".",d_Irr!AI24&lt;&gt;".",d_Irr!BH24&lt;&gt;"."),d_dir!K24/((1/1000)*(d_Irr!J24+d_Irr!AI24+d_Irr!BH24)),IF(AND(d_Irr!J24&lt;&gt;".",d_Irr!AI24&lt;&gt;".",d_Irr!BH24="."),d_dir!K24/((1/1000)*(d_Irr!J24+d_Irr!AI24)),IF(AND(d_Irr!J24&lt;&gt;".",d_Irr!AI24=".",d_Irr!BH24&lt;&gt;"."),d_dir!K24/((1/1000)*(d_Irr!J24+d_Irr!BH24)),IF(AND(d_Irr!J24=".",d_Irr!AI24&lt;&gt;".",d_Irr!BH24&lt;&gt;"."),d_dir!K24/((1/1000)*(d_Irr!AI24+d_Irr!BH24)),IF(AND(d_Irr!J24=".",d_Irr!AI24=".",d_Irr!BH24&lt;&gt;"."),d_dir!K24/((1/1000)*(d_Irr!BH24)),IF(AND(d_Irr!J24=".",d_Irr!AI24&lt;&gt;".",d_Irr!BH24="."),d_dir!K24/((1/1000)*(d_Irr!AI24)),IF(AND(d_Irr!J24&lt;&gt;".",d_Irr!AI24=".",d_Irr!BH24="."),d_dir!K24/((1/1000)*(d_Irr!J24)),IF(AND(d_Irr!J24=".",d_Irr!AI24=".",d_Irr!BH24="."),d_dir!K24*1000)))))))),".")</f>
        <v>.</v>
      </c>
      <c r="L24" s="76" t="str">
        <f>IFERROR(IF(AND(d_Irr!K24&lt;&gt;".",d_Irr!AJ24&lt;&gt;".",d_Irr!BI24&lt;&gt;"."),d_dir!L24/((1/1000)*(d_Irr!K24+d_Irr!AJ24+d_Irr!BI24)),IF(AND(d_Irr!K24&lt;&gt;".",d_Irr!AJ24&lt;&gt;".",d_Irr!BI24="."),d_dir!L24/((1/1000)*(d_Irr!K24+d_Irr!AJ24)),IF(AND(d_Irr!K24&lt;&gt;".",d_Irr!AJ24=".",d_Irr!BI24&lt;&gt;"."),d_dir!L24/((1/1000)*(d_Irr!K24+d_Irr!BI24)),IF(AND(d_Irr!K24=".",d_Irr!AJ24&lt;&gt;".",d_Irr!BI24&lt;&gt;"."),d_dir!L24/((1/1000)*(d_Irr!AJ24+d_Irr!BI24)),IF(AND(d_Irr!K24=".",d_Irr!AJ24=".",d_Irr!BI24&lt;&gt;"."),d_dir!L24/((1/1000)*(d_Irr!BI24)),IF(AND(d_Irr!K24=".",d_Irr!AJ24&lt;&gt;".",d_Irr!BI24="."),d_dir!L24/((1/1000)*(d_Irr!AJ24)),IF(AND(d_Irr!K24&lt;&gt;".",d_Irr!AJ24=".",d_Irr!BI24="."),d_dir!L24/((1/1000)*(d_Irr!K24)),IF(AND(d_Irr!K24=".",d_Irr!AJ24=".",d_Irr!BI24="."),d_dir!L24*1000)))))))),".")</f>
        <v>.</v>
      </c>
      <c r="M24" s="76" t="str">
        <f>IFERROR(IF(AND(d_Irr!L24&lt;&gt;".",d_Irr!AK24&lt;&gt;".",d_Irr!BJ24&lt;&gt;"."),d_dir!M24/((1/1000)*(d_Irr!L24+d_Irr!AK24+d_Irr!BJ24)),IF(AND(d_Irr!L24&lt;&gt;".",d_Irr!AK24&lt;&gt;".",d_Irr!BJ24="."),d_dir!M24/((1/1000)*(d_Irr!L24+d_Irr!AK24)),IF(AND(d_Irr!L24&lt;&gt;".",d_Irr!AK24=".",d_Irr!BJ24&lt;&gt;"."),d_dir!M24/((1/1000)*(d_Irr!L24+d_Irr!BJ24)),IF(AND(d_Irr!L24=".",d_Irr!AK24&lt;&gt;".",d_Irr!BJ24&lt;&gt;"."),d_dir!M24/((1/1000)*(d_Irr!AK24+d_Irr!BJ24)),IF(AND(d_Irr!L24=".",d_Irr!AK24=".",d_Irr!BJ24&lt;&gt;"."),d_dir!M24/((1/1000)*(d_Irr!BJ24)),IF(AND(d_Irr!L24=".",d_Irr!AK24&lt;&gt;".",d_Irr!BJ24="."),d_dir!M24/((1/1000)*(d_Irr!AK24)),IF(AND(d_Irr!L24&lt;&gt;".",d_Irr!AK24=".",d_Irr!BJ24="."),d_dir!M24/((1/1000)*(d_Irr!L24)),IF(AND(d_Irr!L24=".",d_Irr!AK24=".",d_Irr!BJ24="."),d_dir!M24*1000)))))))),".")</f>
        <v>.</v>
      </c>
      <c r="N24" s="76" t="str">
        <f>IFERROR(IF(AND(d_Irr!M24&lt;&gt;".",d_Irr!AL24&lt;&gt;".",d_Irr!BK24&lt;&gt;"."),d_dir!N24/((1/1000)*(d_Irr!M24+d_Irr!AL24+d_Irr!BK24)),IF(AND(d_Irr!M24&lt;&gt;".",d_Irr!AL24&lt;&gt;".",d_Irr!BK24="."),d_dir!N24/((1/1000)*(d_Irr!M24+d_Irr!AL24)),IF(AND(d_Irr!M24&lt;&gt;".",d_Irr!AL24=".",d_Irr!BK24&lt;&gt;"."),d_dir!N24/((1/1000)*(d_Irr!M24+d_Irr!BK24)),IF(AND(d_Irr!M24=".",d_Irr!AL24&lt;&gt;".",d_Irr!BK24&lt;&gt;"."),d_dir!N24/((1/1000)*(d_Irr!AL24+d_Irr!BK24)),IF(AND(d_Irr!M24=".",d_Irr!AL24=".",d_Irr!BK24&lt;&gt;"."),d_dir!N24/((1/1000)*(d_Irr!BK24)),IF(AND(d_Irr!M24=".",d_Irr!AL24&lt;&gt;".",d_Irr!BK24="."),d_dir!N24/((1/1000)*(d_Irr!AL24)),IF(AND(d_Irr!M24&lt;&gt;".",d_Irr!AL24=".",d_Irr!BK24="."),d_dir!N24/((1/1000)*(d_Irr!M24)),IF(AND(d_Irr!M24=".",d_Irr!AL24=".",d_Irr!BK24="."),d_dir!N24*1000)))))))),".")</f>
        <v>.</v>
      </c>
      <c r="O24" s="76" t="str">
        <f>IFERROR(IF(AND(d_Irr!N24&lt;&gt;".",d_Irr!AM24&lt;&gt;".",d_Irr!BL24&lt;&gt;"."),d_dir!O24/((1/1000)*(d_Irr!N24+d_Irr!AM24+d_Irr!BL24)),IF(AND(d_Irr!N24&lt;&gt;".",d_Irr!AM24&lt;&gt;".",d_Irr!BL24="."),d_dir!O24/((1/1000)*(d_Irr!N24+d_Irr!AM24)),IF(AND(d_Irr!N24&lt;&gt;".",d_Irr!AM24=".",d_Irr!BL24&lt;&gt;"."),d_dir!O24/((1/1000)*(d_Irr!N24+d_Irr!BL24)),IF(AND(d_Irr!N24=".",d_Irr!AM24&lt;&gt;".",d_Irr!BL24&lt;&gt;"."),d_dir!O24/((1/1000)*(d_Irr!AM24+d_Irr!BL24)),IF(AND(d_Irr!N24=".",d_Irr!AM24=".",d_Irr!BL24&lt;&gt;"."),d_dir!O24/((1/1000)*(d_Irr!BL24)),IF(AND(d_Irr!N24=".",d_Irr!AM24&lt;&gt;".",d_Irr!BL24="."),d_dir!O24/((1/1000)*(d_Irr!AM24)),IF(AND(d_Irr!N24&lt;&gt;".",d_Irr!AM24=".",d_Irr!BL24="."),d_dir!O24/((1/1000)*(d_Irr!N24)),IF(AND(d_Irr!N24=".",d_Irr!AM24=".",d_Irr!BL24="."),d_dir!O24*1000)))))))),".")</f>
        <v>.</v>
      </c>
      <c r="P24" s="76" t="str">
        <f>IFERROR(IF(AND(d_Irr!O24&lt;&gt;".",d_Irr!AN24&lt;&gt;".",d_Irr!BM24&lt;&gt;"."),d_dir!P24/((1/1000)*(d_Irr!O24+d_Irr!AN24+d_Irr!BM24)),IF(AND(d_Irr!O24&lt;&gt;".",d_Irr!AN24&lt;&gt;".",d_Irr!BM24="."),d_dir!P24/((1/1000)*(d_Irr!O24+d_Irr!AN24)),IF(AND(d_Irr!O24&lt;&gt;".",d_Irr!AN24=".",d_Irr!BM24&lt;&gt;"."),d_dir!P24/((1/1000)*(d_Irr!O24+d_Irr!BM24)),IF(AND(d_Irr!O24=".",d_Irr!AN24&lt;&gt;".",d_Irr!BM24&lt;&gt;"."),d_dir!P24/((1/1000)*(d_Irr!AN24+d_Irr!BM24)),IF(AND(d_Irr!O24=".",d_Irr!AN24=".",d_Irr!BM24&lt;&gt;"."),d_dir!P24/((1/1000)*(d_Irr!BM24)),IF(AND(d_Irr!O24=".",d_Irr!AN24&lt;&gt;".",d_Irr!BM24="."),d_dir!P24/((1/1000)*(d_Irr!AN24)),IF(AND(d_Irr!O24&lt;&gt;".",d_Irr!AN24=".",d_Irr!BM24="."),d_dir!P24/((1/1000)*(d_Irr!O24)),IF(AND(d_Irr!O24=".",d_Irr!AN24=".",d_Irr!BM24="."),d_dir!P24*1000)))))))),".")</f>
        <v>.</v>
      </c>
      <c r="Q24" s="76" t="str">
        <f>IFERROR(IF(AND(d_Irr!P24&lt;&gt;".",d_Irr!AO24&lt;&gt;".",d_Irr!BN24&lt;&gt;"."),d_dir!Q24/((1/1000)*(d_Irr!P24+d_Irr!AO24+d_Irr!BN24)),IF(AND(d_Irr!P24&lt;&gt;".",d_Irr!AO24&lt;&gt;".",d_Irr!BN24="."),d_dir!Q24/((1/1000)*(d_Irr!P24+d_Irr!AO24)),IF(AND(d_Irr!P24&lt;&gt;".",d_Irr!AO24=".",d_Irr!BN24&lt;&gt;"."),d_dir!Q24/((1/1000)*(d_Irr!P24+d_Irr!BN24)),IF(AND(d_Irr!P24=".",d_Irr!AO24&lt;&gt;".",d_Irr!BN24&lt;&gt;"."),d_dir!Q24/((1/1000)*(d_Irr!AO24+d_Irr!BN24)),IF(AND(d_Irr!P24=".",d_Irr!AO24=".",d_Irr!BN24&lt;&gt;"."),d_dir!Q24/((1/1000)*(d_Irr!BN24)),IF(AND(d_Irr!P24=".",d_Irr!AO24&lt;&gt;".",d_Irr!BN24="."),d_dir!Q24/((1/1000)*(d_Irr!AO24)),IF(AND(d_Irr!P24&lt;&gt;".",d_Irr!AO24=".",d_Irr!BN24="."),d_dir!Q24/((1/1000)*(d_Irr!P24)),IF(AND(d_Irr!P24=".",d_Irr!AO24=".",d_Irr!BN24="."),d_dir!Q24*1000)))))))),".")</f>
        <v>.</v>
      </c>
      <c r="R24" s="76" t="str">
        <f>IFERROR(IF(AND(d_Irr!Q24&lt;&gt;".",d_Irr!AP24&lt;&gt;".",d_Irr!BO24&lt;&gt;"."),d_dir!R24/((1/1000)*(d_Irr!Q24+d_Irr!AP24+d_Irr!BO24)),IF(AND(d_Irr!Q24&lt;&gt;".",d_Irr!AP24&lt;&gt;".",d_Irr!BO24="."),d_dir!R24/((1/1000)*(d_Irr!Q24+d_Irr!AP24)),IF(AND(d_Irr!Q24&lt;&gt;".",d_Irr!AP24=".",d_Irr!BO24&lt;&gt;"."),d_dir!R24/((1/1000)*(d_Irr!Q24+d_Irr!BO24)),IF(AND(d_Irr!Q24=".",d_Irr!AP24&lt;&gt;".",d_Irr!BO24&lt;&gt;"."),d_dir!R24/((1/1000)*(d_Irr!AP24+d_Irr!BO24)),IF(AND(d_Irr!Q24=".",d_Irr!AP24=".",d_Irr!BO24&lt;&gt;"."),d_dir!R24/((1/1000)*(d_Irr!BO24)),IF(AND(d_Irr!Q24=".",d_Irr!AP24&lt;&gt;".",d_Irr!BO24="."),d_dir!R24/((1/1000)*(d_Irr!AP24)),IF(AND(d_Irr!Q24&lt;&gt;".",d_Irr!AP24=".",d_Irr!BO24="."),d_dir!R24/((1/1000)*(d_Irr!Q24)),IF(AND(d_Irr!Q24=".",d_Irr!AP24=".",d_Irr!BO24="."),d_dir!R24*1000)))))))),".")</f>
        <v>.</v>
      </c>
      <c r="S24" s="76" t="str">
        <f>IFERROR(IF(AND(d_Irr!R24&lt;&gt;".",d_Irr!AQ24&lt;&gt;".",d_Irr!BP24&lt;&gt;"."),d_dir!S24/((1/1000)*(d_Irr!R24+d_Irr!AQ24+d_Irr!BP24)),IF(AND(d_Irr!R24&lt;&gt;".",d_Irr!AQ24&lt;&gt;".",d_Irr!BP24="."),d_dir!S24/((1/1000)*(d_Irr!R24+d_Irr!AQ24)),IF(AND(d_Irr!R24&lt;&gt;".",d_Irr!AQ24=".",d_Irr!BP24&lt;&gt;"."),d_dir!S24/((1/1000)*(d_Irr!R24+d_Irr!BP24)),IF(AND(d_Irr!R24=".",d_Irr!AQ24&lt;&gt;".",d_Irr!BP24&lt;&gt;"."),d_dir!S24/((1/1000)*(d_Irr!AQ24+d_Irr!BP24)),IF(AND(d_Irr!R24=".",d_Irr!AQ24=".",d_Irr!BP24&lt;&gt;"."),d_dir!S24/((1/1000)*(d_Irr!BP24)),IF(AND(d_Irr!R24=".",d_Irr!AQ24&lt;&gt;".",d_Irr!BP24="."),d_dir!S24/((1/1000)*(d_Irr!AQ24)),IF(AND(d_Irr!R24&lt;&gt;".",d_Irr!AQ24=".",d_Irr!BP24="."),d_dir!S24/((1/1000)*(d_Irr!R24)),IF(AND(d_Irr!R24=".",d_Irr!AQ24=".",d_Irr!BP24="."),d_dir!S24*1000)))))))),".")</f>
        <v>.</v>
      </c>
      <c r="T24" s="76" t="str">
        <f>IFERROR(IF(AND(d_Irr!S24&lt;&gt;".",d_Irr!AR24&lt;&gt;".",d_Irr!BQ24&lt;&gt;"."),d_dir!T24/((1/1000)*(d_Irr!S24+d_Irr!AR24+d_Irr!BQ24)),IF(AND(d_Irr!S24&lt;&gt;".",d_Irr!AR24&lt;&gt;".",d_Irr!BQ24="."),d_dir!T24/((1/1000)*(d_Irr!S24+d_Irr!AR24)),IF(AND(d_Irr!S24&lt;&gt;".",d_Irr!AR24=".",d_Irr!BQ24&lt;&gt;"."),d_dir!T24/((1/1000)*(d_Irr!S24+d_Irr!BQ24)),IF(AND(d_Irr!S24=".",d_Irr!AR24&lt;&gt;".",d_Irr!BQ24&lt;&gt;"."),d_dir!T24/((1/1000)*(d_Irr!AR24+d_Irr!BQ24)),IF(AND(d_Irr!S24=".",d_Irr!AR24=".",d_Irr!BQ24&lt;&gt;"."),d_dir!T24/((1/1000)*(d_Irr!BQ24)),IF(AND(d_Irr!S24=".",d_Irr!AR24&lt;&gt;".",d_Irr!BQ24="."),d_dir!T24/((1/1000)*(d_Irr!AR24)),IF(AND(d_Irr!S24&lt;&gt;".",d_Irr!AR24=".",d_Irr!BQ24="."),d_dir!T24/((1/1000)*(d_Irr!S24)),IF(AND(d_Irr!S24=".",d_Irr!AR24=".",d_Irr!BQ24="."),d_dir!T24*1000)))))))),".")</f>
        <v>.</v>
      </c>
      <c r="U24" s="76" t="str">
        <f>IFERROR(IF(AND(d_Irr!T24&lt;&gt;".",d_Irr!AS24&lt;&gt;".",d_Irr!BR24&lt;&gt;"."),d_dir!U24/((1/1000)*(d_Irr!T24+d_Irr!AS24+d_Irr!BR24)),IF(AND(d_Irr!T24&lt;&gt;".",d_Irr!AS24&lt;&gt;".",d_Irr!BR24="."),d_dir!U24/((1/1000)*(d_Irr!T24+d_Irr!AS24)),IF(AND(d_Irr!T24&lt;&gt;".",d_Irr!AS24=".",d_Irr!BR24&lt;&gt;"."),d_dir!U24/((1/1000)*(d_Irr!T24+d_Irr!BR24)),IF(AND(d_Irr!T24=".",d_Irr!AS24&lt;&gt;".",d_Irr!BR24&lt;&gt;"."),d_dir!U24/((1/1000)*(d_Irr!AS24+d_Irr!BR24)),IF(AND(d_Irr!T24=".",d_Irr!AS24=".",d_Irr!BR24&lt;&gt;"."),d_dir!U24/((1/1000)*(d_Irr!BR24)),IF(AND(d_Irr!T24=".",d_Irr!AS24&lt;&gt;".",d_Irr!BR24="."),d_dir!U24/((1/1000)*(d_Irr!AS24)),IF(AND(d_Irr!T24&lt;&gt;".",d_Irr!AS24=".",d_Irr!BR24="."),d_dir!U24/((1/1000)*(d_Irr!T24)),IF(AND(d_Irr!T24=".",d_Irr!AS24=".",d_Irr!BR24="."),d_dir!U24*1000)))))))),".")</f>
        <v>.</v>
      </c>
      <c r="V24" s="76" t="str">
        <f>IFERROR(IF(AND(d_Irr!U24&lt;&gt;".",d_Irr!AT24&lt;&gt;".",d_Irr!BS24&lt;&gt;"."),d_dir!V24/((1/1000)*(d_Irr!U24+d_Irr!AT24+d_Irr!BS24)),IF(AND(d_Irr!U24&lt;&gt;".",d_Irr!AT24&lt;&gt;".",d_Irr!BS24="."),d_dir!V24/((1/1000)*(d_Irr!U24+d_Irr!AT24)),IF(AND(d_Irr!U24&lt;&gt;".",d_Irr!AT24=".",d_Irr!BS24&lt;&gt;"."),d_dir!V24/((1/1000)*(d_Irr!U24+d_Irr!BS24)),IF(AND(d_Irr!U24=".",d_Irr!AT24&lt;&gt;".",d_Irr!BS24&lt;&gt;"."),d_dir!V24/((1/1000)*(d_Irr!AT24+d_Irr!BS24)),IF(AND(d_Irr!U24=".",d_Irr!AT24=".",d_Irr!BS24&lt;&gt;"."),d_dir!V24/((1/1000)*(d_Irr!BS24)),IF(AND(d_Irr!U24=".",d_Irr!AT24&lt;&gt;".",d_Irr!BS24="."),d_dir!V24/((1/1000)*(d_Irr!AT24)),IF(AND(d_Irr!U24&lt;&gt;".",d_Irr!AT24=".",d_Irr!BS24="."),d_dir!V24/((1/1000)*(d_Irr!U24)),IF(AND(d_Irr!U24=".",d_Irr!AT24=".",d_Irr!BS24="."),d_dir!V24*1000)))))))),".")</f>
        <v>.</v>
      </c>
      <c r="W24" s="76" t="str">
        <f>IFERROR(IF(AND(d_Irr!V24&lt;&gt;".",d_Irr!AU24&lt;&gt;".",d_Irr!BT24&lt;&gt;"."),d_dir!W24/((1/1000)*(d_Irr!V24+d_Irr!AU24+d_Irr!BT24)),IF(AND(d_Irr!V24&lt;&gt;".",d_Irr!AU24&lt;&gt;".",d_Irr!BT24="."),d_dir!W24/((1/1000)*(d_Irr!V24+d_Irr!AU24)),IF(AND(d_Irr!V24&lt;&gt;".",d_Irr!AU24=".",d_Irr!BT24&lt;&gt;"."),d_dir!W24/((1/1000)*(d_Irr!V24+d_Irr!BT24)),IF(AND(d_Irr!V24=".",d_Irr!AU24&lt;&gt;".",d_Irr!BT24&lt;&gt;"."),d_dir!W24/((1/1000)*(d_Irr!AU24+d_Irr!BT24)),IF(AND(d_Irr!V24=".",d_Irr!AU24=".",d_Irr!BT24&lt;&gt;"."),d_dir!W24/((1/1000)*(d_Irr!BT24)),IF(AND(d_Irr!V24=".",d_Irr!AU24&lt;&gt;".",d_Irr!BT24="."),d_dir!W24/((1/1000)*(d_Irr!AU24)),IF(AND(d_Irr!V24&lt;&gt;".",d_Irr!AU24=".",d_Irr!BT24="."),d_dir!W24/((1/1000)*(d_Irr!V24)),IF(AND(d_Irr!V24=".",d_Irr!AU24=".",d_Irr!BT24="."),d_dir!W24*1000)))))))),".")</f>
        <v>.</v>
      </c>
      <c r="X24" s="76" t="str">
        <f>IFERROR(IF(AND(d_Irr!W24&lt;&gt;".",d_Irr!AV24&lt;&gt;".",d_Irr!BU24&lt;&gt;"."),d_dir!X24/((1/1000)*(d_Irr!W24+d_Irr!AV24+d_Irr!BU24)),IF(AND(d_Irr!W24&lt;&gt;".",d_Irr!AV24&lt;&gt;".",d_Irr!BU24="."),d_dir!X24/((1/1000)*(d_Irr!W24+d_Irr!AV24)),IF(AND(d_Irr!W24&lt;&gt;".",d_Irr!AV24=".",d_Irr!BU24&lt;&gt;"."),d_dir!X24/((1/1000)*(d_Irr!W24+d_Irr!BU24)),IF(AND(d_Irr!W24=".",d_Irr!AV24&lt;&gt;".",d_Irr!BU24&lt;&gt;"."),d_dir!X24/((1/1000)*(d_Irr!AV24+d_Irr!BU24)),IF(AND(d_Irr!W24=".",d_Irr!AV24=".",d_Irr!BU24&lt;&gt;"."),d_dir!X24/((1/1000)*(d_Irr!BU24)),IF(AND(d_Irr!W24=".",d_Irr!AV24&lt;&gt;".",d_Irr!BU24="."),d_dir!X24/((1/1000)*(d_Irr!AV24)),IF(AND(d_Irr!W24&lt;&gt;".",d_Irr!AV24=".",d_Irr!BU24="."),d_dir!X24/((1/1000)*(d_Irr!W24)),IF(AND(d_Irr!W24=".",d_Irr!AV24=".",d_Irr!BU24="."),d_dir!X24*1000)))))))),".")</f>
        <v>.</v>
      </c>
      <c r="Y24" s="76" t="str">
        <f>IFERROR(IF(AND(d_Irr!X24&lt;&gt;".",d_Irr!AW24&lt;&gt;".",d_Irr!BV24&lt;&gt;"."),d_dir!Y24/((1/1000)*(d_Irr!X24+d_Irr!AW24+d_Irr!BV24)),IF(AND(d_Irr!X24&lt;&gt;".",d_Irr!AW24&lt;&gt;".",d_Irr!BV24="."),d_dir!Y24/((1/1000)*(d_Irr!X24+d_Irr!AW24)),IF(AND(d_Irr!X24&lt;&gt;".",d_Irr!AW24=".",d_Irr!BV24&lt;&gt;"."),d_dir!Y24/((1/1000)*(d_Irr!X24+d_Irr!BV24)),IF(AND(d_Irr!X24=".",d_Irr!AW24&lt;&gt;".",d_Irr!BV24&lt;&gt;"."),d_dir!Y24/((1/1000)*(d_Irr!AW24+d_Irr!BV24)),IF(AND(d_Irr!X24=".",d_Irr!AW24=".",d_Irr!BV24&lt;&gt;"."),d_dir!Y24/((1/1000)*(d_Irr!BV24)),IF(AND(d_Irr!X24=".",d_Irr!AW24&lt;&gt;".",d_Irr!BV24="."),d_dir!Y24/((1/1000)*(d_Irr!AW24)),IF(AND(d_Irr!X24&lt;&gt;".",d_Irr!AW24=".",d_Irr!BV24="."),d_dir!Y24/((1/1000)*(d_Irr!X24)),IF(AND(d_Irr!X24=".",d_Irr!AW24=".",d_Irr!BV24="."),d_dir!Y24*1000)))))))),".")</f>
        <v>.</v>
      </c>
      <c r="Z24" s="76" t="str">
        <f>IFERROR(IF(AND(d_Irr!Y24&lt;&gt;".",d_Irr!AX24&lt;&gt;".",d_Irr!BW24&lt;&gt;"."),d_dir!Z24/((1/1000)*(d_Irr!Y24+d_Irr!AX24+d_Irr!BW24)),IF(AND(d_Irr!Y24&lt;&gt;".",d_Irr!AX24&lt;&gt;".",d_Irr!BW24="."),d_dir!Z24/((1/1000)*(d_Irr!Y24+d_Irr!AX24)),IF(AND(d_Irr!Y24&lt;&gt;".",d_Irr!AX24=".",d_Irr!BW24&lt;&gt;"."),d_dir!Z24/((1/1000)*(d_Irr!Y24+d_Irr!BW24)),IF(AND(d_Irr!Y24=".",d_Irr!AX24&lt;&gt;".",d_Irr!BW24&lt;&gt;"."),d_dir!Z24/((1/1000)*(d_Irr!AX24+d_Irr!BW24)),IF(AND(d_Irr!Y24=".",d_Irr!AX24=".",d_Irr!BW24&lt;&gt;"."),d_dir!Z24/((1/1000)*(d_Irr!BW24)),IF(AND(d_Irr!Y24=".",d_Irr!AX24&lt;&gt;".",d_Irr!BW24="."),d_dir!Z24/((1/1000)*(d_Irr!AX24)),IF(AND(d_Irr!Y24&lt;&gt;".",d_Irr!AX24=".",d_Irr!BW24="."),d_dir!Z24/((1/1000)*(d_Irr!Y24)),IF(AND(d_Irr!Y24=".",d_Irr!AX24=".",d_Irr!BW24="."),d_dir!Z24*1000)))))))),".")</f>
        <v>.</v>
      </c>
      <c r="AA24" s="76" t="str">
        <f>IFERROR(IF(AND(d_Irr!Z24&lt;&gt;".",d_Irr!AY24&lt;&gt;".",d_Irr!BX24&lt;&gt;"."),d_dir!AA24/((1/1000)*(d_Irr!Z24+d_Irr!AY24+d_Irr!BX24)),IF(AND(d_Irr!Z24&lt;&gt;".",d_Irr!AY24&lt;&gt;".",d_Irr!BX24="."),d_dir!AA24/((1/1000)*(d_Irr!Z24+d_Irr!AY24)),IF(AND(d_Irr!Z24&lt;&gt;".",d_Irr!AY24=".",d_Irr!BX24&lt;&gt;"."),d_dir!AA24/((1/1000)*(d_Irr!Z24+d_Irr!BX24)),IF(AND(d_Irr!Z24=".",d_Irr!AY24&lt;&gt;".",d_Irr!BX24&lt;&gt;"."),d_dir!AA24/((1/1000)*(d_Irr!AY24+d_Irr!BX24)),IF(AND(d_Irr!Z24=".",d_Irr!AY24=".",d_Irr!BX24&lt;&gt;"."),d_dir!AA24/((1/1000)*(d_Irr!BX24)),IF(AND(d_Irr!Z24=".",d_Irr!AY24&lt;&gt;".",d_Irr!BX24="."),d_dir!AA24/((1/1000)*(d_Irr!AY24)),IF(AND(d_Irr!Z24&lt;&gt;".",d_Irr!AY24=".",d_Irr!BX24="."),d_dir!AA24/((1/1000)*(d_Irr!Z24)),IF(AND(d_Irr!Z24=".",d_Irr!AY24=".",d_Irr!BX24="."),d_dir!AA24*1000)))))))),".")</f>
        <v>.</v>
      </c>
      <c r="AB24" s="76" t="str">
        <f>IFERROR(IF(AND(d_Irr!AA24&lt;&gt;".",d_Irr!AZ24&lt;&gt;".",d_Irr!BY24&lt;&gt;"."),d_dir!AB24/((1/1000)*(d_Irr!AA24+d_Irr!AZ24+d_Irr!BY24)),IF(AND(d_Irr!AA24&lt;&gt;".",d_Irr!AZ24&lt;&gt;".",d_Irr!BY24="."),d_dir!AB24/((1/1000)*(d_Irr!AA24+d_Irr!AZ24)),IF(AND(d_Irr!AA24&lt;&gt;".",d_Irr!AZ24=".",d_Irr!BY24&lt;&gt;"."),d_dir!AB24/((1/1000)*(d_Irr!AA24+d_Irr!BY24)),IF(AND(d_Irr!AA24=".",d_Irr!AZ24&lt;&gt;".",d_Irr!BY24&lt;&gt;"."),d_dir!AB24/((1/1000)*(d_Irr!AZ24+d_Irr!BY24)),IF(AND(d_Irr!AA24=".",d_Irr!AZ24=".",d_Irr!BY24&lt;&gt;"."),d_dir!AB24/((1/1000)*(d_Irr!BY24)),IF(AND(d_Irr!AA24=".",d_Irr!AZ24&lt;&gt;".",d_Irr!BY24="."),d_dir!AB24/((1/1000)*(d_Irr!AZ24)),IF(AND(d_Irr!AA24&lt;&gt;".",d_Irr!AZ24=".",d_Irr!BY24="."),d_dir!AB24/((1/1000)*(d_Irr!AA24)),IF(AND(d_Irr!AA24=".",d_Irr!AZ24=".",d_Irr!BY24="."),d_dir!AB24*1000)))))))),".")</f>
        <v>.</v>
      </c>
      <c r="AC24" s="76" t="str">
        <f t="shared" si="0"/>
        <v>.</v>
      </c>
      <c r="AD24" s="76" t="str">
        <f>IFERROR(IF(AND(d_Irr!C24&lt;&gt;".",d_Irr!AB24&lt;&gt;".",d_Irr!BA24&lt;&gt;"."),d_dir!AD24/((1/1000)*(d_Irr!C24+d_Irr!AB24+d_Irr!BA24)),IF(AND(d_Irr!C24&lt;&gt;".",d_Irr!AB24&lt;&gt;".",d_Irr!BA24="."),d_dir!AD24/((1/1000)*(d_Irr!C24+d_Irr!AB24)),IF(AND(d_Irr!C24&lt;&gt;".",d_Irr!AB24=".",d_Irr!BA24&lt;&gt;"."),d_dir!AD24/((1/1000)*(d_Irr!C24+d_Irr!BA24)),IF(AND(d_Irr!C24=".",d_Irr!AB24&lt;&gt;".",d_Irr!BA24&lt;&gt;"."),d_dir!AD24/((1/1000)*(d_Irr!AB24+d_Irr!BA24)),IF(AND(d_Irr!C24=".",d_Irr!AB24=".",d_Irr!BA24&lt;&gt;"."),d_dir!AD24/((1/1000)*(d_Irr!BA24)),IF(AND(d_Irr!C24=".",d_Irr!AB24&lt;&gt;".",d_Irr!BA24="."),d_dir!AD24/((1/1000)*(d_Irr!AB24)),IF(AND(d_Irr!C24&lt;&gt;".",d_Irr!AB24=".",d_Irr!BA24="."),d_dir!AD24/((1/1000)*(d_Irr!C24)),IF(AND(d_Irr!C24=".",d_Irr!AB24=".",d_Irr!BA24="."),d_dir!AD24*1000)))))))),".")</f>
        <v>.</v>
      </c>
      <c r="AE24" s="76" t="str">
        <f>IFERROR(IF(AND(d_Irr!D24&lt;&gt;".",d_Irr!AC24&lt;&gt;".",d_Irr!BB24&lt;&gt;"."),d_dir!AE24/((1/1000)*(d_Irr!D24+d_Irr!AC24+d_Irr!BB24)),IF(AND(d_Irr!D24&lt;&gt;".",d_Irr!AC24&lt;&gt;".",d_Irr!BB24="."),d_dir!AE24/((1/1000)*(d_Irr!D24+d_Irr!AC24)),IF(AND(d_Irr!D24&lt;&gt;".",d_Irr!AC24=".",d_Irr!BB24&lt;&gt;"."),d_dir!AE24/((1/1000)*(d_Irr!D24+d_Irr!BB24)),IF(AND(d_Irr!D24=".",d_Irr!AC24&lt;&gt;".",d_Irr!BB24&lt;&gt;"."),d_dir!AE24/((1/1000)*(d_Irr!AC24+d_Irr!BB24)),IF(AND(d_Irr!D24=".",d_Irr!AC24=".",d_Irr!BB24&lt;&gt;"."),d_dir!AE24/((1/1000)*(d_Irr!BB24)),IF(AND(d_Irr!D24=".",d_Irr!AC24&lt;&gt;".",d_Irr!BB24="."),d_dir!AE24/((1/1000)*(d_Irr!AC24)),IF(AND(d_Irr!D24&lt;&gt;".",d_Irr!AC24=".",d_Irr!BB24="."),d_dir!AE24/((1/1000)*(d_Irr!D24)),IF(AND(d_Irr!D24=".",d_Irr!AC24=".",d_Irr!BB24="."),d_dir!AE24*1000)))))))),".")</f>
        <v>.</v>
      </c>
      <c r="AF24" s="76" t="str">
        <f>IFERROR(IF(AND(d_Irr!E24&lt;&gt;".",d_Irr!AD24&lt;&gt;".",d_Irr!BC24&lt;&gt;"."),d_dir!AF24/((1/1000)*(d_Irr!E24+d_Irr!AD24+d_Irr!BC24)),IF(AND(d_Irr!E24&lt;&gt;".",d_Irr!AD24&lt;&gt;".",d_Irr!BC24="."),d_dir!AF24/((1/1000)*(d_Irr!E24+d_Irr!AD24)),IF(AND(d_Irr!E24&lt;&gt;".",d_Irr!AD24=".",d_Irr!BC24&lt;&gt;"."),d_dir!AF24/((1/1000)*(d_Irr!E24+d_Irr!BC24)),IF(AND(d_Irr!E24=".",d_Irr!AD24&lt;&gt;".",d_Irr!BC24&lt;&gt;"."),d_dir!AF24/((1/1000)*(d_Irr!AD24+d_Irr!BC24)),IF(AND(d_Irr!E24=".",d_Irr!AD24=".",d_Irr!BC24&lt;&gt;"."),d_dir!AF24/((1/1000)*(d_Irr!BC24)),IF(AND(d_Irr!E24=".",d_Irr!AD24&lt;&gt;".",d_Irr!BC24="."),d_dir!AF24/((1/1000)*(d_Irr!AD24)),IF(AND(d_Irr!E24&lt;&gt;".",d_Irr!AD24=".",d_Irr!BC24="."),d_dir!AF24/((1/1000)*(d_Irr!E24)),IF(AND(d_Irr!E24=".",d_Irr!AD24=".",d_Irr!BC24="."),d_dir!AF24*1000)))))))),".")</f>
        <v>.</v>
      </c>
      <c r="AG24" s="76" t="str">
        <f>IFERROR(IF(AND(d_Irr!F24&lt;&gt;".",d_Irr!AE24&lt;&gt;".",d_Irr!BD24&lt;&gt;"."),d_dir!AG24/((1/1000)*(d_Irr!F24+d_Irr!AE24+d_Irr!BD24)),IF(AND(d_Irr!F24&lt;&gt;".",d_Irr!AE24&lt;&gt;".",d_Irr!BD24="."),d_dir!AG24/((1/1000)*(d_Irr!F24+d_Irr!AE24)),IF(AND(d_Irr!F24&lt;&gt;".",d_Irr!AE24=".",d_Irr!BD24&lt;&gt;"."),d_dir!AG24/((1/1000)*(d_Irr!F24+d_Irr!BD24)),IF(AND(d_Irr!F24=".",d_Irr!AE24&lt;&gt;".",d_Irr!BD24&lt;&gt;"."),d_dir!AG24/((1/1000)*(d_Irr!AE24+d_Irr!BD24)),IF(AND(d_Irr!F24=".",d_Irr!AE24=".",d_Irr!BD24&lt;&gt;"."),d_dir!AG24/((1/1000)*(d_Irr!BD24)),IF(AND(d_Irr!F24=".",d_Irr!AE24&lt;&gt;".",d_Irr!BD24="."),d_dir!AG24/((1/1000)*(d_Irr!AE24)),IF(AND(d_Irr!F24&lt;&gt;".",d_Irr!AE24=".",d_Irr!BD24="."),d_dir!AG24/((1/1000)*(d_Irr!F24)),IF(AND(d_Irr!F24=".",d_Irr!AE24=".",d_Irr!BD24="."),d_dir!AG24*1000)))))))),".")</f>
        <v>.</v>
      </c>
      <c r="AH24" s="76" t="str">
        <f>IFERROR(IF(AND(d_Irr!G24&lt;&gt;".",d_Irr!AF24&lt;&gt;".",d_Irr!BE24&lt;&gt;"."),d_dir!AH24/((1/1000)*(d_Irr!G24+d_Irr!AF24+d_Irr!BE24)),IF(AND(d_Irr!G24&lt;&gt;".",d_Irr!AF24&lt;&gt;".",d_Irr!BE24="."),d_dir!AH24/((1/1000)*(d_Irr!G24+d_Irr!AF24)),IF(AND(d_Irr!G24&lt;&gt;".",d_Irr!AF24=".",d_Irr!BE24&lt;&gt;"."),d_dir!AH24/((1/1000)*(d_Irr!G24+d_Irr!BE24)),IF(AND(d_Irr!G24=".",d_Irr!AF24&lt;&gt;".",d_Irr!BE24&lt;&gt;"."),d_dir!AH24/((1/1000)*(d_Irr!AF24+d_Irr!BE24)),IF(AND(d_Irr!G24=".",d_Irr!AF24=".",d_Irr!BE24&lt;&gt;"."),d_dir!AH24/((1/1000)*(d_Irr!BE24)),IF(AND(d_Irr!G24=".",d_Irr!AF24&lt;&gt;".",d_Irr!BE24="."),d_dir!AH24/((1/1000)*(d_Irr!AF24)),IF(AND(d_Irr!G24&lt;&gt;".",d_Irr!AF24=".",d_Irr!BE24="."),d_dir!AH24/((1/1000)*(d_Irr!G24)),IF(AND(d_Irr!G24=".",d_Irr!AF24=".",d_Irr!BE24="."),d_dir!AH24*1000)))))))),".")</f>
        <v>.</v>
      </c>
      <c r="AI24" s="76" t="str">
        <f>IFERROR(IF(AND(d_Irr!H24&lt;&gt;".",d_Irr!AG24&lt;&gt;".",d_Irr!BF24&lt;&gt;"."),d_dir!AI24/((1/1000)*(d_Irr!H24+d_Irr!AG24+d_Irr!BF24)),IF(AND(d_Irr!H24&lt;&gt;".",d_Irr!AG24&lt;&gt;".",d_Irr!BF24="."),d_dir!AI24/((1/1000)*(d_Irr!H24+d_Irr!AG24)),IF(AND(d_Irr!H24&lt;&gt;".",d_Irr!AG24=".",d_Irr!BF24&lt;&gt;"."),d_dir!AI24/((1/1000)*(d_Irr!H24+d_Irr!BF24)),IF(AND(d_Irr!H24=".",d_Irr!AG24&lt;&gt;".",d_Irr!BF24&lt;&gt;"."),d_dir!AI24/((1/1000)*(d_Irr!AG24+d_Irr!BF24)),IF(AND(d_Irr!H24=".",d_Irr!AG24=".",d_Irr!BF24&lt;&gt;"."),d_dir!AI24/((1/1000)*(d_Irr!BF24)),IF(AND(d_Irr!H24=".",d_Irr!AG24&lt;&gt;".",d_Irr!BF24="."),d_dir!AI24/((1/1000)*(d_Irr!AG24)),IF(AND(d_Irr!H24&lt;&gt;".",d_Irr!AG24=".",d_Irr!BF24="."),d_dir!AI24/((1/1000)*(d_Irr!H24)),IF(AND(d_Irr!H24=".",d_Irr!AG24=".",d_Irr!BF24="."),d_dir!AI24*1000)))))))),".")</f>
        <v>.</v>
      </c>
      <c r="AJ24" s="76" t="str">
        <f>IFERROR(IF(AND(d_Irr!I24&lt;&gt;".",d_Irr!AH24&lt;&gt;".",d_Irr!BG24&lt;&gt;"."),d_dir!AJ24/((1/1000)*(d_Irr!I24+d_Irr!AH24+d_Irr!BG24)),IF(AND(d_Irr!I24&lt;&gt;".",d_Irr!AH24&lt;&gt;".",d_Irr!BG24="."),d_dir!AJ24/((1/1000)*(d_Irr!I24+d_Irr!AH24)),IF(AND(d_Irr!I24&lt;&gt;".",d_Irr!AH24=".",d_Irr!BG24&lt;&gt;"."),d_dir!AJ24/((1/1000)*(d_Irr!I24+d_Irr!BG24)),IF(AND(d_Irr!I24=".",d_Irr!AH24&lt;&gt;".",d_Irr!BG24&lt;&gt;"."),d_dir!AJ24/((1/1000)*(d_Irr!AH24+d_Irr!BG24)),IF(AND(d_Irr!I24=".",d_Irr!AH24=".",d_Irr!BG24&lt;&gt;"."),d_dir!AJ24/((1/1000)*(d_Irr!BG24)),IF(AND(d_Irr!I24=".",d_Irr!AH24&lt;&gt;".",d_Irr!BG24="."),d_dir!AJ24/((1/1000)*(d_Irr!AH24)),IF(AND(d_Irr!I24&lt;&gt;".",d_Irr!AH24=".",d_Irr!BG24="."),d_dir!AJ24/((1/1000)*(d_Irr!I24)),IF(AND(d_Irr!I24=".",d_Irr!AH24=".",d_Irr!BG24="."),d_dir!AJ24*1000)))))))),".")</f>
        <v>.</v>
      </c>
      <c r="AK24" s="76" t="str">
        <f>IFERROR(IF(AND(d_Irr!J24&lt;&gt;".",d_Irr!AI24&lt;&gt;".",d_Irr!BH24&lt;&gt;"."),d_dir!AK24/((1/1000)*(d_Irr!J24+d_Irr!AI24+d_Irr!BH24)),IF(AND(d_Irr!J24&lt;&gt;".",d_Irr!AI24&lt;&gt;".",d_Irr!BH24="."),d_dir!AK24/((1/1000)*(d_Irr!J24+d_Irr!AI24)),IF(AND(d_Irr!J24&lt;&gt;".",d_Irr!AI24=".",d_Irr!BH24&lt;&gt;"."),d_dir!AK24/((1/1000)*(d_Irr!J24+d_Irr!BH24)),IF(AND(d_Irr!J24=".",d_Irr!AI24&lt;&gt;".",d_Irr!BH24&lt;&gt;"."),d_dir!AK24/((1/1000)*(d_Irr!AI24+d_Irr!BH24)),IF(AND(d_Irr!J24=".",d_Irr!AI24=".",d_Irr!BH24&lt;&gt;"."),d_dir!AK24/((1/1000)*(d_Irr!BH24)),IF(AND(d_Irr!J24=".",d_Irr!AI24&lt;&gt;".",d_Irr!BH24="."),d_dir!AK24/((1/1000)*(d_Irr!AI24)),IF(AND(d_Irr!J24&lt;&gt;".",d_Irr!AI24=".",d_Irr!BH24="."),d_dir!AK24/((1/1000)*(d_Irr!J24)),IF(AND(d_Irr!J24=".",d_Irr!AI24=".",d_Irr!BH24="."),d_dir!AK24*1000)))))))),".")</f>
        <v>.</v>
      </c>
      <c r="AL24" s="76" t="str">
        <f>IFERROR(IF(AND(d_Irr!K24&lt;&gt;".",d_Irr!AJ24&lt;&gt;".",d_Irr!BI24&lt;&gt;"."),d_dir!AL24/((1/1000)*(d_Irr!K24+d_Irr!AJ24+d_Irr!BI24)),IF(AND(d_Irr!K24&lt;&gt;".",d_Irr!AJ24&lt;&gt;".",d_Irr!BI24="."),d_dir!AL24/((1/1000)*(d_Irr!K24+d_Irr!AJ24)),IF(AND(d_Irr!K24&lt;&gt;".",d_Irr!AJ24=".",d_Irr!BI24&lt;&gt;"."),d_dir!AL24/((1/1000)*(d_Irr!K24+d_Irr!BI24)),IF(AND(d_Irr!K24=".",d_Irr!AJ24&lt;&gt;".",d_Irr!BI24&lt;&gt;"."),d_dir!AL24/((1/1000)*(d_Irr!AJ24+d_Irr!BI24)),IF(AND(d_Irr!K24=".",d_Irr!AJ24=".",d_Irr!BI24&lt;&gt;"."),d_dir!AL24/((1/1000)*(d_Irr!BI24)),IF(AND(d_Irr!K24=".",d_Irr!AJ24&lt;&gt;".",d_Irr!BI24="."),d_dir!AL24/((1/1000)*(d_Irr!AJ24)),IF(AND(d_Irr!K24&lt;&gt;".",d_Irr!AJ24=".",d_Irr!BI24="."),d_dir!AL24/((1/1000)*(d_Irr!K24)),IF(AND(d_Irr!K24=".",d_Irr!AJ24=".",d_Irr!BI24="."),d_dir!AL24*1000)))))))),".")</f>
        <v>.</v>
      </c>
      <c r="AM24" s="76" t="str">
        <f>IFERROR(IF(AND(d_Irr!L24&lt;&gt;".",d_Irr!AK24&lt;&gt;".",d_Irr!BJ24&lt;&gt;"."),d_dir!AM24/((1/1000)*(d_Irr!L24+d_Irr!AK24+d_Irr!BJ24)),IF(AND(d_Irr!L24&lt;&gt;".",d_Irr!AK24&lt;&gt;".",d_Irr!BJ24="."),d_dir!AM24/((1/1000)*(d_Irr!L24+d_Irr!AK24)),IF(AND(d_Irr!L24&lt;&gt;".",d_Irr!AK24=".",d_Irr!BJ24&lt;&gt;"."),d_dir!AM24/((1/1000)*(d_Irr!L24+d_Irr!BJ24)),IF(AND(d_Irr!L24=".",d_Irr!AK24&lt;&gt;".",d_Irr!BJ24&lt;&gt;"."),d_dir!AM24/((1/1000)*(d_Irr!AK24+d_Irr!BJ24)),IF(AND(d_Irr!L24=".",d_Irr!AK24=".",d_Irr!BJ24&lt;&gt;"."),d_dir!AM24/((1/1000)*(d_Irr!BJ24)),IF(AND(d_Irr!L24=".",d_Irr!AK24&lt;&gt;".",d_Irr!BJ24="."),d_dir!AM24/((1/1000)*(d_Irr!AK24)),IF(AND(d_Irr!L24&lt;&gt;".",d_Irr!AK24=".",d_Irr!BJ24="."),d_dir!AM24/((1/1000)*(d_Irr!L24)),IF(AND(d_Irr!L24=".",d_Irr!AK24=".",d_Irr!BJ24="."),d_dir!AM24*1000)))))))),".")</f>
        <v>.</v>
      </c>
      <c r="AN24" s="76" t="str">
        <f>IFERROR(IF(AND(d_Irr!M24&lt;&gt;".",d_Irr!AL24&lt;&gt;".",d_Irr!BK24&lt;&gt;"."),d_dir!AN24/((1/1000)*(d_Irr!M24+d_Irr!AL24+d_Irr!BK24)),IF(AND(d_Irr!M24&lt;&gt;".",d_Irr!AL24&lt;&gt;".",d_Irr!BK24="."),d_dir!AN24/((1/1000)*(d_Irr!M24+d_Irr!AL24)),IF(AND(d_Irr!M24&lt;&gt;".",d_Irr!AL24=".",d_Irr!BK24&lt;&gt;"."),d_dir!AN24/((1/1000)*(d_Irr!M24+d_Irr!BK24)),IF(AND(d_Irr!M24=".",d_Irr!AL24&lt;&gt;".",d_Irr!BK24&lt;&gt;"."),d_dir!AN24/((1/1000)*(d_Irr!AL24+d_Irr!BK24)),IF(AND(d_Irr!M24=".",d_Irr!AL24=".",d_Irr!BK24&lt;&gt;"."),d_dir!AN24/((1/1000)*(d_Irr!BK24)),IF(AND(d_Irr!M24=".",d_Irr!AL24&lt;&gt;".",d_Irr!BK24="."),d_dir!AN24/((1/1000)*(d_Irr!AL24)),IF(AND(d_Irr!M24&lt;&gt;".",d_Irr!AL24=".",d_Irr!BK24="."),d_dir!AN24/((1/1000)*(d_Irr!M24)),IF(AND(d_Irr!M24=".",d_Irr!AL24=".",d_Irr!BK24="."),d_dir!AN24*1000)))))))),".")</f>
        <v>.</v>
      </c>
      <c r="AO24" s="76" t="str">
        <f>IFERROR(IF(AND(d_Irr!N24&lt;&gt;".",d_Irr!AM24&lt;&gt;".",d_Irr!BL24&lt;&gt;"."),d_dir!AO24/((1/1000)*(d_Irr!N24+d_Irr!AM24+d_Irr!BL24)),IF(AND(d_Irr!N24&lt;&gt;".",d_Irr!AM24&lt;&gt;".",d_Irr!BL24="."),d_dir!AO24/((1/1000)*(d_Irr!N24+d_Irr!AM24)),IF(AND(d_Irr!N24&lt;&gt;".",d_Irr!AM24=".",d_Irr!BL24&lt;&gt;"."),d_dir!AO24/((1/1000)*(d_Irr!N24+d_Irr!BL24)),IF(AND(d_Irr!N24=".",d_Irr!AM24&lt;&gt;".",d_Irr!BL24&lt;&gt;"."),d_dir!AO24/((1/1000)*(d_Irr!AM24+d_Irr!BL24)),IF(AND(d_Irr!N24=".",d_Irr!AM24=".",d_Irr!BL24&lt;&gt;"."),d_dir!AO24/((1/1000)*(d_Irr!BL24)),IF(AND(d_Irr!N24=".",d_Irr!AM24&lt;&gt;".",d_Irr!BL24="."),d_dir!AO24/((1/1000)*(d_Irr!AM24)),IF(AND(d_Irr!N24&lt;&gt;".",d_Irr!AM24=".",d_Irr!BL24="."),d_dir!AO24/((1/1000)*(d_Irr!N24)),IF(AND(d_Irr!N24=".",d_Irr!AM24=".",d_Irr!BL24="."),d_dir!AO24*1000)))))))),".")</f>
        <v>.</v>
      </c>
      <c r="AP24" s="76" t="str">
        <f>IFERROR(IF(AND(d_Irr!O24&lt;&gt;".",d_Irr!AN24&lt;&gt;".",d_Irr!BM24&lt;&gt;"."),d_dir!AP24/((1/1000)*(d_Irr!O24+d_Irr!AN24+d_Irr!BM24)),IF(AND(d_Irr!O24&lt;&gt;".",d_Irr!AN24&lt;&gt;".",d_Irr!BM24="."),d_dir!AP24/((1/1000)*(d_Irr!O24+d_Irr!AN24)),IF(AND(d_Irr!O24&lt;&gt;".",d_Irr!AN24=".",d_Irr!BM24&lt;&gt;"."),d_dir!AP24/((1/1000)*(d_Irr!O24+d_Irr!BM24)),IF(AND(d_Irr!O24=".",d_Irr!AN24&lt;&gt;".",d_Irr!BM24&lt;&gt;"."),d_dir!AP24/((1/1000)*(d_Irr!AN24+d_Irr!BM24)),IF(AND(d_Irr!O24=".",d_Irr!AN24=".",d_Irr!BM24&lt;&gt;"."),d_dir!AP24/((1/1000)*(d_Irr!BM24)),IF(AND(d_Irr!O24=".",d_Irr!AN24&lt;&gt;".",d_Irr!BM24="."),d_dir!AP24/((1/1000)*(d_Irr!AN24)),IF(AND(d_Irr!O24&lt;&gt;".",d_Irr!AN24=".",d_Irr!BM24="."),d_dir!AP24/((1/1000)*(d_Irr!O24)),IF(AND(d_Irr!O24=".",d_Irr!AN24=".",d_Irr!BM24="."),d_dir!AP24*1000)))))))),".")</f>
        <v>.</v>
      </c>
      <c r="AQ24" s="76" t="str">
        <f>IFERROR(IF(AND(d_Irr!P24&lt;&gt;".",d_Irr!AO24&lt;&gt;".",d_Irr!BN24&lt;&gt;"."),d_dir!AQ24/((1/1000)*(d_Irr!P24+d_Irr!AO24+d_Irr!BN24)),IF(AND(d_Irr!P24&lt;&gt;".",d_Irr!AO24&lt;&gt;".",d_Irr!BN24="."),d_dir!AQ24/((1/1000)*(d_Irr!P24+d_Irr!AO24)),IF(AND(d_Irr!P24&lt;&gt;".",d_Irr!AO24=".",d_Irr!BN24&lt;&gt;"."),d_dir!AQ24/((1/1000)*(d_Irr!P24+d_Irr!BN24)),IF(AND(d_Irr!P24=".",d_Irr!AO24&lt;&gt;".",d_Irr!BN24&lt;&gt;"."),d_dir!AQ24/((1/1000)*(d_Irr!AO24+d_Irr!BN24)),IF(AND(d_Irr!P24=".",d_Irr!AO24=".",d_Irr!BN24&lt;&gt;"."),d_dir!AQ24/((1/1000)*(d_Irr!BN24)),IF(AND(d_Irr!P24=".",d_Irr!AO24&lt;&gt;".",d_Irr!BN24="."),d_dir!AQ24/((1/1000)*(d_Irr!AO24)),IF(AND(d_Irr!P24&lt;&gt;".",d_Irr!AO24=".",d_Irr!BN24="."),d_dir!AQ24/((1/1000)*(d_Irr!P24)),IF(AND(d_Irr!P24=".",d_Irr!AO24=".",d_Irr!BN24="."),d_dir!AQ24*1000)))))))),".")</f>
        <v>.</v>
      </c>
      <c r="AR24" s="76" t="str">
        <f>IFERROR(IF(AND(d_Irr!Q24&lt;&gt;".",d_Irr!AP24&lt;&gt;".",d_Irr!BO24&lt;&gt;"."),d_dir!AR24/((1/1000)*(d_Irr!Q24+d_Irr!AP24+d_Irr!BO24)),IF(AND(d_Irr!Q24&lt;&gt;".",d_Irr!AP24&lt;&gt;".",d_Irr!BO24="."),d_dir!AR24/((1/1000)*(d_Irr!Q24+d_Irr!AP24)),IF(AND(d_Irr!Q24&lt;&gt;".",d_Irr!AP24=".",d_Irr!BO24&lt;&gt;"."),d_dir!AR24/((1/1000)*(d_Irr!Q24+d_Irr!BO24)),IF(AND(d_Irr!Q24=".",d_Irr!AP24&lt;&gt;".",d_Irr!BO24&lt;&gt;"."),d_dir!AR24/((1/1000)*(d_Irr!AP24+d_Irr!BO24)),IF(AND(d_Irr!Q24=".",d_Irr!AP24=".",d_Irr!BO24&lt;&gt;"."),d_dir!AR24/((1/1000)*(d_Irr!BO24)),IF(AND(d_Irr!Q24=".",d_Irr!AP24&lt;&gt;".",d_Irr!BO24="."),d_dir!AR24/((1/1000)*(d_Irr!AP24)),IF(AND(d_Irr!Q24&lt;&gt;".",d_Irr!AP24=".",d_Irr!BO24="."),d_dir!AR24/((1/1000)*(d_Irr!Q24)),IF(AND(d_Irr!Q24=".",d_Irr!AP24=".",d_Irr!BO24="."),d_dir!AR24*1000)))))))),".")</f>
        <v>.</v>
      </c>
      <c r="AS24" s="76" t="str">
        <f>IFERROR(IF(AND(d_Irr!R24&lt;&gt;".",d_Irr!AQ24&lt;&gt;".",d_Irr!BP24&lt;&gt;"."),d_dir!AS24/((1/1000)*(d_Irr!R24+d_Irr!AQ24+d_Irr!BP24)),IF(AND(d_Irr!R24&lt;&gt;".",d_Irr!AQ24&lt;&gt;".",d_Irr!BP24="."),d_dir!AS24/((1/1000)*(d_Irr!R24+d_Irr!AQ24)),IF(AND(d_Irr!R24&lt;&gt;".",d_Irr!AQ24=".",d_Irr!BP24&lt;&gt;"."),d_dir!AS24/((1/1000)*(d_Irr!R24+d_Irr!BP24)),IF(AND(d_Irr!R24=".",d_Irr!AQ24&lt;&gt;".",d_Irr!BP24&lt;&gt;"."),d_dir!AS24/((1/1000)*(d_Irr!AQ24+d_Irr!BP24)),IF(AND(d_Irr!R24=".",d_Irr!AQ24=".",d_Irr!BP24&lt;&gt;"."),d_dir!AS24/((1/1000)*(d_Irr!BP24)),IF(AND(d_Irr!R24=".",d_Irr!AQ24&lt;&gt;".",d_Irr!BP24="."),d_dir!AS24/((1/1000)*(d_Irr!AQ24)),IF(AND(d_Irr!R24&lt;&gt;".",d_Irr!AQ24=".",d_Irr!BP24="."),d_dir!AS24/((1/1000)*(d_Irr!R24)),IF(AND(d_Irr!R24=".",d_Irr!AQ24=".",d_Irr!BP24="."),d_dir!AS24*1000)))))))),".")</f>
        <v>.</v>
      </c>
      <c r="AT24" s="76" t="str">
        <f>IFERROR(IF(AND(d_Irr!S24&lt;&gt;".",d_Irr!AR24&lt;&gt;".",d_Irr!BQ24&lt;&gt;"."),d_dir!AT24/((1/1000)*(d_Irr!S24+d_Irr!AR24+d_Irr!BQ24)),IF(AND(d_Irr!S24&lt;&gt;".",d_Irr!AR24&lt;&gt;".",d_Irr!BQ24="."),d_dir!AT24/((1/1000)*(d_Irr!S24+d_Irr!AR24)),IF(AND(d_Irr!S24&lt;&gt;".",d_Irr!AR24=".",d_Irr!BQ24&lt;&gt;"."),d_dir!AT24/((1/1000)*(d_Irr!S24+d_Irr!BQ24)),IF(AND(d_Irr!S24=".",d_Irr!AR24&lt;&gt;".",d_Irr!BQ24&lt;&gt;"."),d_dir!AT24/((1/1000)*(d_Irr!AR24+d_Irr!BQ24)),IF(AND(d_Irr!S24=".",d_Irr!AR24=".",d_Irr!BQ24&lt;&gt;"."),d_dir!AT24/((1/1000)*(d_Irr!BQ24)),IF(AND(d_Irr!S24=".",d_Irr!AR24&lt;&gt;".",d_Irr!BQ24="."),d_dir!AT24/((1/1000)*(d_Irr!AR24)),IF(AND(d_Irr!S24&lt;&gt;".",d_Irr!AR24=".",d_Irr!BQ24="."),d_dir!AT24/((1/1000)*(d_Irr!S24)),IF(AND(d_Irr!S24=".",d_Irr!AR24=".",d_Irr!BQ24="."),d_dir!AT24*1000)))))))),".")</f>
        <v>.</v>
      </c>
      <c r="AU24" s="76" t="str">
        <f>IFERROR(IF(AND(d_Irr!T24&lt;&gt;".",d_Irr!AS24&lt;&gt;".",d_Irr!BR24&lt;&gt;"."),d_dir!AU24/((1/1000)*(d_Irr!T24+d_Irr!AS24+d_Irr!BR24)),IF(AND(d_Irr!T24&lt;&gt;".",d_Irr!AS24&lt;&gt;".",d_Irr!BR24="."),d_dir!AU24/((1/1000)*(d_Irr!T24+d_Irr!AS24)),IF(AND(d_Irr!T24&lt;&gt;".",d_Irr!AS24=".",d_Irr!BR24&lt;&gt;"."),d_dir!AU24/((1/1000)*(d_Irr!T24+d_Irr!BR24)),IF(AND(d_Irr!T24=".",d_Irr!AS24&lt;&gt;".",d_Irr!BR24&lt;&gt;"."),d_dir!AU24/((1/1000)*(d_Irr!AS24+d_Irr!BR24)),IF(AND(d_Irr!T24=".",d_Irr!AS24=".",d_Irr!BR24&lt;&gt;"."),d_dir!AU24/((1/1000)*(d_Irr!BR24)),IF(AND(d_Irr!T24=".",d_Irr!AS24&lt;&gt;".",d_Irr!BR24="."),d_dir!AU24/((1/1000)*(d_Irr!AS24)),IF(AND(d_Irr!T24&lt;&gt;".",d_Irr!AS24=".",d_Irr!BR24="."),d_dir!AU24/((1/1000)*(d_Irr!T24)),IF(AND(d_Irr!T24=".",d_Irr!AS24=".",d_Irr!BR24="."),d_dir!AU24*1000)))))))),".")</f>
        <v>.</v>
      </c>
      <c r="AV24" s="76" t="str">
        <f>IFERROR(IF(AND(d_Irr!U24&lt;&gt;".",d_Irr!AT24&lt;&gt;".",d_Irr!BS24&lt;&gt;"."),d_dir!AV24/((1/1000)*(d_Irr!U24+d_Irr!AT24+d_Irr!BS24)),IF(AND(d_Irr!U24&lt;&gt;".",d_Irr!AT24&lt;&gt;".",d_Irr!BS24="."),d_dir!AV24/((1/1000)*(d_Irr!U24+d_Irr!AT24)),IF(AND(d_Irr!U24&lt;&gt;".",d_Irr!AT24=".",d_Irr!BS24&lt;&gt;"."),d_dir!AV24/((1/1000)*(d_Irr!U24+d_Irr!BS24)),IF(AND(d_Irr!U24=".",d_Irr!AT24&lt;&gt;".",d_Irr!BS24&lt;&gt;"."),d_dir!AV24/((1/1000)*(d_Irr!AT24+d_Irr!BS24)),IF(AND(d_Irr!U24=".",d_Irr!AT24=".",d_Irr!BS24&lt;&gt;"."),d_dir!AV24/((1/1000)*(d_Irr!BS24)),IF(AND(d_Irr!U24=".",d_Irr!AT24&lt;&gt;".",d_Irr!BS24="."),d_dir!AV24/((1/1000)*(d_Irr!AT24)),IF(AND(d_Irr!U24&lt;&gt;".",d_Irr!AT24=".",d_Irr!BS24="."),d_dir!AV24/((1/1000)*(d_Irr!U24)),IF(AND(d_Irr!U24=".",d_Irr!AT24=".",d_Irr!BS24="."),d_dir!AV24*1000)))))))),".")</f>
        <v>.</v>
      </c>
      <c r="AW24" s="76" t="str">
        <f>IFERROR(IF(AND(d_Irr!V24&lt;&gt;".",d_Irr!AU24&lt;&gt;".",d_Irr!BT24&lt;&gt;"."),d_dir!AW24/((1/1000)*(d_Irr!V24+d_Irr!AU24+d_Irr!BT24)),IF(AND(d_Irr!V24&lt;&gt;".",d_Irr!AU24&lt;&gt;".",d_Irr!BT24="."),d_dir!AW24/((1/1000)*(d_Irr!V24+d_Irr!AU24)),IF(AND(d_Irr!V24&lt;&gt;".",d_Irr!AU24=".",d_Irr!BT24&lt;&gt;"."),d_dir!AW24/((1/1000)*(d_Irr!V24+d_Irr!BT24)),IF(AND(d_Irr!V24=".",d_Irr!AU24&lt;&gt;".",d_Irr!BT24&lt;&gt;"."),d_dir!AW24/((1/1000)*(d_Irr!AU24+d_Irr!BT24)),IF(AND(d_Irr!V24=".",d_Irr!AU24=".",d_Irr!BT24&lt;&gt;"."),d_dir!AW24/((1/1000)*(d_Irr!BT24)),IF(AND(d_Irr!V24=".",d_Irr!AU24&lt;&gt;".",d_Irr!BT24="."),d_dir!AW24/((1/1000)*(d_Irr!AU24)),IF(AND(d_Irr!V24&lt;&gt;".",d_Irr!AU24=".",d_Irr!BT24="."),d_dir!AW24/((1/1000)*(d_Irr!V24)),IF(AND(d_Irr!V24=".",d_Irr!AU24=".",d_Irr!BT24="."),d_dir!AW24*1000)))))))),".")</f>
        <v>.</v>
      </c>
      <c r="AX24" s="76" t="str">
        <f>IFERROR(IF(AND(d_Irr!W24&lt;&gt;".",d_Irr!AV24&lt;&gt;".",d_Irr!BU24&lt;&gt;"."),d_dir!AX24/((1/1000)*(d_Irr!W24+d_Irr!AV24+d_Irr!BU24)),IF(AND(d_Irr!W24&lt;&gt;".",d_Irr!AV24&lt;&gt;".",d_Irr!BU24="."),d_dir!AX24/((1/1000)*(d_Irr!W24+d_Irr!AV24)),IF(AND(d_Irr!W24&lt;&gt;".",d_Irr!AV24=".",d_Irr!BU24&lt;&gt;"."),d_dir!AX24/((1/1000)*(d_Irr!W24+d_Irr!BU24)),IF(AND(d_Irr!W24=".",d_Irr!AV24&lt;&gt;".",d_Irr!BU24&lt;&gt;"."),d_dir!AX24/((1/1000)*(d_Irr!AV24+d_Irr!BU24)),IF(AND(d_Irr!W24=".",d_Irr!AV24=".",d_Irr!BU24&lt;&gt;"."),d_dir!AX24/((1/1000)*(d_Irr!BU24)),IF(AND(d_Irr!W24=".",d_Irr!AV24&lt;&gt;".",d_Irr!BU24="."),d_dir!AX24/((1/1000)*(d_Irr!AV24)),IF(AND(d_Irr!W24&lt;&gt;".",d_Irr!AV24=".",d_Irr!BU24="."),d_dir!AX24/((1/1000)*(d_Irr!W24)),IF(AND(d_Irr!W24=".",d_Irr!AV24=".",d_Irr!BU24="."),d_dir!AX24*1000)))))))),".")</f>
        <v>.</v>
      </c>
      <c r="AY24" s="76" t="str">
        <f>IFERROR(IF(AND(d_Irr!X24&lt;&gt;".",d_Irr!AW24&lt;&gt;".",d_Irr!BV24&lt;&gt;"."),d_dir!AY24/((1/1000)*(d_Irr!X24+d_Irr!AW24+d_Irr!BV24)),IF(AND(d_Irr!X24&lt;&gt;".",d_Irr!AW24&lt;&gt;".",d_Irr!BV24="."),d_dir!AY24/((1/1000)*(d_Irr!X24+d_Irr!AW24)),IF(AND(d_Irr!X24&lt;&gt;".",d_Irr!AW24=".",d_Irr!BV24&lt;&gt;"."),d_dir!AY24/((1/1000)*(d_Irr!X24+d_Irr!BV24)),IF(AND(d_Irr!X24=".",d_Irr!AW24&lt;&gt;".",d_Irr!BV24&lt;&gt;"."),d_dir!AY24/((1/1000)*(d_Irr!AW24+d_Irr!BV24)),IF(AND(d_Irr!X24=".",d_Irr!AW24=".",d_Irr!BV24&lt;&gt;"."),d_dir!AY24/((1/1000)*(d_Irr!BV24)),IF(AND(d_Irr!X24=".",d_Irr!AW24&lt;&gt;".",d_Irr!BV24="."),d_dir!AY24/((1/1000)*(d_Irr!AW24)),IF(AND(d_Irr!X24&lt;&gt;".",d_Irr!AW24=".",d_Irr!BV24="."),d_dir!AY24/((1/1000)*(d_Irr!X24)),IF(AND(d_Irr!X24=".",d_Irr!AW24=".",d_Irr!BV24="."),d_dir!AY24*1000)))))))),".")</f>
        <v>.</v>
      </c>
      <c r="AZ24" s="76" t="str">
        <f>IFERROR(IF(AND(d_Irr!Y24&lt;&gt;".",d_Irr!AX24&lt;&gt;".",d_Irr!BW24&lt;&gt;"."),d_dir!AZ24/((1/1000)*(d_Irr!Y24+d_Irr!AX24+d_Irr!BW24)),IF(AND(d_Irr!Y24&lt;&gt;".",d_Irr!AX24&lt;&gt;".",d_Irr!BW24="."),d_dir!AZ24/((1/1000)*(d_Irr!Y24+d_Irr!AX24)),IF(AND(d_Irr!Y24&lt;&gt;".",d_Irr!AX24=".",d_Irr!BW24&lt;&gt;"."),d_dir!AZ24/((1/1000)*(d_Irr!Y24+d_Irr!BW24)),IF(AND(d_Irr!Y24=".",d_Irr!AX24&lt;&gt;".",d_Irr!BW24&lt;&gt;"."),d_dir!AZ24/((1/1000)*(d_Irr!AX24+d_Irr!BW24)),IF(AND(d_Irr!Y24=".",d_Irr!AX24=".",d_Irr!BW24&lt;&gt;"."),d_dir!AZ24/((1/1000)*(d_Irr!BW24)),IF(AND(d_Irr!Y24=".",d_Irr!AX24&lt;&gt;".",d_Irr!BW24="."),d_dir!AZ24/((1/1000)*(d_Irr!AX24)),IF(AND(d_Irr!Y24&lt;&gt;".",d_Irr!AX24=".",d_Irr!BW24="."),d_dir!AZ24/((1/1000)*(d_Irr!Y24)),IF(AND(d_Irr!Y24=".",d_Irr!AX24=".",d_Irr!BW24="."),d_dir!AZ24*1000)))))))),".")</f>
        <v>.</v>
      </c>
      <c r="BA24" s="76" t="str">
        <f>IFERROR(IF(AND(d_Irr!Z24&lt;&gt;".",d_Irr!AY24&lt;&gt;".",d_Irr!BX24&lt;&gt;"."),d_dir!BA24/((1/1000)*(d_Irr!Z24+d_Irr!AY24+d_Irr!BX24)),IF(AND(d_Irr!Z24&lt;&gt;".",d_Irr!AY24&lt;&gt;".",d_Irr!BX24="."),d_dir!BA24/((1/1000)*(d_Irr!Z24+d_Irr!AY24)),IF(AND(d_Irr!Z24&lt;&gt;".",d_Irr!AY24=".",d_Irr!BX24&lt;&gt;"."),d_dir!BA24/((1/1000)*(d_Irr!Z24+d_Irr!BX24)),IF(AND(d_Irr!Z24=".",d_Irr!AY24&lt;&gt;".",d_Irr!BX24&lt;&gt;"."),d_dir!BA24/((1/1000)*(d_Irr!AY24+d_Irr!BX24)),IF(AND(d_Irr!Z24=".",d_Irr!AY24=".",d_Irr!BX24&lt;&gt;"."),d_dir!BA24/((1/1000)*(d_Irr!BX24)),IF(AND(d_Irr!Z24=".",d_Irr!AY24&lt;&gt;".",d_Irr!BX24="."),d_dir!BA24/((1/1000)*(d_Irr!AY24)),IF(AND(d_Irr!Z24&lt;&gt;".",d_Irr!AY24=".",d_Irr!BX24="."),d_dir!BA24/((1/1000)*(d_Irr!Z24)),IF(AND(d_Irr!Z24=".",d_Irr!AY24=".",d_Irr!BX24="."),d_dir!BA24*1000)))))))),".")</f>
        <v>.</v>
      </c>
      <c r="BB24" s="76" t="str">
        <f>IFERROR(IF(AND(d_Irr!AA24&lt;&gt;".",d_Irr!AZ24&lt;&gt;".",d_Irr!BY24&lt;&gt;"."),d_dir!BB24/((1/1000)*(d_Irr!AA24+d_Irr!AZ24+d_Irr!BY24)),IF(AND(d_Irr!AA24&lt;&gt;".",d_Irr!AZ24&lt;&gt;".",d_Irr!BY24="."),d_dir!BB24/((1/1000)*(d_Irr!AA24+d_Irr!AZ24)),IF(AND(d_Irr!AA24&lt;&gt;".",d_Irr!AZ24=".",d_Irr!BY24&lt;&gt;"."),d_dir!BB24/((1/1000)*(d_Irr!AA24+d_Irr!BY24)),IF(AND(d_Irr!AA24=".",d_Irr!AZ24&lt;&gt;".",d_Irr!BY24&lt;&gt;"."),d_dir!BB24/((1/1000)*(d_Irr!AZ24+d_Irr!BY24)),IF(AND(d_Irr!AA24=".",d_Irr!AZ24=".",d_Irr!BY24&lt;&gt;"."),d_dir!BB24/((1/1000)*(d_Irr!BY24)),IF(AND(d_Irr!AA24=".",d_Irr!AZ24&lt;&gt;".",d_Irr!BY24="."),d_dir!BB24/((1/1000)*(d_Irr!AZ24)),IF(AND(d_Irr!AA24&lt;&gt;".",d_Irr!AZ24=".",d_Irr!BY24="."),d_dir!BB24/((1/1000)*(d_Irr!AA24)),IF(AND(d_Irr!AA24=".",d_Irr!AZ24=".",d_Irr!BY24="."),d_dir!BB24*1000)))))))),".")</f>
        <v>.</v>
      </c>
    </row>
    <row r="25" spans="1:54" x14ac:dyDescent="0.25">
      <c r="A25" s="94" t="s">
        <v>35</v>
      </c>
      <c r="B25" s="90" t="s">
        <v>349</v>
      </c>
      <c r="C25" s="2" t="str">
        <f t="shared" si="1"/>
        <v>.</v>
      </c>
      <c r="D25" s="76" t="str">
        <f>IFERROR(IF(AND(d_Irr!C25&lt;&gt;".",d_Irr!AB25&lt;&gt;".",d_Irr!BA25&lt;&gt;"."),d_dir!D25/((1/1000)*(d_Irr!C25+d_Irr!AB25+d_Irr!BA25)),IF(AND(d_Irr!C25&lt;&gt;".",d_Irr!AB25&lt;&gt;".",d_Irr!BA25="."),d_dir!D25/((1/1000)*(d_Irr!C25+d_Irr!AB25)),IF(AND(d_Irr!C25&lt;&gt;".",d_Irr!AB25=".",d_Irr!BA25&lt;&gt;"."),d_dir!D25/((1/1000)*(d_Irr!C25+d_Irr!BA25)),IF(AND(d_Irr!C25=".",d_Irr!AB25&lt;&gt;".",d_Irr!BA25&lt;&gt;"."),d_dir!D25/((1/1000)*(d_Irr!AB25+d_Irr!BA25)),IF(AND(d_Irr!C25=".",d_Irr!AB25=".",d_Irr!BA25&lt;&gt;"."),d_dir!D25/((1/1000)*(d_Irr!BA25)),IF(AND(d_Irr!C25=".",d_Irr!AB25&lt;&gt;".",d_Irr!BA25="."),d_dir!D25/((1/1000)*(d_Irr!AB25)),IF(AND(d_Irr!C25&lt;&gt;".",d_Irr!AB25=".",d_Irr!BA25="."),d_dir!D25/((1/1000)*(d_Irr!C25)),IF(AND(d_Irr!C25=".",d_Irr!AB25=".",d_Irr!BA25="."),d_dir!D25*1000)))))))),".")</f>
        <v>.</v>
      </c>
      <c r="E25" s="76" t="str">
        <f>IFERROR(IF(AND(d_Irr!D25&lt;&gt;".",d_Irr!AC25&lt;&gt;".",d_Irr!BB25&lt;&gt;"."),d_dir!E25/((1/1000)*(d_Irr!D25+d_Irr!AC25+d_Irr!BB25)),IF(AND(d_Irr!D25&lt;&gt;".",d_Irr!AC25&lt;&gt;".",d_Irr!BB25="."),d_dir!E25/((1/1000)*(d_Irr!D25+d_Irr!AC25)),IF(AND(d_Irr!D25&lt;&gt;".",d_Irr!AC25=".",d_Irr!BB25&lt;&gt;"."),d_dir!E25/((1/1000)*(d_Irr!D25+d_Irr!BB25)),IF(AND(d_Irr!D25=".",d_Irr!AC25&lt;&gt;".",d_Irr!BB25&lt;&gt;"."),d_dir!E25/((1/1000)*(d_Irr!AC25+d_Irr!BB25)),IF(AND(d_Irr!D25=".",d_Irr!AC25=".",d_Irr!BB25&lt;&gt;"."),d_dir!E25/((1/1000)*(d_Irr!BB25)),IF(AND(d_Irr!D25=".",d_Irr!AC25&lt;&gt;".",d_Irr!BB25="."),d_dir!E25/((1/1000)*(d_Irr!AC25)),IF(AND(d_Irr!D25&lt;&gt;".",d_Irr!AC25=".",d_Irr!BB25="."),d_dir!E25/((1/1000)*(d_Irr!D25)),IF(AND(d_Irr!D25=".",d_Irr!AC25=".",d_Irr!BB25="."),d_dir!E25*1000)))))))),".")</f>
        <v>.</v>
      </c>
      <c r="F25" s="76" t="str">
        <f>IFERROR(IF(AND(d_Irr!E25&lt;&gt;".",d_Irr!AD25&lt;&gt;".",d_Irr!BC25&lt;&gt;"."),d_dir!F25/((1/1000)*(d_Irr!E25+d_Irr!AD25+d_Irr!BC25)),IF(AND(d_Irr!E25&lt;&gt;".",d_Irr!AD25&lt;&gt;".",d_Irr!BC25="."),d_dir!F25/((1/1000)*(d_Irr!E25+d_Irr!AD25)),IF(AND(d_Irr!E25&lt;&gt;".",d_Irr!AD25=".",d_Irr!BC25&lt;&gt;"."),d_dir!F25/((1/1000)*(d_Irr!E25+d_Irr!BC25)),IF(AND(d_Irr!E25=".",d_Irr!AD25&lt;&gt;".",d_Irr!BC25&lt;&gt;"."),d_dir!F25/((1/1000)*(d_Irr!AD25+d_Irr!BC25)),IF(AND(d_Irr!E25=".",d_Irr!AD25=".",d_Irr!BC25&lt;&gt;"."),d_dir!F25/((1/1000)*(d_Irr!BC25)),IF(AND(d_Irr!E25=".",d_Irr!AD25&lt;&gt;".",d_Irr!BC25="."),d_dir!F25/((1/1000)*(d_Irr!AD25)),IF(AND(d_Irr!E25&lt;&gt;".",d_Irr!AD25=".",d_Irr!BC25="."),d_dir!F25/((1/1000)*(d_Irr!E25)),IF(AND(d_Irr!E25=".",d_Irr!AD25=".",d_Irr!BC25="."),d_dir!F25*1000)))))))),".")</f>
        <v>.</v>
      </c>
      <c r="G25" s="76" t="str">
        <f>IFERROR(IF(AND(d_Irr!F25&lt;&gt;".",d_Irr!AE25&lt;&gt;".",d_Irr!BD25&lt;&gt;"."),d_dir!G25/((1/1000)*(d_Irr!F25+d_Irr!AE25+d_Irr!BD25)),IF(AND(d_Irr!F25&lt;&gt;".",d_Irr!AE25&lt;&gt;".",d_Irr!BD25="."),d_dir!G25/((1/1000)*(d_Irr!F25+d_Irr!AE25)),IF(AND(d_Irr!F25&lt;&gt;".",d_Irr!AE25=".",d_Irr!BD25&lt;&gt;"."),d_dir!G25/((1/1000)*(d_Irr!F25+d_Irr!BD25)),IF(AND(d_Irr!F25=".",d_Irr!AE25&lt;&gt;".",d_Irr!BD25&lt;&gt;"."),d_dir!G25/((1/1000)*(d_Irr!AE25+d_Irr!BD25)),IF(AND(d_Irr!F25=".",d_Irr!AE25=".",d_Irr!BD25&lt;&gt;"."),d_dir!G25/((1/1000)*(d_Irr!BD25)),IF(AND(d_Irr!F25=".",d_Irr!AE25&lt;&gt;".",d_Irr!BD25="."),d_dir!G25/((1/1000)*(d_Irr!AE25)),IF(AND(d_Irr!F25&lt;&gt;".",d_Irr!AE25=".",d_Irr!BD25="."),d_dir!G25/((1/1000)*(d_Irr!F25)),IF(AND(d_Irr!F25=".",d_Irr!AE25=".",d_Irr!BD25="."),d_dir!G25*1000)))))))),".")</f>
        <v>.</v>
      </c>
      <c r="H25" s="76" t="str">
        <f>IFERROR(IF(AND(d_Irr!G25&lt;&gt;".",d_Irr!AF25&lt;&gt;".",d_Irr!BE25&lt;&gt;"."),d_dir!H25/((1/1000)*(d_Irr!G25+d_Irr!AF25+d_Irr!BE25)),IF(AND(d_Irr!G25&lt;&gt;".",d_Irr!AF25&lt;&gt;".",d_Irr!BE25="."),d_dir!H25/((1/1000)*(d_Irr!G25+d_Irr!AF25)),IF(AND(d_Irr!G25&lt;&gt;".",d_Irr!AF25=".",d_Irr!BE25&lt;&gt;"."),d_dir!H25/((1/1000)*(d_Irr!G25+d_Irr!BE25)),IF(AND(d_Irr!G25=".",d_Irr!AF25&lt;&gt;".",d_Irr!BE25&lt;&gt;"."),d_dir!H25/((1/1000)*(d_Irr!AF25+d_Irr!BE25)),IF(AND(d_Irr!G25=".",d_Irr!AF25=".",d_Irr!BE25&lt;&gt;"."),d_dir!H25/((1/1000)*(d_Irr!BE25)),IF(AND(d_Irr!G25=".",d_Irr!AF25&lt;&gt;".",d_Irr!BE25="."),d_dir!H25/((1/1000)*(d_Irr!AF25)),IF(AND(d_Irr!G25&lt;&gt;".",d_Irr!AF25=".",d_Irr!BE25="."),d_dir!H25/((1/1000)*(d_Irr!G25)),IF(AND(d_Irr!G25=".",d_Irr!AF25=".",d_Irr!BE25="."),d_dir!H25*1000)))))))),".")</f>
        <v>.</v>
      </c>
      <c r="I25" s="76" t="str">
        <f>IFERROR(IF(AND(d_Irr!H25&lt;&gt;".",d_Irr!AG25&lt;&gt;".",d_Irr!BF25&lt;&gt;"."),d_dir!I25/((1/1000)*(d_Irr!H25+d_Irr!AG25+d_Irr!BF25)),IF(AND(d_Irr!H25&lt;&gt;".",d_Irr!AG25&lt;&gt;".",d_Irr!BF25="."),d_dir!I25/((1/1000)*(d_Irr!H25+d_Irr!AG25)),IF(AND(d_Irr!H25&lt;&gt;".",d_Irr!AG25=".",d_Irr!BF25&lt;&gt;"."),d_dir!I25/((1/1000)*(d_Irr!H25+d_Irr!BF25)),IF(AND(d_Irr!H25=".",d_Irr!AG25&lt;&gt;".",d_Irr!BF25&lt;&gt;"."),d_dir!I25/((1/1000)*(d_Irr!AG25+d_Irr!BF25)),IF(AND(d_Irr!H25=".",d_Irr!AG25=".",d_Irr!BF25&lt;&gt;"."),d_dir!I25/((1/1000)*(d_Irr!BF25)),IF(AND(d_Irr!H25=".",d_Irr!AG25&lt;&gt;".",d_Irr!BF25="."),d_dir!I25/((1/1000)*(d_Irr!AG25)),IF(AND(d_Irr!H25&lt;&gt;".",d_Irr!AG25=".",d_Irr!BF25="."),d_dir!I25/((1/1000)*(d_Irr!H25)),IF(AND(d_Irr!H25=".",d_Irr!AG25=".",d_Irr!BF25="."),d_dir!I25*1000)))))))),".")</f>
        <v>.</v>
      </c>
      <c r="J25" s="76" t="str">
        <f>IFERROR(IF(AND(d_Irr!I25&lt;&gt;".",d_Irr!AH25&lt;&gt;".",d_Irr!BG25&lt;&gt;"."),d_dir!J25/((1/1000)*(d_Irr!I25+d_Irr!AH25+d_Irr!BG25)),IF(AND(d_Irr!I25&lt;&gt;".",d_Irr!AH25&lt;&gt;".",d_Irr!BG25="."),d_dir!J25/((1/1000)*(d_Irr!I25+d_Irr!AH25)),IF(AND(d_Irr!I25&lt;&gt;".",d_Irr!AH25=".",d_Irr!BG25&lt;&gt;"."),d_dir!J25/((1/1000)*(d_Irr!I25+d_Irr!BG25)),IF(AND(d_Irr!I25=".",d_Irr!AH25&lt;&gt;".",d_Irr!BG25&lt;&gt;"."),d_dir!J25/((1/1000)*(d_Irr!AH25+d_Irr!BG25)),IF(AND(d_Irr!I25=".",d_Irr!AH25=".",d_Irr!BG25&lt;&gt;"."),d_dir!J25/((1/1000)*(d_Irr!BG25)),IF(AND(d_Irr!I25=".",d_Irr!AH25&lt;&gt;".",d_Irr!BG25="."),d_dir!J25/((1/1000)*(d_Irr!AH25)),IF(AND(d_Irr!I25&lt;&gt;".",d_Irr!AH25=".",d_Irr!BG25="."),d_dir!J25/((1/1000)*(d_Irr!I25)),IF(AND(d_Irr!I25=".",d_Irr!AH25=".",d_Irr!BG25="."),d_dir!J25*1000)))))))),".")</f>
        <v>.</v>
      </c>
      <c r="K25" s="76" t="str">
        <f>IFERROR(IF(AND(d_Irr!J25&lt;&gt;".",d_Irr!AI25&lt;&gt;".",d_Irr!BH25&lt;&gt;"."),d_dir!K25/((1/1000)*(d_Irr!J25+d_Irr!AI25+d_Irr!BH25)),IF(AND(d_Irr!J25&lt;&gt;".",d_Irr!AI25&lt;&gt;".",d_Irr!BH25="."),d_dir!K25/((1/1000)*(d_Irr!J25+d_Irr!AI25)),IF(AND(d_Irr!J25&lt;&gt;".",d_Irr!AI25=".",d_Irr!BH25&lt;&gt;"."),d_dir!K25/((1/1000)*(d_Irr!J25+d_Irr!BH25)),IF(AND(d_Irr!J25=".",d_Irr!AI25&lt;&gt;".",d_Irr!BH25&lt;&gt;"."),d_dir!K25/((1/1000)*(d_Irr!AI25+d_Irr!BH25)),IF(AND(d_Irr!J25=".",d_Irr!AI25=".",d_Irr!BH25&lt;&gt;"."),d_dir!K25/((1/1000)*(d_Irr!BH25)),IF(AND(d_Irr!J25=".",d_Irr!AI25&lt;&gt;".",d_Irr!BH25="."),d_dir!K25/((1/1000)*(d_Irr!AI25)),IF(AND(d_Irr!J25&lt;&gt;".",d_Irr!AI25=".",d_Irr!BH25="."),d_dir!K25/((1/1000)*(d_Irr!J25)),IF(AND(d_Irr!J25=".",d_Irr!AI25=".",d_Irr!BH25="."),d_dir!K25*1000)))))))),".")</f>
        <v>.</v>
      </c>
      <c r="L25" s="76" t="str">
        <f>IFERROR(IF(AND(d_Irr!K25&lt;&gt;".",d_Irr!AJ25&lt;&gt;".",d_Irr!BI25&lt;&gt;"."),d_dir!L25/((1/1000)*(d_Irr!K25+d_Irr!AJ25+d_Irr!BI25)),IF(AND(d_Irr!K25&lt;&gt;".",d_Irr!AJ25&lt;&gt;".",d_Irr!BI25="."),d_dir!L25/((1/1000)*(d_Irr!K25+d_Irr!AJ25)),IF(AND(d_Irr!K25&lt;&gt;".",d_Irr!AJ25=".",d_Irr!BI25&lt;&gt;"."),d_dir!L25/((1/1000)*(d_Irr!K25+d_Irr!BI25)),IF(AND(d_Irr!K25=".",d_Irr!AJ25&lt;&gt;".",d_Irr!BI25&lt;&gt;"."),d_dir!L25/((1/1000)*(d_Irr!AJ25+d_Irr!BI25)),IF(AND(d_Irr!K25=".",d_Irr!AJ25=".",d_Irr!BI25&lt;&gt;"."),d_dir!L25/((1/1000)*(d_Irr!BI25)),IF(AND(d_Irr!K25=".",d_Irr!AJ25&lt;&gt;".",d_Irr!BI25="."),d_dir!L25/((1/1000)*(d_Irr!AJ25)),IF(AND(d_Irr!K25&lt;&gt;".",d_Irr!AJ25=".",d_Irr!BI25="."),d_dir!L25/((1/1000)*(d_Irr!K25)),IF(AND(d_Irr!K25=".",d_Irr!AJ25=".",d_Irr!BI25="."),d_dir!L25*1000)))))))),".")</f>
        <v>.</v>
      </c>
      <c r="M25" s="76" t="str">
        <f>IFERROR(IF(AND(d_Irr!L25&lt;&gt;".",d_Irr!AK25&lt;&gt;".",d_Irr!BJ25&lt;&gt;"."),d_dir!M25/((1/1000)*(d_Irr!L25+d_Irr!AK25+d_Irr!BJ25)),IF(AND(d_Irr!L25&lt;&gt;".",d_Irr!AK25&lt;&gt;".",d_Irr!BJ25="."),d_dir!M25/((1/1000)*(d_Irr!L25+d_Irr!AK25)),IF(AND(d_Irr!L25&lt;&gt;".",d_Irr!AK25=".",d_Irr!BJ25&lt;&gt;"."),d_dir!M25/((1/1000)*(d_Irr!L25+d_Irr!BJ25)),IF(AND(d_Irr!L25=".",d_Irr!AK25&lt;&gt;".",d_Irr!BJ25&lt;&gt;"."),d_dir!M25/((1/1000)*(d_Irr!AK25+d_Irr!BJ25)),IF(AND(d_Irr!L25=".",d_Irr!AK25=".",d_Irr!BJ25&lt;&gt;"."),d_dir!M25/((1/1000)*(d_Irr!BJ25)),IF(AND(d_Irr!L25=".",d_Irr!AK25&lt;&gt;".",d_Irr!BJ25="."),d_dir!M25/((1/1000)*(d_Irr!AK25)),IF(AND(d_Irr!L25&lt;&gt;".",d_Irr!AK25=".",d_Irr!BJ25="."),d_dir!M25/((1/1000)*(d_Irr!L25)),IF(AND(d_Irr!L25=".",d_Irr!AK25=".",d_Irr!BJ25="."),d_dir!M25*1000)))))))),".")</f>
        <v>.</v>
      </c>
      <c r="N25" s="76" t="str">
        <f>IFERROR(IF(AND(d_Irr!M25&lt;&gt;".",d_Irr!AL25&lt;&gt;".",d_Irr!BK25&lt;&gt;"."),d_dir!N25/((1/1000)*(d_Irr!M25+d_Irr!AL25+d_Irr!BK25)),IF(AND(d_Irr!M25&lt;&gt;".",d_Irr!AL25&lt;&gt;".",d_Irr!BK25="."),d_dir!N25/((1/1000)*(d_Irr!M25+d_Irr!AL25)),IF(AND(d_Irr!M25&lt;&gt;".",d_Irr!AL25=".",d_Irr!BK25&lt;&gt;"."),d_dir!N25/((1/1000)*(d_Irr!M25+d_Irr!BK25)),IF(AND(d_Irr!M25=".",d_Irr!AL25&lt;&gt;".",d_Irr!BK25&lt;&gt;"."),d_dir!N25/((1/1000)*(d_Irr!AL25+d_Irr!BK25)),IF(AND(d_Irr!M25=".",d_Irr!AL25=".",d_Irr!BK25&lt;&gt;"."),d_dir!N25/((1/1000)*(d_Irr!BK25)),IF(AND(d_Irr!M25=".",d_Irr!AL25&lt;&gt;".",d_Irr!BK25="."),d_dir!N25/((1/1000)*(d_Irr!AL25)),IF(AND(d_Irr!M25&lt;&gt;".",d_Irr!AL25=".",d_Irr!BK25="."),d_dir!N25/((1/1000)*(d_Irr!M25)),IF(AND(d_Irr!M25=".",d_Irr!AL25=".",d_Irr!BK25="."),d_dir!N25*1000)))))))),".")</f>
        <v>.</v>
      </c>
      <c r="O25" s="76" t="str">
        <f>IFERROR(IF(AND(d_Irr!N25&lt;&gt;".",d_Irr!AM25&lt;&gt;".",d_Irr!BL25&lt;&gt;"."),d_dir!O25/((1/1000)*(d_Irr!N25+d_Irr!AM25+d_Irr!BL25)),IF(AND(d_Irr!N25&lt;&gt;".",d_Irr!AM25&lt;&gt;".",d_Irr!BL25="."),d_dir!O25/((1/1000)*(d_Irr!N25+d_Irr!AM25)),IF(AND(d_Irr!N25&lt;&gt;".",d_Irr!AM25=".",d_Irr!BL25&lt;&gt;"."),d_dir!O25/((1/1000)*(d_Irr!N25+d_Irr!BL25)),IF(AND(d_Irr!N25=".",d_Irr!AM25&lt;&gt;".",d_Irr!BL25&lt;&gt;"."),d_dir!O25/((1/1000)*(d_Irr!AM25+d_Irr!BL25)),IF(AND(d_Irr!N25=".",d_Irr!AM25=".",d_Irr!BL25&lt;&gt;"."),d_dir!O25/((1/1000)*(d_Irr!BL25)),IF(AND(d_Irr!N25=".",d_Irr!AM25&lt;&gt;".",d_Irr!BL25="."),d_dir!O25/((1/1000)*(d_Irr!AM25)),IF(AND(d_Irr!N25&lt;&gt;".",d_Irr!AM25=".",d_Irr!BL25="."),d_dir!O25/((1/1000)*(d_Irr!N25)),IF(AND(d_Irr!N25=".",d_Irr!AM25=".",d_Irr!BL25="."),d_dir!O25*1000)))))))),".")</f>
        <v>.</v>
      </c>
      <c r="P25" s="76" t="str">
        <f>IFERROR(IF(AND(d_Irr!O25&lt;&gt;".",d_Irr!AN25&lt;&gt;".",d_Irr!BM25&lt;&gt;"."),d_dir!P25/((1/1000)*(d_Irr!O25+d_Irr!AN25+d_Irr!BM25)),IF(AND(d_Irr!O25&lt;&gt;".",d_Irr!AN25&lt;&gt;".",d_Irr!BM25="."),d_dir!P25/((1/1000)*(d_Irr!O25+d_Irr!AN25)),IF(AND(d_Irr!O25&lt;&gt;".",d_Irr!AN25=".",d_Irr!BM25&lt;&gt;"."),d_dir!P25/((1/1000)*(d_Irr!O25+d_Irr!BM25)),IF(AND(d_Irr!O25=".",d_Irr!AN25&lt;&gt;".",d_Irr!BM25&lt;&gt;"."),d_dir!P25/((1/1000)*(d_Irr!AN25+d_Irr!BM25)),IF(AND(d_Irr!O25=".",d_Irr!AN25=".",d_Irr!BM25&lt;&gt;"."),d_dir!P25/((1/1000)*(d_Irr!BM25)),IF(AND(d_Irr!O25=".",d_Irr!AN25&lt;&gt;".",d_Irr!BM25="."),d_dir!P25/((1/1000)*(d_Irr!AN25)),IF(AND(d_Irr!O25&lt;&gt;".",d_Irr!AN25=".",d_Irr!BM25="."),d_dir!P25/((1/1000)*(d_Irr!O25)),IF(AND(d_Irr!O25=".",d_Irr!AN25=".",d_Irr!BM25="."),d_dir!P25*1000)))))))),".")</f>
        <v>.</v>
      </c>
      <c r="Q25" s="76" t="str">
        <f>IFERROR(IF(AND(d_Irr!P25&lt;&gt;".",d_Irr!AO25&lt;&gt;".",d_Irr!BN25&lt;&gt;"."),d_dir!Q25/((1/1000)*(d_Irr!P25+d_Irr!AO25+d_Irr!BN25)),IF(AND(d_Irr!P25&lt;&gt;".",d_Irr!AO25&lt;&gt;".",d_Irr!BN25="."),d_dir!Q25/((1/1000)*(d_Irr!P25+d_Irr!AO25)),IF(AND(d_Irr!P25&lt;&gt;".",d_Irr!AO25=".",d_Irr!BN25&lt;&gt;"."),d_dir!Q25/((1/1000)*(d_Irr!P25+d_Irr!BN25)),IF(AND(d_Irr!P25=".",d_Irr!AO25&lt;&gt;".",d_Irr!BN25&lt;&gt;"."),d_dir!Q25/((1/1000)*(d_Irr!AO25+d_Irr!BN25)),IF(AND(d_Irr!P25=".",d_Irr!AO25=".",d_Irr!BN25&lt;&gt;"."),d_dir!Q25/((1/1000)*(d_Irr!BN25)),IF(AND(d_Irr!P25=".",d_Irr!AO25&lt;&gt;".",d_Irr!BN25="."),d_dir!Q25/((1/1000)*(d_Irr!AO25)),IF(AND(d_Irr!P25&lt;&gt;".",d_Irr!AO25=".",d_Irr!BN25="."),d_dir!Q25/((1/1000)*(d_Irr!P25)),IF(AND(d_Irr!P25=".",d_Irr!AO25=".",d_Irr!BN25="."),d_dir!Q25*1000)))))))),".")</f>
        <v>.</v>
      </c>
      <c r="R25" s="76" t="str">
        <f>IFERROR(IF(AND(d_Irr!Q25&lt;&gt;".",d_Irr!AP25&lt;&gt;".",d_Irr!BO25&lt;&gt;"."),d_dir!R25/((1/1000)*(d_Irr!Q25+d_Irr!AP25+d_Irr!BO25)),IF(AND(d_Irr!Q25&lt;&gt;".",d_Irr!AP25&lt;&gt;".",d_Irr!BO25="."),d_dir!R25/((1/1000)*(d_Irr!Q25+d_Irr!AP25)),IF(AND(d_Irr!Q25&lt;&gt;".",d_Irr!AP25=".",d_Irr!BO25&lt;&gt;"."),d_dir!R25/((1/1000)*(d_Irr!Q25+d_Irr!BO25)),IF(AND(d_Irr!Q25=".",d_Irr!AP25&lt;&gt;".",d_Irr!BO25&lt;&gt;"."),d_dir!R25/((1/1000)*(d_Irr!AP25+d_Irr!BO25)),IF(AND(d_Irr!Q25=".",d_Irr!AP25=".",d_Irr!BO25&lt;&gt;"."),d_dir!R25/((1/1000)*(d_Irr!BO25)),IF(AND(d_Irr!Q25=".",d_Irr!AP25&lt;&gt;".",d_Irr!BO25="."),d_dir!R25/((1/1000)*(d_Irr!AP25)),IF(AND(d_Irr!Q25&lt;&gt;".",d_Irr!AP25=".",d_Irr!BO25="."),d_dir!R25/((1/1000)*(d_Irr!Q25)),IF(AND(d_Irr!Q25=".",d_Irr!AP25=".",d_Irr!BO25="."),d_dir!R25*1000)))))))),".")</f>
        <v>.</v>
      </c>
      <c r="S25" s="76" t="str">
        <f>IFERROR(IF(AND(d_Irr!R25&lt;&gt;".",d_Irr!AQ25&lt;&gt;".",d_Irr!BP25&lt;&gt;"."),d_dir!S25/((1/1000)*(d_Irr!R25+d_Irr!AQ25+d_Irr!BP25)),IF(AND(d_Irr!R25&lt;&gt;".",d_Irr!AQ25&lt;&gt;".",d_Irr!BP25="."),d_dir!S25/((1/1000)*(d_Irr!R25+d_Irr!AQ25)),IF(AND(d_Irr!R25&lt;&gt;".",d_Irr!AQ25=".",d_Irr!BP25&lt;&gt;"."),d_dir!S25/((1/1000)*(d_Irr!R25+d_Irr!BP25)),IF(AND(d_Irr!R25=".",d_Irr!AQ25&lt;&gt;".",d_Irr!BP25&lt;&gt;"."),d_dir!S25/((1/1000)*(d_Irr!AQ25+d_Irr!BP25)),IF(AND(d_Irr!R25=".",d_Irr!AQ25=".",d_Irr!BP25&lt;&gt;"."),d_dir!S25/((1/1000)*(d_Irr!BP25)),IF(AND(d_Irr!R25=".",d_Irr!AQ25&lt;&gt;".",d_Irr!BP25="."),d_dir!S25/((1/1000)*(d_Irr!AQ25)),IF(AND(d_Irr!R25&lt;&gt;".",d_Irr!AQ25=".",d_Irr!BP25="."),d_dir!S25/((1/1000)*(d_Irr!R25)),IF(AND(d_Irr!R25=".",d_Irr!AQ25=".",d_Irr!BP25="."),d_dir!S25*1000)))))))),".")</f>
        <v>.</v>
      </c>
      <c r="T25" s="76" t="str">
        <f>IFERROR(IF(AND(d_Irr!S25&lt;&gt;".",d_Irr!AR25&lt;&gt;".",d_Irr!BQ25&lt;&gt;"."),d_dir!T25/((1/1000)*(d_Irr!S25+d_Irr!AR25+d_Irr!BQ25)),IF(AND(d_Irr!S25&lt;&gt;".",d_Irr!AR25&lt;&gt;".",d_Irr!BQ25="."),d_dir!T25/((1/1000)*(d_Irr!S25+d_Irr!AR25)),IF(AND(d_Irr!S25&lt;&gt;".",d_Irr!AR25=".",d_Irr!BQ25&lt;&gt;"."),d_dir!T25/((1/1000)*(d_Irr!S25+d_Irr!BQ25)),IF(AND(d_Irr!S25=".",d_Irr!AR25&lt;&gt;".",d_Irr!BQ25&lt;&gt;"."),d_dir!T25/((1/1000)*(d_Irr!AR25+d_Irr!BQ25)),IF(AND(d_Irr!S25=".",d_Irr!AR25=".",d_Irr!BQ25&lt;&gt;"."),d_dir!T25/((1/1000)*(d_Irr!BQ25)),IF(AND(d_Irr!S25=".",d_Irr!AR25&lt;&gt;".",d_Irr!BQ25="."),d_dir!T25/((1/1000)*(d_Irr!AR25)),IF(AND(d_Irr!S25&lt;&gt;".",d_Irr!AR25=".",d_Irr!BQ25="."),d_dir!T25/((1/1000)*(d_Irr!S25)),IF(AND(d_Irr!S25=".",d_Irr!AR25=".",d_Irr!BQ25="."),d_dir!T25*1000)))))))),".")</f>
        <v>.</v>
      </c>
      <c r="U25" s="76" t="str">
        <f>IFERROR(IF(AND(d_Irr!T25&lt;&gt;".",d_Irr!AS25&lt;&gt;".",d_Irr!BR25&lt;&gt;"."),d_dir!U25/((1/1000)*(d_Irr!T25+d_Irr!AS25+d_Irr!BR25)),IF(AND(d_Irr!T25&lt;&gt;".",d_Irr!AS25&lt;&gt;".",d_Irr!BR25="."),d_dir!U25/((1/1000)*(d_Irr!T25+d_Irr!AS25)),IF(AND(d_Irr!T25&lt;&gt;".",d_Irr!AS25=".",d_Irr!BR25&lt;&gt;"."),d_dir!U25/((1/1000)*(d_Irr!T25+d_Irr!BR25)),IF(AND(d_Irr!T25=".",d_Irr!AS25&lt;&gt;".",d_Irr!BR25&lt;&gt;"."),d_dir!U25/((1/1000)*(d_Irr!AS25+d_Irr!BR25)),IF(AND(d_Irr!T25=".",d_Irr!AS25=".",d_Irr!BR25&lt;&gt;"."),d_dir!U25/((1/1000)*(d_Irr!BR25)),IF(AND(d_Irr!T25=".",d_Irr!AS25&lt;&gt;".",d_Irr!BR25="."),d_dir!U25/((1/1000)*(d_Irr!AS25)),IF(AND(d_Irr!T25&lt;&gt;".",d_Irr!AS25=".",d_Irr!BR25="."),d_dir!U25/((1/1000)*(d_Irr!T25)),IF(AND(d_Irr!T25=".",d_Irr!AS25=".",d_Irr!BR25="."),d_dir!U25*1000)))))))),".")</f>
        <v>.</v>
      </c>
      <c r="V25" s="76" t="str">
        <f>IFERROR(IF(AND(d_Irr!U25&lt;&gt;".",d_Irr!AT25&lt;&gt;".",d_Irr!BS25&lt;&gt;"."),d_dir!V25/((1/1000)*(d_Irr!U25+d_Irr!AT25+d_Irr!BS25)),IF(AND(d_Irr!U25&lt;&gt;".",d_Irr!AT25&lt;&gt;".",d_Irr!BS25="."),d_dir!V25/((1/1000)*(d_Irr!U25+d_Irr!AT25)),IF(AND(d_Irr!U25&lt;&gt;".",d_Irr!AT25=".",d_Irr!BS25&lt;&gt;"."),d_dir!V25/((1/1000)*(d_Irr!U25+d_Irr!BS25)),IF(AND(d_Irr!U25=".",d_Irr!AT25&lt;&gt;".",d_Irr!BS25&lt;&gt;"."),d_dir!V25/((1/1000)*(d_Irr!AT25+d_Irr!BS25)),IF(AND(d_Irr!U25=".",d_Irr!AT25=".",d_Irr!BS25&lt;&gt;"."),d_dir!V25/((1/1000)*(d_Irr!BS25)),IF(AND(d_Irr!U25=".",d_Irr!AT25&lt;&gt;".",d_Irr!BS25="."),d_dir!V25/((1/1000)*(d_Irr!AT25)),IF(AND(d_Irr!U25&lt;&gt;".",d_Irr!AT25=".",d_Irr!BS25="."),d_dir!V25/((1/1000)*(d_Irr!U25)),IF(AND(d_Irr!U25=".",d_Irr!AT25=".",d_Irr!BS25="."),d_dir!V25*1000)))))))),".")</f>
        <v>.</v>
      </c>
      <c r="W25" s="76" t="str">
        <f>IFERROR(IF(AND(d_Irr!V25&lt;&gt;".",d_Irr!AU25&lt;&gt;".",d_Irr!BT25&lt;&gt;"."),d_dir!W25/((1/1000)*(d_Irr!V25+d_Irr!AU25+d_Irr!BT25)),IF(AND(d_Irr!V25&lt;&gt;".",d_Irr!AU25&lt;&gt;".",d_Irr!BT25="."),d_dir!W25/((1/1000)*(d_Irr!V25+d_Irr!AU25)),IF(AND(d_Irr!V25&lt;&gt;".",d_Irr!AU25=".",d_Irr!BT25&lt;&gt;"."),d_dir!W25/((1/1000)*(d_Irr!V25+d_Irr!BT25)),IF(AND(d_Irr!V25=".",d_Irr!AU25&lt;&gt;".",d_Irr!BT25&lt;&gt;"."),d_dir!W25/((1/1000)*(d_Irr!AU25+d_Irr!BT25)),IF(AND(d_Irr!V25=".",d_Irr!AU25=".",d_Irr!BT25&lt;&gt;"."),d_dir!W25/((1/1000)*(d_Irr!BT25)),IF(AND(d_Irr!V25=".",d_Irr!AU25&lt;&gt;".",d_Irr!BT25="."),d_dir!W25/((1/1000)*(d_Irr!AU25)),IF(AND(d_Irr!V25&lt;&gt;".",d_Irr!AU25=".",d_Irr!BT25="."),d_dir!W25/((1/1000)*(d_Irr!V25)),IF(AND(d_Irr!V25=".",d_Irr!AU25=".",d_Irr!BT25="."),d_dir!W25*1000)))))))),".")</f>
        <v>.</v>
      </c>
      <c r="X25" s="76" t="str">
        <f>IFERROR(IF(AND(d_Irr!W25&lt;&gt;".",d_Irr!AV25&lt;&gt;".",d_Irr!BU25&lt;&gt;"."),d_dir!X25/((1/1000)*(d_Irr!W25+d_Irr!AV25+d_Irr!BU25)),IF(AND(d_Irr!W25&lt;&gt;".",d_Irr!AV25&lt;&gt;".",d_Irr!BU25="."),d_dir!X25/((1/1000)*(d_Irr!W25+d_Irr!AV25)),IF(AND(d_Irr!W25&lt;&gt;".",d_Irr!AV25=".",d_Irr!BU25&lt;&gt;"."),d_dir!X25/((1/1000)*(d_Irr!W25+d_Irr!BU25)),IF(AND(d_Irr!W25=".",d_Irr!AV25&lt;&gt;".",d_Irr!BU25&lt;&gt;"."),d_dir!X25/((1/1000)*(d_Irr!AV25+d_Irr!BU25)),IF(AND(d_Irr!W25=".",d_Irr!AV25=".",d_Irr!BU25&lt;&gt;"."),d_dir!X25/((1/1000)*(d_Irr!BU25)),IF(AND(d_Irr!W25=".",d_Irr!AV25&lt;&gt;".",d_Irr!BU25="."),d_dir!X25/((1/1000)*(d_Irr!AV25)),IF(AND(d_Irr!W25&lt;&gt;".",d_Irr!AV25=".",d_Irr!BU25="."),d_dir!X25/((1/1000)*(d_Irr!W25)),IF(AND(d_Irr!W25=".",d_Irr!AV25=".",d_Irr!BU25="."),d_dir!X25*1000)))))))),".")</f>
        <v>.</v>
      </c>
      <c r="Y25" s="76" t="str">
        <f>IFERROR(IF(AND(d_Irr!X25&lt;&gt;".",d_Irr!AW25&lt;&gt;".",d_Irr!BV25&lt;&gt;"."),d_dir!Y25/((1/1000)*(d_Irr!X25+d_Irr!AW25+d_Irr!BV25)),IF(AND(d_Irr!X25&lt;&gt;".",d_Irr!AW25&lt;&gt;".",d_Irr!BV25="."),d_dir!Y25/((1/1000)*(d_Irr!X25+d_Irr!AW25)),IF(AND(d_Irr!X25&lt;&gt;".",d_Irr!AW25=".",d_Irr!BV25&lt;&gt;"."),d_dir!Y25/((1/1000)*(d_Irr!X25+d_Irr!BV25)),IF(AND(d_Irr!X25=".",d_Irr!AW25&lt;&gt;".",d_Irr!BV25&lt;&gt;"."),d_dir!Y25/((1/1000)*(d_Irr!AW25+d_Irr!BV25)),IF(AND(d_Irr!X25=".",d_Irr!AW25=".",d_Irr!BV25&lt;&gt;"."),d_dir!Y25/((1/1000)*(d_Irr!BV25)),IF(AND(d_Irr!X25=".",d_Irr!AW25&lt;&gt;".",d_Irr!BV25="."),d_dir!Y25/((1/1000)*(d_Irr!AW25)),IF(AND(d_Irr!X25&lt;&gt;".",d_Irr!AW25=".",d_Irr!BV25="."),d_dir!Y25/((1/1000)*(d_Irr!X25)),IF(AND(d_Irr!X25=".",d_Irr!AW25=".",d_Irr!BV25="."),d_dir!Y25*1000)))))))),".")</f>
        <v>.</v>
      </c>
      <c r="Z25" s="76" t="str">
        <f>IFERROR(IF(AND(d_Irr!Y25&lt;&gt;".",d_Irr!AX25&lt;&gt;".",d_Irr!BW25&lt;&gt;"."),d_dir!Z25/((1/1000)*(d_Irr!Y25+d_Irr!AX25+d_Irr!BW25)),IF(AND(d_Irr!Y25&lt;&gt;".",d_Irr!AX25&lt;&gt;".",d_Irr!BW25="."),d_dir!Z25/((1/1000)*(d_Irr!Y25+d_Irr!AX25)),IF(AND(d_Irr!Y25&lt;&gt;".",d_Irr!AX25=".",d_Irr!BW25&lt;&gt;"."),d_dir!Z25/((1/1000)*(d_Irr!Y25+d_Irr!BW25)),IF(AND(d_Irr!Y25=".",d_Irr!AX25&lt;&gt;".",d_Irr!BW25&lt;&gt;"."),d_dir!Z25/((1/1000)*(d_Irr!AX25+d_Irr!BW25)),IF(AND(d_Irr!Y25=".",d_Irr!AX25=".",d_Irr!BW25&lt;&gt;"."),d_dir!Z25/((1/1000)*(d_Irr!BW25)),IF(AND(d_Irr!Y25=".",d_Irr!AX25&lt;&gt;".",d_Irr!BW25="."),d_dir!Z25/((1/1000)*(d_Irr!AX25)),IF(AND(d_Irr!Y25&lt;&gt;".",d_Irr!AX25=".",d_Irr!BW25="."),d_dir!Z25/((1/1000)*(d_Irr!Y25)),IF(AND(d_Irr!Y25=".",d_Irr!AX25=".",d_Irr!BW25="."),d_dir!Z25*1000)))))))),".")</f>
        <v>.</v>
      </c>
      <c r="AA25" s="76" t="str">
        <f>IFERROR(IF(AND(d_Irr!Z25&lt;&gt;".",d_Irr!AY25&lt;&gt;".",d_Irr!BX25&lt;&gt;"."),d_dir!AA25/((1/1000)*(d_Irr!Z25+d_Irr!AY25+d_Irr!BX25)),IF(AND(d_Irr!Z25&lt;&gt;".",d_Irr!AY25&lt;&gt;".",d_Irr!BX25="."),d_dir!AA25/((1/1000)*(d_Irr!Z25+d_Irr!AY25)),IF(AND(d_Irr!Z25&lt;&gt;".",d_Irr!AY25=".",d_Irr!BX25&lt;&gt;"."),d_dir!AA25/((1/1000)*(d_Irr!Z25+d_Irr!BX25)),IF(AND(d_Irr!Z25=".",d_Irr!AY25&lt;&gt;".",d_Irr!BX25&lt;&gt;"."),d_dir!AA25/((1/1000)*(d_Irr!AY25+d_Irr!BX25)),IF(AND(d_Irr!Z25=".",d_Irr!AY25=".",d_Irr!BX25&lt;&gt;"."),d_dir!AA25/((1/1000)*(d_Irr!BX25)),IF(AND(d_Irr!Z25=".",d_Irr!AY25&lt;&gt;".",d_Irr!BX25="."),d_dir!AA25/((1/1000)*(d_Irr!AY25)),IF(AND(d_Irr!Z25&lt;&gt;".",d_Irr!AY25=".",d_Irr!BX25="."),d_dir!AA25/((1/1000)*(d_Irr!Z25)),IF(AND(d_Irr!Z25=".",d_Irr!AY25=".",d_Irr!BX25="."),d_dir!AA25*1000)))))))),".")</f>
        <v>.</v>
      </c>
      <c r="AB25" s="76" t="str">
        <f>IFERROR(IF(AND(d_Irr!AA25&lt;&gt;".",d_Irr!AZ25&lt;&gt;".",d_Irr!BY25&lt;&gt;"."),d_dir!AB25/((1/1000)*(d_Irr!AA25+d_Irr!AZ25+d_Irr!BY25)),IF(AND(d_Irr!AA25&lt;&gt;".",d_Irr!AZ25&lt;&gt;".",d_Irr!BY25="."),d_dir!AB25/((1/1000)*(d_Irr!AA25+d_Irr!AZ25)),IF(AND(d_Irr!AA25&lt;&gt;".",d_Irr!AZ25=".",d_Irr!BY25&lt;&gt;"."),d_dir!AB25/((1/1000)*(d_Irr!AA25+d_Irr!BY25)),IF(AND(d_Irr!AA25=".",d_Irr!AZ25&lt;&gt;".",d_Irr!BY25&lt;&gt;"."),d_dir!AB25/((1/1000)*(d_Irr!AZ25+d_Irr!BY25)),IF(AND(d_Irr!AA25=".",d_Irr!AZ25=".",d_Irr!BY25&lt;&gt;"."),d_dir!AB25/((1/1000)*(d_Irr!BY25)),IF(AND(d_Irr!AA25=".",d_Irr!AZ25&lt;&gt;".",d_Irr!BY25="."),d_dir!AB25/((1/1000)*(d_Irr!AZ25)),IF(AND(d_Irr!AA25&lt;&gt;".",d_Irr!AZ25=".",d_Irr!BY25="."),d_dir!AB25/((1/1000)*(d_Irr!AA25)),IF(AND(d_Irr!AA25=".",d_Irr!AZ25=".",d_Irr!BY25="."),d_dir!AB25*1000)))))))),".")</f>
        <v>.</v>
      </c>
      <c r="AC25" s="76" t="str">
        <f t="shared" si="0"/>
        <v>.</v>
      </c>
      <c r="AD25" s="76" t="str">
        <f>IFERROR(IF(AND(d_Irr!C25&lt;&gt;".",d_Irr!AB25&lt;&gt;".",d_Irr!BA25&lt;&gt;"."),d_dir!AD25/((1/1000)*(d_Irr!C25+d_Irr!AB25+d_Irr!BA25)),IF(AND(d_Irr!C25&lt;&gt;".",d_Irr!AB25&lt;&gt;".",d_Irr!BA25="."),d_dir!AD25/((1/1000)*(d_Irr!C25+d_Irr!AB25)),IF(AND(d_Irr!C25&lt;&gt;".",d_Irr!AB25=".",d_Irr!BA25&lt;&gt;"."),d_dir!AD25/((1/1000)*(d_Irr!C25+d_Irr!BA25)),IF(AND(d_Irr!C25=".",d_Irr!AB25&lt;&gt;".",d_Irr!BA25&lt;&gt;"."),d_dir!AD25/((1/1000)*(d_Irr!AB25+d_Irr!BA25)),IF(AND(d_Irr!C25=".",d_Irr!AB25=".",d_Irr!BA25&lt;&gt;"."),d_dir!AD25/((1/1000)*(d_Irr!BA25)),IF(AND(d_Irr!C25=".",d_Irr!AB25&lt;&gt;".",d_Irr!BA25="."),d_dir!AD25/((1/1000)*(d_Irr!AB25)),IF(AND(d_Irr!C25&lt;&gt;".",d_Irr!AB25=".",d_Irr!BA25="."),d_dir!AD25/((1/1000)*(d_Irr!C25)),IF(AND(d_Irr!C25=".",d_Irr!AB25=".",d_Irr!BA25="."),d_dir!AD25*1000)))))))),".")</f>
        <v>.</v>
      </c>
      <c r="AE25" s="76" t="str">
        <f>IFERROR(IF(AND(d_Irr!D25&lt;&gt;".",d_Irr!AC25&lt;&gt;".",d_Irr!BB25&lt;&gt;"."),d_dir!AE25/((1/1000)*(d_Irr!D25+d_Irr!AC25+d_Irr!BB25)),IF(AND(d_Irr!D25&lt;&gt;".",d_Irr!AC25&lt;&gt;".",d_Irr!BB25="."),d_dir!AE25/((1/1000)*(d_Irr!D25+d_Irr!AC25)),IF(AND(d_Irr!D25&lt;&gt;".",d_Irr!AC25=".",d_Irr!BB25&lt;&gt;"."),d_dir!AE25/((1/1000)*(d_Irr!D25+d_Irr!BB25)),IF(AND(d_Irr!D25=".",d_Irr!AC25&lt;&gt;".",d_Irr!BB25&lt;&gt;"."),d_dir!AE25/((1/1000)*(d_Irr!AC25+d_Irr!BB25)),IF(AND(d_Irr!D25=".",d_Irr!AC25=".",d_Irr!BB25&lt;&gt;"."),d_dir!AE25/((1/1000)*(d_Irr!BB25)),IF(AND(d_Irr!D25=".",d_Irr!AC25&lt;&gt;".",d_Irr!BB25="."),d_dir!AE25/((1/1000)*(d_Irr!AC25)),IF(AND(d_Irr!D25&lt;&gt;".",d_Irr!AC25=".",d_Irr!BB25="."),d_dir!AE25/((1/1000)*(d_Irr!D25)),IF(AND(d_Irr!D25=".",d_Irr!AC25=".",d_Irr!BB25="."),d_dir!AE25*1000)))))))),".")</f>
        <v>.</v>
      </c>
      <c r="AF25" s="76" t="str">
        <f>IFERROR(IF(AND(d_Irr!E25&lt;&gt;".",d_Irr!AD25&lt;&gt;".",d_Irr!BC25&lt;&gt;"."),d_dir!AF25/((1/1000)*(d_Irr!E25+d_Irr!AD25+d_Irr!BC25)),IF(AND(d_Irr!E25&lt;&gt;".",d_Irr!AD25&lt;&gt;".",d_Irr!BC25="."),d_dir!AF25/((1/1000)*(d_Irr!E25+d_Irr!AD25)),IF(AND(d_Irr!E25&lt;&gt;".",d_Irr!AD25=".",d_Irr!BC25&lt;&gt;"."),d_dir!AF25/((1/1000)*(d_Irr!E25+d_Irr!BC25)),IF(AND(d_Irr!E25=".",d_Irr!AD25&lt;&gt;".",d_Irr!BC25&lt;&gt;"."),d_dir!AF25/((1/1000)*(d_Irr!AD25+d_Irr!BC25)),IF(AND(d_Irr!E25=".",d_Irr!AD25=".",d_Irr!BC25&lt;&gt;"."),d_dir!AF25/((1/1000)*(d_Irr!BC25)),IF(AND(d_Irr!E25=".",d_Irr!AD25&lt;&gt;".",d_Irr!BC25="."),d_dir!AF25/((1/1000)*(d_Irr!AD25)),IF(AND(d_Irr!E25&lt;&gt;".",d_Irr!AD25=".",d_Irr!BC25="."),d_dir!AF25/((1/1000)*(d_Irr!E25)),IF(AND(d_Irr!E25=".",d_Irr!AD25=".",d_Irr!BC25="."),d_dir!AF25*1000)))))))),".")</f>
        <v>.</v>
      </c>
      <c r="AG25" s="76" t="str">
        <f>IFERROR(IF(AND(d_Irr!F25&lt;&gt;".",d_Irr!AE25&lt;&gt;".",d_Irr!BD25&lt;&gt;"."),d_dir!AG25/((1/1000)*(d_Irr!F25+d_Irr!AE25+d_Irr!BD25)),IF(AND(d_Irr!F25&lt;&gt;".",d_Irr!AE25&lt;&gt;".",d_Irr!BD25="."),d_dir!AG25/((1/1000)*(d_Irr!F25+d_Irr!AE25)),IF(AND(d_Irr!F25&lt;&gt;".",d_Irr!AE25=".",d_Irr!BD25&lt;&gt;"."),d_dir!AG25/((1/1000)*(d_Irr!F25+d_Irr!BD25)),IF(AND(d_Irr!F25=".",d_Irr!AE25&lt;&gt;".",d_Irr!BD25&lt;&gt;"."),d_dir!AG25/((1/1000)*(d_Irr!AE25+d_Irr!BD25)),IF(AND(d_Irr!F25=".",d_Irr!AE25=".",d_Irr!BD25&lt;&gt;"."),d_dir!AG25/((1/1000)*(d_Irr!BD25)),IF(AND(d_Irr!F25=".",d_Irr!AE25&lt;&gt;".",d_Irr!BD25="."),d_dir!AG25/((1/1000)*(d_Irr!AE25)),IF(AND(d_Irr!F25&lt;&gt;".",d_Irr!AE25=".",d_Irr!BD25="."),d_dir!AG25/((1/1000)*(d_Irr!F25)),IF(AND(d_Irr!F25=".",d_Irr!AE25=".",d_Irr!BD25="."),d_dir!AG25*1000)))))))),".")</f>
        <v>.</v>
      </c>
      <c r="AH25" s="76" t="str">
        <f>IFERROR(IF(AND(d_Irr!G25&lt;&gt;".",d_Irr!AF25&lt;&gt;".",d_Irr!BE25&lt;&gt;"."),d_dir!AH25/((1/1000)*(d_Irr!G25+d_Irr!AF25+d_Irr!BE25)),IF(AND(d_Irr!G25&lt;&gt;".",d_Irr!AF25&lt;&gt;".",d_Irr!BE25="."),d_dir!AH25/((1/1000)*(d_Irr!G25+d_Irr!AF25)),IF(AND(d_Irr!G25&lt;&gt;".",d_Irr!AF25=".",d_Irr!BE25&lt;&gt;"."),d_dir!AH25/((1/1000)*(d_Irr!G25+d_Irr!BE25)),IF(AND(d_Irr!G25=".",d_Irr!AF25&lt;&gt;".",d_Irr!BE25&lt;&gt;"."),d_dir!AH25/((1/1000)*(d_Irr!AF25+d_Irr!BE25)),IF(AND(d_Irr!G25=".",d_Irr!AF25=".",d_Irr!BE25&lt;&gt;"."),d_dir!AH25/((1/1000)*(d_Irr!BE25)),IF(AND(d_Irr!G25=".",d_Irr!AF25&lt;&gt;".",d_Irr!BE25="."),d_dir!AH25/((1/1000)*(d_Irr!AF25)),IF(AND(d_Irr!G25&lt;&gt;".",d_Irr!AF25=".",d_Irr!BE25="."),d_dir!AH25/((1/1000)*(d_Irr!G25)),IF(AND(d_Irr!G25=".",d_Irr!AF25=".",d_Irr!BE25="."),d_dir!AH25*1000)))))))),".")</f>
        <v>.</v>
      </c>
      <c r="AI25" s="76" t="str">
        <f>IFERROR(IF(AND(d_Irr!H25&lt;&gt;".",d_Irr!AG25&lt;&gt;".",d_Irr!BF25&lt;&gt;"."),d_dir!AI25/((1/1000)*(d_Irr!H25+d_Irr!AG25+d_Irr!BF25)),IF(AND(d_Irr!H25&lt;&gt;".",d_Irr!AG25&lt;&gt;".",d_Irr!BF25="."),d_dir!AI25/((1/1000)*(d_Irr!H25+d_Irr!AG25)),IF(AND(d_Irr!H25&lt;&gt;".",d_Irr!AG25=".",d_Irr!BF25&lt;&gt;"."),d_dir!AI25/((1/1000)*(d_Irr!H25+d_Irr!BF25)),IF(AND(d_Irr!H25=".",d_Irr!AG25&lt;&gt;".",d_Irr!BF25&lt;&gt;"."),d_dir!AI25/((1/1000)*(d_Irr!AG25+d_Irr!BF25)),IF(AND(d_Irr!H25=".",d_Irr!AG25=".",d_Irr!BF25&lt;&gt;"."),d_dir!AI25/((1/1000)*(d_Irr!BF25)),IF(AND(d_Irr!H25=".",d_Irr!AG25&lt;&gt;".",d_Irr!BF25="."),d_dir!AI25/((1/1000)*(d_Irr!AG25)),IF(AND(d_Irr!H25&lt;&gt;".",d_Irr!AG25=".",d_Irr!BF25="."),d_dir!AI25/((1/1000)*(d_Irr!H25)),IF(AND(d_Irr!H25=".",d_Irr!AG25=".",d_Irr!BF25="."),d_dir!AI25*1000)))))))),".")</f>
        <v>.</v>
      </c>
      <c r="AJ25" s="76" t="str">
        <f>IFERROR(IF(AND(d_Irr!I25&lt;&gt;".",d_Irr!AH25&lt;&gt;".",d_Irr!BG25&lt;&gt;"."),d_dir!AJ25/((1/1000)*(d_Irr!I25+d_Irr!AH25+d_Irr!BG25)),IF(AND(d_Irr!I25&lt;&gt;".",d_Irr!AH25&lt;&gt;".",d_Irr!BG25="."),d_dir!AJ25/((1/1000)*(d_Irr!I25+d_Irr!AH25)),IF(AND(d_Irr!I25&lt;&gt;".",d_Irr!AH25=".",d_Irr!BG25&lt;&gt;"."),d_dir!AJ25/((1/1000)*(d_Irr!I25+d_Irr!BG25)),IF(AND(d_Irr!I25=".",d_Irr!AH25&lt;&gt;".",d_Irr!BG25&lt;&gt;"."),d_dir!AJ25/((1/1000)*(d_Irr!AH25+d_Irr!BG25)),IF(AND(d_Irr!I25=".",d_Irr!AH25=".",d_Irr!BG25&lt;&gt;"."),d_dir!AJ25/((1/1000)*(d_Irr!BG25)),IF(AND(d_Irr!I25=".",d_Irr!AH25&lt;&gt;".",d_Irr!BG25="."),d_dir!AJ25/((1/1000)*(d_Irr!AH25)),IF(AND(d_Irr!I25&lt;&gt;".",d_Irr!AH25=".",d_Irr!BG25="."),d_dir!AJ25/((1/1000)*(d_Irr!I25)),IF(AND(d_Irr!I25=".",d_Irr!AH25=".",d_Irr!BG25="."),d_dir!AJ25*1000)))))))),".")</f>
        <v>.</v>
      </c>
      <c r="AK25" s="76" t="str">
        <f>IFERROR(IF(AND(d_Irr!J25&lt;&gt;".",d_Irr!AI25&lt;&gt;".",d_Irr!BH25&lt;&gt;"."),d_dir!AK25/((1/1000)*(d_Irr!J25+d_Irr!AI25+d_Irr!BH25)),IF(AND(d_Irr!J25&lt;&gt;".",d_Irr!AI25&lt;&gt;".",d_Irr!BH25="."),d_dir!AK25/((1/1000)*(d_Irr!J25+d_Irr!AI25)),IF(AND(d_Irr!J25&lt;&gt;".",d_Irr!AI25=".",d_Irr!BH25&lt;&gt;"."),d_dir!AK25/((1/1000)*(d_Irr!J25+d_Irr!BH25)),IF(AND(d_Irr!J25=".",d_Irr!AI25&lt;&gt;".",d_Irr!BH25&lt;&gt;"."),d_dir!AK25/((1/1000)*(d_Irr!AI25+d_Irr!BH25)),IF(AND(d_Irr!J25=".",d_Irr!AI25=".",d_Irr!BH25&lt;&gt;"."),d_dir!AK25/((1/1000)*(d_Irr!BH25)),IF(AND(d_Irr!J25=".",d_Irr!AI25&lt;&gt;".",d_Irr!BH25="."),d_dir!AK25/((1/1000)*(d_Irr!AI25)),IF(AND(d_Irr!J25&lt;&gt;".",d_Irr!AI25=".",d_Irr!BH25="."),d_dir!AK25/((1/1000)*(d_Irr!J25)),IF(AND(d_Irr!J25=".",d_Irr!AI25=".",d_Irr!BH25="."),d_dir!AK25*1000)))))))),".")</f>
        <v>.</v>
      </c>
      <c r="AL25" s="76" t="str">
        <f>IFERROR(IF(AND(d_Irr!K25&lt;&gt;".",d_Irr!AJ25&lt;&gt;".",d_Irr!BI25&lt;&gt;"."),d_dir!AL25/((1/1000)*(d_Irr!K25+d_Irr!AJ25+d_Irr!BI25)),IF(AND(d_Irr!K25&lt;&gt;".",d_Irr!AJ25&lt;&gt;".",d_Irr!BI25="."),d_dir!AL25/((1/1000)*(d_Irr!K25+d_Irr!AJ25)),IF(AND(d_Irr!K25&lt;&gt;".",d_Irr!AJ25=".",d_Irr!BI25&lt;&gt;"."),d_dir!AL25/((1/1000)*(d_Irr!K25+d_Irr!BI25)),IF(AND(d_Irr!K25=".",d_Irr!AJ25&lt;&gt;".",d_Irr!BI25&lt;&gt;"."),d_dir!AL25/((1/1000)*(d_Irr!AJ25+d_Irr!BI25)),IF(AND(d_Irr!K25=".",d_Irr!AJ25=".",d_Irr!BI25&lt;&gt;"."),d_dir!AL25/((1/1000)*(d_Irr!BI25)),IF(AND(d_Irr!K25=".",d_Irr!AJ25&lt;&gt;".",d_Irr!BI25="."),d_dir!AL25/((1/1000)*(d_Irr!AJ25)),IF(AND(d_Irr!K25&lt;&gt;".",d_Irr!AJ25=".",d_Irr!BI25="."),d_dir!AL25/((1/1000)*(d_Irr!K25)),IF(AND(d_Irr!K25=".",d_Irr!AJ25=".",d_Irr!BI25="."),d_dir!AL25*1000)))))))),".")</f>
        <v>.</v>
      </c>
      <c r="AM25" s="76" t="str">
        <f>IFERROR(IF(AND(d_Irr!L25&lt;&gt;".",d_Irr!AK25&lt;&gt;".",d_Irr!BJ25&lt;&gt;"."),d_dir!AM25/((1/1000)*(d_Irr!L25+d_Irr!AK25+d_Irr!BJ25)),IF(AND(d_Irr!L25&lt;&gt;".",d_Irr!AK25&lt;&gt;".",d_Irr!BJ25="."),d_dir!AM25/((1/1000)*(d_Irr!L25+d_Irr!AK25)),IF(AND(d_Irr!L25&lt;&gt;".",d_Irr!AK25=".",d_Irr!BJ25&lt;&gt;"."),d_dir!AM25/((1/1000)*(d_Irr!L25+d_Irr!BJ25)),IF(AND(d_Irr!L25=".",d_Irr!AK25&lt;&gt;".",d_Irr!BJ25&lt;&gt;"."),d_dir!AM25/((1/1000)*(d_Irr!AK25+d_Irr!BJ25)),IF(AND(d_Irr!L25=".",d_Irr!AK25=".",d_Irr!BJ25&lt;&gt;"."),d_dir!AM25/((1/1000)*(d_Irr!BJ25)),IF(AND(d_Irr!L25=".",d_Irr!AK25&lt;&gt;".",d_Irr!BJ25="."),d_dir!AM25/((1/1000)*(d_Irr!AK25)),IF(AND(d_Irr!L25&lt;&gt;".",d_Irr!AK25=".",d_Irr!BJ25="."),d_dir!AM25/((1/1000)*(d_Irr!L25)),IF(AND(d_Irr!L25=".",d_Irr!AK25=".",d_Irr!BJ25="."),d_dir!AM25*1000)))))))),".")</f>
        <v>.</v>
      </c>
      <c r="AN25" s="76" t="str">
        <f>IFERROR(IF(AND(d_Irr!M25&lt;&gt;".",d_Irr!AL25&lt;&gt;".",d_Irr!BK25&lt;&gt;"."),d_dir!AN25/((1/1000)*(d_Irr!M25+d_Irr!AL25+d_Irr!BK25)),IF(AND(d_Irr!M25&lt;&gt;".",d_Irr!AL25&lt;&gt;".",d_Irr!BK25="."),d_dir!AN25/((1/1000)*(d_Irr!M25+d_Irr!AL25)),IF(AND(d_Irr!M25&lt;&gt;".",d_Irr!AL25=".",d_Irr!BK25&lt;&gt;"."),d_dir!AN25/((1/1000)*(d_Irr!M25+d_Irr!BK25)),IF(AND(d_Irr!M25=".",d_Irr!AL25&lt;&gt;".",d_Irr!BK25&lt;&gt;"."),d_dir!AN25/((1/1000)*(d_Irr!AL25+d_Irr!BK25)),IF(AND(d_Irr!M25=".",d_Irr!AL25=".",d_Irr!BK25&lt;&gt;"."),d_dir!AN25/((1/1000)*(d_Irr!BK25)),IF(AND(d_Irr!M25=".",d_Irr!AL25&lt;&gt;".",d_Irr!BK25="."),d_dir!AN25/((1/1000)*(d_Irr!AL25)),IF(AND(d_Irr!M25&lt;&gt;".",d_Irr!AL25=".",d_Irr!BK25="."),d_dir!AN25/((1/1000)*(d_Irr!M25)),IF(AND(d_Irr!M25=".",d_Irr!AL25=".",d_Irr!BK25="."),d_dir!AN25*1000)))))))),".")</f>
        <v>.</v>
      </c>
      <c r="AO25" s="76" t="str">
        <f>IFERROR(IF(AND(d_Irr!N25&lt;&gt;".",d_Irr!AM25&lt;&gt;".",d_Irr!BL25&lt;&gt;"."),d_dir!AO25/((1/1000)*(d_Irr!N25+d_Irr!AM25+d_Irr!BL25)),IF(AND(d_Irr!N25&lt;&gt;".",d_Irr!AM25&lt;&gt;".",d_Irr!BL25="."),d_dir!AO25/((1/1000)*(d_Irr!N25+d_Irr!AM25)),IF(AND(d_Irr!N25&lt;&gt;".",d_Irr!AM25=".",d_Irr!BL25&lt;&gt;"."),d_dir!AO25/((1/1000)*(d_Irr!N25+d_Irr!BL25)),IF(AND(d_Irr!N25=".",d_Irr!AM25&lt;&gt;".",d_Irr!BL25&lt;&gt;"."),d_dir!AO25/((1/1000)*(d_Irr!AM25+d_Irr!BL25)),IF(AND(d_Irr!N25=".",d_Irr!AM25=".",d_Irr!BL25&lt;&gt;"."),d_dir!AO25/((1/1000)*(d_Irr!BL25)),IF(AND(d_Irr!N25=".",d_Irr!AM25&lt;&gt;".",d_Irr!BL25="."),d_dir!AO25/((1/1000)*(d_Irr!AM25)),IF(AND(d_Irr!N25&lt;&gt;".",d_Irr!AM25=".",d_Irr!BL25="."),d_dir!AO25/((1/1000)*(d_Irr!N25)),IF(AND(d_Irr!N25=".",d_Irr!AM25=".",d_Irr!BL25="."),d_dir!AO25*1000)))))))),".")</f>
        <v>.</v>
      </c>
      <c r="AP25" s="76" t="str">
        <f>IFERROR(IF(AND(d_Irr!O25&lt;&gt;".",d_Irr!AN25&lt;&gt;".",d_Irr!BM25&lt;&gt;"."),d_dir!AP25/((1/1000)*(d_Irr!O25+d_Irr!AN25+d_Irr!BM25)),IF(AND(d_Irr!O25&lt;&gt;".",d_Irr!AN25&lt;&gt;".",d_Irr!BM25="."),d_dir!AP25/((1/1000)*(d_Irr!O25+d_Irr!AN25)),IF(AND(d_Irr!O25&lt;&gt;".",d_Irr!AN25=".",d_Irr!BM25&lt;&gt;"."),d_dir!AP25/((1/1000)*(d_Irr!O25+d_Irr!BM25)),IF(AND(d_Irr!O25=".",d_Irr!AN25&lt;&gt;".",d_Irr!BM25&lt;&gt;"."),d_dir!AP25/((1/1000)*(d_Irr!AN25+d_Irr!BM25)),IF(AND(d_Irr!O25=".",d_Irr!AN25=".",d_Irr!BM25&lt;&gt;"."),d_dir!AP25/((1/1000)*(d_Irr!BM25)),IF(AND(d_Irr!O25=".",d_Irr!AN25&lt;&gt;".",d_Irr!BM25="."),d_dir!AP25/((1/1000)*(d_Irr!AN25)),IF(AND(d_Irr!O25&lt;&gt;".",d_Irr!AN25=".",d_Irr!BM25="."),d_dir!AP25/((1/1000)*(d_Irr!O25)),IF(AND(d_Irr!O25=".",d_Irr!AN25=".",d_Irr!BM25="."),d_dir!AP25*1000)))))))),".")</f>
        <v>.</v>
      </c>
      <c r="AQ25" s="76" t="str">
        <f>IFERROR(IF(AND(d_Irr!P25&lt;&gt;".",d_Irr!AO25&lt;&gt;".",d_Irr!BN25&lt;&gt;"."),d_dir!AQ25/((1/1000)*(d_Irr!P25+d_Irr!AO25+d_Irr!BN25)),IF(AND(d_Irr!P25&lt;&gt;".",d_Irr!AO25&lt;&gt;".",d_Irr!BN25="."),d_dir!AQ25/((1/1000)*(d_Irr!P25+d_Irr!AO25)),IF(AND(d_Irr!P25&lt;&gt;".",d_Irr!AO25=".",d_Irr!BN25&lt;&gt;"."),d_dir!AQ25/((1/1000)*(d_Irr!P25+d_Irr!BN25)),IF(AND(d_Irr!P25=".",d_Irr!AO25&lt;&gt;".",d_Irr!BN25&lt;&gt;"."),d_dir!AQ25/((1/1000)*(d_Irr!AO25+d_Irr!BN25)),IF(AND(d_Irr!P25=".",d_Irr!AO25=".",d_Irr!BN25&lt;&gt;"."),d_dir!AQ25/((1/1000)*(d_Irr!BN25)),IF(AND(d_Irr!P25=".",d_Irr!AO25&lt;&gt;".",d_Irr!BN25="."),d_dir!AQ25/((1/1000)*(d_Irr!AO25)),IF(AND(d_Irr!P25&lt;&gt;".",d_Irr!AO25=".",d_Irr!BN25="."),d_dir!AQ25/((1/1000)*(d_Irr!P25)),IF(AND(d_Irr!P25=".",d_Irr!AO25=".",d_Irr!BN25="."),d_dir!AQ25*1000)))))))),".")</f>
        <v>.</v>
      </c>
      <c r="AR25" s="76" t="str">
        <f>IFERROR(IF(AND(d_Irr!Q25&lt;&gt;".",d_Irr!AP25&lt;&gt;".",d_Irr!BO25&lt;&gt;"."),d_dir!AR25/((1/1000)*(d_Irr!Q25+d_Irr!AP25+d_Irr!BO25)),IF(AND(d_Irr!Q25&lt;&gt;".",d_Irr!AP25&lt;&gt;".",d_Irr!BO25="."),d_dir!AR25/((1/1000)*(d_Irr!Q25+d_Irr!AP25)),IF(AND(d_Irr!Q25&lt;&gt;".",d_Irr!AP25=".",d_Irr!BO25&lt;&gt;"."),d_dir!AR25/((1/1000)*(d_Irr!Q25+d_Irr!BO25)),IF(AND(d_Irr!Q25=".",d_Irr!AP25&lt;&gt;".",d_Irr!BO25&lt;&gt;"."),d_dir!AR25/((1/1000)*(d_Irr!AP25+d_Irr!BO25)),IF(AND(d_Irr!Q25=".",d_Irr!AP25=".",d_Irr!BO25&lt;&gt;"."),d_dir!AR25/((1/1000)*(d_Irr!BO25)),IF(AND(d_Irr!Q25=".",d_Irr!AP25&lt;&gt;".",d_Irr!BO25="."),d_dir!AR25/((1/1000)*(d_Irr!AP25)),IF(AND(d_Irr!Q25&lt;&gt;".",d_Irr!AP25=".",d_Irr!BO25="."),d_dir!AR25/((1/1000)*(d_Irr!Q25)),IF(AND(d_Irr!Q25=".",d_Irr!AP25=".",d_Irr!BO25="."),d_dir!AR25*1000)))))))),".")</f>
        <v>.</v>
      </c>
      <c r="AS25" s="76" t="str">
        <f>IFERROR(IF(AND(d_Irr!R25&lt;&gt;".",d_Irr!AQ25&lt;&gt;".",d_Irr!BP25&lt;&gt;"."),d_dir!AS25/((1/1000)*(d_Irr!R25+d_Irr!AQ25+d_Irr!BP25)),IF(AND(d_Irr!R25&lt;&gt;".",d_Irr!AQ25&lt;&gt;".",d_Irr!BP25="."),d_dir!AS25/((1/1000)*(d_Irr!R25+d_Irr!AQ25)),IF(AND(d_Irr!R25&lt;&gt;".",d_Irr!AQ25=".",d_Irr!BP25&lt;&gt;"."),d_dir!AS25/((1/1000)*(d_Irr!R25+d_Irr!BP25)),IF(AND(d_Irr!R25=".",d_Irr!AQ25&lt;&gt;".",d_Irr!BP25&lt;&gt;"."),d_dir!AS25/((1/1000)*(d_Irr!AQ25+d_Irr!BP25)),IF(AND(d_Irr!R25=".",d_Irr!AQ25=".",d_Irr!BP25&lt;&gt;"."),d_dir!AS25/((1/1000)*(d_Irr!BP25)),IF(AND(d_Irr!R25=".",d_Irr!AQ25&lt;&gt;".",d_Irr!BP25="."),d_dir!AS25/((1/1000)*(d_Irr!AQ25)),IF(AND(d_Irr!R25&lt;&gt;".",d_Irr!AQ25=".",d_Irr!BP25="."),d_dir!AS25/((1/1000)*(d_Irr!R25)),IF(AND(d_Irr!R25=".",d_Irr!AQ25=".",d_Irr!BP25="."),d_dir!AS25*1000)))))))),".")</f>
        <v>.</v>
      </c>
      <c r="AT25" s="76" t="str">
        <f>IFERROR(IF(AND(d_Irr!S25&lt;&gt;".",d_Irr!AR25&lt;&gt;".",d_Irr!BQ25&lt;&gt;"."),d_dir!AT25/((1/1000)*(d_Irr!S25+d_Irr!AR25+d_Irr!BQ25)),IF(AND(d_Irr!S25&lt;&gt;".",d_Irr!AR25&lt;&gt;".",d_Irr!BQ25="."),d_dir!AT25/((1/1000)*(d_Irr!S25+d_Irr!AR25)),IF(AND(d_Irr!S25&lt;&gt;".",d_Irr!AR25=".",d_Irr!BQ25&lt;&gt;"."),d_dir!AT25/((1/1000)*(d_Irr!S25+d_Irr!BQ25)),IF(AND(d_Irr!S25=".",d_Irr!AR25&lt;&gt;".",d_Irr!BQ25&lt;&gt;"."),d_dir!AT25/((1/1000)*(d_Irr!AR25+d_Irr!BQ25)),IF(AND(d_Irr!S25=".",d_Irr!AR25=".",d_Irr!BQ25&lt;&gt;"."),d_dir!AT25/((1/1000)*(d_Irr!BQ25)),IF(AND(d_Irr!S25=".",d_Irr!AR25&lt;&gt;".",d_Irr!BQ25="."),d_dir!AT25/((1/1000)*(d_Irr!AR25)),IF(AND(d_Irr!S25&lt;&gt;".",d_Irr!AR25=".",d_Irr!BQ25="."),d_dir!AT25/((1/1000)*(d_Irr!S25)),IF(AND(d_Irr!S25=".",d_Irr!AR25=".",d_Irr!BQ25="."),d_dir!AT25*1000)))))))),".")</f>
        <v>.</v>
      </c>
      <c r="AU25" s="76" t="str">
        <f>IFERROR(IF(AND(d_Irr!T25&lt;&gt;".",d_Irr!AS25&lt;&gt;".",d_Irr!BR25&lt;&gt;"."),d_dir!AU25/((1/1000)*(d_Irr!T25+d_Irr!AS25+d_Irr!BR25)),IF(AND(d_Irr!T25&lt;&gt;".",d_Irr!AS25&lt;&gt;".",d_Irr!BR25="."),d_dir!AU25/((1/1000)*(d_Irr!T25+d_Irr!AS25)),IF(AND(d_Irr!T25&lt;&gt;".",d_Irr!AS25=".",d_Irr!BR25&lt;&gt;"."),d_dir!AU25/((1/1000)*(d_Irr!T25+d_Irr!BR25)),IF(AND(d_Irr!T25=".",d_Irr!AS25&lt;&gt;".",d_Irr!BR25&lt;&gt;"."),d_dir!AU25/((1/1000)*(d_Irr!AS25+d_Irr!BR25)),IF(AND(d_Irr!T25=".",d_Irr!AS25=".",d_Irr!BR25&lt;&gt;"."),d_dir!AU25/((1/1000)*(d_Irr!BR25)),IF(AND(d_Irr!T25=".",d_Irr!AS25&lt;&gt;".",d_Irr!BR25="."),d_dir!AU25/((1/1000)*(d_Irr!AS25)),IF(AND(d_Irr!T25&lt;&gt;".",d_Irr!AS25=".",d_Irr!BR25="."),d_dir!AU25/((1/1000)*(d_Irr!T25)),IF(AND(d_Irr!T25=".",d_Irr!AS25=".",d_Irr!BR25="."),d_dir!AU25*1000)))))))),".")</f>
        <v>.</v>
      </c>
      <c r="AV25" s="76" t="str">
        <f>IFERROR(IF(AND(d_Irr!U25&lt;&gt;".",d_Irr!AT25&lt;&gt;".",d_Irr!BS25&lt;&gt;"."),d_dir!AV25/((1/1000)*(d_Irr!U25+d_Irr!AT25+d_Irr!BS25)),IF(AND(d_Irr!U25&lt;&gt;".",d_Irr!AT25&lt;&gt;".",d_Irr!BS25="."),d_dir!AV25/((1/1000)*(d_Irr!U25+d_Irr!AT25)),IF(AND(d_Irr!U25&lt;&gt;".",d_Irr!AT25=".",d_Irr!BS25&lt;&gt;"."),d_dir!AV25/((1/1000)*(d_Irr!U25+d_Irr!BS25)),IF(AND(d_Irr!U25=".",d_Irr!AT25&lt;&gt;".",d_Irr!BS25&lt;&gt;"."),d_dir!AV25/((1/1000)*(d_Irr!AT25+d_Irr!BS25)),IF(AND(d_Irr!U25=".",d_Irr!AT25=".",d_Irr!BS25&lt;&gt;"."),d_dir!AV25/((1/1000)*(d_Irr!BS25)),IF(AND(d_Irr!U25=".",d_Irr!AT25&lt;&gt;".",d_Irr!BS25="."),d_dir!AV25/((1/1000)*(d_Irr!AT25)),IF(AND(d_Irr!U25&lt;&gt;".",d_Irr!AT25=".",d_Irr!BS25="."),d_dir!AV25/((1/1000)*(d_Irr!U25)),IF(AND(d_Irr!U25=".",d_Irr!AT25=".",d_Irr!BS25="."),d_dir!AV25*1000)))))))),".")</f>
        <v>.</v>
      </c>
      <c r="AW25" s="76" t="str">
        <f>IFERROR(IF(AND(d_Irr!V25&lt;&gt;".",d_Irr!AU25&lt;&gt;".",d_Irr!BT25&lt;&gt;"."),d_dir!AW25/((1/1000)*(d_Irr!V25+d_Irr!AU25+d_Irr!BT25)),IF(AND(d_Irr!V25&lt;&gt;".",d_Irr!AU25&lt;&gt;".",d_Irr!BT25="."),d_dir!AW25/((1/1000)*(d_Irr!V25+d_Irr!AU25)),IF(AND(d_Irr!V25&lt;&gt;".",d_Irr!AU25=".",d_Irr!BT25&lt;&gt;"."),d_dir!AW25/((1/1000)*(d_Irr!V25+d_Irr!BT25)),IF(AND(d_Irr!V25=".",d_Irr!AU25&lt;&gt;".",d_Irr!BT25&lt;&gt;"."),d_dir!AW25/((1/1000)*(d_Irr!AU25+d_Irr!BT25)),IF(AND(d_Irr!V25=".",d_Irr!AU25=".",d_Irr!BT25&lt;&gt;"."),d_dir!AW25/((1/1000)*(d_Irr!BT25)),IF(AND(d_Irr!V25=".",d_Irr!AU25&lt;&gt;".",d_Irr!BT25="."),d_dir!AW25/((1/1000)*(d_Irr!AU25)),IF(AND(d_Irr!V25&lt;&gt;".",d_Irr!AU25=".",d_Irr!BT25="."),d_dir!AW25/((1/1000)*(d_Irr!V25)),IF(AND(d_Irr!V25=".",d_Irr!AU25=".",d_Irr!BT25="."),d_dir!AW25*1000)))))))),".")</f>
        <v>.</v>
      </c>
      <c r="AX25" s="76" t="str">
        <f>IFERROR(IF(AND(d_Irr!W25&lt;&gt;".",d_Irr!AV25&lt;&gt;".",d_Irr!BU25&lt;&gt;"."),d_dir!AX25/((1/1000)*(d_Irr!W25+d_Irr!AV25+d_Irr!BU25)),IF(AND(d_Irr!W25&lt;&gt;".",d_Irr!AV25&lt;&gt;".",d_Irr!BU25="."),d_dir!AX25/((1/1000)*(d_Irr!W25+d_Irr!AV25)),IF(AND(d_Irr!W25&lt;&gt;".",d_Irr!AV25=".",d_Irr!BU25&lt;&gt;"."),d_dir!AX25/((1/1000)*(d_Irr!W25+d_Irr!BU25)),IF(AND(d_Irr!W25=".",d_Irr!AV25&lt;&gt;".",d_Irr!BU25&lt;&gt;"."),d_dir!AX25/((1/1000)*(d_Irr!AV25+d_Irr!BU25)),IF(AND(d_Irr!W25=".",d_Irr!AV25=".",d_Irr!BU25&lt;&gt;"."),d_dir!AX25/((1/1000)*(d_Irr!BU25)),IF(AND(d_Irr!W25=".",d_Irr!AV25&lt;&gt;".",d_Irr!BU25="."),d_dir!AX25/((1/1000)*(d_Irr!AV25)),IF(AND(d_Irr!W25&lt;&gt;".",d_Irr!AV25=".",d_Irr!BU25="."),d_dir!AX25/((1/1000)*(d_Irr!W25)),IF(AND(d_Irr!W25=".",d_Irr!AV25=".",d_Irr!BU25="."),d_dir!AX25*1000)))))))),".")</f>
        <v>.</v>
      </c>
      <c r="AY25" s="76" t="str">
        <f>IFERROR(IF(AND(d_Irr!X25&lt;&gt;".",d_Irr!AW25&lt;&gt;".",d_Irr!BV25&lt;&gt;"."),d_dir!AY25/((1/1000)*(d_Irr!X25+d_Irr!AW25+d_Irr!BV25)),IF(AND(d_Irr!X25&lt;&gt;".",d_Irr!AW25&lt;&gt;".",d_Irr!BV25="."),d_dir!AY25/((1/1000)*(d_Irr!X25+d_Irr!AW25)),IF(AND(d_Irr!X25&lt;&gt;".",d_Irr!AW25=".",d_Irr!BV25&lt;&gt;"."),d_dir!AY25/((1/1000)*(d_Irr!X25+d_Irr!BV25)),IF(AND(d_Irr!X25=".",d_Irr!AW25&lt;&gt;".",d_Irr!BV25&lt;&gt;"."),d_dir!AY25/((1/1000)*(d_Irr!AW25+d_Irr!BV25)),IF(AND(d_Irr!X25=".",d_Irr!AW25=".",d_Irr!BV25&lt;&gt;"."),d_dir!AY25/((1/1000)*(d_Irr!BV25)),IF(AND(d_Irr!X25=".",d_Irr!AW25&lt;&gt;".",d_Irr!BV25="."),d_dir!AY25/((1/1000)*(d_Irr!AW25)),IF(AND(d_Irr!X25&lt;&gt;".",d_Irr!AW25=".",d_Irr!BV25="."),d_dir!AY25/((1/1000)*(d_Irr!X25)),IF(AND(d_Irr!X25=".",d_Irr!AW25=".",d_Irr!BV25="."),d_dir!AY25*1000)))))))),".")</f>
        <v>.</v>
      </c>
      <c r="AZ25" s="76" t="str">
        <f>IFERROR(IF(AND(d_Irr!Y25&lt;&gt;".",d_Irr!AX25&lt;&gt;".",d_Irr!BW25&lt;&gt;"."),d_dir!AZ25/((1/1000)*(d_Irr!Y25+d_Irr!AX25+d_Irr!BW25)),IF(AND(d_Irr!Y25&lt;&gt;".",d_Irr!AX25&lt;&gt;".",d_Irr!BW25="."),d_dir!AZ25/((1/1000)*(d_Irr!Y25+d_Irr!AX25)),IF(AND(d_Irr!Y25&lt;&gt;".",d_Irr!AX25=".",d_Irr!BW25&lt;&gt;"."),d_dir!AZ25/((1/1000)*(d_Irr!Y25+d_Irr!BW25)),IF(AND(d_Irr!Y25=".",d_Irr!AX25&lt;&gt;".",d_Irr!BW25&lt;&gt;"."),d_dir!AZ25/((1/1000)*(d_Irr!AX25+d_Irr!BW25)),IF(AND(d_Irr!Y25=".",d_Irr!AX25=".",d_Irr!BW25&lt;&gt;"."),d_dir!AZ25/((1/1000)*(d_Irr!BW25)),IF(AND(d_Irr!Y25=".",d_Irr!AX25&lt;&gt;".",d_Irr!BW25="."),d_dir!AZ25/((1/1000)*(d_Irr!AX25)),IF(AND(d_Irr!Y25&lt;&gt;".",d_Irr!AX25=".",d_Irr!BW25="."),d_dir!AZ25/((1/1000)*(d_Irr!Y25)),IF(AND(d_Irr!Y25=".",d_Irr!AX25=".",d_Irr!BW25="."),d_dir!AZ25*1000)))))))),".")</f>
        <v>.</v>
      </c>
      <c r="BA25" s="76" t="str">
        <f>IFERROR(IF(AND(d_Irr!Z25&lt;&gt;".",d_Irr!AY25&lt;&gt;".",d_Irr!BX25&lt;&gt;"."),d_dir!BA25/((1/1000)*(d_Irr!Z25+d_Irr!AY25+d_Irr!BX25)),IF(AND(d_Irr!Z25&lt;&gt;".",d_Irr!AY25&lt;&gt;".",d_Irr!BX25="."),d_dir!BA25/((1/1000)*(d_Irr!Z25+d_Irr!AY25)),IF(AND(d_Irr!Z25&lt;&gt;".",d_Irr!AY25=".",d_Irr!BX25&lt;&gt;"."),d_dir!BA25/((1/1000)*(d_Irr!Z25+d_Irr!BX25)),IF(AND(d_Irr!Z25=".",d_Irr!AY25&lt;&gt;".",d_Irr!BX25&lt;&gt;"."),d_dir!BA25/((1/1000)*(d_Irr!AY25+d_Irr!BX25)),IF(AND(d_Irr!Z25=".",d_Irr!AY25=".",d_Irr!BX25&lt;&gt;"."),d_dir!BA25/((1/1000)*(d_Irr!BX25)),IF(AND(d_Irr!Z25=".",d_Irr!AY25&lt;&gt;".",d_Irr!BX25="."),d_dir!BA25/((1/1000)*(d_Irr!AY25)),IF(AND(d_Irr!Z25&lt;&gt;".",d_Irr!AY25=".",d_Irr!BX25="."),d_dir!BA25/((1/1000)*(d_Irr!Z25)),IF(AND(d_Irr!Z25=".",d_Irr!AY25=".",d_Irr!BX25="."),d_dir!BA25*1000)))))))),".")</f>
        <v>.</v>
      </c>
      <c r="BB25" s="76" t="str">
        <f>IFERROR(IF(AND(d_Irr!AA25&lt;&gt;".",d_Irr!AZ25&lt;&gt;".",d_Irr!BY25&lt;&gt;"."),d_dir!BB25/((1/1000)*(d_Irr!AA25+d_Irr!AZ25+d_Irr!BY25)),IF(AND(d_Irr!AA25&lt;&gt;".",d_Irr!AZ25&lt;&gt;".",d_Irr!BY25="."),d_dir!BB25/((1/1000)*(d_Irr!AA25+d_Irr!AZ25)),IF(AND(d_Irr!AA25&lt;&gt;".",d_Irr!AZ25=".",d_Irr!BY25&lt;&gt;"."),d_dir!BB25/((1/1000)*(d_Irr!AA25+d_Irr!BY25)),IF(AND(d_Irr!AA25=".",d_Irr!AZ25&lt;&gt;".",d_Irr!BY25&lt;&gt;"."),d_dir!BB25/((1/1000)*(d_Irr!AZ25+d_Irr!BY25)),IF(AND(d_Irr!AA25=".",d_Irr!AZ25=".",d_Irr!BY25&lt;&gt;"."),d_dir!BB25/((1/1000)*(d_Irr!BY25)),IF(AND(d_Irr!AA25=".",d_Irr!AZ25&lt;&gt;".",d_Irr!BY25="."),d_dir!BB25/((1/1000)*(d_Irr!AZ25)),IF(AND(d_Irr!AA25&lt;&gt;".",d_Irr!AZ25=".",d_Irr!BY25="."),d_dir!BB25/((1/1000)*(d_Irr!AA25)),IF(AND(d_Irr!AA25=".",d_Irr!AZ25=".",d_Irr!BY25="."),d_dir!BB25*1000)))))))),".")</f>
        <v>.</v>
      </c>
    </row>
    <row r="26" spans="1:54" ht="15" customHeight="1" x14ac:dyDescent="0.25">
      <c r="A26" s="92" t="s">
        <v>36</v>
      </c>
      <c r="B26" s="90" t="s">
        <v>1071</v>
      </c>
      <c r="C26" s="2">
        <f t="shared" si="1"/>
        <v>7.6948898526912654E-2</v>
      </c>
      <c r="D26" s="76">
        <f>IFERROR(IF(AND(d_Irr!C26&lt;&gt;".",d_Irr!AB26&lt;&gt;".",d_Irr!BA26&lt;&gt;"."),d_dir!D26/((1/1000)*(d_Irr!C26+d_Irr!AB26+d_Irr!BA26)),IF(AND(d_Irr!C26&lt;&gt;".",d_Irr!AB26&lt;&gt;".",d_Irr!BA26="."),d_dir!D26/((1/1000)*(d_Irr!C26+d_Irr!AB26)),IF(AND(d_Irr!C26&lt;&gt;".",d_Irr!AB26=".",d_Irr!BA26&lt;&gt;"."),d_dir!D26/((1/1000)*(d_Irr!C26+d_Irr!BA26)),IF(AND(d_Irr!C26=".",d_Irr!AB26&lt;&gt;".",d_Irr!BA26&lt;&gt;"."),d_dir!D26/((1/1000)*(d_Irr!AB26+d_Irr!BA26)),IF(AND(d_Irr!C26=".",d_Irr!AB26=".",d_Irr!BA26&lt;&gt;"."),d_dir!D26/((1/1000)*(d_Irr!BA26)),IF(AND(d_Irr!C26=".",d_Irr!AB26&lt;&gt;".",d_Irr!BA26="."),d_dir!D26/((1/1000)*(d_Irr!AB26)),IF(AND(d_Irr!C26&lt;&gt;".",d_Irr!AB26=".",d_Irr!BA26="."),d_dir!D26/((1/1000)*(d_Irr!C26)),IF(AND(d_Irr!C26=".",d_Irr!AB26=".",d_Irr!BA26="."),d_dir!D26*1000)))))))),".")</f>
        <v>1.4048605351747385</v>
      </c>
      <c r="E26" s="76">
        <f>IFERROR(IF(AND(d_Irr!D26&lt;&gt;".",d_Irr!AC26&lt;&gt;".",d_Irr!BB26&lt;&gt;"."),d_dir!E26/((1/1000)*(d_Irr!D26+d_Irr!AC26+d_Irr!BB26)),IF(AND(d_Irr!D26&lt;&gt;".",d_Irr!AC26&lt;&gt;".",d_Irr!BB26="."),d_dir!E26/((1/1000)*(d_Irr!D26+d_Irr!AC26)),IF(AND(d_Irr!D26&lt;&gt;".",d_Irr!AC26=".",d_Irr!BB26&lt;&gt;"."),d_dir!E26/((1/1000)*(d_Irr!D26+d_Irr!BB26)),IF(AND(d_Irr!D26=".",d_Irr!AC26&lt;&gt;".",d_Irr!BB26&lt;&gt;"."),d_dir!E26/((1/1000)*(d_Irr!AC26+d_Irr!BB26)),IF(AND(d_Irr!D26=".",d_Irr!AC26=".",d_Irr!BB26&lt;&gt;"."),d_dir!E26/((1/1000)*(d_Irr!BB26)),IF(AND(d_Irr!D26=".",d_Irr!AC26&lt;&gt;".",d_Irr!BB26="."),d_dir!E26/((1/1000)*(d_Irr!AC26)),IF(AND(d_Irr!D26&lt;&gt;".",d_Irr!AC26=".",d_Irr!BB26="."),d_dir!E26/((1/1000)*(d_Irr!D26)),IF(AND(d_Irr!D26=".",d_Irr!AC26=".",d_Irr!BB26="."),d_dir!E26*1000)))))))),".")</f>
        <v>3.0537957848434716</v>
      </c>
      <c r="F26" s="76">
        <f>IFERROR(IF(AND(d_Irr!E26&lt;&gt;".",d_Irr!AD26&lt;&gt;".",d_Irr!BC26&lt;&gt;"."),d_dir!F26/((1/1000)*(d_Irr!E26+d_Irr!AD26+d_Irr!BC26)),IF(AND(d_Irr!E26&lt;&gt;".",d_Irr!AD26&lt;&gt;".",d_Irr!BC26="."),d_dir!F26/((1/1000)*(d_Irr!E26+d_Irr!AD26)),IF(AND(d_Irr!E26&lt;&gt;".",d_Irr!AD26=".",d_Irr!BC26&lt;&gt;"."),d_dir!F26/((1/1000)*(d_Irr!E26+d_Irr!BC26)),IF(AND(d_Irr!E26=".",d_Irr!AD26&lt;&gt;".",d_Irr!BC26&lt;&gt;"."),d_dir!F26/((1/1000)*(d_Irr!AD26+d_Irr!BC26)),IF(AND(d_Irr!E26=".",d_Irr!AD26=".",d_Irr!BC26&lt;&gt;"."),d_dir!F26/((1/1000)*(d_Irr!BC26)),IF(AND(d_Irr!E26=".",d_Irr!AD26&lt;&gt;".",d_Irr!BC26="."),d_dir!F26/((1/1000)*(d_Irr!AD26)),IF(AND(d_Irr!E26&lt;&gt;".",d_Irr!AD26=".",d_Irr!BC26="."),d_dir!F26/((1/1000)*(d_Irr!E26)),IF(AND(d_Irr!E26=".",d_Irr!AD26=".",d_Irr!BC26="."),d_dir!F26*1000)))))))),".")</f>
        <v>3.6961735893514311</v>
      </c>
      <c r="G26" s="76">
        <f>IFERROR(IF(AND(d_Irr!F26&lt;&gt;".",d_Irr!AE26&lt;&gt;".",d_Irr!BD26&lt;&gt;"."),d_dir!G26/((1/1000)*(d_Irr!F26+d_Irr!AE26+d_Irr!BD26)),IF(AND(d_Irr!F26&lt;&gt;".",d_Irr!AE26&lt;&gt;".",d_Irr!BD26="."),d_dir!G26/((1/1000)*(d_Irr!F26+d_Irr!AE26)),IF(AND(d_Irr!F26&lt;&gt;".",d_Irr!AE26=".",d_Irr!BD26&lt;&gt;"."),d_dir!G26/((1/1000)*(d_Irr!F26+d_Irr!BD26)),IF(AND(d_Irr!F26=".",d_Irr!AE26&lt;&gt;".",d_Irr!BD26&lt;&gt;"."),d_dir!G26/((1/1000)*(d_Irr!AE26+d_Irr!BD26)),IF(AND(d_Irr!F26=".",d_Irr!AE26=".",d_Irr!BD26&lt;&gt;"."),d_dir!G26/((1/1000)*(d_Irr!BD26)),IF(AND(d_Irr!F26=".",d_Irr!AE26&lt;&gt;".",d_Irr!BD26="."),d_dir!G26/((1/1000)*(d_Irr!AE26)),IF(AND(d_Irr!F26&lt;&gt;".",d_Irr!AE26=".",d_Irr!BD26="."),d_dir!G26/((1/1000)*(d_Irr!F26)),IF(AND(d_Irr!F26=".",d_Irr!AE26=".",d_Irr!BD26="."),d_dir!G26*1000)))))))),".")</f>
        <v>3.1595933196505519</v>
      </c>
      <c r="H26" s="76">
        <f>IFERROR(IF(AND(d_Irr!G26&lt;&gt;".",d_Irr!AF26&lt;&gt;".",d_Irr!BE26&lt;&gt;"."),d_dir!H26/((1/1000)*(d_Irr!G26+d_Irr!AF26+d_Irr!BE26)),IF(AND(d_Irr!G26&lt;&gt;".",d_Irr!AF26&lt;&gt;".",d_Irr!BE26="."),d_dir!H26/((1/1000)*(d_Irr!G26+d_Irr!AF26)),IF(AND(d_Irr!G26&lt;&gt;".",d_Irr!AF26=".",d_Irr!BE26&lt;&gt;"."),d_dir!H26/((1/1000)*(d_Irr!G26+d_Irr!BE26)),IF(AND(d_Irr!G26=".",d_Irr!AF26&lt;&gt;".",d_Irr!BE26&lt;&gt;"."),d_dir!H26/((1/1000)*(d_Irr!AF26+d_Irr!BE26)),IF(AND(d_Irr!G26=".",d_Irr!AF26=".",d_Irr!BE26&lt;&gt;"."),d_dir!H26/((1/1000)*(d_Irr!BE26)),IF(AND(d_Irr!G26=".",d_Irr!AF26&lt;&gt;".",d_Irr!BE26="."),d_dir!H26/((1/1000)*(d_Irr!AF26)),IF(AND(d_Irr!G26&lt;&gt;".",d_Irr!AF26=".",d_Irr!BE26="."),d_dir!H26/((1/1000)*(d_Irr!G26)),IF(AND(d_Irr!G26=".",d_Irr!AF26=".",d_Irr!BE26="."),d_dir!H26*1000)))))))),".")</f>
        <v>3.8509002518522433</v>
      </c>
      <c r="I26" s="76">
        <f>IFERROR(IF(AND(d_Irr!H26&lt;&gt;".",d_Irr!AG26&lt;&gt;".",d_Irr!BF26&lt;&gt;"."),d_dir!I26/((1/1000)*(d_Irr!H26+d_Irr!AG26+d_Irr!BF26)),IF(AND(d_Irr!H26&lt;&gt;".",d_Irr!AG26&lt;&gt;".",d_Irr!BF26="."),d_dir!I26/((1/1000)*(d_Irr!H26+d_Irr!AG26)),IF(AND(d_Irr!H26&lt;&gt;".",d_Irr!AG26=".",d_Irr!BF26&lt;&gt;"."),d_dir!I26/((1/1000)*(d_Irr!H26+d_Irr!BF26)),IF(AND(d_Irr!H26=".",d_Irr!AG26&lt;&gt;".",d_Irr!BF26&lt;&gt;"."),d_dir!I26/((1/1000)*(d_Irr!AG26+d_Irr!BF26)),IF(AND(d_Irr!H26=".",d_Irr!AG26=".",d_Irr!BF26&lt;&gt;"."),d_dir!I26/((1/1000)*(d_Irr!BF26)),IF(AND(d_Irr!H26=".",d_Irr!AG26&lt;&gt;".",d_Irr!BF26="."),d_dir!I26/((1/1000)*(d_Irr!AG26)),IF(AND(d_Irr!H26&lt;&gt;".",d_Irr!AG26=".",d_Irr!BF26="."),d_dir!I26/((1/1000)*(d_Irr!H26)),IF(AND(d_Irr!H26=".",d_Irr!AG26=".",d_Irr!BF26="."),d_dir!I26*1000)))))))),".")</f>
        <v>1.504125271016405</v>
      </c>
      <c r="J26" s="76">
        <f>IFERROR(IF(AND(d_Irr!I26&lt;&gt;".",d_Irr!AH26&lt;&gt;".",d_Irr!BG26&lt;&gt;"."),d_dir!J26/((1/1000)*(d_Irr!I26+d_Irr!AH26+d_Irr!BG26)),IF(AND(d_Irr!I26&lt;&gt;".",d_Irr!AH26&lt;&gt;".",d_Irr!BG26="."),d_dir!J26/((1/1000)*(d_Irr!I26+d_Irr!AH26)),IF(AND(d_Irr!I26&lt;&gt;".",d_Irr!AH26=".",d_Irr!BG26&lt;&gt;"."),d_dir!J26/((1/1000)*(d_Irr!I26+d_Irr!BG26)),IF(AND(d_Irr!I26=".",d_Irr!AH26&lt;&gt;".",d_Irr!BG26&lt;&gt;"."),d_dir!J26/((1/1000)*(d_Irr!AH26+d_Irr!BG26)),IF(AND(d_Irr!I26=".",d_Irr!AH26=".",d_Irr!BG26&lt;&gt;"."),d_dir!J26/((1/1000)*(d_Irr!BG26)),IF(AND(d_Irr!I26=".",d_Irr!AH26&lt;&gt;".",d_Irr!BG26="."),d_dir!J26/((1/1000)*(d_Irr!AH26)),IF(AND(d_Irr!I26&lt;&gt;".",d_Irr!AH26=".",d_Irr!BG26="."),d_dir!J26/((1/1000)*(d_Irr!I26)),IF(AND(d_Irr!I26=".",d_Irr!AH26=".",d_Irr!BG26="."),d_dir!J26*1000)))))))),".")</f>
        <v>4.2561161181172436</v>
      </c>
      <c r="K26" s="76">
        <f>IFERROR(IF(AND(d_Irr!J26&lt;&gt;".",d_Irr!AI26&lt;&gt;".",d_Irr!BH26&lt;&gt;"."),d_dir!K26/((1/1000)*(d_Irr!J26+d_Irr!AI26+d_Irr!BH26)),IF(AND(d_Irr!J26&lt;&gt;".",d_Irr!AI26&lt;&gt;".",d_Irr!BH26="."),d_dir!K26/((1/1000)*(d_Irr!J26+d_Irr!AI26)),IF(AND(d_Irr!J26&lt;&gt;".",d_Irr!AI26=".",d_Irr!BH26&lt;&gt;"."),d_dir!K26/((1/1000)*(d_Irr!J26+d_Irr!BH26)),IF(AND(d_Irr!J26=".",d_Irr!AI26&lt;&gt;".",d_Irr!BH26&lt;&gt;"."),d_dir!K26/((1/1000)*(d_Irr!AI26+d_Irr!BH26)),IF(AND(d_Irr!J26=".",d_Irr!AI26=".",d_Irr!BH26&lt;&gt;"."),d_dir!K26/((1/1000)*(d_Irr!BH26)),IF(AND(d_Irr!J26=".",d_Irr!AI26&lt;&gt;".",d_Irr!BH26="."),d_dir!K26/((1/1000)*(d_Irr!AI26)),IF(AND(d_Irr!J26&lt;&gt;".",d_Irr!AI26=".",d_Irr!BH26="."),d_dir!K26/((1/1000)*(d_Irr!J26)),IF(AND(d_Irr!J26=".",d_Irr!AI26=".",d_Irr!BH26="."),d_dir!K26*1000)))))))),".")</f>
        <v>0.36429026834645983</v>
      </c>
      <c r="L26" s="76">
        <f>IFERROR(IF(AND(d_Irr!K26&lt;&gt;".",d_Irr!AJ26&lt;&gt;".",d_Irr!BI26&lt;&gt;"."),d_dir!L26/((1/1000)*(d_Irr!K26+d_Irr!AJ26+d_Irr!BI26)),IF(AND(d_Irr!K26&lt;&gt;".",d_Irr!AJ26&lt;&gt;".",d_Irr!BI26="."),d_dir!L26/((1/1000)*(d_Irr!K26+d_Irr!AJ26)),IF(AND(d_Irr!K26&lt;&gt;".",d_Irr!AJ26=".",d_Irr!BI26&lt;&gt;"."),d_dir!L26/((1/1000)*(d_Irr!K26+d_Irr!BI26)),IF(AND(d_Irr!K26=".",d_Irr!AJ26&lt;&gt;".",d_Irr!BI26&lt;&gt;"."),d_dir!L26/((1/1000)*(d_Irr!AJ26+d_Irr!BI26)),IF(AND(d_Irr!K26=".",d_Irr!AJ26=".",d_Irr!BI26&lt;&gt;"."),d_dir!L26/((1/1000)*(d_Irr!BI26)),IF(AND(d_Irr!K26=".",d_Irr!AJ26&lt;&gt;".",d_Irr!BI26="."),d_dir!L26/((1/1000)*(d_Irr!AJ26)),IF(AND(d_Irr!K26&lt;&gt;".",d_Irr!AJ26=".",d_Irr!BI26="."),d_dir!L26/((1/1000)*(d_Irr!K26)),IF(AND(d_Irr!K26=".",d_Irr!AJ26=".",d_Irr!BI26="."),d_dir!L26*1000)))))))),".")</f>
        <v>1.9952479875665825</v>
      </c>
      <c r="M26" s="76">
        <f>IFERROR(IF(AND(d_Irr!L26&lt;&gt;".",d_Irr!AK26&lt;&gt;".",d_Irr!BJ26&lt;&gt;"."),d_dir!M26/((1/1000)*(d_Irr!L26+d_Irr!AK26+d_Irr!BJ26)),IF(AND(d_Irr!L26&lt;&gt;".",d_Irr!AK26&lt;&gt;".",d_Irr!BJ26="."),d_dir!M26/((1/1000)*(d_Irr!L26+d_Irr!AK26)),IF(AND(d_Irr!L26&lt;&gt;".",d_Irr!AK26=".",d_Irr!BJ26&lt;&gt;"."),d_dir!M26/((1/1000)*(d_Irr!L26+d_Irr!BJ26)),IF(AND(d_Irr!L26=".",d_Irr!AK26&lt;&gt;".",d_Irr!BJ26&lt;&gt;"."),d_dir!M26/((1/1000)*(d_Irr!AK26+d_Irr!BJ26)),IF(AND(d_Irr!L26=".",d_Irr!AK26=".",d_Irr!BJ26&lt;&gt;"."),d_dir!M26/((1/1000)*(d_Irr!BJ26)),IF(AND(d_Irr!L26=".",d_Irr!AK26&lt;&gt;".",d_Irr!BJ26="."),d_dir!M26/((1/1000)*(d_Irr!AK26)),IF(AND(d_Irr!L26&lt;&gt;".",d_Irr!AK26=".",d_Irr!BJ26="."),d_dir!M26/((1/1000)*(d_Irr!L26)),IF(AND(d_Irr!L26=".",d_Irr!AK26=".",d_Irr!BJ26="."),d_dir!M26*1000)))))))),".")</f>
        <v>1.494201837438095</v>
      </c>
      <c r="N26" s="76">
        <f>IFERROR(IF(AND(d_Irr!M26&lt;&gt;".",d_Irr!AL26&lt;&gt;".",d_Irr!BK26&lt;&gt;"."),d_dir!N26/((1/1000)*(d_Irr!M26+d_Irr!AL26+d_Irr!BK26)),IF(AND(d_Irr!M26&lt;&gt;".",d_Irr!AL26&lt;&gt;".",d_Irr!BK26="."),d_dir!N26/((1/1000)*(d_Irr!M26+d_Irr!AL26)),IF(AND(d_Irr!M26&lt;&gt;".",d_Irr!AL26=".",d_Irr!BK26&lt;&gt;"."),d_dir!N26/((1/1000)*(d_Irr!M26+d_Irr!BK26)),IF(AND(d_Irr!M26=".",d_Irr!AL26&lt;&gt;".",d_Irr!BK26&lt;&gt;"."),d_dir!N26/((1/1000)*(d_Irr!AL26+d_Irr!BK26)),IF(AND(d_Irr!M26=".",d_Irr!AL26=".",d_Irr!BK26&lt;&gt;"."),d_dir!N26/((1/1000)*(d_Irr!BK26)),IF(AND(d_Irr!M26=".",d_Irr!AL26&lt;&gt;".",d_Irr!BK26="."),d_dir!N26/((1/1000)*(d_Irr!AL26)),IF(AND(d_Irr!M26&lt;&gt;".",d_Irr!AL26=".",d_Irr!BK26="."),d_dir!N26/((1/1000)*(d_Irr!M26)),IF(AND(d_Irr!M26=".",d_Irr!AL26=".",d_Irr!BK26="."),d_dir!N26*1000)))))))),".")</f>
        <v>3.1285448122019561</v>
      </c>
      <c r="O26" s="76">
        <f>IFERROR(IF(AND(d_Irr!N26&lt;&gt;".",d_Irr!AM26&lt;&gt;".",d_Irr!BL26&lt;&gt;"."),d_dir!O26/((1/1000)*(d_Irr!N26+d_Irr!AM26+d_Irr!BL26)),IF(AND(d_Irr!N26&lt;&gt;".",d_Irr!AM26&lt;&gt;".",d_Irr!BL26="."),d_dir!O26/((1/1000)*(d_Irr!N26+d_Irr!AM26)),IF(AND(d_Irr!N26&lt;&gt;".",d_Irr!AM26=".",d_Irr!BL26&lt;&gt;"."),d_dir!O26/((1/1000)*(d_Irr!N26+d_Irr!BL26)),IF(AND(d_Irr!N26=".",d_Irr!AM26&lt;&gt;".",d_Irr!BL26&lt;&gt;"."),d_dir!O26/((1/1000)*(d_Irr!AM26+d_Irr!BL26)),IF(AND(d_Irr!N26=".",d_Irr!AM26=".",d_Irr!BL26&lt;&gt;"."),d_dir!O26/((1/1000)*(d_Irr!BL26)),IF(AND(d_Irr!N26=".",d_Irr!AM26&lt;&gt;".",d_Irr!BL26="."),d_dir!O26/((1/1000)*(d_Irr!AM26)),IF(AND(d_Irr!N26&lt;&gt;".",d_Irr!AM26=".",d_Irr!BL26="."),d_dir!O26/((1/1000)*(d_Irr!N26)),IF(AND(d_Irr!N26=".",d_Irr!AM26=".",d_Irr!BL26="."),d_dir!O26*1000)))))))),".")</f>
        <v>3.1973427062447319</v>
      </c>
      <c r="P26" s="76">
        <f>IFERROR(IF(AND(d_Irr!O26&lt;&gt;".",d_Irr!AN26&lt;&gt;".",d_Irr!BM26&lt;&gt;"."),d_dir!P26/((1/1000)*(d_Irr!O26+d_Irr!AN26+d_Irr!BM26)),IF(AND(d_Irr!O26&lt;&gt;".",d_Irr!AN26&lt;&gt;".",d_Irr!BM26="."),d_dir!P26/((1/1000)*(d_Irr!O26+d_Irr!AN26)),IF(AND(d_Irr!O26&lt;&gt;".",d_Irr!AN26=".",d_Irr!BM26&lt;&gt;"."),d_dir!P26/((1/1000)*(d_Irr!O26+d_Irr!BM26)),IF(AND(d_Irr!O26=".",d_Irr!AN26&lt;&gt;".",d_Irr!BM26&lt;&gt;"."),d_dir!P26/((1/1000)*(d_Irr!AN26+d_Irr!BM26)),IF(AND(d_Irr!O26=".",d_Irr!AN26=".",d_Irr!BM26&lt;&gt;"."),d_dir!P26/((1/1000)*(d_Irr!BM26)),IF(AND(d_Irr!O26=".",d_Irr!AN26&lt;&gt;".",d_Irr!BM26="."),d_dir!P26/((1/1000)*(d_Irr!AN26)),IF(AND(d_Irr!O26&lt;&gt;".",d_Irr!AN26=".",d_Irr!BM26="."),d_dir!P26/((1/1000)*(d_Irr!O26)),IF(AND(d_Irr!O26=".",d_Irr!AN26=".",d_Irr!BM26="."),d_dir!P26*1000)))))))),".")</f>
        <v>4.0307962017187258</v>
      </c>
      <c r="Q26" s="76">
        <f>IFERROR(IF(AND(d_Irr!P26&lt;&gt;".",d_Irr!AO26&lt;&gt;".",d_Irr!BN26&lt;&gt;"."),d_dir!Q26/((1/1000)*(d_Irr!P26+d_Irr!AO26+d_Irr!BN26)),IF(AND(d_Irr!P26&lt;&gt;".",d_Irr!AO26&lt;&gt;".",d_Irr!BN26="."),d_dir!Q26/((1/1000)*(d_Irr!P26+d_Irr!AO26)),IF(AND(d_Irr!P26&lt;&gt;".",d_Irr!AO26=".",d_Irr!BN26&lt;&gt;"."),d_dir!Q26/((1/1000)*(d_Irr!P26+d_Irr!BN26)),IF(AND(d_Irr!P26=".",d_Irr!AO26&lt;&gt;".",d_Irr!BN26&lt;&gt;"."),d_dir!Q26/((1/1000)*(d_Irr!AO26+d_Irr!BN26)),IF(AND(d_Irr!P26=".",d_Irr!AO26=".",d_Irr!BN26&lt;&gt;"."),d_dir!Q26/((1/1000)*(d_Irr!BN26)),IF(AND(d_Irr!P26=".",d_Irr!AO26&lt;&gt;".",d_Irr!BN26="."),d_dir!Q26/((1/1000)*(d_Irr!AO26)),IF(AND(d_Irr!P26&lt;&gt;".",d_Irr!AO26=".",d_Irr!BN26="."),d_dir!Q26/((1/1000)*(d_Irr!P26)),IF(AND(d_Irr!P26=".",d_Irr!AO26=".",d_Irr!BN26="."),d_dir!Q26*1000)))))))),".")</f>
        <v>5.7522497599822655</v>
      </c>
      <c r="R26" s="76">
        <f>IFERROR(IF(AND(d_Irr!Q26&lt;&gt;".",d_Irr!AP26&lt;&gt;".",d_Irr!BO26&lt;&gt;"."),d_dir!R26/((1/1000)*(d_Irr!Q26+d_Irr!AP26+d_Irr!BO26)),IF(AND(d_Irr!Q26&lt;&gt;".",d_Irr!AP26&lt;&gt;".",d_Irr!BO26="."),d_dir!R26/((1/1000)*(d_Irr!Q26+d_Irr!AP26)),IF(AND(d_Irr!Q26&lt;&gt;".",d_Irr!AP26=".",d_Irr!BO26&lt;&gt;"."),d_dir!R26/((1/1000)*(d_Irr!Q26+d_Irr!BO26)),IF(AND(d_Irr!Q26=".",d_Irr!AP26&lt;&gt;".",d_Irr!BO26&lt;&gt;"."),d_dir!R26/((1/1000)*(d_Irr!AP26+d_Irr!BO26)),IF(AND(d_Irr!Q26=".",d_Irr!AP26=".",d_Irr!BO26&lt;&gt;"."),d_dir!R26/((1/1000)*(d_Irr!BO26)),IF(AND(d_Irr!Q26=".",d_Irr!AP26&lt;&gt;".",d_Irr!BO26="."),d_dir!R26/((1/1000)*(d_Irr!AP26)),IF(AND(d_Irr!Q26&lt;&gt;".",d_Irr!AP26=".",d_Irr!BO26="."),d_dir!R26/((1/1000)*(d_Irr!Q26)),IF(AND(d_Irr!Q26=".",d_Irr!AP26=".",d_Irr!BO26="."),d_dir!R26*1000)))))))),".")</f>
        <v>0.90197139292550033</v>
      </c>
      <c r="S26" s="76">
        <f>IFERROR(IF(AND(d_Irr!R26&lt;&gt;".",d_Irr!AQ26&lt;&gt;".",d_Irr!BP26&lt;&gt;"."),d_dir!S26/((1/1000)*(d_Irr!R26+d_Irr!AQ26+d_Irr!BP26)),IF(AND(d_Irr!R26&lt;&gt;".",d_Irr!AQ26&lt;&gt;".",d_Irr!BP26="."),d_dir!S26/((1/1000)*(d_Irr!R26+d_Irr!AQ26)),IF(AND(d_Irr!R26&lt;&gt;".",d_Irr!AQ26=".",d_Irr!BP26&lt;&gt;"."),d_dir!S26/((1/1000)*(d_Irr!R26+d_Irr!BP26)),IF(AND(d_Irr!R26=".",d_Irr!AQ26&lt;&gt;".",d_Irr!BP26&lt;&gt;"."),d_dir!S26/((1/1000)*(d_Irr!AQ26+d_Irr!BP26)),IF(AND(d_Irr!R26=".",d_Irr!AQ26=".",d_Irr!BP26&lt;&gt;"."),d_dir!S26/((1/1000)*(d_Irr!BP26)),IF(AND(d_Irr!R26=".",d_Irr!AQ26&lt;&gt;".",d_Irr!BP26="."),d_dir!S26/((1/1000)*(d_Irr!AQ26)),IF(AND(d_Irr!R26&lt;&gt;".",d_Irr!AQ26=".",d_Irr!BP26="."),d_dir!S26/((1/1000)*(d_Irr!R26)),IF(AND(d_Irr!R26=".",d_Irr!AQ26=".",d_Irr!BP26="."),d_dir!S26*1000)))))))),".")</f>
        <v>1.8398818034721274</v>
      </c>
      <c r="T26" s="76">
        <f>IFERROR(IF(AND(d_Irr!S26&lt;&gt;".",d_Irr!AR26&lt;&gt;".",d_Irr!BQ26&lt;&gt;"."),d_dir!T26/((1/1000)*(d_Irr!S26+d_Irr!AR26+d_Irr!BQ26)),IF(AND(d_Irr!S26&lt;&gt;".",d_Irr!AR26&lt;&gt;".",d_Irr!BQ26="."),d_dir!T26/((1/1000)*(d_Irr!S26+d_Irr!AR26)),IF(AND(d_Irr!S26&lt;&gt;".",d_Irr!AR26=".",d_Irr!BQ26&lt;&gt;"."),d_dir!T26/((1/1000)*(d_Irr!S26+d_Irr!BQ26)),IF(AND(d_Irr!S26=".",d_Irr!AR26&lt;&gt;".",d_Irr!BQ26&lt;&gt;"."),d_dir!T26/((1/1000)*(d_Irr!AR26+d_Irr!BQ26)),IF(AND(d_Irr!S26=".",d_Irr!AR26=".",d_Irr!BQ26&lt;&gt;"."),d_dir!T26/((1/1000)*(d_Irr!BQ26)),IF(AND(d_Irr!S26=".",d_Irr!AR26&lt;&gt;".",d_Irr!BQ26="."),d_dir!T26/((1/1000)*(d_Irr!AR26)),IF(AND(d_Irr!S26&lt;&gt;".",d_Irr!AR26=".",d_Irr!BQ26="."),d_dir!T26/((1/1000)*(d_Irr!S26)),IF(AND(d_Irr!S26=".",d_Irr!AR26=".",d_Irr!BQ26="."),d_dir!T26*1000)))))))),".")</f>
        <v>3.2097036083553729</v>
      </c>
      <c r="U26" s="76">
        <f>IFERROR(IF(AND(d_Irr!T26&lt;&gt;".",d_Irr!AS26&lt;&gt;".",d_Irr!BR26&lt;&gt;"."),d_dir!U26/((1/1000)*(d_Irr!T26+d_Irr!AS26+d_Irr!BR26)),IF(AND(d_Irr!T26&lt;&gt;".",d_Irr!AS26&lt;&gt;".",d_Irr!BR26="."),d_dir!U26/((1/1000)*(d_Irr!T26+d_Irr!AS26)),IF(AND(d_Irr!T26&lt;&gt;".",d_Irr!AS26=".",d_Irr!BR26&lt;&gt;"."),d_dir!U26/((1/1000)*(d_Irr!T26+d_Irr!BR26)),IF(AND(d_Irr!T26=".",d_Irr!AS26&lt;&gt;".",d_Irr!BR26&lt;&gt;"."),d_dir!U26/((1/1000)*(d_Irr!AS26+d_Irr!BR26)),IF(AND(d_Irr!T26=".",d_Irr!AS26=".",d_Irr!BR26&lt;&gt;"."),d_dir!U26/((1/1000)*(d_Irr!BR26)),IF(AND(d_Irr!T26=".",d_Irr!AS26&lt;&gt;".",d_Irr!BR26="."),d_dir!U26/((1/1000)*(d_Irr!AS26)),IF(AND(d_Irr!T26&lt;&gt;".",d_Irr!AS26=".",d_Irr!BR26="."),d_dir!U26/((1/1000)*(d_Irr!T26)),IF(AND(d_Irr!T26=".",d_Irr!AS26=".",d_Irr!BR26="."),d_dir!U26*1000)))))))),".")</f>
        <v>6.3001746071526661</v>
      </c>
      <c r="V26" s="76">
        <f>IFERROR(IF(AND(d_Irr!U26&lt;&gt;".",d_Irr!AT26&lt;&gt;".",d_Irr!BS26&lt;&gt;"."),d_dir!V26/((1/1000)*(d_Irr!U26+d_Irr!AT26+d_Irr!BS26)),IF(AND(d_Irr!U26&lt;&gt;".",d_Irr!AT26&lt;&gt;".",d_Irr!BS26="."),d_dir!V26/((1/1000)*(d_Irr!U26+d_Irr!AT26)),IF(AND(d_Irr!U26&lt;&gt;".",d_Irr!AT26=".",d_Irr!BS26&lt;&gt;"."),d_dir!V26/((1/1000)*(d_Irr!U26+d_Irr!BS26)),IF(AND(d_Irr!U26=".",d_Irr!AT26&lt;&gt;".",d_Irr!BS26&lt;&gt;"."),d_dir!V26/((1/1000)*(d_Irr!AT26+d_Irr!BS26)),IF(AND(d_Irr!U26=".",d_Irr!AT26=".",d_Irr!BS26&lt;&gt;"."),d_dir!V26/((1/1000)*(d_Irr!BS26)),IF(AND(d_Irr!U26=".",d_Irr!AT26&lt;&gt;".",d_Irr!BS26="."),d_dir!V26/((1/1000)*(d_Irr!AT26)),IF(AND(d_Irr!U26&lt;&gt;".",d_Irr!AT26=".",d_Irr!BS26="."),d_dir!V26/((1/1000)*(d_Irr!U26)),IF(AND(d_Irr!U26=".",d_Irr!AT26=".",d_Irr!BS26="."),d_dir!V26*1000)))))))),".")</f>
        <v>0.94719368246142366</v>
      </c>
      <c r="W26" s="76">
        <f>IFERROR(IF(AND(d_Irr!V26&lt;&gt;".",d_Irr!AU26&lt;&gt;".",d_Irr!BT26&lt;&gt;"."),d_dir!W26/((1/1000)*(d_Irr!V26+d_Irr!AU26+d_Irr!BT26)),IF(AND(d_Irr!V26&lt;&gt;".",d_Irr!AU26&lt;&gt;".",d_Irr!BT26="."),d_dir!W26/((1/1000)*(d_Irr!V26+d_Irr!AU26)),IF(AND(d_Irr!V26&lt;&gt;".",d_Irr!AU26=".",d_Irr!BT26&lt;&gt;"."),d_dir!W26/((1/1000)*(d_Irr!V26+d_Irr!BT26)),IF(AND(d_Irr!V26=".",d_Irr!AU26&lt;&gt;".",d_Irr!BT26&lt;&gt;"."),d_dir!W26/((1/1000)*(d_Irr!AU26+d_Irr!BT26)),IF(AND(d_Irr!V26=".",d_Irr!AU26=".",d_Irr!BT26&lt;&gt;"."),d_dir!W26/((1/1000)*(d_Irr!BT26)),IF(AND(d_Irr!V26=".",d_Irr!AU26&lt;&gt;".",d_Irr!BT26="."),d_dir!W26/((1/1000)*(d_Irr!AU26)),IF(AND(d_Irr!V26&lt;&gt;".",d_Irr!AU26=".",d_Irr!BT26="."),d_dir!W26/((1/1000)*(d_Irr!V26)),IF(AND(d_Irr!V26=".",d_Irr!AU26=".",d_Irr!BT26="."),d_dir!W26*1000)))))))),".")</f>
        <v>1.9171446391928788</v>
      </c>
      <c r="X26" s="76">
        <f>IFERROR(IF(AND(d_Irr!W26&lt;&gt;".",d_Irr!AV26&lt;&gt;".",d_Irr!BU26&lt;&gt;"."),d_dir!X26/((1/1000)*(d_Irr!W26+d_Irr!AV26+d_Irr!BU26)),IF(AND(d_Irr!W26&lt;&gt;".",d_Irr!AV26&lt;&gt;".",d_Irr!BU26="."),d_dir!X26/((1/1000)*(d_Irr!W26+d_Irr!AV26)),IF(AND(d_Irr!W26&lt;&gt;".",d_Irr!AV26=".",d_Irr!BU26&lt;&gt;"."),d_dir!X26/((1/1000)*(d_Irr!W26+d_Irr!BU26)),IF(AND(d_Irr!W26=".",d_Irr!AV26&lt;&gt;".",d_Irr!BU26&lt;&gt;"."),d_dir!X26/((1/1000)*(d_Irr!AV26+d_Irr!BU26)),IF(AND(d_Irr!W26=".",d_Irr!AV26=".",d_Irr!BU26&lt;&gt;"."),d_dir!X26/((1/1000)*(d_Irr!BU26)),IF(AND(d_Irr!W26=".",d_Irr!AV26&lt;&gt;".",d_Irr!BU26="."),d_dir!X26/((1/1000)*(d_Irr!AV26)),IF(AND(d_Irr!W26&lt;&gt;".",d_Irr!AV26=".",d_Irr!BU26="."),d_dir!X26/((1/1000)*(d_Irr!W26)),IF(AND(d_Irr!W26=".",d_Irr!AV26=".",d_Irr!BU26="."),d_dir!X26*1000)))))))),".")</f>
        <v>2.056221726382204</v>
      </c>
      <c r="Y26" s="76">
        <f>IFERROR(IF(AND(d_Irr!X26&lt;&gt;".",d_Irr!AW26&lt;&gt;".",d_Irr!BV26&lt;&gt;"."),d_dir!Y26/((1/1000)*(d_Irr!X26+d_Irr!AW26+d_Irr!BV26)),IF(AND(d_Irr!X26&lt;&gt;".",d_Irr!AW26&lt;&gt;".",d_Irr!BV26="."),d_dir!Y26/((1/1000)*(d_Irr!X26+d_Irr!AW26)),IF(AND(d_Irr!X26&lt;&gt;".",d_Irr!AW26=".",d_Irr!BV26&lt;&gt;"."),d_dir!Y26/((1/1000)*(d_Irr!X26+d_Irr!BV26)),IF(AND(d_Irr!X26=".",d_Irr!AW26&lt;&gt;".",d_Irr!BV26&lt;&gt;"."),d_dir!Y26/((1/1000)*(d_Irr!AW26+d_Irr!BV26)),IF(AND(d_Irr!X26=".",d_Irr!AW26=".",d_Irr!BV26&lt;&gt;"."),d_dir!Y26/((1/1000)*(d_Irr!BV26)),IF(AND(d_Irr!X26=".",d_Irr!AW26&lt;&gt;".",d_Irr!BV26="."),d_dir!Y26/((1/1000)*(d_Irr!AW26)),IF(AND(d_Irr!X26&lt;&gt;".",d_Irr!AW26=".",d_Irr!BV26="."),d_dir!Y26/((1/1000)*(d_Irr!X26)),IF(AND(d_Irr!X26=".",d_Irr!AW26=".",d_Irr!BV26="."),d_dir!Y26*1000)))))))),".")</f>
        <v>2.7485960905759312</v>
      </c>
      <c r="Z26" s="76">
        <f>IFERROR(IF(AND(d_Irr!Y26&lt;&gt;".",d_Irr!AX26&lt;&gt;".",d_Irr!BW26&lt;&gt;"."),d_dir!Z26/((1/1000)*(d_Irr!Y26+d_Irr!AX26+d_Irr!BW26)),IF(AND(d_Irr!Y26&lt;&gt;".",d_Irr!AX26&lt;&gt;".",d_Irr!BW26="."),d_dir!Z26/((1/1000)*(d_Irr!Y26+d_Irr!AX26)),IF(AND(d_Irr!Y26&lt;&gt;".",d_Irr!AX26=".",d_Irr!BW26&lt;&gt;"."),d_dir!Z26/((1/1000)*(d_Irr!Y26+d_Irr!BW26)),IF(AND(d_Irr!Y26=".",d_Irr!AX26&lt;&gt;".",d_Irr!BW26&lt;&gt;"."),d_dir!Z26/((1/1000)*(d_Irr!AX26+d_Irr!BW26)),IF(AND(d_Irr!Y26=".",d_Irr!AX26=".",d_Irr!BW26&lt;&gt;"."),d_dir!Z26/((1/1000)*(d_Irr!BW26)),IF(AND(d_Irr!Y26=".",d_Irr!AX26&lt;&gt;".",d_Irr!BW26="."),d_dir!Z26/((1/1000)*(d_Irr!AX26)),IF(AND(d_Irr!Y26&lt;&gt;".",d_Irr!AX26=".",d_Irr!BW26="."),d_dir!Z26/((1/1000)*(d_Irr!Y26)),IF(AND(d_Irr!Y26=".",d_Irr!AX26=".",d_Irr!BW26="."),d_dir!Z26*1000)))))))),".")</f>
        <v>1.4492455350272189</v>
      </c>
      <c r="AA26" s="76">
        <f>IFERROR(IF(AND(d_Irr!Z26&lt;&gt;".",d_Irr!AY26&lt;&gt;".",d_Irr!BX26&lt;&gt;"."),d_dir!AA26/((1/1000)*(d_Irr!Z26+d_Irr!AY26+d_Irr!BX26)),IF(AND(d_Irr!Z26&lt;&gt;".",d_Irr!AY26&lt;&gt;".",d_Irr!BX26="."),d_dir!AA26/((1/1000)*(d_Irr!Z26+d_Irr!AY26)),IF(AND(d_Irr!Z26&lt;&gt;".",d_Irr!AY26=".",d_Irr!BX26&lt;&gt;"."),d_dir!AA26/((1/1000)*(d_Irr!Z26+d_Irr!BX26)),IF(AND(d_Irr!Z26=".",d_Irr!AY26&lt;&gt;".",d_Irr!BX26&lt;&gt;"."),d_dir!AA26/((1/1000)*(d_Irr!AY26+d_Irr!BX26)),IF(AND(d_Irr!Z26=".",d_Irr!AY26=".",d_Irr!BX26&lt;&gt;"."),d_dir!AA26/((1/1000)*(d_Irr!BX26)),IF(AND(d_Irr!Z26=".",d_Irr!AY26&lt;&gt;".",d_Irr!BX26="."),d_dir!AA26/((1/1000)*(d_Irr!AY26)),IF(AND(d_Irr!Z26&lt;&gt;".",d_Irr!AY26=".",d_Irr!BX26="."),d_dir!AA26/((1/1000)*(d_Irr!Z26)),IF(AND(d_Irr!Z26=".",d_Irr!AY26=".",d_Irr!BX26="."),d_dir!AA26*1000)))))))),".")</f>
        <v>0.4148922713272527</v>
      </c>
      <c r="AB26" s="76">
        <f>IFERROR(IF(AND(d_Irr!AA26&lt;&gt;".",d_Irr!AZ26&lt;&gt;".",d_Irr!BY26&lt;&gt;"."),d_dir!AB26/((1/1000)*(d_Irr!AA26+d_Irr!AZ26+d_Irr!BY26)),IF(AND(d_Irr!AA26&lt;&gt;".",d_Irr!AZ26&lt;&gt;".",d_Irr!BY26="."),d_dir!AB26/((1/1000)*(d_Irr!AA26+d_Irr!AZ26)),IF(AND(d_Irr!AA26&lt;&gt;".",d_Irr!AZ26=".",d_Irr!BY26&lt;&gt;"."),d_dir!AB26/((1/1000)*(d_Irr!AA26+d_Irr!BY26)),IF(AND(d_Irr!AA26=".",d_Irr!AZ26&lt;&gt;".",d_Irr!BY26&lt;&gt;"."),d_dir!AB26/((1/1000)*(d_Irr!AZ26+d_Irr!BY26)),IF(AND(d_Irr!AA26=".",d_Irr!AZ26=".",d_Irr!BY26&lt;&gt;"."),d_dir!AB26/((1/1000)*(d_Irr!BY26)),IF(AND(d_Irr!AA26=".",d_Irr!AZ26&lt;&gt;".",d_Irr!BY26="."),d_dir!AB26/((1/1000)*(d_Irr!AZ26)),IF(AND(d_Irr!AA26&lt;&gt;".",d_Irr!AZ26=".",d_Irr!BY26="."),d_dir!AB26/((1/1000)*(d_Irr!AA26)),IF(AND(d_Irr!AA26=".",d_Irr!AZ26=".",d_Irr!BY26="."),d_dir!AB26*1000)))))))),".")</f>
        <v>0.47320022822474117</v>
      </c>
      <c r="AC26" s="76">
        <f t="shared" si="0"/>
        <v>4.7033916930934741E-2</v>
      </c>
      <c r="AD26" s="76">
        <f>IFERROR(IF(AND(d_Irr!C26&lt;&gt;".",d_Irr!AB26&lt;&gt;".",d_Irr!BA26&lt;&gt;"."),d_dir!AD26/((1/1000)*(d_Irr!C26+d_Irr!AB26+d_Irr!BA26)),IF(AND(d_Irr!C26&lt;&gt;".",d_Irr!AB26&lt;&gt;".",d_Irr!BA26="."),d_dir!AD26/((1/1000)*(d_Irr!C26+d_Irr!AB26)),IF(AND(d_Irr!C26&lt;&gt;".",d_Irr!AB26=".",d_Irr!BA26&lt;&gt;"."),d_dir!AD26/((1/1000)*(d_Irr!C26+d_Irr!BA26)),IF(AND(d_Irr!C26=".",d_Irr!AB26&lt;&gt;".",d_Irr!BA26&lt;&gt;"."),d_dir!AD26/((1/1000)*(d_Irr!AB26+d_Irr!BA26)),IF(AND(d_Irr!C26=".",d_Irr!AB26=".",d_Irr!BA26&lt;&gt;"."),d_dir!AD26/((1/1000)*(d_Irr!BA26)),IF(AND(d_Irr!C26=".",d_Irr!AB26&lt;&gt;".",d_Irr!BA26="."),d_dir!AD26/((1/1000)*(d_Irr!AB26)),IF(AND(d_Irr!C26&lt;&gt;".",d_Irr!AB26=".",d_Irr!BA26="."),d_dir!AD26/((1/1000)*(d_Irr!C26)),IF(AND(d_Irr!C26=".",d_Irr!AB26=".",d_Irr!BA26="."),d_dir!AD26*1000)))))))),".")</f>
        <v>0.79401184298507133</v>
      </c>
      <c r="AE26" s="76">
        <f>IFERROR(IF(AND(d_Irr!D26&lt;&gt;".",d_Irr!AC26&lt;&gt;".",d_Irr!BB26&lt;&gt;"."),d_dir!AE26/((1/1000)*(d_Irr!D26+d_Irr!AC26+d_Irr!BB26)),IF(AND(d_Irr!D26&lt;&gt;".",d_Irr!AC26&lt;&gt;".",d_Irr!BB26="."),d_dir!AE26/((1/1000)*(d_Irr!D26+d_Irr!AC26)),IF(AND(d_Irr!D26&lt;&gt;".",d_Irr!AC26=".",d_Irr!BB26&lt;&gt;"."),d_dir!AE26/((1/1000)*(d_Irr!D26+d_Irr!BB26)),IF(AND(d_Irr!D26=".",d_Irr!AC26&lt;&gt;".",d_Irr!BB26&lt;&gt;"."),d_dir!AE26/((1/1000)*(d_Irr!AC26+d_Irr!BB26)),IF(AND(d_Irr!D26=".",d_Irr!AC26=".",d_Irr!BB26&lt;&gt;"."),d_dir!AE26/((1/1000)*(d_Irr!BB26)),IF(AND(d_Irr!D26=".",d_Irr!AC26&lt;&gt;".",d_Irr!BB26="."),d_dir!AE26/((1/1000)*(d_Irr!AC26)),IF(AND(d_Irr!D26&lt;&gt;".",d_Irr!AC26=".",d_Irr!BB26="."),d_dir!AE26/((1/1000)*(d_Irr!D26)),IF(AND(d_Irr!D26=".",d_Irr!AC26=".",d_Irr!BB26="."),d_dir!AE26*1000)))))))),".")</f>
        <v>1.8589247550057761</v>
      </c>
      <c r="AF26" s="76">
        <f>IFERROR(IF(AND(d_Irr!E26&lt;&gt;".",d_Irr!AD26&lt;&gt;".",d_Irr!BC26&lt;&gt;"."),d_dir!AF26/((1/1000)*(d_Irr!E26+d_Irr!AD26+d_Irr!BC26)),IF(AND(d_Irr!E26&lt;&gt;".",d_Irr!AD26&lt;&gt;".",d_Irr!BC26="."),d_dir!AF26/((1/1000)*(d_Irr!E26+d_Irr!AD26)),IF(AND(d_Irr!E26&lt;&gt;".",d_Irr!AD26=".",d_Irr!BC26&lt;&gt;"."),d_dir!AF26/((1/1000)*(d_Irr!E26+d_Irr!BC26)),IF(AND(d_Irr!E26=".",d_Irr!AD26&lt;&gt;".",d_Irr!BC26&lt;&gt;"."),d_dir!AF26/((1/1000)*(d_Irr!AD26+d_Irr!BC26)),IF(AND(d_Irr!E26=".",d_Irr!AD26=".",d_Irr!BC26&lt;&gt;"."),d_dir!AF26/((1/1000)*(d_Irr!BC26)),IF(AND(d_Irr!E26=".",d_Irr!AD26&lt;&gt;".",d_Irr!BC26="."),d_dir!AF26/((1/1000)*(d_Irr!AD26)),IF(AND(d_Irr!E26&lt;&gt;".",d_Irr!AD26=".",d_Irr!BC26="."),d_dir!AF26/((1/1000)*(d_Irr!E26)),IF(AND(d_Irr!E26=".",d_Irr!AD26=".",d_Irr!BC26="."),d_dir!AF26*1000)))))))),".")</f>
        <v>2.2196662895574288</v>
      </c>
      <c r="AG26" s="76">
        <f>IFERROR(IF(AND(d_Irr!F26&lt;&gt;".",d_Irr!AE26&lt;&gt;".",d_Irr!BD26&lt;&gt;"."),d_dir!AG26/((1/1000)*(d_Irr!F26+d_Irr!AE26+d_Irr!BD26)),IF(AND(d_Irr!F26&lt;&gt;".",d_Irr!AE26&lt;&gt;".",d_Irr!BD26="."),d_dir!AG26/((1/1000)*(d_Irr!F26+d_Irr!AE26)),IF(AND(d_Irr!F26&lt;&gt;".",d_Irr!AE26=".",d_Irr!BD26&lt;&gt;"."),d_dir!AG26/((1/1000)*(d_Irr!F26+d_Irr!BD26)),IF(AND(d_Irr!F26=".",d_Irr!AE26&lt;&gt;".",d_Irr!BD26&lt;&gt;"."),d_dir!AG26/((1/1000)*(d_Irr!AE26+d_Irr!BD26)),IF(AND(d_Irr!F26=".",d_Irr!AE26=".",d_Irr!BD26&lt;&gt;"."),d_dir!AG26/((1/1000)*(d_Irr!BD26)),IF(AND(d_Irr!F26=".",d_Irr!AE26&lt;&gt;".",d_Irr!BD26="."),d_dir!AG26/((1/1000)*(d_Irr!AE26)),IF(AND(d_Irr!F26&lt;&gt;".",d_Irr!AE26=".",d_Irr!BD26="."),d_dir!AG26/((1/1000)*(d_Irr!F26)),IF(AND(d_Irr!F26=".",d_Irr!AE26=".",d_Irr!BD26="."),d_dir!AG26*1000)))))))),".")</f>
        <v>1.9993492153854311</v>
      </c>
      <c r="AH26" s="76">
        <f>IFERROR(IF(AND(d_Irr!G26&lt;&gt;".",d_Irr!AF26&lt;&gt;".",d_Irr!BE26&lt;&gt;"."),d_dir!AH26/((1/1000)*(d_Irr!G26+d_Irr!AF26+d_Irr!BE26)),IF(AND(d_Irr!G26&lt;&gt;".",d_Irr!AF26&lt;&gt;".",d_Irr!BE26="."),d_dir!AH26/((1/1000)*(d_Irr!G26+d_Irr!AF26)),IF(AND(d_Irr!G26&lt;&gt;".",d_Irr!AF26=".",d_Irr!BE26&lt;&gt;"."),d_dir!AH26/((1/1000)*(d_Irr!G26+d_Irr!BE26)),IF(AND(d_Irr!G26=".",d_Irr!AF26&lt;&gt;".",d_Irr!BE26&lt;&gt;"."),d_dir!AH26/((1/1000)*(d_Irr!AF26+d_Irr!BE26)),IF(AND(d_Irr!G26=".",d_Irr!AF26=".",d_Irr!BE26&lt;&gt;"."),d_dir!AH26/((1/1000)*(d_Irr!BE26)),IF(AND(d_Irr!G26=".",d_Irr!AF26&lt;&gt;".",d_Irr!BE26="."),d_dir!AH26/((1/1000)*(d_Irr!AF26)),IF(AND(d_Irr!G26&lt;&gt;".",d_Irr!AF26=".",d_Irr!BE26="."),d_dir!AH26/((1/1000)*(d_Irr!G26)),IF(AND(d_Irr!G26=".",d_Irr!AF26=".",d_Irr!BE26="."),d_dir!AH26*1000)))))))),".")</f>
        <v>2.1262942265474813</v>
      </c>
      <c r="AI26" s="76">
        <f>IFERROR(IF(AND(d_Irr!H26&lt;&gt;".",d_Irr!AG26&lt;&gt;".",d_Irr!BF26&lt;&gt;"."),d_dir!AI26/((1/1000)*(d_Irr!H26+d_Irr!AG26+d_Irr!BF26)),IF(AND(d_Irr!H26&lt;&gt;".",d_Irr!AG26&lt;&gt;".",d_Irr!BF26="."),d_dir!AI26/((1/1000)*(d_Irr!H26+d_Irr!AG26)),IF(AND(d_Irr!H26&lt;&gt;".",d_Irr!AG26=".",d_Irr!BF26&lt;&gt;"."),d_dir!AI26/((1/1000)*(d_Irr!H26+d_Irr!BF26)),IF(AND(d_Irr!H26=".",d_Irr!AG26&lt;&gt;".",d_Irr!BF26&lt;&gt;"."),d_dir!AI26/((1/1000)*(d_Irr!AG26+d_Irr!BF26)),IF(AND(d_Irr!H26=".",d_Irr!AG26=".",d_Irr!BF26&lt;&gt;"."),d_dir!AI26/((1/1000)*(d_Irr!BF26)),IF(AND(d_Irr!H26=".",d_Irr!AG26&lt;&gt;".",d_Irr!BF26="."),d_dir!AI26/((1/1000)*(d_Irr!AG26)),IF(AND(d_Irr!H26&lt;&gt;".",d_Irr!AG26=".",d_Irr!BF26="."),d_dir!AI26/((1/1000)*(d_Irr!H26)),IF(AND(d_Irr!H26=".",d_Irr!AG26=".",d_Irr!BF26="."),d_dir!AI26*1000)))))))),".")</f>
        <v>0.96298782248388703</v>
      </c>
      <c r="AJ26" s="76">
        <f>IFERROR(IF(AND(d_Irr!I26&lt;&gt;".",d_Irr!AH26&lt;&gt;".",d_Irr!BG26&lt;&gt;"."),d_dir!AJ26/((1/1000)*(d_Irr!I26+d_Irr!AH26+d_Irr!BG26)),IF(AND(d_Irr!I26&lt;&gt;".",d_Irr!AH26&lt;&gt;".",d_Irr!BG26="."),d_dir!AJ26/((1/1000)*(d_Irr!I26+d_Irr!AH26)),IF(AND(d_Irr!I26&lt;&gt;".",d_Irr!AH26=".",d_Irr!BG26&lt;&gt;"."),d_dir!AJ26/((1/1000)*(d_Irr!I26+d_Irr!BG26)),IF(AND(d_Irr!I26=".",d_Irr!AH26&lt;&gt;".",d_Irr!BG26&lt;&gt;"."),d_dir!AJ26/((1/1000)*(d_Irr!AH26+d_Irr!BG26)),IF(AND(d_Irr!I26=".",d_Irr!AH26=".",d_Irr!BG26&lt;&gt;"."),d_dir!AJ26/((1/1000)*(d_Irr!BG26)),IF(AND(d_Irr!I26=".",d_Irr!AH26&lt;&gt;".",d_Irr!BG26="."),d_dir!AJ26/((1/1000)*(d_Irr!AH26)),IF(AND(d_Irr!I26&lt;&gt;".",d_Irr!AH26=".",d_Irr!BG26="."),d_dir!AJ26/((1/1000)*(d_Irr!I26)),IF(AND(d_Irr!I26=".",d_Irr!AH26=".",d_Irr!BG26="."),d_dir!AJ26*1000)))))))),".")</f>
        <v>2.9476954836993463</v>
      </c>
      <c r="AK26" s="76">
        <f>IFERROR(IF(AND(d_Irr!J26&lt;&gt;".",d_Irr!AI26&lt;&gt;".",d_Irr!BH26&lt;&gt;"."),d_dir!AK26/((1/1000)*(d_Irr!J26+d_Irr!AI26+d_Irr!BH26)),IF(AND(d_Irr!J26&lt;&gt;".",d_Irr!AI26&lt;&gt;".",d_Irr!BH26="."),d_dir!AK26/((1/1000)*(d_Irr!J26+d_Irr!AI26)),IF(AND(d_Irr!J26&lt;&gt;".",d_Irr!AI26=".",d_Irr!BH26&lt;&gt;"."),d_dir!AK26/((1/1000)*(d_Irr!J26+d_Irr!BH26)),IF(AND(d_Irr!J26=".",d_Irr!AI26&lt;&gt;".",d_Irr!BH26&lt;&gt;"."),d_dir!AK26/((1/1000)*(d_Irr!AI26+d_Irr!BH26)),IF(AND(d_Irr!J26=".",d_Irr!AI26=".",d_Irr!BH26&lt;&gt;"."),d_dir!AK26/((1/1000)*(d_Irr!BH26)),IF(AND(d_Irr!J26=".",d_Irr!AI26&lt;&gt;".",d_Irr!BH26="."),d_dir!AK26/((1/1000)*(d_Irr!AI26)),IF(AND(d_Irr!J26&lt;&gt;".",d_Irr!AI26=".",d_Irr!BH26="."),d_dir!AK26/((1/1000)*(d_Irr!J26)),IF(AND(d_Irr!J26=".",d_Irr!AI26=".",d_Irr!BH26="."),d_dir!AK26*1000)))))))),".")</f>
        <v>0.23019319864802465</v>
      </c>
      <c r="AL26" s="76">
        <f>IFERROR(IF(AND(d_Irr!K26&lt;&gt;".",d_Irr!AJ26&lt;&gt;".",d_Irr!BI26&lt;&gt;"."),d_dir!AL26/((1/1000)*(d_Irr!K26+d_Irr!AJ26+d_Irr!BI26)),IF(AND(d_Irr!K26&lt;&gt;".",d_Irr!AJ26&lt;&gt;".",d_Irr!BI26="."),d_dir!AL26/((1/1000)*(d_Irr!K26+d_Irr!AJ26)),IF(AND(d_Irr!K26&lt;&gt;".",d_Irr!AJ26=".",d_Irr!BI26&lt;&gt;"."),d_dir!AL26/((1/1000)*(d_Irr!K26+d_Irr!BI26)),IF(AND(d_Irr!K26=".",d_Irr!AJ26&lt;&gt;".",d_Irr!BI26&lt;&gt;"."),d_dir!AL26/((1/1000)*(d_Irr!AJ26+d_Irr!BI26)),IF(AND(d_Irr!K26=".",d_Irr!AJ26=".",d_Irr!BI26&lt;&gt;"."),d_dir!AL26/((1/1000)*(d_Irr!BI26)),IF(AND(d_Irr!K26=".",d_Irr!AJ26&lt;&gt;".",d_Irr!BI26="."),d_dir!AL26/((1/1000)*(d_Irr!AJ26)),IF(AND(d_Irr!K26&lt;&gt;".",d_Irr!AJ26=".",d_Irr!BI26="."),d_dir!AL26/((1/1000)*(d_Irr!K26)),IF(AND(d_Irr!K26=".",d_Irr!AJ26=".",d_Irr!BI26="."),d_dir!AL26*1000)))))))),".")</f>
        <v>0.89903290737988384</v>
      </c>
      <c r="AM26" s="76">
        <f>IFERROR(IF(AND(d_Irr!L26&lt;&gt;".",d_Irr!AK26&lt;&gt;".",d_Irr!BJ26&lt;&gt;"."),d_dir!AM26/((1/1000)*(d_Irr!L26+d_Irr!AK26+d_Irr!BJ26)),IF(AND(d_Irr!L26&lt;&gt;".",d_Irr!AK26&lt;&gt;".",d_Irr!BJ26="."),d_dir!AM26/((1/1000)*(d_Irr!L26+d_Irr!AK26)),IF(AND(d_Irr!L26&lt;&gt;".",d_Irr!AK26=".",d_Irr!BJ26&lt;&gt;"."),d_dir!AM26/((1/1000)*(d_Irr!L26+d_Irr!BJ26)),IF(AND(d_Irr!L26=".",d_Irr!AK26&lt;&gt;".",d_Irr!BJ26&lt;&gt;"."),d_dir!AM26/((1/1000)*(d_Irr!AK26+d_Irr!BJ26)),IF(AND(d_Irr!L26=".",d_Irr!AK26=".",d_Irr!BJ26&lt;&gt;"."),d_dir!AM26/((1/1000)*(d_Irr!BJ26)),IF(AND(d_Irr!L26=".",d_Irr!AK26&lt;&gt;".",d_Irr!BJ26="."),d_dir!AM26/((1/1000)*(d_Irr!AK26)),IF(AND(d_Irr!L26&lt;&gt;".",d_Irr!AK26=".",d_Irr!BJ26="."),d_dir!AM26/((1/1000)*(d_Irr!L26)),IF(AND(d_Irr!L26=".",d_Irr!AK26=".",d_Irr!BJ26="."),d_dir!AM26*1000)))))))),".")</f>
        <v>1.3638280872156914</v>
      </c>
      <c r="AN26" s="76">
        <f>IFERROR(IF(AND(d_Irr!M26&lt;&gt;".",d_Irr!AL26&lt;&gt;".",d_Irr!BK26&lt;&gt;"."),d_dir!AN26/((1/1000)*(d_Irr!M26+d_Irr!AL26+d_Irr!BK26)),IF(AND(d_Irr!M26&lt;&gt;".",d_Irr!AL26&lt;&gt;".",d_Irr!BK26="."),d_dir!AN26/((1/1000)*(d_Irr!M26+d_Irr!AL26)),IF(AND(d_Irr!M26&lt;&gt;".",d_Irr!AL26=".",d_Irr!BK26&lt;&gt;"."),d_dir!AN26/((1/1000)*(d_Irr!M26+d_Irr!BK26)),IF(AND(d_Irr!M26=".",d_Irr!AL26&lt;&gt;".",d_Irr!BK26&lt;&gt;"."),d_dir!AN26/((1/1000)*(d_Irr!AL26+d_Irr!BK26)),IF(AND(d_Irr!M26=".",d_Irr!AL26=".",d_Irr!BK26&lt;&gt;"."),d_dir!AN26/((1/1000)*(d_Irr!BK26)),IF(AND(d_Irr!M26=".",d_Irr!AL26&lt;&gt;".",d_Irr!BK26="."),d_dir!AN26/((1/1000)*(d_Irr!AL26)),IF(AND(d_Irr!M26&lt;&gt;".",d_Irr!AL26=".",d_Irr!BK26="."),d_dir!AN26/((1/1000)*(d_Irr!M26)),IF(AND(d_Irr!M26=".",d_Irr!AL26=".",d_Irr!BK26="."),d_dir!AN26*1000)))))))),".")</f>
        <v>1.861042585022201</v>
      </c>
      <c r="AO26" s="76">
        <f>IFERROR(IF(AND(d_Irr!N26&lt;&gt;".",d_Irr!AM26&lt;&gt;".",d_Irr!BL26&lt;&gt;"."),d_dir!AO26/((1/1000)*(d_Irr!N26+d_Irr!AM26+d_Irr!BL26)),IF(AND(d_Irr!N26&lt;&gt;".",d_Irr!AM26&lt;&gt;".",d_Irr!BL26="."),d_dir!AO26/((1/1000)*(d_Irr!N26+d_Irr!AM26)),IF(AND(d_Irr!N26&lt;&gt;".",d_Irr!AM26=".",d_Irr!BL26&lt;&gt;"."),d_dir!AO26/((1/1000)*(d_Irr!N26+d_Irr!BL26)),IF(AND(d_Irr!N26=".",d_Irr!AM26&lt;&gt;".",d_Irr!BL26&lt;&gt;"."),d_dir!AO26/((1/1000)*(d_Irr!AM26+d_Irr!BL26)),IF(AND(d_Irr!N26=".",d_Irr!AM26=".",d_Irr!BL26&lt;&gt;"."),d_dir!AO26/((1/1000)*(d_Irr!BL26)),IF(AND(d_Irr!N26=".",d_Irr!AM26&lt;&gt;".",d_Irr!BL26="."),d_dir!AO26/((1/1000)*(d_Irr!AM26)),IF(AND(d_Irr!N26&lt;&gt;".",d_Irr!AM26=".",d_Irr!BL26="."),d_dir!AO26/((1/1000)*(d_Irr!N26)),IF(AND(d_Irr!N26=".",d_Irr!AM26=".",d_Irr!BL26="."),d_dir!AO26*1000)))))))),".")</f>
        <v>2.0160731683467481</v>
      </c>
      <c r="AP26" s="76">
        <f>IFERROR(IF(AND(d_Irr!O26&lt;&gt;".",d_Irr!AN26&lt;&gt;".",d_Irr!BM26&lt;&gt;"."),d_dir!AP26/((1/1000)*(d_Irr!O26+d_Irr!AN26+d_Irr!BM26)),IF(AND(d_Irr!O26&lt;&gt;".",d_Irr!AN26&lt;&gt;".",d_Irr!BM26="."),d_dir!AP26/((1/1000)*(d_Irr!O26+d_Irr!AN26)),IF(AND(d_Irr!O26&lt;&gt;".",d_Irr!AN26=".",d_Irr!BM26&lt;&gt;"."),d_dir!AP26/((1/1000)*(d_Irr!O26+d_Irr!BM26)),IF(AND(d_Irr!O26=".",d_Irr!AN26&lt;&gt;".",d_Irr!BM26&lt;&gt;"."),d_dir!AP26/((1/1000)*(d_Irr!AN26+d_Irr!BM26)),IF(AND(d_Irr!O26=".",d_Irr!AN26=".",d_Irr!BM26&lt;&gt;"."),d_dir!AP26/((1/1000)*(d_Irr!BM26)),IF(AND(d_Irr!O26=".",d_Irr!AN26&lt;&gt;".",d_Irr!BM26="."),d_dir!AP26/((1/1000)*(d_Irr!AN26)),IF(AND(d_Irr!O26&lt;&gt;".",d_Irr!AN26=".",d_Irr!BM26="."),d_dir!AP26/((1/1000)*(d_Irr!O26)),IF(AND(d_Irr!O26=".",d_Irr!AN26=".",d_Irr!BM26="."),d_dir!AP26*1000)))))))),".")</f>
        <v>2.4569366939650656</v>
      </c>
      <c r="AQ26" s="76">
        <f>IFERROR(IF(AND(d_Irr!P26&lt;&gt;".",d_Irr!AO26&lt;&gt;".",d_Irr!BN26&lt;&gt;"."),d_dir!AQ26/((1/1000)*(d_Irr!P26+d_Irr!AO26+d_Irr!BN26)),IF(AND(d_Irr!P26&lt;&gt;".",d_Irr!AO26&lt;&gt;".",d_Irr!BN26="."),d_dir!AQ26/((1/1000)*(d_Irr!P26+d_Irr!AO26)),IF(AND(d_Irr!P26&lt;&gt;".",d_Irr!AO26=".",d_Irr!BN26&lt;&gt;"."),d_dir!AQ26/((1/1000)*(d_Irr!P26+d_Irr!BN26)),IF(AND(d_Irr!P26=".",d_Irr!AO26&lt;&gt;".",d_Irr!BN26&lt;&gt;"."),d_dir!AQ26/((1/1000)*(d_Irr!AO26+d_Irr!BN26)),IF(AND(d_Irr!P26=".",d_Irr!AO26=".",d_Irr!BN26&lt;&gt;"."),d_dir!AQ26/((1/1000)*(d_Irr!BN26)),IF(AND(d_Irr!P26=".",d_Irr!AO26&lt;&gt;".",d_Irr!BN26="."),d_dir!AQ26/((1/1000)*(d_Irr!AO26)),IF(AND(d_Irr!P26&lt;&gt;".",d_Irr!AO26=".",d_Irr!BN26="."),d_dir!AQ26/((1/1000)*(d_Irr!P26)),IF(AND(d_Irr!P26=".",d_Irr!AO26=".",d_Irr!BN26="."),d_dir!AQ26*1000)))))))),".")</f>
        <v>2.7508189871514035</v>
      </c>
      <c r="AR26" s="76">
        <f>IFERROR(IF(AND(d_Irr!Q26&lt;&gt;".",d_Irr!AP26&lt;&gt;".",d_Irr!BO26&lt;&gt;"."),d_dir!AR26/((1/1000)*(d_Irr!Q26+d_Irr!AP26+d_Irr!BO26)),IF(AND(d_Irr!Q26&lt;&gt;".",d_Irr!AP26&lt;&gt;".",d_Irr!BO26="."),d_dir!AR26/((1/1000)*(d_Irr!Q26+d_Irr!AP26)),IF(AND(d_Irr!Q26&lt;&gt;".",d_Irr!AP26=".",d_Irr!BO26&lt;&gt;"."),d_dir!AR26/((1/1000)*(d_Irr!Q26+d_Irr!BO26)),IF(AND(d_Irr!Q26=".",d_Irr!AP26&lt;&gt;".",d_Irr!BO26&lt;&gt;"."),d_dir!AR26/((1/1000)*(d_Irr!AP26+d_Irr!BO26)),IF(AND(d_Irr!Q26=".",d_Irr!AP26=".",d_Irr!BO26&lt;&gt;"."),d_dir!AR26/((1/1000)*(d_Irr!BO26)),IF(AND(d_Irr!Q26=".",d_Irr!AP26&lt;&gt;".",d_Irr!BO26="."),d_dir!AR26/((1/1000)*(d_Irr!AP26)),IF(AND(d_Irr!Q26&lt;&gt;".",d_Irr!AP26=".",d_Irr!BO26="."),d_dir!AR26/((1/1000)*(d_Irr!Q26)),IF(AND(d_Irr!Q26=".",d_Irr!AP26=".",d_Irr!BO26="."),d_dir!AR26*1000)))))))),".")</f>
        <v>0.65538643291944243</v>
      </c>
      <c r="AS26" s="76">
        <f>IFERROR(IF(AND(d_Irr!R26&lt;&gt;".",d_Irr!AQ26&lt;&gt;".",d_Irr!BP26&lt;&gt;"."),d_dir!AS26/((1/1000)*(d_Irr!R26+d_Irr!AQ26+d_Irr!BP26)),IF(AND(d_Irr!R26&lt;&gt;".",d_Irr!AQ26&lt;&gt;".",d_Irr!BP26="."),d_dir!AS26/((1/1000)*(d_Irr!R26+d_Irr!AQ26)),IF(AND(d_Irr!R26&lt;&gt;".",d_Irr!AQ26=".",d_Irr!BP26&lt;&gt;"."),d_dir!AS26/((1/1000)*(d_Irr!R26+d_Irr!BP26)),IF(AND(d_Irr!R26=".",d_Irr!AQ26&lt;&gt;".",d_Irr!BP26&lt;&gt;"."),d_dir!AS26/((1/1000)*(d_Irr!AQ26+d_Irr!BP26)),IF(AND(d_Irr!R26=".",d_Irr!AQ26=".",d_Irr!BP26&lt;&gt;"."),d_dir!AS26/((1/1000)*(d_Irr!BP26)),IF(AND(d_Irr!R26=".",d_Irr!AQ26&lt;&gt;".",d_Irr!BP26="."),d_dir!AS26/((1/1000)*(d_Irr!AQ26)),IF(AND(d_Irr!R26&lt;&gt;".",d_Irr!AQ26=".",d_Irr!BP26="."),d_dir!AS26/((1/1000)*(d_Irr!R26)),IF(AND(d_Irr!R26=".",d_Irr!AQ26=".",d_Irr!BP26="."),d_dir!AS26*1000)))))))),".")</f>
        <v>1.0686966792192729</v>
      </c>
      <c r="AT26" s="76">
        <f>IFERROR(IF(AND(d_Irr!S26&lt;&gt;".",d_Irr!AR26&lt;&gt;".",d_Irr!BQ26&lt;&gt;"."),d_dir!AT26/((1/1000)*(d_Irr!S26+d_Irr!AR26+d_Irr!BQ26)),IF(AND(d_Irr!S26&lt;&gt;".",d_Irr!AR26&lt;&gt;".",d_Irr!BQ26="."),d_dir!AT26/((1/1000)*(d_Irr!S26+d_Irr!AR26)),IF(AND(d_Irr!S26&lt;&gt;".",d_Irr!AR26=".",d_Irr!BQ26&lt;&gt;"."),d_dir!AT26/((1/1000)*(d_Irr!S26+d_Irr!BQ26)),IF(AND(d_Irr!S26=".",d_Irr!AR26&lt;&gt;".",d_Irr!BQ26&lt;&gt;"."),d_dir!AT26/((1/1000)*(d_Irr!AR26+d_Irr!BQ26)),IF(AND(d_Irr!S26=".",d_Irr!AR26=".",d_Irr!BQ26&lt;&gt;"."),d_dir!AT26/((1/1000)*(d_Irr!BQ26)),IF(AND(d_Irr!S26=".",d_Irr!AR26&lt;&gt;".",d_Irr!BQ26="."),d_dir!AT26/((1/1000)*(d_Irr!AR26)),IF(AND(d_Irr!S26&lt;&gt;".",d_Irr!AR26=".",d_Irr!BQ26="."),d_dir!AT26/((1/1000)*(d_Irr!S26)),IF(AND(d_Irr!S26=".",d_Irr!AR26=".",d_Irr!BQ26="."),d_dir!AT26*1000)))))))),".")</f>
        <v>2.2409996115823447</v>
      </c>
      <c r="AU26" s="76">
        <f>IFERROR(IF(AND(d_Irr!T26&lt;&gt;".",d_Irr!AS26&lt;&gt;".",d_Irr!BR26&lt;&gt;"."),d_dir!AU26/((1/1000)*(d_Irr!T26+d_Irr!AS26+d_Irr!BR26)),IF(AND(d_Irr!T26&lt;&gt;".",d_Irr!AS26&lt;&gt;".",d_Irr!BR26="."),d_dir!AU26/((1/1000)*(d_Irr!T26+d_Irr!AS26)),IF(AND(d_Irr!T26&lt;&gt;".",d_Irr!AS26=".",d_Irr!BR26&lt;&gt;"."),d_dir!AU26/((1/1000)*(d_Irr!T26+d_Irr!BR26)),IF(AND(d_Irr!T26=".",d_Irr!AS26&lt;&gt;".",d_Irr!BR26&lt;&gt;"."),d_dir!AU26/((1/1000)*(d_Irr!AS26+d_Irr!BR26)),IF(AND(d_Irr!T26=".",d_Irr!AS26=".",d_Irr!BR26&lt;&gt;"."),d_dir!AU26/((1/1000)*(d_Irr!BR26)),IF(AND(d_Irr!T26=".",d_Irr!AS26&lt;&gt;".",d_Irr!BR26="."),d_dir!AU26/((1/1000)*(d_Irr!AS26)),IF(AND(d_Irr!T26&lt;&gt;".",d_Irr!AS26=".",d_Irr!BR26="."),d_dir!AU26/((1/1000)*(d_Irr!T26)),IF(AND(d_Irr!T26=".",d_Irr!AS26=".",d_Irr!BR26="."),d_dir!AU26*1000)))))))),".")</f>
        <v>3.0684864422701552</v>
      </c>
      <c r="AV26" s="76">
        <f>IFERROR(IF(AND(d_Irr!U26&lt;&gt;".",d_Irr!AT26&lt;&gt;".",d_Irr!BS26&lt;&gt;"."),d_dir!AV26/((1/1000)*(d_Irr!U26+d_Irr!AT26+d_Irr!BS26)),IF(AND(d_Irr!U26&lt;&gt;".",d_Irr!AT26&lt;&gt;".",d_Irr!BS26="."),d_dir!AV26/((1/1000)*(d_Irr!U26+d_Irr!AT26)),IF(AND(d_Irr!U26&lt;&gt;".",d_Irr!AT26=".",d_Irr!BS26&lt;&gt;"."),d_dir!AV26/((1/1000)*(d_Irr!U26+d_Irr!BS26)),IF(AND(d_Irr!U26=".",d_Irr!AT26&lt;&gt;".",d_Irr!BS26&lt;&gt;"."),d_dir!AV26/((1/1000)*(d_Irr!AT26+d_Irr!BS26)),IF(AND(d_Irr!U26=".",d_Irr!AT26=".",d_Irr!BS26&lt;&gt;"."),d_dir!AV26/((1/1000)*(d_Irr!BS26)),IF(AND(d_Irr!U26=".",d_Irr!AT26&lt;&gt;".",d_Irr!BS26="."),d_dir!AV26/((1/1000)*(d_Irr!AT26)),IF(AND(d_Irr!U26&lt;&gt;".",d_Irr!AT26=".",d_Irr!BS26="."),d_dir!AV26/((1/1000)*(d_Irr!U26)),IF(AND(d_Irr!U26=".",d_Irr!AT26=".",d_Irr!BS26="."),d_dir!AV26*1000)))))))),".")</f>
        <v>0.52376365360502186</v>
      </c>
      <c r="AW26" s="76">
        <f>IFERROR(IF(AND(d_Irr!V26&lt;&gt;".",d_Irr!AU26&lt;&gt;".",d_Irr!BT26&lt;&gt;"."),d_dir!AW26/((1/1000)*(d_Irr!V26+d_Irr!AU26+d_Irr!BT26)),IF(AND(d_Irr!V26&lt;&gt;".",d_Irr!AU26&lt;&gt;".",d_Irr!BT26="."),d_dir!AW26/((1/1000)*(d_Irr!V26+d_Irr!AU26)),IF(AND(d_Irr!V26&lt;&gt;".",d_Irr!AU26=".",d_Irr!BT26&lt;&gt;"."),d_dir!AW26/((1/1000)*(d_Irr!V26+d_Irr!BT26)),IF(AND(d_Irr!V26=".",d_Irr!AU26&lt;&gt;".",d_Irr!BT26&lt;&gt;"."),d_dir!AW26/((1/1000)*(d_Irr!AU26+d_Irr!BT26)),IF(AND(d_Irr!V26=".",d_Irr!AU26=".",d_Irr!BT26&lt;&gt;"."),d_dir!AW26/((1/1000)*(d_Irr!BT26)),IF(AND(d_Irr!V26=".",d_Irr!AU26&lt;&gt;".",d_Irr!BT26="."),d_dir!AW26/((1/1000)*(d_Irr!AU26)),IF(AND(d_Irr!V26&lt;&gt;".",d_Irr!AU26=".",d_Irr!BT26="."),d_dir!AW26/((1/1000)*(d_Irr!V26)),IF(AND(d_Irr!V26=".",d_Irr!AU26=".",d_Irr!BT26="."),d_dir!AW26*1000)))))))),".")</f>
        <v>1.1716536129298794</v>
      </c>
      <c r="AX26" s="76">
        <f>IFERROR(IF(AND(d_Irr!W26&lt;&gt;".",d_Irr!AV26&lt;&gt;".",d_Irr!BU26&lt;&gt;"."),d_dir!AX26/((1/1000)*(d_Irr!W26+d_Irr!AV26+d_Irr!BU26)),IF(AND(d_Irr!W26&lt;&gt;".",d_Irr!AV26&lt;&gt;".",d_Irr!BU26="."),d_dir!AX26/((1/1000)*(d_Irr!W26+d_Irr!AV26)),IF(AND(d_Irr!W26&lt;&gt;".",d_Irr!AV26=".",d_Irr!BU26&lt;&gt;"."),d_dir!AX26/((1/1000)*(d_Irr!W26+d_Irr!BU26)),IF(AND(d_Irr!W26=".",d_Irr!AV26&lt;&gt;".",d_Irr!BU26&lt;&gt;"."),d_dir!AX26/((1/1000)*(d_Irr!AV26+d_Irr!BU26)),IF(AND(d_Irr!W26=".",d_Irr!AV26=".",d_Irr!BU26&lt;&gt;"."),d_dir!AX26/((1/1000)*(d_Irr!BU26)),IF(AND(d_Irr!W26=".",d_Irr!AV26&lt;&gt;".",d_Irr!BU26="."),d_dir!AX26/((1/1000)*(d_Irr!AV26)),IF(AND(d_Irr!W26&lt;&gt;".",d_Irr!AV26=".",d_Irr!BU26="."),d_dir!AX26/((1/1000)*(d_Irr!W26)),IF(AND(d_Irr!W26=".",d_Irr!AV26=".",d_Irr!BU26="."),d_dir!AX26*1000)))))))),".")</f>
        <v>1.2648829877182253</v>
      </c>
      <c r="AY26" s="76">
        <f>IFERROR(IF(AND(d_Irr!X26&lt;&gt;".",d_Irr!AW26&lt;&gt;".",d_Irr!BV26&lt;&gt;"."),d_dir!AY26/((1/1000)*(d_Irr!X26+d_Irr!AW26+d_Irr!BV26)),IF(AND(d_Irr!X26&lt;&gt;".",d_Irr!AW26&lt;&gt;".",d_Irr!BV26="."),d_dir!AY26/((1/1000)*(d_Irr!X26+d_Irr!AW26)),IF(AND(d_Irr!X26&lt;&gt;".",d_Irr!AW26=".",d_Irr!BV26&lt;&gt;"."),d_dir!AY26/((1/1000)*(d_Irr!X26+d_Irr!BV26)),IF(AND(d_Irr!X26=".",d_Irr!AW26&lt;&gt;".",d_Irr!BV26&lt;&gt;"."),d_dir!AY26/((1/1000)*(d_Irr!AW26+d_Irr!BV26)),IF(AND(d_Irr!X26=".",d_Irr!AW26=".",d_Irr!BV26&lt;&gt;"."),d_dir!AY26/((1/1000)*(d_Irr!BV26)),IF(AND(d_Irr!X26=".",d_Irr!AW26&lt;&gt;".",d_Irr!BV26="."),d_dir!AY26/((1/1000)*(d_Irr!AW26)),IF(AND(d_Irr!X26&lt;&gt;".",d_Irr!AW26=".",d_Irr!BV26="."),d_dir!AY26/((1/1000)*(d_Irr!X26)),IF(AND(d_Irr!X26=".",d_Irr!AW26=".",d_Irr!BV26="."),d_dir!AY26*1000)))))))),".")</f>
        <v>1.7376591047577876</v>
      </c>
      <c r="AZ26" s="76">
        <f>IFERROR(IF(AND(d_Irr!Y26&lt;&gt;".",d_Irr!AX26&lt;&gt;".",d_Irr!BW26&lt;&gt;"."),d_dir!AZ26/((1/1000)*(d_Irr!Y26+d_Irr!AX26+d_Irr!BW26)),IF(AND(d_Irr!Y26&lt;&gt;".",d_Irr!AX26&lt;&gt;".",d_Irr!BW26="."),d_dir!AZ26/((1/1000)*(d_Irr!Y26+d_Irr!AX26)),IF(AND(d_Irr!Y26&lt;&gt;".",d_Irr!AX26=".",d_Irr!BW26&lt;&gt;"."),d_dir!AZ26/((1/1000)*(d_Irr!Y26+d_Irr!BW26)),IF(AND(d_Irr!Y26=".",d_Irr!AX26&lt;&gt;".",d_Irr!BW26&lt;&gt;"."),d_dir!AZ26/((1/1000)*(d_Irr!AX26+d_Irr!BW26)),IF(AND(d_Irr!Y26=".",d_Irr!AX26=".",d_Irr!BW26&lt;&gt;"."),d_dir!AZ26/((1/1000)*(d_Irr!BW26)),IF(AND(d_Irr!Y26=".",d_Irr!AX26&lt;&gt;".",d_Irr!BW26="."),d_dir!AZ26/((1/1000)*(d_Irr!AX26)),IF(AND(d_Irr!Y26&lt;&gt;".",d_Irr!AX26=".",d_Irr!BW26="."),d_dir!AZ26/((1/1000)*(d_Irr!Y26)),IF(AND(d_Irr!Y26=".",d_Irr!AX26=".",d_Irr!BW26="."),d_dir!AZ26*1000)))))))),".")</f>
        <v>0.7638665147510969</v>
      </c>
      <c r="BA26" s="76">
        <f>IFERROR(IF(AND(d_Irr!Z26&lt;&gt;".",d_Irr!AY26&lt;&gt;".",d_Irr!BX26&lt;&gt;"."),d_dir!BA26/((1/1000)*(d_Irr!Z26+d_Irr!AY26+d_Irr!BX26)),IF(AND(d_Irr!Z26&lt;&gt;".",d_Irr!AY26&lt;&gt;".",d_Irr!BX26="."),d_dir!BA26/((1/1000)*(d_Irr!Z26+d_Irr!AY26)),IF(AND(d_Irr!Z26&lt;&gt;".",d_Irr!AY26=".",d_Irr!BX26&lt;&gt;"."),d_dir!BA26/((1/1000)*(d_Irr!Z26+d_Irr!BX26)),IF(AND(d_Irr!Z26=".",d_Irr!AY26&lt;&gt;".",d_Irr!BX26&lt;&gt;"."),d_dir!BA26/((1/1000)*(d_Irr!AY26+d_Irr!BX26)),IF(AND(d_Irr!Z26=".",d_Irr!AY26=".",d_Irr!BX26&lt;&gt;"."),d_dir!BA26/((1/1000)*(d_Irr!BX26)),IF(AND(d_Irr!Z26=".",d_Irr!AY26&lt;&gt;".",d_Irr!BX26="."),d_dir!BA26/((1/1000)*(d_Irr!AY26)),IF(AND(d_Irr!Z26&lt;&gt;".",d_Irr!AY26=".",d_Irr!BX26="."),d_dir!BA26/((1/1000)*(d_Irr!Z26)),IF(AND(d_Irr!Z26=".",d_Irr!AY26=".",d_Irr!BX26="."),d_dir!BA26*1000)))))))),".")</f>
        <v>0.24291660115002298</v>
      </c>
      <c r="BB26" s="76">
        <f>IFERROR(IF(AND(d_Irr!AA26&lt;&gt;".",d_Irr!AZ26&lt;&gt;".",d_Irr!BY26&lt;&gt;"."),d_dir!BB26/((1/1000)*(d_Irr!AA26+d_Irr!AZ26+d_Irr!BY26)),IF(AND(d_Irr!AA26&lt;&gt;".",d_Irr!AZ26&lt;&gt;".",d_Irr!BY26="."),d_dir!BB26/((1/1000)*(d_Irr!AA26+d_Irr!AZ26)),IF(AND(d_Irr!AA26&lt;&gt;".",d_Irr!AZ26=".",d_Irr!BY26&lt;&gt;"."),d_dir!BB26/((1/1000)*(d_Irr!AA26+d_Irr!BY26)),IF(AND(d_Irr!AA26=".",d_Irr!AZ26&lt;&gt;".",d_Irr!BY26&lt;&gt;"."),d_dir!BB26/((1/1000)*(d_Irr!AZ26+d_Irr!BY26)),IF(AND(d_Irr!AA26=".",d_Irr!AZ26=".",d_Irr!BY26&lt;&gt;"."),d_dir!BB26/((1/1000)*(d_Irr!BY26)),IF(AND(d_Irr!AA26=".",d_Irr!AZ26&lt;&gt;".",d_Irr!BY26="."),d_dir!BB26/((1/1000)*(d_Irr!AZ26)),IF(AND(d_Irr!AA26&lt;&gt;".",d_Irr!AZ26=".",d_Irr!BY26="."),d_dir!BB26/((1/1000)*(d_Irr!AA26)),IF(AND(d_Irr!AA26=".",d_Irr!AZ26=".",d_Irr!BY26="."),d_dir!BB26*1000)))))))),".")</f>
        <v>0.2450890141016473</v>
      </c>
    </row>
    <row r="27" spans="1:54" ht="15" customHeight="1" x14ac:dyDescent="0.25">
      <c r="A27" s="92" t="s">
        <v>37</v>
      </c>
      <c r="B27" s="90" t="s">
        <v>1071</v>
      </c>
      <c r="C27" s="2" t="str">
        <f t="shared" si="1"/>
        <v>.</v>
      </c>
      <c r="D27" s="76" t="str">
        <f>IFERROR(IF(AND(d_Irr!C27&lt;&gt;".",d_Irr!AB27&lt;&gt;".",d_Irr!BA27&lt;&gt;"."),d_dir!D27/((1/1000)*(d_Irr!C27+d_Irr!AB27+d_Irr!BA27)),IF(AND(d_Irr!C27&lt;&gt;".",d_Irr!AB27&lt;&gt;".",d_Irr!BA27="."),d_dir!D27/((1/1000)*(d_Irr!C27+d_Irr!AB27)),IF(AND(d_Irr!C27&lt;&gt;".",d_Irr!AB27=".",d_Irr!BA27&lt;&gt;"."),d_dir!D27/((1/1000)*(d_Irr!C27+d_Irr!BA27)),IF(AND(d_Irr!C27=".",d_Irr!AB27&lt;&gt;".",d_Irr!BA27&lt;&gt;"."),d_dir!D27/((1/1000)*(d_Irr!AB27+d_Irr!BA27)),IF(AND(d_Irr!C27=".",d_Irr!AB27=".",d_Irr!BA27&lt;&gt;"."),d_dir!D27/((1/1000)*(d_Irr!BA27)),IF(AND(d_Irr!C27=".",d_Irr!AB27&lt;&gt;".",d_Irr!BA27="."),d_dir!D27/((1/1000)*(d_Irr!AB27)),IF(AND(d_Irr!C27&lt;&gt;".",d_Irr!AB27=".",d_Irr!BA27="."),d_dir!D27/((1/1000)*(d_Irr!C27)),IF(AND(d_Irr!C27=".",d_Irr!AB27=".",d_Irr!BA27="."),d_dir!D27*1000)))))))),".")</f>
        <v>.</v>
      </c>
      <c r="E27" s="76" t="str">
        <f>IFERROR(IF(AND(d_Irr!D27&lt;&gt;".",d_Irr!AC27&lt;&gt;".",d_Irr!BB27&lt;&gt;"."),d_dir!E27/((1/1000)*(d_Irr!D27+d_Irr!AC27+d_Irr!BB27)),IF(AND(d_Irr!D27&lt;&gt;".",d_Irr!AC27&lt;&gt;".",d_Irr!BB27="."),d_dir!E27/((1/1000)*(d_Irr!D27+d_Irr!AC27)),IF(AND(d_Irr!D27&lt;&gt;".",d_Irr!AC27=".",d_Irr!BB27&lt;&gt;"."),d_dir!E27/((1/1000)*(d_Irr!D27+d_Irr!BB27)),IF(AND(d_Irr!D27=".",d_Irr!AC27&lt;&gt;".",d_Irr!BB27&lt;&gt;"."),d_dir!E27/((1/1000)*(d_Irr!AC27+d_Irr!BB27)),IF(AND(d_Irr!D27=".",d_Irr!AC27=".",d_Irr!BB27&lt;&gt;"."),d_dir!E27/((1/1000)*(d_Irr!BB27)),IF(AND(d_Irr!D27=".",d_Irr!AC27&lt;&gt;".",d_Irr!BB27="."),d_dir!E27/((1/1000)*(d_Irr!AC27)),IF(AND(d_Irr!D27&lt;&gt;".",d_Irr!AC27=".",d_Irr!BB27="."),d_dir!E27/((1/1000)*(d_Irr!D27)),IF(AND(d_Irr!D27=".",d_Irr!AC27=".",d_Irr!BB27="."),d_dir!E27*1000)))))))),".")</f>
        <v>.</v>
      </c>
      <c r="F27" s="76" t="str">
        <f>IFERROR(IF(AND(d_Irr!E27&lt;&gt;".",d_Irr!AD27&lt;&gt;".",d_Irr!BC27&lt;&gt;"."),d_dir!F27/((1/1000)*(d_Irr!E27+d_Irr!AD27+d_Irr!BC27)),IF(AND(d_Irr!E27&lt;&gt;".",d_Irr!AD27&lt;&gt;".",d_Irr!BC27="."),d_dir!F27/((1/1000)*(d_Irr!E27+d_Irr!AD27)),IF(AND(d_Irr!E27&lt;&gt;".",d_Irr!AD27=".",d_Irr!BC27&lt;&gt;"."),d_dir!F27/((1/1000)*(d_Irr!E27+d_Irr!BC27)),IF(AND(d_Irr!E27=".",d_Irr!AD27&lt;&gt;".",d_Irr!BC27&lt;&gt;"."),d_dir!F27/((1/1000)*(d_Irr!AD27+d_Irr!BC27)),IF(AND(d_Irr!E27=".",d_Irr!AD27=".",d_Irr!BC27&lt;&gt;"."),d_dir!F27/((1/1000)*(d_Irr!BC27)),IF(AND(d_Irr!E27=".",d_Irr!AD27&lt;&gt;".",d_Irr!BC27="."),d_dir!F27/((1/1000)*(d_Irr!AD27)),IF(AND(d_Irr!E27&lt;&gt;".",d_Irr!AD27=".",d_Irr!BC27="."),d_dir!F27/((1/1000)*(d_Irr!E27)),IF(AND(d_Irr!E27=".",d_Irr!AD27=".",d_Irr!BC27="."),d_dir!F27*1000)))))))),".")</f>
        <v>.</v>
      </c>
      <c r="G27" s="76" t="str">
        <f>IFERROR(IF(AND(d_Irr!F27&lt;&gt;".",d_Irr!AE27&lt;&gt;".",d_Irr!BD27&lt;&gt;"."),d_dir!G27/((1/1000)*(d_Irr!F27+d_Irr!AE27+d_Irr!BD27)),IF(AND(d_Irr!F27&lt;&gt;".",d_Irr!AE27&lt;&gt;".",d_Irr!BD27="."),d_dir!G27/((1/1000)*(d_Irr!F27+d_Irr!AE27)),IF(AND(d_Irr!F27&lt;&gt;".",d_Irr!AE27=".",d_Irr!BD27&lt;&gt;"."),d_dir!G27/((1/1000)*(d_Irr!F27+d_Irr!BD27)),IF(AND(d_Irr!F27=".",d_Irr!AE27&lt;&gt;".",d_Irr!BD27&lt;&gt;"."),d_dir!G27/((1/1000)*(d_Irr!AE27+d_Irr!BD27)),IF(AND(d_Irr!F27=".",d_Irr!AE27=".",d_Irr!BD27&lt;&gt;"."),d_dir!G27/((1/1000)*(d_Irr!BD27)),IF(AND(d_Irr!F27=".",d_Irr!AE27&lt;&gt;".",d_Irr!BD27="."),d_dir!G27/((1/1000)*(d_Irr!AE27)),IF(AND(d_Irr!F27&lt;&gt;".",d_Irr!AE27=".",d_Irr!BD27="."),d_dir!G27/((1/1000)*(d_Irr!F27)),IF(AND(d_Irr!F27=".",d_Irr!AE27=".",d_Irr!BD27="."),d_dir!G27*1000)))))))),".")</f>
        <v>.</v>
      </c>
      <c r="H27" s="76" t="str">
        <f>IFERROR(IF(AND(d_Irr!G27&lt;&gt;".",d_Irr!AF27&lt;&gt;".",d_Irr!BE27&lt;&gt;"."),d_dir!H27/((1/1000)*(d_Irr!G27+d_Irr!AF27+d_Irr!BE27)),IF(AND(d_Irr!G27&lt;&gt;".",d_Irr!AF27&lt;&gt;".",d_Irr!BE27="."),d_dir!H27/((1/1000)*(d_Irr!G27+d_Irr!AF27)),IF(AND(d_Irr!G27&lt;&gt;".",d_Irr!AF27=".",d_Irr!BE27&lt;&gt;"."),d_dir!H27/((1/1000)*(d_Irr!G27+d_Irr!BE27)),IF(AND(d_Irr!G27=".",d_Irr!AF27&lt;&gt;".",d_Irr!BE27&lt;&gt;"."),d_dir!H27/((1/1000)*(d_Irr!AF27+d_Irr!BE27)),IF(AND(d_Irr!G27=".",d_Irr!AF27=".",d_Irr!BE27&lt;&gt;"."),d_dir!H27/((1/1000)*(d_Irr!BE27)),IF(AND(d_Irr!G27=".",d_Irr!AF27&lt;&gt;".",d_Irr!BE27="."),d_dir!H27/((1/1000)*(d_Irr!AF27)),IF(AND(d_Irr!G27&lt;&gt;".",d_Irr!AF27=".",d_Irr!BE27="."),d_dir!H27/((1/1000)*(d_Irr!G27)),IF(AND(d_Irr!G27=".",d_Irr!AF27=".",d_Irr!BE27="."),d_dir!H27*1000)))))))),".")</f>
        <v>.</v>
      </c>
      <c r="I27" s="76" t="str">
        <f>IFERROR(IF(AND(d_Irr!H27&lt;&gt;".",d_Irr!AG27&lt;&gt;".",d_Irr!BF27&lt;&gt;"."),d_dir!I27/((1/1000)*(d_Irr!H27+d_Irr!AG27+d_Irr!BF27)),IF(AND(d_Irr!H27&lt;&gt;".",d_Irr!AG27&lt;&gt;".",d_Irr!BF27="."),d_dir!I27/((1/1000)*(d_Irr!H27+d_Irr!AG27)),IF(AND(d_Irr!H27&lt;&gt;".",d_Irr!AG27=".",d_Irr!BF27&lt;&gt;"."),d_dir!I27/((1/1000)*(d_Irr!H27+d_Irr!BF27)),IF(AND(d_Irr!H27=".",d_Irr!AG27&lt;&gt;".",d_Irr!BF27&lt;&gt;"."),d_dir!I27/((1/1000)*(d_Irr!AG27+d_Irr!BF27)),IF(AND(d_Irr!H27=".",d_Irr!AG27=".",d_Irr!BF27&lt;&gt;"."),d_dir!I27/((1/1000)*(d_Irr!BF27)),IF(AND(d_Irr!H27=".",d_Irr!AG27&lt;&gt;".",d_Irr!BF27="."),d_dir!I27/((1/1000)*(d_Irr!AG27)),IF(AND(d_Irr!H27&lt;&gt;".",d_Irr!AG27=".",d_Irr!BF27="."),d_dir!I27/((1/1000)*(d_Irr!H27)),IF(AND(d_Irr!H27=".",d_Irr!AG27=".",d_Irr!BF27="."),d_dir!I27*1000)))))))),".")</f>
        <v>.</v>
      </c>
      <c r="J27" s="76" t="str">
        <f>IFERROR(IF(AND(d_Irr!I27&lt;&gt;".",d_Irr!AH27&lt;&gt;".",d_Irr!BG27&lt;&gt;"."),d_dir!J27/((1/1000)*(d_Irr!I27+d_Irr!AH27+d_Irr!BG27)),IF(AND(d_Irr!I27&lt;&gt;".",d_Irr!AH27&lt;&gt;".",d_Irr!BG27="."),d_dir!J27/((1/1000)*(d_Irr!I27+d_Irr!AH27)),IF(AND(d_Irr!I27&lt;&gt;".",d_Irr!AH27=".",d_Irr!BG27&lt;&gt;"."),d_dir!J27/((1/1000)*(d_Irr!I27+d_Irr!BG27)),IF(AND(d_Irr!I27=".",d_Irr!AH27&lt;&gt;".",d_Irr!BG27&lt;&gt;"."),d_dir!J27/((1/1000)*(d_Irr!AH27+d_Irr!BG27)),IF(AND(d_Irr!I27=".",d_Irr!AH27=".",d_Irr!BG27&lt;&gt;"."),d_dir!J27/((1/1000)*(d_Irr!BG27)),IF(AND(d_Irr!I27=".",d_Irr!AH27&lt;&gt;".",d_Irr!BG27="."),d_dir!J27/((1/1000)*(d_Irr!AH27)),IF(AND(d_Irr!I27&lt;&gt;".",d_Irr!AH27=".",d_Irr!BG27="."),d_dir!J27/((1/1000)*(d_Irr!I27)),IF(AND(d_Irr!I27=".",d_Irr!AH27=".",d_Irr!BG27="."),d_dir!J27*1000)))))))),".")</f>
        <v>.</v>
      </c>
      <c r="K27" s="76" t="str">
        <f>IFERROR(IF(AND(d_Irr!J27&lt;&gt;".",d_Irr!AI27&lt;&gt;".",d_Irr!BH27&lt;&gt;"."),d_dir!K27/((1/1000)*(d_Irr!J27+d_Irr!AI27+d_Irr!BH27)),IF(AND(d_Irr!J27&lt;&gt;".",d_Irr!AI27&lt;&gt;".",d_Irr!BH27="."),d_dir!K27/((1/1000)*(d_Irr!J27+d_Irr!AI27)),IF(AND(d_Irr!J27&lt;&gt;".",d_Irr!AI27=".",d_Irr!BH27&lt;&gt;"."),d_dir!K27/((1/1000)*(d_Irr!J27+d_Irr!BH27)),IF(AND(d_Irr!J27=".",d_Irr!AI27&lt;&gt;".",d_Irr!BH27&lt;&gt;"."),d_dir!K27/((1/1000)*(d_Irr!AI27+d_Irr!BH27)),IF(AND(d_Irr!J27=".",d_Irr!AI27=".",d_Irr!BH27&lt;&gt;"."),d_dir!K27/((1/1000)*(d_Irr!BH27)),IF(AND(d_Irr!J27=".",d_Irr!AI27&lt;&gt;".",d_Irr!BH27="."),d_dir!K27/((1/1000)*(d_Irr!AI27)),IF(AND(d_Irr!J27&lt;&gt;".",d_Irr!AI27=".",d_Irr!BH27="."),d_dir!K27/((1/1000)*(d_Irr!J27)),IF(AND(d_Irr!J27=".",d_Irr!AI27=".",d_Irr!BH27="."),d_dir!K27*1000)))))))),".")</f>
        <v>.</v>
      </c>
      <c r="L27" s="76" t="str">
        <f>IFERROR(IF(AND(d_Irr!K27&lt;&gt;".",d_Irr!AJ27&lt;&gt;".",d_Irr!BI27&lt;&gt;"."),d_dir!L27/((1/1000)*(d_Irr!K27+d_Irr!AJ27+d_Irr!BI27)),IF(AND(d_Irr!K27&lt;&gt;".",d_Irr!AJ27&lt;&gt;".",d_Irr!BI27="."),d_dir!L27/((1/1000)*(d_Irr!K27+d_Irr!AJ27)),IF(AND(d_Irr!K27&lt;&gt;".",d_Irr!AJ27=".",d_Irr!BI27&lt;&gt;"."),d_dir!L27/((1/1000)*(d_Irr!K27+d_Irr!BI27)),IF(AND(d_Irr!K27=".",d_Irr!AJ27&lt;&gt;".",d_Irr!BI27&lt;&gt;"."),d_dir!L27/((1/1000)*(d_Irr!AJ27+d_Irr!BI27)),IF(AND(d_Irr!K27=".",d_Irr!AJ27=".",d_Irr!BI27&lt;&gt;"."),d_dir!L27/((1/1000)*(d_Irr!BI27)),IF(AND(d_Irr!K27=".",d_Irr!AJ27&lt;&gt;".",d_Irr!BI27="."),d_dir!L27/((1/1000)*(d_Irr!AJ27)),IF(AND(d_Irr!K27&lt;&gt;".",d_Irr!AJ27=".",d_Irr!BI27="."),d_dir!L27/((1/1000)*(d_Irr!K27)),IF(AND(d_Irr!K27=".",d_Irr!AJ27=".",d_Irr!BI27="."),d_dir!L27*1000)))))))),".")</f>
        <v>.</v>
      </c>
      <c r="M27" s="76" t="str">
        <f>IFERROR(IF(AND(d_Irr!L27&lt;&gt;".",d_Irr!AK27&lt;&gt;".",d_Irr!BJ27&lt;&gt;"."),d_dir!M27/((1/1000)*(d_Irr!L27+d_Irr!AK27+d_Irr!BJ27)),IF(AND(d_Irr!L27&lt;&gt;".",d_Irr!AK27&lt;&gt;".",d_Irr!BJ27="."),d_dir!M27/((1/1000)*(d_Irr!L27+d_Irr!AK27)),IF(AND(d_Irr!L27&lt;&gt;".",d_Irr!AK27=".",d_Irr!BJ27&lt;&gt;"."),d_dir!M27/((1/1000)*(d_Irr!L27+d_Irr!BJ27)),IF(AND(d_Irr!L27=".",d_Irr!AK27&lt;&gt;".",d_Irr!BJ27&lt;&gt;"."),d_dir!M27/((1/1000)*(d_Irr!AK27+d_Irr!BJ27)),IF(AND(d_Irr!L27=".",d_Irr!AK27=".",d_Irr!BJ27&lt;&gt;"."),d_dir!M27/((1/1000)*(d_Irr!BJ27)),IF(AND(d_Irr!L27=".",d_Irr!AK27&lt;&gt;".",d_Irr!BJ27="."),d_dir!M27/((1/1000)*(d_Irr!AK27)),IF(AND(d_Irr!L27&lt;&gt;".",d_Irr!AK27=".",d_Irr!BJ27="."),d_dir!M27/((1/1000)*(d_Irr!L27)),IF(AND(d_Irr!L27=".",d_Irr!AK27=".",d_Irr!BJ27="."),d_dir!M27*1000)))))))),".")</f>
        <v>.</v>
      </c>
      <c r="N27" s="76" t="str">
        <f>IFERROR(IF(AND(d_Irr!M27&lt;&gt;".",d_Irr!AL27&lt;&gt;".",d_Irr!BK27&lt;&gt;"."),d_dir!N27/((1/1000)*(d_Irr!M27+d_Irr!AL27+d_Irr!BK27)),IF(AND(d_Irr!M27&lt;&gt;".",d_Irr!AL27&lt;&gt;".",d_Irr!BK27="."),d_dir!N27/((1/1000)*(d_Irr!M27+d_Irr!AL27)),IF(AND(d_Irr!M27&lt;&gt;".",d_Irr!AL27=".",d_Irr!BK27&lt;&gt;"."),d_dir!N27/((1/1000)*(d_Irr!M27+d_Irr!BK27)),IF(AND(d_Irr!M27=".",d_Irr!AL27&lt;&gt;".",d_Irr!BK27&lt;&gt;"."),d_dir!N27/((1/1000)*(d_Irr!AL27+d_Irr!BK27)),IF(AND(d_Irr!M27=".",d_Irr!AL27=".",d_Irr!BK27&lt;&gt;"."),d_dir!N27/((1/1000)*(d_Irr!BK27)),IF(AND(d_Irr!M27=".",d_Irr!AL27&lt;&gt;".",d_Irr!BK27="."),d_dir!N27/((1/1000)*(d_Irr!AL27)),IF(AND(d_Irr!M27&lt;&gt;".",d_Irr!AL27=".",d_Irr!BK27="."),d_dir!N27/((1/1000)*(d_Irr!M27)),IF(AND(d_Irr!M27=".",d_Irr!AL27=".",d_Irr!BK27="."),d_dir!N27*1000)))))))),".")</f>
        <v>.</v>
      </c>
      <c r="O27" s="76" t="str">
        <f>IFERROR(IF(AND(d_Irr!N27&lt;&gt;".",d_Irr!AM27&lt;&gt;".",d_Irr!BL27&lt;&gt;"."),d_dir!O27/((1/1000)*(d_Irr!N27+d_Irr!AM27+d_Irr!BL27)),IF(AND(d_Irr!N27&lt;&gt;".",d_Irr!AM27&lt;&gt;".",d_Irr!BL27="."),d_dir!O27/((1/1000)*(d_Irr!N27+d_Irr!AM27)),IF(AND(d_Irr!N27&lt;&gt;".",d_Irr!AM27=".",d_Irr!BL27&lt;&gt;"."),d_dir!O27/((1/1000)*(d_Irr!N27+d_Irr!BL27)),IF(AND(d_Irr!N27=".",d_Irr!AM27&lt;&gt;".",d_Irr!BL27&lt;&gt;"."),d_dir!O27/((1/1000)*(d_Irr!AM27+d_Irr!BL27)),IF(AND(d_Irr!N27=".",d_Irr!AM27=".",d_Irr!BL27&lt;&gt;"."),d_dir!O27/((1/1000)*(d_Irr!BL27)),IF(AND(d_Irr!N27=".",d_Irr!AM27&lt;&gt;".",d_Irr!BL27="."),d_dir!O27/((1/1000)*(d_Irr!AM27)),IF(AND(d_Irr!N27&lt;&gt;".",d_Irr!AM27=".",d_Irr!BL27="."),d_dir!O27/((1/1000)*(d_Irr!N27)),IF(AND(d_Irr!N27=".",d_Irr!AM27=".",d_Irr!BL27="."),d_dir!O27*1000)))))))),".")</f>
        <v>.</v>
      </c>
      <c r="P27" s="76" t="str">
        <f>IFERROR(IF(AND(d_Irr!O27&lt;&gt;".",d_Irr!AN27&lt;&gt;".",d_Irr!BM27&lt;&gt;"."),d_dir!P27/((1/1000)*(d_Irr!O27+d_Irr!AN27+d_Irr!BM27)),IF(AND(d_Irr!O27&lt;&gt;".",d_Irr!AN27&lt;&gt;".",d_Irr!BM27="."),d_dir!P27/((1/1000)*(d_Irr!O27+d_Irr!AN27)),IF(AND(d_Irr!O27&lt;&gt;".",d_Irr!AN27=".",d_Irr!BM27&lt;&gt;"."),d_dir!P27/((1/1000)*(d_Irr!O27+d_Irr!BM27)),IF(AND(d_Irr!O27=".",d_Irr!AN27&lt;&gt;".",d_Irr!BM27&lt;&gt;"."),d_dir!P27/((1/1000)*(d_Irr!AN27+d_Irr!BM27)),IF(AND(d_Irr!O27=".",d_Irr!AN27=".",d_Irr!BM27&lt;&gt;"."),d_dir!P27/((1/1000)*(d_Irr!BM27)),IF(AND(d_Irr!O27=".",d_Irr!AN27&lt;&gt;".",d_Irr!BM27="."),d_dir!P27/((1/1000)*(d_Irr!AN27)),IF(AND(d_Irr!O27&lt;&gt;".",d_Irr!AN27=".",d_Irr!BM27="."),d_dir!P27/((1/1000)*(d_Irr!O27)),IF(AND(d_Irr!O27=".",d_Irr!AN27=".",d_Irr!BM27="."),d_dir!P27*1000)))))))),".")</f>
        <v>.</v>
      </c>
      <c r="Q27" s="76" t="str">
        <f>IFERROR(IF(AND(d_Irr!P27&lt;&gt;".",d_Irr!AO27&lt;&gt;".",d_Irr!BN27&lt;&gt;"."),d_dir!Q27/((1/1000)*(d_Irr!P27+d_Irr!AO27+d_Irr!BN27)),IF(AND(d_Irr!P27&lt;&gt;".",d_Irr!AO27&lt;&gt;".",d_Irr!BN27="."),d_dir!Q27/((1/1000)*(d_Irr!P27+d_Irr!AO27)),IF(AND(d_Irr!P27&lt;&gt;".",d_Irr!AO27=".",d_Irr!BN27&lt;&gt;"."),d_dir!Q27/((1/1000)*(d_Irr!P27+d_Irr!BN27)),IF(AND(d_Irr!P27=".",d_Irr!AO27&lt;&gt;".",d_Irr!BN27&lt;&gt;"."),d_dir!Q27/((1/1000)*(d_Irr!AO27+d_Irr!BN27)),IF(AND(d_Irr!P27=".",d_Irr!AO27=".",d_Irr!BN27&lt;&gt;"."),d_dir!Q27/((1/1000)*(d_Irr!BN27)),IF(AND(d_Irr!P27=".",d_Irr!AO27&lt;&gt;".",d_Irr!BN27="."),d_dir!Q27/((1/1000)*(d_Irr!AO27)),IF(AND(d_Irr!P27&lt;&gt;".",d_Irr!AO27=".",d_Irr!BN27="."),d_dir!Q27/((1/1000)*(d_Irr!P27)),IF(AND(d_Irr!P27=".",d_Irr!AO27=".",d_Irr!BN27="."),d_dir!Q27*1000)))))))),".")</f>
        <v>.</v>
      </c>
      <c r="R27" s="76" t="str">
        <f>IFERROR(IF(AND(d_Irr!Q27&lt;&gt;".",d_Irr!AP27&lt;&gt;".",d_Irr!BO27&lt;&gt;"."),d_dir!R27/((1/1000)*(d_Irr!Q27+d_Irr!AP27+d_Irr!BO27)),IF(AND(d_Irr!Q27&lt;&gt;".",d_Irr!AP27&lt;&gt;".",d_Irr!BO27="."),d_dir!R27/((1/1000)*(d_Irr!Q27+d_Irr!AP27)),IF(AND(d_Irr!Q27&lt;&gt;".",d_Irr!AP27=".",d_Irr!BO27&lt;&gt;"."),d_dir!R27/((1/1000)*(d_Irr!Q27+d_Irr!BO27)),IF(AND(d_Irr!Q27=".",d_Irr!AP27&lt;&gt;".",d_Irr!BO27&lt;&gt;"."),d_dir!R27/((1/1000)*(d_Irr!AP27+d_Irr!BO27)),IF(AND(d_Irr!Q27=".",d_Irr!AP27=".",d_Irr!BO27&lt;&gt;"."),d_dir!R27/((1/1000)*(d_Irr!BO27)),IF(AND(d_Irr!Q27=".",d_Irr!AP27&lt;&gt;".",d_Irr!BO27="."),d_dir!R27/((1/1000)*(d_Irr!AP27)),IF(AND(d_Irr!Q27&lt;&gt;".",d_Irr!AP27=".",d_Irr!BO27="."),d_dir!R27/((1/1000)*(d_Irr!Q27)),IF(AND(d_Irr!Q27=".",d_Irr!AP27=".",d_Irr!BO27="."),d_dir!R27*1000)))))))),".")</f>
        <v>.</v>
      </c>
      <c r="S27" s="76" t="str">
        <f>IFERROR(IF(AND(d_Irr!R27&lt;&gt;".",d_Irr!AQ27&lt;&gt;".",d_Irr!BP27&lt;&gt;"."),d_dir!S27/((1/1000)*(d_Irr!R27+d_Irr!AQ27+d_Irr!BP27)),IF(AND(d_Irr!R27&lt;&gt;".",d_Irr!AQ27&lt;&gt;".",d_Irr!BP27="."),d_dir!S27/((1/1000)*(d_Irr!R27+d_Irr!AQ27)),IF(AND(d_Irr!R27&lt;&gt;".",d_Irr!AQ27=".",d_Irr!BP27&lt;&gt;"."),d_dir!S27/((1/1000)*(d_Irr!R27+d_Irr!BP27)),IF(AND(d_Irr!R27=".",d_Irr!AQ27&lt;&gt;".",d_Irr!BP27&lt;&gt;"."),d_dir!S27/((1/1000)*(d_Irr!AQ27+d_Irr!BP27)),IF(AND(d_Irr!R27=".",d_Irr!AQ27=".",d_Irr!BP27&lt;&gt;"."),d_dir!S27/((1/1000)*(d_Irr!BP27)),IF(AND(d_Irr!R27=".",d_Irr!AQ27&lt;&gt;".",d_Irr!BP27="."),d_dir!S27/((1/1000)*(d_Irr!AQ27)),IF(AND(d_Irr!R27&lt;&gt;".",d_Irr!AQ27=".",d_Irr!BP27="."),d_dir!S27/((1/1000)*(d_Irr!R27)),IF(AND(d_Irr!R27=".",d_Irr!AQ27=".",d_Irr!BP27="."),d_dir!S27*1000)))))))),".")</f>
        <v>.</v>
      </c>
      <c r="T27" s="76" t="str">
        <f>IFERROR(IF(AND(d_Irr!S27&lt;&gt;".",d_Irr!AR27&lt;&gt;".",d_Irr!BQ27&lt;&gt;"."),d_dir!T27/((1/1000)*(d_Irr!S27+d_Irr!AR27+d_Irr!BQ27)),IF(AND(d_Irr!S27&lt;&gt;".",d_Irr!AR27&lt;&gt;".",d_Irr!BQ27="."),d_dir!T27/((1/1000)*(d_Irr!S27+d_Irr!AR27)),IF(AND(d_Irr!S27&lt;&gt;".",d_Irr!AR27=".",d_Irr!BQ27&lt;&gt;"."),d_dir!T27/((1/1000)*(d_Irr!S27+d_Irr!BQ27)),IF(AND(d_Irr!S27=".",d_Irr!AR27&lt;&gt;".",d_Irr!BQ27&lt;&gt;"."),d_dir!T27/((1/1000)*(d_Irr!AR27+d_Irr!BQ27)),IF(AND(d_Irr!S27=".",d_Irr!AR27=".",d_Irr!BQ27&lt;&gt;"."),d_dir!T27/((1/1000)*(d_Irr!BQ27)),IF(AND(d_Irr!S27=".",d_Irr!AR27&lt;&gt;".",d_Irr!BQ27="."),d_dir!T27/((1/1000)*(d_Irr!AR27)),IF(AND(d_Irr!S27&lt;&gt;".",d_Irr!AR27=".",d_Irr!BQ27="."),d_dir!T27/((1/1000)*(d_Irr!S27)),IF(AND(d_Irr!S27=".",d_Irr!AR27=".",d_Irr!BQ27="."),d_dir!T27*1000)))))))),".")</f>
        <v>.</v>
      </c>
      <c r="U27" s="76" t="str">
        <f>IFERROR(IF(AND(d_Irr!T27&lt;&gt;".",d_Irr!AS27&lt;&gt;".",d_Irr!BR27&lt;&gt;"."),d_dir!U27/((1/1000)*(d_Irr!T27+d_Irr!AS27+d_Irr!BR27)),IF(AND(d_Irr!T27&lt;&gt;".",d_Irr!AS27&lt;&gt;".",d_Irr!BR27="."),d_dir!U27/((1/1000)*(d_Irr!T27+d_Irr!AS27)),IF(AND(d_Irr!T27&lt;&gt;".",d_Irr!AS27=".",d_Irr!BR27&lt;&gt;"."),d_dir!U27/((1/1000)*(d_Irr!T27+d_Irr!BR27)),IF(AND(d_Irr!T27=".",d_Irr!AS27&lt;&gt;".",d_Irr!BR27&lt;&gt;"."),d_dir!U27/((1/1000)*(d_Irr!AS27+d_Irr!BR27)),IF(AND(d_Irr!T27=".",d_Irr!AS27=".",d_Irr!BR27&lt;&gt;"."),d_dir!U27/((1/1000)*(d_Irr!BR27)),IF(AND(d_Irr!T27=".",d_Irr!AS27&lt;&gt;".",d_Irr!BR27="."),d_dir!U27/((1/1000)*(d_Irr!AS27)),IF(AND(d_Irr!T27&lt;&gt;".",d_Irr!AS27=".",d_Irr!BR27="."),d_dir!U27/((1/1000)*(d_Irr!T27)),IF(AND(d_Irr!T27=".",d_Irr!AS27=".",d_Irr!BR27="."),d_dir!U27*1000)))))))),".")</f>
        <v>.</v>
      </c>
      <c r="V27" s="76" t="str">
        <f>IFERROR(IF(AND(d_Irr!U27&lt;&gt;".",d_Irr!AT27&lt;&gt;".",d_Irr!BS27&lt;&gt;"."),d_dir!V27/((1/1000)*(d_Irr!U27+d_Irr!AT27+d_Irr!BS27)),IF(AND(d_Irr!U27&lt;&gt;".",d_Irr!AT27&lt;&gt;".",d_Irr!BS27="."),d_dir!V27/((1/1000)*(d_Irr!U27+d_Irr!AT27)),IF(AND(d_Irr!U27&lt;&gt;".",d_Irr!AT27=".",d_Irr!BS27&lt;&gt;"."),d_dir!V27/((1/1000)*(d_Irr!U27+d_Irr!BS27)),IF(AND(d_Irr!U27=".",d_Irr!AT27&lt;&gt;".",d_Irr!BS27&lt;&gt;"."),d_dir!V27/((1/1000)*(d_Irr!AT27+d_Irr!BS27)),IF(AND(d_Irr!U27=".",d_Irr!AT27=".",d_Irr!BS27&lt;&gt;"."),d_dir!V27/((1/1000)*(d_Irr!BS27)),IF(AND(d_Irr!U27=".",d_Irr!AT27&lt;&gt;".",d_Irr!BS27="."),d_dir!V27/((1/1000)*(d_Irr!AT27)),IF(AND(d_Irr!U27&lt;&gt;".",d_Irr!AT27=".",d_Irr!BS27="."),d_dir!V27/((1/1000)*(d_Irr!U27)),IF(AND(d_Irr!U27=".",d_Irr!AT27=".",d_Irr!BS27="."),d_dir!V27*1000)))))))),".")</f>
        <v>.</v>
      </c>
      <c r="W27" s="76" t="str">
        <f>IFERROR(IF(AND(d_Irr!V27&lt;&gt;".",d_Irr!AU27&lt;&gt;".",d_Irr!BT27&lt;&gt;"."),d_dir!W27/((1/1000)*(d_Irr!V27+d_Irr!AU27+d_Irr!BT27)),IF(AND(d_Irr!V27&lt;&gt;".",d_Irr!AU27&lt;&gt;".",d_Irr!BT27="."),d_dir!W27/((1/1000)*(d_Irr!V27+d_Irr!AU27)),IF(AND(d_Irr!V27&lt;&gt;".",d_Irr!AU27=".",d_Irr!BT27&lt;&gt;"."),d_dir!W27/((1/1000)*(d_Irr!V27+d_Irr!BT27)),IF(AND(d_Irr!V27=".",d_Irr!AU27&lt;&gt;".",d_Irr!BT27&lt;&gt;"."),d_dir!W27/((1/1000)*(d_Irr!AU27+d_Irr!BT27)),IF(AND(d_Irr!V27=".",d_Irr!AU27=".",d_Irr!BT27&lt;&gt;"."),d_dir!W27/((1/1000)*(d_Irr!BT27)),IF(AND(d_Irr!V27=".",d_Irr!AU27&lt;&gt;".",d_Irr!BT27="."),d_dir!W27/((1/1000)*(d_Irr!AU27)),IF(AND(d_Irr!V27&lt;&gt;".",d_Irr!AU27=".",d_Irr!BT27="."),d_dir!W27/((1/1000)*(d_Irr!V27)),IF(AND(d_Irr!V27=".",d_Irr!AU27=".",d_Irr!BT27="."),d_dir!W27*1000)))))))),".")</f>
        <v>.</v>
      </c>
      <c r="X27" s="76" t="str">
        <f>IFERROR(IF(AND(d_Irr!W27&lt;&gt;".",d_Irr!AV27&lt;&gt;".",d_Irr!BU27&lt;&gt;"."),d_dir!X27/((1/1000)*(d_Irr!W27+d_Irr!AV27+d_Irr!BU27)),IF(AND(d_Irr!W27&lt;&gt;".",d_Irr!AV27&lt;&gt;".",d_Irr!BU27="."),d_dir!X27/((1/1000)*(d_Irr!W27+d_Irr!AV27)),IF(AND(d_Irr!W27&lt;&gt;".",d_Irr!AV27=".",d_Irr!BU27&lt;&gt;"."),d_dir!X27/((1/1000)*(d_Irr!W27+d_Irr!BU27)),IF(AND(d_Irr!W27=".",d_Irr!AV27&lt;&gt;".",d_Irr!BU27&lt;&gt;"."),d_dir!X27/((1/1000)*(d_Irr!AV27+d_Irr!BU27)),IF(AND(d_Irr!W27=".",d_Irr!AV27=".",d_Irr!BU27&lt;&gt;"."),d_dir!X27/((1/1000)*(d_Irr!BU27)),IF(AND(d_Irr!W27=".",d_Irr!AV27&lt;&gt;".",d_Irr!BU27="."),d_dir!X27/((1/1000)*(d_Irr!AV27)),IF(AND(d_Irr!W27&lt;&gt;".",d_Irr!AV27=".",d_Irr!BU27="."),d_dir!X27/((1/1000)*(d_Irr!W27)),IF(AND(d_Irr!W27=".",d_Irr!AV27=".",d_Irr!BU27="."),d_dir!X27*1000)))))))),".")</f>
        <v>.</v>
      </c>
      <c r="Y27" s="76" t="str">
        <f>IFERROR(IF(AND(d_Irr!X27&lt;&gt;".",d_Irr!AW27&lt;&gt;".",d_Irr!BV27&lt;&gt;"."),d_dir!Y27/((1/1000)*(d_Irr!X27+d_Irr!AW27+d_Irr!BV27)),IF(AND(d_Irr!X27&lt;&gt;".",d_Irr!AW27&lt;&gt;".",d_Irr!BV27="."),d_dir!Y27/((1/1000)*(d_Irr!X27+d_Irr!AW27)),IF(AND(d_Irr!X27&lt;&gt;".",d_Irr!AW27=".",d_Irr!BV27&lt;&gt;"."),d_dir!Y27/((1/1000)*(d_Irr!X27+d_Irr!BV27)),IF(AND(d_Irr!X27=".",d_Irr!AW27&lt;&gt;".",d_Irr!BV27&lt;&gt;"."),d_dir!Y27/((1/1000)*(d_Irr!AW27+d_Irr!BV27)),IF(AND(d_Irr!X27=".",d_Irr!AW27=".",d_Irr!BV27&lt;&gt;"."),d_dir!Y27/((1/1000)*(d_Irr!BV27)),IF(AND(d_Irr!X27=".",d_Irr!AW27&lt;&gt;".",d_Irr!BV27="."),d_dir!Y27/((1/1000)*(d_Irr!AW27)),IF(AND(d_Irr!X27&lt;&gt;".",d_Irr!AW27=".",d_Irr!BV27="."),d_dir!Y27/((1/1000)*(d_Irr!X27)),IF(AND(d_Irr!X27=".",d_Irr!AW27=".",d_Irr!BV27="."),d_dir!Y27*1000)))))))),".")</f>
        <v>.</v>
      </c>
      <c r="Z27" s="76" t="str">
        <f>IFERROR(IF(AND(d_Irr!Y27&lt;&gt;".",d_Irr!AX27&lt;&gt;".",d_Irr!BW27&lt;&gt;"."),d_dir!Z27/((1/1000)*(d_Irr!Y27+d_Irr!AX27+d_Irr!BW27)),IF(AND(d_Irr!Y27&lt;&gt;".",d_Irr!AX27&lt;&gt;".",d_Irr!BW27="."),d_dir!Z27/((1/1000)*(d_Irr!Y27+d_Irr!AX27)),IF(AND(d_Irr!Y27&lt;&gt;".",d_Irr!AX27=".",d_Irr!BW27&lt;&gt;"."),d_dir!Z27/((1/1000)*(d_Irr!Y27+d_Irr!BW27)),IF(AND(d_Irr!Y27=".",d_Irr!AX27&lt;&gt;".",d_Irr!BW27&lt;&gt;"."),d_dir!Z27/((1/1000)*(d_Irr!AX27+d_Irr!BW27)),IF(AND(d_Irr!Y27=".",d_Irr!AX27=".",d_Irr!BW27&lt;&gt;"."),d_dir!Z27/((1/1000)*(d_Irr!BW27)),IF(AND(d_Irr!Y27=".",d_Irr!AX27&lt;&gt;".",d_Irr!BW27="."),d_dir!Z27/((1/1000)*(d_Irr!AX27)),IF(AND(d_Irr!Y27&lt;&gt;".",d_Irr!AX27=".",d_Irr!BW27="."),d_dir!Z27/((1/1000)*(d_Irr!Y27)),IF(AND(d_Irr!Y27=".",d_Irr!AX27=".",d_Irr!BW27="."),d_dir!Z27*1000)))))))),".")</f>
        <v>.</v>
      </c>
      <c r="AA27" s="76" t="str">
        <f>IFERROR(IF(AND(d_Irr!Z27&lt;&gt;".",d_Irr!AY27&lt;&gt;".",d_Irr!BX27&lt;&gt;"."),d_dir!AA27/((1/1000)*(d_Irr!Z27+d_Irr!AY27+d_Irr!BX27)),IF(AND(d_Irr!Z27&lt;&gt;".",d_Irr!AY27&lt;&gt;".",d_Irr!BX27="."),d_dir!AA27/((1/1000)*(d_Irr!Z27+d_Irr!AY27)),IF(AND(d_Irr!Z27&lt;&gt;".",d_Irr!AY27=".",d_Irr!BX27&lt;&gt;"."),d_dir!AA27/((1/1000)*(d_Irr!Z27+d_Irr!BX27)),IF(AND(d_Irr!Z27=".",d_Irr!AY27&lt;&gt;".",d_Irr!BX27&lt;&gt;"."),d_dir!AA27/((1/1000)*(d_Irr!AY27+d_Irr!BX27)),IF(AND(d_Irr!Z27=".",d_Irr!AY27=".",d_Irr!BX27&lt;&gt;"."),d_dir!AA27/((1/1000)*(d_Irr!BX27)),IF(AND(d_Irr!Z27=".",d_Irr!AY27&lt;&gt;".",d_Irr!BX27="."),d_dir!AA27/((1/1000)*(d_Irr!AY27)),IF(AND(d_Irr!Z27&lt;&gt;".",d_Irr!AY27=".",d_Irr!BX27="."),d_dir!AA27/((1/1000)*(d_Irr!Z27)),IF(AND(d_Irr!Z27=".",d_Irr!AY27=".",d_Irr!BX27="."),d_dir!AA27*1000)))))))),".")</f>
        <v>.</v>
      </c>
      <c r="AB27" s="76" t="str">
        <f>IFERROR(IF(AND(d_Irr!AA27&lt;&gt;".",d_Irr!AZ27&lt;&gt;".",d_Irr!BY27&lt;&gt;"."),d_dir!AB27/((1/1000)*(d_Irr!AA27+d_Irr!AZ27+d_Irr!BY27)),IF(AND(d_Irr!AA27&lt;&gt;".",d_Irr!AZ27&lt;&gt;".",d_Irr!BY27="."),d_dir!AB27/((1/1000)*(d_Irr!AA27+d_Irr!AZ27)),IF(AND(d_Irr!AA27&lt;&gt;".",d_Irr!AZ27=".",d_Irr!BY27&lt;&gt;"."),d_dir!AB27/((1/1000)*(d_Irr!AA27+d_Irr!BY27)),IF(AND(d_Irr!AA27=".",d_Irr!AZ27&lt;&gt;".",d_Irr!BY27&lt;&gt;"."),d_dir!AB27/((1/1000)*(d_Irr!AZ27+d_Irr!BY27)),IF(AND(d_Irr!AA27=".",d_Irr!AZ27=".",d_Irr!BY27&lt;&gt;"."),d_dir!AB27/((1/1000)*(d_Irr!BY27)),IF(AND(d_Irr!AA27=".",d_Irr!AZ27&lt;&gt;".",d_Irr!BY27="."),d_dir!AB27/((1/1000)*(d_Irr!AZ27)),IF(AND(d_Irr!AA27&lt;&gt;".",d_Irr!AZ27=".",d_Irr!BY27="."),d_dir!AB27/((1/1000)*(d_Irr!AA27)),IF(AND(d_Irr!AA27=".",d_Irr!AZ27=".",d_Irr!BY27="."),d_dir!AB27*1000)))))))),".")</f>
        <v>.</v>
      </c>
      <c r="AC27" s="76" t="str">
        <f t="shared" si="0"/>
        <v>.</v>
      </c>
      <c r="AD27" s="76" t="str">
        <f>IFERROR(IF(AND(d_Irr!C27&lt;&gt;".",d_Irr!AB27&lt;&gt;".",d_Irr!BA27&lt;&gt;"."),d_dir!AD27/((1/1000)*(d_Irr!C27+d_Irr!AB27+d_Irr!BA27)),IF(AND(d_Irr!C27&lt;&gt;".",d_Irr!AB27&lt;&gt;".",d_Irr!BA27="."),d_dir!AD27/((1/1000)*(d_Irr!C27+d_Irr!AB27)),IF(AND(d_Irr!C27&lt;&gt;".",d_Irr!AB27=".",d_Irr!BA27&lt;&gt;"."),d_dir!AD27/((1/1000)*(d_Irr!C27+d_Irr!BA27)),IF(AND(d_Irr!C27=".",d_Irr!AB27&lt;&gt;".",d_Irr!BA27&lt;&gt;"."),d_dir!AD27/((1/1000)*(d_Irr!AB27+d_Irr!BA27)),IF(AND(d_Irr!C27=".",d_Irr!AB27=".",d_Irr!BA27&lt;&gt;"."),d_dir!AD27/((1/1000)*(d_Irr!BA27)),IF(AND(d_Irr!C27=".",d_Irr!AB27&lt;&gt;".",d_Irr!BA27="."),d_dir!AD27/((1/1000)*(d_Irr!AB27)),IF(AND(d_Irr!C27&lt;&gt;".",d_Irr!AB27=".",d_Irr!BA27="."),d_dir!AD27/((1/1000)*(d_Irr!C27)),IF(AND(d_Irr!C27=".",d_Irr!AB27=".",d_Irr!BA27="."),d_dir!AD27*1000)))))))),".")</f>
        <v>.</v>
      </c>
      <c r="AE27" s="76" t="str">
        <f>IFERROR(IF(AND(d_Irr!D27&lt;&gt;".",d_Irr!AC27&lt;&gt;".",d_Irr!BB27&lt;&gt;"."),d_dir!AE27/((1/1000)*(d_Irr!D27+d_Irr!AC27+d_Irr!BB27)),IF(AND(d_Irr!D27&lt;&gt;".",d_Irr!AC27&lt;&gt;".",d_Irr!BB27="."),d_dir!AE27/((1/1000)*(d_Irr!D27+d_Irr!AC27)),IF(AND(d_Irr!D27&lt;&gt;".",d_Irr!AC27=".",d_Irr!BB27&lt;&gt;"."),d_dir!AE27/((1/1000)*(d_Irr!D27+d_Irr!BB27)),IF(AND(d_Irr!D27=".",d_Irr!AC27&lt;&gt;".",d_Irr!BB27&lt;&gt;"."),d_dir!AE27/((1/1000)*(d_Irr!AC27+d_Irr!BB27)),IF(AND(d_Irr!D27=".",d_Irr!AC27=".",d_Irr!BB27&lt;&gt;"."),d_dir!AE27/((1/1000)*(d_Irr!BB27)),IF(AND(d_Irr!D27=".",d_Irr!AC27&lt;&gt;".",d_Irr!BB27="."),d_dir!AE27/((1/1000)*(d_Irr!AC27)),IF(AND(d_Irr!D27&lt;&gt;".",d_Irr!AC27=".",d_Irr!BB27="."),d_dir!AE27/((1/1000)*(d_Irr!D27)),IF(AND(d_Irr!D27=".",d_Irr!AC27=".",d_Irr!BB27="."),d_dir!AE27*1000)))))))),".")</f>
        <v>.</v>
      </c>
      <c r="AF27" s="76" t="str">
        <f>IFERROR(IF(AND(d_Irr!E27&lt;&gt;".",d_Irr!AD27&lt;&gt;".",d_Irr!BC27&lt;&gt;"."),d_dir!AF27/((1/1000)*(d_Irr!E27+d_Irr!AD27+d_Irr!BC27)),IF(AND(d_Irr!E27&lt;&gt;".",d_Irr!AD27&lt;&gt;".",d_Irr!BC27="."),d_dir!AF27/((1/1000)*(d_Irr!E27+d_Irr!AD27)),IF(AND(d_Irr!E27&lt;&gt;".",d_Irr!AD27=".",d_Irr!BC27&lt;&gt;"."),d_dir!AF27/((1/1000)*(d_Irr!E27+d_Irr!BC27)),IF(AND(d_Irr!E27=".",d_Irr!AD27&lt;&gt;".",d_Irr!BC27&lt;&gt;"."),d_dir!AF27/((1/1000)*(d_Irr!AD27+d_Irr!BC27)),IF(AND(d_Irr!E27=".",d_Irr!AD27=".",d_Irr!BC27&lt;&gt;"."),d_dir!AF27/((1/1000)*(d_Irr!BC27)),IF(AND(d_Irr!E27=".",d_Irr!AD27&lt;&gt;".",d_Irr!BC27="."),d_dir!AF27/((1/1000)*(d_Irr!AD27)),IF(AND(d_Irr!E27&lt;&gt;".",d_Irr!AD27=".",d_Irr!BC27="."),d_dir!AF27/((1/1000)*(d_Irr!E27)),IF(AND(d_Irr!E27=".",d_Irr!AD27=".",d_Irr!BC27="."),d_dir!AF27*1000)))))))),".")</f>
        <v>.</v>
      </c>
      <c r="AG27" s="76" t="str">
        <f>IFERROR(IF(AND(d_Irr!F27&lt;&gt;".",d_Irr!AE27&lt;&gt;".",d_Irr!BD27&lt;&gt;"."),d_dir!AG27/((1/1000)*(d_Irr!F27+d_Irr!AE27+d_Irr!BD27)),IF(AND(d_Irr!F27&lt;&gt;".",d_Irr!AE27&lt;&gt;".",d_Irr!BD27="."),d_dir!AG27/((1/1000)*(d_Irr!F27+d_Irr!AE27)),IF(AND(d_Irr!F27&lt;&gt;".",d_Irr!AE27=".",d_Irr!BD27&lt;&gt;"."),d_dir!AG27/((1/1000)*(d_Irr!F27+d_Irr!BD27)),IF(AND(d_Irr!F27=".",d_Irr!AE27&lt;&gt;".",d_Irr!BD27&lt;&gt;"."),d_dir!AG27/((1/1000)*(d_Irr!AE27+d_Irr!BD27)),IF(AND(d_Irr!F27=".",d_Irr!AE27=".",d_Irr!BD27&lt;&gt;"."),d_dir!AG27/((1/1000)*(d_Irr!BD27)),IF(AND(d_Irr!F27=".",d_Irr!AE27&lt;&gt;".",d_Irr!BD27="."),d_dir!AG27/((1/1000)*(d_Irr!AE27)),IF(AND(d_Irr!F27&lt;&gt;".",d_Irr!AE27=".",d_Irr!BD27="."),d_dir!AG27/((1/1000)*(d_Irr!F27)),IF(AND(d_Irr!F27=".",d_Irr!AE27=".",d_Irr!BD27="."),d_dir!AG27*1000)))))))),".")</f>
        <v>.</v>
      </c>
      <c r="AH27" s="76" t="str">
        <f>IFERROR(IF(AND(d_Irr!G27&lt;&gt;".",d_Irr!AF27&lt;&gt;".",d_Irr!BE27&lt;&gt;"."),d_dir!AH27/((1/1000)*(d_Irr!G27+d_Irr!AF27+d_Irr!BE27)),IF(AND(d_Irr!G27&lt;&gt;".",d_Irr!AF27&lt;&gt;".",d_Irr!BE27="."),d_dir!AH27/((1/1000)*(d_Irr!G27+d_Irr!AF27)),IF(AND(d_Irr!G27&lt;&gt;".",d_Irr!AF27=".",d_Irr!BE27&lt;&gt;"."),d_dir!AH27/((1/1000)*(d_Irr!G27+d_Irr!BE27)),IF(AND(d_Irr!G27=".",d_Irr!AF27&lt;&gt;".",d_Irr!BE27&lt;&gt;"."),d_dir!AH27/((1/1000)*(d_Irr!AF27+d_Irr!BE27)),IF(AND(d_Irr!G27=".",d_Irr!AF27=".",d_Irr!BE27&lt;&gt;"."),d_dir!AH27/((1/1000)*(d_Irr!BE27)),IF(AND(d_Irr!G27=".",d_Irr!AF27&lt;&gt;".",d_Irr!BE27="."),d_dir!AH27/((1/1000)*(d_Irr!AF27)),IF(AND(d_Irr!G27&lt;&gt;".",d_Irr!AF27=".",d_Irr!BE27="."),d_dir!AH27/((1/1000)*(d_Irr!G27)),IF(AND(d_Irr!G27=".",d_Irr!AF27=".",d_Irr!BE27="."),d_dir!AH27*1000)))))))),".")</f>
        <v>.</v>
      </c>
      <c r="AI27" s="76" t="str">
        <f>IFERROR(IF(AND(d_Irr!H27&lt;&gt;".",d_Irr!AG27&lt;&gt;".",d_Irr!BF27&lt;&gt;"."),d_dir!AI27/((1/1000)*(d_Irr!H27+d_Irr!AG27+d_Irr!BF27)),IF(AND(d_Irr!H27&lt;&gt;".",d_Irr!AG27&lt;&gt;".",d_Irr!BF27="."),d_dir!AI27/((1/1000)*(d_Irr!H27+d_Irr!AG27)),IF(AND(d_Irr!H27&lt;&gt;".",d_Irr!AG27=".",d_Irr!BF27&lt;&gt;"."),d_dir!AI27/((1/1000)*(d_Irr!H27+d_Irr!BF27)),IF(AND(d_Irr!H27=".",d_Irr!AG27&lt;&gt;".",d_Irr!BF27&lt;&gt;"."),d_dir!AI27/((1/1000)*(d_Irr!AG27+d_Irr!BF27)),IF(AND(d_Irr!H27=".",d_Irr!AG27=".",d_Irr!BF27&lt;&gt;"."),d_dir!AI27/((1/1000)*(d_Irr!BF27)),IF(AND(d_Irr!H27=".",d_Irr!AG27&lt;&gt;".",d_Irr!BF27="."),d_dir!AI27/((1/1000)*(d_Irr!AG27)),IF(AND(d_Irr!H27&lt;&gt;".",d_Irr!AG27=".",d_Irr!BF27="."),d_dir!AI27/((1/1000)*(d_Irr!H27)),IF(AND(d_Irr!H27=".",d_Irr!AG27=".",d_Irr!BF27="."),d_dir!AI27*1000)))))))),".")</f>
        <v>.</v>
      </c>
      <c r="AJ27" s="76" t="str">
        <f>IFERROR(IF(AND(d_Irr!I27&lt;&gt;".",d_Irr!AH27&lt;&gt;".",d_Irr!BG27&lt;&gt;"."),d_dir!AJ27/((1/1000)*(d_Irr!I27+d_Irr!AH27+d_Irr!BG27)),IF(AND(d_Irr!I27&lt;&gt;".",d_Irr!AH27&lt;&gt;".",d_Irr!BG27="."),d_dir!AJ27/((1/1000)*(d_Irr!I27+d_Irr!AH27)),IF(AND(d_Irr!I27&lt;&gt;".",d_Irr!AH27=".",d_Irr!BG27&lt;&gt;"."),d_dir!AJ27/((1/1000)*(d_Irr!I27+d_Irr!BG27)),IF(AND(d_Irr!I27=".",d_Irr!AH27&lt;&gt;".",d_Irr!BG27&lt;&gt;"."),d_dir!AJ27/((1/1000)*(d_Irr!AH27+d_Irr!BG27)),IF(AND(d_Irr!I27=".",d_Irr!AH27=".",d_Irr!BG27&lt;&gt;"."),d_dir!AJ27/((1/1000)*(d_Irr!BG27)),IF(AND(d_Irr!I27=".",d_Irr!AH27&lt;&gt;".",d_Irr!BG27="."),d_dir!AJ27/((1/1000)*(d_Irr!AH27)),IF(AND(d_Irr!I27&lt;&gt;".",d_Irr!AH27=".",d_Irr!BG27="."),d_dir!AJ27/((1/1000)*(d_Irr!I27)),IF(AND(d_Irr!I27=".",d_Irr!AH27=".",d_Irr!BG27="."),d_dir!AJ27*1000)))))))),".")</f>
        <v>.</v>
      </c>
      <c r="AK27" s="76" t="str">
        <f>IFERROR(IF(AND(d_Irr!J27&lt;&gt;".",d_Irr!AI27&lt;&gt;".",d_Irr!BH27&lt;&gt;"."),d_dir!AK27/((1/1000)*(d_Irr!J27+d_Irr!AI27+d_Irr!BH27)),IF(AND(d_Irr!J27&lt;&gt;".",d_Irr!AI27&lt;&gt;".",d_Irr!BH27="."),d_dir!AK27/((1/1000)*(d_Irr!J27+d_Irr!AI27)),IF(AND(d_Irr!J27&lt;&gt;".",d_Irr!AI27=".",d_Irr!BH27&lt;&gt;"."),d_dir!AK27/((1/1000)*(d_Irr!J27+d_Irr!BH27)),IF(AND(d_Irr!J27=".",d_Irr!AI27&lt;&gt;".",d_Irr!BH27&lt;&gt;"."),d_dir!AK27/((1/1000)*(d_Irr!AI27+d_Irr!BH27)),IF(AND(d_Irr!J27=".",d_Irr!AI27=".",d_Irr!BH27&lt;&gt;"."),d_dir!AK27/((1/1000)*(d_Irr!BH27)),IF(AND(d_Irr!J27=".",d_Irr!AI27&lt;&gt;".",d_Irr!BH27="."),d_dir!AK27/((1/1000)*(d_Irr!AI27)),IF(AND(d_Irr!J27&lt;&gt;".",d_Irr!AI27=".",d_Irr!BH27="."),d_dir!AK27/((1/1000)*(d_Irr!J27)),IF(AND(d_Irr!J27=".",d_Irr!AI27=".",d_Irr!BH27="."),d_dir!AK27*1000)))))))),".")</f>
        <v>.</v>
      </c>
      <c r="AL27" s="76" t="str">
        <f>IFERROR(IF(AND(d_Irr!K27&lt;&gt;".",d_Irr!AJ27&lt;&gt;".",d_Irr!BI27&lt;&gt;"."),d_dir!AL27/((1/1000)*(d_Irr!K27+d_Irr!AJ27+d_Irr!BI27)),IF(AND(d_Irr!K27&lt;&gt;".",d_Irr!AJ27&lt;&gt;".",d_Irr!BI27="."),d_dir!AL27/((1/1000)*(d_Irr!K27+d_Irr!AJ27)),IF(AND(d_Irr!K27&lt;&gt;".",d_Irr!AJ27=".",d_Irr!BI27&lt;&gt;"."),d_dir!AL27/((1/1000)*(d_Irr!K27+d_Irr!BI27)),IF(AND(d_Irr!K27=".",d_Irr!AJ27&lt;&gt;".",d_Irr!BI27&lt;&gt;"."),d_dir!AL27/((1/1000)*(d_Irr!AJ27+d_Irr!BI27)),IF(AND(d_Irr!K27=".",d_Irr!AJ27=".",d_Irr!BI27&lt;&gt;"."),d_dir!AL27/((1/1000)*(d_Irr!BI27)),IF(AND(d_Irr!K27=".",d_Irr!AJ27&lt;&gt;".",d_Irr!BI27="."),d_dir!AL27/((1/1000)*(d_Irr!AJ27)),IF(AND(d_Irr!K27&lt;&gt;".",d_Irr!AJ27=".",d_Irr!BI27="."),d_dir!AL27/((1/1000)*(d_Irr!K27)),IF(AND(d_Irr!K27=".",d_Irr!AJ27=".",d_Irr!BI27="."),d_dir!AL27*1000)))))))),".")</f>
        <v>.</v>
      </c>
      <c r="AM27" s="76" t="str">
        <f>IFERROR(IF(AND(d_Irr!L27&lt;&gt;".",d_Irr!AK27&lt;&gt;".",d_Irr!BJ27&lt;&gt;"."),d_dir!AM27/((1/1000)*(d_Irr!L27+d_Irr!AK27+d_Irr!BJ27)),IF(AND(d_Irr!L27&lt;&gt;".",d_Irr!AK27&lt;&gt;".",d_Irr!BJ27="."),d_dir!AM27/((1/1000)*(d_Irr!L27+d_Irr!AK27)),IF(AND(d_Irr!L27&lt;&gt;".",d_Irr!AK27=".",d_Irr!BJ27&lt;&gt;"."),d_dir!AM27/((1/1000)*(d_Irr!L27+d_Irr!BJ27)),IF(AND(d_Irr!L27=".",d_Irr!AK27&lt;&gt;".",d_Irr!BJ27&lt;&gt;"."),d_dir!AM27/((1/1000)*(d_Irr!AK27+d_Irr!BJ27)),IF(AND(d_Irr!L27=".",d_Irr!AK27=".",d_Irr!BJ27&lt;&gt;"."),d_dir!AM27/((1/1000)*(d_Irr!BJ27)),IF(AND(d_Irr!L27=".",d_Irr!AK27&lt;&gt;".",d_Irr!BJ27="."),d_dir!AM27/((1/1000)*(d_Irr!AK27)),IF(AND(d_Irr!L27&lt;&gt;".",d_Irr!AK27=".",d_Irr!BJ27="."),d_dir!AM27/((1/1000)*(d_Irr!L27)),IF(AND(d_Irr!L27=".",d_Irr!AK27=".",d_Irr!BJ27="."),d_dir!AM27*1000)))))))),".")</f>
        <v>.</v>
      </c>
      <c r="AN27" s="76" t="str">
        <f>IFERROR(IF(AND(d_Irr!M27&lt;&gt;".",d_Irr!AL27&lt;&gt;".",d_Irr!BK27&lt;&gt;"."),d_dir!AN27/((1/1000)*(d_Irr!M27+d_Irr!AL27+d_Irr!BK27)),IF(AND(d_Irr!M27&lt;&gt;".",d_Irr!AL27&lt;&gt;".",d_Irr!BK27="."),d_dir!AN27/((1/1000)*(d_Irr!M27+d_Irr!AL27)),IF(AND(d_Irr!M27&lt;&gt;".",d_Irr!AL27=".",d_Irr!BK27&lt;&gt;"."),d_dir!AN27/((1/1000)*(d_Irr!M27+d_Irr!BK27)),IF(AND(d_Irr!M27=".",d_Irr!AL27&lt;&gt;".",d_Irr!BK27&lt;&gt;"."),d_dir!AN27/((1/1000)*(d_Irr!AL27+d_Irr!BK27)),IF(AND(d_Irr!M27=".",d_Irr!AL27=".",d_Irr!BK27&lt;&gt;"."),d_dir!AN27/((1/1000)*(d_Irr!BK27)),IF(AND(d_Irr!M27=".",d_Irr!AL27&lt;&gt;".",d_Irr!BK27="."),d_dir!AN27/((1/1000)*(d_Irr!AL27)),IF(AND(d_Irr!M27&lt;&gt;".",d_Irr!AL27=".",d_Irr!BK27="."),d_dir!AN27/((1/1000)*(d_Irr!M27)),IF(AND(d_Irr!M27=".",d_Irr!AL27=".",d_Irr!BK27="."),d_dir!AN27*1000)))))))),".")</f>
        <v>.</v>
      </c>
      <c r="AO27" s="76" t="str">
        <f>IFERROR(IF(AND(d_Irr!N27&lt;&gt;".",d_Irr!AM27&lt;&gt;".",d_Irr!BL27&lt;&gt;"."),d_dir!AO27/((1/1000)*(d_Irr!N27+d_Irr!AM27+d_Irr!BL27)),IF(AND(d_Irr!N27&lt;&gt;".",d_Irr!AM27&lt;&gt;".",d_Irr!BL27="."),d_dir!AO27/((1/1000)*(d_Irr!N27+d_Irr!AM27)),IF(AND(d_Irr!N27&lt;&gt;".",d_Irr!AM27=".",d_Irr!BL27&lt;&gt;"."),d_dir!AO27/((1/1000)*(d_Irr!N27+d_Irr!BL27)),IF(AND(d_Irr!N27=".",d_Irr!AM27&lt;&gt;".",d_Irr!BL27&lt;&gt;"."),d_dir!AO27/((1/1000)*(d_Irr!AM27+d_Irr!BL27)),IF(AND(d_Irr!N27=".",d_Irr!AM27=".",d_Irr!BL27&lt;&gt;"."),d_dir!AO27/((1/1000)*(d_Irr!BL27)),IF(AND(d_Irr!N27=".",d_Irr!AM27&lt;&gt;".",d_Irr!BL27="."),d_dir!AO27/((1/1000)*(d_Irr!AM27)),IF(AND(d_Irr!N27&lt;&gt;".",d_Irr!AM27=".",d_Irr!BL27="."),d_dir!AO27/((1/1000)*(d_Irr!N27)),IF(AND(d_Irr!N27=".",d_Irr!AM27=".",d_Irr!BL27="."),d_dir!AO27*1000)))))))),".")</f>
        <v>.</v>
      </c>
      <c r="AP27" s="76" t="str">
        <f>IFERROR(IF(AND(d_Irr!O27&lt;&gt;".",d_Irr!AN27&lt;&gt;".",d_Irr!BM27&lt;&gt;"."),d_dir!AP27/((1/1000)*(d_Irr!O27+d_Irr!AN27+d_Irr!BM27)),IF(AND(d_Irr!O27&lt;&gt;".",d_Irr!AN27&lt;&gt;".",d_Irr!BM27="."),d_dir!AP27/((1/1000)*(d_Irr!O27+d_Irr!AN27)),IF(AND(d_Irr!O27&lt;&gt;".",d_Irr!AN27=".",d_Irr!BM27&lt;&gt;"."),d_dir!AP27/((1/1000)*(d_Irr!O27+d_Irr!BM27)),IF(AND(d_Irr!O27=".",d_Irr!AN27&lt;&gt;".",d_Irr!BM27&lt;&gt;"."),d_dir!AP27/((1/1000)*(d_Irr!AN27+d_Irr!BM27)),IF(AND(d_Irr!O27=".",d_Irr!AN27=".",d_Irr!BM27&lt;&gt;"."),d_dir!AP27/((1/1000)*(d_Irr!BM27)),IF(AND(d_Irr!O27=".",d_Irr!AN27&lt;&gt;".",d_Irr!BM27="."),d_dir!AP27/((1/1000)*(d_Irr!AN27)),IF(AND(d_Irr!O27&lt;&gt;".",d_Irr!AN27=".",d_Irr!BM27="."),d_dir!AP27/((1/1000)*(d_Irr!O27)),IF(AND(d_Irr!O27=".",d_Irr!AN27=".",d_Irr!BM27="."),d_dir!AP27*1000)))))))),".")</f>
        <v>.</v>
      </c>
      <c r="AQ27" s="76" t="str">
        <f>IFERROR(IF(AND(d_Irr!P27&lt;&gt;".",d_Irr!AO27&lt;&gt;".",d_Irr!BN27&lt;&gt;"."),d_dir!AQ27/((1/1000)*(d_Irr!P27+d_Irr!AO27+d_Irr!BN27)),IF(AND(d_Irr!P27&lt;&gt;".",d_Irr!AO27&lt;&gt;".",d_Irr!BN27="."),d_dir!AQ27/((1/1000)*(d_Irr!P27+d_Irr!AO27)),IF(AND(d_Irr!P27&lt;&gt;".",d_Irr!AO27=".",d_Irr!BN27&lt;&gt;"."),d_dir!AQ27/((1/1000)*(d_Irr!P27+d_Irr!BN27)),IF(AND(d_Irr!P27=".",d_Irr!AO27&lt;&gt;".",d_Irr!BN27&lt;&gt;"."),d_dir!AQ27/((1/1000)*(d_Irr!AO27+d_Irr!BN27)),IF(AND(d_Irr!P27=".",d_Irr!AO27=".",d_Irr!BN27&lt;&gt;"."),d_dir!AQ27/((1/1000)*(d_Irr!BN27)),IF(AND(d_Irr!P27=".",d_Irr!AO27&lt;&gt;".",d_Irr!BN27="."),d_dir!AQ27/((1/1000)*(d_Irr!AO27)),IF(AND(d_Irr!P27&lt;&gt;".",d_Irr!AO27=".",d_Irr!BN27="."),d_dir!AQ27/((1/1000)*(d_Irr!P27)),IF(AND(d_Irr!P27=".",d_Irr!AO27=".",d_Irr!BN27="."),d_dir!AQ27*1000)))))))),".")</f>
        <v>.</v>
      </c>
      <c r="AR27" s="76" t="str">
        <f>IFERROR(IF(AND(d_Irr!Q27&lt;&gt;".",d_Irr!AP27&lt;&gt;".",d_Irr!BO27&lt;&gt;"."),d_dir!AR27/((1/1000)*(d_Irr!Q27+d_Irr!AP27+d_Irr!BO27)),IF(AND(d_Irr!Q27&lt;&gt;".",d_Irr!AP27&lt;&gt;".",d_Irr!BO27="."),d_dir!AR27/((1/1000)*(d_Irr!Q27+d_Irr!AP27)),IF(AND(d_Irr!Q27&lt;&gt;".",d_Irr!AP27=".",d_Irr!BO27&lt;&gt;"."),d_dir!AR27/((1/1000)*(d_Irr!Q27+d_Irr!BO27)),IF(AND(d_Irr!Q27=".",d_Irr!AP27&lt;&gt;".",d_Irr!BO27&lt;&gt;"."),d_dir!AR27/((1/1000)*(d_Irr!AP27+d_Irr!BO27)),IF(AND(d_Irr!Q27=".",d_Irr!AP27=".",d_Irr!BO27&lt;&gt;"."),d_dir!AR27/((1/1000)*(d_Irr!BO27)),IF(AND(d_Irr!Q27=".",d_Irr!AP27&lt;&gt;".",d_Irr!BO27="."),d_dir!AR27/((1/1000)*(d_Irr!AP27)),IF(AND(d_Irr!Q27&lt;&gt;".",d_Irr!AP27=".",d_Irr!BO27="."),d_dir!AR27/((1/1000)*(d_Irr!Q27)),IF(AND(d_Irr!Q27=".",d_Irr!AP27=".",d_Irr!BO27="."),d_dir!AR27*1000)))))))),".")</f>
        <v>.</v>
      </c>
      <c r="AS27" s="76" t="str">
        <f>IFERROR(IF(AND(d_Irr!R27&lt;&gt;".",d_Irr!AQ27&lt;&gt;".",d_Irr!BP27&lt;&gt;"."),d_dir!AS27/((1/1000)*(d_Irr!R27+d_Irr!AQ27+d_Irr!BP27)),IF(AND(d_Irr!R27&lt;&gt;".",d_Irr!AQ27&lt;&gt;".",d_Irr!BP27="."),d_dir!AS27/((1/1000)*(d_Irr!R27+d_Irr!AQ27)),IF(AND(d_Irr!R27&lt;&gt;".",d_Irr!AQ27=".",d_Irr!BP27&lt;&gt;"."),d_dir!AS27/((1/1000)*(d_Irr!R27+d_Irr!BP27)),IF(AND(d_Irr!R27=".",d_Irr!AQ27&lt;&gt;".",d_Irr!BP27&lt;&gt;"."),d_dir!AS27/((1/1000)*(d_Irr!AQ27+d_Irr!BP27)),IF(AND(d_Irr!R27=".",d_Irr!AQ27=".",d_Irr!BP27&lt;&gt;"."),d_dir!AS27/((1/1000)*(d_Irr!BP27)),IF(AND(d_Irr!R27=".",d_Irr!AQ27&lt;&gt;".",d_Irr!BP27="."),d_dir!AS27/((1/1000)*(d_Irr!AQ27)),IF(AND(d_Irr!R27&lt;&gt;".",d_Irr!AQ27=".",d_Irr!BP27="."),d_dir!AS27/((1/1000)*(d_Irr!R27)),IF(AND(d_Irr!R27=".",d_Irr!AQ27=".",d_Irr!BP27="."),d_dir!AS27*1000)))))))),".")</f>
        <v>.</v>
      </c>
      <c r="AT27" s="76" t="str">
        <f>IFERROR(IF(AND(d_Irr!S27&lt;&gt;".",d_Irr!AR27&lt;&gt;".",d_Irr!BQ27&lt;&gt;"."),d_dir!AT27/((1/1000)*(d_Irr!S27+d_Irr!AR27+d_Irr!BQ27)),IF(AND(d_Irr!S27&lt;&gt;".",d_Irr!AR27&lt;&gt;".",d_Irr!BQ27="."),d_dir!AT27/((1/1000)*(d_Irr!S27+d_Irr!AR27)),IF(AND(d_Irr!S27&lt;&gt;".",d_Irr!AR27=".",d_Irr!BQ27&lt;&gt;"."),d_dir!AT27/((1/1000)*(d_Irr!S27+d_Irr!BQ27)),IF(AND(d_Irr!S27=".",d_Irr!AR27&lt;&gt;".",d_Irr!BQ27&lt;&gt;"."),d_dir!AT27/((1/1000)*(d_Irr!AR27+d_Irr!BQ27)),IF(AND(d_Irr!S27=".",d_Irr!AR27=".",d_Irr!BQ27&lt;&gt;"."),d_dir!AT27/((1/1000)*(d_Irr!BQ27)),IF(AND(d_Irr!S27=".",d_Irr!AR27&lt;&gt;".",d_Irr!BQ27="."),d_dir!AT27/((1/1000)*(d_Irr!AR27)),IF(AND(d_Irr!S27&lt;&gt;".",d_Irr!AR27=".",d_Irr!BQ27="."),d_dir!AT27/((1/1000)*(d_Irr!S27)),IF(AND(d_Irr!S27=".",d_Irr!AR27=".",d_Irr!BQ27="."),d_dir!AT27*1000)))))))),".")</f>
        <v>.</v>
      </c>
      <c r="AU27" s="76" t="str">
        <f>IFERROR(IF(AND(d_Irr!T27&lt;&gt;".",d_Irr!AS27&lt;&gt;".",d_Irr!BR27&lt;&gt;"."),d_dir!AU27/((1/1000)*(d_Irr!T27+d_Irr!AS27+d_Irr!BR27)),IF(AND(d_Irr!T27&lt;&gt;".",d_Irr!AS27&lt;&gt;".",d_Irr!BR27="."),d_dir!AU27/((1/1000)*(d_Irr!T27+d_Irr!AS27)),IF(AND(d_Irr!T27&lt;&gt;".",d_Irr!AS27=".",d_Irr!BR27&lt;&gt;"."),d_dir!AU27/((1/1000)*(d_Irr!T27+d_Irr!BR27)),IF(AND(d_Irr!T27=".",d_Irr!AS27&lt;&gt;".",d_Irr!BR27&lt;&gt;"."),d_dir!AU27/((1/1000)*(d_Irr!AS27+d_Irr!BR27)),IF(AND(d_Irr!T27=".",d_Irr!AS27=".",d_Irr!BR27&lt;&gt;"."),d_dir!AU27/((1/1000)*(d_Irr!BR27)),IF(AND(d_Irr!T27=".",d_Irr!AS27&lt;&gt;".",d_Irr!BR27="."),d_dir!AU27/((1/1000)*(d_Irr!AS27)),IF(AND(d_Irr!T27&lt;&gt;".",d_Irr!AS27=".",d_Irr!BR27="."),d_dir!AU27/((1/1000)*(d_Irr!T27)),IF(AND(d_Irr!T27=".",d_Irr!AS27=".",d_Irr!BR27="."),d_dir!AU27*1000)))))))),".")</f>
        <v>.</v>
      </c>
      <c r="AV27" s="76" t="str">
        <f>IFERROR(IF(AND(d_Irr!U27&lt;&gt;".",d_Irr!AT27&lt;&gt;".",d_Irr!BS27&lt;&gt;"."),d_dir!AV27/((1/1000)*(d_Irr!U27+d_Irr!AT27+d_Irr!BS27)),IF(AND(d_Irr!U27&lt;&gt;".",d_Irr!AT27&lt;&gt;".",d_Irr!BS27="."),d_dir!AV27/((1/1000)*(d_Irr!U27+d_Irr!AT27)),IF(AND(d_Irr!U27&lt;&gt;".",d_Irr!AT27=".",d_Irr!BS27&lt;&gt;"."),d_dir!AV27/((1/1000)*(d_Irr!U27+d_Irr!BS27)),IF(AND(d_Irr!U27=".",d_Irr!AT27&lt;&gt;".",d_Irr!BS27&lt;&gt;"."),d_dir!AV27/((1/1000)*(d_Irr!AT27+d_Irr!BS27)),IF(AND(d_Irr!U27=".",d_Irr!AT27=".",d_Irr!BS27&lt;&gt;"."),d_dir!AV27/((1/1000)*(d_Irr!BS27)),IF(AND(d_Irr!U27=".",d_Irr!AT27&lt;&gt;".",d_Irr!BS27="."),d_dir!AV27/((1/1000)*(d_Irr!AT27)),IF(AND(d_Irr!U27&lt;&gt;".",d_Irr!AT27=".",d_Irr!BS27="."),d_dir!AV27/((1/1000)*(d_Irr!U27)),IF(AND(d_Irr!U27=".",d_Irr!AT27=".",d_Irr!BS27="."),d_dir!AV27*1000)))))))),".")</f>
        <v>.</v>
      </c>
      <c r="AW27" s="76" t="str">
        <f>IFERROR(IF(AND(d_Irr!V27&lt;&gt;".",d_Irr!AU27&lt;&gt;".",d_Irr!BT27&lt;&gt;"."),d_dir!AW27/((1/1000)*(d_Irr!V27+d_Irr!AU27+d_Irr!BT27)),IF(AND(d_Irr!V27&lt;&gt;".",d_Irr!AU27&lt;&gt;".",d_Irr!BT27="."),d_dir!AW27/((1/1000)*(d_Irr!V27+d_Irr!AU27)),IF(AND(d_Irr!V27&lt;&gt;".",d_Irr!AU27=".",d_Irr!BT27&lt;&gt;"."),d_dir!AW27/((1/1000)*(d_Irr!V27+d_Irr!BT27)),IF(AND(d_Irr!V27=".",d_Irr!AU27&lt;&gt;".",d_Irr!BT27&lt;&gt;"."),d_dir!AW27/((1/1000)*(d_Irr!AU27+d_Irr!BT27)),IF(AND(d_Irr!V27=".",d_Irr!AU27=".",d_Irr!BT27&lt;&gt;"."),d_dir!AW27/((1/1000)*(d_Irr!BT27)),IF(AND(d_Irr!V27=".",d_Irr!AU27&lt;&gt;".",d_Irr!BT27="."),d_dir!AW27/((1/1000)*(d_Irr!AU27)),IF(AND(d_Irr!V27&lt;&gt;".",d_Irr!AU27=".",d_Irr!BT27="."),d_dir!AW27/((1/1000)*(d_Irr!V27)),IF(AND(d_Irr!V27=".",d_Irr!AU27=".",d_Irr!BT27="."),d_dir!AW27*1000)))))))),".")</f>
        <v>.</v>
      </c>
      <c r="AX27" s="76" t="str">
        <f>IFERROR(IF(AND(d_Irr!W27&lt;&gt;".",d_Irr!AV27&lt;&gt;".",d_Irr!BU27&lt;&gt;"."),d_dir!AX27/((1/1000)*(d_Irr!W27+d_Irr!AV27+d_Irr!BU27)),IF(AND(d_Irr!W27&lt;&gt;".",d_Irr!AV27&lt;&gt;".",d_Irr!BU27="."),d_dir!AX27/((1/1000)*(d_Irr!W27+d_Irr!AV27)),IF(AND(d_Irr!W27&lt;&gt;".",d_Irr!AV27=".",d_Irr!BU27&lt;&gt;"."),d_dir!AX27/((1/1000)*(d_Irr!W27+d_Irr!BU27)),IF(AND(d_Irr!W27=".",d_Irr!AV27&lt;&gt;".",d_Irr!BU27&lt;&gt;"."),d_dir!AX27/((1/1000)*(d_Irr!AV27+d_Irr!BU27)),IF(AND(d_Irr!W27=".",d_Irr!AV27=".",d_Irr!BU27&lt;&gt;"."),d_dir!AX27/((1/1000)*(d_Irr!BU27)),IF(AND(d_Irr!W27=".",d_Irr!AV27&lt;&gt;".",d_Irr!BU27="."),d_dir!AX27/((1/1000)*(d_Irr!AV27)),IF(AND(d_Irr!W27&lt;&gt;".",d_Irr!AV27=".",d_Irr!BU27="."),d_dir!AX27/((1/1000)*(d_Irr!W27)),IF(AND(d_Irr!W27=".",d_Irr!AV27=".",d_Irr!BU27="."),d_dir!AX27*1000)))))))),".")</f>
        <v>.</v>
      </c>
      <c r="AY27" s="76" t="str">
        <f>IFERROR(IF(AND(d_Irr!X27&lt;&gt;".",d_Irr!AW27&lt;&gt;".",d_Irr!BV27&lt;&gt;"."),d_dir!AY27/((1/1000)*(d_Irr!X27+d_Irr!AW27+d_Irr!BV27)),IF(AND(d_Irr!X27&lt;&gt;".",d_Irr!AW27&lt;&gt;".",d_Irr!BV27="."),d_dir!AY27/((1/1000)*(d_Irr!X27+d_Irr!AW27)),IF(AND(d_Irr!X27&lt;&gt;".",d_Irr!AW27=".",d_Irr!BV27&lt;&gt;"."),d_dir!AY27/((1/1000)*(d_Irr!X27+d_Irr!BV27)),IF(AND(d_Irr!X27=".",d_Irr!AW27&lt;&gt;".",d_Irr!BV27&lt;&gt;"."),d_dir!AY27/((1/1000)*(d_Irr!AW27+d_Irr!BV27)),IF(AND(d_Irr!X27=".",d_Irr!AW27=".",d_Irr!BV27&lt;&gt;"."),d_dir!AY27/((1/1000)*(d_Irr!BV27)),IF(AND(d_Irr!X27=".",d_Irr!AW27&lt;&gt;".",d_Irr!BV27="."),d_dir!AY27/((1/1000)*(d_Irr!AW27)),IF(AND(d_Irr!X27&lt;&gt;".",d_Irr!AW27=".",d_Irr!BV27="."),d_dir!AY27/((1/1000)*(d_Irr!X27)),IF(AND(d_Irr!X27=".",d_Irr!AW27=".",d_Irr!BV27="."),d_dir!AY27*1000)))))))),".")</f>
        <v>.</v>
      </c>
      <c r="AZ27" s="76" t="str">
        <f>IFERROR(IF(AND(d_Irr!Y27&lt;&gt;".",d_Irr!AX27&lt;&gt;".",d_Irr!BW27&lt;&gt;"."),d_dir!AZ27/((1/1000)*(d_Irr!Y27+d_Irr!AX27+d_Irr!BW27)),IF(AND(d_Irr!Y27&lt;&gt;".",d_Irr!AX27&lt;&gt;".",d_Irr!BW27="."),d_dir!AZ27/((1/1000)*(d_Irr!Y27+d_Irr!AX27)),IF(AND(d_Irr!Y27&lt;&gt;".",d_Irr!AX27=".",d_Irr!BW27&lt;&gt;"."),d_dir!AZ27/((1/1000)*(d_Irr!Y27+d_Irr!BW27)),IF(AND(d_Irr!Y27=".",d_Irr!AX27&lt;&gt;".",d_Irr!BW27&lt;&gt;"."),d_dir!AZ27/((1/1000)*(d_Irr!AX27+d_Irr!BW27)),IF(AND(d_Irr!Y27=".",d_Irr!AX27=".",d_Irr!BW27&lt;&gt;"."),d_dir!AZ27/((1/1000)*(d_Irr!BW27)),IF(AND(d_Irr!Y27=".",d_Irr!AX27&lt;&gt;".",d_Irr!BW27="."),d_dir!AZ27/((1/1000)*(d_Irr!AX27)),IF(AND(d_Irr!Y27&lt;&gt;".",d_Irr!AX27=".",d_Irr!BW27="."),d_dir!AZ27/((1/1000)*(d_Irr!Y27)),IF(AND(d_Irr!Y27=".",d_Irr!AX27=".",d_Irr!BW27="."),d_dir!AZ27*1000)))))))),".")</f>
        <v>.</v>
      </c>
      <c r="BA27" s="76" t="str">
        <f>IFERROR(IF(AND(d_Irr!Z27&lt;&gt;".",d_Irr!AY27&lt;&gt;".",d_Irr!BX27&lt;&gt;"."),d_dir!BA27/((1/1000)*(d_Irr!Z27+d_Irr!AY27+d_Irr!BX27)),IF(AND(d_Irr!Z27&lt;&gt;".",d_Irr!AY27&lt;&gt;".",d_Irr!BX27="."),d_dir!BA27/((1/1000)*(d_Irr!Z27+d_Irr!AY27)),IF(AND(d_Irr!Z27&lt;&gt;".",d_Irr!AY27=".",d_Irr!BX27&lt;&gt;"."),d_dir!BA27/((1/1000)*(d_Irr!Z27+d_Irr!BX27)),IF(AND(d_Irr!Z27=".",d_Irr!AY27&lt;&gt;".",d_Irr!BX27&lt;&gt;"."),d_dir!BA27/((1/1000)*(d_Irr!AY27+d_Irr!BX27)),IF(AND(d_Irr!Z27=".",d_Irr!AY27=".",d_Irr!BX27&lt;&gt;"."),d_dir!BA27/((1/1000)*(d_Irr!BX27)),IF(AND(d_Irr!Z27=".",d_Irr!AY27&lt;&gt;".",d_Irr!BX27="."),d_dir!BA27/((1/1000)*(d_Irr!AY27)),IF(AND(d_Irr!Z27&lt;&gt;".",d_Irr!AY27=".",d_Irr!BX27="."),d_dir!BA27/((1/1000)*(d_Irr!Z27)),IF(AND(d_Irr!Z27=".",d_Irr!AY27=".",d_Irr!BX27="."),d_dir!BA27*1000)))))))),".")</f>
        <v>.</v>
      </c>
      <c r="BB27" s="76" t="str">
        <f>IFERROR(IF(AND(d_Irr!AA27&lt;&gt;".",d_Irr!AZ27&lt;&gt;".",d_Irr!BY27&lt;&gt;"."),d_dir!BB27/((1/1000)*(d_Irr!AA27+d_Irr!AZ27+d_Irr!BY27)),IF(AND(d_Irr!AA27&lt;&gt;".",d_Irr!AZ27&lt;&gt;".",d_Irr!BY27="."),d_dir!BB27/((1/1000)*(d_Irr!AA27+d_Irr!AZ27)),IF(AND(d_Irr!AA27&lt;&gt;".",d_Irr!AZ27=".",d_Irr!BY27&lt;&gt;"."),d_dir!BB27/((1/1000)*(d_Irr!AA27+d_Irr!BY27)),IF(AND(d_Irr!AA27=".",d_Irr!AZ27&lt;&gt;".",d_Irr!BY27&lt;&gt;"."),d_dir!BB27/((1/1000)*(d_Irr!AZ27+d_Irr!BY27)),IF(AND(d_Irr!AA27=".",d_Irr!AZ27=".",d_Irr!BY27&lt;&gt;"."),d_dir!BB27/((1/1000)*(d_Irr!BY27)),IF(AND(d_Irr!AA27=".",d_Irr!AZ27&lt;&gt;".",d_Irr!BY27="."),d_dir!BB27/((1/1000)*(d_Irr!AZ27)),IF(AND(d_Irr!AA27&lt;&gt;".",d_Irr!AZ27=".",d_Irr!BY27="."),d_dir!BB27/((1/1000)*(d_Irr!AA27)),IF(AND(d_Irr!AA27=".",d_Irr!AZ27=".",d_Irr!BY27="."),d_dir!BB27*1000)))))))),".")</f>
        <v>.</v>
      </c>
    </row>
    <row r="28" spans="1:54" ht="15" customHeight="1" x14ac:dyDescent="0.25">
      <c r="A28" s="92" t="s">
        <v>38</v>
      </c>
      <c r="B28" s="90" t="s">
        <v>1071</v>
      </c>
      <c r="C28" s="2" t="str">
        <f t="shared" si="1"/>
        <v>.</v>
      </c>
      <c r="D28" s="76" t="str">
        <f>IFERROR(IF(AND(d_Irr!C28&lt;&gt;".",d_Irr!AB28&lt;&gt;".",d_Irr!BA28&lt;&gt;"."),d_dir!D28/((1/1000)*(d_Irr!C28+d_Irr!AB28+d_Irr!BA28)),IF(AND(d_Irr!C28&lt;&gt;".",d_Irr!AB28&lt;&gt;".",d_Irr!BA28="."),d_dir!D28/((1/1000)*(d_Irr!C28+d_Irr!AB28)),IF(AND(d_Irr!C28&lt;&gt;".",d_Irr!AB28=".",d_Irr!BA28&lt;&gt;"."),d_dir!D28/((1/1000)*(d_Irr!C28+d_Irr!BA28)),IF(AND(d_Irr!C28=".",d_Irr!AB28&lt;&gt;".",d_Irr!BA28&lt;&gt;"."),d_dir!D28/((1/1000)*(d_Irr!AB28+d_Irr!BA28)),IF(AND(d_Irr!C28=".",d_Irr!AB28=".",d_Irr!BA28&lt;&gt;"."),d_dir!D28/((1/1000)*(d_Irr!BA28)),IF(AND(d_Irr!C28=".",d_Irr!AB28&lt;&gt;".",d_Irr!BA28="."),d_dir!D28/((1/1000)*(d_Irr!AB28)),IF(AND(d_Irr!C28&lt;&gt;".",d_Irr!AB28=".",d_Irr!BA28="."),d_dir!D28/((1/1000)*(d_Irr!C28)),IF(AND(d_Irr!C28=".",d_Irr!AB28=".",d_Irr!BA28="."),d_dir!D28*1000)))))))),".")</f>
        <v>.</v>
      </c>
      <c r="E28" s="76" t="str">
        <f>IFERROR(IF(AND(d_Irr!D28&lt;&gt;".",d_Irr!AC28&lt;&gt;".",d_Irr!BB28&lt;&gt;"."),d_dir!E28/((1/1000)*(d_Irr!D28+d_Irr!AC28+d_Irr!BB28)),IF(AND(d_Irr!D28&lt;&gt;".",d_Irr!AC28&lt;&gt;".",d_Irr!BB28="."),d_dir!E28/((1/1000)*(d_Irr!D28+d_Irr!AC28)),IF(AND(d_Irr!D28&lt;&gt;".",d_Irr!AC28=".",d_Irr!BB28&lt;&gt;"."),d_dir!E28/((1/1000)*(d_Irr!D28+d_Irr!BB28)),IF(AND(d_Irr!D28=".",d_Irr!AC28&lt;&gt;".",d_Irr!BB28&lt;&gt;"."),d_dir!E28/((1/1000)*(d_Irr!AC28+d_Irr!BB28)),IF(AND(d_Irr!D28=".",d_Irr!AC28=".",d_Irr!BB28&lt;&gt;"."),d_dir!E28/((1/1000)*(d_Irr!BB28)),IF(AND(d_Irr!D28=".",d_Irr!AC28&lt;&gt;".",d_Irr!BB28="."),d_dir!E28/((1/1000)*(d_Irr!AC28)),IF(AND(d_Irr!D28&lt;&gt;".",d_Irr!AC28=".",d_Irr!BB28="."),d_dir!E28/((1/1000)*(d_Irr!D28)),IF(AND(d_Irr!D28=".",d_Irr!AC28=".",d_Irr!BB28="."),d_dir!E28*1000)))))))),".")</f>
        <v>.</v>
      </c>
      <c r="F28" s="76" t="str">
        <f>IFERROR(IF(AND(d_Irr!E28&lt;&gt;".",d_Irr!AD28&lt;&gt;".",d_Irr!BC28&lt;&gt;"."),d_dir!F28/((1/1000)*(d_Irr!E28+d_Irr!AD28+d_Irr!BC28)),IF(AND(d_Irr!E28&lt;&gt;".",d_Irr!AD28&lt;&gt;".",d_Irr!BC28="."),d_dir!F28/((1/1000)*(d_Irr!E28+d_Irr!AD28)),IF(AND(d_Irr!E28&lt;&gt;".",d_Irr!AD28=".",d_Irr!BC28&lt;&gt;"."),d_dir!F28/((1/1000)*(d_Irr!E28+d_Irr!BC28)),IF(AND(d_Irr!E28=".",d_Irr!AD28&lt;&gt;".",d_Irr!BC28&lt;&gt;"."),d_dir!F28/((1/1000)*(d_Irr!AD28+d_Irr!BC28)),IF(AND(d_Irr!E28=".",d_Irr!AD28=".",d_Irr!BC28&lt;&gt;"."),d_dir!F28/((1/1000)*(d_Irr!BC28)),IF(AND(d_Irr!E28=".",d_Irr!AD28&lt;&gt;".",d_Irr!BC28="."),d_dir!F28/((1/1000)*(d_Irr!AD28)),IF(AND(d_Irr!E28&lt;&gt;".",d_Irr!AD28=".",d_Irr!BC28="."),d_dir!F28/((1/1000)*(d_Irr!E28)),IF(AND(d_Irr!E28=".",d_Irr!AD28=".",d_Irr!BC28="."),d_dir!F28*1000)))))))),".")</f>
        <v>.</v>
      </c>
      <c r="G28" s="76" t="str">
        <f>IFERROR(IF(AND(d_Irr!F28&lt;&gt;".",d_Irr!AE28&lt;&gt;".",d_Irr!BD28&lt;&gt;"."),d_dir!G28/((1/1000)*(d_Irr!F28+d_Irr!AE28+d_Irr!BD28)),IF(AND(d_Irr!F28&lt;&gt;".",d_Irr!AE28&lt;&gt;".",d_Irr!BD28="."),d_dir!G28/((1/1000)*(d_Irr!F28+d_Irr!AE28)),IF(AND(d_Irr!F28&lt;&gt;".",d_Irr!AE28=".",d_Irr!BD28&lt;&gt;"."),d_dir!G28/((1/1000)*(d_Irr!F28+d_Irr!BD28)),IF(AND(d_Irr!F28=".",d_Irr!AE28&lt;&gt;".",d_Irr!BD28&lt;&gt;"."),d_dir!G28/((1/1000)*(d_Irr!AE28+d_Irr!BD28)),IF(AND(d_Irr!F28=".",d_Irr!AE28=".",d_Irr!BD28&lt;&gt;"."),d_dir!G28/((1/1000)*(d_Irr!BD28)),IF(AND(d_Irr!F28=".",d_Irr!AE28&lt;&gt;".",d_Irr!BD28="."),d_dir!G28/((1/1000)*(d_Irr!AE28)),IF(AND(d_Irr!F28&lt;&gt;".",d_Irr!AE28=".",d_Irr!BD28="."),d_dir!G28/((1/1000)*(d_Irr!F28)),IF(AND(d_Irr!F28=".",d_Irr!AE28=".",d_Irr!BD28="."),d_dir!G28*1000)))))))),".")</f>
        <v>.</v>
      </c>
      <c r="H28" s="76" t="str">
        <f>IFERROR(IF(AND(d_Irr!G28&lt;&gt;".",d_Irr!AF28&lt;&gt;".",d_Irr!BE28&lt;&gt;"."),d_dir!H28/((1/1000)*(d_Irr!G28+d_Irr!AF28+d_Irr!BE28)),IF(AND(d_Irr!G28&lt;&gt;".",d_Irr!AF28&lt;&gt;".",d_Irr!BE28="."),d_dir!H28/((1/1000)*(d_Irr!G28+d_Irr!AF28)),IF(AND(d_Irr!G28&lt;&gt;".",d_Irr!AF28=".",d_Irr!BE28&lt;&gt;"."),d_dir!H28/((1/1000)*(d_Irr!G28+d_Irr!BE28)),IF(AND(d_Irr!G28=".",d_Irr!AF28&lt;&gt;".",d_Irr!BE28&lt;&gt;"."),d_dir!H28/((1/1000)*(d_Irr!AF28+d_Irr!BE28)),IF(AND(d_Irr!G28=".",d_Irr!AF28=".",d_Irr!BE28&lt;&gt;"."),d_dir!H28/((1/1000)*(d_Irr!BE28)),IF(AND(d_Irr!G28=".",d_Irr!AF28&lt;&gt;".",d_Irr!BE28="."),d_dir!H28/((1/1000)*(d_Irr!AF28)),IF(AND(d_Irr!G28&lt;&gt;".",d_Irr!AF28=".",d_Irr!BE28="."),d_dir!H28/((1/1000)*(d_Irr!G28)),IF(AND(d_Irr!G28=".",d_Irr!AF28=".",d_Irr!BE28="."),d_dir!H28*1000)))))))),".")</f>
        <v>.</v>
      </c>
      <c r="I28" s="76" t="str">
        <f>IFERROR(IF(AND(d_Irr!H28&lt;&gt;".",d_Irr!AG28&lt;&gt;".",d_Irr!BF28&lt;&gt;"."),d_dir!I28/((1/1000)*(d_Irr!H28+d_Irr!AG28+d_Irr!BF28)),IF(AND(d_Irr!H28&lt;&gt;".",d_Irr!AG28&lt;&gt;".",d_Irr!BF28="."),d_dir!I28/((1/1000)*(d_Irr!H28+d_Irr!AG28)),IF(AND(d_Irr!H28&lt;&gt;".",d_Irr!AG28=".",d_Irr!BF28&lt;&gt;"."),d_dir!I28/((1/1000)*(d_Irr!H28+d_Irr!BF28)),IF(AND(d_Irr!H28=".",d_Irr!AG28&lt;&gt;".",d_Irr!BF28&lt;&gt;"."),d_dir!I28/((1/1000)*(d_Irr!AG28+d_Irr!BF28)),IF(AND(d_Irr!H28=".",d_Irr!AG28=".",d_Irr!BF28&lt;&gt;"."),d_dir!I28/((1/1000)*(d_Irr!BF28)),IF(AND(d_Irr!H28=".",d_Irr!AG28&lt;&gt;".",d_Irr!BF28="."),d_dir!I28/((1/1000)*(d_Irr!AG28)),IF(AND(d_Irr!H28&lt;&gt;".",d_Irr!AG28=".",d_Irr!BF28="."),d_dir!I28/((1/1000)*(d_Irr!H28)),IF(AND(d_Irr!H28=".",d_Irr!AG28=".",d_Irr!BF28="."),d_dir!I28*1000)))))))),".")</f>
        <v>.</v>
      </c>
      <c r="J28" s="76" t="str">
        <f>IFERROR(IF(AND(d_Irr!I28&lt;&gt;".",d_Irr!AH28&lt;&gt;".",d_Irr!BG28&lt;&gt;"."),d_dir!J28/((1/1000)*(d_Irr!I28+d_Irr!AH28+d_Irr!BG28)),IF(AND(d_Irr!I28&lt;&gt;".",d_Irr!AH28&lt;&gt;".",d_Irr!BG28="."),d_dir!J28/((1/1000)*(d_Irr!I28+d_Irr!AH28)),IF(AND(d_Irr!I28&lt;&gt;".",d_Irr!AH28=".",d_Irr!BG28&lt;&gt;"."),d_dir!J28/((1/1000)*(d_Irr!I28+d_Irr!BG28)),IF(AND(d_Irr!I28=".",d_Irr!AH28&lt;&gt;".",d_Irr!BG28&lt;&gt;"."),d_dir!J28/((1/1000)*(d_Irr!AH28+d_Irr!BG28)),IF(AND(d_Irr!I28=".",d_Irr!AH28=".",d_Irr!BG28&lt;&gt;"."),d_dir!J28/((1/1000)*(d_Irr!BG28)),IF(AND(d_Irr!I28=".",d_Irr!AH28&lt;&gt;".",d_Irr!BG28="."),d_dir!J28/((1/1000)*(d_Irr!AH28)),IF(AND(d_Irr!I28&lt;&gt;".",d_Irr!AH28=".",d_Irr!BG28="."),d_dir!J28/((1/1000)*(d_Irr!I28)),IF(AND(d_Irr!I28=".",d_Irr!AH28=".",d_Irr!BG28="."),d_dir!J28*1000)))))))),".")</f>
        <v>.</v>
      </c>
      <c r="K28" s="76" t="str">
        <f>IFERROR(IF(AND(d_Irr!J28&lt;&gt;".",d_Irr!AI28&lt;&gt;".",d_Irr!BH28&lt;&gt;"."),d_dir!K28/((1/1000)*(d_Irr!J28+d_Irr!AI28+d_Irr!BH28)),IF(AND(d_Irr!J28&lt;&gt;".",d_Irr!AI28&lt;&gt;".",d_Irr!BH28="."),d_dir!K28/((1/1000)*(d_Irr!J28+d_Irr!AI28)),IF(AND(d_Irr!J28&lt;&gt;".",d_Irr!AI28=".",d_Irr!BH28&lt;&gt;"."),d_dir!K28/((1/1000)*(d_Irr!J28+d_Irr!BH28)),IF(AND(d_Irr!J28=".",d_Irr!AI28&lt;&gt;".",d_Irr!BH28&lt;&gt;"."),d_dir!K28/((1/1000)*(d_Irr!AI28+d_Irr!BH28)),IF(AND(d_Irr!J28=".",d_Irr!AI28=".",d_Irr!BH28&lt;&gt;"."),d_dir!K28/((1/1000)*(d_Irr!BH28)),IF(AND(d_Irr!J28=".",d_Irr!AI28&lt;&gt;".",d_Irr!BH28="."),d_dir!K28/((1/1000)*(d_Irr!AI28)),IF(AND(d_Irr!J28&lt;&gt;".",d_Irr!AI28=".",d_Irr!BH28="."),d_dir!K28/((1/1000)*(d_Irr!J28)),IF(AND(d_Irr!J28=".",d_Irr!AI28=".",d_Irr!BH28="."),d_dir!K28*1000)))))))),".")</f>
        <v>.</v>
      </c>
      <c r="L28" s="76" t="str">
        <f>IFERROR(IF(AND(d_Irr!K28&lt;&gt;".",d_Irr!AJ28&lt;&gt;".",d_Irr!BI28&lt;&gt;"."),d_dir!L28/((1/1000)*(d_Irr!K28+d_Irr!AJ28+d_Irr!BI28)),IF(AND(d_Irr!K28&lt;&gt;".",d_Irr!AJ28&lt;&gt;".",d_Irr!BI28="."),d_dir!L28/((1/1000)*(d_Irr!K28+d_Irr!AJ28)),IF(AND(d_Irr!K28&lt;&gt;".",d_Irr!AJ28=".",d_Irr!BI28&lt;&gt;"."),d_dir!L28/((1/1000)*(d_Irr!K28+d_Irr!BI28)),IF(AND(d_Irr!K28=".",d_Irr!AJ28&lt;&gt;".",d_Irr!BI28&lt;&gt;"."),d_dir!L28/((1/1000)*(d_Irr!AJ28+d_Irr!BI28)),IF(AND(d_Irr!K28=".",d_Irr!AJ28=".",d_Irr!BI28&lt;&gt;"."),d_dir!L28/((1/1000)*(d_Irr!BI28)),IF(AND(d_Irr!K28=".",d_Irr!AJ28&lt;&gt;".",d_Irr!BI28="."),d_dir!L28/((1/1000)*(d_Irr!AJ28)),IF(AND(d_Irr!K28&lt;&gt;".",d_Irr!AJ28=".",d_Irr!BI28="."),d_dir!L28/((1/1000)*(d_Irr!K28)),IF(AND(d_Irr!K28=".",d_Irr!AJ28=".",d_Irr!BI28="."),d_dir!L28*1000)))))))),".")</f>
        <v>.</v>
      </c>
      <c r="M28" s="76" t="str">
        <f>IFERROR(IF(AND(d_Irr!L28&lt;&gt;".",d_Irr!AK28&lt;&gt;".",d_Irr!BJ28&lt;&gt;"."),d_dir!M28/((1/1000)*(d_Irr!L28+d_Irr!AK28+d_Irr!BJ28)),IF(AND(d_Irr!L28&lt;&gt;".",d_Irr!AK28&lt;&gt;".",d_Irr!BJ28="."),d_dir!M28/((1/1000)*(d_Irr!L28+d_Irr!AK28)),IF(AND(d_Irr!L28&lt;&gt;".",d_Irr!AK28=".",d_Irr!BJ28&lt;&gt;"."),d_dir!M28/((1/1000)*(d_Irr!L28+d_Irr!BJ28)),IF(AND(d_Irr!L28=".",d_Irr!AK28&lt;&gt;".",d_Irr!BJ28&lt;&gt;"."),d_dir!M28/((1/1000)*(d_Irr!AK28+d_Irr!BJ28)),IF(AND(d_Irr!L28=".",d_Irr!AK28=".",d_Irr!BJ28&lt;&gt;"."),d_dir!M28/((1/1000)*(d_Irr!BJ28)),IF(AND(d_Irr!L28=".",d_Irr!AK28&lt;&gt;".",d_Irr!BJ28="."),d_dir!M28/((1/1000)*(d_Irr!AK28)),IF(AND(d_Irr!L28&lt;&gt;".",d_Irr!AK28=".",d_Irr!BJ28="."),d_dir!M28/((1/1000)*(d_Irr!L28)),IF(AND(d_Irr!L28=".",d_Irr!AK28=".",d_Irr!BJ28="."),d_dir!M28*1000)))))))),".")</f>
        <v>.</v>
      </c>
      <c r="N28" s="76" t="str">
        <f>IFERROR(IF(AND(d_Irr!M28&lt;&gt;".",d_Irr!AL28&lt;&gt;".",d_Irr!BK28&lt;&gt;"."),d_dir!N28/((1/1000)*(d_Irr!M28+d_Irr!AL28+d_Irr!BK28)),IF(AND(d_Irr!M28&lt;&gt;".",d_Irr!AL28&lt;&gt;".",d_Irr!BK28="."),d_dir!N28/((1/1000)*(d_Irr!M28+d_Irr!AL28)),IF(AND(d_Irr!M28&lt;&gt;".",d_Irr!AL28=".",d_Irr!BK28&lt;&gt;"."),d_dir!N28/((1/1000)*(d_Irr!M28+d_Irr!BK28)),IF(AND(d_Irr!M28=".",d_Irr!AL28&lt;&gt;".",d_Irr!BK28&lt;&gt;"."),d_dir!N28/((1/1000)*(d_Irr!AL28+d_Irr!BK28)),IF(AND(d_Irr!M28=".",d_Irr!AL28=".",d_Irr!BK28&lt;&gt;"."),d_dir!N28/((1/1000)*(d_Irr!BK28)),IF(AND(d_Irr!M28=".",d_Irr!AL28&lt;&gt;".",d_Irr!BK28="."),d_dir!N28/((1/1000)*(d_Irr!AL28)),IF(AND(d_Irr!M28&lt;&gt;".",d_Irr!AL28=".",d_Irr!BK28="."),d_dir!N28/((1/1000)*(d_Irr!M28)),IF(AND(d_Irr!M28=".",d_Irr!AL28=".",d_Irr!BK28="."),d_dir!N28*1000)))))))),".")</f>
        <v>.</v>
      </c>
      <c r="O28" s="76" t="str">
        <f>IFERROR(IF(AND(d_Irr!N28&lt;&gt;".",d_Irr!AM28&lt;&gt;".",d_Irr!BL28&lt;&gt;"."),d_dir!O28/((1/1000)*(d_Irr!N28+d_Irr!AM28+d_Irr!BL28)),IF(AND(d_Irr!N28&lt;&gt;".",d_Irr!AM28&lt;&gt;".",d_Irr!BL28="."),d_dir!O28/((1/1000)*(d_Irr!N28+d_Irr!AM28)),IF(AND(d_Irr!N28&lt;&gt;".",d_Irr!AM28=".",d_Irr!BL28&lt;&gt;"."),d_dir!O28/((1/1000)*(d_Irr!N28+d_Irr!BL28)),IF(AND(d_Irr!N28=".",d_Irr!AM28&lt;&gt;".",d_Irr!BL28&lt;&gt;"."),d_dir!O28/((1/1000)*(d_Irr!AM28+d_Irr!BL28)),IF(AND(d_Irr!N28=".",d_Irr!AM28=".",d_Irr!BL28&lt;&gt;"."),d_dir!O28/((1/1000)*(d_Irr!BL28)),IF(AND(d_Irr!N28=".",d_Irr!AM28&lt;&gt;".",d_Irr!BL28="."),d_dir!O28/((1/1000)*(d_Irr!AM28)),IF(AND(d_Irr!N28&lt;&gt;".",d_Irr!AM28=".",d_Irr!BL28="."),d_dir!O28/((1/1000)*(d_Irr!N28)),IF(AND(d_Irr!N28=".",d_Irr!AM28=".",d_Irr!BL28="."),d_dir!O28*1000)))))))),".")</f>
        <v>.</v>
      </c>
      <c r="P28" s="76" t="str">
        <f>IFERROR(IF(AND(d_Irr!O28&lt;&gt;".",d_Irr!AN28&lt;&gt;".",d_Irr!BM28&lt;&gt;"."),d_dir!P28/((1/1000)*(d_Irr!O28+d_Irr!AN28+d_Irr!BM28)),IF(AND(d_Irr!O28&lt;&gt;".",d_Irr!AN28&lt;&gt;".",d_Irr!BM28="."),d_dir!P28/((1/1000)*(d_Irr!O28+d_Irr!AN28)),IF(AND(d_Irr!O28&lt;&gt;".",d_Irr!AN28=".",d_Irr!BM28&lt;&gt;"."),d_dir!P28/((1/1000)*(d_Irr!O28+d_Irr!BM28)),IF(AND(d_Irr!O28=".",d_Irr!AN28&lt;&gt;".",d_Irr!BM28&lt;&gt;"."),d_dir!P28/((1/1000)*(d_Irr!AN28+d_Irr!BM28)),IF(AND(d_Irr!O28=".",d_Irr!AN28=".",d_Irr!BM28&lt;&gt;"."),d_dir!P28/((1/1000)*(d_Irr!BM28)),IF(AND(d_Irr!O28=".",d_Irr!AN28&lt;&gt;".",d_Irr!BM28="."),d_dir!P28/((1/1000)*(d_Irr!AN28)),IF(AND(d_Irr!O28&lt;&gt;".",d_Irr!AN28=".",d_Irr!BM28="."),d_dir!P28/((1/1000)*(d_Irr!O28)),IF(AND(d_Irr!O28=".",d_Irr!AN28=".",d_Irr!BM28="."),d_dir!P28*1000)))))))),".")</f>
        <v>.</v>
      </c>
      <c r="Q28" s="76" t="str">
        <f>IFERROR(IF(AND(d_Irr!P28&lt;&gt;".",d_Irr!AO28&lt;&gt;".",d_Irr!BN28&lt;&gt;"."),d_dir!Q28/((1/1000)*(d_Irr!P28+d_Irr!AO28+d_Irr!BN28)),IF(AND(d_Irr!P28&lt;&gt;".",d_Irr!AO28&lt;&gt;".",d_Irr!BN28="."),d_dir!Q28/((1/1000)*(d_Irr!P28+d_Irr!AO28)),IF(AND(d_Irr!P28&lt;&gt;".",d_Irr!AO28=".",d_Irr!BN28&lt;&gt;"."),d_dir!Q28/((1/1000)*(d_Irr!P28+d_Irr!BN28)),IF(AND(d_Irr!P28=".",d_Irr!AO28&lt;&gt;".",d_Irr!BN28&lt;&gt;"."),d_dir!Q28/((1/1000)*(d_Irr!AO28+d_Irr!BN28)),IF(AND(d_Irr!P28=".",d_Irr!AO28=".",d_Irr!BN28&lt;&gt;"."),d_dir!Q28/((1/1000)*(d_Irr!BN28)),IF(AND(d_Irr!P28=".",d_Irr!AO28&lt;&gt;".",d_Irr!BN28="."),d_dir!Q28/((1/1000)*(d_Irr!AO28)),IF(AND(d_Irr!P28&lt;&gt;".",d_Irr!AO28=".",d_Irr!BN28="."),d_dir!Q28/((1/1000)*(d_Irr!P28)),IF(AND(d_Irr!P28=".",d_Irr!AO28=".",d_Irr!BN28="."),d_dir!Q28*1000)))))))),".")</f>
        <v>.</v>
      </c>
      <c r="R28" s="76" t="str">
        <f>IFERROR(IF(AND(d_Irr!Q28&lt;&gt;".",d_Irr!AP28&lt;&gt;".",d_Irr!BO28&lt;&gt;"."),d_dir!R28/((1/1000)*(d_Irr!Q28+d_Irr!AP28+d_Irr!BO28)),IF(AND(d_Irr!Q28&lt;&gt;".",d_Irr!AP28&lt;&gt;".",d_Irr!BO28="."),d_dir!R28/((1/1000)*(d_Irr!Q28+d_Irr!AP28)),IF(AND(d_Irr!Q28&lt;&gt;".",d_Irr!AP28=".",d_Irr!BO28&lt;&gt;"."),d_dir!R28/((1/1000)*(d_Irr!Q28+d_Irr!BO28)),IF(AND(d_Irr!Q28=".",d_Irr!AP28&lt;&gt;".",d_Irr!BO28&lt;&gt;"."),d_dir!R28/((1/1000)*(d_Irr!AP28+d_Irr!BO28)),IF(AND(d_Irr!Q28=".",d_Irr!AP28=".",d_Irr!BO28&lt;&gt;"."),d_dir!R28/((1/1000)*(d_Irr!BO28)),IF(AND(d_Irr!Q28=".",d_Irr!AP28&lt;&gt;".",d_Irr!BO28="."),d_dir!R28/((1/1000)*(d_Irr!AP28)),IF(AND(d_Irr!Q28&lt;&gt;".",d_Irr!AP28=".",d_Irr!BO28="."),d_dir!R28/((1/1000)*(d_Irr!Q28)),IF(AND(d_Irr!Q28=".",d_Irr!AP28=".",d_Irr!BO28="."),d_dir!R28*1000)))))))),".")</f>
        <v>.</v>
      </c>
      <c r="S28" s="76" t="str">
        <f>IFERROR(IF(AND(d_Irr!R28&lt;&gt;".",d_Irr!AQ28&lt;&gt;".",d_Irr!BP28&lt;&gt;"."),d_dir!S28/((1/1000)*(d_Irr!R28+d_Irr!AQ28+d_Irr!BP28)),IF(AND(d_Irr!R28&lt;&gt;".",d_Irr!AQ28&lt;&gt;".",d_Irr!BP28="."),d_dir!S28/((1/1000)*(d_Irr!R28+d_Irr!AQ28)),IF(AND(d_Irr!R28&lt;&gt;".",d_Irr!AQ28=".",d_Irr!BP28&lt;&gt;"."),d_dir!S28/((1/1000)*(d_Irr!R28+d_Irr!BP28)),IF(AND(d_Irr!R28=".",d_Irr!AQ28&lt;&gt;".",d_Irr!BP28&lt;&gt;"."),d_dir!S28/((1/1000)*(d_Irr!AQ28+d_Irr!BP28)),IF(AND(d_Irr!R28=".",d_Irr!AQ28=".",d_Irr!BP28&lt;&gt;"."),d_dir!S28/((1/1000)*(d_Irr!BP28)),IF(AND(d_Irr!R28=".",d_Irr!AQ28&lt;&gt;".",d_Irr!BP28="."),d_dir!S28/((1/1000)*(d_Irr!AQ28)),IF(AND(d_Irr!R28&lt;&gt;".",d_Irr!AQ28=".",d_Irr!BP28="."),d_dir!S28/((1/1000)*(d_Irr!R28)),IF(AND(d_Irr!R28=".",d_Irr!AQ28=".",d_Irr!BP28="."),d_dir!S28*1000)))))))),".")</f>
        <v>.</v>
      </c>
      <c r="T28" s="76" t="str">
        <f>IFERROR(IF(AND(d_Irr!S28&lt;&gt;".",d_Irr!AR28&lt;&gt;".",d_Irr!BQ28&lt;&gt;"."),d_dir!T28/((1/1000)*(d_Irr!S28+d_Irr!AR28+d_Irr!BQ28)),IF(AND(d_Irr!S28&lt;&gt;".",d_Irr!AR28&lt;&gt;".",d_Irr!BQ28="."),d_dir!T28/((1/1000)*(d_Irr!S28+d_Irr!AR28)),IF(AND(d_Irr!S28&lt;&gt;".",d_Irr!AR28=".",d_Irr!BQ28&lt;&gt;"."),d_dir!T28/((1/1000)*(d_Irr!S28+d_Irr!BQ28)),IF(AND(d_Irr!S28=".",d_Irr!AR28&lt;&gt;".",d_Irr!BQ28&lt;&gt;"."),d_dir!T28/((1/1000)*(d_Irr!AR28+d_Irr!BQ28)),IF(AND(d_Irr!S28=".",d_Irr!AR28=".",d_Irr!BQ28&lt;&gt;"."),d_dir!T28/((1/1000)*(d_Irr!BQ28)),IF(AND(d_Irr!S28=".",d_Irr!AR28&lt;&gt;".",d_Irr!BQ28="."),d_dir!T28/((1/1000)*(d_Irr!AR28)),IF(AND(d_Irr!S28&lt;&gt;".",d_Irr!AR28=".",d_Irr!BQ28="."),d_dir!T28/((1/1000)*(d_Irr!S28)),IF(AND(d_Irr!S28=".",d_Irr!AR28=".",d_Irr!BQ28="."),d_dir!T28*1000)))))))),".")</f>
        <v>.</v>
      </c>
      <c r="U28" s="76" t="str">
        <f>IFERROR(IF(AND(d_Irr!T28&lt;&gt;".",d_Irr!AS28&lt;&gt;".",d_Irr!BR28&lt;&gt;"."),d_dir!U28/((1/1000)*(d_Irr!T28+d_Irr!AS28+d_Irr!BR28)),IF(AND(d_Irr!T28&lt;&gt;".",d_Irr!AS28&lt;&gt;".",d_Irr!BR28="."),d_dir!U28/((1/1000)*(d_Irr!T28+d_Irr!AS28)),IF(AND(d_Irr!T28&lt;&gt;".",d_Irr!AS28=".",d_Irr!BR28&lt;&gt;"."),d_dir!U28/((1/1000)*(d_Irr!T28+d_Irr!BR28)),IF(AND(d_Irr!T28=".",d_Irr!AS28&lt;&gt;".",d_Irr!BR28&lt;&gt;"."),d_dir!U28/((1/1000)*(d_Irr!AS28+d_Irr!BR28)),IF(AND(d_Irr!T28=".",d_Irr!AS28=".",d_Irr!BR28&lt;&gt;"."),d_dir!U28/((1/1000)*(d_Irr!BR28)),IF(AND(d_Irr!T28=".",d_Irr!AS28&lt;&gt;".",d_Irr!BR28="."),d_dir!U28/((1/1000)*(d_Irr!AS28)),IF(AND(d_Irr!T28&lt;&gt;".",d_Irr!AS28=".",d_Irr!BR28="."),d_dir!U28/((1/1000)*(d_Irr!T28)),IF(AND(d_Irr!T28=".",d_Irr!AS28=".",d_Irr!BR28="."),d_dir!U28*1000)))))))),".")</f>
        <v>.</v>
      </c>
      <c r="V28" s="76" t="str">
        <f>IFERROR(IF(AND(d_Irr!U28&lt;&gt;".",d_Irr!AT28&lt;&gt;".",d_Irr!BS28&lt;&gt;"."),d_dir!V28/((1/1000)*(d_Irr!U28+d_Irr!AT28+d_Irr!BS28)),IF(AND(d_Irr!U28&lt;&gt;".",d_Irr!AT28&lt;&gt;".",d_Irr!BS28="."),d_dir!V28/((1/1000)*(d_Irr!U28+d_Irr!AT28)),IF(AND(d_Irr!U28&lt;&gt;".",d_Irr!AT28=".",d_Irr!BS28&lt;&gt;"."),d_dir!V28/((1/1000)*(d_Irr!U28+d_Irr!BS28)),IF(AND(d_Irr!U28=".",d_Irr!AT28&lt;&gt;".",d_Irr!BS28&lt;&gt;"."),d_dir!V28/((1/1000)*(d_Irr!AT28+d_Irr!BS28)),IF(AND(d_Irr!U28=".",d_Irr!AT28=".",d_Irr!BS28&lt;&gt;"."),d_dir!V28/((1/1000)*(d_Irr!BS28)),IF(AND(d_Irr!U28=".",d_Irr!AT28&lt;&gt;".",d_Irr!BS28="."),d_dir!V28/((1/1000)*(d_Irr!AT28)),IF(AND(d_Irr!U28&lt;&gt;".",d_Irr!AT28=".",d_Irr!BS28="."),d_dir!V28/((1/1000)*(d_Irr!U28)),IF(AND(d_Irr!U28=".",d_Irr!AT28=".",d_Irr!BS28="."),d_dir!V28*1000)))))))),".")</f>
        <v>.</v>
      </c>
      <c r="W28" s="76" t="str">
        <f>IFERROR(IF(AND(d_Irr!V28&lt;&gt;".",d_Irr!AU28&lt;&gt;".",d_Irr!BT28&lt;&gt;"."),d_dir!W28/((1/1000)*(d_Irr!V28+d_Irr!AU28+d_Irr!BT28)),IF(AND(d_Irr!V28&lt;&gt;".",d_Irr!AU28&lt;&gt;".",d_Irr!BT28="."),d_dir!W28/((1/1000)*(d_Irr!V28+d_Irr!AU28)),IF(AND(d_Irr!V28&lt;&gt;".",d_Irr!AU28=".",d_Irr!BT28&lt;&gt;"."),d_dir!W28/((1/1000)*(d_Irr!V28+d_Irr!BT28)),IF(AND(d_Irr!V28=".",d_Irr!AU28&lt;&gt;".",d_Irr!BT28&lt;&gt;"."),d_dir!W28/((1/1000)*(d_Irr!AU28+d_Irr!BT28)),IF(AND(d_Irr!V28=".",d_Irr!AU28=".",d_Irr!BT28&lt;&gt;"."),d_dir!W28/((1/1000)*(d_Irr!BT28)),IF(AND(d_Irr!V28=".",d_Irr!AU28&lt;&gt;".",d_Irr!BT28="."),d_dir!W28/((1/1000)*(d_Irr!AU28)),IF(AND(d_Irr!V28&lt;&gt;".",d_Irr!AU28=".",d_Irr!BT28="."),d_dir!W28/((1/1000)*(d_Irr!V28)),IF(AND(d_Irr!V28=".",d_Irr!AU28=".",d_Irr!BT28="."),d_dir!W28*1000)))))))),".")</f>
        <v>.</v>
      </c>
      <c r="X28" s="76" t="str">
        <f>IFERROR(IF(AND(d_Irr!W28&lt;&gt;".",d_Irr!AV28&lt;&gt;".",d_Irr!BU28&lt;&gt;"."),d_dir!X28/((1/1000)*(d_Irr!W28+d_Irr!AV28+d_Irr!BU28)),IF(AND(d_Irr!W28&lt;&gt;".",d_Irr!AV28&lt;&gt;".",d_Irr!BU28="."),d_dir!X28/((1/1000)*(d_Irr!W28+d_Irr!AV28)),IF(AND(d_Irr!W28&lt;&gt;".",d_Irr!AV28=".",d_Irr!BU28&lt;&gt;"."),d_dir!X28/((1/1000)*(d_Irr!W28+d_Irr!BU28)),IF(AND(d_Irr!W28=".",d_Irr!AV28&lt;&gt;".",d_Irr!BU28&lt;&gt;"."),d_dir!X28/((1/1000)*(d_Irr!AV28+d_Irr!BU28)),IF(AND(d_Irr!W28=".",d_Irr!AV28=".",d_Irr!BU28&lt;&gt;"."),d_dir!X28/((1/1000)*(d_Irr!BU28)),IF(AND(d_Irr!W28=".",d_Irr!AV28&lt;&gt;".",d_Irr!BU28="."),d_dir!X28/((1/1000)*(d_Irr!AV28)),IF(AND(d_Irr!W28&lt;&gt;".",d_Irr!AV28=".",d_Irr!BU28="."),d_dir!X28/((1/1000)*(d_Irr!W28)),IF(AND(d_Irr!W28=".",d_Irr!AV28=".",d_Irr!BU28="."),d_dir!X28*1000)))))))),".")</f>
        <v>.</v>
      </c>
      <c r="Y28" s="76" t="str">
        <f>IFERROR(IF(AND(d_Irr!X28&lt;&gt;".",d_Irr!AW28&lt;&gt;".",d_Irr!BV28&lt;&gt;"."),d_dir!Y28/((1/1000)*(d_Irr!X28+d_Irr!AW28+d_Irr!BV28)),IF(AND(d_Irr!X28&lt;&gt;".",d_Irr!AW28&lt;&gt;".",d_Irr!BV28="."),d_dir!Y28/((1/1000)*(d_Irr!X28+d_Irr!AW28)),IF(AND(d_Irr!X28&lt;&gt;".",d_Irr!AW28=".",d_Irr!BV28&lt;&gt;"."),d_dir!Y28/((1/1000)*(d_Irr!X28+d_Irr!BV28)),IF(AND(d_Irr!X28=".",d_Irr!AW28&lt;&gt;".",d_Irr!BV28&lt;&gt;"."),d_dir!Y28/((1/1000)*(d_Irr!AW28+d_Irr!BV28)),IF(AND(d_Irr!X28=".",d_Irr!AW28=".",d_Irr!BV28&lt;&gt;"."),d_dir!Y28/((1/1000)*(d_Irr!BV28)),IF(AND(d_Irr!X28=".",d_Irr!AW28&lt;&gt;".",d_Irr!BV28="."),d_dir!Y28/((1/1000)*(d_Irr!AW28)),IF(AND(d_Irr!X28&lt;&gt;".",d_Irr!AW28=".",d_Irr!BV28="."),d_dir!Y28/((1/1000)*(d_Irr!X28)),IF(AND(d_Irr!X28=".",d_Irr!AW28=".",d_Irr!BV28="."),d_dir!Y28*1000)))))))),".")</f>
        <v>.</v>
      </c>
      <c r="Z28" s="76" t="str">
        <f>IFERROR(IF(AND(d_Irr!Y28&lt;&gt;".",d_Irr!AX28&lt;&gt;".",d_Irr!BW28&lt;&gt;"."),d_dir!Z28/((1/1000)*(d_Irr!Y28+d_Irr!AX28+d_Irr!BW28)),IF(AND(d_Irr!Y28&lt;&gt;".",d_Irr!AX28&lt;&gt;".",d_Irr!BW28="."),d_dir!Z28/((1/1000)*(d_Irr!Y28+d_Irr!AX28)),IF(AND(d_Irr!Y28&lt;&gt;".",d_Irr!AX28=".",d_Irr!BW28&lt;&gt;"."),d_dir!Z28/((1/1000)*(d_Irr!Y28+d_Irr!BW28)),IF(AND(d_Irr!Y28=".",d_Irr!AX28&lt;&gt;".",d_Irr!BW28&lt;&gt;"."),d_dir!Z28/((1/1000)*(d_Irr!AX28+d_Irr!BW28)),IF(AND(d_Irr!Y28=".",d_Irr!AX28=".",d_Irr!BW28&lt;&gt;"."),d_dir!Z28/((1/1000)*(d_Irr!BW28)),IF(AND(d_Irr!Y28=".",d_Irr!AX28&lt;&gt;".",d_Irr!BW28="."),d_dir!Z28/((1/1000)*(d_Irr!AX28)),IF(AND(d_Irr!Y28&lt;&gt;".",d_Irr!AX28=".",d_Irr!BW28="."),d_dir!Z28/((1/1000)*(d_Irr!Y28)),IF(AND(d_Irr!Y28=".",d_Irr!AX28=".",d_Irr!BW28="."),d_dir!Z28*1000)))))))),".")</f>
        <v>.</v>
      </c>
      <c r="AA28" s="76" t="str">
        <f>IFERROR(IF(AND(d_Irr!Z28&lt;&gt;".",d_Irr!AY28&lt;&gt;".",d_Irr!BX28&lt;&gt;"."),d_dir!AA28/((1/1000)*(d_Irr!Z28+d_Irr!AY28+d_Irr!BX28)),IF(AND(d_Irr!Z28&lt;&gt;".",d_Irr!AY28&lt;&gt;".",d_Irr!BX28="."),d_dir!AA28/((1/1000)*(d_Irr!Z28+d_Irr!AY28)),IF(AND(d_Irr!Z28&lt;&gt;".",d_Irr!AY28=".",d_Irr!BX28&lt;&gt;"."),d_dir!AA28/((1/1000)*(d_Irr!Z28+d_Irr!BX28)),IF(AND(d_Irr!Z28=".",d_Irr!AY28&lt;&gt;".",d_Irr!BX28&lt;&gt;"."),d_dir!AA28/((1/1000)*(d_Irr!AY28+d_Irr!BX28)),IF(AND(d_Irr!Z28=".",d_Irr!AY28=".",d_Irr!BX28&lt;&gt;"."),d_dir!AA28/((1/1000)*(d_Irr!BX28)),IF(AND(d_Irr!Z28=".",d_Irr!AY28&lt;&gt;".",d_Irr!BX28="."),d_dir!AA28/((1/1000)*(d_Irr!AY28)),IF(AND(d_Irr!Z28&lt;&gt;".",d_Irr!AY28=".",d_Irr!BX28="."),d_dir!AA28/((1/1000)*(d_Irr!Z28)),IF(AND(d_Irr!Z28=".",d_Irr!AY28=".",d_Irr!BX28="."),d_dir!AA28*1000)))))))),".")</f>
        <v>.</v>
      </c>
      <c r="AB28" s="76" t="str">
        <f>IFERROR(IF(AND(d_Irr!AA28&lt;&gt;".",d_Irr!AZ28&lt;&gt;".",d_Irr!BY28&lt;&gt;"."),d_dir!AB28/((1/1000)*(d_Irr!AA28+d_Irr!AZ28+d_Irr!BY28)),IF(AND(d_Irr!AA28&lt;&gt;".",d_Irr!AZ28&lt;&gt;".",d_Irr!BY28="."),d_dir!AB28/((1/1000)*(d_Irr!AA28+d_Irr!AZ28)),IF(AND(d_Irr!AA28&lt;&gt;".",d_Irr!AZ28=".",d_Irr!BY28&lt;&gt;"."),d_dir!AB28/((1/1000)*(d_Irr!AA28+d_Irr!BY28)),IF(AND(d_Irr!AA28=".",d_Irr!AZ28&lt;&gt;".",d_Irr!BY28&lt;&gt;"."),d_dir!AB28/((1/1000)*(d_Irr!AZ28+d_Irr!BY28)),IF(AND(d_Irr!AA28=".",d_Irr!AZ28=".",d_Irr!BY28&lt;&gt;"."),d_dir!AB28/((1/1000)*(d_Irr!BY28)),IF(AND(d_Irr!AA28=".",d_Irr!AZ28&lt;&gt;".",d_Irr!BY28="."),d_dir!AB28/((1/1000)*(d_Irr!AZ28)),IF(AND(d_Irr!AA28&lt;&gt;".",d_Irr!AZ28=".",d_Irr!BY28="."),d_dir!AB28/((1/1000)*(d_Irr!AA28)),IF(AND(d_Irr!AA28=".",d_Irr!AZ28=".",d_Irr!BY28="."),d_dir!AB28*1000)))))))),".")</f>
        <v>.</v>
      </c>
      <c r="AC28" s="76" t="str">
        <f t="shared" si="0"/>
        <v>.</v>
      </c>
      <c r="AD28" s="76" t="str">
        <f>IFERROR(IF(AND(d_Irr!C28&lt;&gt;".",d_Irr!AB28&lt;&gt;".",d_Irr!BA28&lt;&gt;"."),d_dir!AD28/((1/1000)*(d_Irr!C28+d_Irr!AB28+d_Irr!BA28)),IF(AND(d_Irr!C28&lt;&gt;".",d_Irr!AB28&lt;&gt;".",d_Irr!BA28="."),d_dir!AD28/((1/1000)*(d_Irr!C28+d_Irr!AB28)),IF(AND(d_Irr!C28&lt;&gt;".",d_Irr!AB28=".",d_Irr!BA28&lt;&gt;"."),d_dir!AD28/((1/1000)*(d_Irr!C28+d_Irr!BA28)),IF(AND(d_Irr!C28=".",d_Irr!AB28&lt;&gt;".",d_Irr!BA28&lt;&gt;"."),d_dir!AD28/((1/1000)*(d_Irr!AB28+d_Irr!BA28)),IF(AND(d_Irr!C28=".",d_Irr!AB28=".",d_Irr!BA28&lt;&gt;"."),d_dir!AD28/((1/1000)*(d_Irr!BA28)),IF(AND(d_Irr!C28=".",d_Irr!AB28&lt;&gt;".",d_Irr!BA28="."),d_dir!AD28/((1/1000)*(d_Irr!AB28)),IF(AND(d_Irr!C28&lt;&gt;".",d_Irr!AB28=".",d_Irr!BA28="."),d_dir!AD28/((1/1000)*(d_Irr!C28)),IF(AND(d_Irr!C28=".",d_Irr!AB28=".",d_Irr!BA28="."),d_dir!AD28*1000)))))))),".")</f>
        <v>.</v>
      </c>
      <c r="AE28" s="76" t="str">
        <f>IFERROR(IF(AND(d_Irr!D28&lt;&gt;".",d_Irr!AC28&lt;&gt;".",d_Irr!BB28&lt;&gt;"."),d_dir!AE28/((1/1000)*(d_Irr!D28+d_Irr!AC28+d_Irr!BB28)),IF(AND(d_Irr!D28&lt;&gt;".",d_Irr!AC28&lt;&gt;".",d_Irr!BB28="."),d_dir!AE28/((1/1000)*(d_Irr!D28+d_Irr!AC28)),IF(AND(d_Irr!D28&lt;&gt;".",d_Irr!AC28=".",d_Irr!BB28&lt;&gt;"."),d_dir!AE28/((1/1000)*(d_Irr!D28+d_Irr!BB28)),IF(AND(d_Irr!D28=".",d_Irr!AC28&lt;&gt;".",d_Irr!BB28&lt;&gt;"."),d_dir!AE28/((1/1000)*(d_Irr!AC28+d_Irr!BB28)),IF(AND(d_Irr!D28=".",d_Irr!AC28=".",d_Irr!BB28&lt;&gt;"."),d_dir!AE28/((1/1000)*(d_Irr!BB28)),IF(AND(d_Irr!D28=".",d_Irr!AC28&lt;&gt;".",d_Irr!BB28="."),d_dir!AE28/((1/1000)*(d_Irr!AC28)),IF(AND(d_Irr!D28&lt;&gt;".",d_Irr!AC28=".",d_Irr!BB28="."),d_dir!AE28/((1/1000)*(d_Irr!D28)),IF(AND(d_Irr!D28=".",d_Irr!AC28=".",d_Irr!BB28="."),d_dir!AE28*1000)))))))),".")</f>
        <v>.</v>
      </c>
      <c r="AF28" s="76" t="str">
        <f>IFERROR(IF(AND(d_Irr!E28&lt;&gt;".",d_Irr!AD28&lt;&gt;".",d_Irr!BC28&lt;&gt;"."),d_dir!AF28/((1/1000)*(d_Irr!E28+d_Irr!AD28+d_Irr!BC28)),IF(AND(d_Irr!E28&lt;&gt;".",d_Irr!AD28&lt;&gt;".",d_Irr!BC28="."),d_dir!AF28/((1/1000)*(d_Irr!E28+d_Irr!AD28)),IF(AND(d_Irr!E28&lt;&gt;".",d_Irr!AD28=".",d_Irr!BC28&lt;&gt;"."),d_dir!AF28/((1/1000)*(d_Irr!E28+d_Irr!BC28)),IF(AND(d_Irr!E28=".",d_Irr!AD28&lt;&gt;".",d_Irr!BC28&lt;&gt;"."),d_dir!AF28/((1/1000)*(d_Irr!AD28+d_Irr!BC28)),IF(AND(d_Irr!E28=".",d_Irr!AD28=".",d_Irr!BC28&lt;&gt;"."),d_dir!AF28/((1/1000)*(d_Irr!BC28)),IF(AND(d_Irr!E28=".",d_Irr!AD28&lt;&gt;".",d_Irr!BC28="."),d_dir!AF28/((1/1000)*(d_Irr!AD28)),IF(AND(d_Irr!E28&lt;&gt;".",d_Irr!AD28=".",d_Irr!BC28="."),d_dir!AF28/((1/1000)*(d_Irr!E28)),IF(AND(d_Irr!E28=".",d_Irr!AD28=".",d_Irr!BC28="."),d_dir!AF28*1000)))))))),".")</f>
        <v>.</v>
      </c>
      <c r="AG28" s="76" t="str">
        <f>IFERROR(IF(AND(d_Irr!F28&lt;&gt;".",d_Irr!AE28&lt;&gt;".",d_Irr!BD28&lt;&gt;"."),d_dir!AG28/((1/1000)*(d_Irr!F28+d_Irr!AE28+d_Irr!BD28)),IF(AND(d_Irr!F28&lt;&gt;".",d_Irr!AE28&lt;&gt;".",d_Irr!BD28="."),d_dir!AG28/((1/1000)*(d_Irr!F28+d_Irr!AE28)),IF(AND(d_Irr!F28&lt;&gt;".",d_Irr!AE28=".",d_Irr!BD28&lt;&gt;"."),d_dir!AG28/((1/1000)*(d_Irr!F28+d_Irr!BD28)),IF(AND(d_Irr!F28=".",d_Irr!AE28&lt;&gt;".",d_Irr!BD28&lt;&gt;"."),d_dir!AG28/((1/1000)*(d_Irr!AE28+d_Irr!BD28)),IF(AND(d_Irr!F28=".",d_Irr!AE28=".",d_Irr!BD28&lt;&gt;"."),d_dir!AG28/((1/1000)*(d_Irr!BD28)),IF(AND(d_Irr!F28=".",d_Irr!AE28&lt;&gt;".",d_Irr!BD28="."),d_dir!AG28/((1/1000)*(d_Irr!AE28)),IF(AND(d_Irr!F28&lt;&gt;".",d_Irr!AE28=".",d_Irr!BD28="."),d_dir!AG28/((1/1000)*(d_Irr!F28)),IF(AND(d_Irr!F28=".",d_Irr!AE28=".",d_Irr!BD28="."),d_dir!AG28*1000)))))))),".")</f>
        <v>.</v>
      </c>
      <c r="AH28" s="76" t="str">
        <f>IFERROR(IF(AND(d_Irr!G28&lt;&gt;".",d_Irr!AF28&lt;&gt;".",d_Irr!BE28&lt;&gt;"."),d_dir!AH28/((1/1000)*(d_Irr!G28+d_Irr!AF28+d_Irr!BE28)),IF(AND(d_Irr!G28&lt;&gt;".",d_Irr!AF28&lt;&gt;".",d_Irr!BE28="."),d_dir!AH28/((1/1000)*(d_Irr!G28+d_Irr!AF28)),IF(AND(d_Irr!G28&lt;&gt;".",d_Irr!AF28=".",d_Irr!BE28&lt;&gt;"."),d_dir!AH28/((1/1000)*(d_Irr!G28+d_Irr!BE28)),IF(AND(d_Irr!G28=".",d_Irr!AF28&lt;&gt;".",d_Irr!BE28&lt;&gt;"."),d_dir!AH28/((1/1000)*(d_Irr!AF28+d_Irr!BE28)),IF(AND(d_Irr!G28=".",d_Irr!AF28=".",d_Irr!BE28&lt;&gt;"."),d_dir!AH28/((1/1000)*(d_Irr!BE28)),IF(AND(d_Irr!G28=".",d_Irr!AF28&lt;&gt;".",d_Irr!BE28="."),d_dir!AH28/((1/1000)*(d_Irr!AF28)),IF(AND(d_Irr!G28&lt;&gt;".",d_Irr!AF28=".",d_Irr!BE28="."),d_dir!AH28/((1/1000)*(d_Irr!G28)),IF(AND(d_Irr!G28=".",d_Irr!AF28=".",d_Irr!BE28="."),d_dir!AH28*1000)))))))),".")</f>
        <v>.</v>
      </c>
      <c r="AI28" s="76" t="str">
        <f>IFERROR(IF(AND(d_Irr!H28&lt;&gt;".",d_Irr!AG28&lt;&gt;".",d_Irr!BF28&lt;&gt;"."),d_dir!AI28/((1/1000)*(d_Irr!H28+d_Irr!AG28+d_Irr!BF28)),IF(AND(d_Irr!H28&lt;&gt;".",d_Irr!AG28&lt;&gt;".",d_Irr!BF28="."),d_dir!AI28/((1/1000)*(d_Irr!H28+d_Irr!AG28)),IF(AND(d_Irr!H28&lt;&gt;".",d_Irr!AG28=".",d_Irr!BF28&lt;&gt;"."),d_dir!AI28/((1/1000)*(d_Irr!H28+d_Irr!BF28)),IF(AND(d_Irr!H28=".",d_Irr!AG28&lt;&gt;".",d_Irr!BF28&lt;&gt;"."),d_dir!AI28/((1/1000)*(d_Irr!AG28+d_Irr!BF28)),IF(AND(d_Irr!H28=".",d_Irr!AG28=".",d_Irr!BF28&lt;&gt;"."),d_dir!AI28/((1/1000)*(d_Irr!BF28)),IF(AND(d_Irr!H28=".",d_Irr!AG28&lt;&gt;".",d_Irr!BF28="."),d_dir!AI28/((1/1000)*(d_Irr!AG28)),IF(AND(d_Irr!H28&lt;&gt;".",d_Irr!AG28=".",d_Irr!BF28="."),d_dir!AI28/((1/1000)*(d_Irr!H28)),IF(AND(d_Irr!H28=".",d_Irr!AG28=".",d_Irr!BF28="."),d_dir!AI28*1000)))))))),".")</f>
        <v>.</v>
      </c>
      <c r="AJ28" s="76" t="str">
        <f>IFERROR(IF(AND(d_Irr!I28&lt;&gt;".",d_Irr!AH28&lt;&gt;".",d_Irr!BG28&lt;&gt;"."),d_dir!AJ28/((1/1000)*(d_Irr!I28+d_Irr!AH28+d_Irr!BG28)),IF(AND(d_Irr!I28&lt;&gt;".",d_Irr!AH28&lt;&gt;".",d_Irr!BG28="."),d_dir!AJ28/((1/1000)*(d_Irr!I28+d_Irr!AH28)),IF(AND(d_Irr!I28&lt;&gt;".",d_Irr!AH28=".",d_Irr!BG28&lt;&gt;"."),d_dir!AJ28/((1/1000)*(d_Irr!I28+d_Irr!BG28)),IF(AND(d_Irr!I28=".",d_Irr!AH28&lt;&gt;".",d_Irr!BG28&lt;&gt;"."),d_dir!AJ28/((1/1000)*(d_Irr!AH28+d_Irr!BG28)),IF(AND(d_Irr!I28=".",d_Irr!AH28=".",d_Irr!BG28&lt;&gt;"."),d_dir!AJ28/((1/1000)*(d_Irr!BG28)),IF(AND(d_Irr!I28=".",d_Irr!AH28&lt;&gt;".",d_Irr!BG28="."),d_dir!AJ28/((1/1000)*(d_Irr!AH28)),IF(AND(d_Irr!I28&lt;&gt;".",d_Irr!AH28=".",d_Irr!BG28="."),d_dir!AJ28/((1/1000)*(d_Irr!I28)),IF(AND(d_Irr!I28=".",d_Irr!AH28=".",d_Irr!BG28="."),d_dir!AJ28*1000)))))))),".")</f>
        <v>.</v>
      </c>
      <c r="AK28" s="76" t="str">
        <f>IFERROR(IF(AND(d_Irr!J28&lt;&gt;".",d_Irr!AI28&lt;&gt;".",d_Irr!BH28&lt;&gt;"."),d_dir!AK28/((1/1000)*(d_Irr!J28+d_Irr!AI28+d_Irr!BH28)),IF(AND(d_Irr!J28&lt;&gt;".",d_Irr!AI28&lt;&gt;".",d_Irr!BH28="."),d_dir!AK28/((1/1000)*(d_Irr!J28+d_Irr!AI28)),IF(AND(d_Irr!J28&lt;&gt;".",d_Irr!AI28=".",d_Irr!BH28&lt;&gt;"."),d_dir!AK28/((1/1000)*(d_Irr!J28+d_Irr!BH28)),IF(AND(d_Irr!J28=".",d_Irr!AI28&lt;&gt;".",d_Irr!BH28&lt;&gt;"."),d_dir!AK28/((1/1000)*(d_Irr!AI28+d_Irr!BH28)),IF(AND(d_Irr!J28=".",d_Irr!AI28=".",d_Irr!BH28&lt;&gt;"."),d_dir!AK28/((1/1000)*(d_Irr!BH28)),IF(AND(d_Irr!J28=".",d_Irr!AI28&lt;&gt;".",d_Irr!BH28="."),d_dir!AK28/((1/1000)*(d_Irr!AI28)),IF(AND(d_Irr!J28&lt;&gt;".",d_Irr!AI28=".",d_Irr!BH28="."),d_dir!AK28/((1/1000)*(d_Irr!J28)),IF(AND(d_Irr!J28=".",d_Irr!AI28=".",d_Irr!BH28="."),d_dir!AK28*1000)))))))),".")</f>
        <v>.</v>
      </c>
      <c r="AL28" s="76" t="str">
        <f>IFERROR(IF(AND(d_Irr!K28&lt;&gt;".",d_Irr!AJ28&lt;&gt;".",d_Irr!BI28&lt;&gt;"."),d_dir!AL28/((1/1000)*(d_Irr!K28+d_Irr!AJ28+d_Irr!BI28)),IF(AND(d_Irr!K28&lt;&gt;".",d_Irr!AJ28&lt;&gt;".",d_Irr!BI28="."),d_dir!AL28/((1/1000)*(d_Irr!K28+d_Irr!AJ28)),IF(AND(d_Irr!K28&lt;&gt;".",d_Irr!AJ28=".",d_Irr!BI28&lt;&gt;"."),d_dir!AL28/((1/1000)*(d_Irr!K28+d_Irr!BI28)),IF(AND(d_Irr!K28=".",d_Irr!AJ28&lt;&gt;".",d_Irr!BI28&lt;&gt;"."),d_dir!AL28/((1/1000)*(d_Irr!AJ28+d_Irr!BI28)),IF(AND(d_Irr!K28=".",d_Irr!AJ28=".",d_Irr!BI28&lt;&gt;"."),d_dir!AL28/((1/1000)*(d_Irr!BI28)),IF(AND(d_Irr!K28=".",d_Irr!AJ28&lt;&gt;".",d_Irr!BI28="."),d_dir!AL28/((1/1000)*(d_Irr!AJ28)),IF(AND(d_Irr!K28&lt;&gt;".",d_Irr!AJ28=".",d_Irr!BI28="."),d_dir!AL28/((1/1000)*(d_Irr!K28)),IF(AND(d_Irr!K28=".",d_Irr!AJ28=".",d_Irr!BI28="."),d_dir!AL28*1000)))))))),".")</f>
        <v>.</v>
      </c>
      <c r="AM28" s="76" t="str">
        <f>IFERROR(IF(AND(d_Irr!L28&lt;&gt;".",d_Irr!AK28&lt;&gt;".",d_Irr!BJ28&lt;&gt;"."),d_dir!AM28/((1/1000)*(d_Irr!L28+d_Irr!AK28+d_Irr!BJ28)),IF(AND(d_Irr!L28&lt;&gt;".",d_Irr!AK28&lt;&gt;".",d_Irr!BJ28="."),d_dir!AM28/((1/1000)*(d_Irr!L28+d_Irr!AK28)),IF(AND(d_Irr!L28&lt;&gt;".",d_Irr!AK28=".",d_Irr!BJ28&lt;&gt;"."),d_dir!AM28/((1/1000)*(d_Irr!L28+d_Irr!BJ28)),IF(AND(d_Irr!L28=".",d_Irr!AK28&lt;&gt;".",d_Irr!BJ28&lt;&gt;"."),d_dir!AM28/((1/1000)*(d_Irr!AK28+d_Irr!BJ28)),IF(AND(d_Irr!L28=".",d_Irr!AK28=".",d_Irr!BJ28&lt;&gt;"."),d_dir!AM28/((1/1000)*(d_Irr!BJ28)),IF(AND(d_Irr!L28=".",d_Irr!AK28&lt;&gt;".",d_Irr!BJ28="."),d_dir!AM28/((1/1000)*(d_Irr!AK28)),IF(AND(d_Irr!L28&lt;&gt;".",d_Irr!AK28=".",d_Irr!BJ28="."),d_dir!AM28/((1/1000)*(d_Irr!L28)),IF(AND(d_Irr!L28=".",d_Irr!AK28=".",d_Irr!BJ28="."),d_dir!AM28*1000)))))))),".")</f>
        <v>.</v>
      </c>
      <c r="AN28" s="76" t="str">
        <f>IFERROR(IF(AND(d_Irr!M28&lt;&gt;".",d_Irr!AL28&lt;&gt;".",d_Irr!BK28&lt;&gt;"."),d_dir!AN28/((1/1000)*(d_Irr!M28+d_Irr!AL28+d_Irr!BK28)),IF(AND(d_Irr!M28&lt;&gt;".",d_Irr!AL28&lt;&gt;".",d_Irr!BK28="."),d_dir!AN28/((1/1000)*(d_Irr!M28+d_Irr!AL28)),IF(AND(d_Irr!M28&lt;&gt;".",d_Irr!AL28=".",d_Irr!BK28&lt;&gt;"."),d_dir!AN28/((1/1000)*(d_Irr!M28+d_Irr!BK28)),IF(AND(d_Irr!M28=".",d_Irr!AL28&lt;&gt;".",d_Irr!BK28&lt;&gt;"."),d_dir!AN28/((1/1000)*(d_Irr!AL28+d_Irr!BK28)),IF(AND(d_Irr!M28=".",d_Irr!AL28=".",d_Irr!BK28&lt;&gt;"."),d_dir!AN28/((1/1000)*(d_Irr!BK28)),IF(AND(d_Irr!M28=".",d_Irr!AL28&lt;&gt;".",d_Irr!BK28="."),d_dir!AN28/((1/1000)*(d_Irr!AL28)),IF(AND(d_Irr!M28&lt;&gt;".",d_Irr!AL28=".",d_Irr!BK28="."),d_dir!AN28/((1/1000)*(d_Irr!M28)),IF(AND(d_Irr!M28=".",d_Irr!AL28=".",d_Irr!BK28="."),d_dir!AN28*1000)))))))),".")</f>
        <v>.</v>
      </c>
      <c r="AO28" s="76" t="str">
        <f>IFERROR(IF(AND(d_Irr!N28&lt;&gt;".",d_Irr!AM28&lt;&gt;".",d_Irr!BL28&lt;&gt;"."),d_dir!AO28/((1/1000)*(d_Irr!N28+d_Irr!AM28+d_Irr!BL28)),IF(AND(d_Irr!N28&lt;&gt;".",d_Irr!AM28&lt;&gt;".",d_Irr!BL28="."),d_dir!AO28/((1/1000)*(d_Irr!N28+d_Irr!AM28)),IF(AND(d_Irr!N28&lt;&gt;".",d_Irr!AM28=".",d_Irr!BL28&lt;&gt;"."),d_dir!AO28/((1/1000)*(d_Irr!N28+d_Irr!BL28)),IF(AND(d_Irr!N28=".",d_Irr!AM28&lt;&gt;".",d_Irr!BL28&lt;&gt;"."),d_dir!AO28/((1/1000)*(d_Irr!AM28+d_Irr!BL28)),IF(AND(d_Irr!N28=".",d_Irr!AM28=".",d_Irr!BL28&lt;&gt;"."),d_dir!AO28/((1/1000)*(d_Irr!BL28)),IF(AND(d_Irr!N28=".",d_Irr!AM28&lt;&gt;".",d_Irr!BL28="."),d_dir!AO28/((1/1000)*(d_Irr!AM28)),IF(AND(d_Irr!N28&lt;&gt;".",d_Irr!AM28=".",d_Irr!BL28="."),d_dir!AO28/((1/1000)*(d_Irr!N28)),IF(AND(d_Irr!N28=".",d_Irr!AM28=".",d_Irr!BL28="."),d_dir!AO28*1000)))))))),".")</f>
        <v>.</v>
      </c>
      <c r="AP28" s="76" t="str">
        <f>IFERROR(IF(AND(d_Irr!O28&lt;&gt;".",d_Irr!AN28&lt;&gt;".",d_Irr!BM28&lt;&gt;"."),d_dir!AP28/((1/1000)*(d_Irr!O28+d_Irr!AN28+d_Irr!BM28)),IF(AND(d_Irr!O28&lt;&gt;".",d_Irr!AN28&lt;&gt;".",d_Irr!BM28="."),d_dir!AP28/((1/1000)*(d_Irr!O28+d_Irr!AN28)),IF(AND(d_Irr!O28&lt;&gt;".",d_Irr!AN28=".",d_Irr!BM28&lt;&gt;"."),d_dir!AP28/((1/1000)*(d_Irr!O28+d_Irr!BM28)),IF(AND(d_Irr!O28=".",d_Irr!AN28&lt;&gt;".",d_Irr!BM28&lt;&gt;"."),d_dir!AP28/((1/1000)*(d_Irr!AN28+d_Irr!BM28)),IF(AND(d_Irr!O28=".",d_Irr!AN28=".",d_Irr!BM28&lt;&gt;"."),d_dir!AP28/((1/1000)*(d_Irr!BM28)),IF(AND(d_Irr!O28=".",d_Irr!AN28&lt;&gt;".",d_Irr!BM28="."),d_dir!AP28/((1/1000)*(d_Irr!AN28)),IF(AND(d_Irr!O28&lt;&gt;".",d_Irr!AN28=".",d_Irr!BM28="."),d_dir!AP28/((1/1000)*(d_Irr!O28)),IF(AND(d_Irr!O28=".",d_Irr!AN28=".",d_Irr!BM28="."),d_dir!AP28*1000)))))))),".")</f>
        <v>.</v>
      </c>
      <c r="AQ28" s="76" t="str">
        <f>IFERROR(IF(AND(d_Irr!P28&lt;&gt;".",d_Irr!AO28&lt;&gt;".",d_Irr!BN28&lt;&gt;"."),d_dir!AQ28/((1/1000)*(d_Irr!P28+d_Irr!AO28+d_Irr!BN28)),IF(AND(d_Irr!P28&lt;&gt;".",d_Irr!AO28&lt;&gt;".",d_Irr!BN28="."),d_dir!AQ28/((1/1000)*(d_Irr!P28+d_Irr!AO28)),IF(AND(d_Irr!P28&lt;&gt;".",d_Irr!AO28=".",d_Irr!BN28&lt;&gt;"."),d_dir!AQ28/((1/1000)*(d_Irr!P28+d_Irr!BN28)),IF(AND(d_Irr!P28=".",d_Irr!AO28&lt;&gt;".",d_Irr!BN28&lt;&gt;"."),d_dir!AQ28/((1/1000)*(d_Irr!AO28+d_Irr!BN28)),IF(AND(d_Irr!P28=".",d_Irr!AO28=".",d_Irr!BN28&lt;&gt;"."),d_dir!AQ28/((1/1000)*(d_Irr!BN28)),IF(AND(d_Irr!P28=".",d_Irr!AO28&lt;&gt;".",d_Irr!BN28="."),d_dir!AQ28/((1/1000)*(d_Irr!AO28)),IF(AND(d_Irr!P28&lt;&gt;".",d_Irr!AO28=".",d_Irr!BN28="."),d_dir!AQ28/((1/1000)*(d_Irr!P28)),IF(AND(d_Irr!P28=".",d_Irr!AO28=".",d_Irr!BN28="."),d_dir!AQ28*1000)))))))),".")</f>
        <v>.</v>
      </c>
      <c r="AR28" s="76" t="str">
        <f>IFERROR(IF(AND(d_Irr!Q28&lt;&gt;".",d_Irr!AP28&lt;&gt;".",d_Irr!BO28&lt;&gt;"."),d_dir!AR28/((1/1000)*(d_Irr!Q28+d_Irr!AP28+d_Irr!BO28)),IF(AND(d_Irr!Q28&lt;&gt;".",d_Irr!AP28&lt;&gt;".",d_Irr!BO28="."),d_dir!AR28/((1/1000)*(d_Irr!Q28+d_Irr!AP28)),IF(AND(d_Irr!Q28&lt;&gt;".",d_Irr!AP28=".",d_Irr!BO28&lt;&gt;"."),d_dir!AR28/((1/1000)*(d_Irr!Q28+d_Irr!BO28)),IF(AND(d_Irr!Q28=".",d_Irr!AP28&lt;&gt;".",d_Irr!BO28&lt;&gt;"."),d_dir!AR28/((1/1000)*(d_Irr!AP28+d_Irr!BO28)),IF(AND(d_Irr!Q28=".",d_Irr!AP28=".",d_Irr!BO28&lt;&gt;"."),d_dir!AR28/((1/1000)*(d_Irr!BO28)),IF(AND(d_Irr!Q28=".",d_Irr!AP28&lt;&gt;".",d_Irr!BO28="."),d_dir!AR28/((1/1000)*(d_Irr!AP28)),IF(AND(d_Irr!Q28&lt;&gt;".",d_Irr!AP28=".",d_Irr!BO28="."),d_dir!AR28/((1/1000)*(d_Irr!Q28)),IF(AND(d_Irr!Q28=".",d_Irr!AP28=".",d_Irr!BO28="."),d_dir!AR28*1000)))))))),".")</f>
        <v>.</v>
      </c>
      <c r="AS28" s="76" t="str">
        <f>IFERROR(IF(AND(d_Irr!R28&lt;&gt;".",d_Irr!AQ28&lt;&gt;".",d_Irr!BP28&lt;&gt;"."),d_dir!AS28/((1/1000)*(d_Irr!R28+d_Irr!AQ28+d_Irr!BP28)),IF(AND(d_Irr!R28&lt;&gt;".",d_Irr!AQ28&lt;&gt;".",d_Irr!BP28="."),d_dir!AS28/((1/1000)*(d_Irr!R28+d_Irr!AQ28)),IF(AND(d_Irr!R28&lt;&gt;".",d_Irr!AQ28=".",d_Irr!BP28&lt;&gt;"."),d_dir!AS28/((1/1000)*(d_Irr!R28+d_Irr!BP28)),IF(AND(d_Irr!R28=".",d_Irr!AQ28&lt;&gt;".",d_Irr!BP28&lt;&gt;"."),d_dir!AS28/((1/1000)*(d_Irr!AQ28+d_Irr!BP28)),IF(AND(d_Irr!R28=".",d_Irr!AQ28=".",d_Irr!BP28&lt;&gt;"."),d_dir!AS28/((1/1000)*(d_Irr!BP28)),IF(AND(d_Irr!R28=".",d_Irr!AQ28&lt;&gt;".",d_Irr!BP28="."),d_dir!AS28/((1/1000)*(d_Irr!AQ28)),IF(AND(d_Irr!R28&lt;&gt;".",d_Irr!AQ28=".",d_Irr!BP28="."),d_dir!AS28/((1/1000)*(d_Irr!R28)),IF(AND(d_Irr!R28=".",d_Irr!AQ28=".",d_Irr!BP28="."),d_dir!AS28*1000)))))))),".")</f>
        <v>.</v>
      </c>
      <c r="AT28" s="76" t="str">
        <f>IFERROR(IF(AND(d_Irr!S28&lt;&gt;".",d_Irr!AR28&lt;&gt;".",d_Irr!BQ28&lt;&gt;"."),d_dir!AT28/((1/1000)*(d_Irr!S28+d_Irr!AR28+d_Irr!BQ28)),IF(AND(d_Irr!S28&lt;&gt;".",d_Irr!AR28&lt;&gt;".",d_Irr!BQ28="."),d_dir!AT28/((1/1000)*(d_Irr!S28+d_Irr!AR28)),IF(AND(d_Irr!S28&lt;&gt;".",d_Irr!AR28=".",d_Irr!BQ28&lt;&gt;"."),d_dir!AT28/((1/1000)*(d_Irr!S28+d_Irr!BQ28)),IF(AND(d_Irr!S28=".",d_Irr!AR28&lt;&gt;".",d_Irr!BQ28&lt;&gt;"."),d_dir!AT28/((1/1000)*(d_Irr!AR28+d_Irr!BQ28)),IF(AND(d_Irr!S28=".",d_Irr!AR28=".",d_Irr!BQ28&lt;&gt;"."),d_dir!AT28/((1/1000)*(d_Irr!BQ28)),IF(AND(d_Irr!S28=".",d_Irr!AR28&lt;&gt;".",d_Irr!BQ28="."),d_dir!AT28/((1/1000)*(d_Irr!AR28)),IF(AND(d_Irr!S28&lt;&gt;".",d_Irr!AR28=".",d_Irr!BQ28="."),d_dir!AT28/((1/1000)*(d_Irr!S28)),IF(AND(d_Irr!S28=".",d_Irr!AR28=".",d_Irr!BQ28="."),d_dir!AT28*1000)))))))),".")</f>
        <v>.</v>
      </c>
      <c r="AU28" s="76" t="str">
        <f>IFERROR(IF(AND(d_Irr!T28&lt;&gt;".",d_Irr!AS28&lt;&gt;".",d_Irr!BR28&lt;&gt;"."),d_dir!AU28/((1/1000)*(d_Irr!T28+d_Irr!AS28+d_Irr!BR28)),IF(AND(d_Irr!T28&lt;&gt;".",d_Irr!AS28&lt;&gt;".",d_Irr!BR28="."),d_dir!AU28/((1/1000)*(d_Irr!T28+d_Irr!AS28)),IF(AND(d_Irr!T28&lt;&gt;".",d_Irr!AS28=".",d_Irr!BR28&lt;&gt;"."),d_dir!AU28/((1/1000)*(d_Irr!T28+d_Irr!BR28)),IF(AND(d_Irr!T28=".",d_Irr!AS28&lt;&gt;".",d_Irr!BR28&lt;&gt;"."),d_dir!AU28/((1/1000)*(d_Irr!AS28+d_Irr!BR28)),IF(AND(d_Irr!T28=".",d_Irr!AS28=".",d_Irr!BR28&lt;&gt;"."),d_dir!AU28/((1/1000)*(d_Irr!BR28)),IF(AND(d_Irr!T28=".",d_Irr!AS28&lt;&gt;".",d_Irr!BR28="."),d_dir!AU28/((1/1000)*(d_Irr!AS28)),IF(AND(d_Irr!T28&lt;&gt;".",d_Irr!AS28=".",d_Irr!BR28="."),d_dir!AU28/((1/1000)*(d_Irr!T28)),IF(AND(d_Irr!T28=".",d_Irr!AS28=".",d_Irr!BR28="."),d_dir!AU28*1000)))))))),".")</f>
        <v>.</v>
      </c>
      <c r="AV28" s="76" t="str">
        <f>IFERROR(IF(AND(d_Irr!U28&lt;&gt;".",d_Irr!AT28&lt;&gt;".",d_Irr!BS28&lt;&gt;"."),d_dir!AV28/((1/1000)*(d_Irr!U28+d_Irr!AT28+d_Irr!BS28)),IF(AND(d_Irr!U28&lt;&gt;".",d_Irr!AT28&lt;&gt;".",d_Irr!BS28="."),d_dir!AV28/((1/1000)*(d_Irr!U28+d_Irr!AT28)),IF(AND(d_Irr!U28&lt;&gt;".",d_Irr!AT28=".",d_Irr!BS28&lt;&gt;"."),d_dir!AV28/((1/1000)*(d_Irr!U28+d_Irr!BS28)),IF(AND(d_Irr!U28=".",d_Irr!AT28&lt;&gt;".",d_Irr!BS28&lt;&gt;"."),d_dir!AV28/((1/1000)*(d_Irr!AT28+d_Irr!BS28)),IF(AND(d_Irr!U28=".",d_Irr!AT28=".",d_Irr!BS28&lt;&gt;"."),d_dir!AV28/((1/1000)*(d_Irr!BS28)),IF(AND(d_Irr!U28=".",d_Irr!AT28&lt;&gt;".",d_Irr!BS28="."),d_dir!AV28/((1/1000)*(d_Irr!AT28)),IF(AND(d_Irr!U28&lt;&gt;".",d_Irr!AT28=".",d_Irr!BS28="."),d_dir!AV28/((1/1000)*(d_Irr!U28)),IF(AND(d_Irr!U28=".",d_Irr!AT28=".",d_Irr!BS28="."),d_dir!AV28*1000)))))))),".")</f>
        <v>.</v>
      </c>
      <c r="AW28" s="76" t="str">
        <f>IFERROR(IF(AND(d_Irr!V28&lt;&gt;".",d_Irr!AU28&lt;&gt;".",d_Irr!BT28&lt;&gt;"."),d_dir!AW28/((1/1000)*(d_Irr!V28+d_Irr!AU28+d_Irr!BT28)),IF(AND(d_Irr!V28&lt;&gt;".",d_Irr!AU28&lt;&gt;".",d_Irr!BT28="."),d_dir!AW28/((1/1000)*(d_Irr!V28+d_Irr!AU28)),IF(AND(d_Irr!V28&lt;&gt;".",d_Irr!AU28=".",d_Irr!BT28&lt;&gt;"."),d_dir!AW28/((1/1000)*(d_Irr!V28+d_Irr!BT28)),IF(AND(d_Irr!V28=".",d_Irr!AU28&lt;&gt;".",d_Irr!BT28&lt;&gt;"."),d_dir!AW28/((1/1000)*(d_Irr!AU28+d_Irr!BT28)),IF(AND(d_Irr!V28=".",d_Irr!AU28=".",d_Irr!BT28&lt;&gt;"."),d_dir!AW28/((1/1000)*(d_Irr!BT28)),IF(AND(d_Irr!V28=".",d_Irr!AU28&lt;&gt;".",d_Irr!BT28="."),d_dir!AW28/((1/1000)*(d_Irr!AU28)),IF(AND(d_Irr!V28&lt;&gt;".",d_Irr!AU28=".",d_Irr!BT28="."),d_dir!AW28/((1/1000)*(d_Irr!V28)),IF(AND(d_Irr!V28=".",d_Irr!AU28=".",d_Irr!BT28="."),d_dir!AW28*1000)))))))),".")</f>
        <v>.</v>
      </c>
      <c r="AX28" s="76" t="str">
        <f>IFERROR(IF(AND(d_Irr!W28&lt;&gt;".",d_Irr!AV28&lt;&gt;".",d_Irr!BU28&lt;&gt;"."),d_dir!AX28/((1/1000)*(d_Irr!W28+d_Irr!AV28+d_Irr!BU28)),IF(AND(d_Irr!W28&lt;&gt;".",d_Irr!AV28&lt;&gt;".",d_Irr!BU28="."),d_dir!AX28/((1/1000)*(d_Irr!W28+d_Irr!AV28)),IF(AND(d_Irr!W28&lt;&gt;".",d_Irr!AV28=".",d_Irr!BU28&lt;&gt;"."),d_dir!AX28/((1/1000)*(d_Irr!W28+d_Irr!BU28)),IF(AND(d_Irr!W28=".",d_Irr!AV28&lt;&gt;".",d_Irr!BU28&lt;&gt;"."),d_dir!AX28/((1/1000)*(d_Irr!AV28+d_Irr!BU28)),IF(AND(d_Irr!W28=".",d_Irr!AV28=".",d_Irr!BU28&lt;&gt;"."),d_dir!AX28/((1/1000)*(d_Irr!BU28)),IF(AND(d_Irr!W28=".",d_Irr!AV28&lt;&gt;".",d_Irr!BU28="."),d_dir!AX28/((1/1000)*(d_Irr!AV28)),IF(AND(d_Irr!W28&lt;&gt;".",d_Irr!AV28=".",d_Irr!BU28="."),d_dir!AX28/((1/1000)*(d_Irr!W28)),IF(AND(d_Irr!W28=".",d_Irr!AV28=".",d_Irr!BU28="."),d_dir!AX28*1000)))))))),".")</f>
        <v>.</v>
      </c>
      <c r="AY28" s="76" t="str">
        <f>IFERROR(IF(AND(d_Irr!X28&lt;&gt;".",d_Irr!AW28&lt;&gt;".",d_Irr!BV28&lt;&gt;"."),d_dir!AY28/((1/1000)*(d_Irr!X28+d_Irr!AW28+d_Irr!BV28)),IF(AND(d_Irr!X28&lt;&gt;".",d_Irr!AW28&lt;&gt;".",d_Irr!BV28="."),d_dir!AY28/((1/1000)*(d_Irr!X28+d_Irr!AW28)),IF(AND(d_Irr!X28&lt;&gt;".",d_Irr!AW28=".",d_Irr!BV28&lt;&gt;"."),d_dir!AY28/((1/1000)*(d_Irr!X28+d_Irr!BV28)),IF(AND(d_Irr!X28=".",d_Irr!AW28&lt;&gt;".",d_Irr!BV28&lt;&gt;"."),d_dir!AY28/((1/1000)*(d_Irr!AW28+d_Irr!BV28)),IF(AND(d_Irr!X28=".",d_Irr!AW28=".",d_Irr!BV28&lt;&gt;"."),d_dir!AY28/((1/1000)*(d_Irr!BV28)),IF(AND(d_Irr!X28=".",d_Irr!AW28&lt;&gt;".",d_Irr!BV28="."),d_dir!AY28/((1/1000)*(d_Irr!AW28)),IF(AND(d_Irr!X28&lt;&gt;".",d_Irr!AW28=".",d_Irr!BV28="."),d_dir!AY28/((1/1000)*(d_Irr!X28)),IF(AND(d_Irr!X28=".",d_Irr!AW28=".",d_Irr!BV28="."),d_dir!AY28*1000)))))))),".")</f>
        <v>.</v>
      </c>
      <c r="AZ28" s="76" t="str">
        <f>IFERROR(IF(AND(d_Irr!Y28&lt;&gt;".",d_Irr!AX28&lt;&gt;".",d_Irr!BW28&lt;&gt;"."),d_dir!AZ28/((1/1000)*(d_Irr!Y28+d_Irr!AX28+d_Irr!BW28)),IF(AND(d_Irr!Y28&lt;&gt;".",d_Irr!AX28&lt;&gt;".",d_Irr!BW28="."),d_dir!AZ28/((1/1000)*(d_Irr!Y28+d_Irr!AX28)),IF(AND(d_Irr!Y28&lt;&gt;".",d_Irr!AX28=".",d_Irr!BW28&lt;&gt;"."),d_dir!AZ28/((1/1000)*(d_Irr!Y28+d_Irr!BW28)),IF(AND(d_Irr!Y28=".",d_Irr!AX28&lt;&gt;".",d_Irr!BW28&lt;&gt;"."),d_dir!AZ28/((1/1000)*(d_Irr!AX28+d_Irr!BW28)),IF(AND(d_Irr!Y28=".",d_Irr!AX28=".",d_Irr!BW28&lt;&gt;"."),d_dir!AZ28/((1/1000)*(d_Irr!BW28)),IF(AND(d_Irr!Y28=".",d_Irr!AX28&lt;&gt;".",d_Irr!BW28="."),d_dir!AZ28/((1/1000)*(d_Irr!AX28)),IF(AND(d_Irr!Y28&lt;&gt;".",d_Irr!AX28=".",d_Irr!BW28="."),d_dir!AZ28/((1/1000)*(d_Irr!Y28)),IF(AND(d_Irr!Y28=".",d_Irr!AX28=".",d_Irr!BW28="."),d_dir!AZ28*1000)))))))),".")</f>
        <v>.</v>
      </c>
      <c r="BA28" s="76" t="str">
        <f>IFERROR(IF(AND(d_Irr!Z28&lt;&gt;".",d_Irr!AY28&lt;&gt;".",d_Irr!BX28&lt;&gt;"."),d_dir!BA28/((1/1000)*(d_Irr!Z28+d_Irr!AY28+d_Irr!BX28)),IF(AND(d_Irr!Z28&lt;&gt;".",d_Irr!AY28&lt;&gt;".",d_Irr!BX28="."),d_dir!BA28/((1/1000)*(d_Irr!Z28+d_Irr!AY28)),IF(AND(d_Irr!Z28&lt;&gt;".",d_Irr!AY28=".",d_Irr!BX28&lt;&gt;"."),d_dir!BA28/((1/1000)*(d_Irr!Z28+d_Irr!BX28)),IF(AND(d_Irr!Z28=".",d_Irr!AY28&lt;&gt;".",d_Irr!BX28&lt;&gt;"."),d_dir!BA28/((1/1000)*(d_Irr!AY28+d_Irr!BX28)),IF(AND(d_Irr!Z28=".",d_Irr!AY28=".",d_Irr!BX28&lt;&gt;"."),d_dir!BA28/((1/1000)*(d_Irr!BX28)),IF(AND(d_Irr!Z28=".",d_Irr!AY28&lt;&gt;".",d_Irr!BX28="."),d_dir!BA28/((1/1000)*(d_Irr!AY28)),IF(AND(d_Irr!Z28&lt;&gt;".",d_Irr!AY28=".",d_Irr!BX28="."),d_dir!BA28/((1/1000)*(d_Irr!Z28)),IF(AND(d_Irr!Z28=".",d_Irr!AY28=".",d_Irr!BX28="."),d_dir!BA28*1000)))))))),".")</f>
        <v>.</v>
      </c>
      <c r="BB28" s="76" t="str">
        <f>IFERROR(IF(AND(d_Irr!AA28&lt;&gt;".",d_Irr!AZ28&lt;&gt;".",d_Irr!BY28&lt;&gt;"."),d_dir!BB28/((1/1000)*(d_Irr!AA28+d_Irr!AZ28+d_Irr!BY28)),IF(AND(d_Irr!AA28&lt;&gt;".",d_Irr!AZ28&lt;&gt;".",d_Irr!BY28="."),d_dir!BB28/((1/1000)*(d_Irr!AA28+d_Irr!AZ28)),IF(AND(d_Irr!AA28&lt;&gt;".",d_Irr!AZ28=".",d_Irr!BY28&lt;&gt;"."),d_dir!BB28/((1/1000)*(d_Irr!AA28+d_Irr!BY28)),IF(AND(d_Irr!AA28=".",d_Irr!AZ28&lt;&gt;".",d_Irr!BY28&lt;&gt;"."),d_dir!BB28/((1/1000)*(d_Irr!AZ28+d_Irr!BY28)),IF(AND(d_Irr!AA28=".",d_Irr!AZ28=".",d_Irr!BY28&lt;&gt;"."),d_dir!BB28/((1/1000)*(d_Irr!BY28)),IF(AND(d_Irr!AA28=".",d_Irr!AZ28&lt;&gt;".",d_Irr!BY28="."),d_dir!BB28/((1/1000)*(d_Irr!AZ28)),IF(AND(d_Irr!AA28&lt;&gt;".",d_Irr!AZ28=".",d_Irr!BY28="."),d_dir!BB28/((1/1000)*(d_Irr!AA28)),IF(AND(d_Irr!AA28=".",d_Irr!AZ28=".",d_Irr!BY28="."),d_dir!BB28*1000)))))))),".")</f>
        <v>.</v>
      </c>
    </row>
    <row r="29" spans="1:54" ht="15" customHeight="1" x14ac:dyDescent="0.25">
      <c r="A29" s="92" t="s">
        <v>39</v>
      </c>
      <c r="B29" s="90" t="s">
        <v>1071</v>
      </c>
      <c r="C29" s="2" t="str">
        <f t="shared" si="1"/>
        <v>.</v>
      </c>
      <c r="D29" s="76" t="str">
        <f>IFERROR(IF(AND(d_Irr!C29&lt;&gt;".",d_Irr!AB29&lt;&gt;".",d_Irr!BA29&lt;&gt;"."),d_dir!D29/((1/1000)*(d_Irr!C29+d_Irr!AB29+d_Irr!BA29)),IF(AND(d_Irr!C29&lt;&gt;".",d_Irr!AB29&lt;&gt;".",d_Irr!BA29="."),d_dir!D29/((1/1000)*(d_Irr!C29+d_Irr!AB29)),IF(AND(d_Irr!C29&lt;&gt;".",d_Irr!AB29=".",d_Irr!BA29&lt;&gt;"."),d_dir!D29/((1/1000)*(d_Irr!C29+d_Irr!BA29)),IF(AND(d_Irr!C29=".",d_Irr!AB29&lt;&gt;".",d_Irr!BA29&lt;&gt;"."),d_dir!D29/((1/1000)*(d_Irr!AB29+d_Irr!BA29)),IF(AND(d_Irr!C29=".",d_Irr!AB29=".",d_Irr!BA29&lt;&gt;"."),d_dir!D29/((1/1000)*(d_Irr!BA29)),IF(AND(d_Irr!C29=".",d_Irr!AB29&lt;&gt;".",d_Irr!BA29="."),d_dir!D29/((1/1000)*(d_Irr!AB29)),IF(AND(d_Irr!C29&lt;&gt;".",d_Irr!AB29=".",d_Irr!BA29="."),d_dir!D29/((1/1000)*(d_Irr!C29)),IF(AND(d_Irr!C29=".",d_Irr!AB29=".",d_Irr!BA29="."),d_dir!D29*1000)))))))),".")</f>
        <v>.</v>
      </c>
      <c r="E29" s="76" t="str">
        <f>IFERROR(IF(AND(d_Irr!D29&lt;&gt;".",d_Irr!AC29&lt;&gt;".",d_Irr!BB29&lt;&gt;"."),d_dir!E29/((1/1000)*(d_Irr!D29+d_Irr!AC29+d_Irr!BB29)),IF(AND(d_Irr!D29&lt;&gt;".",d_Irr!AC29&lt;&gt;".",d_Irr!BB29="."),d_dir!E29/((1/1000)*(d_Irr!D29+d_Irr!AC29)),IF(AND(d_Irr!D29&lt;&gt;".",d_Irr!AC29=".",d_Irr!BB29&lt;&gt;"."),d_dir!E29/((1/1000)*(d_Irr!D29+d_Irr!BB29)),IF(AND(d_Irr!D29=".",d_Irr!AC29&lt;&gt;".",d_Irr!BB29&lt;&gt;"."),d_dir!E29/((1/1000)*(d_Irr!AC29+d_Irr!BB29)),IF(AND(d_Irr!D29=".",d_Irr!AC29=".",d_Irr!BB29&lt;&gt;"."),d_dir!E29/((1/1000)*(d_Irr!BB29)),IF(AND(d_Irr!D29=".",d_Irr!AC29&lt;&gt;".",d_Irr!BB29="."),d_dir!E29/((1/1000)*(d_Irr!AC29)),IF(AND(d_Irr!D29&lt;&gt;".",d_Irr!AC29=".",d_Irr!BB29="."),d_dir!E29/((1/1000)*(d_Irr!D29)),IF(AND(d_Irr!D29=".",d_Irr!AC29=".",d_Irr!BB29="."),d_dir!E29*1000)))))))),".")</f>
        <v>.</v>
      </c>
      <c r="F29" s="76" t="str">
        <f>IFERROR(IF(AND(d_Irr!E29&lt;&gt;".",d_Irr!AD29&lt;&gt;".",d_Irr!BC29&lt;&gt;"."),d_dir!F29/((1/1000)*(d_Irr!E29+d_Irr!AD29+d_Irr!BC29)),IF(AND(d_Irr!E29&lt;&gt;".",d_Irr!AD29&lt;&gt;".",d_Irr!BC29="."),d_dir!F29/((1/1000)*(d_Irr!E29+d_Irr!AD29)),IF(AND(d_Irr!E29&lt;&gt;".",d_Irr!AD29=".",d_Irr!BC29&lt;&gt;"."),d_dir!F29/((1/1000)*(d_Irr!E29+d_Irr!BC29)),IF(AND(d_Irr!E29=".",d_Irr!AD29&lt;&gt;".",d_Irr!BC29&lt;&gt;"."),d_dir!F29/((1/1000)*(d_Irr!AD29+d_Irr!BC29)),IF(AND(d_Irr!E29=".",d_Irr!AD29=".",d_Irr!BC29&lt;&gt;"."),d_dir!F29/((1/1000)*(d_Irr!BC29)),IF(AND(d_Irr!E29=".",d_Irr!AD29&lt;&gt;".",d_Irr!BC29="."),d_dir!F29/((1/1000)*(d_Irr!AD29)),IF(AND(d_Irr!E29&lt;&gt;".",d_Irr!AD29=".",d_Irr!BC29="."),d_dir!F29/((1/1000)*(d_Irr!E29)),IF(AND(d_Irr!E29=".",d_Irr!AD29=".",d_Irr!BC29="."),d_dir!F29*1000)))))))),".")</f>
        <v>.</v>
      </c>
      <c r="G29" s="76" t="str">
        <f>IFERROR(IF(AND(d_Irr!F29&lt;&gt;".",d_Irr!AE29&lt;&gt;".",d_Irr!BD29&lt;&gt;"."),d_dir!G29/((1/1000)*(d_Irr!F29+d_Irr!AE29+d_Irr!BD29)),IF(AND(d_Irr!F29&lt;&gt;".",d_Irr!AE29&lt;&gt;".",d_Irr!BD29="."),d_dir!G29/((1/1000)*(d_Irr!F29+d_Irr!AE29)),IF(AND(d_Irr!F29&lt;&gt;".",d_Irr!AE29=".",d_Irr!BD29&lt;&gt;"."),d_dir!G29/((1/1000)*(d_Irr!F29+d_Irr!BD29)),IF(AND(d_Irr!F29=".",d_Irr!AE29&lt;&gt;".",d_Irr!BD29&lt;&gt;"."),d_dir!G29/((1/1000)*(d_Irr!AE29+d_Irr!BD29)),IF(AND(d_Irr!F29=".",d_Irr!AE29=".",d_Irr!BD29&lt;&gt;"."),d_dir!G29/((1/1000)*(d_Irr!BD29)),IF(AND(d_Irr!F29=".",d_Irr!AE29&lt;&gt;".",d_Irr!BD29="."),d_dir!G29/((1/1000)*(d_Irr!AE29)),IF(AND(d_Irr!F29&lt;&gt;".",d_Irr!AE29=".",d_Irr!BD29="."),d_dir!G29/((1/1000)*(d_Irr!F29)),IF(AND(d_Irr!F29=".",d_Irr!AE29=".",d_Irr!BD29="."),d_dir!G29*1000)))))))),".")</f>
        <v>.</v>
      </c>
      <c r="H29" s="76" t="str">
        <f>IFERROR(IF(AND(d_Irr!G29&lt;&gt;".",d_Irr!AF29&lt;&gt;".",d_Irr!BE29&lt;&gt;"."),d_dir!H29/((1/1000)*(d_Irr!G29+d_Irr!AF29+d_Irr!BE29)),IF(AND(d_Irr!G29&lt;&gt;".",d_Irr!AF29&lt;&gt;".",d_Irr!BE29="."),d_dir!H29/((1/1000)*(d_Irr!G29+d_Irr!AF29)),IF(AND(d_Irr!G29&lt;&gt;".",d_Irr!AF29=".",d_Irr!BE29&lt;&gt;"."),d_dir!H29/((1/1000)*(d_Irr!G29+d_Irr!BE29)),IF(AND(d_Irr!G29=".",d_Irr!AF29&lt;&gt;".",d_Irr!BE29&lt;&gt;"."),d_dir!H29/((1/1000)*(d_Irr!AF29+d_Irr!BE29)),IF(AND(d_Irr!G29=".",d_Irr!AF29=".",d_Irr!BE29&lt;&gt;"."),d_dir!H29/((1/1000)*(d_Irr!BE29)),IF(AND(d_Irr!G29=".",d_Irr!AF29&lt;&gt;".",d_Irr!BE29="."),d_dir!H29/((1/1000)*(d_Irr!AF29)),IF(AND(d_Irr!G29&lt;&gt;".",d_Irr!AF29=".",d_Irr!BE29="."),d_dir!H29/((1/1000)*(d_Irr!G29)),IF(AND(d_Irr!G29=".",d_Irr!AF29=".",d_Irr!BE29="."),d_dir!H29*1000)))))))),".")</f>
        <v>.</v>
      </c>
      <c r="I29" s="76" t="str">
        <f>IFERROR(IF(AND(d_Irr!H29&lt;&gt;".",d_Irr!AG29&lt;&gt;".",d_Irr!BF29&lt;&gt;"."),d_dir!I29/((1/1000)*(d_Irr!H29+d_Irr!AG29+d_Irr!BF29)),IF(AND(d_Irr!H29&lt;&gt;".",d_Irr!AG29&lt;&gt;".",d_Irr!BF29="."),d_dir!I29/((1/1000)*(d_Irr!H29+d_Irr!AG29)),IF(AND(d_Irr!H29&lt;&gt;".",d_Irr!AG29=".",d_Irr!BF29&lt;&gt;"."),d_dir!I29/((1/1000)*(d_Irr!H29+d_Irr!BF29)),IF(AND(d_Irr!H29=".",d_Irr!AG29&lt;&gt;".",d_Irr!BF29&lt;&gt;"."),d_dir!I29/((1/1000)*(d_Irr!AG29+d_Irr!BF29)),IF(AND(d_Irr!H29=".",d_Irr!AG29=".",d_Irr!BF29&lt;&gt;"."),d_dir!I29/((1/1000)*(d_Irr!BF29)),IF(AND(d_Irr!H29=".",d_Irr!AG29&lt;&gt;".",d_Irr!BF29="."),d_dir!I29/((1/1000)*(d_Irr!AG29)),IF(AND(d_Irr!H29&lt;&gt;".",d_Irr!AG29=".",d_Irr!BF29="."),d_dir!I29/((1/1000)*(d_Irr!H29)),IF(AND(d_Irr!H29=".",d_Irr!AG29=".",d_Irr!BF29="."),d_dir!I29*1000)))))))),".")</f>
        <v>.</v>
      </c>
      <c r="J29" s="76" t="str">
        <f>IFERROR(IF(AND(d_Irr!I29&lt;&gt;".",d_Irr!AH29&lt;&gt;".",d_Irr!BG29&lt;&gt;"."),d_dir!J29/((1/1000)*(d_Irr!I29+d_Irr!AH29+d_Irr!BG29)),IF(AND(d_Irr!I29&lt;&gt;".",d_Irr!AH29&lt;&gt;".",d_Irr!BG29="."),d_dir!J29/((1/1000)*(d_Irr!I29+d_Irr!AH29)),IF(AND(d_Irr!I29&lt;&gt;".",d_Irr!AH29=".",d_Irr!BG29&lt;&gt;"."),d_dir!J29/((1/1000)*(d_Irr!I29+d_Irr!BG29)),IF(AND(d_Irr!I29=".",d_Irr!AH29&lt;&gt;".",d_Irr!BG29&lt;&gt;"."),d_dir!J29/((1/1000)*(d_Irr!AH29+d_Irr!BG29)),IF(AND(d_Irr!I29=".",d_Irr!AH29=".",d_Irr!BG29&lt;&gt;"."),d_dir!J29/((1/1000)*(d_Irr!BG29)),IF(AND(d_Irr!I29=".",d_Irr!AH29&lt;&gt;".",d_Irr!BG29="."),d_dir!J29/((1/1000)*(d_Irr!AH29)),IF(AND(d_Irr!I29&lt;&gt;".",d_Irr!AH29=".",d_Irr!BG29="."),d_dir!J29/((1/1000)*(d_Irr!I29)),IF(AND(d_Irr!I29=".",d_Irr!AH29=".",d_Irr!BG29="."),d_dir!J29*1000)))))))),".")</f>
        <v>.</v>
      </c>
      <c r="K29" s="76" t="str">
        <f>IFERROR(IF(AND(d_Irr!J29&lt;&gt;".",d_Irr!AI29&lt;&gt;".",d_Irr!BH29&lt;&gt;"."),d_dir!K29/((1/1000)*(d_Irr!J29+d_Irr!AI29+d_Irr!BH29)),IF(AND(d_Irr!J29&lt;&gt;".",d_Irr!AI29&lt;&gt;".",d_Irr!BH29="."),d_dir!K29/((1/1000)*(d_Irr!J29+d_Irr!AI29)),IF(AND(d_Irr!J29&lt;&gt;".",d_Irr!AI29=".",d_Irr!BH29&lt;&gt;"."),d_dir!K29/((1/1000)*(d_Irr!J29+d_Irr!BH29)),IF(AND(d_Irr!J29=".",d_Irr!AI29&lt;&gt;".",d_Irr!BH29&lt;&gt;"."),d_dir!K29/((1/1000)*(d_Irr!AI29+d_Irr!BH29)),IF(AND(d_Irr!J29=".",d_Irr!AI29=".",d_Irr!BH29&lt;&gt;"."),d_dir!K29/((1/1000)*(d_Irr!BH29)),IF(AND(d_Irr!J29=".",d_Irr!AI29&lt;&gt;".",d_Irr!BH29="."),d_dir!K29/((1/1000)*(d_Irr!AI29)),IF(AND(d_Irr!J29&lt;&gt;".",d_Irr!AI29=".",d_Irr!BH29="."),d_dir!K29/((1/1000)*(d_Irr!J29)),IF(AND(d_Irr!J29=".",d_Irr!AI29=".",d_Irr!BH29="."),d_dir!K29*1000)))))))),".")</f>
        <v>.</v>
      </c>
      <c r="L29" s="76" t="str">
        <f>IFERROR(IF(AND(d_Irr!K29&lt;&gt;".",d_Irr!AJ29&lt;&gt;".",d_Irr!BI29&lt;&gt;"."),d_dir!L29/((1/1000)*(d_Irr!K29+d_Irr!AJ29+d_Irr!BI29)),IF(AND(d_Irr!K29&lt;&gt;".",d_Irr!AJ29&lt;&gt;".",d_Irr!BI29="."),d_dir!L29/((1/1000)*(d_Irr!K29+d_Irr!AJ29)),IF(AND(d_Irr!K29&lt;&gt;".",d_Irr!AJ29=".",d_Irr!BI29&lt;&gt;"."),d_dir!L29/((1/1000)*(d_Irr!K29+d_Irr!BI29)),IF(AND(d_Irr!K29=".",d_Irr!AJ29&lt;&gt;".",d_Irr!BI29&lt;&gt;"."),d_dir!L29/((1/1000)*(d_Irr!AJ29+d_Irr!BI29)),IF(AND(d_Irr!K29=".",d_Irr!AJ29=".",d_Irr!BI29&lt;&gt;"."),d_dir!L29/((1/1000)*(d_Irr!BI29)),IF(AND(d_Irr!K29=".",d_Irr!AJ29&lt;&gt;".",d_Irr!BI29="."),d_dir!L29/((1/1000)*(d_Irr!AJ29)),IF(AND(d_Irr!K29&lt;&gt;".",d_Irr!AJ29=".",d_Irr!BI29="."),d_dir!L29/((1/1000)*(d_Irr!K29)),IF(AND(d_Irr!K29=".",d_Irr!AJ29=".",d_Irr!BI29="."),d_dir!L29*1000)))))))),".")</f>
        <v>.</v>
      </c>
      <c r="M29" s="76" t="str">
        <f>IFERROR(IF(AND(d_Irr!L29&lt;&gt;".",d_Irr!AK29&lt;&gt;".",d_Irr!BJ29&lt;&gt;"."),d_dir!M29/((1/1000)*(d_Irr!L29+d_Irr!AK29+d_Irr!BJ29)),IF(AND(d_Irr!L29&lt;&gt;".",d_Irr!AK29&lt;&gt;".",d_Irr!BJ29="."),d_dir!M29/((1/1000)*(d_Irr!L29+d_Irr!AK29)),IF(AND(d_Irr!L29&lt;&gt;".",d_Irr!AK29=".",d_Irr!BJ29&lt;&gt;"."),d_dir!M29/((1/1000)*(d_Irr!L29+d_Irr!BJ29)),IF(AND(d_Irr!L29=".",d_Irr!AK29&lt;&gt;".",d_Irr!BJ29&lt;&gt;"."),d_dir!M29/((1/1000)*(d_Irr!AK29+d_Irr!BJ29)),IF(AND(d_Irr!L29=".",d_Irr!AK29=".",d_Irr!BJ29&lt;&gt;"."),d_dir!M29/((1/1000)*(d_Irr!BJ29)),IF(AND(d_Irr!L29=".",d_Irr!AK29&lt;&gt;".",d_Irr!BJ29="."),d_dir!M29/((1/1000)*(d_Irr!AK29)),IF(AND(d_Irr!L29&lt;&gt;".",d_Irr!AK29=".",d_Irr!BJ29="."),d_dir!M29/((1/1000)*(d_Irr!L29)),IF(AND(d_Irr!L29=".",d_Irr!AK29=".",d_Irr!BJ29="."),d_dir!M29*1000)))))))),".")</f>
        <v>.</v>
      </c>
      <c r="N29" s="76" t="str">
        <f>IFERROR(IF(AND(d_Irr!M29&lt;&gt;".",d_Irr!AL29&lt;&gt;".",d_Irr!BK29&lt;&gt;"."),d_dir!N29/((1/1000)*(d_Irr!M29+d_Irr!AL29+d_Irr!BK29)),IF(AND(d_Irr!M29&lt;&gt;".",d_Irr!AL29&lt;&gt;".",d_Irr!BK29="."),d_dir!N29/((1/1000)*(d_Irr!M29+d_Irr!AL29)),IF(AND(d_Irr!M29&lt;&gt;".",d_Irr!AL29=".",d_Irr!BK29&lt;&gt;"."),d_dir!N29/((1/1000)*(d_Irr!M29+d_Irr!BK29)),IF(AND(d_Irr!M29=".",d_Irr!AL29&lt;&gt;".",d_Irr!BK29&lt;&gt;"."),d_dir!N29/((1/1000)*(d_Irr!AL29+d_Irr!BK29)),IF(AND(d_Irr!M29=".",d_Irr!AL29=".",d_Irr!BK29&lt;&gt;"."),d_dir!N29/((1/1000)*(d_Irr!BK29)),IF(AND(d_Irr!M29=".",d_Irr!AL29&lt;&gt;".",d_Irr!BK29="."),d_dir!N29/((1/1000)*(d_Irr!AL29)),IF(AND(d_Irr!M29&lt;&gt;".",d_Irr!AL29=".",d_Irr!BK29="."),d_dir!N29/((1/1000)*(d_Irr!M29)),IF(AND(d_Irr!M29=".",d_Irr!AL29=".",d_Irr!BK29="."),d_dir!N29*1000)))))))),".")</f>
        <v>.</v>
      </c>
      <c r="O29" s="76" t="str">
        <f>IFERROR(IF(AND(d_Irr!N29&lt;&gt;".",d_Irr!AM29&lt;&gt;".",d_Irr!BL29&lt;&gt;"."),d_dir!O29/((1/1000)*(d_Irr!N29+d_Irr!AM29+d_Irr!BL29)),IF(AND(d_Irr!N29&lt;&gt;".",d_Irr!AM29&lt;&gt;".",d_Irr!BL29="."),d_dir!O29/((1/1000)*(d_Irr!N29+d_Irr!AM29)),IF(AND(d_Irr!N29&lt;&gt;".",d_Irr!AM29=".",d_Irr!BL29&lt;&gt;"."),d_dir!O29/((1/1000)*(d_Irr!N29+d_Irr!BL29)),IF(AND(d_Irr!N29=".",d_Irr!AM29&lt;&gt;".",d_Irr!BL29&lt;&gt;"."),d_dir!O29/((1/1000)*(d_Irr!AM29+d_Irr!BL29)),IF(AND(d_Irr!N29=".",d_Irr!AM29=".",d_Irr!BL29&lt;&gt;"."),d_dir!O29/((1/1000)*(d_Irr!BL29)),IF(AND(d_Irr!N29=".",d_Irr!AM29&lt;&gt;".",d_Irr!BL29="."),d_dir!O29/((1/1000)*(d_Irr!AM29)),IF(AND(d_Irr!N29&lt;&gt;".",d_Irr!AM29=".",d_Irr!BL29="."),d_dir!O29/((1/1000)*(d_Irr!N29)),IF(AND(d_Irr!N29=".",d_Irr!AM29=".",d_Irr!BL29="."),d_dir!O29*1000)))))))),".")</f>
        <v>.</v>
      </c>
      <c r="P29" s="76" t="str">
        <f>IFERROR(IF(AND(d_Irr!O29&lt;&gt;".",d_Irr!AN29&lt;&gt;".",d_Irr!BM29&lt;&gt;"."),d_dir!P29/((1/1000)*(d_Irr!O29+d_Irr!AN29+d_Irr!BM29)),IF(AND(d_Irr!O29&lt;&gt;".",d_Irr!AN29&lt;&gt;".",d_Irr!BM29="."),d_dir!P29/((1/1000)*(d_Irr!O29+d_Irr!AN29)),IF(AND(d_Irr!O29&lt;&gt;".",d_Irr!AN29=".",d_Irr!BM29&lt;&gt;"."),d_dir!P29/((1/1000)*(d_Irr!O29+d_Irr!BM29)),IF(AND(d_Irr!O29=".",d_Irr!AN29&lt;&gt;".",d_Irr!BM29&lt;&gt;"."),d_dir!P29/((1/1000)*(d_Irr!AN29+d_Irr!BM29)),IF(AND(d_Irr!O29=".",d_Irr!AN29=".",d_Irr!BM29&lt;&gt;"."),d_dir!P29/((1/1000)*(d_Irr!BM29)),IF(AND(d_Irr!O29=".",d_Irr!AN29&lt;&gt;".",d_Irr!BM29="."),d_dir!P29/((1/1000)*(d_Irr!AN29)),IF(AND(d_Irr!O29&lt;&gt;".",d_Irr!AN29=".",d_Irr!BM29="."),d_dir!P29/((1/1000)*(d_Irr!O29)),IF(AND(d_Irr!O29=".",d_Irr!AN29=".",d_Irr!BM29="."),d_dir!P29*1000)))))))),".")</f>
        <v>.</v>
      </c>
      <c r="Q29" s="76" t="str">
        <f>IFERROR(IF(AND(d_Irr!P29&lt;&gt;".",d_Irr!AO29&lt;&gt;".",d_Irr!BN29&lt;&gt;"."),d_dir!Q29/((1/1000)*(d_Irr!P29+d_Irr!AO29+d_Irr!BN29)),IF(AND(d_Irr!P29&lt;&gt;".",d_Irr!AO29&lt;&gt;".",d_Irr!BN29="."),d_dir!Q29/((1/1000)*(d_Irr!P29+d_Irr!AO29)),IF(AND(d_Irr!P29&lt;&gt;".",d_Irr!AO29=".",d_Irr!BN29&lt;&gt;"."),d_dir!Q29/((1/1000)*(d_Irr!P29+d_Irr!BN29)),IF(AND(d_Irr!P29=".",d_Irr!AO29&lt;&gt;".",d_Irr!BN29&lt;&gt;"."),d_dir!Q29/((1/1000)*(d_Irr!AO29+d_Irr!BN29)),IF(AND(d_Irr!P29=".",d_Irr!AO29=".",d_Irr!BN29&lt;&gt;"."),d_dir!Q29/((1/1000)*(d_Irr!BN29)),IF(AND(d_Irr!P29=".",d_Irr!AO29&lt;&gt;".",d_Irr!BN29="."),d_dir!Q29/((1/1000)*(d_Irr!AO29)),IF(AND(d_Irr!P29&lt;&gt;".",d_Irr!AO29=".",d_Irr!BN29="."),d_dir!Q29/((1/1000)*(d_Irr!P29)),IF(AND(d_Irr!P29=".",d_Irr!AO29=".",d_Irr!BN29="."),d_dir!Q29*1000)))))))),".")</f>
        <v>.</v>
      </c>
      <c r="R29" s="76" t="str">
        <f>IFERROR(IF(AND(d_Irr!Q29&lt;&gt;".",d_Irr!AP29&lt;&gt;".",d_Irr!BO29&lt;&gt;"."),d_dir!R29/((1/1000)*(d_Irr!Q29+d_Irr!AP29+d_Irr!BO29)),IF(AND(d_Irr!Q29&lt;&gt;".",d_Irr!AP29&lt;&gt;".",d_Irr!BO29="."),d_dir!R29/((1/1000)*(d_Irr!Q29+d_Irr!AP29)),IF(AND(d_Irr!Q29&lt;&gt;".",d_Irr!AP29=".",d_Irr!BO29&lt;&gt;"."),d_dir!R29/((1/1000)*(d_Irr!Q29+d_Irr!BO29)),IF(AND(d_Irr!Q29=".",d_Irr!AP29&lt;&gt;".",d_Irr!BO29&lt;&gt;"."),d_dir!R29/((1/1000)*(d_Irr!AP29+d_Irr!BO29)),IF(AND(d_Irr!Q29=".",d_Irr!AP29=".",d_Irr!BO29&lt;&gt;"."),d_dir!R29/((1/1000)*(d_Irr!BO29)),IF(AND(d_Irr!Q29=".",d_Irr!AP29&lt;&gt;".",d_Irr!BO29="."),d_dir!R29/((1/1000)*(d_Irr!AP29)),IF(AND(d_Irr!Q29&lt;&gt;".",d_Irr!AP29=".",d_Irr!BO29="."),d_dir!R29/((1/1000)*(d_Irr!Q29)),IF(AND(d_Irr!Q29=".",d_Irr!AP29=".",d_Irr!BO29="."),d_dir!R29*1000)))))))),".")</f>
        <v>.</v>
      </c>
      <c r="S29" s="76" t="str">
        <f>IFERROR(IF(AND(d_Irr!R29&lt;&gt;".",d_Irr!AQ29&lt;&gt;".",d_Irr!BP29&lt;&gt;"."),d_dir!S29/((1/1000)*(d_Irr!R29+d_Irr!AQ29+d_Irr!BP29)),IF(AND(d_Irr!R29&lt;&gt;".",d_Irr!AQ29&lt;&gt;".",d_Irr!BP29="."),d_dir!S29/((1/1000)*(d_Irr!R29+d_Irr!AQ29)),IF(AND(d_Irr!R29&lt;&gt;".",d_Irr!AQ29=".",d_Irr!BP29&lt;&gt;"."),d_dir!S29/((1/1000)*(d_Irr!R29+d_Irr!BP29)),IF(AND(d_Irr!R29=".",d_Irr!AQ29&lt;&gt;".",d_Irr!BP29&lt;&gt;"."),d_dir!S29/((1/1000)*(d_Irr!AQ29+d_Irr!BP29)),IF(AND(d_Irr!R29=".",d_Irr!AQ29=".",d_Irr!BP29&lt;&gt;"."),d_dir!S29/((1/1000)*(d_Irr!BP29)),IF(AND(d_Irr!R29=".",d_Irr!AQ29&lt;&gt;".",d_Irr!BP29="."),d_dir!S29/((1/1000)*(d_Irr!AQ29)),IF(AND(d_Irr!R29&lt;&gt;".",d_Irr!AQ29=".",d_Irr!BP29="."),d_dir!S29/((1/1000)*(d_Irr!R29)),IF(AND(d_Irr!R29=".",d_Irr!AQ29=".",d_Irr!BP29="."),d_dir!S29*1000)))))))),".")</f>
        <v>.</v>
      </c>
      <c r="T29" s="76" t="str">
        <f>IFERROR(IF(AND(d_Irr!S29&lt;&gt;".",d_Irr!AR29&lt;&gt;".",d_Irr!BQ29&lt;&gt;"."),d_dir!T29/((1/1000)*(d_Irr!S29+d_Irr!AR29+d_Irr!BQ29)),IF(AND(d_Irr!S29&lt;&gt;".",d_Irr!AR29&lt;&gt;".",d_Irr!BQ29="."),d_dir!T29/((1/1000)*(d_Irr!S29+d_Irr!AR29)),IF(AND(d_Irr!S29&lt;&gt;".",d_Irr!AR29=".",d_Irr!BQ29&lt;&gt;"."),d_dir!T29/((1/1000)*(d_Irr!S29+d_Irr!BQ29)),IF(AND(d_Irr!S29=".",d_Irr!AR29&lt;&gt;".",d_Irr!BQ29&lt;&gt;"."),d_dir!T29/((1/1000)*(d_Irr!AR29+d_Irr!BQ29)),IF(AND(d_Irr!S29=".",d_Irr!AR29=".",d_Irr!BQ29&lt;&gt;"."),d_dir!T29/((1/1000)*(d_Irr!BQ29)),IF(AND(d_Irr!S29=".",d_Irr!AR29&lt;&gt;".",d_Irr!BQ29="."),d_dir!T29/((1/1000)*(d_Irr!AR29)),IF(AND(d_Irr!S29&lt;&gt;".",d_Irr!AR29=".",d_Irr!BQ29="."),d_dir!T29/((1/1000)*(d_Irr!S29)),IF(AND(d_Irr!S29=".",d_Irr!AR29=".",d_Irr!BQ29="."),d_dir!T29*1000)))))))),".")</f>
        <v>.</v>
      </c>
      <c r="U29" s="76" t="str">
        <f>IFERROR(IF(AND(d_Irr!T29&lt;&gt;".",d_Irr!AS29&lt;&gt;".",d_Irr!BR29&lt;&gt;"."),d_dir!U29/((1/1000)*(d_Irr!T29+d_Irr!AS29+d_Irr!BR29)),IF(AND(d_Irr!T29&lt;&gt;".",d_Irr!AS29&lt;&gt;".",d_Irr!BR29="."),d_dir!U29/((1/1000)*(d_Irr!T29+d_Irr!AS29)),IF(AND(d_Irr!T29&lt;&gt;".",d_Irr!AS29=".",d_Irr!BR29&lt;&gt;"."),d_dir!U29/((1/1000)*(d_Irr!T29+d_Irr!BR29)),IF(AND(d_Irr!T29=".",d_Irr!AS29&lt;&gt;".",d_Irr!BR29&lt;&gt;"."),d_dir!U29/((1/1000)*(d_Irr!AS29+d_Irr!BR29)),IF(AND(d_Irr!T29=".",d_Irr!AS29=".",d_Irr!BR29&lt;&gt;"."),d_dir!U29/((1/1000)*(d_Irr!BR29)),IF(AND(d_Irr!T29=".",d_Irr!AS29&lt;&gt;".",d_Irr!BR29="."),d_dir!U29/((1/1000)*(d_Irr!AS29)),IF(AND(d_Irr!T29&lt;&gt;".",d_Irr!AS29=".",d_Irr!BR29="."),d_dir!U29/((1/1000)*(d_Irr!T29)),IF(AND(d_Irr!T29=".",d_Irr!AS29=".",d_Irr!BR29="."),d_dir!U29*1000)))))))),".")</f>
        <v>.</v>
      </c>
      <c r="V29" s="76" t="str">
        <f>IFERROR(IF(AND(d_Irr!U29&lt;&gt;".",d_Irr!AT29&lt;&gt;".",d_Irr!BS29&lt;&gt;"."),d_dir!V29/((1/1000)*(d_Irr!U29+d_Irr!AT29+d_Irr!BS29)),IF(AND(d_Irr!U29&lt;&gt;".",d_Irr!AT29&lt;&gt;".",d_Irr!BS29="."),d_dir!V29/((1/1000)*(d_Irr!U29+d_Irr!AT29)),IF(AND(d_Irr!U29&lt;&gt;".",d_Irr!AT29=".",d_Irr!BS29&lt;&gt;"."),d_dir!V29/((1/1000)*(d_Irr!U29+d_Irr!BS29)),IF(AND(d_Irr!U29=".",d_Irr!AT29&lt;&gt;".",d_Irr!BS29&lt;&gt;"."),d_dir!V29/((1/1000)*(d_Irr!AT29+d_Irr!BS29)),IF(AND(d_Irr!U29=".",d_Irr!AT29=".",d_Irr!BS29&lt;&gt;"."),d_dir!V29/((1/1000)*(d_Irr!BS29)),IF(AND(d_Irr!U29=".",d_Irr!AT29&lt;&gt;".",d_Irr!BS29="."),d_dir!V29/((1/1000)*(d_Irr!AT29)),IF(AND(d_Irr!U29&lt;&gt;".",d_Irr!AT29=".",d_Irr!BS29="."),d_dir!V29/((1/1000)*(d_Irr!U29)),IF(AND(d_Irr!U29=".",d_Irr!AT29=".",d_Irr!BS29="."),d_dir!V29*1000)))))))),".")</f>
        <v>.</v>
      </c>
      <c r="W29" s="76" t="str">
        <f>IFERROR(IF(AND(d_Irr!V29&lt;&gt;".",d_Irr!AU29&lt;&gt;".",d_Irr!BT29&lt;&gt;"."),d_dir!W29/((1/1000)*(d_Irr!V29+d_Irr!AU29+d_Irr!BT29)),IF(AND(d_Irr!V29&lt;&gt;".",d_Irr!AU29&lt;&gt;".",d_Irr!BT29="."),d_dir!W29/((1/1000)*(d_Irr!V29+d_Irr!AU29)),IF(AND(d_Irr!V29&lt;&gt;".",d_Irr!AU29=".",d_Irr!BT29&lt;&gt;"."),d_dir!W29/((1/1000)*(d_Irr!V29+d_Irr!BT29)),IF(AND(d_Irr!V29=".",d_Irr!AU29&lt;&gt;".",d_Irr!BT29&lt;&gt;"."),d_dir!W29/((1/1000)*(d_Irr!AU29+d_Irr!BT29)),IF(AND(d_Irr!V29=".",d_Irr!AU29=".",d_Irr!BT29&lt;&gt;"."),d_dir!W29/((1/1000)*(d_Irr!BT29)),IF(AND(d_Irr!V29=".",d_Irr!AU29&lt;&gt;".",d_Irr!BT29="."),d_dir!W29/((1/1000)*(d_Irr!AU29)),IF(AND(d_Irr!V29&lt;&gt;".",d_Irr!AU29=".",d_Irr!BT29="."),d_dir!W29/((1/1000)*(d_Irr!V29)),IF(AND(d_Irr!V29=".",d_Irr!AU29=".",d_Irr!BT29="."),d_dir!W29*1000)))))))),".")</f>
        <v>.</v>
      </c>
      <c r="X29" s="76" t="str">
        <f>IFERROR(IF(AND(d_Irr!W29&lt;&gt;".",d_Irr!AV29&lt;&gt;".",d_Irr!BU29&lt;&gt;"."),d_dir!X29/((1/1000)*(d_Irr!W29+d_Irr!AV29+d_Irr!BU29)),IF(AND(d_Irr!W29&lt;&gt;".",d_Irr!AV29&lt;&gt;".",d_Irr!BU29="."),d_dir!X29/((1/1000)*(d_Irr!W29+d_Irr!AV29)),IF(AND(d_Irr!W29&lt;&gt;".",d_Irr!AV29=".",d_Irr!BU29&lt;&gt;"."),d_dir!X29/((1/1000)*(d_Irr!W29+d_Irr!BU29)),IF(AND(d_Irr!W29=".",d_Irr!AV29&lt;&gt;".",d_Irr!BU29&lt;&gt;"."),d_dir!X29/((1/1000)*(d_Irr!AV29+d_Irr!BU29)),IF(AND(d_Irr!W29=".",d_Irr!AV29=".",d_Irr!BU29&lt;&gt;"."),d_dir!X29/((1/1000)*(d_Irr!BU29)),IF(AND(d_Irr!W29=".",d_Irr!AV29&lt;&gt;".",d_Irr!BU29="."),d_dir!X29/((1/1000)*(d_Irr!AV29)),IF(AND(d_Irr!W29&lt;&gt;".",d_Irr!AV29=".",d_Irr!BU29="."),d_dir!X29/((1/1000)*(d_Irr!W29)),IF(AND(d_Irr!W29=".",d_Irr!AV29=".",d_Irr!BU29="."),d_dir!X29*1000)))))))),".")</f>
        <v>.</v>
      </c>
      <c r="Y29" s="76" t="str">
        <f>IFERROR(IF(AND(d_Irr!X29&lt;&gt;".",d_Irr!AW29&lt;&gt;".",d_Irr!BV29&lt;&gt;"."),d_dir!Y29/((1/1000)*(d_Irr!X29+d_Irr!AW29+d_Irr!BV29)),IF(AND(d_Irr!X29&lt;&gt;".",d_Irr!AW29&lt;&gt;".",d_Irr!BV29="."),d_dir!Y29/((1/1000)*(d_Irr!X29+d_Irr!AW29)),IF(AND(d_Irr!X29&lt;&gt;".",d_Irr!AW29=".",d_Irr!BV29&lt;&gt;"."),d_dir!Y29/((1/1000)*(d_Irr!X29+d_Irr!BV29)),IF(AND(d_Irr!X29=".",d_Irr!AW29&lt;&gt;".",d_Irr!BV29&lt;&gt;"."),d_dir!Y29/((1/1000)*(d_Irr!AW29+d_Irr!BV29)),IF(AND(d_Irr!X29=".",d_Irr!AW29=".",d_Irr!BV29&lt;&gt;"."),d_dir!Y29/((1/1000)*(d_Irr!BV29)),IF(AND(d_Irr!X29=".",d_Irr!AW29&lt;&gt;".",d_Irr!BV29="."),d_dir!Y29/((1/1000)*(d_Irr!AW29)),IF(AND(d_Irr!X29&lt;&gt;".",d_Irr!AW29=".",d_Irr!BV29="."),d_dir!Y29/((1/1000)*(d_Irr!X29)),IF(AND(d_Irr!X29=".",d_Irr!AW29=".",d_Irr!BV29="."),d_dir!Y29*1000)))))))),".")</f>
        <v>.</v>
      </c>
      <c r="Z29" s="76" t="str">
        <f>IFERROR(IF(AND(d_Irr!Y29&lt;&gt;".",d_Irr!AX29&lt;&gt;".",d_Irr!BW29&lt;&gt;"."),d_dir!Z29/((1/1000)*(d_Irr!Y29+d_Irr!AX29+d_Irr!BW29)),IF(AND(d_Irr!Y29&lt;&gt;".",d_Irr!AX29&lt;&gt;".",d_Irr!BW29="."),d_dir!Z29/((1/1000)*(d_Irr!Y29+d_Irr!AX29)),IF(AND(d_Irr!Y29&lt;&gt;".",d_Irr!AX29=".",d_Irr!BW29&lt;&gt;"."),d_dir!Z29/((1/1000)*(d_Irr!Y29+d_Irr!BW29)),IF(AND(d_Irr!Y29=".",d_Irr!AX29&lt;&gt;".",d_Irr!BW29&lt;&gt;"."),d_dir!Z29/((1/1000)*(d_Irr!AX29+d_Irr!BW29)),IF(AND(d_Irr!Y29=".",d_Irr!AX29=".",d_Irr!BW29&lt;&gt;"."),d_dir!Z29/((1/1000)*(d_Irr!BW29)),IF(AND(d_Irr!Y29=".",d_Irr!AX29&lt;&gt;".",d_Irr!BW29="."),d_dir!Z29/((1/1000)*(d_Irr!AX29)),IF(AND(d_Irr!Y29&lt;&gt;".",d_Irr!AX29=".",d_Irr!BW29="."),d_dir!Z29/((1/1000)*(d_Irr!Y29)),IF(AND(d_Irr!Y29=".",d_Irr!AX29=".",d_Irr!BW29="."),d_dir!Z29*1000)))))))),".")</f>
        <v>.</v>
      </c>
      <c r="AA29" s="76" t="str">
        <f>IFERROR(IF(AND(d_Irr!Z29&lt;&gt;".",d_Irr!AY29&lt;&gt;".",d_Irr!BX29&lt;&gt;"."),d_dir!AA29/((1/1000)*(d_Irr!Z29+d_Irr!AY29+d_Irr!BX29)),IF(AND(d_Irr!Z29&lt;&gt;".",d_Irr!AY29&lt;&gt;".",d_Irr!BX29="."),d_dir!AA29/((1/1000)*(d_Irr!Z29+d_Irr!AY29)),IF(AND(d_Irr!Z29&lt;&gt;".",d_Irr!AY29=".",d_Irr!BX29&lt;&gt;"."),d_dir!AA29/((1/1000)*(d_Irr!Z29+d_Irr!BX29)),IF(AND(d_Irr!Z29=".",d_Irr!AY29&lt;&gt;".",d_Irr!BX29&lt;&gt;"."),d_dir!AA29/((1/1000)*(d_Irr!AY29+d_Irr!BX29)),IF(AND(d_Irr!Z29=".",d_Irr!AY29=".",d_Irr!BX29&lt;&gt;"."),d_dir!AA29/((1/1000)*(d_Irr!BX29)),IF(AND(d_Irr!Z29=".",d_Irr!AY29&lt;&gt;".",d_Irr!BX29="."),d_dir!AA29/((1/1000)*(d_Irr!AY29)),IF(AND(d_Irr!Z29&lt;&gt;".",d_Irr!AY29=".",d_Irr!BX29="."),d_dir!AA29/((1/1000)*(d_Irr!Z29)),IF(AND(d_Irr!Z29=".",d_Irr!AY29=".",d_Irr!BX29="."),d_dir!AA29*1000)))))))),".")</f>
        <v>.</v>
      </c>
      <c r="AB29" s="76" t="str">
        <f>IFERROR(IF(AND(d_Irr!AA29&lt;&gt;".",d_Irr!AZ29&lt;&gt;".",d_Irr!BY29&lt;&gt;"."),d_dir!AB29/((1/1000)*(d_Irr!AA29+d_Irr!AZ29+d_Irr!BY29)),IF(AND(d_Irr!AA29&lt;&gt;".",d_Irr!AZ29&lt;&gt;".",d_Irr!BY29="."),d_dir!AB29/((1/1000)*(d_Irr!AA29+d_Irr!AZ29)),IF(AND(d_Irr!AA29&lt;&gt;".",d_Irr!AZ29=".",d_Irr!BY29&lt;&gt;"."),d_dir!AB29/((1/1000)*(d_Irr!AA29+d_Irr!BY29)),IF(AND(d_Irr!AA29=".",d_Irr!AZ29&lt;&gt;".",d_Irr!BY29&lt;&gt;"."),d_dir!AB29/((1/1000)*(d_Irr!AZ29+d_Irr!BY29)),IF(AND(d_Irr!AA29=".",d_Irr!AZ29=".",d_Irr!BY29&lt;&gt;"."),d_dir!AB29/((1/1000)*(d_Irr!BY29)),IF(AND(d_Irr!AA29=".",d_Irr!AZ29&lt;&gt;".",d_Irr!BY29="."),d_dir!AB29/((1/1000)*(d_Irr!AZ29)),IF(AND(d_Irr!AA29&lt;&gt;".",d_Irr!AZ29=".",d_Irr!BY29="."),d_dir!AB29/((1/1000)*(d_Irr!AA29)),IF(AND(d_Irr!AA29=".",d_Irr!AZ29=".",d_Irr!BY29="."),d_dir!AB29*1000)))))))),".")</f>
        <v>.</v>
      </c>
      <c r="AC29" s="76" t="str">
        <f t="shared" si="0"/>
        <v>.</v>
      </c>
      <c r="AD29" s="76" t="str">
        <f>IFERROR(IF(AND(d_Irr!C29&lt;&gt;".",d_Irr!AB29&lt;&gt;".",d_Irr!BA29&lt;&gt;"."),d_dir!AD29/((1/1000)*(d_Irr!C29+d_Irr!AB29+d_Irr!BA29)),IF(AND(d_Irr!C29&lt;&gt;".",d_Irr!AB29&lt;&gt;".",d_Irr!BA29="."),d_dir!AD29/((1/1000)*(d_Irr!C29+d_Irr!AB29)),IF(AND(d_Irr!C29&lt;&gt;".",d_Irr!AB29=".",d_Irr!BA29&lt;&gt;"."),d_dir!AD29/((1/1000)*(d_Irr!C29+d_Irr!BA29)),IF(AND(d_Irr!C29=".",d_Irr!AB29&lt;&gt;".",d_Irr!BA29&lt;&gt;"."),d_dir!AD29/((1/1000)*(d_Irr!AB29+d_Irr!BA29)),IF(AND(d_Irr!C29=".",d_Irr!AB29=".",d_Irr!BA29&lt;&gt;"."),d_dir!AD29/((1/1000)*(d_Irr!BA29)),IF(AND(d_Irr!C29=".",d_Irr!AB29&lt;&gt;".",d_Irr!BA29="."),d_dir!AD29/((1/1000)*(d_Irr!AB29)),IF(AND(d_Irr!C29&lt;&gt;".",d_Irr!AB29=".",d_Irr!BA29="."),d_dir!AD29/((1/1000)*(d_Irr!C29)),IF(AND(d_Irr!C29=".",d_Irr!AB29=".",d_Irr!BA29="."),d_dir!AD29*1000)))))))),".")</f>
        <v>.</v>
      </c>
      <c r="AE29" s="76" t="str">
        <f>IFERROR(IF(AND(d_Irr!D29&lt;&gt;".",d_Irr!AC29&lt;&gt;".",d_Irr!BB29&lt;&gt;"."),d_dir!AE29/((1/1000)*(d_Irr!D29+d_Irr!AC29+d_Irr!BB29)),IF(AND(d_Irr!D29&lt;&gt;".",d_Irr!AC29&lt;&gt;".",d_Irr!BB29="."),d_dir!AE29/((1/1000)*(d_Irr!D29+d_Irr!AC29)),IF(AND(d_Irr!D29&lt;&gt;".",d_Irr!AC29=".",d_Irr!BB29&lt;&gt;"."),d_dir!AE29/((1/1000)*(d_Irr!D29+d_Irr!BB29)),IF(AND(d_Irr!D29=".",d_Irr!AC29&lt;&gt;".",d_Irr!BB29&lt;&gt;"."),d_dir!AE29/((1/1000)*(d_Irr!AC29+d_Irr!BB29)),IF(AND(d_Irr!D29=".",d_Irr!AC29=".",d_Irr!BB29&lt;&gt;"."),d_dir!AE29/((1/1000)*(d_Irr!BB29)),IF(AND(d_Irr!D29=".",d_Irr!AC29&lt;&gt;".",d_Irr!BB29="."),d_dir!AE29/((1/1000)*(d_Irr!AC29)),IF(AND(d_Irr!D29&lt;&gt;".",d_Irr!AC29=".",d_Irr!BB29="."),d_dir!AE29/((1/1000)*(d_Irr!D29)),IF(AND(d_Irr!D29=".",d_Irr!AC29=".",d_Irr!BB29="."),d_dir!AE29*1000)))))))),".")</f>
        <v>.</v>
      </c>
      <c r="AF29" s="76" t="str">
        <f>IFERROR(IF(AND(d_Irr!E29&lt;&gt;".",d_Irr!AD29&lt;&gt;".",d_Irr!BC29&lt;&gt;"."),d_dir!AF29/((1/1000)*(d_Irr!E29+d_Irr!AD29+d_Irr!BC29)),IF(AND(d_Irr!E29&lt;&gt;".",d_Irr!AD29&lt;&gt;".",d_Irr!BC29="."),d_dir!AF29/((1/1000)*(d_Irr!E29+d_Irr!AD29)),IF(AND(d_Irr!E29&lt;&gt;".",d_Irr!AD29=".",d_Irr!BC29&lt;&gt;"."),d_dir!AF29/((1/1000)*(d_Irr!E29+d_Irr!BC29)),IF(AND(d_Irr!E29=".",d_Irr!AD29&lt;&gt;".",d_Irr!BC29&lt;&gt;"."),d_dir!AF29/((1/1000)*(d_Irr!AD29+d_Irr!BC29)),IF(AND(d_Irr!E29=".",d_Irr!AD29=".",d_Irr!BC29&lt;&gt;"."),d_dir!AF29/((1/1000)*(d_Irr!BC29)),IF(AND(d_Irr!E29=".",d_Irr!AD29&lt;&gt;".",d_Irr!BC29="."),d_dir!AF29/((1/1000)*(d_Irr!AD29)),IF(AND(d_Irr!E29&lt;&gt;".",d_Irr!AD29=".",d_Irr!BC29="."),d_dir!AF29/((1/1000)*(d_Irr!E29)),IF(AND(d_Irr!E29=".",d_Irr!AD29=".",d_Irr!BC29="."),d_dir!AF29*1000)))))))),".")</f>
        <v>.</v>
      </c>
      <c r="AG29" s="76" t="str">
        <f>IFERROR(IF(AND(d_Irr!F29&lt;&gt;".",d_Irr!AE29&lt;&gt;".",d_Irr!BD29&lt;&gt;"."),d_dir!AG29/((1/1000)*(d_Irr!F29+d_Irr!AE29+d_Irr!BD29)),IF(AND(d_Irr!F29&lt;&gt;".",d_Irr!AE29&lt;&gt;".",d_Irr!BD29="."),d_dir!AG29/((1/1000)*(d_Irr!F29+d_Irr!AE29)),IF(AND(d_Irr!F29&lt;&gt;".",d_Irr!AE29=".",d_Irr!BD29&lt;&gt;"."),d_dir!AG29/((1/1000)*(d_Irr!F29+d_Irr!BD29)),IF(AND(d_Irr!F29=".",d_Irr!AE29&lt;&gt;".",d_Irr!BD29&lt;&gt;"."),d_dir!AG29/((1/1000)*(d_Irr!AE29+d_Irr!BD29)),IF(AND(d_Irr!F29=".",d_Irr!AE29=".",d_Irr!BD29&lt;&gt;"."),d_dir!AG29/((1/1000)*(d_Irr!BD29)),IF(AND(d_Irr!F29=".",d_Irr!AE29&lt;&gt;".",d_Irr!BD29="."),d_dir!AG29/((1/1000)*(d_Irr!AE29)),IF(AND(d_Irr!F29&lt;&gt;".",d_Irr!AE29=".",d_Irr!BD29="."),d_dir!AG29/((1/1000)*(d_Irr!F29)),IF(AND(d_Irr!F29=".",d_Irr!AE29=".",d_Irr!BD29="."),d_dir!AG29*1000)))))))),".")</f>
        <v>.</v>
      </c>
      <c r="AH29" s="76" t="str">
        <f>IFERROR(IF(AND(d_Irr!G29&lt;&gt;".",d_Irr!AF29&lt;&gt;".",d_Irr!BE29&lt;&gt;"."),d_dir!AH29/((1/1000)*(d_Irr!G29+d_Irr!AF29+d_Irr!BE29)),IF(AND(d_Irr!G29&lt;&gt;".",d_Irr!AF29&lt;&gt;".",d_Irr!BE29="."),d_dir!AH29/((1/1000)*(d_Irr!G29+d_Irr!AF29)),IF(AND(d_Irr!G29&lt;&gt;".",d_Irr!AF29=".",d_Irr!BE29&lt;&gt;"."),d_dir!AH29/((1/1000)*(d_Irr!G29+d_Irr!BE29)),IF(AND(d_Irr!G29=".",d_Irr!AF29&lt;&gt;".",d_Irr!BE29&lt;&gt;"."),d_dir!AH29/((1/1000)*(d_Irr!AF29+d_Irr!BE29)),IF(AND(d_Irr!G29=".",d_Irr!AF29=".",d_Irr!BE29&lt;&gt;"."),d_dir!AH29/((1/1000)*(d_Irr!BE29)),IF(AND(d_Irr!G29=".",d_Irr!AF29&lt;&gt;".",d_Irr!BE29="."),d_dir!AH29/((1/1000)*(d_Irr!AF29)),IF(AND(d_Irr!G29&lt;&gt;".",d_Irr!AF29=".",d_Irr!BE29="."),d_dir!AH29/((1/1000)*(d_Irr!G29)),IF(AND(d_Irr!G29=".",d_Irr!AF29=".",d_Irr!BE29="."),d_dir!AH29*1000)))))))),".")</f>
        <v>.</v>
      </c>
      <c r="AI29" s="76" t="str">
        <f>IFERROR(IF(AND(d_Irr!H29&lt;&gt;".",d_Irr!AG29&lt;&gt;".",d_Irr!BF29&lt;&gt;"."),d_dir!AI29/((1/1000)*(d_Irr!H29+d_Irr!AG29+d_Irr!BF29)),IF(AND(d_Irr!H29&lt;&gt;".",d_Irr!AG29&lt;&gt;".",d_Irr!BF29="."),d_dir!AI29/((1/1000)*(d_Irr!H29+d_Irr!AG29)),IF(AND(d_Irr!H29&lt;&gt;".",d_Irr!AG29=".",d_Irr!BF29&lt;&gt;"."),d_dir!AI29/((1/1000)*(d_Irr!H29+d_Irr!BF29)),IF(AND(d_Irr!H29=".",d_Irr!AG29&lt;&gt;".",d_Irr!BF29&lt;&gt;"."),d_dir!AI29/((1/1000)*(d_Irr!AG29+d_Irr!BF29)),IF(AND(d_Irr!H29=".",d_Irr!AG29=".",d_Irr!BF29&lt;&gt;"."),d_dir!AI29/((1/1000)*(d_Irr!BF29)),IF(AND(d_Irr!H29=".",d_Irr!AG29&lt;&gt;".",d_Irr!BF29="."),d_dir!AI29/((1/1000)*(d_Irr!AG29)),IF(AND(d_Irr!H29&lt;&gt;".",d_Irr!AG29=".",d_Irr!BF29="."),d_dir!AI29/((1/1000)*(d_Irr!H29)),IF(AND(d_Irr!H29=".",d_Irr!AG29=".",d_Irr!BF29="."),d_dir!AI29*1000)))))))),".")</f>
        <v>.</v>
      </c>
      <c r="AJ29" s="76" t="str">
        <f>IFERROR(IF(AND(d_Irr!I29&lt;&gt;".",d_Irr!AH29&lt;&gt;".",d_Irr!BG29&lt;&gt;"."),d_dir!AJ29/((1/1000)*(d_Irr!I29+d_Irr!AH29+d_Irr!BG29)),IF(AND(d_Irr!I29&lt;&gt;".",d_Irr!AH29&lt;&gt;".",d_Irr!BG29="."),d_dir!AJ29/((1/1000)*(d_Irr!I29+d_Irr!AH29)),IF(AND(d_Irr!I29&lt;&gt;".",d_Irr!AH29=".",d_Irr!BG29&lt;&gt;"."),d_dir!AJ29/((1/1000)*(d_Irr!I29+d_Irr!BG29)),IF(AND(d_Irr!I29=".",d_Irr!AH29&lt;&gt;".",d_Irr!BG29&lt;&gt;"."),d_dir!AJ29/((1/1000)*(d_Irr!AH29+d_Irr!BG29)),IF(AND(d_Irr!I29=".",d_Irr!AH29=".",d_Irr!BG29&lt;&gt;"."),d_dir!AJ29/((1/1000)*(d_Irr!BG29)),IF(AND(d_Irr!I29=".",d_Irr!AH29&lt;&gt;".",d_Irr!BG29="."),d_dir!AJ29/((1/1000)*(d_Irr!AH29)),IF(AND(d_Irr!I29&lt;&gt;".",d_Irr!AH29=".",d_Irr!BG29="."),d_dir!AJ29/((1/1000)*(d_Irr!I29)),IF(AND(d_Irr!I29=".",d_Irr!AH29=".",d_Irr!BG29="."),d_dir!AJ29*1000)))))))),".")</f>
        <v>.</v>
      </c>
      <c r="AK29" s="76" t="str">
        <f>IFERROR(IF(AND(d_Irr!J29&lt;&gt;".",d_Irr!AI29&lt;&gt;".",d_Irr!BH29&lt;&gt;"."),d_dir!AK29/((1/1000)*(d_Irr!J29+d_Irr!AI29+d_Irr!BH29)),IF(AND(d_Irr!J29&lt;&gt;".",d_Irr!AI29&lt;&gt;".",d_Irr!BH29="."),d_dir!AK29/((1/1000)*(d_Irr!J29+d_Irr!AI29)),IF(AND(d_Irr!J29&lt;&gt;".",d_Irr!AI29=".",d_Irr!BH29&lt;&gt;"."),d_dir!AK29/((1/1000)*(d_Irr!J29+d_Irr!BH29)),IF(AND(d_Irr!J29=".",d_Irr!AI29&lt;&gt;".",d_Irr!BH29&lt;&gt;"."),d_dir!AK29/((1/1000)*(d_Irr!AI29+d_Irr!BH29)),IF(AND(d_Irr!J29=".",d_Irr!AI29=".",d_Irr!BH29&lt;&gt;"."),d_dir!AK29/((1/1000)*(d_Irr!BH29)),IF(AND(d_Irr!J29=".",d_Irr!AI29&lt;&gt;".",d_Irr!BH29="."),d_dir!AK29/((1/1000)*(d_Irr!AI29)),IF(AND(d_Irr!J29&lt;&gt;".",d_Irr!AI29=".",d_Irr!BH29="."),d_dir!AK29/((1/1000)*(d_Irr!J29)),IF(AND(d_Irr!J29=".",d_Irr!AI29=".",d_Irr!BH29="."),d_dir!AK29*1000)))))))),".")</f>
        <v>.</v>
      </c>
      <c r="AL29" s="76" t="str">
        <f>IFERROR(IF(AND(d_Irr!K29&lt;&gt;".",d_Irr!AJ29&lt;&gt;".",d_Irr!BI29&lt;&gt;"."),d_dir!AL29/((1/1000)*(d_Irr!K29+d_Irr!AJ29+d_Irr!BI29)),IF(AND(d_Irr!K29&lt;&gt;".",d_Irr!AJ29&lt;&gt;".",d_Irr!BI29="."),d_dir!AL29/((1/1000)*(d_Irr!K29+d_Irr!AJ29)),IF(AND(d_Irr!K29&lt;&gt;".",d_Irr!AJ29=".",d_Irr!BI29&lt;&gt;"."),d_dir!AL29/((1/1000)*(d_Irr!K29+d_Irr!BI29)),IF(AND(d_Irr!K29=".",d_Irr!AJ29&lt;&gt;".",d_Irr!BI29&lt;&gt;"."),d_dir!AL29/((1/1000)*(d_Irr!AJ29+d_Irr!BI29)),IF(AND(d_Irr!K29=".",d_Irr!AJ29=".",d_Irr!BI29&lt;&gt;"."),d_dir!AL29/((1/1000)*(d_Irr!BI29)),IF(AND(d_Irr!K29=".",d_Irr!AJ29&lt;&gt;".",d_Irr!BI29="."),d_dir!AL29/((1/1000)*(d_Irr!AJ29)),IF(AND(d_Irr!K29&lt;&gt;".",d_Irr!AJ29=".",d_Irr!BI29="."),d_dir!AL29/((1/1000)*(d_Irr!K29)),IF(AND(d_Irr!K29=".",d_Irr!AJ29=".",d_Irr!BI29="."),d_dir!AL29*1000)))))))),".")</f>
        <v>.</v>
      </c>
      <c r="AM29" s="76" t="str">
        <f>IFERROR(IF(AND(d_Irr!L29&lt;&gt;".",d_Irr!AK29&lt;&gt;".",d_Irr!BJ29&lt;&gt;"."),d_dir!AM29/((1/1000)*(d_Irr!L29+d_Irr!AK29+d_Irr!BJ29)),IF(AND(d_Irr!L29&lt;&gt;".",d_Irr!AK29&lt;&gt;".",d_Irr!BJ29="."),d_dir!AM29/((1/1000)*(d_Irr!L29+d_Irr!AK29)),IF(AND(d_Irr!L29&lt;&gt;".",d_Irr!AK29=".",d_Irr!BJ29&lt;&gt;"."),d_dir!AM29/((1/1000)*(d_Irr!L29+d_Irr!BJ29)),IF(AND(d_Irr!L29=".",d_Irr!AK29&lt;&gt;".",d_Irr!BJ29&lt;&gt;"."),d_dir!AM29/((1/1000)*(d_Irr!AK29+d_Irr!BJ29)),IF(AND(d_Irr!L29=".",d_Irr!AK29=".",d_Irr!BJ29&lt;&gt;"."),d_dir!AM29/((1/1000)*(d_Irr!BJ29)),IF(AND(d_Irr!L29=".",d_Irr!AK29&lt;&gt;".",d_Irr!BJ29="."),d_dir!AM29/((1/1000)*(d_Irr!AK29)),IF(AND(d_Irr!L29&lt;&gt;".",d_Irr!AK29=".",d_Irr!BJ29="."),d_dir!AM29/((1/1000)*(d_Irr!L29)),IF(AND(d_Irr!L29=".",d_Irr!AK29=".",d_Irr!BJ29="."),d_dir!AM29*1000)))))))),".")</f>
        <v>.</v>
      </c>
      <c r="AN29" s="76" t="str">
        <f>IFERROR(IF(AND(d_Irr!M29&lt;&gt;".",d_Irr!AL29&lt;&gt;".",d_Irr!BK29&lt;&gt;"."),d_dir!AN29/((1/1000)*(d_Irr!M29+d_Irr!AL29+d_Irr!BK29)),IF(AND(d_Irr!M29&lt;&gt;".",d_Irr!AL29&lt;&gt;".",d_Irr!BK29="."),d_dir!AN29/((1/1000)*(d_Irr!M29+d_Irr!AL29)),IF(AND(d_Irr!M29&lt;&gt;".",d_Irr!AL29=".",d_Irr!BK29&lt;&gt;"."),d_dir!AN29/((1/1000)*(d_Irr!M29+d_Irr!BK29)),IF(AND(d_Irr!M29=".",d_Irr!AL29&lt;&gt;".",d_Irr!BK29&lt;&gt;"."),d_dir!AN29/((1/1000)*(d_Irr!AL29+d_Irr!BK29)),IF(AND(d_Irr!M29=".",d_Irr!AL29=".",d_Irr!BK29&lt;&gt;"."),d_dir!AN29/((1/1000)*(d_Irr!BK29)),IF(AND(d_Irr!M29=".",d_Irr!AL29&lt;&gt;".",d_Irr!BK29="."),d_dir!AN29/((1/1000)*(d_Irr!AL29)),IF(AND(d_Irr!M29&lt;&gt;".",d_Irr!AL29=".",d_Irr!BK29="."),d_dir!AN29/((1/1000)*(d_Irr!M29)),IF(AND(d_Irr!M29=".",d_Irr!AL29=".",d_Irr!BK29="."),d_dir!AN29*1000)))))))),".")</f>
        <v>.</v>
      </c>
      <c r="AO29" s="76" t="str">
        <f>IFERROR(IF(AND(d_Irr!N29&lt;&gt;".",d_Irr!AM29&lt;&gt;".",d_Irr!BL29&lt;&gt;"."),d_dir!AO29/((1/1000)*(d_Irr!N29+d_Irr!AM29+d_Irr!BL29)),IF(AND(d_Irr!N29&lt;&gt;".",d_Irr!AM29&lt;&gt;".",d_Irr!BL29="."),d_dir!AO29/((1/1000)*(d_Irr!N29+d_Irr!AM29)),IF(AND(d_Irr!N29&lt;&gt;".",d_Irr!AM29=".",d_Irr!BL29&lt;&gt;"."),d_dir!AO29/((1/1000)*(d_Irr!N29+d_Irr!BL29)),IF(AND(d_Irr!N29=".",d_Irr!AM29&lt;&gt;".",d_Irr!BL29&lt;&gt;"."),d_dir!AO29/((1/1000)*(d_Irr!AM29+d_Irr!BL29)),IF(AND(d_Irr!N29=".",d_Irr!AM29=".",d_Irr!BL29&lt;&gt;"."),d_dir!AO29/((1/1000)*(d_Irr!BL29)),IF(AND(d_Irr!N29=".",d_Irr!AM29&lt;&gt;".",d_Irr!BL29="."),d_dir!AO29/((1/1000)*(d_Irr!AM29)),IF(AND(d_Irr!N29&lt;&gt;".",d_Irr!AM29=".",d_Irr!BL29="."),d_dir!AO29/((1/1000)*(d_Irr!N29)),IF(AND(d_Irr!N29=".",d_Irr!AM29=".",d_Irr!BL29="."),d_dir!AO29*1000)))))))),".")</f>
        <v>.</v>
      </c>
      <c r="AP29" s="76" t="str">
        <f>IFERROR(IF(AND(d_Irr!O29&lt;&gt;".",d_Irr!AN29&lt;&gt;".",d_Irr!BM29&lt;&gt;"."),d_dir!AP29/((1/1000)*(d_Irr!O29+d_Irr!AN29+d_Irr!BM29)),IF(AND(d_Irr!O29&lt;&gt;".",d_Irr!AN29&lt;&gt;".",d_Irr!BM29="."),d_dir!AP29/((1/1000)*(d_Irr!O29+d_Irr!AN29)),IF(AND(d_Irr!O29&lt;&gt;".",d_Irr!AN29=".",d_Irr!BM29&lt;&gt;"."),d_dir!AP29/((1/1000)*(d_Irr!O29+d_Irr!BM29)),IF(AND(d_Irr!O29=".",d_Irr!AN29&lt;&gt;".",d_Irr!BM29&lt;&gt;"."),d_dir!AP29/((1/1000)*(d_Irr!AN29+d_Irr!BM29)),IF(AND(d_Irr!O29=".",d_Irr!AN29=".",d_Irr!BM29&lt;&gt;"."),d_dir!AP29/((1/1000)*(d_Irr!BM29)),IF(AND(d_Irr!O29=".",d_Irr!AN29&lt;&gt;".",d_Irr!BM29="."),d_dir!AP29/((1/1000)*(d_Irr!AN29)),IF(AND(d_Irr!O29&lt;&gt;".",d_Irr!AN29=".",d_Irr!BM29="."),d_dir!AP29/((1/1000)*(d_Irr!O29)),IF(AND(d_Irr!O29=".",d_Irr!AN29=".",d_Irr!BM29="."),d_dir!AP29*1000)))))))),".")</f>
        <v>.</v>
      </c>
      <c r="AQ29" s="76" t="str">
        <f>IFERROR(IF(AND(d_Irr!P29&lt;&gt;".",d_Irr!AO29&lt;&gt;".",d_Irr!BN29&lt;&gt;"."),d_dir!AQ29/((1/1000)*(d_Irr!P29+d_Irr!AO29+d_Irr!BN29)),IF(AND(d_Irr!P29&lt;&gt;".",d_Irr!AO29&lt;&gt;".",d_Irr!BN29="."),d_dir!AQ29/((1/1000)*(d_Irr!P29+d_Irr!AO29)),IF(AND(d_Irr!P29&lt;&gt;".",d_Irr!AO29=".",d_Irr!BN29&lt;&gt;"."),d_dir!AQ29/((1/1000)*(d_Irr!P29+d_Irr!BN29)),IF(AND(d_Irr!P29=".",d_Irr!AO29&lt;&gt;".",d_Irr!BN29&lt;&gt;"."),d_dir!AQ29/((1/1000)*(d_Irr!AO29+d_Irr!BN29)),IF(AND(d_Irr!P29=".",d_Irr!AO29=".",d_Irr!BN29&lt;&gt;"."),d_dir!AQ29/((1/1000)*(d_Irr!BN29)),IF(AND(d_Irr!P29=".",d_Irr!AO29&lt;&gt;".",d_Irr!BN29="."),d_dir!AQ29/((1/1000)*(d_Irr!AO29)),IF(AND(d_Irr!P29&lt;&gt;".",d_Irr!AO29=".",d_Irr!BN29="."),d_dir!AQ29/((1/1000)*(d_Irr!P29)),IF(AND(d_Irr!P29=".",d_Irr!AO29=".",d_Irr!BN29="."),d_dir!AQ29*1000)))))))),".")</f>
        <v>.</v>
      </c>
      <c r="AR29" s="76" t="str">
        <f>IFERROR(IF(AND(d_Irr!Q29&lt;&gt;".",d_Irr!AP29&lt;&gt;".",d_Irr!BO29&lt;&gt;"."),d_dir!AR29/((1/1000)*(d_Irr!Q29+d_Irr!AP29+d_Irr!BO29)),IF(AND(d_Irr!Q29&lt;&gt;".",d_Irr!AP29&lt;&gt;".",d_Irr!BO29="."),d_dir!AR29/((1/1000)*(d_Irr!Q29+d_Irr!AP29)),IF(AND(d_Irr!Q29&lt;&gt;".",d_Irr!AP29=".",d_Irr!BO29&lt;&gt;"."),d_dir!AR29/((1/1000)*(d_Irr!Q29+d_Irr!BO29)),IF(AND(d_Irr!Q29=".",d_Irr!AP29&lt;&gt;".",d_Irr!BO29&lt;&gt;"."),d_dir!AR29/((1/1000)*(d_Irr!AP29+d_Irr!BO29)),IF(AND(d_Irr!Q29=".",d_Irr!AP29=".",d_Irr!BO29&lt;&gt;"."),d_dir!AR29/((1/1000)*(d_Irr!BO29)),IF(AND(d_Irr!Q29=".",d_Irr!AP29&lt;&gt;".",d_Irr!BO29="."),d_dir!AR29/((1/1000)*(d_Irr!AP29)),IF(AND(d_Irr!Q29&lt;&gt;".",d_Irr!AP29=".",d_Irr!BO29="."),d_dir!AR29/((1/1000)*(d_Irr!Q29)),IF(AND(d_Irr!Q29=".",d_Irr!AP29=".",d_Irr!BO29="."),d_dir!AR29*1000)))))))),".")</f>
        <v>.</v>
      </c>
      <c r="AS29" s="76" t="str">
        <f>IFERROR(IF(AND(d_Irr!R29&lt;&gt;".",d_Irr!AQ29&lt;&gt;".",d_Irr!BP29&lt;&gt;"."),d_dir!AS29/((1/1000)*(d_Irr!R29+d_Irr!AQ29+d_Irr!BP29)),IF(AND(d_Irr!R29&lt;&gt;".",d_Irr!AQ29&lt;&gt;".",d_Irr!BP29="."),d_dir!AS29/((1/1000)*(d_Irr!R29+d_Irr!AQ29)),IF(AND(d_Irr!R29&lt;&gt;".",d_Irr!AQ29=".",d_Irr!BP29&lt;&gt;"."),d_dir!AS29/((1/1000)*(d_Irr!R29+d_Irr!BP29)),IF(AND(d_Irr!R29=".",d_Irr!AQ29&lt;&gt;".",d_Irr!BP29&lt;&gt;"."),d_dir!AS29/((1/1000)*(d_Irr!AQ29+d_Irr!BP29)),IF(AND(d_Irr!R29=".",d_Irr!AQ29=".",d_Irr!BP29&lt;&gt;"."),d_dir!AS29/((1/1000)*(d_Irr!BP29)),IF(AND(d_Irr!R29=".",d_Irr!AQ29&lt;&gt;".",d_Irr!BP29="."),d_dir!AS29/((1/1000)*(d_Irr!AQ29)),IF(AND(d_Irr!R29&lt;&gt;".",d_Irr!AQ29=".",d_Irr!BP29="."),d_dir!AS29/((1/1000)*(d_Irr!R29)),IF(AND(d_Irr!R29=".",d_Irr!AQ29=".",d_Irr!BP29="."),d_dir!AS29*1000)))))))),".")</f>
        <v>.</v>
      </c>
      <c r="AT29" s="76" t="str">
        <f>IFERROR(IF(AND(d_Irr!S29&lt;&gt;".",d_Irr!AR29&lt;&gt;".",d_Irr!BQ29&lt;&gt;"."),d_dir!AT29/((1/1000)*(d_Irr!S29+d_Irr!AR29+d_Irr!BQ29)),IF(AND(d_Irr!S29&lt;&gt;".",d_Irr!AR29&lt;&gt;".",d_Irr!BQ29="."),d_dir!AT29/((1/1000)*(d_Irr!S29+d_Irr!AR29)),IF(AND(d_Irr!S29&lt;&gt;".",d_Irr!AR29=".",d_Irr!BQ29&lt;&gt;"."),d_dir!AT29/((1/1000)*(d_Irr!S29+d_Irr!BQ29)),IF(AND(d_Irr!S29=".",d_Irr!AR29&lt;&gt;".",d_Irr!BQ29&lt;&gt;"."),d_dir!AT29/((1/1000)*(d_Irr!AR29+d_Irr!BQ29)),IF(AND(d_Irr!S29=".",d_Irr!AR29=".",d_Irr!BQ29&lt;&gt;"."),d_dir!AT29/((1/1000)*(d_Irr!BQ29)),IF(AND(d_Irr!S29=".",d_Irr!AR29&lt;&gt;".",d_Irr!BQ29="."),d_dir!AT29/((1/1000)*(d_Irr!AR29)),IF(AND(d_Irr!S29&lt;&gt;".",d_Irr!AR29=".",d_Irr!BQ29="."),d_dir!AT29/((1/1000)*(d_Irr!S29)),IF(AND(d_Irr!S29=".",d_Irr!AR29=".",d_Irr!BQ29="."),d_dir!AT29*1000)))))))),".")</f>
        <v>.</v>
      </c>
      <c r="AU29" s="76" t="str">
        <f>IFERROR(IF(AND(d_Irr!T29&lt;&gt;".",d_Irr!AS29&lt;&gt;".",d_Irr!BR29&lt;&gt;"."),d_dir!AU29/((1/1000)*(d_Irr!T29+d_Irr!AS29+d_Irr!BR29)),IF(AND(d_Irr!T29&lt;&gt;".",d_Irr!AS29&lt;&gt;".",d_Irr!BR29="."),d_dir!AU29/((1/1000)*(d_Irr!T29+d_Irr!AS29)),IF(AND(d_Irr!T29&lt;&gt;".",d_Irr!AS29=".",d_Irr!BR29&lt;&gt;"."),d_dir!AU29/((1/1000)*(d_Irr!T29+d_Irr!BR29)),IF(AND(d_Irr!T29=".",d_Irr!AS29&lt;&gt;".",d_Irr!BR29&lt;&gt;"."),d_dir!AU29/((1/1000)*(d_Irr!AS29+d_Irr!BR29)),IF(AND(d_Irr!T29=".",d_Irr!AS29=".",d_Irr!BR29&lt;&gt;"."),d_dir!AU29/((1/1000)*(d_Irr!BR29)),IF(AND(d_Irr!T29=".",d_Irr!AS29&lt;&gt;".",d_Irr!BR29="."),d_dir!AU29/((1/1000)*(d_Irr!AS29)),IF(AND(d_Irr!T29&lt;&gt;".",d_Irr!AS29=".",d_Irr!BR29="."),d_dir!AU29/((1/1000)*(d_Irr!T29)),IF(AND(d_Irr!T29=".",d_Irr!AS29=".",d_Irr!BR29="."),d_dir!AU29*1000)))))))),".")</f>
        <v>.</v>
      </c>
      <c r="AV29" s="76" t="str">
        <f>IFERROR(IF(AND(d_Irr!U29&lt;&gt;".",d_Irr!AT29&lt;&gt;".",d_Irr!BS29&lt;&gt;"."),d_dir!AV29/((1/1000)*(d_Irr!U29+d_Irr!AT29+d_Irr!BS29)),IF(AND(d_Irr!U29&lt;&gt;".",d_Irr!AT29&lt;&gt;".",d_Irr!BS29="."),d_dir!AV29/((1/1000)*(d_Irr!U29+d_Irr!AT29)),IF(AND(d_Irr!U29&lt;&gt;".",d_Irr!AT29=".",d_Irr!BS29&lt;&gt;"."),d_dir!AV29/((1/1000)*(d_Irr!U29+d_Irr!BS29)),IF(AND(d_Irr!U29=".",d_Irr!AT29&lt;&gt;".",d_Irr!BS29&lt;&gt;"."),d_dir!AV29/((1/1000)*(d_Irr!AT29+d_Irr!BS29)),IF(AND(d_Irr!U29=".",d_Irr!AT29=".",d_Irr!BS29&lt;&gt;"."),d_dir!AV29/((1/1000)*(d_Irr!BS29)),IF(AND(d_Irr!U29=".",d_Irr!AT29&lt;&gt;".",d_Irr!BS29="."),d_dir!AV29/((1/1000)*(d_Irr!AT29)),IF(AND(d_Irr!U29&lt;&gt;".",d_Irr!AT29=".",d_Irr!BS29="."),d_dir!AV29/((1/1000)*(d_Irr!U29)),IF(AND(d_Irr!U29=".",d_Irr!AT29=".",d_Irr!BS29="."),d_dir!AV29*1000)))))))),".")</f>
        <v>.</v>
      </c>
      <c r="AW29" s="76" t="str">
        <f>IFERROR(IF(AND(d_Irr!V29&lt;&gt;".",d_Irr!AU29&lt;&gt;".",d_Irr!BT29&lt;&gt;"."),d_dir!AW29/((1/1000)*(d_Irr!V29+d_Irr!AU29+d_Irr!BT29)),IF(AND(d_Irr!V29&lt;&gt;".",d_Irr!AU29&lt;&gt;".",d_Irr!BT29="."),d_dir!AW29/((1/1000)*(d_Irr!V29+d_Irr!AU29)),IF(AND(d_Irr!V29&lt;&gt;".",d_Irr!AU29=".",d_Irr!BT29&lt;&gt;"."),d_dir!AW29/((1/1000)*(d_Irr!V29+d_Irr!BT29)),IF(AND(d_Irr!V29=".",d_Irr!AU29&lt;&gt;".",d_Irr!BT29&lt;&gt;"."),d_dir!AW29/((1/1000)*(d_Irr!AU29+d_Irr!BT29)),IF(AND(d_Irr!V29=".",d_Irr!AU29=".",d_Irr!BT29&lt;&gt;"."),d_dir!AW29/((1/1000)*(d_Irr!BT29)),IF(AND(d_Irr!V29=".",d_Irr!AU29&lt;&gt;".",d_Irr!BT29="."),d_dir!AW29/((1/1000)*(d_Irr!AU29)),IF(AND(d_Irr!V29&lt;&gt;".",d_Irr!AU29=".",d_Irr!BT29="."),d_dir!AW29/((1/1000)*(d_Irr!V29)),IF(AND(d_Irr!V29=".",d_Irr!AU29=".",d_Irr!BT29="."),d_dir!AW29*1000)))))))),".")</f>
        <v>.</v>
      </c>
      <c r="AX29" s="76" t="str">
        <f>IFERROR(IF(AND(d_Irr!W29&lt;&gt;".",d_Irr!AV29&lt;&gt;".",d_Irr!BU29&lt;&gt;"."),d_dir!AX29/((1/1000)*(d_Irr!W29+d_Irr!AV29+d_Irr!BU29)),IF(AND(d_Irr!W29&lt;&gt;".",d_Irr!AV29&lt;&gt;".",d_Irr!BU29="."),d_dir!AX29/((1/1000)*(d_Irr!W29+d_Irr!AV29)),IF(AND(d_Irr!W29&lt;&gt;".",d_Irr!AV29=".",d_Irr!BU29&lt;&gt;"."),d_dir!AX29/((1/1000)*(d_Irr!W29+d_Irr!BU29)),IF(AND(d_Irr!W29=".",d_Irr!AV29&lt;&gt;".",d_Irr!BU29&lt;&gt;"."),d_dir!AX29/((1/1000)*(d_Irr!AV29+d_Irr!BU29)),IF(AND(d_Irr!W29=".",d_Irr!AV29=".",d_Irr!BU29&lt;&gt;"."),d_dir!AX29/((1/1000)*(d_Irr!BU29)),IF(AND(d_Irr!W29=".",d_Irr!AV29&lt;&gt;".",d_Irr!BU29="."),d_dir!AX29/((1/1000)*(d_Irr!AV29)),IF(AND(d_Irr!W29&lt;&gt;".",d_Irr!AV29=".",d_Irr!BU29="."),d_dir!AX29/((1/1000)*(d_Irr!W29)),IF(AND(d_Irr!W29=".",d_Irr!AV29=".",d_Irr!BU29="."),d_dir!AX29*1000)))))))),".")</f>
        <v>.</v>
      </c>
      <c r="AY29" s="76" t="str">
        <f>IFERROR(IF(AND(d_Irr!X29&lt;&gt;".",d_Irr!AW29&lt;&gt;".",d_Irr!BV29&lt;&gt;"."),d_dir!AY29/((1/1000)*(d_Irr!X29+d_Irr!AW29+d_Irr!BV29)),IF(AND(d_Irr!X29&lt;&gt;".",d_Irr!AW29&lt;&gt;".",d_Irr!BV29="."),d_dir!AY29/((1/1000)*(d_Irr!X29+d_Irr!AW29)),IF(AND(d_Irr!X29&lt;&gt;".",d_Irr!AW29=".",d_Irr!BV29&lt;&gt;"."),d_dir!AY29/((1/1000)*(d_Irr!X29+d_Irr!BV29)),IF(AND(d_Irr!X29=".",d_Irr!AW29&lt;&gt;".",d_Irr!BV29&lt;&gt;"."),d_dir!AY29/((1/1000)*(d_Irr!AW29+d_Irr!BV29)),IF(AND(d_Irr!X29=".",d_Irr!AW29=".",d_Irr!BV29&lt;&gt;"."),d_dir!AY29/((1/1000)*(d_Irr!BV29)),IF(AND(d_Irr!X29=".",d_Irr!AW29&lt;&gt;".",d_Irr!BV29="."),d_dir!AY29/((1/1000)*(d_Irr!AW29)),IF(AND(d_Irr!X29&lt;&gt;".",d_Irr!AW29=".",d_Irr!BV29="."),d_dir!AY29/((1/1000)*(d_Irr!X29)),IF(AND(d_Irr!X29=".",d_Irr!AW29=".",d_Irr!BV29="."),d_dir!AY29*1000)))))))),".")</f>
        <v>.</v>
      </c>
      <c r="AZ29" s="76" t="str">
        <f>IFERROR(IF(AND(d_Irr!Y29&lt;&gt;".",d_Irr!AX29&lt;&gt;".",d_Irr!BW29&lt;&gt;"."),d_dir!AZ29/((1/1000)*(d_Irr!Y29+d_Irr!AX29+d_Irr!BW29)),IF(AND(d_Irr!Y29&lt;&gt;".",d_Irr!AX29&lt;&gt;".",d_Irr!BW29="."),d_dir!AZ29/((1/1000)*(d_Irr!Y29+d_Irr!AX29)),IF(AND(d_Irr!Y29&lt;&gt;".",d_Irr!AX29=".",d_Irr!BW29&lt;&gt;"."),d_dir!AZ29/((1/1000)*(d_Irr!Y29+d_Irr!BW29)),IF(AND(d_Irr!Y29=".",d_Irr!AX29&lt;&gt;".",d_Irr!BW29&lt;&gt;"."),d_dir!AZ29/((1/1000)*(d_Irr!AX29+d_Irr!BW29)),IF(AND(d_Irr!Y29=".",d_Irr!AX29=".",d_Irr!BW29&lt;&gt;"."),d_dir!AZ29/((1/1000)*(d_Irr!BW29)),IF(AND(d_Irr!Y29=".",d_Irr!AX29&lt;&gt;".",d_Irr!BW29="."),d_dir!AZ29/((1/1000)*(d_Irr!AX29)),IF(AND(d_Irr!Y29&lt;&gt;".",d_Irr!AX29=".",d_Irr!BW29="."),d_dir!AZ29/((1/1000)*(d_Irr!Y29)),IF(AND(d_Irr!Y29=".",d_Irr!AX29=".",d_Irr!BW29="."),d_dir!AZ29*1000)))))))),".")</f>
        <v>.</v>
      </c>
      <c r="BA29" s="76" t="str">
        <f>IFERROR(IF(AND(d_Irr!Z29&lt;&gt;".",d_Irr!AY29&lt;&gt;".",d_Irr!BX29&lt;&gt;"."),d_dir!BA29/((1/1000)*(d_Irr!Z29+d_Irr!AY29+d_Irr!BX29)),IF(AND(d_Irr!Z29&lt;&gt;".",d_Irr!AY29&lt;&gt;".",d_Irr!BX29="."),d_dir!BA29/((1/1000)*(d_Irr!Z29+d_Irr!AY29)),IF(AND(d_Irr!Z29&lt;&gt;".",d_Irr!AY29=".",d_Irr!BX29&lt;&gt;"."),d_dir!BA29/((1/1000)*(d_Irr!Z29+d_Irr!BX29)),IF(AND(d_Irr!Z29=".",d_Irr!AY29&lt;&gt;".",d_Irr!BX29&lt;&gt;"."),d_dir!BA29/((1/1000)*(d_Irr!AY29+d_Irr!BX29)),IF(AND(d_Irr!Z29=".",d_Irr!AY29=".",d_Irr!BX29&lt;&gt;"."),d_dir!BA29/((1/1000)*(d_Irr!BX29)),IF(AND(d_Irr!Z29=".",d_Irr!AY29&lt;&gt;".",d_Irr!BX29="."),d_dir!BA29/((1/1000)*(d_Irr!AY29)),IF(AND(d_Irr!Z29&lt;&gt;".",d_Irr!AY29=".",d_Irr!BX29="."),d_dir!BA29/((1/1000)*(d_Irr!Z29)),IF(AND(d_Irr!Z29=".",d_Irr!AY29=".",d_Irr!BX29="."),d_dir!BA29*1000)))))))),".")</f>
        <v>.</v>
      </c>
      <c r="BB29" s="76" t="str">
        <f>IFERROR(IF(AND(d_Irr!AA29&lt;&gt;".",d_Irr!AZ29&lt;&gt;".",d_Irr!BY29&lt;&gt;"."),d_dir!BB29/((1/1000)*(d_Irr!AA29+d_Irr!AZ29+d_Irr!BY29)),IF(AND(d_Irr!AA29&lt;&gt;".",d_Irr!AZ29&lt;&gt;".",d_Irr!BY29="."),d_dir!BB29/((1/1000)*(d_Irr!AA29+d_Irr!AZ29)),IF(AND(d_Irr!AA29&lt;&gt;".",d_Irr!AZ29=".",d_Irr!BY29&lt;&gt;"."),d_dir!BB29/((1/1000)*(d_Irr!AA29+d_Irr!BY29)),IF(AND(d_Irr!AA29=".",d_Irr!AZ29&lt;&gt;".",d_Irr!BY29&lt;&gt;"."),d_dir!BB29/((1/1000)*(d_Irr!AZ29+d_Irr!BY29)),IF(AND(d_Irr!AA29=".",d_Irr!AZ29=".",d_Irr!BY29&lt;&gt;"."),d_dir!BB29/((1/1000)*(d_Irr!BY29)),IF(AND(d_Irr!AA29=".",d_Irr!AZ29&lt;&gt;".",d_Irr!BY29="."),d_dir!BB29/((1/1000)*(d_Irr!AZ29)),IF(AND(d_Irr!AA29&lt;&gt;".",d_Irr!AZ29=".",d_Irr!BY29="."),d_dir!BB29/((1/1000)*(d_Irr!AA29)),IF(AND(d_Irr!AA29=".",d_Irr!AZ29=".",d_Irr!BY29="."),d_dir!BB29*1000)))))))),".")</f>
        <v>.</v>
      </c>
    </row>
    <row r="30" spans="1:54" ht="15" customHeight="1" x14ac:dyDescent="0.25">
      <c r="A30" s="92" t="s">
        <v>40</v>
      </c>
      <c r="B30" s="90" t="s">
        <v>1071</v>
      </c>
      <c r="C30" s="2">
        <f t="shared" si="1"/>
        <v>0.21751114979702754</v>
      </c>
      <c r="D30" s="76">
        <f>IFERROR(IF(AND(d_Irr!C30&lt;&gt;".",d_Irr!AB30&lt;&gt;".",d_Irr!BA30&lt;&gt;"."),d_dir!D30/((1/1000)*(d_Irr!C30+d_Irr!AB30+d_Irr!BA30)),IF(AND(d_Irr!C30&lt;&gt;".",d_Irr!AB30&lt;&gt;".",d_Irr!BA30="."),d_dir!D30/((1/1000)*(d_Irr!C30+d_Irr!AB30)),IF(AND(d_Irr!C30&lt;&gt;".",d_Irr!AB30=".",d_Irr!BA30&lt;&gt;"."),d_dir!D30/((1/1000)*(d_Irr!C30+d_Irr!BA30)),IF(AND(d_Irr!C30=".",d_Irr!AB30&lt;&gt;".",d_Irr!BA30&lt;&gt;"."),d_dir!D30/((1/1000)*(d_Irr!AB30+d_Irr!BA30)),IF(AND(d_Irr!C30=".",d_Irr!AB30=".",d_Irr!BA30&lt;&gt;"."),d_dir!D30/((1/1000)*(d_Irr!BA30)),IF(AND(d_Irr!C30=".",d_Irr!AB30&lt;&gt;".",d_Irr!BA30="."),d_dir!D30/((1/1000)*(d_Irr!AB30)),IF(AND(d_Irr!C30&lt;&gt;".",d_Irr!AB30=".",d_Irr!BA30="."),d_dir!D30/((1/1000)*(d_Irr!C30)),IF(AND(d_Irr!C30=".",d_Irr!AB30=".",d_Irr!BA30="."),d_dir!D30*1000)))))))),".")</f>
        <v>4.188797563511419</v>
      </c>
      <c r="E30" s="76">
        <f>IFERROR(IF(AND(d_Irr!D30&lt;&gt;".",d_Irr!AC30&lt;&gt;".",d_Irr!BB30&lt;&gt;"."),d_dir!E30/((1/1000)*(d_Irr!D30+d_Irr!AC30+d_Irr!BB30)),IF(AND(d_Irr!D30&lt;&gt;".",d_Irr!AC30&lt;&gt;".",d_Irr!BB30="."),d_dir!E30/((1/1000)*(d_Irr!D30+d_Irr!AC30)),IF(AND(d_Irr!D30&lt;&gt;".",d_Irr!AC30=".",d_Irr!BB30&lt;&gt;"."),d_dir!E30/((1/1000)*(d_Irr!D30+d_Irr!BB30)),IF(AND(d_Irr!D30=".",d_Irr!AC30&lt;&gt;".",d_Irr!BB30&lt;&gt;"."),d_dir!E30/((1/1000)*(d_Irr!AC30+d_Irr!BB30)),IF(AND(d_Irr!D30=".",d_Irr!AC30=".",d_Irr!BB30&lt;&gt;"."),d_dir!E30/((1/1000)*(d_Irr!BB30)),IF(AND(d_Irr!D30=".",d_Irr!AC30&lt;&gt;".",d_Irr!BB30="."),d_dir!E30/((1/1000)*(d_Irr!AC30)),IF(AND(d_Irr!D30&lt;&gt;".",d_Irr!AC30=".",d_Irr!BB30="."),d_dir!E30/((1/1000)*(d_Irr!D30)),IF(AND(d_Irr!D30=".",d_Irr!AC30=".",d_Irr!BB30="."),d_dir!E30*1000)))))))),".")</f>
        <v>7.7394853230517118</v>
      </c>
      <c r="F30" s="76">
        <f>IFERROR(IF(AND(d_Irr!E30&lt;&gt;".",d_Irr!AD30&lt;&gt;".",d_Irr!BC30&lt;&gt;"."),d_dir!F30/((1/1000)*(d_Irr!E30+d_Irr!AD30+d_Irr!BC30)),IF(AND(d_Irr!E30&lt;&gt;".",d_Irr!AD30&lt;&gt;".",d_Irr!BC30="."),d_dir!F30/((1/1000)*(d_Irr!E30+d_Irr!AD30)),IF(AND(d_Irr!E30&lt;&gt;".",d_Irr!AD30=".",d_Irr!BC30&lt;&gt;"."),d_dir!F30/((1/1000)*(d_Irr!E30+d_Irr!BC30)),IF(AND(d_Irr!E30=".",d_Irr!AD30&lt;&gt;".",d_Irr!BC30&lt;&gt;"."),d_dir!F30/((1/1000)*(d_Irr!AD30+d_Irr!BC30)),IF(AND(d_Irr!E30=".",d_Irr!AD30=".",d_Irr!BC30&lt;&gt;"."),d_dir!F30/((1/1000)*(d_Irr!BC30)),IF(AND(d_Irr!E30=".",d_Irr!AD30&lt;&gt;".",d_Irr!BC30="."),d_dir!F30/((1/1000)*(d_Irr!AD30)),IF(AND(d_Irr!E30&lt;&gt;".",d_Irr!AD30=".",d_Irr!BC30="."),d_dir!F30/((1/1000)*(d_Irr!E30)),IF(AND(d_Irr!E30=".",d_Irr!AD30=".",d_Irr!BC30="."),d_dir!F30*1000)))))))),".")</f>
        <v>10.312279705302965</v>
      </c>
      <c r="G30" s="76">
        <f>IFERROR(IF(AND(d_Irr!F30&lt;&gt;".",d_Irr!AE30&lt;&gt;".",d_Irr!BD30&lt;&gt;"."),d_dir!G30/((1/1000)*(d_Irr!F30+d_Irr!AE30+d_Irr!BD30)),IF(AND(d_Irr!F30&lt;&gt;".",d_Irr!AE30&lt;&gt;".",d_Irr!BD30="."),d_dir!G30/((1/1000)*(d_Irr!F30+d_Irr!AE30)),IF(AND(d_Irr!F30&lt;&gt;".",d_Irr!AE30=".",d_Irr!BD30&lt;&gt;"."),d_dir!G30/((1/1000)*(d_Irr!F30+d_Irr!BD30)),IF(AND(d_Irr!F30=".",d_Irr!AE30&lt;&gt;".",d_Irr!BD30&lt;&gt;"."),d_dir!G30/((1/1000)*(d_Irr!AE30+d_Irr!BD30)),IF(AND(d_Irr!F30=".",d_Irr!AE30=".",d_Irr!BD30&lt;&gt;"."),d_dir!G30/((1/1000)*(d_Irr!BD30)),IF(AND(d_Irr!F30=".",d_Irr!AE30&lt;&gt;".",d_Irr!BD30="."),d_dir!G30/((1/1000)*(d_Irr!AE30)),IF(AND(d_Irr!F30&lt;&gt;".",d_Irr!AE30=".",d_Irr!BD30="."),d_dir!G30/((1/1000)*(d_Irr!F30)),IF(AND(d_Irr!F30=".",d_Irr!AE30=".",d_Irr!BD30="."),d_dir!G30*1000)))))))),".")</f>
        <v>9.4207931849079873</v>
      </c>
      <c r="H30" s="76">
        <f>IFERROR(IF(AND(d_Irr!G30&lt;&gt;".",d_Irr!AF30&lt;&gt;".",d_Irr!BE30&lt;&gt;"."),d_dir!H30/((1/1000)*(d_Irr!G30+d_Irr!AF30+d_Irr!BE30)),IF(AND(d_Irr!G30&lt;&gt;".",d_Irr!AF30&lt;&gt;".",d_Irr!BE30="."),d_dir!H30/((1/1000)*(d_Irr!G30+d_Irr!AF30)),IF(AND(d_Irr!G30&lt;&gt;".",d_Irr!AF30=".",d_Irr!BE30&lt;&gt;"."),d_dir!H30/((1/1000)*(d_Irr!G30+d_Irr!BE30)),IF(AND(d_Irr!G30=".",d_Irr!AF30&lt;&gt;".",d_Irr!BE30&lt;&gt;"."),d_dir!H30/((1/1000)*(d_Irr!AF30+d_Irr!BE30)),IF(AND(d_Irr!G30=".",d_Irr!AF30=".",d_Irr!BE30&lt;&gt;"."),d_dir!H30/((1/1000)*(d_Irr!BE30)),IF(AND(d_Irr!G30=".",d_Irr!AF30&lt;&gt;".",d_Irr!BE30="."),d_dir!H30/((1/1000)*(d_Irr!AF30)),IF(AND(d_Irr!G30&lt;&gt;".",d_Irr!AF30=".",d_Irr!BE30="."),d_dir!H30/((1/1000)*(d_Irr!G30)),IF(AND(d_Irr!G30=".",d_Irr!AF30=".",d_Irr!BE30="."),d_dir!H30*1000)))))))),".")</f>
        <v>10.146468388015938</v>
      </c>
      <c r="I30" s="76">
        <f>IFERROR(IF(AND(d_Irr!H30&lt;&gt;".",d_Irr!AG30&lt;&gt;".",d_Irr!BF30&lt;&gt;"."),d_dir!I30/((1/1000)*(d_Irr!H30+d_Irr!AG30+d_Irr!BF30)),IF(AND(d_Irr!H30&lt;&gt;".",d_Irr!AG30&lt;&gt;".",d_Irr!BF30="."),d_dir!I30/((1/1000)*(d_Irr!H30+d_Irr!AG30)),IF(AND(d_Irr!H30&lt;&gt;".",d_Irr!AG30=".",d_Irr!BF30&lt;&gt;"."),d_dir!I30/((1/1000)*(d_Irr!H30+d_Irr!BF30)),IF(AND(d_Irr!H30=".",d_Irr!AG30&lt;&gt;".",d_Irr!BF30&lt;&gt;"."),d_dir!I30/((1/1000)*(d_Irr!AG30+d_Irr!BF30)),IF(AND(d_Irr!H30=".",d_Irr!AG30=".",d_Irr!BF30&lt;&gt;"."),d_dir!I30/((1/1000)*(d_Irr!BF30)),IF(AND(d_Irr!H30=".",d_Irr!AG30&lt;&gt;".",d_Irr!BF30="."),d_dir!I30/((1/1000)*(d_Irr!AG30)),IF(AND(d_Irr!H30&lt;&gt;".",d_Irr!AG30=".",d_Irr!BF30="."),d_dir!I30/((1/1000)*(d_Irr!H30)),IF(AND(d_Irr!H30=".",d_Irr!AG30=".",d_Irr!BF30="."),d_dir!I30*1000)))))))),".")</f>
        <v>3.8121761674408257</v>
      </c>
      <c r="J30" s="76">
        <f>IFERROR(IF(AND(d_Irr!I30&lt;&gt;".",d_Irr!AH30&lt;&gt;".",d_Irr!BG30&lt;&gt;"."),d_dir!J30/((1/1000)*(d_Irr!I30+d_Irr!AH30+d_Irr!BG30)),IF(AND(d_Irr!I30&lt;&gt;".",d_Irr!AH30&lt;&gt;".",d_Irr!BG30="."),d_dir!J30/((1/1000)*(d_Irr!I30+d_Irr!AH30)),IF(AND(d_Irr!I30&lt;&gt;".",d_Irr!AH30=".",d_Irr!BG30&lt;&gt;"."),d_dir!J30/((1/1000)*(d_Irr!I30+d_Irr!BG30)),IF(AND(d_Irr!I30=".",d_Irr!AH30&lt;&gt;".",d_Irr!BG30&lt;&gt;"."),d_dir!J30/((1/1000)*(d_Irr!AH30+d_Irr!BG30)),IF(AND(d_Irr!I30=".",d_Irr!AH30=".",d_Irr!BG30&lt;&gt;"."),d_dir!J30/((1/1000)*(d_Irr!BG30)),IF(AND(d_Irr!I30=".",d_Irr!AH30&lt;&gt;".",d_Irr!BG30="."),d_dir!J30/((1/1000)*(d_Irr!AH30)),IF(AND(d_Irr!I30&lt;&gt;".",d_Irr!AH30=".",d_Irr!BG30="."),d_dir!J30/((1/1000)*(d_Irr!I30)),IF(AND(d_Irr!I30=".",d_Irr!AH30=".",d_Irr!BG30="."),d_dir!J30*1000)))))))),".")</f>
        <v>11.874186665341291</v>
      </c>
      <c r="K30" s="76">
        <f>IFERROR(IF(AND(d_Irr!J30&lt;&gt;".",d_Irr!AI30&lt;&gt;".",d_Irr!BH30&lt;&gt;"."),d_dir!K30/((1/1000)*(d_Irr!J30+d_Irr!AI30+d_Irr!BH30)),IF(AND(d_Irr!J30&lt;&gt;".",d_Irr!AI30&lt;&gt;".",d_Irr!BH30="."),d_dir!K30/((1/1000)*(d_Irr!J30+d_Irr!AI30)),IF(AND(d_Irr!J30&lt;&gt;".",d_Irr!AI30=".",d_Irr!BH30&lt;&gt;"."),d_dir!K30/((1/1000)*(d_Irr!J30+d_Irr!BH30)),IF(AND(d_Irr!J30=".",d_Irr!AI30&lt;&gt;".",d_Irr!BH30&lt;&gt;"."),d_dir!K30/((1/1000)*(d_Irr!AI30+d_Irr!BH30)),IF(AND(d_Irr!J30=".",d_Irr!AI30=".",d_Irr!BH30&lt;&gt;"."),d_dir!K30/((1/1000)*(d_Irr!BH30)),IF(AND(d_Irr!J30=".",d_Irr!AI30&lt;&gt;".",d_Irr!BH30="."),d_dir!K30/((1/1000)*(d_Irr!AI30)),IF(AND(d_Irr!J30&lt;&gt;".",d_Irr!AI30=".",d_Irr!BH30="."),d_dir!K30/((1/1000)*(d_Irr!J30)),IF(AND(d_Irr!J30=".",d_Irr!AI30=".",d_Irr!BH30="."),d_dir!K30*1000)))))))),".")</f>
        <v>1.086184666506534</v>
      </c>
      <c r="L30" s="76">
        <f>IFERROR(IF(AND(d_Irr!K30&lt;&gt;".",d_Irr!AJ30&lt;&gt;".",d_Irr!BI30&lt;&gt;"."),d_dir!L30/((1/1000)*(d_Irr!K30+d_Irr!AJ30+d_Irr!BI30)),IF(AND(d_Irr!K30&lt;&gt;".",d_Irr!AJ30&lt;&gt;".",d_Irr!BI30="."),d_dir!L30/((1/1000)*(d_Irr!K30+d_Irr!AJ30)),IF(AND(d_Irr!K30&lt;&gt;".",d_Irr!AJ30=".",d_Irr!BI30&lt;&gt;"."),d_dir!L30/((1/1000)*(d_Irr!K30+d_Irr!BI30)),IF(AND(d_Irr!K30=".",d_Irr!AJ30&lt;&gt;".",d_Irr!BI30&lt;&gt;"."),d_dir!L30/((1/1000)*(d_Irr!AJ30+d_Irr!BI30)),IF(AND(d_Irr!K30=".",d_Irr!AJ30=".",d_Irr!BI30&lt;&gt;"."),d_dir!L30/((1/1000)*(d_Irr!BI30)),IF(AND(d_Irr!K30=".",d_Irr!AJ30&lt;&gt;".",d_Irr!BI30="."),d_dir!L30/((1/1000)*(d_Irr!AJ30)),IF(AND(d_Irr!K30&lt;&gt;".",d_Irr!AJ30=".",d_Irr!BI30="."),d_dir!L30/((1/1000)*(d_Irr!K30)),IF(AND(d_Irr!K30=".",d_Irr!AJ30=".",d_Irr!BI30="."),d_dir!L30*1000)))))))),".")</f>
        <v>5.2446603914048397</v>
      </c>
      <c r="M30" s="76">
        <f>IFERROR(IF(AND(d_Irr!L30&lt;&gt;".",d_Irr!AK30&lt;&gt;".",d_Irr!BJ30&lt;&gt;"."),d_dir!M30/((1/1000)*(d_Irr!L30+d_Irr!AK30+d_Irr!BJ30)),IF(AND(d_Irr!L30&lt;&gt;".",d_Irr!AK30&lt;&gt;".",d_Irr!BJ30="."),d_dir!M30/((1/1000)*(d_Irr!L30+d_Irr!AK30)),IF(AND(d_Irr!L30&lt;&gt;".",d_Irr!AK30=".",d_Irr!BJ30&lt;&gt;"."),d_dir!M30/((1/1000)*(d_Irr!L30+d_Irr!BJ30)),IF(AND(d_Irr!L30=".",d_Irr!AK30&lt;&gt;".",d_Irr!BJ30&lt;&gt;"."),d_dir!M30/((1/1000)*(d_Irr!AK30+d_Irr!BJ30)),IF(AND(d_Irr!L30=".",d_Irr!AK30=".",d_Irr!BJ30&lt;&gt;"."),d_dir!M30/((1/1000)*(d_Irr!BJ30)),IF(AND(d_Irr!L30=".",d_Irr!AK30&lt;&gt;".",d_Irr!BJ30="."),d_dir!M30/((1/1000)*(d_Irr!AK30)),IF(AND(d_Irr!L30&lt;&gt;".",d_Irr!AK30=".",d_Irr!BJ30="."),d_dir!M30/((1/1000)*(d_Irr!L30)),IF(AND(d_Irr!L30=".",d_Irr!AK30=".",d_Irr!BJ30="."),d_dir!M30*1000)))))))),".")</f>
        <v>3.9324893439202393</v>
      </c>
      <c r="N30" s="76">
        <f>IFERROR(IF(AND(d_Irr!M30&lt;&gt;".",d_Irr!AL30&lt;&gt;".",d_Irr!BK30&lt;&gt;"."),d_dir!N30/((1/1000)*(d_Irr!M30+d_Irr!AL30+d_Irr!BK30)),IF(AND(d_Irr!M30&lt;&gt;".",d_Irr!AL30&lt;&gt;".",d_Irr!BK30="."),d_dir!N30/((1/1000)*(d_Irr!M30+d_Irr!AL30)),IF(AND(d_Irr!M30&lt;&gt;".",d_Irr!AL30=".",d_Irr!BK30&lt;&gt;"."),d_dir!N30/((1/1000)*(d_Irr!M30+d_Irr!BK30)),IF(AND(d_Irr!M30=".",d_Irr!AL30&lt;&gt;".",d_Irr!BK30&lt;&gt;"."),d_dir!N30/((1/1000)*(d_Irr!AL30+d_Irr!BK30)),IF(AND(d_Irr!M30=".",d_Irr!AL30=".",d_Irr!BK30&lt;&gt;"."),d_dir!N30/((1/1000)*(d_Irr!BK30)),IF(AND(d_Irr!M30=".",d_Irr!AL30&lt;&gt;".",d_Irr!BK30="."),d_dir!N30/((1/1000)*(d_Irr!AL30)),IF(AND(d_Irr!M30&lt;&gt;".",d_Irr!AL30=".",d_Irr!BK30="."),d_dir!N30/((1/1000)*(d_Irr!M30)),IF(AND(d_Irr!M30=".",d_Irr!AL30=".",d_Irr!BK30="."),d_dir!N30*1000)))))))),".")</f>
        <v>8.0721388086197372</v>
      </c>
      <c r="O30" s="76">
        <f>IFERROR(IF(AND(d_Irr!N30&lt;&gt;".",d_Irr!AM30&lt;&gt;".",d_Irr!BL30&lt;&gt;"."),d_dir!O30/((1/1000)*(d_Irr!N30+d_Irr!AM30+d_Irr!BL30)),IF(AND(d_Irr!N30&lt;&gt;".",d_Irr!AM30&lt;&gt;".",d_Irr!BL30="."),d_dir!O30/((1/1000)*(d_Irr!N30+d_Irr!AM30)),IF(AND(d_Irr!N30&lt;&gt;".",d_Irr!AM30=".",d_Irr!BL30&lt;&gt;"."),d_dir!O30/((1/1000)*(d_Irr!N30+d_Irr!BL30)),IF(AND(d_Irr!N30=".",d_Irr!AM30&lt;&gt;".",d_Irr!BL30&lt;&gt;"."),d_dir!O30/((1/1000)*(d_Irr!AM30+d_Irr!BL30)),IF(AND(d_Irr!N30=".",d_Irr!AM30=".",d_Irr!BL30&lt;&gt;"."),d_dir!O30/((1/1000)*(d_Irr!BL30)),IF(AND(d_Irr!N30=".",d_Irr!AM30&lt;&gt;".",d_Irr!BL30="."),d_dir!O30/((1/1000)*(d_Irr!AM30)),IF(AND(d_Irr!N30&lt;&gt;".",d_Irr!AM30=".",d_Irr!BL30="."),d_dir!O30/((1/1000)*(d_Irr!N30)),IF(AND(d_Irr!N30=".",d_Irr!AM30=".",d_Irr!BL30="."),d_dir!O30*1000)))))))),".")</f>
        <v>9.4315906366936577</v>
      </c>
      <c r="P30" s="76">
        <f>IFERROR(IF(AND(d_Irr!O30&lt;&gt;".",d_Irr!AN30&lt;&gt;".",d_Irr!BM30&lt;&gt;"."),d_dir!P30/((1/1000)*(d_Irr!O30+d_Irr!AN30+d_Irr!BM30)),IF(AND(d_Irr!O30&lt;&gt;".",d_Irr!AN30&lt;&gt;".",d_Irr!BM30="."),d_dir!P30/((1/1000)*(d_Irr!O30+d_Irr!AN30)),IF(AND(d_Irr!O30&lt;&gt;".",d_Irr!AN30=".",d_Irr!BM30&lt;&gt;"."),d_dir!P30/((1/1000)*(d_Irr!O30+d_Irr!BM30)),IF(AND(d_Irr!O30=".",d_Irr!AN30&lt;&gt;".",d_Irr!BM30&lt;&gt;"."),d_dir!P30/((1/1000)*(d_Irr!AN30+d_Irr!BM30)),IF(AND(d_Irr!O30=".",d_Irr!AN30=".",d_Irr!BM30&lt;&gt;"."),d_dir!P30/((1/1000)*(d_Irr!BM30)),IF(AND(d_Irr!O30=".",d_Irr!AN30&lt;&gt;".",d_Irr!BM30="."),d_dir!P30/((1/1000)*(d_Irr!AN30)),IF(AND(d_Irr!O30&lt;&gt;".",d_Irr!AN30=".",d_Irr!BM30="."),d_dir!P30/((1/1000)*(d_Irr!O30)),IF(AND(d_Irr!O30=".",d_Irr!AN30=".",d_Irr!BM30="."),d_dir!P30*1000)))))))),".")</f>
        <v>10.608883683093518</v>
      </c>
      <c r="Q30" s="76">
        <f>IFERROR(IF(AND(d_Irr!P30&lt;&gt;".",d_Irr!AO30&lt;&gt;".",d_Irr!BN30&lt;&gt;"."),d_dir!Q30/((1/1000)*(d_Irr!P30+d_Irr!AO30+d_Irr!BN30)),IF(AND(d_Irr!P30&lt;&gt;".",d_Irr!AO30&lt;&gt;".",d_Irr!BN30="."),d_dir!Q30/((1/1000)*(d_Irr!P30+d_Irr!AO30)),IF(AND(d_Irr!P30&lt;&gt;".",d_Irr!AO30=".",d_Irr!BN30&lt;&gt;"."),d_dir!Q30/((1/1000)*(d_Irr!P30+d_Irr!BN30)),IF(AND(d_Irr!P30=".",d_Irr!AO30&lt;&gt;".",d_Irr!BN30&lt;&gt;"."),d_dir!Q30/((1/1000)*(d_Irr!AO30+d_Irr!BN30)),IF(AND(d_Irr!P30=".",d_Irr!AO30=".",d_Irr!BN30&lt;&gt;"."),d_dir!Q30/((1/1000)*(d_Irr!BN30)),IF(AND(d_Irr!P30=".",d_Irr!AO30&lt;&gt;".",d_Irr!BN30="."),d_dir!Q30/((1/1000)*(d_Irr!AO30)),IF(AND(d_Irr!P30&lt;&gt;".",d_Irr!AO30=".",d_Irr!BN30="."),d_dir!Q30/((1/1000)*(d_Irr!P30)),IF(AND(d_Irr!P30=".",d_Irr!AO30=".",d_Irr!BN30="."),d_dir!Q30*1000)))))))),".")</f>
        <v>16.048266894068913</v>
      </c>
      <c r="R30" s="76">
        <f>IFERROR(IF(AND(d_Irr!Q30&lt;&gt;".",d_Irr!AP30&lt;&gt;".",d_Irr!BO30&lt;&gt;"."),d_dir!R30/((1/1000)*(d_Irr!Q30+d_Irr!AP30+d_Irr!BO30)),IF(AND(d_Irr!Q30&lt;&gt;".",d_Irr!AP30&lt;&gt;".",d_Irr!BO30="."),d_dir!R30/((1/1000)*(d_Irr!Q30+d_Irr!AP30)),IF(AND(d_Irr!Q30&lt;&gt;".",d_Irr!AP30=".",d_Irr!BO30&lt;&gt;"."),d_dir!R30/((1/1000)*(d_Irr!Q30+d_Irr!BO30)),IF(AND(d_Irr!Q30=".",d_Irr!AP30&lt;&gt;".",d_Irr!BO30&lt;&gt;"."),d_dir!R30/((1/1000)*(d_Irr!AP30+d_Irr!BO30)),IF(AND(d_Irr!Q30=".",d_Irr!AP30=".",d_Irr!BO30&lt;&gt;"."),d_dir!R30/((1/1000)*(d_Irr!BO30)),IF(AND(d_Irr!Q30=".",d_Irr!AP30&lt;&gt;".",d_Irr!BO30="."),d_dir!R30/((1/1000)*(d_Irr!AP30)),IF(AND(d_Irr!Q30&lt;&gt;".",d_Irr!AP30=".",d_Irr!BO30="."),d_dir!R30/((1/1000)*(d_Irr!Q30)),IF(AND(d_Irr!Q30=".",d_Irr!AP30=".",d_Irr!BO30="."),d_dir!R30*1000)))))))),".")</f>
        <v>2.6893586166688221</v>
      </c>
      <c r="S30" s="76">
        <f>IFERROR(IF(AND(d_Irr!R30&lt;&gt;".",d_Irr!AQ30&lt;&gt;".",d_Irr!BP30&lt;&gt;"."),d_dir!S30/((1/1000)*(d_Irr!R30+d_Irr!AQ30+d_Irr!BP30)),IF(AND(d_Irr!R30&lt;&gt;".",d_Irr!AQ30&lt;&gt;".",d_Irr!BP30="."),d_dir!S30/((1/1000)*(d_Irr!R30+d_Irr!AQ30)),IF(AND(d_Irr!R30&lt;&gt;".",d_Irr!AQ30=".",d_Irr!BP30&lt;&gt;"."),d_dir!S30/((1/1000)*(d_Irr!R30+d_Irr!BP30)),IF(AND(d_Irr!R30=".",d_Irr!AQ30&lt;&gt;".",d_Irr!BP30&lt;&gt;"."),d_dir!S30/((1/1000)*(d_Irr!AQ30+d_Irr!BP30)),IF(AND(d_Irr!R30=".",d_Irr!AQ30=".",d_Irr!BP30&lt;&gt;"."),d_dir!S30/((1/1000)*(d_Irr!BP30)),IF(AND(d_Irr!R30=".",d_Irr!AQ30&lt;&gt;".",d_Irr!BP30="."),d_dir!S30/((1/1000)*(d_Irr!AQ30)),IF(AND(d_Irr!R30&lt;&gt;".",d_Irr!AQ30=".",d_Irr!BP30="."),d_dir!S30/((1/1000)*(d_Irr!R30)),IF(AND(d_Irr!R30=".",d_Irr!AQ30=".",d_Irr!BP30="."),d_dir!S30*1000)))))))),".")</f>
        <v>5.4858772259371982</v>
      </c>
      <c r="T30" s="76">
        <f>IFERROR(IF(AND(d_Irr!S30&lt;&gt;".",d_Irr!AR30&lt;&gt;".",d_Irr!BQ30&lt;&gt;"."),d_dir!T30/((1/1000)*(d_Irr!S30+d_Irr!AR30+d_Irr!BQ30)),IF(AND(d_Irr!S30&lt;&gt;".",d_Irr!AR30&lt;&gt;".",d_Irr!BQ30="."),d_dir!T30/((1/1000)*(d_Irr!S30+d_Irr!AR30)),IF(AND(d_Irr!S30&lt;&gt;".",d_Irr!AR30=".",d_Irr!BQ30&lt;&gt;"."),d_dir!T30/((1/1000)*(d_Irr!S30+d_Irr!BQ30)),IF(AND(d_Irr!S30=".",d_Irr!AR30&lt;&gt;".",d_Irr!BQ30&lt;&gt;"."),d_dir!T30/((1/1000)*(d_Irr!AR30+d_Irr!BQ30)),IF(AND(d_Irr!S30=".",d_Irr!AR30=".",d_Irr!BQ30&lt;&gt;"."),d_dir!T30/((1/1000)*(d_Irr!BQ30)),IF(AND(d_Irr!S30=".",d_Irr!AR30&lt;&gt;".",d_Irr!BQ30="."),d_dir!T30/((1/1000)*(d_Irr!AR30)),IF(AND(d_Irr!S30&lt;&gt;".",d_Irr!AR30=".",d_Irr!BQ30="."),d_dir!T30/((1/1000)*(d_Irr!S30)),IF(AND(d_Irr!S30=".",d_Irr!AR30=".",d_Irr!BQ30="."),d_dir!T30*1000)))))))),".")</f>
        <v>9.4628414159482723</v>
      </c>
      <c r="U30" s="76">
        <f>IFERROR(IF(AND(d_Irr!T30&lt;&gt;".",d_Irr!AS30&lt;&gt;".",d_Irr!BR30&lt;&gt;"."),d_dir!U30/((1/1000)*(d_Irr!T30+d_Irr!AS30+d_Irr!BR30)),IF(AND(d_Irr!T30&lt;&gt;".",d_Irr!AS30&lt;&gt;".",d_Irr!BR30="."),d_dir!U30/((1/1000)*(d_Irr!T30+d_Irr!AS30)),IF(AND(d_Irr!T30&lt;&gt;".",d_Irr!AS30=".",d_Irr!BR30&lt;&gt;"."),d_dir!U30/((1/1000)*(d_Irr!T30+d_Irr!BR30)),IF(AND(d_Irr!T30=".",d_Irr!AS30&lt;&gt;".",d_Irr!BR30&lt;&gt;"."),d_dir!U30/((1/1000)*(d_Irr!AS30+d_Irr!BR30)),IF(AND(d_Irr!T30=".",d_Irr!AS30=".",d_Irr!BR30&lt;&gt;"."),d_dir!U30/((1/1000)*(d_Irr!BR30)),IF(AND(d_Irr!T30=".",d_Irr!AS30&lt;&gt;".",d_Irr!BR30="."),d_dir!U30/((1/1000)*(d_Irr!AS30)),IF(AND(d_Irr!T30&lt;&gt;".",d_Irr!AS30=".",d_Irr!BR30="."),d_dir!U30/((1/1000)*(d_Irr!T30)),IF(AND(d_Irr!T30=".",d_Irr!AS30=".",d_Irr!BR30="."),d_dir!U30*1000)))))))),".")</f>
        <v>18.579968045487711</v>
      </c>
      <c r="V30" s="76">
        <f>IFERROR(IF(AND(d_Irr!U30&lt;&gt;".",d_Irr!AT30&lt;&gt;".",d_Irr!BS30&lt;&gt;"."),d_dir!V30/((1/1000)*(d_Irr!U30+d_Irr!AT30+d_Irr!BS30)),IF(AND(d_Irr!U30&lt;&gt;".",d_Irr!AT30&lt;&gt;".",d_Irr!BS30="."),d_dir!V30/((1/1000)*(d_Irr!U30+d_Irr!AT30)),IF(AND(d_Irr!U30&lt;&gt;".",d_Irr!AT30=".",d_Irr!BS30&lt;&gt;"."),d_dir!V30/((1/1000)*(d_Irr!U30+d_Irr!BS30)),IF(AND(d_Irr!U30=".",d_Irr!AT30&lt;&gt;".",d_Irr!BS30&lt;&gt;"."),d_dir!V30/((1/1000)*(d_Irr!AT30+d_Irr!BS30)),IF(AND(d_Irr!U30=".",d_Irr!AT30=".",d_Irr!BS30&lt;&gt;"."),d_dir!V30/((1/1000)*(d_Irr!BS30)),IF(AND(d_Irr!U30=".",d_Irr!AT30&lt;&gt;".",d_Irr!BS30="."),d_dir!V30/((1/1000)*(d_Irr!AT30)),IF(AND(d_Irr!U30&lt;&gt;".",d_Irr!AT30=".",d_Irr!BS30="."),d_dir!V30/((1/1000)*(d_Irr!U30)),IF(AND(d_Irr!U30=".",d_Irr!AT30=".",d_Irr!BS30="."),d_dir!V30*1000)))))))),".")</f>
        <v>2.7107813193026025</v>
      </c>
      <c r="W30" s="76">
        <f>IFERROR(IF(AND(d_Irr!V30&lt;&gt;".",d_Irr!AU30&lt;&gt;".",d_Irr!BT30&lt;&gt;"."),d_dir!W30/((1/1000)*(d_Irr!V30+d_Irr!AU30+d_Irr!BT30)),IF(AND(d_Irr!V30&lt;&gt;".",d_Irr!AU30&lt;&gt;".",d_Irr!BT30="."),d_dir!W30/((1/1000)*(d_Irr!V30+d_Irr!AU30)),IF(AND(d_Irr!V30&lt;&gt;".",d_Irr!AU30=".",d_Irr!BT30&lt;&gt;"."),d_dir!W30/((1/1000)*(d_Irr!V30+d_Irr!BT30)),IF(AND(d_Irr!V30=".",d_Irr!AU30&lt;&gt;".",d_Irr!BT30&lt;&gt;"."),d_dir!W30/((1/1000)*(d_Irr!AU30+d_Irr!BT30)),IF(AND(d_Irr!V30=".",d_Irr!AU30=".",d_Irr!BT30&lt;&gt;"."),d_dir!W30/((1/1000)*(d_Irr!BT30)),IF(AND(d_Irr!V30=".",d_Irr!AU30&lt;&gt;".",d_Irr!BT30="."),d_dir!W30/((1/1000)*(d_Irr!AU30)),IF(AND(d_Irr!V30&lt;&gt;".",d_Irr!AU30=".",d_Irr!BT30="."),d_dir!W30/((1/1000)*(d_Irr!V30)),IF(AND(d_Irr!V30=".",d_Irr!AU30=".",d_Irr!BT30="."),d_dir!W30*1000)))))))),".")</f>
        <v>5.0457115702721111</v>
      </c>
      <c r="X30" s="76">
        <f>IFERROR(IF(AND(d_Irr!W30&lt;&gt;".",d_Irr!AV30&lt;&gt;".",d_Irr!BU30&lt;&gt;"."),d_dir!X30/((1/1000)*(d_Irr!W30+d_Irr!AV30+d_Irr!BU30)),IF(AND(d_Irr!W30&lt;&gt;".",d_Irr!AV30&lt;&gt;".",d_Irr!BU30="."),d_dir!X30/((1/1000)*(d_Irr!W30+d_Irr!AV30)),IF(AND(d_Irr!W30&lt;&gt;".",d_Irr!AV30=".",d_Irr!BU30&lt;&gt;"."),d_dir!X30/((1/1000)*(d_Irr!W30+d_Irr!BU30)),IF(AND(d_Irr!W30=".",d_Irr!AV30&lt;&gt;".",d_Irr!BU30&lt;&gt;"."),d_dir!X30/((1/1000)*(d_Irr!AV30+d_Irr!BU30)),IF(AND(d_Irr!W30=".",d_Irr!AV30=".",d_Irr!BU30&lt;&gt;"."),d_dir!X30/((1/1000)*(d_Irr!BU30)),IF(AND(d_Irr!W30=".",d_Irr!AV30&lt;&gt;".",d_Irr!BU30="."),d_dir!X30/((1/1000)*(d_Irr!AV30)),IF(AND(d_Irr!W30&lt;&gt;".",d_Irr!AV30=".",d_Irr!BU30="."),d_dir!X30/((1/1000)*(d_Irr!W30)),IF(AND(d_Irr!W30=".",d_Irr!AV30=".",d_Irr!BU30="."),d_dir!X30*1000)))))))),".")</f>
        <v>6.0665096632499012</v>
      </c>
      <c r="Y30" s="76">
        <f>IFERROR(IF(AND(d_Irr!X30&lt;&gt;".",d_Irr!AW30&lt;&gt;".",d_Irr!BV30&lt;&gt;"."),d_dir!Y30/((1/1000)*(d_Irr!X30+d_Irr!AW30+d_Irr!BV30)),IF(AND(d_Irr!X30&lt;&gt;".",d_Irr!AW30&lt;&gt;".",d_Irr!BV30="."),d_dir!Y30/((1/1000)*(d_Irr!X30+d_Irr!AW30)),IF(AND(d_Irr!X30&lt;&gt;".",d_Irr!AW30=".",d_Irr!BV30&lt;&gt;"."),d_dir!Y30/((1/1000)*(d_Irr!X30+d_Irr!BV30)),IF(AND(d_Irr!X30=".",d_Irr!AW30&lt;&gt;".",d_Irr!BV30&lt;&gt;"."),d_dir!Y30/((1/1000)*(d_Irr!AW30+d_Irr!BV30)),IF(AND(d_Irr!X30=".",d_Irr!AW30=".",d_Irr!BV30&lt;&gt;"."),d_dir!Y30/((1/1000)*(d_Irr!BV30)),IF(AND(d_Irr!X30=".",d_Irr!AW30&lt;&gt;".",d_Irr!BV30="."),d_dir!Y30/((1/1000)*(d_Irr!AW30)),IF(AND(d_Irr!X30&lt;&gt;".",d_Irr!AW30=".",d_Irr!BV30="."),d_dir!Y30/((1/1000)*(d_Irr!X30)),IF(AND(d_Irr!X30=".",d_Irr!AW30=".",d_Irr!BV30="."),d_dir!Y30*1000)))))))),".")</f>
        <v>8.1953110016319712</v>
      </c>
      <c r="Z30" s="76">
        <f>IFERROR(IF(AND(d_Irr!Y30&lt;&gt;".",d_Irr!AX30&lt;&gt;".",d_Irr!BW30&lt;&gt;"."),d_dir!Z30/((1/1000)*(d_Irr!Y30+d_Irr!AX30+d_Irr!BW30)),IF(AND(d_Irr!Y30&lt;&gt;".",d_Irr!AX30&lt;&gt;".",d_Irr!BW30="."),d_dir!Z30/((1/1000)*(d_Irr!Y30+d_Irr!AX30)),IF(AND(d_Irr!Y30&lt;&gt;".",d_Irr!AX30=".",d_Irr!BW30&lt;&gt;"."),d_dir!Z30/((1/1000)*(d_Irr!Y30+d_Irr!BW30)),IF(AND(d_Irr!Y30=".",d_Irr!AX30&lt;&gt;".",d_Irr!BW30&lt;&gt;"."),d_dir!Z30/((1/1000)*(d_Irr!AX30+d_Irr!BW30)),IF(AND(d_Irr!Y30=".",d_Irr!AX30=".",d_Irr!BW30&lt;&gt;"."),d_dir!Z30/((1/1000)*(d_Irr!BW30)),IF(AND(d_Irr!Y30=".",d_Irr!AX30&lt;&gt;".",d_Irr!BW30="."),d_dir!Z30/((1/1000)*(d_Irr!AX30)),IF(AND(d_Irr!Y30&lt;&gt;".",d_Irr!AX30=".",d_Irr!BW30="."),d_dir!Z30/((1/1000)*(d_Irr!Y30)),IF(AND(d_Irr!Y30=".",d_Irr!AX30=".",d_Irr!BW30="."),d_dir!Z30*1000)))))))),".")</f>
        <v>3.8218699233844498</v>
      </c>
      <c r="AA30" s="76">
        <f>IFERROR(IF(AND(d_Irr!Z30&lt;&gt;".",d_Irr!AY30&lt;&gt;".",d_Irr!BX30&lt;&gt;"."),d_dir!AA30/((1/1000)*(d_Irr!Z30+d_Irr!AY30+d_Irr!BX30)),IF(AND(d_Irr!Z30&lt;&gt;".",d_Irr!AY30&lt;&gt;".",d_Irr!BX30="."),d_dir!AA30/((1/1000)*(d_Irr!Z30+d_Irr!AY30)),IF(AND(d_Irr!Z30&lt;&gt;".",d_Irr!AY30=".",d_Irr!BX30&lt;&gt;"."),d_dir!AA30/((1/1000)*(d_Irr!Z30+d_Irr!BX30)),IF(AND(d_Irr!Z30=".",d_Irr!AY30&lt;&gt;".",d_Irr!BX30&lt;&gt;"."),d_dir!AA30/((1/1000)*(d_Irr!AY30+d_Irr!BX30)),IF(AND(d_Irr!Z30=".",d_Irr!AY30=".",d_Irr!BX30&lt;&gt;"."),d_dir!AA30/((1/1000)*(d_Irr!BX30)),IF(AND(d_Irr!Z30=".",d_Irr!AY30&lt;&gt;".",d_Irr!BX30="."),d_dir!AA30/((1/1000)*(d_Irr!AY30)),IF(AND(d_Irr!Z30&lt;&gt;".",d_Irr!AY30=".",d_Irr!BX30="."),d_dir!AA30/((1/1000)*(d_Irr!Z30)),IF(AND(d_Irr!Z30=".",d_Irr!AY30=".",d_Irr!BX30="."),d_dir!AA30*1000)))))))),".")</f>
        <v>1.2428002557509605</v>
      </c>
      <c r="AB30" s="76">
        <f>IFERROR(IF(AND(d_Irr!AA30&lt;&gt;".",d_Irr!AZ30&lt;&gt;".",d_Irr!BY30&lt;&gt;"."),d_dir!AB30/((1/1000)*(d_Irr!AA30+d_Irr!AZ30+d_Irr!BY30)),IF(AND(d_Irr!AA30&lt;&gt;".",d_Irr!AZ30&lt;&gt;".",d_Irr!BY30="."),d_dir!AB30/((1/1000)*(d_Irr!AA30+d_Irr!AZ30)),IF(AND(d_Irr!AA30&lt;&gt;".",d_Irr!AZ30=".",d_Irr!BY30&lt;&gt;"."),d_dir!AB30/((1/1000)*(d_Irr!AA30+d_Irr!BY30)),IF(AND(d_Irr!AA30=".",d_Irr!AZ30&lt;&gt;".",d_Irr!BY30&lt;&gt;"."),d_dir!AB30/((1/1000)*(d_Irr!AZ30+d_Irr!BY30)),IF(AND(d_Irr!AA30=".",d_Irr!AZ30=".",d_Irr!BY30&lt;&gt;"."),d_dir!AB30/((1/1000)*(d_Irr!BY30)),IF(AND(d_Irr!AA30=".",d_Irr!AZ30&lt;&gt;".",d_Irr!BY30="."),d_dir!AB30/((1/1000)*(d_Irr!AZ30)),IF(AND(d_Irr!AA30&lt;&gt;".",d_Irr!AZ30=".",d_Irr!BY30="."),d_dir!AB30/((1/1000)*(d_Irr!AA30)),IF(AND(d_Irr!AA30=".",d_Irr!AZ30=".",d_Irr!BY30="."),d_dir!AB30*1000)))))))),".")</f>
        <v>1.4015616228467227</v>
      </c>
      <c r="AC30" s="76">
        <f t="shared" si="0"/>
        <v>0.13280191334437977</v>
      </c>
      <c r="AD30" s="76">
        <f>IFERROR(IF(AND(d_Irr!C30&lt;&gt;".",d_Irr!AB30&lt;&gt;".",d_Irr!BA30&lt;&gt;"."),d_dir!AD30/((1/1000)*(d_Irr!C30+d_Irr!AB30+d_Irr!BA30)),IF(AND(d_Irr!C30&lt;&gt;".",d_Irr!AB30&lt;&gt;".",d_Irr!BA30="."),d_dir!AD30/((1/1000)*(d_Irr!C30+d_Irr!AB30)),IF(AND(d_Irr!C30&lt;&gt;".",d_Irr!AB30=".",d_Irr!BA30&lt;&gt;"."),d_dir!AD30/((1/1000)*(d_Irr!C30+d_Irr!BA30)),IF(AND(d_Irr!C30=".",d_Irr!AB30&lt;&gt;".",d_Irr!BA30&lt;&gt;"."),d_dir!AD30/((1/1000)*(d_Irr!AB30+d_Irr!BA30)),IF(AND(d_Irr!C30=".",d_Irr!AB30=".",d_Irr!BA30&lt;&gt;"."),d_dir!AD30/((1/1000)*(d_Irr!BA30)),IF(AND(d_Irr!C30=".",d_Irr!AB30&lt;&gt;".",d_Irr!BA30="."),d_dir!AD30/((1/1000)*(d_Irr!AB30)),IF(AND(d_Irr!C30&lt;&gt;".",d_Irr!AB30=".",d_Irr!BA30="."),d_dir!AD30/((1/1000)*(d_Irr!C30)),IF(AND(d_Irr!C30=".",d_Irr!AB30=".",d_Irr!BA30="."),d_dir!AD30*1000)))))))),".")</f>
        <v>2.3674626697954699</v>
      </c>
      <c r="AE30" s="76">
        <f>IFERROR(IF(AND(d_Irr!D30&lt;&gt;".",d_Irr!AC30&lt;&gt;".",d_Irr!BB30&lt;&gt;"."),d_dir!AE30/((1/1000)*(d_Irr!D30+d_Irr!AC30+d_Irr!BB30)),IF(AND(d_Irr!D30&lt;&gt;".",d_Irr!AC30&lt;&gt;".",d_Irr!BB30="."),d_dir!AE30/((1/1000)*(d_Irr!D30+d_Irr!AC30)),IF(AND(d_Irr!D30&lt;&gt;".",d_Irr!AC30=".",d_Irr!BB30&lt;&gt;"."),d_dir!AE30/((1/1000)*(d_Irr!D30+d_Irr!BB30)),IF(AND(d_Irr!D30=".",d_Irr!AC30&lt;&gt;".",d_Irr!BB30&lt;&gt;"."),d_dir!AE30/((1/1000)*(d_Irr!AC30+d_Irr!BB30)),IF(AND(d_Irr!D30=".",d_Irr!AC30=".",d_Irr!BB30&lt;&gt;"."),d_dir!AE30/((1/1000)*(d_Irr!BB30)),IF(AND(d_Irr!D30=".",d_Irr!AC30&lt;&gt;".",d_Irr!BB30="."),d_dir!AE30/((1/1000)*(d_Irr!AC30)),IF(AND(d_Irr!D30&lt;&gt;".",d_Irr!AC30=".",d_Irr!BB30="."),d_dir!AE30/((1/1000)*(d_Irr!D30)),IF(AND(d_Irr!D30=".",d_Irr!AC30=".",d_Irr!BB30="."),d_dir!AE30*1000)))))))),".")</f>
        <v>4.7112255932209122</v>
      </c>
      <c r="AF30" s="76">
        <f>IFERROR(IF(AND(d_Irr!E30&lt;&gt;".",d_Irr!AD30&lt;&gt;".",d_Irr!BC30&lt;&gt;"."),d_dir!AF30/((1/1000)*(d_Irr!E30+d_Irr!AD30+d_Irr!BC30)),IF(AND(d_Irr!E30&lt;&gt;".",d_Irr!AD30&lt;&gt;".",d_Irr!BC30="."),d_dir!AF30/((1/1000)*(d_Irr!E30+d_Irr!AD30)),IF(AND(d_Irr!E30&lt;&gt;".",d_Irr!AD30=".",d_Irr!BC30&lt;&gt;"."),d_dir!AF30/((1/1000)*(d_Irr!E30+d_Irr!BC30)),IF(AND(d_Irr!E30=".",d_Irr!AD30&lt;&gt;".",d_Irr!BC30&lt;&gt;"."),d_dir!AF30/((1/1000)*(d_Irr!AD30+d_Irr!BC30)),IF(AND(d_Irr!E30=".",d_Irr!AD30=".",d_Irr!BC30&lt;&gt;"."),d_dir!AF30/((1/1000)*(d_Irr!BC30)),IF(AND(d_Irr!E30=".",d_Irr!AD30&lt;&gt;".",d_Irr!BC30="."),d_dir!AF30/((1/1000)*(d_Irr!AD30)),IF(AND(d_Irr!E30&lt;&gt;".",d_Irr!AD30=".",d_Irr!BC30="."),d_dir!AF30/((1/1000)*(d_Irr!E30)),IF(AND(d_Irr!E30=".",d_Irr!AD30=".",d_Irr!BC30="."),d_dir!AF30*1000)))))))),".")</f>
        <v>6.1928421587917599</v>
      </c>
      <c r="AG30" s="76">
        <f>IFERROR(IF(AND(d_Irr!F30&lt;&gt;".",d_Irr!AE30&lt;&gt;".",d_Irr!BD30&lt;&gt;"."),d_dir!AG30/((1/1000)*(d_Irr!F30+d_Irr!AE30+d_Irr!BD30)),IF(AND(d_Irr!F30&lt;&gt;".",d_Irr!AE30&lt;&gt;".",d_Irr!BD30="."),d_dir!AG30/((1/1000)*(d_Irr!F30+d_Irr!AE30)),IF(AND(d_Irr!F30&lt;&gt;".",d_Irr!AE30=".",d_Irr!BD30&lt;&gt;"."),d_dir!AG30/((1/1000)*(d_Irr!F30+d_Irr!BD30)),IF(AND(d_Irr!F30=".",d_Irr!AE30&lt;&gt;".",d_Irr!BD30&lt;&gt;"."),d_dir!AG30/((1/1000)*(d_Irr!AE30+d_Irr!BD30)),IF(AND(d_Irr!F30=".",d_Irr!AE30=".",d_Irr!BD30&lt;&gt;"."),d_dir!AG30/((1/1000)*(d_Irr!BD30)),IF(AND(d_Irr!F30=".",d_Irr!AE30&lt;&gt;".",d_Irr!BD30="."),d_dir!AG30/((1/1000)*(d_Irr!AE30)),IF(AND(d_Irr!F30&lt;&gt;".",d_Irr!AE30=".",d_Irr!BD30="."),d_dir!AG30/((1/1000)*(d_Irr!F30)),IF(AND(d_Irr!F30=".",d_Irr!AE30=".",d_Irr!BD30="."),d_dir!AG30*1000)))))))),".")</f>
        <v>5.961354376023742</v>
      </c>
      <c r="AH30" s="76">
        <f>IFERROR(IF(AND(d_Irr!G30&lt;&gt;".",d_Irr!AF30&lt;&gt;".",d_Irr!BE30&lt;&gt;"."),d_dir!AH30/((1/1000)*(d_Irr!G30+d_Irr!AF30+d_Irr!BE30)),IF(AND(d_Irr!G30&lt;&gt;".",d_Irr!AF30&lt;&gt;".",d_Irr!BE30="."),d_dir!AH30/((1/1000)*(d_Irr!G30+d_Irr!AF30)),IF(AND(d_Irr!G30&lt;&gt;".",d_Irr!AF30=".",d_Irr!BE30&lt;&gt;"."),d_dir!AH30/((1/1000)*(d_Irr!G30+d_Irr!BE30)),IF(AND(d_Irr!G30=".",d_Irr!AF30&lt;&gt;".",d_Irr!BE30&lt;&gt;"."),d_dir!AH30/((1/1000)*(d_Irr!AF30+d_Irr!BE30)),IF(AND(d_Irr!G30=".",d_Irr!AF30=".",d_Irr!BE30&lt;&gt;"."),d_dir!AH30/((1/1000)*(d_Irr!BE30)),IF(AND(d_Irr!G30=".",d_Irr!AF30&lt;&gt;".",d_Irr!BE30="."),d_dir!AH30/((1/1000)*(d_Irr!AF30)),IF(AND(d_Irr!G30&lt;&gt;".",d_Irr!AF30=".",d_Irr!BE30="."),d_dir!AH30/((1/1000)*(d_Irr!G30)),IF(AND(d_Irr!G30=".",d_Irr!AF30=".",d_Irr!BE30="."),d_dir!AH30*1000)))))))),".")</f>
        <v>5.6024243014104975</v>
      </c>
      <c r="AI30" s="76">
        <f>IFERROR(IF(AND(d_Irr!H30&lt;&gt;".",d_Irr!AG30&lt;&gt;".",d_Irr!BF30&lt;&gt;"."),d_dir!AI30/((1/1000)*(d_Irr!H30+d_Irr!AG30+d_Irr!BF30)),IF(AND(d_Irr!H30&lt;&gt;".",d_Irr!AG30&lt;&gt;".",d_Irr!BF30="."),d_dir!AI30/((1/1000)*(d_Irr!H30+d_Irr!AG30)),IF(AND(d_Irr!H30&lt;&gt;".",d_Irr!AG30=".",d_Irr!BF30&lt;&gt;"."),d_dir!AI30/((1/1000)*(d_Irr!H30+d_Irr!BF30)),IF(AND(d_Irr!H30=".",d_Irr!AG30&lt;&gt;".",d_Irr!BF30&lt;&gt;"."),d_dir!AI30/((1/1000)*(d_Irr!AG30+d_Irr!BF30)),IF(AND(d_Irr!H30=".",d_Irr!AG30=".",d_Irr!BF30&lt;&gt;"."),d_dir!AI30/((1/1000)*(d_Irr!BF30)),IF(AND(d_Irr!H30=".",d_Irr!AG30&lt;&gt;".",d_Irr!BF30="."),d_dir!AI30/((1/1000)*(d_Irr!AG30)),IF(AND(d_Irr!H30&lt;&gt;".",d_Irr!AG30=".",d_Irr!BF30="."),d_dir!AI30/((1/1000)*(d_Irr!H30)),IF(AND(d_Irr!H30=".",d_Irr!AG30=".",d_Irr!BF30="."),d_dir!AI30*1000)))))))),".")</f>
        <v>2.4406738568577451</v>
      </c>
      <c r="AJ30" s="76">
        <f>IFERROR(IF(AND(d_Irr!I30&lt;&gt;".",d_Irr!AH30&lt;&gt;".",d_Irr!BG30&lt;&gt;"."),d_dir!AJ30/((1/1000)*(d_Irr!I30+d_Irr!AH30+d_Irr!BG30)),IF(AND(d_Irr!I30&lt;&gt;".",d_Irr!AH30&lt;&gt;".",d_Irr!BG30="."),d_dir!AJ30/((1/1000)*(d_Irr!I30+d_Irr!AH30)),IF(AND(d_Irr!I30&lt;&gt;".",d_Irr!AH30=".",d_Irr!BG30&lt;&gt;"."),d_dir!AJ30/((1/1000)*(d_Irr!I30+d_Irr!BG30)),IF(AND(d_Irr!I30=".",d_Irr!AH30&lt;&gt;".",d_Irr!BG30&lt;&gt;"."),d_dir!AJ30/((1/1000)*(d_Irr!AH30+d_Irr!BG30)),IF(AND(d_Irr!I30=".",d_Irr!AH30=".",d_Irr!BG30&lt;&gt;"."),d_dir!AJ30/((1/1000)*(d_Irr!BG30)),IF(AND(d_Irr!I30=".",d_Irr!AH30&lt;&gt;".",d_Irr!BG30="."),d_dir!AJ30/((1/1000)*(d_Irr!AH30)),IF(AND(d_Irr!I30&lt;&gt;".",d_Irr!AH30=".",d_Irr!BG30="."),d_dir!AJ30/((1/1000)*(d_Irr!I30)),IF(AND(d_Irr!I30=".",d_Irr!AH30=".",d_Irr!BG30="."),d_dir!AJ30*1000)))))))),".")</f>
        <v>8.2238090866545601</v>
      </c>
      <c r="AK30" s="76">
        <f>IFERROR(IF(AND(d_Irr!J30&lt;&gt;".",d_Irr!AI30&lt;&gt;".",d_Irr!BH30&lt;&gt;"."),d_dir!AK30/((1/1000)*(d_Irr!J30+d_Irr!AI30+d_Irr!BH30)),IF(AND(d_Irr!J30&lt;&gt;".",d_Irr!AI30&lt;&gt;".",d_Irr!BH30="."),d_dir!AK30/((1/1000)*(d_Irr!J30+d_Irr!AI30)),IF(AND(d_Irr!J30&lt;&gt;".",d_Irr!AI30=".",d_Irr!BH30&lt;&gt;"."),d_dir!AK30/((1/1000)*(d_Irr!J30+d_Irr!BH30)),IF(AND(d_Irr!J30=".",d_Irr!AI30&lt;&gt;".",d_Irr!BH30&lt;&gt;"."),d_dir!AK30/((1/1000)*(d_Irr!AI30+d_Irr!BH30)),IF(AND(d_Irr!J30=".",d_Irr!AI30=".",d_Irr!BH30&lt;&gt;"."),d_dir!AK30/((1/1000)*(d_Irr!BH30)),IF(AND(d_Irr!J30=".",d_Irr!AI30&lt;&gt;".",d_Irr!BH30="."),d_dir!AK30/((1/1000)*(d_Irr!AI30)),IF(AND(d_Irr!J30&lt;&gt;".",d_Irr!AI30=".",d_Irr!BH30="."),d_dir!AK30/((1/1000)*(d_Irr!J30)),IF(AND(d_Irr!J30=".",d_Irr!AI30=".",d_Irr!BH30="."),d_dir!AK30*1000)))))))),".")</f>
        <v>0.68635465844446519</v>
      </c>
      <c r="AL30" s="76">
        <f>IFERROR(IF(AND(d_Irr!K30&lt;&gt;".",d_Irr!AJ30&lt;&gt;".",d_Irr!BI30&lt;&gt;"."),d_dir!AL30/((1/1000)*(d_Irr!K30+d_Irr!AJ30+d_Irr!BI30)),IF(AND(d_Irr!K30&lt;&gt;".",d_Irr!AJ30&lt;&gt;".",d_Irr!BI30="."),d_dir!AL30/((1/1000)*(d_Irr!K30+d_Irr!AJ30)),IF(AND(d_Irr!K30&lt;&gt;".",d_Irr!AJ30=".",d_Irr!BI30&lt;&gt;"."),d_dir!AL30/((1/1000)*(d_Irr!K30+d_Irr!BI30)),IF(AND(d_Irr!K30=".",d_Irr!AJ30&lt;&gt;".",d_Irr!BI30&lt;&gt;"."),d_dir!AL30/((1/1000)*(d_Irr!AJ30+d_Irr!BI30)),IF(AND(d_Irr!K30=".",d_Irr!AJ30=".",d_Irr!BI30&lt;&gt;"."),d_dir!AL30/((1/1000)*(d_Irr!BI30)),IF(AND(d_Irr!K30=".",d_Irr!AJ30&lt;&gt;".",d_Irr!BI30="."),d_dir!AL30/((1/1000)*(d_Irr!AJ30)),IF(AND(d_Irr!K30&lt;&gt;".",d_Irr!AJ30=".",d_Irr!BI30="."),d_dir!AL30/((1/1000)*(d_Irr!K30)),IF(AND(d_Irr!K30=".",d_Irr!AJ30=".",d_Irr!BI30="."),d_dir!AL30*1000)))))))),".")</f>
        <v>2.363176060964435</v>
      </c>
      <c r="AM30" s="76">
        <f>IFERROR(IF(AND(d_Irr!L30&lt;&gt;".",d_Irr!AK30&lt;&gt;".",d_Irr!BJ30&lt;&gt;"."),d_dir!AM30/((1/1000)*(d_Irr!L30+d_Irr!AK30+d_Irr!BJ30)),IF(AND(d_Irr!L30&lt;&gt;".",d_Irr!AK30&lt;&gt;".",d_Irr!BJ30="."),d_dir!AM30/((1/1000)*(d_Irr!L30+d_Irr!AK30)),IF(AND(d_Irr!L30&lt;&gt;".",d_Irr!AK30=".",d_Irr!BJ30&lt;&gt;"."),d_dir!AM30/((1/1000)*(d_Irr!L30+d_Irr!BJ30)),IF(AND(d_Irr!L30=".",d_Irr!AK30&lt;&gt;".",d_Irr!BJ30&lt;&gt;"."),d_dir!AM30/((1/1000)*(d_Irr!AK30+d_Irr!BJ30)),IF(AND(d_Irr!L30=".",d_Irr!AK30=".",d_Irr!BJ30&lt;&gt;"."),d_dir!AM30/((1/1000)*(d_Irr!BJ30)),IF(AND(d_Irr!L30=".",d_Irr!AK30&lt;&gt;".",d_Irr!BJ30="."),d_dir!AM30/((1/1000)*(d_Irr!AK30)),IF(AND(d_Irr!L30&lt;&gt;".",d_Irr!AK30=".",d_Irr!BJ30="."),d_dir!AM30/((1/1000)*(d_Irr!L30)),IF(AND(d_Irr!L30=".",d_Irr!AK30=".",d_Irr!BJ30="."),d_dir!AM30*1000)))))))),".")</f>
        <v>3.5893674372067745</v>
      </c>
      <c r="AN30" s="76">
        <f>IFERROR(IF(AND(d_Irr!M30&lt;&gt;".",d_Irr!AL30&lt;&gt;".",d_Irr!BK30&lt;&gt;"."),d_dir!AN30/((1/1000)*(d_Irr!M30+d_Irr!AL30+d_Irr!BK30)),IF(AND(d_Irr!M30&lt;&gt;".",d_Irr!AL30&lt;&gt;".",d_Irr!BK30="."),d_dir!AN30/((1/1000)*(d_Irr!M30+d_Irr!AL30)),IF(AND(d_Irr!M30&lt;&gt;".",d_Irr!AL30=".",d_Irr!BK30&lt;&gt;"."),d_dir!AN30/((1/1000)*(d_Irr!M30+d_Irr!BK30)),IF(AND(d_Irr!M30=".",d_Irr!AL30&lt;&gt;".",d_Irr!BK30&lt;&gt;"."),d_dir!AN30/((1/1000)*(d_Irr!AL30+d_Irr!BK30)),IF(AND(d_Irr!M30=".",d_Irr!AL30=".",d_Irr!BK30&lt;&gt;"."),d_dir!AN30/((1/1000)*(d_Irr!BK30)),IF(AND(d_Irr!M30=".",d_Irr!AL30&lt;&gt;".",d_Irr!BK30="."),d_dir!AN30/((1/1000)*(d_Irr!AL30)),IF(AND(d_Irr!M30&lt;&gt;".",d_Irr!AL30=".",d_Irr!BK30="."),d_dir!AN30/((1/1000)*(d_Irr!M30)),IF(AND(d_Irr!M30=".",d_Irr!AL30=".",d_Irr!BK30="."),d_dir!AN30*1000)))))))),".")</f>
        <v>4.8017832496630888</v>
      </c>
      <c r="AO30" s="76">
        <f>IFERROR(IF(AND(d_Irr!N30&lt;&gt;".",d_Irr!AM30&lt;&gt;".",d_Irr!BL30&lt;&gt;"."),d_dir!AO30/((1/1000)*(d_Irr!N30+d_Irr!AM30+d_Irr!BL30)),IF(AND(d_Irr!N30&lt;&gt;".",d_Irr!AM30&lt;&gt;".",d_Irr!BL30="."),d_dir!AO30/((1/1000)*(d_Irr!N30+d_Irr!AM30)),IF(AND(d_Irr!N30&lt;&gt;".",d_Irr!AM30=".",d_Irr!BL30&lt;&gt;"."),d_dir!AO30/((1/1000)*(d_Irr!N30+d_Irr!BL30)),IF(AND(d_Irr!N30=".",d_Irr!AM30&lt;&gt;".",d_Irr!BL30&lt;&gt;"."),d_dir!AO30/((1/1000)*(d_Irr!AM30+d_Irr!BL30)),IF(AND(d_Irr!N30=".",d_Irr!AM30=".",d_Irr!BL30&lt;&gt;"."),d_dir!AO30/((1/1000)*(d_Irr!BL30)),IF(AND(d_Irr!N30=".",d_Irr!AM30&lt;&gt;".",d_Irr!BL30="."),d_dir!AO30/((1/1000)*(d_Irr!AM30)),IF(AND(d_Irr!N30&lt;&gt;".",d_Irr!AM30=".",d_Irr!BL30="."),d_dir!AO30/((1/1000)*(d_Irr!N30)),IF(AND(d_Irr!N30=".",d_Irr!AM30=".",d_Irr!BL30="."),d_dir!AO30*1000)))))))),".")</f>
        <v>5.9470562165046408</v>
      </c>
      <c r="AP30" s="76">
        <f>IFERROR(IF(AND(d_Irr!O30&lt;&gt;".",d_Irr!AN30&lt;&gt;".",d_Irr!BM30&lt;&gt;"."),d_dir!AP30/((1/1000)*(d_Irr!O30+d_Irr!AN30+d_Irr!BM30)),IF(AND(d_Irr!O30&lt;&gt;".",d_Irr!AN30&lt;&gt;".",d_Irr!BM30="."),d_dir!AP30/((1/1000)*(d_Irr!O30+d_Irr!AN30)),IF(AND(d_Irr!O30&lt;&gt;".",d_Irr!AN30=".",d_Irr!BM30&lt;&gt;"."),d_dir!AP30/((1/1000)*(d_Irr!O30+d_Irr!BM30)),IF(AND(d_Irr!O30=".",d_Irr!AN30&lt;&gt;".",d_Irr!BM30&lt;&gt;"."),d_dir!AP30/((1/1000)*(d_Irr!AN30+d_Irr!BM30)),IF(AND(d_Irr!O30=".",d_Irr!AN30=".",d_Irr!BM30&lt;&gt;"."),d_dir!AP30/((1/1000)*(d_Irr!BM30)),IF(AND(d_Irr!O30=".",d_Irr!AN30&lt;&gt;".",d_Irr!BM30="."),d_dir!AP30/((1/1000)*(d_Irr!AN30)),IF(AND(d_Irr!O30&lt;&gt;".",d_Irr!AN30=".",d_Irr!BM30="."),d_dir!AP30/((1/1000)*(d_Irr!O30)),IF(AND(d_Irr!O30=".",d_Irr!AN30=".",d_Irr!BM30="."),d_dir!AP30*1000)))))))),".")</f>
        <v>6.4665525862819573</v>
      </c>
      <c r="AQ30" s="76">
        <f>IFERROR(IF(AND(d_Irr!P30&lt;&gt;".",d_Irr!AO30&lt;&gt;".",d_Irr!BN30&lt;&gt;"."),d_dir!AQ30/((1/1000)*(d_Irr!P30+d_Irr!AO30+d_Irr!BN30)),IF(AND(d_Irr!P30&lt;&gt;".",d_Irr!AO30&lt;&gt;".",d_Irr!BN30="."),d_dir!AQ30/((1/1000)*(d_Irr!P30+d_Irr!AO30)),IF(AND(d_Irr!P30&lt;&gt;".",d_Irr!AO30=".",d_Irr!BN30&lt;&gt;"."),d_dir!AQ30/((1/1000)*(d_Irr!P30+d_Irr!BN30)),IF(AND(d_Irr!P30=".",d_Irr!AO30&lt;&gt;".",d_Irr!BN30&lt;&gt;"."),d_dir!AQ30/((1/1000)*(d_Irr!AO30+d_Irr!BN30)),IF(AND(d_Irr!P30=".",d_Irr!AO30=".",d_Irr!BN30&lt;&gt;"."),d_dir!AQ30/((1/1000)*(d_Irr!BN30)),IF(AND(d_Irr!P30=".",d_Irr!AO30&lt;&gt;".",d_Irr!BN30="."),d_dir!AQ30/((1/1000)*(d_Irr!AO30)),IF(AND(d_Irr!P30&lt;&gt;".",d_Irr!AO30=".",d_Irr!BN30="."),d_dir!AQ30/((1/1000)*(d_Irr!P30)),IF(AND(d_Irr!P30=".",d_Irr!AO30=".",d_Irr!BN30="."),d_dir!AQ30*1000)))))))),".")</f>
        <v>7.6745411143646436</v>
      </c>
      <c r="AR30" s="76">
        <f>IFERROR(IF(AND(d_Irr!Q30&lt;&gt;".",d_Irr!AP30&lt;&gt;".",d_Irr!BO30&lt;&gt;"."),d_dir!AR30/((1/1000)*(d_Irr!Q30+d_Irr!AP30+d_Irr!BO30)),IF(AND(d_Irr!Q30&lt;&gt;".",d_Irr!AP30&lt;&gt;".",d_Irr!BO30="."),d_dir!AR30/((1/1000)*(d_Irr!Q30+d_Irr!AP30)),IF(AND(d_Irr!Q30&lt;&gt;".",d_Irr!AP30=".",d_Irr!BO30&lt;&gt;"."),d_dir!AR30/((1/1000)*(d_Irr!Q30+d_Irr!BO30)),IF(AND(d_Irr!Q30=".",d_Irr!AP30&lt;&gt;".",d_Irr!BO30&lt;&gt;"."),d_dir!AR30/((1/1000)*(d_Irr!AP30+d_Irr!BO30)),IF(AND(d_Irr!Q30=".",d_Irr!AP30=".",d_Irr!BO30&lt;&gt;"."),d_dir!AR30/((1/1000)*(d_Irr!BO30)),IF(AND(d_Irr!Q30=".",d_Irr!AP30&lt;&gt;".",d_Irr!BO30="."),d_dir!AR30/((1/1000)*(d_Irr!AP30)),IF(AND(d_Irr!Q30&lt;&gt;".",d_Irr!AP30=".",d_Irr!BO30="."),d_dir!AR30/((1/1000)*(d_Irr!Q30)),IF(AND(d_Irr!Q30=".",d_Irr!AP30=".",d_Irr!BO30="."),d_dir!AR30*1000)))))))),".")</f>
        <v>1.9541297700173594</v>
      </c>
      <c r="AS30" s="76">
        <f>IFERROR(IF(AND(d_Irr!R30&lt;&gt;".",d_Irr!AQ30&lt;&gt;".",d_Irr!BP30&lt;&gt;"."),d_dir!AS30/((1/1000)*(d_Irr!R30+d_Irr!AQ30+d_Irr!BP30)),IF(AND(d_Irr!R30&lt;&gt;".",d_Irr!AQ30&lt;&gt;".",d_Irr!BP30="."),d_dir!AS30/((1/1000)*(d_Irr!R30+d_Irr!AQ30)),IF(AND(d_Irr!R30&lt;&gt;".",d_Irr!AQ30=".",d_Irr!BP30&lt;&gt;"."),d_dir!AS30/((1/1000)*(d_Irr!R30+d_Irr!BP30)),IF(AND(d_Irr!R30=".",d_Irr!AQ30&lt;&gt;".",d_Irr!BP30&lt;&gt;"."),d_dir!AS30/((1/1000)*(d_Irr!AQ30+d_Irr!BP30)),IF(AND(d_Irr!R30=".",d_Irr!AQ30=".",d_Irr!BP30&lt;&gt;"."),d_dir!AS30/((1/1000)*(d_Irr!BP30)),IF(AND(d_Irr!R30=".",d_Irr!AQ30&lt;&gt;".",d_Irr!BP30="."),d_dir!AS30/((1/1000)*(d_Irr!AQ30)),IF(AND(d_Irr!R30&lt;&gt;".",d_Irr!AQ30=".",d_Irr!BP30="."),d_dir!AS30/((1/1000)*(d_Irr!R30)),IF(AND(d_Irr!R30=".",d_Irr!AQ30=".",d_Irr!BP30="."),d_dir!AS30*1000)))))))),".")</f>
        <v>3.1864757632255891</v>
      </c>
      <c r="AT30" s="76">
        <f>IFERROR(IF(AND(d_Irr!S30&lt;&gt;".",d_Irr!AR30&lt;&gt;".",d_Irr!BQ30&lt;&gt;"."),d_dir!AT30/((1/1000)*(d_Irr!S30+d_Irr!AR30+d_Irr!BQ30)),IF(AND(d_Irr!S30&lt;&gt;".",d_Irr!AR30&lt;&gt;".",d_Irr!BQ30="."),d_dir!AT30/((1/1000)*(d_Irr!S30+d_Irr!AR30)),IF(AND(d_Irr!S30&lt;&gt;".",d_Irr!AR30=".",d_Irr!BQ30&lt;&gt;"."),d_dir!AT30/((1/1000)*(d_Irr!S30+d_Irr!BQ30)),IF(AND(d_Irr!S30=".",d_Irr!AR30&lt;&gt;".",d_Irr!BQ30&lt;&gt;"."),d_dir!AT30/((1/1000)*(d_Irr!AR30+d_Irr!BQ30)),IF(AND(d_Irr!S30=".",d_Irr!AR30=".",d_Irr!BQ30&lt;&gt;"."),d_dir!AT30/((1/1000)*(d_Irr!BQ30)),IF(AND(d_Irr!S30=".",d_Irr!AR30&lt;&gt;".",d_Irr!BQ30="."),d_dir!AT30/((1/1000)*(d_Irr!AR30)),IF(AND(d_Irr!S30&lt;&gt;".",d_Irr!AR30=".",d_Irr!BQ30="."),d_dir!AT30/((1/1000)*(d_Irr!S30)),IF(AND(d_Irr!S30=".",d_Irr!AR30=".",d_Irr!BQ30="."),d_dir!AT30*1000)))))))),".")</f>
        <v>6.606910333528055</v>
      </c>
      <c r="AU30" s="76">
        <f>IFERROR(IF(AND(d_Irr!T30&lt;&gt;".",d_Irr!AS30&lt;&gt;".",d_Irr!BR30&lt;&gt;"."),d_dir!AU30/((1/1000)*(d_Irr!T30+d_Irr!AS30+d_Irr!BR30)),IF(AND(d_Irr!T30&lt;&gt;".",d_Irr!AS30&lt;&gt;".",d_Irr!BR30="."),d_dir!AU30/((1/1000)*(d_Irr!T30+d_Irr!AS30)),IF(AND(d_Irr!T30&lt;&gt;".",d_Irr!AS30=".",d_Irr!BR30&lt;&gt;"."),d_dir!AU30/((1/1000)*(d_Irr!T30+d_Irr!BR30)),IF(AND(d_Irr!T30=".",d_Irr!AS30&lt;&gt;".",d_Irr!BR30&lt;&gt;"."),d_dir!AU30/((1/1000)*(d_Irr!AS30+d_Irr!BR30)),IF(AND(d_Irr!T30=".",d_Irr!AS30=".",d_Irr!BR30&lt;&gt;"."),d_dir!AU30/((1/1000)*(d_Irr!BR30)),IF(AND(d_Irr!T30=".",d_Irr!AS30&lt;&gt;".",d_Irr!BR30="."),d_dir!AU30/((1/1000)*(d_Irr!AS30)),IF(AND(d_Irr!T30&lt;&gt;".",d_Irr!AS30=".",d_Irr!BR30="."),d_dir!AU30/((1/1000)*(d_Irr!T30)),IF(AND(d_Irr!T30=".",d_Irr!AS30=".",d_Irr!BR30="."),d_dir!AU30*1000)))))))),".")</f>
        <v>9.0493333281056838</v>
      </c>
      <c r="AV30" s="76">
        <f>IFERROR(IF(AND(d_Irr!U30&lt;&gt;".",d_Irr!AT30&lt;&gt;".",d_Irr!BS30&lt;&gt;"."),d_dir!AV30/((1/1000)*(d_Irr!U30+d_Irr!AT30+d_Irr!BS30)),IF(AND(d_Irr!U30&lt;&gt;".",d_Irr!AT30&lt;&gt;".",d_Irr!BS30="."),d_dir!AV30/((1/1000)*(d_Irr!U30+d_Irr!AT30)),IF(AND(d_Irr!U30&lt;&gt;".",d_Irr!AT30=".",d_Irr!BS30&lt;&gt;"."),d_dir!AV30/((1/1000)*(d_Irr!U30+d_Irr!BS30)),IF(AND(d_Irr!U30=".",d_Irr!AT30&lt;&gt;".",d_Irr!BS30&lt;&gt;"."),d_dir!AV30/((1/1000)*(d_Irr!AT30+d_Irr!BS30)),IF(AND(d_Irr!U30=".",d_Irr!AT30=".",d_Irr!BS30&lt;&gt;"."),d_dir!AV30/((1/1000)*(d_Irr!BS30)),IF(AND(d_Irr!U30=".",d_Irr!AT30&lt;&gt;".",d_Irr!BS30="."),d_dir!AV30/((1/1000)*(d_Irr!AT30)),IF(AND(d_Irr!U30&lt;&gt;".",d_Irr!AT30=".",d_Irr!BS30="."),d_dir!AV30/((1/1000)*(d_Irr!U30)),IF(AND(d_Irr!U30=".",d_Irr!AT30=".",d_Irr!BS30="."),d_dir!AV30*1000)))))))),".")</f>
        <v>1.4989634688362665</v>
      </c>
      <c r="AW30" s="76">
        <f>IFERROR(IF(AND(d_Irr!V30&lt;&gt;".",d_Irr!AU30&lt;&gt;".",d_Irr!BT30&lt;&gt;"."),d_dir!AW30/((1/1000)*(d_Irr!V30+d_Irr!AU30+d_Irr!BT30)),IF(AND(d_Irr!V30&lt;&gt;".",d_Irr!AU30&lt;&gt;".",d_Irr!BT30="."),d_dir!AW30/((1/1000)*(d_Irr!V30+d_Irr!AU30)),IF(AND(d_Irr!V30&lt;&gt;".",d_Irr!AU30=".",d_Irr!BT30&lt;&gt;"."),d_dir!AW30/((1/1000)*(d_Irr!V30+d_Irr!BT30)),IF(AND(d_Irr!V30=".",d_Irr!AU30&lt;&gt;".",d_Irr!BT30&lt;&gt;"."),d_dir!AW30/((1/1000)*(d_Irr!AU30+d_Irr!BT30)),IF(AND(d_Irr!V30=".",d_Irr!AU30=".",d_Irr!BT30&lt;&gt;"."),d_dir!AW30/((1/1000)*(d_Irr!BT30)),IF(AND(d_Irr!V30=".",d_Irr!AU30&lt;&gt;".",d_Irr!BT30="."),d_dir!AW30/((1/1000)*(d_Irr!AU30)),IF(AND(d_Irr!V30&lt;&gt;".",d_Irr!AU30=".",d_Irr!BT30="."),d_dir!AW30/((1/1000)*(d_Irr!V30)),IF(AND(d_Irr!V30=".",d_Irr!AU30=".",d_Irr!BT30="."),d_dir!AW30*1000)))))))),".")</f>
        <v>3.0836620619299246</v>
      </c>
      <c r="AX30" s="76">
        <f>IFERROR(IF(AND(d_Irr!W30&lt;&gt;".",d_Irr!AV30&lt;&gt;".",d_Irr!BU30&lt;&gt;"."),d_dir!AX30/((1/1000)*(d_Irr!W30+d_Irr!AV30+d_Irr!BU30)),IF(AND(d_Irr!W30&lt;&gt;".",d_Irr!AV30&lt;&gt;".",d_Irr!BU30="."),d_dir!AX30/((1/1000)*(d_Irr!W30+d_Irr!AV30)),IF(AND(d_Irr!W30&lt;&gt;".",d_Irr!AV30=".",d_Irr!BU30&lt;&gt;"."),d_dir!AX30/((1/1000)*(d_Irr!W30+d_Irr!BU30)),IF(AND(d_Irr!W30=".",d_Irr!AV30&lt;&gt;".",d_Irr!BU30&lt;&gt;"."),d_dir!AX30/((1/1000)*(d_Irr!AV30+d_Irr!BU30)),IF(AND(d_Irr!W30=".",d_Irr!AV30=".",d_Irr!BU30&lt;&gt;"."),d_dir!AX30/((1/1000)*(d_Irr!BU30)),IF(AND(d_Irr!W30=".",d_Irr!AV30&lt;&gt;".",d_Irr!BU30="."),d_dir!AX30/((1/1000)*(d_Irr!AV30)),IF(AND(d_Irr!W30&lt;&gt;".",d_Irr!AV30=".",d_Irr!BU30="."),d_dir!AX30/((1/1000)*(d_Irr!W30)),IF(AND(d_Irr!W30=".",d_Irr!AV30=".",d_Irr!BU30="."),d_dir!AX30*1000)))))))),".")</f>
        <v>3.7318080873379054</v>
      </c>
      <c r="AY30" s="76">
        <f>IFERROR(IF(AND(d_Irr!X30&lt;&gt;".",d_Irr!AW30&lt;&gt;".",d_Irr!BV30&lt;&gt;"."),d_dir!AY30/((1/1000)*(d_Irr!X30+d_Irr!AW30+d_Irr!BV30)),IF(AND(d_Irr!X30&lt;&gt;".",d_Irr!AW30&lt;&gt;".",d_Irr!BV30="."),d_dir!AY30/((1/1000)*(d_Irr!X30+d_Irr!AW30)),IF(AND(d_Irr!X30&lt;&gt;".",d_Irr!AW30=".",d_Irr!BV30&lt;&gt;"."),d_dir!AY30/((1/1000)*(d_Irr!X30+d_Irr!BV30)),IF(AND(d_Irr!X30=".",d_Irr!AW30&lt;&gt;".",d_Irr!BV30&lt;&gt;"."),d_dir!AY30/((1/1000)*(d_Irr!AW30+d_Irr!BV30)),IF(AND(d_Irr!X30=".",d_Irr!AW30=".",d_Irr!BV30&lt;&gt;"."),d_dir!AY30/((1/1000)*(d_Irr!BV30)),IF(AND(d_Irr!X30=".",d_Irr!AW30&lt;&gt;".",d_Irr!BV30="."),d_dir!AY30/((1/1000)*(d_Irr!AW30)),IF(AND(d_Irr!X30&lt;&gt;".",d_Irr!AW30=".",d_Irr!BV30="."),d_dir!AY30/((1/1000)*(d_Irr!X30)),IF(AND(d_Irr!X30=".",d_Irr!AW30=".",d_Irr!BV30="."),d_dir!AY30*1000)))))))),".")</f>
        <v>5.1810656455250648</v>
      </c>
      <c r="AZ30" s="76">
        <f>IFERROR(IF(AND(d_Irr!Y30&lt;&gt;".",d_Irr!AX30&lt;&gt;".",d_Irr!BW30&lt;&gt;"."),d_dir!AZ30/((1/1000)*(d_Irr!Y30+d_Irr!AX30+d_Irr!BW30)),IF(AND(d_Irr!Y30&lt;&gt;".",d_Irr!AX30&lt;&gt;".",d_Irr!BW30="."),d_dir!AZ30/((1/1000)*(d_Irr!Y30+d_Irr!AX30)),IF(AND(d_Irr!Y30&lt;&gt;".",d_Irr!AX30=".",d_Irr!BW30&lt;&gt;"."),d_dir!AZ30/((1/1000)*(d_Irr!Y30+d_Irr!BW30)),IF(AND(d_Irr!Y30=".",d_Irr!AX30&lt;&gt;".",d_Irr!BW30&lt;&gt;"."),d_dir!AZ30/((1/1000)*(d_Irr!AX30+d_Irr!BW30)),IF(AND(d_Irr!Y30=".",d_Irr!AX30=".",d_Irr!BW30&lt;&gt;"."),d_dir!AZ30/((1/1000)*(d_Irr!BW30)),IF(AND(d_Irr!Y30=".",d_Irr!AX30&lt;&gt;".",d_Irr!BW30="."),d_dir!AZ30/((1/1000)*(d_Irr!AX30)),IF(AND(d_Irr!Y30&lt;&gt;".",d_Irr!AX30=".",d_Irr!BW30="."),d_dir!AZ30/((1/1000)*(d_Irr!Y30)),IF(AND(d_Irr!Y30=".",d_Irr!AX30=".",d_Irr!BW30="."),d_dir!AZ30*1000)))))))),".")</f>
        <v>2.0144263947329608</v>
      </c>
      <c r="BA30" s="76">
        <f>IFERROR(IF(AND(d_Irr!Z30&lt;&gt;".",d_Irr!AY30&lt;&gt;".",d_Irr!BX30&lt;&gt;"."),d_dir!BA30/((1/1000)*(d_Irr!Z30+d_Irr!AY30+d_Irr!BX30)),IF(AND(d_Irr!Z30&lt;&gt;".",d_Irr!AY30&lt;&gt;".",d_Irr!BX30="."),d_dir!BA30/((1/1000)*(d_Irr!Z30+d_Irr!AY30)),IF(AND(d_Irr!Z30&lt;&gt;".",d_Irr!AY30=".",d_Irr!BX30&lt;&gt;"."),d_dir!BA30/((1/1000)*(d_Irr!Z30+d_Irr!BX30)),IF(AND(d_Irr!Z30=".",d_Irr!AY30&lt;&gt;".",d_Irr!BX30&lt;&gt;"."),d_dir!BA30/((1/1000)*(d_Irr!AY30+d_Irr!BX30)),IF(AND(d_Irr!Z30=".",d_Irr!AY30=".",d_Irr!BX30&lt;&gt;"."),d_dir!BA30/((1/1000)*(d_Irr!BX30)),IF(AND(d_Irr!Z30=".",d_Irr!AY30&lt;&gt;".",d_Irr!BX30="."),d_dir!BA30/((1/1000)*(d_Irr!AY30)),IF(AND(d_Irr!Z30&lt;&gt;".",d_Irr!AY30=".",d_Irr!BX30="."),d_dir!BA30/((1/1000)*(d_Irr!Z30)),IF(AND(d_Irr!Z30=".",d_Irr!AY30=".",d_Irr!BX30="."),d_dir!BA30*1000)))))))),".")</f>
        <v>0.72765109137759021</v>
      </c>
      <c r="BB30" s="76">
        <f>IFERROR(IF(AND(d_Irr!AA30&lt;&gt;".",d_Irr!AZ30&lt;&gt;".",d_Irr!BY30&lt;&gt;"."),d_dir!BB30/((1/1000)*(d_Irr!AA30+d_Irr!AZ30+d_Irr!BY30)),IF(AND(d_Irr!AA30&lt;&gt;".",d_Irr!AZ30&lt;&gt;".",d_Irr!BY30="."),d_dir!BB30/((1/1000)*(d_Irr!AA30+d_Irr!AZ30)),IF(AND(d_Irr!AA30&lt;&gt;".",d_Irr!AZ30=".",d_Irr!BY30&lt;&gt;"."),d_dir!BB30/((1/1000)*(d_Irr!AA30+d_Irr!BY30)),IF(AND(d_Irr!AA30=".",d_Irr!AZ30&lt;&gt;".",d_Irr!BY30&lt;&gt;"."),d_dir!BB30/((1/1000)*(d_Irr!AZ30+d_Irr!BY30)),IF(AND(d_Irr!AA30=".",d_Irr!AZ30=".",d_Irr!BY30&lt;&gt;"."),d_dir!BB30/((1/1000)*(d_Irr!BY30)),IF(AND(d_Irr!AA30=".",d_Irr!AZ30&lt;&gt;".",d_Irr!BY30="."),d_dir!BB30/((1/1000)*(d_Irr!AZ30)),IF(AND(d_Irr!AA30&lt;&gt;".",d_Irr!AZ30=".",d_Irr!BY30="."),d_dir!BB30/((1/1000)*(d_Irr!AA30)),IF(AND(d_Irr!AA30=".",d_Irr!AZ30=".",d_Irr!BY30="."),d_dir!BB30*1000)))))))),".")</f>
        <v>0.72592390251989281</v>
      </c>
    </row>
    <row r="31" spans="1:54" x14ac:dyDescent="0.25">
      <c r="A31" s="95" t="s">
        <v>13</v>
      </c>
      <c r="B31" s="95" t="s">
        <v>1071</v>
      </c>
      <c r="C31" s="96">
        <f>IFERROR(1/SUM(1/D31,1/E31,1/F31,1/G31,1/H31,1/I31,1/J31,1/K31,1/L31,1/M31,1/N31,1/O31,1/P31,1/Q31,1/R31,1/S31,1/T31,1/U31,1/V31,1/W31,1/X31,1/Y31,1/Z31),".")</f>
        <v>2.0568527486252028E-2</v>
      </c>
      <c r="D31" s="58">
        <f>1/SUM(1/D32,1/D33,1/D34,1/D35,1/D36,1/D37,1/D38,1/D41,1/D44)</f>
        <v>0.38647777343192541</v>
      </c>
      <c r="E31" s="58">
        <f>1/SUM(1/E32,1/E33,1/E34,1/E35,1/E36,1/E37,1/E38,1/E41,1/E44)</f>
        <v>0.73242560486054709</v>
      </c>
      <c r="F31" s="58">
        <f t="shared" ref="F31:AB31" si="2">1/SUM(1/F32,1/F33,1/F34,1/F35,1/F36,1/F37,1/F38,1/F41,1/F44)</f>
        <v>0.9187686975900542</v>
      </c>
      <c r="G31" s="58">
        <f t="shared" si="2"/>
        <v>0.86838265118341995</v>
      </c>
      <c r="H31" s="58">
        <f t="shared" si="2"/>
        <v>1.0246034594268023</v>
      </c>
      <c r="I31" s="58">
        <f t="shared" si="2"/>
        <v>0.36076390338407982</v>
      </c>
      <c r="J31" s="58">
        <f t="shared" si="2"/>
        <v>1.0579084947984276</v>
      </c>
      <c r="K31" s="58">
        <f t="shared" si="2"/>
        <v>0.1002163721666373</v>
      </c>
      <c r="L31" s="58">
        <f t="shared" si="2"/>
        <v>0.54659595463115551</v>
      </c>
      <c r="M31" s="58">
        <f t="shared" si="2"/>
        <v>0.39737914430527582</v>
      </c>
      <c r="N31" s="58">
        <f t="shared" si="2"/>
        <v>0.76282611316325388</v>
      </c>
      <c r="O31" s="58">
        <f t="shared" si="2"/>
        <v>0.86361702222083414</v>
      </c>
      <c r="P31" s="58">
        <f t="shared" si="2"/>
        <v>1.0720002118287493</v>
      </c>
      <c r="Q31" s="58">
        <f t="shared" si="2"/>
        <v>1.4297903808083607</v>
      </c>
      <c r="R31" s="58">
        <f t="shared" si="2"/>
        <v>0.24813235606396153</v>
      </c>
      <c r="S31" s="58">
        <f t="shared" si="2"/>
        <v>0.50615232258295217</v>
      </c>
      <c r="T31" s="58">
        <f t="shared" si="2"/>
        <v>0.86591436911129893</v>
      </c>
      <c r="U31" s="58">
        <f t="shared" si="2"/>
        <v>1.7008220732371717</v>
      </c>
      <c r="V31" s="58">
        <f t="shared" ref="V31:Z31" si="3">1/SUM(1/V32,1/V33,1/V34,1/V35,1/V36,1/V37,1/V38,1/V41,1/V44)</f>
        <v>0.25761936111733713</v>
      </c>
      <c r="W31" s="58">
        <f t="shared" si="3"/>
        <v>0.50986404401579721</v>
      </c>
      <c r="X31" s="58">
        <f t="shared" si="3"/>
        <v>0.55559943960104596</v>
      </c>
      <c r="Y31" s="58">
        <f t="shared" si="3"/>
        <v>0.75605690451594465</v>
      </c>
      <c r="Z31" s="58">
        <f t="shared" si="3"/>
        <v>0.38573402443227872</v>
      </c>
      <c r="AA31" s="58">
        <f t="shared" si="2"/>
        <v>0.11527056063668283</v>
      </c>
      <c r="AB31" s="58">
        <f t="shared" si="2"/>
        <v>0.13145426011944583</v>
      </c>
      <c r="AC31" s="96">
        <f>IFERROR(1/SUM(1/AD31,1/AE31,1/AF31,1/AG31,1/AH31,1/AI31,1/AJ31,1/AK31,1/AL31,1/AM31,1/AN31,1/AO31,1/AP31,1/AQ31,1/AR31,1/AS31,1/AT31,1/AU31,1/AV31,1/AW31,1/AX31,1/AY31,1/AZ31),".")</f>
        <v>1.2573647606756144E-2</v>
      </c>
      <c r="AD31" s="58">
        <f>1/SUM(1/AD32,1/AD33,1/AD34,1/AD35,1/AD36,1/AD37,1/AD38,1/AD41,1/AD44)</f>
        <v>0.21843301984227301</v>
      </c>
      <c r="AE31" s="58">
        <f t="shared" ref="AE31:BB31" si="4">1/SUM(1/AE32,1/AE33,1/AE34,1/AE35,1/AE36,1/AE37,1/AE38,1/AE41,1/AE44)</f>
        <v>0.44584647566573871</v>
      </c>
      <c r="AF31" s="58">
        <f t="shared" si="4"/>
        <v>0.55174895243463773</v>
      </c>
      <c r="AG31" s="58">
        <f t="shared" si="4"/>
        <v>0.54950115304393454</v>
      </c>
      <c r="AH31" s="58">
        <f t="shared" si="4"/>
        <v>0.56574002903136689</v>
      </c>
      <c r="AI31" s="58">
        <f t="shared" si="4"/>
        <v>0.23097228166099559</v>
      </c>
      <c r="AJ31" s="58">
        <f t="shared" si="4"/>
        <v>0.73268491877142805</v>
      </c>
      <c r="AK31" s="58">
        <f t="shared" si="4"/>
        <v>6.3326224361280797E-2</v>
      </c>
      <c r="AL31" s="58">
        <f t="shared" si="4"/>
        <v>0.24628905946345789</v>
      </c>
      <c r="AM31" s="58">
        <f t="shared" si="4"/>
        <v>0.3627065799935652</v>
      </c>
      <c r="AN31" s="58">
        <f t="shared" si="4"/>
        <v>0.45377386829392724</v>
      </c>
      <c r="AO31" s="58">
        <f t="shared" si="4"/>
        <v>0.54455066791131523</v>
      </c>
      <c r="AP31" s="58">
        <f t="shared" si="4"/>
        <v>0.65342838599910191</v>
      </c>
      <c r="AQ31" s="58">
        <f t="shared" si="4"/>
        <v>0.68374891412680949</v>
      </c>
      <c r="AR31" s="58">
        <f t="shared" si="4"/>
        <v>0.18029682649379628</v>
      </c>
      <c r="AS31" s="58">
        <f t="shared" si="4"/>
        <v>0.29399894346621686</v>
      </c>
      <c r="AT31" s="58">
        <f t="shared" si="4"/>
        <v>0.60457724501119769</v>
      </c>
      <c r="AU31" s="58">
        <f t="shared" ref="AU31" si="5">1/SUM(1/AU32,1/AU33,1/AU34,1/AU35,1/AU36,1/AU37,1/AU38,1/AU41,1/AU44)</f>
        <v>0.82838171921726445</v>
      </c>
      <c r="AV31" s="58">
        <f t="shared" si="4"/>
        <v>0.14245413616734434</v>
      </c>
      <c r="AW31" s="58">
        <f t="shared" si="4"/>
        <v>0.3116009283084909</v>
      </c>
      <c r="AX31" s="58">
        <f t="shared" si="4"/>
        <v>0.34177650694004702</v>
      </c>
      <c r="AY31" s="58">
        <f t="shared" si="4"/>
        <v>0.47797825528153093</v>
      </c>
      <c r="AZ31" s="58">
        <f t="shared" si="4"/>
        <v>0.20331220469032896</v>
      </c>
      <c r="BA31" s="58">
        <f t="shared" si="4"/>
        <v>6.7490128733765434E-2</v>
      </c>
      <c r="BB31" s="58">
        <f t="shared" si="4"/>
        <v>6.8085332783979297E-2</v>
      </c>
    </row>
    <row r="32" spans="1:54" x14ac:dyDescent="0.25">
      <c r="A32" s="190" t="s">
        <v>1099</v>
      </c>
      <c r="B32" s="191">
        <v>1</v>
      </c>
      <c r="C32" s="60">
        <f>IFERROR(C3/$B32,0)</f>
        <v>0.16797885534539592</v>
      </c>
      <c r="D32" s="60">
        <f>IFERROR(D3/$B32,0)</f>
        <v>3.0689251581722345</v>
      </c>
      <c r="E32" s="60">
        <f>IFERROR(E3/$B32,0)</f>
        <v>6.7009262800618883</v>
      </c>
      <c r="F32" s="60">
        <f t="shared" ref="F32:AD32" si="6">IFERROR(F3/$B32,0)</f>
        <v>8.047559281529411</v>
      </c>
      <c r="G32" s="60">
        <f t="shared" si="6"/>
        <v>6.8505455769652013</v>
      </c>
      <c r="H32" s="60">
        <f t="shared" si="6"/>
        <v>8.4078990359161789</v>
      </c>
      <c r="I32" s="60">
        <f t="shared" si="6"/>
        <v>3.3004857464693473</v>
      </c>
      <c r="J32" s="60">
        <f t="shared" si="6"/>
        <v>9.2667087283500287</v>
      </c>
      <c r="K32" s="60">
        <f t="shared" si="6"/>
        <v>0.79579409604139373</v>
      </c>
      <c r="L32" s="60">
        <f t="shared" si="6"/>
        <v>4.363771135160766</v>
      </c>
      <c r="M32" s="60">
        <f t="shared" si="6"/>
        <v>3.2625048461520625</v>
      </c>
      <c r="N32" s="60">
        <f t="shared" si="6"/>
        <v>6.8577676428911776</v>
      </c>
      <c r="O32" s="60">
        <f t="shared" si="6"/>
        <v>6.9624992729244735</v>
      </c>
      <c r="P32" s="60">
        <f t="shared" si="6"/>
        <v>8.8010005039704708</v>
      </c>
      <c r="Q32" s="60">
        <f t="shared" si="6"/>
        <v>12.524193790571912</v>
      </c>
      <c r="R32" s="60">
        <f t="shared" si="6"/>
        <v>1.9703620896941574</v>
      </c>
      <c r="S32" s="60">
        <f t="shared" si="6"/>
        <v>4.0192313851542574</v>
      </c>
      <c r="T32" s="60">
        <f t="shared" si="6"/>
        <v>6.9897679469902041</v>
      </c>
      <c r="U32" s="60">
        <f t="shared" si="6"/>
        <v>13.7194912222574</v>
      </c>
      <c r="V32" s="60">
        <f t="shared" ref="V32:Z32" si="7">IFERROR(V3/$B32,0)</f>
        <v>2.0594857872120191</v>
      </c>
      <c r="W32" s="60">
        <f t="shared" si="7"/>
        <v>4.1859734207491393</v>
      </c>
      <c r="X32" s="60">
        <f t="shared" si="7"/>
        <v>4.4775374953638298</v>
      </c>
      <c r="Y32" s="60">
        <f t="shared" si="7"/>
        <v>5.9996975135735431</v>
      </c>
      <c r="Z32" s="60">
        <f t="shared" si="7"/>
        <v>3.1641301349907049</v>
      </c>
      <c r="AA32" s="60">
        <f t="shared" si="6"/>
        <v>0.90004207972079198</v>
      </c>
      <c r="AB32" s="60">
        <f t="shared" si="6"/>
        <v>1.0350570155655689</v>
      </c>
      <c r="AC32" s="60">
        <f t="shared" si="6"/>
        <v>0.10267200450230425</v>
      </c>
      <c r="AD32" s="60">
        <f t="shared" si="6"/>
        <v>1.7345230076667362</v>
      </c>
      <c r="AE32" s="60">
        <f t="shared" ref="AE32:BB32" si="8">IFERROR(AE3/$B32,0)</f>
        <v>4.0790277481224235</v>
      </c>
      <c r="AF32" s="60">
        <f t="shared" si="8"/>
        <v>4.832807664090323</v>
      </c>
      <c r="AG32" s="60">
        <f t="shared" si="8"/>
        <v>4.3349353978828962</v>
      </c>
      <c r="AH32" s="60">
        <f t="shared" si="8"/>
        <v>4.6424643611227614</v>
      </c>
      <c r="AI32" s="60">
        <f t="shared" si="8"/>
        <v>2.1130737202386638</v>
      </c>
      <c r="AJ32" s="60">
        <f t="shared" si="8"/>
        <v>6.4179253359746395</v>
      </c>
      <c r="AK32" s="60">
        <f t="shared" si="8"/>
        <v>0.50285830929406417</v>
      </c>
      <c r="AL32" s="60">
        <f t="shared" si="8"/>
        <v>1.9662587684494939</v>
      </c>
      <c r="AM32" s="60">
        <f t="shared" si="8"/>
        <v>2.9778411673542293</v>
      </c>
      <c r="AN32" s="60">
        <f t="shared" si="8"/>
        <v>4.0794038083875606</v>
      </c>
      <c r="AO32" s="60">
        <f t="shared" si="8"/>
        <v>4.3901793640579347</v>
      </c>
      <c r="AP32" s="60">
        <f t="shared" si="8"/>
        <v>5.3645731512275052</v>
      </c>
      <c r="AQ32" s="60">
        <f t="shared" si="8"/>
        <v>5.9892722874354378</v>
      </c>
      <c r="AR32" s="60">
        <f t="shared" si="8"/>
        <v>1.4316957185703263</v>
      </c>
      <c r="AS32" s="60">
        <f t="shared" si="8"/>
        <v>2.3345734634813478</v>
      </c>
      <c r="AT32" s="60">
        <f t="shared" si="8"/>
        <v>4.8802223399941624</v>
      </c>
      <c r="AU32" s="60">
        <f t="shared" ref="AU32" si="9">IFERROR(AU3/$B32,0)</f>
        <v>6.6820485836292161</v>
      </c>
      <c r="AV32" s="60">
        <f t="shared" si="8"/>
        <v>1.1388207295203463</v>
      </c>
      <c r="AW32" s="60">
        <f t="shared" si="8"/>
        <v>2.5582372773469939</v>
      </c>
      <c r="AX32" s="60">
        <f t="shared" si="8"/>
        <v>2.754353254851007</v>
      </c>
      <c r="AY32" s="60">
        <f t="shared" si="8"/>
        <v>3.7930014693680287</v>
      </c>
      <c r="AZ32" s="60">
        <f t="shared" si="8"/>
        <v>1.6677457339131105</v>
      </c>
      <c r="BA32" s="60">
        <f t="shared" si="8"/>
        <v>0.52696851208713147</v>
      </c>
      <c r="BB32" s="60">
        <f t="shared" si="8"/>
        <v>0.53609674795734796</v>
      </c>
    </row>
    <row r="33" spans="1:54" x14ac:dyDescent="0.25">
      <c r="A33" s="190" t="s">
        <v>1075</v>
      </c>
      <c r="B33" s="191">
        <v>1</v>
      </c>
      <c r="C33" s="60">
        <f t="shared" ref="C33" si="10">IFERROR(C13/$B33,0)</f>
        <v>0.24825406523395527</v>
      </c>
      <c r="D33" s="60">
        <f t="shared" ref="D33:S34" si="11">IFERROR(D13/$B33,0)</f>
        <v>4.932903483068662</v>
      </c>
      <c r="E33" s="60">
        <f t="shared" si="11"/>
        <v>8.5611216080361547</v>
      </c>
      <c r="F33" s="60">
        <f t="shared" si="11"/>
        <v>10.739153728888294</v>
      </c>
      <c r="G33" s="60">
        <f t="shared" si="11"/>
        <v>11.09431628245537</v>
      </c>
      <c r="H33" s="60">
        <f t="shared" si="11"/>
        <v>11.57327419548557</v>
      </c>
      <c r="I33" s="60">
        <f t="shared" si="11"/>
        <v>4.2169317328826903</v>
      </c>
      <c r="J33" s="60">
        <f t="shared" si="11"/>
        <v>12.365211855856861</v>
      </c>
      <c r="K33" s="60">
        <f t="shared" si="11"/>
        <v>1.2791368191340982</v>
      </c>
      <c r="L33" s="60">
        <f t="shared" si="11"/>
        <v>6.7200218297791086</v>
      </c>
      <c r="M33" s="60">
        <f t="shared" si="11"/>
        <v>4.4845566179486269</v>
      </c>
      <c r="N33" s="60">
        <f t="shared" si="11"/>
        <v>8.977387192873584</v>
      </c>
      <c r="O33" s="60">
        <f t="shared" si="11"/>
        <v>9.7012516971479172</v>
      </c>
      <c r="P33" s="60">
        <f t="shared" si="11"/>
        <v>12.098328134176194</v>
      </c>
      <c r="Q33" s="60">
        <f t="shared" si="11"/>
        <v>16.711899994271523</v>
      </c>
      <c r="R33" s="60">
        <f t="shared" si="11"/>
        <v>3.1671034684131389</v>
      </c>
      <c r="S33" s="60">
        <f t="shared" si="11"/>
        <v>6.4603988293068735</v>
      </c>
      <c r="T33" s="60">
        <f t="shared" ref="E33:AB34" si="12">IFERROR(T13/$B33,0)</f>
        <v>9.6924592611916989</v>
      </c>
      <c r="U33" s="60">
        <f t="shared" si="12"/>
        <v>19.076355248204386</v>
      </c>
      <c r="V33" s="60">
        <f t="shared" ref="V33:Z33" si="13">IFERROR(V13/$B33,0)</f>
        <v>3.1500585644650254</v>
      </c>
      <c r="W33" s="60">
        <f t="shared" si="13"/>
        <v>5.7540820448719829</v>
      </c>
      <c r="X33" s="60">
        <f t="shared" si="13"/>
        <v>6.2480394459326352</v>
      </c>
      <c r="Y33" s="60">
        <f t="shared" si="13"/>
        <v>9.6511928205835691</v>
      </c>
      <c r="Z33" s="60">
        <f t="shared" si="13"/>
        <v>4.3599976822937139</v>
      </c>
      <c r="AA33" s="60">
        <f t="shared" si="12"/>
        <v>1.3764081443198213</v>
      </c>
      <c r="AB33" s="60">
        <f t="shared" si="12"/>
        <v>1.6545741082242547</v>
      </c>
      <c r="AC33" s="60">
        <f t="shared" ref="AC33:BB34" si="14">IFERROR(AC13/$B33,0)</f>
        <v>0.15176675539748552</v>
      </c>
      <c r="AD33" s="60">
        <f t="shared" si="14"/>
        <v>2.7880232149674926</v>
      </c>
      <c r="AE33" s="60">
        <f t="shared" si="14"/>
        <v>5.2113769253267188</v>
      </c>
      <c r="AF33" s="60">
        <f t="shared" si="14"/>
        <v>6.4491931815818884</v>
      </c>
      <c r="AG33" s="60">
        <f t="shared" si="14"/>
        <v>7.0203378443078241</v>
      </c>
      <c r="AH33" s="60">
        <f t="shared" si="14"/>
        <v>6.3902424094925943</v>
      </c>
      <c r="AI33" s="60">
        <f t="shared" si="14"/>
        <v>2.6998109700449384</v>
      </c>
      <c r="AJ33" s="60">
        <f t="shared" si="14"/>
        <v>8.5638826881017032</v>
      </c>
      <c r="AK33" s="60">
        <f t="shared" si="14"/>
        <v>0.80828015868077274</v>
      </c>
      <c r="AL33" s="60">
        <f t="shared" si="14"/>
        <v>3.0279548211201939</v>
      </c>
      <c r="AM33" s="60">
        <f t="shared" si="14"/>
        <v>4.0932651272561023</v>
      </c>
      <c r="AN33" s="60">
        <f t="shared" si="14"/>
        <v>5.3402782670744608</v>
      </c>
      <c r="AO33" s="60">
        <f t="shared" si="14"/>
        <v>6.1170900472441332</v>
      </c>
      <c r="AP33" s="60">
        <f t="shared" si="14"/>
        <v>7.3744304700428103</v>
      </c>
      <c r="AQ33" s="60">
        <f t="shared" si="14"/>
        <v>7.9919012097554107</v>
      </c>
      <c r="AR33" s="60">
        <f t="shared" si="14"/>
        <v>2.3012666046067438</v>
      </c>
      <c r="AS33" s="60">
        <f t="shared" si="14"/>
        <v>3.7525273429429444</v>
      </c>
      <c r="AT33" s="60">
        <f t="shared" si="14"/>
        <v>6.7672284079643914</v>
      </c>
      <c r="AU33" s="60">
        <f t="shared" ref="AU33" si="15">IFERROR(AU13/$B33,0)</f>
        <v>9.2910976436412014</v>
      </c>
      <c r="AV33" s="60">
        <f t="shared" si="14"/>
        <v>1.7418678073385343</v>
      </c>
      <c r="AW33" s="60">
        <f t="shared" si="14"/>
        <v>3.5165792288929816</v>
      </c>
      <c r="AX33" s="60">
        <f t="shared" si="14"/>
        <v>3.8434759736040269</v>
      </c>
      <c r="AY33" s="60">
        <f t="shared" si="14"/>
        <v>6.1014723603663432</v>
      </c>
      <c r="AZ33" s="60">
        <f t="shared" si="14"/>
        <v>2.2980620974167842</v>
      </c>
      <c r="BA33" s="60">
        <f t="shared" si="14"/>
        <v>0.80587760081376825</v>
      </c>
      <c r="BB33" s="60">
        <f t="shared" si="14"/>
        <v>0.85696902231881122</v>
      </c>
    </row>
    <row r="34" spans="1:54" x14ac:dyDescent="0.25">
      <c r="A34" s="190" t="s">
        <v>1076</v>
      </c>
      <c r="B34" s="191">
        <v>1</v>
      </c>
      <c r="C34" s="60">
        <f t="shared" ref="C34" si="16">IFERROR(C14/$B34,0)</f>
        <v>2.2883423610927007</v>
      </c>
      <c r="D34" s="60">
        <f t="shared" si="11"/>
        <v>41.707436966444789</v>
      </c>
      <c r="E34" s="60">
        <f t="shared" si="12"/>
        <v>91.274135025781305</v>
      </c>
      <c r="F34" s="60">
        <f t="shared" si="12"/>
        <v>110.0508944446775</v>
      </c>
      <c r="G34" s="60">
        <f t="shared" si="12"/>
        <v>93.802330907658586</v>
      </c>
      <c r="H34" s="60">
        <f t="shared" si="12"/>
        <v>114.71486487909942</v>
      </c>
      <c r="I34" s="60">
        <f t="shared" si="12"/>
        <v>44.957312476654081</v>
      </c>
      <c r="J34" s="60">
        <f t="shared" si="12"/>
        <v>126.71862764536534</v>
      </c>
      <c r="K34" s="60">
        <f t="shared" si="12"/>
        <v>10.815006431816572</v>
      </c>
      <c r="L34" s="60">
        <f t="shared" si="12"/>
        <v>59.314971413268836</v>
      </c>
      <c r="M34" s="60">
        <f t="shared" si="12"/>
        <v>44.476633915326289</v>
      </c>
      <c r="N34" s="60">
        <f t="shared" si="12"/>
        <v>94.361898233631067</v>
      </c>
      <c r="O34" s="60">
        <f t="shared" si="12"/>
        <v>95.2283013912798</v>
      </c>
      <c r="P34" s="60">
        <f t="shared" si="12"/>
        <v>119.9851258344642</v>
      </c>
      <c r="Q34" s="60">
        <f t="shared" si="12"/>
        <v>171.26346538232659</v>
      </c>
      <c r="R34" s="60">
        <f t="shared" si="12"/>
        <v>26.777465140570389</v>
      </c>
      <c r="S34" s="60">
        <f t="shared" si="12"/>
        <v>54.622328994726786</v>
      </c>
      <c r="T34" s="60">
        <f t="shared" si="12"/>
        <v>95.318825249619636</v>
      </c>
      <c r="U34" s="60">
        <f t="shared" si="12"/>
        <v>187.40579144194345</v>
      </c>
      <c r="V34" s="60">
        <f t="shared" ref="V34:Z34" si="17">IFERROR(V14/$B34,0)</f>
        <v>28.039184178496029</v>
      </c>
      <c r="W34" s="60">
        <f t="shared" si="17"/>
        <v>57.066835770474675</v>
      </c>
      <c r="X34" s="60">
        <f t="shared" si="17"/>
        <v>61.296266961062301</v>
      </c>
      <c r="Y34" s="60">
        <f t="shared" si="17"/>
        <v>81.594797957439113</v>
      </c>
      <c r="Z34" s="60">
        <f t="shared" si="17"/>
        <v>43.19739277017851</v>
      </c>
      <c r="AA34" s="60">
        <f t="shared" si="12"/>
        <v>13.092349996242451</v>
      </c>
      <c r="AB34" s="60">
        <f t="shared" si="12"/>
        <v>15.01460152965716</v>
      </c>
      <c r="AC34" s="60">
        <f t="shared" si="14"/>
        <v>1.3987078863946356</v>
      </c>
      <c r="AD34" s="60">
        <f t="shared" si="14"/>
        <v>23.572588212673711</v>
      </c>
      <c r="AE34" s="60">
        <f t="shared" si="14"/>
        <v>55.560934995481873</v>
      </c>
      <c r="AF34" s="60">
        <f t="shared" si="14"/>
        <v>66.088957845012033</v>
      </c>
      <c r="AG34" s="60">
        <f t="shared" si="14"/>
        <v>59.356884803862641</v>
      </c>
      <c r="AH34" s="60">
        <f t="shared" si="14"/>
        <v>63.340398072965336</v>
      </c>
      <c r="AI34" s="60">
        <f t="shared" si="14"/>
        <v>28.783070985414362</v>
      </c>
      <c r="AJ34" s="60">
        <f t="shared" si="14"/>
        <v>87.762625841152612</v>
      </c>
      <c r="AK34" s="60">
        <f t="shared" si="14"/>
        <v>6.8339484753161939</v>
      </c>
      <c r="AL34" s="60">
        <f t="shared" si="14"/>
        <v>26.726558068534956</v>
      </c>
      <c r="AM34" s="60">
        <f t="shared" si="14"/>
        <v>40.595909494084729</v>
      </c>
      <c r="AN34" s="60">
        <f t="shared" si="14"/>
        <v>56.132010745506442</v>
      </c>
      <c r="AO34" s="60">
        <f t="shared" si="14"/>
        <v>60.045869630185756</v>
      </c>
      <c r="AP34" s="60">
        <f t="shared" si="14"/>
        <v>73.135887710475245</v>
      </c>
      <c r="AQ34" s="60">
        <f t="shared" si="14"/>
        <v>81.90096258624618</v>
      </c>
      <c r="AR34" s="60">
        <f t="shared" si="14"/>
        <v>19.456922357794419</v>
      </c>
      <c r="AS34" s="60">
        <f t="shared" si="14"/>
        <v>31.727419390596442</v>
      </c>
      <c r="AT34" s="60">
        <f t="shared" si="14"/>
        <v>66.551145035580006</v>
      </c>
      <c r="AU34" s="60">
        <f t="shared" ref="AU34" si="18">IFERROR(AU14/$B34,0)</f>
        <v>91.275586170206765</v>
      </c>
      <c r="AV34" s="60">
        <f t="shared" si="14"/>
        <v>15.504648966059079</v>
      </c>
      <c r="AW34" s="60">
        <f t="shared" si="14"/>
        <v>34.876118860339083</v>
      </c>
      <c r="AX34" s="60">
        <f t="shared" si="14"/>
        <v>37.70634474624304</v>
      </c>
      <c r="AY34" s="60">
        <f t="shared" si="14"/>
        <v>51.584132007517809</v>
      </c>
      <c r="AZ34" s="60">
        <f t="shared" si="14"/>
        <v>22.768427477729485</v>
      </c>
      <c r="BA34" s="60">
        <f t="shared" si="14"/>
        <v>7.6654818176769153</v>
      </c>
      <c r="BB34" s="60">
        <f t="shared" si="14"/>
        <v>7.7766528132041044</v>
      </c>
    </row>
    <row r="35" spans="1:54" x14ac:dyDescent="0.25">
      <c r="A35" s="190" t="s">
        <v>1077</v>
      </c>
      <c r="B35" s="191">
        <v>1</v>
      </c>
      <c r="C35" s="60">
        <f>IFERROR(C30/$B35,0)</f>
        <v>0.21751114979702754</v>
      </c>
      <c r="D35" s="60">
        <f>IFERROR(D30/$B35,0)</f>
        <v>4.188797563511419</v>
      </c>
      <c r="E35" s="60">
        <f>IFERROR(E30/$B35,0)</f>
        <v>7.7394853230517118</v>
      </c>
      <c r="F35" s="60">
        <f t="shared" ref="F35:AD35" si="19">IFERROR(F30/$B35,0)</f>
        <v>10.312279705302965</v>
      </c>
      <c r="G35" s="60">
        <f t="shared" si="19"/>
        <v>9.4207931849079873</v>
      </c>
      <c r="H35" s="60">
        <f t="shared" si="19"/>
        <v>10.146468388015938</v>
      </c>
      <c r="I35" s="60">
        <f t="shared" si="19"/>
        <v>3.8121761674408257</v>
      </c>
      <c r="J35" s="60">
        <f t="shared" si="19"/>
        <v>11.874186665341291</v>
      </c>
      <c r="K35" s="60">
        <f t="shared" si="19"/>
        <v>1.086184666506534</v>
      </c>
      <c r="L35" s="60">
        <f t="shared" si="19"/>
        <v>5.2446603914048397</v>
      </c>
      <c r="M35" s="60">
        <f t="shared" si="19"/>
        <v>3.9324893439202393</v>
      </c>
      <c r="N35" s="60">
        <f t="shared" si="19"/>
        <v>8.0721388086197372</v>
      </c>
      <c r="O35" s="60">
        <f t="shared" si="19"/>
        <v>9.4315906366936577</v>
      </c>
      <c r="P35" s="60">
        <f t="shared" si="19"/>
        <v>10.608883683093518</v>
      </c>
      <c r="Q35" s="60">
        <f t="shared" si="19"/>
        <v>16.048266894068913</v>
      </c>
      <c r="R35" s="60">
        <f t="shared" si="19"/>
        <v>2.6893586166688221</v>
      </c>
      <c r="S35" s="60">
        <f t="shared" si="19"/>
        <v>5.4858772259371982</v>
      </c>
      <c r="T35" s="60">
        <f t="shared" si="19"/>
        <v>9.4628414159482723</v>
      </c>
      <c r="U35" s="60">
        <f t="shared" si="19"/>
        <v>18.579968045487711</v>
      </c>
      <c r="V35" s="60">
        <f t="shared" ref="V35:Z35" si="20">IFERROR(V30/$B35,0)</f>
        <v>2.7107813193026025</v>
      </c>
      <c r="W35" s="60">
        <f t="shared" si="20"/>
        <v>5.0457115702721111</v>
      </c>
      <c r="X35" s="60">
        <f t="shared" si="20"/>
        <v>6.0665096632499012</v>
      </c>
      <c r="Y35" s="60">
        <f t="shared" si="20"/>
        <v>8.1953110016319712</v>
      </c>
      <c r="Z35" s="60">
        <f t="shared" si="20"/>
        <v>3.8218699233844498</v>
      </c>
      <c r="AA35" s="60">
        <f t="shared" si="19"/>
        <v>1.2428002557509605</v>
      </c>
      <c r="AB35" s="60">
        <f t="shared" si="19"/>
        <v>1.4015616228467227</v>
      </c>
      <c r="AC35" s="60">
        <f t="shared" si="19"/>
        <v>0.13280191334437977</v>
      </c>
      <c r="AD35" s="60">
        <f t="shared" si="19"/>
        <v>2.3674626697954699</v>
      </c>
      <c r="AE35" s="60">
        <f t="shared" ref="AE35:BB35" si="21">IFERROR(AE30/$B35,0)</f>
        <v>4.7112255932209122</v>
      </c>
      <c r="AF35" s="60">
        <f t="shared" si="21"/>
        <v>6.1928421587917599</v>
      </c>
      <c r="AG35" s="60">
        <f t="shared" si="21"/>
        <v>5.961354376023742</v>
      </c>
      <c r="AH35" s="60">
        <f t="shared" si="21"/>
        <v>5.6024243014104975</v>
      </c>
      <c r="AI35" s="60">
        <f t="shared" si="21"/>
        <v>2.4406738568577451</v>
      </c>
      <c r="AJ35" s="60">
        <f t="shared" si="21"/>
        <v>8.2238090866545601</v>
      </c>
      <c r="AK35" s="60">
        <f t="shared" si="21"/>
        <v>0.68635465844446519</v>
      </c>
      <c r="AL35" s="60">
        <f t="shared" si="21"/>
        <v>2.363176060964435</v>
      </c>
      <c r="AM35" s="60">
        <f t="shared" si="21"/>
        <v>3.5893674372067745</v>
      </c>
      <c r="AN35" s="60">
        <f t="shared" si="21"/>
        <v>4.8017832496630888</v>
      </c>
      <c r="AO35" s="60">
        <f t="shared" si="21"/>
        <v>5.9470562165046408</v>
      </c>
      <c r="AP35" s="60">
        <f t="shared" si="21"/>
        <v>6.4665525862819573</v>
      </c>
      <c r="AQ35" s="60">
        <f t="shared" si="21"/>
        <v>7.6745411143646436</v>
      </c>
      <c r="AR35" s="60">
        <f t="shared" si="21"/>
        <v>1.9541297700173594</v>
      </c>
      <c r="AS35" s="60">
        <f t="shared" si="21"/>
        <v>3.1864757632255891</v>
      </c>
      <c r="AT35" s="60">
        <f t="shared" si="21"/>
        <v>6.606910333528055</v>
      </c>
      <c r="AU35" s="60">
        <f t="shared" ref="AU35" si="22">IFERROR(AU30/$B35,0)</f>
        <v>9.0493333281056838</v>
      </c>
      <c r="AV35" s="60">
        <f t="shared" si="21"/>
        <v>1.4989634688362665</v>
      </c>
      <c r="AW35" s="60">
        <f t="shared" si="21"/>
        <v>3.0836620619299246</v>
      </c>
      <c r="AX35" s="60">
        <f t="shared" si="21"/>
        <v>3.7318080873379054</v>
      </c>
      <c r="AY35" s="60">
        <f t="shared" si="21"/>
        <v>5.1810656455250648</v>
      </c>
      <c r="AZ35" s="60">
        <f t="shared" si="21"/>
        <v>2.0144263947329608</v>
      </c>
      <c r="BA35" s="60">
        <f t="shared" si="21"/>
        <v>0.72765109137759021</v>
      </c>
      <c r="BB35" s="60">
        <f t="shared" si="21"/>
        <v>0.72592390251989281</v>
      </c>
    </row>
    <row r="36" spans="1:54" x14ac:dyDescent="0.25">
      <c r="A36" s="190" t="s">
        <v>1078</v>
      </c>
      <c r="B36" s="191">
        <v>1</v>
      </c>
      <c r="C36" s="60">
        <f>IFERROR(C26/$B36,0)</f>
        <v>7.6948898526912654E-2</v>
      </c>
      <c r="D36" s="60">
        <f>IFERROR(D26/$B36,0)</f>
        <v>1.4048605351747385</v>
      </c>
      <c r="E36" s="60">
        <f>IFERROR(E26/$B36,0)</f>
        <v>3.0537957848434716</v>
      </c>
      <c r="F36" s="60">
        <f t="shared" ref="F36:AD36" si="23">IFERROR(F26/$B36,0)</f>
        <v>3.6961735893514311</v>
      </c>
      <c r="G36" s="60">
        <f t="shared" si="23"/>
        <v>3.1595933196505519</v>
      </c>
      <c r="H36" s="60">
        <f t="shared" si="23"/>
        <v>3.8509002518522433</v>
      </c>
      <c r="I36" s="60">
        <f t="shared" si="23"/>
        <v>1.504125271016405</v>
      </c>
      <c r="J36" s="60">
        <f t="shared" si="23"/>
        <v>4.2561161181172436</v>
      </c>
      <c r="K36" s="60">
        <f t="shared" si="23"/>
        <v>0.36429026834645983</v>
      </c>
      <c r="L36" s="60">
        <f t="shared" si="23"/>
        <v>1.9952479875665825</v>
      </c>
      <c r="M36" s="60">
        <f t="shared" si="23"/>
        <v>1.494201837438095</v>
      </c>
      <c r="N36" s="60">
        <f t="shared" si="23"/>
        <v>3.1285448122019561</v>
      </c>
      <c r="O36" s="60">
        <f t="shared" si="23"/>
        <v>3.1973427062447319</v>
      </c>
      <c r="P36" s="60">
        <f t="shared" si="23"/>
        <v>4.0307962017187258</v>
      </c>
      <c r="Q36" s="60">
        <f t="shared" si="23"/>
        <v>5.7522497599822655</v>
      </c>
      <c r="R36" s="60">
        <f t="shared" si="23"/>
        <v>0.90197139292550033</v>
      </c>
      <c r="S36" s="60">
        <f t="shared" si="23"/>
        <v>1.8398818034721274</v>
      </c>
      <c r="T36" s="60">
        <f t="shared" si="23"/>
        <v>3.2097036083553729</v>
      </c>
      <c r="U36" s="60">
        <f t="shared" si="23"/>
        <v>6.3001746071526661</v>
      </c>
      <c r="V36" s="60">
        <f t="shared" ref="V36:Z36" si="24">IFERROR(V26/$B36,0)</f>
        <v>0.94719368246142366</v>
      </c>
      <c r="W36" s="60">
        <f t="shared" si="24"/>
        <v>1.9171446391928788</v>
      </c>
      <c r="X36" s="60">
        <f t="shared" si="24"/>
        <v>2.056221726382204</v>
      </c>
      <c r="Y36" s="60">
        <f t="shared" si="24"/>
        <v>2.7485960905759312</v>
      </c>
      <c r="Z36" s="60">
        <f t="shared" si="24"/>
        <v>1.4492455350272189</v>
      </c>
      <c r="AA36" s="60">
        <f t="shared" si="23"/>
        <v>0.4148922713272527</v>
      </c>
      <c r="AB36" s="60">
        <f t="shared" si="23"/>
        <v>0.47320022822474117</v>
      </c>
      <c r="AC36" s="60">
        <f t="shared" si="23"/>
        <v>4.7033916930934741E-2</v>
      </c>
      <c r="AD36" s="60">
        <f t="shared" si="23"/>
        <v>0.79401184298507133</v>
      </c>
      <c r="AE36" s="60">
        <f t="shared" ref="AE36:BB36" si="25">IFERROR(AE26/$B36,0)</f>
        <v>1.8589247550057761</v>
      </c>
      <c r="AF36" s="60">
        <f t="shared" si="25"/>
        <v>2.2196662895574288</v>
      </c>
      <c r="AG36" s="60">
        <f t="shared" si="25"/>
        <v>1.9993492153854311</v>
      </c>
      <c r="AH36" s="60">
        <f t="shared" si="25"/>
        <v>2.1262942265474813</v>
      </c>
      <c r="AI36" s="60">
        <f t="shared" si="25"/>
        <v>0.96298782248388703</v>
      </c>
      <c r="AJ36" s="60">
        <f t="shared" si="25"/>
        <v>2.9476954836993463</v>
      </c>
      <c r="AK36" s="60">
        <f t="shared" si="25"/>
        <v>0.23019319864802465</v>
      </c>
      <c r="AL36" s="60">
        <f t="shared" si="25"/>
        <v>0.89903290737988384</v>
      </c>
      <c r="AM36" s="60">
        <f t="shared" si="25"/>
        <v>1.3638280872156914</v>
      </c>
      <c r="AN36" s="60">
        <f t="shared" si="25"/>
        <v>1.861042585022201</v>
      </c>
      <c r="AO36" s="60">
        <f t="shared" si="25"/>
        <v>2.0160731683467481</v>
      </c>
      <c r="AP36" s="60">
        <f t="shared" si="25"/>
        <v>2.4569366939650656</v>
      </c>
      <c r="AQ36" s="60">
        <f t="shared" si="25"/>
        <v>2.7508189871514035</v>
      </c>
      <c r="AR36" s="60">
        <f t="shared" si="25"/>
        <v>0.65538643291944243</v>
      </c>
      <c r="AS36" s="60">
        <f t="shared" si="25"/>
        <v>1.0686966792192729</v>
      </c>
      <c r="AT36" s="60">
        <f t="shared" si="25"/>
        <v>2.2409996115823447</v>
      </c>
      <c r="AU36" s="60">
        <f t="shared" ref="AU36" si="26">IFERROR(AU26/$B36,0)</f>
        <v>3.0684864422701552</v>
      </c>
      <c r="AV36" s="60">
        <f t="shared" si="25"/>
        <v>0.52376365360502186</v>
      </c>
      <c r="AW36" s="60">
        <f t="shared" si="25"/>
        <v>1.1716536129298794</v>
      </c>
      <c r="AX36" s="60">
        <f t="shared" si="25"/>
        <v>1.2648829877182253</v>
      </c>
      <c r="AY36" s="60">
        <f t="shared" si="25"/>
        <v>1.7376591047577876</v>
      </c>
      <c r="AZ36" s="60">
        <f t="shared" si="25"/>
        <v>0.7638665147510969</v>
      </c>
      <c r="BA36" s="60">
        <f t="shared" si="25"/>
        <v>0.24291660115002298</v>
      </c>
      <c r="BB36" s="60">
        <f t="shared" si="25"/>
        <v>0.2450890141016473</v>
      </c>
    </row>
    <row r="37" spans="1:54" x14ac:dyDescent="0.25">
      <c r="A37" s="190" t="s">
        <v>1079</v>
      </c>
      <c r="B37" s="191">
        <v>1</v>
      </c>
      <c r="C37" s="60">
        <f>IFERROR(C22/$B37,0)</f>
        <v>0.12005446279717383</v>
      </c>
      <c r="D37" s="60">
        <f>IFERROR(D22/$B37,0)</f>
        <v>2.4320963243083464</v>
      </c>
      <c r="E37" s="60">
        <f>IFERROR(E22/$B37,0)</f>
        <v>3.0884117863473968</v>
      </c>
      <c r="F37" s="60">
        <f t="shared" ref="F37:AD37" si="27">IFERROR(F22/$B37,0)</f>
        <v>4.1792327042832529</v>
      </c>
      <c r="G37" s="60">
        <f t="shared" si="27"/>
        <v>5.4699190553381625</v>
      </c>
      <c r="H37" s="60">
        <f t="shared" si="27"/>
        <v>6.2988765794989341</v>
      </c>
      <c r="I37" s="60">
        <f t="shared" si="27"/>
        <v>1.5213534935926725</v>
      </c>
      <c r="J37" s="60">
        <f t="shared" si="27"/>
        <v>4.8115830915616655</v>
      </c>
      <c r="K37" s="60">
        <f t="shared" si="27"/>
        <v>0.63065820638544834</v>
      </c>
      <c r="L37" s="60">
        <f t="shared" si="27"/>
        <v>3.7105434174340859</v>
      </c>
      <c r="M37" s="60">
        <f t="shared" si="27"/>
        <v>2.4409318918903931</v>
      </c>
      <c r="N37" s="60">
        <f t="shared" si="27"/>
        <v>3.3430779178878938</v>
      </c>
      <c r="O37" s="60">
        <f t="shared" si="27"/>
        <v>5.3675461896439938</v>
      </c>
      <c r="P37" s="60">
        <f t="shared" si="27"/>
        <v>6.5850684283835186</v>
      </c>
      <c r="Q37" s="60">
        <f t="shared" si="27"/>
        <v>6.5029775775511123</v>
      </c>
      <c r="R37" s="60">
        <f t="shared" si="27"/>
        <v>1.5614810997633817</v>
      </c>
      <c r="S37" s="60">
        <f t="shared" si="27"/>
        <v>3.1852056907768387</v>
      </c>
      <c r="T37" s="60">
        <f t="shared" si="27"/>
        <v>5.3668058850308942</v>
      </c>
      <c r="U37" s="60">
        <f t="shared" si="27"/>
        <v>10.558156640927818</v>
      </c>
      <c r="V37" s="60">
        <f t="shared" ref="V37:Z37" si="28">IFERROR(V22/$B37,0)</f>
        <v>1.6206000937021046</v>
      </c>
      <c r="W37" s="60">
        <f t="shared" si="28"/>
        <v>3.1319271553438885</v>
      </c>
      <c r="X37" s="60">
        <f t="shared" si="28"/>
        <v>3.4561217086891975</v>
      </c>
      <c r="Y37" s="60">
        <f t="shared" si="28"/>
        <v>4.7580580977591005</v>
      </c>
      <c r="Z37" s="60">
        <f t="shared" si="28"/>
        <v>2.3728511212212253</v>
      </c>
      <c r="AA37" s="60">
        <f t="shared" si="27"/>
        <v>0.78321669220542789</v>
      </c>
      <c r="AB37" s="60">
        <f t="shared" si="27"/>
        <v>0.85893622594366048</v>
      </c>
      <c r="AC37" s="60">
        <f t="shared" si="27"/>
        <v>7.3473783962706027E-2</v>
      </c>
      <c r="AD37" s="60">
        <f t="shared" si="27"/>
        <v>1.374594300594467</v>
      </c>
      <c r="AE37" s="60">
        <f t="shared" ref="AE37:BB37" si="29">IFERROR(AE22/$B37,0)</f>
        <v>1.8799964135738891</v>
      </c>
      <c r="AF37" s="60">
        <f t="shared" si="29"/>
        <v>2.5097581933486026</v>
      </c>
      <c r="AG37" s="60">
        <f t="shared" si="29"/>
        <v>3.4612930415746406</v>
      </c>
      <c r="AH37" s="60">
        <f t="shared" si="29"/>
        <v>3.4779568487347108</v>
      </c>
      <c r="AI37" s="60">
        <f t="shared" si="29"/>
        <v>0.97401786689819059</v>
      </c>
      <c r="AJ37" s="60">
        <f t="shared" si="29"/>
        <v>3.3324000931427968</v>
      </c>
      <c r="AK37" s="60">
        <f t="shared" si="29"/>
        <v>0.39850976651241427</v>
      </c>
      <c r="AL37" s="60">
        <f t="shared" si="29"/>
        <v>1.6719228172752316</v>
      </c>
      <c r="AM37" s="60">
        <f t="shared" si="29"/>
        <v>2.2279530045609217</v>
      </c>
      <c r="AN37" s="60">
        <f t="shared" si="29"/>
        <v>1.9886595026451876</v>
      </c>
      <c r="AO37" s="60">
        <f t="shared" si="29"/>
        <v>3.384487321821295</v>
      </c>
      <c r="AP37" s="60">
        <f t="shared" si="29"/>
        <v>4.0138710677229454</v>
      </c>
      <c r="AQ37" s="60">
        <f t="shared" si="29"/>
        <v>3.1098291867984873</v>
      </c>
      <c r="AR37" s="60">
        <f t="shared" si="29"/>
        <v>1.1345964362858429</v>
      </c>
      <c r="AS37" s="60">
        <f t="shared" si="29"/>
        <v>1.850129034343214</v>
      </c>
      <c r="AT37" s="60">
        <f t="shared" si="29"/>
        <v>3.7470780393815297</v>
      </c>
      <c r="AU37" s="60">
        <f t="shared" ref="AU37" si="30">IFERROR(AU22/$B37,0)</f>
        <v>5.1423274001438397</v>
      </c>
      <c r="AV37" s="60">
        <f t="shared" si="29"/>
        <v>0.89613290483979202</v>
      </c>
      <c r="AW37" s="60">
        <f t="shared" si="29"/>
        <v>1.914062033700674</v>
      </c>
      <c r="AX37" s="60">
        <f t="shared" si="29"/>
        <v>2.1260302314265269</v>
      </c>
      <c r="AY37" s="60">
        <f t="shared" si="29"/>
        <v>3.0080385411612793</v>
      </c>
      <c r="AZ37" s="60">
        <f t="shared" si="29"/>
        <v>1.2506793860547918</v>
      </c>
      <c r="BA37" s="60">
        <f t="shared" si="29"/>
        <v>0.45856804279788249</v>
      </c>
      <c r="BB37" s="60">
        <f t="shared" si="29"/>
        <v>0.44487686234322638</v>
      </c>
    </row>
    <row r="38" spans="1:54" x14ac:dyDescent="0.25">
      <c r="A38" s="190" t="s">
        <v>1080</v>
      </c>
      <c r="B38" s="191">
        <v>1</v>
      </c>
      <c r="C38" s="60">
        <f>IFERROR(C2/$B38,0)</f>
        <v>8.1993723167205504E-2</v>
      </c>
      <c r="D38" s="60">
        <f>IFERROR(D2/$B38,0)</f>
        <v>1.4951838714441306</v>
      </c>
      <c r="E38" s="60">
        <f>IFERROR(E2/$B38,0)</f>
        <v>3.2723237479534997</v>
      </c>
      <c r="F38" s="60">
        <f t="shared" ref="F38:AD38" si="31">IFERROR(F2/$B38,0)</f>
        <v>3.9453190185867681</v>
      </c>
      <c r="G38" s="60">
        <f t="shared" si="31"/>
        <v>3.3627354420243774</v>
      </c>
      <c r="H38" s="60">
        <f t="shared" si="31"/>
        <v>4.1097495960799666</v>
      </c>
      <c r="I38" s="60">
        <f t="shared" si="31"/>
        <v>1.6117588675323509</v>
      </c>
      <c r="J38" s="60">
        <f t="shared" si="31"/>
        <v>4.5430016906885706</v>
      </c>
      <c r="K38" s="60">
        <f t="shared" si="31"/>
        <v>0.38771169294919877</v>
      </c>
      <c r="L38" s="60">
        <f t="shared" si="31"/>
        <v>2.1264271306545113</v>
      </c>
      <c r="M38" s="60">
        <f t="shared" si="31"/>
        <v>1.5946070309290772</v>
      </c>
      <c r="N38" s="60">
        <f t="shared" si="31"/>
        <v>3.3516724674762783</v>
      </c>
      <c r="O38" s="60">
        <f t="shared" si="31"/>
        <v>3.4044426100615155</v>
      </c>
      <c r="P38" s="60">
        <f t="shared" si="31"/>
        <v>4.3016553386385823</v>
      </c>
      <c r="Q38" s="60">
        <f t="shared" si="31"/>
        <v>6.1399829468051381</v>
      </c>
      <c r="R38" s="60">
        <f t="shared" si="31"/>
        <v>0.95996179505072399</v>
      </c>
      <c r="S38" s="60">
        <f t="shared" si="31"/>
        <v>1.9581741596669566</v>
      </c>
      <c r="T38" s="60">
        <f t="shared" si="31"/>
        <v>3.4170685510438217</v>
      </c>
      <c r="U38" s="60">
        <f t="shared" si="31"/>
        <v>6.7077982380294001</v>
      </c>
      <c r="V38" s="60">
        <f t="shared" ref="V38:Z38" si="32">IFERROR(V2/$B38,0)</f>
        <v>1.0051469504693977</v>
      </c>
      <c r="W38" s="60">
        <f t="shared" si="32"/>
        <v>2.0459708917136821</v>
      </c>
      <c r="X38" s="60">
        <f t="shared" si="32"/>
        <v>2.1895133780498193</v>
      </c>
      <c r="Y38" s="60">
        <f t="shared" si="32"/>
        <v>2.9253017471765346</v>
      </c>
      <c r="Z38" s="60">
        <f t="shared" si="32"/>
        <v>1.546684573870263</v>
      </c>
      <c r="AA38" s="60">
        <f t="shared" si="31"/>
        <v>0.44266374765559391</v>
      </c>
      <c r="AB38" s="60">
        <f t="shared" si="31"/>
        <v>0.50765674493738666</v>
      </c>
      <c r="AC38" s="60">
        <f t="shared" si="31"/>
        <v>5.0116079538197911E-2</v>
      </c>
      <c r="AD38" s="60">
        <f t="shared" si="31"/>
        <v>0.84506160692971799</v>
      </c>
      <c r="AE38" s="60">
        <f t="shared" ref="AE38:BB38" si="33">IFERROR(AE2/$B38,0)</f>
        <v>1.9919483980084938</v>
      </c>
      <c r="AF38" s="60">
        <f t="shared" si="33"/>
        <v>2.369285807445936</v>
      </c>
      <c r="AG38" s="60">
        <f t="shared" si="33"/>
        <v>2.1278948862646052</v>
      </c>
      <c r="AH38" s="60">
        <f t="shared" si="33"/>
        <v>2.2692192129613149</v>
      </c>
      <c r="AI38" s="60">
        <f t="shared" si="33"/>
        <v>1.031898201647292</v>
      </c>
      <c r="AJ38" s="60">
        <f t="shared" si="33"/>
        <v>3.1463863283892435</v>
      </c>
      <c r="AK38" s="60">
        <f t="shared" si="33"/>
        <v>0.24499307971723414</v>
      </c>
      <c r="AL38" s="60">
        <f t="shared" si="33"/>
        <v>0.95814053065922156</v>
      </c>
      <c r="AM38" s="60">
        <f t="shared" si="33"/>
        <v>1.455472615788961</v>
      </c>
      <c r="AN38" s="60">
        <f t="shared" si="33"/>
        <v>1.9937720465731772</v>
      </c>
      <c r="AO38" s="60">
        <f t="shared" si="33"/>
        <v>2.1466592823834878</v>
      </c>
      <c r="AP38" s="60">
        <f t="shared" si="33"/>
        <v>2.6220365201756644</v>
      </c>
      <c r="AQ38" s="60">
        <f t="shared" si="33"/>
        <v>2.9362392760410101</v>
      </c>
      <c r="AR38" s="60">
        <f t="shared" si="33"/>
        <v>0.69752316041491569</v>
      </c>
      <c r="AS38" s="60">
        <f t="shared" si="33"/>
        <v>1.1374068800614501</v>
      </c>
      <c r="AT38" s="60">
        <f t="shared" si="33"/>
        <v>2.3857808165543259</v>
      </c>
      <c r="AU38" s="60">
        <f t="shared" ref="AU38" si="34">IFERROR(AU2/$B38,0)</f>
        <v>3.2670186517543423</v>
      </c>
      <c r="AV38" s="60">
        <f t="shared" si="33"/>
        <v>0.55580970284737807</v>
      </c>
      <c r="AW38" s="60">
        <f t="shared" si="33"/>
        <v>1.2503851499879088</v>
      </c>
      <c r="AX38" s="60">
        <f t="shared" si="33"/>
        <v>1.346877230088122</v>
      </c>
      <c r="AY38" s="60">
        <f t="shared" si="33"/>
        <v>1.8493722058958679</v>
      </c>
      <c r="AZ38" s="60">
        <f t="shared" si="33"/>
        <v>0.81522456085357131</v>
      </c>
      <c r="BA38" s="60">
        <f t="shared" si="33"/>
        <v>0.25917661153059196</v>
      </c>
      <c r="BB38" s="60">
        <f t="shared" si="33"/>
        <v>0.2629353996415722</v>
      </c>
    </row>
    <row r="39" spans="1:54" x14ac:dyDescent="0.25">
      <c r="A39" s="190" t="s">
        <v>1081</v>
      </c>
      <c r="B39" s="191">
        <v>1</v>
      </c>
      <c r="C39" s="60">
        <f>IFERROR(C11/$B39,0)</f>
        <v>0</v>
      </c>
      <c r="D39" s="60">
        <f>IFERROR(D11/$B39,0)</f>
        <v>0</v>
      </c>
      <c r="E39" s="60">
        <f>IFERROR(E11/$B39,0)</f>
        <v>0</v>
      </c>
      <c r="F39" s="60">
        <f t="shared" ref="F39:AD39" si="35">IFERROR(F11/$B39,0)</f>
        <v>0</v>
      </c>
      <c r="G39" s="60">
        <f t="shared" si="35"/>
        <v>0</v>
      </c>
      <c r="H39" s="60">
        <f t="shared" si="35"/>
        <v>0</v>
      </c>
      <c r="I39" s="60">
        <f t="shared" si="35"/>
        <v>0</v>
      </c>
      <c r="J39" s="60">
        <f t="shared" si="35"/>
        <v>0</v>
      </c>
      <c r="K39" s="60">
        <f t="shared" si="35"/>
        <v>0</v>
      </c>
      <c r="L39" s="60">
        <f t="shared" si="35"/>
        <v>0</v>
      </c>
      <c r="M39" s="60">
        <f t="shared" si="35"/>
        <v>0</v>
      </c>
      <c r="N39" s="60">
        <f t="shared" si="35"/>
        <v>0</v>
      </c>
      <c r="O39" s="60">
        <f t="shared" si="35"/>
        <v>0</v>
      </c>
      <c r="P39" s="60">
        <f t="shared" si="35"/>
        <v>0</v>
      </c>
      <c r="Q39" s="60">
        <f t="shared" si="35"/>
        <v>0</v>
      </c>
      <c r="R39" s="60">
        <f t="shared" si="35"/>
        <v>0</v>
      </c>
      <c r="S39" s="60">
        <f t="shared" si="35"/>
        <v>0</v>
      </c>
      <c r="T39" s="60">
        <f t="shared" si="35"/>
        <v>0</v>
      </c>
      <c r="U39" s="60">
        <f t="shared" si="35"/>
        <v>0</v>
      </c>
      <c r="V39" s="60">
        <f t="shared" ref="V39:Z39" si="36">IFERROR(V11/$B39,0)</f>
        <v>0</v>
      </c>
      <c r="W39" s="60">
        <f t="shared" si="36"/>
        <v>0</v>
      </c>
      <c r="X39" s="60">
        <f t="shared" si="36"/>
        <v>0</v>
      </c>
      <c r="Y39" s="60">
        <f t="shared" si="36"/>
        <v>0</v>
      </c>
      <c r="Z39" s="60">
        <f t="shared" si="36"/>
        <v>0</v>
      </c>
      <c r="AA39" s="60">
        <f t="shared" si="35"/>
        <v>0</v>
      </c>
      <c r="AB39" s="60">
        <f t="shared" si="35"/>
        <v>0</v>
      </c>
      <c r="AC39" s="60">
        <f t="shared" si="35"/>
        <v>0</v>
      </c>
      <c r="AD39" s="60">
        <f t="shared" si="35"/>
        <v>0</v>
      </c>
      <c r="AE39" s="60">
        <f t="shared" ref="AE39:BB39" si="37">IFERROR(AE11/$B39,0)</f>
        <v>0</v>
      </c>
      <c r="AF39" s="60">
        <f t="shared" si="37"/>
        <v>0</v>
      </c>
      <c r="AG39" s="60">
        <f t="shared" si="37"/>
        <v>0</v>
      </c>
      <c r="AH39" s="60">
        <f t="shared" si="37"/>
        <v>0</v>
      </c>
      <c r="AI39" s="60">
        <f t="shared" si="37"/>
        <v>0</v>
      </c>
      <c r="AJ39" s="60">
        <f t="shared" si="37"/>
        <v>0</v>
      </c>
      <c r="AK39" s="60">
        <f t="shared" si="37"/>
        <v>0</v>
      </c>
      <c r="AL39" s="60">
        <f t="shared" si="37"/>
        <v>0</v>
      </c>
      <c r="AM39" s="60">
        <f t="shared" si="37"/>
        <v>0</v>
      </c>
      <c r="AN39" s="60">
        <f t="shared" si="37"/>
        <v>0</v>
      </c>
      <c r="AO39" s="60">
        <f t="shared" si="37"/>
        <v>0</v>
      </c>
      <c r="AP39" s="60">
        <f t="shared" si="37"/>
        <v>0</v>
      </c>
      <c r="AQ39" s="60">
        <f t="shared" si="37"/>
        <v>0</v>
      </c>
      <c r="AR39" s="60">
        <f t="shared" si="37"/>
        <v>0</v>
      </c>
      <c r="AS39" s="60">
        <f t="shared" si="37"/>
        <v>0</v>
      </c>
      <c r="AT39" s="60">
        <f t="shared" si="37"/>
        <v>0</v>
      </c>
      <c r="AU39" s="60">
        <f t="shared" ref="AU39" si="38">IFERROR(AU11/$B39,0)</f>
        <v>0</v>
      </c>
      <c r="AV39" s="60">
        <f t="shared" si="37"/>
        <v>0</v>
      </c>
      <c r="AW39" s="60">
        <f t="shared" si="37"/>
        <v>0</v>
      </c>
      <c r="AX39" s="60">
        <f t="shared" si="37"/>
        <v>0</v>
      </c>
      <c r="AY39" s="60">
        <f t="shared" si="37"/>
        <v>0</v>
      </c>
      <c r="AZ39" s="60">
        <f t="shared" si="37"/>
        <v>0</v>
      </c>
      <c r="BA39" s="60">
        <f t="shared" si="37"/>
        <v>0</v>
      </c>
      <c r="BB39" s="60">
        <f t="shared" si="37"/>
        <v>0</v>
      </c>
    </row>
    <row r="40" spans="1:54" x14ac:dyDescent="0.25">
      <c r="A40" s="190" t="s">
        <v>1082</v>
      </c>
      <c r="B40" s="191">
        <v>1</v>
      </c>
      <c r="C40" s="60">
        <f>IFERROR(C4/$B40,0)</f>
        <v>0</v>
      </c>
      <c r="D40" s="60">
        <f>IFERROR(D4/$B40,0)</f>
        <v>0</v>
      </c>
      <c r="E40" s="60">
        <f>IFERROR(E4/$B40,0)</f>
        <v>0</v>
      </c>
      <c r="F40" s="60">
        <f t="shared" ref="F40:AD40" si="39">IFERROR(F4/$B40,0)</f>
        <v>0</v>
      </c>
      <c r="G40" s="60">
        <f t="shared" si="39"/>
        <v>0</v>
      </c>
      <c r="H40" s="60">
        <f t="shared" si="39"/>
        <v>0</v>
      </c>
      <c r="I40" s="60">
        <f t="shared" si="39"/>
        <v>0</v>
      </c>
      <c r="J40" s="60">
        <f t="shared" si="39"/>
        <v>0</v>
      </c>
      <c r="K40" s="60">
        <f t="shared" si="39"/>
        <v>0</v>
      </c>
      <c r="L40" s="60">
        <f t="shared" si="39"/>
        <v>0</v>
      </c>
      <c r="M40" s="60">
        <f t="shared" si="39"/>
        <v>0</v>
      </c>
      <c r="N40" s="60">
        <f t="shared" si="39"/>
        <v>0</v>
      </c>
      <c r="O40" s="60">
        <f t="shared" si="39"/>
        <v>0</v>
      </c>
      <c r="P40" s="60">
        <f t="shared" si="39"/>
        <v>0</v>
      </c>
      <c r="Q40" s="60">
        <f t="shared" si="39"/>
        <v>0</v>
      </c>
      <c r="R40" s="60">
        <f t="shared" si="39"/>
        <v>0</v>
      </c>
      <c r="S40" s="60">
        <f t="shared" si="39"/>
        <v>0</v>
      </c>
      <c r="T40" s="60">
        <f t="shared" si="39"/>
        <v>0</v>
      </c>
      <c r="U40" s="60">
        <f t="shared" si="39"/>
        <v>0</v>
      </c>
      <c r="V40" s="60">
        <f t="shared" ref="V40:Z40" si="40">IFERROR(V4/$B40,0)</f>
        <v>0</v>
      </c>
      <c r="W40" s="60">
        <f t="shared" si="40"/>
        <v>0</v>
      </c>
      <c r="X40" s="60">
        <f t="shared" si="40"/>
        <v>0</v>
      </c>
      <c r="Y40" s="60">
        <f t="shared" si="40"/>
        <v>0</v>
      </c>
      <c r="Z40" s="60">
        <f t="shared" si="40"/>
        <v>0</v>
      </c>
      <c r="AA40" s="60">
        <f t="shared" si="39"/>
        <v>0</v>
      </c>
      <c r="AB40" s="60">
        <f t="shared" si="39"/>
        <v>0</v>
      </c>
      <c r="AC40" s="60">
        <f t="shared" si="39"/>
        <v>0</v>
      </c>
      <c r="AD40" s="60">
        <f t="shared" si="39"/>
        <v>0</v>
      </c>
      <c r="AE40" s="60">
        <f t="shared" ref="AE40:BB40" si="41">IFERROR(AE4/$B40,0)</f>
        <v>0</v>
      </c>
      <c r="AF40" s="60">
        <f t="shared" si="41"/>
        <v>0</v>
      </c>
      <c r="AG40" s="60">
        <f t="shared" si="41"/>
        <v>0</v>
      </c>
      <c r="AH40" s="60">
        <f t="shared" si="41"/>
        <v>0</v>
      </c>
      <c r="AI40" s="60">
        <f t="shared" si="41"/>
        <v>0</v>
      </c>
      <c r="AJ40" s="60">
        <f t="shared" si="41"/>
        <v>0</v>
      </c>
      <c r="AK40" s="60">
        <f t="shared" si="41"/>
        <v>0</v>
      </c>
      <c r="AL40" s="60">
        <f t="shared" si="41"/>
        <v>0</v>
      </c>
      <c r="AM40" s="60">
        <f t="shared" si="41"/>
        <v>0</v>
      </c>
      <c r="AN40" s="60">
        <f t="shared" si="41"/>
        <v>0</v>
      </c>
      <c r="AO40" s="60">
        <f t="shared" si="41"/>
        <v>0</v>
      </c>
      <c r="AP40" s="60">
        <f t="shared" si="41"/>
        <v>0</v>
      </c>
      <c r="AQ40" s="60">
        <f t="shared" si="41"/>
        <v>0</v>
      </c>
      <c r="AR40" s="60">
        <f t="shared" si="41"/>
        <v>0</v>
      </c>
      <c r="AS40" s="60">
        <f t="shared" si="41"/>
        <v>0</v>
      </c>
      <c r="AT40" s="60">
        <f t="shared" si="41"/>
        <v>0</v>
      </c>
      <c r="AU40" s="60">
        <f t="shared" ref="AU40" si="42">IFERROR(AU4/$B40,0)</f>
        <v>0</v>
      </c>
      <c r="AV40" s="60">
        <f t="shared" si="41"/>
        <v>0</v>
      </c>
      <c r="AW40" s="60">
        <f t="shared" si="41"/>
        <v>0</v>
      </c>
      <c r="AX40" s="60">
        <f t="shared" si="41"/>
        <v>0</v>
      </c>
      <c r="AY40" s="60">
        <f t="shared" si="41"/>
        <v>0</v>
      </c>
      <c r="AZ40" s="60">
        <f t="shared" si="41"/>
        <v>0</v>
      </c>
      <c r="BA40" s="60">
        <f t="shared" si="41"/>
        <v>0</v>
      </c>
      <c r="BB40" s="60">
        <f t="shared" si="41"/>
        <v>0</v>
      </c>
    </row>
    <row r="41" spans="1:54" x14ac:dyDescent="0.25">
      <c r="A41" s="190" t="s">
        <v>1083</v>
      </c>
      <c r="B41" s="192">
        <v>0.99987999999999999</v>
      </c>
      <c r="C41" s="60">
        <f>IFERROR(C8/$B41,0)</f>
        <v>15.873831989271007</v>
      </c>
      <c r="D41" s="60">
        <f>IFERROR(D8/$B41,0)</f>
        <v>288.56444329873972</v>
      </c>
      <c r="E41" s="60">
        <f>IFERROR(E8/$B41,0)</f>
        <v>631.30194970042089</v>
      </c>
      <c r="F41" s="60">
        <f t="shared" ref="F41:AD41" si="43">IFERROR(F8/$B41,0)</f>
        <v>761.35097193842398</v>
      </c>
      <c r="G41" s="60">
        <f t="shared" si="43"/>
        <v>649.0128599867179</v>
      </c>
      <c r="H41" s="60">
        <f t="shared" si="43"/>
        <v>796.3569559770965</v>
      </c>
      <c r="I41" s="60">
        <f t="shared" si="43"/>
        <v>310.98158487669764</v>
      </c>
      <c r="J41" s="60">
        <f t="shared" si="43"/>
        <v>876.51826454705417</v>
      </c>
      <c r="K41" s="60">
        <f t="shared" si="43"/>
        <v>74.825722246133893</v>
      </c>
      <c r="L41" s="60">
        <f t="shared" si="43"/>
        <v>410.36257143608333</v>
      </c>
      <c r="M41" s="60">
        <f t="shared" si="43"/>
        <v>307.57702784859305</v>
      </c>
      <c r="N41" s="60">
        <f t="shared" si="43"/>
        <v>685.34403383482311</v>
      </c>
      <c r="O41" s="60">
        <f t="shared" si="43"/>
        <v>668.30350449494119</v>
      </c>
      <c r="P41" s="60">
        <f t="shared" si="43"/>
        <v>829.88620250739507</v>
      </c>
      <c r="Q41" s="60">
        <f t="shared" si="43"/>
        <v>1184.6368465837925</v>
      </c>
      <c r="R41" s="60">
        <f t="shared" si="43"/>
        <v>185.25993732424081</v>
      </c>
      <c r="S41" s="60">
        <f t="shared" si="43"/>
        <v>377.91969740852494</v>
      </c>
      <c r="T41" s="60">
        <f t="shared" si="43"/>
        <v>659.53684970873587</v>
      </c>
      <c r="U41" s="60">
        <f t="shared" si="43"/>
        <v>1307.128981259578</v>
      </c>
      <c r="V41" s="60">
        <f t="shared" ref="V41:Z41" si="44">IFERROR(V8/$B41,0)</f>
        <v>194.03540145784515</v>
      </c>
      <c r="W41" s="60">
        <f t="shared" si="44"/>
        <v>394.67252897550253</v>
      </c>
      <c r="X41" s="60">
        <f t="shared" si="44"/>
        <v>432.06344079013263</v>
      </c>
      <c r="Y41" s="60">
        <f t="shared" si="44"/>
        <v>564.35659462222452</v>
      </c>
      <c r="Z41" s="60">
        <f t="shared" si="44"/>
        <v>300.77069834672051</v>
      </c>
      <c r="AA41" s="60">
        <f t="shared" si="43"/>
        <v>130.806303842966</v>
      </c>
      <c r="AB41" s="60">
        <f t="shared" si="43"/>
        <v>150.01161215007789</v>
      </c>
      <c r="AC41" s="60">
        <f t="shared" si="43"/>
        <v>9.7036834289482528</v>
      </c>
      <c r="AD41" s="60">
        <f t="shared" si="43"/>
        <v>163.09347419677837</v>
      </c>
      <c r="AE41" s="60">
        <f t="shared" ref="AE41:BB41" si="45">IFERROR(AE8/$B41,0)</f>
        <v>384.28988212179235</v>
      </c>
      <c r="AF41" s="60">
        <f t="shared" si="45"/>
        <v>457.21475089865538</v>
      </c>
      <c r="AG41" s="60">
        <f t="shared" si="45"/>
        <v>410.68682615552956</v>
      </c>
      <c r="AH41" s="60">
        <f t="shared" si="45"/>
        <v>439.71255733008724</v>
      </c>
      <c r="AI41" s="60">
        <f t="shared" si="45"/>
        <v>199.10009161047651</v>
      </c>
      <c r="AJ41" s="60">
        <f t="shared" si="45"/>
        <v>607.05790398601312</v>
      </c>
      <c r="AK41" s="60">
        <f t="shared" si="45"/>
        <v>47.28199966243649</v>
      </c>
      <c r="AL41" s="60">
        <f t="shared" si="45"/>
        <v>184.90406103755362</v>
      </c>
      <c r="AM41" s="60">
        <f t="shared" si="45"/>
        <v>280.73997705789418</v>
      </c>
      <c r="AN41" s="60">
        <f t="shared" si="45"/>
        <v>407.68296729616026</v>
      </c>
      <c r="AO41" s="60">
        <f t="shared" si="45"/>
        <v>421.39641806079896</v>
      </c>
      <c r="AP41" s="60">
        <f t="shared" si="45"/>
        <v>505.84990178524163</v>
      </c>
      <c r="AQ41" s="60">
        <f t="shared" si="45"/>
        <v>566.51252404448951</v>
      </c>
      <c r="AR41" s="60">
        <f t="shared" si="45"/>
        <v>134.61274984786826</v>
      </c>
      <c r="AS41" s="60">
        <f t="shared" si="45"/>
        <v>219.51493018185155</v>
      </c>
      <c r="AT41" s="60">
        <f t="shared" si="45"/>
        <v>460.48545422511671</v>
      </c>
      <c r="AU41" s="60">
        <f t="shared" ref="AU41" si="46">IFERROR(AU8/$B41,0)</f>
        <v>636.63434863214457</v>
      </c>
      <c r="AV41" s="60">
        <f t="shared" si="45"/>
        <v>107.29451924993936</v>
      </c>
      <c r="AW41" s="60">
        <f t="shared" si="45"/>
        <v>241.20219468313013</v>
      </c>
      <c r="AX41" s="60">
        <f t="shared" si="45"/>
        <v>265.78344585045778</v>
      </c>
      <c r="AY41" s="60">
        <f t="shared" si="45"/>
        <v>356.78555257274053</v>
      </c>
      <c r="AZ41" s="60">
        <f t="shared" si="45"/>
        <v>158.52984158481325</v>
      </c>
      <c r="BA41" s="60">
        <f t="shared" si="45"/>
        <v>76.586200646450365</v>
      </c>
      <c r="BB41" s="60">
        <f t="shared" si="45"/>
        <v>77.696915454993359</v>
      </c>
    </row>
    <row r="42" spans="1:54" x14ac:dyDescent="0.25">
      <c r="A42" s="190" t="s">
        <v>1084</v>
      </c>
      <c r="B42" s="191">
        <v>0.97898250799999997</v>
      </c>
      <c r="C42" s="60">
        <f>IFERROR(C19/$B42,0)</f>
        <v>0</v>
      </c>
      <c r="D42" s="60">
        <f>IFERROR(D19/$B42,0)</f>
        <v>0</v>
      </c>
      <c r="E42" s="60">
        <f>IFERROR(E19/$B42,0)</f>
        <v>0</v>
      </c>
      <c r="F42" s="60">
        <f t="shared" ref="F42:AD42" si="47">IFERROR(F19/$B42,0)</f>
        <v>0</v>
      </c>
      <c r="G42" s="60">
        <f t="shared" si="47"/>
        <v>0</v>
      </c>
      <c r="H42" s="60">
        <f t="shared" si="47"/>
        <v>0</v>
      </c>
      <c r="I42" s="60">
        <f t="shared" si="47"/>
        <v>0</v>
      </c>
      <c r="J42" s="60">
        <f t="shared" si="47"/>
        <v>0</v>
      </c>
      <c r="K42" s="60">
        <f t="shared" si="47"/>
        <v>0</v>
      </c>
      <c r="L42" s="60">
        <f t="shared" si="47"/>
        <v>0</v>
      </c>
      <c r="M42" s="60">
        <f t="shared" si="47"/>
        <v>0</v>
      </c>
      <c r="N42" s="60">
        <f t="shared" si="47"/>
        <v>0</v>
      </c>
      <c r="O42" s="60">
        <f t="shared" si="47"/>
        <v>0</v>
      </c>
      <c r="P42" s="60">
        <f t="shared" si="47"/>
        <v>0</v>
      </c>
      <c r="Q42" s="60">
        <f t="shared" si="47"/>
        <v>0</v>
      </c>
      <c r="R42" s="60">
        <f t="shared" si="47"/>
        <v>0</v>
      </c>
      <c r="S42" s="60">
        <f t="shared" si="47"/>
        <v>0</v>
      </c>
      <c r="T42" s="60">
        <f t="shared" si="47"/>
        <v>0</v>
      </c>
      <c r="U42" s="60">
        <f t="shared" si="47"/>
        <v>0</v>
      </c>
      <c r="V42" s="60">
        <f t="shared" ref="V42:Z42" si="48">IFERROR(V19/$B42,0)</f>
        <v>0</v>
      </c>
      <c r="W42" s="60">
        <f t="shared" si="48"/>
        <v>0</v>
      </c>
      <c r="X42" s="60">
        <f t="shared" si="48"/>
        <v>0</v>
      </c>
      <c r="Y42" s="60">
        <f t="shared" si="48"/>
        <v>0</v>
      </c>
      <c r="Z42" s="60">
        <f t="shared" si="48"/>
        <v>0</v>
      </c>
      <c r="AA42" s="60">
        <f t="shared" si="47"/>
        <v>0</v>
      </c>
      <c r="AB42" s="60">
        <f t="shared" si="47"/>
        <v>0</v>
      </c>
      <c r="AC42" s="60">
        <f t="shared" si="47"/>
        <v>0</v>
      </c>
      <c r="AD42" s="60">
        <f t="shared" si="47"/>
        <v>0</v>
      </c>
      <c r="AE42" s="60">
        <f t="shared" ref="AE42:BB42" si="49">IFERROR(AE19/$B42,0)</f>
        <v>0</v>
      </c>
      <c r="AF42" s="60">
        <f t="shared" si="49"/>
        <v>0</v>
      </c>
      <c r="AG42" s="60">
        <f t="shared" si="49"/>
        <v>0</v>
      </c>
      <c r="AH42" s="60">
        <f t="shared" si="49"/>
        <v>0</v>
      </c>
      <c r="AI42" s="60">
        <f t="shared" si="49"/>
        <v>0</v>
      </c>
      <c r="AJ42" s="60">
        <f t="shared" si="49"/>
        <v>0</v>
      </c>
      <c r="AK42" s="60">
        <f t="shared" si="49"/>
        <v>0</v>
      </c>
      <c r="AL42" s="60">
        <f t="shared" si="49"/>
        <v>0</v>
      </c>
      <c r="AM42" s="60">
        <f t="shared" si="49"/>
        <v>0</v>
      </c>
      <c r="AN42" s="60">
        <f t="shared" si="49"/>
        <v>0</v>
      </c>
      <c r="AO42" s="60">
        <f t="shared" si="49"/>
        <v>0</v>
      </c>
      <c r="AP42" s="60">
        <f t="shared" si="49"/>
        <v>0</v>
      </c>
      <c r="AQ42" s="60">
        <f t="shared" si="49"/>
        <v>0</v>
      </c>
      <c r="AR42" s="60">
        <f t="shared" si="49"/>
        <v>0</v>
      </c>
      <c r="AS42" s="60">
        <f t="shared" si="49"/>
        <v>0</v>
      </c>
      <c r="AT42" s="60">
        <f t="shared" si="49"/>
        <v>0</v>
      </c>
      <c r="AU42" s="60">
        <f t="shared" ref="AU42" si="50">IFERROR(AU19/$B42,0)</f>
        <v>0</v>
      </c>
      <c r="AV42" s="60">
        <f t="shared" si="49"/>
        <v>0</v>
      </c>
      <c r="AW42" s="60">
        <f t="shared" si="49"/>
        <v>0</v>
      </c>
      <c r="AX42" s="60">
        <f t="shared" si="49"/>
        <v>0</v>
      </c>
      <c r="AY42" s="60">
        <f t="shared" si="49"/>
        <v>0</v>
      </c>
      <c r="AZ42" s="60">
        <f t="shared" si="49"/>
        <v>0</v>
      </c>
      <c r="BA42" s="60">
        <f t="shared" si="49"/>
        <v>0</v>
      </c>
      <c r="BB42" s="60">
        <f t="shared" si="49"/>
        <v>0</v>
      </c>
    </row>
    <row r="43" spans="1:54" x14ac:dyDescent="0.25">
      <c r="A43" s="190" t="s">
        <v>1085</v>
      </c>
      <c r="B43" s="191">
        <v>2.0897492E-2</v>
      </c>
      <c r="C43" s="60">
        <f>IFERROR(C28/$B43,0)</f>
        <v>0</v>
      </c>
      <c r="D43" s="60">
        <f>IFERROR(D28/$B43,0)</f>
        <v>0</v>
      </c>
      <c r="E43" s="60">
        <f>IFERROR(E28/$B43,0)</f>
        <v>0</v>
      </c>
      <c r="F43" s="60">
        <f t="shared" ref="F43:AD43" si="51">IFERROR(F28/$B43,0)</f>
        <v>0</v>
      </c>
      <c r="G43" s="60">
        <f t="shared" si="51"/>
        <v>0</v>
      </c>
      <c r="H43" s="60">
        <f t="shared" si="51"/>
        <v>0</v>
      </c>
      <c r="I43" s="60">
        <f t="shared" si="51"/>
        <v>0</v>
      </c>
      <c r="J43" s="60">
        <f t="shared" si="51"/>
        <v>0</v>
      </c>
      <c r="K43" s="60">
        <f t="shared" si="51"/>
        <v>0</v>
      </c>
      <c r="L43" s="60">
        <f t="shared" si="51"/>
        <v>0</v>
      </c>
      <c r="M43" s="60">
        <f t="shared" si="51"/>
        <v>0</v>
      </c>
      <c r="N43" s="60">
        <f t="shared" si="51"/>
        <v>0</v>
      </c>
      <c r="O43" s="60">
        <f t="shared" si="51"/>
        <v>0</v>
      </c>
      <c r="P43" s="60">
        <f t="shared" si="51"/>
        <v>0</v>
      </c>
      <c r="Q43" s="60">
        <f t="shared" si="51"/>
        <v>0</v>
      </c>
      <c r="R43" s="60">
        <f t="shared" si="51"/>
        <v>0</v>
      </c>
      <c r="S43" s="60">
        <f t="shared" si="51"/>
        <v>0</v>
      </c>
      <c r="T43" s="60">
        <f t="shared" si="51"/>
        <v>0</v>
      </c>
      <c r="U43" s="60">
        <f t="shared" si="51"/>
        <v>0</v>
      </c>
      <c r="V43" s="60">
        <f t="shared" ref="V43:Z43" si="52">IFERROR(V28/$B43,0)</f>
        <v>0</v>
      </c>
      <c r="W43" s="60">
        <f t="shared" si="52"/>
        <v>0</v>
      </c>
      <c r="X43" s="60">
        <f t="shared" si="52"/>
        <v>0</v>
      </c>
      <c r="Y43" s="60">
        <f t="shared" si="52"/>
        <v>0</v>
      </c>
      <c r="Z43" s="60">
        <f t="shared" si="52"/>
        <v>0</v>
      </c>
      <c r="AA43" s="60">
        <f t="shared" si="51"/>
        <v>0</v>
      </c>
      <c r="AB43" s="60">
        <f t="shared" si="51"/>
        <v>0</v>
      </c>
      <c r="AC43" s="60">
        <f t="shared" si="51"/>
        <v>0</v>
      </c>
      <c r="AD43" s="60">
        <f t="shared" si="51"/>
        <v>0</v>
      </c>
      <c r="AE43" s="60">
        <f t="shared" ref="AE43:BB43" si="53">IFERROR(AE28/$B43,0)</f>
        <v>0</v>
      </c>
      <c r="AF43" s="60">
        <f t="shared" si="53"/>
        <v>0</v>
      </c>
      <c r="AG43" s="60">
        <f t="shared" si="53"/>
        <v>0</v>
      </c>
      <c r="AH43" s="60">
        <f t="shared" si="53"/>
        <v>0</v>
      </c>
      <c r="AI43" s="60">
        <f t="shared" si="53"/>
        <v>0</v>
      </c>
      <c r="AJ43" s="60">
        <f t="shared" si="53"/>
        <v>0</v>
      </c>
      <c r="AK43" s="60">
        <f t="shared" si="53"/>
        <v>0</v>
      </c>
      <c r="AL43" s="60">
        <f t="shared" si="53"/>
        <v>0</v>
      </c>
      <c r="AM43" s="60">
        <f t="shared" si="53"/>
        <v>0</v>
      </c>
      <c r="AN43" s="60">
        <f t="shared" si="53"/>
        <v>0</v>
      </c>
      <c r="AO43" s="60">
        <f t="shared" si="53"/>
        <v>0</v>
      </c>
      <c r="AP43" s="60">
        <f t="shared" si="53"/>
        <v>0</v>
      </c>
      <c r="AQ43" s="60">
        <f t="shared" si="53"/>
        <v>0</v>
      </c>
      <c r="AR43" s="60">
        <f t="shared" si="53"/>
        <v>0</v>
      </c>
      <c r="AS43" s="60">
        <f t="shared" si="53"/>
        <v>0</v>
      </c>
      <c r="AT43" s="60">
        <f t="shared" si="53"/>
        <v>0</v>
      </c>
      <c r="AU43" s="60">
        <f t="shared" ref="AU43" si="54">IFERROR(AU28/$B43,0)</f>
        <v>0</v>
      </c>
      <c r="AV43" s="60">
        <f t="shared" si="53"/>
        <v>0</v>
      </c>
      <c r="AW43" s="60">
        <f t="shared" si="53"/>
        <v>0</v>
      </c>
      <c r="AX43" s="60">
        <f t="shared" si="53"/>
        <v>0</v>
      </c>
      <c r="AY43" s="60">
        <f t="shared" si="53"/>
        <v>0</v>
      </c>
      <c r="AZ43" s="60">
        <f t="shared" si="53"/>
        <v>0</v>
      </c>
      <c r="BA43" s="60">
        <f t="shared" si="53"/>
        <v>0</v>
      </c>
      <c r="BB43" s="60">
        <f t="shared" si="53"/>
        <v>0</v>
      </c>
    </row>
    <row r="44" spans="1:54" x14ac:dyDescent="0.25">
      <c r="A44" s="190" t="s">
        <v>1086</v>
      </c>
      <c r="B44" s="191">
        <v>0.99987999999999999</v>
      </c>
      <c r="C44" s="60">
        <f>IFERROR(C15/$B44,0)</f>
        <v>55.555552639131406</v>
      </c>
      <c r="D44" s="60">
        <f>IFERROR(D15/$B44,0)</f>
        <v>1071.5935324000702</v>
      </c>
      <c r="E44" s="60">
        <f>IFERROR(E15/$B44,0)</f>
        <v>1443.0248821259752</v>
      </c>
      <c r="F44" s="60">
        <f t="shared" ref="F44:AD44" si="55">IFERROR(F15/$B44,0)</f>
        <v>2706.7489095073074</v>
      </c>
      <c r="G44" s="60">
        <f t="shared" si="55"/>
        <v>2410.0730813444297</v>
      </c>
      <c r="H44" s="60">
        <f t="shared" si="55"/>
        <v>2822.3925275068841</v>
      </c>
      <c r="I44" s="60">
        <f t="shared" si="55"/>
        <v>710.82913181078584</v>
      </c>
      <c r="J44" s="60">
        <f t="shared" si="55"/>
        <v>3116.6502043774481</v>
      </c>
      <c r="K44" s="60">
        <f t="shared" si="55"/>
        <v>277.8710893820645</v>
      </c>
      <c r="L44" s="60">
        <f t="shared" si="55"/>
        <v>1653.8862764075</v>
      </c>
      <c r="M44" s="60">
        <f t="shared" si="55"/>
        <v>1093.8809558496305</v>
      </c>
      <c r="N44" s="60">
        <f t="shared" si="55"/>
        <v>1555.8990128768992</v>
      </c>
      <c r="O44" s="60">
        <f t="shared" si="55"/>
        <v>2550.2857849577031</v>
      </c>
      <c r="P44" s="60">
        <f t="shared" si="55"/>
        <v>2951.0202848232466</v>
      </c>
      <c r="Q44" s="60">
        <f t="shared" si="55"/>
        <v>4212.2324421001613</v>
      </c>
      <c r="R44" s="60">
        <f t="shared" si="55"/>
        <v>687.99620752983287</v>
      </c>
      <c r="S44" s="60">
        <f t="shared" si="55"/>
        <v>1403.4172016484738</v>
      </c>
      <c r="T44" s="60">
        <f t="shared" si="55"/>
        <v>2556.2362190518843</v>
      </c>
      <c r="U44" s="60">
        <f t="shared" si="55"/>
        <v>5021.8678188616286</v>
      </c>
      <c r="V44" s="60">
        <f t="shared" ref="V44:Z44" si="56">IFERROR(V15/$B44,0)</f>
        <v>779.51749940214188</v>
      </c>
      <c r="W44" s="60">
        <f t="shared" si="56"/>
        <v>1403.5404327195411</v>
      </c>
      <c r="X44" s="60">
        <f t="shared" si="56"/>
        <v>1640.8650580627229</v>
      </c>
      <c r="Y44" s="60">
        <f t="shared" si="56"/>
        <v>2096.4236627397695</v>
      </c>
      <c r="Z44" s="60">
        <f t="shared" si="56"/>
        <v>1063.110503118894</v>
      </c>
      <c r="AA44" s="60">
        <f t="shared" si="55"/>
        <v>345.65741642424899</v>
      </c>
      <c r="AB44" s="60">
        <f t="shared" si="55"/>
        <v>384.70868843168364</v>
      </c>
      <c r="AC44" s="60">
        <f t="shared" si="55"/>
        <v>34.05069133416454</v>
      </c>
      <c r="AD44" s="60">
        <f t="shared" si="55"/>
        <v>605.65297001956992</v>
      </c>
      <c r="AE44" s="60">
        <f t="shared" ref="AE44:BB44" si="57">IFERROR(AE15/$B44,0)</f>
        <v>878.40669922555526</v>
      </c>
      <c r="AF44" s="60">
        <f t="shared" si="57"/>
        <v>1625.4862396178587</v>
      </c>
      <c r="AG44" s="60">
        <f t="shared" si="57"/>
        <v>1525.062638358934</v>
      </c>
      <c r="AH44" s="60">
        <f t="shared" si="57"/>
        <v>1558.3984377165075</v>
      </c>
      <c r="AI44" s="60">
        <f t="shared" si="57"/>
        <v>455.09493856054939</v>
      </c>
      <c r="AJ44" s="60">
        <f t="shared" si="57"/>
        <v>2158.5256315276533</v>
      </c>
      <c r="AK44" s="60">
        <f t="shared" si="57"/>
        <v>175.5853516675206</v>
      </c>
      <c r="AL44" s="60">
        <f t="shared" si="57"/>
        <v>745.21974051343648</v>
      </c>
      <c r="AM44" s="60">
        <f t="shared" si="57"/>
        <v>998.43644565179557</v>
      </c>
      <c r="AN44" s="60">
        <f t="shared" si="57"/>
        <v>925.54030540477243</v>
      </c>
      <c r="AO44" s="60">
        <f t="shared" si="57"/>
        <v>1608.0737084039697</v>
      </c>
      <c r="AP44" s="60">
        <f t="shared" si="57"/>
        <v>1798.768694712445</v>
      </c>
      <c r="AQ44" s="60">
        <f t="shared" si="57"/>
        <v>2014.3577667010022</v>
      </c>
      <c r="AR44" s="60">
        <f t="shared" si="57"/>
        <v>499.90873751838001</v>
      </c>
      <c r="AS44" s="60">
        <f t="shared" si="57"/>
        <v>815.17589887053305</v>
      </c>
      <c r="AT44" s="60">
        <f t="shared" si="57"/>
        <v>1784.7518254008644</v>
      </c>
      <c r="AU44" s="60">
        <f t="shared" ref="AU44" si="58">IFERROR(AU15/$B44,0)</f>
        <v>2445.8898805050685</v>
      </c>
      <c r="AV44" s="60">
        <f t="shared" si="57"/>
        <v>431.04482335115699</v>
      </c>
      <c r="AW44" s="60">
        <f t="shared" si="57"/>
        <v>857.7669025438471</v>
      </c>
      <c r="AX44" s="60">
        <f t="shared" si="57"/>
        <v>1009.3766982690796</v>
      </c>
      <c r="AY44" s="60">
        <f t="shared" si="57"/>
        <v>1325.3564892563443</v>
      </c>
      <c r="AZ44" s="60">
        <f t="shared" si="57"/>
        <v>560.34294754440157</v>
      </c>
      <c r="BA44" s="60">
        <f t="shared" si="57"/>
        <v>202.38006480927498</v>
      </c>
      <c r="BB44" s="60">
        <f t="shared" si="57"/>
        <v>199.25576434692286</v>
      </c>
    </row>
    <row r="45" spans="1:54" x14ac:dyDescent="0.25">
      <c r="A45" s="95" t="s">
        <v>20</v>
      </c>
      <c r="B45" s="95" t="s">
        <v>1071</v>
      </c>
      <c r="C45" s="96">
        <f>IFERROR(1/SUM(1/D45,1/E45,1/F45,1/G45,1/H45,1/I45,1/J45,1/K45,1/L45,1/M45,1/N45,1/O45,1/P45,1/Q45,1/R45,1/S45,1/T45,1/U45,1/V45,1/W45,1/X45,1/Y45,1/Z45),".")</f>
        <v>0.48735717871165074</v>
      </c>
      <c r="D45" s="58">
        <f t="shared" ref="D45:AB45" si="59">IFERROR(IF(AND(D46&lt;&gt;0,D47&lt;&gt;0),1/SUM(1/D46,1/D47),IF(AND(D46&lt;&gt;0,D47=0),1/(1/D46),IF(AND(D46=0,D47&lt;&gt;0),1/(1/D47),IF(AND(D46=0,D47=0),".")))),".")</f>
        <v>10.382412580529211</v>
      </c>
      <c r="E45" s="58">
        <f t="shared" si="59"/>
        <v>15.118716949414898</v>
      </c>
      <c r="F45" s="58">
        <f t="shared" si="59"/>
        <v>20.510322384643786</v>
      </c>
      <c r="G45" s="58">
        <f t="shared" si="59"/>
        <v>24.180019585384617</v>
      </c>
      <c r="H45" s="58">
        <f t="shared" si="59"/>
        <v>25.046002138931605</v>
      </c>
      <c r="I45" s="58">
        <f t="shared" si="59"/>
        <v>7.4472970032536923</v>
      </c>
      <c r="J45" s="58">
        <f t="shared" si="59"/>
        <v>23.614787891509152</v>
      </c>
      <c r="K45" s="58">
        <f t="shared" si="59"/>
        <v>2.692229109921473</v>
      </c>
      <c r="L45" s="58">
        <f t="shared" si="59"/>
        <v>11.79151814101675</v>
      </c>
      <c r="M45" s="58">
        <f t="shared" si="59"/>
        <v>9.7032372043107706</v>
      </c>
      <c r="N45" s="58">
        <f t="shared" si="59"/>
        <v>16.164220688863814</v>
      </c>
      <c r="O45" s="58">
        <f t="shared" si="59"/>
        <v>18.119825691489083</v>
      </c>
      <c r="P45" s="58">
        <f t="shared" si="59"/>
        <v>26.177371091655381</v>
      </c>
      <c r="Q45" s="58">
        <f t="shared" si="59"/>
        <v>31.915989651395051</v>
      </c>
      <c r="R45" s="58">
        <f t="shared" si="59"/>
        <v>6.6658533200194388</v>
      </c>
      <c r="S45" s="58">
        <f t="shared" si="59"/>
        <v>13.597372482728192</v>
      </c>
      <c r="T45" s="58">
        <f t="shared" si="59"/>
        <v>18.016193212973231</v>
      </c>
      <c r="U45" s="58">
        <f t="shared" si="59"/>
        <v>35.555879897566712</v>
      </c>
      <c r="V45" s="58">
        <f t="shared" ref="V45:Z45" si="60">IFERROR(IF(AND(V46&lt;&gt;0,V47&lt;&gt;0),1/SUM(1/V46,1/V47),IF(AND(V46&lt;&gt;0,V47=0),1/(1/V46),IF(AND(V46=0,V47&lt;&gt;0),1/(1/V47),IF(AND(V46=0,V47=0),".")))),".")</f>
        <v>4.7636516870968713</v>
      </c>
      <c r="W45" s="58">
        <f t="shared" si="60"/>
        <v>12.450155541345135</v>
      </c>
      <c r="X45" s="58">
        <f t="shared" si="60"/>
        <v>11.687396683707666</v>
      </c>
      <c r="Y45" s="58">
        <f t="shared" si="60"/>
        <v>20.873980264978343</v>
      </c>
      <c r="Z45" s="58">
        <f t="shared" si="60"/>
        <v>9.4370035338466369</v>
      </c>
      <c r="AA45" s="58">
        <f t="shared" si="59"/>
        <v>3.219445277057484</v>
      </c>
      <c r="AB45" s="58">
        <f t="shared" si="59"/>
        <v>3.4181032795780024</v>
      </c>
      <c r="AC45" s="96">
        <f>IFERROR(1/SUM(1/AD45,1/AE45,1/AF45,1/AG45,1/AH45,1/AI45,1/AJ45,1/AK45,1/AL45,1/AM45,1/AN45,1/AO45,1/AP45,1/AQ45,1/AR45,1/AS45,1/AT45,1/AU45,1/AV45,1/AW45,1/AX45,1/AY45,1/AZ45),".")</f>
        <v>0.29631819187647696</v>
      </c>
      <c r="AD45" s="58">
        <f t="shared" ref="AD45:BB45" si="61">IFERROR(IF(AND(AD46&lt;&gt;0,AD47&lt;&gt;0),1/SUM(1/AD46,1/AD47),IF(AND(AD46&lt;&gt;0,AD47=0),1/(1/AD46),IF(AND(AD46=0,AD47&lt;&gt;0),1/(1/AD47),IF(AND(AD46=0,AD47=0),".")))),".")</f>
        <v>5.8680262853792966</v>
      </c>
      <c r="AE45" s="58">
        <f t="shared" si="61"/>
        <v>9.2031554109415747</v>
      </c>
      <c r="AF45" s="58">
        <f t="shared" si="61"/>
        <v>12.317081458594973</v>
      </c>
      <c r="AG45" s="58">
        <f t="shared" si="61"/>
        <v>15.300799278620429</v>
      </c>
      <c r="AH45" s="58">
        <f t="shared" si="61"/>
        <v>13.829277899496606</v>
      </c>
      <c r="AI45" s="58">
        <f t="shared" si="61"/>
        <v>4.7679913786089365</v>
      </c>
      <c r="AJ45" s="58">
        <f t="shared" si="61"/>
        <v>16.355099739880266</v>
      </c>
      <c r="AK45" s="58">
        <f t="shared" si="61"/>
        <v>1.7012061099495215</v>
      </c>
      <c r="AL45" s="58">
        <f t="shared" si="61"/>
        <v>5.3131053898066751</v>
      </c>
      <c r="AM45" s="58">
        <f t="shared" si="61"/>
        <v>8.8565996270256626</v>
      </c>
      <c r="AN45" s="58">
        <f t="shared" si="61"/>
        <v>9.6154298120792152</v>
      </c>
      <c r="AO45" s="58">
        <f t="shared" si="61"/>
        <v>11.425392192204699</v>
      </c>
      <c r="AP45" s="58">
        <f t="shared" si="61"/>
        <v>15.956188397519119</v>
      </c>
      <c r="AQ45" s="58">
        <f t="shared" si="61"/>
        <v>15.262743098807295</v>
      </c>
      <c r="AR45" s="58">
        <f t="shared" si="61"/>
        <v>4.8435126258295886</v>
      </c>
      <c r="AS45" s="58">
        <f t="shared" si="61"/>
        <v>7.8980436629005872</v>
      </c>
      <c r="AT45" s="58">
        <f t="shared" si="61"/>
        <v>12.578819392346617</v>
      </c>
      <c r="AU45" s="58">
        <f t="shared" ref="AU45" si="62">IFERROR(IF(AND(AU46&lt;&gt;0,AU47&lt;&gt;0),1/SUM(1/AU46,1/AU47),IF(AND(AU46&lt;&gt;0,AU47=0),1/(1/AU46),IF(AND(AU46=0,AU47&lt;&gt;0),1/(1/AU47),IF(AND(AU46=0,AU47=0),".")))),".")</f>
        <v>17.317414549876716</v>
      </c>
      <c r="AV45" s="58">
        <f t="shared" si="61"/>
        <v>2.6341261120448811</v>
      </c>
      <c r="AW45" s="58">
        <f t="shared" si="61"/>
        <v>7.6088519474969036</v>
      </c>
      <c r="AX45" s="58">
        <f t="shared" si="61"/>
        <v>7.1894917976313497</v>
      </c>
      <c r="AY45" s="58">
        <f t="shared" si="61"/>
        <v>13.196504930040017</v>
      </c>
      <c r="AZ45" s="58">
        <f t="shared" si="61"/>
        <v>4.9740439593335219</v>
      </c>
      <c r="BA45" s="58">
        <f t="shared" si="61"/>
        <v>1.8849632985195783</v>
      </c>
      <c r="BB45" s="58">
        <f t="shared" si="61"/>
        <v>1.7703701581722497</v>
      </c>
    </row>
    <row r="46" spans="1:54" x14ac:dyDescent="0.25">
      <c r="A46" s="190" t="s">
        <v>1098</v>
      </c>
      <c r="B46" s="191">
        <v>1</v>
      </c>
      <c r="C46" s="60">
        <f>IFERROR(C10/$B46,0)</f>
        <v>0.48735717871165074</v>
      </c>
      <c r="D46" s="60">
        <f>IFERROR(D10/$B46,0)</f>
        <v>10.382412580529211</v>
      </c>
      <c r="E46" s="60">
        <f>IFERROR(E10/$B46,0)</f>
        <v>15.118716949414898</v>
      </c>
      <c r="F46" s="60">
        <f t="shared" ref="F46:AD46" si="63">IFERROR(F10/$B46,0)</f>
        <v>20.510322384643786</v>
      </c>
      <c r="G46" s="60">
        <f t="shared" si="63"/>
        <v>24.180019585384617</v>
      </c>
      <c r="H46" s="60">
        <f t="shared" si="63"/>
        <v>25.046002138931605</v>
      </c>
      <c r="I46" s="60">
        <f t="shared" si="63"/>
        <v>7.4472970032536914</v>
      </c>
      <c r="J46" s="60">
        <f t="shared" si="63"/>
        <v>23.614787891509152</v>
      </c>
      <c r="K46" s="60">
        <f t="shared" si="63"/>
        <v>2.692229109921473</v>
      </c>
      <c r="L46" s="60">
        <f t="shared" si="63"/>
        <v>11.791518141016748</v>
      </c>
      <c r="M46" s="60">
        <f t="shared" si="63"/>
        <v>9.7032372043107706</v>
      </c>
      <c r="N46" s="60">
        <f t="shared" si="63"/>
        <v>16.164220688863814</v>
      </c>
      <c r="O46" s="60">
        <f t="shared" si="63"/>
        <v>18.119825691489083</v>
      </c>
      <c r="P46" s="60">
        <f t="shared" si="63"/>
        <v>26.177371091655381</v>
      </c>
      <c r="Q46" s="60">
        <f t="shared" si="63"/>
        <v>31.915989651395051</v>
      </c>
      <c r="R46" s="60">
        <f t="shared" si="63"/>
        <v>6.6658533200194388</v>
      </c>
      <c r="S46" s="60">
        <f t="shared" si="63"/>
        <v>13.597372482728192</v>
      </c>
      <c r="T46" s="60">
        <f t="shared" si="63"/>
        <v>18.016193212973231</v>
      </c>
      <c r="U46" s="60">
        <f t="shared" si="63"/>
        <v>35.555879897566712</v>
      </c>
      <c r="V46" s="60">
        <f t="shared" ref="V46:Z46" si="64">IFERROR(V10/$B46,0)</f>
        <v>4.7636516870968713</v>
      </c>
      <c r="W46" s="60">
        <f t="shared" si="64"/>
        <v>12.450155541345135</v>
      </c>
      <c r="X46" s="60">
        <f t="shared" si="64"/>
        <v>11.687396683707666</v>
      </c>
      <c r="Y46" s="60">
        <f t="shared" si="64"/>
        <v>20.873980264978343</v>
      </c>
      <c r="Z46" s="60">
        <f t="shared" si="64"/>
        <v>9.4370035338466369</v>
      </c>
      <c r="AA46" s="60">
        <f t="shared" si="63"/>
        <v>3.219445277057484</v>
      </c>
      <c r="AB46" s="60">
        <f t="shared" si="63"/>
        <v>3.4181032795780024</v>
      </c>
      <c r="AC46" s="60">
        <f t="shared" si="63"/>
        <v>0.29631819187647696</v>
      </c>
      <c r="AD46" s="60">
        <f t="shared" si="63"/>
        <v>5.8680262853792966</v>
      </c>
      <c r="AE46" s="60">
        <f t="shared" ref="AE46:BB46" si="65">IFERROR(AE10/$B46,0)</f>
        <v>9.2031554109415747</v>
      </c>
      <c r="AF46" s="60">
        <f t="shared" si="65"/>
        <v>12.317081458594973</v>
      </c>
      <c r="AG46" s="60">
        <f t="shared" si="65"/>
        <v>15.300799278620429</v>
      </c>
      <c r="AH46" s="60">
        <f t="shared" si="65"/>
        <v>13.829277899496606</v>
      </c>
      <c r="AI46" s="60">
        <f t="shared" si="65"/>
        <v>4.7679913786089365</v>
      </c>
      <c r="AJ46" s="60">
        <f t="shared" si="65"/>
        <v>16.355099739880266</v>
      </c>
      <c r="AK46" s="60">
        <f t="shared" si="65"/>
        <v>1.7012061099495215</v>
      </c>
      <c r="AL46" s="60">
        <f t="shared" si="65"/>
        <v>5.3131053898066751</v>
      </c>
      <c r="AM46" s="60">
        <f t="shared" si="65"/>
        <v>8.8565996270256626</v>
      </c>
      <c r="AN46" s="60">
        <f t="shared" si="65"/>
        <v>9.6154298120792152</v>
      </c>
      <c r="AO46" s="60">
        <f t="shared" si="65"/>
        <v>11.425392192204699</v>
      </c>
      <c r="AP46" s="60">
        <f t="shared" si="65"/>
        <v>15.956188397519119</v>
      </c>
      <c r="AQ46" s="60">
        <f t="shared" si="65"/>
        <v>15.262743098807293</v>
      </c>
      <c r="AR46" s="60">
        <f t="shared" si="65"/>
        <v>4.8435126258295886</v>
      </c>
      <c r="AS46" s="60">
        <f t="shared" si="65"/>
        <v>7.8980436629005872</v>
      </c>
      <c r="AT46" s="60">
        <f t="shared" si="65"/>
        <v>12.578819392346618</v>
      </c>
      <c r="AU46" s="60">
        <f t="shared" ref="AU46" si="66">IFERROR(AU10/$B46,0)</f>
        <v>17.317414549876716</v>
      </c>
      <c r="AV46" s="60">
        <f t="shared" si="65"/>
        <v>2.6341261120448811</v>
      </c>
      <c r="AW46" s="60">
        <f t="shared" si="65"/>
        <v>7.6088519474969036</v>
      </c>
      <c r="AX46" s="60">
        <f t="shared" si="65"/>
        <v>7.1894917976313497</v>
      </c>
      <c r="AY46" s="60">
        <f t="shared" si="65"/>
        <v>13.196504930040016</v>
      </c>
      <c r="AZ46" s="60">
        <f t="shared" si="65"/>
        <v>4.9740439593335219</v>
      </c>
      <c r="BA46" s="60">
        <f t="shared" si="65"/>
        <v>1.8849632985195783</v>
      </c>
      <c r="BB46" s="60">
        <f t="shared" si="65"/>
        <v>1.7703701581722495</v>
      </c>
    </row>
    <row r="47" spans="1:54" x14ac:dyDescent="0.25">
      <c r="A47" s="190" t="s">
        <v>1072</v>
      </c>
      <c r="B47" s="193">
        <v>0.94399</v>
      </c>
      <c r="C47" s="60">
        <f>IFERROR(C6/$B$47,0)</f>
        <v>0</v>
      </c>
      <c r="D47" s="60">
        <f>IFERROR(D6/$B$47,0)</f>
        <v>0</v>
      </c>
      <c r="E47" s="60">
        <f>IFERROR(E6/$B$47,0)</f>
        <v>0</v>
      </c>
      <c r="F47" s="60">
        <f t="shared" ref="F47:AD47" si="67">IFERROR(F6/$B$47,0)</f>
        <v>0</v>
      </c>
      <c r="G47" s="60">
        <f t="shared" si="67"/>
        <v>0</v>
      </c>
      <c r="H47" s="60">
        <f t="shared" si="67"/>
        <v>0</v>
      </c>
      <c r="I47" s="60">
        <f t="shared" si="67"/>
        <v>0</v>
      </c>
      <c r="J47" s="60">
        <f t="shared" si="67"/>
        <v>0</v>
      </c>
      <c r="K47" s="60">
        <f t="shared" si="67"/>
        <v>0</v>
      </c>
      <c r="L47" s="60">
        <f t="shared" si="67"/>
        <v>0</v>
      </c>
      <c r="M47" s="60">
        <f t="shared" si="67"/>
        <v>0</v>
      </c>
      <c r="N47" s="60">
        <f t="shared" si="67"/>
        <v>0</v>
      </c>
      <c r="O47" s="60">
        <f t="shared" si="67"/>
        <v>0</v>
      </c>
      <c r="P47" s="60">
        <f t="shared" si="67"/>
        <v>0</v>
      </c>
      <c r="Q47" s="60">
        <f t="shared" si="67"/>
        <v>0</v>
      </c>
      <c r="R47" s="60">
        <f t="shared" si="67"/>
        <v>0</v>
      </c>
      <c r="S47" s="60">
        <f t="shared" si="67"/>
        <v>0</v>
      </c>
      <c r="T47" s="60">
        <f t="shared" si="67"/>
        <v>0</v>
      </c>
      <c r="U47" s="60">
        <f t="shared" si="67"/>
        <v>0</v>
      </c>
      <c r="V47" s="60">
        <f t="shared" ref="V47:Z47" si="68">IFERROR(V6/$B$47,0)</f>
        <v>0</v>
      </c>
      <c r="W47" s="60">
        <f t="shared" si="68"/>
        <v>0</v>
      </c>
      <c r="X47" s="60">
        <f t="shared" si="68"/>
        <v>0</v>
      </c>
      <c r="Y47" s="60">
        <f t="shared" si="68"/>
        <v>0</v>
      </c>
      <c r="Z47" s="60">
        <f t="shared" si="68"/>
        <v>0</v>
      </c>
      <c r="AA47" s="60">
        <f t="shared" si="67"/>
        <v>0</v>
      </c>
      <c r="AB47" s="60">
        <f t="shared" si="67"/>
        <v>0</v>
      </c>
      <c r="AC47" s="60">
        <f t="shared" si="67"/>
        <v>0</v>
      </c>
      <c r="AD47" s="60">
        <f t="shared" si="67"/>
        <v>0</v>
      </c>
      <c r="AE47" s="60">
        <f t="shared" ref="AE47:BB47" si="69">IFERROR(AE6/$B$47,0)</f>
        <v>0</v>
      </c>
      <c r="AF47" s="60">
        <f t="shared" si="69"/>
        <v>0</v>
      </c>
      <c r="AG47" s="60">
        <f t="shared" si="69"/>
        <v>0</v>
      </c>
      <c r="AH47" s="60">
        <f t="shared" si="69"/>
        <v>0</v>
      </c>
      <c r="AI47" s="60">
        <f t="shared" si="69"/>
        <v>0</v>
      </c>
      <c r="AJ47" s="60">
        <f t="shared" si="69"/>
        <v>0</v>
      </c>
      <c r="AK47" s="60">
        <f t="shared" si="69"/>
        <v>0</v>
      </c>
      <c r="AL47" s="60">
        <f t="shared" si="69"/>
        <v>0</v>
      </c>
      <c r="AM47" s="60">
        <f t="shared" si="69"/>
        <v>0</v>
      </c>
      <c r="AN47" s="60">
        <f t="shared" si="69"/>
        <v>0</v>
      </c>
      <c r="AO47" s="60">
        <f t="shared" si="69"/>
        <v>0</v>
      </c>
      <c r="AP47" s="60">
        <f t="shared" si="69"/>
        <v>0</v>
      </c>
      <c r="AQ47" s="60">
        <f t="shared" si="69"/>
        <v>0</v>
      </c>
      <c r="AR47" s="60">
        <f t="shared" si="69"/>
        <v>0</v>
      </c>
      <c r="AS47" s="60">
        <f t="shared" si="69"/>
        <v>0</v>
      </c>
      <c r="AT47" s="60">
        <f t="shared" si="69"/>
        <v>0</v>
      </c>
      <c r="AU47" s="60">
        <f t="shared" ref="AU47" si="70">IFERROR(AU6/$B$47,0)</f>
        <v>0</v>
      </c>
      <c r="AV47" s="60">
        <f t="shared" si="69"/>
        <v>0</v>
      </c>
      <c r="AW47" s="60">
        <f t="shared" si="69"/>
        <v>0</v>
      </c>
      <c r="AX47" s="60">
        <f t="shared" si="69"/>
        <v>0</v>
      </c>
      <c r="AY47" s="60">
        <f t="shared" si="69"/>
        <v>0</v>
      </c>
      <c r="AZ47" s="60">
        <f t="shared" si="69"/>
        <v>0</v>
      </c>
      <c r="BA47" s="60">
        <f t="shared" si="69"/>
        <v>0</v>
      </c>
      <c r="BB47" s="60">
        <f t="shared" si="69"/>
        <v>0</v>
      </c>
    </row>
    <row r="48" spans="1:54" x14ac:dyDescent="0.25">
      <c r="A48" s="95" t="s">
        <v>33</v>
      </c>
      <c r="B48" s="95" t="s">
        <v>1071</v>
      </c>
      <c r="C48" s="96">
        <f>IFERROR(1/SUM(1/D48,1/E48,1/F48,1/G48,1/H48,1/I48,1/J48,1/K48,1/L48,1/M48,1/N48,1/O48,1/P48,1/Q48,1/R48,1/S48,1/T48,1/U48,1/V48,1/W48,1/X48,1/Y48,1/Z48),".")</f>
        <v>5.2230833821634093E-3</v>
      </c>
      <c r="D48" s="58">
        <f>1/SUM(1/D49,1/D52,1/D54,1/D58,1/D59,1/D61)</f>
        <v>9.901636737934387E-2</v>
      </c>
      <c r="E48" s="58">
        <f>1/SUM(1/E49,1/E52,1/E54,1/E58,1/E59,1/E61)</f>
        <v>0.16266615845225416</v>
      </c>
      <c r="F48" s="58">
        <f t="shared" ref="F48:AB48" si="71">1/SUM(1/F49,1/F52,1/F54,1/F58,1/F59,1/F61)</f>
        <v>0.23394166169011776</v>
      </c>
      <c r="G48" s="58">
        <f t="shared" si="71"/>
        <v>0.22269269361926439</v>
      </c>
      <c r="H48" s="58">
        <f t="shared" si="71"/>
        <v>0.26630992948257098</v>
      </c>
      <c r="I48" s="58">
        <f t="shared" si="71"/>
        <v>8.0125586564912421E-2</v>
      </c>
      <c r="J48" s="58">
        <f t="shared" si="71"/>
        <v>0.2693672923333339</v>
      </c>
      <c r="K48" s="58">
        <f t="shared" si="71"/>
        <v>2.5675614346852706E-2</v>
      </c>
      <c r="L48" s="58">
        <f t="shared" si="71"/>
        <v>0.14570718288870055</v>
      </c>
      <c r="M48" s="58">
        <f t="shared" si="71"/>
        <v>0.10327569136510696</v>
      </c>
      <c r="N48" s="58">
        <f t="shared" si="71"/>
        <v>0.17207758118093072</v>
      </c>
      <c r="O48" s="58">
        <f t="shared" si="71"/>
        <v>0.22745089081440151</v>
      </c>
      <c r="P48" s="58">
        <f t="shared" si="71"/>
        <v>0.27860538935721646</v>
      </c>
      <c r="Q48" s="58">
        <f t="shared" si="71"/>
        <v>0.36405678314926299</v>
      </c>
      <c r="R48" s="58">
        <f t="shared" si="71"/>
        <v>6.3571852246463792E-2</v>
      </c>
      <c r="S48" s="58">
        <f t="shared" si="71"/>
        <v>0.1296772227746481</v>
      </c>
      <c r="T48" s="58">
        <f t="shared" si="71"/>
        <v>0.22808174444191887</v>
      </c>
      <c r="U48" s="58">
        <f t="shared" si="71"/>
        <v>0.44796757785577684</v>
      </c>
      <c r="V48" s="58">
        <f t="shared" ref="V48:Z48" si="72">1/SUM(1/V49,1/V52,1/V54,1/V58,1/V59,1/V61)</f>
        <v>6.7178417472481766E-2</v>
      </c>
      <c r="W48" s="58">
        <f t="shared" si="72"/>
        <v>0.13250984553920134</v>
      </c>
      <c r="X48" s="58">
        <f t="shared" si="72"/>
        <v>0.14632320021748552</v>
      </c>
      <c r="Y48" s="58">
        <f t="shared" si="72"/>
        <v>0.19371858703496947</v>
      </c>
      <c r="Z48" s="58">
        <f t="shared" si="72"/>
        <v>0.10026495942837746</v>
      </c>
      <c r="AA48" s="58">
        <f t="shared" si="71"/>
        <v>2.9788300558344975E-2</v>
      </c>
      <c r="AB48" s="58">
        <f t="shared" si="71"/>
        <v>3.4351228746146066E-2</v>
      </c>
      <c r="AC48" s="96">
        <f>IFERROR(1/SUM(1/AD48,1/AE48,1/AF48,1/AG48,1/AH48,1/AI48,1/AJ48,1/AK48,1/AL48,1/AM48,1/AN48,1/AO48,1/AP48,1/AQ48,1/AR48,1/AS48,1/AT48,1/AU48,1/AV48,1/AW48,1/AX48,1/AY48,1/AZ48),".")</f>
        <v>3.1954956654436837E-3</v>
      </c>
      <c r="AD48" s="58">
        <f>1/SUM(1/AD49,1/AD52,1/AD54,1/AD58,1/AD59,1/AD61)</f>
        <v>5.5962970259379415E-2</v>
      </c>
      <c r="AE48" s="58">
        <f t="shared" ref="AE48:BB48" si="73">1/SUM(1/AE49,1/AE52,1/AE54,1/AE58,1/AE59,1/AE61)</f>
        <v>9.9019112623500674E-2</v>
      </c>
      <c r="AF48" s="58">
        <f t="shared" si="73"/>
        <v>0.14048918635007071</v>
      </c>
      <c r="AG48" s="58">
        <f t="shared" si="73"/>
        <v>0.14091701596235415</v>
      </c>
      <c r="AH48" s="58">
        <f t="shared" si="73"/>
        <v>0.14704438663626657</v>
      </c>
      <c r="AI48" s="58">
        <f t="shared" si="73"/>
        <v>5.1298894858171469E-2</v>
      </c>
      <c r="AJ48" s="58">
        <f t="shared" si="73"/>
        <v>0.18655805646076526</v>
      </c>
      <c r="AK48" s="58">
        <f t="shared" si="73"/>
        <v>1.6224292294665609E-2</v>
      </c>
      <c r="AL48" s="58">
        <f t="shared" si="73"/>
        <v>6.5653769894700634E-2</v>
      </c>
      <c r="AM48" s="58">
        <f t="shared" si="73"/>
        <v>9.4264566594195062E-2</v>
      </c>
      <c r="AN48" s="58">
        <f t="shared" si="73"/>
        <v>0.10236187292453407</v>
      </c>
      <c r="AO48" s="58">
        <f t="shared" si="73"/>
        <v>0.14341835712257922</v>
      </c>
      <c r="AP48" s="58">
        <f t="shared" si="73"/>
        <v>0.16982148687058224</v>
      </c>
      <c r="AQ48" s="58">
        <f t="shared" si="73"/>
        <v>0.17409784923722463</v>
      </c>
      <c r="AR48" s="58">
        <f t="shared" si="73"/>
        <v>4.6192295902818106E-2</v>
      </c>
      <c r="AS48" s="58">
        <f t="shared" si="73"/>
        <v>7.5323108847597117E-2</v>
      </c>
      <c r="AT48" s="58">
        <f t="shared" si="73"/>
        <v>0.15924557624972208</v>
      </c>
      <c r="AU48" s="58">
        <f t="shared" ref="AU48" si="74">1/SUM(1/AU49,1/AU52,1/AU54,1/AU58,1/AU59,1/AU61)</f>
        <v>0.21818164177012978</v>
      </c>
      <c r="AV48" s="58">
        <f t="shared" si="73"/>
        <v>3.7147221344799773E-2</v>
      </c>
      <c r="AW48" s="58">
        <f t="shared" si="73"/>
        <v>8.0982746998238167E-2</v>
      </c>
      <c r="AX48" s="58">
        <f t="shared" si="73"/>
        <v>9.0010588006588746E-2</v>
      </c>
      <c r="AY48" s="58">
        <f t="shared" si="73"/>
        <v>0.12246865506222671</v>
      </c>
      <c r="AZ48" s="58">
        <f t="shared" si="73"/>
        <v>5.2847528772118249E-2</v>
      </c>
      <c r="BA48" s="58">
        <f t="shared" si="73"/>
        <v>1.7440847240947834E-2</v>
      </c>
      <c r="BB48" s="58">
        <f t="shared" si="73"/>
        <v>1.779185276000024E-2</v>
      </c>
    </row>
    <row r="49" spans="1:54" x14ac:dyDescent="0.25">
      <c r="A49" s="190" t="s">
        <v>1100</v>
      </c>
      <c r="B49" s="191">
        <v>1</v>
      </c>
      <c r="C49" s="60">
        <f>IFERROR(C23/$B49,0)</f>
        <v>3.5843598604911618E-2</v>
      </c>
      <c r="D49" s="60">
        <f>IFERROR(D23/$B49,0)</f>
        <v>0.72612947812083739</v>
      </c>
      <c r="E49" s="60">
        <f>IFERROR(E23/$B49,0)</f>
        <v>0.92207977793825147</v>
      </c>
      <c r="F49" s="60">
        <f t="shared" ref="F49:AD49" si="75">IFERROR(F23/$B49,0)</f>
        <v>1.2477565268183815</v>
      </c>
      <c r="G49" s="60">
        <f t="shared" si="75"/>
        <v>1.6331053294714659</v>
      </c>
      <c r="H49" s="60">
        <f t="shared" si="75"/>
        <v>1.8805998420806171</v>
      </c>
      <c r="I49" s="60">
        <f t="shared" si="75"/>
        <v>0.4542170502452943</v>
      </c>
      <c r="J49" s="60">
        <f t="shared" si="75"/>
        <v>1.436551786329562</v>
      </c>
      <c r="K49" s="60">
        <f t="shared" si="75"/>
        <v>0.18829004003594321</v>
      </c>
      <c r="L49" s="60">
        <f t="shared" si="75"/>
        <v>1.1078241138382343</v>
      </c>
      <c r="M49" s="60">
        <f t="shared" si="75"/>
        <v>0.72876743534857058</v>
      </c>
      <c r="N49" s="60">
        <f t="shared" si="75"/>
        <v>0.99811319131185317</v>
      </c>
      <c r="O49" s="60">
        <f t="shared" si="75"/>
        <v>1.6025407688505453</v>
      </c>
      <c r="P49" s="60">
        <f t="shared" si="75"/>
        <v>1.9660456099130652</v>
      </c>
      <c r="Q49" s="60">
        <f t="shared" si="75"/>
        <v>1.9415364709954763</v>
      </c>
      <c r="R49" s="60">
        <f t="shared" si="75"/>
        <v>0.46619759453367154</v>
      </c>
      <c r="S49" s="60">
        <f t="shared" si="75"/>
        <v>0.95097867746214981</v>
      </c>
      <c r="T49" s="60">
        <f t="shared" si="75"/>
        <v>1.6023197426531088</v>
      </c>
      <c r="U49" s="60">
        <f t="shared" si="75"/>
        <v>3.1522553999892406</v>
      </c>
      <c r="V49" s="60">
        <f t="shared" ref="V49:Z49" si="76">IFERROR(V23/$B49,0)</f>
        <v>0.48384822941465716</v>
      </c>
      <c r="W49" s="60">
        <f t="shared" si="76"/>
        <v>0.93507177659547747</v>
      </c>
      <c r="X49" s="60">
        <f t="shared" si="76"/>
        <v>1.0318636756158397</v>
      </c>
      <c r="Y49" s="60">
        <f t="shared" si="76"/>
        <v>1.4205713025683646</v>
      </c>
      <c r="Z49" s="60">
        <f t="shared" si="76"/>
        <v>0.70844116209122932</v>
      </c>
      <c r="AA49" s="60">
        <f t="shared" si="75"/>
        <v>0.23383807716924648</v>
      </c>
      <c r="AB49" s="60">
        <f t="shared" si="75"/>
        <v>0.25644498832130874</v>
      </c>
      <c r="AC49" s="60">
        <f t="shared" si="75"/>
        <v>2.193641751404533E-2</v>
      </c>
      <c r="AD49" s="60">
        <f t="shared" si="75"/>
        <v>0.4104004566523049</v>
      </c>
      <c r="AE49" s="60">
        <f t="shared" ref="AE49:BB49" si="77">IFERROR(AE23/$B49,0)</f>
        <v>0.56129389326126911</v>
      </c>
      <c r="AF49" s="60">
        <f t="shared" si="77"/>
        <v>0.74931629513645337</v>
      </c>
      <c r="AG49" s="60">
        <f t="shared" si="77"/>
        <v>1.033407634714731</v>
      </c>
      <c r="AH49" s="60">
        <f t="shared" si="77"/>
        <v>1.0383828001618021</v>
      </c>
      <c r="AI49" s="60">
        <f t="shared" si="77"/>
        <v>0.29080389551276919</v>
      </c>
      <c r="AJ49" s="60">
        <f t="shared" si="77"/>
        <v>0.99492520766493575</v>
      </c>
      <c r="AK49" s="60">
        <f t="shared" si="77"/>
        <v>0.11897953460622439</v>
      </c>
      <c r="AL49" s="60">
        <f t="shared" si="77"/>
        <v>0.49917120084116628</v>
      </c>
      <c r="AM49" s="60">
        <f t="shared" si="77"/>
        <v>0.66518021359192991</v>
      </c>
      <c r="AN49" s="60">
        <f t="shared" si="77"/>
        <v>0.59373647021421072</v>
      </c>
      <c r="AO49" s="60">
        <f t="shared" si="77"/>
        <v>1.0104764306157106</v>
      </c>
      <c r="AP49" s="60">
        <f t="shared" si="77"/>
        <v>1.198385966262606</v>
      </c>
      <c r="AQ49" s="60">
        <f t="shared" si="77"/>
        <v>0.92847418167005202</v>
      </c>
      <c r="AR49" s="60">
        <f t="shared" si="77"/>
        <v>0.33874641802778771</v>
      </c>
      <c r="AS49" s="60">
        <f t="shared" si="77"/>
        <v>0.55237665413844161</v>
      </c>
      <c r="AT49" s="60">
        <f t="shared" si="77"/>
        <v>1.1187319326211043</v>
      </c>
      <c r="AU49" s="60">
        <f t="shared" ref="AU49" si="78">IFERROR(AU23/$B49,0)</f>
        <v>1.5352991878127293</v>
      </c>
      <c r="AV49" s="60">
        <f t="shared" si="77"/>
        <v>0.26755047158885881</v>
      </c>
      <c r="AW49" s="60">
        <f t="shared" si="77"/>
        <v>0.57146456401854651</v>
      </c>
      <c r="AX49" s="60">
        <f t="shared" si="77"/>
        <v>0.63475003312374734</v>
      </c>
      <c r="AY49" s="60">
        <f t="shared" si="77"/>
        <v>0.89808344933951867</v>
      </c>
      <c r="AZ49" s="60">
        <f t="shared" si="77"/>
        <v>0.37340427713146662</v>
      </c>
      <c r="BA49" s="60">
        <f t="shared" si="77"/>
        <v>0.13691060270584263</v>
      </c>
      <c r="BB49" s="60">
        <f t="shared" si="77"/>
        <v>0.13282294810966833</v>
      </c>
    </row>
    <row r="50" spans="1:54" x14ac:dyDescent="0.25">
      <c r="A50" s="190" t="s">
        <v>1087</v>
      </c>
      <c r="B50" s="191">
        <v>1</v>
      </c>
      <c r="C50" s="60">
        <f>IFERROR(C25/$B50,0)</f>
        <v>0</v>
      </c>
      <c r="D50" s="60">
        <f>IFERROR(D25/$B50,0)</f>
        <v>0</v>
      </c>
      <c r="E50" s="60">
        <f>IFERROR(E25/$B50,0)</f>
        <v>0</v>
      </c>
      <c r="F50" s="60">
        <f t="shared" ref="F50:AD50" si="79">IFERROR(F25/$B50,0)</f>
        <v>0</v>
      </c>
      <c r="G50" s="60">
        <f t="shared" si="79"/>
        <v>0</v>
      </c>
      <c r="H50" s="60">
        <f t="shared" si="79"/>
        <v>0</v>
      </c>
      <c r="I50" s="60">
        <f t="shared" si="79"/>
        <v>0</v>
      </c>
      <c r="J50" s="60">
        <f t="shared" si="79"/>
        <v>0</v>
      </c>
      <c r="K50" s="60">
        <f t="shared" si="79"/>
        <v>0</v>
      </c>
      <c r="L50" s="60">
        <f t="shared" si="79"/>
        <v>0</v>
      </c>
      <c r="M50" s="60">
        <f t="shared" si="79"/>
        <v>0</v>
      </c>
      <c r="N50" s="60">
        <f t="shared" si="79"/>
        <v>0</v>
      </c>
      <c r="O50" s="60">
        <f t="shared" si="79"/>
        <v>0</v>
      </c>
      <c r="P50" s="60">
        <f t="shared" si="79"/>
        <v>0</v>
      </c>
      <c r="Q50" s="60">
        <f t="shared" si="79"/>
        <v>0</v>
      </c>
      <c r="R50" s="60">
        <f t="shared" si="79"/>
        <v>0</v>
      </c>
      <c r="S50" s="60">
        <f t="shared" si="79"/>
        <v>0</v>
      </c>
      <c r="T50" s="60">
        <f t="shared" si="79"/>
        <v>0</v>
      </c>
      <c r="U50" s="60">
        <f t="shared" si="79"/>
        <v>0</v>
      </c>
      <c r="V50" s="60">
        <f t="shared" ref="V50:Z50" si="80">IFERROR(V25/$B50,0)</f>
        <v>0</v>
      </c>
      <c r="W50" s="60">
        <f t="shared" si="80"/>
        <v>0</v>
      </c>
      <c r="X50" s="60">
        <f t="shared" si="80"/>
        <v>0</v>
      </c>
      <c r="Y50" s="60">
        <f t="shared" si="80"/>
        <v>0</v>
      </c>
      <c r="Z50" s="60">
        <f t="shared" si="80"/>
        <v>0</v>
      </c>
      <c r="AA50" s="60">
        <f t="shared" si="79"/>
        <v>0</v>
      </c>
      <c r="AB50" s="60">
        <f t="shared" si="79"/>
        <v>0</v>
      </c>
      <c r="AC50" s="60">
        <f t="shared" si="79"/>
        <v>0</v>
      </c>
      <c r="AD50" s="60">
        <f t="shared" si="79"/>
        <v>0</v>
      </c>
      <c r="AE50" s="60">
        <f t="shared" ref="AE50:BB50" si="81">IFERROR(AE25/$B50,0)</f>
        <v>0</v>
      </c>
      <c r="AF50" s="60">
        <f t="shared" si="81"/>
        <v>0</v>
      </c>
      <c r="AG50" s="60">
        <f t="shared" si="81"/>
        <v>0</v>
      </c>
      <c r="AH50" s="60">
        <f t="shared" si="81"/>
        <v>0</v>
      </c>
      <c r="AI50" s="60">
        <f t="shared" si="81"/>
        <v>0</v>
      </c>
      <c r="AJ50" s="60">
        <f t="shared" si="81"/>
        <v>0</v>
      </c>
      <c r="AK50" s="60">
        <f t="shared" si="81"/>
        <v>0</v>
      </c>
      <c r="AL50" s="60">
        <f t="shared" si="81"/>
        <v>0</v>
      </c>
      <c r="AM50" s="60">
        <f t="shared" si="81"/>
        <v>0</v>
      </c>
      <c r="AN50" s="60">
        <f t="shared" si="81"/>
        <v>0</v>
      </c>
      <c r="AO50" s="60">
        <f t="shared" si="81"/>
        <v>0</v>
      </c>
      <c r="AP50" s="60">
        <f t="shared" si="81"/>
        <v>0</v>
      </c>
      <c r="AQ50" s="60">
        <f t="shared" si="81"/>
        <v>0</v>
      </c>
      <c r="AR50" s="60">
        <f t="shared" si="81"/>
        <v>0</v>
      </c>
      <c r="AS50" s="60">
        <f t="shared" si="81"/>
        <v>0</v>
      </c>
      <c r="AT50" s="60">
        <f t="shared" si="81"/>
        <v>0</v>
      </c>
      <c r="AU50" s="60">
        <f t="shared" ref="AU50" si="82">IFERROR(AU25/$B50,0)</f>
        <v>0</v>
      </c>
      <c r="AV50" s="60">
        <f t="shared" si="81"/>
        <v>0</v>
      </c>
      <c r="AW50" s="60">
        <f t="shared" si="81"/>
        <v>0</v>
      </c>
      <c r="AX50" s="60">
        <f t="shared" si="81"/>
        <v>0</v>
      </c>
      <c r="AY50" s="60">
        <f t="shared" si="81"/>
        <v>0</v>
      </c>
      <c r="AZ50" s="60">
        <f t="shared" si="81"/>
        <v>0</v>
      </c>
      <c r="BA50" s="60">
        <f t="shared" si="81"/>
        <v>0</v>
      </c>
      <c r="BB50" s="60">
        <f t="shared" si="81"/>
        <v>0</v>
      </c>
    </row>
    <row r="51" spans="1:54" x14ac:dyDescent="0.25">
      <c r="A51" s="190" t="s">
        <v>1073</v>
      </c>
      <c r="B51" s="191">
        <v>1</v>
      </c>
      <c r="C51" s="60">
        <f>IFERROR(C21/$B51,0)</f>
        <v>0</v>
      </c>
      <c r="D51" s="60">
        <f>IFERROR(D21/$B51,0)</f>
        <v>0</v>
      </c>
      <c r="E51" s="60">
        <f>IFERROR(E21/$B51,0)</f>
        <v>0</v>
      </c>
      <c r="F51" s="60">
        <f t="shared" ref="F51:AD51" si="83">IFERROR(F21/$B51,0)</f>
        <v>0</v>
      </c>
      <c r="G51" s="60">
        <f t="shared" si="83"/>
        <v>0</v>
      </c>
      <c r="H51" s="60">
        <f t="shared" si="83"/>
        <v>0</v>
      </c>
      <c r="I51" s="60">
        <f t="shared" si="83"/>
        <v>0</v>
      </c>
      <c r="J51" s="60">
        <f t="shared" si="83"/>
        <v>0</v>
      </c>
      <c r="K51" s="60">
        <f t="shared" si="83"/>
        <v>0</v>
      </c>
      <c r="L51" s="60">
        <f t="shared" si="83"/>
        <v>0</v>
      </c>
      <c r="M51" s="60">
        <f t="shared" si="83"/>
        <v>0</v>
      </c>
      <c r="N51" s="60">
        <f t="shared" si="83"/>
        <v>0</v>
      </c>
      <c r="O51" s="60">
        <f t="shared" si="83"/>
        <v>0</v>
      </c>
      <c r="P51" s="60">
        <f t="shared" si="83"/>
        <v>0</v>
      </c>
      <c r="Q51" s="60">
        <f t="shared" si="83"/>
        <v>0</v>
      </c>
      <c r="R51" s="60">
        <f t="shared" si="83"/>
        <v>0</v>
      </c>
      <c r="S51" s="60">
        <f t="shared" si="83"/>
        <v>0</v>
      </c>
      <c r="T51" s="60">
        <f t="shared" si="83"/>
        <v>0</v>
      </c>
      <c r="U51" s="60">
        <f t="shared" si="83"/>
        <v>0</v>
      </c>
      <c r="V51" s="60">
        <f t="shared" ref="V51:Z51" si="84">IFERROR(V21/$B51,0)</f>
        <v>0</v>
      </c>
      <c r="W51" s="60">
        <f t="shared" si="84"/>
        <v>0</v>
      </c>
      <c r="X51" s="60">
        <f t="shared" si="84"/>
        <v>0</v>
      </c>
      <c r="Y51" s="60">
        <f t="shared" si="84"/>
        <v>0</v>
      </c>
      <c r="Z51" s="60">
        <f t="shared" si="84"/>
        <v>0</v>
      </c>
      <c r="AA51" s="60">
        <f t="shared" si="83"/>
        <v>0</v>
      </c>
      <c r="AB51" s="60">
        <f t="shared" si="83"/>
        <v>0</v>
      </c>
      <c r="AC51" s="60">
        <f t="shared" si="83"/>
        <v>0</v>
      </c>
      <c r="AD51" s="60">
        <f t="shared" si="83"/>
        <v>0</v>
      </c>
      <c r="AE51" s="60">
        <f t="shared" ref="AE51:BB51" si="85">IFERROR(AE21/$B51,0)</f>
        <v>0</v>
      </c>
      <c r="AF51" s="60">
        <f t="shared" si="85"/>
        <v>0</v>
      </c>
      <c r="AG51" s="60">
        <f t="shared" si="85"/>
        <v>0</v>
      </c>
      <c r="AH51" s="60">
        <f t="shared" si="85"/>
        <v>0</v>
      </c>
      <c r="AI51" s="60">
        <f t="shared" si="85"/>
        <v>0</v>
      </c>
      <c r="AJ51" s="60">
        <f t="shared" si="85"/>
        <v>0</v>
      </c>
      <c r="AK51" s="60">
        <f t="shared" si="85"/>
        <v>0</v>
      </c>
      <c r="AL51" s="60">
        <f t="shared" si="85"/>
        <v>0</v>
      </c>
      <c r="AM51" s="60">
        <f t="shared" si="85"/>
        <v>0</v>
      </c>
      <c r="AN51" s="60">
        <f t="shared" si="85"/>
        <v>0</v>
      </c>
      <c r="AO51" s="60">
        <f t="shared" si="85"/>
        <v>0</v>
      </c>
      <c r="AP51" s="60">
        <f t="shared" si="85"/>
        <v>0</v>
      </c>
      <c r="AQ51" s="60">
        <f t="shared" si="85"/>
        <v>0</v>
      </c>
      <c r="AR51" s="60">
        <f t="shared" si="85"/>
        <v>0</v>
      </c>
      <c r="AS51" s="60">
        <f t="shared" si="85"/>
        <v>0</v>
      </c>
      <c r="AT51" s="60">
        <f t="shared" si="85"/>
        <v>0</v>
      </c>
      <c r="AU51" s="60">
        <f t="shared" ref="AU51" si="86">IFERROR(AU21/$B51,0)</f>
        <v>0</v>
      </c>
      <c r="AV51" s="60">
        <f t="shared" si="85"/>
        <v>0</v>
      </c>
      <c r="AW51" s="60">
        <f t="shared" si="85"/>
        <v>0</v>
      </c>
      <c r="AX51" s="60">
        <f t="shared" si="85"/>
        <v>0</v>
      </c>
      <c r="AY51" s="60">
        <f t="shared" si="85"/>
        <v>0</v>
      </c>
      <c r="AZ51" s="60">
        <f t="shared" si="85"/>
        <v>0</v>
      </c>
      <c r="BA51" s="60">
        <f t="shared" si="85"/>
        <v>0</v>
      </c>
      <c r="BB51" s="60">
        <f t="shared" si="85"/>
        <v>0</v>
      </c>
    </row>
    <row r="52" spans="1:54" x14ac:dyDescent="0.25">
      <c r="A52" s="190" t="s">
        <v>1074</v>
      </c>
      <c r="B52" s="193">
        <v>0.99980000000000002</v>
      </c>
      <c r="C52" s="60">
        <f>IFERROR(C17/$B52,0)</f>
        <v>39.952303885503397</v>
      </c>
      <c r="D52" s="60">
        <f>IFERROR(D17/$B52,0)</f>
        <v>770.62738852195139</v>
      </c>
      <c r="E52" s="60">
        <f>IFERROR(E17/$B52,0)</f>
        <v>1037.7390893674865</v>
      </c>
      <c r="F52" s="60">
        <f t="shared" ref="F52:AD52" si="87">IFERROR(F17/$B52,0)</f>
        <v>1946.5354917236516</v>
      </c>
      <c r="G52" s="60">
        <f t="shared" si="87"/>
        <v>1733.1835893631683</v>
      </c>
      <c r="H52" s="60">
        <f t="shared" si="87"/>
        <v>2029.6996175266927</v>
      </c>
      <c r="I52" s="60">
        <f t="shared" si="87"/>
        <v>511.18673356098725</v>
      </c>
      <c r="J52" s="60">
        <f t="shared" si="87"/>
        <v>2241.3125269209972</v>
      </c>
      <c r="K52" s="60">
        <f t="shared" si="87"/>
        <v>199.82863416191714</v>
      </c>
      <c r="L52" s="60">
        <f t="shared" si="87"/>
        <v>1189.3782703648972</v>
      </c>
      <c r="M52" s="60">
        <f t="shared" si="87"/>
        <v>786.65519982401247</v>
      </c>
      <c r="N52" s="60">
        <f t="shared" si="87"/>
        <v>1118.911561935</v>
      </c>
      <c r="O52" s="60">
        <f t="shared" si="87"/>
        <v>1834.0163644370282</v>
      </c>
      <c r="P52" s="60">
        <f t="shared" si="87"/>
        <v>2122.2011768540742</v>
      </c>
      <c r="Q52" s="60">
        <f t="shared" si="87"/>
        <v>3029.1911891562249</v>
      </c>
      <c r="R52" s="60">
        <f t="shared" si="87"/>
        <v>494.76662996859164</v>
      </c>
      <c r="S52" s="60">
        <f t="shared" si="87"/>
        <v>1009.2555623127586</v>
      </c>
      <c r="T52" s="60">
        <f t="shared" si="87"/>
        <v>1838.2955685829329</v>
      </c>
      <c r="U52" s="60">
        <f t="shared" si="87"/>
        <v>3611.433594680318</v>
      </c>
      <c r="V52" s="60">
        <f t="shared" ref="V52:Z52" si="88">IFERROR(V17/$B52,0)</f>
        <v>560.58338979145833</v>
      </c>
      <c r="W52" s="60">
        <f t="shared" si="88"/>
        <v>1009.3441828910005</v>
      </c>
      <c r="X52" s="60">
        <f t="shared" si="88"/>
        <v>1180.0141717724621</v>
      </c>
      <c r="Y52" s="60">
        <f t="shared" si="88"/>
        <v>1507.6252735814539</v>
      </c>
      <c r="Z52" s="60">
        <f t="shared" si="88"/>
        <v>764.52689005490072</v>
      </c>
      <c r="AA52" s="60">
        <f t="shared" si="87"/>
        <v>248.57659559185873</v>
      </c>
      <c r="AB52" s="60">
        <f t="shared" si="87"/>
        <v>276.65998622053087</v>
      </c>
      <c r="AC52" s="60">
        <f t="shared" si="87"/>
        <v>24.487265503966878</v>
      </c>
      <c r="AD52" s="60">
        <f t="shared" si="87"/>
        <v>435.55018999731533</v>
      </c>
      <c r="AE52" s="60">
        <f t="shared" ref="AE52:BB52" si="89">IFERROR(AE17/$B52,0)</f>
        <v>631.69871804680974</v>
      </c>
      <c r="AF52" s="60">
        <f t="shared" si="89"/>
        <v>1168.9546250895189</v>
      </c>
      <c r="AG52" s="60">
        <f t="shared" si="89"/>
        <v>1096.7358450724312</v>
      </c>
      <c r="AH52" s="60">
        <f t="shared" si="89"/>
        <v>1120.709002082516</v>
      </c>
      <c r="AI52" s="60">
        <f t="shared" si="89"/>
        <v>327.27766025890872</v>
      </c>
      <c r="AJ52" s="60">
        <f t="shared" si="89"/>
        <v>1552.2853770461431</v>
      </c>
      <c r="AK52" s="60">
        <f t="shared" si="89"/>
        <v>126.27071452660904</v>
      </c>
      <c r="AL52" s="60">
        <f t="shared" si="89"/>
        <v>535.91844775381753</v>
      </c>
      <c r="AM52" s="60">
        <f t="shared" si="89"/>
        <v>718.01709085952677</v>
      </c>
      <c r="AN52" s="60">
        <f t="shared" si="89"/>
        <v>665.59445065743887</v>
      </c>
      <c r="AO52" s="60">
        <f t="shared" si="89"/>
        <v>1156.4325511396487</v>
      </c>
      <c r="AP52" s="60">
        <f t="shared" si="89"/>
        <v>1293.5692311026119</v>
      </c>
      <c r="AQ52" s="60">
        <f t="shared" si="89"/>
        <v>1448.6082813741341</v>
      </c>
      <c r="AR52" s="60">
        <f t="shared" si="89"/>
        <v>359.50512320679769</v>
      </c>
      <c r="AS52" s="60">
        <f t="shared" si="89"/>
        <v>586.22682494699984</v>
      </c>
      <c r="AT52" s="60">
        <f t="shared" si="89"/>
        <v>1283.4891185727761</v>
      </c>
      <c r="AU52" s="60">
        <f t="shared" ref="AU52" si="90">IFERROR(AU17/$B52,0)</f>
        <v>1758.9409363122104</v>
      </c>
      <c r="AV52" s="60">
        <f t="shared" si="89"/>
        <v>309.98222414708755</v>
      </c>
      <c r="AW52" s="60">
        <f t="shared" si="89"/>
        <v>616.85578354269342</v>
      </c>
      <c r="AX52" s="60">
        <f t="shared" si="89"/>
        <v>725.88468062123911</v>
      </c>
      <c r="AY52" s="60">
        <f t="shared" si="89"/>
        <v>953.11886391166081</v>
      </c>
      <c r="AZ52" s="60">
        <f t="shared" si="89"/>
        <v>402.96587212101633</v>
      </c>
      <c r="BA52" s="60">
        <f t="shared" si="89"/>
        <v>145.53990493351418</v>
      </c>
      <c r="BB52" s="60">
        <f t="shared" si="89"/>
        <v>143.29309078853905</v>
      </c>
    </row>
    <row r="53" spans="1:54" x14ac:dyDescent="0.25">
      <c r="A53" s="190" t="s">
        <v>1088</v>
      </c>
      <c r="B53" s="191">
        <v>2.0000000000000001E-4</v>
      </c>
      <c r="C53" s="60">
        <f>IFERROR(C5/$B53,0)</f>
        <v>0</v>
      </c>
      <c r="D53" s="60">
        <f>IFERROR(D5/$B53,0)</f>
        <v>0</v>
      </c>
      <c r="E53" s="60">
        <f>IFERROR(E5/$B53,0)</f>
        <v>0</v>
      </c>
      <c r="F53" s="60">
        <f t="shared" ref="F53:AD53" si="91">IFERROR(F5/$B53,0)</f>
        <v>0</v>
      </c>
      <c r="G53" s="60">
        <f t="shared" si="91"/>
        <v>0</v>
      </c>
      <c r="H53" s="60">
        <f t="shared" si="91"/>
        <v>0</v>
      </c>
      <c r="I53" s="60">
        <f t="shared" si="91"/>
        <v>0</v>
      </c>
      <c r="J53" s="60">
        <f t="shared" si="91"/>
        <v>0</v>
      </c>
      <c r="K53" s="60">
        <f t="shared" si="91"/>
        <v>0</v>
      </c>
      <c r="L53" s="60">
        <f t="shared" si="91"/>
        <v>0</v>
      </c>
      <c r="M53" s="60">
        <f t="shared" si="91"/>
        <v>0</v>
      </c>
      <c r="N53" s="60">
        <f t="shared" si="91"/>
        <v>0</v>
      </c>
      <c r="O53" s="60">
        <f t="shared" si="91"/>
        <v>0</v>
      </c>
      <c r="P53" s="60">
        <f t="shared" si="91"/>
        <v>0</v>
      </c>
      <c r="Q53" s="60">
        <f t="shared" si="91"/>
        <v>0</v>
      </c>
      <c r="R53" s="60">
        <f t="shared" si="91"/>
        <v>0</v>
      </c>
      <c r="S53" s="60">
        <f t="shared" si="91"/>
        <v>0</v>
      </c>
      <c r="T53" s="60">
        <f t="shared" si="91"/>
        <v>0</v>
      </c>
      <c r="U53" s="60">
        <f t="shared" si="91"/>
        <v>0</v>
      </c>
      <c r="V53" s="60">
        <f t="shared" ref="V53:Z53" si="92">IFERROR(V5/$B53,0)</f>
        <v>0</v>
      </c>
      <c r="W53" s="60">
        <f t="shared" si="92"/>
        <v>0</v>
      </c>
      <c r="X53" s="60">
        <f t="shared" si="92"/>
        <v>0</v>
      </c>
      <c r="Y53" s="60">
        <f t="shared" si="92"/>
        <v>0</v>
      </c>
      <c r="Z53" s="60">
        <f t="shared" si="92"/>
        <v>0</v>
      </c>
      <c r="AA53" s="60">
        <f t="shared" si="91"/>
        <v>0</v>
      </c>
      <c r="AB53" s="60">
        <f t="shared" si="91"/>
        <v>0</v>
      </c>
      <c r="AC53" s="60">
        <f t="shared" si="91"/>
        <v>0</v>
      </c>
      <c r="AD53" s="60">
        <f t="shared" si="91"/>
        <v>0</v>
      </c>
      <c r="AE53" s="60">
        <f t="shared" ref="AE53:BB53" si="93">IFERROR(AE5/$B53,0)</f>
        <v>0</v>
      </c>
      <c r="AF53" s="60">
        <f t="shared" si="93"/>
        <v>0</v>
      </c>
      <c r="AG53" s="60">
        <f t="shared" si="93"/>
        <v>0</v>
      </c>
      <c r="AH53" s="60">
        <f t="shared" si="93"/>
        <v>0</v>
      </c>
      <c r="AI53" s="60">
        <f t="shared" si="93"/>
        <v>0</v>
      </c>
      <c r="AJ53" s="60">
        <f t="shared" si="93"/>
        <v>0</v>
      </c>
      <c r="AK53" s="60">
        <f t="shared" si="93"/>
        <v>0</v>
      </c>
      <c r="AL53" s="60">
        <f t="shared" si="93"/>
        <v>0</v>
      </c>
      <c r="AM53" s="60">
        <f t="shared" si="93"/>
        <v>0</v>
      </c>
      <c r="AN53" s="60">
        <f t="shared" si="93"/>
        <v>0</v>
      </c>
      <c r="AO53" s="60">
        <f t="shared" si="93"/>
        <v>0</v>
      </c>
      <c r="AP53" s="60">
        <f t="shared" si="93"/>
        <v>0</v>
      </c>
      <c r="AQ53" s="60">
        <f t="shared" si="93"/>
        <v>0</v>
      </c>
      <c r="AR53" s="60">
        <f t="shared" si="93"/>
        <v>0</v>
      </c>
      <c r="AS53" s="60">
        <f t="shared" si="93"/>
        <v>0</v>
      </c>
      <c r="AT53" s="60">
        <f t="shared" si="93"/>
        <v>0</v>
      </c>
      <c r="AU53" s="60">
        <f t="shared" ref="AU53" si="94">IFERROR(AU5/$B53,0)</f>
        <v>0</v>
      </c>
      <c r="AV53" s="60">
        <f t="shared" si="93"/>
        <v>0</v>
      </c>
      <c r="AW53" s="60">
        <f t="shared" si="93"/>
        <v>0</v>
      </c>
      <c r="AX53" s="60">
        <f t="shared" si="93"/>
        <v>0</v>
      </c>
      <c r="AY53" s="60">
        <f t="shared" si="93"/>
        <v>0</v>
      </c>
      <c r="AZ53" s="60">
        <f t="shared" si="93"/>
        <v>0</v>
      </c>
      <c r="BA53" s="60">
        <f t="shared" si="93"/>
        <v>0</v>
      </c>
      <c r="BB53" s="60">
        <f t="shared" si="93"/>
        <v>0</v>
      </c>
    </row>
    <row r="54" spans="1:54" x14ac:dyDescent="0.25">
      <c r="A54" s="190" t="s">
        <v>1089</v>
      </c>
      <c r="B54" s="191">
        <v>0.99999979999999999</v>
      </c>
      <c r="C54" s="60">
        <f>IFERROR(C9/$B54,0)</f>
        <v>42.944971812283967</v>
      </c>
      <c r="D54" s="60">
        <f>IFERROR(D9/$B54,0)</f>
        <v>780.68054971652157</v>
      </c>
      <c r="E54" s="60">
        <f>IFERROR(E9/$B54,0)</f>
        <v>1707.9205861098162</v>
      </c>
      <c r="F54" s="60">
        <f t="shared" ref="F54:AD54" si="95">IFERROR(F9/$B54,0)</f>
        <v>2059.7544468940905</v>
      </c>
      <c r="G54" s="60">
        <f t="shared" si="95"/>
        <v>1755.8355787548808</v>
      </c>
      <c r="H54" s="60">
        <f t="shared" si="95"/>
        <v>2154.4594304681978</v>
      </c>
      <c r="I54" s="60">
        <f t="shared" si="95"/>
        <v>841.32775285109312</v>
      </c>
      <c r="J54" s="60">
        <f t="shared" si="95"/>
        <v>2371.3273637624025</v>
      </c>
      <c r="K54" s="60">
        <f t="shared" si="95"/>
        <v>202.43306939785631</v>
      </c>
      <c r="L54" s="60">
        <f t="shared" si="95"/>
        <v>1110.1924900710942</v>
      </c>
      <c r="M54" s="60">
        <f t="shared" si="95"/>
        <v>832.1170842674718</v>
      </c>
      <c r="N54" s="60">
        <f t="shared" si="95"/>
        <v>1854.1257230545452</v>
      </c>
      <c r="O54" s="60">
        <f t="shared" si="95"/>
        <v>1808.0243750837305</v>
      </c>
      <c r="P54" s="60">
        <f t="shared" si="95"/>
        <v>2245.1692570623077</v>
      </c>
      <c r="Q54" s="60">
        <f t="shared" si="95"/>
        <v>3204.9095655491001</v>
      </c>
      <c r="R54" s="60">
        <f t="shared" si="95"/>
        <v>501.20114611975237</v>
      </c>
      <c r="S54" s="60">
        <f t="shared" si="95"/>
        <v>1022.4217292639578</v>
      </c>
      <c r="T54" s="60">
        <f t="shared" si="95"/>
        <v>1784.307118725211</v>
      </c>
      <c r="U54" s="60">
        <f t="shared" si="95"/>
        <v>3536.2990671158022</v>
      </c>
      <c r="V54" s="60">
        <f t="shared" ref="V54:Z54" si="96">IFERROR(V9/$B54,0)</f>
        <v>524.94223523497453</v>
      </c>
      <c r="W54" s="60">
        <f t="shared" si="96"/>
        <v>1067.744741370049</v>
      </c>
      <c r="X54" s="60">
        <f t="shared" si="96"/>
        <v>1168.9018945388743</v>
      </c>
      <c r="Y54" s="60">
        <f t="shared" si="96"/>
        <v>1526.8070157545515</v>
      </c>
      <c r="Z54" s="60">
        <f t="shared" si="96"/>
        <v>813.703280417173</v>
      </c>
      <c r="AA54" s="60">
        <f t="shared" si="95"/>
        <v>353.88260598965843</v>
      </c>
      <c r="AB54" s="60">
        <f t="shared" si="95"/>
        <v>405.8405342613321</v>
      </c>
      <c r="AC54" s="60">
        <f t="shared" si="95"/>
        <v>26.252288143982526</v>
      </c>
      <c r="AD54" s="60">
        <f t="shared" si="95"/>
        <v>441.23212699252997</v>
      </c>
      <c r="AE54" s="60">
        <f t="shared" ref="AE54:BB54" si="97">IFERROR(AE9/$B54,0)</f>
        <v>1039.6555895653148</v>
      </c>
      <c r="AF54" s="60">
        <f t="shared" si="97"/>
        <v>1236.9461011540491</v>
      </c>
      <c r="AG54" s="60">
        <f t="shared" si="97"/>
        <v>1111.0697268842359</v>
      </c>
      <c r="AH54" s="60">
        <f t="shared" si="97"/>
        <v>1189.5957694910128</v>
      </c>
      <c r="AI54" s="60">
        <f t="shared" si="97"/>
        <v>538.64421822116935</v>
      </c>
      <c r="AJ54" s="60">
        <f t="shared" si="97"/>
        <v>1642.3308872567181</v>
      </c>
      <c r="AK54" s="60">
        <f t="shared" si="97"/>
        <v>127.91644412667151</v>
      </c>
      <c r="AL54" s="60">
        <f t="shared" si="97"/>
        <v>500.23836050435887</v>
      </c>
      <c r="AM54" s="60">
        <f t="shared" si="97"/>
        <v>759.51228471369211</v>
      </c>
      <c r="AN54" s="60">
        <f t="shared" si="97"/>
        <v>1102.9431047723929</v>
      </c>
      <c r="AO54" s="60">
        <f t="shared" si="97"/>
        <v>1140.0433939108061</v>
      </c>
      <c r="AP54" s="60">
        <f t="shared" si="97"/>
        <v>1368.5233526533916</v>
      </c>
      <c r="AQ54" s="60">
        <f t="shared" si="97"/>
        <v>1532.6396545484497</v>
      </c>
      <c r="AR54" s="60">
        <f t="shared" si="97"/>
        <v>364.18054265019464</v>
      </c>
      <c r="AS54" s="60">
        <f t="shared" si="97"/>
        <v>593.87440256434456</v>
      </c>
      <c r="AT54" s="60">
        <f t="shared" si="97"/>
        <v>1245.7946427195739</v>
      </c>
      <c r="AU54" s="60">
        <f t="shared" ref="AU54" si="98">IFERROR(AU9/$B54,0)</f>
        <v>1722.3468268543011</v>
      </c>
      <c r="AV54" s="60">
        <f t="shared" si="97"/>
        <v>290.27396207264587</v>
      </c>
      <c r="AW54" s="60">
        <f t="shared" si="97"/>
        <v>652.54700054336138</v>
      </c>
      <c r="AX54" s="60">
        <f t="shared" si="97"/>
        <v>719.04897304786186</v>
      </c>
      <c r="AY54" s="60">
        <f t="shared" si="97"/>
        <v>965.24553797864428</v>
      </c>
      <c r="AZ54" s="60">
        <f t="shared" si="97"/>
        <v>428.88570213337027</v>
      </c>
      <c r="BA54" s="60">
        <f t="shared" si="97"/>
        <v>207.19585732006848</v>
      </c>
      <c r="BB54" s="60">
        <f t="shared" si="97"/>
        <v>210.20077863816019</v>
      </c>
    </row>
    <row r="55" spans="1:54" x14ac:dyDescent="0.25">
      <c r="A55" s="190" t="s">
        <v>1090</v>
      </c>
      <c r="B55" s="191">
        <v>1.9999999999999999E-7</v>
      </c>
      <c r="C55" s="60">
        <f>IFERROR(C24/$B55,0)</f>
        <v>0</v>
      </c>
      <c r="D55" s="60">
        <f>IFERROR(D24/$B55,0)</f>
        <v>0</v>
      </c>
      <c r="E55" s="60">
        <f>IFERROR(E24/$B55,0)</f>
        <v>0</v>
      </c>
      <c r="F55" s="60">
        <f t="shared" ref="F55:AD55" si="99">IFERROR(F24/$B55,0)</f>
        <v>0</v>
      </c>
      <c r="G55" s="60">
        <f t="shared" si="99"/>
        <v>0</v>
      </c>
      <c r="H55" s="60">
        <f t="shared" si="99"/>
        <v>0</v>
      </c>
      <c r="I55" s="60">
        <f t="shared" si="99"/>
        <v>0</v>
      </c>
      <c r="J55" s="60">
        <f t="shared" si="99"/>
        <v>0</v>
      </c>
      <c r="K55" s="60">
        <f t="shared" si="99"/>
        <v>0</v>
      </c>
      <c r="L55" s="60">
        <f t="shared" si="99"/>
        <v>0</v>
      </c>
      <c r="M55" s="60">
        <f t="shared" si="99"/>
        <v>0</v>
      </c>
      <c r="N55" s="60">
        <f t="shared" si="99"/>
        <v>0</v>
      </c>
      <c r="O55" s="60">
        <f t="shared" si="99"/>
        <v>0</v>
      </c>
      <c r="P55" s="60">
        <f t="shared" si="99"/>
        <v>0</v>
      </c>
      <c r="Q55" s="60">
        <f t="shared" si="99"/>
        <v>0</v>
      </c>
      <c r="R55" s="60">
        <f t="shared" si="99"/>
        <v>0</v>
      </c>
      <c r="S55" s="60">
        <f t="shared" si="99"/>
        <v>0</v>
      </c>
      <c r="T55" s="60">
        <f t="shared" si="99"/>
        <v>0</v>
      </c>
      <c r="U55" s="60">
        <f t="shared" si="99"/>
        <v>0</v>
      </c>
      <c r="V55" s="60">
        <f t="shared" ref="V55:Z55" si="100">IFERROR(V24/$B55,0)</f>
        <v>0</v>
      </c>
      <c r="W55" s="60">
        <f t="shared" si="100"/>
        <v>0</v>
      </c>
      <c r="X55" s="60">
        <f t="shared" si="100"/>
        <v>0</v>
      </c>
      <c r="Y55" s="60">
        <f t="shared" si="100"/>
        <v>0</v>
      </c>
      <c r="Z55" s="60">
        <f t="shared" si="100"/>
        <v>0</v>
      </c>
      <c r="AA55" s="60">
        <f t="shared" si="99"/>
        <v>0</v>
      </c>
      <c r="AB55" s="60">
        <f t="shared" si="99"/>
        <v>0</v>
      </c>
      <c r="AC55" s="60">
        <f t="shared" si="99"/>
        <v>0</v>
      </c>
      <c r="AD55" s="60">
        <f t="shared" si="99"/>
        <v>0</v>
      </c>
      <c r="AE55" s="60">
        <f t="shared" ref="AE55:BB55" si="101">IFERROR(AE24/$B55,0)</f>
        <v>0</v>
      </c>
      <c r="AF55" s="60">
        <f t="shared" si="101"/>
        <v>0</v>
      </c>
      <c r="AG55" s="60">
        <f t="shared" si="101"/>
        <v>0</v>
      </c>
      <c r="AH55" s="60">
        <f t="shared" si="101"/>
        <v>0</v>
      </c>
      <c r="AI55" s="60">
        <f t="shared" si="101"/>
        <v>0</v>
      </c>
      <c r="AJ55" s="60">
        <f t="shared" si="101"/>
        <v>0</v>
      </c>
      <c r="AK55" s="60">
        <f t="shared" si="101"/>
        <v>0</v>
      </c>
      <c r="AL55" s="60">
        <f t="shared" si="101"/>
        <v>0</v>
      </c>
      <c r="AM55" s="60">
        <f t="shared" si="101"/>
        <v>0</v>
      </c>
      <c r="AN55" s="60">
        <f t="shared" si="101"/>
        <v>0</v>
      </c>
      <c r="AO55" s="60">
        <f t="shared" si="101"/>
        <v>0</v>
      </c>
      <c r="AP55" s="60">
        <f t="shared" si="101"/>
        <v>0</v>
      </c>
      <c r="AQ55" s="60">
        <f t="shared" si="101"/>
        <v>0</v>
      </c>
      <c r="AR55" s="60">
        <f t="shared" si="101"/>
        <v>0</v>
      </c>
      <c r="AS55" s="60">
        <f t="shared" si="101"/>
        <v>0</v>
      </c>
      <c r="AT55" s="60">
        <f t="shared" si="101"/>
        <v>0</v>
      </c>
      <c r="AU55" s="60">
        <f t="shared" ref="AU55" si="102">IFERROR(AU24/$B55,0)</f>
        <v>0</v>
      </c>
      <c r="AV55" s="60">
        <f t="shared" si="101"/>
        <v>0</v>
      </c>
      <c r="AW55" s="60">
        <f t="shared" si="101"/>
        <v>0</v>
      </c>
      <c r="AX55" s="60">
        <f t="shared" si="101"/>
        <v>0</v>
      </c>
      <c r="AY55" s="60">
        <f t="shared" si="101"/>
        <v>0</v>
      </c>
      <c r="AZ55" s="60">
        <f t="shared" si="101"/>
        <v>0</v>
      </c>
      <c r="BA55" s="60">
        <f t="shared" si="101"/>
        <v>0</v>
      </c>
      <c r="BB55" s="60">
        <f t="shared" si="101"/>
        <v>0</v>
      </c>
    </row>
    <row r="56" spans="1:54" x14ac:dyDescent="0.25">
      <c r="A56" s="190" t="s">
        <v>1091</v>
      </c>
      <c r="B56" s="191">
        <v>0.99979000004200003</v>
      </c>
      <c r="C56" s="60">
        <f>IFERROR(C20/$B56,0)</f>
        <v>0</v>
      </c>
      <c r="D56" s="60">
        <f>IFERROR(D20/$B56,0)</f>
        <v>0</v>
      </c>
      <c r="E56" s="60">
        <f>IFERROR(E20/$B56,0)</f>
        <v>0</v>
      </c>
      <c r="F56" s="60">
        <f t="shared" ref="F56:AD56" si="103">IFERROR(F20/$B56,0)</f>
        <v>0</v>
      </c>
      <c r="G56" s="60">
        <f t="shared" si="103"/>
        <v>0</v>
      </c>
      <c r="H56" s="60">
        <f t="shared" si="103"/>
        <v>0</v>
      </c>
      <c r="I56" s="60">
        <f t="shared" si="103"/>
        <v>0</v>
      </c>
      <c r="J56" s="60">
        <f t="shared" si="103"/>
        <v>0</v>
      </c>
      <c r="K56" s="60">
        <f t="shared" si="103"/>
        <v>0</v>
      </c>
      <c r="L56" s="60">
        <f t="shared" si="103"/>
        <v>0</v>
      </c>
      <c r="M56" s="60">
        <f t="shared" si="103"/>
        <v>0</v>
      </c>
      <c r="N56" s="60">
        <f t="shared" si="103"/>
        <v>0</v>
      </c>
      <c r="O56" s="60">
        <f t="shared" si="103"/>
        <v>0</v>
      </c>
      <c r="P56" s="60">
        <f t="shared" si="103"/>
        <v>0</v>
      </c>
      <c r="Q56" s="60">
        <f t="shared" si="103"/>
        <v>0</v>
      </c>
      <c r="R56" s="60">
        <f t="shared" si="103"/>
        <v>0</v>
      </c>
      <c r="S56" s="60">
        <f t="shared" si="103"/>
        <v>0</v>
      </c>
      <c r="T56" s="60">
        <f t="shared" si="103"/>
        <v>0</v>
      </c>
      <c r="U56" s="60">
        <f t="shared" si="103"/>
        <v>0</v>
      </c>
      <c r="V56" s="60">
        <f t="shared" ref="V56:Z56" si="104">IFERROR(V20/$B56,0)</f>
        <v>0</v>
      </c>
      <c r="W56" s="60">
        <f t="shared" si="104"/>
        <v>0</v>
      </c>
      <c r="X56" s="60">
        <f t="shared" si="104"/>
        <v>0</v>
      </c>
      <c r="Y56" s="60">
        <f t="shared" si="104"/>
        <v>0</v>
      </c>
      <c r="Z56" s="60">
        <f t="shared" si="104"/>
        <v>0</v>
      </c>
      <c r="AA56" s="60">
        <f t="shared" si="103"/>
        <v>0</v>
      </c>
      <c r="AB56" s="60">
        <f t="shared" si="103"/>
        <v>0</v>
      </c>
      <c r="AC56" s="60">
        <f t="shared" si="103"/>
        <v>0</v>
      </c>
      <c r="AD56" s="60">
        <f t="shared" si="103"/>
        <v>0</v>
      </c>
      <c r="AE56" s="60">
        <f t="shared" ref="AE56:BB56" si="105">IFERROR(AE20/$B56,0)</f>
        <v>0</v>
      </c>
      <c r="AF56" s="60">
        <f t="shared" si="105"/>
        <v>0</v>
      </c>
      <c r="AG56" s="60">
        <f t="shared" si="105"/>
        <v>0</v>
      </c>
      <c r="AH56" s="60">
        <f t="shared" si="105"/>
        <v>0</v>
      </c>
      <c r="AI56" s="60">
        <f t="shared" si="105"/>
        <v>0</v>
      </c>
      <c r="AJ56" s="60">
        <f t="shared" si="105"/>
        <v>0</v>
      </c>
      <c r="AK56" s="60">
        <f t="shared" si="105"/>
        <v>0</v>
      </c>
      <c r="AL56" s="60">
        <f t="shared" si="105"/>
        <v>0</v>
      </c>
      <c r="AM56" s="60">
        <f t="shared" si="105"/>
        <v>0</v>
      </c>
      <c r="AN56" s="60">
        <f t="shared" si="105"/>
        <v>0</v>
      </c>
      <c r="AO56" s="60">
        <f t="shared" si="105"/>
        <v>0</v>
      </c>
      <c r="AP56" s="60">
        <f t="shared" si="105"/>
        <v>0</v>
      </c>
      <c r="AQ56" s="60">
        <f t="shared" si="105"/>
        <v>0</v>
      </c>
      <c r="AR56" s="60">
        <f t="shared" si="105"/>
        <v>0</v>
      </c>
      <c r="AS56" s="60">
        <f t="shared" si="105"/>
        <v>0</v>
      </c>
      <c r="AT56" s="60">
        <f t="shared" si="105"/>
        <v>0</v>
      </c>
      <c r="AU56" s="60">
        <f t="shared" ref="AU56" si="106">IFERROR(AU20/$B56,0)</f>
        <v>0</v>
      </c>
      <c r="AV56" s="60">
        <f t="shared" si="105"/>
        <v>0</v>
      </c>
      <c r="AW56" s="60">
        <f t="shared" si="105"/>
        <v>0</v>
      </c>
      <c r="AX56" s="60">
        <f t="shared" si="105"/>
        <v>0</v>
      </c>
      <c r="AY56" s="60">
        <f t="shared" si="105"/>
        <v>0</v>
      </c>
      <c r="AZ56" s="60">
        <f t="shared" si="105"/>
        <v>0</v>
      </c>
      <c r="BA56" s="60">
        <f t="shared" si="105"/>
        <v>0</v>
      </c>
      <c r="BB56" s="60">
        <f t="shared" si="105"/>
        <v>0</v>
      </c>
    </row>
    <row r="57" spans="1:54" x14ac:dyDescent="0.25">
      <c r="A57" s="190" t="s">
        <v>1092</v>
      </c>
      <c r="B57" s="191">
        <v>2.0999995799999999E-4</v>
      </c>
      <c r="C57" s="60">
        <f>IFERROR(C29/$B57,0)</f>
        <v>0</v>
      </c>
      <c r="D57" s="60">
        <f>IFERROR(D29/$B57,0)</f>
        <v>0</v>
      </c>
      <c r="E57" s="60">
        <f>IFERROR(E29/$B57,0)</f>
        <v>0</v>
      </c>
      <c r="F57" s="60">
        <f t="shared" ref="F57:AD57" si="107">IFERROR(F29/$B57,0)</f>
        <v>0</v>
      </c>
      <c r="G57" s="60">
        <f t="shared" si="107"/>
        <v>0</v>
      </c>
      <c r="H57" s="60">
        <f t="shared" si="107"/>
        <v>0</v>
      </c>
      <c r="I57" s="60">
        <f t="shared" si="107"/>
        <v>0</v>
      </c>
      <c r="J57" s="60">
        <f t="shared" si="107"/>
        <v>0</v>
      </c>
      <c r="K57" s="60">
        <f t="shared" si="107"/>
        <v>0</v>
      </c>
      <c r="L57" s="60">
        <f t="shared" si="107"/>
        <v>0</v>
      </c>
      <c r="M57" s="60">
        <f t="shared" si="107"/>
        <v>0</v>
      </c>
      <c r="N57" s="60">
        <f t="shared" si="107"/>
        <v>0</v>
      </c>
      <c r="O57" s="60">
        <f t="shared" si="107"/>
        <v>0</v>
      </c>
      <c r="P57" s="60">
        <f t="shared" si="107"/>
        <v>0</v>
      </c>
      <c r="Q57" s="60">
        <f t="shared" si="107"/>
        <v>0</v>
      </c>
      <c r="R57" s="60">
        <f t="shared" si="107"/>
        <v>0</v>
      </c>
      <c r="S57" s="60">
        <f t="shared" si="107"/>
        <v>0</v>
      </c>
      <c r="T57" s="60">
        <f t="shared" si="107"/>
        <v>0</v>
      </c>
      <c r="U57" s="60">
        <f t="shared" si="107"/>
        <v>0</v>
      </c>
      <c r="V57" s="60">
        <f t="shared" ref="V57:Z57" si="108">IFERROR(V29/$B57,0)</f>
        <v>0</v>
      </c>
      <c r="W57" s="60">
        <f t="shared" si="108"/>
        <v>0</v>
      </c>
      <c r="X57" s="60">
        <f t="shared" si="108"/>
        <v>0</v>
      </c>
      <c r="Y57" s="60">
        <f t="shared" si="108"/>
        <v>0</v>
      </c>
      <c r="Z57" s="60">
        <f t="shared" si="108"/>
        <v>0</v>
      </c>
      <c r="AA57" s="60">
        <f t="shared" si="107"/>
        <v>0</v>
      </c>
      <c r="AB57" s="60">
        <f t="shared" si="107"/>
        <v>0</v>
      </c>
      <c r="AC57" s="60">
        <f t="shared" si="107"/>
        <v>0</v>
      </c>
      <c r="AD57" s="60">
        <f t="shared" si="107"/>
        <v>0</v>
      </c>
      <c r="AE57" s="60">
        <f t="shared" ref="AE57:BB57" si="109">IFERROR(AE29/$B57,0)</f>
        <v>0</v>
      </c>
      <c r="AF57" s="60">
        <f t="shared" si="109"/>
        <v>0</v>
      </c>
      <c r="AG57" s="60">
        <f t="shared" si="109"/>
        <v>0</v>
      </c>
      <c r="AH57" s="60">
        <f t="shared" si="109"/>
        <v>0</v>
      </c>
      <c r="AI57" s="60">
        <f t="shared" si="109"/>
        <v>0</v>
      </c>
      <c r="AJ57" s="60">
        <f t="shared" si="109"/>
        <v>0</v>
      </c>
      <c r="AK57" s="60">
        <f t="shared" si="109"/>
        <v>0</v>
      </c>
      <c r="AL57" s="60">
        <f t="shared" si="109"/>
        <v>0</v>
      </c>
      <c r="AM57" s="60">
        <f t="shared" si="109"/>
        <v>0</v>
      </c>
      <c r="AN57" s="60">
        <f t="shared" si="109"/>
        <v>0</v>
      </c>
      <c r="AO57" s="60">
        <f t="shared" si="109"/>
        <v>0</v>
      </c>
      <c r="AP57" s="60">
        <f t="shared" si="109"/>
        <v>0</v>
      </c>
      <c r="AQ57" s="60">
        <f t="shared" si="109"/>
        <v>0</v>
      </c>
      <c r="AR57" s="60">
        <f t="shared" si="109"/>
        <v>0</v>
      </c>
      <c r="AS57" s="60">
        <f t="shared" si="109"/>
        <v>0</v>
      </c>
      <c r="AT57" s="60">
        <f t="shared" si="109"/>
        <v>0</v>
      </c>
      <c r="AU57" s="60">
        <f t="shared" ref="AU57" si="110">IFERROR(AU29/$B57,0)</f>
        <v>0</v>
      </c>
      <c r="AV57" s="60">
        <f t="shared" si="109"/>
        <v>0</v>
      </c>
      <c r="AW57" s="60">
        <f t="shared" si="109"/>
        <v>0</v>
      </c>
      <c r="AX57" s="60">
        <f t="shared" si="109"/>
        <v>0</v>
      </c>
      <c r="AY57" s="60">
        <f t="shared" si="109"/>
        <v>0</v>
      </c>
      <c r="AZ57" s="60">
        <f t="shared" si="109"/>
        <v>0</v>
      </c>
      <c r="BA57" s="60">
        <f t="shared" si="109"/>
        <v>0</v>
      </c>
      <c r="BB57" s="60">
        <f t="shared" si="109"/>
        <v>0</v>
      </c>
    </row>
    <row r="58" spans="1:54" x14ac:dyDescent="0.25">
      <c r="A58" s="190" t="s">
        <v>1093</v>
      </c>
      <c r="B58" s="191">
        <v>1</v>
      </c>
      <c r="C58" s="60">
        <f>IFERROR(C16/$B58,0)</f>
        <v>1.645504735421115E-2</v>
      </c>
      <c r="D58" s="60">
        <f>IFERROR(D16/$B58,0)</f>
        <v>0.31739621842388793</v>
      </c>
      <c r="E58" s="60">
        <f>IFERROR(E16/$B58,0)</f>
        <v>0.4274107922735827</v>
      </c>
      <c r="F58" s="60">
        <f t="shared" ref="F58:AD58" si="111">IFERROR(F16/$B58,0)</f>
        <v>0.8017143087607399</v>
      </c>
      <c r="G58" s="60">
        <f t="shared" si="111"/>
        <v>0.71384163772494891</v>
      </c>
      <c r="H58" s="60">
        <f t="shared" si="111"/>
        <v>0.83596689234596711</v>
      </c>
      <c r="I58" s="60">
        <f t="shared" si="111"/>
        <v>0.21054109749707559</v>
      </c>
      <c r="J58" s="60">
        <f t="shared" si="111"/>
        <v>0.9231233290517149</v>
      </c>
      <c r="K58" s="60">
        <f t="shared" si="111"/>
        <v>8.2302879135207882E-2</v>
      </c>
      <c r="L58" s="60">
        <f t="shared" si="111"/>
        <v>0.48986601165760368</v>
      </c>
      <c r="M58" s="60">
        <f t="shared" si="111"/>
        <v>0.32399754971921463</v>
      </c>
      <c r="N58" s="60">
        <f t="shared" si="111"/>
        <v>0.46084307902692551</v>
      </c>
      <c r="O58" s="60">
        <f t="shared" si="111"/>
        <v>0.75537136010220896</v>
      </c>
      <c r="P58" s="60">
        <f t="shared" si="111"/>
        <v>0.87406525942468605</v>
      </c>
      <c r="Q58" s="60">
        <f t="shared" si="111"/>
        <v>1.2476247829255021</v>
      </c>
      <c r="R58" s="60">
        <f t="shared" si="111"/>
        <v>0.2037781938370451</v>
      </c>
      <c r="S58" s="60">
        <f t="shared" si="111"/>
        <v>0.41567935901647424</v>
      </c>
      <c r="T58" s="60">
        <f t="shared" si="111"/>
        <v>0.75713382434109211</v>
      </c>
      <c r="U58" s="60">
        <f t="shared" si="111"/>
        <v>1.4874313878708836</v>
      </c>
      <c r="V58" s="60">
        <f t="shared" ref="V58:Z58" si="112">IFERROR(V16/$B58,0)</f>
        <v>0.23088596471027834</v>
      </c>
      <c r="W58" s="60">
        <f t="shared" si="112"/>
        <v>0.41571585893436896</v>
      </c>
      <c r="X58" s="60">
        <f t="shared" si="112"/>
        <v>0.48600924569462928</v>
      </c>
      <c r="Y58" s="60">
        <f t="shared" si="112"/>
        <v>0.62094154420441083</v>
      </c>
      <c r="Z58" s="60">
        <f t="shared" si="112"/>
        <v>0.3148836226184672</v>
      </c>
      <c r="AA58" s="60">
        <f t="shared" si="111"/>
        <v>0.10238057017524839</v>
      </c>
      <c r="AB58" s="60">
        <f t="shared" si="111"/>
        <v>0.11394720032468732</v>
      </c>
      <c r="AC58" s="60">
        <f t="shared" si="111"/>
        <v>1.0085503819696409E-2</v>
      </c>
      <c r="AD58" s="60">
        <f t="shared" si="111"/>
        <v>0.17938887885116472</v>
      </c>
      <c r="AE58" s="60">
        <f t="shared" ref="AE58:BB58" si="113">IFERROR(AE16/$B58,0)</f>
        <v>0.26017604263433725</v>
      </c>
      <c r="AF58" s="60">
        <f t="shared" si="113"/>
        <v>0.48145418011179131</v>
      </c>
      <c r="AG58" s="60">
        <f t="shared" si="113"/>
        <v>0.45170962649480362</v>
      </c>
      <c r="AH58" s="60">
        <f t="shared" si="113"/>
        <v>0.46158338583948133</v>
      </c>
      <c r="AI58" s="60">
        <f t="shared" si="113"/>
        <v>0.13479496484030901</v>
      </c>
      <c r="AJ58" s="60">
        <f t="shared" si="113"/>
        <v>0.6393355802395162</v>
      </c>
      <c r="AK58" s="60">
        <f t="shared" si="113"/>
        <v>5.2006777705236443E-2</v>
      </c>
      <c r="AL58" s="60">
        <f t="shared" si="113"/>
        <v>0.22072728173716652</v>
      </c>
      <c r="AM58" s="60">
        <f t="shared" si="113"/>
        <v>0.29572775740508644</v>
      </c>
      <c r="AN58" s="60">
        <f t="shared" si="113"/>
        <v>0.27413658635697252</v>
      </c>
      <c r="AO58" s="60">
        <f t="shared" si="113"/>
        <v>0.47629674737878652</v>
      </c>
      <c r="AP58" s="60">
        <f t="shared" si="113"/>
        <v>0.53277886088234994</v>
      </c>
      <c r="AQ58" s="60">
        <f t="shared" si="113"/>
        <v>0.59663437522968421</v>
      </c>
      <c r="AR58" s="60">
        <f t="shared" si="113"/>
        <v>0.14806840284862419</v>
      </c>
      <c r="AS58" s="60">
        <f t="shared" si="113"/>
        <v>0.24144765699762072</v>
      </c>
      <c r="AT58" s="60">
        <f t="shared" si="113"/>
        <v>0.52862719219536813</v>
      </c>
      <c r="AU58" s="60">
        <f t="shared" ref="AU58" si="114">IFERROR(AU16/$B58,0)</f>
        <v>0.72445024655461709</v>
      </c>
      <c r="AV58" s="60">
        <f t="shared" si="113"/>
        <v>0.12767154034275419</v>
      </c>
      <c r="AW58" s="60">
        <f t="shared" si="113"/>
        <v>0.25406272334139629</v>
      </c>
      <c r="AX58" s="60">
        <f t="shared" si="113"/>
        <v>0.29896816032311346</v>
      </c>
      <c r="AY58" s="60">
        <f t="shared" si="113"/>
        <v>0.39255848886224243</v>
      </c>
      <c r="AZ58" s="60">
        <f t="shared" si="113"/>
        <v>0.16596846396856471</v>
      </c>
      <c r="BA58" s="60">
        <f t="shared" si="113"/>
        <v>5.9943127046481443E-2</v>
      </c>
      <c r="BB58" s="60">
        <f t="shared" si="113"/>
        <v>5.9017737780880354E-2</v>
      </c>
    </row>
    <row r="59" spans="1:54" x14ac:dyDescent="0.25">
      <c r="A59" s="190" t="s">
        <v>1094</v>
      </c>
      <c r="B59" s="191">
        <v>1</v>
      </c>
      <c r="C59" s="60">
        <f>IFERROR(C7/$B59,0)</f>
        <v>0.87475962020166631</v>
      </c>
      <c r="D59" s="60">
        <f>IFERROR(D7/$B59,0)</f>
        <v>15.901927335146455</v>
      </c>
      <c r="E59" s="60">
        <f>IFERROR(E7/$B59,0)</f>
        <v>34.789170889912683</v>
      </c>
      <c r="F59" s="60">
        <f t="shared" ref="F59:AD59" si="115">IFERROR(F7/$B59,0)</f>
        <v>41.955785314041918</v>
      </c>
      <c r="G59" s="60">
        <f t="shared" si="115"/>
        <v>35.765166425580325</v>
      </c>
      <c r="H59" s="60">
        <f t="shared" si="115"/>
        <v>43.884860872051583</v>
      </c>
      <c r="I59" s="60">
        <f t="shared" si="115"/>
        <v>17.137269265563468</v>
      </c>
      <c r="J59" s="60">
        <f t="shared" si="115"/>
        <v>48.302311925264171</v>
      </c>
      <c r="K59" s="60">
        <f t="shared" si="115"/>
        <v>4.1234227764022968</v>
      </c>
      <c r="L59" s="60">
        <f t="shared" si="115"/>
        <v>22.613859550550323</v>
      </c>
      <c r="M59" s="60">
        <f t="shared" si="115"/>
        <v>16.949654264039413</v>
      </c>
      <c r="N59" s="60">
        <f t="shared" si="115"/>
        <v>37.767269248536373</v>
      </c>
      <c r="O59" s="60">
        <f t="shared" si="115"/>
        <v>36.828216410918735</v>
      </c>
      <c r="P59" s="60">
        <f t="shared" si="115"/>
        <v>45.73255782262509</v>
      </c>
      <c r="Q59" s="60">
        <f t="shared" si="115"/>
        <v>65.281809628257761</v>
      </c>
      <c r="R59" s="60">
        <f t="shared" si="115"/>
        <v>10.20912357658006</v>
      </c>
      <c r="S59" s="60">
        <f t="shared" si="115"/>
        <v>20.826029354175621</v>
      </c>
      <c r="T59" s="60">
        <f t="shared" si="115"/>
        <v>36.345112166373163</v>
      </c>
      <c r="U59" s="60">
        <f t="shared" si="115"/>
        <v>72.031986477748418</v>
      </c>
      <c r="V59" s="60">
        <f t="shared" ref="V59:Z59" si="116">IFERROR(V7/$B59,0)</f>
        <v>10.692713278032958</v>
      </c>
      <c r="W59" s="60">
        <f t="shared" si="116"/>
        <v>21.749228024083223</v>
      </c>
      <c r="X59" s="60">
        <f t="shared" si="116"/>
        <v>23.809729851245493</v>
      </c>
      <c r="Y59" s="60">
        <f t="shared" si="116"/>
        <v>31.100011686133172</v>
      </c>
      <c r="Z59" s="60">
        <f t="shared" si="116"/>
        <v>16.57457770949042</v>
      </c>
      <c r="AA59" s="60">
        <f t="shared" si="115"/>
        <v>7.2083459587448697</v>
      </c>
      <c r="AB59" s="60">
        <f t="shared" si="115"/>
        <v>8.2666933201091641</v>
      </c>
      <c r="AC59" s="60">
        <f t="shared" si="115"/>
        <v>0.53474110325731117</v>
      </c>
      <c r="AD59" s="60">
        <f t="shared" si="115"/>
        <v>8.9875957892317349</v>
      </c>
      <c r="AE59" s="60">
        <f t="shared" ref="AE59:BB59" si="117">IFERROR(AE7/$B59,0)</f>
        <v>21.17707126794657</v>
      </c>
      <c r="AF59" s="60">
        <f t="shared" si="117"/>
        <v>25.195743669016544</v>
      </c>
      <c r="AG59" s="60">
        <f t="shared" si="117"/>
        <v>22.631728262744272</v>
      </c>
      <c r="AH59" s="60">
        <f t="shared" si="117"/>
        <v>24.231249890256333</v>
      </c>
      <c r="AI59" s="60">
        <f t="shared" si="117"/>
        <v>10.971813273380613</v>
      </c>
      <c r="AJ59" s="60">
        <f t="shared" si="117"/>
        <v>33.453153711727772</v>
      </c>
      <c r="AK59" s="60">
        <f t="shared" si="117"/>
        <v>2.6055702299887895</v>
      </c>
      <c r="AL59" s="60">
        <f t="shared" si="117"/>
        <v>10.189512293961489</v>
      </c>
      <c r="AM59" s="60">
        <f t="shared" si="117"/>
        <v>15.470744296183399</v>
      </c>
      <c r="AN59" s="60">
        <f t="shared" si="117"/>
        <v>22.466194544311492</v>
      </c>
      <c r="AO59" s="60">
        <f t="shared" si="117"/>
        <v>23.221901987267771</v>
      </c>
      <c r="AP59" s="60">
        <f t="shared" si="117"/>
        <v>27.875882034267985</v>
      </c>
      <c r="AQ59" s="60">
        <f t="shared" si="117"/>
        <v>31.218818537804321</v>
      </c>
      <c r="AR59" s="60">
        <f t="shared" si="117"/>
        <v>7.4181078652471539</v>
      </c>
      <c r="AS59" s="60">
        <f t="shared" si="117"/>
        <v>12.09681424650698</v>
      </c>
      <c r="AT59" s="60">
        <f t="shared" si="117"/>
        <v>25.375982391562012</v>
      </c>
      <c r="AU59" s="60">
        <f t="shared" ref="AU59" si="118">IFERROR(AU7/$B59,0)</f>
        <v>35.083023519034064</v>
      </c>
      <c r="AV59" s="60">
        <f t="shared" si="117"/>
        <v>5.91268151081821</v>
      </c>
      <c r="AW59" s="60">
        <f t="shared" si="117"/>
        <v>13.291934824271312</v>
      </c>
      <c r="AX59" s="60">
        <f t="shared" si="117"/>
        <v>14.646534391014042</v>
      </c>
      <c r="AY59" s="60">
        <f t="shared" si="117"/>
        <v>19.661389554388577</v>
      </c>
      <c r="AZ59" s="60">
        <f t="shared" si="117"/>
        <v>8.7361075831652499</v>
      </c>
      <c r="BA59" s="60">
        <f t="shared" si="117"/>
        <v>4.2204374996194094</v>
      </c>
      <c r="BB59" s="60">
        <f t="shared" si="117"/>
        <v>4.2816456858173062</v>
      </c>
    </row>
    <row r="60" spans="1:54" x14ac:dyDescent="0.25">
      <c r="A60" s="190" t="s">
        <v>1095</v>
      </c>
      <c r="B60" s="194">
        <v>1.9000000000000001E-8</v>
      </c>
      <c r="C60" s="60">
        <f>IFERROR(C12/$B60,0)</f>
        <v>0</v>
      </c>
      <c r="D60" s="60">
        <f>IFERROR(D12/$B60,0)</f>
        <v>0</v>
      </c>
      <c r="E60" s="60">
        <f>IFERROR(E12/$B60,0)</f>
        <v>0</v>
      </c>
      <c r="F60" s="60">
        <f t="shared" ref="F60:AD60" si="119">IFERROR(F12/$B60,0)</f>
        <v>0</v>
      </c>
      <c r="G60" s="60">
        <f t="shared" si="119"/>
        <v>0</v>
      </c>
      <c r="H60" s="60">
        <f t="shared" si="119"/>
        <v>0</v>
      </c>
      <c r="I60" s="60">
        <f t="shared" si="119"/>
        <v>0</v>
      </c>
      <c r="J60" s="60">
        <f t="shared" si="119"/>
        <v>0</v>
      </c>
      <c r="K60" s="60">
        <f t="shared" si="119"/>
        <v>0</v>
      </c>
      <c r="L60" s="60">
        <f t="shared" si="119"/>
        <v>0</v>
      </c>
      <c r="M60" s="60">
        <f t="shared" si="119"/>
        <v>0</v>
      </c>
      <c r="N60" s="60">
        <f t="shared" si="119"/>
        <v>0</v>
      </c>
      <c r="O60" s="60">
        <f t="shared" si="119"/>
        <v>0</v>
      </c>
      <c r="P60" s="60">
        <f t="shared" si="119"/>
        <v>0</v>
      </c>
      <c r="Q60" s="60">
        <f t="shared" si="119"/>
        <v>0</v>
      </c>
      <c r="R60" s="60">
        <f t="shared" si="119"/>
        <v>0</v>
      </c>
      <c r="S60" s="60">
        <f t="shared" si="119"/>
        <v>0</v>
      </c>
      <c r="T60" s="60">
        <f t="shared" si="119"/>
        <v>0</v>
      </c>
      <c r="U60" s="60">
        <f t="shared" si="119"/>
        <v>0</v>
      </c>
      <c r="V60" s="60">
        <f t="shared" ref="V60:Z60" si="120">IFERROR(V12/$B60,0)</f>
        <v>0</v>
      </c>
      <c r="W60" s="60">
        <f t="shared" si="120"/>
        <v>0</v>
      </c>
      <c r="X60" s="60">
        <f t="shared" si="120"/>
        <v>0</v>
      </c>
      <c r="Y60" s="60">
        <f t="shared" si="120"/>
        <v>0</v>
      </c>
      <c r="Z60" s="60">
        <f t="shared" si="120"/>
        <v>0</v>
      </c>
      <c r="AA60" s="60">
        <f t="shared" si="119"/>
        <v>0</v>
      </c>
      <c r="AB60" s="60">
        <f t="shared" si="119"/>
        <v>0</v>
      </c>
      <c r="AC60" s="60">
        <f t="shared" si="119"/>
        <v>0</v>
      </c>
      <c r="AD60" s="60">
        <f t="shared" si="119"/>
        <v>0</v>
      </c>
      <c r="AE60" s="60">
        <f t="shared" ref="AE60:BB60" si="121">IFERROR(AE12/$B60,0)</f>
        <v>0</v>
      </c>
      <c r="AF60" s="60">
        <f t="shared" si="121"/>
        <v>0</v>
      </c>
      <c r="AG60" s="60">
        <f t="shared" si="121"/>
        <v>0</v>
      </c>
      <c r="AH60" s="60">
        <f t="shared" si="121"/>
        <v>0</v>
      </c>
      <c r="AI60" s="60">
        <f t="shared" si="121"/>
        <v>0</v>
      </c>
      <c r="AJ60" s="60">
        <f t="shared" si="121"/>
        <v>0</v>
      </c>
      <c r="AK60" s="60">
        <f t="shared" si="121"/>
        <v>0</v>
      </c>
      <c r="AL60" s="60">
        <f t="shared" si="121"/>
        <v>0</v>
      </c>
      <c r="AM60" s="60">
        <f t="shared" si="121"/>
        <v>0</v>
      </c>
      <c r="AN60" s="60">
        <f t="shared" si="121"/>
        <v>0</v>
      </c>
      <c r="AO60" s="60">
        <f t="shared" si="121"/>
        <v>0</v>
      </c>
      <c r="AP60" s="60">
        <f t="shared" si="121"/>
        <v>0</v>
      </c>
      <c r="AQ60" s="60">
        <f t="shared" si="121"/>
        <v>0</v>
      </c>
      <c r="AR60" s="60">
        <f t="shared" si="121"/>
        <v>0</v>
      </c>
      <c r="AS60" s="60">
        <f t="shared" si="121"/>
        <v>0</v>
      </c>
      <c r="AT60" s="60">
        <f t="shared" si="121"/>
        <v>0</v>
      </c>
      <c r="AU60" s="60">
        <f t="shared" ref="AU60" si="122">IFERROR(AU12/$B60,0)</f>
        <v>0</v>
      </c>
      <c r="AV60" s="60">
        <f t="shared" si="121"/>
        <v>0</v>
      </c>
      <c r="AW60" s="60">
        <f t="shared" si="121"/>
        <v>0</v>
      </c>
      <c r="AX60" s="60">
        <f t="shared" si="121"/>
        <v>0</v>
      </c>
      <c r="AY60" s="60">
        <f t="shared" si="121"/>
        <v>0</v>
      </c>
      <c r="AZ60" s="60">
        <f t="shared" si="121"/>
        <v>0</v>
      </c>
      <c r="BA60" s="60">
        <f t="shared" si="121"/>
        <v>0</v>
      </c>
      <c r="BB60" s="60">
        <f t="shared" si="121"/>
        <v>0</v>
      </c>
    </row>
    <row r="61" spans="1:54" x14ac:dyDescent="0.25">
      <c r="A61" s="190" t="s">
        <v>1096</v>
      </c>
      <c r="B61" s="191">
        <v>1</v>
      </c>
      <c r="C61" s="60">
        <f>IFERROR(C18/$B61,0)</f>
        <v>9.8429370750903501E-3</v>
      </c>
      <c r="D61" s="60">
        <f>IFERROR(D18/$B61,0)</f>
        <v>0.18161756506238952</v>
      </c>
      <c r="E61" s="60">
        <f>IFERROR(E18/$B61,0)</f>
        <v>0.37132038661799566</v>
      </c>
      <c r="F61" s="60">
        <f t="shared" ref="F61:AD61" si="123">IFERROR(F18/$B61,0)</f>
        <v>0.45434500694665686</v>
      </c>
      <c r="G61" s="60">
        <f t="shared" si="123"/>
        <v>0.40846584585886914</v>
      </c>
      <c r="H61" s="60">
        <f t="shared" si="123"/>
        <v>0.49917268528137104</v>
      </c>
      <c r="I61" s="60">
        <f t="shared" si="123"/>
        <v>0.18289381242241651</v>
      </c>
      <c r="J61" s="60">
        <f t="shared" si="123"/>
        <v>0.52316518644312615</v>
      </c>
      <c r="K61" s="60">
        <f t="shared" si="123"/>
        <v>4.7094722596765191E-2</v>
      </c>
      <c r="L61" s="60">
        <f t="shared" si="123"/>
        <v>0.25819294297078443</v>
      </c>
      <c r="M61" s="60">
        <f t="shared" si="123"/>
        <v>0.19369610192597508</v>
      </c>
      <c r="N61" s="60">
        <f t="shared" si="123"/>
        <v>0.3829077855726471</v>
      </c>
      <c r="O61" s="60">
        <f t="shared" si="123"/>
        <v>0.41314788884031972</v>
      </c>
      <c r="P61" s="60">
        <f t="shared" si="123"/>
        <v>0.52251828801455535</v>
      </c>
      <c r="Q61" s="60">
        <f t="shared" si="123"/>
        <v>0.70707112649919701</v>
      </c>
      <c r="R61" s="60">
        <f t="shared" si="123"/>
        <v>0.11660509417419999</v>
      </c>
      <c r="S61" s="60">
        <f t="shared" si="123"/>
        <v>0.23785624607046349</v>
      </c>
      <c r="T61" s="60">
        <f t="shared" si="123"/>
        <v>0.41478132871684203</v>
      </c>
      <c r="U61" s="60">
        <f t="shared" si="123"/>
        <v>0.81411419142843211</v>
      </c>
      <c r="V61" s="60">
        <f t="shared" ref="V61:Z61" si="124">IFERROR(V18/$B61,0)</f>
        <v>0.11918075354055882</v>
      </c>
      <c r="W61" s="60">
        <f t="shared" si="124"/>
        <v>0.24852269931911217</v>
      </c>
      <c r="X61" s="60">
        <f t="shared" si="124"/>
        <v>0.26568968316843372</v>
      </c>
      <c r="Y61" s="60">
        <f t="shared" si="124"/>
        <v>0.35533382861501595</v>
      </c>
      <c r="Z61" s="60">
        <f t="shared" si="124"/>
        <v>0.18785066554301605</v>
      </c>
      <c r="AA61" s="60">
        <f t="shared" si="123"/>
        <v>5.1597702182496617E-2</v>
      </c>
      <c r="AB61" s="60">
        <f t="shared" si="123"/>
        <v>6.1317612540569638E-2</v>
      </c>
      <c r="AC61" s="60">
        <f t="shared" si="123"/>
        <v>6.0149291467434885E-3</v>
      </c>
      <c r="AD61" s="60">
        <f t="shared" si="123"/>
        <v>0.1026482657481103</v>
      </c>
      <c r="AE61" s="60">
        <f t="shared" ref="AE61:BB61" si="125">IFERROR(AE18/$B61,0)</f>
        <v>0.22603235689445034</v>
      </c>
      <c r="AF61" s="60">
        <f t="shared" si="125"/>
        <v>0.2728481959434137</v>
      </c>
      <c r="AG61" s="60">
        <f t="shared" si="125"/>
        <v>0.2584718303303663</v>
      </c>
      <c r="AH61" s="60">
        <f t="shared" si="125"/>
        <v>0.27562074563044459</v>
      </c>
      <c r="AI61" s="60">
        <f t="shared" si="125"/>
        <v>0.11709431226524379</v>
      </c>
      <c r="AJ61" s="60">
        <f t="shared" si="125"/>
        <v>0.3623330789173379</v>
      </c>
      <c r="AK61" s="60">
        <f t="shared" si="125"/>
        <v>2.9758919674682367E-2</v>
      </c>
      <c r="AL61" s="60">
        <f t="shared" si="125"/>
        <v>0.1163383968461448</v>
      </c>
      <c r="AM61" s="60">
        <f t="shared" si="125"/>
        <v>0.17679551555348874</v>
      </c>
      <c r="AN61" s="60">
        <f t="shared" si="125"/>
        <v>0.22777608692320217</v>
      </c>
      <c r="AO61" s="60">
        <f t="shared" si="125"/>
        <v>0.26050894438787098</v>
      </c>
      <c r="AP61" s="60">
        <f t="shared" si="125"/>
        <v>0.31849646840079865</v>
      </c>
      <c r="AQ61" s="60">
        <f t="shared" si="125"/>
        <v>0.3381328630011573</v>
      </c>
      <c r="AR61" s="60">
        <f t="shared" si="125"/>
        <v>8.472707375252278E-2</v>
      </c>
      <c r="AS61" s="60">
        <f t="shared" si="125"/>
        <v>0.13815897294454516</v>
      </c>
      <c r="AT61" s="60">
        <f t="shared" si="125"/>
        <v>0.28959832743632452</v>
      </c>
      <c r="AU61" s="60">
        <f t="shared" ref="AU61" si="126">IFERROR(AU18/$B61,0)</f>
        <v>0.39651255951251757</v>
      </c>
      <c r="AV61" s="60">
        <f t="shared" si="125"/>
        <v>6.5902621680909504E-2</v>
      </c>
      <c r="AW61" s="60">
        <f t="shared" si="125"/>
        <v>0.15188343779575869</v>
      </c>
      <c r="AX61" s="60">
        <f t="shared" si="125"/>
        <v>0.16343877507961427</v>
      </c>
      <c r="AY61" s="60">
        <f t="shared" si="125"/>
        <v>0.22464161418200501</v>
      </c>
      <c r="AZ61" s="60">
        <f t="shared" si="125"/>
        <v>9.90120926467596E-2</v>
      </c>
      <c r="BA61" s="60">
        <f t="shared" si="125"/>
        <v>3.0210103459451684E-2</v>
      </c>
      <c r="BB61" s="60">
        <f t="shared" si="125"/>
        <v>3.1758803796471342E-2</v>
      </c>
    </row>
    <row r="62" spans="1:54" x14ac:dyDescent="0.25">
      <c r="A62" s="190" t="s">
        <v>1097</v>
      </c>
      <c r="B62" s="191">
        <v>1.339E-6</v>
      </c>
      <c r="C62" s="60">
        <f>IFERROR(C27/$B62,0)</f>
        <v>0</v>
      </c>
      <c r="D62" s="60">
        <f>IFERROR(D27/$B62,0)</f>
        <v>0</v>
      </c>
      <c r="E62" s="60">
        <f>IFERROR(E27/$B62,0)</f>
        <v>0</v>
      </c>
      <c r="F62" s="60">
        <f t="shared" ref="F62:AD62" si="127">IFERROR(F27/$B62,0)</f>
        <v>0</v>
      </c>
      <c r="G62" s="60">
        <f t="shared" si="127"/>
        <v>0</v>
      </c>
      <c r="H62" s="60">
        <f t="shared" si="127"/>
        <v>0</v>
      </c>
      <c r="I62" s="60">
        <f t="shared" si="127"/>
        <v>0</v>
      </c>
      <c r="J62" s="60">
        <f t="shared" si="127"/>
        <v>0</v>
      </c>
      <c r="K62" s="60">
        <f t="shared" si="127"/>
        <v>0</v>
      </c>
      <c r="L62" s="60">
        <f t="shared" si="127"/>
        <v>0</v>
      </c>
      <c r="M62" s="60">
        <f t="shared" si="127"/>
        <v>0</v>
      </c>
      <c r="N62" s="60">
        <f t="shared" si="127"/>
        <v>0</v>
      </c>
      <c r="O62" s="60">
        <f t="shared" si="127"/>
        <v>0</v>
      </c>
      <c r="P62" s="60">
        <f t="shared" si="127"/>
        <v>0</v>
      </c>
      <c r="Q62" s="60">
        <f t="shared" si="127"/>
        <v>0</v>
      </c>
      <c r="R62" s="60">
        <f t="shared" si="127"/>
        <v>0</v>
      </c>
      <c r="S62" s="60">
        <f t="shared" si="127"/>
        <v>0</v>
      </c>
      <c r="T62" s="60">
        <f t="shared" si="127"/>
        <v>0</v>
      </c>
      <c r="U62" s="60">
        <f t="shared" si="127"/>
        <v>0</v>
      </c>
      <c r="V62" s="60">
        <f t="shared" ref="V62:Z62" si="128">IFERROR(V27/$B62,0)</f>
        <v>0</v>
      </c>
      <c r="W62" s="60">
        <f t="shared" si="128"/>
        <v>0</v>
      </c>
      <c r="X62" s="60">
        <f t="shared" si="128"/>
        <v>0</v>
      </c>
      <c r="Y62" s="60">
        <f t="shared" si="128"/>
        <v>0</v>
      </c>
      <c r="Z62" s="60">
        <f t="shared" si="128"/>
        <v>0</v>
      </c>
      <c r="AA62" s="60">
        <f t="shared" si="127"/>
        <v>0</v>
      </c>
      <c r="AB62" s="60">
        <f t="shared" si="127"/>
        <v>0</v>
      </c>
      <c r="AC62" s="60">
        <f t="shared" si="127"/>
        <v>0</v>
      </c>
      <c r="AD62" s="60">
        <f t="shared" si="127"/>
        <v>0</v>
      </c>
      <c r="AE62" s="60">
        <f t="shared" ref="AE62:BB62" si="129">IFERROR(AE27/$B62,0)</f>
        <v>0</v>
      </c>
      <c r="AF62" s="60">
        <f t="shared" si="129"/>
        <v>0</v>
      </c>
      <c r="AG62" s="60">
        <f t="shared" si="129"/>
        <v>0</v>
      </c>
      <c r="AH62" s="60">
        <f t="shared" si="129"/>
        <v>0</v>
      </c>
      <c r="AI62" s="60">
        <f t="shared" si="129"/>
        <v>0</v>
      </c>
      <c r="AJ62" s="60">
        <f t="shared" si="129"/>
        <v>0</v>
      </c>
      <c r="AK62" s="60">
        <f t="shared" si="129"/>
        <v>0</v>
      </c>
      <c r="AL62" s="60">
        <f t="shared" si="129"/>
        <v>0</v>
      </c>
      <c r="AM62" s="60">
        <f t="shared" si="129"/>
        <v>0</v>
      </c>
      <c r="AN62" s="60">
        <f t="shared" si="129"/>
        <v>0</v>
      </c>
      <c r="AO62" s="60">
        <f t="shared" si="129"/>
        <v>0</v>
      </c>
      <c r="AP62" s="60">
        <f t="shared" si="129"/>
        <v>0</v>
      </c>
      <c r="AQ62" s="60">
        <f t="shared" si="129"/>
        <v>0</v>
      </c>
      <c r="AR62" s="60">
        <f t="shared" si="129"/>
        <v>0</v>
      </c>
      <c r="AS62" s="60">
        <f t="shared" si="129"/>
        <v>0</v>
      </c>
      <c r="AT62" s="60">
        <f t="shared" si="129"/>
        <v>0</v>
      </c>
      <c r="AU62" s="60">
        <f t="shared" ref="AU62" si="130">IFERROR(AU27/$B62,0)</f>
        <v>0</v>
      </c>
      <c r="AV62" s="60">
        <f t="shared" si="129"/>
        <v>0</v>
      </c>
      <c r="AW62" s="60">
        <f t="shared" si="129"/>
        <v>0</v>
      </c>
      <c r="AX62" s="60">
        <f t="shared" si="129"/>
        <v>0</v>
      </c>
      <c r="AY62" s="60">
        <f t="shared" si="129"/>
        <v>0</v>
      </c>
      <c r="AZ62" s="60">
        <f t="shared" si="129"/>
        <v>0</v>
      </c>
      <c r="BA62" s="60">
        <f t="shared" si="129"/>
        <v>0</v>
      </c>
      <c r="BB62" s="60">
        <f t="shared" si="129"/>
        <v>0</v>
      </c>
    </row>
    <row r="63" spans="1:54" x14ac:dyDescent="0.25">
      <c r="A63" s="95" t="s">
        <v>35</v>
      </c>
      <c r="B63" s="95" t="s">
        <v>1071</v>
      </c>
      <c r="C63" s="96">
        <f>IFERROR(1/SUM(1/D63,1/E63,1/F63,1/G63,1/H63,1/I63,1/J63,1/K63,1/L63,1/M63,1/N63,1/O63,1/P63,1/Q63,1/R63,1/S63,1/T63,1/U63,1/V63,1/W63,1/X63,1/Y63,1/Z63),".")</f>
        <v>6.1140089534210927E-3</v>
      </c>
      <c r="D63" s="58">
        <f>1/SUM(1/D66,1/D68,1/D72,1/D73,1/D75)</f>
        <v>0.11465029504098811</v>
      </c>
      <c r="E63" s="58">
        <f>1/SUM(1/E66,1/E68,1/E72,1/E73,1/E75)</f>
        <v>0.19750919843292145</v>
      </c>
      <c r="F63" s="58">
        <f t="shared" ref="F63:AB63" si="131">1/SUM(1/F66,1/F68,1/F72,1/F73,1/F75)</f>
        <v>0.28792459581035224</v>
      </c>
      <c r="G63" s="58">
        <f t="shared" si="131"/>
        <v>0.25785406025112173</v>
      </c>
      <c r="H63" s="58">
        <f t="shared" si="131"/>
        <v>0.31024316476301161</v>
      </c>
      <c r="I63" s="58">
        <f t="shared" si="131"/>
        <v>9.7287458047380995E-2</v>
      </c>
      <c r="J63" s="58">
        <f t="shared" si="131"/>
        <v>0.33153290415581776</v>
      </c>
      <c r="K63" s="58">
        <f t="shared" si="131"/>
        <v>2.9729603833300439E-2</v>
      </c>
      <c r="L63" s="58">
        <f t="shared" si="131"/>
        <v>0.16777371395411722</v>
      </c>
      <c r="M63" s="58">
        <f t="shared" si="131"/>
        <v>0.12032766451988421</v>
      </c>
      <c r="N63" s="58">
        <f t="shared" si="131"/>
        <v>0.20792433352661546</v>
      </c>
      <c r="O63" s="58">
        <f t="shared" si="131"/>
        <v>0.26507309177638477</v>
      </c>
      <c r="P63" s="58">
        <f t="shared" si="131"/>
        <v>0.32460462656475303</v>
      </c>
      <c r="Q63" s="58">
        <f t="shared" si="131"/>
        <v>0.44807519706491056</v>
      </c>
      <c r="R63" s="58">
        <f t="shared" si="131"/>
        <v>7.3609413121454623E-2</v>
      </c>
      <c r="S63" s="58">
        <f t="shared" si="131"/>
        <v>0.15015226517298907</v>
      </c>
      <c r="T63" s="58">
        <f t="shared" si="131"/>
        <v>0.26593638258711899</v>
      </c>
      <c r="U63" s="58">
        <f t="shared" si="131"/>
        <v>0.52217378814431603</v>
      </c>
      <c r="V63" s="58">
        <f t="shared" ref="V63:Z63" si="132">1/SUM(1/V66,1/V68,1/V72,1/V73,1/V75)</f>
        <v>7.8009391170987541E-2</v>
      </c>
      <c r="W63" s="58">
        <f t="shared" si="132"/>
        <v>0.15438835545271448</v>
      </c>
      <c r="X63" s="58">
        <f t="shared" si="132"/>
        <v>0.17050106618375319</v>
      </c>
      <c r="Y63" s="58">
        <f t="shared" si="132"/>
        <v>0.22430652190905059</v>
      </c>
      <c r="Z63" s="58">
        <f t="shared" si="132"/>
        <v>0.11679481055566203</v>
      </c>
      <c r="AA63" s="58">
        <f t="shared" si="131"/>
        <v>3.4136959326280567E-2</v>
      </c>
      <c r="AB63" s="58">
        <f t="shared" si="131"/>
        <v>3.9664331278280493E-2</v>
      </c>
      <c r="AC63" s="96">
        <f>IFERROR(1/SUM(1/AD63,1/AE63,1/AF63,1/AG63,1/AH63,1/AI63,1/AJ63,1/AK63,1/AL63,1/AM63,1/AN63,1/AO63,1/AP63,1/AQ63,1/AR63,1/AS63,1/AT63,1/AU63,1/AV63,1/AW63,1/AX63,1/AY63,1/AZ63),".")</f>
        <v>3.7403564055054797E-3</v>
      </c>
      <c r="AD63" s="58">
        <f>1/SUM(1/AD66,1/AD68,1/AD72,1/AD73,1/AD75)</f>
        <v>6.4799095557876329E-2</v>
      </c>
      <c r="AE63" s="58">
        <f t="shared" ref="AE63:BB63" si="133">1/SUM(1/AE66,1/AE68,1/AE72,1/AE73,1/AE75)</f>
        <v>0.12022897540515302</v>
      </c>
      <c r="AF63" s="58">
        <f t="shared" si="133"/>
        <v>0.1729076039869733</v>
      </c>
      <c r="AG63" s="58">
        <f t="shared" si="133"/>
        <v>0.16316666763431634</v>
      </c>
      <c r="AH63" s="58">
        <f t="shared" si="133"/>
        <v>0.17130234670298639</v>
      </c>
      <c r="AI63" s="58">
        <f t="shared" si="133"/>
        <v>6.2286459236690891E-2</v>
      </c>
      <c r="AJ63" s="58">
        <f t="shared" si="133"/>
        <v>0.22961263676944435</v>
      </c>
      <c r="AK63" s="58">
        <f t="shared" si="133"/>
        <v>1.8785987975987906E-2</v>
      </c>
      <c r="AL63" s="58">
        <f t="shared" si="133"/>
        <v>7.5596663060439537E-2</v>
      </c>
      <c r="AM63" s="58">
        <f t="shared" si="133"/>
        <v>0.10982870214017124</v>
      </c>
      <c r="AN63" s="58">
        <f t="shared" si="133"/>
        <v>0.12368563098287234</v>
      </c>
      <c r="AO63" s="58">
        <f t="shared" si="133"/>
        <v>0.16714090326862188</v>
      </c>
      <c r="AP63" s="58">
        <f t="shared" si="133"/>
        <v>0.19785992099965308</v>
      </c>
      <c r="AQ63" s="58">
        <f t="shared" si="133"/>
        <v>0.21427681536581314</v>
      </c>
      <c r="AR63" s="58">
        <f t="shared" si="133"/>
        <v>5.348574364259067E-2</v>
      </c>
      <c r="AS63" s="58">
        <f t="shared" si="133"/>
        <v>8.7216052066388119E-2</v>
      </c>
      <c r="AT63" s="58">
        <f t="shared" si="133"/>
        <v>0.18567550241460282</v>
      </c>
      <c r="AU63" s="58">
        <f t="shared" ref="AU63" si="134">1/SUM(1/AU66,1/AU68,1/AU72,1/AU73,1/AU75)</f>
        <v>0.25432361630272754</v>
      </c>
      <c r="AV63" s="58">
        <f t="shared" si="133"/>
        <v>4.3136355839117214E-2</v>
      </c>
      <c r="AW63" s="58">
        <f t="shared" si="133"/>
        <v>9.4353691819846305E-2</v>
      </c>
      <c r="AX63" s="58">
        <f t="shared" si="133"/>
        <v>0.10488358100519446</v>
      </c>
      <c r="AY63" s="58">
        <f t="shared" si="133"/>
        <v>0.14180631027898435</v>
      </c>
      <c r="AZ63" s="58">
        <f t="shared" si="133"/>
        <v>6.1560061924560365E-2</v>
      </c>
      <c r="BA63" s="58">
        <f t="shared" si="133"/>
        <v>1.9986957353071221E-2</v>
      </c>
      <c r="BB63" s="58">
        <f t="shared" si="133"/>
        <v>2.0543717581171319E-2</v>
      </c>
    </row>
    <row r="64" spans="1:54" x14ac:dyDescent="0.25">
      <c r="A64" s="190" t="s">
        <v>1087</v>
      </c>
      <c r="B64" s="191">
        <v>1</v>
      </c>
      <c r="C64" s="60">
        <f>IFERROR(C25/$B50,0)</f>
        <v>0</v>
      </c>
      <c r="D64" s="60">
        <f>IFERROR(D25/$B50,0)</f>
        <v>0</v>
      </c>
      <c r="E64" s="60">
        <f>IFERROR(E25/$B50,0)</f>
        <v>0</v>
      </c>
      <c r="F64" s="60">
        <f t="shared" ref="F64:AD64" si="135">IFERROR(F25/$B50,0)</f>
        <v>0</v>
      </c>
      <c r="G64" s="60">
        <f t="shared" si="135"/>
        <v>0</v>
      </c>
      <c r="H64" s="60">
        <f t="shared" si="135"/>
        <v>0</v>
      </c>
      <c r="I64" s="60">
        <f t="shared" si="135"/>
        <v>0</v>
      </c>
      <c r="J64" s="60">
        <f t="shared" si="135"/>
        <v>0</v>
      </c>
      <c r="K64" s="60">
        <f t="shared" si="135"/>
        <v>0</v>
      </c>
      <c r="L64" s="60">
        <f t="shared" si="135"/>
        <v>0</v>
      </c>
      <c r="M64" s="60">
        <f t="shared" si="135"/>
        <v>0</v>
      </c>
      <c r="N64" s="60">
        <f t="shared" si="135"/>
        <v>0</v>
      </c>
      <c r="O64" s="60">
        <f t="shared" si="135"/>
        <v>0</v>
      </c>
      <c r="P64" s="60">
        <f t="shared" si="135"/>
        <v>0</v>
      </c>
      <c r="Q64" s="60">
        <f t="shared" si="135"/>
        <v>0</v>
      </c>
      <c r="R64" s="60">
        <f t="shared" si="135"/>
        <v>0</v>
      </c>
      <c r="S64" s="60">
        <f t="shared" si="135"/>
        <v>0</v>
      </c>
      <c r="T64" s="60">
        <f t="shared" si="135"/>
        <v>0</v>
      </c>
      <c r="U64" s="60">
        <f t="shared" si="135"/>
        <v>0</v>
      </c>
      <c r="V64" s="60">
        <f t="shared" ref="V64:Z64" si="136">IFERROR(V25/$B50,0)</f>
        <v>0</v>
      </c>
      <c r="W64" s="60">
        <f t="shared" si="136"/>
        <v>0</v>
      </c>
      <c r="X64" s="60">
        <f t="shared" si="136"/>
        <v>0</v>
      </c>
      <c r="Y64" s="60">
        <f t="shared" si="136"/>
        <v>0</v>
      </c>
      <c r="Z64" s="60">
        <f t="shared" si="136"/>
        <v>0</v>
      </c>
      <c r="AA64" s="60">
        <f t="shared" si="135"/>
        <v>0</v>
      </c>
      <c r="AB64" s="60">
        <f t="shared" si="135"/>
        <v>0</v>
      </c>
      <c r="AC64" s="60">
        <f t="shared" si="135"/>
        <v>0</v>
      </c>
      <c r="AD64" s="60">
        <f t="shared" si="135"/>
        <v>0</v>
      </c>
      <c r="AE64" s="60">
        <f t="shared" ref="AE64:BB64" si="137">IFERROR(AE25/$B50,0)</f>
        <v>0</v>
      </c>
      <c r="AF64" s="60">
        <f t="shared" si="137"/>
        <v>0</v>
      </c>
      <c r="AG64" s="60">
        <f t="shared" si="137"/>
        <v>0</v>
      </c>
      <c r="AH64" s="60">
        <f t="shared" si="137"/>
        <v>0</v>
      </c>
      <c r="AI64" s="60">
        <f t="shared" si="137"/>
        <v>0</v>
      </c>
      <c r="AJ64" s="60">
        <f t="shared" si="137"/>
        <v>0</v>
      </c>
      <c r="AK64" s="60">
        <f t="shared" si="137"/>
        <v>0</v>
      </c>
      <c r="AL64" s="60">
        <f t="shared" si="137"/>
        <v>0</v>
      </c>
      <c r="AM64" s="60">
        <f t="shared" si="137"/>
        <v>0</v>
      </c>
      <c r="AN64" s="60">
        <f t="shared" si="137"/>
        <v>0</v>
      </c>
      <c r="AO64" s="60">
        <f t="shared" si="137"/>
        <v>0</v>
      </c>
      <c r="AP64" s="60">
        <f t="shared" si="137"/>
        <v>0</v>
      </c>
      <c r="AQ64" s="60">
        <f t="shared" si="137"/>
        <v>0</v>
      </c>
      <c r="AR64" s="60">
        <f t="shared" si="137"/>
        <v>0</v>
      </c>
      <c r="AS64" s="60">
        <f t="shared" si="137"/>
        <v>0</v>
      </c>
      <c r="AT64" s="60">
        <f t="shared" si="137"/>
        <v>0</v>
      </c>
      <c r="AU64" s="60">
        <f t="shared" ref="AU64" si="138">IFERROR(AU25/$B50,0)</f>
        <v>0</v>
      </c>
      <c r="AV64" s="60">
        <f t="shared" si="137"/>
        <v>0</v>
      </c>
      <c r="AW64" s="60">
        <f t="shared" si="137"/>
        <v>0</v>
      </c>
      <c r="AX64" s="60">
        <f t="shared" si="137"/>
        <v>0</v>
      </c>
      <c r="AY64" s="60">
        <f t="shared" si="137"/>
        <v>0</v>
      </c>
      <c r="AZ64" s="60">
        <f t="shared" si="137"/>
        <v>0</v>
      </c>
      <c r="BA64" s="60">
        <f t="shared" si="137"/>
        <v>0</v>
      </c>
      <c r="BB64" s="60">
        <f t="shared" si="137"/>
        <v>0</v>
      </c>
    </row>
    <row r="65" spans="1:54" x14ac:dyDescent="0.25">
      <c r="A65" s="190" t="s">
        <v>1073</v>
      </c>
      <c r="B65" s="191">
        <v>1</v>
      </c>
      <c r="C65" s="60">
        <f>IFERROR(C21/$B51,0)</f>
        <v>0</v>
      </c>
      <c r="D65" s="60">
        <f>IFERROR(D21/$B51,0)</f>
        <v>0</v>
      </c>
      <c r="E65" s="60">
        <f>IFERROR(E21/$B51,0)</f>
        <v>0</v>
      </c>
      <c r="F65" s="60">
        <f t="shared" ref="F65:AD65" si="139">IFERROR(F21/$B51,0)</f>
        <v>0</v>
      </c>
      <c r="G65" s="60">
        <f t="shared" si="139"/>
        <v>0</v>
      </c>
      <c r="H65" s="60">
        <f t="shared" si="139"/>
        <v>0</v>
      </c>
      <c r="I65" s="60">
        <f t="shared" si="139"/>
        <v>0</v>
      </c>
      <c r="J65" s="60">
        <f t="shared" si="139"/>
        <v>0</v>
      </c>
      <c r="K65" s="60">
        <f t="shared" si="139"/>
        <v>0</v>
      </c>
      <c r="L65" s="60">
        <f t="shared" si="139"/>
        <v>0</v>
      </c>
      <c r="M65" s="60">
        <f t="shared" si="139"/>
        <v>0</v>
      </c>
      <c r="N65" s="60">
        <f t="shared" si="139"/>
        <v>0</v>
      </c>
      <c r="O65" s="60">
        <f t="shared" si="139"/>
        <v>0</v>
      </c>
      <c r="P65" s="60">
        <f t="shared" si="139"/>
        <v>0</v>
      </c>
      <c r="Q65" s="60">
        <f t="shared" si="139"/>
        <v>0</v>
      </c>
      <c r="R65" s="60">
        <f t="shared" si="139"/>
        <v>0</v>
      </c>
      <c r="S65" s="60">
        <f t="shared" si="139"/>
        <v>0</v>
      </c>
      <c r="T65" s="60">
        <f t="shared" si="139"/>
        <v>0</v>
      </c>
      <c r="U65" s="60">
        <f t="shared" si="139"/>
        <v>0</v>
      </c>
      <c r="V65" s="60">
        <f t="shared" ref="V65:Z65" si="140">IFERROR(V21/$B51,0)</f>
        <v>0</v>
      </c>
      <c r="W65" s="60">
        <f t="shared" si="140"/>
        <v>0</v>
      </c>
      <c r="X65" s="60">
        <f t="shared" si="140"/>
        <v>0</v>
      </c>
      <c r="Y65" s="60">
        <f t="shared" si="140"/>
        <v>0</v>
      </c>
      <c r="Z65" s="60">
        <f t="shared" si="140"/>
        <v>0</v>
      </c>
      <c r="AA65" s="60">
        <f t="shared" si="139"/>
        <v>0</v>
      </c>
      <c r="AB65" s="60">
        <f t="shared" si="139"/>
        <v>0</v>
      </c>
      <c r="AC65" s="60">
        <f t="shared" si="139"/>
        <v>0</v>
      </c>
      <c r="AD65" s="60">
        <f t="shared" si="139"/>
        <v>0</v>
      </c>
      <c r="AE65" s="60">
        <f t="shared" ref="AE65:BB65" si="141">IFERROR(AE21/$B51,0)</f>
        <v>0</v>
      </c>
      <c r="AF65" s="60">
        <f t="shared" si="141"/>
        <v>0</v>
      </c>
      <c r="AG65" s="60">
        <f t="shared" si="141"/>
        <v>0</v>
      </c>
      <c r="AH65" s="60">
        <f t="shared" si="141"/>
        <v>0</v>
      </c>
      <c r="AI65" s="60">
        <f t="shared" si="141"/>
        <v>0</v>
      </c>
      <c r="AJ65" s="60">
        <f t="shared" si="141"/>
        <v>0</v>
      </c>
      <c r="AK65" s="60">
        <f t="shared" si="141"/>
        <v>0</v>
      </c>
      <c r="AL65" s="60">
        <f t="shared" si="141"/>
        <v>0</v>
      </c>
      <c r="AM65" s="60">
        <f t="shared" si="141"/>
        <v>0</v>
      </c>
      <c r="AN65" s="60">
        <f t="shared" si="141"/>
        <v>0</v>
      </c>
      <c r="AO65" s="60">
        <f t="shared" si="141"/>
        <v>0</v>
      </c>
      <c r="AP65" s="60">
        <f t="shared" si="141"/>
        <v>0</v>
      </c>
      <c r="AQ65" s="60">
        <f t="shared" si="141"/>
        <v>0</v>
      </c>
      <c r="AR65" s="60">
        <f t="shared" si="141"/>
        <v>0</v>
      </c>
      <c r="AS65" s="60">
        <f t="shared" si="141"/>
        <v>0</v>
      </c>
      <c r="AT65" s="60">
        <f t="shared" si="141"/>
        <v>0</v>
      </c>
      <c r="AU65" s="60">
        <f t="shared" ref="AU65" si="142">IFERROR(AU21/$B51,0)</f>
        <v>0</v>
      </c>
      <c r="AV65" s="60">
        <f t="shared" si="141"/>
        <v>0</v>
      </c>
      <c r="AW65" s="60">
        <f t="shared" si="141"/>
        <v>0</v>
      </c>
      <c r="AX65" s="60">
        <f t="shared" si="141"/>
        <v>0</v>
      </c>
      <c r="AY65" s="60">
        <f t="shared" si="141"/>
        <v>0</v>
      </c>
      <c r="AZ65" s="60">
        <f t="shared" si="141"/>
        <v>0</v>
      </c>
      <c r="BA65" s="60">
        <f t="shared" si="141"/>
        <v>0</v>
      </c>
      <c r="BB65" s="60">
        <f t="shared" si="141"/>
        <v>0</v>
      </c>
    </row>
    <row r="66" spans="1:54" x14ac:dyDescent="0.25">
      <c r="A66" s="190" t="s">
        <v>1074</v>
      </c>
      <c r="B66" s="193">
        <v>0.99980000000000002</v>
      </c>
      <c r="C66" s="60">
        <f>IFERROR(C17/$B52,0)</f>
        <v>39.952303885503397</v>
      </c>
      <c r="D66" s="60">
        <f>IFERROR(D17/$B52,0)</f>
        <v>770.62738852195139</v>
      </c>
      <c r="E66" s="60">
        <f>IFERROR(E17/$B52,0)</f>
        <v>1037.7390893674865</v>
      </c>
      <c r="F66" s="60">
        <f t="shared" ref="F66:AD66" si="143">IFERROR(F17/$B52,0)</f>
        <v>1946.5354917236516</v>
      </c>
      <c r="G66" s="60">
        <f t="shared" si="143"/>
        <v>1733.1835893631683</v>
      </c>
      <c r="H66" s="60">
        <f t="shared" si="143"/>
        <v>2029.6996175266927</v>
      </c>
      <c r="I66" s="60">
        <f t="shared" si="143"/>
        <v>511.18673356098725</v>
      </c>
      <c r="J66" s="60">
        <f t="shared" si="143"/>
        <v>2241.3125269209972</v>
      </c>
      <c r="K66" s="60">
        <f t="shared" si="143"/>
        <v>199.82863416191714</v>
      </c>
      <c r="L66" s="60">
        <f t="shared" si="143"/>
        <v>1189.3782703648972</v>
      </c>
      <c r="M66" s="60">
        <f t="shared" si="143"/>
        <v>786.65519982401247</v>
      </c>
      <c r="N66" s="60">
        <f t="shared" si="143"/>
        <v>1118.911561935</v>
      </c>
      <c r="O66" s="60">
        <f t="shared" si="143"/>
        <v>1834.0163644370282</v>
      </c>
      <c r="P66" s="60">
        <f t="shared" si="143"/>
        <v>2122.2011768540742</v>
      </c>
      <c r="Q66" s="60">
        <f t="shared" si="143"/>
        <v>3029.1911891562249</v>
      </c>
      <c r="R66" s="60">
        <f t="shared" si="143"/>
        <v>494.76662996859164</v>
      </c>
      <c r="S66" s="60">
        <f t="shared" si="143"/>
        <v>1009.2555623127586</v>
      </c>
      <c r="T66" s="60">
        <f t="shared" si="143"/>
        <v>1838.2955685829329</v>
      </c>
      <c r="U66" s="60">
        <f t="shared" si="143"/>
        <v>3611.433594680318</v>
      </c>
      <c r="V66" s="60">
        <f t="shared" ref="V66:Z66" si="144">IFERROR(V17/$B52,0)</f>
        <v>560.58338979145833</v>
      </c>
      <c r="W66" s="60">
        <f t="shared" si="144"/>
        <v>1009.3441828910005</v>
      </c>
      <c r="X66" s="60">
        <f t="shared" si="144"/>
        <v>1180.0141717724621</v>
      </c>
      <c r="Y66" s="60">
        <f t="shared" si="144"/>
        <v>1507.6252735814539</v>
      </c>
      <c r="Z66" s="60">
        <f t="shared" si="144"/>
        <v>764.52689005490072</v>
      </c>
      <c r="AA66" s="60">
        <f t="shared" si="143"/>
        <v>248.57659559185873</v>
      </c>
      <c r="AB66" s="60">
        <f t="shared" si="143"/>
        <v>276.65998622053087</v>
      </c>
      <c r="AC66" s="60">
        <f t="shared" si="143"/>
        <v>24.487265503966878</v>
      </c>
      <c r="AD66" s="60">
        <f t="shared" si="143"/>
        <v>435.55018999731533</v>
      </c>
      <c r="AE66" s="60">
        <f t="shared" ref="AE66:BB66" si="145">IFERROR(AE17/$B52,0)</f>
        <v>631.69871804680974</v>
      </c>
      <c r="AF66" s="60">
        <f t="shared" si="145"/>
        <v>1168.9546250895189</v>
      </c>
      <c r="AG66" s="60">
        <f t="shared" si="145"/>
        <v>1096.7358450724312</v>
      </c>
      <c r="AH66" s="60">
        <f t="shared" si="145"/>
        <v>1120.709002082516</v>
      </c>
      <c r="AI66" s="60">
        <f t="shared" si="145"/>
        <v>327.27766025890872</v>
      </c>
      <c r="AJ66" s="60">
        <f t="shared" si="145"/>
        <v>1552.2853770461431</v>
      </c>
      <c r="AK66" s="60">
        <f t="shared" si="145"/>
        <v>126.27071452660904</v>
      </c>
      <c r="AL66" s="60">
        <f t="shared" si="145"/>
        <v>535.91844775381753</v>
      </c>
      <c r="AM66" s="60">
        <f t="shared" si="145"/>
        <v>718.01709085952677</v>
      </c>
      <c r="AN66" s="60">
        <f t="shared" si="145"/>
        <v>665.59445065743887</v>
      </c>
      <c r="AO66" s="60">
        <f t="shared" si="145"/>
        <v>1156.4325511396487</v>
      </c>
      <c r="AP66" s="60">
        <f t="shared" si="145"/>
        <v>1293.5692311026119</v>
      </c>
      <c r="AQ66" s="60">
        <f t="shared" si="145"/>
        <v>1448.6082813741341</v>
      </c>
      <c r="AR66" s="60">
        <f t="shared" si="145"/>
        <v>359.50512320679769</v>
      </c>
      <c r="AS66" s="60">
        <f t="shared" si="145"/>
        <v>586.22682494699984</v>
      </c>
      <c r="AT66" s="60">
        <f t="shared" si="145"/>
        <v>1283.4891185727761</v>
      </c>
      <c r="AU66" s="60">
        <f t="shared" ref="AU66" si="146">IFERROR(AU17/$B52,0)</f>
        <v>1758.9409363122104</v>
      </c>
      <c r="AV66" s="60">
        <f t="shared" si="145"/>
        <v>309.98222414708755</v>
      </c>
      <c r="AW66" s="60">
        <f t="shared" si="145"/>
        <v>616.85578354269342</v>
      </c>
      <c r="AX66" s="60">
        <f t="shared" si="145"/>
        <v>725.88468062123911</v>
      </c>
      <c r="AY66" s="60">
        <f t="shared" si="145"/>
        <v>953.11886391166081</v>
      </c>
      <c r="AZ66" s="60">
        <f t="shared" si="145"/>
        <v>402.96587212101633</v>
      </c>
      <c r="BA66" s="60">
        <f t="shared" si="145"/>
        <v>145.53990493351418</v>
      </c>
      <c r="BB66" s="60">
        <f t="shared" si="145"/>
        <v>143.29309078853905</v>
      </c>
    </row>
    <row r="67" spans="1:54" x14ac:dyDescent="0.25">
      <c r="A67" s="190" t="s">
        <v>1088</v>
      </c>
      <c r="B67" s="191">
        <v>2.0000000000000001E-4</v>
      </c>
      <c r="C67" s="60">
        <f>IFERROR(C5/$B53,0)</f>
        <v>0</v>
      </c>
      <c r="D67" s="60">
        <f>IFERROR(D5/$B53,0)</f>
        <v>0</v>
      </c>
      <c r="E67" s="60">
        <f>IFERROR(E5/$B53,0)</f>
        <v>0</v>
      </c>
      <c r="F67" s="60">
        <f t="shared" ref="F67:AD67" si="147">IFERROR(F5/$B53,0)</f>
        <v>0</v>
      </c>
      <c r="G67" s="60">
        <f t="shared" si="147"/>
        <v>0</v>
      </c>
      <c r="H67" s="60">
        <f t="shared" si="147"/>
        <v>0</v>
      </c>
      <c r="I67" s="60">
        <f t="shared" si="147"/>
        <v>0</v>
      </c>
      <c r="J67" s="60">
        <f t="shared" si="147"/>
        <v>0</v>
      </c>
      <c r="K67" s="60">
        <f t="shared" si="147"/>
        <v>0</v>
      </c>
      <c r="L67" s="60">
        <f t="shared" si="147"/>
        <v>0</v>
      </c>
      <c r="M67" s="60">
        <f t="shared" si="147"/>
        <v>0</v>
      </c>
      <c r="N67" s="60">
        <f t="shared" si="147"/>
        <v>0</v>
      </c>
      <c r="O67" s="60">
        <f t="shared" si="147"/>
        <v>0</v>
      </c>
      <c r="P67" s="60">
        <f t="shared" si="147"/>
        <v>0</v>
      </c>
      <c r="Q67" s="60">
        <f t="shared" si="147"/>
        <v>0</v>
      </c>
      <c r="R67" s="60">
        <f t="shared" si="147"/>
        <v>0</v>
      </c>
      <c r="S67" s="60">
        <f t="shared" si="147"/>
        <v>0</v>
      </c>
      <c r="T67" s="60">
        <f t="shared" si="147"/>
        <v>0</v>
      </c>
      <c r="U67" s="60">
        <f t="shared" si="147"/>
        <v>0</v>
      </c>
      <c r="V67" s="60">
        <f t="shared" ref="V67:Z67" si="148">IFERROR(V5/$B53,0)</f>
        <v>0</v>
      </c>
      <c r="W67" s="60">
        <f t="shared" si="148"/>
        <v>0</v>
      </c>
      <c r="X67" s="60">
        <f t="shared" si="148"/>
        <v>0</v>
      </c>
      <c r="Y67" s="60">
        <f t="shared" si="148"/>
        <v>0</v>
      </c>
      <c r="Z67" s="60">
        <f t="shared" si="148"/>
        <v>0</v>
      </c>
      <c r="AA67" s="60">
        <f t="shared" si="147"/>
        <v>0</v>
      </c>
      <c r="AB67" s="60">
        <f t="shared" si="147"/>
        <v>0</v>
      </c>
      <c r="AC67" s="60">
        <f t="shared" si="147"/>
        <v>0</v>
      </c>
      <c r="AD67" s="60">
        <f t="shared" si="147"/>
        <v>0</v>
      </c>
      <c r="AE67" s="60">
        <f t="shared" ref="AE67:BB67" si="149">IFERROR(AE5/$B53,0)</f>
        <v>0</v>
      </c>
      <c r="AF67" s="60">
        <f t="shared" si="149"/>
        <v>0</v>
      </c>
      <c r="AG67" s="60">
        <f t="shared" si="149"/>
        <v>0</v>
      </c>
      <c r="AH67" s="60">
        <f t="shared" si="149"/>
        <v>0</v>
      </c>
      <c r="AI67" s="60">
        <f t="shared" si="149"/>
        <v>0</v>
      </c>
      <c r="AJ67" s="60">
        <f t="shared" si="149"/>
        <v>0</v>
      </c>
      <c r="AK67" s="60">
        <f t="shared" si="149"/>
        <v>0</v>
      </c>
      <c r="AL67" s="60">
        <f t="shared" si="149"/>
        <v>0</v>
      </c>
      <c r="AM67" s="60">
        <f t="shared" si="149"/>
        <v>0</v>
      </c>
      <c r="AN67" s="60">
        <f t="shared" si="149"/>
        <v>0</v>
      </c>
      <c r="AO67" s="60">
        <f t="shared" si="149"/>
        <v>0</v>
      </c>
      <c r="AP67" s="60">
        <f t="shared" si="149"/>
        <v>0</v>
      </c>
      <c r="AQ67" s="60">
        <f t="shared" si="149"/>
        <v>0</v>
      </c>
      <c r="AR67" s="60">
        <f t="shared" si="149"/>
        <v>0</v>
      </c>
      <c r="AS67" s="60">
        <f t="shared" si="149"/>
        <v>0</v>
      </c>
      <c r="AT67" s="60">
        <f t="shared" si="149"/>
        <v>0</v>
      </c>
      <c r="AU67" s="60">
        <f t="shared" ref="AU67" si="150">IFERROR(AU5/$B53,0)</f>
        <v>0</v>
      </c>
      <c r="AV67" s="60">
        <f t="shared" si="149"/>
        <v>0</v>
      </c>
      <c r="AW67" s="60">
        <f t="shared" si="149"/>
        <v>0</v>
      </c>
      <c r="AX67" s="60">
        <f t="shared" si="149"/>
        <v>0</v>
      </c>
      <c r="AY67" s="60">
        <f t="shared" si="149"/>
        <v>0</v>
      </c>
      <c r="AZ67" s="60">
        <f t="shared" si="149"/>
        <v>0</v>
      </c>
      <c r="BA67" s="60">
        <f t="shared" si="149"/>
        <v>0</v>
      </c>
      <c r="BB67" s="60">
        <f t="shared" si="149"/>
        <v>0</v>
      </c>
    </row>
    <row r="68" spans="1:54" x14ac:dyDescent="0.25">
      <c r="A68" s="190" t="s">
        <v>1089</v>
      </c>
      <c r="B68" s="191">
        <v>0.99999979999999999</v>
      </c>
      <c r="C68" s="60">
        <f>IFERROR(C9/$B54,0)</f>
        <v>42.944971812283967</v>
      </c>
      <c r="D68" s="60">
        <f>IFERROR(D9/$B54,0)</f>
        <v>780.68054971652157</v>
      </c>
      <c r="E68" s="60">
        <f>IFERROR(E9/$B54,0)</f>
        <v>1707.9205861098162</v>
      </c>
      <c r="F68" s="60">
        <f t="shared" ref="F68:AD68" si="151">IFERROR(F9/$B54,0)</f>
        <v>2059.7544468940905</v>
      </c>
      <c r="G68" s="60">
        <f t="shared" si="151"/>
        <v>1755.8355787548808</v>
      </c>
      <c r="H68" s="60">
        <f t="shared" si="151"/>
        <v>2154.4594304681978</v>
      </c>
      <c r="I68" s="60">
        <f t="shared" si="151"/>
        <v>841.32775285109312</v>
      </c>
      <c r="J68" s="60">
        <f t="shared" si="151"/>
        <v>2371.3273637624025</v>
      </c>
      <c r="K68" s="60">
        <f t="shared" si="151"/>
        <v>202.43306939785631</v>
      </c>
      <c r="L68" s="60">
        <f t="shared" si="151"/>
        <v>1110.1924900710942</v>
      </c>
      <c r="M68" s="60">
        <f t="shared" si="151"/>
        <v>832.1170842674718</v>
      </c>
      <c r="N68" s="60">
        <f t="shared" si="151"/>
        <v>1854.1257230545452</v>
      </c>
      <c r="O68" s="60">
        <f t="shared" si="151"/>
        <v>1808.0243750837305</v>
      </c>
      <c r="P68" s="60">
        <f t="shared" si="151"/>
        <v>2245.1692570623077</v>
      </c>
      <c r="Q68" s="60">
        <f t="shared" si="151"/>
        <v>3204.9095655491001</v>
      </c>
      <c r="R68" s="60">
        <f t="shared" si="151"/>
        <v>501.20114611975237</v>
      </c>
      <c r="S68" s="60">
        <f t="shared" si="151"/>
        <v>1022.4217292639578</v>
      </c>
      <c r="T68" s="60">
        <f t="shared" si="151"/>
        <v>1784.307118725211</v>
      </c>
      <c r="U68" s="60">
        <f t="shared" si="151"/>
        <v>3536.2990671158022</v>
      </c>
      <c r="V68" s="60">
        <f t="shared" ref="V68:Z68" si="152">IFERROR(V9/$B54,0)</f>
        <v>524.94223523497453</v>
      </c>
      <c r="W68" s="60">
        <f t="shared" si="152"/>
        <v>1067.744741370049</v>
      </c>
      <c r="X68" s="60">
        <f t="shared" si="152"/>
        <v>1168.9018945388743</v>
      </c>
      <c r="Y68" s="60">
        <f t="shared" si="152"/>
        <v>1526.8070157545515</v>
      </c>
      <c r="Z68" s="60">
        <f t="shared" si="152"/>
        <v>813.703280417173</v>
      </c>
      <c r="AA68" s="60">
        <f t="shared" si="151"/>
        <v>353.88260598965843</v>
      </c>
      <c r="AB68" s="60">
        <f t="shared" si="151"/>
        <v>405.8405342613321</v>
      </c>
      <c r="AC68" s="60">
        <f t="shared" si="151"/>
        <v>26.252288143982526</v>
      </c>
      <c r="AD68" s="60">
        <f t="shared" si="151"/>
        <v>441.23212699252997</v>
      </c>
      <c r="AE68" s="60">
        <f t="shared" ref="AE68:BB68" si="153">IFERROR(AE9/$B54,0)</f>
        <v>1039.6555895653148</v>
      </c>
      <c r="AF68" s="60">
        <f t="shared" si="153"/>
        <v>1236.9461011540491</v>
      </c>
      <c r="AG68" s="60">
        <f t="shared" si="153"/>
        <v>1111.0697268842359</v>
      </c>
      <c r="AH68" s="60">
        <f t="shared" si="153"/>
        <v>1189.5957694910128</v>
      </c>
      <c r="AI68" s="60">
        <f t="shared" si="153"/>
        <v>538.64421822116935</v>
      </c>
      <c r="AJ68" s="60">
        <f t="shared" si="153"/>
        <v>1642.3308872567181</v>
      </c>
      <c r="AK68" s="60">
        <f t="shared" si="153"/>
        <v>127.91644412667151</v>
      </c>
      <c r="AL68" s="60">
        <f t="shared" si="153"/>
        <v>500.23836050435887</v>
      </c>
      <c r="AM68" s="60">
        <f t="shared" si="153"/>
        <v>759.51228471369211</v>
      </c>
      <c r="AN68" s="60">
        <f t="shared" si="153"/>
        <v>1102.9431047723929</v>
      </c>
      <c r="AO68" s="60">
        <f t="shared" si="153"/>
        <v>1140.0433939108061</v>
      </c>
      <c r="AP68" s="60">
        <f t="shared" si="153"/>
        <v>1368.5233526533916</v>
      </c>
      <c r="AQ68" s="60">
        <f t="shared" si="153"/>
        <v>1532.6396545484497</v>
      </c>
      <c r="AR68" s="60">
        <f t="shared" si="153"/>
        <v>364.18054265019464</v>
      </c>
      <c r="AS68" s="60">
        <f t="shared" si="153"/>
        <v>593.87440256434456</v>
      </c>
      <c r="AT68" s="60">
        <f t="shared" si="153"/>
        <v>1245.7946427195739</v>
      </c>
      <c r="AU68" s="60">
        <f t="shared" ref="AU68" si="154">IFERROR(AU9/$B54,0)</f>
        <v>1722.3468268543011</v>
      </c>
      <c r="AV68" s="60">
        <f t="shared" si="153"/>
        <v>290.27396207264587</v>
      </c>
      <c r="AW68" s="60">
        <f t="shared" si="153"/>
        <v>652.54700054336138</v>
      </c>
      <c r="AX68" s="60">
        <f t="shared" si="153"/>
        <v>719.04897304786186</v>
      </c>
      <c r="AY68" s="60">
        <f t="shared" si="153"/>
        <v>965.24553797864428</v>
      </c>
      <c r="AZ68" s="60">
        <f t="shared" si="153"/>
        <v>428.88570213337027</v>
      </c>
      <c r="BA68" s="60">
        <f t="shared" si="153"/>
        <v>207.19585732006848</v>
      </c>
      <c r="BB68" s="60">
        <f t="shared" si="153"/>
        <v>210.20077863816019</v>
      </c>
    </row>
    <row r="69" spans="1:54" x14ac:dyDescent="0.25">
      <c r="A69" s="190" t="s">
        <v>1090</v>
      </c>
      <c r="B69" s="191">
        <v>1.9999999999999999E-7</v>
      </c>
      <c r="C69" s="60">
        <f>IFERROR(C24/$B55,0)</f>
        <v>0</v>
      </c>
      <c r="D69" s="60">
        <f>IFERROR(D24/$B55,0)</f>
        <v>0</v>
      </c>
      <c r="E69" s="60">
        <f>IFERROR(E24/$B55,0)</f>
        <v>0</v>
      </c>
      <c r="F69" s="60">
        <f t="shared" ref="F69:AD69" si="155">IFERROR(F24/$B55,0)</f>
        <v>0</v>
      </c>
      <c r="G69" s="60">
        <f t="shared" si="155"/>
        <v>0</v>
      </c>
      <c r="H69" s="60">
        <f t="shared" si="155"/>
        <v>0</v>
      </c>
      <c r="I69" s="60">
        <f t="shared" si="155"/>
        <v>0</v>
      </c>
      <c r="J69" s="60">
        <f t="shared" si="155"/>
        <v>0</v>
      </c>
      <c r="K69" s="60">
        <f t="shared" si="155"/>
        <v>0</v>
      </c>
      <c r="L69" s="60">
        <f t="shared" si="155"/>
        <v>0</v>
      </c>
      <c r="M69" s="60">
        <f t="shared" si="155"/>
        <v>0</v>
      </c>
      <c r="N69" s="60">
        <f t="shared" si="155"/>
        <v>0</v>
      </c>
      <c r="O69" s="60">
        <f t="shared" si="155"/>
        <v>0</v>
      </c>
      <c r="P69" s="60">
        <f t="shared" si="155"/>
        <v>0</v>
      </c>
      <c r="Q69" s="60">
        <f t="shared" si="155"/>
        <v>0</v>
      </c>
      <c r="R69" s="60">
        <f t="shared" si="155"/>
        <v>0</v>
      </c>
      <c r="S69" s="60">
        <f t="shared" si="155"/>
        <v>0</v>
      </c>
      <c r="T69" s="60">
        <f t="shared" si="155"/>
        <v>0</v>
      </c>
      <c r="U69" s="60">
        <f t="shared" si="155"/>
        <v>0</v>
      </c>
      <c r="V69" s="60">
        <f t="shared" ref="V69:Z69" si="156">IFERROR(V24/$B55,0)</f>
        <v>0</v>
      </c>
      <c r="W69" s="60">
        <f t="shared" si="156"/>
        <v>0</v>
      </c>
      <c r="X69" s="60">
        <f t="shared" si="156"/>
        <v>0</v>
      </c>
      <c r="Y69" s="60">
        <f t="shared" si="156"/>
        <v>0</v>
      </c>
      <c r="Z69" s="60">
        <f t="shared" si="156"/>
        <v>0</v>
      </c>
      <c r="AA69" s="60">
        <f t="shared" si="155"/>
        <v>0</v>
      </c>
      <c r="AB69" s="60">
        <f t="shared" si="155"/>
        <v>0</v>
      </c>
      <c r="AC69" s="60">
        <f t="shared" si="155"/>
        <v>0</v>
      </c>
      <c r="AD69" s="60">
        <f t="shared" si="155"/>
        <v>0</v>
      </c>
      <c r="AE69" s="60">
        <f t="shared" ref="AE69:BB69" si="157">IFERROR(AE24/$B55,0)</f>
        <v>0</v>
      </c>
      <c r="AF69" s="60">
        <f t="shared" si="157"/>
        <v>0</v>
      </c>
      <c r="AG69" s="60">
        <f t="shared" si="157"/>
        <v>0</v>
      </c>
      <c r="AH69" s="60">
        <f t="shared" si="157"/>
        <v>0</v>
      </c>
      <c r="AI69" s="60">
        <f t="shared" si="157"/>
        <v>0</v>
      </c>
      <c r="AJ69" s="60">
        <f t="shared" si="157"/>
        <v>0</v>
      </c>
      <c r="AK69" s="60">
        <f t="shared" si="157"/>
        <v>0</v>
      </c>
      <c r="AL69" s="60">
        <f t="shared" si="157"/>
        <v>0</v>
      </c>
      <c r="AM69" s="60">
        <f t="shared" si="157"/>
        <v>0</v>
      </c>
      <c r="AN69" s="60">
        <f t="shared" si="157"/>
        <v>0</v>
      </c>
      <c r="AO69" s="60">
        <f t="shared" si="157"/>
        <v>0</v>
      </c>
      <c r="AP69" s="60">
        <f t="shared" si="157"/>
        <v>0</v>
      </c>
      <c r="AQ69" s="60">
        <f t="shared" si="157"/>
        <v>0</v>
      </c>
      <c r="AR69" s="60">
        <f t="shared" si="157"/>
        <v>0</v>
      </c>
      <c r="AS69" s="60">
        <f t="shared" si="157"/>
        <v>0</v>
      </c>
      <c r="AT69" s="60">
        <f t="shared" si="157"/>
        <v>0</v>
      </c>
      <c r="AU69" s="60">
        <f t="shared" ref="AU69" si="158">IFERROR(AU24/$B55,0)</f>
        <v>0</v>
      </c>
      <c r="AV69" s="60">
        <f t="shared" si="157"/>
        <v>0</v>
      </c>
      <c r="AW69" s="60">
        <f t="shared" si="157"/>
        <v>0</v>
      </c>
      <c r="AX69" s="60">
        <f t="shared" si="157"/>
        <v>0</v>
      </c>
      <c r="AY69" s="60">
        <f t="shared" si="157"/>
        <v>0</v>
      </c>
      <c r="AZ69" s="60">
        <f t="shared" si="157"/>
        <v>0</v>
      </c>
      <c r="BA69" s="60">
        <f t="shared" si="157"/>
        <v>0</v>
      </c>
      <c r="BB69" s="60">
        <f t="shared" si="157"/>
        <v>0</v>
      </c>
    </row>
    <row r="70" spans="1:54" x14ac:dyDescent="0.25">
      <c r="A70" s="190" t="s">
        <v>1091</v>
      </c>
      <c r="B70" s="191">
        <v>0.99979000004200003</v>
      </c>
      <c r="C70" s="60">
        <f>IFERROR(C20/$B56,0)</f>
        <v>0</v>
      </c>
      <c r="D70" s="60">
        <f>IFERROR(D20/$B56,0)</f>
        <v>0</v>
      </c>
      <c r="E70" s="60">
        <f>IFERROR(E20/$B56,0)</f>
        <v>0</v>
      </c>
      <c r="F70" s="60">
        <f t="shared" ref="F70:AD70" si="159">IFERROR(F20/$B56,0)</f>
        <v>0</v>
      </c>
      <c r="G70" s="60">
        <f t="shared" si="159"/>
        <v>0</v>
      </c>
      <c r="H70" s="60">
        <f t="shared" si="159"/>
        <v>0</v>
      </c>
      <c r="I70" s="60">
        <f t="shared" si="159"/>
        <v>0</v>
      </c>
      <c r="J70" s="60">
        <f t="shared" si="159"/>
        <v>0</v>
      </c>
      <c r="K70" s="60">
        <f t="shared" si="159"/>
        <v>0</v>
      </c>
      <c r="L70" s="60">
        <f t="shared" si="159"/>
        <v>0</v>
      </c>
      <c r="M70" s="60">
        <f t="shared" si="159"/>
        <v>0</v>
      </c>
      <c r="N70" s="60">
        <f t="shared" si="159"/>
        <v>0</v>
      </c>
      <c r="O70" s="60">
        <f t="shared" si="159"/>
        <v>0</v>
      </c>
      <c r="P70" s="60">
        <f t="shared" si="159"/>
        <v>0</v>
      </c>
      <c r="Q70" s="60">
        <f t="shared" si="159"/>
        <v>0</v>
      </c>
      <c r="R70" s="60">
        <f t="shared" si="159"/>
        <v>0</v>
      </c>
      <c r="S70" s="60">
        <f t="shared" si="159"/>
        <v>0</v>
      </c>
      <c r="T70" s="60">
        <f t="shared" si="159"/>
        <v>0</v>
      </c>
      <c r="U70" s="60">
        <f t="shared" si="159"/>
        <v>0</v>
      </c>
      <c r="V70" s="60">
        <f t="shared" ref="V70:Z70" si="160">IFERROR(V20/$B56,0)</f>
        <v>0</v>
      </c>
      <c r="W70" s="60">
        <f t="shared" si="160"/>
        <v>0</v>
      </c>
      <c r="X70" s="60">
        <f t="shared" si="160"/>
        <v>0</v>
      </c>
      <c r="Y70" s="60">
        <f t="shared" si="160"/>
        <v>0</v>
      </c>
      <c r="Z70" s="60">
        <f t="shared" si="160"/>
        <v>0</v>
      </c>
      <c r="AA70" s="60">
        <f t="shared" si="159"/>
        <v>0</v>
      </c>
      <c r="AB70" s="60">
        <f t="shared" si="159"/>
        <v>0</v>
      </c>
      <c r="AC70" s="60">
        <f t="shared" si="159"/>
        <v>0</v>
      </c>
      <c r="AD70" s="60">
        <f t="shared" si="159"/>
        <v>0</v>
      </c>
      <c r="AE70" s="60">
        <f t="shared" ref="AE70:BB70" si="161">IFERROR(AE20/$B56,0)</f>
        <v>0</v>
      </c>
      <c r="AF70" s="60">
        <f t="shared" si="161"/>
        <v>0</v>
      </c>
      <c r="AG70" s="60">
        <f t="shared" si="161"/>
        <v>0</v>
      </c>
      <c r="AH70" s="60">
        <f t="shared" si="161"/>
        <v>0</v>
      </c>
      <c r="AI70" s="60">
        <f t="shared" si="161"/>
        <v>0</v>
      </c>
      <c r="AJ70" s="60">
        <f t="shared" si="161"/>
        <v>0</v>
      </c>
      <c r="AK70" s="60">
        <f t="shared" si="161"/>
        <v>0</v>
      </c>
      <c r="AL70" s="60">
        <f t="shared" si="161"/>
        <v>0</v>
      </c>
      <c r="AM70" s="60">
        <f t="shared" si="161"/>
        <v>0</v>
      </c>
      <c r="AN70" s="60">
        <f t="shared" si="161"/>
        <v>0</v>
      </c>
      <c r="AO70" s="60">
        <f t="shared" si="161"/>
        <v>0</v>
      </c>
      <c r="AP70" s="60">
        <f t="shared" si="161"/>
        <v>0</v>
      </c>
      <c r="AQ70" s="60">
        <f t="shared" si="161"/>
        <v>0</v>
      </c>
      <c r="AR70" s="60">
        <f t="shared" si="161"/>
        <v>0</v>
      </c>
      <c r="AS70" s="60">
        <f t="shared" si="161"/>
        <v>0</v>
      </c>
      <c r="AT70" s="60">
        <f t="shared" si="161"/>
        <v>0</v>
      </c>
      <c r="AU70" s="60">
        <f t="shared" ref="AU70" si="162">IFERROR(AU20/$B56,0)</f>
        <v>0</v>
      </c>
      <c r="AV70" s="60">
        <f t="shared" si="161"/>
        <v>0</v>
      </c>
      <c r="AW70" s="60">
        <f t="shared" si="161"/>
        <v>0</v>
      </c>
      <c r="AX70" s="60">
        <f t="shared" si="161"/>
        <v>0</v>
      </c>
      <c r="AY70" s="60">
        <f t="shared" si="161"/>
        <v>0</v>
      </c>
      <c r="AZ70" s="60">
        <f t="shared" si="161"/>
        <v>0</v>
      </c>
      <c r="BA70" s="60">
        <f t="shared" si="161"/>
        <v>0</v>
      </c>
      <c r="BB70" s="60">
        <f t="shared" si="161"/>
        <v>0</v>
      </c>
    </row>
    <row r="71" spans="1:54" x14ac:dyDescent="0.25">
      <c r="A71" s="190" t="s">
        <v>1092</v>
      </c>
      <c r="B71" s="191">
        <v>2.0999995799999999E-4</v>
      </c>
      <c r="C71" s="60">
        <f>IFERROR(C29/$B57,0)</f>
        <v>0</v>
      </c>
      <c r="D71" s="60">
        <f>IFERROR(D29/$B57,0)</f>
        <v>0</v>
      </c>
      <c r="E71" s="60">
        <f>IFERROR(E29/$B57,0)</f>
        <v>0</v>
      </c>
      <c r="F71" s="60">
        <f t="shared" ref="F71:AD71" si="163">IFERROR(F29/$B57,0)</f>
        <v>0</v>
      </c>
      <c r="G71" s="60">
        <f t="shared" si="163"/>
        <v>0</v>
      </c>
      <c r="H71" s="60">
        <f t="shared" si="163"/>
        <v>0</v>
      </c>
      <c r="I71" s="60">
        <f t="shared" si="163"/>
        <v>0</v>
      </c>
      <c r="J71" s="60">
        <f t="shared" si="163"/>
        <v>0</v>
      </c>
      <c r="K71" s="60">
        <f t="shared" si="163"/>
        <v>0</v>
      </c>
      <c r="L71" s="60">
        <f t="shared" si="163"/>
        <v>0</v>
      </c>
      <c r="M71" s="60">
        <f t="shared" si="163"/>
        <v>0</v>
      </c>
      <c r="N71" s="60">
        <f t="shared" si="163"/>
        <v>0</v>
      </c>
      <c r="O71" s="60">
        <f t="shared" si="163"/>
        <v>0</v>
      </c>
      <c r="P71" s="60">
        <f t="shared" si="163"/>
        <v>0</v>
      </c>
      <c r="Q71" s="60">
        <f t="shared" si="163"/>
        <v>0</v>
      </c>
      <c r="R71" s="60">
        <f t="shared" si="163"/>
        <v>0</v>
      </c>
      <c r="S71" s="60">
        <f t="shared" si="163"/>
        <v>0</v>
      </c>
      <c r="T71" s="60">
        <f t="shared" si="163"/>
        <v>0</v>
      </c>
      <c r="U71" s="60">
        <f t="shared" si="163"/>
        <v>0</v>
      </c>
      <c r="V71" s="60">
        <f t="shared" ref="V71:Z71" si="164">IFERROR(V29/$B57,0)</f>
        <v>0</v>
      </c>
      <c r="W71" s="60">
        <f t="shared" si="164"/>
        <v>0</v>
      </c>
      <c r="X71" s="60">
        <f t="shared" si="164"/>
        <v>0</v>
      </c>
      <c r="Y71" s="60">
        <f t="shared" si="164"/>
        <v>0</v>
      </c>
      <c r="Z71" s="60">
        <f t="shared" si="164"/>
        <v>0</v>
      </c>
      <c r="AA71" s="60">
        <f t="shared" si="163"/>
        <v>0</v>
      </c>
      <c r="AB71" s="60">
        <f t="shared" si="163"/>
        <v>0</v>
      </c>
      <c r="AC71" s="60">
        <f t="shared" si="163"/>
        <v>0</v>
      </c>
      <c r="AD71" s="60">
        <f t="shared" si="163"/>
        <v>0</v>
      </c>
      <c r="AE71" s="60">
        <f t="shared" ref="AE71:BB71" si="165">IFERROR(AE29/$B57,0)</f>
        <v>0</v>
      </c>
      <c r="AF71" s="60">
        <f t="shared" si="165"/>
        <v>0</v>
      </c>
      <c r="AG71" s="60">
        <f t="shared" si="165"/>
        <v>0</v>
      </c>
      <c r="AH71" s="60">
        <f t="shared" si="165"/>
        <v>0</v>
      </c>
      <c r="AI71" s="60">
        <f t="shared" si="165"/>
        <v>0</v>
      </c>
      <c r="AJ71" s="60">
        <f t="shared" si="165"/>
        <v>0</v>
      </c>
      <c r="AK71" s="60">
        <f t="shared" si="165"/>
        <v>0</v>
      </c>
      <c r="AL71" s="60">
        <f t="shared" si="165"/>
        <v>0</v>
      </c>
      <c r="AM71" s="60">
        <f t="shared" si="165"/>
        <v>0</v>
      </c>
      <c r="AN71" s="60">
        <f t="shared" si="165"/>
        <v>0</v>
      </c>
      <c r="AO71" s="60">
        <f t="shared" si="165"/>
        <v>0</v>
      </c>
      <c r="AP71" s="60">
        <f t="shared" si="165"/>
        <v>0</v>
      </c>
      <c r="AQ71" s="60">
        <f t="shared" si="165"/>
        <v>0</v>
      </c>
      <c r="AR71" s="60">
        <f t="shared" si="165"/>
        <v>0</v>
      </c>
      <c r="AS71" s="60">
        <f t="shared" si="165"/>
        <v>0</v>
      </c>
      <c r="AT71" s="60">
        <f t="shared" si="165"/>
        <v>0</v>
      </c>
      <c r="AU71" s="60">
        <f t="shared" ref="AU71" si="166">IFERROR(AU29/$B57,0)</f>
        <v>0</v>
      </c>
      <c r="AV71" s="60">
        <f t="shared" si="165"/>
        <v>0</v>
      </c>
      <c r="AW71" s="60">
        <f t="shared" si="165"/>
        <v>0</v>
      </c>
      <c r="AX71" s="60">
        <f t="shared" si="165"/>
        <v>0</v>
      </c>
      <c r="AY71" s="60">
        <f t="shared" si="165"/>
        <v>0</v>
      </c>
      <c r="AZ71" s="60">
        <f t="shared" si="165"/>
        <v>0</v>
      </c>
      <c r="BA71" s="60">
        <f t="shared" si="165"/>
        <v>0</v>
      </c>
      <c r="BB71" s="60">
        <f t="shared" si="165"/>
        <v>0</v>
      </c>
    </row>
    <row r="72" spans="1:54" x14ac:dyDescent="0.25">
      <c r="A72" s="190" t="s">
        <v>1093</v>
      </c>
      <c r="B72" s="191">
        <v>1</v>
      </c>
      <c r="C72" s="60">
        <f>IFERROR(C16/$B58,0)</f>
        <v>1.645504735421115E-2</v>
      </c>
      <c r="D72" s="60">
        <f>IFERROR(D16/$B58,0)</f>
        <v>0.31739621842388793</v>
      </c>
      <c r="E72" s="60">
        <f>IFERROR(E16/$B58,0)</f>
        <v>0.4274107922735827</v>
      </c>
      <c r="F72" s="60">
        <f t="shared" ref="F72:AD72" si="167">IFERROR(F16/$B58,0)</f>
        <v>0.8017143087607399</v>
      </c>
      <c r="G72" s="60">
        <f t="shared" si="167"/>
        <v>0.71384163772494891</v>
      </c>
      <c r="H72" s="60">
        <f t="shared" si="167"/>
        <v>0.83596689234596711</v>
      </c>
      <c r="I72" s="60">
        <f t="shared" si="167"/>
        <v>0.21054109749707559</v>
      </c>
      <c r="J72" s="60">
        <f t="shared" si="167"/>
        <v>0.9231233290517149</v>
      </c>
      <c r="K72" s="60">
        <f t="shared" si="167"/>
        <v>8.2302879135207882E-2</v>
      </c>
      <c r="L72" s="60">
        <f t="shared" si="167"/>
        <v>0.48986601165760368</v>
      </c>
      <c r="M72" s="60">
        <f t="shared" si="167"/>
        <v>0.32399754971921463</v>
      </c>
      <c r="N72" s="60">
        <f t="shared" si="167"/>
        <v>0.46084307902692551</v>
      </c>
      <c r="O72" s="60">
        <f t="shared" si="167"/>
        <v>0.75537136010220896</v>
      </c>
      <c r="P72" s="60">
        <f t="shared" si="167"/>
        <v>0.87406525942468605</v>
      </c>
      <c r="Q72" s="60">
        <f t="shared" si="167"/>
        <v>1.2476247829255021</v>
      </c>
      <c r="R72" s="60">
        <f t="shared" si="167"/>
        <v>0.2037781938370451</v>
      </c>
      <c r="S72" s="60">
        <f t="shared" si="167"/>
        <v>0.41567935901647424</v>
      </c>
      <c r="T72" s="60">
        <f t="shared" si="167"/>
        <v>0.75713382434109211</v>
      </c>
      <c r="U72" s="60">
        <f t="shared" si="167"/>
        <v>1.4874313878708836</v>
      </c>
      <c r="V72" s="60">
        <f t="shared" ref="V72:Z72" si="168">IFERROR(V16/$B58,0)</f>
        <v>0.23088596471027834</v>
      </c>
      <c r="W72" s="60">
        <f t="shared" si="168"/>
        <v>0.41571585893436896</v>
      </c>
      <c r="X72" s="60">
        <f t="shared" si="168"/>
        <v>0.48600924569462928</v>
      </c>
      <c r="Y72" s="60">
        <f t="shared" si="168"/>
        <v>0.62094154420441083</v>
      </c>
      <c r="Z72" s="60">
        <f t="shared" si="168"/>
        <v>0.3148836226184672</v>
      </c>
      <c r="AA72" s="60">
        <f t="shared" si="167"/>
        <v>0.10238057017524839</v>
      </c>
      <c r="AB72" s="60">
        <f t="shared" si="167"/>
        <v>0.11394720032468732</v>
      </c>
      <c r="AC72" s="60">
        <f t="shared" si="167"/>
        <v>1.0085503819696409E-2</v>
      </c>
      <c r="AD72" s="60">
        <f t="shared" si="167"/>
        <v>0.17938887885116472</v>
      </c>
      <c r="AE72" s="60">
        <f t="shared" ref="AE72:BB72" si="169">IFERROR(AE16/$B58,0)</f>
        <v>0.26017604263433725</v>
      </c>
      <c r="AF72" s="60">
        <f t="shared" si="169"/>
        <v>0.48145418011179131</v>
      </c>
      <c r="AG72" s="60">
        <f t="shared" si="169"/>
        <v>0.45170962649480362</v>
      </c>
      <c r="AH72" s="60">
        <f t="shared" si="169"/>
        <v>0.46158338583948133</v>
      </c>
      <c r="AI72" s="60">
        <f t="shared" si="169"/>
        <v>0.13479496484030901</v>
      </c>
      <c r="AJ72" s="60">
        <f t="shared" si="169"/>
        <v>0.6393355802395162</v>
      </c>
      <c r="AK72" s="60">
        <f t="shared" si="169"/>
        <v>5.2006777705236443E-2</v>
      </c>
      <c r="AL72" s="60">
        <f t="shared" si="169"/>
        <v>0.22072728173716652</v>
      </c>
      <c r="AM72" s="60">
        <f t="shared" si="169"/>
        <v>0.29572775740508644</v>
      </c>
      <c r="AN72" s="60">
        <f t="shared" si="169"/>
        <v>0.27413658635697252</v>
      </c>
      <c r="AO72" s="60">
        <f t="shared" si="169"/>
        <v>0.47629674737878652</v>
      </c>
      <c r="AP72" s="60">
        <f t="shared" si="169"/>
        <v>0.53277886088234994</v>
      </c>
      <c r="AQ72" s="60">
        <f t="shared" si="169"/>
        <v>0.59663437522968421</v>
      </c>
      <c r="AR72" s="60">
        <f t="shared" si="169"/>
        <v>0.14806840284862419</v>
      </c>
      <c r="AS72" s="60">
        <f t="shared" si="169"/>
        <v>0.24144765699762072</v>
      </c>
      <c r="AT72" s="60">
        <f t="shared" si="169"/>
        <v>0.52862719219536813</v>
      </c>
      <c r="AU72" s="60">
        <f t="shared" ref="AU72" si="170">IFERROR(AU16/$B58,0)</f>
        <v>0.72445024655461709</v>
      </c>
      <c r="AV72" s="60">
        <f t="shared" si="169"/>
        <v>0.12767154034275419</v>
      </c>
      <c r="AW72" s="60">
        <f t="shared" si="169"/>
        <v>0.25406272334139629</v>
      </c>
      <c r="AX72" s="60">
        <f t="shared" si="169"/>
        <v>0.29896816032311346</v>
      </c>
      <c r="AY72" s="60">
        <f t="shared" si="169"/>
        <v>0.39255848886224243</v>
      </c>
      <c r="AZ72" s="60">
        <f t="shared" si="169"/>
        <v>0.16596846396856471</v>
      </c>
      <c r="BA72" s="60">
        <f t="shared" si="169"/>
        <v>5.9943127046481443E-2</v>
      </c>
      <c r="BB72" s="60">
        <f t="shared" si="169"/>
        <v>5.9017737780880354E-2</v>
      </c>
    </row>
    <row r="73" spans="1:54" x14ac:dyDescent="0.25">
      <c r="A73" s="190" t="s">
        <v>1094</v>
      </c>
      <c r="B73" s="191">
        <v>1</v>
      </c>
      <c r="C73" s="60">
        <f>IFERROR(C7/$B59,0)</f>
        <v>0.87475962020166631</v>
      </c>
      <c r="D73" s="60">
        <f>IFERROR(D7/$B59,0)</f>
        <v>15.901927335146455</v>
      </c>
      <c r="E73" s="60">
        <f>IFERROR(E7/$B59,0)</f>
        <v>34.789170889912683</v>
      </c>
      <c r="F73" s="60">
        <f t="shared" ref="F73:AD73" si="171">IFERROR(F7/$B59,0)</f>
        <v>41.955785314041918</v>
      </c>
      <c r="G73" s="60">
        <f t="shared" si="171"/>
        <v>35.765166425580325</v>
      </c>
      <c r="H73" s="60">
        <f t="shared" si="171"/>
        <v>43.884860872051583</v>
      </c>
      <c r="I73" s="60">
        <f t="shared" si="171"/>
        <v>17.137269265563468</v>
      </c>
      <c r="J73" s="60">
        <f t="shared" si="171"/>
        <v>48.302311925264171</v>
      </c>
      <c r="K73" s="60">
        <f t="shared" si="171"/>
        <v>4.1234227764022968</v>
      </c>
      <c r="L73" s="60">
        <f t="shared" si="171"/>
        <v>22.613859550550323</v>
      </c>
      <c r="M73" s="60">
        <f t="shared" si="171"/>
        <v>16.949654264039413</v>
      </c>
      <c r="N73" s="60">
        <f t="shared" si="171"/>
        <v>37.767269248536373</v>
      </c>
      <c r="O73" s="60">
        <f t="shared" si="171"/>
        <v>36.828216410918735</v>
      </c>
      <c r="P73" s="60">
        <f t="shared" si="171"/>
        <v>45.73255782262509</v>
      </c>
      <c r="Q73" s="60">
        <f t="shared" si="171"/>
        <v>65.281809628257761</v>
      </c>
      <c r="R73" s="60">
        <f t="shared" si="171"/>
        <v>10.20912357658006</v>
      </c>
      <c r="S73" s="60">
        <f t="shared" si="171"/>
        <v>20.826029354175621</v>
      </c>
      <c r="T73" s="60">
        <f t="shared" si="171"/>
        <v>36.345112166373163</v>
      </c>
      <c r="U73" s="60">
        <f t="shared" si="171"/>
        <v>72.031986477748418</v>
      </c>
      <c r="V73" s="60">
        <f t="shared" ref="V73:Z73" si="172">IFERROR(V7/$B59,0)</f>
        <v>10.692713278032958</v>
      </c>
      <c r="W73" s="60">
        <f t="shared" si="172"/>
        <v>21.749228024083223</v>
      </c>
      <c r="X73" s="60">
        <f t="shared" si="172"/>
        <v>23.809729851245493</v>
      </c>
      <c r="Y73" s="60">
        <f t="shared" si="172"/>
        <v>31.100011686133172</v>
      </c>
      <c r="Z73" s="60">
        <f t="shared" si="172"/>
        <v>16.57457770949042</v>
      </c>
      <c r="AA73" s="60">
        <f t="shared" si="171"/>
        <v>7.2083459587448697</v>
      </c>
      <c r="AB73" s="60">
        <f t="shared" si="171"/>
        <v>8.2666933201091641</v>
      </c>
      <c r="AC73" s="60">
        <f t="shared" si="171"/>
        <v>0.53474110325731117</v>
      </c>
      <c r="AD73" s="60">
        <f t="shared" si="171"/>
        <v>8.9875957892317349</v>
      </c>
      <c r="AE73" s="60">
        <f t="shared" ref="AE73:BB73" si="173">IFERROR(AE7/$B59,0)</f>
        <v>21.17707126794657</v>
      </c>
      <c r="AF73" s="60">
        <f t="shared" si="173"/>
        <v>25.195743669016544</v>
      </c>
      <c r="AG73" s="60">
        <f t="shared" si="173"/>
        <v>22.631728262744272</v>
      </c>
      <c r="AH73" s="60">
        <f t="shared" si="173"/>
        <v>24.231249890256333</v>
      </c>
      <c r="AI73" s="60">
        <f t="shared" si="173"/>
        <v>10.971813273380613</v>
      </c>
      <c r="AJ73" s="60">
        <f t="shared" si="173"/>
        <v>33.453153711727772</v>
      </c>
      <c r="AK73" s="60">
        <f t="shared" si="173"/>
        <v>2.6055702299887895</v>
      </c>
      <c r="AL73" s="60">
        <f t="shared" si="173"/>
        <v>10.189512293961489</v>
      </c>
      <c r="AM73" s="60">
        <f t="shared" si="173"/>
        <v>15.470744296183399</v>
      </c>
      <c r="AN73" s="60">
        <f t="shared" si="173"/>
        <v>22.466194544311492</v>
      </c>
      <c r="AO73" s="60">
        <f t="shared" si="173"/>
        <v>23.221901987267771</v>
      </c>
      <c r="AP73" s="60">
        <f t="shared" si="173"/>
        <v>27.875882034267985</v>
      </c>
      <c r="AQ73" s="60">
        <f t="shared" si="173"/>
        <v>31.218818537804321</v>
      </c>
      <c r="AR73" s="60">
        <f t="shared" si="173"/>
        <v>7.4181078652471539</v>
      </c>
      <c r="AS73" s="60">
        <f t="shared" si="173"/>
        <v>12.09681424650698</v>
      </c>
      <c r="AT73" s="60">
        <f t="shared" si="173"/>
        <v>25.375982391562012</v>
      </c>
      <c r="AU73" s="60">
        <f t="shared" ref="AU73" si="174">IFERROR(AU7/$B59,0)</f>
        <v>35.083023519034064</v>
      </c>
      <c r="AV73" s="60">
        <f t="shared" si="173"/>
        <v>5.91268151081821</v>
      </c>
      <c r="AW73" s="60">
        <f t="shared" si="173"/>
        <v>13.291934824271312</v>
      </c>
      <c r="AX73" s="60">
        <f t="shared" si="173"/>
        <v>14.646534391014042</v>
      </c>
      <c r="AY73" s="60">
        <f t="shared" si="173"/>
        <v>19.661389554388577</v>
      </c>
      <c r="AZ73" s="60">
        <f t="shared" si="173"/>
        <v>8.7361075831652499</v>
      </c>
      <c r="BA73" s="60">
        <f t="shared" si="173"/>
        <v>4.2204374996194094</v>
      </c>
      <c r="BB73" s="60">
        <f t="shared" si="173"/>
        <v>4.2816456858173062</v>
      </c>
    </row>
    <row r="74" spans="1:54" x14ac:dyDescent="0.25">
      <c r="A74" s="190" t="s">
        <v>1095</v>
      </c>
      <c r="B74" s="194">
        <v>1.9000000000000001E-8</v>
      </c>
      <c r="C74" s="60">
        <f>IFERROR(C12/$B60,0)</f>
        <v>0</v>
      </c>
      <c r="D74" s="60">
        <f>IFERROR(D12/$B60,0)</f>
        <v>0</v>
      </c>
      <c r="E74" s="60">
        <f>IFERROR(E12/$B60,0)</f>
        <v>0</v>
      </c>
      <c r="F74" s="60">
        <f t="shared" ref="F74:AD74" si="175">IFERROR(F12/$B60,0)</f>
        <v>0</v>
      </c>
      <c r="G74" s="60">
        <f t="shared" si="175"/>
        <v>0</v>
      </c>
      <c r="H74" s="60">
        <f t="shared" si="175"/>
        <v>0</v>
      </c>
      <c r="I74" s="60">
        <f t="shared" si="175"/>
        <v>0</v>
      </c>
      <c r="J74" s="60">
        <f t="shared" si="175"/>
        <v>0</v>
      </c>
      <c r="K74" s="60">
        <f t="shared" si="175"/>
        <v>0</v>
      </c>
      <c r="L74" s="60">
        <f t="shared" si="175"/>
        <v>0</v>
      </c>
      <c r="M74" s="60">
        <f t="shared" si="175"/>
        <v>0</v>
      </c>
      <c r="N74" s="60">
        <f t="shared" si="175"/>
        <v>0</v>
      </c>
      <c r="O74" s="60">
        <f t="shared" si="175"/>
        <v>0</v>
      </c>
      <c r="P74" s="60">
        <f t="shared" si="175"/>
        <v>0</v>
      </c>
      <c r="Q74" s="60">
        <f t="shared" si="175"/>
        <v>0</v>
      </c>
      <c r="R74" s="60">
        <f t="shared" si="175"/>
        <v>0</v>
      </c>
      <c r="S74" s="60">
        <f t="shared" si="175"/>
        <v>0</v>
      </c>
      <c r="T74" s="60">
        <f t="shared" si="175"/>
        <v>0</v>
      </c>
      <c r="U74" s="60">
        <f t="shared" si="175"/>
        <v>0</v>
      </c>
      <c r="V74" s="60">
        <f t="shared" ref="V74:Z74" si="176">IFERROR(V12/$B60,0)</f>
        <v>0</v>
      </c>
      <c r="W74" s="60">
        <f t="shared" si="176"/>
        <v>0</v>
      </c>
      <c r="X74" s="60">
        <f t="shared" si="176"/>
        <v>0</v>
      </c>
      <c r="Y74" s="60">
        <f t="shared" si="176"/>
        <v>0</v>
      </c>
      <c r="Z74" s="60">
        <f t="shared" si="176"/>
        <v>0</v>
      </c>
      <c r="AA74" s="60">
        <f t="shared" si="175"/>
        <v>0</v>
      </c>
      <c r="AB74" s="60">
        <f t="shared" si="175"/>
        <v>0</v>
      </c>
      <c r="AC74" s="60">
        <f t="shared" si="175"/>
        <v>0</v>
      </c>
      <c r="AD74" s="60">
        <f t="shared" si="175"/>
        <v>0</v>
      </c>
      <c r="AE74" s="60">
        <f t="shared" ref="AE74:BB74" si="177">IFERROR(AE12/$B60,0)</f>
        <v>0</v>
      </c>
      <c r="AF74" s="60">
        <f t="shared" si="177"/>
        <v>0</v>
      </c>
      <c r="AG74" s="60">
        <f t="shared" si="177"/>
        <v>0</v>
      </c>
      <c r="AH74" s="60">
        <f t="shared" si="177"/>
        <v>0</v>
      </c>
      <c r="AI74" s="60">
        <f t="shared" si="177"/>
        <v>0</v>
      </c>
      <c r="AJ74" s="60">
        <f t="shared" si="177"/>
        <v>0</v>
      </c>
      <c r="AK74" s="60">
        <f t="shared" si="177"/>
        <v>0</v>
      </c>
      <c r="AL74" s="60">
        <f t="shared" si="177"/>
        <v>0</v>
      </c>
      <c r="AM74" s="60">
        <f t="shared" si="177"/>
        <v>0</v>
      </c>
      <c r="AN74" s="60">
        <f t="shared" si="177"/>
        <v>0</v>
      </c>
      <c r="AO74" s="60">
        <f t="shared" si="177"/>
        <v>0</v>
      </c>
      <c r="AP74" s="60">
        <f t="shared" si="177"/>
        <v>0</v>
      </c>
      <c r="AQ74" s="60">
        <f t="shared" si="177"/>
        <v>0</v>
      </c>
      <c r="AR74" s="60">
        <f t="shared" si="177"/>
        <v>0</v>
      </c>
      <c r="AS74" s="60">
        <f t="shared" si="177"/>
        <v>0</v>
      </c>
      <c r="AT74" s="60">
        <f t="shared" si="177"/>
        <v>0</v>
      </c>
      <c r="AU74" s="60">
        <f t="shared" ref="AU74" si="178">IFERROR(AU12/$B60,0)</f>
        <v>0</v>
      </c>
      <c r="AV74" s="60">
        <f t="shared" si="177"/>
        <v>0</v>
      </c>
      <c r="AW74" s="60">
        <f t="shared" si="177"/>
        <v>0</v>
      </c>
      <c r="AX74" s="60">
        <f t="shared" si="177"/>
        <v>0</v>
      </c>
      <c r="AY74" s="60">
        <f t="shared" si="177"/>
        <v>0</v>
      </c>
      <c r="AZ74" s="60">
        <f t="shared" si="177"/>
        <v>0</v>
      </c>
      <c r="BA74" s="60">
        <f t="shared" si="177"/>
        <v>0</v>
      </c>
      <c r="BB74" s="60">
        <f t="shared" si="177"/>
        <v>0</v>
      </c>
    </row>
    <row r="75" spans="1:54" x14ac:dyDescent="0.25">
      <c r="A75" s="190" t="s">
        <v>1096</v>
      </c>
      <c r="B75" s="191">
        <v>1</v>
      </c>
      <c r="C75" s="60">
        <f>IFERROR(C18/$B61,0)</f>
        <v>9.8429370750903501E-3</v>
      </c>
      <c r="D75" s="60">
        <f>IFERROR(D18/$B61,0)</f>
        <v>0.18161756506238952</v>
      </c>
      <c r="E75" s="60">
        <f>IFERROR(E18/$B61,0)</f>
        <v>0.37132038661799566</v>
      </c>
      <c r="F75" s="60">
        <f t="shared" ref="F75:AD75" si="179">IFERROR(F18/$B61,0)</f>
        <v>0.45434500694665686</v>
      </c>
      <c r="G75" s="60">
        <f t="shared" si="179"/>
        <v>0.40846584585886914</v>
      </c>
      <c r="H75" s="60">
        <f t="shared" si="179"/>
        <v>0.49917268528137104</v>
      </c>
      <c r="I75" s="60">
        <f t="shared" si="179"/>
        <v>0.18289381242241651</v>
      </c>
      <c r="J75" s="60">
        <f t="shared" si="179"/>
        <v>0.52316518644312615</v>
      </c>
      <c r="K75" s="60">
        <f t="shared" si="179"/>
        <v>4.7094722596765191E-2</v>
      </c>
      <c r="L75" s="60">
        <f t="shared" si="179"/>
        <v>0.25819294297078443</v>
      </c>
      <c r="M75" s="60">
        <f t="shared" si="179"/>
        <v>0.19369610192597508</v>
      </c>
      <c r="N75" s="60">
        <f t="shared" si="179"/>
        <v>0.3829077855726471</v>
      </c>
      <c r="O75" s="60">
        <f t="shared" si="179"/>
        <v>0.41314788884031972</v>
      </c>
      <c r="P75" s="60">
        <f t="shared" si="179"/>
        <v>0.52251828801455535</v>
      </c>
      <c r="Q75" s="60">
        <f t="shared" si="179"/>
        <v>0.70707112649919701</v>
      </c>
      <c r="R75" s="60">
        <f t="shared" si="179"/>
        <v>0.11660509417419999</v>
      </c>
      <c r="S75" s="60">
        <f t="shared" si="179"/>
        <v>0.23785624607046349</v>
      </c>
      <c r="T75" s="60">
        <f t="shared" si="179"/>
        <v>0.41478132871684203</v>
      </c>
      <c r="U75" s="60">
        <f t="shared" si="179"/>
        <v>0.81411419142843211</v>
      </c>
      <c r="V75" s="60">
        <f t="shared" ref="V75:Z75" si="180">IFERROR(V18/$B61,0)</f>
        <v>0.11918075354055882</v>
      </c>
      <c r="W75" s="60">
        <f t="shared" si="180"/>
        <v>0.24852269931911217</v>
      </c>
      <c r="X75" s="60">
        <f t="shared" si="180"/>
        <v>0.26568968316843372</v>
      </c>
      <c r="Y75" s="60">
        <f t="shared" si="180"/>
        <v>0.35533382861501595</v>
      </c>
      <c r="Z75" s="60">
        <f t="shared" si="180"/>
        <v>0.18785066554301605</v>
      </c>
      <c r="AA75" s="60">
        <f t="shared" si="179"/>
        <v>5.1597702182496617E-2</v>
      </c>
      <c r="AB75" s="60">
        <f t="shared" si="179"/>
        <v>6.1317612540569638E-2</v>
      </c>
      <c r="AC75" s="60">
        <f t="shared" si="179"/>
        <v>6.0149291467434885E-3</v>
      </c>
      <c r="AD75" s="60">
        <f t="shared" si="179"/>
        <v>0.1026482657481103</v>
      </c>
      <c r="AE75" s="60">
        <f t="shared" ref="AE75:BB75" si="181">IFERROR(AE18/$B61,0)</f>
        <v>0.22603235689445034</v>
      </c>
      <c r="AF75" s="60">
        <f t="shared" si="181"/>
        <v>0.2728481959434137</v>
      </c>
      <c r="AG75" s="60">
        <f t="shared" si="181"/>
        <v>0.2584718303303663</v>
      </c>
      <c r="AH75" s="60">
        <f t="shared" si="181"/>
        <v>0.27562074563044459</v>
      </c>
      <c r="AI75" s="60">
        <f t="shared" si="181"/>
        <v>0.11709431226524379</v>
      </c>
      <c r="AJ75" s="60">
        <f t="shared" si="181"/>
        <v>0.3623330789173379</v>
      </c>
      <c r="AK75" s="60">
        <f t="shared" si="181"/>
        <v>2.9758919674682367E-2</v>
      </c>
      <c r="AL75" s="60">
        <f t="shared" si="181"/>
        <v>0.1163383968461448</v>
      </c>
      <c r="AM75" s="60">
        <f t="shared" si="181"/>
        <v>0.17679551555348874</v>
      </c>
      <c r="AN75" s="60">
        <f t="shared" si="181"/>
        <v>0.22777608692320217</v>
      </c>
      <c r="AO75" s="60">
        <f t="shared" si="181"/>
        <v>0.26050894438787098</v>
      </c>
      <c r="AP75" s="60">
        <f t="shared" si="181"/>
        <v>0.31849646840079865</v>
      </c>
      <c r="AQ75" s="60">
        <f t="shared" si="181"/>
        <v>0.3381328630011573</v>
      </c>
      <c r="AR75" s="60">
        <f t="shared" si="181"/>
        <v>8.472707375252278E-2</v>
      </c>
      <c r="AS75" s="60">
        <f t="shared" si="181"/>
        <v>0.13815897294454516</v>
      </c>
      <c r="AT75" s="60">
        <f t="shared" si="181"/>
        <v>0.28959832743632452</v>
      </c>
      <c r="AU75" s="60">
        <f t="shared" ref="AU75" si="182">IFERROR(AU18/$B61,0)</f>
        <v>0.39651255951251757</v>
      </c>
      <c r="AV75" s="60">
        <f t="shared" si="181"/>
        <v>6.5902621680909504E-2</v>
      </c>
      <c r="AW75" s="60">
        <f t="shared" si="181"/>
        <v>0.15188343779575869</v>
      </c>
      <c r="AX75" s="60">
        <f t="shared" si="181"/>
        <v>0.16343877507961427</v>
      </c>
      <c r="AY75" s="60">
        <f t="shared" si="181"/>
        <v>0.22464161418200501</v>
      </c>
      <c r="AZ75" s="60">
        <f t="shared" si="181"/>
        <v>9.90120926467596E-2</v>
      </c>
      <c r="BA75" s="60">
        <f t="shared" si="181"/>
        <v>3.0210103459451684E-2</v>
      </c>
      <c r="BB75" s="60">
        <f t="shared" si="181"/>
        <v>3.1758803796471342E-2</v>
      </c>
    </row>
    <row r="76" spans="1:54" x14ac:dyDescent="0.25">
      <c r="A76" s="190" t="s">
        <v>1097</v>
      </c>
      <c r="B76" s="191">
        <v>1.339E-6</v>
      </c>
      <c r="C76" s="60">
        <f>IFERROR(C27/$B62,0)</f>
        <v>0</v>
      </c>
      <c r="D76" s="60">
        <f>IFERROR(D27/$B62,0)</f>
        <v>0</v>
      </c>
      <c r="E76" s="60">
        <f>IFERROR(E27/$B62,0)</f>
        <v>0</v>
      </c>
      <c r="F76" s="60">
        <f t="shared" ref="F76:AD76" si="183">IFERROR(F27/$B62,0)</f>
        <v>0</v>
      </c>
      <c r="G76" s="60">
        <f t="shared" si="183"/>
        <v>0</v>
      </c>
      <c r="H76" s="60">
        <f t="shared" si="183"/>
        <v>0</v>
      </c>
      <c r="I76" s="60">
        <f t="shared" si="183"/>
        <v>0</v>
      </c>
      <c r="J76" s="60">
        <f t="shared" si="183"/>
        <v>0</v>
      </c>
      <c r="K76" s="60">
        <f t="shared" si="183"/>
        <v>0</v>
      </c>
      <c r="L76" s="60">
        <f t="shared" si="183"/>
        <v>0</v>
      </c>
      <c r="M76" s="60">
        <f t="shared" si="183"/>
        <v>0</v>
      </c>
      <c r="N76" s="60">
        <f t="shared" si="183"/>
        <v>0</v>
      </c>
      <c r="O76" s="60">
        <f t="shared" si="183"/>
        <v>0</v>
      </c>
      <c r="P76" s="60">
        <f t="shared" si="183"/>
        <v>0</v>
      </c>
      <c r="Q76" s="60">
        <f t="shared" si="183"/>
        <v>0</v>
      </c>
      <c r="R76" s="60">
        <f t="shared" si="183"/>
        <v>0</v>
      </c>
      <c r="S76" s="60">
        <f t="shared" si="183"/>
        <v>0</v>
      </c>
      <c r="T76" s="60">
        <f t="shared" si="183"/>
        <v>0</v>
      </c>
      <c r="U76" s="60">
        <f t="shared" si="183"/>
        <v>0</v>
      </c>
      <c r="V76" s="60">
        <f t="shared" ref="V76:Z76" si="184">IFERROR(V27/$B62,0)</f>
        <v>0</v>
      </c>
      <c r="W76" s="60">
        <f t="shared" si="184"/>
        <v>0</v>
      </c>
      <c r="X76" s="60">
        <f t="shared" si="184"/>
        <v>0</v>
      </c>
      <c r="Y76" s="60">
        <f t="shared" si="184"/>
        <v>0</v>
      </c>
      <c r="Z76" s="60">
        <f t="shared" si="184"/>
        <v>0</v>
      </c>
      <c r="AA76" s="60">
        <f t="shared" si="183"/>
        <v>0</v>
      </c>
      <c r="AB76" s="60">
        <f t="shared" si="183"/>
        <v>0</v>
      </c>
      <c r="AC76" s="60">
        <f t="shared" si="183"/>
        <v>0</v>
      </c>
      <c r="AD76" s="60">
        <f t="shared" si="183"/>
        <v>0</v>
      </c>
      <c r="AE76" s="60">
        <f t="shared" ref="AE76:BB76" si="185">IFERROR(AE27/$B62,0)</f>
        <v>0</v>
      </c>
      <c r="AF76" s="60">
        <f t="shared" si="185"/>
        <v>0</v>
      </c>
      <c r="AG76" s="60">
        <f t="shared" si="185"/>
        <v>0</v>
      </c>
      <c r="AH76" s="60">
        <f t="shared" si="185"/>
        <v>0</v>
      </c>
      <c r="AI76" s="60">
        <f t="shared" si="185"/>
        <v>0</v>
      </c>
      <c r="AJ76" s="60">
        <f t="shared" si="185"/>
        <v>0</v>
      </c>
      <c r="AK76" s="60">
        <f t="shared" si="185"/>
        <v>0</v>
      </c>
      <c r="AL76" s="60">
        <f t="shared" si="185"/>
        <v>0</v>
      </c>
      <c r="AM76" s="60">
        <f t="shared" si="185"/>
        <v>0</v>
      </c>
      <c r="AN76" s="60">
        <f t="shared" si="185"/>
        <v>0</v>
      </c>
      <c r="AO76" s="60">
        <f t="shared" si="185"/>
        <v>0</v>
      </c>
      <c r="AP76" s="60">
        <f t="shared" si="185"/>
        <v>0</v>
      </c>
      <c r="AQ76" s="60">
        <f t="shared" si="185"/>
        <v>0</v>
      </c>
      <c r="AR76" s="60">
        <f t="shared" si="185"/>
        <v>0</v>
      </c>
      <c r="AS76" s="60">
        <f t="shared" si="185"/>
        <v>0</v>
      </c>
      <c r="AT76" s="60">
        <f t="shared" si="185"/>
        <v>0</v>
      </c>
      <c r="AU76" s="60">
        <f t="shared" ref="AU76" si="186">IFERROR(AU27/$B62,0)</f>
        <v>0</v>
      </c>
      <c r="AV76" s="60">
        <f t="shared" si="185"/>
        <v>0</v>
      </c>
      <c r="AW76" s="60">
        <f t="shared" si="185"/>
        <v>0</v>
      </c>
      <c r="AX76" s="60">
        <f t="shared" si="185"/>
        <v>0</v>
      </c>
      <c r="AY76" s="60">
        <f t="shared" si="185"/>
        <v>0</v>
      </c>
      <c r="AZ76" s="60">
        <f t="shared" si="185"/>
        <v>0</v>
      </c>
      <c r="BA76" s="60">
        <f t="shared" si="185"/>
        <v>0</v>
      </c>
      <c r="BB76" s="60">
        <f t="shared" si="185"/>
        <v>0</v>
      </c>
    </row>
  </sheetData>
  <sheetProtection algorithmName="SHA-512" hashValue="dqU+8ujVo9/qp9X8TNzG38gTmQ+9S+K68vhsd1sYvOPIM/7iO72SkgSNyyJ/DMvOyGtNUJK7QAnNTWzdug97Aw==" saltValue="Geuqq2y0xJD47tUZn22rXQ==" spinCount="100000" sheet="1" formatColumns="0" formatRows="0" autoFilter="0"/>
  <autoFilter ref="A1:BB76" xr:uid="{9BD88A67-8028-45FC-AC81-0CD541C85040}"/>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9" tint="-0.499984740745262"/>
  </sheetPr>
  <dimension ref="A1:AF76"/>
  <sheetViews>
    <sheetView zoomScale="90" zoomScaleNormal="90" workbookViewId="0">
      <pane xSplit="2" ySplit="1" topLeftCell="X5" activePane="bottomRight" state="frozen"/>
      <selection activeCell="M25" sqref="M25"/>
      <selection pane="topRight" activeCell="M25" sqref="M25"/>
      <selection pane="bottomLeft" activeCell="M25" sqref="M25"/>
      <selection pane="bottomRight" activeCell="Y45" sqref="Y45:AC45"/>
    </sheetView>
  </sheetViews>
  <sheetFormatPr defaultColWidth="9.140625" defaultRowHeight="15" x14ac:dyDescent="0.25"/>
  <cols>
    <col min="1" max="1" width="15.42578125" style="4" bestFit="1" customWidth="1"/>
    <col min="2" max="2" width="13.28515625" style="4" bestFit="1" customWidth="1"/>
    <col min="3" max="3" width="13.28515625" style="4" customWidth="1"/>
    <col min="4" max="4" width="14.42578125" style="2" bestFit="1" customWidth="1"/>
    <col min="5" max="5" width="14.5703125" style="2" bestFit="1" customWidth="1"/>
    <col min="6" max="6" width="14.28515625" style="2" bestFit="1" customWidth="1"/>
    <col min="7" max="7" width="19" style="2" bestFit="1" customWidth="1"/>
    <col min="8" max="8" width="19.85546875" style="2" bestFit="1" customWidth="1"/>
    <col min="9" max="9" width="14.140625" style="2" bestFit="1" customWidth="1"/>
    <col min="10" max="10" width="15.85546875" style="2" bestFit="1" customWidth="1"/>
    <col min="11" max="11" width="13.5703125" style="3" bestFit="1" customWidth="1"/>
    <col min="12" max="13" width="15.42578125" style="3" bestFit="1" customWidth="1"/>
    <col min="14" max="14" width="16.42578125" style="3" bestFit="1" customWidth="1"/>
    <col min="15" max="15" width="13.85546875" style="3" bestFit="1" customWidth="1"/>
    <col min="16" max="16" width="15.42578125" style="3" bestFit="1" customWidth="1"/>
    <col min="17" max="18" width="17.28515625" style="3" bestFit="1" customWidth="1"/>
    <col min="19" max="19" width="18.42578125" style="3" bestFit="1" customWidth="1"/>
    <col min="20" max="20" width="15.5703125" style="3" bestFit="1" customWidth="1"/>
    <col min="21" max="21" width="13.85546875" style="3" bestFit="1" customWidth="1"/>
    <col min="22" max="22" width="14.140625" style="3" bestFit="1" customWidth="1"/>
    <col min="23" max="23" width="13.28515625" style="3" bestFit="1" customWidth="1"/>
    <col min="24" max="24" width="15" style="3" bestFit="1" customWidth="1"/>
    <col min="25" max="25" width="14" style="3" bestFit="1" customWidth="1"/>
    <col min="26" max="26" width="14.140625" style="3" bestFit="1" customWidth="1"/>
    <col min="27" max="27" width="15" style="3" bestFit="1" customWidth="1"/>
    <col min="28" max="28" width="18.5703125" style="3" bestFit="1" customWidth="1"/>
    <col min="29" max="29" width="13.5703125" style="3" bestFit="1" customWidth="1"/>
    <col min="30" max="30" width="15.42578125" style="3" bestFit="1" customWidth="1"/>
    <col min="31" max="31" width="13.85546875" style="3" bestFit="1" customWidth="1"/>
    <col min="32" max="32" width="15.42578125" style="3" bestFit="1" customWidth="1"/>
    <col min="33" max="16384" width="9.140625" style="3"/>
  </cols>
  <sheetData>
    <row r="1" spans="1:32" x14ac:dyDescent="0.25">
      <c r="A1" s="78" t="s">
        <v>51</v>
      </c>
      <c r="B1" s="78" t="s">
        <v>348</v>
      </c>
      <c r="C1" s="78"/>
      <c r="D1" s="15" t="s">
        <v>1165</v>
      </c>
      <c r="E1" s="15" t="s">
        <v>1166</v>
      </c>
      <c r="F1" s="15" t="s">
        <v>1167</v>
      </c>
      <c r="G1" s="15" t="s">
        <v>1171</v>
      </c>
      <c r="H1" s="15" t="s">
        <v>1170</v>
      </c>
      <c r="I1" s="15" t="s">
        <v>1168</v>
      </c>
      <c r="J1" s="197" t="s">
        <v>1477</v>
      </c>
      <c r="K1" s="42" t="s">
        <v>1216</v>
      </c>
      <c r="L1" s="42" t="s">
        <v>1217</v>
      </c>
      <c r="M1" s="42" t="s">
        <v>1218</v>
      </c>
      <c r="N1" s="42" t="s">
        <v>1219</v>
      </c>
      <c r="O1" s="42" t="s">
        <v>1220</v>
      </c>
      <c r="P1" s="196" t="s">
        <v>1478</v>
      </c>
      <c r="Q1" s="196" t="s">
        <v>1479</v>
      </c>
      <c r="R1" s="196" t="s">
        <v>1480</v>
      </c>
      <c r="S1" s="196" t="s">
        <v>1481</v>
      </c>
      <c r="T1" s="196" t="s">
        <v>1482</v>
      </c>
      <c r="U1" s="42" t="s">
        <v>1205</v>
      </c>
      <c r="V1" s="42" t="s">
        <v>1206</v>
      </c>
      <c r="W1" s="42" t="s">
        <v>1207</v>
      </c>
      <c r="X1" s="196" t="s">
        <v>1483</v>
      </c>
      <c r="Y1" s="15" t="s">
        <v>1200</v>
      </c>
      <c r="Z1" s="15" t="s">
        <v>1201</v>
      </c>
      <c r="AA1" s="15" t="s">
        <v>1202</v>
      </c>
      <c r="AB1" s="15" t="s">
        <v>1208</v>
      </c>
      <c r="AC1" s="15" t="s">
        <v>1203</v>
      </c>
      <c r="AD1" s="197" t="s">
        <v>1484</v>
      </c>
      <c r="AE1" s="42" t="s">
        <v>1204</v>
      </c>
      <c r="AF1" s="197" t="s">
        <v>1484</v>
      </c>
    </row>
    <row r="2" spans="1:32" x14ac:dyDescent="0.25">
      <c r="A2" s="44" t="s">
        <v>12</v>
      </c>
      <c r="B2" s="42" t="s">
        <v>1071</v>
      </c>
      <c r="C2" s="42"/>
      <c r="D2" s="15">
        <f>IFERROR((TR/(RadSpec!E2*IFS_res_adj*(1/1000))),".")</f>
        <v>1.8281268281268279</v>
      </c>
      <c r="E2" s="15">
        <f>IFERROR(IF(A2="H-3",(TR/(RadSpec!H2*IFA_res_adj*(1/17)*1000))*RadSpec!#REF!,(TR/(RadSpec!H2*IFA_res_adj*(1/PEF_wind)*1000))),".")</f>
        <v>295.58652066524985</v>
      </c>
      <c r="F2" s="15">
        <f>IFERROR((TR/(RadSpec!G2*EF_res*(1/365)*ED_res*RadSpec!R2*((ET_res_o*(1/24)*RadSpec!W2)+(ET_res_i*(1/24)*RadSpec!AB2)))),".")</f>
        <v>2.8076470861663871</v>
      </c>
      <c r="G2" s="15">
        <f>d_b2s!C2</f>
        <v>0.16717039687521798</v>
      </c>
      <c r="H2" s="15">
        <f>d_dir!C2</f>
        <v>3.0398534713390219E-4</v>
      </c>
      <c r="I2" s="15">
        <f t="shared" ref="I2:I30" si="0">(IF(AND(D2&lt;&gt;".",E2&lt;&gt;".",F2&lt;&gt;".",G2&lt;&gt;"."),1/((1/D2)+(1/E2)+(1/F2)+(1/G2)),IF(AND(D2&lt;&gt;".",E2&lt;&gt;".",F2&lt;&gt;".",G2="."), 1/((1/D2)+(1/E2)+(1/F2)),IF(AND(D2&lt;&gt;".",E2&lt;&gt;".",F2=".",G2&lt;&gt;"."),1/((1/D2)+(1/E2)+(1/G2)),IF(AND(D2&lt;&gt;".",E2=".",F2&lt;&gt;".",G2&lt;&gt;"."),1/((1/D2)+(1/F2)+(1/G2)),IF(AND(D2=".",E2&lt;&gt;".",F2&lt;&gt;".",G2&lt;&gt;"."),1/((1/E2)+(1/F2)+(1/G2)),IF(AND(D2&lt;&gt;".",E2&lt;&gt;".",F2=".",G2="."),1/((1/D2)+(1/E2)),IF(AND(D2&lt;&gt;".",E2=".",F2&lt;&gt;".",G2="."),1/((1/D2)+(1/F2)),IF(AND(D2&lt;&gt;".",E2=".",F2=".",G2&lt;&gt;"."),1/((1/D2)+(1/G2)),IF(AND(D2=".",E2=".",F2&lt;&gt;".",G2&lt;&gt;"."),1/((1/F2)+(1/G2)),IF(AND(D2=".",E2&lt;&gt;".",F2=".",G2&lt;&gt;"."),1/((1/E2)+(1/G2)),IF(AND(D2=".",E2&lt;&gt;".",F2&lt;&gt;".",G2="."),1/((1/E2)+(1/F2)),IF(AND(D2&lt;&gt;".",E2=".",F2=".",G2="."),1/((1/D2)),IF(AND(D2=".",E2&lt;&gt;".",F2=".",G2="."),1/((1/E2)),IF(AND(D2=".",E2=".",F2&lt;&gt;".",G2="."),1/((1/F2)),IF(AND(D2=".",E2=".",F2=".",G2&lt;&gt;"."),1/((1/G2)),IF(AND(D2=".",E2=".",F2=".",G2="."),".")))))))))))))))))</f>
        <v>0.14516987355287475</v>
      </c>
      <c r="J2" s="197">
        <f>I2*(0.0000000000028)*RadSpec!AY2*RadSpec!AF2</f>
        <v>2.5056717900907147E-12</v>
      </c>
      <c r="K2" s="15">
        <f>IFERROR((TR/(RadSpec!G2*EF_res*(1/365)*ED_res*RadSpec!R2*((ET_res_o*(1/24)*RadSpec!W2)+(ET_res_i*(1/24)*RadSpec!AB2)))),".")</f>
        <v>2.8076470861663871</v>
      </c>
      <c r="L2" s="15">
        <f>IFERROR((TR/(RadSpec!N2*EF_res*(1/365)*ED_res*RadSpec!S2*((ET_res_o*(1/24)*RadSpec!X2)+(ET_res_i*(1/24)*RadSpec!AC2)))),".")</f>
        <v>10.023254666431377</v>
      </c>
      <c r="M2" s="15">
        <f>IFERROR((TR/(RadSpec!O2*EF_res*(1/365)*ED_res*RadSpec!T2*((ET_res_o*(1/24)*RadSpec!Y2)+(ET_res_i*(1/24)*RadSpec!AD2)))),".")</f>
        <v>3.8714821149091199</v>
      </c>
      <c r="N2" s="15">
        <f>IFERROR((TR/(RadSpec!P2*EF_res*(1/365)*ED_res*RadSpec!U2*((ET_res_o*(1/24)*RadSpec!Z2)+(ET_res_i*(1/24)*RadSpec!AE2)))),".")</f>
        <v>2.8811029692346941</v>
      </c>
      <c r="O2" s="15">
        <f>IFERROR((TR/(RadSpec!L2*EF_res*(1/365)*ED_res*RadSpec!Q2*((ET_res_o*(1/24)*RadSpec!V2)+(ET_res_i*(1/24)*RadSpec!AA2)))),".")</f>
        <v>9.6223244797741234</v>
      </c>
      <c r="P2" s="197">
        <f>K2*(0.0000000000028)*RadSpec!$AY2*RadSpec!$AF2</f>
        <v>4.8460757925611613E-11</v>
      </c>
      <c r="Q2" s="197">
        <f>L2*(0.0000000000028)*RadSpec!$AY2*RadSpec!$AF2</f>
        <v>1.7300412163977446E-10</v>
      </c>
      <c r="R2" s="197">
        <f>M2*(0.0000000000028)*RadSpec!$AY2*RadSpec!$AF2</f>
        <v>6.6822841983362898E-11</v>
      </c>
      <c r="S2" s="197">
        <f>N2*(0.0000000000028)*RadSpec!$AY2*RadSpec!$AF2</f>
        <v>4.9728626592270069E-11</v>
      </c>
      <c r="T2" s="197">
        <f>O2*(0.0000000000000028)*RadSpec!$AY2*RadSpec!$AF2</f>
        <v>1.6608395677418348E-13</v>
      </c>
      <c r="U2" s="15">
        <f>IFERROR((TR/(RadSpec!H2*IFA_res_adj)),".")</f>
        <v>2.1744784078643056E-4</v>
      </c>
      <c r="V2" s="15">
        <f>IFERROR((TR/(RadSpec!K2*EF_res*(1/365)*ED_res*ET_res*(1/24)*GSF_a)),".")</f>
        <v>778.94571306811849</v>
      </c>
      <c r="W2" s="15">
        <f t="shared" ref="W2" si="1">IF(AND(U2&lt;&gt;".",V2&lt;&gt;"."),1/((1/U2)+(1/V2)),IF(AND(U2&lt;&gt;".",V2="."),1/((1/U2)),IF(AND(U2=".",V2&lt;&gt;"."),1/((1/V2)),IF(AND(U2&lt;&gt;".",V2="."),"."))))</f>
        <v>2.1744778008444645E-4</v>
      </c>
      <c r="X2" s="197">
        <f>W2*(0.0000000000000028)*RadSpec!$AY2*RadSpec!$AF2</f>
        <v>3.7532082589918152E-18</v>
      </c>
      <c r="Y2" s="15">
        <f>IFERROR((TR/(RadSpec!I2*IFW_res_adj)),".")</f>
        <v>0.27636358997475158</v>
      </c>
      <c r="Z2" s="15" t="str">
        <f>IFERROR(IF(AND(RadSpec!C2=1,RadSpec!D2&lt;&gt;0),(TR/(RadSpec!H2*IFA_res_adj*K*RadSpec!D2)),"."),".")</f>
        <v>.</v>
      </c>
      <c r="AA2" s="15">
        <f>IFERROR((TR/(RadSpec!M2*(1/8760)*DFA_res_adj)),".")</f>
        <v>12580251.583727166</v>
      </c>
      <c r="AB2" s="15">
        <f>d_b2w!C2</f>
        <v>8.1993723167205504E-2</v>
      </c>
      <c r="AC2" s="15">
        <f t="shared" ref="AC2:AC65" si="2">IF(AND(Y2&lt;&gt;".",Z2&lt;&gt;".",AA2&lt;&gt;".",AB2&lt;&gt;"."),1/((1/Y2)+(1/Z2)+(1/AA2)+(1/AB2)),IF(AND(Y2&lt;&gt;".",Z2&lt;&gt;".",AA2&lt;&gt;".",AB2="."), 1/((1/Y2)+(1/Z2)+(1/AA2)),IF(AND(Y2&lt;&gt;".",Z2&lt;&gt;".",AA2=".",AB2&lt;&gt;"."),1/((1/Y2)+(1/Z2)+(1/AB2)),IF(AND(Y2&lt;&gt;".",Z2=".",AA2&lt;&gt;".",AB2&lt;&gt;"."),1/((1/Y2)+(1/AA2)+(1/AB2)),IF(AND(Y2=".",Z2&lt;&gt;".",AA2&lt;&gt;".",AB2&lt;&gt;"."),1/((1/Z2)+(1/AA2)+(1/AB2)),IF(AND(Y2&lt;&gt;".",Z2&lt;&gt;".",AA2=".",AB2="."),1/((1/Y2)+(1/Z2)),IF(AND(Y2&lt;&gt;".",Z2=".",AA2&lt;&gt;".",AB2="."),1/((1/Y2)+(1/AA2)),IF(AND(Y2&lt;&gt;".",Z2=".",AA2=".",AB2&lt;&gt;"."),1/((1/Y2)+(1/AB2)),IF(AND(Y2=".",Z2=".",AA2&lt;&gt;".",AB2&lt;&gt;"."),1/((1/AA2)+(1/AB2)),IF(AND(Y2=".",Z2&lt;&gt;".",AA2=".",AB2&lt;&gt;"."),1/((1/Z2)+(1/AB2)),IF(AND(Y2=".",Z2&lt;&gt;".",AA2&lt;&gt;".",AB2="."),1/((1/Z2)+(1/AA2)),IF(AND(Y2&lt;&gt;".",Z2=".",AA2=".",AB2="."),1/((1/Y2)),IF(AND(Y2=".",Z2&lt;&gt;".",AA2=".",AB2="."),1/((1/Z2)),IF(AND(Y2=".",Z2=".",AA2&lt;&gt;".",AB2="."),1/((1/AA2)),IF(AND(Y2=".",Z2=".",AA2=".",AB2&lt;&gt;"."),1/((1/AB2)),IF(AND(Y2=".",Z2=".",AA2=".",AB2="."),"."))))))))))))))))</f>
        <v>6.323319978406626E-2</v>
      </c>
      <c r="AD2" s="197">
        <f>AC2*(0.0000000000000028)*RadSpec!$AY2*RadSpec!$AF2</f>
        <v>1.0914223524373081E-15</v>
      </c>
      <c r="AE2" s="15">
        <f>IFERROR(TR/(RadSpec!F2*EF_res*ED_res*IRF_res*0.001*CF_res_fish),".")</f>
        <v>7.4931955040946855E-3</v>
      </c>
      <c r="AF2" s="197">
        <f>IFERROR(AE2*(0.0000000000000028)*RadSpec!$AY2*RadSpec!$AF2,0)</f>
        <v>1.2933460733094936E-16</v>
      </c>
    </row>
    <row r="3" spans="1:32" x14ac:dyDescent="0.25">
      <c r="A3" s="46" t="s">
        <v>13</v>
      </c>
      <c r="B3" s="42" t="s">
        <v>349</v>
      </c>
      <c r="C3" s="42"/>
      <c r="D3" s="15">
        <f>IFERROR((TR/(RadSpec!E3*IFS_res_adj*(1/1000))),".")</f>
        <v>4.8456373757578577</v>
      </c>
      <c r="E3" s="15">
        <f>IFERROR(IF(A3="H-3",(TR/(RadSpec!H3*IFA_res_adj*(1/17)*1000))*RadSpec!#REF!,(TR/(RadSpec!H3*IFA_res_adj*(1/PEF_wind)*1000))),".")</f>
        <v>223.71842544467933</v>
      </c>
      <c r="F3" s="15">
        <f>IFERROR((TR/(RadSpec!G3*EF_res*(1/365)*ED_res*RadSpec!R3*((ET_res_o*(1/24)*RadSpec!W3)+(ET_res_i*(1/24)*RadSpec!AB3)))),".")</f>
        <v>4.1818540988047879</v>
      </c>
      <c r="G3" s="15">
        <f>d_b2s!C3</f>
        <v>0.59625120892320971</v>
      </c>
      <c r="H3" s="15">
        <f>d_dir!C3</f>
        <v>6.1807547034981752E-4</v>
      </c>
      <c r="I3" s="15">
        <f t="shared" si="0"/>
        <v>0.47012034234105876</v>
      </c>
      <c r="J3" s="197">
        <f>I3*(0.0000000000028)*RadSpec!AY3*RadSpec!AF3</f>
        <v>1.3710992087047685E-7</v>
      </c>
      <c r="K3" s="15">
        <f>IFERROR((TR/(RadSpec!G3*EF_res*(1/365)*ED_res*RadSpec!R3*((ET_res_o*(1/24)*RadSpec!W3)+(ET_res_i*(1/24)*RadSpec!AB3)))),".")</f>
        <v>4.1818540988047879</v>
      </c>
      <c r="L3" s="15">
        <f>IFERROR((TR/(RadSpec!N3*EF_res*(1/365)*ED_res*RadSpec!S3*((ET_res_o*(1/24)*RadSpec!X3)+(ET_res_i*(1/24)*RadSpec!AC3)))),".")</f>
        <v>8.4134076520945218</v>
      </c>
      <c r="M3" s="15">
        <f>IFERROR((TR/(RadSpec!O3*EF_res*(1/365)*ED_res*RadSpec!T3*((ET_res_o*(1/24)*RadSpec!Y3)+(ET_res_i*(1/24)*RadSpec!AD3)))),".")</f>
        <v>4.4886749158366603</v>
      </c>
      <c r="N3" s="15">
        <f>IFERROR((TR/(RadSpec!P3*EF_res*(1/365)*ED_res*RadSpec!U3*((ET_res_o*(1/24)*RadSpec!Z3)+(ET_res_i*(1/24)*RadSpec!AE3)))),".")</f>
        <v>4.1818540988047879</v>
      </c>
      <c r="O3" s="15">
        <f>IFERROR((TR/(RadSpec!L3*EF_res*(1/365)*ED_res*RadSpec!Q3*((ET_res_o*(1/24)*RadSpec!V3)+(ET_res_i*(1/24)*RadSpec!AA3)))),".")</f>
        <v>6.194371383854592</v>
      </c>
      <c r="P3" s="197">
        <f>K3*(0.0000000000028)*RadSpec!$AY3*RadSpec!$AF3</f>
        <v>1.2196317260465142E-6</v>
      </c>
      <c r="Q3" s="197">
        <f>L3*(0.0000000000028)*RadSpec!$AY3*RadSpec!$AF3</f>
        <v>2.4537582264263481E-6</v>
      </c>
      <c r="R3" s="197">
        <f>M3*(0.0000000000028)*RadSpec!$AY3*RadSpec!$AF3</f>
        <v>1.3091155755118831E-6</v>
      </c>
      <c r="S3" s="197">
        <f>N3*(0.0000000000028)*RadSpec!$AY3*RadSpec!$AF3</f>
        <v>1.2196317260465142E-6</v>
      </c>
      <c r="T3" s="197">
        <f>O3*(0.0000000000000028)*RadSpec!$AY3*RadSpec!$AF3</f>
        <v>1.8065794942063989E-9</v>
      </c>
      <c r="U3" s="15">
        <f>IFERROR((TR/(RadSpec!H3*IFA_res_adj)),".")</f>
        <v>1.645781696932592E-4</v>
      </c>
      <c r="V3" s="15">
        <f>IFERROR((TR/(RadSpec!K3*EF_res*(1/365)*ED_res*ET_res*(1/24)*GSF_a)),".")</f>
        <v>691.17718201818968</v>
      </c>
      <c r="W3" s="15">
        <f t="shared" ref="W3" si="3">IF(AND(U3&lt;&gt;".",V3&lt;&gt;"."),1/((1/U3)+(1/V3)),IF(AND(U3&lt;&gt;".",V3="."),1/((1/U3)),IF(AND(U3=".",V3&lt;&gt;"."),1/((1/V3)),IF(AND(U3&lt;&gt;".",V3="."),"."))))</f>
        <v>1.6457813050509127E-4</v>
      </c>
      <c r="X3" s="197">
        <f>W3*(0.0000000000000028)*RadSpec!$AY3*RadSpec!$AF3</f>
        <v>4.7998974769301944E-14</v>
      </c>
      <c r="Y3" s="15">
        <f>IFERROR((TR/(RadSpec!I3*IFW_res_adj)),".")</f>
        <v>0.50436355170392166</v>
      </c>
      <c r="Z3" s="15" t="str">
        <f>IFERROR(IF(AND(RadSpec!C3=1,RadSpec!D3&lt;&gt;0),(TR/(RadSpec!H3*IFA_res_adj*K*RadSpec!D3)),"."),".")</f>
        <v>.</v>
      </c>
      <c r="AA3" s="15">
        <f>IFERROR((TR/(RadSpec!M3*(1/8760)*DFA_res_adj)),".")</f>
        <v>10876907.785222514</v>
      </c>
      <c r="AB3" s="15">
        <f>d_b2w!C3</f>
        <v>0.16797885534539592</v>
      </c>
      <c r="AC3" s="15">
        <f>IF(AND(Y3&lt;&gt;".",Z3&lt;&gt;".",AA3&lt;&gt;".",AB3&lt;&gt;"."),1/((1/Y3)+(1/Z3)+(1/AA3)+(1/AB3)),IF(AND(Y3&lt;&gt;".",Z3&lt;&gt;".",AA3&lt;&gt;".",AB3="."), 1/((1/Y3)+(1/Z3)+(1/AA3)),IF(AND(Y3&lt;&gt;".",Z3&lt;&gt;".",AA3=".",AB3&lt;&gt;"."),1/((1/Y3)+(1/Z3)+(1/AB3)),IF(AND(Y3&lt;&gt;".",Z3=".",AA3&lt;&gt;".",AB3&lt;&gt;"."),1/((1/Y3)+(1/AA3)+(1/AB3)),IF(AND(Y3=".",Z3&lt;&gt;".",AA3&lt;&gt;".",AB3&lt;&gt;"."),1/((1/Z3)+(1/AA3)+(1/AB3)),IF(AND(Y3&lt;&gt;".",Z3&lt;&gt;".",AA3=".",AB3="."),1/((1/Y3)+(1/Z3)),IF(AND(Y3&lt;&gt;".",Z3=".",AA3&lt;&gt;".",AB3="."),1/((1/Y3)+(1/AA3)),IF(AND(Y3&lt;&gt;".",Z3=".",AA3=".",AB3&lt;&gt;"."),1/((1/Y3)+(1/AB3)),IF(AND(Y3=".",Z3=".",AA3&lt;&gt;".",AB3&lt;&gt;"."),1/((1/AA3)+(1/AB3)),IF(AND(Y3=".",Z3&lt;&gt;".",AA3=".",AB3&lt;&gt;"."),1/((1/Z3)+(1/AB3)),IF(AND(Y3=".",Z3&lt;&gt;".",AA3&lt;&gt;".",AB3="."),1/((1/Z3)+(1/AA3)),IF(AND(Y3&lt;&gt;".",Z3=".",AA3=".",AB3="."),1/((1/Y3)),IF(AND(Y3=".",Z3&lt;&gt;".",AA3=".",AB3="."),1/((1/Z3)),IF(AND(Y3=".",Z3=".",AA3&lt;&gt;".",AB3="."),1/((1/AA3)),IF(AND(Y3=".",Z3=".",AA3=".",AB3&lt;&gt;"."),1/((1/AB3)),IF(AND(Y3=".",Z3=".",AA3=".",AB3="."),"."))))))))))))))))</f>
        <v>0.12601080970551543</v>
      </c>
      <c r="AD3" s="197">
        <f>AC3*(0.0000000000000028)*RadSpec!$AY3*RadSpec!$AF3</f>
        <v>3.67508711950476E-11</v>
      </c>
      <c r="AE3" s="15">
        <f>IFERROR(TR/(RadSpec!F3*EF_res*ED_res*IRF_res*0.001*CF_res_fish),".")</f>
        <v>1.5235472299184209E-2</v>
      </c>
      <c r="AF3" s="197">
        <f>IFERROR(AE3*(0.0000000000000028)*RadSpec!$AY3*RadSpec!$AF3,0)</f>
        <v>4.4434035569769638E-12</v>
      </c>
    </row>
    <row r="4" spans="1:32" x14ac:dyDescent="0.25">
      <c r="A4" s="44" t="s">
        <v>14</v>
      </c>
      <c r="B4" s="42" t="s">
        <v>1071</v>
      </c>
      <c r="C4" s="42"/>
      <c r="D4" s="15" t="str">
        <f>IFERROR((TR/(RadSpec!E4*IFS_res_adj*(1/1000))),".")</f>
        <v>.</v>
      </c>
      <c r="E4" s="15" t="str">
        <f>IFERROR(IF(A4="H-3",(TR/(RadSpec!H4*IFA_res_adj*(1/17)*1000))*RadSpec!#REF!,(TR/(RadSpec!H4*IFA_res_adj*(1/PEF_wind)*1000))),".")</f>
        <v>.</v>
      </c>
      <c r="F4" s="15">
        <f>IFERROR((TR/(RadSpec!G4*EF_res*(1/365)*ED_res*RadSpec!R4*((ET_res_o*(1/24)*RadSpec!W4)+(ET_res_i*(1/24)*RadSpec!AB4)))),".")</f>
        <v>123.5784814734083</v>
      </c>
      <c r="G4" s="15" t="str">
        <f>d_b2s!C4</f>
        <v>.</v>
      </c>
      <c r="H4" s="15" t="str">
        <f>d_dir!C4</f>
        <v>.</v>
      </c>
      <c r="I4" s="15">
        <f t="shared" si="0"/>
        <v>123.57848147340829</v>
      </c>
      <c r="J4" s="197">
        <f>I4*(0.0000000000028)*RadSpec!AY4*RadSpec!AF4</f>
        <v>7.6905346796890975E-17</v>
      </c>
      <c r="K4" s="15">
        <f>IFERROR((TR/(RadSpec!G4*EF_res*(1/365)*ED_res*RadSpec!R4*((ET_res_o*(1/24)*RadSpec!W4)+(ET_res_i*(1/24)*RadSpec!AB4)))),".")</f>
        <v>123.5784814734083</v>
      </c>
      <c r="L4" s="15">
        <f>IFERROR((TR/(RadSpec!N4*EF_res*(1/365)*ED_res*RadSpec!S4*((ET_res_o*(1/24)*RadSpec!X4)+(ET_res_i*(1/24)*RadSpec!AC4)))),".")</f>
        <v>533.99753309091307</v>
      </c>
      <c r="M4" s="15">
        <f>IFERROR((TR/(RadSpec!O4*EF_res*(1/365)*ED_res*RadSpec!T4*((ET_res_o*(1/24)*RadSpec!Y4)+(ET_res_i*(1/24)*RadSpec!AD4)))),".")</f>
        <v>193.57410574545597</v>
      </c>
      <c r="N4" s="15">
        <f>IFERROR((TR/(RadSpec!P4*EF_res*(1/365)*ED_res*RadSpec!U4*((ET_res_o*(1/24)*RadSpec!Z4)+(ET_res_i*(1/24)*RadSpec!AE4)))),".")</f>
        <v>131.79513582669344</v>
      </c>
      <c r="O4" s="15">
        <f>IFERROR((TR/(RadSpec!L4*EF_res*(1/365)*ED_res*RadSpec!Q4*((ET_res_o*(1/24)*RadSpec!V4)+(ET_res_i*(1/24)*RadSpec!AA4)))),".")</f>
        <v>544.56012165754657</v>
      </c>
      <c r="P4" s="197">
        <f>K4*(0.0000000000028)*RadSpec!$AY4*RadSpec!$AF4</f>
        <v>7.6905346796890988E-17</v>
      </c>
      <c r="Q4" s="197">
        <f>L4*(0.0000000000028)*RadSpec!$AY4*RadSpec!$AF4</f>
        <v>3.3231728518915183E-16</v>
      </c>
      <c r="R4" s="197">
        <f>M4*(0.0000000000028)*RadSpec!$AY4*RadSpec!$AF4</f>
        <v>1.2046501588106753E-16</v>
      </c>
      <c r="S4" s="197">
        <f>N4*(0.0000000000028)*RadSpec!$AY4*RadSpec!$AF4</f>
        <v>8.2018734216897045E-17</v>
      </c>
      <c r="T4" s="197">
        <f>O4*(0.0000000000000028)*RadSpec!$AY4*RadSpec!$AF4</f>
        <v>3.3889059412695928E-19</v>
      </c>
      <c r="U4" s="15" t="str">
        <f>IFERROR((TR/(RadSpec!H4*IFA_res_adj)),".")</f>
        <v>.</v>
      </c>
      <c r="V4" s="15">
        <f>IFERROR((TR/(RadSpec!K4*EF_res*(1/365)*ED_res*ET_res*(1/24)*GSF_a)),".")</f>
        <v>41090.318117588547</v>
      </c>
      <c r="W4" s="15">
        <f t="shared" ref="W4:W5" si="4">IF(AND(U4&lt;&gt;".",V4&lt;&gt;"."),1/((1/U4)+(1/V4)),IF(AND(U4&lt;&gt;".",V4="."),1/((1/U4)),IF(AND(U4=".",V4&lt;&gt;"."),1/((1/V4)),IF(AND(U4&lt;&gt;".",V4="."),"."))))</f>
        <v>41090.318117588547</v>
      </c>
      <c r="X4" s="197">
        <f>W4*(0.0000000000000028)*RadSpec!$AY4*RadSpec!$AF4</f>
        <v>2.5571322184499455E-17</v>
      </c>
      <c r="Y4" s="15" t="str">
        <f>IFERROR((TR/(RadSpec!I4*IFW_res_adj)),".")</f>
        <v>.</v>
      </c>
      <c r="Z4" s="15" t="str">
        <f>IFERROR(IF(AND(RadSpec!C4=1,RadSpec!D4&lt;&gt;0),(TR/(RadSpec!H4*IFA_res_adj*K*RadSpec!D4)),"."),".")</f>
        <v>.</v>
      </c>
      <c r="AA4" s="15">
        <f>IFERROR((TR/(RadSpec!M4*(1/8760)*DFA_res_adj)),".")</f>
        <v>671634196.57384932</v>
      </c>
      <c r="AB4" s="15" t="str">
        <f>d_b2w!C4</f>
        <v>.</v>
      </c>
      <c r="AC4" s="15">
        <f t="shared" si="2"/>
        <v>671634196.57384932</v>
      </c>
      <c r="AD4" s="197">
        <f>AC4*(0.0000000000000028)*RadSpec!$AY4*RadSpec!$AF4</f>
        <v>4.1797131824505959E-13</v>
      </c>
      <c r="AE4" s="15" t="str">
        <f>IFERROR(TR/(RadSpec!F4*EF_res*ED_res*IRF_res*0.001*CF_res_fish),".")</f>
        <v>.</v>
      </c>
      <c r="AF4" s="197">
        <f>IFERROR(AE4*(0.0000000000000028)*RadSpec!$AY4*RadSpec!$AF4,0)</f>
        <v>0</v>
      </c>
    </row>
    <row r="5" spans="1:32" x14ac:dyDescent="0.25">
      <c r="A5" s="44" t="s">
        <v>15</v>
      </c>
      <c r="B5" s="42" t="s">
        <v>1071</v>
      </c>
      <c r="C5" s="249"/>
      <c r="D5" s="15" t="str">
        <f>IFERROR((TR/(RadSpec!E5*IFS_res_adj*(1/1000))),".")</f>
        <v>.</v>
      </c>
      <c r="E5" s="15" t="str">
        <f>IFERROR(IF(A5="H-3",(TR/(RadSpec!H5*IFA_res_adj*(1/17)*1000))*RadSpec!#REF!,(TR/(RadSpec!H5*IFA_res_adj*(1/PEF_wind)*1000))),".")</f>
        <v>.</v>
      </c>
      <c r="F5" s="15">
        <f>IFERROR((TR/(RadSpec!G5*EF_res*(1/365)*ED_res*RadSpec!R5*((ET_res_o*(1/24)*RadSpec!W5)+(ET_res_i*(1/24)*RadSpec!AB5)))),".")</f>
        <v>4686.0492738379889</v>
      </c>
      <c r="G5" s="15" t="str">
        <f>d_b2s!C5</f>
        <v>.</v>
      </c>
      <c r="H5" s="15" t="str">
        <f>d_dir!C5</f>
        <v>.</v>
      </c>
      <c r="I5" s="15">
        <f t="shared" si="0"/>
        <v>4686.0492738379889</v>
      </c>
      <c r="J5" s="197">
        <f>I5*(0.0000000000028)*RadSpec!AY5*RadSpec!AF5</f>
        <v>1.3605234383327198E-13</v>
      </c>
      <c r="K5" s="15">
        <f>IFERROR((TR/(RadSpec!G5*EF_res*(1/365)*ED_res*RadSpec!R5*((ET_res_o*(1/24)*RadSpec!W5)+(ET_res_i*(1/24)*RadSpec!AB5)))),".")</f>
        <v>4686.0492738379889</v>
      </c>
      <c r="L5" s="15">
        <f>IFERROR((TR/(RadSpec!N5*EF_res*(1/365)*ED_res*RadSpec!S5*((ET_res_o*(1/24)*RadSpec!X5)+(ET_res_i*(1/24)*RadSpec!AC5)))),".")</f>
        <v>15328.808175834181</v>
      </c>
      <c r="M5" s="15">
        <f>IFERROR((TR/(RadSpec!O5*EF_res*(1/365)*ED_res*RadSpec!T5*((ET_res_o*(1/24)*RadSpec!Y5)+(ET_res_i*(1/24)*RadSpec!AD5)))),".")</f>
        <v>6974.1708635334235</v>
      </c>
      <c r="N5" s="15">
        <f>IFERROR((TR/(RadSpec!P5*EF_res*(1/365)*ED_res*RadSpec!U5*((ET_res_o*(1/24)*RadSpec!Z5)+(ET_res_i*(1/24)*RadSpec!AE5)))),".")</f>
        <v>5028.4090381366541</v>
      </c>
      <c r="O5" s="15">
        <f>IFERROR((TR/(RadSpec!L5*EF_res*(1/365)*ED_res*RadSpec!Q5*((ET_res_o*(1/24)*RadSpec!V5)+(ET_res_i*(1/24)*RadSpec!AA5)))),".")</f>
        <v>6439.8922769118553</v>
      </c>
      <c r="P5" s="197">
        <f>K5*(0.0000000000028)*RadSpec!$AY5*RadSpec!$AF5</f>
        <v>1.3605234383327198E-13</v>
      </c>
      <c r="Q5" s="197">
        <f>L5*(0.0000000000028)*RadSpec!$AY5*RadSpec!$AF5</f>
        <v>4.4504873052364867E-13</v>
      </c>
      <c r="R5" s="197">
        <f>M5*(0.0000000000028)*RadSpec!$AY5*RadSpec!$AF5</f>
        <v>2.0248448892222238E-13</v>
      </c>
      <c r="S5" s="197">
        <f>N5*(0.0000000000028)*RadSpec!$AY5*RadSpec!$AF5</f>
        <v>1.4599224109962971E-13</v>
      </c>
      <c r="T5" s="197">
        <f>O5*(0.0000000000000028)*RadSpec!$AY5*RadSpec!$AF5</f>
        <v>1.8697251930303456E-16</v>
      </c>
      <c r="U5" s="15" t="str">
        <f>IFERROR((TR/(RadSpec!H5*IFA_res_adj)),".")</f>
        <v>.</v>
      </c>
      <c r="V5" s="15">
        <f>IFERROR((TR/(RadSpec!K5*EF_res*(1/365)*ED_res*ET_res*(1/24)*GSF_a)),".")</f>
        <v>1301193.4070569708</v>
      </c>
      <c r="W5" s="15">
        <f t="shared" si="4"/>
        <v>1301193.4070569708</v>
      </c>
      <c r="X5" s="197">
        <f>W5*(0.0000000000000028)*RadSpec!$AY5*RadSpec!$AF5</f>
        <v>3.7778179968967617E-14</v>
      </c>
      <c r="Y5" s="15" t="str">
        <f>IFERROR((TR/(RadSpec!I5*IFW_res_adj)),".")</f>
        <v>.</v>
      </c>
      <c r="Z5" s="15" t="str">
        <f>IFERROR(IF(AND(RadSpec!C5=1,RadSpec!D5&lt;&gt;0),(TR/(RadSpec!H5*IFA_res_adj*K*RadSpec!D5)),"."),".")</f>
        <v>.</v>
      </c>
      <c r="AA5" s="15">
        <f>IFERROR((TR/(RadSpec!M5*(1/8760)*DFA_res_adj)),".")</f>
        <v>27997507510.937222</v>
      </c>
      <c r="AB5" s="15" t="str">
        <f>d_b2w!C5</f>
        <v>.</v>
      </c>
      <c r="AC5" s="15">
        <f t="shared" si="2"/>
        <v>27997507510.937225</v>
      </c>
      <c r="AD5" s="197">
        <f>AC5*(0.0000000000000028)*RadSpec!$AY5*RadSpec!$AF5</f>
        <v>8.1286522948421272E-10</v>
      </c>
      <c r="AE5" s="15" t="str">
        <f>IFERROR(TR/(RadSpec!F5*EF_res*ED_res*IRF_res*0.001*CF_res_fish),".")</f>
        <v>.</v>
      </c>
      <c r="AF5" s="197">
        <f>IFERROR(AE5*(0.0000000000000028)*RadSpec!$AY5*RadSpec!$AF5,0)</f>
        <v>0</v>
      </c>
    </row>
    <row r="6" spans="1:32" x14ac:dyDescent="0.25">
      <c r="A6" s="44" t="s">
        <v>16</v>
      </c>
      <c r="B6" s="42" t="s">
        <v>1071</v>
      </c>
      <c r="C6" s="42"/>
      <c r="D6" s="15" t="str">
        <f>IFERROR((TR/(RadSpec!E6*IFS_res_adj*(1/1000))),".")</f>
        <v>.</v>
      </c>
      <c r="E6" s="15" t="str">
        <f>IFERROR(IF(A6="H-3",(TR/(RadSpec!H6*IFA_res_adj*(1/17)*1000))*RadSpec!#REF!,(TR/(RadSpec!H6*IFA_res_adj*(1/PEF_wind)*1000))),".")</f>
        <v>.</v>
      </c>
      <c r="F6" s="15">
        <f>IFERROR((TR/(RadSpec!G6*EF_res*(1/365)*ED_res*RadSpec!R6*((ET_res_o*(1/24)*RadSpec!W6)+(ET_res_i*(1/24)*RadSpec!AB6)))),".")</f>
        <v>4.3091279192031942E-2</v>
      </c>
      <c r="G6" s="15" t="str">
        <f>d_b2s!C6</f>
        <v>.</v>
      </c>
      <c r="H6" s="15" t="str">
        <f>d_dir!C6</f>
        <v>.</v>
      </c>
      <c r="I6" s="15">
        <f t="shared" si="0"/>
        <v>4.3091279192031942E-2</v>
      </c>
      <c r="J6" s="197">
        <f>I6*(0.0000000000028)*RadSpec!AY6*RadSpec!AF6</f>
        <v>8.0258917635954908E-17</v>
      </c>
      <c r="K6" s="15">
        <f>IFERROR((TR/(RadSpec!G6*EF_res*(1/365)*ED_res*RadSpec!R6*((ET_res_o*(1/24)*RadSpec!W6)+(ET_res_i*(1/24)*RadSpec!AB6)))),".")</f>
        <v>4.3091279192031942E-2</v>
      </c>
      <c r="L6" s="15">
        <f>IFERROR((TR/(RadSpec!N6*EF_res*(1/365)*ED_res*RadSpec!S6*((ET_res_o*(1/24)*RadSpec!X6)+(ET_res_i*(1/24)*RadSpec!AC6)))),".")</f>
        <v>0.21141199262302363</v>
      </c>
      <c r="M6" s="15">
        <f>IFERROR((TR/(RadSpec!O6*EF_res*(1/365)*ED_res*RadSpec!T6*((ET_res_o*(1/24)*RadSpec!Y6)+(ET_res_i*(1/24)*RadSpec!AD6)))),".")</f>
        <v>7.4969699048164515E-2</v>
      </c>
      <c r="N6" s="15">
        <f>IFERROR((TR/(RadSpec!P6*EF_res*(1/365)*ED_res*RadSpec!U6*((ET_res_o*(1/24)*RadSpec!Z6)+(ET_res_i*(1/24)*RadSpec!AE6)))),".")</f>
        <v>4.8346313239840719E-2</v>
      </c>
      <c r="O6" s="15">
        <f>IFERROR((TR/(RadSpec!L6*EF_res*(1/365)*ED_res*RadSpec!Q6*((ET_res_o*(1/24)*RadSpec!V6)+(ET_res_i*(1/24)*RadSpec!AA6)))),".")</f>
        <v>0.21592579987292695</v>
      </c>
      <c r="P6" s="197">
        <f>K6*(0.0000000000028)*RadSpec!$AY6*RadSpec!$AF6</f>
        <v>8.0258917635954908E-17</v>
      </c>
      <c r="Q6" s="197">
        <f>L6*(0.0000000000028)*RadSpec!$AY6*RadSpec!$AF6</f>
        <v>3.9376175461326014E-16</v>
      </c>
      <c r="R6" s="197">
        <f>M6*(0.0000000000028)*RadSpec!$AY6*RadSpec!$AF6</f>
        <v>1.3963351782352221E-16</v>
      </c>
      <c r="S6" s="197">
        <f>N6*(0.0000000000028)*RadSpec!$AY6*RadSpec!$AF6</f>
        <v>9.0046590518388445E-17</v>
      </c>
      <c r="T6" s="197">
        <f>O6*(0.0000000000000028)*RadSpec!$AY6*RadSpec!$AF6</f>
        <v>4.0216886832831443E-19</v>
      </c>
      <c r="U6" s="15" t="str">
        <f>IFERROR((TR/(RadSpec!H6*IFA_res_adj)),".")</f>
        <v>.</v>
      </c>
      <c r="V6" s="15">
        <f>IFERROR((TR/(RadSpec!K6*EF_res*(1/365)*ED_res*ET_res*(1/24)*GSF_a)),".")</f>
        <v>15.903474975140757</v>
      </c>
      <c r="W6" s="15">
        <f t="shared" ref="W6:W9" si="5">IF(AND(U6&lt;&gt;".",V6&lt;&gt;"."),1/((1/U6)+(1/V6)),IF(AND(U6&lt;&gt;".",V6="."),1/((1/U6)),IF(AND(U6=".",V6&lt;&gt;"."),1/((1/V6)),IF(AND(U6&lt;&gt;".",V6="."),"."))))</f>
        <v>15.903474975140757</v>
      </c>
      <c r="X6" s="197">
        <f>W6*(0.0000000000000028)*RadSpec!$AY6*RadSpec!$AF6</f>
        <v>2.962074257455118E-17</v>
      </c>
      <c r="Y6" s="15" t="str">
        <f>IFERROR((TR/(RadSpec!I6*IFW_res_adj)),".")</f>
        <v>.</v>
      </c>
      <c r="Z6" s="15" t="str">
        <f>IFERROR(IF(AND(RadSpec!C6=1,RadSpec!D6&lt;&gt;0),(TR/(RadSpec!H6*IFA_res_adj*K*RadSpec!D6)),"."),".")</f>
        <v>.</v>
      </c>
      <c r="AA6" s="15">
        <f>IFERROR((TR/(RadSpec!M6*(1/8760)*DFA_res_adj)),".")</f>
        <v>262626.19225003081</v>
      </c>
      <c r="AB6" s="15" t="str">
        <f>d_b2w!C6</f>
        <v>.</v>
      </c>
      <c r="AC6" s="15">
        <f t="shared" si="2"/>
        <v>262626.19225003081</v>
      </c>
      <c r="AD6" s="197">
        <f>AC6*(0.0000000000000028)*RadSpec!$AY6*RadSpec!$AF6</f>
        <v>4.8914987737790941E-13</v>
      </c>
      <c r="AE6" s="15" t="str">
        <f>IFERROR(TR/(RadSpec!F6*EF_res*ED_res*IRF_res*0.001*CF_res_fish),".")</f>
        <v>.</v>
      </c>
      <c r="AF6" s="197">
        <f>IFERROR(AE6*(0.0000000000000028)*RadSpec!$AY6*RadSpec!$AF6,0)</f>
        <v>0</v>
      </c>
    </row>
    <row r="7" spans="1:32" x14ac:dyDescent="0.25">
      <c r="A7" s="44" t="s">
        <v>17</v>
      </c>
      <c r="B7" s="42" t="s">
        <v>1071</v>
      </c>
      <c r="C7" s="249"/>
      <c r="D7" s="15">
        <f>IFERROR((TR/(RadSpec!E7*IFS_res_adj*(1/1000))),".")</f>
        <v>37.18224057207108</v>
      </c>
      <c r="E7" s="15">
        <f>IFERROR(IF(A7="H-3",(TR/(RadSpec!H7*IFA_res_adj*(1/17)*1000))*RadSpec!#REF!,(TR/(RadSpec!H7*IFA_res_adj*(1/PEF_wind)*1000))),".")</f>
        <v>18552.259671022188</v>
      </c>
      <c r="F7" s="15">
        <f>IFERROR((TR/(RadSpec!G7*EF_res*(1/365)*ED_res*RadSpec!R7*((ET_res_o*(1/24)*RadSpec!W7)+(ET_res_i*(1/24)*RadSpec!AB7)))),".")</f>
        <v>41.818540988047886</v>
      </c>
      <c r="G7" s="15">
        <f>d_b2s!C7</f>
        <v>6.2873288497035204E-2</v>
      </c>
      <c r="H7" s="15">
        <f>d_dir!C7</f>
        <v>6.3387853635308005E-3</v>
      </c>
      <c r="I7" s="15">
        <f t="shared" si="0"/>
        <v>6.2672872109822114E-2</v>
      </c>
      <c r="J7" s="197">
        <f>I7*(0.0000000000028)*RadSpec!AY7*RadSpec!AF7</f>
        <v>5.0612963133502732E-13</v>
      </c>
      <c r="K7" s="15">
        <f>IFERROR((TR/(RadSpec!G7*EF_res*(1/365)*ED_res*RadSpec!R7*((ET_res_o*(1/24)*RadSpec!W7)+(ET_res_i*(1/24)*RadSpec!AB7)))),".")</f>
        <v>41.818540988047886</v>
      </c>
      <c r="L7" s="15">
        <f>IFERROR((TR/(RadSpec!N7*EF_res*(1/365)*ED_res*RadSpec!S7*((ET_res_o*(1/24)*RadSpec!X7)+(ET_res_i*(1/24)*RadSpec!AC7)))),".")</f>
        <v>121.22057502650866</v>
      </c>
      <c r="M7" s="15">
        <f>IFERROR((TR/(RadSpec!O7*EF_res*(1/365)*ED_res*RadSpec!T7*((ET_res_o*(1/24)*RadSpec!Y7)+(ET_res_i*(1/24)*RadSpec!AD7)))),".")</f>
        <v>56.312467125950839</v>
      </c>
      <c r="N7" s="15">
        <f>IFERROR((TR/(RadSpec!P7*EF_res*(1/365)*ED_res*RadSpec!U7*((ET_res_o*(1/24)*RadSpec!Z7)+(ET_res_i*(1/24)*RadSpec!AE7)))),".")</f>
        <v>43.091279192031941</v>
      </c>
      <c r="O7" s="15">
        <f>IFERROR((TR/(RadSpec!L7*EF_res*(1/365)*ED_res*RadSpec!Q7*((ET_res_o*(1/24)*RadSpec!V7)+(ET_res_i*(1/24)*RadSpec!AA7)))),".")</f>
        <v>23.997564683213916</v>
      </c>
      <c r="P7" s="197">
        <f>K7*(0.0000000000028)*RadSpec!$AY7*RadSpec!$AF7</f>
        <v>3.3771553817033902E-10</v>
      </c>
      <c r="Q7" s="197">
        <f>L7*(0.0000000000028)*RadSpec!$AY7*RadSpec!$AF7</f>
        <v>9.7894548124229866E-10</v>
      </c>
      <c r="R7" s="197">
        <f>M7*(0.0000000000028)*RadSpec!$AY7*RadSpec!$AF7</f>
        <v>4.5476467355892236E-10</v>
      </c>
      <c r="S7" s="197">
        <f>N7*(0.0000000000028)*RadSpec!$AY7*RadSpec!$AF7</f>
        <v>3.4799383715813182E-10</v>
      </c>
      <c r="T7" s="197">
        <f>O7*(0.0000000000000028)*RadSpec!$AY7*RadSpec!$AF7</f>
        <v>1.9379802069339061E-13</v>
      </c>
      <c r="U7" s="15">
        <f>IFERROR((TR/(RadSpec!H7*IFA_res_adj)),".")</f>
        <v>1.3647945779441006E-2</v>
      </c>
      <c r="V7" s="15">
        <f>IFERROR((TR/(RadSpec!K7*EF_res*(1/365)*ED_res*ET_res*(1/24)*GSF_a)),".")</f>
        <v>7583.1138954313528</v>
      </c>
      <c r="W7" s="15">
        <f t="shared" si="5"/>
        <v>1.3647921216169067E-2</v>
      </c>
      <c r="X7" s="197">
        <f>W7*(0.0000000000000028)*RadSpec!$AY7*RadSpec!$AF7</f>
        <v>1.1021702215154399E-16</v>
      </c>
      <c r="Y7" s="15">
        <f>IFERROR((TR/(RadSpec!I7*IFW_res_adj)),".")</f>
        <v>5.8598254969750228</v>
      </c>
      <c r="Z7" s="15" t="str">
        <f>IFERROR(IF(AND(RadSpec!C7=1,RadSpec!D7&lt;&gt;0),(TR/(RadSpec!H7*IFA_res_adj*K*RadSpec!D7)),"."),".")</f>
        <v>.</v>
      </c>
      <c r="AA7" s="15">
        <f>IFERROR((TR/(RadSpec!M7*(1/8760)*DFA_res_adj)),".")</f>
        <v>183446355.18360361</v>
      </c>
      <c r="AB7" s="15">
        <f>d_b2w!C7</f>
        <v>0.87475962020166631</v>
      </c>
      <c r="AC7" s="15">
        <f>IF(AND(Y7&lt;&gt;".",Z7&lt;&gt;".",AA7&lt;&gt;".",AB7&lt;&gt;"."),1/((1/Y7)+(1/Z7)+(1/AA7)+(1/AB7)),IF(AND(Y7&lt;&gt;".",Z7&lt;&gt;".",AA7&lt;&gt;".",AB7="."), 1/((1/Y7)+(1/Z7)+(1/AA7)),IF(AND(Y7&lt;&gt;".",Z7&lt;&gt;".",AA7=".",AB7&lt;&gt;"."),1/((1/Y7)+(1/Z7)+(1/AB7)),IF(AND(Y7&lt;&gt;".",Z7=".",AA7&lt;&gt;".",AB7&lt;&gt;"."),1/((1/Y7)+(1/AA7)+(1/AB7)),IF(AND(Y7=".",Z7&lt;&gt;".",AA7&lt;&gt;".",AB7&lt;&gt;"."),1/((1/Z7)+(1/AA7)+(1/AB7)),IF(AND(Y7&lt;&gt;".",Z7&lt;&gt;".",AA7=".",AB7="."),1/((1/Y7)+(1/Z7)),IF(AND(Y7&lt;&gt;".",Z7=".",AA7&lt;&gt;".",AB7="."),1/((1/Y7)+(1/AA7)),IF(AND(Y7&lt;&gt;".",Z7=".",AA7=".",AB7&lt;&gt;"."),1/((1/Y7)+(1/AB7)),IF(AND(Y7=".",Z7=".",AA7&lt;&gt;".",AB7&lt;&gt;"."),1/((1/AA7)+(1/AB7)),IF(AND(Y7=".",Z7&lt;&gt;".",AA7=".",AB7&lt;&gt;"."),1/((1/Z7)+(1/AB7)),IF(AND(Y7=".",Z7&lt;&gt;".",AA7&lt;&gt;".",AB7="."),1/((1/Z7)+(1/AA7)),IF(AND(Y7&lt;&gt;".",Z7=".",AA7=".",AB7="."),1/((1/Y7)),IF(AND(Y7=".",Z7&lt;&gt;".",AA7=".",AB7="."),1/((1/Z7)),IF(AND(Y7=".",Z7=".",AA7&lt;&gt;".",AB7="."),1/((1/AA7)),IF(AND(Y7=".",Z7=".",AA7=".",AB7&lt;&gt;"."),1/((1/AB7)),IF(AND(Y7=".",Z7=".",AA7=".",AB7="."),"."))))))))))))))))</f>
        <v>0.7611365237392419</v>
      </c>
      <c r="AD7" s="197">
        <f>AC7*(0.0000000000000028)*RadSpec!$AY7*RadSpec!$AF7</f>
        <v>6.1467383763858618E-15</v>
      </c>
      <c r="AE7" s="15">
        <f>IFERROR(TR/(RadSpec!F7*EF_res*ED_res*IRF_res*0.001*CF_res_fish),".")</f>
        <v>0.15625015625015626</v>
      </c>
      <c r="AF7" s="197">
        <f>IFERROR(AE7*(0.0000000000000028)*RadSpec!$AY7*RadSpec!$AF7,0)</f>
        <v>1.2618351659447583E-15</v>
      </c>
    </row>
    <row r="8" spans="1:32" x14ac:dyDescent="0.25">
      <c r="A8" s="44" t="s">
        <v>18</v>
      </c>
      <c r="B8" s="42" t="s">
        <v>1071</v>
      </c>
      <c r="C8" s="42"/>
      <c r="D8" s="15">
        <f>IFERROR((TR/(RadSpec!E8*IFS_res_adj*(1/1000))),".")</f>
        <v>749.41845128180535</v>
      </c>
      <c r="E8" s="15">
        <f>IFERROR(IF(A8="H-3",(TR/(RadSpec!H8*IFA_res_adj*(1/17)*1000))*RadSpec!#REF!,(TR/(RadSpec!H8*IFA_res_adj*(1/PEF_wind)*1000))),".")</f>
        <v>114096.39697678643</v>
      </c>
      <c r="F8" s="15">
        <f>IFERROR((TR/(RadSpec!G8*EF_res*(1/365)*ED_res*RadSpec!R8*((ET_res_o*(1/24)*RadSpec!W8)+(ET_res_i*(1/24)*RadSpec!AB8)))),".")</f>
        <v>0.21313966051972794</v>
      </c>
      <c r="G8" s="15">
        <f>d_b2s!C8</f>
        <v>1.1407936881936285</v>
      </c>
      <c r="H8" s="15">
        <f>d_dir!C8</f>
        <v>0.11501301278158976</v>
      </c>
      <c r="I8" s="15">
        <f t="shared" si="0"/>
        <v>0.17954336104940011</v>
      </c>
      <c r="J8" s="197">
        <f>I8*(0.0000000000028)*RadSpec!AY8*RadSpec!AF8</f>
        <v>9.2879789260966832E-15</v>
      </c>
      <c r="K8" s="15">
        <f>IFERROR((TR/(RadSpec!G8*EF_res*(1/365)*ED_res*RadSpec!R8*((ET_res_o*(1/24)*RadSpec!W8)+(ET_res_i*(1/24)*RadSpec!AB8)))),".")</f>
        <v>0.21313966051972794</v>
      </c>
      <c r="L8" s="15">
        <f>IFERROR((TR/(RadSpec!N8*EF_res*(1/365)*ED_res*RadSpec!S8*((ET_res_o*(1/24)*RadSpec!X8)+(ET_res_i*(1/24)*RadSpec!AC8)))),".")</f>
        <v>0.98323355299279247</v>
      </c>
      <c r="M8" s="15">
        <f>IFERROR((TR/(RadSpec!O8*EF_res*(1/365)*ED_res*RadSpec!T8*((ET_res_o*(1/24)*RadSpec!Y8)+(ET_res_i*(1/24)*RadSpec!AD8)))),".")</f>
        <v>0.35195291953719271</v>
      </c>
      <c r="N8" s="15">
        <f>IFERROR((TR/(RadSpec!P8*EF_res*(1/365)*ED_res*RadSpec!U8*((ET_res_o*(1/24)*RadSpec!Z8)+(ET_res_i*(1/24)*RadSpec!AE8)))),".")</f>
        <v>0.23265244634195653</v>
      </c>
      <c r="O8" s="15">
        <f>IFERROR((TR/(RadSpec!L8*EF_res*(1/365)*ED_res*RadSpec!Q8*((ET_res_o*(1/24)*RadSpec!V8)+(ET_res_i*(1/24)*RadSpec!AA8)))),".")</f>
        <v>0.96223244797741248</v>
      </c>
      <c r="P8" s="197">
        <f>K8*(0.0000000000028)*RadSpec!$AY8*RadSpec!$AF8</f>
        <v>1.1025953082597972E-14</v>
      </c>
      <c r="Q8" s="197">
        <f>L8*(0.0000000000028)*RadSpec!$AY8*RadSpec!$AF8</f>
        <v>5.0863771660794216E-14</v>
      </c>
      <c r="R8" s="197">
        <f>M8*(0.0000000000028)*RadSpec!$AY8*RadSpec!$AF8</f>
        <v>1.8206918264943383E-14</v>
      </c>
      <c r="S8" s="197">
        <f>N8*(0.0000000000028)*RadSpec!$AY8*RadSpec!$AF8</f>
        <v>1.2035371322554124E-14</v>
      </c>
      <c r="T8" s="197">
        <f>O8*(0.0000000000000028)*RadSpec!$AY8*RadSpec!$AF8</f>
        <v>4.9777361003961728E-17</v>
      </c>
      <c r="U8" s="15">
        <f>IFERROR((TR/(RadSpec!H8*IFA_res_adj)),".")</f>
        <v>8.3934866543562192E-2</v>
      </c>
      <c r="V8" s="15">
        <f>IFERROR((TR/(RadSpec!K8*EF_res*(1/365)*ED_res*ET_res*(1/24)*GSF_a)),".")</f>
        <v>75.332249882245677</v>
      </c>
      <c r="W8" s="15">
        <f t="shared" si="5"/>
        <v>8.3841450762252745E-2</v>
      </c>
      <c r="X8" s="197">
        <f>W8*(0.0000000000000028)*RadSpec!$AY8*RadSpec!$AF8</f>
        <v>4.3372120431616376E-18</v>
      </c>
      <c r="Y8" s="15">
        <f>IFERROR((TR/(RadSpec!I8*IFW_res_adj)),".")</f>
        <v>103.08160180810077</v>
      </c>
      <c r="Z8" s="15" t="str">
        <f>IFERROR(IF(AND(RadSpec!C8=1,RadSpec!D8&lt;&gt;0),(TR/(RadSpec!H8*IFA_res_adj*K*RadSpec!D8)),"."),".")</f>
        <v>.</v>
      </c>
      <c r="AA8" s="15">
        <f>IFERROR((TR/(RadSpec!M8*(1/8760)*DFA_res_adj)),".")</f>
        <v>1241505.6360910549</v>
      </c>
      <c r="AB8" s="15">
        <f>d_b2w!C8</f>
        <v>15.871927129432295</v>
      </c>
      <c r="AC8" s="15">
        <f t="shared" si="2"/>
        <v>13.753989153267312</v>
      </c>
      <c r="AD8" s="197">
        <f>AC8*(0.0000000000000028)*RadSpec!$AY8*RadSpec!$AF8</f>
        <v>7.1150924578136035E-16</v>
      </c>
      <c r="AE8" s="15">
        <f>IFERROR(TR/(RadSpec!F8*EF_res*ED_res*IRF_res*0.001*CF_res_fish),".")</f>
        <v>2.8350543814461333</v>
      </c>
      <c r="AF8" s="197">
        <f>IFERROR(AE8*(0.0000000000000028)*RadSpec!$AY8*RadSpec!$AF8,0)</f>
        <v>1.4666053478838853E-16</v>
      </c>
    </row>
    <row r="9" spans="1:32" x14ac:dyDescent="0.25">
      <c r="A9" s="44" t="s">
        <v>19</v>
      </c>
      <c r="B9" s="42" t="s">
        <v>1071</v>
      </c>
      <c r="C9" s="249"/>
      <c r="D9" s="15">
        <f>IFERROR((TR/(RadSpec!E9*IFS_res_adj*(1/1000))),".")</f>
        <v>2213.8783606673514</v>
      </c>
      <c r="E9" s="15">
        <f>IFERROR(IF(A9="H-3",(TR/(RadSpec!H9*IFA_res_adj*(1/17)*1000))*RadSpec!#REF!,(TR/(RadSpec!H9*IFA_res_adj*(1/PEF_wind)*1000))),".")</f>
        <v>136620.28116961487</v>
      </c>
      <c r="F9" s="15">
        <f>IFERROR((TR/(RadSpec!G9*EF_res*(1/365)*ED_res*RadSpec!R9*((ET_res_o*(1/24)*RadSpec!W9)+(ET_res_i*(1/24)*RadSpec!AB9)))),".")</f>
        <v>1.5756747558294669E-2</v>
      </c>
      <c r="G9" s="15">
        <f>d_b2s!C9</f>
        <v>3.0866663250985202</v>
      </c>
      <c r="H9" s="15">
        <f>d_dir!C9</f>
        <v>0.31119281003665855</v>
      </c>
      <c r="I9" s="15">
        <f t="shared" si="0"/>
        <v>1.567660856313095E-2</v>
      </c>
      <c r="J9" s="197">
        <f>I9*(0.0000000000028)*RadSpec!AY9*RadSpec!AF9</f>
        <v>3.5564903849973067E-16</v>
      </c>
      <c r="K9" s="15">
        <f>IFERROR((TR/(RadSpec!G9*EF_res*(1/365)*ED_res*RadSpec!R9*((ET_res_o*(1/24)*RadSpec!W9)+(ET_res_i*(1/24)*RadSpec!AB9)))),".")</f>
        <v>1.5756747558294669E-2</v>
      </c>
      <c r="L9" s="15">
        <f>IFERROR((TR/(RadSpec!N9*EF_res*(1/365)*ED_res*RadSpec!S9*((ET_res_o*(1/24)*RadSpec!X9)+(ET_res_i*(1/24)*RadSpec!AC9)))),".")</f>
        <v>8.7244667378233678E-2</v>
      </c>
      <c r="M9" s="15">
        <f>IFERROR((TR/(RadSpec!O9*EF_res*(1/365)*ED_res*RadSpec!T9*((ET_res_o*(1/24)*RadSpec!Y9)+(ET_res_i*(1/24)*RadSpec!AD9)))),".")</f>
        <v>3.0364565607130353E-2</v>
      </c>
      <c r="N9" s="15">
        <f>IFERROR((TR/(RadSpec!P9*EF_res*(1/365)*ED_res*RadSpec!U9*((ET_res_o*(1/24)*RadSpec!Z9)+(ET_res_i*(1/24)*RadSpec!AE9)))),".")</f>
        <v>1.8842194323512071E-2</v>
      </c>
      <c r="O9" s="15">
        <f>IFERROR((TR/(RadSpec!L9*EF_res*(1/365)*ED_res*RadSpec!Q9*((ET_res_o*(1/24)*RadSpec!V9)+(ET_res_i*(1/24)*RadSpec!AA9)))),".")</f>
        <v>9.009994740152133E-2</v>
      </c>
      <c r="P9" s="197">
        <f>K9*(0.0000000000028)*RadSpec!$AY9*RadSpec!$AF9</f>
        <v>3.5746712029092509E-16</v>
      </c>
      <c r="Q9" s="197">
        <f>L9*(0.0000000000028)*RadSpec!$AY9*RadSpec!$AF9</f>
        <v>1.9792853755545056E-15</v>
      </c>
      <c r="R9" s="197">
        <f>M9*(0.0000000000028)*RadSpec!$AY9*RadSpec!$AF9</f>
        <v>6.8886892972730369E-16</v>
      </c>
      <c r="S9" s="197">
        <f>N9*(0.0000000000028)*RadSpec!$AY9*RadSpec!$AF9</f>
        <v>4.2746543472051699E-16</v>
      </c>
      <c r="T9" s="197">
        <f>O9*(0.0000000000000028)*RadSpec!$AY9*RadSpec!$AF9</f>
        <v>2.0440619878453808E-18</v>
      </c>
      <c r="U9" s="15">
        <f>IFERROR((TR/(RadSpec!H9*IFA_res_adj)),".")</f>
        <v>0.10050453275442722</v>
      </c>
      <c r="V9" s="15">
        <f>IFERROR((TR/(RadSpec!K9*EF_res*(1/365)*ED_res*ET_res*(1/24)*GSF_a)),".")</f>
        <v>5.9950272157598672</v>
      </c>
      <c r="W9" s="15">
        <f t="shared" si="5"/>
        <v>9.8847390847710437E-2</v>
      </c>
      <c r="X9" s="197">
        <f>W9*(0.0000000000000028)*RadSpec!$AY9*RadSpec!$AF9</f>
        <v>2.2425117889257357E-18</v>
      </c>
      <c r="Y9" s="15">
        <f>IFERROR((TR/(RadSpec!I9*IFW_res_adj)),".")</f>
        <v>272.10365024489028</v>
      </c>
      <c r="Z9" s="15">
        <f>IFERROR(IF(AND(RadSpec!C9=1,RadSpec!D9&lt;&gt;0),(TR/(RadSpec!H9*IFA_res_adj*K*RadSpec!D9)),"."),".")</f>
        <v>0.24685944898147422</v>
      </c>
      <c r="AA9" s="15">
        <f>IFERROR((TR/(RadSpec!M9*(1/8760)*DFA_res_adj)),".")</f>
        <v>99120.208042753569</v>
      </c>
      <c r="AB9" s="15">
        <f>d_b2w!C9</f>
        <v>42.944963223289605</v>
      </c>
      <c r="AC9" s="15">
        <f t="shared" si="2"/>
        <v>0.24522673159131367</v>
      </c>
      <c r="AD9" s="197">
        <f>AC9*(0.0000000000000028)*RadSpec!$AY9*RadSpec!$AF9</f>
        <v>5.5633621872780634E-18</v>
      </c>
      <c r="AE9" s="15">
        <f>IFERROR(TR/(RadSpec!F9*EF_res*ED_res*IRF_res*0.001*CF_res_fish),".")</f>
        <v>7.6708584379435125</v>
      </c>
      <c r="AF9" s="197">
        <f>IFERROR(AE9*(0.0000000000000028)*RadSpec!$AY9*RadSpec!$AF9,0)</f>
        <v>1.74025741405467E-16</v>
      </c>
    </row>
    <row r="10" spans="1:32" x14ac:dyDescent="0.25">
      <c r="A10" s="46" t="s">
        <v>20</v>
      </c>
      <c r="B10" s="42" t="s">
        <v>349</v>
      </c>
      <c r="C10" s="42"/>
      <c r="D10" s="15">
        <f>IFERROR((TR/(RadSpec!E10*IFS_res_adj*(1/1000))),".")</f>
        <v>20.983716635890548</v>
      </c>
      <c r="E10" s="15">
        <f>IFERROR(IF(A10="H-3",(TR/(RadSpec!H10*IFA_res_adj*(1/17)*1000))*RadSpec!#REF!,(TR/(RadSpec!H10*IFA_res_adj*(1/PEF_wind)*1000))),".")</f>
        <v>75063.419063675305</v>
      </c>
      <c r="F10" s="15">
        <f>IFERROR((TR/(RadSpec!G10*EF_res*(1/365)*ED_res*RadSpec!R10*((ET_res_o*(1/24)*RadSpec!W10)+(ET_res_i*(1/24)*RadSpec!AB10)))),".")</f>
        <v>209.53476139888679</v>
      </c>
      <c r="G10" s="15">
        <f>d_b2s!C10</f>
        <v>8.9501348354362797E-2</v>
      </c>
      <c r="H10" s="15">
        <f>d_dir!C10</f>
        <v>2.2091608395671705E-3</v>
      </c>
      <c r="I10" s="15">
        <f t="shared" si="0"/>
        <v>8.9083226272385657E-2</v>
      </c>
      <c r="J10" s="197">
        <f>I10*(0.0000000000028)*RadSpec!AY10*RadSpec!AF10</f>
        <v>1.0308799635500546E-9</v>
      </c>
      <c r="K10" s="15">
        <f>IFERROR((TR/(RadSpec!G10*EF_res*(1/365)*ED_res*RadSpec!R10*((ET_res_o*(1/24)*RadSpec!W10)+(ET_res_i*(1/24)*RadSpec!AB10)))),".")</f>
        <v>209.53476139888679</v>
      </c>
      <c r="L10" s="15">
        <f>IFERROR((TR/(RadSpec!N10*EF_res*(1/365)*ED_res*RadSpec!S10*((ET_res_o*(1/24)*RadSpec!X10)+(ET_res_i*(1/24)*RadSpec!AC10)))),".")</f>
        <v>601.39527998588267</v>
      </c>
      <c r="M10" s="15">
        <f>IFERROR((TR/(RadSpec!O10*EF_res*(1/365)*ED_res*RadSpec!T10*((ET_res_o*(1/24)*RadSpec!Y10)+(ET_res_i*(1/24)*RadSpec!AD10)))),".")</f>
        <v>272.87979664557673</v>
      </c>
      <c r="N10" s="15">
        <f>IFERROR((TR/(RadSpec!P10*EF_res*(1/365)*ED_res*RadSpec!U10*((ET_res_o*(1/24)*RadSpec!Z10)+(ET_res_i*(1/24)*RadSpec!AE10)))),".")</f>
        <v>213.59901323636527</v>
      </c>
      <c r="O10" s="15">
        <f>IFERROR((TR/(RadSpec!L10*EF_res*(1/365)*ED_res*RadSpec!Q10*((ET_res_o*(1/24)*RadSpec!V10)+(ET_res_i*(1/24)*RadSpec!AA10)))),".")</f>
        <v>209.09270494023943</v>
      </c>
      <c r="P10" s="197">
        <f>K10*(0.0000000000028)*RadSpec!$AY10*RadSpec!$AF10</f>
        <v>2.4247571201887629E-6</v>
      </c>
      <c r="Q10" s="197">
        <f>L10*(0.0000000000028)*RadSpec!$AY10*RadSpec!$AF10</f>
        <v>6.9594060549107111E-6</v>
      </c>
      <c r="R10" s="197">
        <f>M10*(0.0000000000028)*RadSpec!$AY10*RadSpec!$AF10</f>
        <v>3.1577921746951687E-6</v>
      </c>
      <c r="S10" s="197">
        <f>N10*(0.0000000000028)*RadSpec!$AY10*RadSpec!$AF10</f>
        <v>2.471789047088977E-6</v>
      </c>
      <c r="T10" s="197">
        <f>O10*(0.0000000000000028)*RadSpec!$AY10*RadSpec!$AF10</f>
        <v>2.4196415988381548E-9</v>
      </c>
      <c r="U10" s="15">
        <f>IFERROR((TR/(RadSpec!H10*IFA_res_adj)),".")</f>
        <v>5.5220306936554081E-2</v>
      </c>
      <c r="V10" s="15">
        <f>IFERROR((TR/(RadSpec!K10*EF_res*(1/365)*ED_res*ET_res*(1/24)*GSF_a)),".")</f>
        <v>24713.31363043455</v>
      </c>
      <c r="W10" s="15">
        <f t="shared" ref="W10" si="6">IF(AND(U10&lt;&gt;".",V10&lt;&gt;"."),1/((1/U10)+(1/V10)),IF(AND(U10&lt;&gt;".",V10="."),1/((1/U10)),IF(AND(U10=".",V10&lt;&gt;"."),1/((1/V10)),IF(AND(U10&lt;&gt;".",V10="."),"."))))</f>
        <v>5.5220183550611986E-2</v>
      </c>
      <c r="X10" s="197">
        <f>W10*(0.0000000000000028)*RadSpec!$AY10*RadSpec!$AF10</f>
        <v>6.3901346176915624E-13</v>
      </c>
      <c r="Y10" s="15">
        <f>IFERROR((TR/(RadSpec!I10*IFW_res_adj)),".")</f>
        <v>1.7138567290909961</v>
      </c>
      <c r="Z10" s="15" t="str">
        <f>IFERROR(IF(AND(RadSpec!C10=1,RadSpec!D10&lt;&gt;0),(TR/(RadSpec!H10*IFA_res_adj*K*RadSpec!D10)),"."),".")</f>
        <v>.</v>
      </c>
      <c r="AA10" s="15">
        <f>IFERROR((TR/(RadSpec!M10*(1/8760)*DFA_res_adj)),".")</f>
        <v>640151343.6094501</v>
      </c>
      <c r="AB10" s="15">
        <f>d_b2w!C10</f>
        <v>0.48735717871165074</v>
      </c>
      <c r="AC10" s="15">
        <f t="shared" si="2"/>
        <v>0.379454435005117</v>
      </c>
      <c r="AD10" s="197">
        <f>AC10*(0.0000000000000028)*RadSpec!$AY10*RadSpec!$AF10</f>
        <v>4.3910845003627636E-12</v>
      </c>
      <c r="AE10" s="15">
        <f>IFERROR(TR/(RadSpec!F10*EF_res*ED_res*IRF_res*0.001*CF_res_fish),".")</f>
        <v>5.4455500000054453E-2</v>
      </c>
      <c r="AF10" s="197">
        <f>IFERROR(AE10*(0.0000000000000028)*RadSpec!$AY10*RadSpec!$AF10,0)</f>
        <v>6.3016446759021015E-13</v>
      </c>
    </row>
    <row r="11" spans="1:32" x14ac:dyDescent="0.25">
      <c r="A11" s="44" t="s">
        <v>21</v>
      </c>
      <c r="B11" s="42" t="s">
        <v>1071</v>
      </c>
      <c r="C11" s="42"/>
      <c r="D11" s="15" t="str">
        <f>IFERROR((TR/(RadSpec!E11*IFS_res_adj*(1/1000))),".")</f>
        <v>.</v>
      </c>
      <c r="E11" s="15" t="str">
        <f>IFERROR(IF(A11="H-3",(TR/(RadSpec!H11*IFA_res_adj*(1/17)*1000))*RadSpec!#REF!,(TR/(RadSpec!H11*IFA_res_adj*(1/PEF_wind)*1000))),".")</f>
        <v>.</v>
      </c>
      <c r="F11" s="15">
        <f>IFERROR((TR/(RadSpec!G11*EF_res*(1/365)*ED_res*RadSpec!R11*((ET_res_o*(1/24)*RadSpec!W11)+(ET_res_i*(1/24)*RadSpec!AB11)))),".")</f>
        <v>1.103674188660061</v>
      </c>
      <c r="G11" s="15" t="str">
        <f>d_b2s!C11</f>
        <v>.</v>
      </c>
      <c r="H11" s="15" t="str">
        <f>d_dir!C11</f>
        <v>.</v>
      </c>
      <c r="I11" s="15">
        <f t="shared" si="0"/>
        <v>1.103674188660061</v>
      </c>
      <c r="J11" s="197">
        <f>I11*(0.0000000000028)*RadSpec!AY11*RadSpec!AF11</f>
        <v>6.3669569652205957E-15</v>
      </c>
      <c r="K11" s="15">
        <f>IFERROR((TR/(RadSpec!G11*EF_res*(1/365)*ED_res*RadSpec!R11*((ET_res_o*(1/24)*RadSpec!W11)+(ET_res_i*(1/24)*RadSpec!AB11)))),".")</f>
        <v>1.103674188660061</v>
      </c>
      <c r="L11" s="15">
        <f>IFERROR((TR/(RadSpec!N11*EF_res*(1/365)*ED_res*RadSpec!S11*((ET_res_o*(1/24)*RadSpec!X11)+(ET_res_i*(1/24)*RadSpec!AC11)))),".")</f>
        <v>4.5214389663172208</v>
      </c>
      <c r="M11" s="15">
        <f>IFERROR((TR/(RadSpec!O11*EF_res*(1/365)*ED_res*RadSpec!T11*((ET_res_o*(1/24)*RadSpec!Y11)+(ET_res_i*(1/24)*RadSpec!AD11)))),".")</f>
        <v>1.6387225883213208</v>
      </c>
      <c r="N11" s="15">
        <f>IFERROR((TR/(RadSpec!P11*EF_res*(1/365)*ED_res*RadSpec!U11*((ET_res_o*(1/24)*RadSpec!Z11)+(ET_res_i*(1/24)*RadSpec!AE11)))),".")</f>
        <v>1.1457796779384217</v>
      </c>
      <c r="O11" s="15">
        <f>IFERROR((TR/(RadSpec!L11*EF_res*(1/365)*ED_res*RadSpec!Q11*((ET_res_o*(1/24)*RadSpec!V11)+(ET_res_i*(1/24)*RadSpec!AA11)))),".")</f>
        <v>4.5884232472996977</v>
      </c>
      <c r="P11" s="197">
        <f>K11*(0.0000000000028)*RadSpec!$AY11*RadSpec!$AF11</f>
        <v>6.3669569652205957E-15</v>
      </c>
      <c r="Q11" s="197">
        <f>L11*(0.0000000000028)*RadSpec!$AY11*RadSpec!$AF11</f>
        <v>2.6083610195109925E-14</v>
      </c>
      <c r="R11" s="197">
        <f>M11*(0.0000000000028)*RadSpec!$AY11*RadSpec!$AF11</f>
        <v>9.4535835892329624E-15</v>
      </c>
      <c r="S11" s="197">
        <f>N11*(0.0000000000028)*RadSpec!$AY11*RadSpec!$AF11</f>
        <v>6.6098582136047338E-15</v>
      </c>
      <c r="T11" s="197">
        <f>O11*(0.0000000000000028)*RadSpec!$AY11*RadSpec!$AF11</f>
        <v>2.647003404985229E-17</v>
      </c>
      <c r="U11" s="15" t="str">
        <f>IFERROR((TR/(RadSpec!H11*IFA_res_adj)),".")</f>
        <v>.</v>
      </c>
      <c r="V11" s="15">
        <f>IFERROR((TR/(RadSpec!K11*EF_res*(1/365)*ED_res*ET_res*(1/24)*GSF_a)),".")</f>
        <v>348.039573924053</v>
      </c>
      <c r="W11" s="15">
        <f t="shared" ref="W11" si="7">IF(AND(U11&lt;&gt;".",V11&lt;&gt;"."),1/((1/U11)+(1/V11)),IF(AND(U11&lt;&gt;".",V11="."),1/((1/U11)),IF(AND(U11=".",V11&lt;&gt;"."),1/((1/V11)),IF(AND(U11&lt;&gt;".",V11="."),"."))))</f>
        <v>348.039573924053</v>
      </c>
      <c r="X11" s="197">
        <f>W11*(0.0000000000000028)*RadSpec!$AY11*RadSpec!$AF11</f>
        <v>2.0077963334980971E-15</v>
      </c>
      <c r="Y11" s="15" t="str">
        <f>IFERROR((TR/(RadSpec!I11*IFW_res_adj)),".")</f>
        <v>.</v>
      </c>
      <c r="Z11" s="15" t="str">
        <f>IFERROR(IF(AND(RadSpec!C11=1,RadSpec!D11&lt;&gt;0),(TR/(RadSpec!H11*IFA_res_adj*K*RadSpec!D11)),"."),".")</f>
        <v>.</v>
      </c>
      <c r="AA11" s="15">
        <f>IFERROR((TR/(RadSpec!M11*(1/8760)*DFA_res_adj)),".")</f>
        <v>5664011.8881573454</v>
      </c>
      <c r="AB11" s="15" t="str">
        <f>d_b2w!C11</f>
        <v>.</v>
      </c>
      <c r="AC11" s="15">
        <f t="shared" si="2"/>
        <v>5664011.8881573454</v>
      </c>
      <c r="AD11" s="197">
        <f>AC11*(0.0000000000000028)*RadSpec!$AY11*RadSpec!$AF11</f>
        <v>3.267496903789889E-11</v>
      </c>
      <c r="AE11" s="15" t="str">
        <f>IFERROR(TR/(RadSpec!F11*EF_res*ED_res*IRF_res*0.001*CF_res_fish),".")</f>
        <v>.</v>
      </c>
      <c r="AF11" s="197">
        <f>IFERROR(AE11*(0.0000000000000028)*RadSpec!$AY11*RadSpec!$AF11,0)</f>
        <v>0</v>
      </c>
    </row>
    <row r="12" spans="1:32" x14ac:dyDescent="0.25">
      <c r="A12" s="44" t="s">
        <v>22</v>
      </c>
      <c r="B12" s="42" t="s">
        <v>1071</v>
      </c>
      <c r="C12" s="249"/>
      <c r="D12" s="15" t="str">
        <f>IFERROR((TR/(RadSpec!E12*IFS_res_adj*(1/1000))),".")</f>
        <v>.</v>
      </c>
      <c r="E12" s="15" t="str">
        <f>IFERROR(IF(A12="H-3",(TR/(RadSpec!H12*IFA_res_adj*(1/17)*1000))*RadSpec!#REF!,(TR/(RadSpec!H12*IFA_res_adj*(1/PEF_wind)*1000))),".")</f>
        <v>.</v>
      </c>
      <c r="F12" s="15">
        <f>IFERROR((TR/(RadSpec!G12*EF_res*(1/365)*ED_res*RadSpec!R12*((ET_res_o*(1/24)*RadSpec!W12)+(ET_res_i*(1/24)*RadSpec!AB12)))),".")</f>
        <v>0.23939599551128857</v>
      </c>
      <c r="G12" s="15" t="str">
        <f>d_b2s!C12</f>
        <v>.</v>
      </c>
      <c r="H12" s="15" t="str">
        <f>d_dir!C12</f>
        <v>.</v>
      </c>
      <c r="I12" s="15">
        <f t="shared" si="0"/>
        <v>0.23939599551128854</v>
      </c>
      <c r="J12" s="197">
        <f>I12*(0.0000000000028)*RadSpec!AY12*RadSpec!AF12</f>
        <v>2.1411366499599086E-15</v>
      </c>
      <c r="K12" s="15">
        <f>IFERROR((TR/(RadSpec!G12*EF_res*(1/365)*ED_res*RadSpec!R12*((ET_res_o*(1/24)*RadSpec!W12)+(ET_res_i*(1/24)*RadSpec!AB12)))),".")</f>
        <v>0.23939599551128857</v>
      </c>
      <c r="L12" s="15">
        <f>IFERROR((TR/(RadSpec!N12*EF_res*(1/365)*ED_res*RadSpec!S12*((ET_res_o*(1/24)*RadSpec!X12)+(ET_res_i*(1/24)*RadSpec!AC12)))),".")</f>
        <v>1.0534645210637061</v>
      </c>
      <c r="M12" s="15">
        <f>IFERROR((TR/(RadSpec!O12*EF_res*(1/365)*ED_res*RadSpec!T12*((ET_res_o*(1/24)*RadSpec!Y12)+(ET_res_i*(1/24)*RadSpec!AD12)))),".")</f>
        <v>0.37770557218625572</v>
      </c>
      <c r="N12" s="15">
        <f>IFERROR((TR/(RadSpec!P12*EF_res*(1/365)*ED_res*RadSpec!U12*((ET_res_o*(1/24)*RadSpec!Z12)+(ET_res_i*(1/24)*RadSpec!AE12)))),".")</f>
        <v>0.25609804170975053</v>
      </c>
      <c r="O12" s="15">
        <f>IFERROR((TR/(RadSpec!L12*EF_res*(1/365)*ED_res*RadSpec!Q12*((ET_res_o*(1/24)*RadSpec!V12)+(ET_res_i*(1/24)*RadSpec!AA12)))),".")</f>
        <v>1.0356315793278317</v>
      </c>
      <c r="P12" s="197">
        <f>K12*(0.0000000000028)*RadSpec!$AY12*RadSpec!$AF12</f>
        <v>2.141136649959909E-15</v>
      </c>
      <c r="Q12" s="197">
        <f>L12*(0.0000000000028)*RadSpec!$AY12*RadSpec!$AF12</f>
        <v>9.4220936764817413E-15</v>
      </c>
      <c r="R12" s="197">
        <f>M12*(0.0000000000028)*RadSpec!$AY12*RadSpec!$AF12</f>
        <v>3.378165293762967E-15</v>
      </c>
      <c r="S12" s="197">
        <f>N12*(0.0000000000028)*RadSpec!$AY12*RadSpec!$AF12</f>
        <v>2.2905182767012976E-15</v>
      </c>
      <c r="T12" s="197">
        <f>O12*(0.0000000000000028)*RadSpec!$AY12*RadSpec!$AF12</f>
        <v>9.2625974198892622E-18</v>
      </c>
      <c r="U12" s="15" t="str">
        <f>IFERROR((TR/(RadSpec!H12*IFA_res_adj)),".")</f>
        <v>.</v>
      </c>
      <c r="V12" s="15">
        <f>IFERROR((TR/(RadSpec!K12*EF_res*(1/365)*ED_res*ET_res*(1/24)*GSF_a)),".")</f>
        <v>80.827072814833016</v>
      </c>
      <c r="W12" s="15">
        <f t="shared" ref="W12" si="8">IF(AND(U12&lt;&gt;".",V12&lt;&gt;"."),1/((1/U12)+(1/V12)),IF(AND(U12&lt;&gt;".",V12="."),1/((1/U12)),IF(AND(U12=".",V12&lt;&gt;"."),1/((1/V12)),IF(AND(U12&lt;&gt;".",V12="."),"."))))</f>
        <v>80.827072814833016</v>
      </c>
      <c r="X12" s="197">
        <f>W12*(0.0000000000000028)*RadSpec!$AY12*RadSpec!$AF12</f>
        <v>7.2291020383695832E-16</v>
      </c>
      <c r="Y12" s="15" t="str">
        <f>IFERROR((TR/(RadSpec!I12*IFW_res_adj)),".")</f>
        <v>.</v>
      </c>
      <c r="Z12" s="15" t="str">
        <f>IFERROR(IF(AND(RadSpec!C12=1,RadSpec!D12&lt;&gt;0),(TR/(RadSpec!H12*IFA_res_adj*K*RadSpec!D12)),"."),".")</f>
        <v>.</v>
      </c>
      <c r="AA12" s="15">
        <f>IFERROR((TR/(RadSpec!M12*(1/8760)*DFA_res_adj)),".")</f>
        <v>1328746.572681237</v>
      </c>
      <c r="AB12" s="15" t="str">
        <f>d_b2w!C12</f>
        <v>.</v>
      </c>
      <c r="AC12" s="15">
        <f t="shared" si="2"/>
        <v>1328746.572681237</v>
      </c>
      <c r="AD12" s="197">
        <f>AC12*(0.0000000000000028)*RadSpec!$AY12*RadSpec!$AF12</f>
        <v>1.1884192044232664E-11</v>
      </c>
      <c r="AE12" s="15" t="str">
        <f>IFERROR(TR/(RadSpec!F12*EF_res*ED_res*IRF_res*0.001*CF_res_fish),".")</f>
        <v>.</v>
      </c>
      <c r="AF12" s="197">
        <f>IFERROR(AE12*(0.0000000000000028)*RadSpec!$AY12*RadSpec!$AF12,0)</f>
        <v>0</v>
      </c>
    </row>
    <row r="13" spans="1:32" x14ac:dyDescent="0.25">
      <c r="A13" s="44" t="s">
        <v>23</v>
      </c>
      <c r="B13" s="42" t="s">
        <v>1071</v>
      </c>
      <c r="C13" s="42"/>
      <c r="D13" s="15">
        <f>IFERROR((TR/(RadSpec!E13*IFS_res_adj*(1/1000))),".")</f>
        <v>7.1606154692208097</v>
      </c>
      <c r="E13" s="15">
        <f>IFERROR(IF(A13="H-3",(TR/(RadSpec!H13*IFA_res_adj*(1/17)*1000))*RadSpec!#REF!,(TR/(RadSpec!H13*IFA_res_adj*(1/PEF_wind)*1000))),".")</f>
        <v>294.44231477880379</v>
      </c>
      <c r="F13" s="15">
        <f>IFERROR((TR/(RadSpec!G13*EF_res*(1/365)*ED_res*RadSpec!R13*((ET_res_o*(1/24)*RadSpec!W13)+(ET_res_i*(1/24)*RadSpec!AB13)))),".")</f>
        <v>2.237244743604367</v>
      </c>
      <c r="G13" s="15">
        <f>d_b2s!C13</f>
        <v>9.6127665114464231E-2</v>
      </c>
      <c r="H13" s="15">
        <f>d_dir!C13</f>
        <v>9.9609484284055396E-4</v>
      </c>
      <c r="I13" s="15">
        <f t="shared" si="0"/>
        <v>9.0968138083429906E-2</v>
      </c>
      <c r="J13" s="197">
        <f>I13*(0.0000000000028)*RadSpec!AY13*RadSpec!AF13</f>
        <v>1.2942568259055983E-4</v>
      </c>
      <c r="K13" s="15">
        <f>IFERROR((TR/(RadSpec!G13*EF_res*(1/365)*ED_res*RadSpec!R13*((ET_res_o*(1/24)*RadSpec!W13)+(ET_res_i*(1/24)*RadSpec!AB13)))),".")</f>
        <v>2.237244743604367</v>
      </c>
      <c r="L13" s="15">
        <f>IFERROR((TR/(RadSpec!N13*EF_res*(1/365)*ED_res*RadSpec!S13*((ET_res_o*(1/24)*RadSpec!X13)+(ET_res_i*(1/24)*RadSpec!AC13)))),".")</f>
        <v>6.6695788789820645</v>
      </c>
      <c r="M13" s="15">
        <f>IFERROR((TR/(RadSpec!O13*EF_res*(1/365)*ED_res*RadSpec!T13*((ET_res_o*(1/24)*RadSpec!Y13)+(ET_res_i*(1/24)*RadSpec!AD13)))),".")</f>
        <v>2.8028829791197247</v>
      </c>
      <c r="N13" s="15">
        <f>IFERROR((TR/(RadSpec!P13*EF_res*(1/365)*ED_res*RadSpec!U13*((ET_res_o*(1/24)*RadSpec!Z13)+(ET_res_i*(1/24)*RadSpec!AE13)))),".")</f>
        <v>2.2473909782692396</v>
      </c>
      <c r="O13" s="15">
        <f>IFERROR((TR/(RadSpec!L13*EF_res*(1/365)*ED_res*RadSpec!Q13*((ET_res_o*(1/24)*RadSpec!V13)+(ET_res_i*(1/24)*RadSpec!AA13)))),".")</f>
        <v>5.5061078967596373</v>
      </c>
      <c r="P13" s="197">
        <f>K13*(0.0000000000028)*RadSpec!$AY13*RadSpec!$AF13</f>
        <v>3.1830587518189594E-3</v>
      </c>
      <c r="Q13" s="197">
        <f>L13*(0.0000000000028)*RadSpec!$AY13*RadSpec!$AF13</f>
        <v>9.4891993745343153E-3</v>
      </c>
      <c r="R13" s="197">
        <f>M13*(0.0000000000028)*RadSpec!$AY13*RadSpec!$AF13</f>
        <v>3.9878253027596129E-3</v>
      </c>
      <c r="S13" s="197">
        <f>N13*(0.0000000000028)*RadSpec!$AY13*RadSpec!$AF13</f>
        <v>3.1974943924167783E-3</v>
      </c>
      <c r="T13" s="197">
        <f>O13*(0.0000000000000028)*RadSpec!$AY13*RadSpec!$AF13</f>
        <v>7.8338612614211063E-6</v>
      </c>
      <c r="U13" s="15">
        <f>IFERROR((TR/(RadSpec!H13*IFA_res_adj)),".")</f>
        <v>2.1660610720919277E-4</v>
      </c>
      <c r="V13" s="15">
        <f>IFERROR((TR/(RadSpec!K13*EF_res*(1/365)*ED_res*ET_res*(1/24)*GSF_a)),".")</f>
        <v>522.85397178544952</v>
      </c>
      <c r="W13" s="15">
        <f t="shared" ref="W13:W14" si="9">IF(AND(U13&lt;&gt;".",V13&lt;&gt;"."),1/((1/U13)+(1/V13)),IF(AND(U13&lt;&gt;".",V13="."),1/((1/U13)),IF(AND(U13=".",V13&lt;&gt;"."),1/((1/V13)),IF(AND(U13&lt;&gt;".",V13="."),"."))))</f>
        <v>2.1660601747441256E-4</v>
      </c>
      <c r="X13" s="197">
        <f>W13*(0.0000000000000028)*RadSpec!$AY13*RadSpec!$AF13</f>
        <v>3.0817803085226727E-10</v>
      </c>
      <c r="Y13" s="15">
        <f>IFERROR((TR/(RadSpec!I13*IFW_res_adj)),".")</f>
        <v>0.84060591950653607</v>
      </c>
      <c r="Z13" s="15" t="str">
        <f>IFERROR(IF(AND(RadSpec!C13=1,RadSpec!D13&lt;&gt;0),(TR/(RadSpec!H13*IFA_res_adj*K*RadSpec!D13)),"."),".")</f>
        <v>.</v>
      </c>
      <c r="AA13" s="15">
        <f>IFERROR((TR/(RadSpec!M13*(1/8760)*DFA_res_adj)),".")</f>
        <v>8361160.4063275121</v>
      </c>
      <c r="AB13" s="15">
        <f>d_b2w!C13</f>
        <v>0.24825406523395527</v>
      </c>
      <c r="AC13" s="15">
        <f t="shared" si="2"/>
        <v>0.19165350450777627</v>
      </c>
      <c r="AD13" s="197">
        <f>AC13*(0.0000000000000028)*RadSpec!$AY13*RadSpec!$AF13</f>
        <v>2.7267663342787657E-7</v>
      </c>
      <c r="AE13" s="15">
        <f>IFERROR(TR/(RadSpec!F13*EF_res*ED_res*IRF_res*0.001*CF_res_fish),".")</f>
        <v>2.4553595982167407E-2</v>
      </c>
      <c r="AF13" s="197">
        <f>IFERROR(AE13*(0.0000000000000028)*RadSpec!$AY13*RadSpec!$AF13,0)</f>
        <v>3.4933834933834939E-8</v>
      </c>
    </row>
    <row r="14" spans="1:32" x14ac:dyDescent="0.25">
      <c r="A14" s="44" t="s">
        <v>24</v>
      </c>
      <c r="B14" s="42" t="s">
        <v>1071</v>
      </c>
      <c r="C14" s="42"/>
      <c r="D14" s="15">
        <f>IFERROR((TR/(RadSpec!E14*IFS_res_adj*(1/1000))),".")</f>
        <v>54.227582317469952</v>
      </c>
      <c r="E14" s="15">
        <f>IFERROR(IF(A14="H-3",(TR/(RadSpec!H14*IFA_res_adj*(1/17)*1000))*RadSpec!#REF!,(TR/(RadSpec!H14*IFA_res_adj*(1/PEF_wind)*1000))),".")</f>
        <v>552524.92482705298</v>
      </c>
      <c r="F14" s="15">
        <f>IFERROR((TR/(RadSpec!G14*EF_res*(1/365)*ED_res*RadSpec!R14*((ET_res_o*(1/24)*RadSpec!W14)+(ET_res_i*(1/24)*RadSpec!AB14)))),".")</f>
        <v>0.1440551484617347</v>
      </c>
      <c r="G14" s="15">
        <f>d_b2s!C14</f>
        <v>0.85225520279349654</v>
      </c>
      <c r="H14" s="15">
        <f>d_dir!C14</f>
        <v>9.2200514378629854E-3</v>
      </c>
      <c r="I14" s="15">
        <f t="shared" si="0"/>
        <v>0.12294700054239072</v>
      </c>
      <c r="J14" s="197">
        <f>I14*(0.0000000000028)*RadSpec!AY14*RadSpec!AF14</f>
        <v>5.9261366427124008E-12</v>
      </c>
      <c r="K14" s="15">
        <f>IFERROR((TR/(RadSpec!G14*EF_res*(1/365)*ED_res*RadSpec!R14*((ET_res_o*(1/24)*RadSpec!W14)+(ET_res_i*(1/24)*RadSpec!AB14)))),".")</f>
        <v>0.1440551484617347</v>
      </c>
      <c r="L14" s="15">
        <f>IFERROR((TR/(RadSpec!N14*EF_res*(1/365)*ED_res*RadSpec!S14*((ET_res_o*(1/24)*RadSpec!X14)+(ET_res_i*(1/24)*RadSpec!AC14)))),".")</f>
        <v>0.60729131214260723</v>
      </c>
      <c r="M14" s="15">
        <f>IFERROR((TR/(RadSpec!O14*EF_res*(1/365)*ED_res*RadSpec!T14*((ET_res_o*(1/24)*RadSpec!Y14)+(ET_res_i*(1/24)*RadSpec!AD14)))),".")</f>
        <v>0.22122754942337824</v>
      </c>
      <c r="N14" s="15">
        <f>IFERROR((TR/(RadSpec!P14*EF_res*(1/365)*ED_res*RadSpec!U14*((ET_res_o*(1/24)*RadSpec!Z14)+(ET_res_i*(1/24)*RadSpec!AE14)))),".")</f>
        <v>0.15224261465694849</v>
      </c>
      <c r="O14" s="15">
        <f>IFERROR((TR/(RadSpec!L14*EF_res*(1/365)*ED_res*RadSpec!Q14*((ET_res_o*(1/24)*RadSpec!V14)+(ET_res_i*(1/24)*RadSpec!AA14)))),".")</f>
        <v>0.61558970274331348</v>
      </c>
      <c r="P14" s="197">
        <f>K14*(0.0000000000028)*RadSpec!$AY14*RadSpec!$AF14</f>
        <v>6.9435650329356206E-12</v>
      </c>
      <c r="Q14" s="197">
        <f>L14*(0.0000000000028)*RadSpec!$AY14*RadSpec!$AF14</f>
        <v>2.9271891805512919E-11</v>
      </c>
      <c r="R14" s="197">
        <f>M14*(0.0000000000028)*RadSpec!$AY14*RadSpec!$AF14</f>
        <v>1.0663332014865413E-11</v>
      </c>
      <c r="S14" s="197">
        <f>N14*(0.0000000000028)*RadSpec!$AY14*RadSpec!$AF14</f>
        <v>7.3382069779718987E-12</v>
      </c>
      <c r="T14" s="197">
        <f>O14*(0.0000000000000028)*RadSpec!$AY14*RadSpec!$AF14</f>
        <v>2.9671880389190722E-14</v>
      </c>
      <c r="U14" s="15">
        <f>IFERROR((TR/(RadSpec!H14*IFA_res_adj)),".")</f>
        <v>0.40646424476301307</v>
      </c>
      <c r="V14" s="15">
        <f>IFERROR((TR/(RadSpec!K14*EF_res*(1/365)*ED_res*ET_res*(1/24)*GSF_a)),".")</f>
        <v>46.992484194670354</v>
      </c>
      <c r="W14" s="15">
        <f t="shared" si="9"/>
        <v>0.40297865726138576</v>
      </c>
      <c r="X14" s="197">
        <f>W14*(0.0000000000000028)*RadSpec!$AY14*RadSpec!$AF14</f>
        <v>1.9423870257040943E-14</v>
      </c>
      <c r="Y14" s="15">
        <f>IFERROR((TR/(RadSpec!I14*IFW_res_adj)),".")</f>
        <v>8.5073370166926541</v>
      </c>
      <c r="Z14" s="15" t="str">
        <f>IFERROR(IF(AND(RadSpec!C14=1,RadSpec!D14&lt;&gt;0),(TR/(RadSpec!H14*IFA_res_adj*K*RadSpec!D14)),"."),".")</f>
        <v>.</v>
      </c>
      <c r="AA14" s="15">
        <f>IFERROR((TR/(RadSpec!M14*(1/8760)*DFA_res_adj)),".")</f>
        <v>768181.61233134009</v>
      </c>
      <c r="AB14" s="15">
        <f>d_b2w!C14</f>
        <v>2.2883423610927007</v>
      </c>
      <c r="AC14" s="15">
        <f t="shared" si="2"/>
        <v>1.8032819699741687</v>
      </c>
      <c r="AD14" s="197">
        <f>AC14*(0.0000000000000028)*RadSpec!$AY14*RadSpec!$AF14</f>
        <v>8.6919528839761663E-14</v>
      </c>
      <c r="AE14" s="15">
        <f>IFERROR(TR/(RadSpec!F14*EF_res*ED_res*IRF_res*0.001*CF_res_fish),".")</f>
        <v>0.22727295454568183</v>
      </c>
      <c r="AF14" s="197">
        <f>IFERROR(AE14*(0.0000000000000028)*RadSpec!$AY14*RadSpec!$AF14,0)</f>
        <v>1.0954725026954165E-14</v>
      </c>
    </row>
    <row r="15" spans="1:32" x14ac:dyDescent="0.25">
      <c r="A15" s="44" t="s">
        <v>25</v>
      </c>
      <c r="B15" s="42" t="s">
        <v>1071</v>
      </c>
      <c r="C15" s="42"/>
      <c r="D15" s="15">
        <f>IFERROR((TR/(RadSpec!E15*IFS_res_adj*(1/1000))),".")</f>
        <v>1427.8860432706588</v>
      </c>
      <c r="E15" s="15">
        <f>IFERROR(IF(A15="H-3",(TR/(RadSpec!H15*IFA_res_adj*(1/17)*1000))*RadSpec!#REF!,(TR/(RadSpec!H15*IFA_res_adj*(1/PEF_wind)*1000))),".")</f>
        <v>40603699.991738953</v>
      </c>
      <c r="F15" s="15">
        <f>IFERROR((TR/(RadSpec!G15*EF_res*(1/365)*ED_res*RadSpec!R15*((ET_res_o*(1/24)*RadSpec!W15)+(ET_res_i*(1/24)*RadSpec!AB15)))),".")</f>
        <v>239.39599551128862</v>
      </c>
      <c r="G15" s="15">
        <f>d_b2s!C15</f>
        <v>13.52961755480765</v>
      </c>
      <c r="H15" s="15">
        <f>d_dir!C15</f>
        <v>0.23686331719350759</v>
      </c>
      <c r="I15" s="15">
        <f t="shared" si="0"/>
        <v>12.692053105197408</v>
      </c>
      <c r="J15" s="197">
        <f>I15*(0.0000000000028)*RadSpec!AY15*RadSpec!AF15</f>
        <v>2.7581390375806409E-12</v>
      </c>
      <c r="K15" s="15">
        <f>IFERROR((TR/(RadSpec!G15*EF_res*(1/365)*ED_res*RadSpec!R15*((ET_res_o*(1/24)*RadSpec!W15)+(ET_res_i*(1/24)*RadSpec!AB15)))),".")</f>
        <v>239.39599551128862</v>
      </c>
      <c r="L15" s="15">
        <f>IFERROR((TR/(RadSpec!N15*EF_res*(1/365)*ED_res*RadSpec!S15*((ET_res_o*(1/24)*RadSpec!X15)+(ET_res_i*(1/24)*RadSpec!AC15)))),".")</f>
        <v>697.85904901896538</v>
      </c>
      <c r="M15" s="15">
        <f>IFERROR((TR/(RadSpec!O15*EF_res*(1/365)*ED_res*RadSpec!T15*((ET_res_o*(1/24)*RadSpec!Y15)+(ET_res_i*(1/24)*RadSpec!AD15)))),".")</f>
        <v>308.63833502015905</v>
      </c>
      <c r="N15" s="15">
        <f>IFERROR((TR/(RadSpec!P15*EF_res*(1/365)*ED_res*RadSpec!U15*((ET_res_o*(1/24)*RadSpec!Z15)+(ET_res_i*(1/24)*RadSpec!AE15)))),".")</f>
        <v>243.09527138011646</v>
      </c>
      <c r="O15" s="15">
        <f>IFERROR((TR/(RadSpec!L15*EF_res*(1/365)*ED_res*RadSpec!Q15*((ET_res_o*(1/24)*RadSpec!V15)+(ET_res_i*(1/24)*RadSpec!AA15)))),".")</f>
        <v>227.52511970081147</v>
      </c>
      <c r="P15" s="197">
        <f>K15*(0.0000000000028)*RadSpec!$AY15*RadSpec!$AF15</f>
        <v>5.2023690350757883E-11</v>
      </c>
      <c r="Q15" s="197">
        <f>L15*(0.0000000000028)*RadSpec!$AY15*RadSpec!$AF15</f>
        <v>1.5165334322781129E-10</v>
      </c>
      <c r="R15" s="197">
        <f>M15*(0.0000000000028)*RadSpec!$AY15*RadSpec!$AF15</f>
        <v>6.7070901236963636E-11</v>
      </c>
      <c r="S15" s="197">
        <f>N15*(0.0000000000028)*RadSpec!$AY15*RadSpec!$AF15</f>
        <v>5.2827588435648179E-11</v>
      </c>
      <c r="T15" s="197">
        <f>O15*(0.0000000000000028)*RadSpec!$AY15*RadSpec!$AF15</f>
        <v>4.9444003225926911E-14</v>
      </c>
      <c r="U15" s="15">
        <f>IFERROR((TR/(RadSpec!H15*IFA_res_adj)),".")</f>
        <v>29.870059268171598</v>
      </c>
      <c r="V15" s="15">
        <f>IFERROR((TR/(RadSpec!K15*EF_res*(1/365)*ED_res*ET_res*(1/24)*GSF_a)),".")</f>
        <v>23528.428730345229</v>
      </c>
      <c r="W15" s="15">
        <f t="shared" ref="W15:W17" si="10">IF(AND(U15&lt;&gt;".",V15&lt;&gt;"."),1/((1/U15)+(1/V15)),IF(AND(U15&lt;&gt;".",V15="."),1/((1/U15)),IF(AND(U15=".",V15&lt;&gt;"."),1/((1/V15)),IF(AND(U15&lt;&gt;".",V15="."),"."))))</f>
        <v>29.832186395913205</v>
      </c>
      <c r="X15" s="197">
        <f>W15*(0.0000000000000028)*RadSpec!$AY15*RadSpec!$AF15</f>
        <v>6.4829005357104951E-15</v>
      </c>
      <c r="Y15" s="15">
        <f>IFERROR((TR/(RadSpec!I15*IFW_res_adj)),".")</f>
        <v>216.93055987265444</v>
      </c>
      <c r="Z15" s="15" t="str">
        <f>IFERROR(IF(AND(RadSpec!C15=1,RadSpec!D15&lt;&gt;0),(TR/(RadSpec!H15*IFA_res_adj*K*RadSpec!D15)),"."),".")</f>
        <v>.</v>
      </c>
      <c r="AA15" s="15">
        <f>IFERROR((TR/(RadSpec!M15*(1/8760)*DFA_res_adj)),".")</f>
        <v>617633457.15082622</v>
      </c>
      <c r="AB15" s="15">
        <f>d_b2w!C15</f>
        <v>55.548885972814709</v>
      </c>
      <c r="AC15" s="15">
        <f t="shared" si="2"/>
        <v>44.224436944811984</v>
      </c>
      <c r="AD15" s="197">
        <f>AC15*(0.0000000000000028)*RadSpec!$AY15*RadSpec!$AF15</f>
        <v>9.6105133615112053E-15</v>
      </c>
      <c r="AE15" s="15">
        <f>IFERROR(TR/(RadSpec!F15*EF_res*ED_res*IRF_res*0.001*CF_res_fish),".")</f>
        <v>5.8386470276066875</v>
      </c>
      <c r="AF15" s="197">
        <f>IFERROR(AE15*(0.0000000000000028)*RadSpec!$AY15*RadSpec!$AF15,0)</f>
        <v>1.2688097158135637E-15</v>
      </c>
    </row>
    <row r="16" spans="1:32" x14ac:dyDescent="0.25">
      <c r="A16" s="44" t="s">
        <v>26</v>
      </c>
      <c r="B16" s="42" t="s">
        <v>1071</v>
      </c>
      <c r="C16" s="249"/>
      <c r="D16" s="15">
        <f>IFERROR((TR/(RadSpec!E16*IFS_res_adj*(1/1000))),".")</f>
        <v>0.52007056317401146</v>
      </c>
      <c r="E16" s="15">
        <f>IFERROR(IF(A16="H-3",(TR/(RadSpec!H16*IFA_res_adj*(1/17)*1000))*RadSpec!#REF!,(TR/(RadSpec!H16*IFA_res_adj*(1/PEF_wind)*1000))),".")</f>
        <v>531.91793462371311</v>
      </c>
      <c r="F16" s="15">
        <f>IFERROR((TR/(RadSpec!G16*EF_res*(1/365)*ED_res*RadSpec!R16*((ET_res_o*(1/24)*RadSpec!W16)+(ET_res_i*(1/24)*RadSpec!AB16)))),".")</f>
        <v>78.039324521002754</v>
      </c>
      <c r="G16" s="15">
        <f>d_b2s!C16</f>
        <v>4.0078301058581178E-3</v>
      </c>
      <c r="H16" s="15">
        <f>d_dir!C16</f>
        <v>7.016517131958622E-5</v>
      </c>
      <c r="I16" s="15">
        <f t="shared" si="0"/>
        <v>3.9769482631577188E-3</v>
      </c>
      <c r="J16" s="197">
        <f>I16*(0.0000000000028)*RadSpec!AY16*RadSpec!AF16</f>
        <v>5.1913491847955606E-11</v>
      </c>
      <c r="K16" s="15">
        <f>IFERROR((TR/(RadSpec!G16*EF_res*(1/365)*ED_res*RadSpec!R16*((ET_res_o*(1/24)*RadSpec!W16)+(ET_res_i*(1/24)*RadSpec!AB16)))),".")</f>
        <v>78.039324521002754</v>
      </c>
      <c r="L16" s="15">
        <f>IFERROR((TR/(RadSpec!N16*EF_res*(1/365)*ED_res*RadSpec!S16*((ET_res_o*(1/24)*RadSpec!X16)+(ET_res_i*(1/24)*RadSpec!AC16)))),".")</f>
        <v>121.45826242852142</v>
      </c>
      <c r="M16" s="15">
        <f>IFERROR((TR/(RadSpec!O16*EF_res*(1/365)*ED_res*RadSpec!T16*((ET_res_o*(1/24)*RadSpec!Y16)+(ET_res_i*(1/24)*RadSpec!AD16)))),".")</f>
        <v>78.909189603243206</v>
      </c>
      <c r="N16" s="15">
        <f>IFERROR((TR/(RadSpec!P16*EF_res*(1/365)*ED_res*RadSpec!U16*((ET_res_o*(1/24)*RadSpec!Z16)+(ET_res_i*(1/24)*RadSpec!AE16)))),".")</f>
        <v>78.039324521002754</v>
      </c>
      <c r="O16" s="15">
        <f>IFERROR((TR/(RadSpec!L16*EF_res*(1/365)*ED_res*RadSpec!Q16*((ET_res_o*(1/24)*RadSpec!V16)+(ET_res_i*(1/24)*RadSpec!AA16)))),".")</f>
        <v>67.421729348077193</v>
      </c>
      <c r="P16" s="197">
        <f>K16*(0.0000000000028)*RadSpec!$AY16*RadSpec!$AF16</f>
        <v>1.0186941265673617E-6</v>
      </c>
      <c r="Q16" s="197">
        <f>L16*(0.0000000000028)*RadSpec!$AY16*RadSpec!$AF16</f>
        <v>1.5854675744369475E-6</v>
      </c>
      <c r="R16" s="197">
        <f>M16*(0.0000000000028)*RadSpec!$AY16*RadSpec!$AF16</f>
        <v>1.0300489974048956E-6</v>
      </c>
      <c r="S16" s="197">
        <f>N16*(0.0000000000028)*RadSpec!$AY16*RadSpec!$AF16</f>
        <v>1.0186941265673617E-6</v>
      </c>
      <c r="T16" s="197">
        <f>O16*(0.0000000000000028)*RadSpec!$AY16*RadSpec!$AF16</f>
        <v>8.8009628621806056E-10</v>
      </c>
      <c r="U16" s="15">
        <f>IFERROR((TR/(RadSpec!H16*IFA_res_adj)),".")</f>
        <v>3.9130473913082608E-4</v>
      </c>
      <c r="V16" s="15">
        <f>IFERROR((TR/(RadSpec!K16*EF_res*(1/365)*ED_res*ET_res*(1/24)*GSF_a)),".")</f>
        <v>10193.325206618407</v>
      </c>
      <c r="W16" s="15">
        <f t="shared" si="10"/>
        <v>3.9130472410929095E-4</v>
      </c>
      <c r="X16" s="197">
        <f>W16*(0.0000000000000028)*RadSpec!$AY16*RadSpec!$AF16</f>
        <v>5.1079353466330407E-15</v>
      </c>
      <c r="Y16" s="15">
        <f>IFERROR((TR/(RadSpec!I16*IFW_res_adj)),".")</f>
        <v>5.9088616936024282E-2</v>
      </c>
      <c r="Z16" s="15" t="str">
        <f>IFERROR(IF(AND(RadSpec!C16=1,RadSpec!D16&lt;&gt;0),(TR/(RadSpec!H16*IFA_res_adj*K*RadSpec!D16)),"."),".")</f>
        <v>.</v>
      </c>
      <c r="AA16" s="15">
        <f>IFERROR((TR/(RadSpec!M16*(1/8760)*DFA_res_adj)),".")</f>
        <v>157980794.30978718</v>
      </c>
      <c r="AB16" s="15">
        <f>d_b2w!C16</f>
        <v>1.645504735421115E-2</v>
      </c>
      <c r="AC16" s="15">
        <f t="shared" si="2"/>
        <v>1.2870781406132901E-2</v>
      </c>
      <c r="AD16" s="197">
        <f>AC16*(0.0000000000000028)*RadSpec!$AY16*RadSpec!$AF16</f>
        <v>1.6801003216309645E-13</v>
      </c>
      <c r="AE16" s="15">
        <f>IFERROR(TR/(RadSpec!F16*EF_res*ED_res*IRF_res*0.001*CF_res_fish),".")</f>
        <v>1.7295614779891508E-3</v>
      </c>
      <c r="AF16" s="197">
        <f>IFERROR(AE16*(0.0000000000000028)*RadSpec!$AY16*RadSpec!$AF16,0)</f>
        <v>2.2577003709079177E-14</v>
      </c>
    </row>
    <row r="17" spans="1:32" x14ac:dyDescent="0.25">
      <c r="A17" s="44" t="s">
        <v>27</v>
      </c>
      <c r="B17" s="42" t="s">
        <v>1071</v>
      </c>
      <c r="C17" s="249"/>
      <c r="D17" s="15">
        <f>IFERROR((TR/(RadSpec!E17*IFS_res_adj*(1/1000))),".")</f>
        <v>1127.6296323025294</v>
      </c>
      <c r="E17" s="15">
        <f>IFERROR(IF(A17="H-3",(TR/(RadSpec!H17*IFA_res_adj*(1/17)*1000))*RadSpec!#REF!,(TR/(RadSpec!H17*IFA_res_adj*(1/PEF_wind)*1000))),".")</f>
        <v>108663.23521598711</v>
      </c>
      <c r="F17" s="15">
        <f>IFERROR((TR/(RadSpec!G17*EF_res*(1/365)*ED_res*RadSpec!R17*((ET_res_o*(1/24)*RadSpec!W17)+(ET_res_i*(1/24)*RadSpec!AB17)))),".")</f>
        <v>0.11646291673522145</v>
      </c>
      <c r="G17" s="15">
        <f>d_b2s!C17</f>
        <v>9.7289310966632137</v>
      </c>
      <c r="H17" s="15">
        <f>d_dir!C17</f>
        <v>0.17032461434830851</v>
      </c>
      <c r="I17" s="15">
        <f t="shared" si="0"/>
        <v>0.11507338998010698</v>
      </c>
      <c r="J17" s="197">
        <f>I17*(0.0000000000028)*RadSpec!AY17*RadSpec!AF17</f>
        <v>3.5158160909416758E-15</v>
      </c>
      <c r="K17" s="15">
        <f>IFERROR((TR/(RadSpec!G17*EF_res*(1/365)*ED_res*RadSpec!R17*((ET_res_o*(1/24)*RadSpec!W17)+(ET_res_i*(1/24)*RadSpec!AB17)))),".")</f>
        <v>0.11646291673522145</v>
      </c>
      <c r="L17" s="15">
        <f>IFERROR((TR/(RadSpec!N17*EF_res*(1/365)*ED_res*RadSpec!S17*((ET_res_o*(1/24)*RadSpec!X17)+(ET_res_i*(1/24)*RadSpec!AC17)))),".")</f>
        <v>0.51193151932682579</v>
      </c>
      <c r="M17" s="15">
        <f>IFERROR((TR/(RadSpec!O17*EF_res*(1/365)*ED_res*RadSpec!T17*((ET_res_o*(1/24)*RadSpec!Y17)+(ET_res_i*(1/24)*RadSpec!AD17)))),".")</f>
        <v>0.18380923987699085</v>
      </c>
      <c r="N17" s="15">
        <f>IFERROR((TR/(RadSpec!P17*EF_res*(1/365)*ED_res*RadSpec!U17*((ET_res_o*(1/24)*RadSpec!Z17)+(ET_res_i*(1/24)*RadSpec!AE17)))),".")</f>
        <v>0.12435375425555015</v>
      </c>
      <c r="O17" s="15">
        <f>IFERROR((TR/(RadSpec!L17*EF_res*(1/365)*ED_res*RadSpec!Q17*((ET_res_o*(1/24)*RadSpec!V17)+(ET_res_i*(1/24)*RadSpec!AA17)))),".")</f>
        <v>0.51890022063703389</v>
      </c>
      <c r="P17" s="197">
        <f>K17*(0.0000000000028)*RadSpec!$AY17*RadSpec!$AF17</f>
        <v>3.5582700459808895E-15</v>
      </c>
      <c r="Q17" s="197">
        <f>L17*(0.0000000000028)*RadSpec!$AY17*RadSpec!$AF17</f>
        <v>1.5640949427323027E-14</v>
      </c>
      <c r="R17" s="197">
        <f>M17*(0.0000000000028)*RadSpec!$AY17*RadSpec!$AF17</f>
        <v>5.615889853727258E-15</v>
      </c>
      <c r="S17" s="197">
        <f>N17*(0.0000000000028)*RadSpec!$AY17*RadSpec!$AF17</f>
        <v>3.7993573514802233E-15</v>
      </c>
      <c r="T17" s="197">
        <f>O17*(0.0000000000000028)*RadSpec!$AY17*RadSpec!$AF17</f>
        <v>1.5853862875024806E-17</v>
      </c>
      <c r="U17" s="15">
        <f>IFERROR((TR/(RadSpec!H17*IFA_res_adj)),".")</f>
        <v>7.9937968136725893E-2</v>
      </c>
      <c r="V17" s="15">
        <f>IFERROR((TR/(RadSpec!K17*EF_res*(1/365)*ED_res*ET_res*(1/24)*GSF_a)),".")</f>
        <v>39.348804062203932</v>
      </c>
      <c r="W17" s="15">
        <f t="shared" si="10"/>
        <v>7.9775901623294884E-2</v>
      </c>
      <c r="X17" s="197">
        <f>W17*(0.0000000000000028)*RadSpec!$AY17*RadSpec!$AF17</f>
        <v>2.4373784299310825E-18</v>
      </c>
      <c r="Y17" s="15">
        <f>IFERROR((TR/(RadSpec!I17*IFW_res_adj)),".")</f>
        <v>151.68828622674334</v>
      </c>
      <c r="Z17" s="15">
        <f>IFERROR(IF(AND(RadSpec!C17=1,RadSpec!D17&lt;&gt;0),(TR/(RadSpec!H17*IFA_res_adj*K*RadSpec!D17)),"."),".")</f>
        <v>0.18081425237398285</v>
      </c>
      <c r="AA17" s="15">
        <f>IFERROR((TR/(RadSpec!M17*(1/8760)*DFA_res_adj)),".")</f>
        <v>643502.92132468289</v>
      </c>
      <c r="AB17" s="15">
        <f>d_b2w!C17</f>
        <v>39.944313424726296</v>
      </c>
      <c r="AC17" s="15">
        <f t="shared" si="2"/>
        <v>0.17978606465947655</v>
      </c>
      <c r="AD17" s="197">
        <f>AC17*(0.0000000000000028)*RadSpec!$AY17*RadSpec!$AF17</f>
        <v>5.4929705222566224E-18</v>
      </c>
      <c r="AE17" s="15">
        <f>IFERROR(TR/(RadSpec!F17*EF_res*ED_res*IRF_res*0.001*CF_res_fish),".")</f>
        <v>4.1984774809202285</v>
      </c>
      <c r="AF17" s="197">
        <f>IFERROR(AE17*(0.0000000000000028)*RadSpec!$AY17*RadSpec!$AF17,0)</f>
        <v>1.2827530923897693E-16</v>
      </c>
    </row>
    <row r="18" spans="1:32" x14ac:dyDescent="0.25">
      <c r="A18" s="44" t="s">
        <v>28</v>
      </c>
      <c r="B18" s="42" t="s">
        <v>1071</v>
      </c>
      <c r="C18" s="249"/>
      <c r="D18" s="15">
        <f>IFERROR((TR/(RadSpec!E18*IFS_res_adj*(1/1000))),".")</f>
        <v>0.27266976419518796</v>
      </c>
      <c r="E18" s="15">
        <f>IFERROR(IF(A18="H-3",(TR/(RadSpec!H18*IFA_res_adj*(1/17)*1000))*RadSpec!#REF!,(TR/(RadSpec!H18*IFA_res_adj*(1/PEF_wind)*1000))),".")</f>
        <v>582.1244743713595</v>
      </c>
      <c r="F18" s="15">
        <f>IFERROR((TR/(RadSpec!G18*EF_res*(1/365)*ED_res*RadSpec!R18*((ET_res_o*(1/24)*RadSpec!W18)+(ET_res_i*(1/24)*RadSpec!AB18)))),".")</f>
        <v>2567.6150813905047</v>
      </c>
      <c r="G18" s="15">
        <f>d_b2s!C18</f>
        <v>1.6410020144732348E-2</v>
      </c>
      <c r="H18" s="15">
        <f>d_dir!C18</f>
        <v>3.6637971230916941E-5</v>
      </c>
      <c r="I18" s="15">
        <f t="shared" si="0"/>
        <v>1.5477977432891116E-2</v>
      </c>
      <c r="J18" s="197">
        <f>I18*(0.0000000000028)*RadSpec!AY18*RadSpec!AF18</f>
        <v>3.4503205366827364E-12</v>
      </c>
      <c r="K18" s="15">
        <f>IFERROR((TR/(RadSpec!G18*EF_res*(1/365)*ED_res*RadSpec!R18*((ET_res_o*(1/24)*RadSpec!W18)+(ET_res_i*(1/24)*RadSpec!AB18)))),".")</f>
        <v>2567.6150813905047</v>
      </c>
      <c r="L18" s="15">
        <f>IFERROR((TR/(RadSpec!N18*EF_res*(1/365)*ED_res*RadSpec!S18*((ET_res_o*(1/24)*RadSpec!X18)+(ET_res_i*(1/24)*RadSpec!AC18)))),".")</f>
        <v>12931.881803454266</v>
      </c>
      <c r="M18" s="15">
        <f>IFERROR((TR/(RadSpec!O18*EF_res*(1/365)*ED_res*RadSpec!T18*((ET_res_o*(1/24)*RadSpec!Y18)+(ET_res_i*(1/24)*RadSpec!AD18)))),".")</f>
        <v>4554.6848410695529</v>
      </c>
      <c r="N18" s="15">
        <f>IFERROR((TR/(RadSpec!P18*EF_res*(1/365)*ED_res*RadSpec!U18*((ET_res_o*(1/24)*RadSpec!Z18)+(ET_res_i*(1/24)*RadSpec!AE18)))),".")</f>
        <v>2923.5971133237017</v>
      </c>
      <c r="O18" s="15">
        <f>IFERROR((TR/(RadSpec!L18*EF_res*(1/365)*ED_res*RadSpec!Q18*((ET_res_o*(1/24)*RadSpec!V18)+(ET_res_i*(1/24)*RadSpec!AA18)))),".")</f>
        <v>13303.347938479661</v>
      </c>
      <c r="P18" s="197">
        <f>K18*(0.0000000000028)*RadSpec!$AY18*RadSpec!$AF18</f>
        <v>5.7236774533552172E-7</v>
      </c>
      <c r="Q18" s="197">
        <f>L18*(0.0000000000028)*RadSpec!$AY18*RadSpec!$AF18</f>
        <v>2.8827498655990525E-6</v>
      </c>
      <c r="R18" s="197">
        <f>M18*(0.0000000000028)*RadSpec!$AY18*RadSpec!$AF18</f>
        <v>1.0153214600161366E-6</v>
      </c>
      <c r="S18" s="197">
        <f>N18*(0.0000000000028)*RadSpec!$AY18*RadSpec!$AF18</f>
        <v>6.5172256548528429E-7</v>
      </c>
      <c r="T18" s="197">
        <f>O18*(0.0000000000000028)*RadSpec!$AY18*RadSpec!$AF18</f>
        <v>2.9655563718055215E-9</v>
      </c>
      <c r="U18" s="15">
        <f>IFERROR((TR/(RadSpec!H18*IFA_res_adj)),".")</f>
        <v>4.2823911501817447E-4</v>
      </c>
      <c r="V18" s="15">
        <f>IFERROR((TR/(RadSpec!K18*EF_res*(1/365)*ED_res*ET_res*(1/24)*GSF_a)),".")</f>
        <v>959539.27224312944</v>
      </c>
      <c r="W18" s="15">
        <f t="shared" ref="W18:W21" si="11">IF(AND(U18&lt;&gt;".",V18&lt;&gt;"."),1/((1/U18)+(1/V18)),IF(AND(U18&lt;&gt;".",V18="."),1/((1/U18)),IF(AND(U18=".",V18&lt;&gt;"."),1/((1/V18)),IF(AND(U18&lt;&gt;".",V18="."),"."))))</f>
        <v>4.2823911482705283E-4</v>
      </c>
      <c r="X18" s="197">
        <f>W18*(0.0000000000000028)*RadSpec!$AY18*RadSpec!$AF18</f>
        <v>9.5462228117658165E-17</v>
      </c>
      <c r="Y18" s="15">
        <f>IFERROR((TR/(RadSpec!I18*IFW_res_adj)),".")</f>
        <v>2.9421207182728757E-2</v>
      </c>
      <c r="Z18" s="15" t="str">
        <f>IFERROR(IF(AND(RadSpec!C18=1,RadSpec!D18&lt;&gt;0),(TR/(RadSpec!H18*IFA_res_adj*K*RadSpec!D18)),"."),".")</f>
        <v>.</v>
      </c>
      <c r="AA18" s="15">
        <f>IFERROR((TR/(RadSpec!M18*(1/8760)*DFA_res_adj)),".")</f>
        <v>15818411579.538536</v>
      </c>
      <c r="AB18" s="15">
        <f>d_b2w!C18</f>
        <v>9.8429370750903501E-3</v>
      </c>
      <c r="AC18" s="15">
        <f t="shared" si="2"/>
        <v>7.3754591229882949E-3</v>
      </c>
      <c r="AD18" s="197">
        <f>AC18*(0.0000000000000028)*RadSpec!$AY18*RadSpec!$AF18</f>
        <v>1.6441229604995752E-15</v>
      </c>
      <c r="AE18" s="15">
        <f>IFERROR(TR/(RadSpec!F18*EF_res*ED_res*IRF_res*0.001*CF_res_fish),".")</f>
        <v>9.0312077175788187E-4</v>
      </c>
      <c r="AF18" s="197">
        <f>IFERROR(AE18*(0.0000000000000028)*RadSpec!$AY18*RadSpec!$AF18,0)</f>
        <v>2.0132192073618606E-16</v>
      </c>
    </row>
    <row r="19" spans="1:32" x14ac:dyDescent="0.25">
      <c r="A19" s="44" t="s">
        <v>29</v>
      </c>
      <c r="B19" s="42" t="s">
        <v>1071</v>
      </c>
      <c r="C19" s="42"/>
      <c r="D19" s="15" t="str">
        <f>IFERROR((TR/(RadSpec!E19*IFS_res_adj*(1/1000))),".")</f>
        <v>.</v>
      </c>
      <c r="E19" s="15" t="str">
        <f>IFERROR(IF(A19="H-3",(TR/(RadSpec!H19*IFA_res_adj*(1/17)*1000))*RadSpec!#REF!,(TR/(RadSpec!H19*IFA_res_adj*(1/PEF_wind)*1000))),".")</f>
        <v>.</v>
      </c>
      <c r="F19" s="15">
        <f>IFERROR((TR/(RadSpec!G19*EF_res*(1/365)*ED_res*RadSpec!R19*((ET_res_o*(1/24)*RadSpec!W19)+(ET_res_i*(1/24)*RadSpec!AB19)))),".")</f>
        <v>669.66177122752356</v>
      </c>
      <c r="G19" s="15" t="str">
        <f>d_b2s!C19</f>
        <v>.</v>
      </c>
      <c r="H19" s="15" t="str">
        <f>d_dir!C19</f>
        <v>.</v>
      </c>
      <c r="I19" s="15">
        <f t="shared" si="0"/>
        <v>669.66177122752356</v>
      </c>
      <c r="J19" s="197">
        <f>I19*(0.0000000000028)*RadSpec!AY19*RadSpec!AF19</f>
        <v>5.3190714659829905E-20</v>
      </c>
      <c r="K19" s="15">
        <f>IFERROR((TR/(RadSpec!G19*EF_res*(1/365)*ED_res*RadSpec!R19*((ET_res_o*(1/24)*RadSpec!W19)+(ET_res_i*(1/24)*RadSpec!AB19)))),".")</f>
        <v>669.66177122752356</v>
      </c>
      <c r="L19" s="15">
        <f>IFERROR((TR/(RadSpec!N19*EF_res*(1/365)*ED_res*RadSpec!S19*((ET_res_o*(1/24)*RadSpec!X19)+(ET_res_i*(1/24)*RadSpec!AC19)))),".")</f>
        <v>3348.3088561376176</v>
      </c>
      <c r="M19" s="15">
        <f>IFERROR((TR/(RadSpec!O19*EF_res*(1/365)*ED_res*RadSpec!T19*((ET_res_o*(1/24)*RadSpec!Y19)+(ET_res_i*(1/24)*RadSpec!AD19)))),".")</f>
        <v>1188.9388452695953</v>
      </c>
      <c r="N19" s="15">
        <f>IFERROR((TR/(RadSpec!P19*EF_res*(1/365)*ED_res*RadSpec!U19*((ET_res_o*(1/24)*RadSpec!Z19)+(ET_res_i*(1/24)*RadSpec!AE19)))),".")</f>
        <v>762.3841703205652</v>
      </c>
      <c r="O19" s="15">
        <f>IFERROR((TR/(RadSpec!L19*EF_res*(1/365)*ED_res*RadSpec!Q19*((ET_res_o*(1/24)*RadSpec!V19)+(ET_res_i*(1/24)*RadSpec!AA19)))),".")</f>
        <v>3441.317435474773</v>
      </c>
      <c r="P19" s="197">
        <f>K19*(0.0000000000028)*RadSpec!$AY19*RadSpec!$AF19</f>
        <v>5.3190714659829905E-20</v>
      </c>
      <c r="Q19" s="197">
        <f>L19*(0.0000000000028)*RadSpec!$AY19*RadSpec!$AF19</f>
        <v>2.659535732991496E-19</v>
      </c>
      <c r="R19" s="197">
        <f>M19*(0.0000000000028)*RadSpec!$AY19*RadSpec!$AF19</f>
        <v>9.4436489559198961E-20</v>
      </c>
      <c r="S19" s="197">
        <f>N19*(0.0000000000028)*RadSpec!$AY19*RadSpec!$AF19</f>
        <v>6.0555582843498665E-20</v>
      </c>
      <c r="T19" s="197">
        <f>O19*(0.0000000000000028)*RadSpec!$AY19*RadSpec!$AF19</f>
        <v>2.7334117255745923E-22</v>
      </c>
      <c r="U19" s="15" t="str">
        <f>IFERROR((TR/(RadSpec!H19*IFA_res_adj)),".")</f>
        <v>.</v>
      </c>
      <c r="V19" s="15">
        <f>IFERROR((TR/(RadSpec!K19*EF_res*(1/365)*ED_res*ET_res*(1/24)*GSF_a)),".")</f>
        <v>248923.95613263783</v>
      </c>
      <c r="W19" s="15">
        <f t="shared" si="11"/>
        <v>248923.9561326378</v>
      </c>
      <c r="X19" s="197">
        <f>W19*(0.0000000000000028)*RadSpec!$AY19*RadSpec!$AF19</f>
        <v>1.9771836606973638E-20</v>
      </c>
      <c r="Y19" s="15" t="str">
        <f>IFERROR((TR/(RadSpec!I19*IFW_res_adj)),".")</f>
        <v>.</v>
      </c>
      <c r="Z19" s="15" t="str">
        <f>IFERROR(IF(AND(RadSpec!C19=1,RadSpec!D19&lt;&gt;0),(TR/(RadSpec!H19*IFA_res_adj*K*RadSpec!D19)),"."),".")</f>
        <v>.</v>
      </c>
      <c r="AA19" s="15">
        <f>IFERROR((TR/(RadSpec!M19*(1/8760)*DFA_res_adj)),".")</f>
        <v>4110670835.2178731</v>
      </c>
      <c r="AB19" s="15" t="str">
        <f>d_b2w!C19</f>
        <v>.</v>
      </c>
      <c r="AC19" s="15">
        <f t="shared" si="2"/>
        <v>4110670835.2178731</v>
      </c>
      <c r="AD19" s="197">
        <f>AC19*(0.0000000000000028)*RadSpec!$AY19*RadSpec!$AF19</f>
        <v>3.265073935096565E-16</v>
      </c>
      <c r="AE19" s="15" t="str">
        <f>IFERROR(TR/(RadSpec!F19*EF_res*ED_res*IRF_res*0.001*CF_res_fish),".")</f>
        <v>.</v>
      </c>
      <c r="AF19" s="197">
        <f>IFERROR(AE19*(0.0000000000000028)*RadSpec!$AY19*RadSpec!$AF19,0)</f>
        <v>0</v>
      </c>
    </row>
    <row r="20" spans="1:32" x14ac:dyDescent="0.25">
      <c r="A20" s="44" t="s">
        <v>30</v>
      </c>
      <c r="B20" s="42" t="s">
        <v>1071</v>
      </c>
      <c r="C20" s="249"/>
      <c r="D20" s="15" t="str">
        <f>IFERROR((TR/(RadSpec!E20*IFS_res_adj*(1/1000))),".")</f>
        <v>.</v>
      </c>
      <c r="E20" s="15" t="str">
        <f>IFERROR(IF(A20="H-3",(TR/(RadSpec!H20*IFA_res_adj*(1/17)*1000))*RadSpec!#REF!,(TR/(RadSpec!H20*IFA_res_adj*(1/PEF_wind)*1000))),".")</f>
        <v>.</v>
      </c>
      <c r="F20" s="15">
        <f>IFERROR((TR/(RadSpec!G20*EF_res*(1/365)*ED_res*RadSpec!R20*((ET_res_o*(1/24)*RadSpec!W20)+(ET_res_i*(1/24)*RadSpec!AB20)))),".")</f>
        <v>300.33315800507114</v>
      </c>
      <c r="G20" s="15" t="str">
        <f>d_b2s!C20</f>
        <v>.</v>
      </c>
      <c r="H20" s="15" t="str">
        <f>d_dir!C20</f>
        <v>.</v>
      </c>
      <c r="I20" s="15">
        <f t="shared" si="0"/>
        <v>300.33315800507114</v>
      </c>
      <c r="J20" s="197">
        <f>I20*(0.0000000000028)*RadSpec!AY20*RadSpec!AF20</f>
        <v>9.3757505472639907E-19</v>
      </c>
      <c r="K20" s="15">
        <f>IFERROR((TR/(RadSpec!G20*EF_res*(1/365)*ED_res*RadSpec!R20*((ET_res_o*(1/24)*RadSpec!W20)+(ET_res_i*(1/24)*RadSpec!AB20)))),".")</f>
        <v>300.33315800507114</v>
      </c>
      <c r="L20" s="15">
        <f>IFERROR((TR/(RadSpec!N20*EF_res*(1/365)*ED_res*RadSpec!S20*((ET_res_o*(1/24)*RadSpec!X20)+(ET_res_i*(1/24)*RadSpec!AC20)))),".")</f>
        <v>1518.2282803565176</v>
      </c>
      <c r="M20" s="15">
        <f>IFERROR((TR/(RadSpec!O20*EF_res*(1/365)*ED_res*RadSpec!T20*((ET_res_o*(1/24)*RadSpec!Y20)+(ET_res_i*(1/24)*RadSpec!AD20)))),".")</f>
        <v>538.6409899003994</v>
      </c>
      <c r="N20" s="15">
        <f>IFERROR((TR/(RadSpec!P20*EF_res*(1/365)*ED_res*RadSpec!U20*((ET_res_o*(1/24)*RadSpec!Z20)+(ET_res_i*(1/24)*RadSpec!AE20)))),".")</f>
        <v>342.94097626876635</v>
      </c>
      <c r="O20" s="15">
        <f>IFERROR((TR/(RadSpec!L20*EF_res*(1/365)*ED_res*RadSpec!Q20*((ET_res_o*(1/24)*RadSpec!V20)+(ET_res_i*(1/24)*RadSpec!AA20)))),".")</f>
        <v>1558.3324236112185</v>
      </c>
      <c r="P20" s="197">
        <f>K20*(0.0000000000028)*RadSpec!$AY20*RadSpec!$AF20</f>
        <v>9.3757505472639907E-19</v>
      </c>
      <c r="Q20" s="197">
        <f>L20*(0.0000000000028)*RadSpec!$AY20*RadSpec!$AF20</f>
        <v>4.7395797803264656E-18</v>
      </c>
      <c r="R20" s="197">
        <f>M20*(0.0000000000028)*RadSpec!$AY20*RadSpec!$AF20</f>
        <v>1.6815204785853897E-18</v>
      </c>
      <c r="S20" s="197">
        <f>N20*(0.0000000000028)*RadSpec!$AY20*RadSpec!$AF20</f>
        <v>1.0705874327325663E-18</v>
      </c>
      <c r="T20" s="197">
        <f>O20*(0.0000000000000028)*RadSpec!$AY20*RadSpec!$AF20</f>
        <v>4.8647762273539574E-21</v>
      </c>
      <c r="U20" s="15" t="str">
        <f>IFERROR((TR/(RadSpec!H20*IFA_res_adj)),".")</f>
        <v>.</v>
      </c>
      <c r="V20" s="15">
        <f>IFERROR((TR/(RadSpec!K20*EF_res*(1/365)*ED_res*ET_res*(1/24)*GSF_a)),".")</f>
        <v>112259.82335393474</v>
      </c>
      <c r="W20" s="15">
        <f t="shared" si="11"/>
        <v>112259.82335393474</v>
      </c>
      <c r="X20" s="197">
        <f>W20*(0.0000000000000028)*RadSpec!$AY20*RadSpec!$AF20</f>
        <v>3.5045084839704598E-19</v>
      </c>
      <c r="Y20" s="15" t="str">
        <f>IFERROR((TR/(RadSpec!I20*IFW_res_adj)),".")</f>
        <v>.</v>
      </c>
      <c r="Z20" s="15" t="str">
        <f>IFERROR(IF(AND(RadSpec!C20=1,RadSpec!D20&lt;&gt;0),(TR/(RadSpec!H20*IFA_res_adj*K*RadSpec!D20)),"."),".")</f>
        <v>.</v>
      </c>
      <c r="AA20" s="15">
        <f>IFERROR((TR/(RadSpec!M20*(1/8760)*DFA_res_adj)),".")</f>
        <v>1853831945.2943351</v>
      </c>
      <c r="AB20" s="15" t="str">
        <f>d_b2w!C20</f>
        <v>.</v>
      </c>
      <c r="AC20" s="15">
        <f t="shared" si="2"/>
        <v>1853831945.2943351</v>
      </c>
      <c r="AD20" s="197">
        <f>AC20*(0.0000000000000028)*RadSpec!$AY20*RadSpec!$AF20</f>
        <v>5.7872617166484658E-15</v>
      </c>
      <c r="AE20" s="15" t="str">
        <f>IFERROR(TR/(RadSpec!F20*EF_res*ED_res*IRF_res*0.001*CF_res_fish),".")</f>
        <v>.</v>
      </c>
      <c r="AF20" s="197">
        <f>IFERROR(AE20*(0.0000000000000028)*RadSpec!$AY20*RadSpec!$AF20,0)</f>
        <v>0</v>
      </c>
    </row>
    <row r="21" spans="1:32" x14ac:dyDescent="0.25">
      <c r="A21" s="44" t="s">
        <v>31</v>
      </c>
      <c r="B21" s="42" t="s">
        <v>1071</v>
      </c>
      <c r="C21" s="249"/>
      <c r="D21" s="15" t="str">
        <f>IFERROR((TR/(RadSpec!E21*IFS_res_adj*(1/1000))),".")</f>
        <v>.</v>
      </c>
      <c r="E21" s="15">
        <f>IFERROR(IF(A21="H-3",(TR/(RadSpec!H21*IFA_res_adj*(1/17)*1000))*RadSpec!#REF!,(TR/(RadSpec!H21*IFA_res_adj*(1/PEF_wind)*1000))),".")</f>
        <v>607419.66735843138</v>
      </c>
      <c r="F21" s="15">
        <f>IFERROR((TR/(RadSpec!G21*EF_res*(1/365)*ED_res*RadSpec!R21*((ET_res_o*(1/24)*RadSpec!W21)+(ET_res_i*(1/24)*RadSpec!AB21)))),".")</f>
        <v>18792177.122046541</v>
      </c>
      <c r="G21" s="15" t="str">
        <f>d_b2s!C21</f>
        <v>.</v>
      </c>
      <c r="H21" s="15" t="str">
        <f>d_dir!C21</f>
        <v>.</v>
      </c>
      <c r="I21" s="15">
        <f t="shared" si="0"/>
        <v>588400.78483736096</v>
      </c>
      <c r="J21" s="197">
        <f>I21*(0.0000000000028)*RadSpec!AY21*RadSpec!AF21</f>
        <v>2.1183323841336518E-9</v>
      </c>
      <c r="K21" s="15">
        <f>IFERROR((TR/(RadSpec!G21*EF_res*(1/365)*ED_res*RadSpec!R21*((ET_res_o*(1/24)*RadSpec!W21)+(ET_res_i*(1/24)*RadSpec!AB21)))),".")</f>
        <v>18792177.122046541</v>
      </c>
      <c r="L21" s="15">
        <f>IFERROR((TR/(RadSpec!N21*EF_res*(1/365)*ED_res*RadSpec!S21*((ET_res_o*(1/24)*RadSpec!X21)+(ET_res_i*(1/24)*RadSpec!AC21)))),".")</f>
        <v>40725650.123961806</v>
      </c>
      <c r="M21" s="15">
        <f>IFERROR((TR/(RadSpec!O21*EF_res*(1/365)*ED_res*RadSpec!T21*((ET_res_o*(1/24)*RadSpec!Y21)+(ET_res_i*(1/24)*RadSpec!AD21)))),".")</f>
        <v>21508233.971717332</v>
      </c>
      <c r="N21" s="15">
        <f>IFERROR((TR/(RadSpec!P21*EF_res*(1/365)*ED_res*RadSpec!U21*((ET_res_o*(1/24)*RadSpec!Z21)+(ET_res_i*(1/24)*RadSpec!AE21)))),".")</f>
        <v>18856533.893012457</v>
      </c>
      <c r="O21" s="15">
        <f>IFERROR((TR/(RadSpec!L21*EF_res*(1/365)*ED_res*RadSpec!Q21*((ET_res_o*(1/24)*RadSpec!V21)+(ET_res_i*(1/24)*RadSpec!AA21)))),".")</f>
        <v>24255981.924051262</v>
      </c>
      <c r="P21" s="197">
        <f>K21*(0.0000000000028)*RadSpec!$AY21*RadSpec!$AF21</f>
        <v>6.765469794029934E-8</v>
      </c>
      <c r="Q21" s="197">
        <f>L21*(0.0000000000028)*RadSpec!$AY21*RadSpec!$AF21</f>
        <v>1.4661853917535283E-7</v>
      </c>
      <c r="R21" s="197">
        <f>M21*(0.0000000000028)*RadSpec!$AY21*RadSpec!$AF21</f>
        <v>7.7432916001983237E-8</v>
      </c>
      <c r="S21" s="197">
        <f>N21*(0.0000000000028)*RadSpec!$AY21*RadSpec!$AF21</f>
        <v>6.788639211132776E-8</v>
      </c>
      <c r="T21" s="197">
        <f>O21*(0.0000000000000028)*RadSpec!$AY21*RadSpec!$AF21</f>
        <v>8.7325226856862135E-11</v>
      </c>
      <c r="U21" s="15">
        <f>IFERROR((TR/(RadSpec!H21*IFA_res_adj)),".")</f>
        <v>0.44684749095133824</v>
      </c>
      <c r="V21" s="15">
        <f>IFERROR((TR/(RadSpec!K21*EF_res*(1/365)*ED_res*ET_res*(1/24)*GSF_a)),".")</f>
        <v>1016316743.9734919</v>
      </c>
      <c r="W21" s="15">
        <f t="shared" si="11"/>
        <v>0.44684749075487123</v>
      </c>
      <c r="X21" s="197">
        <f>W21*(0.0000000000000028)*RadSpec!$AY21*RadSpec!$AF21</f>
        <v>1.6087189800342413E-18</v>
      </c>
      <c r="Y21" s="15" t="str">
        <f>IFERROR((TR/(RadSpec!I21*IFW_res_adj)),".")</f>
        <v>.</v>
      </c>
      <c r="Z21" s="15">
        <f>IFERROR(IF(AND(RadSpec!C21=1,RadSpec!D21&lt;&gt;0),(TR/(RadSpec!H21*IFA_res_adj*K*RadSpec!D21)),"."),".")</f>
        <v>0.90568574492460363</v>
      </c>
      <c r="AA21" s="15">
        <f>IFERROR((TR/(RadSpec!M21*(1/8760)*DFA_res_adj)),".")</f>
        <v>28385463735107.258</v>
      </c>
      <c r="AB21" s="15" t="str">
        <f>d_b2w!C21</f>
        <v>.</v>
      </c>
      <c r="AC21" s="15">
        <f>IF(AND(Y21&lt;&gt;".",Z21&lt;&gt;".",AA21&lt;&gt;".",AB21&lt;&gt;"."),1/((1/Y21)+(1/Z21)+(1/AA21)+(1/AB21)),IF(AND(Y21&lt;&gt;".",Z21&lt;&gt;".",AA21&lt;&gt;".",AB21="."), 1/((1/Y21)+(1/Z21)+(1/AA21)),IF(AND(Y21&lt;&gt;".",Z21&lt;&gt;".",AA21=".",AB21&lt;&gt;"."),1/((1/Y21)+(1/Z21)+(1/AB21)),IF(AND(Y21&lt;&gt;".",Z21=".",AA21&lt;&gt;".",AB21&lt;&gt;"."),1/((1/Y21)+(1/AA21)+(1/AB21)),IF(AND(Y21=".",Z21&lt;&gt;".",AA21&lt;&gt;".",AB21&lt;&gt;"."),1/((1/Z21)+(1/AA21)+(1/AB21)),IF(AND(Y21&lt;&gt;".",Z21&lt;&gt;".",AA21=".",AB21="."),1/((1/Y21)+(1/Z21)),IF(AND(Y21&lt;&gt;".",Z21=".",AA21&lt;&gt;".",AB21="."),1/((1/Y21)+(1/AA21)),IF(AND(Y21&lt;&gt;".",Z21=".",AA21=".",AB21&lt;&gt;"."),1/((1/Y21)+(1/AB21)),IF(AND(Y21=".",Z21=".",AA21&lt;&gt;".",AB21&lt;&gt;"."),1/((1/AA21)+(1/AB21)),IF(AND(Y21=".",Z21&lt;&gt;".",AA21=".",AB21&lt;&gt;"."),1/((1/Z21)+(1/AB21)),IF(AND(Y21=".",Z21&lt;&gt;".",AA21&lt;&gt;".",AB21="."),1/((1/Z21)+(1/AA21)),IF(AND(Y21&lt;&gt;".",Z21=".",AA21=".",AB21="."),1/((1/Y21)),IF(AND(Y21=".",Z21&lt;&gt;".",AA21=".",AB21="."),1/((1/Z21)),IF(AND(Y21=".",Z21=".",AA21&lt;&gt;".",AB21="."),1/((1/AA21)),IF(AND(Y21=".",Z21=".",AA21=".",AB21&lt;&gt;"."),1/((1/AB21)),IF(AND(Y21=".",Z21=".",AA21=".",AB21="."),"."))))))))))))))))</f>
        <v>0.90568574492457465</v>
      </c>
      <c r="AD21" s="197">
        <f>AC21*(0.0000000000000028)*RadSpec!$AY21*RadSpec!$AF21</f>
        <v>3.2606065334400234E-18</v>
      </c>
      <c r="AE21" s="15" t="str">
        <f>IFERROR(TR/(RadSpec!F21*EF_res*ED_res*IRF_res*0.001*CF_res_fish),".")</f>
        <v>.</v>
      </c>
      <c r="AF21" s="197">
        <f>IFERROR(AE21*(0.0000000000000028)*RadSpec!$AY21*RadSpec!$AF21,0)</f>
        <v>0</v>
      </c>
    </row>
    <row r="22" spans="1:32" x14ac:dyDescent="0.25">
      <c r="A22" s="44" t="s">
        <v>32</v>
      </c>
      <c r="B22" s="42" t="s">
        <v>1071</v>
      </c>
      <c r="C22" s="42"/>
      <c r="D22" s="15">
        <f>IFERROR((TR/(RadSpec!E22*IFS_res_adj*(1/1000))),".")</f>
        <v>3.6841639895075011</v>
      </c>
      <c r="E22" s="15">
        <f>IFERROR(IF(A22="H-3",(TR/(RadSpec!H22*IFA_res_adj*(1/17)*1000))*RadSpec!#REF!,(TR/(RadSpec!H22*IFA_res_adj*(1/PEF_wind)*1000))),".")</f>
        <v>322.76208479996166</v>
      </c>
      <c r="F22" s="15">
        <f>IFERROR((TR/(RadSpec!G22*EF_res*(1/365)*ED_res*RadSpec!R22*((ET_res_o*(1/24)*RadSpec!W22)+(ET_res_i*(1/24)*RadSpec!AB22)))),".")</f>
        <v>18.950275744105827</v>
      </c>
      <c r="G22" s="15">
        <f>d_b2s!C22</f>
        <v>2.2954562738846787E-2</v>
      </c>
      <c r="H22" s="15">
        <f>d_dir!C22</f>
        <v>5.3765119228020282E-4</v>
      </c>
      <c r="I22" s="15">
        <f t="shared" si="0"/>
        <v>2.2783390511645962E-2</v>
      </c>
      <c r="J22" s="197">
        <f>I22*(0.0000000000028)*RadSpec!AY22*RadSpec!AF22</f>
        <v>5.8593886776115281E-13</v>
      </c>
      <c r="K22" s="15">
        <f>IFERROR((TR/(RadSpec!G22*EF_res*(1/365)*ED_res*RadSpec!R22*((ET_res_o*(1/24)*RadSpec!W22)+(ET_res_i*(1/24)*RadSpec!AB22)))),".")</f>
        <v>18.950275744105827</v>
      </c>
      <c r="L22" s="15">
        <f>IFERROR((TR/(RadSpec!N22*EF_res*(1/365)*ED_res*RadSpec!S22*((ET_res_o*(1/24)*RadSpec!X22)+(ET_res_i*(1/24)*RadSpec!AC22)))),".")</f>
        <v>26.026770520397445</v>
      </c>
      <c r="M22" s="15">
        <f>IFERROR((TR/(RadSpec!O22*EF_res*(1/365)*ED_res*RadSpec!T22*((ET_res_o*(1/24)*RadSpec!Y22)+(ET_res_i*(1/24)*RadSpec!AD22)))),".")</f>
        <v>19.059604258014129</v>
      </c>
      <c r="N22" s="15">
        <f>IFERROR((TR/(RadSpec!P22*EF_res*(1/365)*ED_res*RadSpec!U22*((ET_res_o*(1/24)*RadSpec!Z22)+(ET_res_i*(1/24)*RadSpec!AE22)))),".")</f>
        <v>18.986578954343578</v>
      </c>
      <c r="O22" s="15">
        <f>IFERROR((TR/(RadSpec!L22*EF_res*(1/365)*ED_res*RadSpec!Q22*((ET_res_o*(1/24)*RadSpec!V22)+(ET_res_i*(1/24)*RadSpec!AA22)))),".")</f>
        <v>13.09246263430297</v>
      </c>
      <c r="P22" s="197">
        <f>K22*(0.0000000000028)*RadSpec!$AY22*RadSpec!$AF22</f>
        <v>4.8735955728745615E-10</v>
      </c>
      <c r="Q22" s="197">
        <f>L22*(0.0000000000028)*RadSpec!$AY22*RadSpec!$AF22</f>
        <v>6.6935149280813962E-10</v>
      </c>
      <c r="R22" s="197">
        <f>M22*(0.0000000000028)*RadSpec!$AY22*RadSpec!$AF22</f>
        <v>4.9017124704103759E-10</v>
      </c>
      <c r="S22" s="197">
        <f>N22*(0.0000000000028)*RadSpec!$AY22*RadSpec!$AF22</f>
        <v>4.8829319628609115E-10</v>
      </c>
      <c r="T22" s="197">
        <f>O22*(0.0000000000000028)*RadSpec!$AY22*RadSpec!$AF22</f>
        <v>3.3670944314575907E-13</v>
      </c>
      <c r="U22" s="15">
        <f>IFERROR((TR/(RadSpec!H22*IFA_res_adj)),".")</f>
        <v>2.3743950931700761E-4</v>
      </c>
      <c r="V22" s="15">
        <f>IFERROR((TR/(RadSpec!K22*EF_res*(1/365)*ED_res*ET_res*(1/24)*GSF_a)),".")</f>
        <v>2174.1459459686093</v>
      </c>
      <c r="W22" s="15">
        <f t="shared" ref="W22:W23" si="12">IF(AND(U22&lt;&gt;".",V22&lt;&gt;"."),1/((1/U22)+(1/V22)),IF(AND(U22&lt;&gt;".",V22="."),1/((1/U22)),IF(AND(U22=".",V22&lt;&gt;"."),1/((1/V22)),IF(AND(U22&lt;&gt;".",V22="."),"."))))</f>
        <v>2.374394833861291E-4</v>
      </c>
      <c r="X22" s="197">
        <f>W22*(0.0000000000000028)*RadSpec!$AY22*RadSpec!$AF22</f>
        <v>6.1064230973851912E-18</v>
      </c>
      <c r="Y22" s="15">
        <f>IFERROR((TR/(RadSpec!I22*IFW_res_adj)),".")</f>
        <v>0.45702846109093226</v>
      </c>
      <c r="Z22" s="15" t="str">
        <f>IFERROR(IF(AND(RadSpec!C22=1,RadSpec!D22&lt;&gt;0),(TR/(RadSpec!H22*IFA_res_adj*K*RadSpec!D22)),"."),".")</f>
        <v>.</v>
      </c>
      <c r="AA22" s="15">
        <f>IFERROR((TR/(RadSpec!M22*(1/8760)*DFA_res_adj)),".")</f>
        <v>33859244.620665126</v>
      </c>
      <c r="AB22" s="15">
        <f>d_b2w!C22</f>
        <v>0.12005446279717383</v>
      </c>
      <c r="AC22" s="15">
        <f t="shared" si="2"/>
        <v>9.5078720845769266E-2</v>
      </c>
      <c r="AD22" s="197">
        <f>AC22*(0.0000000000000028)*RadSpec!$AY22*RadSpec!$AF22</f>
        <v>2.4452163084362645E-15</v>
      </c>
      <c r="AE22" s="15">
        <f>IFERROR(TR/(RadSpec!F22*EF_res*ED_res*IRF_res*0.001*CF_res_fish),".")</f>
        <v>1.3253025301218071E-2</v>
      </c>
      <c r="AF22" s="197">
        <f>IFERROR(AE22*(0.0000000000000028)*RadSpec!$AY22*RadSpec!$AF22,0)</f>
        <v>3.408387630206413E-16</v>
      </c>
    </row>
    <row r="23" spans="1:32" x14ac:dyDescent="0.25">
      <c r="A23" s="46" t="s">
        <v>33</v>
      </c>
      <c r="B23" s="42" t="s">
        <v>349</v>
      </c>
      <c r="C23" s="249"/>
      <c r="D23" s="15">
        <f>IFERROR((TR/(RadSpec!E23*IFS_res_adj*(1/1000))),".")</f>
        <v>1.3186488596324659</v>
      </c>
      <c r="E23" s="15">
        <f>IFERROR(IF(A23="H-3",(TR/(RadSpec!H23*IFA_res_adj*(1/17)*1000))*RadSpec!#REF!,(TR/(RadSpec!H23*IFA_res_adj*(1/PEF_wind)*1000))),".")</f>
        <v>299.85912477473448</v>
      </c>
      <c r="F23" s="15">
        <f>IFERROR((TR/(RadSpec!G23*EF_res*(1/365)*ED_res*RadSpec!R23*((ET_res_o*(1/24)*RadSpec!W23)+(ET_res_i*(1/24)*RadSpec!AB23)))),".")</f>
        <v>4.6313057075548354</v>
      </c>
      <c r="G23" s="15">
        <f>d_b2s!C23</f>
        <v>6.853340673828358E-3</v>
      </c>
      <c r="H23" s="15">
        <f>d_dir!C23</f>
        <v>1.6052175884624759E-4</v>
      </c>
      <c r="I23" s="15">
        <f t="shared" si="0"/>
        <v>6.8077296634618586E-3</v>
      </c>
      <c r="J23" s="197">
        <f>I23*(0.0000000000028)*RadSpec!AY23*RadSpec!AF23</f>
        <v>6.8926901296618619E-9</v>
      </c>
      <c r="K23" s="15">
        <f>IFERROR((TR/(RadSpec!G23*EF_res*(1/365)*ED_res*RadSpec!R23*((ET_res_o*(1/24)*RadSpec!W23)+(ET_res_i*(1/24)*RadSpec!AB23)))),".")</f>
        <v>4.6313057075548354</v>
      </c>
      <c r="L23" s="15">
        <f>IFERROR((TR/(RadSpec!N23*EF_res*(1/365)*ED_res*RadSpec!S23*((ET_res_o*(1/24)*RadSpec!X23)+(ET_res_i*(1/24)*RadSpec!AC23)))),".")</f>
        <v>18.272481958273133</v>
      </c>
      <c r="M23" s="15">
        <f>IFERROR((TR/(RadSpec!O23*EF_res*(1/365)*ED_res*RadSpec!T23*((ET_res_o*(1/24)*RadSpec!Y23)+(ET_res_i*(1/24)*RadSpec!AD23)))),".")</f>
        <v>6.6830709468424452</v>
      </c>
      <c r="N23" s="15">
        <f>IFERROR((TR/(RadSpec!P23*EF_res*(1/365)*ED_res*RadSpec!U23*((ET_res_o*(1/24)*RadSpec!Z23)+(ET_res_i*(1/24)*RadSpec!AE23)))),".")</f>
        <v>4.7649010645035323</v>
      </c>
      <c r="O23" s="15">
        <f>IFERROR((TR/(RadSpec!L23*EF_res*(1/365)*ED_res*RadSpec!Q23*((ET_res_o*(1/24)*RadSpec!V23)+(ET_res_i*(1/24)*RadSpec!AA23)))),".")</f>
        <v>18.525222830219342</v>
      </c>
      <c r="P23" s="197">
        <f>K23*(0.0000000000028)*RadSpec!$AY23*RadSpec!$AF23</f>
        <v>4.6891044027851201E-6</v>
      </c>
      <c r="Q23" s="197">
        <f>L23*(0.0000000000028)*RadSpec!$AY23*RadSpec!$AF23</f>
        <v>1.8500522533112383E-5</v>
      </c>
      <c r="R23" s="197">
        <f>M23*(0.0000000000028)*RadSpec!$AY23*RadSpec!$AF23</f>
        <v>6.766475672259039E-6</v>
      </c>
      <c r="S23" s="197">
        <f>N23*(0.0000000000028)*RadSpec!$AY23*RadSpec!$AF23</f>
        <v>4.8243670297885365E-6</v>
      </c>
      <c r="T23" s="197">
        <f>O23*(0.0000000000000028)*RadSpec!$AY23*RadSpec!$AF23</f>
        <v>1.8756417611140479E-8</v>
      </c>
      <c r="U23" s="15">
        <f>IFERROR((TR/(RadSpec!H23*IFA_res_adj)),".")</f>
        <v>2.2059097646139869E-4</v>
      </c>
      <c r="V23" s="15">
        <f>IFERROR((TR/(RadSpec!K23*EF_res*(1/365)*ED_res*ET_res*(1/24)*GSF_a)),".")</f>
        <v>1407.8486043567223</v>
      </c>
      <c r="W23" s="15">
        <f t="shared" si="12"/>
        <v>2.2059094189775941E-4</v>
      </c>
      <c r="X23" s="197">
        <f>W23*(0.0000000000000028)*RadSpec!$AY23*RadSpec!$AF23</f>
        <v>2.2334391685264346E-13</v>
      </c>
      <c r="Y23" s="15">
        <f>IFERROR((TR/(RadSpec!I23*IFW_res_adj)),".")</f>
        <v>0.13579018699720966</v>
      </c>
      <c r="Z23" s="15" t="str">
        <f>IFERROR(IF(AND(RadSpec!C23=1,RadSpec!D23&lt;&gt;0),(TR/(RadSpec!H23*IFA_res_adj*K*RadSpec!D23)),"."),".")</f>
        <v>.</v>
      </c>
      <c r="AA23" s="15">
        <f>IFERROR((TR/(RadSpec!M23*(1/8760)*DFA_res_adj)),".")</f>
        <v>22888092.732404914</v>
      </c>
      <c r="AB23" s="15">
        <f>d_b2w!C23</f>
        <v>3.5843598604911618E-2</v>
      </c>
      <c r="AC23" s="15">
        <f>IF(AND(Y23&lt;&gt;".",Z23&lt;&gt;".",AA23&lt;&gt;".",AB23&lt;&gt;"."),1/((1/Y23)+(1/Z23)+(1/AA23)+(1/AB23)),IF(AND(Y23&lt;&gt;".",Z23&lt;&gt;".",AA23&lt;&gt;".",AB23="."), 1/((1/Y23)+(1/Z23)+(1/AA23)),IF(AND(Y23&lt;&gt;".",Z23&lt;&gt;".",AA23=".",AB23&lt;&gt;"."),1/((1/Y23)+(1/Z23)+(1/AB23)),IF(AND(Y23&lt;&gt;".",Z23=".",AA23&lt;&gt;".",AB23&lt;&gt;"."),1/((1/Y23)+(1/AA23)+(1/AB23)),IF(AND(Y23=".",Z23&lt;&gt;".",AA23&lt;&gt;".",AB23&lt;&gt;"."),1/((1/Z23)+(1/AA23)+(1/AB23)),IF(AND(Y23&lt;&gt;".",Z23&lt;&gt;".",AA23=".",AB23="."),1/((1/Y23)+(1/Z23)),IF(AND(Y23&lt;&gt;".",Z23=".",AA23&lt;&gt;".",AB23="."),1/((1/Y23)+(1/AA23)),IF(AND(Y23&lt;&gt;".",Z23=".",AA23=".",AB23&lt;&gt;"."),1/((1/Y23)+(1/AB23)),IF(AND(Y23=".",Z23=".",AA23&lt;&gt;".",AB23&lt;&gt;"."),1/((1/AA23)+(1/AB23)),IF(AND(Y23=".",Z23&lt;&gt;".",AA23=".",AB23&lt;&gt;"."),1/((1/Z23)+(1/AB23)),IF(AND(Y23=".",Z23&lt;&gt;".",AA23&lt;&gt;".",AB23="."),1/((1/Z23)+(1/AA23)),IF(AND(Y23&lt;&gt;".",Z23=".",AA23=".",AB23="."),1/((1/Y23)),IF(AND(Y23=".",Z23&lt;&gt;".",AA23=".",AB23="."),1/((1/Z23)),IF(AND(Y23=".",Z23=".",AA23&lt;&gt;".",AB23="."),1/((1/AA23)),IF(AND(Y23=".",Z23=".",AA23=".",AB23&lt;&gt;"."),1/((1/AB23)),IF(AND(Y23=".",Z23=".",AA23=".",AB23="."),"."))))))))))))))))</f>
        <v>2.8358105218669119E-2</v>
      </c>
      <c r="AD23" s="197">
        <f>AC23*(0.0000000000000028)*RadSpec!$AY23*RadSpec!$AF23</f>
        <v>2.8712014371798111E-11</v>
      </c>
      <c r="AE23" s="15">
        <f>IFERROR(TR/(RadSpec!F23*EF_res*ED_res*IRF_res*0.001*CF_res_fish),".")</f>
        <v>3.9568384892125904E-3</v>
      </c>
      <c r="AF23" s="197">
        <f>IFERROR(AE23*(0.0000000000000028)*RadSpec!$AY23*RadSpec!$AF23,0)</f>
        <v>4.0062198335579643E-12</v>
      </c>
    </row>
    <row r="24" spans="1:32" x14ac:dyDescent="0.25">
      <c r="A24" s="44" t="s">
        <v>34</v>
      </c>
      <c r="B24" s="42" t="s">
        <v>1071</v>
      </c>
      <c r="C24" s="249"/>
      <c r="D24" s="15" t="str">
        <f>IFERROR((TR/(RadSpec!E24*IFS_res_adj*(1/1000))),".")</f>
        <v>.</v>
      </c>
      <c r="E24" s="15" t="str">
        <f>IFERROR(IF(A24="H-3",(TR/(RadSpec!H24*IFA_res_adj*(1/17)*1000))*RadSpec!#REF!,(TR/(RadSpec!H24*IFA_res_adj*(1/PEF_wind)*1000))),".")</f>
        <v>.</v>
      </c>
      <c r="F24" s="15">
        <f>IFERROR((TR/(RadSpec!G24*EF_res*(1/365)*ED_res*RadSpec!R24*((ET_res_o*(1/24)*RadSpec!W24)+(ET_res_i*(1/24)*RadSpec!AB24)))),".")</f>
        <v>34.175842117818441</v>
      </c>
      <c r="G24" s="15" t="str">
        <f>d_b2s!C24</f>
        <v>.</v>
      </c>
      <c r="H24" s="15" t="str">
        <f>d_dir!C24</f>
        <v>.</v>
      </c>
      <c r="I24" s="15">
        <f t="shared" si="0"/>
        <v>34.175842117818441</v>
      </c>
      <c r="J24" s="197">
        <f>I24*(0.0000000000028)*RadSpec!AY24*RadSpec!AF24</f>
        <v>2.3152355752317126E-17</v>
      </c>
      <c r="K24" s="15">
        <f>IFERROR((TR/(RadSpec!G24*EF_res*(1/365)*ED_res*RadSpec!R24*((ET_res_o*(1/24)*RadSpec!W24)+(ET_res_i*(1/24)*RadSpec!AB24)))),".")</f>
        <v>34.175842117818441</v>
      </c>
      <c r="L24" s="15">
        <f>IFERROR((TR/(RadSpec!N24*EF_res*(1/365)*ED_res*RadSpec!S24*((ET_res_o*(1/24)*RadSpec!X24)+(ET_res_i*(1/24)*RadSpec!AC24)))),".")</f>
        <v>166.06893790494885</v>
      </c>
      <c r="M24" s="15">
        <f>IFERROR((TR/(RadSpec!O24*EF_res*(1/365)*ED_res*RadSpec!T24*((ET_res_o*(1/24)*RadSpec!Y24)+(ET_res_i*(1/24)*RadSpec!AD24)))),".")</f>
        <v>58.994013179567524</v>
      </c>
      <c r="N24" s="15">
        <f>IFERROR((TR/(RadSpec!P24*EF_res*(1/365)*ED_res*RadSpec!U24*((ET_res_o*(1/24)*RadSpec!Z24)+(ET_res_i*(1/24)*RadSpec!AE24)))),".")</f>
        <v>38.119208516028259</v>
      </c>
      <c r="O24" s="15">
        <f>IFERROR((TR/(RadSpec!L24*EF_res*(1/365)*ED_res*RadSpec!Q24*((ET_res_o*(1/24)*RadSpec!V24)+(ET_res_i*(1/24)*RadSpec!AA24)))),".")</f>
        <v>169.99990075758743</v>
      </c>
      <c r="P24" s="197">
        <f>K24*(0.0000000000028)*RadSpec!$AY24*RadSpec!$AF24</f>
        <v>2.3152355752317126E-17</v>
      </c>
      <c r="Q24" s="197">
        <f>L24*(0.0000000000028)*RadSpec!$AY24*RadSpec!$AF24</f>
        <v>1.125030691717823E-16</v>
      </c>
      <c r="R24" s="197">
        <f>M24*(0.0000000000028)*RadSpec!$AY24*RadSpec!$AF24</f>
        <v>3.9965376001023603E-17</v>
      </c>
      <c r="S24" s="197">
        <f>N24*(0.0000000000028)*RadSpec!$AY24*RadSpec!$AF24</f>
        <v>2.5823781416046025E-17</v>
      </c>
      <c r="T24" s="197">
        <f>O24*(0.0000000000000028)*RadSpec!$AY24*RadSpec!$AF24</f>
        <v>1.1516609207842137E-19</v>
      </c>
      <c r="U24" s="15" t="str">
        <f>IFERROR((TR/(RadSpec!H24*IFA_res_adj)),".")</f>
        <v>.</v>
      </c>
      <c r="V24" s="15">
        <f>IFERROR((TR/(RadSpec!K24*EF_res*(1/365)*ED_res*ET_res*(1/24)*GSF_a)),".")</f>
        <v>12582.969211100375</v>
      </c>
      <c r="W24" s="15">
        <f t="shared" ref="W24:W25" si="13">IF(AND(U24&lt;&gt;".",V24&lt;&gt;"."),1/((1/U24)+(1/V24)),IF(AND(U24&lt;&gt;".",V24="."),1/((1/U24)),IF(AND(U24=".",V24&lt;&gt;"."),1/((1/V24)),IF(AND(U24&lt;&gt;".",V24="."),"."))))</f>
        <v>12582.969211100377</v>
      </c>
      <c r="X24" s="197">
        <f>W24*(0.0000000000000028)*RadSpec!$AY24*RadSpec!$AF24</f>
        <v>8.5243072750490979E-18</v>
      </c>
      <c r="Y24" s="15" t="str">
        <f>IFERROR((TR/(RadSpec!I24*IFW_res_adj)),".")</f>
        <v>.</v>
      </c>
      <c r="Z24" s="15" t="str">
        <f>IFERROR(IF(AND(RadSpec!C24=1,RadSpec!D24&lt;&gt;0),(TR/(RadSpec!H24*IFA_res_adj*K*RadSpec!D24)),"."),".")</f>
        <v>.</v>
      </c>
      <c r="AA24" s="15">
        <f>IFERROR((TR/(RadSpec!M24*(1/8760)*DFA_res_adj)),".")</f>
        <v>207266539.58349818</v>
      </c>
      <c r="AB24" s="15" t="str">
        <f>d_b2w!C24</f>
        <v>.</v>
      </c>
      <c r="AC24" s="15">
        <f t="shared" si="2"/>
        <v>207266539.58349818</v>
      </c>
      <c r="AD24" s="197">
        <f>AC24*(0.0000000000000028)*RadSpec!$AY24*RadSpec!$AF24</f>
        <v>1.4041230186649712E-13</v>
      </c>
      <c r="AE24" s="15" t="str">
        <f>IFERROR(TR/(RadSpec!F24*EF_res*ED_res*IRF_res*0.001*CF_res_fish),".")</f>
        <v>.</v>
      </c>
      <c r="AF24" s="197">
        <f>IFERROR(AE24*(0.0000000000000028)*RadSpec!$AY24*RadSpec!$AF24,0)</f>
        <v>0</v>
      </c>
    </row>
    <row r="25" spans="1:32" x14ac:dyDescent="0.25">
      <c r="A25" s="46" t="s">
        <v>35</v>
      </c>
      <c r="B25" s="42" t="s">
        <v>349</v>
      </c>
      <c r="C25" s="249"/>
      <c r="D25" s="15" t="str">
        <f>IFERROR((TR/(RadSpec!E25*IFS_res_adj*(1/1000))),".")</f>
        <v>.</v>
      </c>
      <c r="E25" s="15">
        <f>IFERROR(IF(A25="H-3",(TR/(RadSpec!H25*IFA_res_adj*(1/17)*1000))*RadSpec!#REF!,(TR/(RadSpec!H25*IFA_res_adj*(1/PEF_wind)*1000))),".")</f>
        <v>3703128.6738079814</v>
      </c>
      <c r="F25" s="15">
        <f>IFERROR((TR/(RadSpec!G25*EF_res*(1/365)*ED_res*RadSpec!R25*((ET_res_o*(1/24)*RadSpec!W25)+(ET_res_i*(1/24)*RadSpec!AB25)))),".")</f>
        <v>68.351684235636881</v>
      </c>
      <c r="G25" s="15" t="str">
        <f>d_b2s!C25</f>
        <v>.</v>
      </c>
      <c r="H25" s="15" t="str">
        <f>d_dir!C25</f>
        <v>.</v>
      </c>
      <c r="I25" s="15">
        <f t="shared" si="0"/>
        <v>68.350422635806879</v>
      </c>
      <c r="J25" s="197">
        <f>I25*(0.0000000000028)*RadSpec!AY25*RadSpec!AF25</f>
        <v>4.4506192310487985E-10</v>
      </c>
      <c r="K25" s="15">
        <f>IFERROR((TR/(RadSpec!G25*EF_res*(1/365)*ED_res*RadSpec!R25*((ET_res_o*(1/24)*RadSpec!W25)+(ET_res_i*(1/24)*RadSpec!AB25)))),".")</f>
        <v>68.351684235636881</v>
      </c>
      <c r="L25" s="15">
        <f>IFERROR((TR/(RadSpec!N25*EF_res*(1/365)*ED_res*RadSpec!S25*((ET_res_o*(1/24)*RadSpec!X25)+(ET_res_i*(1/24)*RadSpec!AC25)))),".")</f>
        <v>324.31263789814619</v>
      </c>
      <c r="M25" s="15">
        <f>IFERROR((TR/(RadSpec!O25*EF_res*(1/365)*ED_res*RadSpec!T25*((ET_res_o*(1/24)*RadSpec!Y25)+(ET_res_i*(1/24)*RadSpec!AD25)))),".")</f>
        <v>114.92340229785884</v>
      </c>
      <c r="N25" s="15">
        <f>IFERROR((TR/(RadSpec!P25*EF_res*(1/365)*ED_res*RadSpec!U25*((ET_res_o*(1/24)*RadSpec!Z25)+(ET_res_i*(1/24)*RadSpec!AE25)))),".")</f>
        <v>75.083289501267785</v>
      </c>
      <c r="O25" s="15">
        <f>IFERROR((TR/(RadSpec!L25*EF_res*(1/365)*ED_res*RadSpec!Q25*((ET_res_o*(1/24)*RadSpec!V25)+(ET_res_i*(1/24)*RadSpec!AA25)))),".")</f>
        <v>330.36647380557821</v>
      </c>
      <c r="P25" s="197">
        <f>K25*(0.0000000000028)*RadSpec!$AY25*RadSpec!$AF25</f>
        <v>4.4507013797795415E-10</v>
      </c>
      <c r="Q25" s="197">
        <f>L25*(0.0000000000028)*RadSpec!$AY25*RadSpec!$AF25</f>
        <v>2.1117529452488007E-9</v>
      </c>
      <c r="R25" s="197">
        <f>M25*(0.0000000000028)*RadSpec!$AY25*RadSpec!$AF25</f>
        <v>7.4832061696200531E-10</v>
      </c>
      <c r="S25" s="197">
        <f>N25*(0.0000000000028)*RadSpec!$AY25*RadSpec!$AF25</f>
        <v>4.8890280308184366E-10</v>
      </c>
      <c r="T25" s="197">
        <f>O25*(0.0000000000000028)*RadSpec!$AY25*RadSpec!$AF25</f>
        <v>2.1511723335601118E-12</v>
      </c>
      <c r="U25" s="15">
        <f>IFERROR((TR/(RadSpec!H25*IFA_res_adj)),".")</f>
        <v>2.7242018088700011</v>
      </c>
      <c r="V25" s="15">
        <f>IFERROR((TR/(RadSpec!K25*EF_res*(1/365)*ED_res*ET_res*(1/24)*GSF_a)),".")</f>
        <v>24713.31363043455</v>
      </c>
      <c r="W25" s="15">
        <f t="shared" si="13"/>
        <v>2.7239015473335111</v>
      </c>
      <c r="X25" s="197">
        <f>W25*(0.0000000000000028)*RadSpec!$AY25*RadSpec!$AF25</f>
        <v>1.7736611044296862E-14</v>
      </c>
      <c r="Y25" s="15" t="str">
        <f>IFERROR((TR/(RadSpec!I25*IFW_res_adj)),".")</f>
        <v>.</v>
      </c>
      <c r="Z25" s="15">
        <f>IFERROR(IF(AND(RadSpec!C25=1,RadSpec!D25&lt;&gt;0),(TR/(RadSpec!H25*IFA_res_adj*K*RadSpec!D25)),"."),".")</f>
        <v>5.4484036177400021</v>
      </c>
      <c r="AA25" s="15">
        <f>IFERROR((TR/(RadSpec!M25*(1/8760)*DFA_res_adj)),".")</f>
        <v>408335740.77413428</v>
      </c>
      <c r="AB25" s="15" t="str">
        <f>d_b2w!C25</f>
        <v>.</v>
      </c>
      <c r="AC25" s="15">
        <f t="shared" si="2"/>
        <v>5.4484035450422228</v>
      </c>
      <c r="AD25" s="197">
        <f>AC25*(0.0000000000000028)*RadSpec!$AY25*RadSpec!$AF25</f>
        <v>3.5477131904925653E-14</v>
      </c>
      <c r="AE25" s="15" t="str">
        <f>IFERROR(TR/(RadSpec!F25*EF_res*ED_res*IRF_res*0.001*CF_res_fish),".")</f>
        <v>.</v>
      </c>
      <c r="AF25" s="197">
        <f>IFERROR(AE25*(0.0000000000000028)*RadSpec!$AY25*RadSpec!$AF25,0)</f>
        <v>0</v>
      </c>
    </row>
    <row r="26" spans="1:32" x14ac:dyDescent="0.25">
      <c r="A26" s="44" t="s">
        <v>36</v>
      </c>
      <c r="B26" s="42" t="s">
        <v>1071</v>
      </c>
      <c r="C26" s="42"/>
      <c r="D26" s="15">
        <f>IFERROR((TR/(RadSpec!E26*IFS_res_adj*(1/1000))),".")</f>
        <v>2.3203148203148203</v>
      </c>
      <c r="E26" s="15">
        <f>IFERROR(IF(A26="H-3",(TR/(RadSpec!H26*IFA_res_adj*(1/17)*1000))*RadSpec!#REF!,(TR/(RadSpec!H26*IFA_res_adj*(1/PEF_wind)*1000))),".")</f>
        <v>48.345930922367131</v>
      </c>
      <c r="F26" s="15">
        <f>IFERROR((TR/(RadSpec!G26*EF_res*(1/365)*ED_res*RadSpec!R26*((ET_res_o*(1/24)*RadSpec!W26)+(ET_res_i*(1/24)*RadSpec!AB26)))),".")</f>
        <v>0.51619761532121611</v>
      </c>
      <c r="G26" s="15">
        <f>d_b2s!C26</f>
        <v>0.19723118544077048</v>
      </c>
      <c r="H26" s="15">
        <f>d_dir!C26</f>
        <v>2.8423598063220915E-4</v>
      </c>
      <c r="I26" s="15">
        <f t="shared" si="0"/>
        <v>0.13406452208605307</v>
      </c>
      <c r="J26" s="197">
        <f>I26*(0.0000000000028)*RadSpec!AY26*RadSpec!AF26</f>
        <v>6.3096233926197686E-7</v>
      </c>
      <c r="K26" s="15">
        <f>IFERROR((TR/(RadSpec!G26*EF_res*(1/365)*ED_res*RadSpec!R26*((ET_res_o*(1/24)*RadSpec!W26)+(ET_res_i*(1/24)*RadSpec!AB26)))),".")</f>
        <v>0.51619761532121611</v>
      </c>
      <c r="L26" s="15">
        <f>IFERROR((TR/(RadSpec!N26*EF_res*(1/365)*ED_res*RadSpec!S26*((ET_res_o*(1/24)*RadSpec!X26)+(ET_res_i*(1/24)*RadSpec!AC26)))),".")</f>
        <v>1.7111523159819315</v>
      </c>
      <c r="M26" s="15">
        <f>IFERROR((TR/(RadSpec!O26*EF_res*(1/365)*ED_res*RadSpec!T26*((ET_res_o*(1/24)*RadSpec!Y26)+(ET_res_i*(1/24)*RadSpec!AD26)))),".")</f>
        <v>0.67837058276299422</v>
      </c>
      <c r="N26" s="15">
        <f>IFERROR((TR/(RadSpec!P26*EF_res*(1/365)*ED_res*RadSpec!U26*((ET_res_o*(1/24)*RadSpec!Z26)+(ET_res_i*(1/24)*RadSpec!AE26)))),".")</f>
        <v>0.52163127442986035</v>
      </c>
      <c r="O26" s="15">
        <f>IFERROR((TR/(RadSpec!L26*EF_res*(1/365)*ED_res*RadSpec!Q26*((ET_res_o*(1/24)*RadSpec!V26)+(ET_res_i*(1/24)*RadSpec!AA26)))),".")</f>
        <v>1.6354775930969223</v>
      </c>
      <c r="P26" s="197">
        <f>K26*(0.0000000000028)*RadSpec!$AY26*RadSpec!$AF26</f>
        <v>2.429436586328694E-6</v>
      </c>
      <c r="Q26" s="197">
        <f>L26*(0.0000000000028)*RadSpec!$AY26*RadSpec!$AF26</f>
        <v>8.0533809491558897E-6</v>
      </c>
      <c r="R26" s="197">
        <f>M26*(0.0000000000028)*RadSpec!$AY26*RadSpec!$AF26</f>
        <v>3.1926887376804187E-6</v>
      </c>
      <c r="S26" s="197">
        <f>N26*(0.0000000000028)*RadSpec!$AY26*RadSpec!$AF26</f>
        <v>2.4550096030268903E-6</v>
      </c>
      <c r="T26" s="197">
        <f>O26*(0.0000000000000028)*RadSpec!$AY26*RadSpec!$AF26</f>
        <v>7.6972248279721E-9</v>
      </c>
      <c r="U26" s="15">
        <f>IFERROR((TR/(RadSpec!H26*IFA_res_adj)),".")</f>
        <v>3.5565621416763637E-5</v>
      </c>
      <c r="V26" s="15">
        <f>IFERROR((TR/(RadSpec!K26*EF_res*(1/365)*ED_res*ET_res*(1/24)*GSF_a)),".")</f>
        <v>133.66344726188336</v>
      </c>
      <c r="W26" s="15">
        <f t="shared" ref="W26:W29" si="14">IF(AND(U26&lt;&gt;".",V26&lt;&gt;"."),1/((1/U26)+(1/V26)),IF(AND(U26&lt;&gt;".",V26="."),1/((1/U26)),IF(AND(U26=".",V26&lt;&gt;"."),1/((1/V26)),IF(AND(U26&lt;&gt;".",V26="."),"."))))</f>
        <v>3.556561195334551E-5</v>
      </c>
      <c r="X26" s="197">
        <f>W26*(0.0000000000000028)*RadSpec!$AY26*RadSpec!$AF26</f>
        <v>1.6738628062212095E-13</v>
      </c>
      <c r="Y26" s="15">
        <f>IFERROR((TR/(RadSpec!I26*IFW_res_adj)),".")</f>
        <v>0.2338109180084405</v>
      </c>
      <c r="Z26" s="15" t="str">
        <f>IFERROR(IF(AND(RadSpec!C26=1,RadSpec!D26&lt;&gt;0),(TR/(RadSpec!H26*IFA_res_adj*K*RadSpec!D26)),"."),".")</f>
        <v>.</v>
      </c>
      <c r="AA26" s="15">
        <f>IFERROR((TR/(RadSpec!M26*(1/8760)*DFA_res_adj)),".")</f>
        <v>2148759.7547729798</v>
      </c>
      <c r="AB26" s="15">
        <f>d_b2w!C26</f>
        <v>7.6948898526912654E-2</v>
      </c>
      <c r="AC26" s="15">
        <f t="shared" si="2"/>
        <v>5.7895169073491577E-2</v>
      </c>
      <c r="AD26" s="197">
        <f>AC26*(0.0000000000000028)*RadSpec!$AY26*RadSpec!$AF26</f>
        <v>2.7247828688883336E-10</v>
      </c>
      <c r="AE26" s="15">
        <f>IFERROR(TR/(RadSpec!F26*EF_res*ED_res*IRF_res*0.001*CF_res_fish),".")</f>
        <v>7.0063764331280247E-3</v>
      </c>
      <c r="AF26" s="197">
        <f>IFERROR(AE26*(0.0000000000000028)*RadSpec!$AY26*RadSpec!$AF26,0)</f>
        <v>3.2974866095885208E-11</v>
      </c>
    </row>
    <row r="27" spans="1:32" x14ac:dyDescent="0.25">
      <c r="A27" s="44" t="s">
        <v>37</v>
      </c>
      <c r="B27" s="42" t="s">
        <v>1071</v>
      </c>
      <c r="C27" s="249"/>
      <c r="D27" s="15" t="str">
        <f>IFERROR((TR/(RadSpec!E27*IFS_res_adj*(1/1000))),".")</f>
        <v>.</v>
      </c>
      <c r="E27" s="15" t="str">
        <f>IFERROR(IF(A27="H-3",(TR/(RadSpec!H27*IFA_res_adj*(1/17)*1000))*RadSpec!#REF!,(TR/(RadSpec!H27*IFA_res_adj*(1/PEF_wind)*1000))),".")</f>
        <v>.</v>
      </c>
      <c r="F27" s="15">
        <f>IFERROR((TR/(RadSpec!G27*EF_res*(1/365)*ED_res*RadSpec!R27*((ET_res_o*(1/24)*RadSpec!W27)+(ET_res_i*(1/24)*RadSpec!AB27)))),".")</f>
        <v>18.950275744105827</v>
      </c>
      <c r="G27" s="15" t="str">
        <f>d_b2s!C27</f>
        <v>.</v>
      </c>
      <c r="H27" s="15" t="str">
        <f>d_dir!C27</f>
        <v>.</v>
      </c>
      <c r="I27" s="15">
        <f t="shared" si="0"/>
        <v>18.950275744105827</v>
      </c>
      <c r="J27" s="197">
        <f>I27*(0.0000000000028)*RadSpec!AY27*RadSpec!AF27</f>
        <v>8.7344330301828444E-14</v>
      </c>
      <c r="K27" s="15">
        <f>IFERROR((TR/(RadSpec!G27*EF_res*(1/365)*ED_res*RadSpec!R27*((ET_res_o*(1/24)*RadSpec!W27)+(ET_res_i*(1/24)*RadSpec!AB27)))),".")</f>
        <v>18.950275744105827</v>
      </c>
      <c r="L27" s="15">
        <f>IFERROR((TR/(RadSpec!N27*EF_res*(1/365)*ED_res*RadSpec!S27*((ET_res_o*(1/24)*RadSpec!X27)+(ET_res_i*(1/24)*RadSpec!AC27)))),".")</f>
        <v>55.80514760229363</v>
      </c>
      <c r="M27" s="15">
        <f>IFERROR((TR/(RadSpec!O27*EF_res*(1/365)*ED_res*RadSpec!T27*((ET_res_o*(1/24)*RadSpec!Y27)+(ET_res_i*(1/24)*RadSpec!AD27)))),".")</f>
        <v>26.247336372265217</v>
      </c>
      <c r="N27" s="15">
        <f>IFERROR((TR/(RadSpec!P27*EF_res*(1/365)*ED_res*RadSpec!U27*((ET_res_o*(1/24)*RadSpec!Z27)+(ET_res_i*(1/24)*RadSpec!AE27)))),".")</f>
        <v>19.743016362883161</v>
      </c>
      <c r="O27" s="15">
        <f>IFERROR((TR/(RadSpec!L27*EF_res*(1/365)*ED_res*RadSpec!Q27*((ET_res_o*(1/24)*RadSpec!V27)+(ET_res_i*(1/24)*RadSpec!AA27)))),".")</f>
        <v>13.502716913034533</v>
      </c>
      <c r="P27" s="197">
        <f>K27*(0.0000000000028)*RadSpec!$AY27*RadSpec!$AF27</f>
        <v>8.7344330301828444E-14</v>
      </c>
      <c r="Q27" s="197">
        <f>L27*(0.0000000000028)*RadSpec!$AY27*RadSpec!$AF27</f>
        <v>2.5721331502171338E-13</v>
      </c>
      <c r="R27" s="197">
        <f>M27*(0.0000000000028)*RadSpec!$AY27*RadSpec!$AF27</f>
        <v>1.2097744901444987E-13</v>
      </c>
      <c r="S27" s="197">
        <f>N27*(0.0000000000028)*RadSpec!$AY27*RadSpec!$AF27</f>
        <v>9.099817678855834E-14</v>
      </c>
      <c r="T27" s="197">
        <f>O27*(0.0000000000000028)*RadSpec!$AY27*RadSpec!$AF27</f>
        <v>6.2235810283182938E-17</v>
      </c>
      <c r="U27" s="15" t="str">
        <f>IFERROR((TR/(RadSpec!H27*IFA_res_adj)),".")</f>
        <v>.</v>
      </c>
      <c r="V27" s="15">
        <f>IFERROR((TR/(RadSpec!K27*EF_res*(1/365)*ED_res*ET_res*(1/24)*GSF_a)),".")</f>
        <v>4267.2678194166483</v>
      </c>
      <c r="W27" s="15">
        <f t="shared" si="14"/>
        <v>4267.2678194166483</v>
      </c>
      <c r="X27" s="197">
        <f>W27*(0.0000000000000028)*RadSpec!$AY27*RadSpec!$AF27</f>
        <v>1.9668402451685693E-14</v>
      </c>
      <c r="Y27" s="15" t="str">
        <f>IFERROR((TR/(RadSpec!I27*IFW_res_adj)),".")</f>
        <v>.</v>
      </c>
      <c r="Z27" s="15" t="str">
        <f>IFERROR(IF(AND(RadSpec!C27=1,RadSpec!D27&lt;&gt;0),(TR/(RadSpec!H27*IFA_res_adj*K*RadSpec!D27)),"."),".")</f>
        <v>.</v>
      </c>
      <c r="AA27" s="15">
        <f>IFERROR((TR/(RadSpec!M27*(1/8760)*DFA_res_adj)),".")</f>
        <v>97546871.407154307</v>
      </c>
      <c r="AB27" s="15" t="str">
        <f>d_b2w!C27</f>
        <v>.</v>
      </c>
      <c r="AC27" s="15">
        <f t="shared" si="2"/>
        <v>97546871.407154307</v>
      </c>
      <c r="AD27" s="197">
        <f>AC27*(0.0000000000000028)*RadSpec!$AY27*RadSpec!$AF27</f>
        <v>4.4960644748119462E-10</v>
      </c>
      <c r="AE27" s="15" t="str">
        <f>IFERROR(TR/(RadSpec!F27*EF_res*ED_res*IRF_res*0.001*CF_res_fish),".")</f>
        <v>.</v>
      </c>
      <c r="AF27" s="197">
        <f>IFERROR(AE27*(0.0000000000000028)*RadSpec!$AY27*RadSpec!$AF27,0)</f>
        <v>0</v>
      </c>
    </row>
    <row r="28" spans="1:32" x14ac:dyDescent="0.25">
      <c r="A28" s="44" t="s">
        <v>38</v>
      </c>
      <c r="B28" s="42" t="s">
        <v>1071</v>
      </c>
      <c r="C28" s="42"/>
      <c r="D28" s="15" t="str">
        <f>IFERROR((TR/(RadSpec!E28*IFS_res_adj*(1/1000))),".")</f>
        <v>.</v>
      </c>
      <c r="E28" s="15" t="str">
        <f>IFERROR(IF(A28="H-3",(TR/(RadSpec!H28*IFA_res_adj*(1/17)*1000))*RadSpec!#REF!,(TR/(RadSpec!H28*IFA_res_adj*(1/PEF_wind)*1000))),".")</f>
        <v>.</v>
      </c>
      <c r="F28" s="15">
        <f>IFERROR((TR/(RadSpec!G28*EF_res*(1/365)*ED_res*RadSpec!R28*((ET_res_o*(1/24)*RadSpec!W28)+(ET_res_i*(1/24)*RadSpec!AB28)))),".")</f>
        <v>1.1211531916478898E-2</v>
      </c>
      <c r="G28" s="15" t="str">
        <f>d_b2s!C28</f>
        <v>.</v>
      </c>
      <c r="H28" s="15" t="str">
        <f>d_dir!C28</f>
        <v>.</v>
      </c>
      <c r="I28" s="15">
        <f t="shared" si="0"/>
        <v>1.1211531916478898E-2</v>
      </c>
      <c r="J28" s="197">
        <f>I28*(0.0000000000028)*RadSpec!AY28*RadSpec!AF28</f>
        <v>2.6975449200776623E-17</v>
      </c>
      <c r="K28" s="15">
        <f>IFERROR((TR/(RadSpec!G28*EF_res*(1/365)*ED_res*RadSpec!R28*((ET_res_o*(1/24)*RadSpec!W28)+(ET_res_i*(1/24)*RadSpec!AB28)))),".")</f>
        <v>1.1211531916478898E-2</v>
      </c>
      <c r="L28" s="15">
        <f>IFERROR((TR/(RadSpec!N28*EF_res*(1/365)*ED_res*RadSpec!S28*((ET_res_o*(1/24)*RadSpec!X28)+(ET_res_i*(1/24)*RadSpec!AC28)))),".")</f>
        <v>6.0729131214260705E-2</v>
      </c>
      <c r="M28" s="15">
        <f>IFERROR((TR/(RadSpec!O28*EF_res*(1/365)*ED_res*RadSpec!T28*((ET_res_o*(1/24)*RadSpec!Y28)+(ET_res_i*(1/24)*RadSpec!AD28)))),".")</f>
        <v>2.114119926230236E-2</v>
      </c>
      <c r="N28" s="15">
        <f>IFERROR((TR/(RadSpec!P28*EF_res*(1/365)*ED_res*RadSpec!U28*((ET_res_o*(1/24)*RadSpec!Z28)+(ET_res_i*(1/24)*RadSpec!AE28)))),".")</f>
        <v>1.3285515032395907E-2</v>
      </c>
      <c r="O28" s="15">
        <f>IFERROR((TR/(RadSpec!L28*EF_res*(1/365)*ED_res*RadSpec!Q28*((ET_res_o*(1/24)*RadSpec!V28)+(ET_res_i*(1/24)*RadSpec!AA28)))),".")</f>
        <v>6.2333296944448724E-2</v>
      </c>
      <c r="P28" s="197">
        <f>K28*(0.0000000000028)*RadSpec!$AY28*RadSpec!$AF28</f>
        <v>2.6975449200776623E-17</v>
      </c>
      <c r="Q28" s="197">
        <f>L28*(0.0000000000028)*RadSpec!$AY28*RadSpec!$AF28</f>
        <v>1.461170165042067E-16</v>
      </c>
      <c r="R28" s="197">
        <f>M28*(0.0000000000028)*RadSpec!$AY28*RadSpec!$AF28</f>
        <v>5.086667468747127E-17</v>
      </c>
      <c r="S28" s="197">
        <f>N28*(0.0000000000028)*RadSpec!$AY28*RadSpec!$AF28</f>
        <v>3.1965545701724574E-17</v>
      </c>
      <c r="T28" s="197">
        <f>O28*(0.0000000000000028)*RadSpec!$AY28*RadSpec!$AF28</f>
        <v>1.4997671127978953E-19</v>
      </c>
      <c r="U28" s="15" t="str">
        <f>IFERROR((TR/(RadSpec!H28*IFA_res_adj)),".")</f>
        <v>.</v>
      </c>
      <c r="V28" s="15">
        <f>IFERROR((TR/(RadSpec!K28*EF_res*(1/365)*ED_res*ET_res*(1/24)*GSF_a)),".")</f>
        <v>4.1892080422322007</v>
      </c>
      <c r="W28" s="15">
        <f t="shared" si="14"/>
        <v>4.1892080422322007</v>
      </c>
      <c r="X28" s="197">
        <f>W28*(0.0000000000000028)*RadSpec!$AY28*RadSpec!$AF28</f>
        <v>1.0079422649515167E-17</v>
      </c>
      <c r="Y28" s="15" t="str">
        <f>IFERROR((TR/(RadSpec!I28*IFW_res_adj)),".")</f>
        <v>.</v>
      </c>
      <c r="Z28" s="15" t="str">
        <f>IFERROR(IF(AND(RadSpec!C28=1,RadSpec!D28&lt;&gt;0),(TR/(RadSpec!H28*IFA_res_adj*K*RadSpec!D28)),"."),".")</f>
        <v>.</v>
      </c>
      <c r="AA28" s="15">
        <f>IFERROR((TR/(RadSpec!M28*(1/8760)*DFA_res_adj)),".")</f>
        <v>69050.032569109215</v>
      </c>
      <c r="AB28" s="15" t="str">
        <f>d_b2w!C28</f>
        <v>.</v>
      </c>
      <c r="AC28" s="15">
        <f t="shared" si="2"/>
        <v>69050.032569109215</v>
      </c>
      <c r="AD28" s="197">
        <f>AC28*(0.0000000000000028)*RadSpec!$AY28*RadSpec!$AF28</f>
        <v>1.6613747878130856E-13</v>
      </c>
      <c r="AE28" s="15" t="str">
        <f>IFERROR(TR/(RadSpec!F28*EF_res*ED_res*IRF_res*0.001*CF_res_fish),".")</f>
        <v>.</v>
      </c>
      <c r="AF28" s="197">
        <f>IFERROR(AE28*(0.0000000000000028)*RadSpec!$AY28*RadSpec!$AF28,0)</f>
        <v>0</v>
      </c>
    </row>
    <row r="29" spans="1:32" x14ac:dyDescent="0.25">
      <c r="A29" s="44" t="s">
        <v>39</v>
      </c>
      <c r="B29" s="42" t="s">
        <v>1071</v>
      </c>
      <c r="C29" s="249"/>
      <c r="D29" s="15" t="str">
        <f>IFERROR((TR/(RadSpec!E29*IFS_res_adj*(1/1000))),".")</f>
        <v>.</v>
      </c>
      <c r="E29" s="15" t="str">
        <f>IFERROR(IF(A29="H-3",(TR/(RadSpec!H29*IFA_res_adj*(1/17)*1000))*RadSpec!#REF!,(TR/(RadSpec!H29*IFA_res_adj*(1/PEF_wind)*1000))),".")</f>
        <v>.</v>
      </c>
      <c r="F29" s="15">
        <f>IFERROR((TR/(RadSpec!G29*EF_res*(1/365)*ED_res*RadSpec!R29*((ET_res_o*(1/24)*RadSpec!W29)+(ET_res_i*(1/24)*RadSpec!AB29)))),".")</f>
        <v>8.6182558384063877E-3</v>
      </c>
      <c r="G29" s="15" t="str">
        <f>d_b2s!C29</f>
        <v>.</v>
      </c>
      <c r="H29" s="15" t="str">
        <f>d_dir!C29</f>
        <v>.</v>
      </c>
      <c r="I29" s="15">
        <f t="shared" si="0"/>
        <v>8.6182558384063877E-3</v>
      </c>
      <c r="J29" s="197">
        <f>I29*(0.0000000000028)*RadSpec!AY29*RadSpec!AF29</f>
        <v>1.253385609375542E-17</v>
      </c>
      <c r="K29" s="15">
        <f>IFERROR((TR/(RadSpec!G29*EF_res*(1/365)*ED_res*RadSpec!R29*((ET_res_o*(1/24)*RadSpec!W29)+(ET_res_i*(1/24)*RadSpec!AB29)))),".")</f>
        <v>8.6182558384063877E-3</v>
      </c>
      <c r="L29" s="15">
        <f>IFERROR((TR/(RadSpec!N29*EF_res*(1/365)*ED_res*RadSpec!S29*((ET_res_o*(1/24)*RadSpec!X29)+(ET_res_i*(1/24)*RadSpec!AC29)))),".")</f>
        <v>4.6574220931237538E-2</v>
      </c>
      <c r="M29" s="15">
        <f>IFERROR((TR/(RadSpec!O29*EF_res*(1/365)*ED_res*RadSpec!T29*((ET_res_o*(1/24)*RadSpec!Y29)+(ET_res_i*(1/24)*RadSpec!AD29)))),".")</f>
        <v>1.6258192608542235E-2</v>
      </c>
      <c r="N29" s="15">
        <f>IFERROR((TR/(RadSpec!P29*EF_res*(1/365)*ED_res*RadSpec!U29*((ET_res_o*(1/24)*RadSpec!Z29)+(ET_res_i*(1/24)*RadSpec!AE29)))),".")</f>
        <v>1.0186016664097991E-2</v>
      </c>
      <c r="O29" s="15">
        <f>IFERROR((TR/(RadSpec!L29*EF_res*(1/365)*ED_res*RadSpec!Q29*((ET_res_o*(1/24)*RadSpec!V29)+(ET_res_i*(1/24)*RadSpec!AA29)))),".")</f>
        <v>4.8111622398870624E-2</v>
      </c>
      <c r="P29" s="197">
        <f>K29*(0.0000000000028)*RadSpec!$AY29*RadSpec!$AF29</f>
        <v>1.253385609375542E-17</v>
      </c>
      <c r="Q29" s="197">
        <f>L29*(0.0000000000028)*RadSpec!$AY29*RadSpec!$AF29</f>
        <v>6.7734654642005337E-17</v>
      </c>
      <c r="R29" s="197">
        <f>M29*(0.0000000000028)*RadSpec!$AY29*RadSpec!$AF29</f>
        <v>2.3644905688679023E-17</v>
      </c>
      <c r="S29" s="197">
        <f>N29*(0.0000000000028)*RadSpec!$AY29*RadSpec!$AF29</f>
        <v>1.4813910079978141E-17</v>
      </c>
      <c r="T29" s="197">
        <f>O29*(0.0000000000000028)*RadSpec!$AY29*RadSpec!$AF29</f>
        <v>6.9970555863197756E-20</v>
      </c>
      <c r="U29" s="15" t="str">
        <f>IFERROR((TR/(RadSpec!H29*IFA_res_adj)),".")</f>
        <v>.</v>
      </c>
      <c r="V29" s="15">
        <f>IFERROR((TR/(RadSpec!K29*EF_res*(1/365)*ED_res*ET_res*(1/24)*GSF_a)),".")</f>
        <v>3.2407081081418898</v>
      </c>
      <c r="W29" s="15">
        <f t="shared" si="14"/>
        <v>3.2407081081418898</v>
      </c>
      <c r="X29" s="197">
        <f>W29*(0.0000000000000028)*RadSpec!$AY29*RadSpec!$AF29</f>
        <v>4.7130846230282776E-18</v>
      </c>
      <c r="Y29" s="15" t="str">
        <f>IFERROR((TR/(RadSpec!I29*IFW_res_adj)),".")</f>
        <v>.</v>
      </c>
      <c r="Z29" s="15" t="str">
        <f>IFERROR(IF(AND(RadSpec!C29=1,RadSpec!D29&lt;&gt;0),(TR/(RadSpec!H29*IFA_res_adj*K*RadSpec!D29)),"."),".")</f>
        <v>.</v>
      </c>
      <c r="AA29" s="15">
        <f>IFERROR((TR/(RadSpec!M29*(1/8760)*DFA_res_adj)),".")</f>
        <v>53438.720857832363</v>
      </c>
      <c r="AB29" s="15" t="str">
        <f>d_b2w!C29</f>
        <v>.</v>
      </c>
      <c r="AC29" s="15">
        <f t="shared" si="2"/>
        <v>53438.720857832363</v>
      </c>
      <c r="AD29" s="197">
        <f>AC29*(0.0000000000000028)*RadSpec!$AY29*RadSpec!$AF29</f>
        <v>7.7717957046664938E-14</v>
      </c>
      <c r="AE29" s="15" t="str">
        <f>IFERROR(TR/(RadSpec!F29*EF_res*ED_res*IRF_res*0.001*CF_res_fish),".")</f>
        <v>.</v>
      </c>
      <c r="AF29" s="197">
        <f>IFERROR(AE29*(0.0000000000000028)*RadSpec!$AY29*RadSpec!$AF29,0)</f>
        <v>0</v>
      </c>
    </row>
    <row r="30" spans="1:32" x14ac:dyDescent="0.25">
      <c r="A30" s="44" t="s">
        <v>40</v>
      </c>
      <c r="B30" s="42" t="s">
        <v>1071</v>
      </c>
      <c r="C30" s="42"/>
      <c r="D30" s="15">
        <f>IFERROR((TR/(RadSpec!E30*IFS_res_adj*(1/1000))),".")</f>
        <v>5.9436635791315586</v>
      </c>
      <c r="E30" s="15">
        <f>IFERROR(IF(A30="H-3",(TR/(RadSpec!H30*IFA_res_adj*(1/17)*1000))*RadSpec!#REF!,(TR/(RadSpec!H30*IFA_res_adj*(1/PEF_wind)*1000))),".")</f>
        <v>298.29123392623904</v>
      </c>
      <c r="F30" s="15">
        <f>IFERROR((TR/(RadSpec!G30*EF_res*(1/365)*ED_res*RadSpec!R30*((ET_res_o*(1/24)*RadSpec!W30)+(ET_res_i*(1/24)*RadSpec!AB30)))),".")</f>
        <v>162.74210532294492</v>
      </c>
      <c r="G30" s="15">
        <f>d_b2s!C30</f>
        <v>0.10934568943512078</v>
      </c>
      <c r="H30" s="15">
        <f>d_dir!C30</f>
        <v>8.5162307174154286E-4</v>
      </c>
      <c r="I30" s="15">
        <f t="shared" si="0"/>
        <v>0.1072610192150921</v>
      </c>
      <c r="J30" s="197">
        <f>I30*(0.0000000000028)*RadSpec!AY30*RadSpec!AF30</f>
        <v>1.1140352558599434E-5</v>
      </c>
      <c r="K30" s="15">
        <f>IFERROR((TR/(RadSpec!G30*EF_res*(1/365)*ED_res*RadSpec!R30*((ET_res_o*(1/24)*RadSpec!W30)+(ET_res_i*(1/24)*RadSpec!AB30)))),".")</f>
        <v>162.74210532294492</v>
      </c>
      <c r="L30" s="15">
        <f>IFERROR((TR/(RadSpec!N30*EF_res*(1/365)*ED_res*RadSpec!S30*((ET_res_o*(1/24)*RadSpec!X30)+(ET_res_i*(1/24)*RadSpec!AC30)))),".")</f>
        <v>558.0514760229363</v>
      </c>
      <c r="M30" s="15">
        <f>IFERROR((TR/(RadSpec!O30*EF_res*(1/365)*ED_res*RadSpec!T30*((ET_res_o*(1/24)*RadSpec!Y30)+(ET_res_i*(1/24)*RadSpec!AD30)))),".")</f>
        <v>228.57458981013258</v>
      </c>
      <c r="N30" s="15">
        <f>IFERROR((TR/(RadSpec!P30*EF_res*(1/365)*ED_res*RadSpec!U30*((ET_res_o*(1/24)*RadSpec!Z30)+(ET_res_i*(1/24)*RadSpec!AE30)))),".")</f>
        <v>168.26815304189043</v>
      </c>
      <c r="O30" s="15">
        <f>IFERROR((TR/(RadSpec!L30*EF_res*(1/365)*ED_res*RadSpec!Q30*((ET_res_o*(1/24)*RadSpec!V30)+(ET_res_i*(1/24)*RadSpec!AA30)))),".")</f>
        <v>323.88869980939046</v>
      </c>
      <c r="P30" s="197">
        <f>K30*(0.0000000000028)*RadSpec!$AY30*RadSpec!$AF30</f>
        <v>1.6902733562420134E-2</v>
      </c>
      <c r="Q30" s="197">
        <f>L30*(0.0000000000028)*RadSpec!$AY30*RadSpec!$AF30</f>
        <v>5.7960387046812292E-2</v>
      </c>
      <c r="R30" s="197">
        <f>M30*(0.0000000000028)*RadSpec!$AY30*RadSpec!$AF30</f>
        <v>2.3740232332827176E-2</v>
      </c>
      <c r="S30" s="197">
        <f>N30*(0.0000000000028)*RadSpec!$AY30*RadSpec!$AF30</f>
        <v>1.7476680372689072E-2</v>
      </c>
      <c r="T30" s="197">
        <f>O30*(0.0000000000000028)*RadSpec!$AY30*RadSpec!$AF30</f>
        <v>3.3639754050698896E-5</v>
      </c>
      <c r="U30" s="15">
        <f>IFERROR((TR/(RadSpec!H30*IFA_res_adj)),".")</f>
        <v>2.1943755959101223E-4</v>
      </c>
      <c r="V30" s="15">
        <f>IFERROR((TR/(RadSpec!K30*EF_res*(1/365)*ED_res*ET_res*(1/24)*GSF_a)),".")</f>
        <v>42778.961327900404</v>
      </c>
      <c r="W30" s="15">
        <f t="shared" ref="W30" si="15">IF(AND(U30&lt;&gt;".",V30&lt;&gt;"."),1/((1/U30)+(1/V30)),IF(AND(U30&lt;&gt;".",V30="."),1/((1/U30)),IF(AND(U30=".",V30&lt;&gt;"."),1/((1/V30)),IF(AND(U30&lt;&gt;".",V30="."),"."))))</f>
        <v>2.1943755846539254E-4</v>
      </c>
      <c r="X30" s="197">
        <f>W30*(0.0000000000000028)*RadSpec!$AY30*RadSpec!$AF30</f>
        <v>2.279124125233728E-11</v>
      </c>
      <c r="Y30" s="15">
        <f>IFERROR((TR/(RadSpec!I30*IFW_res_adj)),".")</f>
        <v>0.72794739421184573</v>
      </c>
      <c r="Z30" s="15" t="str">
        <f>IFERROR(IF(AND(RadSpec!C30=1,RadSpec!D30&lt;&gt;0),(TR/(RadSpec!H30*IFA_res_adj*K*RadSpec!D30)),"."),".")</f>
        <v>.</v>
      </c>
      <c r="AA30" s="15">
        <f>IFERROR((TR/(RadSpec!M30*(1/8760)*DFA_res_adj)),".")</f>
        <v>686642781.97214758</v>
      </c>
      <c r="AB30" s="15">
        <f>d_b2w!C30</f>
        <v>0.21751114979702754</v>
      </c>
      <c r="AC30" s="15">
        <f t="shared" si="2"/>
        <v>0.167470774547958</v>
      </c>
      <c r="AD30" s="197">
        <f>AC30*(0.0000000000000028)*RadSpec!$AY30*RadSpec!$AF30</f>
        <v>1.7393862983761977E-8</v>
      </c>
      <c r="AE30" s="15">
        <f>IFERROR(TR/(RadSpec!F30*EF_res*ED_res*IRF_res*0.001*CF_res_fish),".")</f>
        <v>2.0992387404601145E-2</v>
      </c>
      <c r="AF30" s="197">
        <f>IFERROR(AE30*(0.0000000000000028)*RadSpec!$AY30*RadSpec!$AF30,0)</f>
        <v>2.1803130200076763E-9</v>
      </c>
    </row>
    <row r="31" spans="1:32" x14ac:dyDescent="0.25">
      <c r="A31" s="180" t="s">
        <v>13</v>
      </c>
      <c r="B31" s="57" t="s">
        <v>1255</v>
      </c>
      <c r="C31" s="57"/>
      <c r="D31" s="58">
        <f>1/SUM(1/D32,1/D33,1/D34,1/D35,1/D36,1/D37,1/D38,1/D41,1/D44)</f>
        <v>0.56048732719219452</v>
      </c>
      <c r="E31" s="58">
        <f>1/SUM(1/E32,1/E33,1/E34,1/E35,1/E36,1/E37,1/E38,1/E41,1/E44)</f>
        <v>26.04518858408149</v>
      </c>
      <c r="F31" s="58">
        <f>1/SUM(1/F32,1/F33,1/F34,1/F35,1/F36,1/F37,1/F38,1/F39,1/F40,1/F41,1/F42,1/F43,1/F44)</f>
        <v>5.7289716774424675E-2</v>
      </c>
      <c r="G31" s="58">
        <f>1/SUM(1/G32,1/G33,1/G34,1/G35,1/G36,1/G37,1/G38,1/G41,1/G44)</f>
        <v>1.2826192523349744E-2</v>
      </c>
      <c r="H31" s="58">
        <f>1/SUM(1/H32,1/H33,1/H34,1/H35,1/H36,1/H37,1/H38,1/H41,1/H44)</f>
        <v>7.9458246687997067E-5</v>
      </c>
      <c r="I31" s="59">
        <f>1/SUM(1/I32,1/I33,1/I34,1/I35,1/I36,1/I37,1/I38,1/I39,1/I40,1/I41,1/I42,1/I43,1/I44)</f>
        <v>1.0283500055483454E-2</v>
      </c>
      <c r="J31" s="199"/>
      <c r="K31" s="58">
        <f t="shared" ref="K31:O31" si="16">1/SUM(1/K32,1/K33,1/K34,1/K35,1/K36,1/K37,1/K38,1/K39,1/K40,1/K41,1/K42,1/K43,1/K44)</f>
        <v>5.7289716774424675E-2</v>
      </c>
      <c r="L31" s="58">
        <f t="shared" si="16"/>
        <v>0.23665062431777825</v>
      </c>
      <c r="M31" s="58">
        <f t="shared" si="16"/>
        <v>8.8199493672369775E-2</v>
      </c>
      <c r="N31" s="58">
        <f t="shared" si="16"/>
        <v>6.1230376541230536E-2</v>
      </c>
      <c r="O31" s="58">
        <f t="shared" si="16"/>
        <v>0.22929568947911522</v>
      </c>
      <c r="P31" s="198"/>
      <c r="Q31" s="198"/>
      <c r="R31" s="198"/>
      <c r="S31" s="198"/>
      <c r="T31" s="198"/>
      <c r="U31" s="58">
        <f>1/SUM(1/U32,1/U33,1/U34,1/U35,1/U36,1/U37,1/U38,1/U41,1/U44)</f>
        <v>1.916010922195522E-5</v>
      </c>
      <c r="V31" s="58">
        <f t="shared" ref="V31" si="17">1/SUM(1/V32,1/V33,1/V34,1/V35,1/V36,1/V37,1/V38,1/V39,1/V40,1/V41,1/V42,1/V43,1/V44)</f>
        <v>18.151019610536185</v>
      </c>
      <c r="W31" s="59">
        <f>1/SUM(1/W32,1/W33,1/W34,1/W35,1/W36,1/W37,1/W38,1/W39,1/W40,1/W41,1/W42,1/W43,1/W44)</f>
        <v>1.9160088996678306E-5</v>
      </c>
      <c r="X31" s="199"/>
      <c r="Y31" s="58">
        <f>1/SUM(1/Y32,1/Y33,1/Y34,1/Y35,1/Y36,1/Y37,1/Y38,1/Y41,1/Y44)</f>
        <v>6.7744597654210481E-2</v>
      </c>
      <c r="Z31" s="58" t="str">
        <f>IFERROR(1/SUM(1/Z32,1/Z33,1/Z34,1/Z35,1/Z36,1/Z37,1/Z38,1/Z39,1/Z40,1/Z41,1/Z42,1/Z43,1/Z44,1/Z45),".")</f>
        <v>.</v>
      </c>
      <c r="AA31" s="58">
        <f>1/SUM(1/AA32,1/AA33,1/AA34,1/AA35,1/AA36,1/AA37,1/AA38,1/AA39,1/AA40,1/AA41,1/AA42,1/AA43,1/AA44)</f>
        <v>296112.24585517397</v>
      </c>
      <c r="AB31" s="58">
        <f>1/SUM(1/AB32,1/AB33,1/AB34,1/AB35,1/AB36,1/AB37,1/AB38,1/AB41,1/AB44)</f>
        <v>2.0568527486252028E-2</v>
      </c>
      <c r="AC31" s="59">
        <f>1/SUM(1/AC32,1/AC33,1/AC34,1/AC35,1/AC36,1/AC37,1/AC38,1/AC39,1/AC40,1/AC41,1/AC42,1/AC43,1/AC44)</f>
        <v>1.5778023282873473E-2</v>
      </c>
      <c r="AD31" s="199"/>
      <c r="AE31" s="59">
        <f>1/SUM(1/AE32,1/AE33,1/AE34,1/AE35,1/AE36,1/AE37,1/AE38,1/AE41,1/AE44)</f>
        <v>1.9586344620205684E-3</v>
      </c>
      <c r="AF31" s="199"/>
    </row>
    <row r="32" spans="1:32" x14ac:dyDescent="0.25">
      <c r="A32" s="83" t="s">
        <v>1099</v>
      </c>
      <c r="B32" s="42">
        <v>1</v>
      </c>
      <c r="C32" s="42"/>
      <c r="D32" s="60">
        <f>IFERROR(D3/$B32,0)</f>
        <v>4.8456373757578577</v>
      </c>
      <c r="E32" s="60">
        <f>IFERROR(E3/$B32,0)</f>
        <v>223.71842544467933</v>
      </c>
      <c r="F32" s="60">
        <f>IFERROR(F3/$B32,0)</f>
        <v>4.1818540988047879</v>
      </c>
      <c r="G32" s="60">
        <f>IFERROR(G3/$B32,0)</f>
        <v>0.59625120892320971</v>
      </c>
      <c r="H32" s="60">
        <f>IFERROR(H3/$B32,0)</f>
        <v>6.1807547034981752E-4</v>
      </c>
      <c r="I32" s="60">
        <f t="shared" ref="I32:I44" si="18">(IF(AND(D32&lt;&gt;0,E32&lt;&gt;0,F32&lt;&gt;0,G32&lt;&gt;0),1/((1/D32)+(1/E32)+(1/F32)+(1/G32)),IF(AND(D32&lt;&gt;0,E32&lt;&gt;0,F32&lt;&gt;0,G32=0), 1/((1/D32)+(1/E32)+(1/F32)),IF(AND(D32&lt;&gt;0,E32&lt;&gt;0,F32=0,G32&lt;&gt;0),1/((1/D32)+(1/E32)+(1/G32)),IF(AND(D32&lt;&gt;0,E32=0,F32&lt;&gt;0,G32&lt;&gt;0),1/((1/D32)+(1/F32)+(1/G32)),IF(AND(D32=0,E32&lt;&gt;0,F32&lt;&gt;0,G32&lt;&gt;0),1/((1/E32)+(1/F32)+(1/G32)),IF(AND(D32&lt;&gt;0,E32&lt;&gt;0,F32=0,G32=0),1/((1/D32)+(1/E32)),IF(AND(D32&lt;&gt;0,E32=0,F32&lt;&gt;0,G32=0),1/((1/D32)+(1/F32)),IF(AND(D32&lt;&gt;0,E32=0,F32=0,G32&lt;&gt;0),1/((1/D32)+(1/G32)),IF(AND(D32=0,E32=0,F32&lt;&gt;0,G32&lt;&gt;0),1/((1/F32)+(1/G32)),IF(AND(D32=0,E32&lt;&gt;0,F32=0,G32&lt;&gt;0),1/((1/E32)+(1/G32)),IF(AND(D32=0,E32&lt;&gt;0,F32&lt;&gt;0,G32=0),1/((1/E32)+(1/F32)),IF(AND(D32&lt;&gt;0,E32=0,F32=0,G32=0),1/((1/D32)),IF(AND(D32=0,E32&lt;&gt;0,F32=0,G32=0),1/((1/E32)),IF(AND(D32=0,E32=0,F32&lt;&gt;0,G32=0),1/((1/F32)),IF(AND(D32=0,E32=0,F32=0,G32&lt;&gt;0),1/((1/G32)),IF(AND(D32=0,E32=0,F32=0,G32=0),0)))))))))))))))))</f>
        <v>0.47012034234105876</v>
      </c>
      <c r="J32" s="197">
        <f>IFERROR(J3/$B32,0)</f>
        <v>1.3710992087047685E-7</v>
      </c>
      <c r="K32" s="60">
        <f t="shared" ref="K32:V32" si="19">IFERROR(K3/$B32,0)</f>
        <v>4.1818540988047879</v>
      </c>
      <c r="L32" s="60">
        <f t="shared" si="19"/>
        <v>8.4134076520945218</v>
      </c>
      <c r="M32" s="60">
        <f t="shared" si="19"/>
        <v>4.4886749158366603</v>
      </c>
      <c r="N32" s="60">
        <f t="shared" si="19"/>
        <v>4.1818540988047879</v>
      </c>
      <c r="O32" s="60">
        <f t="shared" si="19"/>
        <v>6.194371383854592</v>
      </c>
      <c r="P32" s="197">
        <f t="shared" ref="P32:T32" si="20">IFERROR(P3/$B32,0)</f>
        <v>1.2196317260465142E-6</v>
      </c>
      <c r="Q32" s="197">
        <f t="shared" si="20"/>
        <v>2.4537582264263481E-6</v>
      </c>
      <c r="R32" s="197">
        <f t="shared" si="20"/>
        <v>1.3091155755118831E-6</v>
      </c>
      <c r="S32" s="197">
        <f t="shared" si="20"/>
        <v>1.2196317260465142E-6</v>
      </c>
      <c r="T32" s="197">
        <f t="shared" si="20"/>
        <v>1.8065794942063989E-9</v>
      </c>
      <c r="U32" s="60">
        <f t="shared" si="19"/>
        <v>1.645781696932592E-4</v>
      </c>
      <c r="V32" s="60">
        <f t="shared" si="19"/>
        <v>691.17718201818968</v>
      </c>
      <c r="W32" s="60">
        <f>IFERROR(IF(AND(U32&lt;&gt;0,V32&lt;&gt;0),1/((1/U32)+(1/V32)),IF(AND(U32&lt;&gt;0,V32=0),1/((1/U32)),IF(AND(U32=0,V32&lt;&gt;0),1/((1/V32)),IF(AND(U32=0,V32=0),0)))),0)</f>
        <v>1.6457813050509127E-4</v>
      </c>
      <c r="X32" s="197">
        <f t="shared" ref="X32" si="21">IFERROR(X3/$B32,0)</f>
        <v>4.7998974769301944E-14</v>
      </c>
      <c r="Y32" s="60">
        <f>IFERROR(Y3/$B32,".")</f>
        <v>0.50436355170392166</v>
      </c>
      <c r="Z32" s="60" t="str">
        <f>IFERROR(Z3,".")</f>
        <v>.</v>
      </c>
      <c r="AA32" s="60">
        <f>IFERROR(AA3/$B32,".")</f>
        <v>10876907.785222514</v>
      </c>
      <c r="AB32" s="60">
        <f>IFERROR(AB3/$B32,".")</f>
        <v>0.16797885534539592</v>
      </c>
      <c r="AC32" s="60">
        <f t="shared" si="2"/>
        <v>0.12601080970551543</v>
      </c>
      <c r="AD32" s="197">
        <f>IFERROR(AD3/$B32,".")</f>
        <v>3.67508711950476E-11</v>
      </c>
      <c r="AE32" s="60">
        <f>IFERROR(AE3/$B32,0)</f>
        <v>1.5235472299184209E-2</v>
      </c>
      <c r="AF32" s="197">
        <f>IFERROR(AF3/$B32,0)</f>
        <v>4.4434035569769638E-12</v>
      </c>
    </row>
    <row r="33" spans="1:32" x14ac:dyDescent="0.25">
      <c r="A33" s="83" t="s">
        <v>1075</v>
      </c>
      <c r="B33" s="42">
        <v>1</v>
      </c>
      <c r="C33" s="42"/>
      <c r="D33" s="60">
        <f t="shared" ref="D33:H34" si="22">IFERROR(D13/$B33,0)</f>
        <v>7.1606154692208097</v>
      </c>
      <c r="E33" s="60">
        <f t="shared" si="22"/>
        <v>294.44231477880379</v>
      </c>
      <c r="F33" s="60">
        <f t="shared" si="22"/>
        <v>2.237244743604367</v>
      </c>
      <c r="G33" s="60">
        <f t="shared" si="22"/>
        <v>9.6127665114464231E-2</v>
      </c>
      <c r="H33" s="60">
        <f t="shared" si="22"/>
        <v>9.9609484284055396E-4</v>
      </c>
      <c r="I33" s="60">
        <f t="shared" si="18"/>
        <v>9.0968138083429906E-2</v>
      </c>
      <c r="J33" s="197">
        <f t="shared" ref="J33" si="23">IFERROR(J13/$B33,0)</f>
        <v>1.2942568259055983E-4</v>
      </c>
      <c r="K33" s="60">
        <f t="shared" ref="K33:V34" si="24">IFERROR(K13/$B33,0)</f>
        <v>2.237244743604367</v>
      </c>
      <c r="L33" s="60">
        <f t="shared" si="24"/>
        <v>6.6695788789820645</v>
      </c>
      <c r="M33" s="60">
        <f t="shared" si="24"/>
        <v>2.8028829791197247</v>
      </c>
      <c r="N33" s="60">
        <f t="shared" si="24"/>
        <v>2.2473909782692396</v>
      </c>
      <c r="O33" s="60">
        <f t="shared" si="24"/>
        <v>5.5061078967596373</v>
      </c>
      <c r="P33" s="197">
        <f t="shared" ref="P33:T33" si="25">IFERROR(P13/$B33,0)</f>
        <v>3.1830587518189594E-3</v>
      </c>
      <c r="Q33" s="197">
        <f t="shared" si="25"/>
        <v>9.4891993745343153E-3</v>
      </c>
      <c r="R33" s="197">
        <f t="shared" si="25"/>
        <v>3.9878253027596129E-3</v>
      </c>
      <c r="S33" s="197">
        <f t="shared" si="25"/>
        <v>3.1974943924167783E-3</v>
      </c>
      <c r="T33" s="197">
        <f t="shared" si="25"/>
        <v>7.8338612614211063E-6</v>
      </c>
      <c r="U33" s="60">
        <f t="shared" si="24"/>
        <v>2.1660610720919277E-4</v>
      </c>
      <c r="V33" s="60">
        <f t="shared" si="24"/>
        <v>522.85397178544952</v>
      </c>
      <c r="W33" s="60">
        <f t="shared" ref="W33:W44" si="26">IFERROR(IF(AND(U33&lt;&gt;0,V33&lt;&gt;0),1/((1/U33)+(1/V33)),IF(AND(U33&lt;&gt;0,V33=0),1/((1/U33)),IF(AND(U33=0,V33&lt;&gt;0),1/((1/V33)),IF(AND(U33=0,V33=0),0)))),0)</f>
        <v>2.1660601747441256E-4</v>
      </c>
      <c r="X33" s="197">
        <f t="shared" ref="X33" si="27">IFERROR(X13/$B33,0)</f>
        <v>3.0817803085226727E-10</v>
      </c>
      <c r="Y33" s="60">
        <f>IFERROR(Y13/$B33,".")</f>
        <v>0.84060591950653607</v>
      </c>
      <c r="Z33" s="60" t="str">
        <f>IFERROR(Z13,".")</f>
        <v>.</v>
      </c>
      <c r="AA33" s="60">
        <f>IFERROR(AA13/$B33,".")</f>
        <v>8361160.4063275121</v>
      </c>
      <c r="AB33" s="60">
        <f>IFERROR(AB13/$B33,".")</f>
        <v>0.24825406523395527</v>
      </c>
      <c r="AC33" s="60">
        <f t="shared" si="2"/>
        <v>0.19165350450777627</v>
      </c>
      <c r="AD33" s="197">
        <f>IFERROR(AD13/$B33,".")</f>
        <v>2.7267663342787657E-7</v>
      </c>
      <c r="AE33" s="60">
        <f>IFERROR(AE13/$B33,0)</f>
        <v>2.4553595982167407E-2</v>
      </c>
      <c r="AF33" s="197">
        <f>IFERROR(AF13/$B33,0)</f>
        <v>3.4933834933834939E-8</v>
      </c>
    </row>
    <row r="34" spans="1:32" x14ac:dyDescent="0.25">
      <c r="A34" s="83" t="s">
        <v>1076</v>
      </c>
      <c r="B34" s="42">
        <v>1</v>
      </c>
      <c r="C34" s="42"/>
      <c r="D34" s="60">
        <f t="shared" si="22"/>
        <v>54.227582317469952</v>
      </c>
      <c r="E34" s="60">
        <f t="shared" si="22"/>
        <v>552524.92482705298</v>
      </c>
      <c r="F34" s="60">
        <f t="shared" si="22"/>
        <v>0.1440551484617347</v>
      </c>
      <c r="G34" s="60">
        <f t="shared" si="22"/>
        <v>0.85225520279349654</v>
      </c>
      <c r="H34" s="60">
        <f t="shared" si="22"/>
        <v>9.2200514378629854E-3</v>
      </c>
      <c r="I34" s="60">
        <f t="shared" si="18"/>
        <v>0.12294700054239072</v>
      </c>
      <c r="J34" s="197">
        <f t="shared" ref="J34" si="28">IFERROR(J14/$B34,0)</f>
        <v>5.9261366427124008E-12</v>
      </c>
      <c r="K34" s="60">
        <f t="shared" si="24"/>
        <v>0.1440551484617347</v>
      </c>
      <c r="L34" s="60">
        <f t="shared" si="24"/>
        <v>0.60729131214260723</v>
      </c>
      <c r="M34" s="60">
        <f t="shared" si="24"/>
        <v>0.22122754942337824</v>
      </c>
      <c r="N34" s="60">
        <f t="shared" si="24"/>
        <v>0.15224261465694849</v>
      </c>
      <c r="O34" s="60">
        <f t="shared" si="24"/>
        <v>0.61558970274331348</v>
      </c>
      <c r="P34" s="197">
        <f t="shared" ref="P34:T34" si="29">IFERROR(P14/$B34,0)</f>
        <v>6.9435650329356206E-12</v>
      </c>
      <c r="Q34" s="197">
        <f t="shared" si="29"/>
        <v>2.9271891805512919E-11</v>
      </c>
      <c r="R34" s="197">
        <f t="shared" si="29"/>
        <v>1.0663332014865413E-11</v>
      </c>
      <c r="S34" s="197">
        <f t="shared" si="29"/>
        <v>7.3382069779718987E-12</v>
      </c>
      <c r="T34" s="197">
        <f t="shared" si="29"/>
        <v>2.9671880389190722E-14</v>
      </c>
      <c r="U34" s="60">
        <f t="shared" si="24"/>
        <v>0.40646424476301307</v>
      </c>
      <c r="V34" s="60">
        <f t="shared" si="24"/>
        <v>46.992484194670354</v>
      </c>
      <c r="W34" s="60">
        <f t="shared" si="26"/>
        <v>0.40297865726138576</v>
      </c>
      <c r="X34" s="197">
        <f t="shared" ref="X34" si="30">IFERROR(X14/$B34,0)</f>
        <v>1.9423870257040943E-14</v>
      </c>
      <c r="Y34" s="60">
        <f>IFERROR(Y14/$B34,".")</f>
        <v>8.5073370166926541</v>
      </c>
      <c r="Z34" s="60" t="str">
        <f>IFERROR(Z14,".")</f>
        <v>.</v>
      </c>
      <c r="AA34" s="60">
        <f>IFERROR(AA14/$B34,".")</f>
        <v>768181.61233134009</v>
      </c>
      <c r="AB34" s="60">
        <f>IFERROR(AB14/$B34,".")</f>
        <v>2.2883423610927007</v>
      </c>
      <c r="AC34" s="60">
        <f t="shared" si="2"/>
        <v>1.8032819699741687</v>
      </c>
      <c r="AD34" s="197">
        <f>IFERROR(AD14/$B34,".")</f>
        <v>8.6919528839761663E-14</v>
      </c>
      <c r="AE34" s="60">
        <f>IFERROR(AE14/$B34,0)</f>
        <v>0.22727295454568183</v>
      </c>
      <c r="AF34" s="197">
        <f>IFERROR(AF14/$B34,0)</f>
        <v>1.0954725026954165E-14</v>
      </c>
    </row>
    <row r="35" spans="1:32" x14ac:dyDescent="0.25">
      <c r="A35" s="83" t="s">
        <v>1077</v>
      </c>
      <c r="B35" s="42">
        <v>1</v>
      </c>
      <c r="C35" s="42"/>
      <c r="D35" s="60">
        <f>IFERROR(D30/$B35,0)</f>
        <v>5.9436635791315586</v>
      </c>
      <c r="E35" s="60">
        <f>IFERROR(E30/$B35,0)</f>
        <v>298.29123392623904</v>
      </c>
      <c r="F35" s="60">
        <f>IFERROR(F30/$B35,0)</f>
        <v>162.74210532294492</v>
      </c>
      <c r="G35" s="60">
        <f>IFERROR(G30/$B35,0)</f>
        <v>0.10934568943512078</v>
      </c>
      <c r="H35" s="60">
        <f>IFERROR(H30/$B35,0)</f>
        <v>8.5162307174154286E-4</v>
      </c>
      <c r="I35" s="60">
        <f t="shared" si="18"/>
        <v>0.1072610192150921</v>
      </c>
      <c r="J35" s="197">
        <f>IFERROR(J30/$B35,0)</f>
        <v>1.1140352558599434E-5</v>
      </c>
      <c r="K35" s="60">
        <f t="shared" ref="K35:V35" si="31">IFERROR(K30/$B35,0)</f>
        <v>162.74210532294492</v>
      </c>
      <c r="L35" s="60">
        <f t="shared" si="31"/>
        <v>558.0514760229363</v>
      </c>
      <c r="M35" s="60">
        <f t="shared" si="31"/>
        <v>228.57458981013258</v>
      </c>
      <c r="N35" s="60">
        <f t="shared" si="31"/>
        <v>168.26815304189043</v>
      </c>
      <c r="O35" s="60">
        <f t="shared" si="31"/>
        <v>323.88869980939046</v>
      </c>
      <c r="P35" s="197">
        <f t="shared" ref="P35:T35" si="32">IFERROR(P30/$B35,0)</f>
        <v>1.6902733562420134E-2</v>
      </c>
      <c r="Q35" s="197">
        <f t="shared" si="32"/>
        <v>5.7960387046812292E-2</v>
      </c>
      <c r="R35" s="197">
        <f t="shared" si="32"/>
        <v>2.3740232332827176E-2</v>
      </c>
      <c r="S35" s="197">
        <f t="shared" si="32"/>
        <v>1.7476680372689072E-2</v>
      </c>
      <c r="T35" s="197">
        <f t="shared" si="32"/>
        <v>3.3639754050698896E-5</v>
      </c>
      <c r="U35" s="60">
        <f t="shared" si="31"/>
        <v>2.1943755959101223E-4</v>
      </c>
      <c r="V35" s="60">
        <f t="shared" si="31"/>
        <v>42778.961327900404</v>
      </c>
      <c r="W35" s="60">
        <f t="shared" si="26"/>
        <v>2.1943755846539254E-4</v>
      </c>
      <c r="X35" s="197">
        <f t="shared" ref="X35" si="33">IFERROR(X30/$B35,0)</f>
        <v>2.279124125233728E-11</v>
      </c>
      <c r="Y35" s="60">
        <f>IFERROR(Y30/$B35,".")</f>
        <v>0.72794739421184573</v>
      </c>
      <c r="Z35" s="60" t="str">
        <f>IFERROR(Z30,".")</f>
        <v>.</v>
      </c>
      <c r="AA35" s="60">
        <f>IFERROR(AA30/$B35,".")</f>
        <v>686642781.97214758</v>
      </c>
      <c r="AB35" s="60">
        <f>IFERROR(AB30/$B35,".")</f>
        <v>0.21751114979702754</v>
      </c>
      <c r="AC35" s="60">
        <f t="shared" si="2"/>
        <v>0.167470774547958</v>
      </c>
      <c r="AD35" s="197">
        <f>IFERROR(AD30/$B35,".")</f>
        <v>1.7393862983761977E-8</v>
      </c>
      <c r="AE35" s="60">
        <f>IFERROR(AE30/$B35,0)</f>
        <v>2.0992387404601145E-2</v>
      </c>
      <c r="AF35" s="197">
        <f>IFERROR(AF30/$B35,0)</f>
        <v>2.1803130200076763E-9</v>
      </c>
    </row>
    <row r="36" spans="1:32" x14ac:dyDescent="0.25">
      <c r="A36" s="83" t="s">
        <v>1078</v>
      </c>
      <c r="B36" s="42">
        <v>1</v>
      </c>
      <c r="C36" s="42"/>
      <c r="D36" s="60">
        <f>IFERROR(D26/$B36,0)</f>
        <v>2.3203148203148203</v>
      </c>
      <c r="E36" s="60">
        <f>IFERROR(E26/$B36,0)</f>
        <v>48.345930922367131</v>
      </c>
      <c r="F36" s="60">
        <f>IFERROR(F26/$B36,0)</f>
        <v>0.51619761532121611</v>
      </c>
      <c r="G36" s="60">
        <f>IFERROR(G26/$B36,0)</f>
        <v>0.19723118544077048</v>
      </c>
      <c r="H36" s="60">
        <f>IFERROR(H26/$B36,0)</f>
        <v>2.8423598063220915E-4</v>
      </c>
      <c r="I36" s="60">
        <f t="shared" si="18"/>
        <v>0.13406452208605307</v>
      </c>
      <c r="J36" s="197">
        <f>IFERROR(J26/$B36,0)</f>
        <v>6.3096233926197686E-7</v>
      </c>
      <c r="K36" s="60">
        <f t="shared" ref="K36:V36" si="34">IFERROR(K26/$B36,0)</f>
        <v>0.51619761532121611</v>
      </c>
      <c r="L36" s="60">
        <f t="shared" si="34"/>
        <v>1.7111523159819315</v>
      </c>
      <c r="M36" s="60">
        <f t="shared" si="34"/>
        <v>0.67837058276299422</v>
      </c>
      <c r="N36" s="60">
        <f t="shared" si="34"/>
        <v>0.52163127442986035</v>
      </c>
      <c r="O36" s="60">
        <f t="shared" si="34"/>
        <v>1.6354775930969223</v>
      </c>
      <c r="P36" s="197">
        <f t="shared" ref="P36:T36" si="35">IFERROR(P26/$B36,0)</f>
        <v>2.429436586328694E-6</v>
      </c>
      <c r="Q36" s="197">
        <f t="shared" si="35"/>
        <v>8.0533809491558897E-6</v>
      </c>
      <c r="R36" s="197">
        <f t="shared" si="35"/>
        <v>3.1926887376804187E-6</v>
      </c>
      <c r="S36" s="197">
        <f t="shared" si="35"/>
        <v>2.4550096030268903E-6</v>
      </c>
      <c r="T36" s="197">
        <f t="shared" si="35"/>
        <v>7.6972248279721E-9</v>
      </c>
      <c r="U36" s="60">
        <f t="shared" si="34"/>
        <v>3.5565621416763637E-5</v>
      </c>
      <c r="V36" s="60">
        <f t="shared" si="34"/>
        <v>133.66344726188336</v>
      </c>
      <c r="W36" s="60">
        <f t="shared" si="26"/>
        <v>3.556561195334551E-5</v>
      </c>
      <c r="X36" s="197">
        <f t="shared" ref="X36" si="36">IFERROR(X26/$B36,0)</f>
        <v>1.6738628062212095E-13</v>
      </c>
      <c r="Y36" s="60">
        <f>IFERROR(Y26/$B36,".")</f>
        <v>0.2338109180084405</v>
      </c>
      <c r="Z36" s="60" t="str">
        <f>IFERROR(Z26,".")</f>
        <v>.</v>
      </c>
      <c r="AA36" s="60">
        <f>IFERROR(AA26/$B36,".")</f>
        <v>2148759.7547729798</v>
      </c>
      <c r="AB36" s="60">
        <f>IFERROR(AB26/$B36,".")</f>
        <v>7.6948898526912654E-2</v>
      </c>
      <c r="AC36" s="60">
        <f t="shared" si="2"/>
        <v>5.7895169073491577E-2</v>
      </c>
      <c r="AD36" s="197">
        <f>IFERROR(AD26/$B36,".")</f>
        <v>2.7247828688883336E-10</v>
      </c>
      <c r="AE36" s="60">
        <f>IFERROR(AE26/$B36,0)</f>
        <v>7.0063764331280247E-3</v>
      </c>
      <c r="AF36" s="197">
        <f>IFERROR(AF26/$B36,0)</f>
        <v>3.2974866095885208E-11</v>
      </c>
    </row>
    <row r="37" spans="1:32" x14ac:dyDescent="0.25">
      <c r="A37" s="83" t="s">
        <v>1079</v>
      </c>
      <c r="B37" s="42">
        <v>1</v>
      </c>
      <c r="C37" s="42"/>
      <c r="D37" s="60">
        <f>IFERROR(D22/$B37,0)</f>
        <v>3.6841639895075011</v>
      </c>
      <c r="E37" s="60">
        <f>IFERROR(E22/$B37,0)</f>
        <v>322.76208479996166</v>
      </c>
      <c r="F37" s="60">
        <f>IFERROR(F22/$B37,0)</f>
        <v>18.950275744105827</v>
      </c>
      <c r="G37" s="60">
        <f>IFERROR(G22/$B37,0)</f>
        <v>2.2954562738846787E-2</v>
      </c>
      <c r="H37" s="60">
        <f>IFERROR(H22/$B37,0)</f>
        <v>5.3765119228020282E-4</v>
      </c>
      <c r="I37" s="60">
        <f t="shared" si="18"/>
        <v>2.2783390511645962E-2</v>
      </c>
      <c r="J37" s="197">
        <f>IFERROR(J22/$B37,0)</f>
        <v>5.8593886776115281E-13</v>
      </c>
      <c r="K37" s="60">
        <f t="shared" ref="K37:V37" si="37">IFERROR(K22/$B37,0)</f>
        <v>18.950275744105827</v>
      </c>
      <c r="L37" s="60">
        <f t="shared" si="37"/>
        <v>26.026770520397445</v>
      </c>
      <c r="M37" s="60">
        <f t="shared" si="37"/>
        <v>19.059604258014129</v>
      </c>
      <c r="N37" s="60">
        <f t="shared" si="37"/>
        <v>18.986578954343578</v>
      </c>
      <c r="O37" s="60">
        <f t="shared" si="37"/>
        <v>13.09246263430297</v>
      </c>
      <c r="P37" s="197">
        <f t="shared" ref="P37:T37" si="38">IFERROR(P22/$B37,0)</f>
        <v>4.8735955728745615E-10</v>
      </c>
      <c r="Q37" s="197">
        <f t="shared" si="38"/>
        <v>6.6935149280813962E-10</v>
      </c>
      <c r="R37" s="197">
        <f t="shared" si="38"/>
        <v>4.9017124704103759E-10</v>
      </c>
      <c r="S37" s="197">
        <f t="shared" si="38"/>
        <v>4.8829319628609115E-10</v>
      </c>
      <c r="T37" s="197">
        <f t="shared" si="38"/>
        <v>3.3670944314575907E-13</v>
      </c>
      <c r="U37" s="60">
        <f t="shared" si="37"/>
        <v>2.3743950931700761E-4</v>
      </c>
      <c r="V37" s="60">
        <f t="shared" si="37"/>
        <v>2174.1459459686093</v>
      </c>
      <c r="W37" s="60">
        <f t="shared" si="26"/>
        <v>2.374394833861291E-4</v>
      </c>
      <c r="X37" s="197">
        <f t="shared" ref="X37" si="39">IFERROR(X22/$B37,0)</f>
        <v>6.1064230973851912E-18</v>
      </c>
      <c r="Y37" s="60">
        <f>IFERROR(Y22/$B37,".")</f>
        <v>0.45702846109093226</v>
      </c>
      <c r="Z37" s="60" t="str">
        <f>IFERROR(Z22,".")</f>
        <v>.</v>
      </c>
      <c r="AA37" s="60">
        <f>IFERROR(AA22/$B37,".")</f>
        <v>33859244.620665126</v>
      </c>
      <c r="AB37" s="60">
        <f>IFERROR(AB22/$B37,".")</f>
        <v>0.12005446279717383</v>
      </c>
      <c r="AC37" s="60">
        <f t="shared" si="2"/>
        <v>9.5078720845769266E-2</v>
      </c>
      <c r="AD37" s="197">
        <f>IFERROR(AD22/$B37,".")</f>
        <v>2.4452163084362645E-15</v>
      </c>
      <c r="AE37" s="60">
        <f>IFERROR(AE22/$B37,0)</f>
        <v>1.3253025301218071E-2</v>
      </c>
      <c r="AF37" s="197">
        <f>IFERROR(AF22/$B37,0)</f>
        <v>3.408387630206413E-16</v>
      </c>
    </row>
    <row r="38" spans="1:32" x14ac:dyDescent="0.25">
      <c r="A38" s="83" t="s">
        <v>1080</v>
      </c>
      <c r="B38" s="42">
        <v>1</v>
      </c>
      <c r="C38" s="42"/>
      <c r="D38" s="60">
        <f>IFERROR(D2/$B38,0)</f>
        <v>1.8281268281268279</v>
      </c>
      <c r="E38" s="60">
        <f>IFERROR(E2/$B38,0)</f>
        <v>295.58652066524985</v>
      </c>
      <c r="F38" s="60">
        <f>IFERROR(F2/$B38,0)</f>
        <v>2.8076470861663871</v>
      </c>
      <c r="G38" s="60">
        <f>IFERROR(G2/$B38,0)</f>
        <v>0.16717039687521798</v>
      </c>
      <c r="H38" s="60">
        <f>IFERROR(H2/$B38,0)</f>
        <v>3.0398534713390219E-4</v>
      </c>
      <c r="I38" s="60">
        <f t="shared" si="18"/>
        <v>0.14516987355287475</v>
      </c>
      <c r="J38" s="197">
        <f>IFERROR(J2/$B38,0)</f>
        <v>2.5056717900907147E-12</v>
      </c>
      <c r="K38" s="60">
        <f t="shared" ref="K38:V38" si="40">IFERROR(K2/$B38,0)</f>
        <v>2.8076470861663871</v>
      </c>
      <c r="L38" s="60">
        <f t="shared" si="40"/>
        <v>10.023254666431377</v>
      </c>
      <c r="M38" s="60">
        <f t="shared" si="40"/>
        <v>3.8714821149091199</v>
      </c>
      <c r="N38" s="60">
        <f t="shared" si="40"/>
        <v>2.8811029692346941</v>
      </c>
      <c r="O38" s="60">
        <f t="shared" si="40"/>
        <v>9.6223244797741234</v>
      </c>
      <c r="P38" s="197">
        <f t="shared" ref="P38:T38" si="41">IFERROR(P2/$B38,0)</f>
        <v>4.8460757925611613E-11</v>
      </c>
      <c r="Q38" s="197">
        <f t="shared" si="41"/>
        <v>1.7300412163977446E-10</v>
      </c>
      <c r="R38" s="197">
        <f t="shared" si="41"/>
        <v>6.6822841983362898E-11</v>
      </c>
      <c r="S38" s="197">
        <f t="shared" si="41"/>
        <v>4.9728626592270069E-11</v>
      </c>
      <c r="T38" s="197">
        <f t="shared" si="41"/>
        <v>1.6608395677418348E-13</v>
      </c>
      <c r="U38" s="60">
        <f t="shared" si="40"/>
        <v>2.1744784078643056E-4</v>
      </c>
      <c r="V38" s="60">
        <f t="shared" si="40"/>
        <v>778.94571306811849</v>
      </c>
      <c r="W38" s="60">
        <f t="shared" si="26"/>
        <v>2.1744778008444645E-4</v>
      </c>
      <c r="X38" s="197">
        <f t="shared" ref="X38" si="42">IFERROR(X2/$B38,0)</f>
        <v>3.7532082589918152E-18</v>
      </c>
      <c r="Y38" s="60">
        <f>IFERROR(Y2/$B38,".")</f>
        <v>0.27636358997475158</v>
      </c>
      <c r="Z38" s="60" t="str">
        <f>IFERROR(Z2,".")</f>
        <v>.</v>
      </c>
      <c r="AA38" s="60">
        <f>IFERROR(AA2/$B38,".")</f>
        <v>12580251.583727166</v>
      </c>
      <c r="AB38" s="60">
        <f>IFERROR(AB2/$B38,".")</f>
        <v>8.1993723167205504E-2</v>
      </c>
      <c r="AC38" s="60">
        <f t="shared" si="2"/>
        <v>6.323319978406626E-2</v>
      </c>
      <c r="AD38" s="197">
        <f>IFERROR(AD2/$B38,".")</f>
        <v>1.0914223524373081E-15</v>
      </c>
      <c r="AE38" s="60">
        <f>IFERROR(AE2/$B38,0)</f>
        <v>7.4931955040946855E-3</v>
      </c>
      <c r="AF38" s="197">
        <f>IFERROR(AF2/$B38,0)</f>
        <v>1.2933460733094936E-16</v>
      </c>
    </row>
    <row r="39" spans="1:32" x14ac:dyDescent="0.25">
      <c r="A39" s="83" t="s">
        <v>1081</v>
      </c>
      <c r="B39" s="42">
        <v>1</v>
      </c>
      <c r="C39" s="42"/>
      <c r="D39" s="60">
        <f>IFERROR(D11/$B39,0)</f>
        <v>0</v>
      </c>
      <c r="E39" s="60">
        <f>IFERROR(E11/$B39,0)</f>
        <v>0</v>
      </c>
      <c r="F39" s="60">
        <f>IFERROR(F11/$B39,0)</f>
        <v>1.103674188660061</v>
      </c>
      <c r="G39" s="60">
        <f>IFERROR(G11/$B39,0)</f>
        <v>0</v>
      </c>
      <c r="H39" s="60">
        <f>IFERROR(H11/$B39,0)</f>
        <v>0</v>
      </c>
      <c r="I39" s="60">
        <f t="shared" si="18"/>
        <v>1.103674188660061</v>
      </c>
      <c r="J39" s="197">
        <f>IFERROR(J11/$B39,0)</f>
        <v>6.3669569652205957E-15</v>
      </c>
      <c r="K39" s="60">
        <f t="shared" ref="K39:V39" si="43">IFERROR(K11/$B39,0)</f>
        <v>1.103674188660061</v>
      </c>
      <c r="L39" s="60">
        <f t="shared" si="43"/>
        <v>4.5214389663172208</v>
      </c>
      <c r="M39" s="60">
        <f t="shared" si="43"/>
        <v>1.6387225883213208</v>
      </c>
      <c r="N39" s="60">
        <f t="shared" si="43"/>
        <v>1.1457796779384217</v>
      </c>
      <c r="O39" s="60">
        <f t="shared" si="43"/>
        <v>4.5884232472996977</v>
      </c>
      <c r="P39" s="197">
        <f t="shared" ref="P39:T39" si="44">IFERROR(P11/$B39,0)</f>
        <v>6.3669569652205957E-15</v>
      </c>
      <c r="Q39" s="197">
        <f t="shared" si="44"/>
        <v>2.6083610195109925E-14</v>
      </c>
      <c r="R39" s="197">
        <f t="shared" si="44"/>
        <v>9.4535835892329624E-15</v>
      </c>
      <c r="S39" s="197">
        <f t="shared" si="44"/>
        <v>6.6098582136047338E-15</v>
      </c>
      <c r="T39" s="197">
        <f t="shared" si="44"/>
        <v>2.647003404985229E-17</v>
      </c>
      <c r="U39" s="60">
        <f t="shared" si="43"/>
        <v>0</v>
      </c>
      <c r="V39" s="60">
        <f t="shared" si="43"/>
        <v>348.039573924053</v>
      </c>
      <c r="W39" s="60">
        <f t="shared" si="26"/>
        <v>348.039573924053</v>
      </c>
      <c r="X39" s="197">
        <f t="shared" ref="X39" si="45">IFERROR(X11/$B39,0)</f>
        <v>2.0077963334980971E-15</v>
      </c>
      <c r="Y39" s="60" t="str">
        <f>IFERROR(Y11/$B39,".")</f>
        <v>.</v>
      </c>
      <c r="Z39" s="60" t="str">
        <f>IFERROR(Z11,".")</f>
        <v>.</v>
      </c>
      <c r="AA39" s="60">
        <f>IFERROR(AA11/$B39,".")</f>
        <v>5664011.8881573454</v>
      </c>
      <c r="AB39" s="60" t="str">
        <f>IFERROR(AB11/$B39,".")</f>
        <v>.</v>
      </c>
      <c r="AC39" s="60">
        <f t="shared" si="2"/>
        <v>5664011.8881573454</v>
      </c>
      <c r="AD39" s="197">
        <f>IFERROR(AD11/$B39,".")</f>
        <v>3.267496903789889E-11</v>
      </c>
      <c r="AE39" s="60">
        <f>IFERROR(AE11/$B39,0)</f>
        <v>0</v>
      </c>
      <c r="AF39" s="197">
        <f>IFERROR(AF11/$B39,0)</f>
        <v>0</v>
      </c>
    </row>
    <row r="40" spans="1:32" x14ac:dyDescent="0.25">
      <c r="A40" s="83" t="s">
        <v>1082</v>
      </c>
      <c r="B40" s="42">
        <v>1</v>
      </c>
      <c r="C40" s="42"/>
      <c r="D40" s="60">
        <f>IFERROR(D4/$B40,0)</f>
        <v>0</v>
      </c>
      <c r="E40" s="60">
        <f>IFERROR(E4/$B40,0)</f>
        <v>0</v>
      </c>
      <c r="F40" s="60">
        <f>IFERROR(F4/$B40,0)</f>
        <v>123.5784814734083</v>
      </c>
      <c r="G40" s="60">
        <f>IFERROR(G4/$B40,0)</f>
        <v>0</v>
      </c>
      <c r="H40" s="60">
        <f>IFERROR(H4/$B40,0)</f>
        <v>0</v>
      </c>
      <c r="I40" s="60">
        <f t="shared" si="18"/>
        <v>123.57848147340829</v>
      </c>
      <c r="J40" s="197">
        <f>IFERROR(J4/$B40,0)</f>
        <v>7.6905346796890975E-17</v>
      </c>
      <c r="K40" s="60">
        <f t="shared" ref="K40:V40" si="46">IFERROR(K4/$B40,0)</f>
        <v>123.5784814734083</v>
      </c>
      <c r="L40" s="60">
        <f t="shared" si="46"/>
        <v>533.99753309091307</v>
      </c>
      <c r="M40" s="60">
        <f t="shared" si="46"/>
        <v>193.57410574545597</v>
      </c>
      <c r="N40" s="60">
        <f t="shared" si="46"/>
        <v>131.79513582669344</v>
      </c>
      <c r="O40" s="60">
        <f t="shared" si="46"/>
        <v>544.56012165754657</v>
      </c>
      <c r="P40" s="197">
        <f t="shared" ref="P40:T40" si="47">IFERROR(P4/$B40,0)</f>
        <v>7.6905346796890988E-17</v>
      </c>
      <c r="Q40" s="197">
        <f t="shared" si="47"/>
        <v>3.3231728518915183E-16</v>
      </c>
      <c r="R40" s="197">
        <f t="shared" si="47"/>
        <v>1.2046501588106753E-16</v>
      </c>
      <c r="S40" s="197">
        <f t="shared" si="47"/>
        <v>8.2018734216897045E-17</v>
      </c>
      <c r="T40" s="197">
        <f t="shared" si="47"/>
        <v>3.3889059412695928E-19</v>
      </c>
      <c r="U40" s="60">
        <f t="shared" si="46"/>
        <v>0</v>
      </c>
      <c r="V40" s="60">
        <f t="shared" si="46"/>
        <v>41090.318117588547</v>
      </c>
      <c r="W40" s="60">
        <f t="shared" si="26"/>
        <v>41090.318117588547</v>
      </c>
      <c r="X40" s="197">
        <f t="shared" ref="X40" si="48">IFERROR(X4/$B40,0)</f>
        <v>2.5571322184499455E-17</v>
      </c>
      <c r="Y40" s="60" t="str">
        <f>IFERROR(Y4/$B40,".")</f>
        <v>.</v>
      </c>
      <c r="Z40" s="60" t="str">
        <f>IFERROR(Z4,".")</f>
        <v>.</v>
      </c>
      <c r="AA40" s="60">
        <f>IFERROR(AA4/$B40,".")</f>
        <v>671634196.57384932</v>
      </c>
      <c r="AB40" s="60" t="str">
        <f>IFERROR(AB4/$B40,".")</f>
        <v>.</v>
      </c>
      <c r="AC40" s="60">
        <f t="shared" si="2"/>
        <v>671634196.57384932</v>
      </c>
      <c r="AD40" s="197">
        <f>IFERROR(AD4/$B40,".")</f>
        <v>4.1797131824505959E-13</v>
      </c>
      <c r="AE40" s="60">
        <f>IFERROR(AE4/$B40,0)</f>
        <v>0</v>
      </c>
      <c r="AF40" s="197">
        <f>IFERROR(AF4/$B40,0)</f>
        <v>0</v>
      </c>
    </row>
    <row r="41" spans="1:32" x14ac:dyDescent="0.25">
      <c r="A41" s="83" t="s">
        <v>1083</v>
      </c>
      <c r="B41" s="84">
        <v>0.99987999999999999</v>
      </c>
      <c r="C41" s="84"/>
      <c r="D41" s="60">
        <f>IFERROR(D8/$B41,0)</f>
        <v>749.50839228888003</v>
      </c>
      <c r="E41" s="60">
        <f>IFERROR(E8/$B41,0)</f>
        <v>114110.09018760895</v>
      </c>
      <c r="F41" s="60">
        <f>IFERROR(F8/$B41,0)</f>
        <v>0.21316524034856976</v>
      </c>
      <c r="G41" s="60">
        <f>IFERROR(G8/$B41,0)</f>
        <v>1.1409305998656123</v>
      </c>
      <c r="H41" s="60">
        <f>IFERROR(H8/$B41,0)</f>
        <v>0.1150268159995097</v>
      </c>
      <c r="I41" s="60">
        <f t="shared" si="18"/>
        <v>0.17956490883846069</v>
      </c>
      <c r="J41" s="197">
        <f>IFERROR(J8/$B41,0)</f>
        <v>9.2890936173307627E-15</v>
      </c>
      <c r="K41" s="60">
        <f t="shared" ref="K41:V41" si="49">IFERROR(K8/$B41,0)</f>
        <v>0.21316524034856976</v>
      </c>
      <c r="L41" s="60">
        <f t="shared" si="49"/>
        <v>0.98335155517941397</v>
      </c>
      <c r="M41" s="60">
        <f t="shared" si="49"/>
        <v>0.35199515895626748</v>
      </c>
      <c r="N41" s="60">
        <f t="shared" si="49"/>
        <v>0.23268036798611486</v>
      </c>
      <c r="O41" s="60">
        <f t="shared" si="49"/>
        <v>0.96234792972897998</v>
      </c>
      <c r="P41" s="197">
        <f t="shared" ref="P41:T41" si="50">IFERROR(P8/$B41,0)</f>
        <v>1.1027276355760664E-14</v>
      </c>
      <c r="Q41" s="197">
        <f t="shared" si="50"/>
        <v>5.0869876045919725E-14</v>
      </c>
      <c r="R41" s="197">
        <f t="shared" si="50"/>
        <v>1.8209103357346265E-14</v>
      </c>
      <c r="S41" s="197">
        <f t="shared" si="50"/>
        <v>1.2036815740442978E-14</v>
      </c>
      <c r="T41" s="197">
        <f t="shared" si="50"/>
        <v>4.9783335004162229E-17</v>
      </c>
      <c r="U41" s="60">
        <f t="shared" si="49"/>
        <v>8.394493993635456E-2</v>
      </c>
      <c r="V41" s="60">
        <f t="shared" si="49"/>
        <v>75.341290837146133</v>
      </c>
      <c r="W41" s="60">
        <f t="shared" si="26"/>
        <v>8.3851512943806009E-2</v>
      </c>
      <c r="X41" s="197">
        <f t="shared" ref="X41" si="51">IFERROR(X8/$B41,0)</f>
        <v>4.337732571070166E-18</v>
      </c>
      <c r="Y41" s="60">
        <f>IFERROR(Y8/$B41,".")</f>
        <v>103.09397308487095</v>
      </c>
      <c r="Z41" s="60" t="str">
        <f>IFERROR(Z8,".")</f>
        <v>.</v>
      </c>
      <c r="AA41" s="60">
        <f>IFERROR(AA8/$B41,".")</f>
        <v>1241654.6346472125</v>
      </c>
      <c r="AB41" s="60">
        <f>IFERROR(AB8/$B41,".")</f>
        <v>15.873831989271007</v>
      </c>
      <c r="AC41" s="60">
        <f t="shared" si="2"/>
        <v>13.755639830046917</v>
      </c>
      <c r="AD41" s="197">
        <f>IFERROR(AD8/$B41,".")</f>
        <v>7.1159463713781694E-16</v>
      </c>
      <c r="AE41" s="60">
        <f>IFERROR(AE8/$B41,0)</f>
        <v>2.8353946288015894</v>
      </c>
      <c r="AF41" s="197">
        <f>IFERROR(AF8/$B41,0)</f>
        <v>1.4667813616472829E-16</v>
      </c>
    </row>
    <row r="42" spans="1:32" x14ac:dyDescent="0.25">
      <c r="A42" s="83" t="s">
        <v>1084</v>
      </c>
      <c r="B42" s="42">
        <v>0.97898250799999997</v>
      </c>
      <c r="C42" s="42"/>
      <c r="D42" s="60">
        <f>IFERROR(D19/$B42,0)</f>
        <v>0</v>
      </c>
      <c r="E42" s="60">
        <f>IFERROR(E19/$B42,0)</f>
        <v>0</v>
      </c>
      <c r="F42" s="60">
        <f>IFERROR(F19/$B42,0)</f>
        <v>684.0385458935325</v>
      </c>
      <c r="G42" s="60">
        <f>IFERROR(G19/$B42,0)</f>
        <v>0</v>
      </c>
      <c r="H42" s="60">
        <f>IFERROR(H19/$B42,0)</f>
        <v>0</v>
      </c>
      <c r="I42" s="60">
        <f t="shared" si="18"/>
        <v>684.0385458935325</v>
      </c>
      <c r="J42" s="197">
        <f>IFERROR(J19/$B42,0)</f>
        <v>5.4332650711497601E-20</v>
      </c>
      <c r="K42" s="60">
        <f t="shared" ref="K42:V42" si="52">IFERROR(K19/$B42,0)</f>
        <v>684.0385458935325</v>
      </c>
      <c r="L42" s="60">
        <f t="shared" si="52"/>
        <v>3420.1927294676625</v>
      </c>
      <c r="M42" s="60">
        <f t="shared" si="52"/>
        <v>1214.4638290816074</v>
      </c>
      <c r="N42" s="60">
        <f t="shared" si="52"/>
        <v>778.75157532494461</v>
      </c>
      <c r="O42" s="60">
        <f t="shared" si="52"/>
        <v>3515.1980830639859</v>
      </c>
      <c r="P42" s="197">
        <f t="shared" ref="P42:T42" si="53">IFERROR(P19/$B42,0)</f>
        <v>5.4332650711497601E-20</v>
      </c>
      <c r="Q42" s="197">
        <f t="shared" si="53"/>
        <v>2.7166325355748809E-19</v>
      </c>
      <c r="R42" s="197">
        <f t="shared" si="53"/>
        <v>9.6463919209472697E-20</v>
      </c>
      <c r="S42" s="197">
        <f t="shared" si="53"/>
        <v>6.1855633117704961E-20</v>
      </c>
      <c r="T42" s="197">
        <f t="shared" si="53"/>
        <v>2.7920945504519599E-22</v>
      </c>
      <c r="U42" s="60">
        <f t="shared" si="52"/>
        <v>0</v>
      </c>
      <c r="V42" s="60">
        <f t="shared" si="52"/>
        <v>254268.03247095182</v>
      </c>
      <c r="W42" s="60">
        <f t="shared" si="26"/>
        <v>254268.03247095182</v>
      </c>
      <c r="X42" s="197">
        <f t="shared" ref="X42" si="54">IFERROR(X19/$B42,0)</f>
        <v>2.0196312442156157E-20</v>
      </c>
      <c r="Y42" s="60" t="str">
        <f>IFERROR(Y19/$B42,".")</f>
        <v>.</v>
      </c>
      <c r="Z42" s="60" t="str">
        <f>IFERROR(Z19,".")</f>
        <v>.</v>
      </c>
      <c r="AA42" s="60">
        <f>IFERROR(AA19/$B42,".")</f>
        <v>4198921637.1349845</v>
      </c>
      <c r="AB42" s="60" t="str">
        <f>IFERROR(AB19/$B42,".")</f>
        <v>.</v>
      </c>
      <c r="AC42" s="60">
        <f t="shared" si="2"/>
        <v>4198921637.1349845</v>
      </c>
      <c r="AD42" s="197">
        <f>IFERROR(AD19/$B42,".")</f>
        <v>3.3351708620074395E-16</v>
      </c>
      <c r="AE42" s="60">
        <f>IFERROR(AE19/$B42,0)</f>
        <v>0</v>
      </c>
      <c r="AF42" s="197">
        <f>IFERROR(AF19/$B42,0)</f>
        <v>0</v>
      </c>
    </row>
    <row r="43" spans="1:32" x14ac:dyDescent="0.25">
      <c r="A43" s="83" t="s">
        <v>1085</v>
      </c>
      <c r="B43" s="42">
        <v>2.0897492E-2</v>
      </c>
      <c r="C43" s="42"/>
      <c r="D43" s="60">
        <f>IFERROR(D28/$B43,0)</f>
        <v>0</v>
      </c>
      <c r="E43" s="60">
        <f>IFERROR(E28/$B43,0)</f>
        <v>0</v>
      </c>
      <c r="F43" s="60">
        <f>IFERROR(F28/$B43,0)</f>
        <v>0.53650131396049339</v>
      </c>
      <c r="G43" s="60">
        <f>IFERROR(G28/$B43,0)</f>
        <v>0</v>
      </c>
      <c r="H43" s="60">
        <f>IFERROR(H28/$B43,0)</f>
        <v>0</v>
      </c>
      <c r="I43" s="60">
        <f t="shared" si="18"/>
        <v>0.53650131396049339</v>
      </c>
      <c r="J43" s="197">
        <f>IFERROR(J28/$B43,0)</f>
        <v>1.2908462508695599E-15</v>
      </c>
      <c r="K43" s="60">
        <f t="shared" ref="K43:V43" si="55">IFERROR(K28/$B43,0)</f>
        <v>0.53650131396049339</v>
      </c>
      <c r="L43" s="60">
        <f t="shared" si="55"/>
        <v>2.9060487839526727</v>
      </c>
      <c r="M43" s="60">
        <f t="shared" si="55"/>
        <v>1.0116620340040019</v>
      </c>
      <c r="N43" s="60">
        <f t="shared" si="55"/>
        <v>0.63574686533656322</v>
      </c>
      <c r="O43" s="60">
        <f t="shared" si="55"/>
        <v>2.9828123367363282</v>
      </c>
      <c r="P43" s="197">
        <f t="shared" ref="P43:T43" si="56">IFERROR(P28/$B43,0)</f>
        <v>1.2908462508695599E-15</v>
      </c>
      <c r="Q43" s="197">
        <f t="shared" si="56"/>
        <v>6.9920838588767827E-15</v>
      </c>
      <c r="R43" s="197">
        <f t="shared" si="56"/>
        <v>2.4341042785168321E-15</v>
      </c>
      <c r="S43" s="197">
        <f t="shared" si="56"/>
        <v>1.5296355037113819E-15</v>
      </c>
      <c r="T43" s="197">
        <f t="shared" si="56"/>
        <v>7.1767804136395661E-18</v>
      </c>
      <c r="U43" s="60">
        <f t="shared" si="55"/>
        <v>0</v>
      </c>
      <c r="V43" s="60">
        <f t="shared" si="55"/>
        <v>200.46463193919158</v>
      </c>
      <c r="W43" s="60">
        <f t="shared" si="26"/>
        <v>200.46463193919161</v>
      </c>
      <c r="X43" s="197">
        <f t="shared" ref="X43" si="57">IFERROR(X28/$B43,0)</f>
        <v>4.8232690552125429E-16</v>
      </c>
      <c r="Y43" s="60" t="str">
        <f>IFERROR(Y28/$B43,".")</f>
        <v>.</v>
      </c>
      <c r="Z43" s="60" t="str">
        <f>IFERROR(Z28,".")</f>
        <v>.</v>
      </c>
      <c r="AA43" s="60">
        <f>IFERROR(AA28/$B43,".")</f>
        <v>3304225.8166247518</v>
      </c>
      <c r="AB43" s="60" t="str">
        <f>IFERROR(AB28/$B43,".")</f>
        <v>.</v>
      </c>
      <c r="AC43" s="60">
        <f t="shared" si="2"/>
        <v>3304225.8166247518</v>
      </c>
      <c r="AD43" s="197">
        <f>IFERROR(AD28/$B43,".")</f>
        <v>7.9501156780588109E-12</v>
      </c>
      <c r="AE43" s="60">
        <f>IFERROR(AE28/$B43,0)</f>
        <v>0</v>
      </c>
      <c r="AF43" s="197">
        <f>IFERROR(AF28/$B43,0)</f>
        <v>0</v>
      </c>
    </row>
    <row r="44" spans="1:32" x14ac:dyDescent="0.25">
      <c r="A44" s="83" t="s">
        <v>1086</v>
      </c>
      <c r="B44" s="42">
        <v>0.99987999999999999</v>
      </c>
      <c r="C44" s="42"/>
      <c r="D44" s="60">
        <f>IFERROR(D15/$B44,0)</f>
        <v>1428.0574101598779</v>
      </c>
      <c r="E44" s="60">
        <f>IFERROR(E15/$B44,0)</f>
        <v>40608573.020501412</v>
      </c>
      <c r="F44" s="60">
        <f>IFERROR(F15/$B44,0)</f>
        <v>239.42472647846603</v>
      </c>
      <c r="G44" s="60">
        <f>IFERROR(G15/$B44,0)</f>
        <v>13.531241303764102</v>
      </c>
      <c r="H44" s="60">
        <f>IFERROR(H15/$B44,0)</f>
        <v>0.23689174420281192</v>
      </c>
      <c r="I44" s="60">
        <f t="shared" si="18"/>
        <v>12.693576334357527</v>
      </c>
      <c r="J44" s="197">
        <f>IFERROR(J15/$B44,0)</f>
        <v>2.7584700539871193E-12</v>
      </c>
      <c r="K44" s="60">
        <f t="shared" ref="K44:V44" si="58">IFERROR(K15/$B44,0)</f>
        <v>239.42472647846603</v>
      </c>
      <c r="L44" s="60">
        <f t="shared" si="58"/>
        <v>697.94280215522406</v>
      </c>
      <c r="M44" s="60">
        <f t="shared" si="58"/>
        <v>308.67537606528691</v>
      </c>
      <c r="N44" s="60">
        <f t="shared" si="58"/>
        <v>243.1244463136741</v>
      </c>
      <c r="O44" s="60">
        <f t="shared" si="58"/>
        <v>227.55242599193051</v>
      </c>
      <c r="P44" s="197">
        <f t="shared" ref="P44:T44" si="59">IFERROR(P15/$B44,0)</f>
        <v>5.2029933942831022E-11</v>
      </c>
      <c r="Q44" s="197">
        <f t="shared" si="59"/>
        <v>1.5167154381306886E-10</v>
      </c>
      <c r="R44" s="197">
        <f t="shared" si="59"/>
        <v>6.7078950711048956E-11</v>
      </c>
      <c r="S44" s="197">
        <f t="shared" si="59"/>
        <v>5.283392850706903E-11</v>
      </c>
      <c r="T44" s="197">
        <f t="shared" si="59"/>
        <v>4.9449937218393117E-14</v>
      </c>
      <c r="U44" s="60">
        <f t="shared" si="58"/>
        <v>29.873644105464255</v>
      </c>
      <c r="V44" s="60">
        <f t="shared" si="58"/>
        <v>23531.252480642906</v>
      </c>
      <c r="W44" s="60">
        <f t="shared" si="26"/>
        <v>29.835766687915751</v>
      </c>
      <c r="X44" s="197">
        <f t="shared" ref="X44" si="60">IFERROR(X15/$B44,0)</f>
        <v>6.483678577139752E-15</v>
      </c>
      <c r="Y44" s="60">
        <f>IFERROR(Y15/$B44,".")</f>
        <v>216.95659466401412</v>
      </c>
      <c r="Z44" s="60" t="str">
        <f>IFERROR(Z15,".")</f>
        <v>.</v>
      </c>
      <c r="AA44" s="60">
        <f>IFERROR(AA15/$B44,".")</f>
        <v>617707582.06067348</v>
      </c>
      <c r="AB44" s="60">
        <f>IFERROR(AB15/$B44,".")</f>
        <v>55.555552639131406</v>
      </c>
      <c r="AC44" s="60">
        <f t="shared" si="2"/>
        <v>44.22974451415368</v>
      </c>
      <c r="AD44" s="197">
        <f>IFERROR(AD15/$B44,".")</f>
        <v>9.6116667615225876E-15</v>
      </c>
      <c r="AE44" s="60">
        <f>IFERROR(AE15/$B44,0)</f>
        <v>5.8393477493366079</v>
      </c>
      <c r="AF44" s="197">
        <f>IFERROR(AF15/$B44,0)</f>
        <v>1.2689619912525142E-15</v>
      </c>
    </row>
    <row r="45" spans="1:32" x14ac:dyDescent="0.25">
      <c r="A45" s="180" t="s">
        <v>20</v>
      </c>
      <c r="B45" s="57" t="s">
        <v>1255</v>
      </c>
      <c r="C45" s="57"/>
      <c r="D45" s="58">
        <f>IFERROR(IF(AND(D46&lt;&gt;0,D47&lt;&gt;0),1/SUM(1/D46,1/D47),IF(AND(D46&lt;&gt;0,D47=0),1/(1/D46),IF(AND(D46=0,D47&lt;&gt;0),1/(1/D47),IF(AND(D46=0,D47=0),".")))),".")</f>
        <v>20.983716635890548</v>
      </c>
      <c r="E45" s="58">
        <f t="shared" ref="E45:H45" si="61">IFERROR(IF(AND(E46&lt;&gt;0,E47&lt;&gt;0),1/SUM(1/E46,1/E47),IF(AND(E46&lt;&gt;0,E47=0),1/(1/E46),IF(AND(E46=0,E47&lt;&gt;0),1/(1/E47),IF(AND(E46=0,E47=0),".")))),".")</f>
        <v>75063.419063675305</v>
      </c>
      <c r="F45" s="58">
        <f t="shared" si="61"/>
        <v>4.5638082629186782E-2</v>
      </c>
      <c r="G45" s="58">
        <f t="shared" si="61"/>
        <v>8.9501348354362797E-2</v>
      </c>
      <c r="H45" s="58">
        <f t="shared" si="61"/>
        <v>2.2091608395671705E-3</v>
      </c>
      <c r="I45" s="59">
        <f>IFERROR(IF(AND(I46&lt;&gt;0,I47&lt;&gt;0),1/SUM(1/I46,1/I47),IF(AND(I46&lt;&gt;0,I47=0),1/(1/I46),IF(AND(I46=0,I47&lt;&gt;0),1/(1/I47),IF(AND(I46=0,I47=0),".")))),".")</f>
        <v>3.0182109243915817E-2</v>
      </c>
      <c r="J45" s="199"/>
      <c r="K45" s="58">
        <f t="shared" ref="K45:W45" si="62">IFERROR(IF(AND(K46&lt;&gt;0,K47&lt;&gt;0),1/SUM(1/K46,1/K47),IF(AND(K46&lt;&gt;0,K47=0),1/(1/K46),IF(AND(K46=0,K47&lt;&gt;0),1/(1/K47),IF(AND(K46=0,K47=0),".")))),".")</f>
        <v>4.5638082629186782E-2</v>
      </c>
      <c r="L45" s="58">
        <f t="shared" si="62"/>
        <v>0.22387238578447849</v>
      </c>
      <c r="M45" s="58">
        <f t="shared" si="62"/>
        <v>7.9394788611210645E-2</v>
      </c>
      <c r="N45" s="58">
        <f t="shared" si="62"/>
        <v>5.1202580507037306E-2</v>
      </c>
      <c r="O45" s="58">
        <f t="shared" si="62"/>
        <v>0.22848742628342236</v>
      </c>
      <c r="P45" s="198"/>
      <c r="Q45" s="198"/>
      <c r="R45" s="198"/>
      <c r="S45" s="198"/>
      <c r="T45" s="198"/>
      <c r="U45" s="58">
        <f t="shared" si="62"/>
        <v>5.5220306936554081E-2</v>
      </c>
      <c r="V45" s="58">
        <f t="shared" si="62"/>
        <v>16.835603081375297</v>
      </c>
      <c r="W45" s="59">
        <f t="shared" si="62"/>
        <v>5.5039778005070664E-2</v>
      </c>
      <c r="X45" s="199"/>
      <c r="Y45" s="58">
        <f>IFERROR(IF(AND(Y46&lt;&gt;".",Y47&lt;&gt;"."),1/SUM(1/Y46,1/Y47),IF(AND(Y46&lt;&gt;".",Y47="."),1/(1/Y46),IF(AND(Y46=".",Y47&lt;&gt;"."),1/(1/Y47),IF(AND(Y46=".",Y47="."),".")))),".")</f>
        <v>1.7138567290909963</v>
      </c>
      <c r="Z45" s="58" t="str">
        <f t="shared" ref="Z45:AC45" si="63">IFERROR(IF(AND(Z46&lt;&gt;".",Z47&lt;&gt;"."),1/SUM(1/Z46,1/Z47),IF(AND(Z46&lt;&gt;".",Z47="."),1/(1/Z46),IF(AND(Z46=".",Z47&lt;&gt;"."),1/(1/Z47),IF(AND(Z46=".",Z47="."),".")))),".")</f>
        <v>.</v>
      </c>
      <c r="AA45" s="58">
        <f t="shared" si="63"/>
        <v>278087.802780036</v>
      </c>
      <c r="AB45" s="58">
        <f t="shared" si="63"/>
        <v>0.48735717871165074</v>
      </c>
      <c r="AC45" s="59">
        <f t="shared" si="63"/>
        <v>0.37945391746022011</v>
      </c>
      <c r="AD45" s="199"/>
      <c r="AE45" s="59">
        <f t="shared" ref="AE45" si="64">IFERROR(IF(AND(AE46&lt;&gt;0,AE47&lt;&gt;0),1/SUM(1/AE46,1/AE47),IF(AND(AE46&lt;&gt;0,AE47=0),1/(1/AE46),IF(AND(AE46=0,AE47&lt;&gt;0),1/(1/AE47),IF(AND(AE46=0,AE47=0),".")))),".")</f>
        <v>5.4455500000054446E-2</v>
      </c>
      <c r="AF45" s="199"/>
    </row>
    <row r="46" spans="1:32" x14ac:dyDescent="0.25">
      <c r="A46" s="83" t="s">
        <v>1098</v>
      </c>
      <c r="B46" s="42">
        <v>1</v>
      </c>
      <c r="C46" s="42"/>
      <c r="D46" s="60">
        <f>IFERROR(D10/$B46,0)</f>
        <v>20.983716635890548</v>
      </c>
      <c r="E46" s="60">
        <f>IFERROR(E10/$B46,0)</f>
        <v>75063.419063675305</v>
      </c>
      <c r="F46" s="60">
        <f>IFERROR(F10/$B46,0)</f>
        <v>209.53476139888679</v>
      </c>
      <c r="G46" s="60">
        <f>IFERROR(G10/$B46,0)</f>
        <v>8.9501348354362797E-2</v>
      </c>
      <c r="H46" s="60">
        <f>IFERROR(H10/$B46,0)</f>
        <v>2.2091608395671705E-3</v>
      </c>
      <c r="I46" s="60">
        <f>(IF(AND(D46&lt;&gt;0,E46&lt;&gt;0,F46&lt;&gt;0,G46&lt;&gt;0),1/((1/D46)+(1/E46)+(1/F46)+(1/G46)),IF(AND(D46&lt;&gt;0,E46&lt;&gt;0,F46&lt;&gt;0,G46=0), 1/((1/D46)+(1/E46)+(1/F46)),IF(AND(D46&lt;&gt;0,E46&lt;&gt;0,F46=0,G46&lt;&gt;0),1/((1/D46)+(1/E46)+(1/G46)),IF(AND(D46&lt;&gt;0,E46=0,F46&lt;&gt;0,G46&lt;&gt;0),1/((1/D46)+(1/F46)+(1/G46)),IF(AND(D46=0,E46&lt;&gt;0,F46&lt;&gt;0,G46&lt;&gt;0),1/((1/E46)+(1/F46)+(1/G46)),IF(AND(D46&lt;&gt;0,E46&lt;&gt;0,F46=0,G46=0),1/((1/D46)+(1/E46)),IF(AND(D46&lt;&gt;0,E46=0,F46&lt;&gt;0,G46=0),1/((1/D46)+(1/F46)),IF(AND(D46&lt;&gt;0,E46=0,F46=0,G46&lt;&gt;0),1/((1/D46)+(1/G46)),IF(AND(D46=0,E46=0,F46&lt;&gt;0,G46&lt;&gt;0),1/((1/F46)+(1/G46)),IF(AND(D46=0,E46&lt;&gt;0,F46=0,G46&lt;&gt;0),1/((1/E46)+(1/G46)),IF(AND(D46=0,E46&lt;&gt;0,F46&lt;&gt;0,G46=0),1/((1/E46)+(1/F46)),IF(AND(D46&lt;&gt;0,E46=0,F46=0,G46=0),1/((1/D46)),IF(AND(D46=0,E46&lt;&gt;0,F46=0,G46=0),1/((1/E46)),IF(AND(D46=0,E46=0,F46&lt;&gt;0,G46=0),1/((1/F46)),IF(AND(D46=0,E46=0,F46=0,G46&lt;&gt;0),1/((1/G46)),IF(AND(D46=0,E46=0,F46=0,G46=0),0)))))))))))))))))</f>
        <v>8.9083226272385657E-2</v>
      </c>
      <c r="J46" s="197">
        <f>IFERROR(J10/$B46,0)</f>
        <v>1.0308799635500546E-9</v>
      </c>
      <c r="K46" s="60">
        <f t="shared" ref="K46:V46" si="65">IFERROR(K10/$B46,0)</f>
        <v>209.53476139888679</v>
      </c>
      <c r="L46" s="60">
        <f t="shared" si="65"/>
        <v>601.39527998588267</v>
      </c>
      <c r="M46" s="60">
        <f t="shared" si="65"/>
        <v>272.87979664557673</v>
      </c>
      <c r="N46" s="60">
        <f t="shared" si="65"/>
        <v>213.59901323636527</v>
      </c>
      <c r="O46" s="60">
        <f t="shared" si="65"/>
        <v>209.09270494023943</v>
      </c>
      <c r="P46" s="197">
        <f t="shared" ref="P46:T46" si="66">IFERROR(P10/$B46,0)</f>
        <v>2.4247571201887629E-6</v>
      </c>
      <c r="Q46" s="197">
        <f t="shared" si="66"/>
        <v>6.9594060549107111E-6</v>
      </c>
      <c r="R46" s="197">
        <f t="shared" si="66"/>
        <v>3.1577921746951687E-6</v>
      </c>
      <c r="S46" s="197">
        <f t="shared" si="66"/>
        <v>2.471789047088977E-6</v>
      </c>
      <c r="T46" s="197">
        <f t="shared" si="66"/>
        <v>2.4196415988381548E-9</v>
      </c>
      <c r="U46" s="60">
        <f t="shared" si="65"/>
        <v>5.5220306936554081E-2</v>
      </c>
      <c r="V46" s="60">
        <f t="shared" si="65"/>
        <v>24713.31363043455</v>
      </c>
      <c r="W46" s="60">
        <f>IFERROR(IF(AND(U46&lt;&gt;0,V46&lt;&gt;0),1/((1/U46)+(1/V46)),IF(AND(U46&lt;&gt;0,V46=0),1/((1/U46)),IF(AND(U46=0,V46&lt;&gt;0),1/((1/V46)),IF(AND(U46=0,V46=0),0)))),0)</f>
        <v>5.5220183550611986E-2</v>
      </c>
      <c r="X46" s="197">
        <f t="shared" ref="X46" si="67">IFERROR(X10/$B46,0)</f>
        <v>6.3901346176915624E-13</v>
      </c>
      <c r="Y46" s="60">
        <f>IFERROR(Y10/$B46,".")</f>
        <v>1.7138567290909961</v>
      </c>
      <c r="Z46" s="60" t="str">
        <f>IFERROR(Z10,".")</f>
        <v>.</v>
      </c>
      <c r="AA46" s="60">
        <f>IFERROR(AA10/$B46,".")</f>
        <v>640151343.6094501</v>
      </c>
      <c r="AB46" s="60">
        <f>IFERROR(AB10/$B46,".")</f>
        <v>0.48735717871165074</v>
      </c>
      <c r="AC46" s="60">
        <f t="shared" si="2"/>
        <v>0.379454435005117</v>
      </c>
      <c r="AD46" s="197">
        <f>IFERROR(AD10/$B46,".")</f>
        <v>4.3910845003627636E-12</v>
      </c>
      <c r="AE46" s="60">
        <f>IFERROR(AE10/$B46,0)</f>
        <v>5.4455500000054453E-2</v>
      </c>
      <c r="AF46" s="197">
        <f>IFERROR(AF10/$B46,0)</f>
        <v>6.3016446759021015E-13</v>
      </c>
    </row>
    <row r="47" spans="1:32" x14ac:dyDescent="0.25">
      <c r="A47" s="83" t="s">
        <v>1072</v>
      </c>
      <c r="B47" s="85">
        <v>0.94399</v>
      </c>
      <c r="C47" s="85"/>
      <c r="D47" s="60">
        <f>IFERROR(D6/$B$47,0)</f>
        <v>0</v>
      </c>
      <c r="E47" s="60">
        <f>IFERROR(E6/$B$47,0)</f>
        <v>0</v>
      </c>
      <c r="F47" s="60">
        <f>IFERROR(F6/$B$47,0)</f>
        <v>4.5648025076570668E-2</v>
      </c>
      <c r="G47" s="60">
        <f>IFERROR(G6/$B$47,0)</f>
        <v>0</v>
      </c>
      <c r="H47" s="60">
        <f>IFERROR(H6/$B$47,0)</f>
        <v>0</v>
      </c>
      <c r="I47" s="60">
        <f>(IF(AND(D47&lt;&gt;0,E47&lt;&gt;0,F47&lt;&gt;0,G47&lt;&gt;0),1/((1/D47)+(1/E47)+(1/F47)+(1/G47)),IF(AND(D47&lt;&gt;0,E47&lt;&gt;0,F47&lt;&gt;0,G47=0), 1/((1/D47)+(1/E47)+(1/F47)),IF(AND(D47&lt;&gt;0,E47&lt;&gt;0,F47=0,G47&lt;&gt;0),1/((1/D47)+(1/E47)+(1/G47)),IF(AND(D47&lt;&gt;0,E47=0,F47&lt;&gt;0,G47&lt;&gt;0),1/((1/D47)+(1/F47)+(1/G47)),IF(AND(D47=0,E47&lt;&gt;0,F47&lt;&gt;0,G47&lt;&gt;0),1/((1/E47)+(1/F47)+(1/G47)),IF(AND(D47&lt;&gt;0,E47&lt;&gt;0,F47=0,G47=0),1/((1/D47)+(1/E47)),IF(AND(D47&lt;&gt;0,E47=0,F47&lt;&gt;0,G47=0),1/((1/D47)+(1/F47)),IF(AND(D47&lt;&gt;0,E47=0,F47=0,G47&lt;&gt;0),1/((1/D47)+(1/G47)),IF(AND(D47=0,E47=0,F47&lt;&gt;0,G47&lt;&gt;0),1/((1/F47)+(1/G47)),IF(AND(D47=0,E47&lt;&gt;0,F47=0,G47&lt;&gt;0),1/((1/E47)+(1/G47)),IF(AND(D47=0,E47&lt;&gt;0,F47&lt;&gt;0,G47=0),1/((1/E47)+(1/F47)),IF(AND(D47&lt;&gt;0,E47=0,F47=0,G47=0),1/((1/D47)),IF(AND(D47=0,E47&lt;&gt;0,F47=0,G47=0),1/((1/E47)),IF(AND(D47=0,E47=0,F47&lt;&gt;0,G47=0),1/((1/F47)),IF(AND(D47=0,E47=0,F47=0,G47&lt;&gt;0),1/((1/G47)),IF(AND(D47=0,E47=0,F47=0,G47=0),0)))))))))))))))))</f>
        <v>4.5648025076570668E-2</v>
      </c>
      <c r="J47" s="197">
        <f>IFERROR(J6/$B$47,0)</f>
        <v>8.5020940514152596E-17</v>
      </c>
      <c r="K47" s="60">
        <f t="shared" ref="K47:V47" si="68">IFERROR(K6/$B$47,0)</f>
        <v>4.5648025076570668E-2</v>
      </c>
      <c r="L47" s="60">
        <f t="shared" si="68"/>
        <v>0.22395575442856772</v>
      </c>
      <c r="M47" s="60">
        <f t="shared" si="68"/>
        <v>7.9417895367709948E-2</v>
      </c>
      <c r="N47" s="60">
        <f t="shared" si="68"/>
        <v>5.1214857402981727E-2</v>
      </c>
      <c r="O47" s="60">
        <f t="shared" si="68"/>
        <v>0.22873738055797938</v>
      </c>
      <c r="P47" s="197">
        <f t="shared" ref="P47:T47" si="69">IFERROR(P6/$B$47,0)</f>
        <v>8.5020940514152596E-17</v>
      </c>
      <c r="Q47" s="197">
        <f t="shared" si="69"/>
        <v>4.1712492146448602E-16</v>
      </c>
      <c r="R47" s="197">
        <f t="shared" si="69"/>
        <v>1.4791842903369973E-16</v>
      </c>
      <c r="S47" s="197">
        <f t="shared" si="69"/>
        <v>9.5389347893927309E-17</v>
      </c>
      <c r="T47" s="197">
        <f t="shared" si="69"/>
        <v>4.2603085660686495E-19</v>
      </c>
      <c r="U47" s="60">
        <f t="shared" si="68"/>
        <v>0</v>
      </c>
      <c r="V47" s="60">
        <f t="shared" si="68"/>
        <v>16.84707992154658</v>
      </c>
      <c r="W47" s="60">
        <f>IFERROR(IF(AND(U47&lt;&gt;0,V47&lt;&gt;0),1/((1/U47)+(1/V47)),IF(AND(U47&lt;&gt;0,V47=0),1/((1/U47)),IF(AND(U47=0,V47&lt;&gt;0),1/((1/V47)),IF(AND(U47=0,V47=0),0)))),0)</f>
        <v>16.84707992154658</v>
      </c>
      <c r="X47" s="197">
        <f t="shared" ref="X47" si="70">IFERROR(X6/$B$47,0)</f>
        <v>3.1378237666237122E-17</v>
      </c>
      <c r="Y47" s="60" t="str">
        <f>IFERROR(Y6/$B$47,".")</f>
        <v>.</v>
      </c>
      <c r="Z47" s="60" t="str">
        <f>IFERROR(Z6,".")</f>
        <v>.</v>
      </c>
      <c r="AA47" s="60">
        <f>IFERROR(AA6/$B$47,".")</f>
        <v>278208.65925489762</v>
      </c>
      <c r="AB47" s="60" t="str">
        <f>IFERROR(AB6/$B$47,".")</f>
        <v>.</v>
      </c>
      <c r="AC47" s="60">
        <f t="shared" si="2"/>
        <v>278208.65925489762</v>
      </c>
      <c r="AD47" s="197">
        <f>IFERROR(AD6/$B$47,".")</f>
        <v>5.1817273210299837E-13</v>
      </c>
      <c r="AE47" s="60">
        <f>IFERROR(AE6/$B$47,0)</f>
        <v>0</v>
      </c>
      <c r="AF47" s="197">
        <f>IFERROR(AF6/$B$47,0)</f>
        <v>0</v>
      </c>
    </row>
    <row r="48" spans="1:32" x14ac:dyDescent="0.25">
      <c r="A48" s="180" t="s">
        <v>33</v>
      </c>
      <c r="B48" s="57" t="s">
        <v>1255</v>
      </c>
      <c r="C48" s="250"/>
      <c r="D48" s="58">
        <f>1/SUM(1/D49,1/D52,1/D54,1/D58,1/D59,1/D61)</f>
        <v>0.15681746126913881</v>
      </c>
      <c r="E48" s="58">
        <f>1/SUM(1/E49,1/E50,1/E51,1/E52,1/E54,1/E58,1/E59,1/E61)</f>
        <v>142.75369012174832</v>
      </c>
      <c r="F48" s="58">
        <f>1/SUM(1/F49,1/F50,1/F51,1/F52,1/F53,1/F54,1/F55,1/F56,1/F57,1/F58,1/F59,1/F60,1/F61,1/F62)</f>
        <v>1.3822668184988864E-2</v>
      </c>
      <c r="G48" s="58">
        <f>1/SUM(1/G49,1/G52,1/G54,1/G58,1/G59,1/G61)</f>
        <v>2.1155248444371939E-3</v>
      </c>
      <c r="H48" s="58">
        <f>1/SUM(1/H49,1/H52,1/H54,1/H58,1/H59,1/H61)</f>
        <v>2.085823272368925E-5</v>
      </c>
      <c r="I48" s="59">
        <f>1/SUM(1/I49,1/I50,1/I51,1/I52,1/I53,1/I54,1/I55,1/I56,1/I57,1/I58,1/I59,1/I60,1/I61,1/I62)</f>
        <v>1.8134841807441442E-3</v>
      </c>
      <c r="J48" s="199"/>
      <c r="K48" s="58">
        <f>1/SUM(1/K49,1/K50,1/K51,1/K52,1/K53,1/K54,1/K55,1/K56,1/K57,1/K58,1/K59,1/K60,1/K61,1/K62)</f>
        <v>1.3822668184988864E-2</v>
      </c>
      <c r="L48" s="58">
        <f t="shared" ref="L48:O48" si="71">1/SUM(1/L49,1/L50,1/L51,1/L52,1/L53,1/L54,1/L55,1/L56,1/L57,1/L58,1/L59,1/L60,1/L61,1/L62)</f>
        <v>7.4103990058118671E-2</v>
      </c>
      <c r="M48" s="58">
        <f>1/SUM(1/M49,1/M50,1/M52,1/M54,1/M55,1/M56,1/M57,1/M58,1/M59,1/M60,1/M61,1/M62)</f>
        <v>2.5922713435613146E-2</v>
      </c>
      <c r="N48" s="58">
        <f t="shared" si="71"/>
        <v>1.6287862085703281E-2</v>
      </c>
      <c r="O48" s="58">
        <f t="shared" si="71"/>
        <v>7.6079514111771385E-2</v>
      </c>
      <c r="P48" s="198"/>
      <c r="Q48" s="198"/>
      <c r="R48" s="198"/>
      <c r="S48" s="198"/>
      <c r="T48" s="198"/>
      <c r="U48" s="58">
        <f>1/SUM(1/U49,1/U50,1/U51,1/U52,1/U54,1/U58,1/U59,1/U61)</f>
        <v>1.0501656709990401E-4</v>
      </c>
      <c r="V48" s="58">
        <f t="shared" ref="V48:W48" si="72">1/SUM(1/V49,1/V50,1/V51,1/V52,1/V53,1/V54,1/V55,1/V56,1/V57,1/V58,1/V59,1/V60,1/V61,1/V62)</f>
        <v>5.174134872729538</v>
      </c>
      <c r="W48" s="59">
        <f t="shared" si="72"/>
        <v>1.0501443567971447E-4</v>
      </c>
      <c r="X48" s="199"/>
      <c r="Y48" s="58">
        <f>1/SUM(1/Y49,1/Y52,1/Y54,1/Y58,1/Y59,1/Y61)</f>
        <v>1.7106285791263342E-2</v>
      </c>
      <c r="Z48" s="58">
        <f>1/SUM(1/Z50,1/Z51,1/Z52,1/Z54)</f>
        <v>9.2003926727235744E-2</v>
      </c>
      <c r="AA48" s="58">
        <f t="shared" ref="AA48" si="73">1/SUM(1/AA49,1/AA50,1/AA51,1/AA52,1/AA53,1/AA54,1/AA55,1/AA56,1/AA57,1/AA58,1/AA59,1/AA60,1/AA61,1/AA62)</f>
        <v>85434.341867506329</v>
      </c>
      <c r="AB48" s="58">
        <f>1/SUM(1/AB49,1/AB52,1/AB54,1/AB58,1/AB59,1/AB61)</f>
        <v>5.2230833821634102E-3</v>
      </c>
      <c r="AC48" s="59">
        <f>1/SUM(1/AC49,1/AC50,1/AC51,1/AC52,1/AC53,1/AC54,1/AC55,1/AC56,1/AC57,1/AC58,1/AC59,1/AC60,1/AC61,1/AC62)</f>
        <v>3.8345771645211324E-3</v>
      </c>
      <c r="AD48" s="199"/>
      <c r="AE48" s="59">
        <f>1/SUM(1/AE49,1/AE52,1/AE54,1/AE58,1/AE59,1/AE61)</f>
        <v>5.1415246538071739E-4</v>
      </c>
      <c r="AF48" s="199"/>
    </row>
    <row r="49" spans="1:32" x14ac:dyDescent="0.25">
      <c r="A49" s="83" t="s">
        <v>1100</v>
      </c>
      <c r="B49" s="42">
        <v>1</v>
      </c>
      <c r="C49" s="249"/>
      <c r="D49" s="60">
        <f>IFERROR(D23/$B49,0)</f>
        <v>1.3186488596324659</v>
      </c>
      <c r="E49" s="60">
        <f>IFERROR(E23/$B49,0)</f>
        <v>299.85912477473448</v>
      </c>
      <c r="F49" s="60">
        <f>IFERROR(F23/$B49,0)</f>
        <v>4.6313057075548354</v>
      </c>
      <c r="G49" s="60">
        <f>IFERROR(G23/$B49,0)</f>
        <v>6.853340673828358E-3</v>
      </c>
      <c r="H49" s="60">
        <f>IFERROR(H23/$B49,0)</f>
        <v>1.6052175884624759E-4</v>
      </c>
      <c r="I49" s="60">
        <f t="shared" ref="I49:I62" si="74">(IF(AND(D49&lt;&gt;0,E49&lt;&gt;0,F49&lt;&gt;0,G49&lt;&gt;0),1/((1/D49)+(1/E49)+(1/F49)+(1/G49)),IF(AND(D49&lt;&gt;0,E49&lt;&gt;0,F49&lt;&gt;0,G49=0), 1/((1/D49)+(1/E49)+(1/F49)),IF(AND(D49&lt;&gt;0,E49&lt;&gt;0,F49=0,G49&lt;&gt;0),1/((1/D49)+(1/E49)+(1/G49)),IF(AND(D49&lt;&gt;0,E49=0,F49&lt;&gt;0,G49&lt;&gt;0),1/((1/D49)+(1/F49)+(1/G49)),IF(AND(D49=0,E49&lt;&gt;0,F49&lt;&gt;0,G49&lt;&gt;0),1/((1/E49)+(1/F49)+(1/G49)),IF(AND(D49&lt;&gt;0,E49&lt;&gt;0,F49=0,G49=0),1/((1/D49)+(1/E49)),IF(AND(D49&lt;&gt;0,E49=0,F49&lt;&gt;0,G49=0),1/((1/D49)+(1/F49)),IF(AND(D49&lt;&gt;0,E49=0,F49=0,G49&lt;&gt;0),1/((1/D49)+(1/G49)),IF(AND(D49=0,E49=0,F49&lt;&gt;0,G49&lt;&gt;0),1/((1/F49)+(1/G49)),IF(AND(D49=0,E49&lt;&gt;0,F49=0,G49&lt;&gt;0),1/((1/E49)+(1/G49)),IF(AND(D49=0,E49&lt;&gt;0,F49&lt;&gt;0,G49=0),1/((1/E49)+(1/F49)),IF(AND(D49&lt;&gt;0,E49=0,F49=0,G49=0),1/((1/D49)),IF(AND(D49=0,E49&lt;&gt;0,F49=0,G49=0),1/((1/E49)),IF(AND(D49=0,E49=0,F49&lt;&gt;0,G49=0),1/((1/F49)),IF(AND(D49=0,E49=0,F49=0,G49&lt;&gt;0),1/((1/G49)),IF(AND(D49=0,E49=0,F49=0,G49=0),0)))))))))))))))))</f>
        <v>6.8077296634618586E-3</v>
      </c>
      <c r="J49" s="197">
        <f>IFERROR(J23/$B49,0)</f>
        <v>6.8926901296618619E-9</v>
      </c>
      <c r="K49" s="60">
        <f t="shared" ref="K49:V49" si="75">IFERROR(K23/$B49,0)</f>
        <v>4.6313057075548354</v>
      </c>
      <c r="L49" s="60">
        <f t="shared" si="75"/>
        <v>18.272481958273133</v>
      </c>
      <c r="M49" s="60">
        <f t="shared" si="75"/>
        <v>6.6830709468424452</v>
      </c>
      <c r="N49" s="60">
        <f t="shared" si="75"/>
        <v>4.7649010645035323</v>
      </c>
      <c r="O49" s="60">
        <f t="shared" si="75"/>
        <v>18.525222830219342</v>
      </c>
      <c r="P49" s="197">
        <f t="shared" ref="P49:T49" si="76">IFERROR(P23/$B49,0)</f>
        <v>4.6891044027851201E-6</v>
      </c>
      <c r="Q49" s="197">
        <f t="shared" si="76"/>
        <v>1.8500522533112383E-5</v>
      </c>
      <c r="R49" s="197">
        <f t="shared" si="76"/>
        <v>6.766475672259039E-6</v>
      </c>
      <c r="S49" s="197">
        <f t="shared" si="76"/>
        <v>4.8243670297885365E-6</v>
      </c>
      <c r="T49" s="197">
        <f t="shared" si="76"/>
        <v>1.8756417611140479E-8</v>
      </c>
      <c r="U49" s="60">
        <f t="shared" si="75"/>
        <v>2.2059097646139869E-4</v>
      </c>
      <c r="V49" s="60">
        <f t="shared" si="75"/>
        <v>1407.8486043567223</v>
      </c>
      <c r="W49" s="60">
        <f t="shared" ref="W49:W76" si="77">IFERROR(IF(AND(U49&lt;&gt;0,V49&lt;&gt;0),1/((1/U49)+(1/V49)),IF(AND(U49&lt;&gt;0,V49=0),1/((1/U49)),IF(AND(U49=0,V49&lt;&gt;0),1/((1/V49)),IF(AND(U49=0,V49=0),0)))),0)</f>
        <v>2.2059094189775941E-4</v>
      </c>
      <c r="X49" s="197">
        <f t="shared" ref="X49" si="78">IFERROR(X23/$B49,0)</f>
        <v>2.2334391685264346E-13</v>
      </c>
      <c r="Y49" s="60">
        <f>IFERROR(Y23/$B49,".")</f>
        <v>0.13579018699720966</v>
      </c>
      <c r="Z49" s="60" t="str">
        <f>IFERROR(Z23,".")</f>
        <v>.</v>
      </c>
      <c r="AA49" s="60">
        <f>IFERROR(AA23/$B49,".")</f>
        <v>22888092.732404914</v>
      </c>
      <c r="AB49" s="60">
        <f>IFERROR(AB23/$B49,".")</f>
        <v>3.5843598604911618E-2</v>
      </c>
      <c r="AC49" s="60">
        <f t="shared" si="2"/>
        <v>2.8358105218669119E-2</v>
      </c>
      <c r="AD49" s="197">
        <f>IFERROR(AD23/$B49,".")</f>
        <v>2.8712014371798111E-11</v>
      </c>
      <c r="AE49" s="60">
        <f>IFERROR(AE23/$B49,0)</f>
        <v>3.9568384892125904E-3</v>
      </c>
      <c r="AF49" s="197">
        <f>IFERROR(AF23/$B49,0)</f>
        <v>4.0062198335579643E-12</v>
      </c>
    </row>
    <row r="50" spans="1:32" x14ac:dyDescent="0.25">
      <c r="A50" s="83" t="s">
        <v>1087</v>
      </c>
      <c r="B50" s="42">
        <v>1</v>
      </c>
      <c r="C50" s="249"/>
      <c r="D50" s="60">
        <f>IFERROR(D25/$B50,0)</f>
        <v>0</v>
      </c>
      <c r="E50" s="60">
        <f>IFERROR(E25/$B50,0)</f>
        <v>3703128.6738079814</v>
      </c>
      <c r="F50" s="60">
        <f>IFERROR(F25/$B50,0)</f>
        <v>68.351684235636881</v>
      </c>
      <c r="G50" s="60">
        <f>IFERROR(G25/$B50,0)</f>
        <v>0</v>
      </c>
      <c r="H50" s="60">
        <f>IFERROR(H25/$B50,0)</f>
        <v>0</v>
      </c>
      <c r="I50" s="60">
        <f t="shared" si="74"/>
        <v>68.350422635806879</v>
      </c>
      <c r="J50" s="197">
        <f>IFERROR(J25/$B50,0)</f>
        <v>4.4506192310487985E-10</v>
      </c>
      <c r="K50" s="60">
        <f t="shared" ref="K50:V50" si="79">IFERROR(K25/$B50,0)</f>
        <v>68.351684235636881</v>
      </c>
      <c r="L50" s="60">
        <f t="shared" si="79"/>
        <v>324.31263789814619</v>
      </c>
      <c r="M50" s="60">
        <f t="shared" si="79"/>
        <v>114.92340229785884</v>
      </c>
      <c r="N50" s="60">
        <f t="shared" si="79"/>
        <v>75.083289501267785</v>
      </c>
      <c r="O50" s="60">
        <f t="shared" si="79"/>
        <v>330.36647380557821</v>
      </c>
      <c r="P50" s="197">
        <f t="shared" ref="P50:T50" si="80">IFERROR(P25/$B50,0)</f>
        <v>4.4507013797795415E-10</v>
      </c>
      <c r="Q50" s="197">
        <f t="shared" si="80"/>
        <v>2.1117529452488007E-9</v>
      </c>
      <c r="R50" s="197">
        <f t="shared" si="80"/>
        <v>7.4832061696200531E-10</v>
      </c>
      <c r="S50" s="197">
        <f t="shared" si="80"/>
        <v>4.8890280308184366E-10</v>
      </c>
      <c r="T50" s="197">
        <f t="shared" si="80"/>
        <v>2.1511723335601118E-12</v>
      </c>
      <c r="U50" s="60">
        <f t="shared" si="79"/>
        <v>2.7242018088700011</v>
      </c>
      <c r="V50" s="60">
        <f t="shared" si="79"/>
        <v>24713.31363043455</v>
      </c>
      <c r="W50" s="60">
        <f t="shared" si="77"/>
        <v>2.7239015473335111</v>
      </c>
      <c r="X50" s="197">
        <f t="shared" ref="X50" si="81">IFERROR(X25/$B50,0)</f>
        <v>1.7736611044296862E-14</v>
      </c>
      <c r="Y50" s="60" t="str">
        <f>IFERROR(Y25/$B50,".")</f>
        <v>.</v>
      </c>
      <c r="Z50" s="60">
        <f>IFERROR(Z25,".")</f>
        <v>5.4484036177400021</v>
      </c>
      <c r="AA50" s="60">
        <f>IFERROR(AA25/$B50,".")</f>
        <v>408335740.77413428</v>
      </c>
      <c r="AB50" s="60" t="str">
        <f>IFERROR(AB25/$B50,".")</f>
        <v>.</v>
      </c>
      <c r="AC50" s="60">
        <f t="shared" si="2"/>
        <v>5.4484035450422228</v>
      </c>
      <c r="AD50" s="197">
        <f>IFERROR(AD25/$B50,".")</f>
        <v>3.5477131904925653E-14</v>
      </c>
      <c r="AE50" s="60">
        <f>IFERROR(AE25/$B50,0)</f>
        <v>0</v>
      </c>
      <c r="AF50" s="197">
        <f>IFERROR(AF25/$B50,0)</f>
        <v>0</v>
      </c>
    </row>
    <row r="51" spans="1:32" x14ac:dyDescent="0.25">
      <c r="A51" s="83" t="s">
        <v>1073</v>
      </c>
      <c r="B51" s="42">
        <v>1</v>
      </c>
      <c r="C51" s="249"/>
      <c r="D51" s="60">
        <f>IFERROR(D21/$B51,0)</f>
        <v>0</v>
      </c>
      <c r="E51" s="60">
        <f>IFERROR(E21/$B51,0)</f>
        <v>607419.66735843138</v>
      </c>
      <c r="F51" s="60">
        <f>IFERROR(F21/$B51,0)</f>
        <v>18792177.122046541</v>
      </c>
      <c r="G51" s="60">
        <f>IFERROR(G21/$B51,0)</f>
        <v>0</v>
      </c>
      <c r="H51" s="60">
        <f>IFERROR(H21/$B51,0)</f>
        <v>0</v>
      </c>
      <c r="I51" s="60">
        <f t="shared" si="74"/>
        <v>588400.78483736096</v>
      </c>
      <c r="J51" s="197">
        <f>IFERROR(J21/$B51,0)</f>
        <v>2.1183323841336518E-9</v>
      </c>
      <c r="K51" s="60">
        <f t="shared" ref="K51:V51" si="82">IFERROR(K21/$B51,0)</f>
        <v>18792177.122046541</v>
      </c>
      <c r="L51" s="60">
        <f t="shared" si="82"/>
        <v>40725650.123961806</v>
      </c>
      <c r="M51" s="60">
        <f t="shared" si="82"/>
        <v>21508233.971717332</v>
      </c>
      <c r="N51" s="60">
        <f t="shared" si="82"/>
        <v>18856533.893012457</v>
      </c>
      <c r="O51" s="60">
        <f t="shared" si="82"/>
        <v>24255981.924051262</v>
      </c>
      <c r="P51" s="197">
        <f t="shared" ref="P51:T51" si="83">IFERROR(P21/$B51,0)</f>
        <v>6.765469794029934E-8</v>
      </c>
      <c r="Q51" s="197">
        <f t="shared" si="83"/>
        <v>1.4661853917535283E-7</v>
      </c>
      <c r="R51" s="197">
        <f t="shared" si="83"/>
        <v>7.7432916001983237E-8</v>
      </c>
      <c r="S51" s="197">
        <f t="shared" si="83"/>
        <v>6.788639211132776E-8</v>
      </c>
      <c r="T51" s="197">
        <f t="shared" si="83"/>
        <v>8.7325226856862135E-11</v>
      </c>
      <c r="U51" s="60">
        <f t="shared" si="82"/>
        <v>0.44684749095133824</v>
      </c>
      <c r="V51" s="60">
        <f t="shared" si="82"/>
        <v>1016316743.9734919</v>
      </c>
      <c r="W51" s="60">
        <f t="shared" si="77"/>
        <v>0.44684749075487123</v>
      </c>
      <c r="X51" s="197">
        <f t="shared" ref="X51" si="84">IFERROR(X21/$B51,0)</f>
        <v>1.6087189800342413E-18</v>
      </c>
      <c r="Y51" s="60" t="str">
        <f>IFERROR(Y21/$B51,".")</f>
        <v>.</v>
      </c>
      <c r="Z51" s="60">
        <f>IFERROR(Z21,".")</f>
        <v>0.90568574492460363</v>
      </c>
      <c r="AA51" s="60">
        <f>IFERROR(AA21/$B51,".")</f>
        <v>28385463735107.258</v>
      </c>
      <c r="AB51" s="60" t="str">
        <f>IFERROR(AB21/$B51,".")</f>
        <v>.</v>
      </c>
      <c r="AC51" s="60">
        <f t="shared" si="2"/>
        <v>0.90568574492457465</v>
      </c>
      <c r="AD51" s="197">
        <f>IFERROR(AD21/$B51,".")</f>
        <v>3.2606065334400234E-18</v>
      </c>
      <c r="AE51" s="60">
        <f>IFERROR(AE21/$B51,0)</f>
        <v>0</v>
      </c>
      <c r="AF51" s="197">
        <f>IFERROR(AF21/$B51,0)</f>
        <v>0</v>
      </c>
    </row>
    <row r="52" spans="1:32" x14ac:dyDescent="0.25">
      <c r="A52" s="83" t="s">
        <v>1074</v>
      </c>
      <c r="B52" s="85">
        <v>0.99980000000000002</v>
      </c>
      <c r="C52" s="251"/>
      <c r="D52" s="60">
        <f>IFERROR(D17/$B52,0)</f>
        <v>1127.8552033431981</v>
      </c>
      <c r="E52" s="60">
        <f>IFERROR(E17/$B52,0)</f>
        <v>108684.97221042919</v>
      </c>
      <c r="F52" s="60">
        <f>IFERROR(F17/$B52,0)</f>
        <v>0.11648621397801705</v>
      </c>
      <c r="G52" s="60">
        <f>IFERROR(G17/$B52,0)</f>
        <v>9.7308772721176364</v>
      </c>
      <c r="H52" s="60">
        <f>IFERROR(H17/$B52,0)</f>
        <v>0.1703586860855256</v>
      </c>
      <c r="I52" s="60">
        <f t="shared" si="74"/>
        <v>0.11509640926195938</v>
      </c>
      <c r="J52" s="197">
        <f>IFERROR(J17/$B52,0)</f>
        <v>3.5165193948206398E-15</v>
      </c>
      <c r="K52" s="60">
        <f t="shared" ref="K52:V52" si="85">IFERROR(K17/$B52,0)</f>
        <v>0.11648621397801705</v>
      </c>
      <c r="L52" s="60">
        <f t="shared" si="85"/>
        <v>0.51203392611204823</v>
      </c>
      <c r="M52" s="60">
        <f t="shared" si="85"/>
        <v>0.1838460090788066</v>
      </c>
      <c r="N52" s="60">
        <f t="shared" si="85"/>
        <v>0.12437862998154646</v>
      </c>
      <c r="O52" s="60">
        <f t="shared" si="85"/>
        <v>0.51900402144132218</v>
      </c>
      <c r="P52" s="197">
        <f t="shared" ref="P52:T52" si="86">IFERROR(P17/$B52,0)</f>
        <v>3.5589818423493593E-15</v>
      </c>
      <c r="Q52" s="197">
        <f t="shared" si="86"/>
        <v>1.5644078242971621E-14</v>
      </c>
      <c r="R52" s="197">
        <f t="shared" si="86"/>
        <v>5.6170132563785332E-15</v>
      </c>
      <c r="S52" s="197">
        <f t="shared" si="86"/>
        <v>3.8001173749552144E-15</v>
      </c>
      <c r="T52" s="197">
        <f t="shared" si="86"/>
        <v>1.5857034281881184E-17</v>
      </c>
      <c r="U52" s="60">
        <f t="shared" si="85"/>
        <v>7.9953958928511593E-2</v>
      </c>
      <c r="V52" s="60">
        <f t="shared" si="85"/>
        <v>39.356675397283389</v>
      </c>
      <c r="W52" s="60">
        <f t="shared" si="77"/>
        <v>7.9791859995293923E-2</v>
      </c>
      <c r="X52" s="197">
        <f t="shared" ref="X52" si="87">IFERROR(X17/$B52,0)</f>
        <v>2.4378660031317088E-18</v>
      </c>
      <c r="Y52" s="60">
        <f>IFERROR(Y17/$B52,".")</f>
        <v>151.71862995273389</v>
      </c>
      <c r="Z52" s="60">
        <f>IFERROR(Z17,".")</f>
        <v>0.18081425237398285</v>
      </c>
      <c r="AA52" s="60">
        <f>IFERROR(AA17/$B52,".")</f>
        <v>643631.64765421371</v>
      </c>
      <c r="AB52" s="60">
        <f>IFERROR(AB17/$B52,".")</f>
        <v>39.952303885503397</v>
      </c>
      <c r="AC52" s="60">
        <f t="shared" si="2"/>
        <v>0.17978626912790832</v>
      </c>
      <c r="AD52" s="197">
        <f>IFERROR(AD17/$B52,".")</f>
        <v>5.4940693361238469E-18</v>
      </c>
      <c r="AE52" s="60">
        <f>IFERROR(AE17/$B52,0)</f>
        <v>4.1993173443891063</v>
      </c>
      <c r="AF52" s="197">
        <f>IFERROR(AF17/$B52,0)</f>
        <v>1.283009694328635E-16</v>
      </c>
    </row>
    <row r="53" spans="1:32" x14ac:dyDescent="0.25">
      <c r="A53" s="83" t="s">
        <v>1088</v>
      </c>
      <c r="B53" s="42">
        <v>2.0000000000000001E-4</v>
      </c>
      <c r="C53" s="249"/>
      <c r="D53" s="60">
        <f>IFERROR(D5/$B53,0)</f>
        <v>0</v>
      </c>
      <c r="E53" s="60">
        <f>IFERROR(E5/$B53,0)</f>
        <v>0</v>
      </c>
      <c r="F53" s="60">
        <f>IFERROR(F5/$B53,0)</f>
        <v>23430246.369189944</v>
      </c>
      <c r="G53" s="60">
        <f>IFERROR(G5/$B53,0)</f>
        <v>0</v>
      </c>
      <c r="H53" s="60">
        <f>IFERROR(H5/$B53,0)</f>
        <v>0</v>
      </c>
      <c r="I53" s="60">
        <f t="shared" si="74"/>
        <v>23430246.369189944</v>
      </c>
      <c r="J53" s="197">
        <f>IFERROR(J5/$B53,0)</f>
        <v>6.8026171916635983E-10</v>
      </c>
      <c r="K53" s="60">
        <f t="shared" ref="K53:V53" si="88">IFERROR(K5/$B53,0)</f>
        <v>23430246.369189944</v>
      </c>
      <c r="L53" s="60">
        <f t="shared" si="88"/>
        <v>76644040.87917091</v>
      </c>
      <c r="M53" s="60">
        <f t="shared" si="88"/>
        <v>34870854.317667119</v>
      </c>
      <c r="N53" s="60">
        <f t="shared" si="88"/>
        <v>25142045.190683268</v>
      </c>
      <c r="O53" s="60">
        <f t="shared" si="88"/>
        <v>32199461.384559274</v>
      </c>
      <c r="P53" s="197">
        <f t="shared" ref="P53:T53" si="89">IFERROR(P5/$B53,0)</f>
        <v>6.8026171916635983E-10</v>
      </c>
      <c r="Q53" s="197">
        <f t="shared" si="89"/>
        <v>2.2252436526182433E-9</v>
      </c>
      <c r="R53" s="197">
        <f t="shared" si="89"/>
        <v>1.0124224446111119E-9</v>
      </c>
      <c r="S53" s="197">
        <f t="shared" si="89"/>
        <v>7.2996120549814856E-10</v>
      </c>
      <c r="T53" s="197">
        <f t="shared" si="89"/>
        <v>9.348625965151727E-13</v>
      </c>
      <c r="U53" s="60">
        <f t="shared" si="88"/>
        <v>0</v>
      </c>
      <c r="V53" s="60">
        <f t="shared" si="88"/>
        <v>6505967035.2848539</v>
      </c>
      <c r="W53" s="60">
        <f>IFERROR(IF(AND(U53&lt;&gt;0,V53&lt;&gt;0),1/((1/U53)+(1/V53)),IF(AND(U53&lt;&gt;0,V53=0),1/((1/U53)),IF(AND(U53=0,V53&lt;&gt;0),1/((1/V53)),IF(AND(U53=0,V53=0),0)))),0)</f>
        <v>6505967035.2848539</v>
      </c>
      <c r="X53" s="197">
        <f t="shared" ref="X53" si="90">IFERROR(X5/$B53,0)</f>
        <v>1.8889089984483806E-10</v>
      </c>
      <c r="Y53" s="60" t="str">
        <f>IFERROR(Y5/$B53,".")</f>
        <v>.</v>
      </c>
      <c r="Z53" s="60" t="str">
        <f>IFERROR(Z5,".")</f>
        <v>.</v>
      </c>
      <c r="AA53" s="60">
        <f>IFERROR(AA5/$B53,".")</f>
        <v>139987537554686.09</v>
      </c>
      <c r="AB53" s="60" t="str">
        <f>IFERROR(AB5/$B53,".")</f>
        <v>.</v>
      </c>
      <c r="AC53" s="60">
        <f t="shared" si="2"/>
        <v>139987537554686.11</v>
      </c>
      <c r="AD53" s="197">
        <f>IFERROR(AD5/$B53,".")</f>
        <v>4.0643261474210638E-6</v>
      </c>
      <c r="AE53" s="60">
        <f>IFERROR(AE5/$B53,0)</f>
        <v>0</v>
      </c>
      <c r="AF53" s="197">
        <f>IFERROR(AF5/$B53,0)</f>
        <v>0</v>
      </c>
    </row>
    <row r="54" spans="1:32" x14ac:dyDescent="0.25">
      <c r="A54" s="83" t="s">
        <v>1089</v>
      </c>
      <c r="B54" s="42">
        <v>0.99999979999999999</v>
      </c>
      <c r="C54" s="249"/>
      <c r="D54" s="60">
        <f>IFERROR(D9/$B54,0)</f>
        <v>2213.8788034431122</v>
      </c>
      <c r="E54" s="60">
        <f>IFERROR(E9/$B54,0)</f>
        <v>136620.30849367657</v>
      </c>
      <c r="F54" s="60">
        <f>IFERROR(F9/$B54,0)</f>
        <v>1.5756750709644812E-2</v>
      </c>
      <c r="G54" s="60">
        <f>IFERROR(G9/$B54,0)</f>
        <v>3.0866669424319086</v>
      </c>
      <c r="H54" s="60">
        <f>IFERROR(H9/$B54,0)</f>
        <v>0.31119287227523301</v>
      </c>
      <c r="I54" s="60">
        <f t="shared" si="74"/>
        <v>1.5676611698453292E-2</v>
      </c>
      <c r="J54" s="197">
        <f>IFERROR(J9/$B54,0)</f>
        <v>3.5564910962955258E-16</v>
      </c>
      <c r="K54" s="60">
        <f t="shared" ref="K54:V54" si="91">IFERROR(K9/$B54,0)</f>
        <v>1.5756750709644812E-2</v>
      </c>
      <c r="L54" s="60">
        <f t="shared" si="91"/>
        <v>8.724468482717064E-2</v>
      </c>
      <c r="M54" s="60">
        <f t="shared" si="91"/>
        <v>3.0364571680044687E-2</v>
      </c>
      <c r="N54" s="60">
        <f t="shared" si="91"/>
        <v>1.884219809195169E-2</v>
      </c>
      <c r="O54" s="60">
        <f t="shared" si="91"/>
        <v>9.0099965421514411E-2</v>
      </c>
      <c r="P54" s="197">
        <f t="shared" ref="P54:T54" si="92">IFERROR(P9/$B54,0)</f>
        <v>3.5746719178436346E-16</v>
      </c>
      <c r="Q54" s="197">
        <f t="shared" si="92"/>
        <v>1.9792857714116597E-15</v>
      </c>
      <c r="R54" s="197">
        <f t="shared" si="92"/>
        <v>6.8886906750111718E-16</v>
      </c>
      <c r="S54" s="197">
        <f t="shared" si="92"/>
        <v>4.2746552021362106E-16</v>
      </c>
      <c r="T54" s="197">
        <f t="shared" si="92"/>
        <v>2.0440623966578601E-18</v>
      </c>
      <c r="U54" s="60">
        <f t="shared" si="91"/>
        <v>0.1005045528553378</v>
      </c>
      <c r="V54" s="60">
        <f t="shared" si="91"/>
        <v>5.9950284147655504</v>
      </c>
      <c r="W54" s="60">
        <f t="shared" si="77"/>
        <v>9.8847410617192558E-2</v>
      </c>
      <c r="X54" s="197">
        <f t="shared" ref="X54" si="93">IFERROR(X9/$B54,0)</f>
        <v>2.2425122374281834E-18</v>
      </c>
      <c r="Y54" s="60">
        <f>IFERROR(Y9/$B54,".")</f>
        <v>272.1037046656312</v>
      </c>
      <c r="Z54" s="60">
        <f>IFERROR(Z9,".")</f>
        <v>0.24685944898147422</v>
      </c>
      <c r="AA54" s="60">
        <f>IFERROR(AA9/$B54,".")</f>
        <v>99120.227866799149</v>
      </c>
      <c r="AB54" s="60">
        <f>IFERROR(AB9/$B54,".")</f>
        <v>42.944971812283967</v>
      </c>
      <c r="AC54" s="60">
        <f t="shared" si="2"/>
        <v>0.24522673191569735</v>
      </c>
      <c r="AD54" s="197">
        <f>IFERROR(AD9/$B54,".")</f>
        <v>5.5633632999507232E-18</v>
      </c>
      <c r="AE54" s="60">
        <f>IFERROR(AE9/$B54,0)</f>
        <v>7.6708599721155073</v>
      </c>
      <c r="AF54" s="197">
        <f>IFERROR(AF9/$B54,0)</f>
        <v>1.7402577621062224E-16</v>
      </c>
    </row>
    <row r="55" spans="1:32" x14ac:dyDescent="0.25">
      <c r="A55" s="83" t="s">
        <v>1090</v>
      </c>
      <c r="B55" s="42">
        <v>1.9999999999999999E-7</v>
      </c>
      <c r="C55" s="249"/>
      <c r="D55" s="60">
        <f>IFERROR(D24/$B55,0)</f>
        <v>0</v>
      </c>
      <c r="E55" s="60">
        <f>IFERROR(E24/$B55,0)</f>
        <v>0</v>
      </c>
      <c r="F55" s="60">
        <f>IFERROR(F24/$B55,0)</f>
        <v>170879210.58909222</v>
      </c>
      <c r="G55" s="60">
        <f>IFERROR(G24/$B55,0)</f>
        <v>0</v>
      </c>
      <c r="H55" s="60">
        <f>IFERROR(H24/$B55,0)</f>
        <v>0</v>
      </c>
      <c r="I55" s="60">
        <f t="shared" si="74"/>
        <v>170879210.58909222</v>
      </c>
      <c r="J55" s="197">
        <f>IFERROR(J24/$B55,0)</f>
        <v>1.1576177876158563E-10</v>
      </c>
      <c r="K55" s="60">
        <f t="shared" ref="K55:V55" si="94">IFERROR(K24/$B55,0)</f>
        <v>170879210.58909222</v>
      </c>
      <c r="L55" s="60">
        <f t="shared" si="94"/>
        <v>830344689.52474427</v>
      </c>
      <c r="M55" s="60">
        <f t="shared" si="94"/>
        <v>294970065.89783764</v>
      </c>
      <c r="N55" s="60">
        <f t="shared" si="94"/>
        <v>190596042.58014131</v>
      </c>
      <c r="O55" s="60">
        <f t="shared" si="94"/>
        <v>849999503.78793716</v>
      </c>
      <c r="P55" s="197">
        <f t="shared" ref="P55:T55" si="95">IFERROR(P24/$B55,0)</f>
        <v>1.1576177876158563E-10</v>
      </c>
      <c r="Q55" s="197">
        <f t="shared" si="95"/>
        <v>5.6251534585891155E-10</v>
      </c>
      <c r="R55" s="197">
        <f t="shared" si="95"/>
        <v>1.9982688000511803E-10</v>
      </c>
      <c r="S55" s="197">
        <f t="shared" si="95"/>
        <v>1.2911890708023012E-10</v>
      </c>
      <c r="T55" s="197">
        <f t="shared" si="95"/>
        <v>5.7583046039210686E-13</v>
      </c>
      <c r="U55" s="60">
        <f t="shared" si="94"/>
        <v>0</v>
      </c>
      <c r="V55" s="60">
        <f t="shared" si="94"/>
        <v>62914846055.501877</v>
      </c>
      <c r="W55" s="60">
        <f t="shared" si="77"/>
        <v>62914846055.501877</v>
      </c>
      <c r="X55" s="197">
        <f t="shared" ref="X55" si="96">IFERROR(X24/$B55,0)</f>
        <v>4.2621536375245495E-11</v>
      </c>
      <c r="Y55" s="60" t="str">
        <f>IFERROR(Y24/$B55,".")</f>
        <v>.</v>
      </c>
      <c r="Z55" s="60" t="str">
        <f>IFERROR(Z24,".")</f>
        <v>.</v>
      </c>
      <c r="AA55" s="60">
        <f>IFERROR(AA24/$B55,".")</f>
        <v>1036332697917491</v>
      </c>
      <c r="AB55" s="60" t="str">
        <f>IFERROR(AB24/$B55,".")</f>
        <v>.</v>
      </c>
      <c r="AC55" s="60">
        <f t="shared" si="2"/>
        <v>1036332697917491</v>
      </c>
      <c r="AD55" s="197">
        <f>IFERROR(AD24/$B55,".")</f>
        <v>7.0206150933248568E-7</v>
      </c>
      <c r="AE55" s="60">
        <f>IFERROR(AE24/$B55,0)</f>
        <v>0</v>
      </c>
      <c r="AF55" s="197">
        <f>IFERROR(AF24/$B55,0)</f>
        <v>0</v>
      </c>
    </row>
    <row r="56" spans="1:32" x14ac:dyDescent="0.25">
      <c r="A56" s="83" t="s">
        <v>1091</v>
      </c>
      <c r="B56" s="42">
        <v>0.99979000004200003</v>
      </c>
      <c r="C56" s="249"/>
      <c r="D56" s="60">
        <f>IFERROR(D20/$B56,0)</f>
        <v>0</v>
      </c>
      <c r="E56" s="60">
        <f>IFERROR(E20/$B56,0)</f>
        <v>0</v>
      </c>
      <c r="F56" s="60">
        <f>IFERROR(F20/$B56,0)</f>
        <v>300.39624120310714</v>
      </c>
      <c r="G56" s="60">
        <f>IFERROR(G20/$B56,0)</f>
        <v>0</v>
      </c>
      <c r="H56" s="60">
        <f>IFERROR(H20/$B56,0)</f>
        <v>0</v>
      </c>
      <c r="I56" s="60">
        <f t="shared" si="74"/>
        <v>300.39624120310714</v>
      </c>
      <c r="J56" s="197">
        <f>IFERROR(J20/$B56,0)</f>
        <v>9.3777198680424151E-19</v>
      </c>
      <c r="K56" s="60">
        <f t="shared" ref="K56:V56" si="97">IFERROR(K20/$B56,0)</f>
        <v>300.39624120310714</v>
      </c>
      <c r="L56" s="60">
        <f t="shared" si="97"/>
        <v>1518.5471751995306</v>
      </c>
      <c r="M56" s="60">
        <f t="shared" si="97"/>
        <v>538.75412824470311</v>
      </c>
      <c r="N56" s="60">
        <f t="shared" si="97"/>
        <v>343.01300898624692</v>
      </c>
      <c r="O56" s="60">
        <f t="shared" si="97"/>
        <v>1558.6597420915939</v>
      </c>
      <c r="P56" s="197">
        <f t="shared" ref="P56:T56" si="98">IFERROR(P20/$B56,0)</f>
        <v>9.3777198680424151E-19</v>
      </c>
      <c r="Q56" s="197">
        <f t="shared" si="98"/>
        <v>4.7405753009405591E-18</v>
      </c>
      <c r="R56" s="197">
        <f t="shared" si="98"/>
        <v>1.6818736719858681E-18</v>
      </c>
      <c r="S56" s="197">
        <f t="shared" si="98"/>
        <v>1.0708123032712792E-18</v>
      </c>
      <c r="T56" s="197">
        <f t="shared" si="98"/>
        <v>4.8657980447389892E-21</v>
      </c>
      <c r="U56" s="60">
        <f t="shared" si="97"/>
        <v>0</v>
      </c>
      <c r="V56" s="60">
        <f t="shared" si="97"/>
        <v>112283.40286382024</v>
      </c>
      <c r="W56" s="60">
        <f t="shared" si="77"/>
        <v>112283.40286382023</v>
      </c>
      <c r="X56" s="197">
        <f t="shared" ref="X56" si="99">IFERROR(X20/$B56,0)</f>
        <v>3.5052445851861285E-19</v>
      </c>
      <c r="Y56" s="60" t="str">
        <f>IFERROR(Y20/$B56,".")</f>
        <v>.</v>
      </c>
      <c r="Z56" s="60" t="str">
        <f>IFERROR(Z20,".")</f>
        <v>.</v>
      </c>
      <c r="AA56" s="60">
        <f>IFERROR(AA20/$B56,".")</f>
        <v>1854221331.6961141</v>
      </c>
      <c r="AB56" s="60" t="str">
        <f>IFERROR(AB20/$B56,".")</f>
        <v>.</v>
      </c>
      <c r="AC56" s="60">
        <f t="shared" si="2"/>
        <v>1854221331.6961141</v>
      </c>
      <c r="AD56" s="197">
        <f>IFERROR(AD20/$B56,".")</f>
        <v>5.7884772966376439E-15</v>
      </c>
      <c r="AE56" s="60">
        <f>IFERROR(AE20/$B56,0)</f>
        <v>0</v>
      </c>
      <c r="AF56" s="197">
        <f>IFERROR(AF20/$B56,0)</f>
        <v>0</v>
      </c>
    </row>
    <row r="57" spans="1:32" x14ac:dyDescent="0.25">
      <c r="A57" s="83" t="s">
        <v>1092</v>
      </c>
      <c r="B57" s="42">
        <v>2.0999995799999999E-4</v>
      </c>
      <c r="C57" s="249"/>
      <c r="D57" s="60">
        <f>IFERROR(D29/$B57,0)</f>
        <v>0</v>
      </c>
      <c r="E57" s="60">
        <f>IFERROR(E29/$B57,0)</f>
        <v>0</v>
      </c>
      <c r="F57" s="60">
        <f>IFERROR(F29/$B57,0)</f>
        <v>41.039321724085241</v>
      </c>
      <c r="G57" s="60">
        <f>IFERROR(G29/$B57,0)</f>
        <v>0</v>
      </c>
      <c r="H57" s="60">
        <f>IFERROR(H29/$B57,0)</f>
        <v>0</v>
      </c>
      <c r="I57" s="60">
        <f t="shared" si="74"/>
        <v>41.039321724085241</v>
      </c>
      <c r="J57" s="197">
        <f>IFERROR(J29/$B57,0)</f>
        <v>5.968504095489114E-14</v>
      </c>
      <c r="K57" s="60">
        <f t="shared" ref="K57:V57" si="100">IFERROR(K29/$B57,0)</f>
        <v>41.039321724085241</v>
      </c>
      <c r="L57" s="60">
        <f t="shared" si="100"/>
        <v>221.78204879087423</v>
      </c>
      <c r="M57" s="60">
        <f t="shared" si="100"/>
        <v>77.419980286578138</v>
      </c>
      <c r="N57" s="60">
        <f t="shared" si="100"/>
        <v>48.504850958579674</v>
      </c>
      <c r="O57" s="60">
        <f t="shared" si="100"/>
        <v>229.10300962474776</v>
      </c>
      <c r="P57" s="197">
        <f t="shared" ref="P57:T57" si="101">IFERROR(P29/$B57,0)</f>
        <v>5.968504095489114E-14</v>
      </c>
      <c r="Q57" s="197">
        <f t="shared" si="101"/>
        <v>3.2254603899494752E-13</v>
      </c>
      <c r="R57" s="197">
        <f t="shared" si="101"/>
        <v>1.1259481151267194E-13</v>
      </c>
      <c r="S57" s="197">
        <f t="shared" si="101"/>
        <v>7.0542443060765479E-14</v>
      </c>
      <c r="T57" s="197">
        <f t="shared" si="101"/>
        <v>3.3319318979672254E-16</v>
      </c>
      <c r="U57" s="60">
        <f t="shared" si="100"/>
        <v>0</v>
      </c>
      <c r="V57" s="60">
        <f t="shared" si="100"/>
        <v>15431.94645849353</v>
      </c>
      <c r="W57" s="60">
        <f t="shared" si="77"/>
        <v>15431.94645849353</v>
      </c>
      <c r="X57" s="197">
        <f t="shared" ref="X57" si="102">IFERROR(X29/$B57,0)</f>
        <v>2.2443264598311386E-14</v>
      </c>
      <c r="Y57" s="60" t="str">
        <f>IFERROR(Y29/$B57,".")</f>
        <v>.</v>
      </c>
      <c r="Z57" s="60" t="str">
        <f>IFERROR(Z29,".")</f>
        <v>.</v>
      </c>
      <c r="AA57" s="60">
        <f>IFERROR(AA29/$B57,".")</f>
        <v>254470150.21704131</v>
      </c>
      <c r="AB57" s="60" t="str">
        <f>IFERROR(AB29/$B57,".")</f>
        <v>.</v>
      </c>
      <c r="AC57" s="60">
        <f t="shared" si="2"/>
        <v>254470150.21704131</v>
      </c>
      <c r="AD57" s="197">
        <f>IFERROR(AD29/$B57,".")</f>
        <v>3.7008558376314029E-10</v>
      </c>
      <c r="AE57" s="60">
        <f>IFERROR(AE29/$B57,0)</f>
        <v>0</v>
      </c>
      <c r="AF57" s="197">
        <f>IFERROR(AF29/$B57,0)</f>
        <v>0</v>
      </c>
    </row>
    <row r="58" spans="1:32" x14ac:dyDescent="0.25">
      <c r="A58" s="83" t="s">
        <v>1093</v>
      </c>
      <c r="B58" s="42">
        <v>1</v>
      </c>
      <c r="C58" s="249"/>
      <c r="D58" s="60">
        <f>IFERROR(D16/$B58,0)</f>
        <v>0.52007056317401146</v>
      </c>
      <c r="E58" s="60">
        <f>IFERROR(E16/$B58,0)</f>
        <v>531.91793462371311</v>
      </c>
      <c r="F58" s="60">
        <f>IFERROR(F16/$B58,0)</f>
        <v>78.039324521002754</v>
      </c>
      <c r="G58" s="60">
        <f>IFERROR(G16/$B58,0)</f>
        <v>4.0078301058581178E-3</v>
      </c>
      <c r="H58" s="60">
        <f>IFERROR(H16/$B58,0)</f>
        <v>7.016517131958622E-5</v>
      </c>
      <c r="I58" s="60">
        <f t="shared" si="74"/>
        <v>3.9769482631577188E-3</v>
      </c>
      <c r="J58" s="197">
        <f>IFERROR(J16/$B58,0)</f>
        <v>5.1913491847955606E-11</v>
      </c>
      <c r="K58" s="60">
        <f t="shared" ref="K58:V58" si="103">IFERROR(K16/$B58,0)</f>
        <v>78.039324521002754</v>
      </c>
      <c r="L58" s="60">
        <f t="shared" si="103"/>
        <v>121.45826242852142</v>
      </c>
      <c r="M58" s="60">
        <f t="shared" si="103"/>
        <v>78.909189603243206</v>
      </c>
      <c r="N58" s="60">
        <f t="shared" si="103"/>
        <v>78.039324521002754</v>
      </c>
      <c r="O58" s="60">
        <f t="shared" si="103"/>
        <v>67.421729348077193</v>
      </c>
      <c r="P58" s="197">
        <f t="shared" ref="P58:T58" si="104">IFERROR(P16/$B58,0)</f>
        <v>1.0186941265673617E-6</v>
      </c>
      <c r="Q58" s="197">
        <f t="shared" si="104"/>
        <v>1.5854675744369475E-6</v>
      </c>
      <c r="R58" s="197">
        <f t="shared" si="104"/>
        <v>1.0300489974048956E-6</v>
      </c>
      <c r="S58" s="197">
        <f t="shared" si="104"/>
        <v>1.0186941265673617E-6</v>
      </c>
      <c r="T58" s="197">
        <f t="shared" si="104"/>
        <v>8.8009628621806056E-10</v>
      </c>
      <c r="U58" s="60">
        <f t="shared" si="103"/>
        <v>3.9130473913082608E-4</v>
      </c>
      <c r="V58" s="60">
        <f t="shared" si="103"/>
        <v>10193.325206618407</v>
      </c>
      <c r="W58" s="60">
        <f t="shared" si="77"/>
        <v>3.9130472410929095E-4</v>
      </c>
      <c r="X58" s="197">
        <f t="shared" ref="X58" si="105">IFERROR(X16/$B58,0)</f>
        <v>5.1079353466330407E-15</v>
      </c>
      <c r="Y58" s="60">
        <f>IFERROR(Y16/$B58,".")</f>
        <v>5.9088616936024282E-2</v>
      </c>
      <c r="Z58" s="60" t="str">
        <f>IFERROR(Z16,".")</f>
        <v>.</v>
      </c>
      <c r="AA58" s="60">
        <f>IFERROR(AA16/$B58,".")</f>
        <v>157980794.30978718</v>
      </c>
      <c r="AB58" s="60">
        <f>IFERROR(AB16/$B58,".")</f>
        <v>1.645504735421115E-2</v>
      </c>
      <c r="AC58" s="60">
        <f t="shared" si="2"/>
        <v>1.2870781406132901E-2</v>
      </c>
      <c r="AD58" s="197">
        <f>IFERROR(AD16/$B58,".")</f>
        <v>1.6801003216309645E-13</v>
      </c>
      <c r="AE58" s="60">
        <f>IFERROR(AE16/$B58,0)</f>
        <v>1.7295614779891508E-3</v>
      </c>
      <c r="AF58" s="197">
        <f>IFERROR(AF16/$B58,0)</f>
        <v>2.2577003709079177E-14</v>
      </c>
    </row>
    <row r="59" spans="1:32" x14ac:dyDescent="0.25">
      <c r="A59" s="83" t="s">
        <v>1094</v>
      </c>
      <c r="B59" s="42">
        <v>1</v>
      </c>
      <c r="C59" s="249"/>
      <c r="D59" s="60">
        <f>IFERROR(D7/$B59,0)</f>
        <v>37.18224057207108</v>
      </c>
      <c r="E59" s="60">
        <f>IFERROR(E7/$B59,0)</f>
        <v>18552.259671022188</v>
      </c>
      <c r="F59" s="60">
        <f>IFERROR(F7/$B59,0)</f>
        <v>41.818540988047886</v>
      </c>
      <c r="G59" s="60">
        <f>IFERROR(G7/$B59,0)</f>
        <v>6.2873288497035204E-2</v>
      </c>
      <c r="H59" s="60">
        <f>IFERROR(H7/$B59,0)</f>
        <v>6.3387853635308005E-3</v>
      </c>
      <c r="I59" s="60">
        <f t="shared" si="74"/>
        <v>6.2672872109822114E-2</v>
      </c>
      <c r="J59" s="197">
        <f>IFERROR(J7/$B59,0)</f>
        <v>5.0612963133502732E-13</v>
      </c>
      <c r="K59" s="60">
        <f t="shared" ref="K59:V59" si="106">IFERROR(K7/$B59,0)</f>
        <v>41.818540988047886</v>
      </c>
      <c r="L59" s="60">
        <f t="shared" si="106"/>
        <v>121.22057502650866</v>
      </c>
      <c r="M59" s="60">
        <f t="shared" si="106"/>
        <v>56.312467125950839</v>
      </c>
      <c r="N59" s="60">
        <f t="shared" si="106"/>
        <v>43.091279192031941</v>
      </c>
      <c r="O59" s="60">
        <f t="shared" si="106"/>
        <v>23.997564683213916</v>
      </c>
      <c r="P59" s="197">
        <f t="shared" ref="P59:T59" si="107">IFERROR(P7/$B59,0)</f>
        <v>3.3771553817033902E-10</v>
      </c>
      <c r="Q59" s="197">
        <f t="shared" si="107"/>
        <v>9.7894548124229866E-10</v>
      </c>
      <c r="R59" s="197">
        <f t="shared" si="107"/>
        <v>4.5476467355892236E-10</v>
      </c>
      <c r="S59" s="197">
        <f t="shared" si="107"/>
        <v>3.4799383715813182E-10</v>
      </c>
      <c r="T59" s="197">
        <f t="shared" si="107"/>
        <v>1.9379802069339061E-13</v>
      </c>
      <c r="U59" s="60">
        <f t="shared" si="106"/>
        <v>1.3647945779441006E-2</v>
      </c>
      <c r="V59" s="60">
        <f t="shared" si="106"/>
        <v>7583.1138954313528</v>
      </c>
      <c r="W59" s="60">
        <f t="shared" si="77"/>
        <v>1.3647921216169067E-2</v>
      </c>
      <c r="X59" s="197">
        <f t="shared" ref="X59" si="108">IFERROR(X7/$B59,0)</f>
        <v>1.1021702215154399E-16</v>
      </c>
      <c r="Y59" s="60">
        <f>IFERROR(Y7/$B59,".")</f>
        <v>5.8598254969750228</v>
      </c>
      <c r="Z59" s="60" t="str">
        <f>IFERROR(Z7,".")</f>
        <v>.</v>
      </c>
      <c r="AA59" s="60">
        <f>IFERROR(AA7/$B59,".")</f>
        <v>183446355.18360361</v>
      </c>
      <c r="AB59" s="60">
        <f>IFERROR(AB7/$B59,".")</f>
        <v>0.87475962020166631</v>
      </c>
      <c r="AC59" s="60">
        <f t="shared" si="2"/>
        <v>0.7611365237392419</v>
      </c>
      <c r="AD59" s="197">
        <f>IFERROR(AD7/$B59,".")</f>
        <v>6.1467383763858618E-15</v>
      </c>
      <c r="AE59" s="60">
        <f>IFERROR(AE7/$B59,0)</f>
        <v>0.15625015625015626</v>
      </c>
      <c r="AF59" s="197">
        <f>IFERROR(AF7/$B59,0)</f>
        <v>1.2618351659447583E-15</v>
      </c>
    </row>
    <row r="60" spans="1:32" x14ac:dyDescent="0.25">
      <c r="A60" s="83" t="s">
        <v>1095</v>
      </c>
      <c r="B60" s="86">
        <v>1.9000000000000001E-8</v>
      </c>
      <c r="C60" s="252"/>
      <c r="D60" s="60">
        <f>IFERROR(D12/$B60,0)</f>
        <v>0</v>
      </c>
      <c r="E60" s="60">
        <f>IFERROR(E12/$B60,0)</f>
        <v>0</v>
      </c>
      <c r="F60" s="60">
        <f>IFERROR(F12/$B60,0)</f>
        <v>12599789.237436239</v>
      </c>
      <c r="G60" s="60">
        <f>IFERROR(G12/$B60,0)</f>
        <v>0</v>
      </c>
      <c r="H60" s="60">
        <f>IFERROR(H12/$B60,0)</f>
        <v>0</v>
      </c>
      <c r="I60" s="60">
        <f t="shared" si="74"/>
        <v>12599789.237436239</v>
      </c>
      <c r="J60" s="197">
        <f>IFERROR(J12/$B60,0)</f>
        <v>1.1269140262946887E-7</v>
      </c>
      <c r="K60" s="60">
        <f t="shared" ref="K60:V60" si="109">IFERROR(K12/$B60,0)</f>
        <v>12599789.237436239</v>
      </c>
      <c r="L60" s="60">
        <f t="shared" si="109"/>
        <v>55445501.108616106</v>
      </c>
      <c r="M60" s="60">
        <f t="shared" si="109"/>
        <v>19879240.641381878</v>
      </c>
      <c r="N60" s="60">
        <f t="shared" si="109"/>
        <v>13478844.300513186</v>
      </c>
      <c r="O60" s="60">
        <f t="shared" si="109"/>
        <v>54506925.22778061</v>
      </c>
      <c r="P60" s="197">
        <f t="shared" ref="P60:T60" si="110">IFERROR(P12/$B60,0)</f>
        <v>1.1269140262946888E-7</v>
      </c>
      <c r="Q60" s="197">
        <f t="shared" si="110"/>
        <v>4.9589966718324949E-7</v>
      </c>
      <c r="R60" s="197">
        <f t="shared" si="110"/>
        <v>1.7779817335594562E-7</v>
      </c>
      <c r="S60" s="197">
        <f t="shared" si="110"/>
        <v>1.205535935105946E-7</v>
      </c>
      <c r="T60" s="197">
        <f t="shared" si="110"/>
        <v>4.8750512736259275E-10</v>
      </c>
      <c r="U60" s="60">
        <f t="shared" si="109"/>
        <v>0</v>
      </c>
      <c r="V60" s="60">
        <f t="shared" si="109"/>
        <v>4254056463.9385796</v>
      </c>
      <c r="W60" s="60">
        <f t="shared" si="77"/>
        <v>4254056463.93858</v>
      </c>
      <c r="X60" s="197">
        <f t="shared" ref="X60" si="111">IFERROR(X12/$B60,0)</f>
        <v>3.8047905465103069E-8</v>
      </c>
      <c r="Y60" s="60" t="str">
        <f>IFERROR(Y12/$B60,".")</f>
        <v>.</v>
      </c>
      <c r="Z60" s="60" t="str">
        <f>IFERROR(Z12,".")</f>
        <v>.</v>
      </c>
      <c r="AA60" s="60">
        <f>IFERROR(AA12/$B60,".")</f>
        <v>69934030141117.734</v>
      </c>
      <c r="AB60" s="60" t="str">
        <f>IFERROR(AB12/$B60,".")</f>
        <v>.</v>
      </c>
      <c r="AC60" s="60">
        <f t="shared" si="2"/>
        <v>69934030141117.734</v>
      </c>
      <c r="AD60" s="197">
        <f>IFERROR(AD12/$B60,".")</f>
        <v>6.2548379180171916E-4</v>
      </c>
      <c r="AE60" s="60">
        <f>IFERROR(AE12/$B60,0)</f>
        <v>0</v>
      </c>
      <c r="AF60" s="197">
        <f>IFERROR(AF12/$B60,0)</f>
        <v>0</v>
      </c>
    </row>
    <row r="61" spans="1:32" x14ac:dyDescent="0.25">
      <c r="A61" s="83" t="s">
        <v>1096</v>
      </c>
      <c r="B61" s="42">
        <v>1</v>
      </c>
      <c r="C61" s="249"/>
      <c r="D61" s="60">
        <f>IFERROR(D18/$B61,0)</f>
        <v>0.27266976419518796</v>
      </c>
      <c r="E61" s="60">
        <f>IFERROR(E18/$B61,0)</f>
        <v>582.1244743713595</v>
      </c>
      <c r="F61" s="60">
        <f>IFERROR(F18/$B61,0)</f>
        <v>2567.6150813905047</v>
      </c>
      <c r="G61" s="60">
        <f>IFERROR(G18/$B61,0)</f>
        <v>1.6410020144732348E-2</v>
      </c>
      <c r="H61" s="60">
        <f>IFERROR(H18/$B61,0)</f>
        <v>3.6637971230916941E-5</v>
      </c>
      <c r="I61" s="60">
        <f t="shared" si="74"/>
        <v>1.5477977432891116E-2</v>
      </c>
      <c r="J61" s="197">
        <f>IFERROR(J18/$B61,0)</f>
        <v>3.4503205366827364E-12</v>
      </c>
      <c r="K61" s="60">
        <f t="shared" ref="K61:V61" si="112">IFERROR(K18/$B61,0)</f>
        <v>2567.6150813905047</v>
      </c>
      <c r="L61" s="60">
        <f t="shared" si="112"/>
        <v>12931.881803454266</v>
      </c>
      <c r="M61" s="60">
        <f t="shared" si="112"/>
        <v>4554.6848410695529</v>
      </c>
      <c r="N61" s="60">
        <f t="shared" si="112"/>
        <v>2923.5971133237017</v>
      </c>
      <c r="O61" s="60">
        <f t="shared" si="112"/>
        <v>13303.347938479661</v>
      </c>
      <c r="P61" s="197">
        <f t="shared" ref="P61:T61" si="113">IFERROR(P18/$B61,0)</f>
        <v>5.7236774533552172E-7</v>
      </c>
      <c r="Q61" s="197">
        <f t="shared" si="113"/>
        <v>2.8827498655990525E-6</v>
      </c>
      <c r="R61" s="197">
        <f t="shared" si="113"/>
        <v>1.0153214600161366E-6</v>
      </c>
      <c r="S61" s="197">
        <f t="shared" si="113"/>
        <v>6.5172256548528429E-7</v>
      </c>
      <c r="T61" s="197">
        <f t="shared" si="113"/>
        <v>2.9655563718055215E-9</v>
      </c>
      <c r="U61" s="60">
        <f t="shared" si="112"/>
        <v>4.2823911501817447E-4</v>
      </c>
      <c r="V61" s="60">
        <f t="shared" si="112"/>
        <v>959539.27224312944</v>
      </c>
      <c r="W61" s="60">
        <f t="shared" si="77"/>
        <v>4.2823911482705283E-4</v>
      </c>
      <c r="X61" s="197">
        <f t="shared" ref="X61" si="114">IFERROR(X18/$B61,0)</f>
        <v>9.5462228117658165E-17</v>
      </c>
      <c r="Y61" s="60">
        <f>IFERROR(Y18/$B61,".")</f>
        <v>2.9421207182728757E-2</v>
      </c>
      <c r="Z61" s="60" t="str">
        <f>IFERROR(Z18,".")</f>
        <v>.</v>
      </c>
      <c r="AA61" s="60">
        <f>IFERROR(AA18/$B61,".")</f>
        <v>15818411579.538536</v>
      </c>
      <c r="AB61" s="60">
        <f>IFERROR(AB18/$B61,".")</f>
        <v>9.8429370750903501E-3</v>
      </c>
      <c r="AC61" s="60">
        <f t="shared" si="2"/>
        <v>7.3754591229882949E-3</v>
      </c>
      <c r="AD61" s="197">
        <f>IFERROR(AD18/$B61,".")</f>
        <v>1.6441229604995752E-15</v>
      </c>
      <c r="AE61" s="60">
        <f>IFERROR(AE18/$B61,0)</f>
        <v>9.0312077175788187E-4</v>
      </c>
      <c r="AF61" s="197">
        <f>IFERROR(AF18/$B61,0)</f>
        <v>2.0132192073618606E-16</v>
      </c>
    </row>
    <row r="62" spans="1:32" x14ac:dyDescent="0.25">
      <c r="A62" s="83" t="s">
        <v>1097</v>
      </c>
      <c r="B62" s="42">
        <v>1.339E-6</v>
      </c>
      <c r="C62" s="249"/>
      <c r="D62" s="60">
        <f>IFERROR(D27/$B62,0)</f>
        <v>0</v>
      </c>
      <c r="E62" s="60">
        <f>IFERROR(E27/$B62,0)</f>
        <v>0</v>
      </c>
      <c r="F62" s="60">
        <f>IFERROR(F27/$B62,0)</f>
        <v>14152558.434731761</v>
      </c>
      <c r="G62" s="60">
        <f>IFERROR(G27/$B62,0)</f>
        <v>0</v>
      </c>
      <c r="H62" s="60">
        <f>IFERROR(H27/$B62,0)</f>
        <v>0</v>
      </c>
      <c r="I62" s="60">
        <f t="shared" si="74"/>
        <v>14152558.434731761</v>
      </c>
      <c r="J62" s="197">
        <f>IFERROR(J27/$B62,0)</f>
        <v>6.5231015908759109E-8</v>
      </c>
      <c r="K62" s="60">
        <f t="shared" ref="K62:V62" si="115">IFERROR(K27/$B62,0)</f>
        <v>14152558.434731761</v>
      </c>
      <c r="L62" s="60">
        <f t="shared" si="115"/>
        <v>41676734.57975626</v>
      </c>
      <c r="M62" s="60">
        <f t="shared" si="115"/>
        <v>19602192.959122643</v>
      </c>
      <c r="N62" s="60">
        <f t="shared" si="115"/>
        <v>14744597.73180221</v>
      </c>
      <c r="O62" s="60">
        <f t="shared" si="115"/>
        <v>10084179.920115409</v>
      </c>
      <c r="P62" s="197">
        <f t="shared" ref="P62:T62" si="116">IFERROR(P27/$B62,0)</f>
        <v>6.5231015908759109E-8</v>
      </c>
      <c r="Q62" s="197">
        <f t="shared" si="116"/>
        <v>1.9209358851509586E-7</v>
      </c>
      <c r="R62" s="197">
        <f t="shared" si="116"/>
        <v>9.034910307277809E-8</v>
      </c>
      <c r="S62" s="197">
        <f t="shared" si="116"/>
        <v>6.7959803426854625E-8</v>
      </c>
      <c r="T62" s="197">
        <f t="shared" si="116"/>
        <v>4.6479320599837891E-11</v>
      </c>
      <c r="U62" s="60">
        <f t="shared" si="115"/>
        <v>0</v>
      </c>
      <c r="V62" s="60">
        <f t="shared" si="115"/>
        <v>3186906511.8869667</v>
      </c>
      <c r="W62" s="60">
        <f t="shared" si="77"/>
        <v>3186906511.8869667</v>
      </c>
      <c r="X62" s="197">
        <f t="shared" ref="X62" si="117">IFERROR(X27/$B62,0)</f>
        <v>1.4688874123738383E-8</v>
      </c>
      <c r="Y62" s="60" t="str">
        <f>IFERROR(Y27/$B62,".")</f>
        <v>.</v>
      </c>
      <c r="Z62" s="60" t="str">
        <f>IFERROR(Z27,".")</f>
        <v>.</v>
      </c>
      <c r="AA62" s="60">
        <f>IFERROR(AA27/$B62,".")</f>
        <v>72850538765611.875</v>
      </c>
      <c r="AB62" s="60" t="str">
        <f>IFERROR(AB27/$B62,".")</f>
        <v>.</v>
      </c>
      <c r="AC62" s="60">
        <f t="shared" si="2"/>
        <v>72850538765611.875</v>
      </c>
      <c r="AD62" s="197">
        <f>IFERROR(AD27/$B62,".")</f>
        <v>3.3577778004570174E-4</v>
      </c>
      <c r="AE62" s="60">
        <f>IFERROR(AE27/$B62,0)</f>
        <v>0</v>
      </c>
      <c r="AF62" s="197">
        <f>IFERROR(AF27/$B62,0)</f>
        <v>0</v>
      </c>
    </row>
    <row r="63" spans="1:32" x14ac:dyDescent="0.25">
      <c r="A63" s="180" t="s">
        <v>35</v>
      </c>
      <c r="B63" s="57" t="s">
        <v>1255</v>
      </c>
      <c r="C63" s="57"/>
      <c r="D63" s="58">
        <f>1/SUM(1/D66,1/D68,1/D72,1/D73,1/D75)</f>
        <v>0.17798379933982636</v>
      </c>
      <c r="E63" s="58">
        <f>1/SUM(1/E64,1/E65,1/E66,1/E68,1/E72,1/E73,1/E75)</f>
        <v>272.46668247232077</v>
      </c>
      <c r="F63" s="58">
        <f>1/SUM(1/F64,1/F65,1/F66,1/F67,1/F68,1/F69,1/F70,1/F71,1/F72,1/F73,1/F74,1/F75,1/F76)</f>
        <v>1.3864047038819669E-2</v>
      </c>
      <c r="G63" s="58">
        <f>1/SUM(1/G66,1/G68,1/G72,1/G73,1/G75)</f>
        <v>3.0601469083991299E-3</v>
      </c>
      <c r="H63" s="58">
        <f>1/SUM(1/H66,1/H68,1/H72,1/H73,1/H75)</f>
        <v>2.3973332882150094E-5</v>
      </c>
      <c r="I63" s="59">
        <f>1/SUM(1/I64,1/I65,1/I66,1/I67,1/I68,1/I69,1/I70,1/I71,1/I72,1/I73,1/I74,1/I75,1/I76)</f>
        <v>2.4719870287098077E-3</v>
      </c>
      <c r="J63" s="199"/>
      <c r="K63" s="58">
        <f>1/SUM(1/K64,1/K65,1/K66,1/K67,1/K68,1/K69,1/K70,1/K71,1/K72,1/K73,1/K74,1/K75,1/K76)</f>
        <v>1.3864047038819669E-2</v>
      </c>
      <c r="L63" s="58">
        <f t="shared" ref="L63:O63" si="118">1/SUM(1/L64,1/L65,1/L66,1/L67,1/L68,1/L69,1/L70,1/L71,1/L72,1/L73,1/L74,1/L75,1/L76)</f>
        <v>7.4405742299561553E-2</v>
      </c>
      <c r="M63" s="58">
        <f>1/SUM(1/M64,1/M66,1/M68,1/M69,1/M70,1/M71,1/M72,1/M73,1/M74,1/M75,1/M76)</f>
        <v>2.6023655618106954E-2</v>
      </c>
      <c r="N63" s="58">
        <f t="shared" si="118"/>
        <v>1.6343729860149054E-2</v>
      </c>
      <c r="O63" s="58">
        <f t="shared" si="118"/>
        <v>7.6393246428134803E-2</v>
      </c>
      <c r="P63" s="198"/>
      <c r="Q63" s="198"/>
      <c r="R63" s="198"/>
      <c r="S63" s="198"/>
      <c r="T63" s="198"/>
      <c r="U63" s="58">
        <f>1/SUM(1/U64,1/U65,1/U66,1/U68,1/U72,1/U73,1/U75)</f>
        <v>2.0043976178787048E-4</v>
      </c>
      <c r="V63" s="58">
        <f t="shared" ref="V63" si="119">1/SUM(1/V64,1/V65,1/V66,1/V67,1/V68,1/V69,1/V70,1/V71,1/V72,1/V73,1/V74,1/V75,1/V76)</f>
        <v>5.1932210343897305</v>
      </c>
      <c r="W63" s="59">
        <f>1/SUM(1/W64,1/W65,1/W66,1/W67,1/W68,1/W69,1/W70,1/W71,1/W72,1/W73,1/W74,1/W75,1/W76)</f>
        <v>2.004320258283868E-4</v>
      </c>
      <c r="X63" s="199"/>
      <c r="Y63" s="58">
        <f>1/SUM(1/Y66,1/Y68,1/Y72,1/Y73,1/Y75)</f>
        <v>1.9571868828212897E-2</v>
      </c>
      <c r="Z63" s="58">
        <f>1/SUM(1/Z64,1/Z65,1/Z66,1/Z68)</f>
        <v>9.2003926727235744E-2</v>
      </c>
      <c r="AA63" s="58">
        <f t="shared" ref="AA63" si="120">1/SUM(1/AA64,1/AA65,1/AA66,1/AA67,1/AA68,1/AA69,1/AA70,1/AA71,1/AA72,1/AA73,1/AA74,1/AA75,1/AA76)</f>
        <v>85754.437298719859</v>
      </c>
      <c r="AB63" s="58">
        <f>1/SUM(1/AB66,1/AB68,1/AB72,1/AB73,1/AB75)</f>
        <v>6.1140089534210953E-3</v>
      </c>
      <c r="AC63" s="59">
        <f>1/SUM(1/AC64,1/AC65,1/AC66,1/AC67,1/AC68,1/AC69,1/AC70,1/AC71,1/AC72,1/AC73,1/AC74,1/AC75,1/AC76)</f>
        <v>4.4341638960142728E-3</v>
      </c>
      <c r="AD63" s="199"/>
      <c r="AE63" s="59">
        <f>1/SUM(1/AE66,1/AE68,1/AE72,1/AE73,1/AE75)</f>
        <v>5.9093924054031571E-4</v>
      </c>
      <c r="AF63" s="199"/>
    </row>
    <row r="64" spans="1:32" x14ac:dyDescent="0.25">
      <c r="A64" s="83" t="s">
        <v>1087</v>
      </c>
      <c r="B64" s="178">
        <v>1</v>
      </c>
      <c r="C64" s="178"/>
      <c r="D64" s="60">
        <f>IFERROR(D25/$B50,0)</f>
        <v>0</v>
      </c>
      <c r="E64" s="60">
        <f>IFERROR(E25/$B50,0)</f>
        <v>3703128.6738079814</v>
      </c>
      <c r="F64" s="60">
        <f>IFERROR(F25/$B50,0)</f>
        <v>68.351684235636881</v>
      </c>
      <c r="G64" s="60">
        <f>IFERROR(G25/$B50,0)</f>
        <v>0</v>
      </c>
      <c r="H64" s="60">
        <f>IFERROR(H25/$B50,0)</f>
        <v>0</v>
      </c>
      <c r="I64" s="60">
        <f t="shared" ref="I64:I76" si="121">(IF(AND(D64&lt;&gt;0,E64&lt;&gt;0,F64&lt;&gt;0,G64&lt;&gt;0),1/((1/D64)+(1/E64)+(1/F64)+(1/G64)),IF(AND(D64&lt;&gt;0,E64&lt;&gt;0,F64&lt;&gt;0,G64=0), 1/((1/D64)+(1/E64)+(1/F64)),IF(AND(D64&lt;&gt;0,E64&lt;&gt;0,F64=0,G64&lt;&gt;0),1/((1/D64)+(1/E64)+(1/G64)),IF(AND(D64&lt;&gt;0,E64=0,F64&lt;&gt;0,G64&lt;&gt;0),1/((1/D64)+(1/F64)+(1/G64)),IF(AND(D64=0,E64&lt;&gt;0,F64&lt;&gt;0,G64&lt;&gt;0),1/((1/E64)+(1/F64)+(1/G64)),IF(AND(D64&lt;&gt;0,E64&lt;&gt;0,F64=0,G64=0),1/((1/D64)+(1/E64)),IF(AND(D64&lt;&gt;0,E64=0,F64&lt;&gt;0,G64=0),1/((1/D64)+(1/F64)),IF(AND(D64&lt;&gt;0,E64=0,F64=0,G64&lt;&gt;0),1/((1/D64)+(1/G64)),IF(AND(D64=0,E64=0,F64&lt;&gt;0,G64&lt;&gt;0),1/((1/F64)+(1/G64)),IF(AND(D64=0,E64&lt;&gt;0,F64=0,G64&lt;&gt;0),1/((1/E64)+(1/G64)),IF(AND(D64=0,E64&lt;&gt;0,F64&lt;&gt;0,G64=0),1/((1/E64)+(1/F64)),IF(AND(D64&lt;&gt;0,E64=0,F64=0,G64=0),1/((1/D64)),IF(AND(D64=0,E64&lt;&gt;0,F64=0,G64=0),1/((1/E64)),IF(AND(D64=0,E64=0,F64&lt;&gt;0,G64=0),1/((1/F64)),IF(AND(D64=0,E64=0,F64=0,G64&lt;&gt;0),1/((1/G64)),IF(AND(D64=0,E64=0,F64=0,G64=0),0)))))))))))))))))</f>
        <v>68.350422635806879</v>
      </c>
      <c r="J64" s="197">
        <f>IFERROR(J25/$B50,0)</f>
        <v>4.4506192310487985E-10</v>
      </c>
      <c r="K64" s="60">
        <f t="shared" ref="K64:V64" si="122">IFERROR(K25/$B50,0)</f>
        <v>68.351684235636881</v>
      </c>
      <c r="L64" s="60">
        <f t="shared" si="122"/>
        <v>324.31263789814619</v>
      </c>
      <c r="M64" s="60">
        <f t="shared" si="122"/>
        <v>114.92340229785884</v>
      </c>
      <c r="N64" s="60">
        <f t="shared" si="122"/>
        <v>75.083289501267785</v>
      </c>
      <c r="O64" s="60">
        <f t="shared" si="122"/>
        <v>330.36647380557821</v>
      </c>
      <c r="P64" s="197">
        <f t="shared" ref="P64:T64" si="123">IFERROR(P25/$B50,0)</f>
        <v>4.4507013797795415E-10</v>
      </c>
      <c r="Q64" s="197">
        <f t="shared" si="123"/>
        <v>2.1117529452488007E-9</v>
      </c>
      <c r="R64" s="197">
        <f t="shared" si="123"/>
        <v>7.4832061696200531E-10</v>
      </c>
      <c r="S64" s="197">
        <f t="shared" si="123"/>
        <v>4.8890280308184366E-10</v>
      </c>
      <c r="T64" s="197">
        <f t="shared" si="123"/>
        <v>2.1511723335601118E-12</v>
      </c>
      <c r="U64" s="60">
        <f t="shared" si="122"/>
        <v>2.7242018088700011</v>
      </c>
      <c r="V64" s="60">
        <f t="shared" si="122"/>
        <v>24713.31363043455</v>
      </c>
      <c r="W64" s="60">
        <f t="shared" si="77"/>
        <v>2.7239015473335111</v>
      </c>
      <c r="X64" s="197">
        <f t="shared" ref="X64" si="124">IFERROR(X25/$B50,0)</f>
        <v>1.7736611044296862E-14</v>
      </c>
      <c r="Y64" s="60" t="str">
        <f>IFERROR(Y25/$B50,".")</f>
        <v>.</v>
      </c>
      <c r="Z64" s="60">
        <f>IFERROR(Z25,".")</f>
        <v>5.4484036177400021</v>
      </c>
      <c r="AA64" s="60">
        <f>IFERROR(AA25/$B50,".")</f>
        <v>408335740.77413428</v>
      </c>
      <c r="AB64" s="60" t="str">
        <f>IFERROR(AB25/$B50,".")</f>
        <v>.</v>
      </c>
      <c r="AC64" s="60">
        <f t="shared" si="2"/>
        <v>5.4484035450422228</v>
      </c>
      <c r="AD64" s="197">
        <f>IFERROR(AD25/$B50,".")</f>
        <v>3.5477131904925653E-14</v>
      </c>
      <c r="AE64" s="60">
        <f>IFERROR(AE25/$B50,0)</f>
        <v>0</v>
      </c>
      <c r="AF64" s="197">
        <f>IFERROR(AF25/$B50,0)</f>
        <v>0</v>
      </c>
    </row>
    <row r="65" spans="1:32" x14ac:dyDescent="0.25">
      <c r="A65" s="83" t="s">
        <v>1073</v>
      </c>
      <c r="B65" s="178">
        <v>1</v>
      </c>
      <c r="C65" s="178"/>
      <c r="D65" s="60">
        <f>IFERROR(D21/$B51,0)</f>
        <v>0</v>
      </c>
      <c r="E65" s="60">
        <f>IFERROR(E21/$B51,0)</f>
        <v>607419.66735843138</v>
      </c>
      <c r="F65" s="60">
        <f>IFERROR(F21/$B51,0)</f>
        <v>18792177.122046541</v>
      </c>
      <c r="G65" s="60">
        <f>IFERROR(G21/$B51,0)</f>
        <v>0</v>
      </c>
      <c r="H65" s="60">
        <f>IFERROR(H21/$B51,0)</f>
        <v>0</v>
      </c>
      <c r="I65" s="60">
        <f t="shared" si="121"/>
        <v>588400.78483736096</v>
      </c>
      <c r="J65" s="197">
        <f>IFERROR(J21/$B51,0)</f>
        <v>2.1183323841336518E-9</v>
      </c>
      <c r="K65" s="60">
        <f t="shared" ref="K65:V65" si="125">IFERROR(K21/$B51,0)</f>
        <v>18792177.122046541</v>
      </c>
      <c r="L65" s="60">
        <f t="shared" si="125"/>
        <v>40725650.123961806</v>
      </c>
      <c r="M65" s="60">
        <f t="shared" si="125"/>
        <v>21508233.971717332</v>
      </c>
      <c r="N65" s="60">
        <f t="shared" si="125"/>
        <v>18856533.893012457</v>
      </c>
      <c r="O65" s="60">
        <f t="shared" si="125"/>
        <v>24255981.924051262</v>
      </c>
      <c r="P65" s="197">
        <f t="shared" ref="P65:T65" si="126">IFERROR(P21/$B51,0)</f>
        <v>6.765469794029934E-8</v>
      </c>
      <c r="Q65" s="197">
        <f t="shared" si="126"/>
        <v>1.4661853917535283E-7</v>
      </c>
      <c r="R65" s="197">
        <f t="shared" si="126"/>
        <v>7.7432916001983237E-8</v>
      </c>
      <c r="S65" s="197">
        <f t="shared" si="126"/>
        <v>6.788639211132776E-8</v>
      </c>
      <c r="T65" s="197">
        <f t="shared" si="126"/>
        <v>8.7325226856862135E-11</v>
      </c>
      <c r="U65" s="60">
        <f t="shared" si="125"/>
        <v>0.44684749095133824</v>
      </c>
      <c r="V65" s="60">
        <f t="shared" si="125"/>
        <v>1016316743.9734919</v>
      </c>
      <c r="W65" s="60">
        <f t="shared" si="77"/>
        <v>0.44684749075487123</v>
      </c>
      <c r="X65" s="197">
        <f t="shared" ref="X65" si="127">IFERROR(X21/$B51,0)</f>
        <v>1.6087189800342413E-18</v>
      </c>
      <c r="Y65" s="60" t="str">
        <f>IFERROR(Y21/$B51,".")</f>
        <v>.</v>
      </c>
      <c r="Z65" s="60">
        <f>IFERROR(Z21,".")</f>
        <v>0.90568574492460363</v>
      </c>
      <c r="AA65" s="60">
        <f>IFERROR(AA21/$B51,".")</f>
        <v>28385463735107.258</v>
      </c>
      <c r="AB65" s="60" t="str">
        <f>IFERROR(AB21/$B51,".")</f>
        <v>.</v>
      </c>
      <c r="AC65" s="60">
        <f t="shared" si="2"/>
        <v>0.90568574492457465</v>
      </c>
      <c r="AD65" s="197">
        <f>IFERROR(AD21/$B51,".")</f>
        <v>3.2606065334400234E-18</v>
      </c>
      <c r="AE65" s="60">
        <f>IFERROR(AE21/$B51,0)</f>
        <v>0</v>
      </c>
      <c r="AF65" s="197">
        <f>IFERROR(AF21/$B51,0)</f>
        <v>0</v>
      </c>
    </row>
    <row r="66" spans="1:32" x14ac:dyDescent="0.25">
      <c r="A66" s="83" t="s">
        <v>1074</v>
      </c>
      <c r="B66" s="181">
        <v>0.99980000000000002</v>
      </c>
      <c r="C66" s="181"/>
      <c r="D66" s="60">
        <f>IFERROR(D17/$B52,0)</f>
        <v>1127.8552033431981</v>
      </c>
      <c r="E66" s="60">
        <f>IFERROR(E17/$B52,0)</f>
        <v>108684.97221042919</v>
      </c>
      <c r="F66" s="60">
        <f>IFERROR(F17/$B52,0)</f>
        <v>0.11648621397801705</v>
      </c>
      <c r="G66" s="60">
        <f>IFERROR(G17/$B52,0)</f>
        <v>9.7308772721176364</v>
      </c>
      <c r="H66" s="60">
        <f>IFERROR(H17/$B52,0)</f>
        <v>0.1703586860855256</v>
      </c>
      <c r="I66" s="60">
        <f t="shared" si="121"/>
        <v>0.11509640926195938</v>
      </c>
      <c r="J66" s="197">
        <f>IFERROR(J17/$B52,0)</f>
        <v>3.5165193948206398E-15</v>
      </c>
      <c r="K66" s="60">
        <f t="shared" ref="K66:V66" si="128">IFERROR(K17/$B52,0)</f>
        <v>0.11648621397801705</v>
      </c>
      <c r="L66" s="60">
        <f t="shared" si="128"/>
        <v>0.51203392611204823</v>
      </c>
      <c r="M66" s="60">
        <f t="shared" si="128"/>
        <v>0.1838460090788066</v>
      </c>
      <c r="N66" s="60">
        <f t="shared" si="128"/>
        <v>0.12437862998154646</v>
      </c>
      <c r="O66" s="60">
        <f t="shared" si="128"/>
        <v>0.51900402144132218</v>
      </c>
      <c r="P66" s="197">
        <f t="shared" ref="P66:T66" si="129">IFERROR(P17/$B52,0)</f>
        <v>3.5589818423493593E-15</v>
      </c>
      <c r="Q66" s="197">
        <f t="shared" si="129"/>
        <v>1.5644078242971621E-14</v>
      </c>
      <c r="R66" s="197">
        <f t="shared" si="129"/>
        <v>5.6170132563785332E-15</v>
      </c>
      <c r="S66" s="197">
        <f t="shared" si="129"/>
        <v>3.8001173749552144E-15</v>
      </c>
      <c r="T66" s="197">
        <f t="shared" si="129"/>
        <v>1.5857034281881184E-17</v>
      </c>
      <c r="U66" s="60">
        <f t="shared" si="128"/>
        <v>7.9953958928511593E-2</v>
      </c>
      <c r="V66" s="60">
        <f t="shared" si="128"/>
        <v>39.356675397283389</v>
      </c>
      <c r="W66" s="60">
        <f t="shared" si="77"/>
        <v>7.9791859995293923E-2</v>
      </c>
      <c r="X66" s="197">
        <f t="shared" ref="X66" si="130">IFERROR(X17/$B52,0)</f>
        <v>2.4378660031317088E-18</v>
      </c>
      <c r="Y66" s="60">
        <f>IFERROR(Y17/$B52,".")</f>
        <v>151.71862995273389</v>
      </c>
      <c r="Z66" s="60">
        <f>IFERROR(Z17,".")</f>
        <v>0.18081425237398285</v>
      </c>
      <c r="AA66" s="60">
        <f>IFERROR(AA17/$B52,".")</f>
        <v>643631.64765421371</v>
      </c>
      <c r="AB66" s="60">
        <f>IFERROR(AB17/$B52,".")</f>
        <v>39.952303885503397</v>
      </c>
      <c r="AC66" s="60">
        <f t="shared" ref="AC66:AC76" si="131">IF(AND(Y66&lt;&gt;".",Z66&lt;&gt;".",AA66&lt;&gt;".",AB66&lt;&gt;"."),1/((1/Y66)+(1/Z66)+(1/AA66)+(1/AB66)),IF(AND(Y66&lt;&gt;".",Z66&lt;&gt;".",AA66&lt;&gt;".",AB66="."), 1/((1/Y66)+(1/Z66)+(1/AA66)),IF(AND(Y66&lt;&gt;".",Z66&lt;&gt;".",AA66=".",AB66&lt;&gt;"."),1/((1/Y66)+(1/Z66)+(1/AB66)),IF(AND(Y66&lt;&gt;".",Z66=".",AA66&lt;&gt;".",AB66&lt;&gt;"."),1/((1/Y66)+(1/AA66)+(1/AB66)),IF(AND(Y66=".",Z66&lt;&gt;".",AA66&lt;&gt;".",AB66&lt;&gt;"."),1/((1/Z66)+(1/AA66)+(1/AB66)),IF(AND(Y66&lt;&gt;".",Z66&lt;&gt;".",AA66=".",AB66="."),1/((1/Y66)+(1/Z66)),IF(AND(Y66&lt;&gt;".",Z66=".",AA66&lt;&gt;".",AB66="."),1/((1/Y66)+(1/AA66)),IF(AND(Y66&lt;&gt;".",Z66=".",AA66=".",AB66&lt;&gt;"."),1/((1/Y66)+(1/AB66)),IF(AND(Y66=".",Z66=".",AA66&lt;&gt;".",AB66&lt;&gt;"."),1/((1/AA66)+(1/AB66)),IF(AND(Y66=".",Z66&lt;&gt;".",AA66=".",AB66&lt;&gt;"."),1/((1/Z66)+(1/AB66)),IF(AND(Y66=".",Z66&lt;&gt;".",AA66&lt;&gt;".",AB66="."),1/((1/Z66)+(1/AA66)),IF(AND(Y66&lt;&gt;".",Z66=".",AA66=".",AB66="."),1/((1/Y66)),IF(AND(Y66=".",Z66&lt;&gt;".",AA66=".",AB66="."),1/((1/Z66)),IF(AND(Y66=".",Z66=".",AA66&lt;&gt;".",AB66="."),1/((1/AA66)),IF(AND(Y66=".",Z66=".",AA66=".",AB66&lt;&gt;"."),1/((1/AB66)),IF(AND(Y66=".",Z66=".",AA66=".",AB66="."),"."))))))))))))))))</f>
        <v>0.17978626912790832</v>
      </c>
      <c r="AD66" s="197">
        <f>IFERROR(AD17/$B52,".")</f>
        <v>5.4940693361238469E-18</v>
      </c>
      <c r="AE66" s="60">
        <f>IFERROR(AE17/$B52,0)</f>
        <v>4.1993173443891063</v>
      </c>
      <c r="AF66" s="197">
        <f>IFERROR(AF17/$B52,0)</f>
        <v>1.283009694328635E-16</v>
      </c>
    </row>
    <row r="67" spans="1:32" x14ac:dyDescent="0.25">
      <c r="A67" s="83" t="s">
        <v>1088</v>
      </c>
      <c r="B67" s="178">
        <v>2.0000000000000001E-4</v>
      </c>
      <c r="C67" s="178"/>
      <c r="D67" s="60">
        <f>IFERROR(D5/$B53,0)</f>
        <v>0</v>
      </c>
      <c r="E67" s="60">
        <f>IFERROR(E5/$B53,0)</f>
        <v>0</v>
      </c>
      <c r="F67" s="60">
        <f>IFERROR(F5/$B53,0)</f>
        <v>23430246.369189944</v>
      </c>
      <c r="G67" s="60">
        <f>IFERROR(G5/$B53,0)</f>
        <v>0</v>
      </c>
      <c r="H67" s="60">
        <f>IFERROR(H5/$B53,0)</f>
        <v>0</v>
      </c>
      <c r="I67" s="60">
        <f t="shared" si="121"/>
        <v>23430246.369189944</v>
      </c>
      <c r="J67" s="197">
        <f>IFERROR(J5/$B53,0)</f>
        <v>6.8026171916635983E-10</v>
      </c>
      <c r="K67" s="60">
        <f t="shared" ref="K67:V67" si="132">IFERROR(K5/$B53,0)</f>
        <v>23430246.369189944</v>
      </c>
      <c r="L67" s="60">
        <f t="shared" si="132"/>
        <v>76644040.87917091</v>
      </c>
      <c r="M67" s="60">
        <f t="shared" si="132"/>
        <v>34870854.317667119</v>
      </c>
      <c r="N67" s="60">
        <f t="shared" si="132"/>
        <v>25142045.190683268</v>
      </c>
      <c r="O67" s="60">
        <f t="shared" si="132"/>
        <v>32199461.384559274</v>
      </c>
      <c r="P67" s="197">
        <f t="shared" ref="P67:T67" si="133">IFERROR(P5/$B53,0)</f>
        <v>6.8026171916635983E-10</v>
      </c>
      <c r="Q67" s="197">
        <f t="shared" si="133"/>
        <v>2.2252436526182433E-9</v>
      </c>
      <c r="R67" s="197">
        <f t="shared" si="133"/>
        <v>1.0124224446111119E-9</v>
      </c>
      <c r="S67" s="197">
        <f t="shared" si="133"/>
        <v>7.2996120549814856E-10</v>
      </c>
      <c r="T67" s="197">
        <f t="shared" si="133"/>
        <v>9.348625965151727E-13</v>
      </c>
      <c r="U67" s="60">
        <f t="shared" si="132"/>
        <v>0</v>
      </c>
      <c r="V67" s="60">
        <f t="shared" si="132"/>
        <v>6505967035.2848539</v>
      </c>
      <c r="W67" s="60">
        <f t="shared" si="77"/>
        <v>6505967035.2848539</v>
      </c>
      <c r="X67" s="197">
        <f t="shared" ref="X67" si="134">IFERROR(X5/$B53,0)</f>
        <v>1.8889089984483806E-10</v>
      </c>
      <c r="Y67" s="60" t="str">
        <f>IFERROR(Y5/$B53,".")</f>
        <v>.</v>
      </c>
      <c r="Z67" s="60" t="str">
        <f>IFERROR(Z5,".")</f>
        <v>.</v>
      </c>
      <c r="AA67" s="60">
        <f>IFERROR(AA5/$B53,".")</f>
        <v>139987537554686.09</v>
      </c>
      <c r="AB67" s="60" t="str">
        <f>IFERROR(AB5/$B53,".")</f>
        <v>.</v>
      </c>
      <c r="AC67" s="60">
        <f t="shared" si="131"/>
        <v>139987537554686.11</v>
      </c>
      <c r="AD67" s="197">
        <f>IFERROR(AD5/$B53,".")</f>
        <v>4.0643261474210638E-6</v>
      </c>
      <c r="AE67" s="60">
        <f>IFERROR(AE5/$B53,0)</f>
        <v>0</v>
      </c>
      <c r="AF67" s="197">
        <f>IFERROR(AF5/$B53,0)</f>
        <v>0</v>
      </c>
    </row>
    <row r="68" spans="1:32" x14ac:dyDescent="0.25">
      <c r="A68" s="83" t="s">
        <v>1089</v>
      </c>
      <c r="B68" s="178">
        <v>0.99999979999999999</v>
      </c>
      <c r="C68" s="178"/>
      <c r="D68" s="60">
        <f>IFERROR(D9/$B54,0)</f>
        <v>2213.8788034431122</v>
      </c>
      <c r="E68" s="60">
        <f>IFERROR(E9/$B54,0)</f>
        <v>136620.30849367657</v>
      </c>
      <c r="F68" s="60">
        <f>IFERROR(F9/$B54,0)</f>
        <v>1.5756750709644812E-2</v>
      </c>
      <c r="G68" s="60">
        <f>IFERROR(G9/$B54,0)</f>
        <v>3.0866669424319086</v>
      </c>
      <c r="H68" s="60">
        <f>IFERROR(H9/$B54,0)</f>
        <v>0.31119287227523301</v>
      </c>
      <c r="I68" s="60">
        <f t="shared" si="121"/>
        <v>1.5676611698453292E-2</v>
      </c>
      <c r="J68" s="197">
        <f>IFERROR(J9/$B54,0)</f>
        <v>3.5564910962955258E-16</v>
      </c>
      <c r="K68" s="60">
        <f t="shared" ref="K68:V68" si="135">IFERROR(K9/$B54,0)</f>
        <v>1.5756750709644812E-2</v>
      </c>
      <c r="L68" s="60">
        <f t="shared" si="135"/>
        <v>8.724468482717064E-2</v>
      </c>
      <c r="M68" s="60">
        <f t="shared" si="135"/>
        <v>3.0364571680044687E-2</v>
      </c>
      <c r="N68" s="60">
        <f t="shared" si="135"/>
        <v>1.884219809195169E-2</v>
      </c>
      <c r="O68" s="60">
        <f t="shared" si="135"/>
        <v>9.0099965421514411E-2</v>
      </c>
      <c r="P68" s="197">
        <f t="shared" ref="P68:T68" si="136">IFERROR(P9/$B54,0)</f>
        <v>3.5746719178436346E-16</v>
      </c>
      <c r="Q68" s="197">
        <f t="shared" si="136"/>
        <v>1.9792857714116597E-15</v>
      </c>
      <c r="R68" s="197">
        <f t="shared" si="136"/>
        <v>6.8886906750111718E-16</v>
      </c>
      <c r="S68" s="197">
        <f t="shared" si="136"/>
        <v>4.2746552021362106E-16</v>
      </c>
      <c r="T68" s="197">
        <f t="shared" si="136"/>
        <v>2.0440623966578601E-18</v>
      </c>
      <c r="U68" s="60">
        <f t="shared" si="135"/>
        <v>0.1005045528553378</v>
      </c>
      <c r="V68" s="60">
        <f t="shared" si="135"/>
        <v>5.9950284147655504</v>
      </c>
      <c r="W68" s="60">
        <f t="shared" si="77"/>
        <v>9.8847410617192558E-2</v>
      </c>
      <c r="X68" s="197">
        <f t="shared" ref="X68" si="137">IFERROR(X9/$B54,0)</f>
        <v>2.2425122374281834E-18</v>
      </c>
      <c r="Y68" s="60">
        <f>IFERROR(Y9/$B54,".")</f>
        <v>272.1037046656312</v>
      </c>
      <c r="Z68" s="60">
        <f>IFERROR(Z9,".")</f>
        <v>0.24685944898147422</v>
      </c>
      <c r="AA68" s="60">
        <f>IFERROR(AA9/$B54,".")</f>
        <v>99120.227866799149</v>
      </c>
      <c r="AB68" s="60">
        <f>IFERROR(AB9/$B54,".")</f>
        <v>42.944971812283967</v>
      </c>
      <c r="AC68" s="60">
        <f t="shared" si="131"/>
        <v>0.24522673191569735</v>
      </c>
      <c r="AD68" s="197">
        <f>IFERROR(AD9/$B54,".")</f>
        <v>5.5633632999507232E-18</v>
      </c>
      <c r="AE68" s="60">
        <f>IFERROR(AE9/$B54,0)</f>
        <v>7.6708599721155073</v>
      </c>
      <c r="AF68" s="197">
        <f>IFERROR(AF9/$B54,0)</f>
        <v>1.7402577621062224E-16</v>
      </c>
    </row>
    <row r="69" spans="1:32" x14ac:dyDescent="0.25">
      <c r="A69" s="83" t="s">
        <v>1090</v>
      </c>
      <c r="B69" s="178">
        <v>1.9999999999999999E-7</v>
      </c>
      <c r="C69" s="178"/>
      <c r="D69" s="60">
        <f>IFERROR(D24/$B55,0)</f>
        <v>0</v>
      </c>
      <c r="E69" s="60">
        <f>IFERROR(E24/$B55,0)</f>
        <v>0</v>
      </c>
      <c r="F69" s="60">
        <f>IFERROR(F24/$B55,0)</f>
        <v>170879210.58909222</v>
      </c>
      <c r="G69" s="60">
        <f>IFERROR(G24/$B55,0)</f>
        <v>0</v>
      </c>
      <c r="H69" s="60">
        <f>IFERROR(H24/$B55,0)</f>
        <v>0</v>
      </c>
      <c r="I69" s="60">
        <f t="shared" si="121"/>
        <v>170879210.58909222</v>
      </c>
      <c r="J69" s="197">
        <f>IFERROR(J24/$B55,0)</f>
        <v>1.1576177876158563E-10</v>
      </c>
      <c r="K69" s="60">
        <f t="shared" ref="K69:V69" si="138">IFERROR(K24/$B55,0)</f>
        <v>170879210.58909222</v>
      </c>
      <c r="L69" s="60">
        <f t="shared" si="138"/>
        <v>830344689.52474427</v>
      </c>
      <c r="M69" s="60">
        <f t="shared" si="138"/>
        <v>294970065.89783764</v>
      </c>
      <c r="N69" s="60">
        <f t="shared" si="138"/>
        <v>190596042.58014131</v>
      </c>
      <c r="O69" s="60">
        <f t="shared" si="138"/>
        <v>849999503.78793716</v>
      </c>
      <c r="P69" s="197">
        <f t="shared" ref="P69:T69" si="139">IFERROR(P24/$B55,0)</f>
        <v>1.1576177876158563E-10</v>
      </c>
      <c r="Q69" s="197">
        <f t="shared" si="139"/>
        <v>5.6251534585891155E-10</v>
      </c>
      <c r="R69" s="197">
        <f t="shared" si="139"/>
        <v>1.9982688000511803E-10</v>
      </c>
      <c r="S69" s="197">
        <f t="shared" si="139"/>
        <v>1.2911890708023012E-10</v>
      </c>
      <c r="T69" s="197">
        <f t="shared" si="139"/>
        <v>5.7583046039210686E-13</v>
      </c>
      <c r="U69" s="60">
        <f t="shared" si="138"/>
        <v>0</v>
      </c>
      <c r="V69" s="60">
        <f t="shared" si="138"/>
        <v>62914846055.501877</v>
      </c>
      <c r="W69" s="60">
        <f t="shared" si="77"/>
        <v>62914846055.501877</v>
      </c>
      <c r="X69" s="197">
        <f t="shared" ref="X69" si="140">IFERROR(X24/$B55,0)</f>
        <v>4.2621536375245495E-11</v>
      </c>
      <c r="Y69" s="60" t="str">
        <f>IFERROR(Y24/$B55,".")</f>
        <v>.</v>
      </c>
      <c r="Z69" s="60" t="str">
        <f>IFERROR(Z24,".")</f>
        <v>.</v>
      </c>
      <c r="AA69" s="60">
        <f>IFERROR(AA24/$B55,".")</f>
        <v>1036332697917491</v>
      </c>
      <c r="AB69" s="60" t="str">
        <f>IFERROR(AB24/$B55,".")</f>
        <v>.</v>
      </c>
      <c r="AC69" s="60">
        <f t="shared" si="131"/>
        <v>1036332697917491</v>
      </c>
      <c r="AD69" s="197">
        <f>IFERROR(AD24/$B55,".")</f>
        <v>7.0206150933248568E-7</v>
      </c>
      <c r="AE69" s="60">
        <f>IFERROR(AE24/$B55,0)</f>
        <v>0</v>
      </c>
      <c r="AF69" s="197">
        <f>IFERROR(AF24/$B55,0)</f>
        <v>0</v>
      </c>
    </row>
    <row r="70" spans="1:32" x14ac:dyDescent="0.25">
      <c r="A70" s="83" t="s">
        <v>1091</v>
      </c>
      <c r="B70" s="178">
        <v>0.99979000004200003</v>
      </c>
      <c r="C70" s="178"/>
      <c r="D70" s="60">
        <f>IFERROR(D20/$B56,0)</f>
        <v>0</v>
      </c>
      <c r="E70" s="60">
        <f>IFERROR(E20/$B56,0)</f>
        <v>0</v>
      </c>
      <c r="F70" s="60">
        <f>IFERROR(F20/$B56,0)</f>
        <v>300.39624120310714</v>
      </c>
      <c r="G70" s="60">
        <f>IFERROR(G20/$B56,0)</f>
        <v>0</v>
      </c>
      <c r="H70" s="60">
        <f>IFERROR(H20/$B56,0)</f>
        <v>0</v>
      </c>
      <c r="I70" s="60">
        <f t="shared" si="121"/>
        <v>300.39624120310714</v>
      </c>
      <c r="J70" s="197">
        <f>IFERROR(J20/$B56,0)</f>
        <v>9.3777198680424151E-19</v>
      </c>
      <c r="K70" s="60">
        <f t="shared" ref="K70:V70" si="141">IFERROR(K20/$B56,0)</f>
        <v>300.39624120310714</v>
      </c>
      <c r="L70" s="60">
        <f t="shared" si="141"/>
        <v>1518.5471751995306</v>
      </c>
      <c r="M70" s="60">
        <f t="shared" si="141"/>
        <v>538.75412824470311</v>
      </c>
      <c r="N70" s="60">
        <f t="shared" si="141"/>
        <v>343.01300898624692</v>
      </c>
      <c r="O70" s="60">
        <f t="shared" si="141"/>
        <v>1558.6597420915939</v>
      </c>
      <c r="P70" s="197">
        <f t="shared" ref="P70:T70" si="142">IFERROR(P20/$B56,0)</f>
        <v>9.3777198680424151E-19</v>
      </c>
      <c r="Q70" s="197">
        <f t="shared" si="142"/>
        <v>4.7405753009405591E-18</v>
      </c>
      <c r="R70" s="197">
        <f t="shared" si="142"/>
        <v>1.6818736719858681E-18</v>
      </c>
      <c r="S70" s="197">
        <f t="shared" si="142"/>
        <v>1.0708123032712792E-18</v>
      </c>
      <c r="T70" s="197">
        <f t="shared" si="142"/>
        <v>4.8657980447389892E-21</v>
      </c>
      <c r="U70" s="60">
        <f t="shared" si="141"/>
        <v>0</v>
      </c>
      <c r="V70" s="60">
        <f t="shared" si="141"/>
        <v>112283.40286382024</v>
      </c>
      <c r="W70" s="60">
        <f t="shared" si="77"/>
        <v>112283.40286382023</v>
      </c>
      <c r="X70" s="197">
        <f t="shared" ref="X70" si="143">IFERROR(X20/$B56,0)</f>
        <v>3.5052445851861285E-19</v>
      </c>
      <c r="Y70" s="60" t="str">
        <f>IFERROR(Y20/$B56,".")</f>
        <v>.</v>
      </c>
      <c r="Z70" s="60" t="str">
        <f>IFERROR(Z20,".")</f>
        <v>.</v>
      </c>
      <c r="AA70" s="60">
        <f>IFERROR(AA20/$B56,".")</f>
        <v>1854221331.6961141</v>
      </c>
      <c r="AB70" s="60" t="str">
        <f>IFERROR(AB20/$B56,".")</f>
        <v>.</v>
      </c>
      <c r="AC70" s="60">
        <f t="shared" si="131"/>
        <v>1854221331.6961141</v>
      </c>
      <c r="AD70" s="197">
        <f>IFERROR(AD20/$B56,".")</f>
        <v>5.7884772966376439E-15</v>
      </c>
      <c r="AE70" s="60">
        <f>IFERROR(AE20/$B56,0)</f>
        <v>0</v>
      </c>
      <c r="AF70" s="197">
        <f>IFERROR(AF20/$B56,0)</f>
        <v>0</v>
      </c>
    </row>
    <row r="71" spans="1:32" x14ac:dyDescent="0.25">
      <c r="A71" s="83" t="s">
        <v>1092</v>
      </c>
      <c r="B71" s="178">
        <v>2.0999995799999999E-4</v>
      </c>
      <c r="C71" s="178"/>
      <c r="D71" s="60">
        <f>IFERROR(D29/$B57,0)</f>
        <v>0</v>
      </c>
      <c r="E71" s="60">
        <f>IFERROR(E29/$B57,0)</f>
        <v>0</v>
      </c>
      <c r="F71" s="60">
        <f>IFERROR(F29/$B57,0)</f>
        <v>41.039321724085241</v>
      </c>
      <c r="G71" s="60">
        <f>IFERROR(G29/$B57,0)</f>
        <v>0</v>
      </c>
      <c r="H71" s="60">
        <f>IFERROR(H29/$B57,0)</f>
        <v>0</v>
      </c>
      <c r="I71" s="60">
        <f t="shared" si="121"/>
        <v>41.039321724085241</v>
      </c>
      <c r="J71" s="197">
        <f>IFERROR(J29/$B57,0)</f>
        <v>5.968504095489114E-14</v>
      </c>
      <c r="K71" s="60">
        <f t="shared" ref="K71:V71" si="144">IFERROR(K29/$B57,0)</f>
        <v>41.039321724085241</v>
      </c>
      <c r="L71" s="60">
        <f t="shared" si="144"/>
        <v>221.78204879087423</v>
      </c>
      <c r="M71" s="60">
        <f t="shared" si="144"/>
        <v>77.419980286578138</v>
      </c>
      <c r="N71" s="60">
        <f t="shared" si="144"/>
        <v>48.504850958579674</v>
      </c>
      <c r="O71" s="60">
        <f t="shared" si="144"/>
        <v>229.10300962474776</v>
      </c>
      <c r="P71" s="197">
        <f t="shared" ref="P71:T71" si="145">IFERROR(P29/$B57,0)</f>
        <v>5.968504095489114E-14</v>
      </c>
      <c r="Q71" s="197">
        <f t="shared" si="145"/>
        <v>3.2254603899494752E-13</v>
      </c>
      <c r="R71" s="197">
        <f t="shared" si="145"/>
        <v>1.1259481151267194E-13</v>
      </c>
      <c r="S71" s="197">
        <f t="shared" si="145"/>
        <v>7.0542443060765479E-14</v>
      </c>
      <c r="T71" s="197">
        <f t="shared" si="145"/>
        <v>3.3319318979672254E-16</v>
      </c>
      <c r="U71" s="60">
        <f t="shared" si="144"/>
        <v>0</v>
      </c>
      <c r="V71" s="60">
        <f t="shared" si="144"/>
        <v>15431.94645849353</v>
      </c>
      <c r="W71" s="60">
        <f t="shared" si="77"/>
        <v>15431.94645849353</v>
      </c>
      <c r="X71" s="197">
        <f t="shared" ref="X71" si="146">IFERROR(X29/$B57,0)</f>
        <v>2.2443264598311386E-14</v>
      </c>
      <c r="Y71" s="60" t="str">
        <f>IFERROR(Y29/$B57,".")</f>
        <v>.</v>
      </c>
      <c r="Z71" s="60" t="str">
        <f>IFERROR(Z29,".")</f>
        <v>.</v>
      </c>
      <c r="AA71" s="60">
        <f>IFERROR(AA29/$B57,".")</f>
        <v>254470150.21704131</v>
      </c>
      <c r="AB71" s="60" t="str">
        <f>IFERROR(AB29/$B57,".")</f>
        <v>.</v>
      </c>
      <c r="AC71" s="60">
        <f t="shared" si="131"/>
        <v>254470150.21704131</v>
      </c>
      <c r="AD71" s="197">
        <f>IFERROR(AD29/$B57,".")</f>
        <v>3.7008558376314029E-10</v>
      </c>
      <c r="AE71" s="60">
        <f>IFERROR(AE29/$B57,0)</f>
        <v>0</v>
      </c>
      <c r="AF71" s="197">
        <f>IFERROR(AF29/$B57,0)</f>
        <v>0</v>
      </c>
    </row>
    <row r="72" spans="1:32" x14ac:dyDescent="0.25">
      <c r="A72" s="83" t="s">
        <v>1093</v>
      </c>
      <c r="B72" s="178">
        <v>1</v>
      </c>
      <c r="C72" s="178"/>
      <c r="D72" s="60">
        <f>IFERROR(D16/$B58,0)</f>
        <v>0.52007056317401146</v>
      </c>
      <c r="E72" s="60">
        <f>IFERROR(E16/$B58,0)</f>
        <v>531.91793462371311</v>
      </c>
      <c r="F72" s="60">
        <f>IFERROR(F16/$B58,0)</f>
        <v>78.039324521002754</v>
      </c>
      <c r="G72" s="60">
        <f>IFERROR(G16/$B58,0)</f>
        <v>4.0078301058581178E-3</v>
      </c>
      <c r="H72" s="60">
        <f>IFERROR(H16/$B58,0)</f>
        <v>7.016517131958622E-5</v>
      </c>
      <c r="I72" s="60">
        <f t="shared" si="121"/>
        <v>3.9769482631577188E-3</v>
      </c>
      <c r="J72" s="197">
        <f>IFERROR(J16/$B58,0)</f>
        <v>5.1913491847955606E-11</v>
      </c>
      <c r="K72" s="60">
        <f t="shared" ref="K72:V72" si="147">IFERROR(K16/$B58,0)</f>
        <v>78.039324521002754</v>
      </c>
      <c r="L72" s="60">
        <f t="shared" si="147"/>
        <v>121.45826242852142</v>
      </c>
      <c r="M72" s="60">
        <f t="shared" si="147"/>
        <v>78.909189603243206</v>
      </c>
      <c r="N72" s="60">
        <f t="shared" si="147"/>
        <v>78.039324521002754</v>
      </c>
      <c r="O72" s="60">
        <f t="shared" si="147"/>
        <v>67.421729348077193</v>
      </c>
      <c r="P72" s="197">
        <f t="shared" ref="P72:T72" si="148">IFERROR(P16/$B58,0)</f>
        <v>1.0186941265673617E-6</v>
      </c>
      <c r="Q72" s="197">
        <f t="shared" si="148"/>
        <v>1.5854675744369475E-6</v>
      </c>
      <c r="R72" s="197">
        <f t="shared" si="148"/>
        <v>1.0300489974048956E-6</v>
      </c>
      <c r="S72" s="197">
        <f t="shared" si="148"/>
        <v>1.0186941265673617E-6</v>
      </c>
      <c r="T72" s="197">
        <f t="shared" si="148"/>
        <v>8.8009628621806056E-10</v>
      </c>
      <c r="U72" s="60">
        <f t="shared" si="147"/>
        <v>3.9130473913082608E-4</v>
      </c>
      <c r="V72" s="60">
        <f t="shared" si="147"/>
        <v>10193.325206618407</v>
      </c>
      <c r="W72" s="60">
        <f t="shared" si="77"/>
        <v>3.9130472410929095E-4</v>
      </c>
      <c r="X72" s="197">
        <f t="shared" ref="X72" si="149">IFERROR(X16/$B58,0)</f>
        <v>5.1079353466330407E-15</v>
      </c>
      <c r="Y72" s="60">
        <f>IFERROR(Y16/$B58,".")</f>
        <v>5.9088616936024282E-2</v>
      </c>
      <c r="Z72" s="60" t="str">
        <f>IFERROR(Z16,".")</f>
        <v>.</v>
      </c>
      <c r="AA72" s="60">
        <f>IFERROR(AA16/$B58,".")</f>
        <v>157980794.30978718</v>
      </c>
      <c r="AB72" s="60">
        <f>IFERROR(AB16/$B58,".")</f>
        <v>1.645504735421115E-2</v>
      </c>
      <c r="AC72" s="60">
        <f t="shared" si="131"/>
        <v>1.2870781406132901E-2</v>
      </c>
      <c r="AD72" s="197">
        <f>IFERROR(AD16/$B58,".")</f>
        <v>1.6801003216309645E-13</v>
      </c>
      <c r="AE72" s="60">
        <f>IFERROR(AE16/$B58,0)</f>
        <v>1.7295614779891508E-3</v>
      </c>
      <c r="AF72" s="197">
        <f>IFERROR(AF16/$B58,0)</f>
        <v>2.2577003709079177E-14</v>
      </c>
    </row>
    <row r="73" spans="1:32" x14ac:dyDescent="0.25">
      <c r="A73" s="83" t="s">
        <v>1094</v>
      </c>
      <c r="B73" s="178">
        <v>1</v>
      </c>
      <c r="C73" s="178"/>
      <c r="D73" s="60">
        <f>IFERROR(D7/$B59,0)</f>
        <v>37.18224057207108</v>
      </c>
      <c r="E73" s="60">
        <f>IFERROR(E7/$B59,0)</f>
        <v>18552.259671022188</v>
      </c>
      <c r="F73" s="60">
        <f>IFERROR(F7/$B59,0)</f>
        <v>41.818540988047886</v>
      </c>
      <c r="G73" s="60">
        <f>IFERROR(G7/$B59,0)</f>
        <v>6.2873288497035204E-2</v>
      </c>
      <c r="H73" s="60">
        <f>IFERROR(H7/$B59,0)</f>
        <v>6.3387853635308005E-3</v>
      </c>
      <c r="I73" s="60">
        <f t="shared" si="121"/>
        <v>6.2672872109822114E-2</v>
      </c>
      <c r="J73" s="197">
        <f>IFERROR(J7/$B59,0)</f>
        <v>5.0612963133502732E-13</v>
      </c>
      <c r="K73" s="60">
        <f t="shared" ref="K73:V73" si="150">IFERROR(K7/$B59,0)</f>
        <v>41.818540988047886</v>
      </c>
      <c r="L73" s="60">
        <f t="shared" si="150"/>
        <v>121.22057502650866</v>
      </c>
      <c r="M73" s="60">
        <f t="shared" si="150"/>
        <v>56.312467125950839</v>
      </c>
      <c r="N73" s="60">
        <f t="shared" si="150"/>
        <v>43.091279192031941</v>
      </c>
      <c r="O73" s="60">
        <f t="shared" si="150"/>
        <v>23.997564683213916</v>
      </c>
      <c r="P73" s="197">
        <f t="shared" ref="P73:T73" si="151">IFERROR(P7/$B59,0)</f>
        <v>3.3771553817033902E-10</v>
      </c>
      <c r="Q73" s="197">
        <f t="shared" si="151"/>
        <v>9.7894548124229866E-10</v>
      </c>
      <c r="R73" s="197">
        <f t="shared" si="151"/>
        <v>4.5476467355892236E-10</v>
      </c>
      <c r="S73" s="197">
        <f t="shared" si="151"/>
        <v>3.4799383715813182E-10</v>
      </c>
      <c r="T73" s="197">
        <f t="shared" si="151"/>
        <v>1.9379802069339061E-13</v>
      </c>
      <c r="U73" s="60">
        <f t="shared" si="150"/>
        <v>1.3647945779441006E-2</v>
      </c>
      <c r="V73" s="60">
        <f t="shared" si="150"/>
        <v>7583.1138954313528</v>
      </c>
      <c r="W73" s="60">
        <f t="shared" si="77"/>
        <v>1.3647921216169067E-2</v>
      </c>
      <c r="X73" s="197">
        <f t="shared" ref="X73" si="152">IFERROR(X7/$B59,0)</f>
        <v>1.1021702215154399E-16</v>
      </c>
      <c r="Y73" s="60">
        <f>IFERROR(Y7/$B59,".")</f>
        <v>5.8598254969750228</v>
      </c>
      <c r="Z73" s="60" t="str">
        <f>IFERROR(Z7,".")</f>
        <v>.</v>
      </c>
      <c r="AA73" s="60">
        <f>IFERROR(AA7/$B59,".")</f>
        <v>183446355.18360361</v>
      </c>
      <c r="AB73" s="60">
        <f>IFERROR(AB7/$B59,".")</f>
        <v>0.87475962020166631</v>
      </c>
      <c r="AC73" s="60">
        <f t="shared" si="131"/>
        <v>0.7611365237392419</v>
      </c>
      <c r="AD73" s="197">
        <f>IFERROR(AD7/$B59,".")</f>
        <v>6.1467383763858618E-15</v>
      </c>
      <c r="AE73" s="60">
        <f>IFERROR(AE7/$B59,0)</f>
        <v>0.15625015625015626</v>
      </c>
      <c r="AF73" s="197">
        <f>IFERROR(AF7/$B59,0)</f>
        <v>1.2618351659447583E-15</v>
      </c>
    </row>
    <row r="74" spans="1:32" x14ac:dyDescent="0.25">
      <c r="A74" s="83" t="s">
        <v>1095</v>
      </c>
      <c r="B74" s="182">
        <v>1.9000000000000001E-8</v>
      </c>
      <c r="C74" s="182"/>
      <c r="D74" s="60">
        <f>IFERROR(D12/$B60,0)</f>
        <v>0</v>
      </c>
      <c r="E74" s="60">
        <f>IFERROR(E12/$B60,0)</f>
        <v>0</v>
      </c>
      <c r="F74" s="60">
        <f>IFERROR(F12/$B60,0)</f>
        <v>12599789.237436239</v>
      </c>
      <c r="G74" s="60">
        <f>IFERROR(G12/$B60,0)</f>
        <v>0</v>
      </c>
      <c r="H74" s="60">
        <f>IFERROR(H12/$B60,0)</f>
        <v>0</v>
      </c>
      <c r="I74" s="60">
        <f t="shared" si="121"/>
        <v>12599789.237436239</v>
      </c>
      <c r="J74" s="197">
        <f>IFERROR(J12/$B60,0)</f>
        <v>1.1269140262946887E-7</v>
      </c>
      <c r="K74" s="60">
        <f t="shared" ref="K74:V74" si="153">IFERROR(K12/$B60,0)</f>
        <v>12599789.237436239</v>
      </c>
      <c r="L74" s="60">
        <f t="shared" si="153"/>
        <v>55445501.108616106</v>
      </c>
      <c r="M74" s="60">
        <f t="shared" si="153"/>
        <v>19879240.641381878</v>
      </c>
      <c r="N74" s="60">
        <f t="shared" si="153"/>
        <v>13478844.300513186</v>
      </c>
      <c r="O74" s="60">
        <f t="shared" si="153"/>
        <v>54506925.22778061</v>
      </c>
      <c r="P74" s="197">
        <f t="shared" ref="P74:T74" si="154">IFERROR(P12/$B60,0)</f>
        <v>1.1269140262946888E-7</v>
      </c>
      <c r="Q74" s="197">
        <f t="shared" si="154"/>
        <v>4.9589966718324949E-7</v>
      </c>
      <c r="R74" s="197">
        <f t="shared" si="154"/>
        <v>1.7779817335594562E-7</v>
      </c>
      <c r="S74" s="197">
        <f t="shared" si="154"/>
        <v>1.205535935105946E-7</v>
      </c>
      <c r="T74" s="197">
        <f t="shared" si="154"/>
        <v>4.8750512736259275E-10</v>
      </c>
      <c r="U74" s="60">
        <f t="shared" si="153"/>
        <v>0</v>
      </c>
      <c r="V74" s="60">
        <f t="shared" si="153"/>
        <v>4254056463.9385796</v>
      </c>
      <c r="W74" s="60">
        <f t="shared" si="77"/>
        <v>4254056463.93858</v>
      </c>
      <c r="X74" s="197">
        <f t="shared" ref="X74" si="155">IFERROR(X12/$B60,0)</f>
        <v>3.8047905465103069E-8</v>
      </c>
      <c r="Y74" s="60" t="str">
        <f>IFERROR(Y12/$B60,".")</f>
        <v>.</v>
      </c>
      <c r="Z74" s="60" t="str">
        <f>IFERROR(Z12,".")</f>
        <v>.</v>
      </c>
      <c r="AA74" s="60">
        <f>IFERROR(AA12/$B60,".")</f>
        <v>69934030141117.734</v>
      </c>
      <c r="AB74" s="60" t="str">
        <f>IFERROR(AB12/$B60,".")</f>
        <v>.</v>
      </c>
      <c r="AC74" s="60">
        <f t="shared" si="131"/>
        <v>69934030141117.734</v>
      </c>
      <c r="AD74" s="197">
        <f>IFERROR(AD12/$B60,".")</f>
        <v>6.2548379180171916E-4</v>
      </c>
      <c r="AE74" s="60">
        <f>IFERROR(AE12/$B60,0)</f>
        <v>0</v>
      </c>
      <c r="AF74" s="197">
        <f>IFERROR(AF12/$B60,0)</f>
        <v>0</v>
      </c>
    </row>
    <row r="75" spans="1:32" x14ac:dyDescent="0.25">
      <c r="A75" s="83" t="s">
        <v>1096</v>
      </c>
      <c r="B75" s="178">
        <v>1</v>
      </c>
      <c r="C75" s="178"/>
      <c r="D75" s="60">
        <f>IFERROR(D18/$B61,0)</f>
        <v>0.27266976419518796</v>
      </c>
      <c r="E75" s="60">
        <f>IFERROR(E18/$B61,0)</f>
        <v>582.1244743713595</v>
      </c>
      <c r="F75" s="60">
        <f>IFERROR(F18/$B61,0)</f>
        <v>2567.6150813905047</v>
      </c>
      <c r="G75" s="60">
        <f>IFERROR(G18/$B61,0)</f>
        <v>1.6410020144732348E-2</v>
      </c>
      <c r="H75" s="60">
        <f>IFERROR(H18/$B61,0)</f>
        <v>3.6637971230916941E-5</v>
      </c>
      <c r="I75" s="60">
        <f t="shared" si="121"/>
        <v>1.5477977432891116E-2</v>
      </c>
      <c r="J75" s="197">
        <f>IFERROR(J18/$B61,0)</f>
        <v>3.4503205366827364E-12</v>
      </c>
      <c r="K75" s="60">
        <f t="shared" ref="K75:V75" si="156">IFERROR(K18/$B61,0)</f>
        <v>2567.6150813905047</v>
      </c>
      <c r="L75" s="60">
        <f t="shared" si="156"/>
        <v>12931.881803454266</v>
      </c>
      <c r="M75" s="60">
        <f t="shared" si="156"/>
        <v>4554.6848410695529</v>
      </c>
      <c r="N75" s="60">
        <f t="shared" si="156"/>
        <v>2923.5971133237017</v>
      </c>
      <c r="O75" s="60">
        <f t="shared" si="156"/>
        <v>13303.347938479661</v>
      </c>
      <c r="P75" s="197">
        <f t="shared" ref="P75:T75" si="157">IFERROR(P18/$B61,0)</f>
        <v>5.7236774533552172E-7</v>
      </c>
      <c r="Q75" s="197">
        <f t="shared" si="157"/>
        <v>2.8827498655990525E-6</v>
      </c>
      <c r="R75" s="197">
        <f t="shared" si="157"/>
        <v>1.0153214600161366E-6</v>
      </c>
      <c r="S75" s="197">
        <f t="shared" si="157"/>
        <v>6.5172256548528429E-7</v>
      </c>
      <c r="T75" s="197">
        <f t="shared" si="157"/>
        <v>2.9655563718055215E-9</v>
      </c>
      <c r="U75" s="60">
        <f t="shared" si="156"/>
        <v>4.2823911501817447E-4</v>
      </c>
      <c r="V75" s="60">
        <f t="shared" si="156"/>
        <v>959539.27224312944</v>
      </c>
      <c r="W75" s="60">
        <f t="shared" si="77"/>
        <v>4.2823911482705283E-4</v>
      </c>
      <c r="X75" s="197">
        <f t="shared" ref="X75" si="158">IFERROR(X18/$B61,0)</f>
        <v>9.5462228117658165E-17</v>
      </c>
      <c r="Y75" s="60">
        <f>IFERROR(Y18/$B61,".")</f>
        <v>2.9421207182728757E-2</v>
      </c>
      <c r="Z75" s="60" t="str">
        <f>IFERROR(Z18,".")</f>
        <v>.</v>
      </c>
      <c r="AA75" s="60">
        <f>IFERROR(AA18/$B61,".")</f>
        <v>15818411579.538536</v>
      </c>
      <c r="AB75" s="60">
        <f>IFERROR(AB18/$B61,".")</f>
        <v>9.8429370750903501E-3</v>
      </c>
      <c r="AC75" s="60">
        <f t="shared" si="131"/>
        <v>7.3754591229882949E-3</v>
      </c>
      <c r="AD75" s="197">
        <f>IFERROR(AD18/$B61,".")</f>
        <v>1.6441229604995752E-15</v>
      </c>
      <c r="AE75" s="60">
        <f>IFERROR(AE18/$B61,0)</f>
        <v>9.0312077175788187E-4</v>
      </c>
      <c r="AF75" s="197">
        <f>IFERROR(AF18/$B61,0)</f>
        <v>2.0132192073618606E-16</v>
      </c>
    </row>
    <row r="76" spans="1:32" x14ac:dyDescent="0.25">
      <c r="A76" s="83" t="s">
        <v>1097</v>
      </c>
      <c r="B76" s="178">
        <v>1.339E-6</v>
      </c>
      <c r="C76" s="178"/>
      <c r="D76" s="60">
        <f>IFERROR(D27/$B62,0)</f>
        <v>0</v>
      </c>
      <c r="E76" s="60">
        <f>IFERROR(E27/$B62,0)</f>
        <v>0</v>
      </c>
      <c r="F76" s="60">
        <f>IFERROR(F27/$B62,0)</f>
        <v>14152558.434731761</v>
      </c>
      <c r="G76" s="60">
        <f>IFERROR(G27/$B62,0)</f>
        <v>0</v>
      </c>
      <c r="H76" s="60">
        <f>IFERROR(H27/$B62,0)</f>
        <v>0</v>
      </c>
      <c r="I76" s="60">
        <f t="shared" si="121"/>
        <v>14152558.434731761</v>
      </c>
      <c r="J76" s="197">
        <f>IFERROR(J27/$B62,0)</f>
        <v>6.5231015908759109E-8</v>
      </c>
      <c r="K76" s="60">
        <f t="shared" ref="K76:V76" si="159">IFERROR(K27/$B62,0)</f>
        <v>14152558.434731761</v>
      </c>
      <c r="L76" s="60">
        <f t="shared" si="159"/>
        <v>41676734.57975626</v>
      </c>
      <c r="M76" s="60">
        <f t="shared" si="159"/>
        <v>19602192.959122643</v>
      </c>
      <c r="N76" s="60">
        <f t="shared" si="159"/>
        <v>14744597.73180221</v>
      </c>
      <c r="O76" s="60">
        <f t="shared" si="159"/>
        <v>10084179.920115409</v>
      </c>
      <c r="P76" s="197">
        <f t="shared" ref="P76:T76" si="160">IFERROR(P27/$B62,0)</f>
        <v>6.5231015908759109E-8</v>
      </c>
      <c r="Q76" s="197">
        <f t="shared" si="160"/>
        <v>1.9209358851509586E-7</v>
      </c>
      <c r="R76" s="197">
        <f t="shared" si="160"/>
        <v>9.034910307277809E-8</v>
      </c>
      <c r="S76" s="197">
        <f t="shared" si="160"/>
        <v>6.7959803426854625E-8</v>
      </c>
      <c r="T76" s="197">
        <f t="shared" si="160"/>
        <v>4.6479320599837891E-11</v>
      </c>
      <c r="U76" s="60">
        <f t="shared" si="159"/>
        <v>0</v>
      </c>
      <c r="V76" s="60">
        <f t="shared" si="159"/>
        <v>3186906511.8869667</v>
      </c>
      <c r="W76" s="60">
        <f t="shared" si="77"/>
        <v>3186906511.8869667</v>
      </c>
      <c r="X76" s="197">
        <f t="shared" ref="X76" si="161">IFERROR(X27/$B62,0)</f>
        <v>1.4688874123738383E-8</v>
      </c>
      <c r="Y76" s="60" t="str">
        <f>IFERROR(Y27/$B62,".")</f>
        <v>.</v>
      </c>
      <c r="Z76" s="60" t="str">
        <f>IFERROR(Z27,".")</f>
        <v>.</v>
      </c>
      <c r="AA76" s="60">
        <f>IFERROR(AA27/$B62,".")</f>
        <v>72850538765611.875</v>
      </c>
      <c r="AB76" s="60" t="str">
        <f>IFERROR(AB27/$B62,".")</f>
        <v>.</v>
      </c>
      <c r="AC76" s="60">
        <f t="shared" si="131"/>
        <v>72850538765611.875</v>
      </c>
      <c r="AD76" s="197">
        <f>IFERROR(AD27/$B62,".")</f>
        <v>3.3577778004570174E-4</v>
      </c>
      <c r="AE76" s="60">
        <f>IFERROR(AE27/$B62,0)</f>
        <v>0</v>
      </c>
      <c r="AF76" s="197">
        <f>IFERROR(AF27/$B62,0)</f>
        <v>0</v>
      </c>
    </row>
  </sheetData>
  <sheetProtection algorithmName="SHA-512" hashValue="EgRbkEtfqUscuHTT0Y+aWeQgLeddZsB679VCotEQXLE93qfEIkMLK5evoq/w42ZTXFAPYPgr4iBixtrPmGCjOA==" saltValue="JKluUMFtu4RSxcqwkbrTJQ==" spinCount="100000" sheet="1" formatColumns="0" formatRows="0" autoFilter="0"/>
  <autoFilter ref="A1:AF76" xr:uid="{F69E54CC-BFFE-4AB6-ADAC-967FCEC9C2B5}"/>
  <pageMargins left="0.7" right="0.7" top="0.75" bottom="0.75" header="0.3" footer="0.3"/>
  <pageSetup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839</vt:i4>
      </vt:variant>
    </vt:vector>
  </HeadingPairs>
  <TitlesOfParts>
    <vt:vector size="872" baseType="lpstr">
      <vt:lpstr>Instructions</vt:lpstr>
      <vt:lpstr>RadSpec</vt:lpstr>
      <vt:lpstr>d</vt:lpstr>
      <vt:lpstr>d_Bv</vt:lpstr>
      <vt:lpstr>d_Irr</vt:lpstr>
      <vt:lpstr>d_dir</vt:lpstr>
      <vt:lpstr>d_b2s</vt:lpstr>
      <vt:lpstr>d_b2w</vt:lpstr>
      <vt:lpstr>d_res</vt:lpstr>
      <vt:lpstr>d_far</vt:lpstr>
      <vt:lpstr>d_rec</vt:lpstr>
      <vt:lpstr>d_sgw</vt:lpstr>
      <vt:lpstr>d_acf</vt:lpstr>
      <vt:lpstr>s_RadSpec</vt:lpstr>
      <vt:lpstr>ss</vt:lpstr>
      <vt:lpstr>s_Irr</vt:lpstr>
      <vt:lpstr>s_dir</vt:lpstr>
      <vt:lpstr>s_b2s</vt:lpstr>
      <vt:lpstr>s_b2w</vt:lpstr>
      <vt:lpstr>s_res</vt:lpstr>
      <vt:lpstr>s_far</vt:lpstr>
      <vt:lpstr>s_rec</vt:lpstr>
      <vt:lpstr>s_sgw</vt:lpstr>
      <vt:lpstr>up_RadSpec</vt:lpstr>
      <vt:lpstr>up_Bv</vt:lpstr>
      <vt:lpstr>up_Irr</vt:lpstr>
      <vt:lpstr>up_dir</vt:lpstr>
      <vt:lpstr>up_b2s</vt:lpstr>
      <vt:lpstr>up_b2w</vt:lpstr>
      <vt:lpstr>up_res</vt:lpstr>
      <vt:lpstr>up_far</vt:lpstr>
      <vt:lpstr>up_rec</vt:lpstr>
      <vt:lpstr>up_sgw</vt:lpstr>
      <vt:lpstr>A_wind</vt:lpstr>
      <vt:lpstr>As</vt:lpstr>
      <vt:lpstr>B_wind</vt:lpstr>
      <vt:lpstr>C_wind</vt:lpstr>
      <vt:lpstr>CF_apple</vt:lpstr>
      <vt:lpstr>CF_asparagus</vt:lpstr>
      <vt:lpstr>CF_beet</vt:lpstr>
      <vt:lpstr>CF_berries</vt:lpstr>
      <vt:lpstr>CF_broccoli</vt:lpstr>
      <vt:lpstr>CF_cabbage</vt:lpstr>
      <vt:lpstr>CF_carrot</vt:lpstr>
      <vt:lpstr>CF_cereal</vt:lpstr>
      <vt:lpstr>CF_citrus</vt:lpstr>
      <vt:lpstr>CF_corn</vt:lpstr>
      <vt:lpstr>CF_cucumber</vt:lpstr>
      <vt:lpstr>CF_far_beef</vt:lpstr>
      <vt:lpstr>CF_far_dairy</vt:lpstr>
      <vt:lpstr>CF_far_egg</vt:lpstr>
      <vt:lpstr>CF_far_fish</vt:lpstr>
      <vt:lpstr>CF_far_poultry</vt:lpstr>
      <vt:lpstr>CF_far_produce</vt:lpstr>
      <vt:lpstr>CF_far_sheep</vt:lpstr>
      <vt:lpstr>CF_far_shellfish</vt:lpstr>
      <vt:lpstr>CF_far_swine</vt:lpstr>
      <vt:lpstr>CF_fowl</vt:lpstr>
      <vt:lpstr>CF_game</vt:lpstr>
      <vt:lpstr>CF_lettuce</vt:lpstr>
      <vt:lpstr>CF_lima_bean</vt:lpstr>
      <vt:lpstr>CF_okra</vt:lpstr>
      <vt:lpstr>CF_onion</vt:lpstr>
      <vt:lpstr>CF_peach</vt:lpstr>
      <vt:lpstr>CF_pear</vt:lpstr>
      <vt:lpstr>CF_peas</vt:lpstr>
      <vt:lpstr>ss!CF_peppers</vt:lpstr>
      <vt:lpstr>CF_peppers</vt:lpstr>
      <vt:lpstr>CF_potato</vt:lpstr>
      <vt:lpstr>CF_pumpkin</vt:lpstr>
      <vt:lpstr>CF_res_fish</vt:lpstr>
      <vt:lpstr>CF_rice</vt:lpstr>
      <vt:lpstr>CF_snap_bean</vt:lpstr>
      <vt:lpstr>CF_strawberry</vt:lpstr>
      <vt:lpstr>CF_tomato</vt:lpstr>
      <vt:lpstr>d_a</vt:lpstr>
      <vt:lpstr>D_milk</vt:lpstr>
      <vt:lpstr>d_s</vt:lpstr>
      <vt:lpstr>DAF</vt:lpstr>
      <vt:lpstr>DF_i</vt:lpstr>
      <vt:lpstr>DFA_far_adj</vt:lpstr>
      <vt:lpstr>DFA_rec_adj</vt:lpstr>
      <vt:lpstr>DFA_res_adj</vt:lpstr>
      <vt:lpstr>dm</vt:lpstr>
      <vt:lpstr>ED_far</vt:lpstr>
      <vt:lpstr>ED_far_a</vt:lpstr>
      <vt:lpstr>ED_far_c</vt:lpstr>
      <vt:lpstr>ED_rec</vt:lpstr>
      <vt:lpstr>ED_rec_a</vt:lpstr>
      <vt:lpstr>ED_rec_c</vt:lpstr>
      <vt:lpstr>ED_res</vt:lpstr>
      <vt:lpstr>ED_res_a</vt:lpstr>
      <vt:lpstr>ED_res_c</vt:lpstr>
      <vt:lpstr>ED_s2gw</vt:lpstr>
      <vt:lpstr>EF_far</vt:lpstr>
      <vt:lpstr>EF_far_a</vt:lpstr>
      <vt:lpstr>EF_far_c</vt:lpstr>
      <vt:lpstr>EF_rec</vt:lpstr>
      <vt:lpstr>EF_rec_a</vt:lpstr>
      <vt:lpstr>EF_rec_c</vt:lpstr>
      <vt:lpstr>EF_res</vt:lpstr>
      <vt:lpstr>EF_res_a</vt:lpstr>
      <vt:lpstr>EF_res_c</vt:lpstr>
      <vt:lpstr>ET_event_far_a</vt:lpstr>
      <vt:lpstr>ET_event_far_c</vt:lpstr>
      <vt:lpstr>ET_event_rec_a</vt:lpstr>
      <vt:lpstr>ET_event_rec_c</vt:lpstr>
      <vt:lpstr>ET_event_res_a</vt:lpstr>
      <vt:lpstr>ET_event_res_c</vt:lpstr>
      <vt:lpstr>ET_far</vt:lpstr>
      <vt:lpstr>ET_far_a</vt:lpstr>
      <vt:lpstr>ET_far_c</vt:lpstr>
      <vt:lpstr>ET_far_i</vt:lpstr>
      <vt:lpstr>ET_far_o</vt:lpstr>
      <vt:lpstr>ET_rec</vt:lpstr>
      <vt:lpstr>ET_rec_a</vt:lpstr>
      <vt:lpstr>ET_rec_c</vt:lpstr>
      <vt:lpstr>ET_res</vt:lpstr>
      <vt:lpstr>ET_res_a</vt:lpstr>
      <vt:lpstr>ET_res_c</vt:lpstr>
      <vt:lpstr>ET_res_i</vt:lpstr>
      <vt:lpstr>ET_res_o</vt:lpstr>
      <vt:lpstr>EV_far_a</vt:lpstr>
      <vt:lpstr>EV_far_c</vt:lpstr>
      <vt:lpstr>EV_rec_a</vt:lpstr>
      <vt:lpstr>EV_rec_c</vt:lpstr>
      <vt:lpstr>EV_res_a</vt:lpstr>
      <vt:lpstr>EV_res_c</vt:lpstr>
      <vt:lpstr>F</vt:lpstr>
      <vt:lpstr>f_p_beef</vt:lpstr>
      <vt:lpstr>f_p_dairy</vt:lpstr>
      <vt:lpstr>f_p_egg</vt:lpstr>
      <vt:lpstr>f_p_fowl</vt:lpstr>
      <vt:lpstr>f_p_game</vt:lpstr>
      <vt:lpstr>f_p_goat</vt:lpstr>
      <vt:lpstr>f_p_goat_milk</vt:lpstr>
      <vt:lpstr>f_p_poultry</vt:lpstr>
      <vt:lpstr>f_p_sheep</vt:lpstr>
      <vt:lpstr>f_p_sheep_milk</vt:lpstr>
      <vt:lpstr>f_p_swine</vt:lpstr>
      <vt:lpstr>f_s_beef</vt:lpstr>
      <vt:lpstr>f_s_dairy</vt:lpstr>
      <vt:lpstr>f_s_egg</vt:lpstr>
      <vt:lpstr>f_s_fowl</vt:lpstr>
      <vt:lpstr>f_s_game</vt:lpstr>
      <vt:lpstr>f_s_goat</vt:lpstr>
      <vt:lpstr>f_s_goat_milk</vt:lpstr>
      <vt:lpstr>f_s_poultry</vt:lpstr>
      <vt:lpstr>f_s_sheep</vt:lpstr>
      <vt:lpstr>f_s_sheep_milk</vt:lpstr>
      <vt:lpstr>f_s_swine</vt:lpstr>
      <vt:lpstr>F_x</vt:lpstr>
      <vt:lpstr>GSF_a</vt:lpstr>
      <vt:lpstr>GSF_i</vt:lpstr>
      <vt:lpstr>i</vt:lpstr>
      <vt:lpstr>I_f</vt:lpstr>
      <vt:lpstr>i_s2gw</vt:lpstr>
      <vt:lpstr>IFA_far_adj</vt:lpstr>
      <vt:lpstr>IFA_rec_adj</vt:lpstr>
      <vt:lpstr>IFA_res_adj</vt:lpstr>
      <vt:lpstr>IFAP_far_adj</vt:lpstr>
      <vt:lpstr>IFAP_res_adj</vt:lpstr>
      <vt:lpstr>IFAS_far_adj</vt:lpstr>
      <vt:lpstr>IFAS_res_adj</vt:lpstr>
      <vt:lpstr>IFB_far_adj</vt:lpstr>
      <vt:lpstr>IFBE_far_adj</vt:lpstr>
      <vt:lpstr>IFBE_res_adj</vt:lpstr>
      <vt:lpstr>IFBR_far_adj</vt:lpstr>
      <vt:lpstr>IFBR_res_adj</vt:lpstr>
      <vt:lpstr>IFBT_far_adj</vt:lpstr>
      <vt:lpstr>IFBT_res_adj</vt:lpstr>
      <vt:lpstr>IFCB_far_adj</vt:lpstr>
      <vt:lpstr>IFCB_res_adj</vt:lpstr>
      <vt:lpstr>IFCG_far_adj</vt:lpstr>
      <vt:lpstr>IFCG_res_adj</vt:lpstr>
      <vt:lpstr>IFCI_far_adj</vt:lpstr>
      <vt:lpstr>IFCI_res_adj</vt:lpstr>
      <vt:lpstr>IFCO_far_adj</vt:lpstr>
      <vt:lpstr>IFCO_res_adj</vt:lpstr>
      <vt:lpstr>IFCR_far_adj</vt:lpstr>
      <vt:lpstr>IFCR_res_adj</vt:lpstr>
      <vt:lpstr>IFCU_far_adj</vt:lpstr>
      <vt:lpstr>IFCU_res_adj</vt:lpstr>
      <vt:lpstr>IFD_far_adj</vt:lpstr>
      <vt:lpstr>IFE_far_adj</vt:lpstr>
      <vt:lpstr>IFFI_far_adj</vt:lpstr>
      <vt:lpstr>IFGM_far_adj</vt:lpstr>
      <vt:lpstr>IFGO_far_adj</vt:lpstr>
      <vt:lpstr>IFLE_far_adj</vt:lpstr>
      <vt:lpstr>IFLE_res_adj</vt:lpstr>
      <vt:lpstr>IFLI_far_adj</vt:lpstr>
      <vt:lpstr>IFLI_res_adj</vt:lpstr>
      <vt:lpstr>IFOK_far_adj</vt:lpstr>
      <vt:lpstr>IFOK_res_adj</vt:lpstr>
      <vt:lpstr>IFON_far_adj</vt:lpstr>
      <vt:lpstr>IFON_res_adj</vt:lpstr>
      <vt:lpstr>IFP_far_adj</vt:lpstr>
      <vt:lpstr>IFPC_far_adj</vt:lpstr>
      <vt:lpstr>IFPC_res_adj</vt:lpstr>
      <vt:lpstr>IFPE_far_adj</vt:lpstr>
      <vt:lpstr>IFPE_res_adj</vt:lpstr>
      <vt:lpstr>IFPP_far_adj</vt:lpstr>
      <vt:lpstr>IFPP_res_adj</vt:lpstr>
      <vt:lpstr>IFPR_far_adj</vt:lpstr>
      <vt:lpstr>IFPR_res_adj</vt:lpstr>
      <vt:lpstr>IFPT_far_adj</vt:lpstr>
      <vt:lpstr>IFPT_res_adj</vt:lpstr>
      <vt:lpstr>IFPU_far_adj</vt:lpstr>
      <vt:lpstr>IFPU_res_adj</vt:lpstr>
      <vt:lpstr>IFRI_far_adj</vt:lpstr>
      <vt:lpstr>IFRI_res_adj</vt:lpstr>
      <vt:lpstr>IFS_far_adj</vt:lpstr>
      <vt:lpstr>IFS_rec_adj</vt:lpstr>
      <vt:lpstr>IFS_res_adj</vt:lpstr>
      <vt:lpstr>IFSF_far_adj</vt:lpstr>
      <vt:lpstr>IFSH_far_adj</vt:lpstr>
      <vt:lpstr>IFSM_far_adj</vt:lpstr>
      <vt:lpstr>IFSN_far_adj</vt:lpstr>
      <vt:lpstr>IFSN_res_adj</vt:lpstr>
      <vt:lpstr>IFST_far_adj</vt:lpstr>
      <vt:lpstr>IFST_res_adj</vt:lpstr>
      <vt:lpstr>IFSW_far_adj</vt:lpstr>
      <vt:lpstr>IFTO_far_adj</vt:lpstr>
      <vt:lpstr>IFTO_res_adj</vt:lpstr>
      <vt:lpstr>IFW_far_adj</vt:lpstr>
      <vt:lpstr>IFW_rec_adj</vt:lpstr>
      <vt:lpstr>IFW_res_adj</vt:lpstr>
      <vt:lpstr>Ir</vt:lpstr>
      <vt:lpstr>IRA_far_a</vt:lpstr>
      <vt:lpstr>IRA_far_c</vt:lpstr>
      <vt:lpstr>IRA_rec_a</vt:lpstr>
      <vt:lpstr>IRA_rec_c</vt:lpstr>
      <vt:lpstr>IRA_res_a</vt:lpstr>
      <vt:lpstr>IRA_res_c</vt:lpstr>
      <vt:lpstr>IRAP_far_a</vt:lpstr>
      <vt:lpstr>IRAP_far_c</vt:lpstr>
      <vt:lpstr>IRAP_res_a</vt:lpstr>
      <vt:lpstr>IRAP_res_c</vt:lpstr>
      <vt:lpstr>IRAS_far_a</vt:lpstr>
      <vt:lpstr>IRAS_far_c</vt:lpstr>
      <vt:lpstr>IRAS_res_a</vt:lpstr>
      <vt:lpstr>IRAS_res_c</vt:lpstr>
      <vt:lpstr>IRB_far_a</vt:lpstr>
      <vt:lpstr>IRB_far_c</vt:lpstr>
      <vt:lpstr>IRBE_far_a</vt:lpstr>
      <vt:lpstr>IRBE_far_c</vt:lpstr>
      <vt:lpstr>IRBE_res_a</vt:lpstr>
      <vt:lpstr>IRBE_res_c</vt:lpstr>
      <vt:lpstr>IRBR_far_a</vt:lpstr>
      <vt:lpstr>IRBR_far_c</vt:lpstr>
      <vt:lpstr>IRBR_res_a</vt:lpstr>
      <vt:lpstr>IRBR_res_c</vt:lpstr>
      <vt:lpstr>IRBT_far_a</vt:lpstr>
      <vt:lpstr>IRBT_far_c</vt:lpstr>
      <vt:lpstr>IRBT_res_a</vt:lpstr>
      <vt:lpstr>IRBT_res_c</vt:lpstr>
      <vt:lpstr>IRCB_far_a</vt:lpstr>
      <vt:lpstr>IRCB_far_c</vt:lpstr>
      <vt:lpstr>IRCB_res_a</vt:lpstr>
      <vt:lpstr>IRCB_res_c</vt:lpstr>
      <vt:lpstr>IRCG_far_a</vt:lpstr>
      <vt:lpstr>IRCG_far_c</vt:lpstr>
      <vt:lpstr>IRCG_res_a</vt:lpstr>
      <vt:lpstr>IRCG_res_c</vt:lpstr>
      <vt:lpstr>IRCI_far_a</vt:lpstr>
      <vt:lpstr>IRCI_far_c</vt:lpstr>
      <vt:lpstr>IRCI_res_a</vt:lpstr>
      <vt:lpstr>IRCI_res_c</vt:lpstr>
      <vt:lpstr>IRCO_far_a</vt:lpstr>
      <vt:lpstr>IRCO_far_c</vt:lpstr>
      <vt:lpstr>IRCO_res_a</vt:lpstr>
      <vt:lpstr>IRCO_res_c</vt:lpstr>
      <vt:lpstr>IRCR_far_a</vt:lpstr>
      <vt:lpstr>IRCR_far_c</vt:lpstr>
      <vt:lpstr>IRCR_res_a</vt:lpstr>
      <vt:lpstr>IRCR_res_c</vt:lpstr>
      <vt:lpstr>IRCU_far_a</vt:lpstr>
      <vt:lpstr>IRCU_far_c</vt:lpstr>
      <vt:lpstr>IRCU_res_a</vt:lpstr>
      <vt:lpstr>IRCU_res_c</vt:lpstr>
      <vt:lpstr>IRD_far_a</vt:lpstr>
      <vt:lpstr>IRD_far_c</vt:lpstr>
      <vt:lpstr>IRE_far_a</vt:lpstr>
      <vt:lpstr>IRE_far_c</vt:lpstr>
      <vt:lpstr>IRF_res</vt:lpstr>
      <vt:lpstr>IRFI_far_a</vt:lpstr>
      <vt:lpstr>IRFI_far_c</vt:lpstr>
      <vt:lpstr>IRGF_rec</vt:lpstr>
      <vt:lpstr>IRGL_rec</vt:lpstr>
      <vt:lpstr>IRGM_far_a</vt:lpstr>
      <vt:lpstr>IRGM_far_c</vt:lpstr>
      <vt:lpstr>IRGO_far_a</vt:lpstr>
      <vt:lpstr>IRGO_far_c</vt:lpstr>
      <vt:lpstr>IRLE_far_a</vt:lpstr>
      <vt:lpstr>IRLE_far_c</vt:lpstr>
      <vt:lpstr>IRLE_res_a</vt:lpstr>
      <vt:lpstr>IRLE_res_c</vt:lpstr>
      <vt:lpstr>IRLI_far_a</vt:lpstr>
      <vt:lpstr>IRLI_far_c</vt:lpstr>
      <vt:lpstr>IRLI_res_a</vt:lpstr>
      <vt:lpstr>IRLI_res_c</vt:lpstr>
      <vt:lpstr>IROK_far_a</vt:lpstr>
      <vt:lpstr>IROK_far_c</vt:lpstr>
      <vt:lpstr>IROK_res_a</vt:lpstr>
      <vt:lpstr>IROK_res_c</vt:lpstr>
      <vt:lpstr>IRON_far_a</vt:lpstr>
      <vt:lpstr>IRON_far_c</vt:lpstr>
      <vt:lpstr>IRON_res_a</vt:lpstr>
      <vt:lpstr>IRON_res_c</vt:lpstr>
      <vt:lpstr>IRP_far_a</vt:lpstr>
      <vt:lpstr>IRP_far_c</vt:lpstr>
      <vt:lpstr>IRPC_far_a</vt:lpstr>
      <vt:lpstr>IRPC_far_c</vt:lpstr>
      <vt:lpstr>IRPC_res_a</vt:lpstr>
      <vt:lpstr>IRPC_res_c</vt:lpstr>
      <vt:lpstr>IRPE_far_a</vt:lpstr>
      <vt:lpstr>IRPE_far_c</vt:lpstr>
      <vt:lpstr>IRPE_res_a</vt:lpstr>
      <vt:lpstr>IRPE_res_c</vt:lpstr>
      <vt:lpstr>IRPP_far_a</vt:lpstr>
      <vt:lpstr>IRPP_far_c</vt:lpstr>
      <vt:lpstr>IRPP_res_a</vt:lpstr>
      <vt:lpstr>IRPP_res_c</vt:lpstr>
      <vt:lpstr>IRPR_far_a</vt:lpstr>
      <vt:lpstr>IRPR_far_c</vt:lpstr>
      <vt:lpstr>IRPR_res_a</vt:lpstr>
      <vt:lpstr>IRPR_res_c</vt:lpstr>
      <vt:lpstr>IRPT_far_a</vt:lpstr>
      <vt:lpstr>IRPT_far_c</vt:lpstr>
      <vt:lpstr>IRPT_res_a</vt:lpstr>
      <vt:lpstr>IRPT_res_c</vt:lpstr>
      <vt:lpstr>IRPU_far_a</vt:lpstr>
      <vt:lpstr>IRPU_far_c</vt:lpstr>
      <vt:lpstr>IRPU_res_a</vt:lpstr>
      <vt:lpstr>IRPU_res_c</vt:lpstr>
      <vt:lpstr>IRRI_far_a</vt:lpstr>
      <vt:lpstr>IRRI_far_c</vt:lpstr>
      <vt:lpstr>IRRI_res_a</vt:lpstr>
      <vt:lpstr>IRRI_res_c</vt:lpstr>
      <vt:lpstr>IRS_far_a</vt:lpstr>
      <vt:lpstr>IRS_far_c</vt:lpstr>
      <vt:lpstr>IRS_rec_a</vt:lpstr>
      <vt:lpstr>IRS_rec_c</vt:lpstr>
      <vt:lpstr>IRS_res_a</vt:lpstr>
      <vt:lpstr>IRS_res_c</vt:lpstr>
      <vt:lpstr>IRSF_far_a</vt:lpstr>
      <vt:lpstr>IRSF_far_c</vt:lpstr>
      <vt:lpstr>IRSH_far_a</vt:lpstr>
      <vt:lpstr>IRSH_far_c</vt:lpstr>
      <vt:lpstr>IRSM_far_a</vt:lpstr>
      <vt:lpstr>IRSM_far_c</vt:lpstr>
      <vt:lpstr>IRSN_far_a</vt:lpstr>
      <vt:lpstr>IRSN_far_c</vt:lpstr>
      <vt:lpstr>IRSN_res_a</vt:lpstr>
      <vt:lpstr>IRSN_res_c</vt:lpstr>
      <vt:lpstr>IRST_far_a</vt:lpstr>
      <vt:lpstr>IRST_far_c</vt:lpstr>
      <vt:lpstr>IRST_res_a</vt:lpstr>
      <vt:lpstr>IRST_res_c</vt:lpstr>
      <vt:lpstr>IRSW_far_a</vt:lpstr>
      <vt:lpstr>IRSW_far_c</vt:lpstr>
      <vt:lpstr>IRTO_far_a</vt:lpstr>
      <vt:lpstr>IRTO_far_c</vt:lpstr>
      <vt:lpstr>IRTO_res_a</vt:lpstr>
      <vt:lpstr>IRTO_res_c</vt:lpstr>
      <vt:lpstr>IRW_far_a</vt:lpstr>
      <vt:lpstr>IRW_far_c</vt:lpstr>
      <vt:lpstr>IRW_rec_a</vt:lpstr>
      <vt:lpstr>IRW_rec_c</vt:lpstr>
      <vt:lpstr>IRW_res_a</vt:lpstr>
      <vt:lpstr>IRW_res_c</vt:lpstr>
      <vt:lpstr>K</vt:lpstr>
      <vt:lpstr>K_s2gw</vt:lpstr>
      <vt:lpstr>L_s2gw</vt:lpstr>
      <vt:lpstr>lambda_HL</vt:lpstr>
      <vt:lpstr>MLF_apple</vt:lpstr>
      <vt:lpstr>MLF_asparagus</vt:lpstr>
      <vt:lpstr>MLF_beet</vt:lpstr>
      <vt:lpstr>MLF_berries</vt:lpstr>
      <vt:lpstr>MLF_broccoli</vt:lpstr>
      <vt:lpstr>MLF_cabbage</vt:lpstr>
      <vt:lpstr>MLF_carrot</vt:lpstr>
      <vt:lpstr>MLF_cereal</vt:lpstr>
      <vt:lpstr>MLF_citrus</vt:lpstr>
      <vt:lpstr>MLF_corn</vt:lpstr>
      <vt:lpstr>MLF_cucumber</vt:lpstr>
      <vt:lpstr>MLF_lettuce</vt:lpstr>
      <vt:lpstr>MLF_lima_bean</vt:lpstr>
      <vt:lpstr>MLF_okra</vt:lpstr>
      <vt:lpstr>MLF_onion</vt:lpstr>
      <vt:lpstr>MLF_pasture</vt:lpstr>
      <vt:lpstr>MLF_peach</vt:lpstr>
      <vt:lpstr>MLF_pear</vt:lpstr>
      <vt:lpstr>MLF_peas</vt:lpstr>
      <vt:lpstr>MLF_peppers</vt:lpstr>
      <vt:lpstr>MLF_potato</vt:lpstr>
      <vt:lpstr>MLF_pumpkin</vt:lpstr>
      <vt:lpstr>MLF_rice</vt:lpstr>
      <vt:lpstr>MLF_snap_bean</vt:lpstr>
      <vt:lpstr>MLF_strawberry</vt:lpstr>
      <vt:lpstr>MLF_tomato</vt:lpstr>
      <vt:lpstr>P</vt:lpstr>
      <vt:lpstr>PEF_wind</vt:lpstr>
      <vt:lpstr>Q_C_wind</vt:lpstr>
      <vt:lpstr>Q_p_beef</vt:lpstr>
      <vt:lpstr>Q_p_dairy</vt:lpstr>
      <vt:lpstr>Q_p_egg</vt:lpstr>
      <vt:lpstr>Q_p_fowl</vt:lpstr>
      <vt:lpstr>Q_p_game</vt:lpstr>
      <vt:lpstr>Q_p_goat</vt:lpstr>
      <vt:lpstr>Q_p_goat_milk</vt:lpstr>
      <vt:lpstr>Q_p_poultry</vt:lpstr>
      <vt:lpstr>Q_p_sheep</vt:lpstr>
      <vt:lpstr>Q_p_sheep_milk</vt:lpstr>
      <vt:lpstr>Q_p_swine</vt:lpstr>
      <vt:lpstr>Q_s_beef</vt:lpstr>
      <vt:lpstr>Q_s_dairy</vt:lpstr>
      <vt:lpstr>Q_s_egg</vt:lpstr>
      <vt:lpstr>Q_s_fowl</vt:lpstr>
      <vt:lpstr>Q_s_game</vt:lpstr>
      <vt:lpstr>Q_s_poultry</vt:lpstr>
      <vt:lpstr>Q_s_sheep</vt:lpstr>
      <vt:lpstr>Q_s_sheep_milk</vt:lpstr>
      <vt:lpstr>Q_s_swine</vt:lpstr>
      <vt:lpstr>Q_w_beef</vt:lpstr>
      <vt:lpstr>Q_w_dairy</vt:lpstr>
      <vt:lpstr>Q_w_egg</vt:lpstr>
      <vt:lpstr>Q_w_fowl</vt:lpstr>
      <vt:lpstr>Q_w_game</vt:lpstr>
      <vt:lpstr>Q_w_goat</vt:lpstr>
      <vt:lpstr>Q_w_goat_milk</vt:lpstr>
      <vt:lpstr>Q_w_poultry</vt:lpstr>
      <vt:lpstr>Q_w_sheep</vt:lpstr>
      <vt:lpstr>Q_w_sheep_milk</vt:lpstr>
      <vt:lpstr>Q_w_swine</vt:lpstr>
      <vt:lpstr>R_es_past</vt:lpstr>
      <vt:lpstr>s_A_wind</vt:lpstr>
      <vt:lpstr>s_As</vt:lpstr>
      <vt:lpstr>s_B_wind</vt:lpstr>
      <vt:lpstr>s_C</vt:lpstr>
      <vt:lpstr>s_C_wind</vt:lpstr>
      <vt:lpstr>s_CF_apple</vt:lpstr>
      <vt:lpstr>s_CF_asparagus</vt:lpstr>
      <vt:lpstr>s_CF_beet</vt:lpstr>
      <vt:lpstr>s_CF_berries</vt:lpstr>
      <vt:lpstr>s_CF_broccoli</vt:lpstr>
      <vt:lpstr>s_CF_cabbage</vt:lpstr>
      <vt:lpstr>s_CF_carrot</vt:lpstr>
      <vt:lpstr>s_CF_cereal</vt:lpstr>
      <vt:lpstr>s_CF_citrus</vt:lpstr>
      <vt:lpstr>s_CF_corn</vt:lpstr>
      <vt:lpstr>s_CF_cucumber</vt:lpstr>
      <vt:lpstr>s_CF_far_beef</vt:lpstr>
      <vt:lpstr>s_CF_far_dairy</vt:lpstr>
      <vt:lpstr>s_CF_far_egg</vt:lpstr>
      <vt:lpstr>s_CF_far_fish</vt:lpstr>
      <vt:lpstr>s_CF_far_goat</vt:lpstr>
      <vt:lpstr>s_CF_far_goat_milk</vt:lpstr>
      <vt:lpstr>s_CF_far_poultry</vt:lpstr>
      <vt:lpstr>s_CF_far_sheep</vt:lpstr>
      <vt:lpstr>s_CF_far_sheep_milk</vt:lpstr>
      <vt:lpstr>s_CF_far_shellfish</vt:lpstr>
      <vt:lpstr>s_CF_far_swine</vt:lpstr>
      <vt:lpstr>s_CF_fowl</vt:lpstr>
      <vt:lpstr>s_CF_game</vt:lpstr>
      <vt:lpstr>s_CF_lettuce</vt:lpstr>
      <vt:lpstr>s_CF_lima_bean</vt:lpstr>
      <vt:lpstr>s_CF_okra</vt:lpstr>
      <vt:lpstr>s_CF_onion</vt:lpstr>
      <vt:lpstr>s_CF_peach</vt:lpstr>
      <vt:lpstr>s_CF_pear</vt:lpstr>
      <vt:lpstr>s_CF_peas</vt:lpstr>
      <vt:lpstr>s_CF_peppers</vt:lpstr>
      <vt:lpstr>s_CF_potato</vt:lpstr>
      <vt:lpstr>s_CF_pumpkin</vt:lpstr>
      <vt:lpstr>s_CF_res_fish</vt:lpstr>
      <vt:lpstr>s_CF_rice</vt:lpstr>
      <vt:lpstr>s_CF_snap_bean</vt:lpstr>
      <vt:lpstr>s_CF_strawberry</vt:lpstr>
      <vt:lpstr>s_CF_tomato</vt:lpstr>
      <vt:lpstr>s_d_a</vt:lpstr>
      <vt:lpstr>s_D_milk</vt:lpstr>
      <vt:lpstr>s_d_s</vt:lpstr>
      <vt:lpstr>s_DAF</vt:lpstr>
      <vt:lpstr>s_DF_i</vt:lpstr>
      <vt:lpstr>s_DFA_far_adj</vt:lpstr>
      <vt:lpstr>s_DFA_rec_adj</vt:lpstr>
      <vt:lpstr>s_DFA_res_adj</vt:lpstr>
      <vt:lpstr>s_dm</vt:lpstr>
      <vt:lpstr>s_ED_far</vt:lpstr>
      <vt:lpstr>s_ED_far_a</vt:lpstr>
      <vt:lpstr>s_ED_far_c</vt:lpstr>
      <vt:lpstr>s_ED_rec</vt:lpstr>
      <vt:lpstr>s_ED_rec_a</vt:lpstr>
      <vt:lpstr>s_ED_rec_c</vt:lpstr>
      <vt:lpstr>s_ED_res</vt:lpstr>
      <vt:lpstr>s_ED_res_a</vt:lpstr>
      <vt:lpstr>s_ED_res_c</vt:lpstr>
      <vt:lpstr>s_ED_s2gw</vt:lpstr>
      <vt:lpstr>s_EF_far</vt:lpstr>
      <vt:lpstr>s_EF_far_a</vt:lpstr>
      <vt:lpstr>s_EF_far_c</vt:lpstr>
      <vt:lpstr>s_EF_rec</vt:lpstr>
      <vt:lpstr>s_EF_rec_a</vt:lpstr>
      <vt:lpstr>s_EF_rec_c</vt:lpstr>
      <vt:lpstr>s_EF_res</vt:lpstr>
      <vt:lpstr>s_EF_res_a</vt:lpstr>
      <vt:lpstr>s_EF_res_c</vt:lpstr>
      <vt:lpstr>s_ET_event_far_a</vt:lpstr>
      <vt:lpstr>s_ET_event_far_c</vt:lpstr>
      <vt:lpstr>s_ET_event_rec_a</vt:lpstr>
      <vt:lpstr>s_ET_event_rec_c</vt:lpstr>
      <vt:lpstr>s_ET_event_res_a</vt:lpstr>
      <vt:lpstr>s_ET_event_res_c</vt:lpstr>
      <vt:lpstr>s_ET_far</vt:lpstr>
      <vt:lpstr>s_ET_far_a</vt:lpstr>
      <vt:lpstr>s_ET_far_c</vt:lpstr>
      <vt:lpstr>s_ET_far_i</vt:lpstr>
      <vt:lpstr>s_ET_far_o</vt:lpstr>
      <vt:lpstr>s_ET_rec</vt:lpstr>
      <vt:lpstr>s_ET_rec_a</vt:lpstr>
      <vt:lpstr>s_ET_rec_c</vt:lpstr>
      <vt:lpstr>s_ET_res</vt:lpstr>
      <vt:lpstr>s_ET_res_a</vt:lpstr>
      <vt:lpstr>s_ET_res_c</vt:lpstr>
      <vt:lpstr>s_ET_res_i</vt:lpstr>
      <vt:lpstr>s_ET_res_o</vt:lpstr>
      <vt:lpstr>s_EV_far_a</vt:lpstr>
      <vt:lpstr>s_EV_far_c</vt:lpstr>
      <vt:lpstr>s_EV_rec_a</vt:lpstr>
      <vt:lpstr>s_EV_rec_c</vt:lpstr>
      <vt:lpstr>s_EV_res_a</vt:lpstr>
      <vt:lpstr>s_EV_res_c</vt:lpstr>
      <vt:lpstr>s_F</vt:lpstr>
      <vt:lpstr>s_f_p_beef</vt:lpstr>
      <vt:lpstr>s_f_p_dairy</vt:lpstr>
      <vt:lpstr>s_f_p_egg</vt:lpstr>
      <vt:lpstr>s_f_p_fowl</vt:lpstr>
      <vt:lpstr>s_f_p_game</vt:lpstr>
      <vt:lpstr>s_f_p_goat</vt:lpstr>
      <vt:lpstr>s_f_p_goat_milk</vt:lpstr>
      <vt:lpstr>s_f_p_poultry</vt:lpstr>
      <vt:lpstr>s_f_p_sheep</vt:lpstr>
      <vt:lpstr>s_f_p_sheep_milk</vt:lpstr>
      <vt:lpstr>s_f_p_swine</vt:lpstr>
      <vt:lpstr>s_f_s_beef</vt:lpstr>
      <vt:lpstr>s_f_s_dairy</vt:lpstr>
      <vt:lpstr>s_f_s_egg</vt:lpstr>
      <vt:lpstr>s_f_s_fowl</vt:lpstr>
      <vt:lpstr>s_f_s_game</vt:lpstr>
      <vt:lpstr>s_f_s_goat</vt:lpstr>
      <vt:lpstr>s_f_s_goat_milk</vt:lpstr>
      <vt:lpstr>s_f_s_poultry</vt:lpstr>
      <vt:lpstr>s_f_s_sheep</vt:lpstr>
      <vt:lpstr>s_f_s_sheep_milk</vt:lpstr>
      <vt:lpstr>s_f_s_swine</vt:lpstr>
      <vt:lpstr>s_F_x</vt:lpstr>
      <vt:lpstr>s_GSF_a</vt:lpstr>
      <vt:lpstr>s_GSF_i</vt:lpstr>
      <vt:lpstr>s_I_f</vt:lpstr>
      <vt:lpstr>s_i_s2gw</vt:lpstr>
      <vt:lpstr>s_IFA_far_adj</vt:lpstr>
      <vt:lpstr>s_IFA_rec_adj</vt:lpstr>
      <vt:lpstr>s_IFA_res_adj</vt:lpstr>
      <vt:lpstr>s_IFAP_far_adj</vt:lpstr>
      <vt:lpstr>s_IFAP_res_adj</vt:lpstr>
      <vt:lpstr>s_IFAS_far_adj</vt:lpstr>
      <vt:lpstr>s_IFAS_res_adj</vt:lpstr>
      <vt:lpstr>s_IFB_far_adj</vt:lpstr>
      <vt:lpstr>s_IFBE_far_adj</vt:lpstr>
      <vt:lpstr>s_IFBE_res_adj</vt:lpstr>
      <vt:lpstr>s_IFBR_far_adj</vt:lpstr>
      <vt:lpstr>s_IFBR_res_adj</vt:lpstr>
      <vt:lpstr>s_IFBT_far_adj</vt:lpstr>
      <vt:lpstr>s_IFBT_res_adj</vt:lpstr>
      <vt:lpstr>s_IFCB_far_adj</vt:lpstr>
      <vt:lpstr>s_IFCB_res_adj</vt:lpstr>
      <vt:lpstr>s_IFCG_far_adj</vt:lpstr>
      <vt:lpstr>s_IFCG_res_adj</vt:lpstr>
      <vt:lpstr>s_IFCI_far_adj</vt:lpstr>
      <vt:lpstr>s_IFCI_res_adj</vt:lpstr>
      <vt:lpstr>s_IFCO_far_adj</vt:lpstr>
      <vt:lpstr>s_IFCO_res_adj</vt:lpstr>
      <vt:lpstr>s_IFCR_far_adj</vt:lpstr>
      <vt:lpstr>s_IFCR_res_adj</vt:lpstr>
      <vt:lpstr>s_IFCU_far_adj</vt:lpstr>
      <vt:lpstr>s_IFCU_res_adj</vt:lpstr>
      <vt:lpstr>s_IFD_far_adj</vt:lpstr>
      <vt:lpstr>s_IFE_far_adj</vt:lpstr>
      <vt:lpstr>s_IFFI_far_adj</vt:lpstr>
      <vt:lpstr>s_IFGM_far_adj</vt:lpstr>
      <vt:lpstr>s_IFGO_far_adj</vt:lpstr>
      <vt:lpstr>s_IFLE_far_adj</vt:lpstr>
      <vt:lpstr>s_IFLE_res_adj</vt:lpstr>
      <vt:lpstr>s_IFLI_far_adj</vt:lpstr>
      <vt:lpstr>s_IFLI_res_adj</vt:lpstr>
      <vt:lpstr>s_IFOK_far_adj</vt:lpstr>
      <vt:lpstr>s_IFOK_res_adj</vt:lpstr>
      <vt:lpstr>s_IFON_far_adj</vt:lpstr>
      <vt:lpstr>s_IFON_res_adj</vt:lpstr>
      <vt:lpstr>s_IFP_far_adj</vt:lpstr>
      <vt:lpstr>s_IFPC_far_adj</vt:lpstr>
      <vt:lpstr>s_IFPC_res_adj</vt:lpstr>
      <vt:lpstr>s_IFPE_far_adj</vt:lpstr>
      <vt:lpstr>s_IFPE_res_adj</vt:lpstr>
      <vt:lpstr>s_IFPP_far_adj</vt:lpstr>
      <vt:lpstr>s_IFPP_res_adj</vt:lpstr>
      <vt:lpstr>s_IFPR_far_adj</vt:lpstr>
      <vt:lpstr>s_IFPR_res_adj</vt:lpstr>
      <vt:lpstr>s_IFPT_far_adj</vt:lpstr>
      <vt:lpstr>s_IFPT_res_adj</vt:lpstr>
      <vt:lpstr>s_IFPU_far_adj</vt:lpstr>
      <vt:lpstr>s_IFPU_res_adj</vt:lpstr>
      <vt:lpstr>s_IFRI_far_adj</vt:lpstr>
      <vt:lpstr>s_IFRI_res_adj</vt:lpstr>
      <vt:lpstr>s_IFS_far_adj</vt:lpstr>
      <vt:lpstr>s_IFS_rec_adj</vt:lpstr>
      <vt:lpstr>s_IFS_res_adj</vt:lpstr>
      <vt:lpstr>s_IFSF_far_adj</vt:lpstr>
      <vt:lpstr>s_IFSH_far_adj</vt:lpstr>
      <vt:lpstr>s_IFSM_far_adj</vt:lpstr>
      <vt:lpstr>s_IFSN_far_adj</vt:lpstr>
      <vt:lpstr>s_IFSN_res_adj</vt:lpstr>
      <vt:lpstr>s_IFST_far_adj</vt:lpstr>
      <vt:lpstr>s_IFST_res_adj</vt:lpstr>
      <vt:lpstr>s_IFSW_far_adj</vt:lpstr>
      <vt:lpstr>s_IFTO_far_adj</vt:lpstr>
      <vt:lpstr>s_IFTO_res_adj</vt:lpstr>
      <vt:lpstr>s_IFW_far_adj</vt:lpstr>
      <vt:lpstr>s_IFW_rec_adj</vt:lpstr>
      <vt:lpstr>s_IFW_res_adj</vt:lpstr>
      <vt:lpstr>s_Ir</vt:lpstr>
      <vt:lpstr>s_IRA_far_a</vt:lpstr>
      <vt:lpstr>s_IRA_far_c</vt:lpstr>
      <vt:lpstr>s_IRA_rec_a</vt:lpstr>
      <vt:lpstr>s_IRA_rec_c</vt:lpstr>
      <vt:lpstr>s_IRA_res_a</vt:lpstr>
      <vt:lpstr>s_IRA_res_c</vt:lpstr>
      <vt:lpstr>s_IRAP_far_a</vt:lpstr>
      <vt:lpstr>s_IRAP_far_c</vt:lpstr>
      <vt:lpstr>s_IRAP_res_a</vt:lpstr>
      <vt:lpstr>s_IRAP_res_c</vt:lpstr>
      <vt:lpstr>s_IRAS_far_a</vt:lpstr>
      <vt:lpstr>s_IRAS_far_c</vt:lpstr>
      <vt:lpstr>s_IRAS_res_a</vt:lpstr>
      <vt:lpstr>s_IRAS_res_c</vt:lpstr>
      <vt:lpstr>s_IRB_far_a</vt:lpstr>
      <vt:lpstr>s_IRB_far_c</vt:lpstr>
      <vt:lpstr>s_IRBE_far_a</vt:lpstr>
      <vt:lpstr>s_IRBE_far_c</vt:lpstr>
      <vt:lpstr>s_IRBE_res_a</vt:lpstr>
      <vt:lpstr>s_IRBE_res_c</vt:lpstr>
      <vt:lpstr>s_IRBR_far_a</vt:lpstr>
      <vt:lpstr>s_IRBR_far_c</vt:lpstr>
      <vt:lpstr>s_IRBR_res_a</vt:lpstr>
      <vt:lpstr>s_IRBR_res_c</vt:lpstr>
      <vt:lpstr>s_IRBT_far_a</vt:lpstr>
      <vt:lpstr>s_IRBT_far_c</vt:lpstr>
      <vt:lpstr>s_IRBT_res_a</vt:lpstr>
      <vt:lpstr>s_IRBT_res_c</vt:lpstr>
      <vt:lpstr>s_IRCB_far_a</vt:lpstr>
      <vt:lpstr>s_IRCB_far_c</vt:lpstr>
      <vt:lpstr>s_IRCB_res_a</vt:lpstr>
      <vt:lpstr>s_IRCB_res_c</vt:lpstr>
      <vt:lpstr>s_IRCG_far_a</vt:lpstr>
      <vt:lpstr>s_IRCG_far_c</vt:lpstr>
      <vt:lpstr>s_IRCG_res_a</vt:lpstr>
      <vt:lpstr>s_IRCG_res_c</vt:lpstr>
      <vt:lpstr>s_IRCI_far_a</vt:lpstr>
      <vt:lpstr>s_IRCI_far_c</vt:lpstr>
      <vt:lpstr>s_IRCI_res_a</vt:lpstr>
      <vt:lpstr>s_IRCI_res_c</vt:lpstr>
      <vt:lpstr>s_IRCO_far_a</vt:lpstr>
      <vt:lpstr>s_IRCO_far_c</vt:lpstr>
      <vt:lpstr>s_IRCO_res_a</vt:lpstr>
      <vt:lpstr>s_IRCO_res_c</vt:lpstr>
      <vt:lpstr>s_IRCR_far_a</vt:lpstr>
      <vt:lpstr>s_IRCR_far_c</vt:lpstr>
      <vt:lpstr>s_IRCR_res_a</vt:lpstr>
      <vt:lpstr>s_IRCR_res_c</vt:lpstr>
      <vt:lpstr>s_IRCU_far_a</vt:lpstr>
      <vt:lpstr>s_IRCU_far_c</vt:lpstr>
      <vt:lpstr>s_IRCU_res_a</vt:lpstr>
      <vt:lpstr>s_IRCU_res_c</vt:lpstr>
      <vt:lpstr>s_IRD_far_a</vt:lpstr>
      <vt:lpstr>s_IRD_far_c</vt:lpstr>
      <vt:lpstr>s_IRE_far_a</vt:lpstr>
      <vt:lpstr>s_IRE_far_c</vt:lpstr>
      <vt:lpstr>s_IRF_res</vt:lpstr>
      <vt:lpstr>s_IRFI_far_a</vt:lpstr>
      <vt:lpstr>s_IRFI_far_c</vt:lpstr>
      <vt:lpstr>s_IRGF_rec</vt:lpstr>
      <vt:lpstr>s_IRGL_rec</vt:lpstr>
      <vt:lpstr>s_IRGM_far_a</vt:lpstr>
      <vt:lpstr>s_IRGM_far_c</vt:lpstr>
      <vt:lpstr>s_IRGO_far_a</vt:lpstr>
      <vt:lpstr>s_IRGO_far_c</vt:lpstr>
      <vt:lpstr>s_IRLE_far_a</vt:lpstr>
      <vt:lpstr>s_IRLE_far_c</vt:lpstr>
      <vt:lpstr>s_IRLE_res_a</vt:lpstr>
      <vt:lpstr>s_IRLE_res_c</vt:lpstr>
      <vt:lpstr>s_IRLI_far_a</vt:lpstr>
      <vt:lpstr>s_IRLI_far_c</vt:lpstr>
      <vt:lpstr>s_IRLI_res_a</vt:lpstr>
      <vt:lpstr>s_IRLI_res_c</vt:lpstr>
      <vt:lpstr>s_IROK_far_a</vt:lpstr>
      <vt:lpstr>s_IROK_far_c</vt:lpstr>
      <vt:lpstr>s_IROK_res_a</vt:lpstr>
      <vt:lpstr>s_IROK_res_c</vt:lpstr>
      <vt:lpstr>s_IRON_far_a</vt:lpstr>
      <vt:lpstr>s_IRON_far_c</vt:lpstr>
      <vt:lpstr>s_IRON_res_a</vt:lpstr>
      <vt:lpstr>s_IRON_res_c</vt:lpstr>
      <vt:lpstr>s_IRP_far_a</vt:lpstr>
      <vt:lpstr>s_IRP_far_c</vt:lpstr>
      <vt:lpstr>s_IRPC_far_a</vt:lpstr>
      <vt:lpstr>s_IRPC_far_c</vt:lpstr>
      <vt:lpstr>s_IRPC_res_a</vt:lpstr>
      <vt:lpstr>s_IRPC_res_c</vt:lpstr>
      <vt:lpstr>s_IRPE_far_a</vt:lpstr>
      <vt:lpstr>s_IRPE_far_c</vt:lpstr>
      <vt:lpstr>s_IRPE_res_a</vt:lpstr>
      <vt:lpstr>s_IRPE_res_c</vt:lpstr>
      <vt:lpstr>s_IRPP_far_a</vt:lpstr>
      <vt:lpstr>s_IRPP_far_c</vt:lpstr>
      <vt:lpstr>s_IRPP_res_a</vt:lpstr>
      <vt:lpstr>s_IRPP_res_c</vt:lpstr>
      <vt:lpstr>s_IRPR_far_a</vt:lpstr>
      <vt:lpstr>s_IRPR_far_c</vt:lpstr>
      <vt:lpstr>s_IRPR_res_a</vt:lpstr>
      <vt:lpstr>s_IRPR_res_c</vt:lpstr>
      <vt:lpstr>s_IRPT_far_a</vt:lpstr>
      <vt:lpstr>s_IRPT_far_c</vt:lpstr>
      <vt:lpstr>s_IRPT_res_a</vt:lpstr>
      <vt:lpstr>s_IRPT_res_c</vt:lpstr>
      <vt:lpstr>s_IRPU_far_a</vt:lpstr>
      <vt:lpstr>s_IRPU_far_c</vt:lpstr>
      <vt:lpstr>s_IRPU_res_a</vt:lpstr>
      <vt:lpstr>s_IRPU_res_c</vt:lpstr>
      <vt:lpstr>s_IRRI_far_a</vt:lpstr>
      <vt:lpstr>s_IRRI_far_c</vt:lpstr>
      <vt:lpstr>s_IRRI_res_a</vt:lpstr>
      <vt:lpstr>s_IRRI_res_c</vt:lpstr>
      <vt:lpstr>s_IRS_far_a</vt:lpstr>
      <vt:lpstr>s_IRS_far_c</vt:lpstr>
      <vt:lpstr>s_IRS_rec_a</vt:lpstr>
      <vt:lpstr>s_IRS_rec_c</vt:lpstr>
      <vt:lpstr>s_IRS_res_a</vt:lpstr>
      <vt:lpstr>s_IRS_res_c</vt:lpstr>
      <vt:lpstr>s_IRSF_far_a</vt:lpstr>
      <vt:lpstr>s_IRSF_far_c</vt:lpstr>
      <vt:lpstr>s_IRSH_far_a</vt:lpstr>
      <vt:lpstr>s_IRSH_far_c</vt:lpstr>
      <vt:lpstr>s_IRSM_far_a</vt:lpstr>
      <vt:lpstr>s_IRSM_far_c</vt:lpstr>
      <vt:lpstr>s_IRSN_far_a</vt:lpstr>
      <vt:lpstr>s_IRSN_far_c</vt:lpstr>
      <vt:lpstr>s_IRSN_res_a</vt:lpstr>
      <vt:lpstr>s_IRSN_res_c</vt:lpstr>
      <vt:lpstr>s_IRST_far_a</vt:lpstr>
      <vt:lpstr>s_IRST_far_c</vt:lpstr>
      <vt:lpstr>s_IRST_res_a</vt:lpstr>
      <vt:lpstr>s_IRST_res_c</vt:lpstr>
      <vt:lpstr>s_IRSW_far_a</vt:lpstr>
      <vt:lpstr>s_IRSW_far_c</vt:lpstr>
      <vt:lpstr>s_IRTO_far_a</vt:lpstr>
      <vt:lpstr>s_IRTO_far_c</vt:lpstr>
      <vt:lpstr>s_IRTO_res_a</vt:lpstr>
      <vt:lpstr>s_IRTO_res_c</vt:lpstr>
      <vt:lpstr>s_IRW_far_a</vt:lpstr>
      <vt:lpstr>s_IRW_far_c</vt:lpstr>
      <vt:lpstr>s_IRW_rec_a</vt:lpstr>
      <vt:lpstr>s_IRW_rec_c</vt:lpstr>
      <vt:lpstr>s_IRW_res_a</vt:lpstr>
      <vt:lpstr>s_IRW_res_c</vt:lpstr>
      <vt:lpstr>s_K</vt:lpstr>
      <vt:lpstr>s_K_s2gw</vt:lpstr>
      <vt:lpstr>s_L_s2gw</vt:lpstr>
      <vt:lpstr>s_lambda_HL</vt:lpstr>
      <vt:lpstr>s_ls2gw</vt:lpstr>
      <vt:lpstr>s_MLF_apple</vt:lpstr>
      <vt:lpstr>s_MLF_asparagus</vt:lpstr>
      <vt:lpstr>s_MLF_beet</vt:lpstr>
      <vt:lpstr>s_MLF_berries</vt:lpstr>
      <vt:lpstr>s_MLF_broccoli</vt:lpstr>
      <vt:lpstr>s_MLF_cabbage</vt:lpstr>
      <vt:lpstr>s_MLF_carrot</vt:lpstr>
      <vt:lpstr>s_MLF_cereal</vt:lpstr>
      <vt:lpstr>s_MLF_citrus</vt:lpstr>
      <vt:lpstr>s_MLF_corn</vt:lpstr>
      <vt:lpstr>s_MLF_cucumber</vt:lpstr>
      <vt:lpstr>s_MLF_lettuce</vt:lpstr>
      <vt:lpstr>s_MLF_lima_bean</vt:lpstr>
      <vt:lpstr>s_MLF_okra</vt:lpstr>
      <vt:lpstr>s_MLF_onion</vt:lpstr>
      <vt:lpstr>s_MLF_pasture</vt:lpstr>
      <vt:lpstr>s_MLF_peach</vt:lpstr>
      <vt:lpstr>s_MLF_pear</vt:lpstr>
      <vt:lpstr>s_MLF_peas</vt:lpstr>
      <vt:lpstr>s_MLF_peppers</vt:lpstr>
      <vt:lpstr>s_MLF_potato</vt:lpstr>
      <vt:lpstr>s_MLF_pumpkin</vt:lpstr>
      <vt:lpstr>s_MLF_rice</vt:lpstr>
      <vt:lpstr>s_MLF_snap_bean</vt:lpstr>
      <vt:lpstr>s_MLF_strawberry</vt:lpstr>
      <vt:lpstr>s_MLF_tomato</vt:lpstr>
      <vt:lpstr>s_P</vt:lpstr>
      <vt:lpstr>s_PEF_wind</vt:lpstr>
      <vt:lpstr>s_Q_C_wind</vt:lpstr>
      <vt:lpstr>s_Q_p_beef</vt:lpstr>
      <vt:lpstr>s_Q_p_dairy</vt:lpstr>
      <vt:lpstr>s_Q_p_egg</vt:lpstr>
      <vt:lpstr>s_Q_p_fowl</vt:lpstr>
      <vt:lpstr>s_Q_p_game</vt:lpstr>
      <vt:lpstr>s_Q_p_goat</vt:lpstr>
      <vt:lpstr>s_Q_p_goat_milk</vt:lpstr>
      <vt:lpstr>s_Q_p_poultry</vt:lpstr>
      <vt:lpstr>s_Q_p_sheep</vt:lpstr>
      <vt:lpstr>s_Q_p_sheep_milk</vt:lpstr>
      <vt:lpstr>s_Q_p_swine</vt:lpstr>
      <vt:lpstr>s_Q_s_beef</vt:lpstr>
      <vt:lpstr>s_Q_s_dairy</vt:lpstr>
      <vt:lpstr>s_Q_s_egg</vt:lpstr>
      <vt:lpstr>s_Q_s_fowl</vt:lpstr>
      <vt:lpstr>s_Q_s_game</vt:lpstr>
      <vt:lpstr>s_Q_s_goat</vt:lpstr>
      <vt:lpstr>s_Q_s_goat_milk</vt:lpstr>
      <vt:lpstr>s_Q_s_poultry</vt:lpstr>
      <vt:lpstr>s_Q_s_sheep</vt:lpstr>
      <vt:lpstr>s_Q_s_sheep_milk</vt:lpstr>
      <vt:lpstr>s_Q_s_swine</vt:lpstr>
      <vt:lpstr>s_Q_w_beef</vt:lpstr>
      <vt:lpstr>s_Q_w_dairy</vt:lpstr>
      <vt:lpstr>s_Q_w_egg</vt:lpstr>
      <vt:lpstr>s_Q_w_fowl</vt:lpstr>
      <vt:lpstr>s_Q_w_game</vt:lpstr>
      <vt:lpstr>s_Q_w_goat</vt:lpstr>
      <vt:lpstr>s_Q_w_goat_milk</vt:lpstr>
      <vt:lpstr>s_Q_w_poultry</vt:lpstr>
      <vt:lpstr>s_Q_w_sheep</vt:lpstr>
      <vt:lpstr>s_Q_w_sheep_milk</vt:lpstr>
      <vt:lpstr>s_Q_w_swine</vt:lpstr>
      <vt:lpstr>s_R_es_past</vt:lpstr>
      <vt:lpstr>s_T</vt:lpstr>
      <vt:lpstr>s_t_b</vt:lpstr>
      <vt:lpstr>s_t_far</vt:lpstr>
      <vt:lpstr>s_t_rec</vt:lpstr>
      <vt:lpstr>s_t_res</vt:lpstr>
      <vt:lpstr>s_t_v</vt:lpstr>
      <vt:lpstr>s_t_w</vt:lpstr>
      <vt:lpstr>s_TR</vt:lpstr>
      <vt:lpstr>s_Um</vt:lpstr>
      <vt:lpstr>s_Ut</vt:lpstr>
      <vt:lpstr>s_V</vt:lpstr>
      <vt:lpstr>s_x</vt:lpstr>
      <vt:lpstr>s_Y_v</vt:lpstr>
      <vt:lpstr>s_θw</vt:lpstr>
      <vt:lpstr>s_ρb</vt:lpstr>
      <vt:lpstr>T</vt:lpstr>
      <vt:lpstr>t_b</vt:lpstr>
      <vt:lpstr>t_far</vt:lpstr>
      <vt:lpstr>t_rec</vt:lpstr>
      <vt:lpstr>t_res</vt:lpstr>
      <vt:lpstr>t_v</vt:lpstr>
      <vt:lpstr>t_w</vt:lpstr>
      <vt:lpstr>TR</vt:lpstr>
      <vt:lpstr>Um</vt:lpstr>
      <vt:lpstr>Ut</vt:lpstr>
      <vt:lpstr>V</vt:lpstr>
      <vt:lpstr>Y_v</vt:lpstr>
      <vt:lpstr>θw</vt:lpstr>
      <vt:lpstr>ρb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Manning, Karessa L.</dc:creator>
  <cp:lastModifiedBy>Manning, Karessa</cp:lastModifiedBy>
  <cp:lastPrinted>2017-04-12T15:41:27Z</cp:lastPrinted>
  <dcterms:created xsi:type="dcterms:W3CDTF">2016-04-21T20:28:57Z</dcterms:created>
  <dcterms:modified xsi:type="dcterms:W3CDTF">2021-06-16T16:11:25Z</dcterms:modified>
</cp:coreProperties>
</file>